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WebImage.xml" ContentType="application/vnd.ms-excel.rdrichvaluewebimage+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924"/>
  <workbookPr codeName="ThisWorkbook" autoCompressPictures="0"/>
  <mc:AlternateContent xmlns:mc="http://schemas.openxmlformats.org/markup-compatibility/2006">
    <mc:Choice Requires="x15">
      <x15ac:absPath xmlns:x15ac="http://schemas.microsoft.com/office/spreadsheetml/2010/11/ac" url="C:\Users\Natalie\Downloads\"/>
    </mc:Choice>
  </mc:AlternateContent>
  <xr:revisionPtr revIDLastSave="0" documentId="8_{F6A5ADFA-CFF6-4C29-87F2-BD96A7DE0211}" xr6:coauthVersionLast="47" xr6:coauthVersionMax="47" xr10:uidLastSave="{00000000-0000-0000-0000-000000000000}"/>
  <bookViews>
    <workbookView xWindow="-120" yWindow="-120" windowWidth="29040" windowHeight="15720" tabRatio="999" xr2:uid="{E98BEFD3-368D-4CC9-84B1-BC254CEFBF9E}"/>
  </bookViews>
  <sheets>
    <sheet name="Index" sheetId="68" r:id="rId1"/>
    <sheet name="Analysis" sheetId="39" r:id="rId2"/>
    <sheet name="Analysis OLD" sheetId="87" state="hidden" r:id="rId3"/>
    <sheet name="A23 Avant" sheetId="76" state="hidden" r:id="rId4"/>
    <sheet name="A-PrintURL" sheetId="89" r:id="rId5"/>
    <sheet name="A-Print" sheetId="36" state="hidden" r:id="rId6"/>
    <sheet name="ADV" sheetId="7" r:id="rId7"/>
    <sheet name="A-S" sheetId="10" r:id="rId8"/>
    <sheet name="A-A" sheetId="12" r:id="rId9"/>
    <sheet name="A-A Archive" sheetId="80" state="hidden" r:id="rId10"/>
    <sheet name="A-CA" sheetId="25" r:id="rId11"/>
    <sheet name="D-Print" sheetId="43" r:id="rId12"/>
    <sheet name="DN-Print" sheetId="93" r:id="rId13"/>
    <sheet name="DRA" sheetId="40" r:id="rId14"/>
    <sheet name="D-S" sheetId="41" r:id="rId15"/>
    <sheet name="D-A" sheetId="42" r:id="rId16"/>
    <sheet name="WNBAD" sheetId="82" state="hidden" r:id="rId17"/>
    <sheet name="W-Print BACKUP" sheetId="90" state="hidden" r:id="rId18"/>
    <sheet name="W-Print" sheetId="83" r:id="rId19"/>
    <sheet name="WEAP" sheetId="60" r:id="rId20"/>
    <sheet name="W-S" sheetId="44" r:id="rId21"/>
    <sheet name="W-S OLD" sheetId="77" state="hidden" r:id="rId22"/>
    <sheet name="W-A" sheetId="63" r:id="rId23"/>
    <sheet name="W-U" sheetId="61" r:id="rId24"/>
    <sheet name="W-WS" sheetId="50" state="hidden" r:id="rId25"/>
    <sheet name="WP-Print BACKUP" sheetId="91" state="hidden" r:id="rId26"/>
    <sheet name="WP-Print" sheetId="86" r:id="rId27"/>
    <sheet name="WP" sheetId="47" r:id="rId28"/>
    <sheet name="WP-A" sheetId="70" r:id="rId29"/>
    <sheet name="WP-AC" sheetId="69" r:id="rId30"/>
    <sheet name="WP-AF" sheetId="84" r:id="rId31"/>
    <sheet name="PWP-Print BACKUP" sheetId="92" state="hidden" r:id="rId32"/>
    <sheet name="PWP-Print" sheetId="88" r:id="rId33"/>
    <sheet name="PWP" sheetId="73" r:id="rId34"/>
    <sheet name="PWP-A" sheetId="79" r:id="rId35"/>
    <sheet name="CAMP" sheetId="48" r:id="rId36"/>
    <sheet name="Quest" sheetId="59" r:id="rId37"/>
    <sheet name="QDrop" sheetId="62" r:id="rId38"/>
    <sheet name="Endvr" sheetId="66" r:id="rId39"/>
    <sheet name="N-Endvr" sheetId="94" r:id="rId40"/>
    <sheet name="RR" sheetId="67" r:id="rId41"/>
    <sheet name="Facility" sheetId="51" r:id="rId42"/>
    <sheet name="Mats" sheetId="53" r:id="rId43"/>
    <sheet name="MC" sheetId="52" r:id="rId44"/>
    <sheet name="EXP" sheetId="64" r:id="rId45"/>
    <sheet name="EtK" sheetId="54" r:id="rId46"/>
    <sheet name="EtK-A" sheetId="78" r:id="rId47"/>
    <sheet name="EtK-S" sheetId="72" r:id="rId48"/>
    <sheet name="PWP2" sheetId="74" state="hidden" r:id="rId49"/>
    <sheet name="ATK" sheetId="65" r:id="rId50"/>
    <sheet name="TT" sheetId="71" r:id="rId51"/>
    <sheet name="Text" sheetId="26" r:id="rId52"/>
    <sheet name="Unlock" sheetId="46" r:id="rId53"/>
    <sheet name="A-Comp" sheetId="29" r:id="rId54"/>
    <sheet name="COA OLD" sheetId="37" state="hidden" r:id="rId55"/>
    <sheet name="BAD Abilities" sheetId="38" state="hidden" r:id="rId56"/>
  </sheets>
  <definedNames>
    <definedName name="_xlnm._FilterDatabase" localSheetId="8">'A-A'!$A$1:$G$488</definedName>
    <definedName name="_xlnm._FilterDatabase" localSheetId="9" hidden="1">'A-A Archive'!$A$1:$G$1201</definedName>
    <definedName name="_xlnm._FilterDatabase" localSheetId="10" hidden="1">'A-CA'!$A$1:$F$202</definedName>
    <definedName name="_xlnm._FilterDatabase" localSheetId="6" hidden="1">ADV!$A$1:$AE$299</definedName>
    <definedName name="_xlnm._FilterDatabase" localSheetId="1" hidden="1">Analysis!$I$23:$J$129</definedName>
    <definedName name="_xlnm._FilterDatabase" localSheetId="2" hidden="1">'Analysis OLD'!$G$21:$H$127</definedName>
    <definedName name="_xlnm._FilterDatabase" localSheetId="7" hidden="1">'A-S'!$A$1:$P$597</definedName>
    <definedName name="_xlnm._FilterDatabase" localSheetId="35" hidden="1">CAMP!$A$1:$S$516</definedName>
    <definedName name="_xlnm._FilterDatabase" localSheetId="15" hidden="1">'D-A'!$A$1:$F$230</definedName>
    <definedName name="_xlnm._FilterDatabase" localSheetId="13" hidden="1">DRA!$A$1:$T$152</definedName>
    <definedName name="_xlnm._FilterDatabase" localSheetId="14" hidden="1">'D-S'!$A$1:$L$140</definedName>
    <definedName name="_xlnm._FilterDatabase" localSheetId="38" hidden="1">Endvr!$A$2:$K$1791</definedName>
    <definedName name="_xlnm._FilterDatabase" localSheetId="47" hidden="1">'EtK-S'!$B$1:$E$20</definedName>
    <definedName name="_xlnm._FilterDatabase" localSheetId="41" hidden="1">Facility!$A$1:$G$246</definedName>
    <definedName name="_xlnm._FilterDatabase" localSheetId="42" hidden="1">Mats!$B$1:$M$21</definedName>
    <definedName name="_xlnm._FilterDatabase" localSheetId="39" hidden="1">'N-Endvr'!$A$2:$H$2</definedName>
    <definedName name="_xlnm._FilterDatabase" localSheetId="33" hidden="1">PWP!$B$1:$T$501</definedName>
    <definedName name="_xlnm._FilterDatabase" localSheetId="37" hidden="1">QDrop!$A$1:$Q$78</definedName>
    <definedName name="_xlnm._FilterDatabase" localSheetId="36" hidden="1">Quest!$A$1:$Q$1806</definedName>
    <definedName name="_xlnm._FilterDatabase" localSheetId="40" hidden="1">RR!$A$1:$G$96</definedName>
    <definedName name="_xlnm._FilterDatabase" localSheetId="52" hidden="1">Unlock!$A$2:$S$797</definedName>
    <definedName name="_xlnm._FilterDatabase" localSheetId="19" hidden="1">WEAP!$A$1:$Q$301</definedName>
    <definedName name="_xlnm._FilterDatabase" localSheetId="27" hidden="1">WP!$B$2:$AA$352</definedName>
    <definedName name="_xlnm._FilterDatabase" localSheetId="28">'WP-A'!$A$1:$G$254</definedName>
    <definedName name="_xlnm._FilterDatabase" localSheetId="29" hidden="1">'WP-AC'!$A$2:$F$104</definedName>
    <definedName name="_xlnm._FilterDatabase" localSheetId="20" hidden="1">'W-S'!$A$1:$M$208</definedName>
    <definedName name="_xlnm._FilterDatabase" localSheetId="21" hidden="1">'W-S OLD'!$A$1:$M$207</definedName>
    <definedName name="_xlnm._FilterDatabase" localSheetId="23" hidden="1">'W-U'!$A$1:$H$766</definedName>
    <definedName name="_xlnm.Print_Area" localSheetId="53">'A-Comp'!$A$1:$P$23</definedName>
    <definedName name="_xlnm.Print_Area" localSheetId="41">Facility!$A:$G</definedName>
    <definedName name="_xlnm.Print_Area" localSheetId="32">'PWP-Print'!$C:$U</definedName>
    <definedName name="_xlnm.Print_Area" localSheetId="31">'PWP-Print BACKUP'!$C:$U</definedName>
    <definedName name="_xlnm.Print_Area" localSheetId="37">QDrop!$AX:$BK</definedName>
    <definedName name="_xlnm.Print_Area" localSheetId="50">TT!$J:$R</definedName>
    <definedName name="_xlnm.Print_Area" localSheetId="26">'WP-Print'!$B:$R</definedName>
    <definedName name="_xlnm.Print_Area" localSheetId="18">'W-Print'!$B:$M</definedName>
    <definedName name="_xlnm.Print_Area" localSheetId="17">'W-Print BACKUP'!$2:$37</definedName>
    <definedName name="_xlnm.Print_Area" localSheetId="23">'W-U'!$A:$G</definedName>
    <definedName name="_xlnm.Print_Titles" localSheetId="49">ATK!$1:$1</definedName>
    <definedName name="_xlnm.Print_Titles" localSheetId="13">DRA!$1:$1</definedName>
    <definedName name="_xlnm.Print_Titles" localSheetId="38">Endvr!$1:$2</definedName>
    <definedName name="_xlnm.Print_Titles" localSheetId="46">'EtK-A'!$1:$1</definedName>
    <definedName name="_xlnm.Print_Titles" localSheetId="47">'EtK-S'!$1:$1</definedName>
    <definedName name="_xlnm.Print_Titles" localSheetId="41">Facility!$1:$1</definedName>
    <definedName name="_xlnm.Print_Titles" localSheetId="42">Mats!$1:$1</definedName>
    <definedName name="_xlnm.Print_Titles" localSheetId="39">'N-Endvr'!$1:$2</definedName>
    <definedName name="_xlnm.Print_Titles" localSheetId="33">PWP!$1:$1</definedName>
    <definedName name="_xlnm.Print_Titles" localSheetId="32">'PWP-Print'!$1:$3</definedName>
    <definedName name="_xlnm.Print_Titles" localSheetId="31">'PWP-Print BACKUP'!$1:$3</definedName>
    <definedName name="_xlnm.Print_Titles" localSheetId="37">QDrop!$1:$1</definedName>
    <definedName name="_xlnm.Print_Titles" localSheetId="36">Quest!$1:$1</definedName>
    <definedName name="_xlnm.Print_Titles" localSheetId="40">RR!$1:$1</definedName>
    <definedName name="_xlnm.Print_Titles" localSheetId="50">TT!$1:$1</definedName>
    <definedName name="_xlnm.Print_Titles" localSheetId="22">'W-A'!$1:$1</definedName>
    <definedName name="_xlnm.Print_Titles" localSheetId="19">WEAP!$1:$1</definedName>
    <definedName name="_xlnm.Print_Titles" localSheetId="27">WP!$1:$2</definedName>
    <definedName name="_xlnm.Print_Titles" localSheetId="29">'WP-AC'!$1:$2</definedName>
    <definedName name="_xlnm.Print_Titles" localSheetId="26">'WP-Print'!$1:$3</definedName>
    <definedName name="_xlnm.Print_Titles" localSheetId="25">'WP-Print BACKUP'!$1:$1</definedName>
    <definedName name="_xlnm.Print_Titles" localSheetId="18">'W-Print'!$1:$3</definedName>
    <definedName name="_xlnm.Print_Titles" localSheetId="23">'W-U'!$1:$1</definedName>
  </definedName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11" i="93" l="1"/>
  <c r="C8" i="93"/>
  <c r="C5" i="93"/>
  <c r="C3" i="93"/>
  <c r="C1" i="93"/>
  <c r="A21" i="93"/>
  <c r="H20" i="93"/>
  <c r="H17" i="93"/>
  <c r="H3" i="93"/>
  <c r="G6" i="93" s="1"/>
  <c r="A3" i="93"/>
  <c r="A26" i="93" s="1"/>
  <c r="K145" i="41"/>
  <c r="K144" i="41"/>
  <c r="K143" i="41"/>
  <c r="K142" i="41"/>
  <c r="K141" i="41"/>
  <c r="K140" i="41"/>
  <c r="K139" i="41"/>
  <c r="K138" i="41"/>
  <c r="K137" i="41"/>
  <c r="K136" i="41"/>
  <c r="F35" i="53"/>
  <c r="K35" i="53"/>
  <c r="J35" i="53"/>
  <c r="E35" i="53"/>
  <c r="D35" i="53"/>
  <c r="A8" i="53"/>
  <c r="A9" i="53"/>
  <c r="A10" i="53"/>
  <c r="A11" i="53"/>
  <c r="A12" i="53"/>
  <c r="A13" i="53"/>
  <c r="A14" i="53"/>
  <c r="A15" i="53"/>
  <c r="A16" i="53"/>
  <c r="A17" i="53"/>
  <c r="A18" i="53"/>
  <c r="A19" i="53"/>
  <c r="A20" i="53"/>
  <c r="A21" i="53"/>
  <c r="A22" i="53"/>
  <c r="A23" i="53"/>
  <c r="A24" i="53"/>
  <c r="A25" i="53"/>
  <c r="A26" i="53"/>
  <c r="A27" i="53"/>
  <c r="A28" i="53"/>
  <c r="A29" i="53"/>
  <c r="A30" i="53"/>
  <c r="A31" i="53"/>
  <c r="A32" i="53"/>
  <c r="A33" i="53"/>
  <c r="A34" i="53"/>
  <c r="A7" i="53"/>
  <c r="A6" i="53"/>
  <c r="A5" i="53"/>
  <c r="A4" i="53"/>
  <c r="A3" i="53"/>
  <c r="A2" i="53"/>
  <c r="Q1793" i="59"/>
  <c r="P1793" i="59"/>
  <c r="O1793" i="59"/>
  <c r="Q1792" i="59"/>
  <c r="P1792" i="59"/>
  <c r="O1792" i="59"/>
  <c r="Q1791" i="59"/>
  <c r="P1791" i="59"/>
  <c r="O1791" i="59"/>
  <c r="Q1790" i="59"/>
  <c r="P1790" i="59"/>
  <c r="O1790" i="59"/>
  <c r="Q1789" i="59"/>
  <c r="P1789" i="59"/>
  <c r="O1789" i="59"/>
  <c r="A6" i="93" l="1"/>
  <c r="A13" i="93"/>
  <c r="G35" i="53"/>
  <c r="L35" i="53"/>
  <c r="E239" i="78"/>
  <c r="D239" i="78"/>
  <c r="G53" i="64"/>
  <c r="N5" i="64"/>
  <c r="M5" i="64"/>
  <c r="B53" i="52"/>
  <c r="F2" i="53"/>
  <c r="O278" i="61"/>
  <c r="O277" i="61"/>
  <c r="O276" i="61"/>
  <c r="O275" i="61"/>
  <c r="O274" i="61"/>
  <c r="O273" i="61"/>
  <c r="O272" i="61"/>
  <c r="O271" i="61"/>
  <c r="O270" i="61"/>
  <c r="C940" i="88"/>
  <c r="M932" i="88"/>
  <c r="M928" i="88"/>
  <c r="M924" i="88"/>
  <c r="M920" i="88"/>
  <c r="C956" i="88"/>
  <c r="C952" i="88"/>
  <c r="C948" i="88"/>
  <c r="C960" i="88"/>
  <c r="C944" i="88"/>
  <c r="M912" i="88"/>
  <c r="M904" i="88"/>
  <c r="M908" i="88"/>
  <c r="M896" i="88"/>
  <c r="M892" i="88"/>
  <c r="M888" i="88"/>
  <c r="M916" i="88"/>
  <c r="C636" i="88"/>
  <c r="M620" i="88"/>
  <c r="A62" i="92"/>
  <c r="E60" i="92" s="1"/>
  <c r="E56" i="92"/>
  <c r="A10" i="92"/>
  <c r="E8" i="92" s="1"/>
  <c r="E4" i="92"/>
  <c r="F3" i="69"/>
  <c r="E3" i="69"/>
  <c r="D3" i="69"/>
  <c r="F18" i="84"/>
  <c r="P1007" i="86"/>
  <c r="B1048" i="86"/>
  <c r="D1048" i="86" s="1"/>
  <c r="P1031" i="86"/>
  <c r="B1039" i="86"/>
  <c r="D1039" i="86" s="1"/>
  <c r="B1045" i="86"/>
  <c r="D1045" i="86" s="1"/>
  <c r="B1051" i="86"/>
  <c r="D1051" i="86" s="1"/>
  <c r="P1019" i="86"/>
  <c r="B1042" i="86"/>
  <c r="D1042" i="86" s="1"/>
  <c r="B1036" i="86"/>
  <c r="D1036" i="86" s="1"/>
  <c r="M351" i="47"/>
  <c r="F320" i="70"/>
  <c r="A1007" i="86"/>
  <c r="F1007" i="86" s="1"/>
  <c r="H7" i="91"/>
  <c r="F7" i="91" s="1"/>
  <c r="N4" i="91"/>
  <c r="M4" i="91"/>
  <c r="L4" i="91"/>
  <c r="F4" i="91"/>
  <c r="K4" i="91" s="1"/>
  <c r="N3" i="91"/>
  <c r="L3" i="91"/>
  <c r="K3" i="91"/>
  <c r="F3" i="91"/>
  <c r="W183" i="61"/>
  <c r="O268" i="61"/>
  <c r="F768" i="61"/>
  <c r="D40" i="63"/>
  <c r="D39" i="63"/>
  <c r="D38" i="63"/>
  <c r="D37" i="63"/>
  <c r="D36" i="63"/>
  <c r="D35" i="63"/>
  <c r="D34" i="63"/>
  <c r="D33" i="63"/>
  <c r="D32" i="63"/>
  <c r="D31" i="63"/>
  <c r="D30" i="63"/>
  <c r="D29" i="63"/>
  <c r="D28" i="63"/>
  <c r="D27" i="63"/>
  <c r="D26" i="63"/>
  <c r="E23" i="63"/>
  <c r="E22" i="63"/>
  <c r="E21" i="63"/>
  <c r="E20" i="63"/>
  <c r="E19" i="63"/>
  <c r="E18" i="63"/>
  <c r="E17" i="63"/>
  <c r="E16" i="63"/>
  <c r="E15" i="63"/>
  <c r="E14" i="63"/>
  <c r="E13" i="63"/>
  <c r="E12" i="63"/>
  <c r="E11" i="63"/>
  <c r="E10" i="63"/>
  <c r="E9" i="63"/>
  <c r="E8" i="63"/>
  <c r="E7" i="63"/>
  <c r="E6" i="63"/>
  <c r="E5" i="63"/>
  <c r="E4" i="63"/>
  <c r="E3" i="63"/>
  <c r="E2" i="63"/>
  <c r="E24" i="63"/>
  <c r="E25" i="63"/>
  <c r="A2069" i="83"/>
  <c r="B2069" i="83" s="1"/>
  <c r="A2034" i="83"/>
  <c r="A2041" i="83" s="1"/>
  <c r="A1999" i="83"/>
  <c r="A2006" i="83" s="1"/>
  <c r="A1964" i="83"/>
  <c r="A1971" i="83" s="1"/>
  <c r="A1929" i="83"/>
  <c r="B1929" i="83" s="1"/>
  <c r="A1894" i="83"/>
  <c r="B1894" i="83" s="1"/>
  <c r="A1859" i="83"/>
  <c r="B1859" i="83" s="1"/>
  <c r="A1824" i="83"/>
  <c r="A1831" i="83" s="1"/>
  <c r="A1789" i="83"/>
  <c r="A1796" i="83" s="1"/>
  <c r="A1754" i="83"/>
  <c r="B1754" i="83" s="1"/>
  <c r="A1684" i="83"/>
  <c r="B1684" i="83" s="1"/>
  <c r="A1614" i="83"/>
  <c r="B1614" i="83" s="1"/>
  <c r="A1544" i="83"/>
  <c r="B1544" i="83" s="1"/>
  <c r="A1404" i="83"/>
  <c r="B1404" i="83" s="1"/>
  <c r="A1264" i="83"/>
  <c r="B1264" i="83" s="1"/>
  <c r="A1124" i="83"/>
  <c r="B1124" i="83" s="1"/>
  <c r="A1054" i="83"/>
  <c r="B1054" i="83" s="1"/>
  <c r="A984" i="83"/>
  <c r="B984" i="83" s="1"/>
  <c r="A914" i="83"/>
  <c r="B914" i="83" s="1"/>
  <c r="A844" i="83"/>
  <c r="B844" i="83" s="1"/>
  <c r="A774" i="83"/>
  <c r="B774" i="83" s="1"/>
  <c r="A704" i="83"/>
  <c r="B704" i="83" s="1"/>
  <c r="A634" i="83"/>
  <c r="B634" i="83" s="1"/>
  <c r="A564" i="83"/>
  <c r="B564" i="83" s="1"/>
  <c r="A494" i="83"/>
  <c r="B494" i="83" s="1"/>
  <c r="A424" i="83"/>
  <c r="B424" i="83" s="1"/>
  <c r="A354" i="83"/>
  <c r="B354" i="83" s="1"/>
  <c r="A284" i="83"/>
  <c r="B284" i="83" s="1"/>
  <c r="A249" i="83"/>
  <c r="A256" i="83" s="1"/>
  <c r="A214" i="83"/>
  <c r="B214" i="83" s="1"/>
  <c r="A179" i="83"/>
  <c r="A186" i="83" s="1"/>
  <c r="A144" i="83"/>
  <c r="B144" i="83" s="1"/>
  <c r="A109" i="83"/>
  <c r="A116" i="83" s="1"/>
  <c r="A74" i="83"/>
  <c r="A81" i="83" s="1"/>
  <c r="A11" i="90"/>
  <c r="A18" i="90" s="1"/>
  <c r="B4" i="90"/>
  <c r="B5" i="90" s="1"/>
  <c r="K2" i="41"/>
  <c r="E4" i="88"/>
  <c r="G6" i="88" s="1"/>
  <c r="A10" i="88"/>
  <c r="E8" i="88" s="1"/>
  <c r="G10" i="88" s="1"/>
  <c r="B4" i="83"/>
  <c r="A11" i="83"/>
  <c r="A18" i="83" s="1"/>
  <c r="G17" i="93" l="1"/>
  <c r="G18" i="93"/>
  <c r="G22" i="93"/>
  <c r="G20" i="93"/>
  <c r="G3" i="93"/>
  <c r="J60" i="92"/>
  <c r="I60" i="92" s="1"/>
  <c r="E62" i="92"/>
  <c r="E61" i="92"/>
  <c r="C60" i="92" s="1"/>
  <c r="G62" i="92"/>
  <c r="J61" i="92"/>
  <c r="I61" i="92" s="1"/>
  <c r="G61" i="92"/>
  <c r="G10" i="92"/>
  <c r="G9" i="92"/>
  <c r="J56" i="92"/>
  <c r="I56" i="92" s="1"/>
  <c r="J9" i="92"/>
  <c r="I9" i="92" s="1"/>
  <c r="A14" i="92"/>
  <c r="G57" i="92"/>
  <c r="E57" i="92"/>
  <c r="C56" i="92" s="1"/>
  <c r="J8" i="92"/>
  <c r="I8" i="92" s="1"/>
  <c r="G6" i="92"/>
  <c r="E5" i="92"/>
  <c r="C4" i="92" s="1"/>
  <c r="E6" i="92"/>
  <c r="J4" i="92"/>
  <c r="I4" i="92" s="1"/>
  <c r="G5" i="92"/>
  <c r="A66" i="92"/>
  <c r="E58" i="92"/>
  <c r="J57" i="92"/>
  <c r="I57" i="92" s="1"/>
  <c r="J5" i="92"/>
  <c r="I5" i="92" s="1"/>
  <c r="E9" i="92"/>
  <c r="C8" i="92" s="1"/>
  <c r="G58" i="92"/>
  <c r="E10" i="92"/>
  <c r="N6" i="91"/>
  <c r="M6" i="91"/>
  <c r="N7" i="91"/>
  <c r="L6" i="91"/>
  <c r="M7" i="91"/>
  <c r="K6" i="91"/>
  <c r="L7" i="91"/>
  <c r="F6" i="91"/>
  <c r="K7" i="91"/>
  <c r="G7" i="91"/>
  <c r="M3" i="91"/>
  <c r="H10" i="91"/>
  <c r="G4" i="91"/>
  <c r="D2070" i="83"/>
  <c r="B2070" i="83"/>
  <c r="A2076" i="83"/>
  <c r="A2048" i="83"/>
  <c r="B2041" i="83"/>
  <c r="B2034" i="83"/>
  <c r="B2006" i="83"/>
  <c r="A2013" i="83"/>
  <c r="B1999" i="83"/>
  <c r="A1978" i="83"/>
  <c r="B1971" i="83"/>
  <c r="B1964" i="83"/>
  <c r="D1930" i="83"/>
  <c r="B1930" i="83"/>
  <c r="A1936" i="83"/>
  <c r="D1895" i="83"/>
  <c r="B1895" i="83"/>
  <c r="A1901" i="83"/>
  <c r="D1860" i="83"/>
  <c r="B1860" i="83"/>
  <c r="A1866" i="83"/>
  <c r="A1838" i="83"/>
  <c r="B1831" i="83"/>
  <c r="B1824" i="83"/>
  <c r="A1803" i="83"/>
  <c r="B1796" i="83"/>
  <c r="B1789" i="83"/>
  <c r="D1755" i="83"/>
  <c r="B1755" i="83"/>
  <c r="A1761" i="83"/>
  <c r="D1685" i="83"/>
  <c r="B1685" i="83"/>
  <c r="A1691" i="83"/>
  <c r="B1615" i="83"/>
  <c r="D1615" i="83"/>
  <c r="A1621" i="83"/>
  <c r="D1545" i="83"/>
  <c r="B1545" i="83"/>
  <c r="A1551" i="83"/>
  <c r="D1405" i="83"/>
  <c r="B1405" i="83"/>
  <c r="A1411" i="83"/>
  <c r="D1265" i="83"/>
  <c r="B1265" i="83"/>
  <c r="A1271" i="83"/>
  <c r="D1125" i="83"/>
  <c r="B1125" i="83"/>
  <c r="A1131" i="83"/>
  <c r="D1055" i="83"/>
  <c r="B1055" i="83"/>
  <c r="A1061" i="83"/>
  <c r="D985" i="83"/>
  <c r="B985" i="83"/>
  <c r="A991" i="83"/>
  <c r="D915" i="83"/>
  <c r="B915" i="83"/>
  <c r="A921" i="83"/>
  <c r="D845" i="83"/>
  <c r="B845" i="83"/>
  <c r="A851" i="83"/>
  <c r="D775" i="83"/>
  <c r="B775" i="83"/>
  <c r="A781" i="83"/>
  <c r="D705" i="83"/>
  <c r="B705" i="83"/>
  <c r="A711" i="83"/>
  <c r="D635" i="83"/>
  <c r="B635" i="83"/>
  <c r="A641" i="83"/>
  <c r="D565" i="83"/>
  <c r="B565" i="83"/>
  <c r="A571" i="83"/>
  <c r="D495" i="83"/>
  <c r="B495" i="83"/>
  <c r="A501" i="83"/>
  <c r="D425" i="83"/>
  <c r="B425" i="83"/>
  <c r="A431" i="83"/>
  <c r="D355" i="83"/>
  <c r="B355" i="83"/>
  <c r="A361" i="83"/>
  <c r="B285" i="83"/>
  <c r="D285" i="83"/>
  <c r="A291" i="83"/>
  <c r="A263" i="83"/>
  <c r="B256" i="83"/>
  <c r="B249" i="83"/>
  <c r="D215" i="83"/>
  <c r="B215" i="83"/>
  <c r="A221" i="83"/>
  <c r="A193" i="83"/>
  <c r="B186" i="83"/>
  <c r="B179" i="83"/>
  <c r="D145" i="83"/>
  <c r="B145" i="83"/>
  <c r="A151" i="83"/>
  <c r="B116" i="83"/>
  <c r="A123" i="83"/>
  <c r="B109" i="83"/>
  <c r="A88" i="83"/>
  <c r="B81" i="83"/>
  <c r="B74" i="83"/>
  <c r="D6" i="90"/>
  <c r="G9" i="90"/>
  <c r="B6" i="90"/>
  <c r="I4" i="90"/>
  <c r="F8" i="90"/>
  <c r="F9" i="90"/>
  <c r="G8" i="90"/>
  <c r="D4" i="90"/>
  <c r="B18" i="90"/>
  <c r="A25" i="90"/>
  <c r="B11" i="90"/>
  <c r="D5" i="90"/>
  <c r="J9" i="88"/>
  <c r="I9" i="88" s="1"/>
  <c r="J4" i="88"/>
  <c r="I4" i="88" s="1"/>
  <c r="J5" i="88"/>
  <c r="I5" i="88" s="1"/>
  <c r="J8" i="88"/>
  <c r="I8" i="88" s="1"/>
  <c r="A14" i="88"/>
  <c r="A25" i="83"/>
  <c r="A32" i="83" s="1"/>
  <c r="A39" i="83" s="1"/>
  <c r="A46" i="83" s="1"/>
  <c r="A53" i="83" s="1"/>
  <c r="B53" i="83" s="1"/>
  <c r="B18" i="83"/>
  <c r="D19" i="83" s="1"/>
  <c r="B11" i="83"/>
  <c r="D12" i="83" s="1"/>
  <c r="A3" i="89"/>
  <c r="A27" i="89" s="1"/>
  <c r="E10" i="88"/>
  <c r="G9" i="88"/>
  <c r="E9" i="88"/>
  <c r="C8" i="88" s="1"/>
  <c r="K8" i="88"/>
  <c r="G8" i="88"/>
  <c r="G5" i="88"/>
  <c r="E6" i="88"/>
  <c r="E5" i="88"/>
  <c r="C4" i="88" s="1"/>
  <c r="E497" i="73"/>
  <c r="R3" i="73"/>
  <c r="S3" i="73"/>
  <c r="K9" i="88" s="1"/>
  <c r="R4" i="73"/>
  <c r="S4" i="73"/>
  <c r="R5" i="73"/>
  <c r="S5" i="73"/>
  <c r="R6" i="73"/>
  <c r="S6" i="73"/>
  <c r="R7" i="73"/>
  <c r="S7" i="73"/>
  <c r="R8" i="73"/>
  <c r="S8" i="73"/>
  <c r="R9" i="73"/>
  <c r="S9" i="73"/>
  <c r="R10" i="73"/>
  <c r="S10" i="73"/>
  <c r="R11" i="73"/>
  <c r="S11" i="73"/>
  <c r="R12" i="73"/>
  <c r="S12" i="73"/>
  <c r="R13" i="73"/>
  <c r="S13" i="73"/>
  <c r="R14" i="73"/>
  <c r="S14" i="73"/>
  <c r="R15" i="73"/>
  <c r="S15" i="73"/>
  <c r="R16" i="73"/>
  <c r="S16" i="73"/>
  <c r="R17" i="73"/>
  <c r="S17" i="73"/>
  <c r="R18" i="73"/>
  <c r="S18" i="73"/>
  <c r="R19" i="73"/>
  <c r="S19" i="73"/>
  <c r="R20" i="73"/>
  <c r="S20" i="73"/>
  <c r="R21" i="73"/>
  <c r="S21" i="73"/>
  <c r="R22" i="73"/>
  <c r="S22" i="73"/>
  <c r="R23" i="73"/>
  <c r="S23" i="73"/>
  <c r="R24" i="73"/>
  <c r="S24" i="73"/>
  <c r="R25" i="73"/>
  <c r="S25" i="73"/>
  <c r="R26" i="73"/>
  <c r="S26" i="73"/>
  <c r="R27" i="73"/>
  <c r="K4" i="92" s="1"/>
  <c r="S27" i="73"/>
  <c r="K57" i="92" s="1"/>
  <c r="R28" i="73"/>
  <c r="K8" i="92" s="1"/>
  <c r="S28" i="73"/>
  <c r="K61" i="92" s="1"/>
  <c r="R29" i="73"/>
  <c r="S29" i="73"/>
  <c r="R30" i="73"/>
  <c r="S30" i="73"/>
  <c r="R31" i="73"/>
  <c r="S31" i="73"/>
  <c r="R32" i="73"/>
  <c r="S32" i="73"/>
  <c r="R33" i="73"/>
  <c r="S33" i="73"/>
  <c r="R34" i="73"/>
  <c r="S34" i="73"/>
  <c r="R35" i="73"/>
  <c r="S35" i="73"/>
  <c r="R36" i="73"/>
  <c r="S36" i="73"/>
  <c r="R37" i="73"/>
  <c r="S37" i="73"/>
  <c r="R38" i="73"/>
  <c r="S38" i="73"/>
  <c r="R39" i="73"/>
  <c r="S39" i="73"/>
  <c r="R40" i="73"/>
  <c r="S40" i="73"/>
  <c r="R41" i="73"/>
  <c r="S41" i="73"/>
  <c r="R42" i="73"/>
  <c r="S42" i="73"/>
  <c r="R43" i="73"/>
  <c r="S43" i="73"/>
  <c r="R44" i="73"/>
  <c r="S44" i="73"/>
  <c r="R45" i="73"/>
  <c r="S45" i="73"/>
  <c r="R46" i="73"/>
  <c r="S46" i="73"/>
  <c r="R47" i="73"/>
  <c r="S47" i="73"/>
  <c r="R48" i="73"/>
  <c r="S48" i="73"/>
  <c r="R49" i="73"/>
  <c r="S49" i="73"/>
  <c r="R50" i="73"/>
  <c r="S50" i="73"/>
  <c r="R51" i="73"/>
  <c r="S51" i="73"/>
  <c r="R52" i="73"/>
  <c r="S52" i="73"/>
  <c r="R53" i="73"/>
  <c r="S53" i="73"/>
  <c r="R54" i="73"/>
  <c r="S54" i="73"/>
  <c r="R55" i="73"/>
  <c r="S55" i="73"/>
  <c r="R56" i="73"/>
  <c r="S56" i="73"/>
  <c r="R57" i="73"/>
  <c r="S57" i="73"/>
  <c r="R58" i="73"/>
  <c r="S58" i="73"/>
  <c r="R59" i="73"/>
  <c r="S59" i="73"/>
  <c r="R60" i="73"/>
  <c r="S60" i="73"/>
  <c r="R61" i="73"/>
  <c r="S61" i="73"/>
  <c r="R62" i="73"/>
  <c r="S62" i="73"/>
  <c r="R63" i="73"/>
  <c r="S63" i="73"/>
  <c r="R64" i="73"/>
  <c r="S64" i="73"/>
  <c r="R65" i="73"/>
  <c r="S65" i="73"/>
  <c r="R66" i="73"/>
  <c r="S66" i="73"/>
  <c r="R67" i="73"/>
  <c r="S67" i="73"/>
  <c r="R68" i="73"/>
  <c r="S68" i="73"/>
  <c r="R69" i="73"/>
  <c r="S69" i="73"/>
  <c r="R70" i="73"/>
  <c r="S70" i="73"/>
  <c r="R71" i="73"/>
  <c r="S71" i="73"/>
  <c r="R72" i="73"/>
  <c r="S72" i="73"/>
  <c r="R73" i="73"/>
  <c r="S73" i="73"/>
  <c r="R74" i="73"/>
  <c r="S74" i="73"/>
  <c r="R75" i="73"/>
  <c r="S75" i="73"/>
  <c r="R76" i="73"/>
  <c r="S76" i="73"/>
  <c r="R77" i="73"/>
  <c r="S77" i="73"/>
  <c r="R78" i="73"/>
  <c r="S78" i="73"/>
  <c r="R79" i="73"/>
  <c r="S79" i="73"/>
  <c r="R80" i="73"/>
  <c r="S80" i="73"/>
  <c r="R81" i="73"/>
  <c r="S81" i="73"/>
  <c r="R82" i="73"/>
  <c r="S82" i="73"/>
  <c r="R83" i="73"/>
  <c r="S83" i="73"/>
  <c r="R84" i="73"/>
  <c r="S84" i="73"/>
  <c r="R85" i="73"/>
  <c r="S85" i="73"/>
  <c r="R86" i="73"/>
  <c r="S86" i="73"/>
  <c r="R87" i="73"/>
  <c r="S87" i="73"/>
  <c r="R88" i="73"/>
  <c r="S88" i="73"/>
  <c r="R89" i="73"/>
  <c r="S89" i="73"/>
  <c r="R90" i="73"/>
  <c r="S90" i="73"/>
  <c r="R91" i="73"/>
  <c r="S91" i="73"/>
  <c r="R92" i="73"/>
  <c r="S92" i="73"/>
  <c r="R93" i="73"/>
  <c r="S93" i="73"/>
  <c r="R94" i="73"/>
  <c r="S94" i="73"/>
  <c r="R95" i="73"/>
  <c r="S95" i="73"/>
  <c r="R96" i="73"/>
  <c r="S96" i="73"/>
  <c r="R97" i="73"/>
  <c r="S97" i="73"/>
  <c r="R98" i="73"/>
  <c r="S98" i="73"/>
  <c r="R99" i="73"/>
  <c r="S99" i="73"/>
  <c r="R100" i="73"/>
  <c r="S100" i="73"/>
  <c r="R101" i="73"/>
  <c r="S101" i="73"/>
  <c r="R102" i="73"/>
  <c r="S102" i="73"/>
  <c r="R103" i="73"/>
  <c r="S103" i="73"/>
  <c r="R104" i="73"/>
  <c r="S104" i="73"/>
  <c r="R105" i="73"/>
  <c r="S105" i="73"/>
  <c r="R106" i="73"/>
  <c r="S106" i="73"/>
  <c r="R107" i="73"/>
  <c r="S107" i="73"/>
  <c r="R108" i="73"/>
  <c r="S108" i="73"/>
  <c r="R109" i="73"/>
  <c r="S109" i="73"/>
  <c r="R110" i="73"/>
  <c r="S110" i="73"/>
  <c r="R111" i="73"/>
  <c r="S111" i="73"/>
  <c r="R112" i="73"/>
  <c r="S112" i="73"/>
  <c r="R113" i="73"/>
  <c r="S113" i="73"/>
  <c r="R114" i="73"/>
  <c r="S114" i="73"/>
  <c r="R115" i="73"/>
  <c r="S115" i="73"/>
  <c r="R116" i="73"/>
  <c r="S116" i="73"/>
  <c r="R117" i="73"/>
  <c r="S117" i="73"/>
  <c r="R118" i="73"/>
  <c r="S118" i="73"/>
  <c r="R119" i="73"/>
  <c r="S119" i="73"/>
  <c r="R120" i="73"/>
  <c r="S120" i="73"/>
  <c r="R121" i="73"/>
  <c r="S121" i="73"/>
  <c r="R122" i="73"/>
  <c r="S122" i="73"/>
  <c r="R123" i="73"/>
  <c r="S123" i="73"/>
  <c r="R124" i="73"/>
  <c r="S124" i="73"/>
  <c r="R125" i="73"/>
  <c r="S125" i="73"/>
  <c r="R126" i="73"/>
  <c r="S126" i="73"/>
  <c r="R127" i="73"/>
  <c r="S127" i="73"/>
  <c r="R128" i="73"/>
  <c r="S128" i="73"/>
  <c r="R129" i="73"/>
  <c r="S129" i="73"/>
  <c r="R130" i="73"/>
  <c r="S130" i="73"/>
  <c r="R131" i="73"/>
  <c r="S131" i="73"/>
  <c r="R132" i="73"/>
  <c r="S132" i="73"/>
  <c r="R133" i="73"/>
  <c r="S133" i="73"/>
  <c r="R134" i="73"/>
  <c r="S134" i="73"/>
  <c r="R135" i="73"/>
  <c r="S135" i="73"/>
  <c r="R136" i="73"/>
  <c r="S136" i="73"/>
  <c r="R137" i="73"/>
  <c r="S137" i="73"/>
  <c r="R138" i="73"/>
  <c r="S138" i="73"/>
  <c r="R139" i="73"/>
  <c r="S139" i="73"/>
  <c r="R140" i="73"/>
  <c r="S140" i="73"/>
  <c r="R141" i="73"/>
  <c r="S141" i="73"/>
  <c r="R142" i="73"/>
  <c r="S142" i="73"/>
  <c r="R143" i="73"/>
  <c r="S143" i="73"/>
  <c r="R144" i="73"/>
  <c r="S144" i="73"/>
  <c r="R145" i="73"/>
  <c r="S145" i="73"/>
  <c r="R146" i="73"/>
  <c r="S146" i="73"/>
  <c r="R147" i="73"/>
  <c r="S147" i="73"/>
  <c r="R148" i="73"/>
  <c r="S148" i="73"/>
  <c r="R149" i="73"/>
  <c r="S149" i="73"/>
  <c r="R150" i="73"/>
  <c r="S150" i="73"/>
  <c r="R151" i="73"/>
  <c r="S151" i="73"/>
  <c r="R152" i="73"/>
  <c r="S152" i="73"/>
  <c r="R153" i="73"/>
  <c r="S153" i="73"/>
  <c r="R154" i="73"/>
  <c r="S154" i="73"/>
  <c r="R155" i="73"/>
  <c r="S155" i="73"/>
  <c r="R156" i="73"/>
  <c r="S156" i="73"/>
  <c r="R157" i="73"/>
  <c r="S157" i="73"/>
  <c r="R158" i="73"/>
  <c r="S158" i="73"/>
  <c r="R159" i="73"/>
  <c r="S159" i="73"/>
  <c r="R160" i="73"/>
  <c r="S160" i="73"/>
  <c r="R161" i="73"/>
  <c r="S161" i="73"/>
  <c r="R162" i="73"/>
  <c r="S162" i="73"/>
  <c r="R163" i="73"/>
  <c r="S163" i="73"/>
  <c r="R164" i="73"/>
  <c r="S164" i="73"/>
  <c r="R165" i="73"/>
  <c r="S165" i="73"/>
  <c r="R166" i="73"/>
  <c r="S166" i="73"/>
  <c r="R167" i="73"/>
  <c r="S167" i="73"/>
  <c r="R168" i="73"/>
  <c r="S168" i="73"/>
  <c r="R169" i="73"/>
  <c r="S169" i="73"/>
  <c r="R170" i="73"/>
  <c r="S170" i="73"/>
  <c r="R171" i="73"/>
  <c r="S171" i="73"/>
  <c r="R172" i="73"/>
  <c r="S172" i="73"/>
  <c r="R173" i="73"/>
  <c r="S173" i="73"/>
  <c r="R174" i="73"/>
  <c r="S174" i="73"/>
  <c r="R175" i="73"/>
  <c r="S175" i="73"/>
  <c r="R176" i="73"/>
  <c r="S176" i="73"/>
  <c r="R177" i="73"/>
  <c r="S177" i="73"/>
  <c r="R178" i="73"/>
  <c r="S178" i="73"/>
  <c r="R179" i="73"/>
  <c r="S179" i="73"/>
  <c r="R180" i="73"/>
  <c r="S180" i="73"/>
  <c r="R181" i="73"/>
  <c r="S181" i="73"/>
  <c r="R182" i="73"/>
  <c r="S182" i="73"/>
  <c r="R183" i="73"/>
  <c r="S183" i="73"/>
  <c r="R184" i="73"/>
  <c r="S184" i="73"/>
  <c r="R185" i="73"/>
  <c r="S185" i="73"/>
  <c r="R186" i="73"/>
  <c r="S186" i="73"/>
  <c r="R187" i="73"/>
  <c r="S187" i="73"/>
  <c r="R188" i="73"/>
  <c r="S188" i="73"/>
  <c r="R189" i="73"/>
  <c r="S189" i="73"/>
  <c r="R190" i="73"/>
  <c r="S190" i="73"/>
  <c r="R191" i="73"/>
  <c r="S191" i="73"/>
  <c r="R192" i="73"/>
  <c r="S192" i="73"/>
  <c r="R193" i="73"/>
  <c r="S193" i="73"/>
  <c r="R194" i="73"/>
  <c r="S194" i="73"/>
  <c r="R195" i="73"/>
  <c r="S195" i="73"/>
  <c r="R196" i="73"/>
  <c r="S196" i="73"/>
  <c r="R197" i="73"/>
  <c r="S197" i="73"/>
  <c r="R198" i="73"/>
  <c r="S198" i="73"/>
  <c r="R199" i="73"/>
  <c r="S199" i="73"/>
  <c r="R200" i="73"/>
  <c r="S200" i="73"/>
  <c r="R201" i="73"/>
  <c r="S201" i="73"/>
  <c r="R202" i="73"/>
  <c r="S202" i="73"/>
  <c r="R203" i="73"/>
  <c r="S203" i="73"/>
  <c r="R204" i="73"/>
  <c r="S204" i="73"/>
  <c r="R205" i="73"/>
  <c r="S205" i="73"/>
  <c r="R206" i="73"/>
  <c r="S206" i="73"/>
  <c r="R207" i="73"/>
  <c r="S207" i="73"/>
  <c r="R208" i="73"/>
  <c r="S208" i="73"/>
  <c r="R209" i="73"/>
  <c r="S209" i="73"/>
  <c r="R210" i="73"/>
  <c r="S210" i="73"/>
  <c r="R211" i="73"/>
  <c r="S211" i="73"/>
  <c r="R212" i="73"/>
  <c r="S212" i="73"/>
  <c r="R213" i="73"/>
  <c r="S213" i="73"/>
  <c r="R214" i="73"/>
  <c r="S214" i="73"/>
  <c r="R215" i="73"/>
  <c r="S215" i="73"/>
  <c r="R216" i="73"/>
  <c r="S216" i="73"/>
  <c r="R217" i="73"/>
  <c r="S217" i="73"/>
  <c r="R218" i="73"/>
  <c r="S218" i="73"/>
  <c r="R219" i="73"/>
  <c r="S219" i="73"/>
  <c r="R220" i="73"/>
  <c r="S220" i="73"/>
  <c r="R221" i="73"/>
  <c r="S221" i="73"/>
  <c r="R222" i="73"/>
  <c r="S222" i="73"/>
  <c r="R223" i="73"/>
  <c r="S223" i="73"/>
  <c r="R224" i="73"/>
  <c r="S224" i="73"/>
  <c r="R225" i="73"/>
  <c r="S225" i="73"/>
  <c r="R226" i="73"/>
  <c r="S226" i="73"/>
  <c r="R227" i="73"/>
  <c r="S227" i="73"/>
  <c r="R228" i="73"/>
  <c r="S228" i="73"/>
  <c r="R229" i="73"/>
  <c r="S229" i="73"/>
  <c r="R230" i="73"/>
  <c r="S230" i="73"/>
  <c r="R231" i="73"/>
  <c r="S231" i="73"/>
  <c r="R232" i="73"/>
  <c r="S232" i="73"/>
  <c r="R233" i="73"/>
  <c r="S233" i="73"/>
  <c r="R234" i="73"/>
  <c r="S234" i="73"/>
  <c r="R235" i="73"/>
  <c r="S235" i="73"/>
  <c r="R236" i="73"/>
  <c r="S236" i="73"/>
  <c r="R237" i="73"/>
  <c r="S237" i="73"/>
  <c r="R238" i="73"/>
  <c r="S238" i="73"/>
  <c r="R239" i="73"/>
  <c r="S239" i="73"/>
  <c r="R240" i="73"/>
  <c r="S240" i="73"/>
  <c r="R241" i="73"/>
  <c r="S241" i="73"/>
  <c r="R242" i="73"/>
  <c r="S242" i="73"/>
  <c r="R243" i="73"/>
  <c r="S243" i="73"/>
  <c r="R244" i="73"/>
  <c r="S244" i="73"/>
  <c r="R245" i="73"/>
  <c r="S245" i="73"/>
  <c r="R246" i="73"/>
  <c r="S246" i="73"/>
  <c r="R247" i="73"/>
  <c r="S247" i="73"/>
  <c r="R248" i="73"/>
  <c r="S248" i="73"/>
  <c r="R249" i="73"/>
  <c r="S249" i="73"/>
  <c r="R250" i="73"/>
  <c r="S250" i="73"/>
  <c r="R251" i="73"/>
  <c r="S251" i="73"/>
  <c r="R252" i="73"/>
  <c r="S252" i="73"/>
  <c r="R253" i="73"/>
  <c r="S253" i="73"/>
  <c r="R254" i="73"/>
  <c r="S254" i="73"/>
  <c r="R255" i="73"/>
  <c r="S255" i="73"/>
  <c r="R256" i="73"/>
  <c r="S256" i="73"/>
  <c r="R257" i="73"/>
  <c r="S257" i="73"/>
  <c r="R258" i="73"/>
  <c r="S258" i="73"/>
  <c r="R259" i="73"/>
  <c r="S259" i="73"/>
  <c r="R260" i="73"/>
  <c r="S260" i="73"/>
  <c r="R261" i="73"/>
  <c r="S261" i="73"/>
  <c r="R262" i="73"/>
  <c r="S262" i="73"/>
  <c r="R263" i="73"/>
  <c r="S263" i="73"/>
  <c r="R264" i="73"/>
  <c r="S264" i="73"/>
  <c r="R265" i="73"/>
  <c r="S265" i="73"/>
  <c r="R266" i="73"/>
  <c r="S266" i="73"/>
  <c r="R267" i="73"/>
  <c r="S267" i="73"/>
  <c r="R268" i="73"/>
  <c r="S268" i="73"/>
  <c r="R269" i="73"/>
  <c r="S269" i="73"/>
  <c r="R270" i="73"/>
  <c r="S270" i="73"/>
  <c r="R271" i="73"/>
  <c r="S271" i="73"/>
  <c r="R272" i="73"/>
  <c r="S272" i="73"/>
  <c r="R273" i="73"/>
  <c r="S273" i="73"/>
  <c r="R274" i="73"/>
  <c r="S274" i="73"/>
  <c r="R275" i="73"/>
  <c r="S275" i="73"/>
  <c r="R276" i="73"/>
  <c r="S276" i="73"/>
  <c r="R277" i="73"/>
  <c r="S277" i="73"/>
  <c r="R278" i="73"/>
  <c r="S278" i="73"/>
  <c r="R279" i="73"/>
  <c r="S279" i="73"/>
  <c r="R280" i="73"/>
  <c r="S280" i="73"/>
  <c r="R281" i="73"/>
  <c r="S281" i="73"/>
  <c r="R282" i="73"/>
  <c r="S282" i="73"/>
  <c r="R283" i="73"/>
  <c r="S283" i="73"/>
  <c r="R284" i="73"/>
  <c r="S284" i="73"/>
  <c r="R285" i="73"/>
  <c r="S285" i="73"/>
  <c r="R286" i="73"/>
  <c r="S286" i="73"/>
  <c r="R287" i="73"/>
  <c r="S287" i="73"/>
  <c r="R288" i="73"/>
  <c r="S288" i="73"/>
  <c r="R289" i="73"/>
  <c r="S289" i="73"/>
  <c r="R290" i="73"/>
  <c r="S290" i="73"/>
  <c r="R291" i="73"/>
  <c r="S291" i="73"/>
  <c r="R292" i="73"/>
  <c r="S292" i="73"/>
  <c r="R293" i="73"/>
  <c r="S293" i="73"/>
  <c r="R294" i="73"/>
  <c r="S294" i="73"/>
  <c r="R295" i="73"/>
  <c r="S295" i="73"/>
  <c r="R296" i="73"/>
  <c r="S296" i="73"/>
  <c r="R297" i="73"/>
  <c r="S297" i="73"/>
  <c r="R298" i="73"/>
  <c r="S298" i="73"/>
  <c r="R299" i="73"/>
  <c r="S299" i="73"/>
  <c r="R300" i="73"/>
  <c r="S300" i="73"/>
  <c r="R301" i="73"/>
  <c r="S301" i="73"/>
  <c r="R302" i="73"/>
  <c r="S302" i="73"/>
  <c r="R303" i="73"/>
  <c r="S303" i="73"/>
  <c r="R304" i="73"/>
  <c r="S304" i="73"/>
  <c r="R305" i="73"/>
  <c r="S305" i="73"/>
  <c r="R306" i="73"/>
  <c r="S306" i="73"/>
  <c r="R307" i="73"/>
  <c r="S307" i="73"/>
  <c r="R308" i="73"/>
  <c r="S308" i="73"/>
  <c r="R309" i="73"/>
  <c r="S309" i="73"/>
  <c r="R310" i="73"/>
  <c r="S310" i="73"/>
  <c r="R311" i="73"/>
  <c r="S311" i="73"/>
  <c r="R312" i="73"/>
  <c r="S312" i="73"/>
  <c r="R313" i="73"/>
  <c r="S313" i="73"/>
  <c r="R314" i="73"/>
  <c r="S314" i="73"/>
  <c r="R315" i="73"/>
  <c r="S315" i="73"/>
  <c r="R316" i="73"/>
  <c r="S316" i="73"/>
  <c r="R317" i="73"/>
  <c r="S317" i="73"/>
  <c r="R318" i="73"/>
  <c r="S318" i="73"/>
  <c r="R319" i="73"/>
  <c r="S319" i="73"/>
  <c r="R320" i="73"/>
  <c r="S320" i="73"/>
  <c r="R321" i="73"/>
  <c r="S321" i="73"/>
  <c r="R322" i="73"/>
  <c r="S322" i="73"/>
  <c r="R323" i="73"/>
  <c r="S323" i="73"/>
  <c r="R324" i="73"/>
  <c r="S324" i="73"/>
  <c r="R325" i="73"/>
  <c r="S325" i="73"/>
  <c r="R326" i="73"/>
  <c r="S326" i="73"/>
  <c r="R327" i="73"/>
  <c r="S327" i="73"/>
  <c r="R328" i="73"/>
  <c r="S328" i="73"/>
  <c r="R329" i="73"/>
  <c r="S329" i="73"/>
  <c r="R330" i="73"/>
  <c r="S330" i="73"/>
  <c r="R331" i="73"/>
  <c r="S331" i="73"/>
  <c r="R332" i="73"/>
  <c r="S332" i="73"/>
  <c r="R333" i="73"/>
  <c r="S333" i="73"/>
  <c r="R334" i="73"/>
  <c r="S334" i="73"/>
  <c r="R335" i="73"/>
  <c r="S335" i="73"/>
  <c r="R336" i="73"/>
  <c r="S336" i="73"/>
  <c r="R337" i="73"/>
  <c r="S337" i="73"/>
  <c r="R338" i="73"/>
  <c r="S338" i="73"/>
  <c r="R339" i="73"/>
  <c r="S339" i="73"/>
  <c r="R340" i="73"/>
  <c r="S340" i="73"/>
  <c r="R341" i="73"/>
  <c r="S341" i="73"/>
  <c r="R342" i="73"/>
  <c r="S342" i="73"/>
  <c r="R343" i="73"/>
  <c r="S343" i="73"/>
  <c r="R344" i="73"/>
  <c r="S344" i="73"/>
  <c r="R345" i="73"/>
  <c r="S345" i="73"/>
  <c r="R346" i="73"/>
  <c r="S346" i="73"/>
  <c r="R347" i="73"/>
  <c r="S347" i="73"/>
  <c r="R348" i="73"/>
  <c r="S348" i="73"/>
  <c r="R349" i="73"/>
  <c r="S349" i="73"/>
  <c r="R350" i="73"/>
  <c r="S350" i="73"/>
  <c r="R351" i="73"/>
  <c r="S351" i="73"/>
  <c r="R352" i="73"/>
  <c r="S352" i="73"/>
  <c r="R353" i="73"/>
  <c r="S353" i="73"/>
  <c r="R354" i="73"/>
  <c r="S354" i="73"/>
  <c r="R355" i="73"/>
  <c r="S355" i="73"/>
  <c r="R356" i="73"/>
  <c r="S356" i="73"/>
  <c r="R357" i="73"/>
  <c r="S357" i="73"/>
  <c r="R358" i="73"/>
  <c r="S358" i="73"/>
  <c r="R359" i="73"/>
  <c r="S359" i="73"/>
  <c r="R360" i="73"/>
  <c r="S360" i="73"/>
  <c r="R361" i="73"/>
  <c r="S361" i="73"/>
  <c r="R362" i="73"/>
  <c r="S362" i="73"/>
  <c r="R363" i="73"/>
  <c r="S363" i="73"/>
  <c r="R364" i="73"/>
  <c r="S364" i="73"/>
  <c r="R365" i="73"/>
  <c r="S365" i="73"/>
  <c r="R366" i="73"/>
  <c r="S366" i="73"/>
  <c r="R367" i="73"/>
  <c r="S367" i="73"/>
  <c r="R368" i="73"/>
  <c r="S368" i="73"/>
  <c r="R369" i="73"/>
  <c r="S369" i="73"/>
  <c r="R370" i="73"/>
  <c r="S370" i="73"/>
  <c r="R371" i="73"/>
  <c r="S371" i="73"/>
  <c r="R372" i="73"/>
  <c r="S372" i="73"/>
  <c r="R373" i="73"/>
  <c r="S373" i="73"/>
  <c r="R374" i="73"/>
  <c r="S374" i="73"/>
  <c r="R375" i="73"/>
  <c r="S375" i="73"/>
  <c r="R376" i="73"/>
  <c r="S376" i="73"/>
  <c r="R377" i="73"/>
  <c r="S377" i="73"/>
  <c r="R378" i="73"/>
  <c r="S378" i="73"/>
  <c r="R379" i="73"/>
  <c r="S379" i="73"/>
  <c r="R380" i="73"/>
  <c r="S380" i="73"/>
  <c r="R381" i="73"/>
  <c r="S381" i="73"/>
  <c r="R382" i="73"/>
  <c r="S382" i="73"/>
  <c r="R383" i="73"/>
  <c r="S383" i="73"/>
  <c r="R384" i="73"/>
  <c r="S384" i="73"/>
  <c r="R385" i="73"/>
  <c r="S385" i="73"/>
  <c r="R386" i="73"/>
  <c r="S386" i="73"/>
  <c r="R387" i="73"/>
  <c r="S387" i="73"/>
  <c r="R388" i="73"/>
  <c r="S388" i="73"/>
  <c r="R389" i="73"/>
  <c r="S389" i="73"/>
  <c r="R390" i="73"/>
  <c r="S390" i="73"/>
  <c r="R391" i="73"/>
  <c r="S391" i="73"/>
  <c r="R392" i="73"/>
  <c r="S392" i="73"/>
  <c r="R393" i="73"/>
  <c r="S393" i="73"/>
  <c r="R394" i="73"/>
  <c r="S394" i="73"/>
  <c r="R395" i="73"/>
  <c r="S395" i="73"/>
  <c r="R396" i="73"/>
  <c r="S396" i="73"/>
  <c r="R397" i="73"/>
  <c r="S397" i="73"/>
  <c r="R398" i="73"/>
  <c r="S398" i="73"/>
  <c r="R399" i="73"/>
  <c r="S399" i="73"/>
  <c r="R400" i="73"/>
  <c r="S400" i="73"/>
  <c r="R401" i="73"/>
  <c r="S401" i="73"/>
  <c r="R402" i="73"/>
  <c r="S402" i="73"/>
  <c r="R403" i="73"/>
  <c r="S403" i="73"/>
  <c r="R404" i="73"/>
  <c r="S404" i="73"/>
  <c r="R405" i="73"/>
  <c r="S405" i="73"/>
  <c r="R406" i="73"/>
  <c r="S406" i="73"/>
  <c r="R407" i="73"/>
  <c r="S407" i="73"/>
  <c r="R408" i="73"/>
  <c r="S408" i="73"/>
  <c r="R409" i="73"/>
  <c r="S409" i="73"/>
  <c r="R410" i="73"/>
  <c r="S410" i="73"/>
  <c r="R411" i="73"/>
  <c r="S411" i="73"/>
  <c r="R412" i="73"/>
  <c r="S412" i="73"/>
  <c r="R413" i="73"/>
  <c r="S413" i="73"/>
  <c r="R414" i="73"/>
  <c r="S414" i="73"/>
  <c r="R415" i="73"/>
  <c r="S415" i="73"/>
  <c r="R416" i="73"/>
  <c r="S416" i="73"/>
  <c r="R417" i="73"/>
  <c r="S417" i="73"/>
  <c r="R418" i="73"/>
  <c r="S418" i="73"/>
  <c r="R419" i="73"/>
  <c r="S419" i="73"/>
  <c r="R420" i="73"/>
  <c r="S420" i="73"/>
  <c r="R421" i="73"/>
  <c r="S421" i="73"/>
  <c r="R422" i="73"/>
  <c r="S422" i="73"/>
  <c r="R423" i="73"/>
  <c r="S423" i="73"/>
  <c r="R424" i="73"/>
  <c r="S424" i="73"/>
  <c r="R425" i="73"/>
  <c r="S425" i="73"/>
  <c r="R426" i="73"/>
  <c r="S426" i="73"/>
  <c r="R427" i="73"/>
  <c r="S427" i="73"/>
  <c r="R428" i="73"/>
  <c r="S428" i="73"/>
  <c r="R429" i="73"/>
  <c r="S429" i="73"/>
  <c r="R430" i="73"/>
  <c r="S430" i="73"/>
  <c r="R431" i="73"/>
  <c r="S431" i="73"/>
  <c r="R432" i="73"/>
  <c r="S432" i="73"/>
  <c r="R433" i="73"/>
  <c r="S433" i="73"/>
  <c r="R434" i="73"/>
  <c r="S434" i="73"/>
  <c r="R435" i="73"/>
  <c r="S435" i="73"/>
  <c r="R436" i="73"/>
  <c r="S436" i="73"/>
  <c r="R437" i="73"/>
  <c r="S437" i="73"/>
  <c r="R438" i="73"/>
  <c r="S438" i="73"/>
  <c r="R439" i="73"/>
  <c r="S439" i="73"/>
  <c r="R440" i="73"/>
  <c r="S440" i="73"/>
  <c r="R441" i="73"/>
  <c r="S441" i="73"/>
  <c r="R442" i="73"/>
  <c r="S442" i="73"/>
  <c r="R443" i="73"/>
  <c r="S443" i="73"/>
  <c r="R444" i="73"/>
  <c r="S444" i="73"/>
  <c r="R445" i="73"/>
  <c r="S445" i="73"/>
  <c r="R446" i="73"/>
  <c r="S446" i="73"/>
  <c r="R447" i="73"/>
  <c r="S447" i="73"/>
  <c r="R448" i="73"/>
  <c r="S448" i="73"/>
  <c r="R449" i="73"/>
  <c r="S449" i="73"/>
  <c r="R450" i="73"/>
  <c r="S450" i="73"/>
  <c r="R451" i="73"/>
  <c r="S451" i="73"/>
  <c r="R452" i="73"/>
  <c r="S452" i="73"/>
  <c r="R453" i="73"/>
  <c r="S453" i="73"/>
  <c r="R454" i="73"/>
  <c r="S454" i="73"/>
  <c r="R455" i="73"/>
  <c r="S455" i="73"/>
  <c r="R456" i="73"/>
  <c r="S456" i="73"/>
  <c r="R457" i="73"/>
  <c r="S457" i="73"/>
  <c r="R469" i="73"/>
  <c r="S469" i="73"/>
  <c r="R458" i="73"/>
  <c r="S458" i="73"/>
  <c r="R459" i="73"/>
  <c r="S459" i="73"/>
  <c r="R460" i="73"/>
  <c r="S460" i="73"/>
  <c r="R461" i="73"/>
  <c r="S461" i="73"/>
  <c r="R462" i="73"/>
  <c r="S462" i="73"/>
  <c r="R463" i="73"/>
  <c r="S463" i="73"/>
  <c r="R464" i="73"/>
  <c r="S464" i="73"/>
  <c r="R465" i="73"/>
  <c r="S465" i="73"/>
  <c r="R466" i="73"/>
  <c r="S466" i="73"/>
  <c r="R467" i="73"/>
  <c r="S467" i="73"/>
  <c r="R468" i="73"/>
  <c r="S468" i="73"/>
  <c r="R470" i="73"/>
  <c r="S470" i="73"/>
  <c r="R471" i="73"/>
  <c r="S471" i="73"/>
  <c r="R472" i="73"/>
  <c r="S472" i="73"/>
  <c r="R473" i="73"/>
  <c r="S473" i="73"/>
  <c r="R474" i="73"/>
  <c r="S474" i="73"/>
  <c r="R475" i="73"/>
  <c r="S475" i="73"/>
  <c r="R476" i="73"/>
  <c r="S476" i="73"/>
  <c r="R477" i="73"/>
  <c r="S477" i="73"/>
  <c r="R478" i="73"/>
  <c r="S478" i="73"/>
  <c r="R479" i="73"/>
  <c r="S479" i="73"/>
  <c r="R480" i="73"/>
  <c r="S480" i="73"/>
  <c r="R481" i="73"/>
  <c r="S481" i="73"/>
  <c r="R482" i="73"/>
  <c r="S482" i="73"/>
  <c r="R483" i="73"/>
  <c r="S483" i="73"/>
  <c r="R484" i="73"/>
  <c r="S484" i="73"/>
  <c r="R485" i="73"/>
  <c r="S485" i="73"/>
  <c r="R486" i="73"/>
  <c r="S486" i="73"/>
  <c r="R487" i="73"/>
  <c r="S487" i="73"/>
  <c r="R488" i="73"/>
  <c r="S488" i="73"/>
  <c r="R489" i="73"/>
  <c r="S489" i="73"/>
  <c r="R490" i="73"/>
  <c r="S490" i="73"/>
  <c r="R491" i="73"/>
  <c r="S491" i="73"/>
  <c r="R492" i="73"/>
  <c r="S492" i="73"/>
  <c r="R493" i="73"/>
  <c r="S493" i="73"/>
  <c r="R494" i="73"/>
  <c r="S494" i="73"/>
  <c r="R495" i="73"/>
  <c r="S495" i="73"/>
  <c r="R496" i="73"/>
  <c r="S496" i="73"/>
  <c r="S2" i="73"/>
  <c r="K5" i="88" s="1"/>
  <c r="R2" i="73"/>
  <c r="K4" i="88" s="1"/>
  <c r="L3" i="39"/>
  <c r="M3" i="39"/>
  <c r="N3" i="39"/>
  <c r="L4" i="39"/>
  <c r="M4" i="39"/>
  <c r="N4" i="39"/>
  <c r="L5" i="39"/>
  <c r="M5" i="39"/>
  <c r="N5" i="39"/>
  <c r="L6" i="39"/>
  <c r="M6" i="39"/>
  <c r="N6" i="39"/>
  <c r="P3" i="39"/>
  <c r="Q3" i="39"/>
  <c r="R3" i="39"/>
  <c r="S3" i="39"/>
  <c r="T3" i="39"/>
  <c r="U3" i="39"/>
  <c r="P4" i="39"/>
  <c r="Q4" i="39"/>
  <c r="R4" i="39"/>
  <c r="S4" i="39"/>
  <c r="T4" i="39"/>
  <c r="U4" i="39"/>
  <c r="P5" i="39"/>
  <c r="Q5" i="39"/>
  <c r="R5" i="39"/>
  <c r="S5" i="39"/>
  <c r="T5" i="39"/>
  <c r="U5" i="39"/>
  <c r="P6" i="39"/>
  <c r="Q6" i="39"/>
  <c r="R6" i="39"/>
  <c r="S6" i="39"/>
  <c r="T6" i="39"/>
  <c r="U6" i="39"/>
  <c r="G22" i="39"/>
  <c r="G21" i="39"/>
  <c r="G20" i="39"/>
  <c r="G19" i="39"/>
  <c r="G18" i="39"/>
  <c r="G17" i="39"/>
  <c r="G16" i="39"/>
  <c r="G15" i="39"/>
  <c r="G14" i="39"/>
  <c r="J10" i="39"/>
  <c r="G10" i="39"/>
  <c r="J9" i="39"/>
  <c r="G9" i="39"/>
  <c r="J8" i="39"/>
  <c r="G8" i="39"/>
  <c r="J7" i="39"/>
  <c r="G7" i="39"/>
  <c r="J6" i="39"/>
  <c r="G6" i="39"/>
  <c r="J5" i="39"/>
  <c r="G5" i="39"/>
  <c r="J4" i="39"/>
  <c r="G4" i="39"/>
  <c r="J3" i="39"/>
  <c r="G3" i="39"/>
  <c r="U2" i="39"/>
  <c r="T2" i="39"/>
  <c r="T12" i="39" s="1"/>
  <c r="S2" i="39"/>
  <c r="S12" i="39" s="1"/>
  <c r="R2" i="39"/>
  <c r="R12" i="39" s="1"/>
  <c r="Q2" i="39"/>
  <c r="P2" i="39"/>
  <c r="P12" i="39" s="1"/>
  <c r="N2" i="39"/>
  <c r="M2" i="39"/>
  <c r="L2" i="39"/>
  <c r="L12" i="39" s="1"/>
  <c r="J2" i="39"/>
  <c r="G2" i="39"/>
  <c r="C18" i="39"/>
  <c r="C17" i="39"/>
  <c r="C16" i="39"/>
  <c r="C15" i="39"/>
  <c r="C14" i="39"/>
  <c r="C6" i="39"/>
  <c r="C5" i="39"/>
  <c r="C4" i="39"/>
  <c r="C3" i="39"/>
  <c r="C2" i="39"/>
  <c r="D20" i="87"/>
  <c r="D19" i="87"/>
  <c r="D18" i="87"/>
  <c r="D17" i="87"/>
  <c r="L16" i="87"/>
  <c r="D16" i="87"/>
  <c r="L15" i="87"/>
  <c r="D15" i="87"/>
  <c r="L14" i="87"/>
  <c r="D14" i="87"/>
  <c r="L13" i="87"/>
  <c r="D13" i="87"/>
  <c r="L12" i="87"/>
  <c r="D12" i="87"/>
  <c r="H10" i="87"/>
  <c r="D10" i="87"/>
  <c r="H9" i="87"/>
  <c r="D9" i="87"/>
  <c r="H8" i="87"/>
  <c r="D8" i="87"/>
  <c r="H7" i="87"/>
  <c r="D7" i="87"/>
  <c r="AB6" i="87"/>
  <c r="AA6" i="87"/>
  <c r="Z6" i="87"/>
  <c r="Y6" i="87"/>
  <c r="X6" i="87"/>
  <c r="W6" i="87"/>
  <c r="T6" i="87"/>
  <c r="Q6" i="87"/>
  <c r="N6" i="87"/>
  <c r="L6" i="87"/>
  <c r="H6" i="87"/>
  <c r="D6" i="87"/>
  <c r="AE5" i="87"/>
  <c r="AB5" i="87"/>
  <c r="AA5" i="87"/>
  <c r="Z5" i="87"/>
  <c r="Y5" i="87"/>
  <c r="X5" i="87"/>
  <c r="W5" i="87"/>
  <c r="T5" i="87"/>
  <c r="Q5" i="87"/>
  <c r="N5" i="87"/>
  <c r="L5" i="87"/>
  <c r="H5" i="87"/>
  <c r="D5" i="87"/>
  <c r="AE4" i="87"/>
  <c r="AB4" i="87"/>
  <c r="AA4" i="87"/>
  <c r="Z4" i="87"/>
  <c r="Y4" i="87"/>
  <c r="X4" i="87"/>
  <c r="W4" i="87"/>
  <c r="T4" i="87"/>
  <c r="Q4" i="87"/>
  <c r="N4" i="87"/>
  <c r="L4" i="87"/>
  <c r="H4" i="87"/>
  <c r="D4" i="87"/>
  <c r="AE3" i="87"/>
  <c r="AB3" i="87"/>
  <c r="AA3" i="87"/>
  <c r="Z3" i="87"/>
  <c r="Y3" i="87"/>
  <c r="X3" i="87"/>
  <c r="W3" i="87"/>
  <c r="T3" i="87"/>
  <c r="Q3" i="87"/>
  <c r="N3" i="87"/>
  <c r="L3" i="87"/>
  <c r="H3" i="87"/>
  <c r="D3" i="87"/>
  <c r="AE2" i="87"/>
  <c r="AB2" i="87"/>
  <c r="AA2" i="87"/>
  <c r="Z2" i="87"/>
  <c r="Y2" i="87"/>
  <c r="X2" i="87"/>
  <c r="W2" i="87"/>
  <c r="T2" i="87"/>
  <c r="Q2" i="87"/>
  <c r="N2" i="87"/>
  <c r="L2" i="87"/>
  <c r="H2" i="87"/>
  <c r="D2" i="87"/>
  <c r="F5" i="86"/>
  <c r="O4" i="86" s="1"/>
  <c r="N4" i="86" s="1"/>
  <c r="A8" i="86"/>
  <c r="F8" i="86" s="1"/>
  <c r="F684" i="12"/>
  <c r="F685" i="12"/>
  <c r="F686" i="12"/>
  <c r="F687" i="12"/>
  <c r="F688" i="12"/>
  <c r="F689" i="12"/>
  <c r="F690" i="12"/>
  <c r="F691" i="12"/>
  <c r="F692" i="12"/>
  <c r="F693" i="12"/>
  <c r="F694" i="12"/>
  <c r="F695" i="12"/>
  <c r="F696" i="12"/>
  <c r="F697" i="12"/>
  <c r="F698" i="12"/>
  <c r="F527" i="12"/>
  <c r="F699" i="12"/>
  <c r="F700" i="12"/>
  <c r="F701" i="12"/>
  <c r="F702" i="12"/>
  <c r="F703" i="12"/>
  <c r="F704" i="12"/>
  <c r="F705" i="12"/>
  <c r="F706" i="12"/>
  <c r="F707" i="12"/>
  <c r="F708" i="12"/>
  <c r="F709" i="12"/>
  <c r="F710" i="12"/>
  <c r="F711" i="12"/>
  <c r="F712" i="12"/>
  <c r="F713" i="12"/>
  <c r="F714" i="12"/>
  <c r="F715" i="12"/>
  <c r="F716" i="12"/>
  <c r="F717" i="12"/>
  <c r="F718" i="12"/>
  <c r="F719" i="12"/>
  <c r="F720" i="12"/>
  <c r="F721" i="12"/>
  <c r="F722" i="12"/>
  <c r="F723" i="12"/>
  <c r="F724" i="12"/>
  <c r="F725" i="12"/>
  <c r="F669" i="12"/>
  <c r="F670" i="12"/>
  <c r="F671" i="12"/>
  <c r="F672" i="12"/>
  <c r="F673" i="12"/>
  <c r="F674" i="12"/>
  <c r="F675" i="12"/>
  <c r="F676" i="12"/>
  <c r="F677" i="12"/>
  <c r="F678" i="12"/>
  <c r="F679" i="12"/>
  <c r="F680" i="12"/>
  <c r="F681" i="12"/>
  <c r="F682" i="12"/>
  <c r="F645" i="12"/>
  <c r="F646" i="12"/>
  <c r="F647" i="12"/>
  <c r="F648" i="12"/>
  <c r="F649" i="12"/>
  <c r="F650" i="12"/>
  <c r="F651" i="12"/>
  <c r="F652" i="12"/>
  <c r="F653" i="12"/>
  <c r="F654" i="12"/>
  <c r="F655" i="12"/>
  <c r="F656" i="12"/>
  <c r="F657" i="12"/>
  <c r="F658" i="12"/>
  <c r="F659" i="12"/>
  <c r="F660" i="12"/>
  <c r="F661" i="12"/>
  <c r="F662" i="12"/>
  <c r="F663" i="12"/>
  <c r="F664" i="12"/>
  <c r="F665" i="12"/>
  <c r="F666" i="12"/>
  <c r="F667" i="12"/>
  <c r="F555" i="12"/>
  <c r="F556" i="12"/>
  <c r="F557" i="12"/>
  <c r="F558" i="12"/>
  <c r="F559" i="12"/>
  <c r="F560" i="12"/>
  <c r="F561" i="12"/>
  <c r="F562" i="12"/>
  <c r="F563" i="12"/>
  <c r="F564" i="12"/>
  <c r="F565" i="12"/>
  <c r="F566" i="12"/>
  <c r="F567" i="12"/>
  <c r="F568" i="12"/>
  <c r="F569" i="12"/>
  <c r="F570" i="12"/>
  <c r="F571" i="12"/>
  <c r="F572" i="12"/>
  <c r="F573" i="12"/>
  <c r="F574" i="12"/>
  <c r="F575" i="12"/>
  <c r="F576" i="12"/>
  <c r="F577" i="12"/>
  <c r="F578" i="12"/>
  <c r="F579" i="12"/>
  <c r="F580" i="12"/>
  <c r="F581" i="12"/>
  <c r="F582" i="12"/>
  <c r="F583" i="12"/>
  <c r="F584" i="12"/>
  <c r="F585" i="12"/>
  <c r="F586" i="12"/>
  <c r="F587" i="12"/>
  <c r="F588" i="12"/>
  <c r="F589" i="12"/>
  <c r="F590" i="12"/>
  <c r="F591" i="12"/>
  <c r="F592" i="12"/>
  <c r="F593" i="12"/>
  <c r="F594" i="12"/>
  <c r="F595" i="12"/>
  <c r="F596" i="12"/>
  <c r="F597" i="12"/>
  <c r="F598" i="12"/>
  <c r="F599" i="12"/>
  <c r="F600" i="12"/>
  <c r="F601" i="12"/>
  <c r="F602" i="12"/>
  <c r="F603" i="12"/>
  <c r="F604" i="12"/>
  <c r="F605" i="12"/>
  <c r="F606" i="12"/>
  <c r="F607" i="12"/>
  <c r="F608" i="12"/>
  <c r="F609" i="12"/>
  <c r="F610" i="12"/>
  <c r="F611" i="12"/>
  <c r="F612" i="12"/>
  <c r="F613" i="12"/>
  <c r="F614" i="12"/>
  <c r="F615" i="12"/>
  <c r="F616" i="12"/>
  <c r="F617" i="12"/>
  <c r="F618" i="12"/>
  <c r="F619" i="12"/>
  <c r="F621" i="12"/>
  <c r="F620" i="12"/>
  <c r="F622" i="12"/>
  <c r="F623" i="12"/>
  <c r="F624" i="12"/>
  <c r="F625" i="12"/>
  <c r="F626" i="12"/>
  <c r="F627" i="12"/>
  <c r="F628" i="12"/>
  <c r="F629" i="12"/>
  <c r="F630" i="12"/>
  <c r="F631" i="12"/>
  <c r="F632" i="12"/>
  <c r="F633" i="12"/>
  <c r="F634" i="12"/>
  <c r="F635" i="12"/>
  <c r="F636" i="12"/>
  <c r="F637" i="12"/>
  <c r="F638" i="12"/>
  <c r="F639" i="12"/>
  <c r="F640" i="12"/>
  <c r="F641" i="12"/>
  <c r="F642" i="12"/>
  <c r="F643" i="12"/>
  <c r="F484" i="12"/>
  <c r="F485" i="12"/>
  <c r="F486" i="12"/>
  <c r="F487" i="12"/>
  <c r="F488" i="12"/>
  <c r="F489" i="12"/>
  <c r="F490" i="12"/>
  <c r="F491" i="12"/>
  <c r="F492" i="12"/>
  <c r="F493" i="12"/>
  <c r="F494" i="12"/>
  <c r="F495" i="12"/>
  <c r="F496" i="12"/>
  <c r="F497" i="12"/>
  <c r="F498" i="12"/>
  <c r="F499" i="12"/>
  <c r="F500" i="12"/>
  <c r="F501" i="12"/>
  <c r="F502" i="12"/>
  <c r="F503" i="12"/>
  <c r="F504" i="12"/>
  <c r="F505" i="12"/>
  <c r="F506" i="12"/>
  <c r="F507" i="12"/>
  <c r="F508" i="12"/>
  <c r="F509" i="12"/>
  <c r="F510" i="12"/>
  <c r="F511" i="12"/>
  <c r="F512" i="12"/>
  <c r="F513" i="12"/>
  <c r="F514" i="12"/>
  <c r="F515" i="12"/>
  <c r="F516" i="12"/>
  <c r="F517" i="12"/>
  <c r="F518" i="12"/>
  <c r="F519" i="12"/>
  <c r="F520" i="12"/>
  <c r="F521" i="12"/>
  <c r="F522" i="12"/>
  <c r="F523" i="12"/>
  <c r="F524" i="12"/>
  <c r="F525" i="12"/>
  <c r="F526" i="12"/>
  <c r="F528" i="12"/>
  <c r="F529" i="12"/>
  <c r="F530" i="12"/>
  <c r="F531" i="12"/>
  <c r="F532" i="12"/>
  <c r="F533" i="12"/>
  <c r="F534" i="12"/>
  <c r="F535" i="12"/>
  <c r="F536" i="12"/>
  <c r="F537" i="12"/>
  <c r="F538" i="12"/>
  <c r="F539" i="12"/>
  <c r="F540" i="12"/>
  <c r="F541" i="12"/>
  <c r="F542" i="12"/>
  <c r="F543" i="12"/>
  <c r="F544" i="12"/>
  <c r="F545" i="12"/>
  <c r="F546" i="12"/>
  <c r="F547" i="12"/>
  <c r="F548" i="12"/>
  <c r="F549" i="12"/>
  <c r="F550" i="12"/>
  <c r="F551" i="12"/>
  <c r="F552" i="12"/>
  <c r="F553" i="12"/>
  <c r="E230" i="42"/>
  <c r="D230" i="42"/>
  <c r="I19" i="84"/>
  <c r="H19" i="84"/>
  <c r="G19" i="84"/>
  <c r="F19" i="84"/>
  <c r="E19" i="84"/>
  <c r="D19" i="84"/>
  <c r="C19" i="84"/>
  <c r="B19" i="84"/>
  <c r="I18" i="84"/>
  <c r="H18" i="84"/>
  <c r="G18" i="84"/>
  <c r="E18" i="84"/>
  <c r="D18" i="84"/>
  <c r="C18" i="84"/>
  <c r="B18" i="84"/>
  <c r="I17" i="84"/>
  <c r="H17" i="84"/>
  <c r="G17" i="84"/>
  <c r="F17" i="84"/>
  <c r="E17" i="84"/>
  <c r="D17" i="84"/>
  <c r="C17" i="84"/>
  <c r="B17" i="84"/>
  <c r="I16" i="84"/>
  <c r="H16" i="84"/>
  <c r="G16" i="84"/>
  <c r="F16" i="84"/>
  <c r="E16" i="84"/>
  <c r="D16" i="84"/>
  <c r="C16" i="84"/>
  <c r="B16" i="84"/>
  <c r="I15" i="84"/>
  <c r="H15" i="84"/>
  <c r="G15" i="84"/>
  <c r="F15" i="84"/>
  <c r="E15" i="84"/>
  <c r="D15" i="84"/>
  <c r="C15" i="84"/>
  <c r="B15" i="84"/>
  <c r="I14" i="84"/>
  <c r="H14" i="84"/>
  <c r="G14" i="84"/>
  <c r="F14" i="84"/>
  <c r="E14" i="84"/>
  <c r="D14" i="84"/>
  <c r="C14" i="84"/>
  <c r="B14" i="84"/>
  <c r="I13" i="84"/>
  <c r="H13" i="84"/>
  <c r="G13" i="84"/>
  <c r="F13" i="84"/>
  <c r="E13" i="84"/>
  <c r="D13" i="84"/>
  <c r="C13" i="84"/>
  <c r="B13" i="84"/>
  <c r="I12" i="84"/>
  <c r="H12" i="84"/>
  <c r="G12" i="84"/>
  <c r="F12" i="84"/>
  <c r="E12" i="84"/>
  <c r="D12" i="84"/>
  <c r="C12" i="84"/>
  <c r="B12" i="84"/>
  <c r="I11" i="84"/>
  <c r="H11" i="84"/>
  <c r="G11" i="84"/>
  <c r="F11" i="84"/>
  <c r="E11" i="84"/>
  <c r="D11" i="84"/>
  <c r="C11" i="84"/>
  <c r="B11" i="84"/>
  <c r="I10" i="84"/>
  <c r="H10" i="84"/>
  <c r="G10" i="84"/>
  <c r="F10" i="84"/>
  <c r="E10" i="84"/>
  <c r="D10" i="84"/>
  <c r="C10" i="84"/>
  <c r="B10" i="84"/>
  <c r="I9" i="84"/>
  <c r="H9" i="84"/>
  <c r="G9" i="84"/>
  <c r="F9" i="84"/>
  <c r="E9" i="84"/>
  <c r="D9" i="84"/>
  <c r="C9" i="84"/>
  <c r="B9" i="84"/>
  <c r="I8" i="84"/>
  <c r="H8" i="84"/>
  <c r="G8" i="84"/>
  <c r="F8" i="84"/>
  <c r="E8" i="84"/>
  <c r="D8" i="84"/>
  <c r="C8" i="84"/>
  <c r="B8" i="84"/>
  <c r="I7" i="84"/>
  <c r="H7" i="84"/>
  <c r="G7" i="84"/>
  <c r="F7" i="84"/>
  <c r="E7" i="84"/>
  <c r="D7" i="84"/>
  <c r="C7" i="84"/>
  <c r="B7" i="84"/>
  <c r="I6" i="84"/>
  <c r="H6" i="84"/>
  <c r="G6" i="84"/>
  <c r="F6" i="84"/>
  <c r="E6" i="84"/>
  <c r="D6" i="84"/>
  <c r="C6" i="84"/>
  <c r="B6" i="84"/>
  <c r="I5" i="84"/>
  <c r="H5" i="84"/>
  <c r="G5" i="84"/>
  <c r="F5" i="84"/>
  <c r="E5" i="84"/>
  <c r="D5" i="84"/>
  <c r="C5" i="84"/>
  <c r="B5" i="84"/>
  <c r="I4" i="84"/>
  <c r="H4" i="84"/>
  <c r="G4" i="84"/>
  <c r="F4" i="84"/>
  <c r="E4" i="84"/>
  <c r="D4" i="84"/>
  <c r="C4" i="84"/>
  <c r="B4" i="84"/>
  <c r="I3" i="84"/>
  <c r="H3" i="84"/>
  <c r="G3" i="84"/>
  <c r="F3" i="84"/>
  <c r="E3" i="84"/>
  <c r="D3" i="84"/>
  <c r="C3" i="84"/>
  <c r="C21" i="84" s="1"/>
  <c r="B3" i="84"/>
  <c r="F55" i="70"/>
  <c r="F39" i="70"/>
  <c r="W352" i="47"/>
  <c r="W199" i="47"/>
  <c r="W307" i="47"/>
  <c r="W314" i="47"/>
  <c r="W203" i="47"/>
  <c r="W237" i="47"/>
  <c r="W204" i="47"/>
  <c r="W262" i="47"/>
  <c r="W217" i="47"/>
  <c r="W190" i="47"/>
  <c r="W328" i="47"/>
  <c r="W68" i="47"/>
  <c r="W250" i="47"/>
  <c r="W298" i="47"/>
  <c r="W312" i="47"/>
  <c r="W327" i="47"/>
  <c r="W256" i="47"/>
  <c r="W315" i="47"/>
  <c r="W302" i="47"/>
  <c r="W55" i="47"/>
  <c r="W316" i="47"/>
  <c r="W197" i="47"/>
  <c r="W194" i="47"/>
  <c r="W276" i="47"/>
  <c r="W215" i="47"/>
  <c r="W200" i="47"/>
  <c r="W88" i="47"/>
  <c r="W42" i="47"/>
  <c r="W127" i="47"/>
  <c r="W41" i="47"/>
  <c r="W77" i="47"/>
  <c r="W128" i="47"/>
  <c r="W34" i="47"/>
  <c r="W258" i="47"/>
  <c r="W40" i="47"/>
  <c r="W207" i="47"/>
  <c r="W324" i="47"/>
  <c r="W235" i="47"/>
  <c r="W98" i="47"/>
  <c r="W191" i="47"/>
  <c r="W297" i="47"/>
  <c r="W4" i="47"/>
  <c r="Q6" i="91" s="1"/>
  <c r="W5" i="47"/>
  <c r="W6" i="47"/>
  <c r="W7" i="47"/>
  <c r="W8" i="47"/>
  <c r="W9" i="47"/>
  <c r="W10" i="47"/>
  <c r="W11" i="47"/>
  <c r="W12" i="47"/>
  <c r="W13" i="47"/>
  <c r="W14" i="47"/>
  <c r="W15" i="47"/>
  <c r="W16" i="47"/>
  <c r="W17" i="47"/>
  <c r="W18" i="47"/>
  <c r="W19" i="47"/>
  <c r="W20" i="47"/>
  <c r="W21" i="47"/>
  <c r="W22" i="47"/>
  <c r="W23" i="47"/>
  <c r="W24" i="47"/>
  <c r="W25" i="47"/>
  <c r="W26" i="47"/>
  <c r="W27" i="47"/>
  <c r="W28" i="47"/>
  <c r="W29" i="47"/>
  <c r="W30" i="47"/>
  <c r="W31" i="47"/>
  <c r="W32" i="47"/>
  <c r="W33" i="47"/>
  <c r="W35" i="47"/>
  <c r="W36" i="47"/>
  <c r="W37" i="47"/>
  <c r="W38" i="47"/>
  <c r="W39" i="47"/>
  <c r="W43" i="47"/>
  <c r="W44" i="47"/>
  <c r="W45" i="47"/>
  <c r="W46" i="47"/>
  <c r="W47" i="47"/>
  <c r="W48" i="47"/>
  <c r="W49" i="47"/>
  <c r="W50" i="47"/>
  <c r="W51" i="47"/>
  <c r="W52" i="47"/>
  <c r="W53" i="47"/>
  <c r="W54" i="47"/>
  <c r="W56" i="47"/>
  <c r="W57" i="47"/>
  <c r="W58" i="47"/>
  <c r="W59" i="47"/>
  <c r="W60" i="47"/>
  <c r="W61" i="47"/>
  <c r="W62" i="47"/>
  <c r="W63" i="47"/>
  <c r="W64" i="47"/>
  <c r="W65" i="47"/>
  <c r="W66" i="47"/>
  <c r="W67" i="47"/>
  <c r="W69" i="47"/>
  <c r="W70" i="47"/>
  <c r="W71" i="47"/>
  <c r="W72" i="47"/>
  <c r="W73" i="47"/>
  <c r="W74" i="47"/>
  <c r="W75" i="47"/>
  <c r="W76" i="47"/>
  <c r="W78" i="47"/>
  <c r="W79" i="47"/>
  <c r="W80" i="47"/>
  <c r="W81" i="47"/>
  <c r="W82" i="47"/>
  <c r="W83" i="47"/>
  <c r="W84" i="47"/>
  <c r="W85" i="47"/>
  <c r="W86" i="47"/>
  <c r="W87" i="47"/>
  <c r="W89" i="47"/>
  <c r="W90" i="47"/>
  <c r="W91" i="47"/>
  <c r="W92" i="47"/>
  <c r="W93" i="47"/>
  <c r="W94" i="47"/>
  <c r="W95" i="47"/>
  <c r="W96" i="47"/>
  <c r="W97" i="47"/>
  <c r="W99" i="47"/>
  <c r="W100" i="47"/>
  <c r="W101" i="47"/>
  <c r="W102" i="47"/>
  <c r="W103" i="47"/>
  <c r="W104" i="47"/>
  <c r="W105" i="47"/>
  <c r="W106" i="47"/>
  <c r="W107" i="47"/>
  <c r="W108" i="47"/>
  <c r="W109" i="47"/>
  <c r="W110" i="47"/>
  <c r="W111" i="47"/>
  <c r="W112" i="47"/>
  <c r="W113" i="47"/>
  <c r="W114" i="47"/>
  <c r="W115" i="47"/>
  <c r="W116" i="47"/>
  <c r="W117" i="47"/>
  <c r="W118" i="47"/>
  <c r="W119" i="47"/>
  <c r="W120" i="47"/>
  <c r="W121" i="47"/>
  <c r="W122" i="47"/>
  <c r="W123" i="47"/>
  <c r="W124" i="47"/>
  <c r="W125" i="47"/>
  <c r="W126" i="47"/>
  <c r="W129" i="47"/>
  <c r="W130" i="47"/>
  <c r="W131" i="47"/>
  <c r="W132" i="47"/>
  <c r="W133" i="47"/>
  <c r="W134" i="47"/>
  <c r="W135" i="47"/>
  <c r="W136" i="47"/>
  <c r="W137" i="47"/>
  <c r="W138" i="47"/>
  <c r="W139" i="47"/>
  <c r="W140" i="47"/>
  <c r="W141" i="47"/>
  <c r="W142" i="47"/>
  <c r="W143" i="47"/>
  <c r="W144" i="47"/>
  <c r="W145" i="47"/>
  <c r="W146" i="47"/>
  <c r="W147" i="47"/>
  <c r="W148" i="47"/>
  <c r="W149" i="47"/>
  <c r="W150" i="47"/>
  <c r="W151" i="47"/>
  <c r="W152" i="47"/>
  <c r="W153" i="47"/>
  <c r="W154" i="47"/>
  <c r="W155" i="47"/>
  <c r="W156" i="47"/>
  <c r="W157" i="47"/>
  <c r="W158" i="47"/>
  <c r="W159" i="47"/>
  <c r="W160" i="47"/>
  <c r="W161" i="47"/>
  <c r="W162" i="47"/>
  <c r="W163" i="47"/>
  <c r="W164" i="47"/>
  <c r="W165" i="47"/>
  <c r="W166" i="47"/>
  <c r="W167" i="47"/>
  <c r="W168" i="47"/>
  <c r="W169" i="47"/>
  <c r="W170" i="47"/>
  <c r="W171" i="47"/>
  <c r="W172" i="47"/>
  <c r="W173" i="47"/>
  <c r="W174" i="47"/>
  <c r="W175" i="47"/>
  <c r="W176" i="47"/>
  <c r="W177" i="47"/>
  <c r="W178" i="47"/>
  <c r="W179" i="47"/>
  <c r="W180" i="47"/>
  <c r="W181" i="47"/>
  <c r="W182" i="47"/>
  <c r="W183" i="47"/>
  <c r="W184" i="47"/>
  <c r="W185" i="47"/>
  <c r="W186" i="47"/>
  <c r="W187" i="47"/>
  <c r="W188" i="47"/>
  <c r="W189" i="47"/>
  <c r="W192" i="47"/>
  <c r="W193" i="47"/>
  <c r="W195" i="47"/>
  <c r="W196" i="47"/>
  <c r="W198" i="47"/>
  <c r="W201" i="47"/>
  <c r="W202" i="47"/>
  <c r="W205" i="47"/>
  <c r="W206" i="47"/>
  <c r="W208" i="47"/>
  <c r="W209" i="47"/>
  <c r="W210" i="47"/>
  <c r="W211" i="47"/>
  <c r="W212" i="47"/>
  <c r="W213" i="47"/>
  <c r="W214" i="47"/>
  <c r="W216" i="47"/>
  <c r="W218" i="47"/>
  <c r="W219" i="47"/>
  <c r="W220" i="47"/>
  <c r="W221" i="47"/>
  <c r="W222" i="47"/>
  <c r="W223" i="47"/>
  <c r="W224" i="47"/>
  <c r="W225" i="47"/>
  <c r="W226" i="47"/>
  <c r="W227" i="47"/>
  <c r="W228" i="47"/>
  <c r="W229" i="47"/>
  <c r="W230" i="47"/>
  <c r="W231" i="47"/>
  <c r="W232" i="47"/>
  <c r="W233" i="47"/>
  <c r="W234" i="47"/>
  <c r="W236" i="47"/>
  <c r="W238" i="47"/>
  <c r="W239" i="47"/>
  <c r="W240" i="47"/>
  <c r="W241" i="47"/>
  <c r="W242" i="47"/>
  <c r="W243" i="47"/>
  <c r="W244" i="47"/>
  <c r="W245" i="47"/>
  <c r="W246" i="47"/>
  <c r="W247" i="47"/>
  <c r="W248" i="47"/>
  <c r="W249" i="47"/>
  <c r="W251" i="47"/>
  <c r="W252" i="47"/>
  <c r="W253" i="47"/>
  <c r="W254" i="47"/>
  <c r="W255" i="47"/>
  <c r="W257" i="47"/>
  <c r="W259" i="47"/>
  <c r="W260" i="47"/>
  <c r="W261" i="47"/>
  <c r="W263" i="47"/>
  <c r="W264" i="47"/>
  <c r="W265" i="47"/>
  <c r="W266" i="47"/>
  <c r="W267" i="47"/>
  <c r="W268" i="47"/>
  <c r="W269" i="47"/>
  <c r="W270" i="47"/>
  <c r="W271" i="47"/>
  <c r="W272" i="47"/>
  <c r="W273" i="47"/>
  <c r="W274" i="47"/>
  <c r="W275" i="47"/>
  <c r="W277" i="47"/>
  <c r="W278" i="47"/>
  <c r="W279" i="47"/>
  <c r="W280" i="47"/>
  <c r="W281" i="47"/>
  <c r="W282" i="47"/>
  <c r="W283" i="47"/>
  <c r="W284" i="47"/>
  <c r="W285" i="47"/>
  <c r="W286" i="47"/>
  <c r="W287" i="47"/>
  <c r="W288" i="47"/>
  <c r="W289" i="47"/>
  <c r="W290" i="47"/>
  <c r="W291" i="47"/>
  <c r="W292" i="47"/>
  <c r="W293" i="47"/>
  <c r="W294" i="47"/>
  <c r="W295" i="47"/>
  <c r="W296" i="47"/>
  <c r="W299" i="47"/>
  <c r="W300" i="47"/>
  <c r="W301" i="47"/>
  <c r="W303" i="47"/>
  <c r="W304" i="47"/>
  <c r="W305" i="47"/>
  <c r="W306" i="47"/>
  <c r="W308" i="47"/>
  <c r="W309" i="47"/>
  <c r="W310" i="47"/>
  <c r="W311" i="47"/>
  <c r="W313" i="47"/>
  <c r="W317" i="47"/>
  <c r="W318" i="47"/>
  <c r="W319" i="47"/>
  <c r="W320" i="47"/>
  <c r="W321" i="47"/>
  <c r="W322" i="47"/>
  <c r="W323" i="47"/>
  <c r="W325" i="47"/>
  <c r="W326" i="47"/>
  <c r="W329" i="47"/>
  <c r="W330" i="47"/>
  <c r="W331" i="47"/>
  <c r="W332" i="47"/>
  <c r="W333" i="47"/>
  <c r="W334" i="47"/>
  <c r="W335" i="47"/>
  <c r="W336" i="47"/>
  <c r="W337" i="47"/>
  <c r="W338" i="47"/>
  <c r="W339" i="47"/>
  <c r="W340" i="47"/>
  <c r="W341" i="47"/>
  <c r="W342" i="47"/>
  <c r="W343" i="47"/>
  <c r="W344" i="47"/>
  <c r="W345" i="47"/>
  <c r="W346" i="47"/>
  <c r="W347" i="47"/>
  <c r="W348" i="47"/>
  <c r="W349" i="47"/>
  <c r="W350" i="47"/>
  <c r="W351" i="47"/>
  <c r="W3" i="47"/>
  <c r="Q3" i="91" s="1"/>
  <c r="B5" i="83"/>
  <c r="D5" i="83"/>
  <c r="A3" i="82"/>
  <c r="A5" i="82" s="1"/>
  <c r="A3" i="43"/>
  <c r="E159" i="42"/>
  <c r="E160" i="42"/>
  <c r="E161" i="42"/>
  <c r="E162" i="42"/>
  <c r="E163" i="42"/>
  <c r="E164" i="42"/>
  <c r="E165" i="42"/>
  <c r="E166" i="42"/>
  <c r="E167" i="42"/>
  <c r="E168" i="42"/>
  <c r="E169" i="42"/>
  <c r="E170" i="42"/>
  <c r="E171" i="42"/>
  <c r="E172" i="42"/>
  <c r="E173" i="42"/>
  <c r="E174" i="42"/>
  <c r="E175" i="42"/>
  <c r="E176" i="42"/>
  <c r="E177" i="42"/>
  <c r="E178" i="42"/>
  <c r="E179" i="42"/>
  <c r="E180" i="42"/>
  <c r="E181" i="42"/>
  <c r="E182" i="42"/>
  <c r="E183" i="42"/>
  <c r="E184" i="42"/>
  <c r="E185" i="42"/>
  <c r="E186" i="42"/>
  <c r="E187" i="42"/>
  <c r="E188" i="42"/>
  <c r="E189" i="42"/>
  <c r="E190" i="42"/>
  <c r="E191" i="42"/>
  <c r="E192" i="42"/>
  <c r="E193" i="42"/>
  <c r="E194" i="42"/>
  <c r="E195" i="42"/>
  <c r="E196" i="42"/>
  <c r="E197" i="42"/>
  <c r="E198" i="42"/>
  <c r="E199" i="42"/>
  <c r="E200" i="42"/>
  <c r="E201" i="42"/>
  <c r="E202" i="42"/>
  <c r="E203" i="42"/>
  <c r="E204" i="42"/>
  <c r="E205" i="42"/>
  <c r="E206" i="42"/>
  <c r="E207" i="42"/>
  <c r="E208" i="42"/>
  <c r="E209" i="42"/>
  <c r="E210" i="42"/>
  <c r="E211" i="42"/>
  <c r="E212" i="42"/>
  <c r="E213" i="42"/>
  <c r="E214" i="42"/>
  <c r="E215" i="42"/>
  <c r="E216" i="42"/>
  <c r="E217" i="42"/>
  <c r="E218" i="42"/>
  <c r="E219" i="42"/>
  <c r="E220" i="42"/>
  <c r="E221" i="42"/>
  <c r="E222" i="42"/>
  <c r="E223" i="42"/>
  <c r="E224" i="42"/>
  <c r="E225" i="42"/>
  <c r="E226" i="42"/>
  <c r="E227" i="42"/>
  <c r="E228" i="42"/>
  <c r="E229" i="42"/>
  <c r="E158" i="42"/>
  <c r="E3" i="42"/>
  <c r="E4" i="42"/>
  <c r="E5" i="42"/>
  <c r="E6" i="42"/>
  <c r="E7" i="42"/>
  <c r="E8" i="42"/>
  <c r="E9" i="42"/>
  <c r="E10" i="42"/>
  <c r="E11" i="42"/>
  <c r="E12" i="42"/>
  <c r="E13" i="42"/>
  <c r="E14" i="42"/>
  <c r="E15" i="42"/>
  <c r="E16" i="42"/>
  <c r="E17" i="42"/>
  <c r="E18" i="42"/>
  <c r="E19" i="42"/>
  <c r="E20" i="42"/>
  <c r="E21" i="42"/>
  <c r="E22" i="42"/>
  <c r="E23" i="42"/>
  <c r="E24" i="42"/>
  <c r="E25" i="42"/>
  <c r="E26" i="42"/>
  <c r="E27" i="42"/>
  <c r="E28" i="42"/>
  <c r="E29" i="42"/>
  <c r="E30" i="42"/>
  <c r="E31" i="42"/>
  <c r="E32" i="42"/>
  <c r="E33" i="42"/>
  <c r="E34" i="42"/>
  <c r="E35" i="42"/>
  <c r="E36" i="42"/>
  <c r="E37" i="42"/>
  <c r="E38" i="42"/>
  <c r="E39" i="42"/>
  <c r="E40" i="42"/>
  <c r="E41" i="42"/>
  <c r="E42" i="42"/>
  <c r="E43" i="42"/>
  <c r="E44" i="42"/>
  <c r="E45" i="42"/>
  <c r="E46" i="42"/>
  <c r="E47" i="42"/>
  <c r="E48" i="42"/>
  <c r="E49" i="42"/>
  <c r="E50" i="42"/>
  <c r="E51" i="42"/>
  <c r="E52" i="42"/>
  <c r="E53" i="42"/>
  <c r="E54" i="42"/>
  <c r="E55" i="42"/>
  <c r="E56" i="42"/>
  <c r="E57" i="42"/>
  <c r="E58" i="42"/>
  <c r="E59" i="42"/>
  <c r="E60" i="42"/>
  <c r="E61" i="42"/>
  <c r="E62" i="42"/>
  <c r="E63" i="42"/>
  <c r="E64" i="42"/>
  <c r="E65" i="42"/>
  <c r="E66" i="42"/>
  <c r="E67" i="42"/>
  <c r="E68" i="42"/>
  <c r="E69" i="42"/>
  <c r="E70" i="42"/>
  <c r="E71" i="42"/>
  <c r="E72" i="42"/>
  <c r="E73" i="42"/>
  <c r="E74" i="42"/>
  <c r="E75" i="42"/>
  <c r="E76" i="42"/>
  <c r="E77" i="42"/>
  <c r="E78" i="42"/>
  <c r="E79" i="42"/>
  <c r="E80" i="42"/>
  <c r="E81" i="42"/>
  <c r="E82" i="42"/>
  <c r="E83" i="42"/>
  <c r="E84" i="42"/>
  <c r="E85" i="42"/>
  <c r="E86" i="42"/>
  <c r="E87" i="42"/>
  <c r="E88" i="42"/>
  <c r="E89" i="42"/>
  <c r="E90" i="42"/>
  <c r="E91" i="42"/>
  <c r="E92" i="42"/>
  <c r="E93" i="42"/>
  <c r="E94" i="42"/>
  <c r="E95" i="42"/>
  <c r="E96" i="42"/>
  <c r="E97" i="42"/>
  <c r="E98" i="42"/>
  <c r="E99" i="42"/>
  <c r="E100" i="42"/>
  <c r="E101" i="42"/>
  <c r="E102" i="42"/>
  <c r="E103" i="42"/>
  <c r="E104" i="42"/>
  <c r="E105" i="42"/>
  <c r="E106" i="42"/>
  <c r="E107" i="42"/>
  <c r="E108" i="42"/>
  <c r="E109" i="42"/>
  <c r="E110" i="42"/>
  <c r="E111" i="42"/>
  <c r="E112" i="42"/>
  <c r="E113" i="42"/>
  <c r="E114" i="42"/>
  <c r="E115" i="42"/>
  <c r="E116" i="42"/>
  <c r="E117" i="42"/>
  <c r="E118" i="42"/>
  <c r="E119" i="42"/>
  <c r="E120" i="42"/>
  <c r="E121" i="42"/>
  <c r="E122" i="42"/>
  <c r="E123" i="42"/>
  <c r="E124" i="42"/>
  <c r="E125" i="42"/>
  <c r="E126" i="42"/>
  <c r="E127" i="42"/>
  <c r="E128" i="42"/>
  <c r="E129" i="42"/>
  <c r="E130" i="42"/>
  <c r="E131" i="42"/>
  <c r="E132" i="42"/>
  <c r="E133" i="42"/>
  <c r="E134" i="42"/>
  <c r="E135" i="42"/>
  <c r="E136" i="42"/>
  <c r="E137" i="42"/>
  <c r="E138" i="42"/>
  <c r="E139" i="42"/>
  <c r="E140" i="42"/>
  <c r="E141" i="42"/>
  <c r="E142" i="42"/>
  <c r="E143" i="42"/>
  <c r="E144" i="42"/>
  <c r="E145" i="42"/>
  <c r="E146" i="42"/>
  <c r="E147" i="42"/>
  <c r="E148" i="42"/>
  <c r="E149" i="42"/>
  <c r="E150" i="42"/>
  <c r="E151" i="42"/>
  <c r="E152" i="42"/>
  <c r="E153" i="42"/>
  <c r="E154" i="42"/>
  <c r="E155" i="42"/>
  <c r="E156" i="42"/>
  <c r="E157" i="42"/>
  <c r="E2" i="42"/>
  <c r="D159" i="42"/>
  <c r="D160" i="42"/>
  <c r="D161" i="42"/>
  <c r="D162" i="42"/>
  <c r="D163" i="42"/>
  <c r="D164" i="42"/>
  <c r="D165" i="42"/>
  <c r="D166" i="42"/>
  <c r="D167" i="42"/>
  <c r="D168" i="42"/>
  <c r="D169" i="42"/>
  <c r="D170" i="42"/>
  <c r="D171" i="42"/>
  <c r="D172" i="42"/>
  <c r="D173" i="42"/>
  <c r="D174" i="42"/>
  <c r="D175" i="42"/>
  <c r="D176" i="42"/>
  <c r="D177" i="42"/>
  <c r="D178" i="42"/>
  <c r="D179" i="42"/>
  <c r="D180" i="42"/>
  <c r="D181" i="42"/>
  <c r="D182" i="42"/>
  <c r="D183" i="42"/>
  <c r="D184" i="42"/>
  <c r="D185" i="42"/>
  <c r="D186" i="42"/>
  <c r="D187" i="42"/>
  <c r="D188" i="42"/>
  <c r="D189" i="42"/>
  <c r="D190" i="42"/>
  <c r="D191" i="42"/>
  <c r="D192" i="42"/>
  <c r="D193" i="42"/>
  <c r="D194" i="42"/>
  <c r="D195" i="42"/>
  <c r="D196" i="42"/>
  <c r="D197" i="42"/>
  <c r="D198" i="42"/>
  <c r="D199" i="42"/>
  <c r="D200" i="42"/>
  <c r="D201" i="42"/>
  <c r="D202" i="42"/>
  <c r="D203" i="42"/>
  <c r="D204" i="42"/>
  <c r="D205" i="42"/>
  <c r="D206" i="42"/>
  <c r="D207" i="42"/>
  <c r="D208" i="42"/>
  <c r="D209" i="42"/>
  <c r="D210" i="42"/>
  <c r="D211" i="42"/>
  <c r="D212" i="42"/>
  <c r="D213" i="42"/>
  <c r="D214" i="42"/>
  <c r="D215" i="42"/>
  <c r="D216" i="42"/>
  <c r="D217" i="42"/>
  <c r="D218" i="42"/>
  <c r="D219" i="42"/>
  <c r="D220" i="42"/>
  <c r="D221" i="42"/>
  <c r="D222" i="42"/>
  <c r="D223" i="42"/>
  <c r="D224" i="42"/>
  <c r="D225" i="42"/>
  <c r="D226" i="42"/>
  <c r="D227" i="42"/>
  <c r="D228" i="42"/>
  <c r="D229" i="42"/>
  <c r="D158" i="42"/>
  <c r="D3" i="42"/>
  <c r="D4" i="42"/>
  <c r="D5" i="42"/>
  <c r="D6" i="42"/>
  <c r="D7" i="42"/>
  <c r="D8" i="42"/>
  <c r="D9" i="42"/>
  <c r="D10" i="42"/>
  <c r="D11" i="42"/>
  <c r="D12" i="42"/>
  <c r="D13" i="42"/>
  <c r="D14" i="42"/>
  <c r="D15" i="42"/>
  <c r="D16" i="42"/>
  <c r="D17" i="42"/>
  <c r="D18" i="42"/>
  <c r="D19" i="42"/>
  <c r="D20" i="42"/>
  <c r="D21" i="42"/>
  <c r="D22" i="42"/>
  <c r="D23" i="42"/>
  <c r="D24" i="42"/>
  <c r="D25" i="42"/>
  <c r="D26" i="42"/>
  <c r="D27" i="42"/>
  <c r="D28" i="42"/>
  <c r="D29" i="42"/>
  <c r="D30" i="42"/>
  <c r="D31" i="42"/>
  <c r="D32" i="42"/>
  <c r="D33" i="42"/>
  <c r="D34" i="42"/>
  <c r="D35" i="42"/>
  <c r="D36" i="42"/>
  <c r="D37" i="42"/>
  <c r="D38" i="42"/>
  <c r="D39" i="42"/>
  <c r="D40" i="42"/>
  <c r="D41" i="42"/>
  <c r="D42" i="42"/>
  <c r="D43" i="42"/>
  <c r="D44" i="42"/>
  <c r="D45" i="42"/>
  <c r="D46" i="42"/>
  <c r="D47" i="42"/>
  <c r="D48" i="42"/>
  <c r="D49" i="42"/>
  <c r="D50" i="42"/>
  <c r="D51" i="42"/>
  <c r="D52" i="42"/>
  <c r="D53" i="42"/>
  <c r="D54" i="42"/>
  <c r="D55" i="42"/>
  <c r="D56" i="42"/>
  <c r="D57" i="42"/>
  <c r="D58" i="42"/>
  <c r="D59" i="42"/>
  <c r="D60" i="42"/>
  <c r="D61" i="42"/>
  <c r="D62" i="42"/>
  <c r="D63" i="42"/>
  <c r="D64" i="42"/>
  <c r="D65" i="42"/>
  <c r="D66" i="42"/>
  <c r="D67" i="42"/>
  <c r="D68" i="42"/>
  <c r="D69" i="42"/>
  <c r="D70" i="42"/>
  <c r="D71" i="42"/>
  <c r="D72" i="42"/>
  <c r="D73" i="42"/>
  <c r="D74" i="42"/>
  <c r="D75" i="42"/>
  <c r="D76" i="42"/>
  <c r="D77" i="42"/>
  <c r="D78" i="42"/>
  <c r="D79" i="42"/>
  <c r="D80" i="42"/>
  <c r="D81" i="42"/>
  <c r="D82" i="42"/>
  <c r="D83" i="42"/>
  <c r="D84" i="42"/>
  <c r="D85" i="42"/>
  <c r="D86" i="42"/>
  <c r="D87" i="42"/>
  <c r="D88" i="42"/>
  <c r="D89" i="42"/>
  <c r="D90" i="42"/>
  <c r="D91" i="42"/>
  <c r="D92" i="42"/>
  <c r="D93" i="42"/>
  <c r="D94" i="42"/>
  <c r="D95" i="42"/>
  <c r="D96" i="42"/>
  <c r="D97" i="42"/>
  <c r="D98" i="42"/>
  <c r="D99" i="42"/>
  <c r="D100" i="42"/>
  <c r="D101" i="42"/>
  <c r="D102" i="42"/>
  <c r="D103" i="42"/>
  <c r="D104" i="42"/>
  <c r="D105" i="42"/>
  <c r="D106" i="42"/>
  <c r="D107" i="42"/>
  <c r="D108" i="42"/>
  <c r="D109" i="42"/>
  <c r="D110" i="42"/>
  <c r="D111" i="42"/>
  <c r="D112" i="42"/>
  <c r="D113" i="42"/>
  <c r="D114" i="42"/>
  <c r="D115" i="42"/>
  <c r="D116" i="42"/>
  <c r="D117" i="42"/>
  <c r="D118" i="42"/>
  <c r="D119" i="42"/>
  <c r="D120" i="42"/>
  <c r="D121" i="42"/>
  <c r="D122" i="42"/>
  <c r="D123" i="42"/>
  <c r="D124" i="42"/>
  <c r="D125" i="42"/>
  <c r="D126" i="42"/>
  <c r="D127" i="42"/>
  <c r="D128" i="42"/>
  <c r="D129" i="42"/>
  <c r="D130" i="42"/>
  <c r="D131" i="42"/>
  <c r="D132" i="42"/>
  <c r="D133" i="42"/>
  <c r="D134" i="42"/>
  <c r="D135" i="42"/>
  <c r="D136" i="42"/>
  <c r="D137" i="42"/>
  <c r="D138" i="42"/>
  <c r="D139" i="42"/>
  <c r="D140" i="42"/>
  <c r="D141" i="42"/>
  <c r="D142" i="42"/>
  <c r="D143" i="42"/>
  <c r="D144" i="42"/>
  <c r="D145" i="42"/>
  <c r="D146" i="42"/>
  <c r="D147" i="42"/>
  <c r="D148" i="42"/>
  <c r="D149" i="42"/>
  <c r="D150" i="42"/>
  <c r="D151" i="42"/>
  <c r="D152" i="42"/>
  <c r="D153" i="42"/>
  <c r="D154" i="42"/>
  <c r="D155" i="42"/>
  <c r="D156" i="42"/>
  <c r="D157" i="42"/>
  <c r="D2" i="42"/>
  <c r="E554" i="12"/>
  <c r="F554" i="12"/>
  <c r="G554" i="12"/>
  <c r="E644" i="12"/>
  <c r="F644" i="12"/>
  <c r="G644" i="12"/>
  <c r="E668" i="12"/>
  <c r="F668" i="12"/>
  <c r="G668" i="12"/>
  <c r="E683" i="12"/>
  <c r="F683" i="12"/>
  <c r="G683" i="12"/>
  <c r="E691" i="12"/>
  <c r="G691" i="12"/>
  <c r="E699" i="12"/>
  <c r="G699" i="12"/>
  <c r="F3" i="25"/>
  <c r="F4" i="25"/>
  <c r="F5" i="25"/>
  <c r="F6" i="25"/>
  <c r="F7" i="25"/>
  <c r="F8" i="25"/>
  <c r="F9" i="25"/>
  <c r="F10" i="25"/>
  <c r="F11" i="25"/>
  <c r="F12" i="25"/>
  <c r="F13" i="25"/>
  <c r="F14" i="25"/>
  <c r="F15" i="25"/>
  <c r="F16" i="25"/>
  <c r="F17" i="25"/>
  <c r="F18" i="25"/>
  <c r="F19" i="25"/>
  <c r="F20" i="25"/>
  <c r="F21" i="25"/>
  <c r="F22" i="25"/>
  <c r="F23" i="25"/>
  <c r="F24" i="25"/>
  <c r="F25" i="25"/>
  <c r="F26" i="25"/>
  <c r="F27" i="25"/>
  <c r="F28" i="25"/>
  <c r="F29" i="25"/>
  <c r="F30" i="25"/>
  <c r="F31" i="25"/>
  <c r="F32" i="25"/>
  <c r="F33" i="25"/>
  <c r="F34" i="25"/>
  <c r="F35" i="25"/>
  <c r="F36" i="25"/>
  <c r="F37" i="25"/>
  <c r="F38" i="25"/>
  <c r="F39" i="25"/>
  <c r="F40" i="25"/>
  <c r="F41" i="25"/>
  <c r="F42" i="25"/>
  <c r="F43" i="25"/>
  <c r="F44" i="25"/>
  <c r="F45" i="25"/>
  <c r="F46" i="25"/>
  <c r="F47" i="25"/>
  <c r="F48" i="25"/>
  <c r="F49" i="25"/>
  <c r="F50" i="25"/>
  <c r="F51" i="25"/>
  <c r="F52" i="25"/>
  <c r="F53" i="25"/>
  <c r="F54" i="25"/>
  <c r="F55" i="25"/>
  <c r="F56" i="25"/>
  <c r="F57" i="25"/>
  <c r="F58" i="25"/>
  <c r="F59" i="25"/>
  <c r="F60" i="25"/>
  <c r="F61" i="25"/>
  <c r="F62" i="25"/>
  <c r="F63" i="25"/>
  <c r="F64" i="25"/>
  <c r="F65" i="25"/>
  <c r="F66" i="25"/>
  <c r="F67" i="25"/>
  <c r="F68" i="25"/>
  <c r="F69" i="25"/>
  <c r="F70" i="25"/>
  <c r="F71" i="25"/>
  <c r="F72" i="25"/>
  <c r="F73" i="25"/>
  <c r="F74" i="25"/>
  <c r="F75" i="25"/>
  <c r="F76" i="25"/>
  <c r="F77" i="25"/>
  <c r="F78" i="25"/>
  <c r="F79" i="25"/>
  <c r="F80" i="25"/>
  <c r="F81" i="25"/>
  <c r="F82" i="25"/>
  <c r="F83" i="25"/>
  <c r="F84" i="25"/>
  <c r="F85" i="25"/>
  <c r="F86" i="25"/>
  <c r="F87" i="25"/>
  <c r="F88" i="25"/>
  <c r="F89" i="25"/>
  <c r="F90" i="25"/>
  <c r="F91" i="25"/>
  <c r="F92" i="25"/>
  <c r="F93" i="25"/>
  <c r="F94" i="25"/>
  <c r="F95" i="25"/>
  <c r="F96" i="25"/>
  <c r="F97" i="25"/>
  <c r="F98" i="25"/>
  <c r="F99" i="25"/>
  <c r="F100" i="25"/>
  <c r="F101" i="25"/>
  <c r="F102" i="25"/>
  <c r="F103" i="25"/>
  <c r="F104" i="25"/>
  <c r="F105" i="25"/>
  <c r="F106" i="25"/>
  <c r="F107" i="25"/>
  <c r="F108" i="25"/>
  <c r="F109" i="25"/>
  <c r="F110" i="25"/>
  <c r="F111" i="25"/>
  <c r="F112" i="25"/>
  <c r="F113" i="25"/>
  <c r="F114" i="25"/>
  <c r="F115" i="25"/>
  <c r="F116" i="25"/>
  <c r="F117" i="25"/>
  <c r="F118" i="25"/>
  <c r="F119" i="25"/>
  <c r="F120" i="25"/>
  <c r="F121" i="25"/>
  <c r="F122" i="25"/>
  <c r="F123" i="25"/>
  <c r="F124" i="25"/>
  <c r="F125" i="25"/>
  <c r="F126" i="25"/>
  <c r="F127" i="25"/>
  <c r="F128" i="25"/>
  <c r="F129" i="25"/>
  <c r="F130" i="25"/>
  <c r="F131" i="25"/>
  <c r="F132" i="25"/>
  <c r="F133" i="25"/>
  <c r="F134" i="25"/>
  <c r="F135" i="25"/>
  <c r="F136" i="25"/>
  <c r="F137" i="25"/>
  <c r="F138" i="25"/>
  <c r="F139" i="25"/>
  <c r="F140" i="25"/>
  <c r="F141" i="25"/>
  <c r="F142" i="25"/>
  <c r="F143" i="25"/>
  <c r="F144" i="25"/>
  <c r="F145" i="25"/>
  <c r="F146" i="25"/>
  <c r="F147" i="25"/>
  <c r="F148" i="25"/>
  <c r="F149" i="25"/>
  <c r="F150" i="25"/>
  <c r="F151" i="25"/>
  <c r="F152" i="25"/>
  <c r="F153" i="25"/>
  <c r="F154" i="25"/>
  <c r="F155" i="25"/>
  <c r="F156" i="25"/>
  <c r="F157" i="25"/>
  <c r="F158" i="25"/>
  <c r="F159" i="25"/>
  <c r="F160" i="25"/>
  <c r="F161" i="25"/>
  <c r="F162" i="25"/>
  <c r="F163" i="25"/>
  <c r="F164" i="25"/>
  <c r="F165" i="25"/>
  <c r="F166" i="25"/>
  <c r="F167" i="25"/>
  <c r="F168" i="25"/>
  <c r="F169" i="25"/>
  <c r="F170" i="25"/>
  <c r="F171" i="25"/>
  <c r="F172" i="25"/>
  <c r="F173" i="25"/>
  <c r="F174" i="25"/>
  <c r="F175" i="25"/>
  <c r="F176" i="25"/>
  <c r="F177" i="25"/>
  <c r="F178" i="25"/>
  <c r="F179" i="25"/>
  <c r="F180" i="25"/>
  <c r="F181" i="25"/>
  <c r="F182" i="25"/>
  <c r="F183" i="25"/>
  <c r="F184" i="25"/>
  <c r="F185" i="25"/>
  <c r="F186" i="25"/>
  <c r="F187" i="25"/>
  <c r="F188" i="25"/>
  <c r="F189" i="25"/>
  <c r="F190" i="25"/>
  <c r="F191" i="25"/>
  <c r="F192" i="25"/>
  <c r="F193" i="25"/>
  <c r="F194" i="25"/>
  <c r="F195" i="25"/>
  <c r="F196" i="25"/>
  <c r="F197" i="25"/>
  <c r="F198" i="25"/>
  <c r="F199" i="25"/>
  <c r="F200" i="25"/>
  <c r="F201" i="25"/>
  <c r="F202" i="25"/>
  <c r="F2" i="25"/>
  <c r="E264" i="25"/>
  <c r="E263" i="25"/>
  <c r="E261" i="25"/>
  <c r="E260" i="25"/>
  <c r="E259" i="25"/>
  <c r="E258" i="25"/>
  <c r="E257" i="25"/>
  <c r="E256" i="25"/>
  <c r="E255" i="25"/>
  <c r="E254" i="25"/>
  <c r="E253" i="25"/>
  <c r="E252" i="25"/>
  <c r="E251" i="25"/>
  <c r="E266" i="25"/>
  <c r="E250" i="25"/>
  <c r="E249" i="25"/>
  <c r="E248" i="25"/>
  <c r="E265" i="25"/>
  <c r="E247" i="25"/>
  <c r="E246" i="25"/>
  <c r="E245" i="25"/>
  <c r="E244" i="25"/>
  <c r="E262" i="25"/>
  <c r="E243" i="25"/>
  <c r="E242" i="25"/>
  <c r="E241" i="25"/>
  <c r="E240" i="25"/>
  <c r="E239" i="25"/>
  <c r="E238" i="25"/>
  <c r="E237" i="25"/>
  <c r="E236" i="25"/>
  <c r="E235" i="25"/>
  <c r="E234" i="25"/>
  <c r="E233" i="25"/>
  <c r="E232" i="25"/>
  <c r="E231" i="25"/>
  <c r="E230" i="25"/>
  <c r="E3" i="25"/>
  <c r="E4" i="25"/>
  <c r="E5" i="25"/>
  <c r="E6" i="25"/>
  <c r="E7" i="25"/>
  <c r="E8" i="25"/>
  <c r="E9" i="25"/>
  <c r="E10" i="25"/>
  <c r="E11" i="25"/>
  <c r="E12" i="25"/>
  <c r="E13" i="25"/>
  <c r="E14" i="25"/>
  <c r="E15" i="25"/>
  <c r="E16" i="25"/>
  <c r="E17" i="25"/>
  <c r="E18" i="25"/>
  <c r="E19" i="25"/>
  <c r="E20" i="25"/>
  <c r="E21" i="25"/>
  <c r="E22" i="25"/>
  <c r="E23" i="25"/>
  <c r="E24" i="25"/>
  <c r="E25" i="25"/>
  <c r="E26" i="25"/>
  <c r="E27" i="25"/>
  <c r="E28" i="25"/>
  <c r="E29" i="25"/>
  <c r="E30" i="25"/>
  <c r="E31" i="25"/>
  <c r="E32" i="25"/>
  <c r="E33" i="25"/>
  <c r="E34" i="25"/>
  <c r="E35" i="25"/>
  <c r="E36" i="25"/>
  <c r="E37" i="25"/>
  <c r="E38" i="25"/>
  <c r="E39" i="25"/>
  <c r="E40" i="25"/>
  <c r="E41" i="25"/>
  <c r="E42" i="25"/>
  <c r="E43" i="25"/>
  <c r="E44" i="25"/>
  <c r="E45" i="25"/>
  <c r="E46" i="25"/>
  <c r="E47" i="25"/>
  <c r="E48" i="25"/>
  <c r="E49" i="25"/>
  <c r="E50" i="25"/>
  <c r="E51" i="25"/>
  <c r="E52" i="25"/>
  <c r="E53" i="25"/>
  <c r="E54" i="25"/>
  <c r="E55" i="25"/>
  <c r="E56" i="25"/>
  <c r="E57" i="25"/>
  <c r="E58" i="25"/>
  <c r="E59" i="25"/>
  <c r="E60" i="25"/>
  <c r="E61" i="25"/>
  <c r="E62" i="25"/>
  <c r="E63" i="25"/>
  <c r="E64" i="25"/>
  <c r="E65" i="25"/>
  <c r="E66" i="25"/>
  <c r="E67" i="25"/>
  <c r="E68" i="25"/>
  <c r="E69" i="25"/>
  <c r="E70" i="25"/>
  <c r="E71" i="25"/>
  <c r="E72" i="25"/>
  <c r="E73" i="25"/>
  <c r="E74" i="25"/>
  <c r="E75" i="25"/>
  <c r="E76" i="25"/>
  <c r="E77" i="25"/>
  <c r="E78" i="25"/>
  <c r="E79" i="25"/>
  <c r="E80" i="25"/>
  <c r="E81" i="25"/>
  <c r="E82" i="25"/>
  <c r="E83" i="25"/>
  <c r="E84" i="25"/>
  <c r="E85" i="25"/>
  <c r="E86" i="25"/>
  <c r="E87" i="25"/>
  <c r="E88" i="25"/>
  <c r="E89" i="25"/>
  <c r="E90" i="25"/>
  <c r="E91" i="25"/>
  <c r="E92" i="25"/>
  <c r="E93" i="25"/>
  <c r="E94" i="25"/>
  <c r="E95" i="25"/>
  <c r="E96" i="25"/>
  <c r="E97" i="25"/>
  <c r="E98" i="25"/>
  <c r="E99" i="25"/>
  <c r="E100" i="25"/>
  <c r="E101" i="25"/>
  <c r="E102" i="25"/>
  <c r="E103" i="25"/>
  <c r="E104" i="25"/>
  <c r="E105" i="25"/>
  <c r="E106" i="25"/>
  <c r="E107" i="25"/>
  <c r="E108" i="25"/>
  <c r="E109" i="25"/>
  <c r="E110" i="25"/>
  <c r="E111" i="25"/>
  <c r="E112" i="25"/>
  <c r="E113" i="25"/>
  <c r="E114" i="25"/>
  <c r="E115" i="25"/>
  <c r="E116" i="25"/>
  <c r="E117" i="25"/>
  <c r="E118" i="25"/>
  <c r="E119" i="25"/>
  <c r="E120" i="25"/>
  <c r="E121" i="25"/>
  <c r="E122" i="25"/>
  <c r="E123" i="25"/>
  <c r="E124" i="25"/>
  <c r="E125" i="25"/>
  <c r="E126" i="25"/>
  <c r="E127" i="25"/>
  <c r="E128" i="25"/>
  <c r="E129" i="25"/>
  <c r="E130" i="25"/>
  <c r="E131" i="25"/>
  <c r="E132" i="25"/>
  <c r="E133" i="25"/>
  <c r="E134" i="25"/>
  <c r="E135" i="25"/>
  <c r="E136" i="25"/>
  <c r="E137" i="25"/>
  <c r="E138" i="25"/>
  <c r="E139" i="25"/>
  <c r="E140" i="25"/>
  <c r="E141" i="25"/>
  <c r="E142" i="25"/>
  <c r="E143" i="25"/>
  <c r="E144" i="25"/>
  <c r="E145" i="25"/>
  <c r="E146" i="25"/>
  <c r="E147" i="25"/>
  <c r="E148" i="25"/>
  <c r="E149" i="25"/>
  <c r="E150" i="25"/>
  <c r="E151" i="25"/>
  <c r="E152" i="25"/>
  <c r="E153" i="25"/>
  <c r="E154" i="25"/>
  <c r="E155" i="25"/>
  <c r="E156" i="25"/>
  <c r="E157" i="25"/>
  <c r="E158" i="25"/>
  <c r="E159" i="25"/>
  <c r="E160" i="25"/>
  <c r="E161" i="25"/>
  <c r="E162" i="25"/>
  <c r="E163" i="25"/>
  <c r="E164" i="25"/>
  <c r="E165" i="25"/>
  <c r="E166" i="25"/>
  <c r="E167" i="25"/>
  <c r="E168" i="25"/>
  <c r="E169" i="25"/>
  <c r="E170" i="25"/>
  <c r="E171" i="25"/>
  <c r="E172" i="25"/>
  <c r="E173" i="25"/>
  <c r="E174" i="25"/>
  <c r="E175" i="25"/>
  <c r="E176" i="25"/>
  <c r="E177" i="25"/>
  <c r="E178" i="25"/>
  <c r="E179" i="25"/>
  <c r="E180" i="25"/>
  <c r="E181" i="25"/>
  <c r="E182" i="25"/>
  <c r="E183" i="25"/>
  <c r="E184" i="25"/>
  <c r="E185" i="25"/>
  <c r="E186" i="25"/>
  <c r="E187" i="25"/>
  <c r="E188" i="25"/>
  <c r="E189" i="25"/>
  <c r="E190" i="25"/>
  <c r="E191" i="25"/>
  <c r="E192" i="25"/>
  <c r="E193" i="25"/>
  <c r="E194" i="25"/>
  <c r="E195" i="25"/>
  <c r="E196" i="25"/>
  <c r="E197" i="25"/>
  <c r="E198" i="25"/>
  <c r="E199" i="25"/>
  <c r="E200" i="25"/>
  <c r="E201" i="25"/>
  <c r="E202" i="25"/>
  <c r="E2" i="25"/>
  <c r="D205" i="25"/>
  <c r="D206" i="25"/>
  <c r="D207" i="25"/>
  <c r="D208" i="25"/>
  <c r="D209" i="25"/>
  <c r="D210" i="25"/>
  <c r="D211" i="25"/>
  <c r="D212" i="25"/>
  <c r="D213" i="25"/>
  <c r="D214" i="25"/>
  <c r="D215" i="25"/>
  <c r="D216" i="25"/>
  <c r="D217" i="25"/>
  <c r="D218" i="25"/>
  <c r="D219" i="25"/>
  <c r="D220" i="25"/>
  <c r="D221" i="25"/>
  <c r="D222" i="25"/>
  <c r="D223" i="25"/>
  <c r="D224" i="25"/>
  <c r="D225" i="25"/>
  <c r="D226" i="25"/>
  <c r="D227" i="25"/>
  <c r="D228" i="25"/>
  <c r="D204" i="25"/>
  <c r="G483" i="12"/>
  <c r="F483" i="12"/>
  <c r="E483" i="12"/>
  <c r="F3" i="12"/>
  <c r="F4" i="12"/>
  <c r="F5" i="12"/>
  <c r="F6" i="12"/>
  <c r="F7" i="12"/>
  <c r="F8" i="12"/>
  <c r="F9" i="12"/>
  <c r="F10" i="12"/>
  <c r="F11" i="12"/>
  <c r="F12" i="12"/>
  <c r="F13" i="12"/>
  <c r="F14" i="12"/>
  <c r="F15" i="12"/>
  <c r="F16" i="12"/>
  <c r="F17" i="12"/>
  <c r="F18" i="12"/>
  <c r="F19" i="12"/>
  <c r="F20" i="12"/>
  <c r="F21" i="12"/>
  <c r="F22" i="12"/>
  <c r="F23" i="12"/>
  <c r="F24" i="12"/>
  <c r="F25" i="12"/>
  <c r="F26" i="12"/>
  <c r="F27" i="12"/>
  <c r="F28" i="12"/>
  <c r="F29" i="12"/>
  <c r="F30" i="12"/>
  <c r="F31" i="12"/>
  <c r="F32" i="12"/>
  <c r="F33" i="12"/>
  <c r="F34" i="12"/>
  <c r="F35" i="12"/>
  <c r="F36" i="12"/>
  <c r="F37" i="12"/>
  <c r="F38" i="12"/>
  <c r="F39" i="12"/>
  <c r="F40" i="12"/>
  <c r="F41" i="12"/>
  <c r="F42" i="12"/>
  <c r="F43" i="12"/>
  <c r="F44" i="12"/>
  <c r="F45" i="12"/>
  <c r="F46" i="12"/>
  <c r="F47" i="12"/>
  <c r="F48" i="12"/>
  <c r="F49" i="12"/>
  <c r="F50" i="12"/>
  <c r="F51" i="12"/>
  <c r="F52" i="12"/>
  <c r="F53" i="12"/>
  <c r="F54" i="12"/>
  <c r="F55" i="12"/>
  <c r="F56" i="12"/>
  <c r="F57" i="12"/>
  <c r="F58" i="12"/>
  <c r="F59" i="12"/>
  <c r="F60" i="12"/>
  <c r="F61" i="12"/>
  <c r="F62" i="12"/>
  <c r="F63" i="12"/>
  <c r="F64" i="12"/>
  <c r="F65" i="12"/>
  <c r="F66" i="12"/>
  <c r="F67" i="12"/>
  <c r="F68" i="12"/>
  <c r="F69" i="12"/>
  <c r="F70" i="12"/>
  <c r="F71" i="12"/>
  <c r="F72" i="12"/>
  <c r="F73" i="12"/>
  <c r="F74" i="12"/>
  <c r="F75" i="12"/>
  <c r="F76" i="12"/>
  <c r="F77" i="12"/>
  <c r="F78" i="12"/>
  <c r="F79" i="12"/>
  <c r="F80" i="12"/>
  <c r="F81" i="12"/>
  <c r="F82" i="12"/>
  <c r="F83" i="12"/>
  <c r="F84" i="12"/>
  <c r="F85" i="12"/>
  <c r="F86" i="12"/>
  <c r="F87" i="12"/>
  <c r="F88" i="12"/>
  <c r="F89" i="12"/>
  <c r="F90" i="12"/>
  <c r="F91" i="12"/>
  <c r="F92" i="12"/>
  <c r="F93" i="12"/>
  <c r="F94" i="12"/>
  <c r="F95" i="12"/>
  <c r="F96" i="12"/>
  <c r="F97" i="12"/>
  <c r="F98" i="12"/>
  <c r="F99" i="12"/>
  <c r="F100" i="12"/>
  <c r="F101" i="12"/>
  <c r="F102" i="12"/>
  <c r="F103" i="12"/>
  <c r="F104" i="12"/>
  <c r="F105" i="12"/>
  <c r="F106" i="12"/>
  <c r="F107" i="12"/>
  <c r="F108" i="12"/>
  <c r="F109" i="12"/>
  <c r="F110" i="12"/>
  <c r="F111" i="12"/>
  <c r="F112" i="12"/>
  <c r="F113" i="12"/>
  <c r="F114" i="12"/>
  <c r="F115" i="12"/>
  <c r="F116" i="12"/>
  <c r="F117" i="12"/>
  <c r="F118" i="12"/>
  <c r="F119" i="12"/>
  <c r="F120" i="12"/>
  <c r="F121" i="12"/>
  <c r="F122" i="12"/>
  <c r="F123" i="12"/>
  <c r="F124" i="12"/>
  <c r="F125" i="12"/>
  <c r="F126" i="12"/>
  <c r="F127" i="12"/>
  <c r="F128" i="12"/>
  <c r="F129" i="12"/>
  <c r="F130" i="12"/>
  <c r="F131" i="12"/>
  <c r="F132" i="12"/>
  <c r="F133" i="12"/>
  <c r="F134" i="12"/>
  <c r="F135" i="12"/>
  <c r="F136" i="12"/>
  <c r="F137" i="12"/>
  <c r="F138" i="12"/>
  <c r="F139" i="12"/>
  <c r="F140" i="12"/>
  <c r="F141" i="12"/>
  <c r="F142" i="12"/>
  <c r="F143" i="12"/>
  <c r="F144" i="12"/>
  <c r="F145" i="12"/>
  <c r="F146" i="12"/>
  <c r="F147" i="12"/>
  <c r="F148" i="12"/>
  <c r="F149" i="12"/>
  <c r="F150" i="12"/>
  <c r="F151" i="12"/>
  <c r="F152" i="12"/>
  <c r="F153" i="12"/>
  <c r="F154" i="12"/>
  <c r="F155" i="12"/>
  <c r="F156" i="12"/>
  <c r="F157" i="12"/>
  <c r="F158" i="12"/>
  <c r="F159" i="12"/>
  <c r="F160" i="12"/>
  <c r="F161" i="12"/>
  <c r="F162" i="12"/>
  <c r="F163" i="12"/>
  <c r="F164" i="12"/>
  <c r="F165" i="12"/>
  <c r="F166" i="12"/>
  <c r="F167" i="12"/>
  <c r="F168" i="12"/>
  <c r="F169" i="12"/>
  <c r="F170" i="12"/>
  <c r="F171" i="12"/>
  <c r="F172" i="12"/>
  <c r="F173" i="12"/>
  <c r="F174" i="12"/>
  <c r="F175" i="12"/>
  <c r="F176" i="12"/>
  <c r="F177" i="12"/>
  <c r="F178" i="12"/>
  <c r="F179" i="12"/>
  <c r="F180" i="12"/>
  <c r="F181" i="12"/>
  <c r="F182" i="12"/>
  <c r="F183" i="12"/>
  <c r="F184" i="12"/>
  <c r="F185" i="12"/>
  <c r="F186" i="12"/>
  <c r="F187" i="12"/>
  <c r="F188" i="12"/>
  <c r="F189" i="12"/>
  <c r="F190" i="12"/>
  <c r="F191" i="12"/>
  <c r="F192" i="12"/>
  <c r="F193" i="12"/>
  <c r="F194" i="12"/>
  <c r="F195" i="12"/>
  <c r="F196" i="12"/>
  <c r="F197" i="12"/>
  <c r="F198" i="12"/>
  <c r="F199" i="12"/>
  <c r="F200" i="12"/>
  <c r="F201" i="12"/>
  <c r="F202" i="12"/>
  <c r="F203" i="12"/>
  <c r="F204" i="12"/>
  <c r="F205" i="12"/>
  <c r="F206" i="12"/>
  <c r="F207" i="12"/>
  <c r="F208" i="12"/>
  <c r="F209" i="12"/>
  <c r="F210" i="12"/>
  <c r="F211" i="12"/>
  <c r="F212" i="12"/>
  <c r="F213" i="12"/>
  <c r="F214" i="12"/>
  <c r="F215" i="12"/>
  <c r="F216" i="12"/>
  <c r="F217" i="12"/>
  <c r="F218" i="12"/>
  <c r="F219" i="12"/>
  <c r="F220" i="12"/>
  <c r="F221" i="12"/>
  <c r="F222" i="12"/>
  <c r="F223" i="12"/>
  <c r="F224" i="12"/>
  <c r="F225" i="12"/>
  <c r="F226" i="12"/>
  <c r="F227" i="12"/>
  <c r="F228" i="12"/>
  <c r="F229" i="12"/>
  <c r="F230" i="12"/>
  <c r="F231" i="12"/>
  <c r="F232" i="12"/>
  <c r="F233" i="12"/>
  <c r="F234" i="12"/>
  <c r="F235" i="12"/>
  <c r="F236" i="12"/>
  <c r="F237" i="12"/>
  <c r="F238" i="12"/>
  <c r="F239" i="12"/>
  <c r="F240" i="12"/>
  <c r="F241" i="12"/>
  <c r="F242" i="12"/>
  <c r="F243" i="12"/>
  <c r="F244" i="12"/>
  <c r="F245" i="12"/>
  <c r="F246" i="12"/>
  <c r="F247" i="12"/>
  <c r="F248" i="12"/>
  <c r="F249" i="12"/>
  <c r="F250" i="12"/>
  <c r="F251" i="12"/>
  <c r="F252" i="12"/>
  <c r="F253" i="12"/>
  <c r="F254" i="12"/>
  <c r="F255" i="12"/>
  <c r="F256" i="12"/>
  <c r="F257" i="12"/>
  <c r="F258" i="12"/>
  <c r="F259" i="12"/>
  <c r="F260" i="12"/>
  <c r="F261" i="12"/>
  <c r="F262" i="12"/>
  <c r="F263" i="12"/>
  <c r="F264" i="12"/>
  <c r="F265" i="12"/>
  <c r="F266" i="12"/>
  <c r="F267" i="12"/>
  <c r="F268" i="12"/>
  <c r="F269" i="12"/>
  <c r="F270" i="12"/>
  <c r="F271" i="12"/>
  <c r="F272" i="12"/>
  <c r="F273" i="12"/>
  <c r="F274" i="12"/>
  <c r="F275" i="12"/>
  <c r="F276" i="12"/>
  <c r="F277" i="12"/>
  <c r="F278" i="12"/>
  <c r="F279" i="12"/>
  <c r="F280" i="12"/>
  <c r="F281" i="12"/>
  <c r="F282" i="12"/>
  <c r="F283" i="12"/>
  <c r="F284" i="12"/>
  <c r="F285" i="12"/>
  <c r="F286" i="12"/>
  <c r="F287" i="12"/>
  <c r="F288" i="12"/>
  <c r="F289" i="12"/>
  <c r="F290" i="12"/>
  <c r="F291" i="12"/>
  <c r="F292" i="12"/>
  <c r="F293" i="12"/>
  <c r="F294" i="12"/>
  <c r="F295" i="12"/>
  <c r="F296" i="12"/>
  <c r="F297" i="12"/>
  <c r="F298" i="12"/>
  <c r="F299" i="12"/>
  <c r="F300" i="12"/>
  <c r="F301" i="12"/>
  <c r="F302" i="12"/>
  <c r="F303" i="12"/>
  <c r="F304" i="12"/>
  <c r="F305" i="12"/>
  <c r="F306" i="12"/>
  <c r="F307" i="12"/>
  <c r="F308" i="12"/>
  <c r="F309" i="12"/>
  <c r="F310" i="12"/>
  <c r="F311" i="12"/>
  <c r="F312" i="12"/>
  <c r="F313" i="12"/>
  <c r="F314" i="12"/>
  <c r="F315" i="12"/>
  <c r="F316" i="12"/>
  <c r="F317" i="12"/>
  <c r="F318" i="12"/>
  <c r="F319" i="12"/>
  <c r="F320" i="12"/>
  <c r="F321" i="12"/>
  <c r="F322" i="12"/>
  <c r="F323" i="12"/>
  <c r="F324" i="12"/>
  <c r="F325" i="12"/>
  <c r="F326" i="12"/>
  <c r="F327" i="12"/>
  <c r="F328" i="12"/>
  <c r="F329" i="12"/>
  <c r="F330" i="12"/>
  <c r="F331" i="12"/>
  <c r="F332" i="12"/>
  <c r="F333" i="12"/>
  <c r="F334" i="12"/>
  <c r="F335" i="12"/>
  <c r="F336" i="12"/>
  <c r="F337" i="12"/>
  <c r="F338" i="12"/>
  <c r="F339" i="12"/>
  <c r="F340" i="12"/>
  <c r="F341" i="12"/>
  <c r="F342" i="12"/>
  <c r="F343" i="12"/>
  <c r="F344" i="12"/>
  <c r="F345" i="12"/>
  <c r="F346" i="12"/>
  <c r="F347" i="12"/>
  <c r="F348" i="12"/>
  <c r="F349" i="12"/>
  <c r="F350" i="12"/>
  <c r="F351" i="12"/>
  <c r="F352" i="12"/>
  <c r="F353" i="12"/>
  <c r="F354" i="12"/>
  <c r="F355" i="12"/>
  <c r="F356" i="12"/>
  <c r="F357" i="12"/>
  <c r="F358" i="12"/>
  <c r="F359" i="12"/>
  <c r="F360" i="12"/>
  <c r="F361" i="12"/>
  <c r="F362" i="12"/>
  <c r="F363" i="12"/>
  <c r="F364" i="12"/>
  <c r="F365" i="12"/>
  <c r="F366" i="12"/>
  <c r="F367" i="12"/>
  <c r="F368" i="12"/>
  <c r="F369" i="12"/>
  <c r="F370" i="12"/>
  <c r="F371" i="12"/>
  <c r="F372" i="12"/>
  <c r="F373" i="12"/>
  <c r="F374" i="12"/>
  <c r="F375" i="12"/>
  <c r="F376" i="12"/>
  <c r="F377" i="12"/>
  <c r="F378" i="12"/>
  <c r="F379" i="12"/>
  <c r="F380" i="12"/>
  <c r="F381" i="12"/>
  <c r="F382" i="12"/>
  <c r="F383" i="12"/>
  <c r="F384" i="12"/>
  <c r="F385" i="12"/>
  <c r="F386" i="12"/>
  <c r="F387" i="12"/>
  <c r="F388" i="12"/>
  <c r="F389" i="12"/>
  <c r="F390" i="12"/>
  <c r="F391" i="12"/>
  <c r="F392" i="12"/>
  <c r="F393" i="12"/>
  <c r="F394" i="12"/>
  <c r="F395" i="12"/>
  <c r="F396" i="12"/>
  <c r="F397" i="12"/>
  <c r="F398" i="12"/>
  <c r="F399" i="12"/>
  <c r="F400" i="12"/>
  <c r="F401" i="12"/>
  <c r="F402" i="12"/>
  <c r="F403" i="12"/>
  <c r="F404" i="12"/>
  <c r="F405" i="12"/>
  <c r="F406" i="12"/>
  <c r="F407" i="12"/>
  <c r="F408" i="12"/>
  <c r="F409" i="12"/>
  <c r="F410" i="12"/>
  <c r="F411" i="12"/>
  <c r="F412" i="12"/>
  <c r="F413" i="12"/>
  <c r="F414" i="12"/>
  <c r="F415" i="12"/>
  <c r="F416" i="12"/>
  <c r="F417" i="12"/>
  <c r="F418" i="12"/>
  <c r="F419" i="12"/>
  <c r="F420" i="12"/>
  <c r="F421" i="12"/>
  <c r="F422" i="12"/>
  <c r="F423" i="12"/>
  <c r="F424" i="12"/>
  <c r="F425" i="12"/>
  <c r="F426" i="12"/>
  <c r="F427" i="12"/>
  <c r="F428" i="12"/>
  <c r="F429" i="12"/>
  <c r="F430" i="12"/>
  <c r="F431" i="12"/>
  <c r="F432" i="12"/>
  <c r="F433" i="12"/>
  <c r="F434" i="12"/>
  <c r="F435" i="12"/>
  <c r="F436" i="12"/>
  <c r="F437" i="12"/>
  <c r="F438" i="12"/>
  <c r="F439" i="12"/>
  <c r="F440" i="12"/>
  <c r="F441" i="12"/>
  <c r="F442" i="12"/>
  <c r="F443" i="12"/>
  <c r="F444" i="12"/>
  <c r="F445" i="12"/>
  <c r="F446" i="12"/>
  <c r="F447" i="12"/>
  <c r="F448" i="12"/>
  <c r="F449" i="12"/>
  <c r="F450" i="12"/>
  <c r="F451" i="12"/>
  <c r="F452" i="12"/>
  <c r="F453" i="12"/>
  <c r="F454" i="12"/>
  <c r="F455" i="12"/>
  <c r="F456" i="12"/>
  <c r="F457" i="12"/>
  <c r="F458" i="12"/>
  <c r="F459" i="12"/>
  <c r="F460" i="12"/>
  <c r="F461" i="12"/>
  <c r="F462" i="12"/>
  <c r="F463" i="12"/>
  <c r="F464" i="12"/>
  <c r="F465" i="12"/>
  <c r="F466" i="12"/>
  <c r="F467" i="12"/>
  <c r="F468" i="12"/>
  <c r="F469" i="12"/>
  <c r="F470" i="12"/>
  <c r="F471" i="12"/>
  <c r="F472" i="12"/>
  <c r="F473" i="12"/>
  <c r="F474" i="12"/>
  <c r="F475" i="12"/>
  <c r="F476" i="12"/>
  <c r="F477" i="12"/>
  <c r="F478" i="12"/>
  <c r="F479" i="12"/>
  <c r="F480" i="12"/>
  <c r="F481" i="12"/>
  <c r="F482" i="12"/>
  <c r="F2" i="12"/>
  <c r="F1438" i="80"/>
  <c r="E1438" i="80"/>
  <c r="F1437" i="80"/>
  <c r="E1437" i="80"/>
  <c r="F1436" i="80"/>
  <c r="E1436" i="80"/>
  <c r="F1435" i="80"/>
  <c r="E1435" i="80"/>
  <c r="F1434" i="80"/>
  <c r="E1434" i="80"/>
  <c r="F1433" i="80"/>
  <c r="E1433" i="80"/>
  <c r="F1432" i="80"/>
  <c r="E1432" i="80"/>
  <c r="F1431" i="80"/>
  <c r="E1431" i="80"/>
  <c r="F1430" i="80"/>
  <c r="E1430" i="80"/>
  <c r="F1429" i="80"/>
  <c r="E1429" i="80"/>
  <c r="F1428" i="80"/>
  <c r="E1428" i="80"/>
  <c r="F1427" i="80"/>
  <c r="E1427" i="80"/>
  <c r="F1426" i="80"/>
  <c r="E1426" i="80"/>
  <c r="F1425" i="80"/>
  <c r="E1425" i="80"/>
  <c r="F1424" i="80"/>
  <c r="E1424" i="80"/>
  <c r="F1423" i="80"/>
  <c r="E1423" i="80"/>
  <c r="F1422" i="80"/>
  <c r="E1422" i="80"/>
  <c r="F1421" i="80"/>
  <c r="E1421" i="80"/>
  <c r="F1420" i="80"/>
  <c r="E1420" i="80"/>
  <c r="F1419" i="80"/>
  <c r="E1419" i="80"/>
  <c r="F1418" i="80"/>
  <c r="E1418" i="80"/>
  <c r="F1417" i="80"/>
  <c r="E1417" i="80"/>
  <c r="F1416" i="80"/>
  <c r="E1416" i="80"/>
  <c r="F1415" i="80"/>
  <c r="E1415" i="80"/>
  <c r="F1414" i="80"/>
  <c r="E1414" i="80"/>
  <c r="F1413" i="80"/>
  <c r="E1413" i="80"/>
  <c r="F1412" i="80"/>
  <c r="E1412" i="80"/>
  <c r="F1411" i="80"/>
  <c r="E1411" i="80"/>
  <c r="F1410" i="80"/>
  <c r="E1410" i="80"/>
  <c r="F1409" i="80"/>
  <c r="E1409" i="80"/>
  <c r="F1408" i="80"/>
  <c r="E1408" i="80"/>
  <c r="F1407" i="80"/>
  <c r="E1407" i="80"/>
  <c r="F1406" i="80"/>
  <c r="E1406" i="80"/>
  <c r="F1405" i="80"/>
  <c r="E1405" i="80"/>
  <c r="F1404" i="80"/>
  <c r="E1404" i="80"/>
  <c r="F1403" i="80"/>
  <c r="E1403" i="80"/>
  <c r="F1402" i="80"/>
  <c r="E1402" i="80"/>
  <c r="F1401" i="80"/>
  <c r="E1401" i="80"/>
  <c r="F1400" i="80"/>
  <c r="E1400" i="80"/>
  <c r="F1399" i="80"/>
  <c r="E1399" i="80"/>
  <c r="F1398" i="80"/>
  <c r="E1398" i="80"/>
  <c r="F1397" i="80"/>
  <c r="E1397" i="80"/>
  <c r="F1396" i="80"/>
  <c r="E1396" i="80"/>
  <c r="F1395" i="80"/>
  <c r="E1395" i="80"/>
  <c r="F1394" i="80"/>
  <c r="E1394" i="80"/>
  <c r="F1393" i="80"/>
  <c r="E1393" i="80"/>
  <c r="F1392" i="80"/>
  <c r="E1392" i="80"/>
  <c r="F1391" i="80"/>
  <c r="E1391" i="80"/>
  <c r="F1390" i="80"/>
  <c r="E1390" i="80"/>
  <c r="F1389" i="80"/>
  <c r="E1389" i="80"/>
  <c r="F1388" i="80"/>
  <c r="E1388" i="80"/>
  <c r="F1387" i="80"/>
  <c r="E1387" i="80"/>
  <c r="F1386" i="80"/>
  <c r="E1386" i="80"/>
  <c r="F1385" i="80"/>
  <c r="E1385" i="80"/>
  <c r="F1384" i="80"/>
  <c r="E1384" i="80"/>
  <c r="F1383" i="80"/>
  <c r="E1383" i="80"/>
  <c r="F1382" i="80"/>
  <c r="E1382" i="80"/>
  <c r="F1381" i="80"/>
  <c r="E1381" i="80"/>
  <c r="F1380" i="80"/>
  <c r="E1380" i="80"/>
  <c r="F1379" i="80"/>
  <c r="E1379" i="80"/>
  <c r="F1378" i="80"/>
  <c r="E1378" i="80"/>
  <c r="F1377" i="80"/>
  <c r="E1377" i="80"/>
  <c r="F1376" i="80"/>
  <c r="E1376" i="80"/>
  <c r="F1375" i="80"/>
  <c r="E1375" i="80"/>
  <c r="F1374" i="80"/>
  <c r="E1374" i="80"/>
  <c r="F1373" i="80"/>
  <c r="E1373" i="80"/>
  <c r="F1372" i="80"/>
  <c r="E1372" i="80"/>
  <c r="F1371" i="80"/>
  <c r="E1371" i="80"/>
  <c r="F1370" i="80"/>
  <c r="E1370" i="80"/>
  <c r="F1369" i="80"/>
  <c r="E1369" i="80"/>
  <c r="F1368" i="80"/>
  <c r="E1368" i="80"/>
  <c r="F1367" i="80"/>
  <c r="E1367" i="80"/>
  <c r="F1366" i="80"/>
  <c r="E1366" i="80"/>
  <c r="F1365" i="80"/>
  <c r="E1365" i="80"/>
  <c r="F1364" i="80"/>
  <c r="E1364" i="80"/>
  <c r="F1363" i="80"/>
  <c r="E1363" i="80"/>
  <c r="F1362" i="80"/>
  <c r="E1362" i="80"/>
  <c r="F1361" i="80"/>
  <c r="E1361" i="80"/>
  <c r="F1360" i="80"/>
  <c r="E1360" i="80"/>
  <c r="F1359" i="80"/>
  <c r="E1359" i="80"/>
  <c r="F1358" i="80"/>
  <c r="E1358" i="80"/>
  <c r="F1357" i="80"/>
  <c r="E1357" i="80"/>
  <c r="F1356" i="80"/>
  <c r="E1356" i="80"/>
  <c r="F1355" i="80"/>
  <c r="E1355" i="80"/>
  <c r="F1354" i="80"/>
  <c r="E1354" i="80"/>
  <c r="F1353" i="80"/>
  <c r="E1353" i="80"/>
  <c r="F1352" i="80"/>
  <c r="E1352" i="80"/>
  <c r="F1351" i="80"/>
  <c r="E1351" i="80"/>
  <c r="F1350" i="80"/>
  <c r="E1350" i="80"/>
  <c r="F1349" i="80"/>
  <c r="E1349" i="80"/>
  <c r="F1348" i="80"/>
  <c r="E1348" i="80"/>
  <c r="F1347" i="80"/>
  <c r="E1347" i="80"/>
  <c r="F1346" i="80"/>
  <c r="E1346" i="80"/>
  <c r="F1345" i="80"/>
  <c r="E1345" i="80"/>
  <c r="F1344" i="80"/>
  <c r="E1344" i="80"/>
  <c r="F1343" i="80"/>
  <c r="E1343" i="80"/>
  <c r="F1342" i="80"/>
  <c r="E1342" i="80"/>
  <c r="F1341" i="80"/>
  <c r="E1341" i="80"/>
  <c r="F1340" i="80"/>
  <c r="E1340" i="80"/>
  <c r="F1339" i="80"/>
  <c r="E1339" i="80"/>
  <c r="F1338" i="80"/>
  <c r="E1338" i="80"/>
  <c r="F1337" i="80"/>
  <c r="E1337" i="80"/>
  <c r="F1336" i="80"/>
  <c r="E1336" i="80"/>
  <c r="F1335" i="80"/>
  <c r="E1335" i="80"/>
  <c r="F1334" i="80"/>
  <c r="E1334" i="80"/>
  <c r="F1333" i="80"/>
  <c r="E1333" i="80"/>
  <c r="F1332" i="80"/>
  <c r="E1332" i="80"/>
  <c r="F1331" i="80"/>
  <c r="E1331" i="80"/>
  <c r="F1330" i="80"/>
  <c r="E1330" i="80"/>
  <c r="F1329" i="80"/>
  <c r="E1329" i="80"/>
  <c r="F1328" i="80"/>
  <c r="E1328" i="80"/>
  <c r="F1327" i="80"/>
  <c r="E1327" i="80"/>
  <c r="F1326" i="80"/>
  <c r="E1326" i="80"/>
  <c r="F1325" i="80"/>
  <c r="E1325" i="80"/>
  <c r="F1324" i="80"/>
  <c r="E1324" i="80"/>
  <c r="F1323" i="80"/>
  <c r="E1323" i="80"/>
  <c r="F1322" i="80"/>
  <c r="E1322" i="80"/>
  <c r="F1321" i="80"/>
  <c r="E1321" i="80"/>
  <c r="F1320" i="80"/>
  <c r="E1320" i="80"/>
  <c r="F1319" i="80"/>
  <c r="E1319" i="80"/>
  <c r="F1318" i="80"/>
  <c r="E1318" i="80"/>
  <c r="F1317" i="80"/>
  <c r="E1317" i="80"/>
  <c r="F1316" i="80"/>
  <c r="E1316" i="80"/>
  <c r="F1315" i="80"/>
  <c r="E1315" i="80"/>
  <c r="F1314" i="80"/>
  <c r="E1314" i="80"/>
  <c r="F1313" i="80"/>
  <c r="E1313" i="80"/>
  <c r="F1312" i="80"/>
  <c r="E1312" i="80"/>
  <c r="F1311" i="80"/>
  <c r="E1311" i="80"/>
  <c r="F1310" i="80"/>
  <c r="E1310" i="80"/>
  <c r="F1309" i="80"/>
  <c r="E1309" i="80"/>
  <c r="F1308" i="80"/>
  <c r="E1308" i="80"/>
  <c r="F1307" i="80"/>
  <c r="E1307" i="80"/>
  <c r="F1306" i="80"/>
  <c r="E1306" i="80"/>
  <c r="F1305" i="80"/>
  <c r="E1305" i="80"/>
  <c r="F1304" i="80"/>
  <c r="E1304" i="80"/>
  <c r="F1303" i="80"/>
  <c r="E1303" i="80"/>
  <c r="F1302" i="80"/>
  <c r="E1302" i="80"/>
  <c r="F1301" i="80"/>
  <c r="E1301" i="80"/>
  <c r="F1300" i="80"/>
  <c r="E1300" i="80"/>
  <c r="F1299" i="80"/>
  <c r="E1299" i="80"/>
  <c r="F1298" i="80"/>
  <c r="E1298" i="80"/>
  <c r="F1297" i="80"/>
  <c r="E1297" i="80"/>
  <c r="F1296" i="80"/>
  <c r="E1296" i="80"/>
  <c r="F1295" i="80"/>
  <c r="E1295" i="80"/>
  <c r="F1294" i="80"/>
  <c r="E1294" i="80"/>
  <c r="F1293" i="80"/>
  <c r="E1293" i="80"/>
  <c r="F1292" i="80"/>
  <c r="E1292" i="80"/>
  <c r="F1291" i="80"/>
  <c r="E1291" i="80"/>
  <c r="F1290" i="80"/>
  <c r="E1290" i="80"/>
  <c r="F1289" i="80"/>
  <c r="E1289" i="80"/>
  <c r="F1288" i="80"/>
  <c r="E1288" i="80"/>
  <c r="F1287" i="80"/>
  <c r="E1287" i="80"/>
  <c r="F1286" i="80"/>
  <c r="E1286" i="80"/>
  <c r="F1285" i="80"/>
  <c r="E1285" i="80"/>
  <c r="F1284" i="80"/>
  <c r="E1284" i="80"/>
  <c r="F1283" i="80"/>
  <c r="E1283" i="80"/>
  <c r="F1282" i="80"/>
  <c r="E1282" i="80"/>
  <c r="F1281" i="80"/>
  <c r="E1281" i="80"/>
  <c r="F1280" i="80"/>
  <c r="E1280" i="80"/>
  <c r="F1279" i="80"/>
  <c r="E1279" i="80"/>
  <c r="F1278" i="80"/>
  <c r="E1278" i="80"/>
  <c r="F1277" i="80"/>
  <c r="E1277" i="80"/>
  <c r="F1276" i="80"/>
  <c r="E1276" i="80"/>
  <c r="F1275" i="80"/>
  <c r="E1275" i="80"/>
  <c r="F1274" i="80"/>
  <c r="E1274" i="80"/>
  <c r="F1273" i="80"/>
  <c r="E1273" i="80"/>
  <c r="F1272" i="80"/>
  <c r="E1272" i="80"/>
  <c r="F1271" i="80"/>
  <c r="E1271" i="80"/>
  <c r="F1270" i="80"/>
  <c r="E1270" i="80"/>
  <c r="F1269" i="80"/>
  <c r="E1269" i="80"/>
  <c r="F1268" i="80"/>
  <c r="E1268" i="80"/>
  <c r="F1267" i="80"/>
  <c r="E1267" i="80"/>
  <c r="F1266" i="80"/>
  <c r="E1266" i="80"/>
  <c r="F1265" i="80"/>
  <c r="E1265" i="80"/>
  <c r="F1264" i="80"/>
  <c r="E1264" i="80"/>
  <c r="F1263" i="80"/>
  <c r="E1263" i="80"/>
  <c r="F1262" i="80"/>
  <c r="E1262" i="80"/>
  <c r="F1261" i="80"/>
  <c r="E1261" i="80"/>
  <c r="F1260" i="80"/>
  <c r="E1260" i="80"/>
  <c r="F1259" i="80"/>
  <c r="E1259" i="80"/>
  <c r="F1258" i="80"/>
  <c r="E1258" i="80"/>
  <c r="F1257" i="80"/>
  <c r="E1257" i="80"/>
  <c r="F1256" i="80"/>
  <c r="E1256" i="80"/>
  <c r="F1255" i="80"/>
  <c r="E1255" i="80"/>
  <c r="F1254" i="80"/>
  <c r="E1254" i="80"/>
  <c r="F1253" i="80"/>
  <c r="E1253" i="80"/>
  <c r="F1252" i="80"/>
  <c r="E1252" i="80"/>
  <c r="F1251" i="80"/>
  <c r="E1251" i="80"/>
  <c r="F1250" i="80"/>
  <c r="E1250" i="80"/>
  <c r="F1249" i="80"/>
  <c r="E1249" i="80"/>
  <c r="F1248" i="80"/>
  <c r="E1248" i="80"/>
  <c r="F1247" i="80"/>
  <c r="E1247" i="80"/>
  <c r="F1246" i="80"/>
  <c r="E1246" i="80"/>
  <c r="F1245" i="80"/>
  <c r="E1245" i="80"/>
  <c r="F1244" i="80"/>
  <c r="E1244" i="80"/>
  <c r="F1243" i="80"/>
  <c r="E1243" i="80"/>
  <c r="F1242" i="80"/>
  <c r="E1242" i="80"/>
  <c r="F1241" i="80"/>
  <c r="E1241" i="80"/>
  <c r="F1240" i="80"/>
  <c r="E1240" i="80"/>
  <c r="F1239" i="80"/>
  <c r="E1239" i="80"/>
  <c r="F1238" i="80"/>
  <c r="E1238" i="80"/>
  <c r="F1237" i="80"/>
  <c r="E1237" i="80"/>
  <c r="F1236" i="80"/>
  <c r="E1236" i="80"/>
  <c r="F1235" i="80"/>
  <c r="E1235" i="80"/>
  <c r="F1234" i="80"/>
  <c r="E1234" i="80"/>
  <c r="F1233" i="80"/>
  <c r="E1233" i="80"/>
  <c r="F1232" i="80"/>
  <c r="E1232" i="80"/>
  <c r="F1231" i="80"/>
  <c r="E1231" i="80"/>
  <c r="F1230" i="80"/>
  <c r="E1230" i="80"/>
  <c r="F1229" i="80"/>
  <c r="E1229" i="80"/>
  <c r="F1228" i="80"/>
  <c r="E1228" i="80"/>
  <c r="F1227" i="80"/>
  <c r="E1227" i="80"/>
  <c r="F1226" i="80"/>
  <c r="E1226" i="80"/>
  <c r="F1225" i="80"/>
  <c r="E1225" i="80"/>
  <c r="F1224" i="80"/>
  <c r="E1224" i="80"/>
  <c r="F1223" i="80"/>
  <c r="E1223" i="80"/>
  <c r="F1222" i="80"/>
  <c r="E1222" i="80"/>
  <c r="F1221" i="80"/>
  <c r="E1221" i="80"/>
  <c r="F1220" i="80"/>
  <c r="E1220" i="80"/>
  <c r="F1219" i="80"/>
  <c r="E1219" i="80"/>
  <c r="F1218" i="80"/>
  <c r="E1218" i="80"/>
  <c r="F1217" i="80"/>
  <c r="E1217" i="80"/>
  <c r="F1216" i="80"/>
  <c r="E1216" i="80"/>
  <c r="F1215" i="80"/>
  <c r="E1215" i="80"/>
  <c r="F1214" i="80"/>
  <c r="E1214" i="80"/>
  <c r="F1213" i="80"/>
  <c r="E1213" i="80"/>
  <c r="F1212" i="80"/>
  <c r="E1212" i="80"/>
  <c r="F1211" i="80"/>
  <c r="E1211" i="80"/>
  <c r="F1210" i="80"/>
  <c r="E1210" i="80"/>
  <c r="F1209" i="80"/>
  <c r="E1209" i="80"/>
  <c r="F1208" i="80"/>
  <c r="E1208" i="80"/>
  <c r="F1207" i="80"/>
  <c r="E1207" i="80"/>
  <c r="F1206" i="80"/>
  <c r="E1206" i="80"/>
  <c r="F1205" i="80"/>
  <c r="E1205" i="80"/>
  <c r="F1204" i="80"/>
  <c r="E1204" i="80"/>
  <c r="F1203" i="80"/>
  <c r="E1203" i="80"/>
  <c r="F1201" i="80"/>
  <c r="E1201" i="80"/>
  <c r="F1200" i="80"/>
  <c r="E1200" i="80"/>
  <c r="F1199" i="80"/>
  <c r="E1199" i="80"/>
  <c r="F1198" i="80"/>
  <c r="E1198" i="80"/>
  <c r="F1197" i="80"/>
  <c r="E1197" i="80"/>
  <c r="F1196" i="80"/>
  <c r="E1196" i="80"/>
  <c r="F1195" i="80"/>
  <c r="E1195" i="80"/>
  <c r="F1194" i="80"/>
  <c r="E1194" i="80"/>
  <c r="F1193" i="80"/>
  <c r="E1193" i="80"/>
  <c r="F1192" i="80"/>
  <c r="E1192" i="80"/>
  <c r="F1191" i="80"/>
  <c r="E1191" i="80"/>
  <c r="F1190" i="80"/>
  <c r="E1190" i="80"/>
  <c r="F1189" i="80"/>
  <c r="E1189" i="80"/>
  <c r="F1188" i="80"/>
  <c r="E1188" i="80"/>
  <c r="F1187" i="80"/>
  <c r="E1187" i="80"/>
  <c r="F1186" i="80"/>
  <c r="E1186" i="80"/>
  <c r="F1185" i="80"/>
  <c r="E1185" i="80"/>
  <c r="F1184" i="80"/>
  <c r="E1184" i="80"/>
  <c r="F1183" i="80"/>
  <c r="E1183" i="80"/>
  <c r="F1182" i="80"/>
  <c r="E1182" i="80"/>
  <c r="F1181" i="80"/>
  <c r="E1181" i="80"/>
  <c r="F1180" i="80"/>
  <c r="E1180" i="80"/>
  <c r="F1179" i="80"/>
  <c r="E1179" i="80"/>
  <c r="F1178" i="80"/>
  <c r="E1178" i="80"/>
  <c r="F1177" i="80"/>
  <c r="E1177" i="80"/>
  <c r="F1176" i="80"/>
  <c r="E1176" i="80"/>
  <c r="F1175" i="80"/>
  <c r="E1175" i="80"/>
  <c r="F1174" i="80"/>
  <c r="E1174" i="80"/>
  <c r="F1173" i="80"/>
  <c r="E1173" i="80"/>
  <c r="F1172" i="80"/>
  <c r="E1172" i="80"/>
  <c r="F1171" i="80"/>
  <c r="E1171" i="80"/>
  <c r="F1170" i="80"/>
  <c r="E1170" i="80"/>
  <c r="F1169" i="80"/>
  <c r="E1169" i="80"/>
  <c r="F1168" i="80"/>
  <c r="E1168" i="80"/>
  <c r="F1167" i="80"/>
  <c r="E1167" i="80"/>
  <c r="F1166" i="80"/>
  <c r="E1166" i="80"/>
  <c r="F1165" i="80"/>
  <c r="E1165" i="80"/>
  <c r="F1164" i="80"/>
  <c r="E1164" i="80"/>
  <c r="F1163" i="80"/>
  <c r="E1163" i="80"/>
  <c r="F1162" i="80"/>
  <c r="E1162" i="80"/>
  <c r="F1161" i="80"/>
  <c r="E1161" i="80"/>
  <c r="F1160" i="80"/>
  <c r="E1160" i="80"/>
  <c r="F1159" i="80"/>
  <c r="E1159" i="80"/>
  <c r="F1158" i="80"/>
  <c r="E1158" i="80"/>
  <c r="F1157" i="80"/>
  <c r="E1157" i="80"/>
  <c r="F1156" i="80"/>
  <c r="E1156" i="80"/>
  <c r="F1155" i="80"/>
  <c r="E1155" i="80"/>
  <c r="F1154" i="80"/>
  <c r="E1154" i="80"/>
  <c r="F1153" i="80"/>
  <c r="E1153" i="80"/>
  <c r="F1152" i="80"/>
  <c r="E1152" i="80"/>
  <c r="F1151" i="80"/>
  <c r="E1151" i="80"/>
  <c r="F1150" i="80"/>
  <c r="E1150" i="80"/>
  <c r="F1149" i="80"/>
  <c r="E1149" i="80"/>
  <c r="F1148" i="80"/>
  <c r="E1148" i="80"/>
  <c r="F1147" i="80"/>
  <c r="E1147" i="80"/>
  <c r="F1146" i="80"/>
  <c r="E1146" i="80"/>
  <c r="F1145" i="80"/>
  <c r="E1145" i="80"/>
  <c r="F1144" i="80"/>
  <c r="E1144" i="80"/>
  <c r="F1143" i="80"/>
  <c r="E1143" i="80"/>
  <c r="F1142" i="80"/>
  <c r="E1142" i="80"/>
  <c r="F1141" i="80"/>
  <c r="E1141" i="80"/>
  <c r="F1140" i="80"/>
  <c r="E1140" i="80"/>
  <c r="F1139" i="80"/>
  <c r="E1139" i="80"/>
  <c r="F1138" i="80"/>
  <c r="E1138" i="80"/>
  <c r="F1137" i="80"/>
  <c r="E1137" i="80"/>
  <c r="F1136" i="80"/>
  <c r="E1136" i="80"/>
  <c r="F1135" i="80"/>
  <c r="E1135" i="80"/>
  <c r="F1134" i="80"/>
  <c r="E1134" i="80"/>
  <c r="F1133" i="80"/>
  <c r="E1133" i="80"/>
  <c r="F1132" i="80"/>
  <c r="E1132" i="80"/>
  <c r="F1131" i="80"/>
  <c r="E1131" i="80"/>
  <c r="F1130" i="80"/>
  <c r="E1130" i="80"/>
  <c r="F1129" i="80"/>
  <c r="E1129" i="80"/>
  <c r="F1128" i="80"/>
  <c r="E1128" i="80"/>
  <c r="F1127" i="80"/>
  <c r="E1127" i="80"/>
  <c r="F1126" i="80"/>
  <c r="E1126" i="80"/>
  <c r="F1125" i="80"/>
  <c r="E1125" i="80"/>
  <c r="F1124" i="80"/>
  <c r="E1124" i="80"/>
  <c r="F1123" i="80"/>
  <c r="E1123" i="80"/>
  <c r="F1122" i="80"/>
  <c r="E1122" i="80"/>
  <c r="F1121" i="80"/>
  <c r="E1121" i="80"/>
  <c r="F1120" i="80"/>
  <c r="E1120" i="80"/>
  <c r="F1119" i="80"/>
  <c r="E1119" i="80"/>
  <c r="F1118" i="80"/>
  <c r="E1118" i="80"/>
  <c r="F1117" i="80"/>
  <c r="E1117" i="80"/>
  <c r="F1116" i="80"/>
  <c r="E1116" i="80"/>
  <c r="F1115" i="80"/>
  <c r="E1115" i="80"/>
  <c r="F1114" i="80"/>
  <c r="E1114" i="80"/>
  <c r="F1113" i="80"/>
  <c r="E1113" i="80"/>
  <c r="F1112" i="80"/>
  <c r="E1112" i="80"/>
  <c r="F1111" i="80"/>
  <c r="E1111" i="80"/>
  <c r="F1110" i="80"/>
  <c r="E1110" i="80"/>
  <c r="F1109" i="80"/>
  <c r="E1109" i="80"/>
  <c r="F1108" i="80"/>
  <c r="E1108" i="80"/>
  <c r="F1107" i="80"/>
  <c r="E1107" i="80"/>
  <c r="F1106" i="80"/>
  <c r="E1106" i="80"/>
  <c r="F1105" i="80"/>
  <c r="E1105" i="80"/>
  <c r="F1104" i="80"/>
  <c r="E1104" i="80"/>
  <c r="F1103" i="80"/>
  <c r="E1103" i="80"/>
  <c r="F1102" i="80"/>
  <c r="E1102" i="80"/>
  <c r="F1101" i="80"/>
  <c r="E1101" i="80"/>
  <c r="F1100" i="80"/>
  <c r="E1100" i="80"/>
  <c r="F1099" i="80"/>
  <c r="E1099" i="80"/>
  <c r="F1098" i="80"/>
  <c r="E1098" i="80"/>
  <c r="F1097" i="80"/>
  <c r="E1097" i="80"/>
  <c r="F1096" i="80"/>
  <c r="E1096" i="80"/>
  <c r="F1095" i="80"/>
  <c r="E1095" i="80"/>
  <c r="F1094" i="80"/>
  <c r="E1094" i="80"/>
  <c r="F1093" i="80"/>
  <c r="E1093" i="80"/>
  <c r="F1092" i="80"/>
  <c r="E1092" i="80"/>
  <c r="F1091" i="80"/>
  <c r="E1091" i="80"/>
  <c r="F1090" i="80"/>
  <c r="E1090" i="80"/>
  <c r="F1089" i="80"/>
  <c r="E1089" i="80"/>
  <c r="F1088" i="80"/>
  <c r="E1088" i="80"/>
  <c r="F1087" i="80"/>
  <c r="E1087" i="80"/>
  <c r="F1086" i="80"/>
  <c r="E1086" i="80"/>
  <c r="F1085" i="80"/>
  <c r="E1085" i="80"/>
  <c r="F1084" i="80"/>
  <c r="E1084" i="80"/>
  <c r="F1083" i="80"/>
  <c r="E1083" i="80"/>
  <c r="F1082" i="80"/>
  <c r="E1082" i="80"/>
  <c r="F1081" i="80"/>
  <c r="E1081" i="80"/>
  <c r="F1080" i="80"/>
  <c r="E1080" i="80"/>
  <c r="F1079" i="80"/>
  <c r="E1079" i="80"/>
  <c r="F1078" i="80"/>
  <c r="E1078" i="80"/>
  <c r="F1077" i="80"/>
  <c r="E1077" i="80"/>
  <c r="F1076" i="80"/>
  <c r="E1076" i="80"/>
  <c r="F1075" i="80"/>
  <c r="E1075" i="80"/>
  <c r="F1074" i="80"/>
  <c r="E1074" i="80"/>
  <c r="F1073" i="80"/>
  <c r="E1073" i="80"/>
  <c r="F1072" i="80"/>
  <c r="E1072" i="80"/>
  <c r="F1071" i="80"/>
  <c r="E1071" i="80"/>
  <c r="F1070" i="80"/>
  <c r="E1070" i="80"/>
  <c r="F1069" i="80"/>
  <c r="E1069" i="80"/>
  <c r="F1068" i="80"/>
  <c r="E1068" i="80"/>
  <c r="F1067" i="80"/>
  <c r="E1067" i="80"/>
  <c r="F1066" i="80"/>
  <c r="E1066" i="80"/>
  <c r="F1065" i="80"/>
  <c r="E1065" i="80"/>
  <c r="F1064" i="80"/>
  <c r="E1064" i="80"/>
  <c r="F1063" i="80"/>
  <c r="E1063" i="80"/>
  <c r="F1062" i="80"/>
  <c r="E1062" i="80"/>
  <c r="F1061" i="80"/>
  <c r="E1061" i="80"/>
  <c r="F1060" i="80"/>
  <c r="E1060" i="80"/>
  <c r="F1059" i="80"/>
  <c r="E1059" i="80"/>
  <c r="F1058" i="80"/>
  <c r="E1058" i="80"/>
  <c r="F1057" i="80"/>
  <c r="E1057" i="80"/>
  <c r="F1056" i="80"/>
  <c r="E1056" i="80"/>
  <c r="F1055" i="80"/>
  <c r="E1055" i="80"/>
  <c r="F1054" i="80"/>
  <c r="E1054" i="80"/>
  <c r="F1053" i="80"/>
  <c r="E1053" i="80"/>
  <c r="F1052" i="80"/>
  <c r="E1052" i="80"/>
  <c r="F1051" i="80"/>
  <c r="E1051" i="80"/>
  <c r="F1050" i="80"/>
  <c r="E1050" i="80"/>
  <c r="F1049" i="80"/>
  <c r="E1049" i="80"/>
  <c r="F1048" i="80"/>
  <c r="E1048" i="80"/>
  <c r="F1047" i="80"/>
  <c r="E1047" i="80"/>
  <c r="F1046" i="80"/>
  <c r="E1046" i="80"/>
  <c r="F1045" i="80"/>
  <c r="E1045" i="80"/>
  <c r="F1044" i="80"/>
  <c r="E1044" i="80"/>
  <c r="F1043" i="80"/>
  <c r="E1043" i="80"/>
  <c r="F1042" i="80"/>
  <c r="E1042" i="80"/>
  <c r="F1041" i="80"/>
  <c r="E1041" i="80"/>
  <c r="F1040" i="80"/>
  <c r="E1040" i="80"/>
  <c r="F1039" i="80"/>
  <c r="E1039" i="80"/>
  <c r="F1038" i="80"/>
  <c r="E1038" i="80"/>
  <c r="F1037" i="80"/>
  <c r="E1037" i="80"/>
  <c r="F1036" i="80"/>
  <c r="E1036" i="80"/>
  <c r="F1035" i="80"/>
  <c r="E1035" i="80"/>
  <c r="F1034" i="80"/>
  <c r="E1034" i="80"/>
  <c r="F1033" i="80"/>
  <c r="E1033" i="80"/>
  <c r="F1032" i="80"/>
  <c r="E1032" i="80"/>
  <c r="F1031" i="80"/>
  <c r="E1031" i="80"/>
  <c r="F1030" i="80"/>
  <c r="E1030" i="80"/>
  <c r="F1029" i="80"/>
  <c r="E1029" i="80"/>
  <c r="F1028" i="80"/>
  <c r="E1028" i="80"/>
  <c r="F1027" i="80"/>
  <c r="E1027" i="80"/>
  <c r="F1026" i="80"/>
  <c r="E1026" i="80"/>
  <c r="F1025" i="80"/>
  <c r="E1025" i="80"/>
  <c r="F1024" i="80"/>
  <c r="E1024" i="80"/>
  <c r="F1023" i="80"/>
  <c r="E1023" i="80"/>
  <c r="F1022" i="80"/>
  <c r="E1022" i="80"/>
  <c r="F1021" i="80"/>
  <c r="E1021" i="80"/>
  <c r="F1020" i="80"/>
  <c r="E1020" i="80"/>
  <c r="F1019" i="80"/>
  <c r="E1019" i="80"/>
  <c r="F1018" i="80"/>
  <c r="E1018" i="80"/>
  <c r="F1017" i="80"/>
  <c r="E1017" i="80"/>
  <c r="F1016" i="80"/>
  <c r="E1016" i="80"/>
  <c r="F1015" i="80"/>
  <c r="E1015" i="80"/>
  <c r="F1014" i="80"/>
  <c r="E1014" i="80"/>
  <c r="F1013" i="80"/>
  <c r="E1013" i="80"/>
  <c r="F1012" i="80"/>
  <c r="E1012" i="80"/>
  <c r="F1011" i="80"/>
  <c r="E1011" i="80"/>
  <c r="F1010" i="80"/>
  <c r="E1010" i="80"/>
  <c r="F1009" i="80"/>
  <c r="E1009" i="80"/>
  <c r="F1008" i="80"/>
  <c r="E1008" i="80"/>
  <c r="F1007" i="80"/>
  <c r="E1007" i="80"/>
  <c r="F1006" i="80"/>
  <c r="E1006" i="80"/>
  <c r="F1005" i="80"/>
  <c r="E1005" i="80"/>
  <c r="F1004" i="80"/>
  <c r="E1004" i="80"/>
  <c r="F1003" i="80"/>
  <c r="E1003" i="80"/>
  <c r="F1002" i="80"/>
  <c r="E1002" i="80"/>
  <c r="F1001" i="80"/>
  <c r="E1001" i="80"/>
  <c r="F1000" i="80"/>
  <c r="E1000" i="80"/>
  <c r="F999" i="80"/>
  <c r="E999" i="80"/>
  <c r="F998" i="80"/>
  <c r="E998" i="80"/>
  <c r="F997" i="80"/>
  <c r="E997" i="80"/>
  <c r="F996" i="80"/>
  <c r="E996" i="80"/>
  <c r="F995" i="80"/>
  <c r="E995" i="80"/>
  <c r="F994" i="80"/>
  <c r="E994" i="80"/>
  <c r="F993" i="80"/>
  <c r="E993" i="80"/>
  <c r="F992" i="80"/>
  <c r="E992" i="80"/>
  <c r="F991" i="80"/>
  <c r="E991" i="80"/>
  <c r="F990" i="80"/>
  <c r="E990" i="80"/>
  <c r="F989" i="80"/>
  <c r="E989" i="80"/>
  <c r="F988" i="80"/>
  <c r="E988" i="80"/>
  <c r="F987" i="80"/>
  <c r="E987" i="80"/>
  <c r="F986" i="80"/>
  <c r="E986" i="80"/>
  <c r="F985" i="80"/>
  <c r="E985" i="80"/>
  <c r="F984" i="80"/>
  <c r="E984" i="80"/>
  <c r="F983" i="80"/>
  <c r="E983" i="80"/>
  <c r="F982" i="80"/>
  <c r="E982" i="80"/>
  <c r="F981" i="80"/>
  <c r="E981" i="80"/>
  <c r="F980" i="80"/>
  <c r="E980" i="80"/>
  <c r="F979" i="80"/>
  <c r="E979" i="80"/>
  <c r="F978" i="80"/>
  <c r="E978" i="80"/>
  <c r="F977" i="80"/>
  <c r="E977" i="80"/>
  <c r="F976" i="80"/>
  <c r="E976" i="80"/>
  <c r="F975" i="80"/>
  <c r="E975" i="80"/>
  <c r="F974" i="80"/>
  <c r="E974" i="80"/>
  <c r="F973" i="80"/>
  <c r="E973" i="80"/>
  <c r="F972" i="80"/>
  <c r="E972" i="80"/>
  <c r="F971" i="80"/>
  <c r="E971" i="80"/>
  <c r="F970" i="80"/>
  <c r="E970" i="80"/>
  <c r="F969" i="80"/>
  <c r="E969" i="80"/>
  <c r="F968" i="80"/>
  <c r="E968" i="80"/>
  <c r="F967" i="80"/>
  <c r="E967" i="80"/>
  <c r="F966" i="80"/>
  <c r="E966" i="80"/>
  <c r="F965" i="80"/>
  <c r="E965" i="80"/>
  <c r="F964" i="80"/>
  <c r="E964" i="80"/>
  <c r="F963" i="80"/>
  <c r="E963" i="80"/>
  <c r="F962" i="80"/>
  <c r="E962" i="80"/>
  <c r="F961" i="80"/>
  <c r="E961" i="80"/>
  <c r="F960" i="80"/>
  <c r="E960" i="80"/>
  <c r="F959" i="80"/>
  <c r="E959" i="80"/>
  <c r="F958" i="80"/>
  <c r="E958" i="80"/>
  <c r="F957" i="80"/>
  <c r="E957" i="80"/>
  <c r="F956" i="80"/>
  <c r="E956" i="80"/>
  <c r="F955" i="80"/>
  <c r="E955" i="80"/>
  <c r="F954" i="80"/>
  <c r="E954" i="80"/>
  <c r="F953" i="80"/>
  <c r="E953" i="80"/>
  <c r="F952" i="80"/>
  <c r="E952" i="80"/>
  <c r="F951" i="80"/>
  <c r="E951" i="80"/>
  <c r="F950" i="80"/>
  <c r="E950" i="80"/>
  <c r="F949" i="80"/>
  <c r="E949" i="80"/>
  <c r="F948" i="80"/>
  <c r="E948" i="80"/>
  <c r="F947" i="80"/>
  <c r="E947" i="80"/>
  <c r="F946" i="80"/>
  <c r="E946" i="80"/>
  <c r="F945" i="80"/>
  <c r="E945" i="80"/>
  <c r="F944" i="80"/>
  <c r="E944" i="80"/>
  <c r="F943" i="80"/>
  <c r="E943" i="80"/>
  <c r="F942" i="80"/>
  <c r="E942" i="80"/>
  <c r="F941" i="80"/>
  <c r="E941" i="80"/>
  <c r="F940" i="80"/>
  <c r="E940" i="80"/>
  <c r="F939" i="80"/>
  <c r="E939" i="80"/>
  <c r="F938" i="80"/>
  <c r="E938" i="80"/>
  <c r="F937" i="80"/>
  <c r="E937" i="80"/>
  <c r="F936" i="80"/>
  <c r="E936" i="80"/>
  <c r="F935" i="80"/>
  <c r="E935" i="80"/>
  <c r="F934" i="80"/>
  <c r="E934" i="80"/>
  <c r="F933" i="80"/>
  <c r="E933" i="80"/>
  <c r="F932" i="80"/>
  <c r="E932" i="80"/>
  <c r="F931" i="80"/>
  <c r="E931" i="80"/>
  <c r="F930" i="80"/>
  <c r="E930" i="80"/>
  <c r="F929" i="80"/>
  <c r="E929" i="80"/>
  <c r="F928" i="80"/>
  <c r="E928" i="80"/>
  <c r="F927" i="80"/>
  <c r="E927" i="80"/>
  <c r="F926" i="80"/>
  <c r="E926" i="80"/>
  <c r="F925" i="80"/>
  <c r="E925" i="80"/>
  <c r="F924" i="80"/>
  <c r="E924" i="80"/>
  <c r="F923" i="80"/>
  <c r="E923" i="80"/>
  <c r="F922" i="80"/>
  <c r="E922" i="80"/>
  <c r="F921" i="80"/>
  <c r="E921" i="80"/>
  <c r="F920" i="80"/>
  <c r="E920" i="80"/>
  <c r="F919" i="80"/>
  <c r="E919" i="80"/>
  <c r="F918" i="80"/>
  <c r="E918" i="80"/>
  <c r="F917" i="80"/>
  <c r="E917" i="80"/>
  <c r="F916" i="80"/>
  <c r="E916" i="80"/>
  <c r="F915" i="80"/>
  <c r="E915" i="80"/>
  <c r="F914" i="80"/>
  <c r="E914" i="80"/>
  <c r="F913" i="80"/>
  <c r="E913" i="80"/>
  <c r="F912" i="80"/>
  <c r="E912" i="80"/>
  <c r="F911" i="80"/>
  <c r="E911" i="80"/>
  <c r="F910" i="80"/>
  <c r="E910" i="80"/>
  <c r="F909" i="80"/>
  <c r="E909" i="80"/>
  <c r="F908" i="80"/>
  <c r="E908" i="80"/>
  <c r="F907" i="80"/>
  <c r="E907" i="80"/>
  <c r="F906" i="80"/>
  <c r="E906" i="80"/>
  <c r="F905" i="80"/>
  <c r="E905" i="80"/>
  <c r="F904" i="80"/>
  <c r="E904" i="80"/>
  <c r="F903" i="80"/>
  <c r="E903" i="80"/>
  <c r="F902" i="80"/>
  <c r="E902" i="80"/>
  <c r="F901" i="80"/>
  <c r="E901" i="80"/>
  <c r="F900" i="80"/>
  <c r="E900" i="80"/>
  <c r="F899" i="80"/>
  <c r="E899" i="80"/>
  <c r="F898" i="80"/>
  <c r="E898" i="80"/>
  <c r="F897" i="80"/>
  <c r="E897" i="80"/>
  <c r="F896" i="80"/>
  <c r="E896" i="80"/>
  <c r="F895" i="80"/>
  <c r="E895" i="80"/>
  <c r="F894" i="80"/>
  <c r="E894" i="80"/>
  <c r="F893" i="80"/>
  <c r="E893" i="80"/>
  <c r="F892" i="80"/>
  <c r="E892" i="80"/>
  <c r="F891" i="80"/>
  <c r="E891" i="80"/>
  <c r="F890" i="80"/>
  <c r="E890" i="80"/>
  <c r="F889" i="80"/>
  <c r="E889" i="80"/>
  <c r="F888" i="80"/>
  <c r="E888" i="80"/>
  <c r="F887" i="80"/>
  <c r="E887" i="80"/>
  <c r="F886" i="80"/>
  <c r="E886" i="80"/>
  <c r="F885" i="80"/>
  <c r="E885" i="80"/>
  <c r="F884" i="80"/>
  <c r="E884" i="80"/>
  <c r="F883" i="80"/>
  <c r="E883" i="80"/>
  <c r="F882" i="80"/>
  <c r="E882" i="80"/>
  <c r="F881" i="80"/>
  <c r="E881" i="80"/>
  <c r="F880" i="80"/>
  <c r="E880" i="80"/>
  <c r="F879" i="80"/>
  <c r="E879" i="80"/>
  <c r="F878" i="80"/>
  <c r="E878" i="80"/>
  <c r="F877" i="80"/>
  <c r="E877" i="80"/>
  <c r="F876" i="80"/>
  <c r="E876" i="80"/>
  <c r="F875" i="80"/>
  <c r="E875" i="80"/>
  <c r="F874" i="80"/>
  <c r="E874" i="80"/>
  <c r="F873" i="80"/>
  <c r="E873" i="80"/>
  <c r="F872" i="80"/>
  <c r="E872" i="80"/>
  <c r="F871" i="80"/>
  <c r="E871" i="80"/>
  <c r="F870" i="80"/>
  <c r="E870" i="80"/>
  <c r="F869" i="80"/>
  <c r="E869" i="80"/>
  <c r="F868" i="80"/>
  <c r="E868" i="80"/>
  <c r="F867" i="80"/>
  <c r="E867" i="80"/>
  <c r="F866" i="80"/>
  <c r="E866" i="80"/>
  <c r="F865" i="80"/>
  <c r="E865" i="80"/>
  <c r="F864" i="80"/>
  <c r="E864" i="80"/>
  <c r="F863" i="80"/>
  <c r="E863" i="80"/>
  <c r="F862" i="80"/>
  <c r="E862" i="80"/>
  <c r="F861" i="80"/>
  <c r="E861" i="80"/>
  <c r="F860" i="80"/>
  <c r="E860" i="80"/>
  <c r="F859" i="80"/>
  <c r="E859" i="80"/>
  <c r="F858" i="80"/>
  <c r="E858" i="80"/>
  <c r="F857" i="80"/>
  <c r="E857" i="80"/>
  <c r="F856" i="80"/>
  <c r="E856" i="80"/>
  <c r="F855" i="80"/>
  <c r="E855" i="80"/>
  <c r="F854" i="80"/>
  <c r="E854" i="80"/>
  <c r="F853" i="80"/>
  <c r="E853" i="80"/>
  <c r="F852" i="80"/>
  <c r="E852" i="80"/>
  <c r="F851" i="80"/>
  <c r="E851" i="80"/>
  <c r="F850" i="80"/>
  <c r="E850" i="80"/>
  <c r="F849" i="80"/>
  <c r="E849" i="80"/>
  <c r="F848" i="80"/>
  <c r="E848" i="80"/>
  <c r="F847" i="80"/>
  <c r="E847" i="80"/>
  <c r="F846" i="80"/>
  <c r="E846" i="80"/>
  <c r="F845" i="80"/>
  <c r="E845" i="80"/>
  <c r="F844" i="80"/>
  <c r="E844" i="80"/>
  <c r="F843" i="80"/>
  <c r="E843" i="80"/>
  <c r="F842" i="80"/>
  <c r="E842" i="80"/>
  <c r="F841" i="80"/>
  <c r="E841" i="80"/>
  <c r="F840" i="80"/>
  <c r="E840" i="80"/>
  <c r="F839" i="80"/>
  <c r="E839" i="80"/>
  <c r="F838" i="80"/>
  <c r="E838" i="80"/>
  <c r="F837" i="80"/>
  <c r="E837" i="80"/>
  <c r="F836" i="80"/>
  <c r="E836" i="80"/>
  <c r="F835" i="80"/>
  <c r="E835" i="80"/>
  <c r="F834" i="80"/>
  <c r="E834" i="80"/>
  <c r="F833" i="80"/>
  <c r="E833" i="80"/>
  <c r="F832" i="80"/>
  <c r="E832" i="80"/>
  <c r="F831" i="80"/>
  <c r="E831" i="80"/>
  <c r="F830" i="80"/>
  <c r="E830" i="80"/>
  <c r="F829" i="80"/>
  <c r="E829" i="80"/>
  <c r="F828" i="80"/>
  <c r="E828" i="80"/>
  <c r="F827" i="80"/>
  <c r="E827" i="80"/>
  <c r="F826" i="80"/>
  <c r="E826" i="80"/>
  <c r="F825" i="80"/>
  <c r="E825" i="80"/>
  <c r="F824" i="80"/>
  <c r="E824" i="80"/>
  <c r="F823" i="80"/>
  <c r="E823" i="80"/>
  <c r="F822" i="80"/>
  <c r="E822" i="80"/>
  <c r="F821" i="80"/>
  <c r="E821" i="80"/>
  <c r="F820" i="80"/>
  <c r="E820" i="80"/>
  <c r="F819" i="80"/>
  <c r="E819" i="80"/>
  <c r="F818" i="80"/>
  <c r="E818" i="80"/>
  <c r="F817" i="80"/>
  <c r="E817" i="80"/>
  <c r="F816" i="80"/>
  <c r="E816" i="80"/>
  <c r="F815" i="80"/>
  <c r="E815" i="80"/>
  <c r="F814" i="80"/>
  <c r="E814" i="80"/>
  <c r="F813" i="80"/>
  <c r="E813" i="80"/>
  <c r="F812" i="80"/>
  <c r="E812" i="80"/>
  <c r="F811" i="80"/>
  <c r="E811" i="80"/>
  <c r="F810" i="80"/>
  <c r="E810" i="80"/>
  <c r="F809" i="80"/>
  <c r="E809" i="80"/>
  <c r="F808" i="80"/>
  <c r="E808" i="80"/>
  <c r="F807" i="80"/>
  <c r="E807" i="80"/>
  <c r="F806" i="80"/>
  <c r="E806" i="80"/>
  <c r="F805" i="80"/>
  <c r="E805" i="80"/>
  <c r="F804" i="80"/>
  <c r="E804" i="80"/>
  <c r="F803" i="80"/>
  <c r="E803" i="80"/>
  <c r="F802" i="80"/>
  <c r="E802" i="80"/>
  <c r="F801" i="80"/>
  <c r="E801" i="80"/>
  <c r="F800" i="80"/>
  <c r="E800" i="80"/>
  <c r="F799" i="80"/>
  <c r="E799" i="80"/>
  <c r="F798" i="80"/>
  <c r="E798" i="80"/>
  <c r="F797" i="80"/>
  <c r="E797" i="80"/>
  <c r="F796" i="80"/>
  <c r="E796" i="80"/>
  <c r="F795" i="80"/>
  <c r="E795" i="80"/>
  <c r="F794" i="80"/>
  <c r="E794" i="80"/>
  <c r="F793" i="80"/>
  <c r="E793" i="80"/>
  <c r="F792" i="80"/>
  <c r="E792" i="80"/>
  <c r="F791" i="80"/>
  <c r="E791" i="80"/>
  <c r="F790" i="80"/>
  <c r="E790" i="80"/>
  <c r="F789" i="80"/>
  <c r="E789" i="80"/>
  <c r="F788" i="80"/>
  <c r="E788" i="80"/>
  <c r="F787" i="80"/>
  <c r="E787" i="80"/>
  <c r="F786" i="80"/>
  <c r="E786" i="80"/>
  <c r="F785" i="80"/>
  <c r="E785" i="80"/>
  <c r="F784" i="80"/>
  <c r="E784" i="80"/>
  <c r="F783" i="80"/>
  <c r="E783" i="80"/>
  <c r="F782" i="80"/>
  <c r="E782" i="80"/>
  <c r="F781" i="80"/>
  <c r="E781" i="80"/>
  <c r="F780" i="80"/>
  <c r="E780" i="80"/>
  <c r="F779" i="80"/>
  <c r="E779" i="80"/>
  <c r="F778" i="80"/>
  <c r="E778" i="80"/>
  <c r="F777" i="80"/>
  <c r="E777" i="80"/>
  <c r="F776" i="80"/>
  <c r="E776" i="80"/>
  <c r="F775" i="80"/>
  <c r="E775" i="80"/>
  <c r="F774" i="80"/>
  <c r="E774" i="80"/>
  <c r="F773" i="80"/>
  <c r="E773" i="80"/>
  <c r="F772" i="80"/>
  <c r="E772" i="80"/>
  <c r="F771" i="80"/>
  <c r="E771" i="80"/>
  <c r="F770" i="80"/>
  <c r="E770" i="80"/>
  <c r="F769" i="80"/>
  <c r="E769" i="80"/>
  <c r="F768" i="80"/>
  <c r="E768" i="80"/>
  <c r="F767" i="80"/>
  <c r="E767" i="80"/>
  <c r="F766" i="80"/>
  <c r="E766" i="80"/>
  <c r="F765" i="80"/>
  <c r="E765" i="80"/>
  <c r="F764" i="80"/>
  <c r="E764" i="80"/>
  <c r="F763" i="80"/>
  <c r="E763" i="80"/>
  <c r="F762" i="80"/>
  <c r="E762" i="80"/>
  <c r="F761" i="80"/>
  <c r="E761" i="80"/>
  <c r="F760" i="80"/>
  <c r="E760" i="80"/>
  <c r="F759" i="80"/>
  <c r="E759" i="80"/>
  <c r="F758" i="80"/>
  <c r="E758" i="80"/>
  <c r="F757" i="80"/>
  <c r="E757" i="80"/>
  <c r="F756" i="80"/>
  <c r="E756" i="80"/>
  <c r="F755" i="80"/>
  <c r="E755" i="80"/>
  <c r="F754" i="80"/>
  <c r="E754" i="80"/>
  <c r="F753" i="80"/>
  <c r="E753" i="80"/>
  <c r="F752" i="80"/>
  <c r="E752" i="80"/>
  <c r="F751" i="80"/>
  <c r="E751" i="80"/>
  <c r="F750" i="80"/>
  <c r="E750" i="80"/>
  <c r="F749" i="80"/>
  <c r="E749" i="80"/>
  <c r="F748" i="80"/>
  <c r="E748" i="80"/>
  <c r="F747" i="80"/>
  <c r="E747" i="80"/>
  <c r="F746" i="80"/>
  <c r="E746" i="80"/>
  <c r="F745" i="80"/>
  <c r="E745" i="80"/>
  <c r="F744" i="80"/>
  <c r="E744" i="80"/>
  <c r="F743" i="80"/>
  <c r="E743" i="80"/>
  <c r="F742" i="80"/>
  <c r="E742" i="80"/>
  <c r="F741" i="80"/>
  <c r="E741" i="80"/>
  <c r="F740" i="80"/>
  <c r="E740" i="80"/>
  <c r="F739" i="80"/>
  <c r="E739" i="80"/>
  <c r="F738" i="80"/>
  <c r="E738" i="80"/>
  <c r="F737" i="80"/>
  <c r="E737" i="80"/>
  <c r="F736" i="80"/>
  <c r="E736" i="80"/>
  <c r="F735" i="80"/>
  <c r="E735" i="80"/>
  <c r="F734" i="80"/>
  <c r="E734" i="80"/>
  <c r="F733" i="80"/>
  <c r="E733" i="80"/>
  <c r="F732" i="80"/>
  <c r="E732" i="80"/>
  <c r="F731" i="80"/>
  <c r="E731" i="80"/>
  <c r="F730" i="80"/>
  <c r="E730" i="80"/>
  <c r="F729" i="80"/>
  <c r="E729" i="80"/>
  <c r="F728" i="80"/>
  <c r="E728" i="80"/>
  <c r="F727" i="80"/>
  <c r="E727" i="80"/>
  <c r="F726" i="80"/>
  <c r="E726" i="80"/>
  <c r="F725" i="80"/>
  <c r="E725" i="80"/>
  <c r="F724" i="80"/>
  <c r="E724" i="80"/>
  <c r="F723" i="80"/>
  <c r="E723" i="80"/>
  <c r="F722" i="80"/>
  <c r="E722" i="80"/>
  <c r="F721" i="80"/>
  <c r="E721" i="80"/>
  <c r="F720" i="80"/>
  <c r="E720" i="80"/>
  <c r="F719" i="80"/>
  <c r="E719" i="80"/>
  <c r="F718" i="80"/>
  <c r="E718" i="80"/>
  <c r="F717" i="80"/>
  <c r="E717" i="80"/>
  <c r="F716" i="80"/>
  <c r="E716" i="80"/>
  <c r="F715" i="80"/>
  <c r="E715" i="80"/>
  <c r="F714" i="80"/>
  <c r="E714" i="80"/>
  <c r="F713" i="80"/>
  <c r="E713" i="80"/>
  <c r="F712" i="80"/>
  <c r="E712" i="80"/>
  <c r="F711" i="80"/>
  <c r="E711" i="80"/>
  <c r="F710" i="80"/>
  <c r="E710" i="80"/>
  <c r="F709" i="80"/>
  <c r="E709" i="80"/>
  <c r="F708" i="80"/>
  <c r="E708" i="80"/>
  <c r="F707" i="80"/>
  <c r="E707" i="80"/>
  <c r="F706" i="80"/>
  <c r="E706" i="80"/>
  <c r="F705" i="80"/>
  <c r="E705" i="80"/>
  <c r="F704" i="80"/>
  <c r="E704" i="80"/>
  <c r="F703" i="80"/>
  <c r="E703" i="80"/>
  <c r="F702" i="80"/>
  <c r="E702" i="80"/>
  <c r="F701" i="80"/>
  <c r="E701" i="80"/>
  <c r="F700" i="80"/>
  <c r="E700" i="80"/>
  <c r="F699" i="80"/>
  <c r="E699" i="80"/>
  <c r="F698" i="80"/>
  <c r="E698" i="80"/>
  <c r="F697" i="80"/>
  <c r="E697" i="80"/>
  <c r="F696" i="80"/>
  <c r="E696" i="80"/>
  <c r="F695" i="80"/>
  <c r="E695" i="80"/>
  <c r="F694" i="80"/>
  <c r="E694" i="80"/>
  <c r="F693" i="80"/>
  <c r="E693" i="80"/>
  <c r="F692" i="80"/>
  <c r="E692" i="80"/>
  <c r="F691" i="80"/>
  <c r="E691" i="80"/>
  <c r="F690" i="80"/>
  <c r="E690" i="80"/>
  <c r="F689" i="80"/>
  <c r="E689" i="80"/>
  <c r="F688" i="80"/>
  <c r="E688" i="80"/>
  <c r="F687" i="80"/>
  <c r="E687" i="80"/>
  <c r="F686" i="80"/>
  <c r="E686" i="80"/>
  <c r="F685" i="80"/>
  <c r="E685" i="80"/>
  <c r="F684" i="80"/>
  <c r="E684" i="80"/>
  <c r="F683" i="80"/>
  <c r="E683" i="80"/>
  <c r="F682" i="80"/>
  <c r="E682" i="80"/>
  <c r="F681" i="80"/>
  <c r="E681" i="80"/>
  <c r="F680" i="80"/>
  <c r="E680" i="80"/>
  <c r="F679" i="80"/>
  <c r="E679" i="80"/>
  <c r="F678" i="80"/>
  <c r="E678" i="80"/>
  <c r="F677" i="80"/>
  <c r="E677" i="80"/>
  <c r="F676" i="80"/>
  <c r="E676" i="80"/>
  <c r="F675" i="80"/>
  <c r="E675" i="80"/>
  <c r="F674" i="80"/>
  <c r="E674" i="80"/>
  <c r="F673" i="80"/>
  <c r="E673" i="80"/>
  <c r="F672" i="80"/>
  <c r="E672" i="80"/>
  <c r="F671" i="80"/>
  <c r="E671" i="80"/>
  <c r="F670" i="80"/>
  <c r="E670" i="80"/>
  <c r="F669" i="80"/>
  <c r="E669" i="80"/>
  <c r="F668" i="80"/>
  <c r="E668" i="80"/>
  <c r="F667" i="80"/>
  <c r="E667" i="80"/>
  <c r="F666" i="80"/>
  <c r="E666" i="80"/>
  <c r="F665" i="80"/>
  <c r="E665" i="80"/>
  <c r="F664" i="80"/>
  <c r="E664" i="80"/>
  <c r="F663" i="80"/>
  <c r="E663" i="80"/>
  <c r="F662" i="80"/>
  <c r="E662" i="80"/>
  <c r="F661" i="80"/>
  <c r="E661" i="80"/>
  <c r="F660" i="80"/>
  <c r="E660" i="80"/>
  <c r="F659" i="80"/>
  <c r="E659" i="80"/>
  <c r="F658" i="80"/>
  <c r="E658" i="80"/>
  <c r="F657" i="80"/>
  <c r="E657" i="80"/>
  <c r="F656" i="80"/>
  <c r="E656" i="80"/>
  <c r="F655" i="80"/>
  <c r="E655" i="80"/>
  <c r="F654" i="80"/>
  <c r="E654" i="80"/>
  <c r="F653" i="80"/>
  <c r="E653" i="80"/>
  <c r="F652" i="80"/>
  <c r="E652" i="80"/>
  <c r="F651" i="80"/>
  <c r="E651" i="80"/>
  <c r="F650" i="80"/>
  <c r="E650" i="80"/>
  <c r="F649" i="80"/>
  <c r="E649" i="80"/>
  <c r="F648" i="80"/>
  <c r="E648" i="80"/>
  <c r="F647" i="80"/>
  <c r="E647" i="80"/>
  <c r="F646" i="80"/>
  <c r="E646" i="80"/>
  <c r="F645" i="80"/>
  <c r="E645" i="80"/>
  <c r="F644" i="80"/>
  <c r="E644" i="80"/>
  <c r="F643" i="80"/>
  <c r="E643" i="80"/>
  <c r="F642" i="80"/>
  <c r="E642" i="80"/>
  <c r="F641" i="80"/>
  <c r="E641" i="80"/>
  <c r="F640" i="80"/>
  <c r="E640" i="80"/>
  <c r="F639" i="80"/>
  <c r="E639" i="80"/>
  <c r="F638" i="80"/>
  <c r="E638" i="80"/>
  <c r="F637" i="80"/>
  <c r="E637" i="80"/>
  <c r="F636" i="80"/>
  <c r="E636" i="80"/>
  <c r="F635" i="80"/>
  <c r="E635" i="80"/>
  <c r="F634" i="80"/>
  <c r="E634" i="80"/>
  <c r="F633" i="80"/>
  <c r="E633" i="80"/>
  <c r="F632" i="80"/>
  <c r="E632" i="80"/>
  <c r="F631" i="80"/>
  <c r="E631" i="80"/>
  <c r="F630" i="80"/>
  <c r="E630" i="80"/>
  <c r="F629" i="80"/>
  <c r="E629" i="80"/>
  <c r="F628" i="80"/>
  <c r="E628" i="80"/>
  <c r="F627" i="80"/>
  <c r="E627" i="80"/>
  <c r="F626" i="80"/>
  <c r="E626" i="80"/>
  <c r="F625" i="80"/>
  <c r="E625" i="80"/>
  <c r="F624" i="80"/>
  <c r="E624" i="80"/>
  <c r="F623" i="80"/>
  <c r="E623" i="80"/>
  <c r="F622" i="80"/>
  <c r="E622" i="80"/>
  <c r="F621" i="80"/>
  <c r="E621" i="80"/>
  <c r="F620" i="80"/>
  <c r="E620" i="80"/>
  <c r="F619" i="80"/>
  <c r="E619" i="80"/>
  <c r="F618" i="80"/>
  <c r="E618" i="80"/>
  <c r="F617" i="80"/>
  <c r="E617" i="80"/>
  <c r="F616" i="80"/>
  <c r="E616" i="80"/>
  <c r="F615" i="80"/>
  <c r="E615" i="80"/>
  <c r="F614" i="80"/>
  <c r="E614" i="80"/>
  <c r="F613" i="80"/>
  <c r="E613" i="80"/>
  <c r="F612" i="80"/>
  <c r="E612" i="80"/>
  <c r="F611" i="80"/>
  <c r="E611" i="80"/>
  <c r="F610" i="80"/>
  <c r="E610" i="80"/>
  <c r="F609" i="80"/>
  <c r="E609" i="80"/>
  <c r="F608" i="80"/>
  <c r="E608" i="80"/>
  <c r="F607" i="80"/>
  <c r="E607" i="80"/>
  <c r="F606" i="80"/>
  <c r="E606" i="80"/>
  <c r="F605" i="80"/>
  <c r="E605" i="80"/>
  <c r="F604" i="80"/>
  <c r="E604" i="80"/>
  <c r="F603" i="80"/>
  <c r="E603" i="80"/>
  <c r="F602" i="80"/>
  <c r="E602" i="80"/>
  <c r="F601" i="80"/>
  <c r="E601" i="80"/>
  <c r="F600" i="80"/>
  <c r="E600" i="80"/>
  <c r="F599" i="80"/>
  <c r="E599" i="80"/>
  <c r="F598" i="80"/>
  <c r="E598" i="80"/>
  <c r="F597" i="80"/>
  <c r="E597" i="80"/>
  <c r="F596" i="80"/>
  <c r="E596" i="80"/>
  <c r="F595" i="80"/>
  <c r="E595" i="80"/>
  <c r="F594" i="80"/>
  <c r="E594" i="80"/>
  <c r="F593" i="80"/>
  <c r="E593" i="80"/>
  <c r="F592" i="80"/>
  <c r="E592" i="80"/>
  <c r="F591" i="80"/>
  <c r="E591" i="80"/>
  <c r="F590" i="80"/>
  <c r="E590" i="80"/>
  <c r="F589" i="80"/>
  <c r="E589" i="80"/>
  <c r="F588" i="80"/>
  <c r="E588" i="80"/>
  <c r="F587" i="80"/>
  <c r="E587" i="80"/>
  <c r="F586" i="80"/>
  <c r="E586" i="80"/>
  <c r="F585" i="80"/>
  <c r="E585" i="80"/>
  <c r="F584" i="80"/>
  <c r="E584" i="80"/>
  <c r="F583" i="80"/>
  <c r="E583" i="80"/>
  <c r="F582" i="80"/>
  <c r="E582" i="80"/>
  <c r="F581" i="80"/>
  <c r="E581" i="80"/>
  <c r="F580" i="80"/>
  <c r="E580" i="80"/>
  <c r="F579" i="80"/>
  <c r="E579" i="80"/>
  <c r="F578" i="80"/>
  <c r="E578" i="80"/>
  <c r="F577" i="80"/>
  <c r="E577" i="80"/>
  <c r="F576" i="80"/>
  <c r="E576" i="80"/>
  <c r="F575" i="80"/>
  <c r="E575" i="80"/>
  <c r="F574" i="80"/>
  <c r="E574" i="80"/>
  <c r="F573" i="80"/>
  <c r="E573" i="80"/>
  <c r="F572" i="80"/>
  <c r="E572" i="80"/>
  <c r="F571" i="80"/>
  <c r="E571" i="80"/>
  <c r="F570" i="80"/>
  <c r="E570" i="80"/>
  <c r="F569" i="80"/>
  <c r="E569" i="80"/>
  <c r="F568" i="80"/>
  <c r="E568" i="80"/>
  <c r="F567" i="80"/>
  <c r="E567" i="80"/>
  <c r="F566" i="80"/>
  <c r="E566" i="80"/>
  <c r="F565" i="80"/>
  <c r="E565" i="80"/>
  <c r="F564" i="80"/>
  <c r="E564" i="80"/>
  <c r="F563" i="80"/>
  <c r="E563" i="80"/>
  <c r="F562" i="80"/>
  <c r="E562" i="80"/>
  <c r="F561" i="80"/>
  <c r="E561" i="80"/>
  <c r="F560" i="80"/>
  <c r="E560" i="80"/>
  <c r="F559" i="80"/>
  <c r="E559" i="80"/>
  <c r="F558" i="80"/>
  <c r="E558" i="80"/>
  <c r="F557" i="80"/>
  <c r="E557" i="80"/>
  <c r="F556" i="80"/>
  <c r="E556" i="80"/>
  <c r="F555" i="80"/>
  <c r="E555" i="80"/>
  <c r="F554" i="80"/>
  <c r="E554" i="80"/>
  <c r="F553" i="80"/>
  <c r="E553" i="80"/>
  <c r="F552" i="80"/>
  <c r="E552" i="80"/>
  <c r="F551" i="80"/>
  <c r="E551" i="80"/>
  <c r="F550" i="80"/>
  <c r="E550" i="80"/>
  <c r="F549" i="80"/>
  <c r="E549" i="80"/>
  <c r="F548" i="80"/>
  <c r="E548" i="80"/>
  <c r="F547" i="80"/>
  <c r="E547" i="80"/>
  <c r="F546" i="80"/>
  <c r="E546" i="80"/>
  <c r="F545" i="80"/>
  <c r="E545" i="80"/>
  <c r="F544" i="80"/>
  <c r="E544" i="80"/>
  <c r="F543" i="80"/>
  <c r="E543" i="80"/>
  <c r="F542" i="80"/>
  <c r="E542" i="80"/>
  <c r="F541" i="80"/>
  <c r="E541" i="80"/>
  <c r="F540" i="80"/>
  <c r="E540" i="80"/>
  <c r="F539" i="80"/>
  <c r="E539" i="80"/>
  <c r="F538" i="80"/>
  <c r="E538" i="80"/>
  <c r="F537" i="80"/>
  <c r="E537" i="80"/>
  <c r="F536" i="80"/>
  <c r="E536" i="80"/>
  <c r="F535" i="80"/>
  <c r="E535" i="80"/>
  <c r="F534" i="80"/>
  <c r="E534" i="80"/>
  <c r="F533" i="80"/>
  <c r="E533" i="80"/>
  <c r="F532" i="80"/>
  <c r="E532" i="80"/>
  <c r="F531" i="80"/>
  <c r="E531" i="80"/>
  <c r="F530" i="80"/>
  <c r="E530" i="80"/>
  <c r="F529" i="80"/>
  <c r="E529" i="80"/>
  <c r="F528" i="80"/>
  <c r="E528" i="80"/>
  <c r="F527" i="80"/>
  <c r="E527" i="80"/>
  <c r="F526" i="80"/>
  <c r="E526" i="80"/>
  <c r="F525" i="80"/>
  <c r="E525" i="80"/>
  <c r="F524" i="80"/>
  <c r="E524" i="80"/>
  <c r="F523" i="80"/>
  <c r="E523" i="80"/>
  <c r="F522" i="80"/>
  <c r="E522" i="80"/>
  <c r="F521" i="80"/>
  <c r="E521" i="80"/>
  <c r="F520" i="80"/>
  <c r="E520" i="80"/>
  <c r="F519" i="80"/>
  <c r="E519" i="80"/>
  <c r="F518" i="80"/>
  <c r="E518" i="80"/>
  <c r="F517" i="80"/>
  <c r="E517" i="80"/>
  <c r="F516" i="80"/>
  <c r="E516" i="80"/>
  <c r="F515" i="80"/>
  <c r="E515" i="80"/>
  <c r="F514" i="80"/>
  <c r="E514" i="80"/>
  <c r="F513" i="80"/>
  <c r="E513" i="80"/>
  <c r="F512" i="80"/>
  <c r="E512" i="80"/>
  <c r="F511" i="80"/>
  <c r="E511" i="80"/>
  <c r="F510" i="80"/>
  <c r="E510" i="80"/>
  <c r="F509" i="80"/>
  <c r="E509" i="80"/>
  <c r="F508" i="80"/>
  <c r="E508" i="80"/>
  <c r="F507" i="80"/>
  <c r="E507" i="80"/>
  <c r="F506" i="80"/>
  <c r="E506" i="80"/>
  <c r="F505" i="80"/>
  <c r="E505" i="80"/>
  <c r="F504" i="80"/>
  <c r="E504" i="80"/>
  <c r="F503" i="80"/>
  <c r="E503" i="80"/>
  <c r="F502" i="80"/>
  <c r="E502" i="80"/>
  <c r="F501" i="80"/>
  <c r="E501" i="80"/>
  <c r="F500" i="80"/>
  <c r="E500" i="80"/>
  <c r="F499" i="80"/>
  <c r="E499" i="80"/>
  <c r="F498" i="80"/>
  <c r="E498" i="80"/>
  <c r="F497" i="80"/>
  <c r="E497" i="80"/>
  <c r="F496" i="80"/>
  <c r="E496" i="80"/>
  <c r="F495" i="80"/>
  <c r="E495" i="80"/>
  <c r="F494" i="80"/>
  <c r="E494" i="80"/>
  <c r="F493" i="80"/>
  <c r="E493" i="80"/>
  <c r="F492" i="80"/>
  <c r="E492" i="80"/>
  <c r="F491" i="80"/>
  <c r="E491" i="80"/>
  <c r="F490" i="80"/>
  <c r="E490" i="80"/>
  <c r="F489" i="80"/>
  <c r="E489" i="80"/>
  <c r="F488" i="80"/>
  <c r="E488" i="80"/>
  <c r="F487" i="80"/>
  <c r="E487" i="80"/>
  <c r="F486" i="80"/>
  <c r="E486" i="80"/>
  <c r="F485" i="80"/>
  <c r="E485" i="80"/>
  <c r="F484" i="80"/>
  <c r="E484" i="80"/>
  <c r="F483" i="80"/>
  <c r="E483" i="80"/>
  <c r="F482" i="80"/>
  <c r="E482" i="80"/>
  <c r="F481" i="80"/>
  <c r="E481" i="80"/>
  <c r="F480" i="80"/>
  <c r="E480" i="80"/>
  <c r="F479" i="80"/>
  <c r="E479" i="80"/>
  <c r="F478" i="80"/>
  <c r="E478" i="80"/>
  <c r="F477" i="80"/>
  <c r="E477" i="80"/>
  <c r="F476" i="80"/>
  <c r="E476" i="80"/>
  <c r="F475" i="80"/>
  <c r="E475" i="80"/>
  <c r="F474" i="80"/>
  <c r="E474" i="80"/>
  <c r="F473" i="80"/>
  <c r="E473" i="80"/>
  <c r="F472" i="80"/>
  <c r="E472" i="80"/>
  <c r="F471" i="80"/>
  <c r="E471" i="80"/>
  <c r="F470" i="80"/>
  <c r="E470" i="80"/>
  <c r="F469" i="80"/>
  <c r="E469" i="80"/>
  <c r="F468" i="80"/>
  <c r="E468" i="80"/>
  <c r="F467" i="80"/>
  <c r="E467" i="80"/>
  <c r="F466" i="80"/>
  <c r="E466" i="80"/>
  <c r="F465" i="80"/>
  <c r="E465" i="80"/>
  <c r="F464" i="80"/>
  <c r="E464" i="80"/>
  <c r="F463" i="80"/>
  <c r="E463" i="80"/>
  <c r="F462" i="80"/>
  <c r="E462" i="80"/>
  <c r="F461" i="80"/>
  <c r="E461" i="80"/>
  <c r="F460" i="80"/>
  <c r="E460" i="80"/>
  <c r="F459" i="80"/>
  <c r="E459" i="80"/>
  <c r="F458" i="80"/>
  <c r="E458" i="80"/>
  <c r="F457" i="80"/>
  <c r="E457" i="80"/>
  <c r="F456" i="80"/>
  <c r="E456" i="80"/>
  <c r="F455" i="80"/>
  <c r="E455" i="80"/>
  <c r="F454" i="80"/>
  <c r="E454" i="80"/>
  <c r="F453" i="80"/>
  <c r="E453" i="80"/>
  <c r="F452" i="80"/>
  <c r="E452" i="80"/>
  <c r="F451" i="80"/>
  <c r="E451" i="80"/>
  <c r="F450" i="80"/>
  <c r="E450" i="80"/>
  <c r="F449" i="80"/>
  <c r="E449" i="80"/>
  <c r="F448" i="80"/>
  <c r="E448" i="80"/>
  <c r="F447" i="80"/>
  <c r="E447" i="80"/>
  <c r="F446" i="80"/>
  <c r="E446" i="80"/>
  <c r="F445" i="80"/>
  <c r="E445" i="80"/>
  <c r="F444" i="80"/>
  <c r="E444" i="80"/>
  <c r="F443" i="80"/>
  <c r="E443" i="80"/>
  <c r="F442" i="80"/>
  <c r="E442" i="80"/>
  <c r="F441" i="80"/>
  <c r="E441" i="80"/>
  <c r="F440" i="80"/>
  <c r="E440" i="80"/>
  <c r="F439" i="80"/>
  <c r="E439" i="80"/>
  <c r="F438" i="80"/>
  <c r="E438" i="80"/>
  <c r="F437" i="80"/>
  <c r="E437" i="80"/>
  <c r="F436" i="80"/>
  <c r="E436" i="80"/>
  <c r="F435" i="80"/>
  <c r="E435" i="80"/>
  <c r="F434" i="80"/>
  <c r="E434" i="80"/>
  <c r="F433" i="80"/>
  <c r="E433" i="80"/>
  <c r="F432" i="80"/>
  <c r="E432" i="80"/>
  <c r="F431" i="80"/>
  <c r="E431" i="80"/>
  <c r="F430" i="80"/>
  <c r="E430" i="80"/>
  <c r="F429" i="80"/>
  <c r="E429" i="80"/>
  <c r="F428" i="80"/>
  <c r="E428" i="80"/>
  <c r="F427" i="80"/>
  <c r="E427" i="80"/>
  <c r="F426" i="80"/>
  <c r="E426" i="80"/>
  <c r="F425" i="80"/>
  <c r="E425" i="80"/>
  <c r="F424" i="80"/>
  <c r="E424" i="80"/>
  <c r="F423" i="80"/>
  <c r="E423" i="80"/>
  <c r="F422" i="80"/>
  <c r="E422" i="80"/>
  <c r="F421" i="80"/>
  <c r="E421" i="80"/>
  <c r="F420" i="80"/>
  <c r="E420" i="80"/>
  <c r="F419" i="80"/>
  <c r="E419" i="80"/>
  <c r="F418" i="80"/>
  <c r="E418" i="80"/>
  <c r="F417" i="80"/>
  <c r="E417" i="80"/>
  <c r="F416" i="80"/>
  <c r="E416" i="80"/>
  <c r="F415" i="80"/>
  <c r="E415" i="80"/>
  <c r="F414" i="80"/>
  <c r="E414" i="80"/>
  <c r="F413" i="80"/>
  <c r="E413" i="80"/>
  <c r="F412" i="80"/>
  <c r="E412" i="80"/>
  <c r="F411" i="80"/>
  <c r="E411" i="80"/>
  <c r="F410" i="80"/>
  <c r="E410" i="80"/>
  <c r="F409" i="80"/>
  <c r="E409" i="80"/>
  <c r="F408" i="80"/>
  <c r="E408" i="80"/>
  <c r="F407" i="80"/>
  <c r="E407" i="80"/>
  <c r="F406" i="80"/>
  <c r="E406" i="80"/>
  <c r="F405" i="80"/>
  <c r="E405" i="80"/>
  <c r="F404" i="80"/>
  <c r="E404" i="80"/>
  <c r="F403" i="80"/>
  <c r="E403" i="80"/>
  <c r="F402" i="80"/>
  <c r="E402" i="80"/>
  <c r="F401" i="80"/>
  <c r="E401" i="80"/>
  <c r="F400" i="80"/>
  <c r="E400" i="80"/>
  <c r="F399" i="80"/>
  <c r="E399" i="80"/>
  <c r="F398" i="80"/>
  <c r="E398" i="80"/>
  <c r="F397" i="80"/>
  <c r="E397" i="80"/>
  <c r="F396" i="80"/>
  <c r="E396" i="80"/>
  <c r="F395" i="80"/>
  <c r="E395" i="80"/>
  <c r="F394" i="80"/>
  <c r="E394" i="80"/>
  <c r="F393" i="80"/>
  <c r="E393" i="80"/>
  <c r="F392" i="80"/>
  <c r="E392" i="80"/>
  <c r="F391" i="80"/>
  <c r="E391" i="80"/>
  <c r="F390" i="80"/>
  <c r="E390" i="80"/>
  <c r="F389" i="80"/>
  <c r="E389" i="80"/>
  <c r="F388" i="80"/>
  <c r="E388" i="80"/>
  <c r="F387" i="80"/>
  <c r="E387" i="80"/>
  <c r="F386" i="80"/>
  <c r="E386" i="80"/>
  <c r="F385" i="80"/>
  <c r="E385" i="80"/>
  <c r="F384" i="80"/>
  <c r="E384" i="80"/>
  <c r="F383" i="80"/>
  <c r="E383" i="80"/>
  <c r="F382" i="80"/>
  <c r="E382" i="80"/>
  <c r="F381" i="80"/>
  <c r="E381" i="80"/>
  <c r="F380" i="80"/>
  <c r="E380" i="80"/>
  <c r="F379" i="80"/>
  <c r="E379" i="80"/>
  <c r="F378" i="80"/>
  <c r="E378" i="80"/>
  <c r="F377" i="80"/>
  <c r="E377" i="80"/>
  <c r="F376" i="80"/>
  <c r="E376" i="80"/>
  <c r="F375" i="80"/>
  <c r="E375" i="80"/>
  <c r="F374" i="80"/>
  <c r="E374" i="80"/>
  <c r="F373" i="80"/>
  <c r="E373" i="80"/>
  <c r="F372" i="80"/>
  <c r="E372" i="80"/>
  <c r="F371" i="80"/>
  <c r="E371" i="80"/>
  <c r="F370" i="80"/>
  <c r="E370" i="80"/>
  <c r="F369" i="80"/>
  <c r="E369" i="80"/>
  <c r="F368" i="80"/>
  <c r="E368" i="80"/>
  <c r="F367" i="80"/>
  <c r="E367" i="80"/>
  <c r="F366" i="80"/>
  <c r="E366" i="80"/>
  <c r="F365" i="80"/>
  <c r="E365" i="80"/>
  <c r="F364" i="80"/>
  <c r="E364" i="80"/>
  <c r="F363" i="80"/>
  <c r="E363" i="80"/>
  <c r="F362" i="80"/>
  <c r="E362" i="80"/>
  <c r="F361" i="80"/>
  <c r="E361" i="80"/>
  <c r="F360" i="80"/>
  <c r="E360" i="80"/>
  <c r="F359" i="80"/>
  <c r="E359" i="80"/>
  <c r="F358" i="80"/>
  <c r="E358" i="80"/>
  <c r="F357" i="80"/>
  <c r="E357" i="80"/>
  <c r="F356" i="80"/>
  <c r="E356" i="80"/>
  <c r="F355" i="80"/>
  <c r="E355" i="80"/>
  <c r="F354" i="80"/>
  <c r="E354" i="80"/>
  <c r="F353" i="80"/>
  <c r="E353" i="80"/>
  <c r="F352" i="80"/>
  <c r="E352" i="80"/>
  <c r="F351" i="80"/>
  <c r="E351" i="80"/>
  <c r="F350" i="80"/>
  <c r="E350" i="80"/>
  <c r="F349" i="80"/>
  <c r="E349" i="80"/>
  <c r="F348" i="80"/>
  <c r="E348" i="80"/>
  <c r="F347" i="80"/>
  <c r="E347" i="80"/>
  <c r="F346" i="80"/>
  <c r="E346" i="80"/>
  <c r="F345" i="80"/>
  <c r="E345" i="80"/>
  <c r="F344" i="80"/>
  <c r="E344" i="80"/>
  <c r="F343" i="80"/>
  <c r="E343" i="80"/>
  <c r="F342" i="80"/>
  <c r="E342" i="80"/>
  <c r="F341" i="80"/>
  <c r="E341" i="80"/>
  <c r="F340" i="80"/>
  <c r="E340" i="80"/>
  <c r="F339" i="80"/>
  <c r="E339" i="80"/>
  <c r="F338" i="80"/>
  <c r="E338" i="80"/>
  <c r="F337" i="80"/>
  <c r="E337" i="80"/>
  <c r="F336" i="80"/>
  <c r="E336" i="80"/>
  <c r="F335" i="80"/>
  <c r="E335" i="80"/>
  <c r="F334" i="80"/>
  <c r="E334" i="80"/>
  <c r="F333" i="80"/>
  <c r="E333" i="80"/>
  <c r="F332" i="80"/>
  <c r="E332" i="80"/>
  <c r="F331" i="80"/>
  <c r="E331" i="80"/>
  <c r="F330" i="80"/>
  <c r="E330" i="80"/>
  <c r="F329" i="80"/>
  <c r="E329" i="80"/>
  <c r="F328" i="80"/>
  <c r="E328" i="80"/>
  <c r="F327" i="80"/>
  <c r="E327" i="80"/>
  <c r="F326" i="80"/>
  <c r="E326" i="80"/>
  <c r="F325" i="80"/>
  <c r="E325" i="80"/>
  <c r="F324" i="80"/>
  <c r="E324" i="80"/>
  <c r="F323" i="80"/>
  <c r="E323" i="80"/>
  <c r="F322" i="80"/>
  <c r="E322" i="80"/>
  <c r="F321" i="80"/>
  <c r="E321" i="80"/>
  <c r="F320" i="80"/>
  <c r="E320" i="80"/>
  <c r="F319" i="80"/>
  <c r="E319" i="80"/>
  <c r="F318" i="80"/>
  <c r="E318" i="80"/>
  <c r="F317" i="80"/>
  <c r="E317" i="80"/>
  <c r="F316" i="80"/>
  <c r="E316" i="80"/>
  <c r="F315" i="80"/>
  <c r="E315" i="80"/>
  <c r="F314" i="80"/>
  <c r="E314" i="80"/>
  <c r="F313" i="80"/>
  <c r="E313" i="80"/>
  <c r="F312" i="80"/>
  <c r="E312" i="80"/>
  <c r="F311" i="80"/>
  <c r="E311" i="80"/>
  <c r="F310" i="80"/>
  <c r="E310" i="80"/>
  <c r="F309" i="80"/>
  <c r="E309" i="80"/>
  <c r="F308" i="80"/>
  <c r="E308" i="80"/>
  <c r="F307" i="80"/>
  <c r="E307" i="80"/>
  <c r="F306" i="80"/>
  <c r="E306" i="80"/>
  <c r="F305" i="80"/>
  <c r="E305" i="80"/>
  <c r="F304" i="80"/>
  <c r="E304" i="80"/>
  <c r="F303" i="80"/>
  <c r="E303" i="80"/>
  <c r="F302" i="80"/>
  <c r="E302" i="80"/>
  <c r="F301" i="80"/>
  <c r="E301" i="80"/>
  <c r="F300" i="80"/>
  <c r="E300" i="80"/>
  <c r="F299" i="80"/>
  <c r="E299" i="80"/>
  <c r="F298" i="80"/>
  <c r="E298" i="80"/>
  <c r="F297" i="80"/>
  <c r="E297" i="80"/>
  <c r="F296" i="80"/>
  <c r="E296" i="80"/>
  <c r="F295" i="80"/>
  <c r="E295" i="80"/>
  <c r="F294" i="80"/>
  <c r="E294" i="80"/>
  <c r="F293" i="80"/>
  <c r="E293" i="80"/>
  <c r="F292" i="80"/>
  <c r="E292" i="80"/>
  <c r="F291" i="80"/>
  <c r="E291" i="80"/>
  <c r="F290" i="80"/>
  <c r="E290" i="80"/>
  <c r="F289" i="80"/>
  <c r="E289" i="80"/>
  <c r="F288" i="80"/>
  <c r="E288" i="80"/>
  <c r="F287" i="80"/>
  <c r="E287" i="80"/>
  <c r="F286" i="80"/>
  <c r="E286" i="80"/>
  <c r="F285" i="80"/>
  <c r="E285" i="80"/>
  <c r="F284" i="80"/>
  <c r="E284" i="80"/>
  <c r="F283" i="80"/>
  <c r="E283" i="80"/>
  <c r="F282" i="80"/>
  <c r="E282" i="80"/>
  <c r="F281" i="80"/>
  <c r="E281" i="80"/>
  <c r="F280" i="80"/>
  <c r="E280" i="80"/>
  <c r="F279" i="80"/>
  <c r="E279" i="80"/>
  <c r="F278" i="80"/>
  <c r="E278" i="80"/>
  <c r="F277" i="80"/>
  <c r="E277" i="80"/>
  <c r="F276" i="80"/>
  <c r="E276" i="80"/>
  <c r="F275" i="80"/>
  <c r="E275" i="80"/>
  <c r="F274" i="80"/>
  <c r="E274" i="80"/>
  <c r="F273" i="80"/>
  <c r="E273" i="80"/>
  <c r="F272" i="80"/>
  <c r="E272" i="80"/>
  <c r="F271" i="80"/>
  <c r="E271" i="80"/>
  <c r="F270" i="80"/>
  <c r="E270" i="80"/>
  <c r="F269" i="80"/>
  <c r="E269" i="80"/>
  <c r="F268" i="80"/>
  <c r="E268" i="80"/>
  <c r="F267" i="80"/>
  <c r="E267" i="80"/>
  <c r="F266" i="80"/>
  <c r="E266" i="80"/>
  <c r="F265" i="80"/>
  <c r="E265" i="80"/>
  <c r="F264" i="80"/>
  <c r="E264" i="80"/>
  <c r="F263" i="80"/>
  <c r="E263" i="80"/>
  <c r="F262" i="80"/>
  <c r="E262" i="80"/>
  <c r="F261" i="80"/>
  <c r="E261" i="80"/>
  <c r="F260" i="80"/>
  <c r="E260" i="80"/>
  <c r="F259" i="80"/>
  <c r="E259" i="80"/>
  <c r="F258" i="80"/>
  <c r="E258" i="80"/>
  <c r="F257" i="80"/>
  <c r="E257" i="80"/>
  <c r="F256" i="80"/>
  <c r="E256" i="80"/>
  <c r="F255" i="80"/>
  <c r="E255" i="80"/>
  <c r="F254" i="80"/>
  <c r="E254" i="80"/>
  <c r="F253" i="80"/>
  <c r="E253" i="80"/>
  <c r="F252" i="80"/>
  <c r="E252" i="80"/>
  <c r="F251" i="80"/>
  <c r="E251" i="80"/>
  <c r="F250" i="80"/>
  <c r="E250" i="80"/>
  <c r="F249" i="80"/>
  <c r="E249" i="80"/>
  <c r="F248" i="80"/>
  <c r="E248" i="80"/>
  <c r="F247" i="80"/>
  <c r="E247" i="80"/>
  <c r="F246" i="80"/>
  <c r="E246" i="80"/>
  <c r="F245" i="80"/>
  <c r="E245" i="80"/>
  <c r="F244" i="80"/>
  <c r="E244" i="80"/>
  <c r="F243" i="80"/>
  <c r="E243" i="80"/>
  <c r="F242" i="80"/>
  <c r="E242" i="80"/>
  <c r="F241" i="80"/>
  <c r="E241" i="80"/>
  <c r="F240" i="80"/>
  <c r="E240" i="80"/>
  <c r="F239" i="80"/>
  <c r="E239" i="80"/>
  <c r="F238" i="80"/>
  <c r="E238" i="80"/>
  <c r="F237" i="80"/>
  <c r="E237" i="80"/>
  <c r="F236" i="80"/>
  <c r="E236" i="80"/>
  <c r="F235" i="80"/>
  <c r="E235" i="80"/>
  <c r="F234" i="80"/>
  <c r="E234" i="80"/>
  <c r="F233" i="80"/>
  <c r="E233" i="80"/>
  <c r="F232" i="80"/>
  <c r="E232" i="80"/>
  <c r="F231" i="80"/>
  <c r="E231" i="80"/>
  <c r="F230" i="80"/>
  <c r="E230" i="80"/>
  <c r="F229" i="80"/>
  <c r="E229" i="80"/>
  <c r="F228" i="80"/>
  <c r="E228" i="80"/>
  <c r="F227" i="80"/>
  <c r="E227" i="80"/>
  <c r="F226" i="80"/>
  <c r="E226" i="80"/>
  <c r="F225" i="80"/>
  <c r="E225" i="80"/>
  <c r="F224" i="80"/>
  <c r="E224" i="80"/>
  <c r="F223" i="80"/>
  <c r="E223" i="80"/>
  <c r="F222" i="80"/>
  <c r="E222" i="80"/>
  <c r="F221" i="80"/>
  <c r="E221" i="80"/>
  <c r="F220" i="80"/>
  <c r="E220" i="80"/>
  <c r="F219" i="80"/>
  <c r="E219" i="80"/>
  <c r="F218" i="80"/>
  <c r="E218" i="80"/>
  <c r="F217" i="80"/>
  <c r="E217" i="80"/>
  <c r="F216" i="80"/>
  <c r="E216" i="80"/>
  <c r="F215" i="80"/>
  <c r="E215" i="80"/>
  <c r="F214" i="80"/>
  <c r="E214" i="80"/>
  <c r="F213" i="80"/>
  <c r="E213" i="80"/>
  <c r="F212" i="80"/>
  <c r="E212" i="80"/>
  <c r="F211" i="80"/>
  <c r="E211" i="80"/>
  <c r="F210" i="80"/>
  <c r="E210" i="80"/>
  <c r="F209" i="80"/>
  <c r="E209" i="80"/>
  <c r="F208" i="80"/>
  <c r="E208" i="80"/>
  <c r="F207" i="80"/>
  <c r="E207" i="80"/>
  <c r="F206" i="80"/>
  <c r="E206" i="80"/>
  <c r="F205" i="80"/>
  <c r="E205" i="80"/>
  <c r="F204" i="80"/>
  <c r="E204" i="80"/>
  <c r="F203" i="80"/>
  <c r="E203" i="80"/>
  <c r="F202" i="80"/>
  <c r="E202" i="80"/>
  <c r="F201" i="80"/>
  <c r="E201" i="80"/>
  <c r="F200" i="80"/>
  <c r="E200" i="80"/>
  <c r="F199" i="80"/>
  <c r="E199" i="80"/>
  <c r="F198" i="80"/>
  <c r="E198" i="80"/>
  <c r="F197" i="80"/>
  <c r="E197" i="80"/>
  <c r="F196" i="80"/>
  <c r="E196" i="80"/>
  <c r="F195" i="80"/>
  <c r="E195" i="80"/>
  <c r="F194" i="80"/>
  <c r="E194" i="80"/>
  <c r="F193" i="80"/>
  <c r="E193" i="80"/>
  <c r="F192" i="80"/>
  <c r="E192" i="80"/>
  <c r="F191" i="80"/>
  <c r="E191" i="80"/>
  <c r="F190" i="80"/>
  <c r="E190" i="80"/>
  <c r="F189" i="80"/>
  <c r="E189" i="80"/>
  <c r="F188" i="80"/>
  <c r="E188" i="80"/>
  <c r="F187" i="80"/>
  <c r="E187" i="80"/>
  <c r="F186" i="80"/>
  <c r="E186" i="80"/>
  <c r="F185" i="80"/>
  <c r="E185" i="80"/>
  <c r="F184" i="80"/>
  <c r="E184" i="80"/>
  <c r="F183" i="80"/>
  <c r="E183" i="80"/>
  <c r="F182" i="80"/>
  <c r="E182" i="80"/>
  <c r="F181" i="80"/>
  <c r="E181" i="80"/>
  <c r="F180" i="80"/>
  <c r="E180" i="80"/>
  <c r="F179" i="80"/>
  <c r="E179" i="80"/>
  <c r="F178" i="80"/>
  <c r="E178" i="80"/>
  <c r="F177" i="80"/>
  <c r="E177" i="80"/>
  <c r="F176" i="80"/>
  <c r="E176" i="80"/>
  <c r="F175" i="80"/>
  <c r="E175" i="80"/>
  <c r="F174" i="80"/>
  <c r="E174" i="80"/>
  <c r="F173" i="80"/>
  <c r="E173" i="80"/>
  <c r="F172" i="80"/>
  <c r="E172" i="80"/>
  <c r="F171" i="80"/>
  <c r="E171" i="80"/>
  <c r="F170" i="80"/>
  <c r="E170" i="80"/>
  <c r="F169" i="80"/>
  <c r="E169" i="80"/>
  <c r="F168" i="80"/>
  <c r="E168" i="80"/>
  <c r="F167" i="80"/>
  <c r="E167" i="80"/>
  <c r="F166" i="80"/>
  <c r="E166" i="80"/>
  <c r="F165" i="80"/>
  <c r="E165" i="80"/>
  <c r="F164" i="80"/>
  <c r="E164" i="80"/>
  <c r="F163" i="80"/>
  <c r="E163" i="80"/>
  <c r="F162" i="80"/>
  <c r="E162" i="80"/>
  <c r="F161" i="80"/>
  <c r="E161" i="80"/>
  <c r="F160" i="80"/>
  <c r="E160" i="80"/>
  <c r="F159" i="80"/>
  <c r="E159" i="80"/>
  <c r="F158" i="80"/>
  <c r="E158" i="80"/>
  <c r="F157" i="80"/>
  <c r="E157" i="80"/>
  <c r="F156" i="80"/>
  <c r="E156" i="80"/>
  <c r="F155" i="80"/>
  <c r="E155" i="80"/>
  <c r="F154" i="80"/>
  <c r="E154" i="80"/>
  <c r="F153" i="80"/>
  <c r="E153" i="80"/>
  <c r="F152" i="80"/>
  <c r="E152" i="80"/>
  <c r="F151" i="80"/>
  <c r="E151" i="80"/>
  <c r="F150" i="80"/>
  <c r="E150" i="80"/>
  <c r="F149" i="80"/>
  <c r="E149" i="80"/>
  <c r="F148" i="80"/>
  <c r="E148" i="80"/>
  <c r="F147" i="80"/>
  <c r="E147" i="80"/>
  <c r="F146" i="80"/>
  <c r="E146" i="80"/>
  <c r="F145" i="80"/>
  <c r="E145" i="80"/>
  <c r="F144" i="80"/>
  <c r="E144" i="80"/>
  <c r="F143" i="80"/>
  <c r="E143" i="80"/>
  <c r="F142" i="80"/>
  <c r="E142" i="80"/>
  <c r="F141" i="80"/>
  <c r="E141" i="80"/>
  <c r="F140" i="80"/>
  <c r="E140" i="80"/>
  <c r="F139" i="80"/>
  <c r="E139" i="80"/>
  <c r="F138" i="80"/>
  <c r="E138" i="80"/>
  <c r="F137" i="80"/>
  <c r="E137" i="80"/>
  <c r="F136" i="80"/>
  <c r="E136" i="80"/>
  <c r="F135" i="80"/>
  <c r="E135" i="80"/>
  <c r="F134" i="80"/>
  <c r="E134" i="80"/>
  <c r="F133" i="80"/>
  <c r="E133" i="80"/>
  <c r="F132" i="80"/>
  <c r="E132" i="80"/>
  <c r="F131" i="80"/>
  <c r="E131" i="80"/>
  <c r="F130" i="80"/>
  <c r="E130" i="80"/>
  <c r="F129" i="80"/>
  <c r="E129" i="80"/>
  <c r="F128" i="80"/>
  <c r="E128" i="80"/>
  <c r="F127" i="80"/>
  <c r="E127" i="80"/>
  <c r="F126" i="80"/>
  <c r="E126" i="80"/>
  <c r="F125" i="80"/>
  <c r="E125" i="80"/>
  <c r="F124" i="80"/>
  <c r="E124" i="80"/>
  <c r="F123" i="80"/>
  <c r="E123" i="80"/>
  <c r="F122" i="80"/>
  <c r="E122" i="80"/>
  <c r="F121" i="80"/>
  <c r="E121" i="80"/>
  <c r="F120" i="80"/>
  <c r="E120" i="80"/>
  <c r="F119" i="80"/>
  <c r="E119" i="80"/>
  <c r="F118" i="80"/>
  <c r="E118" i="80"/>
  <c r="F117" i="80"/>
  <c r="E117" i="80"/>
  <c r="F116" i="80"/>
  <c r="E116" i="80"/>
  <c r="F115" i="80"/>
  <c r="E115" i="80"/>
  <c r="F114" i="80"/>
  <c r="E114" i="80"/>
  <c r="F113" i="80"/>
  <c r="E113" i="80"/>
  <c r="F112" i="80"/>
  <c r="E112" i="80"/>
  <c r="F111" i="80"/>
  <c r="E111" i="80"/>
  <c r="F110" i="80"/>
  <c r="E110" i="80"/>
  <c r="F109" i="80"/>
  <c r="E109" i="80"/>
  <c r="F108" i="80"/>
  <c r="E108" i="80"/>
  <c r="F107" i="80"/>
  <c r="E107" i="80"/>
  <c r="F106" i="80"/>
  <c r="E106" i="80"/>
  <c r="F105" i="80"/>
  <c r="E105" i="80"/>
  <c r="F104" i="80"/>
  <c r="E104" i="80"/>
  <c r="F103" i="80"/>
  <c r="E103" i="80"/>
  <c r="F102" i="80"/>
  <c r="E102" i="80"/>
  <c r="F101" i="80"/>
  <c r="E101" i="80"/>
  <c r="F100" i="80"/>
  <c r="E100" i="80"/>
  <c r="F99" i="80"/>
  <c r="E99" i="80"/>
  <c r="F98" i="80"/>
  <c r="E98" i="80"/>
  <c r="F97" i="80"/>
  <c r="E97" i="80"/>
  <c r="F96" i="80"/>
  <c r="E96" i="80"/>
  <c r="F95" i="80"/>
  <c r="E95" i="80"/>
  <c r="F94" i="80"/>
  <c r="E94" i="80"/>
  <c r="F93" i="80"/>
  <c r="E93" i="80"/>
  <c r="F92" i="80"/>
  <c r="E92" i="80"/>
  <c r="F91" i="80"/>
  <c r="E91" i="80"/>
  <c r="F90" i="80"/>
  <c r="E90" i="80"/>
  <c r="F89" i="80"/>
  <c r="E89" i="80"/>
  <c r="F88" i="80"/>
  <c r="E88" i="80"/>
  <c r="F87" i="80"/>
  <c r="E87" i="80"/>
  <c r="F86" i="80"/>
  <c r="E86" i="80"/>
  <c r="F85" i="80"/>
  <c r="E85" i="80"/>
  <c r="F84" i="80"/>
  <c r="E84" i="80"/>
  <c r="F83" i="80"/>
  <c r="E83" i="80"/>
  <c r="F82" i="80"/>
  <c r="E82" i="80"/>
  <c r="F81" i="80"/>
  <c r="E81" i="80"/>
  <c r="F80" i="80"/>
  <c r="E80" i="80"/>
  <c r="F79" i="80"/>
  <c r="E79" i="80"/>
  <c r="F78" i="80"/>
  <c r="E78" i="80"/>
  <c r="F77" i="80"/>
  <c r="E77" i="80"/>
  <c r="F76" i="80"/>
  <c r="E76" i="80"/>
  <c r="F75" i="80"/>
  <c r="E75" i="80"/>
  <c r="F74" i="80"/>
  <c r="E74" i="80"/>
  <c r="F73" i="80"/>
  <c r="E73" i="80"/>
  <c r="F72" i="80"/>
  <c r="E72" i="80"/>
  <c r="F71" i="80"/>
  <c r="E71" i="80"/>
  <c r="F70" i="80"/>
  <c r="E70" i="80"/>
  <c r="F69" i="80"/>
  <c r="E69" i="80"/>
  <c r="F68" i="80"/>
  <c r="E68" i="80"/>
  <c r="F67" i="80"/>
  <c r="E67" i="80"/>
  <c r="F66" i="80"/>
  <c r="E66" i="80"/>
  <c r="F65" i="80"/>
  <c r="E65" i="80"/>
  <c r="F64" i="80"/>
  <c r="E64" i="80"/>
  <c r="F63" i="80"/>
  <c r="E63" i="80"/>
  <c r="F62" i="80"/>
  <c r="E62" i="80"/>
  <c r="F61" i="80"/>
  <c r="E61" i="80"/>
  <c r="F60" i="80"/>
  <c r="E60" i="80"/>
  <c r="F59" i="80"/>
  <c r="E59" i="80"/>
  <c r="F58" i="80"/>
  <c r="E58" i="80"/>
  <c r="F57" i="80"/>
  <c r="E57" i="80"/>
  <c r="F56" i="80"/>
  <c r="E56" i="80"/>
  <c r="F55" i="80"/>
  <c r="E55" i="80"/>
  <c r="F54" i="80"/>
  <c r="E54" i="80"/>
  <c r="F53" i="80"/>
  <c r="E53" i="80"/>
  <c r="F52" i="80"/>
  <c r="E52" i="80"/>
  <c r="F51" i="80"/>
  <c r="E51" i="80"/>
  <c r="F50" i="80"/>
  <c r="E50" i="80"/>
  <c r="F49" i="80"/>
  <c r="E49" i="80"/>
  <c r="F48" i="80"/>
  <c r="E48" i="80"/>
  <c r="F47" i="80"/>
  <c r="E47" i="80"/>
  <c r="F46" i="80"/>
  <c r="E46" i="80"/>
  <c r="F45" i="80"/>
  <c r="E45" i="80"/>
  <c r="F44" i="80"/>
  <c r="E44" i="80"/>
  <c r="F43" i="80"/>
  <c r="E43" i="80"/>
  <c r="F42" i="80"/>
  <c r="E42" i="80"/>
  <c r="F41" i="80"/>
  <c r="E41" i="80"/>
  <c r="F40" i="80"/>
  <c r="E40" i="80"/>
  <c r="F39" i="80"/>
  <c r="E39" i="80"/>
  <c r="F38" i="80"/>
  <c r="E38" i="80"/>
  <c r="F37" i="80"/>
  <c r="E37" i="80"/>
  <c r="F36" i="80"/>
  <c r="E36" i="80"/>
  <c r="F35" i="80"/>
  <c r="E35" i="80"/>
  <c r="F34" i="80"/>
  <c r="E34" i="80"/>
  <c r="F33" i="80"/>
  <c r="E33" i="80"/>
  <c r="F32" i="80"/>
  <c r="E32" i="80"/>
  <c r="F31" i="80"/>
  <c r="E31" i="80"/>
  <c r="F30" i="80"/>
  <c r="E30" i="80"/>
  <c r="F29" i="80"/>
  <c r="E29" i="80"/>
  <c r="F28" i="80"/>
  <c r="E28" i="80"/>
  <c r="F27" i="80"/>
  <c r="E27" i="80"/>
  <c r="F26" i="80"/>
  <c r="E26" i="80"/>
  <c r="F25" i="80"/>
  <c r="E25" i="80"/>
  <c r="F24" i="80"/>
  <c r="E24" i="80"/>
  <c r="F23" i="80"/>
  <c r="E23" i="80"/>
  <c r="F22" i="80"/>
  <c r="E22" i="80"/>
  <c r="F21" i="80"/>
  <c r="E21" i="80"/>
  <c r="F20" i="80"/>
  <c r="E20" i="80"/>
  <c r="F19" i="80"/>
  <c r="E19" i="80"/>
  <c r="F18" i="80"/>
  <c r="E18" i="80"/>
  <c r="F17" i="80"/>
  <c r="E17" i="80"/>
  <c r="F16" i="80"/>
  <c r="E16" i="80"/>
  <c r="F15" i="80"/>
  <c r="E15" i="80"/>
  <c r="F14" i="80"/>
  <c r="E14" i="80"/>
  <c r="F13" i="80"/>
  <c r="E13" i="80"/>
  <c r="F12" i="80"/>
  <c r="E12" i="80"/>
  <c r="F11" i="80"/>
  <c r="E11" i="80"/>
  <c r="F10" i="80"/>
  <c r="E10" i="80"/>
  <c r="F9" i="80"/>
  <c r="E9" i="80"/>
  <c r="F8" i="80"/>
  <c r="E8" i="80"/>
  <c r="F7" i="80"/>
  <c r="E7" i="80"/>
  <c r="F6" i="80"/>
  <c r="E6" i="80"/>
  <c r="F5" i="80"/>
  <c r="E5" i="80"/>
  <c r="F4" i="80"/>
  <c r="E4" i="80"/>
  <c r="F3" i="80"/>
  <c r="E3" i="80"/>
  <c r="F2" i="80"/>
  <c r="E2" i="80"/>
  <c r="E26" i="63"/>
  <c r="E27" i="63"/>
  <c r="E28" i="63"/>
  <c r="E29" i="63"/>
  <c r="E30" i="63"/>
  <c r="E31" i="63"/>
  <c r="E32" i="63"/>
  <c r="E33" i="63"/>
  <c r="E34" i="63"/>
  <c r="E35" i="63"/>
  <c r="E36" i="63"/>
  <c r="E37" i="63"/>
  <c r="E38" i="63"/>
  <c r="E39" i="63"/>
  <c r="E40" i="63"/>
  <c r="D25" i="63"/>
  <c r="D3" i="63"/>
  <c r="D4" i="63"/>
  <c r="D5" i="63"/>
  <c r="D6" i="63"/>
  <c r="D7" i="63"/>
  <c r="D8" i="63"/>
  <c r="D9" i="63"/>
  <c r="D10" i="63"/>
  <c r="D11" i="63"/>
  <c r="D12" i="63"/>
  <c r="D13" i="63"/>
  <c r="D14" i="63"/>
  <c r="D15" i="63"/>
  <c r="D16" i="63"/>
  <c r="D17" i="63"/>
  <c r="D18" i="63"/>
  <c r="D19" i="63"/>
  <c r="D20" i="63"/>
  <c r="D21" i="63"/>
  <c r="D22" i="63"/>
  <c r="D23" i="63"/>
  <c r="D24" i="63"/>
  <c r="D2" i="63"/>
  <c r="F67" i="70"/>
  <c r="E501" i="73"/>
  <c r="E498" i="73"/>
  <c r="E499" i="73"/>
  <c r="E496" i="73"/>
  <c r="E494" i="73"/>
  <c r="E492" i="73"/>
  <c r="E491" i="73"/>
  <c r="E489" i="73"/>
  <c r="E483" i="73"/>
  <c r="E481" i="73"/>
  <c r="E479" i="73"/>
  <c r="E480" i="73"/>
  <c r="E475" i="73"/>
  <c r="E474" i="73"/>
  <c r="E473" i="73"/>
  <c r="E517" i="73"/>
  <c r="E470" i="73"/>
  <c r="E468" i="73"/>
  <c r="E467" i="73"/>
  <c r="E466" i="73"/>
  <c r="E3" i="73"/>
  <c r="E4" i="73"/>
  <c r="E5" i="73"/>
  <c r="E6" i="73"/>
  <c r="E7" i="73"/>
  <c r="E8" i="73"/>
  <c r="E9" i="73"/>
  <c r="E10" i="73"/>
  <c r="E11" i="73"/>
  <c r="E12" i="73"/>
  <c r="E13" i="73"/>
  <c r="E14" i="73"/>
  <c r="E15" i="73"/>
  <c r="E16" i="73"/>
  <c r="E17" i="73"/>
  <c r="E18" i="73"/>
  <c r="E19" i="73"/>
  <c r="E20" i="73"/>
  <c r="E21" i="73"/>
  <c r="E22" i="73"/>
  <c r="E23" i="73"/>
  <c r="E24" i="73"/>
  <c r="E25" i="73"/>
  <c r="E26" i="73"/>
  <c r="E27" i="73"/>
  <c r="G4" i="92" s="1"/>
  <c r="E28" i="73"/>
  <c r="G60" i="92" s="1"/>
  <c r="E29" i="73"/>
  <c r="E30" i="73"/>
  <c r="E31" i="73"/>
  <c r="E32" i="73"/>
  <c r="E33" i="73"/>
  <c r="E34" i="73"/>
  <c r="E35" i="73"/>
  <c r="E36" i="73"/>
  <c r="E37" i="73"/>
  <c r="E38" i="73"/>
  <c r="E39" i="73"/>
  <c r="E40" i="73"/>
  <c r="E41" i="73"/>
  <c r="E42" i="73"/>
  <c r="E43" i="73"/>
  <c r="E44" i="73"/>
  <c r="E45" i="73"/>
  <c r="E46" i="73"/>
  <c r="E47" i="73"/>
  <c r="E48" i="73"/>
  <c r="E49" i="73"/>
  <c r="E50" i="73"/>
  <c r="E51" i="73"/>
  <c r="E52" i="73"/>
  <c r="E53" i="73"/>
  <c r="E54" i="73"/>
  <c r="E55" i="73"/>
  <c r="E56" i="73"/>
  <c r="E57" i="73"/>
  <c r="E58" i="73"/>
  <c r="E59" i="73"/>
  <c r="E60" i="73"/>
  <c r="E61" i="73"/>
  <c r="E62" i="73"/>
  <c r="E63" i="73"/>
  <c r="E64" i="73"/>
  <c r="E65" i="73"/>
  <c r="E66" i="73"/>
  <c r="E67" i="73"/>
  <c r="E68" i="73"/>
  <c r="E69" i="73"/>
  <c r="E70" i="73"/>
  <c r="E71" i="73"/>
  <c r="E72" i="73"/>
  <c r="E73" i="73"/>
  <c r="E74" i="73"/>
  <c r="E75" i="73"/>
  <c r="E76" i="73"/>
  <c r="E77" i="73"/>
  <c r="E78" i="73"/>
  <c r="E79" i="73"/>
  <c r="E80" i="73"/>
  <c r="E81" i="73"/>
  <c r="E82" i="73"/>
  <c r="E83" i="73"/>
  <c r="E84" i="73"/>
  <c r="E85" i="73"/>
  <c r="E86" i="73"/>
  <c r="E87" i="73"/>
  <c r="E88" i="73"/>
  <c r="E89" i="73"/>
  <c r="E90" i="73"/>
  <c r="E91" i="73"/>
  <c r="E92" i="73"/>
  <c r="E93" i="73"/>
  <c r="E94" i="73"/>
  <c r="E95" i="73"/>
  <c r="E96" i="73"/>
  <c r="E97" i="73"/>
  <c r="E98" i="73"/>
  <c r="E99" i="73"/>
  <c r="E100" i="73"/>
  <c r="E101" i="73"/>
  <c r="E102" i="73"/>
  <c r="E103" i="73"/>
  <c r="E104" i="73"/>
  <c r="E105" i="73"/>
  <c r="E106" i="73"/>
  <c r="E107" i="73"/>
  <c r="E108" i="73"/>
  <c r="E109" i="73"/>
  <c r="E110" i="73"/>
  <c r="E111" i="73"/>
  <c r="E112" i="73"/>
  <c r="E113" i="73"/>
  <c r="E114" i="73"/>
  <c r="E115" i="73"/>
  <c r="E116" i="73"/>
  <c r="E117" i="73"/>
  <c r="E118" i="73"/>
  <c r="E119" i="73"/>
  <c r="E120" i="73"/>
  <c r="E121" i="73"/>
  <c r="E122" i="73"/>
  <c r="E123" i="73"/>
  <c r="E124" i="73"/>
  <c r="E125" i="73"/>
  <c r="E126" i="73"/>
  <c r="E127" i="73"/>
  <c r="E128" i="73"/>
  <c r="E129" i="73"/>
  <c r="E130" i="73"/>
  <c r="E131" i="73"/>
  <c r="E132" i="73"/>
  <c r="E133" i="73"/>
  <c r="E134" i="73"/>
  <c r="E135" i="73"/>
  <c r="E136" i="73"/>
  <c r="E137" i="73"/>
  <c r="E138" i="73"/>
  <c r="E139" i="73"/>
  <c r="E140" i="73"/>
  <c r="E141" i="73"/>
  <c r="E142" i="73"/>
  <c r="E143" i="73"/>
  <c r="E144" i="73"/>
  <c r="E145" i="73"/>
  <c r="E146" i="73"/>
  <c r="E147" i="73"/>
  <c r="E148" i="73"/>
  <c r="E149" i="73"/>
  <c r="E150" i="73"/>
  <c r="E151" i="73"/>
  <c r="E152" i="73"/>
  <c r="E153" i="73"/>
  <c r="E154" i="73"/>
  <c r="E155" i="73"/>
  <c r="E156" i="73"/>
  <c r="E157" i="73"/>
  <c r="E158" i="73"/>
  <c r="E159" i="73"/>
  <c r="E160" i="73"/>
  <c r="E161" i="73"/>
  <c r="E162" i="73"/>
  <c r="E163" i="73"/>
  <c r="E164" i="73"/>
  <c r="E165" i="73"/>
  <c r="E166" i="73"/>
  <c r="E167" i="73"/>
  <c r="E168" i="73"/>
  <c r="E169" i="73"/>
  <c r="E170" i="73"/>
  <c r="E171" i="73"/>
  <c r="E172" i="73"/>
  <c r="E173" i="73"/>
  <c r="E174" i="73"/>
  <c r="E175" i="73"/>
  <c r="E176" i="73"/>
  <c r="E177" i="73"/>
  <c r="E178" i="73"/>
  <c r="E179" i="73"/>
  <c r="E180" i="73"/>
  <c r="E181" i="73"/>
  <c r="E182" i="73"/>
  <c r="E183" i="73"/>
  <c r="E184" i="73"/>
  <c r="E185" i="73"/>
  <c r="E186" i="73"/>
  <c r="E187" i="73"/>
  <c r="E188" i="73"/>
  <c r="E189" i="73"/>
  <c r="E190" i="73"/>
  <c r="E191" i="73"/>
  <c r="E192" i="73"/>
  <c r="E193" i="73"/>
  <c r="E194" i="73"/>
  <c r="E195" i="73"/>
  <c r="E196" i="73"/>
  <c r="E197" i="73"/>
  <c r="E198" i="73"/>
  <c r="E199" i="73"/>
  <c r="E200" i="73"/>
  <c r="E201" i="73"/>
  <c r="E202" i="73"/>
  <c r="E203" i="73"/>
  <c r="E204" i="73"/>
  <c r="E205" i="73"/>
  <c r="E206" i="73"/>
  <c r="E207" i="73"/>
  <c r="E208" i="73"/>
  <c r="E209" i="73"/>
  <c r="E210" i="73"/>
  <c r="E211" i="73"/>
  <c r="E212" i="73"/>
  <c r="E213" i="73"/>
  <c r="E214" i="73"/>
  <c r="E215" i="73"/>
  <c r="E216" i="73"/>
  <c r="E217" i="73"/>
  <c r="E218" i="73"/>
  <c r="E219" i="73"/>
  <c r="E220" i="73"/>
  <c r="E221" i="73"/>
  <c r="E222" i="73"/>
  <c r="E223" i="73"/>
  <c r="E224" i="73"/>
  <c r="E225" i="73"/>
  <c r="E226" i="73"/>
  <c r="E227" i="73"/>
  <c r="E228" i="73"/>
  <c r="E229" i="73"/>
  <c r="E230" i="73"/>
  <c r="E231" i="73"/>
  <c r="E232" i="73"/>
  <c r="E233" i="73"/>
  <c r="E234" i="73"/>
  <c r="E235" i="73"/>
  <c r="E236" i="73"/>
  <c r="E237" i="73"/>
  <c r="E238" i="73"/>
  <c r="E239" i="73"/>
  <c r="E240" i="73"/>
  <c r="E241" i="73"/>
  <c r="E242" i="73"/>
  <c r="E243" i="73"/>
  <c r="E244" i="73"/>
  <c r="E245" i="73"/>
  <c r="E246" i="73"/>
  <c r="E247" i="73"/>
  <c r="E248" i="73"/>
  <c r="E249" i="73"/>
  <c r="E250" i="73"/>
  <c r="E251" i="73"/>
  <c r="E252" i="73"/>
  <c r="E253" i="73"/>
  <c r="E254" i="73"/>
  <c r="E255" i="73"/>
  <c r="E256" i="73"/>
  <c r="E257" i="73"/>
  <c r="E258" i="73"/>
  <c r="E259" i="73"/>
  <c r="E260" i="73"/>
  <c r="E261" i="73"/>
  <c r="E262" i="73"/>
  <c r="E263" i="73"/>
  <c r="E264" i="73"/>
  <c r="E265" i="73"/>
  <c r="E266" i="73"/>
  <c r="E267" i="73"/>
  <c r="E268" i="73"/>
  <c r="E269" i="73"/>
  <c r="E270" i="73"/>
  <c r="E271" i="73"/>
  <c r="E272" i="73"/>
  <c r="E273" i="73"/>
  <c r="E274" i="73"/>
  <c r="E275" i="73"/>
  <c r="E276" i="73"/>
  <c r="E277" i="73"/>
  <c r="E278" i="73"/>
  <c r="E279" i="73"/>
  <c r="E280" i="73"/>
  <c r="E281" i="73"/>
  <c r="E282" i="73"/>
  <c r="E283" i="73"/>
  <c r="E284" i="73"/>
  <c r="E285" i="73"/>
  <c r="E286" i="73"/>
  <c r="E287" i="73"/>
  <c r="E288" i="73"/>
  <c r="E289" i="73"/>
  <c r="E290" i="73"/>
  <c r="E291" i="73"/>
  <c r="E292" i="73"/>
  <c r="E293" i="73"/>
  <c r="E294" i="73"/>
  <c r="E295" i="73"/>
  <c r="E296" i="73"/>
  <c r="E297" i="73"/>
  <c r="E298" i="73"/>
  <c r="E299" i="73"/>
  <c r="E300" i="73"/>
  <c r="E301" i="73"/>
  <c r="E302" i="73"/>
  <c r="E303" i="73"/>
  <c r="E304" i="73"/>
  <c r="E305" i="73"/>
  <c r="E306" i="73"/>
  <c r="E307" i="73"/>
  <c r="E308" i="73"/>
  <c r="E309" i="73"/>
  <c r="E310" i="73"/>
  <c r="E311" i="73"/>
  <c r="E312" i="73"/>
  <c r="E313" i="73"/>
  <c r="E314" i="73"/>
  <c r="E315" i="73"/>
  <c r="E316" i="73"/>
  <c r="E317" i="73"/>
  <c r="E318" i="73"/>
  <c r="E319" i="73"/>
  <c r="E320" i="73"/>
  <c r="E321" i="73"/>
  <c r="E322" i="73"/>
  <c r="E323" i="73"/>
  <c r="E324" i="73"/>
  <c r="E325" i="73"/>
  <c r="E326" i="73"/>
  <c r="E327" i="73"/>
  <c r="E328" i="73"/>
  <c r="E329" i="73"/>
  <c r="E330" i="73"/>
  <c r="E331" i="73"/>
  <c r="E332" i="73"/>
  <c r="E333" i="73"/>
  <c r="E334" i="73"/>
  <c r="E335" i="73"/>
  <c r="E336" i="73"/>
  <c r="E337" i="73"/>
  <c r="E338" i="73"/>
  <c r="E339" i="73"/>
  <c r="E340" i="73"/>
  <c r="E341" i="73"/>
  <c r="E342" i="73"/>
  <c r="E343" i="73"/>
  <c r="E344" i="73"/>
  <c r="E345" i="73"/>
  <c r="E346" i="73"/>
  <c r="E347" i="73"/>
  <c r="E348" i="73"/>
  <c r="E349" i="73"/>
  <c r="E350" i="73"/>
  <c r="E351" i="73"/>
  <c r="E352" i="73"/>
  <c r="E353" i="73"/>
  <c r="E354" i="73"/>
  <c r="E355" i="73"/>
  <c r="E356" i="73"/>
  <c r="E357" i="73"/>
  <c r="E358" i="73"/>
  <c r="E359" i="73"/>
  <c r="E360" i="73"/>
  <c r="E361" i="73"/>
  <c r="E362" i="73"/>
  <c r="E363" i="73"/>
  <c r="E364" i="73"/>
  <c r="E365" i="73"/>
  <c r="E366" i="73"/>
  <c r="E367" i="73"/>
  <c r="E368" i="73"/>
  <c r="E369" i="73"/>
  <c r="E370" i="73"/>
  <c r="E371" i="73"/>
  <c r="E372" i="73"/>
  <c r="E373" i="73"/>
  <c r="E374" i="73"/>
  <c r="E375" i="73"/>
  <c r="E376" i="73"/>
  <c r="E377" i="73"/>
  <c r="E378" i="73"/>
  <c r="E379" i="73"/>
  <c r="E380" i="73"/>
  <c r="E381" i="73"/>
  <c r="E382" i="73"/>
  <c r="E383" i="73"/>
  <c r="E384" i="73"/>
  <c r="E385" i="73"/>
  <c r="E386" i="73"/>
  <c r="E387" i="73"/>
  <c r="E388" i="73"/>
  <c r="E389" i="73"/>
  <c r="E390" i="73"/>
  <c r="E391" i="73"/>
  <c r="E392" i="73"/>
  <c r="E393" i="73"/>
  <c r="E394" i="73"/>
  <c r="E395" i="73"/>
  <c r="E396" i="73"/>
  <c r="E397" i="73"/>
  <c r="E398" i="73"/>
  <c r="E399" i="73"/>
  <c r="E400" i="73"/>
  <c r="E401" i="73"/>
  <c r="E402" i="73"/>
  <c r="E403" i="73"/>
  <c r="E404" i="73"/>
  <c r="E405" i="73"/>
  <c r="E406" i="73"/>
  <c r="E407" i="73"/>
  <c r="E408" i="73"/>
  <c r="E409" i="73"/>
  <c r="E410" i="73"/>
  <c r="E411" i="73"/>
  <c r="E412" i="73"/>
  <c r="E413" i="73"/>
  <c r="E414" i="73"/>
  <c r="E415" i="73"/>
  <c r="E416" i="73"/>
  <c r="E417" i="73"/>
  <c r="E418" i="73"/>
  <c r="E419" i="73"/>
  <c r="E420" i="73"/>
  <c r="E421" i="73"/>
  <c r="E422" i="73"/>
  <c r="E423" i="73"/>
  <c r="E424" i="73"/>
  <c r="E425" i="73"/>
  <c r="E426" i="73"/>
  <c r="E427" i="73"/>
  <c r="E428" i="73"/>
  <c r="E429" i="73"/>
  <c r="E430" i="73"/>
  <c r="E431" i="73"/>
  <c r="E432" i="73"/>
  <c r="E433" i="73"/>
  <c r="E434" i="73"/>
  <c r="E435" i="73"/>
  <c r="E436" i="73"/>
  <c r="E437" i="73"/>
  <c r="E438" i="73"/>
  <c r="E439" i="73"/>
  <c r="E440" i="73"/>
  <c r="E441" i="73"/>
  <c r="E442" i="73"/>
  <c r="E443" i="73"/>
  <c r="E444" i="73"/>
  <c r="E445" i="73"/>
  <c r="E446" i="73"/>
  <c r="E447" i="73"/>
  <c r="E448" i="73"/>
  <c r="E449" i="73"/>
  <c r="E450" i="73"/>
  <c r="E451" i="73"/>
  <c r="E452" i="73"/>
  <c r="E453" i="73"/>
  <c r="E454" i="73"/>
  <c r="E455" i="73"/>
  <c r="E456" i="73"/>
  <c r="E457" i="73"/>
  <c r="E469" i="73"/>
  <c r="E458" i="73"/>
  <c r="E459" i="73"/>
  <c r="E460" i="73"/>
  <c r="E461" i="73"/>
  <c r="E462" i="73"/>
  <c r="E2" i="73"/>
  <c r="G4" i="88" s="1"/>
  <c r="K3" i="54"/>
  <c r="K2" i="53"/>
  <c r="M5" i="47"/>
  <c r="L4" i="47"/>
  <c r="L3" i="47"/>
  <c r="B28" i="72"/>
  <c r="C28" i="72" s="1"/>
  <c r="B25" i="72"/>
  <c r="C25" i="72" s="1"/>
  <c r="B20" i="72"/>
  <c r="C20" i="72" s="1"/>
  <c r="B19" i="72"/>
  <c r="C19" i="72" s="1"/>
  <c r="B18" i="72"/>
  <c r="C18" i="72" s="1"/>
  <c r="B17" i="72"/>
  <c r="C17" i="72" s="1"/>
  <c r="B16" i="72"/>
  <c r="C16" i="72" s="1"/>
  <c r="B15" i="72"/>
  <c r="C15" i="72" s="1"/>
  <c r="B14" i="72"/>
  <c r="C14" i="72" s="1"/>
  <c r="B29" i="72"/>
  <c r="C29" i="72" s="1"/>
  <c r="B13" i="72"/>
  <c r="C13" i="72" s="1"/>
  <c r="B12" i="72"/>
  <c r="C12" i="72" s="1"/>
  <c r="B11" i="72"/>
  <c r="C11" i="72" s="1"/>
  <c r="B10" i="72"/>
  <c r="C10" i="72" s="1"/>
  <c r="B8" i="72"/>
  <c r="C8" i="72" s="1"/>
  <c r="B7" i="72"/>
  <c r="C7" i="72" s="1"/>
  <c r="B6" i="72"/>
  <c r="C6" i="72" s="1"/>
  <c r="B5" i="72"/>
  <c r="C5" i="72" s="1"/>
  <c r="B4" i="72"/>
  <c r="C4" i="72" s="1"/>
  <c r="B3" i="72"/>
  <c r="C3" i="72" s="1"/>
  <c r="B2" i="72"/>
  <c r="C2" i="72" s="1"/>
  <c r="B26" i="72"/>
  <c r="C26" i="72" s="1"/>
  <c r="B9" i="72"/>
  <c r="C9" i="72" s="1"/>
  <c r="F28" i="72"/>
  <c r="F25" i="72"/>
  <c r="E28" i="72"/>
  <c r="E25" i="72"/>
  <c r="E10" i="72"/>
  <c r="E9" i="72"/>
  <c r="E8" i="72"/>
  <c r="E7" i="72"/>
  <c r="E6" i="72"/>
  <c r="E12" i="72"/>
  <c r="E13" i="72"/>
  <c r="E29" i="72"/>
  <c r="E26" i="72"/>
  <c r="E2" i="72"/>
  <c r="E3" i="72"/>
  <c r="E5" i="72"/>
  <c r="E20" i="72"/>
  <c r="E19" i="72"/>
  <c r="E18" i="72"/>
  <c r="E17" i="72"/>
  <c r="E16" i="72"/>
  <c r="E15" i="72"/>
  <c r="E14" i="72"/>
  <c r="F21" i="84" l="1"/>
  <c r="E42" i="63"/>
  <c r="D42" i="63"/>
  <c r="E232" i="42"/>
  <c r="D268" i="25"/>
  <c r="E268" i="25"/>
  <c r="K56" i="92"/>
  <c r="K9" i="92"/>
  <c r="K60" i="92"/>
  <c r="K5" i="92"/>
  <c r="G56" i="92"/>
  <c r="G8" i="92"/>
  <c r="E12" i="92"/>
  <c r="A18" i="92"/>
  <c r="A70" i="92"/>
  <c r="E64" i="92"/>
  <c r="B21" i="84"/>
  <c r="G21" i="84"/>
  <c r="H21" i="84"/>
  <c r="I21" i="84"/>
  <c r="B3" i="91"/>
  <c r="D3" i="91"/>
  <c r="B6" i="91"/>
  <c r="D6" i="91"/>
  <c r="F10" i="91"/>
  <c r="H13" i="91"/>
  <c r="D21" i="84"/>
  <c r="E21" i="84"/>
  <c r="A2083" i="83"/>
  <c r="B2076" i="83"/>
  <c r="D2071" i="83"/>
  <c r="B2071" i="83"/>
  <c r="I2069" i="83"/>
  <c r="D2069" i="83"/>
  <c r="F2074" i="83"/>
  <c r="G2073" i="83"/>
  <c r="F2073" i="83"/>
  <c r="G2074" i="83"/>
  <c r="D2035" i="83"/>
  <c r="B2035" i="83"/>
  <c r="B2042" i="83"/>
  <c r="D2042" i="83"/>
  <c r="B2048" i="83"/>
  <c r="A2055" i="83"/>
  <c r="D2000" i="83"/>
  <c r="B2000" i="83"/>
  <c r="B2013" i="83"/>
  <c r="A2020" i="83"/>
  <c r="B2007" i="83"/>
  <c r="D2007" i="83"/>
  <c r="D1965" i="83"/>
  <c r="B1965" i="83"/>
  <c r="B1972" i="83"/>
  <c r="D1972" i="83"/>
  <c r="B1978" i="83"/>
  <c r="A1985" i="83"/>
  <c r="B1936" i="83"/>
  <c r="A1943" i="83"/>
  <c r="D1931" i="83"/>
  <c r="B1931" i="83"/>
  <c r="G1933" i="83"/>
  <c r="D1929" i="83"/>
  <c r="F1933" i="83"/>
  <c r="I1929" i="83"/>
  <c r="G1934" i="83"/>
  <c r="F1934" i="83"/>
  <c r="A1908" i="83"/>
  <c r="B1901" i="83"/>
  <c r="D1896" i="83"/>
  <c r="B1896" i="83"/>
  <c r="F1899" i="83"/>
  <c r="D1894" i="83"/>
  <c r="I1894" i="83"/>
  <c r="G1899" i="83"/>
  <c r="G1898" i="83"/>
  <c r="F1898" i="83"/>
  <c r="A1873" i="83"/>
  <c r="B1866" i="83"/>
  <c r="D1861" i="83"/>
  <c r="B1861" i="83"/>
  <c r="F1864" i="83"/>
  <c r="G1863" i="83"/>
  <c r="D1859" i="83"/>
  <c r="G1864" i="83"/>
  <c r="I1859" i="83"/>
  <c r="F1863" i="83"/>
  <c r="D1825" i="83"/>
  <c r="B1825" i="83"/>
  <c r="B1832" i="83"/>
  <c r="D1832" i="83"/>
  <c r="B1838" i="83"/>
  <c r="A1845" i="83"/>
  <c r="D1790" i="83"/>
  <c r="B1790" i="83"/>
  <c r="B1797" i="83"/>
  <c r="D1797" i="83"/>
  <c r="A1810" i="83"/>
  <c r="B1803" i="83"/>
  <c r="A1768" i="83"/>
  <c r="B1761" i="83"/>
  <c r="D1756" i="83"/>
  <c r="B1756" i="83"/>
  <c r="F1758" i="83"/>
  <c r="F1759" i="83"/>
  <c r="D1754" i="83"/>
  <c r="I1754" i="83"/>
  <c r="G1759" i="83"/>
  <c r="G1758" i="83"/>
  <c r="A1698" i="83"/>
  <c r="B1691" i="83"/>
  <c r="F1688" i="83"/>
  <c r="I1684" i="83"/>
  <c r="D1686" i="83"/>
  <c r="B1686" i="83"/>
  <c r="G1688" i="83"/>
  <c r="G1689" i="83"/>
  <c r="F1689" i="83"/>
  <c r="D1684" i="83"/>
  <c r="A1628" i="83"/>
  <c r="B1621" i="83"/>
  <c r="F1618" i="83"/>
  <c r="G1619" i="83"/>
  <c r="D1616" i="83"/>
  <c r="B1616" i="83"/>
  <c r="I1614" i="83"/>
  <c r="D1614" i="83"/>
  <c r="F1619" i="83"/>
  <c r="G1618" i="83"/>
  <c r="A1558" i="83"/>
  <c r="B1551" i="83"/>
  <c r="F1548" i="83"/>
  <c r="D1546" i="83"/>
  <c r="B1546" i="83"/>
  <c r="G1548" i="83"/>
  <c r="I1544" i="83"/>
  <c r="G1549" i="83"/>
  <c r="D1544" i="83"/>
  <c r="F1549" i="83"/>
  <c r="A1418" i="83"/>
  <c r="B1411" i="83"/>
  <c r="F1409" i="83"/>
  <c r="I1404" i="83"/>
  <c r="G1408" i="83"/>
  <c r="D1404" i="83"/>
  <c r="F1408" i="83"/>
  <c r="D1406" i="83"/>
  <c r="B1406" i="83"/>
  <c r="G1409" i="83"/>
  <c r="A1278" i="83"/>
  <c r="B1271" i="83"/>
  <c r="F1269" i="83"/>
  <c r="I1264" i="83"/>
  <c r="G1268" i="83"/>
  <c r="D1264" i="83"/>
  <c r="F1268" i="83"/>
  <c r="D1266" i="83"/>
  <c r="B1266" i="83"/>
  <c r="G1269" i="83"/>
  <c r="B1131" i="83"/>
  <c r="A1138" i="83"/>
  <c r="F1129" i="83"/>
  <c r="I1124" i="83"/>
  <c r="G1128" i="83"/>
  <c r="D1124" i="83"/>
  <c r="F1128" i="83"/>
  <c r="D1126" i="83"/>
  <c r="B1126" i="83"/>
  <c r="G1129" i="83"/>
  <c r="A1068" i="83"/>
  <c r="B1061" i="83"/>
  <c r="F1058" i="83"/>
  <c r="B1056" i="83"/>
  <c r="D1056" i="83"/>
  <c r="D1054" i="83"/>
  <c r="I1054" i="83"/>
  <c r="G1058" i="83"/>
  <c r="F1059" i="83"/>
  <c r="G1059" i="83"/>
  <c r="A998" i="83"/>
  <c r="B991" i="83"/>
  <c r="F988" i="83"/>
  <c r="I984" i="83"/>
  <c r="D986" i="83"/>
  <c r="B986" i="83"/>
  <c r="G989" i="83"/>
  <c r="D984" i="83"/>
  <c r="G988" i="83"/>
  <c r="F989" i="83"/>
  <c r="A928" i="83"/>
  <c r="B921" i="83"/>
  <c r="F918" i="83"/>
  <c r="D916" i="83"/>
  <c r="B916" i="83"/>
  <c r="G918" i="83"/>
  <c r="I914" i="83"/>
  <c r="D914" i="83"/>
  <c r="G919" i="83"/>
  <c r="F919" i="83"/>
  <c r="A858" i="83"/>
  <c r="B851" i="83"/>
  <c r="F848" i="83"/>
  <c r="D846" i="83"/>
  <c r="B846" i="83"/>
  <c r="I844" i="83"/>
  <c r="G848" i="83"/>
  <c r="D844" i="83"/>
  <c r="F849" i="83"/>
  <c r="G849" i="83"/>
  <c r="A788" i="83"/>
  <c r="B781" i="83"/>
  <c r="F778" i="83"/>
  <c r="D776" i="83"/>
  <c r="B776" i="83"/>
  <c r="G779" i="83"/>
  <c r="F779" i="83"/>
  <c r="D774" i="83"/>
  <c r="I774" i="83"/>
  <c r="G778" i="83"/>
  <c r="A718" i="83"/>
  <c r="B711" i="83"/>
  <c r="F708" i="83"/>
  <c r="G708" i="83"/>
  <c r="D706" i="83"/>
  <c r="B706" i="83"/>
  <c r="F709" i="83"/>
  <c r="I704" i="83"/>
  <c r="D704" i="83"/>
  <c r="G709" i="83"/>
  <c r="B641" i="83"/>
  <c r="A648" i="83"/>
  <c r="F638" i="83"/>
  <c r="D636" i="83"/>
  <c r="B636" i="83"/>
  <c r="F639" i="83"/>
  <c r="G638" i="83"/>
  <c r="I634" i="83"/>
  <c r="D634" i="83"/>
  <c r="G639" i="83"/>
  <c r="A578" i="83"/>
  <c r="B571" i="83"/>
  <c r="F568" i="83"/>
  <c r="D566" i="83"/>
  <c r="B566" i="83"/>
  <c r="I564" i="83"/>
  <c r="D564" i="83"/>
  <c r="G569" i="83"/>
  <c r="F569" i="83"/>
  <c r="G568" i="83"/>
  <c r="B501" i="83"/>
  <c r="A508" i="83"/>
  <c r="F498" i="83"/>
  <c r="D496" i="83"/>
  <c r="B496" i="83"/>
  <c r="G499" i="83"/>
  <c r="F499" i="83"/>
  <c r="G498" i="83"/>
  <c r="D494" i="83"/>
  <c r="I494" i="83"/>
  <c r="A438" i="83"/>
  <c r="B431" i="83"/>
  <c r="F428" i="83"/>
  <c r="D426" i="83"/>
  <c r="B426" i="83"/>
  <c r="I424" i="83"/>
  <c r="F429" i="83"/>
  <c r="D424" i="83"/>
  <c r="G428" i="83"/>
  <c r="G429" i="83"/>
  <c r="A368" i="83"/>
  <c r="B361" i="83"/>
  <c r="F358" i="83"/>
  <c r="D356" i="83"/>
  <c r="B356" i="83"/>
  <c r="I354" i="83"/>
  <c r="F359" i="83"/>
  <c r="D354" i="83"/>
  <c r="G359" i="83"/>
  <c r="G358" i="83"/>
  <c r="A298" i="83"/>
  <c r="B291" i="83"/>
  <c r="F288" i="83"/>
  <c r="D286" i="83"/>
  <c r="B286" i="83"/>
  <c r="G288" i="83"/>
  <c r="I284" i="83"/>
  <c r="D284" i="83"/>
  <c r="G289" i="83"/>
  <c r="F289" i="83"/>
  <c r="B250" i="83"/>
  <c r="D250" i="83"/>
  <c r="B257" i="83"/>
  <c r="D257" i="83"/>
  <c r="B263" i="83"/>
  <c r="A270" i="83"/>
  <c r="A228" i="83"/>
  <c r="B221" i="83"/>
  <c r="D216" i="83"/>
  <c r="F219" i="83"/>
  <c r="B216" i="83"/>
  <c r="G219" i="83"/>
  <c r="I214" i="83"/>
  <c r="D214" i="83"/>
  <c r="F218" i="83"/>
  <c r="G218" i="83"/>
  <c r="D180" i="83"/>
  <c r="B180" i="83"/>
  <c r="B187" i="83"/>
  <c r="D187" i="83"/>
  <c r="B193" i="83"/>
  <c r="A200" i="83"/>
  <c r="A158" i="83"/>
  <c r="B151" i="83"/>
  <c r="D146" i="83"/>
  <c r="B146" i="83"/>
  <c r="I144" i="83"/>
  <c r="D144" i="83"/>
  <c r="G149" i="83"/>
  <c r="F149" i="83"/>
  <c r="F148" i="83"/>
  <c r="G148" i="83"/>
  <c r="D110" i="83"/>
  <c r="B110" i="83"/>
  <c r="B123" i="83"/>
  <c r="A130" i="83"/>
  <c r="B117" i="83"/>
  <c r="D117" i="83"/>
  <c r="D75" i="83"/>
  <c r="B75" i="83"/>
  <c r="B82" i="83"/>
  <c r="D82" i="83"/>
  <c r="B88" i="83"/>
  <c r="A95" i="83"/>
  <c r="B46" i="83"/>
  <c r="D47" i="83" s="1"/>
  <c r="A60" i="83"/>
  <c r="B60" i="83" s="1"/>
  <c r="B19" i="83"/>
  <c r="B39" i="83"/>
  <c r="B47" i="83"/>
  <c r="B54" i="83"/>
  <c r="D54" i="83"/>
  <c r="B12" i="90"/>
  <c r="D12" i="90"/>
  <c r="A32" i="90"/>
  <c r="B32" i="90" s="1"/>
  <c r="B25" i="90"/>
  <c r="D19" i="90"/>
  <c r="B19" i="90"/>
  <c r="L4" i="90"/>
  <c r="M4" i="90" s="1"/>
  <c r="L5" i="90"/>
  <c r="J4" i="90"/>
  <c r="I5" i="90"/>
  <c r="B12" i="83"/>
  <c r="B13" i="83" s="1"/>
  <c r="F9" i="83"/>
  <c r="G9" i="83"/>
  <c r="D232" i="42"/>
  <c r="C5" i="43"/>
  <c r="C8" i="43"/>
  <c r="U12" i="39"/>
  <c r="N12" i="39"/>
  <c r="A14" i="89"/>
  <c r="A5" i="89"/>
  <c r="G12" i="39"/>
  <c r="AE8" i="87"/>
  <c r="Q8" i="87"/>
  <c r="V22" i="89"/>
  <c r="U22" i="89" s="1"/>
  <c r="F8" i="83"/>
  <c r="A6" i="43"/>
  <c r="A13" i="43"/>
  <c r="E12" i="88"/>
  <c r="A18" i="88"/>
  <c r="B25" i="83"/>
  <c r="B32" i="83"/>
  <c r="D6" i="83"/>
  <c r="B6" i="83"/>
  <c r="K4" i="86"/>
  <c r="R4" i="86"/>
  <c r="G5" i="86"/>
  <c r="K5" i="86"/>
  <c r="L5" i="86"/>
  <c r="M5" i="86"/>
  <c r="O5" i="86"/>
  <c r="N5" i="86" s="1"/>
  <c r="F4" i="86"/>
  <c r="L4" i="86"/>
  <c r="J12" i="39"/>
  <c r="M12" i="39"/>
  <c r="Q12" i="39"/>
  <c r="N8" i="87"/>
  <c r="L2" i="89"/>
  <c r="Q3" i="89"/>
  <c r="P6" i="89" s="1"/>
  <c r="I27" i="89"/>
  <c r="F27" i="89" s="1"/>
  <c r="I39" i="89"/>
  <c r="F39" i="89" s="1"/>
  <c r="D5" i="89"/>
  <c r="D7" i="89"/>
  <c r="D9" i="89"/>
  <c r="Q41" i="89"/>
  <c r="I33" i="89"/>
  <c r="F33" i="89" s="1"/>
  <c r="Q30" i="89"/>
  <c r="P30" i="89" s="1"/>
  <c r="D3" i="89"/>
  <c r="V41" i="89"/>
  <c r="U41" i="89" s="1"/>
  <c r="Q16" i="89"/>
  <c r="P16" i="89" s="1"/>
  <c r="Q22" i="89"/>
  <c r="P22" i="89" s="1"/>
  <c r="V30" i="89"/>
  <c r="U30" i="89" s="1"/>
  <c r="D1" i="89"/>
  <c r="A11" i="86"/>
  <c r="M4" i="86"/>
  <c r="O8" i="86"/>
  <c r="N8" i="86" s="1"/>
  <c r="F7" i="86"/>
  <c r="K7" i="86"/>
  <c r="O7" i="86"/>
  <c r="N7" i="86" s="1"/>
  <c r="L7" i="86"/>
  <c r="M7" i="86"/>
  <c r="R7" i="86"/>
  <c r="G8" i="86"/>
  <c r="K8" i="86"/>
  <c r="L8" i="86"/>
  <c r="M8" i="86"/>
  <c r="G8" i="83"/>
  <c r="I4" i="83"/>
  <c r="C5" i="82"/>
  <c r="A20" i="82"/>
  <c r="A21" i="82"/>
  <c r="D4" i="83"/>
  <c r="A19" i="82"/>
  <c r="A17" i="82"/>
  <c r="A18" i="82"/>
  <c r="C3" i="82"/>
  <c r="C1" i="82"/>
  <c r="F3" i="82"/>
  <c r="F727" i="12"/>
  <c r="K65" i="92" l="1"/>
  <c r="J64" i="92"/>
  <c r="I64" i="92" s="1"/>
  <c r="E65" i="92"/>
  <c r="C64" i="92" s="1"/>
  <c r="J65" i="92"/>
  <c r="I65" i="92" s="1"/>
  <c r="G64" i="92"/>
  <c r="G66" i="92"/>
  <c r="G65" i="92"/>
  <c r="E66" i="92"/>
  <c r="K64" i="92"/>
  <c r="E68" i="92"/>
  <c r="A74" i="92"/>
  <c r="E16" i="92"/>
  <c r="A22" i="92"/>
  <c r="K12" i="92"/>
  <c r="G14" i="92"/>
  <c r="K13" i="92"/>
  <c r="J12" i="92"/>
  <c r="I12" i="92" s="1"/>
  <c r="G13" i="92"/>
  <c r="J13" i="92"/>
  <c r="I13" i="92" s="1"/>
  <c r="G12" i="92"/>
  <c r="E14" i="92"/>
  <c r="E13" i="92"/>
  <c r="C12" i="92" s="1"/>
  <c r="F13" i="91"/>
  <c r="H16" i="91"/>
  <c r="G10" i="91"/>
  <c r="M9" i="91"/>
  <c r="Q9" i="91"/>
  <c r="P9" i="91"/>
  <c r="O9" i="91" s="1"/>
  <c r="K9" i="91"/>
  <c r="N9" i="91"/>
  <c r="M10" i="91"/>
  <c r="N10" i="91"/>
  <c r="L9" i="91"/>
  <c r="K10" i="91"/>
  <c r="L10" i="91"/>
  <c r="F9" i="91"/>
  <c r="G22" i="83"/>
  <c r="B20" i="83"/>
  <c r="L2070" i="83"/>
  <c r="I2070" i="83"/>
  <c r="L2069" i="83"/>
  <c r="M2069" i="83" s="1"/>
  <c r="J2069" i="83"/>
  <c r="B2077" i="83"/>
  <c r="D2077" i="83"/>
  <c r="B2083" i="83"/>
  <c r="A2090" i="83"/>
  <c r="A2062" i="83"/>
  <c r="B2062" i="83" s="1"/>
  <c r="B2055" i="83"/>
  <c r="B2049" i="83"/>
  <c r="D2049" i="83"/>
  <c r="G2046" i="83"/>
  <c r="F2046" i="83"/>
  <c r="I2041" i="83"/>
  <c r="G2045" i="83"/>
  <c r="D2041" i="83"/>
  <c r="F2045" i="83"/>
  <c r="D2043" i="83"/>
  <c r="B2043" i="83"/>
  <c r="D2036" i="83"/>
  <c r="D2034" i="83"/>
  <c r="G2038" i="83"/>
  <c r="F2038" i="83"/>
  <c r="G2039" i="83"/>
  <c r="F2039" i="83"/>
  <c r="I2034" i="83"/>
  <c r="B2036" i="83"/>
  <c r="G2011" i="83"/>
  <c r="F2011" i="83"/>
  <c r="I2006" i="83"/>
  <c r="B2008" i="83"/>
  <c r="G2010" i="83"/>
  <c r="D2006" i="83"/>
  <c r="F2010" i="83"/>
  <c r="D2008" i="83"/>
  <c r="A2027" i="83"/>
  <c r="B2027" i="83" s="1"/>
  <c r="B2020" i="83"/>
  <c r="D2014" i="83"/>
  <c r="B2014" i="83"/>
  <c r="D2001" i="83"/>
  <c r="F2003" i="83"/>
  <c r="G2003" i="83"/>
  <c r="G2004" i="83"/>
  <c r="I1999" i="83"/>
  <c r="B2001" i="83"/>
  <c r="F2004" i="83"/>
  <c r="D1999" i="83"/>
  <c r="A1992" i="83"/>
  <c r="B1992" i="83" s="1"/>
  <c r="B1985" i="83"/>
  <c r="B1979" i="83"/>
  <c r="D1979" i="83"/>
  <c r="G1976" i="83"/>
  <c r="F1976" i="83"/>
  <c r="I1971" i="83"/>
  <c r="D1973" i="83"/>
  <c r="G1975" i="83"/>
  <c r="D1971" i="83"/>
  <c r="F1975" i="83"/>
  <c r="B1973" i="83"/>
  <c r="D1966" i="83"/>
  <c r="B1966" i="83"/>
  <c r="G1968" i="83"/>
  <c r="F1969" i="83"/>
  <c r="I1964" i="83"/>
  <c r="F1968" i="83"/>
  <c r="G1969" i="83"/>
  <c r="D1964" i="83"/>
  <c r="L1930" i="83"/>
  <c r="I1930" i="83"/>
  <c r="L1929" i="83"/>
  <c r="M1929" i="83" s="1"/>
  <c r="J1929" i="83"/>
  <c r="B1943" i="83"/>
  <c r="A1950" i="83"/>
  <c r="B1937" i="83"/>
  <c r="D1937" i="83"/>
  <c r="L1895" i="83"/>
  <c r="I1895" i="83"/>
  <c r="L1894" i="83"/>
  <c r="M1894" i="83" s="1"/>
  <c r="J1894" i="83"/>
  <c r="B1902" i="83"/>
  <c r="D1902" i="83"/>
  <c r="B1908" i="83"/>
  <c r="A1915" i="83"/>
  <c r="L1860" i="83"/>
  <c r="I1860" i="83"/>
  <c r="L1859" i="83"/>
  <c r="M1859" i="83" s="1"/>
  <c r="J1859" i="83"/>
  <c r="B1867" i="83"/>
  <c r="D1867" i="83"/>
  <c r="B1873" i="83"/>
  <c r="A1880" i="83"/>
  <c r="A1852" i="83"/>
  <c r="B1852" i="83" s="1"/>
  <c r="B1845" i="83"/>
  <c r="D1839" i="83"/>
  <c r="B1839" i="83"/>
  <c r="G1836" i="83"/>
  <c r="F1836" i="83"/>
  <c r="I1831" i="83"/>
  <c r="B1833" i="83"/>
  <c r="G1835" i="83"/>
  <c r="D1831" i="83"/>
  <c r="F1835" i="83"/>
  <c r="D1833" i="83"/>
  <c r="D1826" i="83"/>
  <c r="B1826" i="83"/>
  <c r="F1829" i="83"/>
  <c r="G1828" i="83"/>
  <c r="F1828" i="83"/>
  <c r="I1824" i="83"/>
  <c r="D1824" i="83"/>
  <c r="G1829" i="83"/>
  <c r="B1804" i="83"/>
  <c r="D1804" i="83"/>
  <c r="A1817" i="83"/>
  <c r="B1817" i="83" s="1"/>
  <c r="B1810" i="83"/>
  <c r="G1801" i="83"/>
  <c r="D1798" i="83"/>
  <c r="F1801" i="83"/>
  <c r="I1796" i="83"/>
  <c r="G1800" i="83"/>
  <c r="D1796" i="83"/>
  <c r="F1800" i="83"/>
  <c r="B1798" i="83"/>
  <c r="D1791" i="83"/>
  <c r="F1794" i="83"/>
  <c r="F1793" i="83"/>
  <c r="B1791" i="83"/>
  <c r="D1789" i="83"/>
  <c r="G1794" i="83"/>
  <c r="I1789" i="83"/>
  <c r="G1793" i="83"/>
  <c r="L1755" i="83"/>
  <c r="I1755" i="83"/>
  <c r="L1754" i="83"/>
  <c r="M1754" i="83" s="1"/>
  <c r="J1754" i="83"/>
  <c r="B1762" i="83"/>
  <c r="D1762" i="83"/>
  <c r="B1768" i="83"/>
  <c r="A1775" i="83"/>
  <c r="L1685" i="83"/>
  <c r="I1685" i="83"/>
  <c r="J1684" i="83"/>
  <c r="L1684" i="83"/>
  <c r="M1684" i="83" s="1"/>
  <c r="D1692" i="83"/>
  <c r="B1692" i="83"/>
  <c r="B1698" i="83"/>
  <c r="A1705" i="83"/>
  <c r="L1614" i="83"/>
  <c r="M1614" i="83" s="1"/>
  <c r="L1615" i="83"/>
  <c r="I1615" i="83"/>
  <c r="J1614" i="83"/>
  <c r="D1622" i="83"/>
  <c r="B1622" i="83"/>
  <c r="A1635" i="83"/>
  <c r="B1628" i="83"/>
  <c r="L1545" i="83"/>
  <c r="I1545" i="83"/>
  <c r="L1544" i="83"/>
  <c r="M1544" i="83" s="1"/>
  <c r="J1544" i="83"/>
  <c r="D1552" i="83"/>
  <c r="B1552" i="83"/>
  <c r="B1558" i="83"/>
  <c r="A1565" i="83"/>
  <c r="L1404" i="83"/>
  <c r="M1404" i="83" s="1"/>
  <c r="J1404" i="83"/>
  <c r="L1405" i="83"/>
  <c r="I1405" i="83"/>
  <c r="D1412" i="83"/>
  <c r="B1412" i="83"/>
  <c r="A1425" i="83"/>
  <c r="B1418" i="83"/>
  <c r="I1265" i="83"/>
  <c r="L1265" i="83"/>
  <c r="L1264" i="83"/>
  <c r="M1264" i="83" s="1"/>
  <c r="J1264" i="83"/>
  <c r="D1272" i="83"/>
  <c r="B1272" i="83"/>
  <c r="A1285" i="83"/>
  <c r="B1278" i="83"/>
  <c r="L1124" i="83"/>
  <c r="M1124" i="83" s="1"/>
  <c r="L1125" i="83"/>
  <c r="I1125" i="83"/>
  <c r="J1124" i="83"/>
  <c r="A1145" i="83"/>
  <c r="B1138" i="83"/>
  <c r="D1132" i="83"/>
  <c r="B1132" i="83"/>
  <c r="L1055" i="83"/>
  <c r="I1055" i="83"/>
  <c r="L1054" i="83"/>
  <c r="M1054" i="83" s="1"/>
  <c r="J1054" i="83"/>
  <c r="D1062" i="83"/>
  <c r="B1062" i="83"/>
  <c r="B1068" i="83"/>
  <c r="A1075" i="83"/>
  <c r="J984" i="83"/>
  <c r="L985" i="83"/>
  <c r="I985" i="83"/>
  <c r="L984" i="83"/>
  <c r="M984" i="83" s="1"/>
  <c r="D992" i="83"/>
  <c r="B992" i="83"/>
  <c r="B998" i="83"/>
  <c r="A1005" i="83"/>
  <c r="L914" i="83"/>
  <c r="M914" i="83" s="1"/>
  <c r="L915" i="83"/>
  <c r="I915" i="83"/>
  <c r="J914" i="83"/>
  <c r="D922" i="83"/>
  <c r="B922" i="83"/>
  <c r="B928" i="83"/>
  <c r="A935" i="83"/>
  <c r="J844" i="83"/>
  <c r="L845" i="83"/>
  <c r="I845" i="83"/>
  <c r="L844" i="83"/>
  <c r="M844" i="83" s="1"/>
  <c r="D852" i="83"/>
  <c r="B852" i="83"/>
  <c r="A865" i="83"/>
  <c r="B858" i="83"/>
  <c r="L775" i="83"/>
  <c r="I775" i="83"/>
  <c r="J774" i="83"/>
  <c r="L774" i="83"/>
  <c r="M774" i="83" s="1"/>
  <c r="D782" i="83"/>
  <c r="B782" i="83"/>
  <c r="B788" i="83"/>
  <c r="A795" i="83"/>
  <c r="L704" i="83"/>
  <c r="M704" i="83" s="1"/>
  <c r="J704" i="83"/>
  <c r="L705" i="83"/>
  <c r="I705" i="83"/>
  <c r="D712" i="83"/>
  <c r="B712" i="83"/>
  <c r="A725" i="83"/>
  <c r="B718" i="83"/>
  <c r="L634" i="83"/>
  <c r="M634" i="83" s="1"/>
  <c r="J634" i="83"/>
  <c r="L635" i="83"/>
  <c r="I635" i="83"/>
  <c r="A655" i="83"/>
  <c r="B648" i="83"/>
  <c r="D642" i="83"/>
  <c r="B642" i="83"/>
  <c r="J564" i="83"/>
  <c r="L565" i="83"/>
  <c r="I565" i="83"/>
  <c r="L564" i="83"/>
  <c r="M564" i="83" s="1"/>
  <c r="D572" i="83"/>
  <c r="B572" i="83"/>
  <c r="A585" i="83"/>
  <c r="B578" i="83"/>
  <c r="L495" i="83"/>
  <c r="I495" i="83"/>
  <c r="J494" i="83"/>
  <c r="L494" i="83"/>
  <c r="M494" i="83" s="1"/>
  <c r="B508" i="83"/>
  <c r="A515" i="83"/>
  <c r="D502" i="83"/>
  <c r="B502" i="83"/>
  <c r="I425" i="83"/>
  <c r="J424" i="83"/>
  <c r="L425" i="83"/>
  <c r="L424" i="83"/>
  <c r="M424" i="83" s="1"/>
  <c r="D432" i="83"/>
  <c r="B432" i="83"/>
  <c r="B438" i="83"/>
  <c r="A445" i="83"/>
  <c r="L355" i="83"/>
  <c r="I355" i="83"/>
  <c r="J354" i="83"/>
  <c r="L354" i="83"/>
  <c r="M354" i="83" s="1"/>
  <c r="D362" i="83"/>
  <c r="B362" i="83"/>
  <c r="B368" i="83"/>
  <c r="A375" i="83"/>
  <c r="I285" i="83"/>
  <c r="L285" i="83"/>
  <c r="L284" i="83"/>
  <c r="M284" i="83" s="1"/>
  <c r="J284" i="83"/>
  <c r="D292" i="83"/>
  <c r="B292" i="83"/>
  <c r="B298" i="83"/>
  <c r="A305" i="83"/>
  <c r="B270" i="83"/>
  <c r="A277" i="83"/>
  <c r="B277" i="83" s="1"/>
  <c r="B264" i="83"/>
  <c r="D264" i="83"/>
  <c r="G261" i="83"/>
  <c r="G260" i="83"/>
  <c r="B258" i="83"/>
  <c r="F261" i="83"/>
  <c r="I256" i="83"/>
  <c r="D256" i="83"/>
  <c r="F260" i="83"/>
  <c r="D258" i="83"/>
  <c r="D251" i="83"/>
  <c r="F254" i="83"/>
  <c r="B251" i="83"/>
  <c r="I249" i="83"/>
  <c r="D249" i="83"/>
  <c r="G253" i="83"/>
  <c r="G254" i="83"/>
  <c r="F253" i="83"/>
  <c r="L215" i="83"/>
  <c r="L214" i="83"/>
  <c r="M214" i="83" s="1"/>
  <c r="J214" i="83"/>
  <c r="I215" i="83"/>
  <c r="B222" i="83"/>
  <c r="D222" i="83"/>
  <c r="A235" i="83"/>
  <c r="B228" i="83"/>
  <c r="B200" i="83"/>
  <c r="A207" i="83"/>
  <c r="B207" i="83" s="1"/>
  <c r="B194" i="83"/>
  <c r="D194" i="83"/>
  <c r="G191" i="83"/>
  <c r="F191" i="83"/>
  <c r="D186" i="83"/>
  <c r="D188" i="83"/>
  <c r="I186" i="83"/>
  <c r="B188" i="83"/>
  <c r="G190" i="83"/>
  <c r="F190" i="83"/>
  <c r="D181" i="83"/>
  <c r="B181" i="83"/>
  <c r="I179" i="83"/>
  <c r="G183" i="83"/>
  <c r="F184" i="83"/>
  <c r="D179" i="83"/>
  <c r="G184" i="83"/>
  <c r="F183" i="83"/>
  <c r="L144" i="83"/>
  <c r="M144" i="83" s="1"/>
  <c r="L145" i="83"/>
  <c r="I145" i="83"/>
  <c r="J144" i="83"/>
  <c r="B152" i="83"/>
  <c r="D152" i="83"/>
  <c r="B158" i="83"/>
  <c r="A165" i="83"/>
  <c r="G120" i="83"/>
  <c r="D118" i="83"/>
  <c r="G121" i="83"/>
  <c r="D116" i="83"/>
  <c r="F121" i="83"/>
  <c r="I116" i="83"/>
  <c r="F120" i="83"/>
  <c r="B118" i="83"/>
  <c r="A137" i="83"/>
  <c r="B137" i="83" s="1"/>
  <c r="B130" i="83"/>
  <c r="B124" i="83"/>
  <c r="D124" i="83"/>
  <c r="D111" i="83"/>
  <c r="B111" i="83"/>
  <c r="F114" i="83"/>
  <c r="F113" i="83"/>
  <c r="G114" i="83"/>
  <c r="G113" i="83"/>
  <c r="D109" i="83"/>
  <c r="I109" i="83"/>
  <c r="B95" i="83"/>
  <c r="A102" i="83"/>
  <c r="B102" i="83" s="1"/>
  <c r="B89" i="83"/>
  <c r="D89" i="83"/>
  <c r="I81" i="83"/>
  <c r="F86" i="83"/>
  <c r="G86" i="83"/>
  <c r="G85" i="83"/>
  <c r="D81" i="83"/>
  <c r="F85" i="83"/>
  <c r="B83" i="83"/>
  <c r="D83" i="83"/>
  <c r="D76" i="83"/>
  <c r="B76" i="83"/>
  <c r="G79" i="83"/>
  <c r="F79" i="83"/>
  <c r="G78" i="83"/>
  <c r="D74" i="83"/>
  <c r="I74" i="83"/>
  <c r="F78" i="83"/>
  <c r="A67" i="83"/>
  <c r="B67" i="83" s="1"/>
  <c r="F23" i="83"/>
  <c r="G23" i="83"/>
  <c r="D18" i="83"/>
  <c r="D20" i="83"/>
  <c r="I18" i="83"/>
  <c r="L19" i="83" s="1"/>
  <c r="F22" i="83"/>
  <c r="B40" i="83"/>
  <c r="B41" i="83" s="1"/>
  <c r="D40" i="83"/>
  <c r="G57" i="83"/>
  <c r="D53" i="83"/>
  <c r="F57" i="83"/>
  <c r="D55" i="83"/>
  <c r="F58" i="83"/>
  <c r="B55" i="83"/>
  <c r="I53" i="83"/>
  <c r="G58" i="83"/>
  <c r="D61" i="83"/>
  <c r="B61" i="83"/>
  <c r="D68" i="83"/>
  <c r="B68" i="83"/>
  <c r="I46" i="83"/>
  <c r="F51" i="83"/>
  <c r="D46" i="83"/>
  <c r="G50" i="83"/>
  <c r="B48" i="83"/>
  <c r="G51" i="83"/>
  <c r="D48" i="83"/>
  <c r="F50" i="83"/>
  <c r="G22" i="90"/>
  <c r="D18" i="90"/>
  <c r="I18" i="90"/>
  <c r="F22" i="90"/>
  <c r="D20" i="90"/>
  <c r="B20" i="90"/>
  <c r="G23" i="90"/>
  <c r="F23" i="90"/>
  <c r="D26" i="90"/>
  <c r="B26" i="90"/>
  <c r="B33" i="90"/>
  <c r="D33" i="90"/>
  <c r="G15" i="90"/>
  <c r="D13" i="90"/>
  <c r="G16" i="90"/>
  <c r="F16" i="90"/>
  <c r="I11" i="90"/>
  <c r="B13" i="90"/>
  <c r="D11" i="90"/>
  <c r="F15" i="90"/>
  <c r="I5" i="83"/>
  <c r="L5" i="83"/>
  <c r="J4" i="83"/>
  <c r="D13" i="83"/>
  <c r="G15" i="83"/>
  <c r="F15" i="83"/>
  <c r="D11" i="83"/>
  <c r="I11" i="83"/>
  <c r="L11" i="83" s="1"/>
  <c r="M11" i="83" s="1"/>
  <c r="F16" i="83"/>
  <c r="G16" i="83"/>
  <c r="J13" i="88"/>
  <c r="I13" i="88" s="1"/>
  <c r="J12" i="88"/>
  <c r="I12" i="88" s="1"/>
  <c r="P3" i="89"/>
  <c r="P41" i="89"/>
  <c r="P43" i="89"/>
  <c r="U23" i="89"/>
  <c r="E16" i="88"/>
  <c r="A22" i="88"/>
  <c r="G14" i="88"/>
  <c r="G13" i="88"/>
  <c r="E14" i="88"/>
  <c r="K13" i="88"/>
  <c r="E13" i="88"/>
  <c r="C12" i="88" s="1"/>
  <c r="K12" i="88"/>
  <c r="G12" i="88"/>
  <c r="D4" i="86"/>
  <c r="B4" i="86"/>
  <c r="B7" i="86"/>
  <c r="D7" i="86"/>
  <c r="B33" i="83"/>
  <c r="D33" i="83"/>
  <c r="B26" i="83"/>
  <c r="D26" i="83"/>
  <c r="F34" i="89"/>
  <c r="U31" i="89"/>
  <c r="S16" i="89"/>
  <c r="R16" i="89"/>
  <c r="V16" i="89"/>
  <c r="U16" i="89" s="1"/>
  <c r="P18" i="89"/>
  <c r="S17" i="89"/>
  <c r="F42" i="89"/>
  <c r="P23" i="89"/>
  <c r="U43" i="89"/>
  <c r="F28" i="89"/>
  <c r="S4" i="89"/>
  <c r="V3" i="89"/>
  <c r="U3" i="89" s="1"/>
  <c r="S3" i="89"/>
  <c r="R3" i="89"/>
  <c r="P31" i="89"/>
  <c r="F11" i="86"/>
  <c r="A14" i="86"/>
  <c r="L4" i="83"/>
  <c r="M4" i="83" s="1"/>
  <c r="E3" i="82"/>
  <c r="H3" i="82" s="1"/>
  <c r="E6" i="82"/>
  <c r="I3" i="82"/>
  <c r="H6" i="82" s="1"/>
  <c r="G24" i="54"/>
  <c r="G26" i="54" s="1"/>
  <c r="G30" i="54" s="1"/>
  <c r="H24" i="54"/>
  <c r="H26" i="54" s="1"/>
  <c r="E70" i="92" l="1"/>
  <c r="E69" i="92"/>
  <c r="C68" i="92" s="1"/>
  <c r="K69" i="92"/>
  <c r="J68" i="92"/>
  <c r="I68" i="92" s="1"/>
  <c r="J69" i="92"/>
  <c r="I69" i="92" s="1"/>
  <c r="K68" i="92"/>
  <c r="G68" i="92"/>
  <c r="G70" i="92"/>
  <c r="G69" i="92"/>
  <c r="E72" i="92"/>
  <c r="A78" i="92"/>
  <c r="G18" i="92"/>
  <c r="G17" i="92"/>
  <c r="E18" i="92"/>
  <c r="E17" i="92"/>
  <c r="C16" i="92" s="1"/>
  <c r="K16" i="92"/>
  <c r="J17" i="92"/>
  <c r="I17" i="92" s="1"/>
  <c r="J16" i="92"/>
  <c r="I16" i="92" s="1"/>
  <c r="G16" i="92"/>
  <c r="K17" i="92"/>
  <c r="E20" i="92"/>
  <c r="A26" i="92"/>
  <c r="D9" i="91"/>
  <c r="B9" i="91"/>
  <c r="F16" i="91"/>
  <c r="H19" i="91"/>
  <c r="N13" i="91"/>
  <c r="L12" i="91"/>
  <c r="M13" i="91"/>
  <c r="K12" i="91"/>
  <c r="L13" i="91"/>
  <c r="F12" i="91"/>
  <c r="M12" i="91"/>
  <c r="K13" i="91"/>
  <c r="G13" i="91"/>
  <c r="N12" i="91"/>
  <c r="Q12" i="91"/>
  <c r="J18" i="83"/>
  <c r="L18" i="83"/>
  <c r="M18" i="83" s="1"/>
  <c r="I19" i="83"/>
  <c r="A2097" i="83"/>
  <c r="B2097" i="83" s="1"/>
  <c r="B2090" i="83"/>
  <c r="D2084" i="83"/>
  <c r="B2084" i="83"/>
  <c r="G2081" i="83"/>
  <c r="F2081" i="83"/>
  <c r="I2076" i="83"/>
  <c r="G2080" i="83"/>
  <c r="D2076" i="83"/>
  <c r="F2080" i="83"/>
  <c r="D2078" i="83"/>
  <c r="B2078" i="83"/>
  <c r="L2035" i="83"/>
  <c r="L2034" i="83"/>
  <c r="M2034" i="83" s="1"/>
  <c r="I2035" i="83"/>
  <c r="J2034" i="83"/>
  <c r="L2041" i="83"/>
  <c r="M2041" i="83" s="1"/>
  <c r="J2041" i="83"/>
  <c r="I2042" i="83"/>
  <c r="L2042" i="83"/>
  <c r="G2052" i="83"/>
  <c r="D2048" i="83"/>
  <c r="D2050" i="83"/>
  <c r="I2048" i="83"/>
  <c r="B2050" i="83"/>
  <c r="G2053" i="83"/>
  <c r="F2053" i="83"/>
  <c r="F2052" i="83"/>
  <c r="B2056" i="83"/>
  <c r="D2056" i="83"/>
  <c r="D2063" i="83"/>
  <c r="B2063" i="83"/>
  <c r="G2017" i="83"/>
  <c r="D2013" i="83"/>
  <c r="B2015" i="83"/>
  <c r="D2015" i="83"/>
  <c r="I2013" i="83"/>
  <c r="F2018" i="83"/>
  <c r="G2018" i="83"/>
  <c r="F2017" i="83"/>
  <c r="D2021" i="83"/>
  <c r="B2021" i="83"/>
  <c r="D2028" i="83"/>
  <c r="B2028" i="83"/>
  <c r="I2000" i="83"/>
  <c r="J1999" i="83"/>
  <c r="L2000" i="83"/>
  <c r="L1999" i="83"/>
  <c r="M1999" i="83" s="1"/>
  <c r="J2006" i="83"/>
  <c r="I2007" i="83"/>
  <c r="L2007" i="83"/>
  <c r="L2006" i="83"/>
  <c r="M2006" i="83" s="1"/>
  <c r="L1972" i="83"/>
  <c r="L1971" i="83"/>
  <c r="M1971" i="83" s="1"/>
  <c r="J1971" i="83"/>
  <c r="I1972" i="83"/>
  <c r="L1964" i="83"/>
  <c r="M1964" i="83" s="1"/>
  <c r="L1965" i="83"/>
  <c r="I1965" i="83"/>
  <c r="J1964" i="83"/>
  <c r="G1982" i="83"/>
  <c r="D1978" i="83"/>
  <c r="F1982" i="83"/>
  <c r="D1980" i="83"/>
  <c r="B1980" i="83"/>
  <c r="G1983" i="83"/>
  <c r="I1978" i="83"/>
  <c r="F1983" i="83"/>
  <c r="D1986" i="83"/>
  <c r="B1986" i="83"/>
  <c r="D1993" i="83"/>
  <c r="B1993" i="83"/>
  <c r="G1941" i="83"/>
  <c r="F1940" i="83"/>
  <c r="F1941" i="83"/>
  <c r="I1936" i="83"/>
  <c r="G1940" i="83"/>
  <c r="D1936" i="83"/>
  <c r="D1938" i="83"/>
  <c r="B1938" i="83"/>
  <c r="A1957" i="83"/>
  <c r="B1957" i="83" s="1"/>
  <c r="B1950" i="83"/>
  <c r="D1944" i="83"/>
  <c r="B1944" i="83"/>
  <c r="G1906" i="83"/>
  <c r="B1903" i="83"/>
  <c r="F1906" i="83"/>
  <c r="I1901" i="83"/>
  <c r="G1905" i="83"/>
  <c r="D1901" i="83"/>
  <c r="F1905" i="83"/>
  <c r="D1903" i="83"/>
  <c r="A1922" i="83"/>
  <c r="B1922" i="83" s="1"/>
  <c r="B1915" i="83"/>
  <c r="B1909" i="83"/>
  <c r="D1909" i="83"/>
  <c r="A1887" i="83"/>
  <c r="B1887" i="83" s="1"/>
  <c r="B1880" i="83"/>
  <c r="D1874" i="83"/>
  <c r="B1874" i="83"/>
  <c r="G1871" i="83"/>
  <c r="F1871" i="83"/>
  <c r="I1866" i="83"/>
  <c r="G1870" i="83"/>
  <c r="D1866" i="83"/>
  <c r="F1870" i="83"/>
  <c r="D1868" i="83"/>
  <c r="B1868" i="83"/>
  <c r="L1831" i="83"/>
  <c r="M1831" i="83" s="1"/>
  <c r="J1831" i="83"/>
  <c r="I1832" i="83"/>
  <c r="L1832" i="83"/>
  <c r="L1825" i="83"/>
  <c r="I1825" i="83"/>
  <c r="J1824" i="83"/>
  <c r="L1824" i="83"/>
  <c r="M1824" i="83" s="1"/>
  <c r="G1842" i="83"/>
  <c r="D1838" i="83"/>
  <c r="F1842" i="83"/>
  <c r="D1840" i="83"/>
  <c r="B1840" i="83"/>
  <c r="G1843" i="83"/>
  <c r="F1843" i="83"/>
  <c r="I1838" i="83"/>
  <c r="D1846" i="83"/>
  <c r="B1846" i="83"/>
  <c r="D1853" i="83"/>
  <c r="B1853" i="83"/>
  <c r="L1796" i="83"/>
  <c r="M1796" i="83" s="1"/>
  <c r="I1797" i="83"/>
  <c r="J1796" i="83"/>
  <c r="L1797" i="83"/>
  <c r="L1790" i="83"/>
  <c r="I1790" i="83"/>
  <c r="L1789" i="83"/>
  <c r="M1789" i="83" s="1"/>
  <c r="J1789" i="83"/>
  <c r="B1811" i="83"/>
  <c r="D1811" i="83"/>
  <c r="D1818" i="83"/>
  <c r="B1818" i="83"/>
  <c r="G1807" i="83"/>
  <c r="D1803" i="83"/>
  <c r="D1805" i="83"/>
  <c r="B1805" i="83"/>
  <c r="F1808" i="83"/>
  <c r="I1803" i="83"/>
  <c r="F1807" i="83"/>
  <c r="G1808" i="83"/>
  <c r="A1782" i="83"/>
  <c r="B1782" i="83" s="1"/>
  <c r="B1775" i="83"/>
  <c r="D1769" i="83"/>
  <c r="B1769" i="83"/>
  <c r="G1766" i="83"/>
  <c r="F1766" i="83"/>
  <c r="I1761" i="83"/>
  <c r="G1765" i="83"/>
  <c r="D1761" i="83"/>
  <c r="F1765" i="83"/>
  <c r="D1763" i="83"/>
  <c r="B1763" i="83"/>
  <c r="B1705" i="83"/>
  <c r="A1712" i="83"/>
  <c r="D1699" i="83"/>
  <c r="B1699" i="83"/>
  <c r="G1696" i="83"/>
  <c r="F1696" i="83"/>
  <c r="I1691" i="83"/>
  <c r="G1695" i="83"/>
  <c r="D1691" i="83"/>
  <c r="F1695" i="83"/>
  <c r="D1693" i="83"/>
  <c r="B1693" i="83"/>
  <c r="B1629" i="83"/>
  <c r="D1629" i="83"/>
  <c r="B1635" i="83"/>
  <c r="A1642" i="83"/>
  <c r="D1623" i="83"/>
  <c r="G1626" i="83"/>
  <c r="F1626" i="83"/>
  <c r="I1621" i="83"/>
  <c r="G1625" i="83"/>
  <c r="D1621" i="83"/>
  <c r="F1625" i="83"/>
  <c r="B1623" i="83"/>
  <c r="A1572" i="83"/>
  <c r="B1565" i="83"/>
  <c r="B1559" i="83"/>
  <c r="D1559" i="83"/>
  <c r="G1556" i="83"/>
  <c r="B1553" i="83"/>
  <c r="F1556" i="83"/>
  <c r="I1551" i="83"/>
  <c r="G1555" i="83"/>
  <c r="D1551" i="83"/>
  <c r="F1555" i="83"/>
  <c r="D1553" i="83"/>
  <c r="B1419" i="83"/>
  <c r="D1419" i="83"/>
  <c r="B1425" i="83"/>
  <c r="A1432" i="83"/>
  <c r="F1415" i="83"/>
  <c r="B1413" i="83"/>
  <c r="G1416" i="83"/>
  <c r="D1411" i="83"/>
  <c r="F1416" i="83"/>
  <c r="I1411" i="83"/>
  <c r="G1415" i="83"/>
  <c r="D1413" i="83"/>
  <c r="D1279" i="83"/>
  <c r="B1279" i="83"/>
  <c r="A1292" i="83"/>
  <c r="B1285" i="83"/>
  <c r="F1276" i="83"/>
  <c r="G1276" i="83"/>
  <c r="I1271" i="83"/>
  <c r="D1273" i="83"/>
  <c r="G1275" i="83"/>
  <c r="D1271" i="83"/>
  <c r="F1275" i="83"/>
  <c r="B1273" i="83"/>
  <c r="G1136" i="83"/>
  <c r="F1136" i="83"/>
  <c r="D1133" i="83"/>
  <c r="F1135" i="83"/>
  <c r="I1131" i="83"/>
  <c r="G1135" i="83"/>
  <c r="D1131" i="83"/>
  <c r="B1133" i="83"/>
  <c r="D1139" i="83"/>
  <c r="B1139" i="83"/>
  <c r="A1152" i="83"/>
  <c r="B1145" i="83"/>
  <c r="B1075" i="83"/>
  <c r="A1082" i="83"/>
  <c r="B1069" i="83"/>
  <c r="D1069" i="83"/>
  <c r="B1063" i="83"/>
  <c r="G1066" i="83"/>
  <c r="F1066" i="83"/>
  <c r="I1061" i="83"/>
  <c r="G1065" i="83"/>
  <c r="D1061" i="83"/>
  <c r="F1065" i="83"/>
  <c r="D1063" i="83"/>
  <c r="A1012" i="83"/>
  <c r="B1005" i="83"/>
  <c r="B999" i="83"/>
  <c r="D999" i="83"/>
  <c r="B993" i="83"/>
  <c r="G996" i="83"/>
  <c r="F996" i="83"/>
  <c r="I991" i="83"/>
  <c r="G995" i="83"/>
  <c r="D991" i="83"/>
  <c r="F995" i="83"/>
  <c r="D993" i="83"/>
  <c r="A942" i="83"/>
  <c r="B935" i="83"/>
  <c r="D929" i="83"/>
  <c r="B929" i="83"/>
  <c r="G926" i="83"/>
  <c r="B923" i="83"/>
  <c r="F926" i="83"/>
  <c r="I921" i="83"/>
  <c r="F925" i="83"/>
  <c r="G925" i="83"/>
  <c r="D921" i="83"/>
  <c r="D923" i="83"/>
  <c r="D859" i="83"/>
  <c r="B859" i="83"/>
  <c r="A872" i="83"/>
  <c r="B865" i="83"/>
  <c r="F856" i="83"/>
  <c r="G856" i="83"/>
  <c r="I851" i="83"/>
  <c r="G855" i="83"/>
  <c r="D851" i="83"/>
  <c r="F855" i="83"/>
  <c r="B853" i="83"/>
  <c r="D853" i="83"/>
  <c r="B795" i="83"/>
  <c r="A802" i="83"/>
  <c r="B789" i="83"/>
  <c r="D789" i="83"/>
  <c r="F786" i="83"/>
  <c r="D781" i="83"/>
  <c r="D783" i="83"/>
  <c r="B783" i="83"/>
  <c r="G786" i="83"/>
  <c r="I781" i="83"/>
  <c r="G785" i="83"/>
  <c r="F785" i="83"/>
  <c r="D719" i="83"/>
  <c r="B719" i="83"/>
  <c r="A732" i="83"/>
  <c r="B725" i="83"/>
  <c r="F715" i="83"/>
  <c r="B713" i="83"/>
  <c r="G716" i="83"/>
  <c r="F716" i="83"/>
  <c r="I711" i="83"/>
  <c r="G715" i="83"/>
  <c r="D711" i="83"/>
  <c r="D713" i="83"/>
  <c r="F646" i="83"/>
  <c r="D643" i="83"/>
  <c r="F645" i="83"/>
  <c r="G646" i="83"/>
  <c r="B643" i="83"/>
  <c r="I641" i="83"/>
  <c r="G645" i="83"/>
  <c r="D641" i="83"/>
  <c r="B649" i="83"/>
  <c r="D649" i="83"/>
  <c r="B655" i="83"/>
  <c r="A662" i="83"/>
  <c r="D579" i="83"/>
  <c r="B579" i="83"/>
  <c r="A592" i="83"/>
  <c r="B585" i="83"/>
  <c r="F575" i="83"/>
  <c r="G575" i="83"/>
  <c r="D573" i="83"/>
  <c r="G576" i="83"/>
  <c r="D571" i="83"/>
  <c r="F576" i="83"/>
  <c r="I571" i="83"/>
  <c r="B573" i="83"/>
  <c r="F506" i="83"/>
  <c r="B503" i="83"/>
  <c r="G506" i="83"/>
  <c r="I501" i="83"/>
  <c r="F505" i="83"/>
  <c r="D503" i="83"/>
  <c r="G505" i="83"/>
  <c r="D501" i="83"/>
  <c r="A522" i="83"/>
  <c r="B515" i="83"/>
  <c r="B509" i="83"/>
  <c r="D509" i="83"/>
  <c r="A452" i="83"/>
  <c r="B445" i="83"/>
  <c r="B439" i="83"/>
  <c r="D439" i="83"/>
  <c r="G436" i="83"/>
  <c r="F436" i="83"/>
  <c r="B433" i="83"/>
  <c r="I431" i="83"/>
  <c r="G435" i="83"/>
  <c r="D431" i="83"/>
  <c r="D433" i="83"/>
  <c r="F435" i="83"/>
  <c r="A382" i="83"/>
  <c r="B375" i="83"/>
  <c r="D369" i="83"/>
  <c r="B369" i="83"/>
  <c r="F365" i="83"/>
  <c r="D363" i="83"/>
  <c r="B363" i="83"/>
  <c r="G366" i="83"/>
  <c r="I361" i="83"/>
  <c r="F366" i="83"/>
  <c r="G365" i="83"/>
  <c r="D361" i="83"/>
  <c r="A312" i="83"/>
  <c r="B305" i="83"/>
  <c r="B299" i="83"/>
  <c r="D299" i="83"/>
  <c r="F296" i="83"/>
  <c r="G295" i="83"/>
  <c r="D293" i="83"/>
  <c r="B293" i="83"/>
  <c r="I291" i="83"/>
  <c r="G296" i="83"/>
  <c r="D291" i="83"/>
  <c r="F295" i="83"/>
  <c r="L256" i="83"/>
  <c r="M256" i="83" s="1"/>
  <c r="J256" i="83"/>
  <c r="I257" i="83"/>
  <c r="L257" i="83"/>
  <c r="L250" i="83"/>
  <c r="J249" i="83"/>
  <c r="I250" i="83"/>
  <c r="L249" i="83"/>
  <c r="M249" i="83" s="1"/>
  <c r="G267" i="83"/>
  <c r="D263" i="83"/>
  <c r="D265" i="83"/>
  <c r="G268" i="83"/>
  <c r="F268" i="83"/>
  <c r="B265" i="83"/>
  <c r="I263" i="83"/>
  <c r="F267" i="83"/>
  <c r="B278" i="83"/>
  <c r="D278" i="83"/>
  <c r="B271" i="83"/>
  <c r="D271" i="83"/>
  <c r="D229" i="83"/>
  <c r="B229" i="83"/>
  <c r="A242" i="83"/>
  <c r="B242" i="83" s="1"/>
  <c r="B235" i="83"/>
  <c r="F226" i="83"/>
  <c r="G226" i="83"/>
  <c r="D221" i="83"/>
  <c r="I221" i="83"/>
  <c r="B223" i="83"/>
  <c r="G225" i="83"/>
  <c r="F225" i="83"/>
  <c r="D223" i="83"/>
  <c r="L186" i="83"/>
  <c r="M186" i="83" s="1"/>
  <c r="J186" i="83"/>
  <c r="L187" i="83"/>
  <c r="I187" i="83"/>
  <c r="L180" i="83"/>
  <c r="I180" i="83"/>
  <c r="L179" i="83"/>
  <c r="M179" i="83" s="1"/>
  <c r="J179" i="83"/>
  <c r="G197" i="83"/>
  <c r="D193" i="83"/>
  <c r="F197" i="83"/>
  <c r="D195" i="83"/>
  <c r="F198" i="83"/>
  <c r="B195" i="83"/>
  <c r="G198" i="83"/>
  <c r="I193" i="83"/>
  <c r="B208" i="83"/>
  <c r="D208" i="83"/>
  <c r="D201" i="83"/>
  <c r="B201" i="83"/>
  <c r="B165" i="83"/>
  <c r="A172" i="83"/>
  <c r="B172" i="83" s="1"/>
  <c r="D159" i="83"/>
  <c r="B159" i="83"/>
  <c r="G156" i="83"/>
  <c r="F156" i="83"/>
  <c r="I151" i="83"/>
  <c r="G155" i="83"/>
  <c r="D151" i="83"/>
  <c r="F155" i="83"/>
  <c r="D153" i="83"/>
  <c r="B153" i="83"/>
  <c r="G127" i="83"/>
  <c r="D123" i="83"/>
  <c r="F127" i="83"/>
  <c r="D125" i="83"/>
  <c r="B125" i="83"/>
  <c r="G128" i="83"/>
  <c r="F128" i="83"/>
  <c r="I123" i="83"/>
  <c r="D131" i="83"/>
  <c r="B131" i="83"/>
  <c r="B138" i="83"/>
  <c r="D138" i="83"/>
  <c r="L116" i="83"/>
  <c r="M116" i="83" s="1"/>
  <c r="J116" i="83"/>
  <c r="L117" i="83"/>
  <c r="I117" i="83"/>
  <c r="L110" i="83"/>
  <c r="I110" i="83"/>
  <c r="J109" i="83"/>
  <c r="L109" i="83"/>
  <c r="M109" i="83" s="1"/>
  <c r="L75" i="83"/>
  <c r="J74" i="83"/>
  <c r="I75" i="83"/>
  <c r="L74" i="83"/>
  <c r="M74" i="83" s="1"/>
  <c r="L82" i="83"/>
  <c r="L81" i="83"/>
  <c r="M81" i="83" s="1"/>
  <c r="J81" i="83"/>
  <c r="I82" i="83"/>
  <c r="G92" i="83"/>
  <c r="D88" i="83"/>
  <c r="F92" i="83"/>
  <c r="D90" i="83"/>
  <c r="F93" i="83"/>
  <c r="B90" i="83"/>
  <c r="I88" i="83"/>
  <c r="G93" i="83"/>
  <c r="B103" i="83"/>
  <c r="D103" i="83"/>
  <c r="D96" i="83"/>
  <c r="B96" i="83"/>
  <c r="D41" i="83"/>
  <c r="G44" i="83"/>
  <c r="F43" i="83"/>
  <c r="G43" i="83"/>
  <c r="I39" i="83"/>
  <c r="D39" i="83"/>
  <c r="F44" i="83"/>
  <c r="B62" i="83"/>
  <c r="G65" i="83"/>
  <c r="D60" i="83"/>
  <c r="G64" i="83"/>
  <c r="D62" i="83"/>
  <c r="F64" i="83"/>
  <c r="F65" i="83"/>
  <c r="I60" i="83"/>
  <c r="G72" i="83"/>
  <c r="F72" i="83"/>
  <c r="I67" i="83"/>
  <c r="G71" i="83"/>
  <c r="D67" i="83"/>
  <c r="F71" i="83"/>
  <c r="D69" i="83"/>
  <c r="B69" i="83"/>
  <c r="I54" i="83"/>
  <c r="L54" i="83"/>
  <c r="J53" i="83"/>
  <c r="L53" i="83"/>
  <c r="M53" i="83" s="1"/>
  <c r="L46" i="83"/>
  <c r="M46" i="83" s="1"/>
  <c r="J46" i="83"/>
  <c r="I47" i="83"/>
  <c r="L47" i="83"/>
  <c r="G37" i="90"/>
  <c r="F37" i="90"/>
  <c r="I32" i="90"/>
  <c r="G36" i="90"/>
  <c r="D32" i="90"/>
  <c r="F36" i="90"/>
  <c r="D34" i="90"/>
  <c r="B34" i="90"/>
  <c r="B27" i="90"/>
  <c r="G29" i="90"/>
  <c r="D25" i="90"/>
  <c r="G30" i="90"/>
  <c r="F29" i="90"/>
  <c r="F30" i="90"/>
  <c r="I25" i="90"/>
  <c r="D27" i="90"/>
  <c r="L18" i="90"/>
  <c r="M18" i="90" s="1"/>
  <c r="I19" i="90"/>
  <c r="J18" i="90"/>
  <c r="L19" i="90"/>
  <c r="L11" i="90"/>
  <c r="M11" i="90" s="1"/>
  <c r="J11" i="90"/>
  <c r="L12" i="90"/>
  <c r="I12" i="90"/>
  <c r="J11" i="83"/>
  <c r="I12" i="83"/>
  <c r="L12" i="83"/>
  <c r="J16" i="88"/>
  <c r="I16" i="88" s="1"/>
  <c r="J17" i="88"/>
  <c r="I17" i="88" s="1"/>
  <c r="A26" i="88"/>
  <c r="E20" i="88"/>
  <c r="G18" i="88"/>
  <c r="E18" i="88"/>
  <c r="K17" i="88"/>
  <c r="G17" i="88"/>
  <c r="E17" i="88"/>
  <c r="C16" i="88" s="1"/>
  <c r="K16" i="88"/>
  <c r="G16" i="88"/>
  <c r="D25" i="83"/>
  <c r="G29" i="83"/>
  <c r="G30" i="83"/>
  <c r="F30" i="83"/>
  <c r="F29" i="83"/>
  <c r="B27" i="83"/>
  <c r="I25" i="83"/>
  <c r="D27" i="83"/>
  <c r="D32" i="83"/>
  <c r="I32" i="83"/>
  <c r="B34" i="83"/>
  <c r="G36" i="83"/>
  <c r="D34" i="83"/>
  <c r="F36" i="83"/>
  <c r="G37" i="83"/>
  <c r="F37" i="83"/>
  <c r="X3" i="89"/>
  <c r="W3" i="89"/>
  <c r="U6" i="89"/>
  <c r="X4" i="89"/>
  <c r="U18" i="89"/>
  <c r="X17" i="89"/>
  <c r="W16" i="89"/>
  <c r="X16" i="89"/>
  <c r="A17" i="86"/>
  <c r="F14" i="86"/>
  <c r="O11" i="86"/>
  <c r="N11" i="86" s="1"/>
  <c r="O10" i="86"/>
  <c r="N10" i="86" s="1"/>
  <c r="M10" i="86"/>
  <c r="L10" i="86"/>
  <c r="K10" i="86"/>
  <c r="F10" i="86"/>
  <c r="L11" i="86"/>
  <c r="K11" i="86"/>
  <c r="G11" i="86"/>
  <c r="Q10" i="86"/>
  <c r="P10" i="86" s="1"/>
  <c r="R10" i="86"/>
  <c r="M11" i="86"/>
  <c r="H30" i="54"/>
  <c r="G41" i="54"/>
  <c r="G40" i="54"/>
  <c r="G39" i="54"/>
  <c r="H41" i="54"/>
  <c r="H40" i="54"/>
  <c r="H39" i="54"/>
  <c r="F313" i="70"/>
  <c r="F312" i="70"/>
  <c r="F311" i="70"/>
  <c r="F310" i="70"/>
  <c r="F309" i="70"/>
  <c r="F308" i="70"/>
  <c r="F307" i="70"/>
  <c r="F306" i="70"/>
  <c r="F13" i="70"/>
  <c r="F305" i="70"/>
  <c r="F304" i="70"/>
  <c r="F303" i="70"/>
  <c r="F302" i="70"/>
  <c r="F301" i="70"/>
  <c r="F300" i="70"/>
  <c r="F299" i="70"/>
  <c r="F298" i="70"/>
  <c r="F297" i="70"/>
  <c r="F296" i="70"/>
  <c r="F295" i="70"/>
  <c r="F294" i="70"/>
  <c r="F135" i="70"/>
  <c r="F293" i="70"/>
  <c r="F292" i="70"/>
  <c r="F133" i="70"/>
  <c r="F291" i="70"/>
  <c r="F290" i="70"/>
  <c r="F289" i="70"/>
  <c r="F288" i="70"/>
  <c r="F287" i="70"/>
  <c r="F286" i="70"/>
  <c r="F130" i="70"/>
  <c r="F285" i="70"/>
  <c r="F129" i="70"/>
  <c r="F284" i="70"/>
  <c r="F283" i="70"/>
  <c r="F282" i="70"/>
  <c r="F281" i="70"/>
  <c r="F280" i="70"/>
  <c r="F184" i="70"/>
  <c r="F279" i="70"/>
  <c r="F278" i="70"/>
  <c r="F277" i="70"/>
  <c r="F276" i="70"/>
  <c r="F275" i="70"/>
  <c r="F274" i="70"/>
  <c r="F123" i="70"/>
  <c r="F273" i="70"/>
  <c r="F272" i="70"/>
  <c r="F271" i="70"/>
  <c r="F119" i="70"/>
  <c r="F270" i="70"/>
  <c r="F269" i="70"/>
  <c r="F268" i="70"/>
  <c r="F118" i="70"/>
  <c r="F267" i="70"/>
  <c r="F266" i="70"/>
  <c r="F115" i="70"/>
  <c r="F265" i="70"/>
  <c r="F264" i="70"/>
  <c r="F263" i="70"/>
  <c r="F112" i="70"/>
  <c r="F262" i="70"/>
  <c r="F261" i="70"/>
  <c r="F260" i="70"/>
  <c r="F259" i="70"/>
  <c r="F258" i="70"/>
  <c r="F257" i="70"/>
  <c r="F256" i="70"/>
  <c r="F142" i="70"/>
  <c r="F136" i="70"/>
  <c r="F59" i="69"/>
  <c r="E59" i="69"/>
  <c r="D59" i="69"/>
  <c r="C59" i="69"/>
  <c r="F46" i="69"/>
  <c r="E46" i="69"/>
  <c r="D46" i="69"/>
  <c r="C46" i="69"/>
  <c r="F237" i="25"/>
  <c r="F241" i="25"/>
  <c r="F242" i="25"/>
  <c r="F262" i="25"/>
  <c r="F244" i="25"/>
  <c r="F250" i="25"/>
  <c r="F265" i="25"/>
  <c r="F266" i="25"/>
  <c r="F251" i="25"/>
  <c r="F253" i="25"/>
  <c r="F263" i="25"/>
  <c r="F264" i="25"/>
  <c r="F239" i="25"/>
  <c r="F252" i="25"/>
  <c r="F236" i="25"/>
  <c r="F231" i="25"/>
  <c r="F235" i="25"/>
  <c r="F230" i="25"/>
  <c r="F255" i="25"/>
  <c r="F259" i="25"/>
  <c r="F261" i="25"/>
  <c r="F246" i="25"/>
  <c r="F247" i="25"/>
  <c r="F243" i="25"/>
  <c r="F233" i="25"/>
  <c r="F248" i="25"/>
  <c r="F249" i="25"/>
  <c r="F238" i="25"/>
  <c r="F240" i="25"/>
  <c r="F234" i="25"/>
  <c r="F245" i="25"/>
  <c r="F260" i="25"/>
  <c r="F256" i="25"/>
  <c r="F254" i="25"/>
  <c r="F257" i="25"/>
  <c r="F258" i="25"/>
  <c r="F232" i="25"/>
  <c r="G484" i="12"/>
  <c r="G434" i="12"/>
  <c r="E434" i="12"/>
  <c r="A3" i="76"/>
  <c r="A16" i="74"/>
  <c r="A15" i="74"/>
  <c r="F8" i="69"/>
  <c r="F4" i="69"/>
  <c r="F9" i="69"/>
  <c r="F5" i="69"/>
  <c r="F10" i="69"/>
  <c r="F6" i="69"/>
  <c r="F7" i="69"/>
  <c r="F11" i="69"/>
  <c r="F14" i="69"/>
  <c r="F12" i="69"/>
  <c r="F13" i="69"/>
  <c r="F16" i="69"/>
  <c r="F18" i="69"/>
  <c r="F15" i="69"/>
  <c r="F19" i="69"/>
  <c r="F17" i="69"/>
  <c r="F22" i="69"/>
  <c r="F20" i="69"/>
  <c r="F21" i="69"/>
  <c r="F23" i="69"/>
  <c r="F26" i="69"/>
  <c r="F27" i="69"/>
  <c r="F28" i="69"/>
  <c r="F29" i="69"/>
  <c r="F24" i="69"/>
  <c r="F25" i="69"/>
  <c r="F31" i="69"/>
  <c r="F32" i="69"/>
  <c r="F33" i="69"/>
  <c r="F34" i="69"/>
  <c r="F35" i="69"/>
  <c r="F30" i="69"/>
  <c r="F36" i="69"/>
  <c r="F37" i="69"/>
  <c r="F38" i="69"/>
  <c r="F39" i="69"/>
  <c r="F40" i="69"/>
  <c r="F48" i="69"/>
  <c r="F49" i="69"/>
  <c r="F45" i="69"/>
  <c r="F44" i="69"/>
  <c r="F47" i="69"/>
  <c r="F50" i="69"/>
  <c r="F41" i="69"/>
  <c r="F42" i="69"/>
  <c r="F43" i="69"/>
  <c r="F51" i="69"/>
  <c r="F52" i="69"/>
  <c r="F53" i="69"/>
  <c r="F54" i="69"/>
  <c r="F55" i="69"/>
  <c r="F60" i="69"/>
  <c r="F61" i="69"/>
  <c r="F62" i="69"/>
  <c r="F56" i="69"/>
  <c r="F63" i="69"/>
  <c r="F64" i="69"/>
  <c r="F66" i="69"/>
  <c r="F57" i="69"/>
  <c r="F65" i="69"/>
  <c r="F67" i="69"/>
  <c r="F58" i="69"/>
  <c r="F68" i="69"/>
  <c r="F69" i="69"/>
  <c r="F70" i="69"/>
  <c r="F71" i="69"/>
  <c r="F72" i="69"/>
  <c r="F73" i="69"/>
  <c r="F74" i="69"/>
  <c r="F76" i="69"/>
  <c r="F77" i="69"/>
  <c r="F78" i="69"/>
  <c r="F79" i="69"/>
  <c r="F80" i="69"/>
  <c r="F81" i="69"/>
  <c r="F82" i="69"/>
  <c r="F83" i="69"/>
  <c r="F86" i="69"/>
  <c r="F84" i="69"/>
  <c r="F75" i="69"/>
  <c r="F87" i="69"/>
  <c r="F85" i="69"/>
  <c r="F93" i="69"/>
  <c r="F95" i="69"/>
  <c r="F94" i="69"/>
  <c r="F88" i="69"/>
  <c r="F89" i="69"/>
  <c r="F90" i="69"/>
  <c r="F91" i="69"/>
  <c r="F92" i="69"/>
  <c r="F100" i="69"/>
  <c r="F101" i="69"/>
  <c r="F98" i="69"/>
  <c r="F103" i="69"/>
  <c r="F104" i="69"/>
  <c r="F102" i="69"/>
  <c r="F96" i="69"/>
  <c r="F99" i="69"/>
  <c r="F97" i="69"/>
  <c r="E8" i="69"/>
  <c r="E4" i="69"/>
  <c r="E9" i="69"/>
  <c r="E5" i="69"/>
  <c r="E10" i="69"/>
  <c r="E6" i="69"/>
  <c r="E7" i="69"/>
  <c r="E11" i="69"/>
  <c r="E14" i="69"/>
  <c r="E12" i="69"/>
  <c r="E13" i="69"/>
  <c r="E16" i="69"/>
  <c r="E18" i="69"/>
  <c r="E15" i="69"/>
  <c r="E19" i="69"/>
  <c r="E17" i="69"/>
  <c r="E22" i="69"/>
  <c r="E20" i="69"/>
  <c r="E21" i="69"/>
  <c r="E23" i="69"/>
  <c r="E26" i="69"/>
  <c r="E27" i="69"/>
  <c r="E28" i="69"/>
  <c r="E29" i="69"/>
  <c r="E24" i="69"/>
  <c r="E25" i="69"/>
  <c r="E31" i="69"/>
  <c r="E32" i="69"/>
  <c r="E33" i="69"/>
  <c r="E34" i="69"/>
  <c r="E35" i="69"/>
  <c r="E30" i="69"/>
  <c r="E36" i="69"/>
  <c r="E37" i="69"/>
  <c r="E38" i="69"/>
  <c r="E39" i="69"/>
  <c r="E40" i="69"/>
  <c r="E48" i="69"/>
  <c r="E49" i="69"/>
  <c r="E45" i="69"/>
  <c r="E44" i="69"/>
  <c r="E47" i="69"/>
  <c r="E50" i="69"/>
  <c r="E41" i="69"/>
  <c r="E42" i="69"/>
  <c r="E43" i="69"/>
  <c r="E51" i="69"/>
  <c r="E52" i="69"/>
  <c r="E53" i="69"/>
  <c r="E54" i="69"/>
  <c r="E55" i="69"/>
  <c r="E60" i="69"/>
  <c r="E61" i="69"/>
  <c r="E62" i="69"/>
  <c r="E56" i="69"/>
  <c r="E63" i="69"/>
  <c r="E64" i="69"/>
  <c r="E66" i="69"/>
  <c r="E57" i="69"/>
  <c r="E65" i="69"/>
  <c r="E67" i="69"/>
  <c r="E58" i="69"/>
  <c r="E68" i="69"/>
  <c r="E69" i="69"/>
  <c r="E70" i="69"/>
  <c r="E71" i="69"/>
  <c r="E72" i="69"/>
  <c r="E73" i="69"/>
  <c r="E74" i="69"/>
  <c r="E76" i="69"/>
  <c r="E77" i="69"/>
  <c r="E78" i="69"/>
  <c r="E79" i="69"/>
  <c r="E80" i="69"/>
  <c r="E81" i="69"/>
  <c r="E82" i="69"/>
  <c r="E83" i="69"/>
  <c r="E86" i="69"/>
  <c r="E84" i="69"/>
  <c r="E75" i="69"/>
  <c r="E87" i="69"/>
  <c r="E85" i="69"/>
  <c r="E93" i="69"/>
  <c r="E95" i="69"/>
  <c r="E94" i="69"/>
  <c r="E88" i="69"/>
  <c r="E89" i="69"/>
  <c r="E90" i="69"/>
  <c r="E91" i="69"/>
  <c r="E92" i="69"/>
  <c r="E100" i="69"/>
  <c r="E101" i="69"/>
  <c r="E98" i="69"/>
  <c r="E103" i="69"/>
  <c r="E104" i="69"/>
  <c r="E102" i="69"/>
  <c r="E96" i="69"/>
  <c r="E99" i="69"/>
  <c r="E97" i="69"/>
  <c r="D8" i="69"/>
  <c r="D4" i="69"/>
  <c r="D9" i="69"/>
  <c r="D5" i="69"/>
  <c r="D10" i="69"/>
  <c r="D6" i="69"/>
  <c r="D7" i="69"/>
  <c r="D11" i="69"/>
  <c r="D14" i="69"/>
  <c r="D12" i="69"/>
  <c r="D13" i="69"/>
  <c r="D16" i="69"/>
  <c r="D18" i="69"/>
  <c r="D15" i="69"/>
  <c r="D19" i="69"/>
  <c r="D17" i="69"/>
  <c r="D22" i="69"/>
  <c r="D20" i="69"/>
  <c r="D21" i="69"/>
  <c r="D23" i="69"/>
  <c r="D26" i="69"/>
  <c r="D27" i="69"/>
  <c r="D28" i="69"/>
  <c r="D29" i="69"/>
  <c r="D24" i="69"/>
  <c r="D25" i="69"/>
  <c r="D31" i="69"/>
  <c r="D32" i="69"/>
  <c r="D33" i="69"/>
  <c r="D34" i="69"/>
  <c r="D35" i="69"/>
  <c r="D30" i="69"/>
  <c r="D36" i="69"/>
  <c r="D37" i="69"/>
  <c r="D38" i="69"/>
  <c r="D39" i="69"/>
  <c r="D40" i="69"/>
  <c r="D48" i="69"/>
  <c r="D49" i="69"/>
  <c r="D45" i="69"/>
  <c r="D44" i="69"/>
  <c r="D47" i="69"/>
  <c r="D50" i="69"/>
  <c r="D41" i="69"/>
  <c r="D42" i="69"/>
  <c r="D43" i="69"/>
  <c r="D51" i="69"/>
  <c r="D52" i="69"/>
  <c r="D53" i="69"/>
  <c r="D54" i="69"/>
  <c r="D55" i="69"/>
  <c r="D60" i="69"/>
  <c r="D61" i="69"/>
  <c r="D62" i="69"/>
  <c r="D56" i="69"/>
  <c r="D63" i="69"/>
  <c r="D64" i="69"/>
  <c r="D66" i="69"/>
  <c r="D57" i="69"/>
  <c r="D65" i="69"/>
  <c r="D67" i="69"/>
  <c r="D58" i="69"/>
  <c r="D68" i="69"/>
  <c r="D69" i="69"/>
  <c r="D70" i="69"/>
  <c r="D71" i="69"/>
  <c r="D72" i="69"/>
  <c r="D73" i="69"/>
  <c r="D74" i="69"/>
  <c r="D76" i="69"/>
  <c r="D77" i="69"/>
  <c r="D78" i="69"/>
  <c r="D79" i="69"/>
  <c r="D80" i="69"/>
  <c r="D81" i="69"/>
  <c r="D82" i="69"/>
  <c r="D83" i="69"/>
  <c r="D86" i="69"/>
  <c r="D84" i="69"/>
  <c r="D75" i="69"/>
  <c r="D87" i="69"/>
  <c r="D85" i="69"/>
  <c r="D93" i="69"/>
  <c r="D95" i="69"/>
  <c r="D94" i="69"/>
  <c r="D88" i="69"/>
  <c r="D89" i="69"/>
  <c r="D90" i="69"/>
  <c r="D91" i="69"/>
  <c r="D92" i="69"/>
  <c r="D100" i="69"/>
  <c r="D101" i="69"/>
  <c r="D98" i="69"/>
  <c r="D103" i="69"/>
  <c r="D104" i="69"/>
  <c r="D102" i="69"/>
  <c r="D96" i="69"/>
  <c r="D99" i="69"/>
  <c r="D97" i="69"/>
  <c r="C8" i="69"/>
  <c r="C4" i="69"/>
  <c r="C9" i="69"/>
  <c r="C5" i="69"/>
  <c r="C10" i="69"/>
  <c r="C6" i="69"/>
  <c r="C7" i="69"/>
  <c r="C11" i="69"/>
  <c r="C14" i="69"/>
  <c r="C12" i="69"/>
  <c r="C13" i="69"/>
  <c r="C16" i="69"/>
  <c r="C18" i="69"/>
  <c r="C15" i="69"/>
  <c r="C19" i="69"/>
  <c r="C17" i="69"/>
  <c r="C22" i="69"/>
  <c r="C20" i="69"/>
  <c r="C21" i="69"/>
  <c r="C23" i="69"/>
  <c r="C26" i="69"/>
  <c r="C27" i="69"/>
  <c r="C28" i="69"/>
  <c r="C29" i="69"/>
  <c r="C24" i="69"/>
  <c r="C25" i="69"/>
  <c r="C31" i="69"/>
  <c r="C32" i="69"/>
  <c r="C33" i="69"/>
  <c r="C34" i="69"/>
  <c r="C35" i="69"/>
  <c r="C30" i="69"/>
  <c r="C36" i="69"/>
  <c r="C37" i="69"/>
  <c r="C38" i="69"/>
  <c r="C39" i="69"/>
  <c r="C40" i="69"/>
  <c r="C48" i="69"/>
  <c r="C49" i="69"/>
  <c r="C45" i="69"/>
  <c r="C44" i="69"/>
  <c r="C47" i="69"/>
  <c r="C50" i="69"/>
  <c r="C41" i="69"/>
  <c r="C42" i="69"/>
  <c r="C43" i="69"/>
  <c r="C51" i="69"/>
  <c r="C52" i="69"/>
  <c r="C53" i="69"/>
  <c r="C54" i="69"/>
  <c r="C55" i="69"/>
  <c r="C60" i="69"/>
  <c r="C61" i="69"/>
  <c r="C62" i="69"/>
  <c r="C56" i="69"/>
  <c r="C63" i="69"/>
  <c r="C64" i="69"/>
  <c r="C66" i="69"/>
  <c r="C57" i="69"/>
  <c r="C65" i="69"/>
  <c r="C67" i="69"/>
  <c r="C58" i="69"/>
  <c r="C68" i="69"/>
  <c r="C69" i="69"/>
  <c r="C70" i="69"/>
  <c r="C71" i="69"/>
  <c r="C72" i="69"/>
  <c r="C73" i="69"/>
  <c r="C74" i="69"/>
  <c r="C76" i="69"/>
  <c r="C77" i="69"/>
  <c r="C78" i="69"/>
  <c r="C79" i="69"/>
  <c r="C80" i="69"/>
  <c r="C81" i="69"/>
  <c r="C82" i="69"/>
  <c r="C83" i="69"/>
  <c r="C86" i="69"/>
  <c r="C84" i="69"/>
  <c r="C75" i="69"/>
  <c r="C87" i="69"/>
  <c r="C85" i="69"/>
  <c r="C93" i="69"/>
  <c r="C95" i="69"/>
  <c r="C94" i="69"/>
  <c r="C88" i="69"/>
  <c r="C89" i="69"/>
  <c r="C90" i="69"/>
  <c r="C91" i="69"/>
  <c r="C92" i="69"/>
  <c r="C100" i="69"/>
  <c r="C101" i="69"/>
  <c r="C98" i="69"/>
  <c r="C103" i="69"/>
  <c r="C104" i="69"/>
  <c r="C102" i="69"/>
  <c r="C96" i="69"/>
  <c r="C99" i="69"/>
  <c r="C97" i="69"/>
  <c r="C3" i="69"/>
  <c r="A3" i="74"/>
  <c r="A4" i="74"/>
  <c r="A5" i="74"/>
  <c r="A6" i="74"/>
  <c r="A7" i="74"/>
  <c r="A8" i="74"/>
  <c r="A9" i="74"/>
  <c r="A10" i="74"/>
  <c r="A11" i="74"/>
  <c r="A12" i="74"/>
  <c r="A13" i="74"/>
  <c r="A14" i="74"/>
  <c r="A2" i="74"/>
  <c r="F2" i="72"/>
  <c r="F3" i="72"/>
  <c r="F5" i="72"/>
  <c r="F6" i="72"/>
  <c r="F7" i="72"/>
  <c r="F8" i="72"/>
  <c r="F9" i="72"/>
  <c r="F10" i="72"/>
  <c r="F13" i="72"/>
  <c r="F29" i="72"/>
  <c r="F14" i="72"/>
  <c r="F15" i="72"/>
  <c r="F16" i="72"/>
  <c r="F17" i="72"/>
  <c r="F18" i="72"/>
  <c r="F19" i="72"/>
  <c r="F20" i="72"/>
  <c r="X5" i="39"/>
  <c r="X4" i="39"/>
  <c r="X3" i="39"/>
  <c r="X2" i="39"/>
  <c r="G467" i="46"/>
  <c r="G464" i="46"/>
  <c r="G124" i="46"/>
  <c r="G79" i="46"/>
  <c r="G665" i="46"/>
  <c r="G178" i="46"/>
  <c r="G119" i="46"/>
  <c r="G737" i="46"/>
  <c r="G208" i="46"/>
  <c r="G590" i="46"/>
  <c r="G249" i="46"/>
  <c r="G105" i="46"/>
  <c r="G674" i="46"/>
  <c r="G675" i="46"/>
  <c r="G149" i="46"/>
  <c r="G60" i="46"/>
  <c r="G648" i="46"/>
  <c r="G389" i="46"/>
  <c r="G317" i="46"/>
  <c r="G145" i="46"/>
  <c r="G121" i="46"/>
  <c r="G129" i="46"/>
  <c r="G28" i="46"/>
  <c r="G253" i="46"/>
  <c r="G152" i="46"/>
  <c r="G360" i="46"/>
  <c r="G366" i="46"/>
  <c r="G268" i="46"/>
  <c r="G196" i="46"/>
  <c r="G321" i="46"/>
  <c r="G275" i="46"/>
  <c r="G55" i="46"/>
  <c r="G89" i="46"/>
  <c r="G45" i="46"/>
  <c r="G75" i="46"/>
  <c r="G35" i="46"/>
  <c r="G70" i="46"/>
  <c r="G158" i="46"/>
  <c r="G174" i="46"/>
  <c r="G112" i="46"/>
  <c r="G54" i="46"/>
  <c r="G283" i="46"/>
  <c r="G599" i="46"/>
  <c r="G12" i="46"/>
  <c r="G189" i="46"/>
  <c r="G286" i="46"/>
  <c r="G232" i="46"/>
  <c r="G30" i="46"/>
  <c r="G734" i="46"/>
  <c r="G626" i="46"/>
  <c r="G417" i="46"/>
  <c r="G262" i="46"/>
  <c r="G418" i="46"/>
  <c r="G764" i="46"/>
  <c r="G144" i="46"/>
  <c r="G539" i="46"/>
  <c r="G274" i="46"/>
  <c r="G111" i="46"/>
  <c r="G668" i="46"/>
  <c r="G641" i="46"/>
  <c r="G68" i="46"/>
  <c r="G666" i="46"/>
  <c r="G512" i="46"/>
  <c r="G513" i="46"/>
  <c r="G844" i="46"/>
  <c r="G514" i="46"/>
  <c r="G515" i="46"/>
  <c r="G387" i="46"/>
  <c r="G510" i="46"/>
  <c r="G511" i="46"/>
  <c r="G836" i="46"/>
  <c r="G837" i="46"/>
  <c r="G792" i="46"/>
  <c r="G686" i="46"/>
  <c r="G593" i="46"/>
  <c r="G730" i="46"/>
  <c r="G819" i="46"/>
  <c r="G702" i="46"/>
  <c r="G535" i="46"/>
  <c r="G753" i="46"/>
  <c r="G441" i="46"/>
  <c r="G52" i="46"/>
  <c r="G479" i="46"/>
  <c r="G155" i="46"/>
  <c r="G589" i="46"/>
  <c r="G322" i="46"/>
  <c r="G64" i="46"/>
  <c r="G346" i="46"/>
  <c r="G165" i="46"/>
  <c r="G26" i="46"/>
  <c r="G806" i="46"/>
  <c r="G17" i="46"/>
  <c r="G744" i="46"/>
  <c r="G318" i="46"/>
  <c r="G538" i="46"/>
  <c r="G13" i="46"/>
  <c r="G704" i="46"/>
  <c r="G88" i="46"/>
  <c r="G724" i="46"/>
  <c r="G92" i="46"/>
  <c r="G767" i="46"/>
  <c r="G448" i="46"/>
  <c r="G594" i="46"/>
  <c r="G95" i="46"/>
  <c r="G708" i="46"/>
  <c r="G258" i="46"/>
  <c r="G760" i="46"/>
  <c r="G291" i="46"/>
  <c r="G808" i="46"/>
  <c r="G416" i="46"/>
  <c r="G588" i="46"/>
  <c r="G251" i="46"/>
  <c r="G707" i="46"/>
  <c r="G134" i="46"/>
  <c r="G800" i="46"/>
  <c r="G160" i="46"/>
  <c r="G701" i="46"/>
  <c r="G368" i="46"/>
  <c r="G551" i="46"/>
  <c r="G163" i="46"/>
  <c r="G706" i="46"/>
  <c r="G224" i="46"/>
  <c r="G812" i="46"/>
  <c r="G235" i="46"/>
  <c r="G803" i="46"/>
  <c r="G394" i="46"/>
  <c r="G578" i="46"/>
  <c r="G201" i="46"/>
  <c r="G705" i="46"/>
  <c r="G4" i="46"/>
  <c r="G228" i="46"/>
  <c r="G76" i="46"/>
  <c r="G721" i="46"/>
  <c r="G612" i="46"/>
  <c r="G605" i="46"/>
  <c r="G604" i="46"/>
  <c r="G602" i="46"/>
  <c r="G603" i="46"/>
  <c r="G606" i="46"/>
  <c r="G294" i="46"/>
  <c r="G220" i="46"/>
  <c r="G93" i="46"/>
  <c r="K4" i="54"/>
  <c r="L4" i="54"/>
  <c r="K5" i="54"/>
  <c r="L5" i="54"/>
  <c r="K6" i="54"/>
  <c r="L6" i="54"/>
  <c r="K7" i="54"/>
  <c r="L7" i="54"/>
  <c r="K8" i="54"/>
  <c r="L8" i="54"/>
  <c r="K9" i="54"/>
  <c r="L9" i="54"/>
  <c r="K10" i="54"/>
  <c r="L10" i="54"/>
  <c r="K11" i="54"/>
  <c r="L11" i="54"/>
  <c r="K12" i="54"/>
  <c r="L12" i="54"/>
  <c r="K13" i="54"/>
  <c r="L13" i="54"/>
  <c r="K14" i="54"/>
  <c r="L14" i="54"/>
  <c r="K15" i="54"/>
  <c r="L15" i="54"/>
  <c r="K16" i="54"/>
  <c r="L16" i="54"/>
  <c r="K17" i="54"/>
  <c r="L17" i="54"/>
  <c r="K18" i="54"/>
  <c r="L18" i="54"/>
  <c r="K19" i="54"/>
  <c r="L19" i="54"/>
  <c r="K20" i="54"/>
  <c r="L20" i="54"/>
  <c r="K21" i="54"/>
  <c r="L21" i="54"/>
  <c r="K22" i="54"/>
  <c r="L22" i="54"/>
  <c r="L3" i="54"/>
  <c r="F168" i="53"/>
  <c r="F166" i="53"/>
  <c r="J37" i="53"/>
  <c r="J38" i="53"/>
  <c r="J39" i="53"/>
  <c r="J40" i="53"/>
  <c r="J41" i="53"/>
  <c r="J42" i="53"/>
  <c r="J43" i="53"/>
  <c r="J44" i="53"/>
  <c r="J45" i="53"/>
  <c r="J46" i="53"/>
  <c r="J47" i="53"/>
  <c r="J48" i="53"/>
  <c r="J49" i="53"/>
  <c r="J50" i="53"/>
  <c r="J51" i="53"/>
  <c r="J52" i="53"/>
  <c r="J53" i="53"/>
  <c r="J54" i="53"/>
  <c r="J55" i="53"/>
  <c r="J56" i="53"/>
  <c r="J62" i="53"/>
  <c r="J64" i="53"/>
  <c r="J58" i="53"/>
  <c r="J60" i="53"/>
  <c r="J57" i="53"/>
  <c r="J63" i="53"/>
  <c r="J65" i="53"/>
  <c r="J59" i="53"/>
  <c r="J61" i="53"/>
  <c r="J66" i="53"/>
  <c r="J67" i="53"/>
  <c r="J72" i="53"/>
  <c r="J73" i="53"/>
  <c r="J74" i="53"/>
  <c r="J75" i="53"/>
  <c r="J70" i="53"/>
  <c r="J71" i="53"/>
  <c r="J68" i="53"/>
  <c r="J69" i="53"/>
  <c r="J76" i="53"/>
  <c r="J77" i="53"/>
  <c r="J78" i="53"/>
  <c r="J79" i="53"/>
  <c r="J80" i="53"/>
  <c r="J81" i="53"/>
  <c r="J82" i="53"/>
  <c r="J83" i="53"/>
  <c r="J84" i="53"/>
  <c r="J103" i="53"/>
  <c r="J104" i="53"/>
  <c r="J105" i="53"/>
  <c r="J106" i="53"/>
  <c r="J107" i="53"/>
  <c r="J108" i="53"/>
  <c r="J109" i="53"/>
  <c r="J110" i="53"/>
  <c r="J111" i="53"/>
  <c r="J112" i="53"/>
  <c r="J113" i="53"/>
  <c r="J114" i="53"/>
  <c r="J115" i="53"/>
  <c r="J116" i="53"/>
  <c r="J117" i="53"/>
  <c r="J118" i="53"/>
  <c r="J119" i="53"/>
  <c r="J120" i="53"/>
  <c r="J94" i="53"/>
  <c r="J95" i="53"/>
  <c r="J96" i="53"/>
  <c r="J97" i="53"/>
  <c r="J98" i="53"/>
  <c r="J99" i="53"/>
  <c r="J100" i="53"/>
  <c r="J101" i="53"/>
  <c r="J102" i="53"/>
  <c r="J85" i="53"/>
  <c r="J86" i="53"/>
  <c r="J87" i="53"/>
  <c r="J88" i="53"/>
  <c r="J89" i="53"/>
  <c r="J90" i="53"/>
  <c r="J91" i="53"/>
  <c r="J92" i="53"/>
  <c r="J93" i="53"/>
  <c r="J121" i="53"/>
  <c r="J124" i="53"/>
  <c r="J125" i="53"/>
  <c r="J122" i="53"/>
  <c r="J123" i="53"/>
  <c r="J126" i="53"/>
  <c r="J129" i="53"/>
  <c r="J130" i="53"/>
  <c r="J127" i="53"/>
  <c r="J128" i="53"/>
  <c r="J146" i="53"/>
  <c r="J149" i="53"/>
  <c r="J150" i="53"/>
  <c r="J147" i="53"/>
  <c r="J148" i="53"/>
  <c r="J151" i="53"/>
  <c r="J154" i="53"/>
  <c r="J155" i="53"/>
  <c r="J152" i="53"/>
  <c r="J153" i="53"/>
  <c r="J156" i="53"/>
  <c r="J159" i="53"/>
  <c r="J160" i="53"/>
  <c r="J157" i="53"/>
  <c r="J158" i="53"/>
  <c r="J161" i="53"/>
  <c r="J164" i="53"/>
  <c r="J165" i="53"/>
  <c r="J162" i="53"/>
  <c r="J163" i="53"/>
  <c r="J131" i="53"/>
  <c r="J134" i="53"/>
  <c r="J135" i="53"/>
  <c r="J132" i="53"/>
  <c r="J133" i="53"/>
  <c r="J136" i="53"/>
  <c r="J139" i="53"/>
  <c r="J140" i="53"/>
  <c r="J137" i="53"/>
  <c r="J138" i="53"/>
  <c r="J141" i="53"/>
  <c r="J144" i="53"/>
  <c r="J145" i="53"/>
  <c r="J142" i="53"/>
  <c r="J143" i="53"/>
  <c r="J176" i="53"/>
  <c r="J179" i="53"/>
  <c r="J180" i="53"/>
  <c r="J177" i="53"/>
  <c r="J178" i="53"/>
  <c r="J181" i="53"/>
  <c r="J184" i="53"/>
  <c r="J185" i="53"/>
  <c r="J182" i="53"/>
  <c r="J183" i="53"/>
  <c r="J186" i="53"/>
  <c r="J187" i="53"/>
  <c r="J188" i="53"/>
  <c r="J189" i="53"/>
  <c r="J190" i="53"/>
  <c r="J166" i="53"/>
  <c r="J169" i="53"/>
  <c r="J170" i="53"/>
  <c r="J167" i="53"/>
  <c r="J168" i="53"/>
  <c r="J171" i="53"/>
  <c r="J174" i="53"/>
  <c r="J175" i="53"/>
  <c r="J172" i="53"/>
  <c r="J173" i="53"/>
  <c r="J36" i="53"/>
  <c r="K36" i="53"/>
  <c r="K66" i="53"/>
  <c r="K67" i="53"/>
  <c r="K72" i="53"/>
  <c r="K73" i="53"/>
  <c r="K74" i="53"/>
  <c r="K75" i="53"/>
  <c r="K70" i="53"/>
  <c r="K71" i="53"/>
  <c r="K68" i="53"/>
  <c r="K69" i="53"/>
  <c r="K76" i="53"/>
  <c r="K77" i="53"/>
  <c r="K78" i="53"/>
  <c r="K79" i="53"/>
  <c r="K80" i="53"/>
  <c r="K81" i="53"/>
  <c r="K82" i="53"/>
  <c r="K83" i="53"/>
  <c r="K84" i="53"/>
  <c r="K103" i="53"/>
  <c r="K104" i="53"/>
  <c r="K105" i="53"/>
  <c r="K106" i="53"/>
  <c r="K107" i="53"/>
  <c r="K108" i="53"/>
  <c r="K109" i="53"/>
  <c r="K110" i="53"/>
  <c r="K111" i="53"/>
  <c r="K112" i="53"/>
  <c r="K113" i="53"/>
  <c r="K114" i="53"/>
  <c r="K115" i="53"/>
  <c r="K116" i="53"/>
  <c r="K117" i="53"/>
  <c r="K118" i="53"/>
  <c r="K119" i="53"/>
  <c r="K120" i="53"/>
  <c r="K94" i="53"/>
  <c r="K95" i="53"/>
  <c r="K96" i="53"/>
  <c r="K97" i="53"/>
  <c r="K98" i="53"/>
  <c r="K99" i="53"/>
  <c r="K100" i="53"/>
  <c r="K101" i="53"/>
  <c r="K102" i="53"/>
  <c r="K85" i="53"/>
  <c r="K86" i="53"/>
  <c r="K87" i="53"/>
  <c r="K88" i="53"/>
  <c r="K89" i="53"/>
  <c r="K90" i="53"/>
  <c r="K91" i="53"/>
  <c r="K92" i="53"/>
  <c r="K93" i="53"/>
  <c r="K121" i="53"/>
  <c r="K124" i="53"/>
  <c r="K125" i="53"/>
  <c r="K122" i="53"/>
  <c r="K123" i="53"/>
  <c r="K126" i="53"/>
  <c r="K129" i="53"/>
  <c r="K130" i="53"/>
  <c r="K127" i="53"/>
  <c r="K128" i="53"/>
  <c r="K146" i="53"/>
  <c r="K149" i="53"/>
  <c r="K150" i="53"/>
  <c r="K147" i="53"/>
  <c r="K148" i="53"/>
  <c r="K151" i="53"/>
  <c r="K154" i="53"/>
  <c r="K155" i="53"/>
  <c r="K152" i="53"/>
  <c r="K153" i="53"/>
  <c r="K156" i="53"/>
  <c r="K159" i="53"/>
  <c r="K160" i="53"/>
  <c r="K157" i="53"/>
  <c r="K158" i="53"/>
  <c r="K161" i="53"/>
  <c r="K164" i="53"/>
  <c r="K165" i="53"/>
  <c r="K162" i="53"/>
  <c r="K163" i="53"/>
  <c r="K131" i="53"/>
  <c r="K134" i="53"/>
  <c r="K135" i="53"/>
  <c r="K132" i="53"/>
  <c r="K133" i="53"/>
  <c r="K136" i="53"/>
  <c r="K139" i="53"/>
  <c r="K140" i="53"/>
  <c r="K137" i="53"/>
  <c r="K138" i="53"/>
  <c r="K141" i="53"/>
  <c r="K144" i="53"/>
  <c r="K145" i="53"/>
  <c r="K142" i="53"/>
  <c r="K143" i="53"/>
  <c r="K176" i="53"/>
  <c r="K179" i="53"/>
  <c r="K180" i="53"/>
  <c r="K177" i="53"/>
  <c r="K178" i="53"/>
  <c r="K181" i="53"/>
  <c r="K184" i="53"/>
  <c r="K185" i="53"/>
  <c r="K182" i="53"/>
  <c r="K183" i="53"/>
  <c r="K186" i="53"/>
  <c r="K187" i="53"/>
  <c r="K188" i="53"/>
  <c r="K189" i="53"/>
  <c r="K190" i="53"/>
  <c r="K166" i="53"/>
  <c r="K169" i="53"/>
  <c r="K170" i="53"/>
  <c r="K167" i="53"/>
  <c r="K168" i="53"/>
  <c r="K171" i="53"/>
  <c r="K174" i="53"/>
  <c r="K175" i="53"/>
  <c r="K172" i="53"/>
  <c r="K173" i="53"/>
  <c r="K37" i="53"/>
  <c r="K38" i="53"/>
  <c r="K39" i="53"/>
  <c r="K40" i="53"/>
  <c r="K41" i="53"/>
  <c r="K42" i="53"/>
  <c r="K43" i="53"/>
  <c r="K44" i="53"/>
  <c r="K45" i="53"/>
  <c r="K46" i="53"/>
  <c r="K47" i="53"/>
  <c r="K48" i="53"/>
  <c r="K49" i="53"/>
  <c r="K50" i="53"/>
  <c r="K51" i="53"/>
  <c r="K52" i="53"/>
  <c r="K53" i="53"/>
  <c r="K54" i="53"/>
  <c r="K55" i="53"/>
  <c r="K56" i="53"/>
  <c r="K62" i="53"/>
  <c r="K64" i="53"/>
  <c r="K58" i="53"/>
  <c r="K60" i="53"/>
  <c r="K57" i="53"/>
  <c r="K63" i="53"/>
  <c r="K65" i="53"/>
  <c r="K59" i="53"/>
  <c r="K61" i="53"/>
  <c r="J32" i="53"/>
  <c r="K32" i="53"/>
  <c r="J33" i="53"/>
  <c r="K33" i="53"/>
  <c r="J34" i="53"/>
  <c r="K34" i="53"/>
  <c r="K31" i="53"/>
  <c r="K30" i="53"/>
  <c r="K29" i="53"/>
  <c r="K28" i="53"/>
  <c r="K27" i="53"/>
  <c r="K26" i="53"/>
  <c r="K25" i="53"/>
  <c r="K24" i="53"/>
  <c r="K23" i="53"/>
  <c r="K22" i="53"/>
  <c r="J31" i="53"/>
  <c r="J30" i="53"/>
  <c r="J29" i="53"/>
  <c r="J28" i="53"/>
  <c r="J27" i="53"/>
  <c r="J26" i="53"/>
  <c r="J25" i="53"/>
  <c r="J24" i="53"/>
  <c r="J23" i="53"/>
  <c r="J22" i="53"/>
  <c r="J6" i="53"/>
  <c r="J4" i="53"/>
  <c r="J21" i="53"/>
  <c r="J20" i="53"/>
  <c r="J19" i="53"/>
  <c r="J18" i="53"/>
  <c r="J17" i="53"/>
  <c r="J16" i="53"/>
  <c r="J15" i="53"/>
  <c r="J14" i="53"/>
  <c r="J13" i="53"/>
  <c r="J12" i="53"/>
  <c r="J11" i="53"/>
  <c r="J10" i="53"/>
  <c r="J9" i="53"/>
  <c r="J8" i="53"/>
  <c r="J7" i="53"/>
  <c r="J5" i="53"/>
  <c r="J3" i="53"/>
  <c r="J2" i="53"/>
  <c r="K3" i="53"/>
  <c r="K8" i="53"/>
  <c r="K9" i="53"/>
  <c r="K10" i="53"/>
  <c r="K11" i="53"/>
  <c r="K12" i="53"/>
  <c r="K13" i="53"/>
  <c r="K14" i="53"/>
  <c r="K15" i="53"/>
  <c r="K16" i="53"/>
  <c r="K17" i="53"/>
  <c r="K18" i="53"/>
  <c r="K19" i="53"/>
  <c r="K20" i="53"/>
  <c r="K21" i="53"/>
  <c r="K4" i="53"/>
  <c r="K5" i="53"/>
  <c r="K6" i="53"/>
  <c r="K7" i="53"/>
  <c r="G847" i="46"/>
  <c r="F314" i="70"/>
  <c r="F317" i="70"/>
  <c r="F315" i="70"/>
  <c r="F318" i="70"/>
  <c r="F316" i="70"/>
  <c r="F319" i="70"/>
  <c r="G662" i="46"/>
  <c r="G779" i="46"/>
  <c r="G482" i="46"/>
  <c r="G481" i="46"/>
  <c r="G480" i="46"/>
  <c r="G478" i="46"/>
  <c r="G477" i="46"/>
  <c r="G476" i="46"/>
  <c r="G475" i="46"/>
  <c r="G474" i="46"/>
  <c r="G473" i="46"/>
  <c r="G496" i="46"/>
  <c r="G495" i="46"/>
  <c r="G494" i="46"/>
  <c r="G493" i="46"/>
  <c r="G492" i="46"/>
  <c r="G491" i="46"/>
  <c r="G490" i="46"/>
  <c r="G489" i="46"/>
  <c r="G488" i="46"/>
  <c r="G487" i="46"/>
  <c r="G486" i="46"/>
  <c r="G485" i="46"/>
  <c r="G484" i="46"/>
  <c r="G483" i="46"/>
  <c r="G497" i="46"/>
  <c r="G466" i="46"/>
  <c r="G465" i="46"/>
  <c r="G463" i="46"/>
  <c r="G472" i="46"/>
  <c r="G471" i="46"/>
  <c r="G470" i="46"/>
  <c r="G469" i="46"/>
  <c r="G468" i="46"/>
  <c r="G462" i="46"/>
  <c r="G461" i="46"/>
  <c r="G460" i="46"/>
  <c r="G459" i="46"/>
  <c r="G458" i="46"/>
  <c r="G457" i="46"/>
  <c r="G456" i="46"/>
  <c r="G455" i="46"/>
  <c r="G454" i="46"/>
  <c r="G453" i="46"/>
  <c r="G452" i="46"/>
  <c r="G451" i="46"/>
  <c r="G450" i="46"/>
  <c r="G449" i="46"/>
  <c r="G583" i="46"/>
  <c r="F182" i="70"/>
  <c r="F181" i="70"/>
  <c r="F103" i="70"/>
  <c r="F102" i="70"/>
  <c r="F101" i="70"/>
  <c r="F100" i="70"/>
  <c r="F235" i="70"/>
  <c r="F16" i="70"/>
  <c r="F180" i="70"/>
  <c r="F99" i="70"/>
  <c r="F209" i="70"/>
  <c r="F98" i="70"/>
  <c r="F28" i="70"/>
  <c r="F237" i="70"/>
  <c r="F97" i="70"/>
  <c r="F179" i="70"/>
  <c r="F234" i="70"/>
  <c r="F233" i="70"/>
  <c r="F96" i="70"/>
  <c r="F178" i="70"/>
  <c r="F236" i="70"/>
  <c r="F177" i="70"/>
  <c r="F232" i="70"/>
  <c r="F15" i="70"/>
  <c r="F95" i="70"/>
  <c r="F176" i="70"/>
  <c r="F94" i="70"/>
  <c r="F93" i="70"/>
  <c r="F208" i="70"/>
  <c r="F24" i="70"/>
  <c r="F175" i="70"/>
  <c r="F23" i="70"/>
  <c r="F207" i="70"/>
  <c r="F174" i="70"/>
  <c r="F251" i="70"/>
  <c r="F206" i="70"/>
  <c r="F245" i="70"/>
  <c r="F92" i="70"/>
  <c r="F231" i="70"/>
  <c r="F187" i="70"/>
  <c r="F189" i="70"/>
  <c r="F249" i="70"/>
  <c r="F253" i="70"/>
  <c r="F254" i="70"/>
  <c r="F91" i="70"/>
  <c r="F173" i="70"/>
  <c r="F230" i="70"/>
  <c r="F172" i="70"/>
  <c r="F14" i="70"/>
  <c r="F212" i="70"/>
  <c r="F229" i="70"/>
  <c r="F171" i="70"/>
  <c r="F170" i="70"/>
  <c r="F244" i="70"/>
  <c r="F90" i="70"/>
  <c r="F30" i="70"/>
  <c r="F248" i="70"/>
  <c r="F246" i="70"/>
  <c r="F168" i="70"/>
  <c r="F167" i="70"/>
  <c r="F205" i="70"/>
  <c r="F204" i="70"/>
  <c r="F22" i="70"/>
  <c r="F89" i="70"/>
  <c r="F239" i="70"/>
  <c r="F12" i="70"/>
  <c r="F11" i="70"/>
  <c r="F88" i="70"/>
  <c r="F87" i="70"/>
  <c r="F203" i="70"/>
  <c r="F27" i="70"/>
  <c r="F166" i="70"/>
  <c r="F165" i="70"/>
  <c r="F164" i="70"/>
  <c r="F163" i="70"/>
  <c r="F86" i="70"/>
  <c r="F162" i="70"/>
  <c r="F161" i="70"/>
  <c r="F228" i="70"/>
  <c r="F21" i="70"/>
  <c r="F227" i="70"/>
  <c r="F202" i="70"/>
  <c r="F85" i="70"/>
  <c r="F186" i="70"/>
  <c r="F201" i="70"/>
  <c r="F160" i="70"/>
  <c r="F159" i="70"/>
  <c r="F226" i="70"/>
  <c r="F243" i="70"/>
  <c r="F200" i="70"/>
  <c r="F84" i="70"/>
  <c r="F83" i="70"/>
  <c r="F199" i="70"/>
  <c r="F82" i="70"/>
  <c r="F198" i="70"/>
  <c r="F81" i="70"/>
  <c r="F158" i="70"/>
  <c r="F157" i="70"/>
  <c r="F156" i="70"/>
  <c r="F155" i="70"/>
  <c r="F154" i="70"/>
  <c r="F225" i="70"/>
  <c r="F10" i="70"/>
  <c r="F80" i="70"/>
  <c r="F224" i="70"/>
  <c r="F153" i="70"/>
  <c r="F238" i="70"/>
  <c r="F79" i="70"/>
  <c r="F197" i="70"/>
  <c r="F78" i="70"/>
  <c r="F77" i="70"/>
  <c r="F76" i="70"/>
  <c r="F196" i="70"/>
  <c r="F75" i="70"/>
  <c r="F74" i="70"/>
  <c r="F9" i="70"/>
  <c r="F152" i="70"/>
  <c r="F73" i="70"/>
  <c r="F72" i="70"/>
  <c r="F71" i="70"/>
  <c r="F20" i="70"/>
  <c r="F250" i="70"/>
  <c r="F247" i="70"/>
  <c r="F70" i="70"/>
  <c r="F223" i="70"/>
  <c r="F222" i="70"/>
  <c r="F252" i="70"/>
  <c r="F242" i="70"/>
  <c r="F151" i="70"/>
  <c r="F150" i="70"/>
  <c r="F221" i="70"/>
  <c r="F220" i="70"/>
  <c r="F149" i="70"/>
  <c r="F219" i="70"/>
  <c r="F218" i="70"/>
  <c r="F148" i="70"/>
  <c r="F147" i="70"/>
  <c r="F146" i="70"/>
  <c r="F145" i="70"/>
  <c r="F144" i="70"/>
  <c r="F143" i="70"/>
  <c r="F69" i="70"/>
  <c r="F68" i="70"/>
  <c r="F8" i="70"/>
  <c r="F211" i="70"/>
  <c r="F217" i="70"/>
  <c r="F216" i="70"/>
  <c r="F7" i="70"/>
  <c r="F29" i="70"/>
  <c r="F6" i="70"/>
  <c r="F66" i="70"/>
  <c r="F65" i="70"/>
  <c r="F64" i="70"/>
  <c r="F195" i="70"/>
  <c r="F26" i="70"/>
  <c r="F185" i="70"/>
  <c r="F63" i="70"/>
  <c r="F141" i="70"/>
  <c r="F194" i="70"/>
  <c r="F19" i="70"/>
  <c r="F215" i="70"/>
  <c r="F5" i="70"/>
  <c r="F188" i="70"/>
  <c r="F214" i="70"/>
  <c r="F62" i="70"/>
  <c r="F140" i="70"/>
  <c r="F210" i="70"/>
  <c r="F4" i="70"/>
  <c r="F61" i="70"/>
  <c r="F193" i="70"/>
  <c r="F18" i="70"/>
  <c r="F3" i="70"/>
  <c r="F241" i="70"/>
  <c r="F139" i="70"/>
  <c r="F240" i="70"/>
  <c r="F138" i="70"/>
  <c r="F60" i="70"/>
  <c r="F137" i="70"/>
  <c r="F59" i="70"/>
  <c r="F58" i="70"/>
  <c r="F57" i="70"/>
  <c r="F192" i="70"/>
  <c r="F25" i="70"/>
  <c r="F191" i="70"/>
  <c r="F56" i="70"/>
  <c r="F17" i="70"/>
  <c r="F54" i="70"/>
  <c r="F2" i="70"/>
  <c r="F134" i="70"/>
  <c r="F53" i="70"/>
  <c r="F52" i="70"/>
  <c r="F51" i="70"/>
  <c r="F132" i="70"/>
  <c r="F50" i="70"/>
  <c r="F49" i="70"/>
  <c r="F48" i="70"/>
  <c r="F131" i="70"/>
  <c r="F47" i="70"/>
  <c r="F46" i="70"/>
  <c r="F45" i="70"/>
  <c r="F128" i="70"/>
  <c r="F127" i="70"/>
  <c r="F44" i="70"/>
  <c r="F126" i="70"/>
  <c r="F43" i="70"/>
  <c r="F125" i="70"/>
  <c r="F42" i="70"/>
  <c r="F124" i="70"/>
  <c r="F41" i="70"/>
  <c r="F40" i="70"/>
  <c r="F122" i="70"/>
  <c r="F190" i="70"/>
  <c r="F121" i="70"/>
  <c r="F120" i="70"/>
  <c r="F38" i="70"/>
  <c r="F213" i="70"/>
  <c r="F37" i="70"/>
  <c r="F36" i="70"/>
  <c r="F117" i="70"/>
  <c r="F35" i="70"/>
  <c r="F116" i="70"/>
  <c r="F114" i="70"/>
  <c r="F113" i="70"/>
  <c r="F111" i="70"/>
  <c r="F34" i="70"/>
  <c r="F110" i="70"/>
  <c r="F109" i="70"/>
  <c r="F33" i="70"/>
  <c r="F108" i="70"/>
  <c r="F32" i="70"/>
  <c r="F107" i="70"/>
  <c r="F106" i="70"/>
  <c r="F105" i="70"/>
  <c r="F104" i="70"/>
  <c r="F31" i="70"/>
  <c r="F183" i="70"/>
  <c r="M7" i="47"/>
  <c r="M8" i="47"/>
  <c r="M11" i="47"/>
  <c r="M13" i="47"/>
  <c r="M14" i="47"/>
  <c r="M17" i="47"/>
  <c r="M19" i="47"/>
  <c r="M20" i="47"/>
  <c r="M24" i="47"/>
  <c r="M25" i="47"/>
  <c r="M26" i="47"/>
  <c r="M30" i="47"/>
  <c r="M31" i="47"/>
  <c r="M32" i="47"/>
  <c r="M69" i="47"/>
  <c r="M70" i="47"/>
  <c r="M78" i="47"/>
  <c r="M79" i="47"/>
  <c r="M87" i="47"/>
  <c r="M90" i="47"/>
  <c r="M91" i="47"/>
  <c r="M92" i="47"/>
  <c r="M98" i="47"/>
  <c r="M102" i="47"/>
  <c r="M117" i="47"/>
  <c r="M119" i="47"/>
  <c r="M126" i="47"/>
  <c r="M129" i="47"/>
  <c r="M133" i="47"/>
  <c r="M146" i="47"/>
  <c r="M149" i="47"/>
  <c r="M161" i="47"/>
  <c r="M182" i="47"/>
  <c r="M233" i="47"/>
  <c r="M237" i="47"/>
  <c r="M238" i="47"/>
  <c r="M246" i="47"/>
  <c r="M265" i="47"/>
  <c r="M337" i="47"/>
  <c r="M338" i="47"/>
  <c r="M339" i="47"/>
  <c r="M340" i="47"/>
  <c r="M341" i="47"/>
  <c r="M342" i="47"/>
  <c r="M343" i="47"/>
  <c r="M344" i="47"/>
  <c r="M345" i="47"/>
  <c r="M346" i="47"/>
  <c r="M347" i="47"/>
  <c r="M348" i="47"/>
  <c r="M349" i="47"/>
  <c r="M350" i="47"/>
  <c r="M352" i="47"/>
  <c r="L352" i="47"/>
  <c r="L350" i="47"/>
  <c r="L349" i="47"/>
  <c r="L348" i="47"/>
  <c r="L347" i="47"/>
  <c r="L346" i="47"/>
  <c r="L345" i="47"/>
  <c r="L344" i="47"/>
  <c r="L343" i="47"/>
  <c r="L342" i="47"/>
  <c r="L341" i="47"/>
  <c r="L340" i="47"/>
  <c r="L339" i="47"/>
  <c r="L338" i="47"/>
  <c r="L337" i="47"/>
  <c r="L336" i="47"/>
  <c r="M336" i="47" s="1"/>
  <c r="L335" i="47"/>
  <c r="M335" i="47" s="1"/>
  <c r="L334" i="47"/>
  <c r="M334" i="47" s="1"/>
  <c r="L333" i="47"/>
  <c r="M333" i="47" s="1"/>
  <c r="L332" i="47"/>
  <c r="M332" i="47" s="1"/>
  <c r="L331" i="47"/>
  <c r="M331" i="47" s="1"/>
  <c r="L330" i="47"/>
  <c r="M330" i="47" s="1"/>
  <c r="L329" i="47"/>
  <c r="M329" i="47" s="1"/>
  <c r="L328" i="47"/>
  <c r="M328" i="47" s="1"/>
  <c r="L327" i="47"/>
  <c r="M327" i="47" s="1"/>
  <c r="L326" i="47"/>
  <c r="M326" i="47" s="1"/>
  <c r="L325" i="47"/>
  <c r="M325" i="47" s="1"/>
  <c r="L324" i="47"/>
  <c r="M324" i="47" s="1"/>
  <c r="L323" i="47"/>
  <c r="M323" i="47" s="1"/>
  <c r="L322" i="47"/>
  <c r="M322" i="47" s="1"/>
  <c r="L321" i="47"/>
  <c r="M321" i="47" s="1"/>
  <c r="L320" i="47"/>
  <c r="M320" i="47" s="1"/>
  <c r="L319" i="47"/>
  <c r="M319" i="47" s="1"/>
  <c r="L318" i="47"/>
  <c r="M318" i="47" s="1"/>
  <c r="L317" i="47"/>
  <c r="M317" i="47" s="1"/>
  <c r="L316" i="47"/>
  <c r="M316" i="47" s="1"/>
  <c r="L315" i="47"/>
  <c r="M315" i="47" s="1"/>
  <c r="L314" i="47"/>
  <c r="M314" i="47" s="1"/>
  <c r="L313" i="47"/>
  <c r="M313" i="47" s="1"/>
  <c r="L312" i="47"/>
  <c r="M312" i="47" s="1"/>
  <c r="L311" i="47"/>
  <c r="M311" i="47" s="1"/>
  <c r="L310" i="47"/>
  <c r="M310" i="47" s="1"/>
  <c r="L309" i="47"/>
  <c r="M309" i="47" s="1"/>
  <c r="L308" i="47"/>
  <c r="M308" i="47" s="1"/>
  <c r="L307" i="47"/>
  <c r="M307" i="47" s="1"/>
  <c r="L306" i="47"/>
  <c r="M306" i="47" s="1"/>
  <c r="L305" i="47"/>
  <c r="M305" i="47" s="1"/>
  <c r="L304" i="47"/>
  <c r="M304" i="47" s="1"/>
  <c r="L303" i="47"/>
  <c r="M303" i="47" s="1"/>
  <c r="L302" i="47"/>
  <c r="M302" i="47" s="1"/>
  <c r="L301" i="47"/>
  <c r="M301" i="47" s="1"/>
  <c r="L300" i="47"/>
  <c r="M300" i="47" s="1"/>
  <c r="L299" i="47"/>
  <c r="M299" i="47" s="1"/>
  <c r="L298" i="47"/>
  <c r="M298" i="47" s="1"/>
  <c r="L297" i="47"/>
  <c r="M297" i="47" s="1"/>
  <c r="L296" i="47"/>
  <c r="M296" i="47" s="1"/>
  <c r="L295" i="47"/>
  <c r="M295" i="47" s="1"/>
  <c r="L294" i="47"/>
  <c r="M294" i="47" s="1"/>
  <c r="L293" i="47"/>
  <c r="M293" i="47" s="1"/>
  <c r="L292" i="47"/>
  <c r="M292" i="47" s="1"/>
  <c r="L291" i="47"/>
  <c r="M291" i="47" s="1"/>
  <c r="L290" i="47"/>
  <c r="M290" i="47" s="1"/>
  <c r="L289" i="47"/>
  <c r="M289" i="47" s="1"/>
  <c r="L288" i="47"/>
  <c r="M288" i="47" s="1"/>
  <c r="L287" i="47"/>
  <c r="M287" i="47" s="1"/>
  <c r="L286" i="47"/>
  <c r="M286" i="47" s="1"/>
  <c r="L285" i="47"/>
  <c r="M285" i="47" s="1"/>
  <c r="L284" i="47"/>
  <c r="M284" i="47" s="1"/>
  <c r="L283" i="47"/>
  <c r="M283" i="47" s="1"/>
  <c r="L282" i="47"/>
  <c r="M282" i="47" s="1"/>
  <c r="L281" i="47"/>
  <c r="M281" i="47" s="1"/>
  <c r="L280" i="47"/>
  <c r="M280" i="47" s="1"/>
  <c r="L279" i="47"/>
  <c r="M279" i="47" s="1"/>
  <c r="L278" i="47"/>
  <c r="M278" i="47" s="1"/>
  <c r="L277" i="47"/>
  <c r="M277" i="47" s="1"/>
  <c r="L276" i="47"/>
  <c r="M276" i="47" s="1"/>
  <c r="L275" i="47"/>
  <c r="M275" i="47" s="1"/>
  <c r="L274" i="47"/>
  <c r="M274" i="47" s="1"/>
  <c r="L273" i="47"/>
  <c r="M273" i="47" s="1"/>
  <c r="L272" i="47"/>
  <c r="M272" i="47" s="1"/>
  <c r="L271" i="47"/>
  <c r="M271" i="47" s="1"/>
  <c r="L270" i="47"/>
  <c r="M270" i="47" s="1"/>
  <c r="L269" i="47"/>
  <c r="M269" i="47" s="1"/>
  <c r="L268" i="47"/>
  <c r="M268" i="47" s="1"/>
  <c r="L267" i="47"/>
  <c r="M267" i="47" s="1"/>
  <c r="L266" i="47"/>
  <c r="M266" i="47" s="1"/>
  <c r="L265" i="47"/>
  <c r="L264" i="47"/>
  <c r="M264" i="47" s="1"/>
  <c r="L263" i="47"/>
  <c r="M263" i="47" s="1"/>
  <c r="L262" i="47"/>
  <c r="M262" i="47" s="1"/>
  <c r="L261" i="47"/>
  <c r="M261" i="47" s="1"/>
  <c r="L260" i="47"/>
  <c r="M260" i="47" s="1"/>
  <c r="L259" i="47"/>
  <c r="M259" i="47" s="1"/>
  <c r="L258" i="47"/>
  <c r="M258" i="47" s="1"/>
  <c r="L257" i="47"/>
  <c r="M257" i="47" s="1"/>
  <c r="L256" i="47"/>
  <c r="M256" i="47" s="1"/>
  <c r="L255" i="47"/>
  <c r="M255" i="47" s="1"/>
  <c r="L254" i="47"/>
  <c r="M254" i="47" s="1"/>
  <c r="L253" i="47"/>
  <c r="M253" i="47" s="1"/>
  <c r="L252" i="47"/>
  <c r="M252" i="47" s="1"/>
  <c r="L251" i="47"/>
  <c r="M251" i="47" s="1"/>
  <c r="L250" i="47"/>
  <c r="M250" i="47" s="1"/>
  <c r="L249" i="47"/>
  <c r="M249" i="47" s="1"/>
  <c r="L248" i="47"/>
  <c r="M248" i="47" s="1"/>
  <c r="L247" i="47"/>
  <c r="M247" i="47" s="1"/>
  <c r="L246" i="47"/>
  <c r="L245" i="47"/>
  <c r="M245" i="47" s="1"/>
  <c r="L244" i="47"/>
  <c r="M244" i="47" s="1"/>
  <c r="L243" i="47"/>
  <c r="M243" i="47" s="1"/>
  <c r="L242" i="47"/>
  <c r="M242" i="47" s="1"/>
  <c r="L241" i="47"/>
  <c r="M241" i="47" s="1"/>
  <c r="L240" i="47"/>
  <c r="M240" i="47" s="1"/>
  <c r="L239" i="47"/>
  <c r="M239" i="47" s="1"/>
  <c r="L238" i="47"/>
  <c r="L237" i="47"/>
  <c r="L236" i="47"/>
  <c r="M236" i="47" s="1"/>
  <c r="L235" i="47"/>
  <c r="M235" i="47" s="1"/>
  <c r="L234" i="47"/>
  <c r="M234" i="47" s="1"/>
  <c r="L233" i="47"/>
  <c r="L232" i="47"/>
  <c r="M232" i="47" s="1"/>
  <c r="L231" i="47"/>
  <c r="M231" i="47" s="1"/>
  <c r="L230" i="47"/>
  <c r="M230" i="47" s="1"/>
  <c r="L229" i="47"/>
  <c r="M229" i="47" s="1"/>
  <c r="L228" i="47"/>
  <c r="M228" i="47" s="1"/>
  <c r="L227" i="47"/>
  <c r="M227" i="47" s="1"/>
  <c r="L226" i="47"/>
  <c r="M226" i="47" s="1"/>
  <c r="L225" i="47"/>
  <c r="M225" i="47" s="1"/>
  <c r="L224" i="47"/>
  <c r="M224" i="47" s="1"/>
  <c r="L223" i="47"/>
  <c r="M223" i="47" s="1"/>
  <c r="L222" i="47"/>
  <c r="M222" i="47" s="1"/>
  <c r="L221" i="47"/>
  <c r="M221" i="47" s="1"/>
  <c r="L220" i="47"/>
  <c r="M220" i="47" s="1"/>
  <c r="L219" i="47"/>
  <c r="M219" i="47" s="1"/>
  <c r="L218" i="47"/>
  <c r="M218" i="47" s="1"/>
  <c r="L217" i="47"/>
  <c r="M217" i="47" s="1"/>
  <c r="L216" i="47"/>
  <c r="M216" i="47" s="1"/>
  <c r="L215" i="47"/>
  <c r="M215" i="47" s="1"/>
  <c r="L214" i="47"/>
  <c r="M214" i="47" s="1"/>
  <c r="L213" i="47"/>
  <c r="M213" i="47" s="1"/>
  <c r="L212" i="47"/>
  <c r="M212" i="47" s="1"/>
  <c r="L211" i="47"/>
  <c r="M211" i="47" s="1"/>
  <c r="L210" i="47"/>
  <c r="M210" i="47" s="1"/>
  <c r="L209" i="47"/>
  <c r="M209" i="47" s="1"/>
  <c r="L208" i="47"/>
  <c r="M208" i="47" s="1"/>
  <c r="L207" i="47"/>
  <c r="M207" i="47" s="1"/>
  <c r="L206" i="47"/>
  <c r="M206" i="47" s="1"/>
  <c r="L205" i="47"/>
  <c r="M205" i="47" s="1"/>
  <c r="L204" i="47"/>
  <c r="M204" i="47" s="1"/>
  <c r="L203" i="47"/>
  <c r="M203" i="47" s="1"/>
  <c r="L202" i="47"/>
  <c r="M202" i="47" s="1"/>
  <c r="L201" i="47"/>
  <c r="M201" i="47" s="1"/>
  <c r="L200" i="47"/>
  <c r="M200" i="47" s="1"/>
  <c r="L199" i="47"/>
  <c r="M199" i="47" s="1"/>
  <c r="L198" i="47"/>
  <c r="M198" i="47" s="1"/>
  <c r="L197" i="47"/>
  <c r="M197" i="47" s="1"/>
  <c r="L196" i="47"/>
  <c r="M196" i="47" s="1"/>
  <c r="L195" i="47"/>
  <c r="M195" i="47" s="1"/>
  <c r="L194" i="47"/>
  <c r="M194" i="47" s="1"/>
  <c r="L193" i="47"/>
  <c r="M193" i="47" s="1"/>
  <c r="L192" i="47"/>
  <c r="M192" i="47" s="1"/>
  <c r="L191" i="47"/>
  <c r="M191" i="47" s="1"/>
  <c r="L190" i="47"/>
  <c r="M190" i="47" s="1"/>
  <c r="L189" i="47"/>
  <c r="M189" i="47" s="1"/>
  <c r="L188" i="47"/>
  <c r="M188" i="47" s="1"/>
  <c r="L187" i="47"/>
  <c r="M187" i="47" s="1"/>
  <c r="L186" i="47"/>
  <c r="M186" i="47" s="1"/>
  <c r="L185" i="47"/>
  <c r="M185" i="47" s="1"/>
  <c r="L184" i="47"/>
  <c r="M184" i="47" s="1"/>
  <c r="L183" i="47"/>
  <c r="M183" i="47" s="1"/>
  <c r="L182" i="47"/>
  <c r="L181" i="47"/>
  <c r="M181" i="47" s="1"/>
  <c r="L180" i="47"/>
  <c r="M180" i="47" s="1"/>
  <c r="L179" i="47"/>
  <c r="M179" i="47" s="1"/>
  <c r="L178" i="47"/>
  <c r="M178" i="47" s="1"/>
  <c r="L177" i="47"/>
  <c r="M177" i="47" s="1"/>
  <c r="L176" i="47"/>
  <c r="M176" i="47" s="1"/>
  <c r="L175" i="47"/>
  <c r="M175" i="47" s="1"/>
  <c r="L174" i="47"/>
  <c r="M174" i="47" s="1"/>
  <c r="L173" i="47"/>
  <c r="M173" i="47" s="1"/>
  <c r="L172" i="47"/>
  <c r="M172" i="47" s="1"/>
  <c r="L171" i="47"/>
  <c r="M171" i="47" s="1"/>
  <c r="L170" i="47"/>
  <c r="M170" i="47" s="1"/>
  <c r="L169" i="47"/>
  <c r="M169" i="47" s="1"/>
  <c r="L168" i="47"/>
  <c r="M168" i="47" s="1"/>
  <c r="L167" i="47"/>
  <c r="M167" i="47" s="1"/>
  <c r="L166" i="47"/>
  <c r="M166" i="47" s="1"/>
  <c r="L165" i="47"/>
  <c r="M165" i="47" s="1"/>
  <c r="L164" i="47"/>
  <c r="M164" i="47" s="1"/>
  <c r="L163" i="47"/>
  <c r="M163" i="47" s="1"/>
  <c r="L162" i="47"/>
  <c r="M162" i="47" s="1"/>
  <c r="L161" i="47"/>
  <c r="L160" i="47"/>
  <c r="M160" i="47" s="1"/>
  <c r="L159" i="47"/>
  <c r="M159" i="47" s="1"/>
  <c r="L158" i="47"/>
  <c r="M158" i="47" s="1"/>
  <c r="L157" i="47"/>
  <c r="M157" i="47" s="1"/>
  <c r="L156" i="47"/>
  <c r="M156" i="47" s="1"/>
  <c r="L155" i="47"/>
  <c r="M155" i="47" s="1"/>
  <c r="L154" i="47"/>
  <c r="M154" i="47" s="1"/>
  <c r="L153" i="47"/>
  <c r="M153" i="47" s="1"/>
  <c r="L152" i="47"/>
  <c r="M152" i="47" s="1"/>
  <c r="L151" i="47"/>
  <c r="M151" i="47" s="1"/>
  <c r="L150" i="47"/>
  <c r="M150" i="47" s="1"/>
  <c r="L149" i="47"/>
  <c r="L148" i="47"/>
  <c r="M148" i="47" s="1"/>
  <c r="L147" i="47"/>
  <c r="M147" i="47" s="1"/>
  <c r="L146" i="47"/>
  <c r="L145" i="47"/>
  <c r="M145" i="47" s="1"/>
  <c r="L144" i="47"/>
  <c r="M144" i="47" s="1"/>
  <c r="L143" i="47"/>
  <c r="M143" i="47" s="1"/>
  <c r="L142" i="47"/>
  <c r="M142" i="47" s="1"/>
  <c r="L141" i="47"/>
  <c r="M141" i="47" s="1"/>
  <c r="L140" i="47"/>
  <c r="M140" i="47" s="1"/>
  <c r="L139" i="47"/>
  <c r="M139" i="47" s="1"/>
  <c r="L138" i="47"/>
  <c r="M138" i="47" s="1"/>
  <c r="L137" i="47"/>
  <c r="M137" i="47" s="1"/>
  <c r="L136" i="47"/>
  <c r="M136" i="47" s="1"/>
  <c r="L135" i="47"/>
  <c r="M135" i="47" s="1"/>
  <c r="L134" i="47"/>
  <c r="M134" i="47" s="1"/>
  <c r="L133" i="47"/>
  <c r="L132" i="47"/>
  <c r="M132" i="47" s="1"/>
  <c r="L131" i="47"/>
  <c r="M131" i="47" s="1"/>
  <c r="L130" i="47"/>
  <c r="M130" i="47" s="1"/>
  <c r="L129" i="47"/>
  <c r="L128" i="47"/>
  <c r="M128" i="47" s="1"/>
  <c r="L127" i="47"/>
  <c r="M127" i="47" s="1"/>
  <c r="L126" i="47"/>
  <c r="L125" i="47"/>
  <c r="M125" i="47" s="1"/>
  <c r="L124" i="47"/>
  <c r="M124" i="47" s="1"/>
  <c r="L123" i="47"/>
  <c r="M123" i="47" s="1"/>
  <c r="L122" i="47"/>
  <c r="M122" i="47" s="1"/>
  <c r="L121" i="47"/>
  <c r="M121" i="47" s="1"/>
  <c r="L120" i="47"/>
  <c r="M120" i="47" s="1"/>
  <c r="L119" i="47"/>
  <c r="L118" i="47"/>
  <c r="M118" i="47" s="1"/>
  <c r="L117" i="47"/>
  <c r="L116" i="47"/>
  <c r="M116" i="47" s="1"/>
  <c r="L115" i="47"/>
  <c r="M115" i="47" s="1"/>
  <c r="L114" i="47"/>
  <c r="M114" i="47" s="1"/>
  <c r="L113" i="47"/>
  <c r="M113" i="47" s="1"/>
  <c r="L112" i="47"/>
  <c r="M112" i="47" s="1"/>
  <c r="L111" i="47"/>
  <c r="M111" i="47" s="1"/>
  <c r="L110" i="47"/>
  <c r="M110" i="47" s="1"/>
  <c r="L109" i="47"/>
  <c r="M109" i="47" s="1"/>
  <c r="L108" i="47"/>
  <c r="M108" i="47" s="1"/>
  <c r="L107" i="47"/>
  <c r="M107" i="47" s="1"/>
  <c r="L106" i="47"/>
  <c r="M106" i="47" s="1"/>
  <c r="L105" i="47"/>
  <c r="M105" i="47" s="1"/>
  <c r="L104" i="47"/>
  <c r="M104" i="47" s="1"/>
  <c r="L103" i="47"/>
  <c r="M103" i="47" s="1"/>
  <c r="L102" i="47"/>
  <c r="L101" i="47"/>
  <c r="M101" i="47" s="1"/>
  <c r="L100" i="47"/>
  <c r="M100" i="47" s="1"/>
  <c r="L99" i="47"/>
  <c r="M99" i="47" s="1"/>
  <c r="L98" i="47"/>
  <c r="L97" i="47"/>
  <c r="M97" i="47" s="1"/>
  <c r="L96" i="47"/>
  <c r="M96" i="47" s="1"/>
  <c r="L95" i="47"/>
  <c r="M95" i="47" s="1"/>
  <c r="L94" i="47"/>
  <c r="M94" i="47" s="1"/>
  <c r="L93" i="47"/>
  <c r="M93" i="47" s="1"/>
  <c r="L92" i="47"/>
  <c r="L91" i="47"/>
  <c r="L90" i="47"/>
  <c r="L89" i="47"/>
  <c r="M89" i="47" s="1"/>
  <c r="L88" i="47"/>
  <c r="M88" i="47" s="1"/>
  <c r="L87" i="47"/>
  <c r="L86" i="47"/>
  <c r="M86" i="47" s="1"/>
  <c r="L85" i="47"/>
  <c r="M85" i="47" s="1"/>
  <c r="L84" i="47"/>
  <c r="M84" i="47" s="1"/>
  <c r="L83" i="47"/>
  <c r="M83" i="47" s="1"/>
  <c r="L82" i="47"/>
  <c r="M82" i="47" s="1"/>
  <c r="L81" i="47"/>
  <c r="M81" i="47" s="1"/>
  <c r="L80" i="47"/>
  <c r="M80" i="47" s="1"/>
  <c r="L79" i="47"/>
  <c r="L78" i="47"/>
  <c r="L77" i="47"/>
  <c r="M77" i="47" s="1"/>
  <c r="L76" i="47"/>
  <c r="M76" i="47" s="1"/>
  <c r="L75" i="47"/>
  <c r="M75" i="47" s="1"/>
  <c r="L74" i="47"/>
  <c r="M74" i="47" s="1"/>
  <c r="L73" i="47"/>
  <c r="M73" i="47" s="1"/>
  <c r="L72" i="47"/>
  <c r="M72" i="47" s="1"/>
  <c r="L71" i="47"/>
  <c r="M71" i="47" s="1"/>
  <c r="L70" i="47"/>
  <c r="L69" i="47"/>
  <c r="L68" i="47"/>
  <c r="M68" i="47" s="1"/>
  <c r="L67" i="47"/>
  <c r="M67" i="47" s="1"/>
  <c r="L66" i="47"/>
  <c r="M66" i="47" s="1"/>
  <c r="L65" i="47"/>
  <c r="M65" i="47" s="1"/>
  <c r="L64" i="47"/>
  <c r="M64" i="47" s="1"/>
  <c r="L63" i="47"/>
  <c r="M63" i="47" s="1"/>
  <c r="L62" i="47"/>
  <c r="M62" i="47" s="1"/>
  <c r="L61" i="47"/>
  <c r="M61" i="47" s="1"/>
  <c r="L60" i="47"/>
  <c r="M60" i="47" s="1"/>
  <c r="L59" i="47"/>
  <c r="M59" i="47" s="1"/>
  <c r="L58" i="47"/>
  <c r="M58" i="47" s="1"/>
  <c r="L57" i="47"/>
  <c r="M57" i="47" s="1"/>
  <c r="L56" i="47"/>
  <c r="M56" i="47" s="1"/>
  <c r="L55" i="47"/>
  <c r="M55" i="47" s="1"/>
  <c r="L54" i="47"/>
  <c r="M54" i="47" s="1"/>
  <c r="L53" i="47"/>
  <c r="M53" i="47" s="1"/>
  <c r="L52" i="47"/>
  <c r="M52" i="47" s="1"/>
  <c r="L51" i="47"/>
  <c r="M51" i="47" s="1"/>
  <c r="L50" i="47"/>
  <c r="M50" i="47" s="1"/>
  <c r="L49" i="47"/>
  <c r="M49" i="47" s="1"/>
  <c r="L48" i="47"/>
  <c r="M48" i="47" s="1"/>
  <c r="L47" i="47"/>
  <c r="M47" i="47" s="1"/>
  <c r="L46" i="47"/>
  <c r="M46" i="47" s="1"/>
  <c r="L45" i="47"/>
  <c r="M45" i="47" s="1"/>
  <c r="L44" i="47"/>
  <c r="M44" i="47" s="1"/>
  <c r="L43" i="47"/>
  <c r="M43" i="47" s="1"/>
  <c r="L42" i="47"/>
  <c r="M42" i="47" s="1"/>
  <c r="L41" i="47"/>
  <c r="M41" i="47" s="1"/>
  <c r="L40" i="47"/>
  <c r="M40" i="47" s="1"/>
  <c r="L39" i="47"/>
  <c r="M39" i="47" s="1"/>
  <c r="L38" i="47"/>
  <c r="M38" i="47" s="1"/>
  <c r="L37" i="47"/>
  <c r="M37" i="47" s="1"/>
  <c r="L36" i="47"/>
  <c r="M36" i="47" s="1"/>
  <c r="L35" i="47"/>
  <c r="M35" i="47" s="1"/>
  <c r="L34" i="47"/>
  <c r="M34" i="47" s="1"/>
  <c r="L33" i="47"/>
  <c r="M33" i="47" s="1"/>
  <c r="L32" i="47"/>
  <c r="L31" i="47"/>
  <c r="L30" i="47"/>
  <c r="L29" i="47"/>
  <c r="M29" i="47" s="1"/>
  <c r="L28" i="47"/>
  <c r="M28" i="47" s="1"/>
  <c r="L27" i="47"/>
  <c r="M27" i="47" s="1"/>
  <c r="L26" i="47"/>
  <c r="L25" i="47"/>
  <c r="L24" i="47"/>
  <c r="L23" i="47"/>
  <c r="M23" i="47" s="1"/>
  <c r="L22" i="47"/>
  <c r="M22" i="47" s="1"/>
  <c r="L21" i="47"/>
  <c r="M21" i="47" s="1"/>
  <c r="L20" i="47"/>
  <c r="L19" i="47"/>
  <c r="L18" i="47"/>
  <c r="M18" i="47" s="1"/>
  <c r="L17" i="47"/>
  <c r="L16" i="47"/>
  <c r="M16" i="47" s="1"/>
  <c r="L15" i="47"/>
  <c r="M15" i="47" s="1"/>
  <c r="L14" i="47"/>
  <c r="L13" i="47"/>
  <c r="L12" i="47"/>
  <c r="M12" i="47" s="1"/>
  <c r="L11" i="47"/>
  <c r="L10" i="47"/>
  <c r="M10" i="47" s="1"/>
  <c r="L9" i="47"/>
  <c r="M9" i="47" s="1"/>
  <c r="L8" i="47"/>
  <c r="L7" i="47"/>
  <c r="L6" i="47"/>
  <c r="M6" i="47" s="1"/>
  <c r="P12" i="91" s="1"/>
  <c r="O12" i="91" s="1"/>
  <c r="L5" i="47"/>
  <c r="M4" i="47"/>
  <c r="M3" i="47"/>
  <c r="V5" i="47"/>
  <c r="P10" i="91" s="1"/>
  <c r="O10" i="91" s="1"/>
  <c r="V7" i="47"/>
  <c r="V8" i="47"/>
  <c r="V11" i="47"/>
  <c r="V13" i="47"/>
  <c r="V14" i="47"/>
  <c r="V17" i="47"/>
  <c r="V19" i="47"/>
  <c r="V20" i="47"/>
  <c r="V24" i="47"/>
  <c r="V25" i="47"/>
  <c r="V26" i="47"/>
  <c r="V30" i="47"/>
  <c r="V31" i="47"/>
  <c r="V32" i="47"/>
  <c r="V69" i="47"/>
  <c r="V70" i="47"/>
  <c r="V78" i="47"/>
  <c r="V79" i="47"/>
  <c r="V87" i="47"/>
  <c r="V90" i="47"/>
  <c r="V91" i="47"/>
  <c r="V92" i="47"/>
  <c r="V98" i="47"/>
  <c r="V102" i="47"/>
  <c r="V117" i="47"/>
  <c r="V119" i="47"/>
  <c r="V126" i="47"/>
  <c r="V129" i="47"/>
  <c r="V133" i="47"/>
  <c r="V146" i="47"/>
  <c r="V149" i="47"/>
  <c r="V161" i="47"/>
  <c r="V182" i="47"/>
  <c r="V233" i="47"/>
  <c r="V237" i="47"/>
  <c r="V238" i="47"/>
  <c r="V246" i="47"/>
  <c r="V265" i="47"/>
  <c r="V337" i="47"/>
  <c r="V341" i="47"/>
  <c r="V345" i="47"/>
  <c r="V347" i="47"/>
  <c r="V348" i="47"/>
  <c r="V349" i="47"/>
  <c r="V350" i="47"/>
  <c r="V352" i="47"/>
  <c r="U5" i="47"/>
  <c r="U4" i="47"/>
  <c r="V4" i="47" s="1"/>
  <c r="U6" i="47"/>
  <c r="V6" i="47" s="1"/>
  <c r="P13" i="91" s="1"/>
  <c r="O13" i="91" s="1"/>
  <c r="U7" i="47"/>
  <c r="U8" i="47"/>
  <c r="U9" i="47"/>
  <c r="V9" i="47" s="1"/>
  <c r="U10" i="47"/>
  <c r="V10" i="47" s="1"/>
  <c r="U11" i="47"/>
  <c r="U12" i="47"/>
  <c r="V12" i="47" s="1"/>
  <c r="U13" i="47"/>
  <c r="U14" i="47"/>
  <c r="U15" i="47"/>
  <c r="V15" i="47" s="1"/>
  <c r="U16" i="47"/>
  <c r="V16" i="47" s="1"/>
  <c r="U17" i="47"/>
  <c r="U18" i="47"/>
  <c r="V18" i="47" s="1"/>
  <c r="U19" i="47"/>
  <c r="U20" i="47"/>
  <c r="U21" i="47"/>
  <c r="V21" i="47" s="1"/>
  <c r="U22" i="47"/>
  <c r="V22" i="47" s="1"/>
  <c r="U23" i="47"/>
  <c r="V23" i="47" s="1"/>
  <c r="U24" i="47"/>
  <c r="U25" i="47"/>
  <c r="U26" i="47"/>
  <c r="U27" i="47"/>
  <c r="V27" i="47" s="1"/>
  <c r="U28" i="47"/>
  <c r="V28" i="47" s="1"/>
  <c r="U29" i="47"/>
  <c r="V29" i="47" s="1"/>
  <c r="U30" i="47"/>
  <c r="U31" i="47"/>
  <c r="U32" i="47"/>
  <c r="U33" i="47"/>
  <c r="V33" i="47" s="1"/>
  <c r="U34" i="47"/>
  <c r="V34" i="47" s="1"/>
  <c r="U35" i="47"/>
  <c r="V35" i="47" s="1"/>
  <c r="U36" i="47"/>
  <c r="V36" i="47" s="1"/>
  <c r="U37" i="47"/>
  <c r="V37" i="47" s="1"/>
  <c r="U38" i="47"/>
  <c r="V38" i="47" s="1"/>
  <c r="U39" i="47"/>
  <c r="V39" i="47" s="1"/>
  <c r="U40" i="47"/>
  <c r="V40" i="47" s="1"/>
  <c r="U41" i="47"/>
  <c r="V41" i="47" s="1"/>
  <c r="U42" i="47"/>
  <c r="V42" i="47" s="1"/>
  <c r="U43" i="47"/>
  <c r="V43" i="47" s="1"/>
  <c r="U44" i="47"/>
  <c r="V44" i="47" s="1"/>
  <c r="U45" i="47"/>
  <c r="V45" i="47" s="1"/>
  <c r="U46" i="47"/>
  <c r="V46" i="47" s="1"/>
  <c r="U47" i="47"/>
  <c r="V47" i="47" s="1"/>
  <c r="U48" i="47"/>
  <c r="V48" i="47" s="1"/>
  <c r="U49" i="47"/>
  <c r="V49" i="47" s="1"/>
  <c r="U50" i="47"/>
  <c r="V50" i="47" s="1"/>
  <c r="U51" i="47"/>
  <c r="V51" i="47" s="1"/>
  <c r="U52" i="47"/>
  <c r="V52" i="47" s="1"/>
  <c r="U53" i="47"/>
  <c r="V53" i="47" s="1"/>
  <c r="U54" i="47"/>
  <c r="V54" i="47" s="1"/>
  <c r="U55" i="47"/>
  <c r="V55" i="47" s="1"/>
  <c r="U56" i="47"/>
  <c r="V56" i="47" s="1"/>
  <c r="U57" i="47"/>
  <c r="V57" i="47" s="1"/>
  <c r="U58" i="47"/>
  <c r="V58" i="47" s="1"/>
  <c r="U59" i="47"/>
  <c r="V59" i="47" s="1"/>
  <c r="U60" i="47"/>
  <c r="V60" i="47" s="1"/>
  <c r="U61" i="47"/>
  <c r="V61" i="47" s="1"/>
  <c r="U62" i="47"/>
  <c r="V62" i="47" s="1"/>
  <c r="U63" i="47"/>
  <c r="V63" i="47" s="1"/>
  <c r="U64" i="47"/>
  <c r="V64" i="47" s="1"/>
  <c r="U65" i="47"/>
  <c r="V65" i="47" s="1"/>
  <c r="U66" i="47"/>
  <c r="V66" i="47" s="1"/>
  <c r="U67" i="47"/>
  <c r="V67" i="47" s="1"/>
  <c r="U68" i="47"/>
  <c r="V68" i="47" s="1"/>
  <c r="U69" i="47"/>
  <c r="U70" i="47"/>
  <c r="U71" i="47"/>
  <c r="V71" i="47" s="1"/>
  <c r="U72" i="47"/>
  <c r="V72" i="47" s="1"/>
  <c r="U73" i="47"/>
  <c r="V73" i="47" s="1"/>
  <c r="U74" i="47"/>
  <c r="V74" i="47" s="1"/>
  <c r="U75" i="47"/>
  <c r="V75" i="47" s="1"/>
  <c r="U76" i="47"/>
  <c r="V76" i="47" s="1"/>
  <c r="U77" i="47"/>
  <c r="V77" i="47" s="1"/>
  <c r="U78" i="47"/>
  <c r="U79" i="47"/>
  <c r="U80" i="47"/>
  <c r="V80" i="47" s="1"/>
  <c r="U81" i="47"/>
  <c r="V81" i="47" s="1"/>
  <c r="U82" i="47"/>
  <c r="V82" i="47" s="1"/>
  <c r="U83" i="47"/>
  <c r="V83" i="47" s="1"/>
  <c r="U84" i="47"/>
  <c r="V84" i="47" s="1"/>
  <c r="U85" i="47"/>
  <c r="V85" i="47" s="1"/>
  <c r="U86" i="47"/>
  <c r="V86" i="47" s="1"/>
  <c r="U87" i="47"/>
  <c r="U88" i="47"/>
  <c r="V88" i="47" s="1"/>
  <c r="U89" i="47"/>
  <c r="V89" i="47" s="1"/>
  <c r="U90" i="47"/>
  <c r="U91" i="47"/>
  <c r="U92" i="47"/>
  <c r="U93" i="47"/>
  <c r="V93" i="47" s="1"/>
  <c r="U94" i="47"/>
  <c r="V94" i="47" s="1"/>
  <c r="U95" i="47"/>
  <c r="V95" i="47" s="1"/>
  <c r="U96" i="47"/>
  <c r="V96" i="47" s="1"/>
  <c r="U97" i="47"/>
  <c r="V97" i="47" s="1"/>
  <c r="U98" i="47"/>
  <c r="U99" i="47"/>
  <c r="V99" i="47" s="1"/>
  <c r="U100" i="47"/>
  <c r="V100" i="47" s="1"/>
  <c r="U101" i="47"/>
  <c r="V101" i="47" s="1"/>
  <c r="U102" i="47"/>
  <c r="U103" i="47"/>
  <c r="V103" i="47" s="1"/>
  <c r="U104" i="47"/>
  <c r="V104" i="47" s="1"/>
  <c r="U105" i="47"/>
  <c r="V105" i="47" s="1"/>
  <c r="U106" i="47"/>
  <c r="V106" i="47" s="1"/>
  <c r="U107" i="47"/>
  <c r="V107" i="47" s="1"/>
  <c r="U108" i="47"/>
  <c r="V108" i="47" s="1"/>
  <c r="U109" i="47"/>
  <c r="V109" i="47" s="1"/>
  <c r="U110" i="47"/>
  <c r="V110" i="47" s="1"/>
  <c r="U111" i="47"/>
  <c r="V111" i="47" s="1"/>
  <c r="U112" i="47"/>
  <c r="V112" i="47" s="1"/>
  <c r="U113" i="47"/>
  <c r="V113" i="47" s="1"/>
  <c r="U114" i="47"/>
  <c r="V114" i="47" s="1"/>
  <c r="U115" i="47"/>
  <c r="V115" i="47" s="1"/>
  <c r="U116" i="47"/>
  <c r="V116" i="47" s="1"/>
  <c r="U117" i="47"/>
  <c r="U118" i="47"/>
  <c r="V118" i="47" s="1"/>
  <c r="U119" i="47"/>
  <c r="U120" i="47"/>
  <c r="V120" i="47" s="1"/>
  <c r="U121" i="47"/>
  <c r="V121" i="47" s="1"/>
  <c r="U122" i="47"/>
  <c r="V122" i="47" s="1"/>
  <c r="U123" i="47"/>
  <c r="V123" i="47" s="1"/>
  <c r="U124" i="47"/>
  <c r="V124" i="47" s="1"/>
  <c r="U125" i="47"/>
  <c r="V125" i="47" s="1"/>
  <c r="U126" i="47"/>
  <c r="U127" i="47"/>
  <c r="V127" i="47" s="1"/>
  <c r="U128" i="47"/>
  <c r="V128" i="47" s="1"/>
  <c r="U129" i="47"/>
  <c r="U130" i="47"/>
  <c r="V130" i="47" s="1"/>
  <c r="U131" i="47"/>
  <c r="V131" i="47" s="1"/>
  <c r="U132" i="47"/>
  <c r="V132" i="47" s="1"/>
  <c r="U133" i="47"/>
  <c r="U134" i="47"/>
  <c r="V134" i="47" s="1"/>
  <c r="U135" i="47"/>
  <c r="V135" i="47" s="1"/>
  <c r="U136" i="47"/>
  <c r="V136" i="47" s="1"/>
  <c r="U137" i="47"/>
  <c r="V137" i="47" s="1"/>
  <c r="U138" i="47"/>
  <c r="V138" i="47" s="1"/>
  <c r="U139" i="47"/>
  <c r="V139" i="47" s="1"/>
  <c r="U140" i="47"/>
  <c r="V140" i="47" s="1"/>
  <c r="U141" i="47"/>
  <c r="V141" i="47" s="1"/>
  <c r="U142" i="47"/>
  <c r="V142" i="47" s="1"/>
  <c r="U143" i="47"/>
  <c r="V143" i="47" s="1"/>
  <c r="U144" i="47"/>
  <c r="V144" i="47" s="1"/>
  <c r="U145" i="47"/>
  <c r="V145" i="47" s="1"/>
  <c r="U146" i="47"/>
  <c r="U147" i="47"/>
  <c r="V147" i="47" s="1"/>
  <c r="U148" i="47"/>
  <c r="V148" i="47" s="1"/>
  <c r="U149" i="47"/>
  <c r="U150" i="47"/>
  <c r="V150" i="47" s="1"/>
  <c r="U151" i="47"/>
  <c r="V151" i="47" s="1"/>
  <c r="U152" i="47"/>
  <c r="V152" i="47" s="1"/>
  <c r="U153" i="47"/>
  <c r="V153" i="47" s="1"/>
  <c r="U154" i="47"/>
  <c r="V154" i="47" s="1"/>
  <c r="U155" i="47"/>
  <c r="V155" i="47" s="1"/>
  <c r="U156" i="47"/>
  <c r="V156" i="47" s="1"/>
  <c r="U157" i="47"/>
  <c r="V157" i="47" s="1"/>
  <c r="U158" i="47"/>
  <c r="V158" i="47" s="1"/>
  <c r="U159" i="47"/>
  <c r="V159" i="47" s="1"/>
  <c r="U160" i="47"/>
  <c r="V160" i="47" s="1"/>
  <c r="U161" i="47"/>
  <c r="U162" i="47"/>
  <c r="V162" i="47" s="1"/>
  <c r="U163" i="47"/>
  <c r="V163" i="47" s="1"/>
  <c r="U164" i="47"/>
  <c r="V164" i="47" s="1"/>
  <c r="U165" i="47"/>
  <c r="V165" i="47" s="1"/>
  <c r="U166" i="47"/>
  <c r="V166" i="47" s="1"/>
  <c r="U167" i="47"/>
  <c r="V167" i="47" s="1"/>
  <c r="U168" i="47"/>
  <c r="V168" i="47" s="1"/>
  <c r="U169" i="47"/>
  <c r="V169" i="47" s="1"/>
  <c r="U170" i="47"/>
  <c r="V170" i="47" s="1"/>
  <c r="U171" i="47"/>
  <c r="V171" i="47" s="1"/>
  <c r="U172" i="47"/>
  <c r="V172" i="47" s="1"/>
  <c r="U173" i="47"/>
  <c r="V173" i="47" s="1"/>
  <c r="U174" i="47"/>
  <c r="V174" i="47" s="1"/>
  <c r="U175" i="47"/>
  <c r="V175" i="47" s="1"/>
  <c r="U176" i="47"/>
  <c r="V176" i="47" s="1"/>
  <c r="U177" i="47"/>
  <c r="V177" i="47" s="1"/>
  <c r="U178" i="47"/>
  <c r="V178" i="47" s="1"/>
  <c r="U179" i="47"/>
  <c r="V179" i="47" s="1"/>
  <c r="U180" i="47"/>
  <c r="V180" i="47" s="1"/>
  <c r="U181" i="47"/>
  <c r="V181" i="47" s="1"/>
  <c r="U182" i="47"/>
  <c r="U183" i="47"/>
  <c r="V183" i="47" s="1"/>
  <c r="U184" i="47"/>
  <c r="V184" i="47" s="1"/>
  <c r="U185" i="47"/>
  <c r="V185" i="47" s="1"/>
  <c r="U186" i="47"/>
  <c r="V186" i="47" s="1"/>
  <c r="U187" i="47"/>
  <c r="V187" i="47" s="1"/>
  <c r="U188" i="47"/>
  <c r="V188" i="47" s="1"/>
  <c r="U189" i="47"/>
  <c r="V189" i="47" s="1"/>
  <c r="U190" i="47"/>
  <c r="V190" i="47" s="1"/>
  <c r="U191" i="47"/>
  <c r="V191" i="47" s="1"/>
  <c r="U192" i="47"/>
  <c r="V192" i="47" s="1"/>
  <c r="U193" i="47"/>
  <c r="V193" i="47" s="1"/>
  <c r="U194" i="47"/>
  <c r="V194" i="47" s="1"/>
  <c r="U195" i="47"/>
  <c r="V195" i="47" s="1"/>
  <c r="U196" i="47"/>
  <c r="V196" i="47" s="1"/>
  <c r="U197" i="47"/>
  <c r="V197" i="47" s="1"/>
  <c r="U198" i="47"/>
  <c r="V198" i="47" s="1"/>
  <c r="U199" i="47"/>
  <c r="V199" i="47" s="1"/>
  <c r="U200" i="47"/>
  <c r="V200" i="47" s="1"/>
  <c r="U201" i="47"/>
  <c r="V201" i="47" s="1"/>
  <c r="U202" i="47"/>
  <c r="V202" i="47" s="1"/>
  <c r="U203" i="47"/>
  <c r="V203" i="47" s="1"/>
  <c r="U204" i="47"/>
  <c r="V204" i="47" s="1"/>
  <c r="U205" i="47"/>
  <c r="V205" i="47" s="1"/>
  <c r="U206" i="47"/>
  <c r="V206" i="47" s="1"/>
  <c r="U207" i="47"/>
  <c r="V207" i="47" s="1"/>
  <c r="U208" i="47"/>
  <c r="V208" i="47" s="1"/>
  <c r="U209" i="47"/>
  <c r="V209" i="47" s="1"/>
  <c r="U210" i="47"/>
  <c r="V210" i="47" s="1"/>
  <c r="U211" i="47"/>
  <c r="V211" i="47" s="1"/>
  <c r="U212" i="47"/>
  <c r="V212" i="47" s="1"/>
  <c r="U213" i="47"/>
  <c r="V213" i="47" s="1"/>
  <c r="U214" i="47"/>
  <c r="V214" i="47" s="1"/>
  <c r="U215" i="47"/>
  <c r="V215" i="47" s="1"/>
  <c r="U216" i="47"/>
  <c r="V216" i="47" s="1"/>
  <c r="U217" i="47"/>
  <c r="V217" i="47" s="1"/>
  <c r="U218" i="47"/>
  <c r="V218" i="47" s="1"/>
  <c r="U219" i="47"/>
  <c r="V219" i="47" s="1"/>
  <c r="U220" i="47"/>
  <c r="V220" i="47" s="1"/>
  <c r="U221" i="47"/>
  <c r="V221" i="47" s="1"/>
  <c r="U222" i="47"/>
  <c r="V222" i="47" s="1"/>
  <c r="U223" i="47"/>
  <c r="V223" i="47" s="1"/>
  <c r="U224" i="47"/>
  <c r="V224" i="47" s="1"/>
  <c r="U225" i="47"/>
  <c r="V225" i="47" s="1"/>
  <c r="U226" i="47"/>
  <c r="V226" i="47" s="1"/>
  <c r="U227" i="47"/>
  <c r="V227" i="47" s="1"/>
  <c r="U228" i="47"/>
  <c r="V228" i="47" s="1"/>
  <c r="U229" i="47"/>
  <c r="V229" i="47" s="1"/>
  <c r="U230" i="47"/>
  <c r="V230" i="47" s="1"/>
  <c r="U231" i="47"/>
  <c r="V231" i="47" s="1"/>
  <c r="U232" i="47"/>
  <c r="V232" i="47" s="1"/>
  <c r="U233" i="47"/>
  <c r="U234" i="47"/>
  <c r="V234" i="47" s="1"/>
  <c r="U235" i="47"/>
  <c r="V235" i="47" s="1"/>
  <c r="U236" i="47"/>
  <c r="V236" i="47" s="1"/>
  <c r="U237" i="47"/>
  <c r="U238" i="47"/>
  <c r="U239" i="47"/>
  <c r="V239" i="47" s="1"/>
  <c r="U240" i="47"/>
  <c r="V240" i="47" s="1"/>
  <c r="U241" i="47"/>
  <c r="V241" i="47" s="1"/>
  <c r="U242" i="47"/>
  <c r="V242" i="47" s="1"/>
  <c r="U243" i="47"/>
  <c r="V243" i="47" s="1"/>
  <c r="U244" i="47"/>
  <c r="V244" i="47" s="1"/>
  <c r="U245" i="47"/>
  <c r="V245" i="47" s="1"/>
  <c r="U246" i="47"/>
  <c r="U247" i="47"/>
  <c r="V247" i="47" s="1"/>
  <c r="U248" i="47"/>
  <c r="V248" i="47" s="1"/>
  <c r="U249" i="47"/>
  <c r="V249" i="47" s="1"/>
  <c r="U250" i="47"/>
  <c r="V250" i="47" s="1"/>
  <c r="U251" i="47"/>
  <c r="V251" i="47" s="1"/>
  <c r="U252" i="47"/>
  <c r="V252" i="47" s="1"/>
  <c r="U253" i="47"/>
  <c r="V253" i="47" s="1"/>
  <c r="U254" i="47"/>
  <c r="V254" i="47" s="1"/>
  <c r="U255" i="47"/>
  <c r="V255" i="47" s="1"/>
  <c r="U256" i="47"/>
  <c r="V256" i="47" s="1"/>
  <c r="U257" i="47"/>
  <c r="V257" i="47" s="1"/>
  <c r="U258" i="47"/>
  <c r="V258" i="47" s="1"/>
  <c r="U259" i="47"/>
  <c r="V259" i="47" s="1"/>
  <c r="U260" i="47"/>
  <c r="V260" i="47" s="1"/>
  <c r="U261" i="47"/>
  <c r="V261" i="47" s="1"/>
  <c r="U262" i="47"/>
  <c r="V262" i="47" s="1"/>
  <c r="U263" i="47"/>
  <c r="V263" i="47" s="1"/>
  <c r="U264" i="47"/>
  <c r="V264" i="47" s="1"/>
  <c r="U265" i="47"/>
  <c r="U266" i="47"/>
  <c r="V266" i="47" s="1"/>
  <c r="U267" i="47"/>
  <c r="V267" i="47" s="1"/>
  <c r="U268" i="47"/>
  <c r="V268" i="47" s="1"/>
  <c r="U269" i="47"/>
  <c r="V269" i="47" s="1"/>
  <c r="U270" i="47"/>
  <c r="V270" i="47" s="1"/>
  <c r="U271" i="47"/>
  <c r="V271" i="47" s="1"/>
  <c r="U272" i="47"/>
  <c r="V272" i="47" s="1"/>
  <c r="U273" i="47"/>
  <c r="V273" i="47" s="1"/>
  <c r="U274" i="47"/>
  <c r="V274" i="47" s="1"/>
  <c r="U275" i="47"/>
  <c r="V275" i="47" s="1"/>
  <c r="U276" i="47"/>
  <c r="V276" i="47" s="1"/>
  <c r="U277" i="47"/>
  <c r="V277" i="47" s="1"/>
  <c r="U278" i="47"/>
  <c r="V278" i="47" s="1"/>
  <c r="U279" i="47"/>
  <c r="V279" i="47" s="1"/>
  <c r="U280" i="47"/>
  <c r="V280" i="47" s="1"/>
  <c r="U281" i="47"/>
  <c r="V281" i="47" s="1"/>
  <c r="U282" i="47"/>
  <c r="V282" i="47" s="1"/>
  <c r="U283" i="47"/>
  <c r="V283" i="47" s="1"/>
  <c r="U284" i="47"/>
  <c r="V284" i="47" s="1"/>
  <c r="U285" i="47"/>
  <c r="V285" i="47" s="1"/>
  <c r="U286" i="47"/>
  <c r="V286" i="47" s="1"/>
  <c r="U287" i="47"/>
  <c r="V287" i="47" s="1"/>
  <c r="U288" i="47"/>
  <c r="V288" i="47" s="1"/>
  <c r="U289" i="47"/>
  <c r="V289" i="47" s="1"/>
  <c r="U290" i="47"/>
  <c r="V290" i="47" s="1"/>
  <c r="U291" i="47"/>
  <c r="V291" i="47" s="1"/>
  <c r="U292" i="47"/>
  <c r="V292" i="47" s="1"/>
  <c r="U293" i="47"/>
  <c r="V293" i="47" s="1"/>
  <c r="U294" i="47"/>
  <c r="V294" i="47" s="1"/>
  <c r="U295" i="47"/>
  <c r="V295" i="47" s="1"/>
  <c r="U296" i="47"/>
  <c r="V296" i="47" s="1"/>
  <c r="U297" i="47"/>
  <c r="V297" i="47" s="1"/>
  <c r="U298" i="47"/>
  <c r="V298" i="47" s="1"/>
  <c r="U299" i="47"/>
  <c r="V299" i="47" s="1"/>
  <c r="U300" i="47"/>
  <c r="V300" i="47" s="1"/>
  <c r="U301" i="47"/>
  <c r="V301" i="47" s="1"/>
  <c r="U302" i="47"/>
  <c r="V302" i="47" s="1"/>
  <c r="U303" i="47"/>
  <c r="V303" i="47" s="1"/>
  <c r="U304" i="47"/>
  <c r="V304" i="47" s="1"/>
  <c r="U305" i="47"/>
  <c r="V305" i="47" s="1"/>
  <c r="U306" i="47"/>
  <c r="V306" i="47" s="1"/>
  <c r="U307" i="47"/>
  <c r="V307" i="47" s="1"/>
  <c r="U308" i="47"/>
  <c r="V308" i="47" s="1"/>
  <c r="U309" i="47"/>
  <c r="V309" i="47" s="1"/>
  <c r="U310" i="47"/>
  <c r="V310" i="47" s="1"/>
  <c r="U311" i="47"/>
  <c r="V311" i="47" s="1"/>
  <c r="U312" i="47"/>
  <c r="V312" i="47" s="1"/>
  <c r="U313" i="47"/>
  <c r="V313" i="47" s="1"/>
  <c r="U314" i="47"/>
  <c r="V314" i="47" s="1"/>
  <c r="U315" i="47"/>
  <c r="V315" i="47" s="1"/>
  <c r="U316" i="47"/>
  <c r="V316" i="47" s="1"/>
  <c r="U317" i="47"/>
  <c r="V317" i="47" s="1"/>
  <c r="U318" i="47"/>
  <c r="V318" i="47" s="1"/>
  <c r="U319" i="47"/>
  <c r="V319" i="47" s="1"/>
  <c r="U320" i="47"/>
  <c r="V320" i="47" s="1"/>
  <c r="U321" i="47"/>
  <c r="V321" i="47" s="1"/>
  <c r="U322" i="47"/>
  <c r="V322" i="47" s="1"/>
  <c r="U323" i="47"/>
  <c r="V323" i="47" s="1"/>
  <c r="U324" i="47"/>
  <c r="V324" i="47" s="1"/>
  <c r="U325" i="47"/>
  <c r="V325" i="47" s="1"/>
  <c r="U326" i="47"/>
  <c r="V326" i="47" s="1"/>
  <c r="U327" i="47"/>
  <c r="V327" i="47" s="1"/>
  <c r="U328" i="47"/>
  <c r="V328" i="47" s="1"/>
  <c r="U329" i="47"/>
  <c r="V329" i="47" s="1"/>
  <c r="U330" i="47"/>
  <c r="V330" i="47" s="1"/>
  <c r="U331" i="47"/>
  <c r="V331" i="47" s="1"/>
  <c r="U332" i="47"/>
  <c r="V332" i="47" s="1"/>
  <c r="U333" i="47"/>
  <c r="V333" i="47" s="1"/>
  <c r="U334" i="47"/>
  <c r="V334" i="47" s="1"/>
  <c r="U335" i="47"/>
  <c r="V335" i="47" s="1"/>
  <c r="U336" i="47"/>
  <c r="V336" i="47" s="1"/>
  <c r="U337" i="47"/>
  <c r="U338" i="47"/>
  <c r="V338" i="47" s="1"/>
  <c r="U339" i="47"/>
  <c r="V339" i="47" s="1"/>
  <c r="U340" i="47"/>
  <c r="V340" i="47" s="1"/>
  <c r="U341" i="47"/>
  <c r="U342" i="47"/>
  <c r="V342" i="47" s="1"/>
  <c r="U343" i="47"/>
  <c r="V343" i="47" s="1"/>
  <c r="U344" i="47"/>
  <c r="V344" i="47" s="1"/>
  <c r="U345" i="47"/>
  <c r="U346" i="47"/>
  <c r="V346" i="47" s="1"/>
  <c r="U347" i="47"/>
  <c r="U348" i="47"/>
  <c r="U349" i="47"/>
  <c r="U350" i="47"/>
  <c r="U352" i="47"/>
  <c r="U3" i="47"/>
  <c r="V3" i="47" s="1"/>
  <c r="G519" i="46"/>
  <c r="G845" i="46"/>
  <c r="G520" i="46"/>
  <c r="G521" i="46"/>
  <c r="G309" i="46"/>
  <c r="G516" i="46"/>
  <c r="G517" i="46"/>
  <c r="G506" i="46"/>
  <c r="G507" i="46"/>
  <c r="G843" i="46"/>
  <c r="G508" i="46"/>
  <c r="G509" i="46"/>
  <c r="G336" i="46"/>
  <c r="G504" i="46"/>
  <c r="G505" i="46"/>
  <c r="G500" i="46"/>
  <c r="G501" i="46"/>
  <c r="G842" i="46"/>
  <c r="G502" i="46"/>
  <c r="G503" i="46"/>
  <c r="G414" i="46"/>
  <c r="G498" i="46"/>
  <c r="G499" i="46"/>
  <c r="G524" i="46"/>
  <c r="G525" i="46"/>
  <c r="G846" i="46"/>
  <c r="G526" i="46"/>
  <c r="G527" i="46"/>
  <c r="G356" i="46"/>
  <c r="G522" i="46"/>
  <c r="G523" i="46"/>
  <c r="G313" i="46"/>
  <c r="G47" i="46"/>
  <c r="G256" i="46"/>
  <c r="G293" i="46"/>
  <c r="G754" i="46"/>
  <c r="G195" i="46"/>
  <c r="G3" i="46"/>
  <c r="G179" i="46"/>
  <c r="G14" i="46"/>
  <c r="G344" i="46"/>
  <c r="G140" i="46"/>
  <c r="G821" i="46"/>
  <c r="G562" i="46"/>
  <c r="G127" i="46"/>
  <c r="G146" i="46"/>
  <c r="G372" i="46"/>
  <c r="G664" i="46"/>
  <c r="G226" i="46"/>
  <c r="G386" i="46"/>
  <c r="G259" i="46"/>
  <c r="G219" i="46"/>
  <c r="G269" i="46"/>
  <c r="G574" i="46"/>
  <c r="G295" i="46"/>
  <c r="G824" i="46"/>
  <c r="G270" i="46"/>
  <c r="G726" i="46"/>
  <c r="G333" i="46"/>
  <c r="G306" i="46"/>
  <c r="G442" i="46"/>
  <c r="G305" i="46"/>
  <c r="G443" i="46"/>
  <c r="G307" i="46"/>
  <c r="G358" i="46"/>
  <c r="G304" i="46"/>
  <c r="G202" i="46"/>
  <c r="G786" i="46"/>
  <c r="G660" i="46"/>
  <c r="G117" i="46"/>
  <c r="G218" i="46"/>
  <c r="G777" i="46"/>
  <c r="G280" i="46"/>
  <c r="G670" i="46"/>
  <c r="G241" i="46"/>
  <c r="G21" i="46"/>
  <c r="G334" i="46"/>
  <c r="G62" i="46"/>
  <c r="G100" i="46"/>
  <c r="G154" i="46"/>
  <c r="G576" i="46"/>
  <c r="G825" i="46"/>
  <c r="G199" i="46"/>
  <c r="G727" i="46"/>
  <c r="G115" i="46"/>
  <c r="G9" i="46"/>
  <c r="G24" i="46"/>
  <c r="G57" i="46"/>
  <c r="G32" i="46"/>
  <c r="G10" i="46"/>
  <c r="G50" i="46"/>
  <c r="G231" i="46"/>
  <c r="G186" i="46"/>
  <c r="G193" i="46"/>
  <c r="G222" i="46"/>
  <c r="G277" i="46"/>
  <c r="G250" i="46"/>
  <c r="G265" i="46"/>
  <c r="G285" i="46"/>
  <c r="G86" i="46"/>
  <c r="G114" i="46"/>
  <c r="G87" i="46"/>
  <c r="G81" i="46"/>
  <c r="G83" i="46"/>
  <c r="G126" i="46"/>
  <c r="G175" i="46"/>
  <c r="G156" i="46"/>
  <c r="G170" i="46"/>
  <c r="G101" i="46"/>
  <c r="G206" i="46"/>
  <c r="G78" i="46"/>
  <c r="G644" i="46"/>
  <c r="G645" i="46"/>
  <c r="G281" i="46"/>
  <c r="G227" i="46"/>
  <c r="G759" i="46"/>
  <c r="G197" i="46"/>
  <c r="G631" i="46"/>
  <c r="G205" i="46"/>
  <c r="G215" i="46"/>
  <c r="G391" i="46"/>
  <c r="G299" i="46"/>
  <c r="G40" i="46"/>
  <c r="G424" i="46"/>
  <c r="G6" i="46"/>
  <c r="G365" i="46"/>
  <c r="G132" i="46"/>
  <c r="G838" i="46"/>
  <c r="G839" i="46"/>
  <c r="G835" i="46"/>
  <c r="G834" i="46"/>
  <c r="G399" i="46"/>
  <c r="G341" i="46"/>
  <c r="G216" i="46"/>
  <c r="G833" i="46"/>
  <c r="G832" i="46"/>
  <c r="G314" i="46"/>
  <c r="G257" i="46"/>
  <c r="G342" i="46"/>
  <c r="G276" i="46"/>
  <c r="G840" i="46"/>
  <c r="G841" i="46"/>
  <c r="G390" i="46"/>
  <c r="G106" i="46"/>
  <c r="G153" i="46"/>
  <c r="G364" i="46"/>
  <c r="G29" i="46"/>
  <c r="G213" i="46"/>
  <c r="G711" i="46"/>
  <c r="G541" i="46"/>
  <c r="G56" i="46"/>
  <c r="G542" i="46"/>
  <c r="G814" i="46"/>
  <c r="G248" i="46"/>
  <c r="G41" i="46"/>
  <c r="G31" i="46"/>
  <c r="G107" i="46"/>
  <c r="G49" i="46"/>
  <c r="G191" i="46"/>
  <c r="G131" i="46"/>
  <c r="G185" i="46"/>
  <c r="G254" i="46"/>
  <c r="G162" i="46"/>
  <c r="G37" i="46"/>
  <c r="G139" i="46"/>
  <c r="G113" i="46"/>
  <c r="G326" i="46"/>
  <c r="G401" i="46"/>
  <c r="G432" i="46"/>
  <c r="G349" i="46"/>
  <c r="G376" i="46"/>
  <c r="G8" i="46"/>
  <c r="G122" i="46"/>
  <c r="G412" i="46"/>
  <c r="G33" i="46"/>
  <c r="G651" i="46"/>
  <c r="G204" i="46"/>
  <c r="G652" i="46"/>
  <c r="G308" i="46"/>
  <c r="G446" i="46"/>
  <c r="G445" i="46"/>
  <c r="G444" i="46"/>
  <c r="G447" i="46"/>
  <c r="G130" i="46"/>
  <c r="G182" i="46"/>
  <c r="G658" i="46"/>
  <c r="G359" i="46"/>
  <c r="G659" i="46"/>
  <c r="G151" i="46"/>
  <c r="G221" i="46"/>
  <c r="G237" i="46"/>
  <c r="G549" i="46"/>
  <c r="G429" i="46"/>
  <c r="G229" i="46"/>
  <c r="G63" i="46"/>
  <c r="G761" i="46"/>
  <c r="G634" i="46"/>
  <c r="G90" i="46"/>
  <c r="G518" i="46"/>
  <c r="G260" i="46"/>
  <c r="G695" i="46"/>
  <c r="G328" i="46"/>
  <c r="G710" i="46"/>
  <c r="G323" i="46"/>
  <c r="G771" i="46"/>
  <c r="G327" i="46"/>
  <c r="G689" i="46"/>
  <c r="G692" i="46"/>
  <c r="G404" i="46"/>
  <c r="G811" i="46"/>
  <c r="G397" i="46"/>
  <c r="G550" i="46"/>
  <c r="G403" i="46"/>
  <c r="G797" i="46"/>
  <c r="G810" i="46"/>
  <c r="G351" i="46"/>
  <c r="G751" i="46"/>
  <c r="G347" i="46"/>
  <c r="G822" i="46"/>
  <c r="G350" i="46"/>
  <c r="G807" i="46"/>
  <c r="G793" i="46"/>
  <c r="G378" i="46"/>
  <c r="G745" i="46"/>
  <c r="G371" i="46"/>
  <c r="G563" i="46"/>
  <c r="G377" i="46"/>
  <c r="G823" i="46"/>
  <c r="G685" i="46"/>
  <c r="G436" i="46"/>
  <c r="G712" i="46"/>
  <c r="G425" i="46"/>
  <c r="G757" i="46"/>
  <c r="G435" i="46"/>
  <c r="G699" i="46"/>
  <c r="G796" i="46"/>
  <c r="G23" i="46"/>
  <c r="G564" i="46"/>
  <c r="G39" i="46"/>
  <c r="G815" i="46"/>
  <c r="G239" i="46"/>
  <c r="G693" i="46"/>
  <c r="G207" i="46"/>
  <c r="G817" i="46"/>
  <c r="G187" i="46"/>
  <c r="G715" i="46"/>
  <c r="G292" i="46"/>
  <c r="G690" i="46"/>
  <c r="G284" i="46"/>
  <c r="G582" i="46"/>
  <c r="G267" i="46"/>
  <c r="G608" i="46"/>
  <c r="G80" i="46"/>
  <c r="G688" i="46"/>
  <c r="G65" i="46"/>
  <c r="G585" i="46"/>
  <c r="G96" i="46"/>
  <c r="G696" i="46"/>
  <c r="G164" i="46"/>
  <c r="G799" i="46"/>
  <c r="G168" i="46"/>
  <c r="G621" i="46"/>
  <c r="G148" i="46"/>
  <c r="G738" i="46"/>
  <c r="G51" i="46"/>
  <c r="G607" i="46"/>
  <c r="G99" i="46"/>
  <c r="G615" i="46"/>
  <c r="G616" i="46"/>
  <c r="G421" i="46"/>
  <c r="G617" i="46"/>
  <c r="G316" i="46"/>
  <c r="G212" i="46"/>
  <c r="G5" i="46"/>
  <c r="G614" i="46"/>
  <c r="G315" i="46"/>
  <c r="G613" i="46"/>
  <c r="G173" i="46"/>
  <c r="G646" i="46"/>
  <c r="G180" i="46"/>
  <c r="G59" i="46"/>
  <c r="G783" i="46"/>
  <c r="G671" i="46"/>
  <c r="G672" i="46"/>
  <c r="G136" i="46"/>
  <c r="G676" i="46"/>
  <c r="G677" i="46"/>
  <c r="G97" i="46"/>
  <c r="G298" i="46"/>
  <c r="G788" i="46"/>
  <c r="G288" i="46"/>
  <c r="G384" i="46"/>
  <c r="G263" i="46"/>
  <c r="G423" i="46"/>
  <c r="G595" i="46"/>
  <c r="G374" i="46"/>
  <c r="G303" i="46"/>
  <c r="G25" i="46"/>
  <c r="G544" i="46"/>
  <c r="G181" i="46"/>
  <c r="G780" i="46"/>
  <c r="G73" i="46"/>
  <c r="G324" i="46"/>
  <c r="G128" i="46"/>
  <c r="G211" i="46"/>
  <c r="G629" i="46"/>
  <c r="G184" i="46"/>
  <c r="G7" i="46"/>
  <c r="G728" i="46"/>
  <c r="G826" i="46"/>
  <c r="G580" i="46"/>
  <c r="G91" i="46"/>
  <c r="G290" i="46"/>
  <c r="G586" i="46"/>
  <c r="G16" i="46"/>
  <c r="G769" i="46"/>
  <c r="G159" i="46"/>
  <c r="G243" i="46"/>
  <c r="G362" i="46"/>
  <c r="G642" i="46"/>
  <c r="G278" i="46"/>
  <c r="G255" i="46"/>
  <c r="G557" i="46"/>
  <c r="G133" i="46"/>
  <c r="G271" i="46"/>
  <c r="G718" i="46"/>
  <c r="G556" i="46"/>
  <c r="G396" i="46"/>
  <c r="G428" i="46"/>
  <c r="G233" i="46"/>
  <c r="G34" i="46"/>
  <c r="G143" i="46"/>
  <c r="G820" i="46"/>
  <c r="G558" i="46"/>
  <c r="G214" i="46"/>
  <c r="G720" i="46"/>
  <c r="G200" i="46"/>
  <c r="G559" i="46"/>
  <c r="G38" i="46"/>
  <c r="G370" i="46"/>
  <c r="G85" i="46"/>
  <c r="G109" i="46"/>
  <c r="G72" i="46"/>
  <c r="G430" i="46"/>
  <c r="G236" i="46"/>
  <c r="G573" i="46"/>
  <c r="G816" i="46"/>
  <c r="G714" i="46"/>
  <c r="G176" i="46"/>
  <c r="G546" i="46"/>
  <c r="G547" i="46"/>
  <c r="G161" i="46"/>
  <c r="G320" i="46"/>
  <c r="G325" i="46"/>
  <c r="G398" i="46"/>
  <c r="G400" i="46"/>
  <c r="G339" i="46"/>
  <c r="G348" i="46"/>
  <c r="G369" i="46"/>
  <c r="G375" i="46"/>
  <c r="G420" i="46"/>
  <c r="G431" i="46"/>
  <c r="G103" i="46"/>
  <c r="G225" i="46"/>
  <c r="G120" i="46"/>
  <c r="G678" i="46"/>
  <c r="G82" i="46"/>
  <c r="G242" i="46"/>
  <c r="G639" i="46"/>
  <c r="G261" i="46"/>
  <c r="G766" i="46"/>
  <c r="G98" i="46"/>
  <c r="G150" i="46"/>
  <c r="G273" i="46"/>
  <c r="G142" i="46"/>
  <c r="G357" i="46"/>
  <c r="G673" i="46"/>
  <c r="G650" i="46"/>
  <c r="G46" i="46"/>
  <c r="G311" i="46"/>
  <c r="G118" i="46"/>
  <c r="G53" i="46"/>
  <c r="G157" i="46"/>
  <c r="G657" i="46"/>
  <c r="G246" i="46"/>
  <c r="G411" i="46"/>
  <c r="G383" i="46"/>
  <c r="G776" i="46"/>
  <c r="G166" i="46"/>
  <c r="G210" i="46"/>
  <c r="G654" i="46"/>
  <c r="G636" i="46"/>
  <c r="G138" i="46"/>
  <c r="G167" i="46"/>
  <c r="G363" i="46"/>
  <c r="G302" i="46"/>
  <c r="G94" i="46"/>
  <c r="G147" i="46"/>
  <c r="G379" i="46"/>
  <c r="G296" i="46"/>
  <c r="G537" i="46"/>
  <c r="G529" i="46"/>
  <c r="G223" i="46"/>
  <c r="G352" i="46"/>
  <c r="G622" i="46"/>
  <c r="G536" i="46"/>
  <c r="G329" i="46"/>
  <c r="G405" i="46"/>
  <c r="G572" i="46"/>
  <c r="G623" i="46"/>
  <c r="G437" i="46"/>
  <c r="G42" i="46"/>
  <c r="G125" i="46"/>
  <c r="G36" i="46"/>
  <c r="G264" i="46"/>
  <c r="G84" i="46"/>
  <c r="G289" i="46"/>
  <c r="G183" i="46"/>
  <c r="G190" i="46"/>
  <c r="G18" i="46"/>
  <c r="G247" i="46"/>
  <c r="G123" i="46"/>
  <c r="G22" i="46"/>
  <c r="G287" i="46"/>
  <c r="G234" i="46"/>
  <c r="G337" i="46"/>
  <c r="G61" i="46"/>
  <c r="G282" i="46"/>
  <c r="G361" i="46"/>
  <c r="G415" i="46"/>
  <c r="G300" i="46"/>
  <c r="G388" i="46"/>
  <c r="G137" i="46"/>
  <c r="G310" i="46"/>
  <c r="G69" i="46"/>
  <c r="G410" i="46"/>
  <c r="G203" i="46"/>
  <c r="G409" i="46"/>
  <c r="G252" i="46"/>
  <c r="G27" i="46"/>
  <c r="G301" i="46"/>
  <c r="G245" i="46"/>
  <c r="G104" i="46"/>
  <c r="G20" i="46"/>
  <c r="G422" i="46"/>
  <c r="G15" i="46"/>
  <c r="G392" i="46"/>
  <c r="G230" i="46"/>
  <c r="G747" i="46"/>
  <c r="G198" i="46"/>
  <c r="G192" i="46"/>
  <c r="G752" i="46"/>
  <c r="G108" i="46"/>
  <c r="G620" i="46"/>
  <c r="G77" i="46"/>
  <c r="G71" i="46"/>
  <c r="G340" i="46"/>
  <c r="G188" i="46"/>
  <c r="G735" i="46"/>
  <c r="G610" i="46"/>
  <c r="G703" i="46"/>
  <c r="G813" i="46"/>
  <c r="G528" i="46"/>
  <c r="G534" i="46"/>
  <c r="G540" i="46"/>
  <c r="G697" i="46"/>
  <c r="G700" i="46"/>
  <c r="G798" i="46"/>
  <c r="G561" i="46"/>
  <c r="G584" i="46"/>
  <c r="G624" i="46"/>
  <c r="G531" i="46"/>
  <c r="G532" i="46"/>
  <c r="G794" i="46"/>
  <c r="G687" i="46"/>
  <c r="G762" i="46"/>
  <c r="G768" i="46"/>
  <c r="G581" i="46"/>
  <c r="G611" i="46"/>
  <c r="G661" i="46"/>
  <c r="G729" i="46"/>
  <c r="G756" i="46"/>
  <c r="G804" i="46"/>
  <c r="G533" i="46"/>
  <c r="G592" i="46"/>
  <c r="G630" i="46"/>
  <c r="G530" i="46"/>
  <c r="G741" i="46"/>
  <c r="G742" i="46"/>
  <c r="G596" i="46"/>
  <c r="G597" i="46"/>
  <c r="G791" i="46"/>
  <c r="G545" i="46"/>
  <c r="G627" i="46"/>
  <c r="G691" i="46"/>
  <c r="G625" i="46"/>
  <c r="G733" i="46"/>
  <c r="G801" i="46"/>
  <c r="G618" i="46"/>
  <c r="G765" i="46"/>
  <c r="G805" i="46"/>
  <c r="G598" i="46"/>
  <c r="G749" i="46"/>
  <c r="G790" i="46"/>
  <c r="G600" i="46"/>
  <c r="G739" i="46"/>
  <c r="G773" i="46"/>
  <c r="G601" i="46"/>
  <c r="G723" i="46"/>
  <c r="G795" i="46"/>
  <c r="G684" i="46"/>
  <c r="G763" i="46"/>
  <c r="G560" i="46"/>
  <c r="G731" i="46"/>
  <c r="G667" i="46"/>
  <c r="G782" i="46"/>
  <c r="G628" i="46"/>
  <c r="G579" i="46"/>
  <c r="G587" i="46"/>
  <c r="G770" i="46"/>
  <c r="G719" i="46"/>
  <c r="G740" i="46"/>
  <c r="G713" i="46"/>
  <c r="G781" i="46"/>
  <c r="G709" i="46"/>
  <c r="G48" i="46"/>
  <c r="G750" i="46"/>
  <c r="G632" i="46"/>
  <c r="G784" i="46"/>
  <c r="G789" i="46"/>
  <c r="G775" i="46"/>
  <c r="G643" i="46"/>
  <c r="G647" i="46"/>
  <c r="G716" i="46"/>
  <c r="G633" i="46"/>
  <c r="G653" i="46"/>
  <c r="G640" i="46"/>
  <c r="G755" i="46"/>
  <c r="G722" i="46"/>
  <c r="G743" i="46"/>
  <c r="G663" i="46"/>
  <c r="G635" i="46"/>
  <c r="G575" i="46"/>
  <c r="G787" i="46"/>
  <c r="G778" i="46"/>
  <c r="G669" i="46"/>
  <c r="G649" i="46"/>
  <c r="G577" i="46"/>
  <c r="G554" i="46"/>
  <c r="G772" i="46"/>
  <c r="G758" i="46"/>
  <c r="G543" i="46"/>
  <c r="G637" i="46"/>
  <c r="G43" i="46"/>
  <c r="G552" i="46"/>
  <c r="G553" i="46"/>
  <c r="G555" i="46"/>
  <c r="G609" i="46"/>
  <c r="G717" i="46"/>
  <c r="G746" i="46"/>
  <c r="G818" i="46"/>
  <c r="G679" i="46"/>
  <c r="G680" i="46"/>
  <c r="G681" i="46"/>
  <c r="G682" i="46"/>
  <c r="G683" i="46"/>
  <c r="G565" i="46"/>
  <c r="G566" i="46"/>
  <c r="G567" i="46"/>
  <c r="G568" i="46"/>
  <c r="G569" i="46"/>
  <c r="G570" i="46"/>
  <c r="G571" i="46"/>
  <c r="G732" i="46"/>
  <c r="G698" i="46"/>
  <c r="G809" i="46"/>
  <c r="G802" i="46"/>
  <c r="G694" i="46"/>
  <c r="G319" i="46"/>
  <c r="G395" i="46"/>
  <c r="G343" i="46"/>
  <c r="G338" i="46"/>
  <c r="G426" i="46"/>
  <c r="G413" i="46"/>
  <c r="G393" i="46"/>
  <c r="G238" i="46"/>
  <c r="G194" i="46"/>
  <c r="G66" i="46"/>
  <c r="G402" i="46"/>
  <c r="G373" i="46"/>
  <c r="G110" i="46"/>
  <c r="G169" i="46"/>
  <c r="G345" i="46"/>
  <c r="G11" i="46"/>
  <c r="G19" i="46"/>
  <c r="G44" i="46"/>
  <c r="G58" i="46"/>
  <c r="G67" i="46"/>
  <c r="G74" i="46"/>
  <c r="G102" i="46"/>
  <c r="G116" i="46"/>
  <c r="G135" i="46"/>
  <c r="G141" i="46"/>
  <c r="G171" i="46"/>
  <c r="G177" i="46"/>
  <c r="G209" i="46"/>
  <c r="G217" i="46"/>
  <c r="G240" i="46"/>
  <c r="G244" i="46"/>
  <c r="G266" i="46"/>
  <c r="G272" i="46"/>
  <c r="G279" i="46"/>
  <c r="G297" i="46"/>
  <c r="G330" i="46"/>
  <c r="G331" i="46"/>
  <c r="G332" i="46"/>
  <c r="G353" i="46"/>
  <c r="G354" i="46"/>
  <c r="G355" i="46"/>
  <c r="G380" i="46"/>
  <c r="G381" i="46"/>
  <c r="G382" i="46"/>
  <c r="G406" i="46"/>
  <c r="G407" i="46"/>
  <c r="G408" i="46"/>
  <c r="G438" i="46"/>
  <c r="G439" i="46"/>
  <c r="G440" i="46"/>
  <c r="G827" i="46"/>
  <c r="G828" i="46"/>
  <c r="G829" i="46"/>
  <c r="G830" i="46"/>
  <c r="G831" i="46"/>
  <c r="G591" i="46"/>
  <c r="G619" i="46"/>
  <c r="G736" i="46"/>
  <c r="G725" i="46"/>
  <c r="G548" i="46"/>
  <c r="G638" i="46"/>
  <c r="G785" i="46"/>
  <c r="G774" i="46"/>
  <c r="G656" i="46"/>
  <c r="G655" i="46"/>
  <c r="G748" i="46"/>
  <c r="G434" i="46"/>
  <c r="G427" i="46"/>
  <c r="G312" i="46"/>
  <c r="G335" i="46"/>
  <c r="G367" i="46"/>
  <c r="G385" i="46"/>
  <c r="G419" i="46"/>
  <c r="G172" i="46"/>
  <c r="G433" i="46"/>
  <c r="K799" i="59"/>
  <c r="O799" i="59" s="1"/>
  <c r="L799" i="59"/>
  <c r="P799" i="59" s="1"/>
  <c r="M799" i="59"/>
  <c r="Q799" i="59" s="1"/>
  <c r="K798" i="59"/>
  <c r="O798" i="59" s="1"/>
  <c r="L798" i="59"/>
  <c r="P798" i="59" s="1"/>
  <c r="M798" i="59"/>
  <c r="Q798" i="59" s="1"/>
  <c r="H335" i="48"/>
  <c r="E320" i="70" l="1"/>
  <c r="D106" i="69"/>
  <c r="E106" i="69"/>
  <c r="F106" i="69"/>
  <c r="F268" i="25"/>
  <c r="A82" i="92"/>
  <c r="E76" i="92"/>
  <c r="A30" i="92"/>
  <c r="E24" i="92"/>
  <c r="K73" i="92"/>
  <c r="K72" i="92"/>
  <c r="J72" i="92"/>
  <c r="I72" i="92" s="1"/>
  <c r="E74" i="92"/>
  <c r="E73" i="92"/>
  <c r="C72" i="92" s="1"/>
  <c r="G72" i="92"/>
  <c r="G74" i="92"/>
  <c r="J73" i="92"/>
  <c r="I73" i="92" s="1"/>
  <c r="G73" i="92"/>
  <c r="K20" i="92"/>
  <c r="G22" i="92"/>
  <c r="G21" i="92"/>
  <c r="G20" i="92"/>
  <c r="E22" i="92"/>
  <c r="K21" i="92"/>
  <c r="J21" i="92"/>
  <c r="I21" i="92" s="1"/>
  <c r="E21" i="92"/>
  <c r="C20" i="92" s="1"/>
  <c r="J20" i="92"/>
  <c r="I20" i="92" s="1"/>
  <c r="D320" i="70"/>
  <c r="P7" i="91"/>
  <c r="O7" i="91" s="1"/>
  <c r="Q8" i="86"/>
  <c r="P8" i="86" s="1"/>
  <c r="P3" i="91"/>
  <c r="O3" i="91" s="1"/>
  <c r="Q4" i="86"/>
  <c r="P4" i="86" s="1"/>
  <c r="P4" i="91"/>
  <c r="O4" i="91" s="1"/>
  <c r="Q5" i="86"/>
  <c r="P5" i="86" s="1"/>
  <c r="P6" i="91"/>
  <c r="O6" i="91" s="1"/>
  <c r="Q7" i="86"/>
  <c r="P7" i="86" s="1"/>
  <c r="Q11" i="86"/>
  <c r="P11" i="86" s="1"/>
  <c r="F19" i="91"/>
  <c r="H22" i="91"/>
  <c r="Q15" i="91"/>
  <c r="P15" i="91"/>
  <c r="O15" i="91" s="1"/>
  <c r="K16" i="91"/>
  <c r="G16" i="91"/>
  <c r="P16" i="91"/>
  <c r="O16" i="91" s="1"/>
  <c r="N15" i="91"/>
  <c r="M15" i="91"/>
  <c r="N16" i="91"/>
  <c r="L15" i="91"/>
  <c r="K15" i="91"/>
  <c r="M16" i="91"/>
  <c r="L16" i="91"/>
  <c r="F15" i="91"/>
  <c r="D12" i="91"/>
  <c r="B12" i="91"/>
  <c r="L2076" i="83"/>
  <c r="M2076" i="83" s="1"/>
  <c r="J2076" i="83"/>
  <c r="L2077" i="83"/>
  <c r="I2077" i="83"/>
  <c r="G2087" i="83"/>
  <c r="D2083" i="83"/>
  <c r="F2087" i="83"/>
  <c r="D2085" i="83"/>
  <c r="B2085" i="83"/>
  <c r="I2083" i="83"/>
  <c r="F2088" i="83"/>
  <c r="G2088" i="83"/>
  <c r="D2091" i="83"/>
  <c r="B2091" i="83"/>
  <c r="D2098" i="83"/>
  <c r="B2098" i="83"/>
  <c r="L2049" i="83"/>
  <c r="I2049" i="83"/>
  <c r="J2048" i="83"/>
  <c r="L2048" i="83"/>
  <c r="M2048" i="83" s="1"/>
  <c r="G2067" i="83"/>
  <c r="G2066" i="83"/>
  <c r="D2062" i="83"/>
  <c r="F2066" i="83"/>
  <c r="F2067" i="83"/>
  <c r="D2064" i="83"/>
  <c r="I2062" i="83"/>
  <c r="B2064" i="83"/>
  <c r="G2060" i="83"/>
  <c r="D2055" i="83"/>
  <c r="F2060" i="83"/>
  <c r="I2055" i="83"/>
  <c r="G2059" i="83"/>
  <c r="F2059" i="83"/>
  <c r="B2057" i="83"/>
  <c r="D2057" i="83"/>
  <c r="G2032" i="83"/>
  <c r="F2032" i="83"/>
  <c r="G2031" i="83"/>
  <c r="F2031" i="83"/>
  <c r="D2027" i="83"/>
  <c r="D2029" i="83"/>
  <c r="B2029" i="83"/>
  <c r="I2027" i="83"/>
  <c r="G2025" i="83"/>
  <c r="F2025" i="83"/>
  <c r="I2020" i="83"/>
  <c r="G2024" i="83"/>
  <c r="D2020" i="83"/>
  <c r="F2024" i="83"/>
  <c r="D2022" i="83"/>
  <c r="B2022" i="83"/>
  <c r="J2013" i="83"/>
  <c r="L2014" i="83"/>
  <c r="I2014" i="83"/>
  <c r="L2013" i="83"/>
  <c r="M2013" i="83" s="1"/>
  <c r="G1997" i="83"/>
  <c r="F1997" i="83"/>
  <c r="I1992" i="83"/>
  <c r="G1996" i="83"/>
  <c r="D1992" i="83"/>
  <c r="F1996" i="83"/>
  <c r="D1994" i="83"/>
  <c r="B1994" i="83"/>
  <c r="G1990" i="83"/>
  <c r="F1990" i="83"/>
  <c r="I1985" i="83"/>
  <c r="D1985" i="83"/>
  <c r="B1987" i="83"/>
  <c r="G1989" i="83"/>
  <c r="F1989" i="83"/>
  <c r="D1987" i="83"/>
  <c r="L1979" i="83"/>
  <c r="L1978" i="83"/>
  <c r="M1978" i="83" s="1"/>
  <c r="J1978" i="83"/>
  <c r="I1979" i="83"/>
  <c r="G1947" i="83"/>
  <c r="D1943" i="83"/>
  <c r="F1947" i="83"/>
  <c r="D1945" i="83"/>
  <c r="F1948" i="83"/>
  <c r="B1945" i="83"/>
  <c r="G1948" i="83"/>
  <c r="I1943" i="83"/>
  <c r="D1951" i="83"/>
  <c r="B1951" i="83"/>
  <c r="B1958" i="83"/>
  <c r="D1958" i="83"/>
  <c r="L1937" i="83"/>
  <c r="L1936" i="83"/>
  <c r="M1936" i="83" s="1"/>
  <c r="J1936" i="83"/>
  <c r="I1937" i="83"/>
  <c r="G1912" i="83"/>
  <c r="D1908" i="83"/>
  <c r="F1912" i="83"/>
  <c r="D1910" i="83"/>
  <c r="F1913" i="83"/>
  <c r="B1910" i="83"/>
  <c r="I1908" i="83"/>
  <c r="G1913" i="83"/>
  <c r="D1916" i="83"/>
  <c r="B1916" i="83"/>
  <c r="D1923" i="83"/>
  <c r="B1923" i="83"/>
  <c r="L1901" i="83"/>
  <c r="M1901" i="83" s="1"/>
  <c r="J1901" i="83"/>
  <c r="L1902" i="83"/>
  <c r="I1902" i="83"/>
  <c r="L1866" i="83"/>
  <c r="M1866" i="83" s="1"/>
  <c r="J1866" i="83"/>
  <c r="L1867" i="83"/>
  <c r="I1867" i="83"/>
  <c r="G1877" i="83"/>
  <c r="D1873" i="83"/>
  <c r="F1877" i="83"/>
  <c r="D1875" i="83"/>
  <c r="B1875" i="83"/>
  <c r="F1878" i="83"/>
  <c r="G1878" i="83"/>
  <c r="I1873" i="83"/>
  <c r="D1881" i="83"/>
  <c r="B1881" i="83"/>
  <c r="D1888" i="83"/>
  <c r="B1888" i="83"/>
  <c r="G1857" i="83"/>
  <c r="F1857" i="83"/>
  <c r="I1852" i="83"/>
  <c r="G1856" i="83"/>
  <c r="D1852" i="83"/>
  <c r="F1856" i="83"/>
  <c r="D1854" i="83"/>
  <c r="B1854" i="83"/>
  <c r="D1847" i="83"/>
  <c r="G1850" i="83"/>
  <c r="F1850" i="83"/>
  <c r="I1845" i="83"/>
  <c r="G1849" i="83"/>
  <c r="D1845" i="83"/>
  <c r="F1849" i="83"/>
  <c r="B1847" i="83"/>
  <c r="L1838" i="83"/>
  <c r="M1838" i="83" s="1"/>
  <c r="L1839" i="83"/>
  <c r="I1839" i="83"/>
  <c r="J1838" i="83"/>
  <c r="D1812" i="83"/>
  <c r="B1812" i="83"/>
  <c r="G1815" i="83"/>
  <c r="D1810" i="83"/>
  <c r="F1815" i="83"/>
  <c r="I1810" i="83"/>
  <c r="G1814" i="83"/>
  <c r="F1814" i="83"/>
  <c r="J1803" i="83"/>
  <c r="L1804" i="83"/>
  <c r="I1804" i="83"/>
  <c r="L1803" i="83"/>
  <c r="M1803" i="83" s="1"/>
  <c r="G1822" i="83"/>
  <c r="G1821" i="83"/>
  <c r="D1817" i="83"/>
  <c r="F1821" i="83"/>
  <c r="D1819" i="83"/>
  <c r="I1817" i="83"/>
  <c r="B1819" i="83"/>
  <c r="F1822" i="83"/>
  <c r="L1761" i="83"/>
  <c r="M1761" i="83" s="1"/>
  <c r="I1762" i="83"/>
  <c r="J1761" i="83"/>
  <c r="L1762" i="83"/>
  <c r="G1772" i="83"/>
  <c r="D1768" i="83"/>
  <c r="F1772" i="83"/>
  <c r="D1770" i="83"/>
  <c r="B1770" i="83"/>
  <c r="F1773" i="83"/>
  <c r="G1773" i="83"/>
  <c r="I1768" i="83"/>
  <c r="D1776" i="83"/>
  <c r="B1776" i="83"/>
  <c r="D1783" i="83"/>
  <c r="B1783" i="83"/>
  <c r="L1691" i="83"/>
  <c r="M1691" i="83" s="1"/>
  <c r="J1691" i="83"/>
  <c r="L1692" i="83"/>
  <c r="I1692" i="83"/>
  <c r="F1703" i="83"/>
  <c r="I1698" i="83"/>
  <c r="G1703" i="83"/>
  <c r="G1702" i="83"/>
  <c r="D1698" i="83"/>
  <c r="F1702" i="83"/>
  <c r="D1700" i="83"/>
  <c r="B1700" i="83"/>
  <c r="A1719" i="83"/>
  <c r="B1712" i="83"/>
  <c r="D1706" i="83"/>
  <c r="B1706" i="83"/>
  <c r="L1621" i="83"/>
  <c r="M1621" i="83" s="1"/>
  <c r="J1621" i="83"/>
  <c r="L1622" i="83"/>
  <c r="I1622" i="83"/>
  <c r="A1649" i="83"/>
  <c r="B1642" i="83"/>
  <c r="D1636" i="83"/>
  <c r="B1636" i="83"/>
  <c r="F1633" i="83"/>
  <c r="I1628" i="83"/>
  <c r="G1632" i="83"/>
  <c r="D1628" i="83"/>
  <c r="F1632" i="83"/>
  <c r="G1633" i="83"/>
  <c r="D1630" i="83"/>
  <c r="B1630" i="83"/>
  <c r="I1552" i="83"/>
  <c r="L1551" i="83"/>
  <c r="M1551" i="83" s="1"/>
  <c r="J1551" i="83"/>
  <c r="L1552" i="83"/>
  <c r="F1563" i="83"/>
  <c r="I1558" i="83"/>
  <c r="G1562" i="83"/>
  <c r="D1558" i="83"/>
  <c r="F1562" i="83"/>
  <c r="D1560" i="83"/>
  <c r="G1563" i="83"/>
  <c r="B1560" i="83"/>
  <c r="D1566" i="83"/>
  <c r="B1566" i="83"/>
  <c r="A1579" i="83"/>
  <c r="B1572" i="83"/>
  <c r="L1412" i="83"/>
  <c r="I1412" i="83"/>
  <c r="L1411" i="83"/>
  <c r="M1411" i="83" s="1"/>
  <c r="J1411" i="83"/>
  <c r="A1439" i="83"/>
  <c r="B1432" i="83"/>
  <c r="D1426" i="83"/>
  <c r="B1426" i="83"/>
  <c r="G1423" i="83"/>
  <c r="F1423" i="83"/>
  <c r="I1418" i="83"/>
  <c r="G1422" i="83"/>
  <c r="D1418" i="83"/>
  <c r="F1422" i="83"/>
  <c r="D1420" i="83"/>
  <c r="B1420" i="83"/>
  <c r="L1272" i="83"/>
  <c r="I1272" i="83"/>
  <c r="L1271" i="83"/>
  <c r="M1271" i="83" s="1"/>
  <c r="J1271" i="83"/>
  <c r="D1286" i="83"/>
  <c r="B1286" i="83"/>
  <c r="A1299" i="83"/>
  <c r="B1292" i="83"/>
  <c r="G1283" i="83"/>
  <c r="F1283" i="83"/>
  <c r="I1278" i="83"/>
  <c r="B1280" i="83"/>
  <c r="G1282" i="83"/>
  <c r="D1278" i="83"/>
  <c r="F1282" i="83"/>
  <c r="D1280" i="83"/>
  <c r="D1146" i="83"/>
  <c r="B1146" i="83"/>
  <c r="G1143" i="83"/>
  <c r="F1143" i="83"/>
  <c r="I1138" i="83"/>
  <c r="G1142" i="83"/>
  <c r="D1138" i="83"/>
  <c r="F1142" i="83"/>
  <c r="D1140" i="83"/>
  <c r="B1140" i="83"/>
  <c r="A1159" i="83"/>
  <c r="B1152" i="83"/>
  <c r="L1132" i="83"/>
  <c r="I1132" i="83"/>
  <c r="J1131" i="83"/>
  <c r="L1131" i="83"/>
  <c r="M1131" i="83" s="1"/>
  <c r="L1061" i="83"/>
  <c r="M1061" i="83" s="1"/>
  <c r="J1061" i="83"/>
  <c r="I1062" i="83"/>
  <c r="L1062" i="83"/>
  <c r="F1073" i="83"/>
  <c r="I1068" i="83"/>
  <c r="G1072" i="83"/>
  <c r="D1068" i="83"/>
  <c r="F1072" i="83"/>
  <c r="D1070" i="83"/>
  <c r="B1070" i="83"/>
  <c r="G1073" i="83"/>
  <c r="A1089" i="83"/>
  <c r="B1082" i="83"/>
  <c r="D1076" i="83"/>
  <c r="B1076" i="83"/>
  <c r="I992" i="83"/>
  <c r="L991" i="83"/>
  <c r="M991" i="83" s="1"/>
  <c r="J991" i="83"/>
  <c r="L992" i="83"/>
  <c r="F1003" i="83"/>
  <c r="I998" i="83"/>
  <c r="G1002" i="83"/>
  <c r="D998" i="83"/>
  <c r="F1002" i="83"/>
  <c r="D1000" i="83"/>
  <c r="B1000" i="83"/>
  <c r="G1003" i="83"/>
  <c r="D1006" i="83"/>
  <c r="B1006" i="83"/>
  <c r="A1019" i="83"/>
  <c r="B1012" i="83"/>
  <c r="L921" i="83"/>
  <c r="M921" i="83" s="1"/>
  <c r="I922" i="83"/>
  <c r="J921" i="83"/>
  <c r="L922" i="83"/>
  <c r="F933" i="83"/>
  <c r="I928" i="83"/>
  <c r="G932" i="83"/>
  <c r="D928" i="83"/>
  <c r="F932" i="83"/>
  <c r="G933" i="83"/>
  <c r="D930" i="83"/>
  <c r="B930" i="83"/>
  <c r="D936" i="83"/>
  <c r="B936" i="83"/>
  <c r="A949" i="83"/>
  <c r="B942" i="83"/>
  <c r="J851" i="83"/>
  <c r="L851" i="83"/>
  <c r="M851" i="83" s="1"/>
  <c r="L852" i="83"/>
  <c r="I852" i="83"/>
  <c r="D866" i="83"/>
  <c r="B866" i="83"/>
  <c r="A879" i="83"/>
  <c r="B872" i="83"/>
  <c r="F863" i="83"/>
  <c r="I858" i="83"/>
  <c r="G862" i="83"/>
  <c r="D858" i="83"/>
  <c r="F862" i="83"/>
  <c r="D860" i="83"/>
  <c r="G863" i="83"/>
  <c r="B860" i="83"/>
  <c r="I782" i="83"/>
  <c r="L781" i="83"/>
  <c r="M781" i="83" s="1"/>
  <c r="J781" i="83"/>
  <c r="L782" i="83"/>
  <c r="F793" i="83"/>
  <c r="I788" i="83"/>
  <c r="G792" i="83"/>
  <c r="D788" i="83"/>
  <c r="F792" i="83"/>
  <c r="D790" i="83"/>
  <c r="G793" i="83"/>
  <c r="B790" i="83"/>
  <c r="A809" i="83"/>
  <c r="B802" i="83"/>
  <c r="D796" i="83"/>
  <c r="B796" i="83"/>
  <c r="L711" i="83"/>
  <c r="M711" i="83" s="1"/>
  <c r="I712" i="83"/>
  <c r="J711" i="83"/>
  <c r="L712" i="83"/>
  <c r="D726" i="83"/>
  <c r="B726" i="83"/>
  <c r="A739" i="83"/>
  <c r="B732" i="83"/>
  <c r="F723" i="83"/>
  <c r="I718" i="83"/>
  <c r="G722" i="83"/>
  <c r="D718" i="83"/>
  <c r="F722" i="83"/>
  <c r="D720" i="83"/>
  <c r="B720" i="83"/>
  <c r="G723" i="83"/>
  <c r="A669" i="83"/>
  <c r="B662" i="83"/>
  <c r="D656" i="83"/>
  <c r="B656" i="83"/>
  <c r="F653" i="83"/>
  <c r="I648" i="83"/>
  <c r="G652" i="83"/>
  <c r="D648" i="83"/>
  <c r="F652" i="83"/>
  <c r="D650" i="83"/>
  <c r="B650" i="83"/>
  <c r="G653" i="83"/>
  <c r="L641" i="83"/>
  <c r="M641" i="83" s="1"/>
  <c r="J641" i="83"/>
  <c r="L642" i="83"/>
  <c r="I642" i="83"/>
  <c r="L571" i="83"/>
  <c r="M571" i="83" s="1"/>
  <c r="L572" i="83"/>
  <c r="J571" i="83"/>
  <c r="I572" i="83"/>
  <c r="D586" i="83"/>
  <c r="B586" i="83"/>
  <c r="A599" i="83"/>
  <c r="B592" i="83"/>
  <c r="F583" i="83"/>
  <c r="I578" i="83"/>
  <c r="G582" i="83"/>
  <c r="D578" i="83"/>
  <c r="F582" i="83"/>
  <c r="D580" i="83"/>
  <c r="B580" i="83"/>
  <c r="G583" i="83"/>
  <c r="F513" i="83"/>
  <c r="I508" i="83"/>
  <c r="G512" i="83"/>
  <c r="D508" i="83"/>
  <c r="F512" i="83"/>
  <c r="D510" i="83"/>
  <c r="B510" i="83"/>
  <c r="G513" i="83"/>
  <c r="D516" i="83"/>
  <c r="B516" i="83"/>
  <c r="A529" i="83"/>
  <c r="B522" i="83"/>
  <c r="I502" i="83"/>
  <c r="L501" i="83"/>
  <c r="M501" i="83" s="1"/>
  <c r="L502" i="83"/>
  <c r="J501" i="83"/>
  <c r="I432" i="83"/>
  <c r="L431" i="83"/>
  <c r="M431" i="83" s="1"/>
  <c r="J431" i="83"/>
  <c r="L432" i="83"/>
  <c r="F443" i="83"/>
  <c r="I438" i="83"/>
  <c r="G442" i="83"/>
  <c r="D438" i="83"/>
  <c r="F442" i="83"/>
  <c r="B440" i="83"/>
  <c r="G443" i="83"/>
  <c r="D440" i="83"/>
  <c r="D446" i="83"/>
  <c r="B446" i="83"/>
  <c r="A459" i="83"/>
  <c r="B452" i="83"/>
  <c r="J361" i="83"/>
  <c r="L362" i="83"/>
  <c r="L361" i="83"/>
  <c r="M361" i="83" s="1"/>
  <c r="I362" i="83"/>
  <c r="F373" i="83"/>
  <c r="I368" i="83"/>
  <c r="G372" i="83"/>
  <c r="D368" i="83"/>
  <c r="F372" i="83"/>
  <c r="D370" i="83"/>
  <c r="B370" i="83"/>
  <c r="G373" i="83"/>
  <c r="D376" i="83"/>
  <c r="B376" i="83"/>
  <c r="A389" i="83"/>
  <c r="B382" i="83"/>
  <c r="J291" i="83"/>
  <c r="L292" i="83"/>
  <c r="L291" i="83"/>
  <c r="M291" i="83" s="1"/>
  <c r="I292" i="83"/>
  <c r="F303" i="83"/>
  <c r="I298" i="83"/>
  <c r="G302" i="83"/>
  <c r="D298" i="83"/>
  <c r="F302" i="83"/>
  <c r="D300" i="83"/>
  <c r="B300" i="83"/>
  <c r="G303" i="83"/>
  <c r="D306" i="83"/>
  <c r="B306" i="83"/>
  <c r="A319" i="83"/>
  <c r="B312" i="83"/>
  <c r="D272" i="83"/>
  <c r="B272" i="83"/>
  <c r="G275" i="83"/>
  <c r="F275" i="83"/>
  <c r="I270" i="83"/>
  <c r="F274" i="83"/>
  <c r="G274" i="83"/>
  <c r="D270" i="83"/>
  <c r="G282" i="83"/>
  <c r="F282" i="83"/>
  <c r="G281" i="83"/>
  <c r="D277" i="83"/>
  <c r="F281" i="83"/>
  <c r="D279" i="83"/>
  <c r="I277" i="83"/>
  <c r="B279" i="83"/>
  <c r="L264" i="83"/>
  <c r="L263" i="83"/>
  <c r="M263" i="83" s="1"/>
  <c r="I264" i="83"/>
  <c r="J263" i="83"/>
  <c r="L221" i="83"/>
  <c r="M221" i="83" s="1"/>
  <c r="J221" i="83"/>
  <c r="L222" i="83"/>
  <c r="I222" i="83"/>
  <c r="B236" i="83"/>
  <c r="D236" i="83"/>
  <c r="B243" i="83"/>
  <c r="D243" i="83"/>
  <c r="G232" i="83"/>
  <c r="D228" i="83"/>
  <c r="D230" i="83"/>
  <c r="B230" i="83"/>
  <c r="G233" i="83"/>
  <c r="F233" i="83"/>
  <c r="F232" i="83"/>
  <c r="I228" i="83"/>
  <c r="B202" i="83"/>
  <c r="D200" i="83"/>
  <c r="G204" i="83"/>
  <c r="D202" i="83"/>
  <c r="G205" i="83"/>
  <c r="F204" i="83"/>
  <c r="F205" i="83"/>
  <c r="I200" i="83"/>
  <c r="G212" i="83"/>
  <c r="F212" i="83"/>
  <c r="I207" i="83"/>
  <c r="G211" i="83"/>
  <c r="D207" i="83"/>
  <c r="F211" i="83"/>
  <c r="D209" i="83"/>
  <c r="B209" i="83"/>
  <c r="L193" i="83"/>
  <c r="M193" i="83" s="1"/>
  <c r="L194" i="83"/>
  <c r="I194" i="83"/>
  <c r="J193" i="83"/>
  <c r="L151" i="83"/>
  <c r="M151" i="83" s="1"/>
  <c r="J151" i="83"/>
  <c r="L152" i="83"/>
  <c r="I152" i="83"/>
  <c r="G162" i="83"/>
  <c r="D158" i="83"/>
  <c r="F162" i="83"/>
  <c r="D160" i="83"/>
  <c r="B160" i="83"/>
  <c r="G163" i="83"/>
  <c r="I158" i="83"/>
  <c r="F163" i="83"/>
  <c r="B173" i="83"/>
  <c r="D173" i="83"/>
  <c r="D166" i="83"/>
  <c r="B166" i="83"/>
  <c r="G135" i="83"/>
  <c r="D130" i="83"/>
  <c r="F134" i="83"/>
  <c r="B132" i="83"/>
  <c r="F135" i="83"/>
  <c r="I130" i="83"/>
  <c r="D132" i="83"/>
  <c r="G134" i="83"/>
  <c r="G142" i="83"/>
  <c r="F142" i="83"/>
  <c r="I137" i="83"/>
  <c r="G141" i="83"/>
  <c r="D137" i="83"/>
  <c r="F141" i="83"/>
  <c r="D139" i="83"/>
  <c r="B139" i="83"/>
  <c r="I124" i="83"/>
  <c r="L124" i="83"/>
  <c r="L123" i="83"/>
  <c r="M123" i="83" s="1"/>
  <c r="J123" i="83"/>
  <c r="B97" i="83"/>
  <c r="G99" i="83"/>
  <c r="G100" i="83"/>
  <c r="D95" i="83"/>
  <c r="F100" i="83"/>
  <c r="I95" i="83"/>
  <c r="F99" i="83"/>
  <c r="D97" i="83"/>
  <c r="G107" i="83"/>
  <c r="F107" i="83"/>
  <c r="I102" i="83"/>
  <c r="G106" i="83"/>
  <c r="D102" i="83"/>
  <c r="F106" i="83"/>
  <c r="D104" i="83"/>
  <c r="B104" i="83"/>
  <c r="J88" i="83"/>
  <c r="L88" i="83"/>
  <c r="M88" i="83" s="1"/>
  <c r="L89" i="83"/>
  <c r="I89" i="83"/>
  <c r="J39" i="83"/>
  <c r="L39" i="83"/>
  <c r="M39" i="83" s="1"/>
  <c r="L40" i="83"/>
  <c r="I40" i="83"/>
  <c r="J67" i="83"/>
  <c r="L67" i="83"/>
  <c r="M67" i="83" s="1"/>
  <c r="L68" i="83"/>
  <c r="I68" i="83"/>
  <c r="I61" i="83"/>
  <c r="J60" i="83"/>
  <c r="L60" i="83"/>
  <c r="M60" i="83" s="1"/>
  <c r="L61" i="83"/>
  <c r="I26" i="90"/>
  <c r="J25" i="90"/>
  <c r="L25" i="90"/>
  <c r="M25" i="90" s="1"/>
  <c r="L26" i="90"/>
  <c r="J32" i="90"/>
  <c r="L32" i="90"/>
  <c r="M32" i="90" s="1"/>
  <c r="L33" i="90"/>
  <c r="I33" i="90"/>
  <c r="L33" i="83"/>
  <c r="I33" i="83"/>
  <c r="L25" i="83"/>
  <c r="M25" i="83" s="1"/>
  <c r="L26" i="83"/>
  <c r="I26" i="83"/>
  <c r="J32" i="83"/>
  <c r="J25" i="83"/>
  <c r="J21" i="88"/>
  <c r="I21" i="88" s="1"/>
  <c r="J20" i="88"/>
  <c r="I20" i="88" s="1"/>
  <c r="G22" i="88"/>
  <c r="G21" i="88"/>
  <c r="E22" i="88"/>
  <c r="K21" i="88"/>
  <c r="E21" i="88"/>
  <c r="C20" i="88" s="1"/>
  <c r="K20" i="88"/>
  <c r="G20" i="88"/>
  <c r="E24" i="88"/>
  <c r="A30" i="88"/>
  <c r="D10" i="86"/>
  <c r="B10" i="86"/>
  <c r="L32" i="83"/>
  <c r="M32" i="83" s="1"/>
  <c r="X12" i="39"/>
  <c r="L32" i="53"/>
  <c r="O14" i="86"/>
  <c r="N14" i="86" s="1"/>
  <c r="R13" i="86"/>
  <c r="Q13" i="86"/>
  <c r="P13" i="86" s="1"/>
  <c r="O13" i="86"/>
  <c r="N13" i="86" s="1"/>
  <c r="M13" i="86"/>
  <c r="L13" i="86"/>
  <c r="K13" i="86"/>
  <c r="F13" i="86"/>
  <c r="Q14" i="86"/>
  <c r="P14" i="86" s="1"/>
  <c r="K14" i="86"/>
  <c r="G14" i="86"/>
  <c r="L14" i="86"/>
  <c r="M14" i="86"/>
  <c r="A20" i="86"/>
  <c r="F17" i="86"/>
  <c r="E55" i="70"/>
  <c r="E39" i="70"/>
  <c r="D55" i="70"/>
  <c r="D39" i="70"/>
  <c r="E109" i="70"/>
  <c r="E34" i="70"/>
  <c r="E47" i="70"/>
  <c r="E50" i="70"/>
  <c r="E54" i="70"/>
  <c r="E137" i="70"/>
  <c r="E61" i="70"/>
  <c r="E214" i="70"/>
  <c r="E31" i="70"/>
  <c r="E107" i="70"/>
  <c r="E124" i="70"/>
  <c r="E131" i="70"/>
  <c r="E58" i="70"/>
  <c r="E188" i="70"/>
  <c r="E190" i="70"/>
  <c r="E125" i="70"/>
  <c r="E127" i="70"/>
  <c r="E48" i="70"/>
  <c r="E59" i="70"/>
  <c r="E241" i="70"/>
  <c r="E4" i="70"/>
  <c r="E116" i="70"/>
  <c r="E41" i="70"/>
  <c r="E132" i="70"/>
  <c r="E60" i="70"/>
  <c r="E3" i="70"/>
  <c r="E210" i="70"/>
  <c r="E104" i="70"/>
  <c r="E32" i="70"/>
  <c r="E110" i="70"/>
  <c r="E114" i="70"/>
  <c r="E37" i="70"/>
  <c r="E49" i="70"/>
  <c r="E17" i="70"/>
  <c r="E138" i="70"/>
  <c r="E5" i="70"/>
  <c r="E213" i="70"/>
  <c r="E38" i="70"/>
  <c r="E43" i="70"/>
  <c r="E128" i="70"/>
  <c r="E136" i="70"/>
  <c r="E240" i="70"/>
  <c r="E215" i="70"/>
  <c r="E105" i="70"/>
  <c r="E35" i="70"/>
  <c r="E42" i="70"/>
  <c r="E134" i="70"/>
  <c r="E108" i="70"/>
  <c r="E120" i="70"/>
  <c r="E46" i="70"/>
  <c r="E51" i="70"/>
  <c r="E53" i="70"/>
  <c r="E56" i="70"/>
  <c r="E113" i="70"/>
  <c r="E122" i="70"/>
  <c r="E126" i="70"/>
  <c r="E45" i="70"/>
  <c r="E191" i="70"/>
  <c r="E18" i="70"/>
  <c r="E140" i="70"/>
  <c r="E117" i="70"/>
  <c r="E2" i="70"/>
  <c r="E192" i="70"/>
  <c r="E139" i="70"/>
  <c r="E106" i="70"/>
  <c r="E33" i="70"/>
  <c r="E111" i="70"/>
  <c r="E52" i="70"/>
  <c r="E194" i="70"/>
  <c r="E185" i="70"/>
  <c r="E195" i="70"/>
  <c r="E216" i="70"/>
  <c r="E72" i="70"/>
  <c r="E10" i="70"/>
  <c r="E200" i="70"/>
  <c r="E11" i="70"/>
  <c r="E245" i="70"/>
  <c r="E93" i="70"/>
  <c r="E193" i="70"/>
  <c r="E64" i="70"/>
  <c r="E66" i="70"/>
  <c r="E69" i="70"/>
  <c r="E145" i="70"/>
  <c r="E78" i="70"/>
  <c r="E154" i="70"/>
  <c r="E158" i="70"/>
  <c r="E81" i="70"/>
  <c r="E84" i="70"/>
  <c r="E243" i="70"/>
  <c r="E226" i="70"/>
  <c r="E228" i="70"/>
  <c r="E164" i="70"/>
  <c r="E166" i="70"/>
  <c r="E12" i="70"/>
  <c r="E204" i="70"/>
  <c r="E246" i="70"/>
  <c r="E91" i="70"/>
  <c r="E249" i="70"/>
  <c r="E206" i="70"/>
  <c r="E207" i="70"/>
  <c r="E36" i="70"/>
  <c r="E121" i="70"/>
  <c r="E217" i="70"/>
  <c r="E143" i="70"/>
  <c r="E220" i="70"/>
  <c r="E222" i="70"/>
  <c r="E197" i="70"/>
  <c r="E205" i="70"/>
  <c r="E248" i="70"/>
  <c r="E65" i="70"/>
  <c r="E6" i="70"/>
  <c r="E211" i="70"/>
  <c r="E144" i="70"/>
  <c r="E242" i="70"/>
  <c r="E196" i="70"/>
  <c r="E225" i="70"/>
  <c r="E199" i="70"/>
  <c r="E30" i="70"/>
  <c r="E172" i="70"/>
  <c r="E187" i="70"/>
  <c r="E175" i="70"/>
  <c r="E94" i="70"/>
  <c r="E40" i="70"/>
  <c r="E25" i="70"/>
  <c r="E67" i="70"/>
  <c r="E223" i="70"/>
  <c r="E73" i="70"/>
  <c r="E74" i="70"/>
  <c r="E155" i="70"/>
  <c r="E83" i="70"/>
  <c r="E85" i="70"/>
  <c r="E27" i="70"/>
  <c r="E171" i="70"/>
  <c r="E253" i="70"/>
  <c r="E231" i="70"/>
  <c r="E57" i="70"/>
  <c r="E221" i="70"/>
  <c r="E152" i="70"/>
  <c r="E79" i="70"/>
  <c r="E153" i="70"/>
  <c r="E89" i="70"/>
  <c r="E229" i="70"/>
  <c r="E44" i="70"/>
  <c r="E19" i="70"/>
  <c r="E20" i="70"/>
  <c r="E9" i="70"/>
  <c r="E76" i="70"/>
  <c r="E239" i="70"/>
  <c r="E90" i="70"/>
  <c r="E170" i="70"/>
  <c r="E212" i="70"/>
  <c r="E173" i="70"/>
  <c r="E24" i="70"/>
  <c r="E142" i="70"/>
  <c r="E219" i="70"/>
  <c r="E77" i="70"/>
  <c r="E238" i="70"/>
  <c r="E224" i="70"/>
  <c r="E156" i="70"/>
  <c r="E202" i="70"/>
  <c r="E203" i="70"/>
  <c r="E244" i="70"/>
  <c r="E146" i="70"/>
  <c r="E70" i="70"/>
  <c r="E160" i="70"/>
  <c r="E227" i="70"/>
  <c r="E87" i="70"/>
  <c r="E230" i="70"/>
  <c r="E26" i="70"/>
  <c r="E29" i="70"/>
  <c r="E8" i="70"/>
  <c r="E252" i="70"/>
  <c r="E247" i="70"/>
  <c r="E71" i="70"/>
  <c r="E198" i="70"/>
  <c r="E201" i="70"/>
  <c r="E21" i="70"/>
  <c r="E161" i="70"/>
  <c r="E174" i="70"/>
  <c r="E208" i="70"/>
  <c r="E62" i="70"/>
  <c r="E141" i="70"/>
  <c r="E7" i="70"/>
  <c r="E68" i="70"/>
  <c r="E148" i="70"/>
  <c r="E218" i="70"/>
  <c r="E149" i="70"/>
  <c r="E150" i="70"/>
  <c r="E75" i="70"/>
  <c r="E186" i="70"/>
  <c r="E237" i="70"/>
  <c r="E180" i="70"/>
  <c r="E262" i="70"/>
  <c r="E119" i="70"/>
  <c r="E280" i="70"/>
  <c r="E290" i="70"/>
  <c r="E300" i="70"/>
  <c r="E311" i="70"/>
  <c r="E151" i="70"/>
  <c r="E177" i="70"/>
  <c r="E16" i="70"/>
  <c r="E100" i="70"/>
  <c r="E112" i="70"/>
  <c r="E271" i="70"/>
  <c r="E281" i="70"/>
  <c r="E291" i="70"/>
  <c r="E301" i="70"/>
  <c r="E312" i="70"/>
  <c r="E307" i="70"/>
  <c r="E23" i="70"/>
  <c r="E101" i="70"/>
  <c r="E263" i="70"/>
  <c r="E272" i="70"/>
  <c r="E282" i="70"/>
  <c r="E133" i="70"/>
  <c r="E302" i="70"/>
  <c r="E313" i="70"/>
  <c r="E102" i="70"/>
  <c r="E182" i="70"/>
  <c r="E264" i="70"/>
  <c r="E273" i="70"/>
  <c r="E283" i="70"/>
  <c r="E292" i="70"/>
  <c r="E303" i="70"/>
  <c r="E314" i="70"/>
  <c r="E157" i="70"/>
  <c r="E162" i="70"/>
  <c r="E22" i="70"/>
  <c r="E254" i="70"/>
  <c r="E265" i="70"/>
  <c r="E123" i="70"/>
  <c r="E284" i="70"/>
  <c r="E293" i="70"/>
  <c r="E304" i="70"/>
  <c r="E315" i="70"/>
  <c r="E258" i="70"/>
  <c r="E319" i="70"/>
  <c r="E147" i="70"/>
  <c r="E250" i="70"/>
  <c r="E86" i="70"/>
  <c r="E28" i="70"/>
  <c r="E235" i="70"/>
  <c r="E103" i="70"/>
  <c r="E183" i="70"/>
  <c r="E115" i="70"/>
  <c r="E274" i="70"/>
  <c r="E129" i="70"/>
  <c r="E135" i="70"/>
  <c r="E305" i="70"/>
  <c r="E316" i="70"/>
  <c r="E296" i="70"/>
  <c r="E167" i="70"/>
  <c r="E236" i="70"/>
  <c r="E256" i="70"/>
  <c r="E266" i="70"/>
  <c r="E275" i="70"/>
  <c r="E285" i="70"/>
  <c r="E294" i="70"/>
  <c r="E13" i="70"/>
  <c r="E317" i="70"/>
  <c r="E165" i="70"/>
  <c r="E168" i="70"/>
  <c r="E189" i="70"/>
  <c r="E178" i="70"/>
  <c r="E233" i="70"/>
  <c r="E257" i="70"/>
  <c r="E267" i="70"/>
  <c r="E276" i="70"/>
  <c r="E130" i="70"/>
  <c r="E295" i="70"/>
  <c r="E306" i="70"/>
  <c r="E318" i="70"/>
  <c r="E98" i="70"/>
  <c r="E286" i="70"/>
  <c r="E63" i="70"/>
  <c r="E159" i="70"/>
  <c r="E92" i="70"/>
  <c r="E209" i="70"/>
  <c r="E259" i="70"/>
  <c r="E268" i="70"/>
  <c r="E278" i="70"/>
  <c r="E287" i="70"/>
  <c r="E297" i="70"/>
  <c r="E308" i="70"/>
  <c r="E169" i="70"/>
  <c r="E95" i="70"/>
  <c r="E118" i="70"/>
  <c r="E82" i="70"/>
  <c r="E14" i="70"/>
  <c r="E251" i="70"/>
  <c r="E15" i="70"/>
  <c r="E179" i="70"/>
  <c r="E260" i="70"/>
  <c r="E269" i="70"/>
  <c r="E279" i="70"/>
  <c r="E288" i="70"/>
  <c r="E298" i="70"/>
  <c r="E309" i="70"/>
  <c r="E80" i="70"/>
  <c r="E163" i="70"/>
  <c r="E88" i="70"/>
  <c r="E232" i="70"/>
  <c r="E96" i="70"/>
  <c r="E97" i="70"/>
  <c r="E99" i="70"/>
  <c r="E181" i="70"/>
  <c r="E261" i="70"/>
  <c r="E270" i="70"/>
  <c r="E184" i="70"/>
  <c r="E289" i="70"/>
  <c r="E299" i="70"/>
  <c r="E310" i="70"/>
  <c r="E176" i="70"/>
  <c r="E234" i="70"/>
  <c r="E277" i="70"/>
  <c r="D314" i="70"/>
  <c r="D105" i="70"/>
  <c r="D35" i="70"/>
  <c r="D42" i="70"/>
  <c r="D134" i="70"/>
  <c r="D25" i="70"/>
  <c r="D315" i="70"/>
  <c r="D108" i="70"/>
  <c r="D120" i="70"/>
  <c r="D46" i="70"/>
  <c r="D51" i="70"/>
  <c r="D53" i="70"/>
  <c r="D316" i="70"/>
  <c r="D113" i="70"/>
  <c r="D122" i="70"/>
  <c r="D126" i="70"/>
  <c r="D45" i="70"/>
  <c r="D317" i="70"/>
  <c r="D117" i="70"/>
  <c r="D318" i="70"/>
  <c r="D106" i="70"/>
  <c r="D33" i="70"/>
  <c r="D111" i="70"/>
  <c r="D52" i="70"/>
  <c r="D319" i="70"/>
  <c r="D36" i="70"/>
  <c r="D121" i="70"/>
  <c r="D40" i="70"/>
  <c r="D44" i="70"/>
  <c r="D169" i="70"/>
  <c r="D109" i="70"/>
  <c r="D34" i="70"/>
  <c r="D47" i="70"/>
  <c r="D50" i="70"/>
  <c r="D54" i="70"/>
  <c r="D137" i="70"/>
  <c r="D61" i="70"/>
  <c r="D214" i="70"/>
  <c r="D31" i="70"/>
  <c r="D107" i="70"/>
  <c r="D124" i="70"/>
  <c r="D131" i="70"/>
  <c r="D190" i="70"/>
  <c r="D125" i="70"/>
  <c r="D127" i="70"/>
  <c r="D48" i="70"/>
  <c r="D59" i="70"/>
  <c r="D241" i="70"/>
  <c r="D4" i="70"/>
  <c r="D116" i="70"/>
  <c r="D41" i="70"/>
  <c r="D132" i="70"/>
  <c r="D104" i="70"/>
  <c r="D32" i="70"/>
  <c r="D110" i="70"/>
  <c r="D114" i="70"/>
  <c r="D37" i="70"/>
  <c r="D49" i="70"/>
  <c r="D213" i="70"/>
  <c r="D38" i="70"/>
  <c r="D43" i="70"/>
  <c r="D128" i="70"/>
  <c r="D136" i="70"/>
  <c r="D240" i="70"/>
  <c r="D2" i="70"/>
  <c r="D191" i="70"/>
  <c r="D58" i="70"/>
  <c r="D18" i="70"/>
  <c r="D188" i="70"/>
  <c r="D185" i="70"/>
  <c r="D195" i="70"/>
  <c r="D216" i="70"/>
  <c r="D72" i="70"/>
  <c r="D10" i="70"/>
  <c r="D200" i="70"/>
  <c r="D11" i="70"/>
  <c r="D64" i="70"/>
  <c r="D66" i="70"/>
  <c r="D69" i="70"/>
  <c r="D145" i="70"/>
  <c r="D78" i="70"/>
  <c r="D154" i="70"/>
  <c r="D158" i="70"/>
  <c r="D81" i="70"/>
  <c r="D84" i="70"/>
  <c r="D243" i="70"/>
  <c r="D226" i="70"/>
  <c r="D228" i="70"/>
  <c r="D164" i="70"/>
  <c r="D166" i="70"/>
  <c r="D12" i="70"/>
  <c r="D204" i="70"/>
  <c r="D217" i="70"/>
  <c r="D143" i="70"/>
  <c r="D220" i="70"/>
  <c r="D222" i="70"/>
  <c r="D197" i="70"/>
  <c r="D205" i="70"/>
  <c r="D139" i="70"/>
  <c r="D193" i="70"/>
  <c r="D5" i="70"/>
  <c r="D65" i="70"/>
  <c r="D6" i="70"/>
  <c r="D211" i="70"/>
  <c r="D144" i="70"/>
  <c r="D242" i="70"/>
  <c r="D196" i="70"/>
  <c r="D225" i="70"/>
  <c r="D199" i="70"/>
  <c r="D30" i="70"/>
  <c r="D172" i="70"/>
  <c r="D215" i="70"/>
  <c r="D67" i="70"/>
  <c r="D223" i="70"/>
  <c r="D73" i="70"/>
  <c r="D74" i="70"/>
  <c r="D155" i="70"/>
  <c r="D83" i="70"/>
  <c r="D85" i="70"/>
  <c r="D27" i="70"/>
  <c r="D210" i="70"/>
  <c r="D19" i="70"/>
  <c r="D221" i="70"/>
  <c r="D152" i="70"/>
  <c r="D79" i="70"/>
  <c r="D153" i="70"/>
  <c r="D89" i="70"/>
  <c r="D20" i="70"/>
  <c r="D9" i="70"/>
  <c r="D76" i="70"/>
  <c r="D239" i="70"/>
  <c r="D3" i="70"/>
  <c r="D142" i="70"/>
  <c r="D219" i="70"/>
  <c r="D77" i="70"/>
  <c r="D238" i="70"/>
  <c r="D224" i="70"/>
  <c r="D156" i="70"/>
  <c r="D202" i="70"/>
  <c r="D203" i="70"/>
  <c r="D244" i="70"/>
  <c r="D146" i="70"/>
  <c r="D70" i="70"/>
  <c r="D160" i="70"/>
  <c r="D227" i="70"/>
  <c r="D192" i="70"/>
  <c r="D140" i="70"/>
  <c r="D194" i="70"/>
  <c r="D26" i="70"/>
  <c r="D29" i="70"/>
  <c r="D8" i="70"/>
  <c r="D252" i="70"/>
  <c r="D247" i="70"/>
  <c r="D71" i="70"/>
  <c r="D198" i="70"/>
  <c r="D201" i="70"/>
  <c r="D21" i="70"/>
  <c r="D17" i="70"/>
  <c r="D60" i="70"/>
  <c r="D141" i="70"/>
  <c r="D7" i="70"/>
  <c r="D68" i="70"/>
  <c r="D148" i="70"/>
  <c r="D218" i="70"/>
  <c r="D149" i="70"/>
  <c r="D150" i="70"/>
  <c r="D75" i="70"/>
  <c r="D157" i="70"/>
  <c r="D82" i="70"/>
  <c r="D159" i="70"/>
  <c r="D186" i="70"/>
  <c r="D162" i="70"/>
  <c r="D22" i="70"/>
  <c r="D167" i="70"/>
  <c r="D80" i="70"/>
  <c r="D248" i="70"/>
  <c r="D171" i="70"/>
  <c r="D259" i="70"/>
  <c r="D56" i="70"/>
  <c r="D88" i="70"/>
  <c r="D168" i="70"/>
  <c r="D229" i="70"/>
  <c r="D232" i="70"/>
  <c r="D96" i="70"/>
  <c r="D97" i="70"/>
  <c r="D99" i="70"/>
  <c r="D181" i="70"/>
  <c r="D260" i="70"/>
  <c r="D269" i="70"/>
  <c r="D57" i="70"/>
  <c r="D151" i="70"/>
  <c r="D212" i="70"/>
  <c r="D174" i="70"/>
  <c r="D208" i="70"/>
  <c r="D237" i="70"/>
  <c r="D180" i="70"/>
  <c r="D261" i="70"/>
  <c r="D270" i="70"/>
  <c r="D184" i="70"/>
  <c r="D289" i="70"/>
  <c r="D299" i="70"/>
  <c r="D310" i="70"/>
  <c r="D268" i="70"/>
  <c r="D138" i="70"/>
  <c r="D90" i="70"/>
  <c r="D230" i="70"/>
  <c r="D177" i="70"/>
  <c r="D16" i="70"/>
  <c r="D100" i="70"/>
  <c r="D262" i="70"/>
  <c r="D119" i="70"/>
  <c r="D280" i="70"/>
  <c r="D290" i="70"/>
  <c r="D300" i="70"/>
  <c r="D311" i="70"/>
  <c r="D292" i="70"/>
  <c r="D295" i="70"/>
  <c r="D118" i="70"/>
  <c r="D278" i="70"/>
  <c r="D161" i="70"/>
  <c r="D92" i="70"/>
  <c r="D101" i="70"/>
  <c r="D112" i="70"/>
  <c r="D271" i="70"/>
  <c r="D281" i="70"/>
  <c r="D291" i="70"/>
  <c r="D301" i="70"/>
  <c r="D312" i="70"/>
  <c r="D303" i="70"/>
  <c r="D130" i="70"/>
  <c r="D87" i="70"/>
  <c r="D277" i="70"/>
  <c r="D287" i="70"/>
  <c r="D86" i="70"/>
  <c r="D245" i="70"/>
  <c r="D93" i="70"/>
  <c r="D102" i="70"/>
  <c r="D182" i="70"/>
  <c r="D263" i="70"/>
  <c r="D272" i="70"/>
  <c r="D282" i="70"/>
  <c r="D133" i="70"/>
  <c r="D302" i="70"/>
  <c r="D313" i="70"/>
  <c r="D283" i="70"/>
  <c r="D306" i="70"/>
  <c r="D173" i="70"/>
  <c r="D179" i="70"/>
  <c r="D147" i="70"/>
  <c r="D250" i="70"/>
  <c r="D249" i="70"/>
  <c r="D206" i="70"/>
  <c r="D207" i="70"/>
  <c r="D264" i="70"/>
  <c r="D273" i="70"/>
  <c r="D267" i="70"/>
  <c r="D24" i="70"/>
  <c r="D258" i="70"/>
  <c r="D15" i="70"/>
  <c r="D288" i="70"/>
  <c r="D62" i="70"/>
  <c r="D165" i="70"/>
  <c r="D91" i="70"/>
  <c r="D189" i="70"/>
  <c r="D251" i="70"/>
  <c r="D23" i="70"/>
  <c r="D28" i="70"/>
  <c r="D235" i="70"/>
  <c r="D103" i="70"/>
  <c r="D183" i="70"/>
  <c r="D265" i="70"/>
  <c r="D123" i="70"/>
  <c r="D284" i="70"/>
  <c r="D293" i="70"/>
  <c r="D304" i="70"/>
  <c r="D305" i="70"/>
  <c r="D257" i="70"/>
  <c r="D163" i="70"/>
  <c r="D296" i="70"/>
  <c r="D297" i="70"/>
  <c r="D298" i="70"/>
  <c r="D254" i="70"/>
  <c r="D187" i="70"/>
  <c r="D175" i="70"/>
  <c r="D94" i="70"/>
  <c r="D236" i="70"/>
  <c r="D115" i="70"/>
  <c r="D274" i="70"/>
  <c r="D129" i="70"/>
  <c r="D135" i="70"/>
  <c r="D170" i="70"/>
  <c r="D209" i="70"/>
  <c r="D286" i="70"/>
  <c r="D279" i="70"/>
  <c r="D63" i="70"/>
  <c r="D253" i="70"/>
  <c r="D231" i="70"/>
  <c r="D178" i="70"/>
  <c r="D233" i="70"/>
  <c r="D256" i="70"/>
  <c r="D266" i="70"/>
  <c r="D275" i="70"/>
  <c r="D285" i="70"/>
  <c r="D294" i="70"/>
  <c r="D13" i="70"/>
  <c r="D276" i="70"/>
  <c r="D246" i="70"/>
  <c r="D307" i="70"/>
  <c r="D308" i="70"/>
  <c r="D309" i="70"/>
  <c r="D14" i="70"/>
  <c r="D176" i="70"/>
  <c r="D95" i="70"/>
  <c r="D234" i="70"/>
  <c r="D98" i="70"/>
  <c r="K24" i="54"/>
  <c r="K26" i="54" s="1"/>
  <c r="G33" i="53" s="1"/>
  <c r="V22" i="76"/>
  <c r="U22" i="76" s="1"/>
  <c r="A27" i="76"/>
  <c r="L2" i="76"/>
  <c r="I39" i="76"/>
  <c r="A5" i="76"/>
  <c r="I33" i="76"/>
  <c r="F34" i="76" s="1"/>
  <c r="D3" i="76"/>
  <c r="D5" i="76"/>
  <c r="Q3" i="76"/>
  <c r="I27" i="76"/>
  <c r="D7" i="76"/>
  <c r="D9" i="76"/>
  <c r="Q41" i="76"/>
  <c r="A14" i="76"/>
  <c r="Q30" i="76"/>
  <c r="V41" i="76"/>
  <c r="Q16" i="76"/>
  <c r="Q22" i="76"/>
  <c r="V30" i="76"/>
  <c r="D1" i="76"/>
  <c r="L24" i="54"/>
  <c r="L26" i="54" s="1"/>
  <c r="C30" i="62"/>
  <c r="AA30" i="62" s="1"/>
  <c r="O1616" i="59"/>
  <c r="P1616" i="59"/>
  <c r="O1619" i="59"/>
  <c r="P1619" i="59"/>
  <c r="O1622" i="59"/>
  <c r="P1622" i="59"/>
  <c r="O1625" i="59"/>
  <c r="P1625" i="59"/>
  <c r="O1614" i="59"/>
  <c r="P1614" i="59"/>
  <c r="O1617" i="59"/>
  <c r="P1617" i="59"/>
  <c r="O1620" i="59"/>
  <c r="P1620" i="59"/>
  <c r="O1623" i="59"/>
  <c r="P1623" i="59"/>
  <c r="O1626" i="59"/>
  <c r="P1626" i="59"/>
  <c r="O1615" i="59"/>
  <c r="P1615" i="59"/>
  <c r="O1618" i="59"/>
  <c r="P1618" i="59"/>
  <c r="O1621" i="59"/>
  <c r="P1621" i="59"/>
  <c r="O1624" i="59"/>
  <c r="P1624" i="59"/>
  <c r="O1627" i="59"/>
  <c r="P1627" i="59"/>
  <c r="O1658" i="59"/>
  <c r="P1658" i="59"/>
  <c r="O1659" i="59"/>
  <c r="P1659" i="59"/>
  <c r="O1660" i="59"/>
  <c r="P1660" i="59"/>
  <c r="O1661" i="59"/>
  <c r="P1661" i="59"/>
  <c r="O1662" i="59"/>
  <c r="P1662" i="59"/>
  <c r="O850" i="59"/>
  <c r="P850" i="59"/>
  <c r="O954" i="59"/>
  <c r="P954" i="59"/>
  <c r="O1097" i="59"/>
  <c r="P1097" i="59"/>
  <c r="O1117" i="59"/>
  <c r="P1117" i="59"/>
  <c r="O1139" i="59"/>
  <c r="P1139" i="59"/>
  <c r="O1160" i="59"/>
  <c r="P1160" i="59"/>
  <c r="O1185" i="59"/>
  <c r="P1185" i="59"/>
  <c r="O1206" i="59"/>
  <c r="P1206" i="59"/>
  <c r="O1232" i="59"/>
  <c r="P1232" i="59"/>
  <c r="O1257" i="59"/>
  <c r="P1257" i="59"/>
  <c r="O1289" i="59"/>
  <c r="P1289" i="59"/>
  <c r="O1310" i="59"/>
  <c r="P1310" i="59"/>
  <c r="O1335" i="59"/>
  <c r="P1335" i="59"/>
  <c r="O1359" i="59"/>
  <c r="P1359" i="59"/>
  <c r="O1379" i="59"/>
  <c r="P1379" i="59"/>
  <c r="O1400" i="59"/>
  <c r="P1400" i="59"/>
  <c r="O1424" i="59"/>
  <c r="P1424" i="59"/>
  <c r="O1443" i="59"/>
  <c r="P1443" i="59"/>
  <c r="O1490" i="59"/>
  <c r="P1490" i="59"/>
  <c r="O955" i="59"/>
  <c r="P955" i="59"/>
  <c r="O1098" i="59"/>
  <c r="P1098" i="59"/>
  <c r="O1118" i="59"/>
  <c r="P1118" i="59"/>
  <c r="O1140" i="59"/>
  <c r="P1140" i="59"/>
  <c r="O1161" i="59"/>
  <c r="P1161" i="59"/>
  <c r="O1186" i="59"/>
  <c r="P1186" i="59"/>
  <c r="O1207" i="59"/>
  <c r="P1207" i="59"/>
  <c r="O1208" i="59"/>
  <c r="P1208" i="59"/>
  <c r="O1233" i="59"/>
  <c r="P1233" i="59"/>
  <c r="O1258" i="59"/>
  <c r="P1258" i="59"/>
  <c r="O1259" i="59"/>
  <c r="P1259" i="59"/>
  <c r="O1290" i="59"/>
  <c r="P1290" i="59"/>
  <c r="O1311" i="59"/>
  <c r="P1311" i="59"/>
  <c r="O1312" i="59"/>
  <c r="P1312" i="59"/>
  <c r="O1336" i="59"/>
  <c r="P1336" i="59"/>
  <c r="O1360" i="59"/>
  <c r="P1360" i="59"/>
  <c r="O1361" i="59"/>
  <c r="P1361" i="59"/>
  <c r="O1380" i="59"/>
  <c r="P1380" i="59"/>
  <c r="O1401" i="59"/>
  <c r="P1401" i="59"/>
  <c r="O1402" i="59"/>
  <c r="P1402" i="59"/>
  <c r="O1425" i="59"/>
  <c r="P1425" i="59"/>
  <c r="O1444" i="59"/>
  <c r="P1444" i="59"/>
  <c r="O1445" i="59"/>
  <c r="P1445" i="59"/>
  <c r="O1491" i="59"/>
  <c r="P1491" i="59"/>
  <c r="O1594" i="59"/>
  <c r="P1594" i="59"/>
  <c r="O1598" i="59"/>
  <c r="P1598" i="59"/>
  <c r="O1602" i="59"/>
  <c r="P1602" i="59"/>
  <c r="O1606" i="59"/>
  <c r="P1606" i="59"/>
  <c r="O1610" i="59"/>
  <c r="P1610" i="59"/>
  <c r="O1595" i="59"/>
  <c r="P1595" i="59"/>
  <c r="O1599" i="59"/>
  <c r="P1599" i="59"/>
  <c r="O1603" i="59"/>
  <c r="P1603" i="59"/>
  <c r="O1607" i="59"/>
  <c r="P1607" i="59"/>
  <c r="O1611" i="59"/>
  <c r="P1611" i="59"/>
  <c r="O1596" i="59"/>
  <c r="P1596" i="59"/>
  <c r="O1600" i="59"/>
  <c r="P1600" i="59"/>
  <c r="O1604" i="59"/>
  <c r="P1604" i="59"/>
  <c r="O1608" i="59"/>
  <c r="P1608" i="59"/>
  <c r="O1612" i="59"/>
  <c r="P1612" i="59"/>
  <c r="O1245" i="59"/>
  <c r="P1245" i="59"/>
  <c r="O1347" i="59"/>
  <c r="P1347" i="59"/>
  <c r="O1713" i="59"/>
  <c r="P1713" i="59"/>
  <c r="O1716" i="59"/>
  <c r="P1716" i="59"/>
  <c r="O1719" i="59"/>
  <c r="P1719" i="59"/>
  <c r="O1722" i="59"/>
  <c r="P1722" i="59"/>
  <c r="O1725" i="59"/>
  <c r="P1725" i="59"/>
  <c r="O1728" i="59"/>
  <c r="P1728" i="59"/>
  <c r="O1731" i="59"/>
  <c r="P1731" i="59"/>
  <c r="O1734" i="59"/>
  <c r="P1734" i="59"/>
  <c r="O1737" i="59"/>
  <c r="P1737" i="59"/>
  <c r="O1740" i="59"/>
  <c r="P1740" i="59"/>
  <c r="O1743" i="59"/>
  <c r="P1743" i="59"/>
  <c r="O1746" i="59"/>
  <c r="P1746" i="59"/>
  <c r="O1749" i="59"/>
  <c r="P1749" i="59"/>
  <c r="O1752" i="59"/>
  <c r="P1752" i="59"/>
  <c r="O1755" i="59"/>
  <c r="P1755" i="59"/>
  <c r="O1758" i="59"/>
  <c r="P1758" i="59"/>
  <c r="O1761" i="59"/>
  <c r="P1761" i="59"/>
  <c r="O1764" i="59"/>
  <c r="P1764" i="59"/>
  <c r="O1767" i="59"/>
  <c r="P1767" i="59"/>
  <c r="O1770" i="59"/>
  <c r="P1770" i="59"/>
  <c r="O1773" i="59"/>
  <c r="P1773" i="59"/>
  <c r="O1776" i="59"/>
  <c r="P1776" i="59"/>
  <c r="O1779" i="59"/>
  <c r="P1779" i="59"/>
  <c r="O1782" i="59"/>
  <c r="P1782" i="59"/>
  <c r="O1785" i="59"/>
  <c r="P1785" i="59"/>
  <c r="O1788" i="59"/>
  <c r="P1788" i="59"/>
  <c r="O1663" i="59"/>
  <c r="P1663" i="59"/>
  <c r="O987" i="59"/>
  <c r="P987" i="59"/>
  <c r="O1074" i="59"/>
  <c r="P1074" i="59"/>
  <c r="P1534" i="59"/>
  <c r="P1536" i="59"/>
  <c r="P1537" i="59"/>
  <c r="O1664" i="59"/>
  <c r="P1664" i="59"/>
  <c r="O1665" i="59"/>
  <c r="P1665" i="59"/>
  <c r="O1666" i="59"/>
  <c r="P1666" i="59"/>
  <c r="O1667" i="59"/>
  <c r="P1667" i="59"/>
  <c r="O1668" i="59"/>
  <c r="P1668" i="59"/>
  <c r="O1643" i="59"/>
  <c r="P1643" i="59"/>
  <c r="O1646" i="59"/>
  <c r="P1646" i="59"/>
  <c r="O1649" i="59"/>
  <c r="P1649" i="59"/>
  <c r="O1652" i="59"/>
  <c r="P1652" i="59"/>
  <c r="O1655" i="59"/>
  <c r="P1655" i="59"/>
  <c r="O1644" i="59"/>
  <c r="P1644" i="59"/>
  <c r="O1647" i="59"/>
  <c r="P1647" i="59"/>
  <c r="O1650" i="59"/>
  <c r="P1650" i="59"/>
  <c r="O1653" i="59"/>
  <c r="P1653" i="59"/>
  <c r="O1656" i="59"/>
  <c r="P1656" i="59"/>
  <c r="O1645" i="59"/>
  <c r="P1645" i="59"/>
  <c r="O1648" i="59"/>
  <c r="P1648" i="59"/>
  <c r="O1651" i="59"/>
  <c r="P1651" i="59"/>
  <c r="O1654" i="59"/>
  <c r="P1654" i="59"/>
  <c r="O1657" i="59"/>
  <c r="P1657" i="59"/>
  <c r="O1530" i="59"/>
  <c r="O1531" i="59"/>
  <c r="O1532" i="59"/>
  <c r="O988" i="59"/>
  <c r="O1073" i="59"/>
  <c r="Q1073" i="59"/>
  <c r="O1533" i="59"/>
  <c r="O761" i="59"/>
  <c r="P761" i="59"/>
  <c r="O781" i="59"/>
  <c r="P781" i="59"/>
  <c r="O838" i="59"/>
  <c r="P838" i="59"/>
  <c r="O863" i="59"/>
  <c r="P863" i="59"/>
  <c r="O900" i="59"/>
  <c r="P900" i="59"/>
  <c r="O920" i="59"/>
  <c r="P920" i="59"/>
  <c r="O940" i="59"/>
  <c r="P940" i="59"/>
  <c r="O941" i="59"/>
  <c r="P941" i="59"/>
  <c r="O998" i="59"/>
  <c r="P998" i="59"/>
  <c r="O1032" i="59"/>
  <c r="P1032" i="59"/>
  <c r="O1083" i="59"/>
  <c r="P1083" i="59"/>
  <c r="O1125" i="59"/>
  <c r="P1125" i="59"/>
  <c r="O1171" i="59"/>
  <c r="P1171" i="59"/>
  <c r="O1217" i="59"/>
  <c r="P1217" i="59"/>
  <c r="O1269" i="59"/>
  <c r="P1269" i="59"/>
  <c r="O1321" i="59"/>
  <c r="P1321" i="59"/>
  <c r="O1344" i="59"/>
  <c r="P1344" i="59"/>
  <c r="O1410" i="59"/>
  <c r="P1410" i="59"/>
  <c r="O1454" i="59"/>
  <c r="P1454" i="59"/>
  <c r="O1466" i="59"/>
  <c r="P1466" i="59"/>
  <c r="O1505" i="59"/>
  <c r="P1505" i="59"/>
  <c r="O864" i="59"/>
  <c r="P864" i="59"/>
  <c r="O865" i="59"/>
  <c r="P865" i="59"/>
  <c r="O901" i="59"/>
  <c r="P901" i="59"/>
  <c r="O902" i="59"/>
  <c r="P902" i="59"/>
  <c r="O942" i="59"/>
  <c r="P942" i="59"/>
  <c r="O999" i="59"/>
  <c r="P999" i="59"/>
  <c r="O1000" i="59"/>
  <c r="P1000" i="59"/>
  <c r="O1012" i="59"/>
  <c r="P1012" i="59"/>
  <c r="O1033" i="59"/>
  <c r="P1033" i="59"/>
  <c r="O1034" i="59"/>
  <c r="P1034" i="59"/>
  <c r="O1084" i="59"/>
  <c r="P1084" i="59"/>
  <c r="O1085" i="59"/>
  <c r="P1085" i="59"/>
  <c r="O1126" i="59"/>
  <c r="P1126" i="59"/>
  <c r="O1127" i="59"/>
  <c r="P1127" i="59"/>
  <c r="O1172" i="59"/>
  <c r="P1172" i="59"/>
  <c r="O1173" i="59"/>
  <c r="P1173" i="59"/>
  <c r="O1218" i="59"/>
  <c r="P1218" i="59"/>
  <c r="O1219" i="59"/>
  <c r="P1219" i="59"/>
  <c r="O1243" i="59"/>
  <c r="P1243" i="59"/>
  <c r="O1244" i="59"/>
  <c r="P1244" i="59"/>
  <c r="O1270" i="59"/>
  <c r="P1270" i="59"/>
  <c r="O1271" i="59"/>
  <c r="P1271" i="59"/>
  <c r="O1322" i="59"/>
  <c r="P1322" i="59"/>
  <c r="O1323" i="59"/>
  <c r="P1323" i="59"/>
  <c r="O1345" i="59"/>
  <c r="P1345" i="59"/>
  <c r="O1346" i="59"/>
  <c r="P1346" i="59"/>
  <c r="O1411" i="59"/>
  <c r="P1411" i="59"/>
  <c r="O1412" i="59"/>
  <c r="P1412" i="59"/>
  <c r="O1455" i="59"/>
  <c r="P1455" i="59"/>
  <c r="O1456" i="59"/>
  <c r="P1456" i="59"/>
  <c r="O1467" i="59"/>
  <c r="P1467" i="59"/>
  <c r="O1468" i="59"/>
  <c r="P1468" i="59"/>
  <c r="O1506" i="59"/>
  <c r="P1506" i="59"/>
  <c r="O1507" i="59"/>
  <c r="P1507" i="59"/>
  <c r="O1528" i="59"/>
  <c r="P1528" i="59"/>
  <c r="O1529" i="59"/>
  <c r="P1529" i="59"/>
  <c r="O1630" i="59"/>
  <c r="P1630" i="59"/>
  <c r="O1633" i="59"/>
  <c r="P1633" i="59"/>
  <c r="O1636" i="59"/>
  <c r="P1636" i="59"/>
  <c r="O1639" i="59"/>
  <c r="P1639" i="59"/>
  <c r="O1642" i="59"/>
  <c r="P1642" i="59"/>
  <c r="O1628" i="59"/>
  <c r="P1628" i="59"/>
  <c r="O1631" i="59"/>
  <c r="P1631" i="59"/>
  <c r="O1634" i="59"/>
  <c r="P1634" i="59"/>
  <c r="O1637" i="59"/>
  <c r="P1637" i="59"/>
  <c r="O1640" i="59"/>
  <c r="P1640" i="59"/>
  <c r="O1629" i="59"/>
  <c r="P1629" i="59"/>
  <c r="O1632" i="59"/>
  <c r="P1632" i="59"/>
  <c r="O1635" i="59"/>
  <c r="P1635" i="59"/>
  <c r="O1638" i="59"/>
  <c r="P1638" i="59"/>
  <c r="O1641" i="59"/>
  <c r="P1641" i="59"/>
  <c r="P1613" i="59"/>
  <c r="O1613" i="59"/>
  <c r="F41" i="62"/>
  <c r="F40" i="62"/>
  <c r="K2" i="59"/>
  <c r="O2" i="59" s="1"/>
  <c r="L2" i="59"/>
  <c r="P2" i="59" s="1"/>
  <c r="M2" i="59"/>
  <c r="Q2" i="59" s="1"/>
  <c r="K5" i="59"/>
  <c r="O5" i="59" s="1"/>
  <c r="L5" i="59"/>
  <c r="P5" i="59" s="1"/>
  <c r="M5" i="59"/>
  <c r="Q5" i="59" s="1"/>
  <c r="K8" i="59"/>
  <c r="O8" i="59" s="1"/>
  <c r="L8" i="59"/>
  <c r="P8" i="59" s="1"/>
  <c r="M8" i="59"/>
  <c r="Q8" i="59" s="1"/>
  <c r="K11" i="59"/>
  <c r="O11" i="59" s="1"/>
  <c r="L11" i="59"/>
  <c r="P11" i="59" s="1"/>
  <c r="M11" i="59"/>
  <c r="Q11" i="59" s="1"/>
  <c r="K14" i="59"/>
  <c r="O14" i="59" s="1"/>
  <c r="L14" i="59"/>
  <c r="P14" i="59" s="1"/>
  <c r="M14" i="59"/>
  <c r="Q14" i="59" s="1"/>
  <c r="K17" i="59"/>
  <c r="O17" i="59" s="1"/>
  <c r="L17" i="59"/>
  <c r="P17" i="59" s="1"/>
  <c r="M17" i="59"/>
  <c r="Q17" i="59" s="1"/>
  <c r="K20" i="59"/>
  <c r="O20" i="59" s="1"/>
  <c r="L20" i="59"/>
  <c r="P20" i="59" s="1"/>
  <c r="M20" i="59"/>
  <c r="Q20" i="59" s="1"/>
  <c r="K23" i="59"/>
  <c r="O23" i="59" s="1"/>
  <c r="L23" i="59"/>
  <c r="P23" i="59" s="1"/>
  <c r="M23" i="59"/>
  <c r="Q23" i="59" s="1"/>
  <c r="K26" i="59"/>
  <c r="O26" i="59" s="1"/>
  <c r="L26" i="59"/>
  <c r="P26" i="59" s="1"/>
  <c r="M26" i="59"/>
  <c r="Q26" i="59" s="1"/>
  <c r="K29" i="59"/>
  <c r="O29" i="59" s="1"/>
  <c r="L29" i="59"/>
  <c r="P29" i="59" s="1"/>
  <c r="M29" i="59"/>
  <c r="Q29" i="59" s="1"/>
  <c r="K32" i="59"/>
  <c r="O32" i="59" s="1"/>
  <c r="L32" i="59"/>
  <c r="P32" i="59" s="1"/>
  <c r="M32" i="59"/>
  <c r="Q32" i="59" s="1"/>
  <c r="K35" i="59"/>
  <c r="O35" i="59" s="1"/>
  <c r="L35" i="59"/>
  <c r="P35" i="59" s="1"/>
  <c r="M35" i="59"/>
  <c r="Q35" i="59" s="1"/>
  <c r="K38" i="59"/>
  <c r="O38" i="59" s="1"/>
  <c r="L38" i="59"/>
  <c r="P38" i="59" s="1"/>
  <c r="M38" i="59"/>
  <c r="Q38" i="59" s="1"/>
  <c r="K41" i="59"/>
  <c r="O41" i="59" s="1"/>
  <c r="L41" i="59"/>
  <c r="P41" i="59" s="1"/>
  <c r="M41" i="59"/>
  <c r="Q41" i="59" s="1"/>
  <c r="K44" i="59"/>
  <c r="O44" i="59" s="1"/>
  <c r="L44" i="59"/>
  <c r="P44" i="59" s="1"/>
  <c r="M44" i="59"/>
  <c r="Q44" i="59" s="1"/>
  <c r="K47" i="59"/>
  <c r="O47" i="59" s="1"/>
  <c r="L47" i="59"/>
  <c r="P47" i="59" s="1"/>
  <c r="M47" i="59"/>
  <c r="Q47" i="59" s="1"/>
  <c r="K50" i="59"/>
  <c r="O50" i="59" s="1"/>
  <c r="L50" i="59"/>
  <c r="P50" i="59" s="1"/>
  <c r="M50" i="59"/>
  <c r="Q50" i="59" s="1"/>
  <c r="K53" i="59"/>
  <c r="O53" i="59" s="1"/>
  <c r="L53" i="59"/>
  <c r="P53" i="59" s="1"/>
  <c r="M53" i="59"/>
  <c r="Q53" i="59" s="1"/>
  <c r="K56" i="59"/>
  <c r="O56" i="59" s="1"/>
  <c r="L56" i="59"/>
  <c r="P56" i="59" s="1"/>
  <c r="M56" i="59"/>
  <c r="Q56" i="59" s="1"/>
  <c r="K59" i="59"/>
  <c r="O59" i="59" s="1"/>
  <c r="L59" i="59"/>
  <c r="P59" i="59" s="1"/>
  <c r="M59" i="59"/>
  <c r="Q59" i="59" s="1"/>
  <c r="K62" i="59"/>
  <c r="O62" i="59" s="1"/>
  <c r="L62" i="59"/>
  <c r="P62" i="59" s="1"/>
  <c r="M62" i="59"/>
  <c r="Q62" i="59" s="1"/>
  <c r="K65" i="59"/>
  <c r="O65" i="59" s="1"/>
  <c r="L65" i="59"/>
  <c r="P65" i="59" s="1"/>
  <c r="M65" i="59"/>
  <c r="Q65" i="59" s="1"/>
  <c r="K68" i="59"/>
  <c r="O68" i="59" s="1"/>
  <c r="L68" i="59"/>
  <c r="P68" i="59" s="1"/>
  <c r="M68" i="59"/>
  <c r="Q68" i="59" s="1"/>
  <c r="K71" i="59"/>
  <c r="O71" i="59" s="1"/>
  <c r="L71" i="59"/>
  <c r="P71" i="59" s="1"/>
  <c r="M71" i="59"/>
  <c r="Q71" i="59" s="1"/>
  <c r="K74" i="59"/>
  <c r="O74" i="59" s="1"/>
  <c r="L74" i="59"/>
  <c r="P74" i="59" s="1"/>
  <c r="M74" i="59"/>
  <c r="Q74" i="59" s="1"/>
  <c r="K77" i="59"/>
  <c r="O77" i="59" s="1"/>
  <c r="L77" i="59"/>
  <c r="P77" i="59" s="1"/>
  <c r="M77" i="59"/>
  <c r="Q77" i="59" s="1"/>
  <c r="K80" i="59"/>
  <c r="O80" i="59" s="1"/>
  <c r="L80" i="59"/>
  <c r="P80" i="59" s="1"/>
  <c r="M80" i="59"/>
  <c r="Q80" i="59" s="1"/>
  <c r="K83" i="59"/>
  <c r="O83" i="59" s="1"/>
  <c r="L83" i="59"/>
  <c r="P83" i="59" s="1"/>
  <c r="M83" i="59"/>
  <c r="Q83" i="59" s="1"/>
  <c r="K86" i="59"/>
  <c r="O86" i="59" s="1"/>
  <c r="L86" i="59"/>
  <c r="P86" i="59" s="1"/>
  <c r="M86" i="59"/>
  <c r="Q86" i="59" s="1"/>
  <c r="K89" i="59"/>
  <c r="O89" i="59" s="1"/>
  <c r="L89" i="59"/>
  <c r="P89" i="59" s="1"/>
  <c r="M89" i="59"/>
  <c r="Q89" i="59" s="1"/>
  <c r="K92" i="59"/>
  <c r="O92" i="59" s="1"/>
  <c r="L92" i="59"/>
  <c r="P92" i="59" s="1"/>
  <c r="M92" i="59"/>
  <c r="Q92" i="59" s="1"/>
  <c r="K95" i="59"/>
  <c r="O95" i="59" s="1"/>
  <c r="L95" i="59"/>
  <c r="P95" i="59" s="1"/>
  <c r="M95" i="59"/>
  <c r="Q95" i="59" s="1"/>
  <c r="K98" i="59"/>
  <c r="O98" i="59" s="1"/>
  <c r="L98" i="59"/>
  <c r="P98" i="59" s="1"/>
  <c r="M98" i="59"/>
  <c r="Q98" i="59" s="1"/>
  <c r="K101" i="59"/>
  <c r="O101" i="59" s="1"/>
  <c r="L101" i="59"/>
  <c r="P101" i="59" s="1"/>
  <c r="M101" i="59"/>
  <c r="Q101" i="59" s="1"/>
  <c r="K104" i="59"/>
  <c r="O104" i="59" s="1"/>
  <c r="L104" i="59"/>
  <c r="P104" i="59" s="1"/>
  <c r="M104" i="59"/>
  <c r="Q104" i="59" s="1"/>
  <c r="K107" i="59"/>
  <c r="O107" i="59" s="1"/>
  <c r="L107" i="59"/>
  <c r="P107" i="59" s="1"/>
  <c r="M107" i="59"/>
  <c r="Q107" i="59" s="1"/>
  <c r="K110" i="59"/>
  <c r="O110" i="59" s="1"/>
  <c r="L110" i="59"/>
  <c r="P110" i="59" s="1"/>
  <c r="M110" i="59"/>
  <c r="Q110" i="59" s="1"/>
  <c r="K113" i="59"/>
  <c r="O113" i="59" s="1"/>
  <c r="L113" i="59"/>
  <c r="P113" i="59" s="1"/>
  <c r="M113" i="59"/>
  <c r="Q113" i="59" s="1"/>
  <c r="K116" i="59"/>
  <c r="O116" i="59" s="1"/>
  <c r="L116" i="59"/>
  <c r="P116" i="59" s="1"/>
  <c r="M116" i="59"/>
  <c r="Q116" i="59" s="1"/>
  <c r="K119" i="59"/>
  <c r="O119" i="59" s="1"/>
  <c r="L119" i="59"/>
  <c r="P119" i="59" s="1"/>
  <c r="M119" i="59"/>
  <c r="Q119" i="59" s="1"/>
  <c r="K122" i="59"/>
  <c r="O122" i="59" s="1"/>
  <c r="L122" i="59"/>
  <c r="P122" i="59" s="1"/>
  <c r="M122" i="59"/>
  <c r="Q122" i="59" s="1"/>
  <c r="K125" i="59"/>
  <c r="O125" i="59" s="1"/>
  <c r="L125" i="59"/>
  <c r="P125" i="59" s="1"/>
  <c r="M125" i="59"/>
  <c r="Q125" i="59" s="1"/>
  <c r="K128" i="59"/>
  <c r="O128" i="59" s="1"/>
  <c r="L128" i="59"/>
  <c r="P128" i="59" s="1"/>
  <c r="M128" i="59"/>
  <c r="Q128" i="59" s="1"/>
  <c r="K131" i="59"/>
  <c r="O131" i="59" s="1"/>
  <c r="L131" i="59"/>
  <c r="P131" i="59" s="1"/>
  <c r="M131" i="59"/>
  <c r="Q131" i="59" s="1"/>
  <c r="K134" i="59"/>
  <c r="O134" i="59" s="1"/>
  <c r="L134" i="59"/>
  <c r="P134" i="59" s="1"/>
  <c r="M134" i="59"/>
  <c r="Q134" i="59" s="1"/>
  <c r="K137" i="59"/>
  <c r="O137" i="59" s="1"/>
  <c r="L137" i="59"/>
  <c r="P137" i="59" s="1"/>
  <c r="M137" i="59"/>
  <c r="Q137" i="59" s="1"/>
  <c r="K140" i="59"/>
  <c r="O140" i="59" s="1"/>
  <c r="L140" i="59"/>
  <c r="P140" i="59" s="1"/>
  <c r="M140" i="59"/>
  <c r="Q140" i="59" s="1"/>
  <c r="K143" i="59"/>
  <c r="O143" i="59" s="1"/>
  <c r="L143" i="59"/>
  <c r="P143" i="59" s="1"/>
  <c r="M143" i="59"/>
  <c r="Q143" i="59" s="1"/>
  <c r="K146" i="59"/>
  <c r="O146" i="59" s="1"/>
  <c r="L146" i="59"/>
  <c r="P146" i="59" s="1"/>
  <c r="M146" i="59"/>
  <c r="Q146" i="59" s="1"/>
  <c r="K149" i="59"/>
  <c r="O149" i="59" s="1"/>
  <c r="L149" i="59"/>
  <c r="P149" i="59" s="1"/>
  <c r="M149" i="59"/>
  <c r="Q149" i="59" s="1"/>
  <c r="K152" i="59"/>
  <c r="O152" i="59" s="1"/>
  <c r="L152" i="59"/>
  <c r="P152" i="59" s="1"/>
  <c r="M152" i="59"/>
  <c r="Q152" i="59" s="1"/>
  <c r="K155" i="59"/>
  <c r="O155" i="59" s="1"/>
  <c r="L155" i="59"/>
  <c r="P155" i="59" s="1"/>
  <c r="M155" i="59"/>
  <c r="Q155" i="59" s="1"/>
  <c r="K158" i="59"/>
  <c r="O158" i="59" s="1"/>
  <c r="L158" i="59"/>
  <c r="P158" i="59" s="1"/>
  <c r="M158" i="59"/>
  <c r="Q158" i="59" s="1"/>
  <c r="K161" i="59"/>
  <c r="O161" i="59" s="1"/>
  <c r="L161" i="59"/>
  <c r="P161" i="59" s="1"/>
  <c r="M161" i="59"/>
  <c r="Q161" i="59" s="1"/>
  <c r="K164" i="59"/>
  <c r="O164" i="59" s="1"/>
  <c r="L164" i="59"/>
  <c r="P164" i="59" s="1"/>
  <c r="M164" i="59"/>
  <c r="Q164" i="59" s="1"/>
  <c r="K167" i="59"/>
  <c r="O167" i="59" s="1"/>
  <c r="L167" i="59"/>
  <c r="P167" i="59" s="1"/>
  <c r="M167" i="59"/>
  <c r="Q167" i="59" s="1"/>
  <c r="K170" i="59"/>
  <c r="O170" i="59" s="1"/>
  <c r="L170" i="59"/>
  <c r="P170" i="59" s="1"/>
  <c r="M170" i="59"/>
  <c r="Q170" i="59" s="1"/>
  <c r="K173" i="59"/>
  <c r="O173" i="59" s="1"/>
  <c r="L173" i="59"/>
  <c r="P173" i="59" s="1"/>
  <c r="M173" i="59"/>
  <c r="Q173" i="59" s="1"/>
  <c r="K176" i="59"/>
  <c r="O176" i="59" s="1"/>
  <c r="L176" i="59"/>
  <c r="P176" i="59" s="1"/>
  <c r="M176" i="59"/>
  <c r="Q176" i="59" s="1"/>
  <c r="K179" i="59"/>
  <c r="O179" i="59" s="1"/>
  <c r="L179" i="59"/>
  <c r="P179" i="59" s="1"/>
  <c r="M179" i="59"/>
  <c r="Q179" i="59" s="1"/>
  <c r="K182" i="59"/>
  <c r="O182" i="59" s="1"/>
  <c r="L182" i="59"/>
  <c r="P182" i="59" s="1"/>
  <c r="M182" i="59"/>
  <c r="Q182" i="59" s="1"/>
  <c r="K185" i="59"/>
  <c r="O185" i="59" s="1"/>
  <c r="L185" i="59"/>
  <c r="P185" i="59" s="1"/>
  <c r="M185" i="59"/>
  <c r="Q185" i="59" s="1"/>
  <c r="K188" i="59"/>
  <c r="O188" i="59" s="1"/>
  <c r="L188" i="59"/>
  <c r="P188" i="59" s="1"/>
  <c r="M188" i="59"/>
  <c r="Q188" i="59" s="1"/>
  <c r="K191" i="59"/>
  <c r="O191" i="59" s="1"/>
  <c r="L191" i="59"/>
  <c r="P191" i="59" s="1"/>
  <c r="M191" i="59"/>
  <c r="Q191" i="59" s="1"/>
  <c r="K194" i="59"/>
  <c r="O194" i="59" s="1"/>
  <c r="L194" i="59"/>
  <c r="P194" i="59" s="1"/>
  <c r="M194" i="59"/>
  <c r="Q194" i="59" s="1"/>
  <c r="K197" i="59"/>
  <c r="O197" i="59" s="1"/>
  <c r="L197" i="59"/>
  <c r="P197" i="59" s="1"/>
  <c r="M197" i="59"/>
  <c r="Q197" i="59" s="1"/>
  <c r="K200" i="59"/>
  <c r="O200" i="59" s="1"/>
  <c r="L200" i="59"/>
  <c r="P200" i="59" s="1"/>
  <c r="M200" i="59"/>
  <c r="Q200" i="59" s="1"/>
  <c r="K203" i="59"/>
  <c r="O203" i="59" s="1"/>
  <c r="L203" i="59"/>
  <c r="P203" i="59" s="1"/>
  <c r="M203" i="59"/>
  <c r="Q203" i="59" s="1"/>
  <c r="K206" i="59"/>
  <c r="O206" i="59" s="1"/>
  <c r="L206" i="59"/>
  <c r="P206" i="59" s="1"/>
  <c r="M206" i="59"/>
  <c r="Q206" i="59" s="1"/>
  <c r="K209" i="59"/>
  <c r="O209" i="59" s="1"/>
  <c r="L209" i="59"/>
  <c r="P209" i="59" s="1"/>
  <c r="M209" i="59"/>
  <c r="Q209" i="59" s="1"/>
  <c r="K212" i="59"/>
  <c r="O212" i="59" s="1"/>
  <c r="L212" i="59"/>
  <c r="P212" i="59" s="1"/>
  <c r="M212" i="59"/>
  <c r="Q212" i="59" s="1"/>
  <c r="K215" i="59"/>
  <c r="O215" i="59" s="1"/>
  <c r="L215" i="59"/>
  <c r="P215" i="59" s="1"/>
  <c r="M215" i="59"/>
  <c r="Q215" i="59" s="1"/>
  <c r="K218" i="59"/>
  <c r="O218" i="59" s="1"/>
  <c r="L218" i="59"/>
  <c r="P218" i="59" s="1"/>
  <c r="M218" i="59"/>
  <c r="Q218" i="59" s="1"/>
  <c r="K221" i="59"/>
  <c r="O221" i="59" s="1"/>
  <c r="L221" i="59"/>
  <c r="P221" i="59" s="1"/>
  <c r="M221" i="59"/>
  <c r="Q221" i="59" s="1"/>
  <c r="K224" i="59"/>
  <c r="O224" i="59" s="1"/>
  <c r="L224" i="59"/>
  <c r="P224" i="59" s="1"/>
  <c r="M224" i="59"/>
  <c r="Q224" i="59" s="1"/>
  <c r="K227" i="59"/>
  <c r="O227" i="59" s="1"/>
  <c r="L227" i="59"/>
  <c r="P227" i="59" s="1"/>
  <c r="M227" i="59"/>
  <c r="Q227" i="59" s="1"/>
  <c r="K230" i="59"/>
  <c r="O230" i="59" s="1"/>
  <c r="L230" i="59"/>
  <c r="P230" i="59" s="1"/>
  <c r="M230" i="59"/>
  <c r="Q230" i="59" s="1"/>
  <c r="K233" i="59"/>
  <c r="O233" i="59" s="1"/>
  <c r="L233" i="59"/>
  <c r="P233" i="59" s="1"/>
  <c r="M233" i="59"/>
  <c r="Q233" i="59" s="1"/>
  <c r="K236" i="59"/>
  <c r="O236" i="59" s="1"/>
  <c r="L236" i="59"/>
  <c r="P236" i="59" s="1"/>
  <c r="M236" i="59"/>
  <c r="Q236" i="59" s="1"/>
  <c r="K239" i="59"/>
  <c r="O239" i="59" s="1"/>
  <c r="L239" i="59"/>
  <c r="P239" i="59" s="1"/>
  <c r="M239" i="59"/>
  <c r="Q239" i="59" s="1"/>
  <c r="K242" i="59"/>
  <c r="O242" i="59" s="1"/>
  <c r="L242" i="59"/>
  <c r="P242" i="59" s="1"/>
  <c r="M242" i="59"/>
  <c r="Q242" i="59" s="1"/>
  <c r="K245" i="59"/>
  <c r="O245" i="59" s="1"/>
  <c r="L245" i="59"/>
  <c r="P245" i="59" s="1"/>
  <c r="M245" i="59"/>
  <c r="Q245" i="59" s="1"/>
  <c r="K248" i="59"/>
  <c r="O248" i="59" s="1"/>
  <c r="L248" i="59"/>
  <c r="P248" i="59" s="1"/>
  <c r="M248" i="59"/>
  <c r="Q248" i="59" s="1"/>
  <c r="K251" i="59"/>
  <c r="O251" i="59" s="1"/>
  <c r="L251" i="59"/>
  <c r="P251" i="59" s="1"/>
  <c r="M251" i="59"/>
  <c r="Q251" i="59" s="1"/>
  <c r="K254" i="59"/>
  <c r="O254" i="59" s="1"/>
  <c r="L254" i="59"/>
  <c r="P254" i="59" s="1"/>
  <c r="M254" i="59"/>
  <c r="Q254" i="59" s="1"/>
  <c r="K257" i="59"/>
  <c r="O257" i="59" s="1"/>
  <c r="L257" i="59"/>
  <c r="P257" i="59" s="1"/>
  <c r="M257" i="59"/>
  <c r="Q257" i="59" s="1"/>
  <c r="K260" i="59"/>
  <c r="O260" i="59" s="1"/>
  <c r="L260" i="59"/>
  <c r="P260" i="59" s="1"/>
  <c r="M260" i="59"/>
  <c r="Q260" i="59" s="1"/>
  <c r="K263" i="59"/>
  <c r="O263" i="59" s="1"/>
  <c r="L263" i="59"/>
  <c r="P263" i="59" s="1"/>
  <c r="M263" i="59"/>
  <c r="Q263" i="59" s="1"/>
  <c r="K266" i="59"/>
  <c r="O266" i="59" s="1"/>
  <c r="L266" i="59"/>
  <c r="P266" i="59" s="1"/>
  <c r="M266" i="59"/>
  <c r="Q266" i="59" s="1"/>
  <c r="K269" i="59"/>
  <c r="O269" i="59" s="1"/>
  <c r="L269" i="59"/>
  <c r="P269" i="59" s="1"/>
  <c r="M269" i="59"/>
  <c r="Q269" i="59" s="1"/>
  <c r="K272" i="59"/>
  <c r="O272" i="59" s="1"/>
  <c r="L272" i="59"/>
  <c r="P272" i="59" s="1"/>
  <c r="M272" i="59"/>
  <c r="Q272" i="59" s="1"/>
  <c r="K275" i="59"/>
  <c r="O275" i="59" s="1"/>
  <c r="L275" i="59"/>
  <c r="P275" i="59" s="1"/>
  <c r="M275" i="59"/>
  <c r="Q275" i="59" s="1"/>
  <c r="K278" i="59"/>
  <c r="O278" i="59" s="1"/>
  <c r="L278" i="59"/>
  <c r="P278" i="59" s="1"/>
  <c r="M278" i="59"/>
  <c r="Q278" i="59" s="1"/>
  <c r="K281" i="59"/>
  <c r="O281" i="59" s="1"/>
  <c r="L281" i="59"/>
  <c r="P281" i="59" s="1"/>
  <c r="M281" i="59"/>
  <c r="Q281" i="59" s="1"/>
  <c r="K284" i="59"/>
  <c r="O284" i="59" s="1"/>
  <c r="L284" i="59"/>
  <c r="P284" i="59" s="1"/>
  <c r="M284" i="59"/>
  <c r="Q284" i="59" s="1"/>
  <c r="K287" i="59"/>
  <c r="O287" i="59" s="1"/>
  <c r="L287" i="59"/>
  <c r="P287" i="59" s="1"/>
  <c r="M287" i="59"/>
  <c r="Q287" i="59" s="1"/>
  <c r="K290" i="59"/>
  <c r="O290" i="59" s="1"/>
  <c r="L290" i="59"/>
  <c r="P290" i="59" s="1"/>
  <c r="M290" i="59"/>
  <c r="Q290" i="59" s="1"/>
  <c r="K293" i="59"/>
  <c r="O293" i="59" s="1"/>
  <c r="L293" i="59"/>
  <c r="P293" i="59" s="1"/>
  <c r="M293" i="59"/>
  <c r="Q293" i="59" s="1"/>
  <c r="K296" i="59"/>
  <c r="O296" i="59" s="1"/>
  <c r="L296" i="59"/>
  <c r="P296" i="59" s="1"/>
  <c r="M296" i="59"/>
  <c r="Q296" i="59" s="1"/>
  <c r="K299" i="59"/>
  <c r="O299" i="59" s="1"/>
  <c r="L299" i="59"/>
  <c r="P299" i="59" s="1"/>
  <c r="M299" i="59"/>
  <c r="Q299" i="59" s="1"/>
  <c r="K302" i="59"/>
  <c r="O302" i="59" s="1"/>
  <c r="L302" i="59"/>
  <c r="P302" i="59" s="1"/>
  <c r="M302" i="59"/>
  <c r="Q302" i="59" s="1"/>
  <c r="K305" i="59"/>
  <c r="O305" i="59" s="1"/>
  <c r="L305" i="59"/>
  <c r="P305" i="59" s="1"/>
  <c r="M305" i="59"/>
  <c r="Q305" i="59" s="1"/>
  <c r="K308" i="59"/>
  <c r="O308" i="59" s="1"/>
  <c r="L308" i="59"/>
  <c r="P308" i="59" s="1"/>
  <c r="M308" i="59"/>
  <c r="Q308" i="59" s="1"/>
  <c r="K311" i="59"/>
  <c r="O311" i="59" s="1"/>
  <c r="L311" i="59"/>
  <c r="P311" i="59" s="1"/>
  <c r="M311" i="59"/>
  <c r="Q311" i="59" s="1"/>
  <c r="K314" i="59"/>
  <c r="O314" i="59" s="1"/>
  <c r="L314" i="59"/>
  <c r="P314" i="59" s="1"/>
  <c r="M314" i="59"/>
  <c r="Q314" i="59" s="1"/>
  <c r="K317" i="59"/>
  <c r="O317" i="59" s="1"/>
  <c r="L317" i="59"/>
  <c r="P317" i="59" s="1"/>
  <c r="M317" i="59"/>
  <c r="Q317" i="59" s="1"/>
  <c r="K320" i="59"/>
  <c r="O320" i="59" s="1"/>
  <c r="L320" i="59"/>
  <c r="P320" i="59" s="1"/>
  <c r="M320" i="59"/>
  <c r="Q320" i="59" s="1"/>
  <c r="K323" i="59"/>
  <c r="O323" i="59" s="1"/>
  <c r="L323" i="59"/>
  <c r="P323" i="59" s="1"/>
  <c r="M323" i="59"/>
  <c r="Q323" i="59" s="1"/>
  <c r="K326" i="59"/>
  <c r="O326" i="59" s="1"/>
  <c r="L326" i="59"/>
  <c r="P326" i="59" s="1"/>
  <c r="M326" i="59"/>
  <c r="Q326" i="59" s="1"/>
  <c r="K329" i="59"/>
  <c r="O329" i="59" s="1"/>
  <c r="L329" i="59"/>
  <c r="P329" i="59" s="1"/>
  <c r="M329" i="59"/>
  <c r="Q329" i="59" s="1"/>
  <c r="K332" i="59"/>
  <c r="O332" i="59" s="1"/>
  <c r="L332" i="59"/>
  <c r="P332" i="59" s="1"/>
  <c r="M332" i="59"/>
  <c r="Q332" i="59" s="1"/>
  <c r="K335" i="59"/>
  <c r="O335" i="59" s="1"/>
  <c r="L335" i="59"/>
  <c r="P335" i="59" s="1"/>
  <c r="M335" i="59"/>
  <c r="Q335" i="59" s="1"/>
  <c r="K338" i="59"/>
  <c r="O338" i="59" s="1"/>
  <c r="L338" i="59"/>
  <c r="P338" i="59" s="1"/>
  <c r="M338" i="59"/>
  <c r="Q338" i="59" s="1"/>
  <c r="K341" i="59"/>
  <c r="O341" i="59" s="1"/>
  <c r="L341" i="59"/>
  <c r="P341" i="59" s="1"/>
  <c r="M341" i="59"/>
  <c r="Q341" i="59" s="1"/>
  <c r="K344" i="59"/>
  <c r="O344" i="59" s="1"/>
  <c r="L344" i="59"/>
  <c r="P344" i="59" s="1"/>
  <c r="M344" i="59"/>
  <c r="Q344" i="59" s="1"/>
  <c r="K347" i="59"/>
  <c r="O347" i="59" s="1"/>
  <c r="L347" i="59"/>
  <c r="P347" i="59" s="1"/>
  <c r="M347" i="59"/>
  <c r="Q347" i="59" s="1"/>
  <c r="K350" i="59"/>
  <c r="O350" i="59" s="1"/>
  <c r="L350" i="59"/>
  <c r="P350" i="59" s="1"/>
  <c r="M350" i="59"/>
  <c r="Q350" i="59" s="1"/>
  <c r="K353" i="59"/>
  <c r="O353" i="59" s="1"/>
  <c r="L353" i="59"/>
  <c r="P353" i="59" s="1"/>
  <c r="M353" i="59"/>
  <c r="Q353" i="59" s="1"/>
  <c r="K356" i="59"/>
  <c r="O356" i="59" s="1"/>
  <c r="L356" i="59"/>
  <c r="P356" i="59" s="1"/>
  <c r="M356" i="59"/>
  <c r="Q356" i="59" s="1"/>
  <c r="K359" i="59"/>
  <c r="O359" i="59" s="1"/>
  <c r="L359" i="59"/>
  <c r="P359" i="59" s="1"/>
  <c r="M359" i="59"/>
  <c r="Q359" i="59" s="1"/>
  <c r="K362" i="59"/>
  <c r="O362" i="59" s="1"/>
  <c r="L362" i="59"/>
  <c r="P362" i="59" s="1"/>
  <c r="M362" i="59"/>
  <c r="Q362" i="59" s="1"/>
  <c r="K365" i="59"/>
  <c r="O365" i="59" s="1"/>
  <c r="L365" i="59"/>
  <c r="P365" i="59" s="1"/>
  <c r="M365" i="59"/>
  <c r="Q365" i="59" s="1"/>
  <c r="K368" i="59"/>
  <c r="O368" i="59" s="1"/>
  <c r="L368" i="59"/>
  <c r="P368" i="59" s="1"/>
  <c r="M368" i="59"/>
  <c r="Q368" i="59" s="1"/>
  <c r="K371" i="59"/>
  <c r="O371" i="59" s="1"/>
  <c r="L371" i="59"/>
  <c r="P371" i="59" s="1"/>
  <c r="M371" i="59"/>
  <c r="Q371" i="59" s="1"/>
  <c r="K374" i="59"/>
  <c r="O374" i="59" s="1"/>
  <c r="L374" i="59"/>
  <c r="P374" i="59" s="1"/>
  <c r="M374" i="59"/>
  <c r="Q374" i="59" s="1"/>
  <c r="K377" i="59"/>
  <c r="O377" i="59" s="1"/>
  <c r="L377" i="59"/>
  <c r="P377" i="59" s="1"/>
  <c r="M377" i="59"/>
  <c r="Q377" i="59" s="1"/>
  <c r="K380" i="59"/>
  <c r="O380" i="59" s="1"/>
  <c r="L380" i="59"/>
  <c r="P380" i="59" s="1"/>
  <c r="M380" i="59"/>
  <c r="Q380" i="59" s="1"/>
  <c r="K383" i="59"/>
  <c r="O383" i="59" s="1"/>
  <c r="L383" i="59"/>
  <c r="P383" i="59" s="1"/>
  <c r="M383" i="59"/>
  <c r="Q383" i="59" s="1"/>
  <c r="K386" i="59"/>
  <c r="O386" i="59" s="1"/>
  <c r="L386" i="59"/>
  <c r="P386" i="59" s="1"/>
  <c r="M386" i="59"/>
  <c r="Q386" i="59" s="1"/>
  <c r="K389" i="59"/>
  <c r="O389" i="59" s="1"/>
  <c r="L389" i="59"/>
  <c r="P389" i="59" s="1"/>
  <c r="M389" i="59"/>
  <c r="Q389" i="59" s="1"/>
  <c r="K392" i="59"/>
  <c r="O392" i="59" s="1"/>
  <c r="L392" i="59"/>
  <c r="P392" i="59" s="1"/>
  <c r="M392" i="59"/>
  <c r="Q392" i="59" s="1"/>
  <c r="K395" i="59"/>
  <c r="O395" i="59" s="1"/>
  <c r="L395" i="59"/>
  <c r="P395" i="59" s="1"/>
  <c r="M395" i="59"/>
  <c r="Q395" i="59" s="1"/>
  <c r="K398" i="59"/>
  <c r="O398" i="59" s="1"/>
  <c r="L398" i="59"/>
  <c r="P398" i="59" s="1"/>
  <c r="M398" i="59"/>
  <c r="Q398" i="59" s="1"/>
  <c r="K401" i="59"/>
  <c r="O401" i="59" s="1"/>
  <c r="L401" i="59"/>
  <c r="P401" i="59" s="1"/>
  <c r="M401" i="59"/>
  <c r="Q401" i="59" s="1"/>
  <c r="K404" i="59"/>
  <c r="O404" i="59" s="1"/>
  <c r="L404" i="59"/>
  <c r="P404" i="59" s="1"/>
  <c r="M404" i="59"/>
  <c r="Q404" i="59" s="1"/>
  <c r="K407" i="59"/>
  <c r="O407" i="59" s="1"/>
  <c r="L407" i="59"/>
  <c r="P407" i="59" s="1"/>
  <c r="M407" i="59"/>
  <c r="Q407" i="59" s="1"/>
  <c r="K410" i="59"/>
  <c r="O410" i="59" s="1"/>
  <c r="L410" i="59"/>
  <c r="P410" i="59" s="1"/>
  <c r="M410" i="59"/>
  <c r="Q410" i="59" s="1"/>
  <c r="K413" i="59"/>
  <c r="O413" i="59" s="1"/>
  <c r="L413" i="59"/>
  <c r="P413" i="59" s="1"/>
  <c r="M413" i="59"/>
  <c r="Q413" i="59" s="1"/>
  <c r="K416" i="59"/>
  <c r="O416" i="59" s="1"/>
  <c r="L416" i="59"/>
  <c r="P416" i="59" s="1"/>
  <c r="M416" i="59"/>
  <c r="Q416" i="59" s="1"/>
  <c r="K419" i="59"/>
  <c r="O419" i="59" s="1"/>
  <c r="L419" i="59"/>
  <c r="P419" i="59" s="1"/>
  <c r="M419" i="59"/>
  <c r="Q419" i="59" s="1"/>
  <c r="K422" i="59"/>
  <c r="O422" i="59" s="1"/>
  <c r="L422" i="59"/>
  <c r="P422" i="59" s="1"/>
  <c r="M422" i="59"/>
  <c r="Q422" i="59" s="1"/>
  <c r="K425" i="59"/>
  <c r="O425" i="59" s="1"/>
  <c r="L425" i="59"/>
  <c r="P425" i="59" s="1"/>
  <c r="M425" i="59"/>
  <c r="Q425" i="59" s="1"/>
  <c r="K428" i="59"/>
  <c r="O428" i="59" s="1"/>
  <c r="L428" i="59"/>
  <c r="P428" i="59" s="1"/>
  <c r="M428" i="59"/>
  <c r="Q428" i="59" s="1"/>
  <c r="K431" i="59"/>
  <c r="O431" i="59" s="1"/>
  <c r="L431" i="59"/>
  <c r="P431" i="59" s="1"/>
  <c r="M431" i="59"/>
  <c r="Q431" i="59" s="1"/>
  <c r="K434" i="59"/>
  <c r="O434" i="59" s="1"/>
  <c r="L434" i="59"/>
  <c r="P434" i="59" s="1"/>
  <c r="M434" i="59"/>
  <c r="Q434" i="59" s="1"/>
  <c r="K437" i="59"/>
  <c r="O437" i="59" s="1"/>
  <c r="L437" i="59"/>
  <c r="P437" i="59" s="1"/>
  <c r="M437" i="59"/>
  <c r="Q437" i="59" s="1"/>
  <c r="K440" i="59"/>
  <c r="O440" i="59" s="1"/>
  <c r="L440" i="59"/>
  <c r="P440" i="59" s="1"/>
  <c r="M440" i="59"/>
  <c r="Q440" i="59" s="1"/>
  <c r="K443" i="59"/>
  <c r="O443" i="59" s="1"/>
  <c r="L443" i="59"/>
  <c r="P443" i="59" s="1"/>
  <c r="M443" i="59"/>
  <c r="Q443" i="59" s="1"/>
  <c r="K446" i="59"/>
  <c r="O446" i="59" s="1"/>
  <c r="L446" i="59"/>
  <c r="P446" i="59" s="1"/>
  <c r="M446" i="59"/>
  <c r="Q446" i="59" s="1"/>
  <c r="K449" i="59"/>
  <c r="O449" i="59" s="1"/>
  <c r="L449" i="59"/>
  <c r="P449" i="59" s="1"/>
  <c r="M449" i="59"/>
  <c r="Q449" i="59" s="1"/>
  <c r="K452" i="59"/>
  <c r="O452" i="59" s="1"/>
  <c r="L452" i="59"/>
  <c r="P452" i="59" s="1"/>
  <c r="M452" i="59"/>
  <c r="Q452" i="59" s="1"/>
  <c r="K455" i="59"/>
  <c r="O455" i="59" s="1"/>
  <c r="L455" i="59"/>
  <c r="P455" i="59" s="1"/>
  <c r="M455" i="59"/>
  <c r="Q455" i="59" s="1"/>
  <c r="K458" i="59"/>
  <c r="O458" i="59" s="1"/>
  <c r="L458" i="59"/>
  <c r="P458" i="59" s="1"/>
  <c r="M458" i="59"/>
  <c r="Q458" i="59" s="1"/>
  <c r="K461" i="59"/>
  <c r="O461" i="59" s="1"/>
  <c r="L461" i="59"/>
  <c r="P461" i="59" s="1"/>
  <c r="M461" i="59"/>
  <c r="Q461" i="59" s="1"/>
  <c r="K464" i="59"/>
  <c r="O464" i="59" s="1"/>
  <c r="L464" i="59"/>
  <c r="P464" i="59" s="1"/>
  <c r="M464" i="59"/>
  <c r="Q464" i="59" s="1"/>
  <c r="K467" i="59"/>
  <c r="O467" i="59" s="1"/>
  <c r="L467" i="59"/>
  <c r="P467" i="59" s="1"/>
  <c r="M467" i="59"/>
  <c r="Q467" i="59" s="1"/>
  <c r="K470" i="59"/>
  <c r="O470" i="59" s="1"/>
  <c r="L470" i="59"/>
  <c r="P470" i="59" s="1"/>
  <c r="M470" i="59"/>
  <c r="Q470" i="59" s="1"/>
  <c r="K473" i="59"/>
  <c r="O473" i="59" s="1"/>
  <c r="L473" i="59"/>
  <c r="P473" i="59" s="1"/>
  <c r="M473" i="59"/>
  <c r="Q473" i="59" s="1"/>
  <c r="K476" i="59"/>
  <c r="O476" i="59" s="1"/>
  <c r="L476" i="59"/>
  <c r="P476" i="59" s="1"/>
  <c r="M476" i="59"/>
  <c r="Q476" i="59" s="1"/>
  <c r="K479" i="59"/>
  <c r="O479" i="59" s="1"/>
  <c r="L479" i="59"/>
  <c r="P479" i="59" s="1"/>
  <c r="M479" i="59"/>
  <c r="Q479" i="59" s="1"/>
  <c r="K482" i="59"/>
  <c r="O482" i="59" s="1"/>
  <c r="L482" i="59"/>
  <c r="P482" i="59" s="1"/>
  <c r="M482" i="59"/>
  <c r="Q482" i="59" s="1"/>
  <c r="K485" i="59"/>
  <c r="O485" i="59" s="1"/>
  <c r="L485" i="59"/>
  <c r="P485" i="59" s="1"/>
  <c r="M485" i="59"/>
  <c r="Q485" i="59" s="1"/>
  <c r="K488" i="59"/>
  <c r="O488" i="59" s="1"/>
  <c r="L488" i="59"/>
  <c r="P488" i="59" s="1"/>
  <c r="M488" i="59"/>
  <c r="Q488" i="59" s="1"/>
  <c r="K491" i="59"/>
  <c r="O491" i="59" s="1"/>
  <c r="L491" i="59"/>
  <c r="P491" i="59" s="1"/>
  <c r="M491" i="59"/>
  <c r="Q491" i="59" s="1"/>
  <c r="K494" i="59"/>
  <c r="O494" i="59" s="1"/>
  <c r="L494" i="59"/>
  <c r="P494" i="59" s="1"/>
  <c r="M494" i="59"/>
  <c r="Q494" i="59" s="1"/>
  <c r="K497" i="59"/>
  <c r="O497" i="59" s="1"/>
  <c r="L497" i="59"/>
  <c r="P497" i="59" s="1"/>
  <c r="M497" i="59"/>
  <c r="Q497" i="59" s="1"/>
  <c r="K500" i="59"/>
  <c r="O500" i="59" s="1"/>
  <c r="L500" i="59"/>
  <c r="P500" i="59" s="1"/>
  <c r="M500" i="59"/>
  <c r="Q500" i="59" s="1"/>
  <c r="K503" i="59"/>
  <c r="O503" i="59" s="1"/>
  <c r="L503" i="59"/>
  <c r="P503" i="59" s="1"/>
  <c r="M503" i="59"/>
  <c r="Q503" i="59" s="1"/>
  <c r="K506" i="59"/>
  <c r="O506" i="59" s="1"/>
  <c r="L506" i="59"/>
  <c r="P506" i="59" s="1"/>
  <c r="M506" i="59"/>
  <c r="Q506" i="59" s="1"/>
  <c r="K509" i="59"/>
  <c r="O509" i="59" s="1"/>
  <c r="L509" i="59"/>
  <c r="P509" i="59" s="1"/>
  <c r="M509" i="59"/>
  <c r="Q509" i="59" s="1"/>
  <c r="K512" i="59"/>
  <c r="O512" i="59" s="1"/>
  <c r="L512" i="59"/>
  <c r="P512" i="59" s="1"/>
  <c r="M512" i="59"/>
  <c r="Q512" i="59" s="1"/>
  <c r="K515" i="59"/>
  <c r="O515" i="59" s="1"/>
  <c r="L515" i="59"/>
  <c r="P515" i="59" s="1"/>
  <c r="M515" i="59"/>
  <c r="Q515" i="59" s="1"/>
  <c r="K518" i="59"/>
  <c r="O518" i="59" s="1"/>
  <c r="L518" i="59"/>
  <c r="P518" i="59" s="1"/>
  <c r="M518" i="59"/>
  <c r="Q518" i="59" s="1"/>
  <c r="K521" i="59"/>
  <c r="O521" i="59" s="1"/>
  <c r="L521" i="59"/>
  <c r="P521" i="59" s="1"/>
  <c r="M521" i="59"/>
  <c r="Q521" i="59" s="1"/>
  <c r="K524" i="59"/>
  <c r="O524" i="59" s="1"/>
  <c r="L524" i="59"/>
  <c r="P524" i="59" s="1"/>
  <c r="M524" i="59"/>
  <c r="Q524" i="59" s="1"/>
  <c r="K527" i="59"/>
  <c r="O527" i="59" s="1"/>
  <c r="L527" i="59"/>
  <c r="P527" i="59" s="1"/>
  <c r="M527" i="59"/>
  <c r="Q527" i="59" s="1"/>
  <c r="K530" i="59"/>
  <c r="O530" i="59" s="1"/>
  <c r="L530" i="59"/>
  <c r="P530" i="59" s="1"/>
  <c r="M530" i="59"/>
  <c r="Q530" i="59" s="1"/>
  <c r="K533" i="59"/>
  <c r="O533" i="59" s="1"/>
  <c r="L533" i="59"/>
  <c r="P533" i="59" s="1"/>
  <c r="M533" i="59"/>
  <c r="Q533" i="59" s="1"/>
  <c r="K536" i="59"/>
  <c r="O536" i="59" s="1"/>
  <c r="L536" i="59"/>
  <c r="P536" i="59" s="1"/>
  <c r="M536" i="59"/>
  <c r="Q536" i="59" s="1"/>
  <c r="K539" i="59"/>
  <c r="O539" i="59" s="1"/>
  <c r="L539" i="59"/>
  <c r="P539" i="59" s="1"/>
  <c r="M539" i="59"/>
  <c r="Q539" i="59" s="1"/>
  <c r="K542" i="59"/>
  <c r="O542" i="59" s="1"/>
  <c r="L542" i="59"/>
  <c r="P542" i="59" s="1"/>
  <c r="M542" i="59"/>
  <c r="Q542" i="59" s="1"/>
  <c r="K545" i="59"/>
  <c r="O545" i="59" s="1"/>
  <c r="L545" i="59"/>
  <c r="P545" i="59" s="1"/>
  <c r="M545" i="59"/>
  <c r="Q545" i="59" s="1"/>
  <c r="K548" i="59"/>
  <c r="O548" i="59" s="1"/>
  <c r="L548" i="59"/>
  <c r="P548" i="59" s="1"/>
  <c r="M548" i="59"/>
  <c r="Q548" i="59" s="1"/>
  <c r="K551" i="59"/>
  <c r="O551" i="59" s="1"/>
  <c r="L551" i="59"/>
  <c r="P551" i="59" s="1"/>
  <c r="M551" i="59"/>
  <c r="Q551" i="59" s="1"/>
  <c r="K554" i="59"/>
  <c r="O554" i="59" s="1"/>
  <c r="L554" i="59"/>
  <c r="P554" i="59" s="1"/>
  <c r="M554" i="59"/>
  <c r="Q554" i="59" s="1"/>
  <c r="K557" i="59"/>
  <c r="O557" i="59" s="1"/>
  <c r="L557" i="59"/>
  <c r="P557" i="59" s="1"/>
  <c r="M557" i="59"/>
  <c r="Q557" i="59" s="1"/>
  <c r="K560" i="59"/>
  <c r="O560" i="59" s="1"/>
  <c r="L560" i="59"/>
  <c r="P560" i="59" s="1"/>
  <c r="M560" i="59"/>
  <c r="Q560" i="59" s="1"/>
  <c r="K563" i="59"/>
  <c r="O563" i="59" s="1"/>
  <c r="L563" i="59"/>
  <c r="P563" i="59" s="1"/>
  <c r="M563" i="59"/>
  <c r="Q563" i="59" s="1"/>
  <c r="K566" i="59"/>
  <c r="O566" i="59" s="1"/>
  <c r="L566" i="59"/>
  <c r="P566" i="59" s="1"/>
  <c r="M566" i="59"/>
  <c r="Q566" i="59" s="1"/>
  <c r="K569" i="59"/>
  <c r="O569" i="59" s="1"/>
  <c r="L569" i="59"/>
  <c r="P569" i="59" s="1"/>
  <c r="M569" i="59"/>
  <c r="Q569" i="59" s="1"/>
  <c r="K572" i="59"/>
  <c r="O572" i="59" s="1"/>
  <c r="L572" i="59"/>
  <c r="P572" i="59" s="1"/>
  <c r="M572" i="59"/>
  <c r="Q572" i="59" s="1"/>
  <c r="K575" i="59"/>
  <c r="O575" i="59" s="1"/>
  <c r="L575" i="59"/>
  <c r="P575" i="59" s="1"/>
  <c r="M575" i="59"/>
  <c r="Q575" i="59" s="1"/>
  <c r="K578" i="59"/>
  <c r="O578" i="59" s="1"/>
  <c r="L578" i="59"/>
  <c r="P578" i="59" s="1"/>
  <c r="M578" i="59"/>
  <c r="Q578" i="59" s="1"/>
  <c r="K581" i="59"/>
  <c r="O581" i="59" s="1"/>
  <c r="L581" i="59"/>
  <c r="P581" i="59" s="1"/>
  <c r="M581" i="59"/>
  <c r="Q581" i="59" s="1"/>
  <c r="K584" i="59"/>
  <c r="O584" i="59" s="1"/>
  <c r="L584" i="59"/>
  <c r="P584" i="59" s="1"/>
  <c r="M584" i="59"/>
  <c r="Q584" i="59" s="1"/>
  <c r="K587" i="59"/>
  <c r="O587" i="59" s="1"/>
  <c r="L587" i="59"/>
  <c r="P587" i="59" s="1"/>
  <c r="M587" i="59"/>
  <c r="Q587" i="59" s="1"/>
  <c r="K590" i="59"/>
  <c r="O590" i="59" s="1"/>
  <c r="L590" i="59"/>
  <c r="P590" i="59" s="1"/>
  <c r="M590" i="59"/>
  <c r="Q590" i="59" s="1"/>
  <c r="K593" i="59"/>
  <c r="O593" i="59" s="1"/>
  <c r="L593" i="59"/>
  <c r="P593" i="59" s="1"/>
  <c r="M593" i="59"/>
  <c r="Q593" i="59" s="1"/>
  <c r="K596" i="59"/>
  <c r="O596" i="59" s="1"/>
  <c r="L596" i="59"/>
  <c r="P596" i="59" s="1"/>
  <c r="M596" i="59"/>
  <c r="Q596" i="59" s="1"/>
  <c r="K599" i="59"/>
  <c r="O599" i="59" s="1"/>
  <c r="L599" i="59"/>
  <c r="P599" i="59" s="1"/>
  <c r="M599" i="59"/>
  <c r="Q599" i="59" s="1"/>
  <c r="K602" i="59"/>
  <c r="O602" i="59" s="1"/>
  <c r="L602" i="59"/>
  <c r="P602" i="59" s="1"/>
  <c r="M602" i="59"/>
  <c r="Q602" i="59" s="1"/>
  <c r="K605" i="59"/>
  <c r="O605" i="59" s="1"/>
  <c r="L605" i="59"/>
  <c r="P605" i="59" s="1"/>
  <c r="M605" i="59"/>
  <c r="Q605" i="59" s="1"/>
  <c r="K608" i="59"/>
  <c r="O608" i="59" s="1"/>
  <c r="L608" i="59"/>
  <c r="P608" i="59" s="1"/>
  <c r="M608" i="59"/>
  <c r="Q608" i="59" s="1"/>
  <c r="K611" i="59"/>
  <c r="O611" i="59" s="1"/>
  <c r="L611" i="59"/>
  <c r="P611" i="59" s="1"/>
  <c r="M611" i="59"/>
  <c r="Q611" i="59" s="1"/>
  <c r="K614" i="59"/>
  <c r="O614" i="59" s="1"/>
  <c r="L614" i="59"/>
  <c r="P614" i="59" s="1"/>
  <c r="M614" i="59"/>
  <c r="Q614" i="59" s="1"/>
  <c r="K617" i="59"/>
  <c r="O617" i="59" s="1"/>
  <c r="L617" i="59"/>
  <c r="P617" i="59" s="1"/>
  <c r="M617" i="59"/>
  <c r="Q617" i="59" s="1"/>
  <c r="K620" i="59"/>
  <c r="O620" i="59" s="1"/>
  <c r="L620" i="59"/>
  <c r="P620" i="59" s="1"/>
  <c r="M620" i="59"/>
  <c r="Q620" i="59" s="1"/>
  <c r="K623" i="59"/>
  <c r="O623" i="59" s="1"/>
  <c r="L623" i="59"/>
  <c r="P623" i="59" s="1"/>
  <c r="M623" i="59"/>
  <c r="Q623" i="59" s="1"/>
  <c r="K626" i="59"/>
  <c r="O626" i="59" s="1"/>
  <c r="L626" i="59"/>
  <c r="P626" i="59" s="1"/>
  <c r="M626" i="59"/>
  <c r="Q626" i="59" s="1"/>
  <c r="K629" i="59"/>
  <c r="O629" i="59" s="1"/>
  <c r="L629" i="59"/>
  <c r="P629" i="59" s="1"/>
  <c r="M629" i="59"/>
  <c r="Q629" i="59" s="1"/>
  <c r="K632" i="59"/>
  <c r="O632" i="59" s="1"/>
  <c r="L632" i="59"/>
  <c r="P632" i="59" s="1"/>
  <c r="M632" i="59"/>
  <c r="Q632" i="59" s="1"/>
  <c r="K635" i="59"/>
  <c r="O635" i="59" s="1"/>
  <c r="L635" i="59"/>
  <c r="P635" i="59" s="1"/>
  <c r="M635" i="59"/>
  <c r="Q635" i="59" s="1"/>
  <c r="K638" i="59"/>
  <c r="O638" i="59" s="1"/>
  <c r="L638" i="59"/>
  <c r="P638" i="59" s="1"/>
  <c r="M638" i="59"/>
  <c r="Q638" i="59" s="1"/>
  <c r="K641" i="59"/>
  <c r="O641" i="59" s="1"/>
  <c r="L641" i="59"/>
  <c r="P641" i="59" s="1"/>
  <c r="M641" i="59"/>
  <c r="Q641" i="59" s="1"/>
  <c r="K644" i="59"/>
  <c r="O644" i="59" s="1"/>
  <c r="L644" i="59"/>
  <c r="P644" i="59" s="1"/>
  <c r="M644" i="59"/>
  <c r="Q644" i="59" s="1"/>
  <c r="K647" i="59"/>
  <c r="O647" i="59" s="1"/>
  <c r="L647" i="59"/>
  <c r="P647" i="59" s="1"/>
  <c r="M647" i="59"/>
  <c r="Q647" i="59" s="1"/>
  <c r="K650" i="59"/>
  <c r="O650" i="59" s="1"/>
  <c r="L650" i="59"/>
  <c r="P650" i="59" s="1"/>
  <c r="M650" i="59"/>
  <c r="Q650" i="59" s="1"/>
  <c r="K653" i="59"/>
  <c r="O653" i="59" s="1"/>
  <c r="L653" i="59"/>
  <c r="P653" i="59" s="1"/>
  <c r="M653" i="59"/>
  <c r="Q653" i="59" s="1"/>
  <c r="K656" i="59"/>
  <c r="O656" i="59" s="1"/>
  <c r="L656" i="59"/>
  <c r="P656" i="59" s="1"/>
  <c r="M656" i="59"/>
  <c r="Q656" i="59" s="1"/>
  <c r="K659" i="59"/>
  <c r="O659" i="59" s="1"/>
  <c r="L659" i="59"/>
  <c r="P659" i="59" s="1"/>
  <c r="M659" i="59"/>
  <c r="Q659" i="59" s="1"/>
  <c r="K662" i="59"/>
  <c r="O662" i="59" s="1"/>
  <c r="L662" i="59"/>
  <c r="P662" i="59" s="1"/>
  <c r="M662" i="59"/>
  <c r="Q662" i="59" s="1"/>
  <c r="K665" i="59"/>
  <c r="O665" i="59" s="1"/>
  <c r="L665" i="59"/>
  <c r="P665" i="59" s="1"/>
  <c r="M665" i="59"/>
  <c r="Q665" i="59" s="1"/>
  <c r="K668" i="59"/>
  <c r="O668" i="59" s="1"/>
  <c r="L668" i="59"/>
  <c r="P668" i="59" s="1"/>
  <c r="M668" i="59"/>
  <c r="Q668" i="59" s="1"/>
  <c r="K671" i="59"/>
  <c r="O671" i="59" s="1"/>
  <c r="L671" i="59"/>
  <c r="P671" i="59" s="1"/>
  <c r="M671" i="59"/>
  <c r="Q671" i="59" s="1"/>
  <c r="K674" i="59"/>
  <c r="O674" i="59" s="1"/>
  <c r="L674" i="59"/>
  <c r="P674" i="59" s="1"/>
  <c r="M674" i="59"/>
  <c r="Q674" i="59" s="1"/>
  <c r="K677" i="59"/>
  <c r="O677" i="59" s="1"/>
  <c r="L677" i="59"/>
  <c r="P677" i="59" s="1"/>
  <c r="M677" i="59"/>
  <c r="Q677" i="59" s="1"/>
  <c r="K680" i="59"/>
  <c r="O680" i="59" s="1"/>
  <c r="L680" i="59"/>
  <c r="P680" i="59" s="1"/>
  <c r="M680" i="59"/>
  <c r="Q680" i="59" s="1"/>
  <c r="K683" i="59"/>
  <c r="O683" i="59" s="1"/>
  <c r="L683" i="59"/>
  <c r="P683" i="59" s="1"/>
  <c r="M683" i="59"/>
  <c r="Q683" i="59" s="1"/>
  <c r="K686" i="59"/>
  <c r="O686" i="59" s="1"/>
  <c r="L686" i="59"/>
  <c r="P686" i="59" s="1"/>
  <c r="M686" i="59"/>
  <c r="Q686" i="59" s="1"/>
  <c r="K689" i="59"/>
  <c r="O689" i="59" s="1"/>
  <c r="L689" i="59"/>
  <c r="P689" i="59" s="1"/>
  <c r="M689" i="59"/>
  <c r="Q689" i="59" s="1"/>
  <c r="K692" i="59"/>
  <c r="O692" i="59" s="1"/>
  <c r="L692" i="59"/>
  <c r="P692" i="59" s="1"/>
  <c r="M692" i="59"/>
  <c r="Q692" i="59" s="1"/>
  <c r="K695" i="59"/>
  <c r="O695" i="59" s="1"/>
  <c r="L695" i="59"/>
  <c r="P695" i="59" s="1"/>
  <c r="M695" i="59"/>
  <c r="Q695" i="59" s="1"/>
  <c r="K698" i="59"/>
  <c r="O698" i="59" s="1"/>
  <c r="L698" i="59"/>
  <c r="P698" i="59" s="1"/>
  <c r="M698" i="59"/>
  <c r="Q698" i="59" s="1"/>
  <c r="K701" i="59"/>
  <c r="O701" i="59" s="1"/>
  <c r="L701" i="59"/>
  <c r="P701" i="59" s="1"/>
  <c r="M701" i="59"/>
  <c r="Q701" i="59" s="1"/>
  <c r="K704" i="59"/>
  <c r="O704" i="59" s="1"/>
  <c r="L704" i="59"/>
  <c r="P704" i="59" s="1"/>
  <c r="M704" i="59"/>
  <c r="Q704" i="59" s="1"/>
  <c r="K707" i="59"/>
  <c r="O707" i="59" s="1"/>
  <c r="L707" i="59"/>
  <c r="P707" i="59" s="1"/>
  <c r="M707" i="59"/>
  <c r="Q707" i="59" s="1"/>
  <c r="K710" i="59"/>
  <c r="O710" i="59" s="1"/>
  <c r="L710" i="59"/>
  <c r="P710" i="59" s="1"/>
  <c r="M710" i="59"/>
  <c r="Q710" i="59" s="1"/>
  <c r="K713" i="59"/>
  <c r="O713" i="59" s="1"/>
  <c r="L713" i="59"/>
  <c r="P713" i="59" s="1"/>
  <c r="M713" i="59"/>
  <c r="Q713" i="59" s="1"/>
  <c r="K716" i="59"/>
  <c r="O716" i="59" s="1"/>
  <c r="L716" i="59"/>
  <c r="P716" i="59" s="1"/>
  <c r="M716" i="59"/>
  <c r="Q716" i="59" s="1"/>
  <c r="K719" i="59"/>
  <c r="O719" i="59" s="1"/>
  <c r="L719" i="59"/>
  <c r="P719" i="59" s="1"/>
  <c r="M719" i="59"/>
  <c r="Q719" i="59" s="1"/>
  <c r="K722" i="59"/>
  <c r="O722" i="59" s="1"/>
  <c r="L722" i="59"/>
  <c r="P722" i="59" s="1"/>
  <c r="M722" i="59"/>
  <c r="Q722" i="59" s="1"/>
  <c r="K725" i="59"/>
  <c r="O725" i="59" s="1"/>
  <c r="L725" i="59"/>
  <c r="P725" i="59" s="1"/>
  <c r="M725" i="59"/>
  <c r="Q725" i="59" s="1"/>
  <c r="K728" i="59"/>
  <c r="O728" i="59" s="1"/>
  <c r="L728" i="59"/>
  <c r="P728" i="59" s="1"/>
  <c r="M728" i="59"/>
  <c r="Q728" i="59" s="1"/>
  <c r="K731" i="59"/>
  <c r="O731" i="59" s="1"/>
  <c r="L731" i="59"/>
  <c r="P731" i="59" s="1"/>
  <c r="M731" i="59"/>
  <c r="Q731" i="59" s="1"/>
  <c r="K734" i="59"/>
  <c r="O734" i="59" s="1"/>
  <c r="L734" i="59"/>
  <c r="P734" i="59" s="1"/>
  <c r="M734" i="59"/>
  <c r="Q734" i="59" s="1"/>
  <c r="K737" i="59"/>
  <c r="O737" i="59" s="1"/>
  <c r="L737" i="59"/>
  <c r="P737" i="59" s="1"/>
  <c r="M737" i="59"/>
  <c r="Q737" i="59" s="1"/>
  <c r="K740" i="59"/>
  <c r="O740" i="59" s="1"/>
  <c r="L740" i="59"/>
  <c r="P740" i="59" s="1"/>
  <c r="M740" i="59"/>
  <c r="Q740" i="59" s="1"/>
  <c r="K743" i="59"/>
  <c r="O743" i="59" s="1"/>
  <c r="L743" i="59"/>
  <c r="P743" i="59" s="1"/>
  <c r="M743" i="59"/>
  <c r="Q743" i="59" s="1"/>
  <c r="K746" i="59"/>
  <c r="O746" i="59" s="1"/>
  <c r="L746" i="59"/>
  <c r="P746" i="59" s="1"/>
  <c r="M746" i="59"/>
  <c r="Q746" i="59" s="1"/>
  <c r="K749" i="59"/>
  <c r="O749" i="59" s="1"/>
  <c r="L749" i="59"/>
  <c r="P749" i="59" s="1"/>
  <c r="M749" i="59"/>
  <c r="Q749" i="59" s="1"/>
  <c r="K3" i="59"/>
  <c r="O3" i="59" s="1"/>
  <c r="L3" i="59"/>
  <c r="P3" i="59" s="1"/>
  <c r="M3" i="59"/>
  <c r="Q3" i="59" s="1"/>
  <c r="K6" i="59"/>
  <c r="O6" i="59" s="1"/>
  <c r="L6" i="59"/>
  <c r="P6" i="59" s="1"/>
  <c r="M6" i="59"/>
  <c r="Q6" i="59" s="1"/>
  <c r="K9" i="59"/>
  <c r="O9" i="59" s="1"/>
  <c r="L9" i="59"/>
  <c r="P9" i="59" s="1"/>
  <c r="M9" i="59"/>
  <c r="Q9" i="59" s="1"/>
  <c r="K12" i="59"/>
  <c r="O12" i="59" s="1"/>
  <c r="L12" i="59"/>
  <c r="P12" i="59" s="1"/>
  <c r="M12" i="59"/>
  <c r="Q12" i="59" s="1"/>
  <c r="K15" i="59"/>
  <c r="O15" i="59" s="1"/>
  <c r="L15" i="59"/>
  <c r="P15" i="59" s="1"/>
  <c r="M15" i="59"/>
  <c r="Q15" i="59" s="1"/>
  <c r="K18" i="59"/>
  <c r="O18" i="59" s="1"/>
  <c r="L18" i="59"/>
  <c r="P18" i="59" s="1"/>
  <c r="M18" i="59"/>
  <c r="Q18" i="59" s="1"/>
  <c r="K21" i="59"/>
  <c r="O21" i="59" s="1"/>
  <c r="L21" i="59"/>
  <c r="P21" i="59" s="1"/>
  <c r="M21" i="59"/>
  <c r="Q21" i="59" s="1"/>
  <c r="K24" i="59"/>
  <c r="O24" i="59" s="1"/>
  <c r="L24" i="59"/>
  <c r="P24" i="59" s="1"/>
  <c r="M24" i="59"/>
  <c r="Q24" i="59" s="1"/>
  <c r="K27" i="59"/>
  <c r="O27" i="59" s="1"/>
  <c r="L27" i="59"/>
  <c r="P27" i="59" s="1"/>
  <c r="M27" i="59"/>
  <c r="Q27" i="59" s="1"/>
  <c r="K30" i="59"/>
  <c r="O30" i="59" s="1"/>
  <c r="L30" i="59"/>
  <c r="P30" i="59" s="1"/>
  <c r="M30" i="59"/>
  <c r="Q30" i="59" s="1"/>
  <c r="K33" i="59"/>
  <c r="O33" i="59" s="1"/>
  <c r="L33" i="59"/>
  <c r="P33" i="59" s="1"/>
  <c r="M33" i="59"/>
  <c r="Q33" i="59" s="1"/>
  <c r="K36" i="59"/>
  <c r="O36" i="59" s="1"/>
  <c r="L36" i="59"/>
  <c r="P36" i="59" s="1"/>
  <c r="M36" i="59"/>
  <c r="Q36" i="59" s="1"/>
  <c r="K39" i="59"/>
  <c r="O39" i="59" s="1"/>
  <c r="L39" i="59"/>
  <c r="P39" i="59" s="1"/>
  <c r="M39" i="59"/>
  <c r="Q39" i="59" s="1"/>
  <c r="K42" i="59"/>
  <c r="O42" i="59" s="1"/>
  <c r="L42" i="59"/>
  <c r="P42" i="59" s="1"/>
  <c r="M42" i="59"/>
  <c r="Q42" i="59" s="1"/>
  <c r="K45" i="59"/>
  <c r="O45" i="59" s="1"/>
  <c r="L45" i="59"/>
  <c r="P45" i="59" s="1"/>
  <c r="M45" i="59"/>
  <c r="Q45" i="59" s="1"/>
  <c r="K48" i="59"/>
  <c r="O48" i="59" s="1"/>
  <c r="L48" i="59"/>
  <c r="P48" i="59" s="1"/>
  <c r="M48" i="59"/>
  <c r="Q48" i="59" s="1"/>
  <c r="K51" i="59"/>
  <c r="O51" i="59" s="1"/>
  <c r="L51" i="59"/>
  <c r="P51" i="59" s="1"/>
  <c r="M51" i="59"/>
  <c r="Q51" i="59" s="1"/>
  <c r="K54" i="59"/>
  <c r="O54" i="59" s="1"/>
  <c r="L54" i="59"/>
  <c r="P54" i="59" s="1"/>
  <c r="M54" i="59"/>
  <c r="Q54" i="59" s="1"/>
  <c r="K57" i="59"/>
  <c r="O57" i="59" s="1"/>
  <c r="L57" i="59"/>
  <c r="P57" i="59" s="1"/>
  <c r="M57" i="59"/>
  <c r="Q57" i="59" s="1"/>
  <c r="K60" i="59"/>
  <c r="O60" i="59" s="1"/>
  <c r="L60" i="59"/>
  <c r="P60" i="59" s="1"/>
  <c r="M60" i="59"/>
  <c r="Q60" i="59" s="1"/>
  <c r="K63" i="59"/>
  <c r="O63" i="59" s="1"/>
  <c r="L63" i="59"/>
  <c r="P63" i="59" s="1"/>
  <c r="M63" i="59"/>
  <c r="Q63" i="59" s="1"/>
  <c r="K66" i="59"/>
  <c r="O66" i="59" s="1"/>
  <c r="L66" i="59"/>
  <c r="P66" i="59" s="1"/>
  <c r="M66" i="59"/>
  <c r="Q66" i="59" s="1"/>
  <c r="K69" i="59"/>
  <c r="O69" i="59" s="1"/>
  <c r="L69" i="59"/>
  <c r="P69" i="59" s="1"/>
  <c r="M69" i="59"/>
  <c r="Q69" i="59" s="1"/>
  <c r="K72" i="59"/>
  <c r="O72" i="59" s="1"/>
  <c r="L72" i="59"/>
  <c r="P72" i="59" s="1"/>
  <c r="M72" i="59"/>
  <c r="Q72" i="59" s="1"/>
  <c r="K75" i="59"/>
  <c r="O75" i="59" s="1"/>
  <c r="L75" i="59"/>
  <c r="P75" i="59" s="1"/>
  <c r="M75" i="59"/>
  <c r="Q75" i="59" s="1"/>
  <c r="K78" i="59"/>
  <c r="O78" i="59" s="1"/>
  <c r="L78" i="59"/>
  <c r="P78" i="59" s="1"/>
  <c r="M78" i="59"/>
  <c r="Q78" i="59" s="1"/>
  <c r="K81" i="59"/>
  <c r="O81" i="59" s="1"/>
  <c r="L81" i="59"/>
  <c r="P81" i="59" s="1"/>
  <c r="M81" i="59"/>
  <c r="Q81" i="59" s="1"/>
  <c r="K84" i="59"/>
  <c r="O84" i="59" s="1"/>
  <c r="L84" i="59"/>
  <c r="P84" i="59" s="1"/>
  <c r="M84" i="59"/>
  <c r="Q84" i="59" s="1"/>
  <c r="K87" i="59"/>
  <c r="O87" i="59" s="1"/>
  <c r="L87" i="59"/>
  <c r="P87" i="59" s="1"/>
  <c r="M87" i="59"/>
  <c r="Q87" i="59" s="1"/>
  <c r="K90" i="59"/>
  <c r="O90" i="59" s="1"/>
  <c r="L90" i="59"/>
  <c r="P90" i="59" s="1"/>
  <c r="M90" i="59"/>
  <c r="Q90" i="59" s="1"/>
  <c r="K93" i="59"/>
  <c r="O93" i="59" s="1"/>
  <c r="L93" i="59"/>
  <c r="P93" i="59" s="1"/>
  <c r="M93" i="59"/>
  <c r="Q93" i="59" s="1"/>
  <c r="K96" i="59"/>
  <c r="O96" i="59" s="1"/>
  <c r="L96" i="59"/>
  <c r="P96" i="59" s="1"/>
  <c r="M96" i="59"/>
  <c r="Q96" i="59" s="1"/>
  <c r="K99" i="59"/>
  <c r="O99" i="59" s="1"/>
  <c r="L99" i="59"/>
  <c r="P99" i="59" s="1"/>
  <c r="M99" i="59"/>
  <c r="Q99" i="59" s="1"/>
  <c r="K102" i="59"/>
  <c r="O102" i="59" s="1"/>
  <c r="L102" i="59"/>
  <c r="P102" i="59" s="1"/>
  <c r="M102" i="59"/>
  <c r="Q102" i="59" s="1"/>
  <c r="K105" i="59"/>
  <c r="O105" i="59" s="1"/>
  <c r="L105" i="59"/>
  <c r="P105" i="59" s="1"/>
  <c r="M105" i="59"/>
  <c r="Q105" i="59" s="1"/>
  <c r="K108" i="59"/>
  <c r="O108" i="59" s="1"/>
  <c r="L108" i="59"/>
  <c r="P108" i="59" s="1"/>
  <c r="M108" i="59"/>
  <c r="Q108" i="59" s="1"/>
  <c r="K111" i="59"/>
  <c r="O111" i="59" s="1"/>
  <c r="L111" i="59"/>
  <c r="P111" i="59" s="1"/>
  <c r="M111" i="59"/>
  <c r="Q111" i="59" s="1"/>
  <c r="K114" i="59"/>
  <c r="O114" i="59" s="1"/>
  <c r="L114" i="59"/>
  <c r="P114" i="59" s="1"/>
  <c r="M114" i="59"/>
  <c r="Q114" i="59" s="1"/>
  <c r="K117" i="59"/>
  <c r="O117" i="59" s="1"/>
  <c r="L117" i="59"/>
  <c r="P117" i="59" s="1"/>
  <c r="M117" i="59"/>
  <c r="Q117" i="59" s="1"/>
  <c r="K120" i="59"/>
  <c r="O120" i="59" s="1"/>
  <c r="L120" i="59"/>
  <c r="P120" i="59" s="1"/>
  <c r="M120" i="59"/>
  <c r="Q120" i="59" s="1"/>
  <c r="K123" i="59"/>
  <c r="O123" i="59" s="1"/>
  <c r="L123" i="59"/>
  <c r="P123" i="59" s="1"/>
  <c r="M123" i="59"/>
  <c r="Q123" i="59" s="1"/>
  <c r="K126" i="59"/>
  <c r="O126" i="59" s="1"/>
  <c r="L126" i="59"/>
  <c r="P126" i="59" s="1"/>
  <c r="M126" i="59"/>
  <c r="Q126" i="59" s="1"/>
  <c r="K129" i="59"/>
  <c r="O129" i="59" s="1"/>
  <c r="L129" i="59"/>
  <c r="P129" i="59" s="1"/>
  <c r="M129" i="59"/>
  <c r="Q129" i="59" s="1"/>
  <c r="K132" i="59"/>
  <c r="O132" i="59" s="1"/>
  <c r="L132" i="59"/>
  <c r="P132" i="59" s="1"/>
  <c r="M132" i="59"/>
  <c r="Q132" i="59" s="1"/>
  <c r="K135" i="59"/>
  <c r="O135" i="59" s="1"/>
  <c r="L135" i="59"/>
  <c r="P135" i="59" s="1"/>
  <c r="M135" i="59"/>
  <c r="Q135" i="59" s="1"/>
  <c r="K138" i="59"/>
  <c r="O138" i="59" s="1"/>
  <c r="L138" i="59"/>
  <c r="P138" i="59" s="1"/>
  <c r="M138" i="59"/>
  <c r="Q138" i="59" s="1"/>
  <c r="K141" i="59"/>
  <c r="O141" i="59" s="1"/>
  <c r="L141" i="59"/>
  <c r="P141" i="59" s="1"/>
  <c r="M141" i="59"/>
  <c r="Q141" i="59" s="1"/>
  <c r="K144" i="59"/>
  <c r="O144" i="59" s="1"/>
  <c r="L144" i="59"/>
  <c r="P144" i="59" s="1"/>
  <c r="M144" i="59"/>
  <c r="Q144" i="59" s="1"/>
  <c r="K147" i="59"/>
  <c r="O147" i="59" s="1"/>
  <c r="L147" i="59"/>
  <c r="P147" i="59" s="1"/>
  <c r="M147" i="59"/>
  <c r="Q147" i="59" s="1"/>
  <c r="K150" i="59"/>
  <c r="O150" i="59" s="1"/>
  <c r="L150" i="59"/>
  <c r="P150" i="59" s="1"/>
  <c r="M150" i="59"/>
  <c r="Q150" i="59" s="1"/>
  <c r="K153" i="59"/>
  <c r="O153" i="59" s="1"/>
  <c r="L153" i="59"/>
  <c r="P153" i="59" s="1"/>
  <c r="M153" i="59"/>
  <c r="Q153" i="59" s="1"/>
  <c r="K156" i="59"/>
  <c r="O156" i="59" s="1"/>
  <c r="L156" i="59"/>
  <c r="P156" i="59" s="1"/>
  <c r="M156" i="59"/>
  <c r="Q156" i="59" s="1"/>
  <c r="K159" i="59"/>
  <c r="O159" i="59" s="1"/>
  <c r="L159" i="59"/>
  <c r="P159" i="59" s="1"/>
  <c r="M159" i="59"/>
  <c r="Q159" i="59" s="1"/>
  <c r="K162" i="59"/>
  <c r="O162" i="59" s="1"/>
  <c r="L162" i="59"/>
  <c r="P162" i="59" s="1"/>
  <c r="M162" i="59"/>
  <c r="Q162" i="59" s="1"/>
  <c r="K165" i="59"/>
  <c r="O165" i="59" s="1"/>
  <c r="L165" i="59"/>
  <c r="P165" i="59" s="1"/>
  <c r="M165" i="59"/>
  <c r="Q165" i="59" s="1"/>
  <c r="K168" i="59"/>
  <c r="O168" i="59" s="1"/>
  <c r="L168" i="59"/>
  <c r="P168" i="59" s="1"/>
  <c r="M168" i="59"/>
  <c r="Q168" i="59" s="1"/>
  <c r="K171" i="59"/>
  <c r="O171" i="59" s="1"/>
  <c r="L171" i="59"/>
  <c r="P171" i="59" s="1"/>
  <c r="M171" i="59"/>
  <c r="Q171" i="59" s="1"/>
  <c r="K174" i="59"/>
  <c r="O174" i="59" s="1"/>
  <c r="L174" i="59"/>
  <c r="P174" i="59" s="1"/>
  <c r="M174" i="59"/>
  <c r="Q174" i="59" s="1"/>
  <c r="K177" i="59"/>
  <c r="O177" i="59" s="1"/>
  <c r="L177" i="59"/>
  <c r="P177" i="59" s="1"/>
  <c r="M177" i="59"/>
  <c r="Q177" i="59" s="1"/>
  <c r="K180" i="59"/>
  <c r="O180" i="59" s="1"/>
  <c r="L180" i="59"/>
  <c r="P180" i="59" s="1"/>
  <c r="M180" i="59"/>
  <c r="Q180" i="59" s="1"/>
  <c r="K183" i="59"/>
  <c r="O183" i="59" s="1"/>
  <c r="L183" i="59"/>
  <c r="P183" i="59" s="1"/>
  <c r="M183" i="59"/>
  <c r="Q183" i="59" s="1"/>
  <c r="K186" i="59"/>
  <c r="O186" i="59" s="1"/>
  <c r="L186" i="59"/>
  <c r="P186" i="59" s="1"/>
  <c r="M186" i="59"/>
  <c r="Q186" i="59" s="1"/>
  <c r="K189" i="59"/>
  <c r="O189" i="59" s="1"/>
  <c r="L189" i="59"/>
  <c r="P189" i="59" s="1"/>
  <c r="M189" i="59"/>
  <c r="Q189" i="59" s="1"/>
  <c r="K192" i="59"/>
  <c r="O192" i="59" s="1"/>
  <c r="L192" i="59"/>
  <c r="P192" i="59" s="1"/>
  <c r="M192" i="59"/>
  <c r="Q192" i="59" s="1"/>
  <c r="K195" i="59"/>
  <c r="O195" i="59" s="1"/>
  <c r="L195" i="59"/>
  <c r="P195" i="59" s="1"/>
  <c r="M195" i="59"/>
  <c r="Q195" i="59" s="1"/>
  <c r="K198" i="59"/>
  <c r="O198" i="59" s="1"/>
  <c r="L198" i="59"/>
  <c r="P198" i="59" s="1"/>
  <c r="M198" i="59"/>
  <c r="Q198" i="59" s="1"/>
  <c r="K201" i="59"/>
  <c r="O201" i="59" s="1"/>
  <c r="L201" i="59"/>
  <c r="P201" i="59" s="1"/>
  <c r="M201" i="59"/>
  <c r="Q201" i="59" s="1"/>
  <c r="K204" i="59"/>
  <c r="O204" i="59" s="1"/>
  <c r="L204" i="59"/>
  <c r="P204" i="59" s="1"/>
  <c r="M204" i="59"/>
  <c r="Q204" i="59" s="1"/>
  <c r="K207" i="59"/>
  <c r="O207" i="59" s="1"/>
  <c r="L207" i="59"/>
  <c r="P207" i="59" s="1"/>
  <c r="M207" i="59"/>
  <c r="Q207" i="59" s="1"/>
  <c r="K210" i="59"/>
  <c r="O210" i="59" s="1"/>
  <c r="L210" i="59"/>
  <c r="P210" i="59" s="1"/>
  <c r="M210" i="59"/>
  <c r="Q210" i="59" s="1"/>
  <c r="K213" i="59"/>
  <c r="O213" i="59" s="1"/>
  <c r="L213" i="59"/>
  <c r="P213" i="59" s="1"/>
  <c r="M213" i="59"/>
  <c r="Q213" i="59" s="1"/>
  <c r="K216" i="59"/>
  <c r="O216" i="59" s="1"/>
  <c r="L216" i="59"/>
  <c r="P216" i="59" s="1"/>
  <c r="M216" i="59"/>
  <c r="Q216" i="59" s="1"/>
  <c r="K219" i="59"/>
  <c r="O219" i="59" s="1"/>
  <c r="L219" i="59"/>
  <c r="P219" i="59" s="1"/>
  <c r="M219" i="59"/>
  <c r="Q219" i="59" s="1"/>
  <c r="K222" i="59"/>
  <c r="O222" i="59" s="1"/>
  <c r="L222" i="59"/>
  <c r="P222" i="59" s="1"/>
  <c r="M222" i="59"/>
  <c r="Q222" i="59" s="1"/>
  <c r="K225" i="59"/>
  <c r="O225" i="59" s="1"/>
  <c r="L225" i="59"/>
  <c r="P225" i="59" s="1"/>
  <c r="M225" i="59"/>
  <c r="Q225" i="59" s="1"/>
  <c r="K228" i="59"/>
  <c r="O228" i="59" s="1"/>
  <c r="L228" i="59"/>
  <c r="P228" i="59" s="1"/>
  <c r="M228" i="59"/>
  <c r="Q228" i="59" s="1"/>
  <c r="K231" i="59"/>
  <c r="O231" i="59" s="1"/>
  <c r="L231" i="59"/>
  <c r="P231" i="59" s="1"/>
  <c r="M231" i="59"/>
  <c r="Q231" i="59" s="1"/>
  <c r="K234" i="59"/>
  <c r="O234" i="59" s="1"/>
  <c r="L234" i="59"/>
  <c r="P234" i="59" s="1"/>
  <c r="M234" i="59"/>
  <c r="Q234" i="59" s="1"/>
  <c r="K237" i="59"/>
  <c r="O237" i="59" s="1"/>
  <c r="L237" i="59"/>
  <c r="P237" i="59" s="1"/>
  <c r="M237" i="59"/>
  <c r="Q237" i="59" s="1"/>
  <c r="K240" i="59"/>
  <c r="O240" i="59" s="1"/>
  <c r="L240" i="59"/>
  <c r="P240" i="59" s="1"/>
  <c r="M240" i="59"/>
  <c r="Q240" i="59" s="1"/>
  <c r="K243" i="59"/>
  <c r="O243" i="59" s="1"/>
  <c r="L243" i="59"/>
  <c r="P243" i="59" s="1"/>
  <c r="M243" i="59"/>
  <c r="Q243" i="59" s="1"/>
  <c r="K246" i="59"/>
  <c r="O246" i="59" s="1"/>
  <c r="L246" i="59"/>
  <c r="P246" i="59" s="1"/>
  <c r="M246" i="59"/>
  <c r="Q246" i="59" s="1"/>
  <c r="K249" i="59"/>
  <c r="O249" i="59" s="1"/>
  <c r="L249" i="59"/>
  <c r="P249" i="59" s="1"/>
  <c r="M249" i="59"/>
  <c r="Q249" i="59" s="1"/>
  <c r="K252" i="59"/>
  <c r="O252" i="59" s="1"/>
  <c r="L252" i="59"/>
  <c r="P252" i="59" s="1"/>
  <c r="M252" i="59"/>
  <c r="Q252" i="59" s="1"/>
  <c r="K255" i="59"/>
  <c r="O255" i="59" s="1"/>
  <c r="L255" i="59"/>
  <c r="P255" i="59" s="1"/>
  <c r="M255" i="59"/>
  <c r="Q255" i="59" s="1"/>
  <c r="K258" i="59"/>
  <c r="O258" i="59" s="1"/>
  <c r="L258" i="59"/>
  <c r="P258" i="59" s="1"/>
  <c r="M258" i="59"/>
  <c r="Q258" i="59" s="1"/>
  <c r="K261" i="59"/>
  <c r="O261" i="59" s="1"/>
  <c r="L261" i="59"/>
  <c r="P261" i="59" s="1"/>
  <c r="M261" i="59"/>
  <c r="Q261" i="59" s="1"/>
  <c r="K264" i="59"/>
  <c r="O264" i="59" s="1"/>
  <c r="L264" i="59"/>
  <c r="P264" i="59" s="1"/>
  <c r="M264" i="59"/>
  <c r="Q264" i="59" s="1"/>
  <c r="K267" i="59"/>
  <c r="O267" i="59" s="1"/>
  <c r="L267" i="59"/>
  <c r="P267" i="59" s="1"/>
  <c r="M267" i="59"/>
  <c r="Q267" i="59" s="1"/>
  <c r="K270" i="59"/>
  <c r="O270" i="59" s="1"/>
  <c r="L270" i="59"/>
  <c r="P270" i="59" s="1"/>
  <c r="M270" i="59"/>
  <c r="Q270" i="59" s="1"/>
  <c r="K273" i="59"/>
  <c r="O273" i="59" s="1"/>
  <c r="L273" i="59"/>
  <c r="P273" i="59" s="1"/>
  <c r="M273" i="59"/>
  <c r="Q273" i="59" s="1"/>
  <c r="K276" i="59"/>
  <c r="O276" i="59" s="1"/>
  <c r="L276" i="59"/>
  <c r="P276" i="59" s="1"/>
  <c r="M276" i="59"/>
  <c r="Q276" i="59" s="1"/>
  <c r="K279" i="59"/>
  <c r="O279" i="59" s="1"/>
  <c r="L279" i="59"/>
  <c r="P279" i="59" s="1"/>
  <c r="M279" i="59"/>
  <c r="Q279" i="59" s="1"/>
  <c r="K282" i="59"/>
  <c r="O282" i="59" s="1"/>
  <c r="L282" i="59"/>
  <c r="P282" i="59" s="1"/>
  <c r="M282" i="59"/>
  <c r="Q282" i="59" s="1"/>
  <c r="K285" i="59"/>
  <c r="O285" i="59" s="1"/>
  <c r="L285" i="59"/>
  <c r="P285" i="59" s="1"/>
  <c r="M285" i="59"/>
  <c r="Q285" i="59" s="1"/>
  <c r="K288" i="59"/>
  <c r="O288" i="59" s="1"/>
  <c r="L288" i="59"/>
  <c r="P288" i="59" s="1"/>
  <c r="M288" i="59"/>
  <c r="Q288" i="59" s="1"/>
  <c r="K291" i="59"/>
  <c r="O291" i="59" s="1"/>
  <c r="L291" i="59"/>
  <c r="P291" i="59" s="1"/>
  <c r="M291" i="59"/>
  <c r="Q291" i="59" s="1"/>
  <c r="K294" i="59"/>
  <c r="O294" i="59" s="1"/>
  <c r="L294" i="59"/>
  <c r="P294" i="59" s="1"/>
  <c r="M294" i="59"/>
  <c r="Q294" i="59" s="1"/>
  <c r="K297" i="59"/>
  <c r="O297" i="59" s="1"/>
  <c r="L297" i="59"/>
  <c r="P297" i="59" s="1"/>
  <c r="M297" i="59"/>
  <c r="Q297" i="59" s="1"/>
  <c r="K300" i="59"/>
  <c r="O300" i="59" s="1"/>
  <c r="L300" i="59"/>
  <c r="P300" i="59" s="1"/>
  <c r="M300" i="59"/>
  <c r="Q300" i="59" s="1"/>
  <c r="K303" i="59"/>
  <c r="O303" i="59" s="1"/>
  <c r="L303" i="59"/>
  <c r="P303" i="59" s="1"/>
  <c r="M303" i="59"/>
  <c r="Q303" i="59" s="1"/>
  <c r="K306" i="59"/>
  <c r="O306" i="59" s="1"/>
  <c r="L306" i="59"/>
  <c r="P306" i="59" s="1"/>
  <c r="M306" i="59"/>
  <c r="Q306" i="59" s="1"/>
  <c r="K309" i="59"/>
  <c r="O309" i="59" s="1"/>
  <c r="L309" i="59"/>
  <c r="P309" i="59" s="1"/>
  <c r="M309" i="59"/>
  <c r="Q309" i="59" s="1"/>
  <c r="K312" i="59"/>
  <c r="O312" i="59" s="1"/>
  <c r="L312" i="59"/>
  <c r="P312" i="59" s="1"/>
  <c r="M312" i="59"/>
  <c r="Q312" i="59" s="1"/>
  <c r="K315" i="59"/>
  <c r="O315" i="59" s="1"/>
  <c r="L315" i="59"/>
  <c r="P315" i="59" s="1"/>
  <c r="M315" i="59"/>
  <c r="Q315" i="59" s="1"/>
  <c r="K318" i="59"/>
  <c r="O318" i="59" s="1"/>
  <c r="L318" i="59"/>
  <c r="P318" i="59" s="1"/>
  <c r="M318" i="59"/>
  <c r="Q318" i="59" s="1"/>
  <c r="K321" i="59"/>
  <c r="O321" i="59" s="1"/>
  <c r="L321" i="59"/>
  <c r="P321" i="59" s="1"/>
  <c r="M321" i="59"/>
  <c r="Q321" i="59" s="1"/>
  <c r="K324" i="59"/>
  <c r="O324" i="59" s="1"/>
  <c r="L324" i="59"/>
  <c r="P324" i="59" s="1"/>
  <c r="M324" i="59"/>
  <c r="Q324" i="59" s="1"/>
  <c r="K327" i="59"/>
  <c r="O327" i="59" s="1"/>
  <c r="L327" i="59"/>
  <c r="P327" i="59" s="1"/>
  <c r="M327" i="59"/>
  <c r="Q327" i="59" s="1"/>
  <c r="K330" i="59"/>
  <c r="O330" i="59" s="1"/>
  <c r="L330" i="59"/>
  <c r="P330" i="59" s="1"/>
  <c r="M330" i="59"/>
  <c r="Q330" i="59" s="1"/>
  <c r="K333" i="59"/>
  <c r="O333" i="59" s="1"/>
  <c r="L333" i="59"/>
  <c r="P333" i="59" s="1"/>
  <c r="M333" i="59"/>
  <c r="Q333" i="59" s="1"/>
  <c r="K336" i="59"/>
  <c r="O336" i="59" s="1"/>
  <c r="L336" i="59"/>
  <c r="P336" i="59" s="1"/>
  <c r="M336" i="59"/>
  <c r="Q336" i="59" s="1"/>
  <c r="K339" i="59"/>
  <c r="O339" i="59" s="1"/>
  <c r="L339" i="59"/>
  <c r="P339" i="59" s="1"/>
  <c r="M339" i="59"/>
  <c r="Q339" i="59" s="1"/>
  <c r="K342" i="59"/>
  <c r="O342" i="59" s="1"/>
  <c r="L342" i="59"/>
  <c r="P342" i="59" s="1"/>
  <c r="M342" i="59"/>
  <c r="Q342" i="59" s="1"/>
  <c r="K345" i="59"/>
  <c r="O345" i="59" s="1"/>
  <c r="L345" i="59"/>
  <c r="P345" i="59" s="1"/>
  <c r="M345" i="59"/>
  <c r="Q345" i="59" s="1"/>
  <c r="K348" i="59"/>
  <c r="O348" i="59" s="1"/>
  <c r="L348" i="59"/>
  <c r="P348" i="59" s="1"/>
  <c r="M348" i="59"/>
  <c r="Q348" i="59" s="1"/>
  <c r="K351" i="59"/>
  <c r="O351" i="59" s="1"/>
  <c r="L351" i="59"/>
  <c r="P351" i="59" s="1"/>
  <c r="M351" i="59"/>
  <c r="Q351" i="59" s="1"/>
  <c r="K354" i="59"/>
  <c r="O354" i="59" s="1"/>
  <c r="L354" i="59"/>
  <c r="P354" i="59" s="1"/>
  <c r="M354" i="59"/>
  <c r="Q354" i="59" s="1"/>
  <c r="K357" i="59"/>
  <c r="O357" i="59" s="1"/>
  <c r="L357" i="59"/>
  <c r="P357" i="59" s="1"/>
  <c r="M357" i="59"/>
  <c r="Q357" i="59" s="1"/>
  <c r="K360" i="59"/>
  <c r="O360" i="59" s="1"/>
  <c r="L360" i="59"/>
  <c r="P360" i="59" s="1"/>
  <c r="M360" i="59"/>
  <c r="Q360" i="59" s="1"/>
  <c r="K363" i="59"/>
  <c r="O363" i="59" s="1"/>
  <c r="L363" i="59"/>
  <c r="P363" i="59" s="1"/>
  <c r="M363" i="59"/>
  <c r="Q363" i="59" s="1"/>
  <c r="K366" i="59"/>
  <c r="O366" i="59" s="1"/>
  <c r="L366" i="59"/>
  <c r="P366" i="59" s="1"/>
  <c r="M366" i="59"/>
  <c r="Q366" i="59" s="1"/>
  <c r="K369" i="59"/>
  <c r="O369" i="59" s="1"/>
  <c r="L369" i="59"/>
  <c r="P369" i="59" s="1"/>
  <c r="M369" i="59"/>
  <c r="Q369" i="59" s="1"/>
  <c r="K372" i="59"/>
  <c r="O372" i="59" s="1"/>
  <c r="L372" i="59"/>
  <c r="P372" i="59" s="1"/>
  <c r="M372" i="59"/>
  <c r="Q372" i="59" s="1"/>
  <c r="K375" i="59"/>
  <c r="O375" i="59" s="1"/>
  <c r="L375" i="59"/>
  <c r="P375" i="59" s="1"/>
  <c r="M375" i="59"/>
  <c r="Q375" i="59" s="1"/>
  <c r="K378" i="59"/>
  <c r="O378" i="59" s="1"/>
  <c r="L378" i="59"/>
  <c r="P378" i="59" s="1"/>
  <c r="M378" i="59"/>
  <c r="Q378" i="59" s="1"/>
  <c r="K381" i="59"/>
  <c r="O381" i="59" s="1"/>
  <c r="L381" i="59"/>
  <c r="P381" i="59" s="1"/>
  <c r="M381" i="59"/>
  <c r="Q381" i="59" s="1"/>
  <c r="K384" i="59"/>
  <c r="O384" i="59" s="1"/>
  <c r="L384" i="59"/>
  <c r="P384" i="59" s="1"/>
  <c r="M384" i="59"/>
  <c r="Q384" i="59" s="1"/>
  <c r="K387" i="59"/>
  <c r="O387" i="59" s="1"/>
  <c r="L387" i="59"/>
  <c r="P387" i="59" s="1"/>
  <c r="M387" i="59"/>
  <c r="Q387" i="59" s="1"/>
  <c r="K390" i="59"/>
  <c r="O390" i="59" s="1"/>
  <c r="L390" i="59"/>
  <c r="P390" i="59" s="1"/>
  <c r="M390" i="59"/>
  <c r="Q390" i="59" s="1"/>
  <c r="K393" i="59"/>
  <c r="O393" i="59" s="1"/>
  <c r="L393" i="59"/>
  <c r="P393" i="59" s="1"/>
  <c r="M393" i="59"/>
  <c r="Q393" i="59" s="1"/>
  <c r="K396" i="59"/>
  <c r="O396" i="59" s="1"/>
  <c r="L396" i="59"/>
  <c r="P396" i="59" s="1"/>
  <c r="M396" i="59"/>
  <c r="Q396" i="59" s="1"/>
  <c r="K399" i="59"/>
  <c r="O399" i="59" s="1"/>
  <c r="L399" i="59"/>
  <c r="P399" i="59" s="1"/>
  <c r="M399" i="59"/>
  <c r="Q399" i="59" s="1"/>
  <c r="K402" i="59"/>
  <c r="O402" i="59" s="1"/>
  <c r="L402" i="59"/>
  <c r="P402" i="59" s="1"/>
  <c r="M402" i="59"/>
  <c r="Q402" i="59" s="1"/>
  <c r="K405" i="59"/>
  <c r="O405" i="59" s="1"/>
  <c r="L405" i="59"/>
  <c r="P405" i="59" s="1"/>
  <c r="M405" i="59"/>
  <c r="Q405" i="59" s="1"/>
  <c r="K408" i="59"/>
  <c r="O408" i="59" s="1"/>
  <c r="L408" i="59"/>
  <c r="P408" i="59" s="1"/>
  <c r="M408" i="59"/>
  <c r="Q408" i="59" s="1"/>
  <c r="K411" i="59"/>
  <c r="O411" i="59" s="1"/>
  <c r="L411" i="59"/>
  <c r="P411" i="59" s="1"/>
  <c r="M411" i="59"/>
  <c r="Q411" i="59" s="1"/>
  <c r="K414" i="59"/>
  <c r="O414" i="59" s="1"/>
  <c r="L414" i="59"/>
  <c r="P414" i="59" s="1"/>
  <c r="M414" i="59"/>
  <c r="Q414" i="59" s="1"/>
  <c r="K417" i="59"/>
  <c r="O417" i="59" s="1"/>
  <c r="L417" i="59"/>
  <c r="P417" i="59" s="1"/>
  <c r="M417" i="59"/>
  <c r="Q417" i="59" s="1"/>
  <c r="K420" i="59"/>
  <c r="O420" i="59" s="1"/>
  <c r="L420" i="59"/>
  <c r="P420" i="59" s="1"/>
  <c r="M420" i="59"/>
  <c r="Q420" i="59" s="1"/>
  <c r="K423" i="59"/>
  <c r="O423" i="59" s="1"/>
  <c r="L423" i="59"/>
  <c r="P423" i="59" s="1"/>
  <c r="M423" i="59"/>
  <c r="Q423" i="59" s="1"/>
  <c r="K426" i="59"/>
  <c r="O426" i="59" s="1"/>
  <c r="L426" i="59"/>
  <c r="P426" i="59" s="1"/>
  <c r="M426" i="59"/>
  <c r="Q426" i="59" s="1"/>
  <c r="K429" i="59"/>
  <c r="O429" i="59" s="1"/>
  <c r="L429" i="59"/>
  <c r="P429" i="59" s="1"/>
  <c r="M429" i="59"/>
  <c r="Q429" i="59" s="1"/>
  <c r="K432" i="59"/>
  <c r="O432" i="59" s="1"/>
  <c r="L432" i="59"/>
  <c r="P432" i="59" s="1"/>
  <c r="M432" i="59"/>
  <c r="Q432" i="59" s="1"/>
  <c r="K435" i="59"/>
  <c r="O435" i="59" s="1"/>
  <c r="L435" i="59"/>
  <c r="P435" i="59" s="1"/>
  <c r="M435" i="59"/>
  <c r="Q435" i="59" s="1"/>
  <c r="K438" i="59"/>
  <c r="O438" i="59" s="1"/>
  <c r="L438" i="59"/>
  <c r="P438" i="59" s="1"/>
  <c r="M438" i="59"/>
  <c r="Q438" i="59" s="1"/>
  <c r="K441" i="59"/>
  <c r="O441" i="59" s="1"/>
  <c r="L441" i="59"/>
  <c r="P441" i="59" s="1"/>
  <c r="M441" i="59"/>
  <c r="Q441" i="59" s="1"/>
  <c r="K444" i="59"/>
  <c r="O444" i="59" s="1"/>
  <c r="L444" i="59"/>
  <c r="P444" i="59" s="1"/>
  <c r="M444" i="59"/>
  <c r="Q444" i="59" s="1"/>
  <c r="K447" i="59"/>
  <c r="O447" i="59" s="1"/>
  <c r="L447" i="59"/>
  <c r="P447" i="59" s="1"/>
  <c r="M447" i="59"/>
  <c r="Q447" i="59" s="1"/>
  <c r="K450" i="59"/>
  <c r="O450" i="59" s="1"/>
  <c r="L450" i="59"/>
  <c r="P450" i="59" s="1"/>
  <c r="M450" i="59"/>
  <c r="Q450" i="59" s="1"/>
  <c r="K453" i="59"/>
  <c r="O453" i="59" s="1"/>
  <c r="L453" i="59"/>
  <c r="P453" i="59" s="1"/>
  <c r="M453" i="59"/>
  <c r="Q453" i="59" s="1"/>
  <c r="K456" i="59"/>
  <c r="O456" i="59" s="1"/>
  <c r="L456" i="59"/>
  <c r="P456" i="59" s="1"/>
  <c r="M456" i="59"/>
  <c r="Q456" i="59" s="1"/>
  <c r="K459" i="59"/>
  <c r="O459" i="59" s="1"/>
  <c r="L459" i="59"/>
  <c r="P459" i="59" s="1"/>
  <c r="M459" i="59"/>
  <c r="Q459" i="59" s="1"/>
  <c r="K462" i="59"/>
  <c r="O462" i="59" s="1"/>
  <c r="L462" i="59"/>
  <c r="P462" i="59" s="1"/>
  <c r="M462" i="59"/>
  <c r="Q462" i="59" s="1"/>
  <c r="K465" i="59"/>
  <c r="O465" i="59" s="1"/>
  <c r="L465" i="59"/>
  <c r="P465" i="59" s="1"/>
  <c r="M465" i="59"/>
  <c r="Q465" i="59" s="1"/>
  <c r="K468" i="59"/>
  <c r="O468" i="59" s="1"/>
  <c r="L468" i="59"/>
  <c r="P468" i="59" s="1"/>
  <c r="M468" i="59"/>
  <c r="Q468" i="59" s="1"/>
  <c r="K471" i="59"/>
  <c r="O471" i="59" s="1"/>
  <c r="L471" i="59"/>
  <c r="P471" i="59" s="1"/>
  <c r="M471" i="59"/>
  <c r="Q471" i="59" s="1"/>
  <c r="K474" i="59"/>
  <c r="O474" i="59" s="1"/>
  <c r="L474" i="59"/>
  <c r="P474" i="59" s="1"/>
  <c r="M474" i="59"/>
  <c r="Q474" i="59" s="1"/>
  <c r="K477" i="59"/>
  <c r="O477" i="59" s="1"/>
  <c r="L477" i="59"/>
  <c r="P477" i="59" s="1"/>
  <c r="M477" i="59"/>
  <c r="Q477" i="59" s="1"/>
  <c r="K480" i="59"/>
  <c r="O480" i="59" s="1"/>
  <c r="L480" i="59"/>
  <c r="P480" i="59" s="1"/>
  <c r="M480" i="59"/>
  <c r="Q480" i="59" s="1"/>
  <c r="K483" i="59"/>
  <c r="O483" i="59" s="1"/>
  <c r="L483" i="59"/>
  <c r="P483" i="59" s="1"/>
  <c r="M483" i="59"/>
  <c r="Q483" i="59" s="1"/>
  <c r="K486" i="59"/>
  <c r="O486" i="59" s="1"/>
  <c r="L486" i="59"/>
  <c r="P486" i="59" s="1"/>
  <c r="M486" i="59"/>
  <c r="Q486" i="59" s="1"/>
  <c r="K489" i="59"/>
  <c r="O489" i="59" s="1"/>
  <c r="L489" i="59"/>
  <c r="P489" i="59" s="1"/>
  <c r="M489" i="59"/>
  <c r="Q489" i="59" s="1"/>
  <c r="K492" i="59"/>
  <c r="O492" i="59" s="1"/>
  <c r="L492" i="59"/>
  <c r="P492" i="59" s="1"/>
  <c r="M492" i="59"/>
  <c r="Q492" i="59" s="1"/>
  <c r="K495" i="59"/>
  <c r="O495" i="59" s="1"/>
  <c r="L495" i="59"/>
  <c r="P495" i="59" s="1"/>
  <c r="M495" i="59"/>
  <c r="Q495" i="59" s="1"/>
  <c r="K498" i="59"/>
  <c r="O498" i="59" s="1"/>
  <c r="L498" i="59"/>
  <c r="P498" i="59" s="1"/>
  <c r="M498" i="59"/>
  <c r="Q498" i="59" s="1"/>
  <c r="K501" i="59"/>
  <c r="O501" i="59" s="1"/>
  <c r="L501" i="59"/>
  <c r="P501" i="59" s="1"/>
  <c r="M501" i="59"/>
  <c r="Q501" i="59" s="1"/>
  <c r="K504" i="59"/>
  <c r="O504" i="59" s="1"/>
  <c r="L504" i="59"/>
  <c r="P504" i="59" s="1"/>
  <c r="M504" i="59"/>
  <c r="Q504" i="59" s="1"/>
  <c r="K507" i="59"/>
  <c r="O507" i="59" s="1"/>
  <c r="L507" i="59"/>
  <c r="P507" i="59" s="1"/>
  <c r="M507" i="59"/>
  <c r="Q507" i="59" s="1"/>
  <c r="K510" i="59"/>
  <c r="O510" i="59" s="1"/>
  <c r="L510" i="59"/>
  <c r="P510" i="59" s="1"/>
  <c r="M510" i="59"/>
  <c r="Q510" i="59" s="1"/>
  <c r="K513" i="59"/>
  <c r="O513" i="59" s="1"/>
  <c r="L513" i="59"/>
  <c r="P513" i="59" s="1"/>
  <c r="M513" i="59"/>
  <c r="Q513" i="59" s="1"/>
  <c r="K516" i="59"/>
  <c r="O516" i="59" s="1"/>
  <c r="L516" i="59"/>
  <c r="P516" i="59" s="1"/>
  <c r="M516" i="59"/>
  <c r="Q516" i="59" s="1"/>
  <c r="K519" i="59"/>
  <c r="O519" i="59" s="1"/>
  <c r="L519" i="59"/>
  <c r="P519" i="59" s="1"/>
  <c r="M519" i="59"/>
  <c r="Q519" i="59" s="1"/>
  <c r="K522" i="59"/>
  <c r="O522" i="59" s="1"/>
  <c r="L522" i="59"/>
  <c r="P522" i="59" s="1"/>
  <c r="M522" i="59"/>
  <c r="Q522" i="59" s="1"/>
  <c r="K525" i="59"/>
  <c r="O525" i="59" s="1"/>
  <c r="L525" i="59"/>
  <c r="P525" i="59" s="1"/>
  <c r="M525" i="59"/>
  <c r="Q525" i="59" s="1"/>
  <c r="K528" i="59"/>
  <c r="O528" i="59" s="1"/>
  <c r="L528" i="59"/>
  <c r="P528" i="59" s="1"/>
  <c r="M528" i="59"/>
  <c r="Q528" i="59" s="1"/>
  <c r="K531" i="59"/>
  <c r="O531" i="59" s="1"/>
  <c r="L531" i="59"/>
  <c r="P531" i="59" s="1"/>
  <c r="M531" i="59"/>
  <c r="Q531" i="59" s="1"/>
  <c r="K534" i="59"/>
  <c r="O534" i="59" s="1"/>
  <c r="L534" i="59"/>
  <c r="P534" i="59" s="1"/>
  <c r="M534" i="59"/>
  <c r="Q534" i="59" s="1"/>
  <c r="K537" i="59"/>
  <c r="O537" i="59" s="1"/>
  <c r="L537" i="59"/>
  <c r="P537" i="59" s="1"/>
  <c r="M537" i="59"/>
  <c r="Q537" i="59" s="1"/>
  <c r="K540" i="59"/>
  <c r="O540" i="59" s="1"/>
  <c r="L540" i="59"/>
  <c r="P540" i="59" s="1"/>
  <c r="M540" i="59"/>
  <c r="Q540" i="59" s="1"/>
  <c r="K543" i="59"/>
  <c r="O543" i="59" s="1"/>
  <c r="L543" i="59"/>
  <c r="P543" i="59" s="1"/>
  <c r="M543" i="59"/>
  <c r="Q543" i="59" s="1"/>
  <c r="K546" i="59"/>
  <c r="O546" i="59" s="1"/>
  <c r="L546" i="59"/>
  <c r="P546" i="59" s="1"/>
  <c r="M546" i="59"/>
  <c r="Q546" i="59" s="1"/>
  <c r="K549" i="59"/>
  <c r="O549" i="59" s="1"/>
  <c r="L549" i="59"/>
  <c r="P549" i="59" s="1"/>
  <c r="M549" i="59"/>
  <c r="Q549" i="59" s="1"/>
  <c r="K552" i="59"/>
  <c r="O552" i="59" s="1"/>
  <c r="L552" i="59"/>
  <c r="P552" i="59" s="1"/>
  <c r="M552" i="59"/>
  <c r="Q552" i="59" s="1"/>
  <c r="K555" i="59"/>
  <c r="O555" i="59" s="1"/>
  <c r="L555" i="59"/>
  <c r="P555" i="59" s="1"/>
  <c r="M555" i="59"/>
  <c r="Q555" i="59" s="1"/>
  <c r="K558" i="59"/>
  <c r="O558" i="59" s="1"/>
  <c r="L558" i="59"/>
  <c r="P558" i="59" s="1"/>
  <c r="M558" i="59"/>
  <c r="Q558" i="59" s="1"/>
  <c r="K561" i="59"/>
  <c r="O561" i="59" s="1"/>
  <c r="L561" i="59"/>
  <c r="P561" i="59" s="1"/>
  <c r="M561" i="59"/>
  <c r="Q561" i="59" s="1"/>
  <c r="K564" i="59"/>
  <c r="O564" i="59" s="1"/>
  <c r="L564" i="59"/>
  <c r="P564" i="59" s="1"/>
  <c r="M564" i="59"/>
  <c r="Q564" i="59" s="1"/>
  <c r="K567" i="59"/>
  <c r="O567" i="59" s="1"/>
  <c r="L567" i="59"/>
  <c r="P567" i="59" s="1"/>
  <c r="M567" i="59"/>
  <c r="Q567" i="59" s="1"/>
  <c r="K570" i="59"/>
  <c r="O570" i="59" s="1"/>
  <c r="L570" i="59"/>
  <c r="P570" i="59" s="1"/>
  <c r="M570" i="59"/>
  <c r="Q570" i="59" s="1"/>
  <c r="K573" i="59"/>
  <c r="O573" i="59" s="1"/>
  <c r="L573" i="59"/>
  <c r="P573" i="59" s="1"/>
  <c r="M573" i="59"/>
  <c r="Q573" i="59" s="1"/>
  <c r="K576" i="59"/>
  <c r="O576" i="59" s="1"/>
  <c r="L576" i="59"/>
  <c r="P576" i="59" s="1"/>
  <c r="M576" i="59"/>
  <c r="Q576" i="59" s="1"/>
  <c r="K579" i="59"/>
  <c r="O579" i="59" s="1"/>
  <c r="L579" i="59"/>
  <c r="P579" i="59" s="1"/>
  <c r="M579" i="59"/>
  <c r="Q579" i="59" s="1"/>
  <c r="K582" i="59"/>
  <c r="O582" i="59" s="1"/>
  <c r="L582" i="59"/>
  <c r="P582" i="59" s="1"/>
  <c r="M582" i="59"/>
  <c r="Q582" i="59" s="1"/>
  <c r="K585" i="59"/>
  <c r="O585" i="59" s="1"/>
  <c r="L585" i="59"/>
  <c r="P585" i="59" s="1"/>
  <c r="M585" i="59"/>
  <c r="Q585" i="59" s="1"/>
  <c r="K588" i="59"/>
  <c r="O588" i="59" s="1"/>
  <c r="L588" i="59"/>
  <c r="P588" i="59" s="1"/>
  <c r="M588" i="59"/>
  <c r="Q588" i="59" s="1"/>
  <c r="K591" i="59"/>
  <c r="O591" i="59" s="1"/>
  <c r="L591" i="59"/>
  <c r="P591" i="59" s="1"/>
  <c r="M591" i="59"/>
  <c r="Q591" i="59" s="1"/>
  <c r="K594" i="59"/>
  <c r="O594" i="59" s="1"/>
  <c r="L594" i="59"/>
  <c r="P594" i="59" s="1"/>
  <c r="M594" i="59"/>
  <c r="Q594" i="59" s="1"/>
  <c r="K597" i="59"/>
  <c r="O597" i="59" s="1"/>
  <c r="L597" i="59"/>
  <c r="P597" i="59" s="1"/>
  <c r="M597" i="59"/>
  <c r="Q597" i="59" s="1"/>
  <c r="K600" i="59"/>
  <c r="O600" i="59" s="1"/>
  <c r="L600" i="59"/>
  <c r="P600" i="59" s="1"/>
  <c r="M600" i="59"/>
  <c r="Q600" i="59" s="1"/>
  <c r="K603" i="59"/>
  <c r="O603" i="59" s="1"/>
  <c r="L603" i="59"/>
  <c r="P603" i="59" s="1"/>
  <c r="M603" i="59"/>
  <c r="Q603" i="59" s="1"/>
  <c r="K606" i="59"/>
  <c r="O606" i="59" s="1"/>
  <c r="L606" i="59"/>
  <c r="P606" i="59" s="1"/>
  <c r="M606" i="59"/>
  <c r="Q606" i="59" s="1"/>
  <c r="K609" i="59"/>
  <c r="O609" i="59" s="1"/>
  <c r="L609" i="59"/>
  <c r="P609" i="59" s="1"/>
  <c r="M609" i="59"/>
  <c r="Q609" i="59" s="1"/>
  <c r="K612" i="59"/>
  <c r="O612" i="59" s="1"/>
  <c r="L612" i="59"/>
  <c r="P612" i="59" s="1"/>
  <c r="M612" i="59"/>
  <c r="Q612" i="59" s="1"/>
  <c r="K615" i="59"/>
  <c r="O615" i="59" s="1"/>
  <c r="L615" i="59"/>
  <c r="P615" i="59" s="1"/>
  <c r="M615" i="59"/>
  <c r="Q615" i="59" s="1"/>
  <c r="K618" i="59"/>
  <c r="O618" i="59" s="1"/>
  <c r="L618" i="59"/>
  <c r="P618" i="59" s="1"/>
  <c r="M618" i="59"/>
  <c r="Q618" i="59" s="1"/>
  <c r="K621" i="59"/>
  <c r="O621" i="59" s="1"/>
  <c r="L621" i="59"/>
  <c r="P621" i="59" s="1"/>
  <c r="M621" i="59"/>
  <c r="Q621" i="59" s="1"/>
  <c r="K624" i="59"/>
  <c r="O624" i="59" s="1"/>
  <c r="L624" i="59"/>
  <c r="P624" i="59" s="1"/>
  <c r="M624" i="59"/>
  <c r="Q624" i="59" s="1"/>
  <c r="K627" i="59"/>
  <c r="O627" i="59" s="1"/>
  <c r="L627" i="59"/>
  <c r="P627" i="59" s="1"/>
  <c r="M627" i="59"/>
  <c r="Q627" i="59" s="1"/>
  <c r="K630" i="59"/>
  <c r="O630" i="59" s="1"/>
  <c r="L630" i="59"/>
  <c r="P630" i="59" s="1"/>
  <c r="M630" i="59"/>
  <c r="Q630" i="59" s="1"/>
  <c r="K633" i="59"/>
  <c r="O633" i="59" s="1"/>
  <c r="L633" i="59"/>
  <c r="P633" i="59" s="1"/>
  <c r="M633" i="59"/>
  <c r="Q633" i="59" s="1"/>
  <c r="K636" i="59"/>
  <c r="O636" i="59" s="1"/>
  <c r="L636" i="59"/>
  <c r="P636" i="59" s="1"/>
  <c r="M636" i="59"/>
  <c r="Q636" i="59" s="1"/>
  <c r="K639" i="59"/>
  <c r="O639" i="59" s="1"/>
  <c r="L639" i="59"/>
  <c r="P639" i="59" s="1"/>
  <c r="M639" i="59"/>
  <c r="Q639" i="59" s="1"/>
  <c r="K642" i="59"/>
  <c r="O642" i="59" s="1"/>
  <c r="L642" i="59"/>
  <c r="P642" i="59" s="1"/>
  <c r="M642" i="59"/>
  <c r="Q642" i="59" s="1"/>
  <c r="K645" i="59"/>
  <c r="O645" i="59" s="1"/>
  <c r="L645" i="59"/>
  <c r="P645" i="59" s="1"/>
  <c r="M645" i="59"/>
  <c r="Q645" i="59" s="1"/>
  <c r="K648" i="59"/>
  <c r="O648" i="59" s="1"/>
  <c r="L648" i="59"/>
  <c r="P648" i="59" s="1"/>
  <c r="M648" i="59"/>
  <c r="Q648" i="59" s="1"/>
  <c r="K651" i="59"/>
  <c r="O651" i="59" s="1"/>
  <c r="L651" i="59"/>
  <c r="P651" i="59" s="1"/>
  <c r="M651" i="59"/>
  <c r="Q651" i="59" s="1"/>
  <c r="K654" i="59"/>
  <c r="O654" i="59" s="1"/>
  <c r="L654" i="59"/>
  <c r="P654" i="59" s="1"/>
  <c r="M654" i="59"/>
  <c r="Q654" i="59" s="1"/>
  <c r="K657" i="59"/>
  <c r="O657" i="59" s="1"/>
  <c r="L657" i="59"/>
  <c r="P657" i="59" s="1"/>
  <c r="M657" i="59"/>
  <c r="Q657" i="59" s="1"/>
  <c r="K660" i="59"/>
  <c r="O660" i="59" s="1"/>
  <c r="L660" i="59"/>
  <c r="P660" i="59" s="1"/>
  <c r="M660" i="59"/>
  <c r="Q660" i="59" s="1"/>
  <c r="K663" i="59"/>
  <c r="O663" i="59" s="1"/>
  <c r="L663" i="59"/>
  <c r="P663" i="59" s="1"/>
  <c r="M663" i="59"/>
  <c r="Q663" i="59" s="1"/>
  <c r="K666" i="59"/>
  <c r="O666" i="59" s="1"/>
  <c r="L666" i="59"/>
  <c r="P666" i="59" s="1"/>
  <c r="M666" i="59"/>
  <c r="Q666" i="59" s="1"/>
  <c r="K669" i="59"/>
  <c r="O669" i="59" s="1"/>
  <c r="L669" i="59"/>
  <c r="P669" i="59" s="1"/>
  <c r="M669" i="59"/>
  <c r="Q669" i="59" s="1"/>
  <c r="K672" i="59"/>
  <c r="O672" i="59" s="1"/>
  <c r="L672" i="59"/>
  <c r="P672" i="59" s="1"/>
  <c r="M672" i="59"/>
  <c r="Q672" i="59" s="1"/>
  <c r="K675" i="59"/>
  <c r="O675" i="59" s="1"/>
  <c r="L675" i="59"/>
  <c r="P675" i="59" s="1"/>
  <c r="M675" i="59"/>
  <c r="Q675" i="59" s="1"/>
  <c r="K678" i="59"/>
  <c r="O678" i="59" s="1"/>
  <c r="L678" i="59"/>
  <c r="P678" i="59" s="1"/>
  <c r="M678" i="59"/>
  <c r="Q678" i="59" s="1"/>
  <c r="K681" i="59"/>
  <c r="O681" i="59" s="1"/>
  <c r="L681" i="59"/>
  <c r="P681" i="59" s="1"/>
  <c r="M681" i="59"/>
  <c r="Q681" i="59" s="1"/>
  <c r="K684" i="59"/>
  <c r="O684" i="59" s="1"/>
  <c r="L684" i="59"/>
  <c r="P684" i="59" s="1"/>
  <c r="M684" i="59"/>
  <c r="Q684" i="59" s="1"/>
  <c r="K687" i="59"/>
  <c r="O687" i="59" s="1"/>
  <c r="L687" i="59"/>
  <c r="P687" i="59" s="1"/>
  <c r="M687" i="59"/>
  <c r="Q687" i="59" s="1"/>
  <c r="K690" i="59"/>
  <c r="O690" i="59" s="1"/>
  <c r="L690" i="59"/>
  <c r="P690" i="59" s="1"/>
  <c r="M690" i="59"/>
  <c r="Q690" i="59" s="1"/>
  <c r="K693" i="59"/>
  <c r="O693" i="59" s="1"/>
  <c r="L693" i="59"/>
  <c r="P693" i="59" s="1"/>
  <c r="M693" i="59"/>
  <c r="Q693" i="59" s="1"/>
  <c r="K696" i="59"/>
  <c r="O696" i="59" s="1"/>
  <c r="L696" i="59"/>
  <c r="P696" i="59" s="1"/>
  <c r="M696" i="59"/>
  <c r="Q696" i="59" s="1"/>
  <c r="K699" i="59"/>
  <c r="O699" i="59" s="1"/>
  <c r="L699" i="59"/>
  <c r="P699" i="59" s="1"/>
  <c r="M699" i="59"/>
  <c r="Q699" i="59" s="1"/>
  <c r="K702" i="59"/>
  <c r="O702" i="59" s="1"/>
  <c r="L702" i="59"/>
  <c r="P702" i="59" s="1"/>
  <c r="M702" i="59"/>
  <c r="Q702" i="59" s="1"/>
  <c r="K705" i="59"/>
  <c r="O705" i="59" s="1"/>
  <c r="L705" i="59"/>
  <c r="P705" i="59" s="1"/>
  <c r="M705" i="59"/>
  <c r="Q705" i="59" s="1"/>
  <c r="K708" i="59"/>
  <c r="O708" i="59" s="1"/>
  <c r="L708" i="59"/>
  <c r="P708" i="59" s="1"/>
  <c r="M708" i="59"/>
  <c r="Q708" i="59" s="1"/>
  <c r="K711" i="59"/>
  <c r="O711" i="59" s="1"/>
  <c r="L711" i="59"/>
  <c r="P711" i="59" s="1"/>
  <c r="M711" i="59"/>
  <c r="Q711" i="59" s="1"/>
  <c r="K714" i="59"/>
  <c r="O714" i="59" s="1"/>
  <c r="L714" i="59"/>
  <c r="P714" i="59" s="1"/>
  <c r="M714" i="59"/>
  <c r="Q714" i="59" s="1"/>
  <c r="K717" i="59"/>
  <c r="O717" i="59" s="1"/>
  <c r="L717" i="59"/>
  <c r="P717" i="59" s="1"/>
  <c r="M717" i="59"/>
  <c r="Q717" i="59" s="1"/>
  <c r="K720" i="59"/>
  <c r="O720" i="59" s="1"/>
  <c r="L720" i="59"/>
  <c r="P720" i="59" s="1"/>
  <c r="M720" i="59"/>
  <c r="Q720" i="59" s="1"/>
  <c r="K723" i="59"/>
  <c r="O723" i="59" s="1"/>
  <c r="L723" i="59"/>
  <c r="P723" i="59" s="1"/>
  <c r="M723" i="59"/>
  <c r="Q723" i="59" s="1"/>
  <c r="K726" i="59"/>
  <c r="O726" i="59" s="1"/>
  <c r="L726" i="59"/>
  <c r="P726" i="59" s="1"/>
  <c r="M726" i="59"/>
  <c r="Q726" i="59" s="1"/>
  <c r="K729" i="59"/>
  <c r="O729" i="59" s="1"/>
  <c r="L729" i="59"/>
  <c r="P729" i="59" s="1"/>
  <c r="M729" i="59"/>
  <c r="Q729" i="59" s="1"/>
  <c r="K732" i="59"/>
  <c r="O732" i="59" s="1"/>
  <c r="L732" i="59"/>
  <c r="P732" i="59" s="1"/>
  <c r="M732" i="59"/>
  <c r="Q732" i="59" s="1"/>
  <c r="K735" i="59"/>
  <c r="O735" i="59" s="1"/>
  <c r="L735" i="59"/>
  <c r="P735" i="59" s="1"/>
  <c r="M735" i="59"/>
  <c r="Q735" i="59" s="1"/>
  <c r="K738" i="59"/>
  <c r="O738" i="59" s="1"/>
  <c r="L738" i="59"/>
  <c r="P738" i="59" s="1"/>
  <c r="M738" i="59"/>
  <c r="Q738" i="59" s="1"/>
  <c r="K741" i="59"/>
  <c r="O741" i="59" s="1"/>
  <c r="L741" i="59"/>
  <c r="P741" i="59" s="1"/>
  <c r="M741" i="59"/>
  <c r="Q741" i="59" s="1"/>
  <c r="K744" i="59"/>
  <c r="O744" i="59" s="1"/>
  <c r="L744" i="59"/>
  <c r="P744" i="59" s="1"/>
  <c r="M744" i="59"/>
  <c r="Q744" i="59" s="1"/>
  <c r="K747" i="59"/>
  <c r="O747" i="59" s="1"/>
  <c r="L747" i="59"/>
  <c r="P747" i="59" s="1"/>
  <c r="M747" i="59"/>
  <c r="Q747" i="59" s="1"/>
  <c r="K4" i="59"/>
  <c r="O4" i="59" s="1"/>
  <c r="L4" i="59"/>
  <c r="P4" i="59" s="1"/>
  <c r="M4" i="59"/>
  <c r="Q4" i="59" s="1"/>
  <c r="K7" i="59"/>
  <c r="O7" i="59" s="1"/>
  <c r="L7" i="59"/>
  <c r="P7" i="59" s="1"/>
  <c r="M7" i="59"/>
  <c r="Q7" i="59" s="1"/>
  <c r="K10" i="59"/>
  <c r="O10" i="59" s="1"/>
  <c r="L10" i="59"/>
  <c r="P10" i="59" s="1"/>
  <c r="M10" i="59"/>
  <c r="Q10" i="59" s="1"/>
  <c r="K13" i="59"/>
  <c r="O13" i="59" s="1"/>
  <c r="L13" i="59"/>
  <c r="P13" i="59" s="1"/>
  <c r="M13" i="59"/>
  <c r="Q13" i="59" s="1"/>
  <c r="K16" i="59"/>
  <c r="O16" i="59" s="1"/>
  <c r="L16" i="59"/>
  <c r="P16" i="59" s="1"/>
  <c r="M16" i="59"/>
  <c r="Q16" i="59" s="1"/>
  <c r="K19" i="59"/>
  <c r="O19" i="59" s="1"/>
  <c r="L19" i="59"/>
  <c r="P19" i="59" s="1"/>
  <c r="M19" i="59"/>
  <c r="Q19" i="59" s="1"/>
  <c r="K22" i="59"/>
  <c r="O22" i="59" s="1"/>
  <c r="L22" i="59"/>
  <c r="P22" i="59" s="1"/>
  <c r="M22" i="59"/>
  <c r="Q22" i="59" s="1"/>
  <c r="K25" i="59"/>
  <c r="O25" i="59" s="1"/>
  <c r="L25" i="59"/>
  <c r="P25" i="59" s="1"/>
  <c r="M25" i="59"/>
  <c r="Q25" i="59" s="1"/>
  <c r="K28" i="59"/>
  <c r="O28" i="59" s="1"/>
  <c r="L28" i="59"/>
  <c r="P28" i="59" s="1"/>
  <c r="M28" i="59"/>
  <c r="Q28" i="59" s="1"/>
  <c r="K31" i="59"/>
  <c r="O31" i="59" s="1"/>
  <c r="L31" i="59"/>
  <c r="P31" i="59" s="1"/>
  <c r="M31" i="59"/>
  <c r="Q31" i="59" s="1"/>
  <c r="K34" i="59"/>
  <c r="O34" i="59" s="1"/>
  <c r="L34" i="59"/>
  <c r="P34" i="59" s="1"/>
  <c r="M34" i="59"/>
  <c r="Q34" i="59" s="1"/>
  <c r="K37" i="59"/>
  <c r="O37" i="59" s="1"/>
  <c r="L37" i="59"/>
  <c r="P37" i="59" s="1"/>
  <c r="M37" i="59"/>
  <c r="Q37" i="59" s="1"/>
  <c r="K40" i="59"/>
  <c r="O40" i="59" s="1"/>
  <c r="L40" i="59"/>
  <c r="P40" i="59" s="1"/>
  <c r="M40" i="59"/>
  <c r="Q40" i="59" s="1"/>
  <c r="K43" i="59"/>
  <c r="O43" i="59" s="1"/>
  <c r="L43" i="59"/>
  <c r="P43" i="59" s="1"/>
  <c r="M43" i="59"/>
  <c r="Q43" i="59" s="1"/>
  <c r="K46" i="59"/>
  <c r="O46" i="59" s="1"/>
  <c r="L46" i="59"/>
  <c r="P46" i="59" s="1"/>
  <c r="M46" i="59"/>
  <c r="Q46" i="59" s="1"/>
  <c r="K49" i="59"/>
  <c r="O49" i="59" s="1"/>
  <c r="L49" i="59"/>
  <c r="P49" i="59" s="1"/>
  <c r="M49" i="59"/>
  <c r="Q49" i="59" s="1"/>
  <c r="K52" i="59"/>
  <c r="O52" i="59" s="1"/>
  <c r="L52" i="59"/>
  <c r="P52" i="59" s="1"/>
  <c r="M52" i="59"/>
  <c r="Q52" i="59" s="1"/>
  <c r="K55" i="59"/>
  <c r="O55" i="59" s="1"/>
  <c r="L55" i="59"/>
  <c r="P55" i="59" s="1"/>
  <c r="M55" i="59"/>
  <c r="Q55" i="59" s="1"/>
  <c r="K58" i="59"/>
  <c r="O58" i="59" s="1"/>
  <c r="L58" i="59"/>
  <c r="P58" i="59" s="1"/>
  <c r="M58" i="59"/>
  <c r="Q58" i="59" s="1"/>
  <c r="K61" i="59"/>
  <c r="O61" i="59" s="1"/>
  <c r="L61" i="59"/>
  <c r="P61" i="59" s="1"/>
  <c r="M61" i="59"/>
  <c r="Q61" i="59" s="1"/>
  <c r="K64" i="59"/>
  <c r="O64" i="59" s="1"/>
  <c r="L64" i="59"/>
  <c r="P64" i="59" s="1"/>
  <c r="M64" i="59"/>
  <c r="Q64" i="59" s="1"/>
  <c r="K67" i="59"/>
  <c r="O67" i="59" s="1"/>
  <c r="L67" i="59"/>
  <c r="P67" i="59" s="1"/>
  <c r="M67" i="59"/>
  <c r="Q67" i="59" s="1"/>
  <c r="K70" i="59"/>
  <c r="O70" i="59" s="1"/>
  <c r="L70" i="59"/>
  <c r="P70" i="59" s="1"/>
  <c r="M70" i="59"/>
  <c r="Q70" i="59" s="1"/>
  <c r="K73" i="59"/>
  <c r="O73" i="59" s="1"/>
  <c r="L73" i="59"/>
  <c r="P73" i="59" s="1"/>
  <c r="M73" i="59"/>
  <c r="Q73" i="59" s="1"/>
  <c r="K76" i="59"/>
  <c r="O76" i="59" s="1"/>
  <c r="L76" i="59"/>
  <c r="P76" i="59" s="1"/>
  <c r="M76" i="59"/>
  <c r="Q76" i="59" s="1"/>
  <c r="K79" i="59"/>
  <c r="O79" i="59" s="1"/>
  <c r="L79" i="59"/>
  <c r="P79" i="59" s="1"/>
  <c r="M79" i="59"/>
  <c r="Q79" i="59" s="1"/>
  <c r="K82" i="59"/>
  <c r="O82" i="59" s="1"/>
  <c r="L82" i="59"/>
  <c r="P82" i="59" s="1"/>
  <c r="M82" i="59"/>
  <c r="Q82" i="59" s="1"/>
  <c r="K85" i="59"/>
  <c r="O85" i="59" s="1"/>
  <c r="L85" i="59"/>
  <c r="P85" i="59" s="1"/>
  <c r="M85" i="59"/>
  <c r="Q85" i="59" s="1"/>
  <c r="K88" i="59"/>
  <c r="O88" i="59" s="1"/>
  <c r="L88" i="59"/>
  <c r="P88" i="59" s="1"/>
  <c r="M88" i="59"/>
  <c r="Q88" i="59" s="1"/>
  <c r="K91" i="59"/>
  <c r="O91" i="59" s="1"/>
  <c r="L91" i="59"/>
  <c r="P91" i="59" s="1"/>
  <c r="M91" i="59"/>
  <c r="Q91" i="59" s="1"/>
  <c r="K94" i="59"/>
  <c r="O94" i="59" s="1"/>
  <c r="L94" i="59"/>
  <c r="P94" i="59" s="1"/>
  <c r="M94" i="59"/>
  <c r="Q94" i="59" s="1"/>
  <c r="K97" i="59"/>
  <c r="O97" i="59" s="1"/>
  <c r="L97" i="59"/>
  <c r="P97" i="59" s="1"/>
  <c r="M97" i="59"/>
  <c r="Q97" i="59" s="1"/>
  <c r="K100" i="59"/>
  <c r="O100" i="59" s="1"/>
  <c r="L100" i="59"/>
  <c r="P100" i="59" s="1"/>
  <c r="M100" i="59"/>
  <c r="Q100" i="59" s="1"/>
  <c r="K103" i="59"/>
  <c r="O103" i="59" s="1"/>
  <c r="L103" i="59"/>
  <c r="P103" i="59" s="1"/>
  <c r="M103" i="59"/>
  <c r="Q103" i="59" s="1"/>
  <c r="K106" i="59"/>
  <c r="O106" i="59" s="1"/>
  <c r="L106" i="59"/>
  <c r="P106" i="59" s="1"/>
  <c r="M106" i="59"/>
  <c r="Q106" i="59" s="1"/>
  <c r="K109" i="59"/>
  <c r="O109" i="59" s="1"/>
  <c r="L109" i="59"/>
  <c r="P109" i="59" s="1"/>
  <c r="M109" i="59"/>
  <c r="Q109" i="59" s="1"/>
  <c r="K112" i="59"/>
  <c r="O112" i="59" s="1"/>
  <c r="L112" i="59"/>
  <c r="P112" i="59" s="1"/>
  <c r="M112" i="59"/>
  <c r="Q112" i="59" s="1"/>
  <c r="K115" i="59"/>
  <c r="O115" i="59" s="1"/>
  <c r="L115" i="59"/>
  <c r="P115" i="59" s="1"/>
  <c r="M115" i="59"/>
  <c r="Q115" i="59" s="1"/>
  <c r="K118" i="59"/>
  <c r="O118" i="59" s="1"/>
  <c r="L118" i="59"/>
  <c r="P118" i="59" s="1"/>
  <c r="M118" i="59"/>
  <c r="Q118" i="59" s="1"/>
  <c r="K121" i="59"/>
  <c r="O121" i="59" s="1"/>
  <c r="L121" i="59"/>
  <c r="P121" i="59" s="1"/>
  <c r="M121" i="59"/>
  <c r="Q121" i="59" s="1"/>
  <c r="K124" i="59"/>
  <c r="O124" i="59" s="1"/>
  <c r="L124" i="59"/>
  <c r="P124" i="59" s="1"/>
  <c r="M124" i="59"/>
  <c r="Q124" i="59" s="1"/>
  <c r="K127" i="59"/>
  <c r="O127" i="59" s="1"/>
  <c r="L127" i="59"/>
  <c r="P127" i="59" s="1"/>
  <c r="M127" i="59"/>
  <c r="Q127" i="59" s="1"/>
  <c r="K130" i="59"/>
  <c r="O130" i="59" s="1"/>
  <c r="L130" i="59"/>
  <c r="P130" i="59" s="1"/>
  <c r="M130" i="59"/>
  <c r="Q130" i="59" s="1"/>
  <c r="K133" i="59"/>
  <c r="O133" i="59" s="1"/>
  <c r="L133" i="59"/>
  <c r="P133" i="59" s="1"/>
  <c r="M133" i="59"/>
  <c r="Q133" i="59" s="1"/>
  <c r="K136" i="59"/>
  <c r="O136" i="59" s="1"/>
  <c r="L136" i="59"/>
  <c r="P136" i="59" s="1"/>
  <c r="M136" i="59"/>
  <c r="Q136" i="59" s="1"/>
  <c r="K139" i="59"/>
  <c r="O139" i="59" s="1"/>
  <c r="L139" i="59"/>
  <c r="P139" i="59" s="1"/>
  <c r="M139" i="59"/>
  <c r="Q139" i="59" s="1"/>
  <c r="K142" i="59"/>
  <c r="O142" i="59" s="1"/>
  <c r="L142" i="59"/>
  <c r="P142" i="59" s="1"/>
  <c r="M142" i="59"/>
  <c r="Q142" i="59" s="1"/>
  <c r="K145" i="59"/>
  <c r="O145" i="59" s="1"/>
  <c r="L145" i="59"/>
  <c r="P145" i="59" s="1"/>
  <c r="M145" i="59"/>
  <c r="Q145" i="59" s="1"/>
  <c r="K148" i="59"/>
  <c r="O148" i="59" s="1"/>
  <c r="L148" i="59"/>
  <c r="P148" i="59" s="1"/>
  <c r="M148" i="59"/>
  <c r="Q148" i="59" s="1"/>
  <c r="K151" i="59"/>
  <c r="O151" i="59" s="1"/>
  <c r="L151" i="59"/>
  <c r="P151" i="59" s="1"/>
  <c r="M151" i="59"/>
  <c r="Q151" i="59" s="1"/>
  <c r="K154" i="59"/>
  <c r="O154" i="59" s="1"/>
  <c r="L154" i="59"/>
  <c r="P154" i="59" s="1"/>
  <c r="M154" i="59"/>
  <c r="Q154" i="59" s="1"/>
  <c r="K157" i="59"/>
  <c r="O157" i="59" s="1"/>
  <c r="L157" i="59"/>
  <c r="P157" i="59" s="1"/>
  <c r="M157" i="59"/>
  <c r="Q157" i="59" s="1"/>
  <c r="K160" i="59"/>
  <c r="O160" i="59" s="1"/>
  <c r="L160" i="59"/>
  <c r="P160" i="59" s="1"/>
  <c r="M160" i="59"/>
  <c r="Q160" i="59" s="1"/>
  <c r="K163" i="59"/>
  <c r="O163" i="59" s="1"/>
  <c r="L163" i="59"/>
  <c r="P163" i="59" s="1"/>
  <c r="M163" i="59"/>
  <c r="Q163" i="59" s="1"/>
  <c r="K166" i="59"/>
  <c r="O166" i="59" s="1"/>
  <c r="L166" i="59"/>
  <c r="P166" i="59" s="1"/>
  <c r="M166" i="59"/>
  <c r="Q166" i="59" s="1"/>
  <c r="K169" i="59"/>
  <c r="O169" i="59" s="1"/>
  <c r="L169" i="59"/>
  <c r="P169" i="59" s="1"/>
  <c r="M169" i="59"/>
  <c r="Q169" i="59" s="1"/>
  <c r="K172" i="59"/>
  <c r="O172" i="59" s="1"/>
  <c r="L172" i="59"/>
  <c r="P172" i="59" s="1"/>
  <c r="M172" i="59"/>
  <c r="Q172" i="59" s="1"/>
  <c r="K175" i="59"/>
  <c r="O175" i="59" s="1"/>
  <c r="L175" i="59"/>
  <c r="P175" i="59" s="1"/>
  <c r="M175" i="59"/>
  <c r="Q175" i="59" s="1"/>
  <c r="K178" i="59"/>
  <c r="O178" i="59" s="1"/>
  <c r="L178" i="59"/>
  <c r="P178" i="59" s="1"/>
  <c r="M178" i="59"/>
  <c r="Q178" i="59" s="1"/>
  <c r="K181" i="59"/>
  <c r="O181" i="59" s="1"/>
  <c r="L181" i="59"/>
  <c r="P181" i="59" s="1"/>
  <c r="M181" i="59"/>
  <c r="Q181" i="59" s="1"/>
  <c r="K184" i="59"/>
  <c r="O184" i="59" s="1"/>
  <c r="L184" i="59"/>
  <c r="P184" i="59" s="1"/>
  <c r="M184" i="59"/>
  <c r="Q184" i="59" s="1"/>
  <c r="K187" i="59"/>
  <c r="O187" i="59" s="1"/>
  <c r="L187" i="59"/>
  <c r="P187" i="59" s="1"/>
  <c r="M187" i="59"/>
  <c r="Q187" i="59" s="1"/>
  <c r="K190" i="59"/>
  <c r="O190" i="59" s="1"/>
  <c r="L190" i="59"/>
  <c r="P190" i="59" s="1"/>
  <c r="M190" i="59"/>
  <c r="Q190" i="59" s="1"/>
  <c r="K193" i="59"/>
  <c r="O193" i="59" s="1"/>
  <c r="L193" i="59"/>
  <c r="P193" i="59" s="1"/>
  <c r="M193" i="59"/>
  <c r="Q193" i="59" s="1"/>
  <c r="K196" i="59"/>
  <c r="O196" i="59" s="1"/>
  <c r="L196" i="59"/>
  <c r="P196" i="59" s="1"/>
  <c r="M196" i="59"/>
  <c r="Q196" i="59" s="1"/>
  <c r="K199" i="59"/>
  <c r="O199" i="59" s="1"/>
  <c r="L199" i="59"/>
  <c r="P199" i="59" s="1"/>
  <c r="M199" i="59"/>
  <c r="Q199" i="59" s="1"/>
  <c r="K202" i="59"/>
  <c r="O202" i="59" s="1"/>
  <c r="L202" i="59"/>
  <c r="P202" i="59" s="1"/>
  <c r="M202" i="59"/>
  <c r="Q202" i="59" s="1"/>
  <c r="K205" i="59"/>
  <c r="O205" i="59" s="1"/>
  <c r="L205" i="59"/>
  <c r="P205" i="59" s="1"/>
  <c r="M205" i="59"/>
  <c r="Q205" i="59" s="1"/>
  <c r="K208" i="59"/>
  <c r="O208" i="59" s="1"/>
  <c r="L208" i="59"/>
  <c r="P208" i="59" s="1"/>
  <c r="M208" i="59"/>
  <c r="Q208" i="59" s="1"/>
  <c r="K211" i="59"/>
  <c r="O211" i="59" s="1"/>
  <c r="L211" i="59"/>
  <c r="P211" i="59" s="1"/>
  <c r="M211" i="59"/>
  <c r="Q211" i="59" s="1"/>
  <c r="K214" i="59"/>
  <c r="O214" i="59" s="1"/>
  <c r="L214" i="59"/>
  <c r="P214" i="59" s="1"/>
  <c r="M214" i="59"/>
  <c r="Q214" i="59" s="1"/>
  <c r="K217" i="59"/>
  <c r="O217" i="59" s="1"/>
  <c r="L217" i="59"/>
  <c r="P217" i="59" s="1"/>
  <c r="M217" i="59"/>
  <c r="Q217" i="59" s="1"/>
  <c r="K220" i="59"/>
  <c r="O220" i="59" s="1"/>
  <c r="L220" i="59"/>
  <c r="P220" i="59" s="1"/>
  <c r="M220" i="59"/>
  <c r="Q220" i="59" s="1"/>
  <c r="K223" i="59"/>
  <c r="O223" i="59" s="1"/>
  <c r="L223" i="59"/>
  <c r="P223" i="59" s="1"/>
  <c r="M223" i="59"/>
  <c r="Q223" i="59" s="1"/>
  <c r="K226" i="59"/>
  <c r="O226" i="59" s="1"/>
  <c r="L226" i="59"/>
  <c r="P226" i="59" s="1"/>
  <c r="M226" i="59"/>
  <c r="Q226" i="59" s="1"/>
  <c r="K229" i="59"/>
  <c r="O229" i="59" s="1"/>
  <c r="L229" i="59"/>
  <c r="P229" i="59" s="1"/>
  <c r="M229" i="59"/>
  <c r="Q229" i="59" s="1"/>
  <c r="K232" i="59"/>
  <c r="O232" i="59" s="1"/>
  <c r="L232" i="59"/>
  <c r="P232" i="59" s="1"/>
  <c r="M232" i="59"/>
  <c r="Q232" i="59" s="1"/>
  <c r="K235" i="59"/>
  <c r="O235" i="59" s="1"/>
  <c r="L235" i="59"/>
  <c r="P235" i="59" s="1"/>
  <c r="M235" i="59"/>
  <c r="Q235" i="59" s="1"/>
  <c r="K238" i="59"/>
  <c r="O238" i="59" s="1"/>
  <c r="L238" i="59"/>
  <c r="P238" i="59" s="1"/>
  <c r="M238" i="59"/>
  <c r="Q238" i="59" s="1"/>
  <c r="K241" i="59"/>
  <c r="O241" i="59" s="1"/>
  <c r="L241" i="59"/>
  <c r="P241" i="59" s="1"/>
  <c r="M241" i="59"/>
  <c r="Q241" i="59" s="1"/>
  <c r="K244" i="59"/>
  <c r="O244" i="59" s="1"/>
  <c r="L244" i="59"/>
  <c r="P244" i="59" s="1"/>
  <c r="M244" i="59"/>
  <c r="Q244" i="59" s="1"/>
  <c r="K247" i="59"/>
  <c r="O247" i="59" s="1"/>
  <c r="L247" i="59"/>
  <c r="P247" i="59" s="1"/>
  <c r="M247" i="59"/>
  <c r="Q247" i="59" s="1"/>
  <c r="K250" i="59"/>
  <c r="O250" i="59" s="1"/>
  <c r="L250" i="59"/>
  <c r="P250" i="59" s="1"/>
  <c r="M250" i="59"/>
  <c r="Q250" i="59" s="1"/>
  <c r="K253" i="59"/>
  <c r="O253" i="59" s="1"/>
  <c r="L253" i="59"/>
  <c r="P253" i="59" s="1"/>
  <c r="M253" i="59"/>
  <c r="Q253" i="59" s="1"/>
  <c r="K256" i="59"/>
  <c r="O256" i="59" s="1"/>
  <c r="L256" i="59"/>
  <c r="P256" i="59" s="1"/>
  <c r="M256" i="59"/>
  <c r="Q256" i="59" s="1"/>
  <c r="K259" i="59"/>
  <c r="O259" i="59" s="1"/>
  <c r="L259" i="59"/>
  <c r="P259" i="59" s="1"/>
  <c r="M259" i="59"/>
  <c r="Q259" i="59" s="1"/>
  <c r="K262" i="59"/>
  <c r="O262" i="59" s="1"/>
  <c r="L262" i="59"/>
  <c r="P262" i="59" s="1"/>
  <c r="M262" i="59"/>
  <c r="Q262" i="59" s="1"/>
  <c r="K265" i="59"/>
  <c r="O265" i="59" s="1"/>
  <c r="L265" i="59"/>
  <c r="P265" i="59" s="1"/>
  <c r="M265" i="59"/>
  <c r="Q265" i="59" s="1"/>
  <c r="K268" i="59"/>
  <c r="O268" i="59" s="1"/>
  <c r="L268" i="59"/>
  <c r="P268" i="59" s="1"/>
  <c r="M268" i="59"/>
  <c r="Q268" i="59" s="1"/>
  <c r="K271" i="59"/>
  <c r="O271" i="59" s="1"/>
  <c r="L271" i="59"/>
  <c r="P271" i="59" s="1"/>
  <c r="M271" i="59"/>
  <c r="Q271" i="59" s="1"/>
  <c r="K274" i="59"/>
  <c r="O274" i="59" s="1"/>
  <c r="L274" i="59"/>
  <c r="P274" i="59" s="1"/>
  <c r="M274" i="59"/>
  <c r="Q274" i="59" s="1"/>
  <c r="K277" i="59"/>
  <c r="O277" i="59" s="1"/>
  <c r="L277" i="59"/>
  <c r="P277" i="59" s="1"/>
  <c r="M277" i="59"/>
  <c r="Q277" i="59" s="1"/>
  <c r="K280" i="59"/>
  <c r="O280" i="59" s="1"/>
  <c r="L280" i="59"/>
  <c r="P280" i="59" s="1"/>
  <c r="M280" i="59"/>
  <c r="Q280" i="59" s="1"/>
  <c r="K283" i="59"/>
  <c r="O283" i="59" s="1"/>
  <c r="L283" i="59"/>
  <c r="P283" i="59" s="1"/>
  <c r="M283" i="59"/>
  <c r="Q283" i="59" s="1"/>
  <c r="K286" i="59"/>
  <c r="O286" i="59" s="1"/>
  <c r="L286" i="59"/>
  <c r="P286" i="59" s="1"/>
  <c r="M286" i="59"/>
  <c r="Q286" i="59" s="1"/>
  <c r="K289" i="59"/>
  <c r="O289" i="59" s="1"/>
  <c r="L289" i="59"/>
  <c r="P289" i="59" s="1"/>
  <c r="M289" i="59"/>
  <c r="Q289" i="59" s="1"/>
  <c r="K292" i="59"/>
  <c r="O292" i="59" s="1"/>
  <c r="L292" i="59"/>
  <c r="P292" i="59" s="1"/>
  <c r="M292" i="59"/>
  <c r="Q292" i="59" s="1"/>
  <c r="K295" i="59"/>
  <c r="O295" i="59" s="1"/>
  <c r="L295" i="59"/>
  <c r="P295" i="59" s="1"/>
  <c r="M295" i="59"/>
  <c r="Q295" i="59" s="1"/>
  <c r="K298" i="59"/>
  <c r="O298" i="59" s="1"/>
  <c r="L298" i="59"/>
  <c r="P298" i="59" s="1"/>
  <c r="M298" i="59"/>
  <c r="Q298" i="59" s="1"/>
  <c r="K301" i="59"/>
  <c r="O301" i="59" s="1"/>
  <c r="L301" i="59"/>
  <c r="P301" i="59" s="1"/>
  <c r="M301" i="59"/>
  <c r="Q301" i="59" s="1"/>
  <c r="K304" i="59"/>
  <c r="O304" i="59" s="1"/>
  <c r="L304" i="59"/>
  <c r="P304" i="59" s="1"/>
  <c r="M304" i="59"/>
  <c r="Q304" i="59" s="1"/>
  <c r="K307" i="59"/>
  <c r="O307" i="59" s="1"/>
  <c r="L307" i="59"/>
  <c r="P307" i="59" s="1"/>
  <c r="M307" i="59"/>
  <c r="Q307" i="59" s="1"/>
  <c r="K310" i="59"/>
  <c r="O310" i="59" s="1"/>
  <c r="L310" i="59"/>
  <c r="P310" i="59" s="1"/>
  <c r="M310" i="59"/>
  <c r="Q310" i="59" s="1"/>
  <c r="K313" i="59"/>
  <c r="O313" i="59" s="1"/>
  <c r="L313" i="59"/>
  <c r="P313" i="59" s="1"/>
  <c r="M313" i="59"/>
  <c r="Q313" i="59" s="1"/>
  <c r="K316" i="59"/>
  <c r="O316" i="59" s="1"/>
  <c r="L316" i="59"/>
  <c r="P316" i="59" s="1"/>
  <c r="M316" i="59"/>
  <c r="Q316" i="59" s="1"/>
  <c r="K319" i="59"/>
  <c r="O319" i="59" s="1"/>
  <c r="L319" i="59"/>
  <c r="P319" i="59" s="1"/>
  <c r="M319" i="59"/>
  <c r="Q319" i="59" s="1"/>
  <c r="K322" i="59"/>
  <c r="O322" i="59" s="1"/>
  <c r="L322" i="59"/>
  <c r="P322" i="59" s="1"/>
  <c r="M322" i="59"/>
  <c r="Q322" i="59" s="1"/>
  <c r="K325" i="59"/>
  <c r="O325" i="59" s="1"/>
  <c r="L325" i="59"/>
  <c r="P325" i="59" s="1"/>
  <c r="M325" i="59"/>
  <c r="Q325" i="59" s="1"/>
  <c r="K328" i="59"/>
  <c r="O328" i="59" s="1"/>
  <c r="L328" i="59"/>
  <c r="P328" i="59" s="1"/>
  <c r="M328" i="59"/>
  <c r="Q328" i="59" s="1"/>
  <c r="K331" i="59"/>
  <c r="O331" i="59" s="1"/>
  <c r="L331" i="59"/>
  <c r="P331" i="59" s="1"/>
  <c r="M331" i="59"/>
  <c r="Q331" i="59" s="1"/>
  <c r="K334" i="59"/>
  <c r="O334" i="59" s="1"/>
  <c r="L334" i="59"/>
  <c r="P334" i="59" s="1"/>
  <c r="M334" i="59"/>
  <c r="Q334" i="59" s="1"/>
  <c r="K337" i="59"/>
  <c r="O337" i="59" s="1"/>
  <c r="L337" i="59"/>
  <c r="P337" i="59" s="1"/>
  <c r="M337" i="59"/>
  <c r="Q337" i="59" s="1"/>
  <c r="K340" i="59"/>
  <c r="O340" i="59" s="1"/>
  <c r="L340" i="59"/>
  <c r="P340" i="59" s="1"/>
  <c r="M340" i="59"/>
  <c r="Q340" i="59" s="1"/>
  <c r="K343" i="59"/>
  <c r="O343" i="59" s="1"/>
  <c r="L343" i="59"/>
  <c r="P343" i="59" s="1"/>
  <c r="M343" i="59"/>
  <c r="Q343" i="59" s="1"/>
  <c r="K346" i="59"/>
  <c r="O346" i="59" s="1"/>
  <c r="L346" i="59"/>
  <c r="P346" i="59" s="1"/>
  <c r="M346" i="59"/>
  <c r="Q346" i="59" s="1"/>
  <c r="K349" i="59"/>
  <c r="O349" i="59" s="1"/>
  <c r="L349" i="59"/>
  <c r="P349" i="59" s="1"/>
  <c r="M349" i="59"/>
  <c r="Q349" i="59" s="1"/>
  <c r="K352" i="59"/>
  <c r="O352" i="59" s="1"/>
  <c r="L352" i="59"/>
  <c r="P352" i="59" s="1"/>
  <c r="M352" i="59"/>
  <c r="Q352" i="59" s="1"/>
  <c r="K355" i="59"/>
  <c r="O355" i="59" s="1"/>
  <c r="L355" i="59"/>
  <c r="P355" i="59" s="1"/>
  <c r="M355" i="59"/>
  <c r="Q355" i="59" s="1"/>
  <c r="K358" i="59"/>
  <c r="O358" i="59" s="1"/>
  <c r="L358" i="59"/>
  <c r="P358" i="59" s="1"/>
  <c r="M358" i="59"/>
  <c r="Q358" i="59" s="1"/>
  <c r="K361" i="59"/>
  <c r="O361" i="59" s="1"/>
  <c r="L361" i="59"/>
  <c r="P361" i="59" s="1"/>
  <c r="M361" i="59"/>
  <c r="Q361" i="59" s="1"/>
  <c r="K364" i="59"/>
  <c r="O364" i="59" s="1"/>
  <c r="L364" i="59"/>
  <c r="P364" i="59" s="1"/>
  <c r="M364" i="59"/>
  <c r="Q364" i="59" s="1"/>
  <c r="K367" i="59"/>
  <c r="O367" i="59" s="1"/>
  <c r="L367" i="59"/>
  <c r="P367" i="59" s="1"/>
  <c r="M367" i="59"/>
  <c r="Q367" i="59" s="1"/>
  <c r="K370" i="59"/>
  <c r="O370" i="59" s="1"/>
  <c r="L370" i="59"/>
  <c r="P370" i="59" s="1"/>
  <c r="M370" i="59"/>
  <c r="Q370" i="59" s="1"/>
  <c r="K373" i="59"/>
  <c r="O373" i="59" s="1"/>
  <c r="L373" i="59"/>
  <c r="P373" i="59" s="1"/>
  <c r="M373" i="59"/>
  <c r="Q373" i="59" s="1"/>
  <c r="K376" i="59"/>
  <c r="O376" i="59" s="1"/>
  <c r="L376" i="59"/>
  <c r="P376" i="59" s="1"/>
  <c r="M376" i="59"/>
  <c r="Q376" i="59" s="1"/>
  <c r="K379" i="59"/>
  <c r="O379" i="59" s="1"/>
  <c r="L379" i="59"/>
  <c r="P379" i="59" s="1"/>
  <c r="M379" i="59"/>
  <c r="Q379" i="59" s="1"/>
  <c r="K382" i="59"/>
  <c r="O382" i="59" s="1"/>
  <c r="L382" i="59"/>
  <c r="P382" i="59" s="1"/>
  <c r="M382" i="59"/>
  <c r="Q382" i="59" s="1"/>
  <c r="K385" i="59"/>
  <c r="O385" i="59" s="1"/>
  <c r="L385" i="59"/>
  <c r="P385" i="59" s="1"/>
  <c r="M385" i="59"/>
  <c r="Q385" i="59" s="1"/>
  <c r="K388" i="59"/>
  <c r="O388" i="59" s="1"/>
  <c r="L388" i="59"/>
  <c r="P388" i="59" s="1"/>
  <c r="M388" i="59"/>
  <c r="Q388" i="59" s="1"/>
  <c r="K391" i="59"/>
  <c r="O391" i="59" s="1"/>
  <c r="L391" i="59"/>
  <c r="P391" i="59" s="1"/>
  <c r="M391" i="59"/>
  <c r="Q391" i="59" s="1"/>
  <c r="K394" i="59"/>
  <c r="O394" i="59" s="1"/>
  <c r="L394" i="59"/>
  <c r="P394" i="59" s="1"/>
  <c r="M394" i="59"/>
  <c r="Q394" i="59" s="1"/>
  <c r="K397" i="59"/>
  <c r="O397" i="59" s="1"/>
  <c r="L397" i="59"/>
  <c r="P397" i="59" s="1"/>
  <c r="M397" i="59"/>
  <c r="Q397" i="59" s="1"/>
  <c r="K400" i="59"/>
  <c r="O400" i="59" s="1"/>
  <c r="L400" i="59"/>
  <c r="P400" i="59" s="1"/>
  <c r="M400" i="59"/>
  <c r="Q400" i="59" s="1"/>
  <c r="K403" i="59"/>
  <c r="O403" i="59" s="1"/>
  <c r="L403" i="59"/>
  <c r="P403" i="59" s="1"/>
  <c r="M403" i="59"/>
  <c r="Q403" i="59" s="1"/>
  <c r="K406" i="59"/>
  <c r="O406" i="59" s="1"/>
  <c r="L406" i="59"/>
  <c r="P406" i="59" s="1"/>
  <c r="M406" i="59"/>
  <c r="Q406" i="59" s="1"/>
  <c r="K409" i="59"/>
  <c r="O409" i="59" s="1"/>
  <c r="L409" i="59"/>
  <c r="P409" i="59" s="1"/>
  <c r="M409" i="59"/>
  <c r="Q409" i="59" s="1"/>
  <c r="K412" i="59"/>
  <c r="O412" i="59" s="1"/>
  <c r="L412" i="59"/>
  <c r="P412" i="59" s="1"/>
  <c r="M412" i="59"/>
  <c r="Q412" i="59" s="1"/>
  <c r="K415" i="59"/>
  <c r="O415" i="59" s="1"/>
  <c r="L415" i="59"/>
  <c r="P415" i="59" s="1"/>
  <c r="M415" i="59"/>
  <c r="Q415" i="59" s="1"/>
  <c r="K418" i="59"/>
  <c r="O418" i="59" s="1"/>
  <c r="L418" i="59"/>
  <c r="P418" i="59" s="1"/>
  <c r="M418" i="59"/>
  <c r="Q418" i="59" s="1"/>
  <c r="K421" i="59"/>
  <c r="O421" i="59" s="1"/>
  <c r="L421" i="59"/>
  <c r="P421" i="59" s="1"/>
  <c r="M421" i="59"/>
  <c r="Q421" i="59" s="1"/>
  <c r="K424" i="59"/>
  <c r="O424" i="59" s="1"/>
  <c r="L424" i="59"/>
  <c r="P424" i="59" s="1"/>
  <c r="M424" i="59"/>
  <c r="Q424" i="59" s="1"/>
  <c r="K427" i="59"/>
  <c r="O427" i="59" s="1"/>
  <c r="L427" i="59"/>
  <c r="P427" i="59" s="1"/>
  <c r="M427" i="59"/>
  <c r="Q427" i="59" s="1"/>
  <c r="K430" i="59"/>
  <c r="O430" i="59" s="1"/>
  <c r="L430" i="59"/>
  <c r="P430" i="59" s="1"/>
  <c r="M430" i="59"/>
  <c r="Q430" i="59" s="1"/>
  <c r="K433" i="59"/>
  <c r="O433" i="59" s="1"/>
  <c r="L433" i="59"/>
  <c r="P433" i="59" s="1"/>
  <c r="M433" i="59"/>
  <c r="Q433" i="59" s="1"/>
  <c r="K436" i="59"/>
  <c r="O436" i="59" s="1"/>
  <c r="L436" i="59"/>
  <c r="P436" i="59" s="1"/>
  <c r="M436" i="59"/>
  <c r="Q436" i="59" s="1"/>
  <c r="K439" i="59"/>
  <c r="O439" i="59" s="1"/>
  <c r="L439" i="59"/>
  <c r="P439" i="59" s="1"/>
  <c r="M439" i="59"/>
  <c r="Q439" i="59" s="1"/>
  <c r="K442" i="59"/>
  <c r="O442" i="59" s="1"/>
  <c r="L442" i="59"/>
  <c r="P442" i="59" s="1"/>
  <c r="M442" i="59"/>
  <c r="Q442" i="59" s="1"/>
  <c r="K445" i="59"/>
  <c r="O445" i="59" s="1"/>
  <c r="L445" i="59"/>
  <c r="P445" i="59" s="1"/>
  <c r="M445" i="59"/>
  <c r="Q445" i="59" s="1"/>
  <c r="K448" i="59"/>
  <c r="O448" i="59" s="1"/>
  <c r="L448" i="59"/>
  <c r="P448" i="59" s="1"/>
  <c r="M448" i="59"/>
  <c r="Q448" i="59" s="1"/>
  <c r="K451" i="59"/>
  <c r="O451" i="59" s="1"/>
  <c r="L451" i="59"/>
  <c r="P451" i="59" s="1"/>
  <c r="M451" i="59"/>
  <c r="Q451" i="59" s="1"/>
  <c r="K454" i="59"/>
  <c r="O454" i="59" s="1"/>
  <c r="L454" i="59"/>
  <c r="P454" i="59" s="1"/>
  <c r="M454" i="59"/>
  <c r="Q454" i="59" s="1"/>
  <c r="K457" i="59"/>
  <c r="O457" i="59" s="1"/>
  <c r="L457" i="59"/>
  <c r="P457" i="59" s="1"/>
  <c r="M457" i="59"/>
  <c r="Q457" i="59" s="1"/>
  <c r="K460" i="59"/>
  <c r="O460" i="59" s="1"/>
  <c r="L460" i="59"/>
  <c r="P460" i="59" s="1"/>
  <c r="M460" i="59"/>
  <c r="Q460" i="59" s="1"/>
  <c r="K463" i="59"/>
  <c r="O463" i="59" s="1"/>
  <c r="L463" i="59"/>
  <c r="P463" i="59" s="1"/>
  <c r="M463" i="59"/>
  <c r="Q463" i="59" s="1"/>
  <c r="K466" i="59"/>
  <c r="O466" i="59" s="1"/>
  <c r="L466" i="59"/>
  <c r="P466" i="59" s="1"/>
  <c r="M466" i="59"/>
  <c r="Q466" i="59" s="1"/>
  <c r="K469" i="59"/>
  <c r="O469" i="59" s="1"/>
  <c r="L469" i="59"/>
  <c r="P469" i="59" s="1"/>
  <c r="M469" i="59"/>
  <c r="Q469" i="59" s="1"/>
  <c r="K472" i="59"/>
  <c r="O472" i="59" s="1"/>
  <c r="L472" i="59"/>
  <c r="P472" i="59" s="1"/>
  <c r="M472" i="59"/>
  <c r="Q472" i="59" s="1"/>
  <c r="K475" i="59"/>
  <c r="O475" i="59" s="1"/>
  <c r="L475" i="59"/>
  <c r="P475" i="59" s="1"/>
  <c r="M475" i="59"/>
  <c r="Q475" i="59" s="1"/>
  <c r="K478" i="59"/>
  <c r="O478" i="59" s="1"/>
  <c r="L478" i="59"/>
  <c r="P478" i="59" s="1"/>
  <c r="M478" i="59"/>
  <c r="Q478" i="59" s="1"/>
  <c r="K481" i="59"/>
  <c r="O481" i="59" s="1"/>
  <c r="L481" i="59"/>
  <c r="P481" i="59" s="1"/>
  <c r="M481" i="59"/>
  <c r="Q481" i="59" s="1"/>
  <c r="K484" i="59"/>
  <c r="O484" i="59" s="1"/>
  <c r="L484" i="59"/>
  <c r="P484" i="59" s="1"/>
  <c r="M484" i="59"/>
  <c r="Q484" i="59" s="1"/>
  <c r="K487" i="59"/>
  <c r="O487" i="59" s="1"/>
  <c r="L487" i="59"/>
  <c r="P487" i="59" s="1"/>
  <c r="M487" i="59"/>
  <c r="Q487" i="59" s="1"/>
  <c r="K490" i="59"/>
  <c r="O490" i="59" s="1"/>
  <c r="L490" i="59"/>
  <c r="P490" i="59" s="1"/>
  <c r="M490" i="59"/>
  <c r="Q490" i="59" s="1"/>
  <c r="K493" i="59"/>
  <c r="O493" i="59" s="1"/>
  <c r="L493" i="59"/>
  <c r="P493" i="59" s="1"/>
  <c r="M493" i="59"/>
  <c r="Q493" i="59" s="1"/>
  <c r="K496" i="59"/>
  <c r="O496" i="59" s="1"/>
  <c r="L496" i="59"/>
  <c r="P496" i="59" s="1"/>
  <c r="M496" i="59"/>
  <c r="Q496" i="59" s="1"/>
  <c r="K499" i="59"/>
  <c r="O499" i="59" s="1"/>
  <c r="L499" i="59"/>
  <c r="P499" i="59" s="1"/>
  <c r="M499" i="59"/>
  <c r="Q499" i="59" s="1"/>
  <c r="K502" i="59"/>
  <c r="O502" i="59" s="1"/>
  <c r="L502" i="59"/>
  <c r="P502" i="59" s="1"/>
  <c r="M502" i="59"/>
  <c r="Q502" i="59" s="1"/>
  <c r="K505" i="59"/>
  <c r="O505" i="59" s="1"/>
  <c r="L505" i="59"/>
  <c r="P505" i="59" s="1"/>
  <c r="M505" i="59"/>
  <c r="Q505" i="59" s="1"/>
  <c r="K508" i="59"/>
  <c r="O508" i="59" s="1"/>
  <c r="L508" i="59"/>
  <c r="P508" i="59" s="1"/>
  <c r="M508" i="59"/>
  <c r="Q508" i="59" s="1"/>
  <c r="K511" i="59"/>
  <c r="O511" i="59" s="1"/>
  <c r="L511" i="59"/>
  <c r="P511" i="59" s="1"/>
  <c r="M511" i="59"/>
  <c r="Q511" i="59" s="1"/>
  <c r="K514" i="59"/>
  <c r="O514" i="59" s="1"/>
  <c r="L514" i="59"/>
  <c r="P514" i="59" s="1"/>
  <c r="M514" i="59"/>
  <c r="Q514" i="59" s="1"/>
  <c r="K517" i="59"/>
  <c r="O517" i="59" s="1"/>
  <c r="L517" i="59"/>
  <c r="P517" i="59" s="1"/>
  <c r="M517" i="59"/>
  <c r="Q517" i="59" s="1"/>
  <c r="K520" i="59"/>
  <c r="O520" i="59" s="1"/>
  <c r="L520" i="59"/>
  <c r="P520" i="59" s="1"/>
  <c r="M520" i="59"/>
  <c r="Q520" i="59" s="1"/>
  <c r="K523" i="59"/>
  <c r="O523" i="59" s="1"/>
  <c r="L523" i="59"/>
  <c r="P523" i="59" s="1"/>
  <c r="M523" i="59"/>
  <c r="Q523" i="59" s="1"/>
  <c r="K526" i="59"/>
  <c r="O526" i="59" s="1"/>
  <c r="L526" i="59"/>
  <c r="P526" i="59" s="1"/>
  <c r="M526" i="59"/>
  <c r="Q526" i="59" s="1"/>
  <c r="K529" i="59"/>
  <c r="O529" i="59" s="1"/>
  <c r="L529" i="59"/>
  <c r="P529" i="59" s="1"/>
  <c r="M529" i="59"/>
  <c r="Q529" i="59" s="1"/>
  <c r="K532" i="59"/>
  <c r="O532" i="59" s="1"/>
  <c r="L532" i="59"/>
  <c r="P532" i="59" s="1"/>
  <c r="M532" i="59"/>
  <c r="Q532" i="59" s="1"/>
  <c r="K535" i="59"/>
  <c r="O535" i="59" s="1"/>
  <c r="L535" i="59"/>
  <c r="P535" i="59" s="1"/>
  <c r="M535" i="59"/>
  <c r="Q535" i="59" s="1"/>
  <c r="K538" i="59"/>
  <c r="O538" i="59" s="1"/>
  <c r="L538" i="59"/>
  <c r="P538" i="59" s="1"/>
  <c r="M538" i="59"/>
  <c r="Q538" i="59" s="1"/>
  <c r="K541" i="59"/>
  <c r="O541" i="59" s="1"/>
  <c r="L541" i="59"/>
  <c r="P541" i="59" s="1"/>
  <c r="M541" i="59"/>
  <c r="Q541" i="59" s="1"/>
  <c r="K544" i="59"/>
  <c r="O544" i="59" s="1"/>
  <c r="L544" i="59"/>
  <c r="P544" i="59" s="1"/>
  <c r="M544" i="59"/>
  <c r="Q544" i="59" s="1"/>
  <c r="K547" i="59"/>
  <c r="O547" i="59" s="1"/>
  <c r="L547" i="59"/>
  <c r="P547" i="59" s="1"/>
  <c r="M547" i="59"/>
  <c r="Q547" i="59" s="1"/>
  <c r="K550" i="59"/>
  <c r="O550" i="59" s="1"/>
  <c r="L550" i="59"/>
  <c r="P550" i="59" s="1"/>
  <c r="M550" i="59"/>
  <c r="Q550" i="59" s="1"/>
  <c r="K553" i="59"/>
  <c r="O553" i="59" s="1"/>
  <c r="L553" i="59"/>
  <c r="P553" i="59" s="1"/>
  <c r="M553" i="59"/>
  <c r="Q553" i="59" s="1"/>
  <c r="K556" i="59"/>
  <c r="O556" i="59" s="1"/>
  <c r="L556" i="59"/>
  <c r="P556" i="59" s="1"/>
  <c r="M556" i="59"/>
  <c r="Q556" i="59" s="1"/>
  <c r="K559" i="59"/>
  <c r="O559" i="59" s="1"/>
  <c r="L559" i="59"/>
  <c r="P559" i="59" s="1"/>
  <c r="M559" i="59"/>
  <c r="Q559" i="59" s="1"/>
  <c r="K562" i="59"/>
  <c r="O562" i="59" s="1"/>
  <c r="L562" i="59"/>
  <c r="P562" i="59" s="1"/>
  <c r="M562" i="59"/>
  <c r="Q562" i="59" s="1"/>
  <c r="K565" i="59"/>
  <c r="O565" i="59" s="1"/>
  <c r="L565" i="59"/>
  <c r="P565" i="59" s="1"/>
  <c r="M565" i="59"/>
  <c r="Q565" i="59" s="1"/>
  <c r="K568" i="59"/>
  <c r="O568" i="59" s="1"/>
  <c r="L568" i="59"/>
  <c r="P568" i="59" s="1"/>
  <c r="M568" i="59"/>
  <c r="Q568" i="59" s="1"/>
  <c r="K571" i="59"/>
  <c r="O571" i="59" s="1"/>
  <c r="L571" i="59"/>
  <c r="P571" i="59" s="1"/>
  <c r="M571" i="59"/>
  <c r="Q571" i="59" s="1"/>
  <c r="K574" i="59"/>
  <c r="O574" i="59" s="1"/>
  <c r="L574" i="59"/>
  <c r="P574" i="59" s="1"/>
  <c r="M574" i="59"/>
  <c r="Q574" i="59" s="1"/>
  <c r="K577" i="59"/>
  <c r="O577" i="59" s="1"/>
  <c r="L577" i="59"/>
  <c r="P577" i="59" s="1"/>
  <c r="M577" i="59"/>
  <c r="Q577" i="59" s="1"/>
  <c r="K580" i="59"/>
  <c r="O580" i="59" s="1"/>
  <c r="L580" i="59"/>
  <c r="P580" i="59" s="1"/>
  <c r="M580" i="59"/>
  <c r="Q580" i="59" s="1"/>
  <c r="K583" i="59"/>
  <c r="O583" i="59" s="1"/>
  <c r="L583" i="59"/>
  <c r="P583" i="59" s="1"/>
  <c r="M583" i="59"/>
  <c r="Q583" i="59" s="1"/>
  <c r="K586" i="59"/>
  <c r="O586" i="59" s="1"/>
  <c r="L586" i="59"/>
  <c r="P586" i="59" s="1"/>
  <c r="M586" i="59"/>
  <c r="Q586" i="59" s="1"/>
  <c r="K589" i="59"/>
  <c r="O589" i="59" s="1"/>
  <c r="L589" i="59"/>
  <c r="P589" i="59" s="1"/>
  <c r="M589" i="59"/>
  <c r="Q589" i="59" s="1"/>
  <c r="K592" i="59"/>
  <c r="O592" i="59" s="1"/>
  <c r="L592" i="59"/>
  <c r="P592" i="59" s="1"/>
  <c r="M592" i="59"/>
  <c r="Q592" i="59" s="1"/>
  <c r="K595" i="59"/>
  <c r="O595" i="59" s="1"/>
  <c r="L595" i="59"/>
  <c r="P595" i="59" s="1"/>
  <c r="M595" i="59"/>
  <c r="Q595" i="59" s="1"/>
  <c r="K598" i="59"/>
  <c r="O598" i="59" s="1"/>
  <c r="L598" i="59"/>
  <c r="P598" i="59" s="1"/>
  <c r="M598" i="59"/>
  <c r="Q598" i="59" s="1"/>
  <c r="K601" i="59"/>
  <c r="O601" i="59" s="1"/>
  <c r="L601" i="59"/>
  <c r="P601" i="59" s="1"/>
  <c r="M601" i="59"/>
  <c r="Q601" i="59" s="1"/>
  <c r="K604" i="59"/>
  <c r="O604" i="59" s="1"/>
  <c r="L604" i="59"/>
  <c r="P604" i="59" s="1"/>
  <c r="M604" i="59"/>
  <c r="Q604" i="59" s="1"/>
  <c r="K607" i="59"/>
  <c r="O607" i="59" s="1"/>
  <c r="L607" i="59"/>
  <c r="P607" i="59" s="1"/>
  <c r="M607" i="59"/>
  <c r="Q607" i="59" s="1"/>
  <c r="K610" i="59"/>
  <c r="O610" i="59" s="1"/>
  <c r="L610" i="59"/>
  <c r="P610" i="59" s="1"/>
  <c r="M610" i="59"/>
  <c r="Q610" i="59" s="1"/>
  <c r="K613" i="59"/>
  <c r="O613" i="59" s="1"/>
  <c r="L613" i="59"/>
  <c r="P613" i="59" s="1"/>
  <c r="M613" i="59"/>
  <c r="Q613" i="59" s="1"/>
  <c r="K616" i="59"/>
  <c r="O616" i="59" s="1"/>
  <c r="L616" i="59"/>
  <c r="P616" i="59" s="1"/>
  <c r="M616" i="59"/>
  <c r="Q616" i="59" s="1"/>
  <c r="K619" i="59"/>
  <c r="O619" i="59" s="1"/>
  <c r="L619" i="59"/>
  <c r="P619" i="59" s="1"/>
  <c r="M619" i="59"/>
  <c r="Q619" i="59" s="1"/>
  <c r="K622" i="59"/>
  <c r="O622" i="59" s="1"/>
  <c r="L622" i="59"/>
  <c r="P622" i="59" s="1"/>
  <c r="M622" i="59"/>
  <c r="Q622" i="59" s="1"/>
  <c r="K625" i="59"/>
  <c r="O625" i="59" s="1"/>
  <c r="L625" i="59"/>
  <c r="P625" i="59" s="1"/>
  <c r="M625" i="59"/>
  <c r="Q625" i="59" s="1"/>
  <c r="K628" i="59"/>
  <c r="O628" i="59" s="1"/>
  <c r="L628" i="59"/>
  <c r="P628" i="59" s="1"/>
  <c r="M628" i="59"/>
  <c r="Q628" i="59" s="1"/>
  <c r="K631" i="59"/>
  <c r="O631" i="59" s="1"/>
  <c r="L631" i="59"/>
  <c r="P631" i="59" s="1"/>
  <c r="M631" i="59"/>
  <c r="Q631" i="59" s="1"/>
  <c r="K634" i="59"/>
  <c r="O634" i="59" s="1"/>
  <c r="L634" i="59"/>
  <c r="P634" i="59" s="1"/>
  <c r="M634" i="59"/>
  <c r="Q634" i="59" s="1"/>
  <c r="K637" i="59"/>
  <c r="O637" i="59" s="1"/>
  <c r="L637" i="59"/>
  <c r="P637" i="59" s="1"/>
  <c r="M637" i="59"/>
  <c r="Q637" i="59" s="1"/>
  <c r="K640" i="59"/>
  <c r="O640" i="59" s="1"/>
  <c r="L640" i="59"/>
  <c r="P640" i="59" s="1"/>
  <c r="M640" i="59"/>
  <c r="Q640" i="59" s="1"/>
  <c r="K643" i="59"/>
  <c r="O643" i="59" s="1"/>
  <c r="L643" i="59"/>
  <c r="P643" i="59" s="1"/>
  <c r="M643" i="59"/>
  <c r="Q643" i="59" s="1"/>
  <c r="K646" i="59"/>
  <c r="O646" i="59" s="1"/>
  <c r="L646" i="59"/>
  <c r="P646" i="59" s="1"/>
  <c r="M646" i="59"/>
  <c r="Q646" i="59" s="1"/>
  <c r="K649" i="59"/>
  <c r="O649" i="59" s="1"/>
  <c r="L649" i="59"/>
  <c r="P649" i="59" s="1"/>
  <c r="M649" i="59"/>
  <c r="Q649" i="59" s="1"/>
  <c r="K652" i="59"/>
  <c r="O652" i="59" s="1"/>
  <c r="L652" i="59"/>
  <c r="P652" i="59" s="1"/>
  <c r="M652" i="59"/>
  <c r="Q652" i="59" s="1"/>
  <c r="K655" i="59"/>
  <c r="O655" i="59" s="1"/>
  <c r="L655" i="59"/>
  <c r="P655" i="59" s="1"/>
  <c r="M655" i="59"/>
  <c r="Q655" i="59" s="1"/>
  <c r="K658" i="59"/>
  <c r="O658" i="59" s="1"/>
  <c r="L658" i="59"/>
  <c r="P658" i="59" s="1"/>
  <c r="M658" i="59"/>
  <c r="Q658" i="59" s="1"/>
  <c r="K661" i="59"/>
  <c r="O661" i="59" s="1"/>
  <c r="L661" i="59"/>
  <c r="P661" i="59" s="1"/>
  <c r="M661" i="59"/>
  <c r="Q661" i="59" s="1"/>
  <c r="K664" i="59"/>
  <c r="O664" i="59" s="1"/>
  <c r="L664" i="59"/>
  <c r="P664" i="59" s="1"/>
  <c r="M664" i="59"/>
  <c r="Q664" i="59" s="1"/>
  <c r="K667" i="59"/>
  <c r="O667" i="59" s="1"/>
  <c r="L667" i="59"/>
  <c r="P667" i="59" s="1"/>
  <c r="M667" i="59"/>
  <c r="Q667" i="59" s="1"/>
  <c r="K670" i="59"/>
  <c r="O670" i="59" s="1"/>
  <c r="L670" i="59"/>
  <c r="P670" i="59" s="1"/>
  <c r="M670" i="59"/>
  <c r="Q670" i="59" s="1"/>
  <c r="K673" i="59"/>
  <c r="O673" i="59" s="1"/>
  <c r="L673" i="59"/>
  <c r="P673" i="59" s="1"/>
  <c r="M673" i="59"/>
  <c r="Q673" i="59" s="1"/>
  <c r="K676" i="59"/>
  <c r="O676" i="59" s="1"/>
  <c r="L676" i="59"/>
  <c r="P676" i="59" s="1"/>
  <c r="M676" i="59"/>
  <c r="Q676" i="59" s="1"/>
  <c r="K679" i="59"/>
  <c r="O679" i="59" s="1"/>
  <c r="L679" i="59"/>
  <c r="P679" i="59" s="1"/>
  <c r="M679" i="59"/>
  <c r="Q679" i="59" s="1"/>
  <c r="K682" i="59"/>
  <c r="O682" i="59" s="1"/>
  <c r="L682" i="59"/>
  <c r="P682" i="59" s="1"/>
  <c r="M682" i="59"/>
  <c r="Q682" i="59" s="1"/>
  <c r="K685" i="59"/>
  <c r="O685" i="59" s="1"/>
  <c r="L685" i="59"/>
  <c r="P685" i="59" s="1"/>
  <c r="M685" i="59"/>
  <c r="Q685" i="59" s="1"/>
  <c r="K688" i="59"/>
  <c r="O688" i="59" s="1"/>
  <c r="L688" i="59"/>
  <c r="P688" i="59" s="1"/>
  <c r="M688" i="59"/>
  <c r="Q688" i="59" s="1"/>
  <c r="K691" i="59"/>
  <c r="O691" i="59" s="1"/>
  <c r="L691" i="59"/>
  <c r="P691" i="59" s="1"/>
  <c r="M691" i="59"/>
  <c r="Q691" i="59" s="1"/>
  <c r="K694" i="59"/>
  <c r="O694" i="59" s="1"/>
  <c r="L694" i="59"/>
  <c r="P694" i="59" s="1"/>
  <c r="M694" i="59"/>
  <c r="Q694" i="59" s="1"/>
  <c r="K697" i="59"/>
  <c r="O697" i="59" s="1"/>
  <c r="L697" i="59"/>
  <c r="P697" i="59" s="1"/>
  <c r="M697" i="59"/>
  <c r="Q697" i="59" s="1"/>
  <c r="K700" i="59"/>
  <c r="O700" i="59" s="1"/>
  <c r="L700" i="59"/>
  <c r="P700" i="59" s="1"/>
  <c r="M700" i="59"/>
  <c r="Q700" i="59" s="1"/>
  <c r="K703" i="59"/>
  <c r="O703" i="59" s="1"/>
  <c r="L703" i="59"/>
  <c r="P703" i="59" s="1"/>
  <c r="M703" i="59"/>
  <c r="Q703" i="59" s="1"/>
  <c r="K706" i="59"/>
  <c r="O706" i="59" s="1"/>
  <c r="L706" i="59"/>
  <c r="P706" i="59" s="1"/>
  <c r="M706" i="59"/>
  <c r="Q706" i="59" s="1"/>
  <c r="K709" i="59"/>
  <c r="O709" i="59" s="1"/>
  <c r="L709" i="59"/>
  <c r="P709" i="59" s="1"/>
  <c r="M709" i="59"/>
  <c r="Q709" i="59" s="1"/>
  <c r="K712" i="59"/>
  <c r="O712" i="59" s="1"/>
  <c r="L712" i="59"/>
  <c r="P712" i="59" s="1"/>
  <c r="M712" i="59"/>
  <c r="Q712" i="59" s="1"/>
  <c r="K715" i="59"/>
  <c r="O715" i="59" s="1"/>
  <c r="L715" i="59"/>
  <c r="P715" i="59" s="1"/>
  <c r="M715" i="59"/>
  <c r="Q715" i="59" s="1"/>
  <c r="K718" i="59"/>
  <c r="O718" i="59" s="1"/>
  <c r="L718" i="59"/>
  <c r="P718" i="59" s="1"/>
  <c r="M718" i="59"/>
  <c r="Q718" i="59" s="1"/>
  <c r="K721" i="59"/>
  <c r="O721" i="59" s="1"/>
  <c r="L721" i="59"/>
  <c r="P721" i="59" s="1"/>
  <c r="M721" i="59"/>
  <c r="Q721" i="59" s="1"/>
  <c r="K724" i="59"/>
  <c r="O724" i="59" s="1"/>
  <c r="L724" i="59"/>
  <c r="P724" i="59" s="1"/>
  <c r="M724" i="59"/>
  <c r="Q724" i="59" s="1"/>
  <c r="K727" i="59"/>
  <c r="O727" i="59" s="1"/>
  <c r="L727" i="59"/>
  <c r="P727" i="59" s="1"/>
  <c r="M727" i="59"/>
  <c r="Q727" i="59" s="1"/>
  <c r="K730" i="59"/>
  <c r="O730" i="59" s="1"/>
  <c r="L730" i="59"/>
  <c r="P730" i="59" s="1"/>
  <c r="M730" i="59"/>
  <c r="Q730" i="59" s="1"/>
  <c r="K733" i="59"/>
  <c r="O733" i="59" s="1"/>
  <c r="L733" i="59"/>
  <c r="P733" i="59" s="1"/>
  <c r="M733" i="59"/>
  <c r="Q733" i="59" s="1"/>
  <c r="K736" i="59"/>
  <c r="O736" i="59" s="1"/>
  <c r="L736" i="59"/>
  <c r="P736" i="59" s="1"/>
  <c r="M736" i="59"/>
  <c r="Q736" i="59" s="1"/>
  <c r="K739" i="59"/>
  <c r="O739" i="59" s="1"/>
  <c r="L739" i="59"/>
  <c r="P739" i="59" s="1"/>
  <c r="M739" i="59"/>
  <c r="Q739" i="59" s="1"/>
  <c r="K742" i="59"/>
  <c r="O742" i="59" s="1"/>
  <c r="L742" i="59"/>
  <c r="P742" i="59" s="1"/>
  <c r="M742" i="59"/>
  <c r="Q742" i="59" s="1"/>
  <c r="K745" i="59"/>
  <c r="O745" i="59" s="1"/>
  <c r="L745" i="59"/>
  <c r="P745" i="59" s="1"/>
  <c r="M745" i="59"/>
  <c r="Q745" i="59" s="1"/>
  <c r="K748" i="59"/>
  <c r="O748" i="59" s="1"/>
  <c r="L748" i="59"/>
  <c r="P748" i="59" s="1"/>
  <c r="M748" i="59"/>
  <c r="Q748" i="59" s="1"/>
  <c r="M463" i="48"/>
  <c r="M465" i="48" s="1"/>
  <c r="M466" i="48" s="1"/>
  <c r="M471" i="48" s="1"/>
  <c r="L463" i="48"/>
  <c r="L465" i="48" s="1"/>
  <c r="L466" i="48" s="1"/>
  <c r="L471" i="48" s="1"/>
  <c r="D23" i="53"/>
  <c r="D24" i="53"/>
  <c r="D25" i="53"/>
  <c r="D26" i="53"/>
  <c r="D27" i="53"/>
  <c r="D28" i="53"/>
  <c r="D29" i="53"/>
  <c r="D30" i="53"/>
  <c r="D22" i="53"/>
  <c r="G6" i="53"/>
  <c r="G5" i="53"/>
  <c r="G4" i="53"/>
  <c r="C35" i="62"/>
  <c r="U35" i="62" s="1"/>
  <c r="F35" i="62"/>
  <c r="A2" i="62"/>
  <c r="S2" i="62" s="1"/>
  <c r="D31" i="53"/>
  <c r="F28" i="62"/>
  <c r="AD28" i="62" s="1"/>
  <c r="E28" i="62"/>
  <c r="AC28" i="62" s="1"/>
  <c r="D28" i="62"/>
  <c r="AB28" i="62" s="1"/>
  <c r="C28" i="62"/>
  <c r="AA28" i="62" s="1"/>
  <c r="B28" i="62"/>
  <c r="Z28" i="62" s="1"/>
  <c r="A28" i="62"/>
  <c r="Y28" i="62" s="1"/>
  <c r="F27" i="62"/>
  <c r="X27" i="62" s="1"/>
  <c r="E27" i="62"/>
  <c r="W27" i="62" s="1"/>
  <c r="D27" i="62"/>
  <c r="V27" i="62" s="1"/>
  <c r="C27" i="62"/>
  <c r="U27" i="62" s="1"/>
  <c r="B27" i="62"/>
  <c r="T27" i="62" s="1"/>
  <c r="A27" i="62"/>
  <c r="S27" i="62" s="1"/>
  <c r="F26" i="62"/>
  <c r="AD26" i="62" s="1"/>
  <c r="E26" i="62"/>
  <c r="AC26" i="62" s="1"/>
  <c r="D26" i="62"/>
  <c r="AB26" i="62" s="1"/>
  <c r="C26" i="62"/>
  <c r="AA26" i="62" s="1"/>
  <c r="B26" i="62"/>
  <c r="Z26" i="62" s="1"/>
  <c r="A26" i="62"/>
  <c r="Y26" i="62" s="1"/>
  <c r="F25" i="62"/>
  <c r="X25" i="62" s="1"/>
  <c r="E25" i="62"/>
  <c r="W25" i="62" s="1"/>
  <c r="D25" i="62"/>
  <c r="V25" i="62" s="1"/>
  <c r="C25" i="62"/>
  <c r="U25" i="62" s="1"/>
  <c r="B25" i="62"/>
  <c r="T25" i="62" s="1"/>
  <c r="A25" i="62"/>
  <c r="S25" i="62" s="1"/>
  <c r="F24" i="62"/>
  <c r="AD24" i="62" s="1"/>
  <c r="E24" i="62"/>
  <c r="AC24" i="62" s="1"/>
  <c r="D24" i="62"/>
  <c r="AB24" i="62" s="1"/>
  <c r="C24" i="62"/>
  <c r="AA24" i="62" s="1"/>
  <c r="B24" i="62"/>
  <c r="Z24" i="62" s="1"/>
  <c r="A24" i="62"/>
  <c r="Y24" i="62" s="1"/>
  <c r="F23" i="62"/>
  <c r="X23" i="62" s="1"/>
  <c r="E23" i="62"/>
  <c r="W23" i="62" s="1"/>
  <c r="D23" i="62"/>
  <c r="V23" i="62" s="1"/>
  <c r="C23" i="62"/>
  <c r="U23" i="62" s="1"/>
  <c r="B23" i="62"/>
  <c r="T23" i="62" s="1"/>
  <c r="A23" i="62"/>
  <c r="S23" i="62" s="1"/>
  <c r="F34" i="62"/>
  <c r="E34" i="62"/>
  <c r="D34" i="62"/>
  <c r="C34" i="62"/>
  <c r="B34" i="62"/>
  <c r="A34" i="62"/>
  <c r="F33" i="62"/>
  <c r="AD33" i="62" s="1"/>
  <c r="E33" i="62"/>
  <c r="D33" i="62"/>
  <c r="C33" i="62"/>
  <c r="AS33" i="62" s="1"/>
  <c r="B33" i="62"/>
  <c r="A33" i="62"/>
  <c r="F32" i="62"/>
  <c r="E32" i="62"/>
  <c r="AC32" i="62" s="1"/>
  <c r="D32" i="62"/>
  <c r="AT32" i="62" s="1"/>
  <c r="C32" i="62"/>
  <c r="B32" i="62"/>
  <c r="AR32" i="62" s="1"/>
  <c r="A32" i="62"/>
  <c r="F31" i="62"/>
  <c r="X31" i="62" s="1"/>
  <c r="E31" i="62"/>
  <c r="W31" i="62" s="1"/>
  <c r="D31" i="62"/>
  <c r="V31" i="62" s="1"/>
  <c r="C31" i="62"/>
  <c r="U31" i="62" s="1"/>
  <c r="B31" i="62"/>
  <c r="T31" i="62" s="1"/>
  <c r="A31" i="62"/>
  <c r="S31" i="62" s="1"/>
  <c r="F30" i="62"/>
  <c r="AD30" i="62" s="1"/>
  <c r="E30" i="62"/>
  <c r="AC30" i="62" s="1"/>
  <c r="D30" i="62"/>
  <c r="AB30" i="62" s="1"/>
  <c r="B30" i="62"/>
  <c r="Z30" i="62" s="1"/>
  <c r="A30" i="62"/>
  <c r="Y30" i="62" s="1"/>
  <c r="F29" i="62"/>
  <c r="X29" i="62" s="1"/>
  <c r="E29" i="62"/>
  <c r="W29" i="62" s="1"/>
  <c r="D29" i="62"/>
  <c r="V29" i="62" s="1"/>
  <c r="C29" i="62"/>
  <c r="U29" i="62" s="1"/>
  <c r="B29" i="62"/>
  <c r="T29" i="62" s="1"/>
  <c r="A29" i="62"/>
  <c r="S29" i="62" s="1"/>
  <c r="A6" i="62"/>
  <c r="E3" i="52"/>
  <c r="E4" i="52" s="1"/>
  <c r="E5" i="52" s="1"/>
  <c r="E6" i="52" s="1"/>
  <c r="E7" i="52" s="1"/>
  <c r="E8" i="52" s="1"/>
  <c r="E9" i="52" s="1"/>
  <c r="E10" i="52" s="1"/>
  <c r="E11" i="52" s="1"/>
  <c r="E12" i="52" s="1"/>
  <c r="E13" i="52" s="1"/>
  <c r="E14" i="52" s="1"/>
  <c r="E15" i="52" s="1"/>
  <c r="E16" i="52" s="1"/>
  <c r="E17" i="52" s="1"/>
  <c r="E18" i="52" s="1"/>
  <c r="E19" i="52" s="1"/>
  <c r="E20" i="52" s="1"/>
  <c r="E21" i="52" s="1"/>
  <c r="E22" i="52" s="1"/>
  <c r="E23" i="52" s="1"/>
  <c r="E24" i="52" s="1"/>
  <c r="E25" i="52" s="1"/>
  <c r="E26" i="52" s="1"/>
  <c r="E27" i="52" s="1"/>
  <c r="E28" i="52" s="1"/>
  <c r="E29" i="52" s="1"/>
  <c r="E30" i="52" s="1"/>
  <c r="E31" i="52" s="1"/>
  <c r="E32" i="52" s="1"/>
  <c r="E33" i="52" s="1"/>
  <c r="E34" i="52" s="1"/>
  <c r="E35" i="52" s="1"/>
  <c r="E36" i="52" s="1"/>
  <c r="E37" i="52" s="1"/>
  <c r="E38" i="52" s="1"/>
  <c r="E39" i="52" s="1"/>
  <c r="E40" i="52" s="1"/>
  <c r="E41" i="52" s="1"/>
  <c r="E42" i="52" s="1"/>
  <c r="E43" i="52" s="1"/>
  <c r="E44" i="52" s="1"/>
  <c r="E45" i="52" s="1"/>
  <c r="E46" i="52" s="1"/>
  <c r="E47" i="52" s="1"/>
  <c r="E48" i="52" s="1"/>
  <c r="E49" i="52" s="1"/>
  <c r="E50" i="52" s="1"/>
  <c r="E51" i="52" s="1"/>
  <c r="D3" i="52"/>
  <c r="D4" i="52" s="1"/>
  <c r="D5" i="52" s="1"/>
  <c r="D6" i="52" s="1"/>
  <c r="D7" i="52" s="1"/>
  <c r="D8" i="52" s="1"/>
  <c r="D9" i="52" s="1"/>
  <c r="D10" i="52" s="1"/>
  <c r="D11" i="52" s="1"/>
  <c r="D12" i="52" s="1"/>
  <c r="D13" i="52" s="1"/>
  <c r="D14" i="52" s="1"/>
  <c r="D15" i="52" s="1"/>
  <c r="D16" i="52" s="1"/>
  <c r="D17" i="52" s="1"/>
  <c r="D18" i="52" s="1"/>
  <c r="D19" i="52" s="1"/>
  <c r="D20" i="52" s="1"/>
  <c r="D21" i="52" s="1"/>
  <c r="D22" i="52" s="1"/>
  <c r="D23" i="52" s="1"/>
  <c r="D24" i="52" s="1"/>
  <c r="D25" i="52" s="1"/>
  <c r="D26" i="52" s="1"/>
  <c r="D27" i="52" s="1"/>
  <c r="D28" i="52" s="1"/>
  <c r="D29" i="52" s="1"/>
  <c r="D30" i="52" s="1"/>
  <c r="D31" i="52" s="1"/>
  <c r="D32" i="52" s="1"/>
  <c r="D33" i="52" s="1"/>
  <c r="D34" i="52" s="1"/>
  <c r="D35" i="52" s="1"/>
  <c r="D36" i="52" s="1"/>
  <c r="D37" i="52" s="1"/>
  <c r="D38" i="52" s="1"/>
  <c r="D39" i="52" s="1"/>
  <c r="D40" i="52" s="1"/>
  <c r="D41" i="52" s="1"/>
  <c r="D42" i="52" s="1"/>
  <c r="D43" i="52" s="1"/>
  <c r="D44" i="52" s="1"/>
  <c r="D45" i="52" s="1"/>
  <c r="D46" i="52" s="1"/>
  <c r="D47" i="52" s="1"/>
  <c r="D48" i="52" s="1"/>
  <c r="D49" i="52" s="1"/>
  <c r="D50" i="52" s="1"/>
  <c r="D51" i="52" s="1"/>
  <c r="A75" i="62"/>
  <c r="B75" i="62"/>
  <c r="C75" i="62"/>
  <c r="D75" i="62"/>
  <c r="E75" i="62"/>
  <c r="F75" i="62"/>
  <c r="A76" i="62"/>
  <c r="B76" i="62"/>
  <c r="C76" i="62"/>
  <c r="D76" i="62"/>
  <c r="E76" i="62"/>
  <c r="F76" i="62"/>
  <c r="A77" i="62"/>
  <c r="B77" i="62"/>
  <c r="C77" i="62"/>
  <c r="D77" i="62"/>
  <c r="E77" i="62"/>
  <c r="F77" i="62"/>
  <c r="A78" i="62"/>
  <c r="B78" i="62"/>
  <c r="C78" i="62"/>
  <c r="D78" i="62"/>
  <c r="E78" i="62"/>
  <c r="F78" i="62"/>
  <c r="S6" i="64"/>
  <c r="S5" i="64"/>
  <c r="S4" i="64"/>
  <c r="S3" i="64"/>
  <c r="S2" i="64"/>
  <c r="A48" i="62"/>
  <c r="B48" i="62"/>
  <c r="C48" i="62"/>
  <c r="D48" i="62"/>
  <c r="E48" i="62"/>
  <c r="F48" i="62"/>
  <c r="A49" i="62"/>
  <c r="B49" i="62"/>
  <c r="C49" i="62"/>
  <c r="D49" i="62"/>
  <c r="E49" i="62"/>
  <c r="F49" i="62"/>
  <c r="A50" i="62"/>
  <c r="B50" i="62"/>
  <c r="C50" i="62"/>
  <c r="D50" i="62"/>
  <c r="E50" i="62"/>
  <c r="F50" i="62"/>
  <c r="A51" i="62"/>
  <c r="B51" i="62"/>
  <c r="C51" i="62"/>
  <c r="D51" i="62"/>
  <c r="E51" i="62"/>
  <c r="F51" i="62"/>
  <c r="A52" i="62"/>
  <c r="B52" i="62"/>
  <c r="C52" i="62"/>
  <c r="D52" i="62"/>
  <c r="E52" i="62"/>
  <c r="F52" i="62"/>
  <c r="A53" i="62"/>
  <c r="B53" i="62"/>
  <c r="C53" i="62"/>
  <c r="D53" i="62"/>
  <c r="E53" i="62"/>
  <c r="F53" i="62"/>
  <c r="A54" i="62"/>
  <c r="B54" i="62"/>
  <c r="C54" i="62"/>
  <c r="D54" i="62"/>
  <c r="E54" i="62"/>
  <c r="F54" i="62"/>
  <c r="A55" i="62"/>
  <c r="B55" i="62"/>
  <c r="C55" i="62"/>
  <c r="D55" i="62"/>
  <c r="E55" i="62"/>
  <c r="F55" i="62"/>
  <c r="A56" i="62"/>
  <c r="B56" i="62"/>
  <c r="C56" i="62"/>
  <c r="D56" i="62"/>
  <c r="E56" i="62"/>
  <c r="F56" i="62"/>
  <c r="A57" i="62"/>
  <c r="B57" i="62"/>
  <c r="C57" i="62"/>
  <c r="D57" i="62"/>
  <c r="E57" i="62"/>
  <c r="F57" i="62"/>
  <c r="A58" i="62"/>
  <c r="B58" i="62"/>
  <c r="C58" i="62"/>
  <c r="D58" i="62"/>
  <c r="E58" i="62"/>
  <c r="F58" i="62"/>
  <c r="A59" i="62"/>
  <c r="B59" i="62"/>
  <c r="C59" i="62"/>
  <c r="D59" i="62"/>
  <c r="E59" i="62"/>
  <c r="F59" i="62"/>
  <c r="A60" i="62"/>
  <c r="B60" i="62"/>
  <c r="C60" i="62"/>
  <c r="D60" i="62"/>
  <c r="E60" i="62"/>
  <c r="F60" i="62"/>
  <c r="A63" i="62"/>
  <c r="B63" i="62"/>
  <c r="C63" i="62"/>
  <c r="D63" i="62"/>
  <c r="E63" i="62"/>
  <c r="F63" i="62"/>
  <c r="A61" i="62"/>
  <c r="B61" i="62"/>
  <c r="C61" i="62"/>
  <c r="D61" i="62"/>
  <c r="E61" i="62"/>
  <c r="F61" i="62"/>
  <c r="A62" i="62"/>
  <c r="B62" i="62"/>
  <c r="C62" i="62"/>
  <c r="D62" i="62"/>
  <c r="E62" i="62"/>
  <c r="F62" i="62"/>
  <c r="A64" i="62"/>
  <c r="B64" i="62"/>
  <c r="C64" i="62"/>
  <c r="D64" i="62"/>
  <c r="E64" i="62"/>
  <c r="F64" i="62"/>
  <c r="A65" i="62"/>
  <c r="B65" i="62"/>
  <c r="C65" i="62"/>
  <c r="D65" i="62"/>
  <c r="E65" i="62"/>
  <c r="F65" i="62"/>
  <c r="AP65" i="62" s="1"/>
  <c r="A66" i="62"/>
  <c r="B66" i="62"/>
  <c r="C66" i="62"/>
  <c r="D66" i="62"/>
  <c r="E66" i="62"/>
  <c r="F66" i="62"/>
  <c r="A67" i="62"/>
  <c r="B67" i="62"/>
  <c r="C67" i="62"/>
  <c r="D67" i="62"/>
  <c r="E67" i="62"/>
  <c r="F67" i="62"/>
  <c r="A68" i="62"/>
  <c r="B68" i="62"/>
  <c r="C68" i="62"/>
  <c r="D68" i="62"/>
  <c r="E68" i="62"/>
  <c r="F68" i="62"/>
  <c r="A69" i="62"/>
  <c r="B69" i="62"/>
  <c r="C69" i="62"/>
  <c r="D69" i="62"/>
  <c r="E69" i="62"/>
  <c r="F69" i="62"/>
  <c r="AP69" i="62" s="1"/>
  <c r="A70" i="62"/>
  <c r="B70" i="62"/>
  <c r="C70" i="62"/>
  <c r="D70" i="62"/>
  <c r="E70" i="62"/>
  <c r="F70" i="62"/>
  <c r="AJ70" i="62" s="1"/>
  <c r="A71" i="62"/>
  <c r="B71" i="62"/>
  <c r="C71" i="62"/>
  <c r="D71" i="62"/>
  <c r="E71" i="62"/>
  <c r="F71" i="62"/>
  <c r="A72" i="62"/>
  <c r="B72" i="62"/>
  <c r="C72" i="62"/>
  <c r="D72" i="62"/>
  <c r="E72" i="62"/>
  <c r="F72" i="62"/>
  <c r="A73" i="62"/>
  <c r="B73" i="62"/>
  <c r="C73" i="62"/>
  <c r="D73" i="62"/>
  <c r="E73" i="62"/>
  <c r="F73" i="62"/>
  <c r="A74" i="62"/>
  <c r="B74" i="62"/>
  <c r="C74" i="62"/>
  <c r="D74" i="62"/>
  <c r="E74" i="62"/>
  <c r="F74" i="62"/>
  <c r="AV74" i="62" s="1"/>
  <c r="A3" i="62"/>
  <c r="B3" i="62"/>
  <c r="C3" i="62"/>
  <c r="D3" i="62"/>
  <c r="AB3" i="62" s="1"/>
  <c r="E3" i="62"/>
  <c r="F3" i="62"/>
  <c r="AD3" i="62" s="1"/>
  <c r="A4" i="62"/>
  <c r="B4" i="62"/>
  <c r="C4" i="62"/>
  <c r="D4" i="62"/>
  <c r="V4" i="62" s="1"/>
  <c r="BI26" i="62" s="1"/>
  <c r="E4" i="62"/>
  <c r="F4" i="62"/>
  <c r="X4" i="62" s="1"/>
  <c r="BK26" i="62" s="1"/>
  <c r="A5" i="62"/>
  <c r="B5" i="62"/>
  <c r="C5" i="62"/>
  <c r="D5" i="62"/>
  <c r="AB5" i="62" s="1"/>
  <c r="E5" i="62"/>
  <c r="F5" i="62"/>
  <c r="AD5" i="62" s="1"/>
  <c r="B6" i="62"/>
  <c r="C6" i="62"/>
  <c r="D6" i="62"/>
  <c r="V6" i="62" s="1"/>
  <c r="E6" i="62"/>
  <c r="F6" i="62"/>
  <c r="X6" i="62" s="1"/>
  <c r="A7" i="62"/>
  <c r="B7" i="62"/>
  <c r="C7" i="62"/>
  <c r="D7" i="62"/>
  <c r="E7" i="62"/>
  <c r="F7" i="62"/>
  <c r="AD7" i="62" s="1"/>
  <c r="A8" i="62"/>
  <c r="B8" i="62"/>
  <c r="C8" i="62"/>
  <c r="D8" i="62"/>
  <c r="V8" i="62" s="1"/>
  <c r="E8" i="62"/>
  <c r="F8" i="62"/>
  <c r="AJ8" i="62" s="1"/>
  <c r="A9" i="62"/>
  <c r="B9" i="62"/>
  <c r="C9" i="62"/>
  <c r="D9" i="62"/>
  <c r="E9" i="62"/>
  <c r="F9" i="62"/>
  <c r="AP9" i="62" s="1"/>
  <c r="A10" i="62"/>
  <c r="B10" i="62"/>
  <c r="C10" i="62"/>
  <c r="D10" i="62"/>
  <c r="AH10" i="62" s="1"/>
  <c r="E10" i="62"/>
  <c r="F10" i="62"/>
  <c r="AV10" i="62" s="1"/>
  <c r="A11" i="62"/>
  <c r="B11" i="62"/>
  <c r="C11" i="62"/>
  <c r="D11" i="62"/>
  <c r="AB11" i="62" s="1"/>
  <c r="E11" i="62"/>
  <c r="F11" i="62"/>
  <c r="AD11" i="62" s="1"/>
  <c r="A12" i="62"/>
  <c r="B12" i="62"/>
  <c r="C12" i="62"/>
  <c r="D12" i="62"/>
  <c r="AT12" i="62" s="1"/>
  <c r="E12" i="62"/>
  <c r="F12" i="62"/>
  <c r="A13" i="62"/>
  <c r="B13" i="62"/>
  <c r="C13" i="62"/>
  <c r="D13" i="62"/>
  <c r="AN13" i="62" s="1"/>
  <c r="E13" i="62"/>
  <c r="F13" i="62"/>
  <c r="AD13" i="62" s="1"/>
  <c r="A14" i="62"/>
  <c r="Y14" i="62" s="1"/>
  <c r="B14" i="62"/>
  <c r="C14" i="62"/>
  <c r="AS14" i="62" s="1"/>
  <c r="D14" i="62"/>
  <c r="E14" i="62"/>
  <c r="AU14" i="62" s="1"/>
  <c r="F14" i="62"/>
  <c r="AV14" i="62" s="1"/>
  <c r="A15" i="62"/>
  <c r="S15" i="62" s="1"/>
  <c r="B15" i="62"/>
  <c r="C15" i="62"/>
  <c r="AG15" i="62" s="1"/>
  <c r="D15" i="62"/>
  <c r="E15" i="62"/>
  <c r="AO15" i="62" s="1"/>
  <c r="F15" i="62"/>
  <c r="A16" i="62"/>
  <c r="Y16" i="62" s="1"/>
  <c r="B16" i="62"/>
  <c r="Z16" i="62" s="1"/>
  <c r="C16" i="62"/>
  <c r="AA16" i="62" s="1"/>
  <c r="D16" i="62"/>
  <c r="E16" i="62"/>
  <c r="AI16" i="62" s="1"/>
  <c r="F16" i="62"/>
  <c r="A17" i="62"/>
  <c r="AQ17" i="62" s="1"/>
  <c r="B17" i="62"/>
  <c r="C17" i="62"/>
  <c r="D17" i="62"/>
  <c r="E17" i="62"/>
  <c r="AC17" i="62" s="1"/>
  <c r="F17" i="62"/>
  <c r="A18" i="62"/>
  <c r="S18" i="62" s="1"/>
  <c r="BF22" i="62" s="1"/>
  <c r="B18" i="62"/>
  <c r="T18" i="62" s="1"/>
  <c r="BG22" i="62" s="1"/>
  <c r="C18" i="62"/>
  <c r="AA18" i="62" s="1"/>
  <c r="D18" i="62"/>
  <c r="E18" i="62"/>
  <c r="AI18" i="62" s="1"/>
  <c r="F18" i="62"/>
  <c r="A19" i="62"/>
  <c r="AQ19" i="62" s="1"/>
  <c r="B19" i="62"/>
  <c r="AR19" i="62" s="1"/>
  <c r="C19" i="62"/>
  <c r="AS19" i="62" s="1"/>
  <c r="D19" i="62"/>
  <c r="V19" i="62" s="1"/>
  <c r="BI23" i="62" s="1"/>
  <c r="E19" i="62"/>
  <c r="AU19" i="62" s="1"/>
  <c r="F19" i="62"/>
  <c r="AD19" i="62" s="1"/>
  <c r="A20" i="62"/>
  <c r="Y20" i="62" s="1"/>
  <c r="B20" i="62"/>
  <c r="Z20" i="62" s="1"/>
  <c r="C20" i="62"/>
  <c r="AA20" i="62" s="1"/>
  <c r="D20" i="62"/>
  <c r="AB20" i="62" s="1"/>
  <c r="E20" i="62"/>
  <c r="AC20" i="62" s="1"/>
  <c r="F20" i="62"/>
  <c r="AD20" i="62" s="1"/>
  <c r="A21" i="62"/>
  <c r="S21" i="62" s="1"/>
  <c r="B21" i="62"/>
  <c r="T21" i="62" s="1"/>
  <c r="C21" i="62"/>
  <c r="U21" i="62" s="1"/>
  <c r="D21" i="62"/>
  <c r="V21" i="62" s="1"/>
  <c r="E21" i="62"/>
  <c r="W21" i="62" s="1"/>
  <c r="F21" i="62"/>
  <c r="X21" i="62" s="1"/>
  <c r="A22" i="62"/>
  <c r="Y22" i="62" s="1"/>
  <c r="B22" i="62"/>
  <c r="Z22" i="62" s="1"/>
  <c r="C22" i="62"/>
  <c r="AA22" i="62" s="1"/>
  <c r="D22" i="62"/>
  <c r="AB22" i="62" s="1"/>
  <c r="E22" i="62"/>
  <c r="AC22" i="62" s="1"/>
  <c r="F22" i="62"/>
  <c r="AD22" i="62" s="1"/>
  <c r="A35" i="62"/>
  <c r="B35" i="62"/>
  <c r="D35" i="62"/>
  <c r="E35" i="62"/>
  <c r="A36" i="62"/>
  <c r="Y36" i="62" s="1"/>
  <c r="B36" i="62"/>
  <c r="C36" i="62"/>
  <c r="AA36" i="62" s="1"/>
  <c r="D36" i="62"/>
  <c r="E36" i="62"/>
  <c r="F36" i="62"/>
  <c r="A37" i="62"/>
  <c r="B37" i="62"/>
  <c r="C37" i="62"/>
  <c r="AS37" i="62" s="1"/>
  <c r="D37" i="62"/>
  <c r="E37" i="62"/>
  <c r="F37" i="62"/>
  <c r="A38" i="62"/>
  <c r="Y38" i="62" s="1"/>
  <c r="B38" i="62"/>
  <c r="C38" i="62"/>
  <c r="AA38" i="62" s="1"/>
  <c r="D38" i="62"/>
  <c r="E38" i="62"/>
  <c r="F38" i="62"/>
  <c r="A39" i="62"/>
  <c r="B39" i="62"/>
  <c r="C39" i="62"/>
  <c r="D39" i="62"/>
  <c r="E39" i="62"/>
  <c r="F39" i="62"/>
  <c r="A40" i="62"/>
  <c r="Y40" i="62" s="1"/>
  <c r="B40" i="62"/>
  <c r="C40" i="62"/>
  <c r="AA40" i="62" s="1"/>
  <c r="D40" i="62"/>
  <c r="E40" i="62"/>
  <c r="A41" i="62"/>
  <c r="S41" i="62" s="1"/>
  <c r="B41" i="62"/>
  <c r="C41" i="62"/>
  <c r="U41" i="62" s="1"/>
  <c r="D41" i="62"/>
  <c r="E41" i="62"/>
  <c r="A42" i="62"/>
  <c r="Y42" i="62" s="1"/>
  <c r="B42" i="62"/>
  <c r="C42" i="62"/>
  <c r="AA42" i="62" s="1"/>
  <c r="D42" i="62"/>
  <c r="E42" i="62"/>
  <c r="F42" i="62"/>
  <c r="A43" i="62"/>
  <c r="AE43" i="62" s="1"/>
  <c r="B43" i="62"/>
  <c r="C43" i="62"/>
  <c r="U43" i="62" s="1"/>
  <c r="D43" i="62"/>
  <c r="E43" i="62"/>
  <c r="F43" i="62"/>
  <c r="A44" i="62"/>
  <c r="AK44" i="62" s="1"/>
  <c r="B44" i="62"/>
  <c r="C44" i="62"/>
  <c r="AM44" i="62" s="1"/>
  <c r="D44" i="62"/>
  <c r="E44" i="62"/>
  <c r="F44" i="62"/>
  <c r="A45" i="62"/>
  <c r="AQ45" i="62" s="1"/>
  <c r="B45" i="62"/>
  <c r="C45" i="62"/>
  <c r="U45" i="62" s="1"/>
  <c r="D45" i="62"/>
  <c r="E45" i="62"/>
  <c r="F45" i="62"/>
  <c r="A46" i="62"/>
  <c r="B46" i="62"/>
  <c r="C46" i="62"/>
  <c r="D46" i="62"/>
  <c r="E46" i="62"/>
  <c r="F46" i="62"/>
  <c r="A47" i="62"/>
  <c r="B47" i="62"/>
  <c r="C47" i="62"/>
  <c r="D47" i="62"/>
  <c r="E47" i="62"/>
  <c r="F47" i="62"/>
  <c r="B2" i="62"/>
  <c r="Z2" i="62" s="1"/>
  <c r="C2" i="62"/>
  <c r="AA2" i="62" s="1"/>
  <c r="D2" i="62"/>
  <c r="AB2" i="62" s="1"/>
  <c r="E2" i="62"/>
  <c r="AC2" i="62" s="1"/>
  <c r="F2" i="62"/>
  <c r="AP2" i="62" s="1"/>
  <c r="C42" i="50"/>
  <c r="G10" i="50"/>
  <c r="G11" i="50" s="1"/>
  <c r="H10" i="50"/>
  <c r="H11" i="50" s="1"/>
  <c r="K1415" i="59"/>
  <c r="O1415" i="59" s="1"/>
  <c r="L1415" i="59"/>
  <c r="P1415" i="59" s="1"/>
  <c r="K1370" i="59"/>
  <c r="O1370" i="59" s="1"/>
  <c r="L1370" i="59"/>
  <c r="P1370" i="59" s="1"/>
  <c r="L1382" i="59"/>
  <c r="P1382" i="59" s="1"/>
  <c r="K1382" i="59"/>
  <c r="O1382" i="59" s="1"/>
  <c r="L1188" i="59"/>
  <c r="P1188" i="59" s="1"/>
  <c r="K1188" i="59"/>
  <c r="O1188" i="59" s="1"/>
  <c r="L802" i="59"/>
  <c r="P802" i="59" s="1"/>
  <c r="K802" i="59"/>
  <c r="O802" i="59" s="1"/>
  <c r="L875" i="59"/>
  <c r="P875" i="59" s="1"/>
  <c r="K875" i="59"/>
  <c r="O875" i="59" s="1"/>
  <c r="L1472" i="59"/>
  <c r="P1472" i="59" s="1"/>
  <c r="K1472" i="59"/>
  <c r="O1472" i="59" s="1"/>
  <c r="L868" i="59"/>
  <c r="P868" i="59" s="1"/>
  <c r="K868" i="59"/>
  <c r="O868" i="59" s="1"/>
  <c r="L1101" i="59"/>
  <c r="P1101" i="59" s="1"/>
  <c r="K1101" i="59"/>
  <c r="O1101" i="59" s="1"/>
  <c r="L905" i="59"/>
  <c r="P905" i="59" s="1"/>
  <c r="K905" i="59"/>
  <c r="O905" i="59" s="1"/>
  <c r="L822" i="59"/>
  <c r="P822" i="59" s="1"/>
  <c r="K822" i="59"/>
  <c r="O822" i="59" s="1"/>
  <c r="L1292" i="59"/>
  <c r="P1292" i="59" s="1"/>
  <c r="K1292" i="59"/>
  <c r="O1292" i="59" s="1"/>
  <c r="L1142" i="59"/>
  <c r="P1142" i="59" s="1"/>
  <c r="K1142" i="59"/>
  <c r="O1142" i="59" s="1"/>
  <c r="L784" i="59"/>
  <c r="P784" i="59" s="1"/>
  <c r="K784" i="59"/>
  <c r="O784" i="59" s="1"/>
  <c r="L1019" i="59"/>
  <c r="P1019" i="59" s="1"/>
  <c r="K1019" i="59"/>
  <c r="O1019" i="59" s="1"/>
  <c r="L923" i="59"/>
  <c r="P923" i="59" s="1"/>
  <c r="K923" i="59"/>
  <c r="O923" i="59" s="1"/>
  <c r="L1391" i="59"/>
  <c r="P1391" i="59" s="1"/>
  <c r="K1391" i="59"/>
  <c r="O1391" i="59" s="1"/>
  <c r="L1108" i="59"/>
  <c r="P1108" i="59" s="1"/>
  <c r="K1108" i="59"/>
  <c r="O1108" i="59" s="1"/>
  <c r="L1350" i="59"/>
  <c r="P1350" i="59" s="1"/>
  <c r="K1350" i="59"/>
  <c r="O1350" i="59" s="1"/>
  <c r="L1434" i="59"/>
  <c r="P1434" i="59" s="1"/>
  <c r="K1434" i="59"/>
  <c r="O1434" i="59" s="1"/>
  <c r="L1151" i="59"/>
  <c r="P1151" i="59" s="1"/>
  <c r="K1151" i="59"/>
  <c r="O1151" i="59" s="1"/>
  <c r="L1197" i="59"/>
  <c r="P1197" i="59" s="1"/>
  <c r="K1197" i="59"/>
  <c r="O1197" i="59" s="1"/>
  <c r="L1301" i="59"/>
  <c r="P1301" i="59" s="1"/>
  <c r="K1301" i="59"/>
  <c r="O1301" i="59" s="1"/>
  <c r="L981" i="59"/>
  <c r="P981" i="59" s="1"/>
  <c r="K981" i="59"/>
  <c r="O981" i="59" s="1"/>
  <c r="L1079" i="59"/>
  <c r="P1079" i="59" s="1"/>
  <c r="K1079" i="59"/>
  <c r="O1079" i="59" s="1"/>
  <c r="L1406" i="59"/>
  <c r="P1406" i="59" s="1"/>
  <c r="K1406" i="59"/>
  <c r="O1406" i="59" s="1"/>
  <c r="L834" i="59"/>
  <c r="P834" i="59" s="1"/>
  <c r="K834" i="59"/>
  <c r="O834" i="59" s="1"/>
  <c r="L1028" i="59"/>
  <c r="P1028" i="59" s="1"/>
  <c r="K1028" i="59"/>
  <c r="O1028" i="59" s="1"/>
  <c r="L1340" i="59"/>
  <c r="P1340" i="59" s="1"/>
  <c r="K1340" i="59"/>
  <c r="O1340" i="59" s="1"/>
  <c r="L1338" i="59"/>
  <c r="P1338" i="59" s="1"/>
  <c r="K1338" i="59"/>
  <c r="O1338" i="59" s="1"/>
  <c r="L1213" i="59"/>
  <c r="P1213" i="59" s="1"/>
  <c r="K1213" i="59"/>
  <c r="O1213" i="59" s="1"/>
  <c r="L757" i="59"/>
  <c r="P757" i="59" s="1"/>
  <c r="K757" i="59"/>
  <c r="O757" i="59" s="1"/>
  <c r="L774" i="59"/>
  <c r="P774" i="59" s="1"/>
  <c r="K774" i="59"/>
  <c r="O774" i="59" s="1"/>
  <c r="L777" i="59"/>
  <c r="P777" i="59" s="1"/>
  <c r="K777" i="59"/>
  <c r="O777" i="59" s="1"/>
  <c r="L932" i="59"/>
  <c r="P932" i="59" s="1"/>
  <c r="K932" i="59"/>
  <c r="O932" i="59" s="1"/>
  <c r="L935" i="59"/>
  <c r="P935" i="59" s="1"/>
  <c r="K935" i="59"/>
  <c r="O935" i="59" s="1"/>
  <c r="L815" i="59"/>
  <c r="P815" i="59" s="1"/>
  <c r="K815" i="59"/>
  <c r="O815" i="59" s="1"/>
  <c r="L812" i="59"/>
  <c r="P812" i="59" s="1"/>
  <c r="K812" i="59"/>
  <c r="O812" i="59" s="1"/>
  <c r="L1167" i="59"/>
  <c r="P1167" i="59" s="1"/>
  <c r="K1167" i="59"/>
  <c r="O1167" i="59" s="1"/>
  <c r="L1462" i="59"/>
  <c r="P1462" i="59" s="1"/>
  <c r="K1462" i="59"/>
  <c r="O1462" i="59" s="1"/>
  <c r="L1450" i="59"/>
  <c r="P1450" i="59" s="1"/>
  <c r="K1450" i="59"/>
  <c r="O1450" i="59" s="1"/>
  <c r="L896" i="59"/>
  <c r="P896" i="59" s="1"/>
  <c r="K896" i="59"/>
  <c r="O896" i="59" s="1"/>
  <c r="L1121" i="59"/>
  <c r="P1121" i="59" s="1"/>
  <c r="K1121" i="59"/>
  <c r="O1121" i="59" s="1"/>
  <c r="L1317" i="59"/>
  <c r="P1317" i="59" s="1"/>
  <c r="K1317" i="59"/>
  <c r="O1317" i="59" s="1"/>
  <c r="L1238" i="59"/>
  <c r="P1238" i="59" s="1"/>
  <c r="K1238" i="59"/>
  <c r="O1238" i="59" s="1"/>
  <c r="L1501" i="59"/>
  <c r="P1501" i="59" s="1"/>
  <c r="K1501" i="59"/>
  <c r="O1501" i="59" s="1"/>
  <c r="L1523" i="59"/>
  <c r="P1523" i="59" s="1"/>
  <c r="K1523" i="59"/>
  <c r="O1523" i="59" s="1"/>
  <c r="L859" i="59"/>
  <c r="P859" i="59" s="1"/>
  <c r="K859" i="59"/>
  <c r="O859" i="59" s="1"/>
  <c r="L915" i="59"/>
  <c r="P915" i="59" s="1"/>
  <c r="K915" i="59"/>
  <c r="O915" i="59" s="1"/>
  <c r="L994" i="59"/>
  <c r="P994" i="59" s="1"/>
  <c r="K994" i="59"/>
  <c r="O994" i="59" s="1"/>
  <c r="L1265" i="59"/>
  <c r="P1265" i="59" s="1"/>
  <c r="K1265" i="59"/>
  <c r="O1265" i="59" s="1"/>
  <c r="L1008" i="59"/>
  <c r="P1008" i="59" s="1"/>
  <c r="K1008" i="59"/>
  <c r="O1008" i="59" s="1"/>
  <c r="L763" i="59"/>
  <c r="P763" i="59" s="1"/>
  <c r="K763" i="59"/>
  <c r="O763" i="59" s="1"/>
  <c r="L801" i="59"/>
  <c r="P801" i="59" s="1"/>
  <c r="K801" i="59"/>
  <c r="O801" i="59" s="1"/>
  <c r="L821" i="59"/>
  <c r="P821" i="59" s="1"/>
  <c r="K821" i="59"/>
  <c r="O821" i="59" s="1"/>
  <c r="L783" i="59"/>
  <c r="P783" i="59" s="1"/>
  <c r="K783" i="59"/>
  <c r="O783" i="59" s="1"/>
  <c r="L1569" i="59"/>
  <c r="P1569" i="59" s="1"/>
  <c r="K1569" i="59"/>
  <c r="O1569" i="59" s="1"/>
  <c r="L1565" i="59"/>
  <c r="P1565" i="59" s="1"/>
  <c r="K1565" i="59"/>
  <c r="O1565" i="59" s="1"/>
  <c r="L1561" i="59"/>
  <c r="P1561" i="59" s="1"/>
  <c r="K1561" i="59"/>
  <c r="O1561" i="59" s="1"/>
  <c r="L1557" i="59"/>
  <c r="P1557" i="59" s="1"/>
  <c r="K1557" i="59"/>
  <c r="O1557" i="59" s="1"/>
  <c r="L1553" i="59"/>
  <c r="P1553" i="59" s="1"/>
  <c r="K1553" i="59"/>
  <c r="O1553" i="59" s="1"/>
  <c r="L1077" i="59"/>
  <c r="P1077" i="59" s="1"/>
  <c r="K1077" i="59"/>
  <c r="O1077" i="59" s="1"/>
  <c r="L1404" i="59"/>
  <c r="P1404" i="59" s="1"/>
  <c r="K1404" i="59"/>
  <c r="O1404" i="59" s="1"/>
  <c r="L832" i="59"/>
  <c r="P832" i="59" s="1"/>
  <c r="K832" i="59"/>
  <c r="O832" i="59" s="1"/>
  <c r="L1026" i="59"/>
  <c r="P1026" i="59" s="1"/>
  <c r="K1026" i="59"/>
  <c r="O1026" i="59" s="1"/>
  <c r="L796" i="59"/>
  <c r="P796" i="59" s="1"/>
  <c r="K796" i="59"/>
  <c r="O796" i="59" s="1"/>
  <c r="L794" i="59"/>
  <c r="P794" i="59" s="1"/>
  <c r="K794" i="59"/>
  <c r="O794" i="59" s="1"/>
  <c r="L1211" i="59"/>
  <c r="P1211" i="59" s="1"/>
  <c r="K1211" i="59"/>
  <c r="O1211" i="59" s="1"/>
  <c r="L755" i="59"/>
  <c r="P755" i="59" s="1"/>
  <c r="K755" i="59"/>
  <c r="O755" i="59" s="1"/>
  <c r="L1165" i="59"/>
  <c r="P1165" i="59" s="1"/>
  <c r="K1165" i="59"/>
  <c r="O1165" i="59" s="1"/>
  <c r="L1460" i="59"/>
  <c r="P1460" i="59" s="1"/>
  <c r="K1460" i="59"/>
  <c r="O1460" i="59" s="1"/>
  <c r="L1448" i="59"/>
  <c r="P1448" i="59" s="1"/>
  <c r="K1448" i="59"/>
  <c r="O1448" i="59" s="1"/>
  <c r="L894" i="59"/>
  <c r="P894" i="59" s="1"/>
  <c r="K894" i="59"/>
  <c r="O894" i="59" s="1"/>
  <c r="L1119" i="59"/>
  <c r="P1119" i="59" s="1"/>
  <c r="K1119" i="59"/>
  <c r="O1119" i="59" s="1"/>
  <c r="L1315" i="59"/>
  <c r="P1315" i="59" s="1"/>
  <c r="K1315" i="59"/>
  <c r="O1315" i="59" s="1"/>
  <c r="L1236" i="59"/>
  <c r="P1236" i="59" s="1"/>
  <c r="K1236" i="59"/>
  <c r="O1236" i="59" s="1"/>
  <c r="L1499" i="59"/>
  <c r="P1499" i="59" s="1"/>
  <c r="K1499" i="59"/>
  <c r="O1499" i="59" s="1"/>
  <c r="L857" i="59"/>
  <c r="P857" i="59" s="1"/>
  <c r="K857" i="59"/>
  <c r="O857" i="59" s="1"/>
  <c r="L912" i="59"/>
  <c r="P912" i="59" s="1"/>
  <c r="K912" i="59"/>
  <c r="O912" i="59" s="1"/>
  <c r="L992" i="59"/>
  <c r="P992" i="59" s="1"/>
  <c r="K992" i="59"/>
  <c r="O992" i="59" s="1"/>
  <c r="L840" i="59"/>
  <c r="P840" i="59" s="1"/>
  <c r="K840" i="59"/>
  <c r="O840" i="59" s="1"/>
  <c r="L944" i="59"/>
  <c r="P944" i="59" s="1"/>
  <c r="K944" i="59"/>
  <c r="O944" i="59" s="1"/>
  <c r="L1129" i="59"/>
  <c r="P1129" i="59" s="1"/>
  <c r="K1129" i="59"/>
  <c r="O1129" i="59" s="1"/>
  <c r="L1222" i="59"/>
  <c r="P1222" i="59" s="1"/>
  <c r="K1222" i="59"/>
  <c r="O1222" i="59" s="1"/>
  <c r="L1279" i="59"/>
  <c r="P1279" i="59" s="1"/>
  <c r="K1279" i="59"/>
  <c r="O1279" i="59" s="1"/>
  <c r="L1175" i="59"/>
  <c r="P1175" i="59" s="1"/>
  <c r="K1175" i="59"/>
  <c r="O1175" i="59" s="1"/>
  <c r="L1087" i="59"/>
  <c r="P1087" i="59" s="1"/>
  <c r="K1087" i="59"/>
  <c r="O1087" i="59" s="1"/>
  <c r="L1325" i="59"/>
  <c r="P1325" i="59" s="1"/>
  <c r="K1325" i="59"/>
  <c r="O1325" i="59" s="1"/>
  <c r="L1414" i="59"/>
  <c r="P1414" i="59" s="1"/>
  <c r="K1414" i="59"/>
  <c r="O1414" i="59" s="1"/>
  <c r="L1369" i="59"/>
  <c r="P1369" i="59" s="1"/>
  <c r="K1369" i="59"/>
  <c r="O1369" i="59" s="1"/>
  <c r="L1480" i="59"/>
  <c r="P1480" i="59" s="1"/>
  <c r="K1480" i="59"/>
  <c r="O1480" i="59" s="1"/>
  <c r="L1390" i="59"/>
  <c r="P1390" i="59" s="1"/>
  <c r="K1390" i="59"/>
  <c r="O1390" i="59" s="1"/>
  <c r="L1107" i="59"/>
  <c r="P1107" i="59" s="1"/>
  <c r="K1107" i="59"/>
  <c r="O1107" i="59" s="1"/>
  <c r="L1349" i="59"/>
  <c r="P1349" i="59" s="1"/>
  <c r="K1349" i="59"/>
  <c r="O1349" i="59" s="1"/>
  <c r="L1433" i="59"/>
  <c r="P1433" i="59" s="1"/>
  <c r="K1433" i="59"/>
  <c r="O1433" i="59" s="1"/>
  <c r="L1150" i="59"/>
  <c r="P1150" i="59" s="1"/>
  <c r="K1150" i="59"/>
  <c r="O1150" i="59" s="1"/>
  <c r="L1196" i="59"/>
  <c r="P1196" i="59" s="1"/>
  <c r="K1196" i="59"/>
  <c r="O1196" i="59" s="1"/>
  <c r="L1300" i="59"/>
  <c r="P1300" i="59" s="1"/>
  <c r="K1300" i="59"/>
  <c r="O1300" i="59" s="1"/>
  <c r="L1263" i="59"/>
  <c r="P1263" i="59" s="1"/>
  <c r="K1263" i="59"/>
  <c r="O1263" i="59" s="1"/>
  <c r="L1261" i="59"/>
  <c r="P1261" i="59" s="1"/>
  <c r="K1261" i="59"/>
  <c r="O1261" i="59" s="1"/>
  <c r="L1006" i="59"/>
  <c r="P1006" i="59" s="1"/>
  <c r="K1006" i="59"/>
  <c r="O1006" i="59" s="1"/>
  <c r="L883" i="59"/>
  <c r="P883" i="59" s="1"/>
  <c r="K883" i="59"/>
  <c r="O883" i="59" s="1"/>
  <c r="L880" i="59"/>
  <c r="P880" i="59" s="1"/>
  <c r="K880" i="59"/>
  <c r="O880" i="59" s="1"/>
  <c r="L1047" i="59"/>
  <c r="P1047" i="59" s="1"/>
  <c r="K1047" i="59"/>
  <c r="O1047" i="59" s="1"/>
  <c r="L1044" i="59"/>
  <c r="P1044" i="59" s="1"/>
  <c r="K1044" i="59"/>
  <c r="O1044" i="59" s="1"/>
  <c r="L1041" i="59"/>
  <c r="P1041" i="59" s="1"/>
  <c r="K1041" i="59"/>
  <c r="O1041" i="59" s="1"/>
  <c r="L1247" i="59"/>
  <c r="P1247" i="59" s="1"/>
  <c r="K1247" i="59"/>
  <c r="O1247" i="59" s="1"/>
  <c r="L831" i="59"/>
  <c r="P831" i="59" s="1"/>
  <c r="K831" i="59"/>
  <c r="O831" i="59" s="1"/>
  <c r="L793" i="59"/>
  <c r="P793" i="59" s="1"/>
  <c r="K793" i="59"/>
  <c r="O793" i="59" s="1"/>
  <c r="L754" i="59"/>
  <c r="P754" i="59" s="1"/>
  <c r="K754" i="59"/>
  <c r="O754" i="59" s="1"/>
  <c r="L773" i="59"/>
  <c r="P773" i="59" s="1"/>
  <c r="K773" i="59"/>
  <c r="O773" i="59" s="1"/>
  <c r="L811" i="59"/>
  <c r="P811" i="59" s="1"/>
  <c r="K811" i="59"/>
  <c r="O811" i="59" s="1"/>
  <c r="L856" i="59"/>
  <c r="P856" i="59" s="1"/>
  <c r="K856" i="59"/>
  <c r="O856" i="59" s="1"/>
  <c r="L830" i="59"/>
  <c r="P830" i="59" s="1"/>
  <c r="K830" i="59"/>
  <c r="O830" i="59" s="1"/>
  <c r="L792" i="59"/>
  <c r="P792" i="59" s="1"/>
  <c r="K792" i="59"/>
  <c r="O792" i="59" s="1"/>
  <c r="L753" i="59"/>
  <c r="P753" i="59" s="1"/>
  <c r="K753" i="59"/>
  <c r="O753" i="59" s="1"/>
  <c r="L772" i="59"/>
  <c r="P772" i="59" s="1"/>
  <c r="K772" i="59"/>
  <c r="O772" i="59" s="1"/>
  <c r="L810" i="59"/>
  <c r="P810" i="59" s="1"/>
  <c r="K810" i="59"/>
  <c r="O810" i="59" s="1"/>
  <c r="L855" i="59"/>
  <c r="P855" i="59" s="1"/>
  <c r="K855" i="59"/>
  <c r="O855" i="59" s="1"/>
  <c r="L762" i="59"/>
  <c r="P762" i="59" s="1"/>
  <c r="K762" i="59"/>
  <c r="O762" i="59" s="1"/>
  <c r="L800" i="59"/>
  <c r="P800" i="59" s="1"/>
  <c r="K800" i="59"/>
  <c r="O800" i="59" s="1"/>
  <c r="L874" i="59"/>
  <c r="P874" i="59" s="1"/>
  <c r="K874" i="59"/>
  <c r="O874" i="59" s="1"/>
  <c r="L867" i="59"/>
  <c r="P867" i="59" s="1"/>
  <c r="K867" i="59"/>
  <c r="O867" i="59" s="1"/>
  <c r="L1100" i="59"/>
  <c r="P1100" i="59" s="1"/>
  <c r="K1100" i="59"/>
  <c r="O1100" i="59" s="1"/>
  <c r="L904" i="59"/>
  <c r="P904" i="59" s="1"/>
  <c r="K904" i="59"/>
  <c r="O904" i="59" s="1"/>
  <c r="L820" i="59"/>
  <c r="P820" i="59" s="1"/>
  <c r="K820" i="59"/>
  <c r="O820" i="59" s="1"/>
  <c r="L782" i="59"/>
  <c r="P782" i="59" s="1"/>
  <c r="K782" i="59"/>
  <c r="O782" i="59" s="1"/>
  <c r="L1018" i="59"/>
  <c r="P1018" i="59" s="1"/>
  <c r="K1018" i="59"/>
  <c r="O1018" i="59" s="1"/>
  <c r="L922" i="59"/>
  <c r="P922" i="59" s="1"/>
  <c r="K922" i="59"/>
  <c r="O922" i="59" s="1"/>
  <c r="L829" i="59"/>
  <c r="P829" i="59" s="1"/>
  <c r="K829" i="59"/>
  <c r="O829" i="59" s="1"/>
  <c r="L791" i="59"/>
  <c r="P791" i="59" s="1"/>
  <c r="K791" i="59"/>
  <c r="O791" i="59" s="1"/>
  <c r="L752" i="59"/>
  <c r="P752" i="59" s="1"/>
  <c r="K752" i="59"/>
  <c r="O752" i="59" s="1"/>
  <c r="L771" i="59"/>
  <c r="P771" i="59" s="1"/>
  <c r="K771" i="59"/>
  <c r="O771" i="59" s="1"/>
  <c r="L809" i="59"/>
  <c r="P809" i="59" s="1"/>
  <c r="K809" i="59"/>
  <c r="O809" i="59" s="1"/>
  <c r="L854" i="59"/>
  <c r="P854" i="59" s="1"/>
  <c r="K854" i="59"/>
  <c r="O854" i="59" s="1"/>
  <c r="L1076" i="59"/>
  <c r="P1076" i="59" s="1"/>
  <c r="K1076" i="59"/>
  <c r="O1076" i="59" s="1"/>
  <c r="L828" i="59"/>
  <c r="P828" i="59" s="1"/>
  <c r="K828" i="59"/>
  <c r="O828" i="59" s="1"/>
  <c r="L1025" i="59"/>
  <c r="P1025" i="59" s="1"/>
  <c r="K1025" i="59"/>
  <c r="O1025" i="59" s="1"/>
  <c r="L790" i="59"/>
  <c r="P790" i="59" s="1"/>
  <c r="K790" i="59"/>
  <c r="O790" i="59" s="1"/>
  <c r="L1210" i="59"/>
  <c r="P1210" i="59" s="1"/>
  <c r="K1210" i="59"/>
  <c r="O1210" i="59" s="1"/>
  <c r="L751" i="59"/>
  <c r="P751" i="59" s="1"/>
  <c r="K751" i="59"/>
  <c r="O751" i="59" s="1"/>
  <c r="L770" i="59"/>
  <c r="P770" i="59" s="1"/>
  <c r="K770" i="59"/>
  <c r="O770" i="59" s="1"/>
  <c r="L929" i="59"/>
  <c r="P929" i="59" s="1"/>
  <c r="K929" i="59"/>
  <c r="O929" i="59" s="1"/>
  <c r="L808" i="59"/>
  <c r="P808" i="59" s="1"/>
  <c r="K808" i="59"/>
  <c r="O808" i="59" s="1"/>
  <c r="L1163" i="59"/>
  <c r="P1163" i="59" s="1"/>
  <c r="K1163" i="59"/>
  <c r="O1163" i="59" s="1"/>
  <c r="L1458" i="59"/>
  <c r="P1458" i="59" s="1"/>
  <c r="K1458" i="59"/>
  <c r="O1458" i="59" s="1"/>
  <c r="L1447" i="59"/>
  <c r="P1447" i="59" s="1"/>
  <c r="K1447" i="59"/>
  <c r="O1447" i="59" s="1"/>
  <c r="L893" i="59"/>
  <c r="P893" i="59" s="1"/>
  <c r="K893" i="59"/>
  <c r="O893" i="59" s="1"/>
  <c r="L1235" i="59"/>
  <c r="P1235" i="59" s="1"/>
  <c r="K1235" i="59"/>
  <c r="O1235" i="59" s="1"/>
  <c r="L853" i="59"/>
  <c r="P853" i="59" s="1"/>
  <c r="K853" i="59"/>
  <c r="O853" i="59" s="1"/>
  <c r="L911" i="59"/>
  <c r="P911" i="59" s="1"/>
  <c r="K911" i="59"/>
  <c r="O911" i="59" s="1"/>
  <c r="L991" i="59"/>
  <c r="P991" i="59" s="1"/>
  <c r="K991" i="59"/>
  <c r="O991" i="59" s="1"/>
  <c r="L873" i="59"/>
  <c r="P873" i="59" s="1"/>
  <c r="K873" i="59"/>
  <c r="O873" i="59" s="1"/>
  <c r="L1471" i="59"/>
  <c r="P1471" i="59" s="1"/>
  <c r="K1471" i="59"/>
  <c r="O1471" i="59" s="1"/>
  <c r="L866" i="59"/>
  <c r="P866" i="59" s="1"/>
  <c r="K866" i="59"/>
  <c r="O866" i="59" s="1"/>
  <c r="L1099" i="59"/>
  <c r="P1099" i="59" s="1"/>
  <c r="K1099" i="59"/>
  <c r="O1099" i="59" s="1"/>
  <c r="L903" i="59"/>
  <c r="P903" i="59" s="1"/>
  <c r="K903" i="59"/>
  <c r="O903" i="59" s="1"/>
  <c r="L1141" i="59"/>
  <c r="P1141" i="59" s="1"/>
  <c r="K1141" i="59"/>
  <c r="O1141" i="59" s="1"/>
  <c r="L1017" i="59"/>
  <c r="P1017" i="59" s="1"/>
  <c r="K1017" i="59"/>
  <c r="O1017" i="59" s="1"/>
  <c r="L921" i="59"/>
  <c r="P921" i="59" s="1"/>
  <c r="K921" i="59"/>
  <c r="O921" i="59" s="1"/>
  <c r="L1260" i="59"/>
  <c r="P1260" i="59" s="1"/>
  <c r="K1260" i="59"/>
  <c r="O1260" i="59" s="1"/>
  <c r="L1075" i="59"/>
  <c r="P1075" i="59" s="1"/>
  <c r="K1075" i="59"/>
  <c r="O1075" i="59" s="1"/>
  <c r="L1403" i="59"/>
  <c r="P1403" i="59" s="1"/>
  <c r="K1403" i="59"/>
  <c r="O1403" i="59" s="1"/>
  <c r="L827" i="59"/>
  <c r="P827" i="59" s="1"/>
  <c r="K827" i="59"/>
  <c r="O827" i="59" s="1"/>
  <c r="L1024" i="59"/>
  <c r="P1024" i="59" s="1"/>
  <c r="K1024" i="59"/>
  <c r="O1024" i="59" s="1"/>
  <c r="L789" i="59"/>
  <c r="P789" i="59" s="1"/>
  <c r="K789" i="59"/>
  <c r="O789" i="59" s="1"/>
  <c r="L1337" i="59"/>
  <c r="P1337" i="59" s="1"/>
  <c r="K1337" i="59"/>
  <c r="O1337" i="59" s="1"/>
  <c r="L1209" i="59"/>
  <c r="P1209" i="59" s="1"/>
  <c r="K1209" i="59"/>
  <c r="O1209" i="59" s="1"/>
  <c r="L750" i="59"/>
  <c r="P750" i="59" s="1"/>
  <c r="K750" i="59"/>
  <c r="O750" i="59" s="1"/>
  <c r="L769" i="59"/>
  <c r="P769" i="59" s="1"/>
  <c r="K769" i="59"/>
  <c r="O769" i="59" s="1"/>
  <c r="L928" i="59"/>
  <c r="P928" i="59" s="1"/>
  <c r="K928" i="59"/>
  <c r="O928" i="59" s="1"/>
  <c r="L807" i="59"/>
  <c r="P807" i="59" s="1"/>
  <c r="K807" i="59"/>
  <c r="O807" i="59" s="1"/>
  <c r="L1162" i="59"/>
  <c r="P1162" i="59" s="1"/>
  <c r="K1162" i="59"/>
  <c r="O1162" i="59" s="1"/>
  <c r="L1457" i="59"/>
  <c r="P1457" i="59" s="1"/>
  <c r="K1457" i="59"/>
  <c r="O1457" i="59" s="1"/>
  <c r="L1446" i="59"/>
  <c r="P1446" i="59" s="1"/>
  <c r="K1446" i="59"/>
  <c r="O1446" i="59" s="1"/>
  <c r="L892" i="59"/>
  <c r="P892" i="59" s="1"/>
  <c r="K892" i="59"/>
  <c r="O892" i="59" s="1"/>
  <c r="L1313" i="59"/>
  <c r="P1313" i="59" s="1"/>
  <c r="K1313" i="59"/>
  <c r="O1313" i="59" s="1"/>
  <c r="L1234" i="59"/>
  <c r="P1234" i="59" s="1"/>
  <c r="K1234" i="59"/>
  <c r="O1234" i="59" s="1"/>
  <c r="L1498" i="59"/>
  <c r="P1498" i="59" s="1"/>
  <c r="K1498" i="59"/>
  <c r="O1498" i="59" s="1"/>
  <c r="L1520" i="59"/>
  <c r="P1520" i="59" s="1"/>
  <c r="K1520" i="59"/>
  <c r="O1520" i="59" s="1"/>
  <c r="L852" i="59"/>
  <c r="P852" i="59" s="1"/>
  <c r="K852" i="59"/>
  <c r="O852" i="59" s="1"/>
  <c r="L910" i="59"/>
  <c r="P910" i="59" s="1"/>
  <c r="K910" i="59"/>
  <c r="O910" i="59" s="1"/>
  <c r="L990" i="59"/>
  <c r="P990" i="59" s="1"/>
  <c r="K990" i="59"/>
  <c r="O990" i="59" s="1"/>
  <c r="L839" i="59"/>
  <c r="P839" i="59" s="1"/>
  <c r="K839" i="59"/>
  <c r="O839" i="59" s="1"/>
  <c r="L943" i="59"/>
  <c r="P943" i="59" s="1"/>
  <c r="K943" i="59"/>
  <c r="O943" i="59" s="1"/>
  <c r="L1128" i="59"/>
  <c r="P1128" i="59" s="1"/>
  <c r="K1128" i="59"/>
  <c r="O1128" i="59" s="1"/>
  <c r="L1221" i="59"/>
  <c r="P1221" i="59" s="1"/>
  <c r="K1221" i="59"/>
  <c r="O1221" i="59" s="1"/>
  <c r="L1278" i="59"/>
  <c r="P1278" i="59" s="1"/>
  <c r="K1278" i="59"/>
  <c r="O1278" i="59" s="1"/>
  <c r="L1174" i="59"/>
  <c r="P1174" i="59" s="1"/>
  <c r="K1174" i="59"/>
  <c r="O1174" i="59" s="1"/>
  <c r="L1086" i="59"/>
  <c r="P1086" i="59" s="1"/>
  <c r="K1086" i="59"/>
  <c r="O1086" i="59" s="1"/>
  <c r="L1324" i="59"/>
  <c r="P1324" i="59" s="1"/>
  <c r="K1324" i="59"/>
  <c r="O1324" i="59" s="1"/>
  <c r="L1413" i="59"/>
  <c r="P1413" i="59" s="1"/>
  <c r="K1413" i="59"/>
  <c r="O1413" i="59" s="1"/>
  <c r="L1368" i="59"/>
  <c r="P1368" i="59" s="1"/>
  <c r="K1368" i="59"/>
  <c r="O1368" i="59" s="1"/>
  <c r="L1479" i="59"/>
  <c r="P1479" i="59" s="1"/>
  <c r="K1479" i="59"/>
  <c r="O1479" i="59" s="1"/>
  <c r="L1389" i="59"/>
  <c r="P1389" i="59" s="1"/>
  <c r="K1389" i="59"/>
  <c r="O1389" i="59" s="1"/>
  <c r="L1106" i="59"/>
  <c r="P1106" i="59" s="1"/>
  <c r="K1106" i="59"/>
  <c r="O1106" i="59" s="1"/>
  <c r="L1348" i="59"/>
  <c r="P1348" i="59" s="1"/>
  <c r="K1348" i="59"/>
  <c r="O1348" i="59" s="1"/>
  <c r="L1432" i="59"/>
  <c r="P1432" i="59" s="1"/>
  <c r="K1432" i="59"/>
  <c r="O1432" i="59" s="1"/>
  <c r="L1149" i="59"/>
  <c r="P1149" i="59" s="1"/>
  <c r="K1149" i="59"/>
  <c r="O1149" i="59" s="1"/>
  <c r="L1195" i="59"/>
  <c r="P1195" i="59" s="1"/>
  <c r="K1195" i="59"/>
  <c r="O1195" i="59" s="1"/>
  <c r="L1299" i="59"/>
  <c r="P1299" i="59" s="1"/>
  <c r="K1299" i="59"/>
  <c r="O1299" i="59" s="1"/>
  <c r="L1003" i="59"/>
  <c r="P1003" i="59" s="1"/>
  <c r="K1003" i="59"/>
  <c r="O1003" i="59" s="1"/>
  <c r="L1001" i="59"/>
  <c r="P1001" i="59" s="1"/>
  <c r="K1001" i="59"/>
  <c r="O1001" i="59" s="1"/>
  <c r="L976" i="59"/>
  <c r="P976" i="59" s="1"/>
  <c r="K976" i="59"/>
  <c r="O976" i="59" s="1"/>
  <c r="L971" i="59"/>
  <c r="P971" i="59" s="1"/>
  <c r="K971" i="59"/>
  <c r="O971" i="59" s="1"/>
  <c r="L966" i="59"/>
  <c r="P966" i="59" s="1"/>
  <c r="K966" i="59"/>
  <c r="O966" i="59" s="1"/>
  <c r="L961" i="59"/>
  <c r="P961" i="59" s="1"/>
  <c r="K961" i="59"/>
  <c r="O961" i="59" s="1"/>
  <c r="L956" i="59"/>
  <c r="P956" i="59" s="1"/>
  <c r="K956" i="59"/>
  <c r="O956" i="59" s="1"/>
  <c r="L1246" i="59"/>
  <c r="P1246" i="59" s="1"/>
  <c r="K1246" i="59"/>
  <c r="O1246" i="59" s="1"/>
  <c r="L1550" i="59"/>
  <c r="P1550" i="59" s="1"/>
  <c r="K1550" i="59"/>
  <c r="O1550" i="59" s="1"/>
  <c r="L1547" i="59"/>
  <c r="P1547" i="59" s="1"/>
  <c r="K1547" i="59"/>
  <c r="O1547" i="59" s="1"/>
  <c r="L1544" i="59"/>
  <c r="P1544" i="59" s="1"/>
  <c r="K1544" i="59"/>
  <c r="O1544" i="59" s="1"/>
  <c r="L1541" i="59"/>
  <c r="P1541" i="59" s="1"/>
  <c r="K1541" i="59"/>
  <c r="O1541" i="59" s="1"/>
  <c r="L1538" i="59"/>
  <c r="P1538" i="59" s="1"/>
  <c r="K1538" i="59"/>
  <c r="O1538" i="59" s="1"/>
  <c r="L1531" i="59"/>
  <c r="P1531" i="59" s="1"/>
  <c r="L764" i="59"/>
  <c r="P764" i="59" s="1"/>
  <c r="K764" i="59"/>
  <c r="O764" i="59" s="1"/>
  <c r="L843" i="59"/>
  <c r="P843" i="59" s="1"/>
  <c r="K843" i="59"/>
  <c r="O843" i="59" s="1"/>
  <c r="L947" i="59"/>
  <c r="P947" i="59" s="1"/>
  <c r="K947" i="59"/>
  <c r="O947" i="59" s="1"/>
  <c r="L1132" i="59"/>
  <c r="P1132" i="59" s="1"/>
  <c r="K1132" i="59"/>
  <c r="O1132" i="59" s="1"/>
  <c r="L1225" i="59"/>
  <c r="P1225" i="59" s="1"/>
  <c r="K1225" i="59"/>
  <c r="O1225" i="59" s="1"/>
  <c r="L1282" i="59"/>
  <c r="P1282" i="59" s="1"/>
  <c r="K1282" i="59"/>
  <c r="O1282" i="59" s="1"/>
  <c r="L1178" i="59"/>
  <c r="P1178" i="59" s="1"/>
  <c r="K1178" i="59"/>
  <c r="O1178" i="59" s="1"/>
  <c r="L1090" i="59"/>
  <c r="P1090" i="59" s="1"/>
  <c r="K1090" i="59"/>
  <c r="O1090" i="59" s="1"/>
  <c r="L1328" i="59"/>
  <c r="P1328" i="59" s="1"/>
  <c r="K1328" i="59"/>
  <c r="O1328" i="59" s="1"/>
  <c r="L1417" i="59"/>
  <c r="P1417" i="59" s="1"/>
  <c r="K1417" i="59"/>
  <c r="O1417" i="59" s="1"/>
  <c r="L1372" i="59"/>
  <c r="P1372" i="59" s="1"/>
  <c r="K1372" i="59"/>
  <c r="O1372" i="59" s="1"/>
  <c r="L1483" i="59"/>
  <c r="P1483" i="59" s="1"/>
  <c r="K1483" i="59"/>
  <c r="O1483" i="59" s="1"/>
  <c r="L1393" i="59"/>
  <c r="P1393" i="59" s="1"/>
  <c r="K1393" i="59"/>
  <c r="O1393" i="59" s="1"/>
  <c r="L1110" i="59"/>
  <c r="P1110" i="59" s="1"/>
  <c r="K1110" i="59"/>
  <c r="O1110" i="59" s="1"/>
  <c r="L1352" i="59"/>
  <c r="P1352" i="59" s="1"/>
  <c r="K1352" i="59"/>
  <c r="O1352" i="59" s="1"/>
  <c r="L1436" i="59"/>
  <c r="P1436" i="59" s="1"/>
  <c r="K1436" i="59"/>
  <c r="O1436" i="59" s="1"/>
  <c r="L1153" i="59"/>
  <c r="P1153" i="59" s="1"/>
  <c r="K1153" i="59"/>
  <c r="O1153" i="59" s="1"/>
  <c r="L1199" i="59"/>
  <c r="P1199" i="59" s="1"/>
  <c r="K1199" i="59"/>
  <c r="O1199" i="59" s="1"/>
  <c r="L1303" i="59"/>
  <c r="P1303" i="59" s="1"/>
  <c r="K1303" i="59"/>
  <c r="O1303" i="59" s="1"/>
  <c r="L1250" i="59"/>
  <c r="P1250" i="59" s="1"/>
  <c r="K1250" i="59"/>
  <c r="O1250" i="59" s="1"/>
  <c r="L1078" i="59"/>
  <c r="P1078" i="59" s="1"/>
  <c r="K1078" i="59"/>
  <c r="O1078" i="59" s="1"/>
  <c r="L1405" i="59"/>
  <c r="P1405" i="59" s="1"/>
  <c r="K1405" i="59"/>
  <c r="O1405" i="59" s="1"/>
  <c r="L833" i="59"/>
  <c r="P833" i="59" s="1"/>
  <c r="K833" i="59"/>
  <c r="O833" i="59" s="1"/>
  <c r="L1027" i="59"/>
  <c r="P1027" i="59" s="1"/>
  <c r="K1027" i="59"/>
  <c r="O1027" i="59" s="1"/>
  <c r="L797" i="59"/>
  <c r="P797" i="59" s="1"/>
  <c r="K797" i="59"/>
  <c r="O797" i="59" s="1"/>
  <c r="L795" i="59"/>
  <c r="P795" i="59" s="1"/>
  <c r="K795" i="59"/>
  <c r="O795" i="59" s="1"/>
  <c r="L1212" i="59"/>
  <c r="P1212" i="59" s="1"/>
  <c r="K1212" i="59"/>
  <c r="O1212" i="59" s="1"/>
  <c r="L756" i="59"/>
  <c r="P756" i="59" s="1"/>
  <c r="K756" i="59"/>
  <c r="O756" i="59" s="1"/>
  <c r="L776" i="59"/>
  <c r="P776" i="59" s="1"/>
  <c r="K776" i="59"/>
  <c r="O776" i="59" s="1"/>
  <c r="L934" i="59"/>
  <c r="P934" i="59" s="1"/>
  <c r="K934" i="59"/>
  <c r="O934" i="59" s="1"/>
  <c r="L814" i="59"/>
  <c r="P814" i="59" s="1"/>
  <c r="K814" i="59"/>
  <c r="O814" i="59" s="1"/>
  <c r="L1166" i="59"/>
  <c r="P1166" i="59" s="1"/>
  <c r="K1166" i="59"/>
  <c r="O1166" i="59" s="1"/>
  <c r="L1461" i="59"/>
  <c r="P1461" i="59" s="1"/>
  <c r="K1461" i="59"/>
  <c r="O1461" i="59" s="1"/>
  <c r="L1449" i="59"/>
  <c r="P1449" i="59" s="1"/>
  <c r="K1449" i="59"/>
  <c r="O1449" i="59" s="1"/>
  <c r="L895" i="59"/>
  <c r="P895" i="59" s="1"/>
  <c r="K895" i="59"/>
  <c r="O895" i="59" s="1"/>
  <c r="L1120" i="59"/>
  <c r="P1120" i="59" s="1"/>
  <c r="K1120" i="59"/>
  <c r="O1120" i="59" s="1"/>
  <c r="L1316" i="59"/>
  <c r="P1316" i="59" s="1"/>
  <c r="K1316" i="59"/>
  <c r="O1316" i="59" s="1"/>
  <c r="L1237" i="59"/>
  <c r="P1237" i="59" s="1"/>
  <c r="K1237" i="59"/>
  <c r="O1237" i="59" s="1"/>
  <c r="L1500" i="59"/>
  <c r="P1500" i="59" s="1"/>
  <c r="K1500" i="59"/>
  <c r="O1500" i="59" s="1"/>
  <c r="L1522" i="59"/>
  <c r="P1522" i="59" s="1"/>
  <c r="K1522" i="59"/>
  <c r="O1522" i="59" s="1"/>
  <c r="L858" i="59"/>
  <c r="P858" i="59" s="1"/>
  <c r="K858" i="59"/>
  <c r="O858" i="59" s="1"/>
  <c r="L914" i="59"/>
  <c r="P914" i="59" s="1"/>
  <c r="K914" i="59"/>
  <c r="O914" i="59" s="1"/>
  <c r="L993" i="59"/>
  <c r="P993" i="59" s="1"/>
  <c r="K993" i="59"/>
  <c r="O993" i="59" s="1"/>
  <c r="L1264" i="59"/>
  <c r="P1264" i="59" s="1"/>
  <c r="K1264" i="59"/>
  <c r="O1264" i="59" s="1"/>
  <c r="L1007" i="59"/>
  <c r="P1007" i="59" s="1"/>
  <c r="K1007" i="59"/>
  <c r="O1007" i="59" s="1"/>
  <c r="L1048" i="59"/>
  <c r="P1048" i="59" s="1"/>
  <c r="K1048" i="59"/>
  <c r="O1048" i="59" s="1"/>
  <c r="L1045" i="59"/>
  <c r="P1045" i="59" s="1"/>
  <c r="K1045" i="59"/>
  <c r="O1045" i="59" s="1"/>
  <c r="L1042" i="59"/>
  <c r="P1042" i="59" s="1"/>
  <c r="K1042" i="59"/>
  <c r="O1042" i="59" s="1"/>
  <c r="L842" i="59"/>
  <c r="P842" i="59" s="1"/>
  <c r="K842" i="59"/>
  <c r="O842" i="59" s="1"/>
  <c r="L946" i="59"/>
  <c r="P946" i="59" s="1"/>
  <c r="K946" i="59"/>
  <c r="O946" i="59" s="1"/>
  <c r="L1131" i="59"/>
  <c r="P1131" i="59" s="1"/>
  <c r="K1131" i="59"/>
  <c r="O1131" i="59" s="1"/>
  <c r="L1224" i="59"/>
  <c r="P1224" i="59" s="1"/>
  <c r="K1224" i="59"/>
  <c r="O1224" i="59" s="1"/>
  <c r="L1281" i="59"/>
  <c r="P1281" i="59" s="1"/>
  <c r="K1281" i="59"/>
  <c r="O1281" i="59" s="1"/>
  <c r="L1177" i="59"/>
  <c r="P1177" i="59" s="1"/>
  <c r="K1177" i="59"/>
  <c r="O1177" i="59" s="1"/>
  <c r="L1089" i="59"/>
  <c r="P1089" i="59" s="1"/>
  <c r="K1089" i="59"/>
  <c r="O1089" i="59" s="1"/>
  <c r="L1327" i="59"/>
  <c r="P1327" i="59" s="1"/>
  <c r="K1327" i="59"/>
  <c r="O1327" i="59" s="1"/>
  <c r="L1416" i="59"/>
  <c r="P1416" i="59" s="1"/>
  <c r="K1416" i="59"/>
  <c r="O1416" i="59" s="1"/>
  <c r="L1371" i="59"/>
  <c r="P1371" i="59" s="1"/>
  <c r="K1371" i="59"/>
  <c r="O1371" i="59" s="1"/>
  <c r="L1482" i="59"/>
  <c r="P1482" i="59" s="1"/>
  <c r="K1482" i="59"/>
  <c r="O1482" i="59" s="1"/>
  <c r="L1362" i="59"/>
  <c r="P1362" i="59" s="1"/>
  <c r="K1362" i="59"/>
  <c r="O1362" i="59" s="1"/>
  <c r="L1508" i="59"/>
  <c r="P1508" i="59" s="1"/>
  <c r="K1508" i="59"/>
  <c r="O1508" i="59" s="1"/>
  <c r="L1514" i="59"/>
  <c r="P1514" i="59" s="1"/>
  <c r="K1514" i="59"/>
  <c r="O1514" i="59" s="1"/>
  <c r="L1492" i="59"/>
  <c r="P1492" i="59" s="1"/>
  <c r="K1492" i="59"/>
  <c r="O1492" i="59" s="1"/>
  <c r="L1426" i="59"/>
  <c r="P1426" i="59" s="1"/>
  <c r="K1426" i="59"/>
  <c r="O1426" i="59" s="1"/>
  <c r="L765" i="59"/>
  <c r="P765" i="59" s="1"/>
  <c r="K765" i="59"/>
  <c r="O765" i="59" s="1"/>
  <c r="L1383" i="59"/>
  <c r="P1383" i="59" s="1"/>
  <c r="K1383" i="59"/>
  <c r="O1383" i="59" s="1"/>
  <c r="L1189" i="59"/>
  <c r="P1189" i="59" s="1"/>
  <c r="K1189" i="59"/>
  <c r="O1189" i="59" s="1"/>
  <c r="L803" i="59"/>
  <c r="P803" i="59" s="1"/>
  <c r="K803" i="59"/>
  <c r="O803" i="59" s="1"/>
  <c r="L876" i="59"/>
  <c r="P876" i="59" s="1"/>
  <c r="K876" i="59"/>
  <c r="O876" i="59" s="1"/>
  <c r="L1473" i="59"/>
  <c r="P1473" i="59" s="1"/>
  <c r="K1473" i="59"/>
  <c r="O1473" i="59" s="1"/>
  <c r="L869" i="59"/>
  <c r="P869" i="59" s="1"/>
  <c r="K869" i="59"/>
  <c r="O869" i="59" s="1"/>
  <c r="L1102" i="59"/>
  <c r="P1102" i="59" s="1"/>
  <c r="K1102" i="59"/>
  <c r="O1102" i="59" s="1"/>
  <c r="L906" i="59"/>
  <c r="P906" i="59" s="1"/>
  <c r="K906" i="59"/>
  <c r="O906" i="59" s="1"/>
  <c r="L823" i="59"/>
  <c r="P823" i="59" s="1"/>
  <c r="K823" i="59"/>
  <c r="O823" i="59" s="1"/>
  <c r="L1293" i="59"/>
  <c r="P1293" i="59" s="1"/>
  <c r="K1293" i="59"/>
  <c r="O1293" i="59" s="1"/>
  <c r="L1143" i="59"/>
  <c r="P1143" i="59" s="1"/>
  <c r="K1143" i="59"/>
  <c r="O1143" i="59" s="1"/>
  <c r="L785" i="59"/>
  <c r="P785" i="59" s="1"/>
  <c r="K785" i="59"/>
  <c r="O785" i="59" s="1"/>
  <c r="L1020" i="59"/>
  <c r="P1020" i="59" s="1"/>
  <c r="K1020" i="59"/>
  <c r="O1020" i="59" s="1"/>
  <c r="L924" i="59"/>
  <c r="P924" i="59" s="1"/>
  <c r="K924" i="59"/>
  <c r="O924" i="59" s="1"/>
  <c r="L1392" i="59"/>
  <c r="P1392" i="59" s="1"/>
  <c r="K1392" i="59"/>
  <c r="O1392" i="59" s="1"/>
  <c r="L1109" i="59"/>
  <c r="P1109" i="59" s="1"/>
  <c r="K1109" i="59"/>
  <c r="O1109" i="59" s="1"/>
  <c r="L1351" i="59"/>
  <c r="P1351" i="59" s="1"/>
  <c r="K1351" i="59"/>
  <c r="O1351" i="59" s="1"/>
  <c r="L1435" i="59"/>
  <c r="P1435" i="59" s="1"/>
  <c r="K1435" i="59"/>
  <c r="O1435" i="59" s="1"/>
  <c r="L1152" i="59"/>
  <c r="P1152" i="59" s="1"/>
  <c r="K1152" i="59"/>
  <c r="O1152" i="59" s="1"/>
  <c r="L1198" i="59"/>
  <c r="P1198" i="59" s="1"/>
  <c r="K1198" i="59"/>
  <c r="O1198" i="59" s="1"/>
  <c r="L1302" i="59"/>
  <c r="P1302" i="59" s="1"/>
  <c r="K1302" i="59"/>
  <c r="O1302" i="59" s="1"/>
  <c r="L977" i="59"/>
  <c r="P977" i="59" s="1"/>
  <c r="K977" i="59"/>
  <c r="O977" i="59" s="1"/>
  <c r="L972" i="59"/>
  <c r="P972" i="59" s="1"/>
  <c r="K972" i="59"/>
  <c r="O972" i="59" s="1"/>
  <c r="L967" i="59"/>
  <c r="P967" i="59" s="1"/>
  <c r="K967" i="59"/>
  <c r="O967" i="59" s="1"/>
  <c r="L962" i="59"/>
  <c r="P962" i="59" s="1"/>
  <c r="K962" i="59"/>
  <c r="O962" i="59" s="1"/>
  <c r="L957" i="59"/>
  <c r="P957" i="59" s="1"/>
  <c r="K957" i="59"/>
  <c r="O957" i="59" s="1"/>
  <c r="L1249" i="59"/>
  <c r="P1249" i="59" s="1"/>
  <c r="K1249" i="59"/>
  <c r="O1249" i="59" s="1"/>
  <c r="L1570" i="59"/>
  <c r="P1570" i="59" s="1"/>
  <c r="K1570" i="59"/>
  <c r="O1570" i="59" s="1"/>
  <c r="L1566" i="59"/>
  <c r="P1566" i="59" s="1"/>
  <c r="K1566" i="59"/>
  <c r="O1566" i="59" s="1"/>
  <c r="L1562" i="59"/>
  <c r="P1562" i="59" s="1"/>
  <c r="K1562" i="59"/>
  <c r="O1562" i="59" s="1"/>
  <c r="L1558" i="59"/>
  <c r="P1558" i="59" s="1"/>
  <c r="K1558" i="59"/>
  <c r="O1558" i="59" s="1"/>
  <c r="L1554" i="59"/>
  <c r="P1554" i="59" s="1"/>
  <c r="K1554" i="59"/>
  <c r="O1554" i="59" s="1"/>
  <c r="L887" i="59"/>
  <c r="P887" i="59" s="1"/>
  <c r="K887" i="59"/>
  <c r="O887" i="59" s="1"/>
  <c r="L1551" i="59"/>
  <c r="P1551" i="59" s="1"/>
  <c r="K1551" i="59"/>
  <c r="O1551" i="59" s="1"/>
  <c r="L1548" i="59"/>
  <c r="P1548" i="59" s="1"/>
  <c r="K1548" i="59"/>
  <c r="O1548" i="59" s="1"/>
  <c r="L1545" i="59"/>
  <c r="P1545" i="59" s="1"/>
  <c r="K1545" i="59"/>
  <c r="O1545" i="59" s="1"/>
  <c r="L1542" i="59"/>
  <c r="P1542" i="59" s="1"/>
  <c r="K1542" i="59"/>
  <c r="O1542" i="59" s="1"/>
  <c r="L1539" i="59"/>
  <c r="P1539" i="59" s="1"/>
  <c r="K1539" i="59"/>
  <c r="O1539" i="59" s="1"/>
  <c r="L936" i="59"/>
  <c r="P936" i="59" s="1"/>
  <c r="K936" i="59"/>
  <c r="O936" i="59" s="1"/>
  <c r="L816" i="59"/>
  <c r="P816" i="59" s="1"/>
  <c r="K816" i="59"/>
  <c r="O816" i="59" s="1"/>
  <c r="L916" i="59"/>
  <c r="P916" i="59" s="1"/>
  <c r="K916" i="59"/>
  <c r="O916" i="59" s="1"/>
  <c r="L884" i="59"/>
  <c r="P884" i="59" s="1"/>
  <c r="K884" i="59"/>
  <c r="O884" i="59" s="1"/>
  <c r="L1585" i="59"/>
  <c r="P1585" i="59" s="1"/>
  <c r="K1585" i="59"/>
  <c r="O1585" i="59" s="1"/>
  <c r="L1589" i="59"/>
  <c r="P1589" i="59" s="1"/>
  <c r="K1589" i="59"/>
  <c r="O1589" i="59" s="1"/>
  <c r="L1581" i="59"/>
  <c r="P1581" i="59" s="1"/>
  <c r="K1581" i="59"/>
  <c r="O1581" i="59" s="1"/>
  <c r="L1577" i="59"/>
  <c r="P1577" i="59" s="1"/>
  <c r="K1577" i="59"/>
  <c r="O1577" i="59" s="1"/>
  <c r="L1573" i="59"/>
  <c r="P1573" i="59" s="1"/>
  <c r="K1573" i="59"/>
  <c r="O1573" i="59" s="1"/>
  <c r="L775" i="59"/>
  <c r="P775" i="59" s="1"/>
  <c r="K775" i="59"/>
  <c r="O775" i="59" s="1"/>
  <c r="L933" i="59"/>
  <c r="P933" i="59" s="1"/>
  <c r="K933" i="59"/>
  <c r="O933" i="59" s="1"/>
  <c r="L813" i="59"/>
  <c r="P813" i="59" s="1"/>
  <c r="K813" i="59"/>
  <c r="O813" i="59" s="1"/>
  <c r="L913" i="59"/>
  <c r="P913" i="59" s="1"/>
  <c r="K913" i="59"/>
  <c r="O913" i="59" s="1"/>
  <c r="L841" i="59"/>
  <c r="P841" i="59" s="1"/>
  <c r="K841" i="59"/>
  <c r="O841" i="59" s="1"/>
  <c r="L945" i="59"/>
  <c r="P945" i="59" s="1"/>
  <c r="K945" i="59"/>
  <c r="O945" i="59" s="1"/>
  <c r="L1130" i="59"/>
  <c r="P1130" i="59" s="1"/>
  <c r="K1130" i="59"/>
  <c r="O1130" i="59" s="1"/>
  <c r="L1223" i="59"/>
  <c r="P1223" i="59" s="1"/>
  <c r="K1223" i="59"/>
  <c r="O1223" i="59" s="1"/>
  <c r="L1280" i="59"/>
  <c r="P1280" i="59" s="1"/>
  <c r="K1280" i="59"/>
  <c r="O1280" i="59" s="1"/>
  <c r="L1176" i="59"/>
  <c r="P1176" i="59" s="1"/>
  <c r="K1176" i="59"/>
  <c r="O1176" i="59" s="1"/>
  <c r="L1088" i="59"/>
  <c r="P1088" i="59" s="1"/>
  <c r="K1088" i="59"/>
  <c r="O1088" i="59" s="1"/>
  <c r="L1326" i="59"/>
  <c r="P1326" i="59" s="1"/>
  <c r="K1326" i="59"/>
  <c r="O1326" i="59" s="1"/>
  <c r="L1481" i="59"/>
  <c r="P1481" i="59" s="1"/>
  <c r="K1481" i="59"/>
  <c r="O1481" i="59" s="1"/>
  <c r="L1248" i="59"/>
  <c r="P1248" i="59" s="1"/>
  <c r="K1248" i="59"/>
  <c r="O1248" i="59" s="1"/>
  <c r="L1532" i="59"/>
  <c r="P1532" i="59" s="1"/>
  <c r="L1571" i="59"/>
  <c r="P1571" i="59" s="1"/>
  <c r="K1571" i="59"/>
  <c r="O1571" i="59" s="1"/>
  <c r="L1567" i="59"/>
  <c r="P1567" i="59" s="1"/>
  <c r="K1567" i="59"/>
  <c r="O1567" i="59" s="1"/>
  <c r="L1563" i="59"/>
  <c r="P1563" i="59" s="1"/>
  <c r="K1563" i="59"/>
  <c r="O1563" i="59" s="1"/>
  <c r="L1559" i="59"/>
  <c r="P1559" i="59" s="1"/>
  <c r="K1559" i="59"/>
  <c r="O1559" i="59" s="1"/>
  <c r="L1555" i="59"/>
  <c r="P1555" i="59" s="1"/>
  <c r="K1555" i="59"/>
  <c r="O1555" i="59" s="1"/>
  <c r="L767" i="59"/>
  <c r="P767" i="59" s="1"/>
  <c r="K767" i="59"/>
  <c r="O767" i="59" s="1"/>
  <c r="L766" i="59"/>
  <c r="P766" i="59" s="1"/>
  <c r="K766" i="59"/>
  <c r="O766" i="59" s="1"/>
  <c r="L1385" i="59"/>
  <c r="P1385" i="59" s="1"/>
  <c r="K1385" i="59"/>
  <c r="O1385" i="59" s="1"/>
  <c r="L1384" i="59"/>
  <c r="P1384" i="59" s="1"/>
  <c r="K1384" i="59"/>
  <c r="O1384" i="59" s="1"/>
  <c r="L1191" i="59"/>
  <c r="P1191" i="59" s="1"/>
  <c r="K1191" i="59"/>
  <c r="O1191" i="59" s="1"/>
  <c r="L1190" i="59"/>
  <c r="P1190" i="59" s="1"/>
  <c r="K1190" i="59"/>
  <c r="O1190" i="59" s="1"/>
  <c r="L805" i="59"/>
  <c r="P805" i="59" s="1"/>
  <c r="K805" i="59"/>
  <c r="O805" i="59" s="1"/>
  <c r="L804" i="59"/>
  <c r="P804" i="59" s="1"/>
  <c r="K804" i="59"/>
  <c r="O804" i="59" s="1"/>
  <c r="L878" i="59"/>
  <c r="P878" i="59" s="1"/>
  <c r="K878" i="59"/>
  <c r="O878" i="59" s="1"/>
  <c r="L877" i="59"/>
  <c r="P877" i="59" s="1"/>
  <c r="K877" i="59"/>
  <c r="O877" i="59" s="1"/>
  <c r="L1475" i="59"/>
  <c r="P1475" i="59" s="1"/>
  <c r="K1475" i="59"/>
  <c r="O1475" i="59" s="1"/>
  <c r="L1474" i="59"/>
  <c r="P1474" i="59" s="1"/>
  <c r="K1474" i="59"/>
  <c r="O1474" i="59" s="1"/>
  <c r="L871" i="59"/>
  <c r="P871" i="59" s="1"/>
  <c r="K871" i="59"/>
  <c r="O871" i="59" s="1"/>
  <c r="L870" i="59"/>
  <c r="P870" i="59" s="1"/>
  <c r="K870" i="59"/>
  <c r="O870" i="59" s="1"/>
  <c r="L1104" i="59"/>
  <c r="P1104" i="59" s="1"/>
  <c r="K1104" i="59"/>
  <c r="O1104" i="59" s="1"/>
  <c r="L1103" i="59"/>
  <c r="P1103" i="59" s="1"/>
  <c r="K1103" i="59"/>
  <c r="O1103" i="59" s="1"/>
  <c r="L908" i="59"/>
  <c r="P908" i="59" s="1"/>
  <c r="K908" i="59"/>
  <c r="O908" i="59" s="1"/>
  <c r="L907" i="59"/>
  <c r="P907" i="59" s="1"/>
  <c r="K907" i="59"/>
  <c r="O907" i="59" s="1"/>
  <c r="L825" i="59"/>
  <c r="P825" i="59" s="1"/>
  <c r="K825" i="59"/>
  <c r="O825" i="59" s="1"/>
  <c r="L824" i="59"/>
  <c r="P824" i="59" s="1"/>
  <c r="K824" i="59"/>
  <c r="O824" i="59" s="1"/>
  <c r="L1295" i="59"/>
  <c r="P1295" i="59" s="1"/>
  <c r="K1295" i="59"/>
  <c r="O1295" i="59" s="1"/>
  <c r="L1294" i="59"/>
  <c r="P1294" i="59" s="1"/>
  <c r="K1294" i="59"/>
  <c r="O1294" i="59" s="1"/>
  <c r="L1145" i="59"/>
  <c r="P1145" i="59" s="1"/>
  <c r="K1145" i="59"/>
  <c r="O1145" i="59" s="1"/>
  <c r="L1144" i="59"/>
  <c r="P1144" i="59" s="1"/>
  <c r="K1144" i="59"/>
  <c r="O1144" i="59" s="1"/>
  <c r="L787" i="59"/>
  <c r="P787" i="59" s="1"/>
  <c r="K787" i="59"/>
  <c r="O787" i="59" s="1"/>
  <c r="L786" i="59"/>
  <c r="P786" i="59" s="1"/>
  <c r="K786" i="59"/>
  <c r="O786" i="59" s="1"/>
  <c r="L1022" i="59"/>
  <c r="P1022" i="59" s="1"/>
  <c r="K1022" i="59"/>
  <c r="O1022" i="59" s="1"/>
  <c r="L1021" i="59"/>
  <c r="P1021" i="59" s="1"/>
  <c r="K1021" i="59"/>
  <c r="O1021" i="59" s="1"/>
  <c r="L926" i="59"/>
  <c r="P926" i="59" s="1"/>
  <c r="K926" i="59"/>
  <c r="O926" i="59" s="1"/>
  <c r="L925" i="59"/>
  <c r="P925" i="59" s="1"/>
  <c r="K925" i="59"/>
  <c r="O925" i="59" s="1"/>
  <c r="L1394" i="59"/>
  <c r="P1394" i="59" s="1"/>
  <c r="K1394" i="59"/>
  <c r="O1394" i="59" s="1"/>
  <c r="L1111" i="59"/>
  <c r="P1111" i="59" s="1"/>
  <c r="K1111" i="59"/>
  <c r="O1111" i="59" s="1"/>
  <c r="L1353" i="59"/>
  <c r="P1353" i="59" s="1"/>
  <c r="K1353" i="59"/>
  <c r="O1353" i="59" s="1"/>
  <c r="L1437" i="59"/>
  <c r="P1437" i="59" s="1"/>
  <c r="K1437" i="59"/>
  <c r="O1437" i="59" s="1"/>
  <c r="L1154" i="59"/>
  <c r="P1154" i="59" s="1"/>
  <c r="K1154" i="59"/>
  <c r="O1154" i="59" s="1"/>
  <c r="L1200" i="59"/>
  <c r="P1200" i="59" s="1"/>
  <c r="K1200" i="59"/>
  <c r="O1200" i="59" s="1"/>
  <c r="L1304" i="59"/>
  <c r="P1304" i="59" s="1"/>
  <c r="K1304" i="59"/>
  <c r="O1304" i="59" s="1"/>
  <c r="L885" i="59"/>
  <c r="P885" i="59" s="1"/>
  <c r="K885" i="59"/>
  <c r="O885" i="59" s="1"/>
  <c r="L844" i="59"/>
  <c r="P844" i="59" s="1"/>
  <c r="K844" i="59"/>
  <c r="O844" i="59" s="1"/>
  <c r="L948" i="59"/>
  <c r="P948" i="59" s="1"/>
  <c r="K948" i="59"/>
  <c r="O948" i="59" s="1"/>
  <c r="L1133" i="59"/>
  <c r="P1133" i="59" s="1"/>
  <c r="K1133" i="59"/>
  <c r="O1133" i="59" s="1"/>
  <c r="L1226" i="59"/>
  <c r="P1226" i="59" s="1"/>
  <c r="K1226" i="59"/>
  <c r="O1226" i="59" s="1"/>
  <c r="L1283" i="59"/>
  <c r="P1283" i="59" s="1"/>
  <c r="K1283" i="59"/>
  <c r="O1283" i="59" s="1"/>
  <c r="L1179" i="59"/>
  <c r="P1179" i="59" s="1"/>
  <c r="K1179" i="59"/>
  <c r="O1179" i="59" s="1"/>
  <c r="L1091" i="59"/>
  <c r="P1091" i="59" s="1"/>
  <c r="K1091" i="59"/>
  <c r="O1091" i="59" s="1"/>
  <c r="L1329" i="59"/>
  <c r="P1329" i="59" s="1"/>
  <c r="K1329" i="59"/>
  <c r="O1329" i="59" s="1"/>
  <c r="L1418" i="59"/>
  <c r="P1418" i="59" s="1"/>
  <c r="K1418" i="59"/>
  <c r="O1418" i="59" s="1"/>
  <c r="L1373" i="59"/>
  <c r="P1373" i="59" s="1"/>
  <c r="K1373" i="59"/>
  <c r="O1373" i="59" s="1"/>
  <c r="L1484" i="59"/>
  <c r="P1484" i="59" s="1"/>
  <c r="K1484" i="59"/>
  <c r="O1484" i="59" s="1"/>
  <c r="L1251" i="59"/>
  <c r="P1251" i="59" s="1"/>
  <c r="K1251" i="59"/>
  <c r="O1251" i="59" s="1"/>
  <c r="L1586" i="59"/>
  <c r="P1586" i="59" s="1"/>
  <c r="K1586" i="59"/>
  <c r="O1586" i="59" s="1"/>
  <c r="L1590" i="59"/>
  <c r="P1590" i="59" s="1"/>
  <c r="K1590" i="59"/>
  <c r="O1590" i="59" s="1"/>
  <c r="L1582" i="59"/>
  <c r="P1582" i="59" s="1"/>
  <c r="K1582" i="59"/>
  <c r="O1582" i="59" s="1"/>
  <c r="L1578" i="59"/>
  <c r="P1578" i="59" s="1"/>
  <c r="K1578" i="59"/>
  <c r="O1578" i="59" s="1"/>
  <c r="L1574" i="59"/>
  <c r="P1574" i="59" s="1"/>
  <c r="K1574" i="59"/>
  <c r="O1574" i="59" s="1"/>
  <c r="L1552" i="59"/>
  <c r="P1552" i="59" s="1"/>
  <c r="K1552" i="59"/>
  <c r="O1552" i="59" s="1"/>
  <c r="L1549" i="59"/>
  <c r="P1549" i="59" s="1"/>
  <c r="K1549" i="59"/>
  <c r="O1549" i="59" s="1"/>
  <c r="L1546" i="59"/>
  <c r="P1546" i="59" s="1"/>
  <c r="K1546" i="59"/>
  <c r="O1546" i="59" s="1"/>
  <c r="L1543" i="59"/>
  <c r="P1543" i="59" s="1"/>
  <c r="K1543" i="59"/>
  <c r="O1543" i="59" s="1"/>
  <c r="L1540" i="59"/>
  <c r="P1540" i="59" s="1"/>
  <c r="K1540" i="59"/>
  <c r="O1540" i="59" s="1"/>
  <c r="L1533" i="59"/>
  <c r="P1533" i="59" s="1"/>
  <c r="L950" i="59"/>
  <c r="P950" i="59" s="1"/>
  <c r="K950" i="59"/>
  <c r="O950" i="59" s="1"/>
  <c r="L1135" i="59"/>
  <c r="P1135" i="59" s="1"/>
  <c r="K1135" i="59"/>
  <c r="O1135" i="59" s="1"/>
  <c r="L1228" i="59"/>
  <c r="P1228" i="59" s="1"/>
  <c r="K1228" i="59"/>
  <c r="O1228" i="59" s="1"/>
  <c r="L1285" i="59"/>
  <c r="P1285" i="59" s="1"/>
  <c r="K1285" i="59"/>
  <c r="O1285" i="59" s="1"/>
  <c r="L1181" i="59"/>
  <c r="P1181" i="59" s="1"/>
  <c r="K1181" i="59"/>
  <c r="O1181" i="59" s="1"/>
  <c r="L1093" i="59"/>
  <c r="P1093" i="59" s="1"/>
  <c r="K1093" i="59"/>
  <c r="O1093" i="59" s="1"/>
  <c r="L1331" i="59"/>
  <c r="P1331" i="59" s="1"/>
  <c r="K1331" i="59"/>
  <c r="O1331" i="59" s="1"/>
  <c r="L1420" i="59"/>
  <c r="P1420" i="59" s="1"/>
  <c r="K1420" i="59"/>
  <c r="O1420" i="59" s="1"/>
  <c r="L1375" i="59"/>
  <c r="P1375" i="59" s="1"/>
  <c r="K1375" i="59"/>
  <c r="O1375" i="59" s="1"/>
  <c r="L1486" i="59"/>
  <c r="P1486" i="59" s="1"/>
  <c r="K1486" i="59"/>
  <c r="O1486" i="59" s="1"/>
  <c r="L1363" i="59"/>
  <c r="P1363" i="59" s="1"/>
  <c r="K1363" i="59"/>
  <c r="O1363" i="59" s="1"/>
  <c r="L1365" i="59"/>
  <c r="P1365" i="59" s="1"/>
  <c r="K1365" i="59"/>
  <c r="O1365" i="59" s="1"/>
  <c r="L1509" i="59"/>
  <c r="P1509" i="59" s="1"/>
  <c r="K1509" i="59"/>
  <c r="O1509" i="59" s="1"/>
  <c r="L1511" i="59"/>
  <c r="P1511" i="59" s="1"/>
  <c r="K1511" i="59"/>
  <c r="O1511" i="59" s="1"/>
  <c r="L1515" i="59"/>
  <c r="P1515" i="59" s="1"/>
  <c r="K1515" i="59"/>
  <c r="O1515" i="59" s="1"/>
  <c r="L1517" i="59"/>
  <c r="P1517" i="59" s="1"/>
  <c r="K1517" i="59"/>
  <c r="O1517" i="59" s="1"/>
  <c r="L1495" i="59"/>
  <c r="P1495" i="59" s="1"/>
  <c r="K1495" i="59"/>
  <c r="O1495" i="59" s="1"/>
  <c r="L1493" i="59"/>
  <c r="P1493" i="59" s="1"/>
  <c r="K1493" i="59"/>
  <c r="O1493" i="59" s="1"/>
  <c r="L1429" i="59"/>
  <c r="P1429" i="59" s="1"/>
  <c r="K1429" i="59"/>
  <c r="O1429" i="59" s="1"/>
  <c r="L1427" i="59"/>
  <c r="P1427" i="59" s="1"/>
  <c r="K1427" i="59"/>
  <c r="O1427" i="59" s="1"/>
  <c r="L1396" i="59"/>
  <c r="P1396" i="59" s="1"/>
  <c r="K1396" i="59"/>
  <c r="O1396" i="59" s="1"/>
  <c r="L1113" i="59"/>
  <c r="P1113" i="59" s="1"/>
  <c r="K1113" i="59"/>
  <c r="O1113" i="59" s="1"/>
  <c r="L1355" i="59"/>
  <c r="P1355" i="59" s="1"/>
  <c r="K1355" i="59"/>
  <c r="O1355" i="59" s="1"/>
  <c r="L1439" i="59"/>
  <c r="P1439" i="59" s="1"/>
  <c r="K1439" i="59"/>
  <c r="O1439" i="59" s="1"/>
  <c r="L1156" i="59"/>
  <c r="P1156" i="59" s="1"/>
  <c r="K1156" i="59"/>
  <c r="O1156" i="59" s="1"/>
  <c r="L1202" i="59"/>
  <c r="P1202" i="59" s="1"/>
  <c r="K1202" i="59"/>
  <c r="O1202" i="59" s="1"/>
  <c r="L1306" i="59"/>
  <c r="P1306" i="59" s="1"/>
  <c r="K1306" i="59"/>
  <c r="O1306" i="59" s="1"/>
  <c r="L1275" i="59"/>
  <c r="P1275" i="59" s="1"/>
  <c r="K1275" i="59"/>
  <c r="O1275" i="59" s="1"/>
  <c r="L1272" i="59"/>
  <c r="P1272" i="59" s="1"/>
  <c r="K1272" i="59"/>
  <c r="O1272" i="59" s="1"/>
  <c r="L888" i="59"/>
  <c r="P888" i="59" s="1"/>
  <c r="K888" i="59"/>
  <c r="O888" i="59" s="1"/>
  <c r="L886" i="59"/>
  <c r="P886" i="59" s="1"/>
  <c r="K886" i="59"/>
  <c r="O886" i="59" s="1"/>
  <c r="L1050" i="59"/>
  <c r="P1050" i="59" s="1"/>
  <c r="K1050" i="59"/>
  <c r="O1050" i="59" s="1"/>
  <c r="L1040" i="59"/>
  <c r="P1040" i="59" s="1"/>
  <c r="K1040" i="59"/>
  <c r="O1040" i="59" s="1"/>
  <c r="L1253" i="59"/>
  <c r="P1253" i="59" s="1"/>
  <c r="K1253" i="59"/>
  <c r="O1253" i="59" s="1"/>
  <c r="L1081" i="59"/>
  <c r="P1081" i="59" s="1"/>
  <c r="K1081" i="59"/>
  <c r="O1081" i="59" s="1"/>
  <c r="L1408" i="59"/>
  <c r="P1408" i="59" s="1"/>
  <c r="K1408" i="59"/>
  <c r="O1408" i="59" s="1"/>
  <c r="L836" i="59"/>
  <c r="P836" i="59" s="1"/>
  <c r="K836" i="59"/>
  <c r="O836" i="59" s="1"/>
  <c r="L1030" i="59"/>
  <c r="P1030" i="59" s="1"/>
  <c r="K1030" i="59"/>
  <c r="O1030" i="59" s="1"/>
  <c r="L1342" i="59"/>
  <c r="P1342" i="59" s="1"/>
  <c r="K1342" i="59"/>
  <c r="O1342" i="59" s="1"/>
  <c r="L1215" i="59"/>
  <c r="P1215" i="59" s="1"/>
  <c r="K1215" i="59"/>
  <c r="O1215" i="59" s="1"/>
  <c r="L759" i="59"/>
  <c r="P759" i="59" s="1"/>
  <c r="K759" i="59"/>
  <c r="O759" i="59" s="1"/>
  <c r="L779" i="59"/>
  <c r="P779" i="59" s="1"/>
  <c r="K779" i="59"/>
  <c r="O779" i="59" s="1"/>
  <c r="L938" i="59"/>
  <c r="P938" i="59" s="1"/>
  <c r="K938" i="59"/>
  <c r="O938" i="59" s="1"/>
  <c r="L818" i="59"/>
  <c r="P818" i="59" s="1"/>
  <c r="K818" i="59"/>
  <c r="O818" i="59" s="1"/>
  <c r="L1169" i="59"/>
  <c r="P1169" i="59" s="1"/>
  <c r="K1169" i="59"/>
  <c r="O1169" i="59" s="1"/>
  <c r="L1464" i="59"/>
  <c r="P1464" i="59" s="1"/>
  <c r="K1464" i="59"/>
  <c r="O1464" i="59" s="1"/>
  <c r="L1452" i="59"/>
  <c r="P1452" i="59" s="1"/>
  <c r="K1452" i="59"/>
  <c r="O1452" i="59" s="1"/>
  <c r="L898" i="59"/>
  <c r="P898" i="59" s="1"/>
  <c r="K898" i="59"/>
  <c r="O898" i="59" s="1"/>
  <c r="L1123" i="59"/>
  <c r="P1123" i="59" s="1"/>
  <c r="K1123" i="59"/>
  <c r="O1123" i="59" s="1"/>
  <c r="L1319" i="59"/>
  <c r="P1319" i="59" s="1"/>
  <c r="K1319" i="59"/>
  <c r="O1319" i="59" s="1"/>
  <c r="L1240" i="59"/>
  <c r="P1240" i="59" s="1"/>
  <c r="K1240" i="59"/>
  <c r="O1240" i="59" s="1"/>
  <c r="L1503" i="59"/>
  <c r="P1503" i="59" s="1"/>
  <c r="K1503" i="59"/>
  <c r="O1503" i="59" s="1"/>
  <c r="L1525" i="59"/>
  <c r="P1525" i="59" s="1"/>
  <c r="K1525" i="59"/>
  <c r="O1525" i="59" s="1"/>
  <c r="L861" i="59"/>
  <c r="P861" i="59" s="1"/>
  <c r="K861" i="59"/>
  <c r="O861" i="59" s="1"/>
  <c r="L918" i="59"/>
  <c r="P918" i="59" s="1"/>
  <c r="K918" i="59"/>
  <c r="O918" i="59" s="1"/>
  <c r="L996" i="59"/>
  <c r="P996" i="59" s="1"/>
  <c r="K996" i="59"/>
  <c r="O996" i="59" s="1"/>
  <c r="L1267" i="59"/>
  <c r="P1267" i="59" s="1"/>
  <c r="K1267" i="59"/>
  <c r="O1267" i="59" s="1"/>
  <c r="L1010" i="59"/>
  <c r="P1010" i="59" s="1"/>
  <c r="K1010" i="59"/>
  <c r="O1010" i="59" s="1"/>
  <c r="L1796" i="59"/>
  <c r="P1796" i="59" s="1"/>
  <c r="K1796" i="59"/>
  <c r="O1796" i="59" s="1"/>
  <c r="L1795" i="59"/>
  <c r="P1795" i="59" s="1"/>
  <c r="K1795" i="59"/>
  <c r="O1795" i="59" s="1"/>
  <c r="L1794" i="59"/>
  <c r="P1794" i="59" s="1"/>
  <c r="K1794" i="59"/>
  <c r="O1794" i="59" s="1"/>
  <c r="L1675" i="59"/>
  <c r="P1675" i="59" s="1"/>
  <c r="K1675" i="59"/>
  <c r="O1675" i="59" s="1"/>
  <c r="L1674" i="59"/>
  <c r="P1674" i="59" s="1"/>
  <c r="K1674" i="59"/>
  <c r="O1674" i="59" s="1"/>
  <c r="L1673" i="59"/>
  <c r="P1673" i="59" s="1"/>
  <c r="K1673" i="59"/>
  <c r="O1673" i="59" s="1"/>
  <c r="L1672" i="59"/>
  <c r="P1672" i="59" s="1"/>
  <c r="K1672" i="59"/>
  <c r="O1672" i="59" s="1"/>
  <c r="L1671" i="59"/>
  <c r="P1671" i="59" s="1"/>
  <c r="K1671" i="59"/>
  <c r="O1671" i="59" s="1"/>
  <c r="L1670" i="59"/>
  <c r="P1670" i="59" s="1"/>
  <c r="K1670" i="59"/>
  <c r="O1670" i="59" s="1"/>
  <c r="L1669" i="59"/>
  <c r="P1669" i="59" s="1"/>
  <c r="K1669" i="59"/>
  <c r="O1669" i="59" s="1"/>
  <c r="L1572" i="59"/>
  <c r="P1572" i="59" s="1"/>
  <c r="K1572" i="59"/>
  <c r="O1572" i="59" s="1"/>
  <c r="L1568" i="59"/>
  <c r="P1568" i="59" s="1"/>
  <c r="K1568" i="59"/>
  <c r="O1568" i="59" s="1"/>
  <c r="L1564" i="59"/>
  <c r="P1564" i="59" s="1"/>
  <c r="K1564" i="59"/>
  <c r="O1564" i="59" s="1"/>
  <c r="L1560" i="59"/>
  <c r="P1560" i="59" s="1"/>
  <c r="K1560" i="59"/>
  <c r="O1560" i="59" s="1"/>
  <c r="L1556" i="59"/>
  <c r="P1556" i="59" s="1"/>
  <c r="K1556" i="59"/>
  <c r="O1556" i="59" s="1"/>
  <c r="L845" i="59"/>
  <c r="P845" i="59" s="1"/>
  <c r="K845" i="59"/>
  <c r="O845" i="59" s="1"/>
  <c r="L949" i="59"/>
  <c r="P949" i="59" s="1"/>
  <c r="K949" i="59"/>
  <c r="O949" i="59" s="1"/>
  <c r="L1134" i="59"/>
  <c r="P1134" i="59" s="1"/>
  <c r="K1134" i="59"/>
  <c r="O1134" i="59" s="1"/>
  <c r="L1227" i="59"/>
  <c r="P1227" i="59" s="1"/>
  <c r="K1227" i="59"/>
  <c r="O1227" i="59" s="1"/>
  <c r="L1284" i="59"/>
  <c r="P1284" i="59" s="1"/>
  <c r="K1284" i="59"/>
  <c r="O1284" i="59" s="1"/>
  <c r="L1180" i="59"/>
  <c r="P1180" i="59" s="1"/>
  <c r="K1180" i="59"/>
  <c r="O1180" i="59" s="1"/>
  <c r="L1092" i="59"/>
  <c r="P1092" i="59" s="1"/>
  <c r="K1092" i="59"/>
  <c r="O1092" i="59" s="1"/>
  <c r="L1330" i="59"/>
  <c r="P1330" i="59" s="1"/>
  <c r="K1330" i="59"/>
  <c r="O1330" i="59" s="1"/>
  <c r="L1419" i="59"/>
  <c r="P1419" i="59" s="1"/>
  <c r="K1419" i="59"/>
  <c r="O1419" i="59" s="1"/>
  <c r="L1374" i="59"/>
  <c r="P1374" i="59" s="1"/>
  <c r="K1374" i="59"/>
  <c r="O1374" i="59" s="1"/>
  <c r="L1485" i="59"/>
  <c r="P1485" i="59" s="1"/>
  <c r="K1485" i="59"/>
  <c r="O1485" i="59" s="1"/>
  <c r="L1395" i="59"/>
  <c r="P1395" i="59" s="1"/>
  <c r="K1395" i="59"/>
  <c r="O1395" i="59" s="1"/>
  <c r="L1112" i="59"/>
  <c r="P1112" i="59" s="1"/>
  <c r="K1112" i="59"/>
  <c r="O1112" i="59" s="1"/>
  <c r="L1354" i="59"/>
  <c r="P1354" i="59" s="1"/>
  <c r="K1354" i="59"/>
  <c r="O1354" i="59" s="1"/>
  <c r="L1438" i="59"/>
  <c r="P1438" i="59" s="1"/>
  <c r="K1438" i="59"/>
  <c r="O1438" i="59" s="1"/>
  <c r="L1155" i="59"/>
  <c r="P1155" i="59" s="1"/>
  <c r="K1155" i="59"/>
  <c r="O1155" i="59" s="1"/>
  <c r="L1201" i="59"/>
  <c r="P1201" i="59" s="1"/>
  <c r="K1201" i="59"/>
  <c r="O1201" i="59" s="1"/>
  <c r="L1305" i="59"/>
  <c r="P1305" i="59" s="1"/>
  <c r="K1305" i="59"/>
  <c r="O1305" i="59" s="1"/>
  <c r="L1252" i="59"/>
  <c r="P1252" i="59" s="1"/>
  <c r="K1252" i="59"/>
  <c r="O1252" i="59" s="1"/>
  <c r="L1587" i="59"/>
  <c r="P1587" i="59" s="1"/>
  <c r="K1587" i="59"/>
  <c r="O1587" i="59" s="1"/>
  <c r="L1591" i="59"/>
  <c r="P1591" i="59" s="1"/>
  <c r="K1591" i="59"/>
  <c r="O1591" i="59" s="1"/>
  <c r="L1583" i="59"/>
  <c r="P1583" i="59" s="1"/>
  <c r="K1583" i="59"/>
  <c r="O1583" i="59" s="1"/>
  <c r="L1579" i="59"/>
  <c r="P1579" i="59" s="1"/>
  <c r="K1579" i="59"/>
  <c r="O1579" i="59" s="1"/>
  <c r="L1575" i="59"/>
  <c r="P1575" i="59" s="1"/>
  <c r="K1575" i="59"/>
  <c r="O1575" i="59" s="1"/>
  <c r="L982" i="59"/>
  <c r="P982" i="59" s="1"/>
  <c r="K982" i="59"/>
  <c r="O982" i="59" s="1"/>
  <c r="L1080" i="59"/>
  <c r="P1080" i="59" s="1"/>
  <c r="K1080" i="59"/>
  <c r="O1080" i="59" s="1"/>
  <c r="L1407" i="59"/>
  <c r="P1407" i="59" s="1"/>
  <c r="K1407" i="59"/>
  <c r="O1407" i="59" s="1"/>
  <c r="L835" i="59"/>
  <c r="P835" i="59" s="1"/>
  <c r="K835" i="59"/>
  <c r="O835" i="59" s="1"/>
  <c r="L1029" i="59"/>
  <c r="P1029" i="59" s="1"/>
  <c r="K1029" i="59"/>
  <c r="O1029" i="59" s="1"/>
  <c r="L1341" i="59"/>
  <c r="P1341" i="59" s="1"/>
  <c r="K1341" i="59"/>
  <c r="O1341" i="59" s="1"/>
  <c r="L1339" i="59"/>
  <c r="P1339" i="59" s="1"/>
  <c r="K1339" i="59"/>
  <c r="O1339" i="59" s="1"/>
  <c r="L1214" i="59"/>
  <c r="P1214" i="59" s="1"/>
  <c r="K1214" i="59"/>
  <c r="O1214" i="59" s="1"/>
  <c r="L758" i="59"/>
  <c r="P758" i="59" s="1"/>
  <c r="K758" i="59"/>
  <c r="O758" i="59" s="1"/>
  <c r="L778" i="59"/>
  <c r="P778" i="59" s="1"/>
  <c r="K778" i="59"/>
  <c r="O778" i="59" s="1"/>
  <c r="L937" i="59"/>
  <c r="P937" i="59" s="1"/>
  <c r="K937" i="59"/>
  <c r="O937" i="59" s="1"/>
  <c r="L817" i="59"/>
  <c r="P817" i="59" s="1"/>
  <c r="K817" i="59"/>
  <c r="O817" i="59" s="1"/>
  <c r="L1168" i="59"/>
  <c r="P1168" i="59" s="1"/>
  <c r="K1168" i="59"/>
  <c r="O1168" i="59" s="1"/>
  <c r="L1463" i="59"/>
  <c r="P1463" i="59" s="1"/>
  <c r="K1463" i="59"/>
  <c r="O1463" i="59" s="1"/>
  <c r="L1451" i="59"/>
  <c r="P1451" i="59" s="1"/>
  <c r="K1451" i="59"/>
  <c r="O1451" i="59" s="1"/>
  <c r="L897" i="59"/>
  <c r="P897" i="59" s="1"/>
  <c r="K897" i="59"/>
  <c r="O897" i="59" s="1"/>
  <c r="L1122" i="59"/>
  <c r="P1122" i="59" s="1"/>
  <c r="K1122" i="59"/>
  <c r="O1122" i="59" s="1"/>
  <c r="L1318" i="59"/>
  <c r="P1318" i="59" s="1"/>
  <c r="K1318" i="59"/>
  <c r="O1318" i="59" s="1"/>
  <c r="L1239" i="59"/>
  <c r="P1239" i="59" s="1"/>
  <c r="K1239" i="59"/>
  <c r="O1239" i="59" s="1"/>
  <c r="L1502" i="59"/>
  <c r="P1502" i="59" s="1"/>
  <c r="K1502" i="59"/>
  <c r="O1502" i="59" s="1"/>
  <c r="L1524" i="59"/>
  <c r="P1524" i="59" s="1"/>
  <c r="K1524" i="59"/>
  <c r="O1524" i="59" s="1"/>
  <c r="L860" i="59"/>
  <c r="P860" i="59" s="1"/>
  <c r="K860" i="59"/>
  <c r="O860" i="59" s="1"/>
  <c r="L917" i="59"/>
  <c r="P917" i="59" s="1"/>
  <c r="K917" i="59"/>
  <c r="O917" i="59" s="1"/>
  <c r="L995" i="59"/>
  <c r="P995" i="59" s="1"/>
  <c r="K995" i="59"/>
  <c r="O995" i="59" s="1"/>
  <c r="L1266" i="59"/>
  <c r="P1266" i="59" s="1"/>
  <c r="K1266" i="59"/>
  <c r="O1266" i="59" s="1"/>
  <c r="L1009" i="59"/>
  <c r="P1009" i="59" s="1"/>
  <c r="K1009" i="59"/>
  <c r="O1009" i="59" s="1"/>
  <c r="L846" i="59"/>
  <c r="P846" i="59" s="1"/>
  <c r="K846" i="59"/>
  <c r="O846" i="59" s="1"/>
  <c r="K1534" i="59"/>
  <c r="O1534" i="59" s="1"/>
  <c r="L1013" i="59"/>
  <c r="P1013" i="59" s="1"/>
  <c r="K1013" i="59"/>
  <c r="O1013" i="59" s="1"/>
  <c r="L979" i="59"/>
  <c r="P979" i="59" s="1"/>
  <c r="K979" i="59"/>
  <c r="O979" i="59" s="1"/>
  <c r="L974" i="59"/>
  <c r="P974" i="59" s="1"/>
  <c r="K974" i="59"/>
  <c r="O974" i="59" s="1"/>
  <c r="L969" i="59"/>
  <c r="P969" i="59" s="1"/>
  <c r="K969" i="59"/>
  <c r="O969" i="59" s="1"/>
  <c r="L964" i="59"/>
  <c r="P964" i="59" s="1"/>
  <c r="K964" i="59"/>
  <c r="O964" i="59" s="1"/>
  <c r="L959" i="59"/>
  <c r="P959" i="59" s="1"/>
  <c r="K959" i="59"/>
  <c r="O959" i="59" s="1"/>
  <c r="L1710" i="59"/>
  <c r="P1710" i="59" s="1"/>
  <c r="K1710" i="59"/>
  <c r="O1710" i="59" s="1"/>
  <c r="L1709" i="59"/>
  <c r="P1709" i="59" s="1"/>
  <c r="K1709" i="59"/>
  <c r="O1709" i="59" s="1"/>
  <c r="L1708" i="59"/>
  <c r="P1708" i="59" s="1"/>
  <c r="K1708" i="59"/>
  <c r="O1708" i="59" s="1"/>
  <c r="L1707" i="59"/>
  <c r="P1707" i="59" s="1"/>
  <c r="K1707" i="59"/>
  <c r="O1707" i="59" s="1"/>
  <c r="L1706" i="59"/>
  <c r="P1706" i="59" s="1"/>
  <c r="K1706" i="59"/>
  <c r="O1706" i="59" s="1"/>
  <c r="L849" i="59"/>
  <c r="P849" i="59" s="1"/>
  <c r="K849" i="59"/>
  <c r="O849" i="59" s="1"/>
  <c r="L953" i="59"/>
  <c r="P953" i="59" s="1"/>
  <c r="K953" i="59"/>
  <c r="O953" i="59" s="1"/>
  <c r="L1138" i="59"/>
  <c r="P1138" i="59" s="1"/>
  <c r="K1138" i="59"/>
  <c r="O1138" i="59" s="1"/>
  <c r="L1231" i="59"/>
  <c r="P1231" i="59" s="1"/>
  <c r="K1231" i="59"/>
  <c r="O1231" i="59" s="1"/>
  <c r="L1288" i="59"/>
  <c r="P1288" i="59" s="1"/>
  <c r="K1288" i="59"/>
  <c r="O1288" i="59" s="1"/>
  <c r="L1184" i="59"/>
  <c r="P1184" i="59" s="1"/>
  <c r="K1184" i="59"/>
  <c r="O1184" i="59" s="1"/>
  <c r="L1096" i="59"/>
  <c r="P1096" i="59" s="1"/>
  <c r="K1096" i="59"/>
  <c r="O1096" i="59" s="1"/>
  <c r="L1334" i="59"/>
  <c r="P1334" i="59" s="1"/>
  <c r="K1334" i="59"/>
  <c r="O1334" i="59" s="1"/>
  <c r="L1423" i="59"/>
  <c r="P1423" i="59" s="1"/>
  <c r="K1423" i="59"/>
  <c r="O1423" i="59" s="1"/>
  <c r="L1378" i="59"/>
  <c r="P1378" i="59" s="1"/>
  <c r="K1378" i="59"/>
  <c r="O1378" i="59" s="1"/>
  <c r="L1489" i="59"/>
  <c r="P1489" i="59" s="1"/>
  <c r="K1489" i="59"/>
  <c r="O1489" i="59" s="1"/>
  <c r="L889" i="59"/>
  <c r="P889" i="59" s="1"/>
  <c r="K889" i="59"/>
  <c r="O889" i="59" s="1"/>
  <c r="L1786" i="59"/>
  <c r="P1786" i="59" s="1"/>
  <c r="K1786" i="59"/>
  <c r="O1786" i="59" s="1"/>
  <c r="L1783" i="59"/>
  <c r="P1783" i="59" s="1"/>
  <c r="K1783" i="59"/>
  <c r="O1783" i="59" s="1"/>
  <c r="L1780" i="59"/>
  <c r="P1780" i="59" s="1"/>
  <c r="K1780" i="59"/>
  <c r="O1780" i="59" s="1"/>
  <c r="L1777" i="59"/>
  <c r="P1777" i="59" s="1"/>
  <c r="K1777" i="59"/>
  <c r="O1777" i="59" s="1"/>
  <c r="L1774" i="59"/>
  <c r="P1774" i="59" s="1"/>
  <c r="K1774" i="59"/>
  <c r="O1774" i="59" s="1"/>
  <c r="L1771" i="59"/>
  <c r="P1771" i="59" s="1"/>
  <c r="K1771" i="59"/>
  <c r="O1771" i="59" s="1"/>
  <c r="L1768" i="59"/>
  <c r="P1768" i="59" s="1"/>
  <c r="K1768" i="59"/>
  <c r="O1768" i="59" s="1"/>
  <c r="L1765" i="59"/>
  <c r="P1765" i="59" s="1"/>
  <c r="K1765" i="59"/>
  <c r="O1765" i="59" s="1"/>
  <c r="L1762" i="59"/>
  <c r="P1762" i="59" s="1"/>
  <c r="K1762" i="59"/>
  <c r="O1762" i="59" s="1"/>
  <c r="L1759" i="59"/>
  <c r="P1759" i="59" s="1"/>
  <c r="K1759" i="59"/>
  <c r="O1759" i="59" s="1"/>
  <c r="L1756" i="59"/>
  <c r="P1756" i="59" s="1"/>
  <c r="K1756" i="59"/>
  <c r="O1756" i="59" s="1"/>
  <c r="L1753" i="59"/>
  <c r="P1753" i="59" s="1"/>
  <c r="K1753" i="59"/>
  <c r="O1753" i="59" s="1"/>
  <c r="L1750" i="59"/>
  <c r="P1750" i="59" s="1"/>
  <c r="K1750" i="59"/>
  <c r="O1750" i="59" s="1"/>
  <c r="L1747" i="59"/>
  <c r="P1747" i="59" s="1"/>
  <c r="K1747" i="59"/>
  <c r="O1747" i="59" s="1"/>
  <c r="L1744" i="59"/>
  <c r="P1744" i="59" s="1"/>
  <c r="K1744" i="59"/>
  <c r="O1744" i="59" s="1"/>
  <c r="L1741" i="59"/>
  <c r="P1741" i="59" s="1"/>
  <c r="K1741" i="59"/>
  <c r="O1741" i="59" s="1"/>
  <c r="L1738" i="59"/>
  <c r="P1738" i="59" s="1"/>
  <c r="K1738" i="59"/>
  <c r="O1738" i="59" s="1"/>
  <c r="L1735" i="59"/>
  <c r="P1735" i="59" s="1"/>
  <c r="K1735" i="59"/>
  <c r="O1735" i="59" s="1"/>
  <c r="L1732" i="59"/>
  <c r="P1732" i="59" s="1"/>
  <c r="K1732" i="59"/>
  <c r="O1732" i="59" s="1"/>
  <c r="L1729" i="59"/>
  <c r="P1729" i="59" s="1"/>
  <c r="K1729" i="59"/>
  <c r="O1729" i="59" s="1"/>
  <c r="L1726" i="59"/>
  <c r="P1726" i="59" s="1"/>
  <c r="K1726" i="59"/>
  <c r="O1726" i="59" s="1"/>
  <c r="L1723" i="59"/>
  <c r="P1723" i="59" s="1"/>
  <c r="K1723" i="59"/>
  <c r="O1723" i="59" s="1"/>
  <c r="L1720" i="59"/>
  <c r="P1720" i="59" s="1"/>
  <c r="K1720" i="59"/>
  <c r="O1720" i="59" s="1"/>
  <c r="L1717" i="59"/>
  <c r="P1717" i="59" s="1"/>
  <c r="K1717" i="59"/>
  <c r="O1717" i="59" s="1"/>
  <c r="L1714" i="59"/>
  <c r="P1714" i="59" s="1"/>
  <c r="K1714" i="59"/>
  <c r="O1714" i="59" s="1"/>
  <c r="L1711" i="59"/>
  <c r="P1711" i="59" s="1"/>
  <c r="K1711" i="59"/>
  <c r="O1711" i="59" s="1"/>
  <c r="L1700" i="59"/>
  <c r="P1700" i="59" s="1"/>
  <c r="K1700" i="59"/>
  <c r="O1700" i="59" s="1"/>
  <c r="L1699" i="59"/>
  <c r="P1699" i="59" s="1"/>
  <c r="K1699" i="59"/>
  <c r="O1699" i="59" s="1"/>
  <c r="L1698" i="59"/>
  <c r="P1698" i="59" s="1"/>
  <c r="K1698" i="59"/>
  <c r="O1698" i="59" s="1"/>
  <c r="L1697" i="59"/>
  <c r="P1697" i="59" s="1"/>
  <c r="K1697" i="59"/>
  <c r="O1697" i="59" s="1"/>
  <c r="L1696" i="59"/>
  <c r="P1696" i="59" s="1"/>
  <c r="K1696" i="59"/>
  <c r="O1696" i="59" s="1"/>
  <c r="L1535" i="59"/>
  <c r="P1535" i="59" s="1"/>
  <c r="K1535" i="59"/>
  <c r="O1535" i="59" s="1"/>
  <c r="L1082" i="59"/>
  <c r="P1082" i="59" s="1"/>
  <c r="K1082" i="59"/>
  <c r="O1082" i="59" s="1"/>
  <c r="L1409" i="59"/>
  <c r="P1409" i="59" s="1"/>
  <c r="K1409" i="59"/>
  <c r="O1409" i="59" s="1"/>
  <c r="L837" i="59"/>
  <c r="P837" i="59" s="1"/>
  <c r="K837" i="59"/>
  <c r="O837" i="59" s="1"/>
  <c r="L1031" i="59"/>
  <c r="P1031" i="59" s="1"/>
  <c r="K1031" i="59"/>
  <c r="O1031" i="59" s="1"/>
  <c r="L1343" i="59"/>
  <c r="P1343" i="59" s="1"/>
  <c r="K1343" i="59"/>
  <c r="O1343" i="59" s="1"/>
  <c r="L1216" i="59"/>
  <c r="P1216" i="59" s="1"/>
  <c r="K1216" i="59"/>
  <c r="O1216" i="59" s="1"/>
  <c r="L760" i="59"/>
  <c r="P760" i="59" s="1"/>
  <c r="K760" i="59"/>
  <c r="O760" i="59" s="1"/>
  <c r="L780" i="59"/>
  <c r="P780" i="59" s="1"/>
  <c r="K780" i="59"/>
  <c r="O780" i="59" s="1"/>
  <c r="L939" i="59"/>
  <c r="P939" i="59" s="1"/>
  <c r="K939" i="59"/>
  <c r="O939" i="59" s="1"/>
  <c r="L819" i="59"/>
  <c r="P819" i="59" s="1"/>
  <c r="K819" i="59"/>
  <c r="O819" i="59" s="1"/>
  <c r="L1170" i="59"/>
  <c r="P1170" i="59" s="1"/>
  <c r="K1170" i="59"/>
  <c r="O1170" i="59" s="1"/>
  <c r="L1465" i="59"/>
  <c r="P1465" i="59" s="1"/>
  <c r="K1465" i="59"/>
  <c r="O1465" i="59" s="1"/>
  <c r="L1453" i="59"/>
  <c r="P1453" i="59" s="1"/>
  <c r="K1453" i="59"/>
  <c r="O1453" i="59" s="1"/>
  <c r="L899" i="59"/>
  <c r="P899" i="59" s="1"/>
  <c r="K899" i="59"/>
  <c r="O899" i="59" s="1"/>
  <c r="L1124" i="59"/>
  <c r="P1124" i="59" s="1"/>
  <c r="K1124" i="59"/>
  <c r="O1124" i="59" s="1"/>
  <c r="L1320" i="59"/>
  <c r="P1320" i="59" s="1"/>
  <c r="K1320" i="59"/>
  <c r="O1320" i="59" s="1"/>
  <c r="L1241" i="59"/>
  <c r="P1241" i="59" s="1"/>
  <c r="K1241" i="59"/>
  <c r="O1241" i="59" s="1"/>
  <c r="L1504" i="59"/>
  <c r="P1504" i="59" s="1"/>
  <c r="K1504" i="59"/>
  <c r="O1504" i="59" s="1"/>
  <c r="L1526" i="59"/>
  <c r="P1526" i="59" s="1"/>
  <c r="K1526" i="59"/>
  <c r="O1526" i="59" s="1"/>
  <c r="L862" i="59"/>
  <c r="P862" i="59" s="1"/>
  <c r="K862" i="59"/>
  <c r="O862" i="59" s="1"/>
  <c r="L919" i="59"/>
  <c r="P919" i="59" s="1"/>
  <c r="K919" i="59"/>
  <c r="O919" i="59" s="1"/>
  <c r="L997" i="59"/>
  <c r="P997" i="59" s="1"/>
  <c r="K997" i="59"/>
  <c r="O997" i="59" s="1"/>
  <c r="L848" i="59"/>
  <c r="P848" i="59" s="1"/>
  <c r="K848" i="59"/>
  <c r="O848" i="59" s="1"/>
  <c r="L952" i="59"/>
  <c r="P952" i="59" s="1"/>
  <c r="K952" i="59"/>
  <c r="O952" i="59" s="1"/>
  <c r="L1137" i="59"/>
  <c r="P1137" i="59" s="1"/>
  <c r="K1137" i="59"/>
  <c r="O1137" i="59" s="1"/>
  <c r="L1230" i="59"/>
  <c r="P1230" i="59" s="1"/>
  <c r="K1230" i="59"/>
  <c r="O1230" i="59" s="1"/>
  <c r="L1287" i="59"/>
  <c r="P1287" i="59" s="1"/>
  <c r="K1287" i="59"/>
  <c r="O1287" i="59" s="1"/>
  <c r="L1183" i="59"/>
  <c r="P1183" i="59" s="1"/>
  <c r="K1183" i="59"/>
  <c r="O1183" i="59" s="1"/>
  <c r="L1095" i="59"/>
  <c r="P1095" i="59" s="1"/>
  <c r="K1095" i="59"/>
  <c r="O1095" i="59" s="1"/>
  <c r="L1333" i="59"/>
  <c r="P1333" i="59" s="1"/>
  <c r="K1333" i="59"/>
  <c r="O1333" i="59" s="1"/>
  <c r="L1422" i="59"/>
  <c r="P1422" i="59" s="1"/>
  <c r="K1422" i="59"/>
  <c r="O1422" i="59" s="1"/>
  <c r="L1377" i="59"/>
  <c r="P1377" i="59" s="1"/>
  <c r="K1377" i="59"/>
  <c r="O1377" i="59" s="1"/>
  <c r="L1488" i="59"/>
  <c r="P1488" i="59" s="1"/>
  <c r="K1488" i="59"/>
  <c r="O1488" i="59" s="1"/>
  <c r="L1398" i="59"/>
  <c r="P1398" i="59" s="1"/>
  <c r="K1398" i="59"/>
  <c r="O1398" i="59" s="1"/>
  <c r="L1115" i="59"/>
  <c r="P1115" i="59" s="1"/>
  <c r="K1115" i="59"/>
  <c r="O1115" i="59" s="1"/>
  <c r="L1357" i="59"/>
  <c r="P1357" i="59" s="1"/>
  <c r="K1357" i="59"/>
  <c r="O1357" i="59" s="1"/>
  <c r="L1441" i="59"/>
  <c r="P1441" i="59" s="1"/>
  <c r="K1441" i="59"/>
  <c r="O1441" i="59" s="1"/>
  <c r="L1158" i="59"/>
  <c r="P1158" i="59" s="1"/>
  <c r="K1158" i="59"/>
  <c r="O1158" i="59" s="1"/>
  <c r="L1204" i="59"/>
  <c r="P1204" i="59" s="1"/>
  <c r="K1204" i="59"/>
  <c r="O1204" i="59" s="1"/>
  <c r="L1308" i="59"/>
  <c r="P1308" i="59" s="1"/>
  <c r="K1308" i="59"/>
  <c r="O1308" i="59" s="1"/>
  <c r="L1268" i="59"/>
  <c r="P1268" i="59" s="1"/>
  <c r="K1268" i="59"/>
  <c r="O1268" i="59" s="1"/>
  <c r="L1011" i="59"/>
  <c r="P1011" i="59" s="1"/>
  <c r="K1011" i="59"/>
  <c r="O1011" i="59" s="1"/>
  <c r="L983" i="59"/>
  <c r="P983" i="59" s="1"/>
  <c r="K983" i="59"/>
  <c r="O983" i="59" s="1"/>
  <c r="L1069" i="59"/>
  <c r="P1069" i="59" s="1"/>
  <c r="K1069" i="59"/>
  <c r="O1069" i="59" s="1"/>
  <c r="L1065" i="59"/>
  <c r="P1065" i="59" s="1"/>
  <c r="K1065" i="59"/>
  <c r="O1065" i="59" s="1"/>
  <c r="L1061" i="59"/>
  <c r="P1061" i="59" s="1"/>
  <c r="K1061" i="59"/>
  <c r="O1061" i="59" s="1"/>
  <c r="L1057" i="59"/>
  <c r="P1057" i="59" s="1"/>
  <c r="K1057" i="59"/>
  <c r="O1057" i="59" s="1"/>
  <c r="L1053" i="59"/>
  <c r="P1053" i="59" s="1"/>
  <c r="K1053" i="59"/>
  <c r="O1053" i="59" s="1"/>
  <c r="L1051" i="59"/>
  <c r="P1051" i="59" s="1"/>
  <c r="K1051" i="59"/>
  <c r="O1051" i="59" s="1"/>
  <c r="L1255" i="59"/>
  <c r="P1255" i="59" s="1"/>
  <c r="K1255" i="59"/>
  <c r="O1255" i="59" s="1"/>
  <c r="L1705" i="59"/>
  <c r="P1705" i="59" s="1"/>
  <c r="K1705" i="59"/>
  <c r="O1705" i="59" s="1"/>
  <c r="L1704" i="59"/>
  <c r="P1704" i="59" s="1"/>
  <c r="K1704" i="59"/>
  <c r="O1704" i="59" s="1"/>
  <c r="L1703" i="59"/>
  <c r="P1703" i="59" s="1"/>
  <c r="K1703" i="59"/>
  <c r="O1703" i="59" s="1"/>
  <c r="L1702" i="59"/>
  <c r="P1702" i="59" s="1"/>
  <c r="K1702" i="59"/>
  <c r="O1702" i="59" s="1"/>
  <c r="L1701" i="59"/>
  <c r="P1701" i="59" s="1"/>
  <c r="K1701" i="59"/>
  <c r="O1701" i="59" s="1"/>
  <c r="L891" i="59"/>
  <c r="P891" i="59" s="1"/>
  <c r="K891" i="59"/>
  <c r="O891" i="59" s="1"/>
  <c r="L890" i="59"/>
  <c r="P890" i="59" s="1"/>
  <c r="K890" i="59"/>
  <c r="O890" i="59" s="1"/>
  <c r="L1806" i="59"/>
  <c r="P1806" i="59" s="1"/>
  <c r="K1806" i="59"/>
  <c r="O1806" i="59" s="1"/>
  <c r="L1805" i="59"/>
  <c r="P1805" i="59" s="1"/>
  <c r="K1805" i="59"/>
  <c r="O1805" i="59" s="1"/>
  <c r="L1804" i="59"/>
  <c r="P1804" i="59" s="1"/>
  <c r="K1804" i="59"/>
  <c r="O1804" i="59" s="1"/>
  <c r="L1695" i="59"/>
  <c r="P1695" i="59" s="1"/>
  <c r="K1695" i="59"/>
  <c r="O1695" i="59" s="1"/>
  <c r="L1694" i="59"/>
  <c r="P1694" i="59" s="1"/>
  <c r="K1694" i="59"/>
  <c r="O1694" i="59" s="1"/>
  <c r="L1693" i="59"/>
  <c r="P1693" i="59" s="1"/>
  <c r="K1693" i="59"/>
  <c r="O1693" i="59" s="1"/>
  <c r="L1692" i="59"/>
  <c r="P1692" i="59" s="1"/>
  <c r="K1692" i="59"/>
  <c r="O1692" i="59" s="1"/>
  <c r="L1691" i="59"/>
  <c r="P1691" i="59" s="1"/>
  <c r="K1691" i="59"/>
  <c r="O1691" i="59" s="1"/>
  <c r="L1690" i="59"/>
  <c r="P1690" i="59" s="1"/>
  <c r="K1690" i="59"/>
  <c r="O1690" i="59" s="1"/>
  <c r="L1689" i="59"/>
  <c r="P1689" i="59" s="1"/>
  <c r="K1689" i="59"/>
  <c r="O1689" i="59" s="1"/>
  <c r="L1688" i="59"/>
  <c r="P1688" i="59" s="1"/>
  <c r="K1688" i="59"/>
  <c r="O1688" i="59" s="1"/>
  <c r="L1687" i="59"/>
  <c r="P1687" i="59" s="1"/>
  <c r="K1687" i="59"/>
  <c r="O1687" i="59" s="1"/>
  <c r="L1686" i="59"/>
  <c r="P1686" i="59" s="1"/>
  <c r="K1686" i="59"/>
  <c r="O1686" i="59" s="1"/>
  <c r="L1685" i="59"/>
  <c r="P1685" i="59" s="1"/>
  <c r="K1685" i="59"/>
  <c r="O1685" i="59" s="1"/>
  <c r="L1684" i="59"/>
  <c r="P1684" i="59" s="1"/>
  <c r="K1684" i="59"/>
  <c r="O1684" i="59" s="1"/>
  <c r="L847" i="59"/>
  <c r="P847" i="59" s="1"/>
  <c r="K847" i="59"/>
  <c r="O847" i="59" s="1"/>
  <c r="L951" i="59"/>
  <c r="P951" i="59" s="1"/>
  <c r="K951" i="59"/>
  <c r="O951" i="59" s="1"/>
  <c r="L1136" i="59"/>
  <c r="P1136" i="59" s="1"/>
  <c r="K1136" i="59"/>
  <c r="O1136" i="59" s="1"/>
  <c r="L1229" i="59"/>
  <c r="P1229" i="59" s="1"/>
  <c r="K1229" i="59"/>
  <c r="O1229" i="59" s="1"/>
  <c r="L1286" i="59"/>
  <c r="P1286" i="59" s="1"/>
  <c r="K1286" i="59"/>
  <c r="O1286" i="59" s="1"/>
  <c r="L1182" i="59"/>
  <c r="P1182" i="59" s="1"/>
  <c r="K1182" i="59"/>
  <c r="O1182" i="59" s="1"/>
  <c r="L1094" i="59"/>
  <c r="P1094" i="59" s="1"/>
  <c r="K1094" i="59"/>
  <c r="O1094" i="59" s="1"/>
  <c r="L1332" i="59"/>
  <c r="P1332" i="59" s="1"/>
  <c r="K1332" i="59"/>
  <c r="O1332" i="59" s="1"/>
  <c r="L1421" i="59"/>
  <c r="P1421" i="59" s="1"/>
  <c r="K1421" i="59"/>
  <c r="O1421" i="59" s="1"/>
  <c r="L1376" i="59"/>
  <c r="P1376" i="59" s="1"/>
  <c r="K1376" i="59"/>
  <c r="O1376" i="59" s="1"/>
  <c r="L1487" i="59"/>
  <c r="P1487" i="59" s="1"/>
  <c r="K1487" i="59"/>
  <c r="O1487" i="59" s="1"/>
  <c r="L768" i="59"/>
  <c r="P768" i="59" s="1"/>
  <c r="K768" i="59"/>
  <c r="O768" i="59" s="1"/>
  <c r="L1386" i="59"/>
  <c r="P1386" i="59" s="1"/>
  <c r="K1386" i="59"/>
  <c r="O1386" i="59" s="1"/>
  <c r="L1192" i="59"/>
  <c r="P1192" i="59" s="1"/>
  <c r="K1192" i="59"/>
  <c r="O1192" i="59" s="1"/>
  <c r="L806" i="59"/>
  <c r="P806" i="59" s="1"/>
  <c r="K806" i="59"/>
  <c r="O806" i="59" s="1"/>
  <c r="L879" i="59"/>
  <c r="P879" i="59" s="1"/>
  <c r="K879" i="59"/>
  <c r="O879" i="59" s="1"/>
  <c r="L1476" i="59"/>
  <c r="P1476" i="59" s="1"/>
  <c r="K1476" i="59"/>
  <c r="O1476" i="59" s="1"/>
  <c r="L872" i="59"/>
  <c r="P872" i="59" s="1"/>
  <c r="K872" i="59"/>
  <c r="O872" i="59" s="1"/>
  <c r="L1105" i="59"/>
  <c r="P1105" i="59" s="1"/>
  <c r="K1105" i="59"/>
  <c r="O1105" i="59" s="1"/>
  <c r="L909" i="59"/>
  <c r="P909" i="59" s="1"/>
  <c r="K909" i="59"/>
  <c r="O909" i="59" s="1"/>
  <c r="L826" i="59"/>
  <c r="P826" i="59" s="1"/>
  <c r="K826" i="59"/>
  <c r="O826" i="59" s="1"/>
  <c r="L1296" i="59"/>
  <c r="P1296" i="59" s="1"/>
  <c r="K1296" i="59"/>
  <c r="O1296" i="59" s="1"/>
  <c r="L1146" i="59"/>
  <c r="P1146" i="59" s="1"/>
  <c r="K1146" i="59"/>
  <c r="O1146" i="59" s="1"/>
  <c r="L788" i="59"/>
  <c r="P788" i="59" s="1"/>
  <c r="K788" i="59"/>
  <c r="O788" i="59" s="1"/>
  <c r="L1023" i="59"/>
  <c r="P1023" i="59" s="1"/>
  <c r="K1023" i="59"/>
  <c r="O1023" i="59" s="1"/>
  <c r="L927" i="59"/>
  <c r="P927" i="59" s="1"/>
  <c r="K927" i="59"/>
  <c r="O927" i="59" s="1"/>
  <c r="L1397" i="59"/>
  <c r="P1397" i="59" s="1"/>
  <c r="K1397" i="59"/>
  <c r="O1397" i="59" s="1"/>
  <c r="L1114" i="59"/>
  <c r="P1114" i="59" s="1"/>
  <c r="K1114" i="59"/>
  <c r="O1114" i="59" s="1"/>
  <c r="L1356" i="59"/>
  <c r="P1356" i="59" s="1"/>
  <c r="K1356" i="59"/>
  <c r="O1356" i="59" s="1"/>
  <c r="L1440" i="59"/>
  <c r="P1440" i="59" s="1"/>
  <c r="K1440" i="59"/>
  <c r="O1440" i="59" s="1"/>
  <c r="L1157" i="59"/>
  <c r="P1157" i="59" s="1"/>
  <c r="K1157" i="59"/>
  <c r="O1157" i="59" s="1"/>
  <c r="L1203" i="59"/>
  <c r="P1203" i="59" s="1"/>
  <c r="K1203" i="59"/>
  <c r="O1203" i="59" s="1"/>
  <c r="L1307" i="59"/>
  <c r="P1307" i="59" s="1"/>
  <c r="K1307" i="59"/>
  <c r="O1307" i="59" s="1"/>
  <c r="L978" i="59"/>
  <c r="P978" i="59" s="1"/>
  <c r="K978" i="59"/>
  <c r="O978" i="59" s="1"/>
  <c r="L973" i="59"/>
  <c r="P973" i="59" s="1"/>
  <c r="K973" i="59"/>
  <c r="O973" i="59" s="1"/>
  <c r="L968" i="59"/>
  <c r="P968" i="59" s="1"/>
  <c r="K968" i="59"/>
  <c r="O968" i="59" s="1"/>
  <c r="L963" i="59"/>
  <c r="P963" i="59" s="1"/>
  <c r="K963" i="59"/>
  <c r="O963" i="59" s="1"/>
  <c r="L958" i="59"/>
  <c r="P958" i="59" s="1"/>
  <c r="K958" i="59"/>
  <c r="O958" i="59" s="1"/>
  <c r="L1254" i="59"/>
  <c r="P1254" i="59" s="1"/>
  <c r="K1254" i="59"/>
  <c r="O1254" i="59" s="1"/>
  <c r="L1803" i="59"/>
  <c r="P1803" i="59" s="1"/>
  <c r="K1803" i="59"/>
  <c r="O1803" i="59" s="1"/>
  <c r="L1802" i="59"/>
  <c r="P1802" i="59" s="1"/>
  <c r="K1802" i="59"/>
  <c r="O1802" i="59" s="1"/>
  <c r="L1683" i="59"/>
  <c r="P1683" i="59" s="1"/>
  <c r="K1683" i="59"/>
  <c r="O1683" i="59" s="1"/>
  <c r="L1682" i="59"/>
  <c r="P1682" i="59" s="1"/>
  <c r="K1682" i="59"/>
  <c r="O1682" i="59" s="1"/>
  <c r="L1681" i="59"/>
  <c r="P1681" i="59" s="1"/>
  <c r="K1681" i="59"/>
  <c r="O1681" i="59" s="1"/>
  <c r="L1609" i="59"/>
  <c r="P1609" i="59" s="1"/>
  <c r="K1609" i="59"/>
  <c r="O1609" i="59" s="1"/>
  <c r="L1605" i="59"/>
  <c r="P1605" i="59" s="1"/>
  <c r="K1605" i="59"/>
  <c r="O1605" i="59" s="1"/>
  <c r="L1601" i="59"/>
  <c r="P1601" i="59" s="1"/>
  <c r="K1601" i="59"/>
  <c r="O1601" i="59" s="1"/>
  <c r="L1597" i="59"/>
  <c r="P1597" i="59" s="1"/>
  <c r="K1597" i="59"/>
  <c r="O1597" i="59" s="1"/>
  <c r="L1593" i="59"/>
  <c r="P1593" i="59" s="1"/>
  <c r="K1593" i="59"/>
  <c r="O1593" i="59" s="1"/>
  <c r="L1801" i="59"/>
  <c r="P1801" i="59" s="1"/>
  <c r="K1801" i="59"/>
  <c r="O1801" i="59" s="1"/>
  <c r="L1800" i="59"/>
  <c r="P1800" i="59" s="1"/>
  <c r="K1800" i="59"/>
  <c r="O1800" i="59" s="1"/>
  <c r="L1799" i="59"/>
  <c r="P1799" i="59" s="1"/>
  <c r="K1799" i="59"/>
  <c r="O1799" i="59" s="1"/>
  <c r="L1798" i="59"/>
  <c r="P1798" i="59" s="1"/>
  <c r="K1798" i="59"/>
  <c r="O1798" i="59" s="1"/>
  <c r="L1797" i="59"/>
  <c r="P1797" i="59" s="1"/>
  <c r="K1797" i="59"/>
  <c r="O1797" i="59" s="1"/>
  <c r="L1680" i="59"/>
  <c r="P1680" i="59" s="1"/>
  <c r="K1680" i="59"/>
  <c r="O1680" i="59" s="1"/>
  <c r="L1679" i="59"/>
  <c r="P1679" i="59" s="1"/>
  <c r="K1679" i="59"/>
  <c r="O1679" i="59" s="1"/>
  <c r="L1678" i="59"/>
  <c r="P1678" i="59" s="1"/>
  <c r="K1678" i="59"/>
  <c r="O1678" i="59" s="1"/>
  <c r="L1677" i="59"/>
  <c r="P1677" i="59" s="1"/>
  <c r="K1677" i="59"/>
  <c r="O1677" i="59" s="1"/>
  <c r="L1676" i="59"/>
  <c r="P1676" i="59" s="1"/>
  <c r="K1676" i="59"/>
  <c r="O1676" i="59" s="1"/>
  <c r="L1588" i="59"/>
  <c r="P1588" i="59" s="1"/>
  <c r="K1588" i="59"/>
  <c r="O1588" i="59" s="1"/>
  <c r="L1592" i="59"/>
  <c r="P1592" i="59" s="1"/>
  <c r="K1592" i="59"/>
  <c r="O1592" i="59" s="1"/>
  <c r="L1584" i="59"/>
  <c r="P1584" i="59" s="1"/>
  <c r="K1584" i="59"/>
  <c r="O1584" i="59" s="1"/>
  <c r="L1580" i="59"/>
  <c r="P1580" i="59" s="1"/>
  <c r="K1580" i="59"/>
  <c r="O1580" i="59" s="1"/>
  <c r="L1576" i="59"/>
  <c r="P1576" i="59" s="1"/>
  <c r="K1576" i="59"/>
  <c r="O1576" i="59" s="1"/>
  <c r="L1787" i="59"/>
  <c r="P1787" i="59" s="1"/>
  <c r="K1787" i="59"/>
  <c r="O1787" i="59" s="1"/>
  <c r="L1784" i="59"/>
  <c r="P1784" i="59" s="1"/>
  <c r="K1784" i="59"/>
  <c r="O1784" i="59" s="1"/>
  <c r="L1781" i="59"/>
  <c r="P1781" i="59" s="1"/>
  <c r="K1781" i="59"/>
  <c r="O1781" i="59" s="1"/>
  <c r="L1778" i="59"/>
  <c r="P1778" i="59" s="1"/>
  <c r="K1778" i="59"/>
  <c r="O1778" i="59" s="1"/>
  <c r="L1775" i="59"/>
  <c r="P1775" i="59" s="1"/>
  <c r="K1775" i="59"/>
  <c r="O1775" i="59" s="1"/>
  <c r="L1772" i="59"/>
  <c r="P1772" i="59" s="1"/>
  <c r="K1772" i="59"/>
  <c r="O1772" i="59" s="1"/>
  <c r="L1769" i="59"/>
  <c r="P1769" i="59" s="1"/>
  <c r="K1769" i="59"/>
  <c r="O1769" i="59" s="1"/>
  <c r="L1766" i="59"/>
  <c r="P1766" i="59" s="1"/>
  <c r="K1766" i="59"/>
  <c r="O1766" i="59" s="1"/>
  <c r="L1763" i="59"/>
  <c r="P1763" i="59" s="1"/>
  <c r="K1763" i="59"/>
  <c r="O1763" i="59" s="1"/>
  <c r="L1760" i="59"/>
  <c r="P1760" i="59" s="1"/>
  <c r="K1760" i="59"/>
  <c r="O1760" i="59" s="1"/>
  <c r="L1757" i="59"/>
  <c r="P1757" i="59" s="1"/>
  <c r="K1757" i="59"/>
  <c r="O1757" i="59" s="1"/>
  <c r="L1754" i="59"/>
  <c r="P1754" i="59" s="1"/>
  <c r="K1754" i="59"/>
  <c r="O1754" i="59" s="1"/>
  <c r="L1751" i="59"/>
  <c r="P1751" i="59" s="1"/>
  <c r="K1751" i="59"/>
  <c r="O1751" i="59" s="1"/>
  <c r="L1748" i="59"/>
  <c r="P1748" i="59" s="1"/>
  <c r="K1748" i="59"/>
  <c r="O1748" i="59" s="1"/>
  <c r="L1745" i="59"/>
  <c r="P1745" i="59" s="1"/>
  <c r="K1745" i="59"/>
  <c r="O1745" i="59" s="1"/>
  <c r="L1742" i="59"/>
  <c r="P1742" i="59" s="1"/>
  <c r="K1742" i="59"/>
  <c r="O1742" i="59" s="1"/>
  <c r="L1739" i="59"/>
  <c r="P1739" i="59" s="1"/>
  <c r="K1739" i="59"/>
  <c r="O1739" i="59" s="1"/>
  <c r="L1736" i="59"/>
  <c r="P1736" i="59" s="1"/>
  <c r="K1736" i="59"/>
  <c r="O1736" i="59" s="1"/>
  <c r="L1733" i="59"/>
  <c r="P1733" i="59" s="1"/>
  <c r="K1733" i="59"/>
  <c r="O1733" i="59" s="1"/>
  <c r="L1730" i="59"/>
  <c r="P1730" i="59" s="1"/>
  <c r="K1730" i="59"/>
  <c r="O1730" i="59" s="1"/>
  <c r="L1727" i="59"/>
  <c r="P1727" i="59" s="1"/>
  <c r="K1727" i="59"/>
  <c r="O1727" i="59" s="1"/>
  <c r="L1724" i="59"/>
  <c r="P1724" i="59" s="1"/>
  <c r="K1724" i="59"/>
  <c r="O1724" i="59" s="1"/>
  <c r="L1721" i="59"/>
  <c r="P1721" i="59" s="1"/>
  <c r="K1721" i="59"/>
  <c r="O1721" i="59" s="1"/>
  <c r="L1718" i="59"/>
  <c r="P1718" i="59" s="1"/>
  <c r="K1718" i="59"/>
  <c r="O1718" i="59" s="1"/>
  <c r="L1715" i="59"/>
  <c r="P1715" i="59" s="1"/>
  <c r="K1715" i="59"/>
  <c r="O1715" i="59" s="1"/>
  <c r="L1712" i="59"/>
  <c r="P1712" i="59" s="1"/>
  <c r="K1712" i="59"/>
  <c r="O1712" i="59" s="1"/>
  <c r="L1399" i="59"/>
  <c r="P1399" i="59" s="1"/>
  <c r="K1399" i="59"/>
  <c r="O1399" i="59" s="1"/>
  <c r="L1116" i="59"/>
  <c r="P1116" i="59" s="1"/>
  <c r="K1116" i="59"/>
  <c r="O1116" i="59" s="1"/>
  <c r="L1358" i="59"/>
  <c r="P1358" i="59" s="1"/>
  <c r="K1358" i="59"/>
  <c r="O1358" i="59" s="1"/>
  <c r="L1442" i="59"/>
  <c r="P1442" i="59" s="1"/>
  <c r="K1442" i="59"/>
  <c r="O1442" i="59" s="1"/>
  <c r="L1159" i="59"/>
  <c r="P1159" i="59" s="1"/>
  <c r="K1159" i="59"/>
  <c r="O1159" i="59" s="1"/>
  <c r="L1205" i="59"/>
  <c r="P1205" i="59" s="1"/>
  <c r="K1205" i="59"/>
  <c r="O1205" i="59" s="1"/>
  <c r="L1309" i="59"/>
  <c r="P1309" i="59" s="1"/>
  <c r="K1309" i="59"/>
  <c r="O1309" i="59" s="1"/>
  <c r="L1014" i="59"/>
  <c r="P1014" i="59" s="1"/>
  <c r="K1014" i="59"/>
  <c r="O1014" i="59" s="1"/>
  <c r="L986" i="59"/>
  <c r="P986" i="59" s="1"/>
  <c r="K986" i="59"/>
  <c r="O986" i="59" s="1"/>
  <c r="L985" i="59"/>
  <c r="P985" i="59" s="1"/>
  <c r="K985" i="59"/>
  <c r="O985" i="59" s="1"/>
  <c r="L984" i="59"/>
  <c r="P984" i="59" s="1"/>
  <c r="K984" i="59"/>
  <c r="O984" i="59" s="1"/>
  <c r="L980" i="59"/>
  <c r="P980" i="59" s="1"/>
  <c r="K980" i="59"/>
  <c r="O980" i="59" s="1"/>
  <c r="L975" i="59"/>
  <c r="P975" i="59" s="1"/>
  <c r="K975" i="59"/>
  <c r="O975" i="59" s="1"/>
  <c r="L970" i="59"/>
  <c r="P970" i="59" s="1"/>
  <c r="K970" i="59"/>
  <c r="O970" i="59" s="1"/>
  <c r="L965" i="59"/>
  <c r="P965" i="59" s="1"/>
  <c r="K965" i="59"/>
  <c r="O965" i="59" s="1"/>
  <c r="L960" i="59"/>
  <c r="P960" i="59" s="1"/>
  <c r="K960" i="59"/>
  <c r="O960" i="59" s="1"/>
  <c r="L1070" i="59"/>
  <c r="P1070" i="59" s="1"/>
  <c r="K1070" i="59"/>
  <c r="O1070" i="59" s="1"/>
  <c r="L1066" i="59"/>
  <c r="P1066" i="59" s="1"/>
  <c r="K1066" i="59"/>
  <c r="O1066" i="59" s="1"/>
  <c r="L1062" i="59"/>
  <c r="P1062" i="59" s="1"/>
  <c r="K1062" i="59"/>
  <c r="O1062" i="59" s="1"/>
  <c r="L1058" i="59"/>
  <c r="P1058" i="59" s="1"/>
  <c r="K1058" i="59"/>
  <c r="O1058" i="59" s="1"/>
  <c r="L1054" i="59"/>
  <c r="P1054" i="59" s="1"/>
  <c r="K1054" i="59"/>
  <c r="O1054" i="59" s="1"/>
  <c r="L1256" i="59"/>
  <c r="P1256" i="59" s="1"/>
  <c r="K1256" i="59"/>
  <c r="O1256" i="59" s="1"/>
  <c r="L1052" i="59"/>
  <c r="P1052" i="59" s="1"/>
  <c r="K1052" i="59"/>
  <c r="O1052" i="59" s="1"/>
  <c r="L1277" i="59"/>
  <c r="P1277" i="59" s="1"/>
  <c r="K1277" i="59"/>
  <c r="O1277" i="59" s="1"/>
  <c r="L1274" i="59"/>
  <c r="P1274" i="59" s="1"/>
  <c r="K1274" i="59"/>
  <c r="O1274" i="59" s="1"/>
  <c r="L1072" i="59"/>
  <c r="P1072" i="59" s="1"/>
  <c r="K1072" i="59"/>
  <c r="O1072" i="59" s="1"/>
  <c r="L1068" i="59"/>
  <c r="P1068" i="59" s="1"/>
  <c r="K1068" i="59"/>
  <c r="O1068" i="59" s="1"/>
  <c r="L1064" i="59"/>
  <c r="P1064" i="59" s="1"/>
  <c r="K1064" i="59"/>
  <c r="O1064" i="59" s="1"/>
  <c r="L1060" i="59"/>
  <c r="P1060" i="59" s="1"/>
  <c r="K1060" i="59"/>
  <c r="O1060" i="59" s="1"/>
  <c r="L1056" i="59"/>
  <c r="P1056" i="59" s="1"/>
  <c r="K1056" i="59"/>
  <c r="O1056" i="59" s="1"/>
  <c r="K1537" i="59"/>
  <c r="O1537" i="59" s="1"/>
  <c r="L1470" i="59"/>
  <c r="P1470" i="59" s="1"/>
  <c r="K1470" i="59"/>
  <c r="O1470" i="59" s="1"/>
  <c r="L1367" i="59"/>
  <c r="P1367" i="59" s="1"/>
  <c r="K1367" i="59"/>
  <c r="O1367" i="59" s="1"/>
  <c r="L1513" i="59"/>
  <c r="P1513" i="59" s="1"/>
  <c r="K1513" i="59"/>
  <c r="O1513" i="59" s="1"/>
  <c r="L1519" i="59"/>
  <c r="P1519" i="59" s="1"/>
  <c r="K1519" i="59"/>
  <c r="O1519" i="59" s="1"/>
  <c r="L1497" i="59"/>
  <c r="P1497" i="59" s="1"/>
  <c r="K1497" i="59"/>
  <c r="O1497" i="59" s="1"/>
  <c r="L1431" i="59"/>
  <c r="P1431" i="59" s="1"/>
  <c r="K1431" i="59"/>
  <c r="O1431" i="59" s="1"/>
  <c r="L1388" i="59"/>
  <c r="P1388" i="59" s="1"/>
  <c r="K1388" i="59"/>
  <c r="O1388" i="59" s="1"/>
  <c r="L1194" i="59"/>
  <c r="P1194" i="59" s="1"/>
  <c r="K1194" i="59"/>
  <c r="O1194" i="59" s="1"/>
  <c r="L1478" i="59"/>
  <c r="P1478" i="59" s="1"/>
  <c r="K1478" i="59"/>
  <c r="O1478" i="59" s="1"/>
  <c r="L1298" i="59"/>
  <c r="P1298" i="59" s="1"/>
  <c r="K1298" i="59"/>
  <c r="O1298" i="59" s="1"/>
  <c r="L1148" i="59"/>
  <c r="P1148" i="59" s="1"/>
  <c r="K1148" i="59"/>
  <c r="O1148" i="59" s="1"/>
  <c r="L1220" i="59"/>
  <c r="P1220" i="59" s="1"/>
  <c r="K1220" i="59"/>
  <c r="O1220" i="59" s="1"/>
  <c r="L1071" i="59"/>
  <c r="P1071" i="59" s="1"/>
  <c r="K1071" i="59"/>
  <c r="O1071" i="59" s="1"/>
  <c r="L1067" i="59"/>
  <c r="P1067" i="59" s="1"/>
  <c r="K1067" i="59"/>
  <c r="O1067" i="59" s="1"/>
  <c r="L1063" i="59"/>
  <c r="P1063" i="59" s="1"/>
  <c r="K1063" i="59"/>
  <c r="O1063" i="59" s="1"/>
  <c r="L1059" i="59"/>
  <c r="P1059" i="59" s="1"/>
  <c r="K1059" i="59"/>
  <c r="O1059" i="59" s="1"/>
  <c r="L1055" i="59"/>
  <c r="P1055" i="59" s="1"/>
  <c r="K1055" i="59"/>
  <c r="O1055" i="59" s="1"/>
  <c r="L1469" i="59"/>
  <c r="P1469" i="59" s="1"/>
  <c r="K1469" i="59"/>
  <c r="O1469" i="59" s="1"/>
  <c r="L1387" i="59"/>
  <c r="P1387" i="59" s="1"/>
  <c r="K1387" i="59"/>
  <c r="O1387" i="59" s="1"/>
  <c r="L1193" i="59"/>
  <c r="P1193" i="59" s="1"/>
  <c r="K1193" i="59"/>
  <c r="O1193" i="59" s="1"/>
  <c r="L1477" i="59"/>
  <c r="P1477" i="59" s="1"/>
  <c r="K1477" i="59"/>
  <c r="O1477" i="59" s="1"/>
  <c r="L1297" i="59"/>
  <c r="P1297" i="59" s="1"/>
  <c r="K1297" i="59"/>
  <c r="O1297" i="59" s="1"/>
  <c r="L1147" i="59"/>
  <c r="P1147" i="59" s="1"/>
  <c r="K1147" i="59"/>
  <c r="O1147" i="59" s="1"/>
  <c r="L1016" i="59"/>
  <c r="P1016" i="59" s="1"/>
  <c r="K1016" i="59"/>
  <c r="O1016" i="59" s="1"/>
  <c r="L851" i="59"/>
  <c r="P851" i="59" s="1"/>
  <c r="K851" i="59"/>
  <c r="O851" i="59" s="1"/>
  <c r="L1366" i="59"/>
  <c r="P1366" i="59" s="1"/>
  <c r="K1366" i="59"/>
  <c r="O1366" i="59" s="1"/>
  <c r="L1512" i="59"/>
  <c r="P1512" i="59" s="1"/>
  <c r="K1512" i="59"/>
  <c r="O1512" i="59" s="1"/>
  <c r="L1518" i="59"/>
  <c r="P1518" i="59" s="1"/>
  <c r="K1518" i="59"/>
  <c r="O1518" i="59" s="1"/>
  <c r="L1496" i="59"/>
  <c r="P1496" i="59" s="1"/>
  <c r="K1496" i="59"/>
  <c r="O1496" i="59" s="1"/>
  <c r="L1430" i="59"/>
  <c r="P1430" i="59" s="1"/>
  <c r="K1430" i="59"/>
  <c r="O1430" i="59" s="1"/>
  <c r="L1276" i="59"/>
  <c r="P1276" i="59" s="1"/>
  <c r="K1276" i="59"/>
  <c r="O1276" i="59" s="1"/>
  <c r="L1273" i="59"/>
  <c r="P1273" i="59" s="1"/>
  <c r="K1273" i="59"/>
  <c r="O1273" i="59" s="1"/>
  <c r="L1015" i="59"/>
  <c r="P1015" i="59" s="1"/>
  <c r="K1015" i="59"/>
  <c r="O1015" i="59" s="1"/>
  <c r="L1049" i="59"/>
  <c r="P1049" i="59" s="1"/>
  <c r="K1049" i="59"/>
  <c r="O1049" i="59" s="1"/>
  <c r="L1046" i="59"/>
  <c r="P1046" i="59" s="1"/>
  <c r="K1046" i="59"/>
  <c r="O1046" i="59" s="1"/>
  <c r="L1043" i="59"/>
  <c r="P1043" i="59" s="1"/>
  <c r="K1043" i="59"/>
  <c r="O1043" i="59" s="1"/>
  <c r="K1536" i="59"/>
  <c r="O1536" i="59" s="1"/>
  <c r="M1242" i="59"/>
  <c r="Q1242" i="59" s="1"/>
  <c r="L1242" i="59"/>
  <c r="P1242" i="59" s="1"/>
  <c r="K1242" i="59"/>
  <c r="O1242" i="59" s="1"/>
  <c r="M1527" i="59"/>
  <c r="Q1527" i="59" s="1"/>
  <c r="L1527" i="59"/>
  <c r="P1527" i="59" s="1"/>
  <c r="K1527" i="59"/>
  <c r="O1527" i="59" s="1"/>
  <c r="M1364" i="59"/>
  <c r="Q1364" i="59" s="1"/>
  <c r="L1364" i="59"/>
  <c r="P1364" i="59" s="1"/>
  <c r="K1364" i="59"/>
  <c r="O1364" i="59" s="1"/>
  <c r="M1510" i="59"/>
  <c r="Q1510" i="59" s="1"/>
  <c r="L1510" i="59"/>
  <c r="P1510" i="59" s="1"/>
  <c r="K1510" i="59"/>
  <c r="O1510" i="59" s="1"/>
  <c r="M1516" i="59"/>
  <c r="Q1516" i="59" s="1"/>
  <c r="L1516" i="59"/>
  <c r="P1516" i="59" s="1"/>
  <c r="K1516" i="59"/>
  <c r="O1516" i="59" s="1"/>
  <c r="M1494" i="59"/>
  <c r="Q1494" i="59" s="1"/>
  <c r="L1494" i="59"/>
  <c r="P1494" i="59" s="1"/>
  <c r="K1494" i="59"/>
  <c r="O1494" i="59" s="1"/>
  <c r="L1428" i="59"/>
  <c r="P1428" i="59" s="1"/>
  <c r="K1428" i="59"/>
  <c r="O1428" i="59" s="1"/>
  <c r="L1521" i="59"/>
  <c r="P1521" i="59" s="1"/>
  <c r="K1521" i="59"/>
  <c r="O1521" i="59" s="1"/>
  <c r="M1012" i="59"/>
  <c r="Q1012" i="59" s="1"/>
  <c r="M1269" i="59"/>
  <c r="Q1269" i="59" s="1"/>
  <c r="M1243" i="59"/>
  <c r="Q1243" i="59" s="1"/>
  <c r="M1270" i="59"/>
  <c r="Q1270" i="59" s="1"/>
  <c r="M1271" i="59"/>
  <c r="Q1271" i="59" s="1"/>
  <c r="M1244" i="59"/>
  <c r="Q1244" i="59" s="1"/>
  <c r="M1310" i="59"/>
  <c r="Q1310" i="59" s="1"/>
  <c r="M1206" i="59"/>
  <c r="Q1206" i="59" s="1"/>
  <c r="M1160" i="59"/>
  <c r="Q1160" i="59" s="1"/>
  <c r="M1443" i="59"/>
  <c r="Q1443" i="59" s="1"/>
  <c r="M1359" i="59"/>
  <c r="Q1359" i="59" s="1"/>
  <c r="M1117" i="59"/>
  <c r="Q1117" i="59" s="1"/>
  <c r="M1400" i="59"/>
  <c r="Q1400" i="59" s="1"/>
  <c r="M1491" i="59"/>
  <c r="Q1491" i="59" s="1"/>
  <c r="M1380" i="59"/>
  <c r="Q1380" i="59" s="1"/>
  <c r="M1425" i="59"/>
  <c r="Q1425" i="59" s="1"/>
  <c r="M1336" i="59"/>
  <c r="Q1336" i="59" s="1"/>
  <c r="M1098" i="59"/>
  <c r="Q1098" i="59" s="1"/>
  <c r="M1186" i="59"/>
  <c r="Q1186" i="59" s="1"/>
  <c r="M1290" i="59"/>
  <c r="Q1290" i="59" s="1"/>
  <c r="M1233" i="59"/>
  <c r="Q1233" i="59" s="1"/>
  <c r="M1140" i="59"/>
  <c r="Q1140" i="59" s="1"/>
  <c r="M955" i="59"/>
  <c r="Q955" i="59" s="1"/>
  <c r="M1258" i="59"/>
  <c r="Q1258" i="59" s="1"/>
  <c r="M1259" i="59"/>
  <c r="Q1259" i="59" s="1"/>
  <c r="M1311" i="59"/>
  <c r="Q1311" i="59" s="1"/>
  <c r="M1312" i="59"/>
  <c r="Q1312" i="59" s="1"/>
  <c r="M1207" i="59"/>
  <c r="Q1207" i="59" s="1"/>
  <c r="M1208" i="59"/>
  <c r="Q1208" i="59" s="1"/>
  <c r="M1161" i="59"/>
  <c r="Q1161" i="59" s="1"/>
  <c r="M1444" i="59"/>
  <c r="Q1444" i="59" s="1"/>
  <c r="M1445" i="59"/>
  <c r="Q1445" i="59" s="1"/>
  <c r="M1360" i="59"/>
  <c r="Q1360" i="59" s="1"/>
  <c r="M1361" i="59"/>
  <c r="Q1361" i="59" s="1"/>
  <c r="M1118" i="59"/>
  <c r="Q1118" i="59" s="1"/>
  <c r="M1401" i="59"/>
  <c r="Q1401" i="59" s="1"/>
  <c r="M1402" i="59"/>
  <c r="Q1402" i="59" s="1"/>
  <c r="P1036" i="59"/>
  <c r="L1037" i="59"/>
  <c r="P1037" i="59" s="1"/>
  <c r="L1038" i="59"/>
  <c r="P1038" i="59" s="1"/>
  <c r="L1039" i="59"/>
  <c r="P1039" i="59" s="1"/>
  <c r="L1002" i="59"/>
  <c r="P1002" i="59" s="1"/>
  <c r="L1004" i="59"/>
  <c r="P1004" i="59" s="1"/>
  <c r="L1005" i="59"/>
  <c r="P1005" i="59" s="1"/>
  <c r="L1262" i="59"/>
  <c r="P1262" i="59" s="1"/>
  <c r="L1291" i="59"/>
  <c r="P1291" i="59" s="1"/>
  <c r="L1187" i="59"/>
  <c r="P1187" i="59" s="1"/>
  <c r="L1381" i="59"/>
  <c r="P1381" i="59" s="1"/>
  <c r="L1314" i="59"/>
  <c r="P1314" i="59" s="1"/>
  <c r="L1459" i="59"/>
  <c r="P1459" i="59" s="1"/>
  <c r="L1164" i="59"/>
  <c r="P1164" i="59" s="1"/>
  <c r="L930" i="59"/>
  <c r="P930" i="59" s="1"/>
  <c r="L931" i="59"/>
  <c r="P931" i="59" s="1"/>
  <c r="L881" i="59"/>
  <c r="P881" i="59" s="1"/>
  <c r="L882" i="59"/>
  <c r="P882" i="59" s="1"/>
  <c r="L1530" i="59"/>
  <c r="P1530" i="59" s="1"/>
  <c r="L988" i="59"/>
  <c r="P988" i="59" s="1"/>
  <c r="L989" i="59"/>
  <c r="P989" i="59" s="1"/>
  <c r="L1073" i="59"/>
  <c r="P1073" i="59" s="1"/>
  <c r="P1035" i="59"/>
  <c r="K989" i="59"/>
  <c r="O989" i="59" s="1"/>
  <c r="O1036" i="59"/>
  <c r="K1037" i="59"/>
  <c r="O1037" i="59" s="1"/>
  <c r="K1038" i="59"/>
  <c r="O1038" i="59" s="1"/>
  <c r="K1039" i="59"/>
  <c r="O1039" i="59" s="1"/>
  <c r="K1002" i="59"/>
  <c r="O1002" i="59" s="1"/>
  <c r="K1004" i="59"/>
  <c r="O1004" i="59" s="1"/>
  <c r="K1005" i="59"/>
  <c r="O1005" i="59" s="1"/>
  <c r="K1262" i="59"/>
  <c r="O1262" i="59" s="1"/>
  <c r="K1291" i="59"/>
  <c r="O1291" i="59" s="1"/>
  <c r="K1187" i="59"/>
  <c r="O1187" i="59" s="1"/>
  <c r="K1381" i="59"/>
  <c r="O1381" i="59" s="1"/>
  <c r="K1314" i="59"/>
  <c r="O1314" i="59" s="1"/>
  <c r="K1459" i="59"/>
  <c r="O1459" i="59" s="1"/>
  <c r="K1164" i="59"/>
  <c r="O1164" i="59" s="1"/>
  <c r="K930" i="59"/>
  <c r="O930" i="59" s="1"/>
  <c r="K931" i="59"/>
  <c r="O931" i="59" s="1"/>
  <c r="K881" i="59"/>
  <c r="O881" i="59" s="1"/>
  <c r="K882" i="59"/>
  <c r="O882" i="59" s="1"/>
  <c r="O1035" i="59"/>
  <c r="Q1036" i="59"/>
  <c r="M1037" i="59"/>
  <c r="Q1037" i="59" s="1"/>
  <c r="M1038" i="59"/>
  <c r="Q1038" i="59" s="1"/>
  <c r="M1039" i="59"/>
  <c r="Q1039" i="59" s="1"/>
  <c r="M1002" i="59"/>
  <c r="Q1002" i="59" s="1"/>
  <c r="M1004" i="59"/>
  <c r="Q1004" i="59" s="1"/>
  <c r="M1005" i="59"/>
  <c r="Q1005" i="59" s="1"/>
  <c r="M1262" i="59"/>
  <c r="Q1262" i="59" s="1"/>
  <c r="M1291" i="59"/>
  <c r="Q1291" i="59" s="1"/>
  <c r="M1187" i="59"/>
  <c r="Q1187" i="59" s="1"/>
  <c r="M1381" i="59"/>
  <c r="Q1381" i="59" s="1"/>
  <c r="M1314" i="59"/>
  <c r="Q1314" i="59" s="1"/>
  <c r="M1459" i="59"/>
  <c r="Q1459" i="59" s="1"/>
  <c r="M1164" i="59"/>
  <c r="Q1164" i="59" s="1"/>
  <c r="M930" i="59"/>
  <c r="Q930" i="59" s="1"/>
  <c r="M931" i="59"/>
  <c r="Q931" i="59" s="1"/>
  <c r="M881" i="59"/>
  <c r="Q881" i="59" s="1"/>
  <c r="M882" i="59"/>
  <c r="Q882" i="59" s="1"/>
  <c r="M1530" i="59"/>
  <c r="Q1530" i="59" s="1"/>
  <c r="M988" i="59"/>
  <c r="Q988" i="59" s="1"/>
  <c r="M989" i="59"/>
  <c r="Q989" i="59" s="1"/>
  <c r="M1538" i="59"/>
  <c r="Q1538" i="59" s="1"/>
  <c r="M1541" i="59"/>
  <c r="Q1541" i="59" s="1"/>
  <c r="M1544" i="59"/>
  <c r="Q1544" i="59" s="1"/>
  <c r="M1547" i="59"/>
  <c r="Q1547" i="59" s="1"/>
  <c r="M1550" i="59"/>
  <c r="Q1550" i="59" s="1"/>
  <c r="M1246" i="59"/>
  <c r="Q1246" i="59" s="1"/>
  <c r="M956" i="59"/>
  <c r="Q956" i="59" s="1"/>
  <c r="M961" i="59"/>
  <c r="Q961" i="59" s="1"/>
  <c r="M966" i="59"/>
  <c r="Q966" i="59" s="1"/>
  <c r="M971" i="59"/>
  <c r="Q971" i="59" s="1"/>
  <c r="M976" i="59"/>
  <c r="Q976" i="59" s="1"/>
  <c r="M1001" i="59"/>
  <c r="Q1001" i="59" s="1"/>
  <c r="M1003" i="59"/>
  <c r="Q1003" i="59" s="1"/>
  <c r="M1299" i="59"/>
  <c r="Q1299" i="59" s="1"/>
  <c r="M1195" i="59"/>
  <c r="Q1195" i="59" s="1"/>
  <c r="M1149" i="59"/>
  <c r="Q1149" i="59" s="1"/>
  <c r="M1432" i="59"/>
  <c r="Q1432" i="59" s="1"/>
  <c r="M1348" i="59"/>
  <c r="Q1348" i="59" s="1"/>
  <c r="M1106" i="59"/>
  <c r="Q1106" i="59" s="1"/>
  <c r="M1389" i="59"/>
  <c r="Q1389" i="59" s="1"/>
  <c r="M1479" i="59"/>
  <c r="Q1479" i="59" s="1"/>
  <c r="M1368" i="59"/>
  <c r="Q1368" i="59" s="1"/>
  <c r="M1413" i="59"/>
  <c r="Q1413" i="59" s="1"/>
  <c r="M1324" i="59"/>
  <c r="Q1324" i="59" s="1"/>
  <c r="M1086" i="59"/>
  <c r="Q1086" i="59" s="1"/>
  <c r="M1174" i="59"/>
  <c r="Q1174" i="59" s="1"/>
  <c r="M1278" i="59"/>
  <c r="Q1278" i="59" s="1"/>
  <c r="M1221" i="59"/>
  <c r="Q1221" i="59" s="1"/>
  <c r="M1128" i="59"/>
  <c r="Q1128" i="59" s="1"/>
  <c r="M943" i="59"/>
  <c r="Q943" i="59" s="1"/>
  <c r="M839" i="59"/>
  <c r="Q839" i="59" s="1"/>
  <c r="M990" i="59"/>
  <c r="Q990" i="59" s="1"/>
  <c r="M910" i="59"/>
  <c r="Q910" i="59" s="1"/>
  <c r="M852" i="59"/>
  <c r="Q852" i="59" s="1"/>
  <c r="M1520" i="59"/>
  <c r="Q1520" i="59" s="1"/>
  <c r="M1498" i="59"/>
  <c r="Q1498" i="59" s="1"/>
  <c r="M1234" i="59"/>
  <c r="Q1234" i="59" s="1"/>
  <c r="M1313" i="59"/>
  <c r="Q1313" i="59" s="1"/>
  <c r="M892" i="59"/>
  <c r="Q892" i="59" s="1"/>
  <c r="M1446" i="59"/>
  <c r="Q1446" i="59" s="1"/>
  <c r="M1457" i="59"/>
  <c r="Q1457" i="59" s="1"/>
  <c r="M1162" i="59"/>
  <c r="Q1162" i="59" s="1"/>
  <c r="M807" i="59"/>
  <c r="Q807" i="59" s="1"/>
  <c r="M928" i="59"/>
  <c r="Q928" i="59" s="1"/>
  <c r="M769" i="59"/>
  <c r="Q769" i="59" s="1"/>
  <c r="M750" i="59"/>
  <c r="Q750" i="59" s="1"/>
  <c r="M1209" i="59"/>
  <c r="Q1209" i="59" s="1"/>
  <c r="M1337" i="59"/>
  <c r="Q1337" i="59" s="1"/>
  <c r="M789" i="59"/>
  <c r="Q789" i="59" s="1"/>
  <c r="M1024" i="59"/>
  <c r="Q1024" i="59" s="1"/>
  <c r="M827" i="59"/>
  <c r="Q827" i="59" s="1"/>
  <c r="M1403" i="59"/>
  <c r="Q1403" i="59" s="1"/>
  <c r="M1075" i="59"/>
  <c r="Q1075" i="59" s="1"/>
  <c r="M1260" i="59"/>
  <c r="Q1260" i="59" s="1"/>
  <c r="M921" i="59"/>
  <c r="Q921" i="59" s="1"/>
  <c r="M1017" i="59"/>
  <c r="Q1017" i="59" s="1"/>
  <c r="M1141" i="59"/>
  <c r="Q1141" i="59" s="1"/>
  <c r="M903" i="59"/>
  <c r="Q903" i="59" s="1"/>
  <c r="M1099" i="59"/>
  <c r="Q1099" i="59" s="1"/>
  <c r="M866" i="59"/>
  <c r="Q866" i="59" s="1"/>
  <c r="M1471" i="59"/>
  <c r="Q1471" i="59" s="1"/>
  <c r="M873" i="59"/>
  <c r="Q873" i="59" s="1"/>
  <c r="M991" i="59"/>
  <c r="Q991" i="59" s="1"/>
  <c r="M911" i="59"/>
  <c r="Q911" i="59" s="1"/>
  <c r="M853" i="59"/>
  <c r="Q853" i="59" s="1"/>
  <c r="M1235" i="59"/>
  <c r="Q1235" i="59" s="1"/>
  <c r="M893" i="59"/>
  <c r="Q893" i="59" s="1"/>
  <c r="M1447" i="59"/>
  <c r="Q1447" i="59" s="1"/>
  <c r="M1458" i="59"/>
  <c r="Q1458" i="59" s="1"/>
  <c r="M1163" i="59"/>
  <c r="Q1163" i="59" s="1"/>
  <c r="M808" i="59"/>
  <c r="Q808" i="59" s="1"/>
  <c r="M929" i="59"/>
  <c r="Q929" i="59" s="1"/>
  <c r="M770" i="59"/>
  <c r="Q770" i="59" s="1"/>
  <c r="M751" i="59"/>
  <c r="Q751" i="59" s="1"/>
  <c r="M1210" i="59"/>
  <c r="Q1210" i="59" s="1"/>
  <c r="M790" i="59"/>
  <c r="Q790" i="59" s="1"/>
  <c r="M1025" i="59"/>
  <c r="Q1025" i="59" s="1"/>
  <c r="M828" i="59"/>
  <c r="Q828" i="59" s="1"/>
  <c r="M1076" i="59"/>
  <c r="Q1076" i="59" s="1"/>
  <c r="M854" i="59"/>
  <c r="Q854" i="59" s="1"/>
  <c r="M809" i="59"/>
  <c r="Q809" i="59" s="1"/>
  <c r="M771" i="59"/>
  <c r="Q771" i="59" s="1"/>
  <c r="M752" i="59"/>
  <c r="Q752" i="59" s="1"/>
  <c r="M791" i="59"/>
  <c r="Q791" i="59" s="1"/>
  <c r="M829" i="59"/>
  <c r="Q829" i="59" s="1"/>
  <c r="M922" i="59"/>
  <c r="Q922" i="59" s="1"/>
  <c r="M1018" i="59"/>
  <c r="Q1018" i="59" s="1"/>
  <c r="M782" i="59"/>
  <c r="Q782" i="59" s="1"/>
  <c r="M820" i="59"/>
  <c r="Q820" i="59" s="1"/>
  <c r="M904" i="59"/>
  <c r="Q904" i="59" s="1"/>
  <c r="M1100" i="59"/>
  <c r="Q1100" i="59" s="1"/>
  <c r="M867" i="59"/>
  <c r="Q867" i="59" s="1"/>
  <c r="M874" i="59"/>
  <c r="Q874" i="59" s="1"/>
  <c r="M800" i="59"/>
  <c r="Q800" i="59" s="1"/>
  <c r="M762" i="59"/>
  <c r="Q762" i="59" s="1"/>
  <c r="M855" i="59"/>
  <c r="Q855" i="59" s="1"/>
  <c r="M810" i="59"/>
  <c r="Q810" i="59" s="1"/>
  <c r="M772" i="59"/>
  <c r="Q772" i="59" s="1"/>
  <c r="M753" i="59"/>
  <c r="Q753" i="59" s="1"/>
  <c r="M792" i="59"/>
  <c r="Q792" i="59" s="1"/>
  <c r="M830" i="59"/>
  <c r="Q830" i="59" s="1"/>
  <c r="M856" i="59"/>
  <c r="Q856" i="59" s="1"/>
  <c r="M811" i="59"/>
  <c r="Q811" i="59" s="1"/>
  <c r="M773" i="59"/>
  <c r="Q773" i="59" s="1"/>
  <c r="M754" i="59"/>
  <c r="Q754" i="59" s="1"/>
  <c r="M793" i="59"/>
  <c r="Q793" i="59" s="1"/>
  <c r="M831" i="59"/>
  <c r="Q831" i="59" s="1"/>
  <c r="M1247" i="59"/>
  <c r="Q1247" i="59" s="1"/>
  <c r="M1041" i="59"/>
  <c r="Q1041" i="59" s="1"/>
  <c r="M1044" i="59"/>
  <c r="Q1044" i="59" s="1"/>
  <c r="M1047" i="59"/>
  <c r="Q1047" i="59" s="1"/>
  <c r="M880" i="59"/>
  <c r="Q880" i="59" s="1"/>
  <c r="M883" i="59"/>
  <c r="Q883" i="59" s="1"/>
  <c r="M1006" i="59"/>
  <c r="Q1006" i="59" s="1"/>
  <c r="M1261" i="59"/>
  <c r="Q1261" i="59" s="1"/>
  <c r="M1263" i="59"/>
  <c r="Q1263" i="59" s="1"/>
  <c r="M1300" i="59"/>
  <c r="Q1300" i="59" s="1"/>
  <c r="M1196" i="59"/>
  <c r="Q1196" i="59" s="1"/>
  <c r="M1150" i="59"/>
  <c r="Q1150" i="59" s="1"/>
  <c r="M1433" i="59"/>
  <c r="Q1433" i="59" s="1"/>
  <c r="M1349" i="59"/>
  <c r="Q1349" i="59" s="1"/>
  <c r="M1107" i="59"/>
  <c r="Q1107" i="59" s="1"/>
  <c r="M1390" i="59"/>
  <c r="Q1390" i="59" s="1"/>
  <c r="M1480" i="59"/>
  <c r="Q1480" i="59" s="1"/>
  <c r="M1369" i="59"/>
  <c r="Q1369" i="59" s="1"/>
  <c r="M1414" i="59"/>
  <c r="Q1414" i="59" s="1"/>
  <c r="M1325" i="59"/>
  <c r="Q1325" i="59" s="1"/>
  <c r="M1087" i="59"/>
  <c r="Q1087" i="59" s="1"/>
  <c r="M1175" i="59"/>
  <c r="Q1175" i="59" s="1"/>
  <c r="M1279" i="59"/>
  <c r="Q1279" i="59" s="1"/>
  <c r="M1222" i="59"/>
  <c r="Q1222" i="59" s="1"/>
  <c r="M1129" i="59"/>
  <c r="Q1129" i="59" s="1"/>
  <c r="M944" i="59"/>
  <c r="Q944" i="59" s="1"/>
  <c r="M840" i="59"/>
  <c r="Q840" i="59" s="1"/>
  <c r="M992" i="59"/>
  <c r="Q992" i="59" s="1"/>
  <c r="M912" i="59"/>
  <c r="Q912" i="59" s="1"/>
  <c r="M857" i="59"/>
  <c r="Q857" i="59" s="1"/>
  <c r="M1499" i="59"/>
  <c r="Q1499" i="59" s="1"/>
  <c r="M1236" i="59"/>
  <c r="Q1236" i="59" s="1"/>
  <c r="M1315" i="59"/>
  <c r="Q1315" i="59" s="1"/>
  <c r="M1119" i="59"/>
  <c r="Q1119" i="59" s="1"/>
  <c r="M894" i="59"/>
  <c r="Q894" i="59" s="1"/>
  <c r="M1448" i="59"/>
  <c r="Q1448" i="59" s="1"/>
  <c r="M1460" i="59"/>
  <c r="Q1460" i="59" s="1"/>
  <c r="M1165" i="59"/>
  <c r="Q1165" i="59" s="1"/>
  <c r="M755" i="59"/>
  <c r="Q755" i="59" s="1"/>
  <c r="M1211" i="59"/>
  <c r="Q1211" i="59" s="1"/>
  <c r="M794" i="59"/>
  <c r="Q794" i="59" s="1"/>
  <c r="M796" i="59"/>
  <c r="Q796" i="59" s="1"/>
  <c r="M1026" i="59"/>
  <c r="Q1026" i="59" s="1"/>
  <c r="M832" i="59"/>
  <c r="Q832" i="59" s="1"/>
  <c r="M1404" i="59"/>
  <c r="Q1404" i="59" s="1"/>
  <c r="M1077" i="59"/>
  <c r="Q1077" i="59" s="1"/>
  <c r="M1553" i="59"/>
  <c r="Q1553" i="59" s="1"/>
  <c r="M1557" i="59"/>
  <c r="Q1557" i="59" s="1"/>
  <c r="M1561" i="59"/>
  <c r="Q1561" i="59" s="1"/>
  <c r="M1565" i="59"/>
  <c r="Q1565" i="59" s="1"/>
  <c r="M1569" i="59"/>
  <c r="Q1569" i="59" s="1"/>
  <c r="M783" i="59"/>
  <c r="Q783" i="59" s="1"/>
  <c r="M821" i="59"/>
  <c r="Q821" i="59" s="1"/>
  <c r="M801" i="59"/>
  <c r="Q801" i="59" s="1"/>
  <c r="M763" i="59"/>
  <c r="Q763" i="59" s="1"/>
  <c r="M1008" i="59"/>
  <c r="Q1008" i="59" s="1"/>
  <c r="M1265" i="59"/>
  <c r="Q1265" i="59" s="1"/>
  <c r="M994" i="59"/>
  <c r="Q994" i="59" s="1"/>
  <c r="M915" i="59"/>
  <c r="Q915" i="59" s="1"/>
  <c r="M859" i="59"/>
  <c r="Q859" i="59" s="1"/>
  <c r="M1523" i="59"/>
  <c r="Q1523" i="59" s="1"/>
  <c r="M1501" i="59"/>
  <c r="Q1501" i="59" s="1"/>
  <c r="M1238" i="59"/>
  <c r="Q1238" i="59" s="1"/>
  <c r="M1317" i="59"/>
  <c r="Q1317" i="59" s="1"/>
  <c r="M1121" i="59"/>
  <c r="Q1121" i="59" s="1"/>
  <c r="M896" i="59"/>
  <c r="Q896" i="59" s="1"/>
  <c r="M1450" i="59"/>
  <c r="Q1450" i="59" s="1"/>
  <c r="M1462" i="59"/>
  <c r="Q1462" i="59" s="1"/>
  <c r="M1167" i="59"/>
  <c r="Q1167" i="59" s="1"/>
  <c r="M812" i="59"/>
  <c r="Q812" i="59" s="1"/>
  <c r="M815" i="59"/>
  <c r="Q815" i="59" s="1"/>
  <c r="M935" i="59"/>
  <c r="Q935" i="59" s="1"/>
  <c r="M932" i="59"/>
  <c r="Q932" i="59" s="1"/>
  <c r="M777" i="59"/>
  <c r="Q777" i="59" s="1"/>
  <c r="M774" i="59"/>
  <c r="Q774" i="59" s="1"/>
  <c r="M757" i="59"/>
  <c r="Q757" i="59" s="1"/>
  <c r="M1213" i="59"/>
  <c r="Q1213" i="59" s="1"/>
  <c r="M1338" i="59"/>
  <c r="Q1338" i="59" s="1"/>
  <c r="M1340" i="59"/>
  <c r="Q1340" i="59" s="1"/>
  <c r="M1028" i="59"/>
  <c r="Q1028" i="59" s="1"/>
  <c r="M834" i="59"/>
  <c r="Q834" i="59" s="1"/>
  <c r="M1406" i="59"/>
  <c r="Q1406" i="59" s="1"/>
  <c r="M1079" i="59"/>
  <c r="Q1079" i="59" s="1"/>
  <c r="M981" i="59"/>
  <c r="Q981" i="59" s="1"/>
  <c r="M1301" i="59"/>
  <c r="Q1301" i="59" s="1"/>
  <c r="M1197" i="59"/>
  <c r="Q1197" i="59" s="1"/>
  <c r="M1151" i="59"/>
  <c r="Q1151" i="59" s="1"/>
  <c r="M1434" i="59"/>
  <c r="Q1434" i="59" s="1"/>
  <c r="M1350" i="59"/>
  <c r="Q1350" i="59" s="1"/>
  <c r="M1108" i="59"/>
  <c r="Q1108" i="59" s="1"/>
  <c r="M1391" i="59"/>
  <c r="Q1391" i="59" s="1"/>
  <c r="M923" i="59"/>
  <c r="Q923" i="59" s="1"/>
  <c r="M1019" i="59"/>
  <c r="Q1019" i="59" s="1"/>
  <c r="M784" i="59"/>
  <c r="Q784" i="59" s="1"/>
  <c r="M1142" i="59"/>
  <c r="Q1142" i="59" s="1"/>
  <c r="M1292" i="59"/>
  <c r="Q1292" i="59" s="1"/>
  <c r="M822" i="59"/>
  <c r="Q822" i="59" s="1"/>
  <c r="M905" i="59"/>
  <c r="Q905" i="59" s="1"/>
  <c r="M1101" i="59"/>
  <c r="Q1101" i="59" s="1"/>
  <c r="M868" i="59"/>
  <c r="Q868" i="59" s="1"/>
  <c r="M1472" i="59"/>
  <c r="Q1472" i="59" s="1"/>
  <c r="M875" i="59"/>
  <c r="Q875" i="59" s="1"/>
  <c r="M802" i="59"/>
  <c r="Q802" i="59" s="1"/>
  <c r="M1188" i="59"/>
  <c r="Q1188" i="59" s="1"/>
  <c r="M1382" i="59"/>
  <c r="Q1382" i="59" s="1"/>
  <c r="M764" i="59"/>
  <c r="Q764" i="59" s="1"/>
  <c r="M1531" i="59"/>
  <c r="Q1531" i="59" s="1"/>
  <c r="M1248" i="59"/>
  <c r="Q1248" i="59" s="1"/>
  <c r="M1481" i="59"/>
  <c r="Q1481" i="59" s="1"/>
  <c r="M1370" i="59"/>
  <c r="Q1370" i="59" s="1"/>
  <c r="M1415" i="59"/>
  <c r="Q1415" i="59" s="1"/>
  <c r="M1326" i="59"/>
  <c r="Q1326" i="59" s="1"/>
  <c r="M1088" i="59"/>
  <c r="Q1088" i="59" s="1"/>
  <c r="M1176" i="59"/>
  <c r="Q1176" i="59" s="1"/>
  <c r="M1280" i="59"/>
  <c r="Q1280" i="59" s="1"/>
  <c r="M1223" i="59"/>
  <c r="Q1223" i="59" s="1"/>
  <c r="M1130" i="59"/>
  <c r="Q1130" i="59" s="1"/>
  <c r="M945" i="59"/>
  <c r="Q945" i="59" s="1"/>
  <c r="M841" i="59"/>
  <c r="Q841" i="59" s="1"/>
  <c r="M913" i="59"/>
  <c r="Q913" i="59" s="1"/>
  <c r="M813" i="59"/>
  <c r="Q813" i="59" s="1"/>
  <c r="M933" i="59"/>
  <c r="Q933" i="59" s="1"/>
  <c r="M775" i="59"/>
  <c r="Q775" i="59" s="1"/>
  <c r="M1573" i="59"/>
  <c r="Q1573" i="59" s="1"/>
  <c r="M1577" i="59"/>
  <c r="Q1577" i="59" s="1"/>
  <c r="M1581" i="59"/>
  <c r="Q1581" i="59" s="1"/>
  <c r="M1589" i="59"/>
  <c r="Q1589" i="59" s="1"/>
  <c r="M1585" i="59"/>
  <c r="Q1585" i="59" s="1"/>
  <c r="M884" i="59"/>
  <c r="Q884" i="59" s="1"/>
  <c r="M916" i="59"/>
  <c r="Q916" i="59" s="1"/>
  <c r="M816" i="59"/>
  <c r="Q816" i="59" s="1"/>
  <c r="M936" i="59"/>
  <c r="Q936" i="59" s="1"/>
  <c r="M1539" i="59"/>
  <c r="Q1539" i="59" s="1"/>
  <c r="M1542" i="59"/>
  <c r="Q1542" i="59" s="1"/>
  <c r="M1545" i="59"/>
  <c r="Q1545" i="59" s="1"/>
  <c r="M1548" i="59"/>
  <c r="Q1548" i="59" s="1"/>
  <c r="M1551" i="59"/>
  <c r="Q1551" i="59" s="1"/>
  <c r="M887" i="59"/>
  <c r="Q887" i="59" s="1"/>
  <c r="M1554" i="59"/>
  <c r="Q1554" i="59" s="1"/>
  <c r="M1558" i="59"/>
  <c r="Q1558" i="59" s="1"/>
  <c r="M1562" i="59"/>
  <c r="Q1562" i="59" s="1"/>
  <c r="M1566" i="59"/>
  <c r="Q1566" i="59" s="1"/>
  <c r="M1570" i="59"/>
  <c r="Q1570" i="59" s="1"/>
  <c r="M1249" i="59"/>
  <c r="Q1249" i="59" s="1"/>
  <c r="M957" i="59"/>
  <c r="Q957" i="59" s="1"/>
  <c r="M962" i="59"/>
  <c r="Q962" i="59" s="1"/>
  <c r="M967" i="59"/>
  <c r="Q967" i="59" s="1"/>
  <c r="M972" i="59"/>
  <c r="Q972" i="59" s="1"/>
  <c r="M977" i="59"/>
  <c r="Q977" i="59" s="1"/>
  <c r="M1302" i="59"/>
  <c r="Q1302" i="59" s="1"/>
  <c r="M1198" i="59"/>
  <c r="Q1198" i="59" s="1"/>
  <c r="M1152" i="59"/>
  <c r="Q1152" i="59" s="1"/>
  <c r="M1435" i="59"/>
  <c r="Q1435" i="59" s="1"/>
  <c r="M1351" i="59"/>
  <c r="Q1351" i="59" s="1"/>
  <c r="M1109" i="59"/>
  <c r="Q1109" i="59" s="1"/>
  <c r="M1392" i="59"/>
  <c r="Q1392" i="59" s="1"/>
  <c r="M924" i="59"/>
  <c r="Q924" i="59" s="1"/>
  <c r="M1020" i="59"/>
  <c r="Q1020" i="59" s="1"/>
  <c r="M785" i="59"/>
  <c r="Q785" i="59" s="1"/>
  <c r="M1143" i="59"/>
  <c r="Q1143" i="59" s="1"/>
  <c r="M1293" i="59"/>
  <c r="Q1293" i="59" s="1"/>
  <c r="M823" i="59"/>
  <c r="Q823" i="59" s="1"/>
  <c r="M906" i="59"/>
  <c r="Q906" i="59" s="1"/>
  <c r="M1102" i="59"/>
  <c r="Q1102" i="59" s="1"/>
  <c r="M869" i="59"/>
  <c r="Q869" i="59" s="1"/>
  <c r="M1473" i="59"/>
  <c r="Q1473" i="59" s="1"/>
  <c r="M876" i="59"/>
  <c r="Q876" i="59" s="1"/>
  <c r="M803" i="59"/>
  <c r="Q803" i="59" s="1"/>
  <c r="M1189" i="59"/>
  <c r="Q1189" i="59" s="1"/>
  <c r="M1383" i="59"/>
  <c r="Q1383" i="59" s="1"/>
  <c r="M765" i="59"/>
  <c r="Q765" i="59" s="1"/>
  <c r="M1426" i="59"/>
  <c r="Q1426" i="59" s="1"/>
  <c r="M1492" i="59"/>
  <c r="Q1492" i="59" s="1"/>
  <c r="M1514" i="59"/>
  <c r="Q1514" i="59" s="1"/>
  <c r="M1508" i="59"/>
  <c r="Q1508" i="59" s="1"/>
  <c r="M1362" i="59"/>
  <c r="Q1362" i="59" s="1"/>
  <c r="M1482" i="59"/>
  <c r="Q1482" i="59" s="1"/>
  <c r="M1371" i="59"/>
  <c r="Q1371" i="59" s="1"/>
  <c r="M1416" i="59"/>
  <c r="Q1416" i="59" s="1"/>
  <c r="M1327" i="59"/>
  <c r="Q1327" i="59" s="1"/>
  <c r="M1089" i="59"/>
  <c r="Q1089" i="59" s="1"/>
  <c r="M1177" i="59"/>
  <c r="Q1177" i="59" s="1"/>
  <c r="M1281" i="59"/>
  <c r="Q1281" i="59" s="1"/>
  <c r="M1224" i="59"/>
  <c r="Q1224" i="59" s="1"/>
  <c r="M1131" i="59"/>
  <c r="Q1131" i="59" s="1"/>
  <c r="M946" i="59"/>
  <c r="Q946" i="59" s="1"/>
  <c r="M842" i="59"/>
  <c r="Q842" i="59" s="1"/>
  <c r="M1042" i="59"/>
  <c r="Q1042" i="59" s="1"/>
  <c r="M1045" i="59"/>
  <c r="Q1045" i="59" s="1"/>
  <c r="M1048" i="59"/>
  <c r="Q1048" i="59" s="1"/>
  <c r="M1007" i="59"/>
  <c r="Q1007" i="59" s="1"/>
  <c r="M1264" i="59"/>
  <c r="Q1264" i="59" s="1"/>
  <c r="M993" i="59"/>
  <c r="Q993" i="59" s="1"/>
  <c r="M914" i="59"/>
  <c r="Q914" i="59" s="1"/>
  <c r="M858" i="59"/>
  <c r="Q858" i="59" s="1"/>
  <c r="M1522" i="59"/>
  <c r="Q1522" i="59" s="1"/>
  <c r="M1500" i="59"/>
  <c r="Q1500" i="59" s="1"/>
  <c r="M1237" i="59"/>
  <c r="Q1237" i="59" s="1"/>
  <c r="M1316" i="59"/>
  <c r="Q1316" i="59" s="1"/>
  <c r="M1120" i="59"/>
  <c r="Q1120" i="59" s="1"/>
  <c r="M895" i="59"/>
  <c r="Q895" i="59" s="1"/>
  <c r="M1449" i="59"/>
  <c r="Q1449" i="59" s="1"/>
  <c r="M1461" i="59"/>
  <c r="Q1461" i="59" s="1"/>
  <c r="M1166" i="59"/>
  <c r="Q1166" i="59" s="1"/>
  <c r="M814" i="59"/>
  <c r="Q814" i="59" s="1"/>
  <c r="M934" i="59"/>
  <c r="Q934" i="59" s="1"/>
  <c r="M776" i="59"/>
  <c r="Q776" i="59" s="1"/>
  <c r="M756" i="59"/>
  <c r="Q756" i="59" s="1"/>
  <c r="M1212" i="59"/>
  <c r="Q1212" i="59" s="1"/>
  <c r="M795" i="59"/>
  <c r="Q795" i="59" s="1"/>
  <c r="M797" i="59"/>
  <c r="Q797" i="59" s="1"/>
  <c r="M1027" i="59"/>
  <c r="Q1027" i="59" s="1"/>
  <c r="M833" i="59"/>
  <c r="Q833" i="59" s="1"/>
  <c r="M1405" i="59"/>
  <c r="Q1405" i="59" s="1"/>
  <c r="M1078" i="59"/>
  <c r="Q1078" i="59" s="1"/>
  <c r="M1250" i="59"/>
  <c r="Q1250" i="59" s="1"/>
  <c r="M1303" i="59"/>
  <c r="Q1303" i="59" s="1"/>
  <c r="M1199" i="59"/>
  <c r="Q1199" i="59" s="1"/>
  <c r="M1153" i="59"/>
  <c r="Q1153" i="59" s="1"/>
  <c r="M1436" i="59"/>
  <c r="Q1436" i="59" s="1"/>
  <c r="M1352" i="59"/>
  <c r="Q1352" i="59" s="1"/>
  <c r="M1110" i="59"/>
  <c r="Q1110" i="59" s="1"/>
  <c r="M1393" i="59"/>
  <c r="Q1393" i="59" s="1"/>
  <c r="M1483" i="59"/>
  <c r="Q1483" i="59" s="1"/>
  <c r="M1372" i="59"/>
  <c r="Q1372" i="59" s="1"/>
  <c r="M1417" i="59"/>
  <c r="Q1417" i="59" s="1"/>
  <c r="M1328" i="59"/>
  <c r="Q1328" i="59" s="1"/>
  <c r="M1090" i="59"/>
  <c r="Q1090" i="59" s="1"/>
  <c r="M1178" i="59"/>
  <c r="Q1178" i="59" s="1"/>
  <c r="M1282" i="59"/>
  <c r="Q1282" i="59" s="1"/>
  <c r="M1225" i="59"/>
  <c r="Q1225" i="59" s="1"/>
  <c r="M1132" i="59"/>
  <c r="Q1132" i="59" s="1"/>
  <c r="M947" i="59"/>
  <c r="Q947" i="59" s="1"/>
  <c r="M843" i="59"/>
  <c r="Q843" i="59" s="1"/>
  <c r="M1532" i="59"/>
  <c r="Q1532" i="59" s="1"/>
  <c r="M1540" i="59"/>
  <c r="Q1540" i="59" s="1"/>
  <c r="M1543" i="59"/>
  <c r="Q1543" i="59" s="1"/>
  <c r="M1546" i="59"/>
  <c r="Q1546" i="59" s="1"/>
  <c r="M1549" i="59"/>
  <c r="Q1549" i="59" s="1"/>
  <c r="M1552" i="59"/>
  <c r="Q1552" i="59" s="1"/>
  <c r="M1574" i="59"/>
  <c r="Q1574" i="59" s="1"/>
  <c r="M1578" i="59"/>
  <c r="Q1578" i="59" s="1"/>
  <c r="M1582" i="59"/>
  <c r="Q1582" i="59" s="1"/>
  <c r="M1590" i="59"/>
  <c r="Q1590" i="59" s="1"/>
  <c r="M1586" i="59"/>
  <c r="Q1586" i="59" s="1"/>
  <c r="M1251" i="59"/>
  <c r="Q1251" i="59" s="1"/>
  <c r="M1484" i="59"/>
  <c r="Q1484" i="59" s="1"/>
  <c r="M1373" i="59"/>
  <c r="Q1373" i="59" s="1"/>
  <c r="M1418" i="59"/>
  <c r="Q1418" i="59" s="1"/>
  <c r="M1329" i="59"/>
  <c r="Q1329" i="59" s="1"/>
  <c r="M1091" i="59"/>
  <c r="Q1091" i="59" s="1"/>
  <c r="M1179" i="59"/>
  <c r="Q1179" i="59" s="1"/>
  <c r="M1283" i="59"/>
  <c r="Q1283" i="59" s="1"/>
  <c r="M1226" i="59"/>
  <c r="Q1226" i="59" s="1"/>
  <c r="M1133" i="59"/>
  <c r="Q1133" i="59" s="1"/>
  <c r="M948" i="59"/>
  <c r="Q948" i="59" s="1"/>
  <c r="M844" i="59"/>
  <c r="Q844" i="59" s="1"/>
  <c r="M885" i="59"/>
  <c r="Q885" i="59" s="1"/>
  <c r="M1304" i="59"/>
  <c r="Q1304" i="59" s="1"/>
  <c r="M1200" i="59"/>
  <c r="Q1200" i="59" s="1"/>
  <c r="M1154" i="59"/>
  <c r="Q1154" i="59" s="1"/>
  <c r="M1437" i="59"/>
  <c r="Q1437" i="59" s="1"/>
  <c r="M1353" i="59"/>
  <c r="Q1353" i="59" s="1"/>
  <c r="M1111" i="59"/>
  <c r="Q1111" i="59" s="1"/>
  <c r="M1394" i="59"/>
  <c r="Q1394" i="59" s="1"/>
  <c r="M925" i="59"/>
  <c r="Q925" i="59" s="1"/>
  <c r="M926" i="59"/>
  <c r="Q926" i="59" s="1"/>
  <c r="M1021" i="59"/>
  <c r="Q1021" i="59" s="1"/>
  <c r="M1022" i="59"/>
  <c r="Q1022" i="59" s="1"/>
  <c r="M786" i="59"/>
  <c r="Q786" i="59" s="1"/>
  <c r="M787" i="59"/>
  <c r="Q787" i="59" s="1"/>
  <c r="M1144" i="59"/>
  <c r="Q1144" i="59" s="1"/>
  <c r="M1145" i="59"/>
  <c r="Q1145" i="59" s="1"/>
  <c r="M1294" i="59"/>
  <c r="Q1294" i="59" s="1"/>
  <c r="M1295" i="59"/>
  <c r="Q1295" i="59" s="1"/>
  <c r="M824" i="59"/>
  <c r="Q824" i="59" s="1"/>
  <c r="M825" i="59"/>
  <c r="Q825" i="59" s="1"/>
  <c r="M907" i="59"/>
  <c r="Q907" i="59" s="1"/>
  <c r="M908" i="59"/>
  <c r="Q908" i="59" s="1"/>
  <c r="M1103" i="59"/>
  <c r="Q1103" i="59" s="1"/>
  <c r="M1104" i="59"/>
  <c r="Q1104" i="59" s="1"/>
  <c r="M870" i="59"/>
  <c r="Q870" i="59" s="1"/>
  <c r="M871" i="59"/>
  <c r="Q871" i="59" s="1"/>
  <c r="M1474" i="59"/>
  <c r="Q1474" i="59" s="1"/>
  <c r="M1475" i="59"/>
  <c r="Q1475" i="59" s="1"/>
  <c r="M877" i="59"/>
  <c r="Q877" i="59" s="1"/>
  <c r="M878" i="59"/>
  <c r="Q878" i="59" s="1"/>
  <c r="M804" i="59"/>
  <c r="Q804" i="59" s="1"/>
  <c r="M805" i="59"/>
  <c r="Q805" i="59" s="1"/>
  <c r="M1190" i="59"/>
  <c r="Q1190" i="59" s="1"/>
  <c r="M1191" i="59"/>
  <c r="Q1191" i="59" s="1"/>
  <c r="M1384" i="59"/>
  <c r="Q1384" i="59" s="1"/>
  <c r="M1385" i="59"/>
  <c r="Q1385" i="59" s="1"/>
  <c r="M766" i="59"/>
  <c r="Q766" i="59" s="1"/>
  <c r="M767" i="59"/>
  <c r="Q767" i="59" s="1"/>
  <c r="M1555" i="59"/>
  <c r="Q1555" i="59" s="1"/>
  <c r="M1559" i="59"/>
  <c r="Q1559" i="59" s="1"/>
  <c r="M1563" i="59"/>
  <c r="Q1563" i="59" s="1"/>
  <c r="M1567" i="59"/>
  <c r="Q1567" i="59" s="1"/>
  <c r="M1571" i="59"/>
  <c r="Q1571" i="59" s="1"/>
  <c r="M1533" i="59"/>
  <c r="Q1533" i="59" s="1"/>
  <c r="M1009" i="59"/>
  <c r="Q1009" i="59" s="1"/>
  <c r="M1266" i="59"/>
  <c r="Q1266" i="59" s="1"/>
  <c r="M995" i="59"/>
  <c r="Q995" i="59" s="1"/>
  <c r="M917" i="59"/>
  <c r="Q917" i="59" s="1"/>
  <c r="M860" i="59"/>
  <c r="Q860" i="59" s="1"/>
  <c r="M1524" i="59"/>
  <c r="Q1524" i="59" s="1"/>
  <c r="M1502" i="59"/>
  <c r="Q1502" i="59" s="1"/>
  <c r="M1239" i="59"/>
  <c r="Q1239" i="59" s="1"/>
  <c r="M1318" i="59"/>
  <c r="Q1318" i="59" s="1"/>
  <c r="M1122" i="59"/>
  <c r="Q1122" i="59" s="1"/>
  <c r="M897" i="59"/>
  <c r="Q897" i="59" s="1"/>
  <c r="M1451" i="59"/>
  <c r="Q1451" i="59" s="1"/>
  <c r="M1463" i="59"/>
  <c r="Q1463" i="59" s="1"/>
  <c r="M1168" i="59"/>
  <c r="Q1168" i="59" s="1"/>
  <c r="M817" i="59"/>
  <c r="Q817" i="59" s="1"/>
  <c r="M937" i="59"/>
  <c r="Q937" i="59" s="1"/>
  <c r="M778" i="59"/>
  <c r="Q778" i="59" s="1"/>
  <c r="M758" i="59"/>
  <c r="Q758" i="59" s="1"/>
  <c r="M1214" i="59"/>
  <c r="Q1214" i="59" s="1"/>
  <c r="M1339" i="59"/>
  <c r="Q1339" i="59" s="1"/>
  <c r="M1341" i="59"/>
  <c r="Q1341" i="59" s="1"/>
  <c r="M1029" i="59"/>
  <c r="Q1029" i="59" s="1"/>
  <c r="M835" i="59"/>
  <c r="Q835" i="59" s="1"/>
  <c r="M1407" i="59"/>
  <c r="Q1407" i="59" s="1"/>
  <c r="M1080" i="59"/>
  <c r="Q1080" i="59" s="1"/>
  <c r="M982" i="59"/>
  <c r="Q982" i="59" s="1"/>
  <c r="M1575" i="59"/>
  <c r="Q1575" i="59" s="1"/>
  <c r="M1579" i="59"/>
  <c r="Q1579" i="59" s="1"/>
  <c r="M1583" i="59"/>
  <c r="Q1583" i="59" s="1"/>
  <c r="M1591" i="59"/>
  <c r="Q1591" i="59" s="1"/>
  <c r="M1587" i="59"/>
  <c r="Q1587" i="59" s="1"/>
  <c r="M1252" i="59"/>
  <c r="Q1252" i="59" s="1"/>
  <c r="M1305" i="59"/>
  <c r="Q1305" i="59" s="1"/>
  <c r="M1201" i="59"/>
  <c r="Q1201" i="59" s="1"/>
  <c r="M1155" i="59"/>
  <c r="Q1155" i="59" s="1"/>
  <c r="M1438" i="59"/>
  <c r="Q1438" i="59" s="1"/>
  <c r="M1354" i="59"/>
  <c r="Q1354" i="59" s="1"/>
  <c r="M1112" i="59"/>
  <c r="Q1112" i="59" s="1"/>
  <c r="M1395" i="59"/>
  <c r="Q1395" i="59" s="1"/>
  <c r="M1485" i="59"/>
  <c r="Q1485" i="59" s="1"/>
  <c r="M1374" i="59"/>
  <c r="Q1374" i="59" s="1"/>
  <c r="M1419" i="59"/>
  <c r="Q1419" i="59" s="1"/>
  <c r="M1330" i="59"/>
  <c r="Q1330" i="59" s="1"/>
  <c r="M1092" i="59"/>
  <c r="Q1092" i="59" s="1"/>
  <c r="M1180" i="59"/>
  <c r="Q1180" i="59" s="1"/>
  <c r="M1284" i="59"/>
  <c r="Q1284" i="59" s="1"/>
  <c r="M1227" i="59"/>
  <c r="Q1227" i="59" s="1"/>
  <c r="M1134" i="59"/>
  <c r="Q1134" i="59" s="1"/>
  <c r="M949" i="59"/>
  <c r="Q949" i="59" s="1"/>
  <c r="M845" i="59"/>
  <c r="Q845" i="59" s="1"/>
  <c r="M1556" i="59"/>
  <c r="Q1556" i="59" s="1"/>
  <c r="M1560" i="59"/>
  <c r="Q1560" i="59" s="1"/>
  <c r="M1564" i="59"/>
  <c r="Q1564" i="59" s="1"/>
  <c r="M1568" i="59"/>
  <c r="Q1568" i="59" s="1"/>
  <c r="M1572" i="59"/>
  <c r="Q1572" i="59" s="1"/>
  <c r="M1669" i="59"/>
  <c r="Q1669" i="59" s="1"/>
  <c r="M1670" i="59"/>
  <c r="Q1670" i="59" s="1"/>
  <c r="M1671" i="59"/>
  <c r="Q1671" i="59" s="1"/>
  <c r="M1672" i="59"/>
  <c r="Q1672" i="59" s="1"/>
  <c r="M1673" i="59"/>
  <c r="Q1673" i="59" s="1"/>
  <c r="M1674" i="59"/>
  <c r="Q1674" i="59" s="1"/>
  <c r="M1675" i="59"/>
  <c r="Q1675" i="59" s="1"/>
  <c r="M1794" i="59"/>
  <c r="Q1794" i="59" s="1"/>
  <c r="M1795" i="59"/>
  <c r="Q1795" i="59" s="1"/>
  <c r="M1796" i="59"/>
  <c r="Q1796" i="59" s="1"/>
  <c r="M1010" i="59"/>
  <c r="Q1010" i="59" s="1"/>
  <c r="M1267" i="59"/>
  <c r="Q1267" i="59" s="1"/>
  <c r="M996" i="59"/>
  <c r="Q996" i="59" s="1"/>
  <c r="M918" i="59"/>
  <c r="Q918" i="59" s="1"/>
  <c r="M861" i="59"/>
  <c r="Q861" i="59" s="1"/>
  <c r="M1525" i="59"/>
  <c r="Q1525" i="59" s="1"/>
  <c r="M1503" i="59"/>
  <c r="Q1503" i="59" s="1"/>
  <c r="M1240" i="59"/>
  <c r="Q1240" i="59" s="1"/>
  <c r="M1319" i="59"/>
  <c r="Q1319" i="59" s="1"/>
  <c r="M1123" i="59"/>
  <c r="Q1123" i="59" s="1"/>
  <c r="M898" i="59"/>
  <c r="Q898" i="59" s="1"/>
  <c r="M1452" i="59"/>
  <c r="Q1452" i="59" s="1"/>
  <c r="M1464" i="59"/>
  <c r="Q1464" i="59" s="1"/>
  <c r="M1169" i="59"/>
  <c r="Q1169" i="59" s="1"/>
  <c r="M818" i="59"/>
  <c r="Q818" i="59" s="1"/>
  <c r="M938" i="59"/>
  <c r="Q938" i="59" s="1"/>
  <c r="M779" i="59"/>
  <c r="Q779" i="59" s="1"/>
  <c r="M759" i="59"/>
  <c r="Q759" i="59" s="1"/>
  <c r="M1215" i="59"/>
  <c r="Q1215" i="59" s="1"/>
  <c r="M1342" i="59"/>
  <c r="Q1342" i="59" s="1"/>
  <c r="M1030" i="59"/>
  <c r="Q1030" i="59" s="1"/>
  <c r="M836" i="59"/>
  <c r="Q836" i="59" s="1"/>
  <c r="M1408" i="59"/>
  <c r="Q1408" i="59" s="1"/>
  <c r="M1081" i="59"/>
  <c r="Q1081" i="59" s="1"/>
  <c r="M1253" i="59"/>
  <c r="Q1253" i="59" s="1"/>
  <c r="M1040" i="59"/>
  <c r="Q1040" i="59" s="1"/>
  <c r="M1050" i="59"/>
  <c r="Q1050" i="59" s="1"/>
  <c r="M886" i="59"/>
  <c r="Q886" i="59" s="1"/>
  <c r="M888" i="59"/>
  <c r="Q888" i="59" s="1"/>
  <c r="M1272" i="59"/>
  <c r="Q1272" i="59" s="1"/>
  <c r="M1275" i="59"/>
  <c r="Q1275" i="59" s="1"/>
  <c r="M1306" i="59"/>
  <c r="Q1306" i="59" s="1"/>
  <c r="M1202" i="59"/>
  <c r="Q1202" i="59" s="1"/>
  <c r="M1156" i="59"/>
  <c r="Q1156" i="59" s="1"/>
  <c r="M1439" i="59"/>
  <c r="Q1439" i="59" s="1"/>
  <c r="M1355" i="59"/>
  <c r="Q1355" i="59" s="1"/>
  <c r="M1113" i="59"/>
  <c r="Q1113" i="59" s="1"/>
  <c r="M1396" i="59"/>
  <c r="Q1396" i="59" s="1"/>
  <c r="M1427" i="59"/>
  <c r="Q1427" i="59" s="1"/>
  <c r="M1429" i="59"/>
  <c r="Q1429" i="59" s="1"/>
  <c r="M1493" i="59"/>
  <c r="Q1493" i="59" s="1"/>
  <c r="M1495" i="59"/>
  <c r="Q1495" i="59" s="1"/>
  <c r="M1517" i="59"/>
  <c r="Q1517" i="59" s="1"/>
  <c r="M1515" i="59"/>
  <c r="Q1515" i="59" s="1"/>
  <c r="M1511" i="59"/>
  <c r="Q1511" i="59" s="1"/>
  <c r="M1509" i="59"/>
  <c r="Q1509" i="59" s="1"/>
  <c r="M1365" i="59"/>
  <c r="Q1365" i="59" s="1"/>
  <c r="M1363" i="59"/>
  <c r="Q1363" i="59" s="1"/>
  <c r="M1486" i="59"/>
  <c r="Q1486" i="59" s="1"/>
  <c r="M1375" i="59"/>
  <c r="Q1375" i="59" s="1"/>
  <c r="M1420" i="59"/>
  <c r="Q1420" i="59" s="1"/>
  <c r="M1331" i="59"/>
  <c r="Q1331" i="59" s="1"/>
  <c r="M1093" i="59"/>
  <c r="Q1093" i="59" s="1"/>
  <c r="M1181" i="59"/>
  <c r="Q1181" i="59" s="1"/>
  <c r="M1285" i="59"/>
  <c r="Q1285" i="59" s="1"/>
  <c r="M1228" i="59"/>
  <c r="Q1228" i="59" s="1"/>
  <c r="M1135" i="59"/>
  <c r="Q1135" i="59" s="1"/>
  <c r="M950" i="59"/>
  <c r="Q950" i="59" s="1"/>
  <c r="M846" i="59"/>
  <c r="Q846" i="59" s="1"/>
  <c r="M1534" i="59"/>
  <c r="Q1534" i="59" s="1"/>
  <c r="M1576" i="59"/>
  <c r="Q1576" i="59" s="1"/>
  <c r="M1580" i="59"/>
  <c r="Q1580" i="59" s="1"/>
  <c r="M1584" i="59"/>
  <c r="Q1584" i="59" s="1"/>
  <c r="M1592" i="59"/>
  <c r="Q1592" i="59" s="1"/>
  <c r="M1588" i="59"/>
  <c r="Q1588" i="59" s="1"/>
  <c r="M1676" i="59"/>
  <c r="Q1676" i="59" s="1"/>
  <c r="M1677" i="59"/>
  <c r="Q1677" i="59" s="1"/>
  <c r="M1678" i="59"/>
  <c r="Q1678" i="59" s="1"/>
  <c r="M1679" i="59"/>
  <c r="Q1679" i="59" s="1"/>
  <c r="M1680" i="59"/>
  <c r="Q1680" i="59" s="1"/>
  <c r="M1797" i="59"/>
  <c r="Q1797" i="59" s="1"/>
  <c r="M1798" i="59"/>
  <c r="Q1798" i="59" s="1"/>
  <c r="M1799" i="59"/>
  <c r="Q1799" i="59" s="1"/>
  <c r="M1800" i="59"/>
  <c r="Q1800" i="59" s="1"/>
  <c r="M1801" i="59"/>
  <c r="Q1801" i="59" s="1"/>
  <c r="M1593" i="59"/>
  <c r="Q1593" i="59" s="1"/>
  <c r="M1597" i="59"/>
  <c r="Q1597" i="59" s="1"/>
  <c r="M1601" i="59"/>
  <c r="Q1601" i="59" s="1"/>
  <c r="M1605" i="59"/>
  <c r="Q1605" i="59" s="1"/>
  <c r="M1609" i="59"/>
  <c r="Q1609" i="59" s="1"/>
  <c r="M1681" i="59"/>
  <c r="Q1681" i="59" s="1"/>
  <c r="M1682" i="59"/>
  <c r="Q1682" i="59" s="1"/>
  <c r="M1683" i="59"/>
  <c r="Q1683" i="59" s="1"/>
  <c r="M1802" i="59"/>
  <c r="Q1802" i="59" s="1"/>
  <c r="M1803" i="59"/>
  <c r="Q1803" i="59" s="1"/>
  <c r="M1254" i="59"/>
  <c r="Q1254" i="59" s="1"/>
  <c r="M958" i="59"/>
  <c r="Q958" i="59" s="1"/>
  <c r="M963" i="59"/>
  <c r="Q963" i="59" s="1"/>
  <c r="M968" i="59"/>
  <c r="Q968" i="59" s="1"/>
  <c r="M973" i="59"/>
  <c r="Q973" i="59" s="1"/>
  <c r="M978" i="59"/>
  <c r="Q978" i="59" s="1"/>
  <c r="M1307" i="59"/>
  <c r="Q1307" i="59" s="1"/>
  <c r="M1203" i="59"/>
  <c r="Q1203" i="59" s="1"/>
  <c r="M1157" i="59"/>
  <c r="Q1157" i="59" s="1"/>
  <c r="M1440" i="59"/>
  <c r="Q1440" i="59" s="1"/>
  <c r="M1356" i="59"/>
  <c r="Q1356" i="59" s="1"/>
  <c r="M1114" i="59"/>
  <c r="Q1114" i="59" s="1"/>
  <c r="M1397" i="59"/>
  <c r="Q1397" i="59" s="1"/>
  <c r="M927" i="59"/>
  <c r="Q927" i="59" s="1"/>
  <c r="M1023" i="59"/>
  <c r="Q1023" i="59" s="1"/>
  <c r="M788" i="59"/>
  <c r="Q788" i="59" s="1"/>
  <c r="M1146" i="59"/>
  <c r="Q1146" i="59" s="1"/>
  <c r="M1296" i="59"/>
  <c r="Q1296" i="59" s="1"/>
  <c r="M826" i="59"/>
  <c r="Q826" i="59" s="1"/>
  <c r="M909" i="59"/>
  <c r="Q909" i="59" s="1"/>
  <c r="M1105" i="59"/>
  <c r="Q1105" i="59" s="1"/>
  <c r="M872" i="59"/>
  <c r="Q872" i="59" s="1"/>
  <c r="M1476" i="59"/>
  <c r="Q1476" i="59" s="1"/>
  <c r="M879" i="59"/>
  <c r="Q879" i="59" s="1"/>
  <c r="M806" i="59"/>
  <c r="Q806" i="59" s="1"/>
  <c r="M1192" i="59"/>
  <c r="Q1192" i="59" s="1"/>
  <c r="M1386" i="59"/>
  <c r="Q1386" i="59" s="1"/>
  <c r="M768" i="59"/>
  <c r="Q768" i="59" s="1"/>
  <c r="M1487" i="59"/>
  <c r="Q1487" i="59" s="1"/>
  <c r="M1376" i="59"/>
  <c r="Q1376" i="59" s="1"/>
  <c r="M1421" i="59"/>
  <c r="Q1421" i="59" s="1"/>
  <c r="M1332" i="59"/>
  <c r="Q1332" i="59" s="1"/>
  <c r="M1094" i="59"/>
  <c r="Q1094" i="59" s="1"/>
  <c r="M1182" i="59"/>
  <c r="Q1182" i="59" s="1"/>
  <c r="M1286" i="59"/>
  <c r="Q1286" i="59" s="1"/>
  <c r="M1229" i="59"/>
  <c r="Q1229" i="59" s="1"/>
  <c r="M1136" i="59"/>
  <c r="Q1136" i="59" s="1"/>
  <c r="M951" i="59"/>
  <c r="Q951" i="59" s="1"/>
  <c r="M847" i="59"/>
  <c r="Q847" i="59" s="1"/>
  <c r="M1684" i="59"/>
  <c r="Q1684" i="59" s="1"/>
  <c r="M1685" i="59"/>
  <c r="Q1685" i="59" s="1"/>
  <c r="M1686" i="59"/>
  <c r="Q1686" i="59" s="1"/>
  <c r="M1687" i="59"/>
  <c r="Q1687" i="59" s="1"/>
  <c r="M1688" i="59"/>
  <c r="Q1688" i="59" s="1"/>
  <c r="M1689" i="59"/>
  <c r="Q1689" i="59" s="1"/>
  <c r="M1690" i="59"/>
  <c r="Q1690" i="59" s="1"/>
  <c r="M1691" i="59"/>
  <c r="Q1691" i="59" s="1"/>
  <c r="M1692" i="59"/>
  <c r="Q1692" i="59" s="1"/>
  <c r="M1693" i="59"/>
  <c r="Q1693" i="59" s="1"/>
  <c r="M1694" i="59"/>
  <c r="Q1694" i="59" s="1"/>
  <c r="M1695" i="59"/>
  <c r="Q1695" i="59" s="1"/>
  <c r="M1804" i="59"/>
  <c r="Q1804" i="59" s="1"/>
  <c r="M1805" i="59"/>
  <c r="Q1805" i="59" s="1"/>
  <c r="M1806" i="59"/>
  <c r="Q1806" i="59" s="1"/>
  <c r="M890" i="59"/>
  <c r="Q890" i="59" s="1"/>
  <c r="M891" i="59"/>
  <c r="Q891" i="59" s="1"/>
  <c r="M1701" i="59"/>
  <c r="Q1701" i="59" s="1"/>
  <c r="M1702" i="59"/>
  <c r="Q1702" i="59" s="1"/>
  <c r="M1703" i="59"/>
  <c r="Q1703" i="59" s="1"/>
  <c r="M1704" i="59"/>
  <c r="Q1704" i="59" s="1"/>
  <c r="M1705" i="59"/>
  <c r="Q1705" i="59" s="1"/>
  <c r="M1255" i="59"/>
  <c r="Q1255" i="59" s="1"/>
  <c r="M1051" i="59"/>
  <c r="Q1051" i="59" s="1"/>
  <c r="M1053" i="59"/>
  <c r="Q1053" i="59" s="1"/>
  <c r="M1057" i="59"/>
  <c r="Q1057" i="59" s="1"/>
  <c r="M1061" i="59"/>
  <c r="Q1061" i="59" s="1"/>
  <c r="M1065" i="59"/>
  <c r="Q1065" i="59" s="1"/>
  <c r="M1069" i="59"/>
  <c r="Q1069" i="59" s="1"/>
  <c r="M983" i="59"/>
  <c r="Q983" i="59" s="1"/>
  <c r="M1011" i="59"/>
  <c r="Q1011" i="59" s="1"/>
  <c r="M1268" i="59"/>
  <c r="Q1268" i="59" s="1"/>
  <c r="M1308" i="59"/>
  <c r="Q1308" i="59" s="1"/>
  <c r="M1204" i="59"/>
  <c r="Q1204" i="59" s="1"/>
  <c r="M1158" i="59"/>
  <c r="Q1158" i="59" s="1"/>
  <c r="M1441" i="59"/>
  <c r="Q1441" i="59" s="1"/>
  <c r="M1357" i="59"/>
  <c r="Q1357" i="59" s="1"/>
  <c r="M1115" i="59"/>
  <c r="Q1115" i="59" s="1"/>
  <c r="M1398" i="59"/>
  <c r="Q1398" i="59" s="1"/>
  <c r="M1488" i="59"/>
  <c r="Q1488" i="59" s="1"/>
  <c r="M1377" i="59"/>
  <c r="Q1377" i="59" s="1"/>
  <c r="M1422" i="59"/>
  <c r="Q1422" i="59" s="1"/>
  <c r="M1333" i="59"/>
  <c r="Q1333" i="59" s="1"/>
  <c r="M1095" i="59"/>
  <c r="Q1095" i="59" s="1"/>
  <c r="M1183" i="59"/>
  <c r="Q1183" i="59" s="1"/>
  <c r="M1287" i="59"/>
  <c r="Q1287" i="59" s="1"/>
  <c r="M1230" i="59"/>
  <c r="Q1230" i="59" s="1"/>
  <c r="M1137" i="59"/>
  <c r="Q1137" i="59" s="1"/>
  <c r="M952" i="59"/>
  <c r="Q952" i="59" s="1"/>
  <c r="M848" i="59"/>
  <c r="Q848" i="59" s="1"/>
  <c r="M997" i="59"/>
  <c r="Q997" i="59" s="1"/>
  <c r="M919" i="59"/>
  <c r="Q919" i="59" s="1"/>
  <c r="M862" i="59"/>
  <c r="Q862" i="59" s="1"/>
  <c r="M1526" i="59"/>
  <c r="Q1526" i="59" s="1"/>
  <c r="M1504" i="59"/>
  <c r="Q1504" i="59" s="1"/>
  <c r="M1241" i="59"/>
  <c r="Q1241" i="59" s="1"/>
  <c r="M1320" i="59"/>
  <c r="Q1320" i="59" s="1"/>
  <c r="M1124" i="59"/>
  <c r="Q1124" i="59" s="1"/>
  <c r="M899" i="59"/>
  <c r="Q899" i="59" s="1"/>
  <c r="M1453" i="59"/>
  <c r="Q1453" i="59" s="1"/>
  <c r="M1465" i="59"/>
  <c r="Q1465" i="59" s="1"/>
  <c r="M1170" i="59"/>
  <c r="Q1170" i="59" s="1"/>
  <c r="M819" i="59"/>
  <c r="Q819" i="59" s="1"/>
  <c r="M939" i="59"/>
  <c r="Q939" i="59" s="1"/>
  <c r="M780" i="59"/>
  <c r="Q780" i="59" s="1"/>
  <c r="M760" i="59"/>
  <c r="Q760" i="59" s="1"/>
  <c r="M1216" i="59"/>
  <c r="Q1216" i="59" s="1"/>
  <c r="M1343" i="59"/>
  <c r="Q1343" i="59" s="1"/>
  <c r="M1031" i="59"/>
  <c r="Q1031" i="59" s="1"/>
  <c r="M837" i="59"/>
  <c r="Q837" i="59" s="1"/>
  <c r="M1409" i="59"/>
  <c r="Q1409" i="59" s="1"/>
  <c r="M1082" i="59"/>
  <c r="Q1082" i="59" s="1"/>
  <c r="M1535" i="59"/>
  <c r="Q1535" i="59" s="1"/>
  <c r="M1696" i="59"/>
  <c r="Q1696" i="59" s="1"/>
  <c r="M1697" i="59"/>
  <c r="Q1697" i="59" s="1"/>
  <c r="M1698" i="59"/>
  <c r="Q1698" i="59" s="1"/>
  <c r="M1699" i="59"/>
  <c r="Q1699" i="59" s="1"/>
  <c r="M1700" i="59"/>
  <c r="Q1700" i="59" s="1"/>
  <c r="M1711" i="59"/>
  <c r="Q1711" i="59" s="1"/>
  <c r="M1714" i="59"/>
  <c r="Q1714" i="59" s="1"/>
  <c r="M1717" i="59"/>
  <c r="Q1717" i="59" s="1"/>
  <c r="M1720" i="59"/>
  <c r="Q1720" i="59" s="1"/>
  <c r="M1723" i="59"/>
  <c r="Q1723" i="59" s="1"/>
  <c r="M1726" i="59"/>
  <c r="Q1726" i="59" s="1"/>
  <c r="M1729" i="59"/>
  <c r="Q1729" i="59" s="1"/>
  <c r="M1732" i="59"/>
  <c r="Q1732" i="59" s="1"/>
  <c r="M1735" i="59"/>
  <c r="Q1735" i="59" s="1"/>
  <c r="M1738" i="59"/>
  <c r="Q1738" i="59" s="1"/>
  <c r="M1741" i="59"/>
  <c r="Q1741" i="59" s="1"/>
  <c r="M1744" i="59"/>
  <c r="Q1744" i="59" s="1"/>
  <c r="M1747" i="59"/>
  <c r="Q1747" i="59" s="1"/>
  <c r="M1750" i="59"/>
  <c r="Q1750" i="59" s="1"/>
  <c r="M1753" i="59"/>
  <c r="Q1753" i="59" s="1"/>
  <c r="M1756" i="59"/>
  <c r="Q1756" i="59" s="1"/>
  <c r="M1759" i="59"/>
  <c r="Q1759" i="59" s="1"/>
  <c r="M1762" i="59"/>
  <c r="Q1762" i="59" s="1"/>
  <c r="M1765" i="59"/>
  <c r="Q1765" i="59" s="1"/>
  <c r="M1768" i="59"/>
  <c r="Q1768" i="59" s="1"/>
  <c r="M1771" i="59"/>
  <c r="Q1771" i="59" s="1"/>
  <c r="M1774" i="59"/>
  <c r="Q1774" i="59" s="1"/>
  <c r="M1777" i="59"/>
  <c r="Q1777" i="59" s="1"/>
  <c r="M1780" i="59"/>
  <c r="Q1780" i="59" s="1"/>
  <c r="M1783" i="59"/>
  <c r="Q1783" i="59" s="1"/>
  <c r="M1786" i="59"/>
  <c r="Q1786" i="59" s="1"/>
  <c r="M889" i="59"/>
  <c r="Q889" i="59" s="1"/>
  <c r="M1489" i="59"/>
  <c r="Q1489" i="59" s="1"/>
  <c r="M1378" i="59"/>
  <c r="Q1378" i="59" s="1"/>
  <c r="M1423" i="59"/>
  <c r="Q1423" i="59" s="1"/>
  <c r="M1334" i="59"/>
  <c r="Q1334" i="59" s="1"/>
  <c r="M1096" i="59"/>
  <c r="Q1096" i="59" s="1"/>
  <c r="M1184" i="59"/>
  <c r="Q1184" i="59" s="1"/>
  <c r="M1288" i="59"/>
  <c r="Q1288" i="59" s="1"/>
  <c r="M1231" i="59"/>
  <c r="Q1231" i="59" s="1"/>
  <c r="M1138" i="59"/>
  <c r="Q1138" i="59" s="1"/>
  <c r="M953" i="59"/>
  <c r="Q953" i="59" s="1"/>
  <c r="M849" i="59"/>
  <c r="Q849" i="59" s="1"/>
  <c r="M1706" i="59"/>
  <c r="Q1706" i="59" s="1"/>
  <c r="M1707" i="59"/>
  <c r="Q1707" i="59" s="1"/>
  <c r="M1708" i="59"/>
  <c r="Q1708" i="59" s="1"/>
  <c r="M1709" i="59"/>
  <c r="Q1709" i="59" s="1"/>
  <c r="M1710" i="59"/>
  <c r="Q1710" i="59" s="1"/>
  <c r="M959" i="59"/>
  <c r="Q959" i="59" s="1"/>
  <c r="M964" i="59"/>
  <c r="Q964" i="59" s="1"/>
  <c r="M969" i="59"/>
  <c r="Q969" i="59" s="1"/>
  <c r="M974" i="59"/>
  <c r="Q974" i="59" s="1"/>
  <c r="M979" i="59"/>
  <c r="Q979" i="59" s="1"/>
  <c r="M1013" i="59"/>
  <c r="Q1013" i="59" s="1"/>
  <c r="M1256" i="59"/>
  <c r="Q1256" i="59" s="1"/>
  <c r="M1052" i="59"/>
  <c r="Q1052" i="59" s="1"/>
  <c r="M1054" i="59"/>
  <c r="Q1054" i="59" s="1"/>
  <c r="M1058" i="59"/>
  <c r="Q1058" i="59" s="1"/>
  <c r="M1062" i="59"/>
  <c r="Q1062" i="59" s="1"/>
  <c r="M1066" i="59"/>
  <c r="Q1066" i="59" s="1"/>
  <c r="M1070" i="59"/>
  <c r="Q1070" i="59" s="1"/>
  <c r="M960" i="59"/>
  <c r="Q960" i="59" s="1"/>
  <c r="M965" i="59"/>
  <c r="Q965" i="59" s="1"/>
  <c r="M970" i="59"/>
  <c r="Q970" i="59" s="1"/>
  <c r="M975" i="59"/>
  <c r="Q975" i="59" s="1"/>
  <c r="M980" i="59"/>
  <c r="Q980" i="59" s="1"/>
  <c r="M984" i="59"/>
  <c r="Q984" i="59" s="1"/>
  <c r="M985" i="59"/>
  <c r="Q985" i="59" s="1"/>
  <c r="M986" i="59"/>
  <c r="Q986" i="59" s="1"/>
  <c r="M1014" i="59"/>
  <c r="Q1014" i="59" s="1"/>
  <c r="M1309" i="59"/>
  <c r="Q1309" i="59" s="1"/>
  <c r="M1205" i="59"/>
  <c r="Q1205" i="59" s="1"/>
  <c r="M1159" i="59"/>
  <c r="Q1159" i="59" s="1"/>
  <c r="M1442" i="59"/>
  <c r="Q1442" i="59" s="1"/>
  <c r="M1358" i="59"/>
  <c r="Q1358" i="59" s="1"/>
  <c r="M1116" i="59"/>
  <c r="Q1116" i="59" s="1"/>
  <c r="M1399" i="59"/>
  <c r="Q1399" i="59" s="1"/>
  <c r="M1712" i="59"/>
  <c r="Q1712" i="59" s="1"/>
  <c r="M1715" i="59"/>
  <c r="Q1715" i="59" s="1"/>
  <c r="M1718" i="59"/>
  <c r="Q1718" i="59" s="1"/>
  <c r="M1721" i="59"/>
  <c r="Q1721" i="59" s="1"/>
  <c r="M1724" i="59"/>
  <c r="Q1724" i="59" s="1"/>
  <c r="M1727" i="59"/>
  <c r="Q1727" i="59" s="1"/>
  <c r="M1730" i="59"/>
  <c r="Q1730" i="59" s="1"/>
  <c r="M1733" i="59"/>
  <c r="Q1733" i="59" s="1"/>
  <c r="M1736" i="59"/>
  <c r="Q1736" i="59" s="1"/>
  <c r="M1739" i="59"/>
  <c r="Q1739" i="59" s="1"/>
  <c r="M1742" i="59"/>
  <c r="Q1742" i="59" s="1"/>
  <c r="M1745" i="59"/>
  <c r="Q1745" i="59" s="1"/>
  <c r="M1748" i="59"/>
  <c r="Q1748" i="59" s="1"/>
  <c r="M1751" i="59"/>
  <c r="Q1751" i="59" s="1"/>
  <c r="M1754" i="59"/>
  <c r="Q1754" i="59" s="1"/>
  <c r="M1757" i="59"/>
  <c r="Q1757" i="59" s="1"/>
  <c r="M1760" i="59"/>
  <c r="Q1760" i="59" s="1"/>
  <c r="M1763" i="59"/>
  <c r="Q1763" i="59" s="1"/>
  <c r="M1766" i="59"/>
  <c r="Q1766" i="59" s="1"/>
  <c r="M1769" i="59"/>
  <c r="Q1769" i="59" s="1"/>
  <c r="M1772" i="59"/>
  <c r="Q1772" i="59" s="1"/>
  <c r="M1775" i="59"/>
  <c r="Q1775" i="59" s="1"/>
  <c r="M1778" i="59"/>
  <c r="Q1778" i="59" s="1"/>
  <c r="M1781" i="59"/>
  <c r="Q1781" i="59" s="1"/>
  <c r="M1784" i="59"/>
  <c r="Q1784" i="59" s="1"/>
  <c r="M1787" i="59"/>
  <c r="Q1787" i="59" s="1"/>
  <c r="M1257" i="59"/>
  <c r="Q1257" i="59" s="1"/>
  <c r="M1490" i="59"/>
  <c r="Q1490" i="59" s="1"/>
  <c r="M1379" i="59"/>
  <c r="Q1379" i="59" s="1"/>
  <c r="M1424" i="59"/>
  <c r="Q1424" i="59" s="1"/>
  <c r="M1335" i="59"/>
  <c r="Q1335" i="59" s="1"/>
  <c r="M1097" i="59"/>
  <c r="Q1097" i="59" s="1"/>
  <c r="M1185" i="59"/>
  <c r="Q1185" i="59" s="1"/>
  <c r="M1289" i="59"/>
  <c r="Q1289" i="59" s="1"/>
  <c r="M1232" i="59"/>
  <c r="Q1232" i="59" s="1"/>
  <c r="M1139" i="59"/>
  <c r="Q1139" i="59" s="1"/>
  <c r="M954" i="59"/>
  <c r="Q954" i="59" s="1"/>
  <c r="M850" i="59"/>
  <c r="Q850" i="59" s="1"/>
  <c r="M1428" i="59"/>
  <c r="Q1428" i="59" s="1"/>
  <c r="M1536" i="59"/>
  <c r="Q1536" i="59" s="1"/>
  <c r="M1043" i="59"/>
  <c r="Q1043" i="59" s="1"/>
  <c r="M1046" i="59"/>
  <c r="Q1046" i="59" s="1"/>
  <c r="M1049" i="59"/>
  <c r="Q1049" i="59" s="1"/>
  <c r="M1015" i="59"/>
  <c r="Q1015" i="59" s="1"/>
  <c r="M1273" i="59"/>
  <c r="Q1273" i="59" s="1"/>
  <c r="M1276" i="59"/>
  <c r="Q1276" i="59" s="1"/>
  <c r="M1430" i="59"/>
  <c r="Q1430" i="59" s="1"/>
  <c r="M1496" i="59"/>
  <c r="Q1496" i="59" s="1"/>
  <c r="M1518" i="59"/>
  <c r="Q1518" i="59" s="1"/>
  <c r="M1512" i="59"/>
  <c r="Q1512" i="59" s="1"/>
  <c r="M1366" i="59"/>
  <c r="Q1366" i="59" s="1"/>
  <c r="M851" i="59"/>
  <c r="Q851" i="59" s="1"/>
  <c r="M1016" i="59"/>
  <c r="Q1016" i="59" s="1"/>
  <c r="M1147" i="59"/>
  <c r="Q1147" i="59" s="1"/>
  <c r="M1297" i="59"/>
  <c r="Q1297" i="59" s="1"/>
  <c r="M1477" i="59"/>
  <c r="Q1477" i="59" s="1"/>
  <c r="M1193" i="59"/>
  <c r="Q1193" i="59" s="1"/>
  <c r="M1387" i="59"/>
  <c r="Q1387" i="59" s="1"/>
  <c r="M1469" i="59"/>
  <c r="Q1469" i="59" s="1"/>
  <c r="M1055" i="59"/>
  <c r="Q1055" i="59" s="1"/>
  <c r="M1059" i="59"/>
  <c r="Q1059" i="59" s="1"/>
  <c r="M1063" i="59"/>
  <c r="Q1063" i="59" s="1"/>
  <c r="M1067" i="59"/>
  <c r="Q1067" i="59" s="1"/>
  <c r="M1071" i="59"/>
  <c r="Q1071" i="59" s="1"/>
  <c r="M1220" i="59"/>
  <c r="Q1220" i="59" s="1"/>
  <c r="M1148" i="59"/>
  <c r="Q1148" i="59" s="1"/>
  <c r="M1298" i="59"/>
  <c r="Q1298" i="59" s="1"/>
  <c r="M1478" i="59"/>
  <c r="Q1478" i="59" s="1"/>
  <c r="M1194" i="59"/>
  <c r="Q1194" i="59" s="1"/>
  <c r="M1388" i="59"/>
  <c r="Q1388" i="59" s="1"/>
  <c r="M1431" i="59"/>
  <c r="Q1431" i="59" s="1"/>
  <c r="M1497" i="59"/>
  <c r="Q1497" i="59" s="1"/>
  <c r="M1519" i="59"/>
  <c r="Q1519" i="59" s="1"/>
  <c r="M1513" i="59"/>
  <c r="Q1513" i="59" s="1"/>
  <c r="M1367" i="59"/>
  <c r="Q1367" i="59" s="1"/>
  <c r="M1470" i="59"/>
  <c r="Q1470" i="59" s="1"/>
  <c r="M1537" i="59"/>
  <c r="Q1537" i="59" s="1"/>
  <c r="M1056" i="59"/>
  <c r="Q1056" i="59" s="1"/>
  <c r="M1060" i="59"/>
  <c r="Q1060" i="59" s="1"/>
  <c r="M1064" i="59"/>
  <c r="Q1064" i="59" s="1"/>
  <c r="M1068" i="59"/>
  <c r="Q1068" i="59" s="1"/>
  <c r="M1072" i="59"/>
  <c r="Q1072" i="59" s="1"/>
  <c r="M1274" i="59"/>
  <c r="Q1274" i="59" s="1"/>
  <c r="M1277" i="59"/>
  <c r="Q1277" i="59" s="1"/>
  <c r="M998" i="59"/>
  <c r="Q998" i="59" s="1"/>
  <c r="M999" i="59"/>
  <c r="Q999" i="59" s="1"/>
  <c r="M1000" i="59"/>
  <c r="Q1000" i="59" s="1"/>
  <c r="M920" i="59"/>
  <c r="Q920" i="59" s="1"/>
  <c r="M863" i="59"/>
  <c r="Q863" i="59" s="1"/>
  <c r="M864" i="59"/>
  <c r="Q864" i="59" s="1"/>
  <c r="M865" i="59"/>
  <c r="Q865" i="59" s="1"/>
  <c r="M1528" i="59"/>
  <c r="Q1528" i="59" s="1"/>
  <c r="M1529" i="59"/>
  <c r="Q1529" i="59" s="1"/>
  <c r="M1521" i="59"/>
  <c r="Q1521" i="59" s="1"/>
  <c r="M1505" i="59"/>
  <c r="Q1505" i="59" s="1"/>
  <c r="M1506" i="59"/>
  <c r="Q1506" i="59" s="1"/>
  <c r="M1507" i="59"/>
  <c r="Q1507" i="59" s="1"/>
  <c r="M1245" i="59"/>
  <c r="Q1245" i="59" s="1"/>
  <c r="M1321" i="59"/>
  <c r="Q1321" i="59" s="1"/>
  <c r="M1322" i="59"/>
  <c r="Q1322" i="59" s="1"/>
  <c r="M1323" i="59"/>
  <c r="Q1323" i="59" s="1"/>
  <c r="M1125" i="59"/>
  <c r="Q1125" i="59" s="1"/>
  <c r="M1126" i="59"/>
  <c r="Q1126" i="59" s="1"/>
  <c r="M1127" i="59"/>
  <c r="Q1127" i="59" s="1"/>
  <c r="M900" i="59"/>
  <c r="Q900" i="59" s="1"/>
  <c r="M901" i="59"/>
  <c r="Q901" i="59" s="1"/>
  <c r="M902" i="59"/>
  <c r="Q902" i="59" s="1"/>
  <c r="M1454" i="59"/>
  <c r="Q1454" i="59" s="1"/>
  <c r="M1455" i="59"/>
  <c r="Q1455" i="59" s="1"/>
  <c r="M1456" i="59"/>
  <c r="Q1456" i="59" s="1"/>
  <c r="M1466" i="59"/>
  <c r="Q1466" i="59" s="1"/>
  <c r="M1467" i="59"/>
  <c r="Q1467" i="59" s="1"/>
  <c r="M1468" i="59"/>
  <c r="Q1468" i="59" s="1"/>
  <c r="M1171" i="59"/>
  <c r="Q1171" i="59" s="1"/>
  <c r="M1172" i="59"/>
  <c r="Q1172" i="59" s="1"/>
  <c r="M1173" i="59"/>
  <c r="Q1173" i="59" s="1"/>
  <c r="M940" i="59"/>
  <c r="Q940" i="59" s="1"/>
  <c r="M942" i="59"/>
  <c r="Q942" i="59" s="1"/>
  <c r="M941" i="59"/>
  <c r="Q941" i="59" s="1"/>
  <c r="M781" i="59"/>
  <c r="Q781" i="59" s="1"/>
  <c r="M761" i="59"/>
  <c r="Q761" i="59" s="1"/>
  <c r="M1217" i="59"/>
  <c r="Q1217" i="59" s="1"/>
  <c r="M1218" i="59"/>
  <c r="Q1218" i="59" s="1"/>
  <c r="M1219" i="59"/>
  <c r="Q1219" i="59" s="1"/>
  <c r="M1344" i="59"/>
  <c r="Q1344" i="59" s="1"/>
  <c r="M1345" i="59"/>
  <c r="Q1345" i="59" s="1"/>
  <c r="M1346" i="59"/>
  <c r="Q1346" i="59" s="1"/>
  <c r="M1347" i="59"/>
  <c r="Q1347" i="59" s="1"/>
  <c r="M1032" i="59"/>
  <c r="Q1032" i="59" s="1"/>
  <c r="M1033" i="59"/>
  <c r="Q1033" i="59" s="1"/>
  <c r="M1034" i="59"/>
  <c r="Q1034" i="59" s="1"/>
  <c r="M838" i="59"/>
  <c r="Q838" i="59" s="1"/>
  <c r="M1410" i="59"/>
  <c r="Q1410" i="59" s="1"/>
  <c r="M1411" i="59"/>
  <c r="Q1411" i="59" s="1"/>
  <c r="M1412" i="59"/>
  <c r="Q1412" i="59" s="1"/>
  <c r="M1083" i="59"/>
  <c r="Q1083" i="59" s="1"/>
  <c r="M1084" i="59"/>
  <c r="Q1084" i="59" s="1"/>
  <c r="M1085" i="59"/>
  <c r="Q1085" i="59" s="1"/>
  <c r="M1594" i="59"/>
  <c r="Q1594" i="59" s="1"/>
  <c r="M1595" i="59"/>
  <c r="Q1595" i="59" s="1"/>
  <c r="M1596" i="59"/>
  <c r="Q1596" i="59" s="1"/>
  <c r="M1598" i="59"/>
  <c r="Q1598" i="59" s="1"/>
  <c r="M1599" i="59"/>
  <c r="Q1599" i="59" s="1"/>
  <c r="M1600" i="59"/>
  <c r="Q1600" i="59" s="1"/>
  <c r="M1602" i="59"/>
  <c r="Q1602" i="59" s="1"/>
  <c r="M1603" i="59"/>
  <c r="Q1603" i="59" s="1"/>
  <c r="M1604" i="59"/>
  <c r="Q1604" i="59" s="1"/>
  <c r="M1606" i="59"/>
  <c r="Q1606" i="59" s="1"/>
  <c r="M1607" i="59"/>
  <c r="Q1607" i="59" s="1"/>
  <c r="M1608" i="59"/>
  <c r="Q1608" i="59" s="1"/>
  <c r="M1610" i="59"/>
  <c r="Q1610" i="59" s="1"/>
  <c r="M1611" i="59"/>
  <c r="Q1611" i="59" s="1"/>
  <c r="M1612" i="59"/>
  <c r="Q1612" i="59" s="1"/>
  <c r="M1613" i="59"/>
  <c r="Q1613" i="59" s="1"/>
  <c r="M1614" i="59"/>
  <c r="Q1614" i="59" s="1"/>
  <c r="M1615" i="59"/>
  <c r="Q1615" i="59" s="1"/>
  <c r="M1616" i="59"/>
  <c r="Q1616" i="59" s="1"/>
  <c r="M1617" i="59"/>
  <c r="Q1617" i="59" s="1"/>
  <c r="M1618" i="59"/>
  <c r="Q1618" i="59" s="1"/>
  <c r="M1619" i="59"/>
  <c r="Q1619" i="59" s="1"/>
  <c r="M1620" i="59"/>
  <c r="Q1620" i="59" s="1"/>
  <c r="M1621" i="59"/>
  <c r="Q1621" i="59" s="1"/>
  <c r="M1622" i="59"/>
  <c r="Q1622" i="59" s="1"/>
  <c r="M1623" i="59"/>
  <c r="Q1623" i="59" s="1"/>
  <c r="M1624" i="59"/>
  <c r="Q1624" i="59" s="1"/>
  <c r="M1625" i="59"/>
  <c r="Q1625" i="59" s="1"/>
  <c r="M1626" i="59"/>
  <c r="Q1626" i="59" s="1"/>
  <c r="M1627" i="59"/>
  <c r="Q1627" i="59" s="1"/>
  <c r="M1628" i="59"/>
  <c r="Q1628" i="59" s="1"/>
  <c r="M1629" i="59"/>
  <c r="Q1629" i="59" s="1"/>
  <c r="M1630" i="59"/>
  <c r="Q1630" i="59" s="1"/>
  <c r="M1631" i="59"/>
  <c r="Q1631" i="59" s="1"/>
  <c r="M1632" i="59"/>
  <c r="Q1632" i="59" s="1"/>
  <c r="M1633" i="59"/>
  <c r="Q1633" i="59" s="1"/>
  <c r="M1634" i="59"/>
  <c r="Q1634" i="59" s="1"/>
  <c r="M1635" i="59"/>
  <c r="Q1635" i="59" s="1"/>
  <c r="M1636" i="59"/>
  <c r="Q1636" i="59" s="1"/>
  <c r="M1637" i="59"/>
  <c r="Q1637" i="59" s="1"/>
  <c r="M1638" i="59"/>
  <c r="Q1638" i="59" s="1"/>
  <c r="M1639" i="59"/>
  <c r="Q1639" i="59" s="1"/>
  <c r="M1640" i="59"/>
  <c r="Q1640" i="59" s="1"/>
  <c r="M1641" i="59"/>
  <c r="Q1641" i="59" s="1"/>
  <c r="M1642" i="59"/>
  <c r="Q1642" i="59" s="1"/>
  <c r="M1643" i="59"/>
  <c r="Q1643" i="59" s="1"/>
  <c r="M1644" i="59"/>
  <c r="Q1644" i="59" s="1"/>
  <c r="M1645" i="59"/>
  <c r="Q1645" i="59" s="1"/>
  <c r="M1646" i="59"/>
  <c r="Q1646" i="59" s="1"/>
  <c r="M1647" i="59"/>
  <c r="Q1647" i="59" s="1"/>
  <c r="M1648" i="59"/>
  <c r="Q1648" i="59" s="1"/>
  <c r="M1649" i="59"/>
  <c r="Q1649" i="59" s="1"/>
  <c r="M1650" i="59"/>
  <c r="Q1650" i="59" s="1"/>
  <c r="M1651" i="59"/>
  <c r="Q1651" i="59" s="1"/>
  <c r="M1652" i="59"/>
  <c r="Q1652" i="59" s="1"/>
  <c r="M1653" i="59"/>
  <c r="Q1653" i="59" s="1"/>
  <c r="M1654" i="59"/>
  <c r="Q1654" i="59" s="1"/>
  <c r="M1655" i="59"/>
  <c r="Q1655" i="59" s="1"/>
  <c r="M1656" i="59"/>
  <c r="Q1656" i="59" s="1"/>
  <c r="M1657" i="59"/>
  <c r="Q1657" i="59" s="1"/>
  <c r="M1658" i="59"/>
  <c r="Q1658" i="59" s="1"/>
  <c r="M1659" i="59"/>
  <c r="Q1659" i="59" s="1"/>
  <c r="M1660" i="59"/>
  <c r="Q1660" i="59" s="1"/>
  <c r="M1661" i="59"/>
  <c r="Q1661" i="59" s="1"/>
  <c r="M1662" i="59"/>
  <c r="Q1662" i="59" s="1"/>
  <c r="M1663" i="59"/>
  <c r="Q1663" i="59" s="1"/>
  <c r="M1664" i="59"/>
  <c r="Q1664" i="59" s="1"/>
  <c r="M1665" i="59"/>
  <c r="Q1665" i="59" s="1"/>
  <c r="M1666" i="59"/>
  <c r="Q1666" i="59" s="1"/>
  <c r="M1667" i="59"/>
  <c r="Q1667" i="59" s="1"/>
  <c r="M1668" i="59"/>
  <c r="Q1668" i="59" s="1"/>
  <c r="M1713" i="59"/>
  <c r="Q1713" i="59" s="1"/>
  <c r="M1716" i="59"/>
  <c r="Q1716" i="59" s="1"/>
  <c r="M1719" i="59"/>
  <c r="Q1719" i="59" s="1"/>
  <c r="M1722" i="59"/>
  <c r="Q1722" i="59" s="1"/>
  <c r="M1725" i="59"/>
  <c r="Q1725" i="59" s="1"/>
  <c r="M1728" i="59"/>
  <c r="Q1728" i="59" s="1"/>
  <c r="M1731" i="59"/>
  <c r="Q1731" i="59" s="1"/>
  <c r="M1734" i="59"/>
  <c r="Q1734" i="59" s="1"/>
  <c r="M1737" i="59"/>
  <c r="Q1737" i="59" s="1"/>
  <c r="M1740" i="59"/>
  <c r="Q1740" i="59" s="1"/>
  <c r="M1743" i="59"/>
  <c r="Q1743" i="59" s="1"/>
  <c r="M1746" i="59"/>
  <c r="Q1746" i="59" s="1"/>
  <c r="M1749" i="59"/>
  <c r="Q1749" i="59" s="1"/>
  <c r="M1752" i="59"/>
  <c r="Q1752" i="59" s="1"/>
  <c r="M1755" i="59"/>
  <c r="Q1755" i="59" s="1"/>
  <c r="M1758" i="59"/>
  <c r="Q1758" i="59" s="1"/>
  <c r="M1761" i="59"/>
  <c r="Q1761" i="59" s="1"/>
  <c r="M1764" i="59"/>
  <c r="Q1764" i="59" s="1"/>
  <c r="M1767" i="59"/>
  <c r="Q1767" i="59" s="1"/>
  <c r="M1770" i="59"/>
  <c r="Q1770" i="59" s="1"/>
  <c r="M1773" i="59"/>
  <c r="Q1773" i="59" s="1"/>
  <c r="M1776" i="59"/>
  <c r="Q1776" i="59" s="1"/>
  <c r="M1779" i="59"/>
  <c r="Q1779" i="59" s="1"/>
  <c r="M1782" i="59"/>
  <c r="Q1782" i="59" s="1"/>
  <c r="M1785" i="59"/>
  <c r="Q1785" i="59" s="1"/>
  <c r="M1788" i="59"/>
  <c r="Q1788" i="59" s="1"/>
  <c r="M987" i="59"/>
  <c r="Q987" i="59" s="1"/>
  <c r="M1074" i="59"/>
  <c r="Q1074" i="59" s="1"/>
  <c r="Q1035" i="59"/>
  <c r="K24" i="92" l="1"/>
  <c r="G26" i="92"/>
  <c r="G25" i="92"/>
  <c r="K25" i="92"/>
  <c r="J24" i="92"/>
  <c r="I24" i="92" s="1"/>
  <c r="J25" i="92"/>
  <c r="I25" i="92" s="1"/>
  <c r="G24" i="92"/>
  <c r="E25" i="92"/>
  <c r="C24" i="92" s="1"/>
  <c r="E26" i="92"/>
  <c r="E28" i="92"/>
  <c r="A34" i="92"/>
  <c r="K77" i="92"/>
  <c r="J76" i="92"/>
  <c r="I76" i="92" s="1"/>
  <c r="E77" i="92"/>
  <c r="C76" i="92" s="1"/>
  <c r="J77" i="92"/>
  <c r="I77" i="92" s="1"/>
  <c r="G76" i="92"/>
  <c r="G78" i="92"/>
  <c r="G77" i="92"/>
  <c r="E78" i="92"/>
  <c r="K76" i="92"/>
  <c r="E80" i="92"/>
  <c r="A86" i="92"/>
  <c r="E322" i="70"/>
  <c r="D322" i="70"/>
  <c r="D15" i="91"/>
  <c r="B15" i="91"/>
  <c r="H25" i="91"/>
  <c r="F22" i="91"/>
  <c r="L19" i="91"/>
  <c r="F18" i="91"/>
  <c r="K19" i="91"/>
  <c r="N19" i="91"/>
  <c r="M19" i="91"/>
  <c r="G19" i="91"/>
  <c r="N18" i="91"/>
  <c r="Q18" i="91"/>
  <c r="L18" i="91"/>
  <c r="P18" i="91"/>
  <c r="O18" i="91" s="1"/>
  <c r="K18" i="91"/>
  <c r="P19" i="91"/>
  <c r="O19" i="91" s="1"/>
  <c r="M18" i="91"/>
  <c r="L2083" i="83"/>
  <c r="M2083" i="83" s="1"/>
  <c r="L2084" i="83"/>
  <c r="J2083" i="83"/>
  <c r="I2084" i="83"/>
  <c r="G2102" i="83"/>
  <c r="F2102" i="83"/>
  <c r="I2097" i="83"/>
  <c r="G2101" i="83"/>
  <c r="D2097" i="83"/>
  <c r="F2101" i="83"/>
  <c r="D2099" i="83"/>
  <c r="B2099" i="83"/>
  <c r="D2092" i="83"/>
  <c r="G2095" i="83"/>
  <c r="F2095" i="83"/>
  <c r="I2090" i="83"/>
  <c r="G2094" i="83"/>
  <c r="D2090" i="83"/>
  <c r="F2094" i="83"/>
  <c r="B2092" i="83"/>
  <c r="J2062" i="83"/>
  <c r="L2063" i="83"/>
  <c r="L2062" i="83"/>
  <c r="M2062" i="83" s="1"/>
  <c r="I2063" i="83"/>
  <c r="I2056" i="83"/>
  <c r="L2055" i="83"/>
  <c r="M2055" i="83" s="1"/>
  <c r="J2055" i="83"/>
  <c r="L2056" i="83"/>
  <c r="I2021" i="83"/>
  <c r="L2020" i="83"/>
  <c r="M2020" i="83" s="1"/>
  <c r="L2021" i="83"/>
  <c r="J2020" i="83"/>
  <c r="J2027" i="83"/>
  <c r="L2027" i="83"/>
  <c r="M2027" i="83" s="1"/>
  <c r="L2028" i="83"/>
  <c r="I2028" i="83"/>
  <c r="I1986" i="83"/>
  <c r="L1985" i="83"/>
  <c r="M1985" i="83" s="1"/>
  <c r="J1985" i="83"/>
  <c r="L1986" i="83"/>
  <c r="J1992" i="83"/>
  <c r="L1993" i="83"/>
  <c r="I1993" i="83"/>
  <c r="L1992" i="83"/>
  <c r="M1992" i="83" s="1"/>
  <c r="G1962" i="83"/>
  <c r="F1962" i="83"/>
  <c r="I1957" i="83"/>
  <c r="G1961" i="83"/>
  <c r="D1957" i="83"/>
  <c r="F1961" i="83"/>
  <c r="D1959" i="83"/>
  <c r="B1959" i="83"/>
  <c r="D1952" i="83"/>
  <c r="F1955" i="83"/>
  <c r="G1955" i="83"/>
  <c r="I1950" i="83"/>
  <c r="G1954" i="83"/>
  <c r="D1950" i="83"/>
  <c r="F1954" i="83"/>
  <c r="B1952" i="83"/>
  <c r="L1943" i="83"/>
  <c r="M1943" i="83" s="1"/>
  <c r="L1944" i="83"/>
  <c r="I1944" i="83"/>
  <c r="J1943" i="83"/>
  <c r="G1927" i="83"/>
  <c r="F1927" i="83"/>
  <c r="I1922" i="83"/>
  <c r="D1922" i="83"/>
  <c r="G1926" i="83"/>
  <c r="F1926" i="83"/>
  <c r="D1924" i="83"/>
  <c r="B1924" i="83"/>
  <c r="D1915" i="83"/>
  <c r="F1919" i="83"/>
  <c r="G1920" i="83"/>
  <c r="G1919" i="83"/>
  <c r="D1917" i="83"/>
  <c r="F1920" i="83"/>
  <c r="I1915" i="83"/>
  <c r="B1917" i="83"/>
  <c r="J1908" i="83"/>
  <c r="L1909" i="83"/>
  <c r="I1909" i="83"/>
  <c r="L1908" i="83"/>
  <c r="M1908" i="83" s="1"/>
  <c r="L1874" i="83"/>
  <c r="I1874" i="83"/>
  <c r="L1873" i="83"/>
  <c r="M1873" i="83" s="1"/>
  <c r="J1873" i="83"/>
  <c r="G1892" i="83"/>
  <c r="F1892" i="83"/>
  <c r="I1887" i="83"/>
  <c r="G1891" i="83"/>
  <c r="D1887" i="83"/>
  <c r="F1891" i="83"/>
  <c r="D1889" i="83"/>
  <c r="B1889" i="83"/>
  <c r="D1882" i="83"/>
  <c r="G1885" i="83"/>
  <c r="F1885" i="83"/>
  <c r="I1880" i="83"/>
  <c r="G1884" i="83"/>
  <c r="D1880" i="83"/>
  <c r="B1882" i="83"/>
  <c r="F1884" i="83"/>
  <c r="I1846" i="83"/>
  <c r="L1845" i="83"/>
  <c r="M1845" i="83" s="1"/>
  <c r="J1845" i="83"/>
  <c r="L1846" i="83"/>
  <c r="J1852" i="83"/>
  <c r="L1852" i="83"/>
  <c r="M1852" i="83" s="1"/>
  <c r="L1853" i="83"/>
  <c r="I1853" i="83"/>
  <c r="J1817" i="83"/>
  <c r="L1818" i="83"/>
  <c r="L1817" i="83"/>
  <c r="M1817" i="83" s="1"/>
  <c r="I1818" i="83"/>
  <c r="I1811" i="83"/>
  <c r="L1810" i="83"/>
  <c r="M1810" i="83" s="1"/>
  <c r="L1811" i="83"/>
  <c r="J1810" i="83"/>
  <c r="J1768" i="83"/>
  <c r="L1769" i="83"/>
  <c r="I1769" i="83"/>
  <c r="L1768" i="83"/>
  <c r="M1768" i="83" s="1"/>
  <c r="G1787" i="83"/>
  <c r="F1787" i="83"/>
  <c r="I1782" i="83"/>
  <c r="G1786" i="83"/>
  <c r="D1782" i="83"/>
  <c r="F1786" i="83"/>
  <c r="D1784" i="83"/>
  <c r="B1784" i="83"/>
  <c r="G1780" i="83"/>
  <c r="F1780" i="83"/>
  <c r="I1775" i="83"/>
  <c r="B1777" i="83"/>
  <c r="G1779" i="83"/>
  <c r="D1775" i="83"/>
  <c r="F1779" i="83"/>
  <c r="D1777" i="83"/>
  <c r="L1698" i="83"/>
  <c r="M1698" i="83" s="1"/>
  <c r="L1699" i="83"/>
  <c r="I1699" i="83"/>
  <c r="J1698" i="83"/>
  <c r="B1707" i="83"/>
  <c r="G1710" i="83"/>
  <c r="F1709" i="83"/>
  <c r="F1710" i="83"/>
  <c r="I1705" i="83"/>
  <c r="G1709" i="83"/>
  <c r="D1705" i="83"/>
  <c r="D1707" i="83"/>
  <c r="D1713" i="83"/>
  <c r="B1713" i="83"/>
  <c r="A1726" i="83"/>
  <c r="B1719" i="83"/>
  <c r="I1629" i="83"/>
  <c r="L1629" i="83"/>
  <c r="L1628" i="83"/>
  <c r="M1628" i="83" s="1"/>
  <c r="J1628" i="83"/>
  <c r="D1635" i="83"/>
  <c r="B1637" i="83"/>
  <c r="G1640" i="83"/>
  <c r="F1640" i="83"/>
  <c r="I1635" i="83"/>
  <c r="G1639" i="83"/>
  <c r="F1639" i="83"/>
  <c r="D1637" i="83"/>
  <c r="D1643" i="83"/>
  <c r="B1643" i="83"/>
  <c r="B1649" i="83"/>
  <c r="A1656" i="83"/>
  <c r="L1558" i="83"/>
  <c r="M1558" i="83" s="1"/>
  <c r="L1559" i="83"/>
  <c r="I1559" i="83"/>
  <c r="J1558" i="83"/>
  <c r="B1573" i="83"/>
  <c r="D1573" i="83"/>
  <c r="B1579" i="83"/>
  <c r="A1586" i="83"/>
  <c r="F1569" i="83"/>
  <c r="D1567" i="83"/>
  <c r="D1565" i="83"/>
  <c r="G1569" i="83"/>
  <c r="G1570" i="83"/>
  <c r="F1570" i="83"/>
  <c r="I1565" i="83"/>
  <c r="B1567" i="83"/>
  <c r="L1418" i="83"/>
  <c r="M1418" i="83" s="1"/>
  <c r="J1418" i="83"/>
  <c r="L1419" i="83"/>
  <c r="I1419" i="83"/>
  <c r="D1427" i="83"/>
  <c r="F1430" i="83"/>
  <c r="B1427" i="83"/>
  <c r="I1425" i="83"/>
  <c r="G1429" i="83"/>
  <c r="F1429" i="83"/>
  <c r="D1425" i="83"/>
  <c r="G1430" i="83"/>
  <c r="B1433" i="83"/>
  <c r="D1433" i="83"/>
  <c r="B1439" i="83"/>
  <c r="A1446" i="83"/>
  <c r="L1278" i="83"/>
  <c r="M1278" i="83" s="1"/>
  <c r="J1278" i="83"/>
  <c r="L1279" i="83"/>
  <c r="I1279" i="83"/>
  <c r="B1293" i="83"/>
  <c r="D1293" i="83"/>
  <c r="B1299" i="83"/>
  <c r="A1306" i="83"/>
  <c r="D1287" i="83"/>
  <c r="B1287" i="83"/>
  <c r="D1285" i="83"/>
  <c r="G1289" i="83"/>
  <c r="I1285" i="83"/>
  <c r="G1290" i="83"/>
  <c r="F1290" i="83"/>
  <c r="F1289" i="83"/>
  <c r="B1153" i="83"/>
  <c r="D1153" i="83"/>
  <c r="B1159" i="83"/>
  <c r="A1166" i="83"/>
  <c r="L1138" i="83"/>
  <c r="M1138" i="83" s="1"/>
  <c r="J1138" i="83"/>
  <c r="L1139" i="83"/>
  <c r="I1139" i="83"/>
  <c r="D1147" i="83"/>
  <c r="D1145" i="83"/>
  <c r="B1147" i="83"/>
  <c r="F1150" i="83"/>
  <c r="I1145" i="83"/>
  <c r="G1149" i="83"/>
  <c r="G1150" i="83"/>
  <c r="F1149" i="83"/>
  <c r="J1068" i="83"/>
  <c r="L1069" i="83"/>
  <c r="I1069" i="83"/>
  <c r="L1068" i="83"/>
  <c r="M1068" i="83" s="1"/>
  <c r="F1080" i="83"/>
  <c r="D1075" i="83"/>
  <c r="G1080" i="83"/>
  <c r="G1079" i="83"/>
  <c r="F1079" i="83"/>
  <c r="I1075" i="83"/>
  <c r="D1077" i="83"/>
  <c r="B1077" i="83"/>
  <c r="D1083" i="83"/>
  <c r="B1083" i="83"/>
  <c r="A1096" i="83"/>
  <c r="B1089" i="83"/>
  <c r="J998" i="83"/>
  <c r="L999" i="83"/>
  <c r="I999" i="83"/>
  <c r="L998" i="83"/>
  <c r="M998" i="83" s="1"/>
  <c r="D1013" i="83"/>
  <c r="B1013" i="83"/>
  <c r="B1019" i="83"/>
  <c r="A1026" i="83"/>
  <c r="D1005" i="83"/>
  <c r="D1007" i="83"/>
  <c r="G1010" i="83"/>
  <c r="G1009" i="83"/>
  <c r="F1010" i="83"/>
  <c r="I1005" i="83"/>
  <c r="F1009" i="83"/>
  <c r="B1007" i="83"/>
  <c r="J928" i="83"/>
  <c r="L929" i="83"/>
  <c r="I929" i="83"/>
  <c r="L928" i="83"/>
  <c r="M928" i="83" s="1"/>
  <c r="D943" i="83"/>
  <c r="B943" i="83"/>
  <c r="A956" i="83"/>
  <c r="B949" i="83"/>
  <c r="I935" i="83"/>
  <c r="G940" i="83"/>
  <c r="F939" i="83"/>
  <c r="D937" i="83"/>
  <c r="F940" i="83"/>
  <c r="G939" i="83"/>
  <c r="D935" i="83"/>
  <c r="B937" i="83"/>
  <c r="J858" i="83"/>
  <c r="L859" i="83"/>
  <c r="I859" i="83"/>
  <c r="L858" i="83"/>
  <c r="M858" i="83" s="1"/>
  <c r="D873" i="83"/>
  <c r="B873" i="83"/>
  <c r="B879" i="83"/>
  <c r="A886" i="83"/>
  <c r="F870" i="83"/>
  <c r="G869" i="83"/>
  <c r="D865" i="83"/>
  <c r="D867" i="83"/>
  <c r="G870" i="83"/>
  <c r="F869" i="83"/>
  <c r="I865" i="83"/>
  <c r="B867" i="83"/>
  <c r="J788" i="83"/>
  <c r="I789" i="83"/>
  <c r="L789" i="83"/>
  <c r="L788" i="83"/>
  <c r="M788" i="83" s="1"/>
  <c r="D797" i="83"/>
  <c r="G800" i="83"/>
  <c r="D795" i="83"/>
  <c r="F799" i="83"/>
  <c r="F800" i="83"/>
  <c r="I795" i="83"/>
  <c r="G799" i="83"/>
  <c r="B797" i="83"/>
  <c r="B803" i="83"/>
  <c r="D803" i="83"/>
  <c r="B809" i="83"/>
  <c r="A816" i="83"/>
  <c r="L718" i="83"/>
  <c r="M718" i="83" s="1"/>
  <c r="J718" i="83"/>
  <c r="L719" i="83"/>
  <c r="I719" i="83"/>
  <c r="B733" i="83"/>
  <c r="D733" i="83"/>
  <c r="A746" i="83"/>
  <c r="B739" i="83"/>
  <c r="I725" i="83"/>
  <c r="D725" i="83"/>
  <c r="D727" i="83"/>
  <c r="G729" i="83"/>
  <c r="F730" i="83"/>
  <c r="F729" i="83"/>
  <c r="B727" i="83"/>
  <c r="G730" i="83"/>
  <c r="L649" i="83"/>
  <c r="J648" i="83"/>
  <c r="L648" i="83"/>
  <c r="M648" i="83" s="1"/>
  <c r="I649" i="83"/>
  <c r="B657" i="83"/>
  <c r="D655" i="83"/>
  <c r="G660" i="83"/>
  <c r="I655" i="83"/>
  <c r="G659" i="83"/>
  <c r="F660" i="83"/>
  <c r="F659" i="83"/>
  <c r="D657" i="83"/>
  <c r="D663" i="83"/>
  <c r="B663" i="83"/>
  <c r="A676" i="83"/>
  <c r="B669" i="83"/>
  <c r="I579" i="83"/>
  <c r="L579" i="83"/>
  <c r="L578" i="83"/>
  <c r="M578" i="83" s="1"/>
  <c r="J578" i="83"/>
  <c r="D593" i="83"/>
  <c r="B593" i="83"/>
  <c r="B599" i="83"/>
  <c r="A606" i="83"/>
  <c r="D585" i="83"/>
  <c r="F590" i="83"/>
  <c r="B587" i="83"/>
  <c r="F589" i="83"/>
  <c r="G590" i="83"/>
  <c r="I585" i="83"/>
  <c r="G589" i="83"/>
  <c r="D587" i="83"/>
  <c r="B523" i="83"/>
  <c r="D523" i="83"/>
  <c r="A536" i="83"/>
  <c r="B529" i="83"/>
  <c r="D517" i="83"/>
  <c r="G519" i="83"/>
  <c r="G520" i="83"/>
  <c r="F519" i="83"/>
  <c r="B517" i="83"/>
  <c r="F520" i="83"/>
  <c r="I515" i="83"/>
  <c r="D515" i="83"/>
  <c r="L508" i="83"/>
  <c r="M508" i="83" s="1"/>
  <c r="L509" i="83"/>
  <c r="I509" i="83"/>
  <c r="J508" i="83"/>
  <c r="L438" i="83"/>
  <c r="M438" i="83" s="1"/>
  <c r="J438" i="83"/>
  <c r="L439" i="83"/>
  <c r="I439" i="83"/>
  <c r="B453" i="83"/>
  <c r="D453" i="83"/>
  <c r="B459" i="83"/>
  <c r="A466" i="83"/>
  <c r="D445" i="83"/>
  <c r="F449" i="83"/>
  <c r="G450" i="83"/>
  <c r="F450" i="83"/>
  <c r="I445" i="83"/>
  <c r="D447" i="83"/>
  <c r="G449" i="83"/>
  <c r="B447" i="83"/>
  <c r="L369" i="83"/>
  <c r="L368" i="83"/>
  <c r="M368" i="83" s="1"/>
  <c r="J368" i="83"/>
  <c r="I369" i="83"/>
  <c r="B383" i="83"/>
  <c r="D383" i="83"/>
  <c r="A396" i="83"/>
  <c r="B389" i="83"/>
  <c r="F379" i="83"/>
  <c r="B377" i="83"/>
  <c r="D375" i="83"/>
  <c r="G380" i="83"/>
  <c r="I375" i="83"/>
  <c r="F380" i="83"/>
  <c r="G379" i="83"/>
  <c r="D377" i="83"/>
  <c r="L299" i="83"/>
  <c r="I299" i="83"/>
  <c r="L298" i="83"/>
  <c r="M298" i="83" s="1"/>
  <c r="J298" i="83"/>
  <c r="B313" i="83"/>
  <c r="D313" i="83"/>
  <c r="B319" i="83"/>
  <c r="A326" i="83"/>
  <c r="D307" i="83"/>
  <c r="F309" i="83"/>
  <c r="G309" i="83"/>
  <c r="G310" i="83"/>
  <c r="F310" i="83"/>
  <c r="I305" i="83"/>
  <c r="B307" i="83"/>
  <c r="D305" i="83"/>
  <c r="I271" i="83"/>
  <c r="J270" i="83"/>
  <c r="L271" i="83"/>
  <c r="L270" i="83"/>
  <c r="M270" i="83" s="1"/>
  <c r="J277" i="83"/>
  <c r="L278" i="83"/>
  <c r="I278" i="83"/>
  <c r="L277" i="83"/>
  <c r="M277" i="83" s="1"/>
  <c r="G247" i="83"/>
  <c r="F247" i="83"/>
  <c r="G246" i="83"/>
  <c r="D242" i="83"/>
  <c r="F246" i="83"/>
  <c r="D244" i="83"/>
  <c r="I242" i="83"/>
  <c r="B244" i="83"/>
  <c r="G240" i="83"/>
  <c r="D237" i="83"/>
  <c r="F240" i="83"/>
  <c r="I235" i="83"/>
  <c r="G239" i="83"/>
  <c r="D235" i="83"/>
  <c r="F239" i="83"/>
  <c r="B237" i="83"/>
  <c r="I229" i="83"/>
  <c r="L229" i="83"/>
  <c r="J228" i="83"/>
  <c r="L228" i="83"/>
  <c r="M228" i="83" s="1"/>
  <c r="J207" i="83"/>
  <c r="L207" i="83"/>
  <c r="M207" i="83" s="1"/>
  <c r="L208" i="83"/>
  <c r="I208" i="83"/>
  <c r="I201" i="83"/>
  <c r="L200" i="83"/>
  <c r="M200" i="83" s="1"/>
  <c r="J200" i="83"/>
  <c r="L201" i="83"/>
  <c r="L159" i="83"/>
  <c r="J158" i="83"/>
  <c r="I159" i="83"/>
  <c r="L158" i="83"/>
  <c r="M158" i="83" s="1"/>
  <c r="G170" i="83"/>
  <c r="F170" i="83"/>
  <c r="I165" i="83"/>
  <c r="F169" i="83"/>
  <c r="B167" i="83"/>
  <c r="G169" i="83"/>
  <c r="D165" i="83"/>
  <c r="D167" i="83"/>
  <c r="G177" i="83"/>
  <c r="F177" i="83"/>
  <c r="I172" i="83"/>
  <c r="G176" i="83"/>
  <c r="D172" i="83"/>
  <c r="F176" i="83"/>
  <c r="D174" i="83"/>
  <c r="B174" i="83"/>
  <c r="I131" i="83"/>
  <c r="J130" i="83"/>
  <c r="L131" i="83"/>
  <c r="L130" i="83"/>
  <c r="M130" i="83" s="1"/>
  <c r="J137" i="83"/>
  <c r="L138" i="83"/>
  <c r="L137" i="83"/>
  <c r="M137" i="83" s="1"/>
  <c r="I138" i="83"/>
  <c r="J102" i="83"/>
  <c r="L103" i="83"/>
  <c r="L102" i="83"/>
  <c r="M102" i="83" s="1"/>
  <c r="I103" i="83"/>
  <c r="I96" i="83"/>
  <c r="L96" i="83"/>
  <c r="L95" i="83"/>
  <c r="M95" i="83" s="1"/>
  <c r="J95" i="83"/>
  <c r="J24" i="88"/>
  <c r="I24" i="88" s="1"/>
  <c r="J25" i="88"/>
  <c r="I25" i="88" s="1"/>
  <c r="E28" i="88"/>
  <c r="A34" i="88"/>
  <c r="G26" i="88"/>
  <c r="E26" i="88"/>
  <c r="K25" i="88"/>
  <c r="G25" i="88"/>
  <c r="E25" i="88"/>
  <c r="C24" i="88" s="1"/>
  <c r="K24" i="88"/>
  <c r="G24" i="88"/>
  <c r="B13" i="86"/>
  <c r="D13" i="86"/>
  <c r="O17" i="86"/>
  <c r="N17" i="86" s="1"/>
  <c r="K17" i="86"/>
  <c r="G17" i="86"/>
  <c r="D16" i="86" s="1"/>
  <c r="R16" i="86"/>
  <c r="Q16" i="86"/>
  <c r="P16" i="86" s="1"/>
  <c r="O16" i="86"/>
  <c r="N16" i="86" s="1"/>
  <c r="M16" i="86"/>
  <c r="L16" i="86"/>
  <c r="K16" i="86"/>
  <c r="F16" i="86"/>
  <c r="Q17" i="86"/>
  <c r="P17" i="86" s="1"/>
  <c r="L17" i="86"/>
  <c r="M17" i="86"/>
  <c r="A23" i="86"/>
  <c r="F20" i="86"/>
  <c r="U23" i="76"/>
  <c r="F28" i="76"/>
  <c r="F27" i="76"/>
  <c r="S4" i="76"/>
  <c r="P6" i="76"/>
  <c r="P3" i="76"/>
  <c r="V3" i="76"/>
  <c r="S3" i="76"/>
  <c r="R3" i="76"/>
  <c r="U31" i="76"/>
  <c r="U30" i="76"/>
  <c r="P22" i="76"/>
  <c r="P23" i="76"/>
  <c r="F42" i="76"/>
  <c r="F39" i="76"/>
  <c r="S16" i="76"/>
  <c r="R16" i="76"/>
  <c r="P16" i="76"/>
  <c r="P18" i="76"/>
  <c r="S17" i="76"/>
  <c r="V16" i="76"/>
  <c r="X16" i="76" s="1"/>
  <c r="U43" i="76"/>
  <c r="U41" i="76"/>
  <c r="F33" i="76"/>
  <c r="P31" i="76"/>
  <c r="P30" i="76"/>
  <c r="P43" i="76"/>
  <c r="P41" i="76"/>
  <c r="I2" i="53"/>
  <c r="I3" i="53"/>
  <c r="AK2" i="62"/>
  <c r="BB26" i="62"/>
  <c r="I159" i="53" s="1"/>
  <c r="AO29" i="62"/>
  <c r="AU24" i="62"/>
  <c r="W20" i="62"/>
  <c r="AC29" i="62"/>
  <c r="AI24" i="62"/>
  <c r="AO19" i="62"/>
  <c r="AU28" i="62"/>
  <c r="W24" i="62"/>
  <c r="BJ38" i="62" s="1"/>
  <c r="AB19" i="62"/>
  <c r="AK38" i="62"/>
  <c r="AI28" i="62"/>
  <c r="AO23" i="62"/>
  <c r="AL18" i="62"/>
  <c r="T2" i="62"/>
  <c r="BG24" i="62" s="1"/>
  <c r="W28" i="62"/>
  <c r="AC23" i="62"/>
  <c r="AO17" i="62"/>
  <c r="AP33" i="62"/>
  <c r="AJ2" i="62"/>
  <c r="AO27" i="62"/>
  <c r="AU22" i="62"/>
  <c r="AC15" i="62"/>
  <c r="AJ74" i="62"/>
  <c r="AV2" i="62"/>
  <c r="AC27" i="62"/>
  <c r="BJ43" i="62" s="1"/>
  <c r="AI22" i="62"/>
  <c r="AO31" i="62"/>
  <c r="AU26" i="62"/>
  <c r="W22" i="62"/>
  <c r="AC31" i="62"/>
  <c r="AI26" i="62"/>
  <c r="AO21" i="62"/>
  <c r="AT8" i="62"/>
  <c r="AU30" i="62"/>
  <c r="W26" i="62"/>
  <c r="AC21" i="62"/>
  <c r="BJ42" i="62" s="1"/>
  <c r="AH6" i="62"/>
  <c r="AI30" i="62"/>
  <c r="AO25" i="62"/>
  <c r="AU20" i="62"/>
  <c r="W30" i="62"/>
  <c r="BJ44" i="62" s="1"/>
  <c r="AC25" i="62"/>
  <c r="AI20" i="62"/>
  <c r="AA39" i="62"/>
  <c r="AM39" i="62"/>
  <c r="U7" i="62"/>
  <c r="AG7" i="62"/>
  <c r="AS7" i="62"/>
  <c r="AA7" i="62"/>
  <c r="AM7" i="62"/>
  <c r="T57" i="62"/>
  <c r="AF57" i="62"/>
  <c r="AR57" i="62"/>
  <c r="Z57" i="62"/>
  <c r="AL57" i="62"/>
  <c r="S46" i="62"/>
  <c r="AE46" i="62"/>
  <c r="AQ46" i="62"/>
  <c r="X43" i="62"/>
  <c r="AJ43" i="62"/>
  <c r="AV43" i="62"/>
  <c r="AD43" i="62"/>
  <c r="AP43" i="62"/>
  <c r="X37" i="62"/>
  <c r="AJ37" i="62"/>
  <c r="AV37" i="62"/>
  <c r="AD37" i="62"/>
  <c r="AP37" i="62"/>
  <c r="V47" i="62"/>
  <c r="AH47" i="62"/>
  <c r="AT47" i="62"/>
  <c r="AB47" i="62"/>
  <c r="AN47" i="62"/>
  <c r="AB45" i="62"/>
  <c r="AN45" i="62"/>
  <c r="V45" i="62"/>
  <c r="AH45" i="62"/>
  <c r="AT45" i="62"/>
  <c r="AB43" i="62"/>
  <c r="AN43" i="62"/>
  <c r="V43" i="62"/>
  <c r="AH43" i="62"/>
  <c r="AT43" i="62"/>
  <c r="AB41" i="62"/>
  <c r="AN41" i="62"/>
  <c r="V41" i="62"/>
  <c r="AH41" i="62"/>
  <c r="AT41" i="62"/>
  <c r="AB39" i="62"/>
  <c r="AN39" i="62"/>
  <c r="V39" i="62"/>
  <c r="AH39" i="62"/>
  <c r="AT39" i="62"/>
  <c r="AB37" i="62"/>
  <c r="AN37" i="62"/>
  <c r="V37" i="62"/>
  <c r="AH37" i="62"/>
  <c r="AT37" i="62"/>
  <c r="AB35" i="62"/>
  <c r="AN35" i="62"/>
  <c r="V35" i="62"/>
  <c r="AH35" i="62"/>
  <c r="AT35" i="62"/>
  <c r="AB17" i="62"/>
  <c r="AN17" i="62"/>
  <c r="V17" i="62"/>
  <c r="BI21" i="62" s="1"/>
  <c r="AH17" i="62"/>
  <c r="AT17" i="62"/>
  <c r="V15" i="62"/>
  <c r="AB15" i="62"/>
  <c r="AN15" i="62"/>
  <c r="AH15" i="62"/>
  <c r="AT15" i="62"/>
  <c r="V13" i="62"/>
  <c r="AH13" i="62"/>
  <c r="AT13" i="62"/>
  <c r="V11" i="62"/>
  <c r="AH11" i="62"/>
  <c r="AT11" i="62"/>
  <c r="V9" i="62"/>
  <c r="AH9" i="62"/>
  <c r="AT9" i="62"/>
  <c r="V7" i="62"/>
  <c r="AH7" i="62"/>
  <c r="AT7" i="62"/>
  <c r="U5" i="62"/>
  <c r="BH27" i="62" s="1"/>
  <c r="AG5" i="62"/>
  <c r="AS5" i="62"/>
  <c r="AA5" i="62"/>
  <c r="AM5" i="62"/>
  <c r="U3" i="62"/>
  <c r="BH25" i="62" s="1"/>
  <c r="AG3" i="62"/>
  <c r="AS3" i="62"/>
  <c r="AA3" i="62"/>
  <c r="AM3" i="62"/>
  <c r="U73" i="62"/>
  <c r="BH20" i="62" s="1"/>
  <c r="AG73" i="62"/>
  <c r="AS73" i="62"/>
  <c r="AA73" i="62"/>
  <c r="AM73" i="62"/>
  <c r="U71" i="62"/>
  <c r="BH16" i="62" s="1"/>
  <c r="AG71" i="62"/>
  <c r="AS71" i="62"/>
  <c r="AA71" i="62"/>
  <c r="AM71" i="62"/>
  <c r="U69" i="62"/>
  <c r="BH19" i="62" s="1"/>
  <c r="AG69" i="62"/>
  <c r="AS69" i="62"/>
  <c r="AA69" i="62"/>
  <c r="AM69" i="62"/>
  <c r="U67" i="62"/>
  <c r="BH13" i="62" s="1"/>
  <c r="AG67" i="62"/>
  <c r="AS67" i="62"/>
  <c r="AA67" i="62"/>
  <c r="AM67" i="62"/>
  <c r="U65" i="62"/>
  <c r="BH11" i="62" s="1"/>
  <c r="AG65" i="62"/>
  <c r="AS65" i="62"/>
  <c r="AA65" i="62"/>
  <c r="AM65" i="62"/>
  <c r="U62" i="62"/>
  <c r="AG62" i="62"/>
  <c r="AS62" i="62"/>
  <c r="AA62" i="62"/>
  <c r="AM62" i="62"/>
  <c r="U63" i="62"/>
  <c r="AG63" i="62"/>
  <c r="AS63" i="62"/>
  <c r="AA63" i="62"/>
  <c r="AM63" i="62"/>
  <c r="U59" i="62"/>
  <c r="AG59" i="62"/>
  <c r="AS59" i="62"/>
  <c r="AA59" i="62"/>
  <c r="AM59" i="62"/>
  <c r="U57" i="62"/>
  <c r="AG57" i="62"/>
  <c r="AS57" i="62"/>
  <c r="AA57" i="62"/>
  <c r="AM57" i="62"/>
  <c r="U55" i="62"/>
  <c r="AG55" i="62"/>
  <c r="AS55" i="62"/>
  <c r="AA55" i="62"/>
  <c r="AM55" i="62"/>
  <c r="U53" i="62"/>
  <c r="AG53" i="62"/>
  <c r="AS53" i="62"/>
  <c r="AA53" i="62"/>
  <c r="AM53" i="62"/>
  <c r="U51" i="62"/>
  <c r="BH32" i="62" s="1"/>
  <c r="AG51" i="62"/>
  <c r="AS51" i="62"/>
  <c r="AA51" i="62"/>
  <c r="AM51" i="62"/>
  <c r="U49" i="62"/>
  <c r="BH30" i="62" s="1"/>
  <c r="AG49" i="62"/>
  <c r="AS49" i="62"/>
  <c r="AA49" i="62"/>
  <c r="AM49" i="62"/>
  <c r="T77" i="62"/>
  <c r="AF77" i="62"/>
  <c r="AR77" i="62"/>
  <c r="Z77" i="62"/>
  <c r="AL77" i="62"/>
  <c r="T75" i="62"/>
  <c r="AF75" i="62"/>
  <c r="AR75" i="62"/>
  <c r="Z75" i="62"/>
  <c r="AL75" i="62"/>
  <c r="T33" i="62"/>
  <c r="AL33" i="62"/>
  <c r="Z33" i="62"/>
  <c r="AR33" i="62"/>
  <c r="AF33" i="62"/>
  <c r="BF24" i="62"/>
  <c r="AE2" i="62"/>
  <c r="AQ2" i="62"/>
  <c r="AP31" i="62"/>
  <c r="AD31" i="62"/>
  <c r="AV30" i="62"/>
  <c r="AJ30" i="62"/>
  <c r="X30" i="62"/>
  <c r="BK44" i="62" s="1"/>
  <c r="AP29" i="62"/>
  <c r="AD29" i="62"/>
  <c r="AV28" i="62"/>
  <c r="AJ28" i="62"/>
  <c r="X28" i="62"/>
  <c r="AP27" i="62"/>
  <c r="AD27" i="62"/>
  <c r="BK43" i="62" s="1"/>
  <c r="AV26" i="62"/>
  <c r="AJ26" i="62"/>
  <c r="X26" i="62"/>
  <c r="AP25" i="62"/>
  <c r="AD25" i="62"/>
  <c r="AV24" i="62"/>
  <c r="AJ24" i="62"/>
  <c r="X24" i="62"/>
  <c r="BK38" i="62" s="1"/>
  <c r="AP23" i="62"/>
  <c r="AD23" i="62"/>
  <c r="AV22" i="62"/>
  <c r="AJ22" i="62"/>
  <c r="X22" i="62"/>
  <c r="AP21" i="62"/>
  <c r="AD21" i="62"/>
  <c r="BK42" i="62" s="1"/>
  <c r="AV20" i="62"/>
  <c r="AJ20" i="62"/>
  <c r="X20" i="62"/>
  <c r="AP19" i="62"/>
  <c r="AC19" i="62"/>
  <c r="AM18" i="62"/>
  <c r="AK16" i="62"/>
  <c r="AE15" i="62"/>
  <c r="AP13" i="62"/>
  <c r="AV8" i="62"/>
  <c r="AJ6" i="62"/>
  <c r="AS45" i="62"/>
  <c r="AG43" i="62"/>
  <c r="AM38" i="62"/>
  <c r="U47" i="62"/>
  <c r="AG47" i="62"/>
  <c r="AS47" i="62"/>
  <c r="AA47" i="62"/>
  <c r="AM47" i="62"/>
  <c r="AA17" i="62"/>
  <c r="AM17" i="62"/>
  <c r="T69" i="62"/>
  <c r="BG19" i="62" s="1"/>
  <c r="AF69" i="62"/>
  <c r="AR69" i="62"/>
  <c r="Z69" i="62"/>
  <c r="AL69" i="62"/>
  <c r="T55" i="62"/>
  <c r="AF55" i="62"/>
  <c r="AR55" i="62"/>
  <c r="Z55" i="62"/>
  <c r="AL55" i="62"/>
  <c r="AG33" i="62"/>
  <c r="U33" i="62"/>
  <c r="AM33" i="62"/>
  <c r="AA33" i="62"/>
  <c r="T47" i="62"/>
  <c r="AF47" i="62"/>
  <c r="AR47" i="62"/>
  <c r="Z47" i="62"/>
  <c r="AL47" i="62"/>
  <c r="Z45" i="62"/>
  <c r="AL45" i="62"/>
  <c r="T45" i="62"/>
  <c r="AF45" i="62"/>
  <c r="AR45" i="62"/>
  <c r="Z41" i="62"/>
  <c r="AL41" i="62"/>
  <c r="T41" i="62"/>
  <c r="AF41" i="62"/>
  <c r="AR41" i="62"/>
  <c r="Z39" i="62"/>
  <c r="AL39" i="62"/>
  <c r="T39" i="62"/>
  <c r="AF39" i="62"/>
  <c r="AR39" i="62"/>
  <c r="Z37" i="62"/>
  <c r="AL37" i="62"/>
  <c r="T37" i="62"/>
  <c r="AF37" i="62"/>
  <c r="AR37" i="62"/>
  <c r="Z35" i="62"/>
  <c r="AL35" i="62"/>
  <c r="T35" i="62"/>
  <c r="AF35" i="62"/>
  <c r="AR35" i="62"/>
  <c r="Z17" i="62"/>
  <c r="AL17" i="62"/>
  <c r="Z15" i="62"/>
  <c r="AL15" i="62"/>
  <c r="T15" i="62"/>
  <c r="T13" i="62"/>
  <c r="AF13" i="62"/>
  <c r="AR13" i="62"/>
  <c r="Z13" i="62"/>
  <c r="AL13" i="62"/>
  <c r="T11" i="62"/>
  <c r="AF11" i="62"/>
  <c r="AR11" i="62"/>
  <c r="Z11" i="62"/>
  <c r="AL11" i="62"/>
  <c r="T9" i="62"/>
  <c r="AF9" i="62"/>
  <c r="AR9" i="62"/>
  <c r="Z9" i="62"/>
  <c r="AL9" i="62"/>
  <c r="T7" i="62"/>
  <c r="AF7" i="62"/>
  <c r="AR7" i="62"/>
  <c r="Z7" i="62"/>
  <c r="AL7" i="62"/>
  <c r="Y5" i="62"/>
  <c r="AK5" i="62"/>
  <c r="S5" i="62"/>
  <c r="BF27" i="62" s="1"/>
  <c r="AE5" i="62"/>
  <c r="AQ5" i="62"/>
  <c r="Y3" i="62"/>
  <c r="AK3" i="62"/>
  <c r="S3" i="62"/>
  <c r="BF25" i="62" s="1"/>
  <c r="AE3" i="62"/>
  <c r="AQ3" i="62"/>
  <c r="S73" i="62"/>
  <c r="BF20" i="62" s="1"/>
  <c r="AE73" i="62"/>
  <c r="AQ73" i="62"/>
  <c r="Y73" i="62"/>
  <c r="AK73" i="62"/>
  <c r="S71" i="62"/>
  <c r="BF16" i="62" s="1"/>
  <c r="AE71" i="62"/>
  <c r="AQ71" i="62"/>
  <c r="Y71" i="62"/>
  <c r="AK71" i="62"/>
  <c r="S69" i="62"/>
  <c r="BF19" i="62" s="1"/>
  <c r="AE69" i="62"/>
  <c r="AQ69" i="62"/>
  <c r="Y69" i="62"/>
  <c r="AK69" i="62"/>
  <c r="S67" i="62"/>
  <c r="BF13" i="62" s="1"/>
  <c r="AE67" i="62"/>
  <c r="AQ67" i="62"/>
  <c r="Y67" i="62"/>
  <c r="AK67" i="62"/>
  <c r="S65" i="62"/>
  <c r="BF11" i="62" s="1"/>
  <c r="AE65" i="62"/>
  <c r="AQ65" i="62"/>
  <c r="Y65" i="62"/>
  <c r="AK65" i="62"/>
  <c r="S62" i="62"/>
  <c r="AE62" i="62"/>
  <c r="AQ62" i="62"/>
  <c r="Y62" i="62"/>
  <c r="AK62" i="62"/>
  <c r="S63" i="62"/>
  <c r="AE63" i="62"/>
  <c r="AQ63" i="62"/>
  <c r="Y63" i="62"/>
  <c r="AK63" i="62"/>
  <c r="S59" i="62"/>
  <c r="AE59" i="62"/>
  <c r="AQ59" i="62"/>
  <c r="Y59" i="62"/>
  <c r="AK59" i="62"/>
  <c r="S57" i="62"/>
  <c r="AE57" i="62"/>
  <c r="AQ57" i="62"/>
  <c r="Y57" i="62"/>
  <c r="AK57" i="62"/>
  <c r="S55" i="62"/>
  <c r="AE55" i="62"/>
  <c r="AQ55" i="62"/>
  <c r="Y55" i="62"/>
  <c r="AK55" i="62"/>
  <c r="S53" i="62"/>
  <c r="AE53" i="62"/>
  <c r="AQ53" i="62"/>
  <c r="Y53" i="62"/>
  <c r="AK53" i="62"/>
  <c r="S51" i="62"/>
  <c r="BF32" i="62" s="1"/>
  <c r="AE51" i="62"/>
  <c r="AQ51" i="62"/>
  <c r="Y51" i="62"/>
  <c r="AK51" i="62"/>
  <c r="S49" i="62"/>
  <c r="BF30" i="62" s="1"/>
  <c r="AE49" i="62"/>
  <c r="AQ49" i="62"/>
  <c r="Y49" i="62"/>
  <c r="AK49" i="62"/>
  <c r="AD78" i="62"/>
  <c r="AP78" i="62"/>
  <c r="AJ78" i="62"/>
  <c r="AV78" i="62"/>
  <c r="AD76" i="62"/>
  <c r="AP76" i="62"/>
  <c r="AV76" i="62"/>
  <c r="X76" i="62"/>
  <c r="AH33" i="62"/>
  <c r="V33" i="62"/>
  <c r="AN33" i="62"/>
  <c r="AT33" i="62"/>
  <c r="U2" i="62"/>
  <c r="BH24" i="62" s="1"/>
  <c r="AI2" i="62"/>
  <c r="AU2" i="62"/>
  <c r="AN31" i="62"/>
  <c r="AB31" i="62"/>
  <c r="AT30" i="62"/>
  <c r="AH30" i="62"/>
  <c r="V30" i="62"/>
  <c r="BI44" i="62" s="1"/>
  <c r="AN29" i="62"/>
  <c r="AB29" i="62"/>
  <c r="AT28" i="62"/>
  <c r="AH28" i="62"/>
  <c r="V28" i="62"/>
  <c r="AN27" i="62"/>
  <c r="AB27" i="62"/>
  <c r="BI43" i="62" s="1"/>
  <c r="AT26" i="62"/>
  <c r="AH26" i="62"/>
  <c r="V26" i="62"/>
  <c r="AN25" i="62"/>
  <c r="AB25" i="62"/>
  <c r="AT24" i="62"/>
  <c r="AH24" i="62"/>
  <c r="V24" i="62"/>
  <c r="BI38" i="62" s="1"/>
  <c r="AN23" i="62"/>
  <c r="AB23" i="62"/>
  <c r="AT22" i="62"/>
  <c r="AH22" i="62"/>
  <c r="V22" i="62"/>
  <c r="AN21" i="62"/>
  <c r="AB21" i="62"/>
  <c r="BI42" i="62" s="1"/>
  <c r="AT20" i="62"/>
  <c r="AH20" i="62"/>
  <c r="V20" i="62"/>
  <c r="AN19" i="62"/>
  <c r="AA19" i="62"/>
  <c r="AK18" i="62"/>
  <c r="AG17" i="62"/>
  <c r="AP3" i="62"/>
  <c r="AG45" i="62"/>
  <c r="AM40" i="62"/>
  <c r="AS35" i="62"/>
  <c r="T71" i="62"/>
  <c r="BG16" i="62" s="1"/>
  <c r="AF71" i="62"/>
  <c r="AR71" i="62"/>
  <c r="Z71" i="62"/>
  <c r="AL71" i="62"/>
  <c r="T51" i="62"/>
  <c r="BG32" i="62" s="1"/>
  <c r="AF51" i="62"/>
  <c r="AR51" i="62"/>
  <c r="Z51" i="62"/>
  <c r="AL51" i="62"/>
  <c r="Z43" i="62"/>
  <c r="AL43" i="62"/>
  <c r="T43" i="62"/>
  <c r="AF43" i="62"/>
  <c r="AR43" i="62"/>
  <c r="S47" i="62"/>
  <c r="AE47" i="62"/>
  <c r="AQ47" i="62"/>
  <c r="Y47" i="62"/>
  <c r="AK47" i="62"/>
  <c r="Y45" i="62"/>
  <c r="AK45" i="62"/>
  <c r="Y43" i="62"/>
  <c r="AK43" i="62"/>
  <c r="Y41" i="62"/>
  <c r="AK41" i="62"/>
  <c r="Y39" i="62"/>
  <c r="AK39" i="62"/>
  <c r="Y37" i="62"/>
  <c r="AK37" i="62"/>
  <c r="Y35" i="62"/>
  <c r="AK35" i="62"/>
  <c r="Y17" i="62"/>
  <c r="AK17" i="62"/>
  <c r="AK15" i="62"/>
  <c r="Y15" i="62"/>
  <c r="Y13" i="62"/>
  <c r="AK13" i="62"/>
  <c r="S13" i="62"/>
  <c r="AE13" i="62"/>
  <c r="AQ13" i="62"/>
  <c r="Y11" i="62"/>
  <c r="AK11" i="62"/>
  <c r="S11" i="62"/>
  <c r="AE11" i="62"/>
  <c r="AQ11" i="62"/>
  <c r="Y9" i="62"/>
  <c r="AK9" i="62"/>
  <c r="S9" i="62"/>
  <c r="AE9" i="62"/>
  <c r="AQ9" i="62"/>
  <c r="Y7" i="62"/>
  <c r="AK7" i="62"/>
  <c r="S7" i="62"/>
  <c r="AE7" i="62"/>
  <c r="AQ7" i="62"/>
  <c r="AD4" i="62"/>
  <c r="AP4" i="62"/>
  <c r="AD74" i="62"/>
  <c r="AP74" i="62"/>
  <c r="X74" i="62"/>
  <c r="BK18" i="62" s="1"/>
  <c r="AD72" i="62"/>
  <c r="AP72" i="62"/>
  <c r="X72" i="62"/>
  <c r="BK15" i="62" s="1"/>
  <c r="AJ72" i="62"/>
  <c r="AV72" i="62"/>
  <c r="AD70" i="62"/>
  <c r="AP70" i="62"/>
  <c r="X70" i="62"/>
  <c r="BK17" i="62" s="1"/>
  <c r="AV70" i="62"/>
  <c r="AD68" i="62"/>
  <c r="AP68" i="62"/>
  <c r="X68" i="62"/>
  <c r="BK14" i="62" s="1"/>
  <c r="AJ68" i="62"/>
  <c r="AV68" i="62"/>
  <c r="AD66" i="62"/>
  <c r="AP66" i="62"/>
  <c r="AJ66" i="62"/>
  <c r="AV66" i="62"/>
  <c r="X66" i="62"/>
  <c r="BK12" i="62" s="1"/>
  <c r="AD64" i="62"/>
  <c r="AP64" i="62"/>
  <c r="X64" i="62"/>
  <c r="BK10" i="62" s="1"/>
  <c r="AJ64" i="62"/>
  <c r="AD61" i="62"/>
  <c r="AP61" i="62"/>
  <c r="X61" i="62"/>
  <c r="AJ61" i="62"/>
  <c r="AV61" i="62"/>
  <c r="AD60" i="62"/>
  <c r="AP60" i="62"/>
  <c r="AJ60" i="62"/>
  <c r="AD58" i="62"/>
  <c r="AP58" i="62"/>
  <c r="X58" i="62"/>
  <c r="AJ58" i="62"/>
  <c r="AV58" i="62"/>
  <c r="AD56" i="62"/>
  <c r="AP56" i="62"/>
  <c r="AV56" i="62"/>
  <c r="AJ56" i="62"/>
  <c r="AD54" i="62"/>
  <c r="AP54" i="62"/>
  <c r="X54" i="62"/>
  <c r="AJ54" i="62"/>
  <c r="AV54" i="62"/>
  <c r="AD52" i="62"/>
  <c r="AP52" i="62"/>
  <c r="X52" i="62"/>
  <c r="AJ52" i="62"/>
  <c r="AV52" i="62"/>
  <c r="AD50" i="62"/>
  <c r="AP50" i="62"/>
  <c r="X50" i="62"/>
  <c r="BK31" i="62" s="1"/>
  <c r="AV50" i="62"/>
  <c r="AD48" i="62"/>
  <c r="AP48" i="62"/>
  <c r="X48" i="62"/>
  <c r="AJ48" i="62"/>
  <c r="AV48" i="62"/>
  <c r="AC78" i="62"/>
  <c r="AO78" i="62"/>
  <c r="AI78" i="62"/>
  <c r="AU78" i="62"/>
  <c r="W78" i="62"/>
  <c r="AC76" i="62"/>
  <c r="AO76" i="62"/>
  <c r="AU76" i="62"/>
  <c r="W76" i="62"/>
  <c r="AI76" i="62"/>
  <c r="AU33" i="62"/>
  <c r="AI33" i="62"/>
  <c r="W33" i="62"/>
  <c r="AO33" i="62"/>
  <c r="AC33" i="62"/>
  <c r="V2" i="62"/>
  <c r="BI24" i="62" s="1"/>
  <c r="AH2" i="62"/>
  <c r="AT2" i="62"/>
  <c r="AM31" i="62"/>
  <c r="AA31" i="62"/>
  <c r="AS30" i="62"/>
  <c r="AG30" i="62"/>
  <c r="U30" i="62"/>
  <c r="BH44" i="62" s="1"/>
  <c r="AM29" i="62"/>
  <c r="AA29" i="62"/>
  <c r="AS28" i="62"/>
  <c r="AG28" i="62"/>
  <c r="U28" i="62"/>
  <c r="AM27" i="62"/>
  <c r="AA27" i="62"/>
  <c r="BH43" i="62" s="1"/>
  <c r="AS26" i="62"/>
  <c r="AG26" i="62"/>
  <c r="U26" i="62"/>
  <c r="AM25" i="62"/>
  <c r="AA25" i="62"/>
  <c r="AS24" i="62"/>
  <c r="AG24" i="62"/>
  <c r="U24" i="62"/>
  <c r="BH38" i="62" s="1"/>
  <c r="AM23" i="62"/>
  <c r="AA23" i="62"/>
  <c r="AS22" i="62"/>
  <c r="AG22" i="62"/>
  <c r="U22" i="62"/>
  <c r="AM21" i="62"/>
  <c r="AA21" i="62"/>
  <c r="BH42" i="62" s="1"/>
  <c r="AS20" i="62"/>
  <c r="AG20" i="62"/>
  <c r="U20" i="62"/>
  <c r="AM19" i="62"/>
  <c r="Z19" i="62"/>
  <c r="AF17" i="62"/>
  <c r="AB13" i="62"/>
  <c r="AT10" i="62"/>
  <c r="AH8" i="62"/>
  <c r="AN3" i="62"/>
  <c r="AE45" i="62"/>
  <c r="S43" i="62"/>
  <c r="AK40" i="62"/>
  <c r="AQ35" i="62"/>
  <c r="AB33" i="62"/>
  <c r="AA41" i="62"/>
  <c r="AM41" i="62"/>
  <c r="U9" i="62"/>
  <c r="AG9" i="62"/>
  <c r="AS9" i="62"/>
  <c r="AA9" i="62"/>
  <c r="AM9" i="62"/>
  <c r="T62" i="62"/>
  <c r="AF62" i="62"/>
  <c r="AR62" i="62"/>
  <c r="Z62" i="62"/>
  <c r="AL62" i="62"/>
  <c r="AD44" i="62"/>
  <c r="AP44" i="62"/>
  <c r="X44" i="62"/>
  <c r="AJ44" i="62"/>
  <c r="AV44" i="62"/>
  <c r="AD40" i="62"/>
  <c r="AP40" i="62"/>
  <c r="X40" i="62"/>
  <c r="AJ40" i="62"/>
  <c r="AV40" i="62"/>
  <c r="AD38" i="62"/>
  <c r="AP38" i="62"/>
  <c r="X38" i="62"/>
  <c r="AJ38" i="62"/>
  <c r="AV38" i="62"/>
  <c r="AD36" i="62"/>
  <c r="AP36" i="62"/>
  <c r="X36" i="62"/>
  <c r="AJ36" i="62"/>
  <c r="AV36" i="62"/>
  <c r="AD18" i="62"/>
  <c r="AP18" i="62"/>
  <c r="X18" i="62"/>
  <c r="BK22" i="62" s="1"/>
  <c r="AZ22" i="62" s="1"/>
  <c r="I137" i="53" s="1"/>
  <c r="AJ18" i="62"/>
  <c r="AV18" i="62"/>
  <c r="AD16" i="62"/>
  <c r="AP16" i="62"/>
  <c r="X16" i="62"/>
  <c r="AJ16" i="62"/>
  <c r="AV16" i="62"/>
  <c r="AD14" i="62"/>
  <c r="AP14" i="62"/>
  <c r="AD12" i="62"/>
  <c r="AP12" i="62"/>
  <c r="AD10" i="62"/>
  <c r="AP10" i="62"/>
  <c r="AD8" i="62"/>
  <c r="AP8" i="62"/>
  <c r="AD6" i="62"/>
  <c r="AP6" i="62"/>
  <c r="AC4" i="62"/>
  <c r="AO4" i="62"/>
  <c r="W4" i="62"/>
  <c r="BJ26" i="62" s="1"/>
  <c r="BC26" i="62" s="1"/>
  <c r="I160" i="53" s="1"/>
  <c r="AI4" i="62"/>
  <c r="AU4" i="62"/>
  <c r="AC74" i="62"/>
  <c r="AO74" i="62"/>
  <c r="W74" i="62"/>
  <c r="BJ18" i="62" s="1"/>
  <c r="AI74" i="62"/>
  <c r="AU74" i="62"/>
  <c r="AC72" i="62"/>
  <c r="AO72" i="62"/>
  <c r="W72" i="62"/>
  <c r="BJ15" i="62" s="1"/>
  <c r="AI72" i="62"/>
  <c r="AU72" i="62"/>
  <c r="AC70" i="62"/>
  <c r="AO70" i="62"/>
  <c r="W70" i="62"/>
  <c r="BJ17" i="62" s="1"/>
  <c r="AI70" i="62"/>
  <c r="AU70" i="62"/>
  <c r="AC68" i="62"/>
  <c r="AO68" i="62"/>
  <c r="W68" i="62"/>
  <c r="BJ14" i="62" s="1"/>
  <c r="AI68" i="62"/>
  <c r="AU68" i="62"/>
  <c r="AC66" i="62"/>
  <c r="AO66" i="62"/>
  <c r="W66" i="62"/>
  <c r="BJ12" i="62" s="1"/>
  <c r="AI66" i="62"/>
  <c r="AU66" i="62"/>
  <c r="AC64" i="62"/>
  <c r="AO64" i="62"/>
  <c r="W64" i="62"/>
  <c r="BJ10" i="62" s="1"/>
  <c r="AI64" i="62"/>
  <c r="AU64" i="62"/>
  <c r="AC61" i="62"/>
  <c r="AO61" i="62"/>
  <c r="W61" i="62"/>
  <c r="AI61" i="62"/>
  <c r="AU61" i="62"/>
  <c r="AC60" i="62"/>
  <c r="AO60" i="62"/>
  <c r="W60" i="62"/>
  <c r="AI60" i="62"/>
  <c r="AU60" i="62"/>
  <c r="AC58" i="62"/>
  <c r="AO58" i="62"/>
  <c r="W58" i="62"/>
  <c r="AI58" i="62"/>
  <c r="AU58" i="62"/>
  <c r="AC56" i="62"/>
  <c r="AO56" i="62"/>
  <c r="W56" i="62"/>
  <c r="AI56" i="62"/>
  <c r="AU56" i="62"/>
  <c r="AC54" i="62"/>
  <c r="AO54" i="62"/>
  <c r="W54" i="62"/>
  <c r="AI54" i="62"/>
  <c r="AU54" i="62"/>
  <c r="AC52" i="62"/>
  <c r="AO52" i="62"/>
  <c r="W52" i="62"/>
  <c r="AI52" i="62"/>
  <c r="AU52" i="62"/>
  <c r="AC50" i="62"/>
  <c r="AO50" i="62"/>
  <c r="W50" i="62"/>
  <c r="BJ31" i="62" s="1"/>
  <c r="AI50" i="62"/>
  <c r="AU50" i="62"/>
  <c r="AC48" i="62"/>
  <c r="AO48" i="62"/>
  <c r="W48" i="62"/>
  <c r="AI48" i="62"/>
  <c r="AU48" i="62"/>
  <c r="AB78" i="62"/>
  <c r="AN78" i="62"/>
  <c r="AT78" i="62"/>
  <c r="AH78" i="62"/>
  <c r="AB76" i="62"/>
  <c r="AN76" i="62"/>
  <c r="V76" i="62"/>
  <c r="AT76" i="62"/>
  <c r="AV33" i="62"/>
  <c r="AJ33" i="62"/>
  <c r="X33" i="62"/>
  <c r="W2" i="62"/>
  <c r="BJ24" i="62" s="1"/>
  <c r="AG2" i="62"/>
  <c r="AS2" i="62"/>
  <c r="AL31" i="62"/>
  <c r="Z31" i="62"/>
  <c r="AR30" i="62"/>
  <c r="AF30" i="62"/>
  <c r="T30" i="62"/>
  <c r="BG44" i="62" s="1"/>
  <c r="AL29" i="62"/>
  <c r="Z29" i="62"/>
  <c r="AR28" i="62"/>
  <c r="AF28" i="62"/>
  <c r="T28" i="62"/>
  <c r="AL27" i="62"/>
  <c r="Z27" i="62"/>
  <c r="BG43" i="62" s="1"/>
  <c r="AR26" i="62"/>
  <c r="AF26" i="62"/>
  <c r="T26" i="62"/>
  <c r="AL25" i="62"/>
  <c r="Z25" i="62"/>
  <c r="AR24" i="62"/>
  <c r="AF24" i="62"/>
  <c r="T24" i="62"/>
  <c r="BG38" i="62" s="1"/>
  <c r="AL23" i="62"/>
  <c r="Z23" i="62"/>
  <c r="AR22" i="62"/>
  <c r="AF22" i="62"/>
  <c r="T22" i="62"/>
  <c r="AL21" i="62"/>
  <c r="Z21" i="62"/>
  <c r="BG42" i="62" s="1"/>
  <c r="AR20" i="62"/>
  <c r="AF20" i="62"/>
  <c r="T20" i="62"/>
  <c r="AL19" i="62"/>
  <c r="Y19" i="62"/>
  <c r="AF18" i="62"/>
  <c r="AE17" i="62"/>
  <c r="AV12" i="62"/>
  <c r="AJ10" i="62"/>
  <c r="X8" i="62"/>
  <c r="AP5" i="62"/>
  <c r="AM42" i="62"/>
  <c r="AG35" i="62"/>
  <c r="AC16" i="62"/>
  <c r="AO16" i="62"/>
  <c r="AC14" i="62"/>
  <c r="AO14" i="62"/>
  <c r="W14" i="62"/>
  <c r="AC12" i="62"/>
  <c r="AO12" i="62"/>
  <c r="W12" i="62"/>
  <c r="AI12" i="62"/>
  <c r="AU12" i="62"/>
  <c r="AC10" i="62"/>
  <c r="AO10" i="62"/>
  <c r="W10" i="62"/>
  <c r="AI10" i="62"/>
  <c r="AU10" i="62"/>
  <c r="AC8" i="62"/>
  <c r="AO8" i="62"/>
  <c r="W8" i="62"/>
  <c r="AI8" i="62"/>
  <c r="AU8" i="62"/>
  <c r="AC6" i="62"/>
  <c r="AO6" i="62"/>
  <c r="W6" i="62"/>
  <c r="AI6" i="62"/>
  <c r="AU6" i="62"/>
  <c r="AB4" i="62"/>
  <c r="AN4" i="62"/>
  <c r="AB74" i="62"/>
  <c r="AN74" i="62"/>
  <c r="V74" i="62"/>
  <c r="BI18" i="62" s="1"/>
  <c r="AH74" i="62"/>
  <c r="AT74" i="62"/>
  <c r="AB72" i="62"/>
  <c r="AN72" i="62"/>
  <c r="V72" i="62"/>
  <c r="BI15" i="62" s="1"/>
  <c r="AH72" i="62"/>
  <c r="AT72" i="62"/>
  <c r="AB70" i="62"/>
  <c r="AN70" i="62"/>
  <c r="V70" i="62"/>
  <c r="BI17" i="62" s="1"/>
  <c r="AH70" i="62"/>
  <c r="AT70" i="62"/>
  <c r="AB68" i="62"/>
  <c r="AN68" i="62"/>
  <c r="V68" i="62"/>
  <c r="BI14" i="62" s="1"/>
  <c r="AH68" i="62"/>
  <c r="AT68" i="62"/>
  <c r="AB66" i="62"/>
  <c r="AN66" i="62"/>
  <c r="V66" i="62"/>
  <c r="BI12" i="62" s="1"/>
  <c r="AH66" i="62"/>
  <c r="AT66" i="62"/>
  <c r="AB64" i="62"/>
  <c r="AN64" i="62"/>
  <c r="V64" i="62"/>
  <c r="BI10" i="62" s="1"/>
  <c r="AH64" i="62"/>
  <c r="AT64" i="62"/>
  <c r="AB61" i="62"/>
  <c r="AN61" i="62"/>
  <c r="V61" i="62"/>
  <c r="AH61" i="62"/>
  <c r="AT61" i="62"/>
  <c r="AB60" i="62"/>
  <c r="AN60" i="62"/>
  <c r="V60" i="62"/>
  <c r="AH60" i="62"/>
  <c r="AT60" i="62"/>
  <c r="AB58" i="62"/>
  <c r="AN58" i="62"/>
  <c r="V58" i="62"/>
  <c r="AH58" i="62"/>
  <c r="AT58" i="62"/>
  <c r="AB56" i="62"/>
  <c r="AN56" i="62"/>
  <c r="V56" i="62"/>
  <c r="AH56" i="62"/>
  <c r="AT56" i="62"/>
  <c r="AB54" i="62"/>
  <c r="AN54" i="62"/>
  <c r="V54" i="62"/>
  <c r="AH54" i="62"/>
  <c r="AT54" i="62"/>
  <c r="AB52" i="62"/>
  <c r="AN52" i="62"/>
  <c r="V52" i="62"/>
  <c r="AH52" i="62"/>
  <c r="AT52" i="62"/>
  <c r="AB50" i="62"/>
  <c r="AN50" i="62"/>
  <c r="V50" i="62"/>
  <c r="BI31" i="62" s="1"/>
  <c r="AH50" i="62"/>
  <c r="AT50" i="62"/>
  <c r="AB48" i="62"/>
  <c r="AN48" i="62"/>
  <c r="V48" i="62"/>
  <c r="AH48" i="62"/>
  <c r="AT48" i="62"/>
  <c r="AA78" i="62"/>
  <c r="AM78" i="62"/>
  <c r="U78" i="62"/>
  <c r="AG78" i="62"/>
  <c r="AS78" i="62"/>
  <c r="AA76" i="62"/>
  <c r="AM76" i="62"/>
  <c r="U76" i="62"/>
  <c r="AG76" i="62"/>
  <c r="AS76" i="62"/>
  <c r="S32" i="62"/>
  <c r="AE32" i="62"/>
  <c r="AQ32" i="62"/>
  <c r="Y32" i="62"/>
  <c r="AK32" i="62"/>
  <c r="S34" i="62"/>
  <c r="AE34" i="62"/>
  <c r="AQ34" i="62"/>
  <c r="X2" i="62"/>
  <c r="BK24" i="62" s="1"/>
  <c r="AF2" i="62"/>
  <c r="AR2" i="62"/>
  <c r="AK31" i="62"/>
  <c r="Y31" i="62"/>
  <c r="AQ30" i="62"/>
  <c r="AE30" i="62"/>
  <c r="S30" i="62"/>
  <c r="BF44" i="62" s="1"/>
  <c r="AK29" i="62"/>
  <c r="Y29" i="62"/>
  <c r="AQ28" i="62"/>
  <c r="AE28" i="62"/>
  <c r="S28" i="62"/>
  <c r="AK27" i="62"/>
  <c r="Y27" i="62"/>
  <c r="BF43" i="62" s="1"/>
  <c r="AQ26" i="62"/>
  <c r="AE26" i="62"/>
  <c r="S26" i="62"/>
  <c r="AK25" i="62"/>
  <c r="Y25" i="62"/>
  <c r="AQ24" i="62"/>
  <c r="AE24" i="62"/>
  <c r="S24" i="62"/>
  <c r="BF38" i="62" s="1"/>
  <c r="AK23" i="62"/>
  <c r="Y23" i="62"/>
  <c r="AQ22" i="62"/>
  <c r="AE22" i="62"/>
  <c r="S22" i="62"/>
  <c r="AK21" i="62"/>
  <c r="Y21" i="62"/>
  <c r="BF42" i="62" s="1"/>
  <c r="AQ20" i="62"/>
  <c r="AE20" i="62"/>
  <c r="S20" i="62"/>
  <c r="AK19" i="62"/>
  <c r="X19" i="62"/>
  <c r="BK23" i="62" s="1"/>
  <c r="BB23" i="62" s="1"/>
  <c r="I144" i="53" s="1"/>
  <c r="AE18" i="62"/>
  <c r="W16" i="62"/>
  <c r="AN5" i="62"/>
  <c r="S45" i="62"/>
  <c r="AK42" i="62"/>
  <c r="AQ37" i="62"/>
  <c r="AE35" i="62"/>
  <c r="AV64" i="62"/>
  <c r="AA37" i="62"/>
  <c r="AM37" i="62"/>
  <c r="T5" i="62"/>
  <c r="BG27" i="62" s="1"/>
  <c r="AF5" i="62"/>
  <c r="AR5" i="62"/>
  <c r="Z5" i="62"/>
  <c r="AL5" i="62"/>
  <c r="T49" i="62"/>
  <c r="BG30" i="62" s="1"/>
  <c r="AF49" i="62"/>
  <c r="AR49" i="62"/>
  <c r="Z49" i="62"/>
  <c r="AL49" i="62"/>
  <c r="AC44" i="62"/>
  <c r="AO44" i="62"/>
  <c r="W44" i="62"/>
  <c r="AI44" i="62"/>
  <c r="AU44" i="62"/>
  <c r="AC40" i="62"/>
  <c r="AO40" i="62"/>
  <c r="W40" i="62"/>
  <c r="AI40" i="62"/>
  <c r="AU40" i="62"/>
  <c r="AC36" i="62"/>
  <c r="AO36" i="62"/>
  <c r="W36" i="62"/>
  <c r="AI36" i="62"/>
  <c r="AU36" i="62"/>
  <c r="AC18" i="62"/>
  <c r="AO18" i="62"/>
  <c r="V46" i="62"/>
  <c r="AH46" i="62"/>
  <c r="AT46" i="62"/>
  <c r="AB46" i="62"/>
  <c r="AN46" i="62"/>
  <c r="V44" i="62"/>
  <c r="AH44" i="62"/>
  <c r="AT44" i="62"/>
  <c r="AB44" i="62"/>
  <c r="AN44" i="62"/>
  <c r="V42" i="62"/>
  <c r="AH42" i="62"/>
  <c r="AT42" i="62"/>
  <c r="AB42" i="62"/>
  <c r="AN42" i="62"/>
  <c r="V40" i="62"/>
  <c r="AH40" i="62"/>
  <c r="AT40" i="62"/>
  <c r="AB40" i="62"/>
  <c r="AN40" i="62"/>
  <c r="V38" i="62"/>
  <c r="AH38" i="62"/>
  <c r="AT38" i="62"/>
  <c r="AB38" i="62"/>
  <c r="AN38" i="62"/>
  <c r="V36" i="62"/>
  <c r="AH36" i="62"/>
  <c r="AT36" i="62"/>
  <c r="AB36" i="62"/>
  <c r="AN36" i="62"/>
  <c r="V18" i="62"/>
  <c r="BI22" i="62" s="1"/>
  <c r="AH18" i="62"/>
  <c r="AT18" i="62"/>
  <c r="AB18" i="62"/>
  <c r="AN18" i="62"/>
  <c r="V16" i="62"/>
  <c r="AH16" i="62"/>
  <c r="AT16" i="62"/>
  <c r="AB16" i="62"/>
  <c r="AN16" i="62"/>
  <c r="AB14" i="62"/>
  <c r="AN14" i="62"/>
  <c r="AH14" i="62"/>
  <c r="AT14" i="62"/>
  <c r="AB12" i="62"/>
  <c r="AN12" i="62"/>
  <c r="AB10" i="62"/>
  <c r="AN10" i="62"/>
  <c r="AB8" i="62"/>
  <c r="AN8" i="62"/>
  <c r="AB6" i="62"/>
  <c r="AN6" i="62"/>
  <c r="AA4" i="62"/>
  <c r="AM4" i="62"/>
  <c r="U4" i="62"/>
  <c r="BH26" i="62" s="1"/>
  <c r="BA26" i="62" s="1"/>
  <c r="I158" i="53" s="1"/>
  <c r="AG4" i="62"/>
  <c r="AS4" i="62"/>
  <c r="AA74" i="62"/>
  <c r="AM74" i="62"/>
  <c r="U74" i="62"/>
  <c r="BH18" i="62" s="1"/>
  <c r="AG74" i="62"/>
  <c r="AS74" i="62"/>
  <c r="AA72" i="62"/>
  <c r="AM72" i="62"/>
  <c r="U72" i="62"/>
  <c r="BH15" i="62" s="1"/>
  <c r="AG72" i="62"/>
  <c r="AS72" i="62"/>
  <c r="AA70" i="62"/>
  <c r="AM70" i="62"/>
  <c r="U70" i="62"/>
  <c r="BH17" i="62" s="1"/>
  <c r="AG70" i="62"/>
  <c r="AS70" i="62"/>
  <c r="AA68" i="62"/>
  <c r="AM68" i="62"/>
  <c r="U68" i="62"/>
  <c r="BH14" i="62" s="1"/>
  <c r="AG68" i="62"/>
  <c r="AS68" i="62"/>
  <c r="AA66" i="62"/>
  <c r="AM66" i="62"/>
  <c r="U66" i="62"/>
  <c r="BH12" i="62" s="1"/>
  <c r="AG66" i="62"/>
  <c r="AS66" i="62"/>
  <c r="AA64" i="62"/>
  <c r="AM64" i="62"/>
  <c r="U64" i="62"/>
  <c r="BH10" i="62" s="1"/>
  <c r="AG64" i="62"/>
  <c r="AS64" i="62"/>
  <c r="AA61" i="62"/>
  <c r="AM61" i="62"/>
  <c r="U61" i="62"/>
  <c r="AG61" i="62"/>
  <c r="AS61" i="62"/>
  <c r="AA60" i="62"/>
  <c r="AM60" i="62"/>
  <c r="U60" i="62"/>
  <c r="AG60" i="62"/>
  <c r="AS60" i="62"/>
  <c r="AA58" i="62"/>
  <c r="AM58" i="62"/>
  <c r="U58" i="62"/>
  <c r="AG58" i="62"/>
  <c r="AS58" i="62"/>
  <c r="AA56" i="62"/>
  <c r="AM56" i="62"/>
  <c r="U56" i="62"/>
  <c r="AG56" i="62"/>
  <c r="AS56" i="62"/>
  <c r="AA54" i="62"/>
  <c r="AM54" i="62"/>
  <c r="U54" i="62"/>
  <c r="AG54" i="62"/>
  <c r="AS54" i="62"/>
  <c r="AA52" i="62"/>
  <c r="AM52" i="62"/>
  <c r="U52" i="62"/>
  <c r="AG52" i="62"/>
  <c r="AS52" i="62"/>
  <c r="AA50" i="62"/>
  <c r="AM50" i="62"/>
  <c r="U50" i="62"/>
  <c r="BH31" i="62" s="1"/>
  <c r="AG50" i="62"/>
  <c r="AS50" i="62"/>
  <c r="AA48" i="62"/>
  <c r="AM48" i="62"/>
  <c r="U48" i="62"/>
  <c r="AG48" i="62"/>
  <c r="AS48" i="62"/>
  <c r="Z78" i="62"/>
  <c r="AL78" i="62"/>
  <c r="T78" i="62"/>
  <c r="AF78" i="62"/>
  <c r="AR78" i="62"/>
  <c r="Z76" i="62"/>
  <c r="AL76" i="62"/>
  <c r="T76" i="62"/>
  <c r="AF76" i="62"/>
  <c r="AR76" i="62"/>
  <c r="T32" i="62"/>
  <c r="Z32" i="62"/>
  <c r="AL32" i="62"/>
  <c r="T34" i="62"/>
  <c r="AF34" i="62"/>
  <c r="AR34" i="62"/>
  <c r="Z34" i="62"/>
  <c r="AL34" i="62"/>
  <c r="Y2" i="62"/>
  <c r="AV31" i="62"/>
  <c r="AJ31" i="62"/>
  <c r="AP30" i="62"/>
  <c r="AV29" i="62"/>
  <c r="AJ29" i="62"/>
  <c r="AP28" i="62"/>
  <c r="AV27" i="62"/>
  <c r="AJ27" i="62"/>
  <c r="AP26" i="62"/>
  <c r="AV25" i="62"/>
  <c r="AJ25" i="62"/>
  <c r="AP24" i="62"/>
  <c r="AV23" i="62"/>
  <c r="AJ23" i="62"/>
  <c r="AP22" i="62"/>
  <c r="AV21" i="62"/>
  <c r="AJ21" i="62"/>
  <c r="AP20" i="62"/>
  <c r="AV19" i="62"/>
  <c r="AJ19" i="62"/>
  <c r="U19" i="62"/>
  <c r="BH23" i="62" s="1"/>
  <c r="U17" i="62"/>
  <c r="BH21" i="62" s="1"/>
  <c r="AS15" i="62"/>
  <c r="AK14" i="62"/>
  <c r="AJ12" i="62"/>
  <c r="X10" i="62"/>
  <c r="AP7" i="62"/>
  <c r="W15" i="62"/>
  <c r="AS39" i="62"/>
  <c r="AG37" i="62"/>
  <c r="AF32" i="62"/>
  <c r="AV60" i="62"/>
  <c r="T3" i="62"/>
  <c r="BG25" i="62" s="1"/>
  <c r="AF3" i="62"/>
  <c r="AR3" i="62"/>
  <c r="Z3" i="62"/>
  <c r="AL3" i="62"/>
  <c r="T59" i="62"/>
  <c r="AF59" i="62"/>
  <c r="AR59" i="62"/>
  <c r="Z59" i="62"/>
  <c r="AL59" i="62"/>
  <c r="S77" i="62"/>
  <c r="AE77" i="62"/>
  <c r="AQ77" i="62"/>
  <c r="Y77" i="62"/>
  <c r="AK77" i="62"/>
  <c r="AD42" i="62"/>
  <c r="AP42" i="62"/>
  <c r="X42" i="62"/>
  <c r="AJ42" i="62"/>
  <c r="AV42" i="62"/>
  <c r="AC42" i="62"/>
  <c r="AO42" i="62"/>
  <c r="W42" i="62"/>
  <c r="AI42" i="62"/>
  <c r="AU42" i="62"/>
  <c r="AC38" i="62"/>
  <c r="AO38" i="62"/>
  <c r="W38" i="62"/>
  <c r="AI38" i="62"/>
  <c r="AU38" i="62"/>
  <c r="U46" i="62"/>
  <c r="AG46" i="62"/>
  <c r="AS46" i="62"/>
  <c r="U44" i="62"/>
  <c r="AG44" i="62"/>
  <c r="AS44" i="62"/>
  <c r="U42" i="62"/>
  <c r="AG42" i="62"/>
  <c r="AS42" i="62"/>
  <c r="U40" i="62"/>
  <c r="AG40" i="62"/>
  <c r="AS40" i="62"/>
  <c r="U38" i="62"/>
  <c r="AG38" i="62"/>
  <c r="AS38" i="62"/>
  <c r="U36" i="62"/>
  <c r="AG36" i="62"/>
  <c r="AS36" i="62"/>
  <c r="U18" i="62"/>
  <c r="BH22" i="62" s="1"/>
  <c r="AG18" i="62"/>
  <c r="AS18" i="62"/>
  <c r="U16" i="62"/>
  <c r="AG16" i="62"/>
  <c r="AS16" i="62"/>
  <c r="AA14" i="62"/>
  <c r="AM14" i="62"/>
  <c r="U14" i="62"/>
  <c r="AA12" i="62"/>
  <c r="AM12" i="62"/>
  <c r="U12" i="62"/>
  <c r="AG12" i="62"/>
  <c r="AS12" i="62"/>
  <c r="AA10" i="62"/>
  <c r="AM10" i="62"/>
  <c r="U10" i="62"/>
  <c r="AG10" i="62"/>
  <c r="AS10" i="62"/>
  <c r="AA8" i="62"/>
  <c r="AM8" i="62"/>
  <c r="U8" i="62"/>
  <c r="AG8" i="62"/>
  <c r="AS8" i="62"/>
  <c r="AA6" i="62"/>
  <c r="AM6" i="62"/>
  <c r="U6" i="62"/>
  <c r="AG6" i="62"/>
  <c r="AS6" i="62"/>
  <c r="Z4" i="62"/>
  <c r="AL4" i="62"/>
  <c r="T4" i="62"/>
  <c r="BG26" i="62" s="1"/>
  <c r="AZ26" i="62" s="1"/>
  <c r="I157" i="53" s="1"/>
  <c r="AF4" i="62"/>
  <c r="AR4" i="62"/>
  <c r="Z74" i="62"/>
  <c r="AL74" i="62"/>
  <c r="T74" i="62"/>
  <c r="BG18" i="62" s="1"/>
  <c r="AF74" i="62"/>
  <c r="AR74" i="62"/>
  <c r="Z72" i="62"/>
  <c r="AL72" i="62"/>
  <c r="T72" i="62"/>
  <c r="BG15" i="62" s="1"/>
  <c r="AF72" i="62"/>
  <c r="AR72" i="62"/>
  <c r="Z70" i="62"/>
  <c r="AL70" i="62"/>
  <c r="T70" i="62"/>
  <c r="BG17" i="62" s="1"/>
  <c r="AF70" i="62"/>
  <c r="AR70" i="62"/>
  <c r="Z68" i="62"/>
  <c r="AL68" i="62"/>
  <c r="T68" i="62"/>
  <c r="BG14" i="62" s="1"/>
  <c r="AF68" i="62"/>
  <c r="AR68" i="62"/>
  <c r="Z66" i="62"/>
  <c r="AL66" i="62"/>
  <c r="T66" i="62"/>
  <c r="BG12" i="62" s="1"/>
  <c r="AF66" i="62"/>
  <c r="AR66" i="62"/>
  <c r="Z64" i="62"/>
  <c r="AL64" i="62"/>
  <c r="T64" i="62"/>
  <c r="BG10" i="62" s="1"/>
  <c r="AF64" i="62"/>
  <c r="AR64" i="62"/>
  <c r="Z61" i="62"/>
  <c r="AL61" i="62"/>
  <c r="T61" i="62"/>
  <c r="AF61" i="62"/>
  <c r="AR61" i="62"/>
  <c r="Z60" i="62"/>
  <c r="AL60" i="62"/>
  <c r="T60" i="62"/>
  <c r="AF60" i="62"/>
  <c r="AR60" i="62"/>
  <c r="Z58" i="62"/>
  <c r="AL58" i="62"/>
  <c r="T58" i="62"/>
  <c r="AF58" i="62"/>
  <c r="AR58" i="62"/>
  <c r="Z56" i="62"/>
  <c r="AL56" i="62"/>
  <c r="T56" i="62"/>
  <c r="AF56" i="62"/>
  <c r="AR56" i="62"/>
  <c r="Z54" i="62"/>
  <c r="AL54" i="62"/>
  <c r="T54" i="62"/>
  <c r="AF54" i="62"/>
  <c r="AR54" i="62"/>
  <c r="Z52" i="62"/>
  <c r="AL52" i="62"/>
  <c r="T52" i="62"/>
  <c r="AF52" i="62"/>
  <c r="AR52" i="62"/>
  <c r="Z50" i="62"/>
  <c r="AL50" i="62"/>
  <c r="T50" i="62"/>
  <c r="BG31" i="62" s="1"/>
  <c r="AF50" i="62"/>
  <c r="AR50" i="62"/>
  <c r="Z48" i="62"/>
  <c r="AL48" i="62"/>
  <c r="T48" i="62"/>
  <c r="AF48" i="62"/>
  <c r="AR48" i="62"/>
  <c r="Y78" i="62"/>
  <c r="AK78" i="62"/>
  <c r="S78" i="62"/>
  <c r="AE78" i="62"/>
  <c r="AQ78" i="62"/>
  <c r="Y76" i="62"/>
  <c r="AK76" i="62"/>
  <c r="S76" i="62"/>
  <c r="AE76" i="62"/>
  <c r="AQ76" i="62"/>
  <c r="S6" i="62"/>
  <c r="AE6" i="62"/>
  <c r="AQ6" i="62"/>
  <c r="Y6" i="62"/>
  <c r="AK6" i="62"/>
  <c r="U32" i="62"/>
  <c r="AM32" i="62"/>
  <c r="AA32" i="62"/>
  <c r="AS32" i="62"/>
  <c r="AG32" i="62"/>
  <c r="U34" i="62"/>
  <c r="AG34" i="62"/>
  <c r="AS34" i="62"/>
  <c r="AD2" i="62"/>
  <c r="AO2" i="62"/>
  <c r="AU31" i="62"/>
  <c r="AI31" i="62"/>
  <c r="AO30" i="62"/>
  <c r="AU29" i="62"/>
  <c r="AI29" i="62"/>
  <c r="AO28" i="62"/>
  <c r="AU27" i="62"/>
  <c r="AI27" i="62"/>
  <c r="AO26" i="62"/>
  <c r="AU25" i="62"/>
  <c r="AI25" i="62"/>
  <c r="AO24" i="62"/>
  <c r="AU23" i="62"/>
  <c r="AI23" i="62"/>
  <c r="AO22" i="62"/>
  <c r="AU21" i="62"/>
  <c r="AI21" i="62"/>
  <c r="AO20" i="62"/>
  <c r="AH19" i="62"/>
  <c r="T19" i="62"/>
  <c r="BG23" i="62" s="1"/>
  <c r="Z18" i="62"/>
  <c r="T17" i="62"/>
  <c r="BG21" i="62" s="1"/>
  <c r="AR15" i="62"/>
  <c r="AJ14" i="62"/>
  <c r="AH12" i="62"/>
  <c r="V10" i="62"/>
  <c r="AN7" i="62"/>
  <c r="AQ39" i="62"/>
  <c r="AE37" i="62"/>
  <c r="S35" i="62"/>
  <c r="X60" i="62"/>
  <c r="AA35" i="62"/>
  <c r="AM35" i="62"/>
  <c r="T73" i="62"/>
  <c r="BG20" i="62" s="1"/>
  <c r="AF73" i="62"/>
  <c r="AR73" i="62"/>
  <c r="Z73" i="62"/>
  <c r="AL73" i="62"/>
  <c r="S75" i="62"/>
  <c r="AE75" i="62"/>
  <c r="AQ75" i="62"/>
  <c r="Y75" i="62"/>
  <c r="AK75" i="62"/>
  <c r="AC46" i="62"/>
  <c r="AO46" i="62"/>
  <c r="W46" i="62"/>
  <c r="AI46" i="62"/>
  <c r="AU46" i="62"/>
  <c r="T46" i="62"/>
  <c r="AF46" i="62"/>
  <c r="AR46" i="62"/>
  <c r="Z46" i="62"/>
  <c r="AL46" i="62"/>
  <c r="T44" i="62"/>
  <c r="AF44" i="62"/>
  <c r="AR44" i="62"/>
  <c r="Z44" i="62"/>
  <c r="AL44" i="62"/>
  <c r="T42" i="62"/>
  <c r="AF42" i="62"/>
  <c r="AR42" i="62"/>
  <c r="Z42" i="62"/>
  <c r="AL42" i="62"/>
  <c r="T40" i="62"/>
  <c r="AF40" i="62"/>
  <c r="AR40" i="62"/>
  <c r="Z40" i="62"/>
  <c r="AL40" i="62"/>
  <c r="T38" i="62"/>
  <c r="AF38" i="62"/>
  <c r="AR38" i="62"/>
  <c r="Z38" i="62"/>
  <c r="AL38" i="62"/>
  <c r="T36" i="62"/>
  <c r="AF36" i="62"/>
  <c r="AR36" i="62"/>
  <c r="Z36" i="62"/>
  <c r="AL36" i="62"/>
  <c r="T16" i="62"/>
  <c r="AF16" i="62"/>
  <c r="AR16" i="62"/>
  <c r="AF14" i="62"/>
  <c r="AR14" i="62"/>
  <c r="T14" i="62"/>
  <c r="Z14" i="62"/>
  <c r="AL14" i="62"/>
  <c r="Z12" i="62"/>
  <c r="AL12" i="62"/>
  <c r="T12" i="62"/>
  <c r="AF12" i="62"/>
  <c r="AR12" i="62"/>
  <c r="Z10" i="62"/>
  <c r="AL10" i="62"/>
  <c r="T10" i="62"/>
  <c r="AF10" i="62"/>
  <c r="AR10" i="62"/>
  <c r="Z8" i="62"/>
  <c r="AL8" i="62"/>
  <c r="T8" i="62"/>
  <c r="AF8" i="62"/>
  <c r="AR8" i="62"/>
  <c r="Z6" i="62"/>
  <c r="AL6" i="62"/>
  <c r="T6" i="62"/>
  <c r="AF6" i="62"/>
  <c r="AR6" i="62"/>
  <c r="S4" i="62"/>
  <c r="BF26" i="62" s="1"/>
  <c r="AY26" i="62" s="1"/>
  <c r="I156" i="53" s="1"/>
  <c r="AE4" i="62"/>
  <c r="AQ4" i="62"/>
  <c r="Y4" i="62"/>
  <c r="AK4" i="62"/>
  <c r="Y74" i="62"/>
  <c r="AK74" i="62"/>
  <c r="S74" i="62"/>
  <c r="BF18" i="62" s="1"/>
  <c r="AE74" i="62"/>
  <c r="AQ74" i="62"/>
  <c r="Y72" i="62"/>
  <c r="AK72" i="62"/>
  <c r="S72" i="62"/>
  <c r="BF15" i="62" s="1"/>
  <c r="AE72" i="62"/>
  <c r="AQ72" i="62"/>
  <c r="Y70" i="62"/>
  <c r="AK70" i="62"/>
  <c r="S70" i="62"/>
  <c r="BF17" i="62" s="1"/>
  <c r="AE70" i="62"/>
  <c r="AQ70" i="62"/>
  <c r="Y68" i="62"/>
  <c r="AK68" i="62"/>
  <c r="S68" i="62"/>
  <c r="BF14" i="62" s="1"/>
  <c r="AE68" i="62"/>
  <c r="AQ68" i="62"/>
  <c r="Y66" i="62"/>
  <c r="AK66" i="62"/>
  <c r="S66" i="62"/>
  <c r="BF12" i="62" s="1"/>
  <c r="AE66" i="62"/>
  <c r="AQ66" i="62"/>
  <c r="Y64" i="62"/>
  <c r="AK64" i="62"/>
  <c r="S64" i="62"/>
  <c r="BF10" i="62" s="1"/>
  <c r="AE64" i="62"/>
  <c r="AQ64" i="62"/>
  <c r="Y61" i="62"/>
  <c r="AK61" i="62"/>
  <c r="S61" i="62"/>
  <c r="AE61" i="62"/>
  <c r="AQ61" i="62"/>
  <c r="Y60" i="62"/>
  <c r="AK60" i="62"/>
  <c r="S60" i="62"/>
  <c r="AE60" i="62"/>
  <c r="AQ60" i="62"/>
  <c r="Y58" i="62"/>
  <c r="AK58" i="62"/>
  <c r="S58" i="62"/>
  <c r="AE58" i="62"/>
  <c r="AQ58" i="62"/>
  <c r="Y56" i="62"/>
  <c r="AK56" i="62"/>
  <c r="S56" i="62"/>
  <c r="AE56" i="62"/>
  <c r="AQ56" i="62"/>
  <c r="Y54" i="62"/>
  <c r="AK54" i="62"/>
  <c r="S54" i="62"/>
  <c r="AE54" i="62"/>
  <c r="AQ54" i="62"/>
  <c r="Y52" i="62"/>
  <c r="AK52" i="62"/>
  <c r="S52" i="62"/>
  <c r="AE52" i="62"/>
  <c r="AQ52" i="62"/>
  <c r="Y50" i="62"/>
  <c r="AK50" i="62"/>
  <c r="S50" i="62"/>
  <c r="BF31" i="62" s="1"/>
  <c r="AE50" i="62"/>
  <c r="AQ50" i="62"/>
  <c r="Y48" i="62"/>
  <c r="AK48" i="62"/>
  <c r="S48" i="62"/>
  <c r="AE48" i="62"/>
  <c r="AQ48" i="62"/>
  <c r="X77" i="62"/>
  <c r="AJ77" i="62"/>
  <c r="AV77" i="62"/>
  <c r="AD77" i="62"/>
  <c r="AP77" i="62"/>
  <c r="X75" i="62"/>
  <c r="AJ75" i="62"/>
  <c r="AV75" i="62"/>
  <c r="AD75" i="62"/>
  <c r="AP75" i="62"/>
  <c r="AH32" i="62"/>
  <c r="V32" i="62"/>
  <c r="AN32" i="62"/>
  <c r="AB32" i="62"/>
  <c r="V34" i="62"/>
  <c r="AH34" i="62"/>
  <c r="AT34" i="62"/>
  <c r="AB34" i="62"/>
  <c r="AN34" i="62"/>
  <c r="AN2" i="62"/>
  <c r="AT31" i="62"/>
  <c r="AH31" i="62"/>
  <c r="AN30" i="62"/>
  <c r="AT29" i="62"/>
  <c r="AH29" i="62"/>
  <c r="AN28" i="62"/>
  <c r="AT27" i="62"/>
  <c r="AH27" i="62"/>
  <c r="AN26" i="62"/>
  <c r="AT25" i="62"/>
  <c r="AH25" i="62"/>
  <c r="AN24" i="62"/>
  <c r="AT23" i="62"/>
  <c r="AH23" i="62"/>
  <c r="AN22" i="62"/>
  <c r="AT21" i="62"/>
  <c r="AH21" i="62"/>
  <c r="AN20" i="62"/>
  <c r="AT19" i="62"/>
  <c r="AG19" i="62"/>
  <c r="S19" i="62"/>
  <c r="BF23" i="62" s="1"/>
  <c r="Y18" i="62"/>
  <c r="S17" i="62"/>
  <c r="BF21" i="62" s="1"/>
  <c r="AQ15" i="62"/>
  <c r="AI14" i="62"/>
  <c r="X12" i="62"/>
  <c r="AV4" i="62"/>
  <c r="AM46" i="62"/>
  <c r="AA44" i="62"/>
  <c r="AS41" i="62"/>
  <c r="AG39" i="62"/>
  <c r="U37" i="62"/>
  <c r="AM34" i="62"/>
  <c r="X78" i="62"/>
  <c r="X56" i="62"/>
  <c r="AA43" i="62"/>
  <c r="AM43" i="62"/>
  <c r="U11" i="62"/>
  <c r="AG11" i="62"/>
  <c r="AS11" i="62"/>
  <c r="AA11" i="62"/>
  <c r="AM11" i="62"/>
  <c r="T63" i="62"/>
  <c r="AF63" i="62"/>
  <c r="AR63" i="62"/>
  <c r="Z63" i="62"/>
  <c r="AL63" i="62"/>
  <c r="S44" i="62"/>
  <c r="AE44" i="62"/>
  <c r="AQ44" i="62"/>
  <c r="S42" i="62"/>
  <c r="AE42" i="62"/>
  <c r="AQ42" i="62"/>
  <c r="S40" i="62"/>
  <c r="AE40" i="62"/>
  <c r="AQ40" i="62"/>
  <c r="S38" i="62"/>
  <c r="AE38" i="62"/>
  <c r="AQ38" i="62"/>
  <c r="S36" i="62"/>
  <c r="AE36" i="62"/>
  <c r="AQ36" i="62"/>
  <c r="S16" i="62"/>
  <c r="AE16" i="62"/>
  <c r="AQ16" i="62"/>
  <c r="AE14" i="62"/>
  <c r="AQ14" i="62"/>
  <c r="S14" i="62"/>
  <c r="S12" i="62"/>
  <c r="AE12" i="62"/>
  <c r="AQ12" i="62"/>
  <c r="Y12" i="62"/>
  <c r="AK12" i="62"/>
  <c r="S10" i="62"/>
  <c r="AE10" i="62"/>
  <c r="AQ10" i="62"/>
  <c r="Y10" i="62"/>
  <c r="AK10" i="62"/>
  <c r="S8" i="62"/>
  <c r="AE8" i="62"/>
  <c r="AQ8" i="62"/>
  <c r="Y8" i="62"/>
  <c r="AK8" i="62"/>
  <c r="X5" i="62"/>
  <c r="BK27" i="62" s="1"/>
  <c r="AJ5" i="62"/>
  <c r="AV5" i="62"/>
  <c r="X3" i="62"/>
  <c r="BK25" i="62" s="1"/>
  <c r="AJ3" i="62"/>
  <c r="AV3" i="62"/>
  <c r="X73" i="62"/>
  <c r="BK20" i="62" s="1"/>
  <c r="AJ73" i="62"/>
  <c r="AV73" i="62"/>
  <c r="AD73" i="62"/>
  <c r="AP73" i="62"/>
  <c r="X71" i="62"/>
  <c r="BK16" i="62" s="1"/>
  <c r="AJ71" i="62"/>
  <c r="AV71" i="62"/>
  <c r="AD71" i="62"/>
  <c r="AP71" i="62"/>
  <c r="X69" i="62"/>
  <c r="BK19" i="62" s="1"/>
  <c r="AJ69" i="62"/>
  <c r="AV69" i="62"/>
  <c r="AD69" i="62"/>
  <c r="X67" i="62"/>
  <c r="BK13" i="62" s="1"/>
  <c r="AJ67" i="62"/>
  <c r="AV67" i="62"/>
  <c r="AD67" i="62"/>
  <c r="AP67" i="62"/>
  <c r="X65" i="62"/>
  <c r="BK11" i="62" s="1"/>
  <c r="AJ65" i="62"/>
  <c r="AV65" i="62"/>
  <c r="AD65" i="62"/>
  <c r="X62" i="62"/>
  <c r="AJ62" i="62"/>
  <c r="AV62" i="62"/>
  <c r="AD62" i="62"/>
  <c r="AP62" i="62"/>
  <c r="X63" i="62"/>
  <c r="AJ63" i="62"/>
  <c r="AV63" i="62"/>
  <c r="AP63" i="62"/>
  <c r="AD63" i="62"/>
  <c r="X59" i="62"/>
  <c r="AJ59" i="62"/>
  <c r="AV59" i="62"/>
  <c r="AD59" i="62"/>
  <c r="AP59" i="62"/>
  <c r="X57" i="62"/>
  <c r="AJ57" i="62"/>
  <c r="AV57" i="62"/>
  <c r="AD57" i="62"/>
  <c r="AP57" i="62"/>
  <c r="X55" i="62"/>
  <c r="AJ55" i="62"/>
  <c r="AV55" i="62"/>
  <c r="AP55" i="62"/>
  <c r="X53" i="62"/>
  <c r="AJ53" i="62"/>
  <c r="AV53" i="62"/>
  <c r="AD53" i="62"/>
  <c r="AP53" i="62"/>
  <c r="X51" i="62"/>
  <c r="BK32" i="62" s="1"/>
  <c r="AJ51" i="62"/>
  <c r="AV51" i="62"/>
  <c r="AP51" i="62"/>
  <c r="X49" i="62"/>
  <c r="BK30" i="62" s="1"/>
  <c r="AJ49" i="62"/>
  <c r="AV49" i="62"/>
  <c r="AD49" i="62"/>
  <c r="AP49" i="62"/>
  <c r="W77" i="62"/>
  <c r="AI77" i="62"/>
  <c r="AU77" i="62"/>
  <c r="AC77" i="62"/>
  <c r="AO77" i="62"/>
  <c r="W75" i="62"/>
  <c r="AI75" i="62"/>
  <c r="AU75" i="62"/>
  <c r="AC75" i="62"/>
  <c r="AO75" i="62"/>
  <c r="W32" i="62"/>
  <c r="AI32" i="62"/>
  <c r="AO32" i="62"/>
  <c r="AU32" i="62"/>
  <c r="AC34" i="62"/>
  <c r="AO34" i="62"/>
  <c r="W34" i="62"/>
  <c r="AI34" i="62"/>
  <c r="AU34" i="62"/>
  <c r="AM2" i="62"/>
  <c r="AS31" i="62"/>
  <c r="AG31" i="62"/>
  <c r="AM30" i="62"/>
  <c r="AS29" i="62"/>
  <c r="AG29" i="62"/>
  <c r="AM28" i="62"/>
  <c r="AS27" i="62"/>
  <c r="AG27" i="62"/>
  <c r="AM26" i="62"/>
  <c r="AS25" i="62"/>
  <c r="AG25" i="62"/>
  <c r="AM24" i="62"/>
  <c r="AS23" i="62"/>
  <c r="AG23" i="62"/>
  <c r="AM22" i="62"/>
  <c r="AS21" i="62"/>
  <c r="AG21" i="62"/>
  <c r="AM20" i="62"/>
  <c r="AF19" i="62"/>
  <c r="AU18" i="62"/>
  <c r="W18" i="62"/>
  <c r="BJ22" i="62" s="1"/>
  <c r="BC22" i="62" s="1"/>
  <c r="I140" i="53" s="1"/>
  <c r="AU16" i="62"/>
  <c r="AG14" i="62"/>
  <c r="V12" i="62"/>
  <c r="AN9" i="62"/>
  <c r="AB7" i="62"/>
  <c r="AT4" i="62"/>
  <c r="AK46" i="62"/>
  <c r="Y44" i="62"/>
  <c r="AQ41" i="62"/>
  <c r="AE39" i="62"/>
  <c r="S37" i="62"/>
  <c r="AK34" i="62"/>
  <c r="V78" i="62"/>
  <c r="AD55" i="62"/>
  <c r="AA45" i="62"/>
  <c r="AM45" i="62"/>
  <c r="U13" i="62"/>
  <c r="AG13" i="62"/>
  <c r="AS13" i="62"/>
  <c r="AA13" i="62"/>
  <c r="AM13" i="62"/>
  <c r="T65" i="62"/>
  <c r="BG11" i="62" s="1"/>
  <c r="AF65" i="62"/>
  <c r="AR65" i="62"/>
  <c r="Z65" i="62"/>
  <c r="AL65" i="62"/>
  <c r="X45" i="62"/>
  <c r="AJ45" i="62"/>
  <c r="AV45" i="62"/>
  <c r="AD45" i="62"/>
  <c r="AP45" i="62"/>
  <c r="X39" i="62"/>
  <c r="AJ39" i="62"/>
  <c r="AV39" i="62"/>
  <c r="AD39" i="62"/>
  <c r="AP39" i="62"/>
  <c r="AJ15" i="62"/>
  <c r="AV15" i="62"/>
  <c r="X15" i="62"/>
  <c r="AD15" i="62"/>
  <c r="AP15" i="62"/>
  <c r="X13" i="62"/>
  <c r="AJ13" i="62"/>
  <c r="AV13" i="62"/>
  <c r="X11" i="62"/>
  <c r="AJ11" i="62"/>
  <c r="AV11" i="62"/>
  <c r="X9" i="62"/>
  <c r="AJ9" i="62"/>
  <c r="AV9" i="62"/>
  <c r="X7" i="62"/>
  <c r="AJ7" i="62"/>
  <c r="AV7" i="62"/>
  <c r="W5" i="62"/>
  <c r="BJ27" i="62" s="1"/>
  <c r="AI5" i="62"/>
  <c r="AU5" i="62"/>
  <c r="AC5" i="62"/>
  <c r="AO5" i="62"/>
  <c r="W3" i="62"/>
  <c r="BJ25" i="62" s="1"/>
  <c r="AI3" i="62"/>
  <c r="AU3" i="62"/>
  <c r="AC3" i="62"/>
  <c r="AO3" i="62"/>
  <c r="W73" i="62"/>
  <c r="BJ20" i="62" s="1"/>
  <c r="AI73" i="62"/>
  <c r="AU73" i="62"/>
  <c r="AC73" i="62"/>
  <c r="AO73" i="62"/>
  <c r="W71" i="62"/>
  <c r="BJ16" i="62" s="1"/>
  <c r="AI71" i="62"/>
  <c r="AU71" i="62"/>
  <c r="AC71" i="62"/>
  <c r="AO71" i="62"/>
  <c r="W69" i="62"/>
  <c r="BJ19" i="62" s="1"/>
  <c r="AI69" i="62"/>
  <c r="AU69" i="62"/>
  <c r="AC69" i="62"/>
  <c r="AO69" i="62"/>
  <c r="W67" i="62"/>
  <c r="BJ13" i="62" s="1"/>
  <c r="AI67" i="62"/>
  <c r="AU67" i="62"/>
  <c r="AC67" i="62"/>
  <c r="AO67" i="62"/>
  <c r="W65" i="62"/>
  <c r="BJ11" i="62" s="1"/>
  <c r="AI65" i="62"/>
  <c r="AU65" i="62"/>
  <c r="AC65" i="62"/>
  <c r="AO65" i="62"/>
  <c r="W62" i="62"/>
  <c r="AI62" i="62"/>
  <c r="AU62" i="62"/>
  <c r="AC62" i="62"/>
  <c r="AO62" i="62"/>
  <c r="W63" i="62"/>
  <c r="AI63" i="62"/>
  <c r="AU63" i="62"/>
  <c r="AC63" i="62"/>
  <c r="AO63" i="62"/>
  <c r="W59" i="62"/>
  <c r="AI59" i="62"/>
  <c r="AU59" i="62"/>
  <c r="AC59" i="62"/>
  <c r="AO59" i="62"/>
  <c r="W57" i="62"/>
  <c r="AI57" i="62"/>
  <c r="AU57" i="62"/>
  <c r="AC57" i="62"/>
  <c r="AO57" i="62"/>
  <c r="W55" i="62"/>
  <c r="AI55" i="62"/>
  <c r="AU55" i="62"/>
  <c r="AC55" i="62"/>
  <c r="AO55" i="62"/>
  <c r="W53" i="62"/>
  <c r="AI53" i="62"/>
  <c r="AU53" i="62"/>
  <c r="AC53" i="62"/>
  <c r="AO53" i="62"/>
  <c r="W51" i="62"/>
  <c r="BJ32" i="62" s="1"/>
  <c r="AI51" i="62"/>
  <c r="AU51" i="62"/>
  <c r="AC51" i="62"/>
  <c r="AO51" i="62"/>
  <c r="W49" i="62"/>
  <c r="BJ30" i="62" s="1"/>
  <c r="AI49" i="62"/>
  <c r="AU49" i="62"/>
  <c r="AC49" i="62"/>
  <c r="AO49" i="62"/>
  <c r="V77" i="62"/>
  <c r="AH77" i="62"/>
  <c r="AT77" i="62"/>
  <c r="AB77" i="62"/>
  <c r="AN77" i="62"/>
  <c r="V75" i="62"/>
  <c r="AH75" i="62"/>
  <c r="AT75" i="62"/>
  <c r="AN75" i="62"/>
  <c r="AB75" i="62"/>
  <c r="X32" i="62"/>
  <c r="AV32" i="62"/>
  <c r="AJ32" i="62"/>
  <c r="AP32" i="62"/>
  <c r="AD32" i="62"/>
  <c r="AD34" i="62"/>
  <c r="AP34" i="62"/>
  <c r="X34" i="62"/>
  <c r="AJ34" i="62"/>
  <c r="AV34" i="62"/>
  <c r="AL2" i="62"/>
  <c r="AR31" i="62"/>
  <c r="AF31" i="62"/>
  <c r="AL30" i="62"/>
  <c r="AR29" i="62"/>
  <c r="AF29" i="62"/>
  <c r="AL28" i="62"/>
  <c r="AR27" i="62"/>
  <c r="AF27" i="62"/>
  <c r="AL26" i="62"/>
  <c r="AR25" i="62"/>
  <c r="AF25" i="62"/>
  <c r="AL24" i="62"/>
  <c r="AR23" i="62"/>
  <c r="AF23" i="62"/>
  <c r="AL22" i="62"/>
  <c r="AR21" i="62"/>
  <c r="AF21" i="62"/>
  <c r="AL20" i="62"/>
  <c r="AE19" i="62"/>
  <c r="AR18" i="62"/>
  <c r="AS17" i="62"/>
  <c r="AM16" i="62"/>
  <c r="X14" i="62"/>
  <c r="AP11" i="62"/>
  <c r="AD9" i="62"/>
  <c r="AV6" i="62"/>
  <c r="AJ4" i="62"/>
  <c r="AA46" i="62"/>
  <c r="AS43" i="62"/>
  <c r="AG41" i="62"/>
  <c r="U39" i="62"/>
  <c r="AM36" i="62"/>
  <c r="AA34" i="62"/>
  <c r="AJ76" i="62"/>
  <c r="AD51" i="62"/>
  <c r="U15" i="62"/>
  <c r="AA15" i="62"/>
  <c r="AM15" i="62"/>
  <c r="T67" i="62"/>
  <c r="BG13" i="62" s="1"/>
  <c r="AF67" i="62"/>
  <c r="AR67" i="62"/>
  <c r="Z67" i="62"/>
  <c r="AL67" i="62"/>
  <c r="T53" i="62"/>
  <c r="AF53" i="62"/>
  <c r="AR53" i="62"/>
  <c r="Z53" i="62"/>
  <c r="AL53" i="62"/>
  <c r="AD46" i="62"/>
  <c r="AP46" i="62"/>
  <c r="X46" i="62"/>
  <c r="AJ46" i="62"/>
  <c r="AV46" i="62"/>
  <c r="X47" i="62"/>
  <c r="AJ47" i="62"/>
  <c r="AV47" i="62"/>
  <c r="AD47" i="62"/>
  <c r="AP47" i="62"/>
  <c r="X41" i="62"/>
  <c r="AJ41" i="62"/>
  <c r="AV41" i="62"/>
  <c r="AD41" i="62"/>
  <c r="AP41" i="62"/>
  <c r="X35" i="62"/>
  <c r="AJ35" i="62"/>
  <c r="AV35" i="62"/>
  <c r="AD35" i="62"/>
  <c r="AP35" i="62"/>
  <c r="X17" i="62"/>
  <c r="BK21" i="62" s="1"/>
  <c r="AJ17" i="62"/>
  <c r="AV17" i="62"/>
  <c r="AD17" i="62"/>
  <c r="AP17" i="62"/>
  <c r="W47" i="62"/>
  <c r="AI47" i="62"/>
  <c r="AU47" i="62"/>
  <c r="AC47" i="62"/>
  <c r="AO47" i="62"/>
  <c r="W45" i="62"/>
  <c r="AI45" i="62"/>
  <c r="AU45" i="62"/>
  <c r="AC45" i="62"/>
  <c r="AO45" i="62"/>
  <c r="W43" i="62"/>
  <c r="AI43" i="62"/>
  <c r="AU43" i="62"/>
  <c r="AC43" i="62"/>
  <c r="AO43" i="62"/>
  <c r="W41" i="62"/>
  <c r="AI41" i="62"/>
  <c r="AU41" i="62"/>
  <c r="AC41" i="62"/>
  <c r="AO41" i="62"/>
  <c r="W39" i="62"/>
  <c r="AI39" i="62"/>
  <c r="AU39" i="62"/>
  <c r="AC39" i="62"/>
  <c r="AO39" i="62"/>
  <c r="W37" i="62"/>
  <c r="AI37" i="62"/>
  <c r="AU37" i="62"/>
  <c r="AC37" i="62"/>
  <c r="AO37" i="62"/>
  <c r="W35" i="62"/>
  <c r="AI35" i="62"/>
  <c r="AU35" i="62"/>
  <c r="AC35" i="62"/>
  <c r="AO35" i="62"/>
  <c r="W19" i="62"/>
  <c r="BJ23" i="62" s="1"/>
  <c r="AI19" i="62"/>
  <c r="W17" i="62"/>
  <c r="BJ21" i="62" s="1"/>
  <c r="AI17" i="62"/>
  <c r="AU17" i="62"/>
  <c r="AI15" i="62"/>
  <c r="AU15" i="62"/>
  <c r="W13" i="62"/>
  <c r="AI13" i="62"/>
  <c r="AU13" i="62"/>
  <c r="AC13" i="62"/>
  <c r="AO13" i="62"/>
  <c r="W11" i="62"/>
  <c r="AI11" i="62"/>
  <c r="AU11" i="62"/>
  <c r="AC11" i="62"/>
  <c r="AO11" i="62"/>
  <c r="W9" i="62"/>
  <c r="AI9" i="62"/>
  <c r="AU9" i="62"/>
  <c r="AC9" i="62"/>
  <c r="AO9" i="62"/>
  <c r="W7" i="62"/>
  <c r="AI7" i="62"/>
  <c r="AU7" i="62"/>
  <c r="AC7" i="62"/>
  <c r="AO7" i="62"/>
  <c r="V5" i="62"/>
  <c r="BI27" i="62" s="1"/>
  <c r="AH5" i="62"/>
  <c r="AT5" i="62"/>
  <c r="V3" i="62"/>
  <c r="BI25" i="62" s="1"/>
  <c r="AH3" i="62"/>
  <c r="AT3" i="62"/>
  <c r="V73" i="62"/>
  <c r="BI20" i="62" s="1"/>
  <c r="AH73" i="62"/>
  <c r="AT73" i="62"/>
  <c r="AB73" i="62"/>
  <c r="AN73" i="62"/>
  <c r="V71" i="62"/>
  <c r="BI16" i="62" s="1"/>
  <c r="AH71" i="62"/>
  <c r="AT71" i="62"/>
  <c r="AB71" i="62"/>
  <c r="AN71" i="62"/>
  <c r="V69" i="62"/>
  <c r="BI19" i="62" s="1"/>
  <c r="AH69" i="62"/>
  <c r="AT69" i="62"/>
  <c r="AB69" i="62"/>
  <c r="AN69" i="62"/>
  <c r="V67" i="62"/>
  <c r="BI13" i="62" s="1"/>
  <c r="AH67" i="62"/>
  <c r="AT67" i="62"/>
  <c r="AB67" i="62"/>
  <c r="AN67" i="62"/>
  <c r="V65" i="62"/>
  <c r="BI11" i="62" s="1"/>
  <c r="AH65" i="62"/>
  <c r="AT65" i="62"/>
  <c r="AB65" i="62"/>
  <c r="AN65" i="62"/>
  <c r="V62" i="62"/>
  <c r="AH62" i="62"/>
  <c r="AT62" i="62"/>
  <c r="AB62" i="62"/>
  <c r="AN62" i="62"/>
  <c r="V63" i="62"/>
  <c r="AH63" i="62"/>
  <c r="AT63" i="62"/>
  <c r="AB63" i="62"/>
  <c r="AN63" i="62"/>
  <c r="V59" i="62"/>
  <c r="AH59" i="62"/>
  <c r="AT59" i="62"/>
  <c r="AB59" i="62"/>
  <c r="AN59" i="62"/>
  <c r="V57" i="62"/>
  <c r="AH57" i="62"/>
  <c r="AT57" i="62"/>
  <c r="AB57" i="62"/>
  <c r="AN57" i="62"/>
  <c r="V55" i="62"/>
  <c r="AH55" i="62"/>
  <c r="AT55" i="62"/>
  <c r="AB55" i="62"/>
  <c r="AN55" i="62"/>
  <c r="V53" i="62"/>
  <c r="AH53" i="62"/>
  <c r="AT53" i="62"/>
  <c r="AB53" i="62"/>
  <c r="AN53" i="62"/>
  <c r="V51" i="62"/>
  <c r="BI32" i="62" s="1"/>
  <c r="AH51" i="62"/>
  <c r="AT51" i="62"/>
  <c r="AB51" i="62"/>
  <c r="AN51" i="62"/>
  <c r="V49" i="62"/>
  <c r="BI30" i="62" s="1"/>
  <c r="AH49" i="62"/>
  <c r="AT49" i="62"/>
  <c r="AB49" i="62"/>
  <c r="AN49" i="62"/>
  <c r="U77" i="62"/>
  <c r="AG77" i="62"/>
  <c r="AS77" i="62"/>
  <c r="AA77" i="62"/>
  <c r="AM77" i="62"/>
  <c r="U75" i="62"/>
  <c r="AG75" i="62"/>
  <c r="AS75" i="62"/>
  <c r="AA75" i="62"/>
  <c r="AM75" i="62"/>
  <c r="Y33" i="62"/>
  <c r="AK33" i="62"/>
  <c r="S33" i="62"/>
  <c r="AE33" i="62"/>
  <c r="AQ33" i="62"/>
  <c r="AQ31" i="62"/>
  <c r="AE31" i="62"/>
  <c r="AK30" i="62"/>
  <c r="AQ29" i="62"/>
  <c r="AE29" i="62"/>
  <c r="AK28" i="62"/>
  <c r="AQ27" i="62"/>
  <c r="AE27" i="62"/>
  <c r="AK26" i="62"/>
  <c r="AQ25" i="62"/>
  <c r="AE25" i="62"/>
  <c r="AK24" i="62"/>
  <c r="AQ23" i="62"/>
  <c r="AE23" i="62"/>
  <c r="AK22" i="62"/>
  <c r="AQ21" i="62"/>
  <c r="AE21" i="62"/>
  <c r="AK20" i="62"/>
  <c r="AQ18" i="62"/>
  <c r="AR17" i="62"/>
  <c r="AL16" i="62"/>
  <c r="AF15" i="62"/>
  <c r="V14" i="62"/>
  <c r="AN11" i="62"/>
  <c r="AB9" i="62"/>
  <c r="AT6" i="62"/>
  <c r="AH4" i="62"/>
  <c r="Y46" i="62"/>
  <c r="AQ43" i="62"/>
  <c r="AE41" i="62"/>
  <c r="S39" i="62"/>
  <c r="AK36" i="62"/>
  <c r="Y34" i="62"/>
  <c r="AH76" i="62"/>
  <c r="AJ50" i="62"/>
  <c r="S8" i="64"/>
  <c r="S10" i="64" s="1"/>
  <c r="C43" i="50"/>
  <c r="C65" i="50"/>
  <c r="C62" i="50"/>
  <c r="C56" i="50"/>
  <c r="BF2" i="62" l="1"/>
  <c r="E32" i="92"/>
  <c r="A38" i="92"/>
  <c r="A90" i="92"/>
  <c r="E84" i="92"/>
  <c r="G30" i="92"/>
  <c r="G29" i="92"/>
  <c r="E30" i="92"/>
  <c r="E29" i="92"/>
  <c r="C28" i="92" s="1"/>
  <c r="K28" i="92"/>
  <c r="K29" i="92"/>
  <c r="J29" i="92"/>
  <c r="I29" i="92" s="1"/>
  <c r="J28" i="92"/>
  <c r="I28" i="92" s="1"/>
  <c r="G28" i="92"/>
  <c r="G82" i="92"/>
  <c r="G81" i="92"/>
  <c r="E82" i="92"/>
  <c r="E81" i="92"/>
  <c r="C80" i="92" s="1"/>
  <c r="K81" i="92"/>
  <c r="J80" i="92"/>
  <c r="I80" i="92" s="1"/>
  <c r="J81" i="92"/>
  <c r="I81" i="92" s="1"/>
  <c r="K80" i="92"/>
  <c r="G80" i="92"/>
  <c r="D18" i="91"/>
  <c r="B18" i="91"/>
  <c r="P22" i="91"/>
  <c r="O22" i="91" s="1"/>
  <c r="N21" i="91"/>
  <c r="M21" i="91"/>
  <c r="N22" i="91"/>
  <c r="L21" i="91"/>
  <c r="M22" i="91"/>
  <c r="K21" i="91"/>
  <c r="L22" i="91"/>
  <c r="F21" i="91"/>
  <c r="G22" i="91"/>
  <c r="K22" i="91"/>
  <c r="P21" i="91"/>
  <c r="O21" i="91" s="1"/>
  <c r="Q21" i="91"/>
  <c r="F25" i="91"/>
  <c r="H28" i="91"/>
  <c r="J2097" i="83"/>
  <c r="L2097" i="83"/>
  <c r="M2097" i="83" s="1"/>
  <c r="L2098" i="83"/>
  <c r="I2098" i="83"/>
  <c r="I2091" i="83"/>
  <c r="L2090" i="83"/>
  <c r="M2090" i="83" s="1"/>
  <c r="J2090" i="83"/>
  <c r="L2091" i="83"/>
  <c r="I1951" i="83"/>
  <c r="L1950" i="83"/>
  <c r="M1950" i="83" s="1"/>
  <c r="L1951" i="83"/>
  <c r="J1950" i="83"/>
  <c r="J1957" i="83"/>
  <c r="L1957" i="83"/>
  <c r="M1957" i="83" s="1"/>
  <c r="L1958" i="83"/>
  <c r="I1958" i="83"/>
  <c r="I1916" i="83"/>
  <c r="L1916" i="83"/>
  <c r="L1915" i="83"/>
  <c r="M1915" i="83" s="1"/>
  <c r="J1915" i="83"/>
  <c r="J1922" i="83"/>
  <c r="L1923" i="83"/>
  <c r="I1923" i="83"/>
  <c r="L1922" i="83"/>
  <c r="M1922" i="83" s="1"/>
  <c r="J1887" i="83"/>
  <c r="L1887" i="83"/>
  <c r="M1887" i="83" s="1"/>
  <c r="L1888" i="83"/>
  <c r="I1888" i="83"/>
  <c r="I1881" i="83"/>
  <c r="L1881" i="83"/>
  <c r="L1880" i="83"/>
  <c r="M1880" i="83" s="1"/>
  <c r="J1880" i="83"/>
  <c r="J1782" i="83"/>
  <c r="L1783" i="83"/>
  <c r="I1783" i="83"/>
  <c r="L1782" i="83"/>
  <c r="M1782" i="83" s="1"/>
  <c r="I1776" i="83"/>
  <c r="L1775" i="83"/>
  <c r="M1775" i="83" s="1"/>
  <c r="L1776" i="83"/>
  <c r="J1775" i="83"/>
  <c r="L1706" i="83"/>
  <c r="I1706" i="83"/>
  <c r="L1705" i="83"/>
  <c r="M1705" i="83" s="1"/>
  <c r="J1705" i="83"/>
  <c r="D1720" i="83"/>
  <c r="B1720" i="83"/>
  <c r="A1733" i="83"/>
  <c r="B1726" i="83"/>
  <c r="G1717" i="83"/>
  <c r="F1717" i="83"/>
  <c r="I1712" i="83"/>
  <c r="G1716" i="83"/>
  <c r="D1712" i="83"/>
  <c r="F1716" i="83"/>
  <c r="D1714" i="83"/>
  <c r="B1714" i="83"/>
  <c r="L1636" i="83"/>
  <c r="I1636" i="83"/>
  <c r="J1635" i="83"/>
  <c r="L1635" i="83"/>
  <c r="M1635" i="83" s="1"/>
  <c r="A1663" i="83"/>
  <c r="B1656" i="83"/>
  <c r="D1650" i="83"/>
  <c r="B1650" i="83"/>
  <c r="G1647" i="83"/>
  <c r="F1647" i="83"/>
  <c r="I1642" i="83"/>
  <c r="G1646" i="83"/>
  <c r="D1642" i="83"/>
  <c r="F1646" i="83"/>
  <c r="B1644" i="83"/>
  <c r="D1644" i="83"/>
  <c r="A1593" i="83"/>
  <c r="B1586" i="83"/>
  <c r="D1580" i="83"/>
  <c r="B1580" i="83"/>
  <c r="G1577" i="83"/>
  <c r="F1577" i="83"/>
  <c r="I1572" i="83"/>
  <c r="G1576" i="83"/>
  <c r="D1572" i="83"/>
  <c r="F1576" i="83"/>
  <c r="D1574" i="83"/>
  <c r="B1574" i="83"/>
  <c r="L1566" i="83"/>
  <c r="I1566" i="83"/>
  <c r="L1565" i="83"/>
  <c r="M1565" i="83" s="1"/>
  <c r="J1565" i="83"/>
  <c r="L1426" i="83"/>
  <c r="I1426" i="83"/>
  <c r="L1425" i="83"/>
  <c r="M1425" i="83" s="1"/>
  <c r="J1425" i="83"/>
  <c r="A1453" i="83"/>
  <c r="B1446" i="83"/>
  <c r="D1440" i="83"/>
  <c r="B1440" i="83"/>
  <c r="G1437" i="83"/>
  <c r="F1437" i="83"/>
  <c r="I1432" i="83"/>
  <c r="G1436" i="83"/>
  <c r="D1432" i="83"/>
  <c r="F1436" i="83"/>
  <c r="D1434" i="83"/>
  <c r="B1434" i="83"/>
  <c r="A1313" i="83"/>
  <c r="B1306" i="83"/>
  <c r="B1300" i="83"/>
  <c r="D1300" i="83"/>
  <c r="G1297" i="83"/>
  <c r="F1297" i="83"/>
  <c r="I1292" i="83"/>
  <c r="G1296" i="83"/>
  <c r="D1292" i="83"/>
  <c r="F1296" i="83"/>
  <c r="D1294" i="83"/>
  <c r="B1294" i="83"/>
  <c r="L1286" i="83"/>
  <c r="I1286" i="83"/>
  <c r="L1285" i="83"/>
  <c r="M1285" i="83" s="1"/>
  <c r="J1285" i="83"/>
  <c r="A1173" i="83"/>
  <c r="B1166" i="83"/>
  <c r="B1160" i="83"/>
  <c r="D1160" i="83"/>
  <c r="L1145" i="83"/>
  <c r="M1145" i="83" s="1"/>
  <c r="L1146" i="83"/>
  <c r="I1146" i="83"/>
  <c r="J1145" i="83"/>
  <c r="D1154" i="83"/>
  <c r="G1157" i="83"/>
  <c r="F1157" i="83"/>
  <c r="I1152" i="83"/>
  <c r="G1156" i="83"/>
  <c r="D1152" i="83"/>
  <c r="F1156" i="83"/>
  <c r="B1154" i="83"/>
  <c r="L1076" i="83"/>
  <c r="I1076" i="83"/>
  <c r="L1075" i="83"/>
  <c r="M1075" i="83" s="1"/>
  <c r="J1075" i="83"/>
  <c r="D1090" i="83"/>
  <c r="B1090" i="83"/>
  <c r="A1103" i="83"/>
  <c r="B1096" i="83"/>
  <c r="F1087" i="83"/>
  <c r="I1082" i="83"/>
  <c r="G1087" i="83"/>
  <c r="G1086" i="83"/>
  <c r="D1082" i="83"/>
  <c r="F1086" i="83"/>
  <c r="D1084" i="83"/>
  <c r="B1084" i="83"/>
  <c r="A1033" i="83"/>
  <c r="B1026" i="83"/>
  <c r="D1020" i="83"/>
  <c r="B1020" i="83"/>
  <c r="G1017" i="83"/>
  <c r="F1017" i="83"/>
  <c r="I1012" i="83"/>
  <c r="G1016" i="83"/>
  <c r="D1012" i="83"/>
  <c r="F1016" i="83"/>
  <c r="D1014" i="83"/>
  <c r="B1014" i="83"/>
  <c r="L1006" i="83"/>
  <c r="I1006" i="83"/>
  <c r="L1005" i="83"/>
  <c r="M1005" i="83" s="1"/>
  <c r="J1005" i="83"/>
  <c r="D950" i="83"/>
  <c r="B950" i="83"/>
  <c r="A963" i="83"/>
  <c r="B956" i="83"/>
  <c r="L936" i="83"/>
  <c r="I936" i="83"/>
  <c r="L935" i="83"/>
  <c r="M935" i="83" s="1"/>
  <c r="J935" i="83"/>
  <c r="G947" i="83"/>
  <c r="F947" i="83"/>
  <c r="I942" i="83"/>
  <c r="G946" i="83"/>
  <c r="D942" i="83"/>
  <c r="F946" i="83"/>
  <c r="D944" i="83"/>
  <c r="B944" i="83"/>
  <c r="A893" i="83"/>
  <c r="B886" i="83"/>
  <c r="D880" i="83"/>
  <c r="B880" i="83"/>
  <c r="G877" i="83"/>
  <c r="F877" i="83"/>
  <c r="I872" i="83"/>
  <c r="G876" i="83"/>
  <c r="D872" i="83"/>
  <c r="F876" i="83"/>
  <c r="D874" i="83"/>
  <c r="B874" i="83"/>
  <c r="L866" i="83"/>
  <c r="I866" i="83"/>
  <c r="L865" i="83"/>
  <c r="M865" i="83" s="1"/>
  <c r="J865" i="83"/>
  <c r="L796" i="83"/>
  <c r="J795" i="83"/>
  <c r="I796" i="83"/>
  <c r="L795" i="83"/>
  <c r="M795" i="83" s="1"/>
  <c r="B816" i="83"/>
  <c r="A823" i="83"/>
  <c r="D810" i="83"/>
  <c r="B810" i="83"/>
  <c r="D804" i="83"/>
  <c r="G807" i="83"/>
  <c r="F807" i="83"/>
  <c r="I802" i="83"/>
  <c r="G806" i="83"/>
  <c r="D802" i="83"/>
  <c r="B804" i="83"/>
  <c r="F806" i="83"/>
  <c r="D740" i="83"/>
  <c r="B740" i="83"/>
  <c r="L726" i="83"/>
  <c r="I726" i="83"/>
  <c r="L725" i="83"/>
  <c r="M725" i="83" s="1"/>
  <c r="J725" i="83"/>
  <c r="A753" i="83"/>
  <c r="B746" i="83"/>
  <c r="G737" i="83"/>
  <c r="F737" i="83"/>
  <c r="I732" i="83"/>
  <c r="G736" i="83"/>
  <c r="D732" i="83"/>
  <c r="F736" i="83"/>
  <c r="D734" i="83"/>
  <c r="B734" i="83"/>
  <c r="L656" i="83"/>
  <c r="I656" i="83"/>
  <c r="L655" i="83"/>
  <c r="M655" i="83" s="1"/>
  <c r="J655" i="83"/>
  <c r="D670" i="83"/>
  <c r="B670" i="83"/>
  <c r="A683" i="83"/>
  <c r="B676" i="83"/>
  <c r="G667" i="83"/>
  <c r="F667" i="83"/>
  <c r="I662" i="83"/>
  <c r="G666" i="83"/>
  <c r="D662" i="83"/>
  <c r="F666" i="83"/>
  <c r="D664" i="83"/>
  <c r="B664" i="83"/>
  <c r="A613" i="83"/>
  <c r="B606" i="83"/>
  <c r="D600" i="83"/>
  <c r="B600" i="83"/>
  <c r="G597" i="83"/>
  <c r="F597" i="83"/>
  <c r="I592" i="83"/>
  <c r="B594" i="83"/>
  <c r="G596" i="83"/>
  <c r="D592" i="83"/>
  <c r="F596" i="83"/>
  <c r="D594" i="83"/>
  <c r="L586" i="83"/>
  <c r="I586" i="83"/>
  <c r="J585" i="83"/>
  <c r="L585" i="83"/>
  <c r="M585" i="83" s="1"/>
  <c r="L516" i="83"/>
  <c r="I516" i="83"/>
  <c r="L515" i="83"/>
  <c r="M515" i="83" s="1"/>
  <c r="J515" i="83"/>
  <c r="D530" i="83"/>
  <c r="B530" i="83"/>
  <c r="A543" i="83"/>
  <c r="B536" i="83"/>
  <c r="G527" i="83"/>
  <c r="F527" i="83"/>
  <c r="I522" i="83"/>
  <c r="G526" i="83"/>
  <c r="D522" i="83"/>
  <c r="F526" i="83"/>
  <c r="D524" i="83"/>
  <c r="B524" i="83"/>
  <c r="A473" i="83"/>
  <c r="B466" i="83"/>
  <c r="D460" i="83"/>
  <c r="B460" i="83"/>
  <c r="F456" i="83"/>
  <c r="D454" i="83"/>
  <c r="G457" i="83"/>
  <c r="F457" i="83"/>
  <c r="I452" i="83"/>
  <c r="G456" i="83"/>
  <c r="D452" i="83"/>
  <c r="B454" i="83"/>
  <c r="L446" i="83"/>
  <c r="L445" i="83"/>
  <c r="M445" i="83" s="1"/>
  <c r="I446" i="83"/>
  <c r="J445" i="83"/>
  <c r="D390" i="83"/>
  <c r="B390" i="83"/>
  <c r="A403" i="83"/>
  <c r="B396" i="83"/>
  <c r="G387" i="83"/>
  <c r="F387" i="83"/>
  <c r="I382" i="83"/>
  <c r="G386" i="83"/>
  <c r="D382" i="83"/>
  <c r="F386" i="83"/>
  <c r="D384" i="83"/>
  <c r="B384" i="83"/>
  <c r="L376" i="83"/>
  <c r="I376" i="83"/>
  <c r="L375" i="83"/>
  <c r="M375" i="83" s="1"/>
  <c r="J375" i="83"/>
  <c r="A333" i="83"/>
  <c r="B326" i="83"/>
  <c r="G317" i="83"/>
  <c r="F317" i="83"/>
  <c r="I312" i="83"/>
  <c r="D314" i="83"/>
  <c r="G316" i="83"/>
  <c r="D312" i="83"/>
  <c r="F316" i="83"/>
  <c r="B314" i="83"/>
  <c r="B320" i="83"/>
  <c r="D320" i="83"/>
  <c r="L306" i="83"/>
  <c r="I306" i="83"/>
  <c r="L305" i="83"/>
  <c r="M305" i="83" s="1"/>
  <c r="J305" i="83"/>
  <c r="I236" i="83"/>
  <c r="L235" i="83"/>
  <c r="M235" i="83" s="1"/>
  <c r="L236" i="83"/>
  <c r="J235" i="83"/>
  <c r="J242" i="83"/>
  <c r="L242" i="83"/>
  <c r="M242" i="83" s="1"/>
  <c r="L243" i="83"/>
  <c r="I243" i="83"/>
  <c r="I166" i="83"/>
  <c r="L166" i="83"/>
  <c r="L165" i="83"/>
  <c r="M165" i="83" s="1"/>
  <c r="J165" i="83"/>
  <c r="J172" i="83"/>
  <c r="L173" i="83"/>
  <c r="I173" i="83"/>
  <c r="L172" i="83"/>
  <c r="M172" i="83" s="1"/>
  <c r="J29" i="88"/>
  <c r="I29" i="88" s="1"/>
  <c r="J28" i="88"/>
  <c r="I28" i="88" s="1"/>
  <c r="A38" i="88"/>
  <c r="E32" i="88"/>
  <c r="G30" i="88"/>
  <c r="E30" i="88"/>
  <c r="K29" i="88"/>
  <c r="G29" i="88"/>
  <c r="E29" i="88"/>
  <c r="C28" i="88" s="1"/>
  <c r="K28" i="88"/>
  <c r="G28" i="88"/>
  <c r="B16" i="86"/>
  <c r="O20" i="86"/>
  <c r="N20" i="86" s="1"/>
  <c r="Q20" i="86"/>
  <c r="P20" i="86" s="1"/>
  <c r="K20" i="86"/>
  <c r="G20" i="86"/>
  <c r="D19" i="86" s="1"/>
  <c r="R19" i="86"/>
  <c r="Q19" i="86"/>
  <c r="P19" i="86" s="1"/>
  <c r="O19" i="86"/>
  <c r="N19" i="86" s="1"/>
  <c r="M19" i="86"/>
  <c r="L19" i="86"/>
  <c r="K19" i="86"/>
  <c r="F19" i="86"/>
  <c r="L20" i="86"/>
  <c r="M20" i="86"/>
  <c r="A26" i="86"/>
  <c r="F23" i="86"/>
  <c r="BA23" i="62"/>
  <c r="I143" i="53" s="1"/>
  <c r="U18" i="76"/>
  <c r="X17" i="76"/>
  <c r="W16" i="76"/>
  <c r="U16" i="76"/>
  <c r="X3" i="76"/>
  <c r="W3" i="76"/>
  <c r="U3" i="76"/>
  <c r="U6" i="76"/>
  <c r="X4" i="76"/>
  <c r="BK37" i="62"/>
  <c r="BC12" i="62"/>
  <c r="I117" i="53" s="1"/>
  <c r="AY12" i="62"/>
  <c r="I81" i="53" s="1"/>
  <c r="BA12" i="62"/>
  <c r="I99" i="53" s="1"/>
  <c r="AZ12" i="62"/>
  <c r="I90" i="53" s="1"/>
  <c r="AY10" i="62"/>
  <c r="I76" i="53" s="1"/>
  <c r="BA22" i="62"/>
  <c r="I138" i="53" s="1"/>
  <c r="BC32" i="62"/>
  <c r="AY17" i="62"/>
  <c r="I83" i="53" s="1"/>
  <c r="BA17" i="62"/>
  <c r="I101" i="53" s="1"/>
  <c r="BB30" i="62"/>
  <c r="I179" i="53" s="1"/>
  <c r="BC10" i="62"/>
  <c r="I112" i="53" s="1"/>
  <c r="BA10" i="62"/>
  <c r="I94" i="53" s="1"/>
  <c r="AZ10" i="62"/>
  <c r="I85" i="53" s="1"/>
  <c r="BB16" i="62"/>
  <c r="I109" i="53" s="1"/>
  <c r="BF47" i="62"/>
  <c r="AZ17" i="62"/>
  <c r="I92" i="53" s="1"/>
  <c r="BB27" i="62"/>
  <c r="I164" i="53" s="1"/>
  <c r="BC16" i="62"/>
  <c r="I118" i="53" s="1"/>
  <c r="BD44" i="62"/>
  <c r="I29" i="53" s="1"/>
  <c r="BC30" i="62"/>
  <c r="I180" i="53" s="1"/>
  <c r="BB22" i="62"/>
  <c r="I139" i="53" s="1"/>
  <c r="BB12" i="62"/>
  <c r="I108" i="53" s="1"/>
  <c r="BC17" i="62"/>
  <c r="I119" i="53" s="1"/>
  <c r="BB10" i="62"/>
  <c r="I103" i="53" s="1"/>
  <c r="AZ13" i="62"/>
  <c r="I88" i="53" s="1"/>
  <c r="BB17" i="62"/>
  <c r="I110" i="53" s="1"/>
  <c r="BB20" i="62"/>
  <c r="I129" i="53" s="1"/>
  <c r="AZ20" i="62"/>
  <c r="I127" i="53" s="1"/>
  <c r="AY14" i="62"/>
  <c r="I78" i="53" s="1"/>
  <c r="BC31" i="62"/>
  <c r="I185" i="53" s="1"/>
  <c r="BB25" i="62"/>
  <c r="I154" i="53" s="1"/>
  <c r="BA14" i="62"/>
  <c r="I96" i="53" s="1"/>
  <c r="BH29" i="62"/>
  <c r="BC20" i="62"/>
  <c r="I130" i="53" s="1"/>
  <c r="AY31" i="62"/>
  <c r="I181" i="53" s="1"/>
  <c r="AY18" i="62"/>
  <c r="I84" i="53" s="1"/>
  <c r="BI28" i="62"/>
  <c r="BA31" i="62"/>
  <c r="I183" i="53" s="1"/>
  <c r="BA18" i="62"/>
  <c r="I102" i="53" s="1"/>
  <c r="BC21" i="62"/>
  <c r="I135" i="53" s="1"/>
  <c r="BG28" i="62"/>
  <c r="AZ31" i="62"/>
  <c r="I182" i="53" s="1"/>
  <c r="AZ18" i="62"/>
  <c r="I93" i="53" s="1"/>
  <c r="BD38" i="62"/>
  <c r="I23" i="53" s="1"/>
  <c r="BB31" i="62"/>
  <c r="I184" i="53" s="1"/>
  <c r="BB18" i="62"/>
  <c r="I111" i="53" s="1"/>
  <c r="BD43" i="62"/>
  <c r="I28" i="53" s="1"/>
  <c r="BB32" i="62"/>
  <c r="BC23" i="62"/>
  <c r="I145" i="53" s="1"/>
  <c r="AZ25" i="62"/>
  <c r="I152" i="53" s="1"/>
  <c r="AY15" i="62"/>
  <c r="I80" i="53" s="1"/>
  <c r="BA15" i="62"/>
  <c r="I98" i="53" s="1"/>
  <c r="BC19" i="62"/>
  <c r="I125" i="53" s="1"/>
  <c r="BB19" i="62"/>
  <c r="I124" i="53" s="1"/>
  <c r="AZ15" i="62"/>
  <c r="I89" i="53" s="1"/>
  <c r="BB15" i="62"/>
  <c r="I107" i="53" s="1"/>
  <c r="BC24" i="62"/>
  <c r="I150" i="53" s="1"/>
  <c r="BC15" i="62"/>
  <c r="I116" i="53" s="1"/>
  <c r="BD42" i="62"/>
  <c r="I27" i="53" s="1"/>
  <c r="BA16" i="62"/>
  <c r="I100" i="53" s="1"/>
  <c r="AZ21" i="62"/>
  <c r="I132" i="53" s="1"/>
  <c r="AZ16" i="62"/>
  <c r="I91" i="53" s="1"/>
  <c r="AY19" i="62"/>
  <c r="I121" i="53" s="1"/>
  <c r="BC18" i="62"/>
  <c r="I120" i="53" s="1"/>
  <c r="AY25" i="62"/>
  <c r="I151" i="53" s="1"/>
  <c r="BA13" i="62"/>
  <c r="I97" i="53" s="1"/>
  <c r="AY21" i="62"/>
  <c r="I131" i="53" s="1"/>
  <c r="AZ23" i="62"/>
  <c r="I142" i="53" s="1"/>
  <c r="AZ30" i="62"/>
  <c r="I177" i="53" s="1"/>
  <c r="AY11" i="62"/>
  <c r="I77" i="53" s="1"/>
  <c r="BA27" i="62"/>
  <c r="I163" i="53" s="1"/>
  <c r="BB11" i="62"/>
  <c r="I104" i="53" s="1"/>
  <c r="BC25" i="62"/>
  <c r="I155" i="53" s="1"/>
  <c r="AZ14" i="62"/>
  <c r="I87" i="53" s="1"/>
  <c r="BB14" i="62"/>
  <c r="I105" i="53" s="1"/>
  <c r="AY32" i="62"/>
  <c r="I186" i="53" s="1"/>
  <c r="BC11" i="62"/>
  <c r="I113" i="53" s="1"/>
  <c r="AZ11" i="62"/>
  <c r="I86" i="53" s="1"/>
  <c r="AY23" i="62"/>
  <c r="I141" i="53" s="1"/>
  <c r="BA30" i="62"/>
  <c r="I178" i="53" s="1"/>
  <c r="BA20" i="62"/>
  <c r="I128" i="53" s="1"/>
  <c r="BA21" i="62"/>
  <c r="I133" i="53" s="1"/>
  <c r="BA24" i="62"/>
  <c r="I148" i="53" s="1"/>
  <c r="AY16" i="62"/>
  <c r="I82" i="53" s="1"/>
  <c r="AZ19" i="62"/>
  <c r="I122" i="53" s="1"/>
  <c r="AY27" i="62"/>
  <c r="I161" i="53" s="1"/>
  <c r="BA19" i="62"/>
  <c r="I123" i="53" s="1"/>
  <c r="AZ24" i="62"/>
  <c r="I147" i="53" s="1"/>
  <c r="BC13" i="62"/>
  <c r="I115" i="53" s="1"/>
  <c r="AZ27" i="62"/>
  <c r="I162" i="53" s="1"/>
  <c r="AZ32" i="62"/>
  <c r="AY13" i="62"/>
  <c r="I79" i="53" s="1"/>
  <c r="BC27" i="62"/>
  <c r="I165" i="53" s="1"/>
  <c r="AY24" i="62"/>
  <c r="I146" i="53" s="1"/>
  <c r="BA11" i="62"/>
  <c r="I95" i="53" s="1"/>
  <c r="BB13" i="62"/>
  <c r="I106" i="53" s="1"/>
  <c r="BB24" i="62"/>
  <c r="BA32" i="62"/>
  <c r="BA25" i="62"/>
  <c r="I153" i="53" s="1"/>
  <c r="AY22" i="62"/>
  <c r="I136" i="53" s="1"/>
  <c r="BC14" i="62"/>
  <c r="I114" i="53" s="1"/>
  <c r="AY30" i="62"/>
  <c r="I176" i="53" s="1"/>
  <c r="AY20" i="62"/>
  <c r="I126" i="53" s="1"/>
  <c r="BB21" i="62"/>
  <c r="I134" i="53" s="1"/>
  <c r="BK28" i="62"/>
  <c r="BG36" i="62"/>
  <c r="BG41" i="62"/>
  <c r="BF3" i="62"/>
  <c r="BF46" i="62"/>
  <c r="BG40" i="62"/>
  <c r="BH37" i="62"/>
  <c r="BI8" i="62"/>
  <c r="BJ28" i="62"/>
  <c r="BK29" i="62"/>
  <c r="BG8" i="62"/>
  <c r="BJ8" i="62"/>
  <c r="BK8" i="62"/>
  <c r="BH8" i="62"/>
  <c r="BI41" i="62"/>
  <c r="BI6" i="62"/>
  <c r="BH4" i="62"/>
  <c r="BJ41" i="62"/>
  <c r="BI36" i="62"/>
  <c r="BI7" i="62"/>
  <c r="BJ9" i="62"/>
  <c r="BF37" i="62"/>
  <c r="BJ35" i="62"/>
  <c r="BK41" i="62"/>
  <c r="BJ2" i="62"/>
  <c r="BJ39" i="62"/>
  <c r="BH41" i="62"/>
  <c r="BI37" i="62"/>
  <c r="BK4" i="62"/>
  <c r="BF5" i="62"/>
  <c r="BF4" i="62"/>
  <c r="BJ45" i="62"/>
  <c r="BJ40" i="62"/>
  <c r="BI29" i="62"/>
  <c r="BK6" i="62"/>
  <c r="BI9" i="62"/>
  <c r="BF8" i="62"/>
  <c r="BH3" i="62"/>
  <c r="BJ29" i="62"/>
  <c r="BH9" i="62"/>
  <c r="BI39" i="62"/>
  <c r="BF34" i="62"/>
  <c r="BH46" i="62"/>
  <c r="BF45" i="62"/>
  <c r="BK5" i="62"/>
  <c r="BF29" i="62"/>
  <c r="BG45" i="62"/>
  <c r="BH34" i="62"/>
  <c r="BG37" i="62"/>
  <c r="BK46" i="62"/>
  <c r="BH28" i="62"/>
  <c r="BK3" i="62"/>
  <c r="BF7" i="62"/>
  <c r="BH2" i="62"/>
  <c r="BF35" i="62"/>
  <c r="BG34" i="62"/>
  <c r="BJ3" i="62"/>
  <c r="BG39" i="62"/>
  <c r="BI46" i="62"/>
  <c r="BF40" i="62"/>
  <c r="BI34" i="62"/>
  <c r="BJ7" i="62"/>
  <c r="BG2" i="62"/>
  <c r="BI2" i="62"/>
  <c r="BG7" i="62"/>
  <c r="BF6" i="62"/>
  <c r="BH35" i="62"/>
  <c r="BF39" i="62"/>
  <c r="BK34" i="62"/>
  <c r="BI40" i="62"/>
  <c r="BG35" i="62"/>
  <c r="BK7" i="62"/>
  <c r="BK9" i="62"/>
  <c r="BI35" i="62"/>
  <c r="BJ6" i="62"/>
  <c r="BH36" i="62"/>
  <c r="BG6" i="62"/>
  <c r="BH7" i="62"/>
  <c r="BJ47" i="62"/>
  <c r="BK35" i="62"/>
  <c r="BK45" i="62"/>
  <c r="BG5" i="62"/>
  <c r="BH5" i="62"/>
  <c r="BG4" i="62"/>
  <c r="BK40" i="62"/>
  <c r="BF9" i="62"/>
  <c r="BJ4" i="62"/>
  <c r="BG46" i="62"/>
  <c r="BH6" i="62"/>
  <c r="BJ5" i="62"/>
  <c r="BF41" i="62"/>
  <c r="BH40" i="62"/>
  <c r="BK47" i="62"/>
  <c r="BF28" i="62"/>
  <c r="BJ37" i="62"/>
  <c r="BK2" i="62"/>
  <c r="BH45" i="62"/>
  <c r="BI5" i="62"/>
  <c r="BG29" i="62"/>
  <c r="BG3" i="62"/>
  <c r="BH47" i="62"/>
  <c r="BJ34" i="62"/>
  <c r="BI4" i="62"/>
  <c r="BG9" i="62"/>
  <c r="BK39" i="62"/>
  <c r="BJ36" i="62"/>
  <c r="BK36" i="62"/>
  <c r="BI45" i="62"/>
  <c r="BH39" i="62"/>
  <c r="BG47" i="62"/>
  <c r="BJ46" i="62"/>
  <c r="BI47" i="62"/>
  <c r="BF36" i="62"/>
  <c r="BI3" i="62"/>
  <c r="D186" i="53"/>
  <c r="I5" i="52"/>
  <c r="I6" i="52"/>
  <c r="I3" i="52"/>
  <c r="I4" i="52"/>
  <c r="I2" i="52"/>
  <c r="H516" i="48"/>
  <c r="H515" i="48"/>
  <c r="H514" i="48"/>
  <c r="H513" i="48"/>
  <c r="H512" i="48"/>
  <c r="H511" i="48"/>
  <c r="H510" i="48"/>
  <c r="H509" i="48"/>
  <c r="H508" i="48"/>
  <c r="H507" i="48"/>
  <c r="H506" i="48"/>
  <c r="H505" i="48"/>
  <c r="H504" i="48"/>
  <c r="H503" i="48"/>
  <c r="H502" i="48"/>
  <c r="H501" i="48"/>
  <c r="H500" i="48"/>
  <c r="H499" i="48"/>
  <c r="H498" i="48"/>
  <c r="H497" i="48"/>
  <c r="H496" i="48"/>
  <c r="H495" i="48"/>
  <c r="H494" i="48"/>
  <c r="H493" i="48"/>
  <c r="H492" i="48"/>
  <c r="H491" i="48"/>
  <c r="H490" i="48"/>
  <c r="H489" i="48"/>
  <c r="H488" i="48"/>
  <c r="H487" i="48"/>
  <c r="H486" i="48"/>
  <c r="H485" i="48"/>
  <c r="H484" i="48"/>
  <c r="H483" i="48"/>
  <c r="H482" i="48"/>
  <c r="H481" i="48"/>
  <c r="H480" i="48"/>
  <c r="H479" i="48"/>
  <c r="H478" i="48"/>
  <c r="H477" i="48"/>
  <c r="H476" i="48"/>
  <c r="H475" i="48"/>
  <c r="H474" i="48"/>
  <c r="H473" i="48"/>
  <c r="H472" i="48"/>
  <c r="H471" i="48"/>
  <c r="H470" i="48"/>
  <c r="H469" i="48"/>
  <c r="H468" i="48"/>
  <c r="H467" i="48"/>
  <c r="H466" i="48"/>
  <c r="H465" i="48"/>
  <c r="H464" i="48"/>
  <c r="H463" i="48"/>
  <c r="H462" i="48"/>
  <c r="H461" i="48"/>
  <c r="H460" i="48"/>
  <c r="H459" i="48"/>
  <c r="H458" i="48"/>
  <c r="H457" i="48"/>
  <c r="H456" i="48"/>
  <c r="H455" i="48"/>
  <c r="H454" i="48"/>
  <c r="H453" i="48"/>
  <c r="H452" i="48"/>
  <c r="H451" i="48"/>
  <c r="H450" i="48"/>
  <c r="H449" i="48"/>
  <c r="H448" i="48"/>
  <c r="H447" i="48"/>
  <c r="H446" i="48"/>
  <c r="H445" i="48"/>
  <c r="H444" i="48"/>
  <c r="H443" i="48"/>
  <c r="H442" i="48"/>
  <c r="H441" i="48"/>
  <c r="H440" i="48"/>
  <c r="H439" i="48"/>
  <c r="H438" i="48"/>
  <c r="H437" i="48"/>
  <c r="H436" i="48"/>
  <c r="H435" i="48"/>
  <c r="H434" i="48"/>
  <c r="H433" i="48"/>
  <c r="H432" i="48"/>
  <c r="H431" i="48"/>
  <c r="H430" i="48"/>
  <c r="H429" i="48"/>
  <c r="H428" i="48"/>
  <c r="H427" i="48"/>
  <c r="H426" i="48"/>
  <c r="H425" i="48"/>
  <c r="H424" i="48"/>
  <c r="H423" i="48"/>
  <c r="H422" i="48"/>
  <c r="H421" i="48"/>
  <c r="H420" i="48"/>
  <c r="H419" i="48"/>
  <c r="H418" i="48"/>
  <c r="H417" i="48"/>
  <c r="H416" i="48"/>
  <c r="H415" i="48"/>
  <c r="H414" i="48"/>
  <c r="H413" i="48"/>
  <c r="H412" i="48"/>
  <c r="H411" i="48"/>
  <c r="H410" i="48"/>
  <c r="H409" i="48"/>
  <c r="H408" i="48"/>
  <c r="H407" i="48"/>
  <c r="H406" i="48"/>
  <c r="H405" i="48"/>
  <c r="H404" i="48"/>
  <c r="H403" i="48"/>
  <c r="H402" i="48"/>
  <c r="H401" i="48"/>
  <c r="H400" i="48"/>
  <c r="H399" i="48"/>
  <c r="H398" i="48"/>
  <c r="H397" i="48"/>
  <c r="H396" i="48"/>
  <c r="H395" i="48"/>
  <c r="H394" i="48"/>
  <c r="H393" i="48"/>
  <c r="H392" i="48"/>
  <c r="H391" i="48"/>
  <c r="H390" i="48"/>
  <c r="H389" i="48"/>
  <c r="H388" i="48"/>
  <c r="H387" i="48"/>
  <c r="H386" i="48"/>
  <c r="H385" i="48"/>
  <c r="H384" i="48"/>
  <c r="H383" i="48"/>
  <c r="H382" i="48"/>
  <c r="H381" i="48"/>
  <c r="H380" i="48"/>
  <c r="H379" i="48"/>
  <c r="H378" i="48"/>
  <c r="H377" i="48"/>
  <c r="H376" i="48"/>
  <c r="H375" i="48"/>
  <c r="H374" i="48"/>
  <c r="H373" i="48"/>
  <c r="H372" i="48"/>
  <c r="H371" i="48"/>
  <c r="H370" i="48"/>
  <c r="H369" i="48"/>
  <c r="H368" i="48"/>
  <c r="H367" i="48"/>
  <c r="H366" i="48"/>
  <c r="H365" i="48"/>
  <c r="H364" i="48"/>
  <c r="H363" i="48"/>
  <c r="H362" i="48"/>
  <c r="H361" i="48"/>
  <c r="H360" i="48"/>
  <c r="H359" i="48"/>
  <c r="H358" i="48"/>
  <c r="H357" i="48"/>
  <c r="H356" i="48"/>
  <c r="H355" i="48"/>
  <c r="H354" i="48"/>
  <c r="H353" i="48"/>
  <c r="H352" i="48"/>
  <c r="H351" i="48"/>
  <c r="H350" i="48"/>
  <c r="H349" i="48"/>
  <c r="H348" i="48"/>
  <c r="H347" i="48"/>
  <c r="H346" i="48"/>
  <c r="H345" i="48"/>
  <c r="H344" i="48"/>
  <c r="H343" i="48"/>
  <c r="H342" i="48"/>
  <c r="H341" i="48"/>
  <c r="H340" i="48"/>
  <c r="H339" i="48"/>
  <c r="H338" i="48"/>
  <c r="H337" i="48"/>
  <c r="H336" i="48"/>
  <c r="H334" i="48"/>
  <c r="H333" i="48"/>
  <c r="H332" i="48"/>
  <c r="H331" i="48"/>
  <c r="H330" i="48"/>
  <c r="H329" i="48"/>
  <c r="H328" i="48"/>
  <c r="H327" i="48"/>
  <c r="H326" i="48"/>
  <c r="H325" i="48"/>
  <c r="H324" i="48"/>
  <c r="H323" i="48"/>
  <c r="H322" i="48"/>
  <c r="H321" i="48"/>
  <c r="H320" i="48"/>
  <c r="H319" i="48"/>
  <c r="H318" i="48"/>
  <c r="H317" i="48"/>
  <c r="H316" i="48"/>
  <c r="H315" i="48"/>
  <c r="H314" i="48"/>
  <c r="H313" i="48"/>
  <c r="H312" i="48"/>
  <c r="H311" i="48"/>
  <c r="H310" i="48"/>
  <c r="H309" i="48"/>
  <c r="H308" i="48"/>
  <c r="H307" i="48"/>
  <c r="H306" i="48"/>
  <c r="H305" i="48"/>
  <c r="H304" i="48"/>
  <c r="H303" i="48"/>
  <c r="H302" i="48"/>
  <c r="H301" i="48"/>
  <c r="H300" i="48"/>
  <c r="H299" i="48"/>
  <c r="H298" i="48"/>
  <c r="H297" i="48"/>
  <c r="H296" i="48"/>
  <c r="H295" i="48"/>
  <c r="H294" i="48"/>
  <c r="H293" i="48"/>
  <c r="H292" i="48"/>
  <c r="H291" i="48"/>
  <c r="H290" i="48"/>
  <c r="H289" i="48"/>
  <c r="H288" i="48"/>
  <c r="H287" i="48"/>
  <c r="H286" i="48"/>
  <c r="H285" i="48"/>
  <c r="H284" i="48"/>
  <c r="H283" i="48"/>
  <c r="H282" i="48"/>
  <c r="H281" i="48"/>
  <c r="H280" i="48"/>
  <c r="H279" i="48"/>
  <c r="H278" i="48"/>
  <c r="H277" i="48"/>
  <c r="H276" i="48"/>
  <c r="H275" i="48"/>
  <c r="H274" i="48"/>
  <c r="H273" i="48"/>
  <c r="H272" i="48"/>
  <c r="H271" i="48"/>
  <c r="H270" i="48"/>
  <c r="H269" i="48"/>
  <c r="H268" i="48"/>
  <c r="H267" i="48"/>
  <c r="H266" i="48"/>
  <c r="H265" i="48"/>
  <c r="H264" i="48"/>
  <c r="H263" i="48"/>
  <c r="H262" i="48"/>
  <c r="H261" i="48"/>
  <c r="H260" i="48"/>
  <c r="H259" i="48"/>
  <c r="H258" i="48"/>
  <c r="H257" i="48"/>
  <c r="H256" i="48"/>
  <c r="H255" i="48"/>
  <c r="H254" i="48"/>
  <c r="H253" i="48"/>
  <c r="H252" i="48"/>
  <c r="H251" i="48"/>
  <c r="H250" i="48"/>
  <c r="H249" i="48"/>
  <c r="H248" i="48"/>
  <c r="H247" i="48"/>
  <c r="H246" i="48"/>
  <c r="H245" i="48"/>
  <c r="H244" i="48"/>
  <c r="H243" i="48"/>
  <c r="H242" i="48"/>
  <c r="H241" i="48"/>
  <c r="H240" i="48"/>
  <c r="H239" i="48"/>
  <c r="H238" i="48"/>
  <c r="H237" i="48"/>
  <c r="H236" i="48"/>
  <c r="H235" i="48"/>
  <c r="H234" i="48"/>
  <c r="H233" i="48"/>
  <c r="H232" i="48"/>
  <c r="H231" i="48"/>
  <c r="H230" i="48"/>
  <c r="H229" i="48"/>
  <c r="H228" i="48"/>
  <c r="H227" i="48"/>
  <c r="H226" i="48"/>
  <c r="H225" i="48"/>
  <c r="H224" i="48"/>
  <c r="H223" i="48"/>
  <c r="H222" i="48"/>
  <c r="H221" i="48"/>
  <c r="H220" i="48"/>
  <c r="H219" i="48"/>
  <c r="H218" i="48"/>
  <c r="H217" i="48"/>
  <c r="H216" i="48"/>
  <c r="H215" i="48"/>
  <c r="H214" i="48"/>
  <c r="H213" i="48"/>
  <c r="H212" i="48"/>
  <c r="H211" i="48"/>
  <c r="H210" i="48"/>
  <c r="H209" i="48"/>
  <c r="H208" i="48"/>
  <c r="H207" i="48"/>
  <c r="H206" i="48"/>
  <c r="H205" i="48"/>
  <c r="H204" i="48"/>
  <c r="H203" i="48"/>
  <c r="H202" i="48"/>
  <c r="H201" i="48"/>
  <c r="H200" i="48"/>
  <c r="H199" i="48"/>
  <c r="H198" i="48"/>
  <c r="H197" i="48"/>
  <c r="H196" i="48"/>
  <c r="H195" i="48"/>
  <c r="H194" i="48"/>
  <c r="H193" i="48"/>
  <c r="H192" i="48"/>
  <c r="H191" i="48"/>
  <c r="H190" i="48"/>
  <c r="H189" i="48"/>
  <c r="H188" i="48"/>
  <c r="H187" i="48"/>
  <c r="H186" i="48"/>
  <c r="H185" i="48"/>
  <c r="H184" i="48"/>
  <c r="H183" i="48"/>
  <c r="H182" i="48"/>
  <c r="H181" i="48"/>
  <c r="H180" i="48"/>
  <c r="H179" i="48"/>
  <c r="H178" i="48"/>
  <c r="H177" i="48"/>
  <c r="H176" i="48"/>
  <c r="H175" i="48"/>
  <c r="H174" i="48"/>
  <c r="H173" i="48"/>
  <c r="H172" i="48"/>
  <c r="H171" i="48"/>
  <c r="H170" i="48"/>
  <c r="H169" i="48"/>
  <c r="H168" i="48"/>
  <c r="H167" i="48"/>
  <c r="H166" i="48"/>
  <c r="H165" i="48"/>
  <c r="H164" i="48"/>
  <c r="H163" i="48"/>
  <c r="H162" i="48"/>
  <c r="H161" i="48"/>
  <c r="H160" i="48"/>
  <c r="H159" i="48"/>
  <c r="H158" i="48"/>
  <c r="H157" i="48"/>
  <c r="H156" i="48"/>
  <c r="H155" i="48"/>
  <c r="H154" i="48"/>
  <c r="H153" i="48"/>
  <c r="H152" i="48"/>
  <c r="H151" i="48"/>
  <c r="H150" i="48"/>
  <c r="H149" i="48"/>
  <c r="H148" i="48"/>
  <c r="H147" i="48"/>
  <c r="H146" i="48"/>
  <c r="H145" i="48"/>
  <c r="H144" i="48"/>
  <c r="H143" i="48"/>
  <c r="H142" i="48"/>
  <c r="H141" i="48"/>
  <c r="H140" i="48"/>
  <c r="H139" i="48"/>
  <c r="H138" i="48"/>
  <c r="H137" i="48"/>
  <c r="H136" i="48"/>
  <c r="H135" i="48"/>
  <c r="H134" i="48"/>
  <c r="H133" i="48"/>
  <c r="H132" i="48"/>
  <c r="H131" i="48"/>
  <c r="H130" i="48"/>
  <c r="H129" i="48"/>
  <c r="H128" i="48"/>
  <c r="H127" i="48"/>
  <c r="H126" i="48"/>
  <c r="H125" i="48"/>
  <c r="H124" i="48"/>
  <c r="H123" i="48"/>
  <c r="H122" i="48"/>
  <c r="H121" i="48"/>
  <c r="H120" i="48"/>
  <c r="H119" i="48"/>
  <c r="H118" i="48"/>
  <c r="H117" i="48"/>
  <c r="H116" i="48"/>
  <c r="H115" i="48"/>
  <c r="H114" i="48"/>
  <c r="H113" i="48"/>
  <c r="H112" i="48"/>
  <c r="H111" i="48"/>
  <c r="H110" i="48"/>
  <c r="H109" i="48"/>
  <c r="H108" i="48"/>
  <c r="H107" i="48"/>
  <c r="H106" i="48"/>
  <c r="H105" i="48"/>
  <c r="H104" i="48"/>
  <c r="H103" i="48"/>
  <c r="H102" i="48"/>
  <c r="H101" i="48"/>
  <c r="H100" i="48"/>
  <c r="H99" i="48"/>
  <c r="H98" i="48"/>
  <c r="H97" i="48"/>
  <c r="H96" i="48"/>
  <c r="H95" i="48"/>
  <c r="H94" i="48"/>
  <c r="H93" i="48"/>
  <c r="H92" i="48"/>
  <c r="H91" i="48"/>
  <c r="H90" i="48"/>
  <c r="H89" i="48"/>
  <c r="H88" i="48"/>
  <c r="H87" i="48"/>
  <c r="H86" i="48"/>
  <c r="H85" i="48"/>
  <c r="H84" i="48"/>
  <c r="H83" i="48"/>
  <c r="H82" i="48"/>
  <c r="H81" i="48"/>
  <c r="H80" i="48"/>
  <c r="H79" i="48"/>
  <c r="H78" i="48"/>
  <c r="H77" i="48"/>
  <c r="H76" i="48"/>
  <c r="H75" i="48"/>
  <c r="H74" i="48"/>
  <c r="H73" i="48"/>
  <c r="H72" i="48"/>
  <c r="H71" i="48"/>
  <c r="H70" i="48"/>
  <c r="H69" i="48"/>
  <c r="H68" i="48"/>
  <c r="H67" i="48"/>
  <c r="H66" i="48"/>
  <c r="H65" i="48"/>
  <c r="H64" i="48"/>
  <c r="H63" i="48"/>
  <c r="H62" i="48"/>
  <c r="H61" i="48"/>
  <c r="H60" i="48"/>
  <c r="H59" i="48"/>
  <c r="H58" i="48"/>
  <c r="H57" i="48"/>
  <c r="H56" i="48"/>
  <c r="H55" i="48"/>
  <c r="H54" i="48"/>
  <c r="H53" i="48"/>
  <c r="H52" i="48"/>
  <c r="H51" i="48"/>
  <c r="H50" i="48"/>
  <c r="H49" i="48"/>
  <c r="H48" i="48"/>
  <c r="H47" i="48"/>
  <c r="H46" i="48"/>
  <c r="H45" i="48"/>
  <c r="H44" i="48"/>
  <c r="H43" i="48"/>
  <c r="H42" i="48"/>
  <c r="H41" i="48"/>
  <c r="H40" i="48"/>
  <c r="H39" i="48"/>
  <c r="H38" i="48"/>
  <c r="H37" i="48"/>
  <c r="H36" i="48"/>
  <c r="H35" i="48"/>
  <c r="H34" i="48"/>
  <c r="H33" i="48"/>
  <c r="H32" i="48"/>
  <c r="H31" i="48"/>
  <c r="H30" i="48"/>
  <c r="H29" i="48"/>
  <c r="H28" i="48"/>
  <c r="H27" i="48"/>
  <c r="H26" i="48"/>
  <c r="H25" i="48"/>
  <c r="H24" i="48"/>
  <c r="H23" i="48"/>
  <c r="H22" i="48"/>
  <c r="H21" i="48"/>
  <c r="H20" i="48"/>
  <c r="H19" i="48"/>
  <c r="H18" i="48"/>
  <c r="H17" i="48"/>
  <c r="H16" i="48"/>
  <c r="H15" i="48"/>
  <c r="H14" i="48"/>
  <c r="H13" i="48"/>
  <c r="H12" i="48"/>
  <c r="H11" i="48"/>
  <c r="H10" i="48"/>
  <c r="H9" i="48"/>
  <c r="H8" i="48"/>
  <c r="H7" i="48"/>
  <c r="H6" i="48"/>
  <c r="H5" i="48"/>
  <c r="H4" i="48"/>
  <c r="H3" i="48"/>
  <c r="H2" i="48"/>
  <c r="I190" i="53" l="1"/>
  <c r="I189" i="53"/>
  <c r="I188" i="53"/>
  <c r="I187" i="53"/>
  <c r="BD34" i="62"/>
  <c r="I4" i="53" s="1"/>
  <c r="AY2" i="62"/>
  <c r="I36" i="53" s="1"/>
  <c r="I8" i="52"/>
  <c r="I10" i="52" s="1"/>
  <c r="K85" i="92"/>
  <c r="K84" i="92"/>
  <c r="J84" i="92"/>
  <c r="I84" i="92" s="1"/>
  <c r="E86" i="92"/>
  <c r="E85" i="92"/>
  <c r="C84" i="92" s="1"/>
  <c r="G85" i="92"/>
  <c r="G84" i="92"/>
  <c r="G86" i="92"/>
  <c r="J85" i="92"/>
  <c r="I85" i="92" s="1"/>
  <c r="A94" i="92"/>
  <c r="E88" i="92"/>
  <c r="E36" i="92"/>
  <c r="A42" i="92"/>
  <c r="K32" i="92"/>
  <c r="G34" i="92"/>
  <c r="G33" i="92"/>
  <c r="K33" i="92"/>
  <c r="G32" i="92"/>
  <c r="E33" i="92"/>
  <c r="C32" i="92" s="1"/>
  <c r="J32" i="92"/>
  <c r="I32" i="92" s="1"/>
  <c r="J33" i="92"/>
  <c r="I33" i="92" s="1"/>
  <c r="E34" i="92"/>
  <c r="D21" i="91"/>
  <c r="B21" i="91"/>
  <c r="H31" i="91"/>
  <c r="F28" i="91"/>
  <c r="G25" i="91"/>
  <c r="L24" i="91"/>
  <c r="L25" i="91"/>
  <c r="Q24" i="91"/>
  <c r="P24" i="91"/>
  <c r="O24" i="91" s="1"/>
  <c r="F24" i="91"/>
  <c r="K25" i="91"/>
  <c r="P25" i="91"/>
  <c r="O25" i="91" s="1"/>
  <c r="N24" i="91"/>
  <c r="M24" i="91"/>
  <c r="N25" i="91"/>
  <c r="M25" i="91"/>
  <c r="K24" i="91"/>
  <c r="L1712" i="83"/>
  <c r="M1712" i="83" s="1"/>
  <c r="J1712" i="83"/>
  <c r="L1713" i="83"/>
  <c r="I1713" i="83"/>
  <c r="B1733" i="83"/>
  <c r="A1740" i="83"/>
  <c r="B1727" i="83"/>
  <c r="D1727" i="83"/>
  <c r="D1721" i="83"/>
  <c r="I1719" i="83"/>
  <c r="B1721" i="83"/>
  <c r="F1723" i="83"/>
  <c r="G1723" i="83"/>
  <c r="F1724" i="83"/>
  <c r="G1724" i="83"/>
  <c r="D1719" i="83"/>
  <c r="L1642" i="83"/>
  <c r="M1642" i="83" s="1"/>
  <c r="J1642" i="83"/>
  <c r="L1643" i="83"/>
  <c r="I1643" i="83"/>
  <c r="D1651" i="83"/>
  <c r="F1654" i="83"/>
  <c r="G1653" i="83"/>
  <c r="B1651" i="83"/>
  <c r="D1649" i="83"/>
  <c r="I1649" i="83"/>
  <c r="G1654" i="83"/>
  <c r="F1653" i="83"/>
  <c r="B1657" i="83"/>
  <c r="D1657" i="83"/>
  <c r="B1663" i="83"/>
  <c r="A1670" i="83"/>
  <c r="L1572" i="83"/>
  <c r="M1572" i="83" s="1"/>
  <c r="J1572" i="83"/>
  <c r="L1573" i="83"/>
  <c r="I1573" i="83"/>
  <c r="D1581" i="83"/>
  <c r="B1581" i="83"/>
  <c r="G1583" i="83"/>
  <c r="D1579" i="83"/>
  <c r="F1583" i="83"/>
  <c r="G1584" i="83"/>
  <c r="F1584" i="83"/>
  <c r="I1579" i="83"/>
  <c r="B1587" i="83"/>
  <c r="D1587" i="83"/>
  <c r="B1593" i="83"/>
  <c r="A1600" i="83"/>
  <c r="I1433" i="83"/>
  <c r="L1432" i="83"/>
  <c r="M1432" i="83" s="1"/>
  <c r="J1432" i="83"/>
  <c r="L1433" i="83"/>
  <c r="G1443" i="83"/>
  <c r="D1439" i="83"/>
  <c r="F1443" i="83"/>
  <c r="F1444" i="83"/>
  <c r="D1441" i="83"/>
  <c r="B1441" i="83"/>
  <c r="G1444" i="83"/>
  <c r="I1439" i="83"/>
  <c r="D1447" i="83"/>
  <c r="B1447" i="83"/>
  <c r="A1460" i="83"/>
  <c r="B1453" i="83"/>
  <c r="L1292" i="83"/>
  <c r="M1292" i="83" s="1"/>
  <c r="J1292" i="83"/>
  <c r="L1293" i="83"/>
  <c r="I1293" i="83"/>
  <c r="G1303" i="83"/>
  <c r="D1299" i="83"/>
  <c r="F1303" i="83"/>
  <c r="D1301" i="83"/>
  <c r="B1301" i="83"/>
  <c r="G1304" i="83"/>
  <c r="F1304" i="83"/>
  <c r="I1299" i="83"/>
  <c r="D1307" i="83"/>
  <c r="B1307" i="83"/>
  <c r="B1313" i="83"/>
  <c r="A1320" i="83"/>
  <c r="I1153" i="83"/>
  <c r="L1152" i="83"/>
  <c r="M1152" i="83" s="1"/>
  <c r="J1152" i="83"/>
  <c r="L1153" i="83"/>
  <c r="G1163" i="83"/>
  <c r="D1159" i="83"/>
  <c r="F1163" i="83"/>
  <c r="D1161" i="83"/>
  <c r="B1161" i="83"/>
  <c r="G1164" i="83"/>
  <c r="F1164" i="83"/>
  <c r="I1159" i="83"/>
  <c r="D1167" i="83"/>
  <c r="B1167" i="83"/>
  <c r="B1173" i="83"/>
  <c r="A1180" i="83"/>
  <c r="L1082" i="83"/>
  <c r="M1082" i="83" s="1"/>
  <c r="J1082" i="83"/>
  <c r="L1083" i="83"/>
  <c r="I1083" i="83"/>
  <c r="B1097" i="83"/>
  <c r="D1097" i="83"/>
  <c r="B1103" i="83"/>
  <c r="A1110" i="83"/>
  <c r="D1091" i="83"/>
  <c r="D1089" i="83"/>
  <c r="B1091" i="83"/>
  <c r="F1094" i="83"/>
  <c r="F1093" i="83"/>
  <c r="G1094" i="83"/>
  <c r="I1089" i="83"/>
  <c r="G1093" i="83"/>
  <c r="L1012" i="83"/>
  <c r="M1012" i="83" s="1"/>
  <c r="J1012" i="83"/>
  <c r="L1013" i="83"/>
  <c r="I1013" i="83"/>
  <c r="D1021" i="83"/>
  <c r="G1024" i="83"/>
  <c r="B1021" i="83"/>
  <c r="D1019" i="83"/>
  <c r="F1024" i="83"/>
  <c r="I1019" i="83"/>
  <c r="G1023" i="83"/>
  <c r="F1023" i="83"/>
  <c r="B1027" i="83"/>
  <c r="D1027" i="83"/>
  <c r="B1033" i="83"/>
  <c r="A1040" i="83"/>
  <c r="L942" i="83"/>
  <c r="M942" i="83" s="1"/>
  <c r="J942" i="83"/>
  <c r="L943" i="83"/>
  <c r="I943" i="83"/>
  <c r="B957" i="83"/>
  <c r="D957" i="83"/>
  <c r="B963" i="83"/>
  <c r="A970" i="83"/>
  <c r="D951" i="83"/>
  <c r="B951" i="83"/>
  <c r="F954" i="83"/>
  <c r="I949" i="83"/>
  <c r="D949" i="83"/>
  <c r="F953" i="83"/>
  <c r="G954" i="83"/>
  <c r="G953" i="83"/>
  <c r="L872" i="83"/>
  <c r="M872" i="83" s="1"/>
  <c r="J872" i="83"/>
  <c r="L873" i="83"/>
  <c r="I873" i="83"/>
  <c r="D881" i="83"/>
  <c r="G884" i="83"/>
  <c r="B881" i="83"/>
  <c r="I879" i="83"/>
  <c r="F884" i="83"/>
  <c r="G883" i="83"/>
  <c r="D879" i="83"/>
  <c r="F883" i="83"/>
  <c r="B887" i="83"/>
  <c r="D887" i="83"/>
  <c r="A900" i="83"/>
  <c r="B893" i="83"/>
  <c r="L802" i="83"/>
  <c r="M802" i="83" s="1"/>
  <c r="J802" i="83"/>
  <c r="I803" i="83"/>
  <c r="L803" i="83"/>
  <c r="D811" i="83"/>
  <c r="B811" i="83"/>
  <c r="D809" i="83"/>
  <c r="F814" i="83"/>
  <c r="F813" i="83"/>
  <c r="G814" i="83"/>
  <c r="I809" i="83"/>
  <c r="G813" i="83"/>
  <c r="B823" i="83"/>
  <c r="A830" i="83"/>
  <c r="B817" i="83"/>
  <c r="D817" i="83"/>
  <c r="L732" i="83"/>
  <c r="M732" i="83" s="1"/>
  <c r="J732" i="83"/>
  <c r="I733" i="83"/>
  <c r="L733" i="83"/>
  <c r="B747" i="83"/>
  <c r="D747" i="83"/>
  <c r="B753" i="83"/>
  <c r="A760" i="83"/>
  <c r="D741" i="83"/>
  <c r="F743" i="83"/>
  <c r="B741" i="83"/>
  <c r="G743" i="83"/>
  <c r="F744" i="83"/>
  <c r="I739" i="83"/>
  <c r="G744" i="83"/>
  <c r="D739" i="83"/>
  <c r="L662" i="83"/>
  <c r="M662" i="83" s="1"/>
  <c r="I663" i="83"/>
  <c r="J662" i="83"/>
  <c r="L663" i="83"/>
  <c r="B677" i="83"/>
  <c r="D677" i="83"/>
  <c r="D671" i="83"/>
  <c r="D669" i="83"/>
  <c r="B671" i="83"/>
  <c r="F673" i="83"/>
  <c r="G674" i="83"/>
  <c r="F674" i="83"/>
  <c r="I669" i="83"/>
  <c r="G673" i="83"/>
  <c r="A690" i="83"/>
  <c r="B683" i="83"/>
  <c r="L592" i="83"/>
  <c r="M592" i="83" s="1"/>
  <c r="J592" i="83"/>
  <c r="I593" i="83"/>
  <c r="L593" i="83"/>
  <c r="D601" i="83"/>
  <c r="B601" i="83"/>
  <c r="G604" i="83"/>
  <c r="I599" i="83"/>
  <c r="F603" i="83"/>
  <c r="G603" i="83"/>
  <c r="D599" i="83"/>
  <c r="F604" i="83"/>
  <c r="B607" i="83"/>
  <c r="D607" i="83"/>
  <c r="B613" i="83"/>
  <c r="A620" i="83"/>
  <c r="L522" i="83"/>
  <c r="M522" i="83" s="1"/>
  <c r="J522" i="83"/>
  <c r="I523" i="83"/>
  <c r="L523" i="83"/>
  <c r="B537" i="83"/>
  <c r="D537" i="83"/>
  <c r="B543" i="83"/>
  <c r="A550" i="83"/>
  <c r="D531" i="83"/>
  <c r="F533" i="83"/>
  <c r="B531" i="83"/>
  <c r="G533" i="83"/>
  <c r="I529" i="83"/>
  <c r="D529" i="83"/>
  <c r="F534" i="83"/>
  <c r="G534" i="83"/>
  <c r="L452" i="83"/>
  <c r="M452" i="83" s="1"/>
  <c r="J452" i="83"/>
  <c r="I453" i="83"/>
  <c r="L453" i="83"/>
  <c r="D461" i="83"/>
  <c r="F463" i="83"/>
  <c r="B461" i="83"/>
  <c r="F464" i="83"/>
  <c r="D459" i="83"/>
  <c r="G463" i="83"/>
  <c r="G464" i="83"/>
  <c r="I459" i="83"/>
  <c r="B467" i="83"/>
  <c r="D467" i="83"/>
  <c r="A480" i="83"/>
  <c r="B473" i="83"/>
  <c r="L382" i="83"/>
  <c r="M382" i="83" s="1"/>
  <c r="J382" i="83"/>
  <c r="L383" i="83"/>
  <c r="I383" i="83"/>
  <c r="B397" i="83"/>
  <c r="D397" i="83"/>
  <c r="B403" i="83"/>
  <c r="A410" i="83"/>
  <c r="D391" i="83"/>
  <c r="B391" i="83"/>
  <c r="G393" i="83"/>
  <c r="F394" i="83"/>
  <c r="D389" i="83"/>
  <c r="F393" i="83"/>
  <c r="G394" i="83"/>
  <c r="I389" i="83"/>
  <c r="D321" i="83"/>
  <c r="G324" i="83"/>
  <c r="I319" i="83"/>
  <c r="B321" i="83"/>
  <c r="F323" i="83"/>
  <c r="G323" i="83"/>
  <c r="F324" i="83"/>
  <c r="D319" i="83"/>
  <c r="L312" i="83"/>
  <c r="M312" i="83" s="1"/>
  <c r="J312" i="83"/>
  <c r="I313" i="83"/>
  <c r="L313" i="83"/>
  <c r="B327" i="83"/>
  <c r="D327" i="83"/>
  <c r="B333" i="83"/>
  <c r="A340" i="83"/>
  <c r="J32" i="88"/>
  <c r="I32" i="88" s="1"/>
  <c r="J33" i="88"/>
  <c r="I33" i="88" s="1"/>
  <c r="G34" i="88"/>
  <c r="E34" i="88"/>
  <c r="K33" i="88"/>
  <c r="G33" i="88"/>
  <c r="E33" i="88"/>
  <c r="C32" i="88" s="1"/>
  <c r="K32" i="88"/>
  <c r="G32" i="88"/>
  <c r="E36" i="88"/>
  <c r="A42" i="88"/>
  <c r="B19" i="86"/>
  <c r="M23" i="86"/>
  <c r="Q23" i="86"/>
  <c r="P23" i="86" s="1"/>
  <c r="O23" i="86"/>
  <c r="N23" i="86" s="1"/>
  <c r="L23" i="86"/>
  <c r="R22" i="86"/>
  <c r="Q22" i="86"/>
  <c r="P22" i="86" s="1"/>
  <c r="O22" i="86"/>
  <c r="N22" i="86" s="1"/>
  <c r="M22" i="86"/>
  <c r="L22" i="86"/>
  <c r="K22" i="86"/>
  <c r="F22" i="86"/>
  <c r="G23" i="86"/>
  <c r="D22" i="86" s="1"/>
  <c r="K23" i="86"/>
  <c r="A29" i="86"/>
  <c r="F26" i="86"/>
  <c r="I149" i="53"/>
  <c r="BB29" i="62"/>
  <c r="I174" i="53" s="1"/>
  <c r="AY29" i="62"/>
  <c r="I171" i="53" s="1"/>
  <c r="AY28" i="62"/>
  <c r="I166" i="53" s="1"/>
  <c r="AY3" i="62"/>
  <c r="I37" i="53" s="1"/>
  <c r="BD47" i="62"/>
  <c r="AZ28" i="62"/>
  <c r="I167" i="53" s="1"/>
  <c r="BA5" i="62"/>
  <c r="I47" i="53" s="1"/>
  <c r="AZ5" i="62"/>
  <c r="I43" i="53" s="1"/>
  <c r="AY8" i="62"/>
  <c r="I66" i="53" s="1"/>
  <c r="BB3" i="62"/>
  <c r="I49" i="53" s="1"/>
  <c r="AZ3" i="62"/>
  <c r="I41" i="53" s="1"/>
  <c r="BC5" i="62"/>
  <c r="I55" i="53" s="1"/>
  <c r="BA7" i="62"/>
  <c r="I61" i="53" s="1"/>
  <c r="AY6" i="62"/>
  <c r="I56" i="53" s="1"/>
  <c r="BA6" i="62"/>
  <c r="I60" i="53" s="1"/>
  <c r="AZ6" i="62"/>
  <c r="I58" i="53" s="1"/>
  <c r="AZ29" i="62"/>
  <c r="I172" i="53" s="1"/>
  <c r="BB5" i="62"/>
  <c r="I51" i="53" s="1"/>
  <c r="BC6" i="62"/>
  <c r="I64" i="53" s="1"/>
  <c r="BA28" i="62"/>
  <c r="I168" i="53" s="1"/>
  <c r="BC29" i="62"/>
  <c r="I175" i="53" s="1"/>
  <c r="AY9" i="62"/>
  <c r="I67" i="53" s="1"/>
  <c r="BC4" i="62"/>
  <c r="I54" i="53" s="1"/>
  <c r="AZ4" i="62"/>
  <c r="I42" i="53" s="1"/>
  <c r="AZ9" i="62"/>
  <c r="I69" i="53" s="1"/>
  <c r="BA29" i="62"/>
  <c r="I173" i="53" s="1"/>
  <c r="BB4" i="62"/>
  <c r="I50" i="53" s="1"/>
  <c r="BA8" i="62"/>
  <c r="I70" i="53" s="1"/>
  <c r="AZ7" i="62"/>
  <c r="I59" i="53" s="1"/>
  <c r="BC28" i="62"/>
  <c r="I170" i="53" s="1"/>
  <c r="BD36" i="62"/>
  <c r="BD41" i="62"/>
  <c r="I26" i="53" s="1"/>
  <c r="AZ8" i="62"/>
  <c r="I68" i="53" s="1"/>
  <c r="BD37" i="62"/>
  <c r="I22" i="53" s="1"/>
  <c r="BC3" i="62"/>
  <c r="I53" i="53" s="1"/>
  <c r="BC9" i="62"/>
  <c r="I75" i="53" s="1"/>
  <c r="BD39" i="62"/>
  <c r="I24" i="53" s="1"/>
  <c r="BD45" i="62"/>
  <c r="I30" i="53" s="1"/>
  <c r="BB7" i="62"/>
  <c r="I63" i="53" s="1"/>
  <c r="BB8" i="62"/>
  <c r="I72" i="53" s="1"/>
  <c r="BD35" i="62"/>
  <c r="AY4" i="62"/>
  <c r="I38" i="53" s="1"/>
  <c r="BA2" i="62"/>
  <c r="I44" i="53" s="1"/>
  <c r="AY5" i="62"/>
  <c r="I39" i="53" s="1"/>
  <c r="AY7" i="62"/>
  <c r="I57" i="53" s="1"/>
  <c r="BA4" i="62"/>
  <c r="I46" i="53" s="1"/>
  <c r="BD46" i="62"/>
  <c r="I31" i="53" s="1"/>
  <c r="BB2" i="62"/>
  <c r="I48" i="53" s="1"/>
  <c r="BA9" i="62"/>
  <c r="I71" i="53" s="1"/>
  <c r="BB6" i="62"/>
  <c r="I62" i="53" s="1"/>
  <c r="AZ2" i="62"/>
  <c r="I40" i="53" s="1"/>
  <c r="BB28" i="62"/>
  <c r="I169" i="53" s="1"/>
  <c r="BC7" i="62"/>
  <c r="I65" i="53" s="1"/>
  <c r="BA3" i="62"/>
  <c r="I45" i="53" s="1"/>
  <c r="BC2" i="62"/>
  <c r="I52" i="53" s="1"/>
  <c r="BD40" i="62"/>
  <c r="I25" i="53" s="1"/>
  <c r="BB9" i="62"/>
  <c r="I73" i="53" s="1"/>
  <c r="BC8" i="62"/>
  <c r="I74" i="53" s="1"/>
  <c r="C24" i="54"/>
  <c r="D24" i="54"/>
  <c r="D26" i="54" s="1"/>
  <c r="D36" i="53"/>
  <c r="F36" i="53"/>
  <c r="D37" i="53"/>
  <c r="F37" i="53"/>
  <c r="D38" i="53"/>
  <c r="F38" i="53"/>
  <c r="D39" i="53"/>
  <c r="F39" i="53"/>
  <c r="D48" i="53"/>
  <c r="F48" i="53"/>
  <c r="D49" i="53"/>
  <c r="F49" i="53"/>
  <c r="D50" i="53"/>
  <c r="F50" i="53"/>
  <c r="D51" i="53"/>
  <c r="F51" i="53"/>
  <c r="D52" i="53"/>
  <c r="F52" i="53"/>
  <c r="D53" i="53"/>
  <c r="F53" i="53"/>
  <c r="D54" i="53"/>
  <c r="F54" i="53"/>
  <c r="D55" i="53"/>
  <c r="F55" i="53"/>
  <c r="D44" i="53"/>
  <c r="F44" i="53"/>
  <c r="D45" i="53"/>
  <c r="F45" i="53"/>
  <c r="D46" i="53"/>
  <c r="F46" i="53"/>
  <c r="D47" i="53"/>
  <c r="F47" i="53"/>
  <c r="D40" i="53"/>
  <c r="F40" i="53"/>
  <c r="D41" i="53"/>
  <c r="F41" i="53"/>
  <c r="D42" i="53"/>
  <c r="F42" i="53"/>
  <c r="D43" i="53"/>
  <c r="F43" i="53"/>
  <c r="E22" i="53"/>
  <c r="F22" i="53"/>
  <c r="E23" i="53"/>
  <c r="F23" i="53"/>
  <c r="E24" i="53"/>
  <c r="F24" i="53"/>
  <c r="E25" i="53"/>
  <c r="F25" i="53"/>
  <c r="E26" i="53"/>
  <c r="F26" i="53"/>
  <c r="E27" i="53"/>
  <c r="F27" i="53"/>
  <c r="E28" i="53"/>
  <c r="F28" i="53"/>
  <c r="E29" i="53"/>
  <c r="F29" i="53"/>
  <c r="E30" i="53"/>
  <c r="F30" i="53"/>
  <c r="E31" i="53"/>
  <c r="F31" i="53"/>
  <c r="D66" i="53"/>
  <c r="E66" i="53"/>
  <c r="F66" i="53"/>
  <c r="D67" i="53"/>
  <c r="E67" i="53"/>
  <c r="F67" i="53"/>
  <c r="D72" i="53"/>
  <c r="E72" i="53"/>
  <c r="F72" i="53"/>
  <c r="D73" i="53"/>
  <c r="E73" i="53"/>
  <c r="F73" i="53"/>
  <c r="D74" i="53"/>
  <c r="E74" i="53"/>
  <c r="F74" i="53"/>
  <c r="D75" i="53"/>
  <c r="E75" i="53"/>
  <c r="F75" i="53"/>
  <c r="D70" i="53"/>
  <c r="E70" i="53"/>
  <c r="F70" i="53"/>
  <c r="D71" i="53"/>
  <c r="E71" i="53"/>
  <c r="F71" i="53"/>
  <c r="D68" i="53"/>
  <c r="E68" i="53"/>
  <c r="F68" i="53"/>
  <c r="D69" i="53"/>
  <c r="E69" i="53"/>
  <c r="F69" i="53"/>
  <c r="D76" i="53"/>
  <c r="E76" i="53"/>
  <c r="F76" i="53"/>
  <c r="D77" i="53"/>
  <c r="E77" i="53"/>
  <c r="F77" i="53"/>
  <c r="D78" i="53"/>
  <c r="E78" i="53"/>
  <c r="F78" i="53"/>
  <c r="D79" i="53"/>
  <c r="E79" i="53"/>
  <c r="F79" i="53"/>
  <c r="D80" i="53"/>
  <c r="E80" i="53"/>
  <c r="F80" i="53"/>
  <c r="D81" i="53"/>
  <c r="E81" i="53"/>
  <c r="F81" i="53"/>
  <c r="D82" i="53"/>
  <c r="E82" i="53"/>
  <c r="F82" i="53"/>
  <c r="D83" i="53"/>
  <c r="E83" i="53"/>
  <c r="F83" i="53"/>
  <c r="D84" i="53"/>
  <c r="E84" i="53"/>
  <c r="F84" i="53"/>
  <c r="D103" i="53"/>
  <c r="E103" i="53"/>
  <c r="F103" i="53"/>
  <c r="D104" i="53"/>
  <c r="E104" i="53"/>
  <c r="F104" i="53"/>
  <c r="D105" i="53"/>
  <c r="E105" i="53"/>
  <c r="F105" i="53"/>
  <c r="D106" i="53"/>
  <c r="E106" i="53"/>
  <c r="F106" i="53"/>
  <c r="D107" i="53"/>
  <c r="E107" i="53"/>
  <c r="F107" i="53"/>
  <c r="D108" i="53"/>
  <c r="E108" i="53"/>
  <c r="F108" i="53"/>
  <c r="D109" i="53"/>
  <c r="E109" i="53"/>
  <c r="F109" i="53"/>
  <c r="D110" i="53"/>
  <c r="E110" i="53"/>
  <c r="F110" i="53"/>
  <c r="D111" i="53"/>
  <c r="E111" i="53"/>
  <c r="F111" i="53"/>
  <c r="D112" i="53"/>
  <c r="E112" i="53"/>
  <c r="F112" i="53"/>
  <c r="D113" i="53"/>
  <c r="E113" i="53"/>
  <c r="F113" i="53"/>
  <c r="D114" i="53"/>
  <c r="E114" i="53"/>
  <c r="F114" i="53"/>
  <c r="D115" i="53"/>
  <c r="E115" i="53"/>
  <c r="F115" i="53"/>
  <c r="D116" i="53"/>
  <c r="E116" i="53"/>
  <c r="F116" i="53"/>
  <c r="D117" i="53"/>
  <c r="E117" i="53"/>
  <c r="F117" i="53"/>
  <c r="D118" i="53"/>
  <c r="E118" i="53"/>
  <c r="F118" i="53"/>
  <c r="D119" i="53"/>
  <c r="E119" i="53"/>
  <c r="F119" i="53"/>
  <c r="D120" i="53"/>
  <c r="E120" i="53"/>
  <c r="F120" i="53"/>
  <c r="D94" i="53"/>
  <c r="E94" i="53"/>
  <c r="F94" i="53"/>
  <c r="D95" i="53"/>
  <c r="E95" i="53"/>
  <c r="F95" i="53"/>
  <c r="D96" i="53"/>
  <c r="E96" i="53"/>
  <c r="F96" i="53"/>
  <c r="D97" i="53"/>
  <c r="E97" i="53"/>
  <c r="F97" i="53"/>
  <c r="D98" i="53"/>
  <c r="E98" i="53"/>
  <c r="F98" i="53"/>
  <c r="D99" i="53"/>
  <c r="E99" i="53"/>
  <c r="F99" i="53"/>
  <c r="D100" i="53"/>
  <c r="E100" i="53"/>
  <c r="F100" i="53"/>
  <c r="D101" i="53"/>
  <c r="E101" i="53"/>
  <c r="F101" i="53"/>
  <c r="D102" i="53"/>
  <c r="E102" i="53"/>
  <c r="F102" i="53"/>
  <c r="D85" i="53"/>
  <c r="E85" i="53"/>
  <c r="F85" i="53"/>
  <c r="D86" i="53"/>
  <c r="E86" i="53"/>
  <c r="F86" i="53"/>
  <c r="D87" i="53"/>
  <c r="E87" i="53"/>
  <c r="F87" i="53"/>
  <c r="D88" i="53"/>
  <c r="E88" i="53"/>
  <c r="F88" i="53"/>
  <c r="D89" i="53"/>
  <c r="E89" i="53"/>
  <c r="F89" i="53"/>
  <c r="D90" i="53"/>
  <c r="E90" i="53"/>
  <c r="F90" i="53"/>
  <c r="D91" i="53"/>
  <c r="E91" i="53"/>
  <c r="F91" i="53"/>
  <c r="D92" i="53"/>
  <c r="E92" i="53"/>
  <c r="F92" i="53"/>
  <c r="D93" i="53"/>
  <c r="E93" i="53"/>
  <c r="F93" i="53"/>
  <c r="D121" i="53"/>
  <c r="E121" i="53"/>
  <c r="F121" i="53"/>
  <c r="D124" i="53"/>
  <c r="E124" i="53"/>
  <c r="F124" i="53"/>
  <c r="D125" i="53"/>
  <c r="E125" i="53"/>
  <c r="F125" i="53"/>
  <c r="D122" i="53"/>
  <c r="E122" i="53"/>
  <c r="F122" i="53"/>
  <c r="D123" i="53"/>
  <c r="E123" i="53"/>
  <c r="F123" i="53"/>
  <c r="D126" i="53"/>
  <c r="E126" i="53"/>
  <c r="F126" i="53"/>
  <c r="D129" i="53"/>
  <c r="E129" i="53"/>
  <c r="F129" i="53"/>
  <c r="D130" i="53"/>
  <c r="E130" i="53"/>
  <c r="F130" i="53"/>
  <c r="D127" i="53"/>
  <c r="E127" i="53"/>
  <c r="F127" i="53"/>
  <c r="D128" i="53"/>
  <c r="E128" i="53"/>
  <c r="F128" i="53"/>
  <c r="D146" i="53"/>
  <c r="E146" i="53"/>
  <c r="F146" i="53"/>
  <c r="D149" i="53"/>
  <c r="E149" i="53"/>
  <c r="F149" i="53"/>
  <c r="D150" i="53"/>
  <c r="E150" i="53"/>
  <c r="F150" i="53"/>
  <c r="D147" i="53"/>
  <c r="E147" i="53"/>
  <c r="F147" i="53"/>
  <c r="D148" i="53"/>
  <c r="E148" i="53"/>
  <c r="F148" i="53"/>
  <c r="D151" i="53"/>
  <c r="E151" i="53"/>
  <c r="F151" i="53"/>
  <c r="D154" i="53"/>
  <c r="E154" i="53"/>
  <c r="F154" i="53"/>
  <c r="D155" i="53"/>
  <c r="E155" i="53"/>
  <c r="F155" i="53"/>
  <c r="D152" i="53"/>
  <c r="E152" i="53"/>
  <c r="F152" i="53"/>
  <c r="D153" i="53"/>
  <c r="E153" i="53"/>
  <c r="F153" i="53"/>
  <c r="D156" i="53"/>
  <c r="E156" i="53"/>
  <c r="F156" i="53"/>
  <c r="D159" i="53"/>
  <c r="E159" i="53"/>
  <c r="F159" i="53"/>
  <c r="D160" i="53"/>
  <c r="E160" i="53"/>
  <c r="F160" i="53"/>
  <c r="D157" i="53"/>
  <c r="E157" i="53"/>
  <c r="F157" i="53"/>
  <c r="D158" i="53"/>
  <c r="E158" i="53"/>
  <c r="F158" i="53"/>
  <c r="D161" i="53"/>
  <c r="E161" i="53"/>
  <c r="F161" i="53"/>
  <c r="D164" i="53"/>
  <c r="E164" i="53"/>
  <c r="F164" i="53"/>
  <c r="D165" i="53"/>
  <c r="E165" i="53"/>
  <c r="F165" i="53"/>
  <c r="D162" i="53"/>
  <c r="E162" i="53"/>
  <c r="F162" i="53"/>
  <c r="D163" i="53"/>
  <c r="E163" i="53"/>
  <c r="F163" i="53"/>
  <c r="D56" i="53"/>
  <c r="F56" i="53"/>
  <c r="D62" i="53"/>
  <c r="F62" i="53"/>
  <c r="D64" i="53"/>
  <c r="F64" i="53"/>
  <c r="D58" i="53"/>
  <c r="F58" i="53"/>
  <c r="D60" i="53"/>
  <c r="F60" i="53"/>
  <c r="D57" i="53"/>
  <c r="F57" i="53"/>
  <c r="D63" i="53"/>
  <c r="F63" i="53"/>
  <c r="D65" i="53"/>
  <c r="F65" i="53"/>
  <c r="D59" i="53"/>
  <c r="F59" i="53"/>
  <c r="D61" i="53"/>
  <c r="F61" i="53"/>
  <c r="E7" i="53"/>
  <c r="F7" i="53"/>
  <c r="E8" i="53"/>
  <c r="F8" i="53"/>
  <c r="E9" i="53"/>
  <c r="F9" i="53"/>
  <c r="E10" i="53"/>
  <c r="F10" i="53"/>
  <c r="E11" i="53"/>
  <c r="F11" i="53"/>
  <c r="E12" i="53"/>
  <c r="F12" i="53"/>
  <c r="E13" i="53"/>
  <c r="F13" i="53"/>
  <c r="E14" i="53"/>
  <c r="F14" i="53"/>
  <c r="E15" i="53"/>
  <c r="F15" i="53"/>
  <c r="E16" i="53"/>
  <c r="F16" i="53"/>
  <c r="E17" i="53"/>
  <c r="F17" i="53"/>
  <c r="E18" i="53"/>
  <c r="F18" i="53"/>
  <c r="E19" i="53"/>
  <c r="F19" i="53"/>
  <c r="E20" i="53"/>
  <c r="F20" i="53"/>
  <c r="E21" i="53"/>
  <c r="F21" i="53"/>
  <c r="D131" i="53"/>
  <c r="E131" i="53"/>
  <c r="F131" i="53"/>
  <c r="D134" i="53"/>
  <c r="E134" i="53"/>
  <c r="F134" i="53"/>
  <c r="D135" i="53"/>
  <c r="E135" i="53"/>
  <c r="F135" i="53"/>
  <c r="D132" i="53"/>
  <c r="E132" i="53"/>
  <c r="F132" i="53"/>
  <c r="D133" i="53"/>
  <c r="E133" i="53"/>
  <c r="F133" i="53"/>
  <c r="D136" i="53"/>
  <c r="E136" i="53"/>
  <c r="F136" i="53"/>
  <c r="D139" i="53"/>
  <c r="E139" i="53"/>
  <c r="F139" i="53"/>
  <c r="D140" i="53"/>
  <c r="E140" i="53"/>
  <c r="F140" i="53"/>
  <c r="D137" i="53"/>
  <c r="E137" i="53"/>
  <c r="F137" i="53"/>
  <c r="D138" i="53"/>
  <c r="E138" i="53"/>
  <c r="F138" i="53"/>
  <c r="D141" i="53"/>
  <c r="E141" i="53"/>
  <c r="F141" i="53"/>
  <c r="D144" i="53"/>
  <c r="E144" i="53"/>
  <c r="F144" i="53"/>
  <c r="D145" i="53"/>
  <c r="E145" i="53"/>
  <c r="F145" i="53"/>
  <c r="D142" i="53"/>
  <c r="E142" i="53"/>
  <c r="F142" i="53"/>
  <c r="D143" i="53"/>
  <c r="E143" i="53"/>
  <c r="F143" i="53"/>
  <c r="D176" i="53"/>
  <c r="E176" i="53"/>
  <c r="F176" i="53"/>
  <c r="D179" i="53"/>
  <c r="E179" i="53"/>
  <c r="F179" i="53"/>
  <c r="D180" i="53"/>
  <c r="E180" i="53"/>
  <c r="F180" i="53"/>
  <c r="D177" i="53"/>
  <c r="E177" i="53"/>
  <c r="F177" i="53"/>
  <c r="D178" i="53"/>
  <c r="E178" i="53"/>
  <c r="F178" i="53"/>
  <c r="D181" i="53"/>
  <c r="E181" i="53"/>
  <c r="F181" i="53"/>
  <c r="D184" i="53"/>
  <c r="E184" i="53"/>
  <c r="F184" i="53"/>
  <c r="D185" i="53"/>
  <c r="E185" i="53"/>
  <c r="F185" i="53"/>
  <c r="D182" i="53"/>
  <c r="E182" i="53"/>
  <c r="F182" i="53"/>
  <c r="D183" i="53"/>
  <c r="E183" i="53"/>
  <c r="F183" i="53"/>
  <c r="E186" i="53"/>
  <c r="F186" i="53"/>
  <c r="D187" i="53"/>
  <c r="E187" i="53"/>
  <c r="F187" i="53"/>
  <c r="D188" i="53"/>
  <c r="E188" i="53"/>
  <c r="F188" i="53"/>
  <c r="D189" i="53"/>
  <c r="E189" i="53"/>
  <c r="F189" i="53"/>
  <c r="D190" i="53"/>
  <c r="E190" i="53"/>
  <c r="F190" i="53"/>
  <c r="D166" i="53"/>
  <c r="E166" i="53"/>
  <c r="D169" i="53"/>
  <c r="E169" i="53"/>
  <c r="F169" i="53"/>
  <c r="D170" i="53"/>
  <c r="E170" i="53"/>
  <c r="F170" i="53"/>
  <c r="D167" i="53"/>
  <c r="E167" i="53"/>
  <c r="F167" i="53"/>
  <c r="D168" i="53"/>
  <c r="E168" i="53"/>
  <c r="D171" i="53"/>
  <c r="E171" i="53"/>
  <c r="F171" i="53"/>
  <c r="D174" i="53"/>
  <c r="E174" i="53"/>
  <c r="F174" i="53"/>
  <c r="D175" i="53"/>
  <c r="E175" i="53"/>
  <c r="F175" i="53"/>
  <c r="D172" i="53"/>
  <c r="E172" i="53"/>
  <c r="F172" i="53"/>
  <c r="D173" i="53"/>
  <c r="E173" i="53"/>
  <c r="F173" i="53"/>
  <c r="M2" i="52"/>
  <c r="E36" i="53" s="1"/>
  <c r="M3" i="52"/>
  <c r="E37" i="53" s="1"/>
  <c r="M4" i="52"/>
  <c r="E56" i="53" s="1"/>
  <c r="M5" i="52"/>
  <c r="E38" i="53" s="1"/>
  <c r="M6" i="52"/>
  <c r="E57" i="53" s="1"/>
  <c r="M7" i="52"/>
  <c r="E39" i="53" s="1"/>
  <c r="M20" i="52"/>
  <c r="E48" i="53" s="1"/>
  <c r="M21" i="52"/>
  <c r="E49" i="53" s="1"/>
  <c r="M22" i="52"/>
  <c r="E62" i="53" s="1"/>
  <c r="M23" i="52"/>
  <c r="E50" i="53" s="1"/>
  <c r="M24" i="52"/>
  <c r="E63" i="53" s="1"/>
  <c r="M25" i="52"/>
  <c r="E51" i="53" s="1"/>
  <c r="M26" i="52"/>
  <c r="E52" i="53" s="1"/>
  <c r="M27" i="52"/>
  <c r="E53" i="53" s="1"/>
  <c r="M28" i="52"/>
  <c r="E64" i="53" s="1"/>
  <c r="M29" i="52"/>
  <c r="E54" i="53" s="1"/>
  <c r="M30" i="52"/>
  <c r="E65" i="53" s="1"/>
  <c r="M31" i="52"/>
  <c r="E55" i="53" s="1"/>
  <c r="M8" i="52"/>
  <c r="E40" i="53" s="1"/>
  <c r="M9" i="52"/>
  <c r="E41" i="53" s="1"/>
  <c r="M10" i="52"/>
  <c r="E58" i="53" s="1"/>
  <c r="M11" i="52"/>
  <c r="E42" i="53" s="1"/>
  <c r="M12" i="52"/>
  <c r="E59" i="53" s="1"/>
  <c r="M13" i="52"/>
  <c r="E43" i="53" s="1"/>
  <c r="M14" i="52"/>
  <c r="E44" i="53" s="1"/>
  <c r="M15" i="52"/>
  <c r="E45" i="53" s="1"/>
  <c r="M16" i="52"/>
  <c r="E60" i="53" s="1"/>
  <c r="M17" i="52"/>
  <c r="E46" i="53" s="1"/>
  <c r="M18" i="52"/>
  <c r="E61" i="53" s="1"/>
  <c r="M19" i="52"/>
  <c r="E47" i="53" s="1"/>
  <c r="P16" i="51"/>
  <c r="P17" i="51"/>
  <c r="P18" i="51"/>
  <c r="P19" i="51"/>
  <c r="P20" i="51"/>
  <c r="P36" i="51"/>
  <c r="P37" i="51"/>
  <c r="P38" i="51"/>
  <c r="P39" i="51"/>
  <c r="P40" i="51"/>
  <c r="P41" i="51"/>
  <c r="P42" i="51"/>
  <c r="P43" i="51"/>
  <c r="P44" i="51"/>
  <c r="P45" i="51"/>
  <c r="P46" i="51"/>
  <c r="P47" i="51"/>
  <c r="P48" i="51"/>
  <c r="P49" i="51"/>
  <c r="P50" i="51"/>
  <c r="C37" i="51"/>
  <c r="P28" i="51"/>
  <c r="P27" i="51"/>
  <c r="P26" i="51"/>
  <c r="P29" i="51"/>
  <c r="P30" i="51"/>
  <c r="C77" i="51"/>
  <c r="C137" i="51"/>
  <c r="C138" i="51" s="1"/>
  <c r="C219" i="51"/>
  <c r="G2" i="50"/>
  <c r="H2" i="50"/>
  <c r="C49" i="50"/>
  <c r="C53" i="50"/>
  <c r="C54" i="50" s="1"/>
  <c r="C59" i="50"/>
  <c r="K3" i="41"/>
  <c r="K4" i="41"/>
  <c r="K5" i="41"/>
  <c r="K6" i="41"/>
  <c r="K7" i="41"/>
  <c r="K8" i="41"/>
  <c r="K9" i="41"/>
  <c r="K10" i="41"/>
  <c r="K11" i="41"/>
  <c r="K12" i="41"/>
  <c r="K13" i="41"/>
  <c r="K14" i="41"/>
  <c r="K15" i="41"/>
  <c r="K16" i="41"/>
  <c r="K17" i="41"/>
  <c r="K18" i="41"/>
  <c r="K19" i="41"/>
  <c r="K20" i="41"/>
  <c r="K21" i="41"/>
  <c r="K22" i="41"/>
  <c r="K23" i="41"/>
  <c r="K24" i="41"/>
  <c r="K25" i="41"/>
  <c r="K26" i="41"/>
  <c r="K27" i="41"/>
  <c r="K28" i="41"/>
  <c r="K29" i="41"/>
  <c r="K30" i="41"/>
  <c r="K31" i="41"/>
  <c r="K32" i="41"/>
  <c r="K33" i="41"/>
  <c r="K34" i="41"/>
  <c r="K35" i="41"/>
  <c r="K36" i="41"/>
  <c r="K37" i="41"/>
  <c r="K38" i="41"/>
  <c r="K39" i="41"/>
  <c r="K40" i="41"/>
  <c r="K41" i="41"/>
  <c r="K42" i="41"/>
  <c r="K43" i="41"/>
  <c r="K44" i="41"/>
  <c r="K45" i="41"/>
  <c r="K46" i="41"/>
  <c r="K47" i="41"/>
  <c r="K48" i="41"/>
  <c r="K49" i="41"/>
  <c r="K50" i="41"/>
  <c r="K51" i="41"/>
  <c r="K52" i="41"/>
  <c r="K53" i="41"/>
  <c r="K54" i="41"/>
  <c r="K55" i="41"/>
  <c r="K56" i="41"/>
  <c r="K57" i="41"/>
  <c r="K58" i="41"/>
  <c r="K59" i="41"/>
  <c r="K60" i="41"/>
  <c r="K61" i="41"/>
  <c r="K62" i="41"/>
  <c r="K63" i="41"/>
  <c r="K64" i="41"/>
  <c r="K65" i="41"/>
  <c r="K66" i="41"/>
  <c r="K67" i="41"/>
  <c r="K68" i="41"/>
  <c r="K69" i="41"/>
  <c r="K70" i="41"/>
  <c r="K71" i="41"/>
  <c r="K72" i="41"/>
  <c r="K73" i="41"/>
  <c r="K74" i="41"/>
  <c r="K75" i="41"/>
  <c r="K76" i="41"/>
  <c r="K77" i="41"/>
  <c r="K78" i="41"/>
  <c r="K79" i="41"/>
  <c r="K80" i="41"/>
  <c r="K81" i="41"/>
  <c r="K82" i="41"/>
  <c r="K83" i="41"/>
  <c r="K84" i="41"/>
  <c r="K85" i="41"/>
  <c r="K86" i="41"/>
  <c r="K87" i="41"/>
  <c r="K88" i="41"/>
  <c r="K89" i="41"/>
  <c r="K90" i="41"/>
  <c r="K91" i="41"/>
  <c r="K92" i="41"/>
  <c r="K93" i="41"/>
  <c r="K94" i="41"/>
  <c r="K95" i="41"/>
  <c r="K96" i="41"/>
  <c r="K97" i="41"/>
  <c r="K98" i="41"/>
  <c r="K99" i="41"/>
  <c r="K100" i="41"/>
  <c r="K101" i="41"/>
  <c r="K102" i="41"/>
  <c r="K103" i="41"/>
  <c r="K104" i="41"/>
  <c r="K105" i="41"/>
  <c r="K106" i="41"/>
  <c r="K107" i="41"/>
  <c r="K108" i="41"/>
  <c r="K109" i="41"/>
  <c r="K110" i="41"/>
  <c r="K111" i="41"/>
  <c r="K112" i="41"/>
  <c r="K113" i="41"/>
  <c r="K114" i="41"/>
  <c r="K115" i="41"/>
  <c r="K116" i="41"/>
  <c r="K117" i="41"/>
  <c r="K118" i="41"/>
  <c r="K119" i="41"/>
  <c r="K120" i="41"/>
  <c r="K121" i="41"/>
  <c r="K122" i="41"/>
  <c r="K123" i="41"/>
  <c r="K124" i="41"/>
  <c r="K125" i="41"/>
  <c r="K126" i="41"/>
  <c r="K127" i="41"/>
  <c r="K128" i="41"/>
  <c r="K129" i="41"/>
  <c r="K130" i="41"/>
  <c r="K131" i="41"/>
  <c r="K132" i="41"/>
  <c r="K133" i="41"/>
  <c r="K134" i="41"/>
  <c r="C1" i="43"/>
  <c r="O463" i="10"/>
  <c r="P463" i="10" s="1"/>
  <c r="O150" i="10"/>
  <c r="O392" i="10"/>
  <c r="O276" i="10"/>
  <c r="P276" i="10" s="1"/>
  <c r="O158" i="10"/>
  <c r="P158" i="10" s="1"/>
  <c r="O156" i="10"/>
  <c r="P15" i="10"/>
  <c r="P52" i="10"/>
  <c r="P53" i="10"/>
  <c r="P54" i="10"/>
  <c r="P55" i="10"/>
  <c r="P57" i="10"/>
  <c r="P58" i="10"/>
  <c r="P59" i="10"/>
  <c r="P60" i="10"/>
  <c r="P61" i="10"/>
  <c r="P160" i="10"/>
  <c r="P161" i="10"/>
  <c r="P162" i="10"/>
  <c r="P163" i="10"/>
  <c r="P164" i="10"/>
  <c r="P165" i="10"/>
  <c r="P166" i="10"/>
  <c r="P167" i="10"/>
  <c r="P168" i="10"/>
  <c r="P169" i="10"/>
  <c r="P170" i="10"/>
  <c r="P171" i="10"/>
  <c r="P172" i="10"/>
  <c r="P173" i="10"/>
  <c r="P280" i="10"/>
  <c r="P281" i="10"/>
  <c r="P283" i="10"/>
  <c r="P284" i="10"/>
  <c r="P285" i="10"/>
  <c r="P287" i="10"/>
  <c r="P288" i="10"/>
  <c r="P289" i="10"/>
  <c r="P290" i="10"/>
  <c r="P291" i="10"/>
  <c r="P292" i="10"/>
  <c r="P293" i="10"/>
  <c r="P400" i="10"/>
  <c r="P402" i="10"/>
  <c r="P403" i="10"/>
  <c r="P404" i="10"/>
  <c r="P405" i="10"/>
  <c r="P406" i="10"/>
  <c r="P407" i="10"/>
  <c r="P408" i="10"/>
  <c r="P410" i="10"/>
  <c r="P411" i="10"/>
  <c r="P412" i="10"/>
  <c r="P413" i="10"/>
  <c r="P414" i="10"/>
  <c r="P415" i="10"/>
  <c r="P532" i="10"/>
  <c r="P533" i="10"/>
  <c r="P534" i="10"/>
  <c r="P535" i="10"/>
  <c r="P537" i="10"/>
  <c r="P538" i="10"/>
  <c r="P539" i="10"/>
  <c r="P540" i="10"/>
  <c r="P541" i="10"/>
  <c r="P24" i="10"/>
  <c r="P26" i="10"/>
  <c r="P27" i="10"/>
  <c r="P28" i="10"/>
  <c r="P29" i="10"/>
  <c r="P31" i="10"/>
  <c r="P32" i="10"/>
  <c r="P33" i="10"/>
  <c r="P34" i="10"/>
  <c r="P35" i="10"/>
  <c r="P132" i="10"/>
  <c r="P134" i="10"/>
  <c r="P136" i="10"/>
  <c r="P137" i="10"/>
  <c r="P139" i="10"/>
  <c r="P140" i="10"/>
  <c r="P141" i="10"/>
  <c r="P143" i="10"/>
  <c r="P144" i="10"/>
  <c r="P145" i="10"/>
  <c r="P252" i="10"/>
  <c r="P253" i="10"/>
  <c r="P254" i="10"/>
  <c r="P255" i="10"/>
  <c r="P256" i="10"/>
  <c r="P257" i="10"/>
  <c r="P258" i="10"/>
  <c r="P259" i="10"/>
  <c r="P260" i="10"/>
  <c r="P261" i="10"/>
  <c r="P262" i="10"/>
  <c r="P263" i="10"/>
  <c r="P264" i="10"/>
  <c r="P265" i="10"/>
  <c r="P266" i="10"/>
  <c r="P267" i="10"/>
  <c r="P372" i="10"/>
  <c r="P373" i="10"/>
  <c r="P374" i="10"/>
  <c r="P375" i="10"/>
  <c r="P376" i="10"/>
  <c r="P377" i="10"/>
  <c r="P378" i="10"/>
  <c r="P379" i="10"/>
  <c r="P380" i="10"/>
  <c r="P381" i="10"/>
  <c r="P382" i="10"/>
  <c r="P383" i="10"/>
  <c r="P385" i="10"/>
  <c r="P500" i="10"/>
  <c r="P502" i="10"/>
  <c r="P503" i="10"/>
  <c r="P504" i="10"/>
  <c r="P505" i="10"/>
  <c r="P507" i="10"/>
  <c r="P508" i="10"/>
  <c r="P509" i="10"/>
  <c r="P510" i="10"/>
  <c r="P511" i="10"/>
  <c r="P513" i="10"/>
  <c r="P76" i="10"/>
  <c r="P77" i="10"/>
  <c r="P78" i="10"/>
  <c r="P79" i="10"/>
  <c r="P80" i="10"/>
  <c r="P81" i="10"/>
  <c r="P83" i="10"/>
  <c r="P84" i="10"/>
  <c r="P85" i="10"/>
  <c r="P190" i="10"/>
  <c r="P191" i="10"/>
  <c r="P192" i="10"/>
  <c r="P193" i="10"/>
  <c r="P194" i="10"/>
  <c r="P195" i="10"/>
  <c r="P197" i="10"/>
  <c r="P198" i="10"/>
  <c r="P199" i="10"/>
  <c r="P200" i="10"/>
  <c r="P201" i="10"/>
  <c r="P310" i="10"/>
  <c r="P311" i="10"/>
  <c r="P312" i="10"/>
  <c r="P313" i="10"/>
  <c r="P314" i="10"/>
  <c r="P315" i="10"/>
  <c r="P316" i="10"/>
  <c r="P317" i="10"/>
  <c r="P318" i="10"/>
  <c r="P319" i="10"/>
  <c r="P320" i="10"/>
  <c r="P321" i="10"/>
  <c r="P322" i="10"/>
  <c r="P323" i="10"/>
  <c r="P325" i="10"/>
  <c r="P432" i="10"/>
  <c r="P433" i="10"/>
  <c r="P435" i="10"/>
  <c r="P437" i="10"/>
  <c r="P438" i="10"/>
  <c r="P439" i="10"/>
  <c r="P440" i="10"/>
  <c r="P441" i="10"/>
  <c r="P442" i="10"/>
  <c r="P443" i="10"/>
  <c r="P445" i="10"/>
  <c r="P556" i="10"/>
  <c r="P557" i="10"/>
  <c r="P559" i="10"/>
  <c r="P560" i="10"/>
  <c r="P561" i="10"/>
  <c r="P563" i="10"/>
  <c r="P565" i="10"/>
  <c r="P566" i="10"/>
  <c r="P37" i="10"/>
  <c r="P38" i="10"/>
  <c r="P39" i="10"/>
  <c r="P40" i="10"/>
  <c r="P42" i="10"/>
  <c r="P43" i="10"/>
  <c r="P45" i="10"/>
  <c r="P47" i="10"/>
  <c r="P48" i="10"/>
  <c r="P49" i="10"/>
  <c r="P146" i="10"/>
  <c r="P147" i="10"/>
  <c r="P148" i="10"/>
  <c r="P149" i="10"/>
  <c r="P150" i="10"/>
  <c r="P151" i="10"/>
  <c r="P153" i="10"/>
  <c r="P155" i="10"/>
  <c r="P156" i="10"/>
  <c r="P157" i="10"/>
  <c r="P159" i="10"/>
  <c r="P268" i="10"/>
  <c r="P269" i="10"/>
  <c r="P273" i="10"/>
  <c r="P277" i="10"/>
  <c r="P278" i="10"/>
  <c r="P279" i="10"/>
  <c r="P387" i="10"/>
  <c r="P388" i="10"/>
  <c r="P389" i="10"/>
  <c r="P390" i="10"/>
  <c r="P392" i="10"/>
  <c r="P393" i="10"/>
  <c r="P394" i="10"/>
  <c r="P395" i="10"/>
  <c r="P396" i="10"/>
  <c r="P397" i="10"/>
  <c r="P399" i="10"/>
  <c r="P515" i="10"/>
  <c r="P518" i="10"/>
  <c r="P519" i="10"/>
  <c r="P520" i="10"/>
  <c r="P521" i="10"/>
  <c r="P522" i="10"/>
  <c r="P523" i="10"/>
  <c r="P524" i="10"/>
  <c r="P525" i="10"/>
  <c r="P526" i="10"/>
  <c r="P527" i="10"/>
  <c r="P528" i="10"/>
  <c r="P529" i="10"/>
  <c r="P62" i="10"/>
  <c r="P64" i="10"/>
  <c r="P65" i="10"/>
  <c r="P66" i="10"/>
  <c r="P67" i="10"/>
  <c r="P69" i="10"/>
  <c r="P70" i="10"/>
  <c r="P71" i="10"/>
  <c r="P73" i="10"/>
  <c r="P74" i="10"/>
  <c r="P75" i="10"/>
  <c r="P174" i="10"/>
  <c r="P175" i="10"/>
  <c r="P176" i="10"/>
  <c r="P178" i="10"/>
  <c r="P179" i="10"/>
  <c r="P180" i="10"/>
  <c r="P182" i="10"/>
  <c r="P183" i="10"/>
  <c r="P184" i="10"/>
  <c r="P185" i="10"/>
  <c r="P186" i="10"/>
  <c r="P187" i="10"/>
  <c r="P188" i="10"/>
  <c r="P189" i="10"/>
  <c r="P294" i="10"/>
  <c r="P295" i="10"/>
  <c r="P296" i="10"/>
  <c r="P297" i="10"/>
  <c r="P298" i="10"/>
  <c r="P300" i="10"/>
  <c r="P302" i="10"/>
  <c r="P303" i="10"/>
  <c r="P304" i="10"/>
  <c r="P305" i="10"/>
  <c r="P306" i="10"/>
  <c r="P307" i="10"/>
  <c r="P308" i="10"/>
  <c r="P309" i="10"/>
  <c r="P417" i="10"/>
  <c r="P418" i="10"/>
  <c r="P419" i="10"/>
  <c r="P420" i="10"/>
  <c r="P421" i="10"/>
  <c r="P423" i="10"/>
  <c r="P424" i="10"/>
  <c r="P425" i="10"/>
  <c r="P426" i="10"/>
  <c r="P427" i="10"/>
  <c r="P428" i="10"/>
  <c r="P429" i="10"/>
  <c r="P430" i="10"/>
  <c r="P431" i="10"/>
  <c r="P542" i="10"/>
  <c r="P543" i="10"/>
  <c r="P544" i="10"/>
  <c r="P545" i="10"/>
  <c r="P547" i="10"/>
  <c r="P548" i="10"/>
  <c r="P549" i="10"/>
  <c r="P550" i="10"/>
  <c r="P551" i="10"/>
  <c r="P553" i="10"/>
  <c r="P554" i="10"/>
  <c r="P555" i="10"/>
  <c r="P114" i="10"/>
  <c r="P115" i="10"/>
  <c r="P116" i="10"/>
  <c r="P117" i="10"/>
  <c r="P231" i="10"/>
  <c r="P232" i="10"/>
  <c r="P234" i="10"/>
  <c r="P235" i="10"/>
  <c r="P352" i="10"/>
  <c r="P353" i="10"/>
  <c r="P355" i="10"/>
  <c r="P356" i="10"/>
  <c r="P357" i="10"/>
  <c r="P479" i="10"/>
  <c r="P481" i="10"/>
  <c r="P482" i="10"/>
  <c r="P483" i="10"/>
  <c r="P484" i="10"/>
  <c r="P485" i="10"/>
  <c r="P592" i="10"/>
  <c r="P593" i="10"/>
  <c r="P594" i="10"/>
  <c r="P595" i="10"/>
  <c r="P597" i="10"/>
  <c r="P101" i="10"/>
  <c r="P102" i="10"/>
  <c r="P103" i="10"/>
  <c r="P104" i="10"/>
  <c r="P105" i="10"/>
  <c r="P106" i="10"/>
  <c r="P107" i="10"/>
  <c r="P108" i="10"/>
  <c r="P109" i="10"/>
  <c r="P110" i="10"/>
  <c r="P111" i="10"/>
  <c r="P112" i="10"/>
  <c r="P113" i="10"/>
  <c r="P218" i="10"/>
  <c r="P220" i="10"/>
  <c r="P221" i="10"/>
  <c r="P222" i="10"/>
  <c r="P223" i="10"/>
  <c r="P224" i="10"/>
  <c r="P225" i="10"/>
  <c r="P226" i="10"/>
  <c r="P227" i="10"/>
  <c r="P228" i="10"/>
  <c r="P229" i="10"/>
  <c r="P340" i="10"/>
  <c r="P341" i="10"/>
  <c r="P342" i="10"/>
  <c r="P343" i="10"/>
  <c r="P344" i="10"/>
  <c r="P345" i="10"/>
  <c r="P346" i="10"/>
  <c r="P347" i="10"/>
  <c r="P348" i="10"/>
  <c r="P349" i="10"/>
  <c r="P350" i="10"/>
  <c r="P351" i="10"/>
  <c r="P462" i="10"/>
  <c r="P464" i="10"/>
  <c r="P465" i="10"/>
  <c r="P466" i="10"/>
  <c r="P467" i="10"/>
  <c r="P468" i="10"/>
  <c r="P469" i="10"/>
  <c r="P470" i="10"/>
  <c r="P471" i="10"/>
  <c r="P472" i="10"/>
  <c r="P473" i="10"/>
  <c r="P474" i="10"/>
  <c r="P475" i="10"/>
  <c r="P476" i="10"/>
  <c r="P477" i="10"/>
  <c r="P582" i="10"/>
  <c r="P583" i="10"/>
  <c r="P584" i="10"/>
  <c r="P585" i="10"/>
  <c r="P586" i="10"/>
  <c r="P587" i="10"/>
  <c r="P588" i="10"/>
  <c r="P589" i="10"/>
  <c r="P590" i="10"/>
  <c r="P591" i="10"/>
  <c r="P2" i="10"/>
  <c r="P3" i="10"/>
  <c r="P4" i="10"/>
  <c r="P5" i="10"/>
  <c r="P6" i="10"/>
  <c r="P7" i="10"/>
  <c r="P8" i="10"/>
  <c r="P9" i="10"/>
  <c r="P10" i="10"/>
  <c r="P11" i="10"/>
  <c r="P12" i="10"/>
  <c r="P13" i="10"/>
  <c r="P14" i="10"/>
  <c r="P16" i="10"/>
  <c r="P17" i="10"/>
  <c r="P18" i="10"/>
  <c r="P19" i="10"/>
  <c r="P20" i="10"/>
  <c r="P21" i="10"/>
  <c r="P22" i="10"/>
  <c r="P23" i="10"/>
  <c r="P120" i="10"/>
  <c r="P121" i="10"/>
  <c r="P122" i="10"/>
  <c r="P123" i="10"/>
  <c r="P124" i="10"/>
  <c r="P125" i="10"/>
  <c r="P126" i="10"/>
  <c r="P128" i="10"/>
  <c r="P129" i="10"/>
  <c r="P130" i="10"/>
  <c r="P131" i="10"/>
  <c r="P238" i="10"/>
  <c r="P239" i="10"/>
  <c r="P240" i="10"/>
  <c r="P241" i="10"/>
  <c r="P242" i="10"/>
  <c r="P243" i="10"/>
  <c r="P244" i="10"/>
  <c r="P245" i="10"/>
  <c r="P247" i="10"/>
  <c r="P248" i="10"/>
  <c r="P249" i="10"/>
  <c r="P250" i="10"/>
  <c r="P251" i="10"/>
  <c r="P358" i="10"/>
  <c r="P359" i="10"/>
  <c r="P361" i="10"/>
  <c r="P362" i="10"/>
  <c r="P364" i="10"/>
  <c r="P365" i="10"/>
  <c r="P366" i="10"/>
  <c r="P367" i="10"/>
  <c r="P368" i="10"/>
  <c r="P369" i="10"/>
  <c r="P370" i="10"/>
  <c r="P371" i="10"/>
  <c r="P486" i="10"/>
  <c r="P487" i="10"/>
  <c r="P489" i="10"/>
  <c r="P491" i="10"/>
  <c r="P492" i="10"/>
  <c r="P493" i="10"/>
  <c r="P494" i="10"/>
  <c r="P495" i="10"/>
  <c r="P496" i="10"/>
  <c r="P497" i="10"/>
  <c r="P498" i="10"/>
  <c r="P499" i="10"/>
  <c r="P86" i="10"/>
  <c r="P87" i="10"/>
  <c r="P88" i="10"/>
  <c r="P89" i="10"/>
  <c r="P90" i="10"/>
  <c r="P91" i="10"/>
  <c r="P92" i="10"/>
  <c r="P95" i="10"/>
  <c r="P96" i="10"/>
  <c r="P97" i="10"/>
  <c r="P98" i="10"/>
  <c r="P99" i="10"/>
  <c r="P202" i="10"/>
  <c r="P203" i="10"/>
  <c r="P204" i="10"/>
  <c r="P205" i="10"/>
  <c r="P206" i="10"/>
  <c r="P207" i="10"/>
  <c r="P209" i="10"/>
  <c r="P210" i="10"/>
  <c r="P211" i="10"/>
  <c r="P212" i="10"/>
  <c r="P213" i="10"/>
  <c r="P214" i="10"/>
  <c r="P215" i="10"/>
  <c r="P216" i="10"/>
  <c r="P217" i="10"/>
  <c r="P327" i="10"/>
  <c r="P328" i="10"/>
  <c r="P330" i="10"/>
  <c r="P331" i="10"/>
  <c r="P333" i="10"/>
  <c r="P334" i="10"/>
  <c r="P335" i="10"/>
  <c r="P336" i="10"/>
  <c r="P337" i="10"/>
  <c r="P338" i="10"/>
  <c r="P339" i="10"/>
  <c r="P446" i="10"/>
  <c r="P447" i="10"/>
  <c r="P448" i="10"/>
  <c r="P449" i="10"/>
  <c r="P450" i="10"/>
  <c r="P451" i="10"/>
  <c r="P452" i="10"/>
  <c r="P455" i="10"/>
  <c r="P456" i="10"/>
  <c r="P457" i="10"/>
  <c r="P458" i="10"/>
  <c r="P459" i="10"/>
  <c r="P460" i="10"/>
  <c r="P461" i="10"/>
  <c r="P569" i="10"/>
  <c r="P570" i="10"/>
  <c r="P571" i="10"/>
  <c r="P572" i="10"/>
  <c r="P573" i="10"/>
  <c r="P574" i="10"/>
  <c r="P575" i="10"/>
  <c r="P577" i="10"/>
  <c r="P578" i="10"/>
  <c r="P579" i="10"/>
  <c r="P580" i="10"/>
  <c r="P581" i="10"/>
  <c r="P50" i="10"/>
  <c r="O219" i="10"/>
  <c r="P219" i="10" s="1"/>
  <c r="O41" i="10"/>
  <c r="P41" i="10" s="1"/>
  <c r="O135" i="10"/>
  <c r="P135" i="10" s="1"/>
  <c r="O93" i="10"/>
  <c r="P93" i="10" s="1"/>
  <c r="O326" i="10"/>
  <c r="P326" i="10" s="1"/>
  <c r="O237" i="10"/>
  <c r="P237" i="10" s="1"/>
  <c r="O236" i="10"/>
  <c r="P236" i="10" s="1"/>
  <c r="O488" i="10"/>
  <c r="P488" i="10" s="1"/>
  <c r="O51" i="10"/>
  <c r="P51" i="10" s="1"/>
  <c r="O480" i="10"/>
  <c r="P480" i="10" s="1"/>
  <c r="O177" i="10"/>
  <c r="P177" i="10" s="1"/>
  <c r="O299" i="10"/>
  <c r="P299" i="10" s="1"/>
  <c r="O564" i="10"/>
  <c r="P564" i="10" s="1"/>
  <c r="O82" i="10"/>
  <c r="P82" i="10" s="1"/>
  <c r="O233" i="10"/>
  <c r="P233" i="10" s="1"/>
  <c r="O516" i="10"/>
  <c r="P516" i="10" s="1"/>
  <c r="O133" i="10"/>
  <c r="P133" i="10" s="1"/>
  <c r="O119" i="10"/>
  <c r="P119" i="10" s="1"/>
  <c r="O514" i="10"/>
  <c r="P514" i="10" s="1"/>
  <c r="O422" i="10"/>
  <c r="P422" i="10" s="1"/>
  <c r="O44" i="10"/>
  <c r="P44" i="10" s="1"/>
  <c r="O506" i="10"/>
  <c r="P506" i="10" s="1"/>
  <c r="O46" i="10"/>
  <c r="P46" i="10" s="1"/>
  <c r="O246" i="10"/>
  <c r="P246" i="10" s="1"/>
  <c r="O154" i="10"/>
  <c r="P154" i="10" s="1"/>
  <c r="O332" i="10"/>
  <c r="P332" i="10" s="1"/>
  <c r="O138" i="10"/>
  <c r="P138" i="10" s="1"/>
  <c r="O286" i="10"/>
  <c r="P286" i="10" s="1"/>
  <c r="O25" i="10"/>
  <c r="P25" i="10" s="1"/>
  <c r="O275" i="10"/>
  <c r="P275" i="10" s="1"/>
  <c r="O354" i="10"/>
  <c r="P354" i="10" s="1"/>
  <c r="O386" i="10"/>
  <c r="P386" i="10" s="1"/>
  <c r="O552" i="10"/>
  <c r="P552" i="10" s="1"/>
  <c r="O517" i="10"/>
  <c r="P517" i="10" s="1"/>
  <c r="O208" i="10"/>
  <c r="P208" i="10" s="1"/>
  <c r="O274" i="10"/>
  <c r="P274" i="10" s="1"/>
  <c r="O282" i="10"/>
  <c r="P282" i="10" s="1"/>
  <c r="O546" i="10"/>
  <c r="P546" i="10" s="1"/>
  <c r="O271" i="10"/>
  <c r="P271" i="10" s="1"/>
  <c r="O181" i="10"/>
  <c r="P181" i="10" s="1"/>
  <c r="O416" i="10"/>
  <c r="P416" i="10" s="1"/>
  <c r="O409" i="10"/>
  <c r="P409" i="10" s="1"/>
  <c r="O68" i="10"/>
  <c r="P68" i="10" s="1"/>
  <c r="O454" i="10"/>
  <c r="P454" i="10" s="1"/>
  <c r="O324" i="10"/>
  <c r="P324" i="10" s="1"/>
  <c r="O301" i="10"/>
  <c r="P301" i="10" s="1"/>
  <c r="O567" i="10"/>
  <c r="P567" i="10" s="1"/>
  <c r="O512" i="10"/>
  <c r="P512" i="10" s="1"/>
  <c r="O398" i="10"/>
  <c r="P398" i="10" s="1"/>
  <c r="O444" i="10"/>
  <c r="P444" i="10" s="1"/>
  <c r="O360" i="10"/>
  <c r="P360" i="10" s="1"/>
  <c r="O384" i="10"/>
  <c r="P384" i="10" s="1"/>
  <c r="O72" i="10"/>
  <c r="P72" i="10" s="1"/>
  <c r="O127" i="10"/>
  <c r="P127" i="10" s="1"/>
  <c r="C78" i="51" l="1"/>
  <c r="K36" i="92"/>
  <c r="G38" i="92"/>
  <c r="K37" i="92"/>
  <c r="J36" i="92"/>
  <c r="I36" i="92" s="1"/>
  <c r="J37" i="92"/>
  <c r="I37" i="92" s="1"/>
  <c r="G36" i="92"/>
  <c r="G37" i="92"/>
  <c r="E38" i="92"/>
  <c r="E37" i="92"/>
  <c r="C36" i="92" s="1"/>
  <c r="E92" i="92"/>
  <c r="A98" i="92"/>
  <c r="K88" i="92"/>
  <c r="K89" i="92"/>
  <c r="J88" i="92"/>
  <c r="I88" i="92" s="1"/>
  <c r="J89" i="92"/>
  <c r="I89" i="92" s="1"/>
  <c r="E89" i="92"/>
  <c r="C88" i="92" s="1"/>
  <c r="G88" i="92"/>
  <c r="G90" i="92"/>
  <c r="G89" i="92"/>
  <c r="E90" i="92"/>
  <c r="E40" i="92"/>
  <c r="A46" i="92"/>
  <c r="B24" i="91"/>
  <c r="D24" i="91"/>
  <c r="M27" i="91"/>
  <c r="N28" i="91"/>
  <c r="L27" i="91"/>
  <c r="Q27" i="91"/>
  <c r="M28" i="91"/>
  <c r="K27" i="91"/>
  <c r="L28" i="91"/>
  <c r="F27" i="91"/>
  <c r="K28" i="91"/>
  <c r="P28" i="91"/>
  <c r="O28" i="91" s="1"/>
  <c r="N27" i="91"/>
  <c r="G28" i="91"/>
  <c r="P27" i="91"/>
  <c r="O27" i="91" s="1"/>
  <c r="F31" i="91"/>
  <c r="H34" i="91"/>
  <c r="L1720" i="83"/>
  <c r="I1720" i="83"/>
  <c r="L1719" i="83"/>
  <c r="M1719" i="83" s="1"/>
  <c r="J1719" i="83"/>
  <c r="G1731" i="83"/>
  <c r="F1731" i="83"/>
  <c r="I1726" i="83"/>
  <c r="G1730" i="83"/>
  <c r="D1726" i="83"/>
  <c r="F1730" i="83"/>
  <c r="D1728" i="83"/>
  <c r="B1728" i="83"/>
  <c r="A1747" i="83"/>
  <c r="B1747" i="83" s="1"/>
  <c r="B1740" i="83"/>
  <c r="D1734" i="83"/>
  <c r="B1734" i="83"/>
  <c r="L1650" i="83"/>
  <c r="I1650" i="83"/>
  <c r="L1649" i="83"/>
  <c r="M1649" i="83" s="1"/>
  <c r="J1649" i="83"/>
  <c r="A1677" i="83"/>
  <c r="B1677" i="83" s="1"/>
  <c r="B1670" i="83"/>
  <c r="D1664" i="83"/>
  <c r="B1664" i="83"/>
  <c r="G1661" i="83"/>
  <c r="F1661" i="83"/>
  <c r="I1656" i="83"/>
  <c r="G1660" i="83"/>
  <c r="D1656" i="83"/>
  <c r="F1660" i="83"/>
  <c r="D1658" i="83"/>
  <c r="B1658" i="83"/>
  <c r="L1580" i="83"/>
  <c r="I1580" i="83"/>
  <c r="L1579" i="83"/>
  <c r="M1579" i="83" s="1"/>
  <c r="J1579" i="83"/>
  <c r="A1607" i="83"/>
  <c r="B1607" i="83" s="1"/>
  <c r="B1600" i="83"/>
  <c r="D1594" i="83"/>
  <c r="B1594" i="83"/>
  <c r="G1591" i="83"/>
  <c r="F1591" i="83"/>
  <c r="I1586" i="83"/>
  <c r="G1590" i="83"/>
  <c r="D1586" i="83"/>
  <c r="F1590" i="83"/>
  <c r="D1588" i="83"/>
  <c r="B1588" i="83"/>
  <c r="L1439" i="83"/>
  <c r="M1439" i="83" s="1"/>
  <c r="J1439" i="83"/>
  <c r="L1440" i="83"/>
  <c r="I1440" i="83"/>
  <c r="D1454" i="83"/>
  <c r="B1454" i="83"/>
  <c r="A1467" i="83"/>
  <c r="B1460" i="83"/>
  <c r="B1448" i="83"/>
  <c r="D1448" i="83"/>
  <c r="G1451" i="83"/>
  <c r="F1451" i="83"/>
  <c r="I1446" i="83"/>
  <c r="G1450" i="83"/>
  <c r="D1446" i="83"/>
  <c r="F1450" i="83"/>
  <c r="L1300" i="83"/>
  <c r="I1300" i="83"/>
  <c r="L1299" i="83"/>
  <c r="M1299" i="83" s="1"/>
  <c r="J1299" i="83"/>
  <c r="B1320" i="83"/>
  <c r="A1327" i="83"/>
  <c r="D1314" i="83"/>
  <c r="B1314" i="83"/>
  <c r="F1311" i="83"/>
  <c r="D1306" i="83"/>
  <c r="I1306" i="83"/>
  <c r="B1308" i="83"/>
  <c r="G1311" i="83"/>
  <c r="G1310" i="83"/>
  <c r="F1310" i="83"/>
  <c r="D1308" i="83"/>
  <c r="L1159" i="83"/>
  <c r="M1159" i="83" s="1"/>
  <c r="L1160" i="83"/>
  <c r="I1160" i="83"/>
  <c r="J1159" i="83"/>
  <c r="B1180" i="83"/>
  <c r="A1187" i="83"/>
  <c r="B1174" i="83"/>
  <c r="D1174" i="83"/>
  <c r="D1166" i="83"/>
  <c r="D1168" i="83"/>
  <c r="B1168" i="83"/>
  <c r="G1171" i="83"/>
  <c r="G1170" i="83"/>
  <c r="F1171" i="83"/>
  <c r="I1166" i="83"/>
  <c r="F1170" i="83"/>
  <c r="A1117" i="83"/>
  <c r="B1117" i="83" s="1"/>
  <c r="B1110" i="83"/>
  <c r="D1104" i="83"/>
  <c r="B1104" i="83"/>
  <c r="G1101" i="83"/>
  <c r="B1098" i="83"/>
  <c r="F1101" i="83"/>
  <c r="I1096" i="83"/>
  <c r="G1100" i="83"/>
  <c r="D1096" i="83"/>
  <c r="F1100" i="83"/>
  <c r="D1098" i="83"/>
  <c r="L1090" i="83"/>
  <c r="I1090" i="83"/>
  <c r="J1089" i="83"/>
  <c r="L1089" i="83"/>
  <c r="M1089" i="83" s="1"/>
  <c r="L1020" i="83"/>
  <c r="I1020" i="83"/>
  <c r="L1019" i="83"/>
  <c r="M1019" i="83" s="1"/>
  <c r="J1019" i="83"/>
  <c r="A1047" i="83"/>
  <c r="B1047" i="83" s="1"/>
  <c r="B1040" i="83"/>
  <c r="D1034" i="83"/>
  <c r="B1034" i="83"/>
  <c r="G1031" i="83"/>
  <c r="B1028" i="83"/>
  <c r="F1031" i="83"/>
  <c r="I1026" i="83"/>
  <c r="G1030" i="83"/>
  <c r="D1026" i="83"/>
  <c r="F1030" i="83"/>
  <c r="D1028" i="83"/>
  <c r="L949" i="83"/>
  <c r="M949" i="83" s="1"/>
  <c r="L950" i="83"/>
  <c r="I950" i="83"/>
  <c r="J949" i="83"/>
  <c r="A977" i="83"/>
  <c r="B977" i="83" s="1"/>
  <c r="B970" i="83"/>
  <c r="B964" i="83"/>
  <c r="D964" i="83"/>
  <c r="G961" i="83"/>
  <c r="D958" i="83"/>
  <c r="F961" i="83"/>
  <c r="I956" i="83"/>
  <c r="G960" i="83"/>
  <c r="D956" i="83"/>
  <c r="F960" i="83"/>
  <c r="B958" i="83"/>
  <c r="L880" i="83"/>
  <c r="I880" i="83"/>
  <c r="L879" i="83"/>
  <c r="M879" i="83" s="1"/>
  <c r="J879" i="83"/>
  <c r="D894" i="83"/>
  <c r="B894" i="83"/>
  <c r="A907" i="83"/>
  <c r="B907" i="83" s="1"/>
  <c r="B900" i="83"/>
  <c r="G891" i="83"/>
  <c r="F891" i="83"/>
  <c r="I886" i="83"/>
  <c r="B888" i="83"/>
  <c r="G890" i="83"/>
  <c r="D886" i="83"/>
  <c r="F890" i="83"/>
  <c r="D888" i="83"/>
  <c r="L810" i="83"/>
  <c r="I810" i="83"/>
  <c r="L809" i="83"/>
  <c r="M809" i="83" s="1"/>
  <c r="J809" i="83"/>
  <c r="B818" i="83"/>
  <c r="G821" i="83"/>
  <c r="F821" i="83"/>
  <c r="I816" i="83"/>
  <c r="G820" i="83"/>
  <c r="D816" i="83"/>
  <c r="F820" i="83"/>
  <c r="D818" i="83"/>
  <c r="B830" i="83"/>
  <c r="A837" i="83"/>
  <c r="B837" i="83" s="1"/>
  <c r="D824" i="83"/>
  <c r="B824" i="83"/>
  <c r="B760" i="83"/>
  <c r="A767" i="83"/>
  <c r="B767" i="83" s="1"/>
  <c r="B754" i="83"/>
  <c r="D754" i="83"/>
  <c r="B748" i="83"/>
  <c r="G751" i="83"/>
  <c r="D748" i="83"/>
  <c r="F751" i="83"/>
  <c r="I746" i="83"/>
  <c r="G750" i="83"/>
  <c r="D746" i="83"/>
  <c r="F750" i="83"/>
  <c r="J739" i="83"/>
  <c r="L740" i="83"/>
  <c r="I740" i="83"/>
  <c r="L739" i="83"/>
  <c r="M739" i="83" s="1"/>
  <c r="G681" i="83"/>
  <c r="F681" i="83"/>
  <c r="I676" i="83"/>
  <c r="G680" i="83"/>
  <c r="D676" i="83"/>
  <c r="F680" i="83"/>
  <c r="B678" i="83"/>
  <c r="D678" i="83"/>
  <c r="D684" i="83"/>
  <c r="B684" i="83"/>
  <c r="B690" i="83"/>
  <c r="A697" i="83"/>
  <c r="B697" i="83" s="1"/>
  <c r="L670" i="83"/>
  <c r="I670" i="83"/>
  <c r="L669" i="83"/>
  <c r="M669" i="83" s="1"/>
  <c r="J669" i="83"/>
  <c r="L600" i="83"/>
  <c r="I600" i="83"/>
  <c r="J599" i="83"/>
  <c r="L599" i="83"/>
  <c r="M599" i="83" s="1"/>
  <c r="A627" i="83"/>
  <c r="B627" i="83" s="1"/>
  <c r="B620" i="83"/>
  <c r="D614" i="83"/>
  <c r="B614" i="83"/>
  <c r="D608" i="83"/>
  <c r="G611" i="83"/>
  <c r="F610" i="83"/>
  <c r="F611" i="83"/>
  <c r="I606" i="83"/>
  <c r="G610" i="83"/>
  <c r="D606" i="83"/>
  <c r="B608" i="83"/>
  <c r="A557" i="83"/>
  <c r="B557" i="83" s="1"/>
  <c r="B550" i="83"/>
  <c r="D544" i="83"/>
  <c r="B544" i="83"/>
  <c r="G541" i="83"/>
  <c r="F541" i="83"/>
  <c r="I536" i="83"/>
  <c r="G540" i="83"/>
  <c r="D536" i="83"/>
  <c r="F540" i="83"/>
  <c r="D538" i="83"/>
  <c r="B538" i="83"/>
  <c r="L530" i="83"/>
  <c r="I530" i="83"/>
  <c r="L529" i="83"/>
  <c r="M529" i="83" s="1"/>
  <c r="J529" i="83"/>
  <c r="J459" i="83"/>
  <c r="L460" i="83"/>
  <c r="I460" i="83"/>
  <c r="L459" i="83"/>
  <c r="M459" i="83" s="1"/>
  <c r="D474" i="83"/>
  <c r="B474" i="83"/>
  <c r="A487" i="83"/>
  <c r="B487" i="83" s="1"/>
  <c r="B480" i="83"/>
  <c r="G471" i="83"/>
  <c r="D466" i="83"/>
  <c r="F471" i="83"/>
  <c r="I466" i="83"/>
  <c r="G470" i="83"/>
  <c r="F470" i="83"/>
  <c r="D468" i="83"/>
  <c r="B468" i="83"/>
  <c r="A417" i="83"/>
  <c r="B417" i="83" s="1"/>
  <c r="B410" i="83"/>
  <c r="D404" i="83"/>
  <c r="B404" i="83"/>
  <c r="G400" i="83"/>
  <c r="G401" i="83"/>
  <c r="D396" i="83"/>
  <c r="F401" i="83"/>
  <c r="I396" i="83"/>
  <c r="F400" i="83"/>
  <c r="D398" i="83"/>
  <c r="B398" i="83"/>
  <c r="L390" i="83"/>
  <c r="I390" i="83"/>
  <c r="L389" i="83"/>
  <c r="M389" i="83" s="1"/>
  <c r="J389" i="83"/>
  <c r="D334" i="83"/>
  <c r="B334" i="83"/>
  <c r="L320" i="83"/>
  <c r="I320" i="83"/>
  <c r="J319" i="83"/>
  <c r="L319" i="83"/>
  <c r="M319" i="83" s="1"/>
  <c r="A347" i="83"/>
  <c r="B347" i="83" s="1"/>
  <c r="B340" i="83"/>
  <c r="G331" i="83"/>
  <c r="F331" i="83"/>
  <c r="I326" i="83"/>
  <c r="B328" i="83"/>
  <c r="G330" i="83"/>
  <c r="D326" i="83"/>
  <c r="F330" i="83"/>
  <c r="D328" i="83"/>
  <c r="J36" i="88"/>
  <c r="I36" i="88" s="1"/>
  <c r="J37" i="88"/>
  <c r="I37" i="88" s="1"/>
  <c r="A46" i="88"/>
  <c r="E40" i="88"/>
  <c r="G38" i="88"/>
  <c r="G37" i="88"/>
  <c r="E38" i="88"/>
  <c r="K37" i="88"/>
  <c r="E37" i="88"/>
  <c r="C36" i="88" s="1"/>
  <c r="K36" i="88"/>
  <c r="G36" i="88"/>
  <c r="B22" i="86"/>
  <c r="G149" i="53"/>
  <c r="L149" i="53" s="1"/>
  <c r="M26" i="86"/>
  <c r="F25" i="86"/>
  <c r="Q26" i="86"/>
  <c r="P26" i="86" s="1"/>
  <c r="O26" i="86"/>
  <c r="N26" i="86" s="1"/>
  <c r="G26" i="86"/>
  <c r="D25" i="86" s="1"/>
  <c r="R25" i="86"/>
  <c r="Q25" i="86"/>
  <c r="P25" i="86" s="1"/>
  <c r="O25" i="86"/>
  <c r="N25" i="86" s="1"/>
  <c r="M25" i="86"/>
  <c r="L25" i="86"/>
  <c r="K25" i="86"/>
  <c r="K26" i="86"/>
  <c r="L26" i="86"/>
  <c r="A32" i="86"/>
  <c r="F29" i="86"/>
  <c r="E3" i="53"/>
  <c r="G3" i="53" s="1"/>
  <c r="L3" i="53" s="1"/>
  <c r="C26" i="54"/>
  <c r="C30" i="54" s="1"/>
  <c r="L4" i="53"/>
  <c r="I6" i="53"/>
  <c r="L6" i="53" s="1"/>
  <c r="R16" i="64" s="1"/>
  <c r="S16" i="64" s="1"/>
  <c r="I5" i="53"/>
  <c r="L5" i="53" s="1"/>
  <c r="R15" i="64" s="1"/>
  <c r="S15" i="64" s="1"/>
  <c r="H12" i="50"/>
  <c r="H13" i="50" s="1"/>
  <c r="H14" i="50" s="1"/>
  <c r="H15" i="50" s="1"/>
  <c r="H16" i="50" s="1"/>
  <c r="H17" i="50" s="1"/>
  <c r="H18" i="50" s="1"/>
  <c r="H19" i="50" s="1"/>
  <c r="H20" i="50" s="1"/>
  <c r="H21" i="50" s="1"/>
  <c r="H22" i="50" s="1"/>
  <c r="H23" i="50" s="1"/>
  <c r="H25" i="50" s="1"/>
  <c r="H24" i="50" s="1"/>
  <c r="H26" i="50" s="1"/>
  <c r="H27" i="50" s="1"/>
  <c r="H29" i="50" s="1"/>
  <c r="H30" i="50" s="1"/>
  <c r="G12" i="50"/>
  <c r="G13" i="50" s="1"/>
  <c r="G14" i="50" s="1"/>
  <c r="G15" i="50" s="1"/>
  <c r="G16" i="50" s="1"/>
  <c r="G17" i="50" s="1"/>
  <c r="G18" i="50" s="1"/>
  <c r="G19" i="50" s="1"/>
  <c r="G20" i="50" s="1"/>
  <c r="G21" i="50" s="1"/>
  <c r="G22" i="50" s="1"/>
  <c r="G23" i="50" s="1"/>
  <c r="G25" i="50" s="1"/>
  <c r="G24" i="50" s="1"/>
  <c r="G26" i="50" s="1"/>
  <c r="G27" i="50" s="1"/>
  <c r="G29" i="50" s="1"/>
  <c r="G30" i="50" s="1"/>
  <c r="G19" i="53"/>
  <c r="L19" i="53" s="1"/>
  <c r="G54" i="53"/>
  <c r="L54" i="53" s="1"/>
  <c r="G52" i="53"/>
  <c r="L52" i="53" s="1"/>
  <c r="G65" i="53"/>
  <c r="L65" i="53" s="1"/>
  <c r="G56" i="53"/>
  <c r="L56" i="53" s="1"/>
  <c r="G62" i="53"/>
  <c r="L62" i="53" s="1"/>
  <c r="G22" i="53"/>
  <c r="L22" i="53" s="1"/>
  <c r="C50" i="50"/>
  <c r="C51" i="50" s="1"/>
  <c r="G38" i="53"/>
  <c r="L38" i="53" s="1"/>
  <c r="G106" i="53"/>
  <c r="L106" i="53" s="1"/>
  <c r="G40" i="53"/>
  <c r="L40" i="53" s="1"/>
  <c r="G61" i="53"/>
  <c r="L61" i="53" s="1"/>
  <c r="G48" i="53"/>
  <c r="L48" i="53" s="1"/>
  <c r="G30" i="53"/>
  <c r="L30" i="53" s="1"/>
  <c r="G26" i="53"/>
  <c r="L26" i="53" s="1"/>
  <c r="G3" i="50"/>
  <c r="G4" i="50" s="1"/>
  <c r="G5" i="50" s="1"/>
  <c r="G24" i="53"/>
  <c r="L24" i="53" s="1"/>
  <c r="H3" i="50"/>
  <c r="H4" i="50" s="1"/>
  <c r="H5" i="50" s="1"/>
  <c r="G46" i="53"/>
  <c r="L46" i="53" s="1"/>
  <c r="G28" i="53"/>
  <c r="L28" i="53" s="1"/>
  <c r="G184" i="53"/>
  <c r="L184" i="53" s="1"/>
  <c r="G138" i="53"/>
  <c r="L138" i="53" s="1"/>
  <c r="G18" i="53"/>
  <c r="L18" i="53" s="1"/>
  <c r="G12" i="53"/>
  <c r="L12" i="53" s="1"/>
  <c r="G72" i="53"/>
  <c r="L72" i="53" s="1"/>
  <c r="G85" i="53"/>
  <c r="L85" i="53" s="1"/>
  <c r="G95" i="53"/>
  <c r="L95" i="53" s="1"/>
  <c r="G118" i="53"/>
  <c r="L118" i="53" s="1"/>
  <c r="G110" i="53"/>
  <c r="L110" i="53" s="1"/>
  <c r="G101" i="53"/>
  <c r="L101" i="53" s="1"/>
  <c r="G116" i="53"/>
  <c r="L116" i="53" s="1"/>
  <c r="G17" i="53"/>
  <c r="L17" i="53" s="1"/>
  <c r="G11" i="53"/>
  <c r="L11" i="53" s="1"/>
  <c r="G165" i="53"/>
  <c r="L165" i="53" s="1"/>
  <c r="G153" i="53"/>
  <c r="L153" i="53" s="1"/>
  <c r="G151" i="53"/>
  <c r="L151" i="53" s="1"/>
  <c r="G130" i="53"/>
  <c r="L130" i="53" s="1"/>
  <c r="G122" i="53"/>
  <c r="L122" i="53" s="1"/>
  <c r="G89" i="53"/>
  <c r="L89" i="53" s="1"/>
  <c r="G84" i="53"/>
  <c r="L84" i="53" s="1"/>
  <c r="G80" i="53"/>
  <c r="L80" i="53" s="1"/>
  <c r="G76" i="53"/>
  <c r="L76" i="53" s="1"/>
  <c r="G70" i="53"/>
  <c r="L70" i="53" s="1"/>
  <c r="G167" i="53"/>
  <c r="L167" i="53" s="1"/>
  <c r="G152" i="53"/>
  <c r="L152" i="53" s="1"/>
  <c r="G129" i="53"/>
  <c r="L129" i="53" s="1"/>
  <c r="G88" i="53"/>
  <c r="L88" i="53" s="1"/>
  <c r="G94" i="53"/>
  <c r="L94" i="53" s="1"/>
  <c r="G173" i="53"/>
  <c r="L173" i="53" s="1"/>
  <c r="G171" i="53"/>
  <c r="L171" i="53" s="1"/>
  <c r="G169" i="53"/>
  <c r="L169" i="53" s="1"/>
  <c r="G188" i="53"/>
  <c r="L188" i="53" s="1"/>
  <c r="G182" i="53"/>
  <c r="L182" i="53" s="1"/>
  <c r="G178" i="53"/>
  <c r="L178" i="53" s="1"/>
  <c r="G176" i="53"/>
  <c r="L176" i="53" s="1"/>
  <c r="G144" i="53"/>
  <c r="L144" i="53" s="1"/>
  <c r="G140" i="53"/>
  <c r="L140" i="53" s="1"/>
  <c r="G132" i="53"/>
  <c r="L132" i="53" s="1"/>
  <c r="G21" i="53"/>
  <c r="L21" i="53" s="1"/>
  <c r="G15" i="53"/>
  <c r="L15" i="53" s="1"/>
  <c r="G9" i="53"/>
  <c r="L9" i="53" s="1"/>
  <c r="G20" i="53"/>
  <c r="L20" i="53" s="1"/>
  <c r="G14" i="53"/>
  <c r="L14" i="53" s="1"/>
  <c r="G8" i="53"/>
  <c r="L8" i="53" s="1"/>
  <c r="G161" i="53"/>
  <c r="L161" i="53" s="1"/>
  <c r="G147" i="53"/>
  <c r="L147" i="53" s="1"/>
  <c r="G124" i="53"/>
  <c r="L124" i="53" s="1"/>
  <c r="G172" i="53"/>
  <c r="L172" i="53" s="1"/>
  <c r="G187" i="53"/>
  <c r="L187" i="53" s="1"/>
  <c r="G143" i="53"/>
  <c r="L143" i="53" s="1"/>
  <c r="G135" i="53"/>
  <c r="L135" i="53" s="1"/>
  <c r="G104" i="53"/>
  <c r="L104" i="53" s="1"/>
  <c r="G68" i="53"/>
  <c r="L68" i="53" s="1"/>
  <c r="G190" i="53"/>
  <c r="L190" i="53" s="1"/>
  <c r="G103" i="53"/>
  <c r="L103" i="53" s="1"/>
  <c r="G91" i="53"/>
  <c r="L91" i="53" s="1"/>
  <c r="G145" i="53"/>
  <c r="L145" i="53" s="1"/>
  <c r="G137" i="53"/>
  <c r="L137" i="53" s="1"/>
  <c r="G133" i="53"/>
  <c r="L133" i="53" s="1"/>
  <c r="G159" i="53"/>
  <c r="L159" i="53" s="1"/>
  <c r="G90" i="53"/>
  <c r="L90" i="53" s="1"/>
  <c r="G142" i="53"/>
  <c r="L142" i="53" s="1"/>
  <c r="G121" i="53"/>
  <c r="L121" i="53" s="1"/>
  <c r="G66" i="53"/>
  <c r="L66" i="53" s="1"/>
  <c r="G16" i="53"/>
  <c r="L16" i="53" s="1"/>
  <c r="G93" i="53"/>
  <c r="L93" i="53" s="1"/>
  <c r="G174" i="53"/>
  <c r="L174" i="53" s="1"/>
  <c r="G180" i="53"/>
  <c r="L180" i="53" s="1"/>
  <c r="G13" i="53"/>
  <c r="L13" i="53" s="1"/>
  <c r="G148" i="53"/>
  <c r="L148" i="53" s="1"/>
  <c r="G146" i="53"/>
  <c r="L146" i="53" s="1"/>
  <c r="G27" i="53"/>
  <c r="L27" i="53" s="1"/>
  <c r="G189" i="53"/>
  <c r="L189" i="53" s="1"/>
  <c r="G163" i="53"/>
  <c r="L163" i="53" s="1"/>
  <c r="G156" i="53"/>
  <c r="L156" i="53" s="1"/>
  <c r="G113" i="53"/>
  <c r="L113" i="53" s="1"/>
  <c r="G109" i="53"/>
  <c r="L109" i="53" s="1"/>
  <c r="G87" i="53"/>
  <c r="L87" i="53" s="1"/>
  <c r="G83" i="53"/>
  <c r="L83" i="53" s="1"/>
  <c r="G79" i="53"/>
  <c r="L79" i="53" s="1"/>
  <c r="G69" i="53"/>
  <c r="L69" i="53" s="1"/>
  <c r="G168" i="53"/>
  <c r="L168" i="53" s="1"/>
  <c r="G154" i="53"/>
  <c r="L154" i="53" s="1"/>
  <c r="G150" i="53"/>
  <c r="L150" i="53" s="1"/>
  <c r="G96" i="53"/>
  <c r="L96" i="53" s="1"/>
  <c r="G120" i="53"/>
  <c r="L120" i="53" s="1"/>
  <c r="G108" i="53"/>
  <c r="L108" i="53" s="1"/>
  <c r="G29" i="53"/>
  <c r="L29" i="53" s="1"/>
  <c r="G25" i="53"/>
  <c r="L25" i="53" s="1"/>
  <c r="G82" i="53"/>
  <c r="L82" i="53" s="1"/>
  <c r="G78" i="53"/>
  <c r="L78" i="53" s="1"/>
  <c r="G74" i="53"/>
  <c r="L74" i="53" s="1"/>
  <c r="G185" i="53"/>
  <c r="L185" i="53" s="1"/>
  <c r="G177" i="53"/>
  <c r="L177" i="53" s="1"/>
  <c r="G119" i="53"/>
  <c r="L119" i="53" s="1"/>
  <c r="G115" i="53"/>
  <c r="L115" i="53" s="1"/>
  <c r="G111" i="53"/>
  <c r="L111" i="53" s="1"/>
  <c r="G107" i="53"/>
  <c r="L107" i="53" s="1"/>
  <c r="G114" i="53"/>
  <c r="L114" i="53" s="1"/>
  <c r="G10" i="53"/>
  <c r="L10" i="53" s="1"/>
  <c r="G157" i="53"/>
  <c r="L157" i="53" s="1"/>
  <c r="G117" i="53"/>
  <c r="L117" i="53" s="1"/>
  <c r="G41" i="53"/>
  <c r="L41" i="53" s="1"/>
  <c r="G50" i="53"/>
  <c r="L50" i="53" s="1"/>
  <c r="G186" i="53"/>
  <c r="L186" i="53" s="1"/>
  <c r="G141" i="53"/>
  <c r="L141" i="53" s="1"/>
  <c r="G139" i="53"/>
  <c r="L139" i="53" s="1"/>
  <c r="G123" i="53"/>
  <c r="L123" i="53" s="1"/>
  <c r="G97" i="53"/>
  <c r="L97" i="53" s="1"/>
  <c r="G105" i="53"/>
  <c r="L105" i="53" s="1"/>
  <c r="G45" i="53"/>
  <c r="L45" i="53" s="1"/>
  <c r="G53" i="53"/>
  <c r="L53" i="53" s="1"/>
  <c r="G59" i="53"/>
  <c r="L59" i="53" s="1"/>
  <c r="G60" i="53"/>
  <c r="L60" i="53" s="1"/>
  <c r="G170" i="53"/>
  <c r="L170" i="53" s="1"/>
  <c r="G86" i="53"/>
  <c r="L86" i="53" s="1"/>
  <c r="G112" i="53"/>
  <c r="L112" i="53" s="1"/>
  <c r="G49" i="53"/>
  <c r="L49" i="53" s="1"/>
  <c r="G183" i="53"/>
  <c r="L183" i="53" s="1"/>
  <c r="G136" i="53"/>
  <c r="L136" i="53" s="1"/>
  <c r="G164" i="53"/>
  <c r="L164" i="53" s="1"/>
  <c r="G160" i="53"/>
  <c r="L160" i="53" s="1"/>
  <c r="G100" i="53"/>
  <c r="L100" i="53" s="1"/>
  <c r="G75" i="53"/>
  <c r="L75" i="53" s="1"/>
  <c r="G67" i="53"/>
  <c r="L67" i="53" s="1"/>
  <c r="G44" i="53"/>
  <c r="L44" i="53" s="1"/>
  <c r="G37" i="53"/>
  <c r="L37" i="53" s="1"/>
  <c r="G181" i="53"/>
  <c r="L181" i="53" s="1"/>
  <c r="G179" i="53"/>
  <c r="L179" i="53" s="1"/>
  <c r="G134" i="53"/>
  <c r="L134" i="53" s="1"/>
  <c r="G58" i="53"/>
  <c r="L58" i="53" s="1"/>
  <c r="G99" i="53"/>
  <c r="L99" i="53" s="1"/>
  <c r="G7" i="53"/>
  <c r="L7" i="53" s="1"/>
  <c r="G64" i="53"/>
  <c r="L64" i="53" s="1"/>
  <c r="G43" i="53"/>
  <c r="L43" i="53" s="1"/>
  <c r="G47" i="53"/>
  <c r="L47" i="53" s="1"/>
  <c r="G55" i="53"/>
  <c r="L55" i="53" s="1"/>
  <c r="G36" i="53"/>
  <c r="L36" i="53" s="1"/>
  <c r="G131" i="53"/>
  <c r="L131" i="53" s="1"/>
  <c r="G63" i="53"/>
  <c r="L63" i="53" s="1"/>
  <c r="G155" i="53"/>
  <c r="L155" i="53" s="1"/>
  <c r="G125" i="53"/>
  <c r="L125" i="53" s="1"/>
  <c r="G92" i="53"/>
  <c r="L92" i="53" s="1"/>
  <c r="G81" i="53"/>
  <c r="L81" i="53" s="1"/>
  <c r="G77" i="53"/>
  <c r="L77" i="53" s="1"/>
  <c r="G175" i="53"/>
  <c r="L175" i="53" s="1"/>
  <c r="G166" i="53"/>
  <c r="L166" i="53" s="1"/>
  <c r="G57" i="53"/>
  <c r="L57" i="53" s="1"/>
  <c r="G162" i="53"/>
  <c r="L162" i="53" s="1"/>
  <c r="G128" i="53"/>
  <c r="L128" i="53" s="1"/>
  <c r="G71" i="53"/>
  <c r="L71" i="53" s="1"/>
  <c r="G42" i="53"/>
  <c r="L42" i="53" s="1"/>
  <c r="G51" i="53"/>
  <c r="L51" i="53" s="1"/>
  <c r="G158" i="53"/>
  <c r="L158" i="53" s="1"/>
  <c r="G127" i="53"/>
  <c r="L127" i="53" s="1"/>
  <c r="G126" i="53"/>
  <c r="L126" i="53" s="1"/>
  <c r="G102" i="53"/>
  <c r="L102" i="53" s="1"/>
  <c r="G98" i="53"/>
  <c r="L98" i="53" s="1"/>
  <c r="G73" i="53"/>
  <c r="L73" i="53" s="1"/>
  <c r="G31" i="53"/>
  <c r="L31" i="53" s="1"/>
  <c r="G23" i="53"/>
  <c r="L23" i="53" s="1"/>
  <c r="G39" i="53"/>
  <c r="L39" i="53" s="1"/>
  <c r="E26" i="43"/>
  <c r="D30" i="54"/>
  <c r="C220" i="51"/>
  <c r="C221" i="51" s="1"/>
  <c r="C222" i="51" s="1"/>
  <c r="C223" i="51" s="1"/>
  <c r="C224" i="51" s="1"/>
  <c r="C225" i="51" s="1"/>
  <c r="C226" i="51" s="1"/>
  <c r="C227" i="51" s="1"/>
  <c r="C228" i="51" s="1"/>
  <c r="C229" i="51" s="1"/>
  <c r="C230" i="51" s="1"/>
  <c r="C231" i="51" s="1"/>
  <c r="C232" i="51" s="1"/>
  <c r="C233" i="51" s="1"/>
  <c r="C234" i="51" s="1"/>
  <c r="C235" i="51" s="1"/>
  <c r="C236" i="51" s="1"/>
  <c r="C237" i="51" s="1"/>
  <c r="C238" i="51" s="1"/>
  <c r="C239" i="51" s="1"/>
  <c r="C240" i="51" s="1"/>
  <c r="C241" i="51" s="1"/>
  <c r="C242" i="51" s="1"/>
  <c r="C243" i="51" s="1"/>
  <c r="C244" i="51" s="1"/>
  <c r="C245" i="51" s="1"/>
  <c r="C246" i="51" s="1"/>
  <c r="P35" i="51"/>
  <c r="P34" i="51"/>
  <c r="C79" i="51"/>
  <c r="P33" i="51"/>
  <c r="C38" i="51"/>
  <c r="C39" i="51" s="1"/>
  <c r="C40" i="51" s="1"/>
  <c r="C41" i="51" s="1"/>
  <c r="C42" i="51" s="1"/>
  <c r="C43" i="51" s="1"/>
  <c r="C44" i="51" s="1"/>
  <c r="C45" i="51" s="1"/>
  <c r="C46" i="51" s="1"/>
  <c r="C139" i="51"/>
  <c r="C140" i="51" s="1"/>
  <c r="C141" i="51" s="1"/>
  <c r="C142" i="51" s="1"/>
  <c r="C143" i="51" s="1"/>
  <c r="C144" i="51" s="1"/>
  <c r="C145" i="51" s="1"/>
  <c r="C146" i="51" s="1"/>
  <c r="A21" i="43"/>
  <c r="A26" i="43"/>
  <c r="H20" i="43"/>
  <c r="K20" i="43"/>
  <c r="H3" i="43"/>
  <c r="G3" i="43" s="1"/>
  <c r="C3" i="43"/>
  <c r="C11" i="43"/>
  <c r="H17" i="43"/>
  <c r="G17" i="43" s="1"/>
  <c r="K17" i="43"/>
  <c r="O30" i="10"/>
  <c r="P30" i="10" s="1"/>
  <c r="O568" i="10"/>
  <c r="P568" i="10" s="1"/>
  <c r="O401" i="10"/>
  <c r="P401" i="10" s="1"/>
  <c r="O530" i="10"/>
  <c r="P530" i="10" s="1"/>
  <c r="O453" i="10"/>
  <c r="P453" i="10" s="1"/>
  <c r="O391" i="10"/>
  <c r="P391" i="10" s="1"/>
  <c r="O536" i="10"/>
  <c r="P536" i="10" s="1"/>
  <c r="O63" i="10"/>
  <c r="P63" i="10" s="1"/>
  <c r="O490" i="10"/>
  <c r="P490" i="10" s="1"/>
  <c r="O436" i="10"/>
  <c r="P436" i="10" s="1"/>
  <c r="O363" i="10"/>
  <c r="P363" i="10" s="1"/>
  <c r="O576" i="10"/>
  <c r="P576" i="10" s="1"/>
  <c r="O142" i="10"/>
  <c r="P142" i="10" s="1"/>
  <c r="O230" i="10"/>
  <c r="P230" i="10" s="1"/>
  <c r="O36" i="10"/>
  <c r="P36" i="10" s="1"/>
  <c r="O118" i="10"/>
  <c r="P118" i="10" s="1"/>
  <c r="O270" i="10"/>
  <c r="P270" i="10" s="1"/>
  <c r="O100" i="10"/>
  <c r="P100" i="10" s="1"/>
  <c r="O196" i="10"/>
  <c r="P196" i="10" s="1"/>
  <c r="O558" i="10"/>
  <c r="P558" i="10" s="1"/>
  <c r="O94" i="10"/>
  <c r="P94" i="10" s="1"/>
  <c r="O478" i="10"/>
  <c r="P478" i="10" s="1"/>
  <c r="O329" i="10"/>
  <c r="P329" i="10" s="1"/>
  <c r="O152" i="10"/>
  <c r="P152" i="10" s="1"/>
  <c r="O596" i="10"/>
  <c r="P596" i="10" s="1"/>
  <c r="O272" i="10"/>
  <c r="P272" i="10" s="1"/>
  <c r="O562" i="10"/>
  <c r="P562" i="10" s="1"/>
  <c r="O434" i="10"/>
  <c r="P434" i="10" s="1"/>
  <c r="O56" i="10"/>
  <c r="P56" i="10" s="1"/>
  <c r="O531" i="10"/>
  <c r="P531" i="10" s="1"/>
  <c r="P3" i="51" l="1"/>
  <c r="P4" i="51"/>
  <c r="P6" i="51"/>
  <c r="P5" i="51"/>
  <c r="P2" i="51"/>
  <c r="R14" i="64"/>
  <c r="S14" i="64" s="1"/>
  <c r="S18" i="64" s="1"/>
  <c r="A102" i="92"/>
  <c r="E96" i="92"/>
  <c r="E44" i="92"/>
  <c r="A50" i="92"/>
  <c r="G94" i="92"/>
  <c r="G93" i="92"/>
  <c r="E94" i="92"/>
  <c r="E93" i="92"/>
  <c r="C92" i="92" s="1"/>
  <c r="K93" i="92"/>
  <c r="J92" i="92"/>
  <c r="I92" i="92" s="1"/>
  <c r="J93" i="92"/>
  <c r="I93" i="92" s="1"/>
  <c r="K92" i="92"/>
  <c r="G92" i="92"/>
  <c r="G42" i="92"/>
  <c r="G41" i="92"/>
  <c r="E42" i="92"/>
  <c r="E41" i="92"/>
  <c r="C40" i="92" s="1"/>
  <c r="K40" i="92"/>
  <c r="K41" i="92"/>
  <c r="J40" i="92"/>
  <c r="I40" i="92" s="1"/>
  <c r="G40" i="92"/>
  <c r="J41" i="92"/>
  <c r="I41" i="92" s="1"/>
  <c r="D27" i="91"/>
  <c r="B27" i="91"/>
  <c r="F34" i="91"/>
  <c r="H37" i="91"/>
  <c r="Q30" i="91"/>
  <c r="P30" i="91"/>
  <c r="O30" i="91" s="1"/>
  <c r="P31" i="91"/>
  <c r="O31" i="91" s="1"/>
  <c r="N30" i="91"/>
  <c r="M30" i="91"/>
  <c r="G31" i="91"/>
  <c r="N31" i="91"/>
  <c r="L30" i="91"/>
  <c r="M31" i="91"/>
  <c r="K30" i="91"/>
  <c r="L31" i="91"/>
  <c r="F30" i="91"/>
  <c r="K31" i="91"/>
  <c r="L1726" i="83"/>
  <c r="M1726" i="83" s="1"/>
  <c r="J1726" i="83"/>
  <c r="L1727" i="83"/>
  <c r="I1727" i="83"/>
  <c r="G1737" i="83"/>
  <c r="D1733" i="83"/>
  <c r="G1738" i="83"/>
  <c r="F1737" i="83"/>
  <c r="D1735" i="83"/>
  <c r="B1735" i="83"/>
  <c r="I1733" i="83"/>
  <c r="F1738" i="83"/>
  <c r="D1741" i="83"/>
  <c r="B1741" i="83"/>
  <c r="D1748" i="83"/>
  <c r="B1748" i="83"/>
  <c r="G1667" i="83"/>
  <c r="D1663" i="83"/>
  <c r="F1667" i="83"/>
  <c r="D1665" i="83"/>
  <c r="B1665" i="83"/>
  <c r="G1668" i="83"/>
  <c r="F1668" i="83"/>
  <c r="I1663" i="83"/>
  <c r="L1656" i="83"/>
  <c r="M1656" i="83" s="1"/>
  <c r="J1656" i="83"/>
  <c r="I1657" i="83"/>
  <c r="L1657" i="83"/>
  <c r="D1671" i="83"/>
  <c r="B1671" i="83"/>
  <c r="D1678" i="83"/>
  <c r="B1678" i="83"/>
  <c r="L1586" i="83"/>
  <c r="M1586" i="83" s="1"/>
  <c r="J1586" i="83"/>
  <c r="I1587" i="83"/>
  <c r="L1587" i="83"/>
  <c r="G1597" i="83"/>
  <c r="D1593" i="83"/>
  <c r="F1597" i="83"/>
  <c r="D1595" i="83"/>
  <c r="B1595" i="83"/>
  <c r="G1598" i="83"/>
  <c r="F1598" i="83"/>
  <c r="I1593" i="83"/>
  <c r="D1601" i="83"/>
  <c r="B1601" i="83"/>
  <c r="D1608" i="83"/>
  <c r="B1608" i="83"/>
  <c r="D1461" i="83"/>
  <c r="B1461" i="83"/>
  <c r="A1474" i="83"/>
  <c r="B1467" i="83"/>
  <c r="G1458" i="83"/>
  <c r="F1458" i="83"/>
  <c r="I1453" i="83"/>
  <c r="G1457" i="83"/>
  <c r="D1453" i="83"/>
  <c r="F1457" i="83"/>
  <c r="D1455" i="83"/>
  <c r="B1455" i="83"/>
  <c r="I1447" i="83"/>
  <c r="L1446" i="83"/>
  <c r="M1446" i="83" s="1"/>
  <c r="J1446" i="83"/>
  <c r="L1447" i="83"/>
  <c r="I1307" i="83"/>
  <c r="L1306" i="83"/>
  <c r="M1306" i="83" s="1"/>
  <c r="J1306" i="83"/>
  <c r="L1307" i="83"/>
  <c r="G1318" i="83"/>
  <c r="F1318" i="83"/>
  <c r="I1313" i="83"/>
  <c r="G1317" i="83"/>
  <c r="D1313" i="83"/>
  <c r="F1317" i="83"/>
  <c r="D1315" i="83"/>
  <c r="B1315" i="83"/>
  <c r="A1334" i="83"/>
  <c r="B1327" i="83"/>
  <c r="D1321" i="83"/>
  <c r="B1321" i="83"/>
  <c r="A1194" i="83"/>
  <c r="B1187" i="83"/>
  <c r="G1178" i="83"/>
  <c r="F1178" i="83"/>
  <c r="I1173" i="83"/>
  <c r="G1177" i="83"/>
  <c r="D1173" i="83"/>
  <c r="F1177" i="83"/>
  <c r="D1175" i="83"/>
  <c r="B1175" i="83"/>
  <c r="D1181" i="83"/>
  <c r="B1181" i="83"/>
  <c r="I1167" i="83"/>
  <c r="L1166" i="83"/>
  <c r="M1166" i="83" s="1"/>
  <c r="J1166" i="83"/>
  <c r="L1167" i="83"/>
  <c r="L1096" i="83"/>
  <c r="M1096" i="83" s="1"/>
  <c r="J1096" i="83"/>
  <c r="I1097" i="83"/>
  <c r="L1097" i="83"/>
  <c r="G1107" i="83"/>
  <c r="D1103" i="83"/>
  <c r="D1105" i="83"/>
  <c r="F1107" i="83"/>
  <c r="B1105" i="83"/>
  <c r="G1108" i="83"/>
  <c r="F1108" i="83"/>
  <c r="I1103" i="83"/>
  <c r="B1111" i="83"/>
  <c r="D1111" i="83"/>
  <c r="D1118" i="83"/>
  <c r="B1118" i="83"/>
  <c r="D1041" i="83"/>
  <c r="B1041" i="83"/>
  <c r="L1026" i="83"/>
  <c r="M1026" i="83" s="1"/>
  <c r="J1026" i="83"/>
  <c r="I1027" i="83"/>
  <c r="L1027" i="83"/>
  <c r="G1037" i="83"/>
  <c r="D1033" i="83"/>
  <c r="F1037" i="83"/>
  <c r="D1035" i="83"/>
  <c r="B1035" i="83"/>
  <c r="I1033" i="83"/>
  <c r="F1038" i="83"/>
  <c r="G1038" i="83"/>
  <c r="D1048" i="83"/>
  <c r="B1048" i="83"/>
  <c r="I957" i="83"/>
  <c r="L956" i="83"/>
  <c r="M956" i="83" s="1"/>
  <c r="J956" i="83"/>
  <c r="L957" i="83"/>
  <c r="G967" i="83"/>
  <c r="D963" i="83"/>
  <c r="F968" i="83"/>
  <c r="F967" i="83"/>
  <c r="D965" i="83"/>
  <c r="B965" i="83"/>
  <c r="I963" i="83"/>
  <c r="G968" i="83"/>
  <c r="D971" i="83"/>
  <c r="B971" i="83"/>
  <c r="D978" i="83"/>
  <c r="B978" i="83"/>
  <c r="D908" i="83"/>
  <c r="B908" i="83"/>
  <c r="L886" i="83"/>
  <c r="M886" i="83" s="1"/>
  <c r="J886" i="83"/>
  <c r="L887" i="83"/>
  <c r="I887" i="83"/>
  <c r="D901" i="83"/>
  <c r="B901" i="83"/>
  <c r="G897" i="83"/>
  <c r="D893" i="83"/>
  <c r="F897" i="83"/>
  <c r="D895" i="83"/>
  <c r="B895" i="83"/>
  <c r="I893" i="83"/>
  <c r="F898" i="83"/>
  <c r="G898" i="83"/>
  <c r="L816" i="83"/>
  <c r="M816" i="83" s="1"/>
  <c r="J816" i="83"/>
  <c r="I817" i="83"/>
  <c r="L817" i="83"/>
  <c r="G827" i="83"/>
  <c r="D823" i="83"/>
  <c r="F827" i="83"/>
  <c r="D825" i="83"/>
  <c r="B825" i="83"/>
  <c r="G828" i="83"/>
  <c r="I823" i="83"/>
  <c r="F828" i="83"/>
  <c r="D838" i="83"/>
  <c r="B838" i="83"/>
  <c r="D831" i="83"/>
  <c r="B831" i="83"/>
  <c r="L747" i="83"/>
  <c r="L746" i="83"/>
  <c r="M746" i="83" s="1"/>
  <c r="J746" i="83"/>
  <c r="I747" i="83"/>
  <c r="G757" i="83"/>
  <c r="D753" i="83"/>
  <c r="G758" i="83"/>
  <c r="F757" i="83"/>
  <c r="D755" i="83"/>
  <c r="B755" i="83"/>
  <c r="F758" i="83"/>
  <c r="I753" i="83"/>
  <c r="D768" i="83"/>
  <c r="B768" i="83"/>
  <c r="D761" i="83"/>
  <c r="B761" i="83"/>
  <c r="D691" i="83"/>
  <c r="B691" i="83"/>
  <c r="G687" i="83"/>
  <c r="D683" i="83"/>
  <c r="F687" i="83"/>
  <c r="D685" i="83"/>
  <c r="G688" i="83"/>
  <c r="B685" i="83"/>
  <c r="I683" i="83"/>
  <c r="F688" i="83"/>
  <c r="D698" i="83"/>
  <c r="B698" i="83"/>
  <c r="L676" i="83"/>
  <c r="M676" i="83" s="1"/>
  <c r="J676" i="83"/>
  <c r="L677" i="83"/>
  <c r="I677" i="83"/>
  <c r="G617" i="83"/>
  <c r="D613" i="83"/>
  <c r="F618" i="83"/>
  <c r="F617" i="83"/>
  <c r="D615" i="83"/>
  <c r="B615" i="83"/>
  <c r="G618" i="83"/>
  <c r="I613" i="83"/>
  <c r="D621" i="83"/>
  <c r="B621" i="83"/>
  <c r="D628" i="83"/>
  <c r="B628" i="83"/>
  <c r="L606" i="83"/>
  <c r="M606" i="83" s="1"/>
  <c r="J606" i="83"/>
  <c r="L607" i="83"/>
  <c r="I607" i="83"/>
  <c r="L537" i="83"/>
  <c r="L536" i="83"/>
  <c r="M536" i="83" s="1"/>
  <c r="J536" i="83"/>
  <c r="I537" i="83"/>
  <c r="G547" i="83"/>
  <c r="D543" i="83"/>
  <c r="G548" i="83"/>
  <c r="F547" i="83"/>
  <c r="D545" i="83"/>
  <c r="F548" i="83"/>
  <c r="B545" i="83"/>
  <c r="I543" i="83"/>
  <c r="D551" i="83"/>
  <c r="B551" i="83"/>
  <c r="D558" i="83"/>
  <c r="B558" i="83"/>
  <c r="L466" i="83"/>
  <c r="M466" i="83" s="1"/>
  <c r="J466" i="83"/>
  <c r="L467" i="83"/>
  <c r="I467" i="83"/>
  <c r="D481" i="83"/>
  <c r="B481" i="83"/>
  <c r="D488" i="83"/>
  <c r="B488" i="83"/>
  <c r="G477" i="83"/>
  <c r="D473" i="83"/>
  <c r="F477" i="83"/>
  <c r="D475" i="83"/>
  <c r="B475" i="83"/>
  <c r="I473" i="83"/>
  <c r="G478" i="83"/>
  <c r="F478" i="83"/>
  <c r="L396" i="83"/>
  <c r="M396" i="83" s="1"/>
  <c r="J396" i="83"/>
  <c r="I397" i="83"/>
  <c r="L397" i="83"/>
  <c r="G407" i="83"/>
  <c r="D403" i="83"/>
  <c r="F407" i="83"/>
  <c r="D405" i="83"/>
  <c r="B405" i="83"/>
  <c r="F408" i="83"/>
  <c r="G408" i="83"/>
  <c r="I403" i="83"/>
  <c r="D411" i="83"/>
  <c r="B411" i="83"/>
  <c r="B418" i="83"/>
  <c r="D418" i="83"/>
  <c r="L326" i="83"/>
  <c r="M326" i="83" s="1"/>
  <c r="I327" i="83"/>
  <c r="J326" i="83"/>
  <c r="L327" i="83"/>
  <c r="D341" i="83"/>
  <c r="B341" i="83"/>
  <c r="B348" i="83"/>
  <c r="D348" i="83"/>
  <c r="G337" i="83"/>
  <c r="D333" i="83"/>
  <c r="F337" i="83"/>
  <c r="D335" i="83"/>
  <c r="B335" i="83"/>
  <c r="F338" i="83"/>
  <c r="I333" i="83"/>
  <c r="G338" i="83"/>
  <c r="J41" i="88"/>
  <c r="I41" i="88" s="1"/>
  <c r="J40" i="88"/>
  <c r="I40" i="88" s="1"/>
  <c r="J18" i="43"/>
  <c r="J17" i="43"/>
  <c r="G6" i="43"/>
  <c r="J22" i="43"/>
  <c r="J20" i="43"/>
  <c r="G22" i="43"/>
  <c r="G20" i="43"/>
  <c r="G42" i="88"/>
  <c r="E42" i="88"/>
  <c r="K41" i="88"/>
  <c r="G41" i="88"/>
  <c r="E41" i="88"/>
  <c r="C40" i="88" s="1"/>
  <c r="K40" i="88"/>
  <c r="G40" i="88"/>
  <c r="E44" i="88"/>
  <c r="A50" i="88"/>
  <c r="B25" i="86"/>
  <c r="M29" i="86"/>
  <c r="L28" i="86"/>
  <c r="K28" i="86"/>
  <c r="F28" i="86"/>
  <c r="Q29" i="86"/>
  <c r="P29" i="86" s="1"/>
  <c r="O29" i="86"/>
  <c r="N29" i="86" s="1"/>
  <c r="G29" i="86"/>
  <c r="D28" i="86" s="1"/>
  <c r="R28" i="86"/>
  <c r="Q28" i="86"/>
  <c r="P28" i="86" s="1"/>
  <c r="O28" i="86"/>
  <c r="N28" i="86" s="1"/>
  <c r="M28" i="86"/>
  <c r="K29" i="86"/>
  <c r="L29" i="86"/>
  <c r="A35" i="86"/>
  <c r="F32" i="86"/>
  <c r="G18" i="43"/>
  <c r="L30" i="54"/>
  <c r="L40" i="54" s="1"/>
  <c r="G34" i="53"/>
  <c r="L34" i="53" s="1"/>
  <c r="K30" i="54"/>
  <c r="K40" i="54" s="1"/>
  <c r="L33" i="53"/>
  <c r="K41" i="54"/>
  <c r="G31" i="50"/>
  <c r="G32" i="50" s="1"/>
  <c r="G33" i="50" s="1"/>
  <c r="G34" i="50" s="1"/>
  <c r="G35" i="50" s="1"/>
  <c r="G36" i="50" s="1"/>
  <c r="G37" i="50" s="1"/>
  <c r="G38" i="50" s="1"/>
  <c r="G39" i="50" s="1"/>
  <c r="G40" i="50" s="1"/>
  <c r="H31" i="50"/>
  <c r="H32" i="50" s="1"/>
  <c r="H33" i="50" s="1"/>
  <c r="H34" i="50" s="1"/>
  <c r="H35" i="50" s="1"/>
  <c r="H36" i="50" s="1"/>
  <c r="H37" i="50" s="1"/>
  <c r="H38" i="50" s="1"/>
  <c r="H39" i="50" s="1"/>
  <c r="H40" i="50" s="1"/>
  <c r="P31" i="51"/>
  <c r="P25" i="51"/>
  <c r="P24" i="51"/>
  <c r="P22" i="51"/>
  <c r="C80" i="51"/>
  <c r="P23" i="51"/>
  <c r="P21" i="51"/>
  <c r="P32" i="51"/>
  <c r="K3" i="43"/>
  <c r="J3" i="43" s="1"/>
  <c r="G499" i="12"/>
  <c r="E499" i="12"/>
  <c r="G689" i="12"/>
  <c r="E689" i="12"/>
  <c r="G652" i="12"/>
  <c r="E652" i="12"/>
  <c r="G677" i="12"/>
  <c r="E677" i="12"/>
  <c r="G623" i="12"/>
  <c r="E623" i="12"/>
  <c r="G608" i="12"/>
  <c r="E608" i="12"/>
  <c r="G609" i="12"/>
  <c r="E609" i="12"/>
  <c r="G712" i="12"/>
  <c r="E712" i="12"/>
  <c r="G664" i="12"/>
  <c r="E664" i="12"/>
  <c r="G634" i="12"/>
  <c r="E634" i="12"/>
  <c r="G571" i="12"/>
  <c r="E571" i="12"/>
  <c r="G524" i="12"/>
  <c r="E524" i="12"/>
  <c r="G687" i="12"/>
  <c r="E687" i="12"/>
  <c r="G684" i="12"/>
  <c r="E684" i="12"/>
  <c r="G619" i="12"/>
  <c r="G717" i="12"/>
  <c r="E619" i="12"/>
  <c r="E717" i="12"/>
  <c r="G395" i="12"/>
  <c r="E395" i="12"/>
  <c r="G522" i="12"/>
  <c r="E522" i="12"/>
  <c r="G77" i="12"/>
  <c r="E77" i="12"/>
  <c r="G686" i="12"/>
  <c r="E686" i="12"/>
  <c r="G725" i="12"/>
  <c r="E725" i="12"/>
  <c r="G585" i="12"/>
  <c r="E585" i="12"/>
  <c r="G597" i="12"/>
  <c r="E597" i="12"/>
  <c r="G636" i="12"/>
  <c r="E636" i="12"/>
  <c r="G662" i="12"/>
  <c r="E662" i="12"/>
  <c r="G653" i="12"/>
  <c r="E653" i="12"/>
  <c r="G718" i="12"/>
  <c r="E718" i="12"/>
  <c r="G498" i="12"/>
  <c r="E498" i="12"/>
  <c r="G721" i="12"/>
  <c r="E721" i="12"/>
  <c r="G576" i="12"/>
  <c r="E576" i="12"/>
  <c r="G489" i="12"/>
  <c r="E489" i="12"/>
  <c r="G714" i="12"/>
  <c r="E714" i="12"/>
  <c r="G605" i="12"/>
  <c r="E605" i="12"/>
  <c r="G519" i="12"/>
  <c r="E519" i="12"/>
  <c r="G611" i="12"/>
  <c r="E611" i="12"/>
  <c r="G559" i="12"/>
  <c r="E559" i="12"/>
  <c r="G514" i="12"/>
  <c r="E514" i="12"/>
  <c r="G702" i="12"/>
  <c r="E702" i="12"/>
  <c r="G620" i="12"/>
  <c r="E620" i="12"/>
  <c r="G610" i="12"/>
  <c r="E610" i="12"/>
  <c r="G526" i="12"/>
  <c r="E526" i="12"/>
  <c r="G582" i="12"/>
  <c r="E582" i="12"/>
  <c r="G625" i="12"/>
  <c r="E625" i="12"/>
  <c r="G685" i="12"/>
  <c r="E685" i="12"/>
  <c r="G487" i="12"/>
  <c r="E487" i="12"/>
  <c r="G723" i="12"/>
  <c r="E723" i="12"/>
  <c r="G560" i="12"/>
  <c r="E560" i="12"/>
  <c r="G692" i="12"/>
  <c r="E692" i="12"/>
  <c r="G502" i="12"/>
  <c r="E502" i="12"/>
  <c r="G569" i="12"/>
  <c r="E569" i="12"/>
  <c r="G493" i="12"/>
  <c r="E493" i="12"/>
  <c r="G631" i="12"/>
  <c r="E631" i="12"/>
  <c r="G579" i="12"/>
  <c r="E579" i="12"/>
  <c r="G439" i="12"/>
  <c r="G703" i="12"/>
  <c r="E703" i="12"/>
  <c r="E439" i="12"/>
  <c r="G601" i="12"/>
  <c r="E601" i="12"/>
  <c r="G657" i="12"/>
  <c r="E657" i="12"/>
  <c r="G656" i="12"/>
  <c r="E656" i="12"/>
  <c r="G655" i="12"/>
  <c r="E655" i="12"/>
  <c r="G588" i="12"/>
  <c r="E588" i="12"/>
  <c r="G708" i="12"/>
  <c r="E708" i="12"/>
  <c r="G669" i="12"/>
  <c r="E669" i="12"/>
  <c r="G551" i="12"/>
  <c r="E551" i="12"/>
  <c r="G722" i="12"/>
  <c r="E722" i="12"/>
  <c r="G665" i="12"/>
  <c r="E665" i="12"/>
  <c r="G505" i="12"/>
  <c r="E505" i="12"/>
  <c r="G590" i="12"/>
  <c r="E590" i="12"/>
  <c r="G541" i="12"/>
  <c r="E541" i="12"/>
  <c r="G607" i="12"/>
  <c r="E607" i="12"/>
  <c r="G540" i="12"/>
  <c r="E540" i="12"/>
  <c r="G592" i="12"/>
  <c r="E592" i="12"/>
  <c r="G536" i="12"/>
  <c r="E536" i="12"/>
  <c r="G635" i="12"/>
  <c r="E635" i="12"/>
  <c r="G530" i="12"/>
  <c r="E530" i="12"/>
  <c r="G640" i="12"/>
  <c r="E640" i="12"/>
  <c r="G598" i="12"/>
  <c r="E598" i="12"/>
  <c r="G649" i="12"/>
  <c r="E649" i="12"/>
  <c r="G700" i="12"/>
  <c r="E700" i="12"/>
  <c r="G618" i="12"/>
  <c r="E618" i="12"/>
  <c r="E484" i="12"/>
  <c r="G706" i="12"/>
  <c r="E706" i="12"/>
  <c r="G651" i="12"/>
  <c r="E651" i="12"/>
  <c r="G719" i="12"/>
  <c r="E719" i="12"/>
  <c r="G507" i="12"/>
  <c r="E507" i="12"/>
  <c r="G658" i="12"/>
  <c r="E658" i="12"/>
  <c r="G544" i="12"/>
  <c r="E544" i="12"/>
  <c r="G707" i="12"/>
  <c r="E707" i="12"/>
  <c r="G570" i="12"/>
  <c r="E570" i="12"/>
  <c r="G494" i="12"/>
  <c r="E494" i="12"/>
  <c r="G3" i="12"/>
  <c r="G4" i="12"/>
  <c r="G5" i="12"/>
  <c r="G6" i="12"/>
  <c r="G7" i="12"/>
  <c r="G8" i="12"/>
  <c r="G9" i="12"/>
  <c r="G10" i="12"/>
  <c r="G11" i="12"/>
  <c r="G12" i="12"/>
  <c r="G13" i="12"/>
  <c r="G14" i="12"/>
  <c r="G15" i="12"/>
  <c r="G16" i="12"/>
  <c r="G17" i="12"/>
  <c r="G18" i="12"/>
  <c r="G19" i="12"/>
  <c r="G20" i="12"/>
  <c r="G21" i="12"/>
  <c r="G22" i="12"/>
  <c r="G23" i="12"/>
  <c r="G24" i="12"/>
  <c r="G26" i="12"/>
  <c r="G27" i="12"/>
  <c r="G28" i="12"/>
  <c r="G29" i="12"/>
  <c r="G30" i="12"/>
  <c r="G31" i="12"/>
  <c r="G32" i="12"/>
  <c r="G33" i="12"/>
  <c r="G34" i="12"/>
  <c r="G35" i="12"/>
  <c r="G36" i="12"/>
  <c r="G37" i="12"/>
  <c r="G38" i="12"/>
  <c r="G39" i="12"/>
  <c r="G40" i="12"/>
  <c r="G41" i="12"/>
  <c r="G42" i="12"/>
  <c r="G43" i="12"/>
  <c r="G44" i="12"/>
  <c r="G45" i="12"/>
  <c r="G46" i="12"/>
  <c r="G47" i="12"/>
  <c r="G48" i="12"/>
  <c r="G49" i="12"/>
  <c r="G50" i="12"/>
  <c r="G51" i="12"/>
  <c r="G52" i="12"/>
  <c r="G53" i="12"/>
  <c r="G54" i="12"/>
  <c r="G55" i="12"/>
  <c r="G56" i="12"/>
  <c r="G57" i="12"/>
  <c r="G58" i="12"/>
  <c r="G59" i="12"/>
  <c r="G60" i="12"/>
  <c r="G61" i="12"/>
  <c r="G62" i="12"/>
  <c r="G63" i="12"/>
  <c r="G64" i="12"/>
  <c r="G65" i="12"/>
  <c r="G66" i="12"/>
  <c r="G67" i="12"/>
  <c r="G68" i="12"/>
  <c r="G69" i="12"/>
  <c r="G70" i="12"/>
  <c r="G71" i="12"/>
  <c r="G72" i="12"/>
  <c r="G73" i="12"/>
  <c r="G74" i="12"/>
  <c r="G75" i="12"/>
  <c r="G76" i="12"/>
  <c r="G78" i="12"/>
  <c r="G79" i="12"/>
  <c r="G80" i="12"/>
  <c r="G81" i="12"/>
  <c r="G82" i="12"/>
  <c r="G83" i="12"/>
  <c r="G84" i="12"/>
  <c r="G85" i="12"/>
  <c r="G86" i="12"/>
  <c r="G87" i="12"/>
  <c r="G88" i="12"/>
  <c r="G89" i="12"/>
  <c r="G90" i="12"/>
  <c r="G91" i="12"/>
  <c r="G92" i="12"/>
  <c r="G93" i="12"/>
  <c r="G94" i="12"/>
  <c r="G95" i="12"/>
  <c r="G96" i="12"/>
  <c r="G97" i="12"/>
  <c r="G98" i="12"/>
  <c r="G99" i="12"/>
  <c r="G100" i="12"/>
  <c r="G101" i="12"/>
  <c r="G102" i="12"/>
  <c r="G103" i="12"/>
  <c r="G104" i="12"/>
  <c r="G105" i="12"/>
  <c r="G106" i="12"/>
  <c r="G107" i="12"/>
  <c r="G108" i="12"/>
  <c r="G109" i="12"/>
  <c r="G110" i="12"/>
  <c r="G111" i="12"/>
  <c r="G112" i="12"/>
  <c r="G113" i="12"/>
  <c r="G114" i="12"/>
  <c r="G115" i="12"/>
  <c r="G116" i="12"/>
  <c r="G117" i="12"/>
  <c r="G118" i="12"/>
  <c r="G119" i="12"/>
  <c r="G120" i="12"/>
  <c r="G121" i="12"/>
  <c r="G122" i="12"/>
  <c r="G123" i="12"/>
  <c r="G124" i="12"/>
  <c r="G125" i="12"/>
  <c r="G126" i="12"/>
  <c r="G127" i="12"/>
  <c r="G128" i="12"/>
  <c r="G129" i="12"/>
  <c r="G130" i="12"/>
  <c r="G131" i="12"/>
  <c r="G132" i="12"/>
  <c r="G133" i="12"/>
  <c r="G134" i="12"/>
  <c r="G135" i="12"/>
  <c r="G136" i="12"/>
  <c r="G137" i="12"/>
  <c r="G138" i="12"/>
  <c r="G139" i="12"/>
  <c r="G140" i="12"/>
  <c r="G141" i="12"/>
  <c r="G142" i="12"/>
  <c r="G143" i="12"/>
  <c r="G144" i="12"/>
  <c r="G145" i="12"/>
  <c r="G146" i="12"/>
  <c r="G147" i="12"/>
  <c r="G148" i="12"/>
  <c r="G149" i="12"/>
  <c r="G150" i="12"/>
  <c r="G151" i="12"/>
  <c r="G152" i="12"/>
  <c r="G153" i="12"/>
  <c r="G154" i="12"/>
  <c r="G155" i="12"/>
  <c r="G156" i="12"/>
  <c r="G157" i="12"/>
  <c r="G158" i="12"/>
  <c r="G159" i="12"/>
  <c r="G160" i="12"/>
  <c r="G161" i="12"/>
  <c r="G162" i="12"/>
  <c r="G163" i="12"/>
  <c r="G164" i="12"/>
  <c r="G165" i="12"/>
  <c r="G166" i="12"/>
  <c r="G167" i="12"/>
  <c r="G168" i="12"/>
  <c r="G169" i="12"/>
  <c r="G170" i="12"/>
  <c r="G171" i="12"/>
  <c r="G172" i="12"/>
  <c r="G173" i="12"/>
  <c r="G174" i="12"/>
  <c r="G175" i="12"/>
  <c r="G176" i="12"/>
  <c r="G177" i="12"/>
  <c r="G178" i="12"/>
  <c r="G179" i="12"/>
  <c r="G180" i="12"/>
  <c r="G181" i="12"/>
  <c r="G182" i="12"/>
  <c r="G183" i="12"/>
  <c r="G184" i="12"/>
  <c r="G185" i="12"/>
  <c r="G186" i="12"/>
  <c r="G187" i="12"/>
  <c r="G188" i="12"/>
  <c r="G189" i="12"/>
  <c r="G190" i="12"/>
  <c r="G191" i="12"/>
  <c r="G192" i="12"/>
  <c r="G193" i="12"/>
  <c r="G194" i="12"/>
  <c r="G195" i="12"/>
  <c r="G196" i="12"/>
  <c r="G197" i="12"/>
  <c r="G198" i="12"/>
  <c r="G199" i="12"/>
  <c r="G200" i="12"/>
  <c r="G201" i="12"/>
  <c r="G202" i="12"/>
  <c r="G203" i="12"/>
  <c r="G204" i="12"/>
  <c r="G205" i="12"/>
  <c r="G206" i="12"/>
  <c r="G207" i="12"/>
  <c r="G208" i="12"/>
  <c r="G209" i="12"/>
  <c r="G210" i="12"/>
  <c r="G211" i="12"/>
  <c r="G212" i="12"/>
  <c r="G213" i="12"/>
  <c r="G214" i="12"/>
  <c r="G215" i="12"/>
  <c r="G216" i="12"/>
  <c r="G217" i="12"/>
  <c r="G218" i="12"/>
  <c r="G219" i="12"/>
  <c r="G220" i="12"/>
  <c r="G221" i="12"/>
  <c r="G222" i="12"/>
  <c r="G223" i="12"/>
  <c r="G224" i="12"/>
  <c r="G225" i="12"/>
  <c r="G226" i="12"/>
  <c r="G227" i="12"/>
  <c r="G228" i="12"/>
  <c r="G229" i="12"/>
  <c r="G230" i="12"/>
  <c r="G231" i="12"/>
  <c r="G232" i="12"/>
  <c r="G233" i="12"/>
  <c r="G234" i="12"/>
  <c r="G235" i="12"/>
  <c r="G236" i="12"/>
  <c r="G237" i="12"/>
  <c r="G238" i="12"/>
  <c r="G239" i="12"/>
  <c r="G240" i="12"/>
  <c r="G241" i="12"/>
  <c r="G242" i="12"/>
  <c r="G243" i="12"/>
  <c r="G244" i="12"/>
  <c r="G245" i="12"/>
  <c r="G246" i="12"/>
  <c r="G247" i="12"/>
  <c r="G248" i="12"/>
  <c r="G249" i="12"/>
  <c r="G250" i="12"/>
  <c r="G251" i="12"/>
  <c r="G252" i="12"/>
  <c r="G253" i="12"/>
  <c r="G254" i="12"/>
  <c r="G255" i="12"/>
  <c r="G256" i="12"/>
  <c r="G257" i="12"/>
  <c r="G258" i="12"/>
  <c r="G259" i="12"/>
  <c r="G260" i="12"/>
  <c r="G261" i="12"/>
  <c r="G262" i="12"/>
  <c r="G263" i="12"/>
  <c r="G264" i="12"/>
  <c r="G265" i="12"/>
  <c r="G266" i="12"/>
  <c r="G267" i="12"/>
  <c r="G268" i="12"/>
  <c r="G269" i="12"/>
  <c r="G270" i="12"/>
  <c r="G271" i="12"/>
  <c r="G272" i="12"/>
  <c r="G273" i="12"/>
  <c r="G274" i="12"/>
  <c r="G275" i="12"/>
  <c r="G276" i="12"/>
  <c r="G277" i="12"/>
  <c r="G278" i="12"/>
  <c r="G279" i="12"/>
  <c r="G280" i="12"/>
  <c r="G281" i="12"/>
  <c r="G282" i="12"/>
  <c r="G283" i="12"/>
  <c r="G284" i="12"/>
  <c r="G285" i="12"/>
  <c r="G286" i="12"/>
  <c r="G287" i="12"/>
  <c r="G288" i="12"/>
  <c r="G289" i="12"/>
  <c r="G290" i="12"/>
  <c r="G291" i="12"/>
  <c r="G292" i="12"/>
  <c r="G293" i="12"/>
  <c r="G294" i="12"/>
  <c r="G295" i="12"/>
  <c r="G296" i="12"/>
  <c r="G297" i="12"/>
  <c r="G298" i="12"/>
  <c r="G299" i="12"/>
  <c r="G300" i="12"/>
  <c r="G301" i="12"/>
  <c r="G302" i="12"/>
  <c r="G303" i="12"/>
  <c r="G304" i="12"/>
  <c r="G305" i="12"/>
  <c r="G306" i="12"/>
  <c r="G307" i="12"/>
  <c r="G308" i="12"/>
  <c r="G309" i="12"/>
  <c r="G310" i="12"/>
  <c r="G311" i="12"/>
  <c r="G312" i="12"/>
  <c r="G313" i="12"/>
  <c r="G314" i="12"/>
  <c r="G315" i="12"/>
  <c r="G316" i="12"/>
  <c r="G317" i="12"/>
  <c r="G318" i="12"/>
  <c r="G319" i="12"/>
  <c r="G320" i="12"/>
  <c r="G321" i="12"/>
  <c r="G322" i="12"/>
  <c r="G323" i="12"/>
  <c r="G324" i="12"/>
  <c r="G325" i="12"/>
  <c r="G326" i="12"/>
  <c r="G327" i="12"/>
  <c r="G328" i="12"/>
  <c r="G329" i="12"/>
  <c r="G330" i="12"/>
  <c r="G331" i="12"/>
  <c r="G332" i="12"/>
  <c r="G333" i="12"/>
  <c r="G334" i="12"/>
  <c r="G335" i="12"/>
  <c r="G336" i="12"/>
  <c r="G337" i="12"/>
  <c r="G338" i="12"/>
  <c r="G339" i="12"/>
  <c r="G340" i="12"/>
  <c r="G341" i="12"/>
  <c r="G342" i="12"/>
  <c r="G343" i="12"/>
  <c r="G344" i="12"/>
  <c r="G345" i="12"/>
  <c r="G346" i="12"/>
  <c r="G347" i="12"/>
  <c r="G348" i="12"/>
  <c r="G349" i="12"/>
  <c r="G350" i="12"/>
  <c r="G351" i="12"/>
  <c r="G352" i="12"/>
  <c r="G353" i="12"/>
  <c r="G354" i="12"/>
  <c r="G355" i="12"/>
  <c r="G356" i="12"/>
  <c r="G357" i="12"/>
  <c r="G358" i="12"/>
  <c r="G359" i="12"/>
  <c r="G360" i="12"/>
  <c r="G361" i="12"/>
  <c r="G362" i="12"/>
  <c r="G363" i="12"/>
  <c r="G364" i="12"/>
  <c r="G365" i="12"/>
  <c r="G366" i="12"/>
  <c r="G367" i="12"/>
  <c r="G368" i="12"/>
  <c r="G369" i="12"/>
  <c r="G370" i="12"/>
  <c r="G371" i="12"/>
  <c r="G372" i="12"/>
  <c r="G373" i="12"/>
  <c r="G374" i="12"/>
  <c r="G375" i="12"/>
  <c r="G376" i="12"/>
  <c r="G377" i="12"/>
  <c r="G378" i="12"/>
  <c r="G379" i="12"/>
  <c r="G380" i="12"/>
  <c r="G381" i="12"/>
  <c r="G382" i="12"/>
  <c r="G383" i="12"/>
  <c r="G384" i="12"/>
  <c r="G385" i="12"/>
  <c r="G386" i="12"/>
  <c r="G387" i="12"/>
  <c r="G388" i="12"/>
  <c r="G389" i="12"/>
  <c r="G390" i="12"/>
  <c r="G391" i="12"/>
  <c r="G392" i="12"/>
  <c r="G393" i="12"/>
  <c r="G394" i="12"/>
  <c r="G396" i="12"/>
  <c r="G397" i="12"/>
  <c r="G398" i="12"/>
  <c r="G399" i="12"/>
  <c r="G400" i="12"/>
  <c r="G401" i="12"/>
  <c r="G402" i="12"/>
  <c r="G403" i="12"/>
  <c r="G404" i="12"/>
  <c r="G405" i="12"/>
  <c r="G406" i="12"/>
  <c r="G407" i="12"/>
  <c r="G408" i="12"/>
  <c r="G409" i="12"/>
  <c r="G410" i="12"/>
  <c r="G411" i="12"/>
  <c r="G412" i="12"/>
  <c r="G413" i="12"/>
  <c r="G414" i="12"/>
  <c r="G415" i="12"/>
  <c r="G416" i="12"/>
  <c r="G417" i="12"/>
  <c r="G418" i="12"/>
  <c r="G419" i="12"/>
  <c r="G420" i="12"/>
  <c r="G421" i="12"/>
  <c r="G422" i="12"/>
  <c r="G423" i="12"/>
  <c r="G424" i="12"/>
  <c r="G425" i="12"/>
  <c r="G426" i="12"/>
  <c r="G427" i="12"/>
  <c r="G428" i="12"/>
  <c r="G429" i="12"/>
  <c r="G430" i="12"/>
  <c r="G431" i="12"/>
  <c r="G432" i="12"/>
  <c r="G433" i="12"/>
  <c r="G435" i="12"/>
  <c r="G436" i="12"/>
  <c r="G437" i="12"/>
  <c r="G438" i="12"/>
  <c r="G440" i="12"/>
  <c r="G441" i="12"/>
  <c r="G442" i="12"/>
  <c r="G443" i="12"/>
  <c r="G444" i="12"/>
  <c r="G445" i="12"/>
  <c r="G446" i="12"/>
  <c r="G447" i="12"/>
  <c r="G448" i="12"/>
  <c r="G449" i="12"/>
  <c r="G450" i="12"/>
  <c r="G451" i="12"/>
  <c r="G452" i="12"/>
  <c r="G453" i="12"/>
  <c r="G454" i="12"/>
  <c r="G455" i="12"/>
  <c r="G456" i="12"/>
  <c r="G457" i="12"/>
  <c r="G458" i="12"/>
  <c r="G459" i="12"/>
  <c r="G460" i="12"/>
  <c r="G461" i="12"/>
  <c r="G462" i="12"/>
  <c r="G463" i="12"/>
  <c r="G465" i="12"/>
  <c r="G466" i="12"/>
  <c r="G467" i="12"/>
  <c r="G468" i="12"/>
  <c r="G469" i="12"/>
  <c r="G470" i="12"/>
  <c r="G471" i="12"/>
  <c r="G472" i="12"/>
  <c r="G473" i="12"/>
  <c r="G474" i="12"/>
  <c r="G475" i="12"/>
  <c r="G476" i="12"/>
  <c r="G477" i="12"/>
  <c r="G478" i="12"/>
  <c r="G479" i="12"/>
  <c r="G480" i="12"/>
  <c r="G481" i="12"/>
  <c r="G482" i="12"/>
  <c r="G485" i="12"/>
  <c r="G486" i="12"/>
  <c r="G488" i="12"/>
  <c r="G490" i="12"/>
  <c r="G491" i="12"/>
  <c r="G492" i="12"/>
  <c r="G495" i="12"/>
  <c r="G496" i="12"/>
  <c r="G25" i="12"/>
  <c r="G497" i="12"/>
  <c r="G500" i="12"/>
  <c r="G501" i="12"/>
  <c r="G503" i="12"/>
  <c r="G504" i="12"/>
  <c r="G506" i="12"/>
  <c r="G508" i="12"/>
  <c r="G509" i="12"/>
  <c r="G510" i="12"/>
  <c r="G511" i="12"/>
  <c r="G512" i="12"/>
  <c r="G513" i="12"/>
  <c r="G515" i="12"/>
  <c r="G516" i="12"/>
  <c r="G517" i="12"/>
  <c r="G518" i="12"/>
  <c r="G520" i="12"/>
  <c r="G521" i="12"/>
  <c r="G523" i="12"/>
  <c r="G525" i="12"/>
  <c r="G594" i="12"/>
  <c r="G528" i="12"/>
  <c r="G529" i="12"/>
  <c r="G534" i="12"/>
  <c r="G535" i="12"/>
  <c r="G537" i="12"/>
  <c r="G538" i="12"/>
  <c r="G539" i="12"/>
  <c r="G542" i="12"/>
  <c r="G543" i="12"/>
  <c r="G545" i="12"/>
  <c r="G546" i="12"/>
  <c r="G621" i="12"/>
  <c r="G547" i="12"/>
  <c r="G548" i="12"/>
  <c r="G549" i="12"/>
  <c r="G550" i="12"/>
  <c r="G552" i="12"/>
  <c r="G553" i="12"/>
  <c r="G555" i="12"/>
  <c r="G556" i="12"/>
  <c r="G557" i="12"/>
  <c r="G558" i="12"/>
  <c r="G561" i="12"/>
  <c r="G562" i="12"/>
  <c r="G563" i="12"/>
  <c r="G564" i="12"/>
  <c r="G565" i="12"/>
  <c r="G566" i="12"/>
  <c r="G567" i="12"/>
  <c r="G568" i="12"/>
  <c r="G572" i="12"/>
  <c r="G573" i="12"/>
  <c r="G574" i="12"/>
  <c r="G575" i="12"/>
  <c r="G577" i="12"/>
  <c r="G578" i="12"/>
  <c r="G580" i="12"/>
  <c r="G581" i="12"/>
  <c r="G583" i="12"/>
  <c r="G659" i="12"/>
  <c r="G531" i="12"/>
  <c r="G532" i="12"/>
  <c r="G584" i="12"/>
  <c r="G586" i="12"/>
  <c r="G587" i="12"/>
  <c r="G589" i="12"/>
  <c r="G591" i="12"/>
  <c r="G593" i="12"/>
  <c r="G595" i="12"/>
  <c r="G596" i="12"/>
  <c r="G599" i="12"/>
  <c r="G600" i="12"/>
  <c r="G602" i="12"/>
  <c r="G603" i="12"/>
  <c r="G604" i="12"/>
  <c r="G606" i="12"/>
  <c r="G612" i="12"/>
  <c r="G613" i="12"/>
  <c r="G614" i="12"/>
  <c r="G615" i="12"/>
  <c r="G616" i="12"/>
  <c r="G617" i="12"/>
  <c r="G622" i="12"/>
  <c r="G624" i="12"/>
  <c r="G626" i="12"/>
  <c r="G627" i="12"/>
  <c r="G628" i="12"/>
  <c r="G629" i="12"/>
  <c r="G630" i="12"/>
  <c r="G632" i="12"/>
  <c r="G633" i="12"/>
  <c r="G637" i="12"/>
  <c r="G638" i="12"/>
  <c r="G639" i="12"/>
  <c r="G641" i="12"/>
  <c r="G642" i="12"/>
  <c r="G643" i="12"/>
  <c r="G645" i="12"/>
  <c r="G646" i="12"/>
  <c r="G647" i="12"/>
  <c r="G648" i="12"/>
  <c r="G650" i="12"/>
  <c r="G654" i="12"/>
  <c r="G660" i="12"/>
  <c r="G661" i="12"/>
  <c r="G663" i="12"/>
  <c r="G666" i="12"/>
  <c r="G667" i="12"/>
  <c r="G670" i="12"/>
  <c r="G671" i="12"/>
  <c r="G672" i="12"/>
  <c r="G673" i="12"/>
  <c r="G674" i="12"/>
  <c r="G675" i="12"/>
  <c r="G676" i="12"/>
  <c r="G678" i="12"/>
  <c r="G679" i="12"/>
  <c r="G680" i="12"/>
  <c r="G681" i="12"/>
  <c r="G682" i="12"/>
  <c r="G688" i="12"/>
  <c r="G690" i="12"/>
  <c r="G533" i="12"/>
  <c r="G693" i="12"/>
  <c r="G694" i="12"/>
  <c r="G695" i="12"/>
  <c r="G696" i="12"/>
  <c r="G697" i="12"/>
  <c r="G698" i="12"/>
  <c r="G527" i="12"/>
  <c r="G701" i="12"/>
  <c r="G704" i="12"/>
  <c r="G705" i="12"/>
  <c r="G709" i="12"/>
  <c r="G710" i="12"/>
  <c r="G711" i="12"/>
  <c r="G464" i="12"/>
  <c r="G713" i="12"/>
  <c r="G715" i="12"/>
  <c r="G716" i="12"/>
  <c r="G720" i="12"/>
  <c r="G724" i="12"/>
  <c r="G2" i="12"/>
  <c r="E260" i="12"/>
  <c r="E261" i="12"/>
  <c r="E262" i="12"/>
  <c r="E263" i="12"/>
  <c r="E264" i="12"/>
  <c r="E265" i="12"/>
  <c r="E266" i="12"/>
  <c r="E267" i="12"/>
  <c r="E268" i="12"/>
  <c r="E269" i="12"/>
  <c r="E270" i="12"/>
  <c r="E271" i="12"/>
  <c r="E272" i="12"/>
  <c r="E273" i="12"/>
  <c r="E274" i="12"/>
  <c r="E275" i="12"/>
  <c r="E276" i="12"/>
  <c r="E277" i="12"/>
  <c r="E278" i="12"/>
  <c r="E279" i="12"/>
  <c r="E280" i="12"/>
  <c r="E281" i="12"/>
  <c r="E282" i="12"/>
  <c r="E283" i="12"/>
  <c r="E284" i="12"/>
  <c r="E285" i="12"/>
  <c r="E286" i="12"/>
  <c r="E287" i="12"/>
  <c r="E288" i="12"/>
  <c r="E289" i="12"/>
  <c r="E290" i="12"/>
  <c r="E291" i="12"/>
  <c r="E292" i="12"/>
  <c r="E293" i="12"/>
  <c r="E294" i="12"/>
  <c r="E295" i="12"/>
  <c r="E296" i="12"/>
  <c r="E297" i="12"/>
  <c r="E298" i="12"/>
  <c r="E299" i="12"/>
  <c r="E300" i="12"/>
  <c r="E301" i="12"/>
  <c r="E302" i="12"/>
  <c r="E303" i="12"/>
  <c r="E304" i="12"/>
  <c r="E305" i="12"/>
  <c r="E306" i="12"/>
  <c r="E307" i="12"/>
  <c r="E308" i="12"/>
  <c r="E309" i="12"/>
  <c r="E310" i="12"/>
  <c r="E311" i="12"/>
  <c r="E312" i="12"/>
  <c r="E313" i="12"/>
  <c r="E314" i="12"/>
  <c r="E315" i="12"/>
  <c r="E316" i="12"/>
  <c r="E317" i="12"/>
  <c r="E318" i="12"/>
  <c r="E319" i="12"/>
  <c r="E320" i="12"/>
  <c r="E321" i="12"/>
  <c r="E322" i="12"/>
  <c r="E323" i="12"/>
  <c r="E324" i="12"/>
  <c r="E325" i="12"/>
  <c r="E326" i="12"/>
  <c r="E327" i="12"/>
  <c r="E328" i="12"/>
  <c r="E329" i="12"/>
  <c r="E330" i="12"/>
  <c r="E331" i="12"/>
  <c r="E332" i="12"/>
  <c r="E333" i="12"/>
  <c r="E334" i="12"/>
  <c r="E335" i="12"/>
  <c r="E336" i="12"/>
  <c r="E337" i="12"/>
  <c r="E338" i="12"/>
  <c r="E339" i="12"/>
  <c r="E340" i="12"/>
  <c r="E341" i="12"/>
  <c r="E342" i="12"/>
  <c r="E343" i="12"/>
  <c r="E344" i="12"/>
  <c r="E345" i="12"/>
  <c r="E346" i="12"/>
  <c r="E347" i="12"/>
  <c r="E348" i="12"/>
  <c r="E349" i="12"/>
  <c r="E350" i="12"/>
  <c r="E351" i="12"/>
  <c r="E352" i="12"/>
  <c r="E353" i="12"/>
  <c r="E354" i="12"/>
  <c r="E355" i="12"/>
  <c r="E356" i="12"/>
  <c r="E357" i="12"/>
  <c r="E358" i="12"/>
  <c r="E359" i="12"/>
  <c r="E360" i="12"/>
  <c r="E361" i="12"/>
  <c r="E362" i="12"/>
  <c r="E363" i="12"/>
  <c r="E364" i="12"/>
  <c r="E365" i="12"/>
  <c r="E366" i="12"/>
  <c r="E367" i="12"/>
  <c r="E368" i="12"/>
  <c r="E369" i="12"/>
  <c r="E370" i="12"/>
  <c r="E371" i="12"/>
  <c r="E372" i="12"/>
  <c r="E373" i="12"/>
  <c r="E374" i="12"/>
  <c r="E375" i="12"/>
  <c r="E376" i="12"/>
  <c r="E377" i="12"/>
  <c r="E378" i="12"/>
  <c r="E379" i="12"/>
  <c r="E380" i="12"/>
  <c r="E381" i="12"/>
  <c r="E382" i="12"/>
  <c r="E383" i="12"/>
  <c r="E384" i="12"/>
  <c r="E385" i="12"/>
  <c r="E386" i="12"/>
  <c r="E387" i="12"/>
  <c r="E388" i="12"/>
  <c r="E389" i="12"/>
  <c r="E390" i="12"/>
  <c r="E391" i="12"/>
  <c r="E392" i="12"/>
  <c r="E393" i="12"/>
  <c r="E394" i="12"/>
  <c r="E396" i="12"/>
  <c r="E397" i="12"/>
  <c r="E398" i="12"/>
  <c r="E399" i="12"/>
  <c r="E400" i="12"/>
  <c r="E401" i="12"/>
  <c r="E402" i="12"/>
  <c r="E403" i="12"/>
  <c r="E404" i="12"/>
  <c r="E405" i="12"/>
  <c r="E406" i="12"/>
  <c r="E407" i="12"/>
  <c r="E408" i="12"/>
  <c r="E409" i="12"/>
  <c r="E410" i="12"/>
  <c r="E411" i="12"/>
  <c r="E412" i="12"/>
  <c r="E413" i="12"/>
  <c r="E414" i="12"/>
  <c r="E415" i="12"/>
  <c r="E416" i="12"/>
  <c r="E417" i="12"/>
  <c r="E418" i="12"/>
  <c r="E419" i="12"/>
  <c r="E420" i="12"/>
  <c r="E421" i="12"/>
  <c r="E422" i="12"/>
  <c r="E423" i="12"/>
  <c r="E424" i="12"/>
  <c r="E425" i="12"/>
  <c r="E426" i="12"/>
  <c r="E427" i="12"/>
  <c r="E428" i="12"/>
  <c r="E429" i="12"/>
  <c r="E430" i="12"/>
  <c r="E431" i="12"/>
  <c r="E432" i="12"/>
  <c r="E433" i="12"/>
  <c r="E435" i="12"/>
  <c r="E436" i="12"/>
  <c r="E437" i="12"/>
  <c r="E438" i="12"/>
  <c r="E440" i="12"/>
  <c r="E441" i="12"/>
  <c r="E442" i="12"/>
  <c r="E443" i="12"/>
  <c r="E444" i="12"/>
  <c r="E445" i="12"/>
  <c r="E446" i="12"/>
  <c r="E447" i="12"/>
  <c r="E448" i="12"/>
  <c r="E449" i="12"/>
  <c r="E450" i="12"/>
  <c r="E451" i="12"/>
  <c r="E452" i="12"/>
  <c r="E453" i="12"/>
  <c r="E454" i="12"/>
  <c r="E455" i="12"/>
  <c r="E456" i="12"/>
  <c r="E457" i="12"/>
  <c r="E458" i="12"/>
  <c r="E459" i="12"/>
  <c r="E460" i="12"/>
  <c r="E461" i="12"/>
  <c r="E462" i="12"/>
  <c r="E463" i="12"/>
  <c r="E465" i="12"/>
  <c r="E466" i="12"/>
  <c r="E467" i="12"/>
  <c r="E468" i="12"/>
  <c r="E469" i="12"/>
  <c r="E470" i="12"/>
  <c r="E471" i="12"/>
  <c r="E472" i="12"/>
  <c r="E473" i="12"/>
  <c r="E474" i="12"/>
  <c r="E475" i="12"/>
  <c r="E476" i="12"/>
  <c r="E477" i="12"/>
  <c r="E478" i="12"/>
  <c r="E479" i="12"/>
  <c r="E480" i="12"/>
  <c r="E481" i="12"/>
  <c r="E482" i="12"/>
  <c r="E500" i="12"/>
  <c r="E485" i="12"/>
  <c r="E486" i="12"/>
  <c r="E488" i="12"/>
  <c r="E490" i="12"/>
  <c r="E491" i="12"/>
  <c r="E492" i="12"/>
  <c r="E495" i="12"/>
  <c r="E496" i="12"/>
  <c r="E25" i="12"/>
  <c r="E497" i="12"/>
  <c r="E501" i="12"/>
  <c r="E503" i="12"/>
  <c r="E504" i="12"/>
  <c r="E506" i="12"/>
  <c r="E508" i="12"/>
  <c r="E509" i="12"/>
  <c r="E510" i="12"/>
  <c r="E511" i="12"/>
  <c r="E512" i="12"/>
  <c r="E513" i="12"/>
  <c r="E515" i="12"/>
  <c r="E516" i="12"/>
  <c r="E517" i="12"/>
  <c r="E518" i="12"/>
  <c r="E520" i="12"/>
  <c r="E521" i="12"/>
  <c r="E523" i="12"/>
  <c r="E525" i="12"/>
  <c r="E594" i="12"/>
  <c r="E528" i="12"/>
  <c r="E529" i="12"/>
  <c r="E534" i="12"/>
  <c r="E535" i="12"/>
  <c r="E537" i="12"/>
  <c r="E538" i="12"/>
  <c r="E539" i="12"/>
  <c r="E542" i="12"/>
  <c r="E543" i="12"/>
  <c r="E545" i="12"/>
  <c r="E546" i="12"/>
  <c r="E621" i="12"/>
  <c r="E547" i="12"/>
  <c r="E548" i="12"/>
  <c r="E549" i="12"/>
  <c r="E550" i="12"/>
  <c r="E552" i="12"/>
  <c r="E553" i="12"/>
  <c r="E555" i="12"/>
  <c r="E556" i="12"/>
  <c r="E557" i="12"/>
  <c r="E558" i="12"/>
  <c r="E561" i="12"/>
  <c r="E562" i="12"/>
  <c r="E563" i="12"/>
  <c r="E564" i="12"/>
  <c r="E565" i="12"/>
  <c r="E566" i="12"/>
  <c r="E567" i="12"/>
  <c r="E568" i="12"/>
  <c r="E572" i="12"/>
  <c r="E573" i="12"/>
  <c r="E574" i="12"/>
  <c r="E575" i="12"/>
  <c r="E577" i="12"/>
  <c r="E578" i="12"/>
  <c r="E580" i="12"/>
  <c r="E581" i="12"/>
  <c r="E583" i="12"/>
  <c r="E659" i="12"/>
  <c r="E531" i="12"/>
  <c r="E532" i="12"/>
  <c r="E584" i="12"/>
  <c r="E586" i="12"/>
  <c r="E587" i="12"/>
  <c r="E589" i="12"/>
  <c r="E591" i="12"/>
  <c r="E593" i="12"/>
  <c r="E595" i="12"/>
  <c r="E596" i="12"/>
  <c r="E599" i="12"/>
  <c r="E600" i="12"/>
  <c r="E602" i="12"/>
  <c r="E603" i="12"/>
  <c r="E604" i="12"/>
  <c r="E606" i="12"/>
  <c r="E612" i="12"/>
  <c r="E613" i="12"/>
  <c r="E614" i="12"/>
  <c r="E615" i="12"/>
  <c r="E616" i="12"/>
  <c r="E617" i="12"/>
  <c r="E622" i="12"/>
  <c r="E624" i="12"/>
  <c r="E626" i="12"/>
  <c r="E627" i="12"/>
  <c r="E628" i="12"/>
  <c r="E629" i="12"/>
  <c r="E630" i="12"/>
  <c r="E632" i="12"/>
  <c r="E633" i="12"/>
  <c r="E637" i="12"/>
  <c r="E638" i="12"/>
  <c r="E639" i="12"/>
  <c r="E641" i="12"/>
  <c r="E642" i="12"/>
  <c r="E643" i="12"/>
  <c r="E645" i="12"/>
  <c r="E646" i="12"/>
  <c r="E647" i="12"/>
  <c r="E648" i="12"/>
  <c r="E650" i="12"/>
  <c r="E654" i="12"/>
  <c r="E660" i="12"/>
  <c r="E661" i="12"/>
  <c r="E663" i="12"/>
  <c r="E666" i="12"/>
  <c r="E667" i="12"/>
  <c r="E670" i="12"/>
  <c r="E671" i="12"/>
  <c r="E672" i="12"/>
  <c r="E673" i="12"/>
  <c r="E674" i="12"/>
  <c r="E675" i="12"/>
  <c r="E676" i="12"/>
  <c r="E678" i="12"/>
  <c r="E679" i="12"/>
  <c r="E680" i="12"/>
  <c r="E681" i="12"/>
  <c r="E682" i="12"/>
  <c r="E688" i="12"/>
  <c r="E690" i="12"/>
  <c r="E533" i="12"/>
  <c r="E693" i="12"/>
  <c r="E694" i="12"/>
  <c r="E695" i="12"/>
  <c r="E696" i="12"/>
  <c r="E697" i="12"/>
  <c r="E698" i="12"/>
  <c r="E527" i="12"/>
  <c r="E701" i="12"/>
  <c r="E704" i="12"/>
  <c r="E705" i="12"/>
  <c r="E709" i="12"/>
  <c r="E710" i="12"/>
  <c r="E711" i="12"/>
  <c r="E464" i="12"/>
  <c r="E713" i="12"/>
  <c r="E715" i="12"/>
  <c r="E716" i="12"/>
  <c r="E720" i="12"/>
  <c r="E724" i="12"/>
  <c r="E2" i="12"/>
  <c r="E3" i="12"/>
  <c r="E4" i="12"/>
  <c r="E5" i="12"/>
  <c r="E6" i="12"/>
  <c r="E7" i="12"/>
  <c r="E8" i="12"/>
  <c r="E9" i="12"/>
  <c r="E10" i="12"/>
  <c r="E11" i="12"/>
  <c r="E12" i="12"/>
  <c r="E13" i="12"/>
  <c r="E14" i="12"/>
  <c r="E15" i="12"/>
  <c r="E16" i="12"/>
  <c r="E17" i="12"/>
  <c r="E18" i="12"/>
  <c r="E19" i="12"/>
  <c r="E20" i="12"/>
  <c r="E21" i="12"/>
  <c r="E22" i="12"/>
  <c r="E23" i="12"/>
  <c r="E24" i="12"/>
  <c r="E26" i="12"/>
  <c r="E27" i="12"/>
  <c r="E28" i="12"/>
  <c r="E29" i="12"/>
  <c r="E30" i="12"/>
  <c r="E31" i="12"/>
  <c r="E32" i="12"/>
  <c r="E33" i="12"/>
  <c r="E34" i="12"/>
  <c r="E35" i="12"/>
  <c r="E36" i="12"/>
  <c r="E37" i="12"/>
  <c r="E38" i="12"/>
  <c r="E39" i="12"/>
  <c r="E40" i="12"/>
  <c r="E41" i="12"/>
  <c r="E42" i="12"/>
  <c r="E43" i="12"/>
  <c r="E44" i="12"/>
  <c r="E45" i="12"/>
  <c r="E46" i="12"/>
  <c r="E47" i="12"/>
  <c r="E48" i="12"/>
  <c r="E49" i="12"/>
  <c r="E50" i="12"/>
  <c r="E51" i="12"/>
  <c r="E52" i="12"/>
  <c r="E53" i="12"/>
  <c r="E54" i="12"/>
  <c r="E55" i="12"/>
  <c r="E56" i="12"/>
  <c r="E57" i="12"/>
  <c r="E58" i="12"/>
  <c r="E59" i="12"/>
  <c r="E60" i="12"/>
  <c r="E61" i="12"/>
  <c r="E62" i="12"/>
  <c r="E63" i="12"/>
  <c r="E64" i="12"/>
  <c r="E65" i="12"/>
  <c r="E66" i="12"/>
  <c r="E67" i="12"/>
  <c r="E68" i="12"/>
  <c r="E69" i="12"/>
  <c r="E70" i="12"/>
  <c r="E71" i="12"/>
  <c r="E72" i="12"/>
  <c r="E73" i="12"/>
  <c r="E74" i="12"/>
  <c r="E75" i="12"/>
  <c r="E76" i="12"/>
  <c r="E78" i="12"/>
  <c r="E79" i="12"/>
  <c r="E80" i="12"/>
  <c r="E81" i="12"/>
  <c r="E82" i="12"/>
  <c r="E83" i="12"/>
  <c r="E84" i="12"/>
  <c r="E85" i="12"/>
  <c r="E86" i="12"/>
  <c r="E87" i="12"/>
  <c r="E88" i="12"/>
  <c r="E89" i="12"/>
  <c r="E90" i="12"/>
  <c r="E91" i="12"/>
  <c r="E92" i="12"/>
  <c r="E93" i="12"/>
  <c r="E94" i="12"/>
  <c r="E95" i="12"/>
  <c r="E96" i="12"/>
  <c r="E97" i="12"/>
  <c r="E98" i="12"/>
  <c r="E99" i="12"/>
  <c r="E100" i="12"/>
  <c r="E101" i="12"/>
  <c r="E102" i="12"/>
  <c r="E103" i="12"/>
  <c r="E104" i="12"/>
  <c r="E105" i="12"/>
  <c r="E106" i="12"/>
  <c r="E107" i="12"/>
  <c r="E108" i="12"/>
  <c r="E109" i="12"/>
  <c r="E110" i="12"/>
  <c r="E111" i="12"/>
  <c r="E112" i="12"/>
  <c r="E113" i="12"/>
  <c r="E114" i="12"/>
  <c r="E115" i="12"/>
  <c r="E116" i="12"/>
  <c r="E117" i="12"/>
  <c r="E118" i="12"/>
  <c r="E119" i="12"/>
  <c r="E120" i="12"/>
  <c r="E121" i="12"/>
  <c r="E122" i="12"/>
  <c r="E123" i="12"/>
  <c r="E124" i="12"/>
  <c r="E125" i="12"/>
  <c r="E126" i="12"/>
  <c r="E127" i="12"/>
  <c r="E128" i="12"/>
  <c r="E129" i="12"/>
  <c r="E130" i="12"/>
  <c r="E131" i="12"/>
  <c r="E132" i="12"/>
  <c r="E133" i="12"/>
  <c r="E134" i="12"/>
  <c r="E135" i="12"/>
  <c r="E136" i="12"/>
  <c r="E137" i="12"/>
  <c r="E138" i="12"/>
  <c r="E139" i="12"/>
  <c r="E140" i="12"/>
  <c r="E141" i="12"/>
  <c r="E142" i="12"/>
  <c r="E143" i="12"/>
  <c r="E144" i="12"/>
  <c r="E145" i="12"/>
  <c r="E146" i="12"/>
  <c r="E147" i="12"/>
  <c r="E148" i="12"/>
  <c r="E149" i="12"/>
  <c r="E150" i="12"/>
  <c r="E151" i="12"/>
  <c r="E152" i="12"/>
  <c r="E153" i="12"/>
  <c r="E154" i="12"/>
  <c r="E155" i="12"/>
  <c r="E156" i="12"/>
  <c r="E157" i="12"/>
  <c r="E158" i="12"/>
  <c r="E159" i="12"/>
  <c r="E160" i="12"/>
  <c r="E161" i="12"/>
  <c r="E162" i="12"/>
  <c r="E163" i="12"/>
  <c r="E164" i="12"/>
  <c r="E165" i="12"/>
  <c r="E166" i="12"/>
  <c r="E167" i="12"/>
  <c r="E168" i="12"/>
  <c r="E169" i="12"/>
  <c r="E170" i="12"/>
  <c r="E171" i="12"/>
  <c r="E172" i="12"/>
  <c r="E173" i="12"/>
  <c r="E174" i="12"/>
  <c r="E175" i="12"/>
  <c r="E176" i="12"/>
  <c r="E177" i="12"/>
  <c r="E178" i="12"/>
  <c r="E179" i="12"/>
  <c r="E180" i="12"/>
  <c r="E181" i="12"/>
  <c r="E182" i="12"/>
  <c r="E183" i="12"/>
  <c r="E184" i="12"/>
  <c r="E185" i="12"/>
  <c r="E186" i="12"/>
  <c r="E187" i="12"/>
  <c r="E188" i="12"/>
  <c r="E189" i="12"/>
  <c r="E190" i="12"/>
  <c r="E191" i="12"/>
  <c r="E192" i="12"/>
  <c r="E193" i="12"/>
  <c r="E194" i="12"/>
  <c r="E195" i="12"/>
  <c r="E196" i="12"/>
  <c r="E197" i="12"/>
  <c r="E198" i="12"/>
  <c r="E199" i="12"/>
  <c r="E200" i="12"/>
  <c r="E201" i="12"/>
  <c r="E202" i="12"/>
  <c r="E203" i="12"/>
  <c r="E204" i="12"/>
  <c r="E205" i="12"/>
  <c r="E206" i="12"/>
  <c r="E207" i="12"/>
  <c r="E208" i="12"/>
  <c r="E209" i="12"/>
  <c r="E210" i="12"/>
  <c r="E211" i="12"/>
  <c r="E212" i="12"/>
  <c r="E213" i="12"/>
  <c r="E214" i="12"/>
  <c r="E215" i="12"/>
  <c r="E216" i="12"/>
  <c r="E217" i="12"/>
  <c r="E218" i="12"/>
  <c r="E219" i="12"/>
  <c r="E220" i="12"/>
  <c r="E221" i="12"/>
  <c r="E222" i="12"/>
  <c r="E223" i="12"/>
  <c r="E224" i="12"/>
  <c r="E225" i="12"/>
  <c r="E226" i="12"/>
  <c r="E227" i="12"/>
  <c r="E228" i="12"/>
  <c r="E229" i="12"/>
  <c r="E230" i="12"/>
  <c r="E231" i="12"/>
  <c r="E232" i="12"/>
  <c r="E233" i="12"/>
  <c r="E234" i="12"/>
  <c r="E235" i="12"/>
  <c r="E236" i="12"/>
  <c r="E237" i="12"/>
  <c r="E238" i="12"/>
  <c r="E239" i="12"/>
  <c r="E240" i="12"/>
  <c r="E241" i="12"/>
  <c r="E242" i="12"/>
  <c r="E243" i="12"/>
  <c r="E244" i="12"/>
  <c r="E245" i="12"/>
  <c r="E246" i="12"/>
  <c r="E247" i="12"/>
  <c r="E248" i="12"/>
  <c r="E249" i="12"/>
  <c r="E250" i="12"/>
  <c r="E251" i="12"/>
  <c r="E252" i="12"/>
  <c r="E253" i="12"/>
  <c r="E254" i="12"/>
  <c r="E255" i="12"/>
  <c r="E256" i="12"/>
  <c r="E257" i="12"/>
  <c r="E877" i="38"/>
  <c r="E878" i="38"/>
  <c r="E879" i="38"/>
  <c r="E880" i="38"/>
  <c r="E881" i="38"/>
  <c r="E882" i="38"/>
  <c r="E883" i="38"/>
  <c r="E12" i="38"/>
  <c r="E13" i="38"/>
  <c r="E14" i="38"/>
  <c r="E15" i="38"/>
  <c r="E16" i="38"/>
  <c r="E17" i="38"/>
  <c r="E18" i="38"/>
  <c r="E19" i="38"/>
  <c r="E20" i="38"/>
  <c r="E21" i="38"/>
  <c r="E22" i="38"/>
  <c r="E23" i="38"/>
  <c r="E24" i="38"/>
  <c r="E25" i="38"/>
  <c r="E26" i="38"/>
  <c r="E27" i="38"/>
  <c r="E28" i="38"/>
  <c r="E29" i="38"/>
  <c r="E30" i="38"/>
  <c r="E31" i="38"/>
  <c r="E32" i="38"/>
  <c r="E33" i="38"/>
  <c r="E34" i="38"/>
  <c r="E35" i="38"/>
  <c r="E36" i="38"/>
  <c r="E37" i="38"/>
  <c r="E38" i="38"/>
  <c r="E39" i="38"/>
  <c r="E40" i="38"/>
  <c r="E41" i="38"/>
  <c r="E42" i="38"/>
  <c r="E43" i="38"/>
  <c r="E44" i="38"/>
  <c r="E45" i="38"/>
  <c r="E46" i="38"/>
  <c r="E47" i="38"/>
  <c r="E48" i="38"/>
  <c r="E49" i="38"/>
  <c r="E50" i="38"/>
  <c r="E51" i="38"/>
  <c r="E52" i="38"/>
  <c r="E53" i="38"/>
  <c r="E54" i="38"/>
  <c r="E55" i="38"/>
  <c r="E56" i="38"/>
  <c r="E57" i="38"/>
  <c r="E58" i="38"/>
  <c r="E59" i="38"/>
  <c r="E60" i="38"/>
  <c r="E61" i="38"/>
  <c r="E62" i="38"/>
  <c r="E63" i="38"/>
  <c r="E64" i="38"/>
  <c r="E65" i="38"/>
  <c r="E66" i="38"/>
  <c r="E67" i="38"/>
  <c r="E68" i="38"/>
  <c r="E69" i="38"/>
  <c r="E70" i="38"/>
  <c r="E71" i="38"/>
  <c r="E72" i="38"/>
  <c r="E73" i="38"/>
  <c r="E74" i="38"/>
  <c r="E75" i="38"/>
  <c r="E76" i="38"/>
  <c r="E77" i="38"/>
  <c r="E78" i="38"/>
  <c r="E79" i="38"/>
  <c r="E80" i="38"/>
  <c r="E81" i="38"/>
  <c r="E82" i="38"/>
  <c r="E83" i="38"/>
  <c r="E84" i="38"/>
  <c r="E85" i="38"/>
  <c r="E86" i="38"/>
  <c r="E87" i="38"/>
  <c r="E88" i="38"/>
  <c r="E89" i="38"/>
  <c r="E90" i="38"/>
  <c r="E91" i="38"/>
  <c r="E92" i="38"/>
  <c r="E93" i="38"/>
  <c r="E94" i="38"/>
  <c r="E95" i="38"/>
  <c r="E96" i="38"/>
  <c r="E97" i="38"/>
  <c r="E98" i="38"/>
  <c r="E99" i="38"/>
  <c r="E100" i="38"/>
  <c r="E101" i="38"/>
  <c r="E102" i="38"/>
  <c r="E103" i="38"/>
  <c r="E104" i="38"/>
  <c r="E105" i="38"/>
  <c r="E106" i="38"/>
  <c r="E107" i="38"/>
  <c r="E108" i="38"/>
  <c r="E109" i="38"/>
  <c r="E110" i="38"/>
  <c r="E111" i="38"/>
  <c r="E112" i="38"/>
  <c r="E113" i="38"/>
  <c r="E114" i="38"/>
  <c r="E115" i="38"/>
  <c r="E116" i="38"/>
  <c r="E117" i="38"/>
  <c r="E118" i="38"/>
  <c r="E119" i="38"/>
  <c r="E120" i="38"/>
  <c r="E121" i="38"/>
  <c r="E122" i="38"/>
  <c r="E123" i="38"/>
  <c r="E124" i="38"/>
  <c r="E125" i="38"/>
  <c r="E126" i="38"/>
  <c r="E127" i="38"/>
  <c r="E128" i="38"/>
  <c r="E129" i="38"/>
  <c r="E130" i="38"/>
  <c r="E131" i="38"/>
  <c r="E132" i="38"/>
  <c r="E133" i="38"/>
  <c r="E134" i="38"/>
  <c r="E135" i="38"/>
  <c r="E136" i="38"/>
  <c r="E137" i="38"/>
  <c r="E138" i="38"/>
  <c r="E139" i="38"/>
  <c r="E140" i="38"/>
  <c r="E141" i="38"/>
  <c r="E142" i="38"/>
  <c r="E143" i="38"/>
  <c r="E144" i="38"/>
  <c r="E145" i="38"/>
  <c r="E146" i="38"/>
  <c r="E147" i="38"/>
  <c r="E148" i="38"/>
  <c r="E149" i="38"/>
  <c r="E150" i="38"/>
  <c r="E151" i="38"/>
  <c r="E152" i="38"/>
  <c r="E153" i="38"/>
  <c r="E154" i="38"/>
  <c r="E155" i="38"/>
  <c r="E156" i="38"/>
  <c r="E157" i="38"/>
  <c r="E158" i="38"/>
  <c r="E159" i="38"/>
  <c r="E160" i="38"/>
  <c r="E161" i="38"/>
  <c r="E162" i="38"/>
  <c r="E163" i="38"/>
  <c r="E164" i="38"/>
  <c r="E165" i="38"/>
  <c r="E166" i="38"/>
  <c r="E167" i="38"/>
  <c r="E168" i="38"/>
  <c r="E169" i="38"/>
  <c r="E170" i="38"/>
  <c r="E171" i="38"/>
  <c r="E172" i="38"/>
  <c r="E173" i="38"/>
  <c r="E174" i="38"/>
  <c r="E175" i="38"/>
  <c r="E176" i="38"/>
  <c r="E177" i="38"/>
  <c r="E178" i="38"/>
  <c r="E179" i="38"/>
  <c r="E180" i="38"/>
  <c r="E181" i="38"/>
  <c r="E182" i="38"/>
  <c r="E183" i="38"/>
  <c r="E184" i="38"/>
  <c r="E185" i="38"/>
  <c r="E186" i="38"/>
  <c r="E187" i="38"/>
  <c r="E188" i="38"/>
  <c r="E189" i="38"/>
  <c r="E190" i="38"/>
  <c r="E191" i="38"/>
  <c r="E192" i="38"/>
  <c r="E193" i="38"/>
  <c r="E194" i="38"/>
  <c r="E195" i="38"/>
  <c r="E196" i="38"/>
  <c r="E197" i="38"/>
  <c r="E198" i="38"/>
  <c r="E199" i="38"/>
  <c r="E200" i="38"/>
  <c r="E201" i="38"/>
  <c r="E202" i="38"/>
  <c r="E203" i="38"/>
  <c r="E204" i="38"/>
  <c r="E205" i="38"/>
  <c r="E206" i="38"/>
  <c r="E207" i="38"/>
  <c r="E208" i="38"/>
  <c r="E209" i="38"/>
  <c r="E210" i="38"/>
  <c r="E211" i="38"/>
  <c r="E212" i="38"/>
  <c r="E213" i="38"/>
  <c r="E214" i="38"/>
  <c r="E215" i="38"/>
  <c r="E216" i="38"/>
  <c r="E217" i="38"/>
  <c r="E218" i="38"/>
  <c r="E219" i="38"/>
  <c r="E220" i="38"/>
  <c r="E221" i="38"/>
  <c r="E222" i="38"/>
  <c r="E223" i="38"/>
  <c r="E224" i="38"/>
  <c r="E225" i="38"/>
  <c r="E226" i="38"/>
  <c r="E227" i="38"/>
  <c r="E228" i="38"/>
  <c r="E229" i="38"/>
  <c r="E230" i="38"/>
  <c r="E231" i="38"/>
  <c r="E232" i="38"/>
  <c r="E233" i="38"/>
  <c r="E234" i="38"/>
  <c r="E235" i="38"/>
  <c r="E236" i="38"/>
  <c r="E237" i="38"/>
  <c r="E238" i="38"/>
  <c r="E239" i="38"/>
  <c r="E240" i="38"/>
  <c r="E241" i="38"/>
  <c r="E242" i="38"/>
  <c r="E243" i="38"/>
  <c r="E244" i="38"/>
  <c r="E245" i="38"/>
  <c r="E246" i="38"/>
  <c r="E247" i="38"/>
  <c r="E248" i="38"/>
  <c r="E249" i="38"/>
  <c r="E250" i="38"/>
  <c r="E251" i="38"/>
  <c r="E252" i="38"/>
  <c r="E253" i="38"/>
  <c r="E254" i="38"/>
  <c r="E255" i="38"/>
  <c r="E256" i="38"/>
  <c r="E257" i="38"/>
  <c r="E258" i="38"/>
  <c r="E259" i="38"/>
  <c r="E260" i="38"/>
  <c r="E261" i="38"/>
  <c r="E262" i="38"/>
  <c r="E263" i="38"/>
  <c r="E264" i="38"/>
  <c r="E265" i="38"/>
  <c r="E266" i="38"/>
  <c r="E267" i="38"/>
  <c r="E268" i="38"/>
  <c r="E269" i="38"/>
  <c r="E270" i="38"/>
  <c r="E271" i="38"/>
  <c r="E272" i="38"/>
  <c r="E273" i="38"/>
  <c r="E274" i="38"/>
  <c r="E275" i="38"/>
  <c r="E276" i="38"/>
  <c r="E277" i="38"/>
  <c r="E278" i="38"/>
  <c r="E279" i="38"/>
  <c r="E280" i="38"/>
  <c r="E281" i="38"/>
  <c r="E282" i="38"/>
  <c r="E283" i="38"/>
  <c r="E284" i="38"/>
  <c r="E285" i="38"/>
  <c r="E286" i="38"/>
  <c r="E287" i="38"/>
  <c r="E288" i="38"/>
  <c r="E289" i="38"/>
  <c r="E290" i="38"/>
  <c r="E291" i="38"/>
  <c r="E292" i="38"/>
  <c r="E293" i="38"/>
  <c r="E294" i="38"/>
  <c r="E295" i="38"/>
  <c r="E296" i="38"/>
  <c r="E297" i="38"/>
  <c r="E298" i="38"/>
  <c r="E299" i="38"/>
  <c r="E300" i="38"/>
  <c r="E301" i="38"/>
  <c r="E302" i="38"/>
  <c r="E303" i="38"/>
  <c r="E304" i="38"/>
  <c r="E305" i="38"/>
  <c r="E306" i="38"/>
  <c r="E307" i="38"/>
  <c r="E308" i="38"/>
  <c r="E309" i="38"/>
  <c r="E310" i="38"/>
  <c r="E311" i="38"/>
  <c r="E312" i="38"/>
  <c r="E313" i="38"/>
  <c r="E314" i="38"/>
  <c r="E315" i="38"/>
  <c r="E316" i="38"/>
  <c r="E317" i="38"/>
  <c r="E318" i="38"/>
  <c r="E319" i="38"/>
  <c r="E320" i="38"/>
  <c r="E321" i="38"/>
  <c r="E322" i="38"/>
  <c r="E323" i="38"/>
  <c r="E324" i="38"/>
  <c r="E325" i="38"/>
  <c r="E326" i="38"/>
  <c r="E327" i="38"/>
  <c r="E328" i="38"/>
  <c r="E329" i="38"/>
  <c r="E330" i="38"/>
  <c r="E331" i="38"/>
  <c r="E332" i="38"/>
  <c r="E333" i="38"/>
  <c r="E334" i="38"/>
  <c r="E335" i="38"/>
  <c r="E336" i="38"/>
  <c r="E337" i="38"/>
  <c r="E338" i="38"/>
  <c r="E339" i="38"/>
  <c r="E340" i="38"/>
  <c r="E341" i="38"/>
  <c r="E342" i="38"/>
  <c r="E343" i="38"/>
  <c r="E344" i="38"/>
  <c r="E345" i="38"/>
  <c r="E346" i="38"/>
  <c r="E347" i="38"/>
  <c r="E348" i="38"/>
  <c r="E349" i="38"/>
  <c r="E350" i="38"/>
  <c r="E351" i="38"/>
  <c r="E352" i="38"/>
  <c r="E353" i="38"/>
  <c r="E354" i="38"/>
  <c r="E355" i="38"/>
  <c r="E356" i="38"/>
  <c r="E357" i="38"/>
  <c r="E358" i="38"/>
  <c r="E359" i="38"/>
  <c r="E360" i="38"/>
  <c r="E361" i="38"/>
  <c r="E362" i="38"/>
  <c r="E363" i="38"/>
  <c r="E364" i="38"/>
  <c r="E365" i="38"/>
  <c r="E366" i="38"/>
  <c r="E367" i="38"/>
  <c r="E368" i="38"/>
  <c r="E369" i="38"/>
  <c r="E370" i="38"/>
  <c r="E371" i="38"/>
  <c r="E372" i="38"/>
  <c r="E373" i="38"/>
  <c r="E374" i="38"/>
  <c r="E375" i="38"/>
  <c r="E376" i="38"/>
  <c r="E377" i="38"/>
  <c r="E378" i="38"/>
  <c r="E379" i="38"/>
  <c r="E380" i="38"/>
  <c r="E381" i="38"/>
  <c r="E382" i="38"/>
  <c r="E383" i="38"/>
  <c r="E384" i="38"/>
  <c r="E385" i="38"/>
  <c r="E386" i="38"/>
  <c r="E387" i="38"/>
  <c r="E388" i="38"/>
  <c r="E389" i="38"/>
  <c r="E390" i="38"/>
  <c r="E391" i="38"/>
  <c r="E392" i="38"/>
  <c r="E393" i="38"/>
  <c r="E394" i="38"/>
  <c r="E395" i="38"/>
  <c r="E396" i="38"/>
  <c r="E397" i="38"/>
  <c r="E398" i="38"/>
  <c r="E399" i="38"/>
  <c r="E400" i="38"/>
  <c r="E401" i="38"/>
  <c r="E402" i="38"/>
  <c r="E403" i="38"/>
  <c r="E404" i="38"/>
  <c r="E405" i="38"/>
  <c r="E406" i="38"/>
  <c r="E407" i="38"/>
  <c r="E408" i="38"/>
  <c r="E409" i="38"/>
  <c r="E410" i="38"/>
  <c r="E411" i="38"/>
  <c r="E412" i="38"/>
  <c r="E413" i="38"/>
  <c r="E414" i="38"/>
  <c r="E415" i="38"/>
  <c r="E416" i="38"/>
  <c r="E417" i="38"/>
  <c r="E418" i="38"/>
  <c r="E419" i="38"/>
  <c r="E420" i="38"/>
  <c r="E421" i="38"/>
  <c r="E422" i="38"/>
  <c r="E423" i="38"/>
  <c r="E424" i="38"/>
  <c r="E425" i="38"/>
  <c r="E426" i="38"/>
  <c r="E427" i="38"/>
  <c r="E428" i="38"/>
  <c r="E429" i="38"/>
  <c r="E430" i="38"/>
  <c r="E431" i="38"/>
  <c r="E432" i="38"/>
  <c r="E433" i="38"/>
  <c r="E434" i="38"/>
  <c r="E435" i="38"/>
  <c r="E436" i="38"/>
  <c r="E437" i="38"/>
  <c r="E438" i="38"/>
  <c r="E439" i="38"/>
  <c r="E440" i="38"/>
  <c r="E441" i="38"/>
  <c r="E442" i="38"/>
  <c r="E443" i="38"/>
  <c r="E444" i="38"/>
  <c r="E445" i="38"/>
  <c r="E446" i="38"/>
  <c r="E447" i="38"/>
  <c r="E448" i="38"/>
  <c r="E449" i="38"/>
  <c r="E450" i="38"/>
  <c r="E451" i="38"/>
  <c r="E452" i="38"/>
  <c r="E453" i="38"/>
  <c r="E454" i="38"/>
  <c r="E455" i="38"/>
  <c r="E456" i="38"/>
  <c r="E457" i="38"/>
  <c r="E458" i="38"/>
  <c r="E459" i="38"/>
  <c r="E460" i="38"/>
  <c r="E461" i="38"/>
  <c r="E462" i="38"/>
  <c r="E463" i="38"/>
  <c r="E464" i="38"/>
  <c r="E465" i="38"/>
  <c r="E466" i="38"/>
  <c r="E467" i="38"/>
  <c r="E468" i="38"/>
  <c r="E469" i="38"/>
  <c r="E470" i="38"/>
  <c r="E471" i="38"/>
  <c r="E472" i="38"/>
  <c r="E473" i="38"/>
  <c r="E474" i="38"/>
  <c r="E475" i="38"/>
  <c r="E476" i="38"/>
  <c r="E477" i="38"/>
  <c r="E478" i="38"/>
  <c r="E479" i="38"/>
  <c r="E480" i="38"/>
  <c r="E481" i="38"/>
  <c r="E482" i="38"/>
  <c r="E483" i="38"/>
  <c r="E484" i="38"/>
  <c r="E485" i="38"/>
  <c r="E486" i="38"/>
  <c r="E487" i="38"/>
  <c r="E488" i="38"/>
  <c r="E489" i="38"/>
  <c r="E490" i="38"/>
  <c r="E491" i="38"/>
  <c r="E492" i="38"/>
  <c r="E493" i="38"/>
  <c r="E494" i="38"/>
  <c r="E495" i="38"/>
  <c r="E496" i="38"/>
  <c r="E497" i="38"/>
  <c r="E498" i="38"/>
  <c r="E499" i="38"/>
  <c r="E500" i="38"/>
  <c r="E501" i="38"/>
  <c r="E502" i="38"/>
  <c r="E503" i="38"/>
  <c r="E504" i="38"/>
  <c r="E505" i="38"/>
  <c r="E506" i="38"/>
  <c r="E507" i="38"/>
  <c r="E508" i="38"/>
  <c r="E509" i="38"/>
  <c r="E510" i="38"/>
  <c r="E511" i="38"/>
  <c r="E512" i="38"/>
  <c r="E513" i="38"/>
  <c r="E514" i="38"/>
  <c r="E515" i="38"/>
  <c r="E516" i="38"/>
  <c r="E517" i="38"/>
  <c r="E518" i="38"/>
  <c r="E519" i="38"/>
  <c r="E520" i="38"/>
  <c r="E521" i="38"/>
  <c r="E522" i="38"/>
  <c r="E523" i="38"/>
  <c r="E524" i="38"/>
  <c r="E525" i="38"/>
  <c r="E526" i="38"/>
  <c r="E527" i="38"/>
  <c r="E528" i="38"/>
  <c r="E529" i="38"/>
  <c r="E530" i="38"/>
  <c r="E531" i="38"/>
  <c r="E532" i="38"/>
  <c r="E533" i="38"/>
  <c r="E534" i="38"/>
  <c r="E535" i="38"/>
  <c r="E536" i="38"/>
  <c r="E537" i="38"/>
  <c r="E538" i="38"/>
  <c r="E539" i="38"/>
  <c r="E540" i="38"/>
  <c r="E541" i="38"/>
  <c r="E542" i="38"/>
  <c r="E543" i="38"/>
  <c r="E544" i="38"/>
  <c r="E545" i="38"/>
  <c r="E546" i="38"/>
  <c r="E547" i="38"/>
  <c r="E548" i="38"/>
  <c r="E549" i="38"/>
  <c r="E550" i="38"/>
  <c r="E551" i="38"/>
  <c r="E552" i="38"/>
  <c r="E553" i="38"/>
  <c r="E554" i="38"/>
  <c r="E555" i="38"/>
  <c r="E556" i="38"/>
  <c r="E557" i="38"/>
  <c r="E558" i="38"/>
  <c r="E559" i="38"/>
  <c r="E560" i="38"/>
  <c r="E561" i="38"/>
  <c r="E562" i="38"/>
  <c r="E563" i="38"/>
  <c r="E564" i="38"/>
  <c r="E565" i="38"/>
  <c r="E566" i="38"/>
  <c r="E567" i="38"/>
  <c r="E568" i="38"/>
  <c r="E569" i="38"/>
  <c r="E570" i="38"/>
  <c r="E571" i="38"/>
  <c r="E572" i="38"/>
  <c r="E573" i="38"/>
  <c r="E574" i="38"/>
  <c r="E575" i="38"/>
  <c r="E576" i="38"/>
  <c r="E577" i="38"/>
  <c r="E578" i="38"/>
  <c r="E579" i="38"/>
  <c r="E580" i="38"/>
  <c r="E581" i="38"/>
  <c r="E582" i="38"/>
  <c r="E583" i="38"/>
  <c r="E584" i="38"/>
  <c r="E585" i="38"/>
  <c r="E586" i="38"/>
  <c r="E587" i="38"/>
  <c r="E588" i="38"/>
  <c r="E589" i="38"/>
  <c r="E590" i="38"/>
  <c r="E591" i="38"/>
  <c r="E592" i="38"/>
  <c r="E593" i="38"/>
  <c r="E594" i="38"/>
  <c r="E595" i="38"/>
  <c r="E596" i="38"/>
  <c r="E597" i="38"/>
  <c r="E598" i="38"/>
  <c r="E599" i="38"/>
  <c r="E600" i="38"/>
  <c r="E601" i="38"/>
  <c r="E602" i="38"/>
  <c r="E603" i="38"/>
  <c r="E604" i="38"/>
  <c r="E605" i="38"/>
  <c r="E606" i="38"/>
  <c r="E607" i="38"/>
  <c r="E608" i="38"/>
  <c r="E609" i="38"/>
  <c r="E610" i="38"/>
  <c r="E611" i="38"/>
  <c r="E612" i="38"/>
  <c r="E613" i="38"/>
  <c r="E614" i="38"/>
  <c r="E615" i="38"/>
  <c r="E616" i="38"/>
  <c r="E617" i="38"/>
  <c r="E618" i="38"/>
  <c r="E619" i="38"/>
  <c r="E620" i="38"/>
  <c r="E621" i="38"/>
  <c r="E622" i="38"/>
  <c r="E623" i="38"/>
  <c r="E624" i="38"/>
  <c r="E625" i="38"/>
  <c r="E626" i="38"/>
  <c r="E627" i="38"/>
  <c r="E628" i="38"/>
  <c r="E629" i="38"/>
  <c r="E630" i="38"/>
  <c r="E631" i="38"/>
  <c r="E632" i="38"/>
  <c r="E633" i="38"/>
  <c r="E634" i="38"/>
  <c r="E635" i="38"/>
  <c r="E636" i="38"/>
  <c r="E637" i="38"/>
  <c r="E638" i="38"/>
  <c r="E639" i="38"/>
  <c r="E640" i="38"/>
  <c r="E641" i="38"/>
  <c r="E642" i="38"/>
  <c r="E643" i="38"/>
  <c r="E644" i="38"/>
  <c r="E645" i="38"/>
  <c r="E646" i="38"/>
  <c r="E647" i="38"/>
  <c r="E648" i="38"/>
  <c r="E649" i="38"/>
  <c r="E650" i="38"/>
  <c r="E651" i="38"/>
  <c r="E652" i="38"/>
  <c r="E653" i="38"/>
  <c r="E654" i="38"/>
  <c r="E655" i="38"/>
  <c r="E656" i="38"/>
  <c r="E657" i="38"/>
  <c r="E658" i="38"/>
  <c r="E659" i="38"/>
  <c r="E660" i="38"/>
  <c r="E661" i="38"/>
  <c r="E662" i="38"/>
  <c r="E663" i="38"/>
  <c r="E664" i="38"/>
  <c r="E665" i="38"/>
  <c r="E666" i="38"/>
  <c r="E667" i="38"/>
  <c r="E668" i="38"/>
  <c r="E669" i="38"/>
  <c r="E670" i="38"/>
  <c r="E671" i="38"/>
  <c r="E672" i="38"/>
  <c r="E673" i="38"/>
  <c r="E674" i="38"/>
  <c r="E675" i="38"/>
  <c r="E676" i="38"/>
  <c r="E677" i="38"/>
  <c r="E678" i="38"/>
  <c r="E679" i="38"/>
  <c r="E680" i="38"/>
  <c r="E681" i="38"/>
  <c r="E682" i="38"/>
  <c r="E683" i="38"/>
  <c r="E684" i="38"/>
  <c r="E685" i="38"/>
  <c r="E686" i="38"/>
  <c r="E687" i="38"/>
  <c r="E688" i="38"/>
  <c r="E689" i="38"/>
  <c r="E690" i="38"/>
  <c r="E691" i="38"/>
  <c r="E692" i="38"/>
  <c r="E693" i="38"/>
  <c r="E694" i="38"/>
  <c r="E695" i="38"/>
  <c r="E696" i="38"/>
  <c r="E697" i="38"/>
  <c r="E698" i="38"/>
  <c r="E699" i="38"/>
  <c r="E700" i="38"/>
  <c r="E701" i="38"/>
  <c r="E702" i="38"/>
  <c r="E703" i="38"/>
  <c r="E704" i="38"/>
  <c r="E705" i="38"/>
  <c r="E706" i="38"/>
  <c r="E707" i="38"/>
  <c r="E708" i="38"/>
  <c r="E709" i="38"/>
  <c r="E710" i="38"/>
  <c r="E711" i="38"/>
  <c r="E712" i="38"/>
  <c r="E713" i="38"/>
  <c r="E714" i="38"/>
  <c r="E715" i="38"/>
  <c r="E716" i="38"/>
  <c r="E717" i="38"/>
  <c r="E718" i="38"/>
  <c r="E719" i="38"/>
  <c r="E720" i="38"/>
  <c r="E721" i="38"/>
  <c r="E722" i="38"/>
  <c r="E723" i="38"/>
  <c r="E724" i="38"/>
  <c r="E725" i="38"/>
  <c r="E726" i="38"/>
  <c r="E727" i="38"/>
  <c r="E728" i="38"/>
  <c r="E729" i="38"/>
  <c r="E730" i="38"/>
  <c r="E731" i="38"/>
  <c r="E732" i="38"/>
  <c r="E733" i="38"/>
  <c r="E734" i="38"/>
  <c r="E735" i="38"/>
  <c r="E736" i="38"/>
  <c r="E737" i="38"/>
  <c r="E738" i="38"/>
  <c r="E739" i="38"/>
  <c r="E740" i="38"/>
  <c r="E741" i="38"/>
  <c r="E742" i="38"/>
  <c r="E743" i="38"/>
  <c r="E744" i="38"/>
  <c r="E745" i="38"/>
  <c r="E746" i="38"/>
  <c r="E747" i="38"/>
  <c r="E748" i="38"/>
  <c r="E749" i="38"/>
  <c r="E750" i="38"/>
  <c r="E751" i="38"/>
  <c r="E752" i="38"/>
  <c r="E753" i="38"/>
  <c r="E754" i="38"/>
  <c r="E755" i="38"/>
  <c r="E756" i="38"/>
  <c r="E757" i="38"/>
  <c r="E758" i="38"/>
  <c r="E759" i="38"/>
  <c r="E760" i="38"/>
  <c r="E761" i="38"/>
  <c r="E762" i="38"/>
  <c r="E763" i="38"/>
  <c r="E764" i="38"/>
  <c r="E765" i="38"/>
  <c r="E766" i="38"/>
  <c r="E767" i="38"/>
  <c r="E768" i="38"/>
  <c r="E769" i="38"/>
  <c r="E770" i="38"/>
  <c r="E771" i="38"/>
  <c r="E772" i="38"/>
  <c r="E773" i="38"/>
  <c r="E774" i="38"/>
  <c r="E775" i="38"/>
  <c r="E776" i="38"/>
  <c r="E777" i="38"/>
  <c r="E778" i="38"/>
  <c r="E779" i="38"/>
  <c r="E780" i="38"/>
  <c r="E781" i="38"/>
  <c r="E782" i="38"/>
  <c r="E783" i="38"/>
  <c r="E784" i="38"/>
  <c r="E785" i="38"/>
  <c r="E786" i="38"/>
  <c r="E787" i="38"/>
  <c r="E788" i="38"/>
  <c r="E789" i="38"/>
  <c r="E790" i="38"/>
  <c r="E791" i="38"/>
  <c r="E792" i="38"/>
  <c r="E793" i="38"/>
  <c r="E794" i="38"/>
  <c r="E795" i="38"/>
  <c r="E796" i="38"/>
  <c r="E797" i="38"/>
  <c r="E798" i="38"/>
  <c r="E799" i="38"/>
  <c r="E800" i="38"/>
  <c r="E801" i="38"/>
  <c r="E802" i="38"/>
  <c r="E803" i="38"/>
  <c r="E804" i="38"/>
  <c r="E805" i="38"/>
  <c r="E806" i="38"/>
  <c r="E807" i="38"/>
  <c r="E808" i="38"/>
  <c r="E809" i="38"/>
  <c r="E810" i="38"/>
  <c r="E811" i="38"/>
  <c r="E812" i="38"/>
  <c r="E813" i="38"/>
  <c r="E814" i="38"/>
  <c r="E815" i="38"/>
  <c r="E816" i="38"/>
  <c r="E817" i="38"/>
  <c r="E818" i="38"/>
  <c r="E819" i="38"/>
  <c r="E820" i="38"/>
  <c r="E821" i="38"/>
  <c r="E822" i="38"/>
  <c r="E823" i="38"/>
  <c r="E824" i="38"/>
  <c r="E825" i="38"/>
  <c r="E826" i="38"/>
  <c r="E827" i="38"/>
  <c r="E828" i="38"/>
  <c r="E829" i="38"/>
  <c r="E830" i="38"/>
  <c r="E831" i="38"/>
  <c r="E832" i="38"/>
  <c r="E833" i="38"/>
  <c r="E834" i="38"/>
  <c r="E835" i="38"/>
  <c r="E836" i="38"/>
  <c r="E837" i="38"/>
  <c r="E838" i="38"/>
  <c r="E839" i="38"/>
  <c r="E840" i="38"/>
  <c r="E841" i="38"/>
  <c r="E842" i="38"/>
  <c r="E843" i="38"/>
  <c r="E844" i="38"/>
  <c r="E845" i="38"/>
  <c r="E846" i="38"/>
  <c r="E847" i="38"/>
  <c r="E848" i="38"/>
  <c r="E849" i="38"/>
  <c r="E850" i="38"/>
  <c r="E851" i="38"/>
  <c r="E852" i="38"/>
  <c r="E853" i="38"/>
  <c r="E854" i="38"/>
  <c r="E855" i="38"/>
  <c r="E856" i="38"/>
  <c r="E857" i="38"/>
  <c r="E858" i="38"/>
  <c r="E859" i="38"/>
  <c r="E11" i="38"/>
  <c r="E993" i="38"/>
  <c r="E992" i="38"/>
  <c r="E991" i="38"/>
  <c r="E990" i="38"/>
  <c r="E989" i="38"/>
  <c r="E988" i="38"/>
  <c r="E987" i="38"/>
  <c r="E986" i="38"/>
  <c r="E985" i="38"/>
  <c r="E984" i="38"/>
  <c r="E983" i="38"/>
  <c r="E982" i="38"/>
  <c r="E981" i="38"/>
  <c r="E980" i="38"/>
  <c r="E979" i="38"/>
  <c r="E978" i="38"/>
  <c r="E977" i="38"/>
  <c r="E976" i="38"/>
  <c r="E975" i="38"/>
  <c r="E974" i="38"/>
  <c r="E973" i="38"/>
  <c r="E972" i="38"/>
  <c r="E971" i="38"/>
  <c r="E970" i="38"/>
  <c r="E969" i="38"/>
  <c r="E968" i="38"/>
  <c r="E967" i="38"/>
  <c r="E966" i="38"/>
  <c r="E965" i="38"/>
  <c r="E964" i="38"/>
  <c r="E963" i="38"/>
  <c r="E962" i="38"/>
  <c r="E961" i="38"/>
  <c r="E960" i="38"/>
  <c r="E959" i="38"/>
  <c r="E958" i="38"/>
  <c r="E957" i="38"/>
  <c r="E956" i="38"/>
  <c r="E955" i="38"/>
  <c r="E954" i="38"/>
  <c r="E953" i="38"/>
  <c r="E952" i="38"/>
  <c r="E951" i="38"/>
  <c r="E950" i="38"/>
  <c r="E949" i="38"/>
  <c r="E948" i="38"/>
  <c r="E947" i="38"/>
  <c r="E946" i="38"/>
  <c r="E945" i="38"/>
  <c r="E944" i="38"/>
  <c r="E943" i="38"/>
  <c r="E942" i="38"/>
  <c r="E941" i="38"/>
  <c r="E940" i="38"/>
  <c r="E939" i="38"/>
  <c r="E938" i="38"/>
  <c r="E937" i="38"/>
  <c r="E936" i="38"/>
  <c r="E935" i="38"/>
  <c r="E934" i="38"/>
  <c r="E933" i="38"/>
  <c r="E932" i="38"/>
  <c r="E931" i="38"/>
  <c r="E930" i="38"/>
  <c r="E929" i="38"/>
  <c r="E928" i="38"/>
  <c r="E927" i="38"/>
  <c r="E926" i="38"/>
  <c r="E925" i="38"/>
  <c r="E924" i="38"/>
  <c r="E923" i="38"/>
  <c r="E922" i="38"/>
  <c r="E921" i="38"/>
  <c r="E920" i="38"/>
  <c r="E919" i="38"/>
  <c r="E918" i="38"/>
  <c r="E917" i="38"/>
  <c r="E916" i="38"/>
  <c r="E915" i="38"/>
  <c r="E914" i="38"/>
  <c r="E913" i="38"/>
  <c r="E912" i="38"/>
  <c r="E911" i="38"/>
  <c r="E910" i="38"/>
  <c r="E909" i="38"/>
  <c r="E908" i="38"/>
  <c r="E907" i="38"/>
  <c r="E906" i="38"/>
  <c r="E905" i="38"/>
  <c r="E904" i="38"/>
  <c r="E903" i="38"/>
  <c r="E902" i="38"/>
  <c r="E901" i="38"/>
  <c r="E900" i="38"/>
  <c r="E899" i="38"/>
  <c r="E898" i="38"/>
  <c r="E897" i="38"/>
  <c r="E896" i="38"/>
  <c r="E895" i="38"/>
  <c r="E894" i="38"/>
  <c r="E893" i="38"/>
  <c r="E892" i="38"/>
  <c r="E891" i="38"/>
  <c r="E890" i="38"/>
  <c r="E889" i="38"/>
  <c r="E888" i="38"/>
  <c r="E887" i="38"/>
  <c r="E886" i="38"/>
  <c r="E885" i="38"/>
  <c r="E884" i="38"/>
  <c r="E876" i="38"/>
  <c r="E875" i="38"/>
  <c r="E874" i="38"/>
  <c r="E873" i="38"/>
  <c r="E872" i="38"/>
  <c r="E871" i="38"/>
  <c r="E870" i="38"/>
  <c r="E869" i="38"/>
  <c r="E868" i="38"/>
  <c r="E867" i="38"/>
  <c r="E866" i="38"/>
  <c r="E865" i="38"/>
  <c r="E864" i="38"/>
  <c r="E863" i="38"/>
  <c r="E862" i="38"/>
  <c r="E861" i="38"/>
  <c r="E860" i="38"/>
  <c r="E10" i="38"/>
  <c r="E9" i="38"/>
  <c r="E8" i="38"/>
  <c r="E7" i="38"/>
  <c r="E6" i="38"/>
  <c r="E5" i="38"/>
  <c r="E4" i="38"/>
  <c r="E3" i="38"/>
  <c r="E2" i="38"/>
  <c r="A3" i="36"/>
  <c r="E258" i="12"/>
  <c r="E259" i="12"/>
  <c r="C1" i="29"/>
  <c r="K39" i="54" l="1"/>
  <c r="E48" i="92"/>
  <c r="A54" i="92"/>
  <c r="K44" i="92"/>
  <c r="G46" i="92"/>
  <c r="G45" i="92"/>
  <c r="E46" i="92"/>
  <c r="E45" i="92"/>
  <c r="C44" i="92" s="1"/>
  <c r="J44" i="92"/>
  <c r="I44" i="92" s="1"/>
  <c r="G44" i="92"/>
  <c r="K45" i="92"/>
  <c r="J45" i="92"/>
  <c r="I45" i="92" s="1"/>
  <c r="K97" i="92"/>
  <c r="J96" i="92"/>
  <c r="I96" i="92" s="1"/>
  <c r="J97" i="92"/>
  <c r="I97" i="92" s="1"/>
  <c r="K96" i="92"/>
  <c r="E98" i="92"/>
  <c r="E97" i="92"/>
  <c r="C96" i="92" s="1"/>
  <c r="G97" i="92"/>
  <c r="G96" i="92"/>
  <c r="G98" i="92"/>
  <c r="A106" i="92"/>
  <c r="E100" i="92"/>
  <c r="B30" i="91"/>
  <c r="D30" i="91"/>
  <c r="H40" i="91"/>
  <c r="F37" i="91"/>
  <c r="M34" i="91"/>
  <c r="K33" i="91"/>
  <c r="L34" i="91"/>
  <c r="F33" i="91"/>
  <c r="K34" i="91"/>
  <c r="M33" i="91"/>
  <c r="G34" i="91"/>
  <c r="N34" i="91"/>
  <c r="L33" i="91"/>
  <c r="Q33" i="91"/>
  <c r="P33" i="91"/>
  <c r="O33" i="91" s="1"/>
  <c r="P34" i="91"/>
  <c r="O34" i="91" s="1"/>
  <c r="N33" i="91"/>
  <c r="G1752" i="83"/>
  <c r="F1752" i="83"/>
  <c r="I1747" i="83"/>
  <c r="G1751" i="83"/>
  <c r="D1747" i="83"/>
  <c r="F1751" i="83"/>
  <c r="D1749" i="83"/>
  <c r="B1749" i="83"/>
  <c r="L1733" i="83"/>
  <c r="M1733" i="83" s="1"/>
  <c r="L1734" i="83"/>
  <c r="I1734" i="83"/>
  <c r="J1733" i="83"/>
  <c r="D1742" i="83"/>
  <c r="B1742" i="83"/>
  <c r="G1745" i="83"/>
  <c r="F1745" i="83"/>
  <c r="I1740" i="83"/>
  <c r="G1744" i="83"/>
  <c r="D1740" i="83"/>
  <c r="F1744" i="83"/>
  <c r="L1664" i="83"/>
  <c r="I1664" i="83"/>
  <c r="J1663" i="83"/>
  <c r="L1663" i="83"/>
  <c r="M1663" i="83" s="1"/>
  <c r="G1682" i="83"/>
  <c r="F1682" i="83"/>
  <c r="I1677" i="83"/>
  <c r="G1681" i="83"/>
  <c r="D1677" i="83"/>
  <c r="F1681" i="83"/>
  <c r="D1679" i="83"/>
  <c r="B1679" i="83"/>
  <c r="G1675" i="83"/>
  <c r="F1675" i="83"/>
  <c r="I1670" i="83"/>
  <c r="B1672" i="83"/>
  <c r="G1674" i="83"/>
  <c r="D1670" i="83"/>
  <c r="F1674" i="83"/>
  <c r="D1672" i="83"/>
  <c r="L1594" i="83"/>
  <c r="I1594" i="83"/>
  <c r="J1593" i="83"/>
  <c r="L1593" i="83"/>
  <c r="M1593" i="83" s="1"/>
  <c r="G1612" i="83"/>
  <c r="F1612" i="83"/>
  <c r="I1607" i="83"/>
  <c r="G1611" i="83"/>
  <c r="D1607" i="83"/>
  <c r="F1611" i="83"/>
  <c r="D1609" i="83"/>
  <c r="B1609" i="83"/>
  <c r="G1605" i="83"/>
  <c r="F1605" i="83"/>
  <c r="I1600" i="83"/>
  <c r="G1604" i="83"/>
  <c r="D1600" i="83"/>
  <c r="F1604" i="83"/>
  <c r="B1602" i="83"/>
  <c r="D1602" i="83"/>
  <c r="B1468" i="83"/>
  <c r="D1468" i="83"/>
  <c r="J1453" i="83"/>
  <c r="L1454" i="83"/>
  <c r="I1454" i="83"/>
  <c r="L1453" i="83"/>
  <c r="M1453" i="83" s="1"/>
  <c r="B1474" i="83"/>
  <c r="A1481" i="83"/>
  <c r="B1462" i="83"/>
  <c r="F1464" i="83"/>
  <c r="D1462" i="83"/>
  <c r="G1465" i="83"/>
  <c r="D1460" i="83"/>
  <c r="F1465" i="83"/>
  <c r="I1460" i="83"/>
  <c r="G1464" i="83"/>
  <c r="J1313" i="83"/>
  <c r="I1314" i="83"/>
  <c r="L1314" i="83"/>
  <c r="L1313" i="83"/>
  <c r="M1313" i="83" s="1"/>
  <c r="B1322" i="83"/>
  <c r="F1324" i="83"/>
  <c r="G1325" i="83"/>
  <c r="F1325" i="83"/>
  <c r="I1320" i="83"/>
  <c r="G1324" i="83"/>
  <c r="D1320" i="83"/>
  <c r="D1322" i="83"/>
  <c r="D1328" i="83"/>
  <c r="B1328" i="83"/>
  <c r="B1334" i="83"/>
  <c r="A1341" i="83"/>
  <c r="J1173" i="83"/>
  <c r="L1174" i="83"/>
  <c r="I1174" i="83"/>
  <c r="L1173" i="83"/>
  <c r="M1173" i="83" s="1"/>
  <c r="B1182" i="83"/>
  <c r="F1184" i="83"/>
  <c r="G1185" i="83"/>
  <c r="D1180" i="83"/>
  <c r="G1184" i="83"/>
  <c r="F1185" i="83"/>
  <c r="I1180" i="83"/>
  <c r="D1182" i="83"/>
  <c r="D1188" i="83"/>
  <c r="B1188" i="83"/>
  <c r="B1194" i="83"/>
  <c r="A1201" i="83"/>
  <c r="L1103" i="83"/>
  <c r="M1103" i="83" s="1"/>
  <c r="J1103" i="83"/>
  <c r="L1104" i="83"/>
  <c r="I1104" i="83"/>
  <c r="G1122" i="83"/>
  <c r="D1117" i="83"/>
  <c r="F1122" i="83"/>
  <c r="I1117" i="83"/>
  <c r="G1121" i="83"/>
  <c r="F1121" i="83"/>
  <c r="D1119" i="83"/>
  <c r="B1119" i="83"/>
  <c r="G1115" i="83"/>
  <c r="F1115" i="83"/>
  <c r="I1110" i="83"/>
  <c r="F1114" i="83"/>
  <c r="B1112" i="83"/>
  <c r="G1114" i="83"/>
  <c r="D1110" i="83"/>
  <c r="D1112" i="83"/>
  <c r="J1033" i="83"/>
  <c r="L1033" i="83"/>
  <c r="M1033" i="83" s="1"/>
  <c r="L1034" i="83"/>
  <c r="I1034" i="83"/>
  <c r="G1052" i="83"/>
  <c r="F1052" i="83"/>
  <c r="I1047" i="83"/>
  <c r="G1051" i="83"/>
  <c r="D1047" i="83"/>
  <c r="F1051" i="83"/>
  <c r="D1049" i="83"/>
  <c r="B1049" i="83"/>
  <c r="D1042" i="83"/>
  <c r="G1045" i="83"/>
  <c r="F1045" i="83"/>
  <c r="I1040" i="83"/>
  <c r="G1044" i="83"/>
  <c r="D1040" i="83"/>
  <c r="F1044" i="83"/>
  <c r="B1042" i="83"/>
  <c r="J963" i="83"/>
  <c r="L964" i="83"/>
  <c r="I964" i="83"/>
  <c r="L963" i="83"/>
  <c r="M963" i="83" s="1"/>
  <c r="G982" i="83"/>
  <c r="F982" i="83"/>
  <c r="I977" i="83"/>
  <c r="G981" i="83"/>
  <c r="D977" i="83"/>
  <c r="F981" i="83"/>
  <c r="D979" i="83"/>
  <c r="B979" i="83"/>
  <c r="D970" i="83"/>
  <c r="B972" i="83"/>
  <c r="G975" i="83"/>
  <c r="F975" i="83"/>
  <c r="I970" i="83"/>
  <c r="G974" i="83"/>
  <c r="F974" i="83"/>
  <c r="D972" i="83"/>
  <c r="G905" i="83"/>
  <c r="F905" i="83"/>
  <c r="I900" i="83"/>
  <c r="D902" i="83"/>
  <c r="G904" i="83"/>
  <c r="D900" i="83"/>
  <c r="F904" i="83"/>
  <c r="B902" i="83"/>
  <c r="J893" i="83"/>
  <c r="L894" i="83"/>
  <c r="L893" i="83"/>
  <c r="M893" i="83" s="1"/>
  <c r="I894" i="83"/>
  <c r="G912" i="83"/>
  <c r="F912" i="83"/>
  <c r="I907" i="83"/>
  <c r="G911" i="83"/>
  <c r="D907" i="83"/>
  <c r="F911" i="83"/>
  <c r="D909" i="83"/>
  <c r="B909" i="83"/>
  <c r="L823" i="83"/>
  <c r="M823" i="83" s="1"/>
  <c r="L824" i="83"/>
  <c r="I824" i="83"/>
  <c r="J823" i="83"/>
  <c r="F835" i="83"/>
  <c r="I830" i="83"/>
  <c r="D832" i="83"/>
  <c r="B832" i="83"/>
  <c r="G835" i="83"/>
  <c r="G834" i="83"/>
  <c r="D830" i="83"/>
  <c r="F834" i="83"/>
  <c r="G842" i="83"/>
  <c r="F842" i="83"/>
  <c r="I837" i="83"/>
  <c r="G841" i="83"/>
  <c r="D837" i="83"/>
  <c r="F841" i="83"/>
  <c r="D839" i="83"/>
  <c r="B839" i="83"/>
  <c r="L753" i="83"/>
  <c r="M753" i="83" s="1"/>
  <c r="L754" i="83"/>
  <c r="I754" i="83"/>
  <c r="J753" i="83"/>
  <c r="B762" i="83"/>
  <c r="F764" i="83"/>
  <c r="G765" i="83"/>
  <c r="D760" i="83"/>
  <c r="F765" i="83"/>
  <c r="I760" i="83"/>
  <c r="G764" i="83"/>
  <c r="D762" i="83"/>
  <c r="G772" i="83"/>
  <c r="F772" i="83"/>
  <c r="I767" i="83"/>
  <c r="G771" i="83"/>
  <c r="D767" i="83"/>
  <c r="F771" i="83"/>
  <c r="D769" i="83"/>
  <c r="B769" i="83"/>
  <c r="G702" i="83"/>
  <c r="F702" i="83"/>
  <c r="I697" i="83"/>
  <c r="G701" i="83"/>
  <c r="D697" i="83"/>
  <c r="F701" i="83"/>
  <c r="D699" i="83"/>
  <c r="B699" i="83"/>
  <c r="L684" i="83"/>
  <c r="I684" i="83"/>
  <c r="L683" i="83"/>
  <c r="M683" i="83" s="1"/>
  <c r="J683" i="83"/>
  <c r="B692" i="83"/>
  <c r="F694" i="83"/>
  <c r="G695" i="83"/>
  <c r="F695" i="83"/>
  <c r="I690" i="83"/>
  <c r="D692" i="83"/>
  <c r="G694" i="83"/>
  <c r="D690" i="83"/>
  <c r="G632" i="83"/>
  <c r="F632" i="83"/>
  <c r="I627" i="83"/>
  <c r="G631" i="83"/>
  <c r="D627" i="83"/>
  <c r="F631" i="83"/>
  <c r="D629" i="83"/>
  <c r="B629" i="83"/>
  <c r="B622" i="83"/>
  <c r="I620" i="83"/>
  <c r="G625" i="83"/>
  <c r="F625" i="83"/>
  <c r="G624" i="83"/>
  <c r="D620" i="83"/>
  <c r="F624" i="83"/>
  <c r="D622" i="83"/>
  <c r="L614" i="83"/>
  <c r="J613" i="83"/>
  <c r="I614" i="83"/>
  <c r="L613" i="83"/>
  <c r="M613" i="83" s="1"/>
  <c r="L543" i="83"/>
  <c r="M543" i="83" s="1"/>
  <c r="J543" i="83"/>
  <c r="L544" i="83"/>
  <c r="I544" i="83"/>
  <c r="G562" i="83"/>
  <c r="F562" i="83"/>
  <c r="I557" i="83"/>
  <c r="G561" i="83"/>
  <c r="D557" i="83"/>
  <c r="F561" i="83"/>
  <c r="D559" i="83"/>
  <c r="B559" i="83"/>
  <c r="G555" i="83"/>
  <c r="D552" i="83"/>
  <c r="F555" i="83"/>
  <c r="I550" i="83"/>
  <c r="G554" i="83"/>
  <c r="D550" i="83"/>
  <c r="F554" i="83"/>
  <c r="B552" i="83"/>
  <c r="B482" i="83"/>
  <c r="D482" i="83"/>
  <c r="G485" i="83"/>
  <c r="F485" i="83"/>
  <c r="I480" i="83"/>
  <c r="G484" i="83"/>
  <c r="D480" i="83"/>
  <c r="F484" i="83"/>
  <c r="G492" i="83"/>
  <c r="F492" i="83"/>
  <c r="I487" i="83"/>
  <c r="G491" i="83"/>
  <c r="D487" i="83"/>
  <c r="F491" i="83"/>
  <c r="D489" i="83"/>
  <c r="B489" i="83"/>
  <c r="L474" i="83"/>
  <c r="I474" i="83"/>
  <c r="L473" i="83"/>
  <c r="M473" i="83" s="1"/>
  <c r="J473" i="83"/>
  <c r="I404" i="83"/>
  <c r="L403" i="83"/>
  <c r="M403" i="83" s="1"/>
  <c r="L404" i="83"/>
  <c r="J403" i="83"/>
  <c r="G422" i="83"/>
  <c r="F422" i="83"/>
  <c r="I417" i="83"/>
  <c r="G421" i="83"/>
  <c r="D417" i="83"/>
  <c r="F421" i="83"/>
  <c r="D419" i="83"/>
  <c r="B419" i="83"/>
  <c r="D412" i="83"/>
  <c r="B412" i="83"/>
  <c r="G415" i="83"/>
  <c r="F415" i="83"/>
  <c r="I410" i="83"/>
  <c r="D410" i="83"/>
  <c r="G414" i="83"/>
  <c r="F414" i="83"/>
  <c r="G352" i="83"/>
  <c r="F352" i="83"/>
  <c r="I347" i="83"/>
  <c r="G351" i="83"/>
  <c r="D347" i="83"/>
  <c r="F351" i="83"/>
  <c r="D349" i="83"/>
  <c r="B349" i="83"/>
  <c r="B342" i="83"/>
  <c r="G345" i="83"/>
  <c r="D342" i="83"/>
  <c r="F345" i="83"/>
  <c r="I340" i="83"/>
  <c r="G344" i="83"/>
  <c r="D340" i="83"/>
  <c r="F344" i="83"/>
  <c r="L334" i="83"/>
  <c r="I334" i="83"/>
  <c r="L333" i="83"/>
  <c r="M333" i="83" s="1"/>
  <c r="J333" i="83"/>
  <c r="J45" i="88"/>
  <c r="I45" i="88" s="1"/>
  <c r="J44" i="88"/>
  <c r="I44" i="88" s="1"/>
  <c r="J6" i="43"/>
  <c r="E48" i="88"/>
  <c r="A54" i="88"/>
  <c r="G46" i="88"/>
  <c r="E46" i="88"/>
  <c r="K45" i="88"/>
  <c r="G45" i="88"/>
  <c r="E45" i="88"/>
  <c r="C44" i="88" s="1"/>
  <c r="K44" i="88"/>
  <c r="G44" i="88"/>
  <c r="B28" i="86"/>
  <c r="Q22" i="36"/>
  <c r="P23" i="36" s="1"/>
  <c r="A14" i="36"/>
  <c r="M32" i="86"/>
  <c r="O31" i="86"/>
  <c r="N31" i="86" s="1"/>
  <c r="M31" i="86"/>
  <c r="L31" i="86"/>
  <c r="K31" i="86"/>
  <c r="F31" i="86"/>
  <c r="Q32" i="86"/>
  <c r="P32" i="86" s="1"/>
  <c r="O32" i="86"/>
  <c r="N32" i="86" s="1"/>
  <c r="G32" i="86"/>
  <c r="D31" i="86" s="1"/>
  <c r="R31" i="86"/>
  <c r="Q31" i="86"/>
  <c r="P31" i="86" s="1"/>
  <c r="K32" i="86"/>
  <c r="L32" i="86"/>
  <c r="A38" i="86"/>
  <c r="F35" i="86"/>
  <c r="G727" i="12"/>
  <c r="K11" i="29"/>
  <c r="L41" i="54"/>
  <c r="L39" i="54"/>
  <c r="C81" i="51"/>
  <c r="V30" i="36"/>
  <c r="Q3" i="36"/>
  <c r="I33" i="36"/>
  <c r="F34" i="36" s="1"/>
  <c r="D3" i="36"/>
  <c r="A27" i="36"/>
  <c r="I27" i="36"/>
  <c r="F28" i="36" s="1"/>
  <c r="I39" i="36"/>
  <c r="F42" i="36" s="1"/>
  <c r="D1" i="36"/>
  <c r="V22" i="36"/>
  <c r="U23" i="36" s="1"/>
  <c r="L2" i="36"/>
  <c r="D5" i="36"/>
  <c r="D7" i="36"/>
  <c r="Q41" i="36"/>
  <c r="P43" i="36" s="1"/>
  <c r="A5" i="36"/>
  <c r="D9" i="36"/>
  <c r="Q30" i="36"/>
  <c r="P31" i="36" s="1"/>
  <c r="V41" i="36"/>
  <c r="U43" i="36" s="1"/>
  <c r="Q16" i="36"/>
  <c r="O22" i="29"/>
  <c r="N23" i="29" s="1"/>
  <c r="O11" i="29"/>
  <c r="N13" i="29" s="1"/>
  <c r="O15" i="29"/>
  <c r="N18" i="29" s="1"/>
  <c r="O7" i="29"/>
  <c r="C7" i="29"/>
  <c r="C11" i="29"/>
  <c r="C2" i="29"/>
  <c r="C3" i="29"/>
  <c r="B17" i="29"/>
  <c r="K22" i="29"/>
  <c r="J23" i="29" s="1"/>
  <c r="K15" i="29"/>
  <c r="J18" i="29" s="1"/>
  <c r="K7" i="29"/>
  <c r="J9" i="29" s="1"/>
  <c r="E104" i="92" l="1"/>
  <c r="B58" i="92"/>
  <c r="K100" i="92"/>
  <c r="K101" i="92"/>
  <c r="J100" i="92"/>
  <c r="I100" i="92" s="1"/>
  <c r="E102" i="92"/>
  <c r="J101" i="92"/>
  <c r="I101" i="92" s="1"/>
  <c r="E101" i="92"/>
  <c r="C100" i="92" s="1"/>
  <c r="G100" i="92"/>
  <c r="G102" i="92"/>
  <c r="G101" i="92"/>
  <c r="E52" i="92"/>
  <c r="B6" i="92"/>
  <c r="K48" i="92"/>
  <c r="K49" i="92"/>
  <c r="J48" i="92"/>
  <c r="I48" i="92" s="1"/>
  <c r="J49" i="92"/>
  <c r="I49" i="92" s="1"/>
  <c r="G49" i="92"/>
  <c r="G48" i="92"/>
  <c r="G50" i="92"/>
  <c r="E49" i="92"/>
  <c r="C48" i="92" s="1"/>
  <c r="E50" i="92"/>
  <c r="D33" i="91"/>
  <c r="B33" i="91"/>
  <c r="P36" i="91"/>
  <c r="O36" i="91" s="1"/>
  <c r="P37" i="91"/>
  <c r="O37" i="91" s="1"/>
  <c r="N36" i="91"/>
  <c r="M36" i="91"/>
  <c r="N37" i="91"/>
  <c r="L36" i="91"/>
  <c r="M37" i="91"/>
  <c r="K36" i="91"/>
  <c r="Q36" i="91"/>
  <c r="L37" i="91"/>
  <c r="F36" i="91"/>
  <c r="K37" i="91"/>
  <c r="G37" i="91"/>
  <c r="F40" i="91"/>
  <c r="H43" i="91"/>
  <c r="F43" i="91" s="1"/>
  <c r="I1741" i="83"/>
  <c r="L1740" i="83"/>
  <c r="M1740" i="83" s="1"/>
  <c r="J1740" i="83"/>
  <c r="L1741" i="83"/>
  <c r="J1747" i="83"/>
  <c r="L1748" i="83"/>
  <c r="I1748" i="83"/>
  <c r="L1747" i="83"/>
  <c r="M1747" i="83" s="1"/>
  <c r="J1677" i="83"/>
  <c r="L1678" i="83"/>
  <c r="I1678" i="83"/>
  <c r="L1677" i="83"/>
  <c r="M1677" i="83" s="1"/>
  <c r="I1671" i="83"/>
  <c r="L1670" i="83"/>
  <c r="M1670" i="83" s="1"/>
  <c r="J1670" i="83"/>
  <c r="L1671" i="83"/>
  <c r="J1607" i="83"/>
  <c r="L1607" i="83"/>
  <c r="M1607" i="83" s="1"/>
  <c r="L1608" i="83"/>
  <c r="I1608" i="83"/>
  <c r="I1601" i="83"/>
  <c r="L1600" i="83"/>
  <c r="M1600" i="83" s="1"/>
  <c r="J1600" i="83"/>
  <c r="L1601" i="83"/>
  <c r="A1488" i="83"/>
  <c r="B1481" i="83"/>
  <c r="D1475" i="83"/>
  <c r="B1475" i="83"/>
  <c r="L1461" i="83"/>
  <c r="I1461" i="83"/>
  <c r="L1460" i="83"/>
  <c r="M1460" i="83" s="1"/>
  <c r="J1460" i="83"/>
  <c r="G1472" i="83"/>
  <c r="F1472" i="83"/>
  <c r="I1467" i="83"/>
  <c r="G1471" i="83"/>
  <c r="D1467" i="83"/>
  <c r="F1471" i="83"/>
  <c r="D1469" i="83"/>
  <c r="B1469" i="83"/>
  <c r="L1321" i="83"/>
  <c r="I1321" i="83"/>
  <c r="L1320" i="83"/>
  <c r="M1320" i="83" s="1"/>
  <c r="J1320" i="83"/>
  <c r="A1348" i="83"/>
  <c r="B1341" i="83"/>
  <c r="D1335" i="83"/>
  <c r="B1335" i="83"/>
  <c r="G1332" i="83"/>
  <c r="F1332" i="83"/>
  <c r="I1327" i="83"/>
  <c r="G1331" i="83"/>
  <c r="D1327" i="83"/>
  <c r="F1331" i="83"/>
  <c r="D1329" i="83"/>
  <c r="B1329" i="83"/>
  <c r="L1181" i="83"/>
  <c r="I1181" i="83"/>
  <c r="L1180" i="83"/>
  <c r="M1180" i="83" s="1"/>
  <c r="J1180" i="83"/>
  <c r="B1201" i="83"/>
  <c r="A1208" i="83"/>
  <c r="D1195" i="83"/>
  <c r="B1195" i="83"/>
  <c r="G1192" i="83"/>
  <c r="F1192" i="83"/>
  <c r="I1187" i="83"/>
  <c r="G1191" i="83"/>
  <c r="D1187" i="83"/>
  <c r="B1189" i="83"/>
  <c r="F1191" i="83"/>
  <c r="D1189" i="83"/>
  <c r="J1117" i="83"/>
  <c r="L1117" i="83"/>
  <c r="M1117" i="83" s="1"/>
  <c r="L1118" i="83"/>
  <c r="I1118" i="83"/>
  <c r="I1111" i="83"/>
  <c r="L1111" i="83"/>
  <c r="L1110" i="83"/>
  <c r="M1110" i="83" s="1"/>
  <c r="J1110" i="83"/>
  <c r="J1047" i="83"/>
  <c r="L1048" i="83"/>
  <c r="I1048" i="83"/>
  <c r="L1047" i="83"/>
  <c r="M1047" i="83" s="1"/>
  <c r="I1041" i="83"/>
  <c r="L1041" i="83"/>
  <c r="L1040" i="83"/>
  <c r="M1040" i="83" s="1"/>
  <c r="J1040" i="83"/>
  <c r="J977" i="83"/>
  <c r="L978" i="83"/>
  <c r="I978" i="83"/>
  <c r="L977" i="83"/>
  <c r="M977" i="83" s="1"/>
  <c r="I971" i="83"/>
  <c r="L970" i="83"/>
  <c r="M970" i="83" s="1"/>
  <c r="J970" i="83"/>
  <c r="L971" i="83"/>
  <c r="J907" i="83"/>
  <c r="L908" i="83"/>
  <c r="I908" i="83"/>
  <c r="L907" i="83"/>
  <c r="M907" i="83" s="1"/>
  <c r="I901" i="83"/>
  <c r="L901" i="83"/>
  <c r="L900" i="83"/>
  <c r="M900" i="83" s="1"/>
  <c r="J900" i="83"/>
  <c r="I831" i="83"/>
  <c r="L830" i="83"/>
  <c r="M830" i="83" s="1"/>
  <c r="J830" i="83"/>
  <c r="L831" i="83"/>
  <c r="J837" i="83"/>
  <c r="L838" i="83"/>
  <c r="I838" i="83"/>
  <c r="L837" i="83"/>
  <c r="M837" i="83" s="1"/>
  <c r="I761" i="83"/>
  <c r="L760" i="83"/>
  <c r="M760" i="83" s="1"/>
  <c r="J760" i="83"/>
  <c r="L761" i="83"/>
  <c r="J767" i="83"/>
  <c r="L768" i="83"/>
  <c r="I768" i="83"/>
  <c r="L767" i="83"/>
  <c r="M767" i="83" s="1"/>
  <c r="I691" i="83"/>
  <c r="L690" i="83"/>
  <c r="M690" i="83" s="1"/>
  <c r="J690" i="83"/>
  <c r="L691" i="83"/>
  <c r="J697" i="83"/>
  <c r="L697" i="83"/>
  <c r="M697" i="83" s="1"/>
  <c r="L698" i="83"/>
  <c r="I698" i="83"/>
  <c r="I621" i="83"/>
  <c r="L620" i="83"/>
  <c r="M620" i="83" s="1"/>
  <c r="J620" i="83"/>
  <c r="L621" i="83"/>
  <c r="J627" i="83"/>
  <c r="L628" i="83"/>
  <c r="I628" i="83"/>
  <c r="L627" i="83"/>
  <c r="M627" i="83" s="1"/>
  <c r="J557" i="83"/>
  <c r="L558" i="83"/>
  <c r="I558" i="83"/>
  <c r="L557" i="83"/>
  <c r="M557" i="83" s="1"/>
  <c r="I551" i="83"/>
  <c r="L550" i="83"/>
  <c r="M550" i="83" s="1"/>
  <c r="L551" i="83"/>
  <c r="J550" i="83"/>
  <c r="J487" i="83"/>
  <c r="L487" i="83"/>
  <c r="M487" i="83" s="1"/>
  <c r="L488" i="83"/>
  <c r="I488" i="83"/>
  <c r="I481" i="83"/>
  <c r="L481" i="83"/>
  <c r="L480" i="83"/>
  <c r="M480" i="83" s="1"/>
  <c r="J480" i="83"/>
  <c r="J417" i="83"/>
  <c r="L417" i="83"/>
  <c r="M417" i="83" s="1"/>
  <c r="L418" i="83"/>
  <c r="I418" i="83"/>
  <c r="I411" i="83"/>
  <c r="L410" i="83"/>
  <c r="M410" i="83" s="1"/>
  <c r="L411" i="83"/>
  <c r="J410" i="83"/>
  <c r="J347" i="83"/>
  <c r="L348" i="83"/>
  <c r="I348" i="83"/>
  <c r="L347" i="83"/>
  <c r="M347" i="83" s="1"/>
  <c r="I341" i="83"/>
  <c r="L340" i="83"/>
  <c r="M340" i="83" s="1"/>
  <c r="L341" i="83"/>
  <c r="J340" i="83"/>
  <c r="J48" i="88"/>
  <c r="I48" i="88" s="1"/>
  <c r="J49" i="88"/>
  <c r="I49" i="88" s="1"/>
  <c r="E52" i="88"/>
  <c r="B6" i="88"/>
  <c r="G50" i="88"/>
  <c r="E50" i="88"/>
  <c r="K49" i="88"/>
  <c r="G49" i="88"/>
  <c r="E49" i="88"/>
  <c r="C48" i="88" s="1"/>
  <c r="K48" i="88"/>
  <c r="G48" i="88"/>
  <c r="B31" i="86"/>
  <c r="N7" i="29"/>
  <c r="N9" i="29"/>
  <c r="J11" i="29"/>
  <c r="J13" i="29"/>
  <c r="M35" i="86"/>
  <c r="R34" i="86"/>
  <c r="Q34" i="86"/>
  <c r="P34" i="86" s="1"/>
  <c r="O34" i="86"/>
  <c r="N34" i="86" s="1"/>
  <c r="M34" i="86"/>
  <c r="L34" i="86"/>
  <c r="K34" i="86"/>
  <c r="F34" i="86"/>
  <c r="Q35" i="86"/>
  <c r="P35" i="86" s="1"/>
  <c r="O35" i="86"/>
  <c r="N35" i="86" s="1"/>
  <c r="L35" i="86"/>
  <c r="G35" i="86"/>
  <c r="D34" i="86" s="1"/>
  <c r="K35" i="86"/>
  <c r="A41" i="86"/>
  <c r="A44" i="86" s="1"/>
  <c r="A47" i="86" s="1"/>
  <c r="A50" i="86" s="1"/>
  <c r="F38" i="86"/>
  <c r="U30" i="36"/>
  <c r="U31" i="36"/>
  <c r="C82" i="51"/>
  <c r="C8" i="29"/>
  <c r="G8" i="29" s="1"/>
  <c r="B9" i="29"/>
  <c r="F39" i="36"/>
  <c r="F33" i="36"/>
  <c r="F27" i="36"/>
  <c r="P41" i="36"/>
  <c r="V3" i="36"/>
  <c r="S3" i="36"/>
  <c r="R3" i="36"/>
  <c r="P6" i="36"/>
  <c r="P3" i="36"/>
  <c r="S4" i="36"/>
  <c r="P22" i="36"/>
  <c r="U41" i="36"/>
  <c r="P30" i="36"/>
  <c r="U22" i="36"/>
  <c r="P16" i="36"/>
  <c r="P18" i="36"/>
  <c r="S17" i="36"/>
  <c r="V16" i="36"/>
  <c r="U18" i="36" s="1"/>
  <c r="S16" i="36"/>
  <c r="R16" i="36"/>
  <c r="C12" i="29"/>
  <c r="G12" i="29" s="1"/>
  <c r="B7" i="29"/>
  <c r="F7" i="29" s="1"/>
  <c r="J22" i="29"/>
  <c r="N15" i="29"/>
  <c r="B11" i="29"/>
  <c r="F11" i="29" s="1"/>
  <c r="B13" i="29"/>
  <c r="D12" i="29"/>
  <c r="H12" i="29" s="1"/>
  <c r="G11" i="29"/>
  <c r="F13" i="29" s="1"/>
  <c r="D11" i="29"/>
  <c r="H11" i="29" s="1"/>
  <c r="J7" i="29"/>
  <c r="G7" i="29"/>
  <c r="F9" i="29" s="1"/>
  <c r="D7" i="29"/>
  <c r="H7" i="29" s="1"/>
  <c r="D8" i="29"/>
  <c r="H8" i="29" s="1"/>
  <c r="N22" i="29"/>
  <c r="N11" i="29"/>
  <c r="J15" i="29"/>
  <c r="G54" i="92" l="1"/>
  <c r="E54" i="92"/>
  <c r="J53" i="92"/>
  <c r="I53" i="92" s="1"/>
  <c r="K53" i="92"/>
  <c r="K52" i="92"/>
  <c r="J52" i="92"/>
  <c r="I52" i="92" s="1"/>
  <c r="G53" i="92"/>
  <c r="E53" i="92"/>
  <c r="C52" i="92" s="1"/>
  <c r="G52" i="92"/>
  <c r="O56" i="92"/>
  <c r="B62" i="92"/>
  <c r="O4" i="92"/>
  <c r="B10" i="92"/>
  <c r="G106" i="92"/>
  <c r="E106" i="92"/>
  <c r="G105" i="92"/>
  <c r="K105" i="92"/>
  <c r="J105" i="92"/>
  <c r="I105" i="92" s="1"/>
  <c r="J104" i="92"/>
  <c r="I104" i="92" s="1"/>
  <c r="E105" i="92"/>
  <c r="C104" i="92" s="1"/>
  <c r="K104" i="92"/>
  <c r="G104" i="92"/>
  <c r="A1010" i="86"/>
  <c r="F1010" i="86" s="1"/>
  <c r="F47" i="86"/>
  <c r="K40" i="91"/>
  <c r="M39" i="91"/>
  <c r="G40" i="91"/>
  <c r="M40" i="91"/>
  <c r="Q39" i="91"/>
  <c r="P39" i="91"/>
  <c r="O39" i="91" s="1"/>
  <c r="K39" i="91"/>
  <c r="L40" i="91"/>
  <c r="F39" i="91"/>
  <c r="P40" i="91"/>
  <c r="O40" i="91" s="1"/>
  <c r="N39" i="91"/>
  <c r="N40" i="91"/>
  <c r="L39" i="91"/>
  <c r="B36" i="91"/>
  <c r="D36" i="91"/>
  <c r="P43" i="91"/>
  <c r="O43" i="91" s="1"/>
  <c r="N42" i="91"/>
  <c r="M42" i="91"/>
  <c r="N43" i="91"/>
  <c r="L42" i="91"/>
  <c r="M43" i="91"/>
  <c r="K42" i="91"/>
  <c r="L43" i="91"/>
  <c r="F42" i="91"/>
  <c r="K43" i="91"/>
  <c r="G43" i="91"/>
  <c r="P42" i="91"/>
  <c r="O42" i="91" s="1"/>
  <c r="Q42" i="91"/>
  <c r="L1467" i="83"/>
  <c r="M1467" i="83" s="1"/>
  <c r="J1467" i="83"/>
  <c r="I1468" i="83"/>
  <c r="L1468" i="83"/>
  <c r="F1478" i="83"/>
  <c r="D1476" i="83"/>
  <c r="I1474" i="83"/>
  <c r="B1476" i="83"/>
  <c r="D1474" i="83"/>
  <c r="F1479" i="83"/>
  <c r="G1478" i="83"/>
  <c r="G1479" i="83"/>
  <c r="D1482" i="83"/>
  <c r="B1482" i="83"/>
  <c r="A1495" i="83"/>
  <c r="B1488" i="83"/>
  <c r="L1327" i="83"/>
  <c r="M1327" i="83" s="1"/>
  <c r="J1327" i="83"/>
  <c r="L1328" i="83"/>
  <c r="I1328" i="83"/>
  <c r="F1338" i="83"/>
  <c r="D1336" i="83"/>
  <c r="B1336" i="83"/>
  <c r="F1339" i="83"/>
  <c r="G1339" i="83"/>
  <c r="I1334" i="83"/>
  <c r="G1338" i="83"/>
  <c r="D1334" i="83"/>
  <c r="D1342" i="83"/>
  <c r="B1342" i="83"/>
  <c r="B1348" i="83"/>
  <c r="A1355" i="83"/>
  <c r="L1187" i="83"/>
  <c r="M1187" i="83" s="1"/>
  <c r="J1187" i="83"/>
  <c r="L1188" i="83"/>
  <c r="I1188" i="83"/>
  <c r="F1198" i="83"/>
  <c r="D1196" i="83"/>
  <c r="B1196" i="83"/>
  <c r="I1194" i="83"/>
  <c r="F1199" i="83"/>
  <c r="G1199" i="83"/>
  <c r="G1198" i="83"/>
  <c r="D1194" i="83"/>
  <c r="B1208" i="83"/>
  <c r="A1215" i="83"/>
  <c r="D1202" i="83"/>
  <c r="B1202" i="83"/>
  <c r="J53" i="88"/>
  <c r="I53" i="88" s="1"/>
  <c r="J52" i="88"/>
  <c r="I52" i="88" s="1"/>
  <c r="F41" i="86"/>
  <c r="Q40" i="86" s="1"/>
  <c r="P40" i="86" s="1"/>
  <c r="O4" i="88"/>
  <c r="B10" i="88"/>
  <c r="G54" i="88"/>
  <c r="E54" i="88"/>
  <c r="K53" i="88"/>
  <c r="G53" i="88"/>
  <c r="E53" i="88"/>
  <c r="C52" i="88" s="1"/>
  <c r="K52" i="88"/>
  <c r="G52" i="88"/>
  <c r="B34" i="86"/>
  <c r="M38" i="86"/>
  <c r="O38" i="86"/>
  <c r="N38" i="86" s="1"/>
  <c r="G38" i="86"/>
  <c r="D37" i="86" s="1"/>
  <c r="R37" i="86"/>
  <c r="Q37" i="86"/>
  <c r="P37" i="86" s="1"/>
  <c r="O37" i="86"/>
  <c r="N37" i="86" s="1"/>
  <c r="M37" i="86"/>
  <c r="L37" i="86"/>
  <c r="K37" i="86"/>
  <c r="F37" i="86"/>
  <c r="Q38" i="86"/>
  <c r="P38" i="86" s="1"/>
  <c r="K38" i="86"/>
  <c r="L38" i="86"/>
  <c r="G41" i="86"/>
  <c r="D40" i="86" s="1"/>
  <c r="R40" i="86"/>
  <c r="C83" i="51"/>
  <c r="X17" i="36"/>
  <c r="X16" i="36"/>
  <c r="W16" i="36"/>
  <c r="U16" i="36"/>
  <c r="W3" i="36"/>
  <c r="U3" i="36"/>
  <c r="U6" i="36"/>
  <c r="X4" i="36"/>
  <c r="X3" i="36"/>
  <c r="U4" i="92" l="1"/>
  <c r="Q4" i="92"/>
  <c r="T4" i="92"/>
  <c r="S4" i="92" s="1"/>
  <c r="U5" i="92"/>
  <c r="T5" i="92"/>
  <c r="S5" i="92" s="1"/>
  <c r="O5" i="92"/>
  <c r="M4" i="92" s="1"/>
  <c r="O6" i="92"/>
  <c r="Q5" i="92"/>
  <c r="Q6" i="92"/>
  <c r="O60" i="92"/>
  <c r="B66" i="92"/>
  <c r="U56" i="92"/>
  <c r="T56" i="92"/>
  <c r="S56" i="92" s="1"/>
  <c r="U57" i="92"/>
  <c r="T57" i="92"/>
  <c r="S57" i="92" s="1"/>
  <c r="Q56" i="92"/>
  <c r="Q58" i="92"/>
  <c r="O58" i="92"/>
  <c r="Q57" i="92"/>
  <c r="O57" i="92"/>
  <c r="M56" i="92" s="1"/>
  <c r="O8" i="92"/>
  <c r="B14" i="92"/>
  <c r="A1013" i="86"/>
  <c r="F1013" i="86" s="1"/>
  <c r="K1007" i="86"/>
  <c r="G1007" i="86"/>
  <c r="D1006" i="86" s="1"/>
  <c r="R1006" i="86"/>
  <c r="Q1006" i="86"/>
  <c r="P1006" i="86" s="1"/>
  <c r="M1006" i="86"/>
  <c r="Q1007" i="86"/>
  <c r="O1006" i="86"/>
  <c r="N1006" i="86" s="1"/>
  <c r="O1007" i="86"/>
  <c r="N1007" i="86" s="1"/>
  <c r="L1006" i="86"/>
  <c r="M1007" i="86"/>
  <c r="K1006" i="86"/>
  <c r="L1007" i="86"/>
  <c r="F1006" i="86"/>
  <c r="Q1010" i="86"/>
  <c r="P1010" i="86" s="1"/>
  <c r="O1009" i="86"/>
  <c r="N1009" i="86" s="1"/>
  <c r="M1009" i="86"/>
  <c r="O1010" i="86"/>
  <c r="N1010" i="86" s="1"/>
  <c r="L1009" i="86"/>
  <c r="M1010" i="86"/>
  <c r="K1009" i="86"/>
  <c r="L1010" i="86"/>
  <c r="F1009" i="86"/>
  <c r="K1010" i="86"/>
  <c r="G1010" i="86"/>
  <c r="D1009" i="86" s="1"/>
  <c r="R1009" i="86"/>
  <c r="Q1009" i="86"/>
  <c r="P1009" i="86" s="1"/>
  <c r="M46" i="86"/>
  <c r="Q47" i="86"/>
  <c r="P47" i="86" s="1"/>
  <c r="O46" i="86"/>
  <c r="N46" i="86" s="1"/>
  <c r="Q46" i="86"/>
  <c r="P46" i="86" s="1"/>
  <c r="R46" i="86"/>
  <c r="G47" i="86"/>
  <c r="K47" i="86"/>
  <c r="O47" i="86"/>
  <c r="N47" i="86" s="1"/>
  <c r="M47" i="86"/>
  <c r="L47" i="86"/>
  <c r="F46" i="86"/>
  <c r="L46" i="86"/>
  <c r="K46" i="86"/>
  <c r="A53" i="86"/>
  <c r="F50" i="86"/>
  <c r="O41" i="86"/>
  <c r="N41" i="86" s="1"/>
  <c r="Q41" i="86"/>
  <c r="P41" i="86" s="1"/>
  <c r="M41" i="86"/>
  <c r="L41" i="86"/>
  <c r="K41" i="86"/>
  <c r="K40" i="86"/>
  <c r="F40" i="86"/>
  <c r="L40" i="86"/>
  <c r="M40" i="86"/>
  <c r="O40" i="86"/>
  <c r="N40" i="86" s="1"/>
  <c r="D39" i="91"/>
  <c r="B39" i="91"/>
  <c r="D42" i="91"/>
  <c r="B42" i="91"/>
  <c r="L1475" i="83"/>
  <c r="I1475" i="83"/>
  <c r="J1474" i="83"/>
  <c r="L1474" i="83"/>
  <c r="M1474" i="83" s="1"/>
  <c r="D1489" i="83"/>
  <c r="B1489" i="83"/>
  <c r="A1502" i="83"/>
  <c r="B1495" i="83"/>
  <c r="B1483" i="83"/>
  <c r="G1486" i="83"/>
  <c r="F1486" i="83"/>
  <c r="I1481" i="83"/>
  <c r="G1485" i="83"/>
  <c r="D1481" i="83"/>
  <c r="F1485" i="83"/>
  <c r="D1483" i="83"/>
  <c r="L1335" i="83"/>
  <c r="I1335" i="83"/>
  <c r="L1334" i="83"/>
  <c r="M1334" i="83" s="1"/>
  <c r="J1334" i="83"/>
  <c r="A1362" i="83"/>
  <c r="B1355" i="83"/>
  <c r="D1349" i="83"/>
  <c r="B1349" i="83"/>
  <c r="G1346" i="83"/>
  <c r="F1346" i="83"/>
  <c r="I1341" i="83"/>
  <c r="G1345" i="83"/>
  <c r="D1341" i="83"/>
  <c r="F1345" i="83"/>
  <c r="D1343" i="83"/>
  <c r="B1343" i="83"/>
  <c r="L1195" i="83"/>
  <c r="I1195" i="83"/>
  <c r="J1194" i="83"/>
  <c r="L1194" i="83"/>
  <c r="M1194" i="83" s="1"/>
  <c r="F1205" i="83"/>
  <c r="B1203" i="83"/>
  <c r="G1206" i="83"/>
  <c r="F1206" i="83"/>
  <c r="I1201" i="83"/>
  <c r="G1205" i="83"/>
  <c r="D1201" i="83"/>
  <c r="D1203" i="83"/>
  <c r="B1215" i="83"/>
  <c r="A1222" i="83"/>
  <c r="D1209" i="83"/>
  <c r="B1209" i="83"/>
  <c r="T4" i="88"/>
  <c r="S4" i="88" s="1"/>
  <c r="T5" i="88"/>
  <c r="S5" i="88" s="1"/>
  <c r="F44" i="86"/>
  <c r="Q43" i="86" s="1"/>
  <c r="P43" i="86" s="1"/>
  <c r="B14" i="88"/>
  <c r="O8" i="88"/>
  <c r="Q6" i="88"/>
  <c r="O6" i="88"/>
  <c r="U5" i="88"/>
  <c r="Q5" i="88"/>
  <c r="U4" i="88"/>
  <c r="Q4" i="88"/>
  <c r="O5" i="88"/>
  <c r="M4" i="88" s="1"/>
  <c r="B40" i="86"/>
  <c r="B37" i="86"/>
  <c r="C84" i="51"/>
  <c r="B70" i="92" l="1"/>
  <c r="O64" i="92"/>
  <c r="B18" i="92"/>
  <c r="O12" i="92"/>
  <c r="T61" i="92"/>
  <c r="S61" i="92" s="1"/>
  <c r="Q60" i="92"/>
  <c r="Q61" i="92"/>
  <c r="O61" i="92"/>
  <c r="M60" i="92" s="1"/>
  <c r="U60" i="92"/>
  <c r="Q62" i="92"/>
  <c r="O62" i="92"/>
  <c r="U61" i="92"/>
  <c r="T60" i="92"/>
  <c r="S60" i="92" s="1"/>
  <c r="U9" i="92"/>
  <c r="T9" i="92"/>
  <c r="S9" i="92" s="1"/>
  <c r="Q8" i="92"/>
  <c r="O9" i="92"/>
  <c r="M8" i="92" s="1"/>
  <c r="Q9" i="92"/>
  <c r="U8" i="92"/>
  <c r="O10" i="92"/>
  <c r="T8" i="92"/>
  <c r="S8" i="92" s="1"/>
  <c r="Q10" i="92"/>
  <c r="A1016" i="86"/>
  <c r="F1016" i="86" s="1"/>
  <c r="B1006" i="86"/>
  <c r="B1009" i="86"/>
  <c r="B46" i="86"/>
  <c r="D46" i="86"/>
  <c r="M49" i="86"/>
  <c r="F49" i="86"/>
  <c r="O50" i="86"/>
  <c r="N50" i="86" s="1"/>
  <c r="L49" i="86"/>
  <c r="M50" i="86"/>
  <c r="K49" i="86"/>
  <c r="L50" i="86"/>
  <c r="R49" i="86"/>
  <c r="K50" i="86"/>
  <c r="Q50" i="86"/>
  <c r="P50" i="86" s="1"/>
  <c r="G50" i="86"/>
  <c r="O49" i="86"/>
  <c r="N49" i="86" s="1"/>
  <c r="Q49" i="86"/>
  <c r="P49" i="86" s="1"/>
  <c r="F53" i="86"/>
  <c r="A56" i="86"/>
  <c r="L44" i="86"/>
  <c r="K43" i="86"/>
  <c r="M44" i="86"/>
  <c r="R43" i="86"/>
  <c r="G44" i="86"/>
  <c r="D43" i="86" s="1"/>
  <c r="O44" i="86"/>
  <c r="N44" i="86" s="1"/>
  <c r="L43" i="86"/>
  <c r="M43" i="86"/>
  <c r="F43" i="86"/>
  <c r="K44" i="86"/>
  <c r="D1496" i="83"/>
  <c r="B1496" i="83"/>
  <c r="F1493" i="83"/>
  <c r="I1488" i="83"/>
  <c r="G1492" i="83"/>
  <c r="D1488" i="83"/>
  <c r="G1493" i="83"/>
  <c r="F1492" i="83"/>
  <c r="D1490" i="83"/>
  <c r="B1490" i="83"/>
  <c r="A1509" i="83"/>
  <c r="B1502" i="83"/>
  <c r="L1482" i="83"/>
  <c r="L1481" i="83"/>
  <c r="M1481" i="83" s="1"/>
  <c r="J1481" i="83"/>
  <c r="I1482" i="83"/>
  <c r="L1341" i="83"/>
  <c r="M1341" i="83" s="1"/>
  <c r="J1341" i="83"/>
  <c r="L1342" i="83"/>
  <c r="I1342" i="83"/>
  <c r="F1353" i="83"/>
  <c r="I1348" i="83"/>
  <c r="G1352" i="83"/>
  <c r="D1348" i="83"/>
  <c r="F1352" i="83"/>
  <c r="D1350" i="83"/>
  <c r="B1350" i="83"/>
  <c r="G1353" i="83"/>
  <c r="D1356" i="83"/>
  <c r="B1356" i="83"/>
  <c r="A1369" i="83"/>
  <c r="B1362" i="83"/>
  <c r="F1213" i="83"/>
  <c r="I1208" i="83"/>
  <c r="G1212" i="83"/>
  <c r="D1208" i="83"/>
  <c r="F1212" i="83"/>
  <c r="D1210" i="83"/>
  <c r="B1210" i="83"/>
  <c r="G1213" i="83"/>
  <c r="L1201" i="83"/>
  <c r="M1201" i="83" s="1"/>
  <c r="J1201" i="83"/>
  <c r="L1202" i="83"/>
  <c r="I1202" i="83"/>
  <c r="A1229" i="83"/>
  <c r="B1222" i="83"/>
  <c r="D1216" i="83"/>
  <c r="B1216" i="83"/>
  <c r="T8" i="88"/>
  <c r="S8" i="88" s="1"/>
  <c r="T9" i="88"/>
  <c r="S9" i="88" s="1"/>
  <c r="O43" i="86"/>
  <c r="N43" i="86" s="1"/>
  <c r="Q44" i="86"/>
  <c r="P44" i="86" s="1"/>
  <c r="Q10" i="88"/>
  <c r="U9" i="88"/>
  <c r="Q9" i="88"/>
  <c r="O9" i="88"/>
  <c r="M8" i="88" s="1"/>
  <c r="U8" i="88"/>
  <c r="Q8" i="88"/>
  <c r="O10" i="88"/>
  <c r="B18" i="88"/>
  <c r="O12" i="88"/>
  <c r="C85" i="51"/>
  <c r="O13" i="92" l="1"/>
  <c r="M12" i="92" s="1"/>
  <c r="Q14" i="92"/>
  <c r="O14" i="92"/>
  <c r="U13" i="92"/>
  <c r="T12" i="92"/>
  <c r="S12" i="92" s="1"/>
  <c r="Q12" i="92"/>
  <c r="T13" i="92"/>
  <c r="S13" i="92" s="1"/>
  <c r="U12" i="92"/>
  <c r="Q13" i="92"/>
  <c r="B22" i="92"/>
  <c r="O16" i="92"/>
  <c r="Q66" i="92"/>
  <c r="O66" i="92"/>
  <c r="T65" i="92"/>
  <c r="S65" i="92" s="1"/>
  <c r="Q64" i="92"/>
  <c r="U64" i="92"/>
  <c r="U65" i="92"/>
  <c r="Q65" i="92"/>
  <c r="O65" i="92"/>
  <c r="M64" i="92" s="1"/>
  <c r="T64" i="92"/>
  <c r="S64" i="92" s="1"/>
  <c r="B74" i="92"/>
  <c r="O68" i="92"/>
  <c r="A1019" i="86"/>
  <c r="F1019" i="86" s="1"/>
  <c r="K1013" i="86"/>
  <c r="L1012" i="86"/>
  <c r="G1013" i="86"/>
  <c r="D1012" i="86" s="1"/>
  <c r="R1012" i="86"/>
  <c r="Q1012" i="86"/>
  <c r="P1012" i="86" s="1"/>
  <c r="M1013" i="86"/>
  <c r="F1012" i="86"/>
  <c r="Q1013" i="86"/>
  <c r="P1013" i="86" s="1"/>
  <c r="O1012" i="86"/>
  <c r="N1012" i="86" s="1"/>
  <c r="L1013" i="86"/>
  <c r="M1012" i="86"/>
  <c r="O1013" i="86"/>
  <c r="N1013" i="86" s="1"/>
  <c r="K1012" i="86"/>
  <c r="D49" i="86"/>
  <c r="B49" i="86"/>
  <c r="F56" i="86"/>
  <c r="A59" i="86"/>
  <c r="L53" i="86"/>
  <c r="K52" i="86"/>
  <c r="G53" i="86"/>
  <c r="R52" i="86"/>
  <c r="Q52" i="86"/>
  <c r="P52" i="86" s="1"/>
  <c r="F52" i="86"/>
  <c r="Q53" i="86"/>
  <c r="P53" i="86" s="1"/>
  <c r="O52" i="86"/>
  <c r="N52" i="86" s="1"/>
  <c r="K53" i="86"/>
  <c r="M52" i="86"/>
  <c r="O53" i="86"/>
  <c r="N53" i="86" s="1"/>
  <c r="L52" i="86"/>
  <c r="M53" i="86"/>
  <c r="B43" i="86"/>
  <c r="L1489" i="83"/>
  <c r="I1489" i="83"/>
  <c r="B1503" i="83"/>
  <c r="D1503" i="83"/>
  <c r="L1488" i="83"/>
  <c r="M1488" i="83" s="1"/>
  <c r="J1488" i="83"/>
  <c r="B1509" i="83"/>
  <c r="A1516" i="83"/>
  <c r="F1499" i="83"/>
  <c r="G1500" i="83"/>
  <c r="F1500" i="83"/>
  <c r="I1495" i="83"/>
  <c r="G1499" i="83"/>
  <c r="D1495" i="83"/>
  <c r="D1497" i="83"/>
  <c r="B1497" i="83"/>
  <c r="B1363" i="83"/>
  <c r="D1363" i="83"/>
  <c r="A1376" i="83"/>
  <c r="B1369" i="83"/>
  <c r="L1349" i="83"/>
  <c r="I1349" i="83"/>
  <c r="L1348" i="83"/>
  <c r="M1348" i="83" s="1"/>
  <c r="J1348" i="83"/>
  <c r="D1357" i="83"/>
  <c r="G1360" i="83"/>
  <c r="F1360" i="83"/>
  <c r="I1355" i="83"/>
  <c r="G1359" i="83"/>
  <c r="D1355" i="83"/>
  <c r="F1359" i="83"/>
  <c r="B1357" i="83"/>
  <c r="D1223" i="83"/>
  <c r="B1223" i="83"/>
  <c r="A1236" i="83"/>
  <c r="B1229" i="83"/>
  <c r="D1217" i="83"/>
  <c r="F1219" i="83"/>
  <c r="G1220" i="83"/>
  <c r="F1220" i="83"/>
  <c r="I1215" i="83"/>
  <c r="G1219" i="83"/>
  <c r="D1215" i="83"/>
  <c r="B1217" i="83"/>
  <c r="L1209" i="83"/>
  <c r="I1209" i="83"/>
  <c r="L1208" i="83"/>
  <c r="M1208" i="83" s="1"/>
  <c r="J1208" i="83"/>
  <c r="T13" i="88"/>
  <c r="S13" i="88" s="1"/>
  <c r="T12" i="88"/>
  <c r="S12" i="88" s="1"/>
  <c r="B22" i="88"/>
  <c r="O16" i="88"/>
  <c r="Q14" i="88"/>
  <c r="O13" i="88"/>
  <c r="M12" i="88" s="1"/>
  <c r="O14" i="88"/>
  <c r="U13" i="88"/>
  <c r="Q13" i="88"/>
  <c r="U12" i="88"/>
  <c r="Q12" i="88"/>
  <c r="C86" i="51"/>
  <c r="P9" i="51" s="1"/>
  <c r="P8" i="51"/>
  <c r="P11" i="51"/>
  <c r="P13" i="51"/>
  <c r="U17" i="92" l="1"/>
  <c r="U16" i="92"/>
  <c r="T16" i="92"/>
  <c r="S16" i="92" s="1"/>
  <c r="O17" i="92"/>
  <c r="M16" i="92" s="1"/>
  <c r="Q18" i="92"/>
  <c r="Q17" i="92"/>
  <c r="Q16" i="92"/>
  <c r="O18" i="92"/>
  <c r="T17" i="92"/>
  <c r="S17" i="92" s="1"/>
  <c r="U68" i="92"/>
  <c r="Q68" i="92"/>
  <c r="T68" i="92"/>
  <c r="S68" i="92" s="1"/>
  <c r="T69" i="92"/>
  <c r="S69" i="92" s="1"/>
  <c r="U69" i="92"/>
  <c r="Q70" i="92"/>
  <c r="O70" i="92"/>
  <c r="Q69" i="92"/>
  <c r="O69" i="92"/>
  <c r="M68" i="92" s="1"/>
  <c r="O20" i="92"/>
  <c r="B26" i="92"/>
  <c r="O72" i="92"/>
  <c r="B78" i="92"/>
  <c r="B1012" i="86"/>
  <c r="Q1016" i="86"/>
  <c r="P1016" i="86" s="1"/>
  <c r="R1015" i="86"/>
  <c r="O1015" i="86"/>
  <c r="N1015" i="86" s="1"/>
  <c r="M1015" i="86"/>
  <c r="Q1015" i="86"/>
  <c r="P1015" i="86" s="1"/>
  <c r="O1016" i="86"/>
  <c r="N1016" i="86" s="1"/>
  <c r="L1015" i="86"/>
  <c r="M1016" i="86"/>
  <c r="K1015" i="86"/>
  <c r="G1016" i="86"/>
  <c r="D1015" i="86" s="1"/>
  <c r="L1016" i="86"/>
  <c r="F1015" i="86"/>
  <c r="K1016" i="86"/>
  <c r="A1022" i="86"/>
  <c r="F1022" i="86" s="1"/>
  <c r="D52" i="86"/>
  <c r="B52" i="86"/>
  <c r="F59" i="86"/>
  <c r="A62" i="86"/>
  <c r="M55" i="86"/>
  <c r="K56" i="86"/>
  <c r="Q56" i="86"/>
  <c r="P56" i="86" s="1"/>
  <c r="G56" i="86"/>
  <c r="O55" i="86"/>
  <c r="N55" i="86" s="1"/>
  <c r="M56" i="86"/>
  <c r="L56" i="86"/>
  <c r="R55" i="86"/>
  <c r="L55" i="86"/>
  <c r="O56" i="86"/>
  <c r="N56" i="86" s="1"/>
  <c r="Q55" i="86"/>
  <c r="P55" i="86" s="1"/>
  <c r="K55" i="86"/>
  <c r="F55" i="86"/>
  <c r="L1496" i="83"/>
  <c r="I1496" i="83"/>
  <c r="L1495" i="83"/>
  <c r="M1495" i="83" s="1"/>
  <c r="J1495" i="83"/>
  <c r="A1523" i="83"/>
  <c r="B1516" i="83"/>
  <c r="D1510" i="83"/>
  <c r="B1510" i="83"/>
  <c r="G1507" i="83"/>
  <c r="F1507" i="83"/>
  <c r="I1502" i="83"/>
  <c r="G1506" i="83"/>
  <c r="D1502" i="83"/>
  <c r="F1506" i="83"/>
  <c r="D1504" i="83"/>
  <c r="B1504" i="83"/>
  <c r="L1356" i="83"/>
  <c r="I1356" i="83"/>
  <c r="L1355" i="83"/>
  <c r="M1355" i="83" s="1"/>
  <c r="J1355" i="83"/>
  <c r="D1370" i="83"/>
  <c r="B1370" i="83"/>
  <c r="A1383" i="83"/>
  <c r="B1376" i="83"/>
  <c r="G1367" i="83"/>
  <c r="F1367" i="83"/>
  <c r="I1362" i="83"/>
  <c r="G1366" i="83"/>
  <c r="D1362" i="83"/>
  <c r="F1366" i="83"/>
  <c r="D1364" i="83"/>
  <c r="B1364" i="83"/>
  <c r="L1216" i="83"/>
  <c r="I1216" i="83"/>
  <c r="L1215" i="83"/>
  <c r="M1215" i="83" s="1"/>
  <c r="J1215" i="83"/>
  <c r="D1230" i="83"/>
  <c r="B1230" i="83"/>
  <c r="A1243" i="83"/>
  <c r="B1236" i="83"/>
  <c r="G1227" i="83"/>
  <c r="F1227" i="83"/>
  <c r="I1222" i="83"/>
  <c r="G1226" i="83"/>
  <c r="D1222" i="83"/>
  <c r="F1226" i="83"/>
  <c r="D1224" i="83"/>
  <c r="B1224" i="83"/>
  <c r="T17" i="88"/>
  <c r="S17" i="88" s="1"/>
  <c r="T16" i="88"/>
  <c r="S16" i="88" s="1"/>
  <c r="Q18" i="88"/>
  <c r="U17" i="88"/>
  <c r="Q17" i="88"/>
  <c r="O17" i="88"/>
  <c r="M16" i="88" s="1"/>
  <c r="U16" i="88"/>
  <c r="Q16" i="88"/>
  <c r="O18" i="88"/>
  <c r="O20" i="88"/>
  <c r="B26" i="88"/>
  <c r="P10" i="51"/>
  <c r="P14" i="51"/>
  <c r="P15" i="51"/>
  <c r="P12" i="51"/>
  <c r="P7" i="51"/>
  <c r="P52" i="51" l="1"/>
  <c r="D2" i="53" s="1"/>
  <c r="G2" i="53" s="1"/>
  <c r="L2" i="53" s="1"/>
  <c r="T73" i="92"/>
  <c r="S73" i="92" s="1"/>
  <c r="Q72" i="92"/>
  <c r="Q73" i="92"/>
  <c r="O73" i="92"/>
  <c r="M72" i="92" s="1"/>
  <c r="U72" i="92"/>
  <c r="Q74" i="92"/>
  <c r="O74" i="92"/>
  <c r="U73" i="92"/>
  <c r="T72" i="92"/>
  <c r="S72" i="92" s="1"/>
  <c r="B30" i="92"/>
  <c r="O24" i="92"/>
  <c r="B82" i="92"/>
  <c r="O76" i="92"/>
  <c r="U21" i="92"/>
  <c r="T21" i="92"/>
  <c r="S21" i="92" s="1"/>
  <c r="Q20" i="92"/>
  <c r="O21" i="92"/>
  <c r="M20" i="92" s="1"/>
  <c r="Q21" i="92"/>
  <c r="O22" i="92"/>
  <c r="U20" i="92"/>
  <c r="Q22" i="92"/>
  <c r="T20" i="92"/>
  <c r="S20" i="92" s="1"/>
  <c r="B1015" i="86"/>
  <c r="A1025" i="86"/>
  <c r="F1025" i="86" s="1"/>
  <c r="L1018" i="86"/>
  <c r="M1019" i="86"/>
  <c r="K1018" i="86"/>
  <c r="L1019" i="86"/>
  <c r="K1019" i="86"/>
  <c r="F1018" i="86"/>
  <c r="G1019" i="86"/>
  <c r="D1018" i="86" s="1"/>
  <c r="R1018" i="86"/>
  <c r="Q1018" i="86"/>
  <c r="P1018" i="86" s="1"/>
  <c r="Q1019" i="86"/>
  <c r="O1018" i="86"/>
  <c r="N1018" i="86" s="1"/>
  <c r="O1019" i="86"/>
  <c r="N1019" i="86" s="1"/>
  <c r="M1018" i="86"/>
  <c r="D55" i="86"/>
  <c r="B55" i="86"/>
  <c r="F62" i="86"/>
  <c r="A65" i="86"/>
  <c r="M59" i="86"/>
  <c r="K58" i="86"/>
  <c r="L59" i="86"/>
  <c r="F58" i="86"/>
  <c r="R58" i="86"/>
  <c r="K59" i="86"/>
  <c r="Q58" i="86"/>
  <c r="P58" i="86" s="1"/>
  <c r="G59" i="86"/>
  <c r="Q59" i="86"/>
  <c r="P59" i="86" s="1"/>
  <c r="O58" i="86"/>
  <c r="N58" i="86" s="1"/>
  <c r="M58" i="86"/>
  <c r="L58" i="86"/>
  <c r="O59" i="86"/>
  <c r="N59" i="86" s="1"/>
  <c r="L1503" i="83"/>
  <c r="I1503" i="83"/>
  <c r="D1511" i="83"/>
  <c r="F1513" i="83"/>
  <c r="B1511" i="83"/>
  <c r="F1514" i="83"/>
  <c r="G1513" i="83"/>
  <c r="D1509" i="83"/>
  <c r="I1509" i="83"/>
  <c r="G1514" i="83"/>
  <c r="L1502" i="83"/>
  <c r="M1502" i="83" s="1"/>
  <c r="J1502" i="83"/>
  <c r="B1517" i="83"/>
  <c r="D1517" i="83"/>
  <c r="A1530" i="83"/>
  <c r="B1523" i="83"/>
  <c r="L1362" i="83"/>
  <c r="M1362" i="83" s="1"/>
  <c r="J1362" i="83"/>
  <c r="L1363" i="83"/>
  <c r="I1363" i="83"/>
  <c r="B1377" i="83"/>
  <c r="D1377" i="83"/>
  <c r="B1383" i="83"/>
  <c r="A1390" i="83"/>
  <c r="D1371" i="83"/>
  <c r="B1371" i="83"/>
  <c r="G1373" i="83"/>
  <c r="D1369" i="83"/>
  <c r="G1374" i="83"/>
  <c r="F1374" i="83"/>
  <c r="I1369" i="83"/>
  <c r="F1373" i="83"/>
  <c r="L1222" i="83"/>
  <c r="M1222" i="83" s="1"/>
  <c r="J1222" i="83"/>
  <c r="L1223" i="83"/>
  <c r="I1223" i="83"/>
  <c r="B1237" i="83"/>
  <c r="D1237" i="83"/>
  <c r="B1243" i="83"/>
  <c r="A1250" i="83"/>
  <c r="D1231" i="83"/>
  <c r="B1231" i="83"/>
  <c r="F1234" i="83"/>
  <c r="I1229" i="83"/>
  <c r="D1229" i="83"/>
  <c r="G1233" i="83"/>
  <c r="G1234" i="83"/>
  <c r="F1233" i="83"/>
  <c r="T21" i="88"/>
  <c r="S21" i="88" s="1"/>
  <c r="T20" i="88"/>
  <c r="S20" i="88" s="1"/>
  <c r="B30" i="88"/>
  <c r="O24" i="88"/>
  <c r="Q22" i="88"/>
  <c r="O21" i="88"/>
  <c r="M20" i="88" s="1"/>
  <c r="O22" i="88"/>
  <c r="U21" i="88"/>
  <c r="Q21" i="88"/>
  <c r="U20" i="88"/>
  <c r="Q20" i="88"/>
  <c r="O25" i="92" l="1"/>
  <c r="M24" i="92" s="1"/>
  <c r="Q26" i="92"/>
  <c r="O26" i="92"/>
  <c r="U25" i="92"/>
  <c r="T25" i="92"/>
  <c r="S25" i="92" s="1"/>
  <c r="T24" i="92"/>
  <c r="S24" i="92" s="1"/>
  <c r="Q25" i="92"/>
  <c r="U24" i="92"/>
  <c r="Q24" i="92"/>
  <c r="Q78" i="92"/>
  <c r="O78" i="92"/>
  <c r="T77" i="92"/>
  <c r="S77" i="92" s="1"/>
  <c r="Q76" i="92"/>
  <c r="O77" i="92"/>
  <c r="M76" i="92" s="1"/>
  <c r="U77" i="92"/>
  <c r="Q77" i="92"/>
  <c r="T76" i="92"/>
  <c r="S76" i="92" s="1"/>
  <c r="U76" i="92"/>
  <c r="B86" i="92"/>
  <c r="O80" i="92"/>
  <c r="B34" i="92"/>
  <c r="O28" i="92"/>
  <c r="B1018" i="86"/>
  <c r="A1028" i="86"/>
  <c r="F1028" i="86" s="1"/>
  <c r="K1022" i="86"/>
  <c r="G1022" i="86"/>
  <c r="R1021" i="86"/>
  <c r="Q1021" i="86"/>
  <c r="P1021" i="86" s="1"/>
  <c r="O1022" i="86"/>
  <c r="N1022" i="86" s="1"/>
  <c r="Q1022" i="86"/>
  <c r="P1022" i="86" s="1"/>
  <c r="L1021" i="86"/>
  <c r="M1022" i="86"/>
  <c r="K1021" i="86"/>
  <c r="M1021" i="86"/>
  <c r="L1022" i="86"/>
  <c r="F1021" i="86"/>
  <c r="O1021" i="86"/>
  <c r="N1021" i="86" s="1"/>
  <c r="B58" i="86"/>
  <c r="D58" i="86"/>
  <c r="A68" i="86"/>
  <c r="F65" i="86"/>
  <c r="Q61" i="86"/>
  <c r="P61" i="86" s="1"/>
  <c r="Q62" i="86"/>
  <c r="P62" i="86" s="1"/>
  <c r="O61" i="86"/>
  <c r="N61" i="86" s="1"/>
  <c r="M61" i="86"/>
  <c r="L62" i="86"/>
  <c r="L61" i="86"/>
  <c r="F61" i="86"/>
  <c r="O62" i="86"/>
  <c r="N62" i="86" s="1"/>
  <c r="M62" i="86"/>
  <c r="K61" i="86"/>
  <c r="K62" i="86"/>
  <c r="G62" i="86"/>
  <c r="R61" i="86"/>
  <c r="L1510" i="83"/>
  <c r="I1510" i="83"/>
  <c r="A1537" i="83"/>
  <c r="B1537" i="83" s="1"/>
  <c r="B1530" i="83"/>
  <c r="L1509" i="83"/>
  <c r="M1509" i="83" s="1"/>
  <c r="J1509" i="83"/>
  <c r="G1521" i="83"/>
  <c r="F1521" i="83"/>
  <c r="I1516" i="83"/>
  <c r="G1520" i="83"/>
  <c r="D1516" i="83"/>
  <c r="F1520" i="83"/>
  <c r="D1518" i="83"/>
  <c r="B1518" i="83"/>
  <c r="D1524" i="83"/>
  <c r="B1524" i="83"/>
  <c r="A1397" i="83"/>
  <c r="B1397" i="83" s="1"/>
  <c r="B1390" i="83"/>
  <c r="D1384" i="83"/>
  <c r="B1384" i="83"/>
  <c r="G1381" i="83"/>
  <c r="F1381" i="83"/>
  <c r="I1376" i="83"/>
  <c r="G1380" i="83"/>
  <c r="D1376" i="83"/>
  <c r="F1380" i="83"/>
  <c r="D1378" i="83"/>
  <c r="B1378" i="83"/>
  <c r="L1370" i="83"/>
  <c r="I1370" i="83"/>
  <c r="L1369" i="83"/>
  <c r="M1369" i="83" s="1"/>
  <c r="J1369" i="83"/>
  <c r="A1257" i="83"/>
  <c r="B1257" i="83" s="1"/>
  <c r="B1250" i="83"/>
  <c r="L1230" i="83"/>
  <c r="I1230" i="83"/>
  <c r="L1229" i="83"/>
  <c r="M1229" i="83" s="1"/>
  <c r="J1229" i="83"/>
  <c r="D1244" i="83"/>
  <c r="B1244" i="83"/>
  <c r="G1241" i="83"/>
  <c r="F1241" i="83"/>
  <c r="I1236" i="83"/>
  <c r="G1240" i="83"/>
  <c r="D1236" i="83"/>
  <c r="F1240" i="83"/>
  <c r="D1238" i="83"/>
  <c r="B1238" i="83"/>
  <c r="T25" i="88"/>
  <c r="S25" i="88" s="1"/>
  <c r="T24" i="88"/>
  <c r="S24" i="88" s="1"/>
  <c r="Q26" i="88"/>
  <c r="U25" i="88"/>
  <c r="Q25" i="88"/>
  <c r="O25" i="88"/>
  <c r="M24" i="88" s="1"/>
  <c r="U24" i="88"/>
  <c r="Q24" i="88"/>
  <c r="O26" i="88"/>
  <c r="B34" i="88"/>
  <c r="O28" i="88"/>
  <c r="C45" i="50"/>
  <c r="C47" i="50" s="1"/>
  <c r="U29" i="92" l="1"/>
  <c r="U28" i="92"/>
  <c r="T28" i="92"/>
  <c r="S28" i="92" s="1"/>
  <c r="O29" i="92"/>
  <c r="M28" i="92" s="1"/>
  <c r="Q29" i="92"/>
  <c r="T29" i="92"/>
  <c r="S29" i="92" s="1"/>
  <c r="Q28" i="92"/>
  <c r="Q30" i="92"/>
  <c r="O30" i="92"/>
  <c r="O32" i="92"/>
  <c r="B38" i="92"/>
  <c r="O84" i="92"/>
  <c r="B90" i="92"/>
  <c r="Q80" i="92"/>
  <c r="U80" i="92"/>
  <c r="T81" i="92"/>
  <c r="S81" i="92" s="1"/>
  <c r="T80" i="92"/>
  <c r="S80" i="92" s="1"/>
  <c r="U81" i="92"/>
  <c r="Q82" i="92"/>
  <c r="O82" i="92"/>
  <c r="Q81" i="92"/>
  <c r="O81" i="92"/>
  <c r="M80" i="92" s="1"/>
  <c r="D1021" i="86"/>
  <c r="B1021" i="86"/>
  <c r="R1024" i="86"/>
  <c r="G1025" i="86"/>
  <c r="Q1024" i="86"/>
  <c r="P1024" i="86" s="1"/>
  <c r="Q1025" i="86"/>
  <c r="P1025" i="86" s="1"/>
  <c r="O1024" i="86"/>
  <c r="N1024" i="86" s="1"/>
  <c r="M1024" i="86"/>
  <c r="O1025" i="86"/>
  <c r="N1025" i="86" s="1"/>
  <c r="L1024" i="86"/>
  <c r="M1025" i="86"/>
  <c r="K1024" i="86"/>
  <c r="L1025" i="86"/>
  <c r="F1024" i="86"/>
  <c r="K1025" i="86"/>
  <c r="A1031" i="86"/>
  <c r="F1031" i="86" s="1"/>
  <c r="D61" i="86"/>
  <c r="B61" i="86"/>
  <c r="F64" i="86"/>
  <c r="K65" i="86"/>
  <c r="Q65" i="86"/>
  <c r="P65" i="86" s="1"/>
  <c r="G65" i="86"/>
  <c r="O64" i="86"/>
  <c r="N64" i="86" s="1"/>
  <c r="M64" i="86"/>
  <c r="O65" i="86"/>
  <c r="N65" i="86" s="1"/>
  <c r="L64" i="86"/>
  <c r="Q64" i="86"/>
  <c r="P64" i="86" s="1"/>
  <c r="M65" i="86"/>
  <c r="K64" i="86"/>
  <c r="R64" i="86"/>
  <c r="L65" i="86"/>
  <c r="F68" i="86"/>
  <c r="A71" i="86"/>
  <c r="L1517" i="83"/>
  <c r="I1517" i="83"/>
  <c r="L1516" i="83"/>
  <c r="M1516" i="83" s="1"/>
  <c r="J1516" i="83"/>
  <c r="G1527" i="83"/>
  <c r="D1523" i="83"/>
  <c r="F1527" i="83"/>
  <c r="D1525" i="83"/>
  <c r="B1525" i="83"/>
  <c r="I1523" i="83"/>
  <c r="G1528" i="83"/>
  <c r="F1528" i="83"/>
  <c r="D1531" i="83"/>
  <c r="B1531" i="83"/>
  <c r="D1538" i="83"/>
  <c r="B1538" i="83"/>
  <c r="L1376" i="83"/>
  <c r="M1376" i="83" s="1"/>
  <c r="J1376" i="83"/>
  <c r="I1377" i="83"/>
  <c r="L1377" i="83"/>
  <c r="G1387" i="83"/>
  <c r="D1383" i="83"/>
  <c r="F1387" i="83"/>
  <c r="D1385" i="83"/>
  <c r="B1385" i="83"/>
  <c r="G1388" i="83"/>
  <c r="F1388" i="83"/>
  <c r="I1383" i="83"/>
  <c r="D1391" i="83"/>
  <c r="B1391" i="83"/>
  <c r="D1398" i="83"/>
  <c r="B1398" i="83"/>
  <c r="L1236" i="83"/>
  <c r="M1236" i="83" s="1"/>
  <c r="J1236" i="83"/>
  <c r="L1237" i="83"/>
  <c r="I1237" i="83"/>
  <c r="G1247" i="83"/>
  <c r="D1243" i="83"/>
  <c r="G1248" i="83"/>
  <c r="F1247" i="83"/>
  <c r="D1245" i="83"/>
  <c r="B1245" i="83"/>
  <c r="F1248" i="83"/>
  <c r="I1243" i="83"/>
  <c r="D1251" i="83"/>
  <c r="B1251" i="83"/>
  <c r="D1258" i="83"/>
  <c r="B1258" i="83"/>
  <c r="T28" i="88"/>
  <c r="S28" i="88" s="1"/>
  <c r="T29" i="88"/>
  <c r="S29" i="88" s="1"/>
  <c r="Q30" i="88"/>
  <c r="O29" i="88"/>
  <c r="M28" i="88" s="1"/>
  <c r="O30" i="88"/>
  <c r="U29" i="88"/>
  <c r="Q29" i="88"/>
  <c r="U28" i="88"/>
  <c r="Q28" i="88"/>
  <c r="B38" i="88"/>
  <c r="O32" i="88"/>
  <c r="U33" i="92" l="1"/>
  <c r="O33" i="92"/>
  <c r="M32" i="92" s="1"/>
  <c r="T33" i="92"/>
  <c r="S33" i="92" s="1"/>
  <c r="Q32" i="92"/>
  <c r="Q33" i="92"/>
  <c r="U32" i="92"/>
  <c r="T32" i="92"/>
  <c r="S32" i="92" s="1"/>
  <c r="O34" i="92"/>
  <c r="Q34" i="92"/>
  <c r="U85" i="92"/>
  <c r="T85" i="92"/>
  <c r="S85" i="92" s="1"/>
  <c r="Q84" i="92"/>
  <c r="Q85" i="92"/>
  <c r="O85" i="92"/>
  <c r="M84" i="92" s="1"/>
  <c r="U84" i="92"/>
  <c r="T84" i="92"/>
  <c r="S84" i="92" s="1"/>
  <c r="O86" i="92"/>
  <c r="Q86" i="92"/>
  <c r="B42" i="92"/>
  <c r="O36" i="92"/>
  <c r="B94" i="92"/>
  <c r="O88" i="92"/>
  <c r="Q1028" i="86"/>
  <c r="P1028" i="86" s="1"/>
  <c r="O1027" i="86"/>
  <c r="N1027" i="86" s="1"/>
  <c r="L1028" i="86"/>
  <c r="M1027" i="86"/>
  <c r="F1027" i="86"/>
  <c r="K1027" i="86"/>
  <c r="K1028" i="86"/>
  <c r="O1028" i="86"/>
  <c r="N1028" i="86" s="1"/>
  <c r="G1028" i="86"/>
  <c r="L1027" i="86"/>
  <c r="R1027" i="86"/>
  <c r="M1028" i="86"/>
  <c r="Q1027" i="86"/>
  <c r="P1027" i="86" s="1"/>
  <c r="D1024" i="86"/>
  <c r="B1024" i="86"/>
  <c r="A1034" i="86"/>
  <c r="F1034" i="86" s="1"/>
  <c r="D64" i="86"/>
  <c r="B64" i="86"/>
  <c r="A74" i="86"/>
  <c r="F71" i="86"/>
  <c r="M67" i="86"/>
  <c r="O68" i="86"/>
  <c r="N68" i="86" s="1"/>
  <c r="L67" i="86"/>
  <c r="M68" i="86"/>
  <c r="K68" i="86"/>
  <c r="G68" i="86"/>
  <c r="K67" i="86"/>
  <c r="R67" i="86"/>
  <c r="L68" i="86"/>
  <c r="Q67" i="86"/>
  <c r="P67" i="86" s="1"/>
  <c r="F67" i="86"/>
  <c r="O67" i="86"/>
  <c r="N67" i="86" s="1"/>
  <c r="Q68" i="86"/>
  <c r="P68" i="86" s="1"/>
  <c r="I1524" i="83"/>
  <c r="L1524" i="83"/>
  <c r="J1523" i="83"/>
  <c r="L1523" i="83"/>
  <c r="M1523" i="83" s="1"/>
  <c r="G1542" i="83"/>
  <c r="F1542" i="83"/>
  <c r="I1537" i="83"/>
  <c r="G1541" i="83"/>
  <c r="D1537" i="83"/>
  <c r="F1541" i="83"/>
  <c r="D1539" i="83"/>
  <c r="B1539" i="83"/>
  <c r="D1532" i="83"/>
  <c r="G1535" i="83"/>
  <c r="F1535" i="83"/>
  <c r="I1530" i="83"/>
  <c r="G1534" i="83"/>
  <c r="D1530" i="83"/>
  <c r="F1534" i="83"/>
  <c r="B1532" i="83"/>
  <c r="L1384" i="83"/>
  <c r="I1384" i="83"/>
  <c r="J1383" i="83"/>
  <c r="L1383" i="83"/>
  <c r="M1383" i="83" s="1"/>
  <c r="G1402" i="83"/>
  <c r="F1402" i="83"/>
  <c r="I1397" i="83"/>
  <c r="G1401" i="83"/>
  <c r="D1397" i="83"/>
  <c r="F1401" i="83"/>
  <c r="D1399" i="83"/>
  <c r="B1399" i="83"/>
  <c r="G1395" i="83"/>
  <c r="F1395" i="83"/>
  <c r="I1390" i="83"/>
  <c r="G1394" i="83"/>
  <c r="D1390" i="83"/>
  <c r="F1394" i="83"/>
  <c r="B1392" i="83"/>
  <c r="D1392" i="83"/>
  <c r="L1243" i="83"/>
  <c r="M1243" i="83" s="1"/>
  <c r="L1244" i="83"/>
  <c r="J1243" i="83"/>
  <c r="I1244" i="83"/>
  <c r="G1262" i="83"/>
  <c r="F1262" i="83"/>
  <c r="I1257" i="83"/>
  <c r="G1261" i="83"/>
  <c r="D1257" i="83"/>
  <c r="F1261" i="83"/>
  <c r="D1259" i="83"/>
  <c r="B1259" i="83"/>
  <c r="D1252" i="83"/>
  <c r="B1252" i="83"/>
  <c r="G1255" i="83"/>
  <c r="F1255" i="83"/>
  <c r="I1250" i="83"/>
  <c r="G1254" i="83"/>
  <c r="D1250" i="83"/>
  <c r="F1254" i="83"/>
  <c r="T32" i="88"/>
  <c r="S32" i="88" s="1"/>
  <c r="T33" i="88"/>
  <c r="S33" i="88" s="1"/>
  <c r="O36" i="88"/>
  <c r="B42" i="88"/>
  <c r="Q34" i="88"/>
  <c r="U33" i="88"/>
  <c r="Q33" i="88"/>
  <c r="O33" i="88"/>
  <c r="M32" i="88" s="1"/>
  <c r="U32" i="88"/>
  <c r="Q32" i="88"/>
  <c r="O34" i="88"/>
  <c r="O89" i="92" l="1"/>
  <c r="M88" i="92" s="1"/>
  <c r="Q90" i="92"/>
  <c r="O90" i="92"/>
  <c r="T89" i="92"/>
  <c r="S89" i="92" s="1"/>
  <c r="Q88" i="92"/>
  <c r="U89" i="92"/>
  <c r="Q89" i="92"/>
  <c r="U88" i="92"/>
  <c r="T88" i="92"/>
  <c r="S88" i="92" s="1"/>
  <c r="O37" i="92"/>
  <c r="M36" i="92" s="1"/>
  <c r="Q38" i="92"/>
  <c r="O38" i="92"/>
  <c r="U37" i="92"/>
  <c r="T36" i="92"/>
  <c r="S36" i="92" s="1"/>
  <c r="Q36" i="92"/>
  <c r="U36" i="92"/>
  <c r="T37" i="92"/>
  <c r="S37" i="92" s="1"/>
  <c r="Q37" i="92"/>
  <c r="O92" i="92"/>
  <c r="B98" i="92"/>
  <c r="O40" i="92"/>
  <c r="B46" i="92"/>
  <c r="D1027" i="86"/>
  <c r="B1027" i="86"/>
  <c r="F1030" i="86"/>
  <c r="K1031" i="86"/>
  <c r="R1030" i="86"/>
  <c r="G1031" i="86"/>
  <c r="Q1031" i="86"/>
  <c r="O1030" i="86"/>
  <c r="N1030" i="86" s="1"/>
  <c r="M1030" i="86"/>
  <c r="Q1030" i="86"/>
  <c r="P1030" i="86" s="1"/>
  <c r="O1031" i="86"/>
  <c r="N1031" i="86" s="1"/>
  <c r="L1030" i="86"/>
  <c r="M1031" i="86"/>
  <c r="K1030" i="86"/>
  <c r="L1031" i="86"/>
  <c r="A1037" i="86"/>
  <c r="F1037" i="86" s="1"/>
  <c r="B67" i="86"/>
  <c r="D67" i="86"/>
  <c r="Q71" i="86"/>
  <c r="P71" i="86" s="1"/>
  <c r="R70" i="86"/>
  <c r="M70" i="86"/>
  <c r="Q70" i="86"/>
  <c r="P70" i="86" s="1"/>
  <c r="O70" i="86"/>
  <c r="N70" i="86" s="1"/>
  <c r="O71" i="86"/>
  <c r="N71" i="86" s="1"/>
  <c r="L70" i="86"/>
  <c r="G71" i="86"/>
  <c r="M71" i="86"/>
  <c r="K71" i="86"/>
  <c r="K70" i="86"/>
  <c r="F70" i="86"/>
  <c r="L71" i="86"/>
  <c r="F74" i="86"/>
  <c r="A77" i="86"/>
  <c r="L1538" i="83"/>
  <c r="I1538" i="83"/>
  <c r="L1531" i="83"/>
  <c r="I1531" i="83"/>
  <c r="L1530" i="83"/>
  <c r="M1530" i="83" s="1"/>
  <c r="J1530" i="83"/>
  <c r="J1537" i="83"/>
  <c r="L1537" i="83"/>
  <c r="M1537" i="83" s="1"/>
  <c r="J1397" i="83"/>
  <c r="L1398" i="83"/>
  <c r="I1398" i="83"/>
  <c r="L1397" i="83"/>
  <c r="M1397" i="83" s="1"/>
  <c r="I1391" i="83"/>
  <c r="L1390" i="83"/>
  <c r="M1390" i="83" s="1"/>
  <c r="J1390" i="83"/>
  <c r="L1391" i="83"/>
  <c r="J1257" i="83"/>
  <c r="L1258" i="83"/>
  <c r="I1258" i="83"/>
  <c r="L1257" i="83"/>
  <c r="M1257" i="83" s="1"/>
  <c r="I1251" i="83"/>
  <c r="L1250" i="83"/>
  <c r="M1250" i="83" s="1"/>
  <c r="J1250" i="83"/>
  <c r="L1251" i="83"/>
  <c r="T37" i="88"/>
  <c r="S37" i="88" s="1"/>
  <c r="T36" i="88"/>
  <c r="S36" i="88" s="1"/>
  <c r="B46" i="88"/>
  <c r="O40" i="88"/>
  <c r="Q38" i="88"/>
  <c r="O37" i="88"/>
  <c r="M36" i="88" s="1"/>
  <c r="O38" i="88"/>
  <c r="U37" i="88"/>
  <c r="Q37" i="88"/>
  <c r="U36" i="88"/>
  <c r="Q36" i="88"/>
  <c r="T93" i="92" l="1"/>
  <c r="S93" i="92" s="1"/>
  <c r="Q92" i="92"/>
  <c r="U92" i="92"/>
  <c r="T92" i="92"/>
  <c r="S92" i="92" s="1"/>
  <c r="U93" i="92"/>
  <c r="Q94" i="92"/>
  <c r="O94" i="92"/>
  <c r="Q93" i="92"/>
  <c r="O93" i="92"/>
  <c r="M92" i="92" s="1"/>
  <c r="O96" i="92"/>
  <c r="B102" i="92"/>
  <c r="O100" i="92" s="1"/>
  <c r="O44" i="92"/>
  <c r="B50" i="92"/>
  <c r="O48" i="92" s="1"/>
  <c r="U40" i="92"/>
  <c r="U41" i="92"/>
  <c r="T40" i="92"/>
  <c r="S40" i="92" s="1"/>
  <c r="O41" i="92"/>
  <c r="M40" i="92" s="1"/>
  <c r="Q41" i="92"/>
  <c r="T41" i="92"/>
  <c r="S41" i="92" s="1"/>
  <c r="Q42" i="92"/>
  <c r="O42" i="92"/>
  <c r="Q40" i="92"/>
  <c r="D1030" i="86"/>
  <c r="B1030" i="86"/>
  <c r="L1033" i="86"/>
  <c r="M1034" i="86"/>
  <c r="G1034" i="86"/>
  <c r="K1033" i="86"/>
  <c r="R1033" i="86"/>
  <c r="Q1033" i="86"/>
  <c r="P1033" i="86" s="1"/>
  <c r="K1034" i="86"/>
  <c r="F1033" i="86"/>
  <c r="Q1034" i="86"/>
  <c r="P1034" i="86" s="1"/>
  <c r="O1033" i="86"/>
  <c r="N1033" i="86" s="1"/>
  <c r="M1033" i="86"/>
  <c r="O1034" i="86"/>
  <c r="N1034" i="86" s="1"/>
  <c r="L1034" i="86"/>
  <c r="A1040" i="86"/>
  <c r="F1040" i="86" s="1"/>
  <c r="D70" i="86"/>
  <c r="B70" i="86"/>
  <c r="F77" i="86"/>
  <c r="A80" i="86"/>
  <c r="M74" i="86"/>
  <c r="K73" i="86"/>
  <c r="L74" i="86"/>
  <c r="F73" i="86"/>
  <c r="R73" i="86"/>
  <c r="K74" i="86"/>
  <c r="L73" i="86"/>
  <c r="Q73" i="86"/>
  <c r="P73" i="86" s="1"/>
  <c r="Q74" i="86"/>
  <c r="P74" i="86" s="1"/>
  <c r="O74" i="86"/>
  <c r="N74" i="86" s="1"/>
  <c r="O73" i="86"/>
  <c r="N73" i="86" s="1"/>
  <c r="G74" i="86"/>
  <c r="M73" i="86"/>
  <c r="T41" i="88"/>
  <c r="S41" i="88" s="1"/>
  <c r="T40" i="88"/>
  <c r="S40" i="88" s="1"/>
  <c r="Q42" i="88"/>
  <c r="U41" i="88"/>
  <c r="Q41" i="88"/>
  <c r="O41" i="88"/>
  <c r="M40" i="88" s="1"/>
  <c r="U40" i="88"/>
  <c r="Q40" i="88"/>
  <c r="O42" i="88"/>
  <c r="B50" i="88"/>
  <c r="O44" i="88"/>
  <c r="O48" i="88" l="1"/>
  <c r="O50" i="88" s="1"/>
  <c r="A58" i="88"/>
  <c r="O49" i="92"/>
  <c r="M48" i="92" s="1"/>
  <c r="Q50" i="92"/>
  <c r="O50" i="92"/>
  <c r="U49" i="92"/>
  <c r="T49" i="92"/>
  <c r="S49" i="92" s="1"/>
  <c r="Q48" i="92"/>
  <c r="U48" i="92"/>
  <c r="T48" i="92"/>
  <c r="S48" i="92" s="1"/>
  <c r="Q49" i="92"/>
  <c r="U45" i="92"/>
  <c r="O45" i="92"/>
  <c r="M44" i="92" s="1"/>
  <c r="T45" i="92"/>
  <c r="S45" i="92" s="1"/>
  <c r="Q44" i="92"/>
  <c r="Q45" i="92"/>
  <c r="T44" i="92"/>
  <c r="S44" i="92" s="1"/>
  <c r="U44" i="92"/>
  <c r="Q46" i="92"/>
  <c r="O46" i="92"/>
  <c r="O101" i="92"/>
  <c r="M100" i="92" s="1"/>
  <c r="Q102" i="92"/>
  <c r="O102" i="92"/>
  <c r="U100" i="92"/>
  <c r="T101" i="92"/>
  <c r="S101" i="92" s="1"/>
  <c r="Q100" i="92"/>
  <c r="U101" i="92"/>
  <c r="Q101" i="92"/>
  <c r="T100" i="92"/>
  <c r="S100" i="92" s="1"/>
  <c r="U97" i="92"/>
  <c r="T97" i="92"/>
  <c r="S97" i="92" s="1"/>
  <c r="Q96" i="92"/>
  <c r="Q97" i="92"/>
  <c r="O97" i="92"/>
  <c r="M96" i="92" s="1"/>
  <c r="Q98" i="92"/>
  <c r="U96" i="92"/>
  <c r="T96" i="92"/>
  <c r="S96" i="92" s="1"/>
  <c r="O98" i="92"/>
  <c r="B1033" i="86"/>
  <c r="D1033" i="86"/>
  <c r="A1043" i="86"/>
  <c r="F1043" i="86" s="1"/>
  <c r="O1036" i="86"/>
  <c r="N1036" i="86" s="1"/>
  <c r="R1036" i="86"/>
  <c r="M1036" i="86"/>
  <c r="Q1036" i="86"/>
  <c r="P1036" i="86" s="1"/>
  <c r="O1037" i="86"/>
  <c r="N1037" i="86" s="1"/>
  <c r="L1036" i="86"/>
  <c r="M1037" i="86"/>
  <c r="K1036" i="86"/>
  <c r="G1037" i="86"/>
  <c r="L1037" i="86"/>
  <c r="F1036" i="86"/>
  <c r="K1037" i="86"/>
  <c r="Q1037" i="86"/>
  <c r="P1037" i="86" s="1"/>
  <c r="B73" i="86"/>
  <c r="D73" i="86"/>
  <c r="A83" i="86"/>
  <c r="F80" i="86"/>
  <c r="R76" i="86"/>
  <c r="Q76" i="86"/>
  <c r="P76" i="86" s="1"/>
  <c r="Q77" i="86"/>
  <c r="P77" i="86" s="1"/>
  <c r="O76" i="86"/>
  <c r="N76" i="86" s="1"/>
  <c r="M77" i="86"/>
  <c r="M76" i="86"/>
  <c r="K76" i="86"/>
  <c r="O77" i="86"/>
  <c r="N77" i="86" s="1"/>
  <c r="L77" i="86"/>
  <c r="G77" i="86"/>
  <c r="F76" i="86"/>
  <c r="K77" i="86"/>
  <c r="L76" i="86"/>
  <c r="T49" i="88"/>
  <c r="S49" i="88" s="1"/>
  <c r="T48" i="88"/>
  <c r="S48" i="88" s="1"/>
  <c r="T45" i="88"/>
  <c r="S45" i="88" s="1"/>
  <c r="T44" i="88"/>
  <c r="S44" i="88" s="1"/>
  <c r="Q50" i="88"/>
  <c r="U49" i="88"/>
  <c r="Q49" i="88"/>
  <c r="O49" i="88"/>
  <c r="M48" i="88" s="1"/>
  <c r="Q48" i="88"/>
  <c r="U48" i="88"/>
  <c r="Q46" i="88"/>
  <c r="U45" i="88"/>
  <c r="Q45" i="88"/>
  <c r="O45" i="88"/>
  <c r="M44" i="88" s="1"/>
  <c r="Q44" i="88"/>
  <c r="U44" i="88"/>
  <c r="O46" i="88"/>
  <c r="A62" i="88" l="1"/>
  <c r="E56" i="88"/>
  <c r="A1046" i="86"/>
  <c r="F1046" i="86" s="1"/>
  <c r="M1040" i="86"/>
  <c r="K1039" i="86"/>
  <c r="L1040" i="86"/>
  <c r="F1039" i="86"/>
  <c r="R1039" i="86"/>
  <c r="K1040" i="86"/>
  <c r="Q1039" i="86"/>
  <c r="P1039" i="86" s="1"/>
  <c r="G1040" i="86"/>
  <c r="Q1040" i="86"/>
  <c r="P1040" i="86" s="1"/>
  <c r="O1039" i="86"/>
  <c r="N1039" i="86" s="1"/>
  <c r="M1039" i="86"/>
  <c r="L1039" i="86"/>
  <c r="O1040" i="86"/>
  <c r="N1040" i="86" s="1"/>
  <c r="D76" i="86"/>
  <c r="B76" i="86"/>
  <c r="F79" i="86"/>
  <c r="K80" i="86"/>
  <c r="Q79" i="86"/>
  <c r="P79" i="86" s="1"/>
  <c r="G80" i="86"/>
  <c r="Q80" i="86"/>
  <c r="P80" i="86" s="1"/>
  <c r="K79" i="86"/>
  <c r="O79" i="86"/>
  <c r="N79" i="86" s="1"/>
  <c r="M79" i="86"/>
  <c r="L79" i="86"/>
  <c r="R79" i="86"/>
  <c r="O80" i="86"/>
  <c r="N80" i="86" s="1"/>
  <c r="M80" i="86"/>
  <c r="L80" i="86"/>
  <c r="F83" i="86"/>
  <c r="A86" i="86"/>
  <c r="G58" i="88" l="1"/>
  <c r="E57" i="88"/>
  <c r="C56" i="88" s="1"/>
  <c r="J57" i="88"/>
  <c r="I57" i="88" s="1"/>
  <c r="J56" i="88"/>
  <c r="I56" i="88" s="1"/>
  <c r="K56" i="88"/>
  <c r="G57" i="88"/>
  <c r="G56" i="88"/>
  <c r="K57" i="88"/>
  <c r="E58" i="88"/>
  <c r="E60" i="88"/>
  <c r="A66" i="88"/>
  <c r="F86" i="86"/>
  <c r="A89" i="86"/>
  <c r="A1049" i="86"/>
  <c r="F1049" i="86" s="1"/>
  <c r="Q1048" i="86" s="1"/>
  <c r="O1043" i="86"/>
  <c r="N1043" i="86" s="1"/>
  <c r="Q1042" i="86"/>
  <c r="P1042" i="86" s="1"/>
  <c r="Q1043" i="86"/>
  <c r="P1043" i="86" s="1"/>
  <c r="O1042" i="86"/>
  <c r="N1042" i="86" s="1"/>
  <c r="M1043" i="86"/>
  <c r="L1042" i="86"/>
  <c r="K1042" i="86"/>
  <c r="L1043" i="86"/>
  <c r="F1042" i="86"/>
  <c r="M1042" i="86"/>
  <c r="K1043" i="86"/>
  <c r="G1043" i="86"/>
  <c r="R1042" i="86"/>
  <c r="D79" i="86"/>
  <c r="B79" i="86"/>
  <c r="Q85" i="86"/>
  <c r="P85" i="86" s="1"/>
  <c r="K86" i="86"/>
  <c r="G86" i="86"/>
  <c r="F85" i="86"/>
  <c r="Q86" i="86"/>
  <c r="P86" i="86" s="1"/>
  <c r="R85" i="86"/>
  <c r="O85" i="86"/>
  <c r="N85" i="86" s="1"/>
  <c r="L86" i="86"/>
  <c r="M85" i="86"/>
  <c r="O86" i="86"/>
  <c r="N86" i="86" s="1"/>
  <c r="M86" i="86"/>
  <c r="K85" i="86"/>
  <c r="L85" i="86"/>
  <c r="M82" i="86"/>
  <c r="O83" i="86"/>
  <c r="N83" i="86" s="1"/>
  <c r="K83" i="86"/>
  <c r="L82" i="86"/>
  <c r="Q83" i="86"/>
  <c r="P83" i="86" s="1"/>
  <c r="M83" i="86"/>
  <c r="G83" i="86"/>
  <c r="F82" i="86"/>
  <c r="L83" i="86"/>
  <c r="K82" i="86"/>
  <c r="R82" i="86"/>
  <c r="Q82" i="86"/>
  <c r="P82" i="86" s="1"/>
  <c r="O82" i="86"/>
  <c r="N82" i="86" s="1"/>
  <c r="A70" i="88" l="1"/>
  <c r="E64" i="88"/>
  <c r="J61" i="88"/>
  <c r="I61" i="88" s="1"/>
  <c r="G60" i="88"/>
  <c r="E62" i="88"/>
  <c r="E61" i="88"/>
  <c r="C60" i="88" s="1"/>
  <c r="G61" i="88"/>
  <c r="K60" i="88"/>
  <c r="G62" i="88"/>
  <c r="K61" i="88"/>
  <c r="J60" i="88"/>
  <c r="I60" i="88" s="1"/>
  <c r="F89" i="86"/>
  <c r="A92" i="86"/>
  <c r="K1046" i="86"/>
  <c r="R1045" i="86"/>
  <c r="Q1045" i="86"/>
  <c r="P1045" i="86" s="1"/>
  <c r="G1046" i="86"/>
  <c r="Q1046" i="86"/>
  <c r="P1046" i="86" s="1"/>
  <c r="O1045" i="86"/>
  <c r="N1045" i="86" s="1"/>
  <c r="M1045" i="86"/>
  <c r="O1046" i="86"/>
  <c r="N1046" i="86" s="1"/>
  <c r="L1045" i="86"/>
  <c r="M1046" i="86"/>
  <c r="K1045" i="86"/>
  <c r="F1045" i="86"/>
  <c r="L1046" i="86"/>
  <c r="A1052" i="86"/>
  <c r="F1052" i="86" s="1"/>
  <c r="D85" i="86"/>
  <c r="B85" i="86"/>
  <c r="D82" i="86"/>
  <c r="B82" i="86"/>
  <c r="E66" i="88" l="1"/>
  <c r="E65" i="88"/>
  <c r="C64" i="88" s="1"/>
  <c r="K64" i="88"/>
  <c r="G66" i="88"/>
  <c r="G65" i="88"/>
  <c r="K65" i="88"/>
  <c r="G64" i="88"/>
  <c r="J64" i="88"/>
  <c r="I64" i="88" s="1"/>
  <c r="J65" i="88"/>
  <c r="I65" i="88" s="1"/>
  <c r="E68" i="88"/>
  <c r="A74" i="88"/>
  <c r="A95" i="86"/>
  <c r="F92" i="86"/>
  <c r="M88" i="86"/>
  <c r="K88" i="86"/>
  <c r="O89" i="86"/>
  <c r="N89" i="86" s="1"/>
  <c r="L88" i="86"/>
  <c r="M89" i="86"/>
  <c r="G89" i="86"/>
  <c r="K89" i="86"/>
  <c r="F88" i="86"/>
  <c r="L89" i="86"/>
  <c r="O88" i="86"/>
  <c r="N88" i="86" s="1"/>
  <c r="R88" i="86"/>
  <c r="Q88" i="86"/>
  <c r="P88" i="86" s="1"/>
  <c r="Q89" i="86"/>
  <c r="P89" i="86" s="1"/>
  <c r="G1052" i="86"/>
  <c r="Q1051" i="86"/>
  <c r="P1051" i="86" s="1"/>
  <c r="Q1052" i="86"/>
  <c r="P1052" i="86" s="1"/>
  <c r="R1051" i="86"/>
  <c r="O1051" i="86"/>
  <c r="N1051" i="86" s="1"/>
  <c r="M1051" i="86"/>
  <c r="O1052" i="86"/>
  <c r="N1052" i="86" s="1"/>
  <c r="L1051" i="86"/>
  <c r="M1052" i="86"/>
  <c r="K1051" i="86"/>
  <c r="L1052" i="86"/>
  <c r="F1051" i="86"/>
  <c r="K1052" i="86"/>
  <c r="K1048" i="86"/>
  <c r="M1048" i="86"/>
  <c r="O1049" i="86"/>
  <c r="N1049" i="86" s="1"/>
  <c r="K1049" i="86"/>
  <c r="L1048" i="86"/>
  <c r="L1049" i="86"/>
  <c r="G1049" i="86"/>
  <c r="F1048" i="86"/>
  <c r="R1048" i="86"/>
  <c r="P1048" i="86"/>
  <c r="M1049" i="86"/>
  <c r="Q1049" i="86"/>
  <c r="P1049" i="86" s="1"/>
  <c r="O1048" i="86"/>
  <c r="N1048" i="86" s="1"/>
  <c r="K69" i="88" l="1"/>
  <c r="J68" i="88"/>
  <c r="I68" i="88" s="1"/>
  <c r="G68" i="88"/>
  <c r="G70" i="88"/>
  <c r="G69" i="88"/>
  <c r="E70" i="88"/>
  <c r="E69" i="88"/>
  <c r="C68" i="88" s="1"/>
  <c r="J69" i="88"/>
  <c r="I69" i="88" s="1"/>
  <c r="K68" i="88"/>
  <c r="E72" i="88"/>
  <c r="A78" i="88"/>
  <c r="B88" i="86"/>
  <c r="D88" i="86"/>
  <c r="O92" i="86"/>
  <c r="N92" i="86" s="1"/>
  <c r="L91" i="86"/>
  <c r="M92" i="86"/>
  <c r="K91" i="86"/>
  <c r="L92" i="86"/>
  <c r="F91" i="86"/>
  <c r="K92" i="86"/>
  <c r="G92" i="86"/>
  <c r="O91" i="86"/>
  <c r="N91" i="86" s="1"/>
  <c r="R91" i="86"/>
  <c r="M91" i="86"/>
  <c r="Q92" i="86"/>
  <c r="P92" i="86" s="1"/>
  <c r="Q91" i="86"/>
  <c r="P91" i="86" s="1"/>
  <c r="F95" i="86"/>
  <c r="A98" i="86"/>
  <c r="A82" i="88" l="1"/>
  <c r="E76" i="88"/>
  <c r="J73" i="88"/>
  <c r="I73" i="88" s="1"/>
  <c r="G72" i="88"/>
  <c r="E74" i="88"/>
  <c r="E73" i="88"/>
  <c r="C72" i="88" s="1"/>
  <c r="G73" i="88"/>
  <c r="K72" i="88"/>
  <c r="G74" i="88"/>
  <c r="K73" i="88"/>
  <c r="J72" i="88"/>
  <c r="I72" i="88" s="1"/>
  <c r="D91" i="86"/>
  <c r="B91" i="86"/>
  <c r="A101" i="86"/>
  <c r="F98" i="86"/>
  <c r="G95" i="86"/>
  <c r="O94" i="86"/>
  <c r="N94" i="86" s="1"/>
  <c r="K95" i="86"/>
  <c r="M94" i="86"/>
  <c r="O95" i="86"/>
  <c r="N95" i="86" s="1"/>
  <c r="L94" i="86"/>
  <c r="M95" i="86"/>
  <c r="K94" i="86"/>
  <c r="L95" i="86"/>
  <c r="F94" i="86"/>
  <c r="R94" i="86"/>
  <c r="Q94" i="86"/>
  <c r="P94" i="86" s="1"/>
  <c r="Q95" i="86"/>
  <c r="P95" i="86" s="1"/>
  <c r="E78" i="88" l="1"/>
  <c r="E77" i="88"/>
  <c r="C76" i="88" s="1"/>
  <c r="K76" i="88"/>
  <c r="K77" i="88"/>
  <c r="J76" i="88"/>
  <c r="I76" i="88" s="1"/>
  <c r="J77" i="88"/>
  <c r="I77" i="88" s="1"/>
  <c r="G76" i="88"/>
  <c r="G78" i="88"/>
  <c r="G77" i="88"/>
  <c r="E80" i="88"/>
  <c r="A86" i="88"/>
  <c r="D94" i="86"/>
  <c r="B94" i="86"/>
  <c r="R97" i="86"/>
  <c r="Q97" i="86"/>
  <c r="P97" i="86" s="1"/>
  <c r="M98" i="86"/>
  <c r="O98" i="86"/>
  <c r="N98" i="86" s="1"/>
  <c r="K97" i="86"/>
  <c r="M97" i="86"/>
  <c r="L98" i="86"/>
  <c r="F97" i="86"/>
  <c r="O97" i="86"/>
  <c r="N97" i="86" s="1"/>
  <c r="L97" i="86"/>
  <c r="K98" i="86"/>
  <c r="Q98" i="86"/>
  <c r="P98" i="86" s="1"/>
  <c r="G98" i="86"/>
  <c r="F101" i="86"/>
  <c r="A104" i="86"/>
  <c r="E81" i="88" l="1"/>
  <c r="C80" i="88" s="1"/>
  <c r="K81" i="88"/>
  <c r="G80" i="88"/>
  <c r="G82" i="88"/>
  <c r="G81" i="88"/>
  <c r="J80" i="88"/>
  <c r="I80" i="88" s="1"/>
  <c r="K80" i="88"/>
  <c r="J81" i="88"/>
  <c r="I81" i="88" s="1"/>
  <c r="E82" i="88"/>
  <c r="A90" i="88"/>
  <c r="E84" i="88"/>
  <c r="L101" i="86"/>
  <c r="F100" i="86"/>
  <c r="K101" i="86"/>
  <c r="Q100" i="86"/>
  <c r="P100" i="86" s="1"/>
  <c r="G101" i="86"/>
  <c r="Q101" i="86"/>
  <c r="P101" i="86" s="1"/>
  <c r="O100" i="86"/>
  <c r="N100" i="86" s="1"/>
  <c r="M100" i="86"/>
  <c r="O101" i="86"/>
  <c r="N101" i="86" s="1"/>
  <c r="L100" i="86"/>
  <c r="R100" i="86"/>
  <c r="M101" i="86"/>
  <c r="K100" i="86"/>
  <c r="F104" i="86"/>
  <c r="A107" i="86"/>
  <c r="D97" i="86"/>
  <c r="B97" i="86"/>
  <c r="G84" i="88" l="1"/>
  <c r="G85" i="88"/>
  <c r="E85" i="88"/>
  <c r="C84" i="88" s="1"/>
  <c r="E86" i="88"/>
  <c r="G86" i="88"/>
  <c r="K85" i="88"/>
  <c r="K84" i="88"/>
  <c r="J84" i="88"/>
  <c r="I84" i="88" s="1"/>
  <c r="J85" i="88"/>
  <c r="I85" i="88" s="1"/>
  <c r="A94" i="88"/>
  <c r="E88" i="88"/>
  <c r="D100" i="86"/>
  <c r="B100" i="86"/>
  <c r="A110" i="86"/>
  <c r="F107" i="86"/>
  <c r="Q104" i="86"/>
  <c r="P104" i="86" s="1"/>
  <c r="O103" i="86"/>
  <c r="N103" i="86" s="1"/>
  <c r="M103" i="86"/>
  <c r="K104" i="86"/>
  <c r="L103" i="86"/>
  <c r="G104" i="86"/>
  <c r="M104" i="86"/>
  <c r="F103" i="86"/>
  <c r="R103" i="86"/>
  <c r="L104" i="86"/>
  <c r="O104" i="86"/>
  <c r="N104" i="86" s="1"/>
  <c r="Q103" i="86"/>
  <c r="P103" i="86" s="1"/>
  <c r="K103" i="86"/>
  <c r="E90" i="88" l="1"/>
  <c r="E89" i="88"/>
  <c r="C88" i="88" s="1"/>
  <c r="G90" i="88"/>
  <c r="J89" i="88"/>
  <c r="I89" i="88" s="1"/>
  <c r="K88" i="88"/>
  <c r="K89" i="88"/>
  <c r="G88" i="88"/>
  <c r="G89" i="88"/>
  <c r="J88" i="88"/>
  <c r="I88" i="88" s="1"/>
  <c r="A98" i="88"/>
  <c r="E92" i="88"/>
  <c r="D103" i="86"/>
  <c r="B103" i="86"/>
  <c r="G107" i="86"/>
  <c r="Q107" i="86"/>
  <c r="P107" i="86" s="1"/>
  <c r="Q106" i="86"/>
  <c r="P106" i="86" s="1"/>
  <c r="O106" i="86"/>
  <c r="N106" i="86" s="1"/>
  <c r="M106" i="86"/>
  <c r="O107" i="86"/>
  <c r="N107" i="86" s="1"/>
  <c r="L106" i="86"/>
  <c r="R106" i="86"/>
  <c r="M107" i="86"/>
  <c r="K106" i="86"/>
  <c r="L107" i="86"/>
  <c r="F106" i="86"/>
  <c r="K107" i="86"/>
  <c r="F110" i="86"/>
  <c r="A113" i="86"/>
  <c r="K93" i="88" l="1"/>
  <c r="J93" i="88"/>
  <c r="I93" i="88" s="1"/>
  <c r="J92" i="88"/>
  <c r="I92" i="88" s="1"/>
  <c r="G92" i="88"/>
  <c r="G94" i="88"/>
  <c r="G93" i="88"/>
  <c r="K92" i="88"/>
  <c r="E94" i="88"/>
  <c r="E93" i="88"/>
  <c r="C92" i="88" s="1"/>
  <c r="E96" i="88"/>
  <c r="A102" i="88"/>
  <c r="A116" i="86"/>
  <c r="F113" i="86"/>
  <c r="L109" i="86"/>
  <c r="M110" i="86"/>
  <c r="K109" i="86"/>
  <c r="K110" i="86"/>
  <c r="G110" i="86"/>
  <c r="R109" i="86"/>
  <c r="Q109" i="86"/>
  <c r="P109" i="86" s="1"/>
  <c r="M109" i="86"/>
  <c r="L110" i="86"/>
  <c r="Q110" i="86"/>
  <c r="P110" i="86" s="1"/>
  <c r="F109" i="86"/>
  <c r="O109" i="86"/>
  <c r="N109" i="86" s="1"/>
  <c r="O110" i="86"/>
  <c r="N110" i="86" s="1"/>
  <c r="D106" i="86"/>
  <c r="B106" i="86"/>
  <c r="A106" i="88" l="1"/>
  <c r="E100" i="88"/>
  <c r="J97" i="88"/>
  <c r="I97" i="88" s="1"/>
  <c r="G96" i="88"/>
  <c r="E98" i="88"/>
  <c r="E97" i="88"/>
  <c r="C96" i="88" s="1"/>
  <c r="G97" i="88"/>
  <c r="J96" i="88"/>
  <c r="I96" i="88" s="1"/>
  <c r="G98" i="88"/>
  <c r="K96" i="88"/>
  <c r="K97" i="88"/>
  <c r="D109" i="86"/>
  <c r="B109" i="86"/>
  <c r="R112" i="86"/>
  <c r="O113" i="86"/>
  <c r="N113" i="86" s="1"/>
  <c r="Q112" i="86"/>
  <c r="P112" i="86" s="1"/>
  <c r="L112" i="86"/>
  <c r="O112" i="86"/>
  <c r="N112" i="86" s="1"/>
  <c r="M113" i="86"/>
  <c r="K112" i="86"/>
  <c r="M112" i="86"/>
  <c r="L113" i="86"/>
  <c r="F112" i="86"/>
  <c r="K113" i="86"/>
  <c r="G113" i="86"/>
  <c r="Q113" i="86"/>
  <c r="P113" i="86" s="1"/>
  <c r="A119" i="86"/>
  <c r="F116" i="86"/>
  <c r="E102" i="88" l="1"/>
  <c r="E101" i="88"/>
  <c r="C100" i="88" s="1"/>
  <c r="K100" i="88"/>
  <c r="K101" i="88"/>
  <c r="G100" i="88"/>
  <c r="J100" i="88"/>
  <c r="I100" i="88" s="1"/>
  <c r="J101" i="88"/>
  <c r="I101" i="88" s="1"/>
  <c r="G102" i="88"/>
  <c r="G101" i="88"/>
  <c r="B58" i="88"/>
  <c r="E104" i="88"/>
  <c r="F115" i="86"/>
  <c r="K115" i="86"/>
  <c r="R115" i="86"/>
  <c r="K116" i="86"/>
  <c r="G116" i="86"/>
  <c r="Q115" i="86"/>
  <c r="P115" i="86" s="1"/>
  <c r="Q116" i="86"/>
  <c r="P116" i="86" s="1"/>
  <c r="O115" i="86"/>
  <c r="N115" i="86" s="1"/>
  <c r="L116" i="86"/>
  <c r="M115" i="86"/>
  <c r="O116" i="86"/>
  <c r="N116" i="86" s="1"/>
  <c r="L115" i="86"/>
  <c r="M116" i="86"/>
  <c r="D112" i="86"/>
  <c r="B112" i="86"/>
  <c r="F119" i="86"/>
  <c r="A122" i="86"/>
  <c r="G104" i="88" l="1"/>
  <c r="K105" i="88"/>
  <c r="K104" i="88"/>
  <c r="E106" i="88"/>
  <c r="G106" i="88"/>
  <c r="E105" i="88"/>
  <c r="C104" i="88" s="1"/>
  <c r="J104" i="88"/>
  <c r="I104" i="88" s="1"/>
  <c r="J105" i="88"/>
  <c r="I105" i="88" s="1"/>
  <c r="G105" i="88"/>
  <c r="O56" i="88"/>
  <c r="B62" i="88"/>
  <c r="D115" i="86"/>
  <c r="B115" i="86"/>
  <c r="A125" i="86"/>
  <c r="F122" i="86"/>
  <c r="F118" i="86"/>
  <c r="O118" i="86"/>
  <c r="N118" i="86" s="1"/>
  <c r="K119" i="86"/>
  <c r="L118" i="86"/>
  <c r="G119" i="86"/>
  <c r="O119" i="86"/>
  <c r="N119" i="86" s="1"/>
  <c r="Q119" i="86"/>
  <c r="P119" i="86" s="1"/>
  <c r="K118" i="86"/>
  <c r="R118" i="86"/>
  <c r="Q118" i="86"/>
  <c r="P118" i="86" s="1"/>
  <c r="M118" i="86"/>
  <c r="L119" i="86"/>
  <c r="M119" i="86"/>
  <c r="B66" i="88" l="1"/>
  <c r="O60" i="88"/>
  <c r="O58" i="88"/>
  <c r="Q58" i="88"/>
  <c r="Q57" i="88"/>
  <c r="T56" i="88"/>
  <c r="S56" i="88" s="1"/>
  <c r="U56" i="88"/>
  <c r="Q56" i="88"/>
  <c r="U57" i="88"/>
  <c r="T57" i="88"/>
  <c r="S57" i="88" s="1"/>
  <c r="O57" i="88"/>
  <c r="M56" i="88" s="1"/>
  <c r="D118" i="86"/>
  <c r="B118" i="86"/>
  <c r="M121" i="86"/>
  <c r="O122" i="86"/>
  <c r="N122" i="86" s="1"/>
  <c r="L121" i="86"/>
  <c r="Q122" i="86"/>
  <c r="P122" i="86" s="1"/>
  <c r="G122" i="86"/>
  <c r="O121" i="86"/>
  <c r="N121" i="86" s="1"/>
  <c r="M122" i="86"/>
  <c r="K121" i="86"/>
  <c r="R121" i="86"/>
  <c r="L122" i="86"/>
  <c r="F121" i="86"/>
  <c r="Q121" i="86"/>
  <c r="P121" i="86" s="1"/>
  <c r="K122" i="86"/>
  <c r="F125" i="86"/>
  <c r="A128" i="86"/>
  <c r="Q61" i="88" l="1"/>
  <c r="O62" i="88"/>
  <c r="T60" i="88"/>
  <c r="S60" i="88" s="1"/>
  <c r="O61" i="88"/>
  <c r="M60" i="88" s="1"/>
  <c r="Q62" i="88"/>
  <c r="U61" i="88"/>
  <c r="T61" i="88"/>
  <c r="S61" i="88" s="1"/>
  <c r="Q60" i="88"/>
  <c r="U60" i="88"/>
  <c r="O64" i="88"/>
  <c r="B70" i="88"/>
  <c r="D121" i="86"/>
  <c r="B121" i="86"/>
  <c r="F128" i="86"/>
  <c r="A131" i="86"/>
  <c r="O124" i="86"/>
  <c r="N124" i="86" s="1"/>
  <c r="G125" i="86"/>
  <c r="L125" i="86"/>
  <c r="Q125" i="86"/>
  <c r="P125" i="86" s="1"/>
  <c r="F124" i="86"/>
  <c r="M124" i="86"/>
  <c r="R124" i="86"/>
  <c r="Q124" i="86"/>
  <c r="P124" i="86" s="1"/>
  <c r="M125" i="86"/>
  <c r="K124" i="86"/>
  <c r="L124" i="86"/>
  <c r="O125" i="86"/>
  <c r="N125" i="86" s="1"/>
  <c r="K125" i="86"/>
  <c r="O68" i="88" l="1"/>
  <c r="B74" i="88"/>
  <c r="T64" i="88"/>
  <c r="S64" i="88" s="1"/>
  <c r="Q65" i="88"/>
  <c r="Q64" i="88"/>
  <c r="U64" i="88"/>
  <c r="T65" i="88"/>
  <c r="S65" i="88" s="1"/>
  <c r="O65" i="88"/>
  <c r="M64" i="88" s="1"/>
  <c r="U65" i="88"/>
  <c r="Q66" i="88"/>
  <c r="O66" i="88"/>
  <c r="D124" i="86"/>
  <c r="B124" i="86"/>
  <c r="A134" i="86"/>
  <c r="F131" i="86"/>
  <c r="F127" i="86"/>
  <c r="Q128" i="86"/>
  <c r="P128" i="86" s="1"/>
  <c r="O128" i="86"/>
  <c r="N128" i="86" s="1"/>
  <c r="L128" i="86"/>
  <c r="K128" i="86"/>
  <c r="L127" i="86"/>
  <c r="O127" i="86"/>
  <c r="N127" i="86" s="1"/>
  <c r="M128" i="86"/>
  <c r="K127" i="86"/>
  <c r="M127" i="86"/>
  <c r="R127" i="86"/>
  <c r="G128" i="86"/>
  <c r="Q127" i="86"/>
  <c r="P127" i="86" s="1"/>
  <c r="O72" i="88" l="1"/>
  <c r="B78" i="88"/>
  <c r="O70" i="88"/>
  <c r="T69" i="88"/>
  <c r="S69" i="88" s="1"/>
  <c r="U68" i="88"/>
  <c r="T68" i="88"/>
  <c r="S68" i="88" s="1"/>
  <c r="O69" i="88"/>
  <c r="M68" i="88" s="1"/>
  <c r="U69" i="88"/>
  <c r="Q68" i="88"/>
  <c r="Q70" i="88"/>
  <c r="Q69" i="88"/>
  <c r="D127" i="86"/>
  <c r="B127" i="86"/>
  <c r="K131" i="86"/>
  <c r="O130" i="86"/>
  <c r="N130" i="86" s="1"/>
  <c r="G131" i="86"/>
  <c r="R130" i="86"/>
  <c r="M130" i="86"/>
  <c r="O131" i="86"/>
  <c r="N131" i="86" s="1"/>
  <c r="L130" i="86"/>
  <c r="M131" i="86"/>
  <c r="K130" i="86"/>
  <c r="L131" i="86"/>
  <c r="F130" i="86"/>
  <c r="Q131" i="86"/>
  <c r="P131" i="86" s="1"/>
  <c r="Q130" i="86"/>
  <c r="P130" i="86" s="1"/>
  <c r="A137" i="86"/>
  <c r="F134" i="86"/>
  <c r="B82" i="88" l="1"/>
  <c r="O76" i="88"/>
  <c r="Q74" i="88"/>
  <c r="O74" i="88"/>
  <c r="U72" i="88"/>
  <c r="U73" i="88"/>
  <c r="Q73" i="88"/>
  <c r="T73" i="88"/>
  <c r="S73" i="88" s="1"/>
  <c r="Q72" i="88"/>
  <c r="O73" i="88"/>
  <c r="M72" i="88" s="1"/>
  <c r="T72" i="88"/>
  <c r="S72" i="88" s="1"/>
  <c r="O133" i="86"/>
  <c r="N133" i="86" s="1"/>
  <c r="M133" i="86"/>
  <c r="K134" i="86"/>
  <c r="O134" i="86"/>
  <c r="N134" i="86" s="1"/>
  <c r="L133" i="86"/>
  <c r="M134" i="86"/>
  <c r="K133" i="86"/>
  <c r="L134" i="86"/>
  <c r="F133" i="86"/>
  <c r="G134" i="86"/>
  <c r="R133" i="86"/>
  <c r="Q134" i="86"/>
  <c r="P134" i="86" s="1"/>
  <c r="Q133" i="86"/>
  <c r="P133" i="86" s="1"/>
  <c r="D130" i="86"/>
  <c r="B130" i="86"/>
  <c r="A140" i="86"/>
  <c r="F137" i="86"/>
  <c r="Q77" i="88" l="1"/>
  <c r="O78" i="88"/>
  <c r="Q76" i="88"/>
  <c r="U77" i="88"/>
  <c r="Q78" i="88"/>
  <c r="O77" i="88"/>
  <c r="M76" i="88" s="1"/>
  <c r="U76" i="88"/>
  <c r="T77" i="88"/>
  <c r="S77" i="88" s="1"/>
  <c r="T76" i="88"/>
  <c r="S76" i="88" s="1"/>
  <c r="B86" i="88"/>
  <c r="O80" i="88"/>
  <c r="D133" i="86"/>
  <c r="B133" i="86"/>
  <c r="R136" i="86"/>
  <c r="O137" i="86"/>
  <c r="N137" i="86" s="1"/>
  <c r="O136" i="86"/>
  <c r="N136" i="86" s="1"/>
  <c r="M136" i="86"/>
  <c r="L136" i="86"/>
  <c r="M137" i="86"/>
  <c r="L137" i="86"/>
  <c r="F136" i="86"/>
  <c r="K137" i="86"/>
  <c r="G137" i="86"/>
  <c r="K136" i="86"/>
  <c r="Q136" i="86"/>
  <c r="P136" i="86" s="1"/>
  <c r="Q137" i="86"/>
  <c r="P137" i="86" s="1"/>
  <c r="A143" i="86"/>
  <c r="F140" i="86"/>
  <c r="O84" i="88" l="1"/>
  <c r="B90" i="88"/>
  <c r="Q80" i="88"/>
  <c r="Q81" i="88"/>
  <c r="O82" i="88"/>
  <c r="Q82" i="88"/>
  <c r="T80" i="88"/>
  <c r="S80" i="88" s="1"/>
  <c r="T81" i="88"/>
  <c r="S81" i="88" s="1"/>
  <c r="U80" i="88"/>
  <c r="O81" i="88"/>
  <c r="M80" i="88" s="1"/>
  <c r="U81" i="88"/>
  <c r="D136" i="86"/>
  <c r="B136" i="86"/>
  <c r="L140" i="86"/>
  <c r="F139" i="86"/>
  <c r="K140" i="86"/>
  <c r="M140" i="86"/>
  <c r="G140" i="86"/>
  <c r="R139" i="86"/>
  <c r="O139" i="86"/>
  <c r="N139" i="86" s="1"/>
  <c r="M139" i="86"/>
  <c r="O140" i="86"/>
  <c r="N140" i="86" s="1"/>
  <c r="L139" i="86"/>
  <c r="K139" i="86"/>
  <c r="Q140" i="86"/>
  <c r="P140" i="86" s="1"/>
  <c r="Q139" i="86"/>
  <c r="P139" i="86" s="1"/>
  <c r="A146" i="86"/>
  <c r="F143" i="86"/>
  <c r="B94" i="88" l="1"/>
  <c r="O88" i="88"/>
  <c r="Q86" i="88"/>
  <c r="O86" i="88"/>
  <c r="U84" i="88"/>
  <c r="T84" i="88"/>
  <c r="S84" i="88" s="1"/>
  <c r="Q85" i="88"/>
  <c r="T85" i="88"/>
  <c r="S85" i="88" s="1"/>
  <c r="Q84" i="88"/>
  <c r="U85" i="88"/>
  <c r="O85" i="88"/>
  <c r="M84" i="88" s="1"/>
  <c r="D139" i="86"/>
  <c r="B139" i="86"/>
  <c r="O142" i="86"/>
  <c r="N142" i="86" s="1"/>
  <c r="M142" i="86"/>
  <c r="O143" i="86"/>
  <c r="N143" i="86" s="1"/>
  <c r="L142" i="86"/>
  <c r="F142" i="86"/>
  <c r="M143" i="86"/>
  <c r="K142" i="86"/>
  <c r="R142" i="86"/>
  <c r="G143" i="86"/>
  <c r="K143" i="86"/>
  <c r="Q142" i="86"/>
  <c r="P142" i="86" s="1"/>
  <c r="Q143" i="86"/>
  <c r="P143" i="86" s="1"/>
  <c r="L143" i="86"/>
  <c r="F146" i="86"/>
  <c r="A149" i="86"/>
  <c r="Q88" i="88" l="1"/>
  <c r="U89" i="88"/>
  <c r="Q89" i="88"/>
  <c r="O89" i="88"/>
  <c r="M88" i="88" s="1"/>
  <c r="O90" i="88"/>
  <c r="T89" i="88"/>
  <c r="S89" i="88" s="1"/>
  <c r="Q90" i="88"/>
  <c r="U88" i="88"/>
  <c r="T88" i="88"/>
  <c r="S88" i="88" s="1"/>
  <c r="B98" i="88"/>
  <c r="O92" i="88"/>
  <c r="D142" i="86"/>
  <c r="B142" i="86"/>
  <c r="A152" i="86"/>
  <c r="F149" i="86"/>
  <c r="F145" i="86"/>
  <c r="K146" i="86"/>
  <c r="Q146" i="86"/>
  <c r="P146" i="86" s="1"/>
  <c r="G146" i="86"/>
  <c r="O145" i="86"/>
  <c r="N145" i="86" s="1"/>
  <c r="R145" i="86"/>
  <c r="Q145" i="86"/>
  <c r="P145" i="86" s="1"/>
  <c r="M145" i="86"/>
  <c r="O146" i="86"/>
  <c r="N146" i="86" s="1"/>
  <c r="L145" i="86"/>
  <c r="M146" i="86"/>
  <c r="L146" i="86"/>
  <c r="K145" i="86"/>
  <c r="B102" i="88" l="1"/>
  <c r="O96" i="88"/>
  <c r="O93" i="88"/>
  <c r="M92" i="88" s="1"/>
  <c r="T92" i="88"/>
  <c r="S92" i="88" s="1"/>
  <c r="Q92" i="88"/>
  <c r="U92" i="88"/>
  <c r="U93" i="88"/>
  <c r="T93" i="88"/>
  <c r="S93" i="88" s="1"/>
  <c r="Q93" i="88"/>
  <c r="O94" i="88"/>
  <c r="Q94" i="88"/>
  <c r="D145" i="86"/>
  <c r="B145" i="86"/>
  <c r="O149" i="86"/>
  <c r="N149" i="86" s="1"/>
  <c r="L148" i="86"/>
  <c r="O148" i="86"/>
  <c r="N148" i="86" s="1"/>
  <c r="M149" i="86"/>
  <c r="K148" i="86"/>
  <c r="G149" i="86"/>
  <c r="L149" i="86"/>
  <c r="M148" i="86"/>
  <c r="F148" i="86"/>
  <c r="K149" i="86"/>
  <c r="R148" i="86"/>
  <c r="Q149" i="86"/>
  <c r="P149" i="86" s="1"/>
  <c r="Q148" i="86"/>
  <c r="P148" i="86" s="1"/>
  <c r="A155" i="86"/>
  <c r="F152" i="86"/>
  <c r="O98" i="88" l="1"/>
  <c r="T96" i="88"/>
  <c r="S96" i="88" s="1"/>
  <c r="U97" i="88"/>
  <c r="T97" i="88"/>
  <c r="S97" i="88" s="1"/>
  <c r="Q96" i="88"/>
  <c r="Q97" i="88"/>
  <c r="Q98" i="88"/>
  <c r="U96" i="88"/>
  <c r="O97" i="88"/>
  <c r="M96" i="88" s="1"/>
  <c r="O100" i="88"/>
  <c r="A110" i="88"/>
  <c r="D148" i="86"/>
  <c r="B148" i="86"/>
  <c r="O152" i="86"/>
  <c r="N152" i="86" s="1"/>
  <c r="M151" i="86"/>
  <c r="R151" i="86"/>
  <c r="Q151" i="86"/>
  <c r="P151" i="86" s="1"/>
  <c r="Q152" i="86"/>
  <c r="P152" i="86" s="1"/>
  <c r="K151" i="86"/>
  <c r="O151" i="86"/>
  <c r="N151" i="86" s="1"/>
  <c r="L151" i="86"/>
  <c r="M152" i="86"/>
  <c r="L152" i="86"/>
  <c r="F151" i="86"/>
  <c r="G152" i="86"/>
  <c r="K152" i="86"/>
  <c r="A158" i="86"/>
  <c r="F155" i="86"/>
  <c r="U100" i="88" l="1"/>
  <c r="T100" i="88"/>
  <c r="S100" i="88" s="1"/>
  <c r="T101" i="88"/>
  <c r="S101" i="88" s="1"/>
  <c r="Q101" i="88"/>
  <c r="O101" i="88"/>
  <c r="M100" i="88" s="1"/>
  <c r="O102" i="88"/>
  <c r="U101" i="88"/>
  <c r="Q102" i="88"/>
  <c r="Q100" i="88"/>
  <c r="E108" i="88"/>
  <c r="A114" i="88"/>
  <c r="D151" i="86"/>
  <c r="B151" i="86"/>
  <c r="M155" i="86"/>
  <c r="K154" i="86"/>
  <c r="R154" i="86"/>
  <c r="L155" i="86"/>
  <c r="F154" i="86"/>
  <c r="M154" i="86"/>
  <c r="K155" i="86"/>
  <c r="G155" i="86"/>
  <c r="O155" i="86"/>
  <c r="N155" i="86" s="1"/>
  <c r="Q154" i="86"/>
  <c r="P154" i="86" s="1"/>
  <c r="Q155" i="86"/>
  <c r="P155" i="86" s="1"/>
  <c r="O154" i="86"/>
  <c r="N154" i="86" s="1"/>
  <c r="L154" i="86"/>
  <c r="A161" i="86"/>
  <c r="F158" i="86"/>
  <c r="A118" i="88" l="1"/>
  <c r="E112" i="88"/>
  <c r="E109" i="88"/>
  <c r="C108" i="88" s="1"/>
  <c r="K108" i="88"/>
  <c r="J109" i="88"/>
  <c r="I109" i="88" s="1"/>
  <c r="G108" i="88"/>
  <c r="K109" i="88"/>
  <c r="G110" i="88"/>
  <c r="G109" i="88"/>
  <c r="J108" i="88"/>
  <c r="I108" i="88" s="1"/>
  <c r="E110" i="88"/>
  <c r="D154" i="86"/>
  <c r="B154" i="86"/>
  <c r="F161" i="86"/>
  <c r="A164" i="86"/>
  <c r="Q158" i="86"/>
  <c r="P158" i="86" s="1"/>
  <c r="O157" i="86"/>
  <c r="N157" i="86" s="1"/>
  <c r="K157" i="86"/>
  <c r="M157" i="86"/>
  <c r="R157" i="86"/>
  <c r="F157" i="86"/>
  <c r="O158" i="86"/>
  <c r="N158" i="86" s="1"/>
  <c r="L157" i="86"/>
  <c r="M158" i="86"/>
  <c r="K158" i="86"/>
  <c r="L158" i="86"/>
  <c r="G158" i="86"/>
  <c r="Q157" i="86"/>
  <c r="P157" i="86" s="1"/>
  <c r="J113" i="88" l="1"/>
  <c r="I113" i="88" s="1"/>
  <c r="E113" i="88"/>
  <c r="C112" i="88" s="1"/>
  <c r="G112" i="88"/>
  <c r="G114" i="88"/>
  <c r="G113" i="88"/>
  <c r="J112" i="88"/>
  <c r="I112" i="88" s="1"/>
  <c r="E114" i="88"/>
  <c r="K112" i="88"/>
  <c r="K113" i="88"/>
  <c r="A122" i="88"/>
  <c r="E116" i="88"/>
  <c r="F164" i="86"/>
  <c r="A167" i="86"/>
  <c r="D157" i="86"/>
  <c r="B157" i="86"/>
  <c r="K161" i="86"/>
  <c r="F160" i="86"/>
  <c r="Q160" i="86"/>
  <c r="P160" i="86" s="1"/>
  <c r="L161" i="86"/>
  <c r="G161" i="86"/>
  <c r="R160" i="86"/>
  <c r="Q161" i="86"/>
  <c r="P161" i="86" s="1"/>
  <c r="O160" i="86"/>
  <c r="N160" i="86" s="1"/>
  <c r="M160" i="86"/>
  <c r="O161" i="86"/>
  <c r="N161" i="86" s="1"/>
  <c r="M161" i="86"/>
  <c r="L160" i="86"/>
  <c r="K160" i="86"/>
  <c r="E120" i="88" l="1"/>
  <c r="A126" i="88"/>
  <c r="J116" i="88"/>
  <c r="I116" i="88" s="1"/>
  <c r="J117" i="88"/>
  <c r="I117" i="88" s="1"/>
  <c r="G116" i="88"/>
  <c r="G118" i="88"/>
  <c r="G117" i="88"/>
  <c r="E118" i="88"/>
  <c r="E117" i="88"/>
  <c r="C116" i="88" s="1"/>
  <c r="K116" i="88"/>
  <c r="K117" i="88"/>
  <c r="D160" i="86"/>
  <c r="B160" i="86"/>
  <c r="F167" i="86"/>
  <c r="A170" i="86"/>
  <c r="M163" i="86"/>
  <c r="O164" i="86"/>
  <c r="N164" i="86" s="1"/>
  <c r="L163" i="86"/>
  <c r="M164" i="86"/>
  <c r="K163" i="86"/>
  <c r="Q164" i="86"/>
  <c r="P164" i="86" s="1"/>
  <c r="G164" i="86"/>
  <c r="K164" i="86"/>
  <c r="L164" i="86"/>
  <c r="F163" i="86"/>
  <c r="Q163" i="86"/>
  <c r="P163" i="86" s="1"/>
  <c r="R163" i="86"/>
  <c r="O163" i="86"/>
  <c r="N163" i="86" s="1"/>
  <c r="A130" i="88" l="1"/>
  <c r="E124" i="88"/>
  <c r="E122" i="88"/>
  <c r="E121" i="88"/>
  <c r="C120" i="88" s="1"/>
  <c r="J120" i="88"/>
  <c r="I120" i="88" s="1"/>
  <c r="J121" i="88"/>
  <c r="I121" i="88" s="1"/>
  <c r="K120" i="88"/>
  <c r="K121" i="88"/>
  <c r="G120" i="88"/>
  <c r="G122" i="88"/>
  <c r="G121" i="88"/>
  <c r="D163" i="86"/>
  <c r="B163" i="86"/>
  <c r="F170" i="86"/>
  <c r="A173" i="86"/>
  <c r="O166" i="86"/>
  <c r="N166" i="86" s="1"/>
  <c r="M166" i="86"/>
  <c r="Q166" i="86"/>
  <c r="P166" i="86" s="1"/>
  <c r="Q167" i="86"/>
  <c r="P167" i="86" s="1"/>
  <c r="G167" i="86"/>
  <c r="O167" i="86"/>
  <c r="N167" i="86" s="1"/>
  <c r="L166" i="86"/>
  <c r="R166" i="86"/>
  <c r="M167" i="86"/>
  <c r="K166" i="86"/>
  <c r="L167" i="86"/>
  <c r="K167" i="86"/>
  <c r="F166" i="86"/>
  <c r="G124" i="88" l="1"/>
  <c r="G126" i="88"/>
  <c r="G125" i="88"/>
  <c r="E126" i="88"/>
  <c r="E125" i="88"/>
  <c r="C124" i="88" s="1"/>
  <c r="K124" i="88"/>
  <c r="K125" i="88"/>
  <c r="J124" i="88"/>
  <c r="I124" i="88" s="1"/>
  <c r="J125" i="88"/>
  <c r="I125" i="88" s="1"/>
  <c r="A134" i="88"/>
  <c r="E128" i="88"/>
  <c r="D166" i="86"/>
  <c r="B166" i="86"/>
  <c r="F173" i="86"/>
  <c r="A176" i="86"/>
  <c r="L169" i="86"/>
  <c r="M170" i="86"/>
  <c r="K169" i="86"/>
  <c r="O170" i="86"/>
  <c r="N170" i="86" s="1"/>
  <c r="L170" i="86"/>
  <c r="F169" i="86"/>
  <c r="K170" i="86"/>
  <c r="M169" i="86"/>
  <c r="G170" i="86"/>
  <c r="R169" i="86"/>
  <c r="Q170" i="86"/>
  <c r="P170" i="86" s="1"/>
  <c r="Q169" i="86"/>
  <c r="P169" i="86" s="1"/>
  <c r="O169" i="86"/>
  <c r="N169" i="86" s="1"/>
  <c r="G128" i="88" l="1"/>
  <c r="G130" i="88"/>
  <c r="G129" i="88"/>
  <c r="E130" i="88"/>
  <c r="E129" i="88"/>
  <c r="C128" i="88" s="1"/>
  <c r="K128" i="88"/>
  <c r="K129" i="88"/>
  <c r="J128" i="88"/>
  <c r="I128" i="88" s="1"/>
  <c r="J129" i="88"/>
  <c r="I129" i="88" s="1"/>
  <c r="E132" i="88"/>
  <c r="A138" i="88"/>
  <c r="D169" i="86"/>
  <c r="B169" i="86"/>
  <c r="A179" i="86"/>
  <c r="F176" i="86"/>
  <c r="O173" i="86"/>
  <c r="N173" i="86" s="1"/>
  <c r="L172" i="86"/>
  <c r="F172" i="86"/>
  <c r="L173" i="86"/>
  <c r="K173" i="86"/>
  <c r="G173" i="86"/>
  <c r="O172" i="86"/>
  <c r="N172" i="86" s="1"/>
  <c r="K172" i="86"/>
  <c r="M172" i="86"/>
  <c r="M173" i="86"/>
  <c r="R172" i="86"/>
  <c r="Q172" i="86"/>
  <c r="P172" i="86" s="1"/>
  <c r="Q173" i="86"/>
  <c r="P173" i="86" s="1"/>
  <c r="J132" i="88" l="1"/>
  <c r="I132" i="88" s="1"/>
  <c r="K132" i="88"/>
  <c r="K133" i="88"/>
  <c r="G132" i="88"/>
  <c r="J133" i="88"/>
  <c r="I133" i="88" s="1"/>
  <c r="G134" i="88"/>
  <c r="G133" i="88"/>
  <c r="E134" i="88"/>
  <c r="E133" i="88"/>
  <c r="C132" i="88" s="1"/>
  <c r="A142" i="88"/>
  <c r="E136" i="88"/>
  <c r="D172" i="86"/>
  <c r="B172" i="86"/>
  <c r="K175" i="86"/>
  <c r="L176" i="86"/>
  <c r="F175" i="86"/>
  <c r="K176" i="86"/>
  <c r="G176" i="86"/>
  <c r="R175" i="86"/>
  <c r="O175" i="86"/>
  <c r="N175" i="86" s="1"/>
  <c r="M175" i="86"/>
  <c r="O176" i="86"/>
  <c r="N176" i="86" s="1"/>
  <c r="M176" i="86"/>
  <c r="L175" i="86"/>
  <c r="Q176" i="86"/>
  <c r="P176" i="86" s="1"/>
  <c r="Q175" i="86"/>
  <c r="P175" i="86" s="1"/>
  <c r="F179" i="86"/>
  <c r="A182" i="86"/>
  <c r="A146" i="88" l="1"/>
  <c r="E140" i="88"/>
  <c r="J137" i="88"/>
  <c r="I137" i="88" s="1"/>
  <c r="G136" i="88"/>
  <c r="G138" i="88"/>
  <c r="G137" i="88"/>
  <c r="E138" i="88"/>
  <c r="E137" i="88"/>
  <c r="C136" i="88" s="1"/>
  <c r="K136" i="88"/>
  <c r="K137" i="88"/>
  <c r="J136" i="88"/>
  <c r="I136" i="88" s="1"/>
  <c r="D175" i="86"/>
  <c r="B175" i="86"/>
  <c r="A185" i="86"/>
  <c r="F182" i="86"/>
  <c r="L178" i="86"/>
  <c r="M179" i="86"/>
  <c r="K178" i="86"/>
  <c r="L179" i="86"/>
  <c r="F178" i="86"/>
  <c r="G179" i="86"/>
  <c r="K179" i="86"/>
  <c r="R178" i="86"/>
  <c r="O178" i="86"/>
  <c r="N178" i="86" s="1"/>
  <c r="M178" i="86"/>
  <c r="O179" i="86"/>
  <c r="N179" i="86" s="1"/>
  <c r="Q178" i="86"/>
  <c r="P178" i="86" s="1"/>
  <c r="Q179" i="86"/>
  <c r="P179" i="86" s="1"/>
  <c r="J140" i="88" l="1"/>
  <c r="I140" i="88" s="1"/>
  <c r="J141" i="88"/>
  <c r="I141" i="88" s="1"/>
  <c r="G140" i="88"/>
  <c r="G142" i="88"/>
  <c r="G141" i="88"/>
  <c r="E142" i="88"/>
  <c r="E141" i="88"/>
  <c r="C140" i="88" s="1"/>
  <c r="K140" i="88"/>
  <c r="K141" i="88"/>
  <c r="E144" i="88"/>
  <c r="A150" i="88"/>
  <c r="D178" i="86"/>
  <c r="B178" i="86"/>
  <c r="R181" i="86"/>
  <c r="Q181" i="86"/>
  <c r="P181" i="86" s="1"/>
  <c r="Q182" i="86"/>
  <c r="P182" i="86" s="1"/>
  <c r="O181" i="86"/>
  <c r="N181" i="86" s="1"/>
  <c r="O182" i="86"/>
  <c r="N182" i="86" s="1"/>
  <c r="M181" i="86"/>
  <c r="L181" i="86"/>
  <c r="M182" i="86"/>
  <c r="K181" i="86"/>
  <c r="L182" i="86"/>
  <c r="F181" i="86"/>
  <c r="G182" i="86"/>
  <c r="K182" i="86"/>
  <c r="A188" i="86"/>
  <c r="F185" i="86"/>
  <c r="E146" i="88" l="1"/>
  <c r="E145" i="88"/>
  <c r="C144" i="88" s="1"/>
  <c r="J144" i="88"/>
  <c r="I144" i="88" s="1"/>
  <c r="J145" i="88"/>
  <c r="I145" i="88" s="1"/>
  <c r="K144" i="88"/>
  <c r="G145" i="88"/>
  <c r="K145" i="88"/>
  <c r="G144" i="88"/>
  <c r="G146" i="88"/>
  <c r="A154" i="88"/>
  <c r="E148" i="88"/>
  <c r="D181" i="86"/>
  <c r="B181" i="86"/>
  <c r="L184" i="86"/>
  <c r="M185" i="86"/>
  <c r="K184" i="86"/>
  <c r="L185" i="86"/>
  <c r="F184" i="86"/>
  <c r="K185" i="86"/>
  <c r="R184" i="86"/>
  <c r="G185" i="86"/>
  <c r="Q184" i="86"/>
  <c r="P184" i="86" s="1"/>
  <c r="Q185" i="86"/>
  <c r="P185" i="86" s="1"/>
  <c r="O184" i="86"/>
  <c r="N184" i="86" s="1"/>
  <c r="M184" i="86"/>
  <c r="O185" i="86"/>
  <c r="N185" i="86" s="1"/>
  <c r="F188" i="86"/>
  <c r="A191" i="86"/>
  <c r="E150" i="88" l="1"/>
  <c r="J149" i="88"/>
  <c r="I149" i="88" s="1"/>
  <c r="G148" i="88"/>
  <c r="G150" i="88"/>
  <c r="G149" i="88"/>
  <c r="K148" i="88"/>
  <c r="E149" i="88"/>
  <c r="C148" i="88" s="1"/>
  <c r="J148" i="88"/>
  <c r="I148" i="88" s="1"/>
  <c r="K149" i="88"/>
  <c r="A158" i="88"/>
  <c r="E152" i="88"/>
  <c r="D184" i="86"/>
  <c r="B184" i="86"/>
  <c r="A194" i="86"/>
  <c r="F191" i="86"/>
  <c r="R187" i="86"/>
  <c r="G188" i="86"/>
  <c r="Q187" i="86"/>
  <c r="P187" i="86" s="1"/>
  <c r="Q188" i="86"/>
  <c r="P188" i="86" s="1"/>
  <c r="K187" i="86"/>
  <c r="O187" i="86"/>
  <c r="N187" i="86" s="1"/>
  <c r="O188" i="86"/>
  <c r="N188" i="86" s="1"/>
  <c r="M187" i="86"/>
  <c r="L188" i="86"/>
  <c r="L187" i="86"/>
  <c r="F187" i="86"/>
  <c r="K188" i="86"/>
  <c r="M188" i="86"/>
  <c r="E156" i="88" l="1"/>
  <c r="B110" i="88"/>
  <c r="J152" i="88"/>
  <c r="I152" i="88" s="1"/>
  <c r="J153" i="88"/>
  <c r="I153" i="88" s="1"/>
  <c r="G152" i="88"/>
  <c r="G154" i="88"/>
  <c r="G153" i="88"/>
  <c r="E154" i="88"/>
  <c r="E153" i="88"/>
  <c r="C152" i="88" s="1"/>
  <c r="K152" i="88"/>
  <c r="K153" i="88"/>
  <c r="D187" i="86"/>
  <c r="B187" i="86"/>
  <c r="R190" i="86"/>
  <c r="L191" i="86"/>
  <c r="F190" i="86"/>
  <c r="K191" i="86"/>
  <c r="Q190" i="86"/>
  <c r="P190" i="86" s="1"/>
  <c r="Q191" i="86"/>
  <c r="P191" i="86" s="1"/>
  <c r="G191" i="86"/>
  <c r="O190" i="86"/>
  <c r="N190" i="86" s="1"/>
  <c r="M190" i="86"/>
  <c r="O191" i="86"/>
  <c r="N191" i="86" s="1"/>
  <c r="L190" i="86"/>
  <c r="M191" i="86"/>
  <c r="K190" i="86"/>
  <c r="F194" i="86"/>
  <c r="A197" i="86"/>
  <c r="B114" i="88" l="1"/>
  <c r="O108" i="88"/>
  <c r="K157" i="88"/>
  <c r="J157" i="88"/>
  <c r="I157" i="88" s="1"/>
  <c r="G157" i="88"/>
  <c r="J156" i="88"/>
  <c r="I156" i="88" s="1"/>
  <c r="E157" i="88"/>
  <c r="C156" i="88" s="1"/>
  <c r="K156" i="88"/>
  <c r="G156" i="88"/>
  <c r="G158" i="88"/>
  <c r="E158" i="88"/>
  <c r="D190" i="86"/>
  <c r="B190" i="86"/>
  <c r="A200" i="86"/>
  <c r="F197" i="86"/>
  <c r="O193" i="86"/>
  <c r="N193" i="86" s="1"/>
  <c r="M193" i="86"/>
  <c r="L194" i="86"/>
  <c r="O194" i="86"/>
  <c r="N194" i="86" s="1"/>
  <c r="L193" i="86"/>
  <c r="M194" i="86"/>
  <c r="K193" i="86"/>
  <c r="Q193" i="86"/>
  <c r="P193" i="86" s="1"/>
  <c r="F193" i="86"/>
  <c r="G194" i="86"/>
  <c r="K194" i="86"/>
  <c r="R193" i="86"/>
  <c r="Q194" i="86"/>
  <c r="P194" i="86" s="1"/>
  <c r="Q108" i="88" l="1"/>
  <c r="Q109" i="88"/>
  <c r="O109" i="88"/>
  <c r="M108" i="88" s="1"/>
  <c r="O110" i="88"/>
  <c r="Q110" i="88"/>
  <c r="U108" i="88"/>
  <c r="T108" i="88"/>
  <c r="S108" i="88" s="1"/>
  <c r="U109" i="88"/>
  <c r="T109" i="88"/>
  <c r="S109" i="88" s="1"/>
  <c r="O112" i="88"/>
  <c r="B118" i="88"/>
  <c r="D193" i="86"/>
  <c r="B193" i="86"/>
  <c r="L197" i="86"/>
  <c r="F196" i="86"/>
  <c r="K197" i="86"/>
  <c r="K196" i="86"/>
  <c r="G197" i="86"/>
  <c r="R196" i="86"/>
  <c r="M196" i="86"/>
  <c r="Q196" i="86"/>
  <c r="P196" i="86" s="1"/>
  <c r="O197" i="86"/>
  <c r="N197" i="86" s="1"/>
  <c r="L196" i="86"/>
  <c r="Q197" i="86"/>
  <c r="P197" i="86" s="1"/>
  <c r="M197" i="86"/>
  <c r="O196" i="86"/>
  <c r="N196" i="86" s="1"/>
  <c r="A203" i="86"/>
  <c r="F200" i="86"/>
  <c r="O116" i="88" l="1"/>
  <c r="B122" i="88"/>
  <c r="Q112" i="88"/>
  <c r="Q113" i="88"/>
  <c r="O113" i="88"/>
  <c r="M112" i="88" s="1"/>
  <c r="U112" i="88"/>
  <c r="Q114" i="88"/>
  <c r="O114" i="88"/>
  <c r="T112" i="88"/>
  <c r="S112" i="88" s="1"/>
  <c r="U113" i="88"/>
  <c r="T113" i="88"/>
  <c r="S113" i="88" s="1"/>
  <c r="D196" i="86"/>
  <c r="B196" i="86"/>
  <c r="M200" i="86"/>
  <c r="K199" i="86"/>
  <c r="L199" i="86"/>
  <c r="L200" i="86"/>
  <c r="F199" i="86"/>
  <c r="K200" i="86"/>
  <c r="R199" i="86"/>
  <c r="G200" i="86"/>
  <c r="Q199" i="86"/>
  <c r="P199" i="86" s="1"/>
  <c r="O200" i="86"/>
  <c r="N200" i="86" s="1"/>
  <c r="Q200" i="86"/>
  <c r="P200" i="86" s="1"/>
  <c r="O199" i="86"/>
  <c r="N199" i="86" s="1"/>
  <c r="M199" i="86"/>
  <c r="F203" i="86"/>
  <c r="A206" i="86"/>
  <c r="O120" i="88" l="1"/>
  <c r="B126" i="88"/>
  <c r="O118" i="88"/>
  <c r="T117" i="88"/>
  <c r="S117" i="88" s="1"/>
  <c r="U116" i="88"/>
  <c r="T116" i="88"/>
  <c r="S116" i="88" s="1"/>
  <c r="U117" i="88"/>
  <c r="O117" i="88"/>
  <c r="M116" i="88" s="1"/>
  <c r="Q116" i="88"/>
  <c r="Q117" i="88"/>
  <c r="Q118" i="88"/>
  <c r="D199" i="86"/>
  <c r="B199" i="86"/>
  <c r="A209" i="86"/>
  <c r="F206" i="86"/>
  <c r="O203" i="86"/>
  <c r="N203" i="86" s="1"/>
  <c r="Q202" i="86"/>
  <c r="P202" i="86" s="1"/>
  <c r="G203" i="86"/>
  <c r="L202" i="86"/>
  <c r="Q203" i="86"/>
  <c r="P203" i="86" s="1"/>
  <c r="O202" i="86"/>
  <c r="N202" i="86" s="1"/>
  <c r="M203" i="86"/>
  <c r="M202" i="86"/>
  <c r="K202" i="86"/>
  <c r="K203" i="86"/>
  <c r="L203" i="86"/>
  <c r="F202" i="86"/>
  <c r="R202" i="86"/>
  <c r="O124" i="88" l="1"/>
  <c r="B130" i="88"/>
  <c r="U121" i="88"/>
  <c r="T121" i="88"/>
  <c r="S121" i="88" s="1"/>
  <c r="Q120" i="88"/>
  <c r="Q121" i="88"/>
  <c r="O121" i="88"/>
  <c r="M120" i="88" s="1"/>
  <c r="O122" i="88"/>
  <c r="Q122" i="88"/>
  <c r="U120" i="88"/>
  <c r="T120" i="88"/>
  <c r="S120" i="88" s="1"/>
  <c r="D202" i="86"/>
  <c r="B202" i="86"/>
  <c r="L206" i="86"/>
  <c r="F205" i="86"/>
  <c r="K206" i="86"/>
  <c r="G206" i="86"/>
  <c r="Q205" i="86"/>
  <c r="P205" i="86" s="1"/>
  <c r="R205" i="86"/>
  <c r="Q206" i="86"/>
  <c r="P206" i="86" s="1"/>
  <c r="K205" i="86"/>
  <c r="O205" i="86"/>
  <c r="N205" i="86" s="1"/>
  <c r="M205" i="86"/>
  <c r="M206" i="86"/>
  <c r="O206" i="86"/>
  <c r="N206" i="86" s="1"/>
  <c r="L205" i="86"/>
  <c r="F209" i="86"/>
  <c r="A212" i="86"/>
  <c r="O128" i="88" l="1"/>
  <c r="B134" i="88"/>
  <c r="Q124" i="88"/>
  <c r="Q125" i="88"/>
  <c r="O125" i="88"/>
  <c r="M124" i="88" s="1"/>
  <c r="U124" i="88"/>
  <c r="Q126" i="88"/>
  <c r="O126" i="88"/>
  <c r="T124" i="88"/>
  <c r="S124" i="88" s="1"/>
  <c r="U125" i="88"/>
  <c r="T125" i="88"/>
  <c r="S125" i="88" s="1"/>
  <c r="D205" i="86"/>
  <c r="B205" i="86"/>
  <c r="F212" i="86"/>
  <c r="A215" i="86"/>
  <c r="L209" i="86"/>
  <c r="Q209" i="86"/>
  <c r="P209" i="86" s="1"/>
  <c r="K209" i="86"/>
  <c r="O208" i="86"/>
  <c r="N208" i="86" s="1"/>
  <c r="K208" i="86"/>
  <c r="M208" i="86"/>
  <c r="O209" i="86"/>
  <c r="N209" i="86" s="1"/>
  <c r="G209" i="86"/>
  <c r="L208" i="86"/>
  <c r="M209" i="86"/>
  <c r="R208" i="86"/>
  <c r="F208" i="86"/>
  <c r="Q208" i="86"/>
  <c r="P208" i="86" s="1"/>
  <c r="B138" i="88" l="1"/>
  <c r="O132" i="88"/>
  <c r="O130" i="88"/>
  <c r="T129" i="88"/>
  <c r="S129" i="88" s="1"/>
  <c r="U128" i="88"/>
  <c r="Q128" i="88"/>
  <c r="T128" i="88"/>
  <c r="S128" i="88" s="1"/>
  <c r="U129" i="88"/>
  <c r="Q129" i="88"/>
  <c r="O129" i="88"/>
  <c r="M128" i="88" s="1"/>
  <c r="Q130" i="88"/>
  <c r="D208" i="86"/>
  <c r="B208" i="86"/>
  <c r="F215" i="86"/>
  <c r="A218" i="86"/>
  <c r="Q212" i="86"/>
  <c r="P212" i="86" s="1"/>
  <c r="Q211" i="86"/>
  <c r="P211" i="86" s="1"/>
  <c r="M212" i="86"/>
  <c r="R211" i="86"/>
  <c r="K211" i="86"/>
  <c r="O211" i="86"/>
  <c r="N211" i="86" s="1"/>
  <c r="L212" i="86"/>
  <c r="F211" i="86"/>
  <c r="K212" i="86"/>
  <c r="G212" i="86"/>
  <c r="M211" i="86"/>
  <c r="O212" i="86"/>
  <c r="N212" i="86" s="1"/>
  <c r="L211" i="86"/>
  <c r="Q132" i="88" l="1"/>
  <c r="Q134" i="88"/>
  <c r="Q133" i="88"/>
  <c r="O133" i="88"/>
  <c r="M132" i="88" s="1"/>
  <c r="O134" i="88"/>
  <c r="U132" i="88"/>
  <c r="T132" i="88"/>
  <c r="S132" i="88" s="1"/>
  <c r="U133" i="88"/>
  <c r="T133" i="88"/>
  <c r="S133" i="88" s="1"/>
  <c r="O136" i="88"/>
  <c r="B142" i="88"/>
  <c r="D211" i="86"/>
  <c r="B211" i="86"/>
  <c r="F218" i="86"/>
  <c r="A221" i="86"/>
  <c r="M214" i="86"/>
  <c r="G215" i="86"/>
  <c r="L215" i="86"/>
  <c r="F214" i="86"/>
  <c r="K214" i="86"/>
  <c r="O215" i="86"/>
  <c r="N215" i="86" s="1"/>
  <c r="K215" i="86"/>
  <c r="L214" i="86"/>
  <c r="O214" i="86"/>
  <c r="N214" i="86" s="1"/>
  <c r="M215" i="86"/>
  <c r="R214" i="86"/>
  <c r="Q215" i="86"/>
  <c r="P215" i="86" s="1"/>
  <c r="Q214" i="86"/>
  <c r="P214" i="86" s="1"/>
  <c r="B146" i="88" l="1"/>
  <c r="O140" i="88"/>
  <c r="Q136" i="88"/>
  <c r="Q137" i="88"/>
  <c r="O137" i="88"/>
  <c r="M136" i="88" s="1"/>
  <c r="Q138" i="88"/>
  <c r="O138" i="88"/>
  <c r="U136" i="88"/>
  <c r="T136" i="88"/>
  <c r="S136" i="88" s="1"/>
  <c r="U137" i="88"/>
  <c r="T137" i="88"/>
  <c r="S137" i="88" s="1"/>
  <c r="D214" i="86"/>
  <c r="B214" i="86"/>
  <c r="F221" i="86"/>
  <c r="A224" i="86"/>
  <c r="L218" i="86"/>
  <c r="F217" i="86"/>
  <c r="K218" i="86"/>
  <c r="G218" i="86"/>
  <c r="R217" i="86"/>
  <c r="O217" i="86"/>
  <c r="N217" i="86" s="1"/>
  <c r="M217" i="86"/>
  <c r="O218" i="86"/>
  <c r="N218" i="86" s="1"/>
  <c r="M218" i="86"/>
  <c r="L217" i="86"/>
  <c r="K217" i="86"/>
  <c r="Q217" i="86"/>
  <c r="P217" i="86" s="1"/>
  <c r="Q218" i="86"/>
  <c r="P218" i="86" s="1"/>
  <c r="O141" i="88" l="1"/>
  <c r="M140" i="88" s="1"/>
  <c r="T141" i="88"/>
  <c r="S141" i="88" s="1"/>
  <c r="Q142" i="88"/>
  <c r="O142" i="88"/>
  <c r="U140" i="88"/>
  <c r="Q140" i="88"/>
  <c r="T140" i="88"/>
  <c r="S140" i="88" s="1"/>
  <c r="U141" i="88"/>
  <c r="Q141" i="88"/>
  <c r="O144" i="88"/>
  <c r="B150" i="88"/>
  <c r="D217" i="86"/>
  <c r="B217" i="86"/>
  <c r="F224" i="86"/>
  <c r="A227" i="86"/>
  <c r="K220" i="86"/>
  <c r="F220" i="86"/>
  <c r="G221" i="86"/>
  <c r="L220" i="86"/>
  <c r="R220" i="86"/>
  <c r="K221" i="86"/>
  <c r="O220" i="86"/>
  <c r="N220" i="86" s="1"/>
  <c r="L221" i="86"/>
  <c r="M220" i="86"/>
  <c r="O221" i="86"/>
  <c r="N221" i="86" s="1"/>
  <c r="M221" i="86"/>
  <c r="Q220" i="86"/>
  <c r="P220" i="86" s="1"/>
  <c r="Q221" i="86"/>
  <c r="P221" i="86" s="1"/>
  <c r="T144" i="88" l="1"/>
  <c r="S144" i="88" s="1"/>
  <c r="U145" i="88"/>
  <c r="T145" i="88"/>
  <c r="S145" i="88" s="1"/>
  <c r="Q144" i="88"/>
  <c r="Q146" i="88"/>
  <c r="Q145" i="88"/>
  <c r="O145" i="88"/>
  <c r="M144" i="88" s="1"/>
  <c r="O146" i="88"/>
  <c r="U144" i="88"/>
  <c r="O148" i="88"/>
  <c r="B154" i="88"/>
  <c r="D220" i="86"/>
  <c r="B220" i="86"/>
  <c r="A230" i="86"/>
  <c r="F227" i="86"/>
  <c r="R223" i="86"/>
  <c r="Q223" i="86"/>
  <c r="P223" i="86" s="1"/>
  <c r="O224" i="86"/>
  <c r="N224" i="86" s="1"/>
  <c r="M223" i="86"/>
  <c r="L223" i="86"/>
  <c r="M224" i="86"/>
  <c r="K223" i="86"/>
  <c r="L224" i="86"/>
  <c r="F223" i="86"/>
  <c r="K224" i="86"/>
  <c r="G224" i="86"/>
  <c r="O223" i="86"/>
  <c r="N223" i="86" s="1"/>
  <c r="Q224" i="86"/>
  <c r="P224" i="86" s="1"/>
  <c r="Q149" i="88" l="1"/>
  <c r="O149" i="88"/>
  <c r="M148" i="88" s="1"/>
  <c r="Q150" i="88"/>
  <c r="T148" i="88"/>
  <c r="S148" i="88" s="1"/>
  <c r="U148" i="88"/>
  <c r="O150" i="88"/>
  <c r="U149" i="88"/>
  <c r="T149" i="88"/>
  <c r="S149" i="88" s="1"/>
  <c r="Q148" i="88"/>
  <c r="O152" i="88"/>
  <c r="A162" i="88"/>
  <c r="L227" i="86"/>
  <c r="F226" i="86"/>
  <c r="R226" i="86"/>
  <c r="K227" i="86"/>
  <c r="Q226" i="86"/>
  <c r="P226" i="86" s="1"/>
  <c r="G227" i="86"/>
  <c r="Q227" i="86"/>
  <c r="P227" i="86" s="1"/>
  <c r="O226" i="86"/>
  <c r="N226" i="86" s="1"/>
  <c r="M226" i="86"/>
  <c r="O227" i="86"/>
  <c r="N227" i="86" s="1"/>
  <c r="L226" i="86"/>
  <c r="M227" i="86"/>
  <c r="K226" i="86"/>
  <c r="D223" i="86"/>
  <c r="B223" i="86"/>
  <c r="F230" i="86"/>
  <c r="A233" i="86"/>
  <c r="E160" i="88" l="1"/>
  <c r="A166" i="88"/>
  <c r="O153" i="88"/>
  <c r="M152" i="88" s="1"/>
  <c r="Q154" i="88"/>
  <c r="Q152" i="88"/>
  <c r="U153" i="88"/>
  <c r="O154" i="88"/>
  <c r="U152" i="88"/>
  <c r="Q153" i="88"/>
  <c r="T152" i="88"/>
  <c r="S152" i="88" s="1"/>
  <c r="T153" i="88"/>
  <c r="S153" i="88" s="1"/>
  <c r="D226" i="86"/>
  <c r="B226" i="86"/>
  <c r="M230" i="86"/>
  <c r="O229" i="86"/>
  <c r="N229" i="86" s="1"/>
  <c r="K229" i="86"/>
  <c r="M229" i="86"/>
  <c r="L230" i="86"/>
  <c r="L229" i="86"/>
  <c r="F229" i="86"/>
  <c r="K230" i="86"/>
  <c r="Q230" i="86"/>
  <c r="P230" i="86" s="1"/>
  <c r="G230" i="86"/>
  <c r="R229" i="86"/>
  <c r="Q229" i="86"/>
  <c r="P229" i="86" s="1"/>
  <c r="O230" i="86"/>
  <c r="N230" i="86" s="1"/>
  <c r="A236" i="86"/>
  <c r="F233" i="86"/>
  <c r="A170" i="88" l="1"/>
  <c r="E164" i="88"/>
  <c r="E162" i="88"/>
  <c r="E161" i="88"/>
  <c r="C160" i="88" s="1"/>
  <c r="J161" i="88"/>
  <c r="I161" i="88" s="1"/>
  <c r="K160" i="88"/>
  <c r="K161" i="88"/>
  <c r="J160" i="88"/>
  <c r="I160" i="88" s="1"/>
  <c r="G160" i="88"/>
  <c r="G162" i="88"/>
  <c r="G161" i="88"/>
  <c r="D229" i="86"/>
  <c r="B229" i="86"/>
  <c r="G233" i="86"/>
  <c r="Q233" i="86"/>
  <c r="P233" i="86" s="1"/>
  <c r="Q232" i="86"/>
  <c r="P232" i="86" s="1"/>
  <c r="O232" i="86"/>
  <c r="N232" i="86" s="1"/>
  <c r="R232" i="86"/>
  <c r="M232" i="86"/>
  <c r="O233" i="86"/>
  <c r="N233" i="86" s="1"/>
  <c r="L232" i="86"/>
  <c r="K232" i="86"/>
  <c r="M233" i="86"/>
  <c r="L233" i="86"/>
  <c r="F232" i="86"/>
  <c r="K233" i="86"/>
  <c r="F236" i="86"/>
  <c r="A239" i="86"/>
  <c r="J164" i="88" l="1"/>
  <c r="I164" i="88" s="1"/>
  <c r="J165" i="88"/>
  <c r="I165" i="88" s="1"/>
  <c r="G166" i="88"/>
  <c r="G165" i="88"/>
  <c r="E166" i="88"/>
  <c r="E165" i="88"/>
  <c r="C164" i="88" s="1"/>
  <c r="K165" i="88"/>
  <c r="K164" i="88"/>
  <c r="G164" i="88"/>
  <c r="A174" i="88"/>
  <c r="E168" i="88"/>
  <c r="A242" i="86"/>
  <c r="F239" i="86"/>
  <c r="O236" i="86"/>
  <c r="N236" i="86" s="1"/>
  <c r="L235" i="86"/>
  <c r="Q236" i="86"/>
  <c r="P236" i="86" s="1"/>
  <c r="M236" i="86"/>
  <c r="G236" i="86"/>
  <c r="K236" i="86"/>
  <c r="L236" i="86"/>
  <c r="R235" i="86"/>
  <c r="Q235" i="86"/>
  <c r="P235" i="86" s="1"/>
  <c r="K235" i="86"/>
  <c r="F235" i="86"/>
  <c r="M235" i="86"/>
  <c r="O235" i="86"/>
  <c r="N235" i="86" s="1"/>
  <c r="D232" i="86"/>
  <c r="B232" i="86"/>
  <c r="J169" i="88" l="1"/>
  <c r="I169" i="88" s="1"/>
  <c r="G168" i="88"/>
  <c r="G170" i="88"/>
  <c r="G169" i="88"/>
  <c r="E170" i="88"/>
  <c r="E169" i="88"/>
  <c r="C168" i="88" s="1"/>
  <c r="K168" i="88"/>
  <c r="K169" i="88"/>
  <c r="J168" i="88"/>
  <c r="I168" i="88" s="1"/>
  <c r="E172" i="88"/>
  <c r="A178" i="88"/>
  <c r="D235" i="86"/>
  <c r="B235" i="86"/>
  <c r="Q239" i="86"/>
  <c r="P239" i="86" s="1"/>
  <c r="M238" i="86"/>
  <c r="O238" i="86"/>
  <c r="N238" i="86" s="1"/>
  <c r="O239" i="86"/>
  <c r="N239" i="86" s="1"/>
  <c r="L238" i="86"/>
  <c r="M239" i="86"/>
  <c r="K238" i="86"/>
  <c r="Q238" i="86"/>
  <c r="P238" i="86" s="1"/>
  <c r="L239" i="86"/>
  <c r="G239" i="86"/>
  <c r="F238" i="86"/>
  <c r="K239" i="86"/>
  <c r="R238" i="86"/>
  <c r="A245" i="86"/>
  <c r="F242" i="86"/>
  <c r="G173" i="88" l="1"/>
  <c r="E173" i="88"/>
  <c r="C172" i="88" s="1"/>
  <c r="E174" i="88"/>
  <c r="J173" i="88"/>
  <c r="I173" i="88" s="1"/>
  <c r="K172" i="88"/>
  <c r="K173" i="88"/>
  <c r="J172" i="88"/>
  <c r="I172" i="88" s="1"/>
  <c r="G172" i="88"/>
  <c r="G174" i="88"/>
  <c r="A182" i="88"/>
  <c r="E176" i="88"/>
  <c r="D238" i="86"/>
  <c r="B238" i="86"/>
  <c r="F241" i="86"/>
  <c r="R241" i="86"/>
  <c r="G242" i="86"/>
  <c r="K242" i="86"/>
  <c r="Q241" i="86"/>
  <c r="P241" i="86" s="1"/>
  <c r="Q242" i="86"/>
  <c r="P242" i="86" s="1"/>
  <c r="K241" i="86"/>
  <c r="O241" i="86"/>
  <c r="N241" i="86" s="1"/>
  <c r="L242" i="86"/>
  <c r="M241" i="86"/>
  <c r="O242" i="86"/>
  <c r="N242" i="86" s="1"/>
  <c r="L241" i="86"/>
  <c r="M242" i="86"/>
  <c r="A248" i="86"/>
  <c r="F245" i="86"/>
  <c r="A186" i="88" l="1"/>
  <c r="E180" i="88"/>
  <c r="J177" i="88"/>
  <c r="I177" i="88" s="1"/>
  <c r="G176" i="88"/>
  <c r="G178" i="88"/>
  <c r="G177" i="88"/>
  <c r="E178" i="88"/>
  <c r="E177" i="88"/>
  <c r="C176" i="88" s="1"/>
  <c r="K176" i="88"/>
  <c r="K177" i="88"/>
  <c r="J176" i="88"/>
  <c r="I176" i="88" s="1"/>
  <c r="F248" i="86"/>
  <c r="A251" i="86"/>
  <c r="L244" i="86"/>
  <c r="Q244" i="86"/>
  <c r="P244" i="86" s="1"/>
  <c r="Q245" i="86"/>
  <c r="P245" i="86" s="1"/>
  <c r="M245" i="86"/>
  <c r="O244" i="86"/>
  <c r="N244" i="86" s="1"/>
  <c r="K244" i="86"/>
  <c r="L245" i="86"/>
  <c r="F244" i="86"/>
  <c r="K245" i="86"/>
  <c r="M244" i="86"/>
  <c r="G245" i="86"/>
  <c r="R244" i="86"/>
  <c r="O245" i="86"/>
  <c r="N245" i="86" s="1"/>
  <c r="D241" i="86"/>
  <c r="B241" i="86"/>
  <c r="J181" i="88" l="1"/>
  <c r="I181" i="88" s="1"/>
  <c r="G180" i="88"/>
  <c r="G182" i="88"/>
  <c r="G181" i="88"/>
  <c r="E182" i="88"/>
  <c r="E181" i="88"/>
  <c r="C180" i="88" s="1"/>
  <c r="K180" i="88"/>
  <c r="K181" i="88"/>
  <c r="J180" i="88"/>
  <c r="I180" i="88" s="1"/>
  <c r="E184" i="88"/>
  <c r="A190" i="88"/>
  <c r="F251" i="86"/>
  <c r="A254" i="86"/>
  <c r="D244" i="86"/>
  <c r="B244" i="86"/>
  <c r="Q247" i="86"/>
  <c r="P247" i="86" s="1"/>
  <c r="R247" i="86"/>
  <c r="Q248" i="86"/>
  <c r="P248" i="86" s="1"/>
  <c r="O247" i="86"/>
  <c r="N247" i="86" s="1"/>
  <c r="K248" i="86"/>
  <c r="G248" i="86"/>
  <c r="M247" i="86"/>
  <c r="O248" i="86"/>
  <c r="N248" i="86" s="1"/>
  <c r="L247" i="86"/>
  <c r="M248" i="86"/>
  <c r="K247" i="86"/>
  <c r="L248" i="86"/>
  <c r="F247" i="86"/>
  <c r="A194" i="88" l="1"/>
  <c r="E188" i="88"/>
  <c r="G185" i="88"/>
  <c r="E185" i="88"/>
  <c r="C184" i="88" s="1"/>
  <c r="E186" i="88"/>
  <c r="K184" i="88"/>
  <c r="K185" i="88"/>
  <c r="J184" i="88"/>
  <c r="I184" i="88" s="1"/>
  <c r="J185" i="88"/>
  <c r="I185" i="88" s="1"/>
  <c r="G184" i="88"/>
  <c r="G186" i="88"/>
  <c r="D247" i="86"/>
  <c r="B247" i="86"/>
  <c r="F254" i="86"/>
  <c r="A257" i="86"/>
  <c r="L250" i="86"/>
  <c r="O250" i="86"/>
  <c r="N250" i="86" s="1"/>
  <c r="R250" i="86"/>
  <c r="M250" i="86"/>
  <c r="Q250" i="86"/>
  <c r="P250" i="86" s="1"/>
  <c r="L251" i="86"/>
  <c r="K251" i="86"/>
  <c r="F250" i="86"/>
  <c r="G251" i="86"/>
  <c r="M251" i="86"/>
  <c r="K250" i="86"/>
  <c r="Q251" i="86"/>
  <c r="P251" i="86" s="1"/>
  <c r="O251" i="86"/>
  <c r="N251" i="86" s="1"/>
  <c r="J189" i="88" l="1"/>
  <c r="I189" i="88" s="1"/>
  <c r="G188" i="88"/>
  <c r="G190" i="88"/>
  <c r="G189" i="88"/>
  <c r="E190" i="88"/>
  <c r="E189" i="88"/>
  <c r="C188" i="88" s="1"/>
  <c r="K188" i="88"/>
  <c r="K189" i="88"/>
  <c r="J188" i="88"/>
  <c r="I188" i="88" s="1"/>
  <c r="A198" i="88"/>
  <c r="E192" i="88"/>
  <c r="D250" i="86"/>
  <c r="B250" i="86"/>
  <c r="F257" i="86"/>
  <c r="A260" i="86"/>
  <c r="M254" i="86"/>
  <c r="G254" i="86"/>
  <c r="Q253" i="86"/>
  <c r="P253" i="86" s="1"/>
  <c r="L253" i="86"/>
  <c r="Q254" i="86"/>
  <c r="P254" i="86" s="1"/>
  <c r="R253" i="86"/>
  <c r="O253" i="86"/>
  <c r="N253" i="86" s="1"/>
  <c r="K253" i="86"/>
  <c r="L254" i="86"/>
  <c r="M253" i="86"/>
  <c r="O254" i="86"/>
  <c r="N254" i="86" s="1"/>
  <c r="F253" i="86"/>
  <c r="K254" i="86"/>
  <c r="E196" i="88" l="1"/>
  <c r="A202" i="88"/>
  <c r="J193" i="88"/>
  <c r="I193" i="88" s="1"/>
  <c r="G192" i="88"/>
  <c r="G194" i="88"/>
  <c r="G193" i="88"/>
  <c r="E194" i="88"/>
  <c r="E193" i="88"/>
  <c r="C192" i="88" s="1"/>
  <c r="K192" i="88"/>
  <c r="J192" i="88"/>
  <c r="I192" i="88" s="1"/>
  <c r="K193" i="88"/>
  <c r="D253" i="86"/>
  <c r="B253" i="86"/>
  <c r="A263" i="86"/>
  <c r="F260" i="86"/>
  <c r="K256" i="86"/>
  <c r="M256" i="86"/>
  <c r="L256" i="86"/>
  <c r="K257" i="86"/>
  <c r="L257" i="86"/>
  <c r="G257" i="86"/>
  <c r="F256" i="86"/>
  <c r="O257" i="86"/>
  <c r="N257" i="86" s="1"/>
  <c r="O256" i="86"/>
  <c r="N256" i="86" s="1"/>
  <c r="M257" i="86"/>
  <c r="R256" i="86"/>
  <c r="Q256" i="86"/>
  <c r="P256" i="86" s="1"/>
  <c r="Q257" i="86"/>
  <c r="P257" i="86" s="1"/>
  <c r="A206" i="88" l="1"/>
  <c r="E200" i="88"/>
  <c r="G197" i="88"/>
  <c r="E198" i="88"/>
  <c r="E197" i="88"/>
  <c r="C196" i="88" s="1"/>
  <c r="J197" i="88"/>
  <c r="I197" i="88" s="1"/>
  <c r="G198" i="88"/>
  <c r="K196" i="88"/>
  <c r="K197" i="88"/>
  <c r="J196" i="88"/>
  <c r="I196" i="88" s="1"/>
  <c r="G196" i="88"/>
  <c r="D256" i="86"/>
  <c r="B256" i="86"/>
  <c r="F259" i="86"/>
  <c r="K260" i="86"/>
  <c r="O259" i="86"/>
  <c r="N259" i="86" s="1"/>
  <c r="G260" i="86"/>
  <c r="M259" i="86"/>
  <c r="R259" i="86"/>
  <c r="O260" i="86"/>
  <c r="N260" i="86" s="1"/>
  <c r="L259" i="86"/>
  <c r="M260" i="86"/>
  <c r="K259" i="86"/>
  <c r="L260" i="86"/>
  <c r="Q260" i="86"/>
  <c r="P260" i="86" s="1"/>
  <c r="Q259" i="86"/>
  <c r="P259" i="86" s="1"/>
  <c r="F263" i="86"/>
  <c r="A266" i="86"/>
  <c r="J201" i="88" l="1"/>
  <c r="I201" i="88" s="1"/>
  <c r="G200" i="88"/>
  <c r="G202" i="88"/>
  <c r="G201" i="88"/>
  <c r="E202" i="88"/>
  <c r="E201" i="88"/>
  <c r="C200" i="88" s="1"/>
  <c r="J200" i="88"/>
  <c r="I200" i="88" s="1"/>
  <c r="K200" i="88"/>
  <c r="K201" i="88"/>
  <c r="A210" i="88"/>
  <c r="E204" i="88"/>
  <c r="D259" i="86"/>
  <c r="B259" i="86"/>
  <c r="F266" i="86"/>
  <c r="A269" i="86"/>
  <c r="G263" i="86"/>
  <c r="R262" i="86"/>
  <c r="K262" i="86"/>
  <c r="O262" i="86"/>
  <c r="N262" i="86" s="1"/>
  <c r="M263" i="86"/>
  <c r="M262" i="86"/>
  <c r="L263" i="86"/>
  <c r="O263" i="86"/>
  <c r="N263" i="86" s="1"/>
  <c r="F262" i="86"/>
  <c r="L262" i="86"/>
  <c r="K263" i="86"/>
  <c r="Q263" i="86"/>
  <c r="P263" i="86" s="1"/>
  <c r="Q262" i="86"/>
  <c r="P262" i="86" s="1"/>
  <c r="K205" i="88" l="1"/>
  <c r="J204" i="88"/>
  <c r="I204" i="88" s="1"/>
  <c r="J205" i="88"/>
  <c r="I205" i="88" s="1"/>
  <c r="G204" i="88"/>
  <c r="G206" i="88"/>
  <c r="G205" i="88"/>
  <c r="E206" i="88"/>
  <c r="E205" i="88"/>
  <c r="C204" i="88" s="1"/>
  <c r="K204" i="88"/>
  <c r="E208" i="88"/>
  <c r="B162" i="88"/>
  <c r="D262" i="86"/>
  <c r="B262" i="86"/>
  <c r="A272" i="86"/>
  <c r="F269" i="86"/>
  <c r="Q265" i="86"/>
  <c r="P265" i="86" s="1"/>
  <c r="Q266" i="86"/>
  <c r="P266" i="86" s="1"/>
  <c r="L266" i="86"/>
  <c r="F265" i="86"/>
  <c r="K266" i="86"/>
  <c r="G266" i="86"/>
  <c r="O265" i="86"/>
  <c r="N265" i="86" s="1"/>
  <c r="R265" i="86"/>
  <c r="M266" i="86"/>
  <c r="L265" i="86"/>
  <c r="O266" i="86"/>
  <c r="N266" i="86" s="1"/>
  <c r="K265" i="86"/>
  <c r="M265" i="86"/>
  <c r="E210" i="88" l="1"/>
  <c r="K209" i="88"/>
  <c r="J209" i="88"/>
  <c r="I209" i="88" s="1"/>
  <c r="G209" i="88"/>
  <c r="E209" i="88"/>
  <c r="C208" i="88" s="1"/>
  <c r="K208" i="88"/>
  <c r="J208" i="88"/>
  <c r="I208" i="88" s="1"/>
  <c r="G208" i="88"/>
  <c r="G210" i="88"/>
  <c r="B166" i="88"/>
  <c r="O160" i="88"/>
  <c r="D265" i="86"/>
  <c r="B265" i="86"/>
  <c r="Q269" i="86"/>
  <c r="P269" i="86" s="1"/>
  <c r="O268" i="86"/>
  <c r="N268" i="86" s="1"/>
  <c r="M268" i="86"/>
  <c r="G269" i="86"/>
  <c r="O269" i="86"/>
  <c r="N269" i="86" s="1"/>
  <c r="L268" i="86"/>
  <c r="M269" i="86"/>
  <c r="K268" i="86"/>
  <c r="K269" i="86"/>
  <c r="L269" i="86"/>
  <c r="Q268" i="86"/>
  <c r="P268" i="86" s="1"/>
  <c r="F268" i="86"/>
  <c r="R268" i="86"/>
  <c r="A275" i="86"/>
  <c r="F272" i="86"/>
  <c r="O164" i="88" l="1"/>
  <c r="B170" i="88"/>
  <c r="T161" i="88"/>
  <c r="S161" i="88" s="1"/>
  <c r="Q160" i="88"/>
  <c r="Q161" i="88"/>
  <c r="O161" i="88"/>
  <c r="M160" i="88" s="1"/>
  <c r="Q162" i="88"/>
  <c r="O162" i="88"/>
  <c r="U160" i="88"/>
  <c r="T160" i="88"/>
  <c r="S160" i="88" s="1"/>
  <c r="U161" i="88"/>
  <c r="A278" i="86"/>
  <c r="F275" i="86"/>
  <c r="D268" i="86"/>
  <c r="B268" i="86"/>
  <c r="G272" i="86"/>
  <c r="Q272" i="86"/>
  <c r="P272" i="86" s="1"/>
  <c r="L272" i="86"/>
  <c r="O272" i="86"/>
  <c r="N272" i="86" s="1"/>
  <c r="L271" i="86"/>
  <c r="R271" i="86"/>
  <c r="Q271" i="86"/>
  <c r="P271" i="86" s="1"/>
  <c r="K271" i="86"/>
  <c r="M271" i="86"/>
  <c r="K272" i="86"/>
  <c r="F271" i="86"/>
  <c r="O271" i="86"/>
  <c r="N271" i="86" s="1"/>
  <c r="M272" i="86"/>
  <c r="B174" i="88" l="1"/>
  <c r="O168" i="88"/>
  <c r="Q164" i="88"/>
  <c r="T165" i="88"/>
  <c r="S165" i="88" s="1"/>
  <c r="Q165" i="88"/>
  <c r="O165" i="88"/>
  <c r="M164" i="88" s="1"/>
  <c r="Q166" i="88"/>
  <c r="O166" i="88"/>
  <c r="U164" i="88"/>
  <c r="T164" i="88"/>
  <c r="S164" i="88" s="1"/>
  <c r="U165" i="88"/>
  <c r="D271" i="86"/>
  <c r="B271" i="86"/>
  <c r="O275" i="86"/>
  <c r="N275" i="86" s="1"/>
  <c r="L274" i="86"/>
  <c r="M275" i="86"/>
  <c r="K274" i="86"/>
  <c r="L275" i="86"/>
  <c r="G275" i="86"/>
  <c r="F274" i="86"/>
  <c r="R274" i="86"/>
  <c r="K275" i="86"/>
  <c r="Q275" i="86"/>
  <c r="P275" i="86" s="1"/>
  <c r="Q274" i="86"/>
  <c r="P274" i="86" s="1"/>
  <c r="O274" i="86"/>
  <c r="N274" i="86" s="1"/>
  <c r="M274" i="86"/>
  <c r="F278" i="86"/>
  <c r="A281" i="86"/>
  <c r="U168" i="88" l="1"/>
  <c r="T168" i="88"/>
  <c r="S168" i="88" s="1"/>
  <c r="U169" i="88"/>
  <c r="Q170" i="88"/>
  <c r="T169" i="88"/>
  <c r="S169" i="88" s="1"/>
  <c r="Q168" i="88"/>
  <c r="Q169" i="88"/>
  <c r="O169" i="88"/>
  <c r="M168" i="88" s="1"/>
  <c r="O170" i="88"/>
  <c r="B178" i="88"/>
  <c r="O172" i="88"/>
  <c r="D274" i="86"/>
  <c r="B274" i="86"/>
  <c r="F281" i="86"/>
  <c r="A284" i="86"/>
  <c r="R277" i="86"/>
  <c r="Q277" i="86"/>
  <c r="P277" i="86" s="1"/>
  <c r="L278" i="86"/>
  <c r="G278" i="86"/>
  <c r="F277" i="86"/>
  <c r="Q278" i="86"/>
  <c r="P278" i="86" s="1"/>
  <c r="O277" i="86"/>
  <c r="N277" i="86" s="1"/>
  <c r="M277" i="86"/>
  <c r="K277" i="86"/>
  <c r="O278" i="86"/>
  <c r="N278" i="86" s="1"/>
  <c r="L277" i="86"/>
  <c r="M278" i="86"/>
  <c r="K278" i="86"/>
  <c r="O176" i="88" l="1"/>
  <c r="B182" i="88"/>
  <c r="Q174" i="88"/>
  <c r="T173" i="88"/>
  <c r="S173" i="88" s="1"/>
  <c r="Q172" i="88"/>
  <c r="Q173" i="88"/>
  <c r="O173" i="88"/>
  <c r="M172" i="88" s="1"/>
  <c r="O174" i="88"/>
  <c r="U172" i="88"/>
  <c r="T172" i="88"/>
  <c r="S172" i="88" s="1"/>
  <c r="U173" i="88"/>
  <c r="D277" i="86"/>
  <c r="B277" i="86"/>
  <c r="F284" i="86"/>
  <c r="A287" i="86"/>
  <c r="L280" i="86"/>
  <c r="M280" i="86"/>
  <c r="M281" i="86"/>
  <c r="K280" i="86"/>
  <c r="Q281" i="86"/>
  <c r="P281" i="86" s="1"/>
  <c r="L281" i="86"/>
  <c r="F280" i="86"/>
  <c r="K281" i="86"/>
  <c r="G281" i="86"/>
  <c r="R280" i="86"/>
  <c r="Q280" i="86"/>
  <c r="P280" i="86" s="1"/>
  <c r="O281" i="86"/>
  <c r="N281" i="86" s="1"/>
  <c r="O280" i="86"/>
  <c r="N280" i="86" s="1"/>
  <c r="B186" i="88" l="1"/>
  <c r="O180" i="88"/>
  <c r="T177" i="88"/>
  <c r="S177" i="88" s="1"/>
  <c r="Q176" i="88"/>
  <c r="Q177" i="88"/>
  <c r="O177" i="88"/>
  <c r="M176" i="88" s="1"/>
  <c r="Q178" i="88"/>
  <c r="O178" i="88"/>
  <c r="U176" i="88"/>
  <c r="T176" i="88"/>
  <c r="S176" i="88" s="1"/>
  <c r="U177" i="88"/>
  <c r="D280" i="86"/>
  <c r="B280" i="86"/>
  <c r="F287" i="86"/>
  <c r="A290" i="86"/>
  <c r="O283" i="86"/>
  <c r="N283" i="86" s="1"/>
  <c r="Q284" i="86"/>
  <c r="P284" i="86" s="1"/>
  <c r="M283" i="86"/>
  <c r="O284" i="86"/>
  <c r="N284" i="86" s="1"/>
  <c r="L283" i="86"/>
  <c r="K284" i="86"/>
  <c r="M284" i="86"/>
  <c r="Q283" i="86"/>
  <c r="P283" i="86" s="1"/>
  <c r="K283" i="86"/>
  <c r="G284" i="86"/>
  <c r="L284" i="86"/>
  <c r="R283" i="86"/>
  <c r="F283" i="86"/>
  <c r="U180" i="88" l="1"/>
  <c r="T180" i="88"/>
  <c r="S180" i="88" s="1"/>
  <c r="U181" i="88"/>
  <c r="T181" i="88"/>
  <c r="S181" i="88" s="1"/>
  <c r="Q180" i="88"/>
  <c r="Q181" i="88"/>
  <c r="O181" i="88"/>
  <c r="M180" i="88" s="1"/>
  <c r="Q182" i="88"/>
  <c r="O182" i="88"/>
  <c r="O184" i="88"/>
  <c r="B190" i="88"/>
  <c r="D283" i="86"/>
  <c r="B283" i="86"/>
  <c r="F290" i="86"/>
  <c r="A293" i="86"/>
  <c r="M287" i="86"/>
  <c r="Q287" i="86"/>
  <c r="P287" i="86" s="1"/>
  <c r="K286" i="86"/>
  <c r="R286" i="86"/>
  <c r="Q286" i="86"/>
  <c r="P286" i="86" s="1"/>
  <c r="O286" i="86"/>
  <c r="N286" i="86" s="1"/>
  <c r="M286" i="86"/>
  <c r="K287" i="86"/>
  <c r="O287" i="86"/>
  <c r="N287" i="86" s="1"/>
  <c r="L287" i="86"/>
  <c r="L286" i="86"/>
  <c r="F286" i="86"/>
  <c r="G287" i="86"/>
  <c r="O188" i="88" l="1"/>
  <c r="B194" i="88"/>
  <c r="T184" i="88"/>
  <c r="S184" i="88" s="1"/>
  <c r="U185" i="88"/>
  <c r="T185" i="88"/>
  <c r="S185" i="88" s="1"/>
  <c r="Q184" i="88"/>
  <c r="Q186" i="88"/>
  <c r="Q185" i="88"/>
  <c r="O185" i="88"/>
  <c r="M184" i="88" s="1"/>
  <c r="O186" i="88"/>
  <c r="U184" i="88"/>
  <c r="D286" i="86"/>
  <c r="B286" i="86"/>
  <c r="A296" i="86"/>
  <c r="F293" i="86"/>
  <c r="L289" i="86"/>
  <c r="M290" i="86"/>
  <c r="K289" i="86"/>
  <c r="M289" i="86"/>
  <c r="L290" i="86"/>
  <c r="F289" i="86"/>
  <c r="K290" i="86"/>
  <c r="O290" i="86"/>
  <c r="N290" i="86" s="1"/>
  <c r="G290" i="86"/>
  <c r="Q289" i="86"/>
  <c r="P289" i="86" s="1"/>
  <c r="Q290" i="86"/>
  <c r="P290" i="86" s="1"/>
  <c r="R289" i="86"/>
  <c r="O289" i="86"/>
  <c r="N289" i="86" s="1"/>
  <c r="B198" i="88" l="1"/>
  <c r="O192" i="88"/>
  <c r="T189" i="88"/>
  <c r="S189" i="88" s="1"/>
  <c r="Q188" i="88"/>
  <c r="Q189" i="88"/>
  <c r="O189" i="88"/>
  <c r="M188" i="88" s="1"/>
  <c r="U188" i="88"/>
  <c r="Q190" i="88"/>
  <c r="O190" i="88"/>
  <c r="T188" i="88"/>
  <c r="S188" i="88" s="1"/>
  <c r="U189" i="88"/>
  <c r="D289" i="86"/>
  <c r="B289" i="86"/>
  <c r="M292" i="86"/>
  <c r="F292" i="86"/>
  <c r="O292" i="86"/>
  <c r="N292" i="86" s="1"/>
  <c r="G293" i="86"/>
  <c r="K293" i="86"/>
  <c r="K292" i="86"/>
  <c r="R292" i="86"/>
  <c r="Q292" i="86"/>
  <c r="P292" i="86" s="1"/>
  <c r="M293" i="86"/>
  <c r="Q293" i="86"/>
  <c r="P293" i="86" s="1"/>
  <c r="O293" i="86"/>
  <c r="N293" i="86" s="1"/>
  <c r="L292" i="86"/>
  <c r="L293" i="86"/>
  <c r="F296" i="86"/>
  <c r="A299" i="86"/>
  <c r="Q193" i="88" l="1"/>
  <c r="O193" i="88"/>
  <c r="M192" i="88" s="1"/>
  <c r="Q194" i="88"/>
  <c r="O194" i="88"/>
  <c r="U192" i="88"/>
  <c r="T192" i="88"/>
  <c r="S192" i="88" s="1"/>
  <c r="U193" i="88"/>
  <c r="T193" i="88"/>
  <c r="S193" i="88" s="1"/>
  <c r="Q192" i="88"/>
  <c r="B202" i="88"/>
  <c r="O196" i="88"/>
  <c r="D292" i="86"/>
  <c r="B292" i="86"/>
  <c r="F299" i="86"/>
  <c r="A302" i="86"/>
  <c r="K296" i="86"/>
  <c r="M295" i="86"/>
  <c r="F295" i="86"/>
  <c r="O296" i="86"/>
  <c r="N296" i="86" s="1"/>
  <c r="L295" i="86"/>
  <c r="M296" i="86"/>
  <c r="G296" i="86"/>
  <c r="K295" i="86"/>
  <c r="L296" i="86"/>
  <c r="Q295" i="86"/>
  <c r="P295" i="86" s="1"/>
  <c r="Q296" i="86"/>
  <c r="P296" i="86" s="1"/>
  <c r="R295" i="86"/>
  <c r="O295" i="86"/>
  <c r="N295" i="86" s="1"/>
  <c r="O200" i="88" l="1"/>
  <c r="B206" i="88"/>
  <c r="U196" i="88"/>
  <c r="T196" i="88"/>
  <c r="S196" i="88" s="1"/>
  <c r="U197" i="88"/>
  <c r="T197" i="88"/>
  <c r="S197" i="88" s="1"/>
  <c r="Q196" i="88"/>
  <c r="Q197" i="88"/>
  <c r="O197" i="88"/>
  <c r="M196" i="88" s="1"/>
  <c r="Q198" i="88"/>
  <c r="O198" i="88"/>
  <c r="D295" i="86"/>
  <c r="B295" i="86"/>
  <c r="A305" i="86"/>
  <c r="F302" i="86"/>
  <c r="K298" i="86"/>
  <c r="O299" i="86"/>
  <c r="N299" i="86" s="1"/>
  <c r="L298" i="86"/>
  <c r="F298" i="86"/>
  <c r="M299" i="86"/>
  <c r="L299" i="86"/>
  <c r="K299" i="86"/>
  <c r="G299" i="86"/>
  <c r="O298" i="86"/>
  <c r="N298" i="86" s="1"/>
  <c r="M298" i="86"/>
  <c r="R298" i="86"/>
  <c r="Q298" i="86"/>
  <c r="P298" i="86" s="1"/>
  <c r="Q299" i="86"/>
  <c r="P299" i="86" s="1"/>
  <c r="O204" i="88" l="1"/>
  <c r="A214" i="88"/>
  <c r="Q201" i="88"/>
  <c r="U201" i="88"/>
  <c r="O202" i="88"/>
  <c r="U200" i="88"/>
  <c r="T201" i="88"/>
  <c r="S201" i="88" s="1"/>
  <c r="Q200" i="88"/>
  <c r="O201" i="88"/>
  <c r="M200" i="88" s="1"/>
  <c r="Q202" i="88"/>
  <c r="T200" i="88"/>
  <c r="S200" i="88" s="1"/>
  <c r="D298" i="86"/>
  <c r="B298" i="86"/>
  <c r="K302" i="86"/>
  <c r="G302" i="86"/>
  <c r="R301" i="86"/>
  <c r="O301" i="86"/>
  <c r="N301" i="86" s="1"/>
  <c r="M301" i="86"/>
  <c r="O302" i="86"/>
  <c r="N302" i="86" s="1"/>
  <c r="L301" i="86"/>
  <c r="L302" i="86"/>
  <c r="M302" i="86"/>
  <c r="K301" i="86"/>
  <c r="F301" i="86"/>
  <c r="Q301" i="86"/>
  <c r="P301" i="86" s="1"/>
  <c r="Q302" i="86"/>
  <c r="P302" i="86" s="1"/>
  <c r="F305" i="86"/>
  <c r="A308" i="86"/>
  <c r="E212" i="88" l="1"/>
  <c r="A218" i="88"/>
  <c r="T205" i="88"/>
  <c r="S205" i="88" s="1"/>
  <c r="Q204" i="88"/>
  <c r="Q205" i="88"/>
  <c r="O205" i="88"/>
  <c r="M204" i="88" s="1"/>
  <c r="Q206" i="88"/>
  <c r="O206" i="88"/>
  <c r="T204" i="88"/>
  <c r="S204" i="88" s="1"/>
  <c r="U204" i="88"/>
  <c r="U205" i="88"/>
  <c r="F308" i="86"/>
  <c r="A311" i="86"/>
  <c r="R304" i="86"/>
  <c r="G305" i="86"/>
  <c r="O304" i="86"/>
  <c r="N304" i="86" s="1"/>
  <c r="M304" i="86"/>
  <c r="K305" i="86"/>
  <c r="O305" i="86"/>
  <c r="N305" i="86" s="1"/>
  <c r="L304" i="86"/>
  <c r="M305" i="86"/>
  <c r="F304" i="86"/>
  <c r="K304" i="86"/>
  <c r="L305" i="86"/>
  <c r="Q304" i="86"/>
  <c r="P304" i="86" s="1"/>
  <c r="Q305" i="86"/>
  <c r="P305" i="86" s="1"/>
  <c r="D301" i="86"/>
  <c r="B301" i="86"/>
  <c r="A222" i="88" l="1"/>
  <c r="E216" i="88"/>
  <c r="G214" i="88"/>
  <c r="G213" i="88"/>
  <c r="E214" i="88"/>
  <c r="E213" i="88"/>
  <c r="C212" i="88" s="1"/>
  <c r="K212" i="88"/>
  <c r="J213" i="88"/>
  <c r="I213" i="88" s="1"/>
  <c r="K213" i="88"/>
  <c r="J212" i="88"/>
  <c r="I212" i="88" s="1"/>
  <c r="G212" i="88"/>
  <c r="D304" i="86"/>
  <c r="B304" i="86"/>
  <c r="A314" i="86"/>
  <c r="F311" i="86"/>
  <c r="K308" i="86"/>
  <c r="G308" i="86"/>
  <c r="R307" i="86"/>
  <c r="Q307" i="86"/>
  <c r="P307" i="86" s="1"/>
  <c r="Q308" i="86"/>
  <c r="P308" i="86" s="1"/>
  <c r="O307" i="86"/>
  <c r="N307" i="86" s="1"/>
  <c r="O308" i="86"/>
  <c r="N308" i="86" s="1"/>
  <c r="M307" i="86"/>
  <c r="L307" i="86"/>
  <c r="L308" i="86"/>
  <c r="M308" i="86"/>
  <c r="K307" i="86"/>
  <c r="F307" i="86"/>
  <c r="J216" i="88" l="1"/>
  <c r="I216" i="88" s="1"/>
  <c r="J217" i="88"/>
  <c r="I217" i="88" s="1"/>
  <c r="G216" i="88"/>
  <c r="G218" i="88"/>
  <c r="G217" i="88"/>
  <c r="E218" i="88"/>
  <c r="E217" i="88"/>
  <c r="C216" i="88" s="1"/>
  <c r="K216" i="88"/>
  <c r="K217" i="88"/>
  <c r="A226" i="88"/>
  <c r="E220" i="88"/>
  <c r="D307" i="86"/>
  <c r="B307" i="86"/>
  <c r="L310" i="86"/>
  <c r="M311" i="86"/>
  <c r="K310" i="86"/>
  <c r="L311" i="86"/>
  <c r="F310" i="86"/>
  <c r="K311" i="86"/>
  <c r="R310" i="86"/>
  <c r="G311" i="86"/>
  <c r="Q310" i="86"/>
  <c r="P310" i="86" s="1"/>
  <c r="Q311" i="86"/>
  <c r="P311" i="86" s="1"/>
  <c r="O310" i="86"/>
  <c r="N310" i="86" s="1"/>
  <c r="M310" i="86"/>
  <c r="O311" i="86"/>
  <c r="N311" i="86" s="1"/>
  <c r="F314" i="86"/>
  <c r="A317" i="86"/>
  <c r="J220" i="88" l="1"/>
  <c r="I220" i="88" s="1"/>
  <c r="J221" i="88"/>
  <c r="I221" i="88" s="1"/>
  <c r="G220" i="88"/>
  <c r="G222" i="88"/>
  <c r="G221" i="88"/>
  <c r="E222" i="88"/>
  <c r="E221" i="88"/>
  <c r="C220" i="88" s="1"/>
  <c r="K220" i="88"/>
  <c r="K221" i="88"/>
  <c r="E224" i="88"/>
  <c r="A230" i="88"/>
  <c r="D310" i="86"/>
  <c r="B310" i="86"/>
  <c r="A320" i="86"/>
  <c r="F317" i="86"/>
  <c r="Q313" i="86"/>
  <c r="P313" i="86" s="1"/>
  <c r="K313" i="86"/>
  <c r="Q314" i="86"/>
  <c r="P314" i="86" s="1"/>
  <c r="O313" i="86"/>
  <c r="N313" i="86" s="1"/>
  <c r="M313" i="86"/>
  <c r="O314" i="86"/>
  <c r="N314" i="86" s="1"/>
  <c r="M314" i="86"/>
  <c r="R313" i="86"/>
  <c r="L314" i="86"/>
  <c r="L313" i="86"/>
  <c r="F313" i="86"/>
  <c r="K314" i="86"/>
  <c r="G314" i="86"/>
  <c r="G226" i="88" l="1"/>
  <c r="G225" i="88"/>
  <c r="E226" i="88"/>
  <c r="E225" i="88"/>
  <c r="C224" i="88" s="1"/>
  <c r="J225" i="88"/>
  <c r="I225" i="88" s="1"/>
  <c r="K224" i="88"/>
  <c r="K225" i="88"/>
  <c r="J224" i="88"/>
  <c r="I224" i="88" s="1"/>
  <c r="G224" i="88"/>
  <c r="A234" i="88"/>
  <c r="E228" i="88"/>
  <c r="D313" i="86"/>
  <c r="B313" i="86"/>
  <c r="L317" i="86"/>
  <c r="F316" i="86"/>
  <c r="Q316" i="86"/>
  <c r="P316" i="86" s="1"/>
  <c r="K317" i="86"/>
  <c r="G317" i="86"/>
  <c r="Q317" i="86"/>
  <c r="P317" i="86" s="1"/>
  <c r="R316" i="86"/>
  <c r="O317" i="86"/>
  <c r="N317" i="86" s="1"/>
  <c r="O316" i="86"/>
  <c r="N316" i="86" s="1"/>
  <c r="M316" i="86"/>
  <c r="L316" i="86"/>
  <c r="M317" i="86"/>
  <c r="K316" i="86"/>
  <c r="F320" i="86"/>
  <c r="A323" i="86"/>
  <c r="A238" i="88" l="1"/>
  <c r="E232" i="88"/>
  <c r="J228" i="88"/>
  <c r="I228" i="88" s="1"/>
  <c r="J229" i="88"/>
  <c r="I229" i="88" s="1"/>
  <c r="G228" i="88"/>
  <c r="G230" i="88"/>
  <c r="G229" i="88"/>
  <c r="E230" i="88"/>
  <c r="E229" i="88"/>
  <c r="C228" i="88" s="1"/>
  <c r="K228" i="88"/>
  <c r="K229" i="88"/>
  <c r="D316" i="86"/>
  <c r="B316" i="86"/>
  <c r="A326" i="86"/>
  <c r="F323" i="86"/>
  <c r="M319" i="86"/>
  <c r="O320" i="86"/>
  <c r="N320" i="86" s="1"/>
  <c r="Q319" i="86"/>
  <c r="P319" i="86" s="1"/>
  <c r="Q320" i="86"/>
  <c r="P320" i="86" s="1"/>
  <c r="L319" i="86"/>
  <c r="M320" i="86"/>
  <c r="K319" i="86"/>
  <c r="L320" i="86"/>
  <c r="F319" i="86"/>
  <c r="G320" i="86"/>
  <c r="K320" i="86"/>
  <c r="R319" i="86"/>
  <c r="O319" i="86"/>
  <c r="N319" i="86" s="1"/>
  <c r="J232" i="88" l="1"/>
  <c r="I232" i="88" s="1"/>
  <c r="J233" i="88"/>
  <c r="I233" i="88" s="1"/>
  <c r="G232" i="88"/>
  <c r="G234" i="88"/>
  <c r="G233" i="88"/>
  <c r="E234" i="88"/>
  <c r="E233" i="88"/>
  <c r="C232" i="88" s="1"/>
  <c r="K232" i="88"/>
  <c r="K233" i="88"/>
  <c r="E236" i="88"/>
  <c r="A242" i="88"/>
  <c r="D319" i="86"/>
  <c r="B319" i="86"/>
  <c r="K323" i="86"/>
  <c r="G323" i="86"/>
  <c r="O322" i="86"/>
  <c r="N322" i="86" s="1"/>
  <c r="L323" i="86"/>
  <c r="R322" i="86"/>
  <c r="Q322" i="86"/>
  <c r="P322" i="86" s="1"/>
  <c r="M322" i="86"/>
  <c r="Q323" i="86"/>
  <c r="P323" i="86" s="1"/>
  <c r="O323" i="86"/>
  <c r="N323" i="86" s="1"/>
  <c r="L322" i="86"/>
  <c r="M323" i="86"/>
  <c r="K322" i="86"/>
  <c r="F322" i="86"/>
  <c r="A329" i="86"/>
  <c r="F326" i="86"/>
  <c r="A246" i="88" l="1"/>
  <c r="E240" i="88"/>
  <c r="G238" i="88"/>
  <c r="G237" i="88"/>
  <c r="E238" i="88"/>
  <c r="E237" i="88"/>
  <c r="C236" i="88" s="1"/>
  <c r="K236" i="88"/>
  <c r="J237" i="88"/>
  <c r="I237" i="88" s="1"/>
  <c r="K237" i="88"/>
  <c r="J236" i="88"/>
  <c r="I236" i="88" s="1"/>
  <c r="G236" i="88"/>
  <c r="M326" i="86"/>
  <c r="K325" i="86"/>
  <c r="L326" i="86"/>
  <c r="O326" i="86"/>
  <c r="N326" i="86" s="1"/>
  <c r="F325" i="86"/>
  <c r="K326" i="86"/>
  <c r="R325" i="86"/>
  <c r="G326" i="86"/>
  <c r="L325" i="86"/>
  <c r="Q325" i="86"/>
  <c r="P325" i="86" s="1"/>
  <c r="Q326" i="86"/>
  <c r="P326" i="86" s="1"/>
  <c r="O325" i="86"/>
  <c r="N325" i="86" s="1"/>
  <c r="M325" i="86"/>
  <c r="F329" i="86"/>
  <c r="A332" i="86"/>
  <c r="D322" i="86"/>
  <c r="B322" i="86"/>
  <c r="J240" i="88" l="1"/>
  <c r="I240" i="88" s="1"/>
  <c r="J241" i="88"/>
  <c r="I241" i="88" s="1"/>
  <c r="G240" i="88"/>
  <c r="G242" i="88"/>
  <c r="G241" i="88"/>
  <c r="E242" i="88"/>
  <c r="E241" i="88"/>
  <c r="C240" i="88" s="1"/>
  <c r="K240" i="88"/>
  <c r="K241" i="88"/>
  <c r="A250" i="88"/>
  <c r="E244" i="88"/>
  <c r="D325" i="86"/>
  <c r="B325" i="86"/>
  <c r="A335" i="86"/>
  <c r="F332" i="86"/>
  <c r="Q329" i="86"/>
  <c r="P329" i="86" s="1"/>
  <c r="L328" i="86"/>
  <c r="O328" i="86"/>
  <c r="N328" i="86" s="1"/>
  <c r="M328" i="86"/>
  <c r="M329" i="86"/>
  <c r="O329" i="86"/>
  <c r="N329" i="86" s="1"/>
  <c r="K328" i="86"/>
  <c r="R328" i="86"/>
  <c r="L329" i="86"/>
  <c r="F328" i="86"/>
  <c r="K329" i="86"/>
  <c r="G329" i="86"/>
  <c r="Q328" i="86"/>
  <c r="P328" i="86" s="1"/>
  <c r="J244" i="88" l="1"/>
  <c r="I244" i="88" s="1"/>
  <c r="J245" i="88"/>
  <c r="I245" i="88" s="1"/>
  <c r="G244" i="88"/>
  <c r="G246" i="88"/>
  <c r="G245" i="88"/>
  <c r="E246" i="88"/>
  <c r="E245" i="88"/>
  <c r="C244" i="88" s="1"/>
  <c r="K244" i="88"/>
  <c r="K245" i="88"/>
  <c r="E248" i="88"/>
  <c r="A254" i="88"/>
  <c r="D328" i="86"/>
  <c r="B328" i="86"/>
  <c r="L332" i="86"/>
  <c r="F331" i="86"/>
  <c r="K332" i="86"/>
  <c r="K331" i="86"/>
  <c r="G332" i="86"/>
  <c r="Q331" i="86"/>
  <c r="P331" i="86" s="1"/>
  <c r="R331" i="86"/>
  <c r="Q332" i="86"/>
  <c r="P332" i="86" s="1"/>
  <c r="M332" i="86"/>
  <c r="O331" i="86"/>
  <c r="N331" i="86" s="1"/>
  <c r="M331" i="86"/>
  <c r="O332" i="86"/>
  <c r="N332" i="86" s="1"/>
  <c r="L331" i="86"/>
  <c r="F335" i="86"/>
  <c r="A338" i="86"/>
  <c r="E252" i="88" l="1"/>
  <c r="A258" i="88"/>
  <c r="G250" i="88"/>
  <c r="G249" i="88"/>
  <c r="J249" i="88"/>
  <c r="I249" i="88" s="1"/>
  <c r="E250" i="88"/>
  <c r="E249" i="88"/>
  <c r="C248" i="88" s="1"/>
  <c r="K248" i="88"/>
  <c r="K249" i="88"/>
  <c r="J248" i="88"/>
  <c r="I248" i="88" s="1"/>
  <c r="G248" i="88"/>
  <c r="D331" i="86"/>
  <c r="B331" i="86"/>
  <c r="F338" i="86"/>
  <c r="A341" i="86"/>
  <c r="L334" i="86"/>
  <c r="L335" i="86"/>
  <c r="Q334" i="86"/>
  <c r="P334" i="86" s="1"/>
  <c r="O335" i="86"/>
  <c r="N335" i="86" s="1"/>
  <c r="M335" i="86"/>
  <c r="F334" i="86"/>
  <c r="Q335" i="86"/>
  <c r="P335" i="86" s="1"/>
  <c r="O334" i="86"/>
  <c r="N334" i="86" s="1"/>
  <c r="M334" i="86"/>
  <c r="K335" i="86"/>
  <c r="K334" i="86"/>
  <c r="R334" i="86"/>
  <c r="G335" i="86"/>
  <c r="A262" i="88" l="1"/>
  <c r="E256" i="88"/>
  <c r="J252" i="88"/>
  <c r="I252" i="88" s="1"/>
  <c r="J253" i="88"/>
  <c r="I253" i="88" s="1"/>
  <c r="G252" i="88"/>
  <c r="G254" i="88"/>
  <c r="G253" i="88"/>
  <c r="E254" i="88"/>
  <c r="E253" i="88"/>
  <c r="C252" i="88" s="1"/>
  <c r="K253" i="88"/>
  <c r="K252" i="88"/>
  <c r="D334" i="86"/>
  <c r="B334" i="86"/>
  <c r="F341" i="86"/>
  <c r="A344" i="86"/>
  <c r="K338" i="86"/>
  <c r="M337" i="86"/>
  <c r="F337" i="86"/>
  <c r="O338" i="86"/>
  <c r="N338" i="86" s="1"/>
  <c r="G338" i="86"/>
  <c r="L337" i="86"/>
  <c r="M338" i="86"/>
  <c r="R337" i="86"/>
  <c r="K337" i="86"/>
  <c r="L338" i="86"/>
  <c r="Q338" i="86"/>
  <c r="P338" i="86" s="1"/>
  <c r="O337" i="86"/>
  <c r="N337" i="86" s="1"/>
  <c r="Q337" i="86"/>
  <c r="P337" i="86" s="1"/>
  <c r="J256" i="88" l="1"/>
  <c r="I256" i="88" s="1"/>
  <c r="J257" i="88"/>
  <c r="I257" i="88" s="1"/>
  <c r="G256" i="88"/>
  <c r="G258" i="88"/>
  <c r="G257" i="88"/>
  <c r="E258" i="88"/>
  <c r="E257" i="88"/>
  <c r="C256" i="88" s="1"/>
  <c r="K256" i="88"/>
  <c r="K257" i="88"/>
  <c r="E260" i="88"/>
  <c r="B214" i="88"/>
  <c r="D337" i="86"/>
  <c r="B337" i="86"/>
  <c r="A347" i="86"/>
  <c r="F344" i="86"/>
  <c r="M341" i="86"/>
  <c r="F340" i="86"/>
  <c r="O340" i="86"/>
  <c r="N340" i="86" s="1"/>
  <c r="K340" i="86"/>
  <c r="M340" i="86"/>
  <c r="O341" i="86"/>
  <c r="N341" i="86" s="1"/>
  <c r="L340" i="86"/>
  <c r="K341" i="86"/>
  <c r="G341" i="86"/>
  <c r="L341" i="86"/>
  <c r="R340" i="86"/>
  <c r="Q340" i="86"/>
  <c r="P340" i="86" s="1"/>
  <c r="Q341" i="86"/>
  <c r="P341" i="86" s="1"/>
  <c r="B218" i="88" l="1"/>
  <c r="O212" i="88"/>
  <c r="G262" i="88"/>
  <c r="E262" i="88"/>
  <c r="K261" i="88"/>
  <c r="J261" i="88"/>
  <c r="I261" i="88" s="1"/>
  <c r="G261" i="88"/>
  <c r="E261" i="88"/>
  <c r="C260" i="88" s="1"/>
  <c r="K260" i="88"/>
  <c r="J260" i="88"/>
  <c r="I260" i="88" s="1"/>
  <c r="G260" i="88"/>
  <c r="D340" i="86"/>
  <c r="B340" i="86"/>
  <c r="G344" i="86"/>
  <c r="R343" i="86"/>
  <c r="F343" i="86"/>
  <c r="O343" i="86"/>
  <c r="N343" i="86" s="1"/>
  <c r="M343" i="86"/>
  <c r="O344" i="86"/>
  <c r="N344" i="86" s="1"/>
  <c r="L343" i="86"/>
  <c r="M344" i="86"/>
  <c r="K343" i="86"/>
  <c r="L344" i="86"/>
  <c r="K344" i="86"/>
  <c r="Q344" i="86"/>
  <c r="P344" i="86" s="1"/>
  <c r="Q343" i="86"/>
  <c r="P343" i="86" s="1"/>
  <c r="F347" i="86"/>
  <c r="A350" i="86"/>
  <c r="U213" i="88" l="1"/>
  <c r="T213" i="88"/>
  <c r="S213" i="88" s="1"/>
  <c r="Q212" i="88"/>
  <c r="Q213" i="88"/>
  <c r="O213" i="88"/>
  <c r="M212" i="88" s="1"/>
  <c r="O214" i="88"/>
  <c r="Q214" i="88"/>
  <c r="U212" i="88"/>
  <c r="T212" i="88"/>
  <c r="S212" i="88" s="1"/>
  <c r="O216" i="88"/>
  <c r="B222" i="88"/>
  <c r="A353" i="86"/>
  <c r="F350" i="86"/>
  <c r="G347" i="86"/>
  <c r="M346" i="86"/>
  <c r="O347" i="86"/>
  <c r="N347" i="86" s="1"/>
  <c r="L346" i="86"/>
  <c r="M347" i="86"/>
  <c r="R346" i="86"/>
  <c r="K346" i="86"/>
  <c r="L347" i="86"/>
  <c r="F346" i="86"/>
  <c r="K347" i="86"/>
  <c r="O346" i="86"/>
  <c r="N346" i="86" s="1"/>
  <c r="Q346" i="86"/>
  <c r="P346" i="86" s="1"/>
  <c r="Q347" i="86"/>
  <c r="P347" i="86" s="1"/>
  <c r="D343" i="86"/>
  <c r="B343" i="86"/>
  <c r="U217" i="88" l="1"/>
  <c r="T217" i="88"/>
  <c r="S217" i="88" s="1"/>
  <c r="Q216" i="88"/>
  <c r="Q217" i="88"/>
  <c r="O217" i="88"/>
  <c r="M216" i="88" s="1"/>
  <c r="Q218" i="88"/>
  <c r="O218" i="88"/>
  <c r="U216" i="88"/>
  <c r="T216" i="88"/>
  <c r="S216" i="88" s="1"/>
  <c r="B226" i="88"/>
  <c r="O220" i="88"/>
  <c r="D346" i="86"/>
  <c r="B346" i="86"/>
  <c r="O350" i="86"/>
  <c r="N350" i="86" s="1"/>
  <c r="O349" i="86"/>
  <c r="N349" i="86" s="1"/>
  <c r="L349" i="86"/>
  <c r="M350" i="86"/>
  <c r="K349" i="86"/>
  <c r="M349" i="86"/>
  <c r="L350" i="86"/>
  <c r="F349" i="86"/>
  <c r="K350" i="86"/>
  <c r="Q349" i="86"/>
  <c r="P349" i="86" s="1"/>
  <c r="G350" i="86"/>
  <c r="R349" i="86"/>
  <c r="Q350" i="86"/>
  <c r="P350" i="86" s="1"/>
  <c r="A356" i="86"/>
  <c r="F353" i="86"/>
  <c r="O224" i="88" l="1"/>
  <c r="B230" i="88"/>
  <c r="O222" i="88"/>
  <c r="U220" i="88"/>
  <c r="T220" i="88"/>
  <c r="S220" i="88" s="1"/>
  <c r="U221" i="88"/>
  <c r="T221" i="88"/>
  <c r="S221" i="88" s="1"/>
  <c r="O221" i="88"/>
  <c r="M220" i="88" s="1"/>
  <c r="Q220" i="88"/>
  <c r="Q221" i="88"/>
  <c r="Q222" i="88"/>
  <c r="D349" i="86"/>
  <c r="B349" i="86"/>
  <c r="F352" i="86"/>
  <c r="K353" i="86"/>
  <c r="R352" i="86"/>
  <c r="G353" i="86"/>
  <c r="Q352" i="86"/>
  <c r="P352" i="86" s="1"/>
  <c r="Q353" i="86"/>
  <c r="P353" i="86" s="1"/>
  <c r="O352" i="86"/>
  <c r="N352" i="86" s="1"/>
  <c r="M352" i="86"/>
  <c r="O353" i="86"/>
  <c r="N353" i="86" s="1"/>
  <c r="L352" i="86"/>
  <c r="M353" i="86"/>
  <c r="K352" i="86"/>
  <c r="L353" i="86"/>
  <c r="F356" i="86"/>
  <c r="A359" i="86"/>
  <c r="O228" i="88" l="1"/>
  <c r="B234" i="88"/>
  <c r="U224" i="88"/>
  <c r="T224" i="88"/>
  <c r="S224" i="88" s="1"/>
  <c r="U225" i="88"/>
  <c r="T225" i="88"/>
  <c r="S225" i="88" s="1"/>
  <c r="Q224" i="88"/>
  <c r="Q225" i="88"/>
  <c r="O225" i="88"/>
  <c r="M224" i="88" s="1"/>
  <c r="Q226" i="88"/>
  <c r="O226" i="88"/>
  <c r="D352" i="86"/>
  <c r="B352" i="86"/>
  <c r="A362" i="86"/>
  <c r="F359" i="86"/>
  <c r="M355" i="86"/>
  <c r="O356" i="86"/>
  <c r="N356" i="86" s="1"/>
  <c r="L356" i="86"/>
  <c r="L355" i="86"/>
  <c r="O355" i="86"/>
  <c r="N355" i="86" s="1"/>
  <c r="F355" i="86"/>
  <c r="M356" i="86"/>
  <c r="K356" i="86"/>
  <c r="G356" i="86"/>
  <c r="Q356" i="86"/>
  <c r="P356" i="86" s="1"/>
  <c r="R355" i="86"/>
  <c r="Q355" i="86"/>
  <c r="P355" i="86" s="1"/>
  <c r="K355" i="86"/>
  <c r="B238" i="88" l="1"/>
  <c r="O232" i="88"/>
  <c r="U229" i="88"/>
  <c r="U228" i="88"/>
  <c r="T229" i="88"/>
  <c r="S229" i="88" s="1"/>
  <c r="Q228" i="88"/>
  <c r="Q229" i="88"/>
  <c r="O229" i="88"/>
  <c r="M228" i="88" s="1"/>
  <c r="Q230" i="88"/>
  <c r="O230" i="88"/>
  <c r="T228" i="88"/>
  <c r="S228" i="88" s="1"/>
  <c r="D355" i="86"/>
  <c r="B355" i="86"/>
  <c r="Q358" i="86"/>
  <c r="P358" i="86" s="1"/>
  <c r="Q359" i="86"/>
  <c r="P359" i="86" s="1"/>
  <c r="R358" i="86"/>
  <c r="O358" i="86"/>
  <c r="N358" i="86" s="1"/>
  <c r="M358" i="86"/>
  <c r="O359" i="86"/>
  <c r="N359" i="86" s="1"/>
  <c r="L359" i="86"/>
  <c r="L358" i="86"/>
  <c r="M359" i="86"/>
  <c r="K358" i="86"/>
  <c r="F358" i="86"/>
  <c r="K359" i="86"/>
  <c r="G359" i="86"/>
  <c r="F362" i="86"/>
  <c r="A365" i="86"/>
  <c r="O234" i="88" l="1"/>
  <c r="U232" i="88"/>
  <c r="T232" i="88"/>
  <c r="S232" i="88" s="1"/>
  <c r="U233" i="88"/>
  <c r="T233" i="88"/>
  <c r="S233" i="88" s="1"/>
  <c r="Q232" i="88"/>
  <c r="Q233" i="88"/>
  <c r="O233" i="88"/>
  <c r="M232" i="88" s="1"/>
  <c r="Q234" i="88"/>
  <c r="B242" i="88"/>
  <c r="O236" i="88"/>
  <c r="K361" i="86"/>
  <c r="K362" i="86"/>
  <c r="L362" i="86"/>
  <c r="G362" i="86"/>
  <c r="F361" i="86"/>
  <c r="O362" i="86"/>
  <c r="N362" i="86" s="1"/>
  <c r="R361" i="86"/>
  <c r="Q361" i="86"/>
  <c r="P361" i="86" s="1"/>
  <c r="L361" i="86"/>
  <c r="Q362" i="86"/>
  <c r="P362" i="86" s="1"/>
  <c r="O361" i="86"/>
  <c r="N361" i="86" s="1"/>
  <c r="M361" i="86"/>
  <c r="M362" i="86"/>
  <c r="D358" i="86"/>
  <c r="B358" i="86"/>
  <c r="A368" i="86"/>
  <c r="F365" i="86"/>
  <c r="U236" i="88" l="1"/>
  <c r="T236" i="88"/>
  <c r="S236" i="88" s="1"/>
  <c r="U237" i="88"/>
  <c r="T237" i="88"/>
  <c r="S237" i="88" s="1"/>
  <c r="Q236" i="88"/>
  <c r="Q237" i="88"/>
  <c r="Q238" i="88"/>
  <c r="O237" i="88"/>
  <c r="M236" i="88" s="1"/>
  <c r="O238" i="88"/>
  <c r="O240" i="88"/>
  <c r="B246" i="88"/>
  <c r="R364" i="86"/>
  <c r="M364" i="86"/>
  <c r="Q364" i="86"/>
  <c r="P364" i="86" s="1"/>
  <c r="O365" i="86"/>
  <c r="N365" i="86" s="1"/>
  <c r="L364" i="86"/>
  <c r="Q365" i="86"/>
  <c r="P365" i="86" s="1"/>
  <c r="M365" i="86"/>
  <c r="K364" i="86"/>
  <c r="L365" i="86"/>
  <c r="F364" i="86"/>
  <c r="K365" i="86"/>
  <c r="G365" i="86"/>
  <c r="O364" i="86"/>
  <c r="N364" i="86" s="1"/>
  <c r="A371" i="86"/>
  <c r="F368" i="86"/>
  <c r="D361" i="86"/>
  <c r="B361" i="86"/>
  <c r="U241" i="88" l="1"/>
  <c r="T241" i="88"/>
  <c r="S241" i="88" s="1"/>
  <c r="Q240" i="88"/>
  <c r="Q241" i="88"/>
  <c r="O241" i="88"/>
  <c r="M240" i="88" s="1"/>
  <c r="Q242" i="88"/>
  <c r="O242" i="88"/>
  <c r="T240" i="88"/>
  <c r="S240" i="88" s="1"/>
  <c r="U240" i="88"/>
  <c r="B250" i="88"/>
  <c r="O244" i="88"/>
  <c r="D364" i="86"/>
  <c r="B364" i="86"/>
  <c r="R367" i="86"/>
  <c r="G368" i="86"/>
  <c r="Q367" i="86"/>
  <c r="P367" i="86" s="1"/>
  <c r="F367" i="86"/>
  <c r="K368" i="86"/>
  <c r="Q368" i="86"/>
  <c r="P368" i="86" s="1"/>
  <c r="O367" i="86"/>
  <c r="N367" i="86" s="1"/>
  <c r="M367" i="86"/>
  <c r="O368" i="86"/>
  <c r="N368" i="86" s="1"/>
  <c r="L367" i="86"/>
  <c r="M368" i="86"/>
  <c r="K367" i="86"/>
  <c r="L368" i="86"/>
  <c r="F371" i="86"/>
  <c r="A374" i="86"/>
  <c r="Q244" i="88" l="1"/>
  <c r="Q245" i="88"/>
  <c r="O245" i="88"/>
  <c r="M244" i="88" s="1"/>
  <c r="Q246" i="88"/>
  <c r="O246" i="88"/>
  <c r="U244" i="88"/>
  <c r="T244" i="88"/>
  <c r="S244" i="88" s="1"/>
  <c r="U245" i="88"/>
  <c r="T245" i="88"/>
  <c r="S245" i="88" s="1"/>
  <c r="B254" i="88"/>
  <c r="O248" i="88"/>
  <c r="F374" i="86"/>
  <c r="A377" i="86"/>
  <c r="O370" i="86"/>
  <c r="N370" i="86" s="1"/>
  <c r="Q370" i="86"/>
  <c r="P370" i="86" s="1"/>
  <c r="M371" i="86"/>
  <c r="M370" i="86"/>
  <c r="K370" i="86"/>
  <c r="O371" i="86"/>
  <c r="N371" i="86" s="1"/>
  <c r="L371" i="86"/>
  <c r="R370" i="86"/>
  <c r="F370" i="86"/>
  <c r="L370" i="86"/>
  <c r="K371" i="86"/>
  <c r="G371" i="86"/>
  <c r="Q371" i="86"/>
  <c r="P371" i="86" s="1"/>
  <c r="D367" i="86"/>
  <c r="B367" i="86"/>
  <c r="O252" i="88" l="1"/>
  <c r="B258" i="88"/>
  <c r="U248" i="88"/>
  <c r="T248" i="88"/>
  <c r="S248" i="88" s="1"/>
  <c r="U249" i="88"/>
  <c r="T249" i="88"/>
  <c r="S249" i="88" s="1"/>
  <c r="Q248" i="88"/>
  <c r="Q249" i="88"/>
  <c r="O249" i="88"/>
  <c r="M248" i="88" s="1"/>
  <c r="Q250" i="88"/>
  <c r="O250" i="88"/>
  <c r="D370" i="86"/>
  <c r="B370" i="86"/>
  <c r="F377" i="86"/>
  <c r="A380" i="86"/>
  <c r="Q373" i="86"/>
  <c r="P373" i="86" s="1"/>
  <c r="G374" i="86"/>
  <c r="Q374" i="86"/>
  <c r="P374" i="86" s="1"/>
  <c r="O373" i="86"/>
  <c r="N373" i="86" s="1"/>
  <c r="K374" i="86"/>
  <c r="M373" i="86"/>
  <c r="R373" i="86"/>
  <c r="O374" i="86"/>
  <c r="N374" i="86" s="1"/>
  <c r="L373" i="86"/>
  <c r="M374" i="86"/>
  <c r="K373" i="86"/>
  <c r="L374" i="86"/>
  <c r="F373" i="86"/>
  <c r="O256" i="88" l="1"/>
  <c r="A266" i="88"/>
  <c r="Q253" i="88"/>
  <c r="T253" i="88"/>
  <c r="S253" i="88" s="1"/>
  <c r="O253" i="88"/>
  <c r="M252" i="88" s="1"/>
  <c r="U252" i="88"/>
  <c r="Q254" i="88"/>
  <c r="T252" i="88"/>
  <c r="S252" i="88" s="1"/>
  <c r="O254" i="88"/>
  <c r="U253" i="88"/>
  <c r="Q252" i="88"/>
  <c r="D373" i="86"/>
  <c r="B373" i="86"/>
  <c r="F380" i="86"/>
  <c r="A383" i="86"/>
  <c r="G377" i="86"/>
  <c r="O376" i="86"/>
  <c r="N376" i="86" s="1"/>
  <c r="K377" i="86"/>
  <c r="K376" i="86"/>
  <c r="M376" i="86"/>
  <c r="F376" i="86"/>
  <c r="O377" i="86"/>
  <c r="N377" i="86" s="1"/>
  <c r="L377" i="86"/>
  <c r="R376" i="86"/>
  <c r="L376" i="86"/>
  <c r="M377" i="86"/>
  <c r="Q376" i="86"/>
  <c r="P376" i="86" s="1"/>
  <c r="Q377" i="86"/>
  <c r="P377" i="86" s="1"/>
  <c r="E264" i="88" l="1"/>
  <c r="A270" i="88"/>
  <c r="O257" i="88"/>
  <c r="M256" i="88" s="1"/>
  <c r="Q258" i="88"/>
  <c r="O258" i="88"/>
  <c r="U256" i="88"/>
  <c r="T256" i="88"/>
  <c r="S256" i="88" s="1"/>
  <c r="T257" i="88"/>
  <c r="S257" i="88" s="1"/>
  <c r="U257" i="88"/>
  <c r="Q256" i="88"/>
  <c r="Q257" i="88"/>
  <c r="D376" i="86"/>
  <c r="B376" i="86"/>
  <c r="F383" i="86"/>
  <c r="A386" i="86"/>
  <c r="Q380" i="86"/>
  <c r="P380" i="86" s="1"/>
  <c r="Q379" i="86"/>
  <c r="P379" i="86" s="1"/>
  <c r="M380" i="86"/>
  <c r="K379" i="86"/>
  <c r="O379" i="86"/>
  <c r="N379" i="86" s="1"/>
  <c r="L380" i="86"/>
  <c r="F379" i="86"/>
  <c r="R379" i="86"/>
  <c r="K380" i="86"/>
  <c r="G380" i="86"/>
  <c r="M379" i="86"/>
  <c r="O380" i="86"/>
  <c r="N380" i="86" s="1"/>
  <c r="L379" i="86"/>
  <c r="A274" i="88" l="1"/>
  <c r="E268" i="88"/>
  <c r="G266" i="88"/>
  <c r="G265" i="88"/>
  <c r="E266" i="88"/>
  <c r="E265" i="88"/>
  <c r="C264" i="88" s="1"/>
  <c r="G264" i="88"/>
  <c r="J265" i="88"/>
  <c r="I265" i="88" s="1"/>
  <c r="K264" i="88"/>
  <c r="K265" i="88"/>
  <c r="J264" i="88"/>
  <c r="I264" i="88" s="1"/>
  <c r="D379" i="86"/>
  <c r="B379" i="86"/>
  <c r="A389" i="86"/>
  <c r="F386" i="86"/>
  <c r="F382" i="86"/>
  <c r="L383" i="86"/>
  <c r="O382" i="86"/>
  <c r="N382" i="86" s="1"/>
  <c r="M382" i="86"/>
  <c r="O383" i="86"/>
  <c r="N383" i="86" s="1"/>
  <c r="L382" i="86"/>
  <c r="M383" i="86"/>
  <c r="K383" i="86"/>
  <c r="G383" i="86"/>
  <c r="K382" i="86"/>
  <c r="R382" i="86"/>
  <c r="Q383" i="86"/>
  <c r="P383" i="86" s="1"/>
  <c r="Q382" i="86"/>
  <c r="P382" i="86" s="1"/>
  <c r="K269" i="88" l="1"/>
  <c r="J268" i="88"/>
  <c r="I268" i="88" s="1"/>
  <c r="J269" i="88"/>
  <c r="I269" i="88" s="1"/>
  <c r="G268" i="88"/>
  <c r="G270" i="88"/>
  <c r="G269" i="88"/>
  <c r="K268" i="88"/>
  <c r="E270" i="88"/>
  <c r="E269" i="88"/>
  <c r="C268" i="88" s="1"/>
  <c r="A278" i="88"/>
  <c r="E272" i="88"/>
  <c r="D382" i="86"/>
  <c r="B382" i="86"/>
  <c r="R385" i="86"/>
  <c r="O385" i="86"/>
  <c r="N385" i="86" s="1"/>
  <c r="M385" i="86"/>
  <c r="O386" i="86"/>
  <c r="N386" i="86" s="1"/>
  <c r="L385" i="86"/>
  <c r="M386" i="86"/>
  <c r="K385" i="86"/>
  <c r="L386" i="86"/>
  <c r="K386" i="86"/>
  <c r="F385" i="86"/>
  <c r="G386" i="86"/>
  <c r="Q386" i="86"/>
  <c r="P386" i="86" s="1"/>
  <c r="Q385" i="86"/>
  <c r="P385" i="86" s="1"/>
  <c r="F389" i="86"/>
  <c r="A392" i="86"/>
  <c r="K273" i="88" l="1"/>
  <c r="J272" i="88"/>
  <c r="I272" i="88" s="1"/>
  <c r="J273" i="88"/>
  <c r="I273" i="88" s="1"/>
  <c r="G272" i="88"/>
  <c r="G274" i="88"/>
  <c r="G273" i="88"/>
  <c r="E274" i="88"/>
  <c r="E273" i="88"/>
  <c r="C272" i="88" s="1"/>
  <c r="K272" i="88"/>
  <c r="E276" i="88"/>
  <c r="A282" i="88"/>
  <c r="D385" i="86"/>
  <c r="B385" i="86"/>
  <c r="O389" i="86"/>
  <c r="N389" i="86" s="1"/>
  <c r="L388" i="86"/>
  <c r="M389" i="86"/>
  <c r="K388" i="86"/>
  <c r="L389" i="86"/>
  <c r="F388" i="86"/>
  <c r="O388" i="86"/>
  <c r="N388" i="86" s="1"/>
  <c r="K389" i="86"/>
  <c r="R388" i="86"/>
  <c r="G389" i="86"/>
  <c r="M388" i="86"/>
  <c r="Q389" i="86"/>
  <c r="P389" i="86" s="1"/>
  <c r="Q388" i="86"/>
  <c r="P388" i="86" s="1"/>
  <c r="F392" i="86"/>
  <c r="A395" i="86"/>
  <c r="E280" i="88" l="1"/>
  <c r="A286" i="88"/>
  <c r="G278" i="88"/>
  <c r="G277" i="88"/>
  <c r="E278" i="88"/>
  <c r="E277" i="88"/>
  <c r="C276" i="88" s="1"/>
  <c r="G276" i="88"/>
  <c r="J277" i="88"/>
  <c r="I277" i="88" s="1"/>
  <c r="K276" i="88"/>
  <c r="K277" i="88"/>
  <c r="J276" i="88"/>
  <c r="I276" i="88" s="1"/>
  <c r="D388" i="86"/>
  <c r="B388" i="86"/>
  <c r="A398" i="86"/>
  <c r="F395" i="86"/>
  <c r="M392" i="86"/>
  <c r="K391" i="86"/>
  <c r="M391" i="86"/>
  <c r="L392" i="86"/>
  <c r="F391" i="86"/>
  <c r="K392" i="86"/>
  <c r="G392" i="86"/>
  <c r="R391" i="86"/>
  <c r="O392" i="86"/>
  <c r="N392" i="86" s="1"/>
  <c r="Q391" i="86"/>
  <c r="P391" i="86" s="1"/>
  <c r="Q392" i="86"/>
  <c r="P392" i="86" s="1"/>
  <c r="L391" i="86"/>
  <c r="O391" i="86"/>
  <c r="N391" i="86" s="1"/>
  <c r="A290" i="88" l="1"/>
  <c r="E284" i="88"/>
  <c r="K281" i="88"/>
  <c r="J280" i="88"/>
  <c r="I280" i="88" s="1"/>
  <c r="J281" i="88"/>
  <c r="I281" i="88" s="1"/>
  <c r="G280" i="88"/>
  <c r="G282" i="88"/>
  <c r="G281" i="88"/>
  <c r="E282" i="88"/>
  <c r="E281" i="88"/>
  <c r="C280" i="88" s="1"/>
  <c r="K280" i="88"/>
  <c r="D391" i="86"/>
  <c r="B391" i="86"/>
  <c r="O394" i="86"/>
  <c r="N394" i="86" s="1"/>
  <c r="M394" i="86"/>
  <c r="O395" i="86"/>
  <c r="N395" i="86" s="1"/>
  <c r="L394" i="86"/>
  <c r="M395" i="86"/>
  <c r="K394" i="86"/>
  <c r="L395" i="86"/>
  <c r="F394" i="86"/>
  <c r="K395" i="86"/>
  <c r="R394" i="86"/>
  <c r="G395" i="86"/>
  <c r="Q394" i="86"/>
  <c r="P394" i="86" s="1"/>
  <c r="Q395" i="86"/>
  <c r="P395" i="86" s="1"/>
  <c r="F398" i="86"/>
  <c r="A401" i="86"/>
  <c r="K285" i="88" l="1"/>
  <c r="J284" i="88"/>
  <c r="I284" i="88" s="1"/>
  <c r="J285" i="88"/>
  <c r="I285" i="88" s="1"/>
  <c r="G284" i="88"/>
  <c r="G286" i="88"/>
  <c r="G285" i="88"/>
  <c r="E286" i="88"/>
  <c r="E285" i="88"/>
  <c r="C284" i="88" s="1"/>
  <c r="K284" i="88"/>
  <c r="E288" i="88"/>
  <c r="A294" i="88"/>
  <c r="D394" i="86"/>
  <c r="B394" i="86"/>
  <c r="A404" i="86"/>
  <c r="F401" i="86"/>
  <c r="K398" i="86"/>
  <c r="L398" i="86"/>
  <c r="G398" i="86"/>
  <c r="R397" i="86"/>
  <c r="L397" i="86"/>
  <c r="Q397" i="86"/>
  <c r="P397" i="86" s="1"/>
  <c r="K397" i="86"/>
  <c r="M398" i="86"/>
  <c r="Q398" i="86"/>
  <c r="P398" i="86" s="1"/>
  <c r="F397" i="86"/>
  <c r="O397" i="86"/>
  <c r="N397" i="86" s="1"/>
  <c r="M397" i="86"/>
  <c r="O398" i="86"/>
  <c r="N398" i="86" s="1"/>
  <c r="A298" i="88" l="1"/>
  <c r="E292" i="88"/>
  <c r="G289" i="88"/>
  <c r="J289" i="88"/>
  <c r="I289" i="88" s="1"/>
  <c r="E290" i="88"/>
  <c r="E289" i="88"/>
  <c r="C288" i="88" s="1"/>
  <c r="G288" i="88"/>
  <c r="K288" i="88"/>
  <c r="K289" i="88"/>
  <c r="J288" i="88"/>
  <c r="I288" i="88" s="1"/>
  <c r="G290" i="88"/>
  <c r="D397" i="86"/>
  <c r="B397" i="86"/>
  <c r="O401" i="86"/>
  <c r="N401" i="86" s="1"/>
  <c r="L400" i="86"/>
  <c r="M401" i="86"/>
  <c r="K400" i="86"/>
  <c r="L401" i="86"/>
  <c r="F400" i="86"/>
  <c r="Q400" i="86"/>
  <c r="P400" i="86" s="1"/>
  <c r="G401" i="86"/>
  <c r="K401" i="86"/>
  <c r="Q401" i="86"/>
  <c r="P401" i="86" s="1"/>
  <c r="R400" i="86"/>
  <c r="O400" i="86"/>
  <c r="N400" i="86" s="1"/>
  <c r="M400" i="86"/>
  <c r="F404" i="86"/>
  <c r="A407" i="86"/>
  <c r="K293" i="88" l="1"/>
  <c r="J292" i="88"/>
  <c r="I292" i="88" s="1"/>
  <c r="J293" i="88"/>
  <c r="I293" i="88" s="1"/>
  <c r="G292" i="88"/>
  <c r="G294" i="88"/>
  <c r="G293" i="88"/>
  <c r="E294" i="88"/>
  <c r="E293" i="88"/>
  <c r="C292" i="88" s="1"/>
  <c r="K292" i="88"/>
  <c r="A302" i="88"/>
  <c r="E296" i="88"/>
  <c r="D400" i="86"/>
  <c r="B400" i="86"/>
  <c r="A410" i="86"/>
  <c r="F407" i="86"/>
  <c r="K404" i="86"/>
  <c r="R403" i="86"/>
  <c r="K403" i="86"/>
  <c r="Q403" i="86"/>
  <c r="P403" i="86" s="1"/>
  <c r="Q404" i="86"/>
  <c r="P404" i="86" s="1"/>
  <c r="O403" i="86"/>
  <c r="N403" i="86" s="1"/>
  <c r="M403" i="86"/>
  <c r="O404" i="86"/>
  <c r="N404" i="86" s="1"/>
  <c r="L404" i="86"/>
  <c r="L403" i="86"/>
  <c r="M404" i="86"/>
  <c r="G404" i="86"/>
  <c r="F403" i="86"/>
  <c r="K297" i="88" l="1"/>
  <c r="J296" i="88"/>
  <c r="I296" i="88" s="1"/>
  <c r="J297" i="88"/>
  <c r="I297" i="88" s="1"/>
  <c r="G296" i="88"/>
  <c r="G298" i="88"/>
  <c r="G297" i="88"/>
  <c r="E298" i="88"/>
  <c r="E297" i="88"/>
  <c r="C296" i="88" s="1"/>
  <c r="K296" i="88"/>
  <c r="E300" i="88"/>
  <c r="A306" i="88"/>
  <c r="D403" i="86"/>
  <c r="B403" i="86"/>
  <c r="L406" i="86"/>
  <c r="M407" i="86"/>
  <c r="K406" i="86"/>
  <c r="Q407" i="86"/>
  <c r="P407" i="86" s="1"/>
  <c r="L407" i="86"/>
  <c r="F406" i="86"/>
  <c r="K407" i="86"/>
  <c r="G407" i="86"/>
  <c r="R406" i="86"/>
  <c r="Q406" i="86"/>
  <c r="P406" i="86" s="1"/>
  <c r="M406" i="86"/>
  <c r="O406" i="86"/>
  <c r="N406" i="86" s="1"/>
  <c r="O407" i="86"/>
  <c r="N407" i="86" s="1"/>
  <c r="F410" i="86"/>
  <c r="A413" i="86"/>
  <c r="G302" i="88" l="1"/>
  <c r="G301" i="88"/>
  <c r="J301" i="88"/>
  <c r="I301" i="88" s="1"/>
  <c r="E302" i="88"/>
  <c r="E301" i="88"/>
  <c r="C300" i="88" s="1"/>
  <c r="G300" i="88"/>
  <c r="K300" i="88"/>
  <c r="K301" i="88"/>
  <c r="J300" i="88"/>
  <c r="I300" i="88" s="1"/>
  <c r="E304" i="88"/>
  <c r="A310" i="88"/>
  <c r="D406" i="86"/>
  <c r="B406" i="86"/>
  <c r="A416" i="86"/>
  <c r="F413" i="86"/>
  <c r="Q409" i="86"/>
  <c r="P409" i="86" s="1"/>
  <c r="G410" i="86"/>
  <c r="Q410" i="86"/>
  <c r="P410" i="86" s="1"/>
  <c r="R409" i="86"/>
  <c r="O409" i="86"/>
  <c r="N409" i="86" s="1"/>
  <c r="M409" i="86"/>
  <c r="O410" i="86"/>
  <c r="N410" i="86" s="1"/>
  <c r="L409" i="86"/>
  <c r="M410" i="86"/>
  <c r="K410" i="86"/>
  <c r="K409" i="86"/>
  <c r="L410" i="86"/>
  <c r="F409" i="86"/>
  <c r="A314" i="88" l="1"/>
  <c r="E308" i="88"/>
  <c r="K305" i="88"/>
  <c r="J304" i="88"/>
  <c r="I304" i="88" s="1"/>
  <c r="J305" i="88"/>
  <c r="I305" i="88" s="1"/>
  <c r="G304" i="88"/>
  <c r="G306" i="88"/>
  <c r="G305" i="88"/>
  <c r="K304" i="88"/>
  <c r="E306" i="88"/>
  <c r="E305" i="88"/>
  <c r="C304" i="88" s="1"/>
  <c r="D409" i="86"/>
  <c r="B409" i="86"/>
  <c r="L413" i="86"/>
  <c r="F412" i="86"/>
  <c r="K413" i="86"/>
  <c r="G413" i="86"/>
  <c r="R412" i="86"/>
  <c r="M413" i="86"/>
  <c r="Q412" i="86"/>
  <c r="P412" i="86" s="1"/>
  <c r="M412" i="86"/>
  <c r="L412" i="86"/>
  <c r="O413" i="86"/>
  <c r="N413" i="86" s="1"/>
  <c r="Q413" i="86"/>
  <c r="P413" i="86" s="1"/>
  <c r="O412" i="86"/>
  <c r="N412" i="86" s="1"/>
  <c r="K412" i="86"/>
  <c r="F416" i="86"/>
  <c r="A419" i="86"/>
  <c r="K308" i="88" l="1"/>
  <c r="K309" i="88"/>
  <c r="J308" i="88"/>
  <c r="I308" i="88" s="1"/>
  <c r="J309" i="88"/>
  <c r="I309" i="88" s="1"/>
  <c r="G308" i="88"/>
  <c r="G310" i="88"/>
  <c r="G309" i="88"/>
  <c r="E310" i="88"/>
  <c r="E309" i="88"/>
  <c r="C308" i="88" s="1"/>
  <c r="B266" i="88"/>
  <c r="E312" i="88"/>
  <c r="D412" i="86"/>
  <c r="B412" i="86"/>
  <c r="A422" i="86"/>
  <c r="F419" i="86"/>
  <c r="L415" i="86"/>
  <c r="M416" i="86"/>
  <c r="K415" i="86"/>
  <c r="M415" i="86"/>
  <c r="O416" i="86"/>
  <c r="N416" i="86" s="1"/>
  <c r="L416" i="86"/>
  <c r="F415" i="86"/>
  <c r="K416" i="86"/>
  <c r="G416" i="86"/>
  <c r="Q415" i="86"/>
  <c r="P415" i="86" s="1"/>
  <c r="R415" i="86"/>
  <c r="Q416" i="86"/>
  <c r="P416" i="86" s="1"/>
  <c r="O415" i="86"/>
  <c r="N415" i="86" s="1"/>
  <c r="O264" i="88" l="1"/>
  <c r="B270" i="88"/>
  <c r="G314" i="88"/>
  <c r="G312" i="88"/>
  <c r="E314" i="88"/>
  <c r="K313" i="88"/>
  <c r="J313" i="88"/>
  <c r="I313" i="88" s="1"/>
  <c r="G313" i="88"/>
  <c r="E313" i="88"/>
  <c r="C312" i="88" s="1"/>
  <c r="K312" i="88"/>
  <c r="J312" i="88"/>
  <c r="I312" i="88" s="1"/>
  <c r="D415" i="86"/>
  <c r="B415" i="86"/>
  <c r="L419" i="86"/>
  <c r="M418" i="86"/>
  <c r="R418" i="86"/>
  <c r="O419" i="86"/>
  <c r="N419" i="86" s="1"/>
  <c r="Q418" i="86"/>
  <c r="P418" i="86" s="1"/>
  <c r="L418" i="86"/>
  <c r="M419" i="86"/>
  <c r="K419" i="86"/>
  <c r="K418" i="86"/>
  <c r="G419" i="86"/>
  <c r="F418" i="86"/>
  <c r="Q419" i="86"/>
  <c r="P419" i="86" s="1"/>
  <c r="O418" i="86"/>
  <c r="N418" i="86" s="1"/>
  <c r="F422" i="86"/>
  <c r="A425" i="86"/>
  <c r="O268" i="88" l="1"/>
  <c r="B274" i="88"/>
  <c r="U264" i="88"/>
  <c r="U265" i="88"/>
  <c r="T265" i="88"/>
  <c r="S265" i="88" s="1"/>
  <c r="Q264" i="88"/>
  <c r="Q266" i="88"/>
  <c r="Q265" i="88"/>
  <c r="O265" i="88"/>
  <c r="M264" i="88" s="1"/>
  <c r="O266" i="88"/>
  <c r="T264" i="88"/>
  <c r="S264" i="88" s="1"/>
  <c r="D418" i="86"/>
  <c r="B418" i="86"/>
  <c r="F425" i="86"/>
  <c r="A428" i="86"/>
  <c r="L421" i="86"/>
  <c r="K422" i="86"/>
  <c r="G422" i="86"/>
  <c r="O422" i="86"/>
  <c r="N422" i="86" s="1"/>
  <c r="R421" i="86"/>
  <c r="Q422" i="86"/>
  <c r="P422" i="86" s="1"/>
  <c r="Q421" i="86"/>
  <c r="P421" i="86" s="1"/>
  <c r="M422" i="86"/>
  <c r="O421" i="86"/>
  <c r="N421" i="86" s="1"/>
  <c r="M421" i="86"/>
  <c r="K421" i="86"/>
  <c r="L422" i="86"/>
  <c r="F421" i="86"/>
  <c r="B278" i="88" l="1"/>
  <c r="O272" i="88"/>
  <c r="T269" i="88"/>
  <c r="S269" i="88" s="1"/>
  <c r="Q268" i="88"/>
  <c r="Q269" i="88"/>
  <c r="O269" i="88"/>
  <c r="M268" i="88" s="1"/>
  <c r="U268" i="88"/>
  <c r="Q270" i="88"/>
  <c r="T268" i="88"/>
  <c r="S268" i="88" s="1"/>
  <c r="O270" i="88"/>
  <c r="U269" i="88"/>
  <c r="D421" i="86"/>
  <c r="B421" i="86"/>
  <c r="A431" i="86"/>
  <c r="F428" i="86"/>
  <c r="G425" i="86"/>
  <c r="O425" i="86"/>
  <c r="N425" i="86" s="1"/>
  <c r="M425" i="86"/>
  <c r="O424" i="86"/>
  <c r="N424" i="86" s="1"/>
  <c r="L425" i="86"/>
  <c r="M424" i="86"/>
  <c r="L424" i="86"/>
  <c r="K424" i="86"/>
  <c r="F424" i="86"/>
  <c r="K425" i="86"/>
  <c r="R424" i="86"/>
  <c r="Q425" i="86"/>
  <c r="P425" i="86" s="1"/>
  <c r="Q424" i="86"/>
  <c r="P424" i="86" s="1"/>
  <c r="O273" i="88" l="1"/>
  <c r="M272" i="88" s="1"/>
  <c r="Q274" i="88"/>
  <c r="O274" i="88"/>
  <c r="Q273" i="88"/>
  <c r="U272" i="88"/>
  <c r="T272" i="88"/>
  <c r="S272" i="88" s="1"/>
  <c r="U273" i="88"/>
  <c r="T273" i="88"/>
  <c r="S273" i="88" s="1"/>
  <c r="Q272" i="88"/>
  <c r="O276" i="88"/>
  <c r="B282" i="88"/>
  <c r="D424" i="86"/>
  <c r="B424" i="86"/>
  <c r="O427" i="86"/>
  <c r="N427" i="86" s="1"/>
  <c r="O428" i="86"/>
  <c r="N428" i="86" s="1"/>
  <c r="L427" i="86"/>
  <c r="M428" i="86"/>
  <c r="K427" i="86"/>
  <c r="L428" i="86"/>
  <c r="M427" i="86"/>
  <c r="F427" i="86"/>
  <c r="K428" i="86"/>
  <c r="G428" i="86"/>
  <c r="R427" i="86"/>
  <c r="Q427" i="86"/>
  <c r="P427" i="86" s="1"/>
  <c r="Q428" i="86"/>
  <c r="P428" i="86" s="1"/>
  <c r="F431" i="86"/>
  <c r="A434" i="86"/>
  <c r="O280" i="88" l="1"/>
  <c r="B286" i="88"/>
  <c r="O278" i="88"/>
  <c r="U276" i="88"/>
  <c r="T276" i="88"/>
  <c r="S276" i="88" s="1"/>
  <c r="U277" i="88"/>
  <c r="T277" i="88"/>
  <c r="S277" i="88" s="1"/>
  <c r="Q276" i="88"/>
  <c r="Q277" i="88"/>
  <c r="O277" i="88"/>
  <c r="M276" i="88" s="1"/>
  <c r="Q278" i="88"/>
  <c r="D427" i="86"/>
  <c r="B427" i="86"/>
  <c r="F434" i="86"/>
  <c r="A437" i="86"/>
  <c r="M431" i="86"/>
  <c r="K430" i="86"/>
  <c r="L431" i="86"/>
  <c r="L430" i="86"/>
  <c r="F430" i="86"/>
  <c r="K431" i="86"/>
  <c r="R430" i="86"/>
  <c r="Q431" i="86"/>
  <c r="P431" i="86" s="1"/>
  <c r="O430" i="86"/>
  <c r="N430" i="86" s="1"/>
  <c r="M430" i="86"/>
  <c r="O431" i="86"/>
  <c r="N431" i="86" s="1"/>
  <c r="G431" i="86"/>
  <c r="Q430" i="86"/>
  <c r="P430" i="86" s="1"/>
  <c r="B290" i="88" l="1"/>
  <c r="O284" i="88"/>
  <c r="T281" i="88"/>
  <c r="S281" i="88" s="1"/>
  <c r="Q280" i="88"/>
  <c r="Q281" i="88"/>
  <c r="O281" i="88"/>
  <c r="M280" i="88" s="1"/>
  <c r="T280" i="88"/>
  <c r="S280" i="88" s="1"/>
  <c r="Q282" i="88"/>
  <c r="O282" i="88"/>
  <c r="U280" i="88"/>
  <c r="U281" i="88"/>
  <c r="D430" i="86"/>
  <c r="B430" i="86"/>
  <c r="A440" i="86"/>
  <c r="F437" i="86"/>
  <c r="K434" i="86"/>
  <c r="G434" i="86"/>
  <c r="M433" i="86"/>
  <c r="R433" i="86"/>
  <c r="Q433" i="86"/>
  <c r="P433" i="86" s="1"/>
  <c r="Q434" i="86"/>
  <c r="P434" i="86" s="1"/>
  <c r="O434" i="86"/>
  <c r="N434" i="86" s="1"/>
  <c r="O433" i="86"/>
  <c r="N433" i="86" s="1"/>
  <c r="L433" i="86"/>
  <c r="L434" i="86"/>
  <c r="M434" i="86"/>
  <c r="K433" i="86"/>
  <c r="F433" i="86"/>
  <c r="O285" i="88" l="1"/>
  <c r="M284" i="88" s="1"/>
  <c r="Q286" i="88"/>
  <c r="O286" i="88"/>
  <c r="U284" i="88"/>
  <c r="T284" i="88"/>
  <c r="S284" i="88" s="1"/>
  <c r="U285" i="88"/>
  <c r="Q285" i="88"/>
  <c r="T285" i="88"/>
  <c r="S285" i="88" s="1"/>
  <c r="Q284" i="88"/>
  <c r="O288" i="88"/>
  <c r="B294" i="88"/>
  <c r="D433" i="86"/>
  <c r="B433" i="86"/>
  <c r="L436" i="86"/>
  <c r="M437" i="86"/>
  <c r="K436" i="86"/>
  <c r="L437" i="86"/>
  <c r="F436" i="86"/>
  <c r="K437" i="86"/>
  <c r="R436" i="86"/>
  <c r="G437" i="86"/>
  <c r="Q436" i="86"/>
  <c r="P436" i="86" s="1"/>
  <c r="Q437" i="86"/>
  <c r="P437" i="86" s="1"/>
  <c r="O436" i="86"/>
  <c r="N436" i="86" s="1"/>
  <c r="M436" i="86"/>
  <c r="O437" i="86"/>
  <c r="N437" i="86" s="1"/>
  <c r="F440" i="86"/>
  <c r="A443" i="86"/>
  <c r="O292" i="88" l="1"/>
  <c r="B298" i="88"/>
  <c r="T288" i="88"/>
  <c r="S288" i="88" s="1"/>
  <c r="U289" i="88"/>
  <c r="O290" i="88"/>
  <c r="T289" i="88"/>
  <c r="S289" i="88" s="1"/>
  <c r="Q288" i="88"/>
  <c r="Q289" i="88"/>
  <c r="O289" i="88"/>
  <c r="M288" i="88" s="1"/>
  <c r="Q290" i="88"/>
  <c r="U288" i="88"/>
  <c r="D436" i="86"/>
  <c r="B436" i="86"/>
  <c r="A446" i="86"/>
  <c r="F443" i="86"/>
  <c r="Q439" i="86"/>
  <c r="P439" i="86" s="1"/>
  <c r="Q440" i="86"/>
  <c r="P440" i="86" s="1"/>
  <c r="O439" i="86"/>
  <c r="N439" i="86" s="1"/>
  <c r="M440" i="86"/>
  <c r="M439" i="86"/>
  <c r="O440" i="86"/>
  <c r="N440" i="86" s="1"/>
  <c r="K439" i="86"/>
  <c r="R439" i="86"/>
  <c r="L440" i="86"/>
  <c r="L439" i="86"/>
  <c r="F439" i="86"/>
  <c r="K440" i="86"/>
  <c r="G440" i="86"/>
  <c r="O296" i="88" l="1"/>
  <c r="B302" i="88"/>
  <c r="U293" i="88"/>
  <c r="T293" i="88"/>
  <c r="S293" i="88" s="1"/>
  <c r="Q292" i="88"/>
  <c r="T292" i="88"/>
  <c r="S292" i="88" s="1"/>
  <c r="Q293" i="88"/>
  <c r="O293" i="88"/>
  <c r="M292" i="88" s="1"/>
  <c r="Q294" i="88"/>
  <c r="U292" i="88"/>
  <c r="O294" i="88"/>
  <c r="D439" i="86"/>
  <c r="B439" i="86"/>
  <c r="L443" i="86"/>
  <c r="F442" i="86"/>
  <c r="K443" i="86"/>
  <c r="Q442" i="86"/>
  <c r="P442" i="86" s="1"/>
  <c r="G443" i="86"/>
  <c r="O443" i="86"/>
  <c r="N443" i="86" s="1"/>
  <c r="Q443" i="86"/>
  <c r="P443" i="86" s="1"/>
  <c r="R442" i="86"/>
  <c r="O442" i="86"/>
  <c r="N442" i="86" s="1"/>
  <c r="M442" i="86"/>
  <c r="L442" i="86"/>
  <c r="M443" i="86"/>
  <c r="K442" i="86"/>
  <c r="F446" i="86"/>
  <c r="A449" i="86"/>
  <c r="O300" i="88" l="1"/>
  <c r="B306" i="88"/>
  <c r="U297" i="88"/>
  <c r="T297" i="88"/>
  <c r="S297" i="88" s="1"/>
  <c r="Q296" i="88"/>
  <c r="O297" i="88"/>
  <c r="M296" i="88" s="1"/>
  <c r="Q298" i="88"/>
  <c r="O298" i="88"/>
  <c r="U296" i="88"/>
  <c r="T296" i="88"/>
  <c r="S296" i="88" s="1"/>
  <c r="Q297" i="88"/>
  <c r="D442" i="86"/>
  <c r="B442" i="86"/>
  <c r="A452" i="86"/>
  <c r="F449" i="86"/>
  <c r="M445" i="86"/>
  <c r="O446" i="86"/>
  <c r="N446" i="86" s="1"/>
  <c r="Q445" i="86"/>
  <c r="P445" i="86" s="1"/>
  <c r="Q446" i="86"/>
  <c r="P446" i="86" s="1"/>
  <c r="L445" i="86"/>
  <c r="M446" i="86"/>
  <c r="K445" i="86"/>
  <c r="L446" i="86"/>
  <c r="F445" i="86"/>
  <c r="G446" i="86"/>
  <c r="K446" i="86"/>
  <c r="R445" i="86"/>
  <c r="O445" i="86"/>
  <c r="N445" i="86" s="1"/>
  <c r="O304" i="88" l="1"/>
  <c r="B310" i="88"/>
  <c r="Q302" i="88"/>
  <c r="U300" i="88"/>
  <c r="O302" i="88"/>
  <c r="T300" i="88"/>
  <c r="S300" i="88" s="1"/>
  <c r="U301" i="88"/>
  <c r="T301" i="88"/>
  <c r="S301" i="88" s="1"/>
  <c r="Q300" i="88"/>
  <c r="Q301" i="88"/>
  <c r="O301" i="88"/>
  <c r="M300" i="88" s="1"/>
  <c r="D445" i="86"/>
  <c r="B445" i="86"/>
  <c r="K449" i="86"/>
  <c r="O448" i="86"/>
  <c r="N448" i="86" s="1"/>
  <c r="G449" i="86"/>
  <c r="Q449" i="86"/>
  <c r="P449" i="86" s="1"/>
  <c r="L449" i="86"/>
  <c r="R448" i="86"/>
  <c r="M448" i="86"/>
  <c r="Q448" i="86"/>
  <c r="P448" i="86" s="1"/>
  <c r="O449" i="86"/>
  <c r="N449" i="86" s="1"/>
  <c r="L448" i="86"/>
  <c r="M449" i="86"/>
  <c r="K448" i="86"/>
  <c r="F448" i="86"/>
  <c r="A455" i="86"/>
  <c r="F452" i="86"/>
  <c r="O308" i="88" l="1"/>
  <c r="A318" i="88"/>
  <c r="Q306" i="88"/>
  <c r="U305" i="88"/>
  <c r="T305" i="88"/>
  <c r="S305" i="88" s="1"/>
  <c r="Q304" i="88"/>
  <c r="Q305" i="88"/>
  <c r="O305" i="88"/>
  <c r="M304" i="88" s="1"/>
  <c r="T304" i="88"/>
  <c r="S304" i="88" s="1"/>
  <c r="O306" i="88"/>
  <c r="U304" i="88"/>
  <c r="M452" i="86"/>
  <c r="K451" i="86"/>
  <c r="L452" i="86"/>
  <c r="F451" i="86"/>
  <c r="K452" i="86"/>
  <c r="R451" i="86"/>
  <c r="G452" i="86"/>
  <c r="O452" i="86"/>
  <c r="N452" i="86" s="1"/>
  <c r="L451" i="86"/>
  <c r="Q451" i="86"/>
  <c r="P451" i="86" s="1"/>
  <c r="Q452" i="86"/>
  <c r="P452" i="86" s="1"/>
  <c r="O451" i="86"/>
  <c r="N451" i="86" s="1"/>
  <c r="M451" i="86"/>
  <c r="D448" i="86"/>
  <c r="B448" i="86"/>
  <c r="F455" i="86"/>
  <c r="A458" i="86"/>
  <c r="E316" i="88" l="1"/>
  <c r="A322" i="88"/>
  <c r="T309" i="88"/>
  <c r="S309" i="88" s="1"/>
  <c r="Q308" i="88"/>
  <c r="Q309" i="88"/>
  <c r="U308" i="88"/>
  <c r="O309" i="88"/>
  <c r="M308" i="88" s="1"/>
  <c r="Q310" i="88"/>
  <c r="O310" i="88"/>
  <c r="T308" i="88"/>
  <c r="S308" i="88" s="1"/>
  <c r="U309" i="88"/>
  <c r="D451" i="86"/>
  <c r="B451" i="86"/>
  <c r="A461" i="86"/>
  <c r="F458" i="86"/>
  <c r="R454" i="86"/>
  <c r="Q454" i="86"/>
  <c r="P454" i="86" s="1"/>
  <c r="Q455" i="86"/>
  <c r="P455" i="86" s="1"/>
  <c r="O454" i="86"/>
  <c r="N454" i="86" s="1"/>
  <c r="M454" i="86"/>
  <c r="K455" i="86"/>
  <c r="M455" i="86"/>
  <c r="O455" i="86"/>
  <c r="N455" i="86" s="1"/>
  <c r="K454" i="86"/>
  <c r="G455" i="86"/>
  <c r="L455" i="86"/>
  <c r="F454" i="86"/>
  <c r="L454" i="86"/>
  <c r="A326" i="88" l="1"/>
  <c r="E320" i="88"/>
  <c r="K316" i="88"/>
  <c r="G318" i="88"/>
  <c r="G317" i="88"/>
  <c r="E318" i="88"/>
  <c r="E317" i="88"/>
  <c r="C316" i="88" s="1"/>
  <c r="J317" i="88"/>
  <c r="I317" i="88" s="1"/>
  <c r="K317" i="88"/>
  <c r="G316" i="88"/>
  <c r="J316" i="88"/>
  <c r="I316" i="88" s="1"/>
  <c r="D454" i="86"/>
  <c r="B454" i="86"/>
  <c r="R457" i="86"/>
  <c r="L458" i="86"/>
  <c r="F457" i="86"/>
  <c r="K458" i="86"/>
  <c r="M458" i="86"/>
  <c r="Q457" i="86"/>
  <c r="P457" i="86" s="1"/>
  <c r="G458" i="86"/>
  <c r="Q458" i="86"/>
  <c r="P458" i="86" s="1"/>
  <c r="K457" i="86"/>
  <c r="O457" i="86"/>
  <c r="N457" i="86" s="1"/>
  <c r="M457" i="86"/>
  <c r="O458" i="86"/>
  <c r="N458" i="86" s="1"/>
  <c r="L457" i="86"/>
  <c r="F461" i="86"/>
  <c r="A464" i="86"/>
  <c r="E321" i="88" l="1"/>
  <c r="C320" i="88" s="1"/>
  <c r="K320" i="88"/>
  <c r="K321" i="88"/>
  <c r="J320" i="88"/>
  <c r="I320" i="88" s="1"/>
  <c r="J321" i="88"/>
  <c r="I321" i="88" s="1"/>
  <c r="G320" i="88"/>
  <c r="G322" i="88"/>
  <c r="G321" i="88"/>
  <c r="E322" i="88"/>
  <c r="A330" i="88"/>
  <c r="E324" i="88"/>
  <c r="D457" i="86"/>
  <c r="B457" i="86"/>
  <c r="F464" i="86"/>
  <c r="A467" i="86"/>
  <c r="M460" i="86"/>
  <c r="K461" i="86"/>
  <c r="K460" i="86"/>
  <c r="O460" i="86"/>
  <c r="N460" i="86" s="1"/>
  <c r="G461" i="86"/>
  <c r="F460" i="86"/>
  <c r="R460" i="86"/>
  <c r="L461" i="86"/>
  <c r="Q460" i="86"/>
  <c r="P460" i="86" s="1"/>
  <c r="Q461" i="86"/>
  <c r="P461" i="86" s="1"/>
  <c r="O461" i="86"/>
  <c r="N461" i="86" s="1"/>
  <c r="M461" i="86"/>
  <c r="L460" i="86"/>
  <c r="K324" i="88" l="1"/>
  <c r="K325" i="88"/>
  <c r="J324" i="88"/>
  <c r="I324" i="88" s="1"/>
  <c r="J325" i="88"/>
  <c r="I325" i="88" s="1"/>
  <c r="G324" i="88"/>
  <c r="G326" i="88"/>
  <c r="G325" i="88"/>
  <c r="E326" i="88"/>
  <c r="E325" i="88"/>
  <c r="C324" i="88" s="1"/>
  <c r="E328" i="88"/>
  <c r="A334" i="88"/>
  <c r="D460" i="86"/>
  <c r="B460" i="86"/>
  <c r="F467" i="86"/>
  <c r="A470" i="86"/>
  <c r="K463" i="86"/>
  <c r="R463" i="86"/>
  <c r="M464" i="86"/>
  <c r="Q464" i="86"/>
  <c r="P464" i="86" s="1"/>
  <c r="Q463" i="86"/>
  <c r="P463" i="86" s="1"/>
  <c r="L464" i="86"/>
  <c r="O463" i="86"/>
  <c r="N463" i="86" s="1"/>
  <c r="M463" i="86"/>
  <c r="F463" i="86"/>
  <c r="O464" i="86"/>
  <c r="N464" i="86" s="1"/>
  <c r="L463" i="86"/>
  <c r="K464" i="86"/>
  <c r="G464" i="86"/>
  <c r="A338" i="88" l="1"/>
  <c r="E332" i="88"/>
  <c r="G330" i="88"/>
  <c r="G329" i="88"/>
  <c r="K329" i="88"/>
  <c r="E330" i="88"/>
  <c r="E329" i="88"/>
  <c r="C328" i="88" s="1"/>
  <c r="G328" i="88"/>
  <c r="J328" i="88"/>
  <c r="I328" i="88" s="1"/>
  <c r="J329" i="88"/>
  <c r="I329" i="88" s="1"/>
  <c r="K328" i="88"/>
  <c r="D463" i="86"/>
  <c r="B463" i="86"/>
  <c r="A473" i="86"/>
  <c r="F470" i="86"/>
  <c r="K467" i="86"/>
  <c r="L467" i="86"/>
  <c r="G467" i="86"/>
  <c r="L466" i="86"/>
  <c r="O467" i="86"/>
  <c r="N467" i="86" s="1"/>
  <c r="K466" i="86"/>
  <c r="M467" i="86"/>
  <c r="O466" i="86"/>
  <c r="N466" i="86" s="1"/>
  <c r="M466" i="86"/>
  <c r="F466" i="86"/>
  <c r="R466" i="86"/>
  <c r="Q467" i="86"/>
  <c r="P467" i="86" s="1"/>
  <c r="Q466" i="86"/>
  <c r="P466" i="86" s="1"/>
  <c r="K332" i="88" l="1"/>
  <c r="K333" i="88"/>
  <c r="J332" i="88"/>
  <c r="I332" i="88" s="1"/>
  <c r="E334" i="88"/>
  <c r="J333" i="88"/>
  <c r="I333" i="88" s="1"/>
  <c r="G332" i="88"/>
  <c r="E333" i="88"/>
  <c r="C332" i="88" s="1"/>
  <c r="G334" i="88"/>
  <c r="G333" i="88"/>
  <c r="A342" i="88"/>
  <c r="E336" i="88"/>
  <c r="B466" i="86"/>
  <c r="D466" i="86"/>
  <c r="O469" i="86"/>
  <c r="N469" i="86" s="1"/>
  <c r="M469" i="86"/>
  <c r="O470" i="86"/>
  <c r="N470" i="86" s="1"/>
  <c r="L469" i="86"/>
  <c r="M470" i="86"/>
  <c r="K469" i="86"/>
  <c r="L470" i="86"/>
  <c r="F469" i="86"/>
  <c r="R469" i="86"/>
  <c r="K470" i="86"/>
  <c r="G470" i="86"/>
  <c r="Q470" i="86"/>
  <c r="P470" i="86" s="1"/>
  <c r="Q469" i="86"/>
  <c r="P469" i="86" s="1"/>
  <c r="A476" i="86"/>
  <c r="F473" i="86"/>
  <c r="K336" i="88" l="1"/>
  <c r="K337" i="88"/>
  <c r="J336" i="88"/>
  <c r="I336" i="88" s="1"/>
  <c r="J337" i="88"/>
  <c r="I337" i="88" s="1"/>
  <c r="G336" i="88"/>
  <c r="G338" i="88"/>
  <c r="G337" i="88"/>
  <c r="E338" i="88"/>
  <c r="E337" i="88"/>
  <c r="C336" i="88" s="1"/>
  <c r="E340" i="88"/>
  <c r="A346" i="88"/>
  <c r="D469" i="86"/>
  <c r="B469" i="86"/>
  <c r="L473" i="86"/>
  <c r="G473" i="86"/>
  <c r="K473" i="86"/>
  <c r="R472" i="86"/>
  <c r="O472" i="86"/>
  <c r="N472" i="86" s="1"/>
  <c r="M472" i="86"/>
  <c r="O473" i="86"/>
  <c r="N473" i="86" s="1"/>
  <c r="L472" i="86"/>
  <c r="M473" i="86"/>
  <c r="F472" i="86"/>
  <c r="K472" i="86"/>
  <c r="Q473" i="86"/>
  <c r="P473" i="86" s="1"/>
  <c r="Q472" i="86"/>
  <c r="P472" i="86" s="1"/>
  <c r="F476" i="86"/>
  <c r="A479" i="86"/>
  <c r="A350" i="88" l="1"/>
  <c r="E344" i="88"/>
  <c r="G342" i="88"/>
  <c r="G341" i="88"/>
  <c r="J340" i="88"/>
  <c r="I340" i="88" s="1"/>
  <c r="E342" i="88"/>
  <c r="E341" i="88"/>
  <c r="C340" i="88" s="1"/>
  <c r="G340" i="88"/>
  <c r="K341" i="88"/>
  <c r="J341" i="88"/>
  <c r="I341" i="88" s="1"/>
  <c r="K340" i="88"/>
  <c r="F479" i="86"/>
  <c r="A482" i="86"/>
  <c r="R475" i="86"/>
  <c r="Q475" i="86"/>
  <c r="P475" i="86" s="1"/>
  <c r="O476" i="86"/>
  <c r="N476" i="86" s="1"/>
  <c r="M475" i="86"/>
  <c r="L475" i="86"/>
  <c r="M476" i="86"/>
  <c r="K475" i="86"/>
  <c r="L476" i="86"/>
  <c r="F475" i="86"/>
  <c r="Q476" i="86"/>
  <c r="P476" i="86" s="1"/>
  <c r="K476" i="86"/>
  <c r="G476" i="86"/>
  <c r="O475" i="86"/>
  <c r="N475" i="86" s="1"/>
  <c r="D472" i="86"/>
  <c r="B472" i="86"/>
  <c r="E345" i="88" l="1"/>
  <c r="C344" i="88" s="1"/>
  <c r="K344" i="88"/>
  <c r="K345" i="88"/>
  <c r="J344" i="88"/>
  <c r="I344" i="88" s="1"/>
  <c r="E346" i="88"/>
  <c r="J345" i="88"/>
  <c r="I345" i="88" s="1"/>
  <c r="G344" i="88"/>
  <c r="G346" i="88"/>
  <c r="G345" i="88"/>
  <c r="A354" i="88"/>
  <c r="E348" i="88"/>
  <c r="D475" i="86"/>
  <c r="B475" i="86"/>
  <c r="F482" i="86"/>
  <c r="A485" i="86"/>
  <c r="K478" i="86"/>
  <c r="L479" i="86"/>
  <c r="F478" i="86"/>
  <c r="K479" i="86"/>
  <c r="R478" i="86"/>
  <c r="G479" i="86"/>
  <c r="Q478" i="86"/>
  <c r="P478" i="86" s="1"/>
  <c r="Q479" i="86"/>
  <c r="P479" i="86" s="1"/>
  <c r="O478" i="86"/>
  <c r="N478" i="86" s="1"/>
  <c r="M478" i="86"/>
  <c r="O479" i="86"/>
  <c r="N479" i="86" s="1"/>
  <c r="L478" i="86"/>
  <c r="M479" i="86"/>
  <c r="K348" i="88" l="1"/>
  <c r="K349" i="88"/>
  <c r="J348" i="88"/>
  <c r="I348" i="88" s="1"/>
  <c r="J349" i="88"/>
  <c r="I349" i="88" s="1"/>
  <c r="G348" i="88"/>
  <c r="G350" i="88"/>
  <c r="G349" i="88"/>
  <c r="E350" i="88"/>
  <c r="E349" i="88"/>
  <c r="C348" i="88" s="1"/>
  <c r="E352" i="88"/>
  <c r="A358" i="88"/>
  <c r="D478" i="86"/>
  <c r="B478" i="86"/>
  <c r="A488" i="86"/>
  <c r="F485" i="86"/>
  <c r="M481" i="86"/>
  <c r="L481" i="86"/>
  <c r="Q482" i="86"/>
  <c r="P482" i="86" s="1"/>
  <c r="O481" i="86"/>
  <c r="N481" i="86" s="1"/>
  <c r="M482" i="86"/>
  <c r="L482" i="86"/>
  <c r="K481" i="86"/>
  <c r="F481" i="86"/>
  <c r="K482" i="86"/>
  <c r="G482" i="86"/>
  <c r="R481" i="86"/>
  <c r="Q481" i="86"/>
  <c r="P481" i="86" s="1"/>
  <c r="O482" i="86"/>
  <c r="N482" i="86" s="1"/>
  <c r="A362" i="88" l="1"/>
  <c r="E356" i="88"/>
  <c r="G354" i="88"/>
  <c r="G353" i="88"/>
  <c r="E354" i="88"/>
  <c r="E353" i="88"/>
  <c r="C352" i="88" s="1"/>
  <c r="K353" i="88"/>
  <c r="G352" i="88"/>
  <c r="J353" i="88"/>
  <c r="I353" i="88" s="1"/>
  <c r="K352" i="88"/>
  <c r="J352" i="88"/>
  <c r="I352" i="88" s="1"/>
  <c r="D481" i="86"/>
  <c r="B481" i="86"/>
  <c r="G485" i="86"/>
  <c r="Q485" i="86"/>
  <c r="P485" i="86" s="1"/>
  <c r="Q484" i="86"/>
  <c r="P484" i="86" s="1"/>
  <c r="O484" i="86"/>
  <c r="N484" i="86" s="1"/>
  <c r="M484" i="86"/>
  <c r="O485" i="86"/>
  <c r="N485" i="86" s="1"/>
  <c r="L484" i="86"/>
  <c r="M485" i="86"/>
  <c r="L485" i="86"/>
  <c r="K484" i="86"/>
  <c r="F484" i="86"/>
  <c r="R484" i="86"/>
  <c r="K485" i="86"/>
  <c r="F488" i="86"/>
  <c r="A491" i="86"/>
  <c r="E357" i="88" l="1"/>
  <c r="C356" i="88" s="1"/>
  <c r="K356" i="88"/>
  <c r="K357" i="88"/>
  <c r="J356" i="88"/>
  <c r="I356" i="88" s="1"/>
  <c r="J357" i="88"/>
  <c r="I357" i="88" s="1"/>
  <c r="G356" i="88"/>
  <c r="E358" i="88"/>
  <c r="G358" i="88"/>
  <c r="G357" i="88"/>
  <c r="A366" i="88"/>
  <c r="E360" i="88"/>
  <c r="A494" i="86"/>
  <c r="F491" i="86"/>
  <c r="L487" i="86"/>
  <c r="M488" i="86"/>
  <c r="K487" i="86"/>
  <c r="G488" i="86"/>
  <c r="K488" i="86"/>
  <c r="L488" i="86"/>
  <c r="R487" i="86"/>
  <c r="M487" i="86"/>
  <c r="F487" i="86"/>
  <c r="Q487" i="86"/>
  <c r="P487" i="86" s="1"/>
  <c r="Q488" i="86"/>
  <c r="P488" i="86" s="1"/>
  <c r="O487" i="86"/>
  <c r="N487" i="86" s="1"/>
  <c r="O488" i="86"/>
  <c r="N488" i="86" s="1"/>
  <c r="D484" i="86"/>
  <c r="B484" i="86"/>
  <c r="K360" i="88" l="1"/>
  <c r="K361" i="88"/>
  <c r="J360" i="88"/>
  <c r="I360" i="88" s="1"/>
  <c r="J361" i="88"/>
  <c r="I361" i="88" s="1"/>
  <c r="G360" i="88"/>
  <c r="G362" i="88"/>
  <c r="G361" i="88"/>
  <c r="E362" i="88"/>
  <c r="E361" i="88"/>
  <c r="C360" i="88" s="1"/>
  <c r="E364" i="88"/>
  <c r="B318" i="88"/>
  <c r="D487" i="86"/>
  <c r="B487" i="86"/>
  <c r="Q491" i="86"/>
  <c r="P491" i="86" s="1"/>
  <c r="R490" i="86"/>
  <c r="M490" i="86"/>
  <c r="O490" i="86"/>
  <c r="N490" i="86" s="1"/>
  <c r="O491" i="86"/>
  <c r="N491" i="86" s="1"/>
  <c r="L490" i="86"/>
  <c r="M491" i="86"/>
  <c r="K490" i="86"/>
  <c r="L491" i="86"/>
  <c r="F490" i="86"/>
  <c r="K491" i="86"/>
  <c r="G491" i="86"/>
  <c r="Q490" i="86"/>
  <c r="P490" i="86" s="1"/>
  <c r="A497" i="86"/>
  <c r="F494" i="86"/>
  <c r="B322" i="88" l="1"/>
  <c r="O316" i="88"/>
  <c r="G366" i="88"/>
  <c r="E366" i="88"/>
  <c r="K365" i="88"/>
  <c r="J365" i="88"/>
  <c r="I365" i="88" s="1"/>
  <c r="J364" i="88"/>
  <c r="I364" i="88" s="1"/>
  <c r="G365" i="88"/>
  <c r="E365" i="88"/>
  <c r="C364" i="88" s="1"/>
  <c r="K364" i="88"/>
  <c r="G364" i="88"/>
  <c r="D490" i="86"/>
  <c r="B490" i="86"/>
  <c r="F493" i="86"/>
  <c r="R493" i="86"/>
  <c r="K494" i="86"/>
  <c r="L494" i="86"/>
  <c r="Q493" i="86"/>
  <c r="P493" i="86" s="1"/>
  <c r="G494" i="86"/>
  <c r="Q494" i="86"/>
  <c r="P494" i="86" s="1"/>
  <c r="K493" i="86"/>
  <c r="O493" i="86"/>
  <c r="N493" i="86" s="1"/>
  <c r="M493" i="86"/>
  <c r="O494" i="86"/>
  <c r="N494" i="86" s="1"/>
  <c r="L493" i="86"/>
  <c r="M494" i="86"/>
  <c r="F497" i="86"/>
  <c r="A500" i="86"/>
  <c r="U316" i="88" l="1"/>
  <c r="T316" i="88"/>
  <c r="S316" i="88" s="1"/>
  <c r="Q318" i="88"/>
  <c r="U317" i="88"/>
  <c r="T317" i="88"/>
  <c r="S317" i="88" s="1"/>
  <c r="Q316" i="88"/>
  <c r="Q317" i="88"/>
  <c r="O317" i="88"/>
  <c r="M316" i="88" s="1"/>
  <c r="O318" i="88"/>
  <c r="O320" i="88"/>
  <c r="B326" i="88"/>
  <c r="D493" i="86"/>
  <c r="B493" i="86"/>
  <c r="F500" i="86"/>
  <c r="A503" i="86"/>
  <c r="M496" i="86"/>
  <c r="Q496" i="86"/>
  <c r="P496" i="86" s="1"/>
  <c r="Q497" i="86"/>
  <c r="P497" i="86" s="1"/>
  <c r="O497" i="86"/>
  <c r="N497" i="86" s="1"/>
  <c r="M497" i="86"/>
  <c r="L496" i="86"/>
  <c r="K496" i="86"/>
  <c r="L497" i="86"/>
  <c r="F496" i="86"/>
  <c r="K497" i="86"/>
  <c r="G497" i="86"/>
  <c r="R496" i="86"/>
  <c r="O496" i="86"/>
  <c r="N496" i="86" s="1"/>
  <c r="B330" i="88" l="1"/>
  <c r="O324" i="88"/>
  <c r="U321" i="88"/>
  <c r="U320" i="88"/>
  <c r="T321" i="88"/>
  <c r="S321" i="88" s="1"/>
  <c r="Q320" i="88"/>
  <c r="T320" i="88"/>
  <c r="S320" i="88" s="1"/>
  <c r="Q321" i="88"/>
  <c r="O321" i="88"/>
  <c r="M320" i="88" s="1"/>
  <c r="Q322" i="88"/>
  <c r="O322" i="88"/>
  <c r="F503" i="86"/>
  <c r="A506" i="86"/>
  <c r="D496" i="86"/>
  <c r="B496" i="86"/>
  <c r="Q499" i="86"/>
  <c r="P499" i="86" s="1"/>
  <c r="R499" i="86"/>
  <c r="Q500" i="86"/>
  <c r="P500" i="86" s="1"/>
  <c r="O499" i="86"/>
  <c r="N499" i="86" s="1"/>
  <c r="K500" i="86"/>
  <c r="M499" i="86"/>
  <c r="O500" i="86"/>
  <c r="N500" i="86" s="1"/>
  <c r="L499" i="86"/>
  <c r="G500" i="86"/>
  <c r="M500" i="86"/>
  <c r="K499" i="86"/>
  <c r="L500" i="86"/>
  <c r="F499" i="86"/>
  <c r="O325" i="88" l="1"/>
  <c r="M324" i="88" s="1"/>
  <c r="Q326" i="88"/>
  <c r="O326" i="88"/>
  <c r="Q325" i="88"/>
  <c r="Q324" i="88"/>
  <c r="U324" i="88"/>
  <c r="T325" i="88"/>
  <c r="S325" i="88" s="1"/>
  <c r="T324" i="88"/>
  <c r="S324" i="88" s="1"/>
  <c r="U325" i="88"/>
  <c r="B334" i="88"/>
  <c r="O328" i="88"/>
  <c r="F506" i="86"/>
  <c r="A509" i="86"/>
  <c r="D499" i="86"/>
  <c r="B499" i="86"/>
  <c r="L502" i="86"/>
  <c r="R502" i="86"/>
  <c r="O503" i="86"/>
  <c r="N503" i="86" s="1"/>
  <c r="Q502" i="86"/>
  <c r="P502" i="86" s="1"/>
  <c r="L503" i="86"/>
  <c r="Q503" i="86"/>
  <c r="P503" i="86" s="1"/>
  <c r="O502" i="86"/>
  <c r="N502" i="86" s="1"/>
  <c r="K503" i="86"/>
  <c r="K502" i="86"/>
  <c r="M502" i="86"/>
  <c r="F502" i="86"/>
  <c r="M503" i="86"/>
  <c r="G503" i="86"/>
  <c r="Q330" i="88" l="1"/>
  <c r="U328" i="88"/>
  <c r="T328" i="88"/>
  <c r="S328" i="88" s="1"/>
  <c r="U329" i="88"/>
  <c r="T329" i="88"/>
  <c r="S329" i="88" s="1"/>
  <c r="Q328" i="88"/>
  <c r="Q329" i="88"/>
  <c r="O330" i="88"/>
  <c r="O329" i="88"/>
  <c r="M328" i="88" s="1"/>
  <c r="O332" i="88"/>
  <c r="B338" i="88"/>
  <c r="D502" i="86"/>
  <c r="B502" i="86"/>
  <c r="F509" i="86"/>
  <c r="A512" i="86"/>
  <c r="F505" i="86"/>
  <c r="M505" i="86"/>
  <c r="L506" i="86"/>
  <c r="Q505" i="86"/>
  <c r="P505" i="86" s="1"/>
  <c r="K506" i="86"/>
  <c r="O506" i="86"/>
  <c r="N506" i="86" s="1"/>
  <c r="L505" i="86"/>
  <c r="G506" i="86"/>
  <c r="M506" i="86"/>
  <c r="K505" i="86"/>
  <c r="Q506" i="86"/>
  <c r="P506" i="86" s="1"/>
  <c r="O505" i="86"/>
  <c r="N505" i="86" s="1"/>
  <c r="R505" i="86"/>
  <c r="O336" i="88" l="1"/>
  <c r="B342" i="88"/>
  <c r="U333" i="88"/>
  <c r="T332" i="88"/>
  <c r="S332" i="88" s="1"/>
  <c r="T333" i="88"/>
  <c r="S333" i="88" s="1"/>
  <c r="Q332" i="88"/>
  <c r="Q333" i="88"/>
  <c r="O333" i="88"/>
  <c r="M332" i="88" s="1"/>
  <c r="U332" i="88"/>
  <c r="Q334" i="88"/>
  <c r="O334" i="88"/>
  <c r="D505" i="86"/>
  <c r="B505" i="86"/>
  <c r="F512" i="86"/>
  <c r="A515" i="86"/>
  <c r="L508" i="86"/>
  <c r="K509" i="86"/>
  <c r="G509" i="86"/>
  <c r="O508" i="86"/>
  <c r="N508" i="86" s="1"/>
  <c r="L509" i="86"/>
  <c r="M508" i="86"/>
  <c r="F508" i="86"/>
  <c r="O509" i="86"/>
  <c r="N509" i="86" s="1"/>
  <c r="M509" i="86"/>
  <c r="K508" i="86"/>
  <c r="R508" i="86"/>
  <c r="Q509" i="86"/>
  <c r="P509" i="86" s="1"/>
  <c r="Q508" i="86"/>
  <c r="P508" i="86" s="1"/>
  <c r="B346" i="88" l="1"/>
  <c r="O340" i="88"/>
  <c r="O337" i="88"/>
  <c r="M336" i="88" s="1"/>
  <c r="Q336" i="88"/>
  <c r="Q338" i="88"/>
  <c r="O338" i="88"/>
  <c r="T337" i="88"/>
  <c r="S337" i="88" s="1"/>
  <c r="U336" i="88"/>
  <c r="T336" i="88"/>
  <c r="S336" i="88" s="1"/>
  <c r="U337" i="88"/>
  <c r="Q337" i="88"/>
  <c r="D508" i="86"/>
  <c r="B508" i="86"/>
  <c r="F515" i="86"/>
  <c r="A518" i="86"/>
  <c r="M511" i="86"/>
  <c r="O512" i="86"/>
  <c r="N512" i="86" s="1"/>
  <c r="L511" i="86"/>
  <c r="M512" i="86"/>
  <c r="K511" i="86"/>
  <c r="L512" i="86"/>
  <c r="F511" i="86"/>
  <c r="K512" i="86"/>
  <c r="G512" i="86"/>
  <c r="R511" i="86"/>
  <c r="O511" i="86"/>
  <c r="N511" i="86" s="1"/>
  <c r="Q512" i="86"/>
  <c r="P512" i="86" s="1"/>
  <c r="Q511" i="86"/>
  <c r="P511" i="86" s="1"/>
  <c r="U340" i="88" l="1"/>
  <c r="T340" i="88"/>
  <c r="S340" i="88" s="1"/>
  <c r="U341" i="88"/>
  <c r="Q342" i="88"/>
  <c r="T341" i="88"/>
  <c r="S341" i="88" s="1"/>
  <c r="Q340" i="88"/>
  <c r="O342" i="88"/>
  <c r="Q341" i="88"/>
  <c r="O341" i="88"/>
  <c r="M340" i="88" s="1"/>
  <c r="O344" i="88"/>
  <c r="B350" i="88"/>
  <c r="D511" i="86"/>
  <c r="B511" i="86"/>
  <c r="F518" i="86"/>
  <c r="A521" i="86"/>
  <c r="R514" i="86"/>
  <c r="F514" i="86"/>
  <c r="G515" i="86"/>
  <c r="O514" i="86"/>
  <c r="N514" i="86" s="1"/>
  <c r="M514" i="86"/>
  <c r="O515" i="86"/>
  <c r="N515" i="86" s="1"/>
  <c r="L514" i="86"/>
  <c r="M515" i="86"/>
  <c r="K514" i="86"/>
  <c r="L515" i="86"/>
  <c r="K515" i="86"/>
  <c r="Q514" i="86"/>
  <c r="P514" i="86" s="1"/>
  <c r="Q515" i="86"/>
  <c r="P515" i="86" s="1"/>
  <c r="B354" i="88" l="1"/>
  <c r="O348" i="88"/>
  <c r="U345" i="88"/>
  <c r="T345" i="88"/>
  <c r="S345" i="88" s="1"/>
  <c r="Q344" i="88"/>
  <c r="Q345" i="88"/>
  <c r="O345" i="88"/>
  <c r="M344" i="88" s="1"/>
  <c r="U344" i="88"/>
  <c r="Q346" i="88"/>
  <c r="O346" i="88"/>
  <c r="T344" i="88"/>
  <c r="S344" i="88" s="1"/>
  <c r="D514" i="86"/>
  <c r="B514" i="86"/>
  <c r="F521" i="86"/>
  <c r="A524" i="86"/>
  <c r="K517" i="86"/>
  <c r="L518" i="86"/>
  <c r="F517" i="86"/>
  <c r="K518" i="86"/>
  <c r="G518" i="86"/>
  <c r="R517" i="86"/>
  <c r="Q517" i="86"/>
  <c r="P517" i="86" s="1"/>
  <c r="Q518" i="86"/>
  <c r="P518" i="86" s="1"/>
  <c r="M517" i="86"/>
  <c r="O518" i="86"/>
  <c r="N518" i="86" s="1"/>
  <c r="O517" i="86"/>
  <c r="N517" i="86" s="1"/>
  <c r="L517" i="86"/>
  <c r="M518" i="86"/>
  <c r="T348" i="88" l="1"/>
  <c r="S348" i="88" s="1"/>
  <c r="Q348" i="88"/>
  <c r="U349" i="88"/>
  <c r="Q349" i="88"/>
  <c r="O349" i="88"/>
  <c r="M348" i="88" s="1"/>
  <c r="Q350" i="88"/>
  <c r="O350" i="88"/>
  <c r="U348" i="88"/>
  <c r="T349" i="88"/>
  <c r="S349" i="88" s="1"/>
  <c r="O352" i="88"/>
  <c r="B358" i="88"/>
  <c r="D517" i="86"/>
  <c r="B517" i="86"/>
  <c r="A527" i="86"/>
  <c r="F524" i="86"/>
  <c r="Q521" i="86"/>
  <c r="P521" i="86" s="1"/>
  <c r="O520" i="86"/>
  <c r="N520" i="86" s="1"/>
  <c r="M520" i="86"/>
  <c r="O521" i="86"/>
  <c r="N521" i="86" s="1"/>
  <c r="L520" i="86"/>
  <c r="M521" i="86"/>
  <c r="K520" i="86"/>
  <c r="L521" i="86"/>
  <c r="F520" i="86"/>
  <c r="K521" i="86"/>
  <c r="R520" i="86"/>
  <c r="G521" i="86"/>
  <c r="Q520" i="86"/>
  <c r="P520" i="86" s="1"/>
  <c r="O356" i="88" l="1"/>
  <c r="B362" i="88"/>
  <c r="Q353" i="88"/>
  <c r="O353" i="88"/>
  <c r="M352" i="88" s="1"/>
  <c r="U352" i="88"/>
  <c r="O354" i="88"/>
  <c r="T352" i="88"/>
  <c r="S352" i="88" s="1"/>
  <c r="U353" i="88"/>
  <c r="T353" i="88"/>
  <c r="S353" i="88" s="1"/>
  <c r="Q352" i="88"/>
  <c r="Q354" i="88"/>
  <c r="D520" i="86"/>
  <c r="B520" i="86"/>
  <c r="K524" i="86"/>
  <c r="L524" i="86"/>
  <c r="G524" i="86"/>
  <c r="R523" i="86"/>
  <c r="F523" i="86"/>
  <c r="Q523" i="86"/>
  <c r="P523" i="86" s="1"/>
  <c r="K523" i="86"/>
  <c r="Q524" i="86"/>
  <c r="P524" i="86" s="1"/>
  <c r="L523" i="86"/>
  <c r="O523" i="86"/>
  <c r="N523" i="86" s="1"/>
  <c r="M523" i="86"/>
  <c r="M524" i="86"/>
  <c r="O524" i="86"/>
  <c r="N524" i="86" s="1"/>
  <c r="A530" i="86"/>
  <c r="F527" i="86"/>
  <c r="O360" i="88" l="1"/>
  <c r="A370" i="88"/>
  <c r="Q356" i="88"/>
  <c r="Q357" i="88"/>
  <c r="O357" i="88"/>
  <c r="M356" i="88" s="1"/>
  <c r="Q358" i="88"/>
  <c r="U356" i="88"/>
  <c r="O358" i="88"/>
  <c r="U357" i="88"/>
  <c r="T356" i="88"/>
  <c r="S356" i="88" s="1"/>
  <c r="T357" i="88"/>
  <c r="S357" i="88" s="1"/>
  <c r="O527" i="86"/>
  <c r="N527" i="86" s="1"/>
  <c r="L526" i="86"/>
  <c r="M527" i="86"/>
  <c r="K526" i="86"/>
  <c r="Q526" i="86"/>
  <c r="P526" i="86" s="1"/>
  <c r="L527" i="86"/>
  <c r="F526" i="86"/>
  <c r="K527" i="86"/>
  <c r="G527" i="86"/>
  <c r="Q527" i="86"/>
  <c r="P527" i="86" s="1"/>
  <c r="R526" i="86"/>
  <c r="O526" i="86"/>
  <c r="N526" i="86" s="1"/>
  <c r="M526" i="86"/>
  <c r="D523" i="86"/>
  <c r="B523" i="86"/>
  <c r="F530" i="86"/>
  <c r="A533" i="86"/>
  <c r="E368" i="88" l="1"/>
  <c r="A374" i="88"/>
  <c r="O361" i="88"/>
  <c r="M360" i="88" s="1"/>
  <c r="Q362" i="88"/>
  <c r="O362" i="88"/>
  <c r="Q360" i="88"/>
  <c r="U360" i="88"/>
  <c r="T361" i="88"/>
  <c r="S361" i="88" s="1"/>
  <c r="Q361" i="88"/>
  <c r="T360" i="88"/>
  <c r="S360" i="88" s="1"/>
  <c r="U361" i="88"/>
  <c r="D526" i="86"/>
  <c r="B526" i="86"/>
  <c r="F533" i="86"/>
  <c r="A536" i="86"/>
  <c r="R529" i="86"/>
  <c r="Q529" i="86"/>
  <c r="P529" i="86" s="1"/>
  <c r="K530" i="86"/>
  <c r="Q530" i="86"/>
  <c r="P530" i="86" s="1"/>
  <c r="O529" i="86"/>
  <c r="N529" i="86" s="1"/>
  <c r="L530" i="86"/>
  <c r="M529" i="86"/>
  <c r="O530" i="86"/>
  <c r="N530" i="86" s="1"/>
  <c r="L529" i="86"/>
  <c r="M530" i="86"/>
  <c r="K529" i="86"/>
  <c r="G530" i="86"/>
  <c r="F529" i="86"/>
  <c r="E372" i="88" l="1"/>
  <c r="A378" i="88"/>
  <c r="K369" i="88"/>
  <c r="J368" i="88"/>
  <c r="I368" i="88" s="1"/>
  <c r="J369" i="88"/>
  <c r="I369" i="88" s="1"/>
  <c r="G370" i="88"/>
  <c r="G369" i="88"/>
  <c r="E370" i="88"/>
  <c r="E369" i="88"/>
  <c r="C368" i="88" s="1"/>
  <c r="G368" i="88"/>
  <c r="K368" i="88"/>
  <c r="D529" i="86"/>
  <c r="B529" i="86"/>
  <c r="F536" i="86"/>
  <c r="A539" i="86"/>
  <c r="Q533" i="86"/>
  <c r="P533" i="86" s="1"/>
  <c r="M533" i="86"/>
  <c r="K532" i="86"/>
  <c r="O532" i="86"/>
  <c r="N532" i="86" s="1"/>
  <c r="L533" i="86"/>
  <c r="F532" i="86"/>
  <c r="K533" i="86"/>
  <c r="G533" i="86"/>
  <c r="O533" i="86"/>
  <c r="N533" i="86" s="1"/>
  <c r="R532" i="86"/>
  <c r="M532" i="86"/>
  <c r="Q532" i="86"/>
  <c r="P532" i="86" s="1"/>
  <c r="L532" i="86"/>
  <c r="E376" i="88" l="1"/>
  <c r="A382" i="88"/>
  <c r="K372" i="88"/>
  <c r="K373" i="88"/>
  <c r="J372" i="88"/>
  <c r="I372" i="88" s="1"/>
  <c r="J373" i="88"/>
  <c r="I373" i="88" s="1"/>
  <c r="G372" i="88"/>
  <c r="G374" i="88"/>
  <c r="G373" i="88"/>
  <c r="E374" i="88"/>
  <c r="E373" i="88"/>
  <c r="C372" i="88" s="1"/>
  <c r="D532" i="86"/>
  <c r="B532" i="86"/>
  <c r="F539" i="86"/>
  <c r="A542" i="86"/>
  <c r="Q535" i="86"/>
  <c r="P535" i="86" s="1"/>
  <c r="K536" i="86"/>
  <c r="G536" i="86"/>
  <c r="Q536" i="86"/>
  <c r="P536" i="86" s="1"/>
  <c r="O535" i="86"/>
  <c r="N535" i="86" s="1"/>
  <c r="M535" i="86"/>
  <c r="O536" i="86"/>
  <c r="N536" i="86" s="1"/>
  <c r="L535" i="86"/>
  <c r="R535" i="86"/>
  <c r="M536" i="86"/>
  <c r="K535" i="86"/>
  <c r="L536" i="86"/>
  <c r="F535" i="86"/>
  <c r="E380" i="88" l="1"/>
  <c r="A386" i="88"/>
  <c r="K376" i="88"/>
  <c r="K377" i="88"/>
  <c r="J376" i="88"/>
  <c r="I376" i="88" s="1"/>
  <c r="J377" i="88"/>
  <c r="I377" i="88" s="1"/>
  <c r="G376" i="88"/>
  <c r="G378" i="88"/>
  <c r="G377" i="88"/>
  <c r="E378" i="88"/>
  <c r="E377" i="88"/>
  <c r="C376" i="88" s="1"/>
  <c r="D535" i="86"/>
  <c r="B535" i="86"/>
  <c r="F542" i="86"/>
  <c r="A545" i="86"/>
  <c r="L539" i="86"/>
  <c r="F538" i="86"/>
  <c r="K539" i="86"/>
  <c r="G539" i="86"/>
  <c r="M539" i="86"/>
  <c r="R538" i="86"/>
  <c r="L538" i="86"/>
  <c r="O539" i="86"/>
  <c r="N539" i="86" s="1"/>
  <c r="M538" i="86"/>
  <c r="Q538" i="86"/>
  <c r="P538" i="86" s="1"/>
  <c r="Q539" i="86"/>
  <c r="P539" i="86" s="1"/>
  <c r="O538" i="86"/>
  <c r="N538" i="86" s="1"/>
  <c r="K538" i="86"/>
  <c r="A390" i="88" l="1"/>
  <c r="E384" i="88"/>
  <c r="G382" i="88"/>
  <c r="G381" i="88"/>
  <c r="E382" i="88"/>
  <c r="E381" i="88"/>
  <c r="C380" i="88" s="1"/>
  <c r="K380" i="88"/>
  <c r="K381" i="88"/>
  <c r="J380" i="88"/>
  <c r="I380" i="88" s="1"/>
  <c r="J381" i="88"/>
  <c r="I381" i="88" s="1"/>
  <c r="G380" i="88"/>
  <c r="D538" i="86"/>
  <c r="B538" i="86"/>
  <c r="A548" i="86"/>
  <c r="F545" i="86"/>
  <c r="O542" i="86"/>
  <c r="N542" i="86" s="1"/>
  <c r="L541" i="86"/>
  <c r="M542" i="86"/>
  <c r="K541" i="86"/>
  <c r="O541" i="86"/>
  <c r="N541" i="86" s="1"/>
  <c r="L542" i="86"/>
  <c r="F541" i="86"/>
  <c r="M541" i="86"/>
  <c r="K542" i="86"/>
  <c r="R541" i="86"/>
  <c r="Q541" i="86"/>
  <c r="P541" i="86" s="1"/>
  <c r="G542" i="86"/>
  <c r="Q542" i="86"/>
  <c r="P542" i="86" s="1"/>
  <c r="K384" i="88" l="1"/>
  <c r="K385" i="88"/>
  <c r="J384" i="88"/>
  <c r="I384" i="88" s="1"/>
  <c r="J385" i="88"/>
  <c r="I385" i="88" s="1"/>
  <c r="G384" i="88"/>
  <c r="G386" i="88"/>
  <c r="G385" i="88"/>
  <c r="E386" i="88"/>
  <c r="E385" i="88"/>
  <c r="C384" i="88" s="1"/>
  <c r="A394" i="88"/>
  <c r="E388" i="88"/>
  <c r="D541" i="86"/>
  <c r="B541" i="86"/>
  <c r="R544" i="86"/>
  <c r="M544" i="86"/>
  <c r="G545" i="86"/>
  <c r="F544" i="86"/>
  <c r="O545" i="86"/>
  <c r="N545" i="86" s="1"/>
  <c r="L544" i="86"/>
  <c r="L545" i="86"/>
  <c r="Q544" i="86"/>
  <c r="P544" i="86" s="1"/>
  <c r="M545" i="86"/>
  <c r="K545" i="86"/>
  <c r="K544" i="86"/>
  <c r="Q545" i="86"/>
  <c r="P545" i="86" s="1"/>
  <c r="O544" i="86"/>
  <c r="N544" i="86" s="1"/>
  <c r="F548" i="86"/>
  <c r="A551" i="86"/>
  <c r="K388" i="88" l="1"/>
  <c r="K389" i="88"/>
  <c r="J388" i="88"/>
  <c r="I388" i="88" s="1"/>
  <c r="J389" i="88"/>
  <c r="I389" i="88" s="1"/>
  <c r="G388" i="88"/>
  <c r="G390" i="88"/>
  <c r="G389" i="88"/>
  <c r="E390" i="88"/>
  <c r="E389" i="88"/>
  <c r="C388" i="88" s="1"/>
  <c r="E392" i="88"/>
  <c r="A398" i="88"/>
  <c r="F551" i="86"/>
  <c r="A554" i="86"/>
  <c r="D544" i="86"/>
  <c r="B544" i="86"/>
  <c r="Q548" i="86"/>
  <c r="P548" i="86" s="1"/>
  <c r="Q547" i="86"/>
  <c r="P547" i="86" s="1"/>
  <c r="M548" i="86"/>
  <c r="R547" i="86"/>
  <c r="K547" i="86"/>
  <c r="O547" i="86"/>
  <c r="N547" i="86" s="1"/>
  <c r="L548" i="86"/>
  <c r="F547" i="86"/>
  <c r="K548" i="86"/>
  <c r="G548" i="86"/>
  <c r="M547" i="86"/>
  <c r="O548" i="86"/>
  <c r="N548" i="86" s="1"/>
  <c r="L547" i="86"/>
  <c r="A402" i="88" l="1"/>
  <c r="E396" i="88"/>
  <c r="G394" i="88"/>
  <c r="G393" i="88"/>
  <c r="E394" i="88"/>
  <c r="E393" i="88"/>
  <c r="C392" i="88" s="1"/>
  <c r="K392" i="88"/>
  <c r="K393" i="88"/>
  <c r="J392" i="88"/>
  <c r="I392" i="88" s="1"/>
  <c r="G392" i="88"/>
  <c r="J393" i="88"/>
  <c r="I393" i="88" s="1"/>
  <c r="D547" i="86"/>
  <c r="B547" i="86"/>
  <c r="A557" i="86"/>
  <c r="F554" i="86"/>
  <c r="K551" i="86"/>
  <c r="G551" i="86"/>
  <c r="M550" i="86"/>
  <c r="L551" i="86"/>
  <c r="O551" i="86"/>
  <c r="N551" i="86" s="1"/>
  <c r="O550" i="86"/>
  <c r="N550" i="86" s="1"/>
  <c r="M551" i="86"/>
  <c r="L550" i="86"/>
  <c r="K550" i="86"/>
  <c r="F550" i="86"/>
  <c r="R550" i="86"/>
  <c r="Q551" i="86"/>
  <c r="P551" i="86" s="1"/>
  <c r="Q550" i="86"/>
  <c r="P550" i="86" s="1"/>
  <c r="K396" i="88" l="1"/>
  <c r="K397" i="88"/>
  <c r="J396" i="88"/>
  <c r="I396" i="88" s="1"/>
  <c r="J397" i="88"/>
  <c r="I397" i="88" s="1"/>
  <c r="G396" i="88"/>
  <c r="G398" i="88"/>
  <c r="G397" i="88"/>
  <c r="E398" i="88"/>
  <c r="E397" i="88"/>
  <c r="C396" i="88" s="1"/>
  <c r="A406" i="88"/>
  <c r="E400" i="88"/>
  <c r="D550" i="86"/>
  <c r="B550" i="86"/>
  <c r="O554" i="86"/>
  <c r="N554" i="86" s="1"/>
  <c r="L553" i="86"/>
  <c r="O553" i="86"/>
  <c r="N553" i="86" s="1"/>
  <c r="M554" i="86"/>
  <c r="K553" i="86"/>
  <c r="L554" i="86"/>
  <c r="F553" i="86"/>
  <c r="K554" i="86"/>
  <c r="G554" i="86"/>
  <c r="R553" i="86"/>
  <c r="M553" i="86"/>
  <c r="Q554" i="86"/>
  <c r="P554" i="86" s="1"/>
  <c r="Q553" i="86"/>
  <c r="P553" i="86" s="1"/>
  <c r="A560" i="86"/>
  <c r="F557" i="86"/>
  <c r="E404" i="88" l="1"/>
  <c r="A410" i="88"/>
  <c r="K400" i="88"/>
  <c r="K401" i="88"/>
  <c r="J400" i="88"/>
  <c r="I400" i="88" s="1"/>
  <c r="J401" i="88"/>
  <c r="I401" i="88" s="1"/>
  <c r="G400" i="88"/>
  <c r="G402" i="88"/>
  <c r="G401" i="88"/>
  <c r="E402" i="88"/>
  <c r="E401" i="88"/>
  <c r="C400" i="88" s="1"/>
  <c r="D553" i="86"/>
  <c r="B553" i="86"/>
  <c r="O556" i="86"/>
  <c r="N556" i="86" s="1"/>
  <c r="K557" i="86"/>
  <c r="M556" i="86"/>
  <c r="O557" i="86"/>
  <c r="N557" i="86" s="1"/>
  <c r="L556" i="86"/>
  <c r="M557" i="86"/>
  <c r="K556" i="86"/>
  <c r="L557" i="86"/>
  <c r="F556" i="86"/>
  <c r="G557" i="86"/>
  <c r="R556" i="86"/>
  <c r="Q557" i="86"/>
  <c r="P557" i="86" s="1"/>
  <c r="Q556" i="86"/>
  <c r="P556" i="86" s="1"/>
  <c r="F560" i="86"/>
  <c r="A563" i="86"/>
  <c r="A414" i="88" l="1"/>
  <c r="E408" i="88"/>
  <c r="G406" i="88"/>
  <c r="G405" i="88"/>
  <c r="G404" i="88"/>
  <c r="E406" i="88"/>
  <c r="E405" i="88"/>
  <c r="C404" i="88" s="1"/>
  <c r="K404" i="88"/>
  <c r="K405" i="88"/>
  <c r="J404" i="88"/>
  <c r="I404" i="88" s="1"/>
  <c r="J405" i="88"/>
  <c r="I405" i="88" s="1"/>
  <c r="D556" i="86"/>
  <c r="B556" i="86"/>
  <c r="A566" i="86"/>
  <c r="F563" i="86"/>
  <c r="O559" i="86"/>
  <c r="N559" i="86" s="1"/>
  <c r="M559" i="86"/>
  <c r="R559" i="86"/>
  <c r="Q559" i="86"/>
  <c r="P559" i="86" s="1"/>
  <c r="O560" i="86"/>
  <c r="N560" i="86" s="1"/>
  <c r="Q560" i="86"/>
  <c r="P560" i="86" s="1"/>
  <c r="L559" i="86"/>
  <c r="M560" i="86"/>
  <c r="K559" i="86"/>
  <c r="K560" i="86"/>
  <c r="L560" i="86"/>
  <c r="F559" i="86"/>
  <c r="G560" i="86"/>
  <c r="K408" i="88" l="1"/>
  <c r="K409" i="88"/>
  <c r="J408" i="88"/>
  <c r="I408" i="88" s="1"/>
  <c r="J409" i="88"/>
  <c r="I409" i="88" s="1"/>
  <c r="G408" i="88"/>
  <c r="G410" i="88"/>
  <c r="G409" i="88"/>
  <c r="E410" i="88"/>
  <c r="E409" i="88"/>
  <c r="C408" i="88" s="1"/>
  <c r="E412" i="88"/>
  <c r="A418" i="88"/>
  <c r="D559" i="86"/>
  <c r="B559" i="86"/>
  <c r="L562" i="86"/>
  <c r="M563" i="86"/>
  <c r="K562" i="86"/>
  <c r="L563" i="86"/>
  <c r="F562" i="86"/>
  <c r="K563" i="86"/>
  <c r="R562" i="86"/>
  <c r="G563" i="86"/>
  <c r="Q562" i="86"/>
  <c r="P562" i="86" s="1"/>
  <c r="Q563" i="86"/>
  <c r="P563" i="86" s="1"/>
  <c r="O562" i="86"/>
  <c r="N562" i="86" s="1"/>
  <c r="M562" i="86"/>
  <c r="O563" i="86"/>
  <c r="N563" i="86" s="1"/>
  <c r="F566" i="86"/>
  <c r="A569" i="86"/>
  <c r="E416" i="88" l="1"/>
  <c r="B370" i="88"/>
  <c r="K412" i="88"/>
  <c r="K413" i="88"/>
  <c r="J412" i="88"/>
  <c r="I412" i="88" s="1"/>
  <c r="J413" i="88"/>
  <c r="I413" i="88" s="1"/>
  <c r="G412" i="88"/>
  <c r="G414" i="88"/>
  <c r="G413" i="88"/>
  <c r="E414" i="88"/>
  <c r="E413" i="88"/>
  <c r="C412" i="88" s="1"/>
  <c r="D562" i="86"/>
  <c r="B562" i="86"/>
  <c r="A572" i="86"/>
  <c r="F569" i="86"/>
  <c r="Q565" i="86"/>
  <c r="P565" i="86" s="1"/>
  <c r="Q566" i="86"/>
  <c r="P566" i="86" s="1"/>
  <c r="O565" i="86"/>
  <c r="N565" i="86" s="1"/>
  <c r="K565" i="86"/>
  <c r="M565" i="86"/>
  <c r="O566" i="86"/>
  <c r="N566" i="86" s="1"/>
  <c r="M566" i="86"/>
  <c r="R565" i="86"/>
  <c r="L566" i="86"/>
  <c r="L565" i="86"/>
  <c r="F565" i="86"/>
  <c r="K566" i="86"/>
  <c r="G566" i="86"/>
  <c r="O368" i="88" l="1"/>
  <c r="B374" i="88"/>
  <c r="G418" i="88"/>
  <c r="E418" i="88"/>
  <c r="K417" i="88"/>
  <c r="J417" i="88"/>
  <c r="I417" i="88" s="1"/>
  <c r="G417" i="88"/>
  <c r="E417" i="88"/>
  <c r="C416" i="88" s="1"/>
  <c r="K416" i="88"/>
  <c r="J416" i="88"/>
  <c r="I416" i="88" s="1"/>
  <c r="G416" i="88"/>
  <c r="D565" i="86"/>
  <c r="B565" i="86"/>
  <c r="L569" i="86"/>
  <c r="F568" i="86"/>
  <c r="K569" i="86"/>
  <c r="Q568" i="86"/>
  <c r="P568" i="86" s="1"/>
  <c r="O569" i="86"/>
  <c r="N569" i="86" s="1"/>
  <c r="G569" i="86"/>
  <c r="Q569" i="86"/>
  <c r="P569" i="86" s="1"/>
  <c r="R568" i="86"/>
  <c r="O568" i="86"/>
  <c r="N568" i="86" s="1"/>
  <c r="M568" i="86"/>
  <c r="L568" i="86"/>
  <c r="M569" i="86"/>
  <c r="K568" i="86"/>
  <c r="F572" i="86"/>
  <c r="A575" i="86"/>
  <c r="O372" i="88" l="1"/>
  <c r="B378" i="88"/>
  <c r="U368" i="88"/>
  <c r="T368" i="88"/>
  <c r="S368" i="88" s="1"/>
  <c r="U369" i="88"/>
  <c r="T369" i="88"/>
  <c r="S369" i="88" s="1"/>
  <c r="Q368" i="88"/>
  <c r="Q369" i="88"/>
  <c r="O369" i="88"/>
  <c r="M368" i="88" s="1"/>
  <c r="O370" i="88"/>
  <c r="Q370" i="88"/>
  <c r="D568" i="86"/>
  <c r="B568" i="86"/>
  <c r="A578" i="86"/>
  <c r="F575" i="86"/>
  <c r="M571" i="86"/>
  <c r="K572" i="86"/>
  <c r="O572" i="86"/>
  <c r="N572" i="86" s="1"/>
  <c r="L571" i="86"/>
  <c r="M572" i="86"/>
  <c r="K571" i="86"/>
  <c r="Q571" i="86"/>
  <c r="P571" i="86" s="1"/>
  <c r="Q572" i="86"/>
  <c r="P572" i="86" s="1"/>
  <c r="L572" i="86"/>
  <c r="G572" i="86"/>
  <c r="F571" i="86"/>
  <c r="R571" i="86"/>
  <c r="O571" i="86"/>
  <c r="N571" i="86" s="1"/>
  <c r="B382" i="88" l="1"/>
  <c r="O376" i="88"/>
  <c r="U373" i="88"/>
  <c r="T373" i="88"/>
  <c r="S373" i="88" s="1"/>
  <c r="Q372" i="88"/>
  <c r="Q373" i="88"/>
  <c r="O373" i="88"/>
  <c r="M372" i="88" s="1"/>
  <c r="Q374" i="88"/>
  <c r="O374" i="88"/>
  <c r="T372" i="88"/>
  <c r="S372" i="88" s="1"/>
  <c r="U372" i="88"/>
  <c r="D571" i="86"/>
  <c r="B571" i="86"/>
  <c r="K575" i="86"/>
  <c r="O574" i="86"/>
  <c r="N574" i="86" s="1"/>
  <c r="G575" i="86"/>
  <c r="R574" i="86"/>
  <c r="L575" i="86"/>
  <c r="Q574" i="86"/>
  <c r="P574" i="86" s="1"/>
  <c r="M574" i="86"/>
  <c r="Q575" i="86"/>
  <c r="P575" i="86" s="1"/>
  <c r="O575" i="86"/>
  <c r="N575" i="86" s="1"/>
  <c r="L574" i="86"/>
  <c r="M575" i="86"/>
  <c r="K574" i="86"/>
  <c r="F574" i="86"/>
  <c r="A581" i="86"/>
  <c r="F578" i="86"/>
  <c r="O377" i="88" l="1"/>
  <c r="M376" i="88" s="1"/>
  <c r="Q377" i="88"/>
  <c r="Q378" i="88"/>
  <c r="O378" i="88"/>
  <c r="U376" i="88"/>
  <c r="T376" i="88"/>
  <c r="S376" i="88" s="1"/>
  <c r="U377" i="88"/>
  <c r="T377" i="88"/>
  <c r="S377" i="88" s="1"/>
  <c r="Q376" i="88"/>
  <c r="O380" i="88"/>
  <c r="B386" i="88"/>
  <c r="M578" i="86"/>
  <c r="K577" i="86"/>
  <c r="O578" i="86"/>
  <c r="N578" i="86" s="1"/>
  <c r="L578" i="86"/>
  <c r="F577" i="86"/>
  <c r="K578" i="86"/>
  <c r="R577" i="86"/>
  <c r="G578" i="86"/>
  <c r="Q577" i="86"/>
  <c r="P577" i="86" s="1"/>
  <c r="L577" i="86"/>
  <c r="Q578" i="86"/>
  <c r="P578" i="86" s="1"/>
  <c r="O577" i="86"/>
  <c r="N577" i="86" s="1"/>
  <c r="M577" i="86"/>
  <c r="D574" i="86"/>
  <c r="B574" i="86"/>
  <c r="F581" i="86"/>
  <c r="A584" i="86"/>
  <c r="O384" i="88" l="1"/>
  <c r="B390" i="88"/>
  <c r="U380" i="88"/>
  <c r="T380" i="88"/>
  <c r="S380" i="88" s="1"/>
  <c r="U381" i="88"/>
  <c r="T381" i="88"/>
  <c r="S381" i="88" s="1"/>
  <c r="Q380" i="88"/>
  <c r="Q381" i="88"/>
  <c r="O381" i="88"/>
  <c r="M380" i="88" s="1"/>
  <c r="O382" i="88"/>
  <c r="Q382" i="88"/>
  <c r="D577" i="86"/>
  <c r="B577" i="86"/>
  <c r="A587" i="86"/>
  <c r="F584" i="86"/>
  <c r="O581" i="86"/>
  <c r="N581" i="86" s="1"/>
  <c r="K581" i="86"/>
  <c r="Q580" i="86"/>
  <c r="P580" i="86" s="1"/>
  <c r="L580" i="86"/>
  <c r="Q581" i="86"/>
  <c r="P581" i="86" s="1"/>
  <c r="O580" i="86"/>
  <c r="N580" i="86" s="1"/>
  <c r="G581" i="86"/>
  <c r="M581" i="86"/>
  <c r="M580" i="86"/>
  <c r="K580" i="86"/>
  <c r="L581" i="86"/>
  <c r="F580" i="86"/>
  <c r="R580" i="86"/>
  <c r="B394" i="88" l="1"/>
  <c r="O388" i="88"/>
  <c r="U385" i="88"/>
  <c r="T385" i="88"/>
  <c r="S385" i="88" s="1"/>
  <c r="Q384" i="88"/>
  <c r="Q385" i="88"/>
  <c r="O385" i="88"/>
  <c r="M384" i="88" s="1"/>
  <c r="T384" i="88"/>
  <c r="S384" i="88" s="1"/>
  <c r="Q386" i="88"/>
  <c r="O386" i="88"/>
  <c r="U384" i="88"/>
  <c r="D580" i="86"/>
  <c r="B580" i="86"/>
  <c r="K583" i="86"/>
  <c r="L584" i="86"/>
  <c r="F583" i="86"/>
  <c r="L583" i="86"/>
  <c r="M584" i="86"/>
  <c r="K584" i="86"/>
  <c r="Q583" i="86"/>
  <c r="P583" i="86" s="1"/>
  <c r="G584" i="86"/>
  <c r="Q584" i="86"/>
  <c r="P584" i="86" s="1"/>
  <c r="O583" i="86"/>
  <c r="N583" i="86" s="1"/>
  <c r="R583" i="86"/>
  <c r="M583" i="86"/>
  <c r="O584" i="86"/>
  <c r="N584" i="86" s="1"/>
  <c r="F587" i="86"/>
  <c r="A590" i="86"/>
  <c r="O389" i="88" l="1"/>
  <c r="M388" i="88" s="1"/>
  <c r="Q390" i="88"/>
  <c r="O390" i="88"/>
  <c r="Q389" i="88"/>
  <c r="U388" i="88"/>
  <c r="T388" i="88"/>
  <c r="S388" i="88" s="1"/>
  <c r="U389" i="88"/>
  <c r="T389" i="88"/>
  <c r="S389" i="88" s="1"/>
  <c r="Q388" i="88"/>
  <c r="O392" i="88"/>
  <c r="B398" i="88"/>
  <c r="D583" i="86"/>
  <c r="B583" i="86"/>
  <c r="F590" i="86"/>
  <c r="A593" i="86"/>
  <c r="Q587" i="86"/>
  <c r="P587" i="86" s="1"/>
  <c r="L586" i="86"/>
  <c r="Q586" i="86"/>
  <c r="P586" i="86" s="1"/>
  <c r="M587" i="86"/>
  <c r="K587" i="86"/>
  <c r="K586" i="86"/>
  <c r="L587" i="86"/>
  <c r="O586" i="86"/>
  <c r="N586" i="86" s="1"/>
  <c r="M586" i="86"/>
  <c r="G587" i="86"/>
  <c r="R586" i="86"/>
  <c r="F586" i="86"/>
  <c r="O587" i="86"/>
  <c r="N587" i="86" s="1"/>
  <c r="O396" i="88" l="1"/>
  <c r="B402" i="88"/>
  <c r="U392" i="88"/>
  <c r="T392" i="88"/>
  <c r="S392" i="88" s="1"/>
  <c r="U393" i="88"/>
  <c r="T393" i="88"/>
  <c r="S393" i="88" s="1"/>
  <c r="Q392" i="88"/>
  <c r="Q393" i="88"/>
  <c r="O393" i="88"/>
  <c r="M392" i="88" s="1"/>
  <c r="Q394" i="88"/>
  <c r="O394" i="88"/>
  <c r="D586" i="86"/>
  <c r="B586" i="86"/>
  <c r="F593" i="86"/>
  <c r="A596" i="86"/>
  <c r="O590" i="86"/>
  <c r="N590" i="86" s="1"/>
  <c r="F589" i="86"/>
  <c r="K590" i="86"/>
  <c r="M589" i="86"/>
  <c r="L589" i="86"/>
  <c r="G590" i="86"/>
  <c r="R589" i="86"/>
  <c r="Q590" i="86"/>
  <c r="P590" i="86" s="1"/>
  <c r="Q589" i="86"/>
  <c r="P589" i="86" s="1"/>
  <c r="O589" i="86"/>
  <c r="N589" i="86" s="1"/>
  <c r="M590" i="86"/>
  <c r="L590" i="86"/>
  <c r="K589" i="86"/>
  <c r="B406" i="88" l="1"/>
  <c r="O400" i="88"/>
  <c r="U397" i="88"/>
  <c r="T397" i="88"/>
  <c r="S397" i="88" s="1"/>
  <c r="Q396" i="88"/>
  <c r="Q397" i="88"/>
  <c r="O397" i="88"/>
  <c r="M396" i="88" s="1"/>
  <c r="Q398" i="88"/>
  <c r="O398" i="88"/>
  <c r="U396" i="88"/>
  <c r="T396" i="88"/>
  <c r="S396" i="88" s="1"/>
  <c r="D589" i="86"/>
  <c r="B589" i="86"/>
  <c r="A599" i="86"/>
  <c r="F596" i="86"/>
  <c r="L593" i="86"/>
  <c r="O592" i="86"/>
  <c r="N592" i="86" s="1"/>
  <c r="K593" i="86"/>
  <c r="M593" i="86"/>
  <c r="K592" i="86"/>
  <c r="G593" i="86"/>
  <c r="F592" i="86"/>
  <c r="M592" i="86"/>
  <c r="O593" i="86"/>
  <c r="N593" i="86" s="1"/>
  <c r="L592" i="86"/>
  <c r="R592" i="86"/>
  <c r="Q593" i="86"/>
  <c r="P593" i="86" s="1"/>
  <c r="Q592" i="86"/>
  <c r="P592" i="86" s="1"/>
  <c r="T400" i="88" l="1"/>
  <c r="S400" i="88" s="1"/>
  <c r="U401" i="88"/>
  <c r="T401" i="88"/>
  <c r="S401" i="88" s="1"/>
  <c r="Q400" i="88"/>
  <c r="Q401" i="88"/>
  <c r="O401" i="88"/>
  <c r="M400" i="88" s="1"/>
  <c r="Q402" i="88"/>
  <c r="O402" i="88"/>
  <c r="U400" i="88"/>
  <c r="O404" i="88"/>
  <c r="B410" i="88"/>
  <c r="D592" i="86"/>
  <c r="B592" i="86"/>
  <c r="L595" i="86"/>
  <c r="M596" i="86"/>
  <c r="K595" i="86"/>
  <c r="L596" i="86"/>
  <c r="F595" i="86"/>
  <c r="K596" i="86"/>
  <c r="G596" i="86"/>
  <c r="R595" i="86"/>
  <c r="M595" i="86"/>
  <c r="O595" i="86"/>
  <c r="N595" i="86" s="1"/>
  <c r="O596" i="86"/>
  <c r="N596" i="86" s="1"/>
  <c r="Q596" i="86"/>
  <c r="P596" i="86" s="1"/>
  <c r="Q595" i="86"/>
  <c r="P595" i="86" s="1"/>
  <c r="F599" i="86"/>
  <c r="A602" i="86"/>
  <c r="O408" i="88" l="1"/>
  <c r="B414" i="88"/>
  <c r="O406" i="88"/>
  <c r="O405" i="88"/>
  <c r="M404" i="88" s="1"/>
  <c r="Q406" i="88"/>
  <c r="U404" i="88"/>
  <c r="T404" i="88"/>
  <c r="S404" i="88" s="1"/>
  <c r="U405" i="88"/>
  <c r="T405" i="88"/>
  <c r="S405" i="88" s="1"/>
  <c r="Q404" i="88"/>
  <c r="Q405" i="88"/>
  <c r="D595" i="86"/>
  <c r="B595" i="86"/>
  <c r="F602" i="86"/>
  <c r="A605" i="86"/>
  <c r="M598" i="86"/>
  <c r="O599" i="86"/>
  <c r="N599" i="86" s="1"/>
  <c r="L598" i="86"/>
  <c r="G599" i="86"/>
  <c r="M599" i="86"/>
  <c r="K598" i="86"/>
  <c r="K599" i="86"/>
  <c r="L599" i="86"/>
  <c r="F598" i="86"/>
  <c r="R598" i="86"/>
  <c r="O598" i="86"/>
  <c r="N598" i="86" s="1"/>
  <c r="Q599" i="86"/>
  <c r="P599" i="86" s="1"/>
  <c r="Q598" i="86"/>
  <c r="P598" i="86" s="1"/>
  <c r="O412" i="88" l="1"/>
  <c r="A422" i="88"/>
  <c r="U409" i="88"/>
  <c r="T409" i="88"/>
  <c r="S409" i="88" s="1"/>
  <c r="Q408" i="88"/>
  <c r="Q409" i="88"/>
  <c r="O409" i="88"/>
  <c r="M408" i="88" s="1"/>
  <c r="T408" i="88"/>
  <c r="S408" i="88" s="1"/>
  <c r="Q410" i="88"/>
  <c r="O410" i="88"/>
  <c r="U408" i="88"/>
  <c r="Q602" i="86"/>
  <c r="P602" i="86" s="1"/>
  <c r="Q601" i="86"/>
  <c r="P601" i="86" s="1"/>
  <c r="O602" i="86"/>
  <c r="N602" i="86" s="1"/>
  <c r="O601" i="86"/>
  <c r="N601" i="86" s="1"/>
  <c r="L601" i="86"/>
  <c r="M602" i="86"/>
  <c r="K601" i="86"/>
  <c r="M601" i="86"/>
  <c r="L602" i="86"/>
  <c r="G602" i="86"/>
  <c r="F601" i="86"/>
  <c r="K602" i="86"/>
  <c r="R601" i="86"/>
  <c r="D598" i="86"/>
  <c r="B598" i="86"/>
  <c r="A608" i="86"/>
  <c r="F605" i="86"/>
  <c r="E420" i="88" l="1"/>
  <c r="A426" i="88"/>
  <c r="Q413" i="88"/>
  <c r="T413" i="88"/>
  <c r="S413" i="88" s="1"/>
  <c r="Q412" i="88"/>
  <c r="O413" i="88"/>
  <c r="M412" i="88" s="1"/>
  <c r="Q414" i="88"/>
  <c r="O414" i="88"/>
  <c r="U412" i="88"/>
  <c r="T412" i="88"/>
  <c r="S412" i="88" s="1"/>
  <c r="U413" i="88"/>
  <c r="D601" i="86"/>
  <c r="B601" i="86"/>
  <c r="K605" i="86"/>
  <c r="R604" i="86"/>
  <c r="G605" i="86"/>
  <c r="Q604" i="86"/>
  <c r="P604" i="86" s="1"/>
  <c r="Q605" i="86"/>
  <c r="P605" i="86" s="1"/>
  <c r="O604" i="86"/>
  <c r="N604" i="86" s="1"/>
  <c r="M604" i="86"/>
  <c r="O605" i="86"/>
  <c r="N605" i="86" s="1"/>
  <c r="L604" i="86"/>
  <c r="M605" i="86"/>
  <c r="K604" i="86"/>
  <c r="L605" i="86"/>
  <c r="F604" i="86"/>
  <c r="F608" i="86"/>
  <c r="A611" i="86"/>
  <c r="E424" i="88" l="1"/>
  <c r="A430" i="88"/>
  <c r="E421" i="88"/>
  <c r="C420" i="88" s="1"/>
  <c r="K420" i="88"/>
  <c r="K421" i="88"/>
  <c r="J420" i="88"/>
  <c r="I420" i="88" s="1"/>
  <c r="J421" i="88"/>
  <c r="I421" i="88" s="1"/>
  <c r="G422" i="88"/>
  <c r="G421" i="88"/>
  <c r="G420" i="88"/>
  <c r="E422" i="88"/>
  <c r="A614" i="86"/>
  <c r="F611" i="86"/>
  <c r="D604" i="86"/>
  <c r="B604" i="86"/>
  <c r="O607" i="86"/>
  <c r="N607" i="86" s="1"/>
  <c r="L607" i="86"/>
  <c r="M608" i="86"/>
  <c r="Q608" i="86"/>
  <c r="P608" i="86" s="1"/>
  <c r="L608" i="86"/>
  <c r="M607" i="86"/>
  <c r="F607" i="86"/>
  <c r="K607" i="86"/>
  <c r="K608" i="86"/>
  <c r="G608" i="86"/>
  <c r="O608" i="86"/>
  <c r="N608" i="86" s="1"/>
  <c r="R607" i="86"/>
  <c r="Q607" i="86"/>
  <c r="P607" i="86" s="1"/>
  <c r="A434" i="88" l="1"/>
  <c r="E428" i="88"/>
  <c r="E425" i="88"/>
  <c r="C424" i="88" s="1"/>
  <c r="G425" i="88"/>
  <c r="K424" i="88"/>
  <c r="E426" i="88"/>
  <c r="K425" i="88"/>
  <c r="J424" i="88"/>
  <c r="I424" i="88" s="1"/>
  <c r="J425" i="88"/>
  <c r="I425" i="88" s="1"/>
  <c r="G424" i="88"/>
  <c r="G426" i="88"/>
  <c r="D607" i="86"/>
  <c r="B607" i="86"/>
  <c r="G611" i="86"/>
  <c r="Q611" i="86"/>
  <c r="P611" i="86" s="1"/>
  <c r="R610" i="86"/>
  <c r="O610" i="86"/>
  <c r="N610" i="86" s="1"/>
  <c r="M610" i="86"/>
  <c r="O611" i="86"/>
  <c r="N611" i="86" s="1"/>
  <c r="L610" i="86"/>
  <c r="M611" i="86"/>
  <c r="Q610" i="86"/>
  <c r="P610" i="86" s="1"/>
  <c r="K610" i="86"/>
  <c r="L611" i="86"/>
  <c r="F610" i="86"/>
  <c r="K611" i="86"/>
  <c r="F614" i="86"/>
  <c r="A617" i="86"/>
  <c r="K428" i="88" l="1"/>
  <c r="K429" i="88"/>
  <c r="J428" i="88"/>
  <c r="I428" i="88" s="1"/>
  <c r="J429" i="88"/>
  <c r="I429" i="88" s="1"/>
  <c r="G428" i="88"/>
  <c r="G430" i="88"/>
  <c r="G429" i="88"/>
  <c r="E430" i="88"/>
  <c r="E429" i="88"/>
  <c r="C428" i="88" s="1"/>
  <c r="A438" i="88"/>
  <c r="E432" i="88"/>
  <c r="A620" i="86"/>
  <c r="F617" i="86"/>
  <c r="M614" i="86"/>
  <c r="K613" i="86"/>
  <c r="M613" i="86"/>
  <c r="L614" i="86"/>
  <c r="G614" i="86"/>
  <c r="F613" i="86"/>
  <c r="K614" i="86"/>
  <c r="R613" i="86"/>
  <c r="Q613" i="86"/>
  <c r="P613" i="86" s="1"/>
  <c r="Q614" i="86"/>
  <c r="P614" i="86" s="1"/>
  <c r="O613" i="86"/>
  <c r="N613" i="86" s="1"/>
  <c r="L613" i="86"/>
  <c r="O614" i="86"/>
  <c r="N614" i="86" s="1"/>
  <c r="D610" i="86"/>
  <c r="B610" i="86"/>
  <c r="G432" i="88" l="1"/>
  <c r="G434" i="88"/>
  <c r="G433" i="88"/>
  <c r="E434" i="88"/>
  <c r="E433" i="88"/>
  <c r="C432" i="88" s="1"/>
  <c r="K432" i="88"/>
  <c r="K433" i="88"/>
  <c r="J432" i="88"/>
  <c r="I432" i="88" s="1"/>
  <c r="J433" i="88"/>
  <c r="I433" i="88" s="1"/>
  <c r="E436" i="88"/>
  <c r="A442" i="88"/>
  <c r="D613" i="86"/>
  <c r="B613" i="86"/>
  <c r="Q616" i="86"/>
  <c r="P616" i="86" s="1"/>
  <c r="M616" i="86"/>
  <c r="O616" i="86"/>
  <c r="N616" i="86" s="1"/>
  <c r="Q617" i="86"/>
  <c r="P617" i="86" s="1"/>
  <c r="G617" i="86"/>
  <c r="O617" i="86"/>
  <c r="N617" i="86" s="1"/>
  <c r="L616" i="86"/>
  <c r="M617" i="86"/>
  <c r="K616" i="86"/>
  <c r="L617" i="86"/>
  <c r="F616" i="86"/>
  <c r="K617" i="86"/>
  <c r="R616" i="86"/>
  <c r="A623" i="86"/>
  <c r="F620" i="86"/>
  <c r="A446" i="88" l="1"/>
  <c r="E440" i="88"/>
  <c r="E437" i="88"/>
  <c r="C436" i="88" s="1"/>
  <c r="G437" i="88"/>
  <c r="G438" i="88"/>
  <c r="K436" i="88"/>
  <c r="K437" i="88"/>
  <c r="J436" i="88"/>
  <c r="I436" i="88" s="1"/>
  <c r="J437" i="88"/>
  <c r="I437" i="88" s="1"/>
  <c r="G436" i="88"/>
  <c r="E438" i="88"/>
  <c r="D616" i="86"/>
  <c r="B616" i="86"/>
  <c r="K620" i="86"/>
  <c r="R619" i="86"/>
  <c r="G620" i="86"/>
  <c r="F619" i="86"/>
  <c r="Q619" i="86"/>
  <c r="P619" i="86" s="1"/>
  <c r="Q620" i="86"/>
  <c r="P620" i="86" s="1"/>
  <c r="O619" i="86"/>
  <c r="N619" i="86" s="1"/>
  <c r="M619" i="86"/>
  <c r="O620" i="86"/>
  <c r="N620" i="86" s="1"/>
  <c r="L620" i="86"/>
  <c r="L619" i="86"/>
  <c r="M620" i="86"/>
  <c r="K619" i="86"/>
  <c r="F623" i="86"/>
  <c r="A626" i="86"/>
  <c r="K440" i="88" l="1"/>
  <c r="K441" i="88"/>
  <c r="J440" i="88"/>
  <c r="I440" i="88" s="1"/>
  <c r="J441" i="88"/>
  <c r="I441" i="88" s="1"/>
  <c r="G440" i="88"/>
  <c r="G442" i="88"/>
  <c r="G441" i="88"/>
  <c r="E442" i="88"/>
  <c r="E441" i="88"/>
  <c r="C440" i="88" s="1"/>
  <c r="A450" i="88"/>
  <c r="E444" i="88"/>
  <c r="F626" i="86"/>
  <c r="A629" i="86"/>
  <c r="D619" i="86"/>
  <c r="B619" i="86"/>
  <c r="O622" i="86"/>
  <c r="N622" i="86" s="1"/>
  <c r="M623" i="86"/>
  <c r="M622" i="86"/>
  <c r="K622" i="86"/>
  <c r="L623" i="86"/>
  <c r="F622" i="86"/>
  <c r="K623" i="86"/>
  <c r="L622" i="86"/>
  <c r="G623" i="86"/>
  <c r="O623" i="86"/>
  <c r="N623" i="86" s="1"/>
  <c r="R622" i="86"/>
  <c r="Q622" i="86"/>
  <c r="P622" i="86" s="1"/>
  <c r="Q623" i="86"/>
  <c r="P623" i="86" s="1"/>
  <c r="J445" i="88" l="1"/>
  <c r="I445" i="88" s="1"/>
  <c r="G446" i="88"/>
  <c r="G445" i="88"/>
  <c r="E446" i="88"/>
  <c r="E445" i="88"/>
  <c r="C444" i="88" s="1"/>
  <c r="K444" i="88"/>
  <c r="K445" i="88"/>
  <c r="J444" i="88"/>
  <c r="I444" i="88" s="1"/>
  <c r="G444" i="88"/>
  <c r="A454" i="88"/>
  <c r="E448" i="88"/>
  <c r="F629" i="86"/>
  <c r="A632" i="86"/>
  <c r="D622" i="86"/>
  <c r="B622" i="86"/>
  <c r="Q625" i="86"/>
  <c r="P625" i="86" s="1"/>
  <c r="G626" i="86"/>
  <c r="Q626" i="86"/>
  <c r="P626" i="86" s="1"/>
  <c r="O625" i="86"/>
  <c r="N625" i="86" s="1"/>
  <c r="F625" i="86"/>
  <c r="M625" i="86"/>
  <c r="O626" i="86"/>
  <c r="N626" i="86" s="1"/>
  <c r="L625" i="86"/>
  <c r="K626" i="86"/>
  <c r="R625" i="86"/>
  <c r="M626" i="86"/>
  <c r="K625" i="86"/>
  <c r="L626" i="86"/>
  <c r="K448" i="88" l="1"/>
  <c r="G450" i="88"/>
  <c r="K449" i="88"/>
  <c r="J448" i="88"/>
  <c r="I448" i="88" s="1"/>
  <c r="G449" i="88"/>
  <c r="J449" i="88"/>
  <c r="I449" i="88" s="1"/>
  <c r="G448" i="88"/>
  <c r="E450" i="88"/>
  <c r="E449" i="88"/>
  <c r="C448" i="88" s="1"/>
  <c r="E452" i="88"/>
  <c r="A458" i="88"/>
  <c r="D625" i="86"/>
  <c r="B625" i="86"/>
  <c r="F632" i="86"/>
  <c r="A635" i="86"/>
  <c r="O628" i="86"/>
  <c r="N628" i="86" s="1"/>
  <c r="K629" i="86"/>
  <c r="K628" i="86"/>
  <c r="Q629" i="86"/>
  <c r="P629" i="86" s="1"/>
  <c r="G629" i="86"/>
  <c r="M628" i="86"/>
  <c r="F628" i="86"/>
  <c r="R628" i="86"/>
  <c r="O629" i="86"/>
  <c r="N629" i="86" s="1"/>
  <c r="Q628" i="86"/>
  <c r="P628" i="86" s="1"/>
  <c r="L629" i="86"/>
  <c r="L628" i="86"/>
  <c r="M629" i="86"/>
  <c r="A462" i="88" l="1"/>
  <c r="E456" i="88"/>
  <c r="K452" i="88"/>
  <c r="K453" i="88"/>
  <c r="J452" i="88"/>
  <c r="I452" i="88" s="1"/>
  <c r="J453" i="88"/>
  <c r="I453" i="88" s="1"/>
  <c r="G452" i="88"/>
  <c r="G454" i="88"/>
  <c r="G453" i="88"/>
  <c r="E454" i="88"/>
  <c r="E453" i="88"/>
  <c r="C452" i="88" s="1"/>
  <c r="D628" i="86"/>
  <c r="B628" i="86"/>
  <c r="F635" i="86"/>
  <c r="A638" i="86"/>
  <c r="K631" i="86"/>
  <c r="R631" i="86"/>
  <c r="M632" i="86"/>
  <c r="Q632" i="86"/>
  <c r="P632" i="86" s="1"/>
  <c r="Q631" i="86"/>
  <c r="P631" i="86" s="1"/>
  <c r="O631" i="86"/>
  <c r="N631" i="86" s="1"/>
  <c r="M631" i="86"/>
  <c r="L632" i="86"/>
  <c r="O632" i="86"/>
  <c r="N632" i="86" s="1"/>
  <c r="L631" i="86"/>
  <c r="F631" i="86"/>
  <c r="K632" i="86"/>
  <c r="G632" i="86"/>
  <c r="G456" i="88" l="1"/>
  <c r="G458" i="88"/>
  <c r="G457" i="88"/>
  <c r="E458" i="88"/>
  <c r="E457" i="88"/>
  <c r="C456" i="88" s="1"/>
  <c r="K456" i="88"/>
  <c r="K457" i="88"/>
  <c r="J456" i="88"/>
  <c r="I456" i="88" s="1"/>
  <c r="J457" i="88"/>
  <c r="I457" i="88" s="1"/>
  <c r="A466" i="88"/>
  <c r="E460" i="88"/>
  <c r="A641" i="86"/>
  <c r="F638" i="86"/>
  <c r="D631" i="86"/>
  <c r="B631" i="86"/>
  <c r="M635" i="86"/>
  <c r="O634" i="86"/>
  <c r="N634" i="86" s="1"/>
  <c r="K634" i="86"/>
  <c r="K635" i="86"/>
  <c r="G635" i="86"/>
  <c r="L635" i="86"/>
  <c r="M634" i="86"/>
  <c r="O635" i="86"/>
  <c r="N635" i="86" s="1"/>
  <c r="L634" i="86"/>
  <c r="F634" i="86"/>
  <c r="R634" i="86"/>
  <c r="Q635" i="86"/>
  <c r="P635" i="86" s="1"/>
  <c r="Q634" i="86"/>
  <c r="P634" i="86" s="1"/>
  <c r="G461" i="88" l="1"/>
  <c r="K460" i="88"/>
  <c r="K461" i="88"/>
  <c r="J460" i="88"/>
  <c r="I460" i="88" s="1"/>
  <c r="G462" i="88"/>
  <c r="J461" i="88"/>
  <c r="I461" i="88" s="1"/>
  <c r="G460" i="88"/>
  <c r="E462" i="88"/>
  <c r="E461" i="88"/>
  <c r="C460" i="88" s="1"/>
  <c r="E464" i="88"/>
  <c r="A470" i="88"/>
  <c r="D634" i="86"/>
  <c r="B634" i="86"/>
  <c r="M638" i="86"/>
  <c r="K637" i="86"/>
  <c r="O638" i="86"/>
  <c r="N638" i="86" s="1"/>
  <c r="L638" i="86"/>
  <c r="F637" i="86"/>
  <c r="K638" i="86"/>
  <c r="G638" i="86"/>
  <c r="R637" i="86"/>
  <c r="O637" i="86"/>
  <c r="N637" i="86" s="1"/>
  <c r="M637" i="86"/>
  <c r="L637" i="86"/>
  <c r="Q638" i="86"/>
  <c r="P638" i="86" s="1"/>
  <c r="Q637" i="86"/>
  <c r="P637" i="86" s="1"/>
  <c r="F641" i="86"/>
  <c r="A644" i="86"/>
  <c r="B422" i="88" l="1"/>
  <c r="E468" i="88"/>
  <c r="K464" i="88"/>
  <c r="K465" i="88"/>
  <c r="J464" i="88"/>
  <c r="I464" i="88" s="1"/>
  <c r="J465" i="88"/>
  <c r="I465" i="88" s="1"/>
  <c r="G464" i="88"/>
  <c r="G466" i="88"/>
  <c r="G465" i="88"/>
  <c r="E466" i="88"/>
  <c r="E465" i="88"/>
  <c r="C464" i="88" s="1"/>
  <c r="D637" i="86"/>
  <c r="B637" i="86"/>
  <c r="F644" i="86"/>
  <c r="A647" i="86"/>
  <c r="G641" i="86"/>
  <c r="M641" i="86"/>
  <c r="K640" i="86"/>
  <c r="O641" i="86"/>
  <c r="N641" i="86" s="1"/>
  <c r="L641" i="86"/>
  <c r="F640" i="86"/>
  <c r="K641" i="86"/>
  <c r="R640" i="86"/>
  <c r="O640" i="86"/>
  <c r="N640" i="86" s="1"/>
  <c r="M640" i="86"/>
  <c r="L640" i="86"/>
  <c r="Q641" i="86"/>
  <c r="P641" i="86" s="1"/>
  <c r="Q640" i="86"/>
  <c r="P640" i="86" s="1"/>
  <c r="G468" i="88" l="1"/>
  <c r="G470" i="88"/>
  <c r="E470" i="88"/>
  <c r="K469" i="88"/>
  <c r="J469" i="88"/>
  <c r="I469" i="88" s="1"/>
  <c r="G469" i="88"/>
  <c r="E469" i="88"/>
  <c r="C468" i="88" s="1"/>
  <c r="K468" i="88"/>
  <c r="J468" i="88"/>
  <c r="I468" i="88" s="1"/>
  <c r="O420" i="88"/>
  <c r="B426" i="88"/>
  <c r="D640" i="86"/>
  <c r="B640" i="86"/>
  <c r="A650" i="86"/>
  <c r="F647" i="86"/>
  <c r="M644" i="86"/>
  <c r="K643" i="86"/>
  <c r="L644" i="86"/>
  <c r="F643" i="86"/>
  <c r="M643" i="86"/>
  <c r="K644" i="86"/>
  <c r="G644" i="86"/>
  <c r="R643" i="86"/>
  <c r="O644" i="86"/>
  <c r="N644" i="86" s="1"/>
  <c r="O643" i="86"/>
  <c r="N643" i="86" s="1"/>
  <c r="Q643" i="86"/>
  <c r="P643" i="86" s="1"/>
  <c r="Q644" i="86"/>
  <c r="P644" i="86" s="1"/>
  <c r="L643" i="86"/>
  <c r="O424" i="88" l="1"/>
  <c r="B430" i="88"/>
  <c r="Q422" i="88"/>
  <c r="U420" i="88"/>
  <c r="T420" i="88"/>
  <c r="S420" i="88" s="1"/>
  <c r="U421" i="88"/>
  <c r="O421" i="88"/>
  <c r="M420" i="88" s="1"/>
  <c r="T421" i="88"/>
  <c r="S421" i="88" s="1"/>
  <c r="Q420" i="88"/>
  <c r="Q421" i="88"/>
  <c r="O422" i="88"/>
  <c r="D643" i="86"/>
  <c r="B643" i="86"/>
  <c r="O646" i="86"/>
  <c r="N646" i="86" s="1"/>
  <c r="M646" i="86"/>
  <c r="O647" i="86"/>
  <c r="N647" i="86" s="1"/>
  <c r="L646" i="86"/>
  <c r="M647" i="86"/>
  <c r="K646" i="86"/>
  <c r="L647" i="86"/>
  <c r="F646" i="86"/>
  <c r="K647" i="86"/>
  <c r="R646" i="86"/>
  <c r="G647" i="86"/>
  <c r="Q646" i="86"/>
  <c r="P646" i="86" s="1"/>
  <c r="Q647" i="86"/>
  <c r="P647" i="86" s="1"/>
  <c r="F650" i="86"/>
  <c r="A653" i="86"/>
  <c r="B434" i="88" l="1"/>
  <c r="O428" i="88"/>
  <c r="T424" i="88"/>
  <c r="S424" i="88" s="1"/>
  <c r="U425" i="88"/>
  <c r="T425" i="88"/>
  <c r="S425" i="88" s="1"/>
  <c r="Q424" i="88"/>
  <c r="Q425" i="88"/>
  <c r="O425" i="88"/>
  <c r="M424" i="88" s="1"/>
  <c r="Q426" i="88"/>
  <c r="O426" i="88"/>
  <c r="U424" i="88"/>
  <c r="D646" i="86"/>
  <c r="B646" i="86"/>
  <c r="A656" i="86"/>
  <c r="F653" i="86"/>
  <c r="K650" i="86"/>
  <c r="K649" i="86"/>
  <c r="G650" i="86"/>
  <c r="F649" i="86"/>
  <c r="R649" i="86"/>
  <c r="Q649" i="86"/>
  <c r="P649" i="86" s="1"/>
  <c r="Q650" i="86"/>
  <c r="P650" i="86" s="1"/>
  <c r="O649" i="86"/>
  <c r="N649" i="86" s="1"/>
  <c r="L650" i="86"/>
  <c r="M649" i="86"/>
  <c r="M650" i="86"/>
  <c r="O650" i="86"/>
  <c r="N650" i="86" s="1"/>
  <c r="L649" i="86"/>
  <c r="O429" i="88" l="1"/>
  <c r="M428" i="88" s="1"/>
  <c r="Q429" i="88"/>
  <c r="Q430" i="88"/>
  <c r="O430" i="88"/>
  <c r="U428" i="88"/>
  <c r="U429" i="88"/>
  <c r="T428" i="88"/>
  <c r="S428" i="88" s="1"/>
  <c r="T429" i="88"/>
  <c r="S429" i="88" s="1"/>
  <c r="Q428" i="88"/>
  <c r="B438" i="88"/>
  <c r="O432" i="88"/>
  <c r="D649" i="86"/>
  <c r="B649" i="86"/>
  <c r="M652" i="86"/>
  <c r="O653" i="86"/>
  <c r="N653" i="86" s="1"/>
  <c r="L652" i="86"/>
  <c r="M653" i="86"/>
  <c r="G653" i="86"/>
  <c r="K652" i="86"/>
  <c r="L653" i="86"/>
  <c r="F652" i="86"/>
  <c r="K653" i="86"/>
  <c r="Q652" i="86"/>
  <c r="P652" i="86" s="1"/>
  <c r="R652" i="86"/>
  <c r="Q653" i="86"/>
  <c r="P653" i="86" s="1"/>
  <c r="O652" i="86"/>
  <c r="N652" i="86" s="1"/>
  <c r="F656" i="86"/>
  <c r="A659" i="86"/>
  <c r="O434" i="88" l="1"/>
  <c r="U432" i="88"/>
  <c r="T432" i="88"/>
  <c r="S432" i="88" s="1"/>
  <c r="U433" i="88"/>
  <c r="T433" i="88"/>
  <c r="S433" i="88" s="1"/>
  <c r="Q432" i="88"/>
  <c r="Q433" i="88"/>
  <c r="O433" i="88"/>
  <c r="M432" i="88" s="1"/>
  <c r="Q434" i="88"/>
  <c r="O436" i="88"/>
  <c r="B442" i="88"/>
  <c r="D652" i="86"/>
  <c r="B652" i="86"/>
  <c r="A662" i="86"/>
  <c r="F659" i="86"/>
  <c r="Q656" i="86"/>
  <c r="P656" i="86" s="1"/>
  <c r="O655" i="86"/>
  <c r="N655" i="86" s="1"/>
  <c r="G656" i="86"/>
  <c r="M655" i="86"/>
  <c r="O656" i="86"/>
  <c r="N656" i="86" s="1"/>
  <c r="L655" i="86"/>
  <c r="M656" i="86"/>
  <c r="K656" i="86"/>
  <c r="R655" i="86"/>
  <c r="K655" i="86"/>
  <c r="L656" i="86"/>
  <c r="F655" i="86"/>
  <c r="Q655" i="86"/>
  <c r="P655" i="86" s="1"/>
  <c r="B446" i="88" l="1"/>
  <c r="O440" i="88"/>
  <c r="U436" i="88"/>
  <c r="U437" i="88"/>
  <c r="T437" i="88"/>
  <c r="S437" i="88" s="1"/>
  <c r="Q436" i="88"/>
  <c r="Q437" i="88"/>
  <c r="O437" i="88"/>
  <c r="M436" i="88" s="1"/>
  <c r="Q438" i="88"/>
  <c r="O438" i="88"/>
  <c r="T436" i="88"/>
  <c r="S436" i="88" s="1"/>
  <c r="D655" i="86"/>
  <c r="B655" i="86"/>
  <c r="K658" i="86"/>
  <c r="L659" i="86"/>
  <c r="F658" i="86"/>
  <c r="K659" i="86"/>
  <c r="G659" i="86"/>
  <c r="R658" i="86"/>
  <c r="Q658" i="86"/>
  <c r="P658" i="86" s="1"/>
  <c r="Q659" i="86"/>
  <c r="P659" i="86" s="1"/>
  <c r="L658" i="86"/>
  <c r="M658" i="86"/>
  <c r="O658" i="86"/>
  <c r="N658" i="86" s="1"/>
  <c r="O659" i="86"/>
  <c r="N659" i="86" s="1"/>
  <c r="M659" i="86"/>
  <c r="A665" i="86"/>
  <c r="F662" i="86"/>
  <c r="O441" i="88" l="1"/>
  <c r="M440" i="88" s="1"/>
  <c r="Q442" i="88"/>
  <c r="O442" i="88"/>
  <c r="U440" i="88"/>
  <c r="T440" i="88"/>
  <c r="S440" i="88" s="1"/>
  <c r="U441" i="88"/>
  <c r="T441" i="88"/>
  <c r="S441" i="88" s="1"/>
  <c r="Q440" i="88"/>
  <c r="Q441" i="88"/>
  <c r="B450" i="88"/>
  <c r="O444" i="88"/>
  <c r="D658" i="86"/>
  <c r="B658" i="86"/>
  <c r="Q661" i="86"/>
  <c r="P661" i="86" s="1"/>
  <c r="K662" i="86"/>
  <c r="G662" i="86"/>
  <c r="Q662" i="86"/>
  <c r="P662" i="86" s="1"/>
  <c r="O661" i="86"/>
  <c r="N661" i="86" s="1"/>
  <c r="M661" i="86"/>
  <c r="O662" i="86"/>
  <c r="N662" i="86" s="1"/>
  <c r="L661" i="86"/>
  <c r="R661" i="86"/>
  <c r="M662" i="86"/>
  <c r="K661" i="86"/>
  <c r="L662" i="86"/>
  <c r="F661" i="86"/>
  <c r="A668" i="86"/>
  <c r="F665" i="86"/>
  <c r="Q446" i="88" l="1"/>
  <c r="U444" i="88"/>
  <c r="T444" i="88"/>
  <c r="S444" i="88" s="1"/>
  <c r="U445" i="88"/>
  <c r="O445" i="88"/>
  <c r="M444" i="88" s="1"/>
  <c r="T445" i="88"/>
  <c r="S445" i="88" s="1"/>
  <c r="Q444" i="88"/>
  <c r="Q445" i="88"/>
  <c r="O446" i="88"/>
  <c r="O448" i="88"/>
  <c r="B454" i="88"/>
  <c r="G665" i="86"/>
  <c r="R664" i="86"/>
  <c r="O665" i="86"/>
  <c r="N665" i="86" s="1"/>
  <c r="Q664" i="86"/>
  <c r="P664" i="86" s="1"/>
  <c r="L664" i="86"/>
  <c r="L665" i="86"/>
  <c r="F664" i="86"/>
  <c r="Q665" i="86"/>
  <c r="P665" i="86" s="1"/>
  <c r="O664" i="86"/>
  <c r="N664" i="86" s="1"/>
  <c r="M665" i="86"/>
  <c r="M664" i="86"/>
  <c r="K664" i="86"/>
  <c r="K665" i="86"/>
  <c r="D661" i="86"/>
  <c r="B661" i="86"/>
  <c r="A671" i="86"/>
  <c r="F668" i="86"/>
  <c r="B458" i="88" l="1"/>
  <c r="O452" i="88"/>
  <c r="T448" i="88"/>
  <c r="S448" i="88" s="1"/>
  <c r="U449" i="88"/>
  <c r="T449" i="88"/>
  <c r="S449" i="88" s="1"/>
  <c r="Q448" i="88"/>
  <c r="Q449" i="88"/>
  <c r="O449" i="88"/>
  <c r="M448" i="88" s="1"/>
  <c r="Q450" i="88"/>
  <c r="O450" i="88"/>
  <c r="U448" i="88"/>
  <c r="A674" i="86"/>
  <c r="F671" i="86"/>
  <c r="O668" i="86"/>
  <c r="N668" i="86" s="1"/>
  <c r="L667" i="86"/>
  <c r="M668" i="86"/>
  <c r="K667" i="86"/>
  <c r="L668" i="86"/>
  <c r="F667" i="86"/>
  <c r="M667" i="86"/>
  <c r="K668" i="86"/>
  <c r="G668" i="86"/>
  <c r="Q667" i="86"/>
  <c r="P667" i="86" s="1"/>
  <c r="R667" i="86"/>
  <c r="O667" i="86"/>
  <c r="N667" i="86" s="1"/>
  <c r="Q668" i="86"/>
  <c r="P668" i="86" s="1"/>
  <c r="D664" i="86"/>
  <c r="B664" i="86"/>
  <c r="U452" i="88" l="1"/>
  <c r="T452" i="88"/>
  <c r="S452" i="88" s="1"/>
  <c r="U453" i="88"/>
  <c r="T453" i="88"/>
  <c r="S453" i="88" s="1"/>
  <c r="Q452" i="88"/>
  <c r="Q453" i="88"/>
  <c r="O453" i="88"/>
  <c r="M452" i="88" s="1"/>
  <c r="Q454" i="88"/>
  <c r="O454" i="88"/>
  <c r="O456" i="88"/>
  <c r="B462" i="88"/>
  <c r="D667" i="86"/>
  <c r="B667" i="86"/>
  <c r="L670" i="86"/>
  <c r="Q670" i="86"/>
  <c r="P670" i="86" s="1"/>
  <c r="O671" i="86"/>
  <c r="N671" i="86" s="1"/>
  <c r="F670" i="86"/>
  <c r="Q671" i="86"/>
  <c r="P671" i="86" s="1"/>
  <c r="O670" i="86"/>
  <c r="N670" i="86" s="1"/>
  <c r="M671" i="86"/>
  <c r="K671" i="86"/>
  <c r="M670" i="86"/>
  <c r="L671" i="86"/>
  <c r="K670" i="86"/>
  <c r="R670" i="86"/>
  <c r="G671" i="86"/>
  <c r="F674" i="86"/>
  <c r="A677" i="86"/>
  <c r="O460" i="88" l="1"/>
  <c r="B466" i="88"/>
  <c r="Q456" i="88"/>
  <c r="Q457" i="88"/>
  <c r="Q458" i="88"/>
  <c r="O458" i="88"/>
  <c r="O457" i="88"/>
  <c r="M456" i="88" s="1"/>
  <c r="U456" i="88"/>
  <c r="T456" i="88"/>
  <c r="S456" i="88" s="1"/>
  <c r="U457" i="88"/>
  <c r="T457" i="88"/>
  <c r="S457" i="88" s="1"/>
  <c r="K674" i="86"/>
  <c r="M673" i="86"/>
  <c r="F673" i="86"/>
  <c r="O674" i="86"/>
  <c r="N674" i="86" s="1"/>
  <c r="L673" i="86"/>
  <c r="M674" i="86"/>
  <c r="G674" i="86"/>
  <c r="K673" i="86"/>
  <c r="L674" i="86"/>
  <c r="R673" i="86"/>
  <c r="Q674" i="86"/>
  <c r="P674" i="86" s="1"/>
  <c r="Q673" i="86"/>
  <c r="P673" i="86" s="1"/>
  <c r="O673" i="86"/>
  <c r="N673" i="86" s="1"/>
  <c r="F677" i="86"/>
  <c r="A680" i="86"/>
  <c r="D670" i="86"/>
  <c r="B670" i="86"/>
  <c r="O464" i="88" l="1"/>
  <c r="A474" i="88"/>
  <c r="Q461" i="88"/>
  <c r="O461" i="88"/>
  <c r="M460" i="88" s="1"/>
  <c r="Q462" i="88"/>
  <c r="O462" i="88"/>
  <c r="T460" i="88"/>
  <c r="S460" i="88" s="1"/>
  <c r="U460" i="88"/>
  <c r="U461" i="88"/>
  <c r="T461" i="88"/>
  <c r="S461" i="88" s="1"/>
  <c r="Q460" i="88"/>
  <c r="D673" i="86"/>
  <c r="B673" i="86"/>
  <c r="F680" i="86"/>
  <c r="A683" i="86"/>
  <c r="L676" i="86"/>
  <c r="L677" i="86"/>
  <c r="G677" i="86"/>
  <c r="F676" i="86"/>
  <c r="K677" i="86"/>
  <c r="M677" i="86"/>
  <c r="M676" i="86"/>
  <c r="K676" i="86"/>
  <c r="O677" i="86"/>
  <c r="N677" i="86" s="1"/>
  <c r="O676" i="86"/>
  <c r="N676" i="86" s="1"/>
  <c r="R676" i="86"/>
  <c r="Q677" i="86"/>
  <c r="P677" i="86" s="1"/>
  <c r="Q676" i="86"/>
  <c r="P676" i="86" s="1"/>
  <c r="E472" i="88" l="1"/>
  <c r="A478" i="88"/>
  <c r="O465" i="88"/>
  <c r="M464" i="88" s="1"/>
  <c r="Q466" i="88"/>
  <c r="O466" i="88"/>
  <c r="U464" i="88"/>
  <c r="U465" i="88"/>
  <c r="T464" i="88"/>
  <c r="S464" i="88" s="1"/>
  <c r="T465" i="88"/>
  <c r="S465" i="88" s="1"/>
  <c r="Q464" i="88"/>
  <c r="Q465" i="88"/>
  <c r="D676" i="86"/>
  <c r="B676" i="86"/>
  <c r="F683" i="86"/>
  <c r="A686" i="86"/>
  <c r="M680" i="86"/>
  <c r="K679" i="86"/>
  <c r="L680" i="86"/>
  <c r="F679" i="86"/>
  <c r="K680" i="86"/>
  <c r="G680" i="86"/>
  <c r="R679" i="86"/>
  <c r="M679" i="86"/>
  <c r="O680" i="86"/>
  <c r="N680" i="86" s="1"/>
  <c r="O679" i="86"/>
  <c r="N679" i="86" s="1"/>
  <c r="L679" i="86"/>
  <c r="Q680" i="86"/>
  <c r="P680" i="86" s="1"/>
  <c r="Q679" i="86"/>
  <c r="P679" i="86" s="1"/>
  <c r="A482" i="88" l="1"/>
  <c r="E476" i="88"/>
  <c r="E474" i="88"/>
  <c r="E473" i="88"/>
  <c r="C472" i="88" s="1"/>
  <c r="G472" i="88"/>
  <c r="K472" i="88"/>
  <c r="K473" i="88"/>
  <c r="J472" i="88"/>
  <c r="I472" i="88" s="1"/>
  <c r="J473" i="88"/>
  <c r="I473" i="88" s="1"/>
  <c r="G474" i="88"/>
  <c r="G473" i="88"/>
  <c r="D679" i="86"/>
  <c r="B679" i="86"/>
  <c r="F686" i="86"/>
  <c r="A689" i="86"/>
  <c r="K683" i="86"/>
  <c r="L683" i="86"/>
  <c r="F682" i="86"/>
  <c r="G683" i="86"/>
  <c r="M683" i="86"/>
  <c r="R682" i="86"/>
  <c r="O682" i="86"/>
  <c r="N682" i="86" s="1"/>
  <c r="M682" i="86"/>
  <c r="O683" i="86"/>
  <c r="N683" i="86" s="1"/>
  <c r="L682" i="86"/>
  <c r="K682" i="86"/>
  <c r="Q683" i="86"/>
  <c r="P683" i="86" s="1"/>
  <c r="Q682" i="86"/>
  <c r="P682" i="86" s="1"/>
  <c r="K476" i="88" l="1"/>
  <c r="K477" i="88"/>
  <c r="J476" i="88"/>
  <c r="I476" i="88" s="1"/>
  <c r="E477" i="88"/>
  <c r="C476" i="88" s="1"/>
  <c r="J477" i="88"/>
  <c r="I477" i="88" s="1"/>
  <c r="G476" i="88"/>
  <c r="G478" i="88"/>
  <c r="G477" i="88"/>
  <c r="E478" i="88"/>
  <c r="A486" i="88"/>
  <c r="E480" i="88"/>
  <c r="D682" i="86"/>
  <c r="B682" i="86"/>
  <c r="A692" i="86"/>
  <c r="F689" i="86"/>
  <c r="G686" i="86"/>
  <c r="R685" i="86"/>
  <c r="O685" i="86"/>
  <c r="N685" i="86" s="1"/>
  <c r="Q685" i="86"/>
  <c r="P685" i="86" s="1"/>
  <c r="Q686" i="86"/>
  <c r="P686" i="86" s="1"/>
  <c r="M685" i="86"/>
  <c r="O686" i="86"/>
  <c r="N686" i="86" s="1"/>
  <c r="M686" i="86"/>
  <c r="L685" i="86"/>
  <c r="F685" i="86"/>
  <c r="K685" i="86"/>
  <c r="L686" i="86"/>
  <c r="K686" i="86"/>
  <c r="E482" i="88" l="1"/>
  <c r="E481" i="88"/>
  <c r="C480" i="88" s="1"/>
  <c r="K480" i="88"/>
  <c r="K481" i="88"/>
  <c r="J480" i="88"/>
  <c r="I480" i="88" s="1"/>
  <c r="J481" i="88"/>
  <c r="I481" i="88" s="1"/>
  <c r="G480" i="88"/>
  <c r="G482" i="88"/>
  <c r="G481" i="88"/>
  <c r="E484" i="88"/>
  <c r="A490" i="88"/>
  <c r="D685" i="86"/>
  <c r="B685" i="86"/>
  <c r="L688" i="86"/>
  <c r="M689" i="86"/>
  <c r="K688" i="86"/>
  <c r="L689" i="86"/>
  <c r="F688" i="86"/>
  <c r="K689" i="86"/>
  <c r="R688" i="86"/>
  <c r="G689" i="86"/>
  <c r="Q688" i="86"/>
  <c r="P688" i="86" s="1"/>
  <c r="Q689" i="86"/>
  <c r="P689" i="86" s="1"/>
  <c r="O688" i="86"/>
  <c r="N688" i="86" s="1"/>
  <c r="M688" i="86"/>
  <c r="O689" i="86"/>
  <c r="N689" i="86" s="1"/>
  <c r="F692" i="86"/>
  <c r="A695" i="86"/>
  <c r="A494" i="88" l="1"/>
  <c r="E488" i="88"/>
  <c r="K485" i="88"/>
  <c r="J484" i="88"/>
  <c r="I484" i="88" s="1"/>
  <c r="G486" i="88"/>
  <c r="G485" i="88"/>
  <c r="G484" i="88"/>
  <c r="E486" i="88"/>
  <c r="E485" i="88"/>
  <c r="C484" i="88" s="1"/>
  <c r="J485" i="88"/>
  <c r="I485" i="88" s="1"/>
  <c r="K484" i="88"/>
  <c r="D688" i="86"/>
  <c r="B688" i="86"/>
  <c r="A698" i="86"/>
  <c r="F695" i="86"/>
  <c r="Q691" i="86"/>
  <c r="P691" i="86" s="1"/>
  <c r="O692" i="86"/>
  <c r="N692" i="86" s="1"/>
  <c r="Q692" i="86"/>
  <c r="P692" i="86" s="1"/>
  <c r="O691" i="86"/>
  <c r="N691" i="86" s="1"/>
  <c r="L691" i="86"/>
  <c r="M691" i="86"/>
  <c r="M692" i="86"/>
  <c r="R691" i="86"/>
  <c r="L692" i="86"/>
  <c r="K691" i="86"/>
  <c r="F691" i="86"/>
  <c r="K692" i="86"/>
  <c r="G692" i="86"/>
  <c r="K488" i="88" l="1"/>
  <c r="K489" i="88"/>
  <c r="J488" i="88"/>
  <c r="I488" i="88" s="1"/>
  <c r="J489" i="88"/>
  <c r="I489" i="88" s="1"/>
  <c r="G488" i="88"/>
  <c r="G490" i="88"/>
  <c r="G489" i="88"/>
  <c r="E490" i="88"/>
  <c r="E489" i="88"/>
  <c r="C488" i="88" s="1"/>
  <c r="A498" i="88"/>
  <c r="E492" i="88"/>
  <c r="D691" i="86"/>
  <c r="B691" i="86"/>
  <c r="F694" i="86"/>
  <c r="K695" i="86"/>
  <c r="G695" i="86"/>
  <c r="R694" i="86"/>
  <c r="L694" i="86"/>
  <c r="Q694" i="86"/>
  <c r="P694" i="86" s="1"/>
  <c r="Q695" i="86"/>
  <c r="P695" i="86" s="1"/>
  <c r="O694" i="86"/>
  <c r="N694" i="86" s="1"/>
  <c r="M694" i="86"/>
  <c r="O695" i="86"/>
  <c r="N695" i="86" s="1"/>
  <c r="M695" i="86"/>
  <c r="K694" i="86"/>
  <c r="L695" i="86"/>
  <c r="A701" i="86"/>
  <c r="F698" i="86"/>
  <c r="E494" i="88" l="1"/>
  <c r="E493" i="88"/>
  <c r="C492" i="88" s="1"/>
  <c r="K492" i="88"/>
  <c r="K493" i="88"/>
  <c r="J492" i="88"/>
  <c r="I492" i="88" s="1"/>
  <c r="J493" i="88"/>
  <c r="I493" i="88" s="1"/>
  <c r="G492" i="88"/>
  <c r="G494" i="88"/>
  <c r="G493" i="88"/>
  <c r="E496" i="88"/>
  <c r="A502" i="88"/>
  <c r="O698" i="86"/>
  <c r="N698" i="86" s="1"/>
  <c r="L697" i="86"/>
  <c r="Q698" i="86"/>
  <c r="P698" i="86" s="1"/>
  <c r="O697" i="86"/>
  <c r="N697" i="86" s="1"/>
  <c r="L698" i="86"/>
  <c r="M698" i="86"/>
  <c r="K697" i="86"/>
  <c r="G698" i="86"/>
  <c r="K698" i="86"/>
  <c r="R697" i="86"/>
  <c r="Q697" i="86"/>
  <c r="P697" i="86" s="1"/>
  <c r="F697" i="86"/>
  <c r="M697" i="86"/>
  <c r="D694" i="86"/>
  <c r="B694" i="86"/>
  <c r="A704" i="86"/>
  <c r="F701" i="86"/>
  <c r="A506" i="88" l="1"/>
  <c r="E500" i="88"/>
  <c r="K497" i="88"/>
  <c r="J496" i="88"/>
  <c r="I496" i="88" s="1"/>
  <c r="G498" i="88"/>
  <c r="G497" i="88"/>
  <c r="E498" i="88"/>
  <c r="E497" i="88"/>
  <c r="C496" i="88" s="1"/>
  <c r="G496" i="88"/>
  <c r="J497" i="88"/>
  <c r="I497" i="88" s="1"/>
  <c r="K496" i="88"/>
  <c r="A707" i="86"/>
  <c r="F704" i="86"/>
  <c r="D697" i="86"/>
  <c r="B697" i="86"/>
  <c r="R700" i="86"/>
  <c r="Q700" i="86"/>
  <c r="P700" i="86" s="1"/>
  <c r="Q701" i="86"/>
  <c r="P701" i="86" s="1"/>
  <c r="O700" i="86"/>
  <c r="N700" i="86" s="1"/>
  <c r="K701" i="86"/>
  <c r="M700" i="86"/>
  <c r="O701" i="86"/>
  <c r="N701" i="86" s="1"/>
  <c r="L700" i="86"/>
  <c r="M701" i="86"/>
  <c r="K700" i="86"/>
  <c r="L701" i="86"/>
  <c r="F700" i="86"/>
  <c r="G701" i="86"/>
  <c r="K500" i="88" l="1"/>
  <c r="K501" i="88"/>
  <c r="J500" i="88"/>
  <c r="I500" i="88" s="1"/>
  <c r="J501" i="88"/>
  <c r="I501" i="88" s="1"/>
  <c r="G500" i="88"/>
  <c r="G502" i="88"/>
  <c r="G501" i="88"/>
  <c r="E502" i="88"/>
  <c r="E501" i="88"/>
  <c r="C500" i="88" s="1"/>
  <c r="A510" i="88"/>
  <c r="E504" i="88"/>
  <c r="D700" i="86"/>
  <c r="B700" i="86"/>
  <c r="L703" i="86"/>
  <c r="M703" i="86"/>
  <c r="M704" i="86"/>
  <c r="O704" i="86"/>
  <c r="N704" i="86" s="1"/>
  <c r="K703" i="86"/>
  <c r="L704" i="86"/>
  <c r="F703" i="86"/>
  <c r="R703" i="86"/>
  <c r="K704" i="86"/>
  <c r="Q703" i="86"/>
  <c r="P703" i="86" s="1"/>
  <c r="Q704" i="86"/>
  <c r="P704" i="86" s="1"/>
  <c r="O703" i="86"/>
  <c r="N703" i="86" s="1"/>
  <c r="G704" i="86"/>
  <c r="F707" i="86"/>
  <c r="A710" i="86"/>
  <c r="E508" i="88" l="1"/>
  <c r="A514" i="88"/>
  <c r="K504" i="88"/>
  <c r="K505" i="88"/>
  <c r="J504" i="88"/>
  <c r="I504" i="88" s="1"/>
  <c r="J505" i="88"/>
  <c r="I505" i="88" s="1"/>
  <c r="G504" i="88"/>
  <c r="G506" i="88"/>
  <c r="G505" i="88"/>
  <c r="E506" i="88"/>
  <c r="E505" i="88"/>
  <c r="C504" i="88" s="1"/>
  <c r="A713" i="86"/>
  <c r="F710" i="86"/>
  <c r="Q706" i="86"/>
  <c r="P706" i="86" s="1"/>
  <c r="M706" i="86"/>
  <c r="Q707" i="86"/>
  <c r="P707" i="86" s="1"/>
  <c r="O706" i="86"/>
  <c r="N706" i="86" s="1"/>
  <c r="O707" i="86"/>
  <c r="N707" i="86" s="1"/>
  <c r="L706" i="86"/>
  <c r="L707" i="86"/>
  <c r="M707" i="86"/>
  <c r="F706" i="86"/>
  <c r="G707" i="86"/>
  <c r="K706" i="86"/>
  <c r="K707" i="86"/>
  <c r="R706" i="86"/>
  <c r="D703" i="86"/>
  <c r="B703" i="86"/>
  <c r="A518" i="88" l="1"/>
  <c r="E512" i="88"/>
  <c r="G510" i="88"/>
  <c r="J509" i="88"/>
  <c r="I509" i="88" s="1"/>
  <c r="G509" i="88"/>
  <c r="E510" i="88"/>
  <c r="E509" i="88"/>
  <c r="C508" i="88" s="1"/>
  <c r="K508" i="88"/>
  <c r="G508" i="88"/>
  <c r="K509" i="88"/>
  <c r="J508" i="88"/>
  <c r="I508" i="88" s="1"/>
  <c r="D706" i="86"/>
  <c r="B706" i="86"/>
  <c r="L710" i="86"/>
  <c r="F709" i="86"/>
  <c r="K710" i="86"/>
  <c r="K709" i="86"/>
  <c r="G710" i="86"/>
  <c r="M710" i="86"/>
  <c r="Q709" i="86"/>
  <c r="P709" i="86" s="1"/>
  <c r="R709" i="86"/>
  <c r="Q710" i="86"/>
  <c r="P710" i="86" s="1"/>
  <c r="O709" i="86"/>
  <c r="N709" i="86" s="1"/>
  <c r="M709" i="86"/>
  <c r="O710" i="86"/>
  <c r="N710" i="86" s="1"/>
  <c r="L709" i="86"/>
  <c r="F713" i="86"/>
  <c r="A716" i="86"/>
  <c r="E514" i="88" l="1"/>
  <c r="E513" i="88"/>
  <c r="C512" i="88" s="1"/>
  <c r="K512" i="88"/>
  <c r="K513" i="88"/>
  <c r="J512" i="88"/>
  <c r="I512" i="88" s="1"/>
  <c r="J513" i="88"/>
  <c r="I513" i="88" s="1"/>
  <c r="G513" i="88"/>
  <c r="G512" i="88"/>
  <c r="G514" i="88"/>
  <c r="A522" i="88"/>
  <c r="E516" i="88"/>
  <c r="D709" i="86"/>
  <c r="B709" i="86"/>
  <c r="F716" i="86"/>
  <c r="A719" i="86"/>
  <c r="G713" i="86"/>
  <c r="O712" i="86"/>
  <c r="N712" i="86" s="1"/>
  <c r="K713" i="86"/>
  <c r="F712" i="86"/>
  <c r="M712" i="86"/>
  <c r="R712" i="86"/>
  <c r="K712" i="86"/>
  <c r="O713" i="86"/>
  <c r="N713" i="86" s="1"/>
  <c r="M713" i="86"/>
  <c r="L712" i="86"/>
  <c r="L713" i="86"/>
  <c r="Q712" i="86"/>
  <c r="P712" i="86" s="1"/>
  <c r="Q713" i="86"/>
  <c r="P713" i="86" s="1"/>
  <c r="K516" i="88" l="1"/>
  <c r="K517" i="88"/>
  <c r="J516" i="88"/>
  <c r="I516" i="88" s="1"/>
  <c r="J517" i="88"/>
  <c r="I517" i="88" s="1"/>
  <c r="G516" i="88"/>
  <c r="G518" i="88"/>
  <c r="G517" i="88"/>
  <c r="E518" i="88"/>
  <c r="E517" i="88"/>
  <c r="C516" i="88" s="1"/>
  <c r="E520" i="88"/>
  <c r="B474" i="88"/>
  <c r="D712" i="86"/>
  <c r="B712" i="86"/>
  <c r="F719" i="86"/>
  <c r="A722" i="86"/>
  <c r="Q716" i="86"/>
  <c r="P716" i="86" s="1"/>
  <c r="M715" i="86"/>
  <c r="K715" i="86"/>
  <c r="R715" i="86"/>
  <c r="L716" i="86"/>
  <c r="F715" i="86"/>
  <c r="K716" i="86"/>
  <c r="O715" i="86"/>
  <c r="N715" i="86" s="1"/>
  <c r="Q715" i="86"/>
  <c r="P715" i="86" s="1"/>
  <c r="G716" i="86"/>
  <c r="O716" i="86"/>
  <c r="N716" i="86" s="1"/>
  <c r="L715" i="86"/>
  <c r="M716" i="86"/>
  <c r="B478" i="88" l="1"/>
  <c r="O472" i="88"/>
  <c r="G522" i="88"/>
  <c r="E522" i="88"/>
  <c r="K521" i="88"/>
  <c r="J521" i="88"/>
  <c r="I521" i="88" s="1"/>
  <c r="G521" i="88"/>
  <c r="G520" i="88"/>
  <c r="E521" i="88"/>
  <c r="C520" i="88" s="1"/>
  <c r="K520" i="88"/>
  <c r="J520" i="88"/>
  <c r="I520" i="88" s="1"/>
  <c r="D715" i="86"/>
  <c r="B715" i="86"/>
  <c r="F722" i="86"/>
  <c r="A725" i="86"/>
  <c r="L718" i="86"/>
  <c r="L719" i="86"/>
  <c r="F718" i="86"/>
  <c r="K718" i="86"/>
  <c r="G719" i="86"/>
  <c r="K719" i="86"/>
  <c r="O718" i="86"/>
  <c r="N718" i="86" s="1"/>
  <c r="M718" i="86"/>
  <c r="O719" i="86"/>
  <c r="N719" i="86" s="1"/>
  <c r="M719" i="86"/>
  <c r="R718" i="86"/>
  <c r="Q719" i="86"/>
  <c r="P719" i="86" s="1"/>
  <c r="Q718" i="86"/>
  <c r="P718" i="86" s="1"/>
  <c r="O474" i="88" l="1"/>
  <c r="U472" i="88"/>
  <c r="T472" i="88"/>
  <c r="S472" i="88" s="1"/>
  <c r="U473" i="88"/>
  <c r="T473" i="88"/>
  <c r="S473" i="88" s="1"/>
  <c r="Q472" i="88"/>
  <c r="Q474" i="88"/>
  <c r="Q473" i="88"/>
  <c r="O473" i="88"/>
  <c r="M472" i="88" s="1"/>
  <c r="O476" i="88"/>
  <c r="B482" i="88"/>
  <c r="D718" i="86"/>
  <c r="B718" i="86"/>
  <c r="F725" i="86"/>
  <c r="A728" i="86"/>
  <c r="K721" i="86"/>
  <c r="L722" i="86"/>
  <c r="L721" i="86"/>
  <c r="F721" i="86"/>
  <c r="M721" i="86"/>
  <c r="K722" i="86"/>
  <c r="G722" i="86"/>
  <c r="R721" i="86"/>
  <c r="O721" i="86"/>
  <c r="N721" i="86" s="1"/>
  <c r="O722" i="86"/>
  <c r="N722" i="86" s="1"/>
  <c r="M722" i="86"/>
  <c r="Q721" i="86"/>
  <c r="P721" i="86" s="1"/>
  <c r="Q722" i="86"/>
  <c r="P722" i="86" s="1"/>
  <c r="O480" i="88" l="1"/>
  <c r="B486" i="88"/>
  <c r="O478" i="88"/>
  <c r="T476" i="88"/>
  <c r="S476" i="88" s="1"/>
  <c r="U477" i="88"/>
  <c r="T477" i="88"/>
  <c r="S477" i="88" s="1"/>
  <c r="Q476" i="88"/>
  <c r="Q477" i="88"/>
  <c r="O477" i="88"/>
  <c r="M476" i="88" s="1"/>
  <c r="U476" i="88"/>
  <c r="Q478" i="88"/>
  <c r="D721" i="86"/>
  <c r="B721" i="86"/>
  <c r="F728" i="86"/>
  <c r="A731" i="86"/>
  <c r="K725" i="86"/>
  <c r="G725" i="86"/>
  <c r="L725" i="86"/>
  <c r="R724" i="86"/>
  <c r="O724" i="86"/>
  <c r="N724" i="86" s="1"/>
  <c r="M724" i="86"/>
  <c r="O725" i="86"/>
  <c r="N725" i="86" s="1"/>
  <c r="L724" i="86"/>
  <c r="M725" i="86"/>
  <c r="K724" i="86"/>
  <c r="F724" i="86"/>
  <c r="Q725" i="86"/>
  <c r="P725" i="86" s="1"/>
  <c r="Q724" i="86"/>
  <c r="P724" i="86" s="1"/>
  <c r="B490" i="88" l="1"/>
  <c r="O484" i="88"/>
  <c r="T481" i="88"/>
  <c r="S481" i="88" s="1"/>
  <c r="Q480" i="88"/>
  <c r="Q481" i="88"/>
  <c r="O481" i="88"/>
  <c r="M480" i="88" s="1"/>
  <c r="Q482" i="88"/>
  <c r="O482" i="88"/>
  <c r="U480" i="88"/>
  <c r="T480" i="88"/>
  <c r="S480" i="88" s="1"/>
  <c r="U481" i="88"/>
  <c r="D724" i="86"/>
  <c r="B724" i="86"/>
  <c r="A734" i="86"/>
  <c r="F731" i="86"/>
  <c r="Q727" i="86"/>
  <c r="P727" i="86" s="1"/>
  <c r="K727" i="86"/>
  <c r="O728" i="86"/>
  <c r="N728" i="86" s="1"/>
  <c r="M727" i="86"/>
  <c r="L727" i="86"/>
  <c r="M728" i="86"/>
  <c r="L728" i="86"/>
  <c r="F727" i="86"/>
  <c r="K728" i="86"/>
  <c r="O727" i="86"/>
  <c r="N727" i="86" s="1"/>
  <c r="G728" i="86"/>
  <c r="Q728" i="86"/>
  <c r="P728" i="86" s="1"/>
  <c r="R727" i="86"/>
  <c r="U484" i="88" l="1"/>
  <c r="T484" i="88"/>
  <c r="S484" i="88" s="1"/>
  <c r="U485" i="88"/>
  <c r="O486" i="88"/>
  <c r="T485" i="88"/>
  <c r="S485" i="88" s="1"/>
  <c r="Q484" i="88"/>
  <c r="Q485" i="88"/>
  <c r="O485" i="88"/>
  <c r="M484" i="88" s="1"/>
  <c r="Q486" i="88"/>
  <c r="O488" i="88"/>
  <c r="B494" i="88"/>
  <c r="Q730" i="86"/>
  <c r="P730" i="86" s="1"/>
  <c r="K731" i="86"/>
  <c r="R730" i="86"/>
  <c r="G731" i="86"/>
  <c r="Q731" i="86"/>
  <c r="P731" i="86" s="1"/>
  <c r="O730" i="86"/>
  <c r="N730" i="86" s="1"/>
  <c r="M730" i="86"/>
  <c r="O731" i="86"/>
  <c r="N731" i="86" s="1"/>
  <c r="L730" i="86"/>
  <c r="M731" i="86"/>
  <c r="K730" i="86"/>
  <c r="L731" i="86"/>
  <c r="F730" i="86"/>
  <c r="D727" i="86"/>
  <c r="B727" i="86"/>
  <c r="F734" i="86"/>
  <c r="A737" i="86"/>
  <c r="B498" i="88" l="1"/>
  <c r="O492" i="88"/>
  <c r="T488" i="88"/>
  <c r="S488" i="88" s="1"/>
  <c r="O490" i="88"/>
  <c r="U489" i="88"/>
  <c r="T489" i="88"/>
  <c r="S489" i="88" s="1"/>
  <c r="Q488" i="88"/>
  <c r="Q489" i="88"/>
  <c r="O489" i="88"/>
  <c r="M488" i="88" s="1"/>
  <c r="U488" i="88"/>
  <c r="Q490" i="88"/>
  <c r="A740" i="86"/>
  <c r="F737" i="86"/>
  <c r="O734" i="86"/>
  <c r="N734" i="86" s="1"/>
  <c r="M734" i="86"/>
  <c r="L734" i="86"/>
  <c r="K733" i="86"/>
  <c r="F733" i="86"/>
  <c r="K734" i="86"/>
  <c r="G734" i="86"/>
  <c r="O733" i="86"/>
  <c r="N733" i="86" s="1"/>
  <c r="R733" i="86"/>
  <c r="M733" i="86"/>
  <c r="Q733" i="86"/>
  <c r="P733" i="86" s="1"/>
  <c r="L733" i="86"/>
  <c r="Q734" i="86"/>
  <c r="P734" i="86" s="1"/>
  <c r="D730" i="86"/>
  <c r="B730" i="86"/>
  <c r="O493" i="88" l="1"/>
  <c r="M492" i="88" s="1"/>
  <c r="Q493" i="88"/>
  <c r="Q494" i="88"/>
  <c r="O494" i="88"/>
  <c r="U492" i="88"/>
  <c r="T492" i="88"/>
  <c r="S492" i="88" s="1"/>
  <c r="U493" i="88"/>
  <c r="T493" i="88"/>
  <c r="S493" i="88" s="1"/>
  <c r="Q492" i="88"/>
  <c r="O496" i="88"/>
  <c r="B502" i="88"/>
  <c r="D733" i="86"/>
  <c r="B733" i="86"/>
  <c r="Q736" i="86"/>
  <c r="P736" i="86" s="1"/>
  <c r="Q737" i="86"/>
  <c r="P737" i="86" s="1"/>
  <c r="O736" i="86"/>
  <c r="N736" i="86" s="1"/>
  <c r="M736" i="86"/>
  <c r="O737" i="86"/>
  <c r="N737" i="86" s="1"/>
  <c r="F736" i="86"/>
  <c r="L736" i="86"/>
  <c r="M737" i="86"/>
  <c r="K736" i="86"/>
  <c r="L737" i="86"/>
  <c r="K737" i="86"/>
  <c r="R736" i="86"/>
  <c r="G737" i="86"/>
  <c r="A743" i="86"/>
  <c r="F740" i="86"/>
  <c r="O500" i="88" l="1"/>
  <c r="B506" i="88"/>
  <c r="O497" i="88"/>
  <c r="M496" i="88" s="1"/>
  <c r="O498" i="88"/>
  <c r="U496" i="88"/>
  <c r="T496" i="88"/>
  <c r="S496" i="88" s="1"/>
  <c r="U497" i="88"/>
  <c r="Q498" i="88"/>
  <c r="T497" i="88"/>
  <c r="S497" i="88" s="1"/>
  <c r="Q496" i="88"/>
  <c r="Q497" i="88"/>
  <c r="D736" i="86"/>
  <c r="B736" i="86"/>
  <c r="A746" i="86"/>
  <c r="F743" i="86"/>
  <c r="K739" i="86"/>
  <c r="G740" i="86"/>
  <c r="K740" i="86"/>
  <c r="L740" i="86"/>
  <c r="R739" i="86"/>
  <c r="Q739" i="86"/>
  <c r="P739" i="86" s="1"/>
  <c r="F739" i="86"/>
  <c r="L739" i="86"/>
  <c r="Q740" i="86"/>
  <c r="P740" i="86" s="1"/>
  <c r="O739" i="86"/>
  <c r="N739" i="86" s="1"/>
  <c r="M739" i="86"/>
  <c r="M740" i="86"/>
  <c r="O740" i="86"/>
  <c r="N740" i="86" s="1"/>
  <c r="O504" i="88" l="1"/>
  <c r="B510" i="88"/>
  <c r="T500" i="88"/>
  <c r="S500" i="88" s="1"/>
  <c r="U500" i="88"/>
  <c r="U501" i="88"/>
  <c r="T501" i="88"/>
  <c r="S501" i="88" s="1"/>
  <c r="Q500" i="88"/>
  <c r="Q501" i="88"/>
  <c r="O501" i="88"/>
  <c r="M500" i="88" s="1"/>
  <c r="Q502" i="88"/>
  <c r="O502" i="88"/>
  <c r="D739" i="86"/>
  <c r="B739" i="86"/>
  <c r="M742" i="86"/>
  <c r="O743" i="86"/>
  <c r="N743" i="86" s="1"/>
  <c r="L742" i="86"/>
  <c r="M743" i="86"/>
  <c r="Q743" i="86"/>
  <c r="P743" i="86" s="1"/>
  <c r="K742" i="86"/>
  <c r="L743" i="86"/>
  <c r="F742" i="86"/>
  <c r="K743" i="86"/>
  <c r="G743" i="86"/>
  <c r="R742" i="86"/>
  <c r="Q742" i="86"/>
  <c r="P742" i="86" s="1"/>
  <c r="O742" i="86"/>
  <c r="N742" i="86" s="1"/>
  <c r="A749" i="86"/>
  <c r="F746" i="86"/>
  <c r="O508" i="88" l="1"/>
  <c r="B514" i="88"/>
  <c r="O505" i="88"/>
  <c r="M504" i="88" s="1"/>
  <c r="Q506" i="88"/>
  <c r="Q505" i="88"/>
  <c r="O506" i="88"/>
  <c r="U504" i="88"/>
  <c r="T504" i="88"/>
  <c r="S504" i="88" s="1"/>
  <c r="U505" i="88"/>
  <c r="T505" i="88"/>
  <c r="S505" i="88" s="1"/>
  <c r="Q504" i="88"/>
  <c r="D742" i="86"/>
  <c r="B742" i="86"/>
  <c r="F749" i="86"/>
  <c r="A752" i="86"/>
  <c r="G746" i="86"/>
  <c r="K746" i="86"/>
  <c r="Q745" i="86"/>
  <c r="P745" i="86" s="1"/>
  <c r="R745" i="86"/>
  <c r="Q746" i="86"/>
  <c r="P746" i="86" s="1"/>
  <c r="O745" i="86"/>
  <c r="N745" i="86" s="1"/>
  <c r="M745" i="86"/>
  <c r="O746" i="86"/>
  <c r="N746" i="86" s="1"/>
  <c r="F745" i="86"/>
  <c r="L745" i="86"/>
  <c r="M746" i="86"/>
  <c r="K745" i="86"/>
  <c r="L746" i="86"/>
  <c r="O512" i="88" l="1"/>
  <c r="B518" i="88"/>
  <c r="T509" i="88"/>
  <c r="S509" i="88" s="1"/>
  <c r="Q508" i="88"/>
  <c r="Q510" i="88"/>
  <c r="Q509" i="88"/>
  <c r="O509" i="88"/>
  <c r="M508" i="88" s="1"/>
  <c r="O510" i="88"/>
  <c r="U508" i="88"/>
  <c r="T508" i="88"/>
  <c r="S508" i="88" s="1"/>
  <c r="U509" i="88"/>
  <c r="D745" i="86"/>
  <c r="B745" i="86"/>
  <c r="A755" i="86"/>
  <c r="F752" i="86"/>
  <c r="M749" i="86"/>
  <c r="L749" i="86"/>
  <c r="K748" i="86"/>
  <c r="F748" i="86"/>
  <c r="K749" i="86"/>
  <c r="G749" i="86"/>
  <c r="O749" i="86"/>
  <c r="N749" i="86" s="1"/>
  <c r="M748" i="86"/>
  <c r="O748" i="86"/>
  <c r="N748" i="86" s="1"/>
  <c r="R748" i="86"/>
  <c r="Q748" i="86"/>
  <c r="P748" i="86" s="1"/>
  <c r="Q749" i="86"/>
  <c r="P749" i="86" s="1"/>
  <c r="L748" i="86"/>
  <c r="O516" i="88" l="1"/>
  <c r="A526" i="88"/>
  <c r="U513" i="88"/>
  <c r="T513" i="88"/>
  <c r="S513" i="88" s="1"/>
  <c r="Q512" i="88"/>
  <c r="Q513" i="88"/>
  <c r="O513" i="88"/>
  <c r="M512" i="88" s="1"/>
  <c r="U512" i="88"/>
  <c r="T512" i="88"/>
  <c r="S512" i="88" s="1"/>
  <c r="Q514" i="88"/>
  <c r="O514" i="88"/>
  <c r="D748" i="86"/>
  <c r="B748" i="86"/>
  <c r="Q751" i="86"/>
  <c r="P751" i="86" s="1"/>
  <c r="R751" i="86"/>
  <c r="Q752" i="86"/>
  <c r="P752" i="86" s="1"/>
  <c r="O751" i="86"/>
  <c r="N751" i="86" s="1"/>
  <c r="K752" i="86"/>
  <c r="M751" i="86"/>
  <c r="O752" i="86"/>
  <c r="N752" i="86" s="1"/>
  <c r="L751" i="86"/>
  <c r="G752" i="86"/>
  <c r="M752" i="86"/>
  <c r="K751" i="86"/>
  <c r="L752" i="86"/>
  <c r="F751" i="86"/>
  <c r="F755" i="86"/>
  <c r="A758" i="86"/>
  <c r="E524" i="88" l="1"/>
  <c r="A530" i="88"/>
  <c r="U517" i="88"/>
  <c r="T517" i="88"/>
  <c r="S517" i="88" s="1"/>
  <c r="Q516" i="88"/>
  <c r="O517" i="88"/>
  <c r="M516" i="88" s="1"/>
  <c r="Q518" i="88"/>
  <c r="O518" i="88"/>
  <c r="U516" i="88"/>
  <c r="T516" i="88"/>
  <c r="S516" i="88" s="1"/>
  <c r="Q517" i="88"/>
  <c r="D751" i="86"/>
  <c r="B751" i="86"/>
  <c r="F758" i="86"/>
  <c r="A761" i="86"/>
  <c r="O754" i="86"/>
  <c r="N754" i="86" s="1"/>
  <c r="L755" i="86"/>
  <c r="Q755" i="86"/>
  <c r="P755" i="86" s="1"/>
  <c r="F754" i="86"/>
  <c r="M754" i="86"/>
  <c r="K755" i="86"/>
  <c r="G755" i="86"/>
  <c r="R754" i="86"/>
  <c r="M755" i="86"/>
  <c r="Q754" i="86"/>
  <c r="P754" i="86" s="1"/>
  <c r="K754" i="86"/>
  <c r="L754" i="86"/>
  <c r="O755" i="86"/>
  <c r="N755" i="86" s="1"/>
  <c r="E528" i="88" l="1"/>
  <c r="A534" i="88"/>
  <c r="G526" i="88"/>
  <c r="G525" i="88"/>
  <c r="E526" i="88"/>
  <c r="E525" i="88"/>
  <c r="C524" i="88" s="1"/>
  <c r="G524" i="88"/>
  <c r="K524" i="88"/>
  <c r="K525" i="88"/>
  <c r="J524" i="88"/>
  <c r="I524" i="88" s="1"/>
  <c r="J525" i="88"/>
  <c r="I525" i="88" s="1"/>
  <c r="D754" i="86"/>
  <c r="B754" i="86"/>
  <c r="F761" i="86"/>
  <c r="A764" i="86"/>
  <c r="O758" i="86"/>
  <c r="N758" i="86" s="1"/>
  <c r="F757" i="86"/>
  <c r="M757" i="86"/>
  <c r="K758" i="86"/>
  <c r="G758" i="86"/>
  <c r="R757" i="86"/>
  <c r="L757" i="86"/>
  <c r="Q758" i="86"/>
  <c r="P758" i="86" s="1"/>
  <c r="Q757" i="86"/>
  <c r="P757" i="86" s="1"/>
  <c r="O757" i="86"/>
  <c r="N757" i="86" s="1"/>
  <c r="M758" i="86"/>
  <c r="K757" i="86"/>
  <c r="L758" i="86"/>
  <c r="A538" i="88" l="1"/>
  <c r="E532" i="88"/>
  <c r="G528" i="88"/>
  <c r="E530" i="88"/>
  <c r="E529" i="88"/>
  <c r="C528" i="88" s="1"/>
  <c r="G529" i="88"/>
  <c r="J529" i="88"/>
  <c r="I529" i="88" s="1"/>
  <c r="K528" i="88"/>
  <c r="K529" i="88"/>
  <c r="J528" i="88"/>
  <c r="I528" i="88" s="1"/>
  <c r="G530" i="88"/>
  <c r="D757" i="86"/>
  <c r="B757" i="86"/>
  <c r="A767" i="86"/>
  <c r="F764" i="86"/>
  <c r="K760" i="86"/>
  <c r="M760" i="86"/>
  <c r="O761" i="86"/>
  <c r="N761" i="86" s="1"/>
  <c r="L760" i="86"/>
  <c r="K761" i="86"/>
  <c r="M761" i="86"/>
  <c r="G761" i="86"/>
  <c r="L761" i="86"/>
  <c r="F760" i="86"/>
  <c r="O760" i="86"/>
  <c r="N760" i="86" s="1"/>
  <c r="R760" i="86"/>
  <c r="Q761" i="86"/>
  <c r="P761" i="86" s="1"/>
  <c r="Q760" i="86"/>
  <c r="P760" i="86" s="1"/>
  <c r="E533" i="88" l="1"/>
  <c r="C532" i="88" s="1"/>
  <c r="K532" i="88"/>
  <c r="K533" i="88"/>
  <c r="J532" i="88"/>
  <c r="I532" i="88" s="1"/>
  <c r="J533" i="88"/>
  <c r="I533" i="88" s="1"/>
  <c r="G532" i="88"/>
  <c r="G534" i="88"/>
  <c r="G533" i="88"/>
  <c r="E534" i="88"/>
  <c r="E536" i="88"/>
  <c r="A542" i="88"/>
  <c r="D760" i="86"/>
  <c r="B760" i="86"/>
  <c r="F763" i="86"/>
  <c r="K764" i="86"/>
  <c r="G764" i="86"/>
  <c r="R763" i="86"/>
  <c r="O763" i="86"/>
  <c r="N763" i="86" s="1"/>
  <c r="M763" i="86"/>
  <c r="O764" i="86"/>
  <c r="N764" i="86" s="1"/>
  <c r="L763" i="86"/>
  <c r="M764" i="86"/>
  <c r="L764" i="86"/>
  <c r="K763" i="86"/>
  <c r="Q764" i="86"/>
  <c r="P764" i="86" s="1"/>
  <c r="Q763" i="86"/>
  <c r="P763" i="86" s="1"/>
  <c r="F767" i="86"/>
  <c r="A770" i="86"/>
  <c r="E540" i="88" l="1"/>
  <c r="A546" i="88"/>
  <c r="J536" i="88"/>
  <c r="I536" i="88" s="1"/>
  <c r="G536" i="88"/>
  <c r="J537" i="88"/>
  <c r="I537" i="88" s="1"/>
  <c r="G538" i="88"/>
  <c r="G537" i="88"/>
  <c r="E538" i="88"/>
  <c r="E537" i="88"/>
  <c r="C536" i="88" s="1"/>
  <c r="K536" i="88"/>
  <c r="K537" i="88"/>
  <c r="F770" i="86"/>
  <c r="A773" i="86"/>
  <c r="D763" i="86"/>
  <c r="B763" i="86"/>
  <c r="K767" i="86"/>
  <c r="R766" i="86"/>
  <c r="L767" i="86"/>
  <c r="O766" i="86"/>
  <c r="N766" i="86" s="1"/>
  <c r="M766" i="86"/>
  <c r="O767" i="86"/>
  <c r="N767" i="86" s="1"/>
  <c r="L766" i="86"/>
  <c r="G767" i="86"/>
  <c r="M767" i="86"/>
  <c r="K766" i="86"/>
  <c r="F766" i="86"/>
  <c r="Q766" i="86"/>
  <c r="P766" i="86" s="1"/>
  <c r="Q767" i="86"/>
  <c r="P767" i="86" s="1"/>
  <c r="A550" i="88" l="1"/>
  <c r="E544" i="88"/>
  <c r="G540" i="88"/>
  <c r="E542" i="88"/>
  <c r="E541" i="88"/>
  <c r="C540" i="88" s="1"/>
  <c r="G542" i="88"/>
  <c r="K540" i="88"/>
  <c r="K541" i="88"/>
  <c r="J540" i="88"/>
  <c r="I540" i="88" s="1"/>
  <c r="G541" i="88"/>
  <c r="J541" i="88"/>
  <c r="I541" i="88" s="1"/>
  <c r="D766" i="86"/>
  <c r="B766" i="86"/>
  <c r="A776" i="86"/>
  <c r="F773" i="86"/>
  <c r="Q770" i="86"/>
  <c r="P770" i="86" s="1"/>
  <c r="L770" i="86"/>
  <c r="F769" i="86"/>
  <c r="K770" i="86"/>
  <c r="G770" i="86"/>
  <c r="R769" i="86"/>
  <c r="O769" i="86"/>
  <c r="N769" i="86" s="1"/>
  <c r="O770" i="86"/>
  <c r="N770" i="86" s="1"/>
  <c r="Q769" i="86"/>
  <c r="P769" i="86" s="1"/>
  <c r="L769" i="86"/>
  <c r="M769" i="86"/>
  <c r="K769" i="86"/>
  <c r="M770" i="86"/>
  <c r="E545" i="88" l="1"/>
  <c r="C544" i="88" s="1"/>
  <c r="K544" i="88"/>
  <c r="K545" i="88"/>
  <c r="J544" i="88"/>
  <c r="I544" i="88" s="1"/>
  <c r="J545" i="88"/>
  <c r="I545" i="88" s="1"/>
  <c r="G544" i="88"/>
  <c r="G546" i="88"/>
  <c r="G545" i="88"/>
  <c r="E546" i="88"/>
  <c r="E548" i="88"/>
  <c r="A554" i="88"/>
  <c r="D769" i="86"/>
  <c r="B769" i="86"/>
  <c r="Q773" i="86"/>
  <c r="P773" i="86" s="1"/>
  <c r="O772" i="86"/>
  <c r="N772" i="86" s="1"/>
  <c r="M772" i="86"/>
  <c r="O773" i="86"/>
  <c r="N773" i="86" s="1"/>
  <c r="L772" i="86"/>
  <c r="M773" i="86"/>
  <c r="K772" i="86"/>
  <c r="L773" i="86"/>
  <c r="F772" i="86"/>
  <c r="K773" i="86"/>
  <c r="R772" i="86"/>
  <c r="G773" i="86"/>
  <c r="Q772" i="86"/>
  <c r="P772" i="86" s="1"/>
  <c r="A779" i="86"/>
  <c r="F776" i="86"/>
  <c r="E552" i="88" l="1"/>
  <c r="A558" i="88"/>
  <c r="J548" i="88"/>
  <c r="I548" i="88" s="1"/>
  <c r="J549" i="88"/>
  <c r="I549" i="88" s="1"/>
  <c r="G548" i="88"/>
  <c r="G550" i="88"/>
  <c r="G549" i="88"/>
  <c r="K548" i="88"/>
  <c r="E550" i="88"/>
  <c r="E549" i="88"/>
  <c r="C548" i="88" s="1"/>
  <c r="K549" i="88"/>
  <c r="A782" i="86"/>
  <c r="F779" i="86"/>
  <c r="D772" i="86"/>
  <c r="B772" i="86"/>
  <c r="K776" i="86"/>
  <c r="M775" i="86"/>
  <c r="G776" i="86"/>
  <c r="R775" i="86"/>
  <c r="Q775" i="86"/>
  <c r="P775" i="86" s="1"/>
  <c r="K775" i="86"/>
  <c r="L775" i="86"/>
  <c r="Q776" i="86"/>
  <c r="P776" i="86" s="1"/>
  <c r="L776" i="86"/>
  <c r="O775" i="86"/>
  <c r="N775" i="86" s="1"/>
  <c r="O776" i="86"/>
  <c r="N776" i="86" s="1"/>
  <c r="F775" i="86"/>
  <c r="M776" i="86"/>
  <c r="A562" i="88" l="1"/>
  <c r="E556" i="88"/>
  <c r="G552" i="88"/>
  <c r="E554" i="88"/>
  <c r="E553" i="88"/>
  <c r="C552" i="88" s="1"/>
  <c r="K552" i="88"/>
  <c r="G553" i="88"/>
  <c r="K553" i="88"/>
  <c r="J552" i="88"/>
  <c r="I552" i="88" s="1"/>
  <c r="J553" i="88"/>
  <c r="I553" i="88" s="1"/>
  <c r="G554" i="88"/>
  <c r="D775" i="86"/>
  <c r="B775" i="86"/>
  <c r="M778" i="86"/>
  <c r="O779" i="86"/>
  <c r="N779" i="86" s="1"/>
  <c r="G779" i="86"/>
  <c r="L778" i="86"/>
  <c r="M779" i="86"/>
  <c r="K778" i="86"/>
  <c r="L779" i="86"/>
  <c r="F778" i="86"/>
  <c r="K779" i="86"/>
  <c r="Q779" i="86"/>
  <c r="P779" i="86" s="1"/>
  <c r="R778" i="86"/>
  <c r="O778" i="86"/>
  <c r="N778" i="86" s="1"/>
  <c r="Q778" i="86"/>
  <c r="P778" i="86" s="1"/>
  <c r="F782" i="86"/>
  <c r="A785" i="86"/>
  <c r="E557" i="88" l="1"/>
  <c r="C556" i="88" s="1"/>
  <c r="K556" i="88"/>
  <c r="K557" i="88"/>
  <c r="J556" i="88"/>
  <c r="I556" i="88" s="1"/>
  <c r="J557" i="88"/>
  <c r="I557" i="88" s="1"/>
  <c r="G556" i="88"/>
  <c r="G558" i="88"/>
  <c r="G557" i="88"/>
  <c r="E558" i="88"/>
  <c r="E560" i="88"/>
  <c r="A566" i="88"/>
  <c r="F785" i="86"/>
  <c r="A788" i="86"/>
  <c r="D778" i="86"/>
  <c r="B778" i="86"/>
  <c r="R781" i="86"/>
  <c r="Q781" i="86"/>
  <c r="P781" i="86" s="1"/>
  <c r="M782" i="86"/>
  <c r="K781" i="86"/>
  <c r="Q782" i="86"/>
  <c r="P782" i="86" s="1"/>
  <c r="O781" i="86"/>
  <c r="N781" i="86" s="1"/>
  <c r="M781" i="86"/>
  <c r="K782" i="86"/>
  <c r="O782" i="86"/>
  <c r="N782" i="86" s="1"/>
  <c r="L781" i="86"/>
  <c r="F781" i="86"/>
  <c r="G782" i="86"/>
  <c r="L782" i="86"/>
  <c r="E564" i="88" l="1"/>
  <c r="A570" i="88"/>
  <c r="J560" i="88"/>
  <c r="I560" i="88" s="1"/>
  <c r="J561" i="88"/>
  <c r="I561" i="88" s="1"/>
  <c r="G560" i="88"/>
  <c r="K561" i="88"/>
  <c r="G562" i="88"/>
  <c r="G561" i="88"/>
  <c r="E562" i="88"/>
  <c r="E561" i="88"/>
  <c r="C560" i="88" s="1"/>
  <c r="K560" i="88"/>
  <c r="D781" i="86"/>
  <c r="B781" i="86"/>
  <c r="A791" i="86"/>
  <c r="F788" i="86"/>
  <c r="L784" i="86"/>
  <c r="M785" i="86"/>
  <c r="K784" i="86"/>
  <c r="L785" i="86"/>
  <c r="O784" i="86"/>
  <c r="N784" i="86" s="1"/>
  <c r="F784" i="86"/>
  <c r="K785" i="86"/>
  <c r="Q785" i="86"/>
  <c r="P785" i="86" s="1"/>
  <c r="G785" i="86"/>
  <c r="R784" i="86"/>
  <c r="M784" i="86"/>
  <c r="Q784" i="86"/>
  <c r="P784" i="86" s="1"/>
  <c r="O785" i="86"/>
  <c r="N785" i="86" s="1"/>
  <c r="A574" i="88" l="1"/>
  <c r="E568" i="88"/>
  <c r="G564" i="88"/>
  <c r="E566" i="88"/>
  <c r="E565" i="88"/>
  <c r="C564" i="88" s="1"/>
  <c r="J565" i="88"/>
  <c r="I565" i="88" s="1"/>
  <c r="G565" i="88"/>
  <c r="K564" i="88"/>
  <c r="G566" i="88"/>
  <c r="K565" i="88"/>
  <c r="J564" i="88"/>
  <c r="I564" i="88" s="1"/>
  <c r="D784" i="86"/>
  <c r="B784" i="86"/>
  <c r="Q788" i="86"/>
  <c r="P788" i="86" s="1"/>
  <c r="O787" i="86"/>
  <c r="N787" i="86" s="1"/>
  <c r="M787" i="86"/>
  <c r="O788" i="86"/>
  <c r="N788" i="86" s="1"/>
  <c r="Q787" i="86"/>
  <c r="P787" i="86" s="1"/>
  <c r="L787" i="86"/>
  <c r="M788" i="86"/>
  <c r="K787" i="86"/>
  <c r="L788" i="86"/>
  <c r="F787" i="86"/>
  <c r="R787" i="86"/>
  <c r="G788" i="86"/>
  <c r="K788" i="86"/>
  <c r="F791" i="86"/>
  <c r="A794" i="86"/>
  <c r="E569" i="88" l="1"/>
  <c r="C568" i="88" s="1"/>
  <c r="K568" i="88"/>
  <c r="K569" i="88"/>
  <c r="J568" i="88"/>
  <c r="I568" i="88" s="1"/>
  <c r="J569" i="88"/>
  <c r="I569" i="88" s="1"/>
  <c r="G568" i="88"/>
  <c r="G570" i="88"/>
  <c r="G569" i="88"/>
  <c r="E570" i="88"/>
  <c r="E572" i="88"/>
  <c r="B526" i="88"/>
  <c r="D787" i="86"/>
  <c r="B787" i="86"/>
  <c r="L791" i="86"/>
  <c r="O790" i="86"/>
  <c r="N790" i="86" s="1"/>
  <c r="F790" i="86"/>
  <c r="K791" i="86"/>
  <c r="L790" i="86"/>
  <c r="G791" i="86"/>
  <c r="M791" i="86"/>
  <c r="K790" i="86"/>
  <c r="M790" i="86"/>
  <c r="R790" i="86"/>
  <c r="Q790" i="86"/>
  <c r="P790" i="86" s="1"/>
  <c r="Q791" i="86"/>
  <c r="P791" i="86" s="1"/>
  <c r="O791" i="86"/>
  <c r="N791" i="86" s="1"/>
  <c r="A797" i="86"/>
  <c r="F794" i="86"/>
  <c r="O524" i="88" l="1"/>
  <c r="B530" i="88"/>
  <c r="K572" i="88"/>
  <c r="J572" i="88"/>
  <c r="I572" i="88" s="1"/>
  <c r="G572" i="88"/>
  <c r="G574" i="88"/>
  <c r="E574" i="88"/>
  <c r="K573" i="88"/>
  <c r="J573" i="88"/>
  <c r="I573" i="88" s="1"/>
  <c r="G573" i="88"/>
  <c r="E573" i="88"/>
  <c r="C572" i="88" s="1"/>
  <c r="A800" i="86"/>
  <c r="F797" i="86"/>
  <c r="D790" i="86"/>
  <c r="B790" i="86"/>
  <c r="O794" i="86"/>
  <c r="N794" i="86" s="1"/>
  <c r="L793" i="86"/>
  <c r="M794" i="86"/>
  <c r="O793" i="86"/>
  <c r="N793" i="86" s="1"/>
  <c r="K793" i="86"/>
  <c r="L794" i="86"/>
  <c r="F793" i="86"/>
  <c r="M793" i="86"/>
  <c r="K794" i="86"/>
  <c r="R793" i="86"/>
  <c r="Q793" i="86"/>
  <c r="P793" i="86" s="1"/>
  <c r="G794" i="86"/>
  <c r="Q794" i="86"/>
  <c r="P794" i="86" s="1"/>
  <c r="O528" i="88" l="1"/>
  <c r="B534" i="88"/>
  <c r="Q524" i="88"/>
  <c r="Q525" i="88"/>
  <c r="Q526" i="88"/>
  <c r="U524" i="88"/>
  <c r="T524" i="88"/>
  <c r="S524" i="88" s="1"/>
  <c r="O526" i="88"/>
  <c r="U525" i="88"/>
  <c r="O525" i="88"/>
  <c r="M524" i="88" s="1"/>
  <c r="T525" i="88"/>
  <c r="S525" i="88" s="1"/>
  <c r="M796" i="86"/>
  <c r="G797" i="86"/>
  <c r="O796" i="86"/>
  <c r="N796" i="86" s="1"/>
  <c r="R796" i="86"/>
  <c r="M797" i="86"/>
  <c r="Q796" i="86"/>
  <c r="P796" i="86" s="1"/>
  <c r="L797" i="86"/>
  <c r="O797" i="86"/>
  <c r="N797" i="86" s="1"/>
  <c r="K796" i="86"/>
  <c r="Q797" i="86"/>
  <c r="P797" i="86" s="1"/>
  <c r="F796" i="86"/>
  <c r="K797" i="86"/>
  <c r="L796" i="86"/>
  <c r="D793" i="86"/>
  <c r="B793" i="86"/>
  <c r="F800" i="86"/>
  <c r="A803" i="86"/>
  <c r="B538" i="88" l="1"/>
  <c r="O532" i="88"/>
  <c r="Q530" i="88"/>
  <c r="O530" i="88"/>
  <c r="U528" i="88"/>
  <c r="U529" i="88"/>
  <c r="T529" i="88"/>
  <c r="S529" i="88" s="1"/>
  <c r="Q528" i="88"/>
  <c r="Q529" i="88"/>
  <c r="O529" i="88"/>
  <c r="M528" i="88" s="1"/>
  <c r="T528" i="88"/>
  <c r="S528" i="88" s="1"/>
  <c r="F803" i="86"/>
  <c r="A806" i="86"/>
  <c r="K799" i="86"/>
  <c r="R799" i="86"/>
  <c r="M800" i="86"/>
  <c r="Q800" i="86"/>
  <c r="P800" i="86" s="1"/>
  <c r="Q799" i="86"/>
  <c r="P799" i="86" s="1"/>
  <c r="O799" i="86"/>
  <c r="N799" i="86" s="1"/>
  <c r="M799" i="86"/>
  <c r="L800" i="86"/>
  <c r="O800" i="86"/>
  <c r="N800" i="86" s="1"/>
  <c r="L799" i="86"/>
  <c r="F799" i="86"/>
  <c r="K800" i="86"/>
  <c r="G800" i="86"/>
  <c r="D796" i="86"/>
  <c r="B796" i="86"/>
  <c r="Q533" i="88" l="1"/>
  <c r="T533" i="88"/>
  <c r="S533" i="88" s="1"/>
  <c r="O533" i="88"/>
  <c r="M532" i="88" s="1"/>
  <c r="Q534" i="88"/>
  <c r="O534" i="88"/>
  <c r="U532" i="88"/>
  <c r="U533" i="88"/>
  <c r="T532" i="88"/>
  <c r="S532" i="88" s="1"/>
  <c r="Q532" i="88"/>
  <c r="O536" i="88"/>
  <c r="B542" i="88"/>
  <c r="D799" i="86"/>
  <c r="B799" i="86"/>
  <c r="A809" i="86"/>
  <c r="F806" i="86"/>
  <c r="K802" i="86"/>
  <c r="O803" i="86"/>
  <c r="N803" i="86" s="1"/>
  <c r="O802" i="86"/>
  <c r="N802" i="86" s="1"/>
  <c r="M802" i="86"/>
  <c r="K803" i="86"/>
  <c r="L803" i="86"/>
  <c r="F802" i="86"/>
  <c r="M803" i="86"/>
  <c r="G803" i="86"/>
  <c r="L802" i="86"/>
  <c r="R802" i="86"/>
  <c r="Q803" i="86"/>
  <c r="P803" i="86" s="1"/>
  <c r="Q802" i="86"/>
  <c r="P802" i="86" s="1"/>
  <c r="O540" i="88" l="1"/>
  <c r="B546" i="88"/>
  <c r="Q537" i="88"/>
  <c r="O538" i="88"/>
  <c r="Q538" i="88"/>
  <c r="U536" i="88"/>
  <c r="O537" i="88"/>
  <c r="M536" i="88" s="1"/>
  <c r="T536" i="88"/>
  <c r="S536" i="88" s="1"/>
  <c r="U537" i="88"/>
  <c r="T537" i="88"/>
  <c r="S537" i="88" s="1"/>
  <c r="Q536" i="88"/>
  <c r="D802" i="86"/>
  <c r="B802" i="86"/>
  <c r="F805" i="86"/>
  <c r="K806" i="86"/>
  <c r="K805" i="86"/>
  <c r="G806" i="86"/>
  <c r="O805" i="86"/>
  <c r="N805" i="86" s="1"/>
  <c r="R805" i="86"/>
  <c r="M805" i="86"/>
  <c r="O806" i="86"/>
  <c r="N806" i="86" s="1"/>
  <c r="L805" i="86"/>
  <c r="M806" i="86"/>
  <c r="L806" i="86"/>
  <c r="Q806" i="86"/>
  <c r="P806" i="86" s="1"/>
  <c r="Q805" i="86"/>
  <c r="P805" i="86" s="1"/>
  <c r="F809" i="86"/>
  <c r="A812" i="86"/>
  <c r="B550" i="88" l="1"/>
  <c r="O544" i="88"/>
  <c r="O542" i="88"/>
  <c r="U540" i="88"/>
  <c r="T540" i="88"/>
  <c r="S540" i="88" s="1"/>
  <c r="U541" i="88"/>
  <c r="T541" i="88"/>
  <c r="S541" i="88" s="1"/>
  <c r="Q540" i="88"/>
  <c r="Q541" i="88"/>
  <c r="O541" i="88"/>
  <c r="M540" i="88" s="1"/>
  <c r="Q542" i="88"/>
  <c r="D805" i="86"/>
  <c r="B805" i="86"/>
  <c r="A815" i="86"/>
  <c r="F812" i="86"/>
  <c r="O808" i="86"/>
  <c r="N808" i="86" s="1"/>
  <c r="M808" i="86"/>
  <c r="F808" i="86"/>
  <c r="O809" i="86"/>
  <c r="N809" i="86" s="1"/>
  <c r="L808" i="86"/>
  <c r="M809" i="86"/>
  <c r="K808" i="86"/>
  <c r="K809" i="86"/>
  <c r="G809" i="86"/>
  <c r="L809" i="86"/>
  <c r="R808" i="86"/>
  <c r="Q809" i="86"/>
  <c r="P809" i="86" s="1"/>
  <c r="Q808" i="86"/>
  <c r="P808" i="86" s="1"/>
  <c r="Q545" i="88" l="1"/>
  <c r="O545" i="88"/>
  <c r="M544" i="88" s="1"/>
  <c r="Q546" i="88"/>
  <c r="O546" i="88"/>
  <c r="U544" i="88"/>
  <c r="T544" i="88"/>
  <c r="S544" i="88" s="1"/>
  <c r="U545" i="88"/>
  <c r="T545" i="88"/>
  <c r="S545" i="88" s="1"/>
  <c r="Q544" i="88"/>
  <c r="O548" i="88"/>
  <c r="B554" i="88"/>
  <c r="D808" i="86"/>
  <c r="B808" i="86"/>
  <c r="F811" i="86"/>
  <c r="K812" i="86"/>
  <c r="G812" i="86"/>
  <c r="O811" i="86"/>
  <c r="N811" i="86" s="1"/>
  <c r="R811" i="86"/>
  <c r="Q811" i="86"/>
  <c r="P811" i="86" s="1"/>
  <c r="O812" i="86"/>
  <c r="N812" i="86" s="1"/>
  <c r="M811" i="86"/>
  <c r="L811" i="86"/>
  <c r="Q812" i="86"/>
  <c r="P812" i="86" s="1"/>
  <c r="M812" i="86"/>
  <c r="L812" i="86"/>
  <c r="K811" i="86"/>
  <c r="A818" i="86"/>
  <c r="F815" i="86"/>
  <c r="O552" i="88" l="1"/>
  <c r="B558" i="88"/>
  <c r="Q549" i="88"/>
  <c r="Q550" i="88"/>
  <c r="O550" i="88"/>
  <c r="U548" i="88"/>
  <c r="T548" i="88"/>
  <c r="S548" i="88" s="1"/>
  <c r="U549" i="88"/>
  <c r="T549" i="88"/>
  <c r="S549" i="88" s="1"/>
  <c r="Q548" i="88"/>
  <c r="O549" i="88"/>
  <c r="M548" i="88" s="1"/>
  <c r="L814" i="86"/>
  <c r="G815" i="86"/>
  <c r="M815" i="86"/>
  <c r="K814" i="86"/>
  <c r="L815" i="86"/>
  <c r="F814" i="86"/>
  <c r="R814" i="86"/>
  <c r="K815" i="86"/>
  <c r="Q814" i="86"/>
  <c r="P814" i="86" s="1"/>
  <c r="Q815" i="86"/>
  <c r="P815" i="86" s="1"/>
  <c r="O814" i="86"/>
  <c r="N814" i="86" s="1"/>
  <c r="M814" i="86"/>
  <c r="O815" i="86"/>
  <c r="N815" i="86" s="1"/>
  <c r="D811" i="86"/>
  <c r="B811" i="86"/>
  <c r="F818" i="86"/>
  <c r="A821" i="86"/>
  <c r="B562" i="88" l="1"/>
  <c r="O556" i="88"/>
  <c r="O554" i="88"/>
  <c r="U552" i="88"/>
  <c r="T552" i="88"/>
  <c r="S552" i="88" s="1"/>
  <c r="U553" i="88"/>
  <c r="T553" i="88"/>
  <c r="S553" i="88" s="1"/>
  <c r="Q552" i="88"/>
  <c r="Q553" i="88"/>
  <c r="O553" i="88"/>
  <c r="M552" i="88" s="1"/>
  <c r="Q554" i="88"/>
  <c r="A824" i="86"/>
  <c r="F821" i="86"/>
  <c r="R817" i="86"/>
  <c r="K818" i="86"/>
  <c r="G818" i="86"/>
  <c r="O818" i="86"/>
  <c r="N818" i="86" s="1"/>
  <c r="Q817" i="86"/>
  <c r="P817" i="86" s="1"/>
  <c r="L817" i="86"/>
  <c r="Q818" i="86"/>
  <c r="P818" i="86" s="1"/>
  <c r="O817" i="86"/>
  <c r="N817" i="86" s="1"/>
  <c r="M818" i="86"/>
  <c r="L818" i="86"/>
  <c r="K817" i="86"/>
  <c r="F817" i="86"/>
  <c r="M817" i="86"/>
  <c r="D814" i="86"/>
  <c r="B814" i="86"/>
  <c r="Q558" i="88" l="1"/>
  <c r="U557" i="88"/>
  <c r="O558" i="88"/>
  <c r="U556" i="88"/>
  <c r="T556" i="88"/>
  <c r="S556" i="88" s="1"/>
  <c r="T557" i="88"/>
  <c r="S557" i="88" s="1"/>
  <c r="Q556" i="88"/>
  <c r="Q557" i="88"/>
  <c r="O557" i="88"/>
  <c r="M556" i="88" s="1"/>
  <c r="O560" i="88"/>
  <c r="B566" i="88"/>
  <c r="D817" i="86"/>
  <c r="B817" i="86"/>
  <c r="L821" i="86"/>
  <c r="F820" i="86"/>
  <c r="K821" i="86"/>
  <c r="G821" i="86"/>
  <c r="Q820" i="86"/>
  <c r="P820" i="86" s="1"/>
  <c r="Q821" i="86"/>
  <c r="P821" i="86" s="1"/>
  <c r="R820" i="86"/>
  <c r="O820" i="86"/>
  <c r="N820" i="86" s="1"/>
  <c r="M820" i="86"/>
  <c r="L820" i="86"/>
  <c r="M821" i="86"/>
  <c r="K820" i="86"/>
  <c r="O821" i="86"/>
  <c r="N821" i="86" s="1"/>
  <c r="F824" i="86"/>
  <c r="A827" i="86"/>
  <c r="O564" i="88" l="1"/>
  <c r="B570" i="88"/>
  <c r="T561" i="88"/>
  <c r="S561" i="88" s="1"/>
  <c r="Q560" i="88"/>
  <c r="O561" i="88"/>
  <c r="M560" i="88" s="1"/>
  <c r="Q561" i="88"/>
  <c r="Q562" i="88"/>
  <c r="O562" i="88"/>
  <c r="U560" i="88"/>
  <c r="T560" i="88"/>
  <c r="S560" i="88" s="1"/>
  <c r="U561" i="88"/>
  <c r="D820" i="86"/>
  <c r="B820" i="86"/>
  <c r="A830" i="86"/>
  <c r="F827" i="86"/>
  <c r="K823" i="86"/>
  <c r="Q824" i="86"/>
  <c r="P824" i="86" s="1"/>
  <c r="M824" i="86"/>
  <c r="O823" i="86"/>
  <c r="N823" i="86" s="1"/>
  <c r="L824" i="86"/>
  <c r="M823" i="86"/>
  <c r="O824" i="86"/>
  <c r="N824" i="86" s="1"/>
  <c r="L823" i="86"/>
  <c r="G824" i="86"/>
  <c r="K824" i="86"/>
  <c r="R823" i="86"/>
  <c r="F823" i="86"/>
  <c r="Q823" i="86"/>
  <c r="P823" i="86" s="1"/>
  <c r="O568" i="88" l="1"/>
  <c r="A578" i="88"/>
  <c r="Q565" i="88"/>
  <c r="O565" i="88"/>
  <c r="M564" i="88" s="1"/>
  <c r="Q566" i="88"/>
  <c r="O566" i="88"/>
  <c r="T564" i="88"/>
  <c r="S564" i="88" s="1"/>
  <c r="U564" i="88"/>
  <c r="U565" i="88"/>
  <c r="T565" i="88"/>
  <c r="S565" i="88" s="1"/>
  <c r="Q564" i="88"/>
  <c r="D823" i="86"/>
  <c r="B823" i="86"/>
  <c r="K827" i="86"/>
  <c r="L827" i="86"/>
  <c r="G827" i="86"/>
  <c r="Q826" i="86"/>
  <c r="P826" i="86" s="1"/>
  <c r="R826" i="86"/>
  <c r="Q827" i="86"/>
  <c r="P827" i="86" s="1"/>
  <c r="M826" i="86"/>
  <c r="O826" i="86"/>
  <c r="N826" i="86" s="1"/>
  <c r="O827" i="86"/>
  <c r="N827" i="86" s="1"/>
  <c r="L826" i="86"/>
  <c r="M827" i="86"/>
  <c r="K826" i="86"/>
  <c r="F826" i="86"/>
  <c r="A833" i="86"/>
  <c r="F830" i="86"/>
  <c r="E576" i="88" l="1"/>
  <c r="A582" i="88"/>
  <c r="O569" i="88"/>
  <c r="M568" i="88" s="1"/>
  <c r="Q570" i="88"/>
  <c r="O570" i="88"/>
  <c r="U569" i="88"/>
  <c r="U568" i="88"/>
  <c r="T568" i="88"/>
  <c r="S568" i="88" s="1"/>
  <c r="T569" i="88"/>
  <c r="S569" i="88" s="1"/>
  <c r="Q568" i="88"/>
  <c r="Q569" i="88"/>
  <c r="M829" i="86"/>
  <c r="G830" i="86"/>
  <c r="O830" i="86"/>
  <c r="N830" i="86" s="1"/>
  <c r="L829" i="86"/>
  <c r="M830" i="86"/>
  <c r="O829" i="86"/>
  <c r="N829" i="86" s="1"/>
  <c r="K829" i="86"/>
  <c r="L830" i="86"/>
  <c r="F829" i="86"/>
  <c r="R829" i="86"/>
  <c r="K830" i="86"/>
  <c r="Q829" i="86"/>
  <c r="P829" i="86" s="1"/>
  <c r="Q830" i="86"/>
  <c r="P830" i="86" s="1"/>
  <c r="D826" i="86"/>
  <c r="B826" i="86"/>
  <c r="F833" i="86"/>
  <c r="A836" i="86"/>
  <c r="A586" i="88" l="1"/>
  <c r="E580" i="88"/>
  <c r="G578" i="88"/>
  <c r="G577" i="88"/>
  <c r="E578" i="88"/>
  <c r="E577" i="88"/>
  <c r="C576" i="88" s="1"/>
  <c r="G576" i="88"/>
  <c r="K576" i="88"/>
  <c r="K577" i="88"/>
  <c r="J576" i="88"/>
  <c r="I576" i="88" s="1"/>
  <c r="J577" i="88"/>
  <c r="I577" i="88" s="1"/>
  <c r="A839" i="86"/>
  <c r="F836" i="86"/>
  <c r="G833" i="86"/>
  <c r="Q833" i="86"/>
  <c r="P833" i="86" s="1"/>
  <c r="R832" i="86"/>
  <c r="Q832" i="86"/>
  <c r="P832" i="86" s="1"/>
  <c r="M832" i="86"/>
  <c r="O833" i="86"/>
  <c r="N833" i="86" s="1"/>
  <c r="L833" i="86"/>
  <c r="F832" i="86"/>
  <c r="M833" i="86"/>
  <c r="L832" i="86"/>
  <c r="K832" i="86"/>
  <c r="O832" i="86"/>
  <c r="N832" i="86" s="1"/>
  <c r="K833" i="86"/>
  <c r="D829" i="86"/>
  <c r="B829" i="86"/>
  <c r="E582" i="88" l="1"/>
  <c r="E581" i="88"/>
  <c r="C580" i="88" s="1"/>
  <c r="K580" i="88"/>
  <c r="G581" i="88"/>
  <c r="K581" i="88"/>
  <c r="J580" i="88"/>
  <c r="I580" i="88" s="1"/>
  <c r="J581" i="88"/>
  <c r="I581" i="88" s="1"/>
  <c r="G580" i="88"/>
  <c r="G582" i="88"/>
  <c r="A590" i="88"/>
  <c r="E584" i="88"/>
  <c r="D832" i="86"/>
  <c r="B832" i="86"/>
  <c r="L836" i="86"/>
  <c r="F835" i="86"/>
  <c r="K836" i="86"/>
  <c r="M836" i="86"/>
  <c r="K835" i="86"/>
  <c r="G836" i="86"/>
  <c r="Q835" i="86"/>
  <c r="P835" i="86" s="1"/>
  <c r="R835" i="86"/>
  <c r="Q836" i="86"/>
  <c r="P836" i="86" s="1"/>
  <c r="O835" i="86"/>
  <c r="N835" i="86" s="1"/>
  <c r="M835" i="86"/>
  <c r="O836" i="86"/>
  <c r="N836" i="86" s="1"/>
  <c r="L835" i="86"/>
  <c r="F839" i="86"/>
  <c r="A842" i="86"/>
  <c r="E586" i="88" l="1"/>
  <c r="E585" i="88"/>
  <c r="C584" i="88" s="1"/>
  <c r="K584" i="88"/>
  <c r="K585" i="88"/>
  <c r="J584" i="88"/>
  <c r="I584" i="88" s="1"/>
  <c r="J585" i="88"/>
  <c r="I585" i="88" s="1"/>
  <c r="G584" i="88"/>
  <c r="G586" i="88"/>
  <c r="G585" i="88"/>
  <c r="E588" i="88"/>
  <c r="A594" i="88"/>
  <c r="D835" i="86"/>
  <c r="B835" i="86"/>
  <c r="F842" i="86"/>
  <c r="A845" i="86"/>
  <c r="M838" i="86"/>
  <c r="Q838" i="86"/>
  <c r="P838" i="86" s="1"/>
  <c r="L838" i="86"/>
  <c r="M839" i="86"/>
  <c r="L839" i="86"/>
  <c r="O839" i="86"/>
  <c r="N839" i="86" s="1"/>
  <c r="K838" i="86"/>
  <c r="F838" i="86"/>
  <c r="Q839" i="86"/>
  <c r="P839" i="86" s="1"/>
  <c r="O838" i="86"/>
  <c r="N838" i="86" s="1"/>
  <c r="K839" i="86"/>
  <c r="G839" i="86"/>
  <c r="R838" i="86"/>
  <c r="A598" i="88" l="1"/>
  <c r="E592" i="88"/>
  <c r="K588" i="88"/>
  <c r="K589" i="88"/>
  <c r="J588" i="88"/>
  <c r="I588" i="88" s="1"/>
  <c r="J589" i="88"/>
  <c r="I589" i="88" s="1"/>
  <c r="G590" i="88"/>
  <c r="G589" i="88"/>
  <c r="E590" i="88"/>
  <c r="E589" i="88"/>
  <c r="C588" i="88" s="1"/>
  <c r="G588" i="88"/>
  <c r="D838" i="86"/>
  <c r="B838" i="86"/>
  <c r="F845" i="86"/>
  <c r="A848" i="86"/>
  <c r="F841" i="86"/>
  <c r="Q841" i="86"/>
  <c r="P841" i="86" s="1"/>
  <c r="L842" i="86"/>
  <c r="M841" i="86"/>
  <c r="K842" i="86"/>
  <c r="O842" i="86"/>
  <c r="N842" i="86" s="1"/>
  <c r="L841" i="86"/>
  <c r="M842" i="86"/>
  <c r="K841" i="86"/>
  <c r="G842" i="86"/>
  <c r="Q842" i="86"/>
  <c r="P842" i="86" s="1"/>
  <c r="O841" i="86"/>
  <c r="N841" i="86" s="1"/>
  <c r="R841" i="86"/>
  <c r="E594" i="88" l="1"/>
  <c r="E593" i="88"/>
  <c r="C592" i="88" s="1"/>
  <c r="K592" i="88"/>
  <c r="K593" i="88"/>
  <c r="J592" i="88"/>
  <c r="I592" i="88" s="1"/>
  <c r="J593" i="88"/>
  <c r="I593" i="88" s="1"/>
  <c r="G592" i="88"/>
  <c r="G594" i="88"/>
  <c r="G593" i="88"/>
  <c r="A602" i="88"/>
  <c r="E596" i="88"/>
  <c r="D841" i="86"/>
  <c r="B841" i="86"/>
  <c r="F848" i="86"/>
  <c r="A851" i="86"/>
  <c r="O845" i="86"/>
  <c r="N845" i="86" s="1"/>
  <c r="K844" i="86"/>
  <c r="L844" i="86"/>
  <c r="O844" i="86"/>
  <c r="N844" i="86" s="1"/>
  <c r="M844" i="86"/>
  <c r="L845" i="86"/>
  <c r="F844" i="86"/>
  <c r="K845" i="86"/>
  <c r="G845" i="86"/>
  <c r="M845" i="86"/>
  <c r="R844" i="86"/>
  <c r="Q845" i="86"/>
  <c r="P845" i="86" s="1"/>
  <c r="Q844" i="86"/>
  <c r="P844" i="86" s="1"/>
  <c r="E598" i="88" l="1"/>
  <c r="E597" i="88"/>
  <c r="C596" i="88" s="1"/>
  <c r="K596" i="88"/>
  <c r="K597" i="88"/>
  <c r="J596" i="88"/>
  <c r="I596" i="88" s="1"/>
  <c r="J597" i="88"/>
  <c r="I597" i="88" s="1"/>
  <c r="G596" i="88"/>
  <c r="G598" i="88"/>
  <c r="G597" i="88"/>
  <c r="E600" i="88"/>
  <c r="A606" i="88"/>
  <c r="D844" i="86"/>
  <c r="B844" i="86"/>
  <c r="F851" i="86"/>
  <c r="A854" i="86"/>
  <c r="K848" i="86"/>
  <c r="G848" i="86"/>
  <c r="O847" i="86"/>
  <c r="N847" i="86" s="1"/>
  <c r="R847" i="86"/>
  <c r="M847" i="86"/>
  <c r="O848" i="86"/>
  <c r="N848" i="86" s="1"/>
  <c r="L847" i="86"/>
  <c r="M848" i="86"/>
  <c r="L848" i="86"/>
  <c r="K847" i="86"/>
  <c r="F847" i="86"/>
  <c r="Q848" i="86"/>
  <c r="P848" i="86" s="1"/>
  <c r="Q847" i="86"/>
  <c r="P847" i="86" s="1"/>
  <c r="A610" i="88" l="1"/>
  <c r="E604" i="88"/>
  <c r="K600" i="88"/>
  <c r="K601" i="88"/>
  <c r="J600" i="88"/>
  <c r="I600" i="88" s="1"/>
  <c r="J601" i="88"/>
  <c r="I601" i="88" s="1"/>
  <c r="G602" i="88"/>
  <c r="G601" i="88"/>
  <c r="E602" i="88"/>
  <c r="E601" i="88"/>
  <c r="C600" i="88" s="1"/>
  <c r="G600" i="88"/>
  <c r="D847" i="86"/>
  <c r="B847" i="86"/>
  <c r="F854" i="86"/>
  <c r="A857" i="86"/>
  <c r="O850" i="86"/>
  <c r="N850" i="86" s="1"/>
  <c r="M850" i="86"/>
  <c r="F850" i="86"/>
  <c r="K851" i="86"/>
  <c r="O851" i="86"/>
  <c r="N851" i="86" s="1"/>
  <c r="L850" i="86"/>
  <c r="K850" i="86"/>
  <c r="G851" i="86"/>
  <c r="M851" i="86"/>
  <c r="R850" i="86"/>
  <c r="L851" i="86"/>
  <c r="Q851" i="86"/>
  <c r="P851" i="86" s="1"/>
  <c r="Q850" i="86"/>
  <c r="P850" i="86" s="1"/>
  <c r="E606" i="88" l="1"/>
  <c r="E605" i="88"/>
  <c r="C604" i="88" s="1"/>
  <c r="K604" i="88"/>
  <c r="K605" i="88"/>
  <c r="J604" i="88"/>
  <c r="I604" i="88" s="1"/>
  <c r="J605" i="88"/>
  <c r="I605" i="88" s="1"/>
  <c r="G604" i="88"/>
  <c r="G606" i="88"/>
  <c r="G605" i="88"/>
  <c r="A614" i="88"/>
  <c r="E608" i="88"/>
  <c r="D850" i="86"/>
  <c r="B850" i="86"/>
  <c r="A860" i="86"/>
  <c r="F857" i="86"/>
  <c r="R853" i="86"/>
  <c r="Q853" i="86"/>
  <c r="P853" i="86" s="1"/>
  <c r="O854" i="86"/>
  <c r="N854" i="86" s="1"/>
  <c r="M853" i="86"/>
  <c r="L853" i="86"/>
  <c r="Q854" i="86"/>
  <c r="P854" i="86" s="1"/>
  <c r="M854" i="86"/>
  <c r="K853" i="86"/>
  <c r="L854" i="86"/>
  <c r="F853" i="86"/>
  <c r="K854" i="86"/>
  <c r="O853" i="86"/>
  <c r="N853" i="86" s="1"/>
  <c r="G854" i="86"/>
  <c r="E610" i="88" l="1"/>
  <c r="E609" i="88"/>
  <c r="C608" i="88" s="1"/>
  <c r="K608" i="88"/>
  <c r="K609" i="88"/>
  <c r="J608" i="88"/>
  <c r="I608" i="88" s="1"/>
  <c r="J609" i="88"/>
  <c r="I609" i="88" s="1"/>
  <c r="G608" i="88"/>
  <c r="G610" i="88"/>
  <c r="G609" i="88"/>
  <c r="E612" i="88"/>
  <c r="A618" i="88"/>
  <c r="G857" i="86"/>
  <c r="R856" i="86"/>
  <c r="K857" i="86"/>
  <c r="Q856" i="86"/>
  <c r="P856" i="86" s="1"/>
  <c r="Q857" i="86"/>
  <c r="P857" i="86" s="1"/>
  <c r="O856" i="86"/>
  <c r="N856" i="86" s="1"/>
  <c r="M856" i="86"/>
  <c r="O857" i="86"/>
  <c r="N857" i="86" s="1"/>
  <c r="L856" i="86"/>
  <c r="M857" i="86"/>
  <c r="K856" i="86"/>
  <c r="L857" i="86"/>
  <c r="F856" i="86"/>
  <c r="D853" i="86"/>
  <c r="B853" i="86"/>
  <c r="F860" i="86"/>
  <c r="A863" i="86"/>
  <c r="A622" i="88" l="1"/>
  <c r="E616" i="88"/>
  <c r="K613" i="88"/>
  <c r="J612" i="88"/>
  <c r="I612" i="88" s="1"/>
  <c r="J613" i="88"/>
  <c r="I613" i="88" s="1"/>
  <c r="G612" i="88"/>
  <c r="K612" i="88"/>
  <c r="G614" i="88"/>
  <c r="G613" i="88"/>
  <c r="E614" i="88"/>
  <c r="E613" i="88"/>
  <c r="C612" i="88" s="1"/>
  <c r="A866" i="86"/>
  <c r="F863" i="86"/>
  <c r="O859" i="86"/>
  <c r="N859" i="86" s="1"/>
  <c r="O860" i="86"/>
  <c r="N860" i="86" s="1"/>
  <c r="M860" i="86"/>
  <c r="L860" i="86"/>
  <c r="K859" i="86"/>
  <c r="M859" i="86"/>
  <c r="Q860" i="86"/>
  <c r="P860" i="86" s="1"/>
  <c r="F859" i="86"/>
  <c r="K860" i="86"/>
  <c r="G860" i="86"/>
  <c r="L859" i="86"/>
  <c r="R859" i="86"/>
  <c r="Q859" i="86"/>
  <c r="P859" i="86" s="1"/>
  <c r="D856" i="86"/>
  <c r="B856" i="86"/>
  <c r="E618" i="88" l="1"/>
  <c r="E617" i="88"/>
  <c r="C616" i="88" s="1"/>
  <c r="K616" i="88"/>
  <c r="K617" i="88"/>
  <c r="J616" i="88"/>
  <c r="I616" i="88" s="1"/>
  <c r="J617" i="88"/>
  <c r="I617" i="88" s="1"/>
  <c r="G616" i="88"/>
  <c r="G617" i="88"/>
  <c r="G618" i="88"/>
  <c r="A626" i="88"/>
  <c r="E620" i="88"/>
  <c r="D859" i="86"/>
  <c r="B859" i="86"/>
  <c r="G863" i="86"/>
  <c r="Q863" i="86"/>
  <c r="P863" i="86" s="1"/>
  <c r="Q862" i="86"/>
  <c r="P862" i="86" s="1"/>
  <c r="O862" i="86"/>
  <c r="N862" i="86" s="1"/>
  <c r="M862" i="86"/>
  <c r="O863" i="86"/>
  <c r="N863" i="86" s="1"/>
  <c r="L862" i="86"/>
  <c r="R862" i="86"/>
  <c r="M863" i="86"/>
  <c r="K862" i="86"/>
  <c r="L863" i="86"/>
  <c r="F862" i="86"/>
  <c r="K863" i="86"/>
  <c r="F866" i="86"/>
  <c r="A869" i="86"/>
  <c r="E622" i="88" l="1"/>
  <c r="E621" i="88"/>
  <c r="C620" i="88" s="1"/>
  <c r="K620" i="88"/>
  <c r="K621" i="88"/>
  <c r="J620" i="88"/>
  <c r="I620" i="88" s="1"/>
  <c r="J621" i="88"/>
  <c r="I621" i="88" s="1"/>
  <c r="G620" i="88"/>
  <c r="G622" i="88"/>
  <c r="G621" i="88"/>
  <c r="E624" i="88"/>
  <c r="B578" i="88"/>
  <c r="A872" i="86"/>
  <c r="F869" i="86"/>
  <c r="O866" i="86"/>
  <c r="N866" i="86" s="1"/>
  <c r="L865" i="86"/>
  <c r="K866" i="86"/>
  <c r="G866" i="86"/>
  <c r="K865" i="86"/>
  <c r="M866" i="86"/>
  <c r="R865" i="86"/>
  <c r="Q865" i="86"/>
  <c r="P865" i="86" s="1"/>
  <c r="O865" i="86"/>
  <c r="N865" i="86" s="1"/>
  <c r="F865" i="86"/>
  <c r="L866" i="86"/>
  <c r="Q866" i="86"/>
  <c r="P866" i="86" s="1"/>
  <c r="M865" i="86"/>
  <c r="D862" i="86"/>
  <c r="B862" i="86"/>
  <c r="O576" i="88" l="1"/>
  <c r="B582" i="88"/>
  <c r="E625" i="88"/>
  <c r="C624" i="88" s="1"/>
  <c r="K624" i="88"/>
  <c r="J624" i="88"/>
  <c r="I624" i="88" s="1"/>
  <c r="G624" i="88"/>
  <c r="G626" i="88"/>
  <c r="E626" i="88"/>
  <c r="K625" i="88"/>
  <c r="J625" i="88"/>
  <c r="I625" i="88" s="1"/>
  <c r="G625" i="88"/>
  <c r="D865" i="86"/>
  <c r="B865" i="86"/>
  <c r="Q869" i="86"/>
  <c r="P869" i="86" s="1"/>
  <c r="M868" i="86"/>
  <c r="O868" i="86"/>
  <c r="N868" i="86" s="1"/>
  <c r="O869" i="86"/>
  <c r="N869" i="86" s="1"/>
  <c r="L868" i="86"/>
  <c r="M869" i="86"/>
  <c r="K868" i="86"/>
  <c r="L869" i="86"/>
  <c r="Q868" i="86"/>
  <c r="P868" i="86" s="1"/>
  <c r="F868" i="86"/>
  <c r="K869" i="86"/>
  <c r="G869" i="86"/>
  <c r="R868" i="86"/>
  <c r="A875" i="86"/>
  <c r="F872" i="86"/>
  <c r="O580" i="88" l="1"/>
  <c r="B586" i="88"/>
  <c r="Q576" i="88"/>
  <c r="Q577" i="88"/>
  <c r="O577" i="88"/>
  <c r="M576" i="88" s="1"/>
  <c r="Q578" i="88"/>
  <c r="U576" i="88"/>
  <c r="T576" i="88"/>
  <c r="S576" i="88" s="1"/>
  <c r="U577" i="88"/>
  <c r="O578" i="88"/>
  <c r="T577" i="88"/>
  <c r="S577" i="88" s="1"/>
  <c r="D868" i="86"/>
  <c r="B868" i="86"/>
  <c r="L872" i="86"/>
  <c r="K871" i="86"/>
  <c r="R871" i="86"/>
  <c r="F871" i="86"/>
  <c r="G872" i="86"/>
  <c r="Q871" i="86"/>
  <c r="P871" i="86" s="1"/>
  <c r="Q872" i="86"/>
  <c r="P872" i="86" s="1"/>
  <c r="O871" i="86"/>
  <c r="N871" i="86" s="1"/>
  <c r="K872" i="86"/>
  <c r="M871" i="86"/>
  <c r="O872" i="86"/>
  <c r="N872" i="86" s="1"/>
  <c r="L871" i="86"/>
  <c r="M872" i="86"/>
  <c r="F875" i="86"/>
  <c r="A878" i="86"/>
  <c r="B590" i="88" l="1"/>
  <c r="O584" i="88"/>
  <c r="Q582" i="88"/>
  <c r="T580" i="88"/>
  <c r="S580" i="88" s="1"/>
  <c r="O582" i="88"/>
  <c r="U580" i="88"/>
  <c r="U581" i="88"/>
  <c r="T581" i="88"/>
  <c r="S581" i="88" s="1"/>
  <c r="Q580" i="88"/>
  <c r="Q581" i="88"/>
  <c r="O581" i="88"/>
  <c r="M580" i="88" s="1"/>
  <c r="D871" i="86"/>
  <c r="B871" i="86"/>
  <c r="A881" i="86"/>
  <c r="F878" i="86"/>
  <c r="O875" i="86"/>
  <c r="N875" i="86" s="1"/>
  <c r="L874" i="86"/>
  <c r="M875" i="86"/>
  <c r="Q875" i="86"/>
  <c r="P875" i="86" s="1"/>
  <c r="K874" i="86"/>
  <c r="L875" i="86"/>
  <c r="F874" i="86"/>
  <c r="R874" i="86"/>
  <c r="Q874" i="86"/>
  <c r="P874" i="86" s="1"/>
  <c r="K875" i="86"/>
  <c r="G875" i="86"/>
  <c r="M874" i="86"/>
  <c r="O874" i="86"/>
  <c r="N874" i="86" s="1"/>
  <c r="Q584" i="88" l="1"/>
  <c r="Q585" i="88"/>
  <c r="U585" i="88"/>
  <c r="O585" i="88"/>
  <c r="M584" i="88" s="1"/>
  <c r="Q586" i="88"/>
  <c r="O586" i="88"/>
  <c r="U584" i="88"/>
  <c r="T584" i="88"/>
  <c r="S584" i="88" s="1"/>
  <c r="T585" i="88"/>
  <c r="S585" i="88" s="1"/>
  <c r="O588" i="88"/>
  <c r="B594" i="88"/>
  <c r="Q877" i="86"/>
  <c r="P877" i="86" s="1"/>
  <c r="R877" i="86"/>
  <c r="Q878" i="86"/>
  <c r="P878" i="86" s="1"/>
  <c r="O877" i="86"/>
  <c r="N877" i="86" s="1"/>
  <c r="K878" i="86"/>
  <c r="G878" i="86"/>
  <c r="M877" i="86"/>
  <c r="O878" i="86"/>
  <c r="N878" i="86" s="1"/>
  <c r="L877" i="86"/>
  <c r="M878" i="86"/>
  <c r="K877" i="86"/>
  <c r="L878" i="86"/>
  <c r="F877" i="86"/>
  <c r="D874" i="86"/>
  <c r="B874" i="86"/>
  <c r="F881" i="86"/>
  <c r="A884" i="86"/>
  <c r="O592" i="88" l="1"/>
  <c r="B598" i="88"/>
  <c r="Q588" i="88"/>
  <c r="Q589" i="88"/>
  <c r="O589" i="88"/>
  <c r="M588" i="88" s="1"/>
  <c r="Q590" i="88"/>
  <c r="U588" i="88"/>
  <c r="O590" i="88"/>
  <c r="T588" i="88"/>
  <c r="S588" i="88" s="1"/>
  <c r="U589" i="88"/>
  <c r="T589" i="88"/>
  <c r="S589" i="88" s="1"/>
  <c r="G881" i="86"/>
  <c r="K880" i="86"/>
  <c r="M881" i="86"/>
  <c r="Q881" i="86"/>
  <c r="P881" i="86" s="1"/>
  <c r="O881" i="86"/>
  <c r="N881" i="86" s="1"/>
  <c r="O880" i="86"/>
  <c r="N880" i="86" s="1"/>
  <c r="M880" i="86"/>
  <c r="R880" i="86"/>
  <c r="L881" i="86"/>
  <c r="K881" i="86"/>
  <c r="F880" i="86"/>
  <c r="Q880" i="86"/>
  <c r="P880" i="86" s="1"/>
  <c r="L880" i="86"/>
  <c r="D877" i="86"/>
  <c r="B877" i="86"/>
  <c r="F884" i="86"/>
  <c r="A887" i="86"/>
  <c r="B602" i="88" l="1"/>
  <c r="O596" i="88"/>
  <c r="O593" i="88"/>
  <c r="M592" i="88" s="1"/>
  <c r="Q594" i="88"/>
  <c r="O594" i="88"/>
  <c r="U592" i="88"/>
  <c r="U593" i="88"/>
  <c r="T593" i="88"/>
  <c r="S593" i="88" s="1"/>
  <c r="Q592" i="88"/>
  <c r="T592" i="88"/>
  <c r="S592" i="88" s="1"/>
  <c r="Q593" i="88"/>
  <c r="Q884" i="86"/>
  <c r="P884" i="86" s="1"/>
  <c r="Q883" i="86"/>
  <c r="P883" i="86" s="1"/>
  <c r="L883" i="86"/>
  <c r="G884" i="86"/>
  <c r="M884" i="86"/>
  <c r="O883" i="86"/>
  <c r="N883" i="86" s="1"/>
  <c r="K883" i="86"/>
  <c r="L884" i="86"/>
  <c r="R883" i="86"/>
  <c r="F883" i="86"/>
  <c r="K884" i="86"/>
  <c r="M883" i="86"/>
  <c r="O884" i="86"/>
  <c r="N884" i="86" s="1"/>
  <c r="F887" i="86"/>
  <c r="A890" i="86"/>
  <c r="D880" i="86"/>
  <c r="B880" i="86"/>
  <c r="T597" i="88" l="1"/>
  <c r="S597" i="88" s="1"/>
  <c r="Q596" i="88"/>
  <c r="O597" i="88"/>
  <c r="M596" i="88" s="1"/>
  <c r="Q598" i="88"/>
  <c r="O598" i="88"/>
  <c r="U596" i="88"/>
  <c r="Q597" i="88"/>
  <c r="T596" i="88"/>
  <c r="S596" i="88" s="1"/>
  <c r="U597" i="88"/>
  <c r="O600" i="88"/>
  <c r="B606" i="88"/>
  <c r="K886" i="86"/>
  <c r="O886" i="86"/>
  <c r="N886" i="86" s="1"/>
  <c r="M886" i="86"/>
  <c r="O887" i="86"/>
  <c r="N887" i="86" s="1"/>
  <c r="L886" i="86"/>
  <c r="L887" i="86"/>
  <c r="M887" i="86"/>
  <c r="F886" i="86"/>
  <c r="K887" i="86"/>
  <c r="G887" i="86"/>
  <c r="R886" i="86"/>
  <c r="Q887" i="86"/>
  <c r="P887" i="86" s="1"/>
  <c r="Q886" i="86"/>
  <c r="P886" i="86" s="1"/>
  <c r="D883" i="86"/>
  <c r="B883" i="86"/>
  <c r="A893" i="86"/>
  <c r="F890" i="86"/>
  <c r="O604" i="88" l="1"/>
  <c r="B610" i="88"/>
  <c r="Q601" i="88"/>
  <c r="O601" i="88"/>
  <c r="M600" i="88" s="1"/>
  <c r="Q602" i="88"/>
  <c r="O602" i="88"/>
  <c r="U600" i="88"/>
  <c r="T600" i="88"/>
  <c r="S600" i="88" s="1"/>
  <c r="U601" i="88"/>
  <c r="T601" i="88"/>
  <c r="S601" i="88" s="1"/>
  <c r="Q600" i="88"/>
  <c r="D886" i="86"/>
  <c r="B886" i="86"/>
  <c r="R889" i="86"/>
  <c r="O889" i="86"/>
  <c r="N889" i="86" s="1"/>
  <c r="M889" i="86"/>
  <c r="O890" i="86"/>
  <c r="N890" i="86" s="1"/>
  <c r="L889" i="86"/>
  <c r="M890" i="86"/>
  <c r="K889" i="86"/>
  <c r="L890" i="86"/>
  <c r="F889" i="86"/>
  <c r="K890" i="86"/>
  <c r="G890" i="86"/>
  <c r="Q889" i="86"/>
  <c r="P889" i="86" s="1"/>
  <c r="Q890" i="86"/>
  <c r="P890" i="86" s="1"/>
  <c r="F893" i="86"/>
  <c r="A896" i="86"/>
  <c r="B614" i="88" l="1"/>
  <c r="O608" i="88"/>
  <c r="O605" i="88"/>
  <c r="M604" i="88" s="1"/>
  <c r="Q606" i="88"/>
  <c r="O606" i="88"/>
  <c r="U604" i="88"/>
  <c r="U605" i="88"/>
  <c r="T604" i="88"/>
  <c r="S604" i="88" s="1"/>
  <c r="T605" i="88"/>
  <c r="S605" i="88" s="1"/>
  <c r="Q604" i="88"/>
  <c r="Q605" i="88"/>
  <c r="L892" i="86"/>
  <c r="M893" i="86"/>
  <c r="K892" i="86"/>
  <c r="L893" i="86"/>
  <c r="F892" i="86"/>
  <c r="G893" i="86"/>
  <c r="K893" i="86"/>
  <c r="R892" i="86"/>
  <c r="M892" i="86"/>
  <c r="O892" i="86"/>
  <c r="N892" i="86" s="1"/>
  <c r="O893" i="86"/>
  <c r="N893" i="86" s="1"/>
  <c r="Q893" i="86"/>
  <c r="P893" i="86" s="1"/>
  <c r="Q892" i="86"/>
  <c r="P892" i="86" s="1"/>
  <c r="D889" i="86"/>
  <c r="B889" i="86"/>
  <c r="F896" i="86"/>
  <c r="A899" i="86"/>
  <c r="O609" i="88" l="1"/>
  <c r="M608" i="88" s="1"/>
  <c r="Q610" i="88"/>
  <c r="O610" i="88"/>
  <c r="U608" i="88"/>
  <c r="T608" i="88"/>
  <c r="S608" i="88" s="1"/>
  <c r="U609" i="88"/>
  <c r="T609" i="88"/>
  <c r="S609" i="88" s="1"/>
  <c r="Q608" i="88"/>
  <c r="Q609" i="88"/>
  <c r="O612" i="88"/>
  <c r="B618" i="88"/>
  <c r="A902" i="86"/>
  <c r="F899" i="86"/>
  <c r="D892" i="86"/>
  <c r="B892" i="86"/>
  <c r="M896" i="86"/>
  <c r="K895" i="86"/>
  <c r="L896" i="86"/>
  <c r="F895" i="86"/>
  <c r="K896" i="86"/>
  <c r="G896" i="86"/>
  <c r="Q896" i="86"/>
  <c r="P896" i="86" s="1"/>
  <c r="R895" i="86"/>
  <c r="Q895" i="86"/>
  <c r="P895" i="86" s="1"/>
  <c r="O895" i="86"/>
  <c r="N895" i="86" s="1"/>
  <c r="L895" i="86"/>
  <c r="O896" i="86"/>
  <c r="N896" i="86" s="1"/>
  <c r="M895" i="86"/>
  <c r="O616" i="88" l="1"/>
  <c r="B622" i="88"/>
  <c r="U613" i="88"/>
  <c r="T613" i="88"/>
  <c r="S613" i="88" s="1"/>
  <c r="Q612" i="88"/>
  <c r="Q613" i="88"/>
  <c r="O614" i="88"/>
  <c r="O613" i="88"/>
  <c r="M612" i="88" s="1"/>
  <c r="Q614" i="88"/>
  <c r="U612" i="88"/>
  <c r="T612" i="88"/>
  <c r="S612" i="88" s="1"/>
  <c r="D895" i="86"/>
  <c r="B895" i="86"/>
  <c r="Q899" i="86"/>
  <c r="P899" i="86" s="1"/>
  <c r="O898" i="86"/>
  <c r="N898" i="86" s="1"/>
  <c r="M898" i="86"/>
  <c r="O899" i="86"/>
  <c r="N899" i="86" s="1"/>
  <c r="L898" i="86"/>
  <c r="M899" i="86"/>
  <c r="K898" i="86"/>
  <c r="L899" i="86"/>
  <c r="F898" i="86"/>
  <c r="K899" i="86"/>
  <c r="R898" i="86"/>
  <c r="G899" i="86"/>
  <c r="Q898" i="86"/>
  <c r="P898" i="86" s="1"/>
  <c r="A905" i="86"/>
  <c r="F902" i="86"/>
  <c r="O620" i="88" l="1"/>
  <c r="A630" i="88"/>
  <c r="U617" i="88"/>
  <c r="T617" i="88"/>
  <c r="S617" i="88" s="1"/>
  <c r="Q616" i="88"/>
  <c r="Q617" i="88"/>
  <c r="M616" i="88" s="1"/>
  <c r="O617" i="88"/>
  <c r="T616" i="88"/>
  <c r="S616" i="88" s="1"/>
  <c r="Q618" i="88"/>
  <c r="O618" i="88"/>
  <c r="U616" i="88"/>
  <c r="D898" i="86"/>
  <c r="B898" i="86"/>
  <c r="A908" i="86"/>
  <c r="F905" i="86"/>
  <c r="K902" i="86"/>
  <c r="G902" i="86"/>
  <c r="F901" i="86"/>
  <c r="R901" i="86"/>
  <c r="K901" i="86"/>
  <c r="Q901" i="86"/>
  <c r="P901" i="86" s="1"/>
  <c r="L901" i="86"/>
  <c r="O902" i="86"/>
  <c r="N902" i="86" s="1"/>
  <c r="L902" i="86"/>
  <c r="Q902" i="86"/>
  <c r="P902" i="86" s="1"/>
  <c r="O901" i="86"/>
  <c r="N901" i="86" s="1"/>
  <c r="M901" i="86"/>
  <c r="M902" i="86"/>
  <c r="E628" i="88" l="1"/>
  <c r="A634" i="88"/>
  <c r="Q621" i="88"/>
  <c r="T621" i="88"/>
  <c r="S621" i="88" s="1"/>
  <c r="Q620" i="88"/>
  <c r="O621" i="88"/>
  <c r="Q622" i="88"/>
  <c r="O622" i="88"/>
  <c r="U620" i="88"/>
  <c r="T620" i="88"/>
  <c r="S620" i="88" s="1"/>
  <c r="U621" i="88"/>
  <c r="D901" i="86"/>
  <c r="B901" i="86"/>
  <c r="O905" i="86"/>
  <c r="N905" i="86" s="1"/>
  <c r="L904" i="86"/>
  <c r="M905" i="86"/>
  <c r="K904" i="86"/>
  <c r="R904" i="86"/>
  <c r="L905" i="86"/>
  <c r="F904" i="86"/>
  <c r="K905" i="86"/>
  <c r="G905" i="86"/>
  <c r="Q905" i="86"/>
  <c r="P905" i="86" s="1"/>
  <c r="Q904" i="86"/>
  <c r="P904" i="86" s="1"/>
  <c r="O904" i="86"/>
  <c r="N904" i="86" s="1"/>
  <c r="M904" i="86"/>
  <c r="F908" i="86"/>
  <c r="A911" i="86"/>
  <c r="A638" i="88" l="1"/>
  <c r="E632" i="88"/>
  <c r="J628" i="88"/>
  <c r="I628" i="88" s="1"/>
  <c r="G630" i="88"/>
  <c r="G629" i="88"/>
  <c r="C628" i="88" s="1"/>
  <c r="E630" i="88"/>
  <c r="E629" i="88"/>
  <c r="J629" i="88"/>
  <c r="I629" i="88" s="1"/>
  <c r="G628" i="88"/>
  <c r="K628" i="88"/>
  <c r="K629" i="88"/>
  <c r="D904" i="86"/>
  <c r="B904" i="86"/>
  <c r="A914" i="86"/>
  <c r="F911" i="86"/>
  <c r="F907" i="86"/>
  <c r="R907" i="86"/>
  <c r="M908" i="86"/>
  <c r="Q907" i="86"/>
  <c r="P907" i="86" s="1"/>
  <c r="Q908" i="86"/>
  <c r="P908" i="86" s="1"/>
  <c r="K907" i="86"/>
  <c r="O907" i="86"/>
  <c r="N907" i="86" s="1"/>
  <c r="L908" i="86"/>
  <c r="M907" i="86"/>
  <c r="O908" i="86"/>
  <c r="N908" i="86" s="1"/>
  <c r="L907" i="86"/>
  <c r="G908" i="86"/>
  <c r="K908" i="86"/>
  <c r="G633" i="88" l="1"/>
  <c r="C632" i="88" s="1"/>
  <c r="E634" i="88"/>
  <c r="E633" i="88"/>
  <c r="G634" i="88"/>
  <c r="K632" i="88"/>
  <c r="K633" i="88"/>
  <c r="J632" i="88"/>
  <c r="I632" i="88" s="1"/>
  <c r="J633" i="88"/>
  <c r="I633" i="88" s="1"/>
  <c r="G632" i="88"/>
  <c r="A642" i="88"/>
  <c r="E636" i="88"/>
  <c r="D907" i="86"/>
  <c r="B907" i="86"/>
  <c r="M911" i="86"/>
  <c r="K910" i="86"/>
  <c r="L911" i="86"/>
  <c r="F910" i="86"/>
  <c r="K911" i="86"/>
  <c r="G911" i="86"/>
  <c r="R910" i="86"/>
  <c r="Q910" i="86"/>
  <c r="P910" i="86" s="1"/>
  <c r="Q911" i="86"/>
  <c r="P911" i="86" s="1"/>
  <c r="O911" i="86"/>
  <c r="N911" i="86" s="1"/>
  <c r="M910" i="86"/>
  <c r="O910" i="86"/>
  <c r="N910" i="86" s="1"/>
  <c r="L910" i="86"/>
  <c r="A917" i="86"/>
  <c r="F914" i="86"/>
  <c r="G637" i="88" l="1"/>
  <c r="E638" i="88"/>
  <c r="E637" i="88"/>
  <c r="K636" i="88"/>
  <c r="K637" i="88"/>
  <c r="J636" i="88"/>
  <c r="I636" i="88" s="1"/>
  <c r="J637" i="88"/>
  <c r="I637" i="88" s="1"/>
  <c r="G636" i="88"/>
  <c r="G638" i="88"/>
  <c r="E640" i="88"/>
  <c r="A646" i="88"/>
  <c r="D910" i="86"/>
  <c r="B910" i="86"/>
  <c r="O913" i="86"/>
  <c r="N913" i="86" s="1"/>
  <c r="M913" i="86"/>
  <c r="O914" i="86"/>
  <c r="N914" i="86" s="1"/>
  <c r="L913" i="86"/>
  <c r="M914" i="86"/>
  <c r="Q913" i="86"/>
  <c r="P913" i="86" s="1"/>
  <c r="K913" i="86"/>
  <c r="Q914" i="86"/>
  <c r="P914" i="86" s="1"/>
  <c r="L914" i="86"/>
  <c r="F913" i="86"/>
  <c r="K914" i="86"/>
  <c r="R913" i="86"/>
  <c r="G914" i="86"/>
  <c r="F917" i="86"/>
  <c r="A920" i="86"/>
  <c r="A650" i="88" l="1"/>
  <c r="E644" i="88"/>
  <c r="E641" i="88"/>
  <c r="J641" i="88"/>
  <c r="I641" i="88" s="1"/>
  <c r="K640" i="88"/>
  <c r="K641" i="88"/>
  <c r="J640" i="88"/>
  <c r="I640" i="88" s="1"/>
  <c r="G642" i="88"/>
  <c r="G641" i="88"/>
  <c r="C640" i="88" s="1"/>
  <c r="G640" i="88"/>
  <c r="E642" i="88"/>
  <c r="D913" i="86"/>
  <c r="B913" i="86"/>
  <c r="A923" i="86"/>
  <c r="F920" i="86"/>
  <c r="F916" i="86"/>
  <c r="L916" i="86"/>
  <c r="K917" i="86"/>
  <c r="G917" i="86"/>
  <c r="M916" i="86"/>
  <c r="R916" i="86"/>
  <c r="Q916" i="86"/>
  <c r="P916" i="86" s="1"/>
  <c r="Q917" i="86"/>
  <c r="P917" i="86" s="1"/>
  <c r="M917" i="86"/>
  <c r="K916" i="86"/>
  <c r="O916" i="86"/>
  <c r="N916" i="86" s="1"/>
  <c r="O917" i="86"/>
  <c r="N917" i="86" s="1"/>
  <c r="L917" i="86"/>
  <c r="G645" i="88" l="1"/>
  <c r="C644" i="88" s="1"/>
  <c r="E646" i="88"/>
  <c r="E645" i="88"/>
  <c r="K644" i="88"/>
  <c r="K645" i="88"/>
  <c r="J644" i="88"/>
  <c r="I644" i="88" s="1"/>
  <c r="J645" i="88"/>
  <c r="I645" i="88" s="1"/>
  <c r="G644" i="88"/>
  <c r="G646" i="88"/>
  <c r="A654" i="88"/>
  <c r="E648" i="88"/>
  <c r="G650" i="88" s="1"/>
  <c r="D916" i="86"/>
  <c r="B916" i="86"/>
  <c r="O920" i="86"/>
  <c r="N920" i="86" s="1"/>
  <c r="L919" i="86"/>
  <c r="M920" i="86"/>
  <c r="K919" i="86"/>
  <c r="L920" i="86"/>
  <c r="F919" i="86"/>
  <c r="O919" i="86"/>
  <c r="N919" i="86" s="1"/>
  <c r="K920" i="86"/>
  <c r="G920" i="86"/>
  <c r="M919" i="86"/>
  <c r="Q919" i="86"/>
  <c r="P919" i="86" s="1"/>
  <c r="R919" i="86"/>
  <c r="Q920" i="86"/>
  <c r="P920" i="86" s="1"/>
  <c r="A926" i="86"/>
  <c r="F923" i="86"/>
  <c r="G649" i="88" l="1"/>
  <c r="E650" i="88"/>
  <c r="E649" i="88"/>
  <c r="C648" i="88" s="1"/>
  <c r="K648" i="88"/>
  <c r="K649" i="88"/>
  <c r="J648" i="88"/>
  <c r="I648" i="88" s="1"/>
  <c r="J649" i="88"/>
  <c r="I649" i="88" s="1"/>
  <c r="G648" i="88"/>
  <c r="E652" i="88"/>
  <c r="G654" i="88" s="1"/>
  <c r="A658" i="88"/>
  <c r="D919" i="86"/>
  <c r="B919" i="86"/>
  <c r="Q923" i="86"/>
  <c r="P923" i="86" s="1"/>
  <c r="O923" i="86"/>
  <c r="N923" i="86" s="1"/>
  <c r="Q922" i="86"/>
  <c r="P922" i="86" s="1"/>
  <c r="L922" i="86"/>
  <c r="O922" i="86"/>
  <c r="N922" i="86" s="1"/>
  <c r="L923" i="86"/>
  <c r="K923" i="86"/>
  <c r="F922" i="86"/>
  <c r="M923" i="86"/>
  <c r="G923" i="86"/>
  <c r="R922" i="86"/>
  <c r="M922" i="86"/>
  <c r="K922" i="86"/>
  <c r="F926" i="86"/>
  <c r="A929" i="86"/>
  <c r="A662" i="88" l="1"/>
  <c r="E656" i="88"/>
  <c r="G658" i="88" s="1"/>
  <c r="J653" i="88"/>
  <c r="I653" i="88" s="1"/>
  <c r="G652" i="88"/>
  <c r="K652" i="88"/>
  <c r="K653" i="88"/>
  <c r="J652" i="88"/>
  <c r="I652" i="88" s="1"/>
  <c r="G653" i="88"/>
  <c r="E654" i="88"/>
  <c r="E653" i="88"/>
  <c r="C652" i="88" s="1"/>
  <c r="D922" i="86"/>
  <c r="B922" i="86"/>
  <c r="F929" i="86"/>
  <c r="A932" i="86"/>
  <c r="O926" i="86"/>
  <c r="N926" i="86" s="1"/>
  <c r="F925" i="86"/>
  <c r="M925" i="86"/>
  <c r="K926" i="86"/>
  <c r="L925" i="86"/>
  <c r="G926" i="86"/>
  <c r="R925" i="86"/>
  <c r="M926" i="86"/>
  <c r="Q926" i="86"/>
  <c r="P926" i="86" s="1"/>
  <c r="Q925" i="86"/>
  <c r="P925" i="86" s="1"/>
  <c r="O925" i="86"/>
  <c r="N925" i="86" s="1"/>
  <c r="L926" i="86"/>
  <c r="K925" i="86"/>
  <c r="G657" i="88" l="1"/>
  <c r="E658" i="88"/>
  <c r="E657" i="88"/>
  <c r="C656" i="88" s="1"/>
  <c r="K656" i="88"/>
  <c r="K657" i="88"/>
  <c r="J656" i="88"/>
  <c r="I656" i="88" s="1"/>
  <c r="J657" i="88"/>
  <c r="I657" i="88" s="1"/>
  <c r="G656" i="88"/>
  <c r="A666" i="88"/>
  <c r="E660" i="88"/>
  <c r="G662" i="88" s="1"/>
  <c r="D925" i="86"/>
  <c r="B925" i="86"/>
  <c r="A935" i="86"/>
  <c r="F932" i="86"/>
  <c r="G929" i="86"/>
  <c r="O928" i="86"/>
  <c r="N928" i="86" s="1"/>
  <c r="K928" i="86"/>
  <c r="M928" i="86"/>
  <c r="L929" i="86"/>
  <c r="F928" i="86"/>
  <c r="O929" i="86"/>
  <c r="N929" i="86" s="1"/>
  <c r="L928" i="86"/>
  <c r="M929" i="86"/>
  <c r="K929" i="86"/>
  <c r="R928" i="86"/>
  <c r="Q928" i="86"/>
  <c r="P928" i="86" s="1"/>
  <c r="Q929" i="86"/>
  <c r="P929" i="86" s="1"/>
  <c r="G661" i="88" l="1"/>
  <c r="E662" i="88"/>
  <c r="E661" i="88"/>
  <c r="C660" i="88" s="1"/>
  <c r="K660" i="88"/>
  <c r="K661" i="88"/>
  <c r="J660" i="88"/>
  <c r="I660" i="88" s="1"/>
  <c r="J661" i="88"/>
  <c r="I661" i="88" s="1"/>
  <c r="G660" i="88"/>
  <c r="E664" i="88"/>
  <c r="A670" i="88"/>
  <c r="D928" i="86"/>
  <c r="B928" i="86"/>
  <c r="O931" i="86"/>
  <c r="N931" i="86" s="1"/>
  <c r="M931" i="86"/>
  <c r="O932" i="86"/>
  <c r="N932" i="86" s="1"/>
  <c r="L931" i="86"/>
  <c r="M932" i="86"/>
  <c r="K931" i="86"/>
  <c r="L932" i="86"/>
  <c r="G932" i="86"/>
  <c r="F931" i="86"/>
  <c r="K932" i="86"/>
  <c r="R931" i="86"/>
  <c r="Q931" i="86"/>
  <c r="P931" i="86" s="1"/>
  <c r="Q932" i="86"/>
  <c r="P932" i="86" s="1"/>
  <c r="F935" i="86"/>
  <c r="A938" i="86"/>
  <c r="A674" i="88" l="1"/>
  <c r="E668" i="88"/>
  <c r="G670" i="88" s="1"/>
  <c r="G664" i="88"/>
  <c r="J665" i="88"/>
  <c r="I665" i="88" s="1"/>
  <c r="K664" i="88"/>
  <c r="K665" i="88"/>
  <c r="J664" i="88"/>
  <c r="I664" i="88" s="1"/>
  <c r="E665" i="88"/>
  <c r="C664" i="88" s="1"/>
  <c r="G666" i="88"/>
  <c r="G665" i="88"/>
  <c r="E666" i="88"/>
  <c r="D931" i="86"/>
  <c r="B931" i="86"/>
  <c r="F938" i="86"/>
  <c r="A941" i="86"/>
  <c r="K934" i="86"/>
  <c r="L935" i="86"/>
  <c r="F934" i="86"/>
  <c r="K935" i="86"/>
  <c r="R934" i="86"/>
  <c r="G935" i="86"/>
  <c r="O934" i="86"/>
  <c r="N934" i="86" s="1"/>
  <c r="M934" i="86"/>
  <c r="O935" i="86"/>
  <c r="N935" i="86" s="1"/>
  <c r="L934" i="86"/>
  <c r="M935" i="86"/>
  <c r="Q935" i="86"/>
  <c r="P935" i="86" s="1"/>
  <c r="Q934" i="86"/>
  <c r="P934" i="86" s="1"/>
  <c r="G669" i="88" l="1"/>
  <c r="E670" i="88"/>
  <c r="E669" i="88"/>
  <c r="C668" i="88" s="1"/>
  <c r="K668" i="88"/>
  <c r="K669" i="88"/>
  <c r="J668" i="88"/>
  <c r="I668" i="88" s="1"/>
  <c r="J669" i="88"/>
  <c r="I669" i="88" s="1"/>
  <c r="G668" i="88"/>
  <c r="A678" i="88"/>
  <c r="E672" i="88"/>
  <c r="G674" i="88" s="1"/>
  <c r="D934" i="86"/>
  <c r="B934" i="86"/>
  <c r="A944" i="86"/>
  <c r="F941" i="86"/>
  <c r="K938" i="86"/>
  <c r="G938" i="86"/>
  <c r="R937" i="86"/>
  <c r="Q937" i="86"/>
  <c r="P937" i="86" s="1"/>
  <c r="M937" i="86"/>
  <c r="Q938" i="86"/>
  <c r="P938" i="86" s="1"/>
  <c r="O938" i="86"/>
  <c r="N938" i="86" s="1"/>
  <c r="O937" i="86"/>
  <c r="N937" i="86" s="1"/>
  <c r="L937" i="86"/>
  <c r="L938" i="86"/>
  <c r="M938" i="86"/>
  <c r="K937" i="86"/>
  <c r="F937" i="86"/>
  <c r="G673" i="88" l="1"/>
  <c r="E674" i="88"/>
  <c r="E673" i="88"/>
  <c r="C672" i="88" s="1"/>
  <c r="K672" i="88"/>
  <c r="K673" i="88"/>
  <c r="J672" i="88"/>
  <c r="I672" i="88" s="1"/>
  <c r="J673" i="88"/>
  <c r="I673" i="88" s="1"/>
  <c r="G672" i="88"/>
  <c r="E676" i="88"/>
  <c r="G678" i="88" s="1"/>
  <c r="B630" i="88"/>
  <c r="D937" i="86"/>
  <c r="B937" i="86"/>
  <c r="L940" i="86"/>
  <c r="M941" i="86"/>
  <c r="K940" i="86"/>
  <c r="L941" i="86"/>
  <c r="F940" i="86"/>
  <c r="K941" i="86"/>
  <c r="R940" i="86"/>
  <c r="G941" i="86"/>
  <c r="Q940" i="86"/>
  <c r="P940" i="86" s="1"/>
  <c r="Q941" i="86"/>
  <c r="P941" i="86" s="1"/>
  <c r="O940" i="86"/>
  <c r="N940" i="86" s="1"/>
  <c r="M940" i="86"/>
  <c r="O941" i="86"/>
  <c r="N941" i="86" s="1"/>
  <c r="F944" i="86"/>
  <c r="A947" i="86"/>
  <c r="O628" i="88" l="1"/>
  <c r="Q630" i="88" s="1"/>
  <c r="B634" i="88"/>
  <c r="G677" i="88"/>
  <c r="E677" i="88"/>
  <c r="C676" i="88" s="1"/>
  <c r="K676" i="88"/>
  <c r="J676" i="88"/>
  <c r="I676" i="88" s="1"/>
  <c r="G676" i="88"/>
  <c r="E678" i="88"/>
  <c r="K677" i="88"/>
  <c r="J677" i="88"/>
  <c r="I677" i="88" s="1"/>
  <c r="D940" i="86"/>
  <c r="B940" i="86"/>
  <c r="A950" i="86"/>
  <c r="F947" i="86"/>
  <c r="K943" i="86"/>
  <c r="M944" i="86"/>
  <c r="R943" i="86"/>
  <c r="Q944" i="86"/>
  <c r="P944" i="86" s="1"/>
  <c r="O943" i="86"/>
  <c r="N943" i="86" s="1"/>
  <c r="M943" i="86"/>
  <c r="O944" i="86"/>
  <c r="N944" i="86" s="1"/>
  <c r="Q943" i="86"/>
  <c r="P943" i="86" s="1"/>
  <c r="L944" i="86"/>
  <c r="L943" i="86"/>
  <c r="F943" i="86"/>
  <c r="K944" i="86"/>
  <c r="G944" i="86"/>
  <c r="O632" i="88" l="1"/>
  <c r="Q634" i="88" s="1"/>
  <c r="B638" i="88"/>
  <c r="Q628" i="88"/>
  <c r="Q629" i="88"/>
  <c r="O629" i="88"/>
  <c r="M628" i="88" s="1"/>
  <c r="O630" i="88"/>
  <c r="T628" i="88"/>
  <c r="S628" i="88" s="1"/>
  <c r="U628" i="88"/>
  <c r="U629" i="88"/>
  <c r="T629" i="88"/>
  <c r="S629" i="88" s="1"/>
  <c r="D943" i="86"/>
  <c r="B943" i="86"/>
  <c r="L947" i="86"/>
  <c r="F946" i="86"/>
  <c r="K947" i="86"/>
  <c r="G947" i="86"/>
  <c r="Q946" i="86"/>
  <c r="P946" i="86" s="1"/>
  <c r="Q947" i="86"/>
  <c r="P947" i="86" s="1"/>
  <c r="R946" i="86"/>
  <c r="O946" i="86"/>
  <c r="N946" i="86" s="1"/>
  <c r="O947" i="86"/>
  <c r="N947" i="86" s="1"/>
  <c r="M946" i="86"/>
  <c r="L946" i="86"/>
  <c r="M947" i="86"/>
  <c r="K946" i="86"/>
  <c r="F950" i="86"/>
  <c r="A953" i="86"/>
  <c r="B642" i="88" l="1"/>
  <c r="O636" i="88"/>
  <c r="Q638" i="88" s="1"/>
  <c r="O633" i="88"/>
  <c r="M632" i="88" s="1"/>
  <c r="O634" i="88"/>
  <c r="U632" i="88"/>
  <c r="T632" i="88"/>
  <c r="S632" i="88" s="1"/>
  <c r="U633" i="88"/>
  <c r="T633" i="88"/>
  <c r="S633" i="88" s="1"/>
  <c r="Q632" i="88"/>
  <c r="Q633" i="88"/>
  <c r="D946" i="86"/>
  <c r="B946" i="86"/>
  <c r="A956" i="86"/>
  <c r="F953" i="86"/>
  <c r="K950" i="86"/>
  <c r="M949" i="86"/>
  <c r="O950" i="86"/>
  <c r="N950" i="86" s="1"/>
  <c r="L949" i="86"/>
  <c r="M950" i="86"/>
  <c r="K949" i="86"/>
  <c r="Q950" i="86"/>
  <c r="P950" i="86" s="1"/>
  <c r="L950" i="86"/>
  <c r="G950" i="86"/>
  <c r="F949" i="86"/>
  <c r="Q949" i="86"/>
  <c r="P949" i="86" s="1"/>
  <c r="R949" i="86"/>
  <c r="O949" i="86"/>
  <c r="N949" i="86" s="1"/>
  <c r="U637" i="88" l="1"/>
  <c r="T637" i="88"/>
  <c r="S637" i="88" s="1"/>
  <c r="Q636" i="88"/>
  <c r="U636" i="88"/>
  <c r="O637" i="88"/>
  <c r="M636" i="88" s="1"/>
  <c r="Q637" i="88"/>
  <c r="O638" i="88"/>
  <c r="T636" i="88"/>
  <c r="S636" i="88" s="1"/>
  <c r="O640" i="88"/>
  <c r="Q642" i="88" s="1"/>
  <c r="B646" i="88"/>
  <c r="D949" i="86"/>
  <c r="B949" i="86"/>
  <c r="K953" i="86"/>
  <c r="O952" i="86"/>
  <c r="N952" i="86" s="1"/>
  <c r="G953" i="86"/>
  <c r="Q953" i="86"/>
  <c r="P953" i="86" s="1"/>
  <c r="R952" i="86"/>
  <c r="M952" i="86"/>
  <c r="Q952" i="86"/>
  <c r="P952" i="86" s="1"/>
  <c r="O953" i="86"/>
  <c r="N953" i="86" s="1"/>
  <c r="L952" i="86"/>
  <c r="L953" i="86"/>
  <c r="M953" i="86"/>
  <c r="K952" i="86"/>
  <c r="F952" i="86"/>
  <c r="A959" i="86"/>
  <c r="F956" i="86"/>
  <c r="O644" i="88" l="1"/>
  <c r="Q646" i="88" s="1"/>
  <c r="B650" i="88"/>
  <c r="Q640" i="88"/>
  <c r="O642" i="88"/>
  <c r="Q641" i="88"/>
  <c r="O641" i="88"/>
  <c r="M640" i="88" s="1"/>
  <c r="U640" i="88"/>
  <c r="T640" i="88"/>
  <c r="S640" i="88" s="1"/>
  <c r="U641" i="88"/>
  <c r="T641" i="88"/>
  <c r="S641" i="88" s="1"/>
  <c r="D952" i="86"/>
  <c r="B952" i="86"/>
  <c r="M956" i="86"/>
  <c r="L955" i="86"/>
  <c r="K955" i="86"/>
  <c r="L956" i="86"/>
  <c r="F955" i="86"/>
  <c r="K956" i="86"/>
  <c r="R955" i="86"/>
  <c r="G956" i="86"/>
  <c r="Q955" i="86"/>
  <c r="P955" i="86" s="1"/>
  <c r="O956" i="86"/>
  <c r="N956" i="86" s="1"/>
  <c r="Q956" i="86"/>
  <c r="P956" i="86" s="1"/>
  <c r="O955" i="86"/>
  <c r="N955" i="86" s="1"/>
  <c r="M955" i="86"/>
  <c r="F959" i="86"/>
  <c r="A962" i="86"/>
  <c r="B654" i="88" l="1"/>
  <c r="O648" i="88"/>
  <c r="Q650" i="88" s="1"/>
  <c r="O645" i="88"/>
  <c r="M644" i="88" s="1"/>
  <c r="T644" i="88"/>
  <c r="S644" i="88" s="1"/>
  <c r="O646" i="88"/>
  <c r="U644" i="88"/>
  <c r="U645" i="88"/>
  <c r="T645" i="88"/>
  <c r="S645" i="88" s="1"/>
  <c r="Q644" i="88"/>
  <c r="Q645" i="88"/>
  <c r="D955" i="86"/>
  <c r="B955" i="86"/>
  <c r="A965" i="86"/>
  <c r="F962" i="86"/>
  <c r="O959" i="86"/>
  <c r="N959" i="86" s="1"/>
  <c r="R958" i="86"/>
  <c r="Q958" i="86"/>
  <c r="P958" i="86" s="1"/>
  <c r="Q959" i="86"/>
  <c r="P959" i="86" s="1"/>
  <c r="O958" i="86"/>
  <c r="N958" i="86" s="1"/>
  <c r="K959" i="86"/>
  <c r="M959" i="86"/>
  <c r="M958" i="86"/>
  <c r="L958" i="86"/>
  <c r="K958" i="86"/>
  <c r="L959" i="86"/>
  <c r="F958" i="86"/>
  <c r="G959" i="86"/>
  <c r="U649" i="88" l="1"/>
  <c r="T649" i="88"/>
  <c r="S649" i="88" s="1"/>
  <c r="Q648" i="88"/>
  <c r="O649" i="88"/>
  <c r="M648" i="88" s="1"/>
  <c r="O650" i="88"/>
  <c r="Q649" i="88"/>
  <c r="U648" i="88"/>
  <c r="T648" i="88"/>
  <c r="S648" i="88" s="1"/>
  <c r="O652" i="88"/>
  <c r="Q654" i="88" s="1"/>
  <c r="B658" i="88"/>
  <c r="D958" i="86"/>
  <c r="B958" i="86"/>
  <c r="L962" i="86"/>
  <c r="F961" i="86"/>
  <c r="R961" i="86"/>
  <c r="K961" i="86"/>
  <c r="K962" i="86"/>
  <c r="M962" i="86"/>
  <c r="Q961" i="86"/>
  <c r="P961" i="86" s="1"/>
  <c r="G962" i="86"/>
  <c r="Q962" i="86"/>
  <c r="P962" i="86" s="1"/>
  <c r="O961" i="86"/>
  <c r="N961" i="86" s="1"/>
  <c r="M961" i="86"/>
  <c r="O962" i="86"/>
  <c r="N962" i="86" s="1"/>
  <c r="L961" i="86"/>
  <c r="F965" i="86"/>
  <c r="A968" i="86"/>
  <c r="O656" i="88" l="1"/>
  <c r="Q658" i="88" s="1"/>
  <c r="B662" i="88"/>
  <c r="T653" i="88"/>
  <c r="S653" i="88" s="1"/>
  <c r="Q652" i="88"/>
  <c r="O654" i="88"/>
  <c r="Q653" i="88"/>
  <c r="O653" i="88"/>
  <c r="M652" i="88" s="1"/>
  <c r="U652" i="88"/>
  <c r="T652" i="88"/>
  <c r="S652" i="88" s="1"/>
  <c r="U653" i="88"/>
  <c r="D961" i="86"/>
  <c r="B961" i="86"/>
  <c r="F968" i="86"/>
  <c r="A971" i="86"/>
  <c r="M964" i="86"/>
  <c r="K965" i="86"/>
  <c r="K964" i="86"/>
  <c r="F964" i="86"/>
  <c r="G965" i="86"/>
  <c r="L965" i="86"/>
  <c r="R964" i="86"/>
  <c r="Q964" i="86"/>
  <c r="P964" i="86" s="1"/>
  <c r="Q965" i="86"/>
  <c r="P965" i="86" s="1"/>
  <c r="O964" i="86"/>
  <c r="N964" i="86" s="1"/>
  <c r="O965" i="86"/>
  <c r="N965" i="86" s="1"/>
  <c r="L964" i="86"/>
  <c r="M965" i="86"/>
  <c r="B666" i="88" l="1"/>
  <c r="O660" i="88"/>
  <c r="Q662" i="88" s="1"/>
  <c r="O657" i="88"/>
  <c r="M656" i="88" s="1"/>
  <c r="O658" i="88"/>
  <c r="T656" i="88"/>
  <c r="S656" i="88" s="1"/>
  <c r="U656" i="88"/>
  <c r="U657" i="88"/>
  <c r="T657" i="88"/>
  <c r="S657" i="88" s="1"/>
  <c r="Q656" i="88"/>
  <c r="Q657" i="88"/>
  <c r="D964" i="86"/>
  <c r="B964" i="86"/>
  <c r="F971" i="86"/>
  <c r="A974" i="86"/>
  <c r="K967" i="86"/>
  <c r="R967" i="86"/>
  <c r="M968" i="86"/>
  <c r="Q968" i="86"/>
  <c r="P968" i="86" s="1"/>
  <c r="Q967" i="86"/>
  <c r="P967" i="86" s="1"/>
  <c r="O967" i="86"/>
  <c r="N967" i="86" s="1"/>
  <c r="M967" i="86"/>
  <c r="L968" i="86"/>
  <c r="F967" i="86"/>
  <c r="O968" i="86"/>
  <c r="N968" i="86" s="1"/>
  <c r="L967" i="86"/>
  <c r="K968" i="86"/>
  <c r="G968" i="86"/>
  <c r="O661" i="88" l="1"/>
  <c r="M660" i="88" s="1"/>
  <c r="Q661" i="88"/>
  <c r="O662" i="88"/>
  <c r="U660" i="88"/>
  <c r="T660" i="88"/>
  <c r="S660" i="88" s="1"/>
  <c r="U661" i="88"/>
  <c r="T661" i="88"/>
  <c r="S661" i="88" s="1"/>
  <c r="Q660" i="88"/>
  <c r="B670" i="88"/>
  <c r="O664" i="88"/>
  <c r="Q666" i="88" s="1"/>
  <c r="A977" i="86"/>
  <c r="F974" i="86"/>
  <c r="D967" i="86"/>
  <c r="B967" i="86"/>
  <c r="K971" i="86"/>
  <c r="G971" i="86"/>
  <c r="K970" i="86"/>
  <c r="M970" i="86"/>
  <c r="O970" i="86"/>
  <c r="N970" i="86" s="1"/>
  <c r="F970" i="86"/>
  <c r="O971" i="86"/>
  <c r="N971" i="86" s="1"/>
  <c r="L970" i="86"/>
  <c r="L971" i="86"/>
  <c r="M971" i="86"/>
  <c r="R970" i="86"/>
  <c r="Q970" i="86"/>
  <c r="P970" i="86" s="1"/>
  <c r="Q971" i="86"/>
  <c r="P971" i="86" s="1"/>
  <c r="T665" i="88" l="1"/>
  <c r="S665" i="88" s="1"/>
  <c r="Q664" i="88"/>
  <c r="O666" i="88"/>
  <c r="Q665" i="88"/>
  <c r="O665" i="88"/>
  <c r="M664" i="88" s="1"/>
  <c r="U664" i="88"/>
  <c r="T664" i="88"/>
  <c r="S664" i="88" s="1"/>
  <c r="U665" i="88"/>
  <c r="O668" i="88"/>
  <c r="Q670" i="88" s="1"/>
  <c r="B674" i="88"/>
  <c r="D970" i="86"/>
  <c r="B970" i="86"/>
  <c r="O973" i="86"/>
  <c r="N973" i="86" s="1"/>
  <c r="M973" i="86"/>
  <c r="O974" i="86"/>
  <c r="N974" i="86" s="1"/>
  <c r="L973" i="86"/>
  <c r="M974" i="86"/>
  <c r="K973" i="86"/>
  <c r="L974" i="86"/>
  <c r="R973" i="86"/>
  <c r="F973" i="86"/>
  <c r="K974" i="86"/>
  <c r="G974" i="86"/>
  <c r="Q974" i="86"/>
  <c r="P974" i="86" s="1"/>
  <c r="Q973" i="86"/>
  <c r="P973" i="86" s="1"/>
  <c r="A980" i="86"/>
  <c r="F977" i="86"/>
  <c r="A682" i="88" l="1"/>
  <c r="O672" i="88"/>
  <c r="Q674" i="88" s="1"/>
  <c r="Q669" i="88"/>
  <c r="O669" i="88"/>
  <c r="M668" i="88" s="1"/>
  <c r="O670" i="88"/>
  <c r="T668" i="88"/>
  <c r="S668" i="88" s="1"/>
  <c r="U668" i="88"/>
  <c r="U669" i="88"/>
  <c r="T669" i="88"/>
  <c r="S669" i="88" s="1"/>
  <c r="Q668" i="88"/>
  <c r="D973" i="86"/>
  <c r="B973" i="86"/>
  <c r="F976" i="86"/>
  <c r="G977" i="86"/>
  <c r="K977" i="86"/>
  <c r="R976" i="86"/>
  <c r="K976" i="86"/>
  <c r="L976" i="86"/>
  <c r="O976" i="86"/>
  <c r="N976" i="86" s="1"/>
  <c r="M976" i="86"/>
  <c r="M977" i="86"/>
  <c r="O977" i="86"/>
  <c r="N977" i="86" s="1"/>
  <c r="L977" i="86"/>
  <c r="Q977" i="86"/>
  <c r="P977" i="86" s="1"/>
  <c r="Q976" i="86"/>
  <c r="P976" i="86" s="1"/>
  <c r="F980" i="86"/>
  <c r="A983" i="86"/>
  <c r="O674" i="88" l="1"/>
  <c r="U672" i="88"/>
  <c r="U673" i="88"/>
  <c r="Q672" i="88"/>
  <c r="T673" i="88"/>
  <c r="S673" i="88" s="1"/>
  <c r="Q673" i="88"/>
  <c r="T672" i="88"/>
  <c r="S672" i="88" s="1"/>
  <c r="O673" i="88"/>
  <c r="M672" i="88" s="1"/>
  <c r="E680" i="88"/>
  <c r="G682" i="88" s="1"/>
  <c r="A686" i="88"/>
  <c r="F983" i="86"/>
  <c r="A986" i="86"/>
  <c r="R979" i="86"/>
  <c r="O979" i="86"/>
  <c r="N979" i="86" s="1"/>
  <c r="O980" i="86"/>
  <c r="N980" i="86" s="1"/>
  <c r="M979" i="86"/>
  <c r="L979" i="86"/>
  <c r="Q979" i="86"/>
  <c r="P979" i="86" s="1"/>
  <c r="M980" i="86"/>
  <c r="K979" i="86"/>
  <c r="L980" i="86"/>
  <c r="F979" i="86"/>
  <c r="Q980" i="86"/>
  <c r="P980" i="86" s="1"/>
  <c r="K980" i="86"/>
  <c r="G980" i="86"/>
  <c r="D976" i="86"/>
  <c r="B976" i="86"/>
  <c r="E684" i="88" l="1"/>
  <c r="G686" i="88" s="1"/>
  <c r="A690" i="88"/>
  <c r="K681" i="88"/>
  <c r="J680" i="88"/>
  <c r="I680" i="88" s="1"/>
  <c r="J681" i="88"/>
  <c r="I681" i="88" s="1"/>
  <c r="G681" i="88"/>
  <c r="E682" i="88"/>
  <c r="E681" i="88"/>
  <c r="C680" i="88" s="1"/>
  <c r="G680" i="88"/>
  <c r="K680" i="88"/>
  <c r="D979" i="86"/>
  <c r="B979" i="86"/>
  <c r="F986" i="86"/>
  <c r="A989" i="86"/>
  <c r="K982" i="86"/>
  <c r="L983" i="86"/>
  <c r="F982" i="86"/>
  <c r="R982" i="86"/>
  <c r="G983" i="86"/>
  <c r="Q982" i="86"/>
  <c r="P982" i="86" s="1"/>
  <c r="Q983" i="86"/>
  <c r="P983" i="86" s="1"/>
  <c r="O982" i="86"/>
  <c r="N982" i="86" s="1"/>
  <c r="M982" i="86"/>
  <c r="O983" i="86"/>
  <c r="N983" i="86" s="1"/>
  <c r="L982" i="86"/>
  <c r="K983" i="86"/>
  <c r="M983" i="86"/>
  <c r="A694" i="88" l="1"/>
  <c r="E688" i="88"/>
  <c r="G690" i="88" s="1"/>
  <c r="G685" i="88"/>
  <c r="E686" i="88"/>
  <c r="E685" i="88"/>
  <c r="C684" i="88" s="1"/>
  <c r="G684" i="88"/>
  <c r="K684" i="88"/>
  <c r="K685" i="88"/>
  <c r="J684" i="88"/>
  <c r="I684" i="88" s="1"/>
  <c r="J685" i="88"/>
  <c r="I685" i="88" s="1"/>
  <c r="D982" i="86"/>
  <c r="B982" i="86"/>
  <c r="A992" i="86"/>
  <c r="F989" i="86"/>
  <c r="M985" i="86"/>
  <c r="L985" i="86"/>
  <c r="M986" i="86"/>
  <c r="L986" i="86"/>
  <c r="K985" i="86"/>
  <c r="F985" i="86"/>
  <c r="K986" i="86"/>
  <c r="G986" i="86"/>
  <c r="Q986" i="86"/>
  <c r="P986" i="86" s="1"/>
  <c r="O986" i="86"/>
  <c r="N986" i="86" s="1"/>
  <c r="R985" i="86"/>
  <c r="O985" i="86"/>
  <c r="N985" i="86" s="1"/>
  <c r="Q985" i="86"/>
  <c r="P985" i="86" s="1"/>
  <c r="G689" i="88" l="1"/>
  <c r="E690" i="88"/>
  <c r="E689" i="88"/>
  <c r="C688" i="88" s="1"/>
  <c r="K688" i="88"/>
  <c r="K689" i="88"/>
  <c r="J688" i="88"/>
  <c r="I688" i="88" s="1"/>
  <c r="J689" i="88"/>
  <c r="I689" i="88" s="1"/>
  <c r="G688" i="88"/>
  <c r="E692" i="88"/>
  <c r="G694" i="88" s="1"/>
  <c r="A698" i="88"/>
  <c r="D985" i="86"/>
  <c r="B985" i="86"/>
  <c r="G989" i="86"/>
  <c r="Q989" i="86"/>
  <c r="P989" i="86" s="1"/>
  <c r="Q988" i="86"/>
  <c r="P988" i="86" s="1"/>
  <c r="O988" i="86"/>
  <c r="N988" i="86" s="1"/>
  <c r="M988" i="86"/>
  <c r="O989" i="86"/>
  <c r="N989" i="86" s="1"/>
  <c r="L988" i="86"/>
  <c r="M989" i="86"/>
  <c r="K988" i="86"/>
  <c r="L989" i="86"/>
  <c r="F988" i="86"/>
  <c r="K989" i="86"/>
  <c r="R988" i="86"/>
  <c r="F992" i="86"/>
  <c r="A995" i="86"/>
  <c r="A702" i="88" l="1"/>
  <c r="E696" i="88"/>
  <c r="G698" i="88" s="1"/>
  <c r="E693" i="88"/>
  <c r="C692" i="88" s="1"/>
  <c r="G692" i="88"/>
  <c r="K692" i="88"/>
  <c r="K693" i="88"/>
  <c r="J692" i="88"/>
  <c r="I692" i="88" s="1"/>
  <c r="J693" i="88"/>
  <c r="I693" i="88" s="1"/>
  <c r="G693" i="88"/>
  <c r="E694" i="88"/>
  <c r="A998" i="86"/>
  <c r="F995" i="86"/>
  <c r="M992" i="86"/>
  <c r="K991" i="86"/>
  <c r="L991" i="86"/>
  <c r="L992" i="86"/>
  <c r="G992" i="86"/>
  <c r="K992" i="86"/>
  <c r="R991" i="86"/>
  <c r="Q991" i="86"/>
  <c r="P991" i="86" s="1"/>
  <c r="O991" i="86"/>
  <c r="N991" i="86" s="1"/>
  <c r="O992" i="86"/>
  <c r="N992" i="86" s="1"/>
  <c r="F991" i="86"/>
  <c r="Q992" i="86"/>
  <c r="P992" i="86" s="1"/>
  <c r="M991" i="86"/>
  <c r="D988" i="86"/>
  <c r="B988" i="86"/>
  <c r="G697" i="88" l="1"/>
  <c r="E698" i="88"/>
  <c r="E697" i="88"/>
  <c r="C696" i="88" s="1"/>
  <c r="K696" i="88"/>
  <c r="K697" i="88"/>
  <c r="J696" i="88"/>
  <c r="I696" i="88" s="1"/>
  <c r="J697" i="88"/>
  <c r="I697" i="88" s="1"/>
  <c r="G696" i="88"/>
  <c r="A706" i="88"/>
  <c r="E700" i="88"/>
  <c r="G702" i="88" s="1"/>
  <c r="D991" i="86"/>
  <c r="B991" i="86"/>
  <c r="Q995" i="86"/>
  <c r="P995" i="86" s="1"/>
  <c r="M994" i="86"/>
  <c r="O994" i="86"/>
  <c r="N994" i="86" s="1"/>
  <c r="O995" i="86"/>
  <c r="N995" i="86" s="1"/>
  <c r="R994" i="86"/>
  <c r="L994" i="86"/>
  <c r="M995" i="86"/>
  <c r="K994" i="86"/>
  <c r="L995" i="86"/>
  <c r="F994" i="86"/>
  <c r="K995" i="86"/>
  <c r="G995" i="86"/>
  <c r="Q994" i="86"/>
  <c r="P994" i="86" s="1"/>
  <c r="A1001" i="86"/>
  <c r="F998" i="86"/>
  <c r="G701" i="88" l="1"/>
  <c r="E702" i="88"/>
  <c r="E701" i="88"/>
  <c r="C700" i="88" s="1"/>
  <c r="K700" i="88"/>
  <c r="K701" i="88"/>
  <c r="J700" i="88"/>
  <c r="I700" i="88" s="1"/>
  <c r="J701" i="88"/>
  <c r="I701" i="88" s="1"/>
  <c r="G700" i="88"/>
  <c r="E704" i="88"/>
  <c r="G706" i="88" s="1"/>
  <c r="A710" i="88"/>
  <c r="D994" i="86"/>
  <c r="B994" i="86"/>
  <c r="K998" i="86"/>
  <c r="R997" i="86"/>
  <c r="G998" i="86"/>
  <c r="K997" i="86"/>
  <c r="Q997" i="86"/>
  <c r="P997" i="86" s="1"/>
  <c r="L998" i="86"/>
  <c r="Q998" i="86"/>
  <c r="P998" i="86" s="1"/>
  <c r="O997" i="86"/>
  <c r="N997" i="86" s="1"/>
  <c r="M998" i="86"/>
  <c r="M997" i="86"/>
  <c r="O998" i="86"/>
  <c r="N998" i="86" s="1"/>
  <c r="L997" i="86"/>
  <c r="F997" i="86"/>
  <c r="F1001" i="86"/>
  <c r="A1004" i="86"/>
  <c r="F1004" i="86" s="1"/>
  <c r="A714" i="88" l="1"/>
  <c r="E708" i="88"/>
  <c r="G710" i="88" s="1"/>
  <c r="E705" i="88"/>
  <c r="C704" i="88" s="1"/>
  <c r="G704" i="88"/>
  <c r="K704" i="88"/>
  <c r="K705" i="88"/>
  <c r="J704" i="88"/>
  <c r="I704" i="88" s="1"/>
  <c r="J705" i="88"/>
  <c r="I705" i="88" s="1"/>
  <c r="G705" i="88"/>
  <c r="E706" i="88"/>
  <c r="K1004" i="86"/>
  <c r="Q1003" i="86"/>
  <c r="P1003" i="86" s="1"/>
  <c r="R1003" i="86"/>
  <c r="Q1004" i="86"/>
  <c r="P1004" i="86" s="1"/>
  <c r="L1004" i="86"/>
  <c r="O1003" i="86"/>
  <c r="N1003" i="86" s="1"/>
  <c r="M1003" i="86"/>
  <c r="O1004" i="86"/>
  <c r="N1004" i="86" s="1"/>
  <c r="F1003" i="86"/>
  <c r="L1003" i="86"/>
  <c r="G1004" i="86"/>
  <c r="M1004" i="86"/>
  <c r="K1003" i="86"/>
  <c r="D997" i="86"/>
  <c r="B997" i="86"/>
  <c r="O1001" i="86"/>
  <c r="N1001" i="86" s="1"/>
  <c r="M1001" i="86"/>
  <c r="L1000" i="86"/>
  <c r="K1000" i="86"/>
  <c r="L1001" i="86"/>
  <c r="F1000" i="86"/>
  <c r="O1000" i="86"/>
  <c r="N1000" i="86" s="1"/>
  <c r="K1001" i="86"/>
  <c r="Q1001" i="86"/>
  <c r="P1001" i="86" s="1"/>
  <c r="G1001" i="86"/>
  <c r="R1000" i="86"/>
  <c r="Q1000" i="86"/>
  <c r="P1000" i="86" s="1"/>
  <c r="M1000" i="86"/>
  <c r="G709" i="88" l="1"/>
  <c r="E710" i="88"/>
  <c r="E709" i="88"/>
  <c r="C708" i="88" s="1"/>
  <c r="K708" i="88"/>
  <c r="K709" i="88"/>
  <c r="J708" i="88"/>
  <c r="I708" i="88" s="1"/>
  <c r="J709" i="88"/>
  <c r="I709" i="88" s="1"/>
  <c r="G708" i="88"/>
  <c r="A718" i="88"/>
  <c r="E712" i="88"/>
  <c r="G714" i="88" s="1"/>
  <c r="D1003" i="86"/>
  <c r="B1003" i="86"/>
  <c r="D1000" i="86"/>
  <c r="B1000" i="86"/>
  <c r="J713" i="88" l="1"/>
  <c r="I713" i="88" s="1"/>
  <c r="G712" i="88"/>
  <c r="G713" i="88"/>
  <c r="E714" i="88"/>
  <c r="E713" i="88"/>
  <c r="C712" i="88" s="1"/>
  <c r="K712" i="88"/>
  <c r="K713" i="88"/>
  <c r="J712" i="88"/>
  <c r="I712" i="88" s="1"/>
  <c r="E716" i="88"/>
  <c r="G718" i="88" s="1"/>
  <c r="A722" i="88"/>
  <c r="A726" i="88" l="1"/>
  <c r="E720" i="88"/>
  <c r="G722" i="88" s="1"/>
  <c r="E717" i="88"/>
  <c r="C716" i="88" s="1"/>
  <c r="K716" i="88"/>
  <c r="K717" i="88"/>
  <c r="J716" i="88"/>
  <c r="I716" i="88" s="1"/>
  <c r="E718" i="88"/>
  <c r="J717" i="88"/>
  <c r="I717" i="88" s="1"/>
  <c r="G716" i="88"/>
  <c r="G717" i="88"/>
  <c r="G721" i="88" l="1"/>
  <c r="E722" i="88"/>
  <c r="E721" i="88"/>
  <c r="C720" i="88" s="1"/>
  <c r="K720" i="88"/>
  <c r="K721" i="88"/>
  <c r="J720" i="88"/>
  <c r="I720" i="88" s="1"/>
  <c r="G720" i="88"/>
  <c r="J721" i="88"/>
  <c r="I721" i="88" s="1"/>
  <c r="A730" i="88"/>
  <c r="E724" i="88"/>
  <c r="G726" i="88" s="1"/>
  <c r="G725" i="88" l="1"/>
  <c r="E726" i="88"/>
  <c r="E725" i="88"/>
  <c r="C724" i="88" s="1"/>
  <c r="K724" i="88"/>
  <c r="K725" i="88"/>
  <c r="J724" i="88"/>
  <c r="I724" i="88" s="1"/>
  <c r="J725" i="88"/>
  <c r="I725" i="88" s="1"/>
  <c r="G724" i="88"/>
  <c r="E728" i="88"/>
  <c r="G730" i="88" s="1"/>
  <c r="B682" i="88"/>
  <c r="O680" i="88" l="1"/>
  <c r="Q682" i="88" s="1"/>
  <c r="B686" i="88"/>
  <c r="J729" i="88"/>
  <c r="I729" i="88" s="1"/>
  <c r="G729" i="88"/>
  <c r="E729" i="88"/>
  <c r="C728" i="88" s="1"/>
  <c r="K728" i="88"/>
  <c r="J728" i="88"/>
  <c r="I728" i="88" s="1"/>
  <c r="G728" i="88"/>
  <c r="E730" i="88"/>
  <c r="K729" i="88"/>
  <c r="O684" i="88" l="1"/>
  <c r="Q686" i="88" s="1"/>
  <c r="B690" i="88"/>
  <c r="T681" i="88"/>
  <c r="S681" i="88" s="1"/>
  <c r="Q680" i="88"/>
  <c r="O682" i="88"/>
  <c r="Q681" i="88"/>
  <c r="O681" i="88"/>
  <c r="M680" i="88" s="1"/>
  <c r="U680" i="88"/>
  <c r="T680" i="88"/>
  <c r="S680" i="88" s="1"/>
  <c r="U681" i="88"/>
  <c r="B694" i="88" l="1"/>
  <c r="O688" i="88"/>
  <c r="Q690" i="88" s="1"/>
  <c r="Q684" i="88"/>
  <c r="Q685" i="88"/>
  <c r="O685" i="88"/>
  <c r="M684" i="88" s="1"/>
  <c r="O686" i="88"/>
  <c r="U684" i="88"/>
  <c r="U685" i="88"/>
  <c r="T684" i="88"/>
  <c r="S684" i="88" s="1"/>
  <c r="T685" i="88"/>
  <c r="S685" i="88" s="1"/>
  <c r="U689" i="88" l="1"/>
  <c r="T689" i="88"/>
  <c r="S689" i="88" s="1"/>
  <c r="Q688" i="88"/>
  <c r="U688" i="88"/>
  <c r="Q689" i="88"/>
  <c r="O689" i="88"/>
  <c r="M688" i="88" s="1"/>
  <c r="O690" i="88"/>
  <c r="T688" i="88"/>
  <c r="S688" i="88" s="1"/>
  <c r="O692" i="88"/>
  <c r="Q694" i="88" s="1"/>
  <c r="B698" i="88"/>
  <c r="O696" i="88" l="1"/>
  <c r="Q698" i="88" s="1"/>
  <c r="B702" i="88"/>
  <c r="U693" i="88"/>
  <c r="T693" i="88"/>
  <c r="S693" i="88" s="1"/>
  <c r="Q692" i="88"/>
  <c r="Q693" i="88"/>
  <c r="O693" i="88"/>
  <c r="M692" i="88" s="1"/>
  <c r="U692" i="88"/>
  <c r="O694" i="88"/>
  <c r="T692" i="88"/>
  <c r="S692" i="88" s="1"/>
  <c r="B706" i="88" l="1"/>
  <c r="O700" i="88"/>
  <c r="Q702" i="88" s="1"/>
  <c r="Q697" i="88"/>
  <c r="O697" i="88"/>
  <c r="M696" i="88" s="1"/>
  <c r="O698" i="88"/>
  <c r="T696" i="88"/>
  <c r="S696" i="88" s="1"/>
  <c r="U696" i="88"/>
  <c r="U697" i="88"/>
  <c r="T697" i="88"/>
  <c r="S697" i="88" s="1"/>
  <c r="Q696" i="88"/>
  <c r="U701" i="88" l="1"/>
  <c r="T701" i="88"/>
  <c r="S701" i="88" s="1"/>
  <c r="Q700" i="88"/>
  <c r="Q701" i="88"/>
  <c r="O701" i="88"/>
  <c r="M700" i="88" s="1"/>
  <c r="O702" i="88"/>
  <c r="U700" i="88"/>
  <c r="T700" i="88"/>
  <c r="S700" i="88" s="1"/>
  <c r="O704" i="88"/>
  <c r="Q706" i="88" s="1"/>
  <c r="B710" i="88"/>
  <c r="O708" i="88" l="1"/>
  <c r="Q710" i="88" s="1"/>
  <c r="B714" i="88"/>
  <c r="T705" i="88"/>
  <c r="S705" i="88" s="1"/>
  <c r="Q704" i="88"/>
  <c r="Q705" i="88"/>
  <c r="O706" i="88"/>
  <c r="O705" i="88"/>
  <c r="M704" i="88" s="1"/>
  <c r="U704" i="88"/>
  <c r="T704" i="88"/>
  <c r="S704" i="88" s="1"/>
  <c r="U705" i="88"/>
  <c r="B718" i="88" l="1"/>
  <c r="O712" i="88"/>
  <c r="Q714" i="88" s="1"/>
  <c r="Q709" i="88"/>
  <c r="O709" i="88"/>
  <c r="M708" i="88" s="1"/>
  <c r="O710" i="88"/>
  <c r="T708" i="88"/>
  <c r="S708" i="88" s="1"/>
  <c r="U708" i="88"/>
  <c r="U709" i="88"/>
  <c r="T709" i="88"/>
  <c r="S709" i="88" s="1"/>
  <c r="Q708" i="88"/>
  <c r="O713" i="88" l="1"/>
  <c r="M712" i="88" s="1"/>
  <c r="O714" i="88"/>
  <c r="U712" i="88"/>
  <c r="T712" i="88"/>
  <c r="S712" i="88" s="1"/>
  <c r="U713" i="88"/>
  <c r="T713" i="88"/>
  <c r="S713" i="88" s="1"/>
  <c r="Q712" i="88"/>
  <c r="Q713" i="88"/>
  <c r="B722" i="88"/>
  <c r="O716" i="88"/>
  <c r="Q718" i="88" s="1"/>
  <c r="U716" i="88" l="1"/>
  <c r="T716" i="88"/>
  <c r="S716" i="88" s="1"/>
  <c r="U717" i="88"/>
  <c r="T717" i="88"/>
  <c r="S717" i="88" s="1"/>
  <c r="Q716" i="88"/>
  <c r="Q717" i="88"/>
  <c r="O718" i="88"/>
  <c r="O717" i="88"/>
  <c r="M716" i="88" s="1"/>
  <c r="O720" i="88"/>
  <c r="Q722" i="88" s="1"/>
  <c r="B726" i="88"/>
  <c r="O724" i="88" l="1"/>
  <c r="Q726" i="88" s="1"/>
  <c r="A734" i="88"/>
  <c r="T721" i="88"/>
  <c r="S721" i="88" s="1"/>
  <c r="Q720" i="88"/>
  <c r="Q721" i="88"/>
  <c r="O721" i="88"/>
  <c r="M720" i="88" s="1"/>
  <c r="O722" i="88"/>
  <c r="T720" i="88"/>
  <c r="S720" i="88" s="1"/>
  <c r="U720" i="88"/>
  <c r="U721" i="88"/>
  <c r="E732" i="88" l="1"/>
  <c r="A738" i="88"/>
  <c r="O725" i="88"/>
  <c r="M724" i="88" s="1"/>
  <c r="O726" i="88"/>
  <c r="U724" i="88"/>
  <c r="T724" i="88"/>
  <c r="S724" i="88" s="1"/>
  <c r="U725" i="88"/>
  <c r="T725" i="88"/>
  <c r="S725" i="88" s="1"/>
  <c r="Q724" i="88"/>
  <c r="Q725" i="88"/>
  <c r="G734" i="88" l="1"/>
  <c r="J733" i="88"/>
  <c r="I733" i="88" s="1"/>
  <c r="G733" i="88"/>
  <c r="K732" i="88"/>
  <c r="G732" i="88"/>
  <c r="J732" i="88"/>
  <c r="I732" i="88" s="1"/>
  <c r="K733" i="88"/>
  <c r="A742" i="88"/>
  <c r="E736" i="88"/>
  <c r="E734" i="88"/>
  <c r="E733" i="88"/>
  <c r="C732" i="88" s="1"/>
  <c r="G736" i="88" l="1"/>
  <c r="K737" i="88"/>
  <c r="G738" i="88"/>
  <c r="J737" i="88"/>
  <c r="I737" i="88" s="1"/>
  <c r="K736" i="88"/>
  <c r="G737" i="88"/>
  <c r="J736" i="88"/>
  <c r="I736" i="88" s="1"/>
  <c r="E738" i="88"/>
  <c r="E737" i="88"/>
  <c r="C736" i="88" s="1"/>
  <c r="A746" i="88"/>
  <c r="E740" i="88"/>
  <c r="K741" i="88" l="1"/>
  <c r="J741" i="88"/>
  <c r="I741" i="88" s="1"/>
  <c r="K740" i="88"/>
  <c r="G740" i="88"/>
  <c r="J740" i="88"/>
  <c r="I740" i="88" s="1"/>
  <c r="G742" i="88"/>
  <c r="G741" i="88"/>
  <c r="E742" i="88"/>
  <c r="E741" i="88"/>
  <c r="C740" i="88" s="1"/>
  <c r="E744" i="88"/>
  <c r="A750" i="88"/>
  <c r="G746" i="88" l="1"/>
  <c r="K745" i="88"/>
  <c r="G745" i="88"/>
  <c r="J745" i="88"/>
  <c r="I745" i="88" s="1"/>
  <c r="K744" i="88"/>
  <c r="J744" i="88"/>
  <c r="I744" i="88" s="1"/>
  <c r="G744" i="88"/>
  <c r="A754" i="88"/>
  <c r="E748" i="88"/>
  <c r="E746" i="88"/>
  <c r="E745" i="88"/>
  <c r="C744" i="88" s="1"/>
  <c r="G749" i="88" l="1"/>
  <c r="K748" i="88"/>
  <c r="G748" i="88"/>
  <c r="J748" i="88"/>
  <c r="I748" i="88" s="1"/>
  <c r="G750" i="88"/>
  <c r="K749" i="88"/>
  <c r="J749" i="88"/>
  <c r="I749" i="88" s="1"/>
  <c r="E750" i="88"/>
  <c r="E749" i="88"/>
  <c r="C748" i="88" s="1"/>
  <c r="A758" i="88"/>
  <c r="E752" i="88"/>
  <c r="K753" i="88" l="1"/>
  <c r="G753" i="88"/>
  <c r="J753" i="88"/>
  <c r="I753" i="88" s="1"/>
  <c r="J752" i="88"/>
  <c r="I752" i="88" s="1"/>
  <c r="G754" i="88"/>
  <c r="K752" i="88"/>
  <c r="G752" i="88"/>
  <c r="E754" i="88"/>
  <c r="E753" i="88"/>
  <c r="C752" i="88" s="1"/>
  <c r="E756" i="88"/>
  <c r="A762" i="88"/>
  <c r="J756" i="88" l="1"/>
  <c r="I756" i="88" s="1"/>
  <c r="G756" i="88"/>
  <c r="G758" i="88"/>
  <c r="K757" i="88"/>
  <c r="J757" i="88"/>
  <c r="I757" i="88" s="1"/>
  <c r="G757" i="88"/>
  <c r="K756" i="88"/>
  <c r="A766" i="88"/>
  <c r="E760" i="88"/>
  <c r="E758" i="88"/>
  <c r="E757" i="88"/>
  <c r="C756" i="88" s="1"/>
  <c r="G762" i="88" l="1"/>
  <c r="K761" i="88"/>
  <c r="G761" i="88"/>
  <c r="K760" i="88"/>
  <c r="J760" i="88"/>
  <c r="I760" i="88" s="1"/>
  <c r="G760" i="88"/>
  <c r="J761" i="88"/>
  <c r="I761" i="88" s="1"/>
  <c r="E762" i="88"/>
  <c r="E761" i="88"/>
  <c r="C760" i="88" s="1"/>
  <c r="A770" i="88"/>
  <c r="E764" i="88"/>
  <c r="G766" i="88" l="1"/>
  <c r="J765" i="88"/>
  <c r="I765" i="88" s="1"/>
  <c r="J764" i="88"/>
  <c r="I764" i="88" s="1"/>
  <c r="G764" i="88"/>
  <c r="K765" i="88"/>
  <c r="G765" i="88"/>
  <c r="K764" i="88"/>
  <c r="E766" i="88"/>
  <c r="E765" i="88"/>
  <c r="C764" i="88" s="1"/>
  <c r="E768" i="88"/>
  <c r="A774" i="88"/>
  <c r="J769" i="88" l="1"/>
  <c r="I769" i="88" s="1"/>
  <c r="G769" i="88"/>
  <c r="K768" i="88"/>
  <c r="J768" i="88"/>
  <c r="I768" i="88" s="1"/>
  <c r="G768" i="88"/>
  <c r="G770" i="88"/>
  <c r="K769" i="88"/>
  <c r="A778" i="88"/>
  <c r="E772" i="88"/>
  <c r="E770" i="88"/>
  <c r="E769" i="88"/>
  <c r="C768" i="88" s="1"/>
  <c r="G774" i="88" l="1"/>
  <c r="K773" i="88"/>
  <c r="J773" i="88"/>
  <c r="I773" i="88" s="1"/>
  <c r="K772" i="88"/>
  <c r="G773" i="88"/>
  <c r="J772" i="88"/>
  <c r="I772" i="88" s="1"/>
  <c r="G772" i="88"/>
  <c r="E774" i="88"/>
  <c r="E773" i="88"/>
  <c r="C772" i="88" s="1"/>
  <c r="A782" i="88"/>
  <c r="E776" i="88"/>
  <c r="K776" i="88" l="1"/>
  <c r="J776" i="88"/>
  <c r="I776" i="88" s="1"/>
  <c r="G776" i="88"/>
  <c r="G777" i="88"/>
  <c r="K777" i="88"/>
  <c r="G778" i="88"/>
  <c r="J777" i="88"/>
  <c r="I777" i="88" s="1"/>
  <c r="E778" i="88"/>
  <c r="E777" i="88"/>
  <c r="C776" i="88" s="1"/>
  <c r="E780" i="88"/>
  <c r="B734" i="88"/>
  <c r="G782" i="88" l="1"/>
  <c r="K781" i="88"/>
  <c r="J781" i="88"/>
  <c r="I781" i="88" s="1"/>
  <c r="K780" i="88"/>
  <c r="G781" i="88"/>
  <c r="G780" i="88"/>
  <c r="J780" i="88"/>
  <c r="I780" i="88" s="1"/>
  <c r="O732" i="88"/>
  <c r="B738" i="88"/>
  <c r="E781" i="88"/>
  <c r="C780" i="88" s="1"/>
  <c r="E782" i="88"/>
  <c r="Q732" i="88" l="1"/>
  <c r="U733" i="88"/>
  <c r="Q733" i="88"/>
  <c r="Q734" i="88"/>
  <c r="T733" i="88"/>
  <c r="S733" i="88" s="1"/>
  <c r="U732" i="88"/>
  <c r="T732" i="88"/>
  <c r="S732" i="88" s="1"/>
  <c r="O736" i="88"/>
  <c r="B742" i="88"/>
  <c r="O734" i="88"/>
  <c r="O733" i="88"/>
  <c r="M732" i="88" s="1"/>
  <c r="U737" i="88" l="1"/>
  <c r="T737" i="88"/>
  <c r="S737" i="88" s="1"/>
  <c r="Q737" i="88"/>
  <c r="U736" i="88"/>
  <c r="T736" i="88"/>
  <c r="S736" i="88" s="1"/>
  <c r="Q736" i="88"/>
  <c r="Q738" i="88"/>
  <c r="B746" i="88"/>
  <c r="O740" i="88"/>
  <c r="O737" i="88"/>
  <c r="M736" i="88" s="1"/>
  <c r="O738" i="88"/>
  <c r="U741" i="88" l="1"/>
  <c r="Q742" i="88"/>
  <c r="Q741" i="88"/>
  <c r="T740" i="88"/>
  <c r="S740" i="88" s="1"/>
  <c r="Q740" i="88"/>
  <c r="T741" i="88"/>
  <c r="S741" i="88" s="1"/>
  <c r="U740" i="88"/>
  <c r="O742" i="88"/>
  <c r="O741" i="88"/>
  <c r="M740" i="88" s="1"/>
  <c r="O744" i="88"/>
  <c r="B750" i="88"/>
  <c r="Q745" i="88" l="1"/>
  <c r="U744" i="88"/>
  <c r="T744" i="88"/>
  <c r="S744" i="88" s="1"/>
  <c r="Q744" i="88"/>
  <c r="T745" i="88"/>
  <c r="S745" i="88" s="1"/>
  <c r="Q746" i="88"/>
  <c r="U745" i="88"/>
  <c r="O748" i="88"/>
  <c r="B754" i="88"/>
  <c r="O746" i="88"/>
  <c r="O745" i="88"/>
  <c r="M744" i="88" s="1"/>
  <c r="Q750" i="88" l="1"/>
  <c r="U749" i="88"/>
  <c r="T749" i="88"/>
  <c r="S749" i="88" s="1"/>
  <c r="Q749" i="88"/>
  <c r="T748" i="88"/>
  <c r="S748" i="88" s="1"/>
  <c r="U748" i="88"/>
  <c r="Q748" i="88"/>
  <c r="B758" i="88"/>
  <c r="O752" i="88"/>
  <c r="O749" i="88"/>
  <c r="M748" i="88" s="1"/>
  <c r="O750" i="88"/>
  <c r="T752" i="88" l="1"/>
  <c r="S752" i="88" s="1"/>
  <c r="Q752" i="88"/>
  <c r="Q754" i="88"/>
  <c r="U753" i="88"/>
  <c r="T753" i="88"/>
  <c r="S753" i="88" s="1"/>
  <c r="Q753" i="88"/>
  <c r="U752" i="88"/>
  <c r="O753" i="88"/>
  <c r="M752" i="88" s="1"/>
  <c r="O754" i="88"/>
  <c r="O756" i="88"/>
  <c r="B762" i="88"/>
  <c r="Q758" i="88" l="1"/>
  <c r="U757" i="88"/>
  <c r="T757" i="88"/>
  <c r="S757" i="88" s="1"/>
  <c r="Q757" i="88"/>
  <c r="U756" i="88"/>
  <c r="T756" i="88"/>
  <c r="S756" i="88" s="1"/>
  <c r="Q756" i="88"/>
  <c r="O760" i="88"/>
  <c r="B766" i="88"/>
  <c r="O757" i="88"/>
  <c r="M756" i="88" s="1"/>
  <c r="O758" i="88"/>
  <c r="Q762" i="88" l="1"/>
  <c r="T761" i="88"/>
  <c r="S761" i="88" s="1"/>
  <c r="Q760" i="88"/>
  <c r="U761" i="88"/>
  <c r="T760" i="88"/>
  <c r="S760" i="88" s="1"/>
  <c r="Q761" i="88"/>
  <c r="U760" i="88"/>
  <c r="B770" i="88"/>
  <c r="O764" i="88"/>
  <c r="O761" i="88"/>
  <c r="M760" i="88" s="1"/>
  <c r="O762" i="88"/>
  <c r="T765" i="88" l="1"/>
  <c r="S765" i="88" s="1"/>
  <c r="U764" i="88"/>
  <c r="Q765" i="88"/>
  <c r="T764" i="88"/>
  <c r="S764" i="88" s="1"/>
  <c r="Q764" i="88"/>
  <c r="Q766" i="88"/>
  <c r="U765" i="88"/>
  <c r="O765" i="88"/>
  <c r="M764" i="88" s="1"/>
  <c r="O766" i="88"/>
  <c r="O768" i="88"/>
  <c r="B774" i="88"/>
  <c r="Q770" i="88" l="1"/>
  <c r="U769" i="88"/>
  <c r="T769" i="88"/>
  <c r="S769" i="88" s="1"/>
  <c r="U768" i="88"/>
  <c r="Q769" i="88"/>
  <c r="T768" i="88"/>
  <c r="S768" i="88" s="1"/>
  <c r="Q768" i="88"/>
  <c r="B778" i="88"/>
  <c r="O772" i="88"/>
  <c r="O770" i="88"/>
  <c r="O769" i="88"/>
  <c r="M768" i="88" s="1"/>
  <c r="U772" i="88" l="1"/>
  <c r="Q772" i="88"/>
  <c r="T772" i="88"/>
  <c r="S772" i="88" s="1"/>
  <c r="T773" i="88"/>
  <c r="S773" i="88" s="1"/>
  <c r="Q773" i="88"/>
  <c r="U773" i="88"/>
  <c r="Q774" i="88"/>
  <c r="O773" i="88"/>
  <c r="M772" i="88" s="1"/>
  <c r="O774" i="88"/>
  <c r="O776" i="88"/>
  <c r="A786" i="88"/>
  <c r="U777" i="88" l="1"/>
  <c r="Q778" i="88"/>
  <c r="T777" i="88"/>
  <c r="S777" i="88" s="1"/>
  <c r="Q777" i="88"/>
  <c r="U776" i="88"/>
  <c r="Q776" i="88"/>
  <c r="T776" i="88"/>
  <c r="S776" i="88" s="1"/>
  <c r="E784" i="88"/>
  <c r="A790" i="88"/>
  <c r="O777" i="88"/>
  <c r="M776" i="88" s="1"/>
  <c r="O778" i="88"/>
  <c r="G784" i="88" l="1"/>
  <c r="K785" i="88"/>
  <c r="G786" i="88"/>
  <c r="J785" i="88"/>
  <c r="I785" i="88" s="1"/>
  <c r="G785" i="88"/>
  <c r="K784" i="88"/>
  <c r="J784" i="88"/>
  <c r="I784" i="88" s="1"/>
  <c r="A794" i="88"/>
  <c r="E788" i="88"/>
  <c r="E786" i="88"/>
  <c r="E785" i="88"/>
  <c r="C784" i="88" s="1"/>
  <c r="K789" i="88" l="1"/>
  <c r="G789" i="88"/>
  <c r="J789" i="88"/>
  <c r="I789" i="88" s="1"/>
  <c r="K788" i="88"/>
  <c r="J788" i="88"/>
  <c r="I788" i="88" s="1"/>
  <c r="G788" i="88"/>
  <c r="G790" i="88"/>
  <c r="E790" i="88"/>
  <c r="E789" i="88"/>
  <c r="C788" i="88" s="1"/>
  <c r="A798" i="88"/>
  <c r="E792" i="88"/>
  <c r="G794" i="88" l="1"/>
  <c r="K793" i="88"/>
  <c r="G793" i="88"/>
  <c r="K792" i="88"/>
  <c r="J792" i="88"/>
  <c r="I792" i="88" s="1"/>
  <c r="G792" i="88"/>
  <c r="J793" i="88"/>
  <c r="I793" i="88" s="1"/>
  <c r="E794" i="88"/>
  <c r="E793" i="88"/>
  <c r="C792" i="88" s="1"/>
  <c r="E796" i="88"/>
  <c r="A802" i="88"/>
  <c r="G797" i="88" l="1"/>
  <c r="J796" i="88"/>
  <c r="I796" i="88" s="1"/>
  <c r="K796" i="88"/>
  <c r="G796" i="88"/>
  <c r="J797" i="88"/>
  <c r="I797" i="88" s="1"/>
  <c r="G798" i="88"/>
  <c r="K797" i="88"/>
  <c r="A806" i="88"/>
  <c r="E800" i="88"/>
  <c r="E798" i="88"/>
  <c r="E797" i="88"/>
  <c r="C796" i="88" s="1"/>
  <c r="G802" i="88" l="1"/>
  <c r="K801" i="88"/>
  <c r="J801" i="88"/>
  <c r="I801" i="88" s="1"/>
  <c r="G801" i="88"/>
  <c r="J800" i="88"/>
  <c r="I800" i="88" s="1"/>
  <c r="K800" i="88"/>
  <c r="G800" i="88"/>
  <c r="E802" i="88"/>
  <c r="E801" i="88"/>
  <c r="C800" i="88" s="1"/>
  <c r="A810" i="88"/>
  <c r="E804" i="88"/>
  <c r="J804" i="88" l="1"/>
  <c r="I804" i="88" s="1"/>
  <c r="G804" i="88"/>
  <c r="G806" i="88"/>
  <c r="K805" i="88"/>
  <c r="J805" i="88"/>
  <c r="I805" i="88" s="1"/>
  <c r="G805" i="88"/>
  <c r="K804" i="88"/>
  <c r="E806" i="88"/>
  <c r="E805" i="88"/>
  <c r="C804" i="88" s="1"/>
  <c r="E808" i="88"/>
  <c r="A814" i="88"/>
  <c r="G810" i="88" l="1"/>
  <c r="J809" i="88"/>
  <c r="I809" i="88" s="1"/>
  <c r="K809" i="88"/>
  <c r="G809" i="88"/>
  <c r="K808" i="88"/>
  <c r="J808" i="88"/>
  <c r="I808" i="88" s="1"/>
  <c r="G808" i="88"/>
  <c r="A818" i="88"/>
  <c r="E812" i="88"/>
  <c r="E810" i="88"/>
  <c r="E809" i="88"/>
  <c r="C808" i="88" s="1"/>
  <c r="G814" i="88" l="1"/>
  <c r="J813" i="88"/>
  <c r="I813" i="88" s="1"/>
  <c r="G812" i="88"/>
  <c r="K812" i="88"/>
  <c r="K813" i="88"/>
  <c r="G813" i="88"/>
  <c r="J812" i="88"/>
  <c r="I812" i="88" s="1"/>
  <c r="E814" i="88"/>
  <c r="E813" i="88"/>
  <c r="C812" i="88" s="1"/>
  <c r="A822" i="88"/>
  <c r="E816" i="88"/>
  <c r="J817" i="88" l="1"/>
  <c r="I817" i="88" s="1"/>
  <c r="K816" i="88"/>
  <c r="G817" i="88"/>
  <c r="J816" i="88"/>
  <c r="I816" i="88" s="1"/>
  <c r="G816" i="88"/>
  <c r="G818" i="88"/>
  <c r="K817" i="88"/>
  <c r="E818" i="88"/>
  <c r="E817" i="88"/>
  <c r="C816" i="88" s="1"/>
  <c r="E820" i="88"/>
  <c r="A826" i="88"/>
  <c r="G822" i="88" l="1"/>
  <c r="K821" i="88"/>
  <c r="J821" i="88"/>
  <c r="I821" i="88" s="1"/>
  <c r="K820" i="88"/>
  <c r="G821" i="88"/>
  <c r="J820" i="88"/>
  <c r="I820" i="88" s="1"/>
  <c r="G820" i="88"/>
  <c r="A830" i="88"/>
  <c r="E824" i="88"/>
  <c r="E822" i="88"/>
  <c r="E821" i="88"/>
  <c r="C820" i="88" s="1"/>
  <c r="K824" i="88" l="1"/>
  <c r="G824" i="88"/>
  <c r="J824" i="88"/>
  <c r="I824" i="88" s="1"/>
  <c r="K825" i="88"/>
  <c r="J825" i="88"/>
  <c r="I825" i="88" s="1"/>
  <c r="G825" i="88"/>
  <c r="G826" i="88"/>
  <c r="E826" i="88"/>
  <c r="E825" i="88"/>
  <c r="C824" i="88" s="1"/>
  <c r="A834" i="88"/>
  <c r="E828" i="88"/>
  <c r="K829" i="88" l="1"/>
  <c r="G830" i="88"/>
  <c r="J829" i="88"/>
  <c r="I829" i="88" s="1"/>
  <c r="K828" i="88"/>
  <c r="G829" i="88"/>
  <c r="G828" i="88"/>
  <c r="J828" i="88"/>
  <c r="I828" i="88" s="1"/>
  <c r="E830" i="88"/>
  <c r="E829" i="88"/>
  <c r="C828" i="88" s="1"/>
  <c r="E832" i="88"/>
  <c r="B786" i="88"/>
  <c r="G832" i="88" l="1"/>
  <c r="K833" i="88"/>
  <c r="G834" i="88"/>
  <c r="J833" i="88"/>
  <c r="I833" i="88" s="1"/>
  <c r="G833" i="88"/>
  <c r="K832" i="88"/>
  <c r="J832" i="88"/>
  <c r="I832" i="88" s="1"/>
  <c r="O784" i="88"/>
  <c r="B790" i="88"/>
  <c r="E834" i="88"/>
  <c r="E833" i="88"/>
  <c r="C832" i="88" s="1"/>
  <c r="U785" i="88" l="1"/>
  <c r="Q785" i="88"/>
  <c r="T785" i="88"/>
  <c r="S785" i="88" s="1"/>
  <c r="U784" i="88"/>
  <c r="T784" i="88"/>
  <c r="S784" i="88" s="1"/>
  <c r="Q784" i="88"/>
  <c r="Q786" i="88"/>
  <c r="O788" i="88"/>
  <c r="B794" i="88"/>
  <c r="O786" i="88"/>
  <c r="O785" i="88"/>
  <c r="M784" i="88" s="1"/>
  <c r="Q790" i="88" l="1"/>
  <c r="U789" i="88"/>
  <c r="Q789" i="88"/>
  <c r="T789" i="88"/>
  <c r="S789" i="88" s="1"/>
  <c r="U788" i="88"/>
  <c r="T788" i="88"/>
  <c r="S788" i="88" s="1"/>
  <c r="Q788" i="88"/>
  <c r="B798" i="88"/>
  <c r="O792" i="88"/>
  <c r="O789" i="88"/>
  <c r="M788" i="88" s="1"/>
  <c r="O790" i="88"/>
  <c r="Q793" i="88" l="1"/>
  <c r="T792" i="88"/>
  <c r="S792" i="88" s="1"/>
  <c r="U792" i="88"/>
  <c r="Q792" i="88"/>
  <c r="U793" i="88"/>
  <c r="T793" i="88"/>
  <c r="S793" i="88" s="1"/>
  <c r="Q794" i="88"/>
  <c r="O794" i="88"/>
  <c r="O793" i="88"/>
  <c r="M792" i="88" s="1"/>
  <c r="O796" i="88"/>
  <c r="B802" i="88"/>
  <c r="Q798" i="88" l="1"/>
  <c r="U797" i="88"/>
  <c r="T797" i="88"/>
  <c r="S797" i="88" s="1"/>
  <c r="Q797" i="88"/>
  <c r="T796" i="88"/>
  <c r="S796" i="88" s="1"/>
  <c r="U796" i="88"/>
  <c r="Q796" i="88"/>
  <c r="O800" i="88"/>
  <c r="B806" i="88"/>
  <c r="O798" i="88"/>
  <c r="O797" i="88"/>
  <c r="M796" i="88" s="1"/>
  <c r="T800" i="88" l="1"/>
  <c r="S800" i="88" s="1"/>
  <c r="Q800" i="88"/>
  <c r="Q802" i="88"/>
  <c r="U801" i="88"/>
  <c r="T801" i="88"/>
  <c r="S801" i="88" s="1"/>
  <c r="Q801" i="88"/>
  <c r="U800" i="88"/>
  <c r="B810" i="88"/>
  <c r="O804" i="88"/>
  <c r="O801" i="88"/>
  <c r="M800" i="88" s="1"/>
  <c r="O802" i="88"/>
  <c r="Q806" i="88" l="1"/>
  <c r="T805" i="88"/>
  <c r="S805" i="88" s="1"/>
  <c r="U805" i="88"/>
  <c r="Q805" i="88"/>
  <c r="U804" i="88"/>
  <c r="T804" i="88"/>
  <c r="S804" i="88" s="1"/>
  <c r="Q804" i="88"/>
  <c r="O805" i="88"/>
  <c r="M804" i="88" s="1"/>
  <c r="O806" i="88"/>
  <c r="O808" i="88"/>
  <c r="B814" i="88"/>
  <c r="Q810" i="88" l="1"/>
  <c r="T809" i="88"/>
  <c r="S809" i="88" s="1"/>
  <c r="T808" i="88"/>
  <c r="S808" i="88" s="1"/>
  <c r="U808" i="88"/>
  <c r="Q808" i="88"/>
  <c r="Q809" i="88"/>
  <c r="U809" i="88"/>
  <c r="O812" i="88"/>
  <c r="B818" i="88"/>
  <c r="O810" i="88"/>
  <c r="O809" i="88"/>
  <c r="M808" i="88" s="1"/>
  <c r="T813" i="88" l="1"/>
  <c r="S813" i="88" s="1"/>
  <c r="U812" i="88"/>
  <c r="Q813" i="88"/>
  <c r="T812" i="88"/>
  <c r="S812" i="88" s="1"/>
  <c r="Q812" i="88"/>
  <c r="Q814" i="88"/>
  <c r="U813" i="88"/>
  <c r="B822" i="88"/>
  <c r="O816" i="88"/>
  <c r="O813" i="88"/>
  <c r="M812" i="88" s="1"/>
  <c r="O814" i="88"/>
  <c r="Q818" i="88" l="1"/>
  <c r="T817" i="88"/>
  <c r="S817" i="88" s="1"/>
  <c r="U817" i="88"/>
  <c r="U816" i="88"/>
  <c r="Q817" i="88"/>
  <c r="T816" i="88"/>
  <c r="S816" i="88" s="1"/>
  <c r="Q816" i="88"/>
  <c r="O817" i="88"/>
  <c r="M816" i="88" s="1"/>
  <c r="O818" i="88"/>
  <c r="O820" i="88"/>
  <c r="B826" i="88"/>
  <c r="U820" i="88" l="1"/>
  <c r="Q820" i="88"/>
  <c r="T820" i="88"/>
  <c r="S820" i="88" s="1"/>
  <c r="Q822" i="88"/>
  <c r="U821" i="88"/>
  <c r="T821" i="88"/>
  <c r="S821" i="88" s="1"/>
  <c r="Q821" i="88"/>
  <c r="O824" i="88"/>
  <c r="B830" i="88"/>
  <c r="O822" i="88"/>
  <c r="O821" i="88"/>
  <c r="M820" i="88" s="1"/>
  <c r="U825" i="88" l="1"/>
  <c r="Q826" i="88"/>
  <c r="T825" i="88"/>
  <c r="S825" i="88" s="1"/>
  <c r="Q825" i="88"/>
  <c r="U824" i="88"/>
  <c r="Q824" i="88"/>
  <c r="T824" i="88"/>
  <c r="S824" i="88" s="1"/>
  <c r="O828" i="88"/>
  <c r="A838" i="88"/>
  <c r="O825" i="88"/>
  <c r="M824" i="88" s="1"/>
  <c r="O826" i="88"/>
  <c r="Q828" i="88" l="1"/>
  <c r="U829" i="88"/>
  <c r="T828" i="88"/>
  <c r="S828" i="88" s="1"/>
  <c r="Q830" i="88"/>
  <c r="T829" i="88"/>
  <c r="S829" i="88" s="1"/>
  <c r="Q829" i="88"/>
  <c r="U828" i="88"/>
  <c r="E836" i="88"/>
  <c r="A842" i="88"/>
  <c r="O829" i="88"/>
  <c r="M828" i="88" s="1"/>
  <c r="O830" i="88"/>
  <c r="K837" i="88" l="1"/>
  <c r="G837" i="88"/>
  <c r="J837" i="88"/>
  <c r="I837" i="88" s="1"/>
  <c r="K836" i="88"/>
  <c r="J836" i="88"/>
  <c r="I836" i="88" s="1"/>
  <c r="G836" i="88"/>
  <c r="G838" i="88"/>
  <c r="A846" i="88"/>
  <c r="E840" i="88"/>
  <c r="E838" i="88"/>
  <c r="E837" i="88"/>
  <c r="C836" i="88" s="1"/>
  <c r="G842" i="88" l="1"/>
  <c r="K841" i="88"/>
  <c r="G841" i="88"/>
  <c r="J841" i="88"/>
  <c r="I841" i="88" s="1"/>
  <c r="K840" i="88"/>
  <c r="J840" i="88"/>
  <c r="I840" i="88" s="1"/>
  <c r="G840" i="88"/>
  <c r="E842" i="88"/>
  <c r="E841" i="88"/>
  <c r="C840" i="88" s="1"/>
  <c r="A850" i="88"/>
  <c r="E844" i="88"/>
  <c r="G845" i="88" l="1"/>
  <c r="J844" i="88"/>
  <c r="I844" i="88" s="1"/>
  <c r="K844" i="88"/>
  <c r="G844" i="88"/>
  <c r="J845" i="88"/>
  <c r="I845" i="88" s="1"/>
  <c r="K845" i="88"/>
  <c r="G846" i="88"/>
  <c r="E846" i="88"/>
  <c r="E845" i="88"/>
  <c r="C844" i="88" s="1"/>
  <c r="E848" i="88"/>
  <c r="A854" i="88"/>
  <c r="G850" i="88" l="1"/>
  <c r="K849" i="88"/>
  <c r="J849" i="88"/>
  <c r="I849" i="88" s="1"/>
  <c r="G849" i="88"/>
  <c r="J848" i="88"/>
  <c r="I848" i="88" s="1"/>
  <c r="K848" i="88"/>
  <c r="G848" i="88"/>
  <c r="E852" i="88"/>
  <c r="A858" i="88"/>
  <c r="E850" i="88"/>
  <c r="E849" i="88"/>
  <c r="C848" i="88" s="1"/>
  <c r="J852" i="88" l="1"/>
  <c r="I852" i="88" s="1"/>
  <c r="G852" i="88"/>
  <c r="G854" i="88"/>
  <c r="K853" i="88"/>
  <c r="J853" i="88"/>
  <c r="I853" i="88" s="1"/>
  <c r="G853" i="88"/>
  <c r="K852" i="88"/>
  <c r="A862" i="88"/>
  <c r="E856" i="88"/>
  <c r="E854" i="88"/>
  <c r="E853" i="88"/>
  <c r="C852" i="88" s="1"/>
  <c r="G858" i="88" l="1"/>
  <c r="K857" i="88"/>
  <c r="G857" i="88"/>
  <c r="K856" i="88"/>
  <c r="J856" i="88"/>
  <c r="I856" i="88" s="1"/>
  <c r="J857" i="88"/>
  <c r="I857" i="88" s="1"/>
  <c r="G856" i="88"/>
  <c r="E858" i="88"/>
  <c r="E857" i="88"/>
  <c r="C856" i="88" s="1"/>
  <c r="E860" i="88"/>
  <c r="A866" i="88"/>
  <c r="G862" i="88" l="1"/>
  <c r="J861" i="88"/>
  <c r="I861" i="88" s="1"/>
  <c r="J860" i="88"/>
  <c r="I860" i="88" s="1"/>
  <c r="G860" i="88"/>
  <c r="K860" i="88"/>
  <c r="G861" i="88"/>
  <c r="K861" i="88"/>
  <c r="A870" i="88"/>
  <c r="E864" i="88"/>
  <c r="E862" i="88"/>
  <c r="E861" i="88"/>
  <c r="C860" i="88" s="1"/>
  <c r="J865" i="88" l="1"/>
  <c r="I865" i="88" s="1"/>
  <c r="G865" i="88"/>
  <c r="K864" i="88"/>
  <c r="J864" i="88"/>
  <c r="I864" i="88" s="1"/>
  <c r="G864" i="88"/>
  <c r="G866" i="88"/>
  <c r="K865" i="88"/>
  <c r="E866" i="88"/>
  <c r="E865" i="88"/>
  <c r="C864" i="88" s="1"/>
  <c r="A874" i="88"/>
  <c r="E868" i="88"/>
  <c r="G870" i="88" l="1"/>
  <c r="K869" i="88"/>
  <c r="J869" i="88"/>
  <c r="I869" i="88" s="1"/>
  <c r="K868" i="88"/>
  <c r="G869" i="88"/>
  <c r="J868" i="88"/>
  <c r="I868" i="88" s="1"/>
  <c r="G868" i="88"/>
  <c r="E870" i="88"/>
  <c r="E869" i="88"/>
  <c r="C868" i="88" s="1"/>
  <c r="E872" i="88"/>
  <c r="A878" i="88"/>
  <c r="K872" i="88" l="1"/>
  <c r="J872" i="88"/>
  <c r="I872" i="88" s="1"/>
  <c r="G872" i="88"/>
  <c r="G874" i="88"/>
  <c r="K873" i="88"/>
  <c r="J873" i="88"/>
  <c r="I873" i="88" s="1"/>
  <c r="G873" i="88"/>
  <c r="A882" i="88"/>
  <c r="E876" i="88"/>
  <c r="E874" i="88"/>
  <c r="E873" i="88"/>
  <c r="C872" i="88" s="1"/>
  <c r="G878" i="88" l="1"/>
  <c r="K877" i="88"/>
  <c r="J877" i="88"/>
  <c r="I877" i="88" s="1"/>
  <c r="G877" i="88"/>
  <c r="K876" i="88"/>
  <c r="G876" i="88"/>
  <c r="J876" i="88"/>
  <c r="I876" i="88" s="1"/>
  <c r="E878" i="88"/>
  <c r="E877" i="88"/>
  <c r="C876" i="88" s="1"/>
  <c r="A886" i="88"/>
  <c r="E880" i="88"/>
  <c r="G880" i="88" l="1"/>
  <c r="K881" i="88"/>
  <c r="J880" i="88"/>
  <c r="I880" i="88" s="1"/>
  <c r="G882" i="88"/>
  <c r="J881" i="88"/>
  <c r="I881" i="88" s="1"/>
  <c r="G881" i="88"/>
  <c r="K880" i="88"/>
  <c r="E882" i="88"/>
  <c r="E881" i="88"/>
  <c r="C880" i="88" s="1"/>
  <c r="E884" i="88"/>
  <c r="B838" i="88"/>
  <c r="O836" i="88" s="1"/>
  <c r="Q838" i="88" l="1"/>
  <c r="Q836" i="88"/>
  <c r="T836" i="88"/>
  <c r="S836" i="88" s="1"/>
  <c r="U836" i="88"/>
  <c r="O837" i="88"/>
  <c r="Q837" i="88"/>
  <c r="T837" i="88"/>
  <c r="S837" i="88" s="1"/>
  <c r="U837" i="88"/>
  <c r="O838" i="88"/>
  <c r="K885" i="88"/>
  <c r="J885" i="88"/>
  <c r="I885" i="88" s="1"/>
  <c r="G885" i="88"/>
  <c r="K884" i="88"/>
  <c r="J884" i="88"/>
  <c r="I884" i="88" s="1"/>
  <c r="G884" i="88"/>
  <c r="G886" i="88"/>
  <c r="B842" i="88"/>
  <c r="O840" i="88" s="1"/>
  <c r="E885" i="88"/>
  <c r="C884" i="88" s="1"/>
  <c r="E886" i="88"/>
  <c r="Q842" i="88" l="1"/>
  <c r="Q840" i="88"/>
  <c r="T840" i="88"/>
  <c r="S840" i="88" s="1"/>
  <c r="U840" i="88"/>
  <c r="O841" i="88"/>
  <c r="Q841" i="88"/>
  <c r="T841" i="88"/>
  <c r="S841" i="88" s="1"/>
  <c r="U841" i="88"/>
  <c r="O842" i="88"/>
  <c r="B846" i="88"/>
  <c r="O844" i="88" s="1"/>
  <c r="M836" i="88"/>
  <c r="Q846" i="88" l="1"/>
  <c r="Q844" i="88"/>
  <c r="T844" i="88"/>
  <c r="S844" i="88" s="1"/>
  <c r="U844" i="88"/>
  <c r="O845" i="88"/>
  <c r="Q845" i="88"/>
  <c r="T845" i="88"/>
  <c r="S845" i="88" s="1"/>
  <c r="U845" i="88"/>
  <c r="O846" i="88"/>
  <c r="B850" i="88"/>
  <c r="O848" i="88" s="1"/>
  <c r="M840" i="88"/>
  <c r="Q850" i="88" l="1"/>
  <c r="Q848" i="88"/>
  <c r="T848" i="88"/>
  <c r="S848" i="88" s="1"/>
  <c r="U848" i="88"/>
  <c r="O849" i="88"/>
  <c r="Q849" i="88"/>
  <c r="T849" i="88"/>
  <c r="S849" i="88" s="1"/>
  <c r="U849" i="88"/>
  <c r="O850" i="88"/>
  <c r="M844" i="88"/>
  <c r="B854" i="88"/>
  <c r="O852" i="88" s="1"/>
  <c r="Q854" i="88" l="1"/>
  <c r="Q852" i="88"/>
  <c r="T852" i="88"/>
  <c r="S852" i="88" s="1"/>
  <c r="U852" i="88"/>
  <c r="O853" i="88"/>
  <c r="Q853" i="88"/>
  <c r="T853" i="88"/>
  <c r="S853" i="88" s="1"/>
  <c r="U853" i="88"/>
  <c r="O854" i="88"/>
  <c r="B858" i="88"/>
  <c r="O856" i="88" s="1"/>
  <c r="M848" i="88"/>
  <c r="Q858" i="88" l="1"/>
  <c r="Q856" i="88"/>
  <c r="T856" i="88"/>
  <c r="S856" i="88" s="1"/>
  <c r="U856" i="88"/>
  <c r="O857" i="88"/>
  <c r="Q857" i="88"/>
  <c r="T857" i="88"/>
  <c r="S857" i="88" s="1"/>
  <c r="U857" i="88"/>
  <c r="O858" i="88"/>
  <c r="B862" i="88"/>
  <c r="O860" i="88" s="1"/>
  <c r="M852" i="88"/>
  <c r="Q862" i="88" l="1"/>
  <c r="Q860" i="88"/>
  <c r="T860" i="88"/>
  <c r="S860" i="88" s="1"/>
  <c r="U860" i="88"/>
  <c r="O861" i="88"/>
  <c r="Q861" i="88"/>
  <c r="T861" i="88"/>
  <c r="S861" i="88" s="1"/>
  <c r="U861" i="88"/>
  <c r="O862" i="88"/>
  <c r="M856" i="88"/>
  <c r="B866" i="88"/>
  <c r="O864" i="88" s="1"/>
  <c r="Q866" i="88" l="1"/>
  <c r="Q864" i="88"/>
  <c r="T864" i="88"/>
  <c r="S864" i="88" s="1"/>
  <c r="U864" i="88"/>
  <c r="O865" i="88"/>
  <c r="Q865" i="88"/>
  <c r="T865" i="88"/>
  <c r="S865" i="88" s="1"/>
  <c r="U865" i="88"/>
  <c r="O866" i="88"/>
  <c r="M860" i="88"/>
  <c r="B870" i="88"/>
  <c r="O868" i="88" s="1"/>
  <c r="Q870" i="88" l="1"/>
  <c r="Q868" i="88"/>
  <c r="T868" i="88"/>
  <c r="S868" i="88" s="1"/>
  <c r="U868" i="88"/>
  <c r="O869" i="88"/>
  <c r="Q869" i="88"/>
  <c r="T869" i="88"/>
  <c r="S869" i="88" s="1"/>
  <c r="U869" i="88"/>
  <c r="O870" i="88"/>
  <c r="B874" i="88"/>
  <c r="O872" i="88" s="1"/>
  <c r="M864" i="88"/>
  <c r="Q874" i="88" l="1"/>
  <c r="Q872" i="88"/>
  <c r="T872" i="88"/>
  <c r="S872" i="88" s="1"/>
  <c r="U872" i="88"/>
  <c r="O873" i="88"/>
  <c r="Q873" i="88"/>
  <c r="T873" i="88"/>
  <c r="S873" i="88" s="1"/>
  <c r="U873" i="88"/>
  <c r="O874" i="88"/>
  <c r="M868" i="88"/>
  <c r="B878" i="88"/>
  <c r="O876" i="88" s="1"/>
  <c r="Q878" i="88" l="1"/>
  <c r="Q876" i="88"/>
  <c r="T876" i="88"/>
  <c r="S876" i="88" s="1"/>
  <c r="U876" i="88"/>
  <c r="O877" i="88"/>
  <c r="Q877" i="88"/>
  <c r="T877" i="88"/>
  <c r="S877" i="88" s="1"/>
  <c r="U877" i="88"/>
  <c r="O878" i="88"/>
  <c r="B882" i="88"/>
  <c r="O880" i="88" s="1"/>
  <c r="M872" i="88"/>
  <c r="Q882" i="88" l="1"/>
  <c r="Q880" i="88"/>
  <c r="T880" i="88"/>
  <c r="S880" i="88" s="1"/>
  <c r="U880" i="88"/>
  <c r="O881" i="88"/>
  <c r="Q881" i="88"/>
  <c r="T881" i="88"/>
  <c r="S881" i="88" s="1"/>
  <c r="U881" i="88"/>
  <c r="O882" i="88"/>
  <c r="A890" i="88"/>
  <c r="M876" i="88"/>
  <c r="E888" i="88" l="1"/>
  <c r="A894" i="88"/>
  <c r="M880" i="88"/>
  <c r="G890" i="88" l="1"/>
  <c r="K889" i="88"/>
  <c r="G889" i="88"/>
  <c r="J889" i="88"/>
  <c r="I889" i="88" s="1"/>
  <c r="K888" i="88"/>
  <c r="J888" i="88"/>
  <c r="I888" i="88" s="1"/>
  <c r="G888" i="88"/>
  <c r="E892" i="88"/>
  <c r="A898" i="88"/>
  <c r="E890" i="88"/>
  <c r="E889" i="88"/>
  <c r="C888" i="88" s="1"/>
  <c r="G893" i="88" l="1"/>
  <c r="K892" i="88"/>
  <c r="J892" i="88"/>
  <c r="I892" i="88" s="1"/>
  <c r="G892" i="88"/>
  <c r="G894" i="88"/>
  <c r="K893" i="88"/>
  <c r="J893" i="88"/>
  <c r="I893" i="88" s="1"/>
  <c r="E896" i="88"/>
  <c r="A902" i="88"/>
  <c r="E894" i="88"/>
  <c r="E893" i="88"/>
  <c r="C892" i="88" s="1"/>
  <c r="G898" i="88" l="1"/>
  <c r="K897" i="88"/>
  <c r="J897" i="88"/>
  <c r="I897" i="88" s="1"/>
  <c r="G897" i="88"/>
  <c r="J896" i="88"/>
  <c r="I896" i="88" s="1"/>
  <c r="K896" i="88"/>
  <c r="G896" i="88"/>
  <c r="E900" i="88"/>
  <c r="A906" i="88"/>
  <c r="E898" i="88"/>
  <c r="E897" i="88"/>
  <c r="C896" i="88" s="1"/>
  <c r="J900" i="88" l="1"/>
  <c r="I900" i="88" s="1"/>
  <c r="G900" i="88"/>
  <c r="G902" i="88"/>
  <c r="K901" i="88"/>
  <c r="J901" i="88"/>
  <c r="I901" i="88" s="1"/>
  <c r="G901" i="88"/>
  <c r="K900" i="88"/>
  <c r="A910" i="88"/>
  <c r="E904" i="88"/>
  <c r="E902" i="88"/>
  <c r="E901" i="88"/>
  <c r="C900" i="88" s="1"/>
  <c r="G906" i="88" l="1"/>
  <c r="K905" i="88"/>
  <c r="J905" i="88"/>
  <c r="I905" i="88" s="1"/>
  <c r="G905" i="88"/>
  <c r="K904" i="88"/>
  <c r="J904" i="88"/>
  <c r="I904" i="88" s="1"/>
  <c r="G904" i="88"/>
  <c r="E906" i="88"/>
  <c r="E905" i="88"/>
  <c r="C904" i="88" s="1"/>
  <c r="E908" i="88"/>
  <c r="A914" i="88"/>
  <c r="G910" i="88" l="1"/>
  <c r="J909" i="88"/>
  <c r="I909" i="88" s="1"/>
  <c r="K909" i="88"/>
  <c r="G909" i="88"/>
  <c r="K908" i="88"/>
  <c r="J908" i="88"/>
  <c r="I908" i="88" s="1"/>
  <c r="G908" i="88"/>
  <c r="E912" i="88"/>
  <c r="A918" i="88"/>
  <c r="E910" i="88"/>
  <c r="E909" i="88"/>
  <c r="C908" i="88" s="1"/>
  <c r="J913" i="88" l="1"/>
  <c r="I913" i="88" s="1"/>
  <c r="G913" i="88"/>
  <c r="K912" i="88"/>
  <c r="J912" i="88"/>
  <c r="I912" i="88" s="1"/>
  <c r="G912" i="88"/>
  <c r="G914" i="88"/>
  <c r="K913" i="88"/>
  <c r="A922" i="88"/>
  <c r="E916" i="88"/>
  <c r="E914" i="88"/>
  <c r="E913" i="88"/>
  <c r="C912" i="88" s="1"/>
  <c r="G918" i="88" l="1"/>
  <c r="K917" i="88"/>
  <c r="J917" i="88"/>
  <c r="I917" i="88" s="1"/>
  <c r="K916" i="88"/>
  <c r="G917" i="88"/>
  <c r="J916" i="88"/>
  <c r="I916" i="88" s="1"/>
  <c r="G916" i="88"/>
  <c r="E918" i="88"/>
  <c r="E917" i="88"/>
  <c r="C916" i="88" s="1"/>
  <c r="E920" i="88"/>
  <c r="A926" i="88"/>
  <c r="K920" i="88" l="1"/>
  <c r="J920" i="88"/>
  <c r="I920" i="88" s="1"/>
  <c r="G920" i="88"/>
  <c r="G922" i="88"/>
  <c r="K921" i="88"/>
  <c r="J921" i="88"/>
  <c r="I921" i="88" s="1"/>
  <c r="G921" i="88"/>
  <c r="E924" i="88"/>
  <c r="A930" i="88"/>
  <c r="E922" i="88"/>
  <c r="E921" i="88"/>
  <c r="C920" i="88" s="1"/>
  <c r="G926" i="88" l="1"/>
  <c r="K925" i="88"/>
  <c r="J925" i="88"/>
  <c r="I925" i="88" s="1"/>
  <c r="G925" i="88"/>
  <c r="K924" i="88"/>
  <c r="G924" i="88"/>
  <c r="J924" i="88"/>
  <c r="I924" i="88" s="1"/>
  <c r="E928" i="88"/>
  <c r="A934" i="88"/>
  <c r="E926" i="88"/>
  <c r="E925" i="88"/>
  <c r="C924" i="88" s="1"/>
  <c r="G928" i="88" l="1"/>
  <c r="K929" i="88"/>
  <c r="K928" i="88"/>
  <c r="J928" i="88"/>
  <c r="I928" i="88" s="1"/>
  <c r="J929" i="88"/>
  <c r="I929" i="88" s="1"/>
  <c r="G929" i="88"/>
  <c r="G930" i="88"/>
  <c r="A938" i="88"/>
  <c r="E932" i="88"/>
  <c r="E930" i="88"/>
  <c r="E929" i="88"/>
  <c r="C928" i="88" s="1"/>
  <c r="K933" i="88" l="1"/>
  <c r="J933" i="88"/>
  <c r="I933" i="88" s="1"/>
  <c r="G933" i="88"/>
  <c r="K932" i="88"/>
  <c r="J932" i="88"/>
  <c r="I932" i="88" s="1"/>
  <c r="G932" i="88"/>
  <c r="G934" i="88"/>
  <c r="E934" i="88"/>
  <c r="E933" i="88"/>
  <c r="C932" i="88" s="1"/>
  <c r="E936" i="88"/>
  <c r="B890" i="88"/>
  <c r="O888" i="88" s="1"/>
  <c r="Q890" i="88" l="1"/>
  <c r="Q888" i="88"/>
  <c r="T888" i="88"/>
  <c r="S888" i="88" s="1"/>
  <c r="U888" i="88"/>
  <c r="O889" i="88"/>
  <c r="Q889" i="88"/>
  <c r="T889" i="88"/>
  <c r="S889" i="88" s="1"/>
  <c r="U889" i="88"/>
  <c r="O890" i="88"/>
  <c r="G938" i="88"/>
  <c r="K937" i="88"/>
  <c r="G937" i="88"/>
  <c r="J937" i="88"/>
  <c r="I937" i="88" s="1"/>
  <c r="K936" i="88"/>
  <c r="J936" i="88"/>
  <c r="I936" i="88" s="1"/>
  <c r="G936" i="88"/>
  <c r="E938" i="88"/>
  <c r="E937" i="88"/>
  <c r="C936" i="88" s="1"/>
  <c r="B894" i="88"/>
  <c r="O892" i="88" s="1"/>
  <c r="Q894" i="88" l="1"/>
  <c r="Q892" i="88"/>
  <c r="T892" i="88"/>
  <c r="S892" i="88" s="1"/>
  <c r="U892" i="88"/>
  <c r="O893" i="88"/>
  <c r="Q893" i="88"/>
  <c r="T893" i="88"/>
  <c r="S893" i="88" s="1"/>
  <c r="U893" i="88"/>
  <c r="O894" i="88"/>
  <c r="B898" i="88"/>
  <c r="O896" i="88" s="1"/>
  <c r="Q898" i="88" l="1"/>
  <c r="Q896" i="88"/>
  <c r="T896" i="88"/>
  <c r="S896" i="88" s="1"/>
  <c r="U896" i="88"/>
  <c r="O897" i="88"/>
  <c r="Q897" i="88"/>
  <c r="T897" i="88"/>
  <c r="S897" i="88" s="1"/>
  <c r="U897" i="88"/>
  <c r="O898" i="88"/>
  <c r="B902" i="88"/>
  <c r="O900" i="88" s="1"/>
  <c r="Q902" i="88" l="1"/>
  <c r="Q900" i="88"/>
  <c r="T900" i="88"/>
  <c r="S900" i="88" s="1"/>
  <c r="U900" i="88"/>
  <c r="O901" i="88"/>
  <c r="Q901" i="88"/>
  <c r="T901" i="88"/>
  <c r="S901" i="88" s="1"/>
  <c r="U901" i="88"/>
  <c r="O902" i="88"/>
  <c r="B906" i="88"/>
  <c r="O904" i="88" s="1"/>
  <c r="Q906" i="88" l="1"/>
  <c r="Q904" i="88"/>
  <c r="T904" i="88"/>
  <c r="S904" i="88" s="1"/>
  <c r="U904" i="88"/>
  <c r="O905" i="88"/>
  <c r="Q905" i="88"/>
  <c r="T905" i="88"/>
  <c r="S905" i="88" s="1"/>
  <c r="U905" i="88"/>
  <c r="O906" i="88"/>
  <c r="B910" i="88"/>
  <c r="O908" i="88" s="1"/>
  <c r="M900" i="88"/>
  <c r="Q910" i="88" l="1"/>
  <c r="Q908" i="88"/>
  <c r="T908" i="88"/>
  <c r="S908" i="88" s="1"/>
  <c r="U908" i="88"/>
  <c r="O909" i="88"/>
  <c r="Q909" i="88"/>
  <c r="T909" i="88"/>
  <c r="S909" i="88" s="1"/>
  <c r="U909" i="88"/>
  <c r="O910" i="88"/>
  <c r="B914" i="88"/>
  <c r="O912" i="88" s="1"/>
  <c r="Q914" i="88" l="1"/>
  <c r="Q912" i="88"/>
  <c r="T912" i="88"/>
  <c r="S912" i="88" s="1"/>
  <c r="U912" i="88"/>
  <c r="O913" i="88"/>
  <c r="Q913" i="88"/>
  <c r="T913" i="88"/>
  <c r="S913" i="88" s="1"/>
  <c r="U913" i="88"/>
  <c r="O914" i="88"/>
  <c r="B918" i="88"/>
  <c r="O916" i="88" s="1"/>
  <c r="Q918" i="88" l="1"/>
  <c r="Q916" i="88"/>
  <c r="T916" i="88"/>
  <c r="S916" i="88" s="1"/>
  <c r="U916" i="88"/>
  <c r="O917" i="88"/>
  <c r="Q917" i="88"/>
  <c r="T917" i="88"/>
  <c r="S917" i="88" s="1"/>
  <c r="U917" i="88"/>
  <c r="O918" i="88"/>
  <c r="B922" i="88"/>
  <c r="O920" i="88" s="1"/>
  <c r="Q922" i="88" l="1"/>
  <c r="Q920" i="88"/>
  <c r="T920" i="88"/>
  <c r="S920" i="88" s="1"/>
  <c r="U920" i="88"/>
  <c r="O921" i="88"/>
  <c r="Q921" i="88"/>
  <c r="T921" i="88"/>
  <c r="S921" i="88" s="1"/>
  <c r="U921" i="88"/>
  <c r="O922" i="88"/>
  <c r="B926" i="88"/>
  <c r="O924" i="88" s="1"/>
  <c r="Q926" i="88" l="1"/>
  <c r="Q924" i="88"/>
  <c r="T924" i="88"/>
  <c r="S924" i="88" s="1"/>
  <c r="U924" i="88"/>
  <c r="O925" i="88"/>
  <c r="Q925" i="88"/>
  <c r="T925" i="88"/>
  <c r="S925" i="88" s="1"/>
  <c r="U925" i="88"/>
  <c r="O926" i="88"/>
  <c r="B930" i="88"/>
  <c r="O928" i="88" s="1"/>
  <c r="Q930" i="88" l="1"/>
  <c r="Q928" i="88"/>
  <c r="T928" i="88"/>
  <c r="S928" i="88" s="1"/>
  <c r="U928" i="88"/>
  <c r="O929" i="88"/>
  <c r="Q929" i="88"/>
  <c r="T929" i="88"/>
  <c r="S929" i="88" s="1"/>
  <c r="U929" i="88"/>
  <c r="O930" i="88"/>
  <c r="B934" i="88"/>
  <c r="O932" i="88" s="1"/>
  <c r="Q934" i="88" l="1"/>
  <c r="Q932" i="88"/>
  <c r="T932" i="88"/>
  <c r="S932" i="88" s="1"/>
  <c r="U932" i="88"/>
  <c r="O933" i="88"/>
  <c r="Q933" i="88"/>
  <c r="T933" i="88"/>
  <c r="S933" i="88" s="1"/>
  <c r="U933" i="88"/>
  <c r="O934" i="88"/>
  <c r="A942" i="88"/>
  <c r="E940" i="88" l="1"/>
  <c r="G942" i="88" s="1"/>
  <c r="A946" i="88"/>
  <c r="A950" i="88" l="1"/>
  <c r="E944" i="88"/>
  <c r="G946" i="88" s="1"/>
  <c r="G941" i="88"/>
  <c r="E942" i="88"/>
  <c r="E941" i="88"/>
  <c r="G940" i="88"/>
  <c r="K940" i="88"/>
  <c r="K941" i="88"/>
  <c r="J940" i="88"/>
  <c r="I940" i="88" s="1"/>
  <c r="J941" i="88"/>
  <c r="I941" i="88" s="1"/>
  <c r="K944" i="88" l="1"/>
  <c r="K945" i="88"/>
  <c r="J944" i="88"/>
  <c r="I944" i="88" s="1"/>
  <c r="J945" i="88"/>
  <c r="I945" i="88" s="1"/>
  <c r="G944" i="88"/>
  <c r="G945" i="88"/>
  <c r="E946" i="88"/>
  <c r="E945" i="88"/>
  <c r="A954" i="88"/>
  <c r="E948" i="88"/>
  <c r="G950" i="88" s="1"/>
  <c r="K948" i="88" l="1"/>
  <c r="K949" i="88"/>
  <c r="J948" i="88"/>
  <c r="I948" i="88" s="1"/>
  <c r="J949" i="88"/>
  <c r="I949" i="88" s="1"/>
  <c r="G948" i="88"/>
  <c r="G949" i="88"/>
  <c r="E950" i="88"/>
  <c r="E949" i="88"/>
  <c r="E952" i="88"/>
  <c r="G954" i="88" s="1"/>
  <c r="A958" i="88"/>
  <c r="A962" i="88" l="1"/>
  <c r="E956" i="88"/>
  <c r="G958" i="88" s="1"/>
  <c r="G953" i="88"/>
  <c r="G952" i="88"/>
  <c r="E954" i="88"/>
  <c r="E953" i="88"/>
  <c r="K952" i="88"/>
  <c r="K953" i="88"/>
  <c r="J952" i="88"/>
  <c r="I952" i="88" s="1"/>
  <c r="J953" i="88"/>
  <c r="I953" i="88" s="1"/>
  <c r="K956" i="88" l="1"/>
  <c r="K957" i="88"/>
  <c r="J956" i="88"/>
  <c r="I956" i="88" s="1"/>
  <c r="J957" i="88"/>
  <c r="I957" i="88" s="1"/>
  <c r="G956" i="88"/>
  <c r="G957" i="88"/>
  <c r="E958" i="88"/>
  <c r="E957" i="88"/>
  <c r="A966" i="88"/>
  <c r="E960" i="88"/>
  <c r="G962" i="88" s="1"/>
  <c r="E964" i="88" l="1"/>
  <c r="G966" i="88" s="1"/>
  <c r="A970" i="88"/>
  <c r="K960" i="88"/>
  <c r="K961" i="88"/>
  <c r="J960" i="88"/>
  <c r="I960" i="88" s="1"/>
  <c r="J961" i="88"/>
  <c r="I961" i="88" s="1"/>
  <c r="G960" i="88"/>
  <c r="G961" i="88"/>
  <c r="E962" i="88"/>
  <c r="E961" i="88"/>
  <c r="A974" i="88" l="1"/>
  <c r="E968" i="88"/>
  <c r="G970" i="88" s="1"/>
  <c r="G965" i="88"/>
  <c r="E966" i="88"/>
  <c r="E965" i="88"/>
  <c r="C964" i="88" s="1"/>
  <c r="K964" i="88"/>
  <c r="K965" i="88"/>
  <c r="J964" i="88"/>
  <c r="I964" i="88" s="1"/>
  <c r="J965" i="88"/>
  <c r="I965" i="88" s="1"/>
  <c r="G964" i="88"/>
  <c r="K968" i="88" l="1"/>
  <c r="K969" i="88"/>
  <c r="J968" i="88"/>
  <c r="I968" i="88" s="1"/>
  <c r="J969" i="88"/>
  <c r="I969" i="88" s="1"/>
  <c r="G968" i="88"/>
  <c r="G969" i="88"/>
  <c r="E970" i="88"/>
  <c r="E969" i="88"/>
  <c r="C968" i="88" s="1"/>
  <c r="A978" i="88"/>
  <c r="E972" i="88"/>
  <c r="G974" i="88" s="1"/>
  <c r="E976" i="88" l="1"/>
  <c r="G978" i="88" s="1"/>
  <c r="A982" i="88"/>
  <c r="K972" i="88"/>
  <c r="K973" i="88"/>
  <c r="J972" i="88"/>
  <c r="I972" i="88" s="1"/>
  <c r="J973" i="88"/>
  <c r="I973" i="88" s="1"/>
  <c r="G972" i="88"/>
  <c r="G973" i="88"/>
  <c r="E974" i="88"/>
  <c r="E973" i="88"/>
  <c r="C972" i="88" s="1"/>
  <c r="A986" i="88" l="1"/>
  <c r="E980" i="88"/>
  <c r="G982" i="88" s="1"/>
  <c r="G977" i="88"/>
  <c r="E978" i="88"/>
  <c r="E977" i="88"/>
  <c r="C976" i="88" s="1"/>
  <c r="K976" i="88"/>
  <c r="K977" i="88"/>
  <c r="J976" i="88"/>
  <c r="I976" i="88" s="1"/>
  <c r="J977" i="88"/>
  <c r="I977" i="88" s="1"/>
  <c r="G976" i="88"/>
  <c r="K980" i="88" l="1"/>
  <c r="K981" i="88"/>
  <c r="J980" i="88"/>
  <c r="I980" i="88" s="1"/>
  <c r="J981" i="88"/>
  <c r="I981" i="88" s="1"/>
  <c r="G980" i="88"/>
  <c r="G981" i="88"/>
  <c r="E982" i="88"/>
  <c r="E981" i="88"/>
  <c r="C980" i="88" s="1"/>
  <c r="A990" i="88"/>
  <c r="E984" i="88"/>
  <c r="G986" i="88" s="1"/>
  <c r="K984" i="88" l="1"/>
  <c r="K985" i="88"/>
  <c r="J984" i="88"/>
  <c r="I984" i="88" s="1"/>
  <c r="J985" i="88"/>
  <c r="I985" i="88" s="1"/>
  <c r="G984" i="88"/>
  <c r="G985" i="88"/>
  <c r="E986" i="88"/>
  <c r="E985" i="88"/>
  <c r="C984" i="88" s="1"/>
  <c r="E988" i="88"/>
  <c r="G990" i="88" s="1"/>
  <c r="B942" i="88"/>
  <c r="O940" i="88" l="1"/>
  <c r="Q942" i="88" s="1"/>
  <c r="B946" i="88"/>
  <c r="E990" i="88"/>
  <c r="K989" i="88"/>
  <c r="J989" i="88"/>
  <c r="I989" i="88" s="1"/>
  <c r="G989" i="88"/>
  <c r="E989" i="88"/>
  <c r="C988" i="88" s="1"/>
  <c r="K988" i="88"/>
  <c r="J988" i="88"/>
  <c r="I988" i="88" s="1"/>
  <c r="G988" i="88"/>
  <c r="O944" i="88" l="1"/>
  <c r="Q946" i="88" s="1"/>
  <c r="B950" i="88"/>
  <c r="U940" i="88"/>
  <c r="T940" i="88"/>
  <c r="S940" i="88" s="1"/>
  <c r="U941" i="88"/>
  <c r="T941" i="88"/>
  <c r="S941" i="88" s="1"/>
  <c r="Q940" i="88"/>
  <c r="Q941" i="88"/>
  <c r="O941" i="88"/>
  <c r="M940" i="88" s="1"/>
  <c r="O942" i="88"/>
  <c r="B954" i="88" l="1"/>
  <c r="O948" i="88"/>
  <c r="Q950" i="88" s="1"/>
  <c r="U945" i="88"/>
  <c r="T945" i="88"/>
  <c r="S945" i="88" s="1"/>
  <c r="Q944" i="88"/>
  <c r="Q945" i="88"/>
  <c r="O945" i="88"/>
  <c r="M944" i="88" s="1"/>
  <c r="T944" i="88"/>
  <c r="S944" i="88" s="1"/>
  <c r="O946" i="88"/>
  <c r="U944" i="88"/>
  <c r="O949" i="88" l="1"/>
  <c r="M948" i="88" s="1"/>
  <c r="O950" i="88"/>
  <c r="U948" i="88"/>
  <c r="T948" i="88"/>
  <c r="S948" i="88" s="1"/>
  <c r="U949" i="88"/>
  <c r="T949" i="88"/>
  <c r="S949" i="88" s="1"/>
  <c r="Q948" i="88"/>
  <c r="Q949" i="88"/>
  <c r="B958" i="88"/>
  <c r="O952" i="88"/>
  <c r="Q954" i="88" s="1"/>
  <c r="U952" i="88" l="1"/>
  <c r="T952" i="88"/>
  <c r="S952" i="88" s="1"/>
  <c r="U953" i="88"/>
  <c r="T953" i="88"/>
  <c r="S953" i="88" s="1"/>
  <c r="Q952" i="88"/>
  <c r="Q953" i="88"/>
  <c r="O953" i="88"/>
  <c r="M952" i="88" s="1"/>
  <c r="O954" i="88"/>
  <c r="O956" i="88"/>
  <c r="Q958" i="88" s="1"/>
  <c r="B962" i="88"/>
  <c r="B966" i="88" l="1"/>
  <c r="O960" i="88"/>
  <c r="U957" i="88"/>
  <c r="T957" i="88"/>
  <c r="S957" i="88" s="1"/>
  <c r="Q956" i="88"/>
  <c r="Q957" i="88"/>
  <c r="O957" i="88"/>
  <c r="M956" i="88" s="1"/>
  <c r="T956" i="88"/>
  <c r="S956" i="88" s="1"/>
  <c r="O958" i="88"/>
  <c r="U956" i="88"/>
  <c r="Q962" i="88" l="1"/>
  <c r="Q961" i="88"/>
  <c r="Q960" i="88"/>
  <c r="O961" i="88"/>
  <c r="M960" i="88" s="1"/>
  <c r="O962" i="88"/>
  <c r="U960" i="88"/>
  <c r="T960" i="88"/>
  <c r="S960" i="88" s="1"/>
  <c r="U961" i="88"/>
  <c r="T961" i="88"/>
  <c r="S961" i="88" s="1"/>
  <c r="O964" i="88"/>
  <c r="B970" i="88"/>
  <c r="Q966" i="88" l="1"/>
  <c r="Q965" i="88"/>
  <c r="Q964" i="88"/>
  <c r="U964" i="88"/>
  <c r="T964" i="88"/>
  <c r="S964" i="88" s="1"/>
  <c r="U965" i="88"/>
  <c r="O966" i="88"/>
  <c r="T965" i="88"/>
  <c r="S965" i="88" s="1"/>
  <c r="O965" i="88"/>
  <c r="M964" i="88" s="1"/>
  <c r="O968" i="88"/>
  <c r="B974" i="88"/>
  <c r="Q970" i="88" l="1"/>
  <c r="Q969" i="88"/>
  <c r="Q968" i="88"/>
  <c r="B978" i="88"/>
  <c r="O972" i="88"/>
  <c r="U969" i="88"/>
  <c r="T969" i="88"/>
  <c r="S969" i="88" s="1"/>
  <c r="O969" i="88"/>
  <c r="M968" i="88" s="1"/>
  <c r="O970" i="88"/>
  <c r="T968" i="88"/>
  <c r="S968" i="88" s="1"/>
  <c r="U968" i="88"/>
  <c r="Q974" i="88" l="1"/>
  <c r="Q973" i="88"/>
  <c r="Q972" i="88"/>
  <c r="O973" i="88"/>
  <c r="M972" i="88" s="1"/>
  <c r="O974" i="88"/>
  <c r="U972" i="88"/>
  <c r="T972" i="88"/>
  <c r="S972" i="88" s="1"/>
  <c r="U973" i="88"/>
  <c r="T973" i="88"/>
  <c r="S973" i="88" s="1"/>
  <c r="O976" i="88"/>
  <c r="B982" i="88"/>
  <c r="Q978" i="88" l="1"/>
  <c r="Q977" i="88"/>
  <c r="Q976" i="88"/>
  <c r="B986" i="88"/>
  <c r="O980" i="88"/>
  <c r="Q982" i="88" s="1"/>
  <c r="U976" i="88"/>
  <c r="T976" i="88"/>
  <c r="S976" i="88" s="1"/>
  <c r="U977" i="88"/>
  <c r="T977" i="88"/>
  <c r="S977" i="88" s="1"/>
  <c r="O978" i="88"/>
  <c r="O977" i="88"/>
  <c r="M976" i="88" s="1"/>
  <c r="O984" i="88" l="1"/>
  <c r="Q986" i="88" s="1"/>
  <c r="A994" i="88"/>
  <c r="T981" i="88"/>
  <c r="S981" i="88" s="1"/>
  <c r="Q980" i="88"/>
  <c r="Q981" i="88"/>
  <c r="O981" i="88"/>
  <c r="M980" i="88" s="1"/>
  <c r="O982" i="88"/>
  <c r="T980" i="88"/>
  <c r="S980" i="88" s="1"/>
  <c r="U980" i="88"/>
  <c r="U981" i="88"/>
  <c r="O985" i="88"/>
  <c r="M984" i="88" s="1"/>
  <c r="O986" i="88"/>
  <c r="U984" i="88"/>
  <c r="T984" i="88"/>
  <c r="S984" i="88" s="1"/>
  <c r="U985" i="88"/>
  <c r="Q985" i="88"/>
  <c r="T985" i="88"/>
  <c r="S985" i="88" s="1"/>
  <c r="Q984" i="88"/>
  <c r="E992" i="88" l="1"/>
  <c r="A998" i="88"/>
  <c r="A1002" i="88" l="1"/>
  <c r="E996" i="88"/>
  <c r="G994" i="88"/>
  <c r="G993" i="88"/>
  <c r="E994" i="88"/>
  <c r="E993" i="88"/>
  <c r="C992" i="88" s="1"/>
  <c r="K993" i="88"/>
  <c r="J992" i="88"/>
  <c r="I992" i="88" s="1"/>
  <c r="K992" i="88"/>
  <c r="J993" i="88"/>
  <c r="I993" i="88" s="1"/>
  <c r="G992" i="88"/>
  <c r="G998" i="88" l="1"/>
  <c r="K997" i="88"/>
  <c r="J996" i="88"/>
  <c r="I996" i="88" s="1"/>
  <c r="J997" i="88"/>
  <c r="I997" i="88" s="1"/>
  <c r="K996" i="88"/>
  <c r="G996" i="88"/>
  <c r="E997" i="88"/>
  <c r="C996" i="88" s="1"/>
  <c r="G997" i="88"/>
  <c r="E998" i="88"/>
  <c r="A1006" i="88"/>
  <c r="E1000" i="88"/>
  <c r="G1002" i="88" l="1"/>
  <c r="K1000" i="88"/>
  <c r="K1001" i="88"/>
  <c r="J1000" i="88"/>
  <c r="I1000" i="88" s="1"/>
  <c r="J1001" i="88"/>
  <c r="I1001" i="88" s="1"/>
  <c r="E1002" i="88"/>
  <c r="E1001" i="88"/>
  <c r="C1000" i="88" s="1"/>
  <c r="G1000" i="88"/>
  <c r="G1001" i="88"/>
  <c r="E1004" i="88"/>
  <c r="A1010" i="88"/>
  <c r="A1014" i="88" l="1"/>
  <c r="E1008" i="88"/>
  <c r="G1006" i="88"/>
  <c r="G1005" i="88"/>
  <c r="E1006" i="88"/>
  <c r="E1005" i="88"/>
  <c r="C1004" i="88" s="1"/>
  <c r="J1005" i="88"/>
  <c r="I1005" i="88" s="1"/>
  <c r="G1004" i="88"/>
  <c r="K1005" i="88"/>
  <c r="K1004" i="88"/>
  <c r="J1004" i="88"/>
  <c r="I1004" i="88" s="1"/>
  <c r="G1010" i="88" l="1"/>
  <c r="K1009" i="88"/>
  <c r="J1008" i="88"/>
  <c r="I1008" i="88" s="1"/>
  <c r="J1009" i="88"/>
  <c r="I1009" i="88" s="1"/>
  <c r="K1008" i="88"/>
  <c r="G1008" i="88"/>
  <c r="G1009" i="88"/>
  <c r="E1010" i="88"/>
  <c r="E1009" i="88"/>
  <c r="C1008" i="88" s="1"/>
  <c r="A1018" i="88"/>
  <c r="E1012" i="88"/>
  <c r="G1014" i="88" l="1"/>
  <c r="K1012" i="88"/>
  <c r="K1013" i="88"/>
  <c r="J1012" i="88"/>
  <c r="I1012" i="88" s="1"/>
  <c r="J1013" i="88"/>
  <c r="I1013" i="88" s="1"/>
  <c r="E1013" i="88"/>
  <c r="C1012" i="88" s="1"/>
  <c r="G1012" i="88"/>
  <c r="G1013" i="88"/>
  <c r="E1014" i="88"/>
  <c r="E1016" i="88"/>
  <c r="A1022" i="88"/>
  <c r="A1026" i="88" l="1"/>
  <c r="E1020" i="88"/>
  <c r="G1018" i="88"/>
  <c r="G1017" i="88"/>
  <c r="E1018" i="88"/>
  <c r="E1017" i="88"/>
  <c r="C1016" i="88" s="1"/>
  <c r="J1017" i="88"/>
  <c r="I1017" i="88" s="1"/>
  <c r="K1016" i="88"/>
  <c r="K1017" i="88"/>
  <c r="J1016" i="88"/>
  <c r="I1016" i="88" s="1"/>
  <c r="G1016" i="88"/>
  <c r="G1022" i="88" l="1"/>
  <c r="K1021" i="88"/>
  <c r="J1020" i="88"/>
  <c r="I1020" i="88" s="1"/>
  <c r="J1021" i="88"/>
  <c r="I1021" i="88" s="1"/>
  <c r="K1020" i="88"/>
  <c r="G1020" i="88"/>
  <c r="G1021" i="88"/>
  <c r="E1022" i="88"/>
  <c r="E1021" i="88"/>
  <c r="C1020" i="88" s="1"/>
  <c r="A1030" i="88"/>
  <c r="E1024" i="88"/>
  <c r="G1026" i="88" l="1"/>
  <c r="K1024" i="88"/>
  <c r="K1025" i="88"/>
  <c r="J1024" i="88"/>
  <c r="I1024" i="88" s="1"/>
  <c r="J1025" i="88"/>
  <c r="I1025" i="88" s="1"/>
  <c r="E1025" i="88"/>
  <c r="C1024" i="88" s="1"/>
  <c r="G1024" i="88"/>
  <c r="G1025" i="88"/>
  <c r="E1026" i="88"/>
  <c r="A1034" i="88"/>
  <c r="E1028" i="88"/>
  <c r="G1030" i="88" l="1"/>
  <c r="G1029" i="88"/>
  <c r="E1030" i="88"/>
  <c r="E1029" i="88"/>
  <c r="C1028" i="88" s="1"/>
  <c r="J1029" i="88"/>
  <c r="I1029" i="88" s="1"/>
  <c r="K1028" i="88"/>
  <c r="K1029" i="88"/>
  <c r="J1028" i="88"/>
  <c r="I1028" i="88" s="1"/>
  <c r="G1028" i="88"/>
  <c r="A1038" i="88"/>
  <c r="E1032" i="88"/>
  <c r="G1034" i="88" l="1"/>
  <c r="J1033" i="88"/>
  <c r="I1033" i="88" s="1"/>
  <c r="K1032" i="88"/>
  <c r="K1033" i="88"/>
  <c r="J1032" i="88"/>
  <c r="I1032" i="88" s="1"/>
  <c r="G1032" i="88"/>
  <c r="G1033" i="88"/>
  <c r="E1034" i="88"/>
  <c r="E1033" i="88"/>
  <c r="C1032" i="88" s="1"/>
  <c r="A1042" i="88"/>
  <c r="E1036" i="88"/>
  <c r="G1038" i="88" l="1"/>
  <c r="K1036" i="88"/>
  <c r="K1037" i="88"/>
  <c r="J1036" i="88"/>
  <c r="I1036" i="88" s="1"/>
  <c r="J1037" i="88"/>
  <c r="I1037" i="88" s="1"/>
  <c r="E1038" i="88"/>
  <c r="G1036" i="88"/>
  <c r="G1037" i="88"/>
  <c r="E1037" i="88"/>
  <c r="C1036" i="88" s="1"/>
  <c r="E1040" i="88"/>
  <c r="B994" i="88"/>
  <c r="O992" i="88" l="1"/>
  <c r="B998" i="88"/>
  <c r="G1042" i="88"/>
  <c r="E1042" i="88"/>
  <c r="K1041" i="88"/>
  <c r="G1041" i="88"/>
  <c r="J1041" i="88"/>
  <c r="I1041" i="88" s="1"/>
  <c r="G1040" i="88"/>
  <c r="E1041" i="88"/>
  <c r="C1040" i="88" s="1"/>
  <c r="K1040" i="88"/>
  <c r="J1040" i="88"/>
  <c r="I1040" i="88" s="1"/>
  <c r="O996" i="88" l="1"/>
  <c r="B1002" i="88"/>
  <c r="Q994" i="88"/>
  <c r="U992" i="88"/>
  <c r="T992" i="88"/>
  <c r="S992" i="88" s="1"/>
  <c r="T993" i="88"/>
  <c r="S993" i="88" s="1"/>
  <c r="Q992" i="88"/>
  <c r="U993" i="88"/>
  <c r="Q993" i="88"/>
  <c r="O993" i="88"/>
  <c r="M992" i="88" s="1"/>
  <c r="O994" i="88"/>
  <c r="B1006" i="88" l="1"/>
  <c r="O1000" i="88"/>
  <c r="Q998" i="88"/>
  <c r="U997" i="88"/>
  <c r="T997" i="88"/>
  <c r="S997" i="88" s="1"/>
  <c r="Q996" i="88"/>
  <c r="Q997" i="88"/>
  <c r="O997" i="88"/>
  <c r="M996" i="88" s="1"/>
  <c r="O998" i="88"/>
  <c r="T996" i="88"/>
  <c r="S996" i="88" s="1"/>
  <c r="U996" i="88"/>
  <c r="Q1002" i="88" l="1"/>
  <c r="O1001" i="88"/>
  <c r="M1000" i="88" s="1"/>
  <c r="O1002" i="88"/>
  <c r="U1000" i="88"/>
  <c r="T1000" i="88"/>
  <c r="S1000" i="88" s="1"/>
  <c r="T1001" i="88"/>
  <c r="S1001" i="88" s="1"/>
  <c r="Q1000" i="88"/>
  <c r="U1001" i="88"/>
  <c r="Q1001" i="88"/>
  <c r="O1004" i="88"/>
  <c r="B1010" i="88"/>
  <c r="O1008" i="88" l="1"/>
  <c r="B1014" i="88"/>
  <c r="Q1006" i="88"/>
  <c r="U1004" i="88"/>
  <c r="T1005" i="88"/>
  <c r="S1005" i="88" s="1"/>
  <c r="Q1004" i="88"/>
  <c r="T1004" i="88"/>
  <c r="S1004" i="88" s="1"/>
  <c r="U1005" i="88"/>
  <c r="Q1005" i="88"/>
  <c r="O1005" i="88"/>
  <c r="M1004" i="88" s="1"/>
  <c r="O1006" i="88"/>
  <c r="B1018" i="88" l="1"/>
  <c r="O1012" i="88"/>
  <c r="Q1010" i="88"/>
  <c r="U1009" i="88"/>
  <c r="T1009" i="88"/>
  <c r="S1009" i="88" s="1"/>
  <c r="Q1008" i="88"/>
  <c r="Q1009" i="88"/>
  <c r="U1008" i="88"/>
  <c r="O1009" i="88"/>
  <c r="M1008" i="88" s="1"/>
  <c r="O1010" i="88"/>
  <c r="T1008" i="88"/>
  <c r="S1008" i="88" s="1"/>
  <c r="Q1014" i="88" l="1"/>
  <c r="O1013" i="88"/>
  <c r="M1012" i="88" s="1"/>
  <c r="O1014" i="88"/>
  <c r="U1012" i="88"/>
  <c r="Q1013" i="88"/>
  <c r="T1012" i="88"/>
  <c r="S1012" i="88" s="1"/>
  <c r="U1013" i="88"/>
  <c r="T1013" i="88"/>
  <c r="S1013" i="88" s="1"/>
  <c r="Q1012" i="88"/>
  <c r="B1022" i="88"/>
  <c r="O1016" i="88"/>
  <c r="Q1018" i="88" l="1"/>
  <c r="U1016" i="88"/>
  <c r="Q1016" i="88"/>
  <c r="T1016" i="88"/>
  <c r="S1016" i="88" s="1"/>
  <c r="U1017" i="88"/>
  <c r="T1017" i="88"/>
  <c r="S1017" i="88" s="1"/>
  <c r="Q1017" i="88"/>
  <c r="O1018" i="88"/>
  <c r="O1017" i="88"/>
  <c r="M1016" i="88" s="1"/>
  <c r="O1020" i="88"/>
  <c r="B1026" i="88"/>
  <c r="B1030" i="88" l="1"/>
  <c r="O1024" i="88"/>
  <c r="Q1022" i="88"/>
  <c r="U1021" i="88"/>
  <c r="T1021" i="88"/>
  <c r="S1021" i="88" s="1"/>
  <c r="Q1020" i="88"/>
  <c r="Q1021" i="88"/>
  <c r="U1020" i="88"/>
  <c r="O1021" i="88"/>
  <c r="M1020" i="88" s="1"/>
  <c r="O1022" i="88"/>
  <c r="T1020" i="88"/>
  <c r="S1020" i="88" s="1"/>
  <c r="Q1026" i="88" l="1"/>
  <c r="O1025" i="88"/>
  <c r="M1024" i="88" s="1"/>
  <c r="O1026" i="88"/>
  <c r="U1024" i="88"/>
  <c r="T1024" i="88"/>
  <c r="S1024" i="88" s="1"/>
  <c r="U1025" i="88"/>
  <c r="T1025" i="88"/>
  <c r="S1025" i="88" s="1"/>
  <c r="Q1024" i="88"/>
  <c r="Q1025" i="88"/>
  <c r="O1028" i="88"/>
  <c r="B1034" i="88"/>
  <c r="O1032" i="88" l="1"/>
  <c r="B1038" i="88"/>
  <c r="O1036" i="88" s="1"/>
  <c r="Q1030" i="88"/>
  <c r="U1028" i="88"/>
  <c r="T1029" i="88"/>
  <c r="S1029" i="88" s="1"/>
  <c r="Q1029" i="88"/>
  <c r="T1028" i="88"/>
  <c r="S1028" i="88" s="1"/>
  <c r="U1029" i="88"/>
  <c r="Q1028" i="88"/>
  <c r="O1030" i="88"/>
  <c r="O1029" i="88"/>
  <c r="M1028" i="88" s="1"/>
  <c r="Q1036" i="88" l="1"/>
  <c r="Q1038" i="88"/>
  <c r="O1037" i="88"/>
  <c r="M1036" i="88" s="1"/>
  <c r="O1038" i="88"/>
  <c r="U1036" i="88"/>
  <c r="T1036" i="88"/>
  <c r="S1036" i="88" s="1"/>
  <c r="U1037" i="88"/>
  <c r="T1037" i="88"/>
  <c r="S1037" i="88" s="1"/>
  <c r="Q1037" i="88"/>
  <c r="Q1034" i="88"/>
  <c r="O1033" i="88"/>
  <c r="M1032" i="88" s="1"/>
  <c r="O1034" i="88"/>
  <c r="T1032" i="88"/>
  <c r="S1032" i="88" s="1"/>
  <c r="U1033" i="88"/>
  <c r="T1033" i="88"/>
  <c r="S1033" i="88" s="1"/>
  <c r="Q1032" i="88"/>
  <c r="Q1033" i="88"/>
  <c r="U1032" i="88"/>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CA95FBBB-B590-4D7C-8B92-433A2F2F5EC3}" keepAlive="1" name="Query - Affliction Rate Boosting Abilities[edit]" description="Connection to the 'Affliction Rate Boosting Abilities[edit]' query in the workbook." type="5" refreshedVersion="8" background="1" saveData="1">
    <dbPr connection="Provider=Microsoft.Mashup.OleDb.1;Data Source=$Workbook$;Location=&quot;Affliction Rate Boosting Abilities[edit]&quot;;Extended Properties=&quot;&quot;" command="SELECT * FROM [Affliction Rate Boosting Abilities[edit]]]"/>
  </connection>
  <connection id="2" xr16:uid="{5BEB9DB0-772F-41DF-B6E3-4C9155433CDC}" keepAlive="1" name="Query - Attack Abilities[edit]" description="Connection to the 'Attack Abilities[edit]' query in the workbook." type="5" refreshedVersion="0" background="1">
    <dbPr connection="Provider=Microsoft.Mashup.OleDb.1;Data Source=$Workbook$;Location=&quot;Attack Abilities[edit]&quot;;Extended Properties=&quot;&quot;" command="SELECT * FROM [Attack Abilities[edit]]]"/>
  </connection>
  <connection id="3" xr16:uid="{AAFF8A4A-1A0F-4D61-A4AB-354D022EF37B}" keepAlive="1" name="Query - Class Abilities[edit]" description="Connection to the 'Class Abilities[edit]' query in the workbook." type="5" refreshedVersion="8" background="1" saveData="1">
    <dbPr connection="Provider=Microsoft.Mashup.OleDb.1;Data Source=$Workbook$;Location=&quot;Class Abilities[edit]&quot;;Extended Properties=&quot;&quot;" command="SELECT * FROM [Class Abilities[edit]]]"/>
  </connection>
  <connection id="4" xr16:uid="{4594E318-ACBE-40D5-972B-23619964766E}" keepAlive="1" name="Query - Defense Abilities[edit]" description="Connection to the 'Defense Abilities[edit]' query in the workbook." type="5" refreshedVersion="8" background="1" saveData="1">
    <dbPr connection="Provider=Microsoft.Mashup.OleDb.1;Data Source=$Workbook$;Location=&quot;Defense Abilities[edit]&quot;;Extended Properties=&quot;&quot;" command="SELECT * FROM [Defense Abilities[edit]]]"/>
  </connection>
  <connection id="5" xr16:uid="{91559C34-A341-409A-AF5D-E06D4C03CE71}" keepAlive="1" name="Query - Elemental Resistance Abilities[edit]" description="Connection to the 'Elemental Resistance Abilities[edit]' query in the workbook." type="5" refreshedVersion="8" background="1" saveData="1">
    <dbPr connection="Provider=Microsoft.Mashup.OleDb.1;Data Source=$Workbook$;Location=&quot;Elemental Resistance Abilities[edit]&quot;;Extended Properties=&quot;&quot;" command="SELECT * FROM [Elemental Resistance Abilities[edit]]]"/>
  </connection>
  <connection id="6" xr16:uid="{220A3BBA-1EF5-40A4-939B-A6765806AE94}" keepAlive="1" name="Query - Event Perk Abilities[edit]" description="Connection to the 'Event Perk Abilities[edit]' query in the workbook." type="5" refreshedVersion="8" background="1" saveData="1">
    <dbPr connection="Provider=Microsoft.Mashup.OleDb.1;Data Source=$Workbook$;Location=&quot;Event Perk Abilities[edit]&quot;;Extended Properties=&quot;&quot;" command="SELECT * FROM [Event Perk Abilities[edit]]]"/>
  </connection>
  <connection id="7" xr16:uid="{61D36F64-2F25-4AA3-B9B6-1BE355D4AD70}" keepAlive="1" name="Query - Other Abilities[edit]" description="Connection to the 'Other Abilities[edit]' query in the workbook." type="5" refreshedVersion="8" background="1" saveData="1">
    <dbPr connection="Provider=Microsoft.Mashup.OleDb.1;Data Source=$Workbook$;Location=&quot;Other Abilities[edit]&quot;;Extended Properties=&quot;&quot;" command="SELECT * FROM [Other Abilities[edit]]]"/>
  </connection>
  <connection id="8" xr16:uid="{0DD2DE0E-3037-4529-BA5D-12B4BCE95D4F}" keepAlive="1" name="Query - Recovery Abilities[edit]" description="Connection to the 'Recovery Abilities[edit]' query in the workbook." type="5" refreshedVersion="8" background="1" saveData="1">
    <dbPr connection="Provider=Microsoft.Mashup.OleDb.1;Data Source=$Workbook$;Location=&quot;Recovery Abilities[edit]&quot;;Extended Properties=&quot;&quot;" command="SELECT * FROM [Recovery Abilities[edit]]]"/>
  </connection>
  <connection id="9" xr16:uid="{6E19110F-4106-4807-9CB7-16B57923D221}" keepAlive="1" name="Query - Support Abilities[edit]" description="Connection to the 'Support Abilities[edit]' query in the workbook." type="5" refreshedVersion="8" background="1" saveData="1">
    <dbPr connection="Provider=Microsoft.Mashup.OleDb.1;Data Source=$Workbook$;Location=&quot;Support Abilities[edit]&quot;;Extended Properties=&quot;&quot;" command="SELECT * FROM [Support Abilities[edit]]]"/>
  </connection>
</connection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552">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bk>
      <extLst>
        <ext uri="{3e2802c4-a4d2-4d8b-9148-e3be6c30e623}">
          <xlrd:rvb i="85"/>
        </ext>
      </extLst>
    </bk>
    <bk>
      <extLst>
        <ext uri="{3e2802c4-a4d2-4d8b-9148-e3be6c30e623}">
          <xlrd:rvb i="86"/>
        </ext>
      </extLst>
    </bk>
    <bk>
      <extLst>
        <ext uri="{3e2802c4-a4d2-4d8b-9148-e3be6c30e623}">
          <xlrd:rvb i="87"/>
        </ext>
      </extLst>
    </bk>
    <bk>
      <extLst>
        <ext uri="{3e2802c4-a4d2-4d8b-9148-e3be6c30e623}">
          <xlrd:rvb i="88"/>
        </ext>
      </extLst>
    </bk>
    <bk>
      <extLst>
        <ext uri="{3e2802c4-a4d2-4d8b-9148-e3be6c30e623}">
          <xlrd:rvb i="89"/>
        </ext>
      </extLst>
    </bk>
    <bk>
      <extLst>
        <ext uri="{3e2802c4-a4d2-4d8b-9148-e3be6c30e623}">
          <xlrd:rvb i="90"/>
        </ext>
      </extLst>
    </bk>
    <bk>
      <extLst>
        <ext uri="{3e2802c4-a4d2-4d8b-9148-e3be6c30e623}">
          <xlrd:rvb i="91"/>
        </ext>
      </extLst>
    </bk>
    <bk>
      <extLst>
        <ext uri="{3e2802c4-a4d2-4d8b-9148-e3be6c30e623}">
          <xlrd:rvb i="92"/>
        </ext>
      </extLst>
    </bk>
    <bk>
      <extLst>
        <ext uri="{3e2802c4-a4d2-4d8b-9148-e3be6c30e623}">
          <xlrd:rvb i="93"/>
        </ext>
      </extLst>
    </bk>
    <bk>
      <extLst>
        <ext uri="{3e2802c4-a4d2-4d8b-9148-e3be6c30e623}">
          <xlrd:rvb i="94"/>
        </ext>
      </extLst>
    </bk>
    <bk>
      <extLst>
        <ext uri="{3e2802c4-a4d2-4d8b-9148-e3be6c30e623}">
          <xlrd:rvb i="95"/>
        </ext>
      </extLst>
    </bk>
    <bk>
      <extLst>
        <ext uri="{3e2802c4-a4d2-4d8b-9148-e3be6c30e623}">
          <xlrd:rvb i="96"/>
        </ext>
      </extLst>
    </bk>
    <bk>
      <extLst>
        <ext uri="{3e2802c4-a4d2-4d8b-9148-e3be6c30e623}">
          <xlrd:rvb i="97"/>
        </ext>
      </extLst>
    </bk>
    <bk>
      <extLst>
        <ext uri="{3e2802c4-a4d2-4d8b-9148-e3be6c30e623}">
          <xlrd:rvb i="98"/>
        </ext>
      </extLst>
    </bk>
    <bk>
      <extLst>
        <ext uri="{3e2802c4-a4d2-4d8b-9148-e3be6c30e623}">
          <xlrd:rvb i="99"/>
        </ext>
      </extLst>
    </bk>
    <bk>
      <extLst>
        <ext uri="{3e2802c4-a4d2-4d8b-9148-e3be6c30e623}">
          <xlrd:rvb i="100"/>
        </ext>
      </extLst>
    </bk>
    <bk>
      <extLst>
        <ext uri="{3e2802c4-a4d2-4d8b-9148-e3be6c30e623}">
          <xlrd:rvb i="101"/>
        </ext>
      </extLst>
    </bk>
    <bk>
      <extLst>
        <ext uri="{3e2802c4-a4d2-4d8b-9148-e3be6c30e623}">
          <xlrd:rvb i="102"/>
        </ext>
      </extLst>
    </bk>
    <bk>
      <extLst>
        <ext uri="{3e2802c4-a4d2-4d8b-9148-e3be6c30e623}">
          <xlrd:rvb i="103"/>
        </ext>
      </extLst>
    </bk>
    <bk>
      <extLst>
        <ext uri="{3e2802c4-a4d2-4d8b-9148-e3be6c30e623}">
          <xlrd:rvb i="104"/>
        </ext>
      </extLst>
    </bk>
    <bk>
      <extLst>
        <ext uri="{3e2802c4-a4d2-4d8b-9148-e3be6c30e623}">
          <xlrd:rvb i="105"/>
        </ext>
      </extLst>
    </bk>
    <bk>
      <extLst>
        <ext uri="{3e2802c4-a4d2-4d8b-9148-e3be6c30e623}">
          <xlrd:rvb i="106"/>
        </ext>
      </extLst>
    </bk>
    <bk>
      <extLst>
        <ext uri="{3e2802c4-a4d2-4d8b-9148-e3be6c30e623}">
          <xlrd:rvb i="107"/>
        </ext>
      </extLst>
    </bk>
    <bk>
      <extLst>
        <ext uri="{3e2802c4-a4d2-4d8b-9148-e3be6c30e623}">
          <xlrd:rvb i="108"/>
        </ext>
      </extLst>
    </bk>
    <bk>
      <extLst>
        <ext uri="{3e2802c4-a4d2-4d8b-9148-e3be6c30e623}">
          <xlrd:rvb i="109"/>
        </ext>
      </extLst>
    </bk>
    <bk>
      <extLst>
        <ext uri="{3e2802c4-a4d2-4d8b-9148-e3be6c30e623}">
          <xlrd:rvb i="110"/>
        </ext>
      </extLst>
    </bk>
    <bk>
      <extLst>
        <ext uri="{3e2802c4-a4d2-4d8b-9148-e3be6c30e623}">
          <xlrd:rvb i="111"/>
        </ext>
      </extLst>
    </bk>
    <bk>
      <extLst>
        <ext uri="{3e2802c4-a4d2-4d8b-9148-e3be6c30e623}">
          <xlrd:rvb i="112"/>
        </ext>
      </extLst>
    </bk>
    <bk>
      <extLst>
        <ext uri="{3e2802c4-a4d2-4d8b-9148-e3be6c30e623}">
          <xlrd:rvb i="113"/>
        </ext>
      </extLst>
    </bk>
    <bk>
      <extLst>
        <ext uri="{3e2802c4-a4d2-4d8b-9148-e3be6c30e623}">
          <xlrd:rvb i="114"/>
        </ext>
      </extLst>
    </bk>
    <bk>
      <extLst>
        <ext uri="{3e2802c4-a4d2-4d8b-9148-e3be6c30e623}">
          <xlrd:rvb i="115"/>
        </ext>
      </extLst>
    </bk>
    <bk>
      <extLst>
        <ext uri="{3e2802c4-a4d2-4d8b-9148-e3be6c30e623}">
          <xlrd:rvb i="116"/>
        </ext>
      </extLst>
    </bk>
    <bk>
      <extLst>
        <ext uri="{3e2802c4-a4d2-4d8b-9148-e3be6c30e623}">
          <xlrd:rvb i="117"/>
        </ext>
      </extLst>
    </bk>
    <bk>
      <extLst>
        <ext uri="{3e2802c4-a4d2-4d8b-9148-e3be6c30e623}">
          <xlrd:rvb i="118"/>
        </ext>
      </extLst>
    </bk>
    <bk>
      <extLst>
        <ext uri="{3e2802c4-a4d2-4d8b-9148-e3be6c30e623}">
          <xlrd:rvb i="119"/>
        </ext>
      </extLst>
    </bk>
    <bk>
      <extLst>
        <ext uri="{3e2802c4-a4d2-4d8b-9148-e3be6c30e623}">
          <xlrd:rvb i="120"/>
        </ext>
      </extLst>
    </bk>
    <bk>
      <extLst>
        <ext uri="{3e2802c4-a4d2-4d8b-9148-e3be6c30e623}">
          <xlrd:rvb i="121"/>
        </ext>
      </extLst>
    </bk>
    <bk>
      <extLst>
        <ext uri="{3e2802c4-a4d2-4d8b-9148-e3be6c30e623}">
          <xlrd:rvb i="122"/>
        </ext>
      </extLst>
    </bk>
    <bk>
      <extLst>
        <ext uri="{3e2802c4-a4d2-4d8b-9148-e3be6c30e623}">
          <xlrd:rvb i="123"/>
        </ext>
      </extLst>
    </bk>
    <bk>
      <extLst>
        <ext uri="{3e2802c4-a4d2-4d8b-9148-e3be6c30e623}">
          <xlrd:rvb i="124"/>
        </ext>
      </extLst>
    </bk>
    <bk>
      <extLst>
        <ext uri="{3e2802c4-a4d2-4d8b-9148-e3be6c30e623}">
          <xlrd:rvb i="125"/>
        </ext>
      </extLst>
    </bk>
    <bk>
      <extLst>
        <ext uri="{3e2802c4-a4d2-4d8b-9148-e3be6c30e623}">
          <xlrd:rvb i="126"/>
        </ext>
      </extLst>
    </bk>
    <bk>
      <extLst>
        <ext uri="{3e2802c4-a4d2-4d8b-9148-e3be6c30e623}">
          <xlrd:rvb i="127"/>
        </ext>
      </extLst>
    </bk>
    <bk>
      <extLst>
        <ext uri="{3e2802c4-a4d2-4d8b-9148-e3be6c30e623}">
          <xlrd:rvb i="128"/>
        </ext>
      </extLst>
    </bk>
    <bk>
      <extLst>
        <ext uri="{3e2802c4-a4d2-4d8b-9148-e3be6c30e623}">
          <xlrd:rvb i="129"/>
        </ext>
      </extLst>
    </bk>
    <bk>
      <extLst>
        <ext uri="{3e2802c4-a4d2-4d8b-9148-e3be6c30e623}">
          <xlrd:rvb i="130"/>
        </ext>
      </extLst>
    </bk>
    <bk>
      <extLst>
        <ext uri="{3e2802c4-a4d2-4d8b-9148-e3be6c30e623}">
          <xlrd:rvb i="131"/>
        </ext>
      </extLst>
    </bk>
    <bk>
      <extLst>
        <ext uri="{3e2802c4-a4d2-4d8b-9148-e3be6c30e623}">
          <xlrd:rvb i="132"/>
        </ext>
      </extLst>
    </bk>
    <bk>
      <extLst>
        <ext uri="{3e2802c4-a4d2-4d8b-9148-e3be6c30e623}">
          <xlrd:rvb i="133"/>
        </ext>
      </extLst>
    </bk>
    <bk>
      <extLst>
        <ext uri="{3e2802c4-a4d2-4d8b-9148-e3be6c30e623}">
          <xlrd:rvb i="134"/>
        </ext>
      </extLst>
    </bk>
    <bk>
      <extLst>
        <ext uri="{3e2802c4-a4d2-4d8b-9148-e3be6c30e623}">
          <xlrd:rvb i="135"/>
        </ext>
      </extLst>
    </bk>
    <bk>
      <extLst>
        <ext uri="{3e2802c4-a4d2-4d8b-9148-e3be6c30e623}">
          <xlrd:rvb i="136"/>
        </ext>
      </extLst>
    </bk>
    <bk>
      <extLst>
        <ext uri="{3e2802c4-a4d2-4d8b-9148-e3be6c30e623}">
          <xlrd:rvb i="137"/>
        </ext>
      </extLst>
    </bk>
    <bk>
      <extLst>
        <ext uri="{3e2802c4-a4d2-4d8b-9148-e3be6c30e623}">
          <xlrd:rvb i="138"/>
        </ext>
      </extLst>
    </bk>
    <bk>
      <extLst>
        <ext uri="{3e2802c4-a4d2-4d8b-9148-e3be6c30e623}">
          <xlrd:rvb i="139"/>
        </ext>
      </extLst>
    </bk>
    <bk>
      <extLst>
        <ext uri="{3e2802c4-a4d2-4d8b-9148-e3be6c30e623}">
          <xlrd:rvb i="140"/>
        </ext>
      </extLst>
    </bk>
    <bk>
      <extLst>
        <ext uri="{3e2802c4-a4d2-4d8b-9148-e3be6c30e623}">
          <xlrd:rvb i="141"/>
        </ext>
      </extLst>
    </bk>
    <bk>
      <extLst>
        <ext uri="{3e2802c4-a4d2-4d8b-9148-e3be6c30e623}">
          <xlrd:rvb i="142"/>
        </ext>
      </extLst>
    </bk>
    <bk>
      <extLst>
        <ext uri="{3e2802c4-a4d2-4d8b-9148-e3be6c30e623}">
          <xlrd:rvb i="143"/>
        </ext>
      </extLst>
    </bk>
    <bk>
      <extLst>
        <ext uri="{3e2802c4-a4d2-4d8b-9148-e3be6c30e623}">
          <xlrd:rvb i="144"/>
        </ext>
      </extLst>
    </bk>
    <bk>
      <extLst>
        <ext uri="{3e2802c4-a4d2-4d8b-9148-e3be6c30e623}">
          <xlrd:rvb i="145"/>
        </ext>
      </extLst>
    </bk>
    <bk>
      <extLst>
        <ext uri="{3e2802c4-a4d2-4d8b-9148-e3be6c30e623}">
          <xlrd:rvb i="146"/>
        </ext>
      </extLst>
    </bk>
    <bk>
      <extLst>
        <ext uri="{3e2802c4-a4d2-4d8b-9148-e3be6c30e623}">
          <xlrd:rvb i="147"/>
        </ext>
      </extLst>
    </bk>
    <bk>
      <extLst>
        <ext uri="{3e2802c4-a4d2-4d8b-9148-e3be6c30e623}">
          <xlrd:rvb i="148"/>
        </ext>
      </extLst>
    </bk>
    <bk>
      <extLst>
        <ext uri="{3e2802c4-a4d2-4d8b-9148-e3be6c30e623}">
          <xlrd:rvb i="149"/>
        </ext>
      </extLst>
    </bk>
    <bk>
      <extLst>
        <ext uri="{3e2802c4-a4d2-4d8b-9148-e3be6c30e623}">
          <xlrd:rvb i="150"/>
        </ext>
      </extLst>
    </bk>
    <bk>
      <extLst>
        <ext uri="{3e2802c4-a4d2-4d8b-9148-e3be6c30e623}">
          <xlrd:rvb i="151"/>
        </ext>
      </extLst>
    </bk>
    <bk>
      <extLst>
        <ext uri="{3e2802c4-a4d2-4d8b-9148-e3be6c30e623}">
          <xlrd:rvb i="152"/>
        </ext>
      </extLst>
    </bk>
    <bk>
      <extLst>
        <ext uri="{3e2802c4-a4d2-4d8b-9148-e3be6c30e623}">
          <xlrd:rvb i="153"/>
        </ext>
      </extLst>
    </bk>
    <bk>
      <extLst>
        <ext uri="{3e2802c4-a4d2-4d8b-9148-e3be6c30e623}">
          <xlrd:rvb i="154"/>
        </ext>
      </extLst>
    </bk>
    <bk>
      <extLst>
        <ext uri="{3e2802c4-a4d2-4d8b-9148-e3be6c30e623}">
          <xlrd:rvb i="155"/>
        </ext>
      </extLst>
    </bk>
    <bk>
      <extLst>
        <ext uri="{3e2802c4-a4d2-4d8b-9148-e3be6c30e623}">
          <xlrd:rvb i="156"/>
        </ext>
      </extLst>
    </bk>
    <bk>
      <extLst>
        <ext uri="{3e2802c4-a4d2-4d8b-9148-e3be6c30e623}">
          <xlrd:rvb i="157"/>
        </ext>
      </extLst>
    </bk>
    <bk>
      <extLst>
        <ext uri="{3e2802c4-a4d2-4d8b-9148-e3be6c30e623}">
          <xlrd:rvb i="158"/>
        </ext>
      </extLst>
    </bk>
    <bk>
      <extLst>
        <ext uri="{3e2802c4-a4d2-4d8b-9148-e3be6c30e623}">
          <xlrd:rvb i="159"/>
        </ext>
      </extLst>
    </bk>
    <bk>
      <extLst>
        <ext uri="{3e2802c4-a4d2-4d8b-9148-e3be6c30e623}">
          <xlrd:rvb i="160"/>
        </ext>
      </extLst>
    </bk>
    <bk>
      <extLst>
        <ext uri="{3e2802c4-a4d2-4d8b-9148-e3be6c30e623}">
          <xlrd:rvb i="161"/>
        </ext>
      </extLst>
    </bk>
    <bk>
      <extLst>
        <ext uri="{3e2802c4-a4d2-4d8b-9148-e3be6c30e623}">
          <xlrd:rvb i="162"/>
        </ext>
      </extLst>
    </bk>
    <bk>
      <extLst>
        <ext uri="{3e2802c4-a4d2-4d8b-9148-e3be6c30e623}">
          <xlrd:rvb i="163"/>
        </ext>
      </extLst>
    </bk>
    <bk>
      <extLst>
        <ext uri="{3e2802c4-a4d2-4d8b-9148-e3be6c30e623}">
          <xlrd:rvb i="164"/>
        </ext>
      </extLst>
    </bk>
    <bk>
      <extLst>
        <ext uri="{3e2802c4-a4d2-4d8b-9148-e3be6c30e623}">
          <xlrd:rvb i="165"/>
        </ext>
      </extLst>
    </bk>
    <bk>
      <extLst>
        <ext uri="{3e2802c4-a4d2-4d8b-9148-e3be6c30e623}">
          <xlrd:rvb i="166"/>
        </ext>
      </extLst>
    </bk>
    <bk>
      <extLst>
        <ext uri="{3e2802c4-a4d2-4d8b-9148-e3be6c30e623}">
          <xlrd:rvb i="167"/>
        </ext>
      </extLst>
    </bk>
    <bk>
      <extLst>
        <ext uri="{3e2802c4-a4d2-4d8b-9148-e3be6c30e623}">
          <xlrd:rvb i="168"/>
        </ext>
      </extLst>
    </bk>
    <bk>
      <extLst>
        <ext uri="{3e2802c4-a4d2-4d8b-9148-e3be6c30e623}">
          <xlrd:rvb i="169"/>
        </ext>
      </extLst>
    </bk>
    <bk>
      <extLst>
        <ext uri="{3e2802c4-a4d2-4d8b-9148-e3be6c30e623}">
          <xlrd:rvb i="170"/>
        </ext>
      </extLst>
    </bk>
    <bk>
      <extLst>
        <ext uri="{3e2802c4-a4d2-4d8b-9148-e3be6c30e623}">
          <xlrd:rvb i="171"/>
        </ext>
      </extLst>
    </bk>
    <bk>
      <extLst>
        <ext uri="{3e2802c4-a4d2-4d8b-9148-e3be6c30e623}">
          <xlrd:rvb i="172"/>
        </ext>
      </extLst>
    </bk>
    <bk>
      <extLst>
        <ext uri="{3e2802c4-a4d2-4d8b-9148-e3be6c30e623}">
          <xlrd:rvb i="173"/>
        </ext>
      </extLst>
    </bk>
    <bk>
      <extLst>
        <ext uri="{3e2802c4-a4d2-4d8b-9148-e3be6c30e623}">
          <xlrd:rvb i="174"/>
        </ext>
      </extLst>
    </bk>
    <bk>
      <extLst>
        <ext uri="{3e2802c4-a4d2-4d8b-9148-e3be6c30e623}">
          <xlrd:rvb i="175"/>
        </ext>
      </extLst>
    </bk>
    <bk>
      <extLst>
        <ext uri="{3e2802c4-a4d2-4d8b-9148-e3be6c30e623}">
          <xlrd:rvb i="176"/>
        </ext>
      </extLst>
    </bk>
    <bk>
      <extLst>
        <ext uri="{3e2802c4-a4d2-4d8b-9148-e3be6c30e623}">
          <xlrd:rvb i="177"/>
        </ext>
      </extLst>
    </bk>
    <bk>
      <extLst>
        <ext uri="{3e2802c4-a4d2-4d8b-9148-e3be6c30e623}">
          <xlrd:rvb i="178"/>
        </ext>
      </extLst>
    </bk>
    <bk>
      <extLst>
        <ext uri="{3e2802c4-a4d2-4d8b-9148-e3be6c30e623}">
          <xlrd:rvb i="179"/>
        </ext>
      </extLst>
    </bk>
    <bk>
      <extLst>
        <ext uri="{3e2802c4-a4d2-4d8b-9148-e3be6c30e623}">
          <xlrd:rvb i="180"/>
        </ext>
      </extLst>
    </bk>
    <bk>
      <extLst>
        <ext uri="{3e2802c4-a4d2-4d8b-9148-e3be6c30e623}">
          <xlrd:rvb i="181"/>
        </ext>
      </extLst>
    </bk>
    <bk>
      <extLst>
        <ext uri="{3e2802c4-a4d2-4d8b-9148-e3be6c30e623}">
          <xlrd:rvb i="182"/>
        </ext>
      </extLst>
    </bk>
    <bk>
      <extLst>
        <ext uri="{3e2802c4-a4d2-4d8b-9148-e3be6c30e623}">
          <xlrd:rvb i="183"/>
        </ext>
      </extLst>
    </bk>
    <bk>
      <extLst>
        <ext uri="{3e2802c4-a4d2-4d8b-9148-e3be6c30e623}">
          <xlrd:rvb i="184"/>
        </ext>
      </extLst>
    </bk>
    <bk>
      <extLst>
        <ext uri="{3e2802c4-a4d2-4d8b-9148-e3be6c30e623}">
          <xlrd:rvb i="185"/>
        </ext>
      </extLst>
    </bk>
    <bk>
      <extLst>
        <ext uri="{3e2802c4-a4d2-4d8b-9148-e3be6c30e623}">
          <xlrd:rvb i="186"/>
        </ext>
      </extLst>
    </bk>
    <bk>
      <extLst>
        <ext uri="{3e2802c4-a4d2-4d8b-9148-e3be6c30e623}">
          <xlrd:rvb i="187"/>
        </ext>
      </extLst>
    </bk>
    <bk>
      <extLst>
        <ext uri="{3e2802c4-a4d2-4d8b-9148-e3be6c30e623}">
          <xlrd:rvb i="188"/>
        </ext>
      </extLst>
    </bk>
    <bk>
      <extLst>
        <ext uri="{3e2802c4-a4d2-4d8b-9148-e3be6c30e623}">
          <xlrd:rvb i="189"/>
        </ext>
      </extLst>
    </bk>
    <bk>
      <extLst>
        <ext uri="{3e2802c4-a4d2-4d8b-9148-e3be6c30e623}">
          <xlrd:rvb i="190"/>
        </ext>
      </extLst>
    </bk>
    <bk>
      <extLst>
        <ext uri="{3e2802c4-a4d2-4d8b-9148-e3be6c30e623}">
          <xlrd:rvb i="191"/>
        </ext>
      </extLst>
    </bk>
    <bk>
      <extLst>
        <ext uri="{3e2802c4-a4d2-4d8b-9148-e3be6c30e623}">
          <xlrd:rvb i="192"/>
        </ext>
      </extLst>
    </bk>
    <bk>
      <extLst>
        <ext uri="{3e2802c4-a4d2-4d8b-9148-e3be6c30e623}">
          <xlrd:rvb i="193"/>
        </ext>
      </extLst>
    </bk>
    <bk>
      <extLst>
        <ext uri="{3e2802c4-a4d2-4d8b-9148-e3be6c30e623}">
          <xlrd:rvb i="194"/>
        </ext>
      </extLst>
    </bk>
    <bk>
      <extLst>
        <ext uri="{3e2802c4-a4d2-4d8b-9148-e3be6c30e623}">
          <xlrd:rvb i="195"/>
        </ext>
      </extLst>
    </bk>
    <bk>
      <extLst>
        <ext uri="{3e2802c4-a4d2-4d8b-9148-e3be6c30e623}">
          <xlrd:rvb i="196"/>
        </ext>
      </extLst>
    </bk>
    <bk>
      <extLst>
        <ext uri="{3e2802c4-a4d2-4d8b-9148-e3be6c30e623}">
          <xlrd:rvb i="197"/>
        </ext>
      </extLst>
    </bk>
    <bk>
      <extLst>
        <ext uri="{3e2802c4-a4d2-4d8b-9148-e3be6c30e623}">
          <xlrd:rvb i="198"/>
        </ext>
      </extLst>
    </bk>
    <bk>
      <extLst>
        <ext uri="{3e2802c4-a4d2-4d8b-9148-e3be6c30e623}">
          <xlrd:rvb i="199"/>
        </ext>
      </extLst>
    </bk>
    <bk>
      <extLst>
        <ext uri="{3e2802c4-a4d2-4d8b-9148-e3be6c30e623}">
          <xlrd:rvb i="200"/>
        </ext>
      </extLst>
    </bk>
    <bk>
      <extLst>
        <ext uri="{3e2802c4-a4d2-4d8b-9148-e3be6c30e623}">
          <xlrd:rvb i="201"/>
        </ext>
      </extLst>
    </bk>
    <bk>
      <extLst>
        <ext uri="{3e2802c4-a4d2-4d8b-9148-e3be6c30e623}">
          <xlrd:rvb i="202"/>
        </ext>
      </extLst>
    </bk>
    <bk>
      <extLst>
        <ext uri="{3e2802c4-a4d2-4d8b-9148-e3be6c30e623}">
          <xlrd:rvb i="203"/>
        </ext>
      </extLst>
    </bk>
    <bk>
      <extLst>
        <ext uri="{3e2802c4-a4d2-4d8b-9148-e3be6c30e623}">
          <xlrd:rvb i="204"/>
        </ext>
      </extLst>
    </bk>
    <bk>
      <extLst>
        <ext uri="{3e2802c4-a4d2-4d8b-9148-e3be6c30e623}">
          <xlrd:rvb i="205"/>
        </ext>
      </extLst>
    </bk>
    <bk>
      <extLst>
        <ext uri="{3e2802c4-a4d2-4d8b-9148-e3be6c30e623}">
          <xlrd:rvb i="206"/>
        </ext>
      </extLst>
    </bk>
    <bk>
      <extLst>
        <ext uri="{3e2802c4-a4d2-4d8b-9148-e3be6c30e623}">
          <xlrd:rvb i="207"/>
        </ext>
      </extLst>
    </bk>
    <bk>
      <extLst>
        <ext uri="{3e2802c4-a4d2-4d8b-9148-e3be6c30e623}">
          <xlrd:rvb i="208"/>
        </ext>
      </extLst>
    </bk>
    <bk>
      <extLst>
        <ext uri="{3e2802c4-a4d2-4d8b-9148-e3be6c30e623}">
          <xlrd:rvb i="209"/>
        </ext>
      </extLst>
    </bk>
    <bk>
      <extLst>
        <ext uri="{3e2802c4-a4d2-4d8b-9148-e3be6c30e623}">
          <xlrd:rvb i="210"/>
        </ext>
      </extLst>
    </bk>
    <bk>
      <extLst>
        <ext uri="{3e2802c4-a4d2-4d8b-9148-e3be6c30e623}">
          <xlrd:rvb i="211"/>
        </ext>
      </extLst>
    </bk>
    <bk>
      <extLst>
        <ext uri="{3e2802c4-a4d2-4d8b-9148-e3be6c30e623}">
          <xlrd:rvb i="212"/>
        </ext>
      </extLst>
    </bk>
    <bk>
      <extLst>
        <ext uri="{3e2802c4-a4d2-4d8b-9148-e3be6c30e623}">
          <xlrd:rvb i="213"/>
        </ext>
      </extLst>
    </bk>
    <bk>
      <extLst>
        <ext uri="{3e2802c4-a4d2-4d8b-9148-e3be6c30e623}">
          <xlrd:rvb i="214"/>
        </ext>
      </extLst>
    </bk>
    <bk>
      <extLst>
        <ext uri="{3e2802c4-a4d2-4d8b-9148-e3be6c30e623}">
          <xlrd:rvb i="215"/>
        </ext>
      </extLst>
    </bk>
    <bk>
      <extLst>
        <ext uri="{3e2802c4-a4d2-4d8b-9148-e3be6c30e623}">
          <xlrd:rvb i="216"/>
        </ext>
      </extLst>
    </bk>
    <bk>
      <extLst>
        <ext uri="{3e2802c4-a4d2-4d8b-9148-e3be6c30e623}">
          <xlrd:rvb i="217"/>
        </ext>
      </extLst>
    </bk>
    <bk>
      <extLst>
        <ext uri="{3e2802c4-a4d2-4d8b-9148-e3be6c30e623}">
          <xlrd:rvb i="218"/>
        </ext>
      </extLst>
    </bk>
    <bk>
      <extLst>
        <ext uri="{3e2802c4-a4d2-4d8b-9148-e3be6c30e623}">
          <xlrd:rvb i="219"/>
        </ext>
      </extLst>
    </bk>
    <bk>
      <extLst>
        <ext uri="{3e2802c4-a4d2-4d8b-9148-e3be6c30e623}">
          <xlrd:rvb i="220"/>
        </ext>
      </extLst>
    </bk>
    <bk>
      <extLst>
        <ext uri="{3e2802c4-a4d2-4d8b-9148-e3be6c30e623}">
          <xlrd:rvb i="221"/>
        </ext>
      </extLst>
    </bk>
    <bk>
      <extLst>
        <ext uri="{3e2802c4-a4d2-4d8b-9148-e3be6c30e623}">
          <xlrd:rvb i="222"/>
        </ext>
      </extLst>
    </bk>
    <bk>
      <extLst>
        <ext uri="{3e2802c4-a4d2-4d8b-9148-e3be6c30e623}">
          <xlrd:rvb i="223"/>
        </ext>
      </extLst>
    </bk>
    <bk>
      <extLst>
        <ext uri="{3e2802c4-a4d2-4d8b-9148-e3be6c30e623}">
          <xlrd:rvb i="224"/>
        </ext>
      </extLst>
    </bk>
    <bk>
      <extLst>
        <ext uri="{3e2802c4-a4d2-4d8b-9148-e3be6c30e623}">
          <xlrd:rvb i="225"/>
        </ext>
      </extLst>
    </bk>
    <bk>
      <extLst>
        <ext uri="{3e2802c4-a4d2-4d8b-9148-e3be6c30e623}">
          <xlrd:rvb i="226"/>
        </ext>
      </extLst>
    </bk>
    <bk>
      <extLst>
        <ext uri="{3e2802c4-a4d2-4d8b-9148-e3be6c30e623}">
          <xlrd:rvb i="227"/>
        </ext>
      </extLst>
    </bk>
    <bk>
      <extLst>
        <ext uri="{3e2802c4-a4d2-4d8b-9148-e3be6c30e623}">
          <xlrd:rvb i="228"/>
        </ext>
      </extLst>
    </bk>
    <bk>
      <extLst>
        <ext uri="{3e2802c4-a4d2-4d8b-9148-e3be6c30e623}">
          <xlrd:rvb i="229"/>
        </ext>
      </extLst>
    </bk>
    <bk>
      <extLst>
        <ext uri="{3e2802c4-a4d2-4d8b-9148-e3be6c30e623}">
          <xlrd:rvb i="230"/>
        </ext>
      </extLst>
    </bk>
    <bk>
      <extLst>
        <ext uri="{3e2802c4-a4d2-4d8b-9148-e3be6c30e623}">
          <xlrd:rvb i="231"/>
        </ext>
      </extLst>
    </bk>
    <bk>
      <extLst>
        <ext uri="{3e2802c4-a4d2-4d8b-9148-e3be6c30e623}">
          <xlrd:rvb i="232"/>
        </ext>
      </extLst>
    </bk>
    <bk>
      <extLst>
        <ext uri="{3e2802c4-a4d2-4d8b-9148-e3be6c30e623}">
          <xlrd:rvb i="233"/>
        </ext>
      </extLst>
    </bk>
    <bk>
      <extLst>
        <ext uri="{3e2802c4-a4d2-4d8b-9148-e3be6c30e623}">
          <xlrd:rvb i="234"/>
        </ext>
      </extLst>
    </bk>
    <bk>
      <extLst>
        <ext uri="{3e2802c4-a4d2-4d8b-9148-e3be6c30e623}">
          <xlrd:rvb i="235"/>
        </ext>
      </extLst>
    </bk>
    <bk>
      <extLst>
        <ext uri="{3e2802c4-a4d2-4d8b-9148-e3be6c30e623}">
          <xlrd:rvb i="236"/>
        </ext>
      </extLst>
    </bk>
    <bk>
      <extLst>
        <ext uri="{3e2802c4-a4d2-4d8b-9148-e3be6c30e623}">
          <xlrd:rvb i="237"/>
        </ext>
      </extLst>
    </bk>
    <bk>
      <extLst>
        <ext uri="{3e2802c4-a4d2-4d8b-9148-e3be6c30e623}">
          <xlrd:rvb i="238"/>
        </ext>
      </extLst>
    </bk>
    <bk>
      <extLst>
        <ext uri="{3e2802c4-a4d2-4d8b-9148-e3be6c30e623}">
          <xlrd:rvb i="239"/>
        </ext>
      </extLst>
    </bk>
    <bk>
      <extLst>
        <ext uri="{3e2802c4-a4d2-4d8b-9148-e3be6c30e623}">
          <xlrd:rvb i="240"/>
        </ext>
      </extLst>
    </bk>
    <bk>
      <extLst>
        <ext uri="{3e2802c4-a4d2-4d8b-9148-e3be6c30e623}">
          <xlrd:rvb i="241"/>
        </ext>
      </extLst>
    </bk>
    <bk>
      <extLst>
        <ext uri="{3e2802c4-a4d2-4d8b-9148-e3be6c30e623}">
          <xlrd:rvb i="242"/>
        </ext>
      </extLst>
    </bk>
    <bk>
      <extLst>
        <ext uri="{3e2802c4-a4d2-4d8b-9148-e3be6c30e623}">
          <xlrd:rvb i="243"/>
        </ext>
      </extLst>
    </bk>
    <bk>
      <extLst>
        <ext uri="{3e2802c4-a4d2-4d8b-9148-e3be6c30e623}">
          <xlrd:rvb i="244"/>
        </ext>
      </extLst>
    </bk>
    <bk>
      <extLst>
        <ext uri="{3e2802c4-a4d2-4d8b-9148-e3be6c30e623}">
          <xlrd:rvb i="245"/>
        </ext>
      </extLst>
    </bk>
    <bk>
      <extLst>
        <ext uri="{3e2802c4-a4d2-4d8b-9148-e3be6c30e623}">
          <xlrd:rvb i="246"/>
        </ext>
      </extLst>
    </bk>
    <bk>
      <extLst>
        <ext uri="{3e2802c4-a4d2-4d8b-9148-e3be6c30e623}">
          <xlrd:rvb i="247"/>
        </ext>
      </extLst>
    </bk>
    <bk>
      <extLst>
        <ext uri="{3e2802c4-a4d2-4d8b-9148-e3be6c30e623}">
          <xlrd:rvb i="248"/>
        </ext>
      </extLst>
    </bk>
    <bk>
      <extLst>
        <ext uri="{3e2802c4-a4d2-4d8b-9148-e3be6c30e623}">
          <xlrd:rvb i="249"/>
        </ext>
      </extLst>
    </bk>
    <bk>
      <extLst>
        <ext uri="{3e2802c4-a4d2-4d8b-9148-e3be6c30e623}">
          <xlrd:rvb i="250"/>
        </ext>
      </extLst>
    </bk>
    <bk>
      <extLst>
        <ext uri="{3e2802c4-a4d2-4d8b-9148-e3be6c30e623}">
          <xlrd:rvb i="251"/>
        </ext>
      </extLst>
    </bk>
    <bk>
      <extLst>
        <ext uri="{3e2802c4-a4d2-4d8b-9148-e3be6c30e623}">
          <xlrd:rvb i="252"/>
        </ext>
      </extLst>
    </bk>
    <bk>
      <extLst>
        <ext uri="{3e2802c4-a4d2-4d8b-9148-e3be6c30e623}">
          <xlrd:rvb i="253"/>
        </ext>
      </extLst>
    </bk>
    <bk>
      <extLst>
        <ext uri="{3e2802c4-a4d2-4d8b-9148-e3be6c30e623}">
          <xlrd:rvb i="254"/>
        </ext>
      </extLst>
    </bk>
    <bk>
      <extLst>
        <ext uri="{3e2802c4-a4d2-4d8b-9148-e3be6c30e623}">
          <xlrd:rvb i="255"/>
        </ext>
      </extLst>
    </bk>
    <bk>
      <extLst>
        <ext uri="{3e2802c4-a4d2-4d8b-9148-e3be6c30e623}">
          <xlrd:rvb i="256"/>
        </ext>
      </extLst>
    </bk>
    <bk>
      <extLst>
        <ext uri="{3e2802c4-a4d2-4d8b-9148-e3be6c30e623}">
          <xlrd:rvb i="257"/>
        </ext>
      </extLst>
    </bk>
    <bk>
      <extLst>
        <ext uri="{3e2802c4-a4d2-4d8b-9148-e3be6c30e623}">
          <xlrd:rvb i="258"/>
        </ext>
      </extLst>
    </bk>
    <bk>
      <extLst>
        <ext uri="{3e2802c4-a4d2-4d8b-9148-e3be6c30e623}">
          <xlrd:rvb i="259"/>
        </ext>
      </extLst>
    </bk>
    <bk>
      <extLst>
        <ext uri="{3e2802c4-a4d2-4d8b-9148-e3be6c30e623}">
          <xlrd:rvb i="260"/>
        </ext>
      </extLst>
    </bk>
    <bk>
      <extLst>
        <ext uri="{3e2802c4-a4d2-4d8b-9148-e3be6c30e623}">
          <xlrd:rvb i="261"/>
        </ext>
      </extLst>
    </bk>
    <bk>
      <extLst>
        <ext uri="{3e2802c4-a4d2-4d8b-9148-e3be6c30e623}">
          <xlrd:rvb i="262"/>
        </ext>
      </extLst>
    </bk>
    <bk>
      <extLst>
        <ext uri="{3e2802c4-a4d2-4d8b-9148-e3be6c30e623}">
          <xlrd:rvb i="263"/>
        </ext>
      </extLst>
    </bk>
    <bk>
      <extLst>
        <ext uri="{3e2802c4-a4d2-4d8b-9148-e3be6c30e623}">
          <xlrd:rvb i="264"/>
        </ext>
      </extLst>
    </bk>
    <bk>
      <extLst>
        <ext uri="{3e2802c4-a4d2-4d8b-9148-e3be6c30e623}">
          <xlrd:rvb i="265"/>
        </ext>
      </extLst>
    </bk>
    <bk>
      <extLst>
        <ext uri="{3e2802c4-a4d2-4d8b-9148-e3be6c30e623}">
          <xlrd:rvb i="266"/>
        </ext>
      </extLst>
    </bk>
    <bk>
      <extLst>
        <ext uri="{3e2802c4-a4d2-4d8b-9148-e3be6c30e623}">
          <xlrd:rvb i="267"/>
        </ext>
      </extLst>
    </bk>
    <bk>
      <extLst>
        <ext uri="{3e2802c4-a4d2-4d8b-9148-e3be6c30e623}">
          <xlrd:rvb i="268"/>
        </ext>
      </extLst>
    </bk>
    <bk>
      <extLst>
        <ext uri="{3e2802c4-a4d2-4d8b-9148-e3be6c30e623}">
          <xlrd:rvb i="269"/>
        </ext>
      </extLst>
    </bk>
    <bk>
      <extLst>
        <ext uri="{3e2802c4-a4d2-4d8b-9148-e3be6c30e623}">
          <xlrd:rvb i="270"/>
        </ext>
      </extLst>
    </bk>
    <bk>
      <extLst>
        <ext uri="{3e2802c4-a4d2-4d8b-9148-e3be6c30e623}">
          <xlrd:rvb i="271"/>
        </ext>
      </extLst>
    </bk>
    <bk>
      <extLst>
        <ext uri="{3e2802c4-a4d2-4d8b-9148-e3be6c30e623}">
          <xlrd:rvb i="272"/>
        </ext>
      </extLst>
    </bk>
    <bk>
      <extLst>
        <ext uri="{3e2802c4-a4d2-4d8b-9148-e3be6c30e623}">
          <xlrd:rvb i="273"/>
        </ext>
      </extLst>
    </bk>
    <bk>
      <extLst>
        <ext uri="{3e2802c4-a4d2-4d8b-9148-e3be6c30e623}">
          <xlrd:rvb i="274"/>
        </ext>
      </extLst>
    </bk>
    <bk>
      <extLst>
        <ext uri="{3e2802c4-a4d2-4d8b-9148-e3be6c30e623}">
          <xlrd:rvb i="275"/>
        </ext>
      </extLst>
    </bk>
    <bk>
      <extLst>
        <ext uri="{3e2802c4-a4d2-4d8b-9148-e3be6c30e623}">
          <xlrd:rvb i="276"/>
        </ext>
      </extLst>
    </bk>
    <bk>
      <extLst>
        <ext uri="{3e2802c4-a4d2-4d8b-9148-e3be6c30e623}">
          <xlrd:rvb i="277"/>
        </ext>
      </extLst>
    </bk>
    <bk>
      <extLst>
        <ext uri="{3e2802c4-a4d2-4d8b-9148-e3be6c30e623}">
          <xlrd:rvb i="278"/>
        </ext>
      </extLst>
    </bk>
    <bk>
      <extLst>
        <ext uri="{3e2802c4-a4d2-4d8b-9148-e3be6c30e623}">
          <xlrd:rvb i="279"/>
        </ext>
      </extLst>
    </bk>
    <bk>
      <extLst>
        <ext uri="{3e2802c4-a4d2-4d8b-9148-e3be6c30e623}">
          <xlrd:rvb i="280"/>
        </ext>
      </extLst>
    </bk>
    <bk>
      <extLst>
        <ext uri="{3e2802c4-a4d2-4d8b-9148-e3be6c30e623}">
          <xlrd:rvb i="281"/>
        </ext>
      </extLst>
    </bk>
    <bk>
      <extLst>
        <ext uri="{3e2802c4-a4d2-4d8b-9148-e3be6c30e623}">
          <xlrd:rvb i="282"/>
        </ext>
      </extLst>
    </bk>
    <bk>
      <extLst>
        <ext uri="{3e2802c4-a4d2-4d8b-9148-e3be6c30e623}">
          <xlrd:rvb i="283"/>
        </ext>
      </extLst>
    </bk>
    <bk>
      <extLst>
        <ext uri="{3e2802c4-a4d2-4d8b-9148-e3be6c30e623}">
          <xlrd:rvb i="284"/>
        </ext>
      </extLst>
    </bk>
    <bk>
      <extLst>
        <ext uri="{3e2802c4-a4d2-4d8b-9148-e3be6c30e623}">
          <xlrd:rvb i="285"/>
        </ext>
      </extLst>
    </bk>
    <bk>
      <extLst>
        <ext uri="{3e2802c4-a4d2-4d8b-9148-e3be6c30e623}">
          <xlrd:rvb i="286"/>
        </ext>
      </extLst>
    </bk>
    <bk>
      <extLst>
        <ext uri="{3e2802c4-a4d2-4d8b-9148-e3be6c30e623}">
          <xlrd:rvb i="287"/>
        </ext>
      </extLst>
    </bk>
    <bk>
      <extLst>
        <ext uri="{3e2802c4-a4d2-4d8b-9148-e3be6c30e623}">
          <xlrd:rvb i="288"/>
        </ext>
      </extLst>
    </bk>
    <bk>
      <extLst>
        <ext uri="{3e2802c4-a4d2-4d8b-9148-e3be6c30e623}">
          <xlrd:rvb i="289"/>
        </ext>
      </extLst>
    </bk>
    <bk>
      <extLst>
        <ext uri="{3e2802c4-a4d2-4d8b-9148-e3be6c30e623}">
          <xlrd:rvb i="290"/>
        </ext>
      </extLst>
    </bk>
    <bk>
      <extLst>
        <ext uri="{3e2802c4-a4d2-4d8b-9148-e3be6c30e623}">
          <xlrd:rvb i="291"/>
        </ext>
      </extLst>
    </bk>
    <bk>
      <extLst>
        <ext uri="{3e2802c4-a4d2-4d8b-9148-e3be6c30e623}">
          <xlrd:rvb i="292"/>
        </ext>
      </extLst>
    </bk>
    <bk>
      <extLst>
        <ext uri="{3e2802c4-a4d2-4d8b-9148-e3be6c30e623}">
          <xlrd:rvb i="293"/>
        </ext>
      </extLst>
    </bk>
    <bk>
      <extLst>
        <ext uri="{3e2802c4-a4d2-4d8b-9148-e3be6c30e623}">
          <xlrd:rvb i="294"/>
        </ext>
      </extLst>
    </bk>
    <bk>
      <extLst>
        <ext uri="{3e2802c4-a4d2-4d8b-9148-e3be6c30e623}">
          <xlrd:rvb i="295"/>
        </ext>
      </extLst>
    </bk>
    <bk>
      <extLst>
        <ext uri="{3e2802c4-a4d2-4d8b-9148-e3be6c30e623}">
          <xlrd:rvb i="296"/>
        </ext>
      </extLst>
    </bk>
    <bk>
      <extLst>
        <ext uri="{3e2802c4-a4d2-4d8b-9148-e3be6c30e623}">
          <xlrd:rvb i="297"/>
        </ext>
      </extLst>
    </bk>
    <bk>
      <extLst>
        <ext uri="{3e2802c4-a4d2-4d8b-9148-e3be6c30e623}">
          <xlrd:rvb i="298"/>
        </ext>
      </extLst>
    </bk>
    <bk>
      <extLst>
        <ext uri="{3e2802c4-a4d2-4d8b-9148-e3be6c30e623}">
          <xlrd:rvb i="299"/>
        </ext>
      </extLst>
    </bk>
    <bk>
      <extLst>
        <ext uri="{3e2802c4-a4d2-4d8b-9148-e3be6c30e623}">
          <xlrd:rvb i="300"/>
        </ext>
      </extLst>
    </bk>
    <bk>
      <extLst>
        <ext uri="{3e2802c4-a4d2-4d8b-9148-e3be6c30e623}">
          <xlrd:rvb i="301"/>
        </ext>
      </extLst>
    </bk>
    <bk>
      <extLst>
        <ext uri="{3e2802c4-a4d2-4d8b-9148-e3be6c30e623}">
          <xlrd:rvb i="302"/>
        </ext>
      </extLst>
    </bk>
    <bk>
      <extLst>
        <ext uri="{3e2802c4-a4d2-4d8b-9148-e3be6c30e623}">
          <xlrd:rvb i="303"/>
        </ext>
      </extLst>
    </bk>
    <bk>
      <extLst>
        <ext uri="{3e2802c4-a4d2-4d8b-9148-e3be6c30e623}">
          <xlrd:rvb i="304"/>
        </ext>
      </extLst>
    </bk>
    <bk>
      <extLst>
        <ext uri="{3e2802c4-a4d2-4d8b-9148-e3be6c30e623}">
          <xlrd:rvb i="305"/>
        </ext>
      </extLst>
    </bk>
    <bk>
      <extLst>
        <ext uri="{3e2802c4-a4d2-4d8b-9148-e3be6c30e623}">
          <xlrd:rvb i="306"/>
        </ext>
      </extLst>
    </bk>
    <bk>
      <extLst>
        <ext uri="{3e2802c4-a4d2-4d8b-9148-e3be6c30e623}">
          <xlrd:rvb i="307"/>
        </ext>
      </extLst>
    </bk>
    <bk>
      <extLst>
        <ext uri="{3e2802c4-a4d2-4d8b-9148-e3be6c30e623}">
          <xlrd:rvb i="308"/>
        </ext>
      </extLst>
    </bk>
    <bk>
      <extLst>
        <ext uri="{3e2802c4-a4d2-4d8b-9148-e3be6c30e623}">
          <xlrd:rvb i="309"/>
        </ext>
      </extLst>
    </bk>
    <bk>
      <extLst>
        <ext uri="{3e2802c4-a4d2-4d8b-9148-e3be6c30e623}">
          <xlrd:rvb i="310"/>
        </ext>
      </extLst>
    </bk>
    <bk>
      <extLst>
        <ext uri="{3e2802c4-a4d2-4d8b-9148-e3be6c30e623}">
          <xlrd:rvb i="311"/>
        </ext>
      </extLst>
    </bk>
    <bk>
      <extLst>
        <ext uri="{3e2802c4-a4d2-4d8b-9148-e3be6c30e623}">
          <xlrd:rvb i="312"/>
        </ext>
      </extLst>
    </bk>
    <bk>
      <extLst>
        <ext uri="{3e2802c4-a4d2-4d8b-9148-e3be6c30e623}">
          <xlrd:rvb i="313"/>
        </ext>
      </extLst>
    </bk>
    <bk>
      <extLst>
        <ext uri="{3e2802c4-a4d2-4d8b-9148-e3be6c30e623}">
          <xlrd:rvb i="314"/>
        </ext>
      </extLst>
    </bk>
    <bk>
      <extLst>
        <ext uri="{3e2802c4-a4d2-4d8b-9148-e3be6c30e623}">
          <xlrd:rvb i="315"/>
        </ext>
      </extLst>
    </bk>
    <bk>
      <extLst>
        <ext uri="{3e2802c4-a4d2-4d8b-9148-e3be6c30e623}">
          <xlrd:rvb i="316"/>
        </ext>
      </extLst>
    </bk>
    <bk>
      <extLst>
        <ext uri="{3e2802c4-a4d2-4d8b-9148-e3be6c30e623}">
          <xlrd:rvb i="317"/>
        </ext>
      </extLst>
    </bk>
    <bk>
      <extLst>
        <ext uri="{3e2802c4-a4d2-4d8b-9148-e3be6c30e623}">
          <xlrd:rvb i="318"/>
        </ext>
      </extLst>
    </bk>
    <bk>
      <extLst>
        <ext uri="{3e2802c4-a4d2-4d8b-9148-e3be6c30e623}">
          <xlrd:rvb i="319"/>
        </ext>
      </extLst>
    </bk>
    <bk>
      <extLst>
        <ext uri="{3e2802c4-a4d2-4d8b-9148-e3be6c30e623}">
          <xlrd:rvb i="320"/>
        </ext>
      </extLst>
    </bk>
    <bk>
      <extLst>
        <ext uri="{3e2802c4-a4d2-4d8b-9148-e3be6c30e623}">
          <xlrd:rvb i="321"/>
        </ext>
      </extLst>
    </bk>
    <bk>
      <extLst>
        <ext uri="{3e2802c4-a4d2-4d8b-9148-e3be6c30e623}">
          <xlrd:rvb i="322"/>
        </ext>
      </extLst>
    </bk>
    <bk>
      <extLst>
        <ext uri="{3e2802c4-a4d2-4d8b-9148-e3be6c30e623}">
          <xlrd:rvb i="323"/>
        </ext>
      </extLst>
    </bk>
    <bk>
      <extLst>
        <ext uri="{3e2802c4-a4d2-4d8b-9148-e3be6c30e623}">
          <xlrd:rvb i="324"/>
        </ext>
      </extLst>
    </bk>
    <bk>
      <extLst>
        <ext uri="{3e2802c4-a4d2-4d8b-9148-e3be6c30e623}">
          <xlrd:rvb i="325"/>
        </ext>
      </extLst>
    </bk>
    <bk>
      <extLst>
        <ext uri="{3e2802c4-a4d2-4d8b-9148-e3be6c30e623}">
          <xlrd:rvb i="326"/>
        </ext>
      </extLst>
    </bk>
    <bk>
      <extLst>
        <ext uri="{3e2802c4-a4d2-4d8b-9148-e3be6c30e623}">
          <xlrd:rvb i="327"/>
        </ext>
      </extLst>
    </bk>
    <bk>
      <extLst>
        <ext uri="{3e2802c4-a4d2-4d8b-9148-e3be6c30e623}">
          <xlrd:rvb i="328"/>
        </ext>
      </extLst>
    </bk>
    <bk>
      <extLst>
        <ext uri="{3e2802c4-a4d2-4d8b-9148-e3be6c30e623}">
          <xlrd:rvb i="329"/>
        </ext>
      </extLst>
    </bk>
    <bk>
      <extLst>
        <ext uri="{3e2802c4-a4d2-4d8b-9148-e3be6c30e623}">
          <xlrd:rvb i="330"/>
        </ext>
      </extLst>
    </bk>
    <bk>
      <extLst>
        <ext uri="{3e2802c4-a4d2-4d8b-9148-e3be6c30e623}">
          <xlrd:rvb i="331"/>
        </ext>
      </extLst>
    </bk>
    <bk>
      <extLst>
        <ext uri="{3e2802c4-a4d2-4d8b-9148-e3be6c30e623}">
          <xlrd:rvb i="332"/>
        </ext>
      </extLst>
    </bk>
    <bk>
      <extLst>
        <ext uri="{3e2802c4-a4d2-4d8b-9148-e3be6c30e623}">
          <xlrd:rvb i="333"/>
        </ext>
      </extLst>
    </bk>
    <bk>
      <extLst>
        <ext uri="{3e2802c4-a4d2-4d8b-9148-e3be6c30e623}">
          <xlrd:rvb i="334"/>
        </ext>
      </extLst>
    </bk>
    <bk>
      <extLst>
        <ext uri="{3e2802c4-a4d2-4d8b-9148-e3be6c30e623}">
          <xlrd:rvb i="335"/>
        </ext>
      </extLst>
    </bk>
    <bk>
      <extLst>
        <ext uri="{3e2802c4-a4d2-4d8b-9148-e3be6c30e623}">
          <xlrd:rvb i="336"/>
        </ext>
      </extLst>
    </bk>
    <bk>
      <extLst>
        <ext uri="{3e2802c4-a4d2-4d8b-9148-e3be6c30e623}">
          <xlrd:rvb i="337"/>
        </ext>
      </extLst>
    </bk>
    <bk>
      <extLst>
        <ext uri="{3e2802c4-a4d2-4d8b-9148-e3be6c30e623}">
          <xlrd:rvb i="338"/>
        </ext>
      </extLst>
    </bk>
    <bk>
      <extLst>
        <ext uri="{3e2802c4-a4d2-4d8b-9148-e3be6c30e623}">
          <xlrd:rvb i="339"/>
        </ext>
      </extLst>
    </bk>
    <bk>
      <extLst>
        <ext uri="{3e2802c4-a4d2-4d8b-9148-e3be6c30e623}">
          <xlrd:rvb i="340"/>
        </ext>
      </extLst>
    </bk>
    <bk>
      <extLst>
        <ext uri="{3e2802c4-a4d2-4d8b-9148-e3be6c30e623}">
          <xlrd:rvb i="341"/>
        </ext>
      </extLst>
    </bk>
    <bk>
      <extLst>
        <ext uri="{3e2802c4-a4d2-4d8b-9148-e3be6c30e623}">
          <xlrd:rvb i="342"/>
        </ext>
      </extLst>
    </bk>
    <bk>
      <extLst>
        <ext uri="{3e2802c4-a4d2-4d8b-9148-e3be6c30e623}">
          <xlrd:rvb i="343"/>
        </ext>
      </extLst>
    </bk>
    <bk>
      <extLst>
        <ext uri="{3e2802c4-a4d2-4d8b-9148-e3be6c30e623}">
          <xlrd:rvb i="344"/>
        </ext>
      </extLst>
    </bk>
    <bk>
      <extLst>
        <ext uri="{3e2802c4-a4d2-4d8b-9148-e3be6c30e623}">
          <xlrd:rvb i="345"/>
        </ext>
      </extLst>
    </bk>
    <bk>
      <extLst>
        <ext uri="{3e2802c4-a4d2-4d8b-9148-e3be6c30e623}">
          <xlrd:rvb i="346"/>
        </ext>
      </extLst>
    </bk>
    <bk>
      <extLst>
        <ext uri="{3e2802c4-a4d2-4d8b-9148-e3be6c30e623}">
          <xlrd:rvb i="347"/>
        </ext>
      </extLst>
    </bk>
    <bk>
      <extLst>
        <ext uri="{3e2802c4-a4d2-4d8b-9148-e3be6c30e623}">
          <xlrd:rvb i="348"/>
        </ext>
      </extLst>
    </bk>
    <bk>
      <extLst>
        <ext uri="{3e2802c4-a4d2-4d8b-9148-e3be6c30e623}">
          <xlrd:rvb i="349"/>
        </ext>
      </extLst>
    </bk>
    <bk>
      <extLst>
        <ext uri="{3e2802c4-a4d2-4d8b-9148-e3be6c30e623}">
          <xlrd:rvb i="350"/>
        </ext>
      </extLst>
    </bk>
    <bk>
      <extLst>
        <ext uri="{3e2802c4-a4d2-4d8b-9148-e3be6c30e623}">
          <xlrd:rvb i="351"/>
        </ext>
      </extLst>
    </bk>
    <bk>
      <extLst>
        <ext uri="{3e2802c4-a4d2-4d8b-9148-e3be6c30e623}">
          <xlrd:rvb i="352"/>
        </ext>
      </extLst>
    </bk>
    <bk>
      <extLst>
        <ext uri="{3e2802c4-a4d2-4d8b-9148-e3be6c30e623}">
          <xlrd:rvb i="353"/>
        </ext>
      </extLst>
    </bk>
    <bk>
      <extLst>
        <ext uri="{3e2802c4-a4d2-4d8b-9148-e3be6c30e623}">
          <xlrd:rvb i="354"/>
        </ext>
      </extLst>
    </bk>
    <bk>
      <extLst>
        <ext uri="{3e2802c4-a4d2-4d8b-9148-e3be6c30e623}">
          <xlrd:rvb i="355"/>
        </ext>
      </extLst>
    </bk>
    <bk>
      <extLst>
        <ext uri="{3e2802c4-a4d2-4d8b-9148-e3be6c30e623}">
          <xlrd:rvb i="356"/>
        </ext>
      </extLst>
    </bk>
    <bk>
      <extLst>
        <ext uri="{3e2802c4-a4d2-4d8b-9148-e3be6c30e623}">
          <xlrd:rvb i="357"/>
        </ext>
      </extLst>
    </bk>
    <bk>
      <extLst>
        <ext uri="{3e2802c4-a4d2-4d8b-9148-e3be6c30e623}">
          <xlrd:rvb i="358"/>
        </ext>
      </extLst>
    </bk>
    <bk>
      <extLst>
        <ext uri="{3e2802c4-a4d2-4d8b-9148-e3be6c30e623}">
          <xlrd:rvb i="359"/>
        </ext>
      </extLst>
    </bk>
    <bk>
      <extLst>
        <ext uri="{3e2802c4-a4d2-4d8b-9148-e3be6c30e623}">
          <xlrd:rvb i="360"/>
        </ext>
      </extLst>
    </bk>
    <bk>
      <extLst>
        <ext uri="{3e2802c4-a4d2-4d8b-9148-e3be6c30e623}">
          <xlrd:rvb i="361"/>
        </ext>
      </extLst>
    </bk>
    <bk>
      <extLst>
        <ext uri="{3e2802c4-a4d2-4d8b-9148-e3be6c30e623}">
          <xlrd:rvb i="362"/>
        </ext>
      </extLst>
    </bk>
    <bk>
      <extLst>
        <ext uri="{3e2802c4-a4d2-4d8b-9148-e3be6c30e623}">
          <xlrd:rvb i="363"/>
        </ext>
      </extLst>
    </bk>
    <bk>
      <extLst>
        <ext uri="{3e2802c4-a4d2-4d8b-9148-e3be6c30e623}">
          <xlrd:rvb i="364"/>
        </ext>
      </extLst>
    </bk>
    <bk>
      <extLst>
        <ext uri="{3e2802c4-a4d2-4d8b-9148-e3be6c30e623}">
          <xlrd:rvb i="365"/>
        </ext>
      </extLst>
    </bk>
    <bk>
      <extLst>
        <ext uri="{3e2802c4-a4d2-4d8b-9148-e3be6c30e623}">
          <xlrd:rvb i="366"/>
        </ext>
      </extLst>
    </bk>
    <bk>
      <extLst>
        <ext uri="{3e2802c4-a4d2-4d8b-9148-e3be6c30e623}">
          <xlrd:rvb i="367"/>
        </ext>
      </extLst>
    </bk>
    <bk>
      <extLst>
        <ext uri="{3e2802c4-a4d2-4d8b-9148-e3be6c30e623}">
          <xlrd:rvb i="368"/>
        </ext>
      </extLst>
    </bk>
    <bk>
      <extLst>
        <ext uri="{3e2802c4-a4d2-4d8b-9148-e3be6c30e623}">
          <xlrd:rvb i="369"/>
        </ext>
      </extLst>
    </bk>
    <bk>
      <extLst>
        <ext uri="{3e2802c4-a4d2-4d8b-9148-e3be6c30e623}">
          <xlrd:rvb i="370"/>
        </ext>
      </extLst>
    </bk>
    <bk>
      <extLst>
        <ext uri="{3e2802c4-a4d2-4d8b-9148-e3be6c30e623}">
          <xlrd:rvb i="371"/>
        </ext>
      </extLst>
    </bk>
    <bk>
      <extLst>
        <ext uri="{3e2802c4-a4d2-4d8b-9148-e3be6c30e623}">
          <xlrd:rvb i="372"/>
        </ext>
      </extLst>
    </bk>
    <bk>
      <extLst>
        <ext uri="{3e2802c4-a4d2-4d8b-9148-e3be6c30e623}">
          <xlrd:rvb i="373"/>
        </ext>
      </extLst>
    </bk>
    <bk>
      <extLst>
        <ext uri="{3e2802c4-a4d2-4d8b-9148-e3be6c30e623}">
          <xlrd:rvb i="374"/>
        </ext>
      </extLst>
    </bk>
    <bk>
      <extLst>
        <ext uri="{3e2802c4-a4d2-4d8b-9148-e3be6c30e623}">
          <xlrd:rvb i="375"/>
        </ext>
      </extLst>
    </bk>
    <bk>
      <extLst>
        <ext uri="{3e2802c4-a4d2-4d8b-9148-e3be6c30e623}">
          <xlrd:rvb i="376"/>
        </ext>
      </extLst>
    </bk>
    <bk>
      <extLst>
        <ext uri="{3e2802c4-a4d2-4d8b-9148-e3be6c30e623}">
          <xlrd:rvb i="377"/>
        </ext>
      </extLst>
    </bk>
    <bk>
      <extLst>
        <ext uri="{3e2802c4-a4d2-4d8b-9148-e3be6c30e623}">
          <xlrd:rvb i="378"/>
        </ext>
      </extLst>
    </bk>
    <bk>
      <extLst>
        <ext uri="{3e2802c4-a4d2-4d8b-9148-e3be6c30e623}">
          <xlrd:rvb i="379"/>
        </ext>
      </extLst>
    </bk>
    <bk>
      <extLst>
        <ext uri="{3e2802c4-a4d2-4d8b-9148-e3be6c30e623}">
          <xlrd:rvb i="380"/>
        </ext>
      </extLst>
    </bk>
    <bk>
      <extLst>
        <ext uri="{3e2802c4-a4d2-4d8b-9148-e3be6c30e623}">
          <xlrd:rvb i="381"/>
        </ext>
      </extLst>
    </bk>
    <bk>
      <extLst>
        <ext uri="{3e2802c4-a4d2-4d8b-9148-e3be6c30e623}">
          <xlrd:rvb i="382"/>
        </ext>
      </extLst>
    </bk>
    <bk>
      <extLst>
        <ext uri="{3e2802c4-a4d2-4d8b-9148-e3be6c30e623}">
          <xlrd:rvb i="383"/>
        </ext>
      </extLst>
    </bk>
    <bk>
      <extLst>
        <ext uri="{3e2802c4-a4d2-4d8b-9148-e3be6c30e623}">
          <xlrd:rvb i="384"/>
        </ext>
      </extLst>
    </bk>
    <bk>
      <extLst>
        <ext uri="{3e2802c4-a4d2-4d8b-9148-e3be6c30e623}">
          <xlrd:rvb i="385"/>
        </ext>
      </extLst>
    </bk>
    <bk>
      <extLst>
        <ext uri="{3e2802c4-a4d2-4d8b-9148-e3be6c30e623}">
          <xlrd:rvb i="386"/>
        </ext>
      </extLst>
    </bk>
    <bk>
      <extLst>
        <ext uri="{3e2802c4-a4d2-4d8b-9148-e3be6c30e623}">
          <xlrd:rvb i="387"/>
        </ext>
      </extLst>
    </bk>
    <bk>
      <extLst>
        <ext uri="{3e2802c4-a4d2-4d8b-9148-e3be6c30e623}">
          <xlrd:rvb i="388"/>
        </ext>
      </extLst>
    </bk>
    <bk>
      <extLst>
        <ext uri="{3e2802c4-a4d2-4d8b-9148-e3be6c30e623}">
          <xlrd:rvb i="389"/>
        </ext>
      </extLst>
    </bk>
    <bk>
      <extLst>
        <ext uri="{3e2802c4-a4d2-4d8b-9148-e3be6c30e623}">
          <xlrd:rvb i="390"/>
        </ext>
      </extLst>
    </bk>
    <bk>
      <extLst>
        <ext uri="{3e2802c4-a4d2-4d8b-9148-e3be6c30e623}">
          <xlrd:rvb i="391"/>
        </ext>
      </extLst>
    </bk>
    <bk>
      <extLst>
        <ext uri="{3e2802c4-a4d2-4d8b-9148-e3be6c30e623}">
          <xlrd:rvb i="392"/>
        </ext>
      </extLst>
    </bk>
    <bk>
      <extLst>
        <ext uri="{3e2802c4-a4d2-4d8b-9148-e3be6c30e623}">
          <xlrd:rvb i="393"/>
        </ext>
      </extLst>
    </bk>
    <bk>
      <extLst>
        <ext uri="{3e2802c4-a4d2-4d8b-9148-e3be6c30e623}">
          <xlrd:rvb i="394"/>
        </ext>
      </extLst>
    </bk>
    <bk>
      <extLst>
        <ext uri="{3e2802c4-a4d2-4d8b-9148-e3be6c30e623}">
          <xlrd:rvb i="395"/>
        </ext>
      </extLst>
    </bk>
    <bk>
      <extLst>
        <ext uri="{3e2802c4-a4d2-4d8b-9148-e3be6c30e623}">
          <xlrd:rvb i="396"/>
        </ext>
      </extLst>
    </bk>
    <bk>
      <extLst>
        <ext uri="{3e2802c4-a4d2-4d8b-9148-e3be6c30e623}">
          <xlrd:rvb i="397"/>
        </ext>
      </extLst>
    </bk>
    <bk>
      <extLst>
        <ext uri="{3e2802c4-a4d2-4d8b-9148-e3be6c30e623}">
          <xlrd:rvb i="398"/>
        </ext>
      </extLst>
    </bk>
    <bk>
      <extLst>
        <ext uri="{3e2802c4-a4d2-4d8b-9148-e3be6c30e623}">
          <xlrd:rvb i="399"/>
        </ext>
      </extLst>
    </bk>
    <bk>
      <extLst>
        <ext uri="{3e2802c4-a4d2-4d8b-9148-e3be6c30e623}">
          <xlrd:rvb i="400"/>
        </ext>
      </extLst>
    </bk>
    <bk>
      <extLst>
        <ext uri="{3e2802c4-a4d2-4d8b-9148-e3be6c30e623}">
          <xlrd:rvb i="401"/>
        </ext>
      </extLst>
    </bk>
    <bk>
      <extLst>
        <ext uri="{3e2802c4-a4d2-4d8b-9148-e3be6c30e623}">
          <xlrd:rvb i="402"/>
        </ext>
      </extLst>
    </bk>
    <bk>
      <extLst>
        <ext uri="{3e2802c4-a4d2-4d8b-9148-e3be6c30e623}">
          <xlrd:rvb i="403"/>
        </ext>
      </extLst>
    </bk>
    <bk>
      <extLst>
        <ext uri="{3e2802c4-a4d2-4d8b-9148-e3be6c30e623}">
          <xlrd:rvb i="404"/>
        </ext>
      </extLst>
    </bk>
    <bk>
      <extLst>
        <ext uri="{3e2802c4-a4d2-4d8b-9148-e3be6c30e623}">
          <xlrd:rvb i="405"/>
        </ext>
      </extLst>
    </bk>
    <bk>
      <extLst>
        <ext uri="{3e2802c4-a4d2-4d8b-9148-e3be6c30e623}">
          <xlrd:rvb i="406"/>
        </ext>
      </extLst>
    </bk>
    <bk>
      <extLst>
        <ext uri="{3e2802c4-a4d2-4d8b-9148-e3be6c30e623}">
          <xlrd:rvb i="407"/>
        </ext>
      </extLst>
    </bk>
    <bk>
      <extLst>
        <ext uri="{3e2802c4-a4d2-4d8b-9148-e3be6c30e623}">
          <xlrd:rvb i="408"/>
        </ext>
      </extLst>
    </bk>
    <bk>
      <extLst>
        <ext uri="{3e2802c4-a4d2-4d8b-9148-e3be6c30e623}">
          <xlrd:rvb i="409"/>
        </ext>
      </extLst>
    </bk>
    <bk>
      <extLst>
        <ext uri="{3e2802c4-a4d2-4d8b-9148-e3be6c30e623}">
          <xlrd:rvb i="410"/>
        </ext>
      </extLst>
    </bk>
    <bk>
      <extLst>
        <ext uri="{3e2802c4-a4d2-4d8b-9148-e3be6c30e623}">
          <xlrd:rvb i="411"/>
        </ext>
      </extLst>
    </bk>
    <bk>
      <extLst>
        <ext uri="{3e2802c4-a4d2-4d8b-9148-e3be6c30e623}">
          <xlrd:rvb i="412"/>
        </ext>
      </extLst>
    </bk>
    <bk>
      <extLst>
        <ext uri="{3e2802c4-a4d2-4d8b-9148-e3be6c30e623}">
          <xlrd:rvb i="413"/>
        </ext>
      </extLst>
    </bk>
    <bk>
      <extLst>
        <ext uri="{3e2802c4-a4d2-4d8b-9148-e3be6c30e623}">
          <xlrd:rvb i="414"/>
        </ext>
      </extLst>
    </bk>
    <bk>
      <extLst>
        <ext uri="{3e2802c4-a4d2-4d8b-9148-e3be6c30e623}">
          <xlrd:rvb i="415"/>
        </ext>
      </extLst>
    </bk>
    <bk>
      <extLst>
        <ext uri="{3e2802c4-a4d2-4d8b-9148-e3be6c30e623}">
          <xlrd:rvb i="416"/>
        </ext>
      </extLst>
    </bk>
    <bk>
      <extLst>
        <ext uri="{3e2802c4-a4d2-4d8b-9148-e3be6c30e623}">
          <xlrd:rvb i="417"/>
        </ext>
      </extLst>
    </bk>
    <bk>
      <extLst>
        <ext uri="{3e2802c4-a4d2-4d8b-9148-e3be6c30e623}">
          <xlrd:rvb i="418"/>
        </ext>
      </extLst>
    </bk>
    <bk>
      <extLst>
        <ext uri="{3e2802c4-a4d2-4d8b-9148-e3be6c30e623}">
          <xlrd:rvb i="419"/>
        </ext>
      </extLst>
    </bk>
    <bk>
      <extLst>
        <ext uri="{3e2802c4-a4d2-4d8b-9148-e3be6c30e623}">
          <xlrd:rvb i="420"/>
        </ext>
      </extLst>
    </bk>
    <bk>
      <extLst>
        <ext uri="{3e2802c4-a4d2-4d8b-9148-e3be6c30e623}">
          <xlrd:rvb i="421"/>
        </ext>
      </extLst>
    </bk>
    <bk>
      <extLst>
        <ext uri="{3e2802c4-a4d2-4d8b-9148-e3be6c30e623}">
          <xlrd:rvb i="422"/>
        </ext>
      </extLst>
    </bk>
    <bk>
      <extLst>
        <ext uri="{3e2802c4-a4d2-4d8b-9148-e3be6c30e623}">
          <xlrd:rvb i="423"/>
        </ext>
      </extLst>
    </bk>
    <bk>
      <extLst>
        <ext uri="{3e2802c4-a4d2-4d8b-9148-e3be6c30e623}">
          <xlrd:rvb i="424"/>
        </ext>
      </extLst>
    </bk>
    <bk>
      <extLst>
        <ext uri="{3e2802c4-a4d2-4d8b-9148-e3be6c30e623}">
          <xlrd:rvb i="425"/>
        </ext>
      </extLst>
    </bk>
    <bk>
      <extLst>
        <ext uri="{3e2802c4-a4d2-4d8b-9148-e3be6c30e623}">
          <xlrd:rvb i="426"/>
        </ext>
      </extLst>
    </bk>
    <bk>
      <extLst>
        <ext uri="{3e2802c4-a4d2-4d8b-9148-e3be6c30e623}">
          <xlrd:rvb i="427"/>
        </ext>
      </extLst>
    </bk>
    <bk>
      <extLst>
        <ext uri="{3e2802c4-a4d2-4d8b-9148-e3be6c30e623}">
          <xlrd:rvb i="428"/>
        </ext>
      </extLst>
    </bk>
    <bk>
      <extLst>
        <ext uri="{3e2802c4-a4d2-4d8b-9148-e3be6c30e623}">
          <xlrd:rvb i="429"/>
        </ext>
      </extLst>
    </bk>
    <bk>
      <extLst>
        <ext uri="{3e2802c4-a4d2-4d8b-9148-e3be6c30e623}">
          <xlrd:rvb i="430"/>
        </ext>
      </extLst>
    </bk>
    <bk>
      <extLst>
        <ext uri="{3e2802c4-a4d2-4d8b-9148-e3be6c30e623}">
          <xlrd:rvb i="431"/>
        </ext>
      </extLst>
    </bk>
    <bk>
      <extLst>
        <ext uri="{3e2802c4-a4d2-4d8b-9148-e3be6c30e623}">
          <xlrd:rvb i="432"/>
        </ext>
      </extLst>
    </bk>
    <bk>
      <extLst>
        <ext uri="{3e2802c4-a4d2-4d8b-9148-e3be6c30e623}">
          <xlrd:rvb i="433"/>
        </ext>
      </extLst>
    </bk>
    <bk>
      <extLst>
        <ext uri="{3e2802c4-a4d2-4d8b-9148-e3be6c30e623}">
          <xlrd:rvb i="434"/>
        </ext>
      </extLst>
    </bk>
    <bk>
      <extLst>
        <ext uri="{3e2802c4-a4d2-4d8b-9148-e3be6c30e623}">
          <xlrd:rvb i="435"/>
        </ext>
      </extLst>
    </bk>
    <bk>
      <extLst>
        <ext uri="{3e2802c4-a4d2-4d8b-9148-e3be6c30e623}">
          <xlrd:rvb i="436"/>
        </ext>
      </extLst>
    </bk>
    <bk>
      <extLst>
        <ext uri="{3e2802c4-a4d2-4d8b-9148-e3be6c30e623}">
          <xlrd:rvb i="437"/>
        </ext>
      </extLst>
    </bk>
    <bk>
      <extLst>
        <ext uri="{3e2802c4-a4d2-4d8b-9148-e3be6c30e623}">
          <xlrd:rvb i="438"/>
        </ext>
      </extLst>
    </bk>
    <bk>
      <extLst>
        <ext uri="{3e2802c4-a4d2-4d8b-9148-e3be6c30e623}">
          <xlrd:rvb i="439"/>
        </ext>
      </extLst>
    </bk>
    <bk>
      <extLst>
        <ext uri="{3e2802c4-a4d2-4d8b-9148-e3be6c30e623}">
          <xlrd:rvb i="440"/>
        </ext>
      </extLst>
    </bk>
    <bk>
      <extLst>
        <ext uri="{3e2802c4-a4d2-4d8b-9148-e3be6c30e623}">
          <xlrd:rvb i="441"/>
        </ext>
      </extLst>
    </bk>
    <bk>
      <extLst>
        <ext uri="{3e2802c4-a4d2-4d8b-9148-e3be6c30e623}">
          <xlrd:rvb i="442"/>
        </ext>
      </extLst>
    </bk>
    <bk>
      <extLst>
        <ext uri="{3e2802c4-a4d2-4d8b-9148-e3be6c30e623}">
          <xlrd:rvb i="443"/>
        </ext>
      </extLst>
    </bk>
    <bk>
      <extLst>
        <ext uri="{3e2802c4-a4d2-4d8b-9148-e3be6c30e623}">
          <xlrd:rvb i="444"/>
        </ext>
      </extLst>
    </bk>
    <bk>
      <extLst>
        <ext uri="{3e2802c4-a4d2-4d8b-9148-e3be6c30e623}">
          <xlrd:rvb i="445"/>
        </ext>
      </extLst>
    </bk>
    <bk>
      <extLst>
        <ext uri="{3e2802c4-a4d2-4d8b-9148-e3be6c30e623}">
          <xlrd:rvb i="446"/>
        </ext>
      </extLst>
    </bk>
    <bk>
      <extLst>
        <ext uri="{3e2802c4-a4d2-4d8b-9148-e3be6c30e623}">
          <xlrd:rvb i="447"/>
        </ext>
      </extLst>
    </bk>
    <bk>
      <extLst>
        <ext uri="{3e2802c4-a4d2-4d8b-9148-e3be6c30e623}">
          <xlrd:rvb i="448"/>
        </ext>
      </extLst>
    </bk>
    <bk>
      <extLst>
        <ext uri="{3e2802c4-a4d2-4d8b-9148-e3be6c30e623}">
          <xlrd:rvb i="449"/>
        </ext>
      </extLst>
    </bk>
    <bk>
      <extLst>
        <ext uri="{3e2802c4-a4d2-4d8b-9148-e3be6c30e623}">
          <xlrd:rvb i="450"/>
        </ext>
      </extLst>
    </bk>
    <bk>
      <extLst>
        <ext uri="{3e2802c4-a4d2-4d8b-9148-e3be6c30e623}">
          <xlrd:rvb i="451"/>
        </ext>
      </extLst>
    </bk>
    <bk>
      <extLst>
        <ext uri="{3e2802c4-a4d2-4d8b-9148-e3be6c30e623}">
          <xlrd:rvb i="452"/>
        </ext>
      </extLst>
    </bk>
    <bk>
      <extLst>
        <ext uri="{3e2802c4-a4d2-4d8b-9148-e3be6c30e623}">
          <xlrd:rvb i="453"/>
        </ext>
      </extLst>
    </bk>
    <bk>
      <extLst>
        <ext uri="{3e2802c4-a4d2-4d8b-9148-e3be6c30e623}">
          <xlrd:rvb i="454"/>
        </ext>
      </extLst>
    </bk>
    <bk>
      <extLst>
        <ext uri="{3e2802c4-a4d2-4d8b-9148-e3be6c30e623}">
          <xlrd:rvb i="455"/>
        </ext>
      </extLst>
    </bk>
    <bk>
      <extLst>
        <ext uri="{3e2802c4-a4d2-4d8b-9148-e3be6c30e623}">
          <xlrd:rvb i="456"/>
        </ext>
      </extLst>
    </bk>
    <bk>
      <extLst>
        <ext uri="{3e2802c4-a4d2-4d8b-9148-e3be6c30e623}">
          <xlrd:rvb i="457"/>
        </ext>
      </extLst>
    </bk>
    <bk>
      <extLst>
        <ext uri="{3e2802c4-a4d2-4d8b-9148-e3be6c30e623}">
          <xlrd:rvb i="458"/>
        </ext>
      </extLst>
    </bk>
    <bk>
      <extLst>
        <ext uri="{3e2802c4-a4d2-4d8b-9148-e3be6c30e623}">
          <xlrd:rvb i="459"/>
        </ext>
      </extLst>
    </bk>
    <bk>
      <extLst>
        <ext uri="{3e2802c4-a4d2-4d8b-9148-e3be6c30e623}">
          <xlrd:rvb i="460"/>
        </ext>
      </extLst>
    </bk>
    <bk>
      <extLst>
        <ext uri="{3e2802c4-a4d2-4d8b-9148-e3be6c30e623}">
          <xlrd:rvb i="461"/>
        </ext>
      </extLst>
    </bk>
    <bk>
      <extLst>
        <ext uri="{3e2802c4-a4d2-4d8b-9148-e3be6c30e623}">
          <xlrd:rvb i="462"/>
        </ext>
      </extLst>
    </bk>
    <bk>
      <extLst>
        <ext uri="{3e2802c4-a4d2-4d8b-9148-e3be6c30e623}">
          <xlrd:rvb i="463"/>
        </ext>
      </extLst>
    </bk>
    <bk>
      <extLst>
        <ext uri="{3e2802c4-a4d2-4d8b-9148-e3be6c30e623}">
          <xlrd:rvb i="464"/>
        </ext>
      </extLst>
    </bk>
    <bk>
      <extLst>
        <ext uri="{3e2802c4-a4d2-4d8b-9148-e3be6c30e623}">
          <xlrd:rvb i="465"/>
        </ext>
      </extLst>
    </bk>
    <bk>
      <extLst>
        <ext uri="{3e2802c4-a4d2-4d8b-9148-e3be6c30e623}">
          <xlrd:rvb i="466"/>
        </ext>
      </extLst>
    </bk>
    <bk>
      <extLst>
        <ext uri="{3e2802c4-a4d2-4d8b-9148-e3be6c30e623}">
          <xlrd:rvb i="467"/>
        </ext>
      </extLst>
    </bk>
    <bk>
      <extLst>
        <ext uri="{3e2802c4-a4d2-4d8b-9148-e3be6c30e623}">
          <xlrd:rvb i="468"/>
        </ext>
      </extLst>
    </bk>
    <bk>
      <extLst>
        <ext uri="{3e2802c4-a4d2-4d8b-9148-e3be6c30e623}">
          <xlrd:rvb i="469"/>
        </ext>
      </extLst>
    </bk>
    <bk>
      <extLst>
        <ext uri="{3e2802c4-a4d2-4d8b-9148-e3be6c30e623}">
          <xlrd:rvb i="470"/>
        </ext>
      </extLst>
    </bk>
    <bk>
      <extLst>
        <ext uri="{3e2802c4-a4d2-4d8b-9148-e3be6c30e623}">
          <xlrd:rvb i="471"/>
        </ext>
      </extLst>
    </bk>
    <bk>
      <extLst>
        <ext uri="{3e2802c4-a4d2-4d8b-9148-e3be6c30e623}">
          <xlrd:rvb i="472"/>
        </ext>
      </extLst>
    </bk>
    <bk>
      <extLst>
        <ext uri="{3e2802c4-a4d2-4d8b-9148-e3be6c30e623}">
          <xlrd:rvb i="473"/>
        </ext>
      </extLst>
    </bk>
    <bk>
      <extLst>
        <ext uri="{3e2802c4-a4d2-4d8b-9148-e3be6c30e623}">
          <xlrd:rvb i="474"/>
        </ext>
      </extLst>
    </bk>
    <bk>
      <extLst>
        <ext uri="{3e2802c4-a4d2-4d8b-9148-e3be6c30e623}">
          <xlrd:rvb i="475"/>
        </ext>
      </extLst>
    </bk>
    <bk>
      <extLst>
        <ext uri="{3e2802c4-a4d2-4d8b-9148-e3be6c30e623}">
          <xlrd:rvb i="476"/>
        </ext>
      </extLst>
    </bk>
    <bk>
      <extLst>
        <ext uri="{3e2802c4-a4d2-4d8b-9148-e3be6c30e623}">
          <xlrd:rvb i="477"/>
        </ext>
      </extLst>
    </bk>
    <bk>
      <extLst>
        <ext uri="{3e2802c4-a4d2-4d8b-9148-e3be6c30e623}">
          <xlrd:rvb i="478"/>
        </ext>
      </extLst>
    </bk>
    <bk>
      <extLst>
        <ext uri="{3e2802c4-a4d2-4d8b-9148-e3be6c30e623}">
          <xlrd:rvb i="479"/>
        </ext>
      </extLst>
    </bk>
    <bk>
      <extLst>
        <ext uri="{3e2802c4-a4d2-4d8b-9148-e3be6c30e623}">
          <xlrd:rvb i="480"/>
        </ext>
      </extLst>
    </bk>
    <bk>
      <extLst>
        <ext uri="{3e2802c4-a4d2-4d8b-9148-e3be6c30e623}">
          <xlrd:rvb i="481"/>
        </ext>
      </extLst>
    </bk>
    <bk>
      <extLst>
        <ext uri="{3e2802c4-a4d2-4d8b-9148-e3be6c30e623}">
          <xlrd:rvb i="482"/>
        </ext>
      </extLst>
    </bk>
    <bk>
      <extLst>
        <ext uri="{3e2802c4-a4d2-4d8b-9148-e3be6c30e623}">
          <xlrd:rvb i="483"/>
        </ext>
      </extLst>
    </bk>
    <bk>
      <extLst>
        <ext uri="{3e2802c4-a4d2-4d8b-9148-e3be6c30e623}">
          <xlrd:rvb i="484"/>
        </ext>
      </extLst>
    </bk>
    <bk>
      <extLst>
        <ext uri="{3e2802c4-a4d2-4d8b-9148-e3be6c30e623}">
          <xlrd:rvb i="485"/>
        </ext>
      </extLst>
    </bk>
    <bk>
      <extLst>
        <ext uri="{3e2802c4-a4d2-4d8b-9148-e3be6c30e623}">
          <xlrd:rvb i="486"/>
        </ext>
      </extLst>
    </bk>
    <bk>
      <extLst>
        <ext uri="{3e2802c4-a4d2-4d8b-9148-e3be6c30e623}">
          <xlrd:rvb i="487"/>
        </ext>
      </extLst>
    </bk>
    <bk>
      <extLst>
        <ext uri="{3e2802c4-a4d2-4d8b-9148-e3be6c30e623}">
          <xlrd:rvb i="488"/>
        </ext>
      </extLst>
    </bk>
    <bk>
      <extLst>
        <ext uri="{3e2802c4-a4d2-4d8b-9148-e3be6c30e623}">
          <xlrd:rvb i="489"/>
        </ext>
      </extLst>
    </bk>
    <bk>
      <extLst>
        <ext uri="{3e2802c4-a4d2-4d8b-9148-e3be6c30e623}">
          <xlrd:rvb i="490"/>
        </ext>
      </extLst>
    </bk>
    <bk>
      <extLst>
        <ext uri="{3e2802c4-a4d2-4d8b-9148-e3be6c30e623}">
          <xlrd:rvb i="491"/>
        </ext>
      </extLst>
    </bk>
    <bk>
      <extLst>
        <ext uri="{3e2802c4-a4d2-4d8b-9148-e3be6c30e623}">
          <xlrd:rvb i="492"/>
        </ext>
      </extLst>
    </bk>
    <bk>
      <extLst>
        <ext uri="{3e2802c4-a4d2-4d8b-9148-e3be6c30e623}">
          <xlrd:rvb i="493"/>
        </ext>
      </extLst>
    </bk>
    <bk>
      <extLst>
        <ext uri="{3e2802c4-a4d2-4d8b-9148-e3be6c30e623}">
          <xlrd:rvb i="494"/>
        </ext>
      </extLst>
    </bk>
    <bk>
      <extLst>
        <ext uri="{3e2802c4-a4d2-4d8b-9148-e3be6c30e623}">
          <xlrd:rvb i="495"/>
        </ext>
      </extLst>
    </bk>
    <bk>
      <extLst>
        <ext uri="{3e2802c4-a4d2-4d8b-9148-e3be6c30e623}">
          <xlrd:rvb i="496"/>
        </ext>
      </extLst>
    </bk>
    <bk>
      <extLst>
        <ext uri="{3e2802c4-a4d2-4d8b-9148-e3be6c30e623}">
          <xlrd:rvb i="497"/>
        </ext>
      </extLst>
    </bk>
    <bk>
      <extLst>
        <ext uri="{3e2802c4-a4d2-4d8b-9148-e3be6c30e623}">
          <xlrd:rvb i="498"/>
        </ext>
      </extLst>
    </bk>
    <bk>
      <extLst>
        <ext uri="{3e2802c4-a4d2-4d8b-9148-e3be6c30e623}">
          <xlrd:rvb i="499"/>
        </ext>
      </extLst>
    </bk>
    <bk>
      <extLst>
        <ext uri="{3e2802c4-a4d2-4d8b-9148-e3be6c30e623}">
          <xlrd:rvb i="500"/>
        </ext>
      </extLst>
    </bk>
    <bk>
      <extLst>
        <ext uri="{3e2802c4-a4d2-4d8b-9148-e3be6c30e623}">
          <xlrd:rvb i="501"/>
        </ext>
      </extLst>
    </bk>
    <bk>
      <extLst>
        <ext uri="{3e2802c4-a4d2-4d8b-9148-e3be6c30e623}">
          <xlrd:rvb i="502"/>
        </ext>
      </extLst>
    </bk>
    <bk>
      <extLst>
        <ext uri="{3e2802c4-a4d2-4d8b-9148-e3be6c30e623}">
          <xlrd:rvb i="503"/>
        </ext>
      </extLst>
    </bk>
    <bk>
      <extLst>
        <ext uri="{3e2802c4-a4d2-4d8b-9148-e3be6c30e623}">
          <xlrd:rvb i="504"/>
        </ext>
      </extLst>
    </bk>
    <bk>
      <extLst>
        <ext uri="{3e2802c4-a4d2-4d8b-9148-e3be6c30e623}">
          <xlrd:rvb i="505"/>
        </ext>
      </extLst>
    </bk>
    <bk>
      <extLst>
        <ext uri="{3e2802c4-a4d2-4d8b-9148-e3be6c30e623}">
          <xlrd:rvb i="506"/>
        </ext>
      </extLst>
    </bk>
    <bk>
      <extLst>
        <ext uri="{3e2802c4-a4d2-4d8b-9148-e3be6c30e623}">
          <xlrd:rvb i="507"/>
        </ext>
      </extLst>
    </bk>
    <bk>
      <extLst>
        <ext uri="{3e2802c4-a4d2-4d8b-9148-e3be6c30e623}">
          <xlrd:rvb i="508"/>
        </ext>
      </extLst>
    </bk>
    <bk>
      <extLst>
        <ext uri="{3e2802c4-a4d2-4d8b-9148-e3be6c30e623}">
          <xlrd:rvb i="509"/>
        </ext>
      </extLst>
    </bk>
    <bk>
      <extLst>
        <ext uri="{3e2802c4-a4d2-4d8b-9148-e3be6c30e623}">
          <xlrd:rvb i="510"/>
        </ext>
      </extLst>
    </bk>
    <bk>
      <extLst>
        <ext uri="{3e2802c4-a4d2-4d8b-9148-e3be6c30e623}">
          <xlrd:rvb i="511"/>
        </ext>
      </extLst>
    </bk>
    <bk>
      <extLst>
        <ext uri="{3e2802c4-a4d2-4d8b-9148-e3be6c30e623}">
          <xlrd:rvb i="512"/>
        </ext>
      </extLst>
    </bk>
    <bk>
      <extLst>
        <ext uri="{3e2802c4-a4d2-4d8b-9148-e3be6c30e623}">
          <xlrd:rvb i="513"/>
        </ext>
      </extLst>
    </bk>
    <bk>
      <extLst>
        <ext uri="{3e2802c4-a4d2-4d8b-9148-e3be6c30e623}">
          <xlrd:rvb i="514"/>
        </ext>
      </extLst>
    </bk>
    <bk>
      <extLst>
        <ext uri="{3e2802c4-a4d2-4d8b-9148-e3be6c30e623}">
          <xlrd:rvb i="515"/>
        </ext>
      </extLst>
    </bk>
    <bk>
      <extLst>
        <ext uri="{3e2802c4-a4d2-4d8b-9148-e3be6c30e623}">
          <xlrd:rvb i="516"/>
        </ext>
      </extLst>
    </bk>
    <bk>
      <extLst>
        <ext uri="{3e2802c4-a4d2-4d8b-9148-e3be6c30e623}">
          <xlrd:rvb i="517"/>
        </ext>
      </extLst>
    </bk>
    <bk>
      <extLst>
        <ext uri="{3e2802c4-a4d2-4d8b-9148-e3be6c30e623}">
          <xlrd:rvb i="518"/>
        </ext>
      </extLst>
    </bk>
    <bk>
      <extLst>
        <ext uri="{3e2802c4-a4d2-4d8b-9148-e3be6c30e623}">
          <xlrd:rvb i="519"/>
        </ext>
      </extLst>
    </bk>
    <bk>
      <extLst>
        <ext uri="{3e2802c4-a4d2-4d8b-9148-e3be6c30e623}">
          <xlrd:rvb i="520"/>
        </ext>
      </extLst>
    </bk>
    <bk>
      <extLst>
        <ext uri="{3e2802c4-a4d2-4d8b-9148-e3be6c30e623}">
          <xlrd:rvb i="521"/>
        </ext>
      </extLst>
    </bk>
    <bk>
      <extLst>
        <ext uri="{3e2802c4-a4d2-4d8b-9148-e3be6c30e623}">
          <xlrd:rvb i="522"/>
        </ext>
      </extLst>
    </bk>
    <bk>
      <extLst>
        <ext uri="{3e2802c4-a4d2-4d8b-9148-e3be6c30e623}">
          <xlrd:rvb i="523"/>
        </ext>
      </extLst>
    </bk>
    <bk>
      <extLst>
        <ext uri="{3e2802c4-a4d2-4d8b-9148-e3be6c30e623}">
          <xlrd:rvb i="524"/>
        </ext>
      </extLst>
    </bk>
    <bk>
      <extLst>
        <ext uri="{3e2802c4-a4d2-4d8b-9148-e3be6c30e623}">
          <xlrd:rvb i="525"/>
        </ext>
      </extLst>
    </bk>
    <bk>
      <extLst>
        <ext uri="{3e2802c4-a4d2-4d8b-9148-e3be6c30e623}">
          <xlrd:rvb i="526"/>
        </ext>
      </extLst>
    </bk>
    <bk>
      <extLst>
        <ext uri="{3e2802c4-a4d2-4d8b-9148-e3be6c30e623}">
          <xlrd:rvb i="527"/>
        </ext>
      </extLst>
    </bk>
    <bk>
      <extLst>
        <ext uri="{3e2802c4-a4d2-4d8b-9148-e3be6c30e623}">
          <xlrd:rvb i="528"/>
        </ext>
      </extLst>
    </bk>
    <bk>
      <extLst>
        <ext uri="{3e2802c4-a4d2-4d8b-9148-e3be6c30e623}">
          <xlrd:rvb i="529"/>
        </ext>
      </extLst>
    </bk>
    <bk>
      <extLst>
        <ext uri="{3e2802c4-a4d2-4d8b-9148-e3be6c30e623}">
          <xlrd:rvb i="530"/>
        </ext>
      </extLst>
    </bk>
    <bk>
      <extLst>
        <ext uri="{3e2802c4-a4d2-4d8b-9148-e3be6c30e623}">
          <xlrd:rvb i="531"/>
        </ext>
      </extLst>
    </bk>
    <bk>
      <extLst>
        <ext uri="{3e2802c4-a4d2-4d8b-9148-e3be6c30e623}">
          <xlrd:rvb i="532"/>
        </ext>
      </extLst>
    </bk>
    <bk>
      <extLst>
        <ext uri="{3e2802c4-a4d2-4d8b-9148-e3be6c30e623}">
          <xlrd:rvb i="533"/>
        </ext>
      </extLst>
    </bk>
    <bk>
      <extLst>
        <ext uri="{3e2802c4-a4d2-4d8b-9148-e3be6c30e623}">
          <xlrd:rvb i="534"/>
        </ext>
      </extLst>
    </bk>
    <bk>
      <extLst>
        <ext uri="{3e2802c4-a4d2-4d8b-9148-e3be6c30e623}">
          <xlrd:rvb i="535"/>
        </ext>
      </extLst>
    </bk>
    <bk>
      <extLst>
        <ext uri="{3e2802c4-a4d2-4d8b-9148-e3be6c30e623}">
          <xlrd:rvb i="536"/>
        </ext>
      </extLst>
    </bk>
    <bk>
      <extLst>
        <ext uri="{3e2802c4-a4d2-4d8b-9148-e3be6c30e623}">
          <xlrd:rvb i="537"/>
        </ext>
      </extLst>
    </bk>
    <bk>
      <extLst>
        <ext uri="{3e2802c4-a4d2-4d8b-9148-e3be6c30e623}">
          <xlrd:rvb i="538"/>
        </ext>
      </extLst>
    </bk>
    <bk>
      <extLst>
        <ext uri="{3e2802c4-a4d2-4d8b-9148-e3be6c30e623}">
          <xlrd:rvb i="539"/>
        </ext>
      </extLst>
    </bk>
    <bk>
      <extLst>
        <ext uri="{3e2802c4-a4d2-4d8b-9148-e3be6c30e623}">
          <xlrd:rvb i="540"/>
        </ext>
      </extLst>
    </bk>
    <bk>
      <extLst>
        <ext uri="{3e2802c4-a4d2-4d8b-9148-e3be6c30e623}">
          <xlrd:rvb i="541"/>
        </ext>
      </extLst>
    </bk>
    <bk>
      <extLst>
        <ext uri="{3e2802c4-a4d2-4d8b-9148-e3be6c30e623}">
          <xlrd:rvb i="542"/>
        </ext>
      </extLst>
    </bk>
    <bk>
      <extLst>
        <ext uri="{3e2802c4-a4d2-4d8b-9148-e3be6c30e623}">
          <xlrd:rvb i="543"/>
        </ext>
      </extLst>
    </bk>
    <bk>
      <extLst>
        <ext uri="{3e2802c4-a4d2-4d8b-9148-e3be6c30e623}">
          <xlrd:rvb i="544"/>
        </ext>
      </extLst>
    </bk>
    <bk>
      <extLst>
        <ext uri="{3e2802c4-a4d2-4d8b-9148-e3be6c30e623}">
          <xlrd:rvb i="545"/>
        </ext>
      </extLst>
    </bk>
    <bk>
      <extLst>
        <ext uri="{3e2802c4-a4d2-4d8b-9148-e3be6c30e623}">
          <xlrd:rvb i="546"/>
        </ext>
      </extLst>
    </bk>
    <bk>
      <extLst>
        <ext uri="{3e2802c4-a4d2-4d8b-9148-e3be6c30e623}">
          <xlrd:rvb i="547"/>
        </ext>
      </extLst>
    </bk>
    <bk>
      <extLst>
        <ext uri="{3e2802c4-a4d2-4d8b-9148-e3be6c30e623}">
          <xlrd:rvb i="548"/>
        </ext>
      </extLst>
    </bk>
    <bk>
      <extLst>
        <ext uri="{3e2802c4-a4d2-4d8b-9148-e3be6c30e623}">
          <xlrd:rvb i="549"/>
        </ext>
      </extLst>
    </bk>
    <bk>
      <extLst>
        <ext uri="{3e2802c4-a4d2-4d8b-9148-e3be6c30e623}">
          <xlrd:rvb i="550"/>
        </ext>
      </extLst>
    </bk>
    <bk>
      <extLst>
        <ext uri="{3e2802c4-a4d2-4d8b-9148-e3be6c30e623}">
          <xlrd:rvb i="551"/>
        </ext>
      </extLst>
    </bk>
    <bk>
      <extLst>
        <ext uri="{3e2802c4-a4d2-4d8b-9148-e3be6c30e623}">
          <xlrd:rvb i="552"/>
        </ext>
      </extLst>
    </bk>
    <bk>
      <extLst>
        <ext uri="{3e2802c4-a4d2-4d8b-9148-e3be6c30e623}">
          <xlrd:rvb i="553"/>
        </ext>
      </extLst>
    </bk>
    <bk>
      <extLst>
        <ext uri="{3e2802c4-a4d2-4d8b-9148-e3be6c30e623}">
          <xlrd:rvb i="554"/>
        </ext>
      </extLst>
    </bk>
    <bk>
      <extLst>
        <ext uri="{3e2802c4-a4d2-4d8b-9148-e3be6c30e623}">
          <xlrd:rvb i="555"/>
        </ext>
      </extLst>
    </bk>
    <bk>
      <extLst>
        <ext uri="{3e2802c4-a4d2-4d8b-9148-e3be6c30e623}">
          <xlrd:rvb i="556"/>
        </ext>
      </extLst>
    </bk>
    <bk>
      <extLst>
        <ext uri="{3e2802c4-a4d2-4d8b-9148-e3be6c30e623}">
          <xlrd:rvb i="557"/>
        </ext>
      </extLst>
    </bk>
    <bk>
      <extLst>
        <ext uri="{3e2802c4-a4d2-4d8b-9148-e3be6c30e623}">
          <xlrd:rvb i="558"/>
        </ext>
      </extLst>
    </bk>
    <bk>
      <extLst>
        <ext uri="{3e2802c4-a4d2-4d8b-9148-e3be6c30e623}">
          <xlrd:rvb i="559"/>
        </ext>
      </extLst>
    </bk>
    <bk>
      <extLst>
        <ext uri="{3e2802c4-a4d2-4d8b-9148-e3be6c30e623}">
          <xlrd:rvb i="560"/>
        </ext>
      </extLst>
    </bk>
    <bk>
      <extLst>
        <ext uri="{3e2802c4-a4d2-4d8b-9148-e3be6c30e623}">
          <xlrd:rvb i="561"/>
        </ext>
      </extLst>
    </bk>
    <bk>
      <extLst>
        <ext uri="{3e2802c4-a4d2-4d8b-9148-e3be6c30e623}">
          <xlrd:rvb i="562"/>
        </ext>
      </extLst>
    </bk>
    <bk>
      <extLst>
        <ext uri="{3e2802c4-a4d2-4d8b-9148-e3be6c30e623}">
          <xlrd:rvb i="563"/>
        </ext>
      </extLst>
    </bk>
    <bk>
      <extLst>
        <ext uri="{3e2802c4-a4d2-4d8b-9148-e3be6c30e623}">
          <xlrd:rvb i="564"/>
        </ext>
      </extLst>
    </bk>
    <bk>
      <extLst>
        <ext uri="{3e2802c4-a4d2-4d8b-9148-e3be6c30e623}">
          <xlrd:rvb i="565"/>
        </ext>
      </extLst>
    </bk>
    <bk>
      <extLst>
        <ext uri="{3e2802c4-a4d2-4d8b-9148-e3be6c30e623}">
          <xlrd:rvb i="566"/>
        </ext>
      </extLst>
    </bk>
    <bk>
      <extLst>
        <ext uri="{3e2802c4-a4d2-4d8b-9148-e3be6c30e623}">
          <xlrd:rvb i="567"/>
        </ext>
      </extLst>
    </bk>
    <bk>
      <extLst>
        <ext uri="{3e2802c4-a4d2-4d8b-9148-e3be6c30e623}">
          <xlrd:rvb i="568"/>
        </ext>
      </extLst>
    </bk>
    <bk>
      <extLst>
        <ext uri="{3e2802c4-a4d2-4d8b-9148-e3be6c30e623}">
          <xlrd:rvb i="569"/>
        </ext>
      </extLst>
    </bk>
    <bk>
      <extLst>
        <ext uri="{3e2802c4-a4d2-4d8b-9148-e3be6c30e623}">
          <xlrd:rvb i="570"/>
        </ext>
      </extLst>
    </bk>
    <bk>
      <extLst>
        <ext uri="{3e2802c4-a4d2-4d8b-9148-e3be6c30e623}">
          <xlrd:rvb i="571"/>
        </ext>
      </extLst>
    </bk>
    <bk>
      <extLst>
        <ext uri="{3e2802c4-a4d2-4d8b-9148-e3be6c30e623}">
          <xlrd:rvb i="572"/>
        </ext>
      </extLst>
    </bk>
    <bk>
      <extLst>
        <ext uri="{3e2802c4-a4d2-4d8b-9148-e3be6c30e623}">
          <xlrd:rvb i="573"/>
        </ext>
      </extLst>
    </bk>
    <bk>
      <extLst>
        <ext uri="{3e2802c4-a4d2-4d8b-9148-e3be6c30e623}">
          <xlrd:rvb i="574"/>
        </ext>
      </extLst>
    </bk>
    <bk>
      <extLst>
        <ext uri="{3e2802c4-a4d2-4d8b-9148-e3be6c30e623}">
          <xlrd:rvb i="575"/>
        </ext>
      </extLst>
    </bk>
    <bk>
      <extLst>
        <ext uri="{3e2802c4-a4d2-4d8b-9148-e3be6c30e623}">
          <xlrd:rvb i="576"/>
        </ext>
      </extLst>
    </bk>
    <bk>
      <extLst>
        <ext uri="{3e2802c4-a4d2-4d8b-9148-e3be6c30e623}">
          <xlrd:rvb i="577"/>
        </ext>
      </extLst>
    </bk>
    <bk>
      <extLst>
        <ext uri="{3e2802c4-a4d2-4d8b-9148-e3be6c30e623}">
          <xlrd:rvb i="578"/>
        </ext>
      </extLst>
    </bk>
    <bk>
      <extLst>
        <ext uri="{3e2802c4-a4d2-4d8b-9148-e3be6c30e623}">
          <xlrd:rvb i="579"/>
        </ext>
      </extLst>
    </bk>
    <bk>
      <extLst>
        <ext uri="{3e2802c4-a4d2-4d8b-9148-e3be6c30e623}">
          <xlrd:rvb i="580"/>
        </ext>
      </extLst>
    </bk>
    <bk>
      <extLst>
        <ext uri="{3e2802c4-a4d2-4d8b-9148-e3be6c30e623}">
          <xlrd:rvb i="581"/>
        </ext>
      </extLst>
    </bk>
    <bk>
      <extLst>
        <ext uri="{3e2802c4-a4d2-4d8b-9148-e3be6c30e623}">
          <xlrd:rvb i="582"/>
        </ext>
      </extLst>
    </bk>
    <bk>
      <extLst>
        <ext uri="{3e2802c4-a4d2-4d8b-9148-e3be6c30e623}">
          <xlrd:rvb i="583"/>
        </ext>
      </extLst>
    </bk>
    <bk>
      <extLst>
        <ext uri="{3e2802c4-a4d2-4d8b-9148-e3be6c30e623}">
          <xlrd:rvb i="584"/>
        </ext>
      </extLst>
    </bk>
    <bk>
      <extLst>
        <ext uri="{3e2802c4-a4d2-4d8b-9148-e3be6c30e623}">
          <xlrd:rvb i="585"/>
        </ext>
      </extLst>
    </bk>
    <bk>
      <extLst>
        <ext uri="{3e2802c4-a4d2-4d8b-9148-e3be6c30e623}">
          <xlrd:rvb i="586"/>
        </ext>
      </extLst>
    </bk>
    <bk>
      <extLst>
        <ext uri="{3e2802c4-a4d2-4d8b-9148-e3be6c30e623}">
          <xlrd:rvb i="587"/>
        </ext>
      </extLst>
    </bk>
    <bk>
      <extLst>
        <ext uri="{3e2802c4-a4d2-4d8b-9148-e3be6c30e623}">
          <xlrd:rvb i="588"/>
        </ext>
      </extLst>
    </bk>
    <bk>
      <extLst>
        <ext uri="{3e2802c4-a4d2-4d8b-9148-e3be6c30e623}">
          <xlrd:rvb i="589"/>
        </ext>
      </extLst>
    </bk>
    <bk>
      <extLst>
        <ext uri="{3e2802c4-a4d2-4d8b-9148-e3be6c30e623}">
          <xlrd:rvb i="590"/>
        </ext>
      </extLst>
    </bk>
    <bk>
      <extLst>
        <ext uri="{3e2802c4-a4d2-4d8b-9148-e3be6c30e623}">
          <xlrd:rvb i="591"/>
        </ext>
      </extLst>
    </bk>
    <bk>
      <extLst>
        <ext uri="{3e2802c4-a4d2-4d8b-9148-e3be6c30e623}">
          <xlrd:rvb i="592"/>
        </ext>
      </extLst>
    </bk>
    <bk>
      <extLst>
        <ext uri="{3e2802c4-a4d2-4d8b-9148-e3be6c30e623}">
          <xlrd:rvb i="593"/>
        </ext>
      </extLst>
    </bk>
    <bk>
      <extLst>
        <ext uri="{3e2802c4-a4d2-4d8b-9148-e3be6c30e623}">
          <xlrd:rvb i="594"/>
        </ext>
      </extLst>
    </bk>
    <bk>
      <extLst>
        <ext uri="{3e2802c4-a4d2-4d8b-9148-e3be6c30e623}">
          <xlrd:rvb i="595"/>
        </ext>
      </extLst>
    </bk>
    <bk>
      <extLst>
        <ext uri="{3e2802c4-a4d2-4d8b-9148-e3be6c30e623}">
          <xlrd:rvb i="596"/>
        </ext>
      </extLst>
    </bk>
    <bk>
      <extLst>
        <ext uri="{3e2802c4-a4d2-4d8b-9148-e3be6c30e623}">
          <xlrd:rvb i="597"/>
        </ext>
      </extLst>
    </bk>
    <bk>
      <extLst>
        <ext uri="{3e2802c4-a4d2-4d8b-9148-e3be6c30e623}">
          <xlrd:rvb i="598"/>
        </ext>
      </extLst>
    </bk>
    <bk>
      <extLst>
        <ext uri="{3e2802c4-a4d2-4d8b-9148-e3be6c30e623}">
          <xlrd:rvb i="599"/>
        </ext>
      </extLst>
    </bk>
    <bk>
      <extLst>
        <ext uri="{3e2802c4-a4d2-4d8b-9148-e3be6c30e623}">
          <xlrd:rvb i="600"/>
        </ext>
      </extLst>
    </bk>
    <bk>
      <extLst>
        <ext uri="{3e2802c4-a4d2-4d8b-9148-e3be6c30e623}">
          <xlrd:rvb i="601"/>
        </ext>
      </extLst>
    </bk>
    <bk>
      <extLst>
        <ext uri="{3e2802c4-a4d2-4d8b-9148-e3be6c30e623}">
          <xlrd:rvb i="602"/>
        </ext>
      </extLst>
    </bk>
    <bk>
      <extLst>
        <ext uri="{3e2802c4-a4d2-4d8b-9148-e3be6c30e623}">
          <xlrd:rvb i="603"/>
        </ext>
      </extLst>
    </bk>
    <bk>
      <extLst>
        <ext uri="{3e2802c4-a4d2-4d8b-9148-e3be6c30e623}">
          <xlrd:rvb i="604"/>
        </ext>
      </extLst>
    </bk>
    <bk>
      <extLst>
        <ext uri="{3e2802c4-a4d2-4d8b-9148-e3be6c30e623}">
          <xlrd:rvb i="605"/>
        </ext>
      </extLst>
    </bk>
    <bk>
      <extLst>
        <ext uri="{3e2802c4-a4d2-4d8b-9148-e3be6c30e623}">
          <xlrd:rvb i="606"/>
        </ext>
      </extLst>
    </bk>
    <bk>
      <extLst>
        <ext uri="{3e2802c4-a4d2-4d8b-9148-e3be6c30e623}">
          <xlrd:rvb i="607"/>
        </ext>
      </extLst>
    </bk>
    <bk>
      <extLst>
        <ext uri="{3e2802c4-a4d2-4d8b-9148-e3be6c30e623}">
          <xlrd:rvb i="608"/>
        </ext>
      </extLst>
    </bk>
    <bk>
      <extLst>
        <ext uri="{3e2802c4-a4d2-4d8b-9148-e3be6c30e623}">
          <xlrd:rvb i="609"/>
        </ext>
      </extLst>
    </bk>
    <bk>
      <extLst>
        <ext uri="{3e2802c4-a4d2-4d8b-9148-e3be6c30e623}">
          <xlrd:rvb i="610"/>
        </ext>
      </extLst>
    </bk>
    <bk>
      <extLst>
        <ext uri="{3e2802c4-a4d2-4d8b-9148-e3be6c30e623}">
          <xlrd:rvb i="611"/>
        </ext>
      </extLst>
    </bk>
    <bk>
      <extLst>
        <ext uri="{3e2802c4-a4d2-4d8b-9148-e3be6c30e623}">
          <xlrd:rvb i="612"/>
        </ext>
      </extLst>
    </bk>
    <bk>
      <extLst>
        <ext uri="{3e2802c4-a4d2-4d8b-9148-e3be6c30e623}">
          <xlrd:rvb i="613"/>
        </ext>
      </extLst>
    </bk>
    <bk>
      <extLst>
        <ext uri="{3e2802c4-a4d2-4d8b-9148-e3be6c30e623}">
          <xlrd:rvb i="614"/>
        </ext>
      </extLst>
    </bk>
    <bk>
      <extLst>
        <ext uri="{3e2802c4-a4d2-4d8b-9148-e3be6c30e623}">
          <xlrd:rvb i="615"/>
        </ext>
      </extLst>
    </bk>
    <bk>
      <extLst>
        <ext uri="{3e2802c4-a4d2-4d8b-9148-e3be6c30e623}">
          <xlrd:rvb i="616"/>
        </ext>
      </extLst>
    </bk>
    <bk>
      <extLst>
        <ext uri="{3e2802c4-a4d2-4d8b-9148-e3be6c30e623}">
          <xlrd:rvb i="617"/>
        </ext>
      </extLst>
    </bk>
    <bk>
      <extLst>
        <ext uri="{3e2802c4-a4d2-4d8b-9148-e3be6c30e623}">
          <xlrd:rvb i="618"/>
        </ext>
      </extLst>
    </bk>
    <bk>
      <extLst>
        <ext uri="{3e2802c4-a4d2-4d8b-9148-e3be6c30e623}">
          <xlrd:rvb i="619"/>
        </ext>
      </extLst>
    </bk>
    <bk>
      <extLst>
        <ext uri="{3e2802c4-a4d2-4d8b-9148-e3be6c30e623}">
          <xlrd:rvb i="620"/>
        </ext>
      </extLst>
    </bk>
    <bk>
      <extLst>
        <ext uri="{3e2802c4-a4d2-4d8b-9148-e3be6c30e623}">
          <xlrd:rvb i="621"/>
        </ext>
      </extLst>
    </bk>
    <bk>
      <extLst>
        <ext uri="{3e2802c4-a4d2-4d8b-9148-e3be6c30e623}">
          <xlrd:rvb i="622"/>
        </ext>
      </extLst>
    </bk>
    <bk>
      <extLst>
        <ext uri="{3e2802c4-a4d2-4d8b-9148-e3be6c30e623}">
          <xlrd:rvb i="623"/>
        </ext>
      </extLst>
    </bk>
    <bk>
      <extLst>
        <ext uri="{3e2802c4-a4d2-4d8b-9148-e3be6c30e623}">
          <xlrd:rvb i="624"/>
        </ext>
      </extLst>
    </bk>
    <bk>
      <extLst>
        <ext uri="{3e2802c4-a4d2-4d8b-9148-e3be6c30e623}">
          <xlrd:rvb i="625"/>
        </ext>
      </extLst>
    </bk>
    <bk>
      <extLst>
        <ext uri="{3e2802c4-a4d2-4d8b-9148-e3be6c30e623}">
          <xlrd:rvb i="626"/>
        </ext>
      </extLst>
    </bk>
    <bk>
      <extLst>
        <ext uri="{3e2802c4-a4d2-4d8b-9148-e3be6c30e623}">
          <xlrd:rvb i="627"/>
        </ext>
      </extLst>
    </bk>
    <bk>
      <extLst>
        <ext uri="{3e2802c4-a4d2-4d8b-9148-e3be6c30e623}">
          <xlrd:rvb i="628"/>
        </ext>
      </extLst>
    </bk>
    <bk>
      <extLst>
        <ext uri="{3e2802c4-a4d2-4d8b-9148-e3be6c30e623}">
          <xlrd:rvb i="629"/>
        </ext>
      </extLst>
    </bk>
    <bk>
      <extLst>
        <ext uri="{3e2802c4-a4d2-4d8b-9148-e3be6c30e623}">
          <xlrd:rvb i="630"/>
        </ext>
      </extLst>
    </bk>
    <bk>
      <extLst>
        <ext uri="{3e2802c4-a4d2-4d8b-9148-e3be6c30e623}">
          <xlrd:rvb i="631"/>
        </ext>
      </extLst>
    </bk>
    <bk>
      <extLst>
        <ext uri="{3e2802c4-a4d2-4d8b-9148-e3be6c30e623}">
          <xlrd:rvb i="632"/>
        </ext>
      </extLst>
    </bk>
    <bk>
      <extLst>
        <ext uri="{3e2802c4-a4d2-4d8b-9148-e3be6c30e623}">
          <xlrd:rvb i="633"/>
        </ext>
      </extLst>
    </bk>
    <bk>
      <extLst>
        <ext uri="{3e2802c4-a4d2-4d8b-9148-e3be6c30e623}">
          <xlrd:rvb i="634"/>
        </ext>
      </extLst>
    </bk>
    <bk>
      <extLst>
        <ext uri="{3e2802c4-a4d2-4d8b-9148-e3be6c30e623}">
          <xlrd:rvb i="635"/>
        </ext>
      </extLst>
    </bk>
    <bk>
      <extLst>
        <ext uri="{3e2802c4-a4d2-4d8b-9148-e3be6c30e623}">
          <xlrd:rvb i="636"/>
        </ext>
      </extLst>
    </bk>
    <bk>
      <extLst>
        <ext uri="{3e2802c4-a4d2-4d8b-9148-e3be6c30e623}">
          <xlrd:rvb i="637"/>
        </ext>
      </extLst>
    </bk>
    <bk>
      <extLst>
        <ext uri="{3e2802c4-a4d2-4d8b-9148-e3be6c30e623}">
          <xlrd:rvb i="638"/>
        </ext>
      </extLst>
    </bk>
    <bk>
      <extLst>
        <ext uri="{3e2802c4-a4d2-4d8b-9148-e3be6c30e623}">
          <xlrd:rvb i="639"/>
        </ext>
      </extLst>
    </bk>
    <bk>
      <extLst>
        <ext uri="{3e2802c4-a4d2-4d8b-9148-e3be6c30e623}">
          <xlrd:rvb i="640"/>
        </ext>
      </extLst>
    </bk>
    <bk>
      <extLst>
        <ext uri="{3e2802c4-a4d2-4d8b-9148-e3be6c30e623}">
          <xlrd:rvb i="641"/>
        </ext>
      </extLst>
    </bk>
    <bk>
      <extLst>
        <ext uri="{3e2802c4-a4d2-4d8b-9148-e3be6c30e623}">
          <xlrd:rvb i="642"/>
        </ext>
      </extLst>
    </bk>
    <bk>
      <extLst>
        <ext uri="{3e2802c4-a4d2-4d8b-9148-e3be6c30e623}">
          <xlrd:rvb i="643"/>
        </ext>
      </extLst>
    </bk>
    <bk>
      <extLst>
        <ext uri="{3e2802c4-a4d2-4d8b-9148-e3be6c30e623}">
          <xlrd:rvb i="644"/>
        </ext>
      </extLst>
    </bk>
    <bk>
      <extLst>
        <ext uri="{3e2802c4-a4d2-4d8b-9148-e3be6c30e623}">
          <xlrd:rvb i="645"/>
        </ext>
      </extLst>
    </bk>
    <bk>
      <extLst>
        <ext uri="{3e2802c4-a4d2-4d8b-9148-e3be6c30e623}">
          <xlrd:rvb i="646"/>
        </ext>
      </extLst>
    </bk>
    <bk>
      <extLst>
        <ext uri="{3e2802c4-a4d2-4d8b-9148-e3be6c30e623}">
          <xlrd:rvb i="647"/>
        </ext>
      </extLst>
    </bk>
    <bk>
      <extLst>
        <ext uri="{3e2802c4-a4d2-4d8b-9148-e3be6c30e623}">
          <xlrd:rvb i="648"/>
        </ext>
      </extLst>
    </bk>
    <bk>
      <extLst>
        <ext uri="{3e2802c4-a4d2-4d8b-9148-e3be6c30e623}">
          <xlrd:rvb i="649"/>
        </ext>
      </extLst>
    </bk>
    <bk>
      <extLst>
        <ext uri="{3e2802c4-a4d2-4d8b-9148-e3be6c30e623}">
          <xlrd:rvb i="650"/>
        </ext>
      </extLst>
    </bk>
    <bk>
      <extLst>
        <ext uri="{3e2802c4-a4d2-4d8b-9148-e3be6c30e623}">
          <xlrd:rvb i="651"/>
        </ext>
      </extLst>
    </bk>
    <bk>
      <extLst>
        <ext uri="{3e2802c4-a4d2-4d8b-9148-e3be6c30e623}">
          <xlrd:rvb i="652"/>
        </ext>
      </extLst>
    </bk>
    <bk>
      <extLst>
        <ext uri="{3e2802c4-a4d2-4d8b-9148-e3be6c30e623}">
          <xlrd:rvb i="653"/>
        </ext>
      </extLst>
    </bk>
    <bk>
      <extLst>
        <ext uri="{3e2802c4-a4d2-4d8b-9148-e3be6c30e623}">
          <xlrd:rvb i="654"/>
        </ext>
      </extLst>
    </bk>
    <bk>
      <extLst>
        <ext uri="{3e2802c4-a4d2-4d8b-9148-e3be6c30e623}">
          <xlrd:rvb i="655"/>
        </ext>
      </extLst>
    </bk>
    <bk>
      <extLst>
        <ext uri="{3e2802c4-a4d2-4d8b-9148-e3be6c30e623}">
          <xlrd:rvb i="656"/>
        </ext>
      </extLst>
    </bk>
    <bk>
      <extLst>
        <ext uri="{3e2802c4-a4d2-4d8b-9148-e3be6c30e623}">
          <xlrd:rvb i="657"/>
        </ext>
      </extLst>
    </bk>
    <bk>
      <extLst>
        <ext uri="{3e2802c4-a4d2-4d8b-9148-e3be6c30e623}">
          <xlrd:rvb i="658"/>
        </ext>
      </extLst>
    </bk>
    <bk>
      <extLst>
        <ext uri="{3e2802c4-a4d2-4d8b-9148-e3be6c30e623}">
          <xlrd:rvb i="659"/>
        </ext>
      </extLst>
    </bk>
    <bk>
      <extLst>
        <ext uri="{3e2802c4-a4d2-4d8b-9148-e3be6c30e623}">
          <xlrd:rvb i="660"/>
        </ext>
      </extLst>
    </bk>
    <bk>
      <extLst>
        <ext uri="{3e2802c4-a4d2-4d8b-9148-e3be6c30e623}">
          <xlrd:rvb i="661"/>
        </ext>
      </extLst>
    </bk>
    <bk>
      <extLst>
        <ext uri="{3e2802c4-a4d2-4d8b-9148-e3be6c30e623}">
          <xlrd:rvb i="662"/>
        </ext>
      </extLst>
    </bk>
    <bk>
      <extLst>
        <ext uri="{3e2802c4-a4d2-4d8b-9148-e3be6c30e623}">
          <xlrd:rvb i="663"/>
        </ext>
      </extLst>
    </bk>
    <bk>
      <extLst>
        <ext uri="{3e2802c4-a4d2-4d8b-9148-e3be6c30e623}">
          <xlrd:rvb i="664"/>
        </ext>
      </extLst>
    </bk>
    <bk>
      <extLst>
        <ext uri="{3e2802c4-a4d2-4d8b-9148-e3be6c30e623}">
          <xlrd:rvb i="665"/>
        </ext>
      </extLst>
    </bk>
    <bk>
      <extLst>
        <ext uri="{3e2802c4-a4d2-4d8b-9148-e3be6c30e623}">
          <xlrd:rvb i="666"/>
        </ext>
      </extLst>
    </bk>
    <bk>
      <extLst>
        <ext uri="{3e2802c4-a4d2-4d8b-9148-e3be6c30e623}">
          <xlrd:rvb i="667"/>
        </ext>
      </extLst>
    </bk>
    <bk>
      <extLst>
        <ext uri="{3e2802c4-a4d2-4d8b-9148-e3be6c30e623}">
          <xlrd:rvb i="668"/>
        </ext>
      </extLst>
    </bk>
    <bk>
      <extLst>
        <ext uri="{3e2802c4-a4d2-4d8b-9148-e3be6c30e623}">
          <xlrd:rvb i="669"/>
        </ext>
      </extLst>
    </bk>
    <bk>
      <extLst>
        <ext uri="{3e2802c4-a4d2-4d8b-9148-e3be6c30e623}">
          <xlrd:rvb i="670"/>
        </ext>
      </extLst>
    </bk>
    <bk>
      <extLst>
        <ext uri="{3e2802c4-a4d2-4d8b-9148-e3be6c30e623}">
          <xlrd:rvb i="671"/>
        </ext>
      </extLst>
    </bk>
    <bk>
      <extLst>
        <ext uri="{3e2802c4-a4d2-4d8b-9148-e3be6c30e623}">
          <xlrd:rvb i="672"/>
        </ext>
      </extLst>
    </bk>
    <bk>
      <extLst>
        <ext uri="{3e2802c4-a4d2-4d8b-9148-e3be6c30e623}">
          <xlrd:rvb i="673"/>
        </ext>
      </extLst>
    </bk>
    <bk>
      <extLst>
        <ext uri="{3e2802c4-a4d2-4d8b-9148-e3be6c30e623}">
          <xlrd:rvb i="674"/>
        </ext>
      </extLst>
    </bk>
    <bk>
      <extLst>
        <ext uri="{3e2802c4-a4d2-4d8b-9148-e3be6c30e623}">
          <xlrd:rvb i="675"/>
        </ext>
      </extLst>
    </bk>
    <bk>
      <extLst>
        <ext uri="{3e2802c4-a4d2-4d8b-9148-e3be6c30e623}">
          <xlrd:rvb i="676"/>
        </ext>
      </extLst>
    </bk>
    <bk>
      <extLst>
        <ext uri="{3e2802c4-a4d2-4d8b-9148-e3be6c30e623}">
          <xlrd:rvb i="677"/>
        </ext>
      </extLst>
    </bk>
    <bk>
      <extLst>
        <ext uri="{3e2802c4-a4d2-4d8b-9148-e3be6c30e623}">
          <xlrd:rvb i="678"/>
        </ext>
      </extLst>
    </bk>
    <bk>
      <extLst>
        <ext uri="{3e2802c4-a4d2-4d8b-9148-e3be6c30e623}">
          <xlrd:rvb i="679"/>
        </ext>
      </extLst>
    </bk>
    <bk>
      <extLst>
        <ext uri="{3e2802c4-a4d2-4d8b-9148-e3be6c30e623}">
          <xlrd:rvb i="680"/>
        </ext>
      </extLst>
    </bk>
    <bk>
      <extLst>
        <ext uri="{3e2802c4-a4d2-4d8b-9148-e3be6c30e623}">
          <xlrd:rvb i="681"/>
        </ext>
      </extLst>
    </bk>
    <bk>
      <extLst>
        <ext uri="{3e2802c4-a4d2-4d8b-9148-e3be6c30e623}">
          <xlrd:rvb i="682"/>
        </ext>
      </extLst>
    </bk>
    <bk>
      <extLst>
        <ext uri="{3e2802c4-a4d2-4d8b-9148-e3be6c30e623}">
          <xlrd:rvb i="683"/>
        </ext>
      </extLst>
    </bk>
    <bk>
      <extLst>
        <ext uri="{3e2802c4-a4d2-4d8b-9148-e3be6c30e623}">
          <xlrd:rvb i="684"/>
        </ext>
      </extLst>
    </bk>
    <bk>
      <extLst>
        <ext uri="{3e2802c4-a4d2-4d8b-9148-e3be6c30e623}">
          <xlrd:rvb i="685"/>
        </ext>
      </extLst>
    </bk>
    <bk>
      <extLst>
        <ext uri="{3e2802c4-a4d2-4d8b-9148-e3be6c30e623}">
          <xlrd:rvb i="686"/>
        </ext>
      </extLst>
    </bk>
    <bk>
      <extLst>
        <ext uri="{3e2802c4-a4d2-4d8b-9148-e3be6c30e623}">
          <xlrd:rvb i="687"/>
        </ext>
      </extLst>
    </bk>
    <bk>
      <extLst>
        <ext uri="{3e2802c4-a4d2-4d8b-9148-e3be6c30e623}">
          <xlrd:rvb i="688"/>
        </ext>
      </extLst>
    </bk>
    <bk>
      <extLst>
        <ext uri="{3e2802c4-a4d2-4d8b-9148-e3be6c30e623}">
          <xlrd:rvb i="689"/>
        </ext>
      </extLst>
    </bk>
    <bk>
      <extLst>
        <ext uri="{3e2802c4-a4d2-4d8b-9148-e3be6c30e623}">
          <xlrd:rvb i="690"/>
        </ext>
      </extLst>
    </bk>
    <bk>
      <extLst>
        <ext uri="{3e2802c4-a4d2-4d8b-9148-e3be6c30e623}">
          <xlrd:rvb i="691"/>
        </ext>
      </extLst>
    </bk>
    <bk>
      <extLst>
        <ext uri="{3e2802c4-a4d2-4d8b-9148-e3be6c30e623}">
          <xlrd:rvb i="692"/>
        </ext>
      </extLst>
    </bk>
    <bk>
      <extLst>
        <ext uri="{3e2802c4-a4d2-4d8b-9148-e3be6c30e623}">
          <xlrd:rvb i="693"/>
        </ext>
      </extLst>
    </bk>
    <bk>
      <extLst>
        <ext uri="{3e2802c4-a4d2-4d8b-9148-e3be6c30e623}">
          <xlrd:rvb i="694"/>
        </ext>
      </extLst>
    </bk>
    <bk>
      <extLst>
        <ext uri="{3e2802c4-a4d2-4d8b-9148-e3be6c30e623}">
          <xlrd:rvb i="695"/>
        </ext>
      </extLst>
    </bk>
    <bk>
      <extLst>
        <ext uri="{3e2802c4-a4d2-4d8b-9148-e3be6c30e623}">
          <xlrd:rvb i="696"/>
        </ext>
      </extLst>
    </bk>
    <bk>
      <extLst>
        <ext uri="{3e2802c4-a4d2-4d8b-9148-e3be6c30e623}">
          <xlrd:rvb i="697"/>
        </ext>
      </extLst>
    </bk>
    <bk>
      <extLst>
        <ext uri="{3e2802c4-a4d2-4d8b-9148-e3be6c30e623}">
          <xlrd:rvb i="698"/>
        </ext>
      </extLst>
    </bk>
    <bk>
      <extLst>
        <ext uri="{3e2802c4-a4d2-4d8b-9148-e3be6c30e623}">
          <xlrd:rvb i="699"/>
        </ext>
      </extLst>
    </bk>
    <bk>
      <extLst>
        <ext uri="{3e2802c4-a4d2-4d8b-9148-e3be6c30e623}">
          <xlrd:rvb i="700"/>
        </ext>
      </extLst>
    </bk>
    <bk>
      <extLst>
        <ext uri="{3e2802c4-a4d2-4d8b-9148-e3be6c30e623}">
          <xlrd:rvb i="701"/>
        </ext>
      </extLst>
    </bk>
    <bk>
      <extLst>
        <ext uri="{3e2802c4-a4d2-4d8b-9148-e3be6c30e623}">
          <xlrd:rvb i="702"/>
        </ext>
      </extLst>
    </bk>
    <bk>
      <extLst>
        <ext uri="{3e2802c4-a4d2-4d8b-9148-e3be6c30e623}">
          <xlrd:rvb i="703"/>
        </ext>
      </extLst>
    </bk>
    <bk>
      <extLst>
        <ext uri="{3e2802c4-a4d2-4d8b-9148-e3be6c30e623}">
          <xlrd:rvb i="704"/>
        </ext>
      </extLst>
    </bk>
    <bk>
      <extLst>
        <ext uri="{3e2802c4-a4d2-4d8b-9148-e3be6c30e623}">
          <xlrd:rvb i="705"/>
        </ext>
      </extLst>
    </bk>
    <bk>
      <extLst>
        <ext uri="{3e2802c4-a4d2-4d8b-9148-e3be6c30e623}">
          <xlrd:rvb i="706"/>
        </ext>
      </extLst>
    </bk>
    <bk>
      <extLst>
        <ext uri="{3e2802c4-a4d2-4d8b-9148-e3be6c30e623}">
          <xlrd:rvb i="707"/>
        </ext>
      </extLst>
    </bk>
    <bk>
      <extLst>
        <ext uri="{3e2802c4-a4d2-4d8b-9148-e3be6c30e623}">
          <xlrd:rvb i="708"/>
        </ext>
      </extLst>
    </bk>
    <bk>
      <extLst>
        <ext uri="{3e2802c4-a4d2-4d8b-9148-e3be6c30e623}">
          <xlrd:rvb i="709"/>
        </ext>
      </extLst>
    </bk>
    <bk>
      <extLst>
        <ext uri="{3e2802c4-a4d2-4d8b-9148-e3be6c30e623}">
          <xlrd:rvb i="710"/>
        </ext>
      </extLst>
    </bk>
    <bk>
      <extLst>
        <ext uri="{3e2802c4-a4d2-4d8b-9148-e3be6c30e623}">
          <xlrd:rvb i="711"/>
        </ext>
      </extLst>
    </bk>
    <bk>
      <extLst>
        <ext uri="{3e2802c4-a4d2-4d8b-9148-e3be6c30e623}">
          <xlrd:rvb i="712"/>
        </ext>
      </extLst>
    </bk>
    <bk>
      <extLst>
        <ext uri="{3e2802c4-a4d2-4d8b-9148-e3be6c30e623}">
          <xlrd:rvb i="713"/>
        </ext>
      </extLst>
    </bk>
    <bk>
      <extLst>
        <ext uri="{3e2802c4-a4d2-4d8b-9148-e3be6c30e623}">
          <xlrd:rvb i="714"/>
        </ext>
      </extLst>
    </bk>
    <bk>
      <extLst>
        <ext uri="{3e2802c4-a4d2-4d8b-9148-e3be6c30e623}">
          <xlrd:rvb i="715"/>
        </ext>
      </extLst>
    </bk>
    <bk>
      <extLst>
        <ext uri="{3e2802c4-a4d2-4d8b-9148-e3be6c30e623}">
          <xlrd:rvb i="716"/>
        </ext>
      </extLst>
    </bk>
    <bk>
      <extLst>
        <ext uri="{3e2802c4-a4d2-4d8b-9148-e3be6c30e623}">
          <xlrd:rvb i="717"/>
        </ext>
      </extLst>
    </bk>
    <bk>
      <extLst>
        <ext uri="{3e2802c4-a4d2-4d8b-9148-e3be6c30e623}">
          <xlrd:rvb i="718"/>
        </ext>
      </extLst>
    </bk>
    <bk>
      <extLst>
        <ext uri="{3e2802c4-a4d2-4d8b-9148-e3be6c30e623}">
          <xlrd:rvb i="719"/>
        </ext>
      </extLst>
    </bk>
    <bk>
      <extLst>
        <ext uri="{3e2802c4-a4d2-4d8b-9148-e3be6c30e623}">
          <xlrd:rvb i="720"/>
        </ext>
      </extLst>
    </bk>
    <bk>
      <extLst>
        <ext uri="{3e2802c4-a4d2-4d8b-9148-e3be6c30e623}">
          <xlrd:rvb i="721"/>
        </ext>
      </extLst>
    </bk>
    <bk>
      <extLst>
        <ext uri="{3e2802c4-a4d2-4d8b-9148-e3be6c30e623}">
          <xlrd:rvb i="722"/>
        </ext>
      </extLst>
    </bk>
    <bk>
      <extLst>
        <ext uri="{3e2802c4-a4d2-4d8b-9148-e3be6c30e623}">
          <xlrd:rvb i="723"/>
        </ext>
      </extLst>
    </bk>
    <bk>
      <extLst>
        <ext uri="{3e2802c4-a4d2-4d8b-9148-e3be6c30e623}">
          <xlrd:rvb i="724"/>
        </ext>
      </extLst>
    </bk>
    <bk>
      <extLst>
        <ext uri="{3e2802c4-a4d2-4d8b-9148-e3be6c30e623}">
          <xlrd:rvb i="725"/>
        </ext>
      </extLst>
    </bk>
    <bk>
      <extLst>
        <ext uri="{3e2802c4-a4d2-4d8b-9148-e3be6c30e623}">
          <xlrd:rvb i="726"/>
        </ext>
      </extLst>
    </bk>
    <bk>
      <extLst>
        <ext uri="{3e2802c4-a4d2-4d8b-9148-e3be6c30e623}">
          <xlrd:rvb i="727"/>
        </ext>
      </extLst>
    </bk>
    <bk>
      <extLst>
        <ext uri="{3e2802c4-a4d2-4d8b-9148-e3be6c30e623}">
          <xlrd:rvb i="728"/>
        </ext>
      </extLst>
    </bk>
    <bk>
      <extLst>
        <ext uri="{3e2802c4-a4d2-4d8b-9148-e3be6c30e623}">
          <xlrd:rvb i="729"/>
        </ext>
      </extLst>
    </bk>
    <bk>
      <extLst>
        <ext uri="{3e2802c4-a4d2-4d8b-9148-e3be6c30e623}">
          <xlrd:rvb i="730"/>
        </ext>
      </extLst>
    </bk>
    <bk>
      <extLst>
        <ext uri="{3e2802c4-a4d2-4d8b-9148-e3be6c30e623}">
          <xlrd:rvb i="731"/>
        </ext>
      </extLst>
    </bk>
    <bk>
      <extLst>
        <ext uri="{3e2802c4-a4d2-4d8b-9148-e3be6c30e623}">
          <xlrd:rvb i="732"/>
        </ext>
      </extLst>
    </bk>
    <bk>
      <extLst>
        <ext uri="{3e2802c4-a4d2-4d8b-9148-e3be6c30e623}">
          <xlrd:rvb i="733"/>
        </ext>
      </extLst>
    </bk>
    <bk>
      <extLst>
        <ext uri="{3e2802c4-a4d2-4d8b-9148-e3be6c30e623}">
          <xlrd:rvb i="734"/>
        </ext>
      </extLst>
    </bk>
    <bk>
      <extLst>
        <ext uri="{3e2802c4-a4d2-4d8b-9148-e3be6c30e623}">
          <xlrd:rvb i="735"/>
        </ext>
      </extLst>
    </bk>
    <bk>
      <extLst>
        <ext uri="{3e2802c4-a4d2-4d8b-9148-e3be6c30e623}">
          <xlrd:rvb i="736"/>
        </ext>
      </extLst>
    </bk>
    <bk>
      <extLst>
        <ext uri="{3e2802c4-a4d2-4d8b-9148-e3be6c30e623}">
          <xlrd:rvb i="737"/>
        </ext>
      </extLst>
    </bk>
    <bk>
      <extLst>
        <ext uri="{3e2802c4-a4d2-4d8b-9148-e3be6c30e623}">
          <xlrd:rvb i="738"/>
        </ext>
      </extLst>
    </bk>
    <bk>
      <extLst>
        <ext uri="{3e2802c4-a4d2-4d8b-9148-e3be6c30e623}">
          <xlrd:rvb i="739"/>
        </ext>
      </extLst>
    </bk>
    <bk>
      <extLst>
        <ext uri="{3e2802c4-a4d2-4d8b-9148-e3be6c30e623}">
          <xlrd:rvb i="740"/>
        </ext>
      </extLst>
    </bk>
    <bk>
      <extLst>
        <ext uri="{3e2802c4-a4d2-4d8b-9148-e3be6c30e623}">
          <xlrd:rvb i="741"/>
        </ext>
      </extLst>
    </bk>
    <bk>
      <extLst>
        <ext uri="{3e2802c4-a4d2-4d8b-9148-e3be6c30e623}">
          <xlrd:rvb i="742"/>
        </ext>
      </extLst>
    </bk>
    <bk>
      <extLst>
        <ext uri="{3e2802c4-a4d2-4d8b-9148-e3be6c30e623}">
          <xlrd:rvb i="743"/>
        </ext>
      </extLst>
    </bk>
    <bk>
      <extLst>
        <ext uri="{3e2802c4-a4d2-4d8b-9148-e3be6c30e623}">
          <xlrd:rvb i="744"/>
        </ext>
      </extLst>
    </bk>
    <bk>
      <extLst>
        <ext uri="{3e2802c4-a4d2-4d8b-9148-e3be6c30e623}">
          <xlrd:rvb i="745"/>
        </ext>
      </extLst>
    </bk>
    <bk>
      <extLst>
        <ext uri="{3e2802c4-a4d2-4d8b-9148-e3be6c30e623}">
          <xlrd:rvb i="746"/>
        </ext>
      </extLst>
    </bk>
    <bk>
      <extLst>
        <ext uri="{3e2802c4-a4d2-4d8b-9148-e3be6c30e623}">
          <xlrd:rvb i="747"/>
        </ext>
      </extLst>
    </bk>
    <bk>
      <extLst>
        <ext uri="{3e2802c4-a4d2-4d8b-9148-e3be6c30e623}">
          <xlrd:rvb i="748"/>
        </ext>
      </extLst>
    </bk>
    <bk>
      <extLst>
        <ext uri="{3e2802c4-a4d2-4d8b-9148-e3be6c30e623}">
          <xlrd:rvb i="749"/>
        </ext>
      </extLst>
    </bk>
    <bk>
      <extLst>
        <ext uri="{3e2802c4-a4d2-4d8b-9148-e3be6c30e623}">
          <xlrd:rvb i="750"/>
        </ext>
      </extLst>
    </bk>
    <bk>
      <extLst>
        <ext uri="{3e2802c4-a4d2-4d8b-9148-e3be6c30e623}">
          <xlrd:rvb i="751"/>
        </ext>
      </extLst>
    </bk>
    <bk>
      <extLst>
        <ext uri="{3e2802c4-a4d2-4d8b-9148-e3be6c30e623}">
          <xlrd:rvb i="752"/>
        </ext>
      </extLst>
    </bk>
    <bk>
      <extLst>
        <ext uri="{3e2802c4-a4d2-4d8b-9148-e3be6c30e623}">
          <xlrd:rvb i="753"/>
        </ext>
      </extLst>
    </bk>
    <bk>
      <extLst>
        <ext uri="{3e2802c4-a4d2-4d8b-9148-e3be6c30e623}">
          <xlrd:rvb i="754"/>
        </ext>
      </extLst>
    </bk>
    <bk>
      <extLst>
        <ext uri="{3e2802c4-a4d2-4d8b-9148-e3be6c30e623}">
          <xlrd:rvb i="755"/>
        </ext>
      </extLst>
    </bk>
    <bk>
      <extLst>
        <ext uri="{3e2802c4-a4d2-4d8b-9148-e3be6c30e623}">
          <xlrd:rvb i="756"/>
        </ext>
      </extLst>
    </bk>
    <bk>
      <extLst>
        <ext uri="{3e2802c4-a4d2-4d8b-9148-e3be6c30e623}">
          <xlrd:rvb i="757"/>
        </ext>
      </extLst>
    </bk>
    <bk>
      <extLst>
        <ext uri="{3e2802c4-a4d2-4d8b-9148-e3be6c30e623}">
          <xlrd:rvb i="758"/>
        </ext>
      </extLst>
    </bk>
    <bk>
      <extLst>
        <ext uri="{3e2802c4-a4d2-4d8b-9148-e3be6c30e623}">
          <xlrd:rvb i="759"/>
        </ext>
      </extLst>
    </bk>
    <bk>
      <extLst>
        <ext uri="{3e2802c4-a4d2-4d8b-9148-e3be6c30e623}">
          <xlrd:rvb i="760"/>
        </ext>
      </extLst>
    </bk>
    <bk>
      <extLst>
        <ext uri="{3e2802c4-a4d2-4d8b-9148-e3be6c30e623}">
          <xlrd:rvb i="761"/>
        </ext>
      </extLst>
    </bk>
    <bk>
      <extLst>
        <ext uri="{3e2802c4-a4d2-4d8b-9148-e3be6c30e623}">
          <xlrd:rvb i="762"/>
        </ext>
      </extLst>
    </bk>
    <bk>
      <extLst>
        <ext uri="{3e2802c4-a4d2-4d8b-9148-e3be6c30e623}">
          <xlrd:rvb i="763"/>
        </ext>
      </extLst>
    </bk>
    <bk>
      <extLst>
        <ext uri="{3e2802c4-a4d2-4d8b-9148-e3be6c30e623}">
          <xlrd:rvb i="764"/>
        </ext>
      </extLst>
    </bk>
    <bk>
      <extLst>
        <ext uri="{3e2802c4-a4d2-4d8b-9148-e3be6c30e623}">
          <xlrd:rvb i="765"/>
        </ext>
      </extLst>
    </bk>
    <bk>
      <extLst>
        <ext uri="{3e2802c4-a4d2-4d8b-9148-e3be6c30e623}">
          <xlrd:rvb i="766"/>
        </ext>
      </extLst>
    </bk>
    <bk>
      <extLst>
        <ext uri="{3e2802c4-a4d2-4d8b-9148-e3be6c30e623}">
          <xlrd:rvb i="767"/>
        </ext>
      </extLst>
    </bk>
    <bk>
      <extLst>
        <ext uri="{3e2802c4-a4d2-4d8b-9148-e3be6c30e623}">
          <xlrd:rvb i="768"/>
        </ext>
      </extLst>
    </bk>
    <bk>
      <extLst>
        <ext uri="{3e2802c4-a4d2-4d8b-9148-e3be6c30e623}">
          <xlrd:rvb i="769"/>
        </ext>
      </extLst>
    </bk>
    <bk>
      <extLst>
        <ext uri="{3e2802c4-a4d2-4d8b-9148-e3be6c30e623}">
          <xlrd:rvb i="770"/>
        </ext>
      </extLst>
    </bk>
    <bk>
      <extLst>
        <ext uri="{3e2802c4-a4d2-4d8b-9148-e3be6c30e623}">
          <xlrd:rvb i="771"/>
        </ext>
      </extLst>
    </bk>
    <bk>
      <extLst>
        <ext uri="{3e2802c4-a4d2-4d8b-9148-e3be6c30e623}">
          <xlrd:rvb i="772"/>
        </ext>
      </extLst>
    </bk>
    <bk>
      <extLst>
        <ext uri="{3e2802c4-a4d2-4d8b-9148-e3be6c30e623}">
          <xlrd:rvb i="773"/>
        </ext>
      </extLst>
    </bk>
    <bk>
      <extLst>
        <ext uri="{3e2802c4-a4d2-4d8b-9148-e3be6c30e623}">
          <xlrd:rvb i="774"/>
        </ext>
      </extLst>
    </bk>
    <bk>
      <extLst>
        <ext uri="{3e2802c4-a4d2-4d8b-9148-e3be6c30e623}">
          <xlrd:rvb i="775"/>
        </ext>
      </extLst>
    </bk>
    <bk>
      <extLst>
        <ext uri="{3e2802c4-a4d2-4d8b-9148-e3be6c30e623}">
          <xlrd:rvb i="776"/>
        </ext>
      </extLst>
    </bk>
    <bk>
      <extLst>
        <ext uri="{3e2802c4-a4d2-4d8b-9148-e3be6c30e623}">
          <xlrd:rvb i="777"/>
        </ext>
      </extLst>
    </bk>
    <bk>
      <extLst>
        <ext uri="{3e2802c4-a4d2-4d8b-9148-e3be6c30e623}">
          <xlrd:rvb i="778"/>
        </ext>
      </extLst>
    </bk>
    <bk>
      <extLst>
        <ext uri="{3e2802c4-a4d2-4d8b-9148-e3be6c30e623}">
          <xlrd:rvb i="779"/>
        </ext>
      </extLst>
    </bk>
    <bk>
      <extLst>
        <ext uri="{3e2802c4-a4d2-4d8b-9148-e3be6c30e623}">
          <xlrd:rvb i="780"/>
        </ext>
      </extLst>
    </bk>
    <bk>
      <extLst>
        <ext uri="{3e2802c4-a4d2-4d8b-9148-e3be6c30e623}">
          <xlrd:rvb i="781"/>
        </ext>
      </extLst>
    </bk>
    <bk>
      <extLst>
        <ext uri="{3e2802c4-a4d2-4d8b-9148-e3be6c30e623}">
          <xlrd:rvb i="782"/>
        </ext>
      </extLst>
    </bk>
    <bk>
      <extLst>
        <ext uri="{3e2802c4-a4d2-4d8b-9148-e3be6c30e623}">
          <xlrd:rvb i="783"/>
        </ext>
      </extLst>
    </bk>
    <bk>
      <extLst>
        <ext uri="{3e2802c4-a4d2-4d8b-9148-e3be6c30e623}">
          <xlrd:rvb i="784"/>
        </ext>
      </extLst>
    </bk>
    <bk>
      <extLst>
        <ext uri="{3e2802c4-a4d2-4d8b-9148-e3be6c30e623}">
          <xlrd:rvb i="785"/>
        </ext>
      </extLst>
    </bk>
    <bk>
      <extLst>
        <ext uri="{3e2802c4-a4d2-4d8b-9148-e3be6c30e623}">
          <xlrd:rvb i="786"/>
        </ext>
      </extLst>
    </bk>
    <bk>
      <extLst>
        <ext uri="{3e2802c4-a4d2-4d8b-9148-e3be6c30e623}">
          <xlrd:rvb i="787"/>
        </ext>
      </extLst>
    </bk>
    <bk>
      <extLst>
        <ext uri="{3e2802c4-a4d2-4d8b-9148-e3be6c30e623}">
          <xlrd:rvb i="788"/>
        </ext>
      </extLst>
    </bk>
    <bk>
      <extLst>
        <ext uri="{3e2802c4-a4d2-4d8b-9148-e3be6c30e623}">
          <xlrd:rvb i="789"/>
        </ext>
      </extLst>
    </bk>
    <bk>
      <extLst>
        <ext uri="{3e2802c4-a4d2-4d8b-9148-e3be6c30e623}">
          <xlrd:rvb i="790"/>
        </ext>
      </extLst>
    </bk>
    <bk>
      <extLst>
        <ext uri="{3e2802c4-a4d2-4d8b-9148-e3be6c30e623}">
          <xlrd:rvb i="791"/>
        </ext>
      </extLst>
    </bk>
    <bk>
      <extLst>
        <ext uri="{3e2802c4-a4d2-4d8b-9148-e3be6c30e623}">
          <xlrd:rvb i="792"/>
        </ext>
      </extLst>
    </bk>
    <bk>
      <extLst>
        <ext uri="{3e2802c4-a4d2-4d8b-9148-e3be6c30e623}">
          <xlrd:rvb i="793"/>
        </ext>
      </extLst>
    </bk>
    <bk>
      <extLst>
        <ext uri="{3e2802c4-a4d2-4d8b-9148-e3be6c30e623}">
          <xlrd:rvb i="794"/>
        </ext>
      </extLst>
    </bk>
    <bk>
      <extLst>
        <ext uri="{3e2802c4-a4d2-4d8b-9148-e3be6c30e623}">
          <xlrd:rvb i="795"/>
        </ext>
      </extLst>
    </bk>
    <bk>
      <extLst>
        <ext uri="{3e2802c4-a4d2-4d8b-9148-e3be6c30e623}">
          <xlrd:rvb i="796"/>
        </ext>
      </extLst>
    </bk>
    <bk>
      <extLst>
        <ext uri="{3e2802c4-a4d2-4d8b-9148-e3be6c30e623}">
          <xlrd:rvb i="797"/>
        </ext>
      </extLst>
    </bk>
    <bk>
      <extLst>
        <ext uri="{3e2802c4-a4d2-4d8b-9148-e3be6c30e623}">
          <xlrd:rvb i="798"/>
        </ext>
      </extLst>
    </bk>
    <bk>
      <extLst>
        <ext uri="{3e2802c4-a4d2-4d8b-9148-e3be6c30e623}">
          <xlrd:rvb i="799"/>
        </ext>
      </extLst>
    </bk>
    <bk>
      <extLst>
        <ext uri="{3e2802c4-a4d2-4d8b-9148-e3be6c30e623}">
          <xlrd:rvb i="800"/>
        </ext>
      </extLst>
    </bk>
    <bk>
      <extLst>
        <ext uri="{3e2802c4-a4d2-4d8b-9148-e3be6c30e623}">
          <xlrd:rvb i="801"/>
        </ext>
      </extLst>
    </bk>
    <bk>
      <extLst>
        <ext uri="{3e2802c4-a4d2-4d8b-9148-e3be6c30e623}">
          <xlrd:rvb i="802"/>
        </ext>
      </extLst>
    </bk>
    <bk>
      <extLst>
        <ext uri="{3e2802c4-a4d2-4d8b-9148-e3be6c30e623}">
          <xlrd:rvb i="803"/>
        </ext>
      </extLst>
    </bk>
    <bk>
      <extLst>
        <ext uri="{3e2802c4-a4d2-4d8b-9148-e3be6c30e623}">
          <xlrd:rvb i="804"/>
        </ext>
      </extLst>
    </bk>
    <bk>
      <extLst>
        <ext uri="{3e2802c4-a4d2-4d8b-9148-e3be6c30e623}">
          <xlrd:rvb i="805"/>
        </ext>
      </extLst>
    </bk>
    <bk>
      <extLst>
        <ext uri="{3e2802c4-a4d2-4d8b-9148-e3be6c30e623}">
          <xlrd:rvb i="806"/>
        </ext>
      </extLst>
    </bk>
    <bk>
      <extLst>
        <ext uri="{3e2802c4-a4d2-4d8b-9148-e3be6c30e623}">
          <xlrd:rvb i="807"/>
        </ext>
      </extLst>
    </bk>
    <bk>
      <extLst>
        <ext uri="{3e2802c4-a4d2-4d8b-9148-e3be6c30e623}">
          <xlrd:rvb i="808"/>
        </ext>
      </extLst>
    </bk>
    <bk>
      <extLst>
        <ext uri="{3e2802c4-a4d2-4d8b-9148-e3be6c30e623}">
          <xlrd:rvb i="809"/>
        </ext>
      </extLst>
    </bk>
    <bk>
      <extLst>
        <ext uri="{3e2802c4-a4d2-4d8b-9148-e3be6c30e623}">
          <xlrd:rvb i="810"/>
        </ext>
      </extLst>
    </bk>
    <bk>
      <extLst>
        <ext uri="{3e2802c4-a4d2-4d8b-9148-e3be6c30e623}">
          <xlrd:rvb i="811"/>
        </ext>
      </extLst>
    </bk>
    <bk>
      <extLst>
        <ext uri="{3e2802c4-a4d2-4d8b-9148-e3be6c30e623}">
          <xlrd:rvb i="812"/>
        </ext>
      </extLst>
    </bk>
    <bk>
      <extLst>
        <ext uri="{3e2802c4-a4d2-4d8b-9148-e3be6c30e623}">
          <xlrd:rvb i="813"/>
        </ext>
      </extLst>
    </bk>
    <bk>
      <extLst>
        <ext uri="{3e2802c4-a4d2-4d8b-9148-e3be6c30e623}">
          <xlrd:rvb i="814"/>
        </ext>
      </extLst>
    </bk>
    <bk>
      <extLst>
        <ext uri="{3e2802c4-a4d2-4d8b-9148-e3be6c30e623}">
          <xlrd:rvb i="815"/>
        </ext>
      </extLst>
    </bk>
    <bk>
      <extLst>
        <ext uri="{3e2802c4-a4d2-4d8b-9148-e3be6c30e623}">
          <xlrd:rvb i="816"/>
        </ext>
      </extLst>
    </bk>
    <bk>
      <extLst>
        <ext uri="{3e2802c4-a4d2-4d8b-9148-e3be6c30e623}">
          <xlrd:rvb i="817"/>
        </ext>
      </extLst>
    </bk>
    <bk>
      <extLst>
        <ext uri="{3e2802c4-a4d2-4d8b-9148-e3be6c30e623}">
          <xlrd:rvb i="818"/>
        </ext>
      </extLst>
    </bk>
    <bk>
      <extLst>
        <ext uri="{3e2802c4-a4d2-4d8b-9148-e3be6c30e623}">
          <xlrd:rvb i="819"/>
        </ext>
      </extLst>
    </bk>
    <bk>
      <extLst>
        <ext uri="{3e2802c4-a4d2-4d8b-9148-e3be6c30e623}">
          <xlrd:rvb i="820"/>
        </ext>
      </extLst>
    </bk>
    <bk>
      <extLst>
        <ext uri="{3e2802c4-a4d2-4d8b-9148-e3be6c30e623}">
          <xlrd:rvb i="821"/>
        </ext>
      </extLst>
    </bk>
    <bk>
      <extLst>
        <ext uri="{3e2802c4-a4d2-4d8b-9148-e3be6c30e623}">
          <xlrd:rvb i="822"/>
        </ext>
      </extLst>
    </bk>
    <bk>
      <extLst>
        <ext uri="{3e2802c4-a4d2-4d8b-9148-e3be6c30e623}">
          <xlrd:rvb i="823"/>
        </ext>
      </extLst>
    </bk>
    <bk>
      <extLst>
        <ext uri="{3e2802c4-a4d2-4d8b-9148-e3be6c30e623}">
          <xlrd:rvb i="824"/>
        </ext>
      </extLst>
    </bk>
    <bk>
      <extLst>
        <ext uri="{3e2802c4-a4d2-4d8b-9148-e3be6c30e623}">
          <xlrd:rvb i="825"/>
        </ext>
      </extLst>
    </bk>
    <bk>
      <extLst>
        <ext uri="{3e2802c4-a4d2-4d8b-9148-e3be6c30e623}">
          <xlrd:rvb i="826"/>
        </ext>
      </extLst>
    </bk>
    <bk>
      <extLst>
        <ext uri="{3e2802c4-a4d2-4d8b-9148-e3be6c30e623}">
          <xlrd:rvb i="827"/>
        </ext>
      </extLst>
    </bk>
    <bk>
      <extLst>
        <ext uri="{3e2802c4-a4d2-4d8b-9148-e3be6c30e623}">
          <xlrd:rvb i="828"/>
        </ext>
      </extLst>
    </bk>
    <bk>
      <extLst>
        <ext uri="{3e2802c4-a4d2-4d8b-9148-e3be6c30e623}">
          <xlrd:rvb i="829"/>
        </ext>
      </extLst>
    </bk>
    <bk>
      <extLst>
        <ext uri="{3e2802c4-a4d2-4d8b-9148-e3be6c30e623}">
          <xlrd:rvb i="830"/>
        </ext>
      </extLst>
    </bk>
    <bk>
      <extLst>
        <ext uri="{3e2802c4-a4d2-4d8b-9148-e3be6c30e623}">
          <xlrd:rvb i="831"/>
        </ext>
      </extLst>
    </bk>
    <bk>
      <extLst>
        <ext uri="{3e2802c4-a4d2-4d8b-9148-e3be6c30e623}">
          <xlrd:rvb i="832"/>
        </ext>
      </extLst>
    </bk>
    <bk>
      <extLst>
        <ext uri="{3e2802c4-a4d2-4d8b-9148-e3be6c30e623}">
          <xlrd:rvb i="833"/>
        </ext>
      </extLst>
    </bk>
    <bk>
      <extLst>
        <ext uri="{3e2802c4-a4d2-4d8b-9148-e3be6c30e623}">
          <xlrd:rvb i="834"/>
        </ext>
      </extLst>
    </bk>
    <bk>
      <extLst>
        <ext uri="{3e2802c4-a4d2-4d8b-9148-e3be6c30e623}">
          <xlrd:rvb i="835"/>
        </ext>
      </extLst>
    </bk>
    <bk>
      <extLst>
        <ext uri="{3e2802c4-a4d2-4d8b-9148-e3be6c30e623}">
          <xlrd:rvb i="836"/>
        </ext>
      </extLst>
    </bk>
    <bk>
      <extLst>
        <ext uri="{3e2802c4-a4d2-4d8b-9148-e3be6c30e623}">
          <xlrd:rvb i="837"/>
        </ext>
      </extLst>
    </bk>
    <bk>
      <extLst>
        <ext uri="{3e2802c4-a4d2-4d8b-9148-e3be6c30e623}">
          <xlrd:rvb i="838"/>
        </ext>
      </extLst>
    </bk>
    <bk>
      <extLst>
        <ext uri="{3e2802c4-a4d2-4d8b-9148-e3be6c30e623}">
          <xlrd:rvb i="839"/>
        </ext>
      </extLst>
    </bk>
    <bk>
      <extLst>
        <ext uri="{3e2802c4-a4d2-4d8b-9148-e3be6c30e623}">
          <xlrd:rvb i="840"/>
        </ext>
      </extLst>
    </bk>
    <bk>
      <extLst>
        <ext uri="{3e2802c4-a4d2-4d8b-9148-e3be6c30e623}">
          <xlrd:rvb i="841"/>
        </ext>
      </extLst>
    </bk>
    <bk>
      <extLst>
        <ext uri="{3e2802c4-a4d2-4d8b-9148-e3be6c30e623}">
          <xlrd:rvb i="842"/>
        </ext>
      </extLst>
    </bk>
    <bk>
      <extLst>
        <ext uri="{3e2802c4-a4d2-4d8b-9148-e3be6c30e623}">
          <xlrd:rvb i="843"/>
        </ext>
      </extLst>
    </bk>
    <bk>
      <extLst>
        <ext uri="{3e2802c4-a4d2-4d8b-9148-e3be6c30e623}">
          <xlrd:rvb i="844"/>
        </ext>
      </extLst>
    </bk>
    <bk>
      <extLst>
        <ext uri="{3e2802c4-a4d2-4d8b-9148-e3be6c30e623}">
          <xlrd:rvb i="845"/>
        </ext>
      </extLst>
    </bk>
    <bk>
      <extLst>
        <ext uri="{3e2802c4-a4d2-4d8b-9148-e3be6c30e623}">
          <xlrd:rvb i="846"/>
        </ext>
      </extLst>
    </bk>
    <bk>
      <extLst>
        <ext uri="{3e2802c4-a4d2-4d8b-9148-e3be6c30e623}">
          <xlrd:rvb i="847"/>
        </ext>
      </extLst>
    </bk>
    <bk>
      <extLst>
        <ext uri="{3e2802c4-a4d2-4d8b-9148-e3be6c30e623}">
          <xlrd:rvb i="848"/>
        </ext>
      </extLst>
    </bk>
    <bk>
      <extLst>
        <ext uri="{3e2802c4-a4d2-4d8b-9148-e3be6c30e623}">
          <xlrd:rvb i="849"/>
        </ext>
      </extLst>
    </bk>
    <bk>
      <extLst>
        <ext uri="{3e2802c4-a4d2-4d8b-9148-e3be6c30e623}">
          <xlrd:rvb i="850"/>
        </ext>
      </extLst>
    </bk>
    <bk>
      <extLst>
        <ext uri="{3e2802c4-a4d2-4d8b-9148-e3be6c30e623}">
          <xlrd:rvb i="851"/>
        </ext>
      </extLst>
    </bk>
    <bk>
      <extLst>
        <ext uri="{3e2802c4-a4d2-4d8b-9148-e3be6c30e623}">
          <xlrd:rvb i="852"/>
        </ext>
      </extLst>
    </bk>
    <bk>
      <extLst>
        <ext uri="{3e2802c4-a4d2-4d8b-9148-e3be6c30e623}">
          <xlrd:rvb i="853"/>
        </ext>
      </extLst>
    </bk>
    <bk>
      <extLst>
        <ext uri="{3e2802c4-a4d2-4d8b-9148-e3be6c30e623}">
          <xlrd:rvb i="854"/>
        </ext>
      </extLst>
    </bk>
    <bk>
      <extLst>
        <ext uri="{3e2802c4-a4d2-4d8b-9148-e3be6c30e623}">
          <xlrd:rvb i="855"/>
        </ext>
      </extLst>
    </bk>
    <bk>
      <extLst>
        <ext uri="{3e2802c4-a4d2-4d8b-9148-e3be6c30e623}">
          <xlrd:rvb i="856"/>
        </ext>
      </extLst>
    </bk>
    <bk>
      <extLst>
        <ext uri="{3e2802c4-a4d2-4d8b-9148-e3be6c30e623}">
          <xlrd:rvb i="857"/>
        </ext>
      </extLst>
    </bk>
    <bk>
      <extLst>
        <ext uri="{3e2802c4-a4d2-4d8b-9148-e3be6c30e623}">
          <xlrd:rvb i="858"/>
        </ext>
      </extLst>
    </bk>
    <bk>
      <extLst>
        <ext uri="{3e2802c4-a4d2-4d8b-9148-e3be6c30e623}">
          <xlrd:rvb i="859"/>
        </ext>
      </extLst>
    </bk>
    <bk>
      <extLst>
        <ext uri="{3e2802c4-a4d2-4d8b-9148-e3be6c30e623}">
          <xlrd:rvb i="860"/>
        </ext>
      </extLst>
    </bk>
    <bk>
      <extLst>
        <ext uri="{3e2802c4-a4d2-4d8b-9148-e3be6c30e623}">
          <xlrd:rvb i="861"/>
        </ext>
      </extLst>
    </bk>
    <bk>
      <extLst>
        <ext uri="{3e2802c4-a4d2-4d8b-9148-e3be6c30e623}">
          <xlrd:rvb i="862"/>
        </ext>
      </extLst>
    </bk>
    <bk>
      <extLst>
        <ext uri="{3e2802c4-a4d2-4d8b-9148-e3be6c30e623}">
          <xlrd:rvb i="863"/>
        </ext>
      </extLst>
    </bk>
    <bk>
      <extLst>
        <ext uri="{3e2802c4-a4d2-4d8b-9148-e3be6c30e623}">
          <xlrd:rvb i="864"/>
        </ext>
      </extLst>
    </bk>
    <bk>
      <extLst>
        <ext uri="{3e2802c4-a4d2-4d8b-9148-e3be6c30e623}">
          <xlrd:rvb i="865"/>
        </ext>
      </extLst>
    </bk>
    <bk>
      <extLst>
        <ext uri="{3e2802c4-a4d2-4d8b-9148-e3be6c30e623}">
          <xlrd:rvb i="866"/>
        </ext>
      </extLst>
    </bk>
    <bk>
      <extLst>
        <ext uri="{3e2802c4-a4d2-4d8b-9148-e3be6c30e623}">
          <xlrd:rvb i="867"/>
        </ext>
      </extLst>
    </bk>
    <bk>
      <extLst>
        <ext uri="{3e2802c4-a4d2-4d8b-9148-e3be6c30e623}">
          <xlrd:rvb i="868"/>
        </ext>
      </extLst>
    </bk>
    <bk>
      <extLst>
        <ext uri="{3e2802c4-a4d2-4d8b-9148-e3be6c30e623}">
          <xlrd:rvb i="869"/>
        </ext>
      </extLst>
    </bk>
    <bk>
      <extLst>
        <ext uri="{3e2802c4-a4d2-4d8b-9148-e3be6c30e623}">
          <xlrd:rvb i="870"/>
        </ext>
      </extLst>
    </bk>
    <bk>
      <extLst>
        <ext uri="{3e2802c4-a4d2-4d8b-9148-e3be6c30e623}">
          <xlrd:rvb i="871"/>
        </ext>
      </extLst>
    </bk>
    <bk>
      <extLst>
        <ext uri="{3e2802c4-a4d2-4d8b-9148-e3be6c30e623}">
          <xlrd:rvb i="872"/>
        </ext>
      </extLst>
    </bk>
    <bk>
      <extLst>
        <ext uri="{3e2802c4-a4d2-4d8b-9148-e3be6c30e623}">
          <xlrd:rvb i="873"/>
        </ext>
      </extLst>
    </bk>
    <bk>
      <extLst>
        <ext uri="{3e2802c4-a4d2-4d8b-9148-e3be6c30e623}">
          <xlrd:rvb i="874"/>
        </ext>
      </extLst>
    </bk>
    <bk>
      <extLst>
        <ext uri="{3e2802c4-a4d2-4d8b-9148-e3be6c30e623}">
          <xlrd:rvb i="875"/>
        </ext>
      </extLst>
    </bk>
    <bk>
      <extLst>
        <ext uri="{3e2802c4-a4d2-4d8b-9148-e3be6c30e623}">
          <xlrd:rvb i="876"/>
        </ext>
      </extLst>
    </bk>
    <bk>
      <extLst>
        <ext uri="{3e2802c4-a4d2-4d8b-9148-e3be6c30e623}">
          <xlrd:rvb i="877"/>
        </ext>
      </extLst>
    </bk>
    <bk>
      <extLst>
        <ext uri="{3e2802c4-a4d2-4d8b-9148-e3be6c30e623}">
          <xlrd:rvb i="878"/>
        </ext>
      </extLst>
    </bk>
    <bk>
      <extLst>
        <ext uri="{3e2802c4-a4d2-4d8b-9148-e3be6c30e623}">
          <xlrd:rvb i="879"/>
        </ext>
      </extLst>
    </bk>
    <bk>
      <extLst>
        <ext uri="{3e2802c4-a4d2-4d8b-9148-e3be6c30e623}">
          <xlrd:rvb i="880"/>
        </ext>
      </extLst>
    </bk>
    <bk>
      <extLst>
        <ext uri="{3e2802c4-a4d2-4d8b-9148-e3be6c30e623}">
          <xlrd:rvb i="881"/>
        </ext>
      </extLst>
    </bk>
    <bk>
      <extLst>
        <ext uri="{3e2802c4-a4d2-4d8b-9148-e3be6c30e623}">
          <xlrd:rvb i="882"/>
        </ext>
      </extLst>
    </bk>
    <bk>
      <extLst>
        <ext uri="{3e2802c4-a4d2-4d8b-9148-e3be6c30e623}">
          <xlrd:rvb i="883"/>
        </ext>
      </extLst>
    </bk>
    <bk>
      <extLst>
        <ext uri="{3e2802c4-a4d2-4d8b-9148-e3be6c30e623}">
          <xlrd:rvb i="884"/>
        </ext>
      </extLst>
    </bk>
    <bk>
      <extLst>
        <ext uri="{3e2802c4-a4d2-4d8b-9148-e3be6c30e623}">
          <xlrd:rvb i="885"/>
        </ext>
      </extLst>
    </bk>
    <bk>
      <extLst>
        <ext uri="{3e2802c4-a4d2-4d8b-9148-e3be6c30e623}">
          <xlrd:rvb i="886"/>
        </ext>
      </extLst>
    </bk>
    <bk>
      <extLst>
        <ext uri="{3e2802c4-a4d2-4d8b-9148-e3be6c30e623}">
          <xlrd:rvb i="887"/>
        </ext>
      </extLst>
    </bk>
    <bk>
      <extLst>
        <ext uri="{3e2802c4-a4d2-4d8b-9148-e3be6c30e623}">
          <xlrd:rvb i="888"/>
        </ext>
      </extLst>
    </bk>
    <bk>
      <extLst>
        <ext uri="{3e2802c4-a4d2-4d8b-9148-e3be6c30e623}">
          <xlrd:rvb i="889"/>
        </ext>
      </extLst>
    </bk>
    <bk>
      <extLst>
        <ext uri="{3e2802c4-a4d2-4d8b-9148-e3be6c30e623}">
          <xlrd:rvb i="890"/>
        </ext>
      </extLst>
    </bk>
    <bk>
      <extLst>
        <ext uri="{3e2802c4-a4d2-4d8b-9148-e3be6c30e623}">
          <xlrd:rvb i="891"/>
        </ext>
      </extLst>
    </bk>
    <bk>
      <extLst>
        <ext uri="{3e2802c4-a4d2-4d8b-9148-e3be6c30e623}">
          <xlrd:rvb i="892"/>
        </ext>
      </extLst>
    </bk>
    <bk>
      <extLst>
        <ext uri="{3e2802c4-a4d2-4d8b-9148-e3be6c30e623}">
          <xlrd:rvb i="893"/>
        </ext>
      </extLst>
    </bk>
    <bk>
      <extLst>
        <ext uri="{3e2802c4-a4d2-4d8b-9148-e3be6c30e623}">
          <xlrd:rvb i="894"/>
        </ext>
      </extLst>
    </bk>
    <bk>
      <extLst>
        <ext uri="{3e2802c4-a4d2-4d8b-9148-e3be6c30e623}">
          <xlrd:rvb i="895"/>
        </ext>
      </extLst>
    </bk>
    <bk>
      <extLst>
        <ext uri="{3e2802c4-a4d2-4d8b-9148-e3be6c30e623}">
          <xlrd:rvb i="896"/>
        </ext>
      </extLst>
    </bk>
    <bk>
      <extLst>
        <ext uri="{3e2802c4-a4d2-4d8b-9148-e3be6c30e623}">
          <xlrd:rvb i="897"/>
        </ext>
      </extLst>
    </bk>
    <bk>
      <extLst>
        <ext uri="{3e2802c4-a4d2-4d8b-9148-e3be6c30e623}">
          <xlrd:rvb i="898"/>
        </ext>
      </extLst>
    </bk>
    <bk>
      <extLst>
        <ext uri="{3e2802c4-a4d2-4d8b-9148-e3be6c30e623}">
          <xlrd:rvb i="899"/>
        </ext>
      </extLst>
    </bk>
    <bk>
      <extLst>
        <ext uri="{3e2802c4-a4d2-4d8b-9148-e3be6c30e623}">
          <xlrd:rvb i="900"/>
        </ext>
      </extLst>
    </bk>
    <bk>
      <extLst>
        <ext uri="{3e2802c4-a4d2-4d8b-9148-e3be6c30e623}">
          <xlrd:rvb i="901"/>
        </ext>
      </extLst>
    </bk>
    <bk>
      <extLst>
        <ext uri="{3e2802c4-a4d2-4d8b-9148-e3be6c30e623}">
          <xlrd:rvb i="902"/>
        </ext>
      </extLst>
    </bk>
    <bk>
      <extLst>
        <ext uri="{3e2802c4-a4d2-4d8b-9148-e3be6c30e623}">
          <xlrd:rvb i="903"/>
        </ext>
      </extLst>
    </bk>
    <bk>
      <extLst>
        <ext uri="{3e2802c4-a4d2-4d8b-9148-e3be6c30e623}">
          <xlrd:rvb i="904"/>
        </ext>
      </extLst>
    </bk>
    <bk>
      <extLst>
        <ext uri="{3e2802c4-a4d2-4d8b-9148-e3be6c30e623}">
          <xlrd:rvb i="905"/>
        </ext>
      </extLst>
    </bk>
    <bk>
      <extLst>
        <ext uri="{3e2802c4-a4d2-4d8b-9148-e3be6c30e623}">
          <xlrd:rvb i="906"/>
        </ext>
      </extLst>
    </bk>
    <bk>
      <extLst>
        <ext uri="{3e2802c4-a4d2-4d8b-9148-e3be6c30e623}">
          <xlrd:rvb i="907"/>
        </ext>
      </extLst>
    </bk>
    <bk>
      <extLst>
        <ext uri="{3e2802c4-a4d2-4d8b-9148-e3be6c30e623}">
          <xlrd:rvb i="908"/>
        </ext>
      </extLst>
    </bk>
    <bk>
      <extLst>
        <ext uri="{3e2802c4-a4d2-4d8b-9148-e3be6c30e623}">
          <xlrd:rvb i="909"/>
        </ext>
      </extLst>
    </bk>
    <bk>
      <extLst>
        <ext uri="{3e2802c4-a4d2-4d8b-9148-e3be6c30e623}">
          <xlrd:rvb i="910"/>
        </ext>
      </extLst>
    </bk>
    <bk>
      <extLst>
        <ext uri="{3e2802c4-a4d2-4d8b-9148-e3be6c30e623}">
          <xlrd:rvb i="911"/>
        </ext>
      </extLst>
    </bk>
    <bk>
      <extLst>
        <ext uri="{3e2802c4-a4d2-4d8b-9148-e3be6c30e623}">
          <xlrd:rvb i="912"/>
        </ext>
      </extLst>
    </bk>
    <bk>
      <extLst>
        <ext uri="{3e2802c4-a4d2-4d8b-9148-e3be6c30e623}">
          <xlrd:rvb i="913"/>
        </ext>
      </extLst>
    </bk>
    <bk>
      <extLst>
        <ext uri="{3e2802c4-a4d2-4d8b-9148-e3be6c30e623}">
          <xlrd:rvb i="914"/>
        </ext>
      </extLst>
    </bk>
    <bk>
      <extLst>
        <ext uri="{3e2802c4-a4d2-4d8b-9148-e3be6c30e623}">
          <xlrd:rvb i="915"/>
        </ext>
      </extLst>
    </bk>
    <bk>
      <extLst>
        <ext uri="{3e2802c4-a4d2-4d8b-9148-e3be6c30e623}">
          <xlrd:rvb i="916"/>
        </ext>
      </extLst>
    </bk>
    <bk>
      <extLst>
        <ext uri="{3e2802c4-a4d2-4d8b-9148-e3be6c30e623}">
          <xlrd:rvb i="917"/>
        </ext>
      </extLst>
    </bk>
    <bk>
      <extLst>
        <ext uri="{3e2802c4-a4d2-4d8b-9148-e3be6c30e623}">
          <xlrd:rvb i="918"/>
        </ext>
      </extLst>
    </bk>
    <bk>
      <extLst>
        <ext uri="{3e2802c4-a4d2-4d8b-9148-e3be6c30e623}">
          <xlrd:rvb i="919"/>
        </ext>
      </extLst>
    </bk>
    <bk>
      <extLst>
        <ext uri="{3e2802c4-a4d2-4d8b-9148-e3be6c30e623}">
          <xlrd:rvb i="920"/>
        </ext>
      </extLst>
    </bk>
    <bk>
      <extLst>
        <ext uri="{3e2802c4-a4d2-4d8b-9148-e3be6c30e623}">
          <xlrd:rvb i="921"/>
        </ext>
      </extLst>
    </bk>
    <bk>
      <extLst>
        <ext uri="{3e2802c4-a4d2-4d8b-9148-e3be6c30e623}">
          <xlrd:rvb i="922"/>
        </ext>
      </extLst>
    </bk>
    <bk>
      <extLst>
        <ext uri="{3e2802c4-a4d2-4d8b-9148-e3be6c30e623}">
          <xlrd:rvb i="923"/>
        </ext>
      </extLst>
    </bk>
    <bk>
      <extLst>
        <ext uri="{3e2802c4-a4d2-4d8b-9148-e3be6c30e623}">
          <xlrd:rvb i="924"/>
        </ext>
      </extLst>
    </bk>
    <bk>
      <extLst>
        <ext uri="{3e2802c4-a4d2-4d8b-9148-e3be6c30e623}">
          <xlrd:rvb i="925"/>
        </ext>
      </extLst>
    </bk>
    <bk>
      <extLst>
        <ext uri="{3e2802c4-a4d2-4d8b-9148-e3be6c30e623}">
          <xlrd:rvb i="926"/>
        </ext>
      </extLst>
    </bk>
    <bk>
      <extLst>
        <ext uri="{3e2802c4-a4d2-4d8b-9148-e3be6c30e623}">
          <xlrd:rvb i="927"/>
        </ext>
      </extLst>
    </bk>
    <bk>
      <extLst>
        <ext uri="{3e2802c4-a4d2-4d8b-9148-e3be6c30e623}">
          <xlrd:rvb i="928"/>
        </ext>
      </extLst>
    </bk>
    <bk>
      <extLst>
        <ext uri="{3e2802c4-a4d2-4d8b-9148-e3be6c30e623}">
          <xlrd:rvb i="929"/>
        </ext>
      </extLst>
    </bk>
    <bk>
      <extLst>
        <ext uri="{3e2802c4-a4d2-4d8b-9148-e3be6c30e623}">
          <xlrd:rvb i="930"/>
        </ext>
      </extLst>
    </bk>
    <bk>
      <extLst>
        <ext uri="{3e2802c4-a4d2-4d8b-9148-e3be6c30e623}">
          <xlrd:rvb i="931"/>
        </ext>
      </extLst>
    </bk>
    <bk>
      <extLst>
        <ext uri="{3e2802c4-a4d2-4d8b-9148-e3be6c30e623}">
          <xlrd:rvb i="932"/>
        </ext>
      </extLst>
    </bk>
    <bk>
      <extLst>
        <ext uri="{3e2802c4-a4d2-4d8b-9148-e3be6c30e623}">
          <xlrd:rvb i="933"/>
        </ext>
      </extLst>
    </bk>
    <bk>
      <extLst>
        <ext uri="{3e2802c4-a4d2-4d8b-9148-e3be6c30e623}">
          <xlrd:rvb i="934"/>
        </ext>
      </extLst>
    </bk>
    <bk>
      <extLst>
        <ext uri="{3e2802c4-a4d2-4d8b-9148-e3be6c30e623}">
          <xlrd:rvb i="935"/>
        </ext>
      </extLst>
    </bk>
    <bk>
      <extLst>
        <ext uri="{3e2802c4-a4d2-4d8b-9148-e3be6c30e623}">
          <xlrd:rvb i="936"/>
        </ext>
      </extLst>
    </bk>
    <bk>
      <extLst>
        <ext uri="{3e2802c4-a4d2-4d8b-9148-e3be6c30e623}">
          <xlrd:rvb i="937"/>
        </ext>
      </extLst>
    </bk>
    <bk>
      <extLst>
        <ext uri="{3e2802c4-a4d2-4d8b-9148-e3be6c30e623}">
          <xlrd:rvb i="938"/>
        </ext>
      </extLst>
    </bk>
    <bk>
      <extLst>
        <ext uri="{3e2802c4-a4d2-4d8b-9148-e3be6c30e623}">
          <xlrd:rvb i="939"/>
        </ext>
      </extLst>
    </bk>
    <bk>
      <extLst>
        <ext uri="{3e2802c4-a4d2-4d8b-9148-e3be6c30e623}">
          <xlrd:rvb i="940"/>
        </ext>
      </extLst>
    </bk>
    <bk>
      <extLst>
        <ext uri="{3e2802c4-a4d2-4d8b-9148-e3be6c30e623}">
          <xlrd:rvb i="941"/>
        </ext>
      </extLst>
    </bk>
    <bk>
      <extLst>
        <ext uri="{3e2802c4-a4d2-4d8b-9148-e3be6c30e623}">
          <xlrd:rvb i="942"/>
        </ext>
      </extLst>
    </bk>
    <bk>
      <extLst>
        <ext uri="{3e2802c4-a4d2-4d8b-9148-e3be6c30e623}">
          <xlrd:rvb i="943"/>
        </ext>
      </extLst>
    </bk>
    <bk>
      <extLst>
        <ext uri="{3e2802c4-a4d2-4d8b-9148-e3be6c30e623}">
          <xlrd:rvb i="944"/>
        </ext>
      </extLst>
    </bk>
    <bk>
      <extLst>
        <ext uri="{3e2802c4-a4d2-4d8b-9148-e3be6c30e623}">
          <xlrd:rvb i="945"/>
        </ext>
      </extLst>
    </bk>
    <bk>
      <extLst>
        <ext uri="{3e2802c4-a4d2-4d8b-9148-e3be6c30e623}">
          <xlrd:rvb i="946"/>
        </ext>
      </extLst>
    </bk>
    <bk>
      <extLst>
        <ext uri="{3e2802c4-a4d2-4d8b-9148-e3be6c30e623}">
          <xlrd:rvb i="947"/>
        </ext>
      </extLst>
    </bk>
    <bk>
      <extLst>
        <ext uri="{3e2802c4-a4d2-4d8b-9148-e3be6c30e623}">
          <xlrd:rvb i="948"/>
        </ext>
      </extLst>
    </bk>
    <bk>
      <extLst>
        <ext uri="{3e2802c4-a4d2-4d8b-9148-e3be6c30e623}">
          <xlrd:rvb i="949"/>
        </ext>
      </extLst>
    </bk>
    <bk>
      <extLst>
        <ext uri="{3e2802c4-a4d2-4d8b-9148-e3be6c30e623}">
          <xlrd:rvb i="950"/>
        </ext>
      </extLst>
    </bk>
    <bk>
      <extLst>
        <ext uri="{3e2802c4-a4d2-4d8b-9148-e3be6c30e623}">
          <xlrd:rvb i="951"/>
        </ext>
      </extLst>
    </bk>
    <bk>
      <extLst>
        <ext uri="{3e2802c4-a4d2-4d8b-9148-e3be6c30e623}">
          <xlrd:rvb i="952"/>
        </ext>
      </extLst>
    </bk>
    <bk>
      <extLst>
        <ext uri="{3e2802c4-a4d2-4d8b-9148-e3be6c30e623}">
          <xlrd:rvb i="953"/>
        </ext>
      </extLst>
    </bk>
    <bk>
      <extLst>
        <ext uri="{3e2802c4-a4d2-4d8b-9148-e3be6c30e623}">
          <xlrd:rvb i="954"/>
        </ext>
      </extLst>
    </bk>
    <bk>
      <extLst>
        <ext uri="{3e2802c4-a4d2-4d8b-9148-e3be6c30e623}">
          <xlrd:rvb i="955"/>
        </ext>
      </extLst>
    </bk>
    <bk>
      <extLst>
        <ext uri="{3e2802c4-a4d2-4d8b-9148-e3be6c30e623}">
          <xlrd:rvb i="956"/>
        </ext>
      </extLst>
    </bk>
    <bk>
      <extLst>
        <ext uri="{3e2802c4-a4d2-4d8b-9148-e3be6c30e623}">
          <xlrd:rvb i="957"/>
        </ext>
      </extLst>
    </bk>
    <bk>
      <extLst>
        <ext uri="{3e2802c4-a4d2-4d8b-9148-e3be6c30e623}">
          <xlrd:rvb i="958"/>
        </ext>
      </extLst>
    </bk>
    <bk>
      <extLst>
        <ext uri="{3e2802c4-a4d2-4d8b-9148-e3be6c30e623}">
          <xlrd:rvb i="959"/>
        </ext>
      </extLst>
    </bk>
    <bk>
      <extLst>
        <ext uri="{3e2802c4-a4d2-4d8b-9148-e3be6c30e623}">
          <xlrd:rvb i="960"/>
        </ext>
      </extLst>
    </bk>
    <bk>
      <extLst>
        <ext uri="{3e2802c4-a4d2-4d8b-9148-e3be6c30e623}">
          <xlrd:rvb i="961"/>
        </ext>
      </extLst>
    </bk>
    <bk>
      <extLst>
        <ext uri="{3e2802c4-a4d2-4d8b-9148-e3be6c30e623}">
          <xlrd:rvb i="962"/>
        </ext>
      </extLst>
    </bk>
    <bk>
      <extLst>
        <ext uri="{3e2802c4-a4d2-4d8b-9148-e3be6c30e623}">
          <xlrd:rvb i="963"/>
        </ext>
      </extLst>
    </bk>
    <bk>
      <extLst>
        <ext uri="{3e2802c4-a4d2-4d8b-9148-e3be6c30e623}">
          <xlrd:rvb i="964"/>
        </ext>
      </extLst>
    </bk>
    <bk>
      <extLst>
        <ext uri="{3e2802c4-a4d2-4d8b-9148-e3be6c30e623}">
          <xlrd:rvb i="965"/>
        </ext>
      </extLst>
    </bk>
    <bk>
      <extLst>
        <ext uri="{3e2802c4-a4d2-4d8b-9148-e3be6c30e623}">
          <xlrd:rvb i="966"/>
        </ext>
      </extLst>
    </bk>
    <bk>
      <extLst>
        <ext uri="{3e2802c4-a4d2-4d8b-9148-e3be6c30e623}">
          <xlrd:rvb i="967"/>
        </ext>
      </extLst>
    </bk>
    <bk>
      <extLst>
        <ext uri="{3e2802c4-a4d2-4d8b-9148-e3be6c30e623}">
          <xlrd:rvb i="968"/>
        </ext>
      </extLst>
    </bk>
    <bk>
      <extLst>
        <ext uri="{3e2802c4-a4d2-4d8b-9148-e3be6c30e623}">
          <xlrd:rvb i="969"/>
        </ext>
      </extLst>
    </bk>
    <bk>
      <extLst>
        <ext uri="{3e2802c4-a4d2-4d8b-9148-e3be6c30e623}">
          <xlrd:rvb i="970"/>
        </ext>
      </extLst>
    </bk>
    <bk>
      <extLst>
        <ext uri="{3e2802c4-a4d2-4d8b-9148-e3be6c30e623}">
          <xlrd:rvb i="971"/>
        </ext>
      </extLst>
    </bk>
    <bk>
      <extLst>
        <ext uri="{3e2802c4-a4d2-4d8b-9148-e3be6c30e623}">
          <xlrd:rvb i="972"/>
        </ext>
      </extLst>
    </bk>
    <bk>
      <extLst>
        <ext uri="{3e2802c4-a4d2-4d8b-9148-e3be6c30e623}">
          <xlrd:rvb i="973"/>
        </ext>
      </extLst>
    </bk>
    <bk>
      <extLst>
        <ext uri="{3e2802c4-a4d2-4d8b-9148-e3be6c30e623}">
          <xlrd:rvb i="974"/>
        </ext>
      </extLst>
    </bk>
    <bk>
      <extLst>
        <ext uri="{3e2802c4-a4d2-4d8b-9148-e3be6c30e623}">
          <xlrd:rvb i="975"/>
        </ext>
      </extLst>
    </bk>
    <bk>
      <extLst>
        <ext uri="{3e2802c4-a4d2-4d8b-9148-e3be6c30e623}">
          <xlrd:rvb i="976"/>
        </ext>
      </extLst>
    </bk>
    <bk>
      <extLst>
        <ext uri="{3e2802c4-a4d2-4d8b-9148-e3be6c30e623}">
          <xlrd:rvb i="977"/>
        </ext>
      </extLst>
    </bk>
    <bk>
      <extLst>
        <ext uri="{3e2802c4-a4d2-4d8b-9148-e3be6c30e623}">
          <xlrd:rvb i="978"/>
        </ext>
      </extLst>
    </bk>
    <bk>
      <extLst>
        <ext uri="{3e2802c4-a4d2-4d8b-9148-e3be6c30e623}">
          <xlrd:rvb i="979"/>
        </ext>
      </extLst>
    </bk>
    <bk>
      <extLst>
        <ext uri="{3e2802c4-a4d2-4d8b-9148-e3be6c30e623}">
          <xlrd:rvb i="980"/>
        </ext>
      </extLst>
    </bk>
    <bk>
      <extLst>
        <ext uri="{3e2802c4-a4d2-4d8b-9148-e3be6c30e623}">
          <xlrd:rvb i="981"/>
        </ext>
      </extLst>
    </bk>
    <bk>
      <extLst>
        <ext uri="{3e2802c4-a4d2-4d8b-9148-e3be6c30e623}">
          <xlrd:rvb i="982"/>
        </ext>
      </extLst>
    </bk>
    <bk>
      <extLst>
        <ext uri="{3e2802c4-a4d2-4d8b-9148-e3be6c30e623}">
          <xlrd:rvb i="983"/>
        </ext>
      </extLst>
    </bk>
    <bk>
      <extLst>
        <ext uri="{3e2802c4-a4d2-4d8b-9148-e3be6c30e623}">
          <xlrd:rvb i="984"/>
        </ext>
      </extLst>
    </bk>
    <bk>
      <extLst>
        <ext uri="{3e2802c4-a4d2-4d8b-9148-e3be6c30e623}">
          <xlrd:rvb i="985"/>
        </ext>
      </extLst>
    </bk>
    <bk>
      <extLst>
        <ext uri="{3e2802c4-a4d2-4d8b-9148-e3be6c30e623}">
          <xlrd:rvb i="986"/>
        </ext>
      </extLst>
    </bk>
    <bk>
      <extLst>
        <ext uri="{3e2802c4-a4d2-4d8b-9148-e3be6c30e623}">
          <xlrd:rvb i="987"/>
        </ext>
      </extLst>
    </bk>
    <bk>
      <extLst>
        <ext uri="{3e2802c4-a4d2-4d8b-9148-e3be6c30e623}">
          <xlrd:rvb i="988"/>
        </ext>
      </extLst>
    </bk>
    <bk>
      <extLst>
        <ext uri="{3e2802c4-a4d2-4d8b-9148-e3be6c30e623}">
          <xlrd:rvb i="989"/>
        </ext>
      </extLst>
    </bk>
    <bk>
      <extLst>
        <ext uri="{3e2802c4-a4d2-4d8b-9148-e3be6c30e623}">
          <xlrd:rvb i="990"/>
        </ext>
      </extLst>
    </bk>
    <bk>
      <extLst>
        <ext uri="{3e2802c4-a4d2-4d8b-9148-e3be6c30e623}">
          <xlrd:rvb i="991"/>
        </ext>
      </extLst>
    </bk>
    <bk>
      <extLst>
        <ext uri="{3e2802c4-a4d2-4d8b-9148-e3be6c30e623}">
          <xlrd:rvb i="992"/>
        </ext>
      </extLst>
    </bk>
    <bk>
      <extLst>
        <ext uri="{3e2802c4-a4d2-4d8b-9148-e3be6c30e623}">
          <xlrd:rvb i="993"/>
        </ext>
      </extLst>
    </bk>
    <bk>
      <extLst>
        <ext uri="{3e2802c4-a4d2-4d8b-9148-e3be6c30e623}">
          <xlrd:rvb i="994"/>
        </ext>
      </extLst>
    </bk>
    <bk>
      <extLst>
        <ext uri="{3e2802c4-a4d2-4d8b-9148-e3be6c30e623}">
          <xlrd:rvb i="995"/>
        </ext>
      </extLst>
    </bk>
    <bk>
      <extLst>
        <ext uri="{3e2802c4-a4d2-4d8b-9148-e3be6c30e623}">
          <xlrd:rvb i="996"/>
        </ext>
      </extLst>
    </bk>
    <bk>
      <extLst>
        <ext uri="{3e2802c4-a4d2-4d8b-9148-e3be6c30e623}">
          <xlrd:rvb i="997"/>
        </ext>
      </extLst>
    </bk>
    <bk>
      <extLst>
        <ext uri="{3e2802c4-a4d2-4d8b-9148-e3be6c30e623}">
          <xlrd:rvb i="998"/>
        </ext>
      </extLst>
    </bk>
    <bk>
      <extLst>
        <ext uri="{3e2802c4-a4d2-4d8b-9148-e3be6c30e623}">
          <xlrd:rvb i="999"/>
        </ext>
      </extLst>
    </bk>
    <bk>
      <extLst>
        <ext uri="{3e2802c4-a4d2-4d8b-9148-e3be6c30e623}">
          <xlrd:rvb i="1000"/>
        </ext>
      </extLst>
    </bk>
    <bk>
      <extLst>
        <ext uri="{3e2802c4-a4d2-4d8b-9148-e3be6c30e623}">
          <xlrd:rvb i="1001"/>
        </ext>
      </extLst>
    </bk>
    <bk>
      <extLst>
        <ext uri="{3e2802c4-a4d2-4d8b-9148-e3be6c30e623}">
          <xlrd:rvb i="1002"/>
        </ext>
      </extLst>
    </bk>
    <bk>
      <extLst>
        <ext uri="{3e2802c4-a4d2-4d8b-9148-e3be6c30e623}">
          <xlrd:rvb i="1003"/>
        </ext>
      </extLst>
    </bk>
    <bk>
      <extLst>
        <ext uri="{3e2802c4-a4d2-4d8b-9148-e3be6c30e623}">
          <xlrd:rvb i="1004"/>
        </ext>
      </extLst>
    </bk>
    <bk>
      <extLst>
        <ext uri="{3e2802c4-a4d2-4d8b-9148-e3be6c30e623}">
          <xlrd:rvb i="1005"/>
        </ext>
      </extLst>
    </bk>
    <bk>
      <extLst>
        <ext uri="{3e2802c4-a4d2-4d8b-9148-e3be6c30e623}">
          <xlrd:rvb i="1006"/>
        </ext>
      </extLst>
    </bk>
    <bk>
      <extLst>
        <ext uri="{3e2802c4-a4d2-4d8b-9148-e3be6c30e623}">
          <xlrd:rvb i="1007"/>
        </ext>
      </extLst>
    </bk>
    <bk>
      <extLst>
        <ext uri="{3e2802c4-a4d2-4d8b-9148-e3be6c30e623}">
          <xlrd:rvb i="1008"/>
        </ext>
      </extLst>
    </bk>
    <bk>
      <extLst>
        <ext uri="{3e2802c4-a4d2-4d8b-9148-e3be6c30e623}">
          <xlrd:rvb i="1009"/>
        </ext>
      </extLst>
    </bk>
    <bk>
      <extLst>
        <ext uri="{3e2802c4-a4d2-4d8b-9148-e3be6c30e623}">
          <xlrd:rvb i="1010"/>
        </ext>
      </extLst>
    </bk>
    <bk>
      <extLst>
        <ext uri="{3e2802c4-a4d2-4d8b-9148-e3be6c30e623}">
          <xlrd:rvb i="1011"/>
        </ext>
      </extLst>
    </bk>
    <bk>
      <extLst>
        <ext uri="{3e2802c4-a4d2-4d8b-9148-e3be6c30e623}">
          <xlrd:rvb i="1012"/>
        </ext>
      </extLst>
    </bk>
    <bk>
      <extLst>
        <ext uri="{3e2802c4-a4d2-4d8b-9148-e3be6c30e623}">
          <xlrd:rvb i="1013"/>
        </ext>
      </extLst>
    </bk>
    <bk>
      <extLst>
        <ext uri="{3e2802c4-a4d2-4d8b-9148-e3be6c30e623}">
          <xlrd:rvb i="1014"/>
        </ext>
      </extLst>
    </bk>
    <bk>
      <extLst>
        <ext uri="{3e2802c4-a4d2-4d8b-9148-e3be6c30e623}">
          <xlrd:rvb i="1015"/>
        </ext>
      </extLst>
    </bk>
    <bk>
      <extLst>
        <ext uri="{3e2802c4-a4d2-4d8b-9148-e3be6c30e623}">
          <xlrd:rvb i="1016"/>
        </ext>
      </extLst>
    </bk>
    <bk>
      <extLst>
        <ext uri="{3e2802c4-a4d2-4d8b-9148-e3be6c30e623}">
          <xlrd:rvb i="1017"/>
        </ext>
      </extLst>
    </bk>
    <bk>
      <extLst>
        <ext uri="{3e2802c4-a4d2-4d8b-9148-e3be6c30e623}">
          <xlrd:rvb i="1018"/>
        </ext>
      </extLst>
    </bk>
    <bk>
      <extLst>
        <ext uri="{3e2802c4-a4d2-4d8b-9148-e3be6c30e623}">
          <xlrd:rvb i="1019"/>
        </ext>
      </extLst>
    </bk>
    <bk>
      <extLst>
        <ext uri="{3e2802c4-a4d2-4d8b-9148-e3be6c30e623}">
          <xlrd:rvb i="1020"/>
        </ext>
      </extLst>
    </bk>
    <bk>
      <extLst>
        <ext uri="{3e2802c4-a4d2-4d8b-9148-e3be6c30e623}">
          <xlrd:rvb i="1021"/>
        </ext>
      </extLst>
    </bk>
    <bk>
      <extLst>
        <ext uri="{3e2802c4-a4d2-4d8b-9148-e3be6c30e623}">
          <xlrd:rvb i="1022"/>
        </ext>
      </extLst>
    </bk>
    <bk>
      <extLst>
        <ext uri="{3e2802c4-a4d2-4d8b-9148-e3be6c30e623}">
          <xlrd:rvb i="1023"/>
        </ext>
      </extLst>
    </bk>
    <bk>
      <extLst>
        <ext uri="{3e2802c4-a4d2-4d8b-9148-e3be6c30e623}">
          <xlrd:rvb i="1024"/>
        </ext>
      </extLst>
    </bk>
    <bk>
      <extLst>
        <ext uri="{3e2802c4-a4d2-4d8b-9148-e3be6c30e623}">
          <xlrd:rvb i="1025"/>
        </ext>
      </extLst>
    </bk>
    <bk>
      <extLst>
        <ext uri="{3e2802c4-a4d2-4d8b-9148-e3be6c30e623}">
          <xlrd:rvb i="1026"/>
        </ext>
      </extLst>
    </bk>
    <bk>
      <extLst>
        <ext uri="{3e2802c4-a4d2-4d8b-9148-e3be6c30e623}">
          <xlrd:rvb i="1027"/>
        </ext>
      </extLst>
    </bk>
    <bk>
      <extLst>
        <ext uri="{3e2802c4-a4d2-4d8b-9148-e3be6c30e623}">
          <xlrd:rvb i="1028"/>
        </ext>
      </extLst>
    </bk>
    <bk>
      <extLst>
        <ext uri="{3e2802c4-a4d2-4d8b-9148-e3be6c30e623}">
          <xlrd:rvb i="1029"/>
        </ext>
      </extLst>
    </bk>
    <bk>
      <extLst>
        <ext uri="{3e2802c4-a4d2-4d8b-9148-e3be6c30e623}">
          <xlrd:rvb i="1030"/>
        </ext>
      </extLst>
    </bk>
    <bk>
      <extLst>
        <ext uri="{3e2802c4-a4d2-4d8b-9148-e3be6c30e623}">
          <xlrd:rvb i="1031"/>
        </ext>
      </extLst>
    </bk>
    <bk>
      <extLst>
        <ext uri="{3e2802c4-a4d2-4d8b-9148-e3be6c30e623}">
          <xlrd:rvb i="1032"/>
        </ext>
      </extLst>
    </bk>
    <bk>
      <extLst>
        <ext uri="{3e2802c4-a4d2-4d8b-9148-e3be6c30e623}">
          <xlrd:rvb i="1033"/>
        </ext>
      </extLst>
    </bk>
    <bk>
      <extLst>
        <ext uri="{3e2802c4-a4d2-4d8b-9148-e3be6c30e623}">
          <xlrd:rvb i="1034"/>
        </ext>
      </extLst>
    </bk>
    <bk>
      <extLst>
        <ext uri="{3e2802c4-a4d2-4d8b-9148-e3be6c30e623}">
          <xlrd:rvb i="1035"/>
        </ext>
      </extLst>
    </bk>
    <bk>
      <extLst>
        <ext uri="{3e2802c4-a4d2-4d8b-9148-e3be6c30e623}">
          <xlrd:rvb i="1036"/>
        </ext>
      </extLst>
    </bk>
    <bk>
      <extLst>
        <ext uri="{3e2802c4-a4d2-4d8b-9148-e3be6c30e623}">
          <xlrd:rvb i="1037"/>
        </ext>
      </extLst>
    </bk>
    <bk>
      <extLst>
        <ext uri="{3e2802c4-a4d2-4d8b-9148-e3be6c30e623}">
          <xlrd:rvb i="1038"/>
        </ext>
      </extLst>
    </bk>
    <bk>
      <extLst>
        <ext uri="{3e2802c4-a4d2-4d8b-9148-e3be6c30e623}">
          <xlrd:rvb i="1039"/>
        </ext>
      </extLst>
    </bk>
    <bk>
      <extLst>
        <ext uri="{3e2802c4-a4d2-4d8b-9148-e3be6c30e623}">
          <xlrd:rvb i="1040"/>
        </ext>
      </extLst>
    </bk>
    <bk>
      <extLst>
        <ext uri="{3e2802c4-a4d2-4d8b-9148-e3be6c30e623}">
          <xlrd:rvb i="1041"/>
        </ext>
      </extLst>
    </bk>
    <bk>
      <extLst>
        <ext uri="{3e2802c4-a4d2-4d8b-9148-e3be6c30e623}">
          <xlrd:rvb i="1042"/>
        </ext>
      </extLst>
    </bk>
    <bk>
      <extLst>
        <ext uri="{3e2802c4-a4d2-4d8b-9148-e3be6c30e623}">
          <xlrd:rvb i="1043"/>
        </ext>
      </extLst>
    </bk>
    <bk>
      <extLst>
        <ext uri="{3e2802c4-a4d2-4d8b-9148-e3be6c30e623}">
          <xlrd:rvb i="1044"/>
        </ext>
      </extLst>
    </bk>
    <bk>
      <extLst>
        <ext uri="{3e2802c4-a4d2-4d8b-9148-e3be6c30e623}">
          <xlrd:rvb i="1045"/>
        </ext>
      </extLst>
    </bk>
    <bk>
      <extLst>
        <ext uri="{3e2802c4-a4d2-4d8b-9148-e3be6c30e623}">
          <xlrd:rvb i="1046"/>
        </ext>
      </extLst>
    </bk>
    <bk>
      <extLst>
        <ext uri="{3e2802c4-a4d2-4d8b-9148-e3be6c30e623}">
          <xlrd:rvb i="1047"/>
        </ext>
      </extLst>
    </bk>
    <bk>
      <extLst>
        <ext uri="{3e2802c4-a4d2-4d8b-9148-e3be6c30e623}">
          <xlrd:rvb i="1048"/>
        </ext>
      </extLst>
    </bk>
    <bk>
      <extLst>
        <ext uri="{3e2802c4-a4d2-4d8b-9148-e3be6c30e623}">
          <xlrd:rvb i="1049"/>
        </ext>
      </extLst>
    </bk>
    <bk>
      <extLst>
        <ext uri="{3e2802c4-a4d2-4d8b-9148-e3be6c30e623}">
          <xlrd:rvb i="1050"/>
        </ext>
      </extLst>
    </bk>
    <bk>
      <extLst>
        <ext uri="{3e2802c4-a4d2-4d8b-9148-e3be6c30e623}">
          <xlrd:rvb i="1051"/>
        </ext>
      </extLst>
    </bk>
    <bk>
      <extLst>
        <ext uri="{3e2802c4-a4d2-4d8b-9148-e3be6c30e623}">
          <xlrd:rvb i="1052"/>
        </ext>
      </extLst>
    </bk>
    <bk>
      <extLst>
        <ext uri="{3e2802c4-a4d2-4d8b-9148-e3be6c30e623}">
          <xlrd:rvb i="1053"/>
        </ext>
      </extLst>
    </bk>
    <bk>
      <extLst>
        <ext uri="{3e2802c4-a4d2-4d8b-9148-e3be6c30e623}">
          <xlrd:rvb i="1054"/>
        </ext>
      </extLst>
    </bk>
    <bk>
      <extLst>
        <ext uri="{3e2802c4-a4d2-4d8b-9148-e3be6c30e623}">
          <xlrd:rvb i="1055"/>
        </ext>
      </extLst>
    </bk>
    <bk>
      <extLst>
        <ext uri="{3e2802c4-a4d2-4d8b-9148-e3be6c30e623}">
          <xlrd:rvb i="1056"/>
        </ext>
      </extLst>
    </bk>
    <bk>
      <extLst>
        <ext uri="{3e2802c4-a4d2-4d8b-9148-e3be6c30e623}">
          <xlrd:rvb i="1057"/>
        </ext>
      </extLst>
    </bk>
    <bk>
      <extLst>
        <ext uri="{3e2802c4-a4d2-4d8b-9148-e3be6c30e623}">
          <xlrd:rvb i="1058"/>
        </ext>
      </extLst>
    </bk>
    <bk>
      <extLst>
        <ext uri="{3e2802c4-a4d2-4d8b-9148-e3be6c30e623}">
          <xlrd:rvb i="1059"/>
        </ext>
      </extLst>
    </bk>
    <bk>
      <extLst>
        <ext uri="{3e2802c4-a4d2-4d8b-9148-e3be6c30e623}">
          <xlrd:rvb i="1060"/>
        </ext>
      </extLst>
    </bk>
    <bk>
      <extLst>
        <ext uri="{3e2802c4-a4d2-4d8b-9148-e3be6c30e623}">
          <xlrd:rvb i="1061"/>
        </ext>
      </extLst>
    </bk>
    <bk>
      <extLst>
        <ext uri="{3e2802c4-a4d2-4d8b-9148-e3be6c30e623}">
          <xlrd:rvb i="1062"/>
        </ext>
      </extLst>
    </bk>
    <bk>
      <extLst>
        <ext uri="{3e2802c4-a4d2-4d8b-9148-e3be6c30e623}">
          <xlrd:rvb i="1063"/>
        </ext>
      </extLst>
    </bk>
    <bk>
      <extLst>
        <ext uri="{3e2802c4-a4d2-4d8b-9148-e3be6c30e623}">
          <xlrd:rvb i="1064"/>
        </ext>
      </extLst>
    </bk>
    <bk>
      <extLst>
        <ext uri="{3e2802c4-a4d2-4d8b-9148-e3be6c30e623}">
          <xlrd:rvb i="1065"/>
        </ext>
      </extLst>
    </bk>
    <bk>
      <extLst>
        <ext uri="{3e2802c4-a4d2-4d8b-9148-e3be6c30e623}">
          <xlrd:rvb i="1066"/>
        </ext>
      </extLst>
    </bk>
    <bk>
      <extLst>
        <ext uri="{3e2802c4-a4d2-4d8b-9148-e3be6c30e623}">
          <xlrd:rvb i="1067"/>
        </ext>
      </extLst>
    </bk>
    <bk>
      <extLst>
        <ext uri="{3e2802c4-a4d2-4d8b-9148-e3be6c30e623}">
          <xlrd:rvb i="1068"/>
        </ext>
      </extLst>
    </bk>
    <bk>
      <extLst>
        <ext uri="{3e2802c4-a4d2-4d8b-9148-e3be6c30e623}">
          <xlrd:rvb i="1069"/>
        </ext>
      </extLst>
    </bk>
    <bk>
      <extLst>
        <ext uri="{3e2802c4-a4d2-4d8b-9148-e3be6c30e623}">
          <xlrd:rvb i="1070"/>
        </ext>
      </extLst>
    </bk>
    <bk>
      <extLst>
        <ext uri="{3e2802c4-a4d2-4d8b-9148-e3be6c30e623}">
          <xlrd:rvb i="1071"/>
        </ext>
      </extLst>
    </bk>
    <bk>
      <extLst>
        <ext uri="{3e2802c4-a4d2-4d8b-9148-e3be6c30e623}">
          <xlrd:rvb i="1072"/>
        </ext>
      </extLst>
    </bk>
    <bk>
      <extLst>
        <ext uri="{3e2802c4-a4d2-4d8b-9148-e3be6c30e623}">
          <xlrd:rvb i="1073"/>
        </ext>
      </extLst>
    </bk>
    <bk>
      <extLst>
        <ext uri="{3e2802c4-a4d2-4d8b-9148-e3be6c30e623}">
          <xlrd:rvb i="1074"/>
        </ext>
      </extLst>
    </bk>
    <bk>
      <extLst>
        <ext uri="{3e2802c4-a4d2-4d8b-9148-e3be6c30e623}">
          <xlrd:rvb i="1075"/>
        </ext>
      </extLst>
    </bk>
    <bk>
      <extLst>
        <ext uri="{3e2802c4-a4d2-4d8b-9148-e3be6c30e623}">
          <xlrd:rvb i="1076"/>
        </ext>
      </extLst>
    </bk>
    <bk>
      <extLst>
        <ext uri="{3e2802c4-a4d2-4d8b-9148-e3be6c30e623}">
          <xlrd:rvb i="1077"/>
        </ext>
      </extLst>
    </bk>
    <bk>
      <extLst>
        <ext uri="{3e2802c4-a4d2-4d8b-9148-e3be6c30e623}">
          <xlrd:rvb i="1078"/>
        </ext>
      </extLst>
    </bk>
    <bk>
      <extLst>
        <ext uri="{3e2802c4-a4d2-4d8b-9148-e3be6c30e623}">
          <xlrd:rvb i="1079"/>
        </ext>
      </extLst>
    </bk>
    <bk>
      <extLst>
        <ext uri="{3e2802c4-a4d2-4d8b-9148-e3be6c30e623}">
          <xlrd:rvb i="1080"/>
        </ext>
      </extLst>
    </bk>
    <bk>
      <extLst>
        <ext uri="{3e2802c4-a4d2-4d8b-9148-e3be6c30e623}">
          <xlrd:rvb i="1081"/>
        </ext>
      </extLst>
    </bk>
    <bk>
      <extLst>
        <ext uri="{3e2802c4-a4d2-4d8b-9148-e3be6c30e623}">
          <xlrd:rvb i="1082"/>
        </ext>
      </extLst>
    </bk>
    <bk>
      <extLst>
        <ext uri="{3e2802c4-a4d2-4d8b-9148-e3be6c30e623}">
          <xlrd:rvb i="1083"/>
        </ext>
      </extLst>
    </bk>
    <bk>
      <extLst>
        <ext uri="{3e2802c4-a4d2-4d8b-9148-e3be6c30e623}">
          <xlrd:rvb i="1084"/>
        </ext>
      </extLst>
    </bk>
    <bk>
      <extLst>
        <ext uri="{3e2802c4-a4d2-4d8b-9148-e3be6c30e623}">
          <xlrd:rvb i="1085"/>
        </ext>
      </extLst>
    </bk>
    <bk>
      <extLst>
        <ext uri="{3e2802c4-a4d2-4d8b-9148-e3be6c30e623}">
          <xlrd:rvb i="1086"/>
        </ext>
      </extLst>
    </bk>
    <bk>
      <extLst>
        <ext uri="{3e2802c4-a4d2-4d8b-9148-e3be6c30e623}">
          <xlrd:rvb i="1087"/>
        </ext>
      </extLst>
    </bk>
    <bk>
      <extLst>
        <ext uri="{3e2802c4-a4d2-4d8b-9148-e3be6c30e623}">
          <xlrd:rvb i="1088"/>
        </ext>
      </extLst>
    </bk>
    <bk>
      <extLst>
        <ext uri="{3e2802c4-a4d2-4d8b-9148-e3be6c30e623}">
          <xlrd:rvb i="1089"/>
        </ext>
      </extLst>
    </bk>
    <bk>
      <extLst>
        <ext uri="{3e2802c4-a4d2-4d8b-9148-e3be6c30e623}">
          <xlrd:rvb i="1090"/>
        </ext>
      </extLst>
    </bk>
    <bk>
      <extLst>
        <ext uri="{3e2802c4-a4d2-4d8b-9148-e3be6c30e623}">
          <xlrd:rvb i="1091"/>
        </ext>
      </extLst>
    </bk>
    <bk>
      <extLst>
        <ext uri="{3e2802c4-a4d2-4d8b-9148-e3be6c30e623}">
          <xlrd:rvb i="1092"/>
        </ext>
      </extLst>
    </bk>
    <bk>
      <extLst>
        <ext uri="{3e2802c4-a4d2-4d8b-9148-e3be6c30e623}">
          <xlrd:rvb i="1093"/>
        </ext>
      </extLst>
    </bk>
    <bk>
      <extLst>
        <ext uri="{3e2802c4-a4d2-4d8b-9148-e3be6c30e623}">
          <xlrd:rvb i="1094"/>
        </ext>
      </extLst>
    </bk>
    <bk>
      <extLst>
        <ext uri="{3e2802c4-a4d2-4d8b-9148-e3be6c30e623}">
          <xlrd:rvb i="1095"/>
        </ext>
      </extLst>
    </bk>
    <bk>
      <extLst>
        <ext uri="{3e2802c4-a4d2-4d8b-9148-e3be6c30e623}">
          <xlrd:rvb i="1096"/>
        </ext>
      </extLst>
    </bk>
    <bk>
      <extLst>
        <ext uri="{3e2802c4-a4d2-4d8b-9148-e3be6c30e623}">
          <xlrd:rvb i="1097"/>
        </ext>
      </extLst>
    </bk>
    <bk>
      <extLst>
        <ext uri="{3e2802c4-a4d2-4d8b-9148-e3be6c30e623}">
          <xlrd:rvb i="1098"/>
        </ext>
      </extLst>
    </bk>
    <bk>
      <extLst>
        <ext uri="{3e2802c4-a4d2-4d8b-9148-e3be6c30e623}">
          <xlrd:rvb i="1099"/>
        </ext>
      </extLst>
    </bk>
    <bk>
      <extLst>
        <ext uri="{3e2802c4-a4d2-4d8b-9148-e3be6c30e623}">
          <xlrd:rvb i="1100"/>
        </ext>
      </extLst>
    </bk>
    <bk>
      <extLst>
        <ext uri="{3e2802c4-a4d2-4d8b-9148-e3be6c30e623}">
          <xlrd:rvb i="1101"/>
        </ext>
      </extLst>
    </bk>
    <bk>
      <extLst>
        <ext uri="{3e2802c4-a4d2-4d8b-9148-e3be6c30e623}">
          <xlrd:rvb i="1102"/>
        </ext>
      </extLst>
    </bk>
    <bk>
      <extLst>
        <ext uri="{3e2802c4-a4d2-4d8b-9148-e3be6c30e623}">
          <xlrd:rvb i="1103"/>
        </ext>
      </extLst>
    </bk>
    <bk>
      <extLst>
        <ext uri="{3e2802c4-a4d2-4d8b-9148-e3be6c30e623}">
          <xlrd:rvb i="1104"/>
        </ext>
      </extLst>
    </bk>
    <bk>
      <extLst>
        <ext uri="{3e2802c4-a4d2-4d8b-9148-e3be6c30e623}">
          <xlrd:rvb i="1105"/>
        </ext>
      </extLst>
    </bk>
    <bk>
      <extLst>
        <ext uri="{3e2802c4-a4d2-4d8b-9148-e3be6c30e623}">
          <xlrd:rvb i="1106"/>
        </ext>
      </extLst>
    </bk>
    <bk>
      <extLst>
        <ext uri="{3e2802c4-a4d2-4d8b-9148-e3be6c30e623}">
          <xlrd:rvb i="1107"/>
        </ext>
      </extLst>
    </bk>
    <bk>
      <extLst>
        <ext uri="{3e2802c4-a4d2-4d8b-9148-e3be6c30e623}">
          <xlrd:rvb i="1108"/>
        </ext>
      </extLst>
    </bk>
    <bk>
      <extLst>
        <ext uri="{3e2802c4-a4d2-4d8b-9148-e3be6c30e623}">
          <xlrd:rvb i="1109"/>
        </ext>
      </extLst>
    </bk>
    <bk>
      <extLst>
        <ext uri="{3e2802c4-a4d2-4d8b-9148-e3be6c30e623}">
          <xlrd:rvb i="1110"/>
        </ext>
      </extLst>
    </bk>
    <bk>
      <extLst>
        <ext uri="{3e2802c4-a4d2-4d8b-9148-e3be6c30e623}">
          <xlrd:rvb i="1111"/>
        </ext>
      </extLst>
    </bk>
    <bk>
      <extLst>
        <ext uri="{3e2802c4-a4d2-4d8b-9148-e3be6c30e623}">
          <xlrd:rvb i="1112"/>
        </ext>
      </extLst>
    </bk>
    <bk>
      <extLst>
        <ext uri="{3e2802c4-a4d2-4d8b-9148-e3be6c30e623}">
          <xlrd:rvb i="1113"/>
        </ext>
      </extLst>
    </bk>
    <bk>
      <extLst>
        <ext uri="{3e2802c4-a4d2-4d8b-9148-e3be6c30e623}">
          <xlrd:rvb i="1114"/>
        </ext>
      </extLst>
    </bk>
    <bk>
      <extLst>
        <ext uri="{3e2802c4-a4d2-4d8b-9148-e3be6c30e623}">
          <xlrd:rvb i="1115"/>
        </ext>
      </extLst>
    </bk>
    <bk>
      <extLst>
        <ext uri="{3e2802c4-a4d2-4d8b-9148-e3be6c30e623}">
          <xlrd:rvb i="1116"/>
        </ext>
      </extLst>
    </bk>
    <bk>
      <extLst>
        <ext uri="{3e2802c4-a4d2-4d8b-9148-e3be6c30e623}">
          <xlrd:rvb i="1117"/>
        </ext>
      </extLst>
    </bk>
    <bk>
      <extLst>
        <ext uri="{3e2802c4-a4d2-4d8b-9148-e3be6c30e623}">
          <xlrd:rvb i="1118"/>
        </ext>
      </extLst>
    </bk>
    <bk>
      <extLst>
        <ext uri="{3e2802c4-a4d2-4d8b-9148-e3be6c30e623}">
          <xlrd:rvb i="1119"/>
        </ext>
      </extLst>
    </bk>
    <bk>
      <extLst>
        <ext uri="{3e2802c4-a4d2-4d8b-9148-e3be6c30e623}">
          <xlrd:rvb i="1120"/>
        </ext>
      </extLst>
    </bk>
    <bk>
      <extLst>
        <ext uri="{3e2802c4-a4d2-4d8b-9148-e3be6c30e623}">
          <xlrd:rvb i="1121"/>
        </ext>
      </extLst>
    </bk>
    <bk>
      <extLst>
        <ext uri="{3e2802c4-a4d2-4d8b-9148-e3be6c30e623}">
          <xlrd:rvb i="1122"/>
        </ext>
      </extLst>
    </bk>
    <bk>
      <extLst>
        <ext uri="{3e2802c4-a4d2-4d8b-9148-e3be6c30e623}">
          <xlrd:rvb i="1123"/>
        </ext>
      </extLst>
    </bk>
    <bk>
      <extLst>
        <ext uri="{3e2802c4-a4d2-4d8b-9148-e3be6c30e623}">
          <xlrd:rvb i="1124"/>
        </ext>
      </extLst>
    </bk>
    <bk>
      <extLst>
        <ext uri="{3e2802c4-a4d2-4d8b-9148-e3be6c30e623}">
          <xlrd:rvb i="1125"/>
        </ext>
      </extLst>
    </bk>
    <bk>
      <extLst>
        <ext uri="{3e2802c4-a4d2-4d8b-9148-e3be6c30e623}">
          <xlrd:rvb i="1126"/>
        </ext>
      </extLst>
    </bk>
    <bk>
      <extLst>
        <ext uri="{3e2802c4-a4d2-4d8b-9148-e3be6c30e623}">
          <xlrd:rvb i="1127"/>
        </ext>
      </extLst>
    </bk>
    <bk>
      <extLst>
        <ext uri="{3e2802c4-a4d2-4d8b-9148-e3be6c30e623}">
          <xlrd:rvb i="1128"/>
        </ext>
      </extLst>
    </bk>
    <bk>
      <extLst>
        <ext uri="{3e2802c4-a4d2-4d8b-9148-e3be6c30e623}">
          <xlrd:rvb i="1129"/>
        </ext>
      </extLst>
    </bk>
    <bk>
      <extLst>
        <ext uri="{3e2802c4-a4d2-4d8b-9148-e3be6c30e623}">
          <xlrd:rvb i="1130"/>
        </ext>
      </extLst>
    </bk>
    <bk>
      <extLst>
        <ext uri="{3e2802c4-a4d2-4d8b-9148-e3be6c30e623}">
          <xlrd:rvb i="1131"/>
        </ext>
      </extLst>
    </bk>
    <bk>
      <extLst>
        <ext uri="{3e2802c4-a4d2-4d8b-9148-e3be6c30e623}">
          <xlrd:rvb i="1132"/>
        </ext>
      </extLst>
    </bk>
    <bk>
      <extLst>
        <ext uri="{3e2802c4-a4d2-4d8b-9148-e3be6c30e623}">
          <xlrd:rvb i="1133"/>
        </ext>
      </extLst>
    </bk>
    <bk>
      <extLst>
        <ext uri="{3e2802c4-a4d2-4d8b-9148-e3be6c30e623}">
          <xlrd:rvb i="1134"/>
        </ext>
      </extLst>
    </bk>
    <bk>
      <extLst>
        <ext uri="{3e2802c4-a4d2-4d8b-9148-e3be6c30e623}">
          <xlrd:rvb i="1135"/>
        </ext>
      </extLst>
    </bk>
    <bk>
      <extLst>
        <ext uri="{3e2802c4-a4d2-4d8b-9148-e3be6c30e623}">
          <xlrd:rvb i="1136"/>
        </ext>
      </extLst>
    </bk>
    <bk>
      <extLst>
        <ext uri="{3e2802c4-a4d2-4d8b-9148-e3be6c30e623}">
          <xlrd:rvb i="1137"/>
        </ext>
      </extLst>
    </bk>
    <bk>
      <extLst>
        <ext uri="{3e2802c4-a4d2-4d8b-9148-e3be6c30e623}">
          <xlrd:rvb i="1138"/>
        </ext>
      </extLst>
    </bk>
    <bk>
      <extLst>
        <ext uri="{3e2802c4-a4d2-4d8b-9148-e3be6c30e623}">
          <xlrd:rvb i="1139"/>
        </ext>
      </extLst>
    </bk>
    <bk>
      <extLst>
        <ext uri="{3e2802c4-a4d2-4d8b-9148-e3be6c30e623}">
          <xlrd:rvb i="1140"/>
        </ext>
      </extLst>
    </bk>
    <bk>
      <extLst>
        <ext uri="{3e2802c4-a4d2-4d8b-9148-e3be6c30e623}">
          <xlrd:rvb i="1141"/>
        </ext>
      </extLst>
    </bk>
    <bk>
      <extLst>
        <ext uri="{3e2802c4-a4d2-4d8b-9148-e3be6c30e623}">
          <xlrd:rvb i="1142"/>
        </ext>
      </extLst>
    </bk>
    <bk>
      <extLst>
        <ext uri="{3e2802c4-a4d2-4d8b-9148-e3be6c30e623}">
          <xlrd:rvb i="1143"/>
        </ext>
      </extLst>
    </bk>
    <bk>
      <extLst>
        <ext uri="{3e2802c4-a4d2-4d8b-9148-e3be6c30e623}">
          <xlrd:rvb i="1144"/>
        </ext>
      </extLst>
    </bk>
    <bk>
      <extLst>
        <ext uri="{3e2802c4-a4d2-4d8b-9148-e3be6c30e623}">
          <xlrd:rvb i="1145"/>
        </ext>
      </extLst>
    </bk>
    <bk>
      <extLst>
        <ext uri="{3e2802c4-a4d2-4d8b-9148-e3be6c30e623}">
          <xlrd:rvb i="1146"/>
        </ext>
      </extLst>
    </bk>
    <bk>
      <extLst>
        <ext uri="{3e2802c4-a4d2-4d8b-9148-e3be6c30e623}">
          <xlrd:rvb i="1147"/>
        </ext>
      </extLst>
    </bk>
    <bk>
      <extLst>
        <ext uri="{3e2802c4-a4d2-4d8b-9148-e3be6c30e623}">
          <xlrd:rvb i="1148"/>
        </ext>
      </extLst>
    </bk>
    <bk>
      <extLst>
        <ext uri="{3e2802c4-a4d2-4d8b-9148-e3be6c30e623}">
          <xlrd:rvb i="1149"/>
        </ext>
      </extLst>
    </bk>
    <bk>
      <extLst>
        <ext uri="{3e2802c4-a4d2-4d8b-9148-e3be6c30e623}">
          <xlrd:rvb i="1150"/>
        </ext>
      </extLst>
    </bk>
    <bk>
      <extLst>
        <ext uri="{3e2802c4-a4d2-4d8b-9148-e3be6c30e623}">
          <xlrd:rvb i="1151"/>
        </ext>
      </extLst>
    </bk>
    <bk>
      <extLst>
        <ext uri="{3e2802c4-a4d2-4d8b-9148-e3be6c30e623}">
          <xlrd:rvb i="1152"/>
        </ext>
      </extLst>
    </bk>
    <bk>
      <extLst>
        <ext uri="{3e2802c4-a4d2-4d8b-9148-e3be6c30e623}">
          <xlrd:rvb i="1153"/>
        </ext>
      </extLst>
    </bk>
    <bk>
      <extLst>
        <ext uri="{3e2802c4-a4d2-4d8b-9148-e3be6c30e623}">
          <xlrd:rvb i="1154"/>
        </ext>
      </extLst>
    </bk>
    <bk>
      <extLst>
        <ext uri="{3e2802c4-a4d2-4d8b-9148-e3be6c30e623}">
          <xlrd:rvb i="1155"/>
        </ext>
      </extLst>
    </bk>
    <bk>
      <extLst>
        <ext uri="{3e2802c4-a4d2-4d8b-9148-e3be6c30e623}">
          <xlrd:rvb i="1156"/>
        </ext>
      </extLst>
    </bk>
    <bk>
      <extLst>
        <ext uri="{3e2802c4-a4d2-4d8b-9148-e3be6c30e623}">
          <xlrd:rvb i="1157"/>
        </ext>
      </extLst>
    </bk>
    <bk>
      <extLst>
        <ext uri="{3e2802c4-a4d2-4d8b-9148-e3be6c30e623}">
          <xlrd:rvb i="1158"/>
        </ext>
      </extLst>
    </bk>
    <bk>
      <extLst>
        <ext uri="{3e2802c4-a4d2-4d8b-9148-e3be6c30e623}">
          <xlrd:rvb i="1159"/>
        </ext>
      </extLst>
    </bk>
    <bk>
      <extLst>
        <ext uri="{3e2802c4-a4d2-4d8b-9148-e3be6c30e623}">
          <xlrd:rvb i="1160"/>
        </ext>
      </extLst>
    </bk>
    <bk>
      <extLst>
        <ext uri="{3e2802c4-a4d2-4d8b-9148-e3be6c30e623}">
          <xlrd:rvb i="1161"/>
        </ext>
      </extLst>
    </bk>
    <bk>
      <extLst>
        <ext uri="{3e2802c4-a4d2-4d8b-9148-e3be6c30e623}">
          <xlrd:rvb i="1162"/>
        </ext>
      </extLst>
    </bk>
    <bk>
      <extLst>
        <ext uri="{3e2802c4-a4d2-4d8b-9148-e3be6c30e623}">
          <xlrd:rvb i="1163"/>
        </ext>
      </extLst>
    </bk>
    <bk>
      <extLst>
        <ext uri="{3e2802c4-a4d2-4d8b-9148-e3be6c30e623}">
          <xlrd:rvb i="1164"/>
        </ext>
      </extLst>
    </bk>
    <bk>
      <extLst>
        <ext uri="{3e2802c4-a4d2-4d8b-9148-e3be6c30e623}">
          <xlrd:rvb i="1165"/>
        </ext>
      </extLst>
    </bk>
    <bk>
      <extLst>
        <ext uri="{3e2802c4-a4d2-4d8b-9148-e3be6c30e623}">
          <xlrd:rvb i="1166"/>
        </ext>
      </extLst>
    </bk>
    <bk>
      <extLst>
        <ext uri="{3e2802c4-a4d2-4d8b-9148-e3be6c30e623}">
          <xlrd:rvb i="1167"/>
        </ext>
      </extLst>
    </bk>
    <bk>
      <extLst>
        <ext uri="{3e2802c4-a4d2-4d8b-9148-e3be6c30e623}">
          <xlrd:rvb i="1168"/>
        </ext>
      </extLst>
    </bk>
    <bk>
      <extLst>
        <ext uri="{3e2802c4-a4d2-4d8b-9148-e3be6c30e623}">
          <xlrd:rvb i="1169"/>
        </ext>
      </extLst>
    </bk>
    <bk>
      <extLst>
        <ext uri="{3e2802c4-a4d2-4d8b-9148-e3be6c30e623}">
          <xlrd:rvb i="1170"/>
        </ext>
      </extLst>
    </bk>
    <bk>
      <extLst>
        <ext uri="{3e2802c4-a4d2-4d8b-9148-e3be6c30e623}">
          <xlrd:rvb i="1171"/>
        </ext>
      </extLst>
    </bk>
    <bk>
      <extLst>
        <ext uri="{3e2802c4-a4d2-4d8b-9148-e3be6c30e623}">
          <xlrd:rvb i="1172"/>
        </ext>
      </extLst>
    </bk>
    <bk>
      <extLst>
        <ext uri="{3e2802c4-a4d2-4d8b-9148-e3be6c30e623}">
          <xlrd:rvb i="1173"/>
        </ext>
      </extLst>
    </bk>
    <bk>
      <extLst>
        <ext uri="{3e2802c4-a4d2-4d8b-9148-e3be6c30e623}">
          <xlrd:rvb i="1174"/>
        </ext>
      </extLst>
    </bk>
    <bk>
      <extLst>
        <ext uri="{3e2802c4-a4d2-4d8b-9148-e3be6c30e623}">
          <xlrd:rvb i="1175"/>
        </ext>
      </extLst>
    </bk>
    <bk>
      <extLst>
        <ext uri="{3e2802c4-a4d2-4d8b-9148-e3be6c30e623}">
          <xlrd:rvb i="1176"/>
        </ext>
      </extLst>
    </bk>
    <bk>
      <extLst>
        <ext uri="{3e2802c4-a4d2-4d8b-9148-e3be6c30e623}">
          <xlrd:rvb i="1177"/>
        </ext>
      </extLst>
    </bk>
    <bk>
      <extLst>
        <ext uri="{3e2802c4-a4d2-4d8b-9148-e3be6c30e623}">
          <xlrd:rvb i="1178"/>
        </ext>
      </extLst>
    </bk>
    <bk>
      <extLst>
        <ext uri="{3e2802c4-a4d2-4d8b-9148-e3be6c30e623}">
          <xlrd:rvb i="1179"/>
        </ext>
      </extLst>
    </bk>
    <bk>
      <extLst>
        <ext uri="{3e2802c4-a4d2-4d8b-9148-e3be6c30e623}">
          <xlrd:rvb i="1180"/>
        </ext>
      </extLst>
    </bk>
    <bk>
      <extLst>
        <ext uri="{3e2802c4-a4d2-4d8b-9148-e3be6c30e623}">
          <xlrd:rvb i="1181"/>
        </ext>
      </extLst>
    </bk>
    <bk>
      <extLst>
        <ext uri="{3e2802c4-a4d2-4d8b-9148-e3be6c30e623}">
          <xlrd:rvb i="1182"/>
        </ext>
      </extLst>
    </bk>
    <bk>
      <extLst>
        <ext uri="{3e2802c4-a4d2-4d8b-9148-e3be6c30e623}">
          <xlrd:rvb i="1183"/>
        </ext>
      </extLst>
    </bk>
    <bk>
      <extLst>
        <ext uri="{3e2802c4-a4d2-4d8b-9148-e3be6c30e623}">
          <xlrd:rvb i="1184"/>
        </ext>
      </extLst>
    </bk>
    <bk>
      <extLst>
        <ext uri="{3e2802c4-a4d2-4d8b-9148-e3be6c30e623}">
          <xlrd:rvb i="1185"/>
        </ext>
      </extLst>
    </bk>
    <bk>
      <extLst>
        <ext uri="{3e2802c4-a4d2-4d8b-9148-e3be6c30e623}">
          <xlrd:rvb i="1186"/>
        </ext>
      </extLst>
    </bk>
    <bk>
      <extLst>
        <ext uri="{3e2802c4-a4d2-4d8b-9148-e3be6c30e623}">
          <xlrd:rvb i="1187"/>
        </ext>
      </extLst>
    </bk>
    <bk>
      <extLst>
        <ext uri="{3e2802c4-a4d2-4d8b-9148-e3be6c30e623}">
          <xlrd:rvb i="1188"/>
        </ext>
      </extLst>
    </bk>
    <bk>
      <extLst>
        <ext uri="{3e2802c4-a4d2-4d8b-9148-e3be6c30e623}">
          <xlrd:rvb i="1189"/>
        </ext>
      </extLst>
    </bk>
    <bk>
      <extLst>
        <ext uri="{3e2802c4-a4d2-4d8b-9148-e3be6c30e623}">
          <xlrd:rvb i="1190"/>
        </ext>
      </extLst>
    </bk>
    <bk>
      <extLst>
        <ext uri="{3e2802c4-a4d2-4d8b-9148-e3be6c30e623}">
          <xlrd:rvb i="1191"/>
        </ext>
      </extLst>
    </bk>
    <bk>
      <extLst>
        <ext uri="{3e2802c4-a4d2-4d8b-9148-e3be6c30e623}">
          <xlrd:rvb i="1192"/>
        </ext>
      </extLst>
    </bk>
    <bk>
      <extLst>
        <ext uri="{3e2802c4-a4d2-4d8b-9148-e3be6c30e623}">
          <xlrd:rvb i="1193"/>
        </ext>
      </extLst>
    </bk>
    <bk>
      <extLst>
        <ext uri="{3e2802c4-a4d2-4d8b-9148-e3be6c30e623}">
          <xlrd:rvb i="1194"/>
        </ext>
      </extLst>
    </bk>
    <bk>
      <extLst>
        <ext uri="{3e2802c4-a4d2-4d8b-9148-e3be6c30e623}">
          <xlrd:rvb i="1195"/>
        </ext>
      </extLst>
    </bk>
    <bk>
      <extLst>
        <ext uri="{3e2802c4-a4d2-4d8b-9148-e3be6c30e623}">
          <xlrd:rvb i="1196"/>
        </ext>
      </extLst>
    </bk>
    <bk>
      <extLst>
        <ext uri="{3e2802c4-a4d2-4d8b-9148-e3be6c30e623}">
          <xlrd:rvb i="1197"/>
        </ext>
      </extLst>
    </bk>
    <bk>
      <extLst>
        <ext uri="{3e2802c4-a4d2-4d8b-9148-e3be6c30e623}">
          <xlrd:rvb i="1198"/>
        </ext>
      </extLst>
    </bk>
    <bk>
      <extLst>
        <ext uri="{3e2802c4-a4d2-4d8b-9148-e3be6c30e623}">
          <xlrd:rvb i="1199"/>
        </ext>
      </extLst>
    </bk>
    <bk>
      <extLst>
        <ext uri="{3e2802c4-a4d2-4d8b-9148-e3be6c30e623}">
          <xlrd:rvb i="1200"/>
        </ext>
      </extLst>
    </bk>
    <bk>
      <extLst>
        <ext uri="{3e2802c4-a4d2-4d8b-9148-e3be6c30e623}">
          <xlrd:rvb i="1201"/>
        </ext>
      </extLst>
    </bk>
    <bk>
      <extLst>
        <ext uri="{3e2802c4-a4d2-4d8b-9148-e3be6c30e623}">
          <xlrd:rvb i="1202"/>
        </ext>
      </extLst>
    </bk>
    <bk>
      <extLst>
        <ext uri="{3e2802c4-a4d2-4d8b-9148-e3be6c30e623}">
          <xlrd:rvb i="1203"/>
        </ext>
      </extLst>
    </bk>
    <bk>
      <extLst>
        <ext uri="{3e2802c4-a4d2-4d8b-9148-e3be6c30e623}">
          <xlrd:rvb i="1204"/>
        </ext>
      </extLst>
    </bk>
    <bk>
      <extLst>
        <ext uri="{3e2802c4-a4d2-4d8b-9148-e3be6c30e623}">
          <xlrd:rvb i="1205"/>
        </ext>
      </extLst>
    </bk>
    <bk>
      <extLst>
        <ext uri="{3e2802c4-a4d2-4d8b-9148-e3be6c30e623}">
          <xlrd:rvb i="1206"/>
        </ext>
      </extLst>
    </bk>
    <bk>
      <extLst>
        <ext uri="{3e2802c4-a4d2-4d8b-9148-e3be6c30e623}">
          <xlrd:rvb i="1207"/>
        </ext>
      </extLst>
    </bk>
    <bk>
      <extLst>
        <ext uri="{3e2802c4-a4d2-4d8b-9148-e3be6c30e623}">
          <xlrd:rvb i="1208"/>
        </ext>
      </extLst>
    </bk>
    <bk>
      <extLst>
        <ext uri="{3e2802c4-a4d2-4d8b-9148-e3be6c30e623}">
          <xlrd:rvb i="1209"/>
        </ext>
      </extLst>
    </bk>
    <bk>
      <extLst>
        <ext uri="{3e2802c4-a4d2-4d8b-9148-e3be6c30e623}">
          <xlrd:rvb i="1210"/>
        </ext>
      </extLst>
    </bk>
    <bk>
      <extLst>
        <ext uri="{3e2802c4-a4d2-4d8b-9148-e3be6c30e623}">
          <xlrd:rvb i="1211"/>
        </ext>
      </extLst>
    </bk>
    <bk>
      <extLst>
        <ext uri="{3e2802c4-a4d2-4d8b-9148-e3be6c30e623}">
          <xlrd:rvb i="1212"/>
        </ext>
      </extLst>
    </bk>
    <bk>
      <extLst>
        <ext uri="{3e2802c4-a4d2-4d8b-9148-e3be6c30e623}">
          <xlrd:rvb i="1213"/>
        </ext>
      </extLst>
    </bk>
    <bk>
      <extLst>
        <ext uri="{3e2802c4-a4d2-4d8b-9148-e3be6c30e623}">
          <xlrd:rvb i="1214"/>
        </ext>
      </extLst>
    </bk>
    <bk>
      <extLst>
        <ext uri="{3e2802c4-a4d2-4d8b-9148-e3be6c30e623}">
          <xlrd:rvb i="1215"/>
        </ext>
      </extLst>
    </bk>
    <bk>
      <extLst>
        <ext uri="{3e2802c4-a4d2-4d8b-9148-e3be6c30e623}">
          <xlrd:rvb i="1216"/>
        </ext>
      </extLst>
    </bk>
    <bk>
      <extLst>
        <ext uri="{3e2802c4-a4d2-4d8b-9148-e3be6c30e623}">
          <xlrd:rvb i="1217"/>
        </ext>
      </extLst>
    </bk>
    <bk>
      <extLst>
        <ext uri="{3e2802c4-a4d2-4d8b-9148-e3be6c30e623}">
          <xlrd:rvb i="1218"/>
        </ext>
      </extLst>
    </bk>
    <bk>
      <extLst>
        <ext uri="{3e2802c4-a4d2-4d8b-9148-e3be6c30e623}">
          <xlrd:rvb i="1219"/>
        </ext>
      </extLst>
    </bk>
    <bk>
      <extLst>
        <ext uri="{3e2802c4-a4d2-4d8b-9148-e3be6c30e623}">
          <xlrd:rvb i="1220"/>
        </ext>
      </extLst>
    </bk>
    <bk>
      <extLst>
        <ext uri="{3e2802c4-a4d2-4d8b-9148-e3be6c30e623}">
          <xlrd:rvb i="1221"/>
        </ext>
      </extLst>
    </bk>
    <bk>
      <extLst>
        <ext uri="{3e2802c4-a4d2-4d8b-9148-e3be6c30e623}">
          <xlrd:rvb i="1222"/>
        </ext>
      </extLst>
    </bk>
    <bk>
      <extLst>
        <ext uri="{3e2802c4-a4d2-4d8b-9148-e3be6c30e623}">
          <xlrd:rvb i="1223"/>
        </ext>
      </extLst>
    </bk>
    <bk>
      <extLst>
        <ext uri="{3e2802c4-a4d2-4d8b-9148-e3be6c30e623}">
          <xlrd:rvb i="1224"/>
        </ext>
      </extLst>
    </bk>
    <bk>
      <extLst>
        <ext uri="{3e2802c4-a4d2-4d8b-9148-e3be6c30e623}">
          <xlrd:rvb i="1225"/>
        </ext>
      </extLst>
    </bk>
    <bk>
      <extLst>
        <ext uri="{3e2802c4-a4d2-4d8b-9148-e3be6c30e623}">
          <xlrd:rvb i="1226"/>
        </ext>
      </extLst>
    </bk>
    <bk>
      <extLst>
        <ext uri="{3e2802c4-a4d2-4d8b-9148-e3be6c30e623}">
          <xlrd:rvb i="1227"/>
        </ext>
      </extLst>
    </bk>
    <bk>
      <extLst>
        <ext uri="{3e2802c4-a4d2-4d8b-9148-e3be6c30e623}">
          <xlrd:rvb i="1228"/>
        </ext>
      </extLst>
    </bk>
    <bk>
      <extLst>
        <ext uri="{3e2802c4-a4d2-4d8b-9148-e3be6c30e623}">
          <xlrd:rvb i="1229"/>
        </ext>
      </extLst>
    </bk>
    <bk>
      <extLst>
        <ext uri="{3e2802c4-a4d2-4d8b-9148-e3be6c30e623}">
          <xlrd:rvb i="1230"/>
        </ext>
      </extLst>
    </bk>
    <bk>
      <extLst>
        <ext uri="{3e2802c4-a4d2-4d8b-9148-e3be6c30e623}">
          <xlrd:rvb i="1231"/>
        </ext>
      </extLst>
    </bk>
    <bk>
      <extLst>
        <ext uri="{3e2802c4-a4d2-4d8b-9148-e3be6c30e623}">
          <xlrd:rvb i="1232"/>
        </ext>
      </extLst>
    </bk>
    <bk>
      <extLst>
        <ext uri="{3e2802c4-a4d2-4d8b-9148-e3be6c30e623}">
          <xlrd:rvb i="1233"/>
        </ext>
      </extLst>
    </bk>
    <bk>
      <extLst>
        <ext uri="{3e2802c4-a4d2-4d8b-9148-e3be6c30e623}">
          <xlrd:rvb i="1234"/>
        </ext>
      </extLst>
    </bk>
    <bk>
      <extLst>
        <ext uri="{3e2802c4-a4d2-4d8b-9148-e3be6c30e623}">
          <xlrd:rvb i="1235"/>
        </ext>
      </extLst>
    </bk>
    <bk>
      <extLst>
        <ext uri="{3e2802c4-a4d2-4d8b-9148-e3be6c30e623}">
          <xlrd:rvb i="1236"/>
        </ext>
      </extLst>
    </bk>
    <bk>
      <extLst>
        <ext uri="{3e2802c4-a4d2-4d8b-9148-e3be6c30e623}">
          <xlrd:rvb i="1237"/>
        </ext>
      </extLst>
    </bk>
    <bk>
      <extLst>
        <ext uri="{3e2802c4-a4d2-4d8b-9148-e3be6c30e623}">
          <xlrd:rvb i="1238"/>
        </ext>
      </extLst>
    </bk>
    <bk>
      <extLst>
        <ext uri="{3e2802c4-a4d2-4d8b-9148-e3be6c30e623}">
          <xlrd:rvb i="1239"/>
        </ext>
      </extLst>
    </bk>
    <bk>
      <extLst>
        <ext uri="{3e2802c4-a4d2-4d8b-9148-e3be6c30e623}">
          <xlrd:rvb i="1240"/>
        </ext>
      </extLst>
    </bk>
    <bk>
      <extLst>
        <ext uri="{3e2802c4-a4d2-4d8b-9148-e3be6c30e623}">
          <xlrd:rvb i="1241"/>
        </ext>
      </extLst>
    </bk>
    <bk>
      <extLst>
        <ext uri="{3e2802c4-a4d2-4d8b-9148-e3be6c30e623}">
          <xlrd:rvb i="1242"/>
        </ext>
      </extLst>
    </bk>
    <bk>
      <extLst>
        <ext uri="{3e2802c4-a4d2-4d8b-9148-e3be6c30e623}">
          <xlrd:rvb i="1243"/>
        </ext>
      </extLst>
    </bk>
    <bk>
      <extLst>
        <ext uri="{3e2802c4-a4d2-4d8b-9148-e3be6c30e623}">
          <xlrd:rvb i="1244"/>
        </ext>
      </extLst>
    </bk>
    <bk>
      <extLst>
        <ext uri="{3e2802c4-a4d2-4d8b-9148-e3be6c30e623}">
          <xlrd:rvb i="1245"/>
        </ext>
      </extLst>
    </bk>
    <bk>
      <extLst>
        <ext uri="{3e2802c4-a4d2-4d8b-9148-e3be6c30e623}">
          <xlrd:rvb i="1246"/>
        </ext>
      </extLst>
    </bk>
    <bk>
      <extLst>
        <ext uri="{3e2802c4-a4d2-4d8b-9148-e3be6c30e623}">
          <xlrd:rvb i="1247"/>
        </ext>
      </extLst>
    </bk>
    <bk>
      <extLst>
        <ext uri="{3e2802c4-a4d2-4d8b-9148-e3be6c30e623}">
          <xlrd:rvb i="1248"/>
        </ext>
      </extLst>
    </bk>
    <bk>
      <extLst>
        <ext uri="{3e2802c4-a4d2-4d8b-9148-e3be6c30e623}">
          <xlrd:rvb i="1249"/>
        </ext>
      </extLst>
    </bk>
    <bk>
      <extLst>
        <ext uri="{3e2802c4-a4d2-4d8b-9148-e3be6c30e623}">
          <xlrd:rvb i="1250"/>
        </ext>
      </extLst>
    </bk>
    <bk>
      <extLst>
        <ext uri="{3e2802c4-a4d2-4d8b-9148-e3be6c30e623}">
          <xlrd:rvb i="1251"/>
        </ext>
      </extLst>
    </bk>
    <bk>
      <extLst>
        <ext uri="{3e2802c4-a4d2-4d8b-9148-e3be6c30e623}">
          <xlrd:rvb i="1252"/>
        </ext>
      </extLst>
    </bk>
    <bk>
      <extLst>
        <ext uri="{3e2802c4-a4d2-4d8b-9148-e3be6c30e623}">
          <xlrd:rvb i="1253"/>
        </ext>
      </extLst>
    </bk>
    <bk>
      <extLst>
        <ext uri="{3e2802c4-a4d2-4d8b-9148-e3be6c30e623}">
          <xlrd:rvb i="1254"/>
        </ext>
      </extLst>
    </bk>
    <bk>
      <extLst>
        <ext uri="{3e2802c4-a4d2-4d8b-9148-e3be6c30e623}">
          <xlrd:rvb i="1255"/>
        </ext>
      </extLst>
    </bk>
    <bk>
      <extLst>
        <ext uri="{3e2802c4-a4d2-4d8b-9148-e3be6c30e623}">
          <xlrd:rvb i="1256"/>
        </ext>
      </extLst>
    </bk>
    <bk>
      <extLst>
        <ext uri="{3e2802c4-a4d2-4d8b-9148-e3be6c30e623}">
          <xlrd:rvb i="1257"/>
        </ext>
      </extLst>
    </bk>
    <bk>
      <extLst>
        <ext uri="{3e2802c4-a4d2-4d8b-9148-e3be6c30e623}">
          <xlrd:rvb i="1258"/>
        </ext>
      </extLst>
    </bk>
    <bk>
      <extLst>
        <ext uri="{3e2802c4-a4d2-4d8b-9148-e3be6c30e623}">
          <xlrd:rvb i="1259"/>
        </ext>
      </extLst>
    </bk>
    <bk>
      <extLst>
        <ext uri="{3e2802c4-a4d2-4d8b-9148-e3be6c30e623}">
          <xlrd:rvb i="1260"/>
        </ext>
      </extLst>
    </bk>
    <bk>
      <extLst>
        <ext uri="{3e2802c4-a4d2-4d8b-9148-e3be6c30e623}">
          <xlrd:rvb i="1261"/>
        </ext>
      </extLst>
    </bk>
    <bk>
      <extLst>
        <ext uri="{3e2802c4-a4d2-4d8b-9148-e3be6c30e623}">
          <xlrd:rvb i="1262"/>
        </ext>
      </extLst>
    </bk>
    <bk>
      <extLst>
        <ext uri="{3e2802c4-a4d2-4d8b-9148-e3be6c30e623}">
          <xlrd:rvb i="1263"/>
        </ext>
      </extLst>
    </bk>
    <bk>
      <extLst>
        <ext uri="{3e2802c4-a4d2-4d8b-9148-e3be6c30e623}">
          <xlrd:rvb i="1264"/>
        </ext>
      </extLst>
    </bk>
    <bk>
      <extLst>
        <ext uri="{3e2802c4-a4d2-4d8b-9148-e3be6c30e623}">
          <xlrd:rvb i="1265"/>
        </ext>
      </extLst>
    </bk>
    <bk>
      <extLst>
        <ext uri="{3e2802c4-a4d2-4d8b-9148-e3be6c30e623}">
          <xlrd:rvb i="1266"/>
        </ext>
      </extLst>
    </bk>
    <bk>
      <extLst>
        <ext uri="{3e2802c4-a4d2-4d8b-9148-e3be6c30e623}">
          <xlrd:rvb i="1267"/>
        </ext>
      </extLst>
    </bk>
    <bk>
      <extLst>
        <ext uri="{3e2802c4-a4d2-4d8b-9148-e3be6c30e623}">
          <xlrd:rvb i="1268"/>
        </ext>
      </extLst>
    </bk>
    <bk>
      <extLst>
        <ext uri="{3e2802c4-a4d2-4d8b-9148-e3be6c30e623}">
          <xlrd:rvb i="1269"/>
        </ext>
      </extLst>
    </bk>
    <bk>
      <extLst>
        <ext uri="{3e2802c4-a4d2-4d8b-9148-e3be6c30e623}">
          <xlrd:rvb i="1270"/>
        </ext>
      </extLst>
    </bk>
    <bk>
      <extLst>
        <ext uri="{3e2802c4-a4d2-4d8b-9148-e3be6c30e623}">
          <xlrd:rvb i="1271"/>
        </ext>
      </extLst>
    </bk>
    <bk>
      <extLst>
        <ext uri="{3e2802c4-a4d2-4d8b-9148-e3be6c30e623}">
          <xlrd:rvb i="1272"/>
        </ext>
      </extLst>
    </bk>
    <bk>
      <extLst>
        <ext uri="{3e2802c4-a4d2-4d8b-9148-e3be6c30e623}">
          <xlrd:rvb i="1273"/>
        </ext>
      </extLst>
    </bk>
    <bk>
      <extLst>
        <ext uri="{3e2802c4-a4d2-4d8b-9148-e3be6c30e623}">
          <xlrd:rvb i="1274"/>
        </ext>
      </extLst>
    </bk>
    <bk>
      <extLst>
        <ext uri="{3e2802c4-a4d2-4d8b-9148-e3be6c30e623}">
          <xlrd:rvb i="1275"/>
        </ext>
      </extLst>
    </bk>
    <bk>
      <extLst>
        <ext uri="{3e2802c4-a4d2-4d8b-9148-e3be6c30e623}">
          <xlrd:rvb i="1276"/>
        </ext>
      </extLst>
    </bk>
    <bk>
      <extLst>
        <ext uri="{3e2802c4-a4d2-4d8b-9148-e3be6c30e623}">
          <xlrd:rvb i="1277"/>
        </ext>
      </extLst>
    </bk>
    <bk>
      <extLst>
        <ext uri="{3e2802c4-a4d2-4d8b-9148-e3be6c30e623}">
          <xlrd:rvb i="1278"/>
        </ext>
      </extLst>
    </bk>
    <bk>
      <extLst>
        <ext uri="{3e2802c4-a4d2-4d8b-9148-e3be6c30e623}">
          <xlrd:rvb i="1279"/>
        </ext>
      </extLst>
    </bk>
    <bk>
      <extLst>
        <ext uri="{3e2802c4-a4d2-4d8b-9148-e3be6c30e623}">
          <xlrd:rvb i="1280"/>
        </ext>
      </extLst>
    </bk>
    <bk>
      <extLst>
        <ext uri="{3e2802c4-a4d2-4d8b-9148-e3be6c30e623}">
          <xlrd:rvb i="1281"/>
        </ext>
      </extLst>
    </bk>
    <bk>
      <extLst>
        <ext uri="{3e2802c4-a4d2-4d8b-9148-e3be6c30e623}">
          <xlrd:rvb i="1282"/>
        </ext>
      </extLst>
    </bk>
    <bk>
      <extLst>
        <ext uri="{3e2802c4-a4d2-4d8b-9148-e3be6c30e623}">
          <xlrd:rvb i="1283"/>
        </ext>
      </extLst>
    </bk>
    <bk>
      <extLst>
        <ext uri="{3e2802c4-a4d2-4d8b-9148-e3be6c30e623}">
          <xlrd:rvb i="1284"/>
        </ext>
      </extLst>
    </bk>
    <bk>
      <extLst>
        <ext uri="{3e2802c4-a4d2-4d8b-9148-e3be6c30e623}">
          <xlrd:rvb i="1285"/>
        </ext>
      </extLst>
    </bk>
    <bk>
      <extLst>
        <ext uri="{3e2802c4-a4d2-4d8b-9148-e3be6c30e623}">
          <xlrd:rvb i="1286"/>
        </ext>
      </extLst>
    </bk>
    <bk>
      <extLst>
        <ext uri="{3e2802c4-a4d2-4d8b-9148-e3be6c30e623}">
          <xlrd:rvb i="1287"/>
        </ext>
      </extLst>
    </bk>
    <bk>
      <extLst>
        <ext uri="{3e2802c4-a4d2-4d8b-9148-e3be6c30e623}">
          <xlrd:rvb i="1288"/>
        </ext>
      </extLst>
    </bk>
    <bk>
      <extLst>
        <ext uri="{3e2802c4-a4d2-4d8b-9148-e3be6c30e623}">
          <xlrd:rvb i="1289"/>
        </ext>
      </extLst>
    </bk>
    <bk>
      <extLst>
        <ext uri="{3e2802c4-a4d2-4d8b-9148-e3be6c30e623}">
          <xlrd:rvb i="1290"/>
        </ext>
      </extLst>
    </bk>
    <bk>
      <extLst>
        <ext uri="{3e2802c4-a4d2-4d8b-9148-e3be6c30e623}">
          <xlrd:rvb i="1291"/>
        </ext>
      </extLst>
    </bk>
    <bk>
      <extLst>
        <ext uri="{3e2802c4-a4d2-4d8b-9148-e3be6c30e623}">
          <xlrd:rvb i="1292"/>
        </ext>
      </extLst>
    </bk>
    <bk>
      <extLst>
        <ext uri="{3e2802c4-a4d2-4d8b-9148-e3be6c30e623}">
          <xlrd:rvb i="1293"/>
        </ext>
      </extLst>
    </bk>
    <bk>
      <extLst>
        <ext uri="{3e2802c4-a4d2-4d8b-9148-e3be6c30e623}">
          <xlrd:rvb i="1294"/>
        </ext>
      </extLst>
    </bk>
    <bk>
      <extLst>
        <ext uri="{3e2802c4-a4d2-4d8b-9148-e3be6c30e623}">
          <xlrd:rvb i="1295"/>
        </ext>
      </extLst>
    </bk>
    <bk>
      <extLst>
        <ext uri="{3e2802c4-a4d2-4d8b-9148-e3be6c30e623}">
          <xlrd:rvb i="1296"/>
        </ext>
      </extLst>
    </bk>
    <bk>
      <extLst>
        <ext uri="{3e2802c4-a4d2-4d8b-9148-e3be6c30e623}">
          <xlrd:rvb i="1297"/>
        </ext>
      </extLst>
    </bk>
    <bk>
      <extLst>
        <ext uri="{3e2802c4-a4d2-4d8b-9148-e3be6c30e623}">
          <xlrd:rvb i="1298"/>
        </ext>
      </extLst>
    </bk>
    <bk>
      <extLst>
        <ext uri="{3e2802c4-a4d2-4d8b-9148-e3be6c30e623}">
          <xlrd:rvb i="1299"/>
        </ext>
      </extLst>
    </bk>
    <bk>
      <extLst>
        <ext uri="{3e2802c4-a4d2-4d8b-9148-e3be6c30e623}">
          <xlrd:rvb i="1300"/>
        </ext>
      </extLst>
    </bk>
    <bk>
      <extLst>
        <ext uri="{3e2802c4-a4d2-4d8b-9148-e3be6c30e623}">
          <xlrd:rvb i="1301"/>
        </ext>
      </extLst>
    </bk>
    <bk>
      <extLst>
        <ext uri="{3e2802c4-a4d2-4d8b-9148-e3be6c30e623}">
          <xlrd:rvb i="1302"/>
        </ext>
      </extLst>
    </bk>
    <bk>
      <extLst>
        <ext uri="{3e2802c4-a4d2-4d8b-9148-e3be6c30e623}">
          <xlrd:rvb i="1303"/>
        </ext>
      </extLst>
    </bk>
    <bk>
      <extLst>
        <ext uri="{3e2802c4-a4d2-4d8b-9148-e3be6c30e623}">
          <xlrd:rvb i="1304"/>
        </ext>
      </extLst>
    </bk>
    <bk>
      <extLst>
        <ext uri="{3e2802c4-a4d2-4d8b-9148-e3be6c30e623}">
          <xlrd:rvb i="1305"/>
        </ext>
      </extLst>
    </bk>
    <bk>
      <extLst>
        <ext uri="{3e2802c4-a4d2-4d8b-9148-e3be6c30e623}">
          <xlrd:rvb i="1306"/>
        </ext>
      </extLst>
    </bk>
    <bk>
      <extLst>
        <ext uri="{3e2802c4-a4d2-4d8b-9148-e3be6c30e623}">
          <xlrd:rvb i="1307"/>
        </ext>
      </extLst>
    </bk>
    <bk>
      <extLst>
        <ext uri="{3e2802c4-a4d2-4d8b-9148-e3be6c30e623}">
          <xlrd:rvb i="1308"/>
        </ext>
      </extLst>
    </bk>
    <bk>
      <extLst>
        <ext uri="{3e2802c4-a4d2-4d8b-9148-e3be6c30e623}">
          <xlrd:rvb i="1309"/>
        </ext>
      </extLst>
    </bk>
    <bk>
      <extLst>
        <ext uri="{3e2802c4-a4d2-4d8b-9148-e3be6c30e623}">
          <xlrd:rvb i="1310"/>
        </ext>
      </extLst>
    </bk>
    <bk>
      <extLst>
        <ext uri="{3e2802c4-a4d2-4d8b-9148-e3be6c30e623}">
          <xlrd:rvb i="1311"/>
        </ext>
      </extLst>
    </bk>
    <bk>
      <extLst>
        <ext uri="{3e2802c4-a4d2-4d8b-9148-e3be6c30e623}">
          <xlrd:rvb i="1312"/>
        </ext>
      </extLst>
    </bk>
    <bk>
      <extLst>
        <ext uri="{3e2802c4-a4d2-4d8b-9148-e3be6c30e623}">
          <xlrd:rvb i="1313"/>
        </ext>
      </extLst>
    </bk>
    <bk>
      <extLst>
        <ext uri="{3e2802c4-a4d2-4d8b-9148-e3be6c30e623}">
          <xlrd:rvb i="1314"/>
        </ext>
      </extLst>
    </bk>
    <bk>
      <extLst>
        <ext uri="{3e2802c4-a4d2-4d8b-9148-e3be6c30e623}">
          <xlrd:rvb i="1315"/>
        </ext>
      </extLst>
    </bk>
    <bk>
      <extLst>
        <ext uri="{3e2802c4-a4d2-4d8b-9148-e3be6c30e623}">
          <xlrd:rvb i="1316"/>
        </ext>
      </extLst>
    </bk>
    <bk>
      <extLst>
        <ext uri="{3e2802c4-a4d2-4d8b-9148-e3be6c30e623}">
          <xlrd:rvb i="1317"/>
        </ext>
      </extLst>
    </bk>
    <bk>
      <extLst>
        <ext uri="{3e2802c4-a4d2-4d8b-9148-e3be6c30e623}">
          <xlrd:rvb i="1318"/>
        </ext>
      </extLst>
    </bk>
    <bk>
      <extLst>
        <ext uri="{3e2802c4-a4d2-4d8b-9148-e3be6c30e623}">
          <xlrd:rvb i="1319"/>
        </ext>
      </extLst>
    </bk>
    <bk>
      <extLst>
        <ext uri="{3e2802c4-a4d2-4d8b-9148-e3be6c30e623}">
          <xlrd:rvb i="1320"/>
        </ext>
      </extLst>
    </bk>
    <bk>
      <extLst>
        <ext uri="{3e2802c4-a4d2-4d8b-9148-e3be6c30e623}">
          <xlrd:rvb i="1321"/>
        </ext>
      </extLst>
    </bk>
    <bk>
      <extLst>
        <ext uri="{3e2802c4-a4d2-4d8b-9148-e3be6c30e623}">
          <xlrd:rvb i="1322"/>
        </ext>
      </extLst>
    </bk>
    <bk>
      <extLst>
        <ext uri="{3e2802c4-a4d2-4d8b-9148-e3be6c30e623}">
          <xlrd:rvb i="1323"/>
        </ext>
      </extLst>
    </bk>
    <bk>
      <extLst>
        <ext uri="{3e2802c4-a4d2-4d8b-9148-e3be6c30e623}">
          <xlrd:rvb i="1324"/>
        </ext>
      </extLst>
    </bk>
    <bk>
      <extLst>
        <ext uri="{3e2802c4-a4d2-4d8b-9148-e3be6c30e623}">
          <xlrd:rvb i="1325"/>
        </ext>
      </extLst>
    </bk>
    <bk>
      <extLst>
        <ext uri="{3e2802c4-a4d2-4d8b-9148-e3be6c30e623}">
          <xlrd:rvb i="1326"/>
        </ext>
      </extLst>
    </bk>
    <bk>
      <extLst>
        <ext uri="{3e2802c4-a4d2-4d8b-9148-e3be6c30e623}">
          <xlrd:rvb i="1327"/>
        </ext>
      </extLst>
    </bk>
    <bk>
      <extLst>
        <ext uri="{3e2802c4-a4d2-4d8b-9148-e3be6c30e623}">
          <xlrd:rvb i="1328"/>
        </ext>
      </extLst>
    </bk>
    <bk>
      <extLst>
        <ext uri="{3e2802c4-a4d2-4d8b-9148-e3be6c30e623}">
          <xlrd:rvb i="1329"/>
        </ext>
      </extLst>
    </bk>
    <bk>
      <extLst>
        <ext uri="{3e2802c4-a4d2-4d8b-9148-e3be6c30e623}">
          <xlrd:rvb i="1330"/>
        </ext>
      </extLst>
    </bk>
    <bk>
      <extLst>
        <ext uri="{3e2802c4-a4d2-4d8b-9148-e3be6c30e623}">
          <xlrd:rvb i="1331"/>
        </ext>
      </extLst>
    </bk>
    <bk>
      <extLst>
        <ext uri="{3e2802c4-a4d2-4d8b-9148-e3be6c30e623}">
          <xlrd:rvb i="1332"/>
        </ext>
      </extLst>
    </bk>
    <bk>
      <extLst>
        <ext uri="{3e2802c4-a4d2-4d8b-9148-e3be6c30e623}">
          <xlrd:rvb i="1333"/>
        </ext>
      </extLst>
    </bk>
    <bk>
      <extLst>
        <ext uri="{3e2802c4-a4d2-4d8b-9148-e3be6c30e623}">
          <xlrd:rvb i="1334"/>
        </ext>
      </extLst>
    </bk>
    <bk>
      <extLst>
        <ext uri="{3e2802c4-a4d2-4d8b-9148-e3be6c30e623}">
          <xlrd:rvb i="1335"/>
        </ext>
      </extLst>
    </bk>
    <bk>
      <extLst>
        <ext uri="{3e2802c4-a4d2-4d8b-9148-e3be6c30e623}">
          <xlrd:rvb i="1336"/>
        </ext>
      </extLst>
    </bk>
    <bk>
      <extLst>
        <ext uri="{3e2802c4-a4d2-4d8b-9148-e3be6c30e623}">
          <xlrd:rvb i="1337"/>
        </ext>
      </extLst>
    </bk>
    <bk>
      <extLst>
        <ext uri="{3e2802c4-a4d2-4d8b-9148-e3be6c30e623}">
          <xlrd:rvb i="1338"/>
        </ext>
      </extLst>
    </bk>
    <bk>
      <extLst>
        <ext uri="{3e2802c4-a4d2-4d8b-9148-e3be6c30e623}">
          <xlrd:rvb i="1339"/>
        </ext>
      </extLst>
    </bk>
    <bk>
      <extLst>
        <ext uri="{3e2802c4-a4d2-4d8b-9148-e3be6c30e623}">
          <xlrd:rvb i="1340"/>
        </ext>
      </extLst>
    </bk>
    <bk>
      <extLst>
        <ext uri="{3e2802c4-a4d2-4d8b-9148-e3be6c30e623}">
          <xlrd:rvb i="1341"/>
        </ext>
      </extLst>
    </bk>
    <bk>
      <extLst>
        <ext uri="{3e2802c4-a4d2-4d8b-9148-e3be6c30e623}">
          <xlrd:rvb i="1342"/>
        </ext>
      </extLst>
    </bk>
    <bk>
      <extLst>
        <ext uri="{3e2802c4-a4d2-4d8b-9148-e3be6c30e623}">
          <xlrd:rvb i="1343"/>
        </ext>
      </extLst>
    </bk>
    <bk>
      <extLst>
        <ext uri="{3e2802c4-a4d2-4d8b-9148-e3be6c30e623}">
          <xlrd:rvb i="1344"/>
        </ext>
      </extLst>
    </bk>
    <bk>
      <extLst>
        <ext uri="{3e2802c4-a4d2-4d8b-9148-e3be6c30e623}">
          <xlrd:rvb i="1345"/>
        </ext>
      </extLst>
    </bk>
    <bk>
      <extLst>
        <ext uri="{3e2802c4-a4d2-4d8b-9148-e3be6c30e623}">
          <xlrd:rvb i="1346"/>
        </ext>
      </extLst>
    </bk>
    <bk>
      <extLst>
        <ext uri="{3e2802c4-a4d2-4d8b-9148-e3be6c30e623}">
          <xlrd:rvb i="1347"/>
        </ext>
      </extLst>
    </bk>
    <bk>
      <extLst>
        <ext uri="{3e2802c4-a4d2-4d8b-9148-e3be6c30e623}">
          <xlrd:rvb i="1348"/>
        </ext>
      </extLst>
    </bk>
    <bk>
      <extLst>
        <ext uri="{3e2802c4-a4d2-4d8b-9148-e3be6c30e623}">
          <xlrd:rvb i="1349"/>
        </ext>
      </extLst>
    </bk>
    <bk>
      <extLst>
        <ext uri="{3e2802c4-a4d2-4d8b-9148-e3be6c30e623}">
          <xlrd:rvb i="1350"/>
        </ext>
      </extLst>
    </bk>
    <bk>
      <extLst>
        <ext uri="{3e2802c4-a4d2-4d8b-9148-e3be6c30e623}">
          <xlrd:rvb i="1351"/>
        </ext>
      </extLst>
    </bk>
    <bk>
      <extLst>
        <ext uri="{3e2802c4-a4d2-4d8b-9148-e3be6c30e623}">
          <xlrd:rvb i="1352"/>
        </ext>
      </extLst>
    </bk>
    <bk>
      <extLst>
        <ext uri="{3e2802c4-a4d2-4d8b-9148-e3be6c30e623}">
          <xlrd:rvb i="1353"/>
        </ext>
      </extLst>
    </bk>
    <bk>
      <extLst>
        <ext uri="{3e2802c4-a4d2-4d8b-9148-e3be6c30e623}">
          <xlrd:rvb i="1354"/>
        </ext>
      </extLst>
    </bk>
    <bk>
      <extLst>
        <ext uri="{3e2802c4-a4d2-4d8b-9148-e3be6c30e623}">
          <xlrd:rvb i="1355"/>
        </ext>
      </extLst>
    </bk>
    <bk>
      <extLst>
        <ext uri="{3e2802c4-a4d2-4d8b-9148-e3be6c30e623}">
          <xlrd:rvb i="1356"/>
        </ext>
      </extLst>
    </bk>
    <bk>
      <extLst>
        <ext uri="{3e2802c4-a4d2-4d8b-9148-e3be6c30e623}">
          <xlrd:rvb i="1357"/>
        </ext>
      </extLst>
    </bk>
    <bk>
      <extLst>
        <ext uri="{3e2802c4-a4d2-4d8b-9148-e3be6c30e623}">
          <xlrd:rvb i="1358"/>
        </ext>
      </extLst>
    </bk>
    <bk>
      <extLst>
        <ext uri="{3e2802c4-a4d2-4d8b-9148-e3be6c30e623}">
          <xlrd:rvb i="1359"/>
        </ext>
      </extLst>
    </bk>
    <bk>
      <extLst>
        <ext uri="{3e2802c4-a4d2-4d8b-9148-e3be6c30e623}">
          <xlrd:rvb i="1360"/>
        </ext>
      </extLst>
    </bk>
    <bk>
      <extLst>
        <ext uri="{3e2802c4-a4d2-4d8b-9148-e3be6c30e623}">
          <xlrd:rvb i="1361"/>
        </ext>
      </extLst>
    </bk>
    <bk>
      <extLst>
        <ext uri="{3e2802c4-a4d2-4d8b-9148-e3be6c30e623}">
          <xlrd:rvb i="1362"/>
        </ext>
      </extLst>
    </bk>
    <bk>
      <extLst>
        <ext uri="{3e2802c4-a4d2-4d8b-9148-e3be6c30e623}">
          <xlrd:rvb i="1363"/>
        </ext>
      </extLst>
    </bk>
    <bk>
      <extLst>
        <ext uri="{3e2802c4-a4d2-4d8b-9148-e3be6c30e623}">
          <xlrd:rvb i="1364"/>
        </ext>
      </extLst>
    </bk>
    <bk>
      <extLst>
        <ext uri="{3e2802c4-a4d2-4d8b-9148-e3be6c30e623}">
          <xlrd:rvb i="1365"/>
        </ext>
      </extLst>
    </bk>
    <bk>
      <extLst>
        <ext uri="{3e2802c4-a4d2-4d8b-9148-e3be6c30e623}">
          <xlrd:rvb i="1366"/>
        </ext>
      </extLst>
    </bk>
    <bk>
      <extLst>
        <ext uri="{3e2802c4-a4d2-4d8b-9148-e3be6c30e623}">
          <xlrd:rvb i="1367"/>
        </ext>
      </extLst>
    </bk>
    <bk>
      <extLst>
        <ext uri="{3e2802c4-a4d2-4d8b-9148-e3be6c30e623}">
          <xlrd:rvb i="1368"/>
        </ext>
      </extLst>
    </bk>
    <bk>
      <extLst>
        <ext uri="{3e2802c4-a4d2-4d8b-9148-e3be6c30e623}">
          <xlrd:rvb i="1369"/>
        </ext>
      </extLst>
    </bk>
    <bk>
      <extLst>
        <ext uri="{3e2802c4-a4d2-4d8b-9148-e3be6c30e623}">
          <xlrd:rvb i="1370"/>
        </ext>
      </extLst>
    </bk>
    <bk>
      <extLst>
        <ext uri="{3e2802c4-a4d2-4d8b-9148-e3be6c30e623}">
          <xlrd:rvb i="1371"/>
        </ext>
      </extLst>
    </bk>
    <bk>
      <extLst>
        <ext uri="{3e2802c4-a4d2-4d8b-9148-e3be6c30e623}">
          <xlrd:rvb i="1372"/>
        </ext>
      </extLst>
    </bk>
    <bk>
      <extLst>
        <ext uri="{3e2802c4-a4d2-4d8b-9148-e3be6c30e623}">
          <xlrd:rvb i="1373"/>
        </ext>
      </extLst>
    </bk>
    <bk>
      <extLst>
        <ext uri="{3e2802c4-a4d2-4d8b-9148-e3be6c30e623}">
          <xlrd:rvb i="1374"/>
        </ext>
      </extLst>
    </bk>
    <bk>
      <extLst>
        <ext uri="{3e2802c4-a4d2-4d8b-9148-e3be6c30e623}">
          <xlrd:rvb i="1375"/>
        </ext>
      </extLst>
    </bk>
    <bk>
      <extLst>
        <ext uri="{3e2802c4-a4d2-4d8b-9148-e3be6c30e623}">
          <xlrd:rvb i="1376"/>
        </ext>
      </extLst>
    </bk>
    <bk>
      <extLst>
        <ext uri="{3e2802c4-a4d2-4d8b-9148-e3be6c30e623}">
          <xlrd:rvb i="1377"/>
        </ext>
      </extLst>
    </bk>
    <bk>
      <extLst>
        <ext uri="{3e2802c4-a4d2-4d8b-9148-e3be6c30e623}">
          <xlrd:rvb i="1378"/>
        </ext>
      </extLst>
    </bk>
    <bk>
      <extLst>
        <ext uri="{3e2802c4-a4d2-4d8b-9148-e3be6c30e623}">
          <xlrd:rvb i="1379"/>
        </ext>
      </extLst>
    </bk>
    <bk>
      <extLst>
        <ext uri="{3e2802c4-a4d2-4d8b-9148-e3be6c30e623}">
          <xlrd:rvb i="1380"/>
        </ext>
      </extLst>
    </bk>
    <bk>
      <extLst>
        <ext uri="{3e2802c4-a4d2-4d8b-9148-e3be6c30e623}">
          <xlrd:rvb i="1381"/>
        </ext>
      </extLst>
    </bk>
    <bk>
      <extLst>
        <ext uri="{3e2802c4-a4d2-4d8b-9148-e3be6c30e623}">
          <xlrd:rvb i="1382"/>
        </ext>
      </extLst>
    </bk>
    <bk>
      <extLst>
        <ext uri="{3e2802c4-a4d2-4d8b-9148-e3be6c30e623}">
          <xlrd:rvb i="1383"/>
        </ext>
      </extLst>
    </bk>
    <bk>
      <extLst>
        <ext uri="{3e2802c4-a4d2-4d8b-9148-e3be6c30e623}">
          <xlrd:rvb i="1384"/>
        </ext>
      </extLst>
    </bk>
    <bk>
      <extLst>
        <ext uri="{3e2802c4-a4d2-4d8b-9148-e3be6c30e623}">
          <xlrd:rvb i="1385"/>
        </ext>
      </extLst>
    </bk>
    <bk>
      <extLst>
        <ext uri="{3e2802c4-a4d2-4d8b-9148-e3be6c30e623}">
          <xlrd:rvb i="1386"/>
        </ext>
      </extLst>
    </bk>
    <bk>
      <extLst>
        <ext uri="{3e2802c4-a4d2-4d8b-9148-e3be6c30e623}">
          <xlrd:rvb i="1387"/>
        </ext>
      </extLst>
    </bk>
    <bk>
      <extLst>
        <ext uri="{3e2802c4-a4d2-4d8b-9148-e3be6c30e623}">
          <xlrd:rvb i="1388"/>
        </ext>
      </extLst>
    </bk>
    <bk>
      <extLst>
        <ext uri="{3e2802c4-a4d2-4d8b-9148-e3be6c30e623}">
          <xlrd:rvb i="1389"/>
        </ext>
      </extLst>
    </bk>
    <bk>
      <extLst>
        <ext uri="{3e2802c4-a4d2-4d8b-9148-e3be6c30e623}">
          <xlrd:rvb i="1390"/>
        </ext>
      </extLst>
    </bk>
    <bk>
      <extLst>
        <ext uri="{3e2802c4-a4d2-4d8b-9148-e3be6c30e623}">
          <xlrd:rvb i="1391"/>
        </ext>
      </extLst>
    </bk>
    <bk>
      <extLst>
        <ext uri="{3e2802c4-a4d2-4d8b-9148-e3be6c30e623}">
          <xlrd:rvb i="1392"/>
        </ext>
      </extLst>
    </bk>
    <bk>
      <extLst>
        <ext uri="{3e2802c4-a4d2-4d8b-9148-e3be6c30e623}">
          <xlrd:rvb i="1393"/>
        </ext>
      </extLst>
    </bk>
    <bk>
      <extLst>
        <ext uri="{3e2802c4-a4d2-4d8b-9148-e3be6c30e623}">
          <xlrd:rvb i="1394"/>
        </ext>
      </extLst>
    </bk>
    <bk>
      <extLst>
        <ext uri="{3e2802c4-a4d2-4d8b-9148-e3be6c30e623}">
          <xlrd:rvb i="1395"/>
        </ext>
      </extLst>
    </bk>
    <bk>
      <extLst>
        <ext uri="{3e2802c4-a4d2-4d8b-9148-e3be6c30e623}">
          <xlrd:rvb i="1396"/>
        </ext>
      </extLst>
    </bk>
    <bk>
      <extLst>
        <ext uri="{3e2802c4-a4d2-4d8b-9148-e3be6c30e623}">
          <xlrd:rvb i="1397"/>
        </ext>
      </extLst>
    </bk>
    <bk>
      <extLst>
        <ext uri="{3e2802c4-a4d2-4d8b-9148-e3be6c30e623}">
          <xlrd:rvb i="1398"/>
        </ext>
      </extLst>
    </bk>
    <bk>
      <extLst>
        <ext uri="{3e2802c4-a4d2-4d8b-9148-e3be6c30e623}">
          <xlrd:rvb i="1399"/>
        </ext>
      </extLst>
    </bk>
    <bk>
      <extLst>
        <ext uri="{3e2802c4-a4d2-4d8b-9148-e3be6c30e623}">
          <xlrd:rvb i="1400"/>
        </ext>
      </extLst>
    </bk>
    <bk>
      <extLst>
        <ext uri="{3e2802c4-a4d2-4d8b-9148-e3be6c30e623}">
          <xlrd:rvb i="1401"/>
        </ext>
      </extLst>
    </bk>
    <bk>
      <extLst>
        <ext uri="{3e2802c4-a4d2-4d8b-9148-e3be6c30e623}">
          <xlrd:rvb i="1402"/>
        </ext>
      </extLst>
    </bk>
    <bk>
      <extLst>
        <ext uri="{3e2802c4-a4d2-4d8b-9148-e3be6c30e623}">
          <xlrd:rvb i="1403"/>
        </ext>
      </extLst>
    </bk>
    <bk>
      <extLst>
        <ext uri="{3e2802c4-a4d2-4d8b-9148-e3be6c30e623}">
          <xlrd:rvb i="1404"/>
        </ext>
      </extLst>
    </bk>
    <bk>
      <extLst>
        <ext uri="{3e2802c4-a4d2-4d8b-9148-e3be6c30e623}">
          <xlrd:rvb i="1405"/>
        </ext>
      </extLst>
    </bk>
    <bk>
      <extLst>
        <ext uri="{3e2802c4-a4d2-4d8b-9148-e3be6c30e623}">
          <xlrd:rvb i="1406"/>
        </ext>
      </extLst>
    </bk>
    <bk>
      <extLst>
        <ext uri="{3e2802c4-a4d2-4d8b-9148-e3be6c30e623}">
          <xlrd:rvb i="1407"/>
        </ext>
      </extLst>
    </bk>
    <bk>
      <extLst>
        <ext uri="{3e2802c4-a4d2-4d8b-9148-e3be6c30e623}">
          <xlrd:rvb i="1408"/>
        </ext>
      </extLst>
    </bk>
    <bk>
      <extLst>
        <ext uri="{3e2802c4-a4d2-4d8b-9148-e3be6c30e623}">
          <xlrd:rvb i="1409"/>
        </ext>
      </extLst>
    </bk>
    <bk>
      <extLst>
        <ext uri="{3e2802c4-a4d2-4d8b-9148-e3be6c30e623}">
          <xlrd:rvb i="1410"/>
        </ext>
      </extLst>
    </bk>
    <bk>
      <extLst>
        <ext uri="{3e2802c4-a4d2-4d8b-9148-e3be6c30e623}">
          <xlrd:rvb i="1411"/>
        </ext>
      </extLst>
    </bk>
    <bk>
      <extLst>
        <ext uri="{3e2802c4-a4d2-4d8b-9148-e3be6c30e623}">
          <xlrd:rvb i="1412"/>
        </ext>
      </extLst>
    </bk>
    <bk>
      <extLst>
        <ext uri="{3e2802c4-a4d2-4d8b-9148-e3be6c30e623}">
          <xlrd:rvb i="1413"/>
        </ext>
      </extLst>
    </bk>
    <bk>
      <extLst>
        <ext uri="{3e2802c4-a4d2-4d8b-9148-e3be6c30e623}">
          <xlrd:rvb i="1414"/>
        </ext>
      </extLst>
    </bk>
    <bk>
      <extLst>
        <ext uri="{3e2802c4-a4d2-4d8b-9148-e3be6c30e623}">
          <xlrd:rvb i="1415"/>
        </ext>
      </extLst>
    </bk>
    <bk>
      <extLst>
        <ext uri="{3e2802c4-a4d2-4d8b-9148-e3be6c30e623}">
          <xlrd:rvb i="1416"/>
        </ext>
      </extLst>
    </bk>
    <bk>
      <extLst>
        <ext uri="{3e2802c4-a4d2-4d8b-9148-e3be6c30e623}">
          <xlrd:rvb i="1417"/>
        </ext>
      </extLst>
    </bk>
    <bk>
      <extLst>
        <ext uri="{3e2802c4-a4d2-4d8b-9148-e3be6c30e623}">
          <xlrd:rvb i="1418"/>
        </ext>
      </extLst>
    </bk>
    <bk>
      <extLst>
        <ext uri="{3e2802c4-a4d2-4d8b-9148-e3be6c30e623}">
          <xlrd:rvb i="1419"/>
        </ext>
      </extLst>
    </bk>
    <bk>
      <extLst>
        <ext uri="{3e2802c4-a4d2-4d8b-9148-e3be6c30e623}">
          <xlrd:rvb i="1420"/>
        </ext>
      </extLst>
    </bk>
    <bk>
      <extLst>
        <ext uri="{3e2802c4-a4d2-4d8b-9148-e3be6c30e623}">
          <xlrd:rvb i="1421"/>
        </ext>
      </extLst>
    </bk>
    <bk>
      <extLst>
        <ext uri="{3e2802c4-a4d2-4d8b-9148-e3be6c30e623}">
          <xlrd:rvb i="1422"/>
        </ext>
      </extLst>
    </bk>
    <bk>
      <extLst>
        <ext uri="{3e2802c4-a4d2-4d8b-9148-e3be6c30e623}">
          <xlrd:rvb i="1423"/>
        </ext>
      </extLst>
    </bk>
    <bk>
      <extLst>
        <ext uri="{3e2802c4-a4d2-4d8b-9148-e3be6c30e623}">
          <xlrd:rvb i="1424"/>
        </ext>
      </extLst>
    </bk>
    <bk>
      <extLst>
        <ext uri="{3e2802c4-a4d2-4d8b-9148-e3be6c30e623}">
          <xlrd:rvb i="1425"/>
        </ext>
      </extLst>
    </bk>
    <bk>
      <extLst>
        <ext uri="{3e2802c4-a4d2-4d8b-9148-e3be6c30e623}">
          <xlrd:rvb i="1426"/>
        </ext>
      </extLst>
    </bk>
    <bk>
      <extLst>
        <ext uri="{3e2802c4-a4d2-4d8b-9148-e3be6c30e623}">
          <xlrd:rvb i="1427"/>
        </ext>
      </extLst>
    </bk>
    <bk>
      <extLst>
        <ext uri="{3e2802c4-a4d2-4d8b-9148-e3be6c30e623}">
          <xlrd:rvb i="1428"/>
        </ext>
      </extLst>
    </bk>
    <bk>
      <extLst>
        <ext uri="{3e2802c4-a4d2-4d8b-9148-e3be6c30e623}">
          <xlrd:rvb i="1429"/>
        </ext>
      </extLst>
    </bk>
    <bk>
      <extLst>
        <ext uri="{3e2802c4-a4d2-4d8b-9148-e3be6c30e623}">
          <xlrd:rvb i="1430"/>
        </ext>
      </extLst>
    </bk>
    <bk>
      <extLst>
        <ext uri="{3e2802c4-a4d2-4d8b-9148-e3be6c30e623}">
          <xlrd:rvb i="1431"/>
        </ext>
      </extLst>
    </bk>
    <bk>
      <extLst>
        <ext uri="{3e2802c4-a4d2-4d8b-9148-e3be6c30e623}">
          <xlrd:rvb i="1432"/>
        </ext>
      </extLst>
    </bk>
    <bk>
      <extLst>
        <ext uri="{3e2802c4-a4d2-4d8b-9148-e3be6c30e623}">
          <xlrd:rvb i="1433"/>
        </ext>
      </extLst>
    </bk>
    <bk>
      <extLst>
        <ext uri="{3e2802c4-a4d2-4d8b-9148-e3be6c30e623}">
          <xlrd:rvb i="1434"/>
        </ext>
      </extLst>
    </bk>
    <bk>
      <extLst>
        <ext uri="{3e2802c4-a4d2-4d8b-9148-e3be6c30e623}">
          <xlrd:rvb i="1435"/>
        </ext>
      </extLst>
    </bk>
    <bk>
      <extLst>
        <ext uri="{3e2802c4-a4d2-4d8b-9148-e3be6c30e623}">
          <xlrd:rvb i="1436"/>
        </ext>
      </extLst>
    </bk>
    <bk>
      <extLst>
        <ext uri="{3e2802c4-a4d2-4d8b-9148-e3be6c30e623}">
          <xlrd:rvb i="1437"/>
        </ext>
      </extLst>
    </bk>
    <bk>
      <extLst>
        <ext uri="{3e2802c4-a4d2-4d8b-9148-e3be6c30e623}">
          <xlrd:rvb i="1438"/>
        </ext>
      </extLst>
    </bk>
    <bk>
      <extLst>
        <ext uri="{3e2802c4-a4d2-4d8b-9148-e3be6c30e623}">
          <xlrd:rvb i="1439"/>
        </ext>
      </extLst>
    </bk>
    <bk>
      <extLst>
        <ext uri="{3e2802c4-a4d2-4d8b-9148-e3be6c30e623}">
          <xlrd:rvb i="1440"/>
        </ext>
      </extLst>
    </bk>
    <bk>
      <extLst>
        <ext uri="{3e2802c4-a4d2-4d8b-9148-e3be6c30e623}">
          <xlrd:rvb i="1441"/>
        </ext>
      </extLst>
    </bk>
    <bk>
      <extLst>
        <ext uri="{3e2802c4-a4d2-4d8b-9148-e3be6c30e623}">
          <xlrd:rvb i="1442"/>
        </ext>
      </extLst>
    </bk>
    <bk>
      <extLst>
        <ext uri="{3e2802c4-a4d2-4d8b-9148-e3be6c30e623}">
          <xlrd:rvb i="1443"/>
        </ext>
      </extLst>
    </bk>
    <bk>
      <extLst>
        <ext uri="{3e2802c4-a4d2-4d8b-9148-e3be6c30e623}">
          <xlrd:rvb i="1444"/>
        </ext>
      </extLst>
    </bk>
    <bk>
      <extLst>
        <ext uri="{3e2802c4-a4d2-4d8b-9148-e3be6c30e623}">
          <xlrd:rvb i="1445"/>
        </ext>
      </extLst>
    </bk>
    <bk>
      <extLst>
        <ext uri="{3e2802c4-a4d2-4d8b-9148-e3be6c30e623}">
          <xlrd:rvb i="1446"/>
        </ext>
      </extLst>
    </bk>
    <bk>
      <extLst>
        <ext uri="{3e2802c4-a4d2-4d8b-9148-e3be6c30e623}">
          <xlrd:rvb i="1447"/>
        </ext>
      </extLst>
    </bk>
    <bk>
      <extLst>
        <ext uri="{3e2802c4-a4d2-4d8b-9148-e3be6c30e623}">
          <xlrd:rvb i="1448"/>
        </ext>
      </extLst>
    </bk>
    <bk>
      <extLst>
        <ext uri="{3e2802c4-a4d2-4d8b-9148-e3be6c30e623}">
          <xlrd:rvb i="1449"/>
        </ext>
      </extLst>
    </bk>
    <bk>
      <extLst>
        <ext uri="{3e2802c4-a4d2-4d8b-9148-e3be6c30e623}">
          <xlrd:rvb i="1450"/>
        </ext>
      </extLst>
    </bk>
    <bk>
      <extLst>
        <ext uri="{3e2802c4-a4d2-4d8b-9148-e3be6c30e623}">
          <xlrd:rvb i="1451"/>
        </ext>
      </extLst>
    </bk>
    <bk>
      <extLst>
        <ext uri="{3e2802c4-a4d2-4d8b-9148-e3be6c30e623}">
          <xlrd:rvb i="1452"/>
        </ext>
      </extLst>
    </bk>
    <bk>
      <extLst>
        <ext uri="{3e2802c4-a4d2-4d8b-9148-e3be6c30e623}">
          <xlrd:rvb i="1453"/>
        </ext>
      </extLst>
    </bk>
    <bk>
      <extLst>
        <ext uri="{3e2802c4-a4d2-4d8b-9148-e3be6c30e623}">
          <xlrd:rvb i="1454"/>
        </ext>
      </extLst>
    </bk>
    <bk>
      <extLst>
        <ext uri="{3e2802c4-a4d2-4d8b-9148-e3be6c30e623}">
          <xlrd:rvb i="1455"/>
        </ext>
      </extLst>
    </bk>
    <bk>
      <extLst>
        <ext uri="{3e2802c4-a4d2-4d8b-9148-e3be6c30e623}">
          <xlrd:rvb i="1456"/>
        </ext>
      </extLst>
    </bk>
    <bk>
      <extLst>
        <ext uri="{3e2802c4-a4d2-4d8b-9148-e3be6c30e623}">
          <xlrd:rvb i="1457"/>
        </ext>
      </extLst>
    </bk>
    <bk>
      <extLst>
        <ext uri="{3e2802c4-a4d2-4d8b-9148-e3be6c30e623}">
          <xlrd:rvb i="1458"/>
        </ext>
      </extLst>
    </bk>
    <bk>
      <extLst>
        <ext uri="{3e2802c4-a4d2-4d8b-9148-e3be6c30e623}">
          <xlrd:rvb i="1459"/>
        </ext>
      </extLst>
    </bk>
    <bk>
      <extLst>
        <ext uri="{3e2802c4-a4d2-4d8b-9148-e3be6c30e623}">
          <xlrd:rvb i="1460"/>
        </ext>
      </extLst>
    </bk>
    <bk>
      <extLst>
        <ext uri="{3e2802c4-a4d2-4d8b-9148-e3be6c30e623}">
          <xlrd:rvb i="1461"/>
        </ext>
      </extLst>
    </bk>
    <bk>
      <extLst>
        <ext uri="{3e2802c4-a4d2-4d8b-9148-e3be6c30e623}">
          <xlrd:rvb i="1462"/>
        </ext>
      </extLst>
    </bk>
    <bk>
      <extLst>
        <ext uri="{3e2802c4-a4d2-4d8b-9148-e3be6c30e623}">
          <xlrd:rvb i="1463"/>
        </ext>
      </extLst>
    </bk>
    <bk>
      <extLst>
        <ext uri="{3e2802c4-a4d2-4d8b-9148-e3be6c30e623}">
          <xlrd:rvb i="1464"/>
        </ext>
      </extLst>
    </bk>
    <bk>
      <extLst>
        <ext uri="{3e2802c4-a4d2-4d8b-9148-e3be6c30e623}">
          <xlrd:rvb i="1465"/>
        </ext>
      </extLst>
    </bk>
    <bk>
      <extLst>
        <ext uri="{3e2802c4-a4d2-4d8b-9148-e3be6c30e623}">
          <xlrd:rvb i="1466"/>
        </ext>
      </extLst>
    </bk>
    <bk>
      <extLst>
        <ext uri="{3e2802c4-a4d2-4d8b-9148-e3be6c30e623}">
          <xlrd:rvb i="1467"/>
        </ext>
      </extLst>
    </bk>
    <bk>
      <extLst>
        <ext uri="{3e2802c4-a4d2-4d8b-9148-e3be6c30e623}">
          <xlrd:rvb i="1468"/>
        </ext>
      </extLst>
    </bk>
    <bk>
      <extLst>
        <ext uri="{3e2802c4-a4d2-4d8b-9148-e3be6c30e623}">
          <xlrd:rvb i="1469"/>
        </ext>
      </extLst>
    </bk>
    <bk>
      <extLst>
        <ext uri="{3e2802c4-a4d2-4d8b-9148-e3be6c30e623}">
          <xlrd:rvb i="1470"/>
        </ext>
      </extLst>
    </bk>
    <bk>
      <extLst>
        <ext uri="{3e2802c4-a4d2-4d8b-9148-e3be6c30e623}">
          <xlrd:rvb i="1471"/>
        </ext>
      </extLst>
    </bk>
    <bk>
      <extLst>
        <ext uri="{3e2802c4-a4d2-4d8b-9148-e3be6c30e623}">
          <xlrd:rvb i="1472"/>
        </ext>
      </extLst>
    </bk>
    <bk>
      <extLst>
        <ext uri="{3e2802c4-a4d2-4d8b-9148-e3be6c30e623}">
          <xlrd:rvb i="1473"/>
        </ext>
      </extLst>
    </bk>
    <bk>
      <extLst>
        <ext uri="{3e2802c4-a4d2-4d8b-9148-e3be6c30e623}">
          <xlrd:rvb i="1474"/>
        </ext>
      </extLst>
    </bk>
    <bk>
      <extLst>
        <ext uri="{3e2802c4-a4d2-4d8b-9148-e3be6c30e623}">
          <xlrd:rvb i="1475"/>
        </ext>
      </extLst>
    </bk>
    <bk>
      <extLst>
        <ext uri="{3e2802c4-a4d2-4d8b-9148-e3be6c30e623}">
          <xlrd:rvb i="1476"/>
        </ext>
      </extLst>
    </bk>
    <bk>
      <extLst>
        <ext uri="{3e2802c4-a4d2-4d8b-9148-e3be6c30e623}">
          <xlrd:rvb i="1477"/>
        </ext>
      </extLst>
    </bk>
    <bk>
      <extLst>
        <ext uri="{3e2802c4-a4d2-4d8b-9148-e3be6c30e623}">
          <xlrd:rvb i="1478"/>
        </ext>
      </extLst>
    </bk>
    <bk>
      <extLst>
        <ext uri="{3e2802c4-a4d2-4d8b-9148-e3be6c30e623}">
          <xlrd:rvb i="1479"/>
        </ext>
      </extLst>
    </bk>
    <bk>
      <extLst>
        <ext uri="{3e2802c4-a4d2-4d8b-9148-e3be6c30e623}">
          <xlrd:rvb i="1480"/>
        </ext>
      </extLst>
    </bk>
    <bk>
      <extLst>
        <ext uri="{3e2802c4-a4d2-4d8b-9148-e3be6c30e623}">
          <xlrd:rvb i="1481"/>
        </ext>
      </extLst>
    </bk>
    <bk>
      <extLst>
        <ext uri="{3e2802c4-a4d2-4d8b-9148-e3be6c30e623}">
          <xlrd:rvb i="1482"/>
        </ext>
      </extLst>
    </bk>
    <bk>
      <extLst>
        <ext uri="{3e2802c4-a4d2-4d8b-9148-e3be6c30e623}">
          <xlrd:rvb i="1483"/>
        </ext>
      </extLst>
    </bk>
    <bk>
      <extLst>
        <ext uri="{3e2802c4-a4d2-4d8b-9148-e3be6c30e623}">
          <xlrd:rvb i="1484"/>
        </ext>
      </extLst>
    </bk>
    <bk>
      <extLst>
        <ext uri="{3e2802c4-a4d2-4d8b-9148-e3be6c30e623}">
          <xlrd:rvb i="1485"/>
        </ext>
      </extLst>
    </bk>
    <bk>
      <extLst>
        <ext uri="{3e2802c4-a4d2-4d8b-9148-e3be6c30e623}">
          <xlrd:rvb i="1486"/>
        </ext>
      </extLst>
    </bk>
    <bk>
      <extLst>
        <ext uri="{3e2802c4-a4d2-4d8b-9148-e3be6c30e623}">
          <xlrd:rvb i="1487"/>
        </ext>
      </extLst>
    </bk>
    <bk>
      <extLst>
        <ext uri="{3e2802c4-a4d2-4d8b-9148-e3be6c30e623}">
          <xlrd:rvb i="1488"/>
        </ext>
      </extLst>
    </bk>
    <bk>
      <extLst>
        <ext uri="{3e2802c4-a4d2-4d8b-9148-e3be6c30e623}">
          <xlrd:rvb i="1489"/>
        </ext>
      </extLst>
    </bk>
    <bk>
      <extLst>
        <ext uri="{3e2802c4-a4d2-4d8b-9148-e3be6c30e623}">
          <xlrd:rvb i="1490"/>
        </ext>
      </extLst>
    </bk>
    <bk>
      <extLst>
        <ext uri="{3e2802c4-a4d2-4d8b-9148-e3be6c30e623}">
          <xlrd:rvb i="1491"/>
        </ext>
      </extLst>
    </bk>
    <bk>
      <extLst>
        <ext uri="{3e2802c4-a4d2-4d8b-9148-e3be6c30e623}">
          <xlrd:rvb i="1492"/>
        </ext>
      </extLst>
    </bk>
    <bk>
      <extLst>
        <ext uri="{3e2802c4-a4d2-4d8b-9148-e3be6c30e623}">
          <xlrd:rvb i="1493"/>
        </ext>
      </extLst>
    </bk>
    <bk>
      <extLst>
        <ext uri="{3e2802c4-a4d2-4d8b-9148-e3be6c30e623}">
          <xlrd:rvb i="1494"/>
        </ext>
      </extLst>
    </bk>
    <bk>
      <extLst>
        <ext uri="{3e2802c4-a4d2-4d8b-9148-e3be6c30e623}">
          <xlrd:rvb i="1495"/>
        </ext>
      </extLst>
    </bk>
    <bk>
      <extLst>
        <ext uri="{3e2802c4-a4d2-4d8b-9148-e3be6c30e623}">
          <xlrd:rvb i="1496"/>
        </ext>
      </extLst>
    </bk>
    <bk>
      <extLst>
        <ext uri="{3e2802c4-a4d2-4d8b-9148-e3be6c30e623}">
          <xlrd:rvb i="1497"/>
        </ext>
      </extLst>
    </bk>
    <bk>
      <extLst>
        <ext uri="{3e2802c4-a4d2-4d8b-9148-e3be6c30e623}">
          <xlrd:rvb i="1498"/>
        </ext>
      </extLst>
    </bk>
    <bk>
      <extLst>
        <ext uri="{3e2802c4-a4d2-4d8b-9148-e3be6c30e623}">
          <xlrd:rvb i="1499"/>
        </ext>
      </extLst>
    </bk>
    <bk>
      <extLst>
        <ext uri="{3e2802c4-a4d2-4d8b-9148-e3be6c30e623}">
          <xlrd:rvb i="1500"/>
        </ext>
      </extLst>
    </bk>
    <bk>
      <extLst>
        <ext uri="{3e2802c4-a4d2-4d8b-9148-e3be6c30e623}">
          <xlrd:rvb i="1501"/>
        </ext>
      </extLst>
    </bk>
    <bk>
      <extLst>
        <ext uri="{3e2802c4-a4d2-4d8b-9148-e3be6c30e623}">
          <xlrd:rvb i="1502"/>
        </ext>
      </extLst>
    </bk>
    <bk>
      <extLst>
        <ext uri="{3e2802c4-a4d2-4d8b-9148-e3be6c30e623}">
          <xlrd:rvb i="1503"/>
        </ext>
      </extLst>
    </bk>
    <bk>
      <extLst>
        <ext uri="{3e2802c4-a4d2-4d8b-9148-e3be6c30e623}">
          <xlrd:rvb i="1504"/>
        </ext>
      </extLst>
    </bk>
    <bk>
      <extLst>
        <ext uri="{3e2802c4-a4d2-4d8b-9148-e3be6c30e623}">
          <xlrd:rvb i="1505"/>
        </ext>
      </extLst>
    </bk>
    <bk>
      <extLst>
        <ext uri="{3e2802c4-a4d2-4d8b-9148-e3be6c30e623}">
          <xlrd:rvb i="1506"/>
        </ext>
      </extLst>
    </bk>
    <bk>
      <extLst>
        <ext uri="{3e2802c4-a4d2-4d8b-9148-e3be6c30e623}">
          <xlrd:rvb i="1507"/>
        </ext>
      </extLst>
    </bk>
    <bk>
      <extLst>
        <ext uri="{3e2802c4-a4d2-4d8b-9148-e3be6c30e623}">
          <xlrd:rvb i="1508"/>
        </ext>
      </extLst>
    </bk>
    <bk>
      <extLst>
        <ext uri="{3e2802c4-a4d2-4d8b-9148-e3be6c30e623}">
          <xlrd:rvb i="1509"/>
        </ext>
      </extLst>
    </bk>
    <bk>
      <extLst>
        <ext uri="{3e2802c4-a4d2-4d8b-9148-e3be6c30e623}">
          <xlrd:rvb i="1510"/>
        </ext>
      </extLst>
    </bk>
    <bk>
      <extLst>
        <ext uri="{3e2802c4-a4d2-4d8b-9148-e3be6c30e623}">
          <xlrd:rvb i="1511"/>
        </ext>
      </extLst>
    </bk>
    <bk>
      <extLst>
        <ext uri="{3e2802c4-a4d2-4d8b-9148-e3be6c30e623}">
          <xlrd:rvb i="1512"/>
        </ext>
      </extLst>
    </bk>
    <bk>
      <extLst>
        <ext uri="{3e2802c4-a4d2-4d8b-9148-e3be6c30e623}">
          <xlrd:rvb i="1513"/>
        </ext>
      </extLst>
    </bk>
    <bk>
      <extLst>
        <ext uri="{3e2802c4-a4d2-4d8b-9148-e3be6c30e623}">
          <xlrd:rvb i="1514"/>
        </ext>
      </extLst>
    </bk>
    <bk>
      <extLst>
        <ext uri="{3e2802c4-a4d2-4d8b-9148-e3be6c30e623}">
          <xlrd:rvb i="1515"/>
        </ext>
      </extLst>
    </bk>
    <bk>
      <extLst>
        <ext uri="{3e2802c4-a4d2-4d8b-9148-e3be6c30e623}">
          <xlrd:rvb i="1516"/>
        </ext>
      </extLst>
    </bk>
    <bk>
      <extLst>
        <ext uri="{3e2802c4-a4d2-4d8b-9148-e3be6c30e623}">
          <xlrd:rvb i="1517"/>
        </ext>
      </extLst>
    </bk>
    <bk>
      <extLst>
        <ext uri="{3e2802c4-a4d2-4d8b-9148-e3be6c30e623}">
          <xlrd:rvb i="1518"/>
        </ext>
      </extLst>
    </bk>
    <bk>
      <extLst>
        <ext uri="{3e2802c4-a4d2-4d8b-9148-e3be6c30e623}">
          <xlrd:rvb i="1519"/>
        </ext>
      </extLst>
    </bk>
    <bk>
      <extLst>
        <ext uri="{3e2802c4-a4d2-4d8b-9148-e3be6c30e623}">
          <xlrd:rvb i="1520"/>
        </ext>
      </extLst>
    </bk>
    <bk>
      <extLst>
        <ext uri="{3e2802c4-a4d2-4d8b-9148-e3be6c30e623}">
          <xlrd:rvb i="1521"/>
        </ext>
      </extLst>
    </bk>
    <bk>
      <extLst>
        <ext uri="{3e2802c4-a4d2-4d8b-9148-e3be6c30e623}">
          <xlrd:rvb i="1522"/>
        </ext>
      </extLst>
    </bk>
    <bk>
      <extLst>
        <ext uri="{3e2802c4-a4d2-4d8b-9148-e3be6c30e623}">
          <xlrd:rvb i="1523"/>
        </ext>
      </extLst>
    </bk>
    <bk>
      <extLst>
        <ext uri="{3e2802c4-a4d2-4d8b-9148-e3be6c30e623}">
          <xlrd:rvb i="1524"/>
        </ext>
      </extLst>
    </bk>
    <bk>
      <extLst>
        <ext uri="{3e2802c4-a4d2-4d8b-9148-e3be6c30e623}">
          <xlrd:rvb i="1525"/>
        </ext>
      </extLst>
    </bk>
    <bk>
      <extLst>
        <ext uri="{3e2802c4-a4d2-4d8b-9148-e3be6c30e623}">
          <xlrd:rvb i="1526"/>
        </ext>
      </extLst>
    </bk>
    <bk>
      <extLst>
        <ext uri="{3e2802c4-a4d2-4d8b-9148-e3be6c30e623}">
          <xlrd:rvb i="1527"/>
        </ext>
      </extLst>
    </bk>
    <bk>
      <extLst>
        <ext uri="{3e2802c4-a4d2-4d8b-9148-e3be6c30e623}">
          <xlrd:rvb i="1528"/>
        </ext>
      </extLst>
    </bk>
    <bk>
      <extLst>
        <ext uri="{3e2802c4-a4d2-4d8b-9148-e3be6c30e623}">
          <xlrd:rvb i="1529"/>
        </ext>
      </extLst>
    </bk>
    <bk>
      <extLst>
        <ext uri="{3e2802c4-a4d2-4d8b-9148-e3be6c30e623}">
          <xlrd:rvb i="1530"/>
        </ext>
      </extLst>
    </bk>
    <bk>
      <extLst>
        <ext uri="{3e2802c4-a4d2-4d8b-9148-e3be6c30e623}">
          <xlrd:rvb i="1531"/>
        </ext>
      </extLst>
    </bk>
    <bk>
      <extLst>
        <ext uri="{3e2802c4-a4d2-4d8b-9148-e3be6c30e623}">
          <xlrd:rvb i="1532"/>
        </ext>
      </extLst>
    </bk>
    <bk>
      <extLst>
        <ext uri="{3e2802c4-a4d2-4d8b-9148-e3be6c30e623}">
          <xlrd:rvb i="1533"/>
        </ext>
      </extLst>
    </bk>
    <bk>
      <extLst>
        <ext uri="{3e2802c4-a4d2-4d8b-9148-e3be6c30e623}">
          <xlrd:rvb i="1534"/>
        </ext>
      </extLst>
    </bk>
    <bk>
      <extLst>
        <ext uri="{3e2802c4-a4d2-4d8b-9148-e3be6c30e623}">
          <xlrd:rvb i="1535"/>
        </ext>
      </extLst>
    </bk>
    <bk>
      <extLst>
        <ext uri="{3e2802c4-a4d2-4d8b-9148-e3be6c30e623}">
          <xlrd:rvb i="1536"/>
        </ext>
      </extLst>
    </bk>
    <bk>
      <extLst>
        <ext uri="{3e2802c4-a4d2-4d8b-9148-e3be6c30e623}">
          <xlrd:rvb i="1537"/>
        </ext>
      </extLst>
    </bk>
    <bk>
      <extLst>
        <ext uri="{3e2802c4-a4d2-4d8b-9148-e3be6c30e623}">
          <xlrd:rvb i="1538"/>
        </ext>
      </extLst>
    </bk>
    <bk>
      <extLst>
        <ext uri="{3e2802c4-a4d2-4d8b-9148-e3be6c30e623}">
          <xlrd:rvb i="1539"/>
        </ext>
      </extLst>
    </bk>
    <bk>
      <extLst>
        <ext uri="{3e2802c4-a4d2-4d8b-9148-e3be6c30e623}">
          <xlrd:rvb i="1540"/>
        </ext>
      </extLst>
    </bk>
    <bk>
      <extLst>
        <ext uri="{3e2802c4-a4d2-4d8b-9148-e3be6c30e623}">
          <xlrd:rvb i="1541"/>
        </ext>
      </extLst>
    </bk>
    <bk>
      <extLst>
        <ext uri="{3e2802c4-a4d2-4d8b-9148-e3be6c30e623}">
          <xlrd:rvb i="1542"/>
        </ext>
      </extLst>
    </bk>
    <bk>
      <extLst>
        <ext uri="{3e2802c4-a4d2-4d8b-9148-e3be6c30e623}">
          <xlrd:rvb i="1543"/>
        </ext>
      </extLst>
    </bk>
    <bk>
      <extLst>
        <ext uri="{3e2802c4-a4d2-4d8b-9148-e3be6c30e623}">
          <xlrd:rvb i="1544"/>
        </ext>
      </extLst>
    </bk>
    <bk>
      <extLst>
        <ext uri="{3e2802c4-a4d2-4d8b-9148-e3be6c30e623}">
          <xlrd:rvb i="1545"/>
        </ext>
      </extLst>
    </bk>
    <bk>
      <extLst>
        <ext uri="{3e2802c4-a4d2-4d8b-9148-e3be6c30e623}">
          <xlrd:rvb i="1546"/>
        </ext>
      </extLst>
    </bk>
    <bk>
      <extLst>
        <ext uri="{3e2802c4-a4d2-4d8b-9148-e3be6c30e623}">
          <xlrd:rvb i="1547"/>
        </ext>
      </extLst>
    </bk>
    <bk>
      <extLst>
        <ext uri="{3e2802c4-a4d2-4d8b-9148-e3be6c30e623}">
          <xlrd:rvb i="1548"/>
        </ext>
      </extLst>
    </bk>
    <bk>
      <extLst>
        <ext uri="{3e2802c4-a4d2-4d8b-9148-e3be6c30e623}">
          <xlrd:rvb i="1549"/>
        </ext>
      </extLst>
    </bk>
    <bk>
      <extLst>
        <ext uri="{3e2802c4-a4d2-4d8b-9148-e3be6c30e623}">
          <xlrd:rvb i="1550"/>
        </ext>
      </extLst>
    </bk>
    <bk>
      <extLst>
        <ext uri="{3e2802c4-a4d2-4d8b-9148-e3be6c30e623}">
          <xlrd:rvb i="1551"/>
        </ext>
      </extLst>
    </bk>
  </futureMetadata>
  <valueMetadata count="1552">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bk>
      <rc t="1" v="57"/>
    </bk>
    <bk>
      <rc t="1" v="58"/>
    </bk>
    <bk>
      <rc t="1" v="59"/>
    </bk>
    <bk>
      <rc t="1" v="60"/>
    </bk>
    <bk>
      <rc t="1" v="61"/>
    </bk>
    <bk>
      <rc t="1" v="62"/>
    </bk>
    <bk>
      <rc t="1" v="63"/>
    </bk>
    <bk>
      <rc t="1" v="64"/>
    </bk>
    <bk>
      <rc t="1" v="65"/>
    </bk>
    <bk>
      <rc t="1" v="66"/>
    </bk>
    <bk>
      <rc t="1" v="67"/>
    </bk>
    <bk>
      <rc t="1" v="68"/>
    </bk>
    <bk>
      <rc t="1" v="69"/>
    </bk>
    <bk>
      <rc t="1" v="70"/>
    </bk>
    <bk>
      <rc t="1" v="71"/>
    </bk>
    <bk>
      <rc t="1" v="72"/>
    </bk>
    <bk>
      <rc t="1" v="73"/>
    </bk>
    <bk>
      <rc t="1" v="74"/>
    </bk>
    <bk>
      <rc t="1" v="75"/>
    </bk>
    <bk>
      <rc t="1" v="76"/>
    </bk>
    <bk>
      <rc t="1" v="77"/>
    </bk>
    <bk>
      <rc t="1" v="78"/>
    </bk>
    <bk>
      <rc t="1" v="79"/>
    </bk>
    <bk>
      <rc t="1" v="80"/>
    </bk>
    <bk>
      <rc t="1" v="81"/>
    </bk>
    <bk>
      <rc t="1" v="82"/>
    </bk>
    <bk>
      <rc t="1" v="83"/>
    </bk>
    <bk>
      <rc t="1" v="84"/>
    </bk>
    <bk>
      <rc t="1" v="85"/>
    </bk>
    <bk>
      <rc t="1" v="86"/>
    </bk>
    <bk>
      <rc t="1" v="87"/>
    </bk>
    <bk>
      <rc t="1" v="88"/>
    </bk>
    <bk>
      <rc t="1" v="89"/>
    </bk>
    <bk>
      <rc t="1" v="90"/>
    </bk>
    <bk>
      <rc t="1" v="91"/>
    </bk>
    <bk>
      <rc t="1" v="92"/>
    </bk>
    <bk>
      <rc t="1" v="93"/>
    </bk>
    <bk>
      <rc t="1" v="94"/>
    </bk>
    <bk>
      <rc t="1" v="95"/>
    </bk>
    <bk>
      <rc t="1" v="96"/>
    </bk>
    <bk>
      <rc t="1" v="97"/>
    </bk>
    <bk>
      <rc t="1" v="98"/>
    </bk>
    <bk>
      <rc t="1" v="99"/>
    </bk>
    <bk>
      <rc t="1" v="100"/>
    </bk>
    <bk>
      <rc t="1" v="101"/>
    </bk>
    <bk>
      <rc t="1" v="102"/>
    </bk>
    <bk>
      <rc t="1" v="103"/>
    </bk>
    <bk>
      <rc t="1" v="104"/>
    </bk>
    <bk>
      <rc t="1" v="105"/>
    </bk>
    <bk>
      <rc t="1" v="106"/>
    </bk>
    <bk>
      <rc t="1" v="107"/>
    </bk>
    <bk>
      <rc t="1" v="108"/>
    </bk>
    <bk>
      <rc t="1" v="109"/>
    </bk>
    <bk>
      <rc t="1" v="110"/>
    </bk>
    <bk>
      <rc t="1" v="111"/>
    </bk>
    <bk>
      <rc t="1" v="112"/>
    </bk>
    <bk>
      <rc t="1" v="113"/>
    </bk>
    <bk>
      <rc t="1" v="114"/>
    </bk>
    <bk>
      <rc t="1" v="115"/>
    </bk>
    <bk>
      <rc t="1" v="116"/>
    </bk>
    <bk>
      <rc t="1" v="117"/>
    </bk>
    <bk>
      <rc t="1" v="118"/>
    </bk>
    <bk>
      <rc t="1" v="119"/>
    </bk>
    <bk>
      <rc t="1" v="120"/>
    </bk>
    <bk>
      <rc t="1" v="121"/>
    </bk>
    <bk>
      <rc t="1" v="122"/>
    </bk>
    <bk>
      <rc t="1" v="123"/>
    </bk>
    <bk>
      <rc t="1" v="124"/>
    </bk>
    <bk>
      <rc t="1" v="125"/>
    </bk>
    <bk>
      <rc t="1" v="126"/>
    </bk>
    <bk>
      <rc t="1" v="127"/>
    </bk>
    <bk>
      <rc t="1" v="128"/>
    </bk>
    <bk>
      <rc t="1" v="129"/>
    </bk>
    <bk>
      <rc t="1" v="130"/>
    </bk>
    <bk>
      <rc t="1" v="131"/>
    </bk>
    <bk>
      <rc t="1" v="132"/>
    </bk>
    <bk>
      <rc t="1" v="133"/>
    </bk>
    <bk>
      <rc t="1" v="134"/>
    </bk>
    <bk>
      <rc t="1" v="135"/>
    </bk>
    <bk>
      <rc t="1" v="136"/>
    </bk>
    <bk>
      <rc t="1" v="137"/>
    </bk>
    <bk>
      <rc t="1" v="138"/>
    </bk>
    <bk>
      <rc t="1" v="139"/>
    </bk>
    <bk>
      <rc t="1" v="140"/>
    </bk>
    <bk>
      <rc t="1" v="141"/>
    </bk>
    <bk>
      <rc t="1" v="142"/>
    </bk>
    <bk>
      <rc t="1" v="143"/>
    </bk>
    <bk>
      <rc t="1" v="144"/>
    </bk>
    <bk>
      <rc t="1" v="145"/>
    </bk>
    <bk>
      <rc t="1" v="146"/>
    </bk>
    <bk>
      <rc t="1" v="147"/>
    </bk>
    <bk>
      <rc t="1" v="148"/>
    </bk>
    <bk>
      <rc t="1" v="149"/>
    </bk>
    <bk>
      <rc t="1" v="150"/>
    </bk>
    <bk>
      <rc t="1" v="151"/>
    </bk>
    <bk>
      <rc t="1" v="152"/>
    </bk>
    <bk>
      <rc t="1" v="153"/>
    </bk>
    <bk>
      <rc t="1" v="154"/>
    </bk>
    <bk>
      <rc t="1" v="155"/>
    </bk>
    <bk>
      <rc t="1" v="156"/>
    </bk>
    <bk>
      <rc t="1" v="157"/>
    </bk>
    <bk>
      <rc t="1" v="158"/>
    </bk>
    <bk>
      <rc t="1" v="159"/>
    </bk>
    <bk>
      <rc t="1" v="160"/>
    </bk>
    <bk>
      <rc t="1" v="161"/>
    </bk>
    <bk>
      <rc t="1" v="162"/>
    </bk>
    <bk>
      <rc t="1" v="163"/>
    </bk>
    <bk>
      <rc t="1" v="164"/>
    </bk>
    <bk>
      <rc t="1" v="165"/>
    </bk>
    <bk>
      <rc t="1" v="166"/>
    </bk>
    <bk>
      <rc t="1" v="167"/>
    </bk>
    <bk>
      <rc t="1" v="168"/>
    </bk>
    <bk>
      <rc t="1" v="169"/>
    </bk>
    <bk>
      <rc t="1" v="170"/>
    </bk>
    <bk>
      <rc t="1" v="171"/>
    </bk>
    <bk>
      <rc t="1" v="172"/>
    </bk>
    <bk>
      <rc t="1" v="173"/>
    </bk>
    <bk>
      <rc t="1" v="174"/>
    </bk>
    <bk>
      <rc t="1" v="175"/>
    </bk>
    <bk>
      <rc t="1" v="176"/>
    </bk>
    <bk>
      <rc t="1" v="177"/>
    </bk>
    <bk>
      <rc t="1" v="178"/>
    </bk>
    <bk>
      <rc t="1" v="179"/>
    </bk>
    <bk>
      <rc t="1" v="180"/>
    </bk>
    <bk>
      <rc t="1" v="181"/>
    </bk>
    <bk>
      <rc t="1" v="182"/>
    </bk>
    <bk>
      <rc t="1" v="183"/>
    </bk>
    <bk>
      <rc t="1" v="184"/>
    </bk>
    <bk>
      <rc t="1" v="185"/>
    </bk>
    <bk>
      <rc t="1" v="186"/>
    </bk>
    <bk>
      <rc t="1" v="187"/>
    </bk>
    <bk>
      <rc t="1" v="188"/>
    </bk>
    <bk>
      <rc t="1" v="189"/>
    </bk>
    <bk>
      <rc t="1" v="190"/>
    </bk>
    <bk>
      <rc t="1" v="191"/>
    </bk>
    <bk>
      <rc t="1" v="192"/>
    </bk>
    <bk>
      <rc t="1" v="193"/>
    </bk>
    <bk>
      <rc t="1" v="194"/>
    </bk>
    <bk>
      <rc t="1" v="195"/>
    </bk>
    <bk>
      <rc t="1" v="196"/>
    </bk>
    <bk>
      <rc t="1" v="197"/>
    </bk>
    <bk>
      <rc t="1" v="198"/>
    </bk>
    <bk>
      <rc t="1" v="199"/>
    </bk>
    <bk>
      <rc t="1" v="200"/>
    </bk>
    <bk>
      <rc t="1" v="201"/>
    </bk>
    <bk>
      <rc t="1" v="202"/>
    </bk>
    <bk>
      <rc t="1" v="203"/>
    </bk>
    <bk>
      <rc t="1" v="204"/>
    </bk>
    <bk>
      <rc t="1" v="205"/>
    </bk>
    <bk>
      <rc t="1" v="206"/>
    </bk>
    <bk>
      <rc t="1" v="207"/>
    </bk>
    <bk>
      <rc t="1" v="208"/>
    </bk>
    <bk>
      <rc t="1" v="209"/>
    </bk>
    <bk>
      <rc t="1" v="210"/>
    </bk>
    <bk>
      <rc t="1" v="211"/>
    </bk>
    <bk>
      <rc t="1" v="212"/>
    </bk>
    <bk>
      <rc t="1" v="213"/>
    </bk>
    <bk>
      <rc t="1" v="214"/>
    </bk>
    <bk>
      <rc t="1" v="215"/>
    </bk>
    <bk>
      <rc t="1" v="216"/>
    </bk>
    <bk>
      <rc t="1" v="217"/>
    </bk>
    <bk>
      <rc t="1" v="218"/>
    </bk>
    <bk>
      <rc t="1" v="219"/>
    </bk>
    <bk>
      <rc t="1" v="220"/>
    </bk>
    <bk>
      <rc t="1" v="221"/>
    </bk>
    <bk>
      <rc t="1" v="222"/>
    </bk>
    <bk>
      <rc t="1" v="223"/>
    </bk>
    <bk>
      <rc t="1" v="224"/>
    </bk>
    <bk>
      <rc t="1" v="225"/>
    </bk>
    <bk>
      <rc t="1" v="226"/>
    </bk>
    <bk>
      <rc t="1" v="227"/>
    </bk>
    <bk>
      <rc t="1" v="228"/>
    </bk>
    <bk>
      <rc t="1" v="229"/>
    </bk>
    <bk>
      <rc t="1" v="230"/>
    </bk>
    <bk>
      <rc t="1" v="231"/>
    </bk>
    <bk>
      <rc t="1" v="232"/>
    </bk>
    <bk>
      <rc t="1" v="233"/>
    </bk>
    <bk>
      <rc t="1" v="234"/>
    </bk>
    <bk>
      <rc t="1" v="235"/>
    </bk>
    <bk>
      <rc t="1" v="236"/>
    </bk>
    <bk>
      <rc t="1" v="237"/>
    </bk>
    <bk>
      <rc t="1" v="238"/>
    </bk>
    <bk>
      <rc t="1" v="239"/>
    </bk>
    <bk>
      <rc t="1" v="240"/>
    </bk>
    <bk>
      <rc t="1" v="241"/>
    </bk>
    <bk>
      <rc t="1" v="242"/>
    </bk>
    <bk>
      <rc t="1" v="243"/>
    </bk>
    <bk>
      <rc t="1" v="244"/>
    </bk>
    <bk>
      <rc t="1" v="245"/>
    </bk>
    <bk>
      <rc t="1" v="246"/>
    </bk>
    <bk>
      <rc t="1" v="247"/>
    </bk>
    <bk>
      <rc t="1" v="248"/>
    </bk>
    <bk>
      <rc t="1" v="249"/>
    </bk>
    <bk>
      <rc t="1" v="250"/>
    </bk>
    <bk>
      <rc t="1" v="251"/>
    </bk>
    <bk>
      <rc t="1" v="252"/>
    </bk>
    <bk>
      <rc t="1" v="253"/>
    </bk>
    <bk>
      <rc t="1" v="254"/>
    </bk>
    <bk>
      <rc t="1" v="255"/>
    </bk>
    <bk>
      <rc t="1" v="256"/>
    </bk>
    <bk>
      <rc t="1" v="257"/>
    </bk>
    <bk>
      <rc t="1" v="258"/>
    </bk>
    <bk>
      <rc t="1" v="259"/>
    </bk>
    <bk>
      <rc t="1" v="260"/>
    </bk>
    <bk>
      <rc t="1" v="261"/>
    </bk>
    <bk>
      <rc t="1" v="262"/>
    </bk>
    <bk>
      <rc t="1" v="263"/>
    </bk>
    <bk>
      <rc t="1" v="264"/>
    </bk>
    <bk>
      <rc t="1" v="265"/>
    </bk>
    <bk>
      <rc t="1" v="266"/>
    </bk>
    <bk>
      <rc t="1" v="267"/>
    </bk>
    <bk>
      <rc t="1" v="268"/>
    </bk>
    <bk>
      <rc t="1" v="269"/>
    </bk>
    <bk>
      <rc t="1" v="270"/>
    </bk>
    <bk>
      <rc t="1" v="271"/>
    </bk>
    <bk>
      <rc t="1" v="272"/>
    </bk>
    <bk>
      <rc t="1" v="273"/>
    </bk>
    <bk>
      <rc t="1" v="274"/>
    </bk>
    <bk>
      <rc t="1" v="275"/>
    </bk>
    <bk>
      <rc t="1" v="276"/>
    </bk>
    <bk>
      <rc t="1" v="277"/>
    </bk>
    <bk>
      <rc t="1" v="278"/>
    </bk>
    <bk>
      <rc t="1" v="279"/>
    </bk>
    <bk>
      <rc t="1" v="280"/>
    </bk>
    <bk>
      <rc t="1" v="281"/>
    </bk>
    <bk>
      <rc t="1" v="282"/>
    </bk>
    <bk>
      <rc t="1" v="283"/>
    </bk>
    <bk>
      <rc t="1" v="284"/>
    </bk>
    <bk>
      <rc t="1" v="285"/>
    </bk>
    <bk>
      <rc t="1" v="286"/>
    </bk>
    <bk>
      <rc t="1" v="287"/>
    </bk>
    <bk>
      <rc t="1" v="288"/>
    </bk>
    <bk>
      <rc t="1" v="289"/>
    </bk>
    <bk>
      <rc t="1" v="290"/>
    </bk>
    <bk>
      <rc t="1" v="291"/>
    </bk>
    <bk>
      <rc t="1" v="292"/>
    </bk>
    <bk>
      <rc t="1" v="293"/>
    </bk>
    <bk>
      <rc t="1" v="294"/>
    </bk>
    <bk>
      <rc t="1" v="295"/>
    </bk>
    <bk>
      <rc t="1" v="296"/>
    </bk>
    <bk>
      <rc t="1" v="297"/>
    </bk>
    <bk>
      <rc t="1" v="298"/>
    </bk>
    <bk>
      <rc t="1" v="299"/>
    </bk>
    <bk>
      <rc t="1" v="300"/>
    </bk>
    <bk>
      <rc t="1" v="301"/>
    </bk>
    <bk>
      <rc t="1" v="302"/>
    </bk>
    <bk>
      <rc t="1" v="303"/>
    </bk>
    <bk>
      <rc t="1" v="304"/>
    </bk>
    <bk>
      <rc t="1" v="305"/>
    </bk>
    <bk>
      <rc t="1" v="306"/>
    </bk>
    <bk>
      <rc t="1" v="307"/>
    </bk>
    <bk>
      <rc t="1" v="308"/>
    </bk>
    <bk>
      <rc t="1" v="309"/>
    </bk>
    <bk>
      <rc t="1" v="310"/>
    </bk>
    <bk>
      <rc t="1" v="311"/>
    </bk>
    <bk>
      <rc t="1" v="312"/>
    </bk>
    <bk>
      <rc t="1" v="313"/>
    </bk>
    <bk>
      <rc t="1" v="314"/>
    </bk>
    <bk>
      <rc t="1" v="315"/>
    </bk>
    <bk>
      <rc t="1" v="316"/>
    </bk>
    <bk>
      <rc t="1" v="317"/>
    </bk>
    <bk>
      <rc t="1" v="318"/>
    </bk>
    <bk>
      <rc t="1" v="319"/>
    </bk>
    <bk>
      <rc t="1" v="320"/>
    </bk>
    <bk>
      <rc t="1" v="321"/>
    </bk>
    <bk>
      <rc t="1" v="322"/>
    </bk>
    <bk>
      <rc t="1" v="323"/>
    </bk>
    <bk>
      <rc t="1" v="324"/>
    </bk>
    <bk>
      <rc t="1" v="325"/>
    </bk>
    <bk>
      <rc t="1" v="326"/>
    </bk>
    <bk>
      <rc t="1" v="327"/>
    </bk>
    <bk>
      <rc t="1" v="328"/>
    </bk>
    <bk>
      <rc t="1" v="329"/>
    </bk>
    <bk>
      <rc t="1" v="330"/>
    </bk>
    <bk>
      <rc t="1" v="331"/>
    </bk>
    <bk>
      <rc t="1" v="332"/>
    </bk>
    <bk>
      <rc t="1" v="333"/>
    </bk>
    <bk>
      <rc t="1" v="334"/>
    </bk>
    <bk>
      <rc t="1" v="335"/>
    </bk>
    <bk>
      <rc t="1" v="336"/>
    </bk>
    <bk>
      <rc t="1" v="337"/>
    </bk>
    <bk>
      <rc t="1" v="338"/>
    </bk>
    <bk>
      <rc t="1" v="339"/>
    </bk>
    <bk>
      <rc t="1" v="340"/>
    </bk>
    <bk>
      <rc t="1" v="341"/>
    </bk>
    <bk>
      <rc t="1" v="342"/>
    </bk>
    <bk>
      <rc t="1" v="343"/>
    </bk>
    <bk>
      <rc t="1" v="344"/>
    </bk>
    <bk>
      <rc t="1" v="345"/>
    </bk>
    <bk>
      <rc t="1" v="346"/>
    </bk>
    <bk>
      <rc t="1" v="347"/>
    </bk>
    <bk>
      <rc t="1" v="348"/>
    </bk>
    <bk>
      <rc t="1" v="349"/>
    </bk>
    <bk>
      <rc t="1" v="350"/>
    </bk>
    <bk>
      <rc t="1" v="351"/>
    </bk>
    <bk>
      <rc t="1" v="352"/>
    </bk>
    <bk>
      <rc t="1" v="353"/>
    </bk>
    <bk>
      <rc t="1" v="354"/>
    </bk>
    <bk>
      <rc t="1" v="355"/>
    </bk>
    <bk>
      <rc t="1" v="356"/>
    </bk>
    <bk>
      <rc t="1" v="357"/>
    </bk>
    <bk>
      <rc t="1" v="358"/>
    </bk>
    <bk>
      <rc t="1" v="359"/>
    </bk>
    <bk>
      <rc t="1" v="360"/>
    </bk>
    <bk>
      <rc t="1" v="361"/>
    </bk>
    <bk>
      <rc t="1" v="362"/>
    </bk>
    <bk>
      <rc t="1" v="363"/>
    </bk>
    <bk>
      <rc t="1" v="364"/>
    </bk>
    <bk>
      <rc t="1" v="365"/>
    </bk>
    <bk>
      <rc t="1" v="366"/>
    </bk>
    <bk>
      <rc t="1" v="367"/>
    </bk>
    <bk>
      <rc t="1" v="368"/>
    </bk>
    <bk>
      <rc t="1" v="369"/>
    </bk>
    <bk>
      <rc t="1" v="370"/>
    </bk>
    <bk>
      <rc t="1" v="371"/>
    </bk>
    <bk>
      <rc t="1" v="372"/>
    </bk>
    <bk>
      <rc t="1" v="373"/>
    </bk>
    <bk>
      <rc t="1" v="374"/>
    </bk>
    <bk>
      <rc t="1" v="375"/>
    </bk>
    <bk>
      <rc t="1" v="376"/>
    </bk>
    <bk>
      <rc t="1" v="377"/>
    </bk>
    <bk>
      <rc t="1" v="378"/>
    </bk>
    <bk>
      <rc t="1" v="379"/>
    </bk>
    <bk>
      <rc t="1" v="380"/>
    </bk>
    <bk>
      <rc t="1" v="381"/>
    </bk>
    <bk>
      <rc t="1" v="382"/>
    </bk>
    <bk>
      <rc t="1" v="383"/>
    </bk>
    <bk>
      <rc t="1" v="384"/>
    </bk>
    <bk>
      <rc t="1" v="385"/>
    </bk>
    <bk>
      <rc t="1" v="386"/>
    </bk>
    <bk>
      <rc t="1" v="387"/>
    </bk>
    <bk>
      <rc t="1" v="388"/>
    </bk>
    <bk>
      <rc t="1" v="389"/>
    </bk>
    <bk>
      <rc t="1" v="390"/>
    </bk>
    <bk>
      <rc t="1" v="391"/>
    </bk>
    <bk>
      <rc t="1" v="392"/>
    </bk>
    <bk>
      <rc t="1" v="393"/>
    </bk>
    <bk>
      <rc t="1" v="394"/>
    </bk>
    <bk>
      <rc t="1" v="395"/>
    </bk>
    <bk>
      <rc t="1" v="396"/>
    </bk>
    <bk>
      <rc t="1" v="397"/>
    </bk>
    <bk>
      <rc t="1" v="398"/>
    </bk>
    <bk>
      <rc t="1" v="399"/>
    </bk>
    <bk>
      <rc t="1" v="400"/>
    </bk>
    <bk>
      <rc t="1" v="401"/>
    </bk>
    <bk>
      <rc t="1" v="402"/>
    </bk>
    <bk>
      <rc t="1" v="403"/>
    </bk>
    <bk>
      <rc t="1" v="404"/>
    </bk>
    <bk>
      <rc t="1" v="405"/>
    </bk>
    <bk>
      <rc t="1" v="406"/>
    </bk>
    <bk>
      <rc t="1" v="407"/>
    </bk>
    <bk>
      <rc t="1" v="408"/>
    </bk>
    <bk>
      <rc t="1" v="409"/>
    </bk>
    <bk>
      <rc t="1" v="410"/>
    </bk>
    <bk>
      <rc t="1" v="411"/>
    </bk>
    <bk>
      <rc t="1" v="412"/>
    </bk>
    <bk>
      <rc t="1" v="413"/>
    </bk>
    <bk>
      <rc t="1" v="414"/>
    </bk>
    <bk>
      <rc t="1" v="415"/>
    </bk>
    <bk>
      <rc t="1" v="416"/>
    </bk>
    <bk>
      <rc t="1" v="417"/>
    </bk>
    <bk>
      <rc t="1" v="418"/>
    </bk>
    <bk>
      <rc t="1" v="419"/>
    </bk>
    <bk>
      <rc t="1" v="420"/>
    </bk>
    <bk>
      <rc t="1" v="421"/>
    </bk>
    <bk>
      <rc t="1" v="422"/>
    </bk>
    <bk>
      <rc t="1" v="423"/>
    </bk>
    <bk>
      <rc t="1" v="424"/>
    </bk>
    <bk>
      <rc t="1" v="425"/>
    </bk>
    <bk>
      <rc t="1" v="426"/>
    </bk>
    <bk>
      <rc t="1" v="427"/>
    </bk>
    <bk>
      <rc t="1" v="428"/>
    </bk>
    <bk>
      <rc t="1" v="429"/>
    </bk>
    <bk>
      <rc t="1" v="430"/>
    </bk>
    <bk>
      <rc t="1" v="431"/>
    </bk>
    <bk>
      <rc t="1" v="432"/>
    </bk>
    <bk>
      <rc t="1" v="433"/>
    </bk>
    <bk>
      <rc t="1" v="434"/>
    </bk>
    <bk>
      <rc t="1" v="435"/>
    </bk>
    <bk>
      <rc t="1" v="436"/>
    </bk>
    <bk>
      <rc t="1" v="437"/>
    </bk>
    <bk>
      <rc t="1" v="438"/>
    </bk>
    <bk>
      <rc t="1" v="439"/>
    </bk>
    <bk>
      <rc t="1" v="440"/>
    </bk>
    <bk>
      <rc t="1" v="441"/>
    </bk>
    <bk>
      <rc t="1" v="442"/>
    </bk>
    <bk>
      <rc t="1" v="443"/>
    </bk>
    <bk>
      <rc t="1" v="444"/>
    </bk>
    <bk>
      <rc t="1" v="445"/>
    </bk>
    <bk>
      <rc t="1" v="446"/>
    </bk>
    <bk>
      <rc t="1" v="447"/>
    </bk>
    <bk>
      <rc t="1" v="448"/>
    </bk>
    <bk>
      <rc t="1" v="449"/>
    </bk>
    <bk>
      <rc t="1" v="450"/>
    </bk>
    <bk>
      <rc t="1" v="451"/>
    </bk>
    <bk>
      <rc t="1" v="452"/>
    </bk>
    <bk>
      <rc t="1" v="453"/>
    </bk>
    <bk>
      <rc t="1" v="454"/>
    </bk>
    <bk>
      <rc t="1" v="455"/>
    </bk>
    <bk>
      <rc t="1" v="456"/>
    </bk>
    <bk>
      <rc t="1" v="457"/>
    </bk>
    <bk>
      <rc t="1" v="458"/>
    </bk>
    <bk>
      <rc t="1" v="459"/>
    </bk>
    <bk>
      <rc t="1" v="460"/>
    </bk>
    <bk>
      <rc t="1" v="461"/>
    </bk>
    <bk>
      <rc t="1" v="462"/>
    </bk>
    <bk>
      <rc t="1" v="463"/>
    </bk>
    <bk>
      <rc t="1" v="464"/>
    </bk>
    <bk>
      <rc t="1" v="465"/>
    </bk>
    <bk>
      <rc t="1" v="466"/>
    </bk>
    <bk>
      <rc t="1" v="467"/>
    </bk>
    <bk>
      <rc t="1" v="468"/>
    </bk>
    <bk>
      <rc t="1" v="469"/>
    </bk>
    <bk>
      <rc t="1" v="470"/>
    </bk>
    <bk>
      <rc t="1" v="471"/>
    </bk>
    <bk>
      <rc t="1" v="472"/>
    </bk>
    <bk>
      <rc t="1" v="473"/>
    </bk>
    <bk>
      <rc t="1" v="474"/>
    </bk>
    <bk>
      <rc t="1" v="475"/>
    </bk>
    <bk>
      <rc t="1" v="476"/>
    </bk>
    <bk>
      <rc t="1" v="477"/>
    </bk>
    <bk>
      <rc t="1" v="478"/>
    </bk>
    <bk>
      <rc t="1" v="479"/>
    </bk>
    <bk>
      <rc t="1" v="480"/>
    </bk>
    <bk>
      <rc t="1" v="481"/>
    </bk>
    <bk>
      <rc t="1" v="482"/>
    </bk>
    <bk>
      <rc t="1" v="483"/>
    </bk>
    <bk>
      <rc t="1" v="484"/>
    </bk>
    <bk>
      <rc t="1" v="485"/>
    </bk>
    <bk>
      <rc t="1" v="486"/>
    </bk>
    <bk>
      <rc t="1" v="487"/>
    </bk>
    <bk>
      <rc t="1" v="488"/>
    </bk>
    <bk>
      <rc t="1" v="489"/>
    </bk>
    <bk>
      <rc t="1" v="490"/>
    </bk>
    <bk>
      <rc t="1" v="491"/>
    </bk>
    <bk>
      <rc t="1" v="492"/>
    </bk>
    <bk>
      <rc t="1" v="493"/>
    </bk>
    <bk>
      <rc t="1" v="494"/>
    </bk>
    <bk>
      <rc t="1" v="495"/>
    </bk>
    <bk>
      <rc t="1" v="496"/>
    </bk>
    <bk>
      <rc t="1" v="497"/>
    </bk>
    <bk>
      <rc t="1" v="498"/>
    </bk>
    <bk>
      <rc t="1" v="499"/>
    </bk>
    <bk>
      <rc t="1" v="500"/>
    </bk>
    <bk>
      <rc t="1" v="501"/>
    </bk>
    <bk>
      <rc t="1" v="502"/>
    </bk>
    <bk>
      <rc t="1" v="503"/>
    </bk>
    <bk>
      <rc t="1" v="504"/>
    </bk>
    <bk>
      <rc t="1" v="505"/>
    </bk>
    <bk>
      <rc t="1" v="506"/>
    </bk>
    <bk>
      <rc t="1" v="507"/>
    </bk>
    <bk>
      <rc t="1" v="508"/>
    </bk>
    <bk>
      <rc t="1" v="509"/>
    </bk>
    <bk>
      <rc t="1" v="510"/>
    </bk>
    <bk>
      <rc t="1" v="511"/>
    </bk>
    <bk>
      <rc t="1" v="512"/>
    </bk>
    <bk>
      <rc t="1" v="513"/>
    </bk>
    <bk>
      <rc t="1" v="514"/>
    </bk>
    <bk>
      <rc t="1" v="515"/>
    </bk>
    <bk>
      <rc t="1" v="516"/>
    </bk>
    <bk>
      <rc t="1" v="517"/>
    </bk>
    <bk>
      <rc t="1" v="518"/>
    </bk>
    <bk>
      <rc t="1" v="519"/>
    </bk>
    <bk>
      <rc t="1" v="520"/>
    </bk>
    <bk>
      <rc t="1" v="521"/>
    </bk>
    <bk>
      <rc t="1" v="522"/>
    </bk>
    <bk>
      <rc t="1" v="523"/>
    </bk>
    <bk>
      <rc t="1" v="524"/>
    </bk>
    <bk>
      <rc t="1" v="525"/>
    </bk>
    <bk>
      <rc t="1" v="526"/>
    </bk>
    <bk>
      <rc t="1" v="527"/>
    </bk>
    <bk>
      <rc t="1" v="528"/>
    </bk>
    <bk>
      <rc t="1" v="529"/>
    </bk>
    <bk>
      <rc t="1" v="530"/>
    </bk>
    <bk>
      <rc t="1" v="531"/>
    </bk>
    <bk>
      <rc t="1" v="532"/>
    </bk>
    <bk>
      <rc t="1" v="533"/>
    </bk>
    <bk>
      <rc t="1" v="534"/>
    </bk>
    <bk>
      <rc t="1" v="535"/>
    </bk>
    <bk>
      <rc t="1" v="536"/>
    </bk>
    <bk>
      <rc t="1" v="537"/>
    </bk>
    <bk>
      <rc t="1" v="538"/>
    </bk>
    <bk>
      <rc t="1" v="539"/>
    </bk>
    <bk>
      <rc t="1" v="540"/>
    </bk>
    <bk>
      <rc t="1" v="541"/>
    </bk>
    <bk>
      <rc t="1" v="542"/>
    </bk>
    <bk>
      <rc t="1" v="543"/>
    </bk>
    <bk>
      <rc t="1" v="544"/>
    </bk>
    <bk>
      <rc t="1" v="545"/>
    </bk>
    <bk>
      <rc t="1" v="546"/>
    </bk>
    <bk>
      <rc t="1" v="547"/>
    </bk>
    <bk>
      <rc t="1" v="548"/>
    </bk>
    <bk>
      <rc t="1" v="549"/>
    </bk>
    <bk>
      <rc t="1" v="550"/>
    </bk>
    <bk>
      <rc t="1" v="551"/>
    </bk>
    <bk>
      <rc t="1" v="552"/>
    </bk>
    <bk>
      <rc t="1" v="553"/>
    </bk>
    <bk>
      <rc t="1" v="554"/>
    </bk>
    <bk>
      <rc t="1" v="555"/>
    </bk>
    <bk>
      <rc t="1" v="556"/>
    </bk>
    <bk>
      <rc t="1" v="557"/>
    </bk>
    <bk>
      <rc t="1" v="558"/>
    </bk>
    <bk>
      <rc t="1" v="559"/>
    </bk>
    <bk>
      <rc t="1" v="560"/>
    </bk>
    <bk>
      <rc t="1" v="561"/>
    </bk>
    <bk>
      <rc t="1" v="562"/>
    </bk>
    <bk>
      <rc t="1" v="563"/>
    </bk>
    <bk>
      <rc t="1" v="564"/>
    </bk>
    <bk>
      <rc t="1" v="565"/>
    </bk>
    <bk>
      <rc t="1" v="566"/>
    </bk>
    <bk>
      <rc t="1" v="567"/>
    </bk>
    <bk>
      <rc t="1" v="568"/>
    </bk>
    <bk>
      <rc t="1" v="569"/>
    </bk>
    <bk>
      <rc t="1" v="570"/>
    </bk>
    <bk>
      <rc t="1" v="571"/>
    </bk>
    <bk>
      <rc t="1" v="572"/>
    </bk>
    <bk>
      <rc t="1" v="573"/>
    </bk>
    <bk>
      <rc t="1" v="574"/>
    </bk>
    <bk>
      <rc t="1" v="575"/>
    </bk>
    <bk>
      <rc t="1" v="576"/>
    </bk>
    <bk>
      <rc t="1" v="577"/>
    </bk>
    <bk>
      <rc t="1" v="578"/>
    </bk>
    <bk>
      <rc t="1" v="579"/>
    </bk>
    <bk>
      <rc t="1" v="580"/>
    </bk>
    <bk>
      <rc t="1" v="581"/>
    </bk>
    <bk>
      <rc t="1" v="582"/>
    </bk>
    <bk>
      <rc t="1" v="583"/>
    </bk>
    <bk>
      <rc t="1" v="584"/>
    </bk>
    <bk>
      <rc t="1" v="585"/>
    </bk>
    <bk>
      <rc t="1" v="586"/>
    </bk>
    <bk>
      <rc t="1" v="587"/>
    </bk>
    <bk>
      <rc t="1" v="588"/>
    </bk>
    <bk>
      <rc t="1" v="589"/>
    </bk>
    <bk>
      <rc t="1" v="590"/>
    </bk>
    <bk>
      <rc t="1" v="591"/>
    </bk>
    <bk>
      <rc t="1" v="592"/>
    </bk>
    <bk>
      <rc t="1" v="593"/>
    </bk>
    <bk>
      <rc t="1" v="594"/>
    </bk>
    <bk>
      <rc t="1" v="595"/>
    </bk>
    <bk>
      <rc t="1" v="596"/>
    </bk>
    <bk>
      <rc t="1" v="597"/>
    </bk>
    <bk>
      <rc t="1" v="598"/>
    </bk>
    <bk>
      <rc t="1" v="599"/>
    </bk>
    <bk>
      <rc t="1" v="600"/>
    </bk>
    <bk>
      <rc t="1" v="601"/>
    </bk>
    <bk>
      <rc t="1" v="602"/>
    </bk>
    <bk>
      <rc t="1" v="603"/>
    </bk>
    <bk>
      <rc t="1" v="604"/>
    </bk>
    <bk>
      <rc t="1" v="605"/>
    </bk>
    <bk>
      <rc t="1" v="606"/>
    </bk>
    <bk>
      <rc t="1" v="607"/>
    </bk>
    <bk>
      <rc t="1" v="608"/>
    </bk>
    <bk>
      <rc t="1" v="609"/>
    </bk>
    <bk>
      <rc t="1" v="610"/>
    </bk>
    <bk>
      <rc t="1" v="611"/>
    </bk>
    <bk>
      <rc t="1" v="612"/>
    </bk>
    <bk>
      <rc t="1" v="613"/>
    </bk>
    <bk>
      <rc t="1" v="614"/>
    </bk>
    <bk>
      <rc t="1" v="615"/>
    </bk>
    <bk>
      <rc t="1" v="616"/>
    </bk>
    <bk>
      <rc t="1" v="617"/>
    </bk>
    <bk>
      <rc t="1" v="618"/>
    </bk>
    <bk>
      <rc t="1" v="619"/>
    </bk>
    <bk>
      <rc t="1" v="620"/>
    </bk>
    <bk>
      <rc t="1" v="621"/>
    </bk>
    <bk>
      <rc t="1" v="622"/>
    </bk>
    <bk>
      <rc t="1" v="623"/>
    </bk>
    <bk>
      <rc t="1" v="624"/>
    </bk>
    <bk>
      <rc t="1" v="625"/>
    </bk>
    <bk>
      <rc t="1" v="626"/>
    </bk>
    <bk>
      <rc t="1" v="627"/>
    </bk>
    <bk>
      <rc t="1" v="628"/>
    </bk>
    <bk>
      <rc t="1" v="629"/>
    </bk>
    <bk>
      <rc t="1" v="630"/>
    </bk>
    <bk>
      <rc t="1" v="631"/>
    </bk>
    <bk>
      <rc t="1" v="632"/>
    </bk>
    <bk>
      <rc t="1" v="633"/>
    </bk>
    <bk>
      <rc t="1" v="634"/>
    </bk>
    <bk>
      <rc t="1" v="635"/>
    </bk>
    <bk>
      <rc t="1" v="636"/>
    </bk>
    <bk>
      <rc t="1" v="637"/>
    </bk>
    <bk>
      <rc t="1" v="638"/>
    </bk>
    <bk>
      <rc t="1" v="639"/>
    </bk>
    <bk>
      <rc t="1" v="640"/>
    </bk>
    <bk>
      <rc t="1" v="641"/>
    </bk>
    <bk>
      <rc t="1" v="642"/>
    </bk>
    <bk>
      <rc t="1" v="643"/>
    </bk>
    <bk>
      <rc t="1" v="644"/>
    </bk>
    <bk>
      <rc t="1" v="645"/>
    </bk>
    <bk>
      <rc t="1" v="646"/>
    </bk>
    <bk>
      <rc t="1" v="647"/>
    </bk>
    <bk>
      <rc t="1" v="648"/>
    </bk>
    <bk>
      <rc t="1" v="649"/>
    </bk>
    <bk>
      <rc t="1" v="650"/>
    </bk>
    <bk>
      <rc t="1" v="651"/>
    </bk>
    <bk>
      <rc t="1" v="652"/>
    </bk>
    <bk>
      <rc t="1" v="653"/>
    </bk>
    <bk>
      <rc t="1" v="654"/>
    </bk>
    <bk>
      <rc t="1" v="655"/>
    </bk>
    <bk>
      <rc t="1" v="656"/>
    </bk>
    <bk>
      <rc t="1" v="657"/>
    </bk>
    <bk>
      <rc t="1" v="658"/>
    </bk>
    <bk>
      <rc t="1" v="659"/>
    </bk>
    <bk>
      <rc t="1" v="660"/>
    </bk>
    <bk>
      <rc t="1" v="661"/>
    </bk>
    <bk>
      <rc t="1" v="662"/>
    </bk>
    <bk>
      <rc t="1" v="663"/>
    </bk>
    <bk>
      <rc t="1" v="664"/>
    </bk>
    <bk>
      <rc t="1" v="665"/>
    </bk>
    <bk>
      <rc t="1" v="666"/>
    </bk>
    <bk>
      <rc t="1" v="667"/>
    </bk>
    <bk>
      <rc t="1" v="668"/>
    </bk>
    <bk>
      <rc t="1" v="669"/>
    </bk>
    <bk>
      <rc t="1" v="670"/>
    </bk>
    <bk>
      <rc t="1" v="671"/>
    </bk>
    <bk>
      <rc t="1" v="672"/>
    </bk>
    <bk>
      <rc t="1" v="673"/>
    </bk>
    <bk>
      <rc t="1" v="674"/>
    </bk>
    <bk>
      <rc t="1" v="675"/>
    </bk>
    <bk>
      <rc t="1" v="676"/>
    </bk>
    <bk>
      <rc t="1" v="677"/>
    </bk>
    <bk>
      <rc t="1" v="678"/>
    </bk>
    <bk>
      <rc t="1" v="679"/>
    </bk>
    <bk>
      <rc t="1" v="680"/>
    </bk>
    <bk>
      <rc t="1" v="681"/>
    </bk>
    <bk>
      <rc t="1" v="682"/>
    </bk>
    <bk>
      <rc t="1" v="683"/>
    </bk>
    <bk>
      <rc t="1" v="684"/>
    </bk>
    <bk>
      <rc t="1" v="685"/>
    </bk>
    <bk>
      <rc t="1" v="686"/>
    </bk>
    <bk>
      <rc t="1" v="687"/>
    </bk>
    <bk>
      <rc t="1" v="688"/>
    </bk>
    <bk>
      <rc t="1" v="689"/>
    </bk>
    <bk>
      <rc t="1" v="690"/>
    </bk>
    <bk>
      <rc t="1" v="691"/>
    </bk>
    <bk>
      <rc t="1" v="692"/>
    </bk>
    <bk>
      <rc t="1" v="693"/>
    </bk>
    <bk>
      <rc t="1" v="694"/>
    </bk>
    <bk>
      <rc t="1" v="695"/>
    </bk>
    <bk>
      <rc t="1" v="696"/>
    </bk>
    <bk>
      <rc t="1" v="697"/>
    </bk>
    <bk>
      <rc t="1" v="698"/>
    </bk>
    <bk>
      <rc t="1" v="699"/>
    </bk>
    <bk>
      <rc t="1" v="700"/>
    </bk>
    <bk>
      <rc t="1" v="701"/>
    </bk>
    <bk>
      <rc t="1" v="702"/>
    </bk>
    <bk>
      <rc t="1" v="703"/>
    </bk>
    <bk>
      <rc t="1" v="704"/>
    </bk>
    <bk>
      <rc t="1" v="705"/>
    </bk>
    <bk>
      <rc t="1" v="706"/>
    </bk>
    <bk>
      <rc t="1" v="707"/>
    </bk>
    <bk>
      <rc t="1" v="708"/>
    </bk>
    <bk>
      <rc t="1" v="709"/>
    </bk>
    <bk>
      <rc t="1" v="710"/>
    </bk>
    <bk>
      <rc t="1" v="711"/>
    </bk>
    <bk>
      <rc t="1" v="712"/>
    </bk>
    <bk>
      <rc t="1" v="713"/>
    </bk>
    <bk>
      <rc t="1" v="714"/>
    </bk>
    <bk>
      <rc t="1" v="715"/>
    </bk>
    <bk>
      <rc t="1" v="716"/>
    </bk>
    <bk>
      <rc t="1" v="717"/>
    </bk>
    <bk>
      <rc t="1" v="718"/>
    </bk>
    <bk>
      <rc t="1" v="719"/>
    </bk>
    <bk>
      <rc t="1" v="720"/>
    </bk>
    <bk>
      <rc t="1" v="721"/>
    </bk>
    <bk>
      <rc t="1" v="722"/>
    </bk>
    <bk>
      <rc t="1" v="723"/>
    </bk>
    <bk>
      <rc t="1" v="724"/>
    </bk>
    <bk>
      <rc t="1" v="725"/>
    </bk>
    <bk>
      <rc t="1" v="726"/>
    </bk>
    <bk>
      <rc t="1" v="727"/>
    </bk>
    <bk>
      <rc t="1" v="728"/>
    </bk>
    <bk>
      <rc t="1" v="729"/>
    </bk>
    <bk>
      <rc t="1" v="730"/>
    </bk>
    <bk>
      <rc t="1" v="731"/>
    </bk>
    <bk>
      <rc t="1" v="732"/>
    </bk>
    <bk>
      <rc t="1" v="733"/>
    </bk>
    <bk>
      <rc t="1" v="734"/>
    </bk>
    <bk>
      <rc t="1" v="735"/>
    </bk>
    <bk>
      <rc t="1" v="736"/>
    </bk>
    <bk>
      <rc t="1" v="737"/>
    </bk>
    <bk>
      <rc t="1" v="738"/>
    </bk>
    <bk>
      <rc t="1" v="739"/>
    </bk>
    <bk>
      <rc t="1" v="740"/>
    </bk>
    <bk>
      <rc t="1" v="741"/>
    </bk>
    <bk>
      <rc t="1" v="742"/>
    </bk>
    <bk>
      <rc t="1" v="743"/>
    </bk>
    <bk>
      <rc t="1" v="744"/>
    </bk>
    <bk>
      <rc t="1" v="745"/>
    </bk>
    <bk>
      <rc t="1" v="746"/>
    </bk>
    <bk>
      <rc t="1" v="747"/>
    </bk>
    <bk>
      <rc t="1" v="748"/>
    </bk>
    <bk>
      <rc t="1" v="749"/>
    </bk>
    <bk>
      <rc t="1" v="750"/>
    </bk>
    <bk>
      <rc t="1" v="751"/>
    </bk>
    <bk>
      <rc t="1" v="752"/>
    </bk>
    <bk>
      <rc t="1" v="753"/>
    </bk>
    <bk>
      <rc t="1" v="754"/>
    </bk>
    <bk>
      <rc t="1" v="755"/>
    </bk>
    <bk>
      <rc t="1" v="756"/>
    </bk>
    <bk>
      <rc t="1" v="757"/>
    </bk>
    <bk>
      <rc t="1" v="758"/>
    </bk>
    <bk>
      <rc t="1" v="759"/>
    </bk>
    <bk>
      <rc t="1" v="760"/>
    </bk>
    <bk>
      <rc t="1" v="761"/>
    </bk>
    <bk>
      <rc t="1" v="762"/>
    </bk>
    <bk>
      <rc t="1" v="763"/>
    </bk>
    <bk>
      <rc t="1" v="764"/>
    </bk>
    <bk>
      <rc t="1" v="765"/>
    </bk>
    <bk>
      <rc t="1" v="766"/>
    </bk>
    <bk>
      <rc t="1" v="767"/>
    </bk>
    <bk>
      <rc t="1" v="768"/>
    </bk>
    <bk>
      <rc t="1" v="769"/>
    </bk>
    <bk>
      <rc t="1" v="770"/>
    </bk>
    <bk>
      <rc t="1" v="771"/>
    </bk>
    <bk>
      <rc t="1" v="772"/>
    </bk>
    <bk>
      <rc t="1" v="773"/>
    </bk>
    <bk>
      <rc t="1" v="774"/>
    </bk>
    <bk>
      <rc t="1" v="775"/>
    </bk>
    <bk>
      <rc t="1" v="776"/>
    </bk>
    <bk>
      <rc t="1" v="777"/>
    </bk>
    <bk>
      <rc t="1" v="778"/>
    </bk>
    <bk>
      <rc t="1" v="779"/>
    </bk>
    <bk>
      <rc t="1" v="780"/>
    </bk>
    <bk>
      <rc t="1" v="781"/>
    </bk>
    <bk>
      <rc t="1" v="782"/>
    </bk>
    <bk>
      <rc t="1" v="783"/>
    </bk>
    <bk>
      <rc t="1" v="784"/>
    </bk>
    <bk>
      <rc t="1" v="785"/>
    </bk>
    <bk>
      <rc t="1" v="786"/>
    </bk>
    <bk>
      <rc t="1" v="787"/>
    </bk>
    <bk>
      <rc t="1" v="788"/>
    </bk>
    <bk>
      <rc t="1" v="789"/>
    </bk>
    <bk>
      <rc t="1" v="790"/>
    </bk>
    <bk>
      <rc t="1" v="791"/>
    </bk>
    <bk>
      <rc t="1" v="792"/>
    </bk>
    <bk>
      <rc t="1" v="793"/>
    </bk>
    <bk>
      <rc t="1" v="794"/>
    </bk>
    <bk>
      <rc t="1" v="795"/>
    </bk>
    <bk>
      <rc t="1" v="796"/>
    </bk>
    <bk>
      <rc t="1" v="797"/>
    </bk>
    <bk>
      <rc t="1" v="798"/>
    </bk>
    <bk>
      <rc t="1" v="799"/>
    </bk>
    <bk>
      <rc t="1" v="800"/>
    </bk>
    <bk>
      <rc t="1" v="801"/>
    </bk>
    <bk>
      <rc t="1" v="802"/>
    </bk>
    <bk>
      <rc t="1" v="803"/>
    </bk>
    <bk>
      <rc t="1" v="804"/>
    </bk>
    <bk>
      <rc t="1" v="805"/>
    </bk>
    <bk>
      <rc t="1" v="806"/>
    </bk>
    <bk>
      <rc t="1" v="807"/>
    </bk>
    <bk>
      <rc t="1" v="808"/>
    </bk>
    <bk>
      <rc t="1" v="809"/>
    </bk>
    <bk>
      <rc t="1" v="810"/>
    </bk>
    <bk>
      <rc t="1" v="811"/>
    </bk>
    <bk>
      <rc t="1" v="812"/>
    </bk>
    <bk>
      <rc t="1" v="813"/>
    </bk>
    <bk>
      <rc t="1" v="814"/>
    </bk>
    <bk>
      <rc t="1" v="815"/>
    </bk>
    <bk>
      <rc t="1" v="816"/>
    </bk>
    <bk>
      <rc t="1" v="817"/>
    </bk>
    <bk>
      <rc t="1" v="818"/>
    </bk>
    <bk>
      <rc t="1" v="819"/>
    </bk>
    <bk>
      <rc t="1" v="820"/>
    </bk>
    <bk>
      <rc t="1" v="821"/>
    </bk>
    <bk>
      <rc t="1" v="822"/>
    </bk>
    <bk>
      <rc t="1" v="823"/>
    </bk>
    <bk>
      <rc t="1" v="824"/>
    </bk>
    <bk>
      <rc t="1" v="825"/>
    </bk>
    <bk>
      <rc t="1" v="826"/>
    </bk>
    <bk>
      <rc t="1" v="827"/>
    </bk>
    <bk>
      <rc t="1" v="828"/>
    </bk>
    <bk>
      <rc t="1" v="829"/>
    </bk>
    <bk>
      <rc t="1" v="830"/>
    </bk>
    <bk>
      <rc t="1" v="831"/>
    </bk>
    <bk>
      <rc t="1" v="832"/>
    </bk>
    <bk>
      <rc t="1" v="833"/>
    </bk>
    <bk>
      <rc t="1" v="834"/>
    </bk>
    <bk>
      <rc t="1" v="835"/>
    </bk>
    <bk>
      <rc t="1" v="836"/>
    </bk>
    <bk>
      <rc t="1" v="837"/>
    </bk>
    <bk>
      <rc t="1" v="838"/>
    </bk>
    <bk>
      <rc t="1" v="839"/>
    </bk>
    <bk>
      <rc t="1" v="840"/>
    </bk>
    <bk>
      <rc t="1" v="841"/>
    </bk>
    <bk>
      <rc t="1" v="842"/>
    </bk>
    <bk>
      <rc t="1" v="843"/>
    </bk>
    <bk>
      <rc t="1" v="844"/>
    </bk>
    <bk>
      <rc t="1" v="845"/>
    </bk>
    <bk>
      <rc t="1" v="846"/>
    </bk>
    <bk>
      <rc t="1" v="847"/>
    </bk>
    <bk>
      <rc t="1" v="848"/>
    </bk>
    <bk>
      <rc t="1" v="849"/>
    </bk>
    <bk>
      <rc t="1" v="850"/>
    </bk>
    <bk>
      <rc t="1" v="851"/>
    </bk>
    <bk>
      <rc t="1" v="852"/>
    </bk>
    <bk>
      <rc t="1" v="853"/>
    </bk>
    <bk>
      <rc t="1" v="854"/>
    </bk>
    <bk>
      <rc t="1" v="855"/>
    </bk>
    <bk>
      <rc t="1" v="856"/>
    </bk>
    <bk>
      <rc t="1" v="857"/>
    </bk>
    <bk>
      <rc t="1" v="858"/>
    </bk>
    <bk>
      <rc t="1" v="859"/>
    </bk>
    <bk>
      <rc t="1" v="860"/>
    </bk>
    <bk>
      <rc t="1" v="861"/>
    </bk>
    <bk>
      <rc t="1" v="862"/>
    </bk>
    <bk>
      <rc t="1" v="863"/>
    </bk>
    <bk>
      <rc t="1" v="864"/>
    </bk>
    <bk>
      <rc t="1" v="865"/>
    </bk>
    <bk>
      <rc t="1" v="866"/>
    </bk>
    <bk>
      <rc t="1" v="867"/>
    </bk>
    <bk>
      <rc t="1" v="868"/>
    </bk>
    <bk>
      <rc t="1" v="869"/>
    </bk>
    <bk>
      <rc t="1" v="870"/>
    </bk>
    <bk>
      <rc t="1" v="871"/>
    </bk>
    <bk>
      <rc t="1" v="872"/>
    </bk>
    <bk>
      <rc t="1" v="873"/>
    </bk>
    <bk>
      <rc t="1" v="874"/>
    </bk>
    <bk>
      <rc t="1" v="875"/>
    </bk>
    <bk>
      <rc t="1" v="876"/>
    </bk>
    <bk>
      <rc t="1" v="877"/>
    </bk>
    <bk>
      <rc t="1" v="878"/>
    </bk>
    <bk>
      <rc t="1" v="879"/>
    </bk>
    <bk>
      <rc t="1" v="880"/>
    </bk>
    <bk>
      <rc t="1" v="881"/>
    </bk>
    <bk>
      <rc t="1" v="882"/>
    </bk>
    <bk>
      <rc t="1" v="883"/>
    </bk>
    <bk>
      <rc t="1" v="884"/>
    </bk>
    <bk>
      <rc t="1" v="885"/>
    </bk>
    <bk>
      <rc t="1" v="886"/>
    </bk>
    <bk>
      <rc t="1" v="887"/>
    </bk>
    <bk>
      <rc t="1" v="888"/>
    </bk>
    <bk>
      <rc t="1" v="889"/>
    </bk>
    <bk>
      <rc t="1" v="890"/>
    </bk>
    <bk>
      <rc t="1" v="891"/>
    </bk>
    <bk>
      <rc t="1" v="892"/>
    </bk>
    <bk>
      <rc t="1" v="893"/>
    </bk>
    <bk>
      <rc t="1" v="894"/>
    </bk>
    <bk>
      <rc t="1" v="895"/>
    </bk>
    <bk>
      <rc t="1" v="896"/>
    </bk>
    <bk>
      <rc t="1" v="897"/>
    </bk>
    <bk>
      <rc t="1" v="898"/>
    </bk>
    <bk>
      <rc t="1" v="899"/>
    </bk>
    <bk>
      <rc t="1" v="900"/>
    </bk>
    <bk>
      <rc t="1" v="901"/>
    </bk>
    <bk>
      <rc t="1" v="902"/>
    </bk>
    <bk>
      <rc t="1" v="903"/>
    </bk>
    <bk>
      <rc t="1" v="904"/>
    </bk>
    <bk>
      <rc t="1" v="905"/>
    </bk>
    <bk>
      <rc t="1" v="906"/>
    </bk>
    <bk>
      <rc t="1" v="907"/>
    </bk>
    <bk>
      <rc t="1" v="908"/>
    </bk>
    <bk>
      <rc t="1" v="909"/>
    </bk>
    <bk>
      <rc t="1" v="910"/>
    </bk>
    <bk>
      <rc t="1" v="911"/>
    </bk>
    <bk>
      <rc t="1" v="912"/>
    </bk>
    <bk>
      <rc t="1" v="913"/>
    </bk>
    <bk>
      <rc t="1" v="914"/>
    </bk>
    <bk>
      <rc t="1" v="915"/>
    </bk>
    <bk>
      <rc t="1" v="916"/>
    </bk>
    <bk>
      <rc t="1" v="917"/>
    </bk>
    <bk>
      <rc t="1" v="918"/>
    </bk>
    <bk>
      <rc t="1" v="919"/>
    </bk>
    <bk>
      <rc t="1" v="920"/>
    </bk>
    <bk>
      <rc t="1" v="921"/>
    </bk>
    <bk>
      <rc t="1" v="922"/>
    </bk>
    <bk>
      <rc t="1" v="923"/>
    </bk>
    <bk>
      <rc t="1" v="924"/>
    </bk>
    <bk>
      <rc t="1" v="925"/>
    </bk>
    <bk>
      <rc t="1" v="926"/>
    </bk>
    <bk>
      <rc t="1" v="927"/>
    </bk>
    <bk>
      <rc t="1" v="928"/>
    </bk>
    <bk>
      <rc t="1" v="929"/>
    </bk>
    <bk>
      <rc t="1" v="930"/>
    </bk>
    <bk>
      <rc t="1" v="931"/>
    </bk>
    <bk>
      <rc t="1" v="932"/>
    </bk>
    <bk>
      <rc t="1" v="933"/>
    </bk>
    <bk>
      <rc t="1" v="934"/>
    </bk>
    <bk>
      <rc t="1" v="935"/>
    </bk>
    <bk>
      <rc t="1" v="936"/>
    </bk>
    <bk>
      <rc t="1" v="937"/>
    </bk>
    <bk>
      <rc t="1" v="938"/>
    </bk>
    <bk>
      <rc t="1" v="939"/>
    </bk>
    <bk>
      <rc t="1" v="940"/>
    </bk>
    <bk>
      <rc t="1" v="941"/>
    </bk>
    <bk>
      <rc t="1" v="942"/>
    </bk>
    <bk>
      <rc t="1" v="943"/>
    </bk>
    <bk>
      <rc t="1" v="944"/>
    </bk>
    <bk>
      <rc t="1" v="945"/>
    </bk>
    <bk>
      <rc t="1" v="946"/>
    </bk>
    <bk>
      <rc t="1" v="947"/>
    </bk>
    <bk>
      <rc t="1" v="948"/>
    </bk>
    <bk>
      <rc t="1" v="949"/>
    </bk>
    <bk>
      <rc t="1" v="950"/>
    </bk>
    <bk>
      <rc t="1" v="951"/>
    </bk>
    <bk>
      <rc t="1" v="952"/>
    </bk>
    <bk>
      <rc t="1" v="953"/>
    </bk>
    <bk>
      <rc t="1" v="954"/>
    </bk>
    <bk>
      <rc t="1" v="955"/>
    </bk>
    <bk>
      <rc t="1" v="956"/>
    </bk>
    <bk>
      <rc t="1" v="957"/>
    </bk>
    <bk>
      <rc t="1" v="958"/>
    </bk>
    <bk>
      <rc t="1" v="959"/>
    </bk>
    <bk>
      <rc t="1" v="960"/>
    </bk>
    <bk>
      <rc t="1" v="961"/>
    </bk>
    <bk>
      <rc t="1" v="962"/>
    </bk>
    <bk>
      <rc t="1" v="963"/>
    </bk>
    <bk>
      <rc t="1" v="964"/>
    </bk>
    <bk>
      <rc t="1" v="965"/>
    </bk>
    <bk>
      <rc t="1" v="966"/>
    </bk>
    <bk>
      <rc t="1" v="967"/>
    </bk>
    <bk>
      <rc t="1" v="968"/>
    </bk>
    <bk>
      <rc t="1" v="969"/>
    </bk>
    <bk>
      <rc t="1" v="970"/>
    </bk>
    <bk>
      <rc t="1" v="971"/>
    </bk>
    <bk>
      <rc t="1" v="972"/>
    </bk>
    <bk>
      <rc t="1" v="973"/>
    </bk>
    <bk>
      <rc t="1" v="974"/>
    </bk>
    <bk>
      <rc t="1" v="975"/>
    </bk>
    <bk>
      <rc t="1" v="976"/>
    </bk>
    <bk>
      <rc t="1" v="977"/>
    </bk>
    <bk>
      <rc t="1" v="978"/>
    </bk>
    <bk>
      <rc t="1" v="979"/>
    </bk>
    <bk>
      <rc t="1" v="980"/>
    </bk>
    <bk>
      <rc t="1" v="981"/>
    </bk>
    <bk>
      <rc t="1" v="982"/>
    </bk>
    <bk>
      <rc t="1" v="983"/>
    </bk>
    <bk>
      <rc t="1" v="984"/>
    </bk>
    <bk>
      <rc t="1" v="985"/>
    </bk>
    <bk>
      <rc t="1" v="986"/>
    </bk>
    <bk>
      <rc t="1" v="987"/>
    </bk>
    <bk>
      <rc t="1" v="988"/>
    </bk>
    <bk>
      <rc t="1" v="989"/>
    </bk>
    <bk>
      <rc t="1" v="990"/>
    </bk>
    <bk>
      <rc t="1" v="991"/>
    </bk>
    <bk>
      <rc t="1" v="992"/>
    </bk>
    <bk>
      <rc t="1" v="993"/>
    </bk>
    <bk>
      <rc t="1" v="994"/>
    </bk>
    <bk>
      <rc t="1" v="995"/>
    </bk>
    <bk>
      <rc t="1" v="996"/>
    </bk>
    <bk>
      <rc t="1" v="997"/>
    </bk>
    <bk>
      <rc t="1" v="998"/>
    </bk>
    <bk>
      <rc t="1" v="999"/>
    </bk>
    <bk>
      <rc t="1" v="1000"/>
    </bk>
    <bk>
      <rc t="1" v="1001"/>
    </bk>
    <bk>
      <rc t="1" v="1002"/>
    </bk>
    <bk>
      <rc t="1" v="1003"/>
    </bk>
    <bk>
      <rc t="1" v="1004"/>
    </bk>
    <bk>
      <rc t="1" v="1005"/>
    </bk>
    <bk>
      <rc t="1" v="1006"/>
    </bk>
    <bk>
      <rc t="1" v="1007"/>
    </bk>
    <bk>
      <rc t="1" v="1008"/>
    </bk>
    <bk>
      <rc t="1" v="1009"/>
    </bk>
    <bk>
      <rc t="1" v="1010"/>
    </bk>
    <bk>
      <rc t="1" v="1011"/>
    </bk>
    <bk>
      <rc t="1" v="1012"/>
    </bk>
    <bk>
      <rc t="1" v="1013"/>
    </bk>
    <bk>
      <rc t="1" v="1014"/>
    </bk>
    <bk>
      <rc t="1" v="1015"/>
    </bk>
    <bk>
      <rc t="1" v="1016"/>
    </bk>
    <bk>
      <rc t="1" v="1017"/>
    </bk>
    <bk>
      <rc t="1" v="1018"/>
    </bk>
    <bk>
      <rc t="1" v="1019"/>
    </bk>
    <bk>
      <rc t="1" v="1020"/>
    </bk>
    <bk>
      <rc t="1" v="1021"/>
    </bk>
    <bk>
      <rc t="1" v="1022"/>
    </bk>
    <bk>
      <rc t="1" v="1023"/>
    </bk>
    <bk>
      <rc t="1" v="1024"/>
    </bk>
    <bk>
      <rc t="1" v="1025"/>
    </bk>
    <bk>
      <rc t="1" v="1026"/>
    </bk>
    <bk>
      <rc t="1" v="1027"/>
    </bk>
    <bk>
      <rc t="1" v="1028"/>
    </bk>
    <bk>
      <rc t="1" v="1029"/>
    </bk>
    <bk>
      <rc t="1" v="1030"/>
    </bk>
    <bk>
      <rc t="1" v="1031"/>
    </bk>
    <bk>
      <rc t="1" v="1032"/>
    </bk>
    <bk>
      <rc t="1" v="1033"/>
    </bk>
    <bk>
      <rc t="1" v="1034"/>
    </bk>
    <bk>
      <rc t="1" v="1035"/>
    </bk>
    <bk>
      <rc t="1" v="1036"/>
    </bk>
    <bk>
      <rc t="1" v="1037"/>
    </bk>
    <bk>
      <rc t="1" v="1038"/>
    </bk>
    <bk>
      <rc t="1" v="1039"/>
    </bk>
    <bk>
      <rc t="1" v="1040"/>
    </bk>
    <bk>
      <rc t="1" v="1041"/>
    </bk>
    <bk>
      <rc t="1" v="1042"/>
    </bk>
    <bk>
      <rc t="1" v="1043"/>
    </bk>
    <bk>
      <rc t="1" v="1044"/>
    </bk>
    <bk>
      <rc t="1" v="1045"/>
    </bk>
    <bk>
      <rc t="1" v="1046"/>
    </bk>
    <bk>
      <rc t="1" v="1047"/>
    </bk>
    <bk>
      <rc t="1" v="1048"/>
    </bk>
    <bk>
      <rc t="1" v="1049"/>
    </bk>
    <bk>
      <rc t="1" v="1050"/>
    </bk>
    <bk>
      <rc t="1" v="1051"/>
    </bk>
    <bk>
      <rc t="1" v="1052"/>
    </bk>
    <bk>
      <rc t="1" v="1053"/>
    </bk>
    <bk>
      <rc t="1" v="1054"/>
    </bk>
    <bk>
      <rc t="1" v="1055"/>
    </bk>
    <bk>
      <rc t="1" v="1056"/>
    </bk>
    <bk>
      <rc t="1" v="1057"/>
    </bk>
    <bk>
      <rc t="1" v="1058"/>
    </bk>
    <bk>
      <rc t="1" v="1059"/>
    </bk>
    <bk>
      <rc t="1" v="1060"/>
    </bk>
    <bk>
      <rc t="1" v="1061"/>
    </bk>
    <bk>
      <rc t="1" v="1062"/>
    </bk>
    <bk>
      <rc t="1" v="1063"/>
    </bk>
    <bk>
      <rc t="1" v="1064"/>
    </bk>
    <bk>
      <rc t="1" v="1065"/>
    </bk>
    <bk>
      <rc t="1" v="1066"/>
    </bk>
    <bk>
      <rc t="1" v="1067"/>
    </bk>
    <bk>
      <rc t="1" v="1068"/>
    </bk>
    <bk>
      <rc t="1" v="1069"/>
    </bk>
    <bk>
      <rc t="1" v="1070"/>
    </bk>
    <bk>
      <rc t="1" v="1071"/>
    </bk>
    <bk>
      <rc t="1" v="1072"/>
    </bk>
    <bk>
      <rc t="1" v="1073"/>
    </bk>
    <bk>
      <rc t="1" v="1074"/>
    </bk>
    <bk>
      <rc t="1" v="1075"/>
    </bk>
    <bk>
      <rc t="1" v="1076"/>
    </bk>
    <bk>
      <rc t="1" v="1077"/>
    </bk>
    <bk>
      <rc t="1" v="1078"/>
    </bk>
    <bk>
      <rc t="1" v="1079"/>
    </bk>
    <bk>
      <rc t="1" v="1080"/>
    </bk>
    <bk>
      <rc t="1" v="1081"/>
    </bk>
    <bk>
      <rc t="1" v="1082"/>
    </bk>
    <bk>
      <rc t="1" v="1083"/>
    </bk>
    <bk>
      <rc t="1" v="1084"/>
    </bk>
    <bk>
      <rc t="1" v="1085"/>
    </bk>
    <bk>
      <rc t="1" v="1086"/>
    </bk>
    <bk>
      <rc t="1" v="1087"/>
    </bk>
    <bk>
      <rc t="1" v="1088"/>
    </bk>
    <bk>
      <rc t="1" v="1089"/>
    </bk>
    <bk>
      <rc t="1" v="1090"/>
    </bk>
    <bk>
      <rc t="1" v="1091"/>
    </bk>
    <bk>
      <rc t="1" v="1092"/>
    </bk>
    <bk>
      <rc t="1" v="1093"/>
    </bk>
    <bk>
      <rc t="1" v="1094"/>
    </bk>
    <bk>
      <rc t="1" v="1095"/>
    </bk>
    <bk>
      <rc t="1" v="1096"/>
    </bk>
    <bk>
      <rc t="1" v="1097"/>
    </bk>
    <bk>
      <rc t="1" v="1098"/>
    </bk>
    <bk>
      <rc t="1" v="1099"/>
    </bk>
    <bk>
      <rc t="1" v="1100"/>
    </bk>
    <bk>
      <rc t="1" v="1101"/>
    </bk>
    <bk>
      <rc t="1" v="1102"/>
    </bk>
    <bk>
      <rc t="1" v="1103"/>
    </bk>
    <bk>
      <rc t="1" v="1104"/>
    </bk>
    <bk>
      <rc t="1" v="1105"/>
    </bk>
    <bk>
      <rc t="1" v="1106"/>
    </bk>
    <bk>
      <rc t="1" v="1107"/>
    </bk>
    <bk>
      <rc t="1" v="1108"/>
    </bk>
    <bk>
      <rc t="1" v="1109"/>
    </bk>
    <bk>
      <rc t="1" v="1110"/>
    </bk>
    <bk>
      <rc t="1" v="1111"/>
    </bk>
    <bk>
      <rc t="1" v="1112"/>
    </bk>
    <bk>
      <rc t="1" v="1113"/>
    </bk>
    <bk>
      <rc t="1" v="1114"/>
    </bk>
    <bk>
      <rc t="1" v="1115"/>
    </bk>
    <bk>
      <rc t="1" v="1116"/>
    </bk>
    <bk>
      <rc t="1" v="1117"/>
    </bk>
    <bk>
      <rc t="1" v="1118"/>
    </bk>
    <bk>
      <rc t="1" v="1119"/>
    </bk>
    <bk>
      <rc t="1" v="1120"/>
    </bk>
    <bk>
      <rc t="1" v="1121"/>
    </bk>
    <bk>
      <rc t="1" v="1122"/>
    </bk>
    <bk>
      <rc t="1" v="1123"/>
    </bk>
    <bk>
      <rc t="1" v="1124"/>
    </bk>
    <bk>
      <rc t="1" v="1125"/>
    </bk>
    <bk>
      <rc t="1" v="1126"/>
    </bk>
    <bk>
      <rc t="1" v="1127"/>
    </bk>
    <bk>
      <rc t="1" v="1128"/>
    </bk>
    <bk>
      <rc t="1" v="1129"/>
    </bk>
    <bk>
      <rc t="1" v="1130"/>
    </bk>
    <bk>
      <rc t="1" v="1131"/>
    </bk>
    <bk>
      <rc t="1" v="1132"/>
    </bk>
    <bk>
      <rc t="1" v="1133"/>
    </bk>
    <bk>
      <rc t="1" v="1134"/>
    </bk>
    <bk>
      <rc t="1" v="1135"/>
    </bk>
    <bk>
      <rc t="1" v="1136"/>
    </bk>
    <bk>
      <rc t="1" v="1137"/>
    </bk>
    <bk>
      <rc t="1" v="1138"/>
    </bk>
    <bk>
      <rc t="1" v="1139"/>
    </bk>
    <bk>
      <rc t="1" v="1140"/>
    </bk>
    <bk>
      <rc t="1" v="1141"/>
    </bk>
    <bk>
      <rc t="1" v="1142"/>
    </bk>
    <bk>
      <rc t="1" v="1143"/>
    </bk>
    <bk>
      <rc t="1" v="1144"/>
    </bk>
    <bk>
      <rc t="1" v="1145"/>
    </bk>
    <bk>
      <rc t="1" v="1146"/>
    </bk>
    <bk>
      <rc t="1" v="1147"/>
    </bk>
    <bk>
      <rc t="1" v="1148"/>
    </bk>
    <bk>
      <rc t="1" v="1149"/>
    </bk>
    <bk>
      <rc t="1" v="1150"/>
    </bk>
    <bk>
      <rc t="1" v="1151"/>
    </bk>
    <bk>
      <rc t="1" v="1152"/>
    </bk>
    <bk>
      <rc t="1" v="1153"/>
    </bk>
    <bk>
      <rc t="1" v="1154"/>
    </bk>
    <bk>
      <rc t="1" v="1155"/>
    </bk>
    <bk>
      <rc t="1" v="1156"/>
    </bk>
    <bk>
      <rc t="1" v="1157"/>
    </bk>
    <bk>
      <rc t="1" v="1158"/>
    </bk>
    <bk>
      <rc t="1" v="1159"/>
    </bk>
    <bk>
      <rc t="1" v="1160"/>
    </bk>
    <bk>
      <rc t="1" v="1161"/>
    </bk>
    <bk>
      <rc t="1" v="1162"/>
    </bk>
    <bk>
      <rc t="1" v="1163"/>
    </bk>
    <bk>
      <rc t="1" v="1164"/>
    </bk>
    <bk>
      <rc t="1" v="1165"/>
    </bk>
    <bk>
      <rc t="1" v="1166"/>
    </bk>
    <bk>
      <rc t="1" v="1167"/>
    </bk>
    <bk>
      <rc t="1" v="1168"/>
    </bk>
    <bk>
      <rc t="1" v="1169"/>
    </bk>
    <bk>
      <rc t="1" v="1170"/>
    </bk>
    <bk>
      <rc t="1" v="1171"/>
    </bk>
    <bk>
      <rc t="1" v="1172"/>
    </bk>
    <bk>
      <rc t="1" v="1173"/>
    </bk>
    <bk>
      <rc t="1" v="1174"/>
    </bk>
    <bk>
      <rc t="1" v="1175"/>
    </bk>
    <bk>
      <rc t="1" v="1176"/>
    </bk>
    <bk>
      <rc t="1" v="1177"/>
    </bk>
    <bk>
      <rc t="1" v="1178"/>
    </bk>
    <bk>
      <rc t="1" v="1179"/>
    </bk>
    <bk>
      <rc t="1" v="1180"/>
    </bk>
    <bk>
      <rc t="1" v="1181"/>
    </bk>
    <bk>
      <rc t="1" v="1182"/>
    </bk>
    <bk>
      <rc t="1" v="1183"/>
    </bk>
    <bk>
      <rc t="1" v="1184"/>
    </bk>
    <bk>
      <rc t="1" v="1185"/>
    </bk>
    <bk>
      <rc t="1" v="1186"/>
    </bk>
    <bk>
      <rc t="1" v="1187"/>
    </bk>
    <bk>
      <rc t="1" v="1188"/>
    </bk>
    <bk>
      <rc t="1" v="1189"/>
    </bk>
    <bk>
      <rc t="1" v="1190"/>
    </bk>
    <bk>
      <rc t="1" v="1191"/>
    </bk>
    <bk>
      <rc t="1" v="1192"/>
    </bk>
    <bk>
      <rc t="1" v="1193"/>
    </bk>
    <bk>
      <rc t="1" v="1194"/>
    </bk>
    <bk>
      <rc t="1" v="1195"/>
    </bk>
    <bk>
      <rc t="1" v="1196"/>
    </bk>
    <bk>
      <rc t="1" v="1197"/>
    </bk>
    <bk>
      <rc t="1" v="1198"/>
    </bk>
    <bk>
      <rc t="1" v="1199"/>
    </bk>
    <bk>
      <rc t="1" v="1200"/>
    </bk>
    <bk>
      <rc t="1" v="1201"/>
    </bk>
    <bk>
      <rc t="1" v="1202"/>
    </bk>
    <bk>
      <rc t="1" v="1203"/>
    </bk>
    <bk>
      <rc t="1" v="1204"/>
    </bk>
    <bk>
      <rc t="1" v="1205"/>
    </bk>
    <bk>
      <rc t="1" v="1206"/>
    </bk>
    <bk>
      <rc t="1" v="1207"/>
    </bk>
    <bk>
      <rc t="1" v="1208"/>
    </bk>
    <bk>
      <rc t="1" v="1209"/>
    </bk>
    <bk>
      <rc t="1" v="1210"/>
    </bk>
    <bk>
      <rc t="1" v="1211"/>
    </bk>
    <bk>
      <rc t="1" v="1212"/>
    </bk>
    <bk>
      <rc t="1" v="1213"/>
    </bk>
    <bk>
      <rc t="1" v="1214"/>
    </bk>
    <bk>
      <rc t="1" v="1215"/>
    </bk>
    <bk>
      <rc t="1" v="1216"/>
    </bk>
    <bk>
      <rc t="1" v="1217"/>
    </bk>
    <bk>
      <rc t="1" v="1218"/>
    </bk>
    <bk>
      <rc t="1" v="1219"/>
    </bk>
    <bk>
      <rc t="1" v="1220"/>
    </bk>
    <bk>
      <rc t="1" v="1221"/>
    </bk>
    <bk>
      <rc t="1" v="1222"/>
    </bk>
    <bk>
      <rc t="1" v="1223"/>
    </bk>
    <bk>
      <rc t="1" v="1224"/>
    </bk>
    <bk>
      <rc t="1" v="1225"/>
    </bk>
    <bk>
      <rc t="1" v="1226"/>
    </bk>
    <bk>
      <rc t="1" v="1227"/>
    </bk>
    <bk>
      <rc t="1" v="1228"/>
    </bk>
    <bk>
      <rc t="1" v="1229"/>
    </bk>
    <bk>
      <rc t="1" v="1230"/>
    </bk>
    <bk>
      <rc t="1" v="1231"/>
    </bk>
    <bk>
      <rc t="1" v="1232"/>
    </bk>
    <bk>
      <rc t="1" v="1233"/>
    </bk>
    <bk>
      <rc t="1" v="1234"/>
    </bk>
    <bk>
      <rc t="1" v="1235"/>
    </bk>
    <bk>
      <rc t="1" v="1236"/>
    </bk>
    <bk>
      <rc t="1" v="1237"/>
    </bk>
    <bk>
      <rc t="1" v="1238"/>
    </bk>
    <bk>
      <rc t="1" v="1239"/>
    </bk>
    <bk>
      <rc t="1" v="1240"/>
    </bk>
    <bk>
      <rc t="1" v="1241"/>
    </bk>
    <bk>
      <rc t="1" v="1242"/>
    </bk>
    <bk>
      <rc t="1" v="1243"/>
    </bk>
    <bk>
      <rc t="1" v="1244"/>
    </bk>
    <bk>
      <rc t="1" v="1245"/>
    </bk>
    <bk>
      <rc t="1" v="1246"/>
    </bk>
    <bk>
      <rc t="1" v="1247"/>
    </bk>
    <bk>
      <rc t="1" v="1248"/>
    </bk>
    <bk>
      <rc t="1" v="1249"/>
    </bk>
    <bk>
      <rc t="1" v="1250"/>
    </bk>
    <bk>
      <rc t="1" v="1251"/>
    </bk>
    <bk>
      <rc t="1" v="1252"/>
    </bk>
    <bk>
      <rc t="1" v="1253"/>
    </bk>
    <bk>
      <rc t="1" v="1254"/>
    </bk>
    <bk>
      <rc t="1" v="1255"/>
    </bk>
    <bk>
      <rc t="1" v="1256"/>
    </bk>
    <bk>
      <rc t="1" v="1257"/>
    </bk>
    <bk>
      <rc t="1" v="1258"/>
    </bk>
    <bk>
      <rc t="1" v="1259"/>
    </bk>
    <bk>
      <rc t="1" v="1260"/>
    </bk>
    <bk>
      <rc t="1" v="1261"/>
    </bk>
    <bk>
      <rc t="1" v="1262"/>
    </bk>
    <bk>
      <rc t="1" v="1263"/>
    </bk>
    <bk>
      <rc t="1" v="1264"/>
    </bk>
    <bk>
      <rc t="1" v="1265"/>
    </bk>
    <bk>
      <rc t="1" v="1266"/>
    </bk>
    <bk>
      <rc t="1" v="1267"/>
    </bk>
    <bk>
      <rc t="1" v="1268"/>
    </bk>
    <bk>
      <rc t="1" v="1269"/>
    </bk>
    <bk>
      <rc t="1" v="1270"/>
    </bk>
    <bk>
      <rc t="1" v="1271"/>
    </bk>
    <bk>
      <rc t="1" v="1272"/>
    </bk>
    <bk>
      <rc t="1" v="1273"/>
    </bk>
    <bk>
      <rc t="1" v="1274"/>
    </bk>
    <bk>
      <rc t="1" v="1275"/>
    </bk>
    <bk>
      <rc t="1" v="1276"/>
    </bk>
    <bk>
      <rc t="1" v="1277"/>
    </bk>
    <bk>
      <rc t="1" v="1278"/>
    </bk>
    <bk>
      <rc t="1" v="1279"/>
    </bk>
    <bk>
      <rc t="1" v="1280"/>
    </bk>
    <bk>
      <rc t="1" v="1281"/>
    </bk>
    <bk>
      <rc t="1" v="1282"/>
    </bk>
    <bk>
      <rc t="1" v="1283"/>
    </bk>
    <bk>
      <rc t="1" v="1284"/>
    </bk>
    <bk>
      <rc t="1" v="1285"/>
    </bk>
    <bk>
      <rc t="1" v="1286"/>
    </bk>
    <bk>
      <rc t="1" v="1287"/>
    </bk>
    <bk>
      <rc t="1" v="1288"/>
    </bk>
    <bk>
      <rc t="1" v="1289"/>
    </bk>
    <bk>
      <rc t="1" v="1290"/>
    </bk>
    <bk>
      <rc t="1" v="1291"/>
    </bk>
    <bk>
      <rc t="1" v="1292"/>
    </bk>
    <bk>
      <rc t="1" v="1293"/>
    </bk>
    <bk>
      <rc t="1" v="1294"/>
    </bk>
    <bk>
      <rc t="1" v="1295"/>
    </bk>
    <bk>
      <rc t="1" v="1296"/>
    </bk>
    <bk>
      <rc t="1" v="1297"/>
    </bk>
    <bk>
      <rc t="1" v="1298"/>
    </bk>
    <bk>
      <rc t="1" v="1299"/>
    </bk>
    <bk>
      <rc t="1" v="1300"/>
    </bk>
    <bk>
      <rc t="1" v="1301"/>
    </bk>
    <bk>
      <rc t="1" v="1302"/>
    </bk>
    <bk>
      <rc t="1" v="1303"/>
    </bk>
    <bk>
      <rc t="1" v="1304"/>
    </bk>
    <bk>
      <rc t="1" v="1305"/>
    </bk>
    <bk>
      <rc t="1" v="1306"/>
    </bk>
    <bk>
      <rc t="1" v="1307"/>
    </bk>
    <bk>
      <rc t="1" v="1308"/>
    </bk>
    <bk>
      <rc t="1" v="1309"/>
    </bk>
    <bk>
      <rc t="1" v="1310"/>
    </bk>
    <bk>
      <rc t="1" v="1311"/>
    </bk>
    <bk>
      <rc t="1" v="1312"/>
    </bk>
    <bk>
      <rc t="1" v="1313"/>
    </bk>
    <bk>
      <rc t="1" v="1314"/>
    </bk>
    <bk>
      <rc t="1" v="1315"/>
    </bk>
    <bk>
      <rc t="1" v="1316"/>
    </bk>
    <bk>
      <rc t="1" v="1317"/>
    </bk>
    <bk>
      <rc t="1" v="1318"/>
    </bk>
    <bk>
      <rc t="1" v="1319"/>
    </bk>
    <bk>
      <rc t="1" v="1320"/>
    </bk>
    <bk>
      <rc t="1" v="1321"/>
    </bk>
    <bk>
      <rc t="1" v="1322"/>
    </bk>
    <bk>
      <rc t="1" v="1323"/>
    </bk>
    <bk>
      <rc t="1" v="1324"/>
    </bk>
    <bk>
      <rc t="1" v="1325"/>
    </bk>
    <bk>
      <rc t="1" v="1326"/>
    </bk>
    <bk>
      <rc t="1" v="1327"/>
    </bk>
    <bk>
      <rc t="1" v="1328"/>
    </bk>
    <bk>
      <rc t="1" v="1329"/>
    </bk>
    <bk>
      <rc t="1" v="1330"/>
    </bk>
    <bk>
      <rc t="1" v="1331"/>
    </bk>
    <bk>
      <rc t="1" v="1332"/>
    </bk>
    <bk>
      <rc t="1" v="1333"/>
    </bk>
    <bk>
      <rc t="1" v="1334"/>
    </bk>
    <bk>
      <rc t="1" v="1335"/>
    </bk>
    <bk>
      <rc t="1" v="1336"/>
    </bk>
    <bk>
      <rc t="1" v="1337"/>
    </bk>
    <bk>
      <rc t="1" v="1338"/>
    </bk>
    <bk>
      <rc t="1" v="1339"/>
    </bk>
    <bk>
      <rc t="1" v="1340"/>
    </bk>
    <bk>
      <rc t="1" v="1341"/>
    </bk>
    <bk>
      <rc t="1" v="1342"/>
    </bk>
    <bk>
      <rc t="1" v="1343"/>
    </bk>
    <bk>
      <rc t="1" v="1344"/>
    </bk>
    <bk>
      <rc t="1" v="1345"/>
    </bk>
    <bk>
      <rc t="1" v="1346"/>
    </bk>
    <bk>
      <rc t="1" v="1347"/>
    </bk>
    <bk>
      <rc t="1" v="1348"/>
    </bk>
    <bk>
      <rc t="1" v="1349"/>
    </bk>
    <bk>
      <rc t="1" v="1350"/>
    </bk>
    <bk>
      <rc t="1" v="1351"/>
    </bk>
    <bk>
      <rc t="1" v="1352"/>
    </bk>
    <bk>
      <rc t="1" v="1353"/>
    </bk>
    <bk>
      <rc t="1" v="1354"/>
    </bk>
    <bk>
      <rc t="1" v="1355"/>
    </bk>
    <bk>
      <rc t="1" v="1356"/>
    </bk>
    <bk>
      <rc t="1" v="1357"/>
    </bk>
    <bk>
      <rc t="1" v="1358"/>
    </bk>
    <bk>
      <rc t="1" v="1359"/>
    </bk>
    <bk>
      <rc t="1" v="1360"/>
    </bk>
    <bk>
      <rc t="1" v="1361"/>
    </bk>
    <bk>
      <rc t="1" v="1362"/>
    </bk>
    <bk>
      <rc t="1" v="1363"/>
    </bk>
    <bk>
      <rc t="1" v="1364"/>
    </bk>
    <bk>
      <rc t="1" v="1365"/>
    </bk>
    <bk>
      <rc t="1" v="1366"/>
    </bk>
    <bk>
      <rc t="1" v="1367"/>
    </bk>
    <bk>
      <rc t="1" v="1368"/>
    </bk>
    <bk>
      <rc t="1" v="1369"/>
    </bk>
    <bk>
      <rc t="1" v="1370"/>
    </bk>
    <bk>
      <rc t="1" v="1371"/>
    </bk>
    <bk>
      <rc t="1" v="1372"/>
    </bk>
    <bk>
      <rc t="1" v="1373"/>
    </bk>
    <bk>
      <rc t="1" v="1374"/>
    </bk>
    <bk>
      <rc t="1" v="1375"/>
    </bk>
    <bk>
      <rc t="1" v="1376"/>
    </bk>
    <bk>
      <rc t="1" v="1377"/>
    </bk>
    <bk>
      <rc t="1" v="1378"/>
    </bk>
    <bk>
      <rc t="1" v="1379"/>
    </bk>
    <bk>
      <rc t="1" v="1380"/>
    </bk>
    <bk>
      <rc t="1" v="1381"/>
    </bk>
    <bk>
      <rc t="1" v="1382"/>
    </bk>
    <bk>
      <rc t="1" v="1383"/>
    </bk>
    <bk>
      <rc t="1" v="1384"/>
    </bk>
    <bk>
      <rc t="1" v="1385"/>
    </bk>
    <bk>
      <rc t="1" v="1386"/>
    </bk>
    <bk>
      <rc t="1" v="1387"/>
    </bk>
    <bk>
      <rc t="1" v="1388"/>
    </bk>
    <bk>
      <rc t="1" v="1389"/>
    </bk>
    <bk>
      <rc t="1" v="1390"/>
    </bk>
    <bk>
      <rc t="1" v="1391"/>
    </bk>
    <bk>
      <rc t="1" v="1392"/>
    </bk>
    <bk>
      <rc t="1" v="1393"/>
    </bk>
    <bk>
      <rc t="1" v="1394"/>
    </bk>
    <bk>
      <rc t="1" v="1395"/>
    </bk>
    <bk>
      <rc t="1" v="1396"/>
    </bk>
    <bk>
      <rc t="1" v="1397"/>
    </bk>
    <bk>
      <rc t="1" v="1398"/>
    </bk>
    <bk>
      <rc t="1" v="1399"/>
    </bk>
    <bk>
      <rc t="1" v="1400"/>
    </bk>
    <bk>
      <rc t="1" v="1401"/>
    </bk>
    <bk>
      <rc t="1" v="1402"/>
    </bk>
    <bk>
      <rc t="1" v="1403"/>
    </bk>
    <bk>
      <rc t="1" v="1404"/>
    </bk>
    <bk>
      <rc t="1" v="1405"/>
    </bk>
    <bk>
      <rc t="1" v="1406"/>
    </bk>
    <bk>
      <rc t="1" v="1407"/>
    </bk>
    <bk>
      <rc t="1" v="1408"/>
    </bk>
    <bk>
      <rc t="1" v="1409"/>
    </bk>
    <bk>
      <rc t="1" v="1410"/>
    </bk>
    <bk>
      <rc t="1" v="1411"/>
    </bk>
    <bk>
      <rc t="1" v="1412"/>
    </bk>
    <bk>
      <rc t="1" v="1413"/>
    </bk>
    <bk>
      <rc t="1" v="1414"/>
    </bk>
    <bk>
      <rc t="1" v="1415"/>
    </bk>
    <bk>
      <rc t="1" v="1416"/>
    </bk>
    <bk>
      <rc t="1" v="1417"/>
    </bk>
    <bk>
      <rc t="1" v="1418"/>
    </bk>
    <bk>
      <rc t="1" v="1419"/>
    </bk>
    <bk>
      <rc t="1" v="1420"/>
    </bk>
    <bk>
      <rc t="1" v="1421"/>
    </bk>
    <bk>
      <rc t="1" v="1422"/>
    </bk>
    <bk>
      <rc t="1" v="1423"/>
    </bk>
    <bk>
      <rc t="1" v="1424"/>
    </bk>
    <bk>
      <rc t="1" v="1425"/>
    </bk>
    <bk>
      <rc t="1" v="1426"/>
    </bk>
    <bk>
      <rc t="1" v="1427"/>
    </bk>
    <bk>
      <rc t="1" v="1428"/>
    </bk>
    <bk>
      <rc t="1" v="1429"/>
    </bk>
    <bk>
      <rc t="1" v="1430"/>
    </bk>
    <bk>
      <rc t="1" v="1431"/>
    </bk>
    <bk>
      <rc t="1" v="1432"/>
    </bk>
    <bk>
      <rc t="1" v="1433"/>
    </bk>
    <bk>
      <rc t="1" v="1434"/>
    </bk>
    <bk>
      <rc t="1" v="1435"/>
    </bk>
    <bk>
      <rc t="1" v="1436"/>
    </bk>
    <bk>
      <rc t="1" v="1437"/>
    </bk>
    <bk>
      <rc t="1" v="1438"/>
    </bk>
    <bk>
      <rc t="1" v="1439"/>
    </bk>
    <bk>
      <rc t="1" v="1440"/>
    </bk>
    <bk>
      <rc t="1" v="1441"/>
    </bk>
    <bk>
      <rc t="1" v="1442"/>
    </bk>
    <bk>
      <rc t="1" v="1443"/>
    </bk>
    <bk>
      <rc t="1" v="1444"/>
    </bk>
    <bk>
      <rc t="1" v="1445"/>
    </bk>
    <bk>
      <rc t="1" v="1446"/>
    </bk>
    <bk>
      <rc t="1" v="1447"/>
    </bk>
    <bk>
      <rc t="1" v="1448"/>
    </bk>
    <bk>
      <rc t="1" v="1449"/>
    </bk>
    <bk>
      <rc t="1" v="1450"/>
    </bk>
    <bk>
      <rc t="1" v="1451"/>
    </bk>
    <bk>
      <rc t="1" v="1452"/>
    </bk>
    <bk>
      <rc t="1" v="1453"/>
    </bk>
    <bk>
      <rc t="1" v="1454"/>
    </bk>
    <bk>
      <rc t="1" v="1455"/>
    </bk>
    <bk>
      <rc t="1" v="1456"/>
    </bk>
    <bk>
      <rc t="1" v="1457"/>
    </bk>
    <bk>
      <rc t="1" v="1458"/>
    </bk>
    <bk>
      <rc t="1" v="1459"/>
    </bk>
    <bk>
      <rc t="1" v="1460"/>
    </bk>
    <bk>
      <rc t="1" v="1461"/>
    </bk>
    <bk>
      <rc t="1" v="1462"/>
    </bk>
    <bk>
      <rc t="1" v="1463"/>
    </bk>
    <bk>
      <rc t="1" v="1464"/>
    </bk>
    <bk>
      <rc t="1" v="1465"/>
    </bk>
    <bk>
      <rc t="1" v="1466"/>
    </bk>
    <bk>
      <rc t="1" v="1467"/>
    </bk>
    <bk>
      <rc t="1" v="1468"/>
    </bk>
    <bk>
      <rc t="1" v="1469"/>
    </bk>
    <bk>
      <rc t="1" v="1470"/>
    </bk>
    <bk>
      <rc t="1" v="1471"/>
    </bk>
    <bk>
      <rc t="1" v="1472"/>
    </bk>
    <bk>
      <rc t="1" v="1473"/>
    </bk>
    <bk>
      <rc t="1" v="1474"/>
    </bk>
    <bk>
      <rc t="1" v="1475"/>
    </bk>
    <bk>
      <rc t="1" v="1476"/>
    </bk>
    <bk>
      <rc t="1" v="1477"/>
    </bk>
    <bk>
      <rc t="1" v="1478"/>
    </bk>
    <bk>
      <rc t="1" v="1479"/>
    </bk>
    <bk>
      <rc t="1" v="1480"/>
    </bk>
    <bk>
      <rc t="1" v="1481"/>
    </bk>
    <bk>
      <rc t="1" v="1482"/>
    </bk>
    <bk>
      <rc t="1" v="1483"/>
    </bk>
    <bk>
      <rc t="1" v="1484"/>
    </bk>
    <bk>
      <rc t="1" v="1485"/>
    </bk>
    <bk>
      <rc t="1" v="1486"/>
    </bk>
    <bk>
      <rc t="1" v="1487"/>
    </bk>
    <bk>
      <rc t="1" v="1488"/>
    </bk>
    <bk>
      <rc t="1" v="1489"/>
    </bk>
    <bk>
      <rc t="1" v="1490"/>
    </bk>
    <bk>
      <rc t="1" v="1491"/>
    </bk>
    <bk>
      <rc t="1" v="1492"/>
    </bk>
    <bk>
      <rc t="1" v="1493"/>
    </bk>
    <bk>
      <rc t="1" v="1494"/>
    </bk>
    <bk>
      <rc t="1" v="1495"/>
    </bk>
    <bk>
      <rc t="1" v="1496"/>
    </bk>
    <bk>
      <rc t="1" v="1497"/>
    </bk>
    <bk>
      <rc t="1" v="1498"/>
    </bk>
    <bk>
      <rc t="1" v="1499"/>
    </bk>
    <bk>
      <rc t="1" v="1500"/>
    </bk>
    <bk>
      <rc t="1" v="1501"/>
    </bk>
    <bk>
      <rc t="1" v="1502"/>
    </bk>
    <bk>
      <rc t="1" v="1503"/>
    </bk>
    <bk>
      <rc t="1" v="1504"/>
    </bk>
    <bk>
      <rc t="1" v="1505"/>
    </bk>
    <bk>
      <rc t="1" v="1506"/>
    </bk>
    <bk>
      <rc t="1" v="1507"/>
    </bk>
    <bk>
      <rc t="1" v="1508"/>
    </bk>
    <bk>
      <rc t="1" v="1509"/>
    </bk>
    <bk>
      <rc t="1" v="1510"/>
    </bk>
    <bk>
      <rc t="1" v="1511"/>
    </bk>
    <bk>
      <rc t="1" v="1512"/>
    </bk>
    <bk>
      <rc t="1" v="1513"/>
    </bk>
    <bk>
      <rc t="1" v="1514"/>
    </bk>
    <bk>
      <rc t="1" v="1515"/>
    </bk>
    <bk>
      <rc t="1" v="1516"/>
    </bk>
    <bk>
      <rc t="1" v="1517"/>
    </bk>
    <bk>
      <rc t="1" v="1518"/>
    </bk>
    <bk>
      <rc t="1" v="1519"/>
    </bk>
    <bk>
      <rc t="1" v="1520"/>
    </bk>
    <bk>
      <rc t="1" v="1521"/>
    </bk>
    <bk>
      <rc t="1" v="1522"/>
    </bk>
    <bk>
      <rc t="1" v="1523"/>
    </bk>
    <bk>
      <rc t="1" v="1524"/>
    </bk>
    <bk>
      <rc t="1" v="1525"/>
    </bk>
    <bk>
      <rc t="1" v="1526"/>
    </bk>
    <bk>
      <rc t="1" v="1527"/>
    </bk>
    <bk>
      <rc t="1" v="1528"/>
    </bk>
    <bk>
      <rc t="1" v="1529"/>
    </bk>
    <bk>
      <rc t="1" v="1530"/>
    </bk>
    <bk>
      <rc t="1" v="1531"/>
    </bk>
    <bk>
      <rc t="1" v="1532"/>
    </bk>
    <bk>
      <rc t="1" v="1533"/>
    </bk>
    <bk>
      <rc t="1" v="1534"/>
    </bk>
    <bk>
      <rc t="1" v="1535"/>
    </bk>
    <bk>
      <rc t="1" v="1536"/>
    </bk>
    <bk>
      <rc t="1" v="1537"/>
    </bk>
    <bk>
      <rc t="1" v="1538"/>
    </bk>
    <bk>
      <rc t="1" v="1539"/>
    </bk>
    <bk>
      <rc t="1" v="1540"/>
    </bk>
    <bk>
      <rc t="1" v="1541"/>
    </bk>
    <bk>
      <rc t="1" v="1542"/>
    </bk>
    <bk>
      <rc t="1" v="1543"/>
    </bk>
    <bk>
      <rc t="1" v="1544"/>
    </bk>
    <bk>
      <rc t="1" v="1545"/>
    </bk>
    <bk>
      <rc t="1" v="1546"/>
    </bk>
    <bk>
      <rc t="1" v="1547"/>
    </bk>
    <bk>
      <rc t="1" v="1548"/>
    </bk>
    <bk>
      <rc t="1" v="1549"/>
    </bk>
    <bk>
      <rc t="1" v="1550"/>
    </bk>
    <bk>
      <rc t="1" v="1551"/>
    </bk>
  </valueMetadata>
</metadata>
</file>

<file path=xl/sharedStrings.xml><?xml version="1.0" encoding="utf-8"?>
<sst xmlns="http://schemas.openxmlformats.org/spreadsheetml/2006/main" count="109144" uniqueCount="24549">
  <si>
    <t>Table of Contents</t>
  </si>
  <si>
    <t>Revision Analysis</t>
  </si>
  <si>
    <t>Adventurer Printable</t>
  </si>
  <si>
    <t>Adventurer Revisions</t>
  </si>
  <si>
    <t>Adventurer Skills</t>
  </si>
  <si>
    <t>Adventurer Abilities</t>
  </si>
  <si>
    <t>Adventurer Co-Abilities</t>
  </si>
  <si>
    <t>Dragon Printable</t>
  </si>
  <si>
    <t>Dragon Revisions</t>
  </si>
  <si>
    <t>Dragon Skills</t>
  </si>
  <si>
    <t>Dragon Abilities</t>
  </si>
  <si>
    <t>Weapon Revisions</t>
  </si>
  <si>
    <t>Weapon Skills</t>
  </si>
  <si>
    <t>Wyrmprint Revisions</t>
  </si>
  <si>
    <t>Campaign Quests</t>
  </si>
  <si>
    <t>Quest Drops</t>
  </si>
  <si>
    <t>Endeavors</t>
  </si>
  <si>
    <t>Royal Regimen Revision</t>
  </si>
  <si>
    <t>Mana Circle</t>
  </si>
  <si>
    <t>Adventurer EXP</t>
  </si>
  <si>
    <t>Enter the Kaleidoscape</t>
  </si>
  <si>
    <t>Attack Combo Revisions</t>
  </si>
  <si>
    <t>Treasure Trade Revision</t>
  </si>
  <si>
    <t>Element</t>
  </si>
  <si>
    <t>#</t>
  </si>
  <si>
    <t>Afflictions</t>
  </si>
  <si>
    <t>Res Down</t>
  </si>
  <si>
    <t>HP UP</t>
  </si>
  <si>
    <t>Bleed</t>
  </si>
  <si>
    <t>Overdamage</t>
  </si>
  <si>
    <t>STR 1</t>
  </si>
  <si>
    <t>STR 3</t>
  </si>
  <si>
    <t>DEF 1</t>
  </si>
  <si>
    <t>DEF 3</t>
  </si>
  <si>
    <t>CRT 1</t>
  </si>
  <si>
    <t>CRT 3</t>
  </si>
  <si>
    <t>Dispel</t>
  </si>
  <si>
    <t>ADVENTURERS</t>
  </si>
  <si>
    <t>FLAME</t>
  </si>
  <si>
    <t>Burn</t>
  </si>
  <si>
    <t>Burn Res Down</t>
  </si>
  <si>
    <t>Added</t>
  </si>
  <si>
    <t>WATER</t>
  </si>
  <si>
    <t>Scorchrend</t>
  </si>
  <si>
    <t>Scorchrend Res Down</t>
  </si>
  <si>
    <t>Already</t>
  </si>
  <si>
    <t>WIND</t>
  </si>
  <si>
    <t>Frostbite</t>
  </si>
  <si>
    <t>Frostbite Res Down</t>
  </si>
  <si>
    <t>Omitted</t>
  </si>
  <si>
    <t>LIGHT</t>
  </si>
  <si>
    <t>Poison</t>
  </si>
  <si>
    <t>Poison Res Down</t>
  </si>
  <si>
    <t>Transferred</t>
  </si>
  <si>
    <t>SHADOW</t>
  </si>
  <si>
    <t>Stormlash</t>
  </si>
  <si>
    <t>Stormlash Res Down</t>
  </si>
  <si>
    <t>Paralysis</t>
  </si>
  <si>
    <t>Paralysis Res Down</t>
  </si>
  <si>
    <t>Flashburn</t>
  </si>
  <si>
    <t>Flashburn Res Down</t>
  </si>
  <si>
    <t>Shadowblight</t>
  </si>
  <si>
    <t>Shadowblight Res Down</t>
  </si>
  <si>
    <t>Totals</t>
  </si>
  <si>
    <t>DRAGONS</t>
  </si>
  <si>
    <t>GOAL</t>
  </si>
  <si>
    <t>5-8</t>
  </si>
  <si>
    <t>22-26</t>
  </si>
  <si>
    <t>14-17</t>
  </si>
  <si>
    <t>7-10</t>
  </si>
  <si>
    <t>GOALS</t>
  </si>
  <si>
    <t>A-291</t>
  </si>
  <si>
    <t>Skills - Original</t>
  </si>
  <si>
    <t>Skills - V3 Revision</t>
  </si>
  <si>
    <t>Abilities - Original</t>
  </si>
  <si>
    <t>Abilities - V3 Revision</t>
  </si>
  <si>
    <t>V3 Revision Summary</t>
  </si>
  <si>
    <t>Co-Ability</t>
  </si>
  <si>
    <t>Chain Co-Ability (UPDATED)</t>
  </si>
  <si>
    <t>A-098</t>
  </si>
  <si>
    <t>Description</t>
  </si>
  <si>
    <t>SS</t>
  </si>
  <si>
    <t>Obtained From</t>
  </si>
  <si>
    <t>Co-Abilities</t>
  </si>
  <si>
    <t>Updated Chain Co-Ability</t>
  </si>
  <si>
    <t>A-081</t>
  </si>
  <si>
    <t>A-048</t>
  </si>
  <si>
    <t>ID</t>
  </si>
  <si>
    <t>Num</t>
  </si>
  <si>
    <t>Name</t>
  </si>
  <si>
    <t>Title</t>
  </si>
  <si>
    <t>Link</t>
  </si>
  <si>
    <t>Release Date</t>
  </si>
  <si>
    <t>Unlock</t>
  </si>
  <si>
    <t>Class</t>
  </si>
  <si>
    <t>Weapon</t>
  </si>
  <si>
    <t>HP</t>
  </si>
  <si>
    <t>STR</t>
  </si>
  <si>
    <t>HP V3</t>
  </si>
  <si>
    <t>STR V3</t>
  </si>
  <si>
    <t>Skill 1</t>
  </si>
  <si>
    <t>Skill 2</t>
  </si>
  <si>
    <t>Chain Co-Ability</t>
  </si>
  <si>
    <t>Chain Co-Ability V3</t>
  </si>
  <si>
    <t>Ability 1</t>
  </si>
  <si>
    <t>Ability 2</t>
  </si>
  <si>
    <t>Ability 3</t>
  </si>
  <si>
    <t>Ability 1 V3</t>
  </si>
  <si>
    <t>Ability 2 V3</t>
  </si>
  <si>
    <t>Ability 3 V3</t>
  </si>
  <si>
    <t>Affliction</t>
  </si>
  <si>
    <t>Amp</t>
  </si>
  <si>
    <t>Extra</t>
  </si>
  <si>
    <t>Notes</t>
  </si>
  <si>
    <t>110059_02</t>
  </si>
  <si>
    <t>A-001</t>
  </si>
  <si>
    <t>Undercover Grace</t>
  </si>
  <si>
    <t>Expiatory Researcher</t>
  </si>
  <si>
    <t>https://dragalialost.wiki/w/Undercover_Grace</t>
  </si>
  <si>
    <t>Posing as a researcher for the Syndicate she left behind, Grace infiltrates their ranks with the aim of atoning for the sins she and her late husband committed in their employ. Wielding a sword he designed, she works to stop the evil organization.</t>
  </si>
  <si>
    <t>Clear Defensive Battle: Master
(Shackles of the Syndicate)</t>
  </si>
  <si>
    <t>Attack</t>
  </si>
  <si>
    <t>Flame</t>
  </si>
  <si>
    <t>Sword</t>
  </si>
  <si>
    <t>Soul Deprivation</t>
  </si>
  <si>
    <t>Flametongue Unbound</t>
  </si>
  <si>
    <t>Dragon Haste +15%</t>
  </si>
  <si>
    <t>(Flame) HP Below 40% = Strength +15%</t>
  </si>
  <si>
    <t>Strength +13%</t>
  </si>
  <si>
    <t>Double-Edged Revelation II</t>
  </si>
  <si>
    <t>Stun Res +100%</t>
  </si>
  <si>
    <t>Team Defense Amp = HP Regen II</t>
  </si>
  <si>
    <t>Potent Stun Res +100%</t>
  </si>
  <si>
    <t>Team Defense Amp = HP Regen (V3)</t>
  </si>
  <si>
    <t>Added Scorchrend</t>
  </si>
  <si>
    <t xml:space="preserve">Updated Defense Amp (Max Lv. = 3) granted by Flametongue Unbound </t>
  </si>
  <si>
    <t>Added to Flametongue Unbound</t>
  </si>
  <si>
    <t>N/A</t>
  </si>
  <si>
    <t>Undercover Grace originally lacked utility in the form of afflictions and dispel, which was addressed by adding scorchrend and dispel. She originally served as a risky character to play due to Double-Edged Revelation's self-damaging effects, which has been partially negated by boosting Team Defense Amp = HP Regen's recovery potency. Still requires manual play for optimal performance.</t>
  </si>
  <si>
    <t>110359_01</t>
  </si>
  <si>
    <t>A-002</t>
  </si>
  <si>
    <t>Chrom</t>
  </si>
  <si>
    <t>Prince of Ylisse</t>
  </si>
  <si>
    <t>https://dragalialost.wiki/w/Chrom</t>
  </si>
  <si>
    <t>Prince of the Halidom of Ylisse, and leader of a militia called the Shepherds. While he himself worries that he comes across as cold, he's idolized as a good man without pretense, and one who fights at the forefront for the sake of peace.</t>
  </si>
  <si>
    <t>Clear Battle with Chrom: Hard
(Fire Emblem: Kindred Ties)</t>
  </si>
  <si>
    <t>Exalted Sword</t>
  </si>
  <si>
    <t>Aether</t>
  </si>
  <si>
    <t>HP +10% &amp; Defense +10%</t>
  </si>
  <si>
    <t>(Flame) Burn = User Wind Res +8%</t>
  </si>
  <si>
    <t>Wind Res +10%</t>
  </si>
  <si>
    <t>Full HP = Strength +15%</t>
  </si>
  <si>
    <t>Sleep Res +100%</t>
  </si>
  <si>
    <t>Rightful King</t>
  </si>
  <si>
    <t>Strength +20% (V3)</t>
  </si>
  <si>
    <t>Potent Sleep Res +100%</t>
  </si>
  <si>
    <t>Rightful King (V3)</t>
  </si>
  <si>
    <t>Added Defense Amp (Max Lv. = 3) granted by any skill</t>
  </si>
  <si>
    <t>Added to Aether</t>
  </si>
  <si>
    <t>Chrom lacked utility due to his lack of dispel and afflictions. The additions of scorchrend and dispel address this. The revised Ability 1 also gives Chrom an unconditional DPS upgrade.</t>
  </si>
  <si>
    <t>110050_02</t>
  </si>
  <si>
    <t>A-003</t>
  </si>
  <si>
    <t>Hunter Berserker</t>
  </si>
  <si>
    <t>Rathalos Berserker</t>
  </si>
  <si>
    <t>https://dragalialost.wiki/w/Hunter_Berserker</t>
  </si>
  <si>
    <t>Berserker the hunter, clad in armor wrought from the legendary Rathalos. Having deemed the beast a worthy adversary, he set out to take it down that he might truly know what it is to feel alive. The hunt promises to be his ultimate satisfaction.</t>
  </si>
  <si>
    <t>Clear The King's Descent
(Monster Hunter Primal Crisis)</t>
  </si>
  <si>
    <t>Moonbreaker</t>
  </si>
  <si>
    <t>Lion's Maw</t>
  </si>
  <si>
    <t>(Flame) Damage Taken = Force Strike Damage VI</t>
  </si>
  <si>
    <t>Force Strike +20%</t>
  </si>
  <si>
    <t>Great Sword Expertise +2</t>
  </si>
  <si>
    <t>Reduced Defense Devastator +20%</t>
  </si>
  <si>
    <t>Great Sword Expertise (V3)</t>
  </si>
  <si>
    <t>Reduced Strength &amp; Defense Devastator +25% (V3)</t>
  </si>
  <si>
    <t>None (Intentional Omission)</t>
  </si>
  <si>
    <t>Updated Strength Amp (Max Lv. = 1) granted by Lion's Maw</t>
  </si>
  <si>
    <t>Added to charged force strike</t>
  </si>
  <si>
    <t>HP Up</t>
  </si>
  <si>
    <t>Hunter Berserker lacked utility beyond powerful force strikes. This revision increases power of force strikes and gives him ample access to dispel. Due to the adventurer's personality, no afflictions were added. To reference the original form of Berserker, a team HP Up buff was added.</t>
  </si>
  <si>
    <t>110259_01</t>
  </si>
  <si>
    <t>A-004</t>
  </si>
  <si>
    <t>Lea</t>
  </si>
  <si>
    <t>Sublime Swordsman</t>
  </si>
  <si>
    <t>https://dragalialost.wiki/w/Lea</t>
  </si>
  <si>
    <t>A knight who served the Kingdom of Alberia. She bears an intense hatred for fiends due to an event in her past, and fights them with any means necessary. While she has a dignified presence, she also adores cute things.</t>
  </si>
  <si>
    <t>Clear Flame Legion's Trial: Standard
(Trials of the Mighty)</t>
  </si>
  <si>
    <t>Road to Glory</t>
  </si>
  <si>
    <t>Floral Revolution</t>
  </si>
  <si>
    <t>(Flame) HP Below 60% = HP Regen VI</t>
  </si>
  <si>
    <t>HP Below 60% = HP Regen VI</t>
  </si>
  <si>
    <t>Crimson Oath</t>
  </si>
  <si>
    <t>Striking Haste +15%</t>
  </si>
  <si>
    <t>Crimson Oath (V3)</t>
  </si>
  <si>
    <t>Skill Prep +100% &amp; Striking Haste +15% (V3)</t>
  </si>
  <si>
    <t>Updated Burn and Scorchrend</t>
  </si>
  <si>
    <t>Updated Strength Amp (Max Lv. = 3) granted by Road to Glory</t>
  </si>
  <si>
    <t>Already present on Road to Glory</t>
  </si>
  <si>
    <t>Lea's kit was based on maintaining low HP in exchange for access to high skill damage, afflictions, and dispel. However, in V3 Re;Works, those traits are given to every adventurer with no caveat. Accordingly, the HP reduction from "Floral Revolution" was decreased. This should make the adventurer more reliable to use. Additional invincibility frames should be added when the user is using Floral Revolution. Alternatively, reduce camera duration from 5.1 seconds to something at least 1 second less.</t>
  </si>
  <si>
    <t>110291_01</t>
  </si>
  <si>
    <t>A-005</t>
  </si>
  <si>
    <t>Marth</t>
  </si>
  <si>
    <t>Altean Prince</t>
  </si>
  <si>
    <t>https://dragalialost.wiki/w/Marth</t>
  </si>
  <si>
    <t>The popular and kind prince of Altea, who cares deeply for his friends. He has the blood of the hero Anri in his veins, and wields the divine sword Falchion. Despite having saved his entire country, he's personable and down-to-earth.</t>
  </si>
  <si>
    <t>Clear Repel the Empire: Hard
(Fire Emblem: Lost Heroes)</t>
  </si>
  <si>
    <t>Flickering Flames</t>
  </si>
  <si>
    <t>Fire Emblem</t>
  </si>
  <si>
    <t>(Flame) Above 10 Hits = Strength +13%</t>
  </si>
  <si>
    <t>Last Boost III</t>
  </si>
  <si>
    <t>Whirlwind Devastation +13%</t>
  </si>
  <si>
    <t>Last Boost (V3)</t>
  </si>
  <si>
    <t>Altean Prince (V3)</t>
  </si>
  <si>
    <t>Updated Burn</t>
  </si>
  <si>
    <t xml:space="preserve">Added Critical Damage Amp (Max Lv. = 3) granted by Fire Emblem </t>
  </si>
  <si>
    <t>Added to Fire Emblem</t>
  </si>
  <si>
    <t>Marth was commonly used in Flame content, namely Volk, where he was an instrumental part of numerous 'cheese strats' yet lacked the same utility in Nihility content. This revision boosts his overall DPS slightly, adds dispel, removes Skill Shift for consistency purposes, and revises Last Boost to give the adventurer more utility in longer battles.</t>
  </si>
  <si>
    <t>110266_01</t>
  </si>
  <si>
    <t>A-006</t>
  </si>
  <si>
    <t>Naveed</t>
  </si>
  <si>
    <t>Suave Lithomancer</t>
  </si>
  <si>
    <t>https://dragalialost.wiki/w/Naveed</t>
  </si>
  <si>
    <t>A youth on a journey from a foreign land. He's an apt student of swords and lithomancy—a magic that uses the mana contained in gems. His modest and easy-going nature makes him popular, but he's oddly awkward with women.</t>
  </si>
  <si>
    <t>Clear Volcanic Chimera Strike: Standard
(Void Battles)</t>
  </si>
  <si>
    <t>Crystalline Blades</t>
  </si>
  <si>
    <t>Radiant Bauble</t>
  </si>
  <si>
    <t>(Flame) HP 60% = Strength +6%</t>
  </si>
  <si>
    <t>Slayer's Flurry Strength I</t>
  </si>
  <si>
    <t>Flame Blades' Protection</t>
  </si>
  <si>
    <t>Flurry Slayer's Strength (V3)</t>
  </si>
  <si>
    <t>Flame Blades' Protection (V3)</t>
  </si>
  <si>
    <t>Added Strength Amp (Max Lv. = 3) granted by Raidient Bauble</t>
  </si>
  <si>
    <t>Already present on Crystalline Blades</t>
  </si>
  <si>
    <t>Naveed's kit was held back by a lack of affliction and wide-range skills. The lack of afflictions has been addressed, but this revision does not change this adventurer's lack of wide-range skills due to the limitations of V3 Revision. However, the strength amp does increase his cumulative DPS.</t>
  </si>
  <si>
    <t>110054_01</t>
  </si>
  <si>
    <t>A-007</t>
  </si>
  <si>
    <t>Serena</t>
  </si>
  <si>
    <t>Purehearted Warrior</t>
  </si>
  <si>
    <t>https://dragalialost.wiki/w/Serena</t>
  </si>
  <si>
    <t>A young knight with a pure heart. Her upbeat personality is infectious, but her naivety and honesty make her an easy target for swindlers. Though she cried often as a child, she has sworn to never again weep in the face of hardship.</t>
  </si>
  <si>
    <t>Clear Lv. 20 of The Mercurial Gauntlet in All Elements
(The Mercurial Gauntlet)</t>
  </si>
  <si>
    <t>Defense</t>
  </si>
  <si>
    <t>Assault Flame</t>
  </si>
  <si>
    <t>Blazing Pain</t>
  </si>
  <si>
    <t>(Flame) Above 10 Hits = Critical Rate +12%</t>
  </si>
  <si>
    <t>Critical Rate +13%</t>
  </si>
  <si>
    <t>Barrage Obliteration +7%</t>
  </si>
  <si>
    <t>Barrage Devastation +5%</t>
  </si>
  <si>
    <t>Purehearted Barrage (V3)</t>
  </si>
  <si>
    <t>Critical Rate +15% (V3)</t>
  </si>
  <si>
    <t>Added Defense Amp (Max Lv. = 1) granted by Assault Flame &amp; Critical Damage Amp (Max Lv. = 1) granted by Blazing Pain</t>
  </si>
  <si>
    <t>Added to Blazing Pain</t>
  </si>
  <si>
    <t>Serena has never been a particularly noteworthy adventurer, and this revision attempts to address this with afflictions, dispel, and amps. Further skill damage increases and curse of Nihility immune abilities may be necessary to make her more usable. Adventurer has two amps to reflect the adventurer's defensive class and compliment other elements that increase critical rate and critical damage.</t>
  </si>
  <si>
    <t>110008_01</t>
  </si>
  <si>
    <t>A-008</t>
  </si>
  <si>
    <t>Karl</t>
  </si>
  <si>
    <t>Hero of Justice</t>
  </si>
  <si>
    <t>https://dragalialost.wiki/w/Karl</t>
  </si>
  <si>
    <t>A passionate youth with sights set firmly on justice, he disposes of evil with extreme prejudice. While he strives to serve a higher good, he also dreams of the day when the name "Karlsplosion" echoes across the land.</t>
  </si>
  <si>
    <t>Clear The Mercurial Gauntlet
(Flame): Lv. 30
(The Mercurial Gauntlet)</t>
  </si>
  <si>
    <t>Support</t>
  </si>
  <si>
    <t>Vanquishing Flame</t>
  </si>
  <si>
    <t>Soul Ignition</t>
  </si>
  <si>
    <t>(Flame) Above 10 Hits = Strength +10%</t>
  </si>
  <si>
    <t>HP 70% = Strength +15%</t>
  </si>
  <si>
    <t>Burning Justice (V3)</t>
  </si>
  <si>
    <t>Added Burn</t>
  </si>
  <si>
    <t>Added Strength Amp (Max Lv. = 3) granted by Soul Ignition</t>
  </si>
  <si>
    <t>Omitted due to kit</t>
  </si>
  <si>
    <t>Karl previously lacked much utility. He now functions as a source of unlimited burn with various strength-based abilities.</t>
  </si>
  <si>
    <t>100001_01</t>
  </si>
  <si>
    <t>A-009</t>
  </si>
  <si>
    <t>The Prince</t>
  </si>
  <si>
    <t>Dragonblood Prince</t>
  </si>
  <si>
    <t>https://dragalialost.wiki/w/The_Prince</t>
  </si>
  <si>
    <t>The seventh heir of the Alberian royal family, he lives with the mutual support of his twin sister, Zethia, and the faerie Notte. Always smiling, he carries a unique blend of unwavering courage and intense consideration for others.</t>
  </si>
  <si>
    <t>Complete Tutorial</t>
  </si>
  <si>
    <t>Blazing Circlet</t>
  </si>
  <si>
    <t>Exalted Fire</t>
  </si>
  <si>
    <t>Dragon Haste +14%</t>
  </si>
  <si>
    <t>Dragon Haste +20%</t>
  </si>
  <si>
    <t>Dragon's Claws IV</t>
  </si>
  <si>
    <t>Dragon's Dominance</t>
  </si>
  <si>
    <t>Dragon's Claws (V3)</t>
  </si>
  <si>
    <t>Dragon's Dominance (V3)</t>
  </si>
  <si>
    <t xml:space="preserve">Added Team Critical Damage Amp (Max Lv. = 3) granted by shapeshifting </t>
  </si>
  <si>
    <t>Already present when adventurer is in dragon form</t>
  </si>
  <si>
    <t>The Prince has been a solid adventurer since the release of his mana spiral, so few changes were necessary. As a shapeshift-based adventurer, their dragon gauge fill rate, shapeshift time, and dragon damage were all increased.</t>
  </si>
  <si>
    <t>110052_03</t>
  </si>
  <si>
    <t>A-010</t>
  </si>
  <si>
    <t>Valentine's Orion</t>
  </si>
  <si>
    <t>Valentine's Guardian</t>
  </si>
  <si>
    <t>https://dragalialost.wiki/w/Valentine's_Orion</t>
  </si>
  <si>
    <t>Orion's preparations for Valentine's are perfect. He had an outfit custom made, and even grew the rose on his chest himself. Now he's ready to escort ladies who dream of a wonderful day!</t>
  </si>
  <si>
    <t>Clear All-Out Assault: Standard
(Valentine's Confections)</t>
  </si>
  <si>
    <t>Spinning Brûlée</t>
  </si>
  <si>
    <t>Sweet Protection</t>
  </si>
  <si>
    <t>(Flame) Burn = User Strength +8%</t>
  </si>
  <si>
    <t>Strength Doublebuff +15%</t>
  </si>
  <si>
    <t>Potent Sleep Res +50%</t>
  </si>
  <si>
    <t>Sleep Res +50%</t>
  </si>
  <si>
    <t>Doublebuff &amp; Team Defense Amp = Strength (V3)</t>
  </si>
  <si>
    <t>Valentine's Escort (V3)</t>
  </si>
  <si>
    <t>Added to Spinning Brûlée</t>
  </si>
  <si>
    <t>Valentine's Orion was never particularly useful, and this revision simply provides the basics needed to make them more useful. Defensive capabilities were also improved with a one-use shield, defense amp, and slight defense buff upgrade to Sweet Protection.</t>
  </si>
  <si>
    <t>110261_01</t>
  </si>
  <si>
    <t>A-011</t>
  </si>
  <si>
    <t>Marty</t>
  </si>
  <si>
    <t>Top Ruin Explorer</t>
  </si>
  <si>
    <t>https://dragalialost.wiki/w/Marty</t>
  </si>
  <si>
    <t>The self-proclaimed "ultimate treasure hunter." His exploration skills are unmatched, and he's never been duped by a trap. His dream is to open a museum with the numerous treasures he's found and bring happiness to everyone.</t>
  </si>
  <si>
    <t>Clear Battle at Mount Adolla: Standard
(The Imperial Onslaught)</t>
  </si>
  <si>
    <t>Spiral Hunter</t>
  </si>
  <si>
    <t>Safeguard Surge</t>
  </si>
  <si>
    <t>(Flame) HP +7%</t>
  </si>
  <si>
    <t>HP +10%</t>
  </si>
  <si>
    <t>Skill Haste +10%</t>
  </si>
  <si>
    <t>Potent Stun Res +50%</t>
  </si>
  <si>
    <t>Stun Res +50%</t>
  </si>
  <si>
    <t>Skill Haste &amp; Combo Time (V3)</t>
  </si>
  <si>
    <t>Top Treasure Hunter (V3)</t>
  </si>
  <si>
    <t>Added to Spiral Hunter</t>
  </si>
  <si>
    <t>Marty was never particularly useful, and this revision simply provides the basics needed to make them more useful. Defensive capabilities were also improved with a defense amp and a 25% defense buff upgrade to Safeguard Surge.</t>
  </si>
  <si>
    <t>110064_02</t>
  </si>
  <si>
    <t>A-012</t>
  </si>
  <si>
    <t>Armored Yachiyo</t>
  </si>
  <si>
    <t>Resplendent Duelist</t>
  </si>
  <si>
    <t>https://dragalialost.wiki/w/Armored_Yachiyo</t>
  </si>
  <si>
    <t>Yachiyo dons armor bequeathed unto her by her grandfather and sister to settle her score with the Mukuroshu. She now wields her sword as a blade of righteousness to protect those she holds dear.</t>
  </si>
  <si>
    <t>Clear Defensive Battle: Master
(Shadow of the Mukuroshu)</t>
  </si>
  <si>
    <t>Blade</t>
  </si>
  <si>
    <t>Peerless Eternity</t>
  </si>
  <si>
    <t>Blossom Dance</t>
  </si>
  <si>
    <t>Strength +10%</t>
  </si>
  <si>
    <t>(Flame) Scorchrend = Wind Res +8%</t>
  </si>
  <si>
    <t>Unrelenting Blade II</t>
  </si>
  <si>
    <t>Force Strike +50%</t>
  </si>
  <si>
    <t>Force Strike +55%</t>
  </si>
  <si>
    <t>Updated Scorchrend</t>
  </si>
  <si>
    <t>Added Strength Amp (Max Lv. = 3) granted by Peerless Eternity</t>
  </si>
  <si>
    <t>Already present on combo force strike</t>
  </si>
  <si>
    <t>Knockback Immunity</t>
  </si>
  <si>
    <t>Armored Yachiyo was already useful, but never widely adopted. This revision slightly improves her damage and adds a strength amp.</t>
  </si>
  <si>
    <t>110346_01</t>
  </si>
  <si>
    <t>A-013</t>
  </si>
  <si>
    <t>Nobunaga</t>
  </si>
  <si>
    <t>Leader of the Horse Clan</t>
  </si>
  <si>
    <t>https://dragalialost.wiki/w/Nobunaga</t>
  </si>
  <si>
    <t>The leader of the Horse Clan, one of the Twelve Wyrmclans who govern Hinomoto. Replete with determination, Nobunaga longs to become shogun and unite the country beneath her, and will cut down any who get in her way.</t>
  </si>
  <si>
    <t>Clear Ebisu Showdown: Nightmare
(A Clawful Caper)</t>
  </si>
  <si>
    <t>Dream Offensive</t>
  </si>
  <si>
    <t>Flash of Unity</t>
  </si>
  <si>
    <t>(Flame) Combo Time VI</t>
  </si>
  <si>
    <t>Combo Time VI</t>
  </si>
  <si>
    <t>Flurry Strength +20%</t>
  </si>
  <si>
    <t>World's Dream II</t>
  </si>
  <si>
    <t>World's Dream (V3)</t>
  </si>
  <si>
    <t>Added Critical Damage Amp (Max Lv. = 3) granted by any skill</t>
  </si>
  <si>
    <t>Nobunaga was a useful source of dispel early on, but lacked usability due to their absence of afflictions and reliance on maintaining combos. She did have a unique damage-dealing effect with Burning Ambition, but that was unable to take advantage of punisher effects. Scorchrend has been added and abilities have been updated.</t>
  </si>
  <si>
    <t>110264_01</t>
  </si>
  <si>
    <t>A-014</t>
  </si>
  <si>
    <t>Rena</t>
  </si>
  <si>
    <t>Mana Infuser</t>
  </si>
  <si>
    <t>https://dragalialost.wiki/w/Rena</t>
  </si>
  <si>
    <t>The eldest of the three blacksmith sisters, and the smithy's de facto owner. Responsible despite her laid-back nature, she imbues mana into the forge's finished weapons, smiling warmly all the while.</t>
  </si>
  <si>
    <t>Clear The Path to Mastery: Master
(Flames of Reflection)</t>
  </si>
  <si>
    <t>Roaring Furnace</t>
  </si>
  <si>
    <t>Brazier Boost</t>
  </si>
  <si>
    <t>Primed Defense +15%</t>
  </si>
  <si>
    <t>Healing Doublebuff IV</t>
  </si>
  <si>
    <t>Primed Defense &amp; Primed Defense Amp (V3)</t>
  </si>
  <si>
    <t>Doublebuff &amp; Team Defense Amp = HP Regen (V3)</t>
  </si>
  <si>
    <t>Added Defense Amp (Max Lv. = 1) granted by initial skill recharge &amp; Critical Damage Amp (Max Lv. = 1) granted by Brazier Boost</t>
  </si>
  <si>
    <t>Added to Roraring Furnace</t>
  </si>
  <si>
    <t>Rena was dramatically less useful in Curse of Nihility content, which rendered most of her abilities and effects useless. This revision corrects this by introducing defensive amps in addition to defensive buffs. Rena's kit gives some indication that they should have access to a critical damage amp, so that was added as well. By consolidating the Skill Shift and updating generic abilities to V3 standards, Rena is considerably more powerful and does not need any additional offensive abilities.</t>
  </si>
  <si>
    <t>110010_01</t>
  </si>
  <si>
    <t>A-015</t>
  </si>
  <si>
    <t>Mikoto</t>
  </si>
  <si>
    <t>Nature's Avatar</t>
  </si>
  <si>
    <t>https://dragalialost.wiki/w/Mikoto</t>
  </si>
  <si>
    <t>A warrior enlightened through extensive meditation, his mental strength gives him the ability to rend the earth asunder. He joined up on the condition he receives help finding his missing cat, who he views as a true friend.</t>
  </si>
  <si>
    <t>Clear Battle at Mount Adolla: Expert
(The Imperial Onslaught)</t>
  </si>
  <si>
    <t>Ravenous Fire</t>
  </si>
  <si>
    <t>Kindled Heart</t>
  </si>
  <si>
    <t>(Flame) HP 80% = Wind Res +6%</t>
  </si>
  <si>
    <t>Critical Rate +10%</t>
  </si>
  <si>
    <t>Nature's Avatar (V3)</t>
  </si>
  <si>
    <t>None (Bleed Debuff)</t>
  </si>
  <si>
    <t xml:space="preserve">Added Critical Damage Amp (Max Lv. = 1) granted by landing a critical hit </t>
  </si>
  <si>
    <t>Added to force strike when hit count is above 15</t>
  </si>
  <si>
    <t>Mikoto is a strange adventurer, as part of his appeal stems from his stances and the fact that he is a structurally simple adventurer, relying mostly on standard attacks, critical hits, and a single damaging skill. No afflictions, no gimmicks. However, this makes it hard to reimagine Mikoko as a character capable of competing with others. This revision attempts to do this by giving Mikoto dispel for Ravenous Fire and consolidating his stances into a single variation to increase DPS and buff circulation, in addition to a critical damage amp.</t>
  </si>
  <si>
    <t>100032_01</t>
  </si>
  <si>
    <t>A-016</t>
  </si>
  <si>
    <t>Laxi</t>
  </si>
  <si>
    <t>Dissonant Android</t>
  </si>
  <si>
    <t>https://dragalialost.wiki/w/Laxi</t>
  </si>
  <si>
    <t>A combat android created by the Dyrenell Empire and tasked with leading all other androids during the Second War of Binding. After fusing with the heart of Mascula—another android—she now possesses two hearts that share a single body.</t>
  </si>
  <si>
    <t>Clear Ch. 11 6-3 of the Main Campaign
(Normal)</t>
  </si>
  <si>
    <t>Code 07: Combustion Slash</t>
  </si>
  <si>
    <t>Code 04: Limit Breaker</t>
  </si>
  <si>
    <t>(Flame) HP Below 40% = Wind Res +9%</t>
  </si>
  <si>
    <t>Emergency Repairs II</t>
  </si>
  <si>
    <t>System Overload</t>
  </si>
  <si>
    <t>Emergency Repairs (V3)</t>
  </si>
  <si>
    <t>Dissonant Android (V3)</t>
  </si>
  <si>
    <t>Added Strength Amp (Max Lv. = 3) granted by Code 07: Combustion Slash</t>
  </si>
  <si>
    <t>Added as conditional effect to Code 07: Combustion Slash</t>
  </si>
  <si>
    <t>Laxi was always a strange addition to the roster, especially as a story character. She is meant to be a high risk character capable of accessing some powerful strength buffs, but there was never an instance where she was a particularly useful character, due to how severe her handicaps were. This revision takes cues from Undercover Grace in order to make Laxi a more versatile character. This is done by enhancing Emergency Repairs and lowering the penalty for using Code 04: Limit Breaker.</t>
  </si>
  <si>
    <t>110002_01</t>
  </si>
  <si>
    <t>A-017</t>
  </si>
  <si>
    <t>Aoi</t>
  </si>
  <si>
    <t>Impassioned Ninja</t>
  </si>
  <si>
    <t>https://dragalialost.wiki/w/Aoi</t>
  </si>
  <si>
    <t>A cheerful and devoted ninja from another land. Such joy is unusual for one in her line of work, but she also carries deep emotional wounds. Per her master's last request, she's come to the castle in search of a new person to serve.</t>
  </si>
  <si>
    <t>Searing Chakram</t>
  </si>
  <si>
    <t>Foliage Flare</t>
  </si>
  <si>
    <t>(Flame) Burn = User Wind Res +5%</t>
  </si>
  <si>
    <t>Overdrive Punisher +15%</t>
  </si>
  <si>
    <t>Fiery Passion (V3)</t>
  </si>
  <si>
    <t>Added Strength Amp (Max Lv. = 3) granted by any skill</t>
  </si>
  <si>
    <t>Added to Foliage Flare</t>
  </si>
  <si>
    <t>Like many early flame mana spiral adventurers, Aoi was turned into a 'burn bot' with her mana spiral, and because she has such ample access to burn, she was given burn res down on her Skill 2.</t>
  </si>
  <si>
    <t>100044_02</t>
  </si>
  <si>
    <t>A-018</t>
  </si>
  <si>
    <t>Sheila</t>
  </si>
  <si>
    <t>Blazing Auspex</t>
  </si>
  <si>
    <t>https://dragalialost.wiki/w/Sheila</t>
  </si>
  <si>
    <t>After regaining her heart, Sheila has awakened as an Auspex. Though her soul was imprisoned by black mana for an age, her bond with her father brought it back. She then donned an Auspex's garb and set out on a new path.</t>
  </si>
  <si>
    <t>Clear Ch. 24 5-6 of the Main Campaign
(Normal)</t>
  </si>
  <si>
    <t>Dagger</t>
  </si>
  <si>
    <t>Carmine Rush</t>
  </si>
  <si>
    <t>Flame Raid</t>
  </si>
  <si>
    <t>(Flame) Amp = Shapeshift Prep V</t>
  </si>
  <si>
    <t>Amp = Shapeshift Prep V</t>
  </si>
  <si>
    <t>The Way of the Blazewolf II</t>
  </si>
  <si>
    <t>Unyielding Spirit II</t>
  </si>
  <si>
    <t>Royal Steel II</t>
  </si>
  <si>
    <t>Potent Stun &amp; Sleep Res +100% (V3)</t>
  </si>
  <si>
    <t>Updated Defense Amp (Max Lv. = 1) granted by first skill &amp; Updated Critical Damage Amp (Max Lv. = 1) granted by standard attack combo</t>
  </si>
  <si>
    <t>Already present on Flame Raid</t>
  </si>
  <si>
    <t>Sheila was one of the last adventurers released in Dragalia Lost, so she is also one of the best. Nothing about her kit would be materially changed.</t>
  </si>
  <si>
    <t>110345_03</t>
  </si>
  <si>
    <t>A-019</t>
  </si>
  <si>
    <t>Summer Mitsuhide</t>
  </si>
  <si>
    <t>Summertime Mouse</t>
  </si>
  <si>
    <t>https://dragalialost.wiki/w/Summer_Mitsuhide</t>
  </si>
  <si>
    <t>Mitsuhide of the Mouse Clan travels to Alberia's beaches after ditching—er, after taking a toootally sanctioned vacation from her duties. There, she stages a revolution against summer's heat in the name of laziness. Is...that a thing?</t>
  </si>
  <si>
    <t>Clear Defensive Battle: EX
(The Fabled Fortune)</t>
  </si>
  <si>
    <t>Mouse's Summer Revenge</t>
  </si>
  <si>
    <t>Dance of the Cornered Mouse</t>
  </si>
  <si>
    <t>(Flame) Above 10 Hits = Wind Res +10%</t>
  </si>
  <si>
    <t>Squeaky Scramble II</t>
  </si>
  <si>
    <t>Flurry Scorchrent Punisher +35%</t>
  </si>
  <si>
    <t>Squeaky Scramble (V3)</t>
  </si>
  <si>
    <t>Scorchrent Punisher +30% (V3)</t>
  </si>
  <si>
    <t>Updated Strength Amp (Max Lv. = 3) granted by Cornered Mouse</t>
  </si>
  <si>
    <t>Summer Mitsuhide was a powerful unit who was not as widely used due to her limited availability and the popularity of other flame units. Her kit was already good, and the most significant changes are making it easier for her to maintain strength amps and adding the ability to dispel.</t>
  </si>
  <si>
    <t>100032_04</t>
  </si>
  <si>
    <t>A-020</t>
  </si>
  <si>
    <t>Gala Laxi</t>
  </si>
  <si>
    <t>Synchronized Android</t>
  </si>
  <si>
    <t>https://dragalialost.wiki/w/Gala_Laxi</t>
  </si>
  <si>
    <t>As Laxi acquires new power in Eden mode and Mascula resolves to join the fight, the two throw themselves into the raging fires of battle in order to see their maestro's wish fulfilled. Once polar opposites, their hearts now begin to converge.</t>
  </si>
  <si>
    <t>Clear Ch. 14 4-8 of the Main Campaign
(Hard)</t>
  </si>
  <si>
    <t>Code 14: Conviction</t>
  </si>
  <si>
    <t>Eden Mode</t>
  </si>
  <si>
    <t>Standard Attack Damage +20%</t>
  </si>
  <si>
    <t>Resonant Hearts III</t>
  </si>
  <si>
    <t>Mana Kiln III</t>
  </si>
  <si>
    <t>Critical Frenzy III</t>
  </si>
  <si>
    <t>Resonant Hearts (V3)</t>
  </si>
  <si>
    <t>Critical Frenzy (V3)</t>
  </si>
  <si>
    <t>Updated Strength Amp (Max Lv. = 3) granted by landing a 15-hit combo</t>
  </si>
  <si>
    <t>Added to Eden Code 05: Gevurah</t>
  </si>
  <si>
    <t>Gala Laxi becameone of the best flame units since her mana spital in June 2021, and remained near the top until EoS. As such, few additions were added to her kit.</t>
  </si>
  <si>
    <t>110011_01</t>
  </si>
  <si>
    <t>A-021</t>
  </si>
  <si>
    <t>Ezelith</t>
  </si>
  <si>
    <t>Genius of the Century</t>
  </si>
  <si>
    <t>https://dragalialost.wiki/w/Ezelith</t>
  </si>
  <si>
    <t>A young prodigy—as she'll be happy to tell you—who excels in the use of both weapons and mana. Reckless and rather troublesome, her cockiness is rivaled only by her actual skill.</t>
  </si>
  <si>
    <t>Clear Flamehowl Ruins: Expert</t>
  </si>
  <si>
    <t>Howling Meteor</t>
  </si>
  <si>
    <t>Brilliant Inferno</t>
  </si>
  <si>
    <t>Flash of Genius</t>
  </si>
  <si>
    <t>Broken Punisher +35%</t>
  </si>
  <si>
    <t>Flash of Genius (V3)</t>
  </si>
  <si>
    <t>Added Strength Amp (Max Lv. = 1) to Brilliant Inferno &amp; Critical Damage Amp (Max Lv. = 1) to Howling Meteor.</t>
  </si>
  <si>
    <t>Ezelith was a popular unit for cheese/speed clears, but she required care to play in most quests, and lacked much utility beyond raw DPS. This is addressed with the introduction of strength amps, critical damage amps, dispel, and afflictions. </t>
  </si>
  <si>
    <t>110344_01</t>
  </si>
  <si>
    <t>A-022</t>
  </si>
  <si>
    <t>Yuya</t>
  </si>
  <si>
    <t>Rebellious Rider</t>
  </si>
  <si>
    <t>https://dragalialost.wiki/w/Yuya</t>
  </si>
  <si>
    <t>A young ruffian who rides a chariot of his own creation. Though he can be gruff and quick to resort to violence, he has deep respect for anyone he recognizes as truly tough, and is eager to learn from their example.</t>
  </si>
  <si>
    <t>Clear Lv. 30 of The Mercurial Gauntlet in All Elements
(The Mercurial Gauntlet)</t>
  </si>
  <si>
    <t>Deadly Joyride</t>
  </si>
  <si>
    <t>Rowdy Rumbler</t>
  </si>
  <si>
    <t>(Flame) Dragon Haste +18%</t>
  </si>
  <si>
    <t>Chicken at Heart III</t>
  </si>
  <si>
    <t>Primed Devastation +10%</t>
  </si>
  <si>
    <t>Chicken at Heart (V3)</t>
  </si>
  <si>
    <t>Primed Devastation &amp; Primed Critical Damage Amp (V3)</t>
  </si>
  <si>
    <t>Added Defense Amp (Max Lv. = 1) granted by any skill &amp; Critical Damage Amp (Max Lv. = 1) granted by initial skill recharge</t>
  </si>
  <si>
    <t>Added to Deadly Joyride</t>
  </si>
  <si>
    <t>Yuya lacked dispel or afflictions, limiting the content they flourished in, and had penalizing defense down effects to his skills. This revision gave them bleed and dispel in their primary skill along with both critical damage and defense amps.</t>
  </si>
  <si>
    <t>110270_01</t>
  </si>
  <si>
    <t>A-023</t>
  </si>
  <si>
    <t>Melsa</t>
  </si>
  <si>
    <t>Resolute Friend</t>
  </si>
  <si>
    <t>https://dragalialost.wiki/w/Melsa</t>
  </si>
  <si>
    <t>A kind-hearted sylvan girl. While usually something of an aloof loner, her passion flames whenever something important comes up. Anything relating to love, however, tends to send her spiraling into confusion.</t>
  </si>
  <si>
    <t>Clear Melsa's Inkling
(Kindness and Captivity)</t>
  </si>
  <si>
    <t>Heat Impulse</t>
  </si>
  <si>
    <t>Molten Flare</t>
  </si>
  <si>
    <t>(Flame) Above 10 Hits = Wind Res +9%</t>
  </si>
  <si>
    <t>Physian's Bane +25%</t>
  </si>
  <si>
    <t>Flurry Devastation +8%</t>
  </si>
  <si>
    <t>Mighty's Bane +30% (V3)</t>
  </si>
  <si>
    <t>Flurry Slayer's Devastation (V3)</t>
  </si>
  <si>
    <t>Added Defense Amp (Max Lv. = 3) granted by Molten Flare</t>
  </si>
  <si>
    <t>Added to Heat Impulse</t>
  </si>
  <si>
    <t>Melsa was an early welfare adventurer who never received a mana spiral. As such, her kit is incredibly plain, and there is nothing to really build upon. This revision makes her more usable, but her biggest boon is the revised 30% bane. Which is a very substantial buff, as there are barely any Physian bosses in the game.</t>
  </si>
  <si>
    <t>110005_01</t>
  </si>
  <si>
    <t>A-024</t>
  </si>
  <si>
    <t>Renelle</t>
  </si>
  <si>
    <t>Honorable Treasure Hunter</t>
  </si>
  <si>
    <t>https://dragalialost.wiki/w/Renelle</t>
  </si>
  <si>
    <t>An outspoken, confident treasure hunter who takes pride in her work and has the skills to back it up. She seeks a partner who treats her as an equal and loves the thrill of the hunt just as much as she does.</t>
  </si>
  <si>
    <t>Clear Battle at Mount Adolla: Beginner
(The Imperial Onslaught)</t>
  </si>
  <si>
    <t>Flamewhorl</t>
  </si>
  <si>
    <t>Subterfuge</t>
  </si>
  <si>
    <t>(Flame) Above 10 Hits = Wind Res +7%</t>
  </si>
  <si>
    <t>Flurry Devastation +15%</t>
  </si>
  <si>
    <t>Honorable Treasure Hunter (V3)</t>
  </si>
  <si>
    <t>Like many early flame mana spiral adventurers, Renelle was turned into a 'burn bot' with her mana spiral, and because she has such ample access to burn, she was given burn res down on her Skill 2.</t>
  </si>
  <si>
    <t>100042_02</t>
  </si>
  <si>
    <t>A-025</t>
  </si>
  <si>
    <t>Gala Gatov</t>
  </si>
  <si>
    <t>The Blazewolf</t>
  </si>
  <si>
    <t>https://dragalialost.wiki/w/Gala_Gatov</t>
  </si>
  <si>
    <t>Captain of the Watch in Grams. A former mercenary known as the Blazewolf, Gatov was a longtime friend of Aurelius. He now looks after the poor masses of Grams with strength and infinite kindness.</t>
  </si>
  <si>
    <t>Clear Ch. 22 5-2 of the Main Campaign
(Hard)</t>
  </si>
  <si>
    <t>Axe</t>
  </si>
  <si>
    <t>Charge Blade</t>
  </si>
  <si>
    <t>Counter Fang</t>
  </si>
  <si>
    <t>(Flame) Dodge = Strength +10%</t>
  </si>
  <si>
    <t>Dual-Sword Mastery II</t>
  </si>
  <si>
    <t>Unbending Will II</t>
  </si>
  <si>
    <t>Royal Protector II</t>
  </si>
  <si>
    <t>Royal Protector (V3)</t>
  </si>
  <si>
    <t>Updated Defense Amp (Max Lv. = 3) granted by initial skill</t>
  </si>
  <si>
    <t>Already present in Counter Fang</t>
  </si>
  <si>
    <t>Gala Gatov was a late game adventurer and his kit covers all bases in the content offered in this game. Skill damage was rounded up and amps were updated to V3 standards.</t>
  </si>
  <si>
    <t>100003_10</t>
  </si>
  <si>
    <t>A-026</t>
  </si>
  <si>
    <t>Child Ranzal</t>
  </si>
  <si>
    <t>Childlike Mercenary</t>
  </si>
  <si>
    <t>https://dragalialost.wiki/w/Child_Ranzal</t>
  </si>
  <si>
    <t>The great mercenary Ranzal, blasted back to childhood by a magic experiment. His body may be small, but his fighting skill, his sense of justice...and most importantly, his appetite, are very much still large and in charge!</t>
  </si>
  <si>
    <t>Clear All-Out Assault: EX
(Elementary Escapades)</t>
  </si>
  <si>
    <t>Swing for the Fences</t>
  </si>
  <si>
    <t>Grand Slam</t>
  </si>
  <si>
    <t>Defense +15%</t>
  </si>
  <si>
    <t>(Flame) Team Strength Amp = Strength +8%</t>
  </si>
  <si>
    <t>Power Hitter II</t>
  </si>
  <si>
    <t>Strength Amp = Attack Rate +8%</t>
  </si>
  <si>
    <t>Power Hitter (V3)</t>
  </si>
  <si>
    <t>Attack Rate +20% (V3)</t>
  </si>
  <si>
    <t>Updated Strength Amp (Max Lv. = 3) granted by Swing for the Fences and Power Hitter</t>
  </si>
  <si>
    <t>Added to Swing for the Fences</t>
  </si>
  <si>
    <t>Child Ranzal was a debut adventurer for strength amps, and the original implementation of them was limited. Aside from amps and scorchrend, his kit is plain, and he never took off as a commonly used adventurer. This revision updates him to V3 standards and adds dispel, and gives him an attack rate up effect.</t>
  </si>
  <si>
    <t>100010_07</t>
  </si>
  <si>
    <t>A-027</t>
  </si>
  <si>
    <t>Halloween Mym</t>
  </si>
  <si>
    <t>Dragon Temptress</t>
  </si>
  <si>
    <t>https://dragalialost.wiki/w/Halloween_Mym</t>
  </si>
  <si>
    <t>The Flamewyrm, all gussied up for Halloween! She intends to take a bolder approach to romance, but there's not much room for improvement there. Supposedly these new duds allow the wearer to live out their dreams…</t>
  </si>
  <si>
    <t>Clear Halloween Horrors: Expert
(Trick or Treasure!)</t>
  </si>
  <si>
    <t>Charming Trick</t>
  </si>
  <si>
    <t>Tempering Fancy</t>
  </si>
  <si>
    <t>Critical Damage +30%</t>
  </si>
  <si>
    <t>(Flame) Dragon Haste +20%</t>
  </si>
  <si>
    <t>Flamewyrm's Sweet Nature II</t>
  </si>
  <si>
    <t>Draconic Dream II</t>
  </si>
  <si>
    <t>Flamewyrm's Sweet Nature (V3)</t>
  </si>
  <si>
    <t>Draconic Dream (V3)</t>
  </si>
  <si>
    <t xml:space="preserve">Added Critical Damage Amp (Max Lv. = 3) granted by any skill </t>
  </si>
  <si>
    <t>Added to shapeshift</t>
  </si>
  <si>
    <t>Halloween Mym was only ever considered useful due to her large debuff zone, but her offensive capabilities were incredibly limited. This revision doubles the damage of her initial skill, gives her burn and dispel, and evens her kit out slightly.</t>
  </si>
  <si>
    <t>110263_01</t>
  </si>
  <si>
    <t>A-028</t>
  </si>
  <si>
    <t>Ramona</t>
  </si>
  <si>
    <t>Impassioned Blacksmith</t>
  </si>
  <si>
    <t>https://dragalialost.wiki/w/Ramona</t>
  </si>
  <si>
    <t>The middle child of the blacksmith sisters, blessed with the ability to manipulate the temperature of flames. Gruff yet responsible, she leads her sisters in honoring their father's legacy with unyielding passion.</t>
  </si>
  <si>
    <t>Clear Arctos's Trial: Expert
(Flames of Reflection)</t>
  </si>
  <si>
    <t>Forge Buster</t>
  </si>
  <si>
    <t>Smith Shield</t>
  </si>
  <si>
    <t>Primed Strength +10%</t>
  </si>
  <si>
    <t>Strength Doublebuff +13%</t>
  </si>
  <si>
    <t>Primed Strength &amp; Primed Strength Amp (V3)</t>
  </si>
  <si>
    <t>Impassioned Blacksmith (V3)</t>
  </si>
  <si>
    <t>Added Strength Amp (Max Lv. = 1) granted by initial skill recharge &amp; Defense Amp (Max Lv. = 1) granted by Smith Shield</t>
  </si>
  <si>
    <t>Added to Forge Buster</t>
  </si>
  <si>
    <t>Ramona is a fun character to play as due to her unique initial skill, but her lack of affliction or dispel hurt her viability, and her abilities were useless in Nihility content. This revision addresses this by adding affliction, dispel, and two amps.</t>
  </si>
  <si>
    <t>110056_01</t>
  </si>
  <si>
    <t>A-029</t>
  </si>
  <si>
    <t>Yue</t>
  </si>
  <si>
    <t>Hungry Hunter</t>
  </si>
  <si>
    <t>https://dragalialost.wiki/w/Yue</t>
  </si>
  <si>
    <t>An unsophisticated, meat-loving young girl. She grew up in a village of hunters, so her skills in that area are top-notch. Though cheerful and not one to sweat details, Yue is also something of a glutton—and ALWAYS hungry.</t>
  </si>
  <si>
    <t>Clear Golem Strikes
(All Elements)
(Void Battles)</t>
  </si>
  <si>
    <t>Knockout Blow</t>
  </si>
  <si>
    <t>Wild Instinct</t>
  </si>
  <si>
    <t>(Flame) HP Below 40% = Strength +14%</t>
  </si>
  <si>
    <t>Last Defense +60%</t>
  </si>
  <si>
    <t>Recovery Potency +8%</t>
  </si>
  <si>
    <t>Defense +20%</t>
  </si>
  <si>
    <t>Hungry Hunter (V3)</t>
  </si>
  <si>
    <t>Added Defense Amp (Max Lv. = 3) granted by Wild Instinct</t>
  </si>
  <si>
    <t>Added to Knockout Blow</t>
  </si>
  <si>
    <t>Yue's lack of a multi-use affliction, dispel, and penalizing second skill gave her limited utility. This revision gives her access to dispel and an affliction, in addition to an HP UP buff, while removing the defeased defense penalty.</t>
  </si>
  <si>
    <t>110007_01</t>
  </si>
  <si>
    <t>A-030</t>
  </si>
  <si>
    <t>Vanessa</t>
  </si>
  <si>
    <t>Red-Haired Warrior</t>
  </si>
  <si>
    <t>https://dragalialost.wiki/w/Vanessa</t>
  </si>
  <si>
    <t>A warrior who fights to become the strongest in the land. Never having known defeat, she feels she must experience it in order to grow further. She claims to have come to the castle to fight an incredible female knight she's met before.</t>
  </si>
  <si>
    <t>Clear The Mercurial Gauntlet
(Flame): Lv. 20
(The Mercurial Gauntlet)</t>
  </si>
  <si>
    <t>Scarlet Geyser</t>
  </si>
  <si>
    <t>Crimson Impact</t>
  </si>
  <si>
    <t>(Flame) HP 60% = Strength +5%</t>
  </si>
  <si>
    <t>Scarlet Warrior</t>
  </si>
  <si>
    <t>Last Offense +60%</t>
  </si>
  <si>
    <t>Scarlet Warrior (V3)</t>
  </si>
  <si>
    <t>Added to force strike when Scarlet Warrior is active</t>
  </si>
  <si>
    <t>Like many adventurers, Vanessa lacked any afflictions or dispel to make her usable in later endgame content, and this revision addresses this by adding burn and dispel on her enhanced force strike. Combined with her knockback immunity, a strength amp, and improved ability 3, this makes her a far more versatile adventurer.</t>
  </si>
  <si>
    <t>110378_01</t>
  </si>
  <si>
    <t>A-031</t>
  </si>
  <si>
    <t>Panther</t>
  </si>
  <si>
    <t>Dancing Panther</t>
  </si>
  <si>
    <t>https://dragalialost.wiki/w/Panther</t>
  </si>
  <si>
    <t>A kindhearted girl who associated with the lecherous Suguru Kamoshida in order to protect her best friend. After awakening to her Persona, Carmen, she joined the Phantom Thieves and resolved to rid society of corrupt adults.</t>
  </si>
  <si>
    <t>Clear Monarch Emile Clash: Nightmare
(Persona 5 Strikers Caged Desire)</t>
  </si>
  <si>
    <t>Lance</t>
  </si>
  <si>
    <t>Wildfire</t>
  </si>
  <si>
    <t>Feel the Heat</t>
  </si>
  <si>
    <t>Scorchrend Boost V</t>
  </si>
  <si>
    <t>(Flame) Flame Dancer V</t>
  </si>
  <si>
    <t>Dragon Time +20%</t>
  </si>
  <si>
    <t>Dancing Panther II</t>
  </si>
  <si>
    <t>Scorchrend = Flame Damage II</t>
  </si>
  <si>
    <t>Dancing Panther (V3)</t>
  </si>
  <si>
    <t>Transferred from Feel the Heat to all skills</t>
  </si>
  <si>
    <t>Panther was released at an odd time for the flame element and was largely overshadowed by adventurers like Gala Leonidas after the release of Sinister Dominion content. To counter this, she was given access to a strength amp, her dispel was moved to her initial skill, her flame res down was made unconditional, and she was given scorchrend res down, because her kit meaningfully relies on inflicting scorchrend.</t>
  </si>
  <si>
    <t>100002_15</t>
  </si>
  <si>
    <t>A-032</t>
  </si>
  <si>
    <t>Kimono Elisanne</t>
  </si>
  <si>
    <t>Crimson Paladyn</t>
  </si>
  <si>
    <t>https://dragalialost.wiki/w/Kimono_Elisanne</t>
  </si>
  <si>
    <t>Eager to enjoy a quiet, reflective year-end, Elisanne dresses in the finest of traditional New Year's kimonos from Hinomoto. But fate has other plans, and what follows is a whirlwind of altercations, accidents, and AAAWKWARD.</t>
  </si>
  <si>
    <t>Clear Exhibition Match: EX
(Fortune's Fray)</t>
  </si>
  <si>
    <t>Lady Nonpareil</t>
  </si>
  <si>
    <t>Lucky Day</t>
  </si>
  <si>
    <t>HP on Revival +30%</t>
  </si>
  <si>
    <t>(Flame) Combo = Critical Rate V</t>
  </si>
  <si>
    <t>Good Tidings II</t>
  </si>
  <si>
    <t>Skill Prep +100%</t>
  </si>
  <si>
    <t>Good Tidings (V3)</t>
  </si>
  <si>
    <t>Skill Prep +100% &amp; Skill Charge</t>
  </si>
  <si>
    <t>Added Defense Amp (Max Lv. = 1) granted by Lady Nonpareil</t>
  </si>
  <si>
    <t>Kimono Elisanne was an amazing utility adventurer and core part of many endgame flame teams following her debut. Due to this, she was only given direct upgrades. The inclusion of a team defense amp activated by her first skill, upgrading Lucky Day so it can reliably inflict scorchrend, and updating skill prep to V3 standards.</t>
  </si>
  <si>
    <t>110357_01</t>
  </si>
  <si>
    <t>A-033</t>
  </si>
  <si>
    <t>Nadine</t>
  </si>
  <si>
    <t>Selfie Addict</t>
  </si>
  <si>
    <t>https://dragalialost.wiki/w/Nadine</t>
  </si>
  <si>
    <t>An eccentric girl who arrived at the Halidom after a whimsical journey to sightseeing spots around the world. She enjoys capturing images with a magical device from another world, and insists on taking "selfies" with all of her friends.</t>
  </si>
  <si>
    <t>Clear All-Out Assault: Master
(Nadine and Linnea's United Front)</t>
  </si>
  <si>
    <t>Snappy Selfie</t>
  </si>
  <si>
    <t>Careful Composition</t>
  </si>
  <si>
    <t>HP +15%</t>
  </si>
  <si>
    <t>(Flame) Burn = User Strength +13%</t>
  </si>
  <si>
    <t>Extra Energy III</t>
  </si>
  <si>
    <t>Energized: Strength +20%</t>
  </si>
  <si>
    <t>Extra Energy (V3)</t>
  </si>
  <si>
    <t>Added Strength Amp (Max Lv. = 3) granted by Careful Composition</t>
  </si>
  <si>
    <t>Already present on Snappy Selfie</t>
  </si>
  <si>
    <t>Energy Immune to Nihility</t>
  </si>
  <si>
    <t>Nadine's kit was always good, having ready access to dispel and afflictions, but as an energy-based adventurer, she was heavily nerfed by Curse of Nihility. Because of how reliant her kit is on energy, Nadine's energy levels will no longer be affected by Curse of Nihility. In addition, she was given a strength amp on her second skill, and the more random elements of her kit have been made consistent. </t>
  </si>
  <si>
    <t>100010_04</t>
  </si>
  <si>
    <t>A-034</t>
  </si>
  <si>
    <t>Gala Mym</t>
  </si>
  <si>
    <t>Lovestruck Dragon</t>
  </si>
  <si>
    <t>https://dragalialost.wiki/w/Gala_Mym</t>
  </si>
  <si>
    <t>The Flamewyrm Brunhilda, who assumed a human form to be closer to her darling, the prince. Her love knows no bounds, and burns hotter than even her own fierce blazes.</t>
  </si>
  <si>
    <t>Clear Ch. 08 5-3 of the Main Campaign
(Hard)</t>
  </si>
  <si>
    <t>Dragon Claw</t>
  </si>
  <si>
    <t>Flames of Passion</t>
  </si>
  <si>
    <t>(Flame) Dragon's Claws VI</t>
  </si>
  <si>
    <t>Flamewyrm's Nature III</t>
  </si>
  <si>
    <t>Flamewyrm's Defiance III</t>
  </si>
  <si>
    <t>Dragon Time +25%</t>
  </si>
  <si>
    <t>Flamewyrm's Nature (V3)</t>
  </si>
  <si>
    <t>Flamewyrm's Defiance (V3)</t>
  </si>
  <si>
    <t>Updated Strength Amp (Max Lv. = 3) granted by any skill</t>
  </si>
  <si>
    <t>Already present on Dragon's Claw</t>
  </si>
  <si>
    <t>Gala Mym was an excellent adventurer after her Mana Spiral, so there is little to improve. Updated amps and afflictions to V3 standards.</t>
  </si>
  <si>
    <t>110260_01</t>
  </si>
  <si>
    <t>A-035</t>
  </si>
  <si>
    <t>Emma</t>
  </si>
  <si>
    <t>Encouraging Cheerleader</t>
  </si>
  <si>
    <t>https://dragalialost.wiki/w/Emma</t>
  </si>
  <si>
    <t>A sunny cheerleader who rallies the competitors in Apollonia. She sees cheering as her life's work, and travels the world carrying it out. Anytime she's unable to cheer, she tends to feel rather low.</t>
  </si>
  <si>
    <t>Clear Smoldering Manticore Strike
(Void Battles)</t>
  </si>
  <si>
    <t>Pom-pom Pump</t>
  </si>
  <si>
    <t>Vigorous Defense</t>
  </si>
  <si>
    <t>Buff Skill Time +25%</t>
  </si>
  <si>
    <t>Primed Strength +5%</t>
  </si>
  <si>
    <t>Encouraging Cheerleader (V3)</t>
  </si>
  <si>
    <t>Added Strength Amp (Max Lv. = 1) granted by initial skill recharge &amp; Team Defense Amp (Max Lv. = 1) granted by Vigorous Defense</t>
  </si>
  <si>
    <t>Knockback Immunity &amp; HP Up</t>
  </si>
  <si>
    <t>Emma was a good support adventurer for early flame content, but she was made almost useless in Curse of Nihility content. This revision adds strength and defense amps, dispel on force strike, and a permanent strength increase. These features are present on other adventurers, but at least it makes her more usable.</t>
  </si>
  <si>
    <t>110299_01</t>
  </si>
  <si>
    <t>A-036</t>
  </si>
  <si>
    <t>Xuan Zang</t>
  </si>
  <si>
    <t>Erudite Sealer</t>
  </si>
  <si>
    <t>https://dragalialost.wiki/w/Xuan_Zang</t>
  </si>
  <si>
    <t>A Qilin sealer on a journey to seal dangerous ancient relics. Though generally kind, her anger can be fearsome—something her student Wu Kong knows better than most.</t>
  </si>
  <si>
    <t>Clear Cyclops Assault: Expert
(Echoes of Antiquity)</t>
  </si>
  <si>
    <t>Flame Incursion</t>
  </si>
  <si>
    <t>Heaven's Binding</t>
  </si>
  <si>
    <t>Demihuman's Bane +25%</t>
  </si>
  <si>
    <t>HP 70% = Critical Rate +6%</t>
  </si>
  <si>
    <t>Erudite Sealer (V3)</t>
  </si>
  <si>
    <t>Added to Heaven's Binding</t>
  </si>
  <si>
    <t>As an event welfare adventurer with no dispel or afflictions, Xuan Zang had very limited versatility in all content, and her debuffs relied on chance to be effective. This revision increases skill damage, adds bleed, makes debuffs more powerful and consistent, adds dispel, boosts her DPS with Mighty Bane, and makes her debuff punisher more powerful.</t>
  </si>
  <si>
    <t>110001_01</t>
  </si>
  <si>
    <t>A-037</t>
  </si>
  <si>
    <t>Alain</t>
  </si>
  <si>
    <t>Captain Craven</t>
  </si>
  <si>
    <t>https://dragalialost.wiki/w/Alain</t>
  </si>
  <si>
    <t>A strangely determined knight who specializes in retreating through detailed preparation and planning. He views fleeing not as cowardice but rather his own unique approach to war.</t>
  </si>
  <si>
    <t>Clear Flamehowl Ruins: Standard</t>
  </si>
  <si>
    <t>Noble Flame</t>
  </si>
  <si>
    <t>Blazing Rondel</t>
  </si>
  <si>
    <t>(Flame) HP Below 40% = Strength +12%</t>
  </si>
  <si>
    <t>Last Defense +100%</t>
  </si>
  <si>
    <t>Captain Craven (V3)</t>
  </si>
  <si>
    <t>Added to Blazing Rondel</t>
  </si>
  <si>
    <t>Like many early flame mana spiral adventurers, Alain was turned into a 'burn bot' with his mana spiral, and because she has such ample access to burn, he was given burn res down on his Skill 2.</t>
  </si>
  <si>
    <t>100005_08</t>
  </si>
  <si>
    <t>A-038</t>
  </si>
  <si>
    <t>Summer Alex</t>
  </si>
  <si>
    <t>Shimmering Guardian</t>
  </si>
  <si>
    <t>https://dragalialost.wiki/w/Summer_Alex</t>
  </si>
  <si>
    <t>Attired in airy aquatic apparel, Alex sets out for her first-ever vacation alongside her dear friend Elisanne. The sun shines at last on this girl once veiled in darkness, lighting the way for her to make irreplaceable summer memories.</t>
  </si>
  <si>
    <t>Clear The Stirring Abyss: Expert
(Toll of the Deep)</t>
  </si>
  <si>
    <t>Bow</t>
  </si>
  <si>
    <t>Tropical Snipe</t>
  </si>
  <si>
    <t>Burning Bonds</t>
  </si>
  <si>
    <t>Skill Haste +15%</t>
  </si>
  <si>
    <t>Flurry Scorchrend Edge &amp; Sting II</t>
  </si>
  <si>
    <t>Strength Amp = Scorchrend Edge &amp; Sting II</t>
  </si>
  <si>
    <t>Flurry Strength &amp; Scorchrend Edge/Sting (V3)</t>
  </si>
  <si>
    <t>Updated Strength Amp (Max Lv. = 3) granted by Burning Bonds</t>
  </si>
  <si>
    <t>Added to Burning Bonds</t>
  </si>
  <si>
    <t>Summer Alex was largely a scorchrend bot, but her ability to inflict scorchrend res down was overshadowed by Kimono Elisanne. Despite this, her kit is still functional. As part of this revision, Tropical Snipe was made simpler and more powerful, eliminating a skill timing issue, and dispel was added to Burning Bonds. Her first ability was also updated to the standards of Gala Leif. Her second ability was copied from Summer Mitsuhide for more damage.</t>
  </si>
  <si>
    <t>110342_01</t>
  </si>
  <si>
    <t>A-039</t>
  </si>
  <si>
    <t>Chelsea</t>
  </si>
  <si>
    <t>Obvious Admirer</t>
  </si>
  <si>
    <t>https://dragalialost.wiki/w/Chelsea</t>
  </si>
  <si>
    <t>A sylvan girl obsessed with Luca (or "Luccy"). She sticks to him like a shadow, and doesn't seem to know when to stop. That can all be quite tiresome, but she must have a good reason, right?</t>
  </si>
  <si>
    <t>Clear Ghost Strikes
(All Elements)
(Void Battles)</t>
  </si>
  <si>
    <t>Love's Liberation</t>
  </si>
  <si>
    <t>Bruiser Bliss</t>
  </si>
  <si>
    <t>(Flame) HP Below 40% = Shield VI</t>
  </si>
  <si>
    <t>HP Below 40% = Shield VI</t>
  </si>
  <si>
    <t>HP Below 30% = Strength &amp; Attack Rate III</t>
  </si>
  <si>
    <t>Obsessive Love II</t>
  </si>
  <si>
    <t>Obsessive Love (V3)</t>
  </si>
  <si>
    <t>Added to Love's Liberation</t>
  </si>
  <si>
    <t>Ideally, Chelsea would be rebuilt around the standards of the overall superior Valentine's Chelsea. However, this revision is a compromise with the original adventurer's kit. Bleeding was given to Love's Liberation to reference her yandere character archetype, dispel was added as a conditional effect to avoid creating a low cost shared skill that inflicts bleed and dispel. The penalty effects and boon were revised under V3 standards.</t>
  </si>
  <si>
    <t>100029_02</t>
  </si>
  <si>
    <t>A-040</t>
  </si>
  <si>
    <t>Gala Sarisse</t>
  </si>
  <si>
    <t>The Crimson Star</t>
  </si>
  <si>
    <t>https://dragalialost.wiki/w/Gala_Sarisse</t>
  </si>
  <si>
    <t>An archer from Woodhaven whose skills are equal to her brother, Luca. Rowdy and loud, her special move is a crushing punch that Luca has experienced more than once. She left her village to fight fiends and provide aid to all in need.</t>
  </si>
  <si>
    <t>Clear Ch. 06 4-3 of the Main Campaign
(Hard)</t>
  </si>
  <si>
    <t>Brilliant Bolt</t>
  </si>
  <si>
    <t>Cheerful Assist</t>
  </si>
  <si>
    <t>(Flame) Combo = Energy Level Up VI</t>
  </si>
  <si>
    <t>Combo = Energy Level Up VI</t>
  </si>
  <si>
    <t>Sylvan Strength III</t>
  </si>
  <si>
    <t>Woodland Blessing III</t>
  </si>
  <si>
    <t>Sylvan Strength (V3)</t>
  </si>
  <si>
    <t>Updated Strength Amp (Max Lv. = 3) &amp; Defense Amp (Max Lv. = 3) granted by Cheerful Assist</t>
  </si>
  <si>
    <t>Already present on Brilliant Bolt</t>
  </si>
  <si>
    <t>Gala Sarisse's Mana Spiral broke certain rules for amps that inspired the V3 standards, so her revision is minor and mostly simplifies her kit by removing the two forms of Cheerful Assist, lightly upgrading her first ability, and nerfing her burn slightly.</t>
  </si>
  <si>
    <t>110011_02</t>
  </si>
  <si>
    <t>A-041</t>
  </si>
  <si>
    <t>Valentine's Ezelith</t>
  </si>
  <si>
    <t>Stunning Sweetheart</t>
  </si>
  <si>
    <t>https://dragalialost.wiki/w/Valentine's_Ezelith</t>
  </si>
  <si>
    <t>Even the Halidom's resident genius has to dress up for a cute event like Valentine's. Though she's still as snarky and confident as ever, the spirit of the event has caused feelings of gratefulness and love to take hold within her as well.</t>
  </si>
  <si>
    <t>Participate in the Event
(Valentine's Confections)</t>
  </si>
  <si>
    <t>Floral Explosion</t>
  </si>
  <si>
    <t>Piercing Rose</t>
  </si>
  <si>
    <t>(Flame) Burn = User Wind Res +7%</t>
  </si>
  <si>
    <t>35 Hits = Energy Level Up</t>
  </si>
  <si>
    <t>Broken Punisher +20%</t>
  </si>
  <si>
    <t>Stunning Sweetheart (V3)</t>
  </si>
  <si>
    <t>Added to Floral Explosion</t>
  </si>
  <si>
    <t>Valentine's Ezelith had low utility, and this revision adds the minimum to make her more usable in most content. Skills were upgraded, dispel was added, and abilities were upgraded to be more usable, and gauge accelerator was added to make better use of broken punisher. Defense amp was added because she is a support unit.</t>
  </si>
  <si>
    <t>110003_01</t>
  </si>
  <si>
    <t>A-042</t>
  </si>
  <si>
    <t>Joe</t>
  </si>
  <si>
    <t>Fire's Fletcher</t>
  </si>
  <si>
    <t>https://dragalialost.wiki/w/Joe</t>
  </si>
  <si>
    <t>A mercenary who has survived fights in all corners of the world. His unrivaled skill and experience earned him fame but also caused him to lose sight of his purpose. Life is nothing but a chip to bet with for this solitary bowman.</t>
  </si>
  <si>
    <t>Quillstorm</t>
  </si>
  <si>
    <t>Burning Arrow</t>
  </si>
  <si>
    <t>(Flame) Burning Edge +40%</t>
  </si>
  <si>
    <t>Burning Edge +50%</t>
  </si>
  <si>
    <t>Full HP = Burn +70%</t>
  </si>
  <si>
    <t>Flurry Strength &amp; Burn Edge/Sting (V3)</t>
  </si>
  <si>
    <t>Fire's Fletcher (V3)</t>
  </si>
  <si>
    <t>Added to Quilstorm</t>
  </si>
  <si>
    <t>Like many early flame mana spiral adventurers, Joe was turned into a 'burn bot' with his mana spiral, and because he has such ample access to burn, he was given burn res down on his Skill 2.</t>
  </si>
  <si>
    <t>100004_19</t>
  </si>
  <si>
    <t>A-043</t>
  </si>
  <si>
    <t>Yukata Cleo</t>
  </si>
  <si>
    <t>Festival Belle</t>
  </si>
  <si>
    <t>https://dragalialost.wiki/w/Yukata_Cleo</t>
  </si>
  <si>
    <t>Cleo dons something breezier to run a candied apple stand at the summer festival. Her sweet, refreshing treats have debuted to rave reviews, but some customers find the quaint proprietress herself to be the real main attraction.</t>
  </si>
  <si>
    <t>Clear All-Out Assault: Master
(Drifting Sorrows)</t>
  </si>
  <si>
    <t>Wand</t>
  </si>
  <si>
    <t>Festival Mirage</t>
  </si>
  <si>
    <t>Carnival of Confusion</t>
  </si>
  <si>
    <t>Skill Damage +15%</t>
  </si>
  <si>
    <t>Festival Fever II</t>
  </si>
  <si>
    <t>Dynamic Defense II</t>
  </si>
  <si>
    <t>Festival Fever (V3)</t>
  </si>
  <si>
    <t>Dynamic Defense (V3)</t>
  </si>
  <si>
    <t>Updated Defense Amp (Max Lv. = 3) granted by Carnival of Confusion</t>
  </si>
  <si>
    <t>Added to Carnival of Confusion</t>
  </si>
  <si>
    <t>Debuff Zone</t>
  </si>
  <si>
    <t>Yukata Cleo is an odd adventurer as her kit is based on debuff zones rather than any affliction. This revision does not change the debuff zones themselves, but upgrades everything around them. Better skill damage, new amps, better buff for being in two debuff zones, addition of dispel, and improving skill fill gauges</t>
  </si>
  <si>
    <t>110375_01</t>
  </si>
  <si>
    <t>A-044</t>
  </si>
  <si>
    <t>Seimei</t>
  </si>
  <si>
    <t>Leader of the Ox Clan</t>
  </si>
  <si>
    <t>https://dragalialost.wiki/w/Seimei</t>
  </si>
  <si>
    <t>The leader of the Ox Wyrmclan, one of the twelve that rule the eastern island nation of Hinomoto. He is a genius onmyoji—a wielder of a magical power called onmyodo. Highly skilled, he prefers to work alone. Gozu Tenno is his pactwyrm.</t>
  </si>
  <si>
    <t>Clear Shikigami Clash: Expert
(Cursed Connections)</t>
  </si>
  <si>
    <t>Onmyoji Incantation</t>
  </si>
  <si>
    <t>Onmyodo Exorcism</t>
  </si>
  <si>
    <t>Overdrive Punisher &amp; Gauge Accelerator VIII</t>
  </si>
  <si>
    <t>(Flame) Combo = Buff Skill Time +15%</t>
  </si>
  <si>
    <t>Buff Skill Time +15%</t>
  </si>
  <si>
    <t>Master of Shikigami II</t>
  </si>
  <si>
    <t>Shikigami Vivifier II</t>
  </si>
  <si>
    <t>Shikigami Vivifier (V3)</t>
  </si>
  <si>
    <t>Already present on Onmyado Exorcism</t>
  </si>
  <si>
    <t>Seimei was not a bad adventurer, and this revision just makes him a bit more usable. His skills were slightly altered and his third ability received a minor buff. Arguably, his unique standard attack should be updated to be more powerful, but that is beyond the scope of V3 Re;Works.</t>
  </si>
  <si>
    <t>110053_03</t>
  </si>
  <si>
    <t>A-045</t>
  </si>
  <si>
    <t>Incognito Nefaria</t>
  </si>
  <si>
    <t>Yearning Queen</t>
  </si>
  <si>
    <t>https://dragalialost.wiki/w/Incognito_Nefaria</t>
  </si>
  <si>
    <t>Nefaria disguised so she can meet with the descendants of her desert kingdom. She's working VERY hard to emulate Nadine's earnest attitude and mannerisms, but it's all coming out a bit...er...messy.</t>
  </si>
  <si>
    <t>Clear Defensive Battle: Master
(Sands of Revelation)</t>
  </si>
  <si>
    <t>Girls' Night Out</t>
  </si>
  <si>
    <t>Ancient Incandescence</t>
  </si>
  <si>
    <t>Critical Hit = Critical Damage II</t>
  </si>
  <si>
    <t>Skill Damage +30%</t>
  </si>
  <si>
    <t>Critical Hit = Critical Damage (V3)</t>
  </si>
  <si>
    <t>Yearning Queen (V3)</t>
  </si>
  <si>
    <t>Added Critical Damage Amp (Max Lv. = 1) granted by any skill</t>
  </si>
  <si>
    <t>Added to Girls' Night Out</t>
  </si>
  <si>
    <t>Incognito Nefaria was a nice adventurer mostly used for joking or meme clears due to the massive damage potential of Ancient Incandescence. Added dispel to Girls' Night Out and added a critical damage amp based on first ability. Increased damage of skills and skill damage to make her more of a tank.</t>
  </si>
  <si>
    <t>110354_01</t>
  </si>
  <si>
    <t>A-046</t>
  </si>
  <si>
    <t>Mega Man</t>
  </si>
  <si>
    <t>Kindly Android</t>
  </si>
  <si>
    <t>https://dragalialost.wiki/w/Mega_Man</t>
  </si>
  <si>
    <t>A kind-hearted robot, originally created to be Dr. Light's lab assistant. In the wake of Dr. Wily's treachery, Mega Man volunteered to be redesigned for combat, and with his Mega Buster he's a match for any degree of evil!</t>
  </si>
  <si>
    <t>Participate in the Event
(Mega Man Chaos Protocol)</t>
  </si>
  <si>
    <t>Metal Blade</t>
  </si>
  <si>
    <t>Leaf Shield</t>
  </si>
  <si>
    <t>L.S. Reactor II</t>
  </si>
  <si>
    <t>Gauge Accelerator +35%</t>
  </si>
  <si>
    <t>L.S. Reactor (V3)</t>
  </si>
  <si>
    <t>Gauge Accelerator +40%</t>
  </si>
  <si>
    <t xml:space="preserve">Added Strength Amp (Max Lv. = 1) granted by landing a critical hit </t>
  </si>
  <si>
    <t>Mega Man was a crossover character with a limited life outside of his initial event. Treating him as an event welfare character, he was given boosted damage against most non-dragon boss types to increase his usability in content. Skills have also been upgraded slightly and dispel force strikes have been added.</t>
  </si>
  <si>
    <t>110032_02</t>
  </si>
  <si>
    <t>A-047</t>
  </si>
  <si>
    <t>Student Maribelle</t>
  </si>
  <si>
    <t>Outgoing Student</t>
  </si>
  <si>
    <t>https://dragalialost.wiki/w/Student_Maribelle</t>
  </si>
  <si>
    <t>A wand-wielding girl from the forest, decked out in a new uniform and ready for school. She can bring her bunnies and squirrels along, but the bears have to stay home.</t>
  </si>
  <si>
    <t>Clear Hermit Strikes
(All Elements)
(Void Battles)</t>
  </si>
  <si>
    <t>Study Break</t>
  </si>
  <si>
    <t>Happy Memories</t>
  </si>
  <si>
    <t>Full HP = Skill Damage +40%</t>
  </si>
  <si>
    <t>Broken Punisher +30%</t>
  </si>
  <si>
    <t>Skill Damage +40% (V3)</t>
  </si>
  <si>
    <t>Added Strength Amp (Max Lv. = 3) granted by Happy Memories</t>
  </si>
  <si>
    <t>Added to Study Break</t>
  </si>
  <si>
    <t>Student Maribelle was never a particularly useful adventurer due to her lack of afflictions, dispel, or anything unique beyond her defense down debuff. This revision doubles the effectiveness of the debuff, makes her skill damage unconditional, and gives her both dispel and scorchrend.</t>
  </si>
  <si>
    <t>110009_01</t>
  </si>
  <si>
    <t>Sinoa</t>
  </si>
  <si>
    <t>Intrepid Scholar</t>
  </si>
  <si>
    <t>https://dragalialost.wiki/w/Sinoa</t>
  </si>
  <si>
    <t>A scholar dedicated to science and magic. Explosions always seem to accompany her experiments, which got her expelled from the magic academy. Her work continues at the Halidom, where her hobby is staring at clocks.</t>
  </si>
  <si>
    <t>Clear The Mercurial Gauntlet
(Flame): Lv. 40
(The Mercurial Gauntlet)</t>
  </si>
  <si>
    <t>Custom Concoction</t>
  </si>
  <si>
    <t>Blundering Bomber</t>
  </si>
  <si>
    <t>(Flame) HP 80% = Wind Res +5%</t>
  </si>
  <si>
    <t>Full HP = Strength +13%</t>
  </si>
  <si>
    <t>Buff Skill Time +20%</t>
  </si>
  <si>
    <t>Intrepid Scholar (V3)</t>
  </si>
  <si>
    <t>Added Strength Amp (Max Lv. = 1) &amp; Defense Amp (Max Lv. = 1) granted by Custom Concotion</t>
  </si>
  <si>
    <t>Added to Burning Bomber</t>
  </si>
  <si>
    <t>Sinoa was mostly useful due to her ability to grant an HP up effect, but had little application beyond this niche, due to her lack of consistent buffs, afflictions, or dispel. This revision changes that, boosts her buff skills and strength, and removes the random elements of her kit.</t>
  </si>
  <si>
    <t>110004_01</t>
  </si>
  <si>
    <t>A-049</t>
  </si>
  <si>
    <t>Xania</t>
  </si>
  <si>
    <t>Meandering Mage</t>
  </si>
  <si>
    <t>https://dragalialost.wiki/w/Xania</t>
  </si>
  <si>
    <t>A determined young woman who seeks to finish the book of magic her father left her. She thinks she'll understand the meaning of her life once she comprehends the words he wrote in the book: "Life is the endless struggle for peace."</t>
  </si>
  <si>
    <t>Clear Flamehowl Ruins: Beginner</t>
  </si>
  <si>
    <t>Ivyblaze</t>
  </si>
  <si>
    <t>Pyreblossom</t>
  </si>
  <si>
    <t>Skill Damage +35%</t>
  </si>
  <si>
    <t>Meandering Mage (V3)</t>
  </si>
  <si>
    <t>Added to Pyreblossom</t>
  </si>
  <si>
    <t>Like many early flame mana spiral adventurers, Xania was turned into a 'burn bot' with her mana spiral, and because she has such ample access to burn, she was given burn res down on her Skill 2.</t>
  </si>
  <si>
    <t>110399_01</t>
  </si>
  <si>
    <t>A-050</t>
  </si>
  <si>
    <t>Ayaha &amp; Otoha</t>
  </si>
  <si>
    <t>Twin Wings of Freedom</t>
  </si>
  <si>
    <t>https://dragalialost.wiki/w/Ayaha_&amp;_Otoha</t>
  </si>
  <si>
    <t>Twin sisters who were once part of Agito. Ayaha has black hair, Otoha white—and though both are innocent and cruel, they believe their brand of freedom is the only correct one. They have been acting of their own accord since Agito's end.</t>
  </si>
  <si>
    <t>Clear Ayaha &amp; Otoha's Wrath: Master
(The Agito Uprising)</t>
  </si>
  <si>
    <t>Staff</t>
  </si>
  <si>
    <t>Nabe Nabe Sokonuke</t>
  </si>
  <si>
    <t>Onigokko &amp; Kagome Kagome</t>
  </si>
  <si>
    <t>Dragon Damage +20%</t>
  </si>
  <si>
    <t>Union II</t>
  </si>
  <si>
    <t>Warabe Asobi II</t>
  </si>
  <si>
    <t>Tosenbo &amp; Toryanse II</t>
  </si>
  <si>
    <t>Updated Burn &amp; Scorchrend</t>
  </si>
  <si>
    <t>No changes to Strength Amp (Max Lv. = 1) granted by Nabe Nabe Sokonuke, Onigokko, or Kagome Kagome</t>
  </si>
  <si>
    <t>Burn Res Down &amp; Scorchrend Res Down &amp; HP Up &amp; Overdamage</t>
  </si>
  <si>
    <t>Increased damage numbers slightly, boosted recovery rate to nearest increment of ten, and updated afflictions. No other changes needed, Ayaha &amp; Otoha was already one of the best adventurers in the game.</t>
  </si>
  <si>
    <t>110374_01</t>
  </si>
  <si>
    <t>A-051</t>
  </si>
  <si>
    <t>Kuzunoha</t>
  </si>
  <si>
    <t>Outfoxed Fox</t>
  </si>
  <si>
    <t>https://dragalialost.wiki/w/Kuzunoha</t>
  </si>
  <si>
    <t>Seimei's Hinomotoan assistant. She has foxlike ears and a tail, and speaks in a peculiar way— and though curious and affable, she's also prone to bouts of foolery. After training under Seimei, she now has a rough grasp of onmyodo magic.</t>
  </si>
  <si>
    <t>Clear Through the Barrier
(Cursed Connections)</t>
  </si>
  <si>
    <t>Healing</t>
  </si>
  <si>
    <t>Vivifying Star</t>
  </si>
  <si>
    <t>Fox's Curse</t>
  </si>
  <si>
    <t>Recovery Potency +20%</t>
  </si>
  <si>
    <t>(Flame) Onmyo Combo Time V</t>
  </si>
  <si>
    <t>Wind Res +20%</t>
  </si>
  <si>
    <t>Full HP = Strength +20%</t>
  </si>
  <si>
    <t>None (Healer)</t>
  </si>
  <si>
    <t>Added Defense Amp (Max Lv. = 3) granted by Fox's Curse</t>
  </si>
  <si>
    <t>Kuzunoha was always a poor healer due to her lack of regen skills and a secondary skill with a limited application. Her second skill was completely replaced with a regen skill, and her overdamage was updated to V3 standards. Defense amp was added to accommodate for her limited regen and due to the presence of the strength boosting ability.</t>
  </si>
  <si>
    <t>110337_03</t>
  </si>
  <si>
    <t>A-052</t>
  </si>
  <si>
    <t>Yukata Cassandra</t>
  </si>
  <si>
    <t>Summer Sorceress</t>
  </si>
  <si>
    <t>https://dragalialost.wiki/w/Yukata_Cassandra</t>
  </si>
  <si>
    <t>Garbed in a nostalgic yukata, the former court sorceress soothes wandering souls with her staff of healing. What drives her to wreathe herself in such bittersweet memories? Does she seek to overcome old regrets, or is her objective new?</t>
  </si>
  <si>
    <t>Clear All-Out Assault: Master
(Twinkling Twilight)</t>
  </si>
  <si>
    <t>Goldfish of the Hereafter</t>
  </si>
  <si>
    <t>Ritual of Soul Cleansing</t>
  </si>
  <si>
    <t>(Flame) Taking Damage = Strength +13%</t>
  </si>
  <si>
    <t>Skill 2 Filled = Strength +35%</t>
  </si>
  <si>
    <t>Summer Sorceress (V3)</t>
  </si>
  <si>
    <t>Updated Strength Amp (Max Lv. = 3) granted by Ritual of Soul Cleansing</t>
  </si>
  <si>
    <t>Yukata Cassandra was a useful overdamage healer prior to the release of Ayaha &amp; Otoha, after which she became less commonly used. There is nothing wrong with her kit, but this revision makes her damage more consistently high, which boosts the power of her overdamage.</t>
  </si>
  <si>
    <t>110043_02</t>
  </si>
  <si>
    <t>A-053</t>
  </si>
  <si>
    <t>Valentine's Hildegarde</t>
  </si>
  <si>
    <t>Rosy Saint</t>
  </si>
  <si>
    <t>https://dragalialost.wiki/w/Valentine's_Hildegarde</t>
  </si>
  <si>
    <t>Hildegarde has donned an elegant gown for Valentine's, which gives her a mature allure. Supposedly it's the first time she has ever worn one, and more than one person has caught her wistfully staring at herself in a mirror…</t>
  </si>
  <si>
    <t>Clear All-Out Assault: Expert
(Valentine's Confections)</t>
  </si>
  <si>
    <t>Blooming Love</t>
  </si>
  <si>
    <t>Holy Protection</t>
  </si>
  <si>
    <t>Rosy Saint (V3)</t>
  </si>
  <si>
    <t>Updated Strength Amp (Max Lv. = 3) granted by Holy Protection</t>
  </si>
  <si>
    <t>Already present as dispel strike</t>
  </si>
  <si>
    <t>Valentine's Holdegarde is a perfectly functional healer, but she was never as efficient as Halloween Lowen, and her energy mechanic was unusable in Curse of Nihility content. This revision makes her energy level immune to Curse of Nihility and adds a secondary healing effect to Holy Protection.</t>
  </si>
  <si>
    <t>110257_02</t>
  </si>
  <si>
    <t>A-054</t>
  </si>
  <si>
    <t>Halloween Lowen</t>
  </si>
  <si>
    <t>Halloween Prankster</t>
  </si>
  <si>
    <t>https://dragalialost.wiki/w/Halloween_Lowen</t>
  </si>
  <si>
    <t>Lowen, dressed as a prankster fiend. He's usually a very respectful child, but this Halloween he's working hard to be naughty. Even so, his raw cuteness has him being showered in candy.</t>
  </si>
  <si>
    <t>Clear Squash the Pumpking: Expert
(Trick or Treasure!)</t>
  </si>
  <si>
    <t>You won't trick me!</t>
  </si>
  <si>
    <t>Here's a treat for you!</t>
  </si>
  <si>
    <t>Skill Prep +75%</t>
  </si>
  <si>
    <t>Force Charge III</t>
  </si>
  <si>
    <t>Halloween Prankster (V3)</t>
  </si>
  <si>
    <t>Added Defense Amp (Max Lv. = 3) granted by You won't trick me!</t>
  </si>
  <si>
    <t>Added dispel strike</t>
  </si>
  <si>
    <t>Halloween Lowen was THE flame healer for the majority of Dragalia Lost's life, and as such, there is little about his kit that needs to be updated. He was updated to the standards of a mana spiraled 5-star adventurer, given dispel, a better defense buff, a defense amp, and slightly better healing. But that is more than enough.</t>
  </si>
  <si>
    <t>110269_01</t>
  </si>
  <si>
    <t>A-055</t>
  </si>
  <si>
    <t>Verica</t>
  </si>
  <si>
    <t>Guiding Seer</t>
  </si>
  <si>
    <t>https://dragalialost.wiki/w/Verica</t>
  </si>
  <si>
    <t>A beautiful fortune-teller with an ability to read the future. Her demeanor is gentle, but her spirit is strong—and with her belief that fortune-tellers have a duty to fight against fate, she has resolved to rise above destiny with the prince.</t>
  </si>
  <si>
    <t>Clear The Mercurial Gauntlet
(Flame): Lv. 10
(The Mercurial Gauntlet)</t>
  </si>
  <si>
    <t>Blessings of Destiny</t>
  </si>
  <si>
    <t>Time's Respite</t>
  </si>
  <si>
    <t>(Flame) Dragon's Claws V</t>
  </si>
  <si>
    <t>Full HP = Healing +15%</t>
  </si>
  <si>
    <t>Guiding Seer (V3)</t>
  </si>
  <si>
    <t>Recovery Potency +20% (V3)</t>
  </si>
  <si>
    <t>Added Strength Amp (Max Lv. = 3) granted by Time's Respite</t>
  </si>
  <si>
    <t>HP Steal</t>
  </si>
  <si>
    <t>Verica was THE flame healer before Halloween Lowen, and her kit was rather basic, prioritizing healing and nothing else. This revision adds the HP steal effect from Summer Verica, upgrading Time's Respite, and also gives her a dispel strike. She does not truly need much more beyond this to be an effective healer.</t>
  </si>
  <si>
    <t>110006_01</t>
  </si>
  <si>
    <t>A-056</t>
  </si>
  <si>
    <t>Aurien</t>
  </si>
  <si>
    <t>Elegant Gambler</t>
  </si>
  <si>
    <t>https://dragalialost.wiki/w/Aurien</t>
  </si>
  <si>
    <t>A gambler who's always got it under control. His lax confidence makes it hard to know when he's lying, which is just how he likes it. He says things like "I come from royalty" and "I never lose," but who knows if that's true or not?</t>
  </si>
  <si>
    <t>Healer's Luck</t>
  </si>
  <si>
    <t>Red Hot Jackpot</t>
  </si>
  <si>
    <t>(Flame) Burn = Critical Rate +9%</t>
  </si>
  <si>
    <t>HP 70% = Skill Damage +40%</t>
  </si>
  <si>
    <t>Added Strength Amp (Max Lv. = 3) granted by Red Hot Jackpot</t>
  </si>
  <si>
    <t>Aurien is an odd healer, as he lacked any regen and his kit was designed around skill damage and inflicting burn. This revision veers into what little was there, replaces the singular heal with a regen heal, gives Red Hot Jackpot healing capabilities a la Heinwald, and makes him into a burn bot with his ability to decrease burn res.</t>
  </si>
  <si>
    <t>110367_03</t>
  </si>
  <si>
    <t>A-057</t>
  </si>
  <si>
    <t>Dragonyule Ilia</t>
  </si>
  <si>
    <t>Blessed Alchemist</t>
  </si>
  <si>
    <t>https://dragalialost.wiki/w/Dragonyule_Ilia</t>
  </si>
  <si>
    <t>An alchemist from a thousand years in the past. After learning what a big event her birthday is, she's come to the birthplace of Dragonyule—and though the legends puzzle her, she's set on proving Saint Starfall is real in order to protect the hopes and dreams of children everywhere.</t>
  </si>
  <si>
    <t>Clear Repelling the Frosty Fiends: Expert
(One Starry Dragonyule)</t>
  </si>
  <si>
    <t>Manacaster</t>
  </si>
  <si>
    <t>Full Throttle Ride</t>
  </si>
  <si>
    <t>Dragonyule Boost</t>
  </si>
  <si>
    <t>Gauge Accelerator +20%</t>
  </si>
  <si>
    <t>Alchemic Agility II</t>
  </si>
  <si>
    <t>Starfall Spirit II</t>
  </si>
  <si>
    <t>No changes to Defense Amp (Max Lv. = 3) granted by Dragonyule Boost</t>
  </si>
  <si>
    <t>Added to Full Throttle Ride</t>
  </si>
  <si>
    <t>Dragonyule Ilia is a fun adventurer to use, but her kit lacked any dispel or affliction originally, and her usage was limited next to other flame adventurers. This revision addresses this by boosting her skill damage and adding dispel to her initial skill, but does not change the abilities, as she was a late addition to the game.</t>
  </si>
  <si>
    <t>110382_01</t>
  </si>
  <si>
    <t>A-058</t>
  </si>
  <si>
    <t>Faris</t>
  </si>
  <si>
    <t>The Wing of Righteousness</t>
  </si>
  <si>
    <t>https://dragalialost.wiki/w/Faris</t>
  </si>
  <si>
    <t>One of the apostles of the northern Ilian Church. Stern in demeanor, he has a penchant for grading everything numerically. He bears Uriel's Sigil, and strives to meet the angel's expectations through his unflagging efforts in the pursuit of perfection.</t>
  </si>
  <si>
    <t>Clear Active Investigation: Expert
(Divine Deception)</t>
  </si>
  <si>
    <t>Carbunculus Balletto</t>
  </si>
  <si>
    <t>Prudens Knowledge</t>
  </si>
  <si>
    <t>Uriel's Covenant II</t>
  </si>
  <si>
    <t>Uriel's Judgment II</t>
  </si>
  <si>
    <t>Uriel's Covenant (V3)</t>
  </si>
  <si>
    <t>Uriel's Judgment (V3)</t>
  </si>
  <si>
    <t>Added to force strike - no condition</t>
  </si>
  <si>
    <t>Faris was a seldom used flame adventurer, as he could not compete with the DPS and versatility of Gala Leonidas, and there were many other adventurers inflicting scorchrend res released around the same time. This revision aims to make him more usable by simplifying and improving his unique debuff by removing the level system, adding dispel to his force strike, lowering the sigil unlock requirements, and granting him a defense amp, like all the other apostles.</t>
  </si>
  <si>
    <t>100013_04</t>
  </si>
  <si>
    <t>A-059</t>
  </si>
  <si>
    <t>Gala Leonidas</t>
  </si>
  <si>
    <t>Lord of the New Path</t>
  </si>
  <si>
    <t>https://dragalialost.wiki/w/Gala_Leonidas</t>
  </si>
  <si>
    <t>The first scion of the Kingdom of Alberia. He seeks to unify not only South Grastaea, but the whole of the world in order to free it from the dragons' rule. As proof of his resolve, he has taken on brilliant crimson garb.</t>
  </si>
  <si>
    <t>Clear Ch. 16 4-4 of the Main Campaign
(Very Hard)</t>
  </si>
  <si>
    <t>Sovereign Barrage</t>
  </si>
  <si>
    <t>Absolute Dominion</t>
  </si>
  <si>
    <t>(Flame) Combo = Shapeshift Prep V</t>
  </si>
  <si>
    <t>Combo = Shapeshift Prep V</t>
  </si>
  <si>
    <t>Conquering Scion II</t>
  </si>
  <si>
    <t>Conqueror's Will II</t>
  </si>
  <si>
    <t>Ruthless Ignition II</t>
  </si>
  <si>
    <t>Conquering Scion (V3)</t>
  </si>
  <si>
    <t>Ruthless Ignition (V3)</t>
  </si>
  <si>
    <t>Already present on Absolute Dominion</t>
  </si>
  <si>
    <t>Gala Leonidas was a top tier flame adventurer since his inception, and his kit needed very few changes. …But room for exploration was found, and he was given a major boost. Skill damage was increased and overdrive punisher was improved slightly, but the biggest change was to Draconian Grace. Instead of being a penalty to shapeshifting, Lv. 5 Draconian Grace will increase shapeshift time and the player's ability to deal damage while in dragon form. Draconian Grace would also not revert back to level 1.</t>
  </si>
  <si>
    <t>110313_03</t>
  </si>
  <si>
    <t>A-060</t>
  </si>
  <si>
    <t>Summer Ieyasu</t>
  </si>
  <si>
    <t>Summertime Boar</t>
  </si>
  <si>
    <t>https://dragalialost.wiki/w/Summer_Ieyasu</t>
  </si>
  <si>
    <t>One of Hinomoto's twelve Wyrmclan leaders, the head of the Boar Clan. Wearing a light and airy swimsuit picked out by Sazanka, he sets out on a summer beach survey to learn how better to keep his people safe...and to have a bit of fun himself.</t>
  </si>
  <si>
    <t>Clear Defensive Battle: Master
(The Fabled Fortune)</t>
  </si>
  <si>
    <t>Water</t>
  </si>
  <si>
    <t>Unrelenting Waves</t>
  </si>
  <si>
    <t>Wyrmgrace Wave</t>
  </si>
  <si>
    <t>(Water) Frostbite = User Strength +13%</t>
  </si>
  <si>
    <t>Bleeding Devastator +15%</t>
  </si>
  <si>
    <t>Critical Damage +20%</t>
  </si>
  <si>
    <t>Updated Frostbite</t>
  </si>
  <si>
    <t>Updated Strength Amp (Max Lv. = 3) granted by Wyrmgrace Wave</t>
  </si>
  <si>
    <t>Already present on Unrelenting Waves</t>
  </si>
  <si>
    <t>The worst part of Summer Iesyasu's kit was the fact that his skills were broken up by Skill Shift. Per the V3 standards, Skill Shift would be removed. This makes Ieyasu an adventurer with ready access to high damage skills, strength amps, bleed, frostbite, and dispel, along with a critical rate and damage boost.</t>
  </si>
  <si>
    <t>110363_01</t>
  </si>
  <si>
    <t>A-061</t>
  </si>
  <si>
    <t>Eugene</t>
  </si>
  <si>
    <t>Sullen Youth</t>
  </si>
  <si>
    <t>https://dragalialost.wiki/w/Eugene</t>
  </si>
  <si>
    <t>A dour, contrary young man. He talks a big game in his insistence he doesn't need friends, but this stems from his loneliness. In reality, he's a ball of nerves who doesn't want to talk, and yet in reality he yearns to change.</t>
  </si>
  <si>
    <t>Clear Frenetic Fiend Festival: Expert
(Rhythmic Resolutions)</t>
  </si>
  <si>
    <t>Signature Tactics</t>
  </si>
  <si>
    <t>Checkmate</t>
  </si>
  <si>
    <t>(Water) Dragon's Claws VI</t>
  </si>
  <si>
    <t>Critical Hit = Inspiration Level Up II</t>
  </si>
  <si>
    <t>HP 70% = Defense +13%</t>
  </si>
  <si>
    <t>Sullen Youth (V3)</t>
  </si>
  <si>
    <t>None (Water Oversaturation)</t>
  </si>
  <si>
    <t>Added to Checkmate</t>
  </si>
  <si>
    <t>Buff Zone</t>
  </si>
  <si>
    <t>Eugene was never a particularly useful adventurer, due to his cycling buff zones and his underwhelming secondary skill. This revision aims to improve his kit by improving his buff zone's consistency, making it immune to Curse of Nihility, making his second skill easier to use, and giving him both a critical damage amp and dispel.</t>
  </si>
  <si>
    <t>110255_02</t>
  </si>
  <si>
    <t>A-062</t>
  </si>
  <si>
    <t>Summer Celliera</t>
  </si>
  <si>
    <t>Avid Armsmaster</t>
  </si>
  <si>
    <t>https://dragalialost.wiki/w/Summer_Celliera</t>
  </si>
  <si>
    <t>The armsmaster may have taken the beach by storm in a fashionable swimsuit, but she hasn't forgotten any of her fiery instructor's spirit. No amount of heat will interfere with her need to train—that's just how she enjoys her vacations!</t>
  </si>
  <si>
    <t>Clear Barbary Clash: Nightmare
(A Splash of Adventure)</t>
  </si>
  <si>
    <t>Ocean Fury</t>
  </si>
  <si>
    <t>Pep Talk</t>
  </si>
  <si>
    <t>Potent Burn Res +100%</t>
  </si>
  <si>
    <t>Buff Skill Time +35%</t>
  </si>
  <si>
    <t>Added Defense Amp (Max Lv. = 3) granted by Pep Talk</t>
  </si>
  <si>
    <t>Added to Ocean Fury</t>
  </si>
  <si>
    <t>Summer Celliera lost much utility after bog became irrelevant and regular buffs were nullified by Curse of Nihility. This revision simplifies her buff cycles, gives her strength and defense amps, and adds dispel to her initial skill. While this does not address the bog problem, there is no bog res down debuff in Dragalia Lost, and many bosses simply cannot be bogged.</t>
  </si>
  <si>
    <t>110022_01</t>
  </si>
  <si>
    <t>A-063</t>
  </si>
  <si>
    <t>Xander</t>
  </si>
  <si>
    <t>Born Ruler</t>
  </si>
  <si>
    <t>https://dragalialost.wiki/w/Xander</t>
  </si>
  <si>
    <t>A brash king from another land who showed up one day claiming he should rule the castle. The care he shows for his subjects has led others to accept him—though not to the extent of actually calling him their king.</t>
  </si>
  <si>
    <t>Clear Waterscour Ruins: Expert</t>
  </si>
  <si>
    <t>Majestic Tide</t>
  </si>
  <si>
    <t>Royal Maelstrom</t>
  </si>
  <si>
    <t>(Water) Above 10 Hits = Strength +13%</t>
  </si>
  <si>
    <t>Born Ruler (V3)</t>
  </si>
  <si>
    <t>King of All Lands (V3)</t>
  </si>
  <si>
    <t>Added to Born Ruler Force Strike</t>
  </si>
  <si>
    <t>Xander was a powerhouse at a time, but became less relevant after frostbite became common in the water element and his mana spiral was met with a mixed reception. He became a force strike centric adventurer with a complicated skill shift system, and also part of a small subset of water cheese clear strats thanks to his buff system. This revision aims to simplify his initial skill, expand the Born Ruler ability to be more relevant to boss-centric content, and further empower his force strike to an absurd degree, while adding a strength amp for good measure.</t>
  </si>
  <si>
    <t>110301_02</t>
  </si>
  <si>
    <t>A-064</t>
  </si>
  <si>
    <t>Halloween Odetta</t>
  </si>
  <si>
    <t>Wandering Spider</t>
  </si>
  <si>
    <t>https://dragalialost.wiki/w/Halloween_Odetta</t>
  </si>
  <si>
    <t>The traveler Odetta, dressed in a spooky Halloween dress. Her latest adventure goes beyond the physical and into the world of the mind. Whatever will she discover there?</t>
  </si>
  <si>
    <t>Upgrade the Sweet Retreat to Lv. 30
(Trick or Treasure!)</t>
  </si>
  <si>
    <t>Envoy of the End</t>
  </si>
  <si>
    <t>Wonderful World</t>
  </si>
  <si>
    <t>(Water) Frostbite = User Strength +10%</t>
  </si>
  <si>
    <t>Added Strength Amp (Max Lv. = 1) granted by Wonderful World &amp; Defense Amp (Max Lv. = 1) granted by initial skill recharge</t>
  </si>
  <si>
    <t>Halloween Odetta was an unremarkable adventurer who was retrofitted into a self-sufficient buffer and healer without much utility beyond her ability to debuff enemy defenses. This revision expands her healing capabilities by making her self-heal into a team heal and by giving her secondary skill an HP Up effect. She was given strength and defense amps to reference her kit's focus on strength and defense buffs.</t>
  </si>
  <si>
    <t>110015_01</t>
  </si>
  <si>
    <t>A-065</t>
  </si>
  <si>
    <t>Zardin</t>
  </si>
  <si>
    <t>Hopeless Narcissist</t>
  </si>
  <si>
    <t>https://dragalialost.wiki/w/Zardin</t>
  </si>
  <si>
    <t>A knight so vain, he carries a mirror into battle. His antics often make those around him cringe, but he never seems to notice. His expression sometimes turns serene when gazing into his mirror—what DOES he see in there?</t>
  </si>
  <si>
    <t>Zardin Blade</t>
  </si>
  <si>
    <t>Zardin's Wrath</t>
  </si>
  <si>
    <t>(Water) HP 60% = Strength +3%</t>
  </si>
  <si>
    <t>Potent Burn Res +50%</t>
  </si>
  <si>
    <t>Burn Res +50%</t>
  </si>
  <si>
    <t>Hopeless Narcissist (V3)</t>
  </si>
  <si>
    <t>Added to Zardin Blade</t>
  </si>
  <si>
    <t>Like many early water mana spiral adventurers, Zardin was turned into a 'frostbite bot' with their mana spiral, and because he has such ample access to frostbite, he was given frostbite res down on his Skill 2.</t>
  </si>
  <si>
    <t>110395_01</t>
  </si>
  <si>
    <t>A-066</t>
  </si>
  <si>
    <t>Regina</t>
  </si>
  <si>
    <t>Commander of Five Wings</t>
  </si>
  <si>
    <t>https://dragalialost.wiki/w/Regina</t>
  </si>
  <si>
    <t>Commander of the apostles of the Ilian Church of Grams. Observant and charismatic, she's the perfect person for corralling the ragtag group of apostles. A researcher who is gifted at alchemy, she shares a Sigil with the angel Sandalphon.</t>
  </si>
  <si>
    <t>Clear Asura Clash: Expert
(Faith Forsaken)
(Part One)</t>
  </si>
  <si>
    <t>Tactical Skewer</t>
  </si>
  <si>
    <t>Imperial Castling</t>
  </si>
  <si>
    <t>(Water) HP 80% = Flame Res +6%</t>
  </si>
  <si>
    <t>Flame Res +10%</t>
  </si>
  <si>
    <t>Sandalphon's Covenant II</t>
  </si>
  <si>
    <t>Afflicted Punisher II</t>
  </si>
  <si>
    <t>Sandalphon's Covenant (V3)</t>
  </si>
  <si>
    <t>Updated Frostbite &amp; ALL</t>
  </si>
  <si>
    <t>No changes to Defense Amp (Max Lv. = 1) granted by Tactical Skewer</t>
  </si>
  <si>
    <t>Added to force strike when Sigil Release is active</t>
  </si>
  <si>
    <t>Regina's original greatest boon was her ability to maintain a defense amp and her ability to dole out afflictions against Surtr. This revision gives her access to dispel and allows her to inflict seven afflictions at once, making her even more useful in endgame water content, in addition to spreading her healing and affliction removal skills across the entire team.</t>
  </si>
  <si>
    <t>100045_01</t>
  </si>
  <si>
    <t>A-067</t>
  </si>
  <si>
    <t>Gala Mascula</t>
  </si>
  <si>
    <t>Pure-Hearted Android</t>
  </si>
  <si>
    <t>https://dragalialost.wiki/w/Gala_Mascula</t>
  </si>
  <si>
    <t>Mascula enters the fray with a new body, piloted remotely from his heart within Laxi. Though pained by conflict to the point that it makes him weep—inasmuch as an android can—he resolves to fight for a better future.</t>
  </si>
  <si>
    <t>Clear Ch. 19 5-4 of the Main Campaign
(Normal)</t>
  </si>
  <si>
    <t>Code 03: Rise Generator</t>
  </si>
  <si>
    <t>Code 36: Coolant Cycle</t>
  </si>
  <si>
    <t>(Water) Combo = Buff Skill Time +15%</t>
  </si>
  <si>
    <t>Accelerator Unit II</t>
  </si>
  <si>
    <t>Mana Reactor II</t>
  </si>
  <si>
    <t>Critical Frenzy II</t>
  </si>
  <si>
    <t>Accelerator Unit (V3)</t>
  </si>
  <si>
    <t>Potent Burn &amp; Stun Res +100% (V3)</t>
  </si>
  <si>
    <t>Updated Strength Amp (Max Lv. = 3) granted by initial skill</t>
  </si>
  <si>
    <t>Already present on standard attack and Code 06: Conclusion</t>
  </si>
  <si>
    <t>Gala Mascula was a widely used adventurer in endgame water content. This was due to the massive range of his second skill, upgraded standard attack, and access to dispel. Personally, I never liked the timing mechanics of his kit, and thought that there needed to be a few extra seconds added to Master Control, so I did that and upgraded the effect slightly. I also added bleed, as I felt his kit could use some damage over time, and water only has access to one primary affliction. Strength amp was changed to mirror the conditions of Gala Laxi's strength amp.</t>
  </si>
  <si>
    <t>110341_03</t>
  </si>
  <si>
    <t>A-068</t>
  </si>
  <si>
    <t>Halloween Akasha</t>
  </si>
  <si>
    <t>Bloodthirsty One</t>
  </si>
  <si>
    <t>https://dragalialost.wiki/w/Halloween_Akasha</t>
  </si>
  <si>
    <t>A priestess from the Church-of-All, now dressed as a vampire. She seems almost childlike as she cavorts about town, but sometimes shows a smile as bewitching as the full moon. Is her heart empty, or is there something there...?</t>
  </si>
  <si>
    <t>Clear All-Out Assault: Master
(Postmortem Panic)</t>
  </si>
  <si>
    <t>Nameless Abductor</t>
  </si>
  <si>
    <t>Coffin of Madness</t>
  </si>
  <si>
    <t>Defense Reduced = Debuff Edge II</t>
  </si>
  <si>
    <t>Bleeding = HP Recovery II</t>
  </si>
  <si>
    <t>Bleeding Punisher +20% (V3)</t>
  </si>
  <si>
    <t>Bloodthirsty One (V3)</t>
  </si>
  <si>
    <t>Added Defense Amp (Max Lv. = 3) granted by Coffin of Madness</t>
  </si>
  <si>
    <t>Added to Coffin of Madness</t>
  </si>
  <si>
    <t>Halloween Akasha's gimmick is that she restores her own HP by inflicting bleed, and deals regular defense down debuffs. This gave her a very narrow niche in the affliction and dispel filled water endgame content, and limited her usability, not helped by the RNG of her kit. This revision removes RNG, adds dispel, gives her a bleeding punisher, and gives her teamwide healing capabilities with the revamped third ability.</t>
  </si>
  <si>
    <t>110295_01</t>
  </si>
  <si>
    <t>A-069</t>
  </si>
  <si>
    <t>Valerio</t>
  </si>
  <si>
    <t>Dutiful Chef</t>
  </si>
  <si>
    <t>https://dragalialost.wiki/w/Valerio</t>
  </si>
  <si>
    <t>A wandering chef of unmatched culinary genius. Once knight retainer to a princess in a small kingdom of northern Grastaea, he sheathed his blade to pursue more...piquant passions. He's out to change the world, one dish at a time.</t>
  </si>
  <si>
    <t>Clear Survival of the Hungriest: Master
(A Dash of Disaster)</t>
  </si>
  <si>
    <t>Amuse-bouche</t>
  </si>
  <si>
    <t>Bon Appétit</t>
  </si>
  <si>
    <t>(Water) Above 10 Hits = Flame Res +10%</t>
  </si>
  <si>
    <t>Combo Time +5</t>
  </si>
  <si>
    <t>No changes to Strength Amp (Max Lv. = 2) granted by critical hit</t>
  </si>
  <si>
    <t>Already on Amuse-bouche</t>
  </si>
  <si>
    <t>Valerio was the last adventurer to be updated or rebalanced in Dragalia Lost, as such no changes need to be made to their kit. However, I personally dislike how the stances work, and chose to consolidate the effects of all stances into a pair of two skills with no conditional effects. This makes Valerio stupidly overpowered and useful, but I view this as preferable over trying to remember every stance's quirks. It should also make Valerio far more consistent when controlled by the game's AI. His strength amp was also unaltered, as it breaks the rules for strength amps, and I do not want to nerf him or make him even more overpowered.</t>
  </si>
  <si>
    <t>100003_02</t>
  </si>
  <si>
    <t>A-070</t>
  </si>
  <si>
    <t>Summer Ranzal</t>
  </si>
  <si>
    <t>Grillmaster</t>
  </si>
  <si>
    <t>https://dragalialost.wiki/w/Summer_Ranzal</t>
  </si>
  <si>
    <t>Ranzal is doing what he does best at the beach— barbecuing! Using the finest ingredients and his own unique seasoning, his food must be tasted to be believed. Thankfully, there's nothing he likes better than filling the bellies of friends.</t>
  </si>
  <si>
    <t>Clear The Counteroffensive
(A Splash of Adventure)</t>
  </si>
  <si>
    <t>Surf's Up</t>
  </si>
  <si>
    <t>Barbecue Bonanza</t>
  </si>
  <si>
    <t>(Water) HP +9%</t>
  </si>
  <si>
    <t>Last Offense +40%</t>
  </si>
  <si>
    <t>Primed Defense +8%</t>
  </si>
  <si>
    <t>Added Team Strength Amp (Max Lv. = 1) granted by Barbecue Bonanza &amp; Defense Amp (Max Lv. = 1) granted by initial skill recharge</t>
  </si>
  <si>
    <t>Added to Surf's Up</t>
  </si>
  <si>
    <t>Summer Ranzal was never a useful adventurer and never had a niche. However, he did curiously have regen abilities on his second skill. This revision boosts the power of his unwieldy initial skill, gives him dispel, gives him a strength buff, and access to both strength and defense amps. It also boosts the effectiveness of his regen healing skill, allowing him to function as a healer in some instances.</t>
  </si>
  <si>
    <t>110255_01</t>
  </si>
  <si>
    <t>A-071</t>
  </si>
  <si>
    <t>Celliera</t>
  </si>
  <si>
    <t>Hot-Blooded Instructor</t>
  </si>
  <si>
    <t>https://dragalialost.wiki/w/Celliera</t>
  </si>
  <si>
    <t>A woman who trains nobles in the way of the blade. Though thought of as a kind older sister, her ferocity is unleashed once lessons begin. But that's just another side of her sisterly love, as she desires her students to become strong.</t>
  </si>
  <si>
    <t>Clear Magma Onslaught
(Loyalty's Requiem)</t>
  </si>
  <si>
    <t>Ardent Stream</t>
  </si>
  <si>
    <t>Winter's Blade</t>
  </si>
  <si>
    <t>(Water) HP Below 40% = Flame Res +9%</t>
  </si>
  <si>
    <t>Thaumian's Bane +35%</t>
  </si>
  <si>
    <t>Added Strength Amp (Max Lv. = 3) granted by Winter's Blade</t>
  </si>
  <si>
    <t>Celliera's Mana Spiral was weird, and I still do not understand what the developers were thinking with it. This revision undoes the complicated Ardent Stream Upgraded skill in favor of a a better version of Ardent Stream and Winter's Blade granting the user a team strength buff, a dispel strike, and access to freeze. The self-inflicted frostbite was removed. Her general DPS was improved by Mighty Bane and strength +20% to replace last offense.</t>
  </si>
  <si>
    <t>110016_01</t>
  </si>
  <si>
    <t>A-072</t>
  </si>
  <si>
    <t>Jurota</t>
  </si>
  <si>
    <t>Solemn Stalwart</t>
  </si>
  <si>
    <t>https://dragalialost.wiki/w/Jurota</t>
  </si>
  <si>
    <t>A nonchalant ninja from a foreign land whose loyalty is absolute. He views such loyalty as a measure of his own willpower and has been known to strike down traitors without hesitation.</t>
  </si>
  <si>
    <t>Avalanche Blade</t>
  </si>
  <si>
    <t>Yasha's Brand</t>
  </si>
  <si>
    <t>(Water) Frostbite = User Flame Res +5%</t>
  </si>
  <si>
    <t>Stun Res +25%</t>
  </si>
  <si>
    <t>Added Strength Amp (Max Lv. = 3) granted by Yasha's Brand</t>
  </si>
  <si>
    <t>Added to Avalance Blade</t>
  </si>
  <si>
    <t>Jurota is one of those adventurers with such little to their kit that one could do pretty much anything to revitalize them. For this revision, his skill damage was doubled, dispel was added to his initial skill, his secondary skill was made to apply to all teammates, and he was given gauge accelerator to make better use of his broken punisher ability. Frostbite res down was given because Jurota needed it more than any other water blade adventurer.</t>
  </si>
  <si>
    <t>110385_01</t>
  </si>
  <si>
    <t>A-073</t>
  </si>
  <si>
    <t>Humanoid Mercury</t>
  </si>
  <si>
    <t>Teacher from the Tides</t>
  </si>
  <si>
    <t>https://dragalialost.wiki/w/Humanoid_Mercury</t>
  </si>
  <si>
    <t>The Waterwyrm Mercury, taken human form to learn more of human culture. Though her looks have changed, her mission as a guardian dragon has not. She will show no quarter to those who threaten the peace of those she cares about.</t>
  </si>
  <si>
    <t>Clear All-Out Assault: Master
(Elementary Escapades)</t>
  </si>
  <si>
    <t>Raging Ocean</t>
  </si>
  <si>
    <t>Aquatic Ruin</t>
  </si>
  <si>
    <t>(Water) Team Strength Amp = Burn Res +100%</t>
  </si>
  <si>
    <t>Team Strength Amp = Burn Res +100%</t>
  </si>
  <si>
    <t>Waterwyrm's Nature II</t>
  </si>
  <si>
    <t>Bubble Shield II</t>
  </si>
  <si>
    <t>Waterwyrm's Nature (V3)</t>
  </si>
  <si>
    <t>Bubble Shield (V3)</t>
  </si>
  <si>
    <t>Updated Strength Amp (Max Lv. = 3) granted by Aquatic Ruin</t>
  </si>
  <si>
    <t>Added to Aquatic Ruin</t>
  </si>
  <si>
    <t>Humanoid Mercury always felt like she was not as powerful as she ought to be. Her limited level 2 strength amp, the variations applied to Ragion Ocean, and the difficult to maintain Sphere of Protection all felt like compromises to prevent her from being as good as, say, Gala Mym. This revision addresses all these things, and also gives her dispel.</t>
  </si>
  <si>
    <t>110360_01</t>
  </si>
  <si>
    <t>A-074</t>
  </si>
  <si>
    <t>Tiki</t>
  </si>
  <si>
    <t>Dragon Scion</t>
  </si>
  <si>
    <t>https://dragalialost.wiki/w/Tiki</t>
  </si>
  <si>
    <t>The Dragon Scion. She has a naive personality and childish appearance that belies her great strength, and was placed in eternal slumber as a result. When she must protect what matters, she unleashes her might to fight in dragon form.</t>
  </si>
  <si>
    <t>Clear Battle with Tiki: Hard
(Fire Emblem: Kindred Ties)</t>
  </si>
  <si>
    <t>Divine Wings</t>
  </si>
  <si>
    <t>Dragon Valor</t>
  </si>
  <si>
    <t>(Water) Dragon Haste +20%</t>
  </si>
  <si>
    <t>Dragon Scion II</t>
  </si>
  <si>
    <t>Burn Res +100%</t>
  </si>
  <si>
    <t>Frostbitten Punisher +30%</t>
  </si>
  <si>
    <t>Dragon Scion (V3)</t>
  </si>
  <si>
    <t>Added to Divine Dragon Blow</t>
  </si>
  <si>
    <t>Tiki was already a top tier AI controlled adventurer due to her unique Divine Dragon form, and this revision changes very little as a result. Damage amounts are increased, a defense amp is added, and dispel was added to her second skill while in dragon form.</t>
  </si>
  <si>
    <t>110296_01</t>
  </si>
  <si>
    <t>A-075</t>
  </si>
  <si>
    <t>Mitsuba</t>
  </si>
  <si>
    <t>Hinomotoan Chef</t>
  </si>
  <si>
    <t>https://dragalialost.wiki/w/Mitsuba</t>
  </si>
  <si>
    <t>The third of seven scions of the Nanakusa family, owners of a famous Hinomotoan restaurant. Her earnest, polite personality belies a fiery competitive spirit. This girl's cooking with gas— just don't get between her and her dashi!</t>
  </si>
  <si>
    <t>Clear Survival of the Hungriest: Expert
(A Dash of Disaster)</t>
  </si>
  <si>
    <t>Chef's Special</t>
  </si>
  <si>
    <t>Hearty Helping</t>
  </si>
  <si>
    <t>(Water) HP Below 40% = Flame Res +10%</t>
  </si>
  <si>
    <t>Combo Time +4</t>
  </si>
  <si>
    <t xml:space="preserve">Added Critical Damage Amp (Max Lv. = 3) granted by Hearty Helping </t>
  </si>
  <si>
    <t>Added to Chef's Special</t>
  </si>
  <si>
    <t>Mitsuba's utility was mostly based on how she worked with adventurers like Karina in certain Ayaha &amp; Otoha clears. She had little practical use in Curse of Nihility content. This revision simplifies her kit by combining her skills regardless of stance, and gives her a critical damage team amp. It also gives her dispel on Chef's Special.</t>
  </si>
  <si>
    <t>100004_02</t>
  </si>
  <si>
    <t>A-076</t>
  </si>
  <si>
    <t>Dragonyule Cleo</t>
  </si>
  <si>
    <t>Belle Bestower</t>
  </si>
  <si>
    <t>https://dragalialost.wiki/w/Dragonyule_Cleo</t>
  </si>
  <si>
    <t>Cleo has donned a Saint Starfall outfit in order to hand out presents for Dragonyule. She's also in charge of cooking, decorating, and planning the festivities, but seeing everyone happy is reward enough for all her hard work.</t>
  </si>
  <si>
    <t>Clear Season's Beatings: Master
(The Miracle of Dragonyule)</t>
  </si>
  <si>
    <t>Starlit Gift</t>
  </si>
  <si>
    <t>Empyrean Grace</t>
  </si>
  <si>
    <t>(Water) Combo Time VI</t>
  </si>
  <si>
    <t>20 Hits = Energy Level Up</t>
  </si>
  <si>
    <t>Belle Bestower (V3)</t>
  </si>
  <si>
    <t>Added Frostbite</t>
  </si>
  <si>
    <t>Added Strength Amp (Max Lv. = 3) granted by Empyrean Grace</t>
  </si>
  <si>
    <t>Added to Empryean Grace</t>
  </si>
  <si>
    <t>Dragonyule Cleo had a strange role in the meta, as she was an ample applier of buffs and energy, but her kit completely lacked the elements that were prioritized in Curse of Nihility content. To address this, this revision gave her dispel, frostbite, and made her energy immune to Curse of Nihility, given how essential it is for her kit. Skill Shift was also removed. This should be enough to make her usable in Nihility content.</t>
  </si>
  <si>
    <t>110265_01</t>
  </si>
  <si>
    <t>A-077</t>
  </si>
  <si>
    <t>Renee</t>
  </si>
  <si>
    <t>Future Smithing Genius</t>
  </si>
  <si>
    <t>https://dragalialost.wiki/w/Renee</t>
  </si>
  <si>
    <t>The youngest of the three blacksmith sisters, responsible for cooling steel and tempering the weapons they make. Often seen running round with a bucket in each hand, she dreams of becoming as skilled as her sister Ramona.</t>
  </si>
  <si>
    <t>Clear A Deadly Drill
(Flames of Reflection)</t>
  </si>
  <si>
    <t>Droplet Slash</t>
  </si>
  <si>
    <t>Drenching Strike</t>
  </si>
  <si>
    <t>(Water) Buff Skill Time +9%</t>
  </si>
  <si>
    <t>Healing Doublebuff II (Team)</t>
  </si>
  <si>
    <t>Doublebuff &amp; Team Defense Amp = HP Regen (Team) (V3)</t>
  </si>
  <si>
    <t>Added Team Strength Amp (Max Lv. = 1) granted by Drenching Strike &amp; Defense Amp (Max Lv. = 1) granted by initial skill recharge</t>
  </si>
  <si>
    <t>Added to Droplet Slash</t>
  </si>
  <si>
    <t>Renee was a curious proto-Templar Hope character who lacked a way to apply defense to an entire team. This revision addresses this by making her secondary skill grant a defense buff to the entire team, and applies healing to the entire team when a team defense amp is active, and frostbite was added. This makes her a more useful support character who has some utility in Curse of Nihility content.</t>
  </si>
  <si>
    <t>110253_01</t>
  </si>
  <si>
    <t>A-078</t>
  </si>
  <si>
    <t>Orsem</t>
  </si>
  <si>
    <t>Dreamer on Ice</t>
  </si>
  <si>
    <t>https://dragalialost.wiki/w/Orsem</t>
  </si>
  <si>
    <t>A young man from a northern land of ice and snow. The blades in his shoes house ice mana that freezes the ground before him, allowing him to display his immaculate skating ability. He seeks to spread word of his beloved hobby to all.</t>
  </si>
  <si>
    <t>Clear Waterscour Ruins: Beginner</t>
  </si>
  <si>
    <t>Flurry Edge</t>
  </si>
  <si>
    <t>Triple Salchow</t>
  </si>
  <si>
    <t>(Water) Above 10 Hits = Flame Res +9%</t>
  </si>
  <si>
    <t>Flurry Devastation +10%</t>
  </si>
  <si>
    <t xml:space="preserve">Added Critical Damage Amp (Max Lv. = 3) granted by Triple Salchow </t>
  </si>
  <si>
    <t>Added to Flurry Edge</t>
  </si>
  <si>
    <t>Orsem is an adventurer who never had much unique to his kit beyond a skill that did both frostbite and freeze, and a high critical rate. This revision increases his skill damage, upgrades his abilities to ensure higher crit rates, and gives him access to both dispel and a critical damage amp.</t>
  </si>
  <si>
    <t>110020_01</t>
  </si>
  <si>
    <t>A-079</t>
  </si>
  <si>
    <t>Luther</t>
  </si>
  <si>
    <t>Passionate Dancer</t>
  </si>
  <si>
    <t>https://dragalialost.wiki/w/Luther</t>
  </si>
  <si>
    <t>Twisting his troubles away, this youth exudes passion and fervor and seeks only to empower others through the power of dance. Those who are captivated by his moves tend to find their problems magically washed away.</t>
  </si>
  <si>
    <t>Clear The Mercurial Gauntlet
(Water): Lv. 40
(The Mercurial Gauntlet)</t>
  </si>
  <si>
    <t>Legato Step</t>
  </si>
  <si>
    <t>Terpsichore</t>
  </si>
  <si>
    <t>Passionate Dancer (V3)</t>
  </si>
  <si>
    <t>Added Strength Amp (Max Lv. = 3) granted by Terpsichore</t>
  </si>
  <si>
    <t>Luther was an unremarkable adventurer when he debuted and even after his mana spiral. His primary use was as a frostbite bot with a beneficial critical rate buff and a situational ability. Per V3 standards, his debuffs got stronger, he was given flurry strength along with critical rate, and his debuffs were made stronger. Due to his placement as an early water adventurer, he was also given frostbite res down but was not given dispel for balancing purposes.</t>
  </si>
  <si>
    <t>110383_01</t>
  </si>
  <si>
    <t>A-080</t>
  </si>
  <si>
    <t>Finni</t>
  </si>
  <si>
    <t>Emotional Android</t>
  </si>
  <si>
    <t>https://dragalialost.wiki/w/Finni</t>
  </si>
  <si>
    <t>An android built one thousand years ago who defected from the group known as Ex Machina. Prone to direct confrontation, she feels (and displays) the whole gamut of humanoid emotion. Her commander, Eirene, means everything to her.</t>
  </si>
  <si>
    <t>Clear Defensive Battle: EX
(Ageless Artifice)</t>
  </si>
  <si>
    <t>Armed 72: Fastbreak</t>
  </si>
  <si>
    <t>Armed 24: Astroburst</t>
  </si>
  <si>
    <t>(Water) HP 60% = Strength +6%</t>
  </si>
  <si>
    <t>Mana Supercapacitors II (Water)</t>
  </si>
  <si>
    <t>Turbo Unit II</t>
  </si>
  <si>
    <t>Mana Supercapacitors (Water) (V3)</t>
  </si>
  <si>
    <t>Turbo Unit (V3)</t>
  </si>
  <si>
    <t>Added Team Strength Amp (Max Lv. = 3) granted by armament gauge</t>
  </si>
  <si>
    <t>Already on Armed 72: Fastbreak</t>
  </si>
  <si>
    <t>Finni was a curious addition who did not necessarily fulfill any niche upon her debut, but was a unique and fun adventurer to play as. This revision does little more than boost her damage slightly, boost her gauge fill rate, and give her amps, as that is all she really needs.</t>
  </si>
  <si>
    <t>110355_01</t>
  </si>
  <si>
    <t>Lazry</t>
  </si>
  <si>
    <t>Mechanized Blacksmith</t>
  </si>
  <si>
    <t>https://dragalialost.wiki/w/Lazry</t>
  </si>
  <si>
    <t>A rokkan blacksmith passionate about her craft. Inside her workshop in a human town, she plied her trade alone, but her contact with the blacksmith sisters and others has helped her to reach new heights as a smith.</t>
  </si>
  <si>
    <t>Smithy Spin</t>
  </si>
  <si>
    <t>Smithy Arm: Forge Mode</t>
  </si>
  <si>
    <t>HP 70% = Skill Damage &amp; Flame Res I</t>
  </si>
  <si>
    <t>Mechanized Blacksmith (V3)</t>
  </si>
  <si>
    <t>Skill Damage &amp; Flame Res (V3)</t>
  </si>
  <si>
    <t>Already on Smithy Arm: Forge Mode</t>
  </si>
  <si>
    <t>Lazry was an adventurer who was given a second life with her mana spiral, and there was little else her kit needed. This revision improves her personal HP Up buff, makes it apply to the entire team, boosts skill damage, and removes conditions on abilities. Unlike Mitsuba and Valerio, it would be extreme overkill to combine both variants of her skills.</t>
  </si>
  <si>
    <t>100002_13</t>
  </si>
  <si>
    <t>A-082</t>
  </si>
  <si>
    <t>Gala Elisanne</t>
  </si>
  <si>
    <t>Godly Guide</t>
  </si>
  <si>
    <t>https://dragalialost.wiki/w/Gala_Elisanne</t>
  </si>
  <si>
    <t>The Grand Paladyn serves as a model and leader to all other Paladyns—and Elisanne finds herself the youngest ever to be appointed to the position. Clad in white armor blessed over several months, Elisanne decisively faces the Goddess's foes.</t>
  </si>
  <si>
    <t>Clear Ch. 09 5-4 of the Main Campaign
(Hard)</t>
  </si>
  <si>
    <t>Holy Accord</t>
  </si>
  <si>
    <t>Celestial Ascent</t>
  </si>
  <si>
    <t>Divine Oath III</t>
  </si>
  <si>
    <t>Heaven's Shield III</t>
  </si>
  <si>
    <t>Primed Strength +15%</t>
  </si>
  <si>
    <t>Divine Oath (V3)</t>
  </si>
  <si>
    <t>Updated Strength Amp (Max Lv. = 3) granted by Celestial Ascent</t>
  </si>
  <si>
    <t>Added to Celestial Ascent</t>
  </si>
  <si>
    <t>Gala Elisanne is a great adventurer who was good when she debuted and even better after her mana spiral. However, when playing as her, maintaining Divine Revelation can be annoying, the costs of losing Celestial Ascent is great, and the healing added by Holy Accord is both small and does not affect non-water adventurers. As such, this revision took an axe to her limitations. Holy Accord is now its own buff and heals 2.5 times more. Celestial Ascent no longer has a time limit or risk of being depleted (and also dispels). Divine Oath lasts 15 seconds instead of 13 and its buffs both apply to the whole team and can activate doublebuff abilities (because that's just fun).</t>
  </si>
  <si>
    <t>110042_02</t>
  </si>
  <si>
    <t>A-083</t>
  </si>
  <si>
    <t>Summer Julietta</t>
  </si>
  <si>
    <t>Paladyn in Paradise</t>
  </si>
  <si>
    <t>https://dragalialost.wiki/w/Summer_Julietta</t>
  </si>
  <si>
    <t>Julietta has hit the sand in a swimsuit that matches her elegant aura, and she's now taking the beach by storm. Though many a gaze is focused on her, the only one she's concerned about belongs to...Elisanne?</t>
  </si>
  <si>
    <t>Clear Giant Ember Toad Assault: Expert
(A Splash of Adventure)</t>
  </si>
  <si>
    <t>Sunny Flash</t>
  </si>
  <si>
    <t>Vacation Vigor</t>
  </si>
  <si>
    <t>Bog = Team Strength +15%</t>
  </si>
  <si>
    <t>Paladyn in Paradise (V3)</t>
  </si>
  <si>
    <t>Added Team Strength Amp (Max Lv. = 1) granted by initial skill recharge &amp; Critical Damage Amp (Max Lv. = 3) granted by Vacation Vigor</t>
  </si>
  <si>
    <t>Added to Sunny Flash</t>
  </si>
  <si>
    <t>Summer Julietta is an odd adventurer to update due to her fixation on afflicting bog, which has never been practical in any high difficulty content, as most bosses are immune to bog. Accordingly, this revision aims to boost her DPS, add dispel, strength and defense amps, and make her second skill more consistent, in addition to giving an HP Up buff, because her kit needed something. Due to how Bog = Team Strength is mostly useless in Curse of Nihility content, she was also given a 15% strength buff.</t>
  </si>
  <si>
    <t>110018_01</t>
  </si>
  <si>
    <t>A-084</t>
  </si>
  <si>
    <t>Karina</t>
  </si>
  <si>
    <t>Free-Spirited Pirate</t>
  </si>
  <si>
    <t>https://dragalialost.wiki/w/Karina</t>
  </si>
  <si>
    <t>A pirate captain who loves freedom as much as the sea. She's stern with her subordinates but also takes good care of them. She loves how the sea allows her to not be tied down, as that was once a problem in her past.</t>
  </si>
  <si>
    <t>Clear The Mercurial Gauntlet
(Water): Lv. 10
(The Mercurial Gauntlet)</t>
  </si>
  <si>
    <t>Raging Tide</t>
  </si>
  <si>
    <t>Black Flag</t>
  </si>
  <si>
    <t>(Water) HP 60% = Strength +5%</t>
  </si>
  <si>
    <t>Healing Doublebuff V</t>
  </si>
  <si>
    <t>Free-Spirited Pirate (V3)</t>
  </si>
  <si>
    <t>Added Added Team Defense Amp (Max Lv. = 1) granted by Black Flag &amp; Critical Damage Amp (Max Lv. = 1) granted by Raging Tide</t>
  </si>
  <si>
    <t>Added to Black Flag</t>
  </si>
  <si>
    <t>Karina has a place in pre-Nihility water content as the queen of cheese clears and the master of buffs. Her Raging Tide skill combined with doublebuff antics made her a beast for a good while, especially after the Version 2.0 Update. However, she became less relevant in Nihility content, and this revision aims to address this by giving her access to amps and making her doublebuff work with team defense amps. Raging Tide was also modified to boost skill damage with amps and Black Flag now dispels.</t>
  </si>
  <si>
    <t>110258_01</t>
  </si>
  <si>
    <t>A-085</t>
  </si>
  <si>
    <t>Pietro</t>
  </si>
  <si>
    <t>Visionary Adventurer</t>
  </si>
  <si>
    <t>https://dragalialost.wiki/w/Pietro</t>
  </si>
  <si>
    <t>An adventurer in search of a fabled frozen city. As this city is thought to only exist in faerie tales, he is often the subject of mockery. Some, however, find inspiration in his perseverance.</t>
  </si>
  <si>
    <t>Clear The Mercurial Gauntlet
(Water): Lv. 30
(The Mercurial Gauntlet)</t>
  </si>
  <si>
    <t>Quester's Best</t>
  </si>
  <si>
    <t>Indomitable Will</t>
  </si>
  <si>
    <t>(Water) Dragon Haste +14%</t>
  </si>
  <si>
    <t>Critical Damage +13%</t>
  </si>
  <si>
    <t>Blindness Res +50%</t>
  </si>
  <si>
    <t>Blindness Res +25%</t>
  </si>
  <si>
    <t>Potent Blindness Res +100%</t>
  </si>
  <si>
    <t>Updated Defense Amp (Max Lv. = 3) granted by Indomitable Will</t>
  </si>
  <si>
    <t>Added to Quester's Best</t>
  </si>
  <si>
    <t>110012_01</t>
  </si>
  <si>
    <t>A-086</t>
  </si>
  <si>
    <t>Rex</t>
  </si>
  <si>
    <t>Charitable Lumberjack</t>
  </si>
  <si>
    <t>https://dragalialost.wiki/w/Rex</t>
  </si>
  <si>
    <t>A jaunty, personable lumberjack. The textbook example of a mountain man, he always returns equally anything given to him. His naivety of the sinister workings of the world—along with a trusting nature—makes him an easy mark.</t>
  </si>
  <si>
    <t>Clear Battle at Myriage Lake: Beginner
(The Imperial Onslaught)</t>
  </si>
  <si>
    <t>Smash Hit</t>
  </si>
  <si>
    <t>Full Woodcutter</t>
  </si>
  <si>
    <t>Gauge Inhibitor +25%</t>
  </si>
  <si>
    <t>Burn Res +25%</t>
  </si>
  <si>
    <t>Charitable Lumberjack (V3)</t>
  </si>
  <si>
    <t>Added to Smash Hit</t>
  </si>
  <si>
    <t>Like many early water adventurers, Rex was turned into a 'frostbite bot,' and because they have such ample access to frostbite, they were given frostbite res down on their Skill 2. Rex's build also bizarrely features Gauge Inhibitor, which I do not believe has any DPS benefit, so I replaced it with the custom frostbite punisher ability and gave him Flurry Slayer's Strength instead.</t>
  </si>
  <si>
    <t>110352_03</t>
  </si>
  <si>
    <t>A-087</t>
  </si>
  <si>
    <t>Faeblessed Tobias</t>
  </si>
  <si>
    <t>Winged Knight</t>
  </si>
  <si>
    <t>https://dragalialost.wiki/w/Faeblessed_Tobias</t>
  </si>
  <si>
    <t>Tobias, clad in armor imbued with fae protection. Forged with the prayers of a faerie who broke her own wings to shepherd humankind toward peace, it can manifest a single wing, granting flight to a warrior who would fight for those in need.</t>
  </si>
  <si>
    <t>Clear All-Out Assault: Master
(Blessed Bloodline)</t>
  </si>
  <si>
    <t>Fae Judgment</t>
  </si>
  <si>
    <t>Fae Lance</t>
  </si>
  <si>
    <t>(Water) Above 10 Hits = Critical Rate +13%</t>
  </si>
  <si>
    <t>Flurry Devastation +13%</t>
  </si>
  <si>
    <t>Overdrive Punisher +13%</t>
  </si>
  <si>
    <t xml:space="preserve">Added Critical Damage Amp (Max Lv. = 3) granted by Fae Lance </t>
  </si>
  <si>
    <t>Added to Spiritual Purge</t>
  </si>
  <si>
    <t>Faebless Tobias is an adventurer I never saw anybody use in Dragalia Lost, and that is largely because his kit lacked frostbite, dispel, or any teamwide buffs. This revision aims to change that by prolonging his Fae Lance buff, giving him a critical damage amp that plays into his first ability, and boosting his damage. There is not much else that could be done without revising the entire kit.</t>
  </si>
  <si>
    <t>110364_01</t>
  </si>
  <si>
    <t>A-088</t>
  </si>
  <si>
    <t>Catherine</t>
  </si>
  <si>
    <t>Perfect Flower</t>
  </si>
  <si>
    <t>https://dragalialost.wiki/w/Catherine</t>
  </si>
  <si>
    <t>The daughter of the mayor of the rural town of Quinbell. Her domineering attitude tends to drag people into her affairs, but she's actually quite stoic. Despite her pampered origins, she strives every day to be a perfect version of herself.</t>
  </si>
  <si>
    <t>Clear Raging Festivities: Master
(Rhythmic Resolutions)</t>
  </si>
  <si>
    <t>Beck and Call</t>
  </si>
  <si>
    <t>Perfect Order</t>
  </si>
  <si>
    <t>Perfection Embodied III</t>
  </si>
  <si>
    <t>Perfection Embodied (V3)</t>
  </si>
  <si>
    <t>Updated Defense Amp (Max Lv. = 3) granted by Beck and Call</t>
  </si>
  <si>
    <t>Already on Perfect Order</t>
  </si>
  <si>
    <t>Catherine is an incredible adventurer and a blast to play as after her mana spiral revitalized her kit. As such, this revision changes little aside from extending the duration of the Beck and Call strength buff, and updating her defense buff to V3 standards, as maintaining the amp was the worst part of playing as her.</t>
  </si>
  <si>
    <t>110328_01</t>
  </si>
  <si>
    <t>A-089</t>
  </si>
  <si>
    <t>Fjorm</t>
  </si>
  <si>
    <t>Princess of Ice</t>
  </si>
  <si>
    <t>https://dragalialost.wiki/w/Fjorm</t>
  </si>
  <si>
    <t>One of the princesses of the Ice Kingdom Nifl. She met Alfonse when fleeing her country after it was conquered. She's kind-hearted, loves her family, and believes in honoring debts—but she also despises those who ruined her home.</t>
  </si>
  <si>
    <t>Clear The Alberian Front: Normal
(Fire Emblem: Lost Heroes)</t>
  </si>
  <si>
    <t>Frigid Smash</t>
  </si>
  <si>
    <t>Ice Mirror</t>
  </si>
  <si>
    <t>Last Bravery III</t>
  </si>
  <si>
    <t>Last Bravery (V3)</t>
  </si>
  <si>
    <t>Added to Frigid Smash</t>
  </si>
  <si>
    <t>Fjorm was a water powerhouse for a brief moment, but she became irrelevant as the element grew and more adventurers received mana spirals. This revision gives her more DPS and makes her Ice Mirror skill less risky, while giving her strength and defense amps to mirror how Last Bravery worked, and removing the limit for Last Bravery.</t>
  </si>
  <si>
    <t>110021_01</t>
  </si>
  <si>
    <t>A-090</t>
  </si>
  <si>
    <t>Xainfried</t>
  </si>
  <si>
    <t>Dragon Guardian</t>
  </si>
  <si>
    <t>https://dragalialost.wiki/w/Xainfried</t>
  </si>
  <si>
    <t>A member of the Aegis tribe, he's currently on a journey with two young dragons, seeking a place where they can live in peace. Though usually calm, he grows enraged if his charges are threatened.</t>
  </si>
  <si>
    <t>Clear Battle at Myriage Lake: Expert
(The Imperial Onslaught)</t>
  </si>
  <si>
    <t>Dragon Frostfang</t>
  </si>
  <si>
    <t>Guardian's Fury</t>
  </si>
  <si>
    <t>Added Strength Amp (Max Lv. = 3) granted by Dragon Frostfang</t>
  </si>
  <si>
    <t>Added to Guardian's Fury</t>
  </si>
  <si>
    <t>Xainfried was a great source of dragon gauge and frostbite throughout Dragalia Lost's life and maintained relevance until the end. As such, this revision mostly rounds up his damage numbers, gives him dispel, and gives him a strength amp.</t>
  </si>
  <si>
    <t>110356_01</t>
  </si>
  <si>
    <t>A-091</t>
  </si>
  <si>
    <t>Gauld</t>
  </si>
  <si>
    <t>Bloodfist</t>
  </si>
  <si>
    <t>https://dragalialost.wiki/w/Gauld</t>
  </si>
  <si>
    <t>An old rokkan man who works in a mine. His caring nature makes folks gravitate to him, but his words grow sharper than a pickaxe if you get him angry. His darling granddaughter loathes violence, so he tries to keep his temper in check.</t>
  </si>
  <si>
    <t>Clear Catoblepas Strikes
(All Elements)
(Void Battles)</t>
  </si>
  <si>
    <t>Chaotic Fissure</t>
  </si>
  <si>
    <t>Stone Foundation</t>
  </si>
  <si>
    <t>HP 70% = Strength +10%</t>
  </si>
  <si>
    <t>Frostbitten Punisher +20%</t>
  </si>
  <si>
    <t>Bloodfist (V3)</t>
  </si>
  <si>
    <t>Added Strength Amp (Max Lv. = 3) granted by Chaotic Fissure</t>
  </si>
  <si>
    <t>Gauld is a curious adventurer, as he would be a powerhouse if not for his low skill damage numbers and limited 4-star abilities. By boosting the damage numbers, upgrading his abilities, and adding a strength amp, his DPS would increase dramatically, and he was given a strength buff for good measure.</t>
  </si>
  <si>
    <t>100002_01</t>
  </si>
  <si>
    <t>A-092</t>
  </si>
  <si>
    <t>Elisanne</t>
  </si>
  <si>
    <t>Anointed Lance</t>
  </si>
  <si>
    <t>https://dragalialost.wiki/w/Elisanne</t>
  </si>
  <si>
    <t>A knight of the Ilian Church, and a prodigy whose skill gained her the rank of Paladyn. However, she's currently been branded a heretic and is being actively pursued. Though tough, she secretly has some softer interests.</t>
  </si>
  <si>
    <t>Clear Ch. 01 1-3 of the Main Campaign
(Normal)</t>
  </si>
  <si>
    <t>Brave Bastion</t>
  </si>
  <si>
    <t>Hallowed Waters</t>
  </si>
  <si>
    <t>HP 60% = Strength +3%</t>
  </si>
  <si>
    <t>Added Strength Amp (Max Lv. = 1) granted by Brave Bastion &amp; Critical Damage Amp (Max Lv. = 1) granted by Hallowed Waters</t>
  </si>
  <si>
    <t>Added to Hallowed Waters</t>
  </si>
  <si>
    <t>Elisanne was a powerhouse adventurer with her strength buff and dual affliction resistance, but she was completely wiped in Curse of Nihility content. This revision makes her into a strength amp generator, gives her access to bleed, and doubles her skill damage, while also giving her skill prep &amp; skill charge.</t>
  </si>
  <si>
    <t>110058_01</t>
  </si>
  <si>
    <t>A-093</t>
  </si>
  <si>
    <t>Jakob</t>
  </si>
  <si>
    <t>Quiet Mercenary</t>
  </si>
  <si>
    <t>https://dragalialost.wiki/w/Jakob</t>
  </si>
  <si>
    <t>Always putting his friends first, this mercenary is awkward with words, but expressive in action. He trains relentlessly for battle each day, but is currently torn by a new emotion—love.</t>
  </si>
  <si>
    <t>Clear Battle at Myriage Lake: Standard
(The Imperial Onslaught)</t>
  </si>
  <si>
    <t>Chain Sting</t>
  </si>
  <si>
    <t>Mercenary Guard</t>
  </si>
  <si>
    <t>(Water) Frostbite = User Strength +8%</t>
  </si>
  <si>
    <t>Skill Prep +50%</t>
  </si>
  <si>
    <t>Added Defense Amp (Max Lv. = 3) granted by Mercenary Guard</t>
  </si>
  <si>
    <t>Added to Chain Sting</t>
  </si>
  <si>
    <t>110014_01</t>
  </si>
  <si>
    <t>A-094</t>
  </si>
  <si>
    <t>Cibella</t>
  </si>
  <si>
    <t>Staunch Avenger</t>
  </si>
  <si>
    <t>https://dragalialost.wiki/w/Cibella</t>
  </si>
  <si>
    <t>A woman of the Church hell-bent on revenge who has cast aside prayer in favor of weapons. Though she's sworn to walk this path, she's been unable to completely harden her heart. Will retribution truly save her soul?</t>
  </si>
  <si>
    <t>Clear Waterscour Ruins: Standard</t>
  </si>
  <si>
    <t>Virtuous Guard</t>
  </si>
  <si>
    <t>Holy Wreath</t>
  </si>
  <si>
    <t>(Water) Buff Skill Time +5%</t>
  </si>
  <si>
    <t>Last Recovery II</t>
  </si>
  <si>
    <t>Last Recovery (V3)</t>
  </si>
  <si>
    <t>Added Strength Amp (Max Lv. = 1) granted by Virtuous Guard &amp; Defense Amp (Max Lv. = 1) granted by initial skill recharge</t>
  </si>
  <si>
    <t>Added to Holy Wrath</t>
  </si>
  <si>
    <t>Cibella had access to a good shield and minor strength buff, but that was about it for her kit. This revision gives her strength and defense amps, dispel, and frostbite, while improving her recovery ability and giving her primed defense, because it is in line with her support nature.</t>
  </si>
  <si>
    <t>110302_04</t>
  </si>
  <si>
    <t>A-095</t>
  </si>
  <si>
    <t>Housekeeper Pia</t>
  </si>
  <si>
    <t>Small Singing Helper</t>
  </si>
  <si>
    <t>https://dragalialost.wiki/w/Housekeeper_Pia</t>
  </si>
  <si>
    <t>A young member of the Harmonia Choir who seeks to serve at the Halidom in order to repay everyone for all they have done. Thankfully, a certain mouse is looking out for her as they work in order to make the endeavor go well.</t>
  </si>
  <si>
    <t>Clear Emile's Trial: Standard
(Operation: At Your Service)</t>
  </si>
  <si>
    <t>Heart of Devotion</t>
  </si>
  <si>
    <t>Shiny and New!</t>
  </si>
  <si>
    <t>(Water) Team Defense Amp = Flame Res +6%</t>
  </si>
  <si>
    <t>Deepest Dedication II</t>
  </si>
  <si>
    <t>Deepest Dedication (V3)</t>
  </si>
  <si>
    <t>Updated Defense Amp (Max Lv. = 3) granted by HP being restored</t>
  </si>
  <si>
    <t>Already on Shiny and New!</t>
  </si>
  <si>
    <t>Housekeeper Pia is a support adventurer who was restrained by a limited frostbite resistance down and a limited defense amp. This revision boosts a few numbers to make her more useful and gives her the healing needed to act as a healer.</t>
  </si>
  <si>
    <t>110366_01</t>
  </si>
  <si>
    <t>A-096</t>
  </si>
  <si>
    <t>Pinon</t>
  </si>
  <si>
    <t>The Wing of Purity</t>
  </si>
  <si>
    <t>https://dragalialost.wiki/w/Pinon</t>
  </si>
  <si>
    <t>An apostle of the northern Ilian Church. The youngest of the group, she feels impatience over her abilities, which are inferior to the other members'. Though usually a stickler for propriety, she displays her boisterous side in battle.</t>
  </si>
  <si>
    <t>Clear The Goddess's Will: Expert
(Agents of the Goddess)</t>
  </si>
  <si>
    <t>Sanctus Arrow</t>
  </si>
  <si>
    <t>Soul Benediction</t>
  </si>
  <si>
    <t>Gabriel's Covenant II</t>
  </si>
  <si>
    <t>HP 70% = Attack Rate II</t>
  </si>
  <si>
    <t>Gabriel's Covenant (V3)</t>
  </si>
  <si>
    <t>Updated Defense Amp (Max Lv. = 3) granted by Soul Benediction</t>
  </si>
  <si>
    <t>Added to Sanctus Arrow when "Sigil Released" is active.</t>
  </si>
  <si>
    <t>Pinon was an adventurer with a somewhat odd kit that was not really necessary or wanted in the water element when she debuted, and she was largely outdated by the time that changed. She was largely another frostbite-dealing adventurer, but with a gimmick that kicked in after a few minutes, but lacked much greater utility. This revision aims to make her slightly more powerful, remove a few limitations, and add both dispel and a defense amp.</t>
  </si>
  <si>
    <t>100029_03</t>
  </si>
  <si>
    <t>A-097</t>
  </si>
  <si>
    <t>Hunter Sarisse</t>
  </si>
  <si>
    <t>Mizutsune Archer</t>
  </si>
  <si>
    <t>https://dragalialost.wiki/w/Hunter_Sarisse</t>
  </si>
  <si>
    <t>Sarisse the hunter, decked out in a full set of Mizutsune gear. After taking on a request out of kindness, she now understands the complexity of life as a hunter—including fighting, gathering, and crafting. You go, girl! Get that G rank!</t>
  </si>
  <si>
    <t>Clear Encounter with a Legend
(Monster Hunter Primal Crisis)</t>
  </si>
  <si>
    <t>Tactical Retreat</t>
  </si>
  <si>
    <t>Haste Rain</t>
  </si>
  <si>
    <t>(Water) Combo = Energy Level Up VI</t>
  </si>
  <si>
    <t>Bow Expertise +2</t>
  </si>
  <si>
    <t>Force Strike Damage &amp; Charge Rate II</t>
  </si>
  <si>
    <t>Bow Expertise (V3)</t>
  </si>
  <si>
    <t>Force Strike Damage &amp; Charge Rate (V3)</t>
  </si>
  <si>
    <t>Added Critical Damage Amp (Max Lv. = 3) granted by Haste Rain</t>
  </si>
  <si>
    <t>Hunter Sarisse was a force strike damage queen thanks to her kit, but her lack of access to afflictions or buffs unrelated to her personal DPS limited her use outside of a niche. This revision adds the usual dispel and amp, but is otherwise just a damage boost, as her kit is just about force strikes.</t>
  </si>
  <si>
    <t>110317_01</t>
  </si>
  <si>
    <t>Laranoa</t>
  </si>
  <si>
    <t>Lighthearted Leader</t>
  </si>
  <si>
    <t>https://dragalialost.wiki/w/Laranoa</t>
  </si>
  <si>
    <t>A sylvan from the west forest, and childhood friend of Luca and Sylas. She was nominated as the next chief of her village on account of her strength, hunting skills, and popularity. Her hunting dog, Rolf, has been with her since birth.</t>
  </si>
  <si>
    <t>Clear Full-Bloom Festivities: Expert
(The Hunt for Harmony)</t>
  </si>
  <si>
    <t>Vivid Volley</t>
  </si>
  <si>
    <t>Hunter's Intuition</t>
  </si>
  <si>
    <t>15 Hits = Critical Damage +10%</t>
  </si>
  <si>
    <t>Lighthearted Leader (V3)</t>
  </si>
  <si>
    <t>Added Critical Damage Amp (Max Lv. = 1) granted by 15-hit combo &amp; Defense Amp (Max Lv. = 1) granted by Hunter's Intuition</t>
  </si>
  <si>
    <t>Added to combo force strike</t>
  </si>
  <si>
    <t>110053_02</t>
  </si>
  <si>
    <t>A-099</t>
  </si>
  <si>
    <t>Dragonyule Nefaria</t>
  </si>
  <si>
    <t>Queen of Smiles</t>
  </si>
  <si>
    <t>https://dragalialost.wiki/w/Dragonyule_Nefaria</t>
  </si>
  <si>
    <t>A former queen from a foreign land who delivers Dragonyule gifts while dressed as Saint Starfall. The earnestness of her delivery—as well as the love and consideration she showed her people—makes her the epitome of the character.</t>
  </si>
  <si>
    <t>Clear Dazzling Delusions: Expert
(The Miracle of Dragonyule)</t>
  </si>
  <si>
    <t>Starsquall Shot</t>
  </si>
  <si>
    <t>Special Delivery</t>
  </si>
  <si>
    <t>(Water) Frostbite = User Flame Res +7%</t>
  </si>
  <si>
    <t>Queen of Smiles (V3)</t>
  </si>
  <si>
    <t>Added Strength Amp (Max Lv. = 3) granted by 15-hit combo</t>
  </si>
  <si>
    <t>Dragonyule Nefaria was a curious support adventurer who also served as an early example of an energy-driven unit. This revision aims to increase her DPS considerably via skill damage buffs and an improved frostbite punisher, while also giving her more support utility with better shields, HP Up, and making her energy immune to Nihility.</t>
  </si>
  <si>
    <t>110013_01</t>
  </si>
  <si>
    <t>A-100</t>
  </si>
  <si>
    <t>Waike</t>
  </si>
  <si>
    <t>Noble Thief</t>
  </si>
  <si>
    <t>https://dragalialost.wiki/w/Waike</t>
  </si>
  <si>
    <t>A self-proclaimed "noble thief" who was driven from his homeland. His demeanor is usually lax, but his manners suggest a proper upbringing. He has stern conviction in his heart, which is why he gets emotional from time to time.</t>
  </si>
  <si>
    <t>Noble Hunter</t>
  </si>
  <si>
    <t>Cascade Shot</t>
  </si>
  <si>
    <t>(Water) Above 10 Hits = Flame Res +7%</t>
  </si>
  <si>
    <t>Full HP = Bog +40%</t>
  </si>
  <si>
    <t>Noble Thief (V3)</t>
  </si>
  <si>
    <t>Added Strength Amp (Max Lv. = 3) granted by Noble Hunter</t>
  </si>
  <si>
    <t>Added to Cascade Shot</t>
  </si>
  <si>
    <t>Like many early water adventurers, Waike was turned into a 'frostbite bot,' and because they have such ample access to frostbite, they were given frostbite res down on their Skill 2. Aside from that, they were given a generic yet practical build with frostbite punisher and Flurry Slayer's Strength.</t>
  </si>
  <si>
    <t>100043_02</t>
  </si>
  <si>
    <t>A-101</t>
  </si>
  <si>
    <t>Origa</t>
  </si>
  <si>
    <t>Aqueous Auspex</t>
  </si>
  <si>
    <t>https://dragalialost.wiki/w/Origa</t>
  </si>
  <si>
    <t>The Auspex and pope of the Northern Church. She plotted to revive Satan in order to fight the Progenitor, but her soul was imprisoned by the Demonlord and both were sealed away. Now freed, she aids the Prince to atone for her deeds.</t>
  </si>
  <si>
    <t>Clear The Second Coming of Satan
(Advent of the Origin)</t>
  </si>
  <si>
    <t>Cocytus Whirl</t>
  </si>
  <si>
    <t>Banish Evil</t>
  </si>
  <si>
    <t>Satan's Yoke II</t>
  </si>
  <si>
    <t>The Demon Within II</t>
  </si>
  <si>
    <t>Satan's Yoke (V3)</t>
  </si>
  <si>
    <t>Updated Defense Amp (Max Lv. = 3) granted by Cacytus Whirl</t>
  </si>
  <si>
    <t>Origa was one of the last adventurers added to the game, so she does not need any major revisions. This revision gives her a defense amp, boosts her skill damage, lowers the Demon's Seal debuff time, and also gives her dispel on Banish Evil.</t>
  </si>
  <si>
    <t>100017_03</t>
  </si>
  <si>
    <t>A-102</t>
  </si>
  <si>
    <t>Gala Emile</t>
  </si>
  <si>
    <t>Artistry's Pinnacle</t>
  </si>
  <si>
    <t>https://dragalialost.wiki/w/Gala_Emile</t>
  </si>
  <si>
    <t>The sixth scion of Alberia who became emperor of the Dyrenell Empire after the Other's defeat. Long tormented by comparisons to his siblings, he now looks inward to his own talents as he strives to rebuild the empire with his vassals.</t>
  </si>
  <si>
    <t>Clear Ch. 23 5-3 of the Main Campaign
(Normal)</t>
  </si>
  <si>
    <t>Follow Me, Minions!</t>
  </si>
  <si>
    <t>Protect Me, Peons!</t>
  </si>
  <si>
    <t>(Water) Team Strength Amp = Skill Haste V</t>
  </si>
  <si>
    <t>Team Strength Amp = Skill Haste V</t>
  </si>
  <si>
    <t>Waterwyrm's Guidance II</t>
  </si>
  <si>
    <t>Immeasurable Majesty II</t>
  </si>
  <si>
    <t>The Great and Powerful Emperor Emile II</t>
  </si>
  <si>
    <t>The Great and Powerful Emperor Emile (V3)</t>
  </si>
  <si>
    <t>Updated Team Strength Amp (Max Lv. = 2) &amp; Team Defense Amp (Max Lv. = 2) granted by adventurer skills</t>
  </si>
  <si>
    <t>Gala Emile immediately became a top tier water adventurer upon his release, and his kit would not require any revisions. However, managing his direction while using his adventurer skills made him somewhat frustrating to use, especially in Kaleidoscape, and V3 standards include removing proximity mechanics from buffs or support moves. So now he is just an amp generator, plain and simple.</t>
  </si>
  <si>
    <t>100004_17</t>
  </si>
  <si>
    <t>A-103</t>
  </si>
  <si>
    <t>Forager Cleo</t>
  </si>
  <si>
    <t>Belle Forager</t>
  </si>
  <si>
    <t>https://dragalialost.wiki/w/Forager_Cleo</t>
  </si>
  <si>
    <t>Having awoken to the joys of eating in the great outdoors, Cleo dons more comfortable clothes and sets off into the wild with a rucksack on her back. Even if you were forced to rough it, you needn't fear going hungry with her around!</t>
  </si>
  <si>
    <t>Clear A Pre-adventure Meal
(Princess Connect! Re Dive A Voracious Visitor)</t>
  </si>
  <si>
    <t>Starry Veil</t>
  </si>
  <si>
    <t>Camping Memories</t>
  </si>
  <si>
    <t>Starlit Ambience II</t>
  </si>
  <si>
    <t>Reduced Defense Punisher +15%</t>
  </si>
  <si>
    <t>Starlit Ambience (V3)</t>
  </si>
  <si>
    <t>Added Strength Amp (Max Lv. = 3) granted by Starry Veil</t>
  </si>
  <si>
    <t>Added to Camping Memories</t>
  </si>
  <si>
    <t>Forager Cleo was a support adventurer who only saw much use in her initial event. This revision increases her damage, skill gauge gill rate, frostbite res down, makes her personal energy immune to Nihility, and makes her into even more of a 'debuff bot' than she was before.</t>
  </si>
  <si>
    <t>110362_01</t>
  </si>
  <si>
    <t>A-104</t>
  </si>
  <si>
    <t>Yurius</t>
  </si>
  <si>
    <t>Ravenous Researcher</t>
  </si>
  <si>
    <t>https://dragalialost.wiki/w/Yurius</t>
  </si>
  <si>
    <t>An enigmatic researcher from the Kingdom of Levin. A mild-mannered intellectual, his normally calm face is sometimes cast in dark shadow. He has a keen sense of inquiry, and oft feels his pulse quicken at the thought of new knowledge.</t>
  </si>
  <si>
    <t>Clear Water Legion's Trial: Standard
(Trials of the Mighty)</t>
  </si>
  <si>
    <t>Unknown Order</t>
  </si>
  <si>
    <t>Seeker of Truth</t>
  </si>
  <si>
    <t>Abyssal Dragon II</t>
  </si>
  <si>
    <t>Abyssal Dragon (V3)</t>
  </si>
  <si>
    <t>Added to Seeker of Truth</t>
  </si>
  <si>
    <t>Yurius was one of the earlier dragondrive adventurers, and was a pretty fun one to play as, given his access to frostbite and flashy tentacle-filled animations. This revision increases his damage numbers, adds dispel, makes his gauges fill faster, and gives him inspiration immunity, as that makes him far more useful in Nihility content.</t>
  </si>
  <si>
    <t>110252_01</t>
  </si>
  <si>
    <t>A-105</t>
  </si>
  <si>
    <t>Lily</t>
  </si>
  <si>
    <t>Crystalian Princess</t>
  </si>
  <si>
    <t>https://dragalialost.wiki/w/Lily</t>
  </si>
  <si>
    <t>Raised in a land engulfed by snow, she loves seeing and hearing new things. Because her unique body emits frigid air, she is in search of a flower that won't freeze in her chilly presence.</t>
  </si>
  <si>
    <t>Clear Greedy Manticore Strike
(Void Battles)</t>
  </si>
  <si>
    <t>Glacial Blossom</t>
  </si>
  <si>
    <t>Frozen Gale</t>
  </si>
  <si>
    <t>Crystalian Princess (V3)</t>
  </si>
  <si>
    <t>Updated Defense Amp (Max Lv. = 3) granted by any skill</t>
  </si>
  <si>
    <t>Added to Frozen Gale</t>
  </si>
  <si>
    <t>Lily was a great launch adventurer who received a second life with the release of her mana spiral. However, as content evolved, she became less relevant, and stopped being in high demand after Legend Twins, where she was there for freeze and AOE. This revision makes her strength boost consistent, adds dispel, and gives her a defense amp for good measure.</t>
  </si>
  <si>
    <t>110300_01</t>
  </si>
  <si>
    <t>A-106</t>
  </si>
  <si>
    <t>Pipple</t>
  </si>
  <si>
    <t>Sentient Vegetable</t>
  </si>
  <si>
    <t>https://dragalialost.wiki/w/Pipple</t>
  </si>
  <si>
    <t>A vagrant veggie bursting with garden-fresh pep. Speaks in his own unique language, but his body language is enough to facilitate communication. He hopes to one day satisfy some malnourished sap's dietary needs, but remains "kale" 'n hearty.</t>
  </si>
  <si>
    <t>Clear Nature's Bounty - À La Carte: Expert
(A Dash of Disaster)</t>
  </si>
  <si>
    <t>Puu-chu</t>
  </si>
  <si>
    <t>Pipple-luu</t>
  </si>
  <si>
    <t>(Water) Dragon Haste +18%</t>
  </si>
  <si>
    <t>Standard Attack Damage</t>
  </si>
  <si>
    <t>Energy = Strength &amp; Critical Rate VII</t>
  </si>
  <si>
    <t>Sentient Vegetable (V3)</t>
  </si>
  <si>
    <t>Energy = Strength &amp; Critical Rate (V3)</t>
  </si>
  <si>
    <t>Added Strength Amp (Max Lv. = 1) granted by Pipple-luu &amp; Defense Amp (Max Lv. = 1) granted by Puu-chu</t>
  </si>
  <si>
    <t>Pipple was of the biggest casualties of Nihility content, as his kit is based entirely around buffs and standard attacks. This revision adds strength and defense amps, along with a dispel force strike, while also making his energy, and the associated buffs, immune to Nihility.</t>
  </si>
  <si>
    <t>110063_02</t>
  </si>
  <si>
    <t>A-107</t>
  </si>
  <si>
    <t>Summer Estelle</t>
  </si>
  <si>
    <t>Beachside Preacher</t>
  </si>
  <si>
    <t>https://dragalialost.wiki/w/Summer_Estelle</t>
  </si>
  <si>
    <t>She might have donned a cute swimsuit, but Estelle the preacher is still a stickler for rules. She patrols the beach with a custom-made megaphone, yelling at any who think being there is an excuse to run wild.</t>
  </si>
  <si>
    <t>Clear Tangled in Traps
(A Splash of Adventure)</t>
  </si>
  <si>
    <t>Seaside Punisher</t>
  </si>
  <si>
    <t>Lifeguard Lift</t>
  </si>
  <si>
    <t>Added Strength Amp (Max Lv. = 3) granted by Lifeguard Lift</t>
  </si>
  <si>
    <t>Added to combo Seaside Punisher</t>
  </si>
  <si>
    <t>Summer Estelle was a subpar adventurer even upon her debut, and she never got any better. Her DPS was low, her buff was simple and limited, and her kit was incredibly plain. This revision reimagines her as an offensive-focused support healer, with access to a better damaging skill, defense down, and strength amp, along with the ability to boost Max HP and provide regen healing. Combined with her enhanced buff time and Mighty Bane, she should be a far better adventurer.</t>
  </si>
  <si>
    <t>110022_02</t>
  </si>
  <si>
    <t>A-108</t>
  </si>
  <si>
    <t>Dragonyule Xander</t>
  </si>
  <si>
    <t>King Starfall</t>
  </si>
  <si>
    <t>https://dragalialost.wiki/w/Dragonyule_Xander</t>
  </si>
  <si>
    <t>A former king dressed as Saint Starfall. While his love for his vassals and people is genuine, his arrogance is equally so—despite the festive season. Alas, this causes all those around him nothing but endless headaches.</t>
  </si>
  <si>
    <t>Upgrade the Yuletree to Lv. 10
(The Miracle of Dragonyule)</t>
  </si>
  <si>
    <t>Starfrost Swell</t>
  </si>
  <si>
    <t>Monarch's Boon</t>
  </si>
  <si>
    <t>Striker's Energy II</t>
  </si>
  <si>
    <t>Skill Haste +5%</t>
  </si>
  <si>
    <t>King Starfall (V3)</t>
  </si>
  <si>
    <t>Added Strength Amp (Max Lv. = 3) granted by Monarch's Boon</t>
  </si>
  <si>
    <t>Added to Starfrost Swell</t>
  </si>
  <si>
    <t>Dragonyule Xander was a perpetually subpar adventurer who did not receive a mana spiral when his contemporaries did in December 2020. This revision builds upon his few strengths, adds frostbite and dispel, makes his energy immune to Nihility, and adds in a frostbite punisher for good measure. This should be enough to make him more useful.</t>
  </si>
  <si>
    <t>110396_01</t>
  </si>
  <si>
    <t>A-109</t>
  </si>
  <si>
    <t>Sandalphon</t>
  </si>
  <si>
    <t>Angel of Information</t>
  </si>
  <si>
    <t>https://dragalialost.wiki/w/Sandalphon</t>
  </si>
  <si>
    <t>The leader of the dragons known as the Five Archangels. She values efficiency and is adept at using information, and can also contact the other Archangels directly. She is the partner of the apostles' commander, Regina.</t>
  </si>
  <si>
    <t>Clear Assault on Lilith: Expert
(Faith Forsaken)
(Part Two)</t>
  </si>
  <si>
    <t>Angelic Praise</t>
  </si>
  <si>
    <t>Angelic Wings</t>
  </si>
  <si>
    <t>(Water) Vengeful Shield V</t>
  </si>
  <si>
    <t>Vengeful Shield V</t>
  </si>
  <si>
    <t>Heavenly Wings II</t>
  </si>
  <si>
    <t>Combat Coordinator II</t>
  </si>
  <si>
    <t>Heavenly Wings (V3)</t>
  </si>
  <si>
    <t>Overdamage &amp; HP Up</t>
  </si>
  <si>
    <t>Sandalphon was an utterly amazing healer when she debuted, and remained that way until the very end of the game. As such, this revision only changes slight things to make her kit more consistent, less finicky, and better for the AI to play as her. This includes consolidating the two Protocol effects, making it so that the shapeshift form's skills always heal other party members, and making overdamage 50% instead of 40%. This, along with the decision to give her the ability to give her 8 afflictions in one skill, make her super overpowered, because that's fun!</t>
  </si>
  <si>
    <t>110252_02</t>
  </si>
  <si>
    <t>A-110</t>
  </si>
  <si>
    <t>Dragonyule Lily</t>
  </si>
  <si>
    <t>Princess Starfall</t>
  </si>
  <si>
    <t>https://dragalialost.wiki/w/Dragonyule_Lily</t>
  </si>
  <si>
    <t>A crystalian girl clad in the garb of Saint Starfall. Beaming with pride for her homeland, she works hard to spread Dragonyule cheer far and wide. Her ability to freeze anything solid stands in sharp contrast to her warm heart burning within.</t>
  </si>
  <si>
    <t>Clear All-Out Assault: Master
(The Great Dragonyule Offensive)</t>
  </si>
  <si>
    <t>Crystalline Magic</t>
  </si>
  <si>
    <t>Surprise Gift</t>
  </si>
  <si>
    <t>(Water) HP Recovery = Strength +8%</t>
  </si>
  <si>
    <t>Saint's Calling II</t>
  </si>
  <si>
    <t>Crystalian Shield II</t>
  </si>
  <si>
    <t>Saint's Calling (V3)</t>
  </si>
  <si>
    <t>Added Strength Amp (Max Lv. = 3) granted by Surprise Gift</t>
  </si>
  <si>
    <t>Dragonyule Lily was a… unique healer, as she was the second example of overdamage in the game, but she lacked any regen abilities, and her strength buffs were rendered utterly useless in Nihility content. Which led her to be replaced by Nurse Aeleen of all adventurers. This revision basically guts her existing build and buffs everything. Better overdamage, force strikes heal all adventurers, and strength buffs from Surprise Gift now grant strength amps too.</t>
  </si>
  <si>
    <t>110351_01</t>
  </si>
  <si>
    <t>A-111</t>
  </si>
  <si>
    <t>Jiang Ziya</t>
  </si>
  <si>
    <t>Quirky Qilin</t>
  </si>
  <si>
    <t>https://dragalialost.wiki/w/Jiang_Ziya</t>
  </si>
  <si>
    <t>A former Qilin sealer, she now travels the world sharing the convenience of relics with everyone she meets. Her curiosity can make her a bit impulsive, and she has a tendency to get carried away.</t>
  </si>
  <si>
    <t>Clear Tidal Chimera Strike: Standard
(Void Battles)</t>
  </si>
  <si>
    <t>Curative Catch</t>
  </si>
  <si>
    <t>Provident Protection</t>
  </si>
  <si>
    <t>(Water) HP Below 60% = HP Regen VI</t>
  </si>
  <si>
    <t>HP 70% = Healing +15%</t>
  </si>
  <si>
    <t>Magical Reduction (V3)</t>
  </si>
  <si>
    <t>Updated Defense Amp (Max Lv. = 3) granted by Provident Protection</t>
  </si>
  <si>
    <t>Jiang Ziya was a very 'year one' healer, and was quickly outmoded by the regen power of later adventurers, not helped by her lack of a mana spiral. This revision increases the power of her healing, gives her access to dispel, and boosts her skill gauge fill rate, while giving her a defense amp. Combined with the 'insurance' of her chain co-ability, this makes her a respectable healer.</t>
  </si>
  <si>
    <t>110029_02</t>
  </si>
  <si>
    <t>A-112</t>
  </si>
  <si>
    <t>Nurse Aeleen</t>
  </si>
  <si>
    <t>Battle-Tested Nurse</t>
  </si>
  <si>
    <t>https://dragalialost.wiki/w/Nurse_Aeleen</t>
  </si>
  <si>
    <t>A knight who, at long last, has overcome her fears and taken on a new role as a nurse. Her bedside manner and knowledge of herbs are impeccable—but can she keep her other personality at bay?</t>
  </si>
  <si>
    <t>Clear The Mercurial Gauntlet
(Water): Lv. 20
(The Mercurial Gauntlet)</t>
  </si>
  <si>
    <t>Medicinal Cure</t>
  </si>
  <si>
    <t>Naturopathy</t>
  </si>
  <si>
    <t>United Haste II</t>
  </si>
  <si>
    <t>Battle-Tested Nurse (V3)</t>
  </si>
  <si>
    <t>Updated Strength Amp (Max Lv. = 3) granted by Medicinal Cure</t>
  </si>
  <si>
    <t>Nurse Aeleen became the de facto water healer after her mana spiral in spring 2021, however her kit always felt like it was restricted given her status as a 4-star adventurer. This revision boosts her healing power, removes the proximity effect to her HP Up buff, makes her desperation skill gauge fill comparable to Last Boost for Marth, and gives her a more usable strength amp.</t>
  </si>
  <si>
    <t>110019_01</t>
  </si>
  <si>
    <t>A-113</t>
  </si>
  <si>
    <t>Thaniel</t>
  </si>
  <si>
    <t>Shifty Sailor</t>
  </si>
  <si>
    <t>https://dragalialost.wiki/w/Thaniel</t>
  </si>
  <si>
    <t>A serious-minded former soldier of the sea who excels at swimming, fishing, and laundry. He left the navy and came to the castle to work under The Prince, but he seems to have a secret he wants to reveal to him.</t>
  </si>
  <si>
    <t>Clear Lv. 10 of The Mercurial Gauntlet in All Elements
(The Mercurial Gauntlet)</t>
  </si>
  <si>
    <t>Healing Wave</t>
  </si>
  <si>
    <t>Seafarer's Pride</t>
  </si>
  <si>
    <t>(Water) Above 10 Hits = Strength +10%</t>
  </si>
  <si>
    <t>Gauge Inhibitor +30%</t>
  </si>
  <si>
    <t>Shifty Sailor (V3)</t>
  </si>
  <si>
    <t>Thaniel was the best water healer at launch, but that did not mean much. His kit has very little character to it, so this revision adds regen, removes his generally useless guage inhibitor, give shim critical rate, and gives him a critical damage amp. He is still fairly plain, but more useful at the lead.</t>
  </si>
  <si>
    <t>110017_01</t>
  </si>
  <si>
    <t>A-114</t>
  </si>
  <si>
    <t>Ricardt</t>
  </si>
  <si>
    <t>Kindly Coward</t>
  </si>
  <si>
    <t>https://dragalialost.wiki/w/Ricardt</t>
  </si>
  <si>
    <t>A priest who's not good with people or blood. Although he wants to be of use and has the talent to back it up, his personality prevents it. He knows this and actively tries to better himself, but it's all to little avail.</t>
  </si>
  <si>
    <t>Measure of Mercy</t>
  </si>
  <si>
    <t>Holy Water</t>
  </si>
  <si>
    <t>(Water) HP +7%</t>
  </si>
  <si>
    <t>Full HP = Defense &amp; Recovery Potency I</t>
  </si>
  <si>
    <t>Kindly Coward (V3)</t>
  </si>
  <si>
    <t>Added Defense Amp (Max Lv. = 3) granted by Holy Water</t>
  </si>
  <si>
    <t>Team Doublebuff Regen</t>
  </si>
  <si>
    <t>Ricardt became a sort of discount healer shortly after his mana spiral gave him access to regen, and I remember seeing him used on occasion in endgame clears. However, he is a very basic healer, and this revision aims to build upon his more defensive aspects by making him into a team healing doublebuff adventurer, pretty much only because of his Full HP = Defense &amp; Recovery Potency I ability.</t>
  </si>
  <si>
    <t>100029_04</t>
  </si>
  <si>
    <t>A-115</t>
  </si>
  <si>
    <t>Sharpshooter Sarisse</t>
  </si>
  <si>
    <t>Sylvan Sharpshooter</t>
  </si>
  <si>
    <t>https://dragalialost.wiki/w/Sharpshooter_Sarisse</t>
  </si>
  <si>
    <t>Through her interaction with humans at the Halidom, Sarisse has learned to wield a mana- caster. It's a symbol of her drive to learn from foreign cultures, and her curiosity and flexibility will open a bright future.</t>
  </si>
  <si>
    <t>Clear Guardians of the Wood: Standard
(The Children of Yggdrasil)</t>
  </si>
  <si>
    <t>Progress Blaster</t>
  </si>
  <si>
    <t>Sylvan Aim</t>
  </si>
  <si>
    <t>Debuff Skill Time +20%</t>
  </si>
  <si>
    <t>Last Recovery IV</t>
  </si>
  <si>
    <t>Sylvan Sharpshooter (V3)</t>
  </si>
  <si>
    <t>Added Strength Amp (Max Lv. = 3) granted by Sylvan Aim</t>
  </si>
  <si>
    <t>Added to Progress Blaster</t>
  </si>
  <si>
    <t>Sharpshooter Sarisse is a water adventurer whose most unique feature was bound by RNG, and she lacked much in regards to DPS. This revision boosts her DPS considerably, adds dispel, and consolidates her secondary skill to make her a powerful debuffer and give her teamwide healing. Also, it gives her energy immunity, because her chain co-ability necessitates it.</t>
  </si>
  <si>
    <t>110376_01</t>
  </si>
  <si>
    <t>A-116</t>
  </si>
  <si>
    <t>Yoshitsune</t>
  </si>
  <si>
    <t>Leader of the Rooster Clan</t>
  </si>
  <si>
    <t>https://dragalialost.wiki/w/Yoshitsune</t>
  </si>
  <si>
    <t>The leader of the Rooster Wyrmclan, one of the twelve that rule the island nation of Hinomoto. She travels the world as a distinguished mercenary, and though she's over 100 years old, she reverts to a youthful appearance in battle.</t>
  </si>
  <si>
    <t>Clear Shikigami Clash: Omega 1
(Cursed Connections)</t>
  </si>
  <si>
    <t>Kumasaka Flash</t>
  </si>
  <si>
    <t>Shanao Strike</t>
  </si>
  <si>
    <t>(Water) Dodge = Strength +10%</t>
  </si>
  <si>
    <t>Nimble Riposte II</t>
  </si>
  <si>
    <t>Nimble Riposte (V3)</t>
  </si>
  <si>
    <t>Added Critical Damage Amp (Max Lv. = 1) granted by 15-hit combo</t>
  </si>
  <si>
    <t>Added to Shaao Strike</t>
  </si>
  <si>
    <t>Yoshitsune was an unfortunate adventurer, as she did not have any gimmick beyond her DPS and hit rate. This was useful for certain encounters, but the lack of frostbite or dispel limited her usefulness, and her attack rate boost was nerfed by Nihility a few months after her debut. This revision boosts her damage, gives her dispel, and makes her attack rate buffs immune to Nihility.</t>
  </si>
  <si>
    <t>110370_01</t>
  </si>
  <si>
    <t>A-117</t>
  </si>
  <si>
    <t>Lapis</t>
  </si>
  <si>
    <t>The Blue Rose</t>
  </si>
  <si>
    <t>https://dragalialost.wiki/w/Lapis</t>
  </si>
  <si>
    <t>A dashing phantom thief who leaves a blue rose as her calling card. A master of disguise, she slips through even the tightest security in pursuit of her prey. She returns all she steals, seemingly doing it for sport, but is there more to her story?</t>
  </si>
  <si>
    <t>Clear A Duel with the Phantom Thief: Standard
(The Phantom's Ransom)</t>
  </si>
  <si>
    <t>Fantastic Flight</t>
  </si>
  <si>
    <t>Graceful Bullet</t>
  </si>
  <si>
    <t>Modus Operandi II</t>
  </si>
  <si>
    <t>Blossoming Rose II</t>
  </si>
  <si>
    <t>Modus Operandi (V3)</t>
  </si>
  <si>
    <t>Blossoming Rose (V3)</t>
  </si>
  <si>
    <t>Added Strength Amp (Max Lv. = 3) granted by 30-hit combo</t>
  </si>
  <si>
    <t>Already on Fantastic Flight</t>
  </si>
  <si>
    <t>Lapis was a mainstay water adventurer since her debut due to her high damage, hit count, and ready access to dispel. This revision boosts her skill damage, gives her a strength amp, and makes her Stronger Bullets effect immune to Nihility.</t>
  </si>
  <si>
    <t>100001_14</t>
  </si>
  <si>
    <t>A-118</t>
  </si>
  <si>
    <t>Bondforged Prince</t>
  </si>
  <si>
    <t>Bondforged Scion</t>
  </si>
  <si>
    <t>https://dragalialost.wiki/w/Bondforged_Prince</t>
  </si>
  <si>
    <t>The seventh scion, having found new strength with the power of his bonds. So long as he has the bonds he's cultivated with his friends, he can fight off all despair and pave the way to new possibilities filled with hope.</t>
  </si>
  <si>
    <t>Clear True Bahamut Clash: Nightmare
(Advent of the Origin)</t>
  </si>
  <si>
    <t>Wind</t>
  </si>
  <si>
    <t>Blazing Tempest</t>
  </si>
  <si>
    <t>Vortex Circlet</t>
  </si>
  <si>
    <t>Shapeshifting Boost VIII</t>
  </si>
  <si>
    <t>(Wind) Dragon Haste +20%</t>
  </si>
  <si>
    <t>Windwyrm's Dragonlight II</t>
  </si>
  <si>
    <t>Unbreakable Bonds II (Wind)</t>
  </si>
  <si>
    <t>Tempest Charge II</t>
  </si>
  <si>
    <t>Potent Freeze &amp; Bog Res +100% (V3)</t>
  </si>
  <si>
    <t>Updated Stormlash</t>
  </si>
  <si>
    <t>No change to Team Critical Damage Amp (Max Lv. = 3) granted by shapeshift</t>
  </si>
  <si>
    <t>As one of the final adventurers released in the lifespan of Dragalia Lost, Bondfoged Prince requires virtually no changes, but the damage numbers were rounded up for good measure.</t>
  </si>
  <si>
    <t>110392_01</t>
  </si>
  <si>
    <t>A-119</t>
  </si>
  <si>
    <t>Nino</t>
  </si>
  <si>
    <t>Inheritor of the Wing</t>
  </si>
  <si>
    <t>https://dragalialost.wiki/w/Nino</t>
  </si>
  <si>
    <t>The sheltered scion of a bloodline with both human and faerie roots. She and her ancestors steward wisdom of history's hidden truths and the so-called "key to perdition." When in danger, her faerie powers awaken in the form of a lone wing.</t>
  </si>
  <si>
    <t>Clear All-Out Assault: EX
(Blessed Bloodline)</t>
  </si>
  <si>
    <t>Faerie Stance</t>
  </si>
  <si>
    <t>Crescent Faeria</t>
  </si>
  <si>
    <t>(Wind) Combo = Critical Rate V</t>
  </si>
  <si>
    <t>Blessed Bloodline II</t>
  </si>
  <si>
    <t>Freeze Res +100%</t>
  </si>
  <si>
    <t>Blessed Bloodline (V3)</t>
  </si>
  <si>
    <t>Potent Freeze Res +100%</t>
  </si>
  <si>
    <t>Added Stormlash</t>
  </si>
  <si>
    <t>Added to Crescent Faeria</t>
  </si>
  <si>
    <t>The wind element, more than any other, demanded adventurers with ready access to dispel and afflictions after the debut of its Sinister Dominion content. As such, Nino was given stormlash on her dragondrive first skill and dispel on all variants of her second skill. Her dragondrive buffs were also increased, and she was given a critical damage amp to compliment her critical rate up. </t>
  </si>
  <si>
    <t>110379_01</t>
  </si>
  <si>
    <t>A-120</t>
  </si>
  <si>
    <t>Mona</t>
  </si>
  <si>
    <t>Feline Guide</t>
  </si>
  <si>
    <t>https://dragalialost.wiki/w/Mona</t>
  </si>
  <si>
    <t>A talking cat (don't say that to his face) who has served as the guide and mascot of the Phantom Thieves ever since Joker saved him from Suguru Kamoshida's Palace. Has a mildly unhealthy obsession with Panther.</t>
  </si>
  <si>
    <t>Clear Monarch Emile Clash: EX
(Persona 5 Strikers Caged Desire)</t>
  </si>
  <si>
    <t>Mona Car</t>
  </si>
  <si>
    <t>Beckoning Cat</t>
  </si>
  <si>
    <t>Wind Boost +20%</t>
  </si>
  <si>
    <t>(Wind) Gentleman Thief V</t>
  </si>
  <si>
    <t>Water Res +10%</t>
  </si>
  <si>
    <t>Guiding Feline II</t>
  </si>
  <si>
    <t>Guiding Feline (V3)</t>
  </si>
  <si>
    <t>Added to Beckoning Cat</t>
  </si>
  <si>
    <t>Mona was a top tier adventurer for wind because of his Wind Boost Co-Ability, but his kit largely lacked much else to make him a good adventurer beyond pure damage. This revision gives him a further DPS boost and access to dispel, a strength amp, and stormlash.</t>
  </si>
  <si>
    <t>100018_02</t>
  </si>
  <si>
    <t>A-121</t>
  </si>
  <si>
    <t>Gala Leif</t>
  </si>
  <si>
    <t>White Sparrow</t>
  </si>
  <si>
    <t>https://dragalialost.wiki/w/Gala_Leif</t>
  </si>
  <si>
    <t>Captain of Alberia's Royal Guard. An exemplar of the knights, his love for his country is exceptionally strong. A brilliant swordsman, he also served as an instructor in the way of the blade to the royal children.</t>
  </si>
  <si>
    <t>Clear Ch. 13 5-4 of the Main Campaign
(Hard)</t>
  </si>
  <si>
    <t>Feathered Gale</t>
  </si>
  <si>
    <t>Pinion Slash</t>
  </si>
  <si>
    <t>Reduced Strength &amp; Defense Punisher +8%</t>
  </si>
  <si>
    <t>(Wind) Strength Doublebuff +10%</t>
  </si>
  <si>
    <t>White Sparrow's Vow III</t>
  </si>
  <si>
    <t>Flurry Strength &amp; Poison Edge/Sting I</t>
  </si>
  <si>
    <t>White Sparrow (V3)</t>
  </si>
  <si>
    <t>Updated Poison</t>
  </si>
  <si>
    <t>Already present on Feathered Gale</t>
  </si>
  <si>
    <t>Gala Lief was a great wind adventurer after his mana spiral, and the only problem with his kit is how he does not grant his HP Up buff if controlled by an AI. This revision boosts damage numbers and gives Pinion Slash the ability to raise max HP. This is a slightly overpowered approach, but it is easier than redoing his AI.</t>
  </si>
  <si>
    <t>100002_06</t>
  </si>
  <si>
    <t>A-122</t>
  </si>
  <si>
    <t>Wedding Elisanne</t>
  </si>
  <si>
    <t>Battling Bride</t>
  </si>
  <si>
    <t>https://dragalialost.wiki/w/Wedding_Elisanne</t>
  </si>
  <si>
    <t>The mighty Paladyn dons a white wedding dress and takes up her place at the front line to secure peace and victory for her land—as well as to remain with the man she secretly loves.</t>
  </si>
  <si>
    <t>Clear *WIND* Manticore Strike
(Void Battles)</t>
  </si>
  <si>
    <t>Sacred Union</t>
  </si>
  <si>
    <t>Wedding Bell</t>
  </si>
  <si>
    <t>(Wind) HP 60% = Strength +6%</t>
  </si>
  <si>
    <t>Skill Haste +8%</t>
  </si>
  <si>
    <t>Bog Res +100%</t>
  </si>
  <si>
    <t>Battling Bride (V3)</t>
  </si>
  <si>
    <t>Potent Bog Res +100%</t>
  </si>
  <si>
    <t>Added Defense Amp (Max Lv. = 3) granted by Sacred Union</t>
  </si>
  <si>
    <t>Added to Wedding Bell</t>
  </si>
  <si>
    <t>Wedding Elisanne was a staple adventurer in High Mercury Trials during the first year of the game, given her ability to serve as a healer, debuffer, and DPS. However, her numbers were outmoded over time, and this revision mostly increases the numbers. Buff zones last longer, regen is better, damage numbers are bigger, and skill haste is faster. She was also given a defense amp, dispel, and stormlash res down for good measure.</t>
  </si>
  <si>
    <t>100003_07</t>
  </si>
  <si>
    <t>A-123</t>
  </si>
  <si>
    <t>Gala Ranzal</t>
  </si>
  <si>
    <t>Seasoned Tactician</t>
  </si>
  <si>
    <t>https://dragalialost.wiki/w/Gala_Ranzal</t>
  </si>
  <si>
    <t>Ranzal has been appointed a commander in the New Alberian army. He wears armor made by his friends, and has traded the axe of his mercenary days for a sword. He's still as boisterous as ever, but now has the dignity and presence of a leader.</t>
  </si>
  <si>
    <t>Clear Ch. 07 5-5 of the Main Campaign
(Hard)</t>
  </si>
  <si>
    <t>Cyclone Blade</t>
  </si>
  <si>
    <t>Wind Tactics</t>
  </si>
  <si>
    <t>(Wind) Critical Rate Doublebuff +10%</t>
  </si>
  <si>
    <t>Experience's Boon III</t>
  </si>
  <si>
    <t>Relentless Spirit III</t>
  </si>
  <si>
    <t>Experience's Boon (V3)</t>
  </si>
  <si>
    <t>Added Poison</t>
  </si>
  <si>
    <t>Updated Strength Amp (Max Lv. = 3) granted by Wind Tactics</t>
  </si>
  <si>
    <t>Added to "Gale-Clad Sword" force strikes</t>
  </si>
  <si>
    <t>Gala Ranzal is a strong adventurer who suffered from his lack of affliction or dispel, limiting his utility in wind Rise of the Sinister Dominion content. This revision boosts his skill damage and defensive buffs, while adding poison and dispel to his kit.</t>
  </si>
  <si>
    <t>110038_02</t>
  </si>
  <si>
    <t>A-124</t>
  </si>
  <si>
    <t>Templar Hope</t>
  </si>
  <si>
    <t>Budding Templar</t>
  </si>
  <si>
    <t>https://dragalialost.wiki/w/Templar_Hope</t>
  </si>
  <si>
    <t>Hope is now a fresh Templar apprentice! Though he worked with his usual zeal at his priestly duties, he simply couldn't give up his aspirations to knighthood, and so decided to be both!</t>
  </si>
  <si>
    <t>Clear The Mercurial Gauntlet
(Wind): Lv. 10
(The Mercurial Gauntlet)</t>
  </si>
  <si>
    <t>Knight's Spirit</t>
  </si>
  <si>
    <t>Blessed Sword</t>
  </si>
  <si>
    <t>(Wind) HP 60% = Strength +5%</t>
  </si>
  <si>
    <t>Healing Doublebuff (Team)</t>
  </si>
  <si>
    <t>Added Defense Amp (Max Lv. = 1) granted by Knight's Spirit</t>
  </si>
  <si>
    <t>Added to Blessed Sword</t>
  </si>
  <si>
    <t>Templar Hope was a doublebuff bot who was routinely used for auto compositions, but his kit was made largely worthless in Nihility content. This revision grants Templar Hope a defense amp up, dispel, and stormlash, along with expanding his team healing doublebuff to include team defense amps. While more could be done with his kit by consolidating the freeze and bog res abilities, this should be sufficient.</t>
  </si>
  <si>
    <t>110315_01</t>
  </si>
  <si>
    <t>A-125</t>
  </si>
  <si>
    <t>Ku Hai</t>
  </si>
  <si>
    <t>Rambling Blade</t>
  </si>
  <si>
    <t>https://dragalialost.wiki/w/Ku_Hai</t>
  </si>
  <si>
    <t>A wandering swordsman from the east who avoids involvement with others. He has a cool personality, but also harbors a burning rage for acts of injustice, standing up for the persecuted wherever his travels take him.</t>
  </si>
  <si>
    <t>Clear Valfarre Clash: Expert
(Skyborne Spectacle)</t>
  </si>
  <si>
    <t>Soaring Flicker</t>
  </si>
  <si>
    <t>Keen Blade</t>
  </si>
  <si>
    <t>(Wind) Above 10 Hits = Strength +10%</t>
  </si>
  <si>
    <t>Critical Damage +15%</t>
  </si>
  <si>
    <t>HP 70% = Critical Damage +15%</t>
  </si>
  <si>
    <t>Updated Strength Amp (Max Lv. = 3) granted by Keen Blade</t>
  </si>
  <si>
    <t>Added to "Asparas Formation" force strikes</t>
  </si>
  <si>
    <t>Ku Hai was an early 4-star adventurer with little to his kit beyond his funky force strike and big critical damage buffs. This revision gives him stormlash, a strength amp, dispel, and increased critical rate, making him far more useful.</t>
  </si>
  <si>
    <t>100019_02</t>
  </si>
  <si>
    <t>A-126</t>
  </si>
  <si>
    <t>Harle</t>
  </si>
  <si>
    <t>The Black Raven</t>
  </si>
  <si>
    <t>https://dragalialost.wiki/w/Harle</t>
  </si>
  <si>
    <t>A cunning knight willing to use even the most underhanded of methods. He was the chief of the Capital Guard until someone deposited him in another world—and his thoughts have been filled with revenge ever since his return.</t>
  </si>
  <si>
    <t>Clear The Might of Heaven
(Faith Forsaken)
(Part One)</t>
  </si>
  <si>
    <t>Raven's Ridicule</t>
  </si>
  <si>
    <t>Raven's Patsy</t>
  </si>
  <si>
    <t>(Wind) HP 80% = Water Res +6%</t>
  </si>
  <si>
    <t>Demon's Bane +30%</t>
  </si>
  <si>
    <t>Raven's Vengeance II</t>
  </si>
  <si>
    <t>Added Critical Damage Amp (Max Lv. = 3) granted by Raven's Patsy</t>
  </si>
  <si>
    <t>Added to Raven's Ridicule</t>
  </si>
  <si>
    <t>Harle was a curious addition due to his utter lack of amps, afflictions, and dispel, despite having been released during the prime of Nihility content. This revision gives stormlash and dispel, along with a critical damage amp, </t>
  </si>
  <si>
    <t>110349_04</t>
  </si>
  <si>
    <t>A-127</t>
  </si>
  <si>
    <t>Yukata Lathna</t>
  </si>
  <si>
    <t>Midsummer Nightmare</t>
  </si>
  <si>
    <t>https://dragalialost.wiki/w/Yukata_Lathna</t>
  </si>
  <si>
    <t>Lathna, clad in an adorable yukata and ready to hit a festival with a special new friend. The thing that sleeps within her has other plans, however. Growing stronger each day, its shackles loosen, lending this sweet girl a most indescribable air…</t>
  </si>
  <si>
    <t>Clear All-Out Assault: EX
(Drifting Sorrows)</t>
  </si>
  <si>
    <t>Summer Moon Howl</t>
  </si>
  <si>
    <t>Haunter of the Festival</t>
  </si>
  <si>
    <t>Reduced Strength Punisher +20%</t>
  </si>
  <si>
    <t>Reduced Strength &amp; Defense Punisher +20% (V3)</t>
  </si>
  <si>
    <t>Updated Defense Amp (Max Lv. = 3) granted by Summer Moon Howl</t>
  </si>
  <si>
    <t>Already on Summer Moon Howl</t>
  </si>
  <si>
    <t>Yukata Lathna was a powerhouse adventurer in certain contexts, and this revision aims to enhance her existing strengths. This revision consolidates skill shift, boosts damage, increases wind resistance's effectiveness, and adds bleed. The only thing it does not do is add an affliction, because the adventurer already has enough power and utility as a dispeller and debuffer. </t>
  </si>
  <si>
    <t>110296_02</t>
  </si>
  <si>
    <t>A-128</t>
  </si>
  <si>
    <t>Forager Mitsuba</t>
  </si>
  <si>
    <t>Foraging Chef</t>
  </si>
  <si>
    <t>https://dragalialost.wiki/w/Forager_Mitsuba</t>
  </si>
  <si>
    <t>A young woman who hails from Hinomoto and has come to study local Alberian cuisine. She learned the potential of outdoor cooking after trying it with friends, and now plans to use it so she might return the family restaurant to glory.</t>
  </si>
  <si>
    <t>Clear Flame Manticore Assault: Expert
(Princess Connect! Re Dive A Voracious Visitor)</t>
  </si>
  <si>
    <t>Fiend Ikejime</t>
  </si>
  <si>
    <t>Fiend Banquet</t>
  </si>
  <si>
    <t>Bleeding = User Strength +10%</t>
  </si>
  <si>
    <t>Chef's Savvy II</t>
  </si>
  <si>
    <t>Chef's Savvy (V3)</t>
  </si>
  <si>
    <t>Added Team Strength Amp (Max Lv. = 3) granted by Giend Banquet</t>
  </si>
  <si>
    <t>Forager Mitsuba is a quirky adventurer and her kit has a lot of little oddities to it. This revision aims to simplify her as an adventurer, give her more ready access to poison, give her access to dispel, and remove the "New Dish" balancing effect tied to 15-hit combos. </t>
  </si>
  <si>
    <t>110352_01</t>
  </si>
  <si>
    <t>A-129</t>
  </si>
  <si>
    <t>Tobias</t>
  </si>
  <si>
    <t>Faithful Knight</t>
  </si>
  <si>
    <t>https://dragalialost.wiki/w/Tobias</t>
  </si>
  <si>
    <t>A Paladyn commander of the perditionist faction of the church. He would balk at no sacrifice in the name of a just faith, but he also seeks a peaceful world and happiness for its people, whom he fights for with both sword and prayer.</t>
  </si>
  <si>
    <t>Clear Phantom Strikes
(All Elements)
(Void Battles)</t>
  </si>
  <si>
    <t>Eternal Grace</t>
  </si>
  <si>
    <t>Sacred Blade</t>
  </si>
  <si>
    <t>Buff Time +20%</t>
  </si>
  <si>
    <t>(Wind) Above 10 Hits = Water Res +10%</t>
  </si>
  <si>
    <t>Poisoned Punisher +30%</t>
  </si>
  <si>
    <t>Faithful Knight (V3)</t>
  </si>
  <si>
    <t>Added Team Strength Amp (Max Lv. = 1) granted by Eternal Grace</t>
  </si>
  <si>
    <t>Tobias was a great DPS adventurer back when strength buffs were still viable, but he was woefully nerfed by Nihility. This revision gives Tobias access to a team strength amp with his first skill, a dispel force strike, and boosts his skill damage by a factor of 3. More could be done to reinvent his kit, but this revision aims to stay true to his original usage.</t>
  </si>
  <si>
    <t>110307_01</t>
  </si>
  <si>
    <t>A-130</t>
  </si>
  <si>
    <t>Victor</t>
  </si>
  <si>
    <t>Vengeful Commander</t>
  </si>
  <si>
    <t>https://dragalialost.wiki/w/Victor</t>
  </si>
  <si>
    <t>The commander of a mercenary band called the Shadewolves who were betrayed and annihilated by the Empire. This left him a shell of a man who gave up everything in the name of revenge. Where he goes, dark rumors follow.</t>
  </si>
  <si>
    <t>Clear Harle's Trial: Standard
(Trials of the Mighty)</t>
  </si>
  <si>
    <t>Steel Formation</t>
  </si>
  <si>
    <t>Lethal Stratagem</t>
  </si>
  <si>
    <t>(Wind) Defense +6%</t>
  </si>
  <si>
    <t>Defense +6%</t>
  </si>
  <si>
    <t>Vengeful Commander (V3)</t>
  </si>
  <si>
    <t>Updated Strength Amp (Max Lv. = 3) granted by Steel Formation</t>
  </si>
  <si>
    <t>Added to Lethal Stratagem</t>
  </si>
  <si>
    <t>Bleed &amp; Knockback Immunity &amp; HP Up</t>
  </si>
  <si>
    <t>Victor was given new relevance with the release of his mana spiral in December 2021, granting him access to stormlash, bleed, and HP Up buffs, and even water res. This revision does little to change these things, but boosts their numbers slightly, adds dispel, and updates the amp.</t>
  </si>
  <si>
    <t>110310_01</t>
  </si>
  <si>
    <t>A-131</t>
  </si>
  <si>
    <t>Addis</t>
  </si>
  <si>
    <t>Noble Warrior</t>
  </si>
  <si>
    <t>https://dragalialost.wiki/w/Addis</t>
  </si>
  <si>
    <t>A samurai from the distant land of Hinomoto whose sword moves like the wind itself. Though coarse in terms of speech, he is polite and deeply honorable. Ever since Ieyasu saved his life, he has served him loyally.</t>
  </si>
  <si>
    <t>Clear Moonlight March
(Fortune from Afar)</t>
  </si>
  <si>
    <t>Bamboo Cutter</t>
  </si>
  <si>
    <t>Dignified Soul</t>
  </si>
  <si>
    <t>(Wind) HP 80% = Water Res +5%</t>
  </si>
  <si>
    <t>Bleeding Punisher +8%</t>
  </si>
  <si>
    <t>Added Strength Amp (Max Lv. = 3) granted by Dignified Soul</t>
  </si>
  <si>
    <t>Added to Bamboo Cutter Buffed</t>
  </si>
  <si>
    <t>Addis was a curious adventurer with his ability to switch between doling out bleed and poison, but like many early 4-stars, his kit was very limited and not very imaginative. This revision improves damage, adds a strength buff, combines both bleed and poison into the first skill, and upgrades the punisher abilities by a dramatic margin, while also throwing in dispel and a strength amp.</t>
  </si>
  <si>
    <t>110030_01</t>
  </si>
  <si>
    <t>A-132</t>
  </si>
  <si>
    <t>Musashi</t>
  </si>
  <si>
    <t>Wandering Samurai</t>
  </si>
  <si>
    <t>https://dragalialost.wiki/w/Musashi</t>
  </si>
  <si>
    <t>A samurai from the east. His legendary skill meant no one in his homeland would challenge him, which led to a life of unending boredom. He came to the castle after hearing rumors of a place brimming with talented, deadly fighters.</t>
  </si>
  <si>
    <t>Clear Battle in Rovetelle Forest: Beginner
(The Imperial Onslaught)</t>
  </si>
  <si>
    <t>Belching Dragon</t>
  </si>
  <si>
    <t>Force of the Wind</t>
  </si>
  <si>
    <t>(Wind) Poison = User Water Res +7%</t>
  </si>
  <si>
    <t>Overdrive Punisher +8%</t>
  </si>
  <si>
    <t>Added Strength Amp (Max Lv. = 3) granted by Force of the Wind</t>
  </si>
  <si>
    <t>Added to Belching Dragon</t>
  </si>
  <si>
    <t>Musashi is an adventurer with very little to his kit. He has poison, he has self strength buffs, and that's about it. This revision does not do much beyond update his abilities, make his strength buff affect the entire team, boost skill damage, and give him dispel.</t>
  </si>
  <si>
    <t>110027_01</t>
  </si>
  <si>
    <t>A-133</t>
  </si>
  <si>
    <t>Melody</t>
  </si>
  <si>
    <t>Menace of a Maid</t>
  </si>
  <si>
    <t>https://dragalialost.wiki/w/Melody</t>
  </si>
  <si>
    <t>A devoted maid in perpetual training due to her clumsy nature. There's no way to count how many plates she's dropped or aprons she's burned. Will she ever be able to call herself a maid for true?</t>
  </si>
  <si>
    <t>Maid for Mayhem</t>
  </si>
  <si>
    <t>Tyro's Gyre</t>
  </si>
  <si>
    <t>(Wind) Above 10 Hits = Water Res +7%</t>
  </si>
  <si>
    <t>Full HP = Critical Rate +15%</t>
  </si>
  <si>
    <t>Potent Freeze Res +50%</t>
  </si>
  <si>
    <t>Freeze Res +50%</t>
  </si>
  <si>
    <t>Menace of a Maid (V3)</t>
  </si>
  <si>
    <t>Added Strength Amp (Max Lv. = 3) granted by Maid for Mayhem</t>
  </si>
  <si>
    <t>Added to Tyro's Gyre</t>
  </si>
  <si>
    <t>Melody was an adventurer who, even after her mana spiral, was still pretty weak. Her skill damage simply was not there, and her utility was mostly as a buff provider or discount Tobias. This revision aims to round her out with extra force strike damage, extra critical damage, and the ability to lower poison resistance.</t>
  </si>
  <si>
    <t>110365_03</t>
  </si>
  <si>
    <t>A-134</t>
  </si>
  <si>
    <t>Dragonyule Nevin</t>
  </si>
  <si>
    <t>The Wintry Wing of Revelation</t>
  </si>
  <si>
    <t>https://dragalialost.wiki/w/Dragonyule_Nevin</t>
  </si>
  <si>
    <t>One of the apostles of the Northern Church. As a certified lazybones, the harsh winter is a bother he'd rather avoid, but he's donned some warmer clothes for a mission in the snowy birthplace of Dragonyule.</t>
  </si>
  <si>
    <t>Clear The Angelic Herald: Standard
(One Starry Dragonyule)</t>
  </si>
  <si>
    <t>Stellar Knives</t>
  </si>
  <si>
    <t>Vertex Apocalypse</t>
  </si>
  <si>
    <t>(Wind) Stormlash = User Water Res +8%</t>
  </si>
  <si>
    <t>Ramiel's Yuletide Piety II</t>
  </si>
  <si>
    <t>Stormlash Edge +40%</t>
  </si>
  <si>
    <t>Ramiel's Yuletide Piety (V3)</t>
  </si>
  <si>
    <t>Flurry Strength &amp; Stormlash Edge/Sting (V3)</t>
  </si>
  <si>
    <t>No change to Team Strength Amp (Max Lv. = 3) granted by Vertex Apocalypse</t>
  </si>
  <si>
    <t>Added to force strike</t>
  </si>
  <si>
    <t>Dragonyule Nevin was a powerful source of stormlash, who largely did not get as much play because of his limited availability and how water content was 'solved' at that time. As such, there is little to be changed about his kit, but dispel was added, skill damage numbers were upgraded, and stormlash edge was upgraded to V3 standards.</t>
  </si>
  <si>
    <t>100007_07</t>
  </si>
  <si>
    <t>A-135</t>
  </si>
  <si>
    <t>Gala Notte</t>
  </si>
  <si>
    <t>Eternal Partner</t>
  </si>
  <si>
    <t>https://dragalialost.wiki/w/Gala_Notte</t>
  </si>
  <si>
    <t>Notte awakens to her true power as a faerie, enabling her to change size at will. No longer a tiny being in need of protection, she now fights on the front lines to protect the ones she loves most.</t>
  </si>
  <si>
    <t>Clear Ch. 18 5-3 of the Main Campaign
(Normal)</t>
  </si>
  <si>
    <t>Faerie Punishment</t>
  </si>
  <si>
    <t>Faerie Illusion</t>
  </si>
  <si>
    <t>(Wind) Combo = Shapeshift Prep V</t>
  </si>
  <si>
    <t>Metamorphosis II</t>
  </si>
  <si>
    <t>Faerie Blessing II</t>
  </si>
  <si>
    <t>Metamorphosis (V3)</t>
  </si>
  <si>
    <t>Added Critical Damage Amp (Max Lv. = 3) granted by 15-hit combo</t>
  </si>
  <si>
    <t>Already on both skills</t>
  </si>
  <si>
    <t>Gala Notte was a powerhouse adventurer and remained an essential part of the wind element since her debut. This revision rounds up the damage numbers, adds stormlash res down, and throws in a critical damage amp.</t>
  </si>
  <si>
    <t>110066_02</t>
  </si>
  <si>
    <t>A-136</t>
  </si>
  <si>
    <t>Summer Norwin</t>
  </si>
  <si>
    <t>Summer Scribe</t>
  </si>
  <si>
    <t>https://dragalialost.wiki/w/Summer_Norwin</t>
  </si>
  <si>
    <t>The Halidom's resident picture book author dons swim trunks, putting his new ability to write happy endings to use on a sunny summer's tale. The stark white page takes on the blue hues of sea and sky as tragedy gives way to joy.</t>
  </si>
  <si>
    <t>Clear Scylla Clash: Expert
(Doomsday Getaway)</t>
  </si>
  <si>
    <t>Summer Memories</t>
  </si>
  <si>
    <t>Ephemeral Love</t>
  </si>
  <si>
    <t>(Wind) Above 10 Hits = HP Regen VI</t>
  </si>
  <si>
    <t>Above 10 Hits = HP Regen VI</t>
  </si>
  <si>
    <t>Energy = Skill Haste III</t>
  </si>
  <si>
    <t>Summer Scribe (V3)</t>
  </si>
  <si>
    <t>Added Defense Amp (Max Lv. = 1) granted by Summer Memories &amp; Critical Damage Amp (Max Lv. = 1) granted by Ephemeral Love</t>
  </si>
  <si>
    <t>Added to Ephemeral Love</t>
  </si>
  <si>
    <t>Summer Norwin was a quirky adventurer. He offered good incremental skill damage, and even energy, but his skill shift and self-inflicted debuff go against V3 standards. This revision simplifies his skills and makes the damage on par with other adventurers, adds dispel and a more steady supply of poison, removes the self debuff entirely, and revises the skill haste to be more consistent. Because of these changes, energy is no longer a core element of his kit, so he was not granted Nihility immunity.</t>
  </si>
  <si>
    <t>110002_02</t>
  </si>
  <si>
    <t>A-137</t>
  </si>
  <si>
    <t>Wedding Aoi</t>
  </si>
  <si>
    <t>Ninja Bride</t>
  </si>
  <si>
    <t>https://dragalialost.wiki/w/Wedding_Aoi</t>
  </si>
  <si>
    <t>Aoi is practicing so-called "ninja bride" skills in a Hinomoto-style wedding dress. Her new outfit isn't ideal for living in the shadows, but it opens up a number of intriguing possibilities. She's set on wearing a similar dress at her own wedding.</t>
  </si>
  <si>
    <t>Clear Tempest Chimera Strike: Standard
(Void Battles)</t>
  </si>
  <si>
    <t>Ninja Bride Sweep</t>
  </si>
  <si>
    <t>Ninja Bride Sunshower</t>
  </si>
  <si>
    <t>Ninja Bride (V3)</t>
  </si>
  <si>
    <t>Updated Defense Amp (Max Lv. = 3) granted by Ninja Bride Sunshower</t>
  </si>
  <si>
    <t>Added to Ninja Bride Sweep</t>
  </si>
  <si>
    <t>Wedding Aoi received a massive glow up with her October 2021 mana spital, and this revision aims to build upon the things that were previously added. Skill damage was brought up slightly, stormlash punisher and defense amp were updated, dispel was added, and she was given HP Up for good measure.</t>
  </si>
  <si>
    <t>110314_01</t>
  </si>
  <si>
    <t>A-138</t>
  </si>
  <si>
    <t>Su Fang</t>
  </si>
  <si>
    <t>Pyroblossom Artisan</t>
  </si>
  <si>
    <t>https://dragalialost.wiki/w/Su_Fang</t>
  </si>
  <si>
    <t>A pyroblossom firework technician from the town of Peng Lai. A kind young man with a deep love for his home, he trains endlessly to create the finest displays possible. His talent also gives him the ability to manipulate the flow of mana.</t>
  </si>
  <si>
    <t>Clear Return to the Spring
(Skyborne Spectacle)</t>
  </si>
  <si>
    <t>Gale Slice</t>
  </si>
  <si>
    <t>Crackling Pyroblossom</t>
  </si>
  <si>
    <t>Therion's Bane +35%</t>
  </si>
  <si>
    <t>Added Strength Amp (Max Lv. = 3) granted by Crackling Pyroblossom</t>
  </si>
  <si>
    <t>Added to Gale Slice</t>
  </si>
  <si>
    <t>Su Fang was an okay adventurer after his mana spiral, but he simply lacked the DPS and utility needed to contend with other adventurers in the wind element. This revision boosts skill damage and gives him the Mighty Bane ability, giving him ample DPS. Also adds dispel and a strength amp for extra utility.</t>
  </si>
  <si>
    <t>110026_01</t>
  </si>
  <si>
    <t>A-139</t>
  </si>
  <si>
    <t>Francesca</t>
  </si>
  <si>
    <t>Cheerful Merchant</t>
  </si>
  <si>
    <t>https://dragalialost.wiki/w/Francesca</t>
  </si>
  <si>
    <t>A competent delivery girl who travels the world on her own terms dispensing impeccable intel— all while wearing a trademark hat that covers her sylvan ears. Each day is a journey that adds a bold new chapter to her travel diary.</t>
  </si>
  <si>
    <t>Peregrine Blade</t>
  </si>
  <si>
    <t>Windwhistler</t>
  </si>
  <si>
    <t>(Wind) Poison = User Water Res +5%</t>
  </si>
  <si>
    <t>Force Strike +30%</t>
  </si>
  <si>
    <t>Bog Res +50%</t>
  </si>
  <si>
    <t>Bog Res +25%</t>
  </si>
  <si>
    <t>Cheerful Merchant (V3)</t>
  </si>
  <si>
    <t>Updated Defense Amp (Max Lv. = 3) granted by force strike</t>
  </si>
  <si>
    <t>Added to force strikes</t>
  </si>
  <si>
    <t>Francesca was a low DPS poison bot who really did not have much going for her. This revision boosts her damage considerably, gives her flurry slayer's devastation, and boosts her force strike damage, while adding poison res down.</t>
  </si>
  <si>
    <t>110401_01</t>
  </si>
  <si>
    <t>A-140</t>
  </si>
  <si>
    <t>Shingen</t>
  </si>
  <si>
    <t>Leader of the Tiger Clan</t>
  </si>
  <si>
    <t>https://dragalialost.wiki/w/Shingen</t>
  </si>
  <si>
    <t>The leader of the Tiger Clan, one of the Twelve Wyrmclans who govern Hinomoto. Though he looks the part of a war-weary veteran, he's younger than his imposing visage suggests. With a talent for looking after others, he's loved by vassals, subjects, and Wyrmclan leaders alike.</t>
  </si>
  <si>
    <t>Clear Tsukuyomi Clash: Nightmare
(Celestial Showdown)</t>
  </si>
  <si>
    <t>Furinkazan</t>
  </si>
  <si>
    <t>Fearless Tiger</t>
  </si>
  <si>
    <t>(Wind) Team Defense Amp = Bog Res +100%</t>
  </si>
  <si>
    <t>Team Defense Amp = Bog Res +100%</t>
  </si>
  <si>
    <t>Tiger's Tenacity II</t>
  </si>
  <si>
    <t>Tiger's Ferocity II</t>
  </si>
  <si>
    <t>Updated Stormlash &amp; Scorchrend</t>
  </si>
  <si>
    <t>No change to Defense Amp (Max Lv. = 3) granted by Fearless Tiger</t>
  </si>
  <si>
    <t>Shingen is a complicated and late addition to the roster of Dragalia Lost, as such there are no changes to be made to the adventurer beyond updating afflictions and making the HP Up effect slightly better. Dispel was omitted due to how complex his kit already is.</t>
  </si>
  <si>
    <t>100006_11</t>
  </si>
  <si>
    <t>A-141</t>
  </si>
  <si>
    <t>Kimono Luca</t>
  </si>
  <si>
    <t>New Year's Prankster</t>
  </si>
  <si>
    <t>https://dragalialost.wiki/w/Kimono_Luca</t>
  </si>
  <si>
    <t>Luca dons a kimono to enjoy a Hinomotoan New Year's to the fullest. Whether it's spinning tops, playing karuta, or pounding mochi, he's all- in on year-end fun. It's going to be so wild, Luca's roping in everyone at the Halidom!</t>
  </si>
  <si>
    <t>Clear Tournament Finals
(Fortune's Fray)</t>
  </si>
  <si>
    <t>Splendid Spring</t>
  </si>
  <si>
    <t>Bright Equinox</t>
  </si>
  <si>
    <t>Pounder of Mochi II</t>
  </si>
  <si>
    <t>Force Strike Attack Rate +20%</t>
  </si>
  <si>
    <t>Pounder of Mochi (V3)</t>
  </si>
  <si>
    <t>Force Strike Attack Rate +25% (V3)</t>
  </si>
  <si>
    <t>Added Team Defense Amp (Max Lv. = 3) granted by Bright Equinox</t>
  </si>
  <si>
    <t>Already on Splendid Spring</t>
  </si>
  <si>
    <t>Kimono Luca was a useful wind support unit with his access to dispel and long-lasting defense and recovery buff. This revision removes the Mochi Master effect and makes Bright Equinox always default to its most powerful version, while building upon his support role with defense down, better strength down, and a team defense amp.</t>
  </si>
  <si>
    <t>110041_02</t>
  </si>
  <si>
    <t>A-142</t>
  </si>
  <si>
    <t>Summer Amane</t>
  </si>
  <si>
    <t>Kitty Cafe's Shining Star</t>
  </si>
  <si>
    <t>https://dragalialost.wiki/w/Summer_Amane</t>
  </si>
  <si>
    <t>The Child of Miracles gives it her beachside best! Clad in a purrfectly precious new swimsuit, she serves verve and victuals at Nina's Kitty Cafe— and spends her downtime comfortably bobbing on the ocean waves, rubber ring in (under)tow.</t>
  </si>
  <si>
    <t>Clear Assault on Admiral Pincers: Expert
(Doomsday Getaway)</t>
  </si>
  <si>
    <t>Empyreal Wind</t>
  </si>
  <si>
    <t>Feline Fortuity</t>
  </si>
  <si>
    <t>Recovery Potency +15%</t>
  </si>
  <si>
    <t>Added Critical Damage Amp (Max Lv. = 3) granted by Feline Fortuity</t>
  </si>
  <si>
    <t>Summer Amane was an interesting idea. A healer who is not a staff unit. However, she was a genuinely bad healer with her low recovery potency and an offense buff skill. This revision boosts her healing significantly, gives her secondary skill a critical damage effect, and boosts her DPS with Mighty Bane, while also giving her extra healing. She is still an odd adventurer, but is considerably better.</t>
  </si>
  <si>
    <t>110027_02</t>
  </si>
  <si>
    <t>A-143</t>
  </si>
  <si>
    <t>Valentine's Melody</t>
  </si>
  <si>
    <t>Lovestruck Maid</t>
  </si>
  <si>
    <t>https://dragalialost.wiki/w/Valentine's_Melody</t>
  </si>
  <si>
    <t>Melody throws on her best outfit for a Valentine's date! Despite being accident-prone as ever, she's still an optimistic kind of gal. She baked a host of treats for you-know-who and filled them with love, but will her feelings be reciprocated?</t>
  </si>
  <si>
    <t>Clear All-Out Assault: Beginner
(Valentine's Confections)</t>
  </si>
  <si>
    <t>Now You'll See What I'm Maid Of!</t>
  </si>
  <si>
    <t>A Splash of Affection</t>
  </si>
  <si>
    <t>Poison = Team Strength +10%</t>
  </si>
  <si>
    <t>Added Critical Damage Amp (Max Lv. = 3) granted by A Splash of Affection</t>
  </si>
  <si>
    <t>Poison Res Down &amp; Debuff Zone</t>
  </si>
  <si>
    <t>Valentine's Melody's initial value was as a source of a defense debuff zone, but that boon came with low damaging skills and underwhelming access to poison, despite being a poison punisher. This revision makes her into a debuffer as well as a source of poison res down and an adventurer. Also with this revision, she was given the overpowered Flurry Strength and Edge/Sting ability for good measure, with the goal of making her a 'goddess of poison.'</t>
  </si>
  <si>
    <t>110268_01</t>
  </si>
  <si>
    <t>A-144</t>
  </si>
  <si>
    <t>Lin You</t>
  </si>
  <si>
    <t>Kung-Fu Apprentice</t>
  </si>
  <si>
    <t>https://dragalialost.wiki/w/Lin_You</t>
  </si>
  <si>
    <t>A young woman who trained with the Qilin tribe of Taiwu. She can be a little naive, but has firm beliefs when it comes to competitions and improving her martial-arts skills, and burns with a desire to become as strong as possible.</t>
  </si>
  <si>
    <t>Clear Valfarre Clash: Nightmare
(Skyborne Spectacle)</t>
  </si>
  <si>
    <t>Typhoon Fist</t>
  </si>
  <si>
    <t>Heaven's Breath</t>
  </si>
  <si>
    <t>(Wind) Above 10 Hits = Strength +13%</t>
  </si>
  <si>
    <t>Kung Fu Mastery</t>
  </si>
  <si>
    <t>Skill Haste &amp; Combo Time</t>
  </si>
  <si>
    <t>Kung Fu Mastery (V3)</t>
  </si>
  <si>
    <t>Lin You was a powerful self-sufficient DPS adventurer, especially after her mana spiral, but her lack of dispel and affliction limited her usability. This revision gives her access to stormlash and dispel, makes her healing skill affect the entire team, and boosts her abilities.</t>
  </si>
  <si>
    <t>100003_01</t>
  </si>
  <si>
    <t>A-145</t>
  </si>
  <si>
    <t>Ranzal</t>
  </si>
  <si>
    <t>Arc in the Storm</t>
  </si>
  <si>
    <t>https://dragalialost.wiki/w/Ranzal</t>
  </si>
  <si>
    <t>A skilled mercenary whose sloppy appearance and careless tongue can make for a sour first impression—although he always acts with honor and conviction in the end. He's been known to occasionally cut a little TOO loose at banquets.</t>
  </si>
  <si>
    <t>Clear Ch. 01 2-3 of the Main Campaign
(Normal)</t>
  </si>
  <si>
    <t>Tornado Bash</t>
  </si>
  <si>
    <t>Storm Wall</t>
  </si>
  <si>
    <t>Enhanced Last Defense I</t>
  </si>
  <si>
    <t>Added Defense Amp (Max Lv. = 3) granted by Storm Wall</t>
  </si>
  <si>
    <t>Already on Tornado Bash</t>
  </si>
  <si>
    <t>Life Shield</t>
  </si>
  <si>
    <t>Ranzal was a solid and reliable wind adventurer after his mana spiral, and his Tornado Bash skill was an invaluable source of dispel for players. However, half of his kit was rendered useless in Nihility. This revision only lightly updates his initial skill, but reworks Storm Wall by removing the conditions around life shield, adding a strength buff, adding a shield, and throwing in a defense amp for good measure.</t>
  </si>
  <si>
    <t>110023_01</t>
  </si>
  <si>
    <t>A-146</t>
  </si>
  <si>
    <t>Johanna</t>
  </si>
  <si>
    <t>Untamed Warrioress</t>
  </si>
  <si>
    <t>https://dragalialost.wiki/w/Johanna</t>
  </si>
  <si>
    <t>A warrior who found her purpose in combat, casting aside thoughts of winning or losing in place of pure enjoyment. Her looks can kill, but woe be the person who points this out, as she prefers the battlefield to the ballroom.</t>
  </si>
  <si>
    <t>Clear Windmaul Ruins: Standard</t>
  </si>
  <si>
    <t>Unbridled Rage</t>
  </si>
  <si>
    <t>Cyclone Axe</t>
  </si>
  <si>
    <t>(Wind) Poison = User Strength +8%</t>
  </si>
  <si>
    <t>Slayer's Strength +4%</t>
  </si>
  <si>
    <t>Poison Res +25%</t>
  </si>
  <si>
    <t>Added Strength Amp (Max Lv. = 3) granted by Cyclone Axe</t>
  </si>
  <si>
    <t>Added to Cyclone Axe</t>
  </si>
  <si>
    <t>Johanna was an underwhelming launch adventurer who lacked much beyond poison and never received a mana spiral. She was a good source of poison, but little else. This revision boosts her damage slightly, gives her poison punisher, and access to poison res down, turning her into a poison bot. This role is also fulfilled by Valentine's Melody, but there is little else that could be done without building her kit in a new direction.</t>
  </si>
  <si>
    <t>100014_03</t>
  </si>
  <si>
    <t>A-147</t>
  </si>
  <si>
    <t>Phares</t>
  </si>
  <si>
    <t>The Dawning Wind</t>
  </si>
  <si>
    <t>https://dragalialost.wiki/w/Phares</t>
  </si>
  <si>
    <t>The second scion of Alberia, and a man of nearly unparalleled intellect. He became a puppet of the Progenitor in order to battle his wyrmscale. After regaining his freedom, he has been using his knowledge to its fullest extent in order to save the world.</t>
  </si>
  <si>
    <t>Clear A Twisted Hero: Standard
(The Blood That Binds)</t>
  </si>
  <si>
    <t>Wisdom Talisman</t>
  </si>
  <si>
    <t>Oath of Bonds</t>
  </si>
  <si>
    <t>(Wind) No Afflictions = Strength +6%</t>
  </si>
  <si>
    <t>Uranus's Blessing II</t>
  </si>
  <si>
    <t>Thirst for Life II</t>
  </si>
  <si>
    <t>Updated Poison &amp; Stormlash</t>
  </si>
  <si>
    <t>No change to Strength Amp (Max Lv. = 1) granted by Oath of Bonds and inflicting afflictions</t>
  </si>
  <si>
    <t>Already on Wisdom Talisman</t>
  </si>
  <si>
    <t>Phares was a late game addition to the roster, and his unique kit needs virtually no changes. Skill damage numbers were rounded up and afflictions were updated, but that's all.</t>
  </si>
  <si>
    <t>110403_01</t>
  </si>
  <si>
    <t>A-148</t>
  </si>
  <si>
    <t>Izumo</t>
  </si>
  <si>
    <t>Emissary of Amaterasu</t>
  </si>
  <si>
    <t>https://dragalialost.wiki/w/Izumo</t>
  </si>
  <si>
    <t>An envoy who bears the Eight-span Mirror. Held in high regard even by Wyrmclan leaders, his duty is to convey the words of Amaterasu to all. He was raised for this task, and so speaks and acts in a relatively adult way—but in reality he has a childlike loneliness that befits his age.</t>
  </si>
  <si>
    <t>Clear The Underworld's Offensive
(Celestial Showdown)</t>
  </si>
  <si>
    <t>Amaterasu Blast</t>
  </si>
  <si>
    <t>Divine Tempest</t>
  </si>
  <si>
    <t>(Wind) Poison = User Strength +13%</t>
  </si>
  <si>
    <t>Bearer of the Eight-span Mirror II</t>
  </si>
  <si>
    <t>Bearer of the Eight-span Mirror (V3)</t>
  </si>
  <si>
    <t>Izumo should be an excellent support adventurer, with his access to healing, water res, bleed, poison, and stormlash. Unfortunately, it just does not work that well in practice. This revision removes the Burst Gambit restrictions on his support skills, gives him more dragondrive UTP, and gives him a strength buff when dragondrive is activated. Which should make him a more usable adventurer for content like Rise of the Sinister Dominion.</t>
  </si>
  <si>
    <t>110285_01</t>
  </si>
  <si>
    <t>A-149</t>
  </si>
  <si>
    <t>Grimnir</t>
  </si>
  <si>
    <t>The Mad Cyclone</t>
  </si>
  <si>
    <t>https://dragalialost.wiki/w/Grimnir</t>
  </si>
  <si>
    <t>A mysterious young man who wields powerful winds. He claims to be a god of war sent by the "keeper of fate." He speaks in an overly dramatic fashion, clearly influenced by the poetry and fiction he enjoys, but at his core he's a good guy.</t>
  </si>
  <si>
    <t>Clear Roar of the Mad Cyclone
(Rage of Chronos)</t>
  </si>
  <si>
    <t>Eternal Storm</t>
  </si>
  <si>
    <t>Full Storm Tempest</t>
  </si>
  <si>
    <t>(Wind) Combo Time VI</t>
  </si>
  <si>
    <t>Forbidden Power Within II</t>
  </si>
  <si>
    <t>Unceasing Cyclone II</t>
  </si>
  <si>
    <t>Forbidden Power Within (V3)</t>
  </si>
  <si>
    <t>Unceasing Cyclone (V3)</t>
  </si>
  <si>
    <t>Grimnir was a curious addition and early source of stormlash with a unique playstyle due to his attack string. This revision boosts his damage slightly, lowers the requirements for his Brewing Storm effect, and throws in a strength amp.</t>
  </si>
  <si>
    <t>110270_02</t>
  </si>
  <si>
    <t>A-150</t>
  </si>
  <si>
    <t>Halloween Melsa</t>
  </si>
  <si>
    <t>Spirited Corpse</t>
  </si>
  <si>
    <t>https://dragalialost.wiki/w/Halloween_Melsa</t>
  </si>
  <si>
    <t>A sylvan girl who dressed up as the living dead for Halloween. It would be hard to tell how gentle she usually is in this outfit, save for how she is unable to hide her excitement about the upcoming festivities.</t>
  </si>
  <si>
    <t>Clear All-Out Assault: EX
(Postmortem Panic)</t>
  </si>
  <si>
    <t>Spooky Revival</t>
  </si>
  <si>
    <t>Venom Bite</t>
  </si>
  <si>
    <t>Endurance of the Dead II</t>
  </si>
  <si>
    <t>Endurance of the Dead (V3)</t>
  </si>
  <si>
    <t>Added Team Strength Amp (Max Lv. = 1) granted by Spooky Revival</t>
  </si>
  <si>
    <t>Halloween Melsa's biggest contribution to Dragalia Lost was her shared skill that lowered poison resistance. Beyond that, she was seen as a gimmick adventurer without much application in most content. This revision enhances her strength with Flurry Strength &amp; Poison Edge/Sting, and increases the power of venom Bite by 400%.</t>
  </si>
  <si>
    <t>110353_01</t>
  </si>
  <si>
    <t>A-151</t>
  </si>
  <si>
    <t>Kirsty</t>
  </si>
  <si>
    <t>Rebellious Commander</t>
  </si>
  <si>
    <t>https://dragalialost.wiki/w/Kirsty</t>
  </si>
  <si>
    <t>A commander from North Grastaea. Though quite strict, her kindness and dependability endear her fiercely to her subordinates. She obeys her orders, but harbors a growing anger toward her country for its reckless treatment of its soldiers.</t>
  </si>
  <si>
    <t>Clear Wind Legion's Trial: Standard
(Trials of the Mighty)</t>
  </si>
  <si>
    <t>Patriot's Charge</t>
  </si>
  <si>
    <t>Lethal Operation</t>
  </si>
  <si>
    <t>(Wind) HP 60% = Critical Rate +8%</t>
  </si>
  <si>
    <t>Poisoned Punisher &amp; Poison = Attack Rate I</t>
  </si>
  <si>
    <t>Rebellious Commander (V3)</t>
  </si>
  <si>
    <t>Updated Strength Amp (Max Lv. = 3) granted by Lethal Operation</t>
  </si>
  <si>
    <t>Already on Patriot's Charge</t>
  </si>
  <si>
    <t>Kirsty was given a second life with her mana spiral, turning her into a great source of poison and dispel. This revision does little to change her kit, but reworks her abilities to give her a permanent attack rate +10% instead of tying that buff to a punisher and makes her strength amp better.</t>
  </si>
  <si>
    <t>110318_01</t>
  </si>
  <si>
    <t>A-152</t>
  </si>
  <si>
    <t>Sylas</t>
  </si>
  <si>
    <t>Adept Aromatherapist</t>
  </si>
  <si>
    <t>https://dragalialost.wiki/w/Sylas</t>
  </si>
  <si>
    <t>A sylvan aromatics expert, tirelessly working to create new scents and applications. He's known Luca since childhood, and both despairs at his immaturities and envies his grit.</t>
  </si>
  <si>
    <t>Clear Full-Bloom Festivities: Master
(The Hunt for Harmony)</t>
  </si>
  <si>
    <t>Woodland Spear</t>
  </si>
  <si>
    <t>Inspiriting Scent</t>
  </si>
  <si>
    <t>Last Recovery V</t>
  </si>
  <si>
    <t>Added Team Defense Amp (Max Lv. = 3) granted by Inspiriting Scent</t>
  </si>
  <si>
    <t>Sylas was a reliable source of poison and common addition of auto compositions following the release of his mana spirals. However, his kit also had a fair bit of randomness due to his second skill. This revision mostly changes Inspiriting Scent into a super buff that boosts strength, defense, skill gauge fill rate, and max HP. Last Recovery was also updated to provide unlimited buffs during quests, and his strength ability was given a modest boost.</t>
  </si>
  <si>
    <t>110302_01</t>
  </si>
  <si>
    <t>A-153</t>
  </si>
  <si>
    <t>Pia</t>
  </si>
  <si>
    <t>Budding Vocalist</t>
  </si>
  <si>
    <t>https://dragalialost.wiki/w/Pia</t>
  </si>
  <si>
    <t>A girl from the Harmonia Choir who loves to sing. Though shy and easily frightened, she yearns to become someone who can share her opinions freely. She often consults with her best pal, Mr. Mouse, about her various problems.</t>
  </si>
  <si>
    <t>Clear Banishing the Darkness Within
(Resplendent Refrain)</t>
  </si>
  <si>
    <t>Ka-boom!</t>
  </si>
  <si>
    <t>Cheer up, chums!</t>
  </si>
  <si>
    <t>(Wind) Strength Doublebuff +9%</t>
  </si>
  <si>
    <t>HP 70% = Defense +10%</t>
  </si>
  <si>
    <t>Energy Doublebuff I</t>
  </si>
  <si>
    <t>Budding Vocalist (V3)</t>
  </si>
  <si>
    <t>Added Defense Amp (Max Lv. = 3) granted by Cheer up, chums!</t>
  </si>
  <si>
    <t>Added to Ka-boom!</t>
  </si>
  <si>
    <t>Pia was a subpar adventurer when she debuted, and with no mana spiral, she was left without much to her kit, and then she became a single damaging skill after Nihility. This revision makes her energy immune to Nihility, gives her dispel and stormlash, and gives her an energized status when a team defense amp is active. This, combined with access to stormlash and dispel, should make her into a powerhouse of sorts.</t>
  </si>
  <si>
    <t>110029_01</t>
  </si>
  <si>
    <t>A-154</t>
  </si>
  <si>
    <t>Aeleen</t>
  </si>
  <si>
    <t>Mercurial Lancer</t>
  </si>
  <si>
    <t>https://dragalialost.wiki/w/Aeleen</t>
  </si>
  <si>
    <t>A kind, mild-mannered knight whose bloodlust breaks free on the battlefield. While her skills are unrivaled, she tries to avoid fighting as she fears the "other" that emerges. She now needs only the courage to face herself.</t>
  </si>
  <si>
    <t>Clear The Mercurial Gauntlet
(Wind): Lv. 30
(The Mercurial Gauntlet)</t>
  </si>
  <si>
    <t>Valkyrie Blast</t>
  </si>
  <si>
    <t>Valhallan Ballad</t>
  </si>
  <si>
    <t>Updated Strength Amp (Max Lv. = 3) granted by Valhallan Ballad</t>
  </si>
  <si>
    <t>Added to Valkyrie Blast</t>
  </si>
  <si>
    <t>Aeleen was a decent defensive unit in the first few months of Dragalia Lost, but she was quickly outmoded by newer adventurers. This revision boosts her abilities, gives her stormlash, dispel, a strength buff, and also a light heal.</t>
  </si>
  <si>
    <t>110387_01</t>
  </si>
  <si>
    <t>A-155</t>
  </si>
  <si>
    <t>Humanoid Midgardsormr</t>
  </si>
  <si>
    <t>Hero of Storms</t>
  </si>
  <si>
    <t>https://dragalialost.wiki/w/Humanoid_Midgardsormr</t>
  </si>
  <si>
    <t>Taking human form, Midgardsormr joins Alberius in his travels to judge the man's potential. During the Second War of Binding, he becomes his first pactbound dragon and lifelong friend, embodying the bond between the races.</t>
  </si>
  <si>
    <t>Clear Elysium Clash
(Dawn of Dragalia)</t>
  </si>
  <si>
    <t>Ancient Tempest</t>
  </si>
  <si>
    <t>Catastrophic Blast</t>
  </si>
  <si>
    <t>Windwyrm's Nature II</t>
  </si>
  <si>
    <t>Shapeshift Prep +10%</t>
  </si>
  <si>
    <t>Windwyrm's Nature (V3)</t>
  </si>
  <si>
    <t>Shapeshift Prep &amp; Dragon Defense</t>
  </si>
  <si>
    <t>Added to Ancient Tempest</t>
  </si>
  <si>
    <t>Humanoid Midgarsormr was an excellent welfare adventurer, but he never felt like he lived up to his true potential. This revision boosts him in a lot of smaller ways, gives him dispel, a strength amp, and Alberius's shapeshift prep ability, while making him more in line with Gala Mym.</t>
  </si>
  <si>
    <t>110342_03</t>
  </si>
  <si>
    <t>A-156</t>
  </si>
  <si>
    <t>Valentine's Chelsea</t>
  </si>
  <si>
    <t>Cloying Clingy Admirer</t>
  </si>
  <si>
    <t>https://dragalialost.wiki/w/Valentine's_Chelsea</t>
  </si>
  <si>
    <t>All wrapped up in a sweet chocolate dress, Chelsea once again treads the rocky road of love. Valentine's Day is her do-or-die chance to shower "Luccy" with affection. It's anyone's guess what terrifying—er, touching gift she'll give him next.</t>
  </si>
  <si>
    <t>Clear All-Out Assault: Master
(Romance Under Siege)</t>
  </si>
  <si>
    <t>Rampaging Passion</t>
  </si>
  <si>
    <t>Infinite Love</t>
  </si>
  <si>
    <t>(Wind) Vengeful Shield V</t>
  </si>
  <si>
    <t>Mad Romantic II</t>
  </si>
  <si>
    <t>Blistering Affection II</t>
  </si>
  <si>
    <t>Stormlashed Punisher +30%</t>
  </si>
  <si>
    <t>Added Team Defense Amp (Max Lv. = 3) granted by Infinite Love</t>
  </si>
  <si>
    <t>Added to Rampaging Passion</t>
  </si>
  <si>
    <t>Valentine's Chelsea is an amazing adventurer once she Is at full power, and this revision does little but slap dispel and a defense amp, remove skill shift, and allows her to charge Infinite Love at a faster rate.</t>
  </si>
  <si>
    <t>110368_01</t>
  </si>
  <si>
    <t>A-157</t>
  </si>
  <si>
    <t>Meene</t>
  </si>
  <si>
    <t>Motherly Faerie</t>
  </si>
  <si>
    <t>https://dragalialost.wiki/w/Meene</t>
  </si>
  <si>
    <t>A princess of the Faerie Kingdom who left her homeland for her growth period to learn of the outside world, and ended up becoming a foster mother to Ilia. The motherly love she felt changed the once-timid Meene for good.</t>
  </si>
  <si>
    <t>Clear Morsayati Clash: Expert
(Forgotten Truths)</t>
  </si>
  <si>
    <t>Faerie Magic</t>
  </si>
  <si>
    <t>Butterfly Kiss</t>
  </si>
  <si>
    <t>Radiant Butterflies II</t>
  </si>
  <si>
    <t>Radiant Butterflies (V3)</t>
  </si>
  <si>
    <t>Replaced Poison with Stormlash</t>
  </si>
  <si>
    <t>Added to Butterfly Kiss</t>
  </si>
  <si>
    <t>Menee was a support unit who always felt like she needed something more. Her skills required maintaining a steady stream of attacks to gain their full power and effectiveness, and her life shield was barely worth a full ability slot. This revision removes the 6 butterfly limitations on her skills, increases her attack rate by 10%, adds dispel and a defense amp, and replaces her poison with stormlash, given the theming of her character.</t>
  </si>
  <si>
    <t>110267_01</t>
  </si>
  <si>
    <t>A-158</t>
  </si>
  <si>
    <t>Hawk</t>
  </si>
  <si>
    <t>Twilight Hunter</t>
  </si>
  <si>
    <t>https://dragalialost.wiki/w/Hawk</t>
  </si>
  <si>
    <t>A knowledgeable and skilled hunter whose keen eyesight and technique make escape all but impossible. He's infamously known in the underworld as "the Reaper" due to his work as an assassin.</t>
  </si>
  <si>
    <t>Clear Battle in Rovetelle Forest: Expert
(The Imperial Onslaught)</t>
  </si>
  <si>
    <t>Savage Hawk</t>
  </si>
  <si>
    <t>Hunter's Creed</t>
  </si>
  <si>
    <t>Poison &amp; Stun Edge +50%</t>
  </si>
  <si>
    <t>Poisoned &amp; Stunned Punisher I</t>
  </si>
  <si>
    <t>Twilight Hunter (V3)</t>
  </si>
  <si>
    <t>Hawk was a prominent adventurer during High Dragon and Agito content, due to his incredibly powerful poison and stun compositions, but as stun became irrelevant, so did he. This revision replaces his poison edge ability with Flurry Strength &amp; Poison Edge/Sting, and alters the damage for his skills to no longer deal extra damage if the target is poisoned. While the perks of his access to stun remain, he now has more going for him as an adventurer.</t>
  </si>
  <si>
    <t>110256_01</t>
  </si>
  <si>
    <t>A-159</t>
  </si>
  <si>
    <t>Louise</t>
  </si>
  <si>
    <t>Doting Sister</t>
  </si>
  <si>
    <t>https://dragalialost.wiki/w/Louise</t>
  </si>
  <si>
    <t>A girl who came to the castle with her brother Lowen, she handles everything from housework to battle with grace. She can be overprotective of her younger brother, but that's only a side effect of her courageous and generous spirit.</t>
  </si>
  <si>
    <t>Clear Ruler of the Shore: Master
(A Wish to the Winds)</t>
  </si>
  <si>
    <t>Piercing Wind</t>
  </si>
  <si>
    <t>Arrow Shower</t>
  </si>
  <si>
    <t>(Wind) Poison = User Water Res +8%</t>
  </si>
  <si>
    <t>Added Defense Amp (Max Lv. = 3) granted by Arrow Shower</t>
  </si>
  <si>
    <t>Added to Arrow Shower</t>
  </si>
  <si>
    <t>Louise was a good wind unit after her mana spiral in 2020, but her kit lacked much beyond large damage to poisoned foes. This revision makes her into a sub-healer with Piercing Wind, added dispel, and made her strength doublebuff actually useful.</t>
  </si>
  <si>
    <t>110350_01</t>
  </si>
  <si>
    <t>A-160</t>
  </si>
  <si>
    <t>Joachim</t>
  </si>
  <si>
    <t>Hidden Hunter</t>
  </si>
  <si>
    <t>https://dragalialost.wiki/w/Joachim</t>
  </si>
  <si>
    <t>A young soldier from North Grastaea. He works with unparalleled efficiency in solo operations, but struggles when giving orders.</t>
  </si>
  <si>
    <t>Clear Shroom Strikes
(All Elements)
(Void Battles)</t>
  </si>
  <si>
    <t>Last Resort</t>
  </si>
  <si>
    <t>Operation Zero</t>
  </si>
  <si>
    <t>Poisoned Punisher +20%</t>
  </si>
  <si>
    <t>Added Strength Amp (Max Lv. = 3) granted by Operation Zero</t>
  </si>
  <si>
    <t>Added to Last Resort</t>
  </si>
  <si>
    <t>Joachim was limited by his status as a 4-star adventurer, and would have benefited greatly from a mana spiral. This revision boosts his DPS on every front, gives him dispel and a strength amp, and also gives him knockback immunity for good measure.</t>
  </si>
  <si>
    <t>110031_01</t>
  </si>
  <si>
    <t>A-161</t>
  </si>
  <si>
    <t>Eleonora</t>
  </si>
  <si>
    <t>Curious Archer</t>
  </si>
  <si>
    <t>https://dragalialost.wiki/w/Eleonora</t>
  </si>
  <si>
    <t>A former tribal leader, this woman places her vengeful resolve in each arrow she lets loose. While she seeks vengeance for her massacred village, her curiosity about humans and overall cute nature contrast with her calm resolve.</t>
  </si>
  <si>
    <t>Clear Battle in Rovetelle Forest: Standard
(The Imperial Onslaught)</t>
  </si>
  <si>
    <t>Viper Bolt</t>
  </si>
  <si>
    <t>Vendetta Arrow</t>
  </si>
  <si>
    <t>(Wind) Poison Edge +45%</t>
  </si>
  <si>
    <t>Poison Edge +50%</t>
  </si>
  <si>
    <t>Full HP = Poison +50%</t>
  </si>
  <si>
    <t>Added Critical Damage Amp (Max Lv. = 3) granted by Vendetta Arrow</t>
  </si>
  <si>
    <t>Added to Viper Bolt</t>
  </si>
  <si>
    <t>Eleonora was an excellent source of poison, but her kit had basically nothing else to offer beyond poison. This revision gives her a massive boost with Poison Edge/Sting, turns her into a true poison bot with poison res down, and throws in dispel and a critical damage amp for good measure.</t>
  </si>
  <si>
    <t>110028_01</t>
  </si>
  <si>
    <t>A-162</t>
  </si>
  <si>
    <t>Philia</t>
  </si>
  <si>
    <t>Love Seeker</t>
  </si>
  <si>
    <t>https://dragalialost.wiki/w/Philia</t>
  </si>
  <si>
    <t>A traveler who believes in fate, she journeys in search of a soul mate that destiny will send back to her no matter how often they're pulled apart. The instant she met Euden, she fell madly in love.</t>
  </si>
  <si>
    <t>Clear Windmaul Ruins: Beginner</t>
  </si>
  <si>
    <t>Scattershot</t>
  </si>
  <si>
    <t>Lovelorn Arrow</t>
  </si>
  <si>
    <t>Full HP = Strength +10%</t>
  </si>
  <si>
    <t>Paralysis Res +50%</t>
  </si>
  <si>
    <t>Paralysis Res +25%</t>
  </si>
  <si>
    <t>Potent Paralysis Res +100%</t>
  </si>
  <si>
    <t>Paralyzed Punisher +30%</t>
  </si>
  <si>
    <t>Updated Poison &amp; Paralysis</t>
  </si>
  <si>
    <t>Added Strength Amp (Max Lv. = 3) granted by Lovelorn Arrow</t>
  </si>
  <si>
    <t>Added to Sacattershot</t>
  </si>
  <si>
    <t>Philia was a 3-star adventurer whose only unique element was her access to paralysis despite being a wind adventurer. This revision turns her into a paralysis powerhouse, giving her paralyzed punisher, paralysis res down, and also the usual dispel and strength amp. She would be able to use paralysis for all content up prior to the Primal Dragon Trials. </t>
  </si>
  <si>
    <t>110397_01</t>
  </si>
  <si>
    <t>A-163</t>
  </si>
  <si>
    <t>Basileus</t>
  </si>
  <si>
    <t>The Wing of War</t>
  </si>
  <si>
    <t>https://dragalialost.wiki/w/Basileus</t>
  </si>
  <si>
    <t>Basileus is an apostle of the Northern Church who betrayed his comrades by seeking to revive Satan. Calm and collected, he is admired for his combat expertise. He walks the path of vengeance alongside his angel Michael.</t>
  </si>
  <si>
    <t>Clear Basileus's Trial: Standard
(Faith Forsaken)
(Part Two)</t>
  </si>
  <si>
    <t>Ventus Impalement</t>
  </si>
  <si>
    <t>Spiritus Sanction</t>
  </si>
  <si>
    <t>Michael's Covenant II</t>
  </si>
  <si>
    <t>15 Hits = Overdamage</t>
  </si>
  <si>
    <t>Michael's Covenant (V3)</t>
  </si>
  <si>
    <t>15 Hits = Overdamage (V3)</t>
  </si>
  <si>
    <t>Updated Defense Amp (Max Lv. = 3) granted by Ventus Impalement</t>
  </si>
  <si>
    <t>Already on Spiritus Sanction</t>
  </si>
  <si>
    <t>Basileus was a powerhouse at launch and remained a pillar of wind content. This revision rounds up the skill damage numbers, and upgrades defense amp, but the biggest change is the improved overdamage, boosting it from 30% to 50%.</t>
  </si>
  <si>
    <t>110386_01</t>
  </si>
  <si>
    <t>A-164</t>
  </si>
  <si>
    <t>Myriam</t>
  </si>
  <si>
    <t>Secret Admirer</t>
  </si>
  <si>
    <t>https://dragalialost.wiki/w/Myriam</t>
  </si>
  <si>
    <t>A woman who fought the Dyrenell Empire three hundred years ago at Alberius's side. Though she holds a quiet disposition, she exudes warmth and care, and an unrivaled love for Alberius. She's also the model for Brunhilda's human form.</t>
  </si>
  <si>
    <t>Clear Repelling Imperial Forces: Expert
(Dawn of Dragalia)</t>
  </si>
  <si>
    <t>Adoring Blow</t>
  </si>
  <si>
    <t>Blast of Emotion</t>
  </si>
  <si>
    <t>(Wind) Team Strength Amp = Water Res +6%</t>
  </si>
  <si>
    <t>Team Strength Amp = Reflexive Evasion II</t>
  </si>
  <si>
    <t>Team Strength Amp = Skill Haste II</t>
  </si>
  <si>
    <t>Team Strength Amp = Team Reflexive Evasion (V3)</t>
  </si>
  <si>
    <t>Updated Team Strength Amp (Max Lv. = 1) granted by Adoring Blow</t>
  </si>
  <si>
    <t>Added to Blast of Emotion</t>
  </si>
  <si>
    <t>Myriam was one of the worst adventurers of 2021, as her kit was balanced around strength amps at the cost of everything else. This revision reimagines her as a more versatile support adventurer, gives her stormlash, dispel, and healing, while reimagining her Reflexive Evasion ability and upgrading her skill haste. As a result of these changes, her strength amp was changed to a team strength amp with a max level of 1. Which technically a downgrade, this allows her to consistently maintain a strength amp throughout any quest.</t>
  </si>
  <si>
    <t>110009_02</t>
  </si>
  <si>
    <t>A-165</t>
  </si>
  <si>
    <t>Summer Sinoa</t>
  </si>
  <si>
    <t>Seaside Scholar</t>
  </si>
  <si>
    <t>https://dragalialost.wiki/w/Summer_Sinoa</t>
  </si>
  <si>
    <t>A scholar's seaside sojourn. Her research into space-time physics means everything to her, and no failed experiment can keep her down. But even the best researchers need a break, which calls for a new theory: vacation!</t>
  </si>
  <si>
    <t>Clear Scylla Clash: Nightmare
(Doomsday Getaway)</t>
  </si>
  <si>
    <t>Chrono Trial</t>
  </si>
  <si>
    <t>Bracing Summer</t>
  </si>
  <si>
    <t>Determination II</t>
  </si>
  <si>
    <t>Added Defense Amp (Max Lv. = 1) granted by Chrono Trial &amp; Critical Damage Amp (Max Lv. = 1) granted by Bracing Summer</t>
  </si>
  <si>
    <t>Added to Chrono Trial</t>
  </si>
  <si>
    <t>Summer Sinoa's kit was overcomplicated for what is ultimately meant to be a high damaging poison-dealing adventurer with access to critical related buffs. This revision strips away the complexity and makes her kit more consistent, while also throwing in a critical damage amp and flurry devastation for good measure.</t>
  </si>
  <si>
    <t>110032_01</t>
  </si>
  <si>
    <t>A-166</t>
  </si>
  <si>
    <t>Maribelle</t>
  </si>
  <si>
    <t>Child of the Forest</t>
  </si>
  <si>
    <t>https://dragalialost.wiki/w/Maribelle</t>
  </si>
  <si>
    <t>A sprightly girl of the forest whose innocent cheer is a breath of fresh air in any situation. She wants to be taken seriously and gets angry when treated like a child—although anyone can befriend her with a sweet or two.</t>
  </si>
  <si>
    <t>Clear Windmaul Ruins: Expert</t>
  </si>
  <si>
    <t>Save the Day!</t>
  </si>
  <si>
    <t>Not One Step Closer!</t>
  </si>
  <si>
    <t>Full HP = Skill Damage +45%</t>
  </si>
  <si>
    <t>Added Defense Amp (Max Lv. = 1) granted by Not One Step Closer! &amp; Critical Damage Amp (Max Lv. = 1) granted by Save the Day!</t>
  </si>
  <si>
    <t>Added to Save the Day!</t>
  </si>
  <si>
    <t>Maribelle was the debut 5-star wind wand adventurer, but her lack of dispel or afflictions quickly made her irrelevant in endgame content, and her conditional skill damage buff was difficult to maintain. This revision gives her stormlash, dispel, and a strength amp, along with a flat 40% skill damage up.</t>
  </si>
  <si>
    <t>110021_03</t>
  </si>
  <si>
    <t>A-167</t>
  </si>
  <si>
    <t>Dragonyule Xainfried</t>
  </si>
  <si>
    <t>Saint's Aegis</t>
  </si>
  <si>
    <t>https://dragalialost.wiki/w/Dragonyule_Xainfried</t>
  </si>
  <si>
    <t>This Dragonyule, it's Fydon and Felyx's turn to don the garb of Saint Starfall—and pulling the sleigh is their guardian reindeer, Xainfried! He gave them the starring role out of pure fatherly love, and there is no greater gift.</t>
  </si>
  <si>
    <t>Upgrade the Yuletree to Lv. 20
(The Miracle of Dragonyule)</t>
  </si>
  <si>
    <t>Dragon's Gift</t>
  </si>
  <si>
    <t>Breath of the Yuletide</t>
  </si>
  <si>
    <t>(Wind) Dragon's Claws V</t>
  </si>
  <si>
    <t>Added Strength Amp (Max Lv. = 1) granted by Dragon's Gift recharge &amp; Critical Damage Amp (Max Lv. = 1) granted by Dragon's Gift</t>
  </si>
  <si>
    <t>Added to Breath of the Yuletide</t>
  </si>
  <si>
    <t>Dragonyule Xainfried was actually a pretty useful adventurer with his ample access to critical rate buffs and dragon gauge fill. He was a staple part of higher difficulty Ciella and Wind Mercurial Gauntlet for a good reason. This revision aims to update his kit around Nihility content by giving him two level 1 amps, stormlash, and dispel.</t>
  </si>
  <si>
    <t>110340_01</t>
  </si>
  <si>
    <t>A-168</t>
  </si>
  <si>
    <t>Noelle</t>
  </si>
  <si>
    <t>Meek Messenger</t>
  </si>
  <si>
    <t>https://dragalialost.wiki/w/Noelle</t>
  </si>
  <si>
    <t>A courageous messenger from a northern nation. She pushes herself harder than most—and has a strong emotional attachment to her job—but tries so hard to accurately get her words across that she often ends up saying nothing at all.</t>
  </si>
  <si>
    <t>Clear The Mercurial Gauntlet
(Wind): Lv. 40
(The Mercurial Gauntlet)</t>
  </si>
  <si>
    <t>Best Regards</t>
  </si>
  <si>
    <t>Sincerely Yours</t>
  </si>
  <si>
    <t>(Wind) Water Res Doublebuff +7%</t>
  </si>
  <si>
    <t>Added Strength Amp (Max Lv. = 1) granted by Best Regards &amp; Defense Amp (Max Lv. = 1) granted by Best Regards recharge</t>
  </si>
  <si>
    <t>Added to Sincerely Yours</t>
  </si>
  <si>
    <t>Noelle was a staple support adventurer in High Mercury and early Ciella content, but her kit is limited beyond providing strength buffs. This revision aims to give her more to succeed in Nihility content, including dual strength and defense amps, dispel, and poison for good measure. </t>
  </si>
  <si>
    <t>110025_01</t>
  </si>
  <si>
    <t>A-169</t>
  </si>
  <si>
    <t>Nicolas</t>
  </si>
  <si>
    <t>Walking Encyclopedia</t>
  </si>
  <si>
    <t>https://dragalialost.wiki/w/Nicolas</t>
  </si>
  <si>
    <t>A student of the Caldia Magic Academy with a knack for study who sits at the top of his class. Once something snares his interest, he quickly becomes obsessed. He located the castle during field research and claims it's a valuable find.</t>
  </si>
  <si>
    <t>Wind Spell</t>
  </si>
  <si>
    <t>Storm Spell</t>
  </si>
  <si>
    <t>(Wind) Water Res Doublebuff +5%</t>
  </si>
  <si>
    <t>Healing Doublebuff II</t>
  </si>
  <si>
    <t>Freeze Res +25%</t>
  </si>
  <si>
    <t>Added Defense Amp (Max Lv. = 1) granted by Wind Spell &amp; Critical Damage Amp (Max Lv. = 1) granted by Storm Spell</t>
  </si>
  <si>
    <t>Nocolas was arguably one of the least useful launch 3-star adventurers, as his kit lacked much beyond raw damage, stun, and some self-sustaining defensive buffs. He was a poor source of DPS, and was rarely used. This revision turns him into a stormlash bot</t>
  </si>
  <si>
    <t>100008_04</t>
  </si>
  <si>
    <t>A-170</t>
  </si>
  <si>
    <t>Nina</t>
  </si>
  <si>
    <t>Spirited Shopkeeper</t>
  </si>
  <si>
    <t>https://dragalialost.wiki/w/Nina</t>
  </si>
  <si>
    <t>A bright and cheerful woman who runs a shop in South Grastaea. She earnestly serves any customer who comes her way, but is merciless when it comes to shoplifters or those who make unreasonable demands.</t>
  </si>
  <si>
    <t>Exchange for 1,000,000 Rupies from Treasure Trade</t>
  </si>
  <si>
    <t>Pop-up Shop</t>
  </si>
  <si>
    <t>Everything Must Go!</t>
  </si>
  <si>
    <t>(Wind) Team Strength Amp = HP Regen V</t>
  </si>
  <si>
    <t>Team Strength Amp = HP Regen V</t>
  </si>
  <si>
    <t>Sharp Shopkeeping II</t>
  </si>
  <si>
    <t>Ceaseless Sales II</t>
  </si>
  <si>
    <t>No changes to Team Strength Amp (Max Lv. = 1) granted by Pop-up Shop</t>
  </si>
  <si>
    <t>Nina is such a unique healer and such a late game addition there are no changes to be made.</t>
  </si>
  <si>
    <t>110340_02</t>
  </si>
  <si>
    <t>A-171</t>
  </si>
  <si>
    <t>Formal Noelle</t>
  </si>
  <si>
    <t>Bridge Builder</t>
  </si>
  <si>
    <t>https://dragalialost.wiki/w/Formal_Noelle</t>
  </si>
  <si>
    <t>A messenger from Svenitla, a nation in the north. Her zeal for her duty is unmatched, which is why she was chosen to serve as an ambassador. Dressed in unfamiliar formalwear, she faces an official venue for the very first time.</t>
  </si>
  <si>
    <t>Clear Defensive Battle: EX
(Northern Negotiators)</t>
  </si>
  <si>
    <t>Goodwill Mission</t>
  </si>
  <si>
    <t>Grim Missive</t>
  </si>
  <si>
    <t>Resolute Ambassador II</t>
  </si>
  <si>
    <t>Added Strength Amp (Max Lv. = 3) granted by Goodwill Mission</t>
  </si>
  <si>
    <t>Already on Grim Missive</t>
  </si>
  <si>
    <t>Poison Res Down &amp; HP Up</t>
  </si>
  <si>
    <t>Formal Noelle was an excellent healer due to her long regen times, and her poison res down made her a staple element of many wind teams shortly after her debut. This revision gives her access to a strength amp and the ability to inflict poison, instead of relying on other adventurers after using Grim Missive.</t>
  </si>
  <si>
    <t>110341_01</t>
  </si>
  <si>
    <t>A-172</t>
  </si>
  <si>
    <t>Akasha</t>
  </si>
  <si>
    <t>Pursuer of Knowledge</t>
  </si>
  <si>
    <t>https://dragalialost.wiki/w/Akasha</t>
  </si>
  <si>
    <t>A beautiful priestess of the Church-of-All, which worships the Ancient One. Though tolerant and affectionate, her eyes glow with a bewitching light, as if gazing upon a different world. She has a tendency to lead people astray.</t>
  </si>
  <si>
    <t>Clear All-Out Assault: Master
(Stirring Shadows)</t>
  </si>
  <si>
    <t>Akashic Repose</t>
  </si>
  <si>
    <t>Vital Gate</t>
  </si>
  <si>
    <t>(Wind) Above 10 Hits = Critical Rate +13%</t>
  </si>
  <si>
    <t>HP 70% = Healing +17%</t>
  </si>
  <si>
    <t>Pursuer of Knowledge (V3)</t>
  </si>
  <si>
    <t>Added to Vital Gate</t>
  </si>
  <si>
    <t>Akasha was a fair adventurer who became a staple of the wind element after her mana spiral gave her access to overdamage. This revision boosts her healing power, makes the buff zone into a healing buff zone, so it is not useless in Nihility, gives her skill change, and upgrades her strength amp.</t>
  </si>
  <si>
    <t>110004_02</t>
  </si>
  <si>
    <t>A-173</t>
  </si>
  <si>
    <t>Wedding Xania</t>
  </si>
  <si>
    <t>Magical Bride</t>
  </si>
  <si>
    <t>https://dragalialost.wiki/w/Wedding_Xania</t>
  </si>
  <si>
    <t>A young mage who has always longed to wear a wedding dress. She spends her time pondering the meaning of life and love, but keeps moving ever onward, believing the answers lie at the end of the road.</t>
  </si>
  <si>
    <t>Clear The Mercurial Gauntlet
(Wind): Lv. 20
(The Mercurial Gauntlet)</t>
  </si>
  <si>
    <t>Dream Wedding</t>
  </si>
  <si>
    <t>Love's Protection</t>
  </si>
  <si>
    <t>(Wind) HP 60% = Critical Rate +7%</t>
  </si>
  <si>
    <t>Added Defense Amp (Max Lv. = 3) granted by Dream Wedding</t>
  </si>
  <si>
    <t>Wedding Xania was more or less replaced as a healer after Lowen's mana spiral a year after her release. Her skills have a high SP cost, her defense buff is paltry, and she has nothing to her kit beyond healing and defense. …So she was given overdamage, because only one other wind healer has overdamage.</t>
  </si>
  <si>
    <t>110257_01</t>
  </si>
  <si>
    <t>A-174</t>
  </si>
  <si>
    <t>Lowen</t>
  </si>
  <si>
    <t>Dependable Brother</t>
  </si>
  <si>
    <t>https://dragalialost.wiki/w/Lowen</t>
  </si>
  <si>
    <t>A boy who came to the castle with his sister Louise. Sheltered and protected his whole life, he desires to mature into an adult capable of protecting his beloved sibling. His cute and honest demeanor earns the affection of all.</t>
  </si>
  <si>
    <t>Clear Fiend Alert!: Expert
(A Wish to the Winds)</t>
  </si>
  <si>
    <t>Winds, Heal Us!</t>
  </si>
  <si>
    <t>Winds, Protect Us!</t>
  </si>
  <si>
    <t>(Wind) Critical Rate Doublebuff +9%</t>
  </si>
  <si>
    <t>Pure Soul</t>
  </si>
  <si>
    <t>Added Defense Amp (Max Lv. = 3) granted by Winds, Protect Us!</t>
  </si>
  <si>
    <t>Already on dispel strike</t>
  </si>
  <si>
    <t>Lowen was a good little boy and staple healer for a large amount of wind content. His kit has everything that a player could want from a healer circa 2020. However, his regen on his second skill was limited, and his SP costs were a bit high. As such, this revision gives him skill gauge fill rate a boost, improves regen, and gives him a defense amp.</t>
  </si>
  <si>
    <t>110024_01</t>
  </si>
  <si>
    <t>A-175</t>
  </si>
  <si>
    <t>Sophie</t>
  </si>
  <si>
    <t>Mana Observer</t>
  </si>
  <si>
    <t>https://dragalialost.wiki/w/Sophie</t>
  </si>
  <si>
    <t>An observer of mana with a love for wind. She has keen judgment and powers of observation, and she can detect even the slightest change in mana. Lamenting how many in the castle know nothing of her hobby, she's happy to teach them.</t>
  </si>
  <si>
    <t>Aspen Balm</t>
  </si>
  <si>
    <t>Angry Gale</t>
  </si>
  <si>
    <t>(Wind) Poison = User Critical Rate +9%</t>
  </si>
  <si>
    <t>Added Strength Amp (Max Lv. = 3) granted by Angry Gale</t>
  </si>
  <si>
    <t>Sophie is an odd healer, as she lacked any regen and her second skill only dealt damage. This revision replaces the singular heal with a regen heal, and gives Angry Gale healing capabilities a la Heinwald and makes Sophie a poison bot with her ability to decrease poison res.</t>
  </si>
  <si>
    <t>110394_01</t>
  </si>
  <si>
    <t>A-176</t>
  </si>
  <si>
    <t>Cecile</t>
  </si>
  <si>
    <t>Disgraced Knight</t>
  </si>
  <si>
    <t>https://dragalialost.wiki/w/Cecile</t>
  </si>
  <si>
    <t>A former knight of Alberia. Though she was once as idealistic and as loyal as they come, the horrors of war made her falter and abandon her knighthood. She now works as a mercenary in the north with a drastically changed personality.</t>
  </si>
  <si>
    <t>Clear A Duel with the Black Raven: Standard
(Knights of Alberia)</t>
  </si>
  <si>
    <t>Chomp Some Manachew</t>
  </si>
  <si>
    <t>Munch on a Manachew</t>
  </si>
  <si>
    <t>Potent Placebo II</t>
  </si>
  <si>
    <t>Dodge Charge II</t>
  </si>
  <si>
    <t>Potent Placebo (V3)</t>
  </si>
  <si>
    <t>Dodge Charge (V3)</t>
  </si>
  <si>
    <t>Updated Strength Amp (Max Lv. = 3) granted by Monch on a Manachew</t>
  </si>
  <si>
    <t>Added to powered up force strike</t>
  </si>
  <si>
    <t>Cecile was a quirky and finicky adventurer due to her dual skills that fluctuated between poison and stormlash. Despite this seeming versatility, she was not widely used in Iblis, or much other content. This revision does little to change her overall kit, but boosts her damage and gauge fill rate to make it so that she could deal more damage and afflictions.</t>
  </si>
  <si>
    <t>110389_01</t>
  </si>
  <si>
    <t>A-177</t>
  </si>
  <si>
    <t>Saiga</t>
  </si>
  <si>
    <t>Sinful Marksman</t>
  </si>
  <si>
    <t>https://dragalialost.wiki/w/Saiga</t>
  </si>
  <si>
    <t>An ex-Mukuroshu assassin seeking absolution. Once married to Yachiyo's sister, Momoyo, he now aims his manacaster at his former employer for robbing him of both his wife and master. Regret guides his hand; resolve pulls the trigger.</t>
  </si>
  <si>
    <t>Clear Defensive Battle: EX
(Shadow of the Mukuroshu)</t>
  </si>
  <si>
    <t>Dirge Shot</t>
  </si>
  <si>
    <t>Karmic Quietus</t>
  </si>
  <si>
    <t>Know Thine Enemy II</t>
  </si>
  <si>
    <t>HP 70% = Strength +13%</t>
  </si>
  <si>
    <t>Know Thine Enemy (V3)</t>
  </si>
  <si>
    <t>Added Critical Damage Amp (Max Lv. = 3) granted by Karmic Quietus</t>
  </si>
  <si>
    <t>Already on Karmic Quietus</t>
  </si>
  <si>
    <t>Saiga was a good source of stormlash and dispel, but his lack of an amp limited his usability in Nihility content, and his level-based effect limited the amount of time he spent dealing maximum damage. This revision removes the Enemy Insight effect, improves Calculated Shots, and gives Saiga a critical damage amp for good measure. Combined with a boost in strength, he would be viable and consistent than he was before.</t>
  </si>
  <si>
    <t>110350_02</t>
  </si>
  <si>
    <t>A-178</t>
  </si>
  <si>
    <t>Formal Joachim</t>
  </si>
  <si>
    <t>Resolved Hunter</t>
  </si>
  <si>
    <t>https://dragalialost.wiki/w/Formal_Joachim</t>
  </si>
  <si>
    <t>A Svenitlan soldier whose keen abilities led to his selection as an ambassador to Chanzelia, where he was newly equipped with a manacaster. Though his superiors have attempted to promote him, he has no desire for such a position.</t>
  </si>
  <si>
    <t>Clear Defensive Battle: Master
(Northern Negotiators)</t>
  </si>
  <si>
    <t>Hound Shot</t>
  </si>
  <si>
    <t>Ace Operator</t>
  </si>
  <si>
    <t>Added Strength Amp (Max Lv. = 3) granted by Ace Operator</t>
  </si>
  <si>
    <t>Added to Ace Operator</t>
  </si>
  <si>
    <t>Formal Joachim's shared skill overshadowed him as an adventurer, due to how his kit relied on precise timing to deal the optimal damage, and his DPS generally not being the best. This revision removes the conditional effect on Hound Shot, and gives Joachim access to both poison res down and dispel, along with a strength amp. This is because his kit is all about dealing damage to afflicted enemies, and his second skill only applied poison.</t>
  </si>
  <si>
    <t>100018_07</t>
  </si>
  <si>
    <t>A-179</t>
  </si>
  <si>
    <t>Civilian Leif</t>
  </si>
  <si>
    <t>Ambitious Knight</t>
  </si>
  <si>
    <t>https://dragalialost.wiki/w/Civilian_Leif</t>
  </si>
  <si>
    <t>Leif has donned casual wear to hide the fact that he is the Captain of the White Sparrow Corps. Though his armor is gone, his loyalty and skill with a blade remain intact, and he still fights tirelessly to bring peace to all of Alberia.</t>
  </si>
  <si>
    <t>Clear Repelling the Forces of Grams: Expert
(Knights of Alberia)</t>
  </si>
  <si>
    <t>Light</t>
  </si>
  <si>
    <t>Gallant Sparrow</t>
  </si>
  <si>
    <t>Unfettered Loyalty</t>
  </si>
  <si>
    <t>(Light) HP Below 40% = Shield VI</t>
  </si>
  <si>
    <t>Pledge of Justice II</t>
  </si>
  <si>
    <t>Poison Res +100%</t>
  </si>
  <si>
    <t>Pledge of Justice (V3)</t>
  </si>
  <si>
    <t>Potent Poison Res +100%</t>
  </si>
  <si>
    <t>Updated Paralysis</t>
  </si>
  <si>
    <t>Updated Strength Amp (Max Lv. = 3) granted by Unfettered Loyalty</t>
  </si>
  <si>
    <t>Added to Force Strike</t>
  </si>
  <si>
    <t>Civilian Leif was almost a really good adventurer, but his kit was limited by how bleed only stuck 50% of the time, and his adaptive suppression only really worked in specific element-locked content. This revision boosts damage, make bleed four times better, adds dispel, and replaces adaptive suppression for strength down.</t>
  </si>
  <si>
    <t>110371_01</t>
  </si>
  <si>
    <t>A-180</t>
  </si>
  <si>
    <t>Pecorine</t>
  </si>
  <si>
    <t>Peckish Princess</t>
  </si>
  <si>
    <t>https://dragalialost.wiki/w/Pecorine</t>
  </si>
  <si>
    <t>The leader of a group called the Gourmet Guild who hails from the continent of Astraea. She is known far and wide for her ravenous appetite, and coming to another world has done nothing to dampen her hunger.</t>
  </si>
  <si>
    <t>Clear Pecorine's Trial
(Princess Connect! Re Dive A Voracious Visitor)</t>
  </si>
  <si>
    <t>Princess Strike</t>
  </si>
  <si>
    <t>Lunchtime</t>
  </si>
  <si>
    <t>(Light) HP 60% = Strength +6%</t>
  </si>
  <si>
    <t>Perpetually Peckish Pecorine II</t>
  </si>
  <si>
    <t>Curse Res +100%</t>
  </si>
  <si>
    <t>Food is the Source of All Life ☆ II</t>
  </si>
  <si>
    <t>Potent Curse Res +100%</t>
  </si>
  <si>
    <t>Added Defense Amp (Max Lv. = 3) granted by Lunchtime</t>
  </si>
  <si>
    <t>Added to Princess Strike</t>
  </si>
  <si>
    <t>Pecorine was never a particularly relevant adventurer, despite her collab status. This was due to her lack of afflictions, self-serving buffs, and a kit that did not fare especially well in Nihility. This revision boosts damage slightly, makes her buffs benefit other adventurers, and increases her strength by 20%, rather than provide a strength boost via a buff.</t>
  </si>
  <si>
    <t>100001_08</t>
  </si>
  <si>
    <t>A-181</t>
  </si>
  <si>
    <t>Gala Prince</t>
  </si>
  <si>
    <t>Bearer of Dragonlight</t>
  </si>
  <si>
    <t>https://dragalialost.wiki/w/Gala_Prince</t>
  </si>
  <si>
    <t>The seventh heir of Alberia, with fresh resolve to fight on for Alberius's will. His kindness and bravery have attracted many allies to his side, and he will turn these bonds into strength that surpass all legend.</t>
  </si>
  <si>
    <t>Clear Ch. 10 6-3 of the Main Campaign
(Normal)</t>
  </si>
  <si>
    <t>Rising Circlet</t>
  </si>
  <si>
    <t>Exalted Glory</t>
  </si>
  <si>
    <t>(Light) Shapeshift = HP Regen VI</t>
  </si>
  <si>
    <t>Shapeshift = HP Regen VI</t>
  </si>
  <si>
    <t>Dragonlight's Resolve III</t>
  </si>
  <si>
    <t>Sacred Shield III</t>
  </si>
  <si>
    <t>Draconic Charge III</t>
  </si>
  <si>
    <t>Dragonlight's Resolve (V3)</t>
  </si>
  <si>
    <t>Potent Poison &amp; Curse Res +100% (V3)</t>
  </si>
  <si>
    <t>Updated Paralysis &amp; Added Flashburn</t>
  </si>
  <si>
    <t>Updated Strength Amp (Max Lv. = 3) granted by Rising Circlet &amp; Team Critical Damage Amp (Max Lv. = 1) granted by shapeshift</t>
  </si>
  <si>
    <t>Added to Rising Circlet</t>
  </si>
  <si>
    <t>Gala Prince was a powerhouse upon his debut, and with his mana spiral, he retained continued relevance. This revision retools his kit slightly, upgrading his damage, adding dispel and flashburn, and reworking his strength amp to allow for faster strength buffs. Also adds a critical damage amp a la Bondforged Prince. More could be done with his kit, but he is already plenty powerful.</t>
  </si>
  <si>
    <t>110327_01</t>
  </si>
  <si>
    <t>A-182</t>
  </si>
  <si>
    <t>Alfonse</t>
  </si>
  <si>
    <t>Prince of Askr</t>
  </si>
  <si>
    <t>https://dragalialost.wiki/w/Alfonse</t>
  </si>
  <si>
    <t>The young prince of the Askran Kingdom who was sucked through a rift between worlds and deposited in Alberia. Kind and dedicated, he seeks to protect peace along with all the other members of the Order of Heroes.</t>
  </si>
  <si>
    <t>Clear Repel the Empire!
(Fire Emblem: Lost Heroes)</t>
  </si>
  <si>
    <t>Blue Radiance</t>
  </si>
  <si>
    <t>Sol</t>
  </si>
  <si>
    <t>Last Burst III</t>
  </si>
  <si>
    <t>Added Critical Damage Amp (Max Lv. = 3) granted by Sol</t>
  </si>
  <si>
    <t>Added to Blue Radiance</t>
  </si>
  <si>
    <t>Alfonse was a fairly poor light adventurer who was made far better with his mana spiral, yet lacked much versatility and was outmoded by later adventurers. This revision boosts his damage, adds dispel, and spreads his insular buffs to the entire team, while trading in Last Burst for a flat strength buff.</t>
  </si>
  <si>
    <t>110274_01</t>
  </si>
  <si>
    <t>A-183</t>
  </si>
  <si>
    <t>Albert</t>
  </si>
  <si>
    <t>Thunderswift Lord</t>
  </si>
  <si>
    <t>https://dragalialost.wiki/w/Albert</t>
  </si>
  <si>
    <t>Known as the "Thunderswift Lord" for his ability to wield thunder, he also leads the Knights of Levin. He's on a quest to find the seeds of the abyss that nearly decimated his homeland. His calm determination makes him respected by all.</t>
  </si>
  <si>
    <t>Clear Proud Manticore Strike
(Void Battles)</t>
  </si>
  <si>
    <t>Lightning Burst</t>
  </si>
  <si>
    <t>Thunderous Impulse</t>
  </si>
  <si>
    <t>(Light) Paralysis = User Critical Rate +13%</t>
  </si>
  <si>
    <t>Impulse Slash</t>
  </si>
  <si>
    <t>Electrically Charged III</t>
  </si>
  <si>
    <t>Impulse Slash (V3)</t>
  </si>
  <si>
    <t>Electrically Charged (V3)</t>
  </si>
  <si>
    <t>Added to Electrified force strike</t>
  </si>
  <si>
    <t>Albert was a finicky adventurer whose kit was almost counter-intuitive with how it encouraged and discouraged force strikes. This revision only encourages force strikes by removing any penalty associated with them, adds dispel, adds paralysis, and adds paralysis res down. It turns Albert into an adventurer who should never stop force striking, rather than one who needs to force strike responsibly. Also, adds a strength amp and strength buff when not electrified.</t>
  </si>
  <si>
    <t>110301_01</t>
  </si>
  <si>
    <t>A-184</t>
  </si>
  <si>
    <t>Odetta</t>
  </si>
  <si>
    <t>Wanderlust Incarnate</t>
  </si>
  <si>
    <t>https://dragalialost.wiki/w/Odetta</t>
  </si>
  <si>
    <t>A traveler in search of new worlds. Proud of a forward-thinking attitude that sees her always moving forward, she's not terribly worried if others get her. Though she sports a classy appearance, she knows her way around a fight.</t>
  </si>
  <si>
    <t>Clear The Mercurial Gauntlet
(Light): Lv. 20
(The Mercurial Gauntlet)</t>
  </si>
  <si>
    <t>Liberty Slash</t>
  </si>
  <si>
    <t>Freedom Ring</t>
  </si>
  <si>
    <t>(Light) HP 60% = Strength +5%</t>
  </si>
  <si>
    <t>Added Flashburn</t>
  </si>
  <si>
    <t>Added Strength Amp (Max Lv. = 3) granted by Freedom Ring</t>
  </si>
  <si>
    <t>Added to Liberty Slash</t>
  </si>
  <si>
    <t>Odetta was an adventurer who really needed a mana spiral, but the developers only gave a handful of light adventurers mana spirals for… reasons. This revision turns her into a semi-functional healer with access to a healing regen effect, 3x her former skill damage, dispel, and flashburn, along with the usual ability boosts and a strength amp.</t>
  </si>
  <si>
    <t>110035_01</t>
  </si>
  <si>
    <t>A-185</t>
  </si>
  <si>
    <t>Raemond</t>
  </si>
  <si>
    <t>Loyal Servant</t>
  </si>
  <si>
    <t>https://dragalialost.wiki/w/Raemond</t>
  </si>
  <si>
    <t>The veteran of all combat veterans, he served for years as a royal knight under King Aurelius. While he can't ignore his aging body, he's still a force in battle. Many wonder what he sees when he looks upon what became of his king…</t>
  </si>
  <si>
    <t>Clear Lightsunder Ruins: Standard</t>
  </si>
  <si>
    <t>Alberian Cleave</t>
  </si>
  <si>
    <t>Alberian Majesty</t>
  </si>
  <si>
    <t>(Light) Above 10 Hits = Strength +8%</t>
  </si>
  <si>
    <t>Last Defense +50%</t>
  </si>
  <si>
    <t>Poison Res +50%</t>
  </si>
  <si>
    <t>Flashburned Punisher +30% (V3)</t>
  </si>
  <si>
    <t>Added Strength Amp (Max Lv. = 3) granted by Alberian Majesty</t>
  </si>
  <si>
    <t>Added to Alberian Majesty</t>
  </si>
  <si>
    <t>Raemond was an early 3-star adventurer, as such his kit has barely anything noteworthy to it. His damage was low, and he only had access to stun and defense down. This revision doubles his skill damage, boosts his abilities, gives him a reduced defense punisher, and gives him a combination of flashburn and dispel.</t>
  </si>
  <si>
    <t>110398_01</t>
  </si>
  <si>
    <t>A-186</t>
  </si>
  <si>
    <t>Humanoid Jupiter</t>
  </si>
  <si>
    <t>Capricious Luminary</t>
  </si>
  <si>
    <t>https://dragalialost.wiki/w/Humanoid_Jupiter</t>
  </si>
  <si>
    <t>To stave off boredom, the Lightwyrm Jupiter takes a human form in order to observe humans more closely. Though his appearance has changed, his personality has not, and he still loves seeing people flustered by his words.</t>
  </si>
  <si>
    <t>Clear Defensive Battle: Master
(A Dazzling Defense)</t>
  </si>
  <si>
    <t>Thunder Strike</t>
  </si>
  <si>
    <t>Spark Ignition</t>
  </si>
  <si>
    <t>(Light) Team Strength Amp = Curse Res +100%</t>
  </si>
  <si>
    <t>Team Strength Amp = Curse Res +100%</t>
  </si>
  <si>
    <t>Lightwyrm's Nature II</t>
  </si>
  <si>
    <t>Arc Absorption II</t>
  </si>
  <si>
    <t>Lightwyrm's Nature (V3)</t>
  </si>
  <si>
    <t>Updated Flashburn</t>
  </si>
  <si>
    <t>No changes to Strength Amp (Max Lv. = 1) granted by Thunder Strike and dodging</t>
  </si>
  <si>
    <t>Added to Thunder Strike</t>
  </si>
  <si>
    <t>Humanoid Jupiter was a late addition to the roster, and a bit tricky to play as due to his overcharged effect, but a powerful adventurer nevertheless. This revision boosts his base skill damage, gives him extra dragon damage, and throws in dispel.</t>
  </si>
  <si>
    <t>110369_01</t>
  </si>
  <si>
    <t>A-187</t>
  </si>
  <si>
    <t>Mordecai</t>
  </si>
  <si>
    <t>Innocent Being</t>
  </si>
  <si>
    <t>https://dragalialost.wiki/w/Mordecai</t>
  </si>
  <si>
    <t>A life-form summoned from the otherworld and given a body through Ilia's alchemy. Pure and innocent, he absorbed what he was taught at such frightful speeds that he soon grew into a good man who adores his creator, Ilia, above all.</t>
  </si>
  <si>
    <t>Clear Android Attack
(Forgotten Truths)</t>
  </si>
  <si>
    <t>Immaculate Wings</t>
  </si>
  <si>
    <t>Blade Release</t>
  </si>
  <si>
    <t>(Light) HP 80% = Shadow Res +6%</t>
  </si>
  <si>
    <t>Shadow Res +10%</t>
  </si>
  <si>
    <t>Elemental Res +15%</t>
  </si>
  <si>
    <t>Immaculate Shield III</t>
  </si>
  <si>
    <t>Elemental Res +20% (V3)</t>
  </si>
  <si>
    <t>Immaculate Shield (V3)</t>
  </si>
  <si>
    <t>Added Defense Amp (Max Lv. = 1) granted by Immaculate Wings &amp; Critical Damage Amp (Max Lv. = 1) granted by Blade Release</t>
  </si>
  <si>
    <t>Added to Immaculate Wings</t>
  </si>
  <si>
    <t>Mordecai was an interesting support adventurer, and was a staple part of certain auto compositions due to his strength reduction and shields. However, he never found a place outside of Agito content due to his lack of afflictions, dispel, and general damage, being more tanky than offensive. This revision boosts his damage slightly, gives him flashburn and dispel, and makes his shield apply to all teammates.</t>
  </si>
  <si>
    <t>100006_09</t>
  </si>
  <si>
    <t>A-188</t>
  </si>
  <si>
    <t>Gala Luca</t>
  </si>
  <si>
    <t>Harmony Seeker</t>
  </si>
  <si>
    <t>https://dragalialost.wiki/w/Gala_Luca</t>
  </si>
  <si>
    <t>Wielding his friend's blade as a symbol of their promise and clad in gear forged from the hands of many races, Luca endeavors to create a world where no one has to fight.</t>
  </si>
  <si>
    <t>Clear Ch. 11 6-2 of the Main Campaign
(Hard)</t>
  </si>
  <si>
    <t>Shining Slash</t>
  </si>
  <si>
    <t>Brilliant Booster</t>
  </si>
  <si>
    <t>(Light) Above 10 Hits = Shadow Res +10%</t>
  </si>
  <si>
    <t>Connecting Call III</t>
  </si>
  <si>
    <t>Unforgettable Promise III</t>
  </si>
  <si>
    <t>Updated Strength Amp (Max Lv. = 3) granted by Brilliant Booster</t>
  </si>
  <si>
    <t>Added to Shining Slash</t>
  </si>
  <si>
    <t>Gala Luca was a powerhouse adventure with his critical boosts, so this revision changes little beyond a minor buff to critical rate, dispel, and a better strength amp.</t>
  </si>
  <si>
    <t>110015_02</t>
  </si>
  <si>
    <t>A-189</t>
  </si>
  <si>
    <t>Beautician Zardin</t>
  </si>
  <si>
    <t>Brilliant Beautician</t>
  </si>
  <si>
    <t>https://dragalialost.wiki/w/Beautician_Zardin</t>
  </si>
  <si>
    <t>Zardin has taken up a new job as a beautician, with the aim of bringing out the beauty in others. Far from altruistic, however, he hopes his efforts will serve to amplify his own beauty as well.</t>
  </si>
  <si>
    <t>Clear Luminous Chimera Strike: Standard
(Void Battles)</t>
  </si>
  <si>
    <t>Ravishing Rainbow</t>
  </si>
  <si>
    <t>Stunning Visage</t>
  </si>
  <si>
    <t>(Light) Energy = Shadow Res +8%</t>
  </si>
  <si>
    <t>Striker's Energy III</t>
  </si>
  <si>
    <t>HP 70% = Skill Damage +35%</t>
  </si>
  <si>
    <t>Brilliant Beautician (V3)</t>
  </si>
  <si>
    <t>Added Defense Amp (Max Lv. = 3) granted by Stunning Visage</t>
  </si>
  <si>
    <t>Added to Stunning Beautician Force Strike</t>
  </si>
  <si>
    <t>Beautician Zardin was a strange adventurer due to his fixation on stun, and due to his reliance on energy, he was not widely usable in Nihility content. This revision reworks him into a flashburn bot, with a force strike that dispels, lowers flashburn res, inflicts flashburn, and increases energy levels. Also, his energy is immune to Nihility.</t>
  </si>
  <si>
    <t>110348_01</t>
  </si>
  <si>
    <t>A-190</t>
  </si>
  <si>
    <t>Hanabusa</t>
  </si>
  <si>
    <t>Hinomotoan Dancer</t>
  </si>
  <si>
    <t>https://dragalialost.wiki/w/Hanabusa</t>
  </si>
  <si>
    <t>The successor to a famous family of dancers. While extremely talented, however, Hanabusa has yet to achieve anything in the field. Though he has a rather weak heart, his explosive anger under duress makes him deadly in battle.</t>
  </si>
  <si>
    <t>Clear Wild Cat Chase
(A Clawful Caper)</t>
  </si>
  <si>
    <t>Dance of Blades</t>
  </si>
  <si>
    <t>Dance of Rhapsody</t>
  </si>
  <si>
    <t>(Light) Defense +5%</t>
  </si>
  <si>
    <t>Therion's Bane +25%</t>
  </si>
  <si>
    <t>Curse Res +50%</t>
  </si>
  <si>
    <t>Frenzied Dance</t>
  </si>
  <si>
    <t>Added Strength Amp (Max Lv. = 3) granted by Dance of Rhapsody</t>
  </si>
  <si>
    <t>Added to Dance of Blades</t>
  </si>
  <si>
    <t>Hanabusa was an adventurer with limited applications. His damage-dealing skill had a strange variant of skill shift, his strength buff was unremarkable, and his custom ability did not really add anything beyond a limited buff skill time boost. This revision gives him dispel, flashburn, and healing, along with a strength amp and the boons that come with Mighty Bane.</t>
  </si>
  <si>
    <t>110064_01</t>
  </si>
  <si>
    <t>A-191</t>
  </si>
  <si>
    <t>Yachiyo</t>
  </si>
  <si>
    <t>Peerless Duelist</t>
  </si>
  <si>
    <t>https://dragalialost.wiki/w/Yachiyo</t>
  </si>
  <si>
    <t>A glory-seeking samurai who speaks an old dialect. Based on advice from her grandfather, she seeks to achieve greatness by challenging a thousand warriors, but is now so skilled that none dare face her in combat.</t>
  </si>
  <si>
    <t>Clear The Mercurial Gauntlet
(Light): Lv. 30
(The Mercurial Gauntlet)</t>
  </si>
  <si>
    <t>Blossom Flash</t>
  </si>
  <si>
    <t>Peerless Heart</t>
  </si>
  <si>
    <t>(Light) Paralysis = User Shadow Res +7%</t>
  </si>
  <si>
    <t>Paralysis = User Strength +15%</t>
  </si>
  <si>
    <t>Paralyzed Punisher +20%</t>
  </si>
  <si>
    <t>Added Strength Amp (Max Lv. = 3) granted by Peerless Heart</t>
  </si>
  <si>
    <t>Added to Dauntless Spirit force strike</t>
  </si>
  <si>
    <t>Yachiyo was a pretty celebrated adventurer for a brief while due to her force strike and paralysis-related boons, but she became outmoded as adventurers continued to innovate. This revision boosts her strength in multiple ways and turns her into a paralysis bot with a force strike that reduces paralysis res and inflicts dispel.</t>
  </si>
  <si>
    <t>110049_02</t>
  </si>
  <si>
    <t>A-192</t>
  </si>
  <si>
    <t>Halloween Edward</t>
  </si>
  <si>
    <t>Bloodsucking Butler</t>
  </si>
  <si>
    <t>https://dragalialost.wiki/w/Halloween_Edward</t>
  </si>
  <si>
    <t>A butler dressed as a vampire for Halloween— though he remains as punctual and efficient as ever. Determined for the party to be a success, he's as fearsome as a real vampire to any fiends who dare try to ruin it.</t>
  </si>
  <si>
    <t>Upgrade the Sweet Retreat to Lv. 20
(Trick or Treasure!)</t>
  </si>
  <si>
    <t>Vampire Slash</t>
  </si>
  <si>
    <t>Nightmare Waltz</t>
  </si>
  <si>
    <t>(Light) HP Below 60% = HP Regen III</t>
  </si>
  <si>
    <t>Potent Curse Res +50%</t>
  </si>
  <si>
    <t>Added Defense Amp (Max Lv. = 3) granted by Nightmare Waltz</t>
  </si>
  <si>
    <t>Added to Vampire Slash</t>
  </si>
  <si>
    <t>Halloween Edward was one of the first alts in the game, and while he did receive a mana spiral, it did not really help him retain relevance, due to how his kit required full HP to be effective. This revision removes that restriction and throws in the usual V3 revisions. Better skill damage, dispel, affliction, better bleed, a defense amp, and also bleeding punisher, because why not?</t>
  </si>
  <si>
    <t>110393_01</t>
  </si>
  <si>
    <t>A-193</t>
  </si>
  <si>
    <t>Farren</t>
  </si>
  <si>
    <t>Synced Wyrmbinder</t>
  </si>
  <si>
    <t>https://dragalialost.wiki/w/Farren</t>
  </si>
  <si>
    <t>A fiercely positive and good-natured young man who possesses the power to fuse with a dragon. After receiving this boon—burden?—from the dastardly Syndicate, he vows to fight his former captor so that no one else will suffer like he did.</t>
  </si>
  <si>
    <t>Clear Defensive Battle: EX
(Shackles of the Syndicate)</t>
  </si>
  <si>
    <t>Mighty Protector</t>
  </si>
  <si>
    <t>No Holds Barred</t>
  </si>
  <si>
    <t>Wyrmbound Shell II</t>
  </si>
  <si>
    <t>Right Hand Dragon II</t>
  </si>
  <si>
    <t>Wyrmbound Shell (V3)</t>
  </si>
  <si>
    <t>Right Hand Dragon (V3)</t>
  </si>
  <si>
    <t>Updated Defense Amp (Max Lv. = 3) granted by Mighty Protector</t>
  </si>
  <si>
    <t>Added to Mighty Protector</t>
  </si>
  <si>
    <t>Dragondrive &amp; Flashburn Res Down</t>
  </si>
  <si>
    <t>Farren was a powerful adventurer, but his lack of access to afflictions and dispel made him seldom used in a lot of team compositions. This revision addresses this by slapping on flashburn and dispel, but also upgrades the defense amp, makes his defense while in dragondrive to be comparable to Aldred, and makes his healing skill apply to the entire team.</t>
  </si>
  <si>
    <t>110281_02</t>
  </si>
  <si>
    <t>A-194</t>
  </si>
  <si>
    <t>Yukata Curran</t>
  </si>
  <si>
    <t>Festival Inquisitor</t>
  </si>
  <si>
    <t>https://dragalialost.wiki/w/Yukata_Curran</t>
  </si>
  <si>
    <t>Curran, freshly clad in a yukata, strikes out with Lathna to enjoy a Hinomotoan summer festival. His initial trepidation quickly gave way to delight as he acclimated to the garb's breezy fit. Who knew inquiring could be so...comfortable!</t>
  </si>
  <si>
    <t>Clear All-Out Assault: EX
(Twinkling Twilight)</t>
  </si>
  <si>
    <t>Ricochet Bolts</t>
  </si>
  <si>
    <t>Maskable Faith</t>
  </si>
  <si>
    <t>Multiple Skill Hits = Energy Level Up II</t>
  </si>
  <si>
    <t>Energy = Strength &amp; Critical Rate III</t>
  </si>
  <si>
    <t>Festival Inquisitor (V3)</t>
  </si>
  <si>
    <t>Added Critical Damage Amp (Max Lv. = 3) granted by Maskable Faith</t>
  </si>
  <si>
    <t>Added to Maskable Faith</t>
  </si>
  <si>
    <t>Yukata Curran was a more technical and involved adventurer who depended heavily on energy, making him hard to use in Nihility content. This revision makes his energy immune to Nihility, gives him Pipple's energy buff, and simplifies his kit by removing the Maskable Faith Mode entirely.</t>
  </si>
  <si>
    <t>110324_01</t>
  </si>
  <si>
    <t>A-195</t>
  </si>
  <si>
    <t>Wu Kong</t>
  </si>
  <si>
    <t>Rookie Sealer</t>
  </si>
  <si>
    <t>https://dragalialost.wiki/w/Wu_Kong</t>
  </si>
  <si>
    <t>A cheeky, fresh-faced sealer who left his master Xuan Zang's side in order to train under another. His talents are such that he was named the first human Sealer, but he still gets easily carried away, and must be cautioned by his master.</t>
  </si>
  <si>
    <t>Clear Fighting for a Chance
(Timeworn Torment)</t>
  </si>
  <si>
    <t>Ruyi Jingu Bang</t>
  </si>
  <si>
    <t>Furious Flurry</t>
  </si>
  <si>
    <t>Added Strength Amp (Max Lv. = 3) granted by Furious Flurry</t>
  </si>
  <si>
    <t>Added to Furious Flurry</t>
  </si>
  <si>
    <t>Wu Kong was a curious adventurer, as he was a paralysis punisher who lacked any paralysis of his own, and he was released alongside light adventurers with limited access to paralysis. This revision addresses this by turning him into a paralysis bot with access to paralysis res down, and a strength amp for good measure.</t>
  </si>
  <si>
    <t>110345_01</t>
  </si>
  <si>
    <t>A-196</t>
  </si>
  <si>
    <t>Mitsuhide</t>
  </si>
  <si>
    <t>Leader of the Mouse Clan</t>
  </si>
  <si>
    <t>https://dragalialost.wiki/w/Mitsuhide</t>
  </si>
  <si>
    <t>The head of the Mouse Clan, one of the Twelve Wyrmclans who govern Hinomoto. She loves to sleep and hates most other forms of effort, and if there isn't an opportunity for a nap, she's happy to make one herself. Now go get some shut-eye.</t>
  </si>
  <si>
    <t>Clear Subdue the Snapper: Beginner
(A Clawful Caper)</t>
  </si>
  <si>
    <t>Mouse's Revenge</t>
  </si>
  <si>
    <t>Calamity Drop</t>
  </si>
  <si>
    <t>(Light) Combo Time VI</t>
  </si>
  <si>
    <t>Added Strength Amp (Max Lv. = 3) granted by Calamity Drop</t>
  </si>
  <si>
    <t>Added to Calamity Drop</t>
  </si>
  <si>
    <t>Mitsuhide remained a reliable source of paralysis since her debut, helped by her access to paralyzed punisher, flurry strength, and combo time. This revision boosts her damage, adds dispel, and adds a strength amp.</t>
  </si>
  <si>
    <t>110319_01</t>
  </si>
  <si>
    <t>A-197</t>
  </si>
  <si>
    <t>Fleur</t>
  </si>
  <si>
    <t>Budding Artist</t>
  </si>
  <si>
    <t>https://dragalialost.wiki/w/Fleur</t>
  </si>
  <si>
    <t>A sylvan girl who loves to paint. Endlessly curious, she aspires to leave the forest to further her artistic studies, and ultimately dreams of pioneering a new style of art that fuses human and sylvan culture.</t>
  </si>
  <si>
    <t>Clear The Vernal Games Warm-Ups: Expert
(The Hunt for Harmony)</t>
  </si>
  <si>
    <t>Captivating Canvas</t>
  </si>
  <si>
    <t>Palette Punch</t>
  </si>
  <si>
    <t>HP 70% = Skill Haste +8%</t>
  </si>
  <si>
    <t>Added Defense Amp (Max Lv. = 3) granted by Palette Punch</t>
  </si>
  <si>
    <t>Added to Captivating Canvas</t>
  </si>
  <si>
    <t>Fleur was a curious adventurer who, due to her status as a 4-star and lack of a mana spiral, never really found much usability. This revision consolidates her first skill and upgrades it into a source of healing, dispel, and paralysis, while throwing on a defense amp to her second skill. This makes her into a steady source of paralysis and slight healing.</t>
  </si>
  <si>
    <t>110276_01</t>
  </si>
  <si>
    <t>A-198</t>
  </si>
  <si>
    <t>Fritz</t>
  </si>
  <si>
    <t>Dagger Magnificence</t>
  </si>
  <si>
    <t>https://dragalialost.wiki/w/Fritz</t>
  </si>
  <si>
    <t>A dagger wielder from a circus troupe. Although he wows crowds with his dazzling blade skills, he also carries a shadow of his past with him. In both battle and life, he lives by a performer's code of letting no prey escape.</t>
  </si>
  <si>
    <t>Clear Welcome to the Fiend Circus: Expert
(Dream Big Under the Big Top)</t>
  </si>
  <si>
    <t>Acrobatic Dagger</t>
  </si>
  <si>
    <t>Dazzling Show</t>
  </si>
  <si>
    <t>(Light) Combo Time V</t>
  </si>
  <si>
    <t>Striker's Skill +8%</t>
  </si>
  <si>
    <t>Strength Doublebuff +8%</t>
  </si>
  <si>
    <t>Added Paralysis</t>
  </si>
  <si>
    <t>Added Defense Amp (Max Lv. = 1) granted by Acrobatic Dagger &amp; Critical Damage Amp (Max Lv. = 1) granted by Dazzling Show</t>
  </si>
  <si>
    <t>Added to Acrobatic Dagger</t>
  </si>
  <si>
    <t>While Fritz had access to stun, his lack of relevant afflictions, dispel, or much of anything limited his use most content, and the only thing he really has going for him is his unique Stunning Knives force strike that was later iterated on with Yukata Curran. This revision rounds down the edges of his kit, boosts his skill damage, gives him paralysis and dispel, along with a defense amp for good measure.</t>
  </si>
  <si>
    <t>110037_01</t>
  </si>
  <si>
    <t>A-199</t>
  </si>
  <si>
    <t>Irfan</t>
  </si>
  <si>
    <t>Mammonist Mercenary</t>
  </si>
  <si>
    <t>https://dragalialost.wiki/w/Irfan</t>
  </si>
  <si>
    <t>A skilled mercenary seemingly obsessed with cashing in—though the way he talks makes some believe he's actually NOT in it for the money. Perhaps one day he will reveal his true purpose.</t>
  </si>
  <si>
    <t>Clear Battle in the Dornith Mountains: Standard
(The Imperial Onslaught)</t>
  </si>
  <si>
    <t>Gleaming Talons</t>
  </si>
  <si>
    <t>Hungry Fang</t>
  </si>
  <si>
    <t>(Light) Above 10 Hits = Shadow Res +7%</t>
  </si>
  <si>
    <t>Curse Res +25%</t>
  </si>
  <si>
    <t>Added Strength Amp (Max Lv. = 1) granted by Hungry Fang &amp; Defense Amp (Max Lv. = 1) granted by Gleaming Talons</t>
  </si>
  <si>
    <t>Added to Hungry Fang</t>
  </si>
  <si>
    <t>Irfan was a launch 3-star adventurer and his only real perks were his access to strength and defense reduction. This revision acknowledges this decision and turns Irfan into a reduced strength and defense punisher, throws in bleed and dispel, and gives him a strength amp because of his upgraded ability 1.</t>
  </si>
  <si>
    <t>100016_03</t>
  </si>
  <si>
    <t>A-200</t>
  </si>
  <si>
    <t>Valyx</t>
  </si>
  <si>
    <t>The Unbending</t>
  </si>
  <si>
    <t>https://dragalialost.wiki/w/Valyx</t>
  </si>
  <si>
    <t>The fourth scion of Alberia, and a man renowned for his military and leadership prowess. Though he generally keeps to himself, his love for his country and people speaks volumes. After serving the empire for a time, he now works with the Halidom in order to save the world.</t>
  </si>
  <si>
    <t>Clear Repelling the Black Mana Forces: Expert
(The Blood That Binds)</t>
  </si>
  <si>
    <t>Royal Blitz</t>
  </si>
  <si>
    <t>Lightning Rampage</t>
  </si>
  <si>
    <t>(Light) Team Defense Amp = HP Regen V</t>
  </si>
  <si>
    <t>Team Defense Amp = HP Regen V</t>
  </si>
  <si>
    <t>Stalwart Warrior II</t>
  </si>
  <si>
    <t>Unconstrained Fate II</t>
  </si>
  <si>
    <t>Royal Shield II</t>
  </si>
  <si>
    <t>Royal Shield (V3)</t>
  </si>
  <si>
    <t>Updated Paralysis &amp; Flashburn</t>
  </si>
  <si>
    <t>Updated Team Defense Amp (Max Lv. = 3) granted every 30 seconds</t>
  </si>
  <si>
    <t>Already on Lightning Rampage</t>
  </si>
  <si>
    <t>Valyx was a powerhouse adventurer with access to just about everything a light adventurer could ask for, with paralysis, flashburn, and dispel. This revision changes nothing beyond making his defense amp activate every 30 seconds, regardless of Valyx's health, and increases the max team amp level to 3.</t>
  </si>
  <si>
    <t>110334_02</t>
  </si>
  <si>
    <t>A-201</t>
  </si>
  <si>
    <t>Gala Audric</t>
  </si>
  <si>
    <t>The Paternal King</t>
  </si>
  <si>
    <t>https://dragalialost.wiki/w/Gala_Audric</t>
  </si>
  <si>
    <t>A warrior who watches over the prince with eyes both stern and warm. Burdened with myriad sins, he fights on in secret for his atonement. Now he would see finished the things he left undone as the man whose name he cast aside.</t>
  </si>
  <si>
    <t>Clear Ch. 20 7-5 of the Main Campaign
(Normal)</t>
  </si>
  <si>
    <t>Overkarma</t>
  </si>
  <si>
    <t>Circlet of Exaltation</t>
  </si>
  <si>
    <t>(Light) Defense +6%</t>
  </si>
  <si>
    <t>Undying Will II</t>
  </si>
  <si>
    <t>Interdimensional Blessing II</t>
  </si>
  <si>
    <t>Undying Will (V3)</t>
  </si>
  <si>
    <t>Already on Circlet of Exaltation</t>
  </si>
  <si>
    <t>Gala Audric was a fantastic adventurer and a crucial part of many Master and Legendary Iblis compositions due to his excessive access to flashburn. However, he might also have too much flashburn, as boss resistance can easily reach 100% after a few minutes. This revision simplifies his kit by removing skill chain, adds flashburn res down to Circlet of Exaltation, and boosts his defense amp to apply twice as often.</t>
  </si>
  <si>
    <t>110380_01</t>
  </si>
  <si>
    <t>A-202</t>
  </si>
  <si>
    <t>Sophie (Persona)</t>
  </si>
  <si>
    <t>Humanity's Companion</t>
  </si>
  <si>
    <t>https://dragalialost.wiki/w/Sophie_(Persona)</t>
  </si>
  <si>
    <t>A mysterious girl found in the Shibuya Jail who seems to have lost all her memories, save those of her role as humanity's companion. She's a hard worker who contributes greatly to the Phantom Thieves with her Persona-like power.</t>
  </si>
  <si>
    <t>Clear Take Your Heart
(Persona 5 Strikers Caged Desire)</t>
  </si>
  <si>
    <t>Drive Spinner</t>
  </si>
  <si>
    <t>Upgrade</t>
  </si>
  <si>
    <t>Light Boost +15%?</t>
  </si>
  <si>
    <t>(Light) Divine Grace V?</t>
  </si>
  <si>
    <t>Humanity's Companion II</t>
  </si>
  <si>
    <t>HP 70% = Critical Rate +10%</t>
  </si>
  <si>
    <t>Humanity's Companion (V3)</t>
  </si>
  <si>
    <t>Added Defense Amp (Max Lv. = 3) granted by Upgrade</t>
  </si>
  <si>
    <t>Added to Drive Spinner</t>
  </si>
  <si>
    <t>Sophie (Persona) was an odd collab welfare adventurer. She had amazing co-abilities, but she was not really effective as DPS or a healer. This revision aims to make her better at both things. Giving her more damage, flashburn, and dispel, and making Upgrade always heal adventurers. </t>
  </si>
  <si>
    <t>110322_01</t>
  </si>
  <si>
    <t>A-203</t>
  </si>
  <si>
    <t>Zhu Bajie</t>
  </si>
  <si>
    <t>Indebted General</t>
  </si>
  <si>
    <t>https://dragalialost.wiki/w/Zhu_Bajie</t>
  </si>
  <si>
    <t>A military man and a former commander in Taiwu's army. Once arrogant, he reformed after being rebuked by Xuan Zang, and now travels with her uninvited. He's a devoted husband, and often mentions his wife in glowing terms.</t>
  </si>
  <si>
    <t>Clear Mei Hou Wang Clash: Expert
(Timeworn Torment)</t>
  </si>
  <si>
    <t>Bursting Fury</t>
  </si>
  <si>
    <t>Macho Charge</t>
  </si>
  <si>
    <t>Rampaging Boar II</t>
  </si>
  <si>
    <t>Resilient Offense +10%</t>
  </si>
  <si>
    <t>Rampaging Boar (V3)</t>
  </si>
  <si>
    <t>Added Strength Amp (Max Lv. = 3) granted by Macho Charge</t>
  </si>
  <si>
    <t>Zhu Bajie was one of my least favorite adventurers to play as in Dragalia Lost. His kit features none of what would become essential elements for DPS adventurers later on, and his low HP effects made him dangerous to play. So this revision aims to effectively break him apart and rebuild him. Bursting Fury now inflicts paralysis, Rampaging Boar is a paralysis punisher, Resilient Offense was replaced with strength +20%, and Macho Charge was completely changed into a team-wide HP Up skill.</t>
  </si>
  <si>
    <t>110036_03</t>
  </si>
  <si>
    <t>A-204</t>
  </si>
  <si>
    <t>Dragonyule Malora</t>
  </si>
  <si>
    <t>Lady Starfall</t>
  </si>
  <si>
    <t>https://dragalialost.wiki/w/Dragonyule_Malora</t>
  </si>
  <si>
    <t>The seductive sniper gets a holiday glow-up! With her sweet voice and unmatched charm, she punishes men who tarnish the purity of love. Make way for Lady Starfall!</t>
  </si>
  <si>
    <t>Clear Season's Beatings: Expert
(The Miracle of Dragonyule)</t>
  </si>
  <si>
    <t>Starfall Surprise</t>
  </si>
  <si>
    <t>Chill of Winter</t>
  </si>
  <si>
    <t>(Light) Paralysis = User Strength +13%</t>
  </si>
  <si>
    <t>Defense Reduced = User Shield II</t>
  </si>
  <si>
    <t>Added Strength Amp (Max Lv. = 3) granted by Chill of Winter</t>
  </si>
  <si>
    <t>Added to Chill of Winter</t>
  </si>
  <si>
    <t>Dragonyule Malora was not a bad support adventurer due to her access to defense down, but she lacked much way to deal out damage personally. This revision gives her a reduced defense punisher and nearly doubles her skill damage, while giving her a strength amp and dispel. No afflictions were added, as she does not have much of a need for them.</t>
  </si>
  <si>
    <t>110042_01</t>
  </si>
  <si>
    <t>A-205</t>
  </si>
  <si>
    <t>Julietta</t>
  </si>
  <si>
    <t>Timorous Paladyn</t>
  </si>
  <si>
    <t>https://dragalialost.wiki/w/Julietta</t>
  </si>
  <si>
    <t>A holy knight with the power to slay a hundred men—yet who cries at the drop of a hat. Raised in wealth, she often comes off as snobby, which pushes her away from others. She tends to get terrible stomachaches when nervous.</t>
  </si>
  <si>
    <t>Clear Lightsunder Ruins: Expert</t>
  </si>
  <si>
    <t>Impending Sky</t>
  </si>
  <si>
    <t>Glorious Guard</t>
  </si>
  <si>
    <t>Floral Knight</t>
  </si>
  <si>
    <t>Added Strength Amp (Max Lv. = 3) granted by Glorious Guard</t>
  </si>
  <si>
    <t>Added to Divine Strike</t>
  </si>
  <si>
    <t>Julietta was a powerhouse and self-sufficient adventurer whose kit really does not have much room for improvement without making other adventurers look worse in comparison. This revision adds no afflictions, but it does round up damage numbers, add dispel, and adds a strength amp. Her custom ability is also too powerful to change with any sort of strength boost.</t>
  </si>
  <si>
    <t>100006_03</t>
  </si>
  <si>
    <t>A-206</t>
  </si>
  <si>
    <t>Summer Luca</t>
  </si>
  <si>
    <t>Prankster in Paradise</t>
  </si>
  <si>
    <t>https://dragalialost.wiki/w/Summer_Luca</t>
  </si>
  <si>
    <t>Coming to the beach with his friends has Luca more amped than ever—and no one is going to slow him down. Whether it's ball games, playing in the water, or building sandcastles, he's intent on having the most fun possible.</t>
  </si>
  <si>
    <t>Clear A Fiendish Performance: Expert
(A Crescendo of Courage)</t>
  </si>
  <si>
    <t>Floatie Spin</t>
  </si>
  <si>
    <t>Summer Spirit</t>
  </si>
  <si>
    <t>(Light) Energy = Strength +9%</t>
  </si>
  <si>
    <t>Extra Energy I</t>
  </si>
  <si>
    <t>Added Strength Amp (Max Lv. = 1) granted by Floatie Spin &amp; Critical Damage Amp (Max Lv. = 1) granted by Summer Spirit</t>
  </si>
  <si>
    <t>Added to Floatie Spin</t>
  </si>
  <si>
    <t>Summer Luca was a perpetually not useful adventurer, even well before Nihility content. This revision boosts his damage, makes his energy immune to Nihility, boosts his strength, and gives him a combination of flashburn and dispel.</t>
  </si>
  <si>
    <t>110033_01</t>
  </si>
  <si>
    <t>A-207</t>
  </si>
  <si>
    <t>Linus</t>
  </si>
  <si>
    <t>Bantam Hero</t>
  </si>
  <si>
    <t>https://dragalialost.wiki/w/Linus</t>
  </si>
  <si>
    <t>A pint-sized, spirited mercenary who keeps the peace in a corrupt city. As he's simply doing what he feels to be right, he's uncomfortable with the seemingly endless praise he gets.</t>
  </si>
  <si>
    <t>Valiant Axe</t>
  </si>
  <si>
    <t>Shining Vanguard</t>
  </si>
  <si>
    <t>(Light) HP 60% = Strength +3%</t>
  </si>
  <si>
    <t>HP 70% = Defense +8%</t>
  </si>
  <si>
    <t>Flurry Strength &amp; Paralyzing Edge/Sting (V3)</t>
  </si>
  <si>
    <t>Added Strength Amp (Max Lv. = 1) granted by Valiant Axe &amp; Critical Damage Amp (Max Lv. = 1) granted by Shining Vanguard</t>
  </si>
  <si>
    <t>Added to Valiant Axe</t>
  </si>
  <si>
    <t>Linus has next to nothing remarkable to his kit, so this revision turns him into a paralysis bot and gives him Flurry Strength &amp; Paralysis Edge/Sting for good measure.</t>
  </si>
  <si>
    <t>110381_01</t>
  </si>
  <si>
    <t>A-208</t>
  </si>
  <si>
    <t>Ryszarda</t>
  </si>
  <si>
    <t>The Wing of Enlightenment</t>
  </si>
  <si>
    <t>https://dragalialost.wiki/w/Ryszarda</t>
  </si>
  <si>
    <t>One of the apostles of the northern Ilian Church. Her muscular frame belies a timid heart. She shies away from conflict, but often ends up reluctantly decimating her foes. She admires the bright-eyed optimism of Raphael, the dragon she formed a Sigil with.</t>
  </si>
  <si>
    <t>Clear In Pursuit of Truth: Master
(Divine Deception)</t>
  </si>
  <si>
    <t>Clemens Punishment</t>
  </si>
  <si>
    <t>Lentus Oracle</t>
  </si>
  <si>
    <t>(Light) HP Recovery = Strength +8%</t>
  </si>
  <si>
    <t>Raphael's Covenant II</t>
  </si>
  <si>
    <t>Raphael's Protection II</t>
  </si>
  <si>
    <t>Raphael's Covenant (V3)</t>
  </si>
  <si>
    <t>Raphael's Protection (V3)</t>
  </si>
  <si>
    <t>Already on standard attack</t>
  </si>
  <si>
    <t>Ryszarda was a vital adventurer after the release of Lilith's Encroaching Shadow, and remained a reliable source of flashburn and dispel throughout the rest of the game's life. As such, this revision does not change much, beyond adding an amp, making it easier to enter Sigil Released, and giving Ryszarda more defensive capabilities with team-wide healing and a one-use shield. </t>
  </si>
  <si>
    <t>110358_01</t>
  </si>
  <si>
    <t>A-209</t>
  </si>
  <si>
    <t>Sharena</t>
  </si>
  <si>
    <t>Princess of Askr</t>
  </si>
  <si>
    <t>https://dragalialost.wiki/w/Sharena</t>
  </si>
  <si>
    <t>The princess of the Kingdom of Askr. She came to this world in order to save comrades who had been swallowed up in the space between worlds. Bright and warm, she safeguards peace as a member of the Order of Heroes.</t>
  </si>
  <si>
    <t>Clear Thórr's Hammer
(Fire Emblem: Kindred Ties)</t>
  </si>
  <si>
    <t>Resplendent Slash</t>
  </si>
  <si>
    <t>Luna</t>
  </si>
  <si>
    <t>Paralyzed Punisher +8%</t>
  </si>
  <si>
    <t>Supreme Last Devastation II</t>
  </si>
  <si>
    <t>Added Critical Damage Amp (Max Lv. = 3) granted by Luna</t>
  </si>
  <si>
    <t>Added to Luna</t>
  </si>
  <si>
    <t>Sharena was a decent paralysis bot, and her shared skill was one of the best sources of paralysis in Dragalia Lost. This revision boosts her damage numbers, adds dispel, and replaces Last Devastation with Flurry Devastation for good measure, and gives her access to paralysis res down.</t>
  </si>
  <si>
    <t>110007_02</t>
  </si>
  <si>
    <t>A-210</t>
  </si>
  <si>
    <t>Hunter Vanessa</t>
  </si>
  <si>
    <t>Kirin Amazon</t>
  </si>
  <si>
    <t>https://dragalialost.wiki/w/Hunter_Vanessa</t>
  </si>
  <si>
    <t>Vanessa the hunter, clad in a set of Kirin gear. She and her adorable Felyne companion venture through streams, woodlands, and volcanoes in search of prey. And as a bonus, she's picked up some fine new lance skills from Elisanne!</t>
  </si>
  <si>
    <t>Clear The Dreadking's Domain
(Monster Hunter Primal Crisis)</t>
  </si>
  <si>
    <t>Corkscrew Jab</t>
  </si>
  <si>
    <t>Enraged Guard</t>
  </si>
  <si>
    <t>Lance Expertise +2</t>
  </si>
  <si>
    <t>Lance Expertise (V3)</t>
  </si>
  <si>
    <t>Added Team Strength Amp (Max Lv. = 1) &amp; Team Defense Amp (Max Lv. = 1) granted by Enraged Guard</t>
  </si>
  <si>
    <t>Hunter Vanessa was a briefly relevant adventurer due to her access to paralysis, dispel, and a long lasting strength buff. This revision boosts her damage, gives her access to dispel and both a team strength and defense amp activated by Enraged Guard. </t>
  </si>
  <si>
    <t>100002_02</t>
  </si>
  <si>
    <t>A-211</t>
  </si>
  <si>
    <t>Halloween Elisanne</t>
  </si>
  <si>
    <t>Vampaladyn</t>
  </si>
  <si>
    <t>https://dragalialost.wiki/w/Halloween_Elisanne</t>
  </si>
  <si>
    <t>While Elisanne has taken quite a liking to her Halloween costume, she still feels more than a little embarrassed to actually wear it. Which of these feelings will win out in the end? Only the vampire herself can decide…</t>
  </si>
  <si>
    <t>Clear Halloween Horrors: Master
(Trick or Treasure!)</t>
  </si>
  <si>
    <t>Sacred Maiden</t>
  </si>
  <si>
    <t>Mischief Maker</t>
  </si>
  <si>
    <t>(Light) Above 10 Hits = Strength +13%</t>
  </si>
  <si>
    <t>Added Strength Amp (Max Lv. = 1) granted by Sacred Maiden &amp; Defense Amp (Max Lv. = 1) granted by Mischief Maker</t>
  </si>
  <si>
    <t>Added to Mischief Maker</t>
  </si>
  <si>
    <t>Halloween Elisanne was an adventurer whose original mana spiral was so controversial among the community that Cygames went back and changed it. This revision further changes things by removing skill shift, removing the penalty to standard attack damage, adding dispel, and adding a defense amp, to reflect her healing abilities.</t>
  </si>
  <si>
    <t>110275_01</t>
  </si>
  <si>
    <t>A-212</t>
  </si>
  <si>
    <t>Annelie</t>
  </si>
  <si>
    <t>The Sugary Star</t>
  </si>
  <si>
    <t>https://dragalialost.wiki/w/Annelie</t>
  </si>
  <si>
    <t>The leader of a circus troupe that travels the continent. A tamer of dragons, she enthralls audiences by making even the fiercest of them obey her. She has a quirk of kissing people on the cheek when showing appreciation.</t>
  </si>
  <si>
    <t>Clear Top Star Trial: Master
(Dream Big Under the Big Top)</t>
  </si>
  <si>
    <t>Stunning Display</t>
  </si>
  <si>
    <t>Smiles on Parade</t>
  </si>
  <si>
    <t>(Light) Energy = Strength +10%</t>
  </si>
  <si>
    <t>Energized: Strength +25%</t>
  </si>
  <si>
    <t>The Sugary Star (V3)</t>
  </si>
  <si>
    <t>Updated Strength Amp (Max Lv. = 3) granted by Stunning Display</t>
  </si>
  <si>
    <t>Already on Stunning Display</t>
  </si>
  <si>
    <t>Annelie was a paralysis bot and excellent adventurer for Iblis Master and Legendary after the release of her mana spiral. However, the original mana spiral did nothing for her energy levels, and had a few too many conditions. This revision consolidates her skills, gives her energy Nihility immunity, and improves her strength amp. </t>
  </si>
  <si>
    <t>110323_01</t>
  </si>
  <si>
    <t>A-213</t>
  </si>
  <si>
    <t>Sha Wujing</t>
  </si>
  <si>
    <t>Deadly Tactician</t>
  </si>
  <si>
    <t>https://dragalialost.wiki/w/Sha_Wujing</t>
  </si>
  <si>
    <t>A weapons engineer with a keen mind. He once developed weapons in Taiwu, dedicating himself to the expansion of the country, but an encounter with the Qilin caused him to leave Taiwu and travel with Xuan Zang as an uninvited hanger-on.</t>
  </si>
  <si>
    <t>Clear Mei Hou Wang Clash: Nightmare
(Timeworn Torment)</t>
  </si>
  <si>
    <t>Crash Armament</t>
  </si>
  <si>
    <t>Obstruction Armament</t>
  </si>
  <si>
    <t>(Light) HP +9%</t>
  </si>
  <si>
    <t>Ascending Skill +6%</t>
  </si>
  <si>
    <t>Assailant's Strength +8%</t>
  </si>
  <si>
    <t>Added Strength Amp (Max Lv. = 3) granted by Crash Armament</t>
  </si>
  <si>
    <t>Added to Crash Armament</t>
  </si>
  <si>
    <t>Sha Wujing was the last 4-star adventurer ever released, and he was a strange addition. On one hand, he was the source of a large and potent defense debuff zone, but he lacked any afflictions to call his own, his personal damage was low, and his abilities were underwhelming. This revision doubles his skill damage and replaces his abilities, adds dispel and a strength amp, and makes his debuff zone last 50% longer.</t>
  </si>
  <si>
    <t>110039_01</t>
  </si>
  <si>
    <t>A-214</t>
  </si>
  <si>
    <t>Ryozen</t>
  </si>
  <si>
    <t>Dormant Demon</t>
  </si>
  <si>
    <t>https://dragalialost.wiki/w/Ryozen</t>
  </si>
  <si>
    <t>An ethical monk with a love for peace. His sharp senses and premonitions show he's no normal abbot, but his background is unknown. While often filling the comical role of grandpa, he has serious moments that suggest another side.</t>
  </si>
  <si>
    <t>Clear Light Legion's Trial: Standard
(Trials of the Mighty)</t>
  </si>
  <si>
    <t>Celestial Citadel</t>
  </si>
  <si>
    <t>Lotus Lance</t>
  </si>
  <si>
    <t>Healing Doublebuff III</t>
  </si>
  <si>
    <t>Added Defense Amp (Max Lv. = 1) granted by Celestial Citadel</t>
  </si>
  <si>
    <t>Added to Lotus Lance</t>
  </si>
  <si>
    <t>Royzen was a launch adventurer whose only unique element was the healing doublebuff built into his kit and the synergy it had with his defense up buffs. This revision basically transforms him into another version of Templar Hope for the light element, giving him team regen when a defense amp is active, in addition to a secondary skill that does both flashburn and dispel.</t>
  </si>
  <si>
    <t>110034_01</t>
  </si>
  <si>
    <t>A-215</t>
  </si>
  <si>
    <t>Malka</t>
  </si>
  <si>
    <t>Golden Armorer</t>
  </si>
  <si>
    <t>https://dragalialost.wiki/w/Malka</t>
  </si>
  <si>
    <t>A master craftsman who adorns himself in gold armor. Some think he did so to show off his wealth, but there's a deeper reason for it. His fervor for armor burns hotter than a furnace, and his need to save lives is stronger than steel.</t>
  </si>
  <si>
    <t>Blaze of Gold</t>
  </si>
  <si>
    <t>Pride of the Forge</t>
  </si>
  <si>
    <t>(Light) Defense +3%</t>
  </si>
  <si>
    <t>Full HP = Defense +20%</t>
  </si>
  <si>
    <t>Added Strength Amp (Max Lv. = 3) granted by Pride of the Forge</t>
  </si>
  <si>
    <t>Added to Blasé of Gold</t>
  </si>
  <si>
    <t>Malka's only real contribution to Dragalia Lost mechanically was his shared skill's inclusion in the Enter the Kaleidoscape mode. This revision gives him almost double the skill damage, dispel, and a strength amp, along with Furry Strength for good measure. Because what else can be done here?</t>
  </si>
  <si>
    <t>110391_01</t>
  </si>
  <si>
    <t>A-216</t>
  </si>
  <si>
    <t>Isaac</t>
  </si>
  <si>
    <t>Guardsman of the Verdure</t>
  </si>
  <si>
    <t>https://dragalialost.wiki/w/Isaac</t>
  </si>
  <si>
    <t>A watchman from the sylvan holy land of Initio in North Grastaea and protector of the dragon Yggdrasil. A staunch advocate of sylvan laws and traditions, he considers it his sworn duty to pass them down to the next generation.</t>
  </si>
  <si>
    <t>Clear Repelling the Forest's Aggressors: Expert
(The Children of Yggdrasil)</t>
  </si>
  <si>
    <t>Wealdfury</t>
  </si>
  <si>
    <t>Lightning Hunt</t>
  </si>
  <si>
    <t>(Light) Poised Shadow Res +7%</t>
  </si>
  <si>
    <t>Guardsman of the Verdure II</t>
  </si>
  <si>
    <t>Poised Strength +20%</t>
  </si>
  <si>
    <t>Guardsman of the Verdure (V3)</t>
  </si>
  <si>
    <t>Updated Strength Amp (Max Lv. = 3) granted by Wealdfury</t>
  </si>
  <si>
    <t>Added to Lightning Hunt</t>
  </si>
  <si>
    <t>Isaac was a curious adventure who ushered in a second era of Nihility immune buff zones, and became part of the Light meta for certain team compositions. This revision removes the randomness element of his kit by making all of the randomly generated buff zone effects activate at the same time. To balance this, the first self-inflicted buff was removed. This revision also gives Isaac access to dispel, paralysis, and a better strength amp, while spreading his shadow resistance across the entire team.</t>
  </si>
  <si>
    <t>110010_02</t>
  </si>
  <si>
    <t>A-217</t>
  </si>
  <si>
    <t>Summer Mikoto</t>
  </si>
  <si>
    <t>Wave-Riding Archer</t>
  </si>
  <si>
    <t>https://dragalialost.wiki/w/Summer_Mikoto</t>
  </si>
  <si>
    <t>Mikoto has found a slick swimsuit that helps him surf the waves. He continues to search for his beloved cat Mineuchi, a journey that takes him to a beach said to have wave-riding felines. He's also taken up a bow to land fish for cat friends.</t>
  </si>
  <si>
    <t>Clear Defensive Battle: EX
(Summertime Saviors)</t>
  </si>
  <si>
    <t>Radiant Bolt</t>
  </si>
  <si>
    <t>Magnanimity's Call</t>
  </si>
  <si>
    <t>(Light) Paralysis = User Shadow Res +8%</t>
  </si>
  <si>
    <t>Sun and Sea II</t>
  </si>
  <si>
    <t>Paralyzed Shredder II</t>
  </si>
  <si>
    <t>Paralyzed Shredder (V3)</t>
  </si>
  <si>
    <t>Added Strength Amp (Max Lv. = 1) &amp; Critical Damage Amp (Max Lv. = 1) granted by Magnanimity's Call</t>
  </si>
  <si>
    <t>Added to Radiant Bolt</t>
  </si>
  <si>
    <t>Summer Mikoto had a quirky kit that relied upon activating certain buffs regularly and using them to increase the power of his skills. He never caught on in the meta, presumably because he was a bother to play. This revision guts him of his unique mechanics and turns him into a straightforward adventurer with a damaging, affliction inflicting, dispelling, initial skill, and a self-buffing second skill that grants both strength and critical damage amps. </t>
  </si>
  <si>
    <t>100004_04</t>
  </si>
  <si>
    <t>A-218</t>
  </si>
  <si>
    <t>Summer Cleo</t>
  </si>
  <si>
    <t>Beach Belle</t>
  </si>
  <si>
    <t>https://dragalialost.wiki/w/Summer_Cleo</t>
  </si>
  <si>
    <t>Even the Halidom's most capable retainer has taken to the beach, and, armed with an umbrella and clad in a lovely swimsuit, she's as sweet as any summer flower—though she hasn't fully warmed to her new attire.</t>
  </si>
  <si>
    <t>Clear Can't Stop the Beatdown!: Master
(A Crescendo of Courage)</t>
  </si>
  <si>
    <t>Parasol Shot</t>
  </si>
  <si>
    <t>Tropical Breeze</t>
  </si>
  <si>
    <t>Paralysis = Skill Haste +12%</t>
  </si>
  <si>
    <t>Paralyzed Punisher +35%</t>
  </si>
  <si>
    <t>Beach Belle (V3)</t>
  </si>
  <si>
    <t>Added Critical Damage Amp (Max Lv. = 3) granted by Tropical Breeze</t>
  </si>
  <si>
    <t>Added to Parasol Shot</t>
  </si>
  <si>
    <t>Summer Cleo was a key adventurer in various cheese strats due to her ample access to buffs, and her kit has a number of unique elements that make it difficult to change. This revision upgrades her damaging skill, removes the conditional effects on her second skill, and reworks her first ability for Nihility content, while adding the usual dispel and amps. This revision nerfs Paralyzed Punisher for consistency purposes.</t>
  </si>
  <si>
    <t>110303_01</t>
  </si>
  <si>
    <t>A-219</t>
  </si>
  <si>
    <t>Elias</t>
  </si>
  <si>
    <t>Divine Voice</t>
  </si>
  <si>
    <t>https://dragalialost.wiki/w/Elias</t>
  </si>
  <si>
    <t>A young boy from the Harmonia Choir. He boasts a heavenly voice, and expects the best from both himself and others when it comes to singing. He likes sweet things a great deal, but fears this makes him seem a bit childish.</t>
  </si>
  <si>
    <t>Clear Forward Without Hesitation
(Resplendent Refrain)</t>
  </si>
  <si>
    <t>Uptempo Chord</t>
  </si>
  <si>
    <t>Virtuoso Anthem</t>
  </si>
  <si>
    <t>(Light) Energy = Shadow Res +7%</t>
  </si>
  <si>
    <t>Demon's Bane +25%</t>
  </si>
  <si>
    <t>Last Offense +30%</t>
  </si>
  <si>
    <t>Added Defense Amp (Max Lv. = 3) granted by Virtuoso Anthem</t>
  </si>
  <si>
    <t>Added to Uptempo Chord</t>
  </si>
  <si>
    <t>Elias was one of the weakest adventurers in Dragalia Lost due to his single damaging skill, limited buff, and poor abilities. This revision boosts his skill damage, gives him dispel, paralysis, and a defense amp, upgrades his abilities to boost DPS, and also throws in a max HP Up buff for good measure.</t>
  </si>
  <si>
    <t>110040_01</t>
  </si>
  <si>
    <t>A-220</t>
  </si>
  <si>
    <t>Rawn</t>
  </si>
  <si>
    <t>Wild Hunter</t>
  </si>
  <si>
    <t>https://dragalialost.wiki/w/Rawn</t>
  </si>
  <si>
    <t>A child of nature who grew up in the forest. He makes his living hunting fiends using the knowledge and skills of his father—and while he comprehends the feelings of all manner of beasts, he struggles with human language.</t>
  </si>
  <si>
    <t>Clear The Mercurial Gauntlet
(Light): Lv. 40
(The Mercurial Gauntlet)</t>
  </si>
  <si>
    <t>Fiend Crush</t>
  </si>
  <si>
    <t>Critter Slayer</t>
  </si>
  <si>
    <t>(Light) Above 10 Hits = Shadow Res +9%</t>
  </si>
  <si>
    <t>Striker's Strength +5%</t>
  </si>
  <si>
    <t>Stunned Punisher +20%</t>
  </si>
  <si>
    <t>Flurry Striker's Strength (V3)</t>
  </si>
  <si>
    <t>Added Strength Amp (Max Lv. = 3) granted by Critter Slayer</t>
  </si>
  <si>
    <t>Added to Critter Slayer</t>
  </si>
  <si>
    <t>Rawn was never a commonly used adventurer, as he lacked much damage, afflictions, or much of anything beyond debuffs and stun. This revision boosts his damage, gives him a strength amp, flashburn, dispel, and upgrades his abilities.</t>
  </si>
  <si>
    <t>100006_01</t>
  </si>
  <si>
    <t>A-221</t>
  </si>
  <si>
    <t>Luca</t>
  </si>
  <si>
    <t>Woodland Archer</t>
  </si>
  <si>
    <t>https://dragalialost.wiki/w/Luca</t>
  </si>
  <si>
    <t>A boy who loves his home village of Woodhaven. He puts no airs on his honest nature and is more prone to quick action than deliberation. His love of pranks is often met with punches from his little sister, but he cares for her greatly.</t>
  </si>
  <si>
    <t>Clear Ch. 02 2-1 of the Main Campaign
(Normal)</t>
  </si>
  <si>
    <t>Radiant Bonds</t>
  </si>
  <si>
    <t>Bolt of Light</t>
  </si>
  <si>
    <t>Defense +3%</t>
  </si>
  <si>
    <t>Full HP = Strength &amp; Paralyzing Edge I</t>
  </si>
  <si>
    <t>Added Strength Amp (Max Lv. = 3) granted by Bolt of Lightning</t>
  </si>
  <si>
    <t>Already on Bolt of Lightning</t>
  </si>
  <si>
    <t>Luca gained relevance after the release of his mana spiral, making him a go-to welfare unit in Tartarus and someone who retained relevance even up to the release of Lilith. However, he was power creeped out by later adventurers. This revision boosts his damage, and upgrades Paralyzing Edge, but mostly gives him access to paralysis res down.</t>
  </si>
  <si>
    <t>110036_01</t>
  </si>
  <si>
    <t>A-222</t>
  </si>
  <si>
    <t>Malora</t>
  </si>
  <si>
    <t>Alluring Sniper</t>
  </si>
  <si>
    <t>https://dragalialost.wiki/w/Malora</t>
  </si>
  <si>
    <t>Her voluptuousness and flirtatious speech make men an easy target for this charming sniper. Stringing people along is just a game to her, however, and those who fall for her charms always regret it in the end.</t>
  </si>
  <si>
    <t>Clear Battle in the Dornith Mountains: Beginner
(The Imperial Onslaught)</t>
  </si>
  <si>
    <t>Morning Glow</t>
  </si>
  <si>
    <t>Provocative Shot</t>
  </si>
  <si>
    <t>(Light) Paralyzing Edge +40%</t>
  </si>
  <si>
    <t>Paralyzing Edge +50%</t>
  </si>
  <si>
    <t>Added Critical Damage Amp (Max Lv. = 3) granted by Provocative Shot</t>
  </si>
  <si>
    <t>Added to Morning Glow</t>
  </si>
  <si>
    <t>Malora was a weak early adventurer whose biggest boost came in the form of her paralysis edge chain co-ability. This revision plays into this chain co-ability by turning her into a paralysis punisher and res down adventurer, while slapping on the usual dispel and amps.</t>
  </si>
  <si>
    <t>100054_02</t>
  </si>
  <si>
    <t>A-223</t>
  </si>
  <si>
    <t>Bondforged Zethia</t>
  </si>
  <si>
    <t>Radiant Auspex</t>
  </si>
  <si>
    <t>https://dragalialost.wiki/w/Bondforged_Zethia</t>
  </si>
  <si>
    <t>Zethia, having awakened to the power of bonds. Using the powers of an Auspex and Bahamut, she fights with her friends to save the world. She now has both the ability to fight and the strength of heart to stand tall on her own.</t>
  </si>
  <si>
    <t>Clear True Bahamut Clash: Expert
(Advent of the Origin)</t>
  </si>
  <si>
    <t>Blazing Fount</t>
  </si>
  <si>
    <t>Ring of Affection</t>
  </si>
  <si>
    <t>Bondforged Auspex II</t>
  </si>
  <si>
    <t>Unbreakable Bonds II (Light)</t>
  </si>
  <si>
    <t>Bondforged Might II</t>
  </si>
  <si>
    <t>Bondforged Auspex (V3)</t>
  </si>
  <si>
    <t>No changes to Team Critical Damage Amp (Max Lv. = 3) granted by Ring of Affection</t>
  </si>
  <si>
    <t>Already on Blazing Fount</t>
  </si>
  <si>
    <t>Bondfordged Zethia was one of the last adventurers added to the game, so this revision just rounds up some numbers and replaces her skill damage ability to be more consistent. </t>
  </si>
  <si>
    <t>100015_08</t>
  </si>
  <si>
    <t>A-224</t>
  </si>
  <si>
    <t>Summer Chelle</t>
  </si>
  <si>
    <t>Unrelenting Summer Beauty</t>
  </si>
  <si>
    <t>https://dragalialost.wiki/w/Summer_Chelle</t>
  </si>
  <si>
    <t>The third scion of Alberia graces the beach with a breezy summer outfit. Her defenseless facade belies her usual cunning and calculated poise. 'Ware the thorns ere you pluck this summer rose.'</t>
  </si>
  <si>
    <t>Clear Kanaloa Clash: Expert
(Stranded Scions)</t>
  </si>
  <si>
    <t>Sole Estivo</t>
  </si>
  <si>
    <t>Estate Brillante</t>
  </si>
  <si>
    <t>(Light) Flashburn = Shadow Res +8%</t>
  </si>
  <si>
    <t>Stunning Summer Scion II</t>
  </si>
  <si>
    <t>HP 70% = Flashburn Time +30%</t>
  </si>
  <si>
    <t>Stunning Summer Scion (V3)</t>
  </si>
  <si>
    <t>Flashburn Time +30% (V3)</t>
  </si>
  <si>
    <t>Updated Defense Amp (Max Lv. = 3) granted by Sole Estivo</t>
  </si>
  <si>
    <t>Summer Chelle was a great adventurer beyond her more technical elements, as using her required the user to sacrifice movement speed. This revision removes her unique radiance gauge and instead makes her a flashburn powerhouse with massive skill damage, and effectively limitless flashburn.</t>
  </si>
  <si>
    <t>110299_02</t>
  </si>
  <si>
    <t>A-225</t>
  </si>
  <si>
    <t>Radiant Xuan Zang</t>
  </si>
  <si>
    <t>Radiant Sealer</t>
  </si>
  <si>
    <t>https://dragalialost.wiki/w/Radiant_Xuan_Zang</t>
  </si>
  <si>
    <t>A Qilin sealer who uses the power of the relic, Xihe, to manipulate light. Her kindness drove her to break the Sealer code and take an active role in the world at large. Her recent worry is her inability to let go of her pupil.</t>
  </si>
  <si>
    <t>Clear Defying Xuan Zang: Expert
(Timeworn Torment)</t>
  </si>
  <si>
    <t>Surging Light</t>
  </si>
  <si>
    <t>Coalescent Light</t>
  </si>
  <si>
    <t>Xihe's Radiance II</t>
  </si>
  <si>
    <t>Xihe's Radiance (V3)</t>
  </si>
  <si>
    <t>Added Defense Amp (Max Lv. = 3) granted by Coalescent Light</t>
  </si>
  <si>
    <t>Added to Brightflash</t>
  </si>
  <si>
    <t>Radiant Xuan Zang was a nifty support adventurer and one of the first introductions of affliction res down. However, her upgraded state was sometimes difficult to obtain due to the proximity requirement, and her damage was not the best. This revision removes the proximity condition from her second skill, gives her a 5% skill gauge boost, adds a defense amp, and a conditional dispel effect.</t>
  </si>
  <si>
    <t>110361_01</t>
  </si>
  <si>
    <t>A-226</t>
  </si>
  <si>
    <t>Peony</t>
  </si>
  <si>
    <t>Sweet Dream</t>
  </si>
  <si>
    <t>https://dragalialost.wiki/w/Peony</t>
  </si>
  <si>
    <t>A ljósálfar from Ljósálfheimr, the realm of dreams. Brave, forward-looking, and kind, she has the power to grant happy dreams, and loves nothing more than using it frequently. She's also fond of playing with human children.</t>
  </si>
  <si>
    <t>Clear Battle with Peony: Hard
(Fire Emblem: Kindred Ties)</t>
  </si>
  <si>
    <t>Flower of Joy</t>
  </si>
  <si>
    <t>Gentle Dream</t>
  </si>
  <si>
    <t>Light Damage +20%</t>
  </si>
  <si>
    <t>Aid of the Ljósálfar II</t>
  </si>
  <si>
    <t>Aid of the Ljósálfar (V3)</t>
  </si>
  <si>
    <t>Added Defense Amp (Max Lv. = 1) granted by Gentle Dream &amp; Critical Damage Amp (Max Lv. = 1) granted by Gentle Dream</t>
  </si>
  <si>
    <t>Added to Flower of Joy</t>
  </si>
  <si>
    <t>Peony was a strange addition. Her co-ability made her a mainstay of any co-op light team, and her flurry of tiny buffs made her a match made in heaven for any buff-driven adventurer. However, she was a pretty weak adventurer beyond that. This revision boosts her skill damage considerably, removes skill shift, and removes a few limiters to make her a better powerhouse. While not great for Nihility content like this, she is at least usable.</t>
  </si>
  <si>
    <t>110305_01</t>
  </si>
  <si>
    <t>A-227</t>
  </si>
  <si>
    <t>Lucretia</t>
  </si>
  <si>
    <t>Songstress of the Century</t>
  </si>
  <si>
    <t>https://dragalialost.wiki/w/Lucretia</t>
  </si>
  <si>
    <t>Called the songstress of the century, her ethereal voice captures the hearts of all who hear it. Her voice has earned her renown across the continent, but rumors whisper that she has an equal talent for the slaying of fiends.</t>
  </si>
  <si>
    <t>Clear Sabnock Clash: Nightmare
(Resplendent Refrain)</t>
  </si>
  <si>
    <t>Empowering Triplet</t>
  </si>
  <si>
    <t>Crescendo Chorus</t>
  </si>
  <si>
    <t>(Light) Energy = Inspiration VI</t>
  </si>
  <si>
    <t>Energy = Inspiration VI</t>
  </si>
  <si>
    <t>Songstress of the Century (V3)</t>
  </si>
  <si>
    <t>Added Critical Damage Amp (Max Lv. = 3) granted by Crescendo Chorus</t>
  </si>
  <si>
    <t>Lucretia was a light adventurer who received a mana spiral a month before the introduction of flashburn and six months before Nihility content. And by that time, she was irrelevant. This revision gives her flashburn and makes her energy immune to Nihility, while giving her a dispel strike for good measure, and upping her damage numbers.</t>
  </si>
  <si>
    <t>110347_01</t>
  </si>
  <si>
    <t>A-228</t>
  </si>
  <si>
    <t>Chitose</t>
  </si>
  <si>
    <t>Cuteness Incarnate</t>
  </si>
  <si>
    <t>https://dragalialost.wiki/w/Chitose</t>
  </si>
  <si>
    <t>A lad from Hinomoto who believes himself to be cuter than anyone. He comes from a family of warriors who have traditionally served the Mouse Clan, and currently serves Mitsuhide. She's very happy just letting Chitose be Chitose!</t>
  </si>
  <si>
    <t>Clear Into the Woods
(A Clawful Caper)</t>
  </si>
  <si>
    <t>Love &amp; Acclaim</t>
  </si>
  <si>
    <t>Radical Radiance</t>
  </si>
  <si>
    <t>Love's Shield III</t>
  </si>
  <si>
    <t>Defensive Stance II</t>
  </si>
  <si>
    <t>Added Team Strength Amp (Max Lv. = 1) granted by Gentle Dream &amp; Team Defense Amp (Max Lv. = 1) granted by Radical Radiance</t>
  </si>
  <si>
    <t>Chitose was a provider of strength buffs and one-use shields, but not much else. This revision sticks with that idea, but gives him access to both strength and defense amps, while throwing in dispel. This makes him a better support unit, and gives him a role in Nihility content.</t>
  </si>
  <si>
    <t>110041_01</t>
  </si>
  <si>
    <t>A-229</t>
  </si>
  <si>
    <t>Amane</t>
  </si>
  <si>
    <t>Child of Miracles</t>
  </si>
  <si>
    <t>https://dragalialost.wiki/w/Amane</t>
  </si>
  <si>
    <t>A "child of miracles" from a distant country. She hates dragons and desires to eliminate them. Her reckless efforts are often misguided, but her earnestness moves others to action. Though she looks young, she's actually an adult.</t>
  </si>
  <si>
    <t>Clear The Mercurial Gauntlet
(Light): Lv. 10
(The Mercurial Gauntlet)</t>
  </si>
  <si>
    <t>Empyreal Levin</t>
  </si>
  <si>
    <t>Hallowed Raiments</t>
  </si>
  <si>
    <t>(Light) HP 80% = Shadow Res +5%</t>
  </si>
  <si>
    <t>Added Strength Amp (Max Lv. = 3) granted by Hollowed Raiments</t>
  </si>
  <si>
    <t>Added to Empyreal Levin</t>
  </si>
  <si>
    <t>Amane received a good mana spiral, and beyond her secondary skill being a bit too narrow, there was not much to revise. Her first skill was simplified to deal more damage, her abilities were unchanged, and her second skill was rebalanced for team applications and to give a strength amp.</t>
  </si>
  <si>
    <t>110316_01</t>
  </si>
  <si>
    <t>A-230</t>
  </si>
  <si>
    <t>Xiao Lei</t>
  </si>
  <si>
    <t>Boundless Arithmetician</t>
  </si>
  <si>
    <t>https://dragalialost.wiki/w/Xiao_Lei</t>
  </si>
  <si>
    <t>A young arithmetician who loves mathematics. She uses a device called an abacus to make calculations on anything and everything—be it prices, surface areas, or what have you. She's also been known to predict the future.</t>
  </si>
  <si>
    <t>Clear Aquatic Cyclops Assault: Expert
(Skyborne Spectacle)</t>
  </si>
  <si>
    <t>Flash Strike</t>
  </si>
  <si>
    <t>Tactical Analysis</t>
  </si>
  <si>
    <t>Skill Damage +20%</t>
  </si>
  <si>
    <t>Added Critical Damage Amp (Max Lv. = 3) granted by Tactical Analysis</t>
  </si>
  <si>
    <t>Added to Flash Strike</t>
  </si>
  <si>
    <t>Xiao Lei was actually seen as a useful adventurer when she debuted due to her access to critical damage for the entire team, but she quickly fell off in relevance. This revision doubles her skill damage, adds dispel, and adds a healing effect to her second skill, while playing into the critical damage she was briefly known for.</t>
  </si>
  <si>
    <t>100007_10</t>
  </si>
  <si>
    <t>A-231</t>
  </si>
  <si>
    <t>Kimono Notte</t>
  </si>
  <si>
    <t>Celebrating Cutie</t>
  </si>
  <si>
    <t>https://dragalialost.wiki/w/Kimono_Notte</t>
  </si>
  <si>
    <t>Your girl Notte is looking mighty sassy in her New Year's kimono, and she's planning on trying new things and making wonderful memories with her friends this year. She even has a new kimono for her grown-up self!</t>
  </si>
  <si>
    <t>Clear Exhibition Match: Encore EX
(Fortune's Fray)</t>
  </si>
  <si>
    <t>Faerie Sunrise</t>
  </si>
  <si>
    <t>Faerie Fortune</t>
  </si>
  <si>
    <t>(Light) Combo = Shapeshift Prep V</t>
  </si>
  <si>
    <t>New Year's Metamorphosis II</t>
  </si>
  <si>
    <t>New Year's Metamorphosis (V3)</t>
  </si>
  <si>
    <t>No changes to Critical Damage Amp (Max Lv. = 1) granted by any skill</t>
  </si>
  <si>
    <t>Added to Faerie Fortune</t>
  </si>
  <si>
    <t>Kimono Notte was a late addition and her kit is complicated, so there are few changes to make. This revision rounds up a few numbers, adds skill charge, and throws on a dispel, but not much else.</t>
  </si>
  <si>
    <t>100009_08</t>
  </si>
  <si>
    <t>A-232</t>
  </si>
  <si>
    <t>Gala Zena</t>
  </si>
  <si>
    <t>Unwavering Auspex</t>
  </si>
  <si>
    <t>https://dragalialost.wiki/w/Gala_Zena</t>
  </si>
  <si>
    <t>Another Zethia from another world, who is working with the prince and his allies to save it. She is confused as to her place in this world and her relations with her new comrades, and wonders what it is she can really do.</t>
  </si>
  <si>
    <t>Clear Ch. 15 4-5 of the Main Campaign
(Hard)</t>
  </si>
  <si>
    <t>Glorious Sanctuary</t>
  </si>
  <si>
    <t>Holy Crown</t>
  </si>
  <si>
    <t>(Light) Above 10 Hits = Critical Rate +13%</t>
  </si>
  <si>
    <t>Hallowed Auspex III</t>
  </si>
  <si>
    <t>Auspex's Prayer III</t>
  </si>
  <si>
    <t>Hallowed Auspex (V3)</t>
  </si>
  <si>
    <t>Updated Defense Amp (Max Lv. = 3) granted by Glorious Sanctuary</t>
  </si>
  <si>
    <t>Gala Zena received an amazing mana spiral, making her the de facto healer for light, so there is little to change. This revision rounds up a few numbers, throws dispel onto her fully charged force strike, and makes it easier for her to amass defense up amps.</t>
  </si>
  <si>
    <t>110043_01</t>
  </si>
  <si>
    <t>A-233</t>
  </si>
  <si>
    <t>Hildegarde</t>
  </si>
  <si>
    <t>Devout Oracle</t>
  </si>
  <si>
    <t>https://dragalialost.wiki/w/Hildegarde</t>
  </si>
  <si>
    <t>While head of an abbey, an oracle compelled her on a mission to the castle to aid the prince. Her austere personality reinforces her faith and helps her impose teachings of the Church on others. She has an abnormal hatred of lies.</t>
  </si>
  <si>
    <t>Clear Battle in the Dornith Mountains: Expert
(The Imperial Onslaught)</t>
  </si>
  <si>
    <t>Radiant Savior</t>
  </si>
  <si>
    <t>Sacred Guardian</t>
  </si>
  <si>
    <t>Devout Oracle (V3)</t>
  </si>
  <si>
    <t>Hildegarde was a healing tank and the go-to light healder during Rise of the Sinister Dominion due to her ample regen. This revision upgrades her healing numbers to be more consistent and in-line with other adventurers and gives her a defense amp, as that is really all she could need or want.</t>
  </si>
  <si>
    <t>110277_01</t>
  </si>
  <si>
    <t>A-234</t>
  </si>
  <si>
    <t>Felicia</t>
  </si>
  <si>
    <t>Captivating Dancer</t>
  </si>
  <si>
    <t>https://dragalialost.wiki/w/Felicia</t>
  </si>
  <si>
    <t>A kind and beautiful dancer whose movements captivate all manner of beings. This talent led the king of death to fall in love and kidnap her, only to see her later rescued by a dragon who had taken pity upon her.</t>
  </si>
  <si>
    <t>Clear Save Phantom!
(A Waltz with Fate)</t>
  </si>
  <si>
    <t>Heaven's Blessing</t>
  </si>
  <si>
    <t>Cleansing Dance</t>
  </si>
  <si>
    <t>Undead Res +20%</t>
  </si>
  <si>
    <t>Felicia was always an underwhelming healer due to her lack of regen, and this revision aims to make her into basically a light equivalent of Lowen. This includes the general structure of healing, HP Up, and defense amp, along with a dispel strike.</t>
  </si>
  <si>
    <t>110304_01</t>
  </si>
  <si>
    <t>A-235</t>
  </si>
  <si>
    <t>Vixel</t>
  </si>
  <si>
    <t>Musical Maestro</t>
  </si>
  <si>
    <t>https://dragalialost.wiki/w/Vixel</t>
  </si>
  <si>
    <t>An up-and-coming conductor who graduated from a noted choir and now travels the land leading various orchestras. He is mature and tolerant, deeply passionate when it comes to music, and quite proud of his body of work.</t>
  </si>
  <si>
    <t>Clear Manticore Assault: Expert
(Resplendent Refrain)</t>
  </si>
  <si>
    <t>Spirited Song</t>
  </si>
  <si>
    <t>Agitato Assault</t>
  </si>
  <si>
    <t>Mighty Crescendo</t>
  </si>
  <si>
    <t>Vigorous Conducting</t>
  </si>
  <si>
    <t>Mighty Crescendo (V3)</t>
  </si>
  <si>
    <t>Updated Strength Amp (Max Lv. = 3) granted by Agitato Assault</t>
  </si>
  <si>
    <t>Vixel's mana spiral was an attempt to make an irrelevant healer relevant once again. However, he ultimately functioned as little more than a Hildegarde alternative with good access to dispel. So this revision gives him overdamage on his initial skill.</t>
  </si>
  <si>
    <t>110047_02</t>
  </si>
  <si>
    <t>A-236</t>
  </si>
  <si>
    <t>Halloween Althemia</t>
  </si>
  <si>
    <t>Diametric Vampire</t>
  </si>
  <si>
    <t>https://dragalialost.wiki/w/Halloween_Althemia</t>
  </si>
  <si>
    <t>A passionate researcher of black magic, Althemia had always longed to wear a vampire's garb, and spent many a night sewing this costume. It seems no change of outfit can hide her tendency to go all in on her passions.</t>
  </si>
  <si>
    <t>Upgrade the Sweet Retreat to Lv. 10
(Trick or Treasure!)</t>
  </si>
  <si>
    <t>Sweet Treat</t>
  </si>
  <si>
    <t>Bitter Trick</t>
  </si>
  <si>
    <t>(Light) Paralysis = User Critical Rate +12%</t>
  </si>
  <si>
    <t>Added Strength Amp (Max Lv. = 3) granted by Bitter Trick</t>
  </si>
  <si>
    <t>Halloween Althemia would get the same treatment as Aurien and Sophie, making her more of a healer DPS hybrid than before. This revision gives her access to flashburn and flashburn res down while completely revamping her healing skill, but retaining the curse healing. </t>
  </si>
  <si>
    <t>110063_01</t>
  </si>
  <si>
    <t>A-237</t>
  </si>
  <si>
    <t>Estelle</t>
  </si>
  <si>
    <t>Loving Preacher</t>
  </si>
  <si>
    <t>https://dragalialost.wiki/w/Estelle</t>
  </si>
  <si>
    <t>A preacher spreading the word of the Church. She's austere and orthodox, yet she has an emotional side that often gets the better of her. She likes to deliver her kindness in the form of a slap she calls "the Loving Hand."</t>
  </si>
  <si>
    <t>Clear Lightsunder Ruins: Beginner</t>
  </si>
  <si>
    <t>Healing Faith</t>
  </si>
  <si>
    <t>Guardian's Grace</t>
  </si>
  <si>
    <t>(Light) HP +7%</t>
  </si>
  <si>
    <t>The Loving Hand</t>
  </si>
  <si>
    <t>The Loving Hand (V3)</t>
  </si>
  <si>
    <t>Added Strength Amp (Max Lv. = 3) granted by Healing Faith</t>
  </si>
  <si>
    <t>Estelle should have been a good healer, but Guardian's Grace's SP cost was simply too high for her to be a reliable source of HP Regen. SP costs are not part of this revision, but this revision does make her initial skill more useful, upgrades The Loving Hand, gives her a strength amp, and gives her striking haste, because she should be using force strike anyway.</t>
  </si>
  <si>
    <t>110038_01</t>
  </si>
  <si>
    <t>A-238</t>
  </si>
  <si>
    <t>Hope</t>
  </si>
  <si>
    <t>Knight at Heart</t>
  </si>
  <si>
    <t>https://dragalialost.wiki/w/Hope</t>
  </si>
  <si>
    <t>A priest in training who admires swordsmen. He reluctantly departed to an apprenticeship under the orders of his father and often thinks he shouldn't let his parents decide his future— however, he still yearns to protect others.</t>
  </si>
  <si>
    <t>Healing Hand</t>
  </si>
  <si>
    <t>Blessed Wall</t>
  </si>
  <si>
    <t>(Light) Above 10 Hits = Critical Rate +9%</t>
  </si>
  <si>
    <t>Full HP = Healing +13%</t>
  </si>
  <si>
    <t>Added Defense Amp (Max Lv. = 3) granted by Blessed Wall</t>
  </si>
  <si>
    <t>Hope was a healer in desperate need of a mana spiral, but he never received one. This revision moves him closer to other healers with the introduction of regen, but it does not add much beyond that, as his kit is very plain.</t>
  </si>
  <si>
    <t>100032_07</t>
  </si>
  <si>
    <t>A-239</t>
  </si>
  <si>
    <t>Halloween Laxi</t>
  </si>
  <si>
    <t>Mischievous Android</t>
  </si>
  <si>
    <t>https://dragalialost.wiki/w/Halloween_Laxi</t>
  </si>
  <si>
    <t>Laxi received this costume when performing in a play and is now using it for Halloween. After the Prince told her pranking was part of the fun of Halloween, she began to take a great interest in the subject.</t>
  </si>
  <si>
    <t>Clear Theatrical Throwdown: Master
(The Clockwork Heart)</t>
  </si>
  <si>
    <t>Trick 00: Ghost Fig</t>
  </si>
  <si>
    <t>Trick 99: Clockwork</t>
  </si>
  <si>
    <t>(Light) Combo = Critical Rate V</t>
  </si>
  <si>
    <t>Clockwork Creature II</t>
  </si>
  <si>
    <t>Flashburn Frenzy II</t>
  </si>
  <si>
    <t>Clockwork Creature (V3)</t>
  </si>
  <si>
    <t>Flashburn Frenzy (V3)</t>
  </si>
  <si>
    <t>No changes to Defense Amp (Max Lv. = 3) granted by Trick 99: Clockwork</t>
  </si>
  <si>
    <t>Already on Trick:00 Ghost Fig</t>
  </si>
  <si>
    <t>Halloween Laxi was an amazing source of flashburn and as a late addition, she remained relevant to the end. However, her kit is very prone to inflicting too much flashburn, so this revision mostly just boosts skill damage and adds flashburn res down, while increasing combo time.</t>
  </si>
  <si>
    <t>110384_01</t>
  </si>
  <si>
    <t>A-240</t>
  </si>
  <si>
    <t>Eirene</t>
  </si>
  <si>
    <t>Rational Android</t>
  </si>
  <si>
    <t>https://dragalialost.wiki/w/Eirene</t>
  </si>
  <si>
    <t>An android built one thousand years ago who defected from the group known as Ex Machina. She is a high-performance command unit whose quick and accurate judgment served her well in her millennium-long duty to annihilate dragons.</t>
  </si>
  <si>
    <t>Clear Defensive Battle: Master
(Ageless Artifice)</t>
  </si>
  <si>
    <t>Armed 17: Scramble</t>
  </si>
  <si>
    <t>Armed 99: Overclock</t>
  </si>
  <si>
    <t>Mana Supercapacitors II (Light)</t>
  </si>
  <si>
    <t>Emergency Battery Unit II</t>
  </si>
  <si>
    <t>Mana Supercapacitors (Light) (V3)</t>
  </si>
  <si>
    <t>Added Strength Amp (Max Lv. = 3) granted by armament gauge</t>
  </si>
  <si>
    <t>Added to Armed 17: Scramble</t>
  </si>
  <si>
    <t>Eirene was generally considered to be a less good version of Ilia upon her debut, due to how she offered flashburn and little else. This revision aims to improve her by increasing her gauge fill rate, giving her Finni's third ability, because it is so much better, and making her flashburn punisher twice as effective.</t>
  </si>
  <si>
    <t>110367_01</t>
  </si>
  <si>
    <t>A-241</t>
  </si>
  <si>
    <t>Ilia</t>
  </si>
  <si>
    <t>Flawless Alchemist</t>
  </si>
  <si>
    <t>https://dragalialost.wiki/w/Ilia</t>
  </si>
  <si>
    <t>An alchemist of unparalleled talents, so much so that she was successfully able to create the legendary omega key. After the death of her parents, she was raised by a faerie. She yearns to be free, but the world is greedy for her talents.</t>
  </si>
  <si>
    <t>Clear Morsayati Clash: Nightmare
(Forgotten Truths)</t>
  </si>
  <si>
    <t>Drive Buster</t>
  </si>
  <si>
    <t>Alchemic Enhancement</t>
  </si>
  <si>
    <t>Enigma II</t>
  </si>
  <si>
    <t>Epiphany II</t>
  </si>
  <si>
    <t>Critical Output II</t>
  </si>
  <si>
    <t>Critical Output (V3)</t>
  </si>
  <si>
    <t>Added to Alchemic Enhancement II and unique force strike</t>
  </si>
  <si>
    <t>Ilia was an excellent adventurer whens he debuted, and if she retained her alchemic cartridge buffs in Nihility content from the outset, she could have remained a mainstay. This revision boosts damage, adds a critical damage amp, and gives her access to dispel.</t>
  </si>
  <si>
    <t>110003_02</t>
  </si>
  <si>
    <t>A-242</t>
  </si>
  <si>
    <t>Sharpshooter Joe</t>
  </si>
  <si>
    <t>Scorching Sharpshooter</t>
  </si>
  <si>
    <t>https://dragalialost.wiki/w/Sharpshooter_Joe</t>
  </si>
  <si>
    <t>Having mastered the bow, the Fire's Fletcher takes aim with the manacaster, an ancient weapon revitalized by Chelle for the modern era. He's quickly taken to discovering its particulars, his heart throbbing with every pull of the trigger.</t>
  </si>
  <si>
    <t>Lightstream Shot</t>
  </si>
  <si>
    <t>Skyward Support</t>
  </si>
  <si>
    <t>Evader's Devastation II</t>
  </si>
  <si>
    <t>Added Critical Damage Amp (Max Lv. = 3) granted by Skyward Support</t>
  </si>
  <si>
    <t>Added to Lightstream Shot</t>
  </si>
  <si>
    <t>Sharpshooter Joe was a welfare bonus to introduce players to the manashooter weapon, and he was not a particularly good adventurer. His abilities were limited by his 3-star status, while he had good critical buffs, they were self sufficient, and Joe did not have the best damage to begin with. This revision builds Joe around critical rate and damage by replacing his abilities and giving him a critical damage amp.</t>
  </si>
  <si>
    <t>100039_03</t>
  </si>
  <si>
    <t>A-243</t>
  </si>
  <si>
    <t>Gala Nedrick</t>
  </si>
  <si>
    <t>Shadow of Genesis</t>
  </si>
  <si>
    <t>https://dragalialost.wiki/w/Gala_Nedrick</t>
  </si>
  <si>
    <t>The true seventh scion of Alberia. He was afflicted with Wyrmscale shortly after birth and taken to the Faerie Kingdom, where Bahamut granted him a new chance at life. Pragmatic and impersonal, he acts by his ideas alone.</t>
  </si>
  <si>
    <t>Clear Ch. 23 5-2 of the Main Campaign
(Hard)</t>
  </si>
  <si>
    <t>Shadow</t>
  </si>
  <si>
    <t>Rising Rebellion</t>
  </si>
  <si>
    <t>Blazing Animus</t>
  </si>
  <si>
    <t>(Shadow) Dragon Damage +12%</t>
  </si>
  <si>
    <t>Oblivion Pactbearer II</t>
  </si>
  <si>
    <t>Blessing of Creation II</t>
  </si>
  <si>
    <t>Enduring Ideals II</t>
  </si>
  <si>
    <t>Potent Blindness &amp; Paralysis Res +100% (V3)</t>
  </si>
  <si>
    <t>Updated Shadowblight</t>
  </si>
  <si>
    <t>No changes to Team Critical Damage Amp (Max Lv. = 3) granted by Animus Inferno</t>
  </si>
  <si>
    <t>Already on Rising Rebellion</t>
  </si>
  <si>
    <t>Nedrick was already an amazing adventurer, and all this revision does is update his shadowblight damage.</t>
  </si>
  <si>
    <t>100031_03</t>
  </si>
  <si>
    <t>A-244</t>
  </si>
  <si>
    <t>Alberius</t>
  </si>
  <si>
    <t>Dragonblooded Hero</t>
  </si>
  <si>
    <t>https://dragalialost.wiki/w/Alberius</t>
  </si>
  <si>
    <t>The legendary Founder King. Three centuries ago, he defeated the Other who had been restored by the Dyrenell Empire and founded the Kingdom of Alberia. Able to form pacts with many dragons, he soon joined forces with the Six Greatwyrms.</t>
  </si>
  <si>
    <t>Clear Elysium Clash: Expert
(Dawn of Dragalia)</t>
  </si>
  <si>
    <t>Circlet Dawn</t>
  </si>
  <si>
    <t>Exalted Inception</t>
  </si>
  <si>
    <t>Blindness Res +100%</t>
  </si>
  <si>
    <t>Dragon's Fierce Rule II</t>
  </si>
  <si>
    <t>Added Strength Amp (Max Lv. = 1) granted by Circlet Dawn &amp; Critical Damage Amp (Max Lv. = 1) granted by Exalted Inception</t>
  </si>
  <si>
    <t>Alberius was a powerful adventurer when he debuted, and beyond his lack of amps, he had no real issues as an adventurer. This revision rounds up a few damage numbers and adds an amp to each skill.</t>
  </si>
  <si>
    <t>100005_02</t>
  </si>
  <si>
    <t>A-245</t>
  </si>
  <si>
    <t>Gala Alex</t>
  </si>
  <si>
    <t>Liberated Assassin</t>
  </si>
  <si>
    <t>https://dragalialost.wiki/w/Gala_Alex</t>
  </si>
  <si>
    <t>With a new outfit, Alex has become Elisanne's personal guard. The white hood represents her leaving the assassin's life, and she swears a vow upon her blade to safeguard her friend and never lose heart, no matter what.</t>
  </si>
  <si>
    <t>Clear Ch. 12 4-3 of the Main Campaign
(Hard)</t>
  </si>
  <si>
    <t>Crisis Edge</t>
  </si>
  <si>
    <t>Umbral Erasure</t>
  </si>
  <si>
    <t>(Shadow) Poison = User Strength +13%</t>
  </si>
  <si>
    <t>Guardian Shadow III</t>
  </si>
  <si>
    <t>Poisoned Punisher &amp; Poison Edge I</t>
  </si>
  <si>
    <t>Liberated Assassin (V3)</t>
  </si>
  <si>
    <t>Gala Alex was a powerhouse and popular adventurer ever since her debut in March 2020. However, her kit is also a bit tricky to play, and a lot of players did not get how to make use of her dispel. As such, this revision takes a chainsaw to her skill chain and removes it. Now, her skills always deal their more powerful skill chain variants, and her strength amp is easier to apply.</t>
  </si>
  <si>
    <t>110325_01</t>
  </si>
  <si>
    <t>A-246</t>
  </si>
  <si>
    <t>Yaten</t>
  </si>
  <si>
    <t>Wandering Festival Planner</t>
  </si>
  <si>
    <t>https://dragalialost.wiki/w/Yaten</t>
  </si>
  <si>
    <t>A master at festival planning who left his homeland to hone his craft. Despite his love of napping and unkempt appearance, his passion for festivals has brought joy to many a sad and lonely town.</t>
  </si>
  <si>
    <t>Clear Ebon Chimera Strike: Standard
(Void Battles)</t>
  </si>
  <si>
    <t>Festival Rush</t>
  </si>
  <si>
    <t>Bold Blade</t>
  </si>
  <si>
    <t>(Shadow) HP 60% = Strength +6%</t>
  </si>
  <si>
    <t>Skill Prep +100% &amp; Energized: Strength +20%</t>
  </si>
  <si>
    <t>Wandering Festival Planner (V3)</t>
  </si>
  <si>
    <t>Updated Defense Amp (Max Lv. = 3) granted by Bold Blade</t>
  </si>
  <si>
    <t>Added to Festival Dance</t>
  </si>
  <si>
    <t>Yaten was an interesting repurposing of a support adventurer as a healer and source of shadowblight. However, literally every part of his kit references energy, so it seems wrong to not make his energy immune to Nihility. This alone should turn him into a powerhouse, but he also has dispel and a better defense amp for good measure.</t>
  </si>
  <si>
    <t>110334_01</t>
  </si>
  <si>
    <t>A-247</t>
  </si>
  <si>
    <t>Audric</t>
  </si>
  <si>
    <t>Atoning King</t>
  </si>
  <si>
    <t>https://dragalialost.wiki/w/Audric</t>
  </si>
  <si>
    <t>A mysterious man who stands in the prince's way at every turn and claims to know a great truth. He seems to know the prince quite well, and his eyes glitter with a warm, intense light when he looks upon the boy.</t>
  </si>
  <si>
    <t>Clear A Light in the Darkness
(Fractured Futures)</t>
  </si>
  <si>
    <t>Exaltation Terminus</t>
  </si>
  <si>
    <t>Circlet Denouement</t>
  </si>
  <si>
    <t>(Shadow) Dragon Haste +18%</t>
  </si>
  <si>
    <t>Cursed Blood</t>
  </si>
  <si>
    <t>Atoning King (V3)</t>
  </si>
  <si>
    <t>Audric was used in certain cheese clear comps due to his shapeshift prep ability, but as the meta around shadow element endgame content changed, he became less relevant. His kit was held back by being a 4-star event welfare adventurer and this revision reworks his kit into someone who benefits greatly from shapeshifting and also a source of poison res down, because why not?</t>
  </si>
  <si>
    <t>110050_01</t>
  </si>
  <si>
    <t>A-248</t>
  </si>
  <si>
    <t>Berserker</t>
  </si>
  <si>
    <t>Frenzied Warrior</t>
  </si>
  <si>
    <t>https://dragalialost.wiki/w/Berserker</t>
  </si>
  <si>
    <t>A veteran mercenary with numerous contacts who seems to constantly be pursuing one thing or another. Though a mellow fellow in normal life, he lives for combat and fights like a man possessed once he gets into battle.</t>
  </si>
  <si>
    <t>Clear The Mercurial Gauntlet
(Shadow): Lv. 20
(The Mercurial Gauntlet)</t>
  </si>
  <si>
    <t>Calamity Wheel</t>
  </si>
  <si>
    <t>Living Fortress</t>
  </si>
  <si>
    <t>(Shadow) HP Below 40% = Strength +14%</t>
  </si>
  <si>
    <t>Added Strength Amp (Max Lv. = 3) granted by Living Fortress</t>
  </si>
  <si>
    <t>Added to Calamity Wheel</t>
  </si>
  <si>
    <t>HP Up &amp; Bleed</t>
  </si>
  <si>
    <t>Berserker is a cool adventurer conceptually, but he never saw his full potential through a mana spiral. This revision reworks his kit to be more powerful and less self-centered.</t>
  </si>
  <si>
    <t>110046_01</t>
  </si>
  <si>
    <t>A-249</t>
  </si>
  <si>
    <t>Rodrigo</t>
  </si>
  <si>
    <t>Sincere Giver</t>
  </si>
  <si>
    <t>https://dragalialost.wiki/w/Rodrigo</t>
  </si>
  <si>
    <t>Known for sending fiend corpses as gifts, one might say Rodrigo is...unskilled at expressing appreciation. This misunderstood man just wants his feelings heard, but unfortunately, no one can quite seem to grasp what those are.</t>
  </si>
  <si>
    <t>Clear Battle at the Wartarch Ruins: Standard
(The Imperial Onslaught)</t>
  </si>
  <si>
    <t>Bonecrusher</t>
  </si>
  <si>
    <t>Shadowpiercer</t>
  </si>
  <si>
    <t>(Shadow) HP 60% = Strength +3%</t>
  </si>
  <si>
    <t>Potent Paralysis Res +50%</t>
  </si>
  <si>
    <t>Added Strength Amp (Max Lv. = 3) granted by Shadowpiercer</t>
  </si>
  <si>
    <t>Added to Shadowpiercer</t>
  </si>
  <si>
    <t>Rodrigo was one of many shadow adventurers who were turned into poison bots after their 2020 mana spirals. This revision leans into that, giving Rodrigo poison res down, along with the usual fixings.</t>
  </si>
  <si>
    <t>100054_01</t>
  </si>
  <si>
    <t>A-250</t>
  </si>
  <si>
    <t>Gala Zethia</t>
  </si>
  <si>
    <t>Auspex of Genesis</t>
  </si>
  <si>
    <t>https://dragalialost.wiki/w/Gala_Zethia</t>
  </si>
  <si>
    <t>Zethia now holds the power of Bahamut, the Wyrm of Genesis. As her pact is only half- complete, she cannot fully use his abilities. However, even that portion of his power is enormous—as is the price she pays for using it.</t>
  </si>
  <si>
    <t>Clear Ch. 21 6-3 of the Main Campaign
(Normal)</t>
  </si>
  <si>
    <t>Genesis Circlet</t>
  </si>
  <si>
    <t>(Shadow) Team Critical Dmg Amp = Light Res +6%</t>
  </si>
  <si>
    <t>Light Res +10%</t>
  </si>
  <si>
    <t>Genesis Pactbearer II</t>
  </si>
  <si>
    <t>Providential Blade II</t>
  </si>
  <si>
    <t>Genesis Pactbearer (V3)</t>
  </si>
  <si>
    <t>No changes to Critical Damage Amp (Max Lv. = 1) granted by standard attack combo</t>
  </si>
  <si>
    <t>Added to Calamity Beam</t>
  </si>
  <si>
    <t>Gala Zethia is a top tier adventurer who retained relevance through the end of the game's life. This revision rounds up numbers slightly and throws dispel onto Bahamut's dragon skill, but that is about it. She was already excellent.</t>
  </si>
  <si>
    <t>110271_01</t>
  </si>
  <si>
    <t>A-251</t>
  </si>
  <si>
    <t>Linnea</t>
  </si>
  <si>
    <t>Taciturn Warrior</t>
  </si>
  <si>
    <t>https://dragalialost.wiki/w/Linnea</t>
  </si>
  <si>
    <t>A taciturn, emotionless sylvan girl who speaks of a lonely rain that falls in her heart. Cold- blooded on the battlefield, her thoughts and actions are impossible to comprehend—save for her apparent hatred of humans.</t>
  </si>
  <si>
    <t>Clear All-Out Assault: EX
(Nadine and Linnea's United Front)</t>
  </si>
  <si>
    <t>Bliss Eternal</t>
  </si>
  <si>
    <t>Lycoris Refrain</t>
  </si>
  <si>
    <t>(Shadow) HP 80% = Light Res +6%</t>
  </si>
  <si>
    <t>Blissful Memories II</t>
  </si>
  <si>
    <t>Added Strength Amp (Max Lv. = 3) granted by Lycoris Refrain</t>
  </si>
  <si>
    <t>Already on Lycoris Refrain</t>
  </si>
  <si>
    <t>Linnea was a curious adventurer whose unique force strike was meant to make her into a powerhouse, but she never found much of a place in the stacked shadow element. This revision updates her skills to deal greater damage more consistently, while improving her defense while charging her force strikes, and throws in afflictions and a strength amp for good measure.</t>
  </si>
  <si>
    <t>110326_01</t>
  </si>
  <si>
    <t>A-252</t>
  </si>
  <si>
    <t>Natalie</t>
  </si>
  <si>
    <t>Devoted Festival Protégé</t>
  </si>
  <si>
    <t>https://dragalialost.wiki/w/Natalie</t>
  </si>
  <si>
    <t>A traveling festival planner who aids Yaten as a capable and hard-working apprentice. Her rough manner of speech betrays a kind, big-sister persona.</t>
  </si>
  <si>
    <t>Clear Raging Manticore Strike
(Void Battles)</t>
  </si>
  <si>
    <t>Defiant Dance</t>
  </si>
  <si>
    <t>Clean Slate</t>
  </si>
  <si>
    <t>(Shadow) HP Below 40% = Light Res +10%</t>
  </si>
  <si>
    <t>Paralysis Res +100%</t>
  </si>
  <si>
    <t>Added Defense Amp (Max Lv. = 3) granted by Clean Slate</t>
  </si>
  <si>
    <t>Added to Defiant Dance</t>
  </si>
  <si>
    <t>I still do not fully understand the nuance of Natalie's kit, but I have seen her used in some utterly insane speed clears that take advantage of her Clean Slate skill. However, per V3 standards, this revision is to discourage any low HP boons, and reworks her kit accordingly. Her first skill's damage was boosted, her energy was made immune to Nihility, and her second skill was made to buff the entire team.</t>
  </si>
  <si>
    <t>110313_01</t>
  </si>
  <si>
    <t>A-253</t>
  </si>
  <si>
    <t>Ieyasu</t>
  </si>
  <si>
    <t>Leader of the Boar Clan</t>
  </si>
  <si>
    <t>https://dragalialost.wiki/w/Ieyasu</t>
  </si>
  <si>
    <t>The head of one of the Twelve Wyrmclans who rule the island nation of Hinomoto. He represents the boar, and formed a pact with the dragon Marishiten. Though a master swordsman, he has a soft heart and despises war in all its forms.</t>
  </si>
  <si>
    <t>Clear Ieyasu's Crucible: Expert
(Fortune from Afar)</t>
  </si>
  <si>
    <t>Sakura Flurry</t>
  </si>
  <si>
    <t>Blade Formation</t>
  </si>
  <si>
    <t>(Shadow) Dragon Haste +20%</t>
  </si>
  <si>
    <t>HP 70% = Critical Rate +13%</t>
  </si>
  <si>
    <t>Added Critical Damage Amp (Max Lv. = 3) granted by Blade Formation</t>
  </si>
  <si>
    <t>Added to Sakura Flurry</t>
  </si>
  <si>
    <t>Ieyasu was a celebrated shadow adventurer due to his ample access to bleed, high critical damage, and access to regen healing. This revision boosts some numbers, throws on an amp, and that's about it. That's all he needed.</t>
  </si>
  <si>
    <t>110262_01</t>
  </si>
  <si>
    <t>A-254</t>
  </si>
  <si>
    <t>Aldred</t>
  </si>
  <si>
    <t>Wyrmbound Warrior</t>
  </si>
  <si>
    <t>https://dragalialost.wiki/w/Aldred</t>
  </si>
  <si>
    <t>A boy fused with a dragon by the Syndicate, an organization active in the world's underbelly. He embraces his monstrous power in order to seek revenge against those who experimented on him and robbed him of his family.</t>
  </si>
  <si>
    <t>Clear Hour of Retribution
(Scars of the Syndicate)</t>
  </si>
  <si>
    <t>Wyrmbound Ruiner</t>
  </si>
  <si>
    <t>Fetters of Fear</t>
  </si>
  <si>
    <t>(Shadow) HP Below 40% = Light Res +9%</t>
  </si>
  <si>
    <t>Wyrmbound II</t>
  </si>
  <si>
    <t>The Beast Within</t>
  </si>
  <si>
    <t>Wyrmbound (V3)</t>
  </si>
  <si>
    <t>Added Shadowblight</t>
  </si>
  <si>
    <t>Added to Wyrmbound Ruiner</t>
  </si>
  <si>
    <t>Dragondrive</t>
  </si>
  <si>
    <t>Aldred was a high risk adventurer who wanted to stay at low HP. That does not mesh with V3 standards, and his kit needed some retooling anyway. This revision doubles his base skill damage, removes all HP related elements of his kit, and makes his dragondrive form stronger and easier to maintain. Because of these changes, his strength and defense boons were reallocated and his third ability was consolidated, as he no longer needed such a large amount of defense buffs.</t>
  </si>
  <si>
    <t>110343_01</t>
  </si>
  <si>
    <t>A-255</t>
  </si>
  <si>
    <t>Durant</t>
  </si>
  <si>
    <t>Blood-Covered Mad Dog</t>
  </si>
  <si>
    <t>https://dragalialost.wiki/w/Durant</t>
  </si>
  <si>
    <t>Known widely as "The Mad Dog of Valkaheim," he leads a resistance group in the city. He can take a while to warm up to new people, but once earned, his trust is deep indeed.</t>
  </si>
  <si>
    <t>Clear Nidhogg's Trial: Standard
(Trials of the Mighty)</t>
  </si>
  <si>
    <t>Biting Revenge</t>
  </si>
  <si>
    <t>Unchained Rage</t>
  </si>
  <si>
    <t>(Shadow) HP 80% = Light Res +5%</t>
  </si>
  <si>
    <t>Full HP = Critical Damage +17%</t>
  </si>
  <si>
    <t>Blood-Covered Mad Dog (V3)</t>
  </si>
  <si>
    <t>Added Strength Amp (Max Lv. = 1) granted by Biting Revenge &amp; Critical Damage Amp (Max Lv. = 1) granted by Unchained Rage</t>
  </si>
  <si>
    <t>Durant was a curious and somewhat frustrating adventurer, as he lacked any offensive skills and relied entirely on maintaining full HP to gain strength and critical damage amps. This revision removes the full HP requirements and nerfs his skills in order for them to apply buffs and amps to the entire team. He was given a combo dispel force strike for good measure.</t>
  </si>
  <si>
    <t>110044_01</t>
  </si>
  <si>
    <t>A-256</t>
  </si>
  <si>
    <t>Taro</t>
  </si>
  <si>
    <t>Greenhorn Samurai</t>
  </si>
  <si>
    <t>https://dragalialost.wiki/w/Taro</t>
  </si>
  <si>
    <t>A cowardly novice samurai. His armor implies experience but was actually a gift from his father. Regardless, he refuses to let anyone lay a finger on it. Though quite green, he hopes to someday make a name for himself in battle.</t>
  </si>
  <si>
    <t>Clear Battle at the Wartarch Ruins: Beginner
(The Imperial Onslaught)</t>
  </si>
  <si>
    <t>Shadowslicer</t>
  </si>
  <si>
    <t>Evilsbane</t>
  </si>
  <si>
    <t>(Shadow) HP +7%</t>
  </si>
  <si>
    <t>Shadowblighted Punisher +30%</t>
  </si>
  <si>
    <t>Added Defense Amp (Max Lv. = 3) granted by Evilsbane</t>
  </si>
  <si>
    <t>Added to Evilsbane</t>
  </si>
  <si>
    <t>Taro was a launch adventurer whose most noteworthy element was the inclusion of bleed in his kit. This revision basically doubles his skill damage and gives him new abilities, along with shadowblight and a defense amp.</t>
  </si>
  <si>
    <t>100001_12</t>
  </si>
  <si>
    <t>A-257</t>
  </si>
  <si>
    <t>Summer Prince</t>
  </si>
  <si>
    <t>Prince of Summer</t>
  </si>
  <si>
    <t>https://dragalialost.wiki/w/Summer_Prince</t>
  </si>
  <si>
    <t>The seventh scion is all dressed up—down?— for some beachside merriment! Lit by the sun's brilliant rays, he strengthens his bonds with his friends as they all make unforgettable memories. What summer shenanigans await our prince?</t>
  </si>
  <si>
    <t>Clear Survival Island
(Stranded Scions)</t>
  </si>
  <si>
    <t>Seaside Circlet</t>
  </si>
  <si>
    <t>Exalted Skies</t>
  </si>
  <si>
    <t>Dragon's Claws III</t>
  </si>
  <si>
    <t>Player EXP +15%</t>
  </si>
  <si>
    <t>Summer Prince was a surprisingly good welfare adventurer, but never really got much play, given how stacked the shadow element was by summer 2021. This revision makes him more in line with The Prince by upping his shapeshift power, and also turns him into a shadowblight bot.</t>
  </si>
  <si>
    <t>110377_01</t>
  </si>
  <si>
    <t>A-258</t>
  </si>
  <si>
    <t>Joker</t>
  </si>
  <si>
    <t>Rebellion Incarnate</t>
  </si>
  <si>
    <t>https://dragalialost.wiki/w/Joker</t>
  </si>
  <si>
    <t>A third-year at Shujin Academy in Tokyo who awakened to the power of Persona amidst the so-called psychotic breakdown incidents. Formed the Phantom Thieves of Hearts with his friends to reform the corrupt adults who rule their society.</t>
  </si>
  <si>
    <t>Clear Joker's Trial: Standard
(Persona 5 Strikers Caged Desire)</t>
  </si>
  <si>
    <t>Marking Shot</t>
  </si>
  <si>
    <t>Phantom Barrage</t>
  </si>
  <si>
    <t>Agility Boost +7%</t>
  </si>
  <si>
    <t>(Shadow) Above 10 Hits = Light Res +10%</t>
  </si>
  <si>
    <t>Will of Rebellion II</t>
  </si>
  <si>
    <t>30 Hits = Energy Level Up</t>
  </si>
  <si>
    <t>Will of Rebellion (V3)</t>
  </si>
  <si>
    <t>Already on force strike</t>
  </si>
  <si>
    <t>Joker is such a powerful DPS source that he almost immediately gained a place in shadow content, and he remained a steady backline unit for solo play. Because of this, this revision does not give him any afflictions or major additions beyond a critical damage amp and trading out his energy level up for a debuff punisher.</t>
  </si>
  <si>
    <t>110365_01</t>
  </si>
  <si>
    <t>A-259</t>
  </si>
  <si>
    <t>Nevin</t>
  </si>
  <si>
    <t>The Wing of Revelation</t>
  </si>
  <si>
    <t>https://dragalialost.wiki/w/Nevin</t>
  </si>
  <si>
    <t>One of the apostles of the northern Ilian Church. Though he normally adopts a lackadaisical demeanor, he possesses keen insight and excels in battlefield strategy. He has formed a Sigil with the angel Ramiel, and looks to him like a father.</t>
  </si>
  <si>
    <t>Clear Divine Deliverance: Master
(Agents of the Goddess)</t>
  </si>
  <si>
    <t>Victoria Strategy</t>
  </si>
  <si>
    <t>Magnus Apocalypse</t>
  </si>
  <si>
    <t>Ramiel's Covenant II</t>
  </si>
  <si>
    <t>Ramiel's Covenant (V3)</t>
  </si>
  <si>
    <t>Added Defense Amp (Max Lv. = 1) granted by Victoria Strategy</t>
  </si>
  <si>
    <t>Added to Revekation Swords</t>
  </si>
  <si>
    <t>Nevin was a creative idea, but his self-hurting standard attack limited his use in shadow content. This revision removes the self-damaging aspects of Revelation Sword, boosts skill damage, and overall makes him a less risky adventurer to use.</t>
  </si>
  <si>
    <t>110306_01</t>
  </si>
  <si>
    <t>A-260</t>
  </si>
  <si>
    <t>Bellina</t>
  </si>
  <si>
    <t>Renegade Spitfire</t>
  </si>
  <si>
    <t>https://dragalialost.wiki/w/Bellina</t>
  </si>
  <si>
    <t>A woman with a lust for combat who was given a dragon's power by the shadowy Syndicate. She bears no hatred for the group, instead choosing to bask in her new abilities—even if they do occasionally run berserk.</t>
  </si>
  <si>
    <t>Clear Aspidochelone Clash: Nightmare
(Scars of the Syndicate)</t>
  </si>
  <si>
    <t>Renegade Descent</t>
  </si>
  <si>
    <t>Renegade Gambit</t>
  </si>
  <si>
    <t>Renegade Queen II</t>
  </si>
  <si>
    <t>Renegade Queen (V3)</t>
  </si>
  <si>
    <t>Already on Renegade Dragonfall</t>
  </si>
  <si>
    <t>Bellina was a powerhouse of dispel and damage in Kai Yan content, and a really fun adventurer to play as with her fast and powerful attacks. This revision guts out the low HP requirements of her kit and rounds up the damage numbers, while nerfing the defense buff granted by dragondrive.</t>
  </si>
  <si>
    <t>110336_01</t>
  </si>
  <si>
    <t>A-261</t>
  </si>
  <si>
    <t>Delphi</t>
  </si>
  <si>
    <t>Tutelary Successor</t>
  </si>
  <si>
    <t>https://dragalialost.wiki/w/Delphi</t>
  </si>
  <si>
    <t>A young man from the tribe of the Tutelaries, who served the Alberian royal family by watching over ancient ruins. After losing his parents in childhood, his only remaining relative is a young brother whom he loves with blind devotion.</t>
  </si>
  <si>
    <t>Clear Shining Cyclops Assault: Expert
(Fractured Futures)</t>
  </si>
  <si>
    <t>Ruination Cage</t>
  </si>
  <si>
    <t>Corrosive Cage</t>
  </si>
  <si>
    <t>(Shadow) Poison Edge +50%</t>
  </si>
  <si>
    <t>Poisonous Cage III</t>
  </si>
  <si>
    <t>Flurry Poison Edge +70%</t>
  </si>
  <si>
    <t>Poisonous Cage (V3)</t>
  </si>
  <si>
    <t>Added to "Poisonous Cage" force strike</t>
  </si>
  <si>
    <t>Delphi's poison Is incredibly powerful, and his defense debuff zone made him a staple part of shadow content for a long time. However, his kit has a problem with over inflicting poison. This revision addresses this by giving the debuff zone a poison res down effect. This revision also boosts Delphi's DPS by giving him Flurry Strength and a strength amp, along with dispel on his unique force strike.</t>
  </si>
  <si>
    <t>100005_01</t>
  </si>
  <si>
    <t>A-262</t>
  </si>
  <si>
    <t>Alex</t>
  </si>
  <si>
    <t>Shadow Assassin</t>
  </si>
  <si>
    <t>https://dragalialost.wiki/w/Alex</t>
  </si>
  <si>
    <t>An assassin dispatched by the Ilian Church to dispose of Elisanne. The cold-hearted Alex normally carries out missions with machine-like precision, but personal feelings may well get in the way of this one.</t>
  </si>
  <si>
    <t>Clear Ch. 08 5-4 of the Main Campaign
(Normal)</t>
  </si>
  <si>
    <t>Shadow Weaver</t>
  </si>
  <si>
    <t>Silent Reaper</t>
  </si>
  <si>
    <t>(Shadow) Poison = User Light Res +7%</t>
  </si>
  <si>
    <t>Full HP = Skill Damage +35%</t>
  </si>
  <si>
    <t xml:space="preserve">Added Strength Amp (Max Lv. = 3) granted by Silent Reaper </t>
  </si>
  <si>
    <t>Added to Silent Reaper</t>
  </si>
  <si>
    <t>Alex was a story adventurer in dire need of a mana spiral due to her low skill damage and heavily limited abilities. This revision basically doubles her damage, gives her access to better skill damage and skill haste, and makes her usable in all content.</t>
  </si>
  <si>
    <t>110052_01</t>
  </si>
  <si>
    <t>A-263</t>
  </si>
  <si>
    <t>Orion</t>
  </si>
  <si>
    <t>Maiden Protector</t>
  </si>
  <si>
    <t>https://dragalialost.wiki/w/Orion</t>
  </si>
  <si>
    <t>A bodyguard, but only for females. He's quick to chat up women he likes, which often lands him in a world of trouble—a situation he oddly seems to enjoy. He claims to suffer from a curse that can only be broken by his future soul mate.</t>
  </si>
  <si>
    <t>Clear The Mercurial Gauntlet
(Shadow): Lv. 30
(The Mercurial Gauntlet)</t>
  </si>
  <si>
    <t>Love Goes Round</t>
  </si>
  <si>
    <t>Twilight Tryst</t>
  </si>
  <si>
    <t>(Shadow) Above 10 Hits = Light Res +9%</t>
  </si>
  <si>
    <t>Added Defense Amp (Max Lv. = 3) granted by Twilight Tryst</t>
  </si>
  <si>
    <t>Added to Twilight Tryst</t>
  </si>
  <si>
    <t>Orion was a launch adventurer and his kit was never updated with a mana spiral, so everything about him was pretty limited. This revision aims to make everything he had better, boost his DPS, and give him access to shadowblight, as is the case with all blind afflicting adventurers.</t>
  </si>
  <si>
    <t>110067_01</t>
  </si>
  <si>
    <t>A-264</t>
  </si>
  <si>
    <t>Vida</t>
  </si>
  <si>
    <t>Knife Fanatic</t>
  </si>
  <si>
    <t>https://dragalialost.wiki/w/Vida</t>
  </si>
  <si>
    <t>A greenhorn thief and master lockpicker in search of a storied knife. She's infatuated with legends, and demanded to explore the Windwyrm's castle because it resembles a citadel from an ancient tale.</t>
  </si>
  <si>
    <t>Shadow Slash</t>
  </si>
  <si>
    <t>Scheming Slice</t>
  </si>
  <si>
    <t>(Shadow) Poison = User Light Res +5%</t>
  </si>
  <si>
    <t>Knife Fanatic (V3)</t>
  </si>
  <si>
    <t>Vida was actually something of a force strike powerhouse due to her ability to stack force strike damage buffs. It actually made her pretty fun to play as in Kaleidoscape but beyond that, her kit was limited by a lack of afflictions or dispel. This revision gives her both of those things, and also makes her into a shadowblight punisher for good measure.</t>
  </si>
  <si>
    <t>110048_01</t>
  </si>
  <si>
    <t>A-265</t>
  </si>
  <si>
    <t>Vice</t>
  </si>
  <si>
    <t>Eager Assassin</t>
  </si>
  <si>
    <t>https://dragalialost.wiki/w/Vice</t>
  </si>
  <si>
    <t>An assassin who lives in darkness and markets himself as a tool of death. He's recently been worried about a lack of jobs—although he learned to cook in order to poison targets and would probably make a fantastic chef.</t>
  </si>
  <si>
    <t>Clear Shadowsteep Ruins: Standard</t>
  </si>
  <si>
    <t>Fatal Blow</t>
  </si>
  <si>
    <t>Lethal Edge</t>
  </si>
  <si>
    <t>Potent Blindness Res +50%</t>
  </si>
  <si>
    <t>Added Strength Amp (Max Lv. = 3) granted by Lethal Edge</t>
  </si>
  <si>
    <t>Added to Poison Knives</t>
  </si>
  <si>
    <t>Prior to Version 2.0, Vice was one of the most powerful shadow adventurers around. In fact, he was so powerful that he was the only adventurer nerfed with the Version 2.0 update. As such, this revision aims to restore him to his former glory… and make him even better. Skill damage numbers are the same as his kit before the Version 2.0 update, poison was updated, dispel and poison res down were added along with a strength amp. Also, he was given the OP Flurry Strength &amp; Poison Edge for good measure.</t>
  </si>
  <si>
    <t>110307_02</t>
  </si>
  <si>
    <t>A-266</t>
  </si>
  <si>
    <t>Dragonyule Victor</t>
  </si>
  <si>
    <t>Festive Commander</t>
  </si>
  <si>
    <t>https://dragalialost.wiki/w/Dragonyule_Victor</t>
  </si>
  <si>
    <t>Victor is the spitting image of jolly Saint Starfall as he soars through the skies on dragonback, delivering gifts to all the children of the realm. This year, he's flexing his tactical know-how to chart a full-speed course to maximum cheer.</t>
  </si>
  <si>
    <t>Clear All-Out Assault: EX
(The Great Dragonyule Offensive)</t>
  </si>
  <si>
    <t>Candy Cane Offensive</t>
  </si>
  <si>
    <t>Chuting Stars</t>
  </si>
  <si>
    <t>(Shadow) Poised Strength +13%</t>
  </si>
  <si>
    <t>Yuletide Tactics II</t>
  </si>
  <si>
    <t>Holiday Aid II</t>
  </si>
  <si>
    <t>Yuletide Tactics (V3)</t>
  </si>
  <si>
    <t>Holiday Aid (V3)</t>
  </si>
  <si>
    <t>Added Team Defense Amp (Max Lv. = 1) granted by Chuting Stars &amp; Critical Damage Amp (Max Lv. = 1) granted by Candy Cane Offensive</t>
  </si>
  <si>
    <t>Already on Candy Cane Offensive</t>
  </si>
  <si>
    <t>Dragonyule Victor was an adventurer who ultimately became known more for his shared skill than anything he offered. His fixation on buff zones came right before Nihility borked them up, and he lacked any ready source of affliction. This revision reimagines him as a sort of healer, expanding his Holiday Aid ability to apply to the entire team, while also granting him both a defense and critical amp.</t>
  </si>
  <si>
    <t>110335_02</t>
  </si>
  <si>
    <t>A-267</t>
  </si>
  <si>
    <t>Summer Patia</t>
  </si>
  <si>
    <t>Seaside Sparrow</t>
  </si>
  <si>
    <t>https://dragalialost.wiki/w/Summer_Patia</t>
  </si>
  <si>
    <t>The Vice Captain of the White Sparrows in new beach attire! The great leg strength she cultivated through her work lets her race across white sandy beaches at top speed, so look out, because she's charging into summer at full speed!</t>
  </si>
  <si>
    <t>Clear Defensive Battle: Master
(Summertime Saviors)</t>
  </si>
  <si>
    <t>Sparrow Splash</t>
  </si>
  <si>
    <t>Surging Sparrows</t>
  </si>
  <si>
    <t>(Shadow) HP Below 40% = Strength +15%</t>
  </si>
  <si>
    <t>Sparrow Spiker II</t>
  </si>
  <si>
    <t>Poison Edge &amp; Anti-Poison = Strength II</t>
  </si>
  <si>
    <t>Sparrow Spiker (V3)</t>
  </si>
  <si>
    <t>Added Defense Amp (Max Lv. = 3) granted by Surging Sparrows</t>
  </si>
  <si>
    <t>Added to Seaside Spirit</t>
  </si>
  <si>
    <t>Summer Patia was a unique and powerful adventurer in her own right, but she came out during a time where shadow adventurers were filled with other powerful units, and where dispel was a necessity. This revision boosts her numbers slightly and turns her into a full-on poison bot, rather than an adventurer who was built around getting buffs when enemies' poison resistance is capped at 100.</t>
  </si>
  <si>
    <t>110281_01</t>
  </si>
  <si>
    <t>A-268</t>
  </si>
  <si>
    <t>Curran</t>
  </si>
  <si>
    <t>Dogged Inquisitor</t>
  </si>
  <si>
    <t>https://dragalialost.wiki/w/Curran</t>
  </si>
  <si>
    <t>An inquisitor of the Ilian Church. He acts tough, but is actually quite empathetic. An incident in his past led him to believe nothing is solved by merely punishing heretics, so he instead looks for proof his targets aren't heretical at all.</t>
  </si>
  <si>
    <t>Clear The Crawling Nightmare: Expert
(The Accursed Archives)</t>
  </si>
  <si>
    <t>Circular Judgment</t>
  </si>
  <si>
    <t>Merciless Blow</t>
  </si>
  <si>
    <t>Added Strength Amp (Max Lv. = 3) granted by Merciless Blow</t>
  </si>
  <si>
    <t>Added to Circular Judgment</t>
  </si>
  <si>
    <t>Curran was a team-based adventurer, as his mana spiral relied on enemies being poisoned in order for him to deal dramatically more damage with his skills. This revision basically takes those values, and gives him access to poison, while replacing his last offense ability and throwing in a strength amp. </t>
  </si>
  <si>
    <t>110311_01</t>
  </si>
  <si>
    <t>A-269</t>
  </si>
  <si>
    <t>Sazanka</t>
  </si>
  <si>
    <t>Cultured Flower</t>
  </si>
  <si>
    <t>https://dragalialost.wiki/w/Sazanka</t>
  </si>
  <si>
    <t>An attendant from the eastern land of Hinomoto. She was born into a family of warriors who serve the Twelve Wyrmclans, and swears loyalty to the head of one, Ieyasu. Well-versed in Hinomoto tradition, she also serves as a cultural liaison.</t>
  </si>
  <si>
    <t>Clear Rescue Botan!
(Fortune from Afar)</t>
  </si>
  <si>
    <t>Dancing Blossoms</t>
  </si>
  <si>
    <t>Blooming Cradle</t>
  </si>
  <si>
    <t>(Shadow) HP +9%</t>
  </si>
  <si>
    <t>Sleeping, Bleeding, and Shadowblighted Punisher I</t>
  </si>
  <si>
    <t>Cultured Flower (V3)</t>
  </si>
  <si>
    <t>Updated Strength Amp (Max Lv. = 3) granted by Blooming Cradle</t>
  </si>
  <si>
    <t>Already on Slumber Strike Stance</t>
  </si>
  <si>
    <t>Sanzaka was a surprise mana spiral and arguably one of the best, as she was given shadowblight, dispel, a strength amp, and even an HP Up. This revision just balances up a few things and spreads her max HP buff to the entire team.</t>
  </si>
  <si>
    <t>110045_01</t>
  </si>
  <si>
    <t>A-270</t>
  </si>
  <si>
    <t>Erik</t>
  </si>
  <si>
    <t>Feral Noble</t>
  </si>
  <si>
    <t>https://dragalialost.wiki/w/Erik</t>
  </si>
  <si>
    <t>After surviving 10 years on a deserted island through sheer tyranny of will, he's now deeply appreciative of any place with a roof. Of noble descent, his conduct and knowledge hint at the high-class education he received.</t>
  </si>
  <si>
    <t>Tenacious Swing</t>
  </si>
  <si>
    <t>Wild Strike</t>
  </si>
  <si>
    <t>(Shadow) Poison = User Strength +8%</t>
  </si>
  <si>
    <t>Wild Noble</t>
  </si>
  <si>
    <t>Wild Noble (V3)</t>
  </si>
  <si>
    <t>Erik was mostly remarkable for his access to dispel, which made him useful in Kai Yan content, combined with the built-in poison punisher to his skills. This revision turns him into a source of bleed and poison while throwing in a bleed punisher and defense amp for good measure.</t>
  </si>
  <si>
    <t>110402_01</t>
  </si>
  <si>
    <t>A-271</t>
  </si>
  <si>
    <t>Yukimura</t>
  </si>
  <si>
    <t>Leader of the Monkey Clan</t>
  </si>
  <si>
    <t>https://dragalialost.wiki/w/Yukimura</t>
  </si>
  <si>
    <t>The leader of the Monkey Clan, one of the Twelve Wyrmclans who govern Hinomoto. Shingen rescued her from clan infighting when she was young, and she immediately threw herself headfirst into martial arts training in the hopes of surpassing his greatness.</t>
  </si>
  <si>
    <t>Clear Tsukuyomi Clash: Expert
(Celestial Showdown)</t>
  </si>
  <si>
    <t>Monkey Overdrive</t>
  </si>
  <si>
    <t>Monkey Crossdive</t>
  </si>
  <si>
    <t>(Shadow) Combo Time VI</t>
  </si>
  <si>
    <t>Might of the Monkey II</t>
  </si>
  <si>
    <t>Might of the Monkey (V3)</t>
  </si>
  <si>
    <t>Updated Shadowblight &amp; Scorchrend</t>
  </si>
  <si>
    <t>Yukimura is one of the most unique adventurers to play as, and one of the most fun. Her jumping dodges, rapid fire attack rates, and high damage output made her a staple following her debut. This revision rounds things up slightly and gives her a critical damage amp.</t>
  </si>
  <si>
    <t>100013_06</t>
  </si>
  <si>
    <t>A-272</t>
  </si>
  <si>
    <t>Summer Leonidas</t>
  </si>
  <si>
    <t>Lord of the Summer Sun</t>
  </si>
  <si>
    <t>https://dragalialost.wiki/w/Summer_Leonidas</t>
  </si>
  <si>
    <t>The first scion of Alberia sets his conqueror's eye on that sunniest of battlefields: summer vacation! Casting aside his everyday responsibilities, he puts the very notion of respite in a proverbial headlock in a bid for maximum relaxation.</t>
  </si>
  <si>
    <t>Clear Assault on Commodore Pincers: Expert
(Stranded Scions)</t>
  </si>
  <si>
    <t>Exigent Vanquisher</t>
  </si>
  <si>
    <t>Phantasmic Servant</t>
  </si>
  <si>
    <t>(Shadow) Shadowblight = Strength +13%</t>
  </si>
  <si>
    <t>Summer Conqueror II</t>
  </si>
  <si>
    <t>Shadowblight Edge +50%</t>
  </si>
  <si>
    <t>Flurry Strength &amp; Shadowblight Edge/Sting (V3)</t>
  </si>
  <si>
    <t>Updated Defense Amp (Max Lv. = 3) granted by Phantasmic Servant</t>
  </si>
  <si>
    <t>Added to Phantasmic Servant</t>
  </si>
  <si>
    <t>Summer Leonidas should have been an amazing adventurer, but he could not stay in dragondrive for very long, meaning it was harder for him to keep shadowblight res down. This revision gives him an extra 50% UTP with his initial skill and a massive strength boost with Flurry Strength. </t>
  </si>
  <si>
    <t>110349_01</t>
  </si>
  <si>
    <t>A-273</t>
  </si>
  <si>
    <t>Lathna</t>
  </si>
  <si>
    <t>Chaos Child</t>
  </si>
  <si>
    <t>https://dragalialost.wiki/w/Lathna</t>
  </si>
  <si>
    <t>A curious girl whose face often wears a somber expression. She lost her family during a strange incident at a library, and has been alone ever since. Plagued with nightmares, she lives in fear of something inside—the her that is not her.</t>
  </si>
  <si>
    <t>Clear All-Out Assault: Expert
(Stirring Shadows)</t>
  </si>
  <si>
    <t>Chaos Gift</t>
  </si>
  <si>
    <t>Sundering Shadow</t>
  </si>
  <si>
    <t>The Faceless God III</t>
  </si>
  <si>
    <t>Added Strength Amp (Max Lv. = 3) granted by Sundering Shadow</t>
  </si>
  <si>
    <t>Added to Chaos Gift</t>
  </si>
  <si>
    <t>Lathna was a powerful adventurer when up against poisoned foes, but she could not inflict it herself, so she relied on others to do the work for her. This revision gives her poison of her own, throws in dispel and strength amp, and does not change her abilities, as they were already great.</t>
  </si>
  <si>
    <t>110272_01</t>
  </si>
  <si>
    <t>A-274</t>
  </si>
  <si>
    <t>Forte</t>
  </si>
  <si>
    <t>Lord of the Skies</t>
  </si>
  <si>
    <t>https://dragalialost.wiki/w/Forte</t>
  </si>
  <si>
    <t>A warrior known as the Lord of the Skies. She believes there is no greater honor than achieving victory against a strong warrior, and travels the land atop her compatriot, the spellwyrm, seeking such powerful foes.</t>
  </si>
  <si>
    <t>Clear Shadow Legion's Trial: Standard
(Trials of the Mighty)</t>
  </si>
  <si>
    <t>Dragonbrood Demonspear</t>
  </si>
  <si>
    <t>Flawless Formation</t>
  </si>
  <si>
    <t>(Shadow) Dragon's Claws VI</t>
  </si>
  <si>
    <t>Skills = Shapeshift Prep II</t>
  </si>
  <si>
    <t>Skills = Shapeshift Prep (V3)</t>
  </si>
  <si>
    <t>Added Strength Amp (Max Lv. = 3) granted by Flawless Formation</t>
  </si>
  <si>
    <t>Added to Flawless Formation</t>
  </si>
  <si>
    <t>Forte was almost lost in the sea of great shadow adventurers that came out throughout 2020, but she has a unique role as a dragon gauge generator and great DPS potential with her poison punisher. This revision gives her access to poison, dispel, and a strength amp, while increasing the damage numbers and improving shapeshift prep.</t>
  </si>
  <si>
    <t>110335_01</t>
  </si>
  <si>
    <t>A-275</t>
  </si>
  <si>
    <t>Patia</t>
  </si>
  <si>
    <t>Spirited Sparrow</t>
  </si>
  <si>
    <t>https://dragalialost.wiki/w/Patia</t>
  </si>
  <si>
    <t>A young woman who serves as Vice Captain of the Kingdom of Alberia's White Sparrow Corps, and the right-hand woman of Captain Leif. She specializes in nimble attacks, but her sense of justice often makes her charge into the fray.</t>
  </si>
  <si>
    <t>Clear The Mercurial Gauntlet
(Shadow): Lv. 10
(The Mercurial Gauntlet)</t>
  </si>
  <si>
    <t>Sparrow's Guard</t>
  </si>
  <si>
    <t>Swift Skewer</t>
  </si>
  <si>
    <t>(Shadow) HP 60% = Strength +5%</t>
  </si>
  <si>
    <t>Spirited Sparrow (V3)</t>
  </si>
  <si>
    <t>Added Defense Amp (Max Lv. = 1) granted by Sparrow's Guard &amp; Critical Damage Amp (Max Lv. = 1) granted by initial skill recharge</t>
  </si>
  <si>
    <t>Added to Swift Skewer</t>
  </si>
  <si>
    <t>Bleed &amp; Team Doublebuff Regen</t>
  </si>
  <si>
    <t>Patia was an essential adventurer during the doublebuff meta of 2020 and early 2021, but was also hit extremely hard by Nihility. This revision basically reimagines her as a shadow version of Templar Hope. To achieve this however, she was given a stupidly powerful primary ability, and is arguably overpowered by V3 standards. </t>
  </si>
  <si>
    <t>110312_01</t>
  </si>
  <si>
    <t>A-276</t>
  </si>
  <si>
    <t>Botan</t>
  </si>
  <si>
    <t>Naginata Cutie</t>
  </si>
  <si>
    <t>https://dragalialost.wiki/w/Botan</t>
  </si>
  <si>
    <t>A young naginata user from Hinomoto. Quite reckless, she will go to any lengths to achieve a goal once she's set her mind on it—such as leaving her home for a foreign land in order to pursue her old friend Ieyasu.</t>
  </si>
  <si>
    <t>Clear Field Trip into Town
(Fortune from Afar)</t>
  </si>
  <si>
    <t>Petal Piercer</t>
  </si>
  <si>
    <t>Perennial Grace</t>
  </si>
  <si>
    <t>(Shadow) Defense +5%</t>
  </si>
  <si>
    <t>Added Strength Amp (Max Lv. = 1) &amp; Critical Damage Amp (Max Lv. = 1) granted by Perenial Grace</t>
  </si>
  <si>
    <t>Added to Petal Piercer</t>
  </si>
  <si>
    <t>Botan was a good welfare support unit after her mana spiral in 2019, but she was quickly overwhelmed by shadow element power creep. This revision boosts her strength, gives her Mighty Bane, and gives her two level one amps.</t>
  </si>
  <si>
    <t>110254_01</t>
  </si>
  <si>
    <t>A-277</t>
  </si>
  <si>
    <t>Zace</t>
  </si>
  <si>
    <t>Bone Collector</t>
  </si>
  <si>
    <t>https://dragalialost.wiki/w/Zace</t>
  </si>
  <si>
    <t>A youth from the Azm tribe, a society of hunters. Many of the Azm's customs center around the use of bone, but even among them he's known as a bone fanatic. Though usually reserved, once he starts talking about bones, he never shuts up.</t>
  </si>
  <si>
    <t>Skull Hunter</t>
  </si>
  <si>
    <t>Bone Stinger</t>
  </si>
  <si>
    <t>Added Strength Amp (Max Lv. = 3) granted by Bane Stinger</t>
  </si>
  <si>
    <t>Added to Bane Stinger</t>
  </si>
  <si>
    <t>Zace was a launch adventurer who never got any subsequent updates, and lacked anything beyond a paltry skill damage boost. This revision gives him shadowblight and boosts his damage dramatically, while turning him into a shadowblight bot.</t>
  </si>
  <si>
    <t>110318_02</t>
  </si>
  <si>
    <t>A-278</t>
  </si>
  <si>
    <t>Halloween Sylas</t>
  </si>
  <si>
    <t>Enchanting Aromatherapist</t>
  </si>
  <si>
    <t>https://dragalialost.wiki/w/Halloween_Sylas</t>
  </si>
  <si>
    <t>Sylas received this costume when performing in a play and is now using it for Halloween. But rumors have spread about how difficult he is to trick—mostly because he spent his childhood putting up with his friends' pranks.</t>
  </si>
  <si>
    <t>Clear Choreography Class: Expert
(The Clockwork Heart)</t>
  </si>
  <si>
    <t>Surgical Trick</t>
  </si>
  <si>
    <t>Aromatic Treat</t>
  </si>
  <si>
    <t>(Shadow) HP Below 60% = HP Regen VI</t>
  </si>
  <si>
    <t>Dark Experiment II</t>
  </si>
  <si>
    <t>Forbidden Procedure II</t>
  </si>
  <si>
    <t>Dark Experiment (V3)</t>
  </si>
  <si>
    <t>Forbidden Procedure (V3)</t>
  </si>
  <si>
    <t>Updated Poison &amp; Shadowblight</t>
  </si>
  <si>
    <t>Updated Defense Amp (Max Lv. = 3) granted by dispel or Aromatic Treat</t>
  </si>
  <si>
    <t>Already on Surgical Trick</t>
  </si>
  <si>
    <t>Halloween Sylas is a somewhat busted adventurer. His support skills, dispel, and afflictions all make him an amazing support unit, and his tricky sample system made him fun to play. This revision cleans up the edges and removes randomness from his kit, along with adaptive suppression.</t>
  </si>
  <si>
    <t>110018_02</t>
  </si>
  <si>
    <t>A-279</t>
  </si>
  <si>
    <t>Opera Karina</t>
  </si>
  <si>
    <t>Pirate Opera Prima Donna</t>
  </si>
  <si>
    <t>https://dragalialost.wiki/w/Opera_Karina</t>
  </si>
  <si>
    <t>A pirate captain who loves freedom and the sea. Her courage and boldness are second to none, and in an effort to bring opera to those who have never seen it, she reforms her crew into an opera troupe, and sets sail for distant shores!</t>
  </si>
  <si>
    <t>Clear Fiend Opera Overture: Expert
(The Phantom's Ransom)</t>
  </si>
  <si>
    <t>Aria of the Sea</t>
  </si>
  <si>
    <t>Operatic Shanty</t>
  </si>
  <si>
    <t>(Shadow) Poised Light Res +7%</t>
  </si>
  <si>
    <t>Poised Obliteration +30%</t>
  </si>
  <si>
    <t>Pirate Opera Prima Donna (V3)</t>
  </si>
  <si>
    <t>Added Critical Damage Amp (Max Lv. = 3) granted by Operatic Shanty</t>
  </si>
  <si>
    <t>Added to Aria of the Sea</t>
  </si>
  <si>
    <t>Opera Katina was set to change the shadow element with the introduction of a new affliction, but she never really took off, and it's easy to see why. Her primary skill leaves the user standing in the line of enemy fire, and her critical damage boost was limited only to buff zones. This revision gives her knockback immunity when doing skill one and increased defense, along with access to dispel and a critical damage amp.</t>
  </si>
  <si>
    <t>100015_04</t>
  </si>
  <si>
    <t>A-280</t>
  </si>
  <si>
    <t>Chelle</t>
  </si>
  <si>
    <t>Unrelenting Beauty</t>
  </si>
  <si>
    <t>https://dragalialost.wiki/w/Chelle</t>
  </si>
  <si>
    <t>The third scion of Alberia. Though she is given to seeking pleasure, she is also a tactical genius in informational warfare, having built a potent network of spies she calls her "kittens" who help her achieve her goal of utter supremacy.</t>
  </si>
  <si>
    <t>Clear Ch. 16 4-6 of the Main Campaign
(Normal)</t>
  </si>
  <si>
    <t>Gran Tiara</t>
  </si>
  <si>
    <t>Gran Gloria</t>
  </si>
  <si>
    <t>Resplendent Scion II</t>
  </si>
  <si>
    <t>Full HP = Critical Rate +13%</t>
  </si>
  <si>
    <t>Resplendent Scion (V3)</t>
  </si>
  <si>
    <t>Added Strength Amp (Max Lv. = 1) &amp; Defense Amp (Max Lv. = 1) granted by Gran Tiara</t>
  </si>
  <si>
    <t>Added to Gran Gloria</t>
  </si>
  <si>
    <t>Chelle was a surprise addition to the roster after chapter 16, but she was almost immediately dismissed as a low quality adventurer with a conditional buff worse than a 4-star like Patia and a weak damaging skill with no dispel or affliction. This revision turns her into a provider of strength and defense amps, gives her damaging skill a significant upgrade, and enhances her abilities.</t>
  </si>
  <si>
    <t>110310_02</t>
  </si>
  <si>
    <t>A-281</t>
  </si>
  <si>
    <t>Valentine's Addis</t>
  </si>
  <si>
    <t>Devoted Samurai</t>
  </si>
  <si>
    <t>https://dragalialost.wiki/w/Valentine's_Addis</t>
  </si>
  <si>
    <t>The warrior from another land throws on his (only) nice outfit for a romantic rendezvous! He's working hard to share his feelings, but his green attempts at courtship lead to distress. Still, his awkward kindness drives some wild!</t>
  </si>
  <si>
    <t>Clear All-Out Assault: Master
(Valentine's Confections)</t>
  </si>
  <si>
    <t>Coarse Judgment</t>
  </si>
  <si>
    <t>Love's Triumph</t>
  </si>
  <si>
    <t>Added Defense Amp (Max Lv. = 3) granted Love's Triumph</t>
  </si>
  <si>
    <t>Added to Corase Judgment</t>
  </si>
  <si>
    <t>Valentine's Addis never saw wide use due to his limited status, and the fact that the shadow element was already lousy with good adventurers that players already had. This revision ups his damage, removes the low HP elements, and throws in HP Up. Because it's ironic.</t>
  </si>
  <si>
    <t>110053_01</t>
  </si>
  <si>
    <t>A-282</t>
  </si>
  <si>
    <t>Nefaria</t>
  </si>
  <si>
    <t>Queen of the Sands</t>
  </si>
  <si>
    <t>https://dragalialost.wiki/w/Nefaria</t>
  </si>
  <si>
    <t>A beautiful woman clad in foreign garb. Though young, her speech and manners take one back to the days of old. Little is known about her background, but her vast knowledge of mana helped her recognize the prince's dragonpact.</t>
  </si>
  <si>
    <t>Clear Shadowsteep Ruins: Expert</t>
  </si>
  <si>
    <t>Night of Antiquity</t>
  </si>
  <si>
    <t>Twilight Oblivion</t>
  </si>
  <si>
    <t>(Shadow) Poison = User Light Res +8%</t>
  </si>
  <si>
    <t>Full HP = Poison &amp; Blindness +60%</t>
  </si>
  <si>
    <t>Poisoned &amp; Blinded Punisher I</t>
  </si>
  <si>
    <t>Updated Poison &amp; Added Shadowblight</t>
  </si>
  <si>
    <t>Added Strength Amp (Max Lv. = 3) granted by Twilight Oblivion</t>
  </si>
  <si>
    <t>Already on Twilight Arrows Force Strike</t>
  </si>
  <si>
    <t>Nefaria received a massive boost with her mana spiral in 2020, and her dispel made her a regular for Kai Yan on all difficulty levels. However, she eventually lost relevance, not helped by her low poison infliction rate. This revision boosts her damage, gives her shadowblight, better poison, removes her blindness edge for flurry strength, and gives her a strength amp. Thereby making her into a powerhouse once again.</t>
  </si>
  <si>
    <t>110066_01</t>
  </si>
  <si>
    <t>A-283</t>
  </si>
  <si>
    <t>Norwin</t>
  </si>
  <si>
    <t>Anguished Author</t>
  </si>
  <si>
    <t>https://dragalialost.wiki/w/Norwin</t>
  </si>
  <si>
    <t>A traveling picture-book author who loves reading stories to children. Despite his best efforts, though, all of his stories have bad endings. What sort of past trauma could be responsible?</t>
  </si>
  <si>
    <t>Clear The Mercurial Gauntlet
(Shadow): Lv. 40
(The Mercurial Gauntlet)</t>
  </si>
  <si>
    <t>Storybook Ending</t>
  </si>
  <si>
    <t>Tragic Farce</t>
  </si>
  <si>
    <t>Blindness = Team Strength +10%</t>
  </si>
  <si>
    <t>Blinded Punisher +20%</t>
  </si>
  <si>
    <t>Added Poison &amp; Shadowblight</t>
  </si>
  <si>
    <t>Added Strength Amp (Max Lv. = 3) granted by Tragic Farce</t>
  </si>
  <si>
    <t>Added to Tragic Farce</t>
  </si>
  <si>
    <t>Norwin was pretty much always a low budget Nefaria who never got a mana spiral. …So this revision gives him poison and shadowblight, along with the ability to punish both afflictions.</t>
  </si>
  <si>
    <t>110388_01</t>
  </si>
  <si>
    <t>A-284</t>
  </si>
  <si>
    <t>Vania</t>
  </si>
  <si>
    <t>Vampire Princess</t>
  </si>
  <si>
    <t>https://dragalialost.wiki/w/Vania</t>
  </si>
  <si>
    <t>A vampire who, until recently, slumbered deep in the woods. She now travels the world to find a means of awakening her hibernating brethren. Her naiveté is surpassed only by her capricious ways. It's...actually kind of adorable. Sometimes.</t>
  </si>
  <si>
    <t>Clear Aquatic Cyclops Assaul: Expert
(Rage of Chronos)</t>
  </si>
  <si>
    <t>Crimson Order</t>
  </si>
  <si>
    <t>Scarlet Gift</t>
  </si>
  <si>
    <t>(Shadow) HP 60% = Critical Rate +8%</t>
  </si>
  <si>
    <t>Vampiric Potential II</t>
  </si>
  <si>
    <t>Vampiric Potential (V3)</t>
  </si>
  <si>
    <t>No changes to Strength Amp (Max Lv. = 3) granted by Scarlet Gift</t>
  </si>
  <si>
    <t>Already on Crimson Order</t>
  </si>
  <si>
    <t>Vania was a pseudo collab adventurer who saw some use in shadow content on her debut, but did not have a prominent role due to how odd her kit is. This revision gives her bleed (because vampire) and turns her into a support healer, as the HP up and team healing implied she was meant to have a role like this.</t>
  </si>
  <si>
    <t>100009_07</t>
  </si>
  <si>
    <t>A-285</t>
  </si>
  <si>
    <t>Zena</t>
  </si>
  <si>
    <t>Otherworld Auspex</t>
  </si>
  <si>
    <t>https://dragalialost.wiki/w/Zena</t>
  </si>
  <si>
    <t>A version of Zethia battling to save her world from the Other by using the power of the Dawnshard to visit alternate dimensions. After joining the prince's party in their fight, she asked them to call her "Zena."</t>
  </si>
  <si>
    <t>Clear Ch. 14 4-9 of the Main Campaign
(Normal)</t>
  </si>
  <si>
    <t>Celestial Prayer</t>
  </si>
  <si>
    <t>Twilight Crown</t>
  </si>
  <si>
    <t>Divine Ethos II</t>
  </si>
  <si>
    <t>Divine Ethos (V3)</t>
  </si>
  <si>
    <t>Added Defense Amp (Max Lv. = 3) granted by Twilight Crown</t>
  </si>
  <si>
    <t>Added to Celestial Prayer</t>
  </si>
  <si>
    <t>Zena had the potential to be a good damage dealing healer, but she was limited by her role as a welfare adventurer and her lack of a mana spiral. This revision grants her better healing, access to dispel and shadowblight, and better damage numbers. Also, overdamage, because it had to go to someone else in the shadow element.</t>
  </si>
  <si>
    <t>110337_01</t>
  </si>
  <si>
    <t>A-286</t>
  </si>
  <si>
    <t>Cassandra</t>
  </si>
  <si>
    <t>Sorrowful Royal Magician</t>
  </si>
  <si>
    <t>https://dragalialost.wiki/w/Cassandra</t>
  </si>
  <si>
    <t>A former royal court sorceress with a carefree personality who served Aurelius from the time of his childhood in both an official and personal capacity. Her greatest concern is now the prince. While she looks young, she's actually over 60.</t>
  </si>
  <si>
    <t>Clear Chronos Nyx Clash: Nightmare
(Fractured Futures)</t>
  </si>
  <si>
    <t>Umbral Assault</t>
  </si>
  <si>
    <t>Violet Uproar</t>
  </si>
  <si>
    <t>Resilient Offense +15%</t>
  </si>
  <si>
    <t>Added Defense Amp (Max Lv. = 3) granted by Umbral Assault</t>
  </si>
  <si>
    <t>Added to Violet Uproar</t>
  </si>
  <si>
    <t>Cassandra, as an adventurer, is mostly remembered most for her shared skill, rather than what she offered. She was a low HP adventurer who healed herself, and I still do not get what the idea behind that was. This revision removes the low HP element and boosts her offensive capabilities.</t>
  </si>
  <si>
    <t>100004_10</t>
  </si>
  <si>
    <t>A-287</t>
  </si>
  <si>
    <t>Gala Cleo</t>
  </si>
  <si>
    <t>Supreme Sorcerer</t>
  </si>
  <si>
    <t>https://dragalialost.wiki/w/Gala_Cleo</t>
  </si>
  <si>
    <t>After discovering an ancient wand in the castle, Cleo has gained new power and taken her place on the front lines. Her tactical acumen more than makes up for her questionable stamina, and she intends to do much more than heal the wounded.</t>
  </si>
  <si>
    <t>Clear Ch. 10 6-1 of the Main Campaign
(Hard)</t>
  </si>
  <si>
    <t>Ancient Ray</t>
  </si>
  <si>
    <t>Faith of the Elders</t>
  </si>
  <si>
    <t>Magical Modification III</t>
  </si>
  <si>
    <t>Perpetual Protection III</t>
  </si>
  <si>
    <t>Skill Prep +100% &amp; Recovery Potency +15%</t>
  </si>
  <si>
    <t>Magical Modification (V3)</t>
  </si>
  <si>
    <t>Updated Strength Amp (Max Lv. = 3) granted by Ancient Ray</t>
  </si>
  <si>
    <t>Added to Faith of the Elders</t>
  </si>
  <si>
    <t>Gala Cleo was an S-tier adventurer when she released in summer 2019, but she lost relevance in Nihility and her mana spiral did not do her many favors. This revision removes her skill shift and reimagines her as a healing unit, boosting the power of her regen and recovery, while making her buff zone double as extra recovery. </t>
  </si>
  <si>
    <t>110333_01</t>
  </si>
  <si>
    <t>A-288</t>
  </si>
  <si>
    <t>Veronica</t>
  </si>
  <si>
    <t>Emblian Princess</t>
  </si>
  <si>
    <t>https://dragalialost.wiki/w/Veronica</t>
  </si>
  <si>
    <t>A taciturn girl from another world, and the princess of the Emblian Empire. She's cold by nature and does not believe in showing mercy to her enemies, but also cares deeply for her brother, whom she has missed for some time.</t>
  </si>
  <si>
    <t>Clear Veronica's Trial
(Fire Emblem: Lost Heroes)</t>
  </si>
  <si>
    <t>Gespenst</t>
  </si>
  <si>
    <t>Nosferatu</t>
  </si>
  <si>
    <t>Last Destruction III</t>
  </si>
  <si>
    <t>Added Critical Damage Amp (Max Lv. = 3) granted by Nosferatu</t>
  </si>
  <si>
    <t>Added to Nosferatu</t>
  </si>
  <si>
    <t>Veronica had a place in certain specific team compositions, but was also lost in the clutter of other high DPS shadow adventurers. This revision removes her HP sacrificing and low HP boosts and instead makes her into a more standard adventurer with good damage, some slight healing for the entire team, and a critical damage amp.</t>
  </si>
  <si>
    <t>110051_01</t>
  </si>
  <si>
    <t>A-289</t>
  </si>
  <si>
    <t>Kleimann</t>
  </si>
  <si>
    <t>Mad Scientist</t>
  </si>
  <si>
    <t>https://dragalialost.wiki/w/Kleimann</t>
  </si>
  <si>
    <t>A magic scholar fixated on research who has no interest in what others have to say. This disinterest—combined with the mask he wears— makes his true nature a mystery. However, he's always quick to act when necessary.</t>
  </si>
  <si>
    <t>Clear Battle at the Wartarch Ruins: Expert
(The Imperial Onslaught)</t>
  </si>
  <si>
    <t>Shadowshackle</t>
  </si>
  <si>
    <t>Forbidden Sphere</t>
  </si>
  <si>
    <t>Madness</t>
  </si>
  <si>
    <t>Madness (V3)</t>
  </si>
  <si>
    <t>Kleimann briefly held some relevance when Dragalia Lost was in its early years, but quickly fell into irrelevance. His mana spiral was also very strange. It granted him a major boost in power, but traded his force strike damage for a high risk buff that gave him SP at the cost of HP. It also made him an utter nightmare to play in Kaleidoscape. This revision makes Kleimann into a poison powerhouse that regenerates 500 SP per second, and possibly one of the more powerful adventurers due to his skill damage boosts.</t>
  </si>
  <si>
    <t>110047_01</t>
  </si>
  <si>
    <t>A-290</t>
  </si>
  <si>
    <t>Althemia</t>
  </si>
  <si>
    <t>Timid Researcher</t>
  </si>
  <si>
    <t>https://dragalialost.wiki/w/Althemia</t>
  </si>
  <si>
    <t>A young woman who's shy around new people. She speaks at length about her research but is otherwise inarticulate, and she often acts snooty to hide her embarrassment. Though passionate about her research, she lacks social skills.</t>
  </si>
  <si>
    <t>Clear Shadowsteep Ruins: Beginner</t>
  </si>
  <si>
    <t>Endless Nightmare</t>
  </si>
  <si>
    <t>Dark Abyss</t>
  </si>
  <si>
    <t>(Shadow) HP 80% = Light Res +3%</t>
  </si>
  <si>
    <t>Added Strength Amp (Max Lv. = 3) granted by Dark Abyss</t>
  </si>
  <si>
    <t>Added to Dark Abyss</t>
  </si>
  <si>
    <t>Althemia became one of the best 'budget' adventurers after her mana spiral, due to her access to high damage, poison, and a good ability if she maintained full HP. This revision ditched the full HP requirement and rounds up the HP, while throwing in a poison punisher for good measure.</t>
  </si>
  <si>
    <t>110059_01</t>
  </si>
  <si>
    <t>Grace</t>
  </si>
  <si>
    <t>Wistful Widow</t>
  </si>
  <si>
    <t>https://dragalialost.wiki/w/Grace</t>
  </si>
  <si>
    <t>A widow in constant mourning for her deceased husband who hopes to join him by having her life taken by his murderer. To her, ongoing grief is love—so as her love endures, she will never change out of her mourning dress.</t>
  </si>
  <si>
    <t>Clear Light Manticore Assault: Expert
(Scars of the Syndicate)</t>
  </si>
  <si>
    <t>Sorrow's Requiem</t>
  </si>
  <si>
    <t>Earnest Prayer</t>
  </si>
  <si>
    <t>(Shadow) HP Below 40% = Shield VI</t>
  </si>
  <si>
    <t>Mournful Heart II</t>
  </si>
  <si>
    <t>Mournful Heart (V3)</t>
  </si>
  <si>
    <t>Added Defense Amp (Max Lv. = 3) granted by Sorrow's Requiem &amp; Team Defense Amp (Max Lv. = 1) granted by Earnest Prayer</t>
  </si>
  <si>
    <t>Life Shield &amp; Team Doublebuff Regen</t>
  </si>
  <si>
    <t>Grace broke Dragalia Lost with her life shields, and the game remained dominated by a doublebuff meta for almost a year afterwards. But when Nihility happened, Grace was left virtually worthless as an adventurer. This revision turns her into a defense amp generator with access to a HP regen doublebuff for the entire team. This basically turns her into a Nihility proof defense amp tank, and the only adventurer capable of reaching a level 3 team amp all on their own.</t>
  </si>
  <si>
    <t>110269_02</t>
  </si>
  <si>
    <t>A-292</t>
  </si>
  <si>
    <t>Summer Verica</t>
  </si>
  <si>
    <t>Beach Beauty</t>
  </si>
  <si>
    <t>https://dragalialost.wiki/w/Summer_Verica</t>
  </si>
  <si>
    <t>Verica has donned a swimsuit and stepped out onto the beach, and her presence is like a cool breeze on the sun-soaked landscape. The eyes of others tend to find their way to her, and if you aren't careful, she might just capture your heart.</t>
  </si>
  <si>
    <t>Clear Can't Stop the Beatdown!: Expert
(A Crescendo of Courage)</t>
  </si>
  <si>
    <t>Everlasting Summer</t>
  </si>
  <si>
    <t>Moment of Passion</t>
  </si>
  <si>
    <t>Updated Strength Amp (Max Lv. = 3) granted by Moment of Passion</t>
  </si>
  <si>
    <t>Summer Verica was a beast of a healer, and arguably the best one in the entire game. Her amp was updated along with her recovery effects, but that's it. That's all she could possibly need.</t>
  </si>
  <si>
    <t>110280_01</t>
  </si>
  <si>
    <t>A-293</t>
  </si>
  <si>
    <t>Heinwald</t>
  </si>
  <si>
    <t>https://dragalialost.wiki/w/Heinwald</t>
  </si>
  <si>
    <t>Theft. Murder. The supernatural. Any and all of life's mysteries are fodder for this investigator. Possessing a sharp eye and keen powers of deduction, he sometimes gets carried away with his interests and ends up in hot water.</t>
  </si>
  <si>
    <t>Clear Chaos's Calling: Master
(The Accursed Archives)</t>
  </si>
  <si>
    <t>Call of Chaos</t>
  </si>
  <si>
    <t>Abyssal Connection</t>
  </si>
  <si>
    <t>Added Strength Amp (Max Lv. = 3) granted by Abyssal Connection</t>
  </si>
  <si>
    <t>Heinwald was a curious damage-based healer with a damage and healing buff that was kind of a pain to use properly. This revision simplifies his kit and buffs his healing capabilities, while throwing in HP Up and shadowblight for good measure.</t>
  </si>
  <si>
    <t>100004_01</t>
  </si>
  <si>
    <t>A-294</t>
  </si>
  <si>
    <t>Cleo</t>
  </si>
  <si>
    <t>Belle Healer</t>
  </si>
  <si>
    <t>https://dragalialost.wiki/w/Cleo</t>
  </si>
  <si>
    <t>A girl who defended the Halidom for ages while it was sealed in mist and always has control of her emotions. She now aids the new master of the Halidom, The Prince, and is known for her intense housework skills.</t>
  </si>
  <si>
    <t>Clear Ch. 01 3-4 of the Main Campaign
(Normal)</t>
  </si>
  <si>
    <t>Elder Cure</t>
  </si>
  <si>
    <t>Ancient Aegis</t>
  </si>
  <si>
    <t>Magical Reduction</t>
  </si>
  <si>
    <t>HP 70% = Defense +15%</t>
  </si>
  <si>
    <t>Added Defense Amp (Max Lv. = 3) granted by Ancient Aegis</t>
  </si>
  <si>
    <t>Cleo is a reliable and honest healer who became the standard after her mana spiral, and if not for Summer Verica's mana spiral, would've still been a go-to healer in the shadow element. This revision barely does anything to her kit beyond adding a defense amp and upgrading her abilities.</t>
  </si>
  <si>
    <t>110049_01</t>
  </si>
  <si>
    <t>A-295</t>
  </si>
  <si>
    <t>Edward</t>
  </si>
  <si>
    <t>Perfect Butler</t>
  </si>
  <si>
    <t>https://dragalialost.wiki/w/Edward</t>
  </si>
  <si>
    <t>A butler almost off-putting in his refinement who micromanages his master's schedule. His yearning for perfection is so strong, few can keep up with it. His hobby is patchwork.</t>
  </si>
  <si>
    <t>Impeccable Service</t>
  </si>
  <si>
    <t>Butler's Guard</t>
  </si>
  <si>
    <t>Added Defense Amp (Max Lv. = 3) granted by Butler's Guard</t>
  </si>
  <si>
    <t>Afflicion Heal</t>
  </si>
  <si>
    <t>Edward was a curious healer to add, given how Cleo was a story adventurer, as his kit just seemed worse than hers on all fronts. This was even more true after she got a mana spiral and he did not. This revision is built around the fact that Edward's shared skill is featured in Enter the Kaleidoscape, and there needs to be some way to heal afflictions in that mode. So this revision gives him the ability to remove all afflictions with his initial skill and gives him regen on his second for parity purposes.</t>
  </si>
  <si>
    <t>110404_01</t>
  </si>
  <si>
    <t>A-296</t>
  </si>
  <si>
    <t>Humanoid Zodiark</t>
  </si>
  <si>
    <t>Embracing Shadow</t>
  </si>
  <si>
    <t>https://dragalialost.wiki/w/Humanoid_Zodiark</t>
  </si>
  <si>
    <t>The Shadowwyrm Zodiark in human form. In order to reexamine love, he decided to observe human activity more closely than before. But while his appearance has changed, his unconditional love has not, and he happily accepts any and all people just as they are.</t>
  </si>
  <si>
    <t>Clear Repelling the Imperial Forces: Expert
(Operation: At Your Service)</t>
  </si>
  <si>
    <t>Hatecluster</t>
  </si>
  <si>
    <t>Death's Torrent</t>
  </si>
  <si>
    <t>(Shadow) Team Strength Amp = Blindness Res +100%</t>
  </si>
  <si>
    <t>Team Strength Amp = Blindness Res +100%</t>
  </si>
  <si>
    <t>Shadowwyrm's Nature II</t>
  </si>
  <si>
    <t>Spectral Counter II</t>
  </si>
  <si>
    <t>Shadowwyrm's Nature (V3)</t>
  </si>
  <si>
    <t>No changes to Strength Amp (Max Lv. = 1) granted by first and second skills</t>
  </si>
  <si>
    <t>As a late game addition, Humanoid Zodiark was a powerhouse adventurer, and this revision changes little. His greatywrm nature ability was updated for parity purposes, and his shadowblight was upgraded. Beyond that, he is one of the most powerful shadow adventurers in Nihility content.</t>
  </si>
  <si>
    <t>100010_10</t>
  </si>
  <si>
    <t>A-297</t>
  </si>
  <si>
    <t>Summer Mym</t>
  </si>
  <si>
    <t>Midsummer Temptress</t>
  </si>
  <si>
    <t>https://dragalialost.wiki/w/Summer_Mym</t>
  </si>
  <si>
    <t>The Flamewyrm hits the beach with a devilishly daring look to overshadow the summer sun. Striking a pose with one of Chelle's signature manacasters, she's aiming for her darling's heart!</t>
  </si>
  <si>
    <t>Clear Tempestuous Assault: Master
(Toll of the Deep)</t>
  </si>
  <si>
    <t>Twilit Memory</t>
  </si>
  <si>
    <t>A Midsummer Night's Blast</t>
  </si>
  <si>
    <t>Summer Sparks II</t>
  </si>
  <si>
    <t>No changes to Strength Amp (Max Lv. = 3) granted by A Midsummer Night's Blast</t>
  </si>
  <si>
    <t>Added to A Midsummer Night's Blast</t>
  </si>
  <si>
    <t>Summer Mym was a somewhat underwhelming new adventurer, as she lacked the DPS and ability to readily maintain dragondrive due to the high costs associated with using her first skill. This revision modifies the UTP distribution and increases her overall damage.</t>
  </si>
  <si>
    <t>100015_05</t>
  </si>
  <si>
    <t>A-298</t>
  </si>
  <si>
    <t>Gala Chelle</t>
  </si>
  <si>
    <t>Passionate Princess</t>
  </si>
  <si>
    <t>https://dragalialost.wiki/w/Gala_Chelle</t>
  </si>
  <si>
    <t>The third scion of Alberia has set her sights on an even bigger stage—the world! As a shrewd diplomat, she has many cards to play when negotiating with other nations, including the manacaster development that she leads.</t>
  </si>
  <si>
    <t>Clear Ch. 17 5-4 of the Main Campaign
(Normal)</t>
  </si>
  <si>
    <t>Splendido Dominio</t>
  </si>
  <si>
    <t>Burlone Gatto</t>
  </si>
  <si>
    <t>(Shadow) Poised Shadowblighted Punisher +8%</t>
  </si>
  <si>
    <t>Shadowblighted Punisher +8%</t>
  </si>
  <si>
    <t>Radiant Scion II</t>
  </si>
  <si>
    <t>Princess's Grace II</t>
  </si>
  <si>
    <t>Star of the Dance II</t>
  </si>
  <si>
    <t>Radiant Scion (V3)</t>
  </si>
  <si>
    <t>Star of the Dance (V3)</t>
  </si>
  <si>
    <t>Added Team Critical Damage Amp (Max Lv. = 3) granted by Burlone Gatto</t>
  </si>
  <si>
    <t>Buff Zone &amp; Shadowblight Res Down</t>
  </si>
  <si>
    <t>Gala Chelle was an amazing adventurer since her debut and remained a steady staple of the shadow element due to her insane damage output and access to shadowblight. This revision upgrades her slightly, but mostly gives her access to a team critical damage amp and slight upgrade to her shapeshifted form. Not that she would typically use that.</t>
  </si>
  <si>
    <t>100054_03</t>
  </si>
  <si>
    <t>AN-001</t>
  </si>
  <si>
    <t>Zethia</t>
  </si>
  <si>
    <t>The Holy Auspex</t>
  </si>
  <si>
    <t>Clear Ch. 22 5-4 of the Main Campaign
(Normal)</t>
  </si>
  <si>
    <t>100002_14</t>
  </si>
  <si>
    <t>AN-002</t>
  </si>
  <si>
    <t>Summer Elisanne</t>
  </si>
  <si>
    <t>Splashing Paladyn</t>
  </si>
  <si>
    <t>Clear Scylla Clash: Omega 2
(Doomsday Getaway)</t>
  </si>
  <si>
    <t>100029_01</t>
  </si>
  <si>
    <t>AN-003</t>
  </si>
  <si>
    <t>Sarisse</t>
  </si>
  <si>
    <t>Stunning Sniper</t>
  </si>
  <si>
    <t>Clear Hypnos Clash: Nightmare
(Kindness and Captivity)</t>
  </si>
  <si>
    <t>110405_01</t>
  </si>
  <si>
    <t>AN-004</t>
  </si>
  <si>
    <t>Volk</t>
  </si>
  <si>
    <t>Purveyor of Plague</t>
  </si>
  <si>
    <t>Clear Volk's Wrath: Master
(The Agito Uprising)</t>
  </si>
  <si>
    <t>110406_01</t>
  </si>
  <si>
    <t>AN-005</t>
  </si>
  <si>
    <t>Kai Yan</t>
  </si>
  <si>
    <t>The Pinnacle of Evolution</t>
  </si>
  <si>
    <t>Clear Kai Yan's Wrath: Master
(The Agito Uprising)</t>
  </si>
  <si>
    <t>110407_01</t>
  </si>
  <si>
    <t>AN-006</t>
  </si>
  <si>
    <t>Ciella</t>
  </si>
  <si>
    <t>Wings of Despair</t>
  </si>
  <si>
    <t>Clear Ciella's Wrath: Master
(The Agito Uprising)</t>
  </si>
  <si>
    <t>110408_01</t>
  </si>
  <si>
    <t>AN-007</t>
  </si>
  <si>
    <t>Tartarus</t>
  </si>
  <si>
    <t>The Abyssalwyrm</t>
  </si>
  <si>
    <t>Clear Tartarus's Wrath: Master
(The Agito Uprising)</t>
  </si>
  <si>
    <t>Adventurer</t>
  </si>
  <si>
    <t>Icon</t>
  </si>
  <si>
    <t>Skill #</t>
  </si>
  <si>
    <t>SP Cost</t>
  </si>
  <si>
    <t>Camera</t>
  </si>
  <si>
    <t>Description V3</t>
  </si>
  <si>
    <t>Share Cost</t>
  </si>
  <si>
    <t>Share SP</t>
  </si>
  <si>
    <t>Shareable</t>
  </si>
  <si>
    <t>Damage Est</t>
  </si>
  <si>
    <t>DMG/SP Ratio</t>
  </si>
  <si>
    <t>271</t>
  </si>
  <si>
    <t>2.4 second(s)</t>
  </si>
  <si>
    <t>Deals 1 hit of 2200% flame damage to surrounding enemies and reduces their strength by 10% for 10 seconds. This strength reduction does not stack.</t>
  </si>
  <si>
    <t>Deals 1 hit of 2500% flame damage to surrounding enemies and reduces their strength by 10% for 10 seconds. This strength reduction does not stack. In addition, inflicts scorchrend for 21 seconds - dealing 50% flame damage every 2.9 seconds - with 120% base chance.</t>
  </si>
  <si>
    <t>Y</t>
  </si>
  <si>
    <t>272</t>
  </si>
  <si>
    <t>3.4 second(s)</t>
  </si>
  <si>
    <t>Deals x hits of 1000% flame damage to multiple targets and enemies near those targets, and grants the user x defense amps (Team Amp MAX Lv. = 2). This skill can only be used when the user has at least one "Soul Seal," and using it will consume all Soul Seals, then deal hits and grant amps equal to the number of Soul Seals consumed.</t>
  </si>
  <si>
    <t>Deals X hits of 1000% flame damage to multiple targets and enemies near those targets, dispels one buff from each enemy, and grants the user X defense amps (Team Amp MAX Lv. = 3). This skill can only be used when the user has at least one "Soul Seal," and using it will consume all Soul Seals, then deal hits and grant amps equal to the number of Soul Seals consumed.</t>
  </si>
  <si>
    <t>N</t>
  </si>
  <si>
    <t>102</t>
  </si>
  <si>
    <t>1.9 second(s)</t>
  </si>
  <si>
    <t>Deals 1 hit of 562% flame damage to enemies directly ahead, and grants the user one stack of Flames of Awakening. Flames of Awakening can stack up to 3 times, and each stack will progressively increase the strength of Aether. Using Aether will consume all stacks of Flames of Awakening.</t>
  </si>
  <si>
    <t>Deals 1 hit of 700% flame damage to enemies directly ahead, and inflicts scorchrend for 21 seconds - dealing 50% flame damage every 2.9 seconds - with 120% base chance. In addition, grants the user one stack of Flames of Awakening. Flames of Awakening can stack up to 3 times, and each stack will progressively increase the strength of Aether. Using Aether will consume all stacks of Flames of Awakening.</t>
  </si>
  <si>
    <t>103</t>
  </si>
  <si>
    <t>2.2 second(s)</t>
  </si>
  <si>
    <t>Deals 2 hits of flame damage to the target and nearby enemies, and restores 3% of the damage inflicted as HP to the user. This recovery caps at 15% of their maximum HP. Afflicted foes take more damage. This skill's strength will increase relative to the number of Flames of Awakening stacks the user has, and will consume all Flames of Awakening stacks and one level of the user's skill reservoir on use. This skill cannot be used if the user has no stacks of Flames of Awakening. 1 Stack: Deals 1 hit of 143% and 1 hit of 149% flame damage to the target and nearby enemies. Afflicted foes take 1 hit of 171.6% and 1 hit of 178.8% flame damage instead. 2 Stacks: Deals 1 hit of 293% and 1 hit of 358% flame damage to the target and nearby enemies. Afflicted foes take 1 hit of 351.6% and 1 hit of 429.6% flame damage instead. 3 Stacks (but no Rightful King): Deals 1 hit of 720% and 1 hit of 801% flame damage to the target and nearby enemies. Afflicted foes take 1 hit of 864% and 1 hit of 961.2% flame damage instead. If user has the ability Rightful King, 3 stacks of Flames of Awakening, and 3 charges of Aether skill reservoir, Awakening Aether will be used instead. This consumes all stacks of Flames of Awakening and all charges of Aether skill reservoir. Awakening Aether deals 1 hit of 2,555% and 1 hit of 2,631% flame damage to the target and nearby enemies. Afflicted foes take 1 hit of 3,066% and 1 hit of 3,157.2% flame damage instead.</t>
  </si>
  <si>
    <t>Deals 2 hits of flame damage to the target and nearby enemies, and restores 5% of the damage inflicted as HP to the user. This recovery caps at 20% of their maximum HP. Afflicted foes take more damage. This skill's strength will increase relative to the number of Flames of Awakening stacks the user has, and will consume all Flames of Awakening stacks and one level of the user's skill reservoir on use. In addition, dispels one buff from each enemy. This skill cannot be used if the user has no stacks of Flames of Awakening. 1 Stack: Deals 1 hit of 170% and 1 hit of 175% flame damage to the target and nearby enemies. Afflicted foes take 1 hit of 190% and 1 hit of 200% flame damage instead. 2 Stacks: Deals 1 hit of 330% and 1 hit of 400% flame damage to the target and nearby enemies. Afflicted foes take 1 hit of 390% and 1 hit of 490% flame damage instead. 3 Stacks (but no Rightful King): Deals 1 hit of 900% and 1 hit of 1000% flame damage to the target and nearby enemies. Afflicted foes take 1 hit of 1000% and 1 hit of 1100% flame damage instead. If user has the ability Rightful King, 3 stacks of Flames of Awakening, and 3 charges of Aether skill reservoir, Awakening Aether will be used instead. This consumes all stacks of Flames of Awakening and all charges of Aether skill reservoir. Afflicted foes take 1 hit of 3,500% and 1 hit of 3,700 flame damage instead.</t>
  </si>
  <si>
    <t>079</t>
  </si>
  <si>
    <t>Deals 2 hits of 267% and 1 hit of 795% flame damage to enemies directly ahead, and reduces their defense by 5% for 10 seconds. This defense reduction effect will not stack.</t>
  </si>
  <si>
    <t>Deals 2 hits of 300% and 1 hit of 1000% flame damage to enemies directly ahead, and reduces their defense by 10% for 10 seconds. This defense reduction effect will not stack.</t>
  </si>
  <si>
    <t>030</t>
  </si>
  <si>
    <t>1.4 second(s)</t>
  </si>
  <si>
    <t>Increases the damage of the user's next force strike by 80%. This damage increase will not stack.</t>
  </si>
  <si>
    <t>Increases the damage of the user's next force strike by 100%, and increases the entire team's max HP by 10% for the remainder of the quest. This damage increase will not stack. Once HP buffs reach the limit of 30%, an HP recovery effect is granted instead. In addition, grant the user a team strength amp (Team Amp MAX Lv. = 1). After this amp is granted, this ability will not grant it again for 15 seconds.</t>
  </si>
  <si>
    <t>.</t>
  </si>
  <si>
    <t>011</t>
  </si>
  <si>
    <t>Deals 5 hits of 330% flame damage to enemies directly ahead, dispels one buff from each target, and inflicts burn for 12 seconds - dealing 97% flame damage every 3.9 seconds - with 120% base chance. Burning foes take 5 hits of 495% flame damage instead.</t>
  </si>
  <si>
    <t>Deals 5 hits of 500% flame damage to enemies directly ahead, dispels one buff from each target, and inflicts burn for 21 seconds - dealing 50% flame damage every 2.9 seconds - with 120% base chance.</t>
  </si>
  <si>
    <t>061</t>
  </si>
  <si>
    <t>5.1 second(s)</t>
  </si>
  <si>
    <t>Summons "Crimson Garden," then deals 2 hits of 820% flame damage to enemies directly ahead. Additional bonus neutral-element damage will be dealt equal to 1100% of the damage taken while "Crimson Garden" is active.</t>
  </si>
  <si>
    <t>Summons "Crimson Garden," then deals 2 hits of 850% flame damage to enemies directly ahead. Additional bonus neutral-element damage will be dealt equal to 1100% of the damage taken while "Crimson Garden" is active.</t>
  </si>
  <si>
    <t>038</t>
  </si>
  <si>
    <t>1.3 second(s)</t>
  </si>
  <si>
    <t>Deals 6 hits of 138% and 1 hit of 267% flame damage to enemies directly ahead, inflicts burn for 12 seconds - dealing 97% flame damage every 3.9 seconds - with 120% chance, and gradually recovers the user's HP with 7% Recovery Potency every 2.9 seconds for 15 seconds.</t>
  </si>
  <si>
    <t>Deals 6 hits of 200% and 1 hit of 400% flame damage to enemies directly ahead, inflicts burn for 21 seconds - dealing 50% flame damage every 2.9 seconds - with 120% chance. In addition, gradually recovers the user's HP with 8% Recovery Potency every 2.9 seconds for 15 seconds.</t>
  </si>
  <si>
    <t>039</t>
  </si>
  <si>
    <t>0.95 second(s)</t>
  </si>
  <si>
    <t>Deals 1 hit of 899% flame damage to enemies in a line, increases the user's strength by 10% for 10 seconds and activates "Skill Shift" if the attack connects. Phase II increases the entire team's strength by 10% for 10 seconds instead, while Phase III also increases the entire team's attack rate by 30% for 10 seconds. Burning foes will take 1 hit of 1798% flame damage instead.</t>
  </si>
  <si>
    <t>Deals 1 hit of 2000% flame damage to enemies in a line, increases the entire team's strength by 13% for 15 seconds and also increases the entire team's attack rate by 30% for 10 seconds.</t>
  </si>
  <si>
    <t>003</t>
  </si>
  <si>
    <t>2 second(s)</t>
  </si>
  <si>
    <t>Deals 4 hits of 347% flame damage to enemies directly ahead, dispels one buff from each target, and shoots 3 additional flame blades each dealing 140% flame damage for each time Radiant Bauble has been used, for a maximum of 15 additional blades.</t>
  </si>
  <si>
    <t>Deals 4 hits of 400% flame damage to enemies directly ahead, dispels one buff from each target, and shoots 3 additional flame blades each dealing 160% flame damage for each time Radiant Bauble has been used, for a maximum of 15 additional blades. In addition, inflicts scorchrend for 21 seconds - dealing 50% flame damage every 2.9 seconds - with 120% base chance.</t>
  </si>
  <si>
    <t>034</t>
  </si>
  <si>
    <t>Activates "Crystalline Blades Buffed", which enhances the skill Crystalline Blades for the remainder of the quest. The skill can be enhanced up to 5 times. Also increases the user's defense by 20% and strength by 20% for 10 seconds.</t>
  </si>
  <si>
    <t>006</t>
  </si>
  <si>
    <t>Deals 2 hits of 602% flame damage to enemies in a line, and increases the entire team's critical rate by 10% for 10 seconds.</t>
  </si>
  <si>
    <t>Deals 2 hits of 750% flame damage to enemies in a line, inflicts scorchrend for 21 seconds - dealing 50% flame damage every 2.9 seconds - with 120% base chance. In addition, increases the entire team's critical rate by 10% for 10 seconds and grants the user a critical damage amp (Team Amp MAX Lv. = 1).</t>
  </si>
  <si>
    <t>Deals 4 hits of 290% flame damage to enemies directly ahead.</t>
  </si>
  <si>
    <t>Deals 4 hits of 450% flame damage to enemies directly ahead and inflicts bleeding for 30 seconds - dealing 150% flame damage every 4.9 seconds - with 100% base chance.</t>
  </si>
  <si>
    <t>004</t>
  </si>
  <si>
    <t>0.9 second(s)</t>
  </si>
  <si>
    <t>Deals 2 hits of 578.2% flame damage to surrounding enemies.</t>
  </si>
  <si>
    <t xml:space="preserve">Deals 2 hits of 800% flame damage to surrounding enemies, inflicts burn for 21 seconds - dealing 50% flame damage every 2.9 seconds - with 120% base chance, and lowers their burn resistance by 20% for 30 seconds. This resistance reduction will not stack. </t>
  </si>
  <si>
    <t>Increases the entire team's strength by 20% for 15 seconds.</t>
  </si>
  <si>
    <t>Increases the entire team's strength by 20% for 20 seconds and grants them a one-use shield that nullifies damage less than 40% of the user's maximum HP. This does not stack with any other shields.</t>
  </si>
  <si>
    <t>Deals 2 hits of 826% flame damage to surrounding enemies, raises the dragon gauge by 30 DP if the attack connects and inflicts burn for 12 seconds - dealing 88.3% flame damage every 3.9 seconds - with 110% base chance.</t>
  </si>
  <si>
    <t>Deals 2 hits of 900% flame damage to surrounding enemies, raises the dragon gauge by 40 DP if the attack connects and inflicts burn for 21 seconds - dealing 50% flame damage every 2.9 seconds - with 120% base chance.</t>
  </si>
  <si>
    <t>005</t>
  </si>
  <si>
    <t>1.2 second(s)</t>
  </si>
  <si>
    <t>Deals 1 hit of 1474% flame damage to enemies in a line, and reduces defense by 5% for 10 seconds. This defense reduction effect will not stack.</t>
  </si>
  <si>
    <t>Deals 1 hit of 1600% flame damage to enemies in a line, and reduces defense by 10% for 10 seconds. This defense reduction effect will not stack.</t>
  </si>
  <si>
    <t>Deals 2 hits of 608% flame damage to surrounding enemies, and inflicts burn for 12 seconds - dealing 97% flame damage every 3.9 seconds - with 120% base chance.</t>
  </si>
  <si>
    <t>Deals 2 hits of 800% flame damage to surrounding enemies, dispels one buff from each target, and inflicts burn for 21 seconds - dealing 50% flame damage every 2.9 seconds - with 120% base chance.</t>
  </si>
  <si>
    <t>031</t>
  </si>
  <si>
    <t>Increases the entire team's defense by 20% and strength by 15% for 15 seconds.</t>
  </si>
  <si>
    <t>Increases the entire team's defense by 25% and strength by 15% for 15 seconds, grants them a one-use shield that nullifies damage less than 40% of the user's maximum HP, and increases the entire team's max HP by 10% for the remainder of the quest. This does not stack with any other shields. Once HP buffs reach the limit of 30%, an HP recovery effect is granted instead.</t>
  </si>
  <si>
    <t>Deals 2 hits of 454% flame damage to surrounding enemies, and inflicts burn for 12 seconds - dealing 97% flame damage every 3.9 seconds - with 120% base chance.</t>
  </si>
  <si>
    <t>Deals 2 hits of 800% flame damage to surrounding enemies, inflicts burn for 21 seconds - dealing 50% flame damage every 2.9 seconds - with 120% base chance, and dispels one buff from each enemy.</t>
  </si>
  <si>
    <t>033</t>
  </si>
  <si>
    <t>Grants all teammates a one-use shield that nullifies damage less than 30% of the user's maximum HP, and increases their strength by 15% for 15 seconds. This shield does not stack with any other shields of the same type.</t>
  </si>
  <si>
    <t>Grants all teammates a one-use shield that nullifies damage less than 40% of the user's maximum HP. Increases their defense by 25% and strength by 15% for 15 seconds. This shield does not stack with any other shields of the same type.</t>
  </si>
  <si>
    <t>Activates "Peerless Flourish." The user's next 3 force strikes are powered up and deal extra damage to scorchrent foes.</t>
  </si>
  <si>
    <t>Activates "Peerless Flourish." The user's next 3 force strikes are powered up and deal extra damage to scorchrent foes. In addition, grants the user a strength amp (Team Amp MAX Lv. = 3).</t>
  </si>
  <si>
    <t>238</t>
  </si>
  <si>
    <t>Deals 6 hits of 165%, 1 hit of 523% and 3 hits of 267% flame damage to enemies directly ahead, inflicts scorchrend for 21 seconds - dealing 31.1% flame damage every 2.9 seconds - with 110% chance, and grants the user immunity to knockback for 15 seconds.</t>
  </si>
  <si>
    <t>Deals 6 hits of 200%, 1 hit of 600% and 3 hits of 300% flame damage to enemies directly ahead, inflicts scorchrend for 21 seconds - dealing 50% flame damage every 2.9 seconds - with 120% chance, and grants the user immunity to knockback for 15 seconds.</t>
  </si>
  <si>
    <t>075</t>
  </si>
  <si>
    <t>1.25 second(s)</t>
  </si>
  <si>
    <t>Deals 1 hit of 713% flame damage to enemies in a line, and applies Burning Ambition to enemies for 30 seconds. Enemies will take 1 hit of 1565% flame damage when Burning Ambition's effect ends. Burning Ambition does not stack, and cannot be reapplied to enemies still affected by it. Burning Ambition will be triggered if dispelled. Burning Ambition may deal lethal damage.</t>
  </si>
  <si>
    <t>Deals 1 hit of 900% flame damage to enemies in a line, and applies Burning Ambition to enemies for 30 seconds. Enemies will take 1 hit of 1800% flame damage when Burning Ambition's effect ends. Burning Ambition does not stack, and cannot be reapplied to enemies still affected by it. Burning Ambition will be triggered if dispelled. Burning Ambition may deal lethal damage.</t>
  </si>
  <si>
    <t>Deals 1 hit of 1356% flame damage to enemies directly ahead, and dispels one buff from each target. Damage is increased against enemies with a buff to 1 hit of 2034% flame damage.</t>
  </si>
  <si>
    <t>Deals 1 hit of 1500% flame damage to enemies directly ahead, and dispels one buff from each target. Damage is increased against enemies with a buff to 1 hit of 2300% flame damage. Also, inflicts scorchrend for 21 seconds - dealing 50% flame damage every 2.9 seconds - with 120% chance</t>
  </si>
  <si>
    <t>025</t>
  </si>
  <si>
    <t>2.9 second(s)</t>
  </si>
  <si>
    <t>Deals 4 hits of 122.4% and 1 hit of 1130.5% flame damage to enemies in a line, and inflicts burn for 12 seconds - dealing 97% flame damage every 3.9 seconds - with 120% base chance. Activates "Skill Shift" if the attack connects. Phase II adds an additional 10% increase to the user's critical rate for 15 seconds, while Phase III increases damage to burning enemies, dealing 4 hits of 220.32% and 1 hit of 2034.9% flame damage instead.</t>
  </si>
  <si>
    <t>Deals 4 hits of 200% and 1 hit of 2000% flame damage to enemies in a line, and inflicts burn for 21 seconds - dealing 50% flame damage every 2.9 seconds - with 120% base chance. Increases the entire team's critical rate by 10% for 15 seconds.</t>
  </si>
  <si>
    <t>032</t>
  </si>
  <si>
    <t>Immediately readies the Roaring Furnace skill for use, and adds 50% to the modifier applied to critical damage for 20 seconds.</t>
  </si>
  <si>
    <t>Immediately readies the Roaring Furnace skill for use, grants the entire team a 60% to the modifier applied to critical damage for 20 seconds, and grants the user a critical damage amp (Team Amp MAX Lv. = 1).</t>
  </si>
  <si>
    <t>002</t>
  </si>
  <si>
    <t>0.8 second(s)</t>
  </si>
  <si>
    <t>Deals 2 hits of 910% flame damage to enemies directly ahead, and activates "Flare Stance" for 20 seconds if the attack connects. During Flare Stance, the user's strength is increased by 10% and gives access to Ravenous Fire (Flare). Ravenous Fire (Flare) deals 3 hits of 685% flame damage, ends Flare Stance, and activates "Ruin Stance" for 15 seconds. During Ruin Stance, the user's strength is increased by 15%, adds 30% to the modifier applied to their critical damage, and gives access to Ravenous Fire (Ruin). Ravenous Fire (Ruin) deals 3 hits of 517% and 1 hit of 776% flame damage, and activates "Ruin Stance" for 15 seconds.</t>
  </si>
  <si>
    <t>Deals 3 hits of 600% and 1 hit of 900% flame damage, increases the user's strength by 15%, and adds 30% to the modifier applied to their critical damage. Also, bleeding for 30 seconds - dealing 150% flame damage every 4.9 seconds - with 100% base chance.</t>
  </si>
  <si>
    <t>Increases the user's attack rate by 20% for 15 seconds.</t>
  </si>
  <si>
    <t>Deals 4 hits of 305% flame damage to enemies directly ahead. If Limiters Released is active, deals 8 hits of 312% flame damage instead.</t>
  </si>
  <si>
    <t>Deals 4 hits of 400% flame damage to enemies directly ahead. If Limiters Released is active, deals 8 hits of 400% flame damage instead and dispels one buff from each target. Inflicts scorchrend for 21 seconds - dealing 50% flame damage every 2.9 seconds - with 120% base chance.</t>
  </si>
  <si>
    <t>Activates "Limiters Released." During Limiters Released, the user's strength is increased by 50%, and the Code 07: Combustion Slash skill is powered up, but the user will take 3.5% Max HP damage every 2.9 seconds. Using the skill again will disable Limiters Released, and using it once more after that will activate Limiters Released once more.</t>
  </si>
  <si>
    <t>Activates "Limiters Released." During Limiters Released, the user's strength is increased by 50%, attack rate is increased by 10%, and the Code 07: Combustion Slash skill is powered up, but the user will take 2% Max HP damage every 2.9 seconds. Using the skill again will disable Limiters Released, and using it once more after that will activate Limiters Released once more.</t>
  </si>
  <si>
    <t>0.6 second(s)</t>
  </si>
  <si>
    <t>Deals 1 hit of 1229% flame damage to surrounding enemies, and inflicts burn for 12 seconds - dealing 80.3% flame damage every 3.9 seconds - with 100% base chance. Burning foes take 1 hit of 1843.5% flame damage instead.</t>
  </si>
  <si>
    <t>Deals 1 hit of 2100% flame damage to surrounding enemies and inflicts burn for 21 seconds - dealing 50% flame damage every 2.9 seconds - with 120% base chance.</t>
  </si>
  <si>
    <t>008</t>
  </si>
  <si>
    <t>0.4 second(s)</t>
  </si>
  <si>
    <t>Deals 1 hit of 1106% flame damage to enemies in a line, and inflicts burn for 12 seconds - dealing 80.3% flame damage every 3.9 seconds - with 100% base chance. Burning foes take 1 hit of 1659% flame damage instead.</t>
  </si>
  <si>
    <t>Deals 1 hit of 2000% flame damage to enemies in a line, dispels one buff from each target, and inflicts burn for 21 seconds - dealing 50% flame damage every 2.9 seconds - with 120% base chance. Also, lowers their burn resistance by 20% for 30 seconds. This resistance reduction will not stack.</t>
  </si>
  <si>
    <t>333</t>
  </si>
  <si>
    <t>2.3 second(s)</t>
  </si>
  <si>
    <t>Deals 2 hits of 190% and 3 hits of 380% flame damage to enemies in a line, lowers their flame resistance by 15% for 30 seconds, and applies "Evil's Bane" to them for 15 seconds. Both the flame resistance reduction and Evil's Bane will not stack. If this skill is used directly after the user's second skill, a variant called Bright Carmine Rush will be used instead. Bright Carmine Rush deals 4 hits of 190% and 6 hits of 380% flame damage to enemies in a line, lowers their flame resistance by 15% for 30 seconds, and applies "Evil's Bane" to them for 30 seconds. Both the flame resistance reduction and Evil's Bane will not stack. Also, if the user has the "Blazewolf's Rush" effect, Bright Carmine Rush consumes it and immediately readies the user's second skill for use.</t>
  </si>
  <si>
    <t>Deals 2 hits of 200% and 3 hits of 400% flame damage to enemies in a line, lowers their flame resistance by 15% for 30 seconds, and applies "Evil's Bane" to them for 15 seconds. Both the flame resistance reduction and Evil's Bane will not stack. If this skill is used directly after the user's second skill, a variant called Bright Carmine Rush will be used instead. Bright Carmine Rush deals 4 hits of 200% and 6 hits of 400% flame damage to enemies in a line, lowers their flame resistance by 15% for 30 seconds, and applies "Evil's Bane" to them for 30 seconds. Both the flame resistance reduction and Evil's Bane will not stack. Also, if the user has the "Blazewolf's Rush" effect, Bright Carmine Rush consumes it and immediately readies the user's second skill for use.</t>
  </si>
  <si>
    <t>335</t>
  </si>
  <si>
    <t>Deals 7 hits of 200% flame damage to surrounding enemies, dispels one buff from each target, and inflicts burn for 12 seconds - dealing 72.7% flame damage every 2.9 seconds - with 110% chance. If this skill is used directly after the user's first skill, a variant called Savage Flame Raid will be used instead. Savage Flame Raid deals 7 hits of 250% flame damage to surrounding enemies, dispels one buff from each target, and inflicts scorchrend for 21 seconds - dealing 31.1% flame damage every 2.9 seconds - with 110% chance. Also, if the user has the "Blazewolf's Rush" effect, Savage Flame Raid consumes it and immediately readies the user's first skill for use.</t>
  </si>
  <si>
    <t>Deals 7 hits of 200% flame damage to surrounding enemies, dispels one buff from each target, and inflicts burn for 21 seconds - dealing 50% flame damage every 2.9 seconds - with 120% chance. If this skill is used directly after the user's first skill, a variant called Savage Flame Raid will be used instead. Savage Flame Raid deals 7 hits of 250% flame damage to surrounding enemies, dispels one buff from each target, and inflicts scorchrend for 21 seconds - dealing 50% flame damage every 2.9 seconds - with 120% chance. Also, if the user has the "Blazewolf's Rush" effect, Savage Flame Raid consumes it and immediately readies the user's first skill for use.</t>
  </si>
  <si>
    <t>253</t>
  </si>
  <si>
    <t>1.8 second(s)</t>
  </si>
  <si>
    <t>Deals 11 hits of 102% flame damage to the target and nearby enemies, and inflicts scorchrend for 21 seconds - dealing 41.6% flame damage every 2.9 seconds - with 120% chance. If the user has at least one Sizzling Sunflower, a variant of this skill called Mouse's Midsummer Revenge will be used instead. Mouse's Midsummer Revenge deals 20 hits of 90% and 1 hit of 349% flame damage to the target and nearby enemies, and deals extra damage to scorchrent enemies based on the combo count - 110% at 0 hits, 120% at 15 hits, 130% at 30 hits and 150% at 50 hits. It also consumes one Sizzling Sunflower and immediately readies this skill for use.</t>
  </si>
  <si>
    <t>Deals 11 hits of 110% flame damage to the target and nearby enemies, and inflicts scorchrend for 21 seconds - dealing 50% flame damage every 2.9 seconds - with 120% chance. If the user has at least one Sizzling Sunflower, a variant of this skill called Mouse's Midsummer Revenge will be used instead. Mouse's Midsummer Revenge deals 20 hits of 100% and 1 hit of 400% flame damage to the target and nearby enemies, lowers their scorchrend resistance by 20% for 30 seconds, and deals extra damage to scorchrent enemies based on the combo count - 120% at 0 hits, 130% at 15 hits, 140% at 30 hits and 160% at 50 hits. It also consumes one Sizzling Sunflower and immediately readies this skill for use. This resistance reduction will not stack.</t>
  </si>
  <si>
    <t>255</t>
  </si>
  <si>
    <t>Grants the user a "Sizzling Sunflower" which stacks up to 3 times. The second time this skill is used, it will instead grant the user a Sizzling Sunflower and a Strength Amp (Team Amp MAX Lv. = 3). The skill will then alternate between these two versions with every use.</t>
  </si>
  <si>
    <t>Grants the user a "Sizzling Sunflower" which stacks up to 3 times. In addition, grant the user a Sizzling Sunflower and a Strength Amp (Team Amp MAX Lv. = 3).</t>
  </si>
  <si>
    <t>010</t>
  </si>
  <si>
    <t>1.7 second(s)</t>
  </si>
  <si>
    <t>Deals 4 hits of 213% flame damage to enemies directly ahead and inflicts burn - dealing 97% flame damage every 3.9 seconds for 12 seconds - with 120% chance. If this skill is used during Eden mode, a variant called Eden Code 05: Gevurah will be used instead. Eden Code 05: Gevurah deals 6 hits of 126%, 2 hits of 76% and 4 hits of 100% flame damage to enemies directly ahead and inflicts scorchrend - dealing 41.6% flame damage every 2.9 seconds for 21 seconds - with 120% chance. During this skill animation, "Fig" will not perform the normal auto attacks, instead participating as part of the skill.</t>
  </si>
  <si>
    <t>Deals 4 hits of 250% flame damage to enemies directly ahead and inflicts burn - dealing 50% flame damage every 2.9 seconds for 21 seconds - with 120% chance. If this skill is used during Eden mode, a variant called Eden Code 05: Gevurah will be used instead. Eden Code 05: Gevurah deals 6 hits of 150%, 2 hits of 100% and 4 hits of 100% flame damage to enemies directly ahead and inflicts scorchrend - dealing 50% flame damage every 2.9 seconds for 21 seconds - with 120% chance. Also, dispels one buff from each enemy. During this skill animation, "Fig" will not perform the normal auto attacks, instead participating as part of the skill.</t>
  </si>
  <si>
    <t>137</t>
  </si>
  <si>
    <t>Grants the user the "Fig" effect and activates Eden mode for 20 seconds. During Eden mode, Fig will automatically attack foes every 0.33 seconds dealing 33.3% flame damage per hit. This automatic damage will not be treated as skill damage. If this skill is used during Eden mode, a variant called Eden Code 01: Keter will be used instead. Eden Code 01: Keter costs 3736 SP, and deals 3 hits of 570% and 1 hit of 626% flame damage to enemies directly ahead. During this skill animation, "Fig" will not perform the normal auto attacks, instead participating as part of the skill.</t>
  </si>
  <si>
    <t>Grants the user the "Fig" effect and activates Eden mode for 20 seconds. During Eden mode, Fig will automatically attack foes every 0.33 seconds dealing 40% flame damage per hit. This automatic damage will not be treated as skill damage. If this skill is used during Eden mode, a variant called Eden Code 01: Keter will be used instead. Eden Code 01: Keter costs 3736 SP, and deals 3 hits of 650% and 1 hit of 700% flame damage to enemies directly ahead. During this skill animation, "Fig" will not perform the normal auto attacks, instead participating as part of the skill.</t>
  </si>
  <si>
    <t>Deals 10 hits of 63% and 1 hit of 600% flame damage to enemies directly ahead. Movement is possible during the attack.</t>
  </si>
  <si>
    <t>Deals 10 hits of 100% and 1 hit of 700% flame damage to enemies directly ahead. Movement is possible during the attack. Also, inflicts scorchrend - dealing 50% flame damage every 2.9 seconds for 21 seconds - with 120% chance.</t>
  </si>
  <si>
    <t>Activates "Inferno Mode" for 20 seconds. During Inferno Mode, the user's strength is increased by 50%, and their normal attacks reduce enemy defense by 10% for 10 seconds with 35% base chance. This defense reduction effect will not stack.</t>
  </si>
  <si>
    <t>Activates "Inferno Mode" for 20 seconds. During Inferno Mode, the user's strength is increased by 50%, and their normal attacks reduce enemy defense by 10% for 10 seconds with 40% base chance. This defense reduction effect will not stack. In addition, grants the user a team strength amp (Team Amp MAX = 1)</t>
  </si>
  <si>
    <t>013</t>
  </si>
  <si>
    <t>Deals 7 hits of 195.8%, 3 hits of 168.3%, 1 hit of 168% and 1 hit of 196% flame damage to surrounding enemies, and increases the user's attack rate by 20% for 10 seconds. Changing direction is possible during the attack.</t>
  </si>
  <si>
    <t>Deals 7 hits of 250%, 3 hits of 200%, 1 hit of 200% and 1 hit of 250% flame damage to surrounding enemies and increases the user's attack rate by 20% for 10 seconds. Also, dispels one buff from each enemy and inflicts bleeding for 30 seconds - dealing 150% flame damage every 4.9 seconds - with 100% base chance. Changing direction is possible during the attack.</t>
  </si>
  <si>
    <t>Increases the entire team's defense by 10% and strength by 15% for 15 seconds, and grants all teammates a one-use shield that nullifies damage less than 30% of the user's maximum HP. This does not stack with any other shields of the same type.</t>
  </si>
  <si>
    <t>Increases the entire team's defense by 25% and strength by 15% for 15 seconds, and grants all teammates a one-use shield that nullifies damage less than 40% of the user's maximum HP. This does not stack with any other shields of the same type.</t>
  </si>
  <si>
    <t>Deals 6 hits of 190% flame damage to enemies directly ahead and inflicts burn for 12 seconds - dealing 88.3% flame damage every 3.9 seconds - with 110% base chance. Burning foes take 6 hits of 304% flame damage instead.</t>
  </si>
  <si>
    <t>Deals 6 hits of 360% flame damage to enemies directly ahead, dispels one buff from each target, and inflicts burn for 21 seconds - dealing 50% flame damage every 2.9 seconds - with 120% base chance.</t>
  </si>
  <si>
    <t>Deals 4 hits of 251% flame damage to enemies directly ahead and inflicts burn for 12 seconds - dealing 66% flame damage every 3.9 seconds - with 100% base chance. Burning foes take 4 hits of 376.5% flame damage instead.</t>
  </si>
  <si>
    <t>Deals 4 hits of 450% flame damage to enemies directly ahead and inflicts burn for 21 seconds - dealing 50% flame damage every 2.9 seconds - with 120% base chance. In addition, grants the user a defense amp (Team Amp MAX Lv. = 3). After this amp is granted, this ability will not grant it again for 15 seconds.</t>
  </si>
  <si>
    <t>Deals 3 hits of 285% flame damage to surrounding enemies and inflicts burn for 12 seconds - dealing 80.3% flame damage every 3.9 seconds - with 100% base chance. Burning foes take 3 hits of 342% flame damage instead.</t>
  </si>
  <si>
    <t>Deals 3 hits of 600% flame damage to surrounding enemies and inflicts burn for 21 seconds - dealing 50% flame damage every 2.9 seconds - with 120% base chance.</t>
  </si>
  <si>
    <t>0.5 second(s)</t>
  </si>
  <si>
    <t>Deals 2 hits of 332% flame damage to enemies directly ahead, reduces their defense by 5% for 10 seconds and inflicts burn for 12 seconds - dealing 80.3% flame damage every 3.9 seconds - with 100% base chance. This defense reduction effect will not stack.</t>
  </si>
  <si>
    <t>Deals 2 hits of 700% flame damage to enemies directly ahead, reduces their defense by 10% for 10 seconds, and inflicts burn for 21 seconds - dealing 50% flame damage every 2.9 seconds - with 120% base chance. This defense reduction effect will not stack. Also, lowers their burn resistance by 20% for 30 seconds. This resistance reduction will not stack.</t>
  </si>
  <si>
    <t>292</t>
  </si>
  <si>
    <t>When wielding an axe: completely fills the user's swordmaster gauge. When swapped to dual swords: activates a variant of this skill called Crimson Rush. Crimson Rush costs 2240 SP, deals 4 hits of 405% flame damage to enemies in a line, and inflicts scorchrend for 21 seconds - dealing 41.6% flame damage every 2.9 seconds - with 120% chance. If this skill is used directly after Azure Raid, a variant called Double Flame will be used instead. Double Flame deals 4 hits of 584% flame damage to enemies in a line, reduces their defense by 5% for 10 seconds (does not stack), and inflicts scorchrend for 21 seconds - dealing 41.6% flame damage every 2.9 seconds - with 120% chance.</t>
  </si>
  <si>
    <t>When wielding an axe: completely fills the user's swordmaster gauge. When swapped to dual swords: activates a variant of this skill called Crimson Rush. Crimson Rush costs 2240 SP, deals 4 hits of 410% flame damage to enemies in a line, and inflicts scorchrend for 21 seconds - dealing 50% flame damage every 2.9 seconds - with 120% chance. If this skill is used directly after Azure Raid, a variant called Double Flame will be used instead. Double Flame deals 4 hits of 600% flame damage to enemies in a line, reduces their defense by 10% for 10 seconds (does not stack), and inflicts scorchrend for 21 seconds - dealing 50% flame damage every 2.9 seconds - with 120% chance.</t>
  </si>
  <si>
    <t>295</t>
  </si>
  <si>
    <t>When wielding an axe: the user assumes a counter stance for about 1.5 seconds, during which they are immune to knockback. If the user is hit by an attack while in this stance, this skill will deal 6 hits of 418% flame damage to surrounding enemies, dispel one buff from each target, restore 50% of the damage taken while using this skill as HP, and immediately ready the Charge Blade skill for use. If the user is not hit by an attack while in this skill's counter stance, it will be immediately readied for use again. Some attacks cannot be countered with this skill, and being energized will not upgrade this skill. When swapped to dual swords: activates a variant of this skill called Azure Raid. Azure Raid costs 2240 SP, deals 7 hits of 254% flame damage to surrounding enemies, and dispels one buff from each target. If this skill is used directly after Crimson Rush, a variant called Dual Demolition will be used instead. Dual Demolition deals 8 hits of 421% flame damage to surrounding enemies and dispels one buff from each target. If this skill is used as a shared skill, it will always use the Dual Demolition variant.</t>
  </si>
  <si>
    <t>When wielding an axe: the user assumes a counter stance for about 1.5 seconds, during which they are immune to knockback. If the user is hit by an attack while in this stance, this skill will deal 6 hits of 420% flame damage to surrounding enemies, dispel one buff from each target, restore 50% of the damage taken while using this skill as HP, and immediately ready the Charge Blade skill for use. If the user is not hit by an attack while in this skill's counter stance, it will be immediately readied for use again. Some attacks cannot be countered with this skill, and being energized will not upgrade this skill. When swapped to dual swords: activates a variant of this skill called Azure Raid. Azure Raid costs 2240 SP, deals 7 hits of 260% flame damage to surrounding enemies, and dispels one buff from each target. If this skill is used directly after Crimson Rush, a variant called Dual Demolition will be used instead. Dual Demolition deals 8 hits of 430% flame damage to surrounding enemies and dispels one buff from each target. If this skill is used as a shared skill, it will always use the Dual Demolition variant.</t>
  </si>
  <si>
    <t>228</t>
  </si>
  <si>
    <t>Deals 1 hit of 1015% flame damage to enemies directly ahead, and inflicts scorchrend for 21 seconds - dealing 41.6% flame damage every 2.9 seconds - with 120% chance.</t>
  </si>
  <si>
    <t>Deals 1 hit of 2000% flame damage to enemies directly ahead, dispels one buff from each target, and inflicts scorchrend for 21 seconds - dealing 50% flame damage every 2.9 seconds - with 120% chance.</t>
  </si>
  <si>
    <t>224</t>
  </si>
  <si>
    <t>Grants the user a Strength Amp (Team Amp MAX Lv. = 2), and immediately readies the Swing for the Fences skill for use. The next time the Swing for the Fences skill is used, it will deal critical damage. This critical hit will reset the user's inspiration level if the user is inspired.</t>
  </si>
  <si>
    <t>Grants the user a Team Strength Amp (Team Amp MAX Lv. = 3), and immediately readies the Swing for the Fences skill for use. The next time the Swing for the Fences skill is used, it will deal critical damage. This critical hit will reset the user's inspiration level if the user is inspired. After this amp is granted, this ability will not grant it again for 15 seconds.</t>
  </si>
  <si>
    <t>045</t>
  </si>
  <si>
    <t>Deals 2 hits of 280% flame damage to enemies directly ahead, and creates a debuff zone that lasts for 10 seconds and reduces the defense of enemies inside it by 15%.</t>
  </si>
  <si>
    <t>Deals 2 hits of 500% flame damage to enemies directly ahead, and creates a debuff zone that lasts for 15 seconds and reduces the defense of enemies inside it by 15%. In addition, inflicts burn for 21 seconds - dealing 50% flame damage every 2.9 seconds - with 120% base chance.</t>
  </si>
  <si>
    <t>066</t>
  </si>
  <si>
    <t>Increases the strength of flame-attuned adventurers in the team by 20% for 15 seconds, and activates "Dream Boost" for 15 seconds. During Dream Boost, the user's critical rate is increased by 5%.</t>
  </si>
  <si>
    <t>Increases the entire team's strength by 20% for 15 seconds, and activates "Dream Boost" for 15 seconds. During Dream Boost, the user's critical rate is increased by 15%.</t>
  </si>
  <si>
    <t>Deals 1 hit of 376% and 3-9 hits of 293% flame damage to surrounding enemies. Burning foes take 1 hit of 488.8% and 3-9 hits of 380.9% flame damage instead. Continually tapping the screen during the attack will unleash additional blows, up to a maximum of 6, and increases critical rate by 10% per additional blow (for a total of 60%) for 10 seconds.</t>
  </si>
  <si>
    <t>Deals 1 hit of 550% and 3-9 hits of 420% flame damage to surrounding enemies, dispels one buff from each target, and inflicts burn for 21 seconds - dealing 50% flame damage every 2.9 seconds - with 120% base chance. Continually tapping the screen during the attack will unleash additional blows, up to a maximum of 6, and increases critical rate by 10% per additional blow (for a total of 60%) for 10 seconds.</t>
  </si>
  <si>
    <t>Increases the entire team's defense by 25% for 15 seconds.</t>
  </si>
  <si>
    <t>Increases the entire team's strength by 15% and defense by 25% for 15 seconds.</t>
  </si>
  <si>
    <t>1.1 second(s)</t>
  </si>
  <si>
    <t>Deals 2 hits of 1078% flame damage to enemies directly ahead, and inflicts stun for 5-6 seconds with 110% base chance.</t>
  </si>
  <si>
    <t>Deals 2 hits of 1300% flame damage to enemies directly ahead, dispels one buff from each target, inflicts scorchrend for 21 seconds - dealing 50% flame damage every 2.9 seconds - with 120% base chance, and inflicts stun for 10 seconds with 120% base chance.</t>
  </si>
  <si>
    <t>Activates "Wild Child" for 20 seconds. During Wild Child, the user's critical rate is increased by 30%, their HP is restored by 3% of damage inflicted, and their defense is reduced by 40%.</t>
  </si>
  <si>
    <t>Activates "Wild Child" for 20 seconds. During Wild Child, the user's critical rate is increased by 30% and their HP is restored by 4% of damage inflicted. In addition, increases the entire team's max HP by 10% for the remainder of the quest. Once HP buffs reach the limit of 30%, an HP recovery effect is granted instead.</t>
  </si>
  <si>
    <t>Deals 2 hits of 842% flame damage to enemies directly ahead, and grants the user immunity to knockback for 15 seconds.</t>
  </si>
  <si>
    <t>Deals 2 hits of 1000% flame damage to enemies directly ahead, grants the user immunity to knockback for 15 seconds, and inflicts burn for 21 seconds - dealing 50% flame damage every 2.9 seconds - with 120% base chance.</t>
  </si>
  <si>
    <t>Deals 2 hits of 547% flame damage to enemies directly ahead, and reduces their defense by 5% for 10 seconds.</t>
  </si>
  <si>
    <t>Deals 2 hits of 1000% flame damage to enemies directly ahead and reduces their defense by 10% for 10 seconds.</t>
  </si>
  <si>
    <t>203</t>
  </si>
  <si>
    <t>Grants the user the "Fire Boost" and "Snipe" effects, deals 1 hit of 855% flame damage to enemies directly ahead, and fills the Persona gauge by 300 UTP if the attack connects. Fire Boost increases flame-attuned damage by 10% for 15 seconds and does not stack, while Snipe increases strength by 10% for 15 seconds and does not stack. If this skill is used when Carmen is active, a variant called Wildfire! will be used instead. Wildfire! deals 1 hit of 1496.2% flame damage to enemies directly ahead. Scorchrent foes take 1 hit of 2019.87% flame damage instead.</t>
  </si>
  <si>
    <t>Grants the user the "Fire Boost" and "Snipe" effects, deals 1 hit of 950% flame damage to enemies directly ahead, dispels one buff from each target, and fills the Persona gauge by 300 UTP if the attack connects. Fire Boost increases flame-attuned damage by 10% for 15 seconds and does not stack, while Snipe increases strength by 10% for 15 seconds and does not stack. If this skill is used when Carmen is active, a variant called Wildfire! will be used instead. Wildfire! deals 1 hit of 2300% flame damage to enemies directly ahead.</t>
  </si>
  <si>
    <t>Deals 3 hits of 267.1% and 3 hits of 293.9% flame damage to enemies directly ahead, inflicts scorchrend for 21 seconds - dealing 31.1% flame damage every 2.9 seconds - with 110% chance, and fills the Persona gauge by 300 UTP if the attack connects. When Carmen is active, a variant called Tarunda will be used instead. Tarunda deals 1 hit of 997.5% flame damage to enemies directly ahead, reduces their strength by 20% for 30 seconds, and dispels one buff from each target. Dispelling an enemy buff also lowers that enemy's flame resistance by 5% for 30 seconds. Neither this strength reduction nor this resistance reduction will stack. If this skill is used as a Shared Skill, deals 3 hits of 267.1% and 3 hits of 293.9% flame damage to enemies directly ahead, and inflicts scorchrend for 21 seconds - dealing 31.1% flame damage every 2.9 seconds - with 110% chance.</t>
  </si>
  <si>
    <t>Deals 3 hits of 300% and 3 hits of 350% flame damage to enemies directly ahead, inflicts scorchrend for 21 seconds - dealing 50% flame damage every 2.9 seconds - with 120% chance, and fills the Persona gauge by 300 UTP if the attack connects. When Carmen is active, a variant called Tarunda will be used instead. Tarunda deals 1 hit of 1120% flame damage to enemies directly ahead, reduces their strength by 20% for 30 seconds, lowers their scorchrend resistance by 20% for 30 seconds, and lowers their flame resistance by 5% for 30 seconds. Neither this strength reduction nor this resistance reduction will stack. If this skill is used as a Shared Skill, deals 3 hits of 300% and 3 hits of 330% flame damage to enemies directly ahead, and inflicts scorchrend for 21 seconds - dealing 50% flame damage every 2.9 seconds - with 120% chance.</t>
  </si>
  <si>
    <t>199</t>
  </si>
  <si>
    <t>Grants flame-attuned adventurers in the team the "New Year's Prayer" effect. Continually tapping the screen while charging this skill will grant New Year's Prayer up to an additional two times to each adventurer. New Year's Prayer has three progressively more powerful levels. Lv. 1 (0 taps): For 15 seconds, increases strength by 15%. Lv. 2 (1 tap): For 30 seconds, increases strength by 25%. Lv. 3 (2 taps): For 60 seconds, increases strength by 40%, and reduces wind damage taken by 15%. If New Year's Prayer is granted while already active, it will be raised one level. Conversely, it will be lowered one level when the effect's remaining time is depleted. If the effect is at level one when this time is depleted, it will instead be removed entirely.</t>
  </si>
  <si>
    <t>Grants the entire team the "New Year's Prayer" effect. Continually tapping the screen while charging this skill will grant New Year's Prayer up to an additional two times to each adventurer. New Year's Prayer has three progressively more powerful levels. Lv. 1 (0 taps): For 15 seconds, increases strength by 15%. Lv. 2 (1 tap): For 30 seconds, increases strength by 25%. Lv. 3 (2 taps): For 60 seconds, increases strength by 40%, and reduces wind damage taken by 15%. If New Year's Prayer is granted while already active, it will be raised one level. Conversely, it will be lowered one level when the effect's remaining time is depleted. If the effect is at level one when this time is depleted, it will instead be removed entirely.</t>
  </si>
  <si>
    <t>200</t>
  </si>
  <si>
    <t>Deals 1 hit of 609% flame damage to the target and nearby enemies, inflicts scorchrend for 21 seconds - dealing 31.1% flame damage every 2.9 seconds - with 40% chance, and lowers their scorchrend resistance by 20% for 30 seconds. This resistance reduction will not stack.</t>
  </si>
  <si>
    <t>Deals 1 hit of 700% flame damage to the target and nearby enemies, inflicts scorchrend for 21 seconds - dealing 50% flame damage every 2.9 seconds - with 120% chance, and lowers their scorchrend resistance by 20% for 30 seconds. This resistance reduction will not stack.</t>
  </si>
  <si>
    <t>128</t>
  </si>
  <si>
    <t>Deals 1 hit of 1315.2% flame damage to enemies directly ahead, inflicts burn for 12 seconds - dealing 97% flame damage every 3.9 seconds - with 120% chance, and dispels one buff from each target. If the Trendsetting Photographer status effect is active enemies will instead take 3 hits of 438.4% flame damage. Any allies (including Nadine herself) in the skill's area of effect will increase the hit count by 1 (but no additional damage will be dealt). Additional effects will be applied depending on how many hits the skill has dealt so far: 3 hits: Raise the user's energy level by 1 stage and deal 1 bonus hit of 164% flame damage. 4-5 hits: Raise the user's energy level by 3 stages and deal 1 bonus hit of 329% flame damage. 6+ hits: Energize the user and deal 1 bonus hit of 575% flame damage.</t>
  </si>
  <si>
    <t>Deals 1 hit of 1500% flame damage to enemies directly ahead, inflicts burn for 21 seconds - dealing 50% flame damage every 2.9 seconds - with 120% chance, and dispels one buff from each target. If the Trendsetting Photographer status effect is active enemies will instead take 3 hits of 500% flame damage. Any allies (including Nadine herself) in the skill's area of effect will increase the hit count by 1 (but no additional damage will be dealt). Additional effects will be applied depending on how many hits the skill has dealt so far: 3 hits: Raise the user's energy level by 1 stage and deal 1 bonus hit of 200% flame damage. 4-5 hits: Raise the user's energy level by 3 stages and deal 1 bonus hit of 400% flame damage. 6+ hits: Energize the user and deal 1 bonus hit of 700% flame damage.</t>
  </si>
  <si>
    <t>Applies one of the following at random to the user: Passionate Photographer: increases strength by 30% for 15 seconds. Trendsetting Photographer: Splits Snappy Selfie's initial hit into 3 hits for 15 seconds (this has no effect on the bonus hits counted based on the number of teammates in the skill's area of effect, nor the skill's bonus flame damage). This hit-increasing effect does not stack. Also increases strength by 30% for 15 seconds.</t>
  </si>
  <si>
    <t>Applies Trendsetting Photographer. Trendsetting Photographer splits Snappy Selfie's initial hit into 3 hits for 15 seconds (this has no effect on the bonus hits counted based on the number of teammates in the skill's area of effect, nor the skill's bonus flame damage). This hit-increasing effect does not stack. Also increases strength by 30% for 15 seconds. In addition, grant the user a strength amp (Team Amp MAX Lv. = 3). After this amp is granted, this ability will not grant it again for 15 seconds.</t>
  </si>
  <si>
    <t>1.65 second(s)</t>
  </si>
  <si>
    <t>Deals 3 hits of 810% flame damage to enemies directly ahead, dispels one buff from each target, increases the user's strength by 20% for 10 seconds, and raises the dragon gauge by 50 DP if the attack connects.</t>
  </si>
  <si>
    <t>Deals 3 hits of 850% flame damage to enemies directly ahead, dispels one buff from each target, increases the user's strength by 20% for 10 seconds, and raises the dragon gauge by 50 DP if the attack connects.</t>
  </si>
  <si>
    <t>1.75 second(s)</t>
  </si>
  <si>
    <t>Deals 4 hits of 540% flame damage to enemies in a line and inflicts burn for 12 seconds - dealing 97% flame damage every 3.9 seconds - with 120% chance. If the user has already shapeshifted at least once and has the "Draconic Power" effect, it will deal 4 hits of 665% flame damage and inflicts burn for 12 seconds - dealing 97% flame damage every 3.9 seconds - with 120% chance.</t>
  </si>
  <si>
    <t>Deals 4 hits of 560% flame damage to enemies in a line and inflicts burn for 21 seconds - dealing 50% flame damage every 3.9 seconds - with 120% chance. If the user has already shapeshifted at least once and has the "Draconic Power" effect, it will deal 4 hits of 700% flame damage and inflicts burn for 21 seconds - dealing 50% flame damage every 3.9 seconds - with 120% chance.</t>
  </si>
  <si>
    <t>Increases the strength of flame-attuned adventurers in the team by 25% for 15 seconds.</t>
  </si>
  <si>
    <t>Increases the strength of all adventurers in the team by 25% for 15 seconds, and grants all teammates immunity to knockback for 15 seconds.</t>
  </si>
  <si>
    <t>Increases the defense of flame-attuned adventurers in the team by 15% for 15 seconds, and grants them a one-use shield that nullifies damage less than 25% of the user's maximum HP. This does not stack with any other shields.</t>
  </si>
  <si>
    <t>Increases the defense of all adventurers in the team by 15% for 15 seconds, grants them a one-use shield that nullifies damage less than 40% of the user's maximum HP, and increases the entire team's max HP by 10% for the remainder of the quest. This does not stack with any other shields. This damage increase will not stack. Once HP buffs reach the limit of 30%, an HP recovery effect is granted instead. In addition, grants the user a team defense amp (Team Amp MAX Lv. = 1).</t>
  </si>
  <si>
    <t>012</t>
  </si>
  <si>
    <t>Deals 3 hits of 365% flame damage to enemies directly ahead. Debuffed foes take 3 hits of 438% flame damage instead.</t>
  </si>
  <si>
    <t xml:space="preserve">Deals 3 hits of 700% flame damage to enemies directly ahead and inflicts bleeding for 30 seconds - dealing 150% flame damage every 4.9 seconds - with 100% base chance </t>
  </si>
  <si>
    <t>053</t>
  </si>
  <si>
    <t>Reduces the strength of the target and nearby enemies by 5% with 70% base chance, and their defense by 10%, for 20 seconds with 70% base chance (STR DOWN and DEF DOWN rolled separately).</t>
  </si>
  <si>
    <t>Reduces the strength of the target and nearby enemies by 10% and their defense by 10%, for 20 seconds. Also, dispels one buff from each target.</t>
  </si>
  <si>
    <t>Deals 3 hits of 411% flame damage to enemies directly ahead and inflicts burn for 12 seconds - dealing 80.3% flame damage every 3.9 seconds - with 100% base chance. Burning foes take 3 hits of 616.5% flame damage instead.</t>
  </si>
  <si>
    <t>Deals 3 hits of 800% flame damage to enemies directly ahead and inflicts burn for 21 seconds - dealing 50% flame damage every 2.9 seconds - with 120% base chance.</t>
  </si>
  <si>
    <t>Deals 2 hits of 616.5% flame damage to surrounding enemies and inflicts burn for 12 seconds - dealing 80.3% flame damage every 3.9 seconds - with 100% base chance. Burning foes take 2 hits of 924.75% flame damage instead.</t>
  </si>
  <si>
    <t>Deals 2 hits of 1100% flame damage to surrounding enemies, dispels one buff from each target, and inflicts burn for 21 seconds - dealing 50% flame damage every 2.9 seconds - with 120% base chance. Also, lowers their burn resistance by 20% for 30 seconds. This resistance reduction will not stack.</t>
  </si>
  <si>
    <t>248</t>
  </si>
  <si>
    <t>Deals 1 hit of 1626% flame damage to enemies in a line, and lowers their scorchrend resistance by 20% for 30 seconds. If this skill is used directly after Burning Bonds, the following variant of this skill will be used instead. This variant deals 1 hit of 2355% flame damage to enemies in a line, lowers their scorchrend resistance by 20% for 30 seconds, and removes Scorchbloom from enemies hit by this attack. The removal of Scorchbloom will not count as a buff having been dispelled. If this skill is used as a shared skill, the variant will always be used.</t>
  </si>
  <si>
    <t>Deals 1 hit of 2500% flame damage to enemies in a line, lowers their scorchrend resistance by 20% for 30 seconds, and removes Scorchbloom from enemies hit by this attack. The removal of Scorchbloom will not count as a buff having been dispelled. This resistance reduction will not stack.</t>
  </si>
  <si>
    <t>250</t>
  </si>
  <si>
    <t>2.5 second(s)</t>
  </si>
  <si>
    <t>Grants the user a Strength Amp (Team Amp MAX Lv. = 3), deals 1 hit of 2065% flame damage to enemies in a line, and applies "Scorchbloom" to them for 30 seconds. Scorchbloom does not stack, and cannot be reapplied to enemies still affected by it. When Scorchbloom is lost, the affected enemy will take 1 hit of 1432% flame damage and be inflicted with scorchrend for 21 seconds - dealing 41.6% flame damage every 2.9 seconds - with 120% chance. Scorchbloom is lost when its remaining time is depleted or when removed with the Tropical Snipe skill, but it cannot be removed by attacks or effects that dispel buffs.</t>
  </si>
  <si>
    <t>Grants the user a Strength Amp (Team Amp MAX Lv. = 3), deals 1 hit of 2500% flame damage to enemies in a line, dispels one buff from each target, and applies "Scorchbloom" to them for 30 seconds. Scorchbloom does not stack, and cannot be reapplied to enemies still affected by it. When Scorchbloom is lost, the affected enemy will take 1 hit of 1700% flame damage and be inflicted with scorchrend for 21 seconds - dealing 50% flame damage every 2.9 seconds - with 120% chance. Scorchbloom is lost when its remaining time is depleted or when removed with the Tropical Snipe skill, but it cannot be removed by attacks or effects that dispel buffs.</t>
  </si>
  <si>
    <t>073</t>
  </si>
  <si>
    <t>Deals 7 hits of 150% flame damage to the target. During "Obsession", Love's Liberation instead deals 7 hits of 217.6% flame damage to the target and heals you for 5% of the damage done. This recovery caps at 7% of the user's Max HP per hit.</t>
  </si>
  <si>
    <t>Deals 7 hits of 200% flame damage to the target, and inflicts bleeding for 30 seconds - dealing 150% flame damage every 4.9 seconds - with 100% base chance. During "Obsession", Love's Liberation instead deals 7 hits of 250% flame damage to the target, dispels one buff from each target, and heals you for 5% of the damage done. This recovery caps at 10% of the user's Max HP per hit.</t>
  </si>
  <si>
    <t>Activates "Obsession" for 60 seconds. During Obsession, the user's strength is increased by 30%, and they will take damage equal to 3% of their maximum HP every time they attack or use a skill. Furthermore, increases the damage dealt by Love's Liberation and causes it to restore the user's HP by 5% of the damage inflicted, up to a maximum of 49% of the user's maximum HP. The effects of Obsession will be removed upon shapeshifting.</t>
  </si>
  <si>
    <t>Activates "Obsession" for 60 seconds. During Obsession, the user's strength is increased by 30%, and they will take damage equal to 2% of their maximum HP every time they attack or use a skill. Furthermore, increases the damage dealt by Love's Liberation and causes it to restore the user's HP by 5% of the damage inflicted. The effects of Obsession will be removed upon shapeshifting.</t>
  </si>
  <si>
    <t>014</t>
  </si>
  <si>
    <t>Deals 1 shot of 1800% flame damage to enemies directly ahead, inflicts burn for 12 seconds - dealing 97% flame damage every 2.9 seconds - with 120% chance, dispels one buff from each target, and fires extra shots equal to the number of buffs the user has with 105% flame damage each, for a maximum of 7 additional shots.</t>
  </si>
  <si>
    <t>Deals 1 shot of 2000% flame damage to enemies directly ahead, inflicts burn for 21 seconds - dealing 50% flame damage every 2.9 seconds - with 120% chance, dispels one buff from each target, and fires extra shots equal to the number of buffs the user has with 110% flame damage each, for a maximum of 7 additional shots.</t>
  </si>
  <si>
    <t>Increases the entire team's strength by 20% for 15 seconds, gradually recovers their HP with 10% Recovery Potency for 15 seconds, and fills the skill gauge for Brilliant Bolt by 100%. If used again, the skill will increase the entire team's defense and strength by 20% for 15 seconds, gradually recover their HP with 10% Recovery Potency for 15 seconds, and fill the skill gauge for Brilliant Bolt by 100%, after which the skill will revert to its initial effect. This skill will not reset the user's energy level.</t>
  </si>
  <si>
    <t>Increases the entire team's strength by 20% and defense by 20% for 15 seconds, gradually recovers their HP with 15% Recovery Potency for 15 seconds, and fills the skill gauge for Brilliant Bolt by 100%. This skill will not reset the user's energy level.</t>
  </si>
  <si>
    <t>016</t>
  </si>
  <si>
    <t>Deals 8 hits of 117% flame damage to the target and nearby enemies, and inflicts burn for 12 seconds - dealing 88.3% flame damage every 3.9 seconds - with 110% base chance. Burning foes take 8 hits of 175.5% flame damage instead.</t>
  </si>
  <si>
    <t>Deals 8 hits of 250% flame damage to the target and nearby enemies, dispels one buff from each target, and inflicts burn for 21 seconds - dealing 50% flame damage every 2.9 seconds - with 120% base chance.</t>
  </si>
  <si>
    <t>028</t>
  </si>
  <si>
    <t>1.6 second(s)</t>
  </si>
  <si>
    <t>Deals 1 hit of 1432% flame damage to enemies in a line, and reduces their defense by 10% for 10 seconds. This defense reduction effect will not stack.</t>
  </si>
  <si>
    <t>Deals 1 hit of 2000% flame damage to enemies in a line, and reduces their defense by 10% for 10 seconds. This defense reduction effect will not stack.</t>
  </si>
  <si>
    <t>017</t>
  </si>
  <si>
    <t>Deals 3 hits of 432% flame damage to enemies in a line, and inflicts burn for 12 seconds - dealing 80.3% flame damage every 3.9 seconds - with 100% base chance. Burning foes take 3 hits of 691.2% flame damage instead.</t>
  </si>
  <si>
    <t>Deals 3 hits of 800% flame damage to enemies in a line, dispels one buff from each target, and inflicts burn for 21 seconds - dealing 50% flame damage every 2.9 seconds - with 120% base chance.</t>
  </si>
  <si>
    <t>Deals 1 hit of 1051.5% flame damage to enemies in a line, and inflicts burn for 12 seconds - dealing 80.3% flame damage every 3.9 seconds - with 100% base chance. Burning foes take 1 hit of 1682.4% flame damage instead.</t>
  </si>
  <si>
    <t>Deals 1 hit of 2000% flame damage to enemies in a line inflicts burn for 21 seconds - dealing 50% flame damage every 2.9 seconds - with 120% base chance, and lowers their burn resistance by 20% for 30 seconds. This resistance reduction will not stack.</t>
  </si>
  <si>
    <t>Deals 1 hit of 1600% flame damage to enemies directly ahead and creates a debuff zone that adaptively suppresses damage dealt by enemies inside it by 5%.</t>
  </si>
  <si>
    <t xml:space="preserve">Deals 1 hit of 2000% flame damage to enemies directly ahead and creates a debuff zone that reduces the strength of enemies inside it by 15%. </t>
  </si>
  <si>
    <t>020</t>
  </si>
  <si>
    <t>Deals 4 hits of 400% flame damage to the target and nearby enemies, creates a debuff zone for 10 seconds that applies "Captive Catch" to enemies inside it, and grants the user a defense amp (Team Amp MAX Lv. = 2). Captive Catch reduces strength and defense by 10%.</t>
  </si>
  <si>
    <t>Deals 4 hits of 500% flame damage to the target and nearby enemies, dispels one buff from each target, creates a debuff zone for 10 seconds that applies "Captive Catch" to enemies inside it, and grants the user a defense amp (Team Amp MAX Lv. = 3). Captive Catch reduces strength by 15% and defense by 10%.</t>
  </si>
  <si>
    <t>193</t>
  </si>
  <si>
    <t>If the user does not have an active flame shikigami: summons a flame shikigami for 40 seconds. If the user has an active flame shikigami: grants the user a one-use shield that nullifies damage up to 20% of the user's maximum HP. This shield does not stack with any other shields of the same type. The flame shikigami will automatically attack foes every 1.01 seconds dealing 162% flame damage and restoring 100 SP per hit, but each attack will deplete the user's shikigami gauge by 6 CP. Once the flame shikigami's attacks hit enemies 15 times, it will level up to level two. Upon leveling up, its 40-second timer will reset, and its attacks will deal 486% flame damage, restore 200 SP and deplete 4 CP instead. In addition, its attacks will reduce enemies' defense by 10% for 10 seconds with 35% chance. This defense reduction will not stack. The shikigami's automatic damage will not be treated as skill damage, dragon damage, standard attack damage, or force strike damage. The shikigami can score critical hits.</t>
  </si>
  <si>
    <t>If the user does not have an active flame shikigami: summons a flame shikigami for 40 seconds. If the user has an active flame shikigami: grants the user a one-use shield that nullifies damage up to 40% of the user's maximum HP. This shield does not stack with any other shields of the same type. The flame shikigami will automatically attack foes every 1.01 seconds dealing 200% flame damage and restoring 100 SP per hit, but each attack will deplete the user's shikigami gauge by 5 CP. Once the flame shikigami's attacks hit enemies 15 times, it will level up to level two. Upon leveling up, its 40-second timer will reset, and its attacks will deal 600% flame damage, restore 200 SP and deplete 4 CP instead. In addition, its attacks will reduce enemies' defense by 10% for 10 seconds. This defense reduction will not stack. The shikigami's automatic damage will not be treated as skill damage, dragon damage, standard attack damage, or force strike damage. The shikigami can score critical hits.</t>
  </si>
  <si>
    <t>194</t>
  </si>
  <si>
    <t>3.7 second(s)</t>
  </si>
  <si>
    <t>This skill can only be used while the user has an active flame shikigami and consumes the user's flame shikigami. Deals 1 hit of 1500% flame damage to enemies directly ahead, reduces enemies' defense by 10% for 20 seconds, and inflicts scorchrend - dealing 31.1% flame damage every 2.9 seconds for 21 seconds - with 110% chance. This defense reduction will not stack. If the user's flame shikigami is level two, this skill will deal 1 hit of 2500% flame damage instead, and also dispel one buff from each target. If this skill is used as a Shared Skill, deals 1 hit of 2500% flame damage to enemies directly ahead, reduces enemies' defense by 10% for 20 seconds, inflicts scorchrend - dealing 31.1% flame damage every 2.9 seconds for 21 seconds - with 110% chance, and dispels one buff from each target. This defense reduction will not stack.</t>
  </si>
  <si>
    <t>This skill can only be used while the user has an active flame shikigami and consumes the user's flame shikigami. Deals 1 hit of 2000% flame damage to enemies directly ahead, reduces enemies' defense by 10% for 20 seconds, and inflicts scorchrend - dealing 50% flame damage every 2.9 seconds for 21 seconds - with 120% chance. This defense reduction will not stack. If the user's flame shikigami is level two, this skill will deal 1 hit of 3000% flame damage instead, and also dispel one buff from each target. If this skill is used as a Shared Skill, deals 1 hit of 3000% flame damage to enemies directly ahead, reduces enemies' defense by 10% for 20 seconds, inflicts scorchrend - dealing 31.1% flame damage every 2.9 seconds for 21 seconds - with 120% chance, and dispels one buff from each target. This defense reduction will not stack.</t>
  </si>
  <si>
    <t>154</t>
  </si>
  <si>
    <t>Deals 1 initial hit of 132% flame damage to enemies directly ahead, draws them together, and then continues hitting every 0.5 seconds for 8 seconds. Also increases the user's energy level by 3 stages.</t>
  </si>
  <si>
    <t>Deals 1 initial hit of 200% flame damage to enemies directly ahead, draws them together, dispels one buff from each target, and then continues hitting every 0.5 seconds for 8 seconds. Also energizes the user's energy level by 3 stages.</t>
  </si>
  <si>
    <t>155</t>
  </si>
  <si>
    <t>Begins casting for 5.76s, after which this skill will increase user's strength by 15% for 15 seconds and deal 1 hit of 3078% flame damage to the target and nearby enemies. Movement is possible while casting at 2.5% normal speed, but you will take damage as normal.</t>
  </si>
  <si>
    <t>Begins casting for 5.76s, after which this skill will increase user's strength by 15% for 15 seconds, deal 1 hit of 5000% flame damage to the target and nearby enemies, and inflicts scorchrend for 21 seconds - dealing 50% flame damage every 2.9 seconds - with 120% base chance. Movement is possible while casting at 2.5% normal speed, but you will take damage as normal. In addition, grants the user a one-use shield that nullifies damage less than 40% of the user's maximum HP.</t>
  </si>
  <si>
    <t>070</t>
  </si>
  <si>
    <t>1 second(s)</t>
  </si>
  <si>
    <t>Equips Mega Man with the special "Metal Blade" weapon, allowing him to shoot blades by tapping the screen. Metal Blade deals 1 hit of 100% flame damage to enemies in a line, and inflicts bleeding for 30 seconds - dealing 132% flame damage every 4.9 seconds - with 50% base chance. While this weapon is equipped, Mega Man's attacks will consume the weapon gauge until it is exhausted, at which point the weapon will be unequipped. While this skill is active, tapping the icon again will switch Mega Man's weapon back to the Mega Buster. This skill's damage is treated as standard attack damage. This skill is not affected by Skill Prep or Skill Haste. At the start of a quest, this skill will have a full weapon gauge.</t>
  </si>
  <si>
    <t>Equips Mega Man with the special "Metal Blade" weapon, allowing him to shoot blades by tapping the screen. Metal Blade deals 1 hit of 150% flame damage to enemies in a line, and inflicts bleeding for 30 seconds - dealing 200% flame damage every 4.9 seconds - with 100% base chance. While this weapon is equipped, Mega Man's attacks will consume the weapon gauge until it is exhausted, at which point the weapon will be unequipped. While this skill is active, tapping the icon again will switch Mega Man's weapon back to the Mega Buster. This skill's damage is treated as standard attack damage. This skill is not affected by Skill Prep or Skill Haste. At the start of a quest, this skill will have a full weapon gauge.</t>
  </si>
  <si>
    <t>071</t>
  </si>
  <si>
    <t>Equips Mega Man with the special "Leaf Shield" weapon, allowing him to create a Leaf Shield by tapping the screen once. Movement is possible while Leaf Shield is active. Leaf Shield generates 4 leaf bullets in a circle around Mega Man that rotate clockwise for 3 seconds and damage any enemy that comes into contact with them for 200% flame damage. After 3 seconds have passed, or if the screen is tapped to fire early, the bullets will be shot forward and exist for 1 additional second. Each bullet can damage the same enemy once every 0.5 seconds for 8 possible hits per bullet over the 4 second duration (up to 32 hits total, if Leaf Shield is not fired early). While this weapon is equipped, Mega Man's attacks will consume the weapon gauge until it is exhausted, at which point the weapon will be unequipped. While this skill is active, tapping the icon again will switch Mega Man's weapon back to the Mega Buster. (Switching back to the Mega Buster while leaf bullets are still around Mega Man will cause those bullets to disappear.) This skill's damage is treated as standard attack damage. This skill is not affected by Skill Prep or Skill Haste. At the start of a quest, this skill will have a full weapon gauge.</t>
  </si>
  <si>
    <t>Equips Mega Man with the special "Leaf Shield" weapon, allowing him to create a Leaf Shield by tapping the screen once. Movement is possible while Leaf Shield is active. Leaf Shield generates 4 leaf bullets in a circle around Mega Man that rotate clockwise for 3 seconds and damage any enemy that comes into contact with them for 250% flame damage. After 3 seconds have passed, or if the screen is tapped to fire early, the bullets will be shot forward and exist for 1 additional second. Each bullet can damage the same enemy once every 0.5 seconds for 8 possible hits per bullet over the 4 second duration (up to 32 hits total, if Leaf Shield is not fired early). While this weapon is equipped, Mega Man's attacks will consume the weapon gauge until it is exhausted, at which point the weapon will be unequipped. While this skill is active, tapping the icon again will switch Mega Man's weapon back to the Mega Buster. (Switching back to the Mega Buster while leaf bullets are still around Mega Man will cause those bullets to disappear.) This skill's damage is treated as standard attack damage. This skill is not affected by Skill Prep or Skill Haste. At the start of a quest, this skill will have a full weapon gauge.</t>
  </si>
  <si>
    <t>Deals 12 hits of 128% flame damage to enemies directly ahead, and reduces their defense by 5% for 10 seconds. This defense reduction effect will not stack.</t>
  </si>
  <si>
    <t>Deals 12 hits of 160% flame damage to enemies directly ahead, reduces their defense by 10% for 10 seconds, and dispels one buff from each target. This defense reduction effect will not stack.</t>
  </si>
  <si>
    <t>018</t>
  </si>
  <si>
    <t>Deals 2 hits of 1030.4% flame damage to surrounding enemies.</t>
  </si>
  <si>
    <t xml:space="preserve">Deals 2 hits of 1300% flame damage to surrounding enemies, inflicts scorchrend for 21 seconds - dealing 50% flame damage every 2.9 seconds - with 120% base chance, and lowers their scorchrend resistance by 20% for 30 seconds. This resistance reduction will not stack. In addition, grant the user a strength amp (Team Amp MAX Lv. = 3). </t>
  </si>
  <si>
    <t>Applies one of the following at random to the entire team: Increases strength by 25% for 15 seconds. Increases defense by 25% for 15 seconds. Increases critical rate by 25% for 10 seconds. Increases max HP by 15% for the remainder of the quest. Once HP buffs reach the limit of 30%, an HP recovery effect is granted instead.</t>
  </si>
  <si>
    <t>Increases the entire team's strength, defense, and critical rate by 15% for 15 seconds. Also, increases max HP by 10% for the remainder of the quest. Once HP buffs reach the limit of 30%, an HP recovery effect is granted instead.</t>
  </si>
  <si>
    <t>Deals 2 hits of 1152% flame damage to the target and nearby enemies.</t>
  </si>
  <si>
    <t>Deals 2 hits of 1300% flame damage to the target and nearby enemies, dispels one buff from each target, and inflicts burn for 21 seconds - dealing 50% flame damage every 2.9 seconds - with 120% base chance.</t>
  </si>
  <si>
    <t>Deals 1 hit of 1164% flame damage to enemies in a line, and inflicts burn for 12 seconds - dealing 80.3% flame damage every 3.9 seconds - with 100% base chance. Burning foes take 1 hit of 1513.2% flame damage instead.</t>
  </si>
  <si>
    <t>Deals 1 hit of 2000% flame damage to enemies in a line, and inflicts burn for 21 seconds - dealing 50% flame damage every 2.9 seconds - with 120% base chance.</t>
  </si>
  <si>
    <t>Deals 1 hit of 1164% flame damage to the target and nearby enemies, and inflicts burn for 12 seconds - dealing 80.3% flame damage every 3.9 seconds - with 100% base chance. Burning foes take 1 hit of 1513.2% flame damage instead.</t>
  </si>
  <si>
    <t>Deals 1 hit of 2000% flame damage to the target and nearby enemies, dispels one buff from each target, inflicts burn for 21 seconds - dealing 50% flame damage every 2.9 seconds - with 120% base chance, and lowers their burn resistance by 20% for 30 seconds. This resistance reduction will not stack.</t>
  </si>
  <si>
    <t>303</t>
  </si>
  <si>
    <t>Deals 14 hits of 81% flame damage to the target and nearby enemies, fills the dragon gauge by 40 DP if the attack connects, removes all afflictions from the entire team, and swaps the user from Ayaha to Otoha or vice versa. If this skill is used directly after Onigokko or Kagome Kagome, it will also immediately ready Onigokko &amp; Kagome Kagome for use.</t>
  </si>
  <si>
    <t>Deals 14 hits of 85% flame damage to the target and nearby enemies, fills the dragon gauge by 40 DP if the attack connects, removes all afflictions from the entire team, and swaps the user from Ayaha to Otoha or vice versa. If this skill is used directly after Onigokko or Kagome Kagome, it will also immediately ready Onigokko &amp; Kagome Kagome for use.</t>
  </si>
  <si>
    <t>305</t>
  </si>
  <si>
    <t>Uses either Onigokko or Kagome Kagome depending on whether Ayaha or Otoha is on the field. Onigokko (Ayaha) deals 1 hit of 1395% flame damage to the target and nearby enemies, inflicts stun for 5-6 seconds with 100% chance, restores HP to all teammates with 60% Recovery Potency, and grants them the "Blue Hagoromo" effect. Blue Hagoromo lasts for 30 seconds and stacks up to 3 times, increases the user's wind resistance by 4%, and gradually recovers the user's HP with 18% Recovery Potency every 2.9 seconds. Kagome Kagome (Otoha) deals 1 hit of 1048% flame damage to multiple targets and enemies near those targets, inflicts burn for 12 seconds - dealing 72.7% flame damage every 3.9 seconds - with 110% chance and scorchrend for 21 seconds - dealing 31.1% flame damage every 2.9 seconds - with 110% chance, restores HP to all teammates with 60% Recovery Potency, and grants them overdamage based off 40% of the user's strength and the "Red Hagoromo" effect. Red Hagoromo lasts for 30 seconds and stacks up to 3 times, and increases the user's affliction success rate by 50%. If this skill is used as a Shared Skill, it will always use the Onigokko (Ayaha) version.</t>
  </si>
  <si>
    <t>Uses either Onigokko or Kagome Kagome depending on whether Ayaha or Otoha is on the field. Onigokko (Ayaha) deals 1 hit of 1400% flame damage to the target and nearby enemies, inflicts stun for 6-7 seconds with 120% chance, restores HP to all teammates with 60% Recovery Potency, and grants them the "Blue Hagoromo" effect. Blue Hagoromo lasts for 30 seconds and stacks up to 3 times, increases the user's wind resistance by 5%, and gradually recovers the user's HP with 20% Recovery Potency every 2.9 seconds. Kagome Kagome (Otoha) deals 1 hit of 1050% flame damage to multiple targets and enemies near those targets, inflicts burn for 21 seconds - dealing 50% flame damage every 2.9 seconds - with 120% chance and scorchrend for 21 seconds - dealing 50% flame damage every 2.9 seconds - with 120% chance, restores HP to all teammates with 60% Recovery Potency, and grants them overdamage based off 50% of the user's strength and the "Red Hagoromo" effect. Red Hagoromo lasts for 30 seconds and stacks up to 3 times, and increases the user's affliction success rate by 50%. If this skill is used as a Shared Skill, it will always use the Onigokko (Ayaha) version.</t>
  </si>
  <si>
    <t>195</t>
  </si>
  <si>
    <t>Restores HP to all teammates with 87% Recovery Potency, and grants them the "Shikigami Enchantment" effect for 30 seconds. Shikigami Enchantment grants overdamage based on 30% of the user's strength.</t>
  </si>
  <si>
    <t>Restores HP to all teammates with 100% Recovery Potency, and grants them the "Shikigami Enchantment" effect for 30 seconds. Shikigami Enchantment grants overdamage based on 50% of the user's strength.</t>
  </si>
  <si>
    <t>029</t>
  </si>
  <si>
    <t>Restores HP to the team member most in need with 252% Recovery Potency.</t>
  </si>
  <si>
    <t>Restores HP to all allies with 60% Recovery Potency, continues healing over the next 15 seconds with 35% Recovery Potency every 2.9 seconds, and grants the user a defense amp (Team Amp MAX Lv. = 3). After this amp is granted, this skill will not grant it again for 15 seconds.</t>
  </si>
  <si>
    <t>148</t>
  </si>
  <si>
    <t>Restores HP to all teammates with 100% Recovery Potency, and grants all teammates a one-use shield that nullifies damage less than 20% of the user's maximum HP, and the "Fluorescent Fish" effect for 30 seconds. Fluorescent Fish grants overdamage based on 50% of the user's strength.</t>
  </si>
  <si>
    <t>Restores HP to all teammates with 100% Recovery Potency, and grants all teammates a one-use shield that nullifies damage less than 40% of the user's maximum HP, and the "Fluorescent Fish" effect for 30 seconds. Fluorescent Fish grants overdamage based on 50% of the user's strength.</t>
  </si>
  <si>
    <t>Gradually recovers the entire team's HP with 35% Recovery Potency every 2.9 seconds for 20 seconds and grants the user a strength amp (Team Amp MAX Lv. = 2). After this amp is granted, this skill will not grant it again for 30 seconds.</t>
  </si>
  <si>
    <t>Gradually recovers the entire team's HP with 35% Recovery Potency every 2.9 seconds for 20 seconds and grants the user a strength amp (Team Amp MAX Lv. = 3). After this amp is granted, this skill will not grant it again for 15 seconds.</t>
  </si>
  <si>
    <t>929</t>
  </si>
  <si>
    <t>Restores HP to all allies with 52% Recovery Potency, increases the entire team's energy levels by 2 stages, continues healing over the next 15 seconds with 35% Recovery Potency every 2.9 seconds, and increases entire team's strength by 8% for 60 seconds. This strength increase will not stack.</t>
  </si>
  <si>
    <t>Restores HP to all allies with 60% Recovery Potency, increases the entire team's energy levels by 2 stages, continues healing over the next 15 seconds with 35% Recovery Potency every 2.9 seconds, and increases the entire team's strength by 15% for 60 seconds. This strength increase will not stack.</t>
  </si>
  <si>
    <t>933</t>
  </si>
  <si>
    <t>Grants all teammates a one-use shield that nullifies damage less than 40% of the user's maximum HP, and increases their energy levels by 3 stages. This does not stack with any other shields of the same type.</t>
  </si>
  <si>
    <t>Restores HP to all allies with 60% Recovery Potency, grants all teammates a one-use shield that nullifies damage less than 40% of the user's maximum HP, and increases their energy levels by 3 stages. This does not stack with any other shields of the same type. In addition, grants the user a strength amp (Team Amp MAX Lv. = 3). After this amp is granted, this skill will not grant it again for 15 seconds.</t>
  </si>
  <si>
    <t>Restores HP to all allies with 44% Recovery Potency, continues healing over the next 15 seconds with 35% Recovery Potency every 2.9 seconds, and increases the entire team's defense by 10% for 5 seconds. It will also increase the entire team's strength by 8% for 60 seconds. This strength increase will not stack.</t>
  </si>
  <si>
    <t>Restores HP to all allies with 60% Recovery Potency, continues healing over the next 15 seconds with 35% Recovery Potency every 2.9 seconds, and increases the entire team's defense by 10% for 10 seconds. It will also increase the entire team's strength by 15% for 60 seconds. This strength increase will not stack.</t>
  </si>
  <si>
    <t>Restores HP to all allies with 90% Recovery Potency, and increases the entire team's max HP by 10% for the remainder of the quest. Once HP buffs reach the limit of 30%, an HP recovery effect is granted instead.</t>
  </si>
  <si>
    <t>Restores HP to all allies with 100% Recovery Potency, and increases the entire team's max HP by 10% for the remainder of the quest. Once HP buffs reach the limit of 30%, an HP recovery effect is granted instead.</t>
  </si>
  <si>
    <t>Restores HP to all allies with 44% Recovery Potency, removes stun, then continues healing for 15 seconds with 35% Recovery Potency every 2.9 seconds. It will also increase the entire team's strength by 15% for 60 seconds. This strength increase will not stack.</t>
  </si>
  <si>
    <t>Restores HP to all allies with 60% Recovery Potency, removes stun, then continues healing for 15 seconds with 35% Recovery Potency every 2.9 seconds. It will also increase the entire team's strength by 15% for 60 seconds. This strength increase will not stack.</t>
  </si>
  <si>
    <t>Restores HP to the team member most in need with 250% Recovery Potency.</t>
  </si>
  <si>
    <t>Grants all teammates a buff that restores their HP by 5% of damage inflicted for 30 seconds, and grants the user a strength amp (Team Amp MAX Lv. = 3). After this amp is granted, this skill will not grant it again for 15 seconds.</t>
  </si>
  <si>
    <t>Restores HP to all allies with 130% Recovery Potency, and increases the entire team's strength by 15% for 60 seconds. This strength increase will not stack.</t>
  </si>
  <si>
    <t>Restores HP to all allies with 60% Recovery Potency, removes sleep, gradually recovers their HP for 20 seconds with 35% Recovery Potency every 2.9 seconds, and increases the entire team's strength by 15% for 60 seconds. This strength increase will not stack.</t>
  </si>
  <si>
    <t>Deals 1 hit of 1268% flame damage to surrounding enemies and inflicts burn for 12 seconds - dealing 80.3% flame damage every 3.9 seconds - with 100% base chance.</t>
  </si>
  <si>
    <t>Deals 1 hit of 2000% flame damage to surrounding enemies and inflicts burn for 21 seconds - dealing 50% flame damage every 2.9 seconds - with 120% base chance, and lowers their burn resistance by 20% for 30 seconds. This resistance reduction will not stack. If the attack connects, and restores all teammates' HP by 10% of damage inflicted. This recovery caps at 30% of their maximum HP. In addition, grant the user a strength amp (Team Amp MAX Lv. = 3). After this amp is granted, this ability will not grant it again for 15 seconds</t>
  </si>
  <si>
    <t>302</t>
  </si>
  <si>
    <t>Consumes the entire alchemy gauge and all alchemic cartridges and deals 1 hit of 180% and 9 hits of 90% flame damage to enemies directly ahead. Additional damage will be dealt and its area of effect increased based on the number of cartridges consumed. Changing direction is possible during the attack. 1 or Fewer Cartridges: 1 hit of 700% flame damage. 2 Cartridges: 1 hit of 1200% flame damage. 3 Cartridges: 1 hit of 1900% flame damage. If this skill is used as a shared skill, the 3 Cartridge consumed variant will always be used.</t>
  </si>
  <si>
    <t>Consumes the entire alchemy gauge and all alchemic cartridges, deals 1 hit of 200% and 9 hits of 100% flame damage to enemies directly ahead, and dispels one buff from each target. Additional damage will be dealt and its area of effect increased based on the number of cartridges consumed. Changing direction is possible during the attack. 1 or Fewer Cartridges: 1 hit of 800% flame damage. 2 Cartridges: 1 hit of 1500% flame damage. 3 Cartridges: 1 hit of 2500% flame damage. If this skill is used as a shared skill, the 3 Cartridge consumed variant will always be used.</t>
  </si>
  <si>
    <t>Completely fills the alchemy gauge and grants the entire team a team defense amp (MAX Lv. = 3).</t>
  </si>
  <si>
    <t>216</t>
  </si>
  <si>
    <t>Deals 1 hit of 2709% flame damage to enemies in a line, and inflicts scorchrend for 21 seconds - dealing 41.6% flame damage every 2.9 seconds - with 120% chance. During Sigil Released, this skill instead deals 2 hits of 1507% flame damage and also inflicts the "Uriel's Wrath" debuff. Uriel's Wrath has three progressively more powerful levels. Lv. 1: For 15 seconds, reduces strength by 15%. Lv. 2: For 15 seconds, reduces strength by 20%. Lv. 3: For 10 seconds, reduces strength by 30% and scorchrend resistance by 25%. If Uriel's Wrath is inflicted while already active, it will be raised one level. Conversely, it will be lowered one level when the effect's remaining time is depleted. If the effect is at level one when this time is depleted, it will instead be removed entirely. If this skill is used as a Shared Skill, it will always use the Sigil Released variant.</t>
  </si>
  <si>
    <t>Deals 1 hit of 3000% flame damage to enemies in a line, and inflicts scorchrend for 21 seconds - dealing 50% flame damage every 2.9 seconds - with 120% chance. During Sigil Released, this skill instead deals 2 hits of 1700% flame damage and also inflicts the "Uriel's Wrath" debuff. Uriel's Wrath reduces strength by 25% and scorchrend resistance by 25% for 15 seconds. If Uriel's Wrath is inflicted while already active, it will stack up to three times. If this skill is used as a Shared Skill, it will always use the Sigil Released variant.</t>
  </si>
  <si>
    <t>Grants the user the "Uriel's Blessing" effect. During Uriel's Blessing, the user is granted 3 charges of Reflexive Evasion. If the user is hit with an attack that can be avoided by flicking the screen or damage immunity provided by skills, the damage will be nullified. This effect will not occur if the user is hit by an attack that cannot be avoided by flicking the screen or with the damage immunity avoided by skills. This effect does not stack and if Uriel's Blessing is granted while already active, the number of times that this damage can be nullified will be reset to 3.</t>
  </si>
  <si>
    <t>158</t>
  </si>
  <si>
    <t>Deals 18 hits of 100% flame damage to enemies directly ahead, and inflicts scorchrend for 21 seconds - dealing 41.6% flame damage every 2.9 seconds - with 120% chance.</t>
  </si>
  <si>
    <t>Deals 18 hits of 110% flame damage to enemies directly ahead, and inflicts scorchrend for 21 seconds - dealing 50% flame damage every 2.9 seconds - with 120% chance.</t>
  </si>
  <si>
    <t>183</t>
  </si>
  <si>
    <t>Deals 7 hits of 300% flame damage to surrounding enemies, dispels one buff from each target, and grants the user the "Draconian Grace" effect. Draconian Grace has five progressively more powerful levels. Lv. 1: For 40 seconds, reduces damage taken by 10%. Lv. 2: For 40 seconds, increases strength by 5%, and reduces damage taken by 10%. Lv. 3: For 40 seconds, increases strength by 5%, and reduces damage taken by 15%. Lv. 4: For 40 seconds, increases strength by 10%, and reduces damage taken by 20%. Lv. 5: For the remainder of the quest, increases strength by 10%, and reduces damage taken by 20%. If Draconian Grace is granted while already active, it will be raised one level. Conversely, it will be lowered one level when the effect's remaining time is depleted. If the effect is at level one when this time is depleted, it will instead be removed entirely.</t>
  </si>
  <si>
    <t>Deals 7 hits of 330% flame damage to surrounding enemies, dispels one buff from each target, and grants the user the "Draconian Grace" effect. Draconian Grace has five progressively more powerful levels. Lv. 1: For 40 seconds, reduces damage taken by 10%. Lv. 2: For 40 seconds, increases strength by 5%, and reduces damage taken by 10%. Lv. 3: For 40 seconds, increases strength by 5%, and reduces damage taken by 15%. Lv. 4: For 40 seconds, increases strength by 10%, and reduces damage taken by 20%. Lv. 5: For the remainder of the quest, increases strength by 10%, and reduces damage taken by 20%. If Draconian Grace is granted while already active, it will be raised one level. Conversely, it will be lowered one level when the effect's remaining time is depleted. If the effect is at level one when this time is depleted, it will instead be removed entirely.</t>
  </si>
  <si>
    <t>Deals 2 hits of 450% water damage to enemies directly ahead, and activates "Skill Shift" if the attack connects. Phase II inflicts bleeding for 30 seconds - dealing 146% water damage every 4.9 seconds - with 80% chance, while Phase III also inflicts frostbite for 21 seconds - dealing 41% water damage every 2.9 seconds - with 120% chance, and dispels one buff from each target. Phases I and II will also immediately ready this skill for use. If this skill is used as a shared skill, the Phase III variant is always used.</t>
  </si>
  <si>
    <t>Deals 2 hits of 600% water damage to enemies directly ahead, inflicts bleeding for 30 seconds - dealing 150% water damage every 4.9 seconds, inflicts frostbite for 21 seconds - dealing 50% water damage every 2.9 seconds - with 120% chance, and dispels one buff from each target.</t>
  </si>
  <si>
    <t>Deals 1 hit of 2100% water damage to enemies directly ahead. Bleeding foes take 1 hit of 2520% water damage instead. The second time this skill is used, a variant called Wyrmgrace Wave II will be used instead. The skill will then alternate between these two versions with every use. Wyrmgrace Wave II deals 1 hit of 2100% water damage to enemies directly ahead and grants the user a Strength Amp (Team Amp MAX Lv. = 3). Bleeding foes take 1 hit of 2520% water damage instead.</t>
  </si>
  <si>
    <t>Deals 1 hit of 2500% water damage to enemies directly ahead and grants the user a Strength Amp (Team Amp MAX Lv. = 3). Bleeding foes take 1 hit of 3000% water damage instead.</t>
  </si>
  <si>
    <t>044</t>
  </si>
  <si>
    <t>2.1 second(s)</t>
  </si>
  <si>
    <t>Creates a buff zone that lasts for 10 seconds, and activates "Skill Shift." Phase I (Grassland Warrior's Advance): increases the strength of adventurers inside the buff zone by 25%. Phase II (Sellsword's Assault): increases the strength of adventurers inside the buff zone by 25%, and increases their flame resistance by 8%. Phase III (Sacred Dragonlord's Encouragement): increases the strength of adventurers inside the buff zone by 25%, increases their flame resistance by 8%, adds 20% to the modifier applied to their critical damage, grants the user the "Check" effect, and immediately readies the Checkmate skill for use. The "Check" effect can be stored up to a maximum of 2 times.</t>
  </si>
  <si>
    <t>Creates a buff zone that lasts for 10 seconds, and activates "Sacred Dragonlord's Encouragement." Sacred Dragonlord's Encouragement: increases the strength of adventurers inside the buff zone by 25%, increases their flame resistance by 10%, adds 20% to the modifier applied to their critical damage, grants the user the "Check" effect, and immediately readies the Checkmate skill for use. The "Check" effect will not stack. This buff zone is not affected by Curse of Nihility.</t>
  </si>
  <si>
    <t>130</t>
  </si>
  <si>
    <t>Deals 1 hit of 2500% water damage to enemies directly ahead. This skill can only be used when the user has the "Check" effect, and using it will consume one "Check." If this skill is used as a shared skill, then "Check" is not required to use it.</t>
  </si>
  <si>
    <t>Deals 1 hit of 3000% water damage to enemies directly ahead and dispels one buff from each target. This skill can only be used when the user has the "Check" effect, and using it will consume one "Check." If this skill is used as a shared skill, then "Check" is not required to use it.</t>
  </si>
  <si>
    <t>055</t>
  </si>
  <si>
    <t>Deals 6 hits of 368% water damage to enemies directly ahead, and inflicts bog for 8 seconds with 120% base chance.</t>
  </si>
  <si>
    <t>Deals 6 hits of 400% water damage to enemies directly ahead, dispels one buff from each target, and inflicts bog for 8 seconds with 120% base chance.</t>
  </si>
  <si>
    <t>056</t>
  </si>
  <si>
    <t>Deals 1 hit of 1330% water damage to surrounding enemies, increases the entire team's defense by 15% for 10 seconds, and activates "Skill Shift." Phase II adds an additional 13% increase to the entire team's strength for 10 seconds, while Phase III adds an additional 25% increase to the team's attack rate for 10 seconds.</t>
  </si>
  <si>
    <t>Deals 1 hit of 1800% water damage to surrounding enemies, increases the entire team's strength and defense by 15% and increases the team's attack rate by 25% for 10 seconds. Also, grants the user a defense amp (Team Amp MAX Lv. = 3).</t>
  </si>
  <si>
    <t>Deals 1 hit of 1664% water damage to enemies in a line and inflicts frostbite - dealing 41% water damage every 2.9 seconds for 21 seconds - with 120% chance. The more buffs the user has, the higher the skill boost received and the higher the damage (+5% Skill Damage per buff). Also activates "Born Ruler." During Born Ruler, the user's force strikes are powered up and can damage far-away enemies, and this skill is enhanced into Majestic Tide II, which deals 1 hit of 1674% water damage instead. Using Majestic Tide II adds an additional stack of Born Ruler, further powering up the user's force strikes and causing them to deal extra damage and bonus damage to frostbitten foes, while also enhancing Majestic Tide II into Majestic Tide III, which deals 1 hit of 1680% water damage instead. All stacks of Born Ruler will be consumed upon using Majestic Tide III, or a force strike with any stacks of Born Ruler. Born Ruler will not activate when using this skill as a shared skill.</t>
  </si>
  <si>
    <t>Deals 1 hit of 1800% water damage to enemies in a line and inflicts frostbite - dealing 50% water damage every 2.9 seconds for 21 seconds - with 120% chance. The more buffs the user has, the higher the skill boost received and the higher the damage (+5% Skill Damage per buff). Also activates "Born Ruler." During Born Ruler, the user's force strikes are powered up, can damage far-away enemies, dispel one buff from each target, and deal more extra damage to frostbitten foes. The "Born Ruler" effect can be stored up to a maximum of 2 times. Born Ruler will not activate when using this skill as a shared skill.</t>
  </si>
  <si>
    <t>Deals 3 hits of 556.6% water damage to surrounding enemies. The more buffs the user has, the higher the skill boost received and the higher the damage (+5% Skill Damage per buff).</t>
  </si>
  <si>
    <t>Deals 3 hits of 650% water damage to surrounding enemies and lowers their frostbite resistance by 20% for 30 seconds. This resistance reduction will not stack. The more buffs the user has, the higher the skill boost received and the higher the damage (+5% Skill Damage per buff).</t>
  </si>
  <si>
    <t>009</t>
  </si>
  <si>
    <t>Deals 2 hits of 454% water damage to enemies in a line, reduces their defense by 5% for 10 seconds, and restores the user's HP by 4% of damage inflicted. This defense reduction effect will not stack, and this recovery caps at 20% of the user's maximum HP.</t>
  </si>
  <si>
    <t>Deals 2 hits of 600% water damage to enemies in a line, reduces their defense by 10% for 10 seconds, and restores a 5% of the damage inflicted as HP to all allies. This defense reduction effect will not stack, and this recovery caps at 20% of the user's maximum HP.</t>
  </si>
  <si>
    <t>Increases the user and nearby allies' strength by 25% for 15 seconds.</t>
  </si>
  <si>
    <t>Increases the entire team's strength by 25% for 15 seconds and increases the entire team's max HP by 10% for the remainder of the quest. Once HP buffs reach the limit of 30%, an HP recovery effect is granted instead. Also, grants the user a strength amp (Team Amp MAX Lv. = 1).</t>
  </si>
  <si>
    <t>Deals 1 hit of 1157% water damage to enemies directly ahead, and inflicts frostbite - dealing 41% water damage every 2.9 seconds for 21 seconds - with 120% chance.</t>
  </si>
  <si>
    <t>Deals 1 hit of 1800% water damage to enemies directly ahead, dispels one buff from each target, and inflicts frostbite - dealing 50% water damage every 2.9 seconds for 21 seconds - with 120% chance.</t>
  </si>
  <si>
    <t>0.7 second(s)</t>
  </si>
  <si>
    <t>Deals 1 hit of 1598% water damage to enemies in a line, and inflicts frostbite - dealing 41% water damage every 2.9 seconds for 21 seconds - with 120% chance.</t>
  </si>
  <si>
    <t>Deals 1 hit of 1800% water damage to enemies in a line, inflicts frostbite - dealing 50% water damage every 2.9 seconds for 21 seconds - with 120% chance, and lowers their frostbite resistance by 20% for 30 seconds. This resistance reduction will not stack.</t>
  </si>
  <si>
    <t>279</t>
  </si>
  <si>
    <t>Deals 1 hit of 2400% water damage to surrounding enemies and activates additional effects based on which of the following buffs the user has: Preservation Protocol: Grants the user a defense amp. (Team Amp MAX Lv. = 1) Restoration Protocol: Restores the user's HP with 50% Recovery Potency. Purification Protocol: Removes all afflictions from the user.</t>
  </si>
  <si>
    <t>Deals 1 hit of 2500% water damage to surrounding enemies and activates additional effects based on which of the following buffs the user has: Preservation Protocol: Grants the user a defense amp. (Team Amp MAX Lv. = 1). Restoration Protocol: Restores the entire team's HP with 50% Recovery Potency. Purification Protocol: Removes all afflictions from the entire team.</t>
  </si>
  <si>
    <t>281</t>
  </si>
  <si>
    <t>Deals 7 hits of 300% water damage to surrounding enemies, inflicts frostbite and two of the following: poison, burn, paralysis, stormlash, flashburn, shadowblight, or scorchrend, all with 110% chance. Frostbite, stormlash, flashburn, shadowblight and scorchrend will last for 21 seconds, dealing 31% water damage every 2.9 seconds. Poison will last for 15 seconds, dealing 43.6% water damage every 2.9 seconds. Burn will last for 12 seconds, dealing 72.7% water damage every 3.9 seconds. Paralysis will last for 13 seconds, dealing 72.7% water damage every 3.9 seconds.</t>
  </si>
  <si>
    <t>Deals 7 hits of 330% water damage to surrounding enemies, inflicts frostbite, poison, burn, paralysis, stormlash, flashburn, shadowblight, and scorchrend, all with 120% chance. Frostbite, poison, burn, paralysis, stormlash, flashburn, shadowblight, and scorchrend will last for 21 seconds, dealing 50% water damage every 2.9 seconds.</t>
  </si>
  <si>
    <t>Grants the user a one-use shield that nullifies damage less than 30% of the user's maximum HP and immunity to knockback for 15 seconds. If the user has Master Control, a variant called Code 08: Execution will be used instead. In addition to this skill's base effects, Code 08: Execution also grants the user the "Amplified Current" effect for 11 seconds. During Amplified Current, the user's standard attacks are buffed and hit more times per attack.</t>
  </si>
  <si>
    <t>Grants the user a one-use shield that nullifies damage less than 40% of the user's maximum HP and immunity to knockback for 15 seconds. If the user has Master Control, a variant called Code 08: Execution will be used instead. In addition to this skill's base effects, Code 08: Execution also grants the user the "Amplified Current" effect for 15 seconds. During Amplified Current, the user's standard attacks are buffed and hit more times per attack.</t>
  </si>
  <si>
    <t>240</t>
  </si>
  <si>
    <t>Grants the user "Master Control" for 26 seconds. If the user has Master Control, a variant called Code 06: Conclusion will be used instead. Code 06: Conclusion costs 2830 SP, deals 6 hits of 489% water damage to surrounding enemies and dispels one buff from each target. If this skill is used as a Helper Skill or a Shared Skill, it will always use the enhanced version.</t>
  </si>
  <si>
    <t xml:space="preserve">Grants the user "Master Control" for 30 seconds. If the user has Master Control, a variant called Code 06: Conclusion will be used instead. Code 06: Conclusion costs 2830 SP, deals 6 hits of 550% water damage to surrounding enemies, dispels one buff from each target, and inflicts bleeding for 30 seconds - dealing 150% water damage every 4.9 seconds - with 100% base chance. If this skill is used as a Helper Skill or a Shared Skill, it will always use the enhanced version. </t>
  </si>
  <si>
    <t>175</t>
  </si>
  <si>
    <t>Deals 1 hit of 2000% water damage to enemies in a line, and reduces their defense by 3% for 10 seconds.</t>
  </si>
  <si>
    <t>Deals 1 hit of 2500% water damage to enemies in a line, dispels one buff from each target, and reduces their defense by 10% for 10 seconds. This defense reduction effect will not stack.</t>
  </si>
  <si>
    <t>176</t>
  </si>
  <si>
    <t>Deals 5 hits of 500% water damage to the target and nearby enemies, and inflicts bleeding for 30 seconds - dealing 110% water damage every 4.9 seconds - with 50% base chance.</t>
  </si>
  <si>
    <t>Deals 5 hits of 600% water damage to the target and nearby enemies, and inflicts bleeding for 30 seconds - dealing 150% water damage every 4.9 seconds - with 100% base chance.</t>
  </si>
  <si>
    <t>082</t>
  </si>
  <si>
    <t>2.7 second(s)</t>
  </si>
  <si>
    <t>Applies one of the following effects based on the user's current cooking stance: Appetizer Stance: Deals 6 hits of 280% water damage to enemies directly ahead, inflicts frostbite for 21 seconds - dealing 41% water damage every 2.9 seconds - with 120% base chance, and reduces enemies' defense by 10% for 30 seconds. This defense reduction effect will not stack. Entrée Stance: Deals 6 hits of 375% water damage to enemies directly ahead, inflicts stun for 6-7 seconds with 110% base chance and reduces enemies' strength by 25% for 30 seconds. This strength reduction effect will not stack. Dessert Stance: Deals 6 hits of 375% water damage to enemies directly ahead and inflicts freeze for 3-6 seconds with 120% base chance, and dispels one buff from each target.</t>
  </si>
  <si>
    <t>Deals 6 hits of 300% water damage to enemies directly ahead, inflicts frostbite for 21 seconds - dealing 50% water damage every 2.9 seconds - with 120% base chance, inflicts stun for 6-7 seconds with 120% base chance, inflicts freeze for 3-6 seconds with 200% base chance, and dispels one buff from each target. Also, reduces enemies' defense by 10% for 30 seconds and reduces enemies' strength by 25% for 30 seconds. This strength and defense reduction effects will not stack.</t>
  </si>
  <si>
    <t>083</t>
  </si>
  <si>
    <t>Applies one of the following effects to the entire team based on the user's current cooking stance: Appetizer Stance: Increases defense by 25% for 15 seconds, inspiration by 2 stages, and flame resistance by 20% for 30 seconds. This defense or flame resistance increase will not stack. Entrée Stance: Increases critical rate by 18% for 15 seconds, inspiration by 3 stages, and fills the skill gauge for Amuse-bouche by 50%. This critical rate increase will not stack. Dessert Stance: Increases strength by 15% for 15 seconds, inspiration by 2 stages, and increases the modifier applied to damage against flame-attuned enemies by 15% for 15 seconds. This strength or modifier increase will not stack.</t>
  </si>
  <si>
    <t>Applies the following effects to the entire team: Increases strength by 15% for 15 seconds, defense by 15% for 15 seconds, critical rate by 10% for 15 seconds, inspiration by 1 stage, the modifier applied to damage against flame-attuned enemies by 15% for 15 seconds, and flame resistance by 20% for 30 seconds, and fills the skill gauge for Amuse-bouche by 50%. None of these increases will stack.</t>
  </si>
  <si>
    <t>Deals 4 hits of 674% water damage to enemies directly ahead, and inflicts bog for 8 seconds with 100% base chance. Changing direction is possible during the attack.</t>
  </si>
  <si>
    <t>Deals 4 hits of 850% water damage to enemies directly ahead, dispels one buff from each target, and inflicts bog for 8 seconds with 120% base chance. Changing direction is possible during the attack.</t>
  </si>
  <si>
    <t>Increases the user and nearby allies' strength by 20% for 15 seconds, and gradually recovers their HP with 15% Recovery Potency every 2.9 seconds for 15 seconds.</t>
  </si>
  <si>
    <t>Increases the entire team's strength by 25% for 15 seconds, gradually recovers their HP with 35% Recovery Potency every 2.9 seconds for 20 seconds, and grant the user a team strength amp (Team Amp MAX Lv. = 1). When used as a shared skill, it will not grant a team strength amp.</t>
  </si>
  <si>
    <t>Deals 4 hits of 265% water damage to enemies directly ahead. When "Ardent Stream Upgraded" from Winter's Blade (Lv 2) is active, this skill deals 3 hits and 1 delayed hit of 345% water damage to enemies directly ahead, and inflicts freeze for 3-6 seconds with 110% base chance. Frostbitten foes take 3 hits and 1 delayed hit of 552% water damage instead. When "Ardent Stream Upgraded" from Winter's Blade (Lv 3) is active, this skill deals 3 hits and 1 delayed hit of 345% water damage to enemies directly ahead, and inflicts frostbite for 21 seconds - dealing 37% water damage every 2.9 seconds - with 120% chance. Frostbitten foes take 3 hits and 1 delayed hit of 552% water damage instead.</t>
  </si>
  <si>
    <t>Deals 3 hits and 1 delayed hit of 650% water damage to enemies directly ahead, dispels one buff from each target, and inflicts frostbite for 21 seconds - dealing 50% water damage every 2.9 seconds - with 120% chance.</t>
  </si>
  <si>
    <t>Grants the user the "Ardent Stream Upgraded" effect until they next use this skill or a force strike. This has the following effects: Increases strength by 25%. The Ardent Stream skill will inflict frostbite and deal extra damage to frostbitten foes. Force strikes will inflict freeze for 3-6 seconds with 100% chance. Inflicts the user with frostbite - dealing 1% Max HP damage every 2.9 seconds for the duration of Ardent Stream Upgraded.</t>
  </si>
  <si>
    <t>Increases the entire team's strength by 25% for 15 seconds, causes the user's next force strike to user's next force strike will dispel one enemy buff and inflict freeze for 3-6 seconds with 200% chance. In addition, grants the user a strength amp (Team Amp MAX Lv. = 3).</t>
  </si>
  <si>
    <t>Deals 1 hit of 1141% water damage to enemies in a line, and inflicts frostbite for 21 seconds - dealing 37% water damage every 2.9 seconds - with 120% chance. Frostbitten foes take 1 hit of 1711.5% water damage instead.</t>
  </si>
  <si>
    <t>Deals 1 hit of 2500% water damage to enemies in a line, dispels one buff from each target, and inflicts frostbite for 21 seconds - dealing 50% water damage every 2.9 seconds - with 120% chance.</t>
  </si>
  <si>
    <t>Increases the user's strength by 25% for 15 seconds.</t>
  </si>
  <si>
    <t>Increases the entire team's strength by 25% for 15 seconds and grants the user a strength amp (Max Lv. = 3). After this amp is granted, this ability will not grant it again for 15 seconds. In addition, the user's next force strike will lower the target's frostbite resistance by 20% for 30 seconds. This resistance reduction will not stack.</t>
  </si>
  <si>
    <t>229</t>
  </si>
  <si>
    <t>Deals 3 hits of 540% water damage to enemies directly ahead, inflicts frostbite for 21 seconds - dealing 41% water damage every 2.9 seconds - with 100% chance, and raises the dragon gauge by 40 DP if the attack connects. If the user has a Team Strength Amp, a more powerful version of this skill will be used. This variant deals 4 hits of 600% water damage to enemies directly ahead, inflicts frostbite for 21 seconds - dealing 41% water damage every 2.9 seconds - with 100% chance, and raises the dragon gauge by 50 DP if the attack connects. If this skill is used as a Shared Skill, it will always use the enhanced variant.</t>
  </si>
  <si>
    <t>Deals 4 hits of 700% water damage to enemies directly ahead, inflicts frostbite for 21 seconds - dealing 50% water damage every 2.9 seconds - with 100% chance, and raises the dragon gauge by 50 DP if the attack connects.</t>
  </si>
  <si>
    <t>231</t>
  </si>
  <si>
    <t>Deals 6 hits of 322% water damage to enemies directly ahead, and grants the user a Strength Amp (Team Amp MAX Lv. = 2). If the user has already shapeshifted at least once, a more powerful version of this skill will be used. This variant deals 9 hits of 322% water damage to enemies directly ahead, and grants the user a Strength Amp (Team Amp MAX Lv. = 2).</t>
  </si>
  <si>
    <t>Deals 6 hits of 400% water damage to enemies directly ahead, dispels one buff from each target, and grants the user a Strength Amp (Team Amp MAX Lv. = 3). If the user has already shapeshifted at least once, a more powerful version of this skill will be used. This variant deals 9 hits of 400% water damage to enemies directly ahead, dispels one buff from each target, and grants the user a Strength Amp (Team Amp MAX Lv. = 3).</t>
  </si>
  <si>
    <t>108</t>
  </si>
  <si>
    <t>Deals 1 hit of 376% water damage to surrounding enemies, and raises the Divine Dragon gauge by 260 UTP if the attack connects. If this skill is used when in Divine Dragon form, a variant called Breath of Fog will be used instead. Breath of Fog costs 3480 SP instead, deals 1 hit of 1738% water damage to enemies directly ahead, and inflicts frostbite - dealing 41% water damage every 2.9 seconds for 21 seconds - with 120% chance. Frostbitten foes take 1 hit of 2259.4% water damage instead.</t>
  </si>
  <si>
    <t>Deals 1 hit of 500% water damage to surrounding enemies, and raises the Divine Dragon gauge by 300 UTP if the attack connects. If this skill is used when in Divine Dragon form, a variant called Breath of Fog will be used instead. Breath of Fog costs 3480 SP instead, deals 1 hit of 2400% water damage to enemies directly ahead, and inflicts frostbite - dealing 50% water damage every 2.9 seconds for 21 seconds - with 120% chance.</t>
  </si>
  <si>
    <t>109</t>
  </si>
  <si>
    <t>Fills the user's Divine Dragon gauge by 600 UTP. If this skill is used when in Divine Dragon form, a variant called Divine Dragon Blow will be used instead. Divine Dragon Blow costs 5800 SP instead, and deals 1 hit of 1808% water damage to the target and nearby enemies. Frostbitten foes take 1 hit of 2712% water damage instead.</t>
  </si>
  <si>
    <t>Fills the user's Divine Dragon gauge by 600 UTP. If this skill is used when in Divine Dragon form, a variant called Divine Dragon Blow will be used instead. Divine Dragon Blow costs 5800 SP instead, and deals 1 hit of 3000% water damage to the target and nearby enemies and dispels one buff from each target.</t>
  </si>
  <si>
    <t>084</t>
  </si>
  <si>
    <t>Applies one of the following effects based on the user's current cooking stance: Sashimi Stance: Deals 8 hits of 184% water damage to enemies directly ahead, and inflicts frostbite - dealing 41% water damage every 2.9 seconds for 21 seconds - with 120% chance. Tempura Stance: Deals 8 hits of 103% water damage to enemies directly ahead. Frostbitten foes take 8 hits of 236.9% water damage instead.</t>
  </si>
  <si>
    <t>Deals 8 hits of 270% water damage to enemies directly ahead, dispels one buff from each target, and inflicts frostbite - dealing 50% water damage every 2.9 seconds for 21 seconds - with 120% chance.</t>
  </si>
  <si>
    <t>085</t>
  </si>
  <si>
    <t>Applies one of the following effects to the entire team based on the user's current cooking stance: Sashimi Stance: Increases critical rate by 10% for 15 seconds, and inspiration by 2 stages. Tempura Stance: Adds 50% to the modifier applied to critical damage for 15 seconds, and increases inspiration by 3 stages.</t>
  </si>
  <si>
    <t>Increases critical rate by 10% and adds a 50% to the modifier applied to critical damage to the entire team for 15 seconds, and increases the entire team's inspiration by 3 stages. In addition, grant the user a team critical damage amp (Team Amp MAX Lv. = 3).</t>
  </si>
  <si>
    <t>916</t>
  </si>
  <si>
    <t>Deals 11 hits of 190% water damage to enemies directly ahead, increases the energy levels of the user and nearby allies by 1 stage, and activates "Frigid Gift". When this effect is active, the user's next force strike will inflict freeze for 3-6 seconds with 200% chance. This skill activates "Skill Shift" if the attack connects. Phase II increases the strength of the user and nearby allies by 10% for 10 seconds, while Phase III increases their critical rate by 8% for 10 seconds. If this skill is used as a Shared Skill or Helper Skill, this skill inflicts freeze for 3-6 seconds with 140% chance, but does not activate the Frigid Gift effect.</t>
  </si>
  <si>
    <t>Deals 11 hits of 220% water damage to enemies directly ahead, Increases the entire team's strength by 10% and critical rate by 8% for 10 seconds and increases the energy levels of the entire team by 1 stage. Also activates "Frigid Gift". When this effect is active, the user's next force strike will inflict freeze for 3-6 seconds with 200% chance. If this skill is used as a Shared Skill or Helper Skill, this skill inflicts freeze for 3-6 seconds with 200% chance, but does not activate the Frigid Gift effect.</t>
  </si>
  <si>
    <t>Deals 5 hits of 421% water damage to enemies directly ahead.</t>
  </si>
  <si>
    <t>Deals 5 hits of 500% water damage to enemies directly ahead, dispels one buff from each target, and inflicts frostbite for 21 seconds - dealing 50% water damage every 2.9 seconds - with 120% base chance. Also, grants the user a strength amp (Team Amp MAX Lv. = 3).</t>
  </si>
  <si>
    <t>Deals 6 hits of 313% water damage to enemies directly ahead, inflicts bog for 8 seconds with 110% base chance, and reduces their defense by 5% for 10 seconds. This defense reduction effect will not stack.</t>
  </si>
  <si>
    <t>Deals 6 hits of 350% water damage to enemies directly ahead, dispels one buff from each target, and inflicts bog for 8 seconds with 120% base chance, and reduces their defense by 10% for 10 seconds. This defense reduction effect will not stack.</t>
  </si>
  <si>
    <t>Deals 4 hits of 369% water damage to surrounding enemies, increases the user's defense by 20% for 20 seconds, and activates "Cooling Master". When this effect is active, the user's next force strike will inflict freeze for 3-6 seconds with 120% chance.</t>
  </si>
  <si>
    <t>Deals 4 hits of 500% water damage to surrounding enemies, increases the entire team's defense by 25% for 20 seconds, and grants the user a team defense amp (Team Amp MAX Lv. = 1). Also activates "Cooling Master". When this effect is active, the user's next force strike will inflict freeze for 3-6 seconds with 200% chance and frostbite for 21 seconds - dealing 50% water damage every 2.9 seconds - with 120% base chance.</t>
  </si>
  <si>
    <t>Deals 6 hits of 248% water damage to enemies directly ahead. Frostbitten foes take 6 hits of 322.4% water damage instead.</t>
  </si>
  <si>
    <t>Deals 6 hits of 350% water damage to enemies directly ahead and dispels one buff from each target.</t>
  </si>
  <si>
    <t>Deals 4 hits of 318% water damage to surrounding enemies, inflicts freeze for 3-6 seconds with 100% base chance and inflicts frostbite for 21 seconds - dealing 27% water damage every 2.9 seconds - with 110% chance.</t>
  </si>
  <si>
    <t>Deals 4 hits of 500% water damage to surrounding enemies, inflicts freeze for 3-6 seconds with 200% base chance and inflicts frostbite for 21 seconds - dealing 50% water damage every 2.9 seconds - with 120% chance. In addition, grants a user a critical damage amp (Team Amp MAX Lv. = 3). After this amp is granted, this ability will not grant it again for 15 seconds.</t>
  </si>
  <si>
    <t>Deals 4 hits of 405% water damage to surrounding enemies, and inflicts frostbite - dealing 41% water damage every 2.9 seconds for 21 seconds - with 120% chance. Frostbitten foes take 4 hits of 526.5% water damage instead.</t>
  </si>
  <si>
    <t>Deals 4 hits of 550% water damage to surrounding enemies, inflicts frostbite - dealing 50% water damage every 2.9 seconds for 21 seconds - with 120% chance, and lowers frostbite resistance by 20% for 30 seconds. This resistance reduction will not stack.</t>
  </si>
  <si>
    <t>Deals 4 hits of 329.6% water damage to enemies directly ahead, reduces their strength by 5% for 10 seconds with 100% base chance and their defense by 5% for 10 seconds with 50% base chance.</t>
  </si>
  <si>
    <t>Deals 4 hits of 450% water damage to enemies directly ahead, reduces their strength by 20% and defense by 10% for 10 seconds. In addition, grant the user a strength amp (Team Amp MAX Lv. = 3).</t>
  </si>
  <si>
    <t>219</t>
  </si>
  <si>
    <t>This skill can only be used while the user has one or more armament gauge charges. Consumes one charge of the armament gauge, deals 1 hit of 2600% water damage to enemies directly ahead, and dispels one buff from each target.</t>
  </si>
  <si>
    <t>This skill can only be used while the user has one or more armament gauge charges. Consumes one charge of the armament gauge, deals 1 hit of 3000% water damage to enemies directly ahead, and dispels one buff from each target.</t>
  </si>
  <si>
    <t>220</t>
  </si>
  <si>
    <t>This skill can only be used while the user has one or more armament gauge charges. Consumes the entire armament gauge, deals 4 hits of 600% water damage to surrounding enemies, and, if this skill hits enemies 6 or more times during the same combo, it will grant the user the "Armament Charger" effect for 30 seconds. Armament Charger will fill the armament gauge by 8% every second. Movement is possible during the attack. If two charges are consumed, a more powerful version of this skill will be used dealing 8 hits of 450% water damage.</t>
  </si>
  <si>
    <t>This skill can only be used while the user has one or more armament gauge charges. Consumes the entire armament gauge, deals 4 hits of 700% water damage to surrounding enemies, inflicts bleeding for 30 seconds - dealing 150% water damage every 4.9 seconds - with 100% base chance, and grants the user the "Armament Charger" effect for 30 seconds. Armament Charger will fill the armament gauge by 10% every second. Movement is possible during the attack. If two charges are consumed, a more powerful version of this skill will be used dealing 8 hits of 550% water damage.</t>
  </si>
  <si>
    <t>Deals 2 hits of 320% and 1 hit of 600% water damage to enemies directly ahead, and inflicts frostbite - dealing 41% water damage every 2.9 seconds for 21 seconds - with 120% chance. If this skill is used when the user is in high power mode, a variant called Hyper Smithy Spin will be used instead. Hyper Smithy Spin deals 4 hits of 180% and 1 hit of 1020% water damage to the target and nearby enemies, and increases the damage dealt by the user's next skill by 20%.</t>
  </si>
  <si>
    <t>Deals 2 hits of 400% and 1 hit of 700% water damage to enemies directly ahead, and inflicts frostbite - dealing 50% water damage every 2.9 seconds for 21 seconds - with 120% chance. If this skill is used when the user is in high power mode, a variant called Hyper Smithy Spin will be used instead. Hyper Smithy Spin deals 4 hits of 210% and 1 hit of 1200% water damage to the target and nearby enemies, and increases the damage dealt by the user's next skill by 20%.</t>
  </si>
  <si>
    <t>Increases the user's max HP by 3% for the remainder of the quest, and increases the entire team's strength by 15% for 15 seconds and their critical rate by 10% for 15 seconds. If this skill is used when the user is in high power mode, a variant called Smithy Arm: Power Mode will be used instead. Smithy Arm: Power Mode deals 1 hit of 450% and 1 hit of 1660% water damage to the target and nearby enemies, dispels one buff from each of them, and immediately readies the Smithy Spin (or Hyper Smithy Spin) skill for use.</t>
  </si>
  <si>
    <t>Increases the entire team's max HP by 10% for the remainder of the quest, and increases the entire team's strength by 15% and critical rate by 10% for 15 seconds. If this skill is used when the user is in high power mode, a variant called Smithy Arm: Power Mode will be used instead. Smithy Arm: Power Mode deals 1 hit of 500% and 1 hit of 2000% water damage to the target and nearby enemies, dispels one buff from each of them, and immediately readies the Smithy Spin (or Hyper Smithy Spin) skill for use.</t>
  </si>
  <si>
    <t>Increases the strength of water-attuned adventurers in the team by 15% for 15 seconds and grants them the "Holy Accord" effect. Holy Accord increases strength by 15% and heals them with 1.2% Recovery Potency every 2.9 seconds for 15 seconds.</t>
  </si>
  <si>
    <t>Grants the entire team the "Holy Accord" effect. Holy Accord increases strength by 30% and heals them with 3% Recovery Potency every 2.9 seconds for 15 seconds.</t>
  </si>
  <si>
    <t>Deals 3 hits of 1375% water damage to enemies directly ahead, increases the user's energy level by 3 stages, increases the entire team's flame resistance by 30% for 30 seconds, grants all teammates a one-use shield that nullifies damage less than 30% of the user's maximum HP, and grants the user a strength amp (Team Amp MAX Lv. = 3). Neither this shield nor the increase in flame resistance stacks, and after this amp is granted, this skill will not grant it again for 30 seconds. The skill gauge for this skill can be filled by attacking enemies, but it will also gradually fill automatically during Divine Revelation. Abilities that increase skill gauge fill rate will not affect this automatic increase. When the user is not under the effects of Divine Revelation, attacking enemies will still fill the gauge, but it will decrease automatically by 1596 SP every second unless the gauge is already completely filled.</t>
  </si>
  <si>
    <t>054</t>
  </si>
  <si>
    <t>Deals 1 hit of 1355.2%, 1 hit of 404.8% and 1 hit of 948.2% water damage to the target and nearby enemies, and inflicts bog for 8 seconds with 120% base chance.</t>
  </si>
  <si>
    <t>Deals 1 hit of 1500%, 1 hit of 500% and 1 hit of 1200% water damage to the target and nearby enemies, dispels one buff from each target, and inflicts bog for 8 seconds with 120% base chance.</t>
  </si>
  <si>
    <t>Increases the user and nearby allies' strength by 15% for 15 seconds, and activates "Skill Shift." Phase II adds an additional 13% increase to the user and nearby allies' critical rate for 15 seconds, while Phase III also grants the user and nearby allies a one-use shield that nullifies damage less than 40% of the user's maximum HP. This does not stack with any other shields.</t>
  </si>
  <si>
    <t>Increases the entire team's strength by 15% and critical rate by 15% for 15 seconds, increases the entire team's max HP by 10% for the remainder of the quest. and grants the entire team a one-use shield that nullifies damage less than 40% of the user's maximum HP. Once HP buffs reach the limit of 30%, an HP recovery effect is granted instead. This does not stack with any other shields. Also, grants the user a critical damage amp (Team Amp MAX Lv. = 3)</t>
  </si>
  <si>
    <t>Deals 2 hits of 818% water damage to enemies directly ahead, and inflicts frostbite for 21 seconds - dealing 41% water damage every 2.9 seconds - with 120% chance. The more buffs the user has, the higher the skill boost received and the higher the damage (+5% Skill Damage per buff).</t>
  </si>
  <si>
    <t>Deals 2 hits of 1000% water damage to enemies directly ahead, and inflicts frostbite for 21 seconds - dealing 50% water damage every 2.9 seconds - with 120% chance. The more buffs the user has, the higher the skill boost received and the higher the damage (+5% Skill Damage per buff). Skill damage will also be increased by 5% for every amp the user has.</t>
  </si>
  <si>
    <t>Deals 4 hits of 520% water damage to surrounding enemies and draws them toward the user for 0.5 seconds. Also increases the user's defense by 30% for 30 seconds.</t>
  </si>
  <si>
    <t>Deals 4 hits of 600% water damage to surrounding enemies, draws them toward the user for 0.5 seconds, and dispels one buff from each target. Also increases the user's defense by 30% for 30 seconds and grants the user a defense amp (Team Amp MAX Lv. = 1).</t>
  </si>
  <si>
    <t>Deals 2 hits of 725% water damage to surrounding enemies and draws them toward the user for 0.5 seconds.</t>
  </si>
  <si>
    <t>Deals 2 hits of 1500% water damage to surrounding enemies, draws them toward the user for 0.5 seconds, dispels one buff from each target, and inflicts bleeding for 30 seconds - dealing 150% water damage every 4.9 seconds - with 100% base chance.</t>
  </si>
  <si>
    <t>Grants all teammates a one-use shield that nullifies damage less than 20% of the user's HP, and increases strength by 15% for 15 seconds. This does not stack with any other shields.</t>
  </si>
  <si>
    <t>Grants all teammates a one-use shield that nullifies damage less than 40% of the user's HP, increases strength by 25% and critical rate by 10% for 15 seconds. This does not stack with any other shields. In addition, grants the user a defense amp (Team Amp MAX Lv. = 3).</t>
  </si>
  <si>
    <t>Deals 1 hit of 1347% water damage to enemies directly ahead, and inflicts frostbite for 21 seconds - dealing 37% water damage every 2.9 seconds - with 120% base chance. Frostbitten foes take 1 hit of 2020.5% water damage instead.</t>
  </si>
  <si>
    <t>Deals 1 hit of 2500% water damage to enemies directly ahead, dispels one buff from each target, and inflicts frostbite for 21 seconds - dealing 50% water damage every 2.9 seconds - with 120% base chance.</t>
  </si>
  <si>
    <t>001</t>
  </si>
  <si>
    <t>Deals 1 hit of 1213% water damage to enemies directly ahead, and inflicts frostbite for 21 seconds - dealing 37% water damage every 2.9 seconds - with 120% base chance. Frostbitten foes take 1 hit of 1819.5% water damage instead.</t>
  </si>
  <si>
    <t>Deals 1 hit of 2500% water damage to enemies directly ahead, inflicts frostbite for 21 seconds - dealing 50% water damage every 2.9 seconds - with 120% base chance, and lowers their frostbite resistance by 20% for 30 seconds. This resistance reduction will not stack.</t>
  </si>
  <si>
    <t>019</t>
  </si>
  <si>
    <t>Deals 2 hits of 1000% water damage to the target and nearby enemies, inflicts freeze for 3-6 seconds with 160% chance, and fills the skill gauge for Fae Lance by 20%. If this skill is used as a shared skill, deals 2 hits of 1000% water damage to the target and nearby enemies and inflicts freeze for 3-6 seconds with 160% chance.</t>
  </si>
  <si>
    <t>Deals 2 hits of 1200% water damage to the target and nearby enemies, dispels one buff from each target, inflicts freeze for 3-6 seconds with 200% chance, and fills the skill gauge for Fae Lance by 20%. If this skill is used as a shared skill, deals 2 hits of 1200% water damage to the target and nearby enemies and inflicts freeze for 3-6 seconds with 200% chance. In addition, grants the user a critical damage amp (Team Amp MAX Lv. = 3). After this amp is granted, this ability will not grant it again for 15 seconds.</t>
  </si>
  <si>
    <t>246</t>
  </si>
  <si>
    <t>Activates "Fae Lance" for 10 seconds. During Fae Lance, the user's standard attack patterns will change, and the user will be unable to move, use force strikes, or dodge. This skill will also become Spiritual Purge and be readied for use. Fae Lance will end immediately when any skill other than Fae Judgment is used. Spiritual Purge deals 2 hits of 1750% water damage to surrounding enemies and inflicts frostbite for 21 seconds - dealing 31% water damage every 2.9 seconds - with 110% chance.</t>
  </si>
  <si>
    <t>Activates "Fae Lance" for 15 seconds. During Fae Lance, the user's standard attack patterns will change, and the user will be unable to move, use force strikes, or dodge. This skill will also become Spiritual Purge and be readied for use. Fae Lance will end immediately when any skill other than Fae Judgment is used. Spiritual Purge deals 2 hits of 2000% water damage to surrounding enemies and inflicts frostbite for 21 seconds - dealing 50% water damage every 2.9 seconds - with 120% chance.</t>
  </si>
  <si>
    <t>131</t>
  </si>
  <si>
    <t>Increases the user's strength by 30% for 10 seconds and grants them the "Perfect Escort" effect. The Perfection Embodied ability buffs the user based on the number of Perfect Escort stacks they have, up to a maximum of 3 stacks.</t>
  </si>
  <si>
    <t>Increases the user's strength by 30% for 15 seconds and grants them the "Perfect Escort" effect. The Perfection Embodied ability buffs the user based on the number of Perfect Escort stacks they have, up to a maximum of 3 stacks.</t>
  </si>
  <si>
    <t>132</t>
  </si>
  <si>
    <t>3.8 second(s)</t>
  </si>
  <si>
    <t>Deals water damage to the target and nearby enemies and dispels one buff from each of them. Damage will be increased based on the number of Perfect Escort stacks the user has. Using this skill will consume all Perfect Escort stacks. 0 stacks: 46 hits of 60% water damage. 1 stack: 58 hits of 60% water damage. 2 stacks: 66 hits of 60% water damage. 3 stacks: 37 hits of 60% and 37 hits of 130% water damage. If this skill is used as a Shared Skill, it always uses the 0 stacks variant. If this skill is used as a Helper Skill, instead deals 23 hits of 60% and 23 hits of 130% water damage.</t>
  </si>
  <si>
    <t>Deals water damage to the target and nearby enemies and dispels one buff from each of them. Damage will be increased based on the number of Perfect Escort stacks the user has. Using this skill will consume all Perfect Escort stacks. 0 stacks: 46 hits of 60% water damage. 1 stack: 58 hits of 60% water damage. 2 stacks: 66 hits of 60% water damage. 3 stacks: 37 hits of 60% and 37 hits of 130% water damage. If this skill is used as a Shared Skill, it always uses the 0 stacks variant.</t>
  </si>
  <si>
    <t>036</t>
  </si>
  <si>
    <t>2.25 second(s)</t>
  </si>
  <si>
    <t>Deals 2 hits of 986% water damage to enemies directly ahead, inflicts frostbite for 21 seconds - dealing 41% water damage every 2.9 seconds - with 120% chance, and inflicts freeze for 3-6 seconds with 120% chance. Frostbitten foes take 2 hits of 1479% water damage instead.</t>
  </si>
  <si>
    <t>Deals 2 hits of 1600% water damage to enemies directly ahead, dispels one buff from each target, inflicts frostbite for 21 seconds - dealing 50% water damage every 2.9 seconds - with 120% chance, and inflicts freeze for 3-6 seconds with 200% chance.</t>
  </si>
  <si>
    <t>037</t>
  </si>
  <si>
    <t>Summons "Ice Mirror", then deals 1 hit of 2311.5% water damage to the target and nearby enemies and restores the user's HP by 8% of the damage inflicted. This recovery caps at 30% of the user's HP per hit. Additional bonus neutral-element damage will be dealt equal to 800% of the damage taken while "Ice Mirror" is active. Reflected damage receives no bonuses from Skill Damage or other damage modifiers.</t>
  </si>
  <si>
    <t>Summons "Ice Mirror", then deals 1 hit of 2700% water damage to the target and nearby enemies and restores the user's HP by 10% of the damage inflicted. This recovery caps at 30% of the user's HP per hit. Additional bonus neutral-element damage will be dealt equal to 1000% of the damage taken while "Ice Mirror" is active. Reflected damage receives no bonuses from Skill Damage or other damage modifiers.</t>
  </si>
  <si>
    <t>4.5 second(s)</t>
  </si>
  <si>
    <t>Deals 4 hits of 529% water damage to the target and nearby enemies, and inflicts frostbite for 21 seconds - dealing 41% water damage every 2.9 seconds - with 120% base chance. Frostbitten foes take 4 hits of 687.7% water damage instead.</t>
  </si>
  <si>
    <t>Deals 4 hits of 750% water damage to the target and nearby enemies, and inflicts frostbite for 21 seconds - dealing 50% water damage every 2.9 seconds - with 120% base chance. Also, grants the user a strength amp (Team Amp MAX Lv. = 3). After this amp is granted, this ability will not grant it again for 15 seconds.</t>
  </si>
  <si>
    <t>Deals 3 hits of 711.2% water damage to enemies directly ahead, increases the entire team's strength by 20% for 20 seconds, and raises the dragon gauge by 100 DP if the attack connects.</t>
  </si>
  <si>
    <t>Deals 3 hits of 850% water damage to enemies directly ahead, dispels one buff from each target, increases the entire team's strength by 25% for 20 seconds, and raises the dragon gauge by 100 DP if the attack connects.</t>
  </si>
  <si>
    <t>023</t>
  </si>
  <si>
    <t>Deals 2 hits of 304% water damage to enemies directly ahead, and inflicts frostbite for 21 seconds - dealing 37% water damage every 2.9 seconds - with 120% chance. Frostbitten foes take 2 hits of 608% water damage instead. Activates "Skill Shift" if the attack connects. Phase II increases frostbite's success rate to 160% and damage to 74% every 2.9 seconds, while Phase III also increases the user's strength by 15% for 10 seconds.</t>
  </si>
  <si>
    <t>Deals 2 hits of 800% water damage to enemies directly ahead, and inflicts frostbite for 21 seconds - dealing 50% water damage every 2.9 seconds - with 120% chance. If the attack connects, increases the entire team's strength by 15% for 15 seconds and grants the user a strength amp (Team Amp MAX Lv. = 3). After this amp is granted, this ability will not grant it again for 15 seconds.</t>
  </si>
  <si>
    <t>Immediately readies the Chaotic Fissure skill for use, and increases the user's strength by 25% for 5 seconds.</t>
  </si>
  <si>
    <t>Immediately readies the Chaotic Fissure skill for use, and increases the entire team's strength by 25% for 5 seconds.</t>
  </si>
  <si>
    <t>Deals 5 hits of 150% water damage to enemies directly ahead, and increases the entire team's strength by 25% for 15 seconds.</t>
  </si>
  <si>
    <t>Deals 5 hits of 300% water damage to enemies directly ahead, increases the entire team's strength by 25% for 15 seconds, and grants the user a strength amp (Team Amp MAX Lv. = 1).</t>
  </si>
  <si>
    <t>Deals 1 hit of 838% water damage to the target and nearby enemies.</t>
  </si>
  <si>
    <t>Deals 1 hit of 1700% water damage to the target and nearby enemies, dispels one buff from each target, and inflicts bleeding for 30 seconds - dealing 150% water damage every 4.9 seconds - with 100% base chance. Also, grants the user a critical damage amp (Team Amp MAX Lv. = 1).</t>
  </si>
  <si>
    <t>Deals 3 hits of 522.1% water damage to enemies directly ahead, and inflicts bog for 8 seconds with 90% base chance.</t>
  </si>
  <si>
    <t>Deals 3 hits of 800% water damage to enemies directly ahead, dispels one buff from each target, inflicts bog for 8 seconds with 120% base chance, and frostbite for 21 seconds - dealing 50% water damage every 2.9 seconds - with 120% base chance. Also, lowers the target's frostbite resistance by 20% for 30 seconds. This resistance reduction will not stack.</t>
  </si>
  <si>
    <t>Increases the entire team's strength and defense by 15% for 15 seconds.</t>
  </si>
  <si>
    <t>Increases the entire team's strength by 15% and defense by 25% for 15 seconds. Also, grants the user a defense amp (Team Amp MAX Lv. = 3).</t>
  </si>
  <si>
    <t>Grants all teammates a one-use shield that increases strength by 5% for 10 seconds, and nullifies damage less than 30% of the user's maximum HP. This strength increase will not stack. This does not stack with any other shields.</t>
  </si>
  <si>
    <t>Grants all teammates a one-use shield that increases strength by 15% for 15 seconds, and nullifies damage less than 40% of the user's maximum HP. This strength increase will not stack. This does not stack with any other shields. Also, grants the user a strength amp (Team Amp MAX Lv. = 1). After this amp is granted, this skill will not grant it again for 8 seconds.</t>
  </si>
  <si>
    <t>Deals 2 hits of 1445% water damage to surrounding enemies.</t>
  </si>
  <si>
    <t>Deals 2 hits of 2000% water damage to surrounding enemies, dispels one buff from each target, inflicts frostbite for 21 seconds - dealing 50% water damage every 2.9 seconds - with 120% base chance.</t>
  </si>
  <si>
    <t>331</t>
  </si>
  <si>
    <t>Deals 1 hit of 1800% and 6 hits of 200% water damage to enemies directly ahead, inflicts frostbite for 21 seconds - dealing 41% water damage every 2.9 seconds - with 120% chance, and lowers their frostbite resistance by 10% for 10 seconds. Also, grants all teammates in front of the user a one-use shield that nullifies damage less than 30% of the user's maximum HP and, if three teammates are located in front of the user, restores the user's HP with 40% Recovery Potency.</t>
  </si>
  <si>
    <t>Deals 1 hit of 1800% and 6 hits of 200% water damage to enemies directly ahead, inflicts frostbite for 21 seconds - dealing 50% water damage every 2.9 seconds - with 120% chance, and lowers their frostbite resistance by 20% for 15 seconds. Also, grants all teammates in front of the user a one-use shield that nullifies damage less than 40% of the user's maximum HP and restores the entire team's HP with 60% Recovery Potency.</t>
  </si>
  <si>
    <t>332</t>
  </si>
  <si>
    <t>The user temporarily assumes a counter stance and creates a buff zone behind them that lasts for the duration of this stance and reduces damage taken by 60%. If the user is hit by an attack while in this stance, this skill will deal 1 hit of 5000% water damage to enemies directly ahead, dispel one buff from each target, and fill the skill gauges of all teammates by 10%, excluding the user and dragons. If the user is not hit by an attack while in this skill's counter stance, this skill will dispel one buff from each surrounding target and fill the skill gauges of all teammates by 10%, excluding the user and dragons. Being energized will not upgrade this skill.</t>
  </si>
  <si>
    <t>The user temporarily assumes a counter stance and creates a buff zone behind them that lasts for the duration of this stance and reduces damage taken by 60%. If the user is hit by an attack while in this stance, this skill will deal 1 hit of 5000% water damage to enemies directly ahead, dispel one buff from each target, and fill the skill gauges of all teammates by 10%, excluding dragons. If the user is not hit by an attack while in this skill's counter stance, this skill will dispel one buff from each surrounding target and fill the skill gauges of all teammates by 10%, excluding the user and dragons. Being energized will not upgrade this skill.</t>
  </si>
  <si>
    <t>153</t>
  </si>
  <si>
    <t>Deals 1 hit of 1815% water damage to enemies in a line, and inflicts frostbite - dealing 41% water damage every 2.9 seconds for 21 seconds - with 120% chance.</t>
  </si>
  <si>
    <t>Deals 1 hit of 2000% water damage to enemies in a line, and inflicts frostbite - dealing 50% water damage every 2.9 seconds for 21 seconds - with 120% chance. When "Sigil Released" is active, dispels one buff from each target.</t>
  </si>
  <si>
    <t>Grants the user the "Gabriel's Blessing" effect for 40 seconds. During Gabriel's Blessing, the user's strength is increased by 50%, their defense is increased by 20%, and damage less than 15% of the user's maximum HP is nullified. These effects do not stack, and are lost upon being attacked.</t>
  </si>
  <si>
    <t>Grants the user the "Gabriel's Blessing" effect for 30 seconds. During Gabriel's Blessing, the user's strength is increased by 50%, their defense is increased by 20%, and damage less than 15% of the user's maximum HP is nullified. These effects do not stack. In addition, grant the user a defense amp (Team Amp MAX Lv. = 3). After this amp is granted, this skill will not grant it again for 15 seconds.</t>
  </si>
  <si>
    <t>081</t>
  </si>
  <si>
    <t>Deals 1 hit of 218.5% water damage to surrounding enemies, 1 hit of 2182.7% water damage to enemies in a line, and increases the damage of the user's next force strike by 100%. This damage increase will not stack.</t>
  </si>
  <si>
    <t>Deals 1 hit of 300% water damage to surrounding enemies, 1 hit of 2700% water damage to enemies in a line, and increases the damage of the user's next force strike by 120%. This damage increase will not stack.</t>
  </si>
  <si>
    <t>Increases the rate at which the user's force strikes charge by 30% for 30 seconds. This speed increase will not stack.</t>
  </si>
  <si>
    <t>Increases the rate at which the user's force strikes charge by 30% for 30 seconds. This speed increase will not stack. Also, grants the user a critical damage amp (Team Amp MAX Lv. = 3).</t>
  </si>
  <si>
    <t>Deals 14 hits of 141% water damage to enemies in a line, and inflicts frostbite for 21 seconds - dealing 41% water damage every 2.9 seconds - with 120% chance.</t>
  </si>
  <si>
    <t>Deals 14 hits of 180% water damage to enemies in a line, and inflicts frostbite for 21 seconds - dealing 50% water damage every 2.9 seconds - with 120% chance.</t>
  </si>
  <si>
    <t>For 15 seconds, increases the user and nearby allies' strength by 20% and skill gauge fill rate by 25%. Also grants the user the following additional buffs based on the number of adventurers who were buffed by this skill, including the user: One or more adventurers: Increases defense by 10% for 10 seconds. Two or more adventurers: Increases critical rate by 10% for 10 seconds. Three or more adventurers: Immediately readies the user's initial skill, displayed at the top of their skill list, for use.</t>
  </si>
  <si>
    <t>Increases the entire team's strength by 20% and defense by 10% and critical rate by 10%, and skill gauge fill rate by 25% for 15 seconds. Also, immediately readies the user's initial skill, displayed at the top of their skill list, for use. In addition, grants the user a defense amp (Team Amp MAX Lv. = 1).</t>
  </si>
  <si>
    <t>Deals 3 hits of 521% water damage to enemies in a line, and inflicts frostbite for 21 seconds - dealing 41% water damage every 2.9 seconds - with 120% chance. Frostbitten foes take 3 hits of 885.7% water damage instead.</t>
  </si>
  <si>
    <t>Deals 3 hits of 900% water damage to enemies in a line, and inflicts frostbite for 21 seconds - dealing 50% water damage every 2.9 seconds - with 120% chance.</t>
  </si>
  <si>
    <t>Grants nearby allies a one-use shield that nullifies damage less than 20% of the user's maximum HP, and increases their energy levels by 3 stages. Also activates "Gifts Ready". The next 2 force strikes will not deal damage, but will distribute gifts. These gifts grant nearby allies a one-use shield that nullifies damage less than 20% of the user's maximum HP, and increase their energy levels by 3 stages.</t>
  </si>
  <si>
    <t>Grants the entire team a one-use shield that nullifies damage less than 40% of the user's maximum HP, and increases their energy levels by 3 stages. Also activates "Gifts Ready". The next 2 force strikes will not deal damage, but will distribute gifts. These gifts grant the entire team a one-use shield that nullifies damage less than 40% of the user's maximum HP, increases their energy levels by 3 stages, and increases the entire team's max HP by 10% for the remainder of the quest. Once HP buffs reach the limit of 30%, an HP recovery effect is granted instead.</t>
  </si>
  <si>
    <t>Deals 3 hits of 524% water damage to enemies in a line, and inflicts frostbite for 21 seconds - dealing 37% water damage every 2.9 seconds - with 120% chance. Frostbitten foes take 3 hits of 628.8% water damage instead.</t>
  </si>
  <si>
    <t>Deals 3 hits of 800% water damage to enemies in a line, and inflicts frostbite for 21 seconds - dealing 50% water damage every 2.9 seconds - with 120% chance.</t>
  </si>
  <si>
    <t>015</t>
  </si>
  <si>
    <t>0.85 second(s)</t>
  </si>
  <si>
    <t>Deals 1 hit of 1334% water damage to the target, and inflicts bog for 8 seconds with 80% base chance. Frostbitten foes take 1 hit of 2001% water damage instead.</t>
  </si>
  <si>
    <t>Deals 1 hit of 2400% water damage to the target, inflicts bog for 8 seconds with 120% base chance, dispels one buff from each target, and lowers their frostbite resistance by 20% for 30 seconds. This resistance reduction will not stack.</t>
  </si>
  <si>
    <t>Deals 1 hit of 1184% water damage to surrounding enemies and inflicts frostbite for 21 seconds - dealing 41% water damage every 2.9 seconds - with 120% chance. If this skill is used during dragondrive, it will deal 3 hits of 439% water damage to surrounding enemies and inflicts frostbite for 21 seconds - dealing 41% water damage every 2.9 seconds - with 120% chance, bog for 8 seconds with 110% chance, and freeze for 3-6 seconds with 120% chance.</t>
  </si>
  <si>
    <t>Deals 1 hit of 1200% water damage to surrounding enemies and inflicts frostbite for 21 seconds - dealing 50% water damage every 2.9 seconds - with 120% chance. If this skill is used during dragondrive, it will deal 3 hits of 500% water damage to surrounding enemies and inflicts frostbite for 21 seconds - dealing 50% water damage every 2.9 seconds - with 120% chance, bog for 8 seconds with 120% chance, and freeze for 3-6 seconds with 200% chance. Also grant the user a defense amp (Team Amp MAX Lv. = 3). After this amp is granted, this skill will not grant it again for 15 seconds.</t>
  </si>
  <si>
    <t>Removes Demon's Seal from the user, removes Locked Sigil from teammates, and fully fills the user's dragondrive gauge. The skill gauge fill rate for this skill and the amount that gauge-filling effects fill its skill gauge are reduced by 65%. If this skill is used during dragondrive, it will instead cost 6170 SP, deal 1 hit of 1547% water damage to enemies in a line and fill the user's dragondrive gauge by 500 UTP.</t>
  </si>
  <si>
    <t>Removes Demon's Seal from the user, removes Locked Sigil from teammates, and fully fills the user's dragondrive gauge. The skill gauge fill rate for this skill and the amount that gauge-filling effects fill its skill gauge are reduced by 65%. If this skill is used during dragondrive, it will instead cost 6170 SP, deal 1 hit of 2000% water damage to enemies in a line, dispels one buff from each target, and fill the user's dragondrive gauge by 500 UTP.</t>
  </si>
  <si>
    <t>316</t>
  </si>
  <si>
    <t>This skill can only be used while the user has one or more ego gauge charges. Consumes one charge of the ego gauge. If one or more teammates are located behind the user, grants the entire team a team strength amp (MAX Lv. = 2). Otherwise, grants the user a strength amp (Team Amp MAX Lv. = 2).</t>
  </si>
  <si>
    <t>This skill can only be used while the user has one or more ego gauge charges. Consumes one charge of the ego gauge and grants the entire team a team strength amp (MAX Lv. = 2).</t>
  </si>
  <si>
    <t>317</t>
  </si>
  <si>
    <t>This skill can only be used while the user has one or more ego gauge charges. Consumes one charge of the ego gauge and grants the user 1 charge of damage diffusion (does not stack). If one or more teammates are located in front of the user, grants the entire team a team defense amp (MAX Lv. = 2). Otherwise, grants the user a defense amp (Team Amp MAX Lv. = 2).</t>
  </si>
  <si>
    <t>This skill can only be used while the user has one or more ego gauge charges. Consumes one charge of the ego gauge, grants the user 1 charge of damage diffusion (does not stack), and grants the entire team a team defense amp (MAX Lv. = 2).</t>
  </si>
  <si>
    <t>188</t>
  </si>
  <si>
    <t>Deals 5 hits of 153% and 1 hit of 425% water damage to the target and nearby enemies, and grants the user the "Starlit Dining" effect. Starlit Dining enhances Astral Garnish, and it can stack up to 4 times.</t>
  </si>
  <si>
    <t xml:space="preserve">Deals 5 hits of 200% and 1 hit of 500% water damage to the target and nearby enemies, and grants the user the "Starlit Dining" effect, and Starlit Dining enhances Astral Garnish, and it can stack up to 4 times. Also, grants a strength amp (Team Amp MAX Lv. = 3). After this amp is granted, this skill will not grant it again for 15 seconds. </t>
  </si>
  <si>
    <t>Deals 1 hit of 1845% water damage to enemies directly ahead, creates a debuff zone that lasts for 10 seconds and reduces the defense of enemies inside it by 15%, and activates "Skill Shift." Phase II also increases the entire team's energy levels by 2 stages, while Phase III increases them by 3 stages.</t>
  </si>
  <si>
    <t>Deals 1 hit of 2000% water damage to enemies directly ahead, dispels one buff from each target, creates a debuff zone that lasts for 10 seconds and reduces the defense of enemies inside it by 15% lowers their frostbite resistance by 20%, and increases the entire team's energy levels by 3 stages.</t>
  </si>
  <si>
    <t>Deals 4 hits of 321% water damage to the target and nearby enemies, increases the user's inspiration by 1 stage, and raises the user's dragondrive gauge by 530 UTP. If this skill is used during dragondrive, a variant called Tentacle Phantasma will be used instead. Tentacle Phantasma deals 4 hits of 337% water damage to the target and nearby enemies. Frostbitten enemies take 4 hits of 539.2% water damage instead.</t>
  </si>
  <si>
    <t>Deals 4 hits of 380% water damage to the target and nearby enemies, increases the user's inspiration by 1 stage, and raises the user's dragondrive gauge by 530 UTP. If this skill is used during dragondrive, a variant called Tentacle Phantasma will be used instead. Tentacle Phantasma deals 4 hits of 650% water damage to the target and nearby enemies and inflicts frostbite - dealing 50% water damage every 2.9 seconds for 30 seconds - with 120% chance.</t>
  </si>
  <si>
    <t>Deals 4 hits of 354% water damage to enemies in a line, inflicts frostbite - dealing 28.7% water damage every 2.9 seconds for 30 seconds - with 120% chance, increases the user's inspiration by 2 stages, and raises the user's dragondrive gauge by 530 UTP. If this skill is used during dragondrive, a variant called Tentacle Mirage will be used instead. Tentacle Mirage deals 4 hits of 447% water damage to enemies in a line. Frostbitten enemies take 4 hits of 715.2% water damage instead.</t>
  </si>
  <si>
    <t>Deals 4 hits of 420% water damage to enemies in a line, inflicts frostbite - dealing 50% water damage every 2.9 seconds for 30 seconds - with 120% chance, dispels one buff from each target, increases the user's inspiration by 2 stages, and raises the user's dragondrive gauge by 530 UTP. If this skill is used during dragondrive, a variant called Tentacle Mirage will be used instead. Tentacle Mirage deals 4 hits of 800% water damage to enemies in a line and lowers their frostbite resistance by 20% for 30 seconds. This resistance reduction will not stack.</t>
  </si>
  <si>
    <t>Deals 2 hits of 740.6% water damage to the target and nearby enemies, inflicts freeze for 3-6 seconds with 200% chance, and frostbite - dealing 41% water damage every 2.9 seconds for 21 seconds - with 120% chance. Frostbitten foes take 2 hits of 962.78% water damage instead.</t>
  </si>
  <si>
    <t>Deals 2 hits of 1100% water damage to the target and nearby enemies, inflicts freeze for 3-6 seconds with 200% chance, and frostbite - dealing 50% water damage every 2.9 seconds for 21 seconds - with 120% chance.</t>
  </si>
  <si>
    <t>Deals 1 hit of 1819% water damage to surrounding enemies and activates "Crystalian Princess" for 30 seconds. During Crystalian Princess, the user's standard attacks are buffed and do extra damage to frostbitten enemies, and the area of effect of this skill is increased to 6. Crystalian Princess will not stack, and the 30-second timer will be reset if it is activated again. Frostbitten foes take 1 hit of 2364.7% water damage instead.</t>
  </si>
  <si>
    <t>Deals 1 hit of 2500% water damage to surrounding enemies, dispels one buff from each target, and activates "Crystalian Princess" for 40 seconds. During Crystalian Princess, the user's standard attacks are buffed and do extra damage to frostbitten enemies, and the area of effect of this skill is increased to 6. Crystalian Princess will not stack, and the 40-second timer will be reset if it is activated again.</t>
  </si>
  <si>
    <t>Increases the entire team's defense by 25% for 15 seconds, and activates "Skill Shift." Phase II adds an additional 3% increase to the entire team's flame resistance for 10 seconds, while Phase III also increases the entire team's energy levels by 1 stage.</t>
  </si>
  <si>
    <t>Increases the entire team's defense by 25% for 15 seconds, adds an additional 10% increase to the entire team's flame resistance for 10 seconds, and increases the entire team's energy levels by 1 stage. Also, grants the user a defense amp (Team Amp MAX Lv. = 1).</t>
  </si>
  <si>
    <t>086</t>
  </si>
  <si>
    <t>Increases the entire team's energy levels by 2 stages, and increases user's strength by 30% for 15 seconds.</t>
  </si>
  <si>
    <t>Increases the entire team's energy levels by 2 stages, and increases the entire team's strength by 30% for 15 seconds. Also, grants the user a strength amp (Team Amp MAX Lv. = 1).</t>
  </si>
  <si>
    <t>Deals 2 hits of 660% water damage to the target and nearby enemies, and reduces their defense by 5% for 10 seconds. This defense reduction effect will not stack.</t>
  </si>
  <si>
    <t>Deals 2 hits of 1000% water damage to the target and nearby enemies, dispels one buff from each target, and reduces their defense by 10% for 10 seconds. This defense reduction effect will not stack.</t>
  </si>
  <si>
    <t>Increases the strength of water-attuned adventurers in the team by 20% for 15 seconds, and removes stun.</t>
  </si>
  <si>
    <t>Increases the entire team's strength by 25% for 15 seconds, removes stun, gradually recovers their HP with 35% Recovery Potency every 2.9 seconds for 20 seconds, and increases max HP by 10% for the remainder of the quest. Once HP buffs reach the limit of 30%, an HP recovery effect is granted instead. Also, grants the user a strength amp (Team Amp MAX Lv. = 3).</t>
  </si>
  <si>
    <t>Deals 2 hits of 878% water damage to the target and nearby enemies, and inflicts freeze for 3-6 seconds with 100% base chance.</t>
  </si>
  <si>
    <t>Deals 2 hits of 1200% water damage to the target and nearby enemies, dispels one buff from each target, inflicts frostbite for 21 seconds - dealing 50% water damage every 2.9 seconds - with 120% base chance, inflicts freeze for 3-6 seconds with 200% chance.</t>
  </si>
  <si>
    <t>930</t>
  </si>
  <si>
    <t>Increases the user and nearby allies' strength by 20% for 10 seconds, and increases their energy level by 3 stages.</t>
  </si>
  <si>
    <t>Increases the entire team's strength by 25% for 15 seconds, increases their energy level by 3 stages, and grants the user a strength amp (Team Amp MAX Lv. = 3).</t>
  </si>
  <si>
    <t>284</t>
  </si>
  <si>
    <t>Consumes one level of the user's skill reservoir, restores HP to all teammates with 80% Recovery Potency, continues gradually healing over the next 15 seconds with 20% Recovery Potency every 2.9 seconds, and activates additional effects based on which of the following buffs the user has: Coordination Protocol: Grants overdamage to the entire team based on 40% of the user's strength for 30 seconds. This overdamage will not stack. Concentration Protocol: Grants the user the "Rapid Analysis" effect. This effect stacks up to 3 times. If this skill is used while shapeshifted, a variant called Celestial Skewer will be used instead. Celestial Skewer costs 3940 SP instead, deals 2 hits of 1329% water damage to surrounding enemies and, if the user has Rapid Analysis, consumes one Rapid Analysis stack, then restores HP to all teammates with 60% Recovery Potency and immediately readies this skill for use.</t>
  </si>
  <si>
    <t>Consumes one level of the user's skill reservoir, restores HP to all teammates with 80% Recovery Potency, continues gradually healing over the next 15 seconds with 20% Recovery Potency every 2.9 seconds, and grants overdamage to the entire team based on 50% of the user's strength for 30 seconds. This overdamage will not stack. Also, grants the user the "Rapid Analysis" effect. This effect stacks up to 3 times. If this skill is used while shapeshifted, a variant called Celestial Skewer will be used instead. Celestial Skewer costs 3940 SP instead, deals 2 hits of 1500% water damage to surrounding enemies, restores HP to all teammates with 60% Recovery Potency, and, if the user has Rapid Analysis, consumes one Rapid Analysis stack, immediately readies this skill for use.</t>
  </si>
  <si>
    <t>286</t>
  </si>
  <si>
    <t>Consumes one level of the user's skill reservoir, restores HP to all teammates with 135% Recovery Potency, and activates additional effects based on which of the following buffs the user has: Coordination Protocol: Removes all afflictions from the entire team and increases the max HP of adventurers from whom afflictions have been removed by 30%. Concentration Protocol: Fills the user's unique shapeshift gauge by 600 UTP. If this skill is used while shapeshifted, a variant called Celestial Castling will be used instead. Celestial Castling costs 5240 SP instead, deals 7 hits of 313% water damage to surrounding enemies, inflicts frostbite, and inflicts one of the following: poison, burn, paralysis, stormlash, flashburn, shadowblight, or scorchrend, both with 110% chance. Frostbite, stormlash, flashburn, shadowblight and scorchrend will last for 21 seconds, dealing 31% water damage every 2.9 seconds. Poison will last for 15 seconds, dealing 43.6% water damage every 2.9 seconds. Burn will last for 12 seconds, dealing 72.7% water damage every 3.9 seconds. Paralysis will last for 13 seconds, dealing 72.7% water damage every 3.9 seconds. Also, if the user has Rapid Analysis, Celestial Castling consumes one Rapid Analysis stack, then restores HP to all teammates with 50% Recovery Potency and immediately readies this skill for use.</t>
  </si>
  <si>
    <t>Consumes one level of the user's skill reservoir, restores HP to all teammates with 130% Recovery Potency, fills the user's unique shapeshift gauge by 600 UTP removes all afflictions from the entire team and increases the max HP of adventurers from whom afflictions have been removed by 30%. If this skill is used while shapeshifted, a variant called Celestial Castling will be used instead. Celestial Castling costs 5240 SP instead, restores HP to all teammates with 60% Recovery Potency, and deals 7 hits of 350% water damage to surrounding enemies, inflicts frostbite, poison, burn, paralysis, stormlash, flashburn, shadowblight, and scorchrend with 120% chance. All afflictions will last for 21 seconds, dealing 50% water damage every 2.9 seconds. Also, if the user has Rapid Analysis, Celestial Castling consumes one Rapid Analysis stack, and immediately readies this skill for use.</t>
  </si>
  <si>
    <t>191</t>
  </si>
  <si>
    <t>Restores HP to all teammates with 87% Recovery Potency, grants them the "Crystalline Power" effect for 30 seconds, and increases their strength by 15% for 60 seconds. Crystalline Power grants overdamage based on 40% of the user's strength, and this skill's strength increase effect will not stack.</t>
  </si>
  <si>
    <t>Restores HP to all teammates with 100% Recovery Potency, grants overdamage to the entire team based on 50% of the user's strength for 30 seconds, and increases their strength by 15% for 60 seconds. This skill's strength increase effect will not stack.</t>
  </si>
  <si>
    <t>192</t>
  </si>
  <si>
    <t>Consumes all Starfall Strength stacks, and grants the user the "Stupendous Strength" effect for 10 seconds. Stupendous Strength will not stack, and its effect is based on the number of Starfall Strength stacks consumed. None: Increases strength by 20%. One: Increases strength by 40%. Two: Increases strength by 60%. Three: Increases strength by 100%.</t>
  </si>
  <si>
    <t>Consumes all Starfall Strength stacks, and grants the user the "Stupendous Strength" effect for 15 seconds. Stupendous Strength will not stack, and its effect is based on the number of Starfall Strength stacks consumed. None: Increases strength by 20%. One: Increases strength by 40% and grants the user a strength amp (Team Amp MAX Lv. = 3). Two: Increases strength by 60% and grants the user two strength amps (Team Amp MAX Lv. = 3). Three: Increases strength by 100% and grants the user a team strength amp (Team Amp MAX Lv. = 3).</t>
  </si>
  <si>
    <t>Restores HP to all allies with 108% Recovery Potency, removes burning, and increases the entire team's strength by 15% for 60 seconds. This strength increase will not stack.</t>
  </si>
  <si>
    <t>Restores HP to all allies with 130% Recovery Potency, removes burning, and increases the entire team's strength by 15% for 60 seconds. This strength increase will not stack.</t>
  </si>
  <si>
    <t>Increases the entire team's defense by 20% for 15 seconds, and gradually recovers their HP for 15 seconds, healing with 29% Recovery Potency every 2.9 seconds.</t>
  </si>
  <si>
    <t>Increases the entire team's defense by 25% for 15 seconds, and gradually recovers their HP for 20 seconds, healing with 35% Recovery Potency every 2.9 seconds, and grants the user a defense amp (Team Amp MAX Lv. = 3).</t>
  </si>
  <si>
    <t>Restores HP to all allies with 44% Recovery Potency, continues healing over the next 15 seconds with 35% Recovery Potency every 2.9 seconds, increases entire team's defense by 15% for 10 seconds, and team's strength by 8% for 60 seconds. This strength increase will not stack.</t>
  </si>
  <si>
    <t>Restores HP to all allies with 60% Recovery Potency, continues healing over the next 15 seconds with 35% Recovery Potency every 2.9 seconds, increases the entire team's defense by 25% for 15 seconds, and team's strength by 15% for 60 seconds. This strength increase will not stack.</t>
  </si>
  <si>
    <t>Restores HP to the user and nearby allies with 108% Recovery Potency, increases their max HP by 5%, and removes stun.</t>
  </si>
  <si>
    <t>Restores HP to all allies with 130% Recovery Potency, increases their max HP by 10%, and removes stun.</t>
  </si>
  <si>
    <t>Increases the entire team's defense by 20% for 15 seconds.</t>
  </si>
  <si>
    <t>Increases the entire team's defense by 25% for 15 seconds, and gradually recovers their HP for 20 seconds, healing with 35% Recovery Potency every 2.9 seconds.</t>
  </si>
  <si>
    <t>Restores HP to all allies with 44% Recovery Potency and applies Regen for 15 seconds, healing with 35% Regen Potency every 2.99 seconds.</t>
  </si>
  <si>
    <t>157</t>
  </si>
  <si>
    <t>Deals 25 hits of 32% water damage to enemies directly ahead, inflicts frostbite for 21 seconds - dealing 41% water damage every 2.9 seconds - with 120% chance, and, if this skill hits enemies 25 or more times during the same combo, fills the skill gauge for Sylvan Aim by 25%.</t>
  </si>
  <si>
    <t>Deals 25 hits of 50% water damage to enemies directly ahead, inflicts frostbite for 21 seconds - dealing 50% water damage every 2.9 seconds - with 120% chance, and, if this skill hits enemies 25 or more times during the same combo, fills the skill gauge for Sylvan Aim by 25% and dispels one buff from each target.</t>
  </si>
  <si>
    <t>242</t>
  </si>
  <si>
    <t>Deals 1 hit of 330% and 4 hits of 149% water damage to the target and nearby enemies, and activates one of the following effects at random: Reduces the strength of enemies hit by this attack by 20% for 15 seconds. Reduces the defense of enemies hit by this attack by 7% for 12 seconds. Restores the user's HP with 4 separate bursts of 10% Healing Potency. This healing is calculated for each individually.</t>
  </si>
  <si>
    <t>Deals 1 hit of 500% and 4 hits of 200% water damage to the target and nearby enemies, reduces their strength by 20% for 10 seconds, reduces their defense by 10% for 10 seconds, and restores the entire team's HP with 4 separate bursts of 10% Healing Potency. This healing is calculated for each individually.</t>
  </si>
  <si>
    <t>197</t>
  </si>
  <si>
    <t>Begins preparing a powerful shot for 2.4 seconds, after which this skill will deal 5 hits of 213% water damage to enemies directly ahead. If, while preparing this shot, the user is hit by an attack that can be avoided with the damage immunity provided by skills, this skill will also deal 1 hit of 10% to enemies directly ahead, and 1 hit of 1572% water damage to surrounding enemies and, for 30 seconds, increase the user's attack rate by 15%. This attack rate increase will not stack.</t>
  </si>
  <si>
    <t>Begins preparing a powerful shot for 2.4 seconds, after which this skill will deal 5 hits of 260% water damage to enemies directly ahead. If, while preparing this shot, the user is hit by an attack that can be avoided with the damage immunity provided by skills, this skill will also deal 1 hit of 10% to enemies directly ahead, and 1 hit of 2000% water damage to surrounding enemies and, for 30 seconds, increase the user's attack rate by 15%. This attack rate increase will not stack.</t>
  </si>
  <si>
    <t>198</t>
  </si>
  <si>
    <t>Deals 8 hits of 167% and 5 hits of 88% water damage to the target and nearby enemies.</t>
  </si>
  <si>
    <t>Deals 8 hits of 200% and 5 hits of 100% water damage to the target and nearby enemies and dispels one buff from each target.</t>
  </si>
  <si>
    <t>179</t>
  </si>
  <si>
    <t>Deals 1 hit of 246% and 1 hit of 1033% water damage to the target and nearby enemies, and dispels one buff from each of them.</t>
  </si>
  <si>
    <t>Deals 1 hit of 300% and 1 hit of 1200% water damage to the target and nearby enemies, and dispels one buff from each of them.</t>
  </si>
  <si>
    <t>156</t>
  </si>
  <si>
    <t>Deals 2 hits of 1505% water damage to enemies directly ahead. The more buffs the user has, the higher the skill boost received and the higher the damage dealt, at +20% skill damage per Stronger Bullets stack and +5% skill damage per any other buff stack, up to a combined maximum of +80%.</t>
  </si>
  <si>
    <t>Deals 2 hits of 1800% water damage to enemies directly ahead. The more buffs and amps the user has, the higher the skill boost received and the higher the damage dealt, at +20% skill damage per Stronger Bullets stack, +5% skill damage per any other buff stack, and +5% skill damage per amp.</t>
  </si>
  <si>
    <t>343</t>
  </si>
  <si>
    <t>The user takes the form of Primal Midgardsormr and deals 5 hits of 230% wind damage to the target and nearby enemies. This attack raises the dragon gauge by 50 DP if the attack connects. The user then returns to their original form, deals 1 hit of 1085% damage to enemies in a line, and inflicts stormlash for 21 seconds - dealing 41% damage every 2.9 seconds - with 120% chance. Certain abilities that activate while shapeshifted will affect Primal Midgardsormr's attack.</t>
  </si>
  <si>
    <t>The user takes the form of Primal Midgardsormr and deals 5 hits of 250% wind damage to the target and nearby enemies. This attack raises the dragon gauge by 50 DP if the attack connects. The user then returns to their original form, deals 1 hit of 1100% damage to enemies in a line, and inflicts stormlash for 21 seconds - dealing 50% damage every 2.9 seconds - with 120% chance. Certain abilities that activate while shapeshifted will affect Primal Midgardsormr's attack.</t>
  </si>
  <si>
    <t>344</t>
  </si>
  <si>
    <t>The user takes the form of Primal Midgardsormr, deals 8 hits of 271% wind damage damage to surrounding enemies, inflicts stun for 5-6 seconds with 100% base chance, then returns to their original form. The user then deals 1 hit of 2025% wind damage to surrounding enemies. This second attack's bonus OD Bar damage is increased to 2x. Certain abilities that activate while shapeshifting will affect Primal Midgardsormr's attack.</t>
  </si>
  <si>
    <t>The user takes the form of Primal Midgardsormr, deals 8 hits of 280% wind damage damage to surrounding enemies, inflicts stun for 6-7 seconds with 120% base chance, then returns to their original form. The user then deals 1 hit of 2100% wind damage to surrounding enemies. This second attack's bonus OD Bar damage is increased to 2x. Certain abilities that activate while shapeshifting will affect Primal Midgardsormr's attack.</t>
  </si>
  <si>
    <t>Deals 1 hit of 1389% wind damage to enemies directly ahead, and fills the user's dragondrive gauge by 750 UTP. If this skill is used during dragondrive, a variant of Faerie Stance will be used instead. This variant consumes 650 UTP of the user's dragondrive gauge, deals 1 hit of 938% and 6 hits of 79% wind damage to enemies directly ahead, then fills 100% of this skill's skill gauge after use.</t>
  </si>
  <si>
    <t>Deals 1 hit of 1500% wind damage to enemies directly ahead, and fills the user's dragondrive gauge by 750 UTP. If this skill is used during dragondrive, a variant of Faerie Stance will be used instead. This variant consumes 650 UTP of the user's dragondrive gauge, deals 1 hit of 1000% and 6 hits of 100% wind damage to enemies directly ahead, inflicts stormlash for 21 seconds - dealing 50% damage every 2.9 seconds - with 120% chance, then fills 100% of this skill's skill gauge after use.</t>
  </si>
  <si>
    <t>Deals 6 hits of 234% wind damage to the target and nearby enemies, and reduces their strength by 10% for 30 seconds. If this skill is used during dragondrive, a variant of Crescent Faeria will be used instead. This variant deals 6 hits of 320% wind damage to the target and nearby enemies, reduces their strength by 10% for 30 seconds and reduces their defense by 5% for 10 seconds.</t>
  </si>
  <si>
    <t>Deals 6 hits of 250% wind damage to the target and nearby enemies, reduces their strength by 10% for 30 seconds, and dispels one buff from each target. If this skill is used during dragondrive, a variant of Crescent Faeria will be used instead. This variant deals 6 hits of 400% wind damage to the target and nearby enemies, reduces their strength by 10% for 30 seconds, reduces their defense by 10% for 10 seconds, and dispels one buff from each target.</t>
  </si>
  <si>
    <t>205</t>
  </si>
  <si>
    <t>Deals 10 hits of 225% wind damage to enemies directly ahead, and fills the Persona gauge by 300 UTP if the attack connects. Changing direction is possible during the attack. When Zorro is active, a variant called Lucky Punch will be used instead. Lucky Punch deals 3 hits of 825% wind damage to enemies directly ahead with a 30% higher chance of landing critical hits. Has a 25% chance to activate a more powerful version of this skill when used, dealing 5 hits of 500% wind damage with a 50% higher chance of landing critical hits.</t>
  </si>
  <si>
    <t>Deals 10 hits of 240% wind damage to enemies directly ahead, and fills the Persona gauge by 300 UTP if the attack connects. Changing direction is possible during the attack. When Zorro is active, a variant called Lucky Punch will be used instead. Lucky Punch deals 3 hits of 900% wind damage to enemies directly ahead with a 30% higher chance of landing critical hits. Has a 25% chance to activate a more powerful version of this skill when used, dealing 5 hits of 550% wind damage with a 50% higher chance of landing critical hits.</t>
  </si>
  <si>
    <t>Deals 4 hits of 600% wind damage to surrounding enemies, draws them toward the user, and fills the Persona gauge by 300 UTP if the attack connects. When Zorro is active, a variant called Garula will be used instead. Garula deals 5 hits of 600% wind damage to the target and nearby enemies, and draws them together. If this skill is used as a Shared Skill, deals 4 hits of 600% wind damage to surrounding enemies, and draws them toward the user.</t>
  </si>
  <si>
    <t>Deals 4 hits of 600% wind damage to surrounding enemies, draws them toward the user, dispels one buff from each target, inflicts stormlash for 21 seconds - dealing 50% wind damage every 2.9 seconds - with 120% base chance, and fills the Persona gauge by 300 UTP if the attack connects. When Zorro is active, a variant called Garula will be used instead. Garula deals 5 hits of 600% wind damage to the target and nearby enemies, draws them together, and dispels one buff from each target, and inflicts stormlash for 21 seconds - dealing 50% wind damage every 2.9 seconds - with 120% base chance. If used as a Shared Skill, uses the first variant.</t>
  </si>
  <si>
    <t>123</t>
  </si>
  <si>
    <t>Deals 1 hit of 490% and 1 hit of 510% wind damage to surrounding enemies, reduces their defense by 5% for 20 seconds, dispels one buff from each target, and inflicts poison for 15 seconds - dealing 58.2% wind damage every 2.9 seconds - with 120% chance. This defense reduction will not stack. If this skill is used during shielding stance, a variant called Sparrows' Protection will be used instead. Sparrows' Protection increases the entire team's max HP by 10% for the remainder of the quest and the user's defense by 60% for 15 seconds.</t>
  </si>
  <si>
    <t>Deals 1 hit of 500% and 1 hit of 600% wind damage to surrounding enemies, reduces their defense by 5% for 20 seconds, dispels one buff from each target, and inflicts poison for 21 seconds - dealing 50% wind damage every 2.9 seconds - with 120% chance. This defense reduction will not stack. If this skill is used during shielding stance, a variant called Sparrows' Protection will be used instead. Sparrows' Protection increases the entire team's max HP by 10% for the remainder of the quest and the user's defense by 60% for 15 seconds.</t>
  </si>
  <si>
    <t>125</t>
  </si>
  <si>
    <t>Deals 2 hits of 510% and 1 hit of 550% wind damage to enemies in a line and reduces their strength by 5% for 20 seconds. This strength reduction effect will not stack. Poisoned foes take 2 hits of 612% and 1 hit of 660% wind damage instead. If this skill is used during shielding stance, a variant called Parrying Slash will be used instead. Parrying Slash deals 1 hit of 710%, 1 hit of 780% and 1 hit of 850% wind damage to enemies directly ahead and inflicts poison for 15 seconds - dealing 58.2% wind damage every 2.9 seconds - with 120% chance. Foes with reduced defense take 1 hit of 852%, 1 hit of 936% and 1 hit of 1020% wind damage instead.</t>
  </si>
  <si>
    <t>Deals 2 hits of 700% and 1 hit of 750% wind damage to enemies in a line and reduces their strength by 5% for 20 seconds, and increases the entire team's max HP by 5% for the remainder of the quest. This strength reduction effect will not stack. Once HP buffs reach the limit of 30%, an HP recovery effect is granted instead. If this skill is used during shielding stance, a variant called Parrying Slash will be used instead. Parrying Slash deals 1 hit of 900%, 1 hit of 1000%. and 1 hit of 1100% wind damage to enemies directly ahead and inflicts poison for 21 seconds - dealing 50% wind damage every 2.9 seconds - with 120% chance.</t>
  </si>
  <si>
    <t>2.15 second(s)</t>
  </si>
  <si>
    <t>Deals 1 hit of 1485% wind damage to enemies directly ahead, and creates a buff zone that lasts for 10 seconds and gradually heals the HP of adventurers inside it with 20% Recovery Potency every 3 seconds.</t>
  </si>
  <si>
    <t>Deals 1 hit of 2000% wind damage to enemies directly ahead, and creates a buff zone that lasts for 15 seconds and gradually heals the HP of adventurers inside it with 35% Recovery Potency every 2.9 seconds.</t>
  </si>
  <si>
    <t>Deals 1 hit of 1051.5% wind damage to enemies directly ahead, and creates a debuff zone that lasts for 10 seconds and reduces the defense of enemies inside it by 15%.</t>
  </si>
  <si>
    <t>Deals 1 hit of 1500% wind damage to enemies directly ahead, dispels one buff from each target, and creates a debuff zone that lasts for 15 seconds and reduces the defense of enemies inside it by 15% and lowers stormlash resistance by 20%.</t>
  </si>
  <si>
    <t>Deals 6 hits of 309% wind damage to the target and nearby enemies. Damage is increased when Experience's Boon has full gauges.</t>
  </si>
  <si>
    <t>Deals 6 hits of 350% wind damage to the target and nearby enemies and inflicts poison for 21 seconds - dealing 50% wind damage every 2.9 seconds - with 120% base chance. Damage is increased when Experience's Boon has full gauges.</t>
  </si>
  <si>
    <t>035</t>
  </si>
  <si>
    <t>Increases the entire team's defense by 20% for 15 seconds, and grants the user a Strength Amp (Team Amp MAX Lv. = 3). After this amp is granted, this skill will not grant it again for 30 seconds. Also activates "Gale-Clad Sword." The user's next 3 force strikes are powered up, can damage faraway enemies, and will fill the Burst Gauge faster.</t>
  </si>
  <si>
    <t>Increases the entire team's defense by 25% for 15 seconds, and grants the user a Strength Amp (Team Amp MAX Lv. = 3). After this amp is granted, this skill will not grant it again for 15 seconds. Also activates "Gale-Clad Sword." The user's next 3 force strikes are powered up, can damage faraway enemies, can dispel one buff from each target, and will fill the Burst Gauge faster.</t>
  </si>
  <si>
    <t>Increases the entire team's defense by 25%, and strength by 15% for 15 seconds.</t>
  </si>
  <si>
    <t>Increases the entire team's defense by 25%, and strength by 15% for 15 seconds and grants the user a defense amp (Team Amp MAX Lv. = 1).</t>
  </si>
  <si>
    <t>Deals 2 hits of 1324% wind damage to surrounding enemies.</t>
  </si>
  <si>
    <t>Deals 2 hits of 1600% wind damage to surrounding enemies, dispels one buff from each target, and inflicts stormlash for 21 seconds - dealing 50% wind damage every 2.9 seconds - with 120% base chance.</t>
  </si>
  <si>
    <t>Deals 4 hits of 414% wind damage to enemies directly ahead.</t>
  </si>
  <si>
    <t>Deals 4 hits of 450% wind damage to enemies directly ahead and inflicts bleeding for 30 seconds - dealing 150% wind damage every 4.9 seconds - with 100% base chance. If the user has the "Apsaras Formation" effect, also inflicts stormlash for 21 seconds - dealing 50% wind damage every 2.9 seconds - with 120% base chance.</t>
  </si>
  <si>
    <t>Activates "Apsaras Formation" for 10 seconds. During Apsaras Formation, the user's critical rate is increased by 10%, and their force strike will deal extra damage and reduce enemy defense by 5% for 10 seconds. This defense reduction effect does not stack.</t>
  </si>
  <si>
    <t>Activates "Apsaras Formation" for 15 seconds. During Apsaras Formation, the user's critical rate is increased by 15%, and their force strike will deal extra damage, dispel one buff from each target, and reduce enemy defense by 10% for 10 seconds. This defense reduction effect does not stack. Also, grant the user a strength amp (Team Amp MAX Lv. = 3). After this amp is granted, this ability will not grant it again for 15 seconds.</t>
  </si>
  <si>
    <t>Deals 5 hits of 300% wind damage to enemies directly ahead. During this attack, if the user is hit by an attack that can be avoided with the damage immunity provided by skills, this skill's attack will be interrupted, and the user will initiate a counterattack. This counterattack will deal 4 hits of 350% critical wind damage to enemies directly ahead.</t>
  </si>
  <si>
    <t>Deals 5 hits of 400% wind damage to enemies directly ahead and inflicts stormlash for 21 seconds - dealing 50% wind damage every 2.9 seconds - with 120% base chance. During this attack, if the user is hit by an attack that can be avoided with the damage immunity provided by skills, this skill's attack will be interrupted, and the user will initiate a counterattack. This counterattack will deal 4 hits of 500% critical wind damage to enemies directly ahead and dispel one buff from each target.</t>
  </si>
  <si>
    <t>Grants all team members other than the user 2 charges of reflexive evasion and grants the user the "Corvid Connivery" effect. Corvid Connivery grants 1 charge of damage diffusion, and does not stack.</t>
  </si>
  <si>
    <t>Grants all team members 2 charges of reflexive evasion and grants the user the "Corvid Connivery" effect, and grants the user a critical damage amp (Team Amp MAX Lv. = 3). After this amp is granted, this skill will not grant it again for 15 seconds. Corvid Connivery grants 1 charge of damage diffusion, and does not stack.</t>
  </si>
  <si>
    <t>266</t>
  </si>
  <si>
    <t>Deals wind damage to enemies in a line, dispels one buff from each target, grants the user a defense amp (Team Amp MAX Lv. = 2), and activates "Skill Shift" if the attack connects. Phase I deals 3 hits of 550% wind damage. Phase II deals 3 hits of 575% wind damage and reduces the targets' strength by 10% for 10 seconds. Phase III deals 3 hits of 600% wind damage and reduces the targets' strength by 10% for 10 seconds and defense by 5% for 10 seconds. This reduction in strength and defense will not stack.</t>
  </si>
  <si>
    <t>Deals 3 hits of 600% wind damage to enemies in a line, dispels one buff from each target, grants the user a defense amp (Team Amp MAX Lv. = 3), and reduces the targets' strength by 10% for 10 seconds and defense by 10% for 10 seconds. This reduction in strength and defense will not stack.</t>
  </si>
  <si>
    <t>267</t>
  </si>
  <si>
    <t>Deals 1 hit of 1753% wind damage to the target and nearby enemies, lowers their wind resistance by 3% for 20 seconds (does not stack), and deals bonus damage based on the total combined level of the user's current team amps. Team Amp Lv. = 1: deals an extra 3 hits of 316% wind damage. Team Amp Lv. = 2+: deals an extra 6 hits of 316% wind damage.</t>
  </si>
  <si>
    <t>Deals 1 hit of 2000% wind damage to the target and nearby enemies, lowers their wind resistance by 10% for 20 seconds (does not stack), inflicts bleeding for 30 seconds - dealing 150% wind damage every 4.9 seconds - with 100% base chance, and deals bonus damage based on the total combined level of the user's current team amps. Team Amp Lv. = 1: deals an extra 3 hits of 400% wind damage. Team Amp Lv. = 2+: deals an extra 6 hits of 400% wind damage.</t>
  </si>
  <si>
    <t>187</t>
  </si>
  <si>
    <t>Deals 8 hits of 155% wind damage to the target and nearby enemies, and inflicts bleeding for 30 seconds - dealing 146% wind damage every 4.9 seconds - with 80% chance.</t>
  </si>
  <si>
    <t>Deals 8 hits of 200% wind damage to the target and nearby enemies, inflicts bleeding for 30 seconds - dealing 150% wind damage every 4.9 seconds - with 100% chance, and inflicts poison for 21 seconds - dealing 50% wind damage every 2.9 seconds - with 120% chance.</t>
  </si>
  <si>
    <t>Grants the user a "New Dish" for every 15-hit combo, and creates a buff zone that surrounds them for 15 seconds. This buff zone's effects will be based on the number of New Dishes the user has, up to a maximum of 3. 1 Dish: "Fiend Porridge" increases skill damage by 10%. 2 Dishes: "Fiend Kebab" increases skill damage by 10% and critical rate by 10%. 3 Dishes: "Fiend Rice Ball" increases skill damage by 10%, critical rate by 10%, and strength by 5%. This skill can only be used when the user has at least one New Dish, and using it will consume all New Dishes.</t>
  </si>
  <si>
    <t>Grants the user a "Fiend Rice Ball" buff zone that surrounds them for 15 seconds and increases skill damage by 20%, critical rate by 15%, and strength by 5%. Also, grant the user a team strength amp (Team Amp MAX Lv. = 3)</t>
  </si>
  <si>
    <t>Increases the strength of wind-attuned adventurers in the team by 30% for 15 seconds.</t>
  </si>
  <si>
    <t>Increases the strength of the entire team by 30% for 15 seconds and grants the user a team strength amp (Team Amp MAX Lv. = 1).</t>
  </si>
  <si>
    <t>087</t>
  </si>
  <si>
    <t>Gradually fills the skill gauge for Eternal Grace by 85 SP every second for 7 seconds, and activates "Sacred Blade" for 10 seconds. During Sacred Blade, the user's standard attack patterns will change, and the user will be unable to move, use force strikes, or dodge. This skill will also become Revelation's Purge and be readied for use. Using Revelation's Purge will end Sacred Blade immediately. Revelation's Purge deals 8 hits of 13% wind damage to multiple targets and enemies near those targets, and inflicts poison - dealing 58.2% wind damage every 2.9 seconds for 15 seconds - with 120% chance. Targets will be chosen by their proximity to the user, and if the number of enemies available to target is fewer than the skill's number of hits, this selection process will be repeated for the remaining hits. The skill gauge for this skill can be filled by attacking enemies, but it will also gradually fill automatically.</t>
  </si>
  <si>
    <t>Gradually fills the skill gauge for Eternal Grace by 100 SP every second for 7 seconds, and activates "Sacred Blade" for 10 seconds. During Sacred Blade, the user's standard attack patterns will change, and the user will be unable to move, use force strikes, or dodge, and grants Tobias knockback immunity. This skill will also become Revelation's Purge and be readied for use. Using Revelation's Purge will end Sacred Blade immediately. Revelation's Purge deals 8 hits of 50% wind damage to multiple targets and enemies near those targets, and inflicts poison - dealing 50% wind damage every 2.9 seconds for 21 seconds - with 120% chance. Targets will be chosen by their proximity to the user, and if the number of enemies available to target is fewer than the skill's number of hits, this selection process will be repeated for the remaining hits. The skill gauge for this skill can be filled by attacking enemies, but it will also gradually fill automatically.</t>
  </si>
  <si>
    <t>059</t>
  </si>
  <si>
    <t>Deals 5 hits of 350% wind damage to the target and nearby enemies, inflicts bleeding for 30 seconds - dealing 146% wind damage every 4.9 seconds - with 80% base chance and stormlash for 21 seconds - dealing 41% wind damage every 2.9 seconds - with 120% chance, and activates "Skill Shift" if the attack connects. Phase II adds a 4% increase to the entire team's water resistance for 20 seconds, while Phase III also grants all teammates a one-use shield that nullifies damage less than 20% of the user's maximum HP and increases their max HP by 3% for the remainder of the quest. This does not stack with any other shields.</t>
  </si>
  <si>
    <t>Deals 5 hits of 400% wind damage to the target and nearby enemies, inflicts bleeding for 30 seconds - dealing 50% wind damage every 4.9 seconds - with 100% base chance and stormlash for 21 seconds - dealing 50% wind damage every 2.9 seconds - with 120% chance, adds a 5% increase to the entire team's water resistance for 20 seconds, grants them a one-use shield that nullifies damage less than 40% of the user's maximum HP, and increases their max HP by 5% for the remainder of the quest. This does not stack with any other shields.</t>
  </si>
  <si>
    <t>060</t>
  </si>
  <si>
    <t>Deals 1 hit of 2100% wind damage to the target and nearby enemies, inflicts bleeding for 30 seconds - dealing 146% wind damage every 4.9 seconds - with 80% base chance, and grants all teammates immunity to knockback for 20 seconds.</t>
  </si>
  <si>
    <t>Deals 1 hit of 2300% wind damage to the target and nearby enemies, dispels one buff from each target, inflicts bleeding for 30 seconds - dealing 50% wind damage every 4.9 seconds - with 100% base chance, and grants all teammates immunity to knockback for 20 seconds.</t>
  </si>
  <si>
    <t>Deals 3 hits and 1 delayed hit of 281% wind damage to enemies directly ahead, and inflicts poison for 15 seconds - dealing 53% wind damage every 2.9 seconds - with 100% base chance. When "Bamboo Cutter Buffed" is active, instead of poison this skill will inflict bleeding for 30 seconds - dealing 132% wind damage every 4.9 seconds - with 80% base chance.</t>
  </si>
  <si>
    <t>Deals 3 hits and 1 delayed hit of 500% wind damage to enemies directly ahead, and inflicts poison for 21 seconds - dealing 50% wind damage every 2.9 seconds - with 120% base chance and bleeding for 30 seconds - dealing 150% wind damage every 4.9 seconds - with 100% base chance. When "Bamboo Cutter Buffed" is active, dispel one buff from each target.</t>
  </si>
  <si>
    <t>830</t>
  </si>
  <si>
    <t>Activates "Bamboo Cutter Buffed" for 10 seconds. Bamboo Cutter Buffed increases the user's strength by 25%, and upgrades the skill Bamboo Cutter to inflict Bleeding instead of Poison.</t>
  </si>
  <si>
    <t>Activates "Bamboo Cutter Buffed" for 15 seconds. Bamboo Cutter Buffed increases the user's strength by 30%, and upgrades Bamboo Cutter. Also, grants the user a strength amp (Team Amp MAX Lv. = 3).</t>
  </si>
  <si>
    <t>Deals 2 hits of 484% wind damage to enemies in a line, and inflicts poison for 15 seconds - dealing 53% wind damage every 2.9 seconds with 110% base chance. Poisoned foes take 2 hits of 726% wind damage instead.</t>
  </si>
  <si>
    <t>Deals 2 hits of 1000% wind damage to enemies in a line, dispels one buff from each target, and inflicts poison for 21 seconds - dealing 50% wind damage every 2.9 seconds with 120% base chance.</t>
  </si>
  <si>
    <t>Increases the user's strength by 30% for 15 seconds.</t>
  </si>
  <si>
    <t>Increases the entire team's strength by 25% for 15 seconds and increases the entire team's max HP by 10% for the remainder of the quest. This does not stack with any other shields. Once HP buffs reach the limit of 30%, an HP recovery effect is granted instead. Also, grants the user a strength amp (Team Amp MAX Lv. = 3).</t>
  </si>
  <si>
    <t>Increases the entire team's strength by 20% for 15 seconds, and activates "Maid's Soul." The user's next force strike will deal 1 hit of 340% wind damage.</t>
  </si>
  <si>
    <t>Increases the entire team's strength by 20% for 15 seconds, and activates "Maid's Soul." The user's next force strike will deal 1 hit of 500% wind damage and lowers the target's poison resistance by 20% for 30 seconds. This resistance reduction will not stack. In addition, grants the user a strength amp (Team Amp MAX Lv. = 3).</t>
  </si>
  <si>
    <t>Deals 3 hits of 270% wind damage to enemies directly ahead, and inflicts poison for 15 seconds - dealing 58.2% wind damage every 2.9 seconds - with 120% chance.</t>
  </si>
  <si>
    <t>Deals 3 hits of 600% wind damage to enemies directly ahead, dispels one buff from each target, and inflicts poison for 21 seconds - dealing 50% wind damage every 2.9 seconds - with 120% chance.</t>
  </si>
  <si>
    <t>298</t>
  </si>
  <si>
    <t>Removes Locked Sigil and summons Divine Daggers around the user. These Divine Daggers will attack automatically while summoned around the user, but their attacks will not be treated as standard attacks. During Sigil Released, this skill calls the user's Divine Daggers back to the user.</t>
  </si>
  <si>
    <t>300</t>
  </si>
  <si>
    <t>Deals 1 hit of 1620% wind damage to the target, inflicts stormlash for 21 seconds - dealing 31% wind damage every 2.9 seconds - with 110% chance, and grants the user a strength amp (Team Amp MAX Lv. = 3). During Sigil Released, this skill instead deals 1 hit of 1800% wind damage, deals a bonus 500% wind damage for each Divine Sting stack applied to the foe, then calls the user's Divine Daggers back to the user. If this skill is used as a Shared Skill, it deals 1 hit of 1620% wind damage to the target and inflicts stormlash for 21 seconds - dealing 31% wind damage every 2.9 seconds - with 110% chance.</t>
  </si>
  <si>
    <t>Deals 1 hit of 1700% wind damage to the target, inflicts stormlash for 21 seconds - dealing 50% wind damage every 2.9 seconds - with 110% chance, and grants the user a strength amp (Team Amp MAX Lv. = 3). During Sigil Released, this skill instead deals 1 hit of 1800% wind damage, deals a bonus 500% wind damage for each Divine Sting stack applied to the foe, then calls the user's Divine Daggers back to the user. If this skill is used as a Shared Skill, it deals 1 hit of 1700% wind damage to the target and inflicts stormlash for 21 seconds - dealing 50% wind damage every 2.9 seconds - with 120% chance.</t>
  </si>
  <si>
    <t>222</t>
  </si>
  <si>
    <t>Deals 16 hits of 107% wind damage to the target and nearby enemies, dispels one buff from each of them, and, if the combo count is 20 or higher, fills the metamorphosis gauge by 80 UTP. If this skill is used when in metamorphosis, a variant called Faerie Circlet will be used instead. Faerie Circlet costs 1960 SP instead, deals 5 hits of 532% wind damage to surrounding enemies, and inflicts stormlash for 21 seconds - dealing 41% wind damage every 2.9 seconds - with 120% chance.</t>
  </si>
  <si>
    <t>Deals 16 hits of 120% wind damage to the target and nearby enemies, dispels one buff from each of them, and, if the combo count is 20 or higher, fills the metamorphosis gauge by 80 UTP. If this skill is used when in metamorphosis, a variant called Faerie Circlet will be used instead. Faerie Circlet costs 1960 SP instead, deals 5 hits of 560% wind damage to surrounding enemies, and inflicts stormlash for 21 seconds - dealing 50% wind damage every 2.9 seconds - with 120% chance.</t>
  </si>
  <si>
    <t>223</t>
  </si>
  <si>
    <t>Deals 30 hits of 82% wind damage to surrounding enemies, dispels one buff from each target, and, if the combo count is 20 or higher, fills the metamorphosis gauge by 150 UTP. This attack will pursue targets for the duration of the skill. If this skill is used when in metamorphosis, a variant called Faerie Glory will be used instead. Faerie Glory costs 2620 SP instead, deals 2 hits of 700% wind damage to surrounding enemies, then deals 1 hit of 1092% wind damage to enemies in a line. If this skill is used as a Shared Skill, deals 30 hits of 82% wind damage to surrounding enemies, and dispels one buff from each target. This attack will pursue targets for the duration of the skill.</t>
  </si>
  <si>
    <t>Deals 30 hits of 90% wind damage to surrounding enemies, dispels one buff from each target, and, if the combo count is 20 or higher, fills the metamorphosis gauge by 150 UTP and lowers the target's stormlash resistance by 20% for 30 seconds. This resistance reduction will not stack. This attack will pursue targets for the duration of the skill. If this skill is used when in metamorphosis, a variant called Faerie Glory will be used instead. Faerie Glory costs 2620 SP instead, deals 2 hits of 750% wind damage to surrounding enemies, then deals 1 hit of 1200% wind damage to enemies in a line. If this skill is used as a Shared Skill, deals 30 hits of 90% wind damage to surrounding enemies, dispels one buff from each target, and lowers the target's stormlash resistance by 20% for 30 seconds. This attack will pursue targets for the duration of the skill.</t>
  </si>
  <si>
    <t>139</t>
  </si>
  <si>
    <t>Deals 1 hit of 560% and 1 hit of 700% wind damage to the target and nearby enemies, and activates "Skill Shift" for both this skill and the skill Ephemeral Love. Phase II deals 1 hit of 616% and 1 hit of 770% wind damage, while Phase III deals 1 hit of 728% and 1 hit of 910% wind damage. Phase IV does not deal damage, and instead removes all stacks of Doleful Spirit applied by Ephemeral Love IV and energizes the entire team. (Energize will always trigger, regardless of if there are any Doleful Spirit stacks or not) If this skill is used as a Shared Skill, it energizes the entire team instead.</t>
  </si>
  <si>
    <t>Deals 1 hit of 750% and 1 hit of 950% wind damage to the target and nearby enemies, and Increases the entire team's energy levels by 2 stages. If this skill is used as a Shared Skill, it only energizes the entire team. Also, grants the user a defense amp (Team Amp MAX Lv. = 1).</t>
  </si>
  <si>
    <t>Deals 1 hit of 840% and 1 hit of 1050% wind damage to the target and nearby enemies, and activates "Skill Shift" for both this skill and the skill Summer Memories. Phase II deals 1 hit of 924% and 1 hit of 1155% wind damage, while Phase III deals 1 hit of 1092% and 1 hit of 1365% wind damage. Phase IV deals 1 hit of 1344% and 1 hit of 1680% wind damage, inflicts poison on foes - dealing 58.2% wind damage every 2.9 seconds for 30 seconds - with 120% chance, and inflicts one stack of Doleful Spirit on the user, up to a maximum of 4 stacks. While the user has one or more stacks of Doleful Spirit, their energy level will not increase, and using this skill during Phase IV will cause them to take 20% of their HP as damage for each stack of Doleful Spirit. Stacks of Doleful Spirit will not be removed by shapeshifting.</t>
  </si>
  <si>
    <t>Deals 1 hit of 1100% and 1 hit of 1400% wind damage, dispels one buff from each target, and inflicts poison on foes - dealing 50% wind damage every 2.9 seconds for 21 seconds - with 120% chance. Also, grants the user a critical damage amp (Team Amp MAX Lv. = 1).</t>
  </si>
  <si>
    <t>046</t>
  </si>
  <si>
    <t>Deals 4 hits of 324% and 1 hit of 1290% wind damage to enemies directly ahead, draws them together, inflicts sleep for 6-7 seconds with 110% base chance, and stormlash for 21 seconds - dealing 41% wind damage every 2.9 seconds - with 120% chance.</t>
  </si>
  <si>
    <t>Deals 4 hits of 350% and 1 hit of 1300% wind damage to enemies directly ahead, draws them together, dispels one buff from each target, inflicts sleep for 6-7 seconds with 120% base chance, and stormlash for 21 seconds - dealing 50% wind damage every 2.9 seconds - with 120% chance.</t>
  </si>
  <si>
    <t>Deals 5 hits of 701% wind damage to enemies directly ahead, and restores HP to all allies with 30% Recovery Potency. Sleeping foes take 5 hits of 1402% wind damage instead.</t>
  </si>
  <si>
    <t>Deals 5 hits of 750% wind damage to enemies directly ahead, restores HP to all allies with 60% Recovery Potency, and increases their max HP by 5% for the remainder of the quest. Sleeping foes take 5 hits of 1500% wind damage instead.</t>
  </si>
  <si>
    <t>Deals 2 hits of 186%, 1 hit of 56%, and 1 hit of 130% wind damage to enemies directly ahead. Poisoned foes will take 2 hits of 465%, 1 hit of 140% and 1 hit of 325% wind damage instead. When "Gale Slice Buffed" is active, this skill will be upgraded to deal an additional 2 hits of 130% wind damage (325% on poisoned foes) and gains the effect to inflict stun for 3-6 seconds with 110% base chance.</t>
  </si>
  <si>
    <t>Deals 2 hits of 400%, 1 hit of 200%, 1 hit of 350%, and 2 hits of 350% wind damage to enemies directly ahead. Poisoned foes will take 2 hits of 500%, 1 hit of 150%, 1 hit of 350%, and 2 hits of 400% wind damage instead. When "Gale Slice Buffed" is active, this skill gains the effect to dispel one buff from each target and inflict stun for 3-6 seconds with 120% base chance.</t>
  </si>
  <si>
    <t>Activates "Gale Slice Buffed" for 15 seconds. Gale Slice Buffed increases the user's strength by 30%, and allows Gale Slice to inflict stun. Also activates "Poison Knives". The user's next force strike will throw 3 knives in front of the user, dealing an additional 11% wind damage each, and inflict poison - dealing 58.2% wind damage every 2.9 seconds for 15 seconds - with 120% base chance.</t>
  </si>
  <si>
    <t>Activates "Gale Slice Buffed" for 15 seconds. Gale Slice Buffed increases the user's strength by 30%, and upgrades Gale Slice. Also activates "Poison Knives". The user's next force strike will throw 3 knives in front of the user, dealing an additional 30% wind damage each, and inflict poison - dealing 50% wind damage every 2.9 seconds for 21 seconds - with 120% base chance. In addition, grants the user a strength amp (Team Amp MAX Lv. = 3).</t>
  </si>
  <si>
    <t>Deals 4 hits of 267% wind damage to enemies in a line, and inflicts poison for 15 seconds - dealing 48.2% wind damage every 2.9 seconds with 100% base chance. Poisoned foes take 4 hits of 320.4% wind damage instead.</t>
  </si>
  <si>
    <t>Deals 4 hits of 500% wind damage to enemies in a line and inflicts poison for 21 seconds - dealing 50% wind damage every 2.9 seconds with 120% base chance.</t>
  </si>
  <si>
    <t>Deals 2 hits of 288% wind damage to enemies directly ahead, inflicts poison for 15 seconds - dealing 48.2% wind damage every 2.9 seconds - with 100% base chance, and reduces their defense by 5% for 10 seconds. This defense reduction effect will not stack.</t>
  </si>
  <si>
    <t>Deals 2 hits of 750% wind damage to enemies directly ahead, inflicts poison for 21 seconds - dealing 50% wind damage every 2.9 seconds - with 120% base chance, reduces their defense by 10% for 10 seconds, and lowers their poison resistance by 20% for 30 seconds. Neither this resistance reduction nor this defense reduction effect will stack.</t>
  </si>
  <si>
    <t>307</t>
  </si>
  <si>
    <t>Begins preparing a powerful attack, after which this skill will deal 1 hit of 1600% wind damage to surrounding enemies, apply a burst gambit called "Tiger's Burst," (Gambit Counter: 30) and inflict stormlash for 21 seconds - dealing 41% wind damage every 2.9 seconds - with 120% chance. Continually tapping the screen while preparing this attack will result in dealing additional hits of 800% wind damage for each tap, up to the total number of Veteran's Mettle stacks the user currently has. The user will be immune to knockback while preparing this skill's attack as well as when executing it. First additional hit: Reduces the strength of enemies by 10% for 30 seconds. This strength reduction does not stack. Second additional hit: Inflicts scorchrend for 21 seconds - dealing 41.6% wind damage every 2.9 seconds - with 120% chance. Third additional hit: Restores HP with 35% Recovery Potency, grants the user immunity to knockback for 10 seconds, consumes all stacks of Veteran's Mettle, and the user will be granted the "Battle Fervor" effect for 30 seconds. If this skill is used while the user has Battle Fervor, the screen can be tapped for up to 3 additional hits without having or consuming Veteran's Mettle, but it will not grant Battle Fervor. When Tiger's Burst is activated, it will restore HP to all teammates with 140% Recovery Potency. If this skill is used as a Shared Skill, it removes the Veteran's Mettle limit and does not grant Battle Fervor.</t>
  </si>
  <si>
    <t>Begins preparing a powerful attack, after which this skill will deal 1 hit of 1600% wind damage to surrounding enemies, apply a burst gambit called "Tiger's Burst," (Gambit Counter: 30) and inflict stormlash for 21 seconds - dealing 50% wind damage every 2.9 seconds - with 120% chance. Continually tapping the screen while preparing this attack will result in dealing additional hits of 800% wind damage for each tap, up to the total number of Veteran's Mettle stacks the user currently has. The user will be immune to knockback while preparing this skill's attack as well as when executing it. First additional hit: Reduces the strength of enemies by 10% for 30 seconds. This strength reduction does not stack. Second additional hit: Inflicts scorchrend for 21 seconds - dealing 50% wind damage every 2.9 seconds - with 120% chance. Third additional hit: Restores HP with 35% Recovery Potency, grants the user immunity to knockback for 10 seconds, consumes all stacks of Veteran's Mettle, and the user will be granted the "Battle Fervor" effect for 30 seconds. If this skill is used while the user has Battle Fervor, the screen can be tapped for up to 3 additional hits without having or consuming Veteran's Mettle, but it will not grant Battle Fervor. When Tiger's Burst is activated, it will restore HP to all teammates with 140% Recovery Potency. If this skill is used as a Shared Skill, it removes the Veteran's Mettle limit and does not grant Battle Fervor.</t>
  </si>
  <si>
    <t>Grants the user a defense amp (Team Amp MAX Lv. = 3) and the "Veteran's Mettle" effect. This effect stacks up to 3 times. If this skill is used while the user has Battle Fervor, it will grant the user a defense amp (Team Amp MAX Lv. = 3), increase their max HP by 10%, and reduce damage taken by 70% for 3 seconds.</t>
  </si>
  <si>
    <t>Grants the user a defense amp (Team Amp MAX Lv. = 3) and the "Veteran's Mettle" effect. This effect stacks up to 3 times. If this skill is used while the user has Battle Fervor, it will grant the user a defense amp (Team Amp MAX Lv. = 3), reduce damage taken by 70% for 3 seconds, and increase the entire team's max HP by 10%.</t>
  </si>
  <si>
    <t>201</t>
  </si>
  <si>
    <t>Deals 3-9 hits of 522% wind damage to surrounding enemies, and dispels one buff from each of them. Continually tapping the screen during the attack will unleash additional blows, with up to a maximum of 6.</t>
  </si>
  <si>
    <t>Deals 3-9 hits of 600% wind damage to surrounding enemies, dispels one buff from each of them, and lowers defense by 10% for 10 seconds. Continually tapping the screen during the attack will unleash additional blows, with up to a maximum of 6. This defense reduction effect will not stack.</t>
  </si>
  <si>
    <t>202</t>
  </si>
  <si>
    <t>Grants wind-attuned adventurers in the team the "New Year's Mochi" effect. New Year's Mochi's effects are based on the number of Mochi Master stacks consumed. One: For 20 seconds, gradually recovers HP with 3% Recovery Potency every 2.9 seconds, and reduces water damage taken by 3%. Two: For 30 seconds, gradually recovers HP with 15% Recovery Potency every 2.9 seconds, and reduces water damage taken by 5%. Three: For 60 seconds, gradually recovers HP with 21% Recovery Potency every 2.9 seconds, and reduces water damage taken by 15%. This skill can only be used when the user has at least one Mochi Master stack, and using it will consume all Mochi Master stacks. New Year's Mochi will not stack.</t>
  </si>
  <si>
    <t>Grants the entire team the "New Year's Mochi" effect. For 60 seconds, gradually recovers HP with 21% Recovery Potency every 2.9 seconds, and reduces water damage taken by 15%.</t>
  </si>
  <si>
    <t>Restores HP to all allies with 14% Recovery Potency and continues healing over the next 15 seconds with 12% Recovery Potency every 2.9 seconds.</t>
  </si>
  <si>
    <t>Restores HP to all allies with 35% Recovery Potency and continues healing over the next 15 seconds with 35% Recovery Potency every 2.9 seconds.</t>
  </si>
  <si>
    <t>Increases the entire team's strength by 10%, and critical rate by 20% for 10 seconds.</t>
  </si>
  <si>
    <t>Increases the entire team's strength by 15%, and critical rate by 20% for 15 seconds. In addition, grants the user a critical damage amp (Team Amp MAX Lv. = 3). After this amp is granted, this ability will not grant it again for 15 seconds.</t>
  </si>
  <si>
    <t>Deals 6 hits of 139% wind damage to enemies directly ahead, and creates a debuff zone that lasts for 10 seconds and reduces the defense of enemies inside it by 15%.</t>
  </si>
  <si>
    <t>Deals 6 hits of 250% wind damage to enemies directly ahead, and creates a debuff zone that lasts for 15 seconds. This debuff zone reduces the defense of enemies inside it by 15% and reduces their poison resistance by 20%.</t>
  </si>
  <si>
    <t>Deals 1 hit of 864% wind damage to enemies directly ahead, and inflicts poison - dealing 58.2% wind damage every 2.9 seconds for 15 seconds - with 120% base chance.</t>
  </si>
  <si>
    <t>Deals 7 hits of 242% wind damage to enemies directly ahead, and inflicts sleep for 9-10 seconds with 150% base chance. Also activates "Typhoon Strike". The user's next 3 force strikes deal 1 hit of 209% wind damage, and create cyclones towards the nearest enemy dealing 5 hits of 10% wind damage. When Heaven's Breath is active, this skill is upgraded to deal 10 hits of 242% wind damage to enemies directly ahead instead.</t>
  </si>
  <si>
    <t>Deals 7 hits of 300% wind damage to enemies directly ahead, inflicts sleep for 9-10 seconds with 150% base chance, and inflicts stormlash for 21 seconds - dealing 50% wind damage every 2.9 seconds - with 120% base chance. Also activates "Typhoon Strike". The user's next 3 force strikes deal 1 hit of 250% wind damage, dispels one buff from each target, and create cyclones towards the nearest enemy dealing 5 hits of 10% wind damage. When Heaven's Breath is active, this skill is upgraded to deal 10 hits of 300% wind damage to enemies directly ahead instead.</t>
  </si>
  <si>
    <t>Restores the user's HP with 44% Recovery Potency, and activates "Heaven's Breath" for 15 seconds. During Heaven's Breath, the user's attack rate is increased by 20%, and the skill Typhoon Fist is powered up. Also increases strength by 15% for 15 seconds.</t>
  </si>
  <si>
    <t>Restores HP to all allies with 60% Recovery Potency, and activates "Heaven's Breath" for 15 seconds. During Heaven's Breath, the user's attack rate is increased by 20%, and the skill Typhoon Fist is powered up. Also increases strength by 15% for 15 seconds.</t>
  </si>
  <si>
    <t>Deals 4 hits of 722.8% wind damage to surrounding enemies and draws them toward the user for 0.5 seconds, dispels one buff from each enemy, and inflicts poison for 15 seconds - dealing 58.2% wind damage every 2.9 seconds - with 120% chance.</t>
  </si>
  <si>
    <t>Deals 4 hits of 750% wind damage to surrounding enemies and draws them toward the user for 0.5 seconds, dispels one buff from each enemy, and inflicts poison for 21 seconds - dealing 50% wind damage every 2.9 seconds - with 120% chance.</t>
  </si>
  <si>
    <t>Increases the entire team's defense by 25% for 15 seconds. If the user's HP is above or equal to 85% of max HP, grants the entire team a "Life Shield" that nullifies damage equal to the user's HP at the time of using this skill minus 80% of the user's max HP.</t>
  </si>
  <si>
    <t>Increases the entire team's defense by 25% and strength by 15% for 15 seconds, grants the entire team a "Life Shield" that nullifies damage equal to 20% of the user's max HP, and grants all teammates a one-use shield that nullifies damage less than 40% of the user's maximum HP. In addition, grant the user a defense amp (Team Amp MAX Lv. = 3).</t>
  </si>
  <si>
    <t>Deals 1 hit of 1347% wind damage to enemies directly ahead, and inflicts poison for 15 seconds - dealing 53% wind damage every 2.9 seconds - with 110% base chance. Poisoned enemies take 1 hit of 1751.1% wind damage instead.</t>
  </si>
  <si>
    <t>Deals 1 hit of 2000% wind damage to enemies directly ahead, inflicts poison for 21 seconds - dealing 50% wind damage every 2.9 seconds - with 120% base chance, and their lowers poison resistance for 30 seconds.</t>
  </si>
  <si>
    <t>Deals 2 hits of 606% wind damage to surrounding enemies, draws them toward the user for 0.5 seconds, and inflicts poison for 15 seconds - dealing 39.6% wind damage every 2.9 seconds - with 100% base chance. Poisoned enemies take 2 hits of 909% wind damage instead.</t>
  </si>
  <si>
    <t>Deals 2 hits of 1000% wind damage to surrounding enemies, draws them toward the user for 0.5 seconds, dispels one buff from each target, and inflicts poison for 21 seconds - dealing 50% wind damage every 2.9 seconds - with 120% base chance.</t>
  </si>
  <si>
    <t>Grants all teammates a one-use shield that nullifies damage less than 50% of the user's maximum HP, increases their water resistance by 8% for 25 seconds (that does not stack), and increases their chances of inflicting afflictions by 40% for 30 seconds (that can stack up to 3 times). If this skill is used during dragondrive, a variant called Punishment of Heaven will be used instead. Punishment of Heaven deals 2 hits of 588% wind damage to enemies in a line and inflicts poison for 15 seconds - dealing 58.2% wind damage every 2.9 seconds and stormlash for 21 seconds - dealing 41% wind damage every 2.9 seconds, both with 120% chance. In addition, it will deal 1 bonus hit of 672% wind damage to targets with Victim of Science, dispel one buff from each of them, then remove Victim of Science. Enemies inflicted with any affliction will take 1 bonus hit of 873.6% wind damage instead.</t>
  </si>
  <si>
    <t>Grants all teammates a one-use shield that nullifies damage less than 50% of the user's maximum HP, increases their water resistance by 10% for 25 seconds (that does not stack), and increases their chances of inflicting afflictions by 40% for 30 seconds (that can stack up to 3 times). If this skill is used during dragondrive, a variant called Punishment of Heaven will be used instead. Punishment of Heaven deals 2 hits of 600% wind damage to enemies in a line and inflicts poison for 21 seconds - dealing 50% wind damage every 2.9 seconds and stormlash for 21 seconds - dealing 50% wind damage every 2.9 seconds, both with 120% chance. In addition, it will deal 1 bonus hit of 900% wind damage to targets with Victim of Science, dispel one buff from each of them, then remove Victim of Science.</t>
  </si>
  <si>
    <t>318</t>
  </si>
  <si>
    <t>Removes all afflictions from the entire team, grants them a team strength amp (MAX Lv. = 1), and fills the user's dragondrive gauge by 1000 UTP. If the user has the "Fatigue" debuff, this skill will also remove it. If this skill is used during dragondrive, a variant called Uranus's Claw will be used instead. Uranus's Claw grants the entire team a team strength amp (MAX Lv. = 1), deals 2 hits of 1152% wind damage to enemies directly ahead, and extends the remaining time of any of the following afflictions inflicted on enemies hit by this attack by 15 seconds: poison, burn, paralysis, frostbite, stormlash, flashburn, shadowblight, and scorchrend. The remaining time of these afflictions cannot be extended beyond their original duration, and, after activating, this extension will not activate again for the same target for 15 seconds.</t>
  </si>
  <si>
    <t>Removes all afflictions from the entire team, grants them a team strength amp (MAX Lv. = 1), and fills the user's dragondrive gauge by 1000 UTP. If the user has the "Fatigue" debuff, this skill will also remove it. If this skill is used during dragondrive, a variant called Uranus's Claw will be used instead. Uranus's Claw grants the entire team a team strength amp (MAX Lv. = 1), deals 2 hits of 1200% wind damage to enemies directly ahead, and extends the remaining time of any of the following afflictions inflicted on enemies hit by this attack by 15 seconds: poison, burn, paralysis, frostbite, stormlash, flashburn, shadowblight, and scorchrend. The remaining time of these afflictions cannot be extended beyond their original duration, and, after activating, this extension will not activate again for the same target for 15 seconds.</t>
  </si>
  <si>
    <t>Deals 3 hits of 440% wind damage to enemies directly ahead and applies a burst gambit called "Amaterasu's Restorative Burst." (Burst Gambit Counter: 5) If this skill is used during dragondrive, a variant called Eight-span Blast will be used instead. Eight-span Blast deals 5 hits of 440% wind damage, applies Amaterasu's Restorative Burst, and inflicts bleeding for 30 seconds - dealing 146% wind damage every 4.9 seconds - with 80% base chance. When Amaterasu's Restorative Burst is activated, it will restore HP to all teammates with 63% Recovery Potency.</t>
  </si>
  <si>
    <t>Deals 3 hits of 600% wind damage to enemies directly ahead and restore HP to all teammates with 60% Recovery Potency. If this skill is used during dragondrive, a variant called Eight-span Blast will be used instead. Eight-span Blast deals 5 hits of 600% wind damage, applies Amaterasu's Restorative Burst, and inflicts bleeding for 30 seconds - dealing 150% wind damage every 4.9 seconds - with 100% base chance, and restores HP to all teammates with 60% Recovery Potency.</t>
  </si>
  <si>
    <t>Deals 2 hits of 752% wind damage to surrounding enemies, applies a burst gambit called "Amaterasu's Resilient Burst," (Burst Gambit Counter: 3) and fills the user's dragondrive gauge by 1000 UTP. If this skill is used during dragondrive, a variant called Eight-span Tempest will be used instead. Eight-span Tempest deals 2 hits of 752% and 1 hit of 1225% wind damage to surrounding enemies, apply Amaterasu's Resilient Burst, and inflict poison for 15 seconds - dealing 58.2% wind damage every 2.9 seconds - with 120% chance and stormlash for 21 seconds - dealing 31% wind damage every 2.9 seconds - with 110% chance. When Amaterasu's Resilient Burst is activated, it will increase the entire team's water resistance by 10% for 45 seconds. This increase does not stack.</t>
  </si>
  <si>
    <t>235</t>
  </si>
  <si>
    <t>Deals 1 hit of 935% and 3 hits of 312% wind damage to enemies directly ahead, and inflicts stormlash for 21 seconds - dealing 41% wind damage every 2.9 seconds - with 120% chance. If the "Brewing Storm Lv. 5" effect is active, a more powerful variant called Eternal Tempest will be used instead. Eternal Tempest deals 8 hits of 125% and 2 hits of 500% wind damage to enemies directly ahead, and inflicts stormlash for 21 seconds - dealing 41% wind damage every 2.9 seconds - with 120% chance.</t>
  </si>
  <si>
    <t>Deals 1 hit of 1000% and 3 hits of 350% wind damage to enemies directly ahead, and inflicts stormlash for 21 seconds - dealing 50% wind damage every 2.9 seconds - with 120% chance. If the "Brewing Storm Lv. 5" effect is active, a more powerful variant called Eternal Tempest will be used instead. Eternal Tempest deals 8 hits of 150% and 2 hits of 600% wind damage to enemies directly ahead, and inflicts stormlash for 21 seconds - dealing 50% wind damage every 2.9 seconds - with 120% chance.</t>
  </si>
  <si>
    <t>237</t>
  </si>
  <si>
    <t>Deals 9 hits of 300% wind damage to multiple targets and enemies near those targets, and draws them together.</t>
  </si>
  <si>
    <t>Deals 9 hits of 330% wind damage to multiple targets and enemies near those targets, draws them together, and lowers their stormlash resistance by 20% for 30 seconds. This resistance reduction will not stack.</t>
  </si>
  <si>
    <t>177</t>
  </si>
  <si>
    <t>Increases the entire team's strength by 25% for 15 seconds.</t>
  </si>
  <si>
    <t xml:space="preserve">Increases the entire team's strength by 30% for 15 seconds and grants the user a Team Strength Amp (Max Lv. = 1). </t>
  </si>
  <si>
    <t>178</t>
  </si>
  <si>
    <t>Deals 3 hits of 140% wind damage to enemies directly ahead, inflicts poison for 15 seconds - dealing 58.2% wind damage every 2.9 seconds - with 120% base chance, and then lowers their poison resistance by 20% for 30 seconds. This resistance reduction will not stack, but changing direction is possible during the attack.</t>
  </si>
  <si>
    <t>Deals 3 hits of 700% wind damage to enemies directly ahead, inflicts poison for 21 seconds - dealing 50% wind damage every 2.9 seconds - with 120% base chance, and then lowers their poison resistance by 20% for 30 seconds. This resistance reduction will not stack. Changing direction is possible during the attack.</t>
  </si>
  <si>
    <t>077</t>
  </si>
  <si>
    <t>Deals 1 hit of 950% wind damage to enemies directly ahead, dispels one buff from each target, and inflicts poison for 15 seconds - dealing 58.2% wind damage every 2.9 seconds - with 120% chance.</t>
  </si>
  <si>
    <t>Deals 1 hit of 1000% wind damage to enemies directly ahead, dispels one buff from each target, and inflicts poison for 21 seconds - dealing 50% wind damage every 2.9 seconds - with 120% chance.</t>
  </si>
  <si>
    <t>Increases the entire team's strength by 20% for 15 seconds and grants the user immunity to knockback for 15 seconds.</t>
  </si>
  <si>
    <t>Increases the entire team's strength by 25% for 15 seconds and grants the user immunity to knockback for 15 seconds.</t>
  </si>
  <si>
    <t>2.05 second(s)</t>
  </si>
  <si>
    <t>Deals 2 hits of 593% wind damage to enemies directly ahead, reduces their strength by 30% for 10 seconds with 50% base chance, and inflicts poison for 15 seconds - dealing 58.2% wind damage every 2.9 seconds - with 120% base chance. This strength reduction effect will not stack. Poisoned foes take 2 hits of 889.5% wind damage instead.</t>
  </si>
  <si>
    <t>Deals 2 hits of 1000% wind damage to enemies directly ahead, reduces their strength by 30% for 10 seconds, and inflicts poison for 21 seconds - dealing 50% wind damage every 2.9 seconds - with 120% base chance. This strength reduction effect will not stack.</t>
  </si>
  <si>
    <t>Increases the entire team's skill gauge fill rate by 30% for 15 seconds, and applies one of the following at random: Increases strength by 25% for 15 seconds. Increases defense by 25% for 15 seconds. Increases max HP by 20% for the remainder of the quest. Also occasionally grants all of the above bonuses at the same time, and removes all afflictions.</t>
  </si>
  <si>
    <t>Increases the entire team's strength by 15%, defense by 15%, and skill gauge fill rate by 30% for 15 seconds. Also, increases the entire team's max HP by 10% for the remainder of the quest, and removes all afflictions. In addition, grant the user a team defense amp (Team Amp MAX Lv. = 3). After this amp is granted, this ability will not grant it again for 30 seconds.</t>
  </si>
  <si>
    <t>Deals 1 hit of 2375% wind damage to the target and nearby enemies.</t>
  </si>
  <si>
    <t>Deals 1 hit of 2500% wind damage to the target and nearby enemies, dispels one buff from each target, and inflicts stormlash for 21 seconds - dealing 50% wind damage every 2.9 seconds - with 120% base chance.</t>
  </si>
  <si>
    <t>932</t>
  </si>
  <si>
    <t>Increases the entire team's energy levels by 2 stages, and increases their strength by 10% for 10 seconds.</t>
  </si>
  <si>
    <t>Increases the entire team's strength by 10% and defense by 10% for 15 seconds, and increases their energy levels by 2 stages.</t>
  </si>
  <si>
    <t>Deals 1 hit of 1759.8% wind damage to the target and nearby enemies.</t>
  </si>
  <si>
    <t>Deals 1 hit of 2000% wind damage to the target and nearby enemies, dispels one buff from each target, and inflicts stormlash for 21 seconds - dealing 50% wind damage every 2.9 seconds - with 120% base chance.</t>
  </si>
  <si>
    <t>Increases the entire team's defense by 20%, and strength by 10% for 15 seconds.</t>
  </si>
  <si>
    <t>Increases the entire team's defense by 25% and strength by 15% for 15 seconds. Gradually recovers the entire team's HP with 35% Recovery Potency every 2.9 seconds for 15 seconds. Also, grants will grant the user a strength amp (Team Amp MAX Lv. = 3).</t>
  </si>
  <si>
    <t>Deals 1 hit of 2300% wind damage to enemies in a line, and raises the dragon gauge by 35 DP if the attack connects.</t>
  </si>
  <si>
    <t>Deals 1 hit of 2500% wind damage to enemies in a line, dispels one buff from each target, and raises the dragon gauge by 50 DP if the attack connects.</t>
  </si>
  <si>
    <t>021</t>
  </si>
  <si>
    <t>4 second(s)</t>
  </si>
  <si>
    <t>Deals 4 hits of 700% wind damage to enemies directly ahead, and inflicts stormlash for 21 seconds - dealing 31% wind damage every 2.9 seconds - with 110% chance.</t>
  </si>
  <si>
    <t>Deals 4 hits of 800% wind damage to enemies directly ahead, and inflicts stormlash for 21 seconds - dealing 50% wind damage every 2.9 seconds - with 120% chance.</t>
  </si>
  <si>
    <t>213</t>
  </si>
  <si>
    <t>Deals 2 hits of 906% and 1 hit of 1087% wind damage to enemies directly ahead, and inflicts stormlash for 21 seconds - dealing 41% wind damage every 2.9 seconds - with 120% chance. Additionally, grants the user the "Obstruction Deleter" effect, but inflicts them with burn for 15 seconds - dealing 5% Max HP damage every 2.9 seconds - with 100% chance. Obstruction Deleter increases the user's strength by 10% for 15 seconds but does not stack.</t>
  </si>
  <si>
    <t>Deals 2 hits of 1000% and 1 hit of 1200% wind damage to enemies directly ahead, dispels one buff from each target and inflicts stormlash for 21 seconds - dealing 50% wind damage every 2.9 seconds - with 120% chance. Additionally, grants the user the "Obstruction Deleter" effect, but inflicts them with burn for 15 seconds - dealing 5% Max HP damage every 2.9 seconds - with 100% chance. Obstruction Deleter increases the user's strength by 10% for 15 seconds but does not stack.</t>
  </si>
  <si>
    <t>214</t>
  </si>
  <si>
    <t>Grants the romance gauge one full charge, and activates "Skill Shift." This Skill Shift will cycle through a total of three phases. Phase II also grants the "Sweet Valentine" effect to all teammates, while Phase III also grants the "Bittersweet Valentine" effect to the user. When the romance gauge has five charges, this skill will instead grant all teammates the "Sweet Valentine" effect, grant the user the "Bittersweet Valentine" effect, immediately ready the Rampaging Passion skill for use, and no longer activate Skill Shift. Sweet Valentine increases the entire team's defense by 15% for 15 seconds and does not stack. Bittersweet Valentine grants 30% skill damage to the user's next attack skill and does not stack.</t>
  </si>
  <si>
    <t>Grants the romance gauge one full charge, immediately ready the Rampaging Passion skill for use, increases the entire team's defense by 15% for 15 seconds, and grants 30% skill damage to the user's next attack skill. The defense increase and skill damage increase do not stack. If the romance gauge level has less than 5 charges, the skill gauge fill rate for this skill is increased by 20%. Also, grants the user a team defense amp (Team Amp MAX Lv. = 3). After this amp is granted, this ability will not grant it again for 30 seconds.</t>
  </si>
  <si>
    <t>168</t>
  </si>
  <si>
    <t>Deals 1 hit of 500% wind damage to enemies directly ahead, reduces their strength by 20% for 15 seconds, and fires extra shots equal to the number of butterflies the user currently has summoned dealing 1 hit of 167% wind damage each. This strength reduction effect will not stack. When the user has 6 or more summoned butterflies, these extra shots reduce enemy defense by 10% for 15 seconds. This defense reduction effect will not stack. When used as a shared skill, it deals 1 hit of 1335% wind damage to enemies directly ahead and reduces their strength by 20% for 15 seconds.</t>
  </si>
  <si>
    <t>Deals 1 hit of 800% wind damage to enemies directly ahead, reduces their strength by 20% and defense by 10% for 15 seconds, and fires extra shots equal to the number of butterflies the user currently has summoned dealing 1 hit of 200% wind damage each. These strength and defense reduction effects will not stack. When used as a shared skill, it deals 1 hit of 1600% wind damage to enemies directly ahead and reduces their strength by 20% for 15 seconds.</t>
  </si>
  <si>
    <t>170</t>
  </si>
  <si>
    <t>Deals 1 hit of 1000% wind damage to the target and nearby enemies, and fires extra shots equal to the number of butterflies the user currently has summoned dealing 1 hit of 167% wind damage each. When the user has 6 or more summoned butterflies, this additional damage may inflict poison for 15 seconds - dealing 58.2% wind damage every 2.9 seconds - with 120% base chance.</t>
  </si>
  <si>
    <t>Deals 1 hit of 1100% wind damage to the target and nearby enemies, fires extra shots equal to the number of butterflies the user currently has summoned dealing 1 hit of 200% wind damage each, dispels one buff from each target, and inflicts stormlash for 21 seconds - dealing 50% wind damage every 2.9 seconds - with 120% base chance.</t>
  </si>
  <si>
    <t>Deals 2 hits of 474% wind damage to enemies in a line. Stunned foes take 1 hit of 2038.2% and 1 hit of 474% wind damage instead. Poisoned foes take 1 hit of 474% and 1 hit of 1422% wind damage instead. Poisoned and stunned foes take 1 hit of 2038.2% and 1 hit of 1422% wind damage instead.</t>
  </si>
  <si>
    <t>Deals 1 hit of 500% and 1 hit of 1600% wind damage to enemies in a line. Stunned foes take 1 hit of 2000% and 1 hit of 1600% wind damage instead.</t>
  </si>
  <si>
    <t>Activates "Shackling Arrows". The user's next 2 force strikes will deal extra damage, inflict stun and poison, and grant 2400 SP. The next time this skill is used, it will instead deal 3 hits of 316% wind damage to enemies in a line. Poisoned foes will take 3 hits of 474% wind damage instead.</t>
  </si>
  <si>
    <t>Deals 3 hits of 550% wind damage to enemies in a line and activates "Shackling Arrows". The user's next 2 force strikes will deal extra damage, dispels one buff from each target, grants 1400 SP, inflicts stun for 8 seconds with 120% base chance, and Inflicts poison - dealing 50% wind damage per second every 2.9 seconds for 21 seconds - with 120% chance</t>
  </si>
  <si>
    <t>Deals 4 shots of 542% wind damage to enemies in a line, inflicts poison for 15 seconds - dealing 58.2% wind damage every 2.9 seconds - with 120% chance, and restores 5% of the damage inflicted as HP to the user. This recovery caps at 5% of their maximum HP.</t>
  </si>
  <si>
    <t>Deals 4 shots of 600% wind damage to enemies in a line, inflicts poison for 21 seconds - dealing 50% wind damage every 2.9 seconds - with 120% chance, and restores 5% of the damage inflicted as HP to the entire team. This recovery caps at 10% of the user's maximum HP.</t>
  </si>
  <si>
    <t>Deals 3 shots of 693% wind damage to enemies in a line. Poisoned foes take 1039.5% wind damage per hit instead. Damage will be decreased as the user's HP decreases, down to 3 hits of 346.5% (519.75% on poisoned foes) at 1 HP.</t>
  </si>
  <si>
    <t>Deals 3 shots of 1100% wind damage to enemies in a line, dispels one buff from each target and grants the user a defense amp (Team Amp MAX Lv. = 3).</t>
  </si>
  <si>
    <t>Deals 2 hits of 221% wind damage to the target and nearby enemies, and inflicts poison for 15 seconds - dealing 53% wind damage every 2.9 seconds - with 110% base chance. Poisoned foes take 2 hits of 497.25% wind damage instead. Activates "Skill Shift" if the attack connects. Phase II increases poison's success rate to 160%, while Phase III increases the entire team's strength by 15% for 10 seconds.</t>
  </si>
  <si>
    <t>Deals 2 hits of 600% wind damage to the target and nearby enemies, dispels one buff from each target, and inflicts poison for 21 seconds - dealing 50% wind damage every 2.9 seconds - with 120% base chance. Also, increases the entire team's strength by 15% for 15 seconds.</t>
  </si>
  <si>
    <t>Immediately readies the Last Resort skill for use, and increases the user's strength by 25% for 5 seconds.</t>
  </si>
  <si>
    <t>Immediately readies the Last Resort skill for use, increases the user's strength by 25% for 15 seconds, grants the user immunity to knockback for 15 seconds, and grants the user a strength amp (Team Amp MAX Lv. = 3).</t>
  </si>
  <si>
    <t>Deals 1 hit of 1387.8% wind damage to the target, and inflicts poison for 15 seconds - dealing 53% wind damage every 2.9 seconds - with 110% base chance. Poisoned foes take 1 hit of 2081.7% wind damage instead.</t>
  </si>
  <si>
    <t>Deals 1 hit of 2500% wind damage to the target, dispels one buff from each target, and inflicts poison for 21 seconds - dealing 50% wind damage every 2.9 seconds - with 120% base chance.</t>
  </si>
  <si>
    <t>Deals 1 hit of 1468% wind damage to the target, and inflicts poison for 15 seconds - dealing 39.6% wind damage every 2.9 seconds - with 100% base chance. Poisoned foes take 1 hit of 2202% wind damage instead.</t>
  </si>
  <si>
    <t>Deals 1 hit of 2500% wind damage to the target, and inflicts poison for 21 seconds - dealing 50% wind damage every 2.9 seconds - with 120% base chance, and lowers the target's poison resistance by 20% for 30 seconds. This resistance reduction will not stack. In addition, grants the user a critical damage amp (Team Amp MAX Lv. = 3). After this amp is granted, this ability will not grant it again for 15 seconds.</t>
  </si>
  <si>
    <t>Deals 3 hits of 369% wind damage to enemies in a line, and inflicts poison for 15 seconds - dealing 48.2% wind damage every 2.9 seconds - with 100% chance. Poisoned foes take 3 hits of 442.8% wind damage instead.</t>
  </si>
  <si>
    <t>Deals 3 hits of 700% wind damage to enemies in a line, dispels one buff from each target, and inflicts poison for 21 seconds - dealing 50% wind damage every 2.9 seconds - with 120% chance.</t>
  </si>
  <si>
    <t>Deals 1 hit of 1321% wind damage to enemies in a line, and inflicts paralysis for 12 seconds - dealing 60% wind damage every 3.9 seconds - with 90% base chance. Poisoned foes take 1 hit of 1585.2% wind damage instead.</t>
  </si>
  <si>
    <t>Deals 1 hit of 2500% wind damage to enemies in a line, and inflicts paralysis for 21 seconds - dealing 50% wind damage every 2.9 seconds - with 120% base chance, and lowers the target's paralysis resistance by 20% for 30 seconds. This resistance reduction will not stack. In addition, grants the user a strength amp (Team Amp MAX Lv. = 3). After this amp is granted, this ability will not grant it again for 15 seconds.</t>
  </si>
  <si>
    <t>During close-quarters combat: deals 1 hit of 1734% wind damage to surrounding enemies, reduces their strength by 20% for 15 seconds, and grants the user a defense amp (Team Amp MAX Lv. = 2). This strength reduction does not stack. During ranged combat: deals 4 hits of 280% wind damage to the target and nearby enemies and inflicts stormlash for 21 seconds - dealing 41% wind damage every 2.9 seconds - with 120% chance. During Sigil Released: deals 7 hits of 313% wind damage to surrounding enemies, reduces their strength by 20% for 15 seconds which does not stack, inflicts stormlash for 21 seconds - dealing 41% wind damage every 2.9 seconds - with 120% chance, and grants the user a defense amp (Team Amp MAX Lv. = 2).</t>
  </si>
  <si>
    <t>During close-quarters combat: deals 1 hit of 1800% wind damage to surrounding enemies, reduces their strength by 20% for 15 seconds. This strength reduction does not stack. During ranged combat: deals 4 hits of 300% wind damage to the target and nearby enemies and inflicts stormlash for 21 seconds - dealing 50% wind damage every 2.9 seconds - with 120% chance. During Sigil Released: deals 7 hits of 350% wind damage to surrounding enemies, reduces their strength by 20% for 15 seconds which does not stack, and inflicts stormlash for 21 seconds - dealing 50% wind damage every 2.9 seconds - with 120% chance.Using any variant of this skill grants the user a defense amp (Team Amp MAX Lv. = 3)</t>
  </si>
  <si>
    <t>During close-quarters combat: deals 1 hit of 1903% wind damage to enemies directly ahead, dispels one buff from each target, and creates a debuff zone around the user that lasts for 10 seconds and reduces the defense of enemies inside it by 5%. During ranged combat: deals 5 hits of 307% wind damage to enemies in a line and inflicts stormlash for 21 seconds - dealing 31% wind damage every 2.9 seconds - with 110% chance. During Sigil Released: deals 5 hits of 453% wind damage to enemies directly ahead, dispels one buff from each target, reduces their defense by 10% for 10 seconds which does not stack, and inflicts stormlash for 21 seconds - dealing 31% wind damage every 2.9 seconds - with 110% chance. If this skill is used as a Shared Skill, it always uses the Sigil Released variant.</t>
  </si>
  <si>
    <t>During close-quarters combat: deals 1 hit of 2000% wind damage to enemies directly ahead, dispels one buff from each target, and creates a debuff zone around the user that lasts for 10 seconds and reduces the defense of enemies inside it by 5%. During ranged combat: deals 5 hits of 350% wind damage to enemies in a line and inflicts stormlash for 21 seconds - dealing 50% wind damage every 2.9 seconds - with 120% chance. During Sigil Released: deals 5 hits of 500% wind damage to enemies directly ahead, dispels one buff from each target, reduces their defense by 10% for 10 seconds which does not stack, and inflicts stormlash for 21 seconds - dealing 50% wind damage every 2.9 seconds - with 120% chance. If this skill is used as a Shared Skill, it always uses the Sigil Released variant.</t>
  </si>
  <si>
    <t>Grants the user a Strength Amp (Team Amp MAX Lv. = 2).</t>
  </si>
  <si>
    <t>Grants the user a team strength amp (Team Amp MAX Lv. = 1) and gradually recovers the entire team's HP for 20 seconds, healing with 35% Recovery Potency every 2.9 seconds</t>
  </si>
  <si>
    <t>3.3 second(s)</t>
  </si>
  <si>
    <t>Deals 11 hits of 345% wind damage to enemies directly ahead, draws them together, and, if the user has a Team Strength Amp, also restores HP to the user and nearby allies with 60% Recovery Potency.</t>
  </si>
  <si>
    <t>Deals 11 hits of 350% wind damage to enemies directly ahead, draws them together, inflicts stormlash for 21 seconds - dealing 50% wind damage every 2.9 seconds - with 120% base chance, lowers their stormlash resistance by 20% for 30 seconds, and restores HP to the entire team with 60% Recovery Potency. This resistance reduction will not stack.</t>
  </si>
  <si>
    <t>144</t>
  </si>
  <si>
    <t>Deals 1 hit of 1920% wind damage to the target and nearby enemies, draws them together, inflicts poison - dealing 58.2% wind damage every 2.9 seconds for 15 seconds - with 120% chance, and grants the user one stack of Overload. Overload decreases skill gauge fill rate for the Chrono Trial skill by 30%. Overload can stack up to 3 times, and is not removed by shapeshifting. Overload is not applied when Chrono Trial is used as a shared skill.</t>
  </si>
  <si>
    <t>Deals 1 hit of 3000% wind damage to the target and nearby enemies, draws them together, dispels one buff from each target, and inflicts poison - dealing 50% wind damage every 2.9 seconds for 21 seconds - with 120% chance. Also, grants the user a defense amp (Team Amp MAX Lv. = 1). After this amp is granted, this ability will not grant it again for 8 seconds.</t>
  </si>
  <si>
    <t>051</t>
  </si>
  <si>
    <t>Consumes all stacks of Overload, and applies one of the following buffs at random to the user for each stack of Overload consumed: Increases inspiration by 2 stages. Adds 15% to the modifier applied to critical damage for 30 seconds. Increases critical rate by 20% for 30 seconds. The same buff will not be granted multiple times by one use of this skill. If this skill is used when the user has 3 stacks of Overload, all three buffs will be granted to the entire team. If this skill is used when the user has no stacks of Overload, one random buff from the above will be granted to the user.</t>
  </si>
  <si>
    <t>Increases the entire team's inspiration by 1 stage, critical rate by 20% for 15 seconds, and adds 15% to the modifier applied to critical damage for 15 seconds. These effects will not stack. Also, grants the user a team critical damage amp (Team Amp MAX Lv. = 1).</t>
  </si>
  <si>
    <t>Deals 6 hits of 256% wind damage to the target and nearby enemies, and reduces their defense by 5% for 10 seconds. This defense reduction effect will not stack.</t>
  </si>
  <si>
    <t>Deals 6 hits of 300% wind damage to the target and nearby enemies, dispels one buff from each target, and reduces their defense by 10% for 10 seconds. This defense reduction effect will not stack. Also, grants the user a critical damage amp (Team Amp MAX Lv. = 1).</t>
  </si>
  <si>
    <t>Deals 4 shots of 426% wind damage to enemies in a line. Energizes the user if activated when the combo count is 30 or higher.</t>
  </si>
  <si>
    <t>Deals 4 shots of 550% wind damage to enemies in a line and inflicts stormlash for 21 seconds - dealing 50% wind damage every 2.9 seconds - with 120% base chance. Energizes the user if activated when the combo count is 30 or higher. Also, grants the user a defense amp (Team Amp MAX Lv. = 1).</t>
  </si>
  <si>
    <t>For 15 seconds, increases the critical rate of wind-attuned adventurers in the team by 22% and the entire team's strength by 5%.</t>
  </si>
  <si>
    <t>For 15 seconds, increases the critical rate of the entire team by 22% and the entire team's strength by 5%. In addition, grants the user a critical damage amp (Team Amp MAX Lv. = 1). After this amp is granted, this ability will not grant it again for 8 seconds.</t>
  </si>
  <si>
    <t>Deals 1 hit of 889% wind damage to enemies directly ahead, and raises the dragon gauge by 90 DP if the attack connects. After the user has shapeshifted once, this skill will raise the dragon gauge by 130 DP instead.</t>
  </si>
  <si>
    <t>Deals 1 hit of 1000% wind damage to enemies directly ahead, dispels one buff from each target, inflicts stormlash for 21 seconds - dealing 50% wind damage every 2.9 seconds - with 120% base chance, and raises the dragon gauge by 130 DP if the attack connects.</t>
  </si>
  <si>
    <t>Increases the strength of wind-attuned adventurers in the team by 25% for 15 seconds.</t>
  </si>
  <si>
    <t>Increases the strength of the entire team by 25% for 15 seconds, gradually recovers their HP for 20 seconds, healing with 35% Recovery Potency every 2.9 seconds, and grants the user a strength amp (Team Amp MAX Lv. = 1).</t>
  </si>
  <si>
    <t>Deals 2 hits of 443% wind damage to enemies directly ahead.</t>
  </si>
  <si>
    <t>Deals 2 hits of 900% wind damage to enemies directly ahead, dispels one buff from each target, inflicts poison for 21 seconds - dealing 50% wind damage every 2.9 seconds - with 120% base chance.</t>
  </si>
  <si>
    <t>Deals 1 hit of 1611% wind damage to the target and nearby enemies.</t>
  </si>
  <si>
    <t>Deals 1 hit of 2100% wind damage to the target and nearby enemies, and inflicts stormlash for 21 seconds - dealing 50% wind damage every 2.9 seconds - with 120% base chance. Also, grants the user a defense amp (Team Amp MAX Lv. = 1).</t>
  </si>
  <si>
    <t>Deals 1 shot of 1522% wind damage to enemies in a line, inflicts stun for 3-4 seconds with 90% base chance, and increases the entire team's defense by 10% for 15 seconds.</t>
  </si>
  <si>
    <t>Deals 1 shot of 2000% wind damage to enemies in a line, inflicts stun for 6-7 seconds with 120% base chance, inflicts stormlash for 21 seconds - dealing 50% wind damage every 2.9 seconds - with 120% base chance, lowers the target's stormlash resistance by 20% for 30 seconds, and increases the entire team's defense by 25% for 15 seconds. This resistance reduction will not stack. Also, grants the user a critical damage amp (Team Amp MAX Lv. = 1).</t>
  </si>
  <si>
    <t>326</t>
  </si>
  <si>
    <t>Restores HP to all teammates with 10% Recovery Potency. This recovery is increased to ten times its normal potency for teammates who are at 30% of their maximum HP or less. Then, for 40 seconds recovers the entire team's HP with 25% Recovery Potency every 2.9 seconds. In addition, activates the following cumulative effects based on the number of charges the shopkeeper gauge has. One or more: This skill's recovery potency is increased to 21%. Two or more: Removes all afflictions from the entire team. Three: Grants the entire team a team strength amp (MAX Lv. = 1). If this skill is used as a shared skill, restores HP to all teammates with 10% Recovery Potency and continues healing for 40 seconds with 25% Recovery Potency every 2.9 seconds.</t>
  </si>
  <si>
    <t>327</t>
  </si>
  <si>
    <t>This skill can only be used when the shopkeeper gauge is completely filled. Completely consumes the shopkeeper gauge, revives any incapacitated teammates, and completely restores their HP. Also, restores HP to all teammates with 300% Recovery Potency and removes all afflictions from the entire team. Furthermore, fills the skill gauges of all teammates by 100%, excluding the user and dragons. During this skill, the user will be immune to knockback.</t>
  </si>
  <si>
    <t>Gradually recovers the entire team's HP for 40 seconds with 25% Recovery Potency every 2.9 seconds, and increases their strength by 15% for 60 seconds. This strength increase will not stack.</t>
  </si>
  <si>
    <t>Gradually recovers the entire team's HP for 40 seconds with 25% Recovery Potency every 2.9 seconds, and increases their strength by 15% for 60 seconds. This strength increase will not stack. Also, grants the user a strength amp (Team Amp MAX Lv. = 3).</t>
  </si>
  <si>
    <t>181</t>
  </si>
  <si>
    <t>Deals 1 hit of 1425% wind damage to enemies directly ahead, dispels one buff from each target, and lowers their poison resistance by 20% for 30 seconds. This resistance reduction will not stack.</t>
  </si>
  <si>
    <t>Deals 1 hit of 2000% wind damage to enemies directly ahead, dispels one buff from each target, inflicts poison for 21 seconds - dealing 50% wind damage every 2.9 seconds - with 120% base chance, and lowers their poison resistance by 20% for 30 seconds. This resistance reduction will not stack.</t>
  </si>
  <si>
    <t>Restores HP to all allies with 44% Recovery Potency, continues healing over the next 15 seconds with 35% Recovery Potency every 2.9 seconds, increases the entire team's strength by 15% for 60 seconds and grants them overdamage based on 50% of the user's strength for 30 seconds. This strength increase and overdamage will not stack.</t>
  </si>
  <si>
    <t>Restores HP to all allies with 60% Recovery Potency, continues healing over the next 15 seconds with 35% Recovery Potency every 2.9 seconds, increases the entire team's strength by 15% for 60 seconds and grants them overdamage based on 50% of the user's strength for 30 seconds. This strength increase and overdamage will not stack.</t>
  </si>
  <si>
    <t>Creates a buff zone that lasts for 15 seconds and gradually fills the skill gauges of adventurers inside it (420 SP regen every 1.5 seconds). When placed, this buff zone deals 1 hit of 900% wind damage to surrounding enemies, inflicts stormlash for 21 seconds - dealing 41% wind damage every 2.9 seconds - with 120% chance, and restores 20% of the damage inflicted as HP to the entire team.</t>
  </si>
  <si>
    <t>Creates a buff zone that lasts for 15 seconds that gradually fills the skill gauges of adventurers inside it (420 SP regen every 1.5 seconds) and gradually heals the HP of adventurers inside it with 20% Recovery Potency every 2.9 seconds. When placed, this buff zone deals 1 hit of 1000% wind damage to surrounding enemies, dispels one buff from each target, inflicts stormlash for 21 seconds - dealing 50% wind damage every 2.9 seconds - with 120% chance, and restores 20% of the damage inflicted as HP to the entire team.</t>
  </si>
  <si>
    <t>Restores HP to all allies with 108% Recovery Potency, removes freeze, and increases the entire team's strength by 15% for 60 seconds. This strength increase will not stack.</t>
  </si>
  <si>
    <t>Restores HP to all allies with 130% Recovery Potency, removes freeze, and increases the entire team's strength by 15% for 60 seconds. This strength increase will not stack. Also, grants the user a defense amp (Team Amp MAX Lv. = 3).</t>
  </si>
  <si>
    <t>Increases the entire team's defense by 10% for 15 seconds, and gradually recovers their HP for 15 seconds, healing with 29% Recovery Potency every 2.9 seconds.</t>
  </si>
  <si>
    <t>Increases the entire team's defense by 25% for 15 seconds, and gradually recovers their HP for 20 seconds, healing with 35% Recovery Potency every 2.9 seconds, and grants them overdamage based on 50% of the user's strength for 30 seconds</t>
  </si>
  <si>
    <t>Restores HP to all allies with 130% Recovery Potency, removes bog, and increases the entire team's strength by 15% for 60 seconds. This strength increase will not stack.</t>
  </si>
  <si>
    <t>Increases the entire team's defense by 25% for 15 seconds, gradually recovers their HP for 15 seconds with 17% Recovery Potency every 2.9 seconds, and increases each adventurer's max HP by 15% for the remainder of the quest. Once HP buffs reach the limit of 30%, an HP recovery effect is granted instead.</t>
  </si>
  <si>
    <t>Increases the entire team's defense by 25% for 15 seconds, gradually recovers their HP for 20 seconds with 35% Recovery Potency every 2.9 seconds, and increases each adventurer's max HP by 15% for the remainder of the quest. Once HP buffs reach the limit of 30%, an HP recovery effect is granted instead. Also, grant the user a defense amp (Team Amp MAX Lv. = 3).</t>
  </si>
  <si>
    <t>Restores HP to all allies with 60% Recovery Potency, removes freeze, gradually recovers their HP for 20 seconds with 35% Recovery Potency every 2.9 seconds, and increases the entire team's strength by 15% for 60 seconds. This strength increase will not stack.</t>
  </si>
  <si>
    <t>Deals 1 hit of 1386% wind damage to surrounding enemies, and inflicts poison for 15 seconds - dealing 58.2% wind damage every 2.9 seconds - with 120% base chance.</t>
  </si>
  <si>
    <t>Deals 1 hit of 2000% wind damage to surrounding enemies, and inflicts poison for 21 seconds - dealing 50% wind damage every 2.9 seconds - with 120% base chance, and lowers their poison resistance by 20% for 30 seconds. This resistance reduction will not stack. If the attack connects, and restores all teammates' HP by 10% of damage inflicted. This recovery caps at 30% of their maximum HP. In addition, grant the user a strength amp (Team Amp MAX Lv. = 3).</t>
  </si>
  <si>
    <t>269</t>
  </si>
  <si>
    <t>Fills the user's Manachew gauge by 50%. If this skill is used after the Manachew gauge is completely filled, but before it is depleted, a variant called Scatterfall will be used instead. Scatterfall deals 30 hits of 73% wind damage to the target and nearby enemies and inflicts stormlash for 21 seconds - dealing 41% wind damage every 2.9 seconds - with 120% chance. If this skill is used as a Helper Skill or a Shared Skill, it will always use the enhanced version.</t>
  </si>
  <si>
    <t>Fills the user's Manachew gauge by 50%. If this skill is used after the Manachew gauge is completely filled, but before it is depleted, a variant called Scatterfall will be used instead. Scatterfall deals 30 hits of 90% wind damage to the target and nearby enemies and inflicts stormlash for 21 seconds - dealing 50% wind damage every 2.9 seconds - with 120% chance. If this skill is used as a Helper Skill or a Shared Skill, it will always use the enhanced version.</t>
  </si>
  <si>
    <t>Fills the user's Manachew gauge by 50%. If this skill is used after the Manachew gauge is completely filled, but before it is depleted, a variant called Poisonblast will be used instead. Poisonblast deals 10 hits of 115% and 1 hit of 987% wind damage to enemies directly ahead, inflicts poison for 21 seconds - dealing 43.6% wind damage every 2.9 seconds - with 110% chance, and grants the user a strength amp (Team Amp MAX Lv. = 2).</t>
  </si>
  <si>
    <t>Fills the user's Manachew gauge by 50%. If this skill is used after the Manachew gauge is completely filled, but before it is depleted, a variant called Poisonblast will be used instead. Poisonblast deals 10 hits of 150% and 1 hit of 1000% wind damage to enemies directly ahead, inflicts poison for 21 seconds - dealing 50% wind damage every 2.9 seconds - with 120% chance, and grants the user a strength amp (Team Amp MAX Lv. = 3).</t>
  </si>
  <si>
    <t>Deals 5 hits of 225% wind damage to enemies directly ahead, inflicts stormlash for 21 seconds - dealing 41% wind damage every 2.9 seconds - with 120% chance, and, when used directly next to foes, grants the user the "Enemy Insight" effect. Enemy Insight has three levels. When Enemy Insight Lv. 3 is active, a more powerful version of this skill will be used. This variant consumes Enemy Insight Lv. 3, deals 5 hits of 400% wind damage to enemies directly ahead, and inflicts stormlash for 21 seconds - dealing 41% wind damage every 2.9 seconds - with 120% chance. Stormlashed foes take 5 hits of 480% wind damage instead.</t>
  </si>
  <si>
    <t>Deals 5 hits of 550% wind damage to enemies directly ahead, inflicts stormlash for 21 seconds - dealing 50% wind damage every 2.9 seconds - with 120% chance.</t>
  </si>
  <si>
    <t>239</t>
  </si>
  <si>
    <t>Dispels one buff from multiple targets, and grants the user the "Enemy Insight" effect. This skill will only affect each target once per use. When Enemy Insight Lv. 3 is active, a more powerful version of this skill will be used. This variant consumes Enemy Insight Lv. 3, dispels one buff from multiple targets, and grants the user the "Calculated Shots" effect for 30 seconds. This skill will only affect each target once per use.</t>
  </si>
  <si>
    <t>Dispels one buff from multiple targets, lowers their stormlash resistance by 20% for 30 seconds, and grants the user the "Calculated Shots" effect for 15 seconds. This skill will only affect each target once per use. This resistance reduction will not stack. In addition, grants the user a critical damage amp (Team Amp MAX Lv. = 3). After this amp is granted, this ability will not grant it again for 15 seconds.</t>
  </si>
  <si>
    <t>Deals 1 hit of 1012% wind damage to enemies in a line, and inflicts stormlash - dealing 41% wind damage every 2.9 seconds for 21 seconds - with 120% chance. If this skill is used directly after Ace Operator, Ace Operator's attack will be interrupted, and the following variant of this skill will be used instead: Deals 1 hit of 2064% wind damage to enemies directly ahead, and inflicts stormlash - dealing 41% wind damage every 2.9 seconds for 21 seconds - with 120% chance, and poison - dealing 58.2% wind damage every 2.9 seconds for 30 seconds - with 120% chance. If this skill is used as a Shared Skill, it will always use the variant version.</t>
  </si>
  <si>
    <t>Deals 1 hit of 2500% wind damage to enemies directly ahead, and inflicts stormlash - dealing 50% wind damage every 2.9 seconds for 21 seconds - with 120% chance, and poison - dealing 50% wind damage every 2.9 seconds for 21 seconds - with 120% chance.</t>
  </si>
  <si>
    <t>182</t>
  </si>
  <si>
    <t>Inflicts enemies directly ahead with poison - dealing 58.2% wind damage every 2.9 seconds for 15 seconds - with 120% chance.</t>
  </si>
  <si>
    <t>Inflicts enemies directly ahead with poison - dealing 50% wind damage every 2.9 seconds for 21 seconds - with 120% chance, dispels one buff from each target, and lowers the target's poison resistance by 20% for 30 seconds. This resistance reduction will not stack. In addition, grant the user a strength amp (Team Amp MAX Lv. = 3).</t>
  </si>
  <si>
    <t>Deals 1 hit of 1783% light damage to enemies directly ahead, adaptively suppresses damage dealt by enemies by 10% for 10 seconds, and inflicts paralysis for 13 seconds - dealing 97% light damage every 3.9 seconds - with 120% chance.</t>
  </si>
  <si>
    <t>Deals 1 hit of 2000% light damage to enemies directly ahead, reduces their strength by 10% for 20 seconds, and inflicts paralysis for 21 seconds - dealing 100% light damage every 2.9 seconds - with 120% chance. This strength reduction effect will not stack.</t>
  </si>
  <si>
    <t>Deals 3 hits of 437% and 1 hit of 817% light damage to enemies directly ahead, lowers their light resistance by 5% for 10 seconds, and grants the user a strength amp (Team Amp MAX Lv. = 2). The resistance reduction does not stack.</t>
  </si>
  <si>
    <t>Deals 3 hits of 600% and 1 hit of 1000% light damage to enemies directly ahead, lowers their light resistance by 10% for 10 seconds, and grants the user a strength amp (Team Amp MAX Lv. = 3). The resistance reduction does not stack.</t>
  </si>
  <si>
    <t>184</t>
  </si>
  <si>
    <t>3.2 second(s)</t>
  </si>
  <si>
    <t>Deals 3 hits of 595% light damage to enemies directly ahead, and reduces shadow damage taken by the user by 10% for 10 seconds. This damage reduction effect will not stack. If this skill is used after the user's gourmand gauge has filled, a variant called Princess Valiance will be used instead. Princess Valiance deals 1 hit of 3034%, 2 hits of 189.5% and 1 hit of 379% light damage to enemies directly ahead, and increases the user's strength by 40% for 5 seconds. Once the gourmand gauge is depleted, this skill will revert to its initial effect.</t>
  </si>
  <si>
    <t>Deals 3 hits of 700% light damage to enemies directly ahead, dispels one buff from each target, and reduces shadow damage taken by the entire team by 10% for 10 seconds. This damage reduction effect will not stack. If this skill is used after the user's gourmand gauge has filled, a variant called Princess Valiance will be used instead. Princess Valiance deals 1 hit of 3500%, 2 hits of 250% and 1 hit of 500% light damage to enemies directly ahead,  and increases the user's strength by 40% for 5 seconds. Once the gourmand gauge is depleted, this skill will revert to its initial effect.</t>
  </si>
  <si>
    <t>186</t>
  </si>
  <si>
    <t>Increases the user's defense by 15% for 15 seconds, restores HP to the user with 40% Recovery Potency, and fills the user's gourmand gauge by half.</t>
  </si>
  <si>
    <t>Restores HP to all allies with 60% Recovery Potency, increases the entire team's defense by 25% for 15 seconds, fills the user's gourmand gauge by half, and increases the entire team's max HP by 10% for the remainder of the quest. This does not stack with any other shields. Once HP buffs reach the limit of 30%, an HP recovery effect is granted instead. Also, grants the user a defense amp (Team Amp MAX Lv. = 3). After this amp is granted, this ability will not grant it again for 15 seconds.</t>
  </si>
  <si>
    <t>Deals 1 hit of 1700% light damage to surrounding enemies, and creates a buff zone that lasts for 10 seconds and increases the strength of adventurers inside it by 20%.</t>
  </si>
  <si>
    <t>Deals 1 hit of 2000% light damage to surrounding enemies, dispels one buff from each target, and creates a buff zone that lasts for 10 seconds and increases the strength of adventurers inside it by 20%. In addition, grants the user a Strength Amp (Team Amp MAX Lv. = 3). After this amp is granted, this skill will not grant it again for 15 seconds.</t>
  </si>
  <si>
    <t>062</t>
  </si>
  <si>
    <t>Deals 3 hits of 134% and 10 hits of 400% light damage to enemies directly ahead, inflicts paralysis for 13 seconds - dealing 80.3% light damage every 3.9 seconds - with 100% base chance, increases the entire team's strength by 15% and defense by 20% for 15 seconds, grants all teammates a one-use shield that nullifies damage less than 30% of the user's maximum HP (this does not stack with any other shields), and grants the user a Strength Amp (Team Amp MAX Lv. = 3). The skill gauge for this skill can be filled by attacking enemies, but it will also gradually fill automatically. Abilities that increase skill gauge fill rate will not affect this automatic increase.</t>
  </si>
  <si>
    <t>Deals 3 hits of 150% and 10 hits of 500% light damage to enemies directly ahead, inflicts paralysis for 21 seconds - dealing 50% light damage every 2.9 seconds - with 120% base chance, inflicts flashburn for 21 seconds - dealing 50% light damage every 2.9 seconds - with 120% base chance, increases the entire team's strength by 20% and defense by 20% for 15 seconds, grants all teammates a one-use shield that nullifies damage less than 40% of the user's maximum HP (this does not stack with any other shields). The skill gauge for this skill can be filled by attacking enemies, but it will also gradually fill automatically. Abilities that increase skill gauge fill rate will not affect this automatic increase.</t>
  </si>
  <si>
    <t>042</t>
  </si>
  <si>
    <t>Deals 2 hits of 418% light damage to enemies directly ahead, inflicts paralysis - dealing 97% light damage every 3.9 seconds for 12 seconds - with 120% chance, and increases the user's strength by 20% for 12 seconds. Paralyzed foes take 2 hits of 627% light damage instead.</t>
  </si>
  <si>
    <t>Deals 2 hits of 750% light damage to enemies directly ahead, dispels one buff from each target, inflicts paralysis for 21 seconds - dealing 50% light damage every 2.9 seconds - with 120% chance, and increases the entire team's strength by 25% for 15 seconds.</t>
  </si>
  <si>
    <t>043</t>
  </si>
  <si>
    <t>Deals 2 hits of 439% light damage to surrounding enemies and restores the user's HP by 5% of the damage inflicted. This recovery caps at 10% of the user's HP per hit. Paralyzed foes take 2 hits of 658.5% light damage instead. The lower the user's HP, the more damage this skill deals. This increase caps at 2 hits of 878% light damage. For paralyzed foes this cap is instead 2 hits of 1317% light damage.</t>
  </si>
  <si>
    <t>Deals 2 hits of 1500% light damage to surrounding enemies and restores 5% of the damage inflicted as HP to the entire team. This recovery caps at 10% of the user's maximum HP. In addition, grants the user a critical damage amp (Team Amp MAX Lv. = 3).</t>
  </si>
  <si>
    <t>Deals 1 hit of 1567.5% light damage to the target and nearby enemies. Paralyzed foes take 1 hit of 1881% light damage instead. When "Electrified" is active, this skill is upgraded to deal 1 hit of 2352.2% and 6 hits of 157.7% light damage to the target and nearby enemies. Paralyzed foes take 1 hit of 2822.64% and 6 hits of 189.24% light damage instead.</t>
  </si>
  <si>
    <t>Deals 1 hit of 2000% light damage to the target and nearby enemies. When "Electrified" is active, this skill is upgraded to deal 1 hit of 3000% and 6 hits of 250% light damage to the target and nearby enemies.</t>
  </si>
  <si>
    <t>Electrifies the user for 25 seconds. When electrified the user's force strike will have two charge levels and inflict paralysis at level two, and the skill Lightning Burst will be powered up. The skill gauge for this skill can be filled by attacking enemies, but when the user is not electrified, this skill's gauge will also gradually fill automatically. Abilities that increase skill gauge fill rate will not affect this automatic increase.</t>
  </si>
  <si>
    <t>Deals 2 hits of 303% light damage to enemies in a line, and reduces their defense by 5% for 10 seconds. This defense reduction effect will not stack.</t>
  </si>
  <si>
    <t>Deals 2 hits of 1000% light damage to enemies in a line, dispels one buff from each target, inflicts flashburn for 21 seconds - dealing 50% light damage every 2.9 seconds - with 120% base chance, and reduces their defense by 10% for 10 seconds. This defense reduction effect will not stack.</t>
  </si>
  <si>
    <t>Restores HP to the user and nearby allies with 60% Recovery Potency, and increases their strength by 15% for 15 seconds.</t>
  </si>
  <si>
    <t>Gradually recovers the entire team's HP for 20 seconds with 35% Recovery Potency every 2.9 seconds, increases their strength by 25% for 15 seconds, and grants the user a strength amp (Team Amp MAX Lv. = 3).</t>
  </si>
  <si>
    <t>Deals 1 hit of 974% light damage to enemies directly ahead, inflicts stun for 4-5 seconds with 100% base chance, and reduces their defense by 5% for 10 seconds. This defense reduction effect will not stack.</t>
  </si>
  <si>
    <t>Deals 1 hit of 1800% light damage to enemies directly ahead, inflicts stun for 6-7 seconds with 120% base chance and flashburn for 21 seconds - dealing 50% light damage every 2.9 seconds - with 120% base chance, and reduces their defense by 10% for 10 seconds. This defense reduction effect will not stack.</t>
  </si>
  <si>
    <t>Deals 2 hits of 491% light damage to surrounding enemies.</t>
  </si>
  <si>
    <t>Deals 2 hits of 1000% light damage to surrounding enemies, dispels one buff from each enemy, lowers their flashburn resistance by 20% for 30 seconds. This resistance reduction will not stack. Also, grants the user a strength amp (Team Amp MAX Lv. = 3). After this amp is granted, this ability will not grant it again for 15 seconds.</t>
  </si>
  <si>
    <t>Deals 1 hit of 1200% light damage to enemies directly ahead, inflicts flashburn for 21 seconds - dealing 41.6% light damage every 2.9 seconds - with 120% chance, and grants the user a strength amp (Team Amp MAX Lv. = 1). If this attack hits an enemy that has the "Overcharged" effect, it will deal 1 additional hit of 300% light damage for every level of Overcharged. Then, if Overcharged is at its maximum level of 4, it will be removed.</t>
  </si>
  <si>
    <t>Deals 1 hit of 1500% light damage to enemies directly ahead, inflicts flashburn for 21 seconds - dealing 50% light damage every 2.9 seconds - with 120% chance, and grants the user a strength amp (Team Amp MAX Lv. = 1). If this attack hits an enemy that has the "Overcharged" effect, it will deal 1 additional hit of 300% light damage for every level of Overcharged, and dispel one buff from each target. Then, if Overcharged is at its maximum level of 4, it will be removed.</t>
  </si>
  <si>
    <t>Applies "Overcharged" to the target. If the user is hit by an attack that can be avoided with the damage immunity provided by skills while using this skill but before it applies Overcharged, this skill will instead apply 4 levels of Overcharged to the target and nearby enemies.</t>
  </si>
  <si>
    <t>172</t>
  </si>
  <si>
    <t>Deals 1 hit of 1710% light damage to enemies in a line, and reduces their strength by 10% for 10 seconds. This strength reduction effect will not stack.</t>
  </si>
  <si>
    <t>Deals 1 hit of 2200% light damage to enemies in a line, dispels one buff from each target, and reduces their strength by 30% for 10 seconds. This strength reduction effect will not stack. Also, grants the user a defense amp (Team Amp MAX Lv. = 1).</t>
  </si>
  <si>
    <t>Deals 3 hits of 781% light damage to enemies directly ahead. Debuffed foes take 3 hits of 1171.5% light damage instead.</t>
  </si>
  <si>
    <t>Deals 3 hits of 1200% light damage to enemies directly ahead and inflicts flashburn for 21 seconds - dealing 50% light damage every 2.9 seconds - with 120% base chance. Also, grants the user a critical damage amp (Team Amp MAX Lv. = 1).</t>
  </si>
  <si>
    <t>078</t>
  </si>
  <si>
    <t>Deals 4 hits of 507% light damage to enemies in a line. Both this skill's critical rate and the critical rate of attack skills in dragon form will be increased by 10% for each buff with a different icon applied to the user, up to a maximum of 70%.</t>
  </si>
  <si>
    <t>Deals 4 hits of 550% light damage to enemies in a line, dispels one buff from each target, and inflicts bleeding for 30 seconds - dealing 150% light damage every 4.9 seconds - with 100% base chance. Both this skill's critical rate and the critical rate of attack skills in dragon form will be increased by 10% for each buff with a different icon applied to the user, up to a maximum of 70%.</t>
  </si>
  <si>
    <t>Adds 80% to the modifier applied to the user's critical damage for 10 seconds, and grants the user a strength amp (Team Amp MAX Lv. = 3). After this amp is granted, this skill will not grant it again for 30 seconds.</t>
  </si>
  <si>
    <t>Adds 80% to the modifier applied to the user's critical damage for 10 seconds, and grants the user a strength amp (Team Amp MAX Lv. = 3). After this amp is granted, this skill will not grant it again for 15 seconds.</t>
  </si>
  <si>
    <t>925</t>
  </si>
  <si>
    <t>2.75 second(s)</t>
  </si>
  <si>
    <t>Deals 3 hits of 442.4% light damage to enemies directly ahead, reduces their strength and defense by 5% for 10 seconds, and increases the user's energy level by 1 stage. This defense reduction effect will not stack.</t>
  </si>
  <si>
    <t>Deals 3 hits of 600% light damage to enemies directly ahead, reduces their strength and defense by 10% for 10 seconds, and increases the user's energy level by 1 stage. This defense reduction effect will not stack.</t>
  </si>
  <si>
    <t>Activates "Stunning Beauty" for 15 seconds. During Stunning Beauty, the user's strength is increased by 50%, and the user's standard attacks inflict stun for 5-6 seconds with 100% base chance. Also increases the user's energy level by 2 stages.</t>
  </si>
  <si>
    <t>Activates "Stunning Beauty" for 15 seconds. During Stunning Beauty, the user's strength is increased by 50%, and the user's standard attacks inflict stun for 5-6 seconds with 120% base chance. Also increases the user's energy level by 2 stages. In addition, grant the user a defense amp (Team Amp MAX Lv. = 3). After this amp is granted, this skill will not grant it again for 15 seconds.</t>
  </si>
  <si>
    <t>Deals 1 hit of 1130% light damage to enemies directly ahead and activates "Dragon Dance" for 20 seconds if the skill connects. During Dragon Dance, this skill is upgraded to Dance of Blades (Dragon Dance). Dance of Blades (Dragon Dance) has a reduced SP cost of 2567, deals 1 hit of 1382% light damage to enemies directly ahead and if it connects, ends Dragon Dance and activates "Tiger Dance" for 15 seconds, granting access to Dance of Blades (Tiger Dance). Dance of Blades (Tiger Dance) has a reduced SP cost of 2567 and deals 1 hit of 1633% light damage to enemies directly ahead. If the skill connects, Tiger Dance will end.</t>
  </si>
  <si>
    <t>Deals 1 hit of 2000% light damage to enemies directly ahead, dispels one buff from each target, and inflicts flashburn for 21 seconds - dealing 50% light damage every 2.9 seconds - with 120% base chance.</t>
  </si>
  <si>
    <t>Gradually recovers the entire team's HP for 20 seconds with 35% Recovery Potency every 2.9 seconds, increases their strength by 25% for 15 seconds, and increases the entire team's max HP by 10% for the remainder of the quest. This does not stack with any other shields. Once HP buffs reach the limit of 30%, an HP recovery effect is granted instead. Also, grants the user a strength amp (Team Amp MAX Lv. = 3).</t>
  </si>
  <si>
    <t>Deals 2 hits of 648% light damage to enemies in a line, and inflicts paralysis for 13 seconds - dealing 66% light damage every 3.9 seconds - with 100% base chance.</t>
  </si>
  <si>
    <t>Deals 2 hits of 1000% light damage to enemies in a line, and inflicts paralysis for 21 seconds - dealing 50% light damage every 2.9 seconds - with 120% base chance.</t>
  </si>
  <si>
    <t>Activates "Dauntless Spirit." The user's next force strike will deal extra damage.</t>
  </si>
  <si>
    <t>Activates "Dauntless Spirit." The user's next force strike will deal extra damage, dispels one buff from each target, lowers their paralysis resistance by 20% for 30 seconds, and grants the user a strength amp (Team Amp MAX Lv. = 3). This resistance reduction will not stack. After this amp is granted, this skill will not grant it again for 15 seconds.</t>
  </si>
  <si>
    <t>Deals 3 hits of 481% light damage to enemies directly ahead.</t>
  </si>
  <si>
    <t>Deals 3 hits of 700% light damage to enemies directly ahead, dispels one buff from each target, and inflicts flashburn for 21 seconds - dealing 50% light damage every 2.9 seconds - with 120% base chance.</t>
  </si>
  <si>
    <t>704</t>
  </si>
  <si>
    <t>Deals 1 hit of 1251% light damage to surrounding enemies, and restores the user's HP by 3% of the damage inflicted. This recovery caps at 10% of their maximum HP. When the user's HP is full, this skill will also inflict bleeding for 30 seconds - dealing 146% light damage every 4.9 seconds - with 100% base chance.</t>
  </si>
  <si>
    <t>Deals 1 hit of 2000% light damage to surrounding enemies, inflict bleeding for 30 seconds - dealing 150% light damage every 4.9 seconds - with 100% base chance, and restores the entire team's HP by 5% of the damage inflicted. This recovery caps at 20% of their maximum HP. Also, grants the user a defense amp (Team Amp MAX Lv. = 3).</t>
  </si>
  <si>
    <t>Deals 5 hits of 400% light damage to enemies directly ahead, grants the user a defense amp (Team Amp MAX Lv. = 2), and fills the user's dragondrive gauge by 300 UTP. If this skill is used during dragondrive, a more powerful variant called Howling Protector will be used instead. Howling Protector deals 5 hits of 520% light damage, grants the user a defense amp (Team Amp MAX Lv. = 2), and fills the user's dragondrive gauge by 300 UTP. During dragondrive, damage will be decreased as the user's HP decreases, down to 5 hits of 52% at 1 HP.</t>
  </si>
  <si>
    <t>Deals 5 hits of 450% light damage to enemies directly ahead, dispels one buff from each target, and inflicts flashburn for 21 seconds - dealing 50% light damage every 2.9 seconds - with 120% base chance, and grants the user a defense amp (Team Amp MAX Lv. = 3), and fills the user's dragondrive gauge by 300 UTP. If this skill is used during dragondrive, a more powerful variant called Howling Protector will be used instead. Howling Protector deals 5 hits of 600% light damage, dispels one buff from each target, and inflicts flashburn for 21 seconds - dealing 50% light damage every 2.9 seconds - with 120% base chance, grants the user a defense amp (Team Amp MAX Lv. = 3), and fills the user's dragondrive gauge by 300 UTP.</t>
  </si>
  <si>
    <t>Consumes the entire dragondrive gauge and restores HP to the user based on the amount consumed with 30% Recovery Potency up to an additional 140% of max HP. If this skill is used during dragondrive, a variant called Steadfast Victory will be used instead. Steadfast Victory consumes 1500 UTP of the user's dragondrive gauge, deals 1 hit of 3250% light damage to enemies directly ahead, then fills the skill gauge for this skill by 50%. Damage will be decreased as the user's HP decreases, down to 1 hit of 325%.</t>
  </si>
  <si>
    <t>Consumes the entire dragondrive gauge and restores HP to the entire team based on the amount consumed with 35% Recovery Potency up to an additional 140% of max HP. If this skill is used during dragondrive, a variant called Steadfast Victory will be used instead. Steadfast Victory consumes 1500 UTP of the user's dragondrive gauge, deals 1 hit of 4000% light damage to enemies directly ahead, lowers their flashburn resistance by 20% for 30 seconds, then fills the skill gauge for this skill by 50%. This resistance reduction will not stack.</t>
  </si>
  <si>
    <t>145</t>
  </si>
  <si>
    <t>Generates 3 projectiles lasting for 3 seconds that can bounce off walls up to 5 times, and damage any enemy that comes into contact into them for 165% light damage. Paralyzed foes take 2 hits of 214.5% light damage instead. Each projectile can damage the same enemy once every 0.5 seconds for 6 possible hits per projectile (up to 18 hits total), but its damage decreases to 55% of the previous hit. If this skill is used during Maskable Faith Mode, generates 5 projectiles instead, and each projectile will initially deal 182% light damage. In addition, projectiles inflict paralysis - dealing 97% light damage every 3.9 seconds for 13 seconds - with 120% chance. Paralyzed foes take 2 hits of 236.6% light damage instead.</t>
  </si>
  <si>
    <t>Generates 5 projectiles lasting for 3 seconds that can bounce off walls up to 5 times, and damage any enemy that comes into contact into them for 250% light damage. Each projectile can damage the same enemy once every 0.5 seconds for 6 possible hits per projectile (up to 18 hits total), but its damage decreases to 60% of the previous hit. In addition, projectiles inflict paralysis - dealing 50% light damage every 2.9 seconds for 21 seconds - with 120% chance.</t>
  </si>
  <si>
    <t>146</t>
  </si>
  <si>
    <t>Activates "Maskable Faith Mode." If this skill is used during Maskable Faith Mode, a variant called Shimmering Pinwheels will be used instead. Shimmering Pinwheels deals up to 30 hits of 90% light damage to enemies directly ahead, and inflicts stun for 5-6 seconds with 100% chance. Paralyzed foes take up to 30 hits of 108% light damage instead. This skill can only be used when the user's HP is 50% or above, and Maskable Faith Mode will automatically be deactivated when the user's HP falls below 30% of their maximum HP.</t>
  </si>
  <si>
    <t>Deals 30 hits of 120% light damage to enemies directly ahead, dispels one buff from each target, and inflicts stun for 6-7 seconds with 120% chance. Also, grants the user a critical damage amp (Team Amp MAX Lv. = 3).</t>
  </si>
  <si>
    <t>117</t>
  </si>
  <si>
    <t>Deals 1 hit of 819% light damage to enemies in a line. Activates "Skill Shift" if the attack connects. Phase II increases the skill's area of effect from 4 to 7 units of distance and deals 1 hit of 974.1% light damage, while Phase III increases its area of effect from 7 to 10 units and deals 1 hit of 1500% light damage.</t>
  </si>
  <si>
    <t>Deals 1 hit of 1700% light damage to enemies in a line with an area of effect of 10 units, and inflicts paralysis for 21 seconds - dealing 50% light damage every 2.9 seconds - with 120% base chance.</t>
  </si>
  <si>
    <t>Deals 3 hits of 435% and 1 hit of 478.5% light damage to enemies directly ahead.</t>
  </si>
  <si>
    <t>Deals 3 hits of 500% and 1 hit of 600% light damage to enemies directly ahead, dispels one buff from each target, and lowers their paralysis resistance by 20% for 30 seconds. This resistance reduction will not stack. Also, grants the user a strength amp (Team Amp MAX Lv. = 3). After this amp is granted, this ability will not grant it again for 15 seconds.</t>
  </si>
  <si>
    <t>076</t>
  </si>
  <si>
    <t>5.25 second(s)</t>
  </si>
  <si>
    <t>Deals 12 hits of 88% light damage to the target and nearby enemies, and inflicts paralysis for 13 seconds - dealing 97% light damage every 3.9 seconds - with 120% base chance.</t>
  </si>
  <si>
    <t>Deals 12 hits of 140% light damage to the target and nearby enemies, dispels one buff from each target, and inflicts paralysis for 21 seconds - dealing 50% light damage every 2.9 seconds - with 120% base chance.</t>
  </si>
  <si>
    <t>Deals 1 hit of 1356% light damage to the target and nearby enemies, increases the user's attack rate by 10% for 10 seconds, and deals additional damage relative to the combo count when the skill is used, increasing for every 5 combo count. The maximum bonus damage is given when at 30 hits or higher, dealing 1 hit of 2034% light damage instead.</t>
  </si>
  <si>
    <t>Deals 1 hit of 2300% light damage to the target and nearby enemies and increases the user's attack rate by 10% for 10 seconds. Also, grants the user a strength amp (Team Amp MAX Lv. = 3).</t>
  </si>
  <si>
    <t>Deals 2 hits of 333% light damage to enemies directly ahead, and inflicts paralysis for 13 seconds - dealing 88.3% light damage every 3.9 seconds - with 110% base chance. Paralyzed foes take 2 hits of 666% light damage instead. Activates "Skill Shift" if the attack connects. Phase II increases paralysis's success rate to 160% base chance, while Phase III restores HP to all allies with 30% Recovery Potency.</t>
  </si>
  <si>
    <t>Deals 2 hits of 900% light damage to enemies directly ahead, dispels one buff from each target inflicts paralysis for 21 seconds - dealing 50% light damage every 2.9 seconds - with 120% base chance, and restores HP to all allies with 40% Recovery Potency.</t>
  </si>
  <si>
    <t>Immediately readies the Captivating Canvas skill for use, and increases the user's strength by 25% for 5 seconds.</t>
  </si>
  <si>
    <t>Immediately readies the Captivating Canvas skill for use, increases the entire team's strength by 25% for 5 seconds, and grants the user a defense amp (Team Amp MAX Lv. = 3).</t>
  </si>
  <si>
    <t>Deals 4 hits of 418% light damage to enemies directly ahead, and reduces their defense by 5% for 10 seconds with 40% base chance.</t>
  </si>
  <si>
    <t>Deals 4 hits of 550% light damage to enemies directly ahead, dispels one buff from each target, and reduces their defense by 10% for 10 seconds. This defense reduction effect will not stack. Also, grants the user a defense amp (Team Amp MAX Lv. = 1).</t>
  </si>
  <si>
    <t>Activates "Stunning Knives". The user's next 3 force strikes will grant the user a buff that increases critical rate by 8% for 10 seconds, then deal damage and throw 8 knives around the user, inflicting stun for 4-5 seconds with 100% base chance.</t>
  </si>
  <si>
    <t>Activates "Stunning Knives". The user's next 3 force strikes will grant the user a buff that increases critical rate by 10% for 10 seconds, then deal damage and throw 8 knives around the user, inflicting paralysis for 21 seconds - dealing 50% light damage every 2.9 seconds - with 120% base chance and stun for 4-5 seconds with 120% base chance. Also, this skill grants the user a critical damage amp (Team Amp MAX Lv. = 1).</t>
  </si>
  <si>
    <t>Deals 3 hits of 333% light damage to surrounding enemies, and reduces their defense by 5% for 10 seconds. This defense reduction effect will not stack.</t>
  </si>
  <si>
    <t>Deals 3 hits of 700% light damage to surrounding enemies, inflicts bleeding for 30 seconds - dealing 150% light damage every 4.9 seconds - with 100% base chance, and reduces their defense by 10% for 10 seconds. This defense reduction effect will not stack. Also, grants the user a defense amp (Team Amp MAX Lv. = 1).</t>
  </si>
  <si>
    <t>Deals 2 hits of 576% light damage to enemies directly ahead, and reduces their strength by 5% for 10 seconds with 80% base chance.</t>
  </si>
  <si>
    <t>Deals 2 hits of 1000% light damage to enemies directly ahead, dispels one buff from each target, and reduces their strength by 30% for 10 seconds. Also, grants the user a strength amp (Team Amp MAX Lv. = 1).</t>
  </si>
  <si>
    <t>321</t>
  </si>
  <si>
    <t>Deals 4 hits of 500% and 1 hit of 600% damage to enemies directly ahead and inflicts paralysis for 13 seconds - dealing 97% light damage every 3.9 seconds - with 120% chance and flashburn for 21 seconds - dealing 41.6% light damage every 2.9 seconds - with 120% chance.</t>
  </si>
  <si>
    <t>Deals 4 hits of 500% and 1 hit of 600% damage to enemies directly ahead and inflicts paralysis for 21 seconds - dealing 50% light damage every 2.9 seconds - with 120% chance and flashburn for 21 seconds - dealing 50% light damage every 2.9 seconds - with 120% chance.</t>
  </si>
  <si>
    <t>322</t>
  </si>
  <si>
    <t>Deals 3 hits of 600% and 1 hit of 1700% light damage to enemies directly ahead and dispels one buff from each target.</t>
  </si>
  <si>
    <t>258</t>
  </si>
  <si>
    <t>Consumes one level of the user's skill reservoir, deals 3 hits of 390% light damage to enemies directly ahead, inflicts flashburn for 21 seconds - dealing 41.6% light damage every 2.9 seconds - with 110% chance, and dispels one buff from each target. For 3 seconds after activating this skill (including skill animation), it will be possible to trigger a "Skill Chain." Using Overkarma during this Skill Chain window will make it not inflict flashburn, but flashburned enemies will take 3 hits of 468% light damage instead.</t>
  </si>
  <si>
    <t>Consumes one level of the user's skill reservoir, deals 3 hits of 500% light damage to enemies directly ahead, inflicts flashburn for 21 seconds - dealing 50% light damage every 2.9 seconds - with 120% chance, and dispels one buff from each target.</t>
  </si>
  <si>
    <t>260</t>
  </si>
  <si>
    <t>Consumes one level of the user's skill reservoir and deals 2 hits of 793% light damage to enemies directly ahead. For 3 seconds after activating this skill (including skill animation), it will be possible to trigger a "Skill Chain." Using Circlet of Exaltation during this Skill Chain window will make it deal 2 hits of 951.6% light damage to flashburned enemies instead.</t>
  </si>
  <si>
    <t>Consumes one level of the user's skill reservoir, deals 2 hits of 1000% light damage to enemies directly ahead, and lowers their flashburn resistance by 20% for 30 seconds. This resistance reduction will not stack.</t>
  </si>
  <si>
    <t>209</t>
  </si>
  <si>
    <t>Deals 1 hit of 1294% light damage to surrounding enemies, and fills the Persona gauge by 180 UTP if the attack connects. When Pithos is active, a variant called Kouha? will be used instead. Kouha? deals 1 hit of 2070% light damage to the target and nearby enemies.</t>
  </si>
  <si>
    <t>Deals 1 hit of 2000% light damage to surrounding enemies, inflicts flashburn for 21 seconds - dealing 50% light damage every 2.9 seconds - with 120% base chance, and fills the Persona gauge by 200 UTP if the attack connects. When Pithos is active, a variant called Kouha? will be used instead. Kouha? deals 1 hit of 3000% light damage to the target and nearby enemies, dispels one buff from each target, and inflicts flashburn for 21 seconds - dealing 50% light damage every 2.9 seconds - with 120% base chance.</t>
  </si>
  <si>
    <t>Fills the Persona gauge by 420 UTP and activates "Upgrade" for 30 seconds. During Upgrade, the user's strength is increased by 20%, and standard attacks have increased range. When Pithos is active, a variant called Media? will be used instead. Media? restores HP to all teammates with 40% Recovery Potency.</t>
  </si>
  <si>
    <t>Fills the Persona gauge by 420 UTP, activates "Upgrade" for 30 seconds, restores HP to all teammates with 60% Recovery Potency, gradually recovers their HP for 20 seconds, healing with 35% Recovery Potency every 2.9 seconds, and grant the user a defense amp (Team Amp MAX Lv. = 3). During Upgrade, the user's strength is increased by 25%, and standard attacks have increased range. When Pithos is active, a variant called Media? will be used instead. Media? restores HP to all teammates with 130% Recovery Potency, gradually recovers their HP for 20 seconds, healing with 35% Recovery Potency every 2.9 seconds, and grants the user a defense amp (Team Amp MAX Lv. = 3).</t>
  </si>
  <si>
    <t>118</t>
  </si>
  <si>
    <t>Deals 1 hit of 1107.6% light damage to enemies directly ahead, and inflicts stun for 6-7 seconds with 110% chance. As HP decreases, damage increases, up to 1 hit of 2492.1% light damage.</t>
  </si>
  <si>
    <t>Deals 1 hit of 2500% light damage to enemies directly ahead, inflicts paralysis for 21 seconds - dealing 50% light damage every 2.9 seconds - with 120% base chance and stun for 6-7 seconds with 120% chance.</t>
  </si>
  <si>
    <t>Makes the user unhealable for 10 seconds. If the user's HP is below 30% of max HP when using this skill, increases the user's strength by 20% for 10 seconds. If the user's HP is above or equal to 30% of max HP, reduces their HP to 20% of max HP and grants them a one-use divergent shield that nullifies damage less than 80% of the user's maximum HP. Divergent shields can stack with ordinary shields.</t>
  </si>
  <si>
    <t>Increases each adventurer's max HP by 10% for the remainder of the quest, grants the entire team a one-use shield that nullifies damage less than 40% of the user's maximum HP, increases the user's strength by 25% for 15 seconds. Once HP buffs reach the limit of 30%, an HP recovery effect is granted instead. This shield does not stack with any other shields. In addition, grants the user a strength amp (Team Amp MAX Lv. = 3).</t>
  </si>
  <si>
    <t>Deals 2 hits of 467% light damage to enemies directly ahead, and reduces the defense of shadow-attuned foes by 15% for 15 seconds. This defense reduction effect will not stack.</t>
  </si>
  <si>
    <t>Deals 2 hits of 900% light damage to enemies directly ahead, and reduces their defense by 15% for 15 seconds. This defense reduction effect will not stack. Also, grants the entire team a one-use shield that nullifies damage less than 40% of the user's maximum HP. This shield does not stack with any other shields.</t>
  </si>
  <si>
    <t>Deals 3 hits of 432% light damage to enemies directly ahead. Against foes whose defense is decreased, deals 3 hits of 777.6% light damage instead.</t>
  </si>
  <si>
    <t>Deals 3 hits of 850% light damage to enemies directly ahead and dispels one buff from each target. In addition, grants the user a strength amp (Team Amp MAX Lv. = 3).</t>
  </si>
  <si>
    <t>Deals 2 hits of 1556.1% light damage to enemies directly ahead and heals the user for 50% of the damage received during the duration of the skill.</t>
  </si>
  <si>
    <t>Deals 2 hits of 1750% light damage to enemies directly ahead, inflicts bleeding for 30 seconds - dealing 150% light damage every 4.9 seconds - with 100% base chance, and heals the user for 50% of the damage received during the duration of the skill.</t>
  </si>
  <si>
    <t>Activates "Indomitable Spirit" for 20 seconds. During Indomitable Spirit, the user's strength and defense is increased by 50% and the user gains immunity to knockback. Also activates "Divine Strike". When this effect is active, the user's next force strike will deal 1 hit of 1497.6% damage and reduce foes' strength by 10% for 10 seconds. This effect cannot stack, and will be consumed on use.</t>
  </si>
  <si>
    <t>Activates "Indomitable Spirit" for 20 seconds. During Indomitable Spirit, the user's strength and defense is increased by 50% and the user gains immunity to knockback. Also activates "Divine Strike". When this effect is active, the user's next force strike will deal 1 hit of 2000% damage, dispel one buff from each target, and reduce foes' strength by 20% for 10 seconds. This effect cannot stack, and will be consumed on use. In addition, grants the user a strength amp (Team Amp MAX Lv. = 3).</t>
  </si>
  <si>
    <t>Deals 2 hits of 917% light damage to enemies in a line, and reduces their defense by 5% for 10 seconds. This defense reduction effect will not stack.</t>
  </si>
  <si>
    <t>Deals 2 hits of 1200% light damage to enemies in a line, dispels one buff from each target, inflicts flashburn for 21 seconds - dealing 50% light damage every 2.9 seconds - with 120% base chance and reduces their defense by 10% for 10 seconds. This defense reduction effect will not stack. Also, grants the user a strength amp (Team Amp MAX Lv. = 1).</t>
  </si>
  <si>
    <t>Increases the user's energy level by 2 stages, and increases the user's strength and attack rate by 20% for 10 seconds.</t>
  </si>
  <si>
    <t>Increases the user's energy level by 2 stages, and increases the entire team's strength and attack rate by 20% for 10 seconds. Also, grants the user a critical damage amp (Team Amp MAX Lv. = 1).</t>
  </si>
  <si>
    <t>Deals 1 hit of 1036% light damage to enemies directly ahead.</t>
  </si>
  <si>
    <t>Deals 1 hit of 2000% light damage to enemies directly ahead, dispels one buff from each target, and inflicts paralysis for 21 seconds - dealing 50% light damage every 2.9 seconds - with 120% base chance. Also, grant the user a strength amp (Team Amp MAX Lv. = 3).</t>
  </si>
  <si>
    <t>Deals 2 hits of 466% light damage to surrounding enemies, increases the entire team's strength by 10% for 15 seconds, and draws them toward the user for 0.5 seconds.</t>
  </si>
  <si>
    <t>Deals 2 hits of 1000% light damage to surrounding enemies, draws them toward the user for 0.5 seconds, lowers their paralysis resistance by 20% for 30 seconds, and increases the entire team's strength by 15% for 15 seconds. This resistance reduction will not stack. Also, grant the user a critical damage amp (Team Amp MAX Lv. = 3).</t>
  </si>
  <si>
    <t>215</t>
  </si>
  <si>
    <t>Deals 3 hits of 720% light damage to enemies directly ahead, and inflicts flashburn for 21 seconds - dealing 41.6% light damage every 2.9 seconds - with 120% chance.</t>
  </si>
  <si>
    <t>Deals 3 hits of 850% light damage to enemies directly ahead, and inflicts flashburn for 21 seconds - dealing 50% light damage every 2.9 seconds - with 120% chance.</t>
  </si>
  <si>
    <t>Restores HP to the user with 90% Recovery Potency, and grants them the "Raphael's Embrace" effect. Raphael's Embrace increases the user's critical rate by 15% and grants knockback immunity for 30 seconds, and does not stack.</t>
  </si>
  <si>
    <t>Restores HP to all allies with 60% Recovery Potency, increases the entire team's max HP by 10% for the remainder of the quest, and grants them the "Raphael's Embrace" effect. This does not stack with any other shields. Once HP buffs reach the limit of 30%, an HP recovery effect is granted instead. Raphael's Embrace increases the user's critical rate by 15% and grants knockback immunity for 30 seconds, and does not stack.</t>
  </si>
  <si>
    <t>104</t>
  </si>
  <si>
    <t>Deals 1 hit of 746.3% light damage to enemies directly ahead, and inflicts paralysis for 13 seconds - dealing 97% light damage every 3.9 seconds - with 120% chance.</t>
  </si>
  <si>
    <t>Deals 1 hit of 1500% light damage to enemies directly ahead, and inflicts paralysis for 21 seconds - dealing 50% light damage every 2.9 seconds - with 120% chance.</t>
  </si>
  <si>
    <t>105</t>
  </si>
  <si>
    <t>Deals 1 hit of 856.8% and 1 hit of 1021.7% light damage to enemies directly ahead, and reduces their defense by 5% for 10 seconds. This defense reduction effect will not stack.</t>
  </si>
  <si>
    <t>Deals 1 hit of 1000% and 1 hit of 1200% light damage to enemies directly ahead, dispels one buff from each target, lowers their paralysis resistance by 20% for 30 seconds, and reduces their defense by 10% for 10 seconds. Neither this resistance reduction nor this defense reduction effect will not stack. Also, grants the user a critical damage amp (Team Amp MAX Lv. = 3). After this amp is granted, this ability will not grant it again for 15 seconds.</t>
  </si>
  <si>
    <t>080</t>
  </si>
  <si>
    <t>Deals 7 hits of 194% light damage to enemies directly ahead, and inflicts paralysis for 13 seconds - dealing 97% light damage every 3.9 seconds - with 120% base chance.</t>
  </si>
  <si>
    <t>Deals 7 hits of 300% light damage to enemies directly ahead, and inflicts paralysis for 21 seconds - dealing 50% light damage every 2.9 seconds - with 120% base chance.</t>
  </si>
  <si>
    <t>Activates "Enraged Guard" for 3 seconds. Upon using this skill, the user will also be granted immunity to knockback for 3 seconds, and take 70% less damage from the first hit they take in those 3 seconds. If the user takes damage during Enraged Guard, their strength will be increased by 30% for 90 seconds. At this point, Enraged Guard will be removed. None of these effects will stack, and this skill will not provide a damage immunity window.</t>
  </si>
  <si>
    <t>Activates "Enraged Guard" for 5 seconds. Upon using this skill, the user will also be granted immunity to knockback for 5 seconds, and take 70% less damage from the first hit they take in those 5 seconds. If the user takes damage during Enraged Guard, their strength will be increased by 30% for 90 seconds and grants the user a team strength amp (Team Amp MAX Lv. = 1). At this point, Enraged Guard will be removed. None of these effects will stack, and this skill will not provide a damage immunity window. Also, grants the user a team defense amp (Team Amp MAX Lv. = 1).</t>
  </si>
  <si>
    <t>022</t>
  </si>
  <si>
    <t>Deals 7 hits of 187.2% light damage to enemies directly ahead, and activates "Skill Shift" if the attack connects. Phase II increases the entire team's strength by 13% for 15 seconds, and inflicts paralysis for 13 seconds - dealing 97% light damage every 3.9 seconds - with 120% chance. Phase III heals all allies with 108% Recovery Potency and paralyzed foes take 7 hits of 224.64% light damage instead.</t>
  </si>
  <si>
    <t>Deals 7 hits of 250% light damage to enemies directly ahead, inflicts paralysis for 21 seconds - dealing 50% light damage every 2.9 seconds - with 120% chance, increases the entire team's strength by 15% for 15 seconds, and heals all allies with 100% Recovery Potency.  Also, grants the user a strength amp (Team Amp MAX Lv. = 1).</t>
  </si>
  <si>
    <t>Deals 1 hit of 1360% light damage to enemies directly ahead, and fills the user's skill gauges by 700 SP if the attack connects. Also activates "Vampire Maiden" for 15 seconds. During Vampire Maiden, the user's standard attacks will deal 35% less damage, but SP gain is increased by 50%. Vampire Maiden will not stack, and the 15-second timer will be reset if it is activated again.</t>
  </si>
  <si>
    <t>Deals 1 hit of 1700% light damage to enemies directly ahead, dispels one buff from each target, and fills the user's skill gauges by 700 SP if the attack connects. Also activates "Vampire Maiden" for 15 seconds. During Vampire Maiden, the user's SP gain is increased by 50%. Vampire Maiden will not stack, and the 15-second timer will be reset if it is activated again. Also, grants the user a defense amp (Team Amp MAX Lv. = 1).</t>
  </si>
  <si>
    <t>922</t>
  </si>
  <si>
    <t>Phase I deals 1 hit of 22% and 1 hit of 1800% light damage to enemies directly ahead, draws them together, dispels one buff from each target, inflicts stun for 6-7 seconds with 110% base chance and paralysis for 13 seconds - dealing 97% light damage every 3.9 seconds - with 120% chance, increases the entire team's energy levels by 1 stage, and activates "Skill Shift" if the attack connects. Phase II deals 2 hits of 22% and 2 hits of 900% light damage, draws them together, dispels one buff from each target, inflicts stun for 6-7 seconds with 110% base chance and paralysis for 13 seconds - dealing 97% light damage every 3.9 seconds - with 120% chance, and increases the entire team's energy levels by 2 stages instead. Phase III deals 3 hits of 22% and 3 hits of 790% light damage, draws them together, dispels one buff from each target, and inflicts stun for 6-7 seconds with 110% base chance and paralysis for 13 seconds - dealing 97% light damage every 3.9 seconds - with 120% chance.</t>
  </si>
  <si>
    <t>912</t>
  </si>
  <si>
    <t>Deals 10 hits of 190% light damage to enemies directly ahead, increases the entire team's energy levels by 3 stages, and immediately readies the Stunning Display skill for use.</t>
  </si>
  <si>
    <t>Deals 10 hits of 210% light damage to enemies directly ahead, increases the entire team's energy levels by 3 stages, and immediately readies the Stunning Display skill for use.</t>
  </si>
  <si>
    <t>Deals 1 hit of 337% and 1 hit of 353% light damage to the target and nearby enemies, and activates "Skill Shift" if the attack connects. Phase II deals 1 hit of 370% and 1 hit of 387% light damage and adds an additional 5% decrease to enemies' defense for 10 seconds, which does not stack. Phase III also increases Obstruction Armament's skill gauge by 30% and deals 1 hit of 404% and 1 hit of 421% light damage.</t>
  </si>
  <si>
    <t>Deals 1 hit of 800% and 1 hit of 800% light damage to the target and nearby enemies, dispels one buff from each target, reduces their defense by 10% for 10 seconds, which does not stack, and increases Obstruction Armament's skill gauge by 30%. Also, grants the user a strength amp (Team Amp MAX Lv. = 3). After this amp is granted, this ability will not grant it again for 15 seconds.</t>
  </si>
  <si>
    <t>Creates a debuff zone that lasts for 10 seconds and reduces the defense of enemies inside it by 15%.</t>
  </si>
  <si>
    <t>Creates a debuff zone that lasts for 15 seconds and reduces the defense of enemies inside it by 15%.</t>
  </si>
  <si>
    <t>Increases the entire team's defense by 25%, and strength by 15% for 15 seconds and grant the user a defense amp (Team Amp MAX Lv. = 1).</t>
  </si>
  <si>
    <t>Deals 5 hits of 378% light damage to enemies directly ahead.</t>
  </si>
  <si>
    <t>Deals 5 hits of 500% light damage to enemies directly ahead, dispels one buff from each target, and inflicts flashburn for 21 seconds - dealing 50% wind damage every 2.9 seconds - with 120% base chance.</t>
  </si>
  <si>
    <t>Deals 2 hits of 522% light damage to surrounding enemies, and inflicts paralysis for 13 seconds - dealing 80.3% light damage every 3.9 seconds - with 100% chance. Paralyzed foes take 2 hits of 574.2% light damage instead.</t>
  </si>
  <si>
    <t>Deals 2 hits of 800% light damage to surrounding enemies, dispels one buff from each target, and inflicts paralysis for 21 seconds - dealing 50% light damage every 2.9 seconds - with 120% chance.</t>
  </si>
  <si>
    <t>Increases the entire team's strength by 15% for 15 seconds.</t>
  </si>
  <si>
    <t>Increases the entire team's strength by 25% for 15 seconds. Also, grants the user a strength amp (Team Amp MAX Lv. = 3).</t>
  </si>
  <si>
    <t>243</t>
  </si>
  <si>
    <t>Deals 1 hit of 800% and 4 hits of 75% light damage to enemies directly ahead, and activates a random color of "Verdure Blessing". Each color has the following effects: Red: Increases the user's strength by 5% for 10 seconds. Yellow: Increases the user's attack rate by 5% for 10 seconds. Green: Gradually recovers the user's HP for 10 seconds with 10% Recovery Potency every 3 seconds. Blue: Gradually fills the user's skill gauges by 2% every second for 10 seconds. This skill also creates a buff zone matching the activated color that lasts for 10 seconds. Red: Increases the strength of adventurers inside it by 10%. Yellow: Increases the attack rate of adventurers inside it by 10%. Green: Gradually recovers the HP of adventurers inside it with 20% Recovery Potency every 3 seconds. Blue: Gradually fills the skill gauges of adventurers inside it by 2% every second.</t>
  </si>
  <si>
    <t>Deals 1 hit of 800% and 4 hits of 100% light damage to enemies directly ahead, and creates a "Verdure Blessing" buff zone. the buff zone lasts 10 seconds and has the following effects: Increases strength by 10%, attack rate by 10%, gradually recovers the HP with 20% Recovery Potency every 3 seconds, and gradually fills skill gauges by 2% every second.</t>
  </si>
  <si>
    <t>Deals 1 hit of 1500% light damage to enemies directly ahead.</t>
  </si>
  <si>
    <t>Deals 1 hit of 2000% light damage to enemies directly ahead, dispels one buff from each target, and inflicts paralysis for 21 seconds - dealing 50% light damage every 2.9 seconds - with 120% base chance.</t>
  </si>
  <si>
    <t>Deals 1 hit of 427% and 1 hit of 997% light damage to the target and nearby enemies, and inflicts paralysis - dealing 97% light damage every 3.9 seconds for 13 seconds - with 120% chance. When the user has the Illuminating Sunlight and Celestial Wavelight effects, the Sun and Sea ability will make this skill deal 1 hit of 769% and 1 hit of 1794% light damage instead, while paralyzed foes will take 1 hit of 999.7% and 1 hit of 2332.2% light damage.</t>
  </si>
  <si>
    <t>Deals 1 hit of 800% and 1 hit of 1800% light damage to the target and nearby enemies, dispels one buff from each target, and inflicts paralysis - dealing 50% light damage every 2.9 seconds for 21 seconds - with 120% chance.</t>
  </si>
  <si>
    <t>Increases the user's strength by 20% for 30 seconds. When the user has the Illuminating Sunlight and Celestial Wavelight effects, the Sun and Sea ability will make this skill also increase the user's critical rate by 20% for 30 seconds, and add 15% to the modifier applied to critical damage for 30 seconds.</t>
  </si>
  <si>
    <t>Increases the user's strength by 20%, critical rate by 20%, and add 15% to the modifier applied to critical damage for 30 seconds. Also, grants the user a strength amp (Team Amp MAX Lv. = 1) and grants the user a critical damage amp (Team Amp MAX Lv. = 1).</t>
  </si>
  <si>
    <t>057</t>
  </si>
  <si>
    <t>Deals 3 hits of 107% and 1 hit of 540% light damage to the target and nearby enemies and inflicts paralysis for 13 seconds - dealing 97% light damage every 3.9 seconds - with 120% base chance, and fires extra shots equal to the number of buffs the user has, dealing 1 hit of 107% light damage each. A maximum of 5 additional shots can be fired. Paralyzed foes take 3 hits of 117.7%, 1 hit of 594% and up to 5 hits of 117.7% light damage instead.</t>
  </si>
  <si>
    <t>Deals 3 hits of 150%, 1 hit of 700% and up to 5 hits of 150% light damage to the target and nearby enemies, dispels one buff from each target, and inflicts paralysis for 21 seconds - dealing 50% light damage every 2.9 seconds - with 120% base chance.</t>
  </si>
  <si>
    <t>For 10 seconds, increases the user and nearby allies' strength by 5%, critical rate by 3%, skill damage by 10%, and skill gauge fill rate by 10%. Also grants the user the following additional buffs based on the number of adventurers who were buffed by this skill, including the user: One or more adventurers: Increases defense by 10% for 10 seconds. Two or more adventurers: Adds 10% to the modifier applied to critical damage for 10 seconds. Three or more adventurers: Fills 100% of the skill gauge for the user's initial skill, displayed at the top of their skill list, for use.</t>
  </si>
  <si>
    <t>For 10 seconds, increases the entire team's strength by 5%, critical rate by 3%, skill damage by 10%, and skill gauge fill rate by 10%. Also, applies the following effects to the user: Increases defense by 10% for 10 seconds. Adds 10% to the modifier applied to critical damage for 10 seconds. Fills 100% of the skill gauge for the user's initial skill, displayed at the top of their skill list, for use. Grants the user a critical damage amp (Team Amp MAX Lv. = 3)</t>
  </si>
  <si>
    <t>Deals 1726% light damage to enemies in a line.</t>
  </si>
  <si>
    <t>Deals 2600% light damage to enemies in a line, dispels one buff from each target, and inflicts flashburn for 21 seconds - dealing 50% light damage every 2.9 seconds - with 120% base chance.</t>
  </si>
  <si>
    <t>Increases the entire team's energy levels by 2 stages, and increases strength by 10% for 10 seconds.</t>
  </si>
  <si>
    <t>Increases the entire team's energy levels by 2 stages, increases strength by 15% for 15 seconds, and increases the entire team's max HP by 10% for the remainder of the quest. Once HP buffs reach the limit of 30%, an HP recovery effect is granted instead. Also, grants the user a strength amp (Team Amp MAX Lv. = 3).</t>
  </si>
  <si>
    <t>Deals 1 hit of 1542% light damage to enemies in a line, and reduces their strength and defense by 5% for 10 seconds. This defense reduction effect will not stack.</t>
  </si>
  <si>
    <t>Deals 1 hit of 2000% light damage to enemies in a line, lowers their flashburn resistance by 20% for 30 seconds, and reduces their strength and defense by 10% for 10 seconds. This defense reduction effect will not stack.  This resistance reduction will not stack.</t>
  </si>
  <si>
    <t>Deals 1 shot of 1468% light damage to the target, and inflicts stun for 4-5 seconds with 100% base chance.</t>
  </si>
  <si>
    <t>Deals 1 shot of 2000% light damage to the target, dispels one buff from each target, inflicts stun for 6-7 seconds with 120% base chance and flashburn for 21 seconds - dealing 50% light damage every 2.9 seconds - with 120% base chance. Also, grant the user a strength amp (Team Amp MAX Lv. = 3). After this amp is granted, this ability will not grant it again for 15 seconds.</t>
  </si>
  <si>
    <t>Deals 1 hit of 1121% light damage to the target, and inflicts paralysis for 13 seconds - dealing 97% light damage every 3.9 seconds - with 120% base chance. Paralyzed foes take 1 hit of 1793.6% light damage instead.</t>
  </si>
  <si>
    <t>Deals 1 hit of 2200% light damage to the target, and inflicts paralysis for 21 seconds - dealing 50% light damage every 2.9 seconds - with 120% base chance.</t>
  </si>
  <si>
    <t>Deals 1 shot of 1173% light damage to enemies in a line, and dispels one buff from each target. Paralyzed foes take 1 hit of 1876.8% light damage instead.</t>
  </si>
  <si>
    <t>Deals 1 shot of 2200% light damage to enemies in a line, dispels one buff from each target, and lowers their paralysis resistance by 20% for 30 seconds. This resistance reduction will not stack. Also, grants the user a strength amp (Team Amp MAX Lv. = 3).</t>
  </si>
  <si>
    <t>Deals 3 hits of 377% light damage to enemies in a line, and inflicts paralysis for 13 seconds - dealing 80.3% light damage every 3.9 seconds - with 100% chance. Paralyzed foes take 3 hits of 452.4% light damage instead.</t>
  </si>
  <si>
    <t>Deals 3 hits of 700% light damage to enemies in a line, dispels one buff from each target, and inflicts paralysis for 21 seconds - dealing 50% light damage every 2.9 seconds - with 120% chance.</t>
  </si>
  <si>
    <t>Deals 1 hit of 1067% light damage to enemies in a line, and reduces their defense by 5% for 10 seconds. This defense reduction effect will not stack.</t>
  </si>
  <si>
    <t>Deals 1 hit of 2000% light damage to enemies in a line, reduces their defense by 10% for 10 seconds, and lowers their paralysis resistance by 20% for 30 seconds. This resistance reduction will not stack. This defense reduction effect will not stack. Also, grants the user a critical damage amp (Team Amp MAX Lv. = 3).</t>
  </si>
  <si>
    <t>345</t>
  </si>
  <si>
    <t>Deals 3 hits of 800% light damage to the target and nearby enemies and inflicts flashburn for 21 seconds - dealing 41.6% light damage every 2.9 seconds - with 120% chance. If the user has Power of Bonds, a variant called Blazing Consecration will be used instead. Blazing Consecration deals 1 hit of 1800% and 5 hits of 360% light damage to the target and nearby enemies, dispel one buff from each of them, and inflict flashburn for 21 seconds - dealing 41.6% light damage every 2.9 seconds - with 120% chance. The user will be immune to knockback during this attack. If this skill is used as a shared skill, it will always use the base variant.</t>
  </si>
  <si>
    <t>Deals 3 hits of 800% light damage to the target and nearby enemies and inflicts flashburn for 21 seconds - dealing 50% light damage every 2.9 seconds - with 120% chance. If the user has Power of Bonds, a variant called Blazing Consecration will be used instead. Blazing Consecration deals 1 hit of 1800% and 5 hits of 400% light damage to the target and nearby enemies, dispel one buff from each of them, and inflict flashburn for 21 seconds - dealing 50% light damage every 2.9 seconds - with 120% chance. The user will be immune to knockback during this attack. If this skill is used as a shared skill, it will always use the base variant.</t>
  </si>
  <si>
    <t>347</t>
  </si>
  <si>
    <t>Grants all teammates the "Power of Bonds" effect. If an adventurer has Power of Bonds, when that adventurer would take damage greater than or equal to their remaining HP, that damage is nullified, the effect is consumed, and damage is instead dealt to the rest of the user's team. This damage equals 20% of each teammate's maximum HP. If the user has Power of Bonds, this skill costs 0 SP, will instead restore HP to all teammates with 100% Recovery Potency and remove Power of Bonds from the entire team.</t>
  </si>
  <si>
    <t>263</t>
  </si>
  <si>
    <t>Deals 1 hit of 2751% light damage to enemies directly ahead, inflicts flashburn for 21 seconds - dealing 41.6% light damage every 2.9 seconds - with 120% chance, and lowers their flashburn resistance by 20% for 30 seconds. This resistance reduction effect will not stack. Also, fills one bar of the ravishing radiance gauge.</t>
  </si>
  <si>
    <t>Deals 1 hit of 3000% light damage to enemies directly ahead, inflicts flashburn for 21 seconds - dealing 50% light damage every 2.9 seconds - with 120% chance, and lowers their flashburn resistance by 20% for 30 seconds. This resistance reduction effect will not stack.</t>
  </si>
  <si>
    <t>264</t>
  </si>
  <si>
    <t>Restores HP to the user with 40% Recovery Potency, resets the ravishing radiance gauge, and fills the dragon gauge by 100 DP. Abilities that increase dragon gauge fill rate will not affect this increase.</t>
  </si>
  <si>
    <t>Restores HP to all allies with 60% Recovery Potency, and fills the dragon gauge by 100 DP. Abilities that increase dragon gauge fill rate will not affect this increase.</t>
  </si>
  <si>
    <t>119</t>
  </si>
  <si>
    <t>Deals 1 hit of 1610% light damage to enemies in a line, reduces their strength by 10% for 10 seconds, and inflicts paralysis - dealing 97% light damage every 3.9 seconds for 13 seconds - with 120% chance. If this skill is used after the user's charge gauge has filled, a variant called Brightflash will be used instead. Brightflash deals 1 hit of 1880% light damage to enemies in a line, and reduces their strength by 25% for 10 seconds. Paralyzed foes take 1 hit of 2820% light damage instead.</t>
  </si>
  <si>
    <t>Deals 1 hit of 2000% light damage to enemies in a line, reduces their strength by 10% for 10 seconds, and inflicts paralysis - dealing 50% light damage every 2.9 seconds for 21 seconds - with 120% chance. If this skill is used after the user's charge gauge has filled, a variant called Brightflash will be used instead. Brightflash deals 1 hit of 3300% light damage to enemies in a line, dispels one buff from each target, and reduces their strength by 25% for 10 seconds.</t>
  </si>
  <si>
    <t>121</t>
  </si>
  <si>
    <t>Partially fills the user's charge gauge by 20 CP, as well as 10 CP for every nearby teammate, and adds 20% to the user and nearby teammates' shadow resistance for 10 seconds. This shadow resistance increase will not stack. If this skill is used after the user's charge gauge has filled, a variant called Lightstream will be used instead. Lightstream increases the entire team's strength by 20% for 30 seconds. In addition, Lightstream adds 40% to the user and nearby teammates' shadow resistance for 15 seconds, and inspires the entire team. This shadow resistance increase will not stack.</t>
  </si>
  <si>
    <t>Fills the user's charge gauge by 50 CP and adds 20% to the user and nearby teammates' shadow resistance for 10 seconds. This shadow resistance increase will not stack. If this skill is used after the user's charge gauge has filled, a variant called Lightstream will be used instead. Lightstream increases the entire team's strength by 20% for 30 seconds, adds 40% to the entire team's shadow resistance for 15 seconds, and inspires the entire team. This shadow resistance increase will not stack.</t>
  </si>
  <si>
    <t>106</t>
  </si>
  <si>
    <t xml:space="preserve">Deals 1 hit of 417% light damage to the target, and inflicts paralysis - dealing 97% light damage every 3.9 seconds for 13 seconds - with 120% chance. Activates "Skill Shift" if the attack connects. Phase II adds an additional 10% increase to the user's defense for 10 seconds, while Phase III adds an additional 10% increase to the entire team's strength for 10 seconds. </t>
  </si>
  <si>
    <t>Deals 1 hit of 1000% light damage to the target, dispels one buff from each target, and inflicts paralysis - dealing 50% light damage every 2.9 seconds for 21 seconds - with 120% chance. Also, increases the entire team's strength by 10% and defense by 10% for 10 seconds. In addition, grants the user a critical damage amp (Team Amp MAX Lv. = 1).</t>
  </si>
  <si>
    <t>107</t>
  </si>
  <si>
    <t>Deals 2 hits of 286% and 1 hit of 392% light damage to enemies in a line, and increases the entire team's strength by 10% and attack rate by 10% for 10 seconds. Paralyzed foes take 3 hits of 343.2% and 1 hit of 470.4% light damage instead.</t>
  </si>
  <si>
    <t>Deals 3 hits of 500% and 1 hit of 600% light damage to enemies in a line, and increases the entire team's strength by 10% and attack rate by 10% for 10 seconds. Also, grants the user a defense amp (Team Amp MAX Lv. = 1).</t>
  </si>
  <si>
    <t>Deals 3 hits of 622% light damage to enemies directly ahead, and increases the entire team's energy levels by 2 stages. When the user is energized, the area of effect of this skill is increased to 6, and it increases the entire team's critical rate by 10% for 30 seconds.</t>
  </si>
  <si>
    <t>Deals 3 hits of 750% light damage to enemies directly ahead with an area of 6, inflicts flashburn - dealing 50% light damage every 2.9 seconds for 21 seconds - with 120% chance, and increases the entire team's energy levels by 2 stages. When the user is energized, increases the entire team's critical rate by 10% for 30 seconds.</t>
  </si>
  <si>
    <t>Increases the user's strength by 15% for 15 seconds, and increases their energy level by 3 stages.</t>
  </si>
  <si>
    <t>Increases the entire team's strength by 15% for 15 seconds, and increases the entire team's energy level by 3 stages. Also, using any skill will grant the user a critical damage amp (Team Amp MAX Lv. = 3). After this amp is granted, this ability will not grant it again for 15 seconds.</t>
  </si>
  <si>
    <t>Increases the strength of light-attuned adventurers in the team by 25% for 15 seconds.</t>
  </si>
  <si>
    <t>Increases the strength of the entire team by 25% for 15 seconds and grants all teammates a one-use shield that nullifies damage less than 40% of the user's maximum HP. This does not stack with any other shields. Also, grants the user a team strength amp (Team Amp MAX Lv. = 1). After this amp is granted, this ability will not grant it again for 15 seconds.</t>
  </si>
  <si>
    <t>Grants all teammates a one-use shield that nullifies damage less than 30% of the user's maximum HP. This does not stack with any other shields.</t>
  </si>
  <si>
    <t>Grants all teammates a one-use shield that nullifies damage less than 40% of the user's maximum HP. This does not stack with any other shields. Also, grants the user a team defense amp (Team Amp MAX Lv. = 1). After this amp is granted, this ability will not grant it again for 15 seconds.</t>
  </si>
  <si>
    <t>Deals 2 hits of 885.6% light damage to the target and nearby enemies, and inflicts paralysis for 13 seconds - dealing 97% light damage every 3.9 seconds - with 120% chance. Paralyzed foes take 2 hits of 974.16% light damage instead. Also deals up to 2 bonus hits of 105% (115.5% on paralyzed foes) light damage based on the number of buffs the user has.</t>
  </si>
  <si>
    <t>Deals 2 hits of 1200% light damage to the target and nearby enemies, dispels one buff from each target, and inflicts paralysis for 21 seconds - dealing 50% light damage every 2.9 seconds - with 120% chance. Also deals up to 2 bonus hits of 120% light damage based on the number of buffs the user has.</t>
  </si>
  <si>
    <t>Increases the user's strength by 20% for 10 seconds, and increases max HP by 15% for the remainder of the quest. Once HP buffs reach the limit of 30%, an HP recovery effect is granted instead.</t>
  </si>
  <si>
    <t>Increases the entire team's strength by 25% for 15 seconds and increases the entire team's max HP by 10% for the remainder of the quest. Once HP buffs reach the limit of 30%, an HP recovery effect is granted instead. Also, grants the user a strength amp (Team Amp MAX Lv. = 3).</t>
  </si>
  <si>
    <t>Deals 1 hit of 895% light damage to surrounding enemies, and inflicts paralysis for 13 seconds - dealing 80.3% light damage every 3.9 seconds - with 100% chance. Paralyzed foes take 1 hit of 984.5% light damage instead.</t>
  </si>
  <si>
    <t>Deals 1 hit of 2000% light damage to surrounding enemies, dispels one buff from each target, and inflicts paralysis for 21 seconds - dealing 80.3% light damage every 2.9 seconds - with 120% chance.</t>
  </si>
  <si>
    <t>Increases the entire team's critical rate by 8% and adds 40% to the modifier applied to critical damage for 10 seconds.</t>
  </si>
  <si>
    <t>Restores HP to all allies with 60% Recovery Potency. Also, increases the entire team's critical rate by 10% and adds 50% to the modifier applied to critical damage for 15 seconds. In addition, using any skill will grant the user a critical damage amp (Team Amp MAX Lv. = 3). After this amp is granted, this ability will not grant it again for 15 seconds.</t>
  </si>
  <si>
    <t>Restores HP to all teammates with 105% Recovery Potency and continues healing over the next 15 seconds with 45% Recovery Potency every 2.9 seconds. Also, restores additional HP to all teammates based on the number of butterflies the user currently has summoned with 6% Recovery Potency per butterfly, increases the entire team's shadow resistance by 20% for 10 seconds if the user has 6 or more (does not stack), then consumes all summoned butterflies. If this skill is used when in metamorphosis, a variant called Faerie Sunset will be used instead. Faerie Sunset costs 1960 SP instead, deals 5 hits of 338% light damage to multiple targets and enemies near those targets, and inflicts flashburn for 21 seconds - dealing 41.6% light damage every 2.9 seconds - with 120% chance. Also, deals 1 hit of 168% light damage at the locations of the user's summoned butterflies (including those summoned by the user's second skill) and consumes them. If this skill is used as a shared skill, restores HP to all teammates with 159% Recovery Potency, continues gradually healing over the next 15 seconds with 45% Recovery Potency, and increases the entire team's shadow resistance by 20% for 10 seconds. This resistance increase does not stack.</t>
  </si>
  <si>
    <t>Restores HP to all teammates with 130% Recovery Potency and continues healing over the next 15 seconds with 45% Recovery Potency every 2.9 seconds. Also, restores additional HP to all teammates based on the number of butterflies the user currently has summoned with 6% Recovery Potency per butterfly, increases the entire team's shadow resistance by 20% for 10 seconds, then consumes all summoned butterflies. If this skill is used when in metamorphosis, a variant called Faerie Sunset will be used instead. Faerie Sunset costs 1960 SP instead, deals 5 hits of 400% light damage to multiple targets and enemies near those targets, and inflicts flashburn for 21 seconds - dealing 50% light damage every 2.9 seconds - with 120% chance. Also, deals 1 hit of 200% light damage at the locations of the user's summoned butterflies (including those summoned by the user's second skill) and consumes them. If this skill is used as a shared skill, restores HP to all teammates with 159% Recovery Potency, continues gradually healing over the next 15 seconds with 45% Recovery Potency, and increases the entire team's shadow resistance by 20% for 10 seconds. This resistance increase does not stack.</t>
  </si>
  <si>
    <t>Restores HP to all teammates with 110% Recovery Potency, removes all afflictions from the entire team, and for 30 seconds, increases the modifier applied to damage against shadow-attuned enemies by 10% for the entire team. This increase does not stack. Also, fills the user's metamorphosis gauge by 75 UTP for each butterfly the user currently has summoned, increases the entire team's max HP by 10% if the user has 6 or more, then consumes all summoned butterflies. If this skill is used when in metamorphosis, a variant called Faerie Fantasy will be used instead. Faerie Fantasy costs 2620 SP instead, deals 1 hit of 1045% light damage to surrounding enemies and summons 4 butterflies that will circle the user for 13 seconds, dealing 72% light damage every 0.5 seconds. These butterflies will disappear when the user's shapeshift ends.</t>
  </si>
  <si>
    <t>Restores HP to all teammates with 130% Recovery Potency, removes all afflictions from the entire team, and for 30 seconds, increases the modifier applied to damage against shadow-attuned enemies by 10% for the entire team. This increase does not stack. Also, fills the user's metamorphosis gauge by 75 UTP for each butterfly the user currently has summoned, increases the entire team's max HP by 10%, then consumes all summoned butterflies. If this skill is used when in metamorphosis, a variant called Faerie Fantasy will be used instead. Faerie Fantasy costs 2620 SP instead, deals 1 hit of 1200% light damage to surrounding enemies, dispels one buff from each target, and summons 4 butterflies that will circle the user for 15 seconds, dealing 75% light damage every 0.5 seconds. These butterflies will disappear when the user's shapeshift ends.</t>
  </si>
  <si>
    <t>166</t>
  </si>
  <si>
    <t>Restores HP to all teammates with 130% Recovery Potency, continues healing over the next 15 seconds with 29% Recovery Potency every 2.9 seconds, increases the entire team's strength by 15% for 60 seconds, and grants overdamage to the entire team for 30 seconds based on 50% of the user's strength. Both the strength increase and overdamage will not stack. Also creates a healing zone that heals all allies for 60% Recovery Potency (in solo play, 30% Recovery Potency in Co-Op play). Each player in Co-op play can enter the healing zone one time and will only activate if they have less than 100% HP. Only one healing zone can be up at a time and the creation of a new one will replace older ones.</t>
  </si>
  <si>
    <t>Restores HP to all teammates with 130% Recovery Potency, continues healing over the next 15 seconds with 35% Recovery Potency every 2.9 seconds, increases the entire team's strength by 15% for 60 seconds, and grants overdamage to the entire team for 30 seconds based on 50% of the user's strength. Both the strength increase and overdamage will not stack. Also creates a healing zone that heals all allies for 60% Recovery Potency. Only one healing zone can be up at a time and the creation of a new one will replace older ones.</t>
  </si>
  <si>
    <t>167</t>
  </si>
  <si>
    <t>Deals 5 hits of 53% and 5 hits of 370% light damage to multiple targets and enemies near those targets and grants the user the "Holy Faith" effect for 15 seconds. Holy Faith increases the rate at which the user's force strike charges by 50% and grants the user knockback immunity. Holy Faith does not stack.</t>
  </si>
  <si>
    <t>Deals 5 hits of 100% and 5 hits of 400% light damage to multiple targets and enemies near those targets and grants the user the "Holy Faith" effect for 15 seconds. Holy Faith increases the rate at which the user's force strike charges by 50% and grants the user knockback immunity. Holy Faith does not stack.</t>
  </si>
  <si>
    <t>Restores HP to all allies with 130% Recovery Potency, removes curse, and continues healing over the next 15 seconds with 10% Recovery Potency every 2.9 seconds. It will also increase the entire team's strength by 15% for 60 seconds. This strength increase will not stack.</t>
  </si>
  <si>
    <t>Restores HP to all allies with 130% Recovery Potency, removes curse, and continues healing over the next 15 seconds with 20% Recovery Potency every 2.9 seconds. It will also increase the entire team's strength by 15% for 60 seconds. This strength increase will not stack.</t>
  </si>
  <si>
    <t>Grants all teammates a shield that nullifies damage less than 30% of the user's HP once, and applies Regen for 15 seconds, healing with 35% Regen Potency every 2.9 seconds. This does not stack with any other shields.</t>
  </si>
  <si>
    <t>Grants all teammates a shield that nullifies damage less than 40% of the user's HP once, and gradually recovers the entire team's HP over the next 20 seconds with 35% Recovery Potency every 2.9 seconds. This does not stack with any other shields.</t>
  </si>
  <si>
    <t>Restores HP to all allies with 108% Recovery Potency, and increases the entire team's strength by 15% for 60 seconds. This strength increase will not stack.</t>
  </si>
  <si>
    <t>Grants all teammates a one-use shield that nullifies damage less than 30% of the user's HP (but does not stack with any other shields), and removes poison.</t>
  </si>
  <si>
    <t>Grants all teammates a one-use shield that nullifies damage less than 40% of the user's HP, removes poison, and gradually recovers their HP for 20 seconds, healing with 35% Recovery Potency every 2.9 seconds. This does not stack with any other shields. Also, increases each adventurer's max HP by 10% for the remainder of the quest. Once HP buffs reach the limit of 30%, an HP recovery effect is granted instead. Additionally, grant the user a defense amp (Team Amp MAX Lv. = 3)</t>
  </si>
  <si>
    <t>Restores HP to all allies with 44% Recovery Potency, removes poison, continues healing over the next 15 seconds with 35% Recovery Potency every 2.9 seconds, and increases the entire team's strength by 15% for 60 seconds. This strength increase will not stack.</t>
  </si>
  <si>
    <t>Restores HP to all allies with 60% Recovery Potency, removes poison, continues healing over the next 15 seconds with 35% Recovery Potency every 2.9 seconds, increases the entire team's strength by 15% for 60 seconds, and grants overdamage to the entire team for 30 seconds based on 50% of the user's strength. Both the strength increase and overdamage will not stack.</t>
  </si>
  <si>
    <t>Restores HP to all allies with 72% Recovery Potency, increases the potency of the entire team's recovery skills by 10% for 10 seconds, and increases their energy level by 1 stage.</t>
  </si>
  <si>
    <t>Restores HP to all allies with 100% Recovery Potency, increases the potency of the entire team's recovery skills by 10% for 10 seconds, and increases their energy level by 1 stage.</t>
  </si>
  <si>
    <t>Restores HP to all allies with 130% Recovery Potency, removes curses, and increases the entire team's strength by 15% for 60 seconds. This strength increase will not stack.</t>
  </si>
  <si>
    <t>Restores HP to all allies with 60% Recovery Potency, removes curses, gradually recovers their HP for 20 seconds with 35% Recovery Potency every 2.9 seconds, and increases the entire team's strength by 15% for 60 seconds. This strength increase will not stack.</t>
  </si>
  <si>
    <t>718</t>
  </si>
  <si>
    <t>Deals 1 hit of 1234% light damage to surrounding enemies, and restores all teammates' HP by 8% of damage inflicted. This recovery caps at 30% of their maximum HP.</t>
  </si>
  <si>
    <t>Deals 1 hit of 2000% light damage to surrounding enemies, inflicts flashburn for 21 seconds - dealing 50% light damage every 2.9 seconds - with 120% base chance, and lowers their flashburn resistance by 20% for 30 seconds. This resistance reduction will not stack. If the attack connects, and restores all teammates' HP by 10% of damage inflicted. This recovery caps at 30% of their maximum HP. In addition, grants the user a strength amp (Team Amp MAX Lv. = 3).</t>
  </si>
  <si>
    <t>Restores HP to the team member most in need with 279% Recovery Potency, and increases their max HP by 15% for the remainder of the quest. Once HP buffs reach the limit of 30%, an HP recovery effect is granted instead. This skill will also increase the entire team's strength by 15% for 60 seconds. This strength increase will not stack.</t>
  </si>
  <si>
    <t>Restores HP to all allies with 130% Recovery Potency, and increases their max HP by 10% for the remainder of the quest. Once HP buffs reach the limit of 30%, an HP recovery effect is granted instead. This skill will also increase the entire team's strength by 15% for 60 seconds. This strength increase will not stack.</t>
  </si>
  <si>
    <t>Restores HP to all allies with 44% Recovery Potency and applies Regen for 15 seconds, healing with 35% Regen Potency every 2.9 seconds.</t>
  </si>
  <si>
    <t>Restores HP to all allies with 60% Recovery Potency and gradually recovers the entire team's HP over the next 20 seconds with 35% Recovery Potency every 2.9 seconds. In addition, grants the user a strength amp (Team Amp MAX Lv. = 3). After this amp is granted, this ability will not grant it again for 15 seconds.</t>
  </si>
  <si>
    <t>Increases the entire team's defense by 15% for 15 seconds.</t>
  </si>
  <si>
    <t>290</t>
  </si>
  <si>
    <t>Deals 12 hits of 99% light damage to the target and nearby enemies, dispels one buff from each of them, and inflicts flashburn for 21 seconds - dealing 41.6% light damage every 2.9 seconds - with 120% chance.</t>
  </si>
  <si>
    <t>Deals 12 hits of 150% light damage to the target and nearby enemies, dispels one buff from each of them, and inflicts flashburn for 21 seconds - dealing 50% light damage every 2.9 seconds - with 120% chance.</t>
  </si>
  <si>
    <t>291</t>
  </si>
  <si>
    <t>Deals 3 hits of 524% light damage to surrounding enemies, grants the user a defense amp (Team Amp MAX Lv. = 3), and fills the clockwork gauge by 30%. This skill will deal extra damage and fill more of the clockwork gauge based on the combo count - 10% more damage and 45% of the clockwork gauge at 25 hits, 20% and 60% at 50 hits, 30% and 75% at 75 hits and 40% and 100% at 100 hits.</t>
  </si>
  <si>
    <t>Deals 3 hits of 600% light damage to surrounding enemies, lowers their flashburn resistance by 20% for 30 seconds, grants the user a defense amp (Team Amp MAX Lv. = 3), and fills the clockwork gauge by 30%. This resistance reduction will not stack. This skill will deal extra damage and fill more of the clockwork gauge based on the combo count - 10% more damage and 45% of the clockwork gauge at 25 hits, 20% and 60% at 50 hits, 30% and 75% at 75 hits and 40% and 100% at 100 hits.</t>
  </si>
  <si>
    <t>217</t>
  </si>
  <si>
    <t>This skill can only be used while the user has one or more armament gauge charges. Consumes one charge of the armament gauge, deals 9 hits of 181% light damage to the target and nearby enemies, and inflicts flashburn for 21 seconds - dealing 41.6% light damage every 2.9 seconds - with 120% chance. Aiming is possible during the attack.</t>
  </si>
  <si>
    <t>This skill can only be used while the user has one or more armament gauge charges. Consumes one charge of the armament gauge, deals 9 hits of 220% light damage to the target and nearby enemies, dispels one buff from each target, and inflicts flashburn for 21 seconds - dealing 50% light damage every 2.9 seconds - with 120% chance. Aiming is possible during the attack.</t>
  </si>
  <si>
    <t>218</t>
  </si>
  <si>
    <t>This skill can only be used while the user has one or more armament gauge charges. Consumes one charge of the armament gauge, and activates "Overclocked" for 15 seconds. During Overclocked, the user's standard attacks will be powered up, and damage to flashburned enemies will be increased by 15%. This effect does not stack.</t>
  </si>
  <si>
    <t>This skill can only be used while the user has one or more armament gauge charges. Consumes one charge of the armament gauge, and activates "Overclocked" for 15 seconds. During Overclocked, the user's standard attacks will be powered up, and damage to flashburned enemies will be increased by 30%. This effect does not stack.</t>
  </si>
  <si>
    <t>Deals 10 hits of 188% light damage to multiple targets, and inflicts flashburn - dealing 41.6% light damage every 2.9 seconds for 21 seconds - with 120% chance. If the user has one or more alchemic cartridges, it will instead deal 6 hits of 348% light damage to enemies in a line, inflict flashburn - dealing 41.6% light damage every 2.9 seconds for 21 seconds - with 120% chance, and consume one alchemic cartridge.</t>
  </si>
  <si>
    <t>Deals 10 hits of 200% light damage to multiple targets, and inflicts flashburn - dealing 50% light damage every 2.9 seconds for 21 seconds - with 120% chance. If the user has one or more alchemic cartridges, it will instead deal 6 hits of 400% light damage to enemies in a line, inflict flashburn - dealing 50% light damage every 2.9 seconds for 21 seconds - with 120% chance, and consume one alchemic cartridge.</t>
  </si>
  <si>
    <t>This skill can only be used when the user's alchemy gauge has one or more charges. Grants the user an alchemic cartridge for each charge of the alchemy gauge. These cartridges last for 20 seconds, and grant the user a unique force strike that consumes all remaining alchemic cartridges. While the user has one or more alchemic cartridges, a variant called Alchemic Enhancement II will be used instead. This variant costs 3060 SP, deals 1 hit of 2354% and 1 hit of 235% light damage to enemies directly ahead, and consumes one alchemic cartridge.</t>
  </si>
  <si>
    <t>This skill can only be used when the user's alchemy gauge has one or more charges. Grants the user an alchemic cartridge for each charge of the alchemy gauge. These cartridges last for 20 seconds, and grant the user a unique force strike that consumes all remaining alchemic cartridges and dispels one buff from each target. While the user has one or more alchemic cartridges, a variant called Alchemic Enhancement II will be used instead. This variant costs 3060 SP, deals 1 hit of 2500% and 1 hit of 500% light damage to enemies directly ahead, dispels one buff from each target, and consumes one alchemic cartridge.</t>
  </si>
  <si>
    <t>Deals 1 hit of 1226% light damage to enemies in a line, and inflicts paralysis for 13 seconds - dealing 80.3% light damage every 3.9 seconds - with 100% base chance. Paralyzed foes take 1 hit of 1593.8% light damage instead.</t>
  </si>
  <si>
    <t>Deals 1 hit of 1800% light damage to enemies in a line, inflicts bleeding for 30 seconds - dealing 150% light damage every 4.9 seconds - with 100% base chance, and inflicts paralysis for 21 seconds - dealing 50% light damage every 2.9 seconds - with 120% base chance.</t>
  </si>
  <si>
    <t>For 15 seconds, increases the user's critical rate by 20%, and adds 40% to the modifier applied to their critical damage.</t>
  </si>
  <si>
    <t>For 15 seconds, increases the user's critical rate by 20%, and adds 40% to the modifier applied to their critical damage. Also, grants the user a critical damage amp (Team Amp MAX Lv. = 3).</t>
  </si>
  <si>
    <t>337</t>
  </si>
  <si>
    <t>Deals 4 hits of 800% shadow damage to surrounding enemies, inflicts shadowblight for 21 seconds - dealing 50% shadow damage every 2.9 seconds - with 120% chance, and raises the dragon gauge by 10 DP if the attack connects. If the user has Soul Charge, this skill will instead deal 5 hits of 800% shadow damage to surrounding enemies, inflicts shadowblight for 21 seconds - dealing 50% shadow damage every 2.9 seconds - with 120% chance, and dispel one buff from each target.</t>
  </si>
  <si>
    <t>339</t>
  </si>
  <si>
    <t>Grants the user the "Soul Charge Lv. 3" effect. If the user has Soul Charge, a variant called Animus Inferno will be used instead. Animus Inferno costs 12000 SP, deal 6 hits of 700% shadow damage to enemies directly ahead and foes near them and grant the entire team a team critical damage amp (MAX Lv. = 3). The skill gauge for this skill cannot be filled until the user has shapeshifted at least once.</t>
  </si>
  <si>
    <t>Grants the user the "Soul Charge Lv. 3" effect. If the user has Soul Charge, a variant called Animus Inferno will be used instead. Animus Inferno costs 12000 SP, deals 6 hits of 700% shadow damage to enemies directly ahead and foes near them and grants the entire team a team critical damage amp (MAX Lv. = 3). The skill gauge for this skill cannot be filled until the user has shapeshifted at least once.</t>
  </si>
  <si>
    <t>226</t>
  </si>
  <si>
    <t>The user takes the form of High Chthonius, deals 3 hits of 327% shadow damage to the target and nearby enemies, inflicts shadowblight for 21 seconds - dealing 50% shadow damage every 2.9 seconds - with 110% chance, then returns to their original form. The user then deals a further 1 hit of 200% and 1 hit of 1100% shadow damage to the target and nearby enemies. Certain abilities that activate while shapeshifted will affect High Chthonius's attack.</t>
  </si>
  <si>
    <t>The user takes the form of High Chthonius, deals 3 hits of 400% shadow damage to the target and nearby enemies, inflicts shadowblight for 21 seconds - dealing 50% shadow damage every 2.9 seconds - with 120% chance, then returns to their original form. The user then deals a further 1 hit of 200% and 1 hit of 1100% shadow damage to the target and nearby enemies. Certain abilities that activate while shapeshifted will affect High Chthonius's attack. Also, grants the user a strength amp (Team Amp MAX Lv. = 1). After this amp is granted, this skill will not grant it again for 8 seconds.</t>
  </si>
  <si>
    <t>227</t>
  </si>
  <si>
    <t>The user takes the form of High Midgardsormr, deals up to 8 hits of 271% shadow damage to surrounding enemies, inflicts stun for 5-6 seconds with 100% chance, raises the dragon gauge by 50 DP if the attack connects, then returns to their original form. Certain abilities that activate while shapeshifted will affect this attack.</t>
  </si>
  <si>
    <t>The user takes the form of High Midgardsormr, deals up to 8 hits of 300% shadow damage to surrounding enemies, inflicts stun for 6-7 seconds with 120% chance, raises the dragon gauge by 50 DP if the attack connects, then returns to their original form. Certain abilities that activate while shapeshifted will affect this attack. Also, grants the user a critical damage amp (Team Amp MAX Lv. = 1).</t>
  </si>
  <si>
    <t>089</t>
  </si>
  <si>
    <t>Deals 3 hits of 202% shadow damage to the target, and reduces their defense by 5% for 15 seconds. This defense reduction will not stack. For 3 seconds after activating this skill (including skill animation), it will be possible to trigger a "Skill Chain." Using Crisis Edge during this window will make it deal 3 hits of 202% and 1 hit of 485% shadow damage to enemies directly ahead. Foes with reduced defense take 3 hits of 222.2% and 1 hit of 533.5% shadow damage instead. When chained Crisis Edge does NOT decrease defense. Furthermore, if the target has a buff or is in break state when using Umbral Erasure, this will also result in a "Skill Chain", altering the effects of Crisis Edge if it is used during the "Skill Chain" window, depending on which condition is met: 1. If the target had a buff: this skill will dispel one buff from them, and deal 3 hits of 202% and 1 hit of 495% shadow damage. Foes with reduced defense take 3 hits of 202% and 1 hit of 544.5% shadow damage instead. 2. If the target was in break state: this skill will deal 3 hits of 245% and 1 hit of 668% shadow damage. Broken enemies will take 3 hits of 367.5% and 1 hit of 1002% shadow damage instead. If an enemy meets both of the above conditions, condition one will be prioritized.</t>
  </si>
  <si>
    <t>Deals 3 hits of 230% and 1 hit of 540% shadow damage to the target, dispels one buff from each target, and reduces their defense by 5% for 15 seconds. Broken enemies will take 3 hits of 400% and 1 hit of 1000% shadow damage instead.</t>
  </si>
  <si>
    <t>092</t>
  </si>
  <si>
    <t>Deals 1 hit of 553% shadow damage to the target, and inflicts poison for 15 seconds - dealing 58.2% shadow damage every 2.9 seconds - with 120% base chance. For 3 seconds after activating this skill (including skill animation), it will be possible to trigger a "Skill Chain". Using Umbral Erasure during this window will make it deal 1 hit of 553% and 1 hit of 442% shadow damage to the target. Poisoned foes take 1 hit of 608.3% and 1 hit of 486.2% shadow damage instead. When chained Umbral Erasure does NOT poison. Furthermore, if the target has a buff or is in break state when using Crisis Edge, this will also result in a "Skill Chain", altering the effects of Umbral Erasure if it is used during the "Skill Chain" window, depending on which condition is met: 1. If the target had a buff: this skill will dispel one buff from them, and deal 1 hit of 553% and 1 hit of 452% shadow damage. Poisoned foes take 1 hit of 553% and 1 hit of 497.2% shadow damage instead. 2. If the target was in break state: this skill will deal 2 hits of 658% shadow damage. Broken enemies will take 2 hits of 987% shadow damage instead. If an enemy meets both of the above conditions, condition one will be prioritized.</t>
  </si>
  <si>
    <t>Deals 1 hit of 650% and 1 hit of 500% shadow damage to the target, dispels one buff from each target, and inflicts poison for 21 seconds - dealing 50% shadow damage every 2.9 seconds - with 120% base chance. Broken enemies will take 2 hits of 1000% shadow damage instead.</t>
  </si>
  <si>
    <t>047</t>
  </si>
  <si>
    <t>Deals 4 hits of 485% shadow damage to enemies directly ahead, and increases the user's energy level by 1 stage. If this skill is used when the user is energized, a variant called Festival Dance will be used instead, dealing an additional 6 hits of 159% shadow damage and inflicting shadowblight for 21 seconds - dealing 50% shadow damage every 2.9 seconds - with 120% chance.</t>
  </si>
  <si>
    <t>Deals 4 hits of 500% shadow damage to enemies directly ahead,, dispels one buff from each target, and increases the user's energy level by 1 stage. If this skill is used when the user is energized, a variant called Festival Dance will be used instead, dealing an additional 6 hits of 200% shadow damage and inflicting shadowblight for 21 seconds - dealing 50% shadow damage every 2.9 seconds - with 120% chance.</t>
  </si>
  <si>
    <t>049</t>
  </si>
  <si>
    <t>Gradually recovers the entire team's HP with 35% Recovery Potency for 15 seconds and increases their energy levels by 2 stages. This skill will not reset the user's energy level.</t>
  </si>
  <si>
    <t>Deals 2 hits of 700% shadow damage to enemies directly ahead, and raises the dragon gauge by 30 DP if the attack connects. Poisoned foes take 2 hits of 840% shadow damage instead.</t>
  </si>
  <si>
    <t>Deals 2 hits of 900% shadow damage to enemies directly ahead, lowers their poison resistance by 20% for 30 seconds, and raises the dragon gauge by 40 DP if the attack connects. This resistance reduction will not stack.</t>
  </si>
  <si>
    <t>Deals 4 hits of 338% shadow damage to enemies directly ahead, and inflicts poison for 15 seconds - dealing 39.6% shadow damage every 2.9 seconds - with 100% base chance. Poisoned foes take 4 hits of 507% shadow damage instead.</t>
  </si>
  <si>
    <t>Deals 4 hits of 600% shadow damage to enemies directly ahead, and inflicts poison for 21 seconds - dealing 50% shadow damage every 2.9 seconds - with 120% base chance.</t>
  </si>
  <si>
    <t>Deals 2 hits of 737% shadow damage to surrounding enemies, and reduces their strength by 5% for 10 seconds with 40% base chance.</t>
  </si>
  <si>
    <t>Deals 2 hits of 900% shadow damage to surrounding enemies, dispels one buff from each target, inflicts bleeding for 30 seconds - dealing 150% shadow damage every 4.9 seconds - with 100% base chance, and reduces their strength by 10% for 10 seconds.</t>
  </si>
  <si>
    <t>Increases strength by 30% for 15 seconds, and increases max HP by 10% for remainder of the quest. Once HP buffs reach the limit of 30%, an HP recovery effect is granted instead.</t>
  </si>
  <si>
    <t>Increases the entire team's strength by 25% for 15 seconds, and increases the max HP of all adventurers by 10% for remainder of the quest. Once HP buffs reach the limit of 30%, an HP recovery effect is granted instead. Also, grants the user a strength damage amp (Team Amp MAX Lv. = 3).</t>
  </si>
  <si>
    <t>Deals 1 hit of 1201% shadow damage to enemies in a line, and inflicts poison for 15 seconds - dealing 58.2% shadow damage every 2.9 seconds - with 120% chance.</t>
  </si>
  <si>
    <t>Deals 1 hit of 1800% shadow damage to enemies in a line, inflicts poison for 21 seconds - dealing 50% shadow damage every 2.9 seconds - with 120% chance, and lowers their poison resistance by 20% for 30 seconds. This resistance reduction will not stack.</t>
  </si>
  <si>
    <t>Deals 1 hit of 1368% shadow damage to enemies directly ahead, inflicts poison for 15.0 seconds - dealing 58.2% shadow damage every 2.9 seconds - with 120% base chance, and restores 5% of the damage inflicted as HP to the user. This recovery caps at 10% of their maximum HP.</t>
  </si>
  <si>
    <t>Deals 1 hit of 2000% shadow damage to enemies directly ahead, dispels one buff from each target, inflicts poison for 21 seconds - dealing 50% shadow damage every 2.9 seconds - with 120% base chance, and restores all teammates' HP by 10% of damage inflicted. This recovery caps at 30% of their maximum HP. Also, grants the user a strength damage amp (Team Amp MAX Lv. = 3). After this amp is granted, this ability will not grant it again for 15 seconds.</t>
  </si>
  <si>
    <t>275</t>
  </si>
  <si>
    <t>Deals 5 hits of 394% shadow damage to surrounding enemies. During this attack, the user will be immune to knockback, and damage taken will be reduced by 30%. The skill gauge for this skill can be filled by attacking enemies, but it will also gradually fill automatically. The amount of time required to fill this gauge will increase each time this skill is used (up to twice per quest). Abilities that increase skill gauge fill rate will not affect this automatic increase. 1st use: charges in about 10 seconds. 2nd use: charges in about 15 seconds. 3rd use onwards: charges in about 29.5 seconds. If this skill is used as a Helper Skill or a Shared Skill, it will deal 5 hits of 394% shadow damage to surrounding enemies, grant the user Knockback Immunity, and reduces damage taken by 30%.</t>
  </si>
  <si>
    <t>Deals 5 hits of 400% shadow damage to surrounding enemies. During this attack, the user will be immune to knockback, and damage taken will be reduced by 30%. The skill gauge for this skill can be filled by attacking enemies, but it will also gradually fill automatically. The amount of time required to fill this gauge will increase each time this skill is used (up to twice per quest). Abilities that increase skill gauge fill rate will not affect this automatic increase. 1st use: charges in about 10 seconds. 2nd use: charges in about 15 seconds. 3rd use onwards: charges in about 29.5 seconds. If this skill is used as a Helper Skill or a Shared Skill, it will deal 5 hits of 400% shadow damage to surrounding enemies, grant the user Knockback Immunity, and reduces damage taken by 30%.</t>
  </si>
  <si>
    <t>Blank</t>
  </si>
  <si>
    <t>0.0 second(s)</t>
  </si>
  <si>
    <t>No Second Skill</t>
  </si>
  <si>
    <t>127</t>
  </si>
  <si>
    <t>Activates "Cluster Amaryllis." The user's next force strike will have three increasingly powerful charge levels and deal extra damage to poisoned foes at level three. In addition, they are immune to knockback while charging their force strike, and take 20% less damage from certain enemy attacks. If the user is attacked after the first level is charged, charging will be interrupted and the user will immediately release their force strike at its current charge level. If this skill is used as a Helper Skill, instead deals 9 hits of 158% shadow damage. Poisoned foes take 9 hits of 189.6% shadow damage instead.</t>
  </si>
  <si>
    <t>Activates "Cluster Amaryllis." The user's next force strike will have three increasingly powerful charge levels and deal extra damage to poisoned foes at level three. In addition, they are immune to knockback while charging their force strike, and take 50% less damage from certain enemy attacks. If the user is attacked after the first level is charged, charging will be interrupted and the user will immediately release their force strike at its current charge level. If this skill is used as a Helper Skill, instead deals 9 hits of 200% shadow damage.</t>
  </si>
  <si>
    <t>Increases the rate at which the user's force strikes charge by 30% for 15 seconds. This speed increase will not stack. If used again, the skill will deal 4 hits of 355% shadow damage to enemies directly ahead, and dispel one buff from each target, after which the skill will revert to its initial effect.</t>
  </si>
  <si>
    <t>Deals 4 hits of 500% shadow damage to enemies directly ahead, dispel one buff from each target, inflicts poison for 21 seconds - dealing 50% shadow damage every 2.9 seconds - with 120% base chance, and increases the rate at which the user's force strikes charge by 50% for 15 seconds. Also, grant the user a strength amp (Team Amp MAX Lv. = 3).</t>
  </si>
  <si>
    <t>050</t>
  </si>
  <si>
    <t>0.3 second(s)</t>
  </si>
  <si>
    <t>Deals 3 hits of 531% shadow damage to enemies directly ahead, and increases the user's energy level by 1 stage. Damage will be increased as the user's HP decreases, up to 3 hits of 1062% shadow damage.</t>
  </si>
  <si>
    <t>Deals 3 hits of 1200% shadow damage to enemies directly ahead, dispels one buff from each target, and increases the user's energy level by 1 stage.</t>
  </si>
  <si>
    <t>Removes all debuffs from the user. If the user's HP is below 30% of max HP when using this skill, increases the user's strength by 20% for 15 seconds. If the user's HP is above or equal to 30% of max HP, reduces their HP to 20% of max HP and grants them a one-use divergent shield that nullifies damage less than 80% of the user's maximum HP. Divergent shields can stack with ordinary shields.</t>
  </si>
  <si>
    <t>Removes all debuffs from the entire team, increases their strength by 20% for 15 seconds, and grants them a one-use divergent shield that nullifies damage less than 40% of the user's maximum HP. Divergent shields can stack with ordinary shields. Also, grants the user a defense amp (Team Amp MAX Lv. = 3).</t>
  </si>
  <si>
    <t>803</t>
  </si>
  <si>
    <t>Deals 7 hits and 1 delayed hit of 155% shadow damage to enemies directly ahead, and inflicts bleeding for 30 seconds - dealing 146% shadow damage every 4.9 seconds - with 100% base chance. Poisoned foes instead take 7 hits and 1 delayed hit of 186% shadow damage, and 175.2% shadow damage every 4.9 seconds from bleeding.</t>
  </si>
  <si>
    <t>Deals 7 hits and 1 delayed hit of 220% shadow damage to enemies directly ahead, dispels one buff from each target, and inflicts bleeding for 30 seconds - dealing 150% shadow damage every 4.9 seconds - with 100% base chance.</t>
  </si>
  <si>
    <t>Activates "Blade Formation" for 15 seconds. During Blade Formation, the user's critical rate against bleeding enemies is increased by 20%. Also gradually recovers the user's HP with 35% Recovery Potency every 2.9 seconds for 15 seconds.</t>
  </si>
  <si>
    <t>Activates "Blade Formation" for 15 seconds. During Blade Formation, the user's critical rate against bleeding enemies is increased by 20%. Also, gradually recovers the entire team's HP with 35% Recovery Potency every 2.9 seconds for 20 seconds. Additionally, grants the user a critical damage amp (Team Amp MAX Lv. = 3).</t>
  </si>
  <si>
    <t>Deals 4 hits of 242% shadow damage to enemies directly ahead. If this skill is used during dragondrive, a variant called Wyrmbound Eternity will be used instead. Wyrmbound Eternity deals 4 hits of 242% shadow damage to enemies directly ahead, and damage will be increased as the user's HP decreases, up to 3 hits of 242% and 1 hit of 484%. Using this skill will consume 25% of the user's dragondrive gauge, but fills 50% of this skill's skill gauge after use.</t>
  </si>
  <si>
    <t>Deals 4 hits of 500% shadow damage to enemies directly ahead and dispels one buff from each target. If this skill is used during dragondrive, a variant called Wyrmbound Eternity will be used instead. Wyrmbound Eternity deals 4 hits of 500% shadow damage to enemies directly ahead and inflicts shadowblight for 21 seconds - dealing 50% shadow damage every 2.9 seconds - with 120% base chance. Using this skill will consume 25% of the user's dragondrive gauge, but fills 50% of this skill's skill gauge after use.</t>
  </si>
  <si>
    <t>Fills 1200 UTP of the user's dragondrive gauge. If the user's HP is above 30% of max HP, reduces their HP to 30% of max HP and fills the dragondrive gauge by additional UTP relative to the amount of HP consumed, up to 35% of max UTP. If this skill is used during dragondrive, a variant called Unfettered Ferocity will be used instead. Unfettered Ferocity fills 100% of the user's dragondrive gauge, and activates "Loathsome Power" for 40 seconds. During Loathsome Power, the user's strength is increased by 30%, but the user will take damage equal to 6% of their max HP every 2.9 seconds. This effect will not stack.</t>
  </si>
  <si>
    <t>Fills 2200 UTP of the user's dragondrive gauge. If this skill is used during dragondrive, a variant called Unfettered Ferocity will be used instead. Unfettered Ferocity fills 100% of the user's dragondrive gauge, and activates "Loathsome Power" for 40 seconds. When the Loathsome Power effect is active, increases strength by 50% and increases defense by 50%. This effect will not stack.</t>
  </si>
  <si>
    <t>For 20 seconds, increases the user's strength by 35% and entire team's strength by 5%, but decreases the user's defense by 25%.</t>
  </si>
  <si>
    <t>For 20 seconds, increases the entire team's strength by 25% and grants the user a strength amp (Team Amp MAX Lv. = 1). After this amp is granted, this ability will not grant it again for 8 seconds.</t>
  </si>
  <si>
    <t>For 20 seconds, increases the user's critical rate by 30%, but decreases their defense by 25%.</t>
  </si>
  <si>
    <t>For 20 seconds, increases the entire team's critical rate by 15% and grants the user a critical damage amp (Team Amp MAX Lv. = 1). After this amp is granted, this ability will not grant it again for 8 seconds.</t>
  </si>
  <si>
    <t>Deals 3 hits of 384% shadow damage to enemies directly ahead.</t>
  </si>
  <si>
    <t>Deals 3 hits of 700% shadow damage to enemies directly ahead and inflicts shadowblight for 21 seconds - dealing 50% shadow damage every 2.9 seconds - with 120% base chance.</t>
  </si>
  <si>
    <t>Deals 1 hit of 1185% shadow damage to surrounding enemies, and inflicts bleeding for 30 seconds - dealing 146% shadow damage every 4.9 seconds - with 80% base chance.</t>
  </si>
  <si>
    <t>Deals 1 hit of 2000% shadow damage to surrounding enemies, dispels one buff from each target, and inflicts bleeding for 30 seconds - dealing 150% shadow damage every 4.9 seconds - with 100% base chance. Also, grants the user a defense amp (Team Amp MAX Lv. = 3).</t>
  </si>
  <si>
    <t>Deals 7 hits of 248% and 1 hit of 428% shadow damage to enemies directly ahead and inflicts shadowblight for 21 seconds - dealing 50% shadow damage every 2.9 seconds - with 120% chance.</t>
  </si>
  <si>
    <t>Deals 7 hits of 270% and 1 hit of 500% shadow damage to enemies directly ahead and inflicts shadowblight for 21 seconds - dealing 50% shadow damage every 2.9 seconds - with 120% chance.</t>
  </si>
  <si>
    <t>Deals 5 hits of 360% shadow damage to surrounding enemies and reduces their defense by 10% for 10 seconds. This defense reduction will not stack.</t>
  </si>
  <si>
    <t>Deals 5 hits of 400% shadow damage to surrounding enemies, lowers their shadowblight resistance by 20% for 30 seconds, and reduces their defense by 10% for 10 seconds. Neither this resistance reduction nor this defense reduction will not stack.</t>
  </si>
  <si>
    <t>207</t>
  </si>
  <si>
    <t>Deals 7 hits of 354% shadow damage to enemies directly ahead, and fills the Persona gauge by 300 UTP if the attack connects. When Arsène is active, a variant called Wild Rush will be used instead. Wild Rush deals 7 hits of 354% and Arsène deals 1 hit of 750% shadow damage to enemies directly ahead.</t>
  </si>
  <si>
    <t>Deals 7 hits of 380% shadow damage to enemies directly ahead, and fills the Persona gauge by 300 UTP if the attack connects. When Arsène is active, a variant called Wild Rush will be used instead. Wild Rush deals 7 hits of 380% and Arsène deals 1 hit of 800% shadow damage to enemies directly ahead.</t>
  </si>
  <si>
    <t>Deals 4 hits of 448% and 3 hits of 312% shadow damage to enemies directly ahead, reduces their strength by 15% for 20 seconds, and fills the Persona gauge by 300 UTP if the attack connects. This strength reduction will not stack. When Arsène is active, a variant called Eiha will be used instead. Eiha deals 1 hit of 3030% shadow damage to the target and nearby enemies, and reduces their strength by 20% for 20 seconds. This strength reduction will not stack. If this skill is used as a Shared Skill, deals 4 hits of 448% and 3 hits of 312% shadow damage to enemies directly ahead, and reduces their strength by 15% for 20 seconds.</t>
  </si>
  <si>
    <t>Deals 4 hits of 480% and 3 hits of 350% shadow damage to enemies directly ahead, reduces their strength by 15% for 20 seconds, and fills the Persona gauge by 300 UTP if the attack connects. This strength reduction will not stack. When Arsène is active, a variant called Eiha will be used instead. Eiha deals 1 hit of 3500% shadow damage to the target and nearby enemies, and reduces their strength by 20% for 20 seconds. This strength reduction will not stack. If this skill is used as a Shared Skill, deals 4 hits of 480% and 3 hits of 350% shadow damage to enemies directly ahead, and reduces their strength by 15% for 20 seconds.</t>
  </si>
  <si>
    <t>Creates a buff zone that lasts for 10 seconds and increases the strength of shadow-attuned adventurers inside it by 25%. During Sigil Released, this skill also reduces light damage taken by the entire team by 20% for 10 seconds. This damage reduction effect will not stack.</t>
  </si>
  <si>
    <t>Creates a buff zone that lasts for 10 seconds and increases the strength of adventurers inside it by 25%. During Sigil Released, this skill also reduces light damage taken by the entire team by 20% for 15 seconds. This buff zone is not affected by Curse of Nihility. This damage reduction effect will not stack. Also, grants the user a defense amp (Team Amp MAX Lv. = 1). After this amp is granted, this skill will not grant it again for 8 seconds.</t>
  </si>
  <si>
    <t>151</t>
  </si>
  <si>
    <t>Deals 1 hit of 1000% shadow damage to the target and nearby enemies, and decreases the remaining time of Locked Sigil by 60 seconds if the attack connects. During Sigil Released, this skill instead deals 1 hit of 1000% shadow damage to the target and nearby enemies plus a number of additional hits of shadow damage to nearby enemies equal to the number of buff zones they're standing in. Damage dealt by those hits is 300% for user-created buff zones and 100% for buff zones created by allies. If this skill is used as a Shared Skill, it always uses the Sigil Released variant.</t>
  </si>
  <si>
    <t>Deals 1 hit of 2000% shadow damage to the target and nearby enemies, inflicts shadowblight for 21 seconds - dealing 50% shadow damage every 2.9 seconds - with 120% base chance, and decreases the remaining time of Locked Sigil by 60 seconds if the attack connects. During Sigil Released, this skill instead deals 1 hit of 2000% shadow damage to the target and nearby enemies plus a number of additional hits of shadow damage to nearby enemies equal to the number of buff zones they're standing in. Damage dealt by those hits is 300% for user-created buff zones and 100% for buff zones created by allies. If this skill is used as a Shared Skill, it always uses the Sigil Released variant.</t>
  </si>
  <si>
    <t>Deals 1 hit of 840% shadow damage to the target and nearby enemies. Damage will be increased as the user's HP decreases, up to 1 hit of 1260% shadow damage. If this skill is used during dragondrive, a variant called Renegade Dragonfall will be used instead. Renegade Dragonfall deals 5 hits of 202% shadow damage to multiple targets and enemies near those targets, and dispels one buff from each. Damage will be increased as the user's HP decreases, up to 5 hits of 303%. Using this skill will consume 25% of the user's dragondrive gauge, but fills 100% of this skill's skill gauge after use.</t>
  </si>
  <si>
    <t>Deals 1 hit of 1200% shadow damage to the target and nearby enemies. If this skill is used during dragondrive, a variant called Renegade Dragonfall will be used instead. Renegade Dragonfall deals 5 hits of 350% shadow damage to multiple targets and enemies near those targets, and dispels one buff from each. Using this skill will consume 25% of the user's dragondrive gauge, but fills 100% of this skill's skill gauge after use.</t>
  </si>
  <si>
    <t>Fills 1200 UTP of the user's dragondrive gauge. If the user's HP is above 30% of max HP, reduces their HP to 30% of max HP and fills the dragondrive gauge by additional UTP relative to the amount of HP consumed, up to 35% of max UTP. If this skill is used during dragondrive, a variant called Renegade Shadowblaze will be used instead. If the user's HP is above 30% of max HP, Renegade Shadowblaze reduces their HP to 30% of max HP and deals 1 hit of 1212% shadow damage to enemies directly ahead. Damage will be increased as the user's HP decreases, up to 1 hit of 3636% shadow damage. Using Renegade Shadowblaze will consume all of the user's dragondrive gauge.</t>
  </si>
  <si>
    <t>Fills 2200 UTP of the user's dragondrive gauge. If this skill is used during dragondrive, a variant called Renegade Shadowblaze will be used instead. Renegade Shadowblaze deals 1 hit of 4000% shadow damage to enemies directly ahead and inflicts shadowblight for 21 seconds - dealing 50% shadow damage every 2.9 seconds - with 120% base chance. Using Renegade Shadowblaze will consume all of the user's dragondrive gauge.</t>
  </si>
  <si>
    <t>Deals 1 hit of 366% shadow damage to the target and nearby enemies, and creates a debuff zone that lasts for 10 seconds and reduces the defense of enemies within by 20%. The skill gauge for this skill can be filled by attacking enemies, but it will also gradually fill automatically. Abilities that increase skill gauge fill rate will not affect this automatic increase.</t>
  </si>
  <si>
    <t>Deals 1 hit of 500% shadow damage to the target and nearby enemies, and creates a debuff zone that lasts for 10 seconds, reduces the defense of enemies within by 20%, and lowers the poison resistance by 20%. The skill gauge for this skill can be filled by attacking enemies, but it will also gradually fill automatically. Abilities that increase skill gauge fill rate will not affect this automatic increase.</t>
  </si>
  <si>
    <t>063</t>
  </si>
  <si>
    <t>6 second(s)</t>
  </si>
  <si>
    <t>Summons "Heaven's Cage" then deals 1 hit of 499% shadow damage to the target and nearby enemies, inflicts poison - dealing 300% shadow damage every 2.9 seconds for 27 seconds - with 120% base chance, and lowers the strength of light-attuned enemies by 15% for 15 seconds. This strength reduction effect will not stack. Additional bonus neutral-element damage will be dealt equal to 1100% of the damage taken while "Heaven's Cage" is active. The skill gauge for this skill can be filled by attacking enemies, but it will also gradually fill automatically. Abilities that increase skill gauge fill rate will not affect this automatic increase.</t>
  </si>
  <si>
    <t>Summons "Heaven's Cage" then deals 1 hit of 800% shadow damage to the target and nearby enemies, inflicts poison - dealing 300% shadow damage every 2.9 seconds for 30 seconds - with 120% base chance, and lowers the strength of enemies by 15% for 15 seconds. This strength reduction effect will not stack. Additional bonus neutral-element damage will be dealt equal to 1200% of the damage taken while "Heaven's Cage" is active. The skill gauge for this skill can be filled by attacking enemies, but it will also gradually fill automatically. Abilities that increase skill gauge fill rate will not affect this automatic increase.</t>
  </si>
  <si>
    <t>Deals 4 hits of 179% shadow damage to surrounding enemies, reduces their defense by 5% for 10 seconds and inflicts poison for 12 seconds - dealing 39.6% shadow damage every 2.9 seconds - with 100% base chance. This defense reduction effect will not stack.</t>
  </si>
  <si>
    <t>Deals 4 hits of 450% shadow damage to surrounding enemies, reduces their defense by 10% for 10 seconds and inflicts poison for 21 seconds - dealing 50% shadow damage every 2.9 seconds - with 120% base chance. This defense reduction effect will not stack.</t>
  </si>
  <si>
    <t>3 second(s)</t>
  </si>
  <si>
    <t>Deals 3 hits of 182% and 1 hit of 362% shadow damage to the target and nearby enemies. Against broken foes, it deals 3 hits of 364% and 1 hit of 724% shadow damage instead.</t>
  </si>
  <si>
    <t>Deals 3 hits of 400% and 1 hit of 700% shadow damage to the target and nearby enemies, and dispels one buff from each target. Against broken foes, it deals 3 hits of 800% and 1 hit of 1300% shadow damage instead. Also, grants the user a strength amp (Team Amp MAX Lv. = 3). After this amp is granted, this ability will not grant it again for 15 seconds.</t>
  </si>
  <si>
    <t>Deals 4 hits of 415% shadow damage to surrounding enemies, and inflicts blindness for 8 seconds with 110% base chance.</t>
  </si>
  <si>
    <t>Deals 4 hits of 500% shadow damage to surrounding enemies, and inflicts blindness for 8 seconds with 120% base chance and shadowblight for 21 seconds - dealing 50% shadow damage every 2.9 seconds - with 120% base chance.</t>
  </si>
  <si>
    <t>Deals 4 hits of 434% shadow damage to enemies directly ahead.</t>
  </si>
  <si>
    <t>Deals 4 hits of 500% shadow damage to enemies directly ahead, dispels one buff from each target, and lowers their shadowblight resistance by 20% for 30 seconds. This resistance reduction will not stack. Also, grants the user a defense amp (Team Amp MAX Lv. = 3). After this amp is granted, this ability will not grant it again for 15 seconds.</t>
  </si>
  <si>
    <t>Deals 2 hits of 848% shadow damage to enemies directly ahead.</t>
  </si>
  <si>
    <t>Deals 2 hits of 1000% shadow damage to enemies directly ahead.</t>
  </si>
  <si>
    <t>Activates "Blinding Knives". The user's next 3 force strikes will grant the user a buff that increases force strike damage by 30% for 5 seconds, then deal damage and throw 3 knives in front of the user, inflicting blindness for 8 seconds with 90% base chance.</t>
  </si>
  <si>
    <t>Activates "Blinding Knives". The user's next 3 force strikes will grant the user a buff that increases force strike damage by 30% for 5 seconds, then deal damage and throw 3 knives in front of the user, inflicting blindness for 8 seconds with 120% base chance and shadowblight for 21 seconds - dealing 50% shadow damage every 2.9 seconds - with 120% base chance.</t>
  </si>
  <si>
    <t>Deals 3 hits of 330% and 1 hit of 354% shadow damage to enemies directly ahead, and inflicts poison for 15 seconds - dealing 48.2% shadow damage every 2.9 seconds - with 100% base chance. Poisoned foes take 3 hits of 495% and 1 hit of 531% shadow damage instead.</t>
  </si>
  <si>
    <t>Deals 3 hits of 495% and 1 hit of 531% shadow damage to enemies directly ahead, and inflicts poison for 21 seconds - dealing 50% shadow damage every 2.9 seconds - with 120% base chance.</t>
  </si>
  <si>
    <t>Deals 2 hits of 458% shadow damage to enemies directly ahead, and inflicts sleep for 4-5 seconds with 100% base chance. Poisoned foes take 2 hits of 687% shadow damage instead. Also activates "Poison Knives". The user's next force strike will throw 3 knives in front of the user, dealing 11% shadow damage each, and inflict poison - dealing 58.2% shadow damage every 2.9 seconds for 15 seconds - with 120% base chance.</t>
  </si>
  <si>
    <t>Deals 1 hit of 1218% and 1 hit of 1297.5% shadow damage to enemies directly ahead, inflicts sleep for 4-5 seconds with 120% base chance, and lowers their poison resistance by 20% for 30 seconds. This resistance reduction will not stack. Also activates "Poison Knives". The user's next force strike will throw 3 knives in front of the user, dealing 30% shadow damage each, dispel one buff from each target, and inflict poison - dealing 50% shadow damage every 2.9 seconds for 21 seconds - with 120% base chance. Additionally, grant the user a strength amp (Team Amp MAX Lv. = 3). After this amp is granted, this ability will not grant it again for 15 seconds.</t>
  </si>
  <si>
    <t>189</t>
  </si>
  <si>
    <t>Deals 5 hits of 400% shadow damage to the target and nearby enemies, and dispels one buff from each of them.</t>
  </si>
  <si>
    <t>Deals 5 hits of 500% shadow damage to the target and nearby enemies, and dispels one buff from each of them.</t>
  </si>
  <si>
    <t>190</t>
  </si>
  <si>
    <t>Deals 1 hit of 2500% shadow damage to the target and nearby enemies, and deals additional hits to enemies in buff zones created by both the user and other adventurers. Damage dealt by those hits is 1 hit of 500% shadow damage per buff zone that the enemy is standing in.</t>
  </si>
  <si>
    <t>Deals 1 hit of 3000% shadow damage to the target and nearby enemies, and deals additional hits to enemies in buff zones created by both the user and other adventurers. Damage dealt by those hits is 1 hit of 500% shadow damage per buff zone that the enemy is standing in.</t>
  </si>
  <si>
    <t>135</t>
  </si>
  <si>
    <t>Deals 2 hits of 747% shadow damage to the target and nearby enemies and reduces their defense by 5% for 10 seconds.</t>
  </si>
  <si>
    <t>Deals 2 hits of 1000% shadow damage to the target and nearby enemies and reduces their defense by 10% for 10 seconds.</t>
  </si>
  <si>
    <t>136</t>
  </si>
  <si>
    <t>Deals 1 hit of 2310% shadow damage to enemies in a line, and inflicts poison - dealing 58.2% shadow damage every 2.9 seconds for 15 seconds - with 120% chance.</t>
  </si>
  <si>
    <t>Deals 1 hit of 2600% shadow damage to enemies in a line, inflicts poison - dealing 50% shadow damage every 2.9 seconds for 21 seconds - with 120% chance, and lowers their poison resistance by 20% for 30 seconds. This resistance reduction will not stack.</t>
  </si>
  <si>
    <t>Deals 3 hits of 245% and 1 hit of 735% shadow damage to enemies directly ahead, and reduces their defense by 5% for 10 seconds. Poisoned foes take 3 hits of 392% and 1 hit of 1176% shadow damage instead.</t>
  </si>
  <si>
    <t>Deals 3 hits of 450% and 1 hit of 1300% shadow damage to enemies directly ahead, dispels one buff from each target, and reduces their defense by 10% for 10 seconds.</t>
  </si>
  <si>
    <t>Deals 3 hits of 418% shadow damage to enemies directly ahead. Poisoned foes take 3 hits of 836% shadow damage instead.</t>
  </si>
  <si>
    <t>Deals 3 hits of 900% shadow damage to enemies directly ahead and inflicts poison for 21 seconds - dealing 50% shadow damage every 2.9 seconds - with 120% base chance. Also, grants the user a strength amp (Team Amp MAX Lv. = 3). After this amp is granted, this ability will not grant it again for 15 seconds.</t>
  </si>
  <si>
    <t>804</t>
  </si>
  <si>
    <t>Deals 4 hits of 400% shadow damage to surrounding enemies, draws them toward the user for 0.5 seconds, and inflicts bleeding for 30 seconds - dealing 146% shadow damage every 4.9 seconds - with 80% base chance and shadowblight for 21 seconds - dealing 50% shadow damage every 2.9 seconds - with 120% chance.</t>
  </si>
  <si>
    <t>Deals 4 hits of 500% shadow damage to surrounding enemies, draws them toward the user for 0.5 seconds, and inflicts bleeding for 30 seconds - dealing 150% shadow damage every 4.9 seconds - with 100% base chance and shadowblight for 21 seconds - dealing 50% shadow damage every 2.9 seconds - with 120% chance.</t>
  </si>
  <si>
    <t>Increases the user's max HP by 10% for the remainder of the quest, increases their strength by 30% for 15 seconds, and activates "Slumber Strike Stance." The next 3 force strikes will deal 1 hit of 575% shadow damage, inflict sleep for 6-7 seconds with 110% base chance, and dispel one buff from each target.</t>
  </si>
  <si>
    <t>Increases the entire team's max HP by 10% for the remainder of the quest. Also, increases the user's strength by 30% for 15 seconds, and activates "Slumber Strike Stance." The next 3 force strikes will deal 1 hit of 650% shadow damage, inflict sleep for 6-7 seconds with 120% base chance, and dispel one buff from each target.</t>
  </si>
  <si>
    <t>Deals 1 hit of 772% and 1 hit of 812% shadow damage to surrounding enemies and draws them toward the user for 0.5 seconds. Poisoned foes take 1 hit of 1158% and 1 hit of 1218% shadow damage instead.</t>
  </si>
  <si>
    <t>Deals 1 hit of 1200% and 1 hit of 1300% shadow damage to surrounding enemies, draws them toward the user for 0.5 seconds, and inflicts bleeding for 30 seconds - dealing 150% shadow damage every 4.9 seconds - with 100% base chance</t>
  </si>
  <si>
    <t>Deals 1 hit of 1716% shadow damage to enemies directly ahead. Poisoned foes take 1 hit of 2574% shadow damage instead.</t>
  </si>
  <si>
    <t>Deals 1 hit of 2600% shadow damage to enemies directly ahead and inflicts poison for 21 seconds - dealing 50% shadow damage every 2.9 seconds - with 120% base chance.</t>
  </si>
  <si>
    <t>Deals 1 hit of 1348% shadow damage to surrounding enemies and activates "Skill Shift" if the attack connects. Phase II deals 1 hit of 1722% shadow damage and increases the skill's area of effect, while Phase III deals 2 hits of 987% shadow damage, increases its area of effect even more and unleashes the user's fighting spirit. The user will be immune to knockback during this attack. If this skill is used after the user's fighting spirit has been unleashed, a variant called Monkey-Tiger Wrath will be used instead. Monkey-Tiger Wrath costs 2980 SP, deals 4 hits of 375% shadow damage to enemies directly ahead and applies a burst gambit called "Monkey's Burst" (Gambit Counter: 15). Tapping the screen a set number of times during the attack will power up its 5th hit: 0-4 taps: 1 hit of 375% shadow damage, and applies Monkey's Burst again. 5 taps: 1 hit of 584% shadow damage, applies Monkey's Burst again, and fills the skill gauge for Monkey-Tiger Chaos by 15%. When Monkey's Burst is activated, it will deal 1 hit of 4300% shadow damage to the affected target and nearby enemies within a range of 4.</t>
  </si>
  <si>
    <t>Deals 1 hit of 1400% shadow damage to surrounding enemies and activates "Skill Shift" if the attack connects. Phase II deals 1 hit of 1800% shadow damage and increases the skill's area of effect, while Phase III deals 2 hits of 1000% shadow damage, increases its area of effect even more and unleashes the user's fighting spirit. The user will be immune to knockback during this attack. If this skill is used after the user's fighting spirit has been unleashed, a variant called Monkey-Tiger Wrath will be used instead. Monkey-Tiger Wrath costs 2980 SP, deals 4 hits of 400% shadow damage to enemies directly ahead and applies a burst gambit called "Monkey's Burst" (Gambit Counter: 15). Tapping the screen a set number of times during the attack will power up its 5th hit: 0-4 taps: 1 hit of 400% shadow damage, and applies Monkey's Burst again. 5 taps: 1 hit of 600% shadow damage, applies Monkey's Burst again, and fills the skill gauge for Monkey-Tiger Chaos by 15%. When Monkey's Burst is activated, it will deal 1 hit of 5000% shadow damage to the affected target and nearby enemies within a range of 4.</t>
  </si>
  <si>
    <t>Deals 2 hits of 684% shadow damage to the target and nearby enemies and fills the skill gauge for Monkey Overdrive by 15%. If this skill is used after the user's fighting spirit has been unleashed, a variant called Monkey-Tiger Chaos will be used instead. Monkey-Tiger Chaos costs 6120 SP, deals 21 hits of 101% shadow damage to enemies directly ahead and inflicts shadowblight for 21 seconds - dealing 31% shadow damage every 2.9 seconds - with 110% chance. Tapping the screen a set number of times during the attack will power up its 22nd and 23rd hits: 0-7 taps: 2 hits of 589% shadow damage. 8 taps: 2 hits of 747% shadow damage and inflicts scorchrend for 21 seconds - dealing 31.1% shadow damage every 2.9 seconds - with 110% chance. If this skill is used as a Shared Skill, it will always use the Monkey-Tiger Chaos variant.</t>
  </si>
  <si>
    <t>Deals 2 hits of 700% shadow damage to the target and nearby enemies and fills the skill gauge for Monkey Overdrive by 15%. If this skill is used after the user's fighting spirit has been unleashed, a variant called Monkey-Tiger Chaos will be used instead. Monkey-Tiger Chaos costs 6120 SP, deals 21 hits of 120% shadow damage to enemies directly ahead and inflicts shadowblight for 21 seconds - dealing 50% shadow damage every 2.9 seconds - with 120% chance. Tapping the screen a set number of times during the attack will power up its 22nd and 23rd hits: 0-7 taps: 2 hits of 600% shadow damage. 8 taps: 2 hits of 800% shadow damage and inflicts scorchrend for 21 seconds - dealing 50% shadow damage every 2.9 seconds - with 120% chance. If this skill is used as a Shared Skill, it will always use the Monkey-Tiger Chaos variant.</t>
  </si>
  <si>
    <t>262</t>
  </si>
  <si>
    <t>Deals 1 hit of 1548% shadow damage to enemies in a line and fills the user's dragondrive gauge by 800 UTP if the attack connects. If this skill is used during dragondrive, a variant of Exigent Vanquisher will be used instead. This variant deals 1 hit of 2022% shadow damage to enemies in a line and lowers their shadowblight resistance by 20% for 30 seconds. This resistance reduction will not stack.</t>
  </si>
  <si>
    <t>Deals 1 hit of 1700% shadow damage to enemies in a line and fills the user's dragondrive gauge by 1200 UTP if the attack connects. If this skill is used during dragondrive, a variant of Exigent Vanquisher will be used instead. This variant deals 1 hit of 2300% shadow damage to enemies in a line and lowers their shadowblight resistance by 20% for 30 seconds. This resistance reduction will not stack.</t>
  </si>
  <si>
    <t>Deals 2 hits of 854% shadow damage to the target and nearby enemies and inflicts shadowblight - dealing 31% shadow damage every 2.9 seconds - with 110% chance. Also, grants the user a defense amp (Team Amp MAX Lv. = 2) and increases the entire team's chances of inflicting shadowblight by 50% for 30 seconds. This increase in infliction rate will not stack.</t>
  </si>
  <si>
    <t>Deals 2 hits of 1000% shadow damage to the target and nearby enemies, dispels one buff from each target, and inflicts shadowblight - dealing 50% shadow damage every 2.9 seconds - with 120% chance. Also, grants the user a defense amp (Team Amp MAX Lv. = 3) and increases the entire team's chances of inflicting shadowblight by 50% for 30 seconds. This increase in infliction rate will not stack.</t>
  </si>
  <si>
    <t>067</t>
  </si>
  <si>
    <t>3.9 second(s)</t>
  </si>
  <si>
    <t>Deals 3-7 hits of 261% shadow damage to the target and nearby enemies. Poisoned foes take 3-7 hits of 522% shadow damage instead. Continually tapping the screen during the attack will unleash additional blows, with up to a maximum of 4.</t>
  </si>
  <si>
    <t>Deals 3-7 hits of 600% shadow damage to the target and nearby enemies and dispels one buff from each target. Continually tapping the screen during the attack will unleash additional blows, with up to a maximum of 4.</t>
  </si>
  <si>
    <t>068</t>
  </si>
  <si>
    <t>Deals 1 hit of 1726% shadow damage to enemies directly ahead. Poisoned foes take 1 hit of 3452% shadow damage instead.</t>
  </si>
  <si>
    <t>Deals 1 hit of 3500% shadow damage to enemies directly ahead and inflicts poison for 21 seconds - dealing 50% shadow damage every 2.9 seconds - with 120% base chance. Also, grants the user a strength amp (Team Amp MAX Lv. = 3).</t>
  </si>
  <si>
    <t>113</t>
  </si>
  <si>
    <t>Deals 2 hits of 567% shadow damage to enemies in a line. Poisoned foes take 2 hits of 737.1% shadow damage instead.</t>
  </si>
  <si>
    <t>Deals 2 hits of 1000% shadow damage to enemies in a line and inflicts poison for 21 seconds - dealing 50% shadow damage every 2.9 seconds - with 120% base chance</t>
  </si>
  <si>
    <t>114</t>
  </si>
  <si>
    <t>Deals 4 hits of 632% shadow damage to enemies directly ahead, and increases the user's strength by 20% for 15 seconds. Changing direction is possible during the attack.</t>
  </si>
  <si>
    <t>Deals 4 hits of 700% shadow damage to enemies directly ahead, dispels one buff from each target, and increases the entire team's strength by 20% for 15 seconds. Changing direction is possible during the attack. Also, grants the user a strength amp (Team Amp MAX Lv. = 3). After this amp is granted, this ability will not grant it again for 15 seconds.</t>
  </si>
  <si>
    <t>Increases the entire team's strength by 15% and defense by 25% for 15 seconds and grants the user a defense amp (Team Amp MAX Lv. = 1).</t>
  </si>
  <si>
    <t>819</t>
  </si>
  <si>
    <t>Deals 1 hit of 749% shadow damage to the target and nearby enemies, and inflicts bleeding for 30 seconds - dealing 146% shadow damage every 4.9 seconds - with 100% base chance.</t>
  </si>
  <si>
    <t>Deals 1 hit of 2000% shadow damage to the target and nearby enemies, dispels one buff from each target, and inflicts bleeding for 30 seconds - dealing 150% shadow damage every 4.9 seconds - with 100% base chance.</t>
  </si>
  <si>
    <t>812</t>
  </si>
  <si>
    <t>Deals 5 hits of 150% shadow damage to enemies directly ahead, and inflicts Bleeding for 30 seconds - dealing 146% shadow damage every 4.9 seconds - with 100% base chance.</t>
  </si>
  <si>
    <t>Deals 5 hits of 350% shadow damage to enemies directly ahead, dispels one buff from each target, and inflicts Bleeding for 30 seconds - dealing 150% shadow damage every 4.9 seconds - with 100% base chance.</t>
  </si>
  <si>
    <t>Increases the entire team's strength by 15% for 15 seconds, and increases the critical rate of shadow-attuned adventurers in the team by 10% for 15 seconds.</t>
  </si>
  <si>
    <t>Increases the entire team's strength by 15% and critical rate by 10% for 15 seconds. Also, grants the user a strength amp (Team Amp MAX Lv. = 1) and critical damage amp (Team Amp MAX Lv. = 1).</t>
  </si>
  <si>
    <t>Deals 1 hit of 1088% shadow damage to the target and nearby enemies, inflicts blindness for 8 seconds with 100% base chance and reduces their defense by 5% for 10 seconds. This defense reduction effect will not stack.</t>
  </si>
  <si>
    <t>Deals 1 hit of 2000% shadow damage to the target and nearby enemies, inflicts blindness for 8 seconds with 100% base chance and shadowblight for 21 seconds - dealing 50% shadow damage every 2.9 seconds - with 120% base chance, and reduces their defense by 10% for 10 seconds. This defense reduction effect will not stack.</t>
  </si>
  <si>
    <t>Deals 3 hits of 366% shadow damage to enemies directly ahead.</t>
  </si>
  <si>
    <t>Deals 3 hits of 600% shadow damage to enemies directly ahead, dispels one buff from each target, and lowers their shadowblight resistance by 20% for 30 seconds. This resistance reduction will not stack. Also, grants the user a strength amp (Team Amp MAX Lv. = 3).</t>
  </si>
  <si>
    <t>288</t>
  </si>
  <si>
    <t>Deals 1 hit of 1864% shadow damage to enemies in a line, inflicts poison for 15 seconds - dealing 58.2% shadow damage every 2.9 seconds - with 120% chance, and dispels one buff from each target. If this skill is used while the user has a Combo Sample, a Strike Sample, and a Dash Sample, all three effects will be consumed, and the user will carry out an additional attack that deals 6 hits of 171% shadow damage to the target and nearby enemies, dispels one buff from each of them, and inflicts shadowblight for 21 seconds - dealing 50% shadow damage every 2.9 seconds - with 120% chance. If this skill is used as a Shared Skill, it will always use the enhanced version.</t>
  </si>
  <si>
    <t>Deals 1 hit of 2000% shadow damage to enemies in a line, inflicts poison for 21 seconds - dealing 50% shadow damage every 2.9 seconds - with 120% chance, and dispels one buff from each target. If this skill is used while the user has a Combo Sample, a Strike Sample, and a Dash Sample, all three effects will be consumed, and the user will carry out an additional attack that deals 6 hits of 200% shadow damage to the target and nearby enemies, dispels one buff from each of them, and inflicts shadowblight for 21 seconds - dealing 50% shadow damage every 2.9 seconds - with 120% chance. If this skill is used as a Shared Skill, it will always use the enhanced version.</t>
  </si>
  <si>
    <t>Applies one of the following at random to each member of the entire team: Maximum HP is increased by 15%. Light resistance is increased by 20% for 10 seconds. This light resistance does not stack. Damage taken is reduced by 10% for 20 seconds. This damage reduction does not stack. Also, occasionally grants all of the above bonuses at the same time and removes all afflictions. If this skill is used while the user has a Combo Sample, a Strike Sample, and a Dash Sample, it grants all of the above bonuses and removes all afflictions, but consumes all three effects.</t>
  </si>
  <si>
    <t>Increases the entire team's max HP by 5%, increases light resistance by 10% for 10 seconds, and reduces damage taken by 5% for 20 seconds. This light resistance does not stack. This damage reduction does not stack. If this skill is used while the user has a Combo Sample, a Strike Sample, and a Dash Sample, it consumes all three effects and grants the following effects: Increases the entire team's max HP by 15%, increases light resistance by 20% for 10 seconds, and reduces damage taken by 10% for 20 seconds.</t>
  </si>
  <si>
    <t>180</t>
  </si>
  <si>
    <t>6.9 second(s)</t>
  </si>
  <si>
    <t>Deals 13 hits of 295.4% shadow damage to surrounding enemies, and inflicts shadowblight - dealing 50% shadow damage every 2.9 seconds for 21 seconds - with 120% chance. This skill can be cancelled early by rolling, approximately after the first 6 possible hits would have been dealt.</t>
  </si>
  <si>
    <t>Deals 13 hits of 350% shadow damage to surrounding enemies, dispels one buff from each target, and inflicts shadowblight - dealing 50% shadow damage every 2.9 seconds for 21 seconds - with 120% chance. This skill can be cancelled early by rolling, approximately after the first 6 possible hits would have been dealt.</t>
  </si>
  <si>
    <t>Creates a buff zone that lasts for 10 seconds and increases the critical rate of adventurers inside it by 15%.</t>
  </si>
  <si>
    <t>Creates a buff zone that lasts for 15 seconds and increases the critical rate of adventurers inside it by 15%. Also, grants the user a critical damage amp (Team Amp MAX Lv. = 3).</t>
  </si>
  <si>
    <t>Increases the entire team's strength by 15% for 10 seconds, and increases the defense of all teammates directly ahead of the user by 25% for 10 seconds.</t>
  </si>
  <si>
    <t>Increases the entire team's strength by 15% and defense by 25% for 15 seconds. Also, grant the user a strength amp (Team Amp MAX Lv. = 1) and defense amp (Team Amp MAX Lv. = 1).</t>
  </si>
  <si>
    <t>Deals 1 shot of 1138.8% shadow damage to enemies directly ahead, and fires extra shots equal to the number of buffs the user has, dealing 1 shot of 95% shadow damage each. A maximum of 8 additional shots can be fired.</t>
  </si>
  <si>
    <t>Deals 1 shot of 2000% shadow damage to enemies directly ahead, dispels one buff from each target, inflicts poison for 21 seconds - dealing 50% shadow damage every 2.9 seconds - with 120% base chance, and fires extra shots equal to the number of buffs and amps the user has, dealing 1 shot of 200% shadow damage each. A maximum of 8 additional shots can be fired.</t>
  </si>
  <si>
    <t>Deals 1 hit of 387% and 1 hit of 903% shadow damage to the target and nearby enemies, and inflicts poison for 15 seconds - dealing 58.2% shadow damage every 2.9 seconds - with 120% base chance . The lower the user's HP, the more damage this skill deals, up to 1 hit of 657.9% and 1 hit of 1535.1% shadow damage and poison dealing 130.95% shadow damage every 2.9 seconds instead.</t>
  </si>
  <si>
    <t>Deals 1 hit of 800% and 1 hit of 1600% shadow damage to the target and nearby enemies, dispels one buff from each target, and inflicts poison for 21 seconds - dealing 50% shadow damage every 2.9 seconds - with 120% base chance .</t>
  </si>
  <si>
    <t>If the user's HP is less than 30% of their max HP when using this skill: grants all teammates a one-use shield that nullifies damage less than 30% of the user's maximum HP. If the user's HP is above or equal to 30% of their max HP when using this skill: reduces their HP to 20% of max HP and grants them a one-use divergent shield that nullifies damage less than 80% of the user's maximum HP. Divergent shields can stack with ordinary shields.</t>
  </si>
  <si>
    <t>Grants all teammates a one-use shield that nullifies damage less than 40% of the user's maximum HP and increases the entire team's max HP by 10%. Once HP buffs reach the limit of 30%, an HP recovery effect is granted instead. In addition, grants the user a defense amp (Team Amp MAX Lv. = 3).</t>
  </si>
  <si>
    <t>Deals 8 hits of 114.4% shadow damage to the target and nearby enemies, and inflicts poison for 15 seconds - dealing 58.2% shadow damage every 2.9 seconds - with 70% base chance. Against blinded or poisoned foes, deals 8 hits of 199.056% shadow damage instead.</t>
  </si>
  <si>
    <t>Deals 8 hits of 250% shadow damage to the target and nearby enemies, and inflicts poison for 21 seconds - dealing 50% shadow damage every 2.9 seconds - with 120% base chance.</t>
  </si>
  <si>
    <t>Activates "Twilight Arrows." The user's next force strike will deal extra damage, inflict blindness for 8 seconds with 110% base chance, dispel one enemy buff, and grant 2400 SP.</t>
  </si>
  <si>
    <t>Activates "Twilight Arrows." The user's next force strike will deal extra damage, inflict blindness for 8 seconds with 120% base chance and shadowblight for 21 seconds - dealing 50% shadow damage every 2.9 seconds - with 120% base chance, dispel one enemy buff, and grant 2400 SP. Also, grants the user a strength amp (Team Amp MAX Lv. = 3). After this amp is granted, this ability will not grant it again for 15 seconds.</t>
  </si>
  <si>
    <t>Deals 1 hit of 1249% shadow damage to the target, and inflicts blindness for 8 seconds with 100% base chance. Poisoned foes take 1 hit of 1873.5% shadow damage instead.</t>
  </si>
  <si>
    <t>Deals 1 hit of 2000% shadow damage to the target, and inflicts blindness for 8 seconds with 120% base chance and shadowblight for 21 seconds - dealing 50% shadow damage every 2.9 seconds - with 120% base chance.</t>
  </si>
  <si>
    <t>Deals 3 hits of 375% shadow damage to enemies in a line. Poisoned foes take 3 hits of 600% shadow damage instead.</t>
  </si>
  <si>
    <t>Deals 3 hits of 700% shadow damage to enemies in a line, dispels one buff from each target, inflicts poison for 21 seconds - dealing 50% shadow damage every 2.9 seconds - with 120% base chance and grants the user a strength amp (Team Amp MAX Lv. = 3). After this amp is granted, this ability will not grant it again for 15 seconds.</t>
  </si>
  <si>
    <t>233</t>
  </si>
  <si>
    <t>Deals 3 hits of 523% and 1 hit of 644% shadow damage to the target and nearby enemies, and restores the user's HP with 15% Recovery Potency. If the user has 5 Blood Pacts, a variant called Bloody Absorption will be used instead. Bloody Absorption deals 3 hits of 550% and 1 hit of 1040% shadow damage, restores the user's HP with 28% Recovery Potency, and dispels one enemy buff. If this skill is used as a Shared Skill, it will always use the enhanced variant.</t>
  </si>
  <si>
    <t>Deals 3 hits of 600% and 1 hit of 700% shadow damage to the target and nearby enemies, inflicts bleeding for 30 seconds - dealing 150% shadow damage every 4.9 seconds - with 100% base chance, and restores the entire team's HP with 60% Recovery Potency. If the user has 5 Blood Pacts, a variant called Bloody Absorption will be used instead. Bloody Absorption deals 3 hits of 600% and 1 hit of 1200% shadow damage, inflicts bleeding for 30 seconds - dealing 150% shadow damage every 4.9 seconds - with 100% base chance, restores the entire team HP with 100% Recovery Potency, and dispels one enemy buff. If this skill is used as a Shared Skill, it will always use the enhanced variant.</t>
  </si>
  <si>
    <t>Grants the user a Strength Amp (Team Amp MAX Lv. = 2), and increases the entire team's max HP by 3% for the remainder of the quest.</t>
  </si>
  <si>
    <t>Grants the user a Strength Amp (Team Amp MAX Lv. = 3), and increases the entire team's max HP by 10% for the remainder of the quest.</t>
  </si>
  <si>
    <t>Deals 3 hits of 190% and 1 hit of 209% shadow damage to the target and nearby enemies.</t>
  </si>
  <si>
    <t>Deals 3 hits of 300% and 1 hit of 400% shadow damage to the target and nearby enemies. Also, dispels one buff from each target.</t>
  </si>
  <si>
    <t>129</t>
  </si>
  <si>
    <t>Deals 1 hit of 400% shadow damage to enemies directly ahead. Additionally, generates 12 bullets in a circle around the user that rotate clockwise for 5 seconds and damage any enemy that comes into contact with them for 50% shadow damage. Each bullet can damage the same enemy once every 0.5 seconds for 10 possible hits per bullet (up to 120 hits total). Movement, as well as performing attacks or other skills, is possible while these bullets are active.</t>
  </si>
  <si>
    <t>Deals 1 hit of 700% shadow damage to enemies directly ahead, inflicts shadowblight for 21 seconds - dealing 50% shadow damage every 2.9 seconds - with 120% base chance, and grants them overdamage for 30 seconds. The overdamage is based on 50% of the user's strength, and does not stack. Additionally, generates 12 bullets in a circle around the user that rotate clockwise for 5 seconds and damage any enemy that comes into contact with them for 80% shadow damage. Each bullet can damage the same enemy once every 0.5 seconds for 10 possible hits per bullet (up to 120 hits total). Movement, as well as performing attacks or other skills, is possible while these bullets are active.</t>
  </si>
  <si>
    <t>064</t>
  </si>
  <si>
    <t>Deals 2 hits of 866% shadow damage to enemies directly ahead, inflicts poison for 15 seconds - dealing 58.2% shadow damage every 2.9 seconds - with 120% chance, and increases the user's max HP by 5% for the remainder of the quest. Once HP buffs reach the limit of 30%, an HP recovery effect is granted instead.</t>
  </si>
  <si>
    <t>Deals 2 hits of 1000% shadow damage to enemies directly ahead, inflicts poison for 21 seconds - dealing 50% shadow damage every 2.9 seconds - with 120% chance, and increases the entire team's HP by 5% for the remainder of the quest. Once HP buffs reach the limit of 30%, an HP recovery effect is granted instead.</t>
  </si>
  <si>
    <t>065</t>
  </si>
  <si>
    <t>Summons "Twilight Wreath" then deals 1 hit of 934% and 4 hits of 155% shadow damage to the target and nearby enemies. Damage is increased as the user's HP decreases up to 1 hit of 1868% and 4 hits of 388% shadow damage. Additional bonus neutral-element damage will be dealt equal to 1100% of the damage taken while "Twilight Wreath" is active.</t>
  </si>
  <si>
    <t>Summons "Twilight Wreath" then deals 1 hit of 2000% and 4 hits of 400% shadow damage to the target and nearby enemies and dispels one buff from each target. Additional bonus neutral-element damage will be dealt equal to 1200% of the damage taken while "Twilight Wreath" is active. Also, grants the user a defense amp (Team Amp MAX Lv. = 3). After this amp is granted, this ability will not grant it again for 15 seconds.</t>
  </si>
  <si>
    <t>052</t>
  </si>
  <si>
    <t>Deals 1 hit of 88% and 1 hit of 270% shadow damage to multiple targets and enemies near those targets and activates "Skill Shift" if the attack connects. Initially, this skill will target 3 enemies. Phase II will target 4 enemies, while Phase III will target 5 enemies. Targets will be chosen by their proximity to the user (targets the closest enemies), and if the number of enemies available to target is fewer than the skill's number of hits, this selection process will be repeated for the remaining hits.</t>
  </si>
  <si>
    <t>Deals 1 hit of 100% and 1 hit of 300% shadow damage to 5 targets and enemies near those targets. Targets will be chosen by their proximity to the user (targets the closest enemies), and if the number of enemies available to target is fewer than the skill's number of hits, this selection process will be repeated for the remaining hits.</t>
  </si>
  <si>
    <t>Deals 1 hit of 470% shadow damage to the target and nearby enemies, reduces their defense by 10% for 20 seconds, and activates "Skill Shift" if the attack connects. Phase II adds an additional 10% decrease to enemies' strength, while Phase III also restores HP to all allies with 22% Recovery Potency and continues healing with 17% Recovery Potency every 2.9 seconds over the next 20 seconds.</t>
  </si>
  <si>
    <t>Deals 1 hit of 1000% shadow damage to the target and nearby enemies, dispels one buff from each target, reduces their strength by 10% and defense by 10% for 20 seconds, and restores HP to all allies with 60% Recovery Potency and continues healing with 35% Recovery Potency every 2.9 seconds over the next 15 seconds.</t>
  </si>
  <si>
    <t>040</t>
  </si>
  <si>
    <t>1.501 second(s)</t>
  </si>
  <si>
    <t>Deals 3 hits of 597% and 1 hit of 686% shadow damage to the target and nearby enemies. Poisoned foes take 3 hits of 716.4% and 1 hit of 823.2% shadow damage instead. The lower the user's HP, the more damage this skill deals. This increase caps at 3 hits of 895.5% and 1 hit of 1029% shadow damage. For poisoned foes the cap is instead 3 hits of 1074.6% and 1 hit of 1234.8% shadow damage. If the user's HP is above or equal to 50% of max HP, consumes 10% of max HP to fill this skill's skill gauge by 20%.</t>
  </si>
  <si>
    <t>Deals 3 hits of 1100% and 1 hit of 1300% shadow damage to the target and nearby enemies, and inflicts inflicts poison for 21 seconds - dealing 50% shadow damage every 2.9 seconds - with 120% chance. After this skill is used, fills this skill's skill gauge by 20%.</t>
  </si>
  <si>
    <t>041</t>
  </si>
  <si>
    <t>Deals 3 hits of 440% shadow damage to surrounding enemies and restores the user's HP by 8% of the damage inflicted. This recovery caps at 7.7% of the user's HP per hit.</t>
  </si>
  <si>
    <t>Deals 3 hits of 600% shadow damage to surrounding enemies, dispels one buff from each target, and restores restores all teammates' HP by 10% of damage inflicted. This recovery caps at 10% of the user's HP per hit. Also, grants the user a critical damage amp (Team Amp MAX Lv. = 3).</t>
  </si>
  <si>
    <t>Deals 1 shot of 1780% shadow damage to enemies in a line, and inflicts poison for 15 seconds - dealing 58.2% shadow damage every 2.9 seconds - with 120% chance.</t>
  </si>
  <si>
    <t>Deals 1 shot of 2000% shadow damage to enemies in a line, and inflicts poison for 21 seconds - dealing 50% shadow damage every 2.9 seconds - with 120% chance.</t>
  </si>
  <si>
    <t>Deals 2 hits of 550% shadow damage to the target and nearby enemies, and inflicts sleep for 5-6 seconds with 110% base chance. Poisoned foes take 2 hits of 825% shadow damage instead.</t>
  </si>
  <si>
    <t>Deals 2 hits of 1000% shadow damage to the target and nearby enemies, inflicts sleep for 5-6 seconds with 120% base chance, and lowers their poison resistance by 20% for 30 seconds. This resistance reduction will not stack.</t>
  </si>
  <si>
    <t>Deals 1 shot of 1484% shadow damage to enemies in a line and inflicts poison for 15 seconds - dealing 48.2% shadow damage every 2.9 seconds - with 100% base chance.</t>
  </si>
  <si>
    <t>Deals 1 shot of 1600% shadow damage to enemies in a line and inflicts poison for 21 seconds - dealing 50% shadow damage every 2.9 seconds - with 100% base chance.</t>
  </si>
  <si>
    <t>Deals 1 hit of 1496% shadow damage to the target and nearby enemies. Poisoned foes take 1 hit of 2244% shadow damage instead.</t>
  </si>
  <si>
    <t>Deals 1 hit of 2300% shadow damage to the target and nearby enemies and dispels one buff from each target. Also, grants the user a defense amp (Team Amp MAX Lv. = 3).</t>
  </si>
  <si>
    <t>097</t>
  </si>
  <si>
    <t>If the user's HP is below 40% of max HP when using this skill, increases the entire team's defense by 30% for 15 seconds. If the user's HP is above or equal to 40% of max HP, reduces their HP to 30% of max HP and grants the entire team a "Life Shield" that nullifies damage equal to the amount of HP lost by the user when using this skill. This shield can stack with ordinary shields. This Life Shield caps at 70% of the user's max HP.</t>
  </si>
  <si>
    <t>Increases the entire team's defense by 30% for 15 seconds, reduces the user's HP to 40% of max HP, and grants the entire team a "Life Shield" that nullifies damage equal to the amount of HP lost by the user when using this skill. This shield can stack with ordinary shields. This Life Shield caps at 70% of the user's max HP. Also, grants the user a defense amp (Team Amp MAX Lv. = 3).</t>
  </si>
  <si>
    <t>Increases the entire team's defense by 100% for 5 seconds.</t>
  </si>
  <si>
    <t>Increases the entire team's defense by 100% for 5 seconds and grants the user a team defense amp (Team Amp MAX Lv. = 1).</t>
  </si>
  <si>
    <t>Restores HP to all allies with 44% Recovery Potency, removes blindness, and continues healing for 15 seconds with 35% Recovery Potency every 2.9 seconds. Also, increases the entire team's strength by 8% for 60 seconds (does not stack), grants all teammates a one-use shield that nullifies damage up to 30% of their maximum HP, and grants them overdamage for 30 seconds. The overdamage is based on 50% of the user's strength, and does not stack.</t>
  </si>
  <si>
    <t>Restores HP to all allies with 60% Recovery Potency, removes blindness, and continues healing for 15 seconds with 35% Recovery Potency every 2.9 seconds. Also, increases the entire team's strength by 15% for 60 seconds (does not stack), grants all teammates a one-use shield that nullifies damage up to 40% of their maximum HP, and grants them overdamage for 30 seconds. The overdamage is based on 50% of the user's strength, and does not stack.</t>
  </si>
  <si>
    <t>058</t>
  </si>
  <si>
    <t>Grants all teammates a buff that restores their HP by 5% of damage inflicted for 30 seconds, and grants the user a strength amp (Team Amp MAX Lv. = 2). After this amp is granted, this skill will not grant it again for 30 seconds. The skill gauge for this skill can be filled by attacking enemies, but when the skill gauge for Everlasting Summer is not at 100%, this skill's gauge will also gradually fill automatically. Abilities that increase skill gauge fill rate will not affect this automatic increase.</t>
  </si>
  <si>
    <t>Grants all teammates a buff that restores their HP by 5% of damage inflicted for 30 seconds, and grants the user a strength amp (Team Amp MAX Lv. = 3). After this amp is granted, this skill will not grant it again for 30 seconds. The skill gauge for this skill can be filled by attacking enemies, but when the skill gauge for Everlasting Summer is not at 100%, this skill's gauge will also gradually fill automatically. Abilities that increase skill gauge fill rate will not affect this automatic increase.</t>
  </si>
  <si>
    <t>720</t>
  </si>
  <si>
    <t>Deals 2 hits of 541% shadow damage to the target and nearby enemies, and restores HP to all allies with 36% Recovery Potency. If the attack connects, restores an additional 3% of the damage inflicted as HP to all allies. This recovery caps at 4% of the recipient's HP per hit. When Abyssal Connection is active, this skill will restore an additional 9% of the damage inflicted as HP to all allies instead and this recovery caps at 8% of the recipient's HP per hit.</t>
  </si>
  <si>
    <t>Deals 2 hits of 800% shadow damage to the target and nearby enemies, inflicts poison for 21 seconds - dealing 50% shadow damage every 2.9 seconds - with 120% base chance, and restores HP to all allies with 60% Recovery Potency. If the attack connects, restores an additional 5% of the damage inflicted as HP to all allies. This recovery caps at 15% of the recipient's HP per hit.</t>
  </si>
  <si>
    <t>Activates "Abyssal Connection" for 10 seconds. During Abyssal Connection, the user's strength is increased by 10%, and the Call of Chaos skill is powered up. Also increases the strength of the user and nearby allies by 15% for 10 seconds.</t>
  </si>
  <si>
    <t>Increases the entire team's strength by 25% for 15 seconds and increases the entire team's HP by 10% for the remainder of the quest. Once HP buffs reach the limit of 30%, an HP recovery effect is granted instead. Also, grants the user a strength amp (Team Amp MAX Lv. = 3).</t>
  </si>
  <si>
    <t>Restores HP to all allies with 130% Recovery Potency, removes paralysis, and increases the entire team's strength by 15% for 60 seconds. This strength increase will not stack.</t>
  </si>
  <si>
    <t>Increases the entire team's defense by 25% for 15 seconds, and gradually recovers their HP for 15 seconds, healing with 35% Recovery Potency every 2.9 seconds.</t>
  </si>
  <si>
    <t>Increases the entire team's defense by 25% for 15 seconds, and gradually recovers their HP for 20 seconds, healing with 35% Recovery Potency every 2.9 seconds. Also, grants the user a defense amp (Team Amp MAX Lv. = 3).</t>
  </si>
  <si>
    <t>Restores HP to all allies with 130% Recovery Potency, removes all afflictions, and increases the entire team's strength by 15% for 60 seconds. This strength increase will not stack.</t>
  </si>
  <si>
    <t>Grants all teammates a shield that nullifies damage less than 20% of the user's HP once. This does not stack with any other shields.</t>
  </si>
  <si>
    <t>Grants all teammates a shield that nullifies damage less than 40% of the user's HP once, and gradually recovers the entire team's HP over the next 20 seconds with 35% Recovery Potency every 2.9 seconds. This does not stack with any other shields. Also, grants the user a defense amp (Team Amp MAX Lv. = 3).</t>
  </si>
  <si>
    <t>328</t>
  </si>
  <si>
    <t>Grants the user 3 stacks of the "Malevolent Rush" effect. Malevolent Rush grants the user a third attack in their standard attack combo. This attack consumes one stack of Malevolent Rush, dispels one enemy buff, and, if dealt from directly next to foes, applies "Spite". Malevolent Rush stacks up to 3 times. Spite has 5 levels. If Spite is granted while already active, it will be raised one level. Conversely, it will be lowered one level when the effect's remaining time is depleted. If the effect is at level one when this time is depleted, it will instead be removed entirely. Lv. 1: Lasts 10 seconds. Lv. 2: Lasts 10 seconds. Lv. 3: Lasts 10 seconds. Lv. 4: Lasts 15 seconds. Lv. 5: Lasts 20 seconds.</t>
  </si>
  <si>
    <t>329</t>
  </si>
  <si>
    <t>Deals 1 hit of 1500% shadow damage to surrounding enemies and inflicts shadowblight for 21 seconds - dealing 31% shadow damage every 2.9 seconds - with 110% chance. If this attack hits an enemy that has the "Spite" effect, it will deal bonus damage based on the effect's level. This bonus damage ignores the enemy's defense. Spite Lv. 1: 1 hit of 300% shadow damage. Spite Lv. 2: 1 hit of 600% shadow damage. Spite Lv. 3: 1 hit of 900% shadow damage. Spite Lv. 4: 1 hit of 1200% shadow damage. Spite Lv. 5: 1 hit of 1500% shadow damage. If this skill is used as a shared skill, it will deal 1 hit of 1500% shadow damage to surrounding enemies and inflict shadowblight for 21 seconds - dealing 31% shadow damage every 2.9 seconds - with 110% chance.</t>
  </si>
  <si>
    <t>Deals 1 hit of 1500% shadow damage to surrounding enemies and inflicts shadowblight for 21 seconds - dealing 50% shadow damage every 2.9 seconds - with 120% chance. If this attack hits an enemy that has the "Spite" effect, it will deal bonus damage based on the effect's level. This bonus damage ignores the enemy's defense. Spite Lv. 1: 1 hit of 300% shadow damage. Spite Lv. 2: 1 hit of 600% shadow damage. Spite Lv. 3: 1 hit of 900% shadow damage. Spite Lv. 4: 1 hit of 1200% shadow damage. Spite Lv. 5: 1 hit of 1500% shadow damage. If this skill is used as a shared skill, it will deal 1 hit of 1500% shadow damage to surrounding enemies and inflict shadowblight for 21 seconds - dealing 50% shadow damage every 2.9 seconds - with 120% chance.</t>
  </si>
  <si>
    <t>251</t>
  </si>
  <si>
    <t>Deals 2 hits of 513% shadow damage to surrounding enemies, reduces their defense by 5% for 10 seconds, inflicts shadowblight for 21 seconds - dealing 41% shadow damage every 2.9 seconds - with 120% chance, and fills the user's dragondrive gauge by 300 UTP if the attack connects. If this skill is used during dragondrive, a variant of Twilit Memory will be used instead. This variant consumes 850 UTP of the user's dragondrive gauge, deals 2 hits of 624% shadow damage to surrounding enemies, reduces their defense by 5% for 10 seconds, inflicts shadowblight for 21 seconds - dealing 50% shadow damage every 2.9 seconds - with 120% chance, then fills 100% of this skill's skill gauge after use. The user's standard attacks are also powered up for 10 seconds. This standard attack buff will be lost automatically when the effect's remaining time is depleted or when dragondrive is ended.</t>
  </si>
  <si>
    <t>Deals 2 hits of 750% shadow damage to surrounding enemies, reduces their defense by 10% for 10 seconds, inflicts shadowblight for 21 seconds - dealing 50% shadow damage every 2.9 seconds - with 120% chance, and fills the user's dragondrive gauge by 300 UTP if the attack connects. If this skill is used during dragondrive, a variant of Twilit Memory will be used instead. This variant consumes 600 UTP of the user's dragondrive gauge, deals 2 hits of 900% shadow damage to surrounding enemies, reduces their defense by 10% for 10 seconds, inflicts shadowblight for 21 seconds - dealing 50% shadow damage every 2.9 seconds - with 120% chance, then fills 100% of this skill's skill gauge after use. The user's standard attacks are also powered up for 10 seconds. This standard attack buff will be lost automatically when the effect's remaining time is depleted or when dragondrive is ended.</t>
  </si>
  <si>
    <t>159</t>
  </si>
  <si>
    <t>Deals 1 hit of 1767% shadow damage to enemies in a line, and grants the user a Strength Amp (Team Amp MAX Lv. = 3).</t>
  </si>
  <si>
    <t>Deals 1 hit of 2000% shadow damage to enemies in a line, dispels one buff from each target, and fills the user's dragondrive gauge by 1200 UTP, and grants the user a Strength Amp (Team Amp MAX Lv. = 3).</t>
  </si>
  <si>
    <t>Deals 11 hits of 80% and 1 hit of 1175% shadow damage to enemies directly ahead, inflicts shadowblight - dealing 50% shadow damage every 2.9 seconds for 21 seconds - with 120% chance, and fires extra shots equal to the number of buffs the user has with 25% shadow damage each, for a maximum of 15 additional shots.</t>
  </si>
  <si>
    <t>Deals 11 hits of 100% and 1 hit of 1200% shadow damage to enemies directly ahead, inflicts shadowblight - dealing 50% shadow damage every 2.9 seconds for 21 seconds - with 120% chance, and fires extra shots equal to the number of buffs and amps the user has with 25% shadow damage each, for a maximum of 15 additional shots.</t>
  </si>
  <si>
    <t>212</t>
  </si>
  <si>
    <t>For 5 seconds, reduces the strength of the target and nearby enemies by 30%, and reduces the strength of enemies in buff zones by 5%.</t>
  </si>
  <si>
    <t>For 10 seconds, reduces the strength of the target and nearby enemies by 30%, and reduces the strength of enemies in buff zones by 5%. Also, grants the user a team critical damage amp (Team Amp MAX Lv. = 3).</t>
  </si>
  <si>
    <t>V3 Old Name</t>
  </si>
  <si>
    <t>NEW</t>
  </si>
  <si>
    <t>LEN</t>
  </si>
  <si>
    <t>OLD #</t>
  </si>
  <si>
    <t>V3 #</t>
  </si>
  <si>
    <t>OLD</t>
  </si>
  <si>
    <t>Adds 10% to the modifier applied to critical damage for 20 seconds for every 15-hit combo.</t>
  </si>
  <si>
    <t>For every 15-hit combo, grants overdamage based on 30% of the user's strength. This effect will not stack, and is removed when the combo counter resets.</t>
  </si>
  <si>
    <t>Increases the user's energy level by one stage for every 20-hit combo.</t>
  </si>
  <si>
    <t>Increases the user's energy level by one stage for every 30-hit combo.</t>
  </si>
  <si>
    <t>Increases the user's energy level by one stage for every 35-hit combo.</t>
  </si>
  <si>
    <t>Grants the user a dragondrive gauge, and changes the shapeshift button into a dragondrive button. Tapping this button activates their dragondrive. During dragondrive, the user's skill damage will be increased by 35%, and their skill gauges will fill 30% faster.</t>
  </si>
  <si>
    <t>Using Mascula's initial skill, displayed at the top of his skill list, grants him a Strength Amp (Team Amp MAX Lv. = 3). After this amp is granted, this ability will not grant it again for 20 seconds. Master Control (granted by his second skill) grants Mascula the following effects: His standard attacks are buffed and deal additional blows to multiple nearby targets. The fourth attack in his standard attack combo dispels one enemy buff. His attack rate is increased by 6%. When the combo count is 30 or higher, his strength is increased by 10%, his critical rate by 8%, and 8% is added to the modifier applied to his critical damage. When Master Control is lost, the skill gauge for Mascula's second skill will be filled by 50%. Also, Master Control will be lost upon shapeshifting.</t>
  </si>
  <si>
    <t>Increases damage to enemies inflicted with any affliction by 25%. Also, increases damage to enemies with 2 or more types of afflictions by up to an additional 15% based on the number of different afflictions they are inflicted with, up to a maximum of 4.</t>
  </si>
  <si>
    <t>Grants the entire team a "Life Shield" with an HP value equal to 20% of the user's max HP at the start of quests. Using Gentle Dream grants the user the "Empowering Dreams" effect. When this effect is active, the user's next force strike will fill 40% of skill gauges for each team member's initial skill (with the exception of Peony), and grant the following effects to all team members for 10 seconds, none of which will stack: Increases strength by 10%. Increases attack rate by 10%. Increases defense by 20%. Adds 5% to shadow resistance. Increases movement speed by 5%The Empowering Dreams effect cannot stack, will be consumed on use, and will not activate again for 20 seconds after activating. If Gentle Dream is used during this time frame, the Empowering Dreams effect will still be granted to the user, but cannot be activated until the 20 second cooldown has elapsed.</t>
  </si>
  <si>
    <t>Dodging will deal 7 hits of 10% flame damage toward the target and fill the user's alchemy gauge by 3 CP. This ability also grants the user an alchemy gauge. The alchemy gauge fills when standard attacks and dodge attacks connect with enemies. Also, each time one charge of the alchemy gauge is filled, the user will be granted an alchemic cartridge.</t>
  </si>
  <si>
    <t>Fills the dragon gauge by 20% and restores the user's HP with 80% Recovery Potency if they are in range of the attack dealt by the "Overcharged" effect when it is lost.</t>
  </si>
  <si>
    <t>Increases skill damage by 6% for the remainder of the quest every time the user uses a skill (up to three times per quest).</t>
  </si>
  <si>
    <t>Increases damage to enemies with less than 70% of their maximum HP remaining by 8%.</t>
  </si>
  <si>
    <t>Increases the user's strength by an amount equal to the sum of passive HP bonuses granted by abilities on Dragons and Wyrmprints. This bonus scales linearly with remaining HP from 1x at 100% HP to 0.5x at 70% HP and then further scaling down to 0.1x at 1 HP.</t>
  </si>
  <si>
    <t>Increases critical rate by 5% for every 30-hit combo (up to three times per quest).</t>
  </si>
  <si>
    <t>Adds 7% to the modifier applied to critical damage for every 20-hit combo (up to three times per quest).</t>
  </si>
  <si>
    <t>Fills 100% of skill gauges at the start of quests, and fills 25% of the entire team's skill gauges when the user's HP drops to 30% (once per quest). This does not fill the skill gauges of dragons. In addition, using Medicinal Cure will grant the user a strength amp (Team Amp MAX Lv. = 2). After this amp is granted, this ability will not grant it again for 30 seconds.</t>
  </si>
  <si>
    <t>Fills 100% of skill gauges at the start of quests, and, when HP is full, increases strength by 15% and the potency of recovery skills by 25%.</t>
  </si>
  <si>
    <t>Grants the user a dragondrive gauge, and changes the shapeshift button into a dragondrive button. Tapping this button activates their dragondrive. Dragondrive grants the following effects: The user's defense is increased by 20%. The user's attack skill damage is increased by 25%. The duration of the user's debuff skills is increased by 15%.</t>
  </si>
  <si>
    <t>Increases strength and defense by 13% when HP is 70% or above.</t>
  </si>
  <si>
    <t>Restores the user's HP with 45% Recovery Potency upon successfully inflicting an enemy with bleeding. After activating, this ability will not activate again for five seconds.</t>
  </si>
  <si>
    <t>Buffs the user's strength by 10% for 10 seconds upon successfully inflicting an enemy with bleeding. After activating, this ability will not activate again for five seconds.</t>
  </si>
  <si>
    <t>Increases critical rate by 15% against bleeding enemies.</t>
  </si>
  <si>
    <t>Increases damage to bleeding enemies by 8%.</t>
  </si>
  <si>
    <t>Grants the user a dragondrive gauge, and changes the shapeshift button into a dragondrive button. Tapping this button activates their dragondrive. Dragondrive grants the following effects: The user's standard attacks, dash attacks, and force strikes are changed and fill the user's dragondrive gauge if they connect. The user's strength is increased by 15%. The user's attack rate is increased by 10%.</t>
  </si>
  <si>
    <t>Reduces susceptibility to blindness and paralysis by 100%.</t>
  </si>
  <si>
    <t>Increases damage to blinded enemies by 20%.</t>
  </si>
  <si>
    <t>Buffs the entire team's strength by 10% for 10 seconds upon successfully blinding an enemy. After activating, this ability will not activate again for five seconds.</t>
  </si>
  <si>
    <t>Reduces susceptibility to blindness by 100%.</t>
  </si>
  <si>
    <t>Reduces susceptibility to blindness by 25%.</t>
  </si>
  <si>
    <t>Reduces susceptibility to blindness by 50%.</t>
  </si>
  <si>
    <t>Fills the skill gauge for "Bliss Eternal" by 30% every time three force-strike hits connect during the same combo. Connecting multiples of three hits will trigger this ability multiple times.</t>
  </si>
  <si>
    <t>When the user is hit by an attack that inflicts burn, the skill gauge for Infinite Love is filled by 25%, and the "Heart Ablaze" effect is activated for eight seconds. During Heart Ablaze, the user's attack rate is increased by 15%, and their next three force strikes are granted the ability to dispel one enemy buff. Heart Ablaze will not stack, and, after activating, this ability will not activate again for five seconds.</t>
  </si>
  <si>
    <t>Grants the user one stack of "Stronger Bullets" for every 30-hit combo. This buff increases the user's critical rate by 4%, and can stack up to three times. The effects of Stronger Bullets will be removed upon using Graceful Bullet.</t>
  </si>
  <si>
    <t>Buffs the entire team's strength by 15% for 10 seconds upon successfully inflicting an enemy with bog. After activating, this ability will not activate again for five seconds.</t>
  </si>
  <si>
    <t>Reduces susceptibility to bog by 100%.</t>
  </si>
  <si>
    <t>Reduces susceptibility to bog by 25%.</t>
  </si>
  <si>
    <t>Reduces susceptibility to bog by 50%.</t>
  </si>
  <si>
    <t>When the user's HP drops to 30%, restores the user's HP with 150% Recovery Potency and, if the user has Power of Bonds, also restores HP to the rest of the team 150% Recovery Potency. After activating, these effects will not activate again for 45 seconds. Also, using Ring of Affection will grant the entire team a team critical damage amp (MAX Lv. = 3). After this amp is granted, this ability will not grant it again for 30 seconds.</t>
  </si>
  <si>
    <t>Increases attack skill damage by 20%. Also, increases attack skill damage by a further 40% when the user has Power of Bonds.</t>
  </si>
  <si>
    <t>Increases strength by 6% for every three enemies defeated with force strikes (up to five times per quest). Also increases strength by a further 5% while the user has the "Born Ruler" effect.</t>
  </si>
  <si>
    <t>Grants the user a unique force strike, and increases force strike damage by 30%. Their force strike has four increasingly powerful charge levels and movement is possible while charging. In addition, it will reduce enemy strength by 15% for 10 seconds. This debuff will not stack.</t>
  </si>
  <si>
    <t>Increases damage to enemies in break state by 20%.</t>
  </si>
  <si>
    <t>Increases damage to enemies in break state by 30%.</t>
  </si>
  <si>
    <t>Increases damage to enemies in break state by 35%.</t>
  </si>
  <si>
    <t>Grants the user the "Sphere of Protection" effect when they have a Team Strength Amp. Sphere of Protection gradually recovers the user's HP by 5% of max HP every 2.9 seconds, and grants a one-use shield that nullifies damage up to 30% of the user's maximum HP. This shield can stack with ordinary shields. Sphere of Protection will not stack, its effects are lost upon taking damage or if the user no longer has a Team Strength Amp, and, after Sphere of Protection has been lost, this ability will not activate again for 10 seconds.</t>
  </si>
  <si>
    <t>Increases duration of buff skills by 20%.</t>
  </si>
  <si>
    <t>Increases duration of buff skills by 25%.</t>
  </si>
  <si>
    <t>Increases duration of buff skills by 35%.</t>
  </si>
  <si>
    <t>Reduces susceptibility to burning by 100%.</t>
  </si>
  <si>
    <t>Reduces susceptibility to burning by 25%.</t>
  </si>
  <si>
    <t>Reduces susceptibility to burning by 50%.</t>
  </si>
  <si>
    <t>Grants Pop-up Shop a skill gauge attached to its skill button. When the shopkeeper gauge has one or more charges, Pop-up Shop can be used even if its skill gauge is not filled. Using Pop-up Shop in this way will consume one charge of the shopkeeper gauge. Also, consuming one or more charges of the shopkeeper gauge will grant the entire team a team strength amp (MAX Lv. = 1). After this amp is granted, this ability will not grant it again for 45 seconds.</t>
  </si>
  <si>
    <t>Using Fiend Banquet grants the user the "Plucked Mandradish" effect. When this effect is active, the user's skill gauge fill rate will be increased by 15%, and their next force strike will inflict poison. This effect cannot stack, and will be consumed on use.</t>
  </si>
  <si>
    <t>Increases strength by 20% when HP is 60% or above, but decreases strength by 20% when HP is less than 60%. Also, every time the Deadly Joyride skill hits enemies three times, the user's defense will be reduced by 10% for five seconds, but their attack skill damage will be increased by 5%. This skill damage buff can stack up to an increase of 100%, but all stacks will be lost upon using an attack skill.</t>
  </si>
  <si>
    <t>Grants the user a clockwork gauge that is completely filled at the start of quests. After the clockwork gauge is completely filled, it will be gradually depleted during force strikes, but will grant the user the following effects until it is completely depleted: Damage dealt by force strikes is increased by 10%. The rate that force strikes decrease the mode gauge is sped up. Force strike attack rate is increased by 12%. Movement speed during force strikes is increased. After the clockwork gauge is depleted, it will gradually fill automatically, and the user will not be able to use force strikes until it is filled.</t>
  </si>
  <si>
    <t>Fills the user's unique shapeshift gauge by 150 UTP when their HP is restored. After activating, this ability will not activate again for 10 seconds.</t>
  </si>
  <si>
    <t>Extends the window between hitting an enemy and the combo counter resetting by 4 seconds.</t>
  </si>
  <si>
    <t>Extends the window between hitting an enemy and the combo counter resetting by 5 seconds.</t>
  </si>
  <si>
    <t>Increases Luca's critical rate by 4% for every buff with a different icon applied to him (up to 28%). In addition, applies one of the following buffs to Luca every time one of his attacks is a critical hit: Sylvan Secret Arts, Human Wisdom, and Rokkan Expertise. Each of these buffs increase Luca's critical rate by 4% for 20 seconds. Only one instance of each buff can be active at the same time. After activating, this ability will not activate again for three seconds.</t>
  </si>
  <si>
    <t>When shapeshifting, Leonidas will transform into Mars regardless of what dragon he is equipped with. When the "Draconian Grace Lv. 5" effect is active, Leonidas's shapeshift time will be halved, but the amount of the dragon gauge consumed by shapeshifting will also be halved. If Leonidas shapeshifts while this effect is active, Draconian Grace Lv. 5 will be consumed when his shapeshift is undone.</t>
  </si>
  <si>
    <t>Reduces susceptibility to stun and sleep by 100%.</t>
  </si>
  <si>
    <t>Increases damage to scorchrent enemies by 15% and force strike damage by 50%. Using Road to Glory grants the user the "Crimson Glory" effect and a strength amp (Team Amp MAX Lv. = 2). After this amp is granted, this ability will not grant it again for 30 seconds. When Crimson Glory is active, the user's next force strike will deal 1 hit of 165% flame damage and inflict scorchrend for 21 seconds - dealing 22% flame damage every 2.9 seconds - with 100% chance.</t>
  </si>
  <si>
    <t>Adds 13% to the modifier applied to critical damage.</t>
  </si>
  <si>
    <t>Adds 15% to the modifier applied to critical damage.</t>
  </si>
  <si>
    <t>Adds 20% to the modifier applied to critical damage.</t>
  </si>
  <si>
    <t>Adds 30% to the modifier applied to critical damage.</t>
  </si>
  <si>
    <t>Increases critical rate by 4% for every 15-hit combo (up to three times per combo), and adds 4% to the modifier applied to critical damage each time one of the user's attacks is a critical hit (up to 10 times per combo). After activating, this critical damage increase will not activate again for one second. These buffs are removed when the combo counter resets.</t>
  </si>
  <si>
    <t>Increases critical rate by 4% for every 15-hit combo (up to three times per combo), and adds 4% to the modifier applied to critical damage each time one of the user's attacks is a critical hit (up to 10 times per combo). After activating, this critical damage increase will not activate again for one second. These buffs are removed when the combo counter resets. Also, grants the user a strength amp (Team Amp MAX Lv. = 3) for every 15-hit combo. After this amp is granted, this ability will not grant it again for 30 seconds.</t>
  </si>
  <si>
    <t>Adds 25% to the modifier applied to critical damage for 20 seconds each time one of the user's attacks is a critical hit. After activating, this ability will not activate again for seven seconds.</t>
  </si>
  <si>
    <t>Increases the user's inspiration level by one stage each time one of the user's attacks is a critical hit. After activating, this ability will not activate again for 10 seconds.</t>
  </si>
  <si>
    <t>Increases Ilia's critical rate by 30% for 15 seconds when an alchemic cartridge is consumed by any means other than depletion of time.</t>
  </si>
  <si>
    <t>Increases critical rate by 10%.</t>
  </si>
  <si>
    <t>Increases critical rate by 13%.</t>
  </si>
  <si>
    <t>Reduces susceptibility to burning and stun by 100%.</t>
  </si>
  <si>
    <t>Speeds the rate the mode gauge decreases by 35%. Also, using Blooming Cradle will grant the user a strength amp (Team Amp MAX Lv. = 2). After this amp is granted, this ability will not grant it again for 30 seconds.</t>
  </si>
  <si>
    <t>Reduces susceptibility to curses by 100%.</t>
  </si>
  <si>
    <t>Reduces susceptibility to curses by 25%.</t>
  </si>
  <si>
    <t>Reduces susceptibility to curses by 50%.</t>
  </si>
  <si>
    <t>When in dragon form, increases critical rate by 30% but reduces defense by 30%.</t>
  </si>
  <si>
    <t>Grants the Persona element Fire to certain attacks. Also grants the user a Persona gauge, and changes the shapeshift button into a Persona button. Tapping this button summons Carmen. While summoned, Carmen will attack together with the user. Additionally, increases defense by 6%, and grants the user a unique force strike.</t>
  </si>
  <si>
    <t>Allows the user to carry out dash attacks by tapping the screen during a dodge and increases the damage dealt by dash attacks by 200%. If this dash attack is followed immediately by a standard attack, the user's combo will begin with the second attack in their standard attack combo. Also, grants the user a "Combo Sample" when the fifth attack in their standard attack combo connects with enemies, a "Strike Sample" when their force strikes connect with enemies, and a "Dash Sample" when their dash attacks connect with enemies. These effects will not stack. When the user has all three of these effects, their first and second skills will be powered up. Using one of these powered-up skills will consume all three effects. In addition, increases the user's strength by 30% when their HP is 70% or above.</t>
  </si>
  <si>
    <t>Increases the duration of debuff skills by 20%.</t>
  </si>
  <si>
    <t>Grants the entire team a team defense amp (Team Amp MAX Lv. = 2) when the user's HP is restored. After activating, this ability will not activate again for 20 seconds.</t>
  </si>
  <si>
    <t>Increases defense by 20%.</t>
  </si>
  <si>
    <t>Increases the chances of inflicting debuffs by 50% for five seconds upon successfully reducing an enemy's defense. After activating, this ability will not activate again for five seconds.</t>
  </si>
  <si>
    <t>Grants the user a one-use shield that nullifies damage up to 20% of the user's maximum HP upon successfully reducing an enemy's defense. After activating, this ability will not activate again for five seconds. This does not stack with any other shields.</t>
  </si>
  <si>
    <t>The user's strength is lowered by 10% during quests, but their defense is increased by 20%.</t>
  </si>
  <si>
    <t>Increases damage to demihumans by 25%.</t>
  </si>
  <si>
    <t>Increases damage to demons by 25%.</t>
  </si>
  <si>
    <t>Increases damage to demons by 30%.</t>
  </si>
  <si>
    <t>Increases damage dealt by the skill Chrono Trial based on the number of Overload stacks the user has. The first stack will increase damage by 20%, with additional stacks increasing damage by 5% each.</t>
  </si>
  <si>
    <t>Increases the potency of recovery skills by 15% when HP is 70% or above. Using Radiant Savior grants the user the "Devout Oracle" effect. When this effect is active, the user's next two force strikes will restore HP to the team member most in need with 82% Recovery Potency.</t>
  </si>
  <si>
    <t>Increases strength by 8%, and increases the potency of recovery skills by 15% for 10 seconds after using Twilight Crown. Using Celestial Prayer grants the user the "Sacred Logos" effect. When this effect is active, the user's next force strike grants an HP regen buff to the entire team with 12% (14%) Recovery Potency for Force Strike level 1 (level 2), healing every 2.9 seconds for 15 seconds. This effect cannot stack, and will be consumed on use.</t>
  </si>
  <si>
    <t>Elisanne will gain the "Divine Revelation" effect for 13 seconds if any of the following occur: her force strike connects, she uses a skill, or she executes a 10-hit combo. This effect cannot stack and, when it is active, Elisanne's defense will be increased by 20% and she will be immune to knockback. This defense increasing effect will not activate doublebuff abilities.</t>
  </si>
  <si>
    <t>Fills 20% of the skill gauges for the user's first and second skills when the user dodges an attack. After activating, this ability will not activate again for 15 seconds.</t>
  </si>
  <si>
    <t>Grants the user a "Soul Seal" every time one hit of Soul Deprivation connects with an enemy. This buff's effects are based on the number of Soul Seals the user has, up to a maximum of four. This damage increase is not applied to Flametongue Unbound. All Soul Seals will be lost upon shapeshifting. 1 Seal: Increases the damage dealt by the user's attacks by 10%. 2 Seal: Increases the damage dealt by the user's attacks by 15%. 3 Seal: Increases the damage dealt by the user's attacks by 20%. 4 Seal: Increases the damage dealt by the user's attacks by 80%, but the user will take damage equal to 2% of their maximum HP for every attack.</t>
  </si>
  <si>
    <t>Fills 50% of the user's dragon gauge when their HP drops to 40% (once per quest).</t>
  </si>
  <si>
    <t>Increases defense while shapeshifted by 100%. When the "Dream Boost" effect is active, adds 20% to the modifier applied to damage when in dragon form.</t>
  </si>
  <si>
    <t>Replaces the dragon gauge with a Divine Dragon gauge that holds a max of 1,800 points. Tapping the gauge after it has filled to at least 560 points will allow Tiki to transform into her Divine Dragon form. By tapping the gauge a second time or after the gauge has been consumed, Tiki's transformation will end. Damage taken will be reduced by 50% when in Divine Dragon form.</t>
  </si>
  <si>
    <t>Extends shapeshift time by 25%.</t>
  </si>
  <si>
    <t>Reduces dragon gauge depletion over time by 40%, and increases attack rate when shapeshifted by 10%.</t>
  </si>
  <si>
    <t>Each shapeshift increases strength for the remainder of the quest (up to three times per quest). On first shapeshift strength is increased by 6% in total. On second shapeshift strength is increased by 15% in total. On third shapeshift strength is increased by 30% in total.</t>
  </si>
  <si>
    <t>Each shapeshift increases strength for the remainder of the quest (up to 3 times per quest). On first shapeshift strength is increased by 10% in total. On second shapeshift strength is increased by 25% in total. On third shapeshift strength is increased by 40% in total.</t>
  </si>
  <si>
    <t>Increases player EXP intake for clearing quests by 15%. This ability does not stack with other similar abilities; the highest value will be applied. Normal attacks when in dragon form will dispel one enemy buff.</t>
  </si>
  <si>
    <t>Grants the user's attacks the ability to dispel one enemy buff when in dragon form. This effect does not apply to the damage dealt as the user shapeshifts.</t>
  </si>
  <si>
    <t>Grants Gatov a swordmaster gauge and, at the start of quests, immediately readies Counter Fang for use. Also, Gatov begins quests wielding an axe, but when the swordmaster gauge is completely filled, he will swap to dual swords, and his first and second skills will be immediately readied for use. The gauge will then begin to gradually deplete automatically and activate the following effects until it is depleted: Gatov is granted knockback immunity. Gatov is granted a unique force strike that deals damage to surrounding enemies. Gatov's standard attack patterns and his first and second skills are changed. After the swordmaster gauge is depleted, Gatov will swap back to his axe, and the skill gauges for his first and second skills will be reset.</t>
  </si>
  <si>
    <t>Increases attack rate by 10% for 20 seconds each time one of the user's attacks is a critical hit. After activating, this effect will not activate again for 10 seconds. In addition, using a skill will grant the user a strength amp (Team Amp MAX Lv. = 2). After this amp is granted, this ability will not grant it again for 10 seconds.</t>
  </si>
  <si>
    <t>Fills 10% of skill gauges when the user is granted a defense amp.</t>
  </si>
  <si>
    <t>Increases strength by 30% and attack rate by 10% when electrified.</t>
  </si>
  <si>
    <t>Reduces all elementally attuned damage taken by 15%.</t>
  </si>
  <si>
    <t>When the user's HP drops to 30%, consumes the entire armament gauge, and restores HP to the user based on the amount consumed, up to a maximum of 140% of the user's max HP. After activating, this ability will not activate again for 90 seconds.</t>
  </si>
  <si>
    <t>Removes all buffs and debuffs on the user, activates "Shut Down" for 5 seconds, and grants them an HP regen buff, healing 25% Max HP every 1.5 seconds for 5 seconds, when HP drops to 30% (once per quest). Shut Down renders the user unable to move or attack for its duration.</t>
  </si>
  <si>
    <t>Increases the amount of HP the user revives with by 50% (once per quest).</t>
  </si>
  <si>
    <t>When Nedrick's HP falls to zero, if he has the "Oblivion Overload" effect, grants all team members other than Nedrick "Oblivion Overload Lv. 1".</t>
  </si>
  <si>
    <t>Increases strength by 20% for 15 seconds each time the user is energized.</t>
  </si>
  <si>
    <t>Increases strength by 25% for 15 seconds each time the user is energized.</t>
  </si>
  <si>
    <t>Increases the user's skill gauge fill rate as their energy level increases, from a minimum of 5% at level one, up to a maximum of 25% when the user is energized.</t>
  </si>
  <si>
    <t>Increases the user's strength and critical rate as their energy level increases. The maximum bonus, given when the user is energized, is strength +20% and critical rate +8%.</t>
  </si>
  <si>
    <t>Increases the user's strength and critical rate as their energy level increases. The maximum bonus, given when the user is energized, is strength +40% and critical rate +15%.</t>
  </si>
  <si>
    <t>Increases energy level by one stage each time a defense up buff is received.</t>
  </si>
  <si>
    <t>Increases defense by 70% for 15 seconds and increases defense by 10% for the remainder of the quest when the user's HP drops to 30% (once per quest).</t>
  </si>
  <si>
    <t>Dodge rolling will deal 7 hits of 10% light damage to nearby enemies. This attack will still be performed even if nothing was actually dodged.</t>
  </si>
  <si>
    <t>Reduces susceptibility to poison and curses by 100%.</t>
  </si>
  <si>
    <t>When the user dodges via swipe, their critical rate is increased by 8% for 10 seconds. This critical rate increase will not stack. After activating, this ability will not activate again for five seconds.</t>
  </si>
  <si>
    <t>Grants Ranzal an Attack Gauge and a Burst Gauge. The Attack Gauge fills when regular attacks connect with enemies, while the Burst Gauge is filled when force strikes successfully connect. Ranzal's defense is increased by 10% for 1 completely filled gauge and 20% if both gauges are completely filled. Any filled gauges are consumed when using the Cyclone Blade skill, increasing its power by 40% for 1 completely filled gauge and 100% if both gauges are completely filled.</t>
  </si>
  <si>
    <t>Grants a 40% chance that a user's energy level will increase by an additional stage upon being increased.</t>
  </si>
  <si>
    <t>Grants an 80% chance that a user's energy level will increase by an additional stage upon being increased.</t>
  </si>
  <si>
    <t>Reduces susceptibility to freeze and bog by 100%.</t>
  </si>
  <si>
    <t>Increases the damage dealt by the user's attacks based on the number of active debuff zones. One: increases damage by 10%. Two or more: increases damage by 15%.</t>
  </si>
  <si>
    <t>Fills 100% of skill gauges at the start of quests, and increases defense by 20% while Crystalline Blades Buffed is in effect.</t>
  </si>
  <si>
    <t>Reduces susceptibility to stun and sleep by 100%. When Mym is hit by an attack that would have stunned or put her to sleep, the skill gauge for the Dragon Claw skill fills by 50%, and her strength is increased by 15% for 10 seconds. This increase will not stack, and, after activating, these effects cannot be activated again by the same affliction for 15 seconds.</t>
  </si>
  <si>
    <t>Reduces susceptibility to burning by 100%. When Mym is hit by an attack that would have inflicted her with burn, her strength is increased by 15% for 10 seconds. After activating, this buff will not activate again for 15 seconds. Also, when shapeshifting for the first time, Mym will transform into Brunhilda regardless of what dragon she is equipped with, and she will be granted the "Draconic Power" effect for the remainder of the quest, which will increase her strength by 15% and power up the Flames of Passion skill. The second time onwards, she will transform into High Brunhilda instead, and her attack rate while shapeshifted will increase by 15%. In addition, using a skill will grant Mym a strength amp (Team Amp MAX Lv. = 3). After this amp is granted, this ability will not grant it again for 30 seconds.</t>
  </si>
  <si>
    <t>Reduces susceptibility to burning by 100%. When shapeshifting, Mym will transform into Brunhilda regardless of what dragon she is equipped with, and her attack rate while shapeshifted will increase by 15%.</t>
  </si>
  <si>
    <t>Increases the chances of inflicting debuffs by 20% when the combo count is 15 or higher, and increases the user's critical rate by 20% for seven seconds every time two hits of Howling Meteor connect with an enemy.</t>
  </si>
  <si>
    <t>Extends the window between hitting an enemy and the combo counter resetting by 0.5 seconds. Also, increases the user's chances of inflicting flashburn by 25% for every 15-hit combo (up to three times per combo), and grants the user a stack of the "Flashburn Trickster" effect each time they inflict flashburn (up to three times per combo). Flashburn Trickster increases damage to flashburned enemies by 7%. These buffs are removed when the combo counter resets.</t>
  </si>
  <si>
    <t>Increases defense by 20%. Also increases strength by 6% for every five enemies defeated (up to five times per quest).</t>
  </si>
  <si>
    <t>Increases critical rate by 10% when the combo count is 15 or higher.</t>
  </si>
  <si>
    <t>Increases critical rate by 13% when the combo count is 15 or higher.</t>
  </si>
  <si>
    <t>Increases critical rate by 15% when the combo count is 15 or higher.</t>
  </si>
  <si>
    <t>Increases critical rate by 8% when the combo count is 15 or higher.</t>
  </si>
  <si>
    <t>Increases chances of inflicting poison by 70% when the combo count is 15 or higher.</t>
  </si>
  <si>
    <t>When the combo count is 15 or higher, increases the chances of inflicting scorchrend by 50% and its duration by 30%.</t>
  </si>
  <si>
    <t>Increases damage to scorchrent enemies by 35% when the combo count is 15 or higher.</t>
  </si>
  <si>
    <t>When the combo count is 10 or higher, increases strength by 25%, the chances of inflicting poison by 70%, and the duration of poison inflicted on enemies by 30%.</t>
  </si>
  <si>
    <t>Increases strength by 20% when the combo count is 15 or higher.</t>
  </si>
  <si>
    <t>The user's strength is increased by 20% for 10 seconds when their HP is restored. After activating, this ability will not activate again for 20 seconds.</t>
  </si>
  <si>
    <t>Grants the user the "Brewing Storm" effect every time they execute a 100-hit combo or defeat five enemies. Brewing Storm has five progressively more powerful levels. Lv. 1: Increases the damage dealt by the user's attacks by 15% for 60 seconds. Lv. 2: Increases the damage dealt by the user's attacks by 20% for 60 seconds. Lv. 3: Increases the damage dealt by the user's attacks by 25% for 60 seconds. Lv. 4: Increases the damage dealt by the user's attacks by 30% for 60 seconds. Lv. 5: Increases the damage dealt by the user's attacks by 50% for 60 seconds.</t>
  </si>
  <si>
    <t>Dispelling an enemy buff or barrier or using Aromatic Treat activates the following effects: 20% is added to the modifier applied to damage against light-attuned enemies for 30 seconds. This increase will not stack. The user is granted a defense amp (Team Amp MAX Lv. = 2). After this amp is granted, this ability will not grant it again for 10 seconds. The skill gauges for the user's first and second skills are filled by 15%. After activating, this effect will not activate again for 10 seconds. Also, dispelling an enemy buff or barrier applies adaptive suppression that lowers the modifier applied to the target's affected damage by 15% for 10 seconds. This debuff will not stack.</t>
  </si>
  <si>
    <t>Fills 25% of skill gauges when the user's force strikes connect (up to three times per quest).</t>
  </si>
  <si>
    <t>Increases force strike damage by 30%.</t>
  </si>
  <si>
    <t>Increases force strike damage by 50%.</t>
  </si>
  <si>
    <t>Increases force strike damage by 55%.</t>
  </si>
  <si>
    <t>Grants a buff that increases force strike attack rate by 20% while executing a force strike.</t>
  </si>
  <si>
    <t>Increases force strike damage by 25% and charge rate by 20%.</t>
  </si>
  <si>
    <t>Reduces susceptibility to freezing by 100%.</t>
  </si>
  <si>
    <t>Reduces susceptibility to freezing by 25%.</t>
  </si>
  <si>
    <t>Reduces susceptibility to freezing by 50%.</t>
  </si>
  <si>
    <t>Increases the duration of Dance of Rhapsody by 20% while Dragon Dance is in effect, and by 40% while Tiger Dance is in effect.</t>
  </si>
  <si>
    <t>Increases damage to frostbitten enemies by 20%.</t>
  </si>
  <si>
    <t>Increases damage to frostbitten enemies by 30%.</t>
  </si>
  <si>
    <t>Increases the chances of inflicting bog by 40% when HP is full.</t>
  </si>
  <si>
    <t>Increases the chances of inflicting burn by 70% when HP is full.</t>
  </si>
  <si>
    <t>Adds 17% to the modifier applied to critical damage when HP is full.</t>
  </si>
  <si>
    <t>Increases critical rate by 13% when HP is full.</t>
  </si>
  <si>
    <t>Increases critical rate by 15% when HP is full.</t>
  </si>
  <si>
    <t>Increases defense by 20% and increases the potency of recovery skills by 10% when HP is full.</t>
  </si>
  <si>
    <t>Increases defense by 20% when HP is full.</t>
  </si>
  <si>
    <t>Increases the potency of recovery skills by 13% when HP is full.</t>
  </si>
  <si>
    <t>Increases the potency of recovery skills by 15% when HP is full.</t>
  </si>
  <si>
    <t>Increases the chances of inflicting poison and blindness by 60% when HP is full.</t>
  </si>
  <si>
    <t>Increases the chances of inflicting poison by 50% when HP is full.</t>
  </si>
  <si>
    <t>Increases attack skill damage by 35% when HP is full.</t>
  </si>
  <si>
    <t>Increases attack skill damage by 40% when HP is full.</t>
  </si>
  <si>
    <t>Increases attack skill damage by 45% when HP is full.</t>
  </si>
  <si>
    <t>Increases strength by 15% and the chances of inflicting paralysis by 60% when HP is full.</t>
  </si>
  <si>
    <t>Increases strength by 10% when HP is full.</t>
  </si>
  <si>
    <t>Increases strength by 13% when HP is full.</t>
  </si>
  <si>
    <t>Increases strength by 15% when HP is full.</t>
  </si>
  <si>
    <t>Increases strength by 20% when HP is full.</t>
  </si>
  <si>
    <t>Inflicts the "Locked Sigil" debuff on the user at the start of quests for 300 seconds, and grants the user a unique force strike with two increasingly powerful charge levels. Movement is possible while charging, but the user will move more slowly. Once their force strike is fully charged, it will deal extra damage to frostbitten foes and reduce Locked Sigil's remaining time by 13 seconds if it connects. The Locked Sigil debuff cannot be removed by shapeshifting or incapacitation. When the Locked Sigil effect wears off, the user will be granted the "Sigil Released" effect instead, allowing the user to perform special attacks that restore 5% of the damage inflicted as HP to the user and have a 40% chance to increase the user's energy level by one stage. This special attack is activated by tapping the screen at the end of a standard attack combo. This recovery caps at 7% of their maximum HP. By tapping the screen again during one of these attacks, the user can immediately perform another.</t>
  </si>
  <si>
    <t>Speeds the rate the mode gauge decreases by 35%.</t>
  </si>
  <si>
    <t>Speeds the rate the mode gauge decreases by 40%.</t>
  </si>
  <si>
    <t>Slows the rate the mode gauge increases by 25%.</t>
  </si>
  <si>
    <t>Slows the rate the mode gauge increases by 30%.</t>
  </si>
  <si>
    <t>Grants Zethia a summon gauge and changes the shapeshift button into a summon button. Tapping this button summons Bahamut. While Bahamut is summoned, the power of certain standard attacks will be greatly increased, and Bahamut will attack automatically. After attacking a set number of times, Bahamut will automatically use the Cataclysm Beam skill. While Bahamut is not summoned, certain standard attacks will fill the summon gauge. Swiping to dodge during a standard attack will carry out an additional attack toward surrounding enemies, dealing 3 hits of 30% shadow damage. Performing a standard attack during this unique dodge will then resume Zethia's standard attack combo from her most recent attack (Dodging again immediately after Zethia's unique dodge will instead result in a standard dodge). In addition, Zethia will deal 1 hit of 183% shadow damage to surrounding enemies when she dodges an attack. This attack will only activate once per dodge.</t>
  </si>
  <si>
    <t>Grants one of the following effects based on the level of the user's New Year's Prayer: Lv. 1: Increases skill gauge fill rate by 7%. Lv. 2: Increases skill gauge fill rate by 8%. Lv. 3: Increases skill gauge fill rate by 10%, and gradually fills Lucky Day's skill gauge automatically by 3% every second. Abilities that increase skill gauge fill rate will not affect this automatic increase.</t>
  </si>
  <si>
    <t>Grants the user a unique force strike, and increases force strike damage by 30%. Their force strike has three increasingly powerful charge levels and deals 20% more damage to enemies in break state. In addition, they are immune to knockback while charging their force strike.</t>
  </si>
  <si>
    <t>Reduces susceptibility to blindness and paralysis by 100%. When Alex is hit by an attack that would have blinded or paralyzed her, her strength is increased by 15% for 10 seconds. This increase will not stack, and, after activating, this buff cannot be activated again by the same affliction for 15 seconds.</t>
  </si>
  <si>
    <t>Using Wealdfury grants the user a strength amp (Team Amp MAX Lv. = 2). Also, the user's shadow resistance is increased by 5% when they are in a buff zone.</t>
  </si>
  <si>
    <t>Grants the Persona element Wind to certain attacks. Also grants the user a Persona gauge, and changes the shapeshift button into a Persona button. Tapping this button summons Zorro. While summoned, Zorro will attack and restore HP to all teammates as the user attacks. Additionally, grants the user a unique force strike that activates the "Beast Eye" effect for 30 seconds. Beast Eye increases the user's Persona gauge fill rate by 20% while active, but is removed when Zorro is summoned, and cannot be granted while Zorro is active. While Zorro is not summoned, standard attacks and force strikes will fill the Persona gauge.</t>
  </si>
  <si>
    <t>Grants the user an Auspex gauge. The Auspex gauge fills when the user's first or second skills are used. When the gauge is completely filled, it grants the user the "Twilight Moon" effect. When this effect is active, it grants the user a unique force strike with five increasingly powerful charge levels. This effect cannot stack, and will be consumed on use. Also, using Glorious Sanctuary will grant the user a defense amp (Team Amp MAX Lv. = 3). After this amp is granted, this ability will not grant it again for 30 seconds.</t>
  </si>
  <si>
    <t>Grants an HP regen buff to the entire team healing for 1% Max HP every 3.9 seconds for 20 seconds each time a defense up buff is received.</t>
  </si>
  <si>
    <t>Grants an HP regen buff healing you for 2% Max HP every 3.9 seconds for 20 seconds each time a defense up buff is received.</t>
  </si>
  <si>
    <t>Grants an HP regen buff to the entire team healing for 1.5% Max HP every 3.9 seconds for 20 seconds each time a defense up buff is received.</t>
  </si>
  <si>
    <t>Grants an HP regen buff healing you for 3% Max HP every 3.9 seconds for 20 seconds each time a defense up buff is received.</t>
  </si>
  <si>
    <t>Grants an HP regen buff healing you for 4% Max HP every 3.9 seconds for 20 seconds each time a defense up buff is received.</t>
  </si>
  <si>
    <t>Grants an HP regen buff healing you for 4% Max HP every 3.9 seconds for 25 seconds each time a defense up buff is received.</t>
  </si>
  <si>
    <t>Grants the user a unique shapeshift in which the user unleashes their "Heavenly wings" and replaces the dragon gauge with a unique shapeshift gauge that holds a max of 1,800 points. Tapping the gauge after it has filled to at least 560 points will allow the user to shapeshift, and when shapeshifting, the user transforms into their unique form regardless of what dragon they are equipped with. By tapping the gauge a second time or after the gauge has been consumed, the user will return to their original form. While shapeshifted, the user's standard attacks will fill their unique shapeshift gauge and damage taken will be reduced by 50%. In addition, at the start of quests, grants the user the "Coordination Protocol" effect. If the user continues to charge their force strike, the effect granted to them will change every 1.5 seconds. The effect will cycle between the "Coordination Protocol" and "Concentration Protocol" effects. Using the user's first or second skills, including their skills while shapeshifted, will grant them a defense amp (Team Amp MAX Lv. = 3). After this amp is granted, this ability will not grant it again for 20 seconds.</t>
  </si>
  <si>
    <t>Reduces susceptibility to burning and stun by 100%. When Elisanne is hit by an attack that would have inflicted burning on her or stunned her, her strength is increased by 15% for 10 seconds. This increase will not stack, and, after activating, this buff cannot be activated again by the same affliction for 15 seconds.</t>
  </si>
  <si>
    <t>Using Chuting Stars while in a buff zone restores the user's HP with 50% Recovery Potency.</t>
  </si>
  <si>
    <t>Grants a buff that increases attack rate by 20% when HP is 70% or above.</t>
  </si>
  <si>
    <t>Adds 15% to the modifier applied to critical damage when HP is 70% or above.</t>
  </si>
  <si>
    <t>Increases critical rate by 10% when HP is 70% or above.</t>
  </si>
  <si>
    <t>Increases critical rate by 13% when HP is 70% or above.</t>
  </si>
  <si>
    <t>Increases critical rate by 6% when HP is 70% or above.</t>
  </si>
  <si>
    <t>Increases defense by 10% when HP is 70% or above.</t>
  </si>
  <si>
    <t>Increases defense by 13% when HP is 70% or above.</t>
  </si>
  <si>
    <t>Increases defense by 15% when HP is 70% or above.</t>
  </si>
  <si>
    <t>Increases defense by 8% when HP is 70% or above.</t>
  </si>
  <si>
    <t>Increases the duration of flashburn inflicted on enemies by 30% when the user's HP is 70% or above.</t>
  </si>
  <si>
    <t>Increases the potency of recovery skills by 15% when HP is 70% or above.</t>
  </si>
  <si>
    <t>Increases the potency of recovery skills by 17% when HP is 70% or above.</t>
  </si>
  <si>
    <t>When HP is 70% or above, increases attack skill damage by 35% and adds 10% to flame resistance.</t>
  </si>
  <si>
    <t>Increases attack skill damage by 35% when HP is 70% or above.</t>
  </si>
  <si>
    <t>Increases attack skill damage by 40% when HP is 70% or above.</t>
  </si>
  <si>
    <t>Increases skill gauge fill rate by 8% when HP is 70% or above.</t>
  </si>
  <si>
    <t>Increases strength by 10% when HP is 70% or above.</t>
  </si>
  <si>
    <t>Increases strength by 13% when HP is 70% or above.</t>
  </si>
  <si>
    <t>Increases strength by 15% when HP is 70% or above.</t>
  </si>
  <si>
    <t>Increases strength by 20% and attack rate by 10% when HP is 30% or below.</t>
  </si>
  <si>
    <t>Grants the Persona element Bless to certain attacks. Also grants the user a Persona gauge, and changes the shapeshift button into a Persona button. Tapping this button summons Pithos, and, for 15 seconds, reduces the defense of surrounding enemies by 5%. This defense reduction will not stack. While summoned, Pithos will attack automatically. Additionally, increases strength by 5%, and grants the user a unique force strike.</t>
  </si>
  <si>
    <t>Using Immaculate Wings grants the user a one-use shield that nullifies damage less than 20% of the user's maximum HP. This shield does not stack with any other shields of the same type.</t>
  </si>
  <si>
    <t>Grants the user a unique force strike and increases force strike damage by 50%. When the user is not electrified, the user's force strikes will consume up to 5% of the "Thunderous Impulse" skill's skill gauge. When the user is electrified, the skill gauge will not be consumed, and force strike damage will be increased by an additional 10%.</t>
  </si>
  <si>
    <t>When the "Enemy Insight Lv. 3" effect is active, increases the amount the user's next force strike lowers the mode gauge by 300%. This force strike will consume Enemy Insight Lv. 3. Also, when the "Calculated Shots" effect is active, increases the power of standard attacks by 10%, the amount skill gauges are filled by standard attacks by 10%, and the critical rate of standard attacks by 10%.</t>
  </si>
  <si>
    <t>Increases critical rate by 10% when HP is 70% or above. Also increases the user's critical rate by a further 20% when the combo count is 25 or higher, and an additional 20% when the combo count is 50 or higher.</t>
  </si>
  <si>
    <t>Boosts damage dealt to boss enemies in "Mega Man: Chaos Protocol" quests by 30%. When shapeshifting, Mega Man will jump onto Rush regardless of what dragon he is equipped with.</t>
  </si>
  <si>
    <t>Grants the user a unique force strike, and increases force strike damage by 30%. Their force strike has two charge levels. After the first level is charged, damage taken from enemy attacks will be reduced by 35% and, when damaged by certain enemy attacks, the user will immediately release their force strike at its current charge level. Once their force strike is fully charged, it will reduce enemy defense by 8% for 15 seconds. This debuff will not stack.</t>
  </si>
  <si>
    <t>Fills 100% of the entire team's skill gauges when the user's HP drops to 30% (twice per quest). This does not fill the skill gauges of dragons. After activating, this ability will not activate again for 15 seconds.</t>
  </si>
  <si>
    <t>Increases the entire team's strength by 30% and defense by 40% for 15 seconds when the user's HP drops to 30% (twice per quest). After activating, this ability will not activate again for 15 seconds.</t>
  </si>
  <si>
    <t>Increases strength by 40% for 10 seconds and increases strength by 10% for the remainder of the quest when the user's HP drops to 30% (once per quest).</t>
  </si>
  <si>
    <t>Buffs defense by 100% for 15 seconds when HP drops to 30% (once per quest).</t>
  </si>
  <si>
    <t>Buffs defense by 50% for 15 seconds when HP drops to 30% (once per quest).</t>
  </si>
  <si>
    <t>Buffs defense by 60% for 15 seconds when HP drops to 30% (once per quest).</t>
  </si>
  <si>
    <t>Increases the damage of the next attack skill used by each team member by 10% and the user's attack skills by 30% for the remainder of the quest when the user's HP drops to 30% (once per quest).</t>
  </si>
  <si>
    <t>Buffs strength by 30% for 15 seconds when HP drops to 30% (once per quest).</t>
  </si>
  <si>
    <t>Buffs strength by 40% for 15 seconds when HP drops to 30% (once per quest).</t>
  </si>
  <si>
    <t>Buffs strength by 60% for 15 seconds when HP drops to 30% (once per quest).</t>
  </si>
  <si>
    <t>Grants an HP regen buff healing you for 10% Max HP every 3.9 seconds for 20 seconds when HP drops to 30% (once per quest).</t>
  </si>
  <si>
    <t>Grants an HP regen buff healing you for 14% Max HP every 3.9 seconds for 20 seconds when HP drops to 30% (once per quest).</t>
  </si>
  <si>
    <t>Grants an HP regen buff healing you for 14% Max HP every 3.9 seconds for 20 seconds when HP drops to 30% (three times per quest). After activating, this buff will not activate again for 15 seconds.</t>
  </si>
  <si>
    <t>Increases damage to enemies with reduced defense by 30%. Also, grants Alex a strength amp (Team Amp MAX Lv. = 3) when she reduces enemy defense. After this amp is granted, this ability will not grant it again for 30 seconds.</t>
  </si>
  <si>
    <t xml:space="preserve">Reduces susceptibility to paralysis by 100%. When shapeshifting for the first time, the user will transform into Jupiter regardless of what dragon they are equipped with. The second time onwards, they will transform into High Jupiter instead. Also, when the user dodges an enemy's attack, applies "Overcharged" to the attacking enemy and grants the user a strength amp (Team Amp MAX Lv. = 1). After activating, this effect will not activate again for 10 seconds. </t>
  </si>
  <si>
    <t>Using Love &amp; Acclaim grants the user a one-use shield that nullifies damage less than 20% of the user's maximum HP. This does not stack with any other shields.</t>
  </si>
  <si>
    <t>Grants the user a romance gauge that can hold up to five charges and offers the following effects: 1. Powers up the user's standard attacks and the Infinite Love skill when the romance gauge has five charges. 2. Grants the romance gauge one full charge when the Infinite Love skill is used. 3. Fills the romance gauge by 12.5% when the user is buffed with a skill. After activating, this effect will not activate again for five seconds. 4. Alters Skill damage, Defense, Max HP and Susceptibility to afflictions based on the number of charges the romance gauge has.</t>
  </si>
  <si>
    <t>Using Forbidden Sphere grants the user the "Madness" effect. When this effect is active, the user's next force strike will grant the user a buff that fills the user's skill gauges by 100 SP every 2.9 seconds for the remainder of the quest, but simultaneously decreases the user's HP by 1% of Max HP every 2.9 seconds. The Madness effect cannot stack, and will be removed upon using a force strike while it is active. The SP regen and damage over time effect can be stacked up to 5 times.</t>
  </si>
  <si>
    <t>Using Ancient Ray grants Cleo the "Altered Strike" effect. When this effect is active, Cleo's next force strike will create a buff zone that lasts for 10 seconds and increases the strength of adventurers inside it by 25%. This effect cannot stack, and will be consumed on use. In addition, using Ancient Ray will grant Cleo a strength amp (Team Amp MAX Lv. = 3). After this amp is granted, this ability will not grant it again for 30 seconds.</t>
  </si>
  <si>
    <t>Fills 100% of skill gauges at the start of quests. Using Elder Cure grants the user the "Dispel Strike" effect. When this effect is active, the user's next force strike will dispel one enemy buff. This effect cannot stack, and will be consumed on use.</t>
  </si>
  <si>
    <t>Reduces susceptibility to stun and sleep by 100%. When Laxi is hit by an attack that would have stunned or put her to sleep, her strength is increased by 15% for 10 seconds. This increase will not stack, and, after activating, this buff cannot be activated again by the same affliction for 15 seconds.</t>
  </si>
  <si>
    <t>Grants the user an armament gauge that has two charges and fills automatically at a rate of 10% every second. Abilities that increase skill gauge fill rate will not affect this automatic increase, and the user's attacks will not fill this gauge.</t>
  </si>
  <si>
    <t>Grants the user an armament gauge that has two charges and fills automatically at a rate of 8% every second. Abilities that increase skill gauge fill rate will not affect this automatic increase, and the user's attacks will not fill this gauge.</t>
  </si>
  <si>
    <t>Grants the user a shikigami gauge, and grants them a unique force strike that, while charging, deals damage and gradually fills this gauge.</t>
  </si>
  <si>
    <t>Increases damage to frostbitten enemies by 30%. In addition, using a skill will grant the user a strength amp (Team Amp MAX Lv. = 2). After this amp is granted, this ability will not grant it again for 30 seconds.</t>
  </si>
  <si>
    <t>Grants Notte a unique shapeshift called "Metamorphosis," and replaces the dragon gauge with a metamorphosis gauge that holds a max of 1,800 points. Tapping the gauge after it has filled to at least 560 points will allow Notte to shapeshift, and when shapeshifting, Notte will use Metamorphosis to transform regardless of what dragon she is equipped with. By tapping the gauge a second time or after the gauge has been consumed, Notte will return to her original form. Damage taken will be reduced by 50% when in Metamorphosis.</t>
  </si>
  <si>
    <t>At the start of quests, inflicts the "Locked Sigil" debuff on the user for 300 seconds and grants the user a unique force strike that deals damage to multiple targets and enemies near those targets and has three charge levels. The number of enemies this force strike targets increases based on how many levels are charged. Also, creates a combat zone around the user and grants the user one of two combat styles: close quarters or ranged. If there are any enemies within this combat zone, the user will engage in close-quarters combat, otherwise they will default to ranged combat. The user's standard attack patterns and the effects activated by their first and second skills will change based on their combat style. Locked Sigil's remaining time will be reduced by 15 seconds for every 25-hit combo. After activating, this effect will not activate again for eight seconds. When the Locked Sigil effect wears off, the user will be granted the "Sigil Released" effect instead. Sigil Released removes the user's combat zone and combat styles and grants them a unique force strike with one charge level. This force strike has the same effects as the user's force strike at level three during Locked Sigil. Also during Sigil Released, the user's standard attack patterns will change, and the user's first and second skills will activate different effects.</t>
  </si>
  <si>
    <t>Activates the following effects once the user's fighting spirit is unleashed: The user's strength is increased by 10%. The user's attack skill damage is increased by 40%. The user is granted immunity to knockback. The user's standard attack patterns and first and second skills are changed. The user is granted a unique dodge that deals 144% shadow damage to surrounding enemies. Also, by tapping the screen during this dodge, the user can interrupt it and perform a unique dash attack toward the target. If a unique dash attack or force strike is followed immediately by a standard attack, the user's combo will begin with the second attack in their standard attack combo.</t>
  </si>
  <si>
    <t>Increases the potency of recovery skills by 15%. Using Spirited Song grants the user the "Dispel Strike" effect. When this effect is active, the user's next force strike will dispel one enemy buff. This effect cannot stack and will be consumed on use. Also, using Agitato Assault will grant the user a strength amp (Team Amp MAX Lv. = 2). After this amp is granted, this ability will not grant it again for 30 seconds.</t>
  </si>
  <si>
    <t>Dispelling an enemy buff or barrier lowers that enemy's water resistance by 5% for 30 seconds and grants the user one stack of "Stronger Bullets". This resistance reduction will not stack.</t>
  </si>
  <si>
    <t>Grants the user a unique force strike, and increases force strike damage by 30%. Their force strike dispels one buff from an enemy, and restores 10% of the damage inflicted as HP to the user. This recovery caps at 5% of their maximum HP.</t>
  </si>
  <si>
    <t>Energizes the user every time the Ricochet Bolts skill hits enemies ten times during the same combo.</t>
  </si>
  <si>
    <t>Increases critical rate by 10% when HP is 70% or above. Also increases the user's skill gauge fill rate for their initial skill, displayed at the top of their skill list, by 10% for 20 seconds each time one of their attacks is a critical hit. After activating, this ability will not activate again for 15 seconds.</t>
  </si>
  <si>
    <t>Grants the user a unique shapeshift called "metamorphosis" and replaces the dragon gauge with a metamorphosis gauge that holds a max of 1,800 points. Tapping the gauge after it has filled to at least 560 points will allow the user to shapeshift, and when shapeshifting, the user will use metamorphosis to transform regardless of what dragon they are equipped with. By tapping the gauge a second time or after the gauge has been consumed, the user will return to their original form. Damage taken will be reduced by 50% when in Metamorphosis. Grants all teammates a "Life Shield" equal to 20% of the user's maximum HP at the start of quests. Also, the user's standard attacks, force strikes, and dash attacks will instead summon butterflies that pursue the target. These butterflies will disappear upon shapeshifting or when the user's shapeshift ends. The user's force strikes will also restore HP to all teammates. In addition, using the user's first or second skills, including the user's skills when shapeshifted, will grant them a critical damage amp (Team Amp MAX Lv. = 1). After this amp is granted, this ability will not grant it again for 8 seconds.</t>
  </si>
  <si>
    <t>Dodge rolling will deal 7 hits of 10% water damage to nearby enemies. This attack will still be performed even if nothing was actually dodged. In addition, dodging an enemy attack will increase the user's attack rate by 10% for 30 seconds. This attack rate increase will not stack, and, after activating, it will not activate again for five seconds.</t>
  </si>
  <si>
    <t>Increases damage to sleeping enemies by 10% and stormlashed enemies by 10%. Also, buffs the entire team's strength by 15% for 10 seconds upon successfully putting an enemy to sleep. After activating, this strength increase will not activate again for five seconds. In addition, using Ninja Bride Sunshower will grant the user a defense amp (Team Amp MAX Lv. = 2). After this amp is granted, this ability will not grant it again for 30 seconds.</t>
  </si>
  <si>
    <t>Fills 50% of the dragon gauge at the start of quests and extends shapeshift time by 100%, but the maximum amount of the dragon gauge that abilities can fill at the start of quests will be limited to 50% for the entire team and doubles the amount of dragon energy required to shapeshift (The user's maximum dragon energy will not be increased). When shapeshifting, Nedrick will transform into Bahamut regardless of what dragon he is equipped with. While he is shapeshifted, this ability grants him a dragon strike that deals damage to multiple targets and enemies near those targets. Also, grants Nedrick the "Oblivion Overload" effect when his shapeshift is undone (once per quest). Oblivion Overload has three progressively more powerful levels and levels up automatically after set intervals of time. Lv. 1: Increases strength by 10%, but the user takes damage over time. Lv. 2: Increases strength and critical rate by 15%, but the user takes damage over time. Lv. 3: Increases strength, critical rate, and attack skill damage by 20%, but the user takes damage over time.</t>
  </si>
  <si>
    <t>When the "Obsession" effect is active, increases strength by 30%, and decreases defense by 20%.</t>
  </si>
  <si>
    <t>Increases damage to enemies in overdrive state by 13%.</t>
  </si>
  <si>
    <t>Increases damage to enemies in overdrive state by 15%.</t>
  </si>
  <si>
    <t>Increases damage to enemies in overdrive state by 8%.</t>
  </si>
  <si>
    <t>Increases skill gauge fill rate by 12% for 20 seconds upon successfully paralyzing an enemy. After activating, this ability will not activate again for five seconds.</t>
  </si>
  <si>
    <t>Buffs the user's strength by 15% for 10 seconds upon successfully paralyzing an enemy. After activating, this ability will not activate again for five seconds.</t>
  </si>
  <si>
    <t>Reduces susceptibility to paralysis by 100%.</t>
  </si>
  <si>
    <t>Reduces susceptibility to paralysis by 25%.</t>
  </si>
  <si>
    <t>Reduces susceptibility to paralysis by 50%.</t>
  </si>
  <si>
    <t>Increases damage to paralyzed enemies by 20%.</t>
  </si>
  <si>
    <t>Increases damage to paralyzed enemies by 30%.</t>
  </si>
  <si>
    <t>Increases damage to paralyzed enemies by 35%.</t>
  </si>
  <si>
    <t>Increases critical rate by 20% and adds 15% to the modifier applied to critical damage against paralyzed enemies.</t>
  </si>
  <si>
    <t>Increases strength by 6% for every three enemies defeated with force strikes (up to five times per quest). Also activates "Passionate Dancer" every time one of the user's attacks is a critical hit. When this effect is active, the user's next force strike will inflict frostbite, dealing 41% water damage every 2.9 seconds for 21 seconds - with 120% chance. This effect cannot stack, and will be consumed on use. After activating, Passionate Dancer will not activate again for 10 seconds.</t>
  </si>
  <si>
    <t>Buffs the user's standard attacks, force strikes, and the "Perfect Order" skill based on the number of Perfect Escort stacks they have and increases the user's attack rate by 5% for each stack. In addition, they will be immune to knockback, and all elementally-attuned damage they take will be reduced by 10% as long as they have at least one stack. Also, using Beck and Call will grant the user a defense amp (Team Amp MAX Lv. = 2). After this amp is granted, this ability will not grant it again for 30 seconds.</t>
  </si>
  <si>
    <t>Reduces susceptibility to blindness and paralysis by 100%. When Cleo is hit by an attack that would have blinded or paralyzed her, her strength is increased by 15% for 10 seconds. This increase will not stack, and, after activating, this buff cannot be activated again by the same affliction for 15 seconds.</t>
  </si>
  <si>
    <t>Grants the user a gourmand gauge. The gourmand gauge fills when the user's second skill is used. When the gauge is completely filled, it grants the user a unique force strike and begins to gradually deplete over 20 seconds. The user's second skill will not fill the gourmand gauge while it is being depleted, and once it is depleted, the user's force strike will revert to its initial effect. The gourmand gauge will not deplete while the user is using a skill or shapeshifted.</t>
  </si>
  <si>
    <t>Increases damage to physians by 25%.</t>
  </si>
  <si>
    <t>Increases player EXP intake for clearing quests by 15%. This ability does not stack with other similar abilities; the highest value will be applied.</t>
  </si>
  <si>
    <t>Grants the user a unique force strike that deals two hits, the second of which inflicts bleeding, and increases damage dealt by this force strike by 20%. The user will be immune to knockback while charging this force strike as well as when executing it.</t>
  </si>
  <si>
    <t>Adds 30% to the modifier applied to critical damage when the user is in a buff zone.</t>
  </si>
  <si>
    <t>Increases strength by 20% when the user is in a buff zone.</t>
  </si>
  <si>
    <t>Increases the chances of inflicting poison and stun by 50%.</t>
  </si>
  <si>
    <t>Buffs the entire team's strength by 10% for 10 seconds upon successfully poisoning an enemy. After activating, this ability will not activate again for five seconds.</t>
  </si>
  <si>
    <t>Increases the chances of inflicting poison by 60% when the user's HP is 50% or above, and increases the user's strength by 15% for 10 seconds every time the user tries to inflict poison on a foe and the affliction is resisted. After activating, this ability will not activate again for 5 seconds.</t>
  </si>
  <si>
    <t>Reduces susceptibility to poison by 100%.</t>
  </si>
  <si>
    <t>Reduces susceptibility to poison by 25%.</t>
  </si>
  <si>
    <t>Reduces susceptibility to poison by 50%.</t>
  </si>
  <si>
    <t>Increases damage to poisoned enemies by 30% and blinded enemies by 40%.</t>
  </si>
  <si>
    <t>Increases damage to poisoned enemies by 30% and stunned enemies by 40%.</t>
  </si>
  <si>
    <t>Increases damage to poisoned enemies by 30% and, upon successfully poisoning an enemy, increases the user's attack rate by 10% for 15 seconds. After activating, this attack rate increase will not activate again for 15 seconds.</t>
  </si>
  <si>
    <t>Increases the chances of inflicting poison by 30%, and increases damage to poisoned enemies by 30%.</t>
  </si>
  <si>
    <t>Increases damage to poisoned enemies by 20%.</t>
  </si>
  <si>
    <t>Increases damage to poisoned enemies by 30%.</t>
  </si>
  <si>
    <t>The user's strength is lowered by 55% during quests. Using Ruination Cage grants the user the "Poisonous Cage" effect. When this effect is active, the user's next force strike will deal 3 hits of 57% shadow damage, throw three knives in front of the user dealing 11% shadow damage each, and inflict poison - dealing 300% shadow damage every 2.9 seconds for 27 seconds - with 120% base chance. Bonus OD Damage is reduced to 4.2x for all hits of "Poisonous Cage", from 8.4x on the first two hits. This effect cannot stack, and will be consumed on use.</t>
  </si>
  <si>
    <t>Reduces susceptibility to blindness by 100%. When the user is hit by an attack that would have blinded them, their strength is increased by 15% for 10 seconds. After activating, this buff will not activate again for 15 seconds.</t>
  </si>
  <si>
    <t>Reduces susceptibility to blindness by 50%. When the user is hit by an attack that would have blinded them, their strength is increased by 15% for 10 seconds. After activating, this buff will not activate again for 15 seconds.</t>
  </si>
  <si>
    <t>Reduces susceptibility to bog by 100%. When the user is hit by an attack that would have inflicted bog on them, their strength is increased by 15% for 10 seconds. After activating, this buff will not activate again for 15 seconds.</t>
  </si>
  <si>
    <t>Reduces susceptibility to burning by 100%. When the user is hit by an attack that would have inflicted burning on them, their strength is increased by 15% for 10 seconds. After activating, this buff will not activate again for 15 seconds.</t>
  </si>
  <si>
    <t>Reduces susceptibility to burning by 50%. When the user is hit by an attack that would have inflicted burning on them, their strength is increased by 15% for 10 seconds. After activating, this buff will not activate again for 15 seconds.</t>
  </si>
  <si>
    <t>Reduces susceptibility to curses by 100%. When the user is hit by an attack that would have cursed them, their strength is increased by 15% for 10 seconds. After activating, this buff will not activate again for 15 seconds.</t>
  </si>
  <si>
    <t>Reduces susceptibility to curses by 50%. When the user is hit by an attack that would have cursed them, their strength is increased by 15% for 10 seconds. After activating, this buff will not activate again for 15 seconds.</t>
  </si>
  <si>
    <t>Reduces susceptibility to freeze by 100%. When the user is hit by an attack that would have inflicted freeze on them, their strength is increased by 15% for 10 seconds. After activating, this buff will not activate again for 15 seconds.</t>
  </si>
  <si>
    <t>Reduces susceptibility to freeze by 50%. When the user is hit by an attack that would have inflicted freeze on them, their strength is increased by 15% for 10 seconds. After activating, this buff will not activate again for 15 seconds.</t>
  </si>
  <si>
    <t>Reduces susceptibility to paralysis by 100%. When the user is hit by an attack that would have paralyzed them, their strength is increased by 15% for 10 seconds. After activating, this buff will not activate again for 15 seconds.</t>
  </si>
  <si>
    <t>Reduces susceptibility to paralysis by 50%. When the user is hit by an attack that would have paralyzed them, their strength is increased by 15% for 10 seconds. After activating, this buff will not activate again for 15 seconds.</t>
  </si>
  <si>
    <t>Grants the user a Manachew gauge. When the Manachew gauge is completely filled, it will begin to gradually deplete automatically and grant the user the following effects until it is depleted: Defense is increased by 20%. Skill damage is increased by 10%. Skill gauge fill rate is increased by 8%. The user's force strikes are powered up and deal more damage. During a powered up force strike, if the user is hit by an attack that can be avoided with the damage immunity provided by skills, they will automatically dodge the attack, and their Manachew gauge will be filled by 10%. Also, when shapeshifting, the Manachew gauge will be filled by 50% when the user's shapeshift is undone.</t>
  </si>
  <si>
    <t>Reduces susceptibility to poison by 100%. When the user is hit by an attack that would have poisoned them, their strength is increased by 15% for 10 seconds. After activating, this buff will not activate again for 15 seconds.</t>
  </si>
  <si>
    <t>Reduces susceptibility to sleep by 100%. When the user is hit by an attack that would have put them to sleep, their strength is increased by 15% for 10 seconds. After activating, this buff will not activate again for 15 seconds.</t>
  </si>
  <si>
    <t>Reduces susceptibility to sleep by 50%. When the user is hit by an attack that would have put them to sleep, their strength is increased by 15% for 10 seconds. After activating, this buff will not activate again for 15 seconds.</t>
  </si>
  <si>
    <t>Reduces susceptibility to stun by 100%. When the user is hit by an attack that would have stunned them, their strength is increased by 15% for 10 seconds. After activating, this buff will not activate again for 15 seconds.</t>
  </si>
  <si>
    <t>Reduces susceptibility to stun by 50%. When the user is hit by an attack that would have stunned them, their strength is increased by 15% for 10 seconds. After activating, this buff will not activate again for 15 seconds.</t>
  </si>
  <si>
    <t>Grants the user a unique force strike that reduces the strength of surrounding enemies by 2% for 10 seconds, and will continue to attack as long as your finger touches the screen. In addition, every time this force strike or the Splendid Spring skill hit enemies a total of nine times, the user will be granted the "Mochi Master" effect. This force strike's strength reduction effect can stack up to four times, and Mochi Master can stack up to three times.</t>
  </si>
  <si>
    <t>Adds 40% to the modifier applied to critical damage, but prevents the user's critical rate from being increased by more than 10%. This limit does not affect critical hits dealt due to being inspired. Also, grants the user a Strength Amp (Team Amp MAX Lv. = 2) when the Swing for the Fences skill deals critical damage. After activating, this ability will not activate again for one second.</t>
  </si>
  <si>
    <t>Increases the defense of the adventurer you are currently controlling by 15% for 10 seconds every time their initial skill, displayed at the top of their skill list, becomes available for use. After activating, this ability will not activate again for 15 seconds.</t>
  </si>
  <si>
    <t>Increases the defense of the adventurer you are currently controlling by 8% for 10 seconds every time their initial skill, displayed at the top of their skill list, becomes available for use. After activating, this ability will not activate again for 15 seconds.</t>
  </si>
  <si>
    <t>Increases the critical rate of the adventurer you are currently controlling by 10% for 5 seconds every time their initial skill, displayed at the top of their skill list, becomes available for use. After activating, this ability will not activate again for 15 seconds.</t>
  </si>
  <si>
    <t>Increases the strength of the adventurer you are currently controlling by 10% for 10 seconds every time their initial skill, displayed at the top of their skill list, becomes available for use. After activating, this ability will not activate again for 15 seconds.</t>
  </si>
  <si>
    <t>Increases the strength of the adventurer you are currently controlling by 15% for 10 seconds every time their initial skill, displayed at the top of their skill list, becomes available for use. After activating, this ability will not activate again for 15 seconds.</t>
  </si>
  <si>
    <t>Increases the strength of the adventurer you are currently controlling by 5% for 10 seconds every time their initial skill, displayed at the top of their skill list, becomes available for use. After activating, this ability will not activate again for 15 seconds.</t>
  </si>
  <si>
    <t>The fifth and ninth attacks in Zethia's standard attack combo grant her a critical damage amp (Team Amp MAX Lv. = 1).</t>
  </si>
  <si>
    <t>Fills 100% of skill gauges at the start of quests. Using "Winds, Heal Us!" grants the user the "Dispel Strike" effect. When this effect is active, the user's next force strike will dispel one enemy buff. This effect cannot stack, and will be consumed on use.</t>
  </si>
  <si>
    <t>Fills 100% of skill gauges at the start of quests. In addition, using a skill will grant the user a strength amp (Team Amp MAX Lv. = 2). After this amp is granted, this ability will not grant it again for 30 seconds.</t>
  </si>
  <si>
    <t>When the combo count is 15 or higher, grants the user's standard attacks a 25% chance of inflicting freeze for 3-6 seconds, and increases damage to frostbitten enemies by 10%.</t>
  </si>
  <si>
    <t>Standard attacks, force strikes, and dash attacks instead summon butterflies that pursue the target. Also grants all teammates a "Life Shield" equal to 20% of the user's maximum HP at the start of quests.</t>
  </si>
  <si>
    <t>When shapeshifting, Chelle will transform into Cat Sìth regardless of what dragon she is equipped with. In addition, using Burlone Gatto will grant her the "Royal Pride" effect for the remainder of the quest. Royal Pride can stack up to 10 times, and each stack reduces damage taken by 1%.</t>
  </si>
  <si>
    <t>Inflicts the "Locked Sigil" debuff on the user at the start of quests for 300 seconds, and grants the user a unique force strike that cannot deal damage, but gradually heals the user while charging. The Locked Sigil debuff cannot be removed by shapeshifting or incapacitation, but shapeshifting will reduce its remaining time by 240 seconds. When the Locked Sigil effect wears off, the user will be granted the "Sigil Released" effect instead, powering up the Victoria Strategy and Magnus Apocalypse skills and allowing the user to summon Revelation Swords for 12 seconds at the expense of 10% of the user's HP by tapping the screen at the end of a standard attack combo. These Revelation Swords will attack automatically, but their attacks will not be treated as standard attacks.</t>
  </si>
  <si>
    <t>Inflicts the "Locked Sigil" debuff on the user at the start of quests for 300 seconds. During Locked Sigil, the skill gauge fill rate for Stellar Knives and the amount that gauge-filling effects fill its skill gauge are reduced by 80%. Using Stellar Knives will remove Locked Sigil. When the Locked Sigil effect wears off, the user will be granted the "Sigil Released" effect instead. Sigil Released summons Divine Daggers around the user and grants the user a unique force strike. This force strike has charge levels equal to the number of Divine Daggers currently summoned around them, throws daggers equal to the number of levels charged directly ahead, and inflicts stormlash for 21 seconds - dealing 22% wind damage every 2.9 seconds - with 40% chance. Divine Daggers that connect with enemies will remain embedded in the enemy and apply the "Divine Sting" debuff while embedded. Divine Sting lowers the target's stormlash resistance by 15% and deals 150% wind damage every 2.9 seconds. Divine Sting can stack up to 4 times. Divine Daggers summoned around the user will attack automatically, but their attacks will not be treated as standard attacks, and they will not attack automatically while embedded in enemies.</t>
  </si>
  <si>
    <t>Grants the user a unique force strike that deals 20% more damage to paralyzed enemies and has three increasingly powerful charge levels. In addition, they are immune to knockback while charging their force strike.</t>
  </si>
  <si>
    <t>Inflicts the "Locked Sigil" debuff on the user at the start of quests for 300 seconds, and grants the user a unique force strike that cannot deal damage, but activates the "Raphael's Steel" effect for 20 seconds. During Raphael's Steel, the user's strength is increased by 15%, and their attack rate is increased by 10%. Raphael's Steel will not stack. Locked Sigil's remaining time will be reduced by 30 seconds when the user's HP is restored, and it will be reduced by an additional 15 seconds when their HP is restored by 1,000 or more. After activating, this effect will not activate again for 20 seconds. When the Locked Sigil effect wears off, the user will be granted the "Sigil Released" effect instead. During Sigil Released, continually tapping the screen at the end of a standard attack combo will charge the final attack up to three stages, with damage reaching its maximum potential at stage three. At stage three, this attack will also be granted the ability to dispel one enemy buff.</t>
  </si>
  <si>
    <t>Grants all team members other than the user a "Life Shield" equal to 30% of the user's maximum HP when the user takes damage during Sigil Released. After activating, this ability will not activate again for 60 seconds.</t>
  </si>
  <si>
    <t>Applies "Critical Vulnerability" to an enemy for 60 seconds when that enemy's attack activates the damage diffusion effect of "Corvid Connivery." The user's critical rate will be increased by 50% against enemies with Critical Vulnerability.</t>
  </si>
  <si>
    <t>Grants the user a stack of the "Grand Strategist" effect for every 10 seconds that pass without the user being knocked back by an enemy. Grand Strategist increases strength by 25% and the chances of inflicting poison by 20%. This buff can stack up to three times, but all stacks will be lost upon being knocked back by an enemy. Also, using Lethal Operation will grant the user a strength amp (Team Amp MAX Lv. = 2). After this amp is granted, this ability will not grant it again for 30 seconds.</t>
  </si>
  <si>
    <t>Increases the potency of recovery skills by 15%.</t>
  </si>
  <si>
    <t>Increases the potency of recovery skills by 8%.</t>
  </si>
  <si>
    <t>Increases critical rate by 20% against enemies with reduced defense.</t>
  </si>
  <si>
    <t>Increases damage to enemies with reduced defense by 15%.</t>
  </si>
  <si>
    <t>Increases damage to enemies with reduced strength by 20%.</t>
  </si>
  <si>
    <t>Reduces susceptibility to freeze and bog by 100%. When Ranzal is hit by an attack that would have inflicted freeze or bog on him, his strength is increased by 15% for 10 seconds. This increase will not stack, and, after activating, this buff cannot be activated again by the same affliction for 15 seconds.</t>
  </si>
  <si>
    <t>Grants the user a dragondrive gauge, and changes the shapeshift button into a dragondrive button. Tapping this button activates their dragondrive. During dragondrive, the user's standard attacks and force strikes will be changed, damage will be increased as the user's HP decreases, and standard attacks and force strikes will fill the user's dragondrive gauge. While dragondrive is active, the user's skill damage will be increased by 35%, and defense will be increased by 75%.</t>
  </si>
  <si>
    <t>Increases strength by 10% for the remainder of the quest when the user's HP drops to 30% (three times per quest).</t>
  </si>
  <si>
    <t>Increases strength by 15% for the remainder of the quest when the user's HP drops to 30% (three times per quest).</t>
  </si>
  <si>
    <t>Using Goodwill Mission grants the user the "Friendly Ties" effect. When this effect is active, the user's next force strike will increase the entire team's max HP by 15% for the remainder of the quest. Once HP buffs reach the limit of 30%, an HP recovery effect is granted instead. This effect cannot stack, and will be consumed on use.</t>
  </si>
  <si>
    <t>Grants Laxi a charge gauge with three bars. The charge gauge fills when standard attacks, force strikes, and dash attacks are used, and grants cumulative buffs to Laxi based on the number of bars filled. Filling one bar increases defense by 25%, filling two bars increases attack skill damage by 20%, and filling three bars increases strength by 20%. Laxi's charge gauge will not fill when she has the Fig effect, and the gauge will be reset and all of the above buffs lost when the Fig effect is removed.</t>
  </si>
  <si>
    <t>When shapeshifting, the user will transform into Cat Sìth regardless of what dragon they are equipped with. When their shapeshift is undone, the user will become inspired.</t>
  </si>
  <si>
    <t>Gradually fills the user's dragondrive gauge by 1.5% every second when they have a team defense amp.</t>
  </si>
  <si>
    <t>If Aether is used when the user has three stacks of Flames of Awakening, and their skill reservoir is at level three, a variant called Awakening Aether will be used instead. Using Awakening Aether will consume all three stacks of Flames of Awakening and empty the user's skill reservoir.</t>
  </si>
  <si>
    <t>Grants the user's force strikes the ability to dispel one enemy buff, and grants the user's force strikes a 100% chance to reduce enemy strength by 5% for 10 seconds. This strength reduction effect will not stack.</t>
  </si>
  <si>
    <t>Using Gatov's initial skill, displayed at the top of his skill list, grants him a defense amp (Team Amp MAX Lv. = 3). After this amp is granted, this ability will not grant it again for 20 seconds. Also, when swapped to dual swords, the seventh attack in Gatov's standard attack combo increases the damage dealt by his next use of Double Flame or Dual Demolition by 15%. This damage increase will not stack.</t>
  </si>
  <si>
    <t>When the user's HP drops to 70%, grants the entire team a team defense amp (MAX Lv. = 2) and a one-use divergent shield that nullifies damage up to 40% of the user's maximum HP. This shield can stack with ordinary shields. After activating, this ability will not activate again for 30 seconds.</t>
  </si>
  <si>
    <t>The fourth attack in the user's standard attack combo grants them a critical damage amp (Team Amp MAX Lv. = 1), and the seventh attack in the user's standard attack combo grants them the "Blazewolf's Rush" effect. Blazewolf's Rush will not stack. Also, using the user's first skill grants them a defense amp (Team Amp MAX Lv. = 1).</t>
  </si>
  <si>
    <t>Increases damage to scorchrent enemies by 30% and damage to enemies in overdrive state by 10%.</t>
  </si>
  <si>
    <t>Reduces susceptibility to poison and curses by 100%. When the user is hit by an attack that would have poisoned or cursed them, their strength is increased by 15% for 10 seconds. This increase will not stack, and, after activating, this buff cannot be activated again by the same affliction for 15 seconds.</t>
  </si>
  <si>
    <t>Using Crystalline Magic grants the user the "Saint Starfall Lily" effect. When this effect is active, the user's next three force strikes will restore HP to the team member most in need with 108% Recovery Potency, increase that team member's max HP by 15%, and grant the user the "Starfall Strength" effect. Saint Starfall Lily will not stack, but Starfall Strength can stack up to three times.</t>
  </si>
  <si>
    <t>At the start of quests, inflicts the "Locked Sigil" debuff on the user for 300 seconds, but grants them the "Preservation Protocol" effect. If the user continues to charge their force strike, the effect granted to them will change every 1.5 seconds. The effect will cycle through the "Preservation Protocol," "Restoration Protocol," and "Purification Protocol" effects in that order. Locked Sigil's remaining time will be reduced by 9 seconds each time the user uses Tactical Skewer and by 30 seconds each time the user removes an affliction from an ally (includes herself). When the Locked Sigil effect wears off, the user will be granted the "Sigil Released" effect instead. Sigil Released grants the user Preservation Protocol, Restoration Protocol, and Purification Protocol.</t>
  </si>
  <si>
    <t>Grants the user a dragondrive gauge and changes the shapeshift button into a dragondrive button. Tapping this button activates their dragondrive. Dragondrive grants the following effects: The user's strength is increased by 20%. The user's standard attacks are changed. Swiping to dodge during a standard attack and then performing a standard attack during this dodge will resume the user's standard attack combo from their most recent attack. Inflicts the "Demon's Seal" debuff on the user at the start of quests for 300 seconds. During Demon's Seal, the user cannot activate their dragondrive, and their dragondrive gauge will not be filled. When the Demon's Seal effect wears off, the user will be granted the "Seal Released" effect instead. During Seal Released, the user's dragondrive gauge will gradually fill automatically by 300 UTP per second when their dragondrive is not active. When the user is summoned to fight through a team switch, they will begin the fight in their "Seal Released"</t>
  </si>
  <si>
    <t>Increases force strike damage by 40%. Using Scarlet Geyser grants the user the "Scarlet Warrior" effect. When this effect is active, the user's next force strike will deal 1 hit of 844.8% flame damage. Foes with reduced defense will take 1 hit of 1098.24% flame damage instead. This effect cannot stack, and will be consumed on use.</t>
  </si>
  <si>
    <t>Adds 10% to the modifier applied to damage against wind-attuned enemies upon successfully inflicting an enemy with scorchrend. This buff can stack up to three times, and, after activating, this ability will not activate again for five seconds.</t>
  </si>
  <si>
    <t>Increases the chances of inflicting shadowblight by 50%.</t>
  </si>
  <si>
    <t>Increases damage to shadowblighted enemies by 30%.</t>
  </si>
  <si>
    <t>Reduces susceptibility to curses by 100% and increases damage to enemies with Spite by 15%. When shapeshifting for the first time, the user will transform into Zodiark regardless of what dragon they are equipped with. The second time onwards, they will transform into High Zodiark instead. Also, using the user's first or second skills will grant them a strength amp (Team Amp MAX Lv. = 1).</t>
  </si>
  <si>
    <t>Fills 25% of the dragon gauge at the start of quests, and increases defense by 25% when in dragon form.</t>
  </si>
  <si>
    <t>Fills 10% of the dragon gauge at the start of quests.</t>
  </si>
  <si>
    <t>Grants the user a shopkeeper gauge that has three charges and is completely filled at the start of quests. Using Pop-up Shop will fill the shopkeeper gauge by 13 CP. Also, grants the user a unique force strike that deals damage to the target and nearby enemies. When the shopkeeper gauge has one or more charges, this force strike will also dispel enemy buffs.</t>
  </si>
  <si>
    <t>Fills the shikigami gauge by 50% every time the dragon gauge fills by 10%.</t>
  </si>
  <si>
    <t>Increases the user's strength by 35% while their second skill is available for use.</t>
  </si>
  <si>
    <t>Increases attack skill damage by 20%.</t>
  </si>
  <si>
    <t>Increases attack skill damage by 30%.</t>
  </si>
  <si>
    <t>Increases attack skill damage by 35%.</t>
  </si>
  <si>
    <t>Increases skill gauge fill rate by 8%, and extends the window between hitting an enemy and the combo counter resetting by 2 seconds.</t>
  </si>
  <si>
    <t>Increases skill gauge fill rate by 10%.</t>
  </si>
  <si>
    <t>Increases skill gauge fill rate by 5%.</t>
  </si>
  <si>
    <t>Increases skill gauge fill rate by 8%.</t>
  </si>
  <si>
    <t>Fills 100% of skill gauges at the start of quests.</t>
  </si>
  <si>
    <t>Fills 100% of skill gauges at the start of quests and increases strength by 20% for 15 seconds each time the user is energized.</t>
  </si>
  <si>
    <t>Fills 100% of skill gauges at the start of quests and increases the potency of recovery skills by 15%.</t>
  </si>
  <si>
    <t>Fills 100% of skill gauges at the start of quests. Using a skill fills skill gauges by 5%.</t>
  </si>
  <si>
    <t>Fills 50% of skill gauges at the start of quests.</t>
  </si>
  <si>
    <t>Fills 75% of skill gauges at the start of quests.</t>
  </si>
  <si>
    <t>Fills the user's dragon gauge by 4% when using skills. This does not include weapon or dragon skills. This is also not affected by Dragon Haste.</t>
  </si>
  <si>
    <t>Increases strength by 6% for every five enemies defeated (up to five times per quest), and increases strength by 8% when the combo count is 15 or higher.</t>
  </si>
  <si>
    <t>Increases strength by 4% for every five enemies defeated (up to five times per quest).</t>
  </si>
  <si>
    <t>Reduces susceptibility to sleep by 100%.</t>
  </si>
  <si>
    <t>Reduces susceptibility to sleep by 50%.</t>
  </si>
  <si>
    <t>Increases damage to sleeping enemies by 25%, bleeding enemies by 15%, and shadowblighted enemies by 15%.</t>
  </si>
  <si>
    <t>Increases defense by 5%, and grants the user a unique force strike that has three increasingly powerful charge levels. Movement is possible while charging. Using Sparrow Splash grants the user the "Seaside Spirit" effect. When this effect is active, the user's next force strike will inflict poison - dealing 43.6% shadow damage every 2.9 seconds for 15 seconds - with 110% chance. This effect cannot stack, and will be consumed on use.</t>
  </si>
  <si>
    <t>When the user takes damage, fills 10% of their dragon gauge and, if they have already shapeshifted at least once, creates a Spectral Flame where they took damage. This Spectral Flame will detonate after three seconds, dealing 1 hit of 2500% shadow damage to surrounding enemies and applying "Spite" to them. After activating, these effects will not activate again for 15 seconds.</t>
  </si>
  <si>
    <t>Reduces damage dealt by the user's initial skill, displayed at the top of their skill list, and dragon skill to enemies in break state by 15%, but increases attack rate by 5%. Also, increases the user's attack rate by a further 10% while their initial skill is available for use.</t>
  </si>
  <si>
    <t>When shapeshifting, the user will transform into Thor regardless of what dragon they are equipped with. Also grants the user a unique force strike that draws enemies toward the user. In addition, grants the user immunity to knockback for the duration of quests, permanently energizes the user, and, when the user takes damage, grants them the "Defiant Spirit" effect for 20 seconds. Curse of Nihility and afflictions will not reset the user's energy level, nor will using skills. During Defiant Spirit, damage dealt by the user's standard attacks and their area of effect are increased. After Defiant Spirit is granted, this ability will not grant it again for 5 seconds. Also, restores 30% of damage taken during skills or attacks as HP. This effect also activates while charging skills or attacks and during the transformation sequence when shapeshifting.</t>
  </si>
  <si>
    <t>Increases the power of standard attacks.</t>
  </si>
  <si>
    <t>Increases force strike damage by 45%, increases it by an additional 2% for each buff Chelle has (up to a maximum of 30%), and, when she has five or more Royal Pride stacks, creates a buff zone around her that reduces damage taken by 10%.</t>
  </si>
  <si>
    <t>Grants the user the "Starfall Spirit" effect for 15 seconds when an alchemic cartridge is consumed. Starfall Spirit can stack up to 3 times, and each stack increases the user's strength and critical rate by 15%.</t>
  </si>
  <si>
    <t>Using Starry Veil grants the user the "Astral Garnish" effect. When this effect is active, the user's skill gauge fill rate will be increased by 15%, and their next force strike will deal damage to multiple targets based on the number of Starlit Dining stacks the user has. This effect cannot stack, and will be consumed on use.</t>
  </si>
  <si>
    <t>Increases chances of inflicting stormlash by 40%.</t>
  </si>
  <si>
    <t>Increases damage to stormlashed enemies by 30%.</t>
  </si>
  <si>
    <t>Increases attack rate by 8% when the user has a Strength Amp.</t>
  </si>
  <si>
    <t>When the user has a Strength Amp, increases the chances of inflicting scorchrend by 30% and its duration by 30%.</t>
  </si>
  <si>
    <t>Increases strength by 13% for 15 seconds each time a defense up buff is received.</t>
  </si>
  <si>
    <t>Increases strength by 15% for 15 seconds each time a defense up buff is received.</t>
  </si>
  <si>
    <t>Increases strength by 8% for 15 seconds each time a defense up buff is received.</t>
  </si>
  <si>
    <t>Increases energy level by two stages for every three enemies defeated with force strikes (up to five times per quest).</t>
  </si>
  <si>
    <t>Increases energy level by three stages for every three enemies defeated with force strikes.</t>
  </si>
  <si>
    <t>Increases skill damage by 8% for every three enemies defeated with force strikes (up to five times per quest).</t>
  </si>
  <si>
    <t>Increases strength by 5% for every three enemies defeated with force strikes (up to five times per quest).</t>
  </si>
  <si>
    <t>Increases skill gauge fill rate by 15% when the user's force strikes connect.</t>
  </si>
  <si>
    <t>Reduces susceptibility to stun by 100%.</t>
  </si>
  <si>
    <t>Reduces susceptibility to stun by 25%.</t>
  </si>
  <si>
    <t>Reduces susceptibility to stun by 50%.</t>
  </si>
  <si>
    <t>Increases damage to stunned enemies by 20%.</t>
  </si>
  <si>
    <t>Grants the user a ravishing radiance gauge with three bars. The ravishing radiance gauge's effects are based on the number of bars filled. One bar: Increases the user's chances of inflicting flashburn by 30%. Two bars: Increases the user's chances of inflicting flashburn by 50% and increases the damage dealt by the Sole Estivo skill by 100%. Three bars: Reduces the user's movement speed by 50%. Also, when shapeshifting, the ravishing radiance gauge will be reset, and the user will transform into Summer Cat Sìth regardless of what dragon they are equipped with. Additionally, using Sole Estivo will grant the user a defense amp (Team Amp MAX Lv. = 2).</t>
  </si>
  <si>
    <t>Grants the user a dragondrive gauge and changes the shapeshift button into a dragondrive button. Tapping this button activates their dragondrive. Dragondrive grants the following effects: The user's force strikes are changed and have three increasingly powerful charge levels. Movement is possible while charging, but at a slower movement speed. The user's strength is increased by 50%.</t>
  </si>
  <si>
    <t>Fills 100% of skill gauges at the start of quests, and increases strength by 20% when HP is full.</t>
  </si>
  <si>
    <t>Grants the user a dragondrive gauge, and changes the shapeshift button into a dragondrive button. Tapping this button activates their dragondrive. Dragondrive grants the following effects: The user's standard attacks are changed and fill the user's dragondrive gauge if they connect. The user's strength is increased by 25%.</t>
  </si>
  <si>
    <t>Increases defense by 5%, grants the user a unique force strike (which does no damage), and grants the user the "Sunlight" effect for 12 seconds at the start of quests. Using a force strike while the user has the Sunlight effect grants the user the Illuminating Sunlight effect, which will not stack. After the Sunlight effect ends, the user will be granted the "Wavelight" effect for 12 seconds. Using a force strike while the user has the Wavelight effect grants the user the Celestial Wavelight effect, which will not stack. After the Wavelight effect ends, the user will be granted the Sunlight effect for 12 seconds again. If the user has both the Illuminating Sunlight and Celestial Wavelight effects, the Radiant Bolt and Magnanimity's Call skills will be powered up. Using either powered-up skill will consume both the Illuminating Sunlight and Celestial Wavelight effects. Sunlight and Wavelight are not extended by Buff Time abilities.</t>
  </si>
  <si>
    <t>Increases critical rate by 100% for 10 seconds when HP drops to 30% (once per quest).</t>
  </si>
  <si>
    <t>Increases Sarisse's strength by 2% and critical rate by 1% for 15 seconds for every 20-hit combo. Also, using Cheerful Assist will grant Sarisse a strength amp (Team Amp MAX Lv. = 3) and a defense amp (Team Amp MAX Lv. = 3). After these amps are granted, this ability will not grant them again for 20 seconds.</t>
  </si>
  <si>
    <t>Increases strength by 20% but decreases defense by 50% when HP is 30% or below.</t>
  </si>
  <si>
    <t>Gradually recovers the user's HP with 5% Recovery Potency every 2.9 seconds when they have a team defense amp.</t>
  </si>
  <si>
    <t>Grants the user a 30% chance upon enemy attacks to activate Reflexive Evasion and dodge when the user has a Team Strength Amp.</t>
  </si>
  <si>
    <t>Increases the user's skill gauge fill rate by 10% when they have a Team Strength Amp.</t>
  </si>
  <si>
    <t>Fills 50% of the dragon gauge when the user's HP drops to 40% (once per quest) and reduces dragon gauge depletion over time by 20%.</t>
  </si>
  <si>
    <t>Increases damage to thaumians by 35%.</t>
  </si>
  <si>
    <t>When the "Loathsome Power" effect is active, increases strength by 20%, and increases defense by 50%.</t>
  </si>
  <si>
    <t>Increases duration of buff skills by 30%. Also, increases attack rate by 10% when the user has a team strength amp and attack skill damage by 20% when the user has a team defense amp. Both of these effects can be applied simultaneously, but neither of them will stack.</t>
  </si>
  <si>
    <t>Reduces susceptibility to afflictions by 100% during Seal Released.</t>
  </si>
  <si>
    <t>When shapeshifting, Lathna will transform into Nyarlathotep regardless of what dragon she is equipped with. Grants an HP regen buff healing for 14% Max HP every 3.9 seconds for 20 seconds each time she shapeshifts. Also increases damage to poisoned enemies by 15% when not shapeshifted. When shapeshifted, increases damage to poisoned enemies by 215% instead, and both her regular attacks and skill in dragon form are stronger.</t>
  </si>
  <si>
    <t>Increases damage dealt by shared skills by 150%. Shared skills that deal damage will also inflict frostbite for 42 seconds - dealing 31% water damage every 2.9 seconds - with 110% chance.</t>
  </si>
  <si>
    <t>Increases force strike damage by 40% and skill gauge fill rate by 8%. Also immediately readies the Guardian's Grace skill for use when the user's HP drops to 30%. After activating, this effect will not activate again for 60 seconds.</t>
  </si>
  <si>
    <t>Increases damage to stunned enemies by 10% and, when HP is 70% or above, increases attack skill damage by 35%. Also, using Stunning Display will grant the user a strength amp (Team Amp MAX Lv. = 2). After this amp is granted, this ability will not grant it again for 30 seconds.</t>
  </si>
  <si>
    <t>Adds 20% to the modifier applied to critical damage against enemies that have the "Evil's Bane" effect. In addition, the user's second skill will deal critical damage to enemies with Evil's Bane. This critical hit will reset the user's inspiration level if the user is inspired. Also, swiping to dodge during a standard attack will deal 1 hit of 70% flame damage to surrounding enemies and recover 100 SP. Performing a standard attack during this unique dodge will then resume the user's standard attack combo from their most recent attack. (Dodging again immediately after the user's unique dodge will instead result in a standard dodge.) Additionally, when using the user's first or second skills, for the duration of the attack, the user will be immune to knockback, and damage taken will be reduced by 50%. Finally, increases standard movement speed by 35%. This increase does not affect movement speed while sprinting or while shapeshifted.</t>
  </si>
  <si>
    <t>Increases damage to therions by 25%.</t>
  </si>
  <si>
    <t>Increases damage to therions by 35%.</t>
  </si>
  <si>
    <t>Reduces susceptibility to afflictions by 150% during dragondrive. Also during dragondrive, once per quest, when the user would take damage greater than their remaining HP, that damage is instead nullified, and their dragondrive gauge is completely consumed. Damage from attacks that forcibly reduce the user's HP to zero or deactivate dragondrive cannot be nullified in this way. Also, with the exception of damage dealt by afflictions, buffs, debuffs, and certain attacks, the user will be temporarily invulnerable to damage while this effect is being activated. When activated, this ability's damage nullification effect also removes all afflictions from the user and applies the "Fatigue" debuff to them for 60 seconds. During Fatigue, the user cannot activate their dragondrive, and their dragondrive gauge will not be filled.</t>
  </si>
  <si>
    <t>When the user has Battle Fervor, increases the damage dealt by their attacks by 50% and increases their strength by 20%.</t>
  </si>
  <si>
    <t>Grants the user 2 stacks of the "Veteran's Mettle" effect when they take damage. Veteran's Mettle can stack up to 3 times, and after it is granted, this ability will not grant it again for 20 seconds. Also, grants the user a unique force strike. While charging this force strike, damage taken will be reduced. Damage from some attacks cannot be reduced in this way. After charging, if the user takes damage while executing this force strike, that damage will be reduced, and the user will be granted 3 stacks of Veteran's Mettle. The user will be immune to knockback while charging this force strike as well as when executing it. In addition, when the user has Battle Fervor, the third and fifth attacks in their standard attack combo will create cyclones that pursue the target.</t>
  </si>
  <si>
    <t>Reduces damage taken by 10% when not inflicted with any afflictions. Also, grants the user a stack of the "Playtime" effect for every 9 seconds that pass in which the user is not inflicted with any afflictions. During Playtime, the user's strength is increased by 5% and the potency of recovery skills by 10%. This buff can stack up to 3 times. All stacks will be lost upon being inflicted with an affliction.</t>
  </si>
  <si>
    <t>Increases strength and defense by 20% and attack rate by 15% when the armament gauge has one or more charges.</t>
  </si>
  <si>
    <t>Extends the window between hitting an enemy and the combo counter resetting by two seconds, and, when the "Brewing Storm Lv. 5" effect is active, creates a vortex around the user that deals 1 hit of 80% wind damage to surrounding enemies every 3 seconds.</t>
  </si>
  <si>
    <t>Decreases damage from undead by 20%.</t>
  </si>
  <si>
    <t>Increases Audric's attack rate by 2% every time he uses a skill (up to 10%) and grants him a skill reservoir with three levels. This skill reservoir is filled when standard attacks, force strikes, and dash attacks connect with enemies. Also, grants Audric a defense amp (Team Amp MAX Lv. = 3) every two times he uses a skill. After this amp is granted, this ability will not grant it again for 30 seconds.</t>
  </si>
  <si>
    <t>Reduces susceptibility to curses and poison by 100%. When the user is hit by an attack that would have cursed or poisoned them, their critical rate is increased by 15% for 10 seconds. This increase will not stack, and, after activating, this buff cannot be activated again by the same affliction for 15 seconds.</t>
  </si>
  <si>
    <t>The user begins quests as Ayaha but can swap to Otoha and vice versa by using Nabe Nabe Sokonuke. Ayaha and Otoha share all the same stats, but their standard attacks, force strike, dash attack, and second skill differ. When shapeshifting, the user will transform into Beast Ayaha &amp; Otoha regardless of what dragon they are equipped with and activate the following effects while shapeshifted: Shapeshift time is extended by 25%. Standard attacks lower enemy burn or scorchrend resistance by 20% for 30 seconds. Both of these resistance reduction effects can be applied simultaneously, but neither of them will stack. Has a dragon strike that deals damage to surrounding enemies and inflicts stun and scorchrend. In addition, the user's dragon skill level will match the level of the adventurer's initial skill, displayed at the top of their skill list.</t>
  </si>
  <si>
    <t>Increases skill gauge fill rate by 4%, 8%, or 10% total relative to the number of other living team members.</t>
  </si>
  <si>
    <t>Increases strength by 20% for every 15 seconds that pass without the user being knocked back by an enemy. This effect can stack up to three times. All stacks will be lost upon being knocked back by an enemy. Also, grants the user a unique force strike that has two increasingly powerful charge levels and dispels one enemy buff when the combo count is 15 or higher. The user will be immune to knockback while charging this force strike.</t>
  </si>
  <si>
    <t>Grants the user a strength amp (Team Amp MAX Lv. = 1) when the user inflicts an enemy with an affliction. After this amp is granted, this ability will not grant it again for 8 seconds. Also, grants the user a dragondrive gauge and changes the shapeshift button into a dragondrive button. Tapping this button activates their dragondrive. The user's force strikes will fill their dragondrive gauge by 90 UTP if they connect. Dragondrive grants the following effects: The user's standard attacks are changed and fill the user's dragondrive gauge if they connect. The user's force strikes are changed and deal damage to multiple targets and enemies near those targets. They will also apply the "Victim of Science" effect to enemies hit. The user's strength is increased by 35%. The user's HP is restored with 25% Recovery Potency when they are hit by an attack that inflicts an affliction. After activating, this effect will not activate again for 10 seconds.</t>
  </si>
  <si>
    <t>Inflicts the "Locked Sigil" debuff on the user at the start of quests for 300 seconds, and grants the user a unique force strike. While charging this force strike, if the user is hit by an attack that can be avoided with the damage immunity provided by skills, they will automatically dodge the attack, deal flame damage to enemies in a line, and inflict them with the "Uriel's Wrath" debuff. Locked Sigil's remaining time will be reduced by 36 seconds each time the user dodges an attack. After activating, this effect will not activate again for 10 seconds. When the Locked Sigil effect wears off, the user will be granted the "Sigil Released" effect instead. Sigil Released increases the damage dealt by standard attacks and force strikes, and the amount skill gauges are filled by standard attacks and force strikes. Damage from these attacks is increased by 35% against scorchrent enemies. It also increases the user's skill gauge fill rate by 12% while they have the "Uriel's Blessing" effect.</t>
  </si>
  <si>
    <t>Inflicts an attacking enemy with the "Uriel's Wrath" debuff when the user dodges that enemy's attack. After activating, this ability will not activate again for 15 seconds.</t>
  </si>
  <si>
    <t>Using Crimson Order grants the user a "Blood Pact." This effect can stack up to five times. If the user has five Blood Pacts, the skill gauge for Scarlet Gift will fill automatically by 7% every second. Abilities that increase skill gauge fill rate will not affect this automatic increase.</t>
  </si>
  <si>
    <t>Increases strength by 15% when HP is 70% or above. Also, using Steel Formation will grant the user a strength amp (Team Amp MAX Lv. = 2). After this amp is granted, this ability will not grant it again for 30 seconds.</t>
  </si>
  <si>
    <t>Reduces susceptibility to sleep and poison by 100%. When the user is hit by an attack that would have put them to sleep or poisoned them, their strength is increased by 15% for 10 seconds. This increase will not stack, and, after activating, this buff cannot be activated again by the same affliction for 15 seconds.</t>
  </si>
  <si>
    <t>Increases the user's strength and critical rate as their energy level increases. The maximum bonus, given when the user is energized, is strength +20% and critical rate +8%. Also, using Bold Blade will grant the user a defense amp (Team Amp MAX Lv. = 2) and make the next use of Festival Rush activate the Festival Dance variant instead. After this amp is granted, this ability will not grant it again for 30 seconds.</t>
  </si>
  <si>
    <t>Using Nabe Nabe Sokonuke reduces susceptibility to afflictions by 20% for the remainder of the quest. This reduction can stack up to 5 times. Also, using Nabe Nabe Sokonuke, Onigokko, or Kagome Kagome will grant the user a strength amp (Team Amp MAX Lv. = 1). After this amp is granted, this ability will not grant it again for 8 seconds.</t>
  </si>
  <si>
    <t>Grants Emile a dragondrive gauge that holds 1250 UTP and changes the shapeshift button into a dragondrive button. Tapping this button activates Emile's dragondrive, consumes 500 UTP from the dragondrive gauge, and performs a special attack with Mercury. During this attack, damage taken is reduced by 50%. Emile's dragondrive ends immediately after this attack. Also, grants Emile an ego gauge with three charges. The ego gauge fills when standard attacks, dash attacks, and force strikes connect with enemies. In addition, grants Emile 4 more skill points for equipping shared skills and increases his skill gauge fill rate by 40%.</t>
  </si>
  <si>
    <t>Reduces susceptibility to bog by 100%, and adds 14% to the modifier applied to damage when in dragon form. When shapeshifting for the first time, the user will transform into Mercury regardless of what dragon they are equipped with. The second time onwards, they will transform into High Mercury instead.</t>
  </si>
  <si>
    <t>Increases critical rate by 13% when the combo count is 10 or higher.</t>
  </si>
  <si>
    <t>Fills 100% of skill gauges at the start of quests and increases the duration of debuff skills by 25%. In addition, using a skill will grant the user a strength amp (Team Amp MAX Lv. = 3). After this amp is granted, this ability will not grant it again for 30 seconds.</t>
  </si>
  <si>
    <t>Increases force strike damage by 30%. Using Wild Strike grants the user the "Dispel Strike" effect. When this effect is active, the user's next force strike will dispel one enemy buff. This effect cannot stack, and will be consumed on use.</t>
  </si>
  <si>
    <t>Grants the Persona element Curse to certain attacks. Also grants the user a Persona gauge, and changes the shapeshift button into a Persona button. Tapping this button summons Arsène. While summoned, Arsène will attack together with the user. Additionally, increases defense by 6%, and grants the user a unique force strike that has two charge levels. At level two, it dispels one enemy buff, and partially fills the Persona gauge if the attack connects.</t>
  </si>
  <si>
    <t>Reduces wind damage taken by 20%.</t>
  </si>
  <si>
    <t>Grants the user a unique force strike that deals damage to enemies in a line. Performing this force strike during a standard attack then immediately following it with another standard attack will resume the user's standard attack combo from their most recent attack. If this unique force strike is performed while in midair during the fourth attack in the user's standard attack combo, a powered up variant that deals more damage will be used instead. When shapeshifting, the user will transform into Primal Midgardsormr regardless of what dragon they are equipped with. Primal Midgardsormr's dragon skill level will match the level of the adventurer's initial skill, displayed at the top of their skill list. Shapeshifting will grant the entire team a team critical damage amp (MAX Lv. = 3). When in dragon form, the user's attacks are granted the ability to dispel one enemy buff. This effect does not apply to the damage dealt as the user shapeshifts.</t>
  </si>
  <si>
    <t>When shapeshifting, the user will transform into Midgardsormr regardless of what dragon they are equipped with. Also adds 18% to the modifier applied to damage when in dragon form.</t>
  </si>
  <si>
    <t>Reduces susceptibility to stun and sleep by 100%. When Sarisse is hit by an attack that would have stunned or put her to sleep, her strength is increased by 15% for 10 seconds. This increase will not stack, and, after activating, this buff cannot be activated again by the same affliction for 15 seconds.</t>
  </si>
  <si>
    <t>Grants the user's force strikes the ability to dispel one enemy buff when the combo count is 15 or higher.</t>
  </si>
  <si>
    <t>Grants the user a dragondrive gauge, and changes the shapeshift button into a dragondrive button. Tapping this button activates their dragondrive. During dragondrive, standard attacks will fill the user's dragondrive gauge, the user's skill damage will be increased by 30%, and defense will be increased by 50%.</t>
  </si>
  <si>
    <t>Grants the user a dragondrive gauge and changes the shapeshift button into a dragondrive button. Tapping this button activates their dragondrive. Dragondrive grants the following effects: The user's standard attacks and force strikes are changed, their damage is increased as the user's HP increases, and they fill the user's dragondrive gauge if they connect. The user's defense is increased by 20%.</t>
  </si>
  <si>
    <t>Fills 100% of skill gauges at the start of quests, and grants the user a charge gauge that holds up to 100 CP. The charge gauge fills when Coalescent Light is used, and the amount the charge gauge fills increases based on the number of team members in Coalescent Light's area of effect when it is used. When the gauge is completely filled, Surging Light, Coalescent Light, and the user's force strike will each be upgraded once. These upgrades will not stack, and will be consumed on use. The upgraded force strike will lower foes' paralysis resistance by 20% for 20 seconds. This resistance reduction effect will not stack.</t>
  </si>
  <si>
    <t>Using Candy Cane Offensive grants the user the "Merry Mobilizer" effect. When this effect is active, the user's next force strike will create a buff zone that lasts for 10 seconds and increases the critical rate of adventurers inside it by 15%. This effect cannot stack, and will be consumed on use.</t>
  </si>
  <si>
    <t>Reduces susceptibility to freeze and bog by 100%. When Leif is hit by an attack that would have inflicted freeze or bog on him, his strength is increased by 15% for 10 seconds. This increase will not stack, and, after activating, this buff cannot be activated again by the same affliction for 15 seconds.</t>
  </si>
  <si>
    <t>15 Hits = Overdamage II</t>
  </si>
  <si>
    <t>For every 15-hit combo, grants overdamage based on 50% of the user's strength. This effect will not stack, and is removed when the combo counter resets.</t>
  </si>
  <si>
    <t>Abyssal Dragon III</t>
  </si>
  <si>
    <t>Grants the user a dragondrive gauge, and changes the shapeshift button into a dragondrive button. Tapping this button activates their dragondrive. During dragondrive, the user's skill damage will be increased by 40%, and their skill gauges will fill 30% faster. Using any skill will grant the user a critical damage amp (Team Amp MAX Lv. = 3). After this amp is granted, this ability will not grant it again for 15 seconds. Also, Curse of Nihility will not reset the user's inspiration level.</t>
  </si>
  <si>
    <t>Accelerator Unit III</t>
  </si>
  <si>
    <t>Master Control (granted by his second skill) grants Mascula the following effects: His standard attacks are buffed and deal additional blows to multiple nearby targets. The fourth attack in his standard attack combo dispels one enemy buff. His attack rate is increased by 10%. When the combo count is 15 or higher, his strength is increased by 10%, his critical rate by 8%, and 8% is added to the modifier applied to his critical damage. When Master Control is lost, the skill gauge for Mascula's second skill will be filled by 50%. Also, Master Control will be lost upon shapeshifting.</t>
  </si>
  <si>
    <t>Aid of the Ljósálfar III</t>
  </si>
  <si>
    <t>Grants the entire team a "Life Shield" with an HP value equal to 30% of the user's max HP at the start of quests. Using Gentle Dream grants the user the "Empowering Dreams" effect. When this effect is active, the user's next force strike will fill 40% of skill gauges for each team member's initial skill, and grant the following effects to all team members for 10 seconds, none of which will stack: Increases strength by 10%. Increases attack rate by 10%. Increases defense by 20%. Adds 5% to shadow resistance. Increases movement speed by 5%. The Empowering Dreams effect cannot stack and will be consumed on use.</t>
  </si>
  <si>
    <t>Increases critical rate by 15%. Also, using Fire Emblem will grant the user a critical damage amp (MAX Lv. = 3). After this amp is granted, this ability will not grant it again for 20 seconds.</t>
  </si>
  <si>
    <t>When in dragon form, increases critical rate by 30% and normal attacks when in dragon form will dispel one enemy buff. Also, using any skill will grant the user a critical damage amp (Team Amp MAX Lv. = 3). After this amp is granted, this ability will not grant it again for 15 seconds.</t>
  </si>
  <si>
    <t>Attack Rate +20%</t>
  </si>
  <si>
    <t>Increases user's attack rate by 20%</t>
  </si>
  <si>
    <t>Battle-Tested Nurse II</t>
  </si>
  <si>
    <t>Fills 100% of skill gauges at the start of quests, and fills 100% of the entire team's skill gauges when the user's HP drops to 40%. This does not fill the skill gauges of dragons. After this effect is activated, it will not activate again for 30 seconds. In addition, using Medicinal Cure will grant the user a strength amp (Team Amp MAX Lv. = 3). After this amp is granted, this ability will not grant it again for 15 seconds.</t>
  </si>
  <si>
    <t>Increases skill gauge fill rate by 10% and using Sacred Union will grant the user a defense amp (Team Amp MAX Lv. = 3). After this amp is granted, this ability will not grant it again for 15 seconds.</t>
  </si>
  <si>
    <t>Increases skill gauge fill rate by 10%. Increases the skill guage fill rate by an additional 10% for 20 seconds upon successfully paralyzing an enemy. After activating, this ability will not activate again for five seconds.</t>
  </si>
  <si>
    <t>Bearer of the Eight-span Mirror III</t>
  </si>
  <si>
    <t>Grants the user a dragondrive gauge, and changes the shapeshift button into a dragondrive button. Tapping this button activates their dragondrive. Dragondrive grants the following effects: The user's strength is increased by 20%. The user's defense is increased by 20%. The user's attack skill damage is increased by 25%. The duration of the user's debuff skills is increased by 15%. Using any skill will grant the user a defense amp (Team Amp MAX Lv. = 3). After this amp is granted, this ability will not grant it again for 15 seconds.</t>
  </si>
  <si>
    <t>Belle Bestower II</t>
  </si>
  <si>
    <t>Increases strength and defense by 15% and Curse of Nihility will not reset the user's energy level.</t>
  </si>
  <si>
    <t>Bleeding Punisher +20%</t>
  </si>
  <si>
    <t>Increases damage to bleeding enemies by 20%.</t>
  </si>
  <si>
    <t>Blessed Bloodline III</t>
  </si>
  <si>
    <t>Grants the user a dragondrive gauge, and changes the shapeshift button into a dragondrive button. Tapping this button activates their dragondrive. Dragondrive grants the following effects: The user's standard attacks, dash attacks, and force strikes are changed and fill the user's dragondrive gauge if they connect. The user's strength is increased by 20%. The user's attack rate is increased by 15%. In addition, grants the user a strength amp (Team Amp MAX Lv. = 3) for every 15-hit combo. After this amp is granted, this ability will not grant it again for 15 seconds.</t>
  </si>
  <si>
    <t>Increases strength by 20% and grants the user's force strikes the ability to dispel one enemy buff when the combo count is 15 or higher.</t>
  </si>
  <si>
    <t>Increases damage to frostbitten enemies by 30%. Using Stone Foundation grants the "Bloodfist" effect. When this effect is active, the user's next force strike will dispel one enemy buff from each target and will lower their frostbite resistance by 20% for 30 seconds. This resistance reduction will not stack. This effect cannot stack, and will be consumed on use.</t>
  </si>
  <si>
    <t>Upon successfully inflicting an enemy with bleeding, restores the entire team's HP with 60% Recovery Potency. After activating, this ability will not activate again for five seconds. In addition, using Coffin of Madness will grant the user a defense amp (Team Amp MAX Lv. = 3). After this amp is granted, this ability will not grant it again for 15 seconds.</t>
  </si>
  <si>
    <t>Blossoming Rose III</t>
  </si>
  <si>
    <t>Grants the user one stack of "Stronger Bullets" for every 30-hit combo. This buff increases the user's critical rate by 4%, can stack up to three times, and is immune to Curse of Nihility. The effects of Stronger Bullets will be removed upon using Graceful Bullet. In addition, grants In addition, grants the user a strength amp (Team Amp MAX Lv. = 3) for every 30-hit combo. After this amp is granted, this ability will not grant it again for 15 seconds.</t>
  </si>
  <si>
    <t>Bondforged Auspex III</t>
  </si>
  <si>
    <t>When the user's HP drops to 30%, restores the user's HP with 150% Recovery Potency and, if the user has Power of Bonds, also restores HP to the rest of the team 150% Recovery Potency. After activating, these effects will not activate again for 30 seconds. Also, using Ring of Affection will grant the entire team a team critical damage amp (MAX Lv. = 3). After this amp is granted, this ability will not grant it again for 30 seconds.</t>
  </si>
  <si>
    <t>Born Ruler II</t>
  </si>
  <si>
    <t>Increases strength by 6% for every three enemies defeated with a force strike (up to five times per quest), and increases strength by 20% when the combo count is 15 or higher. Also increases strength by a further 10% while the user has the "Born Ruler" effect. In addition, for every buff Zander has, increase skill damage by 5%.</t>
  </si>
  <si>
    <t>Bow Expertise +3</t>
  </si>
  <si>
    <t>Grants the user a unique force strike, and increases force strike damage by 50%. Their force strike has four increasingly powerful charge levels and movement is possible while charging. In addition, it will reduce enemy strength by 20% for 10 seconds. This debuff will not stack. Their fully charged force strike dispels one buff from an enemy. In addition, they are immune to knockback while charging their force strike. Also, Curse of Nihility does not affect the user's force strike damage or charge rate buffs.</t>
  </si>
  <si>
    <t xml:space="preserve">When the "Stunning Beautician" effect is active, force strikes will dispel one buff from each target, inflict flashburn for 21 seconds - dealing 50% light damage every 2.9 seconds - with 120% base chance, and lower flashburn resistance by 20% for 30 seconds. Increases energy level by 3 stages whenever the user lands a force strike. After activating, this ability will not activate again for 15 seconds. Also, Curse of Nihility will not reset the user's energy level. </t>
  </si>
  <si>
    <t>Bubble Shield III</t>
  </si>
  <si>
    <t>Grants the user the "Sphere of Protection" effect when they have a Team Strength Amp. Sphere of Protection gradually recovers the user's HP by 5% of max HP every 2.9 seconds, and grants a one-use shield that nullifies damage up to 40% of the user's maximum HP. This shield can stack with ordinary shields. Sphere of Protection will not stack, its effects are lost upon taking damage or if the user no longer has a Team Strength Amp, and, after Sphere of Protection has been lost, this ability will not activate again for 5 seconds.</t>
  </si>
  <si>
    <t>Curse of Nihility will not reset the user's energy level. Increases energy level by one stage each time a defense up buff is received and energizes the user when they have a Team Defense Amp. In addition, using Cheer up, chums! Grants the user a defense amp (Team Amp MAX Lv. = 3). After this amp is granted, this ability will not grant it again for 15 seconds.</t>
  </si>
  <si>
    <t>Burning Justice</t>
  </si>
  <si>
    <t>Increases strength by 20%. Also, using Soul Ignition grants the user a strength amp (Team Amp MAX Lv. = 3). After this amp is granted, this ability will not grant it again for 15 seconds.</t>
  </si>
  <si>
    <t>Increases damage to burnt enemies by 30%. In addition, using a skill will grant the user a defense amp (Team Amp MAX Lv. = 3). After this amp is granted, this ability will not grant it again for 15 seconds.</t>
  </si>
  <si>
    <t>Increases damage to frostbitten enemies by 30% and slows the rate the mode gauge increases by 40%. Also, using a skill will grant the user a defense amp (Team Amp MAX Lv. = 3). After this amp is granted, this ability will not grant it again for 15 seconds.</t>
  </si>
  <si>
    <t>Increases force strike damage by 55% Grants the user's force strikes the ability to dispel one enemy buff when the combo count is 15 or higher. Also, landing a force strike grants the user a defense amp (Team Amp MAX Lv. = 3). After this amp is granted, this ability will not grant it again for 15 seconds.</t>
  </si>
  <si>
    <t>Chef's Savvy III</t>
  </si>
  <si>
    <t>Increases skill gauge fill rate by 10% and grants the user's force strikes the ability to dispel one enemy buff when the combo count is 15 or higher.</t>
  </si>
  <si>
    <t>Chicken at Heart IV</t>
  </si>
  <si>
    <t>Increases strength by 20% when HP is 60% or above, but decreases strength by 10% when HP is less than 60%. Also, every time the Deadly Joyride skill hits enemies three times, the user's defense will be reduced by 5% for five seconds, but their attack skill damage will be increased by 5%. This skill damage buff can stack up to an increase of 100%, but all stacks will be lost upon using an attack skill. In addition, using any skill grants the user a defense amp (Team Amp Max Lv. = 1). After activating, this ability will not grant an amp again for 8 seconds.</t>
  </si>
  <si>
    <t>Clockwork Creature III</t>
  </si>
  <si>
    <t>Conquering Scion III</t>
  </si>
  <si>
    <t>When shapeshifting, Leonidas will transform into Mars regardless of what dragon he is equipped with. When the "Draconian Grace Lv. 5" effect is active, Leonidas's shapeshift time will extended by 50%. Using any skill will grant the user a critical damage amp (Team Amp MAX Lv. = 3). After this amp is granted, this ability will not grant it again for 15 seconds.</t>
  </si>
  <si>
    <t>Crimson Oath II</t>
  </si>
  <si>
    <t>Increases damage to scorchrent enemies by 15% and force strike damage by 50%. Using Road to Glory grants the user the "Crimson Glory" effect and a strength amp (Team Amp MAX Lv. = 3). After this amp is granted, this ability will not grant it again for 15 seconds. When Crimson Glory is active, the user's next force strike will deal 1 hit of 200% flame damage and inflict scorchrend for 21 seconds - dealing 50% flame damage every 2.9 seconds - with 120% chance.</t>
  </si>
  <si>
    <t>Critical Frenzy IV</t>
  </si>
  <si>
    <t>Increases critical rate by 4% for every 15-hit combo (up to three times per combo), and adds 4% to the modifier applied to critical damage each time one of the user's attacks is a critical hit (up to 10 times per combo). After activating, this critical damage increase will not activate again for one second. These buffs are removed when the combo counter resets. Also, grants the user a strength amp (Team Amp MAX Lv. = 3) for every 15-hit combo. After this amp is granted, this ability will not grant it again for 15 seconds.</t>
  </si>
  <si>
    <t>Critical Hit = Critical Damage III</t>
  </si>
  <si>
    <t>Adds 30% to the modifier applied to critical damage for 20 seconds each time one of the user's attacks is a critical hit. After activating, this ability will not activate again for seven seconds.</t>
  </si>
  <si>
    <t>Critical Output III</t>
  </si>
  <si>
    <t>Increases Ilia's critical rate by 30% for 15 seconds when an alchemic cartridge is consumed by any means other than depletion of time. Also, using any skill will grant the user a critical damage amp (Team Amp MAX Lv. = 3). After this amp is granted, this ability will not grant it again for 15 seconds.</t>
  </si>
  <si>
    <t>Critical Rate +15%</t>
  </si>
  <si>
    <t>Increases critical rate by 15%.</t>
  </si>
  <si>
    <t>Increases strength by 20%. Also, using any skill will grant the user a defense amp (Team Amp MAX Lv. = 3). After this amp is granted, this ability will not grant it again for 15 seconds.</t>
  </si>
  <si>
    <t>Cultured Flower II</t>
  </si>
  <si>
    <t>Speeds the rate the mode gauge decreases by 40%. Also, using Blooming Cradle will grant the user a strength amp (Team Amp MAX Lv. = 3). After this amp is granted, this ability will not grant it again for 15 seconds.</t>
  </si>
  <si>
    <t>Dancing Panther III</t>
  </si>
  <si>
    <t>Grants the Persona element Fire to certain attacks. Also grants the user a Persona gauge, and changes the shapeshift button into a Persona button. Tapping this button summons Carmen. While summoned, Carmen will attack together with the user. Also, using any skill will grant the user a strength amp (Team Amp MAX Lv. = 3). After this amp is granted, this ability will not grant it again for 15 seconds. Additionally, increases defense by 10%, and grants the user a unique force strike.</t>
  </si>
  <si>
    <t>Dark Experiment III</t>
  </si>
  <si>
    <t>Allows the user to carry out dash attacks by tapping the screen during a dodge and increases the damage dealt by dash attacks by 200%. If this dash attack is followed immediately by a standard attack, the user's combo will begin with the second attack in their standard attack combo. Also, grants the user a "Combo Sample" when the fifth attack in their standard attack combo connects with enemies, a "Strike Sample" when their force strikes connect with enemies, and a "Dash Sample" when their dash attacks connect with enemies. These effects will not stack. When the user has all three of these effects, their first and second skills will be powered up. Using one of these powered-up skills will consume all three effects. In addition, increases the user's strength by 30%.</t>
  </si>
  <si>
    <t>Deepest Dedication III</t>
  </si>
  <si>
    <t>Grants the entire team a team defense amp (Team Amp MAX Lv. = 3) when the user's HP is restored. After activating, this ability will not activate again for 15 seconds. Also, increases the potency of recovery skills by 10%.</t>
  </si>
  <si>
    <t>Devout Oracle II</t>
  </si>
  <si>
    <t>Increases the potency of recovery skills by 20%. Using Radiant Savior grants the user the "Devout Oracle" effect. When this effect is active, the user's next two force strikes will restore HP to the team member most in need with 100% Recovery Potency. In addition, using any skill will grant the user a defense amp (Team Amp MAX Lv. = 3). After this amp is granted, this ability will not grant it again for 15 seconds.</t>
  </si>
  <si>
    <t>System Overload II</t>
  </si>
  <si>
    <t>Increases strength by 20%. Also, using Code 07: Combustion Slash grants the user a strength amp (Team Amp MAX Lv. = 3). After this amp is granted, this ability will not grant it again for 15 seconds.</t>
  </si>
  <si>
    <t>Divine Ethos III</t>
  </si>
  <si>
    <t>Using Twilight Crown increases Zena's strength by 15% and increases the potency of recovery skills by 20% for 15 seconds. It also grant the user a defense amp (Team Amp MAX Lv. = 3). After this amp is granted, this ability will not grant it again for 15 seconds. Using Celestial Prayer grants the user the "Sacred Logos" effect. When this effect is active, the user's next force strike grants an HP regen buff to the entire team with 20% Recovery Potency for Force Strike, healing every 2.9 seconds for 20 seconds. This effect cannot stack, and will be consumed on use.</t>
  </si>
  <si>
    <t>Divine Oath IV</t>
  </si>
  <si>
    <t>Elisanne will gain the "Divine Revelation" effect for 15 seconds if any of the following occur: her force strike connects, she uses a skill, or she executes a 10-hit combo. This effect cannot stack and, when it is active, the entire team's defense will be increased by 20% and the entire team will be immune to knockback.</t>
  </si>
  <si>
    <t>Dodge Charge III</t>
  </si>
  <si>
    <t>Fills 25% of the skill gauges for the user's first and second skills when the user dodges an attack. After activating, this ability will not activate again for 10 seconds.</t>
  </si>
  <si>
    <t>Doublebuff &amp; Team Defense Amp = HP Regen (Team)</t>
  </si>
  <si>
    <t>Grants an HP regen buff to the entire team healing for 2% Max HP every 3.9 seconds for 20 seconds each time a defense up buff is received. In addition, gradually recovers the team's HP with 3% Recovery Potency every 2.9 seconds when they have a team defense amp.</t>
  </si>
  <si>
    <t>Doublebuff &amp; Team Defense Amp = HP Regen</t>
  </si>
  <si>
    <t>Grants an HP regen buff healing you for 4% Max HP every 3.9 seconds for 25 seconds each time a defense up buff is received. In addition, gradually recovers the user's HP with 4% Recovery Potency every 2.9 seconds when they have a team defense amp.</t>
  </si>
  <si>
    <t>Doublebuff &amp; Team Defense Amp = Strength</t>
  </si>
  <si>
    <t>Increases strength by 15% for 15 seconds each time a defense up buff is received. Also, increases the user's strength by 15% when they have a Team Defense Amp.</t>
  </si>
  <si>
    <t>Draconic Dream III</t>
  </si>
  <si>
    <t>Increases defense while shapeshifted by 100% and increases shapeshift time by 20%. When the "Dream Boost" effect is active, adds 20% to the modifier applied to damage when in dragon form. Normal attacks when in dragon form will dispel one enemy buff.</t>
  </si>
  <si>
    <t>Dragon Scion III</t>
  </si>
  <si>
    <t>Replaces the dragon gauge with a Divine Dragon gauge that holds a max of 1,800 points. Tapping the gauge after it has filled to at least 560 points will allow Tiki to transform into her Divine Dragon form. By tapping the gauge a second time or after the gauge has been consumed, Tiki's transformation will end. Damage taken will be reduced by 50% when in Divine Dragon form. Using any skill will grant the user a defense amp (Team Amp MAX Lv. = 3). After this amp is granted, this ability will not grant it again for 15 seconds.</t>
  </si>
  <si>
    <t>Dragonlight's Resolve IV</t>
  </si>
  <si>
    <t xml:space="preserve">Reduces dragon gauge depletion over time by 40%, and increases attack rate when shapeshifted by 10%. Also, shapeshifting will grant the entire team a team critical damage amp (MAX Lv. = 1). </t>
  </si>
  <si>
    <t>Dragon's Claws VII</t>
  </si>
  <si>
    <t>Each shapeshift increases strength for the remainder of the quest (up to 3 times per quest). On first shapeshift strength is increased by 10% in total. On second shapeshift strength is increased by 25% in total. On third shapeshift strength is increased by 40% in total. Also, adds 10% to the modifier applied to damage when in dragon form.</t>
  </si>
  <si>
    <t>Dragon's Dominance II</t>
  </si>
  <si>
    <t>Extends shapeshift time by 10%. Adds 10% to the modifier applied to damage when in dragon form. Normal attacks when in dragon form will dispel one enemy buff. Shapeshifting will grant the entire team a team critical damage amp (MAX Lv. = 3).</t>
  </si>
  <si>
    <t>Dynamic Defense III</t>
  </si>
  <si>
    <t xml:space="preserve">Fills 100% of skill gauges at the start of quests. Using a skill fills skill gauges by 5%. When the user is granted a defense amp, fills 10% of skill gauges. </t>
  </si>
  <si>
    <t>Electrically Charged IV</t>
  </si>
  <si>
    <t>Increases strength by 30%, force strike damage by 20%, and attack rate by 10% when electrified. When not electrified, increaes strength by 20%. Also, using any skill will grant the user a strength amp (Team Amp MAX Lv. = 3). After this amp is granted, this ability will not grant it again for 15 seconds.</t>
  </si>
  <si>
    <t>Elemental Res +20%</t>
  </si>
  <si>
    <t>Reduces all elementally attuned damage taken by 20%.</t>
  </si>
  <si>
    <t>Emergency Repairs III</t>
  </si>
  <si>
    <t>Removes all debuffs on the user, activates "Shut Down" for 3 seconds, and grants them an HP regen buff, healing 25% Max HP every 1.5 seconds for 5 seconds, when HP drops to 30%. Shut Down renders the user unable to move or attack for its duration. After activating, this ability will not activate again for 30 seconds.</t>
  </si>
  <si>
    <t>Increases duration of buff skills by 35%. Grants the user's force strikes the ability to dispel one enemy buff when the combo count is 15 or higher. Icreases strength by 10%.</t>
  </si>
  <si>
    <t>Endurance of the Dead III</t>
  </si>
  <si>
    <t>Increases the amount of HP the user revives with by 50%.</t>
  </si>
  <si>
    <t>Energy = Strength &amp; Critical Rate VIII</t>
  </si>
  <si>
    <t>Increases the user's strength and critical rate as their energy level increases. The maximum bonus, given when the user is energized, is strength +40% and critical rate +15%. Also, Curse of Nihility will not reset the user's energy level.</t>
  </si>
  <si>
    <t>Increases critical rate by 10% and increases damage to debuffed foes by 15%. Using any skill will grant the user a critical damage amp (Team Amp MAX Lv. = 3). After this amp is granted, this ability will not grant it again for 15 seconds.</t>
  </si>
  <si>
    <t>Experience's Boon IV</t>
  </si>
  <si>
    <t>Grants Ranzal an Attack Gauge and a Burst Gauge. The Attack Gauge fills when regular attacks connect with enemies, while the Burst Gauge is filled when force strikes successfully connect. Ranzal's defense is increased by 15% for 1 completely filled gauge and 25% if both gauges are completely filled. Any filled gauges are consumed when using the Cyclone Blade skill, increasing its power by 50% for 1 completely filled gauge and 100% if both gauges are completely filled.</t>
  </si>
  <si>
    <t>Extra Energy IV</t>
  </si>
  <si>
    <t>A user's energy level will increase by an additional stage upon being increased. Curse of Nihility will not reset the user's energy level.</t>
  </si>
  <si>
    <t xml:space="preserve">Increases duration of buff skills by 35% and grants the user's force strikes the ability to dispel one enemy buff when the combo count is 15 or higher. </t>
  </si>
  <si>
    <t>Festival Fever III</t>
  </si>
  <si>
    <t>Increases the damage dealt by the user's attacks based on the number of active debuff zones. One: increases damage by 10%. Two or more: increases damage by 20%.</t>
  </si>
  <si>
    <t>Energizes the user every time the Ricochet Bolts skill hits enemies ten times during the same combo. Also, Curse of Nihility will not reset the user's energy level.</t>
  </si>
  <si>
    <t>Fiery Passion</t>
  </si>
  <si>
    <t>Increases damage to burnt enemies by 30%. In addition, using a skill will grant the user a strength amp (Team Amp MAX Lv. = 3). After this amp is granted, this ability will not grant it again for 15 seconds.</t>
  </si>
  <si>
    <t>Flame Blades' Protection II</t>
  </si>
  <si>
    <t>Fills 100% of skill gauges at the start of quests, and increases defense by 20% while Crystalline Blades Buffed is in effect. In addition, using Radiant Bauble will grant the user a strength amp (Team Amp MAX Lv. = 3). After this amp is granted, this ability will not grant it again for 30 seconds.</t>
  </si>
  <si>
    <t>Flamewyrm's Defiance IV</t>
  </si>
  <si>
    <t>Reduces susceptibility to stun and sleep by 100%. When Mym is hit by an attack that would have stunned or put her to sleep, the skill gauge for the Dragon Claw skill fills by 50%, and her strength is increased by 15% for 15 seconds. This increase will not stack, and, after activating, these effects cannot be activated again by the same affliction for 15 seconds.</t>
  </si>
  <si>
    <t>Flamewyrm's Nature IV</t>
  </si>
  <si>
    <t>Reduces susceptibility to burning by 100%. When Mym is hit by an attack that would have inflicted her with burn, her strength is increased by 15% for 10 seconds. After activating, this buff will not activate again for 15 seconds. Also, when shapeshifting for the first time, Mym will transform into Brunhilda regardless of what dragon she is equipped with, and she will be granted the "Draconic Power" effect for the remainder of the quest, which will increase her strength by 15% and power up the Flames of Passion skill. The second time onwards, she will transform into High Brunhilda instead, and her attack rate while shapeshifted will increase by 15%. In addition, using a skill will grant Mym a strength amp (Team Amp MAX Lv. = 3). After this amp is granted, this ability will not grant it again for 15 seconds.</t>
  </si>
  <si>
    <t>Flamewyrm's Sweet Nature III</t>
  </si>
  <si>
    <t>Reduces susceptibility to burning by 100%. When shapeshifting, Mym will transform into Brunhilda regardless of what dragon she is equipped with, and her attack rate while shapeshifted will increase by 20%. In addition, using a skill will grant Mym a critical damage amp (Team Amp MAX Lv. = 3). After this amp is granted, this ability will not grant it again for 15 seconds.</t>
  </si>
  <si>
    <t>Flash of Genius II</t>
  </si>
  <si>
    <t>When the combo count is 15 or higher, Increases the chances of inflicting debuffs by 20% and grants the user's force strikes the ability to dispel one enemy buff. Increases the user's critical rate by 20% for seven seconds every time two hits of Howling Meteor connect with an enemy. In addition, using Howling Meteor grants the user a critical damage amp (Team Amp MAX = 1). After this amp is granted, this ability will not grant it again for 8 seconds.</t>
  </si>
  <si>
    <t>Flashburn Frenzy III</t>
  </si>
  <si>
    <t>Extends the window between hitting an enemy and the combo counter resetting by 2.5 seconds. Also, increases the user's chances of inflicting flashburn by 25% for every 15-hit combo (up to three times per combo), and grants the user a stack of the "Flashburn Trickster" effect each time they inflict flashburn (up to three times per combo). Flashburn Trickster increases damage to flashburned enemies by 7%. These buffs are removed when the combo counter resets.</t>
  </si>
  <si>
    <t>Flashburn Time +30%</t>
  </si>
  <si>
    <t>Increases the duration of flashburn inflicted on enemies by 30%.</t>
  </si>
  <si>
    <t>Flashburned Punisher +30%</t>
  </si>
  <si>
    <t>Increases damage to flashburned enemies by 30%.</t>
  </si>
  <si>
    <t>Flurry Slayer's Devastation</t>
  </si>
  <si>
    <t>Increases critical rate by 5% for every 5 enemies defeated (up to 3 times per quest), and increases critical rate by 15% when the combo count is 15 or higher.</t>
  </si>
  <si>
    <t>Flurry Slayer's Strength II</t>
  </si>
  <si>
    <t>Increases strength by 6% for every 5 enemies defeated (up to 5 times per quest), and increases strength by 20% when the combo count is 15 or higher.</t>
  </si>
  <si>
    <t>Flurry Strength &amp; Burn Edge/Sting I</t>
  </si>
  <si>
    <t>When the combo count is 10 or higher, increases strength by 25%, the chances of inflicting burn by 70%, and the duration of burn inflicted on enemies by 30%.</t>
  </si>
  <si>
    <t>Flurry Strength &amp; Paralyzing Edge/Sting I</t>
  </si>
  <si>
    <t>When the combo count is 10 or higher, increases strength by 25%, the chances of inflicting paralysis by 70%, and the duration of paralysis inflicted on enemies by 30%.</t>
  </si>
  <si>
    <t>Flurry Strength &amp; Scorchrend Edge/Sting I</t>
  </si>
  <si>
    <t>When the combo count is 10 or higher, increases strength by 25%, the chances of inflicting scorchrend by 70%, and the duration of scorchrend inflicted on enemies by 30%.</t>
  </si>
  <si>
    <t>Flurry Strength &amp; Shadowblight Edge/Sting I</t>
  </si>
  <si>
    <t>When the combo count is 10 or higher, increases strength by 25%, the chances of inflicting shadowblight by 70%, and the duration of shadowblight inflicted on enemies by 30%.</t>
  </si>
  <si>
    <t>Flurry Strength &amp; Stormlash Edge/Sting I</t>
  </si>
  <si>
    <t>When the combo count is 10 or higher, increases strength by 25%, the chances of inflicting stormlash by 70%, and the duration of stormlash inflicted on enemies by 30%.</t>
  </si>
  <si>
    <t>Flurry Striker's Strength</t>
  </si>
  <si>
    <t>Increases strength by 6% for every three enemies defeated with a force strike (up to five times per quest), and increases strength by 20% when the combo count is 15 or higher.</t>
  </si>
  <si>
    <t>Forbidden Power Within III</t>
  </si>
  <si>
    <t xml:space="preserve">Grants the user the "Brewing Storm" effect every time they execute an 80-hit combo or defeat five enemies. Brewing Storm has five progressively more powerful levels. Lv. 1: Increases the damage dealt by the user's attacks by 15% for 60 seconds. Lv. 2: Increases the damage dealt by the user's attacks by 20% for 60 seconds. Lv. 3: Increases the damage dealt by the user's attacks by 25% for 60 seconds. Lv. 4: Increases the damage dealt by the user's attacks by 30% for 60 seconds. Lv. 5: Increases the damage dealt by the user's attacks by 50% for 60 seconds. </t>
  </si>
  <si>
    <t>Forbidden Procedure III</t>
  </si>
  <si>
    <t>Dispelling an enemy buff or barrier or using Aromatic Treat activates the following effects: 20% is added to the modifier applied to damage against light-attuned enemies for 30 seconds. This increase will not stack. The user is granted a defense amp (Team Amp MAX Lv. = 3). After this amp is granted, this ability will not grant it again for 10 seconds. The skill gauges for the user's first and second skills are filled by 15%. After activating, this effect will not activate again for 10 seconds. Also, dispelling an enemy buff or barrier lower's teh target's strength by 15% for 10 seconds. This debuff will not stack.</t>
  </si>
  <si>
    <t>Force Strike Attack Rate +25%</t>
  </si>
  <si>
    <t>Grants a buff that increases force strike attack rate by 25% while executing a force strike.</t>
  </si>
  <si>
    <t>Force Strike Damage &amp; Charge Rate III</t>
  </si>
  <si>
    <t>Increases force strike damage by 30% and charge rate by 25%.</t>
  </si>
  <si>
    <t>Fills 100% of skill gauges at the start of quests. Using a skill fills skill gauges by 5%. Also, using Raging Tide will grant the user a critical damage amp (Team Amp MAX Lv. = 1). After this amp is granted, this ability will not grant it again for 8 seconds.</t>
  </si>
  <si>
    <t>Gabriel's Covenant III</t>
  </si>
  <si>
    <t>Inflicts the "Locked Sigil" debuff on the user at the start of quests for 180 seconds, and grants the user a unique force strike with two increasingly powerful charge levels. Movement is possible while charging, but the user will move more slowly. Once their force strike is fully charged, it will deal extra damage to frostbitten foes and reduce Locked Sigil's remaining time by 15 seconds if it connects. The Locked Sigil debuff cannot be removed by shapeshifting or incapacitation. When the Locked Sigil effect wears off, the user will be granted the "Sigil Released" effect instead, allowing the user to perform special attacks that restore 5% of the damage inflicted as HP to the user and increases the user's energy level by one stage. This special attack is activated by tapping the screen at the end of a standard attack combo. This recovery caps at 10% of their maximum HP. By tapping the screen again during one of these attacks, the user can immediately perform another. Additionally, for every 15-hit combo, grants overdamage based on 50% of the user's strength. This effect will not stack, and is removed when the combo counter resets.</t>
  </si>
  <si>
    <t>Genesis Pactbearer III</t>
  </si>
  <si>
    <t>Grants Zethia a summon gauge and changes the shapeshift button into a summon button. Tapping this button summons Bahamut. While Bahamut is summoned, the power of certain standard attacks will be greatly increased, and Bahamut will attack automatically. After attacking a set number of times, Bahamut will automatically use the Cataclysm Beam skill and dispel one buff from each target. While Bahamut is not summoned, certain standard attacks will fill the summon gauge. Swiping to dodge during a standard attack will carry out an additional attack toward surrounding enemies, dealing 3 hits of 50% shadow damage. Performing a standard attack during this unique dodge will then resume Zethia's standard attack combo from her most recent attack (Dodging again immediately after Zethia's unique dodge will instead result in a standard dodge). In addition, Zethia will deal 1 hit of 200% shadow damage to surrounding enemies when she dodges an attack. This attack will only activate once per dodge.</t>
  </si>
  <si>
    <t>Good Tidings III</t>
  </si>
  <si>
    <t>Grants one of the following effects based on the level of the user's New Year's Prayer: Lv. 1: Increases skill gauge fill rate by 7% and grants a defense amp (Team Amp Max Lv. = 1). Lv. 2: Increases skill gauge fill rate by 8% and grants two defense amps (Team Amp Max Lv. = 1). Lv. 3: Increases skill gauge fill rate by 10%, gradually fills Lucky Day's skill gauge automatically by 3% every second, and grants a team defense amp (Team Amp Max Lv. = 1). Abilities that increase skill gauge fill rate will not affect this automatic increase.</t>
  </si>
  <si>
    <t>Great Sword Expertise +3</t>
  </si>
  <si>
    <t>Grants the user a unique force strike, and increases force strike damage by 50%. Their force strike has three increasingly powerful charge levels and deals 30% more damage to enemies in break state. Their fully charged force strike dispels one buff from an enemy. In addition, they are immune to knockback while charging their force strike. Also, Curse of Nihility does not affect the user's force strike damage buffs.</t>
  </si>
  <si>
    <t>Guardsman of the Verdure III</t>
  </si>
  <si>
    <t>Using Wealdfury grants the user a strength amp (Team Amp MAX Lv. = 3). Also, increases the shadow resistance of all alies by 5% when they are in a buff zone.</t>
  </si>
  <si>
    <t>Guiding Feline III</t>
  </si>
  <si>
    <t>Grants the Persona element Wind to certain attacks. Also grants the user a Persona gauge, and changes the shapeshift button into a Persona button. Tapping this button summons Zorro. While summoned, Zorro will attack and restore HP to all teammates as the user attacks. Additionally, grants the user a unique force strike that activates the "Beast Eye" effect for 30 seconds. Beast Eye increases the user's Persona gauge fill rate by 20% while active, but is removed when Zorro is summoned, and cannot be granted while Zorro is active. While Zorro is not summoned, standard attacks and force strikes will fill the Persona gauge. In addition, using any skill grants the user a strength amp (Team Amp MAX Lv. = 3). After this amp is granted, this ability will not grant it again for 15 seconds.</t>
  </si>
  <si>
    <t>Increases the potency of recovery skills by 20% and using Time's Respite grants the user the "Dispel Strike" effect. When this effect is active, the user's next force strike will dispel one enemy buff. This effect cannot stack, and will be consumed on use.</t>
  </si>
  <si>
    <t>Hallowed Auspex IV</t>
  </si>
  <si>
    <t>Grants the user an Auspex gauge. The Auspex gauge fills when the user's first or second skills are used. When the gauge is completely filled, it grants the user the "Twilight Moon" effect. When this effect is active, it grants the user a unique force strike with five increasingly powerful charge levels. When fully charged, this force strike will dispel one buff from each target. This effect cannot stack, and will be consumed on use. Also, using Glorious Sanctuary will grant the user a defense amp (Team Amp MAX Lv. = 3). After this amp is granted, this ability will not grant it again for 15 seconds.</t>
  </si>
  <si>
    <t>Fills 25% of skill gauges when the user's force strikes connect (up to three times per quest). Using You won't trick me! will grant the user a defense amp (Team Amp MAX Lv. = 3). After this amp is granted, this ability will not grant it again for 15 seconds. Using Here's a treat for you! grants the user the "Dispel Strike" effect. When this effect is active, the user's next force strike will dispel one enemy buff. This effect cannot stack, and will be consumed on use.</t>
  </si>
  <si>
    <t>Heavenly Wings III</t>
  </si>
  <si>
    <t>Grants the user a unique shapeshift in which the user unleashes their "Heavenly wings" and replaces the dragon gauge with a unique shapeshift gauge that holds a max of 1,800 points. Tapping the gauge after it has filled to at least 560 points will allow the user to shapeshift, and when shapeshifting, the user transforms into their unique form regardless of what dragon they are equipped with. By tapping the gauge a second time or after the gauge has been consumed, the user will return to their original form. While shapeshifted, the user's standard attacks will fill their unique shapeshift gauge and damage taken will be reduced by 50%. Using the user's first or second skills, including their skills while shapeshifted, will grant them a defense amp (Team Amp MAX Lv. = 3). After this amp is granted, this ability will not grant it again for 15 seconds.</t>
  </si>
  <si>
    <t>Holiday Aid III</t>
  </si>
  <si>
    <t>Using Chuting Stars while in a buff zone restores the entire team's HP with 60% Recovery Potency, gradually recovers their HP for 20 seconds, healing with 35% Recovery Potency every 2.9 seconds, and grants the user a team defense amp (Team Amp MAX Lv. = 1).</t>
  </si>
  <si>
    <t>Increases damage to frostbitten enemies by 30%. In addition, using a skill will grant the user a strength amp (Team Amp MAX Lv. = 3). After this amp is granted, this ability will not grant it again for 15 seconds.</t>
  </si>
  <si>
    <t>Humanity's Companion III</t>
  </si>
  <si>
    <t>Grants the Persona element Bless to certain attacks. Also grants the user a Persona gauge, and changes the shapeshift button into a Persona button. Tapping this button summons Pithos, and, for 15 seconds, reduces the defense of surrounding enemies by 10%. This defense reduction will not stack. While summoned, Pithos will attack automatically. Additionally, increases strength by 20%, and grants the user a unique force strike.</t>
  </si>
  <si>
    <t>Increases Recovery Potency by 20%. Also, using Wild Instinct will grant the user a defense amp (Team Amp MAX Lv. = 3). After this amp is granted, this ability will not grant it again for 15 seconds.</t>
  </si>
  <si>
    <t>Immaculate Shield IV</t>
  </si>
  <si>
    <t>Using Immaculate Wings grants the entire team a one-use shield that nullifies damage less than 40% of the user's maximum HP. This shield does not stack with any other shields of the same type. In addition, using Immaculate Wings grants the user a critical damage amp (Team Amp MAX Lv. = 3). After this amp is granted, this ability will not grant it again for 15 seconds.</t>
  </si>
  <si>
    <t>Increases strength by 15% for 15 seconds each time a defense up buff is received and increases the user's strength by 15% when they have a Team Defense Amp. In addition, using Smith Shield will grant the user a defense amp (Team Amp MAX Lv. = 1). After this amp is granted, this ability will not grant it again for 8 seconds.</t>
  </si>
  <si>
    <t>Impulse Slash II</t>
  </si>
  <si>
    <t>Grants the user a unique force strike and increases force strike damage by 50%. When the user is electrified, force strikes will dispel one buff from each target, inflict paralysis for 21 seconds - dealing 50% light damage every 2.9 seconds - with 120% base chance, and lower paralysis resistance by 20% for 30 seconds.</t>
  </si>
  <si>
    <t xml:space="preserve">Increases duration of buff skills by 35%. Also, using Custom Concoction will grant Sinoa a strength amp (Team Amp MAX Lv. = 1) and a defense amp (Team Amp MAX Lv. = 1). After these amps are granted, this ability will not grant them again for 8 seconds. </t>
  </si>
  <si>
    <t>Increases defense by 20% and increases the potency of recovery skills by 20%.</t>
  </si>
  <si>
    <t>King of All Lands</t>
  </si>
  <si>
    <t>Increases force strike damage by 55% and increases it by an additional 2% for each buff Xander has (up to a maximum of 30%). In addition, using any skill will grant Xander a strength amp (Team Amp MAX Lv. = 3). After this amp is granted, this ability will not grant it again for 15 seconds.</t>
  </si>
  <si>
    <t xml:space="preserve">increases damage to frostbitten enemies by 30% and increases energy level by 3 stages whenever the user lands a force strike. After activating, this ability will not increase the user's energy level again for 15 seconds. Also, Curse of Nihility will not reset the user's energy level. </t>
  </si>
  <si>
    <t>Increases damage to shadowblighted enemies by 30%, and when the combo count is 15 or higher, grants the user's force strikes the ability to dispel one enemy buff. Also, using any skill will grant the user a strength amp (Team Amp MAX Lv. = 3). After this amp is granted, this ability will not grant it again for 15 seconds.</t>
  </si>
  <si>
    <t>Know Thine Enemy III</t>
  </si>
  <si>
    <t>When the "Calculated Shots" effect is active increases the power of standard attacks by 10%, the amount skill gauges are filled by standard attacks by 10%, and the critical rate of standard attacks by 10%. Also, increases the amount the user's next force strike lowers the mode gauge by 300%.</t>
  </si>
  <si>
    <t>Kung Fu Mastery II</t>
  </si>
  <si>
    <t>Increases critical rate by 10%, increases critical rate by a further 20% when the combo count is 25 or higher, and increases critical rate by an additional 20% when the combo count is 50 or higher. In addition, grants the user a critical damage amp (Team Amp MAX Lv. = 3) for every 15-hit combo. After this amp is granted, this ability will not grant it again for 15 seconds.</t>
  </si>
  <si>
    <t>L.S. Reactor III</t>
  </si>
  <si>
    <t xml:space="preserve">Boosts damage to physians, thaumians, demihumans, therions, demons, and boss enemies in "Mega Man: Chaos Protocol" quests by 30%. When shapeshifting, Mega Man will jump onto Rush regardless of what dragon he is equipped with. Also grants the user's force strikes the ability to dispel one enemy buff when the combo count is 15 or higher. In addition, each time one of their attacks is a critical hit, grant the user a strangth amp (Team Amp MAX Lv. = 1). After activating, this ability will not activate again for 8 seconds. </t>
  </si>
  <si>
    <t>Lance Expertise +3</t>
  </si>
  <si>
    <t>Grants the user a unique force strike, and increases force strike damage by 50%. Their force strike has two charge levels. After the first level is charged, damage taken from enemy attacks will be reduced by 50% and, when damaged by certain enemy attacks, the user will immediately release their force strike at its current charge level. Once their force strike is fully charged, it will dispel one buff from each target and reduce enemy defense by 10% for 15 seconds. This debuff will not stack.</t>
  </si>
  <si>
    <t>Last Boost IV</t>
  </si>
  <si>
    <t>Fills 100% of the entire team's skill gauges when the user's HP drops to 40%. This does not fill the skill gauges of dragons. The first three times this ability is activated, it will not activate again for 15 seconds. After activating three times per quest, it will not activate again for 30 seconds.</t>
  </si>
  <si>
    <t>Last Bravery IV</t>
  </si>
  <si>
    <t>Increases the entire team's strength by 30% and defense by 40% for 15 seconds when the user's HP drops to 30%. After activating, this ability will not activate again for 15 seconds. Also, using any skill grants the user a critical damage amp (Team Amp MAX Lv. = 3). After this amp is granted, this ability will not grant it again for 15 seconds.</t>
  </si>
  <si>
    <t>Last Recovery VI</t>
  </si>
  <si>
    <t>Grants an HP regen buff healing the entire team for 10% Max HP every 3.9 seconds for 20 seconds when HP drops to 30%. After activating, this buff will not activate again for 15 seconds.</t>
  </si>
  <si>
    <t>Liberated Assassin II</t>
  </si>
  <si>
    <t>Increases damage to enemies with reduced defense by 30%. Also, grants Alex a strength amp (Team Amp MAX Lv. = 3) when she uses any skill. After this amp is granted, this ability will not grant it again for 15 seconds.</t>
  </si>
  <si>
    <t>Increases critical rate by 5% and critical damage by 5%. For every 15-hit combo, applies a 10% to the modifier applied to critical damage for 20 seconds and grants a critical damage amp (Team Amp MAX Lv. = 1). In addition, grants the user's force strikes the ability to dispel one enemy buff when the combo count is 15 or higher.</t>
  </si>
  <si>
    <t>Lightwyrm's Nature III</t>
  </si>
  <si>
    <t xml:space="preserve">Reduces susceptibility to paralysis by 100%. When Humanoid Jupiter is hit by an attack that would have inflicted him with paralysis, his strength is increased by 15% for 10 seconds. After activating, this buff will not activate again for 15 seconds. When shapeshifting for the first time, the user will transform into Jupiter regardless of what dragon they are equipped with, and adds 20% to the modifier applied to damage when in dragon form. The second time onwards, they will transform into High Jupiter instead. Also, when the user dodges an enemy's attack, applies "Overcharged" to the attacking enemy and grants the user a strength amp (Team Amp MAX Lv. = 1). After activating, this effect will not activate again for 10 seconds. </t>
  </si>
  <si>
    <t>Madness II</t>
  </si>
  <si>
    <t>Using Forbidden Sphere grants the user the "Madness" effect. When this effect is active, the user's skill gauges by 500 SP every 2.9 seconds for the remainder of the quest. Also, increases force strike damage by 50%, and when Madness is active, grants the user's force strikes the ability to dispel one enemy buff. In addition, using any skill will grant the user a strength amp (Team Amp MAX Lv. = 3). After this amp is granted, this ability will not grant it again for 15 seconds.</t>
  </si>
  <si>
    <t>Magical Modification IV</t>
  </si>
  <si>
    <t>Using Ancient Ray grants Cleo the "Altered Strike" effect. When this effect is active, Cleo's next force strike will create a buff zone that lasts for 10 seconds. This buff zone increases the strength of adventurers inside it by 25% and gradually recovers their HP with 20% Recovery Potency every 3 seconds. This effect cannot stack, and will be consumed on use. In addition, using Ancient Ray will grant Cleo a strength amp (Team Amp MAX Lv. = 3). After this amp is granted, this ability will not grant it again for 15 seconds.</t>
  </si>
  <si>
    <t>Magical Reduction II</t>
  </si>
  <si>
    <t>Fills 100% of skill gauges at the start of quests. Using a skill fills skill gauges by 5%. Using the user's initial skill grants them the "Dispel Strike" effect. When this effect is active, the user's next force strike will dispel one enemy buff. This effect cannot stack, and will be consumed on use.</t>
  </si>
  <si>
    <t>Mana Supercapacitors III (Light)</t>
  </si>
  <si>
    <t>Grants the user an armament gauge that has two charges and fills automatically at a rate of 12% every second. Abilities that increase skill gauge fill rate will not affect this automatic increase, and the user's attacks will not fill this gauge.</t>
  </si>
  <si>
    <t>Mana Supercapacitors III (Water)</t>
  </si>
  <si>
    <t>Master of Shikigami (V3)</t>
  </si>
  <si>
    <t>Master of Shikigami III</t>
  </si>
  <si>
    <t>Mechanized Blacksmith II</t>
  </si>
  <si>
    <t>Increases force strike damage by 30% and increases critical damage by 20%</t>
  </si>
  <si>
    <t>Metamorphosis III</t>
  </si>
  <si>
    <t>Grants Notte a unique shapeshift called "Metamorphosis," and replaces the dragon gauge with a metamorphosis gauge that holds a max of 1,800 points. Tapping the gauge after it has filled to at least 560 points will allow Notte to shapeshift, and when shapeshifting, Notte will use Metamorphosis to transform regardless of what dragon she is equipped with. By tapping the gauge a second time or after the gauge has been consumed, Notte will return to her original form. Damage taken will be reduced by 50% when in Metamorphosis. Also, grants the user a critical damage amp (Team Amp MAX Lv. = 3) for every 15-hit combo. After this amp is granted, this ability will not grant it again for 15 seconds.</t>
  </si>
  <si>
    <t>Michael's Covenant III</t>
  </si>
  <si>
    <t>At the start of quests, inflicts the "Locked Sigil" debuff on the user for 180 seconds and grants the user a unique force strike that deals damage to multiple targets and enemies near those targets and has three charge levels. The number of enemies this force strike targets increases based on how many levels are charged. Also, creates a combat zone around the user and grants the user one of two combat styles: close quarters or ranged. If there are any enemies within this combat zone, the user will engage in close-quarters combat style, otherwise they will default to ranged combat style. Locked Sigil's remaining time will be reduced by 15 seconds for every 25-hit combo. After activating, this effect will not activate again for eight seconds. When the Locked Sigil effect wears off, the user will be granted the "Sigil Released" effect instead. Sigil Released removes the user's combat zone and combat styles and grants them a unique force strike with one charge level. This force strike has the same effects as the user's force strike at level three during Locked Sigil. Also during Sigil Released, the user's standard attack patterns will change.</t>
  </si>
  <si>
    <t>Might of the Monkey III</t>
  </si>
  <si>
    <t>Activates the following effects once the user's fighting spirit is unleashed: The user's strength is increased by 10%. The user's attack skill damage is increased by 40%. The user is granted immunity to knockback. The user's standard attack patterns and first and second skills are changed. The user is granted a unique dodge that deals 150% shadow damage to surrounding enemies. Also, by tapping the screen during this dodge, the user can interrupt it and perform a unique dash attack toward the target. If a unique dash attack or force strike is followed immediately by a standard attack, the user's combo will begin with the second attack in their standard attack combo. In addition, using any skill will grant the user a critical damage amp (Team Amp MAX Lv. = 3). After this amp is granted, this ability will not grant it again for 15 seconds.</t>
  </si>
  <si>
    <t>Mighty Crescendo II</t>
  </si>
  <si>
    <t>Increases the potency of recovery skills by 20%. Using Spirited Song grants the user the "Dispel Strike" effect. When this effect is active, the user's next force strike will dispel one enemy buff. This effect cannot stack and will be consumed on use. Also, using Agitato Assault will grant the user a strength amp (Team Amp MAX Lv. = 3). After this amp is granted, this ability will not grant it again for 15 seconds.</t>
  </si>
  <si>
    <t>Mighty Bane +30%</t>
  </si>
  <si>
    <t>Increases damage to physians, thaumians, demihumans, therions, and demons by 30%.</t>
  </si>
  <si>
    <t>Modus Operandi III</t>
  </si>
  <si>
    <t>Dispelling an enemy buff or barrier lowers that enemy's water resistance by 10% for 30 seconds and grants the user one stack of "Stronger Bullets". This resistance reduction will not stack.</t>
  </si>
  <si>
    <t>Mournful Heart III</t>
  </si>
  <si>
    <t>Grants the user a unique force strike, and increases force strike damage by 50%. Their force strike dispels one buff from an enemy, and restores 10% of the damage inflicted as HP to the entire team. This recovery caps at 10% of the user's maximum HP.</t>
  </si>
  <si>
    <t>Nature's Avatar II</t>
  </si>
  <si>
    <t>Increases critical rate by 15% when HP is 70% or above. Also increases the user's skill gauge fill rate for their initial skill, displayed at the top of their skill list, by 10% for 20 seconds each time one of their attacks is a critical hit. This effect cannot stack, and will be consumed on use. Also grants the user's force strikes the ability to dispel one enemy buff when the combo count is 15 or higher. In addition, each time one of their attacks is a critical hit, grant the user a critical damage amp (Team Amp MAX Lv. = 1). After activating, this ability will not activate again for 8 seconds.</t>
  </si>
  <si>
    <t>New Year's Metamorphosis III</t>
  </si>
  <si>
    <t>Grants the user a unique shapeshift called "metamorphosis" and replaces the dragon gauge with a metamorphosis gauge that holds a max of 1,800 points. Tapping the gauge after it has filled to at least 560 points will allow the user to shapeshift, and when shapeshifting, the user will use metamorphosis to transform regardless of what dragon they are equipped with. By tapping the gauge a second time or after the gauge has been consumed, the user will return to their original form. Damage taken will be reduced by 50% when in Metamorphosis. Grants all teammates a "Life Shield" equal to 40% of the user's maximum HP at the start of quests. Also, the user's standard attacks, force strikes, and dash attacks will instead summon butterflies that pursue the target. These butterflies will disappear upon shapeshifting or when the user's shapeshift ends. The user's force strikes will also restore HP to all teammates. In addition, using the user's first or second skills, including the user's skills when shapeshifted, will grant them a critical damage amp (Team Amp MAX Lv. = 1). After this amp is granted, this ability will not grant it again for 8 seconds.</t>
  </si>
  <si>
    <t>Nimble Riposte III</t>
  </si>
  <si>
    <t>Dodge rolling will deal 7 hits of 10% water damage to nearby enemies. This attack will still be performed even if nothing was actually dodged. In addition, dodging an enemy attack will increase the user's attack rate by 10% for 30 seconds. This attack rate increase will not stack, and, after activating, it will not activate again for five seconds. Also, Curse of Nihility does not affect the user's attack rate up buffs. In addition, grants the user a critical damage amp (Team Amp MAX Lv. = 1) for every 15-hit combo. After this amp is granted, this ability will not grant it again for 8 seconds.</t>
  </si>
  <si>
    <t>Ninja Bride II</t>
  </si>
  <si>
    <t>Increases damage to sleeping enemies by 15% and stormlashed enemies by 15%. Also, buffs the entire team's strength by 15% for 10 seconds upon successfully putting an enemy to sleep. After activating, this strength increase will not activate again for five seconds. In addition, using Ninja Bride Sunshower will grant the user a defense amp (Team Amp MAX Lv. = 3). After this amp is granted, this ability will not grant it again for 15 seconds.</t>
  </si>
  <si>
    <t>Increases the chances of inflicting bog by 40% and Increases damage to frostbitten enemies by 30%. Using Noble Hunter will grant the user a strength amp (Team Amp MAX Lv. = 3). After this amp is granted, this ability will not grant it again for 15 seconds.</t>
  </si>
  <si>
    <t>Obsessive Love III</t>
  </si>
  <si>
    <t>When the "Obsession" effect is active, increases strength by 30%, and decreases defense by 10%. Obsession is not affected by Curse of Nihility. Also, using any skill will grant the user a strength amp (Team Amp MAX Lv. = 3). After this amp is granted, this ability will not grant it again for 15 seconds.</t>
  </si>
  <si>
    <t>Increases strength by 15% and buffs the entire team's strength by 15% for 10 seconds upon successfully inflicting an enemy with bog. After activating, this ability will not activate again for five seconds.</t>
  </si>
  <si>
    <t>Paralyzed Shredder III</t>
  </si>
  <si>
    <t>Increases critical rate by 20% and adds 20% to the modifier applied to critical damage against paralyzed enemies.</t>
  </si>
  <si>
    <t>Passionate Dancer II</t>
  </si>
  <si>
    <t>Increases strength by 6% for every three enemies defeated with a force strike (up to five times per quest), and increases strength by 20% when the combo count is 15 or higher. Also activates "Passionate Dancer" every time one of the user's attacks is a critical hit. When this effect is active, the user's next force strike will inflict frostbite, dealing 50% water damage every 2.9 seconds for 21 seconds - with 120% chance. This effect cannot stack, and will be consumed on use. After activating, Passionate Dancer will not activate again for 10 seconds.</t>
  </si>
  <si>
    <t>Perfection Embodied IV</t>
  </si>
  <si>
    <t>Buffs the user's standard attacks, force strikes, and the "Perfect Order" skill based on the number of Perfect Escort stacks they have and increases the user's attack rate by 5% for each stack. In addition, they will be immune to knockback, and all elementally-attuned damage they take will be reduced by 10% as long as they have at least one stack. Also, using Beck and Call will grant the user a defense amp (Team Amp MAX Lv. = 3). After this amp is granted, this ability will not grant it again for 15 seconds.</t>
  </si>
  <si>
    <t>Increases damage to shadowblight enemies by 30%. When using Araia of the Sea, grants the user knockback immunity and reduces reduces damage taken by 50%. This effect ends when the skill animation ends.</t>
  </si>
  <si>
    <t>Pledge of Justice III</t>
  </si>
  <si>
    <t>Grants the user a unique force strike that deals two hits, the second of which dispels one buff from each target and inflicts bleeding for 30 seconds - dealing 150% light damage every 4.9 seconds - with 100% chance. Also, increases damage dealt by this force strike by 40%. The user will be immune to knockback while charging this force strike as well as when executing it.</t>
  </si>
  <si>
    <t>Poisonous Cage IV</t>
  </si>
  <si>
    <t>The user's strength is lowered by 50% during quests. Using Ruination Cage grants the user the "Poisonous Cage" effect. When this effect is active, the user's next force strike will deal 3 hits of 100% shadow damage, throw three knives in front of the user dealing 30% shadow damage each, dispels one buff from each target, and inflict poison - dealing 300% shadow damage every 2.9 seconds for 30 seconds - with 120% base chance. Bonus OD Damage is reduced to 4.2x for all hits of "Poisonous Cage", from 8.4x on the first two hits. This effect cannot stack, and will be consumed on use. Also, using any skill will grant the user a strength amp (Team Amp MAX Lv. = 3). After this amp is granted, this ability will not grant it again for 15 seconds.</t>
  </si>
  <si>
    <t>Potent Blindness &amp; Paralysis Res +100%</t>
  </si>
  <si>
    <t>Reduces susceptibility to blindness and paralysis by 100%. When the user is hit by an attack that would have blinded or paralyzed them, their strength is increased by 15% for 10 seconds. This increase will not stack, and, after activating, this buff cannot be activated again by the same affliction for 15 seconds.</t>
  </si>
  <si>
    <t>Potent Burn &amp; Stun Res +100%</t>
  </si>
  <si>
    <t>Reduces susceptibility to burning and stun by 100%. When the user is hit by an attack that would have inflicted burning on them or stunned them, their strength is increased by 15% for 10 seconds. This increase will not stack, and, after activating, this buff cannot be activated again by the same affliction for 15 seconds.</t>
  </si>
  <si>
    <t>Potent Freeze &amp; Bog Res +100%</t>
  </si>
  <si>
    <t>Reduces susceptibility to freeze and bog by 100%. When the user is hit by an attack that would have inflicted freeze or bog on them, their strength is increased by 15% for 10 seconds. This increase will not stack, and, after activating, this buff cannot be activated again by the same affliction for 15 seconds.</t>
  </si>
  <si>
    <t>Potent Placebo III</t>
  </si>
  <si>
    <t>Grants the user a Manachew gauge. When the Manachew gauge is completely filled, it will begin to gradually deplete automatically and grant the user the following effects until it is depleted: Defense is increased by 25%. Skill damage is increased by 15%. Skill gauge fill rate is increased by 10%. The user's force strikes are powered up and deal more damage and will dispel one buff from each target. During a powered up force strike, if the user is hit by an attack that can be avoided with the damage immunity provided by skills, they will automatically dodge the attack, and their Manachew gauge will be filled by 20%. Also, when shapeshifting, the Manachew gauge will be filled by 50% when the user's shapeshift is undone.</t>
  </si>
  <si>
    <t>Potent Poison &amp; Curse Res +100%</t>
  </si>
  <si>
    <t>Reduces susceptibility to poison and curse by 100%. When the user is hit by an attack that would have poisoned or cursed them, their strength is increased by 15% for 10 seconds. This increase will not stack, and, after activating, this buff cannot be activated again by the same affliction for 15 seconds.</t>
  </si>
  <si>
    <t>Potent Stun &amp; Sleep Res +100%</t>
  </si>
  <si>
    <t>Reduces susceptibility to stun and sleep by 100%. When the user is hit by an attack that would have stunned or put them to sleep, their strength is increased by 15% for 10 seconds. This increase will not stack, and, after activating, this buff cannot be activated again by the same affliction for 15 seconds.</t>
  </si>
  <si>
    <t>Pounder of Mochi III</t>
  </si>
  <si>
    <t>Grants the user a unique force strike that reduces the strength of surrounding enemies by 5% for 10 seconds, and will continue to attack as long as your finger touches the screen. Also, increases force strike damage by 25%. In addition, using Bright Equinox will grant the user a team defense amp (Team Amp MAX Lv. = 3). After this amp is granted, this ability will not grant it again for 30 seconds.</t>
  </si>
  <si>
    <t>Power Hitter III</t>
  </si>
  <si>
    <t>Adds 50% to the modifier applied to critical damage, but prevents the user's critical rate from being increased by more than 10%. This limit does not affect critical hits dealt due to being inspired. Also, grants the user a Strength Amp (Team Amp MAX Lv. = 3) when the Swing for the Fences skill deals critical damage. After activating, this ability will not activate again for one second.</t>
  </si>
  <si>
    <t>Primed Defense &amp; Primed Defense Amp</t>
  </si>
  <si>
    <t>Increases the defense of the adventurer you are currently controlling by 15% for 15 seconds every time their initial skill, displayed at the top of their skill list, becomes available for use. Also, grants the user a defense amp (Team Amp MAX lv. = 1) every time their initial skill, displayed at the top of their skill list, becomes available for use. After activating, this ability will not activate again for 8 seconds.</t>
  </si>
  <si>
    <t>Primed Devastation &amp; Primed Critical Damage Amp</t>
  </si>
  <si>
    <t>Increases the critical rate of the adventurer you are currently controlling by 15% for 10 seconds every time their initial skill, displayed at the top of their skill list, becomes available for use. After activating, this ability will not increase critical rate again for 15 seconds. Also, grants the user a critical damage amp (Team Amp MAX lv. = 1) every time their initial skill, displayed at the top of their skill list, becomes available for use. After activating, this ability will not grant an amp again for 8 seconds.</t>
  </si>
  <si>
    <t>Primed Strength &amp; Primed Strength Amp</t>
  </si>
  <si>
    <t>Increases the strength of the adventurer you are currently controlling by 15% for 10 seconds every time their initial skill, displayed at the top of their skill list, becomes available for use. Also, grants the user a strength amp (Team Amp MAX lv. = 1) every time their initial skill, displayed at the top of their skill list, becomes available for use. After activating, this ability will not activate again for 8 seconds.</t>
  </si>
  <si>
    <t>Purehearted Barrage</t>
  </si>
  <si>
    <t>Adds 8% to the modifier applied to critical damage for every 20-hit combo (up to 3 times per quest) and grants the user's force strikes the ability to dispel one enemy buff when the combo count is 15 or higher. In addition, using Blazing Pain will grant the user a defense amp (Team Amp MAX Lv. = 1). After this amp is granted, this ability will not grant it again for 8 seconds.</t>
  </si>
  <si>
    <t>Pursuer of Knowledge II</t>
  </si>
  <si>
    <t>Fills 100% of skill gauges at the start of quests. Using a skill fills skill gauges by 5%. In addition, using a skill will grant the user a strength amp (Team Amp MAX Lv. = 3). After this amp is granted, this ability will not grant it again for 15 seconds.</t>
  </si>
  <si>
    <t>Queen of Smiles II</t>
  </si>
  <si>
    <t>increases damage to frostbitten enemies by 20%. When the combo count is 15 or higher, grants the user's standard attacks a 25% chance of inflicting freeze for 3-6 seconds and grants a strength amp (Team Amp MAX Lv. = 3). After this amp is granted, this ability will not grant it again for 15 seconds. Also, Curse of Nihility will not reset the user's energy level.</t>
  </si>
  <si>
    <t>Radiant Butterflies III</t>
  </si>
  <si>
    <t>Standard attacks, force strikes, and dash attacks instead summon butterflies that pursue the target. Increases the user's attack rate by 10%. Grants all teammates a "Life Shield" equal to 30% of the user's maximum HP at the start of quests. After activating, this ability will grant all teammates a Life Shield equal to 30% of the user's HP every 30 seconds. In addition, using any skill will grant the user a defense amp (Team Amp MAX Lv. = 3). After this amp is granted, this ability will not grant it again for 15 seconds.</t>
  </si>
  <si>
    <t>Radiant Scion III</t>
  </si>
  <si>
    <t>When shapeshifting, Chelle will transform into Cat Sìth regardless of what dragon she is equipped with. Also, extends shapeshift time by 10% and adds 10% to the modifier applied to damage when in dragon form. In addition, using Burlone Gatto will grant her the "Royal Pride" effect for the remainder of the quest. Royal Pride can stack up to 10 times, and each stack reduces damage taken by 1%.</t>
  </si>
  <si>
    <t>Ramiel's Covenant III</t>
  </si>
  <si>
    <t>Inflicts the "Locked Sigil" debuff on the user at the start of quests for 180 seconds, and grants the user a unique force strike that cannot deal damage, but gradually heals the entire team while charging. The Locked Sigil debuff cannot be removed by shapeshifting or incapacitation, but shapeshifting will reduce its remaining time by 180 seconds. When the Locked Sigil effect wears off, the user will be granted the "Sigil Released" effect instead, powering up the Victoria Strategy and Magnus Apocalypse skills and allowing the user to summon Revelation Swords for 12 seconds by tapping the screen at the end of a standard attack combo. These Revelation Swords will attack automatically and dispel one buff from each target, but their attacks will not be treated as standard attacks. Additionally, for every 15-hit combo, grants overdamage based on 50% of the user's strength. This effect will not stack, and is removed when the combo counter resets.</t>
  </si>
  <si>
    <t>Ramiel's Yuletide Piety III</t>
  </si>
  <si>
    <t>Inflicts the "Locked Sigil" debuff on the user at the start of quests for 180 seconds. During Locked Sigil, the skill gauge fill rate for Stellar Knives and the amount that gauge-filling effects fill its skill gauge are reduced by 80%. Using Stellar Knives will remove Locked Sigil. When the Locked Sigil effect wears off, the user will be granted the "Sigil Released" effect instead. Sigil Released summons Divine Daggers around the user and grants the user a unique force strike. This force strike has charge levels equal to the number of Divine Daggers currently summoned around them, throws daggers equal to the number of levels charged directly ahead, dispels one buff from each target, and inflicts stormlash for 21 seconds - dealing 50% wind damage every 2.9 seconds - with 40% chance. Divine Daggers that connect with enemies will remain embedded in the enemy and apply the "Divine Sting" debuff while embedded. Divine Sting lowers the target's stormlash resistance by 20% and deals 150% wind damage every 2.9 seconds. Divine Sting can stack up to 4 times. Divine Daggers summoned around the user will attack automatically, but their attacks will not be treated as standard attacks, and they will not attack automatically while embedded in enemies.</t>
  </si>
  <si>
    <t>Rampaging Boar III</t>
  </si>
  <si>
    <t>Grants the user a unique force strike that has three increasingly powerful charge levels and dispels one buff from each target at level three. Also, they are immune to knockback while charging their force strike. In addition, increases damage to paralyzed enemies by 30%.</t>
  </si>
  <si>
    <t>Raphael's Covenant III</t>
  </si>
  <si>
    <t>Inflicts the "Locked Sigil" debuff on the user at the start of quests for 180 seconds, and grants the user a unique force strike that cannot deal damage, but activates the "Raphael's Steel" effect for 30 seconds. During Raphael's Steel, the user's strength is increased by 20%, and their attack rate is increased by 15%. Raphael's Steel will not stack. Locked Sigil's remaining time will be reduced by 30 seconds when the user's HP is restored, and it will be reduced by an additional 15 seconds when their HP is restored by 1,000 or more. After activating, this effect will not activate again for 15 seconds. When the Locked Sigil effect wears off, the user will be granted the "Sigil Released" effect instead. During Sigil Released, continually tapping the screen at the end of a standard attack combo will charge the final attack up to three stages, with damage reaching its maximum potential at stage three. At stage three, this attack will also be granted the ability to dispel one enemy buff.</t>
  </si>
  <si>
    <t>Raphael's Protection III</t>
  </si>
  <si>
    <t>Grants all team members a "Life Shield" equal to 30% of the user's maximum HP when the user takes damage during Sigil Released and grants the entire team a one-use shield that nullifies damage less than 40% of the user's maximum HP. This one-use shield does not stack with any other shields of the same type. After activating, this ability will not activate again for 30 seconds. Also, using any skill grants the user a defense amp (Team Amp MAX Lv. = 3). Additionally, for every 15-hit combo, grants overdamage based on 50% of the user's strength. This effect will not stack, and is removed when the combo counter resets.</t>
  </si>
  <si>
    <t>Rebellious Commander II</t>
  </si>
  <si>
    <t>Grants the user a stack of the "Grand Strategist" effect for every 10 seconds that pass without the user being knocked back by an enemy. Grand Strategist increases strength by 25% and the chances of inflicting poison by 20%. This buff can stack up to three times, but all stacks will be lost upon being knocked back by an enemy. Also, using Lethal Operation will grant the user a strength amp (Team Amp MAX Lv. = 3). After this amp is granted, this ability will not grant it again for 15 seconds. In addition, increases the user's attack rate by 10%.</t>
  </si>
  <si>
    <t>Healing +20%</t>
  </si>
  <si>
    <t>Increases the potency of recovery skills by 20%.</t>
  </si>
  <si>
    <t>Reduced Strength &amp; Defense Devastator +25%</t>
  </si>
  <si>
    <t>Increases critical rate by 25% against enemies with reduced strength or defense.</t>
  </si>
  <si>
    <t>Reduced Strength &amp; Defense Punisher +20%</t>
  </si>
  <si>
    <t>Increases damage to enemies with reduced strength or defense by 20%.</t>
  </si>
  <si>
    <t>Renegade Queen III</t>
  </si>
  <si>
    <t>Grants the user a dragondrive gauge, and changes the shapeshift button into a dragondrive button. Tapping this button activates their dragondrive. During dragondrive, the user's standard attacks and force strikes will be changed, and standard attacks and force strikes will fill the user's dragondrive gauge. While dragondrive is active, the user's skill damage will be increased by 40%, attack rate will be increased by 10%, and defense will be increased by 50%. Also, using any skill will grant the user a strength amp (Team Amp MAX Lv. = 3). After this amp is granted, this ability will not grant it again for 15 seconds.</t>
  </si>
  <si>
    <t>Resonant Hearts IV</t>
  </si>
  <si>
    <t>Grants Laxi a charge gauge with three bars. The charge gauge fills when standard attacks, force strikes, and dash attacks are used, and grants cumulative buffs to Laxi based on the number of bars filled. Filling one bar increases defense by 25%, filling two bars increases attack skill damage by 25%, and filling three bars increases strength by 25%. Laxi's charge gauge will not fill when she has the Fig effect, and the gauge will be reset and all of the above buffs lost when the Fig effect is removed.</t>
  </si>
  <si>
    <t>Resplendent Scion III</t>
  </si>
  <si>
    <t>When shapeshifting, the user will transform into Summer Cat Sìth regardless of what dragon they are equipped with. Also, extends shapeshift time by 10% and adds 10% to the modifier applied to damage when in dragon form.</t>
  </si>
  <si>
    <t>Right Hand Dragon III</t>
  </si>
  <si>
    <t>Gradually fills the user's dragondrive gauge by 2% every second when they have a team defense amp.</t>
  </si>
  <si>
    <t>Rightful King II</t>
  </si>
  <si>
    <t>If Aether is used when the user has three stacks of Flames of Awakening, and their skill reservoir is at level three, a variant called Awakening Aether will be used instead. Using Awakening Aether will consume all three stacks of Flames of Awakening and empty the user's skill reservoir. Also, using any skill will grant the user a defense amp (MAX Lv. = 3). After this amp is granted, this ability will not grant it again for 20 seconds. Also Flames of Awakening stacks are not affected by Curse of Nihility.</t>
  </si>
  <si>
    <t>Rosy Saint II</t>
  </si>
  <si>
    <t>Grants the user's force strikes the ability to dispel one enemy buff, and grants the user's force strikes a 100% chance to reduce enemy strength by 10% for 10 seconds. This strength reduction effect will not stack. Also, Curse of Nihility will not reset the user's energy level.</t>
  </si>
  <si>
    <t>Royal Protector III</t>
  </si>
  <si>
    <t>Using Gatov's initial skill, displayed at the top of his skill list, grants him a defense amp (Team Amp MAX Lv. = 3). After this amp is granted, this ability will not grant it again for 15 seconds. Also, when swapped to dual swords, the seventh attack in Gatov's standard attack combo increases the damage dealt by his next use of Double Flame or Dual Demolition by 15%. This damage increase will not stack.</t>
  </si>
  <si>
    <t>Royal Shield III</t>
  </si>
  <si>
    <t>Every 30 seconds, grants the entire team a team defense amp (MAX Lv. = 3) and a one-use divergent shield that nullifies damage up to 40% of the user's maximum HP. This shield can stack with ordinary shields.</t>
  </si>
  <si>
    <t>Ruthless Ignition III</t>
  </si>
  <si>
    <t>Increases damage to scorchrent enemies by 30% and damage to enemies in overdrive state by 15%.</t>
  </si>
  <si>
    <t>Saint's Calling III</t>
  </si>
  <si>
    <t>Using Crystalline Magic grants the user the "Saint Starfall Lily" effect. When this effect is active, the user's next three force strikes will gradually recovers the entire team's HP with 35% Recovery Potency every 2.9 seconds for 20 seconds, and increases max HP by 10%, and grant the user the "Starfall Strength" effect. Saint Starfall Lily will not stack, but Starfall Strength can stack up to three times.</t>
  </si>
  <si>
    <t>Sandalphon's Covenant III</t>
  </si>
  <si>
    <t>At the start of quests, inflicts the "Locked Sigil" debuff on the user for 180 seconds, but grants them the "Preservation Protocol" effect. If the user continues to charge their force strike, the effect granted to them will change every 1.5 seconds. The effect will cycle through the "Preservation Protocol," "Restoration Protocol," and "Purification Protocol" effects in that order. Locked Sigil's remaining time will be reduced by 10 seconds each time the user uses Tactical Skewer and by 30 seconds each time the user removes an affliction from an ally (includes herself). When the Locked Sigil effect wears off, the user will be granted the "Sigil Released" effect instead. Sigil Released grants the user Preservation Protocol, Restoration Protocol, and Purification Protocol. Also, Sigil Release will grants the user's force strikes the ability to dispel one enemy buff. Additionally, for every 15-hit combo, grants overdamage based on 50% of the user's strength. This effect will not stack, and is removed when the combo counter resets.</t>
  </si>
  <si>
    <t>Satan's Yoke III</t>
  </si>
  <si>
    <t>Grants the user a dragondrive gauge and changes the shapeshift button into a dragondrive button. Tapping this button activates their dragondrive. Dragondrive grants the following effects: The user's strength is increased by 20%. The user's standard attacks are changed. Swiping to dodge during a standard attack and then performing a standard attack during this dodge will resume the user's standard attack combo from their most recent attack. Inflicts the "Demon's Seal" debuff on the user at the start of quests for 180 seconds. During Demon's Seal, the user cannot activate their dragondrive, and their dragondrive gauge will not be filled. When the Demon's Seal effect wears off, the user will be granted the "Seal Released" effect instead. During Seal Released, the user's dragondrive gauge will gradually fill automatically by 300 UTP per second when their dragondrive is not active. When the user is summoned to fight through a team switch, they will begin the fight in their "Seal Released". Additionally, for every 15-hit combo, grants overdamage based on 50% of the user's strength. This effect will not stack, and is removed when the combo counter resets.</t>
  </si>
  <si>
    <t>Scarlet Warrior II</t>
  </si>
  <si>
    <t>Increases force strike damage by 50%. Using Scarlet Geyser grants the user the "Scarlet Warrior" effect. When this effect is active, the user's next force strike will deal 1 hit of 1300% flame damage and dispel one buff from each target. This effect cannot stack, and will be consumed on use. In addition, using any skill will grant the user a strength amp (Team Amp MAX Lv. = 3). After this amp is granted, this ability will not grant it again for 15 seconds.</t>
  </si>
  <si>
    <t>Scorchrent Punisher +30%</t>
  </si>
  <si>
    <t>Increases damage to scorchrent enemies by 30%.</t>
  </si>
  <si>
    <t>Increases the power of standard attacks and grants the user's force strikes the ability to dispel one enemy buff when the combo count is 15 or higher.</t>
  </si>
  <si>
    <t>Shadowwyrm's Nature III</t>
  </si>
  <si>
    <t>Reduces susceptibility to curses by 100% and increases damage to enemies with Spite by 15%. When Humanoid Zodiark is hit by an attack that would have inflicted him with stun, his strength is increased by 15% for 10 seconds. After activating, this buff will not activate again for 15 seconds. When shapeshifting for the first time, the user will transform into Zodiark regardless of what dragon they are equipped with, and adds 20% to the modifier applied to damage when in dragon form. The second time onwards, they will transform into High Zodiark instead. Also, using the user's first or second skills will grant them a strength amp (Team Amp MAX Lv. = 1).</t>
  </si>
  <si>
    <t>Increases critical rate by 15%, slows the rate the mode gauge increases by 30%, using any skill will grant the user a critical damage amp (Team Amp MAX Lv. = 3). After this amp is granted, this ability will not grant it again for 15 seconds. Using Seafarer's Pride grants the user the "Dispel Strike" effect. When this effect is active, the user's next force strike will dispel one enemy buff. This effect cannot stack, and will be consumed on use.</t>
  </si>
  <si>
    <t>Shikigami Vivifier III</t>
  </si>
  <si>
    <t>Fills the shikigami gauge by 60% every time the dragon gauge fills by 10%. Also, using any skill will grant the user a critical damage amp (Team Amp MAX Lv. = 3). After this amp is granted, this ability will not grant it again for 15 seconds.</t>
  </si>
  <si>
    <t>Skill Damage &amp; Flame Res I</t>
  </si>
  <si>
    <t>Increases attack skill damage by 34% and adds 10% to flame resistance.</t>
  </si>
  <si>
    <t>Skill Damage +40%</t>
  </si>
  <si>
    <t>Increases attack skill damage by 40%.</t>
  </si>
  <si>
    <t>Skill Haste &amp; Combo Time II</t>
  </si>
  <si>
    <t>Increases skill gauge fill rate by 10%, and extends the window between hitting an enemy and the combo counter resetting by 2.5 seconds.</t>
  </si>
  <si>
    <t>Skill Prep +100% &amp; Striking Haste +15%</t>
  </si>
  <si>
    <t>Fills 100% of skill gauges at the start of quests and increases skill gauge fill rate by 15% when the user's force strikes connect.</t>
  </si>
  <si>
    <t>Skills = Shapeshift Prep III</t>
  </si>
  <si>
    <t>Fills the user's dragon gauge by 5% when using skills. This includes weapon skills and shared skills, but not dragon skills. This is also not affected by Dragon Haste.</t>
  </si>
  <si>
    <t>Increases strength by 20% and using Crescendo Chorus grants the user the "Dispel Strike" effect. When this effect is active, the user's next force strike will dispel one enemy buff. This effect cannot stack, and will be consumed on use. Also, Curse of Nihility will not reset the user's energy level or inspiration level.</t>
  </si>
  <si>
    <t>Sparrow Spiker III</t>
  </si>
  <si>
    <t>Increases defense by 10%, and grants the user a unique force strike that has three increasingly powerful charge levels. Movement is possible while charging. Using Sparrow Splash grants the user the "Seaside Spirit" effect. When this effect is active, the user's next force strike will dispel one buff from each target and inflict poison - dealing 50% shadow damage every 2.9 seconds for 21 seconds - with 120% chance. This effect cannot stack, and will be consumed on use. Also, using Surging Sparrows will grant the user a defense amp (Team Amp MAX Lv. = 3). After this amp is granted, this ability will not grant it again for 15 seconds.</t>
  </si>
  <si>
    <t>Increases duration of buff skills by 35% and grants an HP regen buff to the entire team healing for 2% Max HP every 3.9 seconds for 20 seconds each time a defense up buff is received. In addition, gradually recovers the team's HP with 3% Recovery Potency every 2.9 seconds when they have a team defense amp.</t>
  </si>
  <si>
    <t>Squeaky Scramble III</t>
  </si>
  <si>
    <t>Reduces damage dealt by the user's initial skill, displayed at the top of their skill list, and dragon skill to enemies in break state by 15%, but increases attack rate by 5%. Also, increases the user's attack rate by a further 10% while their initial skill is available for use. In addition, grants the user's force strikes the ability to dispel one enemy buff when the combo count is 15 or higher.</t>
  </si>
  <si>
    <t>Star of the Dance III</t>
  </si>
  <si>
    <t xml:space="preserve">Increases force strike damage by 50%, increases it by an additional 2% for each buff and amp Chelle has (up to a maximum of 30%), and, when she has five or more Royal Pride stacks, creates a buff zone around her that reduces damage taken by 10% and lowers enemies' shadowblight resistance by 20%. </t>
  </si>
  <si>
    <t>Starlit Ambience III</t>
  </si>
  <si>
    <t>Using Starry Veil grants the user the "Astral Garnish" effect. When this effect is active, the user's skill gauge fill rate will be increased by 25%, and their next force strike will deal damage to multiple targets based on the number of Starlit Dining stacks the user has. This effect cannot stack, and will be consumed on use. Also, Curse of Nihility will not reset the user's energy level.</t>
  </si>
  <si>
    <t>Strength +20%</t>
  </si>
  <si>
    <t>Increases strength by 20%.</t>
  </si>
  <si>
    <t>Stunning Summer Scion III</t>
  </si>
  <si>
    <t>Increases the user's chances of inflicting flashburn by 50% and increases the damage dealt by the Sole Estivo skill by 70%. Also, when shapeshifting, the user will transform into Summer Cat Sìth regardless of what dragon they are equipped with, and adds 10% to the modifier applied to damage when in dragon form. Additionally, using Sole Estivo will grant the user a defense amp (Team Amp MAX Lv. = 3). After this amp is granted, this ability will not grant it again for 15 seconds.</t>
  </si>
  <si>
    <t>Increases the user's energy level by one stage for every 20-hit combo. Speeds the rate the mode gauge decreases by 40%. Using any skill will grant the user a defense amp (Team Amp MAX Lv. = 3). After this amp is granted, this ability will not grant it again for 15 seconds.</t>
  </si>
  <si>
    <t>Increases the user's inspiration level by one stage each time one of the user's attacks is a critical hit. When one of the user's attacks is a critical hit, increase the user's inspiration level by one stage and grant the user a critical damage amp (Team Amp MAX Lv. = 1). After activating, this ability will not activate again for 8 seconds.</t>
  </si>
  <si>
    <t>Increases skill gauge fill rate by 10%, and extends the window between hitting an enemy and the combo counter resetting by 2.5 seconds. In addition, using any skill will grant the user a defense amp (Team Amp MAX Lv. = 3). After this amp is granted, this ability will not grant it again for 15 seconds.</t>
  </si>
  <si>
    <t>Summer Sorceress II</t>
  </si>
  <si>
    <t>Fills 100% of skill gauges at the start of quests, and increases strength by 20%.</t>
  </si>
  <si>
    <t>Increases the duration of debuff skills by 20%. Also, using Sylvian Aim will grant Sarisse a strength amp (Team Amp MAX Lv. = 3). After this amps is granted, this ability will not grant it again for 15 seconds. Also, Curse of Nihility will not reset the user's energy level.</t>
  </si>
  <si>
    <t>Sylvan Strength IV</t>
  </si>
  <si>
    <t>Increases Sarisse's strength by 3% and critical rate by 2% for 15 seconds for every 20-hit combo. Also, using Cheerful Assist will grant Sarisse a strength amp (Team Amp MAX Lv. = 3) and a defense amp (Team Amp MAX Lv. = 3). After these amps are granted, this ability will not grant them again for 15 seconds.</t>
  </si>
  <si>
    <t>Team Defense Amp = HP Regen III</t>
  </si>
  <si>
    <t>Gradually recovers the user's HP with 7.2% Recovery Potency every 2.9 seconds when they have a team defense amp.</t>
  </si>
  <si>
    <t>Team Strength Amp = Team Reflexive Evasion</t>
  </si>
  <si>
    <t>When the user has a team strength amp, the entire team is granted a charge of Reflexive Evasion. If a teammate is hit with an attack that can be avoided by flicking the screen or damage immunity provided by skills, the damage will be nullified. This effect will not occur if the teammate is hit by an attack that cannot be avoided by flicking the screen or with the damage immunity avoided by skills. This effect will not stack. When Reflexive Evasion is removed from a teammate, this ability will grant it again in 15 seconds.</t>
  </si>
  <si>
    <t>The Great and Powerful Emperor Emile III</t>
  </si>
  <si>
    <t>Increases damage dealt by shared skills by 150%. Shared skills that deal damage will also inflict frostbite for 42 seconds - dealing 50% water damage every 2.9 seconds - with 120% chance.</t>
  </si>
  <si>
    <t>The Loving Hand II</t>
  </si>
  <si>
    <t>Increases force strike damage by 50% and skill gauge fill rate by 10%. Also immediately readies the Guardian's Grace skill for use when the user's HP drops to 30%. After activating, this effect will not activate again for 30 seconds.</t>
  </si>
  <si>
    <t>The Sugary Star II</t>
  </si>
  <si>
    <t>Increases damage to stunned enemies by 20% and, increases attack skill damage by 40%. Also, using Stunning Display will grant the user a strength amp (Team Amp MAX Lv. = 3). After this amp is granted, this ability will not grant it again for 15 seconds. Also, Curse of Nihility will not reset the user's energy level.</t>
  </si>
  <si>
    <t>Top Treasure Hunter</t>
  </si>
  <si>
    <t>Turbo Unit III</t>
  </si>
  <si>
    <t>Increases strength and defense by 20% and attack rate by 20% when the armament gauge has one or more charges. When the armament gauge has one or more charges, grants the user a strength amp (Team Amp MAX Lv. = 3). After this amp is granted, this ability will not grant it again for 15 seconds.</t>
  </si>
  <si>
    <t>Increases the chances of inflicting stun by 50% and increases damage to poisoned enemies by 30% and stunned enemies by 40%. In addition, using any skill grants the users a strength amp (Team Amp MAX Lv. = 3). After this amp is granted, this ability will not grant it again for 15 seconds.</t>
  </si>
  <si>
    <t>Unceasing Cyclone III</t>
  </si>
  <si>
    <t>Extends the window between hitting an enemy and the combo counter resetting by 2.5 seconds. When the "Brewing Storm Lv. 5" effect is active, creates a vortex around the user that deals 1 hit of 80% wind damage to surrounding enemies every 3 seconds. Also, grants the user's force strikes the ability to dispel one enemy buff when the combo count is 15 or higher. In addition, grants the user a strength amp (Team Amp MAX Lv. = 3) for every 15-hit combo. After this amp is granted, this ability will not grant it again for 15 seconds.</t>
  </si>
  <si>
    <t>Undying Will III</t>
  </si>
  <si>
    <t>Increases Audric's attack rate by 2% every time he uses a skill (up to 10%) and grants him a skill reservoir with three levels. This skill reservoir is filled when standard attacks, force strikes, and dash attacks connect with enemies. Also, grants Audric a defense amp (Team Amp MAX Lv. = 3) every time he uses a skill. After this amp is granted, this ability will not grant it again for 15 seconds.</t>
  </si>
  <si>
    <t>Uriel's Covenant III</t>
  </si>
  <si>
    <t>Inflicts the "Locked Sigil" debuff on the user at the start of quests for 180 seconds, and grants the user a unique force strike that dispels one buff from each target. While charging this force strike, if the user is hit by an attack that can be avoided with the damage immunity provided by skills, they will automatically dodge the attack, deal flame damage to enemies in a line, and inflict them with the "Uriel's Wrath" debuff. Locked Sigil's remaining time will be reduced by 40 seconds each time the user dodges an attack. After activating, this effect will not activate again for 5 seconds. When the Locked Sigil effect wears off, the user will be granted the "Sigil Released" effect instead. Sigil Released increases the damage dealt by standard attacks and force strikes, and the amount skill gauges are filled by standard attacks and force strikes. Damage from these attacks is increased by 35% against scorchrent enemies. It also increases the user's skill gauge fill rate by 15% while they have the "Uriel's Blessing" effect.</t>
  </si>
  <si>
    <t>Uriel's Judgment III</t>
  </si>
  <si>
    <t>Inflicts an attacking enemy with the "Uriel's Wrath" debuff when the user dodges that enemy's attack. After activating, this ability will not activate again for 15 seconds. In addition, using any skill will grant the user a defense amp (Team Amp MAX Lv. = 3). After this amp is granted, this ability will not grant it again for 15 seconds. Additionally, for every 15-hit combo, grants overdamage based on 50% of the user's strength. This effect will not stack, and is removed when the combo counter resets.</t>
  </si>
  <si>
    <t>Valentine's Escort</t>
  </si>
  <si>
    <t>Vampiric Potential III</t>
  </si>
  <si>
    <t xml:space="preserve">Increases Recovery Potency by 15%. Using Crimson Order grants the user a "Blood Pact." This effect can stack up to five times. If the user has five Blood Pacts, the skill gauge for Scarlet Gift will automatically fill by 8% every second. Abilities that increase skill gauge fill rate will not affect this automatic increase. </t>
  </si>
  <si>
    <t>Vengeful Commander II</t>
  </si>
  <si>
    <t>Increases strength by 15%. Also, using Steel Formation will grant the user a strength amp (Team Amp MAX Lv. = 3). After this amp is granted, this ability will not grant it again for 15 seconds.</t>
  </si>
  <si>
    <t>Wandering Festival Planner II</t>
  </si>
  <si>
    <t>Increases the user's strength and critical rate as their energy level increases. The maximum bonus, given when the user is energized, is strength +20% and critical rate +8%. Also, using Bold Blade will grant the user a defense amp (Team Amp MAX Lv. = 3) and make the next use of Festival Rush activate the Festival Dance variant instead. After this amp is granted, this ability will not grant it again for 15 seconds. In addition, Curse of Nihility will not reset the user's energy level.</t>
  </si>
  <si>
    <t>Waterwyrm's Nature III</t>
  </si>
  <si>
    <t>Reduces susceptibility to bog by 100%. When Humanoid Mercury is hit by an attack that would have inflicted her with bog, her strength is increased by 15% for 10 seconds. After activating, this buff will not activate again for 15 seconds. When shapeshifting for the first time, the user will transform into Mercury regardless of what dragon they are equipped with. The second time onwards, they will transform into High Mercury instead. Also, adds 20% to the modifier applied to damage when in dragon form.</t>
  </si>
  <si>
    <t>White Sparrow II</t>
  </si>
  <si>
    <t>Fills 100% of skill gauges at the start of quests and increases the duration of debuff skills by 25%. In addition, using a skill will grant the user a strength amp (Team Amp MAX Lv. = 3). After this amp is granted, this ability will not grant it again for 15 seconds.</t>
  </si>
  <si>
    <t>Wild Noble II</t>
  </si>
  <si>
    <t>Increases force strike damage by 50%. Using Wild Strike grants the user the "Dispel Strike" effect. When this effect is active, the user's next force strike will dispel one enemy buff. This effect cannot stack, and will be consumed on use. Additionally, using any skill will grant the user a defense amp (Team Amp MAX Lv. = 3). After this amp is granted, this ability will not grant it again for 15 seconds.</t>
  </si>
  <si>
    <t>Will of Rebellion III</t>
  </si>
  <si>
    <t>Grants the Persona element Curse to certain attacks. Also grants the user a Persona gauge, and changes the shapeshift button into a Persona button. Tapping this button summons Arsène. While summoned, Arsène will attack together with the user. Additionally, increases defense by 10%, and grants the user a unique force strike that has two charge levels. At level two, it dispels one enemy buff, and partially fills the Persona gauge if the attack connects. Also, using any skill will grant the user a critical damage amp (Team Amp MAX Lv. = 3). After this amp is granted, this ability will not grant it again for 15 seconds.</t>
  </si>
  <si>
    <t>Windwyrm's Nature III</t>
  </si>
  <si>
    <t>Reduces susceptibility to stun by 100%. When Humanoid Midgardsormr is hit by an attack that would have inflicted him with stun, his strength is increased by 15% for 10 seconds. After activating, this buff will not activate again for 15 seconds. When shapeshifting, the user will transform into Midgardsormr regardless of what dragon they are equipped with, and adds 20% to the modifier applied to damage when in dragon form. In addition, using any skill will grant the user a strength amp (Team Amp MAX Lv. = 3). After this amp is granted, this ability will not grant it again for 15 seconds.</t>
  </si>
  <si>
    <t>World's Dream III</t>
  </si>
  <si>
    <t>Grants the user's force strikes the ability to dispel one enemy buff when the combo count is 15 or higher. Also, increases force strike damage by 50%. In addition, using a skill will grant the user a critical damage amp (Team Amp MAX Lv. = 3). After this amp is granted, this ability will not grant it again for 15 seconds.</t>
  </si>
  <si>
    <t>Wyrmbound III</t>
  </si>
  <si>
    <t>Grants the user a dragondrive gauge, and changes the shapeshift button into a dragondrive button. Tapping this button activates their dragondrive. During dragondrive, standard attacks will fill the user's dragondrive gauge, the user's skill damage will be increased by 40%, and defense will be increased by 20%. In addition, using any skill will grant the user a defense amp (Team Amp MAX Lv. = 3). After this amp is granted, this ability will not grant it again for 15 seconds.</t>
  </si>
  <si>
    <t>Wyrmbound Shell III</t>
  </si>
  <si>
    <t>Grants the user a dragondrive gauge and changes the shapeshift button into a dragondrive button. Tapping this button activates their dragondrive. Dragondrive grants the following effects: The user's standard attacks and force strikes are changed, their damage is increased as the user's HP increases, and they fill the user's dragondrive gauge if they connect. The user's defense will be increased by 50%.</t>
  </si>
  <si>
    <t>Xihe's Radiance III</t>
  </si>
  <si>
    <t>Fills 100% of skill gauges at the start of quests, and grants the user a charge gauge that holds up to 100 CP. The charge gauge fills when Coalescent Light is used. When the gauge is completely filled, Surging Light, Coalescent Light, and the user's force strike will each be upgraded once. These upgrades will not stack, and will be consumed on use. The upgraded force strike will lower foes' paralysis resistance by 20% for 30 seconds. This resistance reduction effect will not stack. Also, using Coalescent Light grant the user a defense amp (Team Amp MAX Lv. = 3). After this amp is granted, this ability will not grant it again for 15 seconds.</t>
  </si>
  <si>
    <t>Increases attack skill damage by 40%. In addition, using any skill will grant the user a critical damage amp (Team Amp MAX Lv. = 1). After this amp is granted, this ability will not grant it again for 8 seconds.</t>
  </si>
  <si>
    <t>Yuletide Tactics III</t>
  </si>
  <si>
    <t>Using Candy Cane Offensive grants the user the "Merry Mobilizer" effect. When this effect is active, the user's next force strike will create a buff zone that lasts for 10 seconds and increases the critical rate of adventurers inside it by 15%. This buff zone is not affected by Curse of Nihility. This effect cannot stack, and will be consumed on use. In addition, using Candy Cane Offensive grants the user a critical damage amp (Team Amp MAX Lv. = 1). After this amp is granted, this ability will not grant it again for 8 seconds.</t>
  </si>
  <si>
    <t>Total Ability Count (Only Original 298 Adventurers)</t>
  </si>
  <si>
    <t>New</t>
  </si>
  <si>
    <t>V3 Count</t>
  </si>
  <si>
    <t>20 Hits = Critical Damage +10%</t>
  </si>
  <si>
    <t>Adds 10% to the modifier applied to critical damage for 20 seconds for every 20-hit combo.</t>
  </si>
  <si>
    <t>20 Hits = Overdamage</t>
  </si>
  <si>
    <t>For every 20-hit combo, grants overdamage based on 20% of the user's strength. This effect will not stack, and is removed when the combo counter resets.</t>
  </si>
  <si>
    <t>25 Hits = Critical Damage +10%</t>
  </si>
  <si>
    <t>Adds 10% to the modifier applied to critical damage for 20 seconds for every 25-hit combo.</t>
  </si>
  <si>
    <t>40 Hits = Energy Level Up</t>
  </si>
  <si>
    <t>Increases the user's energy level by one stage for every 40-hit combo.</t>
  </si>
  <si>
    <t>Abyssal Dragon I</t>
  </si>
  <si>
    <t>Grants the user a dragondrive gauge, and changes the shapeshift button into a dragondrive button. Tapping this button activates their dragondrive. During dragondrive, the user's skill damage will be increased by 30%, and their skill gauges will fill 20% faster.</t>
  </si>
  <si>
    <t>Accelerator Unit I</t>
  </si>
  <si>
    <t>Using Mascula's initial skill, displayed at the top of his skill list, grants him a Strength Amp (Team Amp MAX Lv. = 3). After this amp is granted, this ability will not grant it again for 20 seconds._x000D_
_x000D_
Master Control (granted by his second skill) grants Mascula the following effects:_x000D_
His standard attacks are buffed and deal additional blows to multiple nearby targets._x000D_
The fourth attack in his standard attack combo dispels one enemy buff._x000D_
His attack rate is increased by 4%._x000D_
When the combo count is 30 or higher, his strength is increased by 7%, his critical rate by 5%, and 5% is added to the modifier applied to his critical damage._x000D_
_x000D_
When Master Control is lost, the skill gauge for Mascula's second skill will be filled by 25%. Also, Master Control will be lost upon shapeshifting.</t>
  </si>
  <si>
    <t>Using Mascula's initial skill, displayed at the top of his skill list, grants him a Strength Amp (Team Amp MAX Lv. = 3). After this amp is granted, this ability will not grant it again for 20 seconds.
Master Control (granted by his second skill) grants Mascula the following effects: His standard attacks are buffed and deal additional blows to multiple nearby targets. The fourth attack in his standard attack combo dispels one enemy buff. His attack rate is increased by 6%. When the combo count is 30 or higher, his strength is increased by 10%, his critical rate by 8%, and 8% is added to the modifier applied to his critical damage. When Master Control is lost, the skill gauge for Mascula's second skill will be filled by 50%. Also, Master Control will be lost upon shapeshifting.</t>
  </si>
  <si>
    <t>Afflicted Punisher I</t>
  </si>
  <si>
    <t>Increases damage to enemies inflicted with any affliction by 15%. Also, increases damage to enemies with 2 or more types of afflictions by up to an additional 15% based on the number of different afflictions they are inflicted with, up to a maximum of 4.</t>
  </si>
  <si>
    <t>Aid of the Ljósálfar I</t>
  </si>
  <si>
    <t>Grants the entire team a "Life Shield" with an HP value equal to 10% of the user's max HP at the start of quests. Using Gentle Dream grants the user the "Empowering Dreams" effect. When this effect is active, the user's next force strike will fill 20% of skill gauges for each team member's initial skill (with the exception of Peony), and grant the following effects to all team members for 10 seconds, none of which will stack:- Increases strength by 5%_x000D_
- Increases attack rate by 10%_x000D_
- Increases defense by 15%_x000D_
- Adds 5% to shadow resistance_x000D_
- Increases movement speed by 5%.The Empowering Dreams effect cannot stack, will be consumed on use, and will not activate again for 20 seconds after activating. If Gentle Dream is used during this time frame, the Empowering Dreams effect will still be granted to the user, but cannot be activated until the 20 second cooldown has elapsed.</t>
  </si>
  <si>
    <t>Alchemic Agility I</t>
  </si>
  <si>
    <t>Dodging will deal 7 hits of 9% flame damage toward the target and fill the user's alchemy gauge by 3 CP. This ability also grants the user an alchemy gauge. The alchemy gauge fills when standard attacks and dodge attacks connect with enemies. Also, each time one charge of the alchemy gauge is filled, the user will be granted an alchemic cartridge.</t>
  </si>
  <si>
    <t>Almighty Rage I</t>
  </si>
  <si>
    <t>Fills 25% of the dragon gauge at the start of quests and extends shapeshift time by 50%, but doubles the amount of dragon energy required to shapeshift. (The user's maximum dragon energy will not be increased.)_x000D_
_x000D_
Also, grants the user a dragon strike while shapeshifted as Bahamut. This dragon strike deals 4 hits of 272% shadow damage to multiple targets and enemies near those targets, and provides 10 SP._x000D_
_x000D_
The maximum amount of the dragon gauge that abilities can fill at the start of quests will be limited to 50% for the entire team.</t>
  </si>
  <si>
    <t>Almighty Rage II</t>
  </si>
  <si>
    <t>Fills 50% of the dragon gauge at the start of quests and extends shapeshift time by 100%, but doubles the amount of dragon energy required to shapeshift. (The user's maximum dragon energy will not be increased.)_x000D_
_x000D_
Also, grants the user a dragon strike while shapeshifted as Bahamut. This dragon strike deals 4 hits of 272% shadow damage to multiple targets and enemies near those targets, and provides 10 SP._x000D_
_x000D_
The maximum amount of the dragon gauge that abilities can fill at the start of quests will be limited to 50% for the entire team.</t>
  </si>
  <si>
    <t>Arc Absorption I</t>
  </si>
  <si>
    <t>Restores the user's HP with 60% Recovery Potency if they are in range of the attack dealt by the "Overcharged" effect when it is lost.</t>
  </si>
  <si>
    <t>Ascending Skill +5%</t>
  </si>
  <si>
    <t>Increases skill damage by 5% for the remainder of the quest every time the user uses a skill (up to three times per quest).</t>
  </si>
  <si>
    <t>Attack Master +70%</t>
  </si>
  <si>
    <t>Increases attack skill damage by 70%.</t>
  </si>
  <si>
    <t>Attack Master +75%</t>
  </si>
  <si>
    <t>Increases attack skill damage by 75%.</t>
  </si>
  <si>
    <t>Attack Master +80%</t>
  </si>
  <si>
    <t>Increases attack skill damage by 80%.</t>
  </si>
  <si>
    <t>Attack Master +85%</t>
  </si>
  <si>
    <t>Increases attack skill damage by 85%.</t>
  </si>
  <si>
    <t>Attack Master +90%</t>
  </si>
  <si>
    <t>Increases attack skill damage by 90%.</t>
  </si>
  <si>
    <t>Attacking Strength Debilitator</t>
  </si>
  <si>
    <t>Grants the user's standard attacks a 10% chance of reducing enemy strength by 10% for 10 seconds. This strength reduction will not stack.</t>
  </si>
  <si>
    <t>Auspex's Prayer I</t>
  </si>
  <si>
    <t>Increases passive strength by an amount equal to your passive HP bonuses (Dragon Aura and Wyrmprints). This bonus scales linearly with remaining HP from 1x at 100% HP to 0.4x at 70% and then further scaling down to 0x at 1 HP.</t>
  </si>
  <si>
    <t>Auspex's Prayer II</t>
  </si>
  <si>
    <t>Increases passive strength by an amount equal to your passive HP bonuses (Dragon Aura and Wyrmprints). This bonus scales linearly with remaining HP from 1x at 100% HP to 0.5x at 70% and then further scaling down to 0.1x at 1 HP.</t>
  </si>
  <si>
    <t>Barrage Devastation +3%</t>
  </si>
  <si>
    <t>Increases critical rate by 3% for every 30-hit combo (up to three times per quest).</t>
  </si>
  <si>
    <t>Barrage Obliteration +5%</t>
  </si>
  <si>
    <t>Adds 5% to the modifier applied to critical damage for every 20-hit combo (up to three times per quest).</t>
  </si>
  <si>
    <t>Barrage Obliteration +6%</t>
  </si>
  <si>
    <t>Adds 6% to the modifier applied to critical damage for every 20-hit combo (up to three times per quest).</t>
  </si>
  <si>
    <t>Bearer of the Eight-span Mirror I</t>
  </si>
  <si>
    <t>Grants the user a dragondrive gauge, and changes the shapeshift button into a dragondrive button. Tapping this button activates their dragondrive. Dragondrive grants the following effects: The user's defense is increased by 15%. The user's attack skill damage is increased by 20%. The duration of the user's debuff skills is increased by 10%.</t>
  </si>
  <si>
    <t>Bleeding = HP Recovery I</t>
  </si>
  <si>
    <t>Restores the user's HP with 30% Recovery Potency upon successfully inflicting an enemy with bleeding. After activating, this ability will not activate again for five seconds.</t>
  </si>
  <si>
    <t>Bleeding = User Strength +8%</t>
  </si>
  <si>
    <t>Buffs the user's strength by 8% for 10 seconds upon successfully inflicting an enemy with bleeding. After activating, this ability will not activate again for five seconds.</t>
  </si>
  <si>
    <t>Bleeding Devastator +13%</t>
  </si>
  <si>
    <t>Increases critical rate by 13% against bleeding enemies.</t>
  </si>
  <si>
    <t>Blessed Bloodline I</t>
  </si>
  <si>
    <t>Grants the user a dragondrive gauge, and changes the shapeshift button into a dragondrive button. Tapping this button activates their dragondrive. Dragondrive grants the following effects:_x000D_
_x000D_
・The user's standard attacks, dash attacks, and force strikes are changed and fill the user's dragondrive gauge if they connect._x000D_
・The user's strength is increased by 10%._x000D_
・The user's attack rate is increased by 10%.</t>
  </si>
  <si>
    <t>Grants the user a dragondrive gauge, and changes the shapeshift button into a dragondrive button. Tapping this button activates their dragondrive. Dragondrive grants the following effects:_x000D_
_x000D_
・The user's standard attacks, dash attacks, and force strikes are changed and fill the user's dragondrive gauge if they connect._x000D_
・The user's strength is increased by 15%._x000D_
・The user's attack rate is increased by 10%.</t>
  </si>
  <si>
    <t>Blessing of Creation I</t>
  </si>
  <si>
    <t>Reduces susceptibility to blindness and paralysis by 50%.</t>
  </si>
  <si>
    <t>Blinded Punisher +10%</t>
  </si>
  <si>
    <t>Increases damage to blinded enemies by 10%.</t>
  </si>
  <si>
    <t>Blinded Punisher +25%</t>
  </si>
  <si>
    <t>Increases damage to blinded enemies by 25%.</t>
  </si>
  <si>
    <t>Blinded Punisher +30%</t>
  </si>
  <si>
    <t>Increases damage to blinded enemies by 30%.</t>
  </si>
  <si>
    <t>Blindness = Team Strength +8%</t>
  </si>
  <si>
    <t>Buffs the entire team's strength by 8% for 10 seconds upon successfully blinding an enemy. After activating, this ability will not activate again for five seconds.</t>
  </si>
  <si>
    <t>Blindness Res +15%</t>
  </si>
  <si>
    <t>Reduces susceptibility to blindness by 15%.</t>
  </si>
  <si>
    <t>Blindness Res +20%</t>
  </si>
  <si>
    <t>Reduces susceptibility to blindness by 20%.</t>
  </si>
  <si>
    <t>Blissful Memories I</t>
  </si>
  <si>
    <t>Fills the skill gauge for "Bliss Eternal" by 25% every time three force-strike hits connect during the same combo. Connecting multiples of three hits will trigger this ability multiple times.</t>
  </si>
  <si>
    <t>Blistering Affection I</t>
  </si>
  <si>
    <t>When the user is hit by an attack that inflicts burn, the skill gauge for Infinite Love is filled by 20%, and the "Heart Ablaze" effect is activated for eight seconds. During Heart Ablaze, the user's attack rate is increased by 10%, and their next three force strikes are granted the ability to dispel one enemy buff. Heart Ablaze will not stack, and, after activating, this ability will not activate again for five seconds.</t>
  </si>
  <si>
    <t>Blossoming Rose I</t>
  </si>
  <si>
    <t>Grants the user one stack of "Stronger Bullets" for every 40-hit combo. This buff increases the user's critical rate by 4%, and can stack up to three times. The effects of Stronger Bullets will be removed upon using Graceful Bullet.</t>
  </si>
  <si>
    <t>Bog = Team Strength +10%</t>
  </si>
  <si>
    <t>Buffs the entire team's strength by 10% for 10 seconds upon successfully inflicting an enemy with bog. After activating, this ability will not activate again for five seconds.</t>
  </si>
  <si>
    <t>Bog = Team Strength +8%</t>
  </si>
  <si>
    <t>Buffs the entire team's strength by 8% for 10 seconds upon successfully inflicting an enemy with bog. After activating, this ability will not activate again for five seconds.</t>
  </si>
  <si>
    <t>Bog Res +15%</t>
  </si>
  <si>
    <t>Reduces susceptibility to bog by 15%.</t>
  </si>
  <si>
    <t>Bog Res +20%</t>
  </si>
  <si>
    <t>Reduces susceptibility to bog by 20%.</t>
  </si>
  <si>
    <t>Bog Res +40%</t>
  </si>
  <si>
    <t>Reduces susceptibility to bog by 40%.</t>
  </si>
  <si>
    <t>Bog Res +55%</t>
  </si>
  <si>
    <t>Reduces susceptibility to bog by 55%.</t>
  </si>
  <si>
    <t>Bog Res +60%</t>
  </si>
  <si>
    <t>Reduces susceptibility to bog by 60%.</t>
  </si>
  <si>
    <t>Bog Res +75%</t>
  </si>
  <si>
    <t>Reduces susceptibility to bog by 75%.</t>
  </si>
  <si>
    <t>Bondforged Auspex I</t>
  </si>
  <si>
    <t>When the user's HP drops to 30%, restores the user's HP with 100% Recovery Potency and, if the user has Power of Bonds, also restores HP to the rest of the team with 100% Recovery Potency. After activating, these effects will not activate again for 45 seconds.</t>
  </si>
  <si>
    <t>Bondforged Might I</t>
  </si>
  <si>
    <t>Increases attack skill damage by 15%. Also, increases attack skill damage by a further 35% when the user has Power of Bonds.</t>
  </si>
  <si>
    <t>Bow Expertise +1</t>
  </si>
  <si>
    <t>Grants the user a unique force strike, and increases force strike damage by 20%. Their force strike has four increasingly powerful charge levels and movement is possible while charging. In addition, it will reduce enemy strength by 15% for 10 seconds. This debuff will not stack.</t>
  </si>
  <si>
    <t>Bow's Psalm I</t>
  </si>
  <si>
    <t>If the user has one or more wyrmprints equipped with the Bow's Boon affinity, this ability decreases the number of wyrmprints necessary to activate the Bow's Boon affinity bonus by one.</t>
  </si>
  <si>
    <t>Bow's Psalm II</t>
  </si>
  <si>
    <t>If the user has one or more wyrmprints equipped with the Bow's Boon affinity, this ability decreases the number of wyrmprints necessary to activate the Bow's Boon affinity bonus by two.</t>
  </si>
  <si>
    <t>Bow's Psalm III</t>
  </si>
  <si>
    <t>If the user has one or more wyrmprints equipped with the Bow's Boon affinity, this ability decreases the number of wyrmprints necessary to activate the Bow's Boon affinity bonus by three.</t>
  </si>
  <si>
    <t>Broken Punisher +10%</t>
  </si>
  <si>
    <t>Increases damage to enemies in break state by 10%.</t>
  </si>
  <si>
    <t>Broken Punisher +15%</t>
  </si>
  <si>
    <t>Increases damage to enemies in break state by 15%.</t>
  </si>
  <si>
    <t>Broken Punisher +25%</t>
  </si>
  <si>
    <t>Increases damage to enemies in break state by 25%.</t>
  </si>
  <si>
    <t>Brunhilda Res +15%</t>
  </si>
  <si>
    <t>Reduces damage taken from Brunhilda by 15%.</t>
  </si>
  <si>
    <t>Brunhilda Res +18%</t>
  </si>
  <si>
    <t>Reduces damage taken from Brunhilda by 18%.</t>
  </si>
  <si>
    <t>Brunhilda Res +20%</t>
  </si>
  <si>
    <t>Reduces damage taken from Brunhilda by 20%.</t>
  </si>
  <si>
    <t>Bubble Shield I</t>
  </si>
  <si>
    <t>Grants the user the "Sphere of Protection" effect when they have a Team Strength Amp. Sphere of Protection gradually recovers the user's HP by 4% of max HP every 2.9 seconds, and grants a one-use shield that nullifies damage up to 20% of the user's maximum HP. This shield can stack with ordinary shields. Sphere of Protection will not stack, its effects are lost upon taking damage or if the user no longer has a Team Strength Amp, and, after Sphere of Protection has been lost, this ability will not activate again for 10 seconds.</t>
  </si>
  <si>
    <t>Buff Skill Time +10%</t>
  </si>
  <si>
    <t>Increases duration of buff skills by 10%.</t>
  </si>
  <si>
    <t>Increases duration of buff skills by 15%.</t>
  </si>
  <si>
    <t>Buff Skill Time +30%</t>
  </si>
  <si>
    <t>Increases duration of buff skills by 30%.</t>
  </si>
  <si>
    <t>Buff Skill Time +5%</t>
  </si>
  <si>
    <t>Increases duration of buff skills by 5%.</t>
  </si>
  <si>
    <t>Buff Skill Time +8%</t>
  </si>
  <si>
    <t>Increases duration of buff skills by 8%.</t>
  </si>
  <si>
    <t>Burn Res +15%</t>
  </si>
  <si>
    <t>Reduces susceptibility to burning by 15%.</t>
  </si>
  <si>
    <t>Burn Res +20%</t>
  </si>
  <si>
    <t>Reduces susceptibility to burning by 20%.</t>
  </si>
  <si>
    <t>Burning Punisher +20%</t>
  </si>
  <si>
    <t>Increases damage to burning enemies by 20%.</t>
  </si>
  <si>
    <t>Burning Punisher +25%</t>
  </si>
  <si>
    <t>Increases damage to burning enemies by 25%.</t>
  </si>
  <si>
    <t>Burning Punisher +30%</t>
  </si>
  <si>
    <t>Increases damage to burning enemies by 30%.</t>
  </si>
  <si>
    <t>Ceaseless Sales I</t>
  </si>
  <si>
    <t>Grants Pop-up Shop a skill gauge attached to its skill button. When the shopkeeper gauge has one or more charges, Pop-up Shop can be used even if its skill gauge is not filled. Using Pop-up Shop in this way will consume one charge of the shopkeeper gauge.</t>
  </si>
  <si>
    <t>Chef's Savvy I</t>
  </si>
  <si>
    <t>Using Fiend Banquet grants the user the "Plucked Mandradish" effect. When this effect is active, the user's skill gauge fill rate will be increased by 10%, and their next force strike will inflict poison. This effect cannot stack, and will be consumed on use.</t>
  </si>
  <si>
    <t>Chicken at Heart I</t>
  </si>
  <si>
    <t>Increases strength by 15% when HP is 60% or above, but decreases strength by 20% when HP is less than 60%.</t>
  </si>
  <si>
    <t>Chicken at Heart II</t>
  </si>
  <si>
    <t>Increases strength by 20% when HP is 60% or above, but decreases strength by 20% when HP is less than 60%.</t>
  </si>
  <si>
    <t>Clockwork Creature I</t>
  </si>
  <si>
    <t>Grants the user a clockwork gauge that is completely filled at the start of quests._x000D_
_x000D_
After the clockwork gauge is completely filled, it will be gradually depleted during force strikes, but will grant the user the following effects until it is completely depleted:_x000D_
・Damage dealt by force strikes is increased by 5%._x000D_
・The rate that force strikes decrease the mode gauge is sped up._x000D_
・Force strike attack rate is increased by 10%._x000D_
・Movement speed during force strikes is increased._x000D_
_x000D_
After the clockwork gauge is depleted, it will gradually fill automatically, and the user will not be able to use force strikes until it is filled.</t>
  </si>
  <si>
    <t>Combat Coordinator I</t>
  </si>
  <si>
    <t>Fills the user's unique shapeshift gauge by 100 UTP when their HP is restored. After activating, this ability will not activate again for 20 seconds.</t>
  </si>
  <si>
    <t>Combo Time +2</t>
  </si>
  <si>
    <t>Extends the window between hitting an enemy and the combo counter resetting by two seconds.</t>
  </si>
  <si>
    <t>Connecting Call I</t>
  </si>
  <si>
    <t>Increases Luca's critical rate by 3% for every buff with a different icon applied to him (up to 21%). In addition, applies one of the following buffs to Luca every time one of his attacks is a critical hit: Sylvan Secret Arts, Human Wisdom, and Rokkan Expertise. Each of these buffs increase Luca's critical rate by 3% for 20 seconds. Only one instance of each buff can be active at the same time. After activating, this ability will not activate again for three seconds.</t>
  </si>
  <si>
    <t>Connecting Call II</t>
  </si>
  <si>
    <t>Increases Luca's critical rate by 4% for every buff with a different icon applied to him (up to 28%). In addition, applies one of the following buffs to Luca every time one of his attacks is a critical hit: Sylvan Secret Arts, Human Wisdom, and Rokkan Expertise. Each of these buffs increase Luca's critical rate by 3% for 20 seconds. Only one instance of each buff can be active at the same time. After activating, this ability will not activate again for three seconds.</t>
  </si>
  <si>
    <t>Conquering Scion I</t>
  </si>
  <si>
    <t>When shapeshifting, Leonidas will transform into Mars regardless of what dragon he is equipped with.</t>
  </si>
  <si>
    <t>Conqueror's Will I</t>
  </si>
  <si>
    <t>Reduces susceptibility to stun and sleep by 50%.</t>
  </si>
  <si>
    <t>Critical Damage +10%</t>
  </si>
  <si>
    <t>Adds 10% to the modifier applied to critical damage.</t>
  </si>
  <si>
    <t>Critical Damage +8%</t>
  </si>
  <si>
    <t>Adds 8% to the modifier applied to critical damage.</t>
  </si>
  <si>
    <t>Critical Damage Doublebuff +10%</t>
  </si>
  <si>
    <t>Adds 10% to the modifier applied to critical damage for 15 seconds each time a defense up buff is received.</t>
  </si>
  <si>
    <t>Critical Damage Doublebuff +15%</t>
  </si>
  <si>
    <t>Adds 15% to the modifier applied to critical damage for 15 seconds each time a defense up buff is received.</t>
  </si>
  <si>
    <t>Critical Damage Doublebuff +8%</t>
  </si>
  <si>
    <t>Adds 8% to the modifier applied to critical damage for 15 seconds each time a defense up buff is received.</t>
  </si>
  <si>
    <t>Critical Frenzy I</t>
  </si>
  <si>
    <t>Increases critical rate by 2% for every 15-hit combo (up to three times per combo), and adds 2% to the modifier applied to critical damage each time one of the user's attacks is a critical hit (up to 10 times per combo). After activating, this critical damage increase will not activate again for one second. These buffs are removed when the combo counter resets.</t>
  </si>
  <si>
    <t>Critical Hit = Attack Rate I</t>
  </si>
  <si>
    <t>Increases attack rate by 10% for 20 seconds each time one of the user's attacks is a critical hit. After activating, this ability will not activate again for 15 seconds.</t>
  </si>
  <si>
    <t>Critical Hit = Attack Rate II</t>
  </si>
  <si>
    <t>Increases attack rate by 10% for 20 seconds each time one of the user's attacks is a critical hit. After activating, this ability will not activate again for 10 seconds.</t>
  </si>
  <si>
    <t>Critical Hit = Critical Damage I</t>
  </si>
  <si>
    <t>Adds 20% to the modifier applied to critical damage for 20 seconds each time one of the user's attacks is a critical hit. After activating, this ability will not activate again for seven seconds.</t>
  </si>
  <si>
    <t>Critical Hit = Inspiration Level Up I</t>
  </si>
  <si>
    <t>Increases the user's inspiration level by one stage each time one of the user's attacks is a critical hit. After activating, this ability will not activate again for 15 seconds.</t>
  </si>
  <si>
    <t>Critical Output I</t>
  </si>
  <si>
    <t>Increases Ilia's critical rate by 20% for 15 seconds when an alchemic cartridge is consumed by any means other than depletion of time.</t>
  </si>
  <si>
    <t>Critical Rate +2%</t>
  </si>
  <si>
    <t>Increases critical rate by 2%.</t>
  </si>
  <si>
    <t>Critical Rate +3%</t>
  </si>
  <si>
    <t>Increases critical rate by 3%.</t>
  </si>
  <si>
    <t>Critical Rate +4%</t>
  </si>
  <si>
    <t>Increases critical rate by 4%.</t>
  </si>
  <si>
    <t>Critical Rate +5%</t>
  </si>
  <si>
    <t>Increases critical rate by 5%.</t>
  </si>
  <si>
    <t>Critical Rate +6%</t>
  </si>
  <si>
    <t>Increases critical rate by 6%.</t>
  </si>
  <si>
    <t>Critical Rate +8%</t>
  </si>
  <si>
    <t>Increases critical rate by 8%.</t>
  </si>
  <si>
    <t>Crystalian Shield I</t>
  </si>
  <si>
    <t>Reduces susceptibility to burning and stun by 50%.</t>
  </si>
  <si>
    <t>Curse Amp +70%</t>
  </si>
  <si>
    <t>If the user is attuned to Shadow: increases attack skill damage by 70%, and grants attacks the Persona element Curse.</t>
  </si>
  <si>
    <t>Curse Amp +75%</t>
  </si>
  <si>
    <t>If the user is attuned to Shadow: increases attack skill damage by 75%, and grants attacks the Persona element Curse.</t>
  </si>
  <si>
    <t>Curse Amp +80%</t>
  </si>
  <si>
    <t>If the user is attuned to Shadow: increases attack skill damage by 80%, and grants attacks the Persona element Curse.</t>
  </si>
  <si>
    <t>Curse Amp +85%</t>
  </si>
  <si>
    <t>If the user is attuned to Shadow: increases attack skill damage by 85%, and grants attacks the Persona element Curse.</t>
  </si>
  <si>
    <t>Curse Amp +90%</t>
  </si>
  <si>
    <t>If the user is attuned to Shadow: increases attack skill damage by 90%, and grants attacks the Persona element Curse.</t>
  </si>
  <si>
    <t>Curse Res +15%</t>
  </si>
  <si>
    <t>Reduces susceptibility to curses by 15%.</t>
  </si>
  <si>
    <t>Curse Res +20%</t>
  </si>
  <si>
    <t>Reduces susceptibility to curses by 20%.</t>
  </si>
  <si>
    <t>Curse Res +55%</t>
  </si>
  <si>
    <t>Reduces susceptibility to curses by 55%.</t>
  </si>
  <si>
    <t>Curse Res +60%</t>
  </si>
  <si>
    <t>Reduces susceptibility to curses by 60%.</t>
  </si>
  <si>
    <t>Dancing Panther I</t>
  </si>
  <si>
    <t>Grants the Persona element Fire to certain attacks. Also grants the user a Persona gauge, and changes the shapeshift button into a Persona button. Tapping this button summons Carmen. While summoned, Carmen will attack together with the user._x000D_
_x000D_
Additionally, increases defense by 3%, and grants the user a unique force strike.</t>
  </si>
  <si>
    <t>Grants the Persona element Fire to certain attacks. Also grants the user a Persona gauge, and changes the shapeshift button into a Persona button. Tapping this button summons Carmen. While summoned, Carmen will attack together with the user.
Additionally, increases defense by 6%, and grants the user a unique force strike.</t>
  </si>
  <si>
    <t>Dark Experiment I</t>
  </si>
  <si>
    <t>Allows the user to carry out dash attacks by tapping the screen during a dodge and increases the damage dealt by dash attacks by 200%. If this dash attack is followed immediately by a standard attack, the user's combo will begin with the second attack in their standard attack combo._x000D_
_x000D_
Also, grants the user a "Combo Sample" when the fifth attack in their standard attack combo connects with enemies, a "Strike Sample" when their force strikes connect with enemies, and a "Dash Sample" when their dash attacks connect with enemies. These effects will not stack._x000D_
_x000D_
When the user has all three of these effects, their first and second skills will be powered up. Using one of these powered-up skills will consume all three effects.</t>
  </si>
  <si>
    <t>Dauntless Strength +15%</t>
  </si>
  <si>
    <t>Increases strength by 15% for every 15 seconds that pass without the user being knocked back by an enemy. This buff can stack up to three times. All stacks will be lost upon being knocked back by an enemy.</t>
  </si>
  <si>
    <t>Dauntless Strength +20%</t>
  </si>
  <si>
    <t>Increases strength by 20% for every 15 seconds that pass without the user being knocked back by an enemy. This buff can stack up to three times. All stacks will be lost upon being knocked back by an enemy.</t>
  </si>
  <si>
    <t>Debuff Skill Time +10%</t>
  </si>
  <si>
    <t>Increases duration of debuff skills by 10%.</t>
  </si>
  <si>
    <t>Debuff Skill Time +12%</t>
  </si>
  <si>
    <t>Increases duration of debuff skills by 12%.</t>
  </si>
  <si>
    <t>Debuff Skill Time +14%</t>
  </si>
  <si>
    <t>Increases duration of debuff skills by 14%.</t>
  </si>
  <si>
    <t>Debuff Skill Time +15%</t>
  </si>
  <si>
    <t>Increases duration of debuff skills by 15%.</t>
  </si>
  <si>
    <t>Deepest Dedication I</t>
  </si>
  <si>
    <t>Defense +10%</t>
  </si>
  <si>
    <t>Increases defense by 10%.</t>
  </si>
  <si>
    <t>Increases defense by 15%.</t>
  </si>
  <si>
    <t>Defense +30%</t>
  </si>
  <si>
    <t>Increases defense by 30%.</t>
  </si>
  <si>
    <t>Defense +80%</t>
  </si>
  <si>
    <t>Increases defense by 80%.</t>
  </si>
  <si>
    <t>Defense Reduced = Debuff Edge I</t>
  </si>
  <si>
    <t>Increases the chances of inflicting debuffs by 40% for five seconds upon successfully reducing an enemy's defense. After activating, this ability will not activate again for five seconds.</t>
  </si>
  <si>
    <t>Defense Reduced = User Shield I</t>
  </si>
  <si>
    <t>Grants the user a one-use shield that nullifies damage up to 15% of the user's maximum HP upon successfully reducing an enemy's defense. After activating, this ability will not activate again for five seconds. This does not stack with any other shields.</t>
  </si>
  <si>
    <t>Demihuman's Bane +20%</t>
  </si>
  <si>
    <t>Increases damage to demihumans by 20%.</t>
  </si>
  <si>
    <t>Demon's Bane +20%</t>
  </si>
  <si>
    <t>Increases damage to demons by 20%.</t>
  </si>
  <si>
    <t>Determination I</t>
  </si>
  <si>
    <t>Increases damage dealt by the skill Chrono Trial based on the number of Overload stacks the user has. The first stack will increase damage by 15%, with additional stacks increasing damage by 5% each.</t>
  </si>
  <si>
    <t>Divine Ethos I</t>
  </si>
  <si>
    <t>Increases strength by 5%, and increases the potency of recovery skills by 10% for 10 seconds after using Twilight Crown._x000D_
_x000D_
Using Celestial Prayer grants the user the "Sacred Logos" effect. When this effect is active, the user's next force strike grants an HP regen buff to the entire team with 10% (12%) Recovery Potency for Force Strike level 1 (level 2), healing every 2.9 seconds for 15 seconds. This effect cannot stack, and will be consumed on use.</t>
  </si>
  <si>
    <t>Divine Oath I</t>
  </si>
  <si>
    <t>Elisanne will gain the "Divine Revelation" effect for 12 seconds if any of the following occur: her force strike connects, she uses a skill, or she executes a 10-hit combo. This effect cannot stack, and when it is active, Elisanne will be immune to knockback.</t>
  </si>
  <si>
    <t>Divine Oath II</t>
  </si>
  <si>
    <t>Elisanne will gain the "Divine Revelation" effect for 13 seconds if any of the following occur: her force strike connects, she uses a skill, or she executes a 10-hit combo. This effect cannot stack, and when it is active, Elisanne will be immune to knockback.</t>
  </si>
  <si>
    <t>Dodge Charge I</t>
  </si>
  <si>
    <t>Fills 15% of the skill gauges for the user's first and second skills when the user dodges an attack. After activating, this ability will not activate again for 15 seconds.</t>
  </si>
  <si>
    <t>Double-Edged Revelation I</t>
  </si>
  <si>
    <t>Grants the user a "Soul Seal" every time one hit of Soul Deprivation connects with an enemy. This buff's effects are based on the number of Soul Seals the user has, up to a maximum of four.
One: Increases the damage dealt by the user's attacks by 10%.
Two: Increases the damage dealt by the user's attacks by 15%.
Three: Increases the damage dealt by the user's attacks by 20%.
Four: Increases the damage dealt by the user's attacks by 60%, but the user will take damage equal to 2% of their maximum HP for every attack.
This damage increase is not applied to Flametongue Unbound.
All Soul Seals will be lost upon shapeshifting.</t>
  </si>
  <si>
    <t>Draconic Charge I</t>
  </si>
  <si>
    <t>Fills 25% of the user's dragon gauge when their HP drops to 30% (once per quest).</t>
  </si>
  <si>
    <t>Draconic Charge II</t>
  </si>
  <si>
    <t>Fills 50% of the user's dragon gauge when their HP drops to 30% (once per quest).</t>
  </si>
  <si>
    <t>Draconic Dream I</t>
  </si>
  <si>
    <t>Increases defense while shapeshifted by 80%. When the "Dream Boost" effect is active, adds 15% to the modifier applied to damage when in dragon form.</t>
  </si>
  <si>
    <t>Draconic Resurrection I</t>
  </si>
  <si>
    <t>If the user's HP falls to zero while 50% or more of the dragon gauge is filled, this ability consumes 50% of the dragon gauge and, after five seconds, revives the user with 30% of their maximum HP (once per quest). This revive does not consume any of the revives provided for a given quest.</t>
  </si>
  <si>
    <t>Draconic Resurrection II</t>
  </si>
  <si>
    <t>If the user's HP falls to zero while 50% or more of the dragon gauge is filled, this ability consumes 50% of the dragon gauge and, after five seconds, revives the user with 40% of their maximum HP (once per quest). This revive does not consume any of the revives provided for a given quest.</t>
  </si>
  <si>
    <t>Draconic Resurrection III</t>
  </si>
  <si>
    <t>If the user's HP falls to zero while 50% or more of the dragon gauge is filled, this ability consumes 50% of the dragon gauge and, after five seconds, revives the user with 50% of their maximum HP (once per quest). This revive does not consume any of the revives provided for a given quest.</t>
  </si>
  <si>
    <t>Dragon Damage +10%</t>
  </si>
  <si>
    <t>Adds 10% to the modifier applied to damage when in dragon form.</t>
  </si>
  <si>
    <t>Dragon Damage +14%</t>
  </si>
  <si>
    <t>Adds 14% to the modifier applied to damage when in dragon form.</t>
  </si>
  <si>
    <t>Dragon Damage +18%</t>
  </si>
  <si>
    <t>Adds 18% to the modifier applied to damage when in dragon form.</t>
  </si>
  <si>
    <t>Dragon Damage +30%</t>
  </si>
  <si>
    <t>Adds 30% to the modifier applied to damage when in dragon form.</t>
  </si>
  <si>
    <t>Dragon Damage +4%</t>
  </si>
  <si>
    <t>Adds 4% to the modifier applied to damage when in dragon form.</t>
  </si>
  <si>
    <t>Dragon Damage +6%</t>
  </si>
  <si>
    <t>Adds 6% to the modifier applied to damage when in dragon form.</t>
  </si>
  <si>
    <t>Dragon Damage +8%</t>
  </si>
  <si>
    <t>Adds 8% to the modifier applied to damage when in dragon form.</t>
  </si>
  <si>
    <t>Dragon Haste +5%</t>
  </si>
  <si>
    <t>Increases dragon gauge fill rate by 5%.</t>
  </si>
  <si>
    <t>Dragon Haste +6%</t>
  </si>
  <si>
    <t>Increases dragon gauge fill rate by 6%.</t>
  </si>
  <si>
    <t>Dragon Haste +8%</t>
  </si>
  <si>
    <t>Increases dragon gauge fill rate by 8%.</t>
  </si>
  <si>
    <t>Dragon Scion I</t>
  </si>
  <si>
    <t>Replaces the dragon gauge with a Divine Dragon gauge that holds a max of 1,200 points. Tapping the gauge after it has filled to at least 560 points will allow Tiki to transform into her Divine Dragon form. By tapping the gauge a second time or after the gauge has been consumed, Tiki's transformation will end. Damage taken will be reduced by 50% when in Divine Dragon form.</t>
  </si>
  <si>
    <t>Dragon Time +10%</t>
  </si>
  <si>
    <t>Extends shapeshift time by 10%.</t>
  </si>
  <si>
    <t>Dragon Time +15%</t>
  </si>
  <si>
    <t>Extends shapeshift time by 15%.</t>
  </si>
  <si>
    <t>Extends shapeshift time by 20%.</t>
  </si>
  <si>
    <t>Dragon Time +20% &amp; (Element) Surge of Strength II</t>
  </si>
  <si>
    <t>If the user and the dragon have the same elemental attunement: grants the user the "Surge of Strength" effect at the start of quests for 180 seconds. During Surge of Strength, the user's strength is increased by 40%. Also, regardless of the user's attunement, extends shapeshift time by 20%.</t>
  </si>
  <si>
    <t>Dragon Time +5%</t>
  </si>
  <si>
    <t>Extends shapeshift time by 5%.</t>
  </si>
  <si>
    <t>Dragon Time +8%</t>
  </si>
  <si>
    <t>Extends shapeshift time by 8%.</t>
  </si>
  <si>
    <t>Dragonlight's Resolve I</t>
  </si>
  <si>
    <t>Reduces dragon gauge depletion over time by 20%, and increases attack rate when shapeshifted by 10%.</t>
  </si>
  <si>
    <t>Dragonlight's Resolve II</t>
  </si>
  <si>
    <t>Reduces dragon gauge depletion over time by 30%, and increases attack rate when shapeshifted by 10%.</t>
  </si>
  <si>
    <t>Dragon's Claws I</t>
  </si>
  <si>
    <t>Each shapeshift increases strength for the remainder of the quest (up to three times per quest). On first shapeshift strength is increased by 4% in total. On second shapeshift strength is increased by 10% in total. On third shapeshift strength is increased by 20% in total.</t>
  </si>
  <si>
    <t>Dragon's Claws II</t>
  </si>
  <si>
    <t>Each shapeshift increases strength for the remainder of the quest (up to three times per quest). On first shapeshift strength is increased by 5% in total. On second shapeshift strength is increased by 13% in total. On third shapeshift strength is increased by 25% in total.</t>
  </si>
  <si>
    <t>Dragon's Fierce Rule I</t>
  </si>
  <si>
    <t>Grants the user's standard attacks the ability to dispel one enemy buff when in dragon form.</t>
  </si>
  <si>
    <t>Dragon's Scales I</t>
  </si>
  <si>
    <t>Each shapeshift increases defense for the remainder of the quest (up to three times per quest). On first shapeshift defense is increased by 3% in total. On second shapeshift defense is increased by 8% in total. On third shapeshift defense is increased by 16% in total.</t>
  </si>
  <si>
    <t>Dragon's Scales II</t>
  </si>
  <si>
    <t>Each shapeshift increases defense for the remainder of the quest (up to three times per quest). On first shapeshift defense is increased by 5% in total. On second shapeshift defense is increased by 13% in total. On third shapeshift defense is increased by 25% in total.</t>
  </si>
  <si>
    <t>Dragon's Scales III</t>
  </si>
  <si>
    <t>Each shapeshift increases defense for the remainder of the quest (up to three times per quest). On first shapeshift defense is increased by 10% in total. On second shapeshift defense is increased by 21% in total. On third shapeshift defense is increased by 33% in total.</t>
  </si>
  <si>
    <t>Dragon's Skill I</t>
  </si>
  <si>
    <t>Each shapeshift increases attack skill damage by 4% (up to three times per quest).</t>
  </si>
  <si>
    <t>Dragon's Skill II</t>
  </si>
  <si>
    <t>Each shapeshift increases attack skill damage by 6% (up to three times per quest).</t>
  </si>
  <si>
    <t>Dragon's Skill III</t>
  </si>
  <si>
    <t>Each shapeshift increases attack skill damage by 8% (up to three times per quest).</t>
  </si>
  <si>
    <t>Dragonyule Blessing I</t>
  </si>
  <si>
    <t>If the user is attuned to Water: increases strength by 30% and critical rate by 15%.</t>
  </si>
  <si>
    <t>If the user is attuned to Water: increases strength by 30%, and critical rate by 15%.</t>
  </si>
  <si>
    <t>Dragonyule Blessing II</t>
  </si>
  <si>
    <t>If the user is attuned to Water: increases strength by 45% and critical rate by 20%.</t>
  </si>
  <si>
    <t>If the user is attuned to Water: increases strength by 33%, and critical rate by 15%.</t>
  </si>
  <si>
    <t>Dragonyule Blessing III</t>
  </si>
  <si>
    <t>If the user is attuned to Water: increases strength by 36%, and critical rate by 15%.</t>
  </si>
  <si>
    <t>Dragonyule Blessing IV</t>
  </si>
  <si>
    <t>If the user is attuned to Water: increases strength by 39%, and critical rate by 15%.</t>
  </si>
  <si>
    <t>Dragonyule Blessing V</t>
  </si>
  <si>
    <t>If the user is attuned to Water: increases strength by 45%, and critical rate by 20%.</t>
  </si>
  <si>
    <t>Dual-Sword Mastery I</t>
  </si>
  <si>
    <t>Grants Gatov a swordmaster gauge and, at the start of quests, immediately readies Counter Fang for use. Also, Gatov begins quests wielding an axe, but when the swordmaster gauge is completely filled, he will swap to dual swords. The gauge will then begin to gradually deplete automatically and activate the following effects until it is depleted: Gatov is granted knockback immunity. Gatov is granted a unique force strike that deals damage to surrounding enemies. Gatov's standard attack patterns and his first and second skills are changed. After the swordmaster gauge is depleted, Gatov will swap back to his axe, and the skill gauges for his first and second skills will be reset.</t>
  </si>
  <si>
    <t>Dynamic Defense I</t>
  </si>
  <si>
    <t>Fills 8% of skill gauges when the user is granted a defense amp.</t>
  </si>
  <si>
    <t>Electrically Charged I</t>
  </si>
  <si>
    <t>Increases strength by 20% when electrified.</t>
  </si>
  <si>
    <t>Electrically Charged II</t>
  </si>
  <si>
    <t>Increases strength by 25% when electrified.</t>
  </si>
  <si>
    <t>Elemental Res +10%</t>
  </si>
  <si>
    <t>Reduces all elementally attuned damage taken by 10%.</t>
  </si>
  <si>
    <t>Emergency Battery Unit I</t>
  </si>
  <si>
    <t>When the user's HP drops to 30%, consumes the entire armament gauge, and restores HP to the user based on the amount consumed, up to a maximum of 100% of the user's max HP. After activating, this ability will not activate again for 120 seconds.</t>
  </si>
  <si>
    <t>Emergency Repairs I</t>
  </si>
  <si>
    <t>Removes all buffs and debuffs on the user, activates "Shut Down" for 5 seconds, and grants them an HP regen buff, healing 20% Max HP every 1.5 seconds for 5 seconds, when HP drops to 30% (once per quest). Shut Down renders the user unable to move or attack for its duration.</t>
  </si>
  <si>
    <t>Endurance of the Dead I</t>
  </si>
  <si>
    <t>Increases the amount of HP the user revives with by 30% (once per quest).</t>
  </si>
  <si>
    <t>Enduring Ideals I</t>
  </si>
  <si>
    <t>When Nedrick's HP falls to zero, if he has the "Oblivion Overload Lv. 3" effect, grants all team members other than Nedrick "Oblivion Overload Lv. 1".</t>
  </si>
  <si>
    <t>Enemy Foresight I</t>
  </si>
  <si>
    <t>Activates reflexive evasion upon an enemy attack once every 60 seconds. This effect will not stack.</t>
  </si>
  <si>
    <t>Enemy Foresight II</t>
  </si>
  <si>
    <t>Activates reflexive evasion upon an enemy attack once every 45 seconds. This effect will not stack.</t>
  </si>
  <si>
    <t>Enemy Foresight III</t>
  </si>
  <si>
    <t>Activates reflexive evasion upon an enemy attack once every 30 seconds. This effect will not stack.</t>
  </si>
  <si>
    <t>Energized: Strength +15%</t>
  </si>
  <si>
    <t>Increases strength by 15% for 15 seconds each time the user is energized.</t>
  </si>
  <si>
    <t>Energy = Skill Haste II</t>
  </si>
  <si>
    <t>Increases the user's skill gauge fill rate as their energy level increases, from a minimum of 4% at level one, up to a maximum of 20% when the user is energized.</t>
  </si>
  <si>
    <t>Energy = Strength &amp; Critical Rate II</t>
  </si>
  <si>
    <t>Increases the user's strength and critical rate as their energy level increases. The maximum bonus, given when the user is energized, is strength +15% and critical rate +6%.</t>
  </si>
  <si>
    <t>Energy Prep I</t>
  </si>
  <si>
    <t>Increases the user's energy level by one stage at the start of quests.</t>
  </si>
  <si>
    <t>Energy Prep III</t>
  </si>
  <si>
    <t>Increases the user's energy level by three stages at the start of quests.</t>
  </si>
  <si>
    <t>Energy Prep V</t>
  </si>
  <si>
    <t>Energizes the user at the start of quests.</t>
  </si>
  <si>
    <t>Enigma I</t>
  </si>
  <si>
    <t>Dodge rolling will deal 7 hits of 9% light damage to nearby enemies. This attack will still be performed even if nothing was actually dodged.</t>
  </si>
  <si>
    <t>Epiphany I</t>
  </si>
  <si>
    <t>Reduces susceptibility to poison and curses by 50%.</t>
  </si>
  <si>
    <t>Evader's Devastation I</t>
  </si>
  <si>
    <t>When the user dodges via swipe, their critical rate is increased by 6% for 10 seconds. This critical rate increase will not stack. After activating, this ability will not activate again for five seconds.</t>
  </si>
  <si>
    <t>Exhilaration</t>
  </si>
  <si>
    <t>If the user is attuned to Light: increases shapeshift time for the entire team by 3 seconds. The team's shapeshift time can only be increased by a maximum of 5 seconds through this ability.</t>
  </si>
  <si>
    <t>Experience's Boon I</t>
  </si>
  <si>
    <t>Grants Ranzal an Attack Gauge and a Burst Gauge. The Attack Gauge fills when regular attacks connect with enemies, while the Burst Gauge is filled when force strikes successfully connect._x000D_
Ranzal's defense is increased by 5% for 1 completely filled gauge and 10% if both gauges are completely filled._x000D_
Any filled gauges are consumed when using the Cyclone Blade skill, increasing its power by 15% for 1 completely filled gauge and 50% if both gauges are completely filled.</t>
  </si>
  <si>
    <t>Experience's Boon II</t>
  </si>
  <si>
    <t>Grants Ranzal an Attack Gauge and a Burst Gauge. The Attack Gauge fills when regular attacks connect with enemies, while the Burst Gauge is filled when force strikes successfully connect._x000D_
Ranzal's defense is increased by 8% for 1 completely filled gauge and 15% if both gauges are completely filled._x000D_
Any filled gauges are consumed when using the Cyclone Blade skill, increasing its power by 20% for 1 completely filled gauge and 100% if both gauges are completely filled.</t>
  </si>
  <si>
    <t>Extra Energy II</t>
  </si>
  <si>
    <t>Grants a 50% chance that a user's energy level will increase by an additional stage upon being increased.</t>
  </si>
  <si>
    <t>Faerie Blessing I</t>
  </si>
  <si>
    <t>Reduces susceptibility to freeze and bog by 50%.</t>
  </si>
  <si>
    <t>Festival Fever I</t>
  </si>
  <si>
    <t>Increases the damage dealt by the user's attacks based on the number of active debuff zones._x000D_
_x000D_
One: increases damage by 5%._x000D_
Two or more: increases damage by 10%.</t>
  </si>
  <si>
    <t>Increases the damage dealt by the user's attacks based on the number of active debuff zones._x000D_
_x000D_
One: increases damage by 10%._x000D_
Two or more: increases damage by 15%.</t>
  </si>
  <si>
    <t>Reduces flame damage taken by 10%.</t>
  </si>
  <si>
    <t>Flame Res +3%</t>
  </si>
  <si>
    <t>Reduces flame damage taken by 3%.</t>
  </si>
  <si>
    <t>Flame Res +4%</t>
  </si>
  <si>
    <t>Reduces flame damage taken by 4%.</t>
  </si>
  <si>
    <t>Flame Res +5%</t>
  </si>
  <si>
    <t>Reduces flame damage taken by 5%.</t>
  </si>
  <si>
    <t>Flame Res +8%</t>
  </si>
  <si>
    <t>Reduces flame damage taken by 8%.</t>
  </si>
  <si>
    <t>Flamewyrm's Defiance I</t>
  </si>
  <si>
    <t>Reduces susceptibility to stun by 50%. When Mym is hit by an attack that would have stunned her, the skill gauge for the Dragon Claw skill fills by 25%. After activating, this gauge-filling effect will not activate again for 15 seconds.</t>
  </si>
  <si>
    <t>Flamewyrm's Defiance II</t>
  </si>
  <si>
    <t>Reduces susceptibility to stun by 100%. When Mym is hit by an attack that would have stunned her, the skill gauge for the Dragon Claw skill fills by 50%. After activating, this gauge-filling effect will not activate again for 15 seconds.</t>
  </si>
  <si>
    <t>Flamewyrm's Nature I</t>
  </si>
  <si>
    <t>Reduces susceptibility to burning by 100%. When shapeshifting for the first time, Mym will transform into Brunhilda regardless of what dragon she is equipped with, and she will be granted the "Draconic Power" effect for the remainder of the quest, which will increase her strength by 15%. The second time onwards, she will transform into High Brunhilda instead, and her attack rate while shapeshifted will increase by 15%.</t>
  </si>
  <si>
    <t>Flamewyrm's Nature II</t>
  </si>
  <si>
    <t>Reduces susceptibility to burning by 100%. When shapeshifting for the first time, Mym will transform into Brunhilda regardless of what dragon she is equipped with, and she will be granted the "Draconic Power" effect for the remainder of the quest, which will increase her strength by 15% and power up the Flames of Passion skill. The second time onwards, she will transform into High Brunhilda instead, and her attack rate while shapeshifted will increase by 15%.</t>
  </si>
  <si>
    <t>Reduces susceptibility to burning by 100%. When Mym is hit by an attack that would have inflicted her with burn, her strength is increased by 15% for 10 seconds. After activating, this buff will not activate again for 15 seconds.
Also, when shapeshifting for the first time, Mym will transform into Brunhilda regardless of what dragon she is equipped with, and she will be granted the "Draconic Power" effect for the remainder of the quest, which will increase her strength by 15% and power up the Flames of Passion skill. The second time onwards, she will transform into High Brunhilda instead, and her attack rate while shapeshifted will increase by 15%.
In addition, using a skill will grant Mym a strength amp (Team Amp MAX Lv. = 3). After this amp is granted, this ability will not grant it again for 30 seconds.</t>
  </si>
  <si>
    <t>Flamewyrm's Sweet Nature I</t>
  </si>
  <si>
    <t>Reduces susceptibility to burning by 100%. When shapeshifting, Mym will transform into Brunhilda regardless of what dragon she is equipped with, and her attack rate while shapeshifted will increase by 10%.</t>
  </si>
  <si>
    <t>Flash of Desperation I</t>
  </si>
  <si>
    <t>Reduces attack skill damage by 20%. Damage dealt by the user's skills will be increased as the user's HP decreases, up to 40% additional damage. This damage increase is calculated separately from normal skill damage.</t>
  </si>
  <si>
    <t>Flash of Desperation II</t>
  </si>
  <si>
    <t>Reduces attack skill damage by 20%. Damage dealt by the user's skills will be increased as the user's HP decreases, up to 50% additional damage. This damage increase is calculated separately from normal skill damage.</t>
  </si>
  <si>
    <t>Flash of Desperation III</t>
  </si>
  <si>
    <t>Reduces attack skill damage by 20%. Damage dealt by the user's skills will be increased as the user's HP decreases, up to 60% additional damage. This damage increase is calculated separately from normal skill damage.</t>
  </si>
  <si>
    <t>Flashburn Frenzy I</t>
  </si>
  <si>
    <t>Extends the window between hitting an enemy and the combo counter resetting by 0.5 seconds._x000D_
_x000D_
Also, increases the user's chances of inflicting flashburn by 20% for every 15-hit combo (up to three times per combo), and grants the user a stack of the "Flashburn Trickster" effect each time they inflict flashburn (up to three times per combo). Flashburn Trickster increases damage to flashburned enemies by 5%. These buffs are removed when the combo counter resets.</t>
  </si>
  <si>
    <t>Flashburned Punisher +15%</t>
  </si>
  <si>
    <t>Increases damage to flashburned enemies by 15%.</t>
  </si>
  <si>
    <t>Flashburned Punisher +20%</t>
  </si>
  <si>
    <t>Increases damage to flashburned enemies by 20%.</t>
  </si>
  <si>
    <t>Flashburned Punisher +25%</t>
  </si>
  <si>
    <t>Increases damage to flashburned enemies by 25%.</t>
  </si>
  <si>
    <t>Flurry Debilitator +15%</t>
  </si>
  <si>
    <t>Increases the chances of inflicting debuffs by 15% when the combo count is 15 or higher.</t>
  </si>
  <si>
    <t>Flurry Debilitator +20%</t>
  </si>
  <si>
    <t>Increases the chances of inflicting debuffs by 20% when the combo count is 15 or higher.</t>
  </si>
  <si>
    <t>Flurry Devastation +5%</t>
  </si>
  <si>
    <t>Increases critical rate by 5% when the combo count is 15 or higher.</t>
  </si>
  <si>
    <t>Flurry Freezer I</t>
  </si>
  <si>
    <t>When the combo count is 15 or higher, grants the user's standard attacks a 10% chance of inflicting freeze for 3-6 seconds.</t>
  </si>
  <si>
    <t>Flurry Poison Edge +50%</t>
  </si>
  <si>
    <t>Increases chances of inflicting poison by 50% when the combo count is 15 or higher.</t>
  </si>
  <si>
    <t>Flurry Poison Edge +60%</t>
  </si>
  <si>
    <t>Increases chances of inflicting poison by 60% when the combo count is 15 or higher.</t>
  </si>
  <si>
    <t>Flurry Scorchrend Edge &amp; Sting I</t>
  </si>
  <si>
    <t>When the combo count is 15 or higher, increases the chances of inflicting scorchrend by 40% and its duration by 20%.</t>
  </si>
  <si>
    <t>Flurry Scorchrent Punisher +30%</t>
  </si>
  <si>
    <t>Increases damage to scorchrent enemies by 30% when the combo count is 15 or higher.</t>
  </si>
  <si>
    <t>Flurry Slayer's Strength I</t>
  </si>
  <si>
    <t>Increases strength by 6% for every 5 enemies defeated (up to 5 times per quest), and increases strength by 8% when the combo count is 15 or higher.</t>
  </si>
  <si>
    <t>Flurry Strength +10%</t>
  </si>
  <si>
    <t>Increases strength by 10% when the combo count is 15 or higher.</t>
  </si>
  <si>
    <t>Flurry Strength +13%</t>
  </si>
  <si>
    <t>Increases strength by 13% when the combo count is 15 or higher.</t>
  </si>
  <si>
    <t>Flurry Strength +15%</t>
  </si>
  <si>
    <t>Increases strength by 15% when the combo count is 15 or higher.</t>
  </si>
  <si>
    <t>Food is the Source of All Life ☆ I</t>
  </si>
  <si>
    <t>The user's strength is increased by 15% for 10 seconds when their HP is restored. After activating, this ability will not activate again for 20 seconds.</t>
  </si>
  <si>
    <t>Forbidden Corrosion I</t>
  </si>
  <si>
    <t>Inflicts the user with the Creeping Corrosion debuff. Creeping Corrosion deals 1% Max HP damage every 2.9 seconds and reduces incoming healing by 50%. Every 5 seconds, the damage taken is increased by 1% Max HP. This accumulation will reset when 3000 HP is healed by the user.</t>
  </si>
  <si>
    <t>Forbidden Corrosion II</t>
  </si>
  <si>
    <t>Increases strength by 15%, but inflicts the user with the Creeping Corrosion debuff. Creeping Corrosion deals 1% Max HP damage every 2.9 seconds and reduces incoming healing by 50%. Every 5 seconds, the damage taken is increased by 1% Max HP. This accumulation will reset when 3000 HP is healed by the user.</t>
  </si>
  <si>
    <t>Forbidden Corrosion III</t>
  </si>
  <si>
    <t>Increases HP and strength by 15%, but inflicts the user with the Creeping Corrosion debuff. Creeping Corrosion deals 1% Max HP damage every 2.9 seconds and reduces incoming healing by 50%. Every 5 seconds, the damage taken is increased by 1% Max HP. This accumulation will reset when 3000 HP is healed by the user.</t>
  </si>
  <si>
    <t>Forbidden Power Within I</t>
  </si>
  <si>
    <t>Grants the user the "Brewing Storm" effect every time they execute a 100-hit combo or defeat five enemies. Brewing Storm has five progressively more powerful levels._x000D_
Lv. 1: Increases the damage dealt by the user's attacks by 10% for 60 seconds._x000D_
Lv. 2: Increases the damage dealt by the user's attacks by 15% for 60 seconds._x000D_
Lv. 3: Increases the damage dealt by the user's attacks by 20% for 60 seconds._x000D_
Lv. 4: Increases the damage dealt by the user's attacks by 25% for 60 seconds._x000D_
Lv. 5: Increases the damage dealt by the user's attacks by 40% for 60 seconds.</t>
  </si>
  <si>
    <t>Forbidden Procedure I</t>
  </si>
  <si>
    <t>Dispelling an enemy buff or barrier or using Aromatic Treat activates the following effects:_x000D_
・15% is added to the modifier applied to damage against light-attuned enemies for 30 seconds. This increase will not stack._x000D_
・The user is granted a defense amp (Team Amp MAX Lv. = 2). After this amp is granted, this ability will not grant it again for 10 seconds._x000D_
・The skill gauges for the user's first and second skills are filled by 10%. After activating, this effect will not activate again for 10 seconds._x000D_
_x000D_
Also, dispelling an enemy buff or barrier applies adaptive suppression that lowers the modifier applied to the target's affected damage by 10% for 10 seconds. This debuff will not stack.</t>
  </si>
  <si>
    <t>Force Charge I</t>
  </si>
  <si>
    <t>Fills 25% of skill gauges when the user's force strikes connect (once per quest).</t>
  </si>
  <si>
    <t>Force Charge II</t>
  </si>
  <si>
    <t>Fills 25% of skill gauges when the user's force strikes connect (up to twice per quest).</t>
  </si>
  <si>
    <t>Force Strike +10%</t>
  </si>
  <si>
    <t>Increases force strike damage by 10%.</t>
  </si>
  <si>
    <t>Force Strike +15%</t>
  </si>
  <si>
    <t>Increases force strike damage by 15%.</t>
  </si>
  <si>
    <t>Increases force strike damage by 20%.</t>
  </si>
  <si>
    <t>Force Strike +40%</t>
  </si>
  <si>
    <t>Increases force strike damage by 40%.</t>
  </si>
  <si>
    <t>Force Strike +5%</t>
  </si>
  <si>
    <t>Increases force strike damage by 5%.</t>
  </si>
  <si>
    <t>Force Strike +8%</t>
  </si>
  <si>
    <t>Increases force strike damage by 8%.</t>
  </si>
  <si>
    <t>Force Strike Attack Rate +15%</t>
  </si>
  <si>
    <t>Grants a buff that increases force strike attack rate by 15% while executing a force strike.</t>
  </si>
  <si>
    <t>Force Strike Damage &amp; Charge Rate I</t>
  </si>
  <si>
    <t>Increases force strike damage by 20% and charge rate by 15%.</t>
  </si>
  <si>
    <t>Freeze Res +15%</t>
  </si>
  <si>
    <t>Reduces susceptibility to freezing by 15%.</t>
  </si>
  <si>
    <t>Freeze Res +20%</t>
  </si>
  <si>
    <t>Reduces susceptibility to freezing by 20%.</t>
  </si>
  <si>
    <t>Freeze Res +40%</t>
  </si>
  <si>
    <t>Reduces susceptibility to freezing by 40%.</t>
  </si>
  <si>
    <t>Freeze Res +75%</t>
  </si>
  <si>
    <t>Reduces susceptibility to freezing by 75%.</t>
  </si>
  <si>
    <t>Frostbitten Punisher +10%</t>
  </si>
  <si>
    <t>Increases damage to frostbitten enemies by 10%.</t>
  </si>
  <si>
    <t>Frostbitten Punisher +15%</t>
  </si>
  <si>
    <t>Increases damage to frostbitten enemies by 15%.</t>
  </si>
  <si>
    <t>Frostbitten Punisher +25%</t>
  </si>
  <si>
    <t>Increases damage to frostbitten enemies by 25%.</t>
  </si>
  <si>
    <t>Full HP = Blindness +50%</t>
  </si>
  <si>
    <t>Increases the chances of inflicting blindness by 50% when HP is full.</t>
  </si>
  <si>
    <t>Full HP = Blindness +60%</t>
  </si>
  <si>
    <t>Increases the chances of inflicting blindness by 60% when HP is full.</t>
  </si>
  <si>
    <t>Full HP = Bog +30%</t>
  </si>
  <si>
    <t>Increases the chances of inflicting bog by 30% when HP is full.</t>
  </si>
  <si>
    <t>Full HP = Burn +30%</t>
  </si>
  <si>
    <t>Increases the chances of inflicting burn by 30% when HP is full.</t>
  </si>
  <si>
    <t>Full HP = Burn +40%</t>
  </si>
  <si>
    <t>Increases the chances of inflicting burn by 40% when HP is full.</t>
  </si>
  <si>
    <t>Full HP = Critical Damage +15%</t>
  </si>
  <si>
    <t>Adds 15% to the modifier applied to critical damage when HP is full.</t>
  </si>
  <si>
    <t>Full HP = Critical Damage +22%</t>
  </si>
  <si>
    <t>Adds 22% to the modifier applied to critical damage when HP is full.</t>
  </si>
  <si>
    <t>Full HP = Critical Rate +10%</t>
  </si>
  <si>
    <t>Increases critical rate by 10% when HP is full.</t>
  </si>
  <si>
    <t>Full HP = Critical Rate +5%</t>
  </si>
  <si>
    <t>Increases critical rate by 5% when HP is full.</t>
  </si>
  <si>
    <t>Full HP = Critical Rate +6%</t>
  </si>
  <si>
    <t>Increases critical rate by 6% when HP is full.</t>
  </si>
  <si>
    <t>Full HP = Critical Rate +8%</t>
  </si>
  <si>
    <t>Increases critical rate by 8% when HP is full.</t>
  </si>
  <si>
    <t>Full HP = Defense +13%</t>
  </si>
  <si>
    <t>Increases defense by 13% when HP is full.</t>
  </si>
  <si>
    <t>Full HP = Defense +15%</t>
  </si>
  <si>
    <t>Increases defense by 15% when HP is full.</t>
  </si>
  <si>
    <t>Full HP = Defense +18%</t>
  </si>
  <si>
    <t>Increases defense by 18% when HP is full.</t>
  </si>
  <si>
    <t>Full HP = Healing +10%</t>
  </si>
  <si>
    <t>Increases the potency of recovery skills by 10% when HP is full.</t>
  </si>
  <si>
    <t>Full HP = Healing +20%</t>
  </si>
  <si>
    <t>Increases the potency of recovery skills by 20% when HP is full.</t>
  </si>
  <si>
    <t>Full HP = Poison +40%</t>
  </si>
  <si>
    <t>Increases the chances of inflicting poison by 40% when HP is full.</t>
  </si>
  <si>
    <t>Full HP = Skill Damage +25%</t>
  </si>
  <si>
    <t>Increases attack skill damage by 25% when HP is full.</t>
  </si>
  <si>
    <t>Full HP = Skill Damage +30%</t>
  </si>
  <si>
    <t>Increases attack skill damage by 30% when HP is full.</t>
  </si>
  <si>
    <t>Full HP = Strength +5%</t>
  </si>
  <si>
    <t>Increases strength by 5% when HP is full.</t>
  </si>
  <si>
    <t>Full HP = Strength +8%</t>
  </si>
  <si>
    <t>Increases strength by 8% when HP is full.</t>
  </si>
  <si>
    <t>Full HP = Stun +50%</t>
  </si>
  <si>
    <t>Increases the chances of inflicting stun by 50% when HP is full.</t>
  </si>
  <si>
    <t>Full HP = Stun +60%</t>
  </si>
  <si>
    <t>Increases the chances of inflicting stun by 60% when HP is full.</t>
  </si>
  <si>
    <t>Gabriel's Covenant I</t>
  </si>
  <si>
    <t>Inflicts the "Locked Sigil" debuff on the user at the start of quests for 300 seconds, and grants the user a unique force strike with two increasingly powerful charge levels. Movement is possible while charging, but the user will move more slowly. Once their force strike is fully charged, it will deal extra damage to frostbitten foes and reduce Locked Sigil's remaining time by 9 seconds if it connects. The Locked Sigil debuff cannot be removed by shapeshifting or incapacitation._x000D_
_x000D_
When the Locked Sigil effect wears off, the user will be granted the "Sigil Released" effect instead, allowing the user to perform special attacks that restore 5% of the damage inflicted as HP to the user and have a 40% chance to increase the user's energy level by one stage. This special attack is activated by tapping the screen at the end of a standard attack combo. This recovery caps at 7% of their maximum HP. By tapping the screen again during one of these attacks, the user can immediately perform another.</t>
  </si>
  <si>
    <t>Gauge Accelerator +15%</t>
  </si>
  <si>
    <t>Speeds the rate the mode gauge decreases by 15%.</t>
  </si>
  <si>
    <t>Speeds the rate the mode gauge decreases by 20%.</t>
  </si>
  <si>
    <t>Gauge Accelerator +25%</t>
  </si>
  <si>
    <t>Speeds the rate the mode gauge decreases by 25%.</t>
  </si>
  <si>
    <t>Gauge Accelerator +30%</t>
  </si>
  <si>
    <t>Speeds the rate the mode gauge decreases by 30%.</t>
  </si>
  <si>
    <t>Gauge Inhibitor +15%</t>
  </si>
  <si>
    <t>Slows the rate the mode gauge increases by 15%.</t>
  </si>
  <si>
    <t>Gauge Inhibitor +20%</t>
  </si>
  <si>
    <t>Slows the rate the mode gauge increases by 20%.</t>
  </si>
  <si>
    <t>Genesis Pactbearer I</t>
  </si>
  <si>
    <t>Grants Zethia a summon gauge and changes the shapeshift button into a summon button. Tapping this button summons Bahamut. While Bahamut is summoned, the power of certain standard attacks will be greatly increased, and Bahamut will attack automatically. After attacking a set number of times, Bahamut will automatically use the Cataclysm Beam skill._x000D_
_x000D_
While Bahamut is not summoned, certain standard attacks will fill the summon gauge._x000D_
_x000D_
Swiping to dodge during a standard attack will carry out an additional attack toward surrounding enemies, dealing 3 hits of 30% shadow damage. Performing a standard attack during this unique dodge will then resume Zethia's standard attack combo from her most recent attack (Dodging again immediately after Zethia's unique dodge will instead result in a standard dodge).</t>
  </si>
  <si>
    <t>Good Tidings I</t>
  </si>
  <si>
    <t>Grants one of the following effects based on the level of the user's New Year's Prayer:_x000D_
_x000D_
Lv. 1: Increases skill gauge fill rate by 6%._x000D_
Lv. 2: Increases skill gauge fill rate by 7%._x000D_
Lv. 3: Increases skill gauge fill rate by 9%.</t>
  </si>
  <si>
    <t>Great Sword Expertise +1</t>
  </si>
  <si>
    <t>Grants the user a unique force strike, and increases force strike damage by 20%. Their force strike has three increasingly powerful charge levels and deals 20% more damage to enemies in break state. In addition, they are immune to knockback while charging their force strike.</t>
  </si>
  <si>
    <t>Guardian Shadow I</t>
  </si>
  <si>
    <t>Guardian Shadow II</t>
  </si>
  <si>
    <t>Guardsman of the Verdure I</t>
  </si>
  <si>
    <t>Using Wealdfury grants the user a strength amp (Team Amp MAX Lv. = 2).</t>
  </si>
  <si>
    <t>Guiding Feline I</t>
  </si>
  <si>
    <t>Grants the Persona element Wind to certain attacks. Also grants the user a Persona gauge, and changes the shapeshift button into a Persona button. Tapping this button summons Zorro. While summoned, Zorro will attack and restore HP to all teammates as the user attacks._x000D_
_x000D_
Additionally, grants the user a unique force strike that activates the "Beast Eye" effect for 30 seconds. Beast Eye increases the user's Persona gauge fill rate by 10% while active, but is removed when Zorro is summoned, and cannot be granted while Zorro is active._x000D_
_x000D_
While Zorro is not summoned, standard attacks and force strikes will fill the Persona gauge.</t>
  </si>
  <si>
    <t>Hallowed Auspex I</t>
  </si>
  <si>
    <t>Grants the user an Auspex gauge. The Auspex gauge fills when the user's first or second skills are used. When the gauge is completely filled, it grants the user the "Twilight Moon" effect. When this effect is active, it grants the user a unique force strike with five increasingly powerful charge levels. This effect cannot stack, and will be consumed on use.</t>
  </si>
  <si>
    <t>Hallowed Auspex II</t>
  </si>
  <si>
    <t>Happy Dragonyule!</t>
  </si>
  <si>
    <t>Increases player EXP intake for clearing quests by 10%. This ability does not stack with other similar abilities; the highest value will be applied.</t>
  </si>
  <si>
    <t>Healing Doublebuff I</t>
  </si>
  <si>
    <t>Grants an HP regen buff healing you for 1% Max HP every 3.9 seconds for 20 seconds each time a defense up buff is received.</t>
  </si>
  <si>
    <t>Heavenly Wings I</t>
  </si>
  <si>
    <t>Grants the user a unique shapeshift in which the user unleashes their "Heavenly wings" and replaces the dragon gauge with a unique shapeshift gauge that holds a max of 1,200 points. Tapping the gauge after it has filled to at least 560 points will allow the user to shapeshift, and when shapeshifting, the user transforms into their unique form regardless of what dragon they are equipped with. By tapping the gauge a second time or after the gauge has been consumed, the user will return to their original form. While shapeshifted, the user's standard attacks will fill their unique shapeshift gauge and damage taken will be reduced by 50%.
In addition, at the start of quests, grants the user the "Coordination Protocol" effect. If the user continues to charge their force strike, the effect granted to them will change every 1.5 seconds. The effect will cycle between the "Coordination Protocol" and "Concentration Protocol" effects.
Using the user's first or second skills, including their skills while shapeshifted, will grant them a defense amp (Team Amp MAX Lv. = 3). After this amp is granted, this ability will not grant it again for 20 seconds.</t>
  </si>
  <si>
    <t>Heaven's Shield I</t>
  </si>
  <si>
    <t>Heaven's Shield II</t>
  </si>
  <si>
    <t>High Brunhilda Res +20%</t>
  </si>
  <si>
    <t>Reduces damage taken from High Brunhilda by 20%.</t>
  </si>
  <si>
    <t>High Brunhilda Res +23%</t>
  </si>
  <si>
    <t>Reduces damage taken from High Brunhilda by 23%.</t>
  </si>
  <si>
    <t>High Brunhilda Res +25%</t>
  </si>
  <si>
    <t>Reduces damage taken from High Brunhilda by 25%.</t>
  </si>
  <si>
    <t>High Jupiter Res +20%</t>
  </si>
  <si>
    <t>Reduces damage taken from High Jupiter by 20%.</t>
  </si>
  <si>
    <t>High Jupiter Res +23%</t>
  </si>
  <si>
    <t>Reduces damage taken from High Jupiter by 23%.</t>
  </si>
  <si>
    <t>High Jupiter Res +25%</t>
  </si>
  <si>
    <t>Reduces damage taken from High Jupiter by 25%.</t>
  </si>
  <si>
    <t>High Mercury Res +20%</t>
  </si>
  <si>
    <t>Reduces damage taken from High Mercury by 20%.</t>
  </si>
  <si>
    <t>High Mercury Res +23%</t>
  </si>
  <si>
    <t>Reduces damage taken from High Mercury by 23%.</t>
  </si>
  <si>
    <t>High Mercury Res +25%</t>
  </si>
  <si>
    <t>Reduces damage taken from High Mercury by 25%.</t>
  </si>
  <si>
    <t>High Midgardsormr Res +20%</t>
  </si>
  <si>
    <t>Reduces damage taken from High Midgardsormr by 20%.</t>
  </si>
  <si>
    <t>High Midgardsormr Res +23%</t>
  </si>
  <si>
    <t>Reduces damage taken from High Midgardsormr by 23%.</t>
  </si>
  <si>
    <t>High Midgardsormr Res +25%</t>
  </si>
  <si>
    <t>Reduces damage taken from High Midgardsormr by 25%.</t>
  </si>
  <si>
    <t>High Zodiark Res +20%</t>
  </si>
  <si>
    <t>Reduces damage taken from High Zodiark by 20%.</t>
  </si>
  <si>
    <t>High Zodiark Res +23%</t>
  </si>
  <si>
    <t>Reduces damage taken from High Zodiark by 23%.</t>
  </si>
  <si>
    <t>High Zodiark Res +25%</t>
  </si>
  <si>
    <t>Reduces damage taken from High Zodiark by 25%.</t>
  </si>
  <si>
    <t>Holiday Aid I</t>
  </si>
  <si>
    <t>Using Chuting Stars while in a buff zone restores the user's HP with 30% (40%) Recovery Potency for Chuting Stars level 1 (level 2)</t>
  </si>
  <si>
    <t>HP &amp; Strength +20%</t>
  </si>
  <si>
    <t>Increases strength and HP by 20%.</t>
  </si>
  <si>
    <t>HP &amp; Strength +22%</t>
  </si>
  <si>
    <t>Increases strength and HP by 22%.</t>
  </si>
  <si>
    <t>HP &amp; Strength +23%</t>
  </si>
  <si>
    <t>Increases strength and HP by 23%.</t>
  </si>
  <si>
    <t>HP &amp; Strength +24%</t>
  </si>
  <si>
    <t>Increases strength and HP by 24%.</t>
  </si>
  <si>
    <t>HP &amp; Strength +26%</t>
  </si>
  <si>
    <t>Increases strength and HP by 26%.</t>
  </si>
  <si>
    <t>HP &amp; Strength +27%</t>
  </si>
  <si>
    <t>Increases strength and HP by 27%.</t>
  </si>
  <si>
    <t>HP &amp; Strength +30%</t>
  </si>
  <si>
    <t>Increases strength and HP by 30%.</t>
  </si>
  <si>
    <t>HP &amp; Strength +35%</t>
  </si>
  <si>
    <t>Increases strength and HP by 35%.</t>
  </si>
  <si>
    <t>HP +4%</t>
  </si>
  <si>
    <t>Increases HP by 4%.</t>
  </si>
  <si>
    <t>HP +6%</t>
  </si>
  <si>
    <t>Increases HP by 6%.</t>
  </si>
  <si>
    <t>HP +8%</t>
  </si>
  <si>
    <t>Increases HP by 8%.</t>
  </si>
  <si>
    <t>HP 50% = Defense +4%</t>
  </si>
  <si>
    <t>Increases defense by 4% when HP is 50% or above.</t>
  </si>
  <si>
    <t>HP 50% = Healing +7%</t>
  </si>
  <si>
    <t>Increases the potency of recovery skills by 7% when HP is 50% or above.</t>
  </si>
  <si>
    <t>HP 70% = Attack Rate I</t>
  </si>
  <si>
    <t>Grants a buff that increases attack rate by 10% when HP is 70% or above.</t>
  </si>
  <si>
    <t>HP 70% = Critical Damage +12%</t>
  </si>
  <si>
    <t>Adds 12% to the modifier applied to critical damage when HP is 70% or above.</t>
  </si>
  <si>
    <t>HP 70% = Critical Damage +17%</t>
  </si>
  <si>
    <t>Adds 17% to the modifier applied to critical damage when HP is 70% or above.</t>
  </si>
  <si>
    <t>HP 70% = Critical Damage +22%</t>
  </si>
  <si>
    <t>Adds 22% to the modifier applied to critical damage when HP is 70% or above.</t>
  </si>
  <si>
    <t>HP 70% = Critical Rate +5%</t>
  </si>
  <si>
    <t>Increases critical rate by 5% when HP is 70% or above.</t>
  </si>
  <si>
    <t>HP 70% = Critical Rate +8%</t>
  </si>
  <si>
    <t>Increases critical rate by 8% when HP is 70% or above.</t>
  </si>
  <si>
    <t>HP 70% = Defense +3%</t>
  </si>
  <si>
    <t>Increases defense by 3% when HP is 70% or above.</t>
  </si>
  <si>
    <t>HP 70% = Defense +5%</t>
  </si>
  <si>
    <t>Increases defense by 5% when HP is 70% or above.</t>
  </si>
  <si>
    <t>HP 70% = Flashburn Time +25%</t>
  </si>
  <si>
    <t>Increases the duration of flashburn inflicted on enemies by 25% when the user's HP is 70% or above.</t>
  </si>
  <si>
    <t>HP 70% = Healing +10%</t>
  </si>
  <si>
    <t>Increases the potency of recovery skills by 10% when HP is 70% or above.</t>
  </si>
  <si>
    <t>HP 70% = Healing +13%</t>
  </si>
  <si>
    <t>Increases the potency of recovery skills by 13% when HP is 70% or above.</t>
  </si>
  <si>
    <t>HP 70% = Healing +8%</t>
  </si>
  <si>
    <t>Increases the potency of recovery skills by 8% when HP is 70% or above.</t>
  </si>
  <si>
    <t>HP 70% = Skill Damage +20%</t>
  </si>
  <si>
    <t>Increases attack skill damage by 20% when HP is 70% or above.</t>
  </si>
  <si>
    <t>HP 70% = Skill Damage +25%</t>
  </si>
  <si>
    <t>Increases attack skill damage by 25% when HP is 70% or above.</t>
  </si>
  <si>
    <t>HP 70% = Skill Damage +30%</t>
  </si>
  <si>
    <t>Increases attack skill damage by 30% when HP is 70% or above.</t>
  </si>
  <si>
    <t>HP 70% = Skill Haste +6%</t>
  </si>
  <si>
    <t>Increases skill gauge fill rate by 6% when HP is 70% or above.</t>
  </si>
  <si>
    <t>HP 70% = Strength +3%</t>
  </si>
  <si>
    <t>Increases strength by 3% when HP is 70% or above.</t>
  </si>
  <si>
    <t>HP 70% = Strength +5%</t>
  </si>
  <si>
    <t>Increases strength by 5% when HP is 70% or above.</t>
  </si>
  <si>
    <t>HP 70% = Strength +6%</t>
  </si>
  <si>
    <t>Increases strength by 6% when HP is 70% or above.</t>
  </si>
  <si>
    <t>HP 70% = Strength +8%</t>
  </si>
  <si>
    <t>Increases strength by 8% when HP is 70% or above.</t>
  </si>
  <si>
    <t>HP Below 30% = Strength &amp; Attack Rate II</t>
  </si>
  <si>
    <t>Increases strength by 15% and attack rate by 10% when HP is 30% or below.</t>
  </si>
  <si>
    <t>HP Below 50% = Strength +15%</t>
  </si>
  <si>
    <t>Increases strength by 15% when HP is 50% or below.</t>
  </si>
  <si>
    <t>Humanity's Companion I</t>
  </si>
  <si>
    <t>Grants the Persona element Bless to certain attacks. Also grants the user a Persona gauge, and changes the shapeshift button into a Persona button. Tapping this button summons Pithos, and, for 15 seconds, reduces the defense of surrounding enemies by 5%. This defense reduction will not stack. While summoned, Pithos will attack automatically.
Additionally, increases strength by 3%, and grants the user a unique force strike.</t>
  </si>
  <si>
    <t>Immaculate Shield II</t>
  </si>
  <si>
    <t>Using Immaculate Wings grants the user a one-use shield that nullifies damage less than 10% of the user's maximum HP. This shield does not stack with any other shields of the same type.</t>
  </si>
  <si>
    <t>Immeasurable Majesty I</t>
  </si>
  <si>
    <t>Impregnable Fortress I</t>
  </si>
  <si>
    <t>Increases HP and defense by 6%, but reduces movement speed by 10%.</t>
  </si>
  <si>
    <t>Impregnable Fortress II</t>
  </si>
  <si>
    <t>Increases HP and defense by 8%, but reduces movement speed by 10%.</t>
  </si>
  <si>
    <t>Impregnable Fortress III</t>
  </si>
  <si>
    <t>Increases HP and defense by 10%, but reduces movement speed by 10%.</t>
  </si>
  <si>
    <t>Interdimensional Blessing I</t>
  </si>
  <si>
    <t>Jupiter Res +15%</t>
  </si>
  <si>
    <t>Reduces damage taken from Jupiter by 15%.</t>
  </si>
  <si>
    <t>Jupiter Res +18%</t>
  </si>
  <si>
    <t>Reduces damage taken from Jupiter by 18%.</t>
  </si>
  <si>
    <t>Jupiter Res +20%</t>
  </si>
  <si>
    <t>Reduces damage taken from Jupiter by 20%.</t>
  </si>
  <si>
    <t>Know Thine Enemy I</t>
  </si>
  <si>
    <t>When the "Enemy Insight Lv. 3" effect is active, increases the amount the user's next force strike lowers the mode gauge by 200%. This force strike will consume Enemy Insight Lv. 3._x000D_
_x000D_
Also, when the "Calculated Shots" effect is active, increases the power of standard attacks by 8%, the amount skill gauges are filled by standard attacks by 5%, and the critical rate of standard attacks by 5%.</t>
  </si>
  <si>
    <t>L.S. Reactor I</t>
  </si>
  <si>
    <t>Boosts damage dealt to boss enemies in "Mega Man: Chaos Protocol" quests by 25%. When shapeshifting, Mega Man will jump onto Rush regardless of what dragon he is equipped with.</t>
  </si>
  <si>
    <t>Lance Expertise +1</t>
  </si>
  <si>
    <t>Grants the user a unique force strike, and increases force strike damage by 20%. Their force strike has two charge levels. After the first level is charged, damage taken from enemy attacks will be reduced by 35% and, when damaged by certain enemy attacks, the user will immediately release their force strike at its current charge level. Once their force strike is fully charged, it will reduce enemy defense by 8% for 15 seconds. This debuff will not stack.</t>
  </si>
  <si>
    <t>Lance's Psalm I</t>
  </si>
  <si>
    <t>If the user has one or more wyrmprints equipped with the Lance's Boon affinity, this ability decreases the number of wyrmprints necessary to activate the Lance's Boon affinity bonus by one.</t>
  </si>
  <si>
    <t>Lance's Psalm II</t>
  </si>
  <si>
    <t>If the user has one or more wyrmprints equipped with the Lance's Boon affinity, this ability decreases the number of wyrmprints necessary to activate the Lance's Boon affinity bonus by two.</t>
  </si>
  <si>
    <t>Lance's Psalm III</t>
  </si>
  <si>
    <t>If the user has one or more wyrmprints equipped with the Lance's Boon affinity, this ability decreases the number of wyrmprints necessary to activate the Lance's Boon affinity bonus by three.</t>
  </si>
  <si>
    <t>Last Boost I</t>
  </si>
  <si>
    <t>Fills 50% of the entire team's skill gauges when the user's HP drops to 30% (once per quest). This does not fill the skill gauges of dragons.</t>
  </si>
  <si>
    <t>Last Boost II</t>
  </si>
  <si>
    <t>Fills 100% of the entire team's skill gauges when the user's HP drops to 30% (once per quest). This does not fill the skill gauges of dragons.</t>
  </si>
  <si>
    <t>Last Bravery I</t>
  </si>
  <si>
    <t>Increases the entire team's strength by 20% and defense by 30% for 15 seconds when the user's HP drops to 30% (once per quest).</t>
  </si>
  <si>
    <t>Last Bravery II</t>
  </si>
  <si>
    <t>Increases the entire team's strength by 30% and defense by 40% for 15 seconds when the user's HP drops to 30% (once per quest).</t>
  </si>
  <si>
    <t>Last Burst I</t>
  </si>
  <si>
    <t>Buffs strength by 40% for 10 seconds when HP drops to 30% (once per quest).</t>
  </si>
  <si>
    <t>Last Burst II</t>
  </si>
  <si>
    <t>Buffs strength by 50% for 10 seconds when HP drops to 30% (once per quest).</t>
  </si>
  <si>
    <t>Last Defense +30%</t>
  </si>
  <si>
    <t>Buffs defense by 30% for 15 seconds when HP drops to 30% (once per quest).</t>
  </si>
  <si>
    <t>Last Defense +40%</t>
  </si>
  <si>
    <t>Buffs defense by 40% for 15 seconds when HP drops to 30% (once per quest).</t>
  </si>
  <si>
    <t>Last Destruction I</t>
  </si>
  <si>
    <t>Increases the damage of the next attack skill used by each team member by 30% when the user's HP drops to 30% (once per quest).</t>
  </si>
  <si>
    <t>Last Destruction II</t>
  </si>
  <si>
    <t>Increases the damage of the next attack skill used by each team member by 40% when the user's HP drops to 30% (once per quest).</t>
  </si>
  <si>
    <t>Last Devastation +10%</t>
  </si>
  <si>
    <t>Increases critical rate by 10% for 15 seconds when HP drops to 30% (once per quest).</t>
  </si>
  <si>
    <t>Last Devastation +20%</t>
  </si>
  <si>
    <t>Increases critical rate by 20% for 15 seconds when HP drops to 30% (once per quest).</t>
  </si>
  <si>
    <t>Last Devastation +30%</t>
  </si>
  <si>
    <t>Increases critical rate by 30% for 15 seconds when HP drops to 30% (once per quest).</t>
  </si>
  <si>
    <t>Last Offense +20%</t>
  </si>
  <si>
    <t>Buffs strength by 20% for 15 seconds when HP drops to 30% (once per quest).</t>
  </si>
  <si>
    <t>Last Offense +50%</t>
  </si>
  <si>
    <t>Buffs strength by 50% for 15 seconds when HP drops to 30% (once per quest).</t>
  </si>
  <si>
    <t>Last Recovery I</t>
  </si>
  <si>
    <t>Grants an HP regen buff healing you for 8% Max HP every 3.9 seconds for 20 seconds when HP drops to 30% (once per quest).</t>
  </si>
  <si>
    <t>Last Recovery III</t>
  </si>
  <si>
    <t>Grants an HP regen buff healing you for 12% Max HP every 3.9 seconds for 20 seconds when HP drops to 30% (once per quest).</t>
  </si>
  <si>
    <t>Life Shield Prep I</t>
  </si>
  <si>
    <t>Grants the user a life shield that nullifies damage equal to 5% of their maximum HP at the start of quests.</t>
  </si>
  <si>
    <t>Life Shield Prep II</t>
  </si>
  <si>
    <t>Grants the user a life shield that nullifies damage equal to 10% of their maximum HP at the start of quests.</t>
  </si>
  <si>
    <t>Life Shield Prep III</t>
  </si>
  <si>
    <t>Grants the user a life shield that nullifies damage equal to 15% of their maximum HP at the start of quests.</t>
  </si>
  <si>
    <t>Reduces light damage taken by 10%.</t>
  </si>
  <si>
    <t>Light Res +13%</t>
  </si>
  <si>
    <t>Reduces light damage taken by 13%.</t>
  </si>
  <si>
    <t>Light Res +3%</t>
  </si>
  <si>
    <t>Reduces light damage taken by 3%.</t>
  </si>
  <si>
    <t>Light Res +4%</t>
  </si>
  <si>
    <t>Reduces light damage taken by 4%.</t>
  </si>
  <si>
    <t>Light Res +5%</t>
  </si>
  <si>
    <t>Reduces light damage taken by 5%.</t>
  </si>
  <si>
    <t>Light Res +8%</t>
  </si>
  <si>
    <t>Reduces light damage taken by 8%.</t>
  </si>
  <si>
    <t>Lightwyrm's Nature I</t>
  </si>
  <si>
    <t>Reduces susceptibility to paralysis by 100%. When shapeshifting for the first time, the user will transform into Jupiter regardless of what dragon they are equipped with. The second time onwards, they will transform into High Jupiter instead. Also, when the user dodges an enemy's attack, applies "Overcharged" to the attacking enemy and grants the user a strength amp (Team Amp MAX Lv. = 1). After activating, this effect will not activate again for 15 seconds.</t>
  </si>
  <si>
    <t>Love's Shield II</t>
  </si>
  <si>
    <t>Using Love &amp; Acclaim grants the user a one-use shield that nullifies damage less than 10% of the user's maximum HP. This does not stack with any other shields.</t>
  </si>
  <si>
    <t>Loving Heart</t>
  </si>
  <si>
    <t>Mad Romantic I</t>
  </si>
  <si>
    <t>Grants the user a romance gauge that can hold up to five charges and offers the following effects:_x000D_
_x000D_
1. Powers up the user's standard attacks and the Infinite Love skill when the romance gauge has five charges._x000D_
2. Grants the romance gauge one full charge when the Infinite Love skill is used._x000D_
3. Fills the romance gauge by 10% when the user is buffed with a skill. After activating, this effect will not activate again for five seconds._x000D_
4. Alters Skill damage, Defense, Max HP and Susceptibility to afflictions based on the number of charges the romance gauge has.</t>
  </si>
  <si>
    <t>Magical Modification I</t>
  </si>
  <si>
    <t>Using Ancient Ray grants Cleo the "Altered Strike" effect. When this effect is active, Cleo's next force strike will create a buff zone that lasts for 10 seconds and increases the strength of adventurers inside it by 20%. This effect cannot stack, and will be consumed on use.</t>
  </si>
  <si>
    <t>Magical Modification II</t>
  </si>
  <si>
    <t>Using Ancient Ray grants Cleo the "Altered Strike" effect. When this effect is active, Cleo's next force strike will create a buff zone that lasts for 10 seconds and increases the strength of adventurers inside it by 25%. This effect cannot stack, and will be consumed on use.</t>
  </si>
  <si>
    <t>Mana +25%</t>
  </si>
  <si>
    <t>Increases Mana intake for clearing quests by 25%.</t>
  </si>
  <si>
    <t>Mana +30%</t>
  </si>
  <si>
    <t>Increases Mana intake for clearing quests by 30%.</t>
  </si>
  <si>
    <t>Mana +35%</t>
  </si>
  <si>
    <t>Increases Mana intake for clearing quests by 35%.</t>
  </si>
  <si>
    <t>Mana +40%</t>
  </si>
  <si>
    <t>Increases Mana intake for clearing quests by 40%.</t>
  </si>
  <si>
    <t>Mana +50%</t>
  </si>
  <si>
    <t>Increases Mana intake for clearing quests by 50%.</t>
  </si>
  <si>
    <t>Mana Kiln I</t>
  </si>
  <si>
    <t>Mana Kiln II</t>
  </si>
  <si>
    <t>Mana Reactor I</t>
  </si>
  <si>
    <t>Mana Supercapacitors I (Light)</t>
  </si>
  <si>
    <t>Mana Supercapacitors I (Water)</t>
  </si>
  <si>
    <t>Grants the user an armament gauge that has two charges and fills automatically at a rate of 7% every second. Abilities that increase skill gauge fill rate will not affect this automatic increase, and the user's attacks will not fill this gauge.</t>
  </si>
  <si>
    <t>Master of Shikigami I</t>
  </si>
  <si>
    <t>Mercury Res +15%</t>
  </si>
  <si>
    <t>Reduces damage taken from Mercury by 15%.</t>
  </si>
  <si>
    <t>Mercury Res +18%</t>
  </si>
  <si>
    <t>Reduces damage taken from Mercury by 18%.</t>
  </si>
  <si>
    <t>Mercury Res +20%</t>
  </si>
  <si>
    <t>Reduces damage taken from Mercury by 20%.</t>
  </si>
  <si>
    <t>Metamorphosis I</t>
  </si>
  <si>
    <t>Grants Notte a unique shapeshift called "Metamorphosis," and replaces the dragon gauge with a metamorphosis gauge that holds a max of 1,200 points. Tapping the gauge after it has filled to at least 560 points will allow Notte to shapeshift, and when shapeshifting, Notte will use Metamorphosis to transform regardless of what dragon she is equipped with. By tapping the gauge a second time or after the gauge has been consumed, Notte will return to her original form. Damage taken will be reduced by 50% when in Metamorphosis.</t>
  </si>
  <si>
    <t>Michael's Covenant I</t>
  </si>
  <si>
    <t>At the start of quests, inflicts the "Locked Sigil" debuff on the user for 300 seconds and grants the user a unique force strike that deals damage to multiple targets and enemies near those targets and has three charge levels. The number of enemies this force strike targets increases based on how many levels are charged. Also, creates a combat zone around the user and grants the user one of two combat styles: close quarters or ranged. If there are any enemies within this combat zone, the user will engage in close-quarters combat, otherwise they will default to ranged combat. The user's standard attack patterns and the effects activated by their first and second skills will change based on their combat style. Locked Sigil's remaining time will be reduced by nine seconds for every 25-hit combo. After activating, this effect will not activate again for eight seconds. When the Locked Sigil effect wears off, the user will be granted the "Sigil Released" effect instead. Sigil Released removes the user's combat zone and combat styles and grants them a unique force strike with one charge level. This force strike has the same effects as the user's force strike at level three during Locked Sigil. Also during Sigil Released, the user's standard attack patterns will change, and the user's first and second skills will activate different effects.</t>
  </si>
  <si>
    <t>Midgardsormr Res +15%</t>
  </si>
  <si>
    <t>Reduces damage taken from Midgardsormr by 15%.</t>
  </si>
  <si>
    <t>Midgardsormr Res +18%</t>
  </si>
  <si>
    <t>Reduces damage taken from Midgardsormr by 18%.</t>
  </si>
  <si>
    <t>Midgardsormr Res +20%</t>
  </si>
  <si>
    <t>Reduces damage taken from Midgardsormr by 20%.</t>
  </si>
  <si>
    <t>Midgardsormr Res +25%</t>
  </si>
  <si>
    <t>Reduces damage taken from Midgardsormr by 25%.</t>
  </si>
  <si>
    <t>Might of the Monkey I</t>
  </si>
  <si>
    <t>Activates the following effects once the user's fighting spirit is unleashed: The user's strength is increased by 5%. The user's attack skill damage is increased by 35%. The user is granted immunity to knockback. The user's standard attack patterns and first and second skills are changed. The user is granted a unique dodge that deals 144% shadow damage to surrounding enemies. Also, by tapping the screen during this dodge, the user can interrupt it and perform a unique dash attack toward the target. If a unique dash attack or force strike is followed immediately by a standard attack, the user's combo will begin with the second attack in their standard attack combo.</t>
  </si>
  <si>
    <t>Modus Operandi I</t>
  </si>
  <si>
    <t>Dispelling an enemy buff or barrier lowers that enemy's water resistance by 3% for 30 seconds and grants the user one stack of "Stronger Bullets". This resistance reduction will not stack.</t>
  </si>
  <si>
    <t>Moonlit Howl I</t>
  </si>
  <si>
    <t>If the user is attuned to Shadow: grants the user the "Bloody Tongue" effect for 20 seconds when HP drops to 30%. This effect grants the user a one-use shield that nullifies damage less than 50% of their maximum HP, and increases their strength by 20%. These effects do not stack, and are lost upon taking damage.</t>
  </si>
  <si>
    <t>Moonlit Howl II</t>
  </si>
  <si>
    <t>If the user is attuned to Shadow: grants the user the "Bloody Tongue" effect for 20 seconds when HP drops to 30%. This effect grants the user a one-use shield that nullifies damage less than 60% of their maximum HP, and increases their strength by 30%. These effects do not stack, and are lost upon taking damage.</t>
  </si>
  <si>
    <t>Mournful Heart I</t>
  </si>
  <si>
    <t>Grants the user a unique force strike, and increases force strike damage by 20%. Their force strike dispels one buff from an enemy, and restores 10% of the damage inflicted as HP to the user. This recovery caps at 5% of their maximum HP.</t>
  </si>
  <si>
    <t>Multiple Skill Hits = Energy Level Up I</t>
  </si>
  <si>
    <t>Increases the user's energy level by three stages every time the Ricochet Bolts skill hits enemies ten times during the same combo.</t>
  </si>
  <si>
    <t>New Year's Metamorphosis I</t>
  </si>
  <si>
    <t>Grants the user a unique shapeshift called "metamorphosis" and replaces the dragon gauge with a metamorphosis gauge that holds a max of 1,200 points. Tapping the gauge after it has filled to at least 560 points will allow the user to shapeshift, and when shapeshifting, the user will use metamorphosis to transform regardless of what dragon they are equipped with. By tapping the gauge a second time or after the gauge has been consumed, the user will return to their original form. Damage taken will be reduced by 50% when in Metamorphosis. Also, the user's standard attacks, force strikes, and dash attacks will instead summon butterflies that pursue the target. These butterflies will disappear upon shapeshifting or when the user's shapeshift ends. The user's force strikes will also restore HP to all teammates. In addition, using the user's first or second skills, including the user's skills when shapeshifted, will grant them a critical damage amp (Team Amp MAX Lv. = 1). After this amp is granted, this ability will not grant it again for 8 seconds.</t>
  </si>
  <si>
    <t>Nimble Riposte I</t>
  </si>
  <si>
    <t>Dodge rolling will deal 7 hits of 9% water damage to nearby enemies. This attack will still be performed even if nothing was actually dodged._x000D_
_x000D_
In addition, dodging an enemy attack will increase the user's attack rate by 10% for 20 seconds. This attack rate increase will not stack, and, after activating, it will not activate again for five seconds.</t>
  </si>
  <si>
    <t>Oblivion Pactbearer I</t>
  </si>
  <si>
    <t>Fills 25% of the dragon gauge at the start of quests and extends shapeshift time by 50%, but the maximum amount of the dragon gauge that abilities can fill at the start of quests will be limited to 50% for the entire team and doubles the amount of dragon energy required to shapeshift (The user's maximum dragon energy will not be increased). When shapeshifting, Nedrick will transform into Bahamut regardless of what dragon he is equipped with. While he is shapeshifted, this ability grants him a dragon strike that deals damage to multiple targets and enemies near those targets. Also, grants Nedrick the "Oblivion Overload" effect when his shapeshift is undone (once per quest). Oblivion Overload has three progressively more powerful levels and levels up automatically after set intervals of time. Lv. 1: Increases strength by 10%, but the user takes damage over time. Lv. 2: Increases strength and critical rate by 15%, but the user takes damage over time. Lv. 3: Increases strength, critical rate, and attack skill damage by 20%, but the user takes damage over time.</t>
  </si>
  <si>
    <t>Obsessive Love I</t>
  </si>
  <si>
    <t>When the "Obsession" effect is active, increases strength by 20%, and decreases defense by 20%.</t>
  </si>
  <si>
    <t>Overdrive Punisher +10%</t>
  </si>
  <si>
    <t>Increases damage to enemies in overdrive state by 10%.</t>
  </si>
  <si>
    <t>Overdrive Punisher +3%</t>
  </si>
  <si>
    <t>Increases damage to enemies in overdrive state by 3%.</t>
  </si>
  <si>
    <t>Overdrive Punisher +4%</t>
  </si>
  <si>
    <t>Increases damage to enemies in overdrive state by 4%.</t>
  </si>
  <si>
    <t>Overdrive Punisher +5%</t>
  </si>
  <si>
    <t>Increases damage to enemies in overdrive state by 5%.</t>
  </si>
  <si>
    <t>Paralysis = Skill Haste +10%</t>
  </si>
  <si>
    <t>Increases skill gauge fill rate by 10% for 20 seconds upon successfully paralyzing an enemy. After activating, this ability will not activate again for five seconds.</t>
  </si>
  <si>
    <t>Paralysis = Skill Haste +8%</t>
  </si>
  <si>
    <t>Increases skill gauge fill rate by 8% for 20 seconds upon successfully paralyzing an enemy. After activating, this ability will not activate again for five seconds.</t>
  </si>
  <si>
    <t>Paralysis = User Strength +10%</t>
  </si>
  <si>
    <t>Buffs the user's strength by 10% for 10 seconds upon successfully paralyzing an enemy. After activating, this ability will not activate again for five seconds.</t>
  </si>
  <si>
    <t>Paralysis Res +15%</t>
  </si>
  <si>
    <t>Reduces susceptibility to paralysis by 15%.</t>
  </si>
  <si>
    <t>Paralysis Res +20%</t>
  </si>
  <si>
    <t>Reduces susceptibility to paralysis by 20%.</t>
  </si>
  <si>
    <t>Paralyzed Punisher +10%</t>
  </si>
  <si>
    <t>Increases damage to paralyzed enemies by 10%.</t>
  </si>
  <si>
    <t>Paralyzed Punisher +15%</t>
  </si>
  <si>
    <t>Increases damage to paralyzed enemies by 15%.</t>
  </si>
  <si>
    <t>Paralyzed Punisher +25%</t>
  </si>
  <si>
    <t>Increases damage to paralyzed enemies by 25%.</t>
  </si>
  <si>
    <t>Paralyzed Shredder I</t>
  </si>
  <si>
    <t>Increases critical rate by 15% and adds 10% to the modifier applied to critical damage against paralyzed enemies.</t>
  </si>
  <si>
    <t>Perfection Embodied I</t>
  </si>
  <si>
    <t>Buffs the user's standard attacks, force strikes, and the "Perfect Order" skill based on the number of Perfect Escort stacks they have. In addition, they will be immune to knockback, and all elementally-attuned damage they take will be reduced by 8% as long as they have at least one stack, but they will lose one stack each time they take damage.</t>
  </si>
  <si>
    <t>Perfection Embodied II</t>
  </si>
  <si>
    <t>Buffs the user's standard attacks, force strikes, and the "Perfect Order" skill based on the number of Perfect Escort stacks they have. In addition, they will be immune to knockback, and all elementally-attuned damage they take will be reduced by 10% as long as they have at least one stack, but they will lose one stack each time they take damage.</t>
  </si>
  <si>
    <t>Perpetual Protection I</t>
  </si>
  <si>
    <t>Perpetual Protection II</t>
  </si>
  <si>
    <t>Perpetually Peckish Pecorine I</t>
  </si>
  <si>
    <t>Grants the user a gourmand gauge. The gourmand gauge fills when the user's second skill is used. When the gauge is completely filled, it grants the user a unique force strike and begins to gradually deplete over 13 seconds. The user's second skill will not fill the gourmand gauge while it is being depleted, and once it is depleted, the user's force strike will revert to its initial effect. The gourmand gauge will not deplete while the user is using a skill or shapeshifted.</t>
  </si>
  <si>
    <t>Physian's Bane +10%</t>
  </si>
  <si>
    <t>Increases damage to physians by 10%.</t>
  </si>
  <si>
    <t>Physian's Bane +20%</t>
  </si>
  <si>
    <t>Increases damage to physians by 20%.</t>
  </si>
  <si>
    <t>Physian's Bane +30%</t>
  </si>
  <si>
    <t>Increases damage to physians by 30%.</t>
  </si>
  <si>
    <t>Player EXP +10%</t>
  </si>
  <si>
    <t>Pledge of Justice I</t>
  </si>
  <si>
    <t>Grants the user a unique force strike that deals two hits, the second of which inflicts bleeding. The user will be immune to knockback while charging this force strike as well as when executing it.</t>
  </si>
  <si>
    <t>Poised Obliteration +20%</t>
  </si>
  <si>
    <t>Adds 20% to the modifier applied to critical damage when the user is in a buff zone.</t>
  </si>
  <si>
    <t>Poised Strength +15%</t>
  </si>
  <si>
    <t>Increases strength by 15% when the user is in a buff zone.</t>
  </si>
  <si>
    <t>Poison = Critical Damage I</t>
  </si>
  <si>
    <t>Adds 22% to the modifier applied to critical damage for 10 seconds upon successfully poisoning an enemy. After activating, this ability will not activate again for 15 seconds.</t>
  </si>
  <si>
    <t>Poison = Critical Damage II</t>
  </si>
  <si>
    <t>Adds 25% to the modifier applied to critical damage for 10 seconds upon successfully poisoning an enemy. After activating, this ability will not activate again for 15 seconds.</t>
  </si>
  <si>
    <t>Poison = Critical Damage III</t>
  </si>
  <si>
    <t>Adds 30% to the modifier applied to critical damage for 10 seconds upon successfully poisoning an enemy. After activating, this ability will not activate again for 15 seconds.</t>
  </si>
  <si>
    <t>Poison = Team Strength +8%</t>
  </si>
  <si>
    <t>Buffs the entire team's strength by 8% for 10 seconds upon successfully poisoning an enemy. After activating, this ability will not activate again for five seconds.</t>
  </si>
  <si>
    <t>Poison Edge &amp; Anti-Poison = Strength I</t>
  </si>
  <si>
    <t>Increases the chances of inflicting poison by 50% when the user's HP is 50% or above, and increases the user's strength by 10% for 10 seconds every time the user tries to inflict poison on a foe and the affliction is resisted. After activating, this ability will not activate again for 5 seconds.</t>
  </si>
  <si>
    <t>Poison Res +15%</t>
  </si>
  <si>
    <t>Reduces susceptibility to poison by 15%.</t>
  </si>
  <si>
    <t>Poison Res +20%</t>
  </si>
  <si>
    <t>Reduces susceptibility to poison by 20%.</t>
  </si>
  <si>
    <t>Poisoned Punisher +10%</t>
  </si>
  <si>
    <t>Increases damage to poisoned enemies by 10%.</t>
  </si>
  <si>
    <t>Poisoned Punisher +15%</t>
  </si>
  <si>
    <t>Increases damage to poisoned enemies by 15%.</t>
  </si>
  <si>
    <t>Poisoned Punisher +25%</t>
  </si>
  <si>
    <t>Increases damage to poisoned enemies by 25%.</t>
  </si>
  <si>
    <t>Poisonous Cage I</t>
  </si>
  <si>
    <t>The user's strength is lowered by 70% during quests. Using Ruination Cage grants the user the "Poisonous Cage" effect. When this effect is active, the user's next force strike will deal 3 hits of 47% shadow damage, throw three knives in front of the user dealing 9% shadow damage each, and inflict poison - dealing 270% shadow damage every 2.9 seconds for 24 seconds - with 110% base chance. _x000D_
_x000D_
Bonus OD Damage is reduced to 4.2x for all hits of "Poisonous Cage", from 8.4x on the first two hits. This effect cannot stack, and will be consumed on use.</t>
  </si>
  <si>
    <t>Poisonous Cage II</t>
  </si>
  <si>
    <t>The user's strength is lowered by 60% during quests. Using Ruination Cage grants the user the "Poisonous Cage" effect. When this effect is active, the user's next force strike will deal 3 hits of 52% (57%) shadow damage, throw three knives in front of the user dealing 10% (11%) shadow damage each for Force Strike Lv1 (Lv2) and inflict poison - dealing 300% shadow damage every 2.9 seconds for 24 seconds - with 120% base chance._x000D_
_x000D_
Bonus OD Damage is reduced to 4.2x for all hits of "Poisonous Cage", from 8.4x on the first two hits. This effect cannot stack, and will be consumed on use.</t>
  </si>
  <si>
    <t>Potent Placebo I</t>
  </si>
  <si>
    <t>Grants the user a Manachew gauge._x000D_
_x000D_
When the Manachew gauge is completely filled, it will begin to gradually deplete automatically and grant the user the following effects until it is depleted:_x000D_
・Defense is increased by 15%._x000D_
・Skill damage is increased by 8%._x000D_
・Skill gauge fill rate is increased by 5%._x000D_
・The user's force strikes are powered up and deal more damage. During a powered up force strike, if the user is hit by an attack that can be avoided with the damage immunity provided by skills, they will automatically dodge the attack, and their Manachew gauge will be filled by 10%._x000D_
_x000D_
Also, when shapeshifting, the Manachew gauge will be filled by 50% when the user's shapeshift is undone.</t>
  </si>
  <si>
    <t>Pounder of Mochi I</t>
  </si>
  <si>
    <t>Grants the user a unique force strike that reduces the strength of surrounding enemies by 2% for 10 seconds, and will continue to attack as long as your finger touches the screen. In addition, every time this force strike or the Splendid Spring skill hit enemies a total of 12 times, the user will be granted the "Mochi Master" effect. This force strike's strength reduction effect can stack up to four times, and Mochi Master can stack up to three times.</t>
  </si>
  <si>
    <t>Power Hitter I</t>
  </si>
  <si>
    <t>Adds 25% to the modifier applied to critical damage, but prevents the user's critical rate from being increased by more than 10%. This limit does not affect critical hits dealt due to being inspired. Also, grants the user a Strength Amp (Team Amp MAX Lv. = 2) when the Swing for the Fences skill deals critical damage. After activating, this ability will not activate again for one second.</t>
  </si>
  <si>
    <t>Primed Defense +10%</t>
  </si>
  <si>
    <t>Increases the defense of the adventurer you are currently controlling by 10% for 10 seconds every time their initial skill, displayed at the top of their skill list, becomes available for use. After activating, this ability will not activate again for 15 seconds.</t>
  </si>
  <si>
    <t>Primed Devastation +5%</t>
  </si>
  <si>
    <t>Increases the critical rate of the adventurer you are currently controlling by 5% for 5 seconds every time their initial skill, displayed at the top of their skill list, becomes available for use. After activating, this ability will not activate again for 15 seconds.</t>
  </si>
  <si>
    <t>Primed Devastation +6%</t>
  </si>
  <si>
    <t>Increases the critical rate of the adventurer you are currently controlling by 6% for 5 seconds every time their initial skill, displayed at the top of their skill list, becomes available for use. After activating, this ability will not activate again for 15 seconds.</t>
  </si>
  <si>
    <t>Primed Recovery</t>
  </si>
  <si>
    <t>Grants the adventurer you are currently controlling an HP regen buff, healing you for 5% Max HP every 3.9 seconds for 20 seconds every time their initial skill, displayed at the top of their skill list, becomes available for use. After activating, this ability will not activate again for 25 seconds.</t>
  </si>
  <si>
    <t>Primed Strength +8%</t>
  </si>
  <si>
    <t>Increases the strength of the adventurer you are currently controlling by 8% for 10 seconds every time their initial skill, displayed at the top of their skill list, becomes available for use. After activating, this ability will not activate again for 15 seconds.</t>
  </si>
  <si>
    <t>Princess's Grace I</t>
  </si>
  <si>
    <t>Providential Blade I</t>
  </si>
  <si>
    <t>The ninth attack in Zethia's standard attack combo grants her a critical damage amp (Team Amp MAX Lv. = 1).</t>
  </si>
  <si>
    <t>Radiant Butterflies I</t>
  </si>
  <si>
    <t>Standard attacks, force strikes, and dash attacks instead summon butterflies that pursue the target. Also grants all teammates a "Life Shield" equal to 10% of the user's maximum HP at the start of quests.</t>
  </si>
  <si>
    <t>Radiant Scion I</t>
  </si>
  <si>
    <t>When shapeshifting, Chelle will transform into Cat Sìth regardless of what dragon she is equipped with.</t>
  </si>
  <si>
    <t>Ramiel's Covenant I</t>
  </si>
  <si>
    <t>Inflicts the "Locked Sigil" debuff on the user at the start of quests for 300 seconds, and grants the user a unique force strike that cannot deal damage, but gradually heals the user while charging. The Locked Sigil debuff cannot be removed by shapeshifting or incapacitation, but shapeshifting will reduce its remaining time by 180 seconds._x000D_
_x000D_
When the Locked Sigil effect wears off, the user will be granted the "Sigil Released" effect instead, powering up the Victoria Strategy and Magnus Apocalypse skills and allowing the user to summon Revelation Swords for 12 seconds at the expense of 10% of the user's HP by tapping the screen at the end of a standard attack combo. These Revelation Swords will attack automatically, but their attacks will not be treated as standard attacks.</t>
  </si>
  <si>
    <t>Ramiel's Yuletide Piety I</t>
  </si>
  <si>
    <t xml:space="preserve">Inflicts the "Locked Sigil" debuff on the user at the start of quests for 300 seconds. During Locked Sigil, the skill gauge fill rate for Stellar Knives and the amount that gauge-filling effects fill its skill gauge are reduced by 85%. Using Stellar Knives will remove Locked Sigil. When the Locked Sigil effect wears off, the user will be granted the "Sigil Released" effect instead. Sigil Released summons Divine Daggers around the user and grants the user a unique force strike. This force strike has charge levels equal to the number of Divine Daggers currently summoned around them, throws daggers equal to the number of levels charged directly ahead, and inflicts stormlash for 21 seconds - dealing 22% wind damage every 2.9 seconds - with 40% chance. Divine Daggers that connect with enemies will remain embedded in the enemy and apply the "Divine Sting" debuff while embedded. Divine Sting lowers the target's stormlash resistance by 15% and deals 150% wind damage every 2.9 seconds. Divine Sting can stack up to 4 times. Divine Daggers summoned around the user will attack automatically, but their attacks will not be treated as standard attacks, and they will not attack automatically while embedded in enemies. </t>
  </si>
  <si>
    <t>Rampaging Boar I</t>
  </si>
  <si>
    <t>Raphael's Covenant I</t>
  </si>
  <si>
    <t>Inflicts the "Locked Sigil" debuff on the user at the start of quests for 300 seconds, and grants the user a unique force strike that cannot deal damage, but activates the "Raphael's Steel" effect for 20 seconds. During Raphael's Steel, the user's strength is increased by 15%, and their attack rate is increased by 10%. Raphael's Steel will not stack._x000D_
_x000D_
Locked Sigil's remaining time will be reduced by 15 seconds when the user's HP is restored, and it will be reduced by an additional 15 seconds when their HP is restored by 1,000 or more. After activating, this effect will not activate again for 20 seconds._x000D_
_x000D_
When the Locked Sigil effect wears off, the user will be granted the "Sigil Released" effect instead. During Sigil Released, continually tapping the screen at the end of a standard attack combo will charge the final attack up to three stages, with damage reaching its maximum potential at stage three. At stage three, this attack will also be granted the ability to dispel one enemy buff.</t>
  </si>
  <si>
    <t>Raphael's Protection I</t>
  </si>
  <si>
    <t>Grants all team members other than the user a "Life Shield" equal to 20% of the user's maximum HP when the user takes damage during Sigil Released. After activating, this ability will not activate again for 60 seconds.</t>
  </si>
  <si>
    <t>Raven's Vengeance I</t>
  </si>
  <si>
    <t>Applies "Critical Vulnerability" to an enemy for 60 seconds when that enemy's attack activates the damage diffusion effect of "Corvid Connivery." The user's critical rate will be increased by 30% against enemies with Critical Vulnerability.</t>
  </si>
  <si>
    <t>Grants the user a stack of the "Grand Strategist" effect for every 10 seconds that pass without the user being knocked back by an enemy. Grand Strategist increases strength by 25% and the chances of inflicting poison by 20%. This buff can stack up to three times, but all stacks will be lost upon being knocked back by an enemy._x000D_
_x000D_
Also, using Lethal Operation will grant the user a strength amp (Team Amp MAX Lv. = 2). After this amp is granted, this ability will not grant it again for 30 seconds.</t>
  </si>
  <si>
    <t>Recovery Potency +10%</t>
  </si>
  <si>
    <t>Increases the potency of recovery skills by 10%.</t>
  </si>
  <si>
    <t>Recovery Potency +13%</t>
  </si>
  <si>
    <t>Increases the potency of recovery skills by 13%.</t>
  </si>
  <si>
    <t>Recovery Potency +2%</t>
  </si>
  <si>
    <t>Increases the potency of recovery skills by 2%.</t>
  </si>
  <si>
    <t>Recovery Potency +3%</t>
  </si>
  <si>
    <t>Increases the potency of recovery skills by 3%.</t>
  </si>
  <si>
    <t>Recovery Potency +5%</t>
  </si>
  <si>
    <t>Increases the potency of recovery skills by 5%.</t>
  </si>
  <si>
    <t>Reduced Defense &amp; Enhanced Shapeshifting I</t>
  </si>
  <si>
    <t>Decreases the user's defense by 15%, but adds 10% to the modifier applied to damage when in dragon form, extends shapeshift time by 8%, and increases dragon gauge fill rate by 5%.</t>
  </si>
  <si>
    <t>Reduced Defense &amp; Enhanced Shapeshifting II</t>
  </si>
  <si>
    <t>Decreases the user's defense by 15%, but adds 14% to the modifier applied to damage when in dragon form, extends shapeshift time by 10%, and increases dragon gauge fill rate by 6%.</t>
  </si>
  <si>
    <t>Reduced Defense &amp; Enhanced Shapeshifting III</t>
  </si>
  <si>
    <t>Decreases the user's defense by 15%, but adds 18% to the modifier applied to damage when in dragon form, extends shapeshift time by 15%, and increases dragon gauge fill rate by 8%.</t>
  </si>
  <si>
    <t>Reduced Defense Devastator +15%</t>
  </si>
  <si>
    <t>Increases critical rate by 15% against enemies with reduced defense.</t>
  </si>
  <si>
    <t>Reduced Defense Punisher +10%</t>
  </si>
  <si>
    <t>Increases damage to enemies with reduced defense by 10%.</t>
  </si>
  <si>
    <t>Reduced Defense Punisher +25%</t>
  </si>
  <si>
    <t>Increases damage to enemies with reduced defense by 25%.</t>
  </si>
  <si>
    <t>Reduced Defense Punisher +30%</t>
  </si>
  <si>
    <t>Increases damage to enemies with reduced defense by 30%.</t>
  </si>
  <si>
    <t>Reduced Strength Punisher +15%</t>
  </si>
  <si>
    <t>Increases damage to enemies with reduced strength by 15%.</t>
  </si>
  <si>
    <t>Relentless Spirit I</t>
  </si>
  <si>
    <t>Relentless Spirit II</t>
  </si>
  <si>
    <t>Renegade Queen I</t>
  </si>
  <si>
    <t>Grants the user a dragondrive gauge, and changes the shapeshift button into a dragondrive button. Tapping this button activates their dragondrive. During dragondrive, the user's standard attacks and force strikes will be changed, damage will be increased as the user's HP decreases, and standard attacks and force strikes will fill the user's dragondrive gauge. While dragondrive is active, the user's skill damage will be increased by 30%, and defense will be increased by 50%.</t>
  </si>
  <si>
    <t>Resilient Offense +5%</t>
  </si>
  <si>
    <t>Increases strength by 5% for the remainder of the quest when the user's HP drops to 30% (three times per quest).</t>
  </si>
  <si>
    <t>Resilient Offense +8%</t>
  </si>
  <si>
    <t>Increases strength by 8% for the remainder of the quest when the user's HP drops to 30% (three times per quest).</t>
  </si>
  <si>
    <t>Resolute Ambassador I</t>
  </si>
  <si>
    <t>Using Goodwill Mission grants the user the "Friendly Ties" effect. When this effect is active, the user's next force strike will increase the entire team's max HP by 10% for the remainder of the quest. Once HP buffs reach the limit of 30%, an HP recovery effect is granted instead. This effect cannot stack, and will be consumed on use.</t>
  </si>
  <si>
    <t>Resonant Hearts I</t>
  </si>
  <si>
    <t>Grants Laxi a charge gauge with three bars. The charge gauge fills when standard attacks, force strikes, and dash attacks are used, and grants cumulative buffs to Laxi based on the number of bars filled. Filling one bar increases defense by 10%, filling two bars increases attack skill damage by 10%, and filling three bars increases strength by 10%. Laxi's charge gauge will not fill when she has the Fig effect, and the gauge will be reset and all of the above buffs lost when the Fig effect is removed.</t>
  </si>
  <si>
    <t>Resonant Hearts II</t>
  </si>
  <si>
    <t>Grants Laxi a charge gauge with three bars. The charge gauge fills when standard attacks, force strikes, and dash attacks are used, and grants cumulative buffs to Laxi based on the number of bars filled. Filling one bar increases defense by 20%, filling two bars increases attack skill damage by 15%, and filling three bars increases strength by 15%. Laxi's charge gauge will not fill when she has the Fig effect, and the gauge will be reset and all of the above buffs lost when the Fig effect is removed.</t>
  </si>
  <si>
    <t>Resplendent Scion I</t>
  </si>
  <si>
    <t>When shapeshifting, the user will transform into Cat Sìth regardless of what dragon they are equipped with. When their shapeshift is undone, the user's inspiration level will be increased by three stages.</t>
  </si>
  <si>
    <t>Right Hand Dragon I</t>
  </si>
  <si>
    <t>Gradually fills the user's dragondrive gauge by 1% every second when they have a team defense amp.</t>
  </si>
  <si>
    <t>Royal Protector I</t>
  </si>
  <si>
    <t>Using Gatov's initial skill, displayed at the top of his skill list, grants him a defense amp (Team Amp MAX Lv. = 3). After this amp is granted, this ability will not grant it again for 20 seconds.</t>
  </si>
  <si>
    <t>Royal Shield I</t>
  </si>
  <si>
    <t>Grants the entire team a team defense amp (MAX Lv. = 2) when the user's HP drops to 70%. After activating, this ability will not activate again for 30 seconds.</t>
  </si>
  <si>
    <t>Royal Steel I</t>
  </si>
  <si>
    <t>The fourth attack in the user's standard attack combo grants them a critical damage amp (Team Amp MAX Lv. = 1). Also, using the user's first skill grants them a defense amp (Team Amp MAX Lv. = 1).</t>
  </si>
  <si>
    <t>Rupies +10%</t>
  </si>
  <si>
    <t>Increases rupie intake for clearing quests by 10%.</t>
  </si>
  <si>
    <t>Rupies +12%</t>
  </si>
  <si>
    <t>Increases rupie intake for clearing quests by 12%.</t>
  </si>
  <si>
    <t>Rupies +25%</t>
  </si>
  <si>
    <t>Increases rupie intake for clearing quests by 25%.</t>
  </si>
  <si>
    <t>Rupies +30%</t>
  </si>
  <si>
    <t>Increases rupie intake for clearing quests by 30%.</t>
  </si>
  <si>
    <t>Rupies +35%</t>
  </si>
  <si>
    <t>Increases rupie intake for clearing quests by 35%.</t>
  </si>
  <si>
    <t>Rupies +40%</t>
  </si>
  <si>
    <t>Increases rupie intake for clearing quests by 40%.</t>
  </si>
  <si>
    <t>Rupies +50%</t>
  </si>
  <si>
    <t>Increases rupie intake for clearing quests by 50%.</t>
  </si>
  <si>
    <t>Rupies +8%</t>
  </si>
  <si>
    <t>Increases rupie intake for clearing quests by 8%.</t>
  </si>
  <si>
    <t>Ruthless Ignition I</t>
  </si>
  <si>
    <t>Increases damage to scorchrent enemies by 20% and damage to enemies in overdrive state by 10%.</t>
  </si>
  <si>
    <t>Sacred Shield I</t>
  </si>
  <si>
    <t>Sacred Shield II</t>
  </si>
  <si>
    <t>Saint's Calling I</t>
  </si>
  <si>
    <t>Using Crystalline Magic grants the user the "Saint Starfall Lily" effect. When this effect is active, the user's next three force strikes will restore HP to the team member most in need with 90% Recovery Potency, increase that team member's max HP by 10%, and grant the user the "Starfall Strength" effect. Saint Starfall Lily will not stack, but Starfall Strength can stack up to three times.</t>
  </si>
  <si>
    <t>Sandalphon's Covenant I</t>
  </si>
  <si>
    <t>At the start of quests, inflicts the "Locked Sigil" debuff on the user for 300 seconds, but grants them the "Preservation Protocol" effect. If the user continues to charge their force strike, the effect granted to them will change every 1.5 seconds. The effect will cycle through the "Preservation Protocol," "Restoration Protocol," and "Purification Protocol" effects in that order.
Locked Sigil's remaining time will be reduced by 6 seconds each time the user uses Tactical Skewer and by 18 seconds each time the user removes an affliction from an ally (includes herself).
When the Locked Sigil effect wears off, the user will be granted the "Sigil Released" effect instead. Sigil Released grants the user Preservation Protocol, Restoration Protocol, and Purification Protocol.</t>
  </si>
  <si>
    <t>At the start of quests, inflicts the "Locked Sigil" debuff on the user for 300 seconds, but grants them the "Preservation Protocol" effect. If the user continues to charge their force strike, the effect granted to them will change every 1.5 seconds. The effect will cycle through the "Preservation Protocol," "Restoration Protocol," and "Purification Protocol" effects in that order.
Locked Sigil's remaining time will be reduced by 9 seconds each time the user uses Tactical Skewer and by 30 seconds each time the user removes an affliction from an ally (includes herself).
When the Locked Sigil effect wears off, the user will be granted the "Sigil Released" effect instead. Sigil Released grants the user Preservation Protocol, Restoration Protocol, and Purification Protocol.</t>
  </si>
  <si>
    <t>Satan's Yoke I</t>
  </si>
  <si>
    <t>Grants the user a dragondrive gauge and changes the shapeshift button into a dragondrive button. Tapping this button activates their dragondrive. Dragondrive grants the following effects: The user's strength is increased by 10%. The user's standard attacks are changed. Swiping to dodge during a standard attack and then performing a standard attack during this dodge will resume the user's standard attack combo from their most recent attack. Also inflicts the "Demon's Seal" debuff on the user at the start of quests for 300 seconds. During Demon's Seal, the user cannot activate their dragondrive, and their dragondrive gauge will not be filled. When the Demon's Seal effect wears off, the user will be granted the "Seal Released" effect instead. During Seal Released, the user's dragondrive gauge will gradually fill automatically by 300 UTP per second when their dragondrive is not active.</t>
  </si>
  <si>
    <t>Scorchrend = Flame Damage I</t>
  </si>
  <si>
    <t>Adds 8% to the modifier applied to damage against wind-attuned enemies upon successfully inflicting an enemy with scorchrend. This buff can stack up to three times, and, after activating, this ability will not activate again for five seconds.</t>
  </si>
  <si>
    <t>Scorchrent Punisher +15%</t>
  </si>
  <si>
    <t>Increases damage to scorchrent enemies by 15%.</t>
  </si>
  <si>
    <t>Scorchrent Punisher +20%</t>
  </si>
  <si>
    <t>Increases damage to scorchrent enemies by 20%.</t>
  </si>
  <si>
    <t>Scorchrent Punisher +25%</t>
  </si>
  <si>
    <t>Increases damage to scorchrent enemies by 25%.</t>
  </si>
  <si>
    <t>Reduces shadow damage taken by 10%.</t>
  </si>
  <si>
    <t>Shadow Res +3%</t>
  </si>
  <si>
    <t>Reduces shadow damage taken by 3%.</t>
  </si>
  <si>
    <t>Shadow Res +4%</t>
  </si>
  <si>
    <t>Reduces shadow damage taken by 4%.</t>
  </si>
  <si>
    <t>Shadow Res +5%</t>
  </si>
  <si>
    <t>Reduces shadow damage taken by 5%.</t>
  </si>
  <si>
    <t>Shadow Res +8%</t>
  </si>
  <si>
    <t>Reduces shadow damage taken by 8%.</t>
  </si>
  <si>
    <t>Shadowblight Edge +40%</t>
  </si>
  <si>
    <t>Increases the chances of inflicting shadowblight by 40%.</t>
  </si>
  <si>
    <t>Shadowblighted Punisher +15%</t>
  </si>
  <si>
    <t>Increases damage to shadowblighted enemies by 15%.</t>
  </si>
  <si>
    <t>Shadowblighted Punisher +20%</t>
  </si>
  <si>
    <t>Increases damage to shadowblighted enemies by 20%.</t>
  </si>
  <si>
    <t>Shadowblighted Punisher +25%</t>
  </si>
  <si>
    <t>Increases damage to shadowblighted enemies by 25%.</t>
  </si>
  <si>
    <t>Shadowwyrm's Nature I</t>
  </si>
  <si>
    <t>Reduces susceptibility to curses by 100% and increases damage to enemies with Spite by 10%. When shapeshifting for the first time, the user will transform into Zodiark regardless of what dragon they are equipped with. The second time onwards, they will transform into High Zodiark instead. Also, using the user's first or second skills will grant them a strength amp (Team Amp MAX Lv. = 1).</t>
  </si>
  <si>
    <t>Shapeshift Prep +13%</t>
  </si>
  <si>
    <t>Fills 13% of the dragon gauge at the start of quests.</t>
  </si>
  <si>
    <t>Shapeshift Prep +20%</t>
  </si>
  <si>
    <t>Fills 20% of the dragon gauge at the start of quests.</t>
  </si>
  <si>
    <t>Shapeshift Prep +5%</t>
  </si>
  <si>
    <t>Fills 5% of the dragon gauge at the start of quests.</t>
  </si>
  <si>
    <t>Shapeshift Prep +8%</t>
  </si>
  <si>
    <t>Fills 8% of the dragon gauge at the start of quests.</t>
  </si>
  <si>
    <t>Shapeshift Prep +9%</t>
  </si>
  <si>
    <t>Fills 9% of the dragon gauge at the start of quests.</t>
  </si>
  <si>
    <t>Sharp Shopkeeping I</t>
  </si>
  <si>
    <t>Grants the user a shopkeeper gauge with three charges. Using Pop-up Shop will fill the shopkeeper gauge by 10 CP. Also, grants the user a unique force strike that deals damage to the target and nearby enemies. When the shopkeeper gauge has one or more charges, this force strike will also dispel enemy buffs.</t>
  </si>
  <si>
    <t>Shield Prep I</t>
  </si>
  <si>
    <t>Grants the user a one-use shield that nullifies damage less than 10% of their maximum HP at the start of quests. This does not stack with any other shields.</t>
  </si>
  <si>
    <t>Shield Prep II</t>
  </si>
  <si>
    <t>Grants the user a one-use shield that nullifies damage less than 20% of their maximum HP at the start of quests. This does not stack with any other shields.</t>
  </si>
  <si>
    <t>Shield Prep III</t>
  </si>
  <si>
    <t>Grants the user a one-use shield that nullifies damage less than 30% of their maximum HP at the start of quests. This does not stack with any other shields.</t>
  </si>
  <si>
    <t>Shikigami Vivifier I</t>
  </si>
  <si>
    <t>Fills the shikigami gauge by 40% every time the dragon gauge fills by 10%.</t>
  </si>
  <si>
    <t>Skill 2 Filled = Strength +20%</t>
  </si>
  <si>
    <t>Increases the user's strength by 20% while their second skill is available for use.</t>
  </si>
  <si>
    <t>Skill 2 Filled = Strength +30%</t>
  </si>
  <si>
    <t>Increases the user's strength by 30% while their second skill is available for use.</t>
  </si>
  <si>
    <t>Skill Damage +10%</t>
  </si>
  <si>
    <t>Increases attack skill damage by 10%.</t>
  </si>
  <si>
    <t>Increases attack skill damage by 15%.</t>
  </si>
  <si>
    <t>Skill Damage +25%</t>
  </si>
  <si>
    <t>Increases attack skill damage by 25%.</t>
  </si>
  <si>
    <t>Skill Damage +5%</t>
  </si>
  <si>
    <t>Increases attack skill damage by 5%.</t>
  </si>
  <si>
    <t>Skill Haste +2%</t>
  </si>
  <si>
    <t>Increases skill gauge fill rate by 2%.</t>
  </si>
  <si>
    <t>Skill Haste +20%</t>
  </si>
  <si>
    <t>Increases skill gauge fill rate by 20%.</t>
  </si>
  <si>
    <t>Skill Haste +3%</t>
  </si>
  <si>
    <t>Increases skill gauge fill rate by 3%.</t>
  </si>
  <si>
    <t>Skill Haste +30%</t>
  </si>
  <si>
    <t>Increases skill gauge fill rate by 30%.</t>
  </si>
  <si>
    <t>Skill Haste +4%</t>
  </si>
  <si>
    <t>Increases skill gauge fill rate by 4%.</t>
  </si>
  <si>
    <t>Skill Haste +6%</t>
  </si>
  <si>
    <t>Increases skill gauge fill rate by 6%.</t>
  </si>
  <si>
    <t>Skill Prep +10%</t>
  </si>
  <si>
    <t>Fills 10% of skill gauges at the start of quests.</t>
  </si>
  <si>
    <t>Skill Prep +15%</t>
  </si>
  <si>
    <t>Fills 15% of skill gauges at the start of quests.</t>
  </si>
  <si>
    <t>Skill Prep +20%</t>
  </si>
  <si>
    <t>Fills 20% of skill gauges at the start of quests.</t>
  </si>
  <si>
    <t>Skill Prep +25%</t>
  </si>
  <si>
    <t>Fills 25% of skill gauges at the start of quests.</t>
  </si>
  <si>
    <t>Skill Prep +8%</t>
  </si>
  <si>
    <t>Fills 8% of skill gauges at the start of quests.</t>
  </si>
  <si>
    <t>Skills = Shapeshift Prep I</t>
  </si>
  <si>
    <t>Fills the user's dragon gauge by 3% when using skills. This does not include weapon or dragon skills. This is also not affected by Dragon Haste.</t>
  </si>
  <si>
    <t>Slayer's Devastation +3%</t>
  </si>
  <si>
    <t>Increases critical rate by 3% for every five enemies defeated (up to three times per quest).</t>
  </si>
  <si>
    <t>Slayer's Devastation +4%</t>
  </si>
  <si>
    <t>Increases critical rate by 4% for every five enemies defeated (up to three times per quest).</t>
  </si>
  <si>
    <t>Slayer's Devastation +5%</t>
  </si>
  <si>
    <t>Increases critical rate by 5% for every five enemies defeated (up to three times per quest).</t>
  </si>
  <si>
    <t>Slayer's Strength +2%</t>
  </si>
  <si>
    <t>Increases strength by 2% for every five enemies defeated (up to five times per quest).</t>
  </si>
  <si>
    <t>Slayer's Strength +3%</t>
  </si>
  <si>
    <t>Increases strength by 3% for every five enemies defeated (up to five times per quest).</t>
  </si>
  <si>
    <t>Slayer's Strength +5%</t>
  </si>
  <si>
    <t>Increases strength by 5% for every five enemies defeated (up to five times per quest).</t>
  </si>
  <si>
    <t>Slayer's Strength +6%</t>
  </si>
  <si>
    <t>Increases strength by 6% for every five enemies defeated (up to five times per quest).</t>
  </si>
  <si>
    <t>Sleep = Team Strength +10%</t>
  </si>
  <si>
    <t>Buffs the entire team's strength by 10% for 10 seconds upon successfully putting an enemy to sleep. After activating, this ability will not activate again for five seconds.</t>
  </si>
  <si>
    <t>Sleep = Team Strength +15%</t>
  </si>
  <si>
    <t>Buffs the entire team's strength by 15% for 10 seconds upon successfully putting an enemy to sleep. After activating, this ability will not activate again for five seconds.</t>
  </si>
  <si>
    <t>Sleep Res +15%</t>
  </si>
  <si>
    <t>Reduces susceptibility to sleep by 15%.</t>
  </si>
  <si>
    <t>Sleep Res +20%</t>
  </si>
  <si>
    <t>Reduces susceptibility to sleep by 20%.</t>
  </si>
  <si>
    <t>Sleep Res +25%</t>
  </si>
  <si>
    <t>Reduces susceptibility to sleep by 25%.</t>
  </si>
  <si>
    <t>Sleep Res +40%</t>
  </si>
  <si>
    <t>Reduces susceptibility to sleep by 40%.</t>
  </si>
  <si>
    <t>Sleep Res +75%</t>
  </si>
  <si>
    <t>Reduces susceptibility to sleep by 75%.</t>
  </si>
  <si>
    <t>Sleeping Punisher +10%</t>
  </si>
  <si>
    <t>Increases damage to sleeping enemies by 10%.</t>
  </si>
  <si>
    <t>Sleeping Punisher +15%</t>
  </si>
  <si>
    <t>Increases damage to sleeping enemies by 15%.</t>
  </si>
  <si>
    <t>Sleeping Punisher +20%</t>
  </si>
  <si>
    <t>Increases damage to sleeping enemies by 20%.</t>
  </si>
  <si>
    <t>Smoldering Spirit I</t>
  </si>
  <si>
    <t>If the user is attuned to Flame: using a force strike for three or more seconds, including both charge and attack time, adds 25% to the modifier applied to damage against wind-attuned enemies for 30 seconds. This increase will not stack, and, after activating, this ability will not activate again for 15 seconds.</t>
  </si>
  <si>
    <t>Smoldering Spirit II</t>
  </si>
  <si>
    <t>If the user is attuned to Flame: using a force strike for three or more seconds, including both charge and attack time, adds 30% to the modifier applied to damage against wind-attuned enemies for 30 seconds. This increase will not stack, and, after activating, this ability will not activate again for 15 seconds.</t>
  </si>
  <si>
    <t>Sparrow Spiker I</t>
  </si>
  <si>
    <t>Increases defense by 3%, and grants the user a unique force strike that has three increasingly powerful charge levels. Movement is possible while charging. Using Sparrow Splash grants the user the "Seaside Spirit" effect. When this effect is active, the user's next force strike will inflict poison - dealing 43.6% shadow damage every 2.9 seconds for 15 seconds - with 110% chance. This effect cannot stack, and will be consumed on use.</t>
  </si>
  <si>
    <t>Spectral Counter I</t>
  </si>
  <si>
    <t>When the user takes damage, fills 5% of their dragon gauge and, if they have already shapeshifted at least once, creates a Spectral Flame where they took damage. This Spectral Flame will detonate after three seconds, dealing 1 hit of 2000% shadow damage to surrounding enemies and applying "Spite" to them. After activating, these effects will not activate again for 15 seconds.</t>
  </si>
  <si>
    <t>Squeaky Scramble I</t>
  </si>
  <si>
    <t>Reduces damage dealt by the user's initial skill, displayed at the top of their skill list, and dragon skill to enemies in break state by 15%, but increases attack rate by 3%. Also, increases the user's attack rate by a further 5% while their initial skill is available for use.</t>
  </si>
  <si>
    <t>Staff's Psalm I</t>
  </si>
  <si>
    <t>If the user has one or more wyrmprints equipped with the Staff's Boon affinity, this ability decreases the number of wyrmprints necessary to activate the Staff's Boon affinity bonus by one.</t>
  </si>
  <si>
    <t>Staff's Psalm II</t>
  </si>
  <si>
    <t>If the user has one or more wyrmprints equipped with the Staff's Boon affinity, this ability decreases the number of wyrmprints necessary to activate the Staff's Boon affinity bonus by two.</t>
  </si>
  <si>
    <t>Staff's Psalm III</t>
  </si>
  <si>
    <t>If the user has one or more wyrmprints equipped with the Staff's Boon affinity, this ability decreases the number of wyrmprints necessary to activate the Staff's Boon affinity bonus by three.</t>
  </si>
  <si>
    <t>Stalwart Warrior I</t>
  </si>
  <si>
    <t>When shapeshifting, the user will transform into Thor regardless of what dragon they are equipped with. Also grants the user a unique force strike that draws enemies toward the user. In addition, grants the user immunity to knockback for the duration of quests and, when the user takes damage, grants them the "Defiant Spirit" effect for 20 seconds. During Defiant Spirit, damage dealt by the user's standard attacks and their area of effect are increased. After Defiant Spirit is granted, this ability will not grant it again for 5 seconds. Also, restores 30% of damage taken during skills or attacks as HP. This effect also activates while charging skills or attacks and during the transformation sequence when shapeshifting.</t>
  </si>
  <si>
    <t>Star of the Dance I</t>
  </si>
  <si>
    <t>Increases force strike damage by 45%, then increases it by an additional 2% for each buff Chelle has (up to a maximum of 30%).</t>
  </si>
  <si>
    <t>Starfall Spirit I</t>
  </si>
  <si>
    <t>Grants the user the "Starfall Spirit" effect for 15 seconds when an alchemic cartridge is consumed. Starfall Spirit can stack up to 3 times, and each stack increases the user's strength and critical rate by 10%.</t>
  </si>
  <si>
    <t>Starlit Ambience I</t>
  </si>
  <si>
    <t>Using Starry Veil grants the user the "Astral Garnish" effect. When this effect is active, the user's skill gauge fill rate will be increased by 10%, and their next force strike will deal damage to multiple targets based on the number of Starlit Dining stacks the user has. This effect cannot stack, and will be consumed on use.</t>
  </si>
  <si>
    <t>Stormlash Edge +30%</t>
  </si>
  <si>
    <t>Increases chances of inflicting stormlash by 30%.</t>
  </si>
  <si>
    <t>Stormlashed Punisher +10%</t>
  </si>
  <si>
    <t>Increases damage to stormlashed enemies by 10%.</t>
  </si>
  <si>
    <t>Stormlashed Punisher +15%</t>
  </si>
  <si>
    <t>Increases damage to stormlashed enemies by 15%.</t>
  </si>
  <si>
    <t>Stormlashed Punisher +20%</t>
  </si>
  <si>
    <t>Increases damage to stormlashed enemies by 20%.</t>
  </si>
  <si>
    <t>Stormlashed Punisher +25%</t>
  </si>
  <si>
    <t>Increases damage to stormlashed enemies by 25%.</t>
  </si>
  <si>
    <t>Stormlashed Punisher +5%</t>
  </si>
  <si>
    <t>Increases damage to stormlashed enemies by 5%.</t>
  </si>
  <si>
    <t>Stormlashed Punisher +7%</t>
  </si>
  <si>
    <t>Increases damage to stormlashed enemies by 7%.</t>
  </si>
  <si>
    <t>Strength &amp; Ending Shapeshift = Curse I</t>
  </si>
  <si>
    <t>Increases strength by 45%. When the user's shapeshift is undone, they will be cursed for the rest of the quest, irrespective of their element.</t>
  </si>
  <si>
    <t>Strength &amp; Ending Shapeshift = Curse II</t>
  </si>
  <si>
    <t>Increases strength by 46%. When the user's shapeshift is undone, they will be cursed for the rest of the quest, irrespective of their element.</t>
  </si>
  <si>
    <t>Increases strength by 50%. When the user's shapeshift is undone, they will be cursed for the rest of the quest, irrespective of their element.</t>
  </si>
  <si>
    <t>Strength &amp; Ending Shapeshift = Curse III</t>
  </si>
  <si>
    <t>Increases strength by 47%. When the user's shapeshift is undone, they will be cursed for the rest of the quest, irrespective of their element.</t>
  </si>
  <si>
    <t>Strength &amp; Ending Shapeshift = Curse IV</t>
  </si>
  <si>
    <t>Increases strength by 48%. When the user's shapeshift is undone, they will be cursed for the rest of the quest, irrespective of their element.</t>
  </si>
  <si>
    <t>Strength &amp; Ending Shapeshift = Curse V</t>
  </si>
  <si>
    <t>Strength +8%</t>
  </si>
  <si>
    <t>Increases strength by 8%.</t>
  </si>
  <si>
    <t>Strength -10% &amp; Strength Debilitator I</t>
  </si>
  <si>
    <t>The user's strength is lowered by 10% during quests. Grants the user's standard attacks a 10% chance to reduce enemy strength by 5% for 10 seconds. This strength reduction effect will not stack.</t>
  </si>
  <si>
    <t>Strength -10% &amp; Strength Debilitator II</t>
  </si>
  <si>
    <t>The user's strength is lowered by 10% during quests. Grants the user's standard attacks a 10% chance to reduce enemy strength by 8% for 10 seconds. This strength reduction effect will not stack.</t>
  </si>
  <si>
    <t>Strength -10% &amp; Strength Debilitator III</t>
  </si>
  <si>
    <t>The user's strength is lowered by 10% during quests. Grants the user's standard attacks a 10% chance to reduce enemy strength by 10% for 10 seconds. This strength reduction effect will not stack.</t>
  </si>
  <si>
    <t>Strength Amp = Attack Rate +5%</t>
  </si>
  <si>
    <t>Increases attack rate by 5% when the user has a Strength Amp.</t>
  </si>
  <si>
    <t>Strength Amp = Scorchrend Edge &amp; Sting I</t>
  </si>
  <si>
    <t>When the user has a Strength Amp, increases the chances of inflicting scorchrend by 20% and its duration by 20%.</t>
  </si>
  <si>
    <t>Strength Doublebuff +10%</t>
  </si>
  <si>
    <t>Increases strength by 10% for 15 seconds each time a defense up buff is received.</t>
  </si>
  <si>
    <t>Strength Doublebuff +3%</t>
  </si>
  <si>
    <t>Increases strength by 3% for 15 seconds each time a defense up buff is received.</t>
  </si>
  <si>
    <t>Strength Doublebuff +5%</t>
  </si>
  <si>
    <t>Increases strength by 5% for 15 seconds each time a defense up buff is received.</t>
  </si>
  <si>
    <t>Striker's Energy I</t>
  </si>
  <si>
    <t>Increases energy level by one stage for every three enemies defeated with force strikes (up to five times per quest).</t>
  </si>
  <si>
    <t>Striker's Skill +6%</t>
  </si>
  <si>
    <t>Increases skill damage by 6% for every three enemies defeated with force strikes (up to five times per quest).</t>
  </si>
  <si>
    <t>Striker's Strength +3%</t>
  </si>
  <si>
    <t>Increases strength by 3% for every three enemies defeated with force strikes (up to five times per quest).</t>
  </si>
  <si>
    <t>Striker's Strength +4%</t>
  </si>
  <si>
    <t>Increases strength by 4% for every three enemies defeated with force strikes (up to five times per quest).</t>
  </si>
  <si>
    <t>Striker's Strength +6%</t>
  </si>
  <si>
    <t>Increases strength by 6% for every three enemies defeated with force strikes (up to five times per quest).</t>
  </si>
  <si>
    <t>Striker's Strength +7%</t>
  </si>
  <si>
    <t>Increases strength by 7% for every three enemies defeated with force strikes (up to five times per quest).</t>
  </si>
  <si>
    <t>Striking Haste +10%</t>
  </si>
  <si>
    <t>Increases skill gauge fill rate by 10% when the user's force strikes connect.</t>
  </si>
  <si>
    <t>Striking Haste +12%</t>
  </si>
  <si>
    <t>Increases skill gauge fill rate by 12% when the user's force strikes connect.</t>
  </si>
  <si>
    <t>Striking Haste +6%</t>
  </si>
  <si>
    <t>Increases skill gauge fill rate by 6% when the user's force strikes connect.</t>
  </si>
  <si>
    <t>Striking Haste +8%</t>
  </si>
  <si>
    <t>Increases skill gauge fill rate by 8% when the user's force strikes connect.</t>
  </si>
  <si>
    <t>Striking Strength Debilitator I</t>
  </si>
  <si>
    <t>Grants the user's force strikes a 50% chance to reduce enemy strength by 3% for 10 seconds.</t>
  </si>
  <si>
    <t>Striking Strength Debilitator II</t>
  </si>
  <si>
    <t>Grants the user's force strikes a 70% chance to reduce enemy strength by 3% for 10 seconds.</t>
  </si>
  <si>
    <t>Stun Res +15%</t>
  </si>
  <si>
    <t>Reduces susceptibility to stun by 15%.</t>
  </si>
  <si>
    <t>Stun Res +20%</t>
  </si>
  <si>
    <t>Reduces susceptibility to stun by 20%.</t>
  </si>
  <si>
    <t>Stunned Punisher +10%</t>
  </si>
  <si>
    <t>Increases damage to stunned enemies by 10%.</t>
  </si>
  <si>
    <t>Stunned Punisher +15%</t>
  </si>
  <si>
    <t>Increases damage to stunned enemies by 15%.</t>
  </si>
  <si>
    <t>Stunned Punisher +25%</t>
  </si>
  <si>
    <t>Increases damage to stunned enemies by 25%.</t>
  </si>
  <si>
    <t>Stunned Punisher +30%</t>
  </si>
  <si>
    <t>Increases damage to stunned enemies by 30%.</t>
  </si>
  <si>
    <t>Stunned Punisher +5%</t>
  </si>
  <si>
    <t>Increases damage to stunned enemies by 5%.</t>
  </si>
  <si>
    <t>Stunning Summer Scion I</t>
  </si>
  <si>
    <t>Grants the user a ravishing radiance gauge with three bars. The ravishing radiance gauge's effects are based on the number of bars filled.
One bar: Increases the user's chances of inflicting flashburn by 20%.
Two bars: Increases the user's chances of inflicting flashburn by 40% and increases the damage dealt by the Sole Estivo skill by 80%.
Three bars: Reduces the user's movement speed by 50%.
Also, when shapeshifting, the ravishing radiance gauge will be reset, and the user will transform into Summer Cat Sìth regardless of what dragon they are equipped with. Additionally, using Sole Estivo will grant the user a defense amp (Team Amp MAX Lv. = 2).</t>
  </si>
  <si>
    <t>Summer Conqueror I</t>
  </si>
  <si>
    <t>Grants the user a dragondrive gauge and changes the shapeshift button into a dragondrive button. Tapping this button activates their dragondrive. Dragondrive grants the following effects:_x000D_
_x000D_
・The user's force strikes are changed and have three increasingly powerful charge levels. Movement is possible while charging, but at a slower movement speed._x000D_
・The user's strength is increased by 40%.</t>
  </si>
  <si>
    <t>Summer Sparks I</t>
  </si>
  <si>
    <t>Grants the user a dragondrive gauge, and changes the shapeshift button into a dragondrive button. Tapping this button activates their dragondrive. Dragondrive grants the following effects:_x000D_
_x000D_
・The user's standard attacks are changed and fill the user's dragondrive gauge if they connect._x000D_
・The user's strength is increased by 15%.</t>
  </si>
  <si>
    <t>Sun and Sea I</t>
  </si>
  <si>
    <t>Increases defense by 3%, grants the user a unique force strike (which does no damage), and grants the user the "Sunlight" effect for 12 seconds at the start of quests. Using a force strike while the user has the Sunlight effect grants the user the Illuminating Sunlight effect, which will not stack._x000D_
After the Sunlight effect ends, the user will be granted the "Wavelight" effect for 12 seconds. Using a force strike while the user has the Wavelight effect grants the user the Celestial Wavelight effect, which will not stack. After the Wavelight effect ends, the user will be granted the Sunlight effect for 12 seconds again._x000D_
If the user has both the Illuminating Sunlight and Celestial Wavelight effects, the Radiant Bolt and Magnanimity's Call skills will be powered up. Using either powered-up skill will consume both the Illuminating Sunlight and Celestial Wavelight effects. Sunlight and Wavelight are not extended by Buff Time abilities.</t>
  </si>
  <si>
    <t>Supreme Last Devastation I</t>
  </si>
  <si>
    <t>Increases critical rate by 75% for 10 seconds when HP drops to 30% (once per quest).</t>
  </si>
  <si>
    <t>Sword's Psalm I</t>
  </si>
  <si>
    <t>If the user has one or more wyrmprints equipped with the Sword's Boon affinity, this ability decreases the number of wyrmprints necessary to activate the Sword's Boon affinity bonus by one.</t>
  </si>
  <si>
    <t>Sword's Psalm II</t>
  </si>
  <si>
    <t>If the user has one or more wyrmprints equipped with the Sword's Boon affinity, this ability decreases the number of wyrmprints necessary to activate the Sword's Boon affinity bonus by two.</t>
  </si>
  <si>
    <t>Sword's Psalm III</t>
  </si>
  <si>
    <t>If the user has one or more wyrmprints equipped with the Sword's Boon affinity, this ability decreases the number of wyrmprints necessary to activate the Sword's Boon affinity bonus by three.</t>
  </si>
  <si>
    <t>Sylvan Strength I</t>
  </si>
  <si>
    <t>Increases the user's strength by 2% and critical rate by 1% for 15 seconds for every 25-hit combo.</t>
  </si>
  <si>
    <t>Sylvan Strength II</t>
  </si>
  <si>
    <t>Increases the user's strength by 2% and critical rate by 1% for 15 seconds for every 20-hit combo.</t>
  </si>
  <si>
    <t>Team Defense Amp = HP Regen I</t>
  </si>
  <si>
    <t>Gradually recovers the user's HP with 3% Recovery Potency every 2.9 seconds when they have a team defense amp.</t>
  </si>
  <si>
    <t>Team Strength Amp = Reflexive Evasion I</t>
  </si>
  <si>
    <t>Grants the user a 20% chance upon enemy attacks to activate Reflexive Evasion and dodge when the user has a Team Strength Amp.</t>
  </si>
  <si>
    <t>Team Strength Amp = Skill Haste I</t>
  </si>
  <si>
    <t>Increases the user's skill gauge fill rate by 8% when they have a Team Strength Amp.</t>
  </si>
  <si>
    <t>Tempest Charge I</t>
  </si>
  <si>
    <t>Fills 25% of the dragon gauge when the user's HP drops to 30% (once per quest) and reduces dragon gauge depletion over time by 15%.</t>
  </si>
  <si>
    <t>Thaumian's Bane +10%</t>
  </si>
  <si>
    <t>Increases damage to thaumians by 10%.</t>
  </si>
  <si>
    <t>Thaumian's Bane +20%</t>
  </si>
  <si>
    <t>Increases damage to thaumians by 20%.</t>
  </si>
  <si>
    <t>Thaumian's Bane +25%</t>
  </si>
  <si>
    <t>Increases damage to thaumians by 25%.</t>
  </si>
  <si>
    <t>Thaumian's Bane +30%</t>
  </si>
  <si>
    <t>Increases damage to thaumians by 30%.</t>
  </si>
  <si>
    <t>The Demon Within I</t>
  </si>
  <si>
    <t>Reduces susceptibility to afflictions by 50% during Seal Released.</t>
  </si>
  <si>
    <t>The Faceless God I</t>
  </si>
  <si>
    <t>When shapeshifting, Lathna will transform into Nyarlathotep regardless of what dragon she is equipped with. Grants an HP regen buff healing for 12% Max HP every 3.9 seconds for 20 seconds each time she shapeshifts.</t>
  </si>
  <si>
    <t>The Faceless God II</t>
  </si>
  <si>
    <t>When shapeshifting, Lathna will transform into Nyarlathotep regardless of what dragon she is equipped with. Grants an HP regen buff healing for 14% Max HP every 3.9 seconds for 20 seconds each time she shapeshifts.</t>
  </si>
  <si>
    <t>The Great and Powerful Emperor Emile I</t>
  </si>
  <si>
    <t>Increases damage dealt by shared skills by 100%. Shared skills that deal damage will also inflict frostbite for 42 seconds - dealing 22% water damage every 2.9 seconds - with 100% chance.</t>
  </si>
  <si>
    <t>The Way of the Blazewolf I</t>
  </si>
  <si>
    <t>Adds 10% to the modifier applied to critical damage against enemies that have the "Evil's Bane" effect. In addition, the user's second skill will deal critical damage to enemies with Evil's Bane. This critical hit will reset the user's inspiration level if the user is inspired. Also, swiping to dodge during a standard attack will deal 1 hit of 70% flame damage to surrounding enemies and recover 100 SP. Performing a standard attack during this unique dodge will then resume the user's standard attack combo from their most recent attack. (Dodging again immediately after the user's unique dodge will instead result in a standard dodge.) Additionally, when using the user's first or second skills, for the duration of the attack, the user will be immune to knockback, and damage taken will be reduced by 50%.</t>
  </si>
  <si>
    <t>Therion's Bane +15%</t>
  </si>
  <si>
    <t>Increases damage to therions by 15%.</t>
  </si>
  <si>
    <t>Therion's Bane +20%</t>
  </si>
  <si>
    <t>Increases damage to therions by 20%.</t>
  </si>
  <si>
    <t>Thirst for Life I</t>
  </si>
  <si>
    <t>Reduces susceptibility to afflictions by 100% during dragondrive. Also during dragondrive, once per quest, when the user would take damage greater than their remaining HP, that damage is instead nullified, and their dragondrive gauge is completely consumed. Damage from attacks that forcibly reduce the user's HP to zero or deactivate dragondrive cannot be nullified in this way. Also, with the exception of damage dealt by afflictions, buffs, debuffs, and certain attacks, the user will be temporarily invulnerable to damage while this effect is being activated. When activated, this ability's damage nullification effect also removes all afflictions from the user and applies the "Fatigue" debuff to them for 60 seconds. During Fatigue, the user cannot activate their dragondrive, and their dragondrive gauge will not be filled.</t>
  </si>
  <si>
    <t>Tiger's Ferocity I</t>
  </si>
  <si>
    <t>When the user has Battle Fervor, increases the damage dealt by their attacks by 30% and increases their strength by 15%.</t>
  </si>
  <si>
    <t>Tiger's Tenacity I</t>
  </si>
  <si>
    <t>Grants the user the "Veteran's Mettle" effect when they take damage. Veteran's Mettle can stack up to 3 times, and after it is granted, this ability will not grant it again for 20 seconds. Also, grants the user a unique force strike. While charging this force strike, damage taken will be reduced. Damage from some attacks cannot be reduced in this way. After charging, if the user takes damage while executing this force strike, that damage will be reduced, and the user will be granted 3 stacks of Veteran's Mettle. The user will be immune to knockback while charging this force strike as well as when executing it. In addition, when the user has Battle Fervor, the third and fifth attacks in their standard attack combo will create cyclones that pursue the target.</t>
  </si>
  <si>
    <t>Time's Transcendence I</t>
  </si>
  <si>
    <t>Grants the user a dragon strike while shapeshifted as Chronos Nyx. This dragon strike deals damage to the target and has three increasingly powerful charge levels._x000D_
_x000D_
Also while shapeshifted as Chronos Nyx, remaining shapeshift time will be depleted by standard attacks, dragon strikes, and skills instead of being depleted automatically over time. In addition, if the user is able to dodge when they are hit by an attack, they will consume some of their remaining shapeshift time and automatically dodge the attack. Some attacks cannot be dodged in this way.</t>
  </si>
  <si>
    <t>Time's Transcendence II</t>
  </si>
  <si>
    <t>Tosenbo &amp; Toryanse I</t>
  </si>
  <si>
    <t>Reduces damage taken by 5% when not inflicted with any afflictions. Also, grants the user a stack of the "Playtime" effect for every 9 seconds that pass in which the user is not inflicted with any afflictions. During Playtime, the user's strength is increased by 5% and the potency of recovery skills by 10%. This buff can stack up to 3 times. All stacks will be lost upon being inflicted with an affliction.</t>
  </si>
  <si>
    <t>Turbo Unit I</t>
  </si>
  <si>
    <t>Increases strength and defense by 15% when the armament gauge has one or more charges.</t>
  </si>
  <si>
    <t>Unbending Will I</t>
  </si>
  <si>
    <t>Unbreakable Bonds I (Light)</t>
  </si>
  <si>
    <t>Unbreakable Bonds I (Wind)</t>
  </si>
  <si>
    <t>Unceasing Cyclone I</t>
  </si>
  <si>
    <t>Unconstrained Fate I</t>
  </si>
  <si>
    <t>Undead Res +15%</t>
  </si>
  <si>
    <t>Decreases damage from undead by 15%.</t>
  </si>
  <si>
    <t>Undead's Bane +10%</t>
  </si>
  <si>
    <t>Increases damage to undead by 10%.</t>
  </si>
  <si>
    <t>Undying Will I</t>
  </si>
  <si>
    <t>Increases Audric's attack rate by 2% every time he uses a skill (up to 8%) and grants him a skill reservoir with three levels. This skill reservoir is filled when standard attacks, force strikes, and dash attacks connect with enemies._x000D_
_x000D_
Also, grants Audric a defense amp (Team Amp MAX Lv. = 3) every two times he uses a skill. After this amp is granted, this ability will not grant it again for 30 seconds.</t>
  </si>
  <si>
    <t>Unforgettable Promise I</t>
  </si>
  <si>
    <t>Reduces susceptibility to curses by 50%. When the user is hit by an attack that would have cursed them, their critical rate is increased by 10% for 10 seconds. After activating, this buff will not activate again for 15 seconds.</t>
  </si>
  <si>
    <t>Unforgettable Promise II</t>
  </si>
  <si>
    <t>Reduces susceptibility to curses by 100%. When the user is hit by an attack that would have cursed them, their critical rate is increased by 15% for 10 seconds. After activating, this buff will not activate again for 15 seconds.</t>
  </si>
  <si>
    <t>Union I</t>
  </si>
  <si>
    <t>The user begins quests as Ayaha but can swap to Otoha and vice versa by using Nabe Nabe Sokonuke. Ayaha and Otoha share all the same stats, but their standard attacks, force strike, dash attack, and second skill differ. When shapeshifting, the user will transform into Beast Ayaha &amp; Otoha regardless of what dragon they are equipped with and activate the following effects while shapeshifted: Shapeshift time is extended by 15%. Standard attacks lower enemy burn or scorchrend resistance by 20% for 30 seconds. Both of these resistance reduction effects can be applied simultaneously, but neither of them will stack. Has a dragon strike that deals damage to surrounding enemies and inflicts stun and scorchrend. In addition, the user's dragon skill level will match the level of the adventurer's initial skill, displayed at the top of their skill list.</t>
  </si>
  <si>
    <t>United Critical Damage I</t>
  </si>
  <si>
    <t>Increases the modifier applied to critical damage by 15%, 17%, or 21% total relative to the number of other living team members.</t>
  </si>
  <si>
    <t>United Critical Rate I</t>
  </si>
  <si>
    <t>Increases critical rate relative by 5%, 7%, or 10% total relative to the number of other living team members.</t>
  </si>
  <si>
    <t>United Haste I</t>
  </si>
  <si>
    <t>Increases skill gauge fill rate by 2%, 6%, or 8% total relative to the number of other living team members.</t>
  </si>
  <si>
    <t>United Strength I</t>
  </si>
  <si>
    <t>Increases strength by 2%, 4%, or 8% total relative to the number of other living team members.</t>
  </si>
  <si>
    <t>Unrelenting Blade I</t>
  </si>
  <si>
    <t>Increases strength by 15% for every 15 seconds that pass without the user being knocked back by an enemy. This effect can stack up to three times. All stacks will be lost upon being knocked back by an enemy._x000D_
_x000D_
Also, grants the user a unique force strike that has two increasingly powerful charge levels and dispels one enemy buff when the combo count is 15 or higher. The user will be immune to knockback while charging this force strike.</t>
  </si>
  <si>
    <t>Increases strength by 20% for every 15 seconds that pass without the user being knocked back by an enemy. This effect can stack up to three times. All stacks will be lost upon being knocked back by an enemy._x000D_
_x000D_
Also, grants the user a unique force strike that has two increasingly powerful charge levels and dispels one enemy buff when the combo count is 15 or higher. The user will be immune to knockback while charging this force strike.</t>
  </si>
  <si>
    <t>Unyielding Spirit I</t>
  </si>
  <si>
    <t>Uranus's Blessing I</t>
  </si>
  <si>
    <t>Grants the user a strength amp (Team Amp MAX Lv. = 1) when the user inflicts an enemy with an affliction. After this amp is granted, this ability will not grant it again for 8 seconds. Also, grants the user a dragondrive gauge and changes the shapeshift button into a dragondrive button. Tapping this button activates their dragondrive. The user's force strikes will fill their dragondrive gauge by 90 UTP if they connect. Dragondrive grants the following effects: The user's standard attacks are changed and fill the user's dragondrive gauge if they connect. The user's force strikes are changed and deal damage to multiple targets and enemies near those targets. They will also apply the "Victim of Science" effect to enemies hit. The user's strength is increased by 30%. The user's HP is restored with 20% Recovery Potency when they are hit by an attack that inflicts an affliction. After activating, this effect will not activate again for 10 seconds.</t>
  </si>
  <si>
    <t>Uriel's Covenant I</t>
  </si>
  <si>
    <t>Inflicts the "Locked Sigil" debuff on the user at the start of quests for 300 seconds, and grants the user a unique force strike. While charging this force strike, if the user is hit by an attack that can be avoided with the damage immunity provided by skills, they will automatically dodge the attack, deal flame damage to enemies in a line, and inflict them with the "Uriel's Wrath" debuff. Locked Sigil's remaining time will be reduced by 24 seconds each time the user dodges an attack. After activating, this effect will not activate again for 10 seconds._x000D_
_x000D_
When the Locked Sigil effect wears off, the user will be granted the "Sigil Released" effect instead. Sigil Released increases the damage dealt by standard attacks and force strikes, and the amount skill gauges are filled by standard attacks and force strikes. Damage from these attacks is increased by 35% against scorchrent enemies. It also increases the user's skill gauge fill rate by 8% while they have the "Uriel's Blessing" effect.</t>
  </si>
  <si>
    <t>Uriel's Judgment I</t>
  </si>
  <si>
    <t>Grants the user a 50% chance to inflict an attacking enemy with the "Uriel's Wrath" debuff when the user dodges that enemy's attack. After activating this chance to inflict Uriel's Wrath, this ability will not activate again for 15 seconds.</t>
  </si>
  <si>
    <t>Vampiric Potential I</t>
  </si>
  <si>
    <t>Using Crimson Order grants the user a "Blood Pact." This effect can stack up to five times. If the user has five Blood Pacts, the skill gauge for Scarlet Gift will fill automatically by 4% every second. Abilities that increase skill gauge fill rate will not affect this automatic increase.</t>
  </si>
  <si>
    <t>Warabe Asobi I</t>
  </si>
  <si>
    <t>Using Nabe Nabe Sokonuke reduces susceptibility to afflictions by 10% for the remainder of the quest. This reduction can stack up to 5 times.</t>
  </si>
  <si>
    <t>Reduces water damage taken by 10%.</t>
  </si>
  <si>
    <t>Water Res +3%</t>
  </si>
  <si>
    <t>Reduces water damage taken by 3%.</t>
  </si>
  <si>
    <t>Water Res +4%</t>
  </si>
  <si>
    <t>Reduces water damage taken by 4%.</t>
  </si>
  <si>
    <t>Water Res +5%</t>
  </si>
  <si>
    <t>Reduces water damage taken by 5%.</t>
  </si>
  <si>
    <t>Water Res +8%</t>
  </si>
  <si>
    <t>Reduces water damage taken by 8%.</t>
  </si>
  <si>
    <t>Waterwyrm's Guidance I</t>
  </si>
  <si>
    <t>Grants Emile a dragondrive gauge that holds 1500 UTP and changes the shapeshift button into a dragondrive button. Tapping this button activates Emile's dragondrive, consumes 600 UTP from the dragondrive gauge, and performs a special attack with Mercury. During this attack, damage taken is reduced by 50%. Emile's dragondrive ends immediately after this attack. Also, grants Emile an ego gauge with three charges. The ego gauge fills when standard attacks, dash attacks, and force strikes connect with enemies. In addition, grants Emile 4 more skill points for equipping shared skills.</t>
  </si>
  <si>
    <t>Waterwyrm's Nature I</t>
  </si>
  <si>
    <t>Reduces susceptibility to bog by 100%. When shapeshifting for the first time, the user will transform into Mercury regardless of what dragon they are equipped with. The second time onwards, they will transform into High Mercury instead.</t>
  </si>
  <si>
    <t>White Sparrow's Vow I</t>
  </si>
  <si>
    <t>White Sparrow's Vow II</t>
  </si>
  <si>
    <t>Will of Rebellion I</t>
  </si>
  <si>
    <t>Grants the Persona element Curse to certain attacks. Also grants the user a Persona gauge, and changes the shapeshift button into a Persona button. Tapping this button summons Arsène. While summoned, Arsène will attack together with the user._x000D_
_x000D_
Additionally, increases defense by 3%, and grants the user a unique force strike that has two charge levels. At level two, it dispels one enemy buff, and partially fills the Persona gauge if the attack connects.</t>
  </si>
  <si>
    <t>Reduces wind damage taken by 10%.</t>
  </si>
  <si>
    <t>Wind Res +15%</t>
  </si>
  <si>
    <t>Reduces wind damage taken by 15%.</t>
  </si>
  <si>
    <t>Wind Res +3%</t>
  </si>
  <si>
    <t>Reduces wind damage taken by 3%.</t>
  </si>
  <si>
    <t>Wind Res +4%</t>
  </si>
  <si>
    <t>Reduces wind damage taken by 4%.</t>
  </si>
  <si>
    <t>Wind Res +5%</t>
  </si>
  <si>
    <t>Reduces wind damage taken by 5%.</t>
  </si>
  <si>
    <t>Wind Res +8%</t>
  </si>
  <si>
    <t>Reduces wind damage taken by 8%.</t>
  </si>
  <si>
    <t>Windwyrm's Dragonlight I</t>
  </si>
  <si>
    <t>Grants the user a unique force strike that deals damage to enemies in a line. Performing this force strike during a standard attack then immediately following it with another standard attack will resume the user's standard attack combo from their most recent attack. If this unique force strike is performed while in midair during the fourth attack in the user's standard attack combo, a powered up variant that deals more damage will be used instead. When shapeshifting, the user will transform into Primal Midgardsormr regardless of what dragon they are equipped with. Primal Midgardsormr's dragon skill level will match the level of the adventurer's initial skill, displayed at the top of their skill list. Shapeshifting will grant the entire team a team critical damage amp (MAX Lv. = 3).</t>
  </si>
  <si>
    <t>Windwyrm's Nature I</t>
  </si>
  <si>
    <t>When shapeshifting, the user will transform into Midgardsormr regardless of what dragon they are equipped with. Also adds 14% to the modifier applied to damage when in dragon form.</t>
  </si>
  <si>
    <t>Woodland Blessing I</t>
  </si>
  <si>
    <t>Woodland Blessing II</t>
  </si>
  <si>
    <t>World's Dream I</t>
  </si>
  <si>
    <t>Grants the user's force strikes the ability to dispel one enemy buff when the combo count is 20 or higher.</t>
  </si>
  <si>
    <t>Wyrmbound I</t>
  </si>
  <si>
    <t>Grants the user a dragondrive gauge, and changes the shapeshift button into a dragondrive button. Tapping this button activates their dragondrive. During dragondrive, standard attacks will fill the user's dragondrive gauge, the user's skill damage will be increased by 25%, and defense will be increased by 30%.</t>
  </si>
  <si>
    <t>Wyrmbound Shell I</t>
  </si>
  <si>
    <t>Grants the user a dragondrive gauge and changes the shapeshift button into a dragondrive button. Tapping this button activates their dragondrive. Dragondrive grants the following effects: The user's standard attacks and force strikes are changed, their damage is increased as the user's HP increases, and they fill the user's dragondrive gauge if they connect. The user's defense is increased by 15%.</t>
  </si>
  <si>
    <t>Xihe's Radiance I</t>
  </si>
  <si>
    <t>Fills 75% of skill gauges at the start of quests, and grants the user a charge gauge that holds up to 100 CP. The charge gauge fills when Coalescent Light is used, and the amount the charge gauge fills increases based on the number of team members in Coalescent Light's area of effect when it is used. When the gauge is completely filled, Surging Light, Coalescent Light, and the user's force strike will each be upgraded once. These upgrades will not stack, and will be consumed on use. The upgraded force strike will lower foes' paralysis resistance by 20% for 20 seconds. This resistance reduction effect will not stack.</t>
  </si>
  <si>
    <t>Yuletide Tactics I</t>
  </si>
  <si>
    <t>Using Candy Cane Offensive grants the user the "Merry Mobilizer" effect. When this effect is active, the user's next force strike will create a buff zone that lasts for 10 seconds and increases the critical rate of adventurers inside it by 10%. This effect cannot stack, and will be consumed on use.</t>
  </si>
  <si>
    <t>Zodiark Res +15%</t>
  </si>
  <si>
    <t>Reduces damage taken from Zodiark by 15%.</t>
  </si>
  <si>
    <t>Zodiark Res +18%</t>
  </si>
  <si>
    <t>Reduces damage taken from Zodiark by 18%.</t>
  </si>
  <si>
    <t>Zodiark Res +20%</t>
  </si>
  <si>
    <t>Reduces damage taken from Zodiark by 20%.</t>
  </si>
  <si>
    <t>Master Control (granted by his second skill) grants Mascula the following effects: His standard attacks are buffed and deal additional blows to multiple nearby targets. The fourth attack in his standard attack combo dispels one enemy buff. His attack rate is increased by 10%. When the combo count is 15 or higher, his strength is increased by 10%, his critical rate by 8%, and 8% is added to the modifier applied to his critical damage.
When Master Control is lost, the skill gauge for Mascula's second skill will be filled by 50%. Also, Master Control will be lost upon shapeshifting.</t>
  </si>
  <si>
    <t>Increases damage to frostbitten enemies by 30%. Using Stone Foundation grants the "Bloodfist" effect. When this effect is active, the user's next force strike will dispel one enemy buff from each target and will lower their frostbite resistance by 20% for 30 seconds. This resistance reduction will not stack.. This effect cannot stack, and will be consumed on use.</t>
  </si>
  <si>
    <t>Increases force strike damage by 50%. Their force strike dispels one buff from an enemy and landing a force strike grants the user a defense amp (Team Amp MAX Lv. = 3). After this amp is granted, this ability will not grant it again for 15 seconds.</t>
  </si>
  <si>
    <t>Grants the Persona element Fire to certain attacks. Also grants the user a Persona gauge, and changes the shapeshift button into a Persona button. Tapping this button summons Carmen. While summoned, Carmen will attack together with the user. Also, using any skill will grant the user a strength amp (Team Amp MAX Lv. = 3). After this amp is granted, this ability will not grant it again for 15 seconds.
Additionally, increases defense by 10%, and grants the user a unique force strike.</t>
  </si>
  <si>
    <t>Increases the damage dealt by the user's attacks based on the number of active debuff zones.
One: increases damage by 10%.
Two or more: increases damage by 20%.</t>
  </si>
  <si>
    <t>Grants one of the following effects based on the level of the user's New Year's Prayer:
Lv. 1: Increases skill gauge fill rate by 7% and grants a defense amp (Team Amp Max Lv. = 1). Lv. 2: Increases skill gauge fill rate by 8% and grants two defense amps (Team Amp Max Lv. = 1). Lv. 3: Increases skill gauge fill rate by 10%, gradually fills Lucky Day's skill gauge automatically by 3% every second, and grants a team defense amp (Team Amp Max Lv. = 1). Abilities that increase skill gauge fill rate will not affect this automatic increase.</t>
  </si>
  <si>
    <t>Increases Recovery Potency by 15% and using Wild Instinct will grant the user a defense amp (Team Amp MAX Lv. = 3). After this amp is granted, this ability will not grant it again for 15 seconds.</t>
  </si>
  <si>
    <t>Increases force strike damage by 50% and increases it by an additional 2% for each buff Xander has (up to a maximum of 30%). In addition, using any skill will grant Xander a strength amp (Team Amp MAX Lv. = 3). After this amp is granted, this ability will not grant it again for 15 seconds.</t>
  </si>
  <si>
    <t>Using Ancient Ray grants Cleo the "Altered Strike" effect. When this effect is active, Cleo's next force strike will create a buff zone that lasts for 10 seconds. This buff zone increases the strength of adventurers inside it by 25% and gradually recovers the HP of adventurers inside it with 20% Recovery Potency every 3 seconds. This effect cannot stack, and will be consumed on use. In addition, using Ancient Ray will grant Cleo a strength amp (Team Amp MAX Lv. = 3). After this amp is granted, this ability will not grant it again for 15 seconds.</t>
  </si>
  <si>
    <t>Mighty Bane +30% (V3)</t>
  </si>
  <si>
    <t>Increases the chances of inflicting bog by 40% and Increases damage to frostbitten enemies by 30%. Using Noble Hunter will grant the user a XXXXX amp (Team Amp MAX Lv. = 3). After this amp is granted, this ability will not grant it again for 15 seconds.</t>
  </si>
  <si>
    <t>The user's strength is lowered by 50% during quests. Using Ruination Cage grants the user the "Poisonous Cage" effect. When this effect is active, the user's next force strike will deal 3 hits of 100% shadow damage, throw three knives in front of the user dealing 30% shadow damage each, dispels one buff from each target, and inflict poison - dealing 300% shadow damage every 2.9 seconds for 30 seconds - with 120% base chance. Bonus OD Damage is reduced to 4.2x for all hits of "Poisonous Cage", from 8.4x on the first two hits. This effect cannot stack, and will be consumed on use. Also, using any skill will grant the user a XXXXX amp (Team Amp MAX Lv. = 3). After this amp is granted, this ability will not grant it again for 15 seconds.</t>
  </si>
  <si>
    <t>Skill Damage &amp; Flame Res I (V3)</t>
  </si>
  <si>
    <t>Increases attack skill damage by 35% and adds 10% to flame resistance.</t>
  </si>
  <si>
    <t>Increases the user's energy level by one stage for every 20-hit combo. Speeds the rate the mode gauge decreases by 20%. Using any skill will grant the user a defense amp (Team Amp MAX Lv. = 3). After this amp is granted, this ability will not grant it again for 15 seconds.</t>
  </si>
  <si>
    <t>System Overload (V3)</t>
  </si>
  <si>
    <t>Using Candy Cane Offensive grants the user the "Merry Mobilizer" effect. When this effect is active, the user's next force strike will create a buff zone that lasts for 10 seconds and increases the critical rate of adventurers inside it by 15%. This effect cannot stack, and will be consumed on use. In addition, using Candy Cane Offensive grants the user a critical damage amp (Team Amp MAX Lv. = 1). After this amp is granted, this ability will not grant it again for 8 seconds.</t>
  </si>
  <si>
    <t>CC Count</t>
  </si>
  <si>
    <t>CCA OLD Count</t>
  </si>
  <si>
    <t>CCA V3 Count</t>
  </si>
  <si>
    <t>OLD-CCA</t>
  </si>
  <si>
    <t>If a team member is attuned to Flame: increases their critical rate by 12% when the combo count is 10 or higher. Benefits your whole team.</t>
  </si>
  <si>
    <t>If a team member is attuned to Flame: increases their strength by 10% when the combo count is 10 or higher. Benefits your whole team.</t>
  </si>
  <si>
    <t>If a team member is attuned to Flame: increases their strength by 13% when the combo count is 10 or higher. Benefits your whole team.</t>
  </si>
  <si>
    <t>If a team member is attuned to Flame: reduces wind damage taken by them by 10% when the combo count is 10 or higher. Benefits your whole team.</t>
  </si>
  <si>
    <t>If a team member is attuned to Flame: reduces wind damage taken by them by 7% when the combo count is 10 or higher. Benefits your whole team.</t>
  </si>
  <si>
    <t>If a team member is attuned to Flame: reduces wind damage taken by them by 9% when the combo count is 10 or higher. Benefits your whole team.</t>
  </si>
  <si>
    <t>If a team member is attuned to Flame: fills 3% of the dragon gauge when they are granted an amp or team amp. After activating, this ability will not activate again for 10 seconds. Benefits your whole team.</t>
  </si>
  <si>
    <t>If a team member is attuned to Flame: increases their critical rate by 9% for 15 seconds when they successfully burn an enemy. After activating, this ability will not activate again for 10 seconds. Benefits your whole team.</t>
  </si>
  <si>
    <t>If a team member is attuned to Flame: increases their strength by 13% for 15 seconds when they successfully burn an enemy. After activating, this ability will not activate again for 10 seconds. Benefits your whole team.</t>
  </si>
  <si>
    <t>If a team member is attuned to Flame: increases their strength by 8% for 15 seconds when they successfully burn an enemy. After activating, this ability will not activate again for 10 seconds. Benefits your whole team.</t>
  </si>
  <si>
    <t>If a team member is attuned to Flame: reduces wind damage taken by them by 5% for 15 seconds when they successfully burn an enemy. After activating, this ability will not activate again for 10 seconds. Benefits your whole team.</t>
  </si>
  <si>
    <t>If a team member is attuned to Flame: reduces wind damage taken by them by 7% for 15 seconds when they successfully burn an enemy. After activating, this ability will not activate again for 10 seconds. Benefits your whole team.</t>
  </si>
  <si>
    <t>If a team member is attuned to Flame: reduces wind damage taken by them by 8% for 15 seconds when they successfully burn an enemy. After activating, this ability will not activate again for 10 seconds. Benefits your whole team.</t>
  </si>
  <si>
    <t>If a team member is attuned to Flame: increases their chances of inflicting burn by 40%. Benefits your whole team.</t>
  </si>
  <si>
    <t>(Flame) Burning Edge +50%</t>
  </si>
  <si>
    <t>If a team member is attuned to Flame: increases their chances of inflicting burn by 50%. Benefits your whole team.</t>
  </si>
  <si>
    <t>If a team member is attuned to Flame: increases duration of their buff skills by 15% when the combo count is 10 or higher. Benefits your whole team.</t>
  </si>
  <si>
    <t>If a team member is attuned to Flame: increases their critical rate by 1% for every 10-hit combo. This effect can stack up to 20 times, but all stacks will be lost when the combo counter resets. Benefits your whole team.</t>
  </si>
  <si>
    <t>If a team member is attuned to Flame: increases their energy level by 1 stage for every 20-hit combo. Benefits your whole team.</t>
  </si>
  <si>
    <t>If a team member is attuned to Flame: fills 3% of their dragon gauge for every 50-hit combo. Benefits your whole team.</t>
  </si>
  <si>
    <t>If a team member is attuned to Flame: extends the window between them hitting an enemy and the combo counter resetting by 2.5 seconds. Benefits your whole team.</t>
  </si>
  <si>
    <t>If a team member is attuned to Flame: increases the damage dealt by their next force strike by 20% upon taking damage. Benefits your whole team.</t>
  </si>
  <si>
    <t>If a team member is attuned to Flame: increases their strength by 10% for 15 seconds each time they dodge an attack. After activating, this ability will not activate again for 15 seconds. Benefits your whole team.</t>
  </si>
  <si>
    <t>If a team member is attuned to Flame: increases their dragon gauge fill rate by 18%. Benefits your whole team.</t>
  </si>
  <si>
    <t>If a team member is attuned to Flame: increases their dragon gauge fill rate by 20%. Benefits your whole team.</t>
  </si>
  <si>
    <t>If a team member is attuned to Flame: each shapeshift increases their strength (up to 3 times per quest). On first shapeshift strength is increased by 9% in total. On second shapeshift strength is increased by 19% in total. On third shapeshift strength is increased by 34% in total. Benefits your whole team.</t>
  </si>
  <si>
    <t>If a team member is attuned to Flame: each shapeshift increases their strength (up to 3 times per quest). On first shapeshift strength is increased by 10% in total. On second shapeshift strength is increased by 20% in total. On third shapeshift strength is increased by 35% in total. Benefits your whole team.</t>
  </si>
  <si>
    <t>If a team member is attuned to Flame: extends their shapeshift time by 20%. Benefits your whole team.</t>
  </si>
  <si>
    <t>If a team member is attuned to Flame: increases their HP by 7%. Benefits your whole team.</t>
  </si>
  <si>
    <t>If a team member is attuned to Flame: increases their strength by 5% when their HP is 60% or above. Benefits your whole team.</t>
  </si>
  <si>
    <t>If a team member is attuned to Flame: increases their strength by 6% when their HP is 60% or above. Benefits your whole team.</t>
  </si>
  <si>
    <t>If a team member is attuned to Flame: reduces wind damage taken by them by 5% when their HP is 80% or above. Benefits your whole team.</t>
  </si>
  <si>
    <t>If a team member is attuned to Flame: reduces wind damage taken by them by 6% when their HP is 80% or above. Benefits your whole team.</t>
  </si>
  <si>
    <t>If a team member is attuned to Flame: grants them a one-use shield that nullifies damage up to 50% of their maximum HP when their HP drops to 40%. This does not stack with any other shields of the same type. Benefits your whole team.</t>
  </si>
  <si>
    <t>If a team member is attuned to Flame: increases their strength by 12% when their HP is 40% or below. Benefits your whole team.</t>
  </si>
  <si>
    <t>If a team member is attuned to Flame: increases their strength by 14% when their HP is 40% or below. Benefits your whole team.</t>
  </si>
  <si>
    <t>If a team member is attuned to Flame: increases their strength by 15% when their HP is 40% or below. Benefits your whole team.</t>
  </si>
  <si>
    <t>If a team member is attuned to Flame: reduces wind damage taken by them by 9% when their HP is 40% or below. Benefits your whole team.</t>
  </si>
  <si>
    <t>If a team member is attuned to Flame: grants them an HP regen buff, healing them for 4% Max HP every 3.9 seconds for 20 seconds when their HP drops to 60%. After activating, this ability will not activate again for 30 seconds. Benefits your whole team.</t>
  </si>
  <si>
    <t>If a team member is attuned to Flame: extends the window between them hitting an enemy and the combo counter resetting by 1.5 seconds. Benefits your whole team.</t>
  </si>
  <si>
    <t>If a team member is attuned to Flame: reduces wind damage taken by them by 8% for 15 seconds when they successfully inflict an enemy with scorchrend. After activating, this ability will not activate again for 10 seconds. Benefits your whole team.</t>
  </si>
  <si>
    <t>If a team member is attuned to Flame: increases their strength by 13% for 15 seconds when they take damage. After activating, this ability will not activate again for 5 seconds. Benefits your whole team.</t>
  </si>
  <si>
    <t>If a team member is attuned to Flame: increases their strength by 8% when they have a Team Strength Amp. Benefits your whole team.</t>
  </si>
  <si>
    <t>If a team member is attuned to Light: increases their critical rate by 13% when the combo count is 10 or higher. Benefits your whole team.</t>
  </si>
  <si>
    <t>If a team member is attuned to Light: increases their critical rate by 9% when the combo count is 10 or higher. Benefits your whole team.</t>
  </si>
  <si>
    <t>If a team member is attuned to Light: reduces light damage taken by them by 10% when the combo count is 10 or higher. Benefits your whole team.</t>
  </si>
  <si>
    <t>If a team member is attuned to Light: reduces light damage taken by them by 7% when the combo count is 10 or higher. Benefits your whole team.</t>
  </si>
  <si>
    <t>If a team member is attuned to Light: reduces shadow damage taken by them by 9% when the combo count is 10 or higher. Benefits your whole team.</t>
  </si>
  <si>
    <t>If a team member is attuned to Light: increases their strength by 13% when the combo count is 10 or higher. Benefits your whole team.</t>
  </si>
  <si>
    <t>If a team member is attuned to Light: increases their strength by 8% when the combo count is 10 or higher. Benefits your whole team.</t>
  </si>
  <si>
    <t>If a team member is attuned to Light: increases their critical rate by 1% for every 10-hit combo. This effect can stack up to 20 times, but all stacks will be lost when the combo counter resets. Benefits your whole team.</t>
  </si>
  <si>
    <t>If a team member is attuned to Light: fills 3% of their dragon gauge for every 50-hit combo. Benefits your whole team.</t>
  </si>
  <si>
    <t>If a team member is attuned to Light: extends the window between them hitting an enemy and the combo counter resetting by 2.2 seconds. Benefits your whole team.</t>
  </si>
  <si>
    <t>If a team member is attuned to Light: extends the window between them hitting an enemy and the combo counter resetting by 2.5 seconds. Benefits your whole team.</t>
  </si>
  <si>
    <t>If a team member is attuned to Light: increases their defense by 3%. Benefits your whole team.</t>
  </si>
  <si>
    <t>If a team member is attuned to Light: increases their defense by 5%. Benefits your whole team.</t>
  </si>
  <si>
    <t>If a team member is attuned to Light: increases their defense by 6%. Benefits your whole team.</t>
  </si>
  <si>
    <t>If a team member is attuned to Light: increases the potency of their recovery skills by 20%. Benefits your whole team.</t>
  </si>
  <si>
    <t>If the user is attuned to Light: when their energy level is increased, also increases their inspiration level by 1 stage. After activating, this ability will not activate again for 15 seconds. Benefits your whole team.</t>
  </si>
  <si>
    <t>If a team member is attuned to Light: reduces shadow damage taken by them by 7% for 15 seconds when their energy level is increased. After activating, this ability will not activate again for 15 seconds. Benefits your whole team.</t>
  </si>
  <si>
    <t>If a team member is attuned to Light: reduces shadow damage taken by them by 8% for 15 seconds when their energy level is increased. After activating, this ability will not activate again for 15 seconds. Benefits your whole team.</t>
  </si>
  <si>
    <t>If a team member is attuned to Light: increases their strength by 10% for 15 seconds when their energy level is increased. After activating, this ability will not activate again for 15 seconds. Benefits your whole team.</t>
  </si>
  <si>
    <t>If a team member is attuned to Light: increases their strength by 9% for 15 seconds when their energy level is increased. After activating, this ability will not activate again for 15 seconds. Benefits your whole team.</t>
  </si>
  <si>
    <t>If a team member is attuned to Light: reduces shadow damage taken by them by 8% for 15 seconds when they successfully inflict an enemy with flashburn. After activating, this ability will not activate again for 10 seconds. Benefits your whole team.</t>
  </si>
  <si>
    <t>If a team member is attuned to Light: increases their HP by 7%. Benefits your whole team.</t>
  </si>
  <si>
    <t>If a team member is attuned to Light: increases their HP by 9%. Benefits your whole team.</t>
  </si>
  <si>
    <t>If a team member is attuned to Light: increases their strength by 3% when their HP is 60% or above. Benefits your whole team.</t>
  </si>
  <si>
    <t>If a team member is attuned to Light: increases their strength by 5% when their HP is 60% or above. Benefits your whole team.</t>
  </si>
  <si>
    <t>If a team member is attuned to Light: increases their strength by 6% when their HP is 60% or above. Benefits your whole team.</t>
  </si>
  <si>
    <t>If a team member is attuned to Light: reduces shadow damage taken by them by 5% when their HP is 80% or above. Benefits your whole team.</t>
  </si>
  <si>
    <t>If a team member is attuned to Light: reduces shadow damage taken by them by 6% when their HP is 80% or above. Benefits your whole team.</t>
  </si>
  <si>
    <t>If a team member is attuned to Light: grants them a one-use shield that nullifies damage up to 50% of their maximum HP when their HP drops to 40%. This does not stack with any other shields of the same type. Benefits your whole team.</t>
  </si>
  <si>
    <t>If a team member is attuned to Light: grants them an HP regen buff, healing them for 4% Max HP every 3.9 seconds for 20 seconds when their HP drops to 60%. After activating, this ability will not activate again for 45 seconds. Benefits your whole team.</t>
  </si>
  <si>
    <t>If a team member is attuned to Light: increases their strength by 8% for 15 seconds when their HP is restored. After activating, this ability will not activate again for 10 seconds. Benefits your whole team.</t>
  </si>
  <si>
    <t>If a team member is attuned to Light: increases their critical rate by 12% for 15 seconds when they successfully paralyze an enemy. After activating, this ability will not activate again for 10 seconds. Benefits your whole team.</t>
  </si>
  <si>
    <t>If a team member is attuned to Light: increases their critical rate by 13% for 15 seconds when they successfully paralyze an enemy. After activating, this ability will not activate again for 10 seconds. Benefits your whole team.</t>
  </si>
  <si>
    <t>If a team member is attuned to Light: reduces shadow damage taken by them by 7% for 15 seconds when they successfully paralyze an enemy. After activating, this ability will not activate again for 10 seconds. Benefits your whole team.</t>
  </si>
  <si>
    <t>If a team member is attuned to Light: reduces shadow damage taken by them by 8% for 15 seconds when they successfully paralyze an enemy. After activating, this ability will not activate again for 10 seconds. Benefits your whole team.</t>
  </si>
  <si>
    <t>If a team member is attuned to Light: increases their strength by 13% for 15 seconds when they successfully paralyze an enemy. After activating, this ability will not activate again for 10 seconds. Benefits your whole team.</t>
  </si>
  <si>
    <t>If a team member is attuned to Light: increases their chances of inflicting paralysis by 40%. Benefits your whole team.</t>
  </si>
  <si>
    <t>If a team member is attuned to Light: reduces shadow damage taken by them by 7% when they are in a buff zone. Benefits your whole team.</t>
  </si>
  <si>
    <t>If a team member is attuned to Light: each shapeshift grants them an HP regen buff, healing them for 7% Max HP every 3.9 seconds for 20 seconds. Benefits your whole team.</t>
  </si>
  <si>
    <t>If a team member is attuned to Light: grants them a HP regen buff healing them for 2% Max HP every 3.9 seconds when they have a team defense amp. Benefits your whole team.</t>
  </si>
  <si>
    <t>If a team member is attuned to Light: reduces their susceptibility to curses by 100% when they have a team strength amp. Benefits your whole team.</t>
  </si>
  <si>
    <t>If a team member is attuned to Shadow: reduces light damage taken by them by 10% when the combo count is 10 or higher. Benefits your whole team.</t>
  </si>
  <si>
    <t>If a team member is attuned to Shadow: reduces light damage taken by them by 9% when the combo count is 10 or higher. Benefits your whole team.</t>
  </si>
  <si>
    <t>If a team member is attuned to Shadow: extends the window between them hitting an enemy and the combo counter resetting by 2.5 seconds. Benefits your whole team.</t>
  </si>
  <si>
    <t>If a team member is attuned to Shadow: increases their defense by 5%. Benefits your whole team.</t>
  </si>
  <si>
    <t>If a team member is attuned to Shadow: adds 12% to the modifier applied to their damage when in dragon form. Benefits your whole team.</t>
  </si>
  <si>
    <t>If a team member is attuned to Shadow: increases their dragon gauge fill rate by 18%. Benefits your whole team.</t>
  </si>
  <si>
    <t>If a team member is attuned to Shadow: increases their dragon gauge fill rate by 20%. Benefits your whole team.</t>
  </si>
  <si>
    <t>If a team member is attuned to Shadow: each shapeshift increases their strength (up to 3 times per quest). On first shapeshift strength is increased by 10% in total. On second shapeshift strength is increased by 20% in total. On third shapeshift strength is increased by 35% in total. Benefits your whole team.</t>
  </si>
  <si>
    <t>If a team member is attuned to Shadow: increases their HP by 7%. Benefits your whole team.</t>
  </si>
  <si>
    <t>If a team member is attuned to Shadow: increases their HP by 9%. Benefits your whole team.</t>
  </si>
  <si>
    <t>If a team member is attuned to Shadow: increases their critical rate by 8% when their HP is 60% or above. Benefits your whole team.</t>
  </si>
  <si>
    <t>If a team member is attuned to Shadow: increases their strength by 3% when their HP is 60% or above. Benefits your whole team.</t>
  </si>
  <si>
    <t>If a team member is attuned to Shadow: increases their strength by 5% when their HP is 60% or above. Benefits your whole team.</t>
  </si>
  <si>
    <t>If a team member is attuned to Shadow: increases their strength by 6% when their HP is 60% or above. Benefits your whole team.</t>
  </si>
  <si>
    <t>If a team member is attuned to Shadow: reduces light damage taken by them by 3% when their HP is 80% or above. Benefits your whole team.</t>
  </si>
  <si>
    <t>If a team member is attuned to Shadow: reduces light damage taken by them by 5% when their HP is 80% or above. Benefits your whole team.</t>
  </si>
  <si>
    <t>If a team member is attuned to Shadow: reduces light damage taken by them by 6% when their HP is 80% or above. Benefits your whole team.</t>
  </si>
  <si>
    <t>If a team member is attuned to Shadow: reduces light damage taken by them by 10% when their HP is 40% or below. Benefits your whole team.</t>
  </si>
  <si>
    <t>If a team member is attuned to Shadow: reduces light damage taken by them by 9% when their HP is 40% or below. Benefits your whole team.</t>
  </si>
  <si>
    <t>If a team member is attuned to Shadow: grants them a one-use shield that nullifies damage up to 50% of their maximum HP when their HP drops to 40%. This does not stack with any other shields of the same type. Benefits your whole team.</t>
  </si>
  <si>
    <t>If a team member is attuned to Shadow: increases their strength by 14% when their HP is 40% or below. Benefits your whole team.</t>
  </si>
  <si>
    <t>If a team member is attuned to Shadow: increases their strength by 15% when their HP is 40% or below. Benefits your whole team.</t>
  </si>
  <si>
    <t>If a team member is attuned to Shadow: grants them an HP regen buff, healing them for 4% Max HP every 3.9 seconds for 20 seconds when their HP drops to 60%. After activating, this ability will not activate again for 30 seconds. Benefits your whole team.</t>
  </si>
  <si>
    <t>If a team member is attuned to Shadow: reduces light damage taken by them by 7% when they are in a buff zone. Benefits your whole team.</t>
  </si>
  <si>
    <t>If a team member is attuned to Shadow: increases damage to shadowblighted enemies by 8% when the adventurer is in a buff zone. Benefits your whole team.</t>
  </si>
  <si>
    <t>If a team member is attuned to Shadow: increases their strength by 13% when they are in a buff zone. Benefits your whole team.</t>
  </si>
  <si>
    <t>If a team member is attuned to Shadow: reduces light damage taken by them by 5% for 15 seconds when they successfully poison an enemy. After activating, this ability will not activate again for 10 seconds. Benefits your whole team.</t>
  </si>
  <si>
    <t>If a team member is attuned to Shadow: reduces light damage taken by them by 7% for 15 seconds when they successfully poison an enemy. After activating, this ability will not activate again for 10 seconds. Benefits your whole team.</t>
  </si>
  <si>
    <t>If a team member is attuned to Shadow: reduces light damage taken by them by 8% for 15 seconds when they successfully poison an enemy. After activating, this ability will not activate again for 10 seconds. Benefits your whole team.</t>
  </si>
  <si>
    <t>If a team member is attuned to Shadow: increases their strength by 13% for 15 seconds when they successfully poison an enemy. After activating, this ability will not activate again for 10 seconds. Benefits your whole team.</t>
  </si>
  <si>
    <t>If a team member is attuned to Shadow: increases their strength by 8% for 15 seconds when they successfully poison an enemy. After activating, this ability will not activate again for 10 seconds. Benefits your whole team.</t>
  </si>
  <si>
    <t>If a team member is attuned to Shadow: increases their chances of inflicting poison by 50%. Benefits your whole team.</t>
  </si>
  <si>
    <t>If a team member is attuned to Shadow: increases their strength by 13% for 15 seconds upon successfully inflicting an enemy with shadowblight. After activating, this ability will not activate again for 10 seconds. Benefits your whole team.</t>
  </si>
  <si>
    <t>If a team member is attuned to Shadow: increases their light resistance by 6% when they have a team critical damage amp. Benefits your whole team.</t>
  </si>
  <si>
    <t>If a team member is attuned to Shadow: reduces their susceptibility to blindness by 100% when they have a team strength amp. Benefits your whole team.</t>
  </si>
  <si>
    <t>If a team member is attuned to Water: increases their critical rate by 13% when the combo count is 10 or higher. Benefits your whole team.</t>
  </si>
  <si>
    <t>If a team member is attuned to Water: reduces flame damage taken by them by 10% when the combo count is 10 or higher. Benefits your whole team.</t>
  </si>
  <si>
    <t>If a team member is attuned to Water: reduces flame damage taken by them by 7% when the combo count is 10 or higher. Benefits your whole team.</t>
  </si>
  <si>
    <t>If a team member is attuned to Water: reduces flame damage taken by them by 9% when the combo count is 10 or higher. Benefits your whole team.</t>
  </si>
  <si>
    <t>If a team member is attuned to Water: increases their strength by 10% when the combo count is 10 or higher. Benefits your whole team.</t>
  </si>
  <si>
    <t>If a team member is attuned to Water: increases their strength by 13% when the combo count is 10 or higher. Benefits your whole team.</t>
  </si>
  <si>
    <t>If a team member is attuned to Water: increases duration of their buff skills by 5%. Benefits your whole team.</t>
  </si>
  <si>
    <t>If a team member is attuned to Water: increases duration of their buff skills by 9%. Benefits your whole team.</t>
  </si>
  <si>
    <t>If a team member is attuned to Water: increases duration of their buff skills by 15% when the combo count is 10 or higher. Benefits your whole team.</t>
  </si>
  <si>
    <t>If a team member is attuned to Water: increases their energy level by 1 stage for every 20-hit combo. Benefits your whole team.</t>
  </si>
  <si>
    <t>If a team member is attuned to Water: extends the window between them hitting an enemy and the combo counter resetting by 2.5 seconds. Benefits your whole team.</t>
  </si>
  <si>
    <t>If a team member is attuned to Water: increases their strength by 10% for 15 seconds each time they dodge an attack. After activating, this ability will not activate again for 15 seconds. Benefits your whole team.</t>
  </si>
  <si>
    <t>If a team member is attuned to Water: increases their dragon gauge fill rate by 14%. Benefits your whole team.</t>
  </si>
  <si>
    <t>If a team member is attuned to Water: increases their dragon gauge fill rate by 18%. Benefits your whole team.</t>
  </si>
  <si>
    <t>If a team member is attuned to Water: increases their dragon gauge fill rate by 20%. Benefits your whole team.</t>
  </si>
  <si>
    <t>If a team member is attuned to Water: each shapeshift increases their strength (up to 3 times per quest). On first shapeshift strength is increased by 10% in total. On second shapeshift strength is increased by 20% in total. On third shapeshift strength is increased by 35% in total. Benefits your whole team.</t>
  </si>
  <si>
    <t>If a team member is attuned to Water: reduces flame damage taken by them by 5% for 15 seconds when they successfully inflict an enemy with frostbite. After activating, this ability will not activate again for 10 seconds. Benefits your whole team.</t>
  </si>
  <si>
    <t>If a team member is attuned to Water: reduces flame damage taken by them by 7% for 15 seconds when they successfully inflict an enemy with frostbite. After activating, this ability will not activate again for 10 seconds. Benefits your whole team.</t>
  </si>
  <si>
    <t>If a team member is attuned to Water: increases their strength by 10% for 15 seconds when they successfully inflict an enemy with frostbite. After activating, this ability will not activate again for 10 seconds. Benefits your whole team.</t>
  </si>
  <si>
    <t>If a team member is attuned to Water: increases their strength by 13% for 15 seconds when they successfully inflict an enemy with frostbite. After activating, this ability will not activate again for 10 seconds. Benefits your whole team.</t>
  </si>
  <si>
    <t>If a team member is attuned to Water: increases their strength by 8% for 15 seconds when they successfully inflict an enemy with frostbite. After activating, this ability will not activate again for 10 seconds. Benefits your whole team.</t>
  </si>
  <si>
    <t>If a team member is attuned to Water: increases their HP by 7%. Benefits your whole team.</t>
  </si>
  <si>
    <t>If a team member is attuned to Water: increases their HP by 9%. Benefits your whole team.</t>
  </si>
  <si>
    <t>(Water) HP 60% = Flame Res +1%</t>
  </si>
  <si>
    <t>If a team member is attuned to Water: reduces flame damage taken by them by 1% when their HP is 60% or above. Benefits your whole team.</t>
  </si>
  <si>
    <t>(Water) HP 60% = Flame Res +2%</t>
  </si>
  <si>
    <t>If a team member is attuned to Water: reduces flame damage taken by them by 2% when their HP is 60% or above. Benefits your whole team.</t>
  </si>
  <si>
    <t>(Water) HP 60% = Flame Res +3%</t>
  </si>
  <si>
    <t>If a team member is attuned to Water: reduces flame damage taken by them by 3% when their HP is 60% or above. Benefits your whole team.</t>
  </si>
  <si>
    <t>(Water) HP 60% = Flame Res +4%</t>
  </si>
  <si>
    <t>If a team member is attuned to Water: reduces flame damage taken by them by 4% when their HP is 60% or above. Benefits your whole team.</t>
  </si>
  <si>
    <t>(Water) HP 60% = Flame Res +5%</t>
  </si>
  <si>
    <t>If a team member is attuned to Water: reduces flame damage taken by them by 5% when their HP is 60% or above. Benefits your whole team.</t>
  </si>
  <si>
    <t>(Water) HP 60% = Flame Res +6%</t>
  </si>
  <si>
    <t>If a team member is attuned to Water: reduces flame damage taken by them by 6% when their HP is 60% or above. Benefits your whole team.</t>
  </si>
  <si>
    <t>If a team member is attuned to Water: increases their strength by 3% when their HP is 60% or above. Benefits your whole team.</t>
  </si>
  <si>
    <t>If a team member is attuned to Water: increases their strength by 5% when their HP is 60% or above. Benefits your whole team.</t>
  </si>
  <si>
    <t>If a team member is attuned to Water: increases their strength by 6% when their HP is 60% or above. Benefits your whole team.</t>
  </si>
  <si>
    <t>If a team member is attuned to Water: reduces flame damage taken by them by 6% when their HP is 80% or above. Benefits your whole team.</t>
  </si>
  <si>
    <t>If a team member is attuned to Water: reduces flame damage taken by them by 10% when their HP is 40% or below. Benefits your whole team.</t>
  </si>
  <si>
    <t>If a team member is attuned to Water: reduces flame damage taken by them by 9% when their HP is 40% or below. Benefits your whole team.</t>
  </si>
  <si>
    <t>If a team member is attuned to Water: grants them an HP regen buff, healing them for 4% Max HP every 3.9 seconds for 20 seconds when their HP drops to 60%. After activating, this ability will not activate again for 30 seconds. Benefits your whole team.</t>
  </si>
  <si>
    <t>If a team member is attuned to Water: increases their strength by 8% for 15 seconds when their HP is restored. After activating, this ability will not activate again for 10 seconds. Benefits your whole team.</t>
  </si>
  <si>
    <t>If a team member is attuned to Water: increases their flame resistance by 6% when they have a team defense amp. Benefits your whole team.</t>
  </si>
  <si>
    <t>If a team member is attuned to Water: reduces their susceptibility to burning by 100% when they have a Team Strength Amp. Benefits your whole team.</t>
  </si>
  <si>
    <t>If a team member is attuned to Water: increases their skill gauge fill rate by 6% when they have a team strength amp. Benefits your whole team.</t>
  </si>
  <si>
    <t>If a team member is attuned to Water: grants them a one-use shield that nullifies damage up to 25% of their maximum HP when they are hit by an attack that inflicts an affliction. After activating, this ability will not activate again for 20 seconds. This shield does not stack with any other shields of the same type. Benefits your whole team.</t>
  </si>
  <si>
    <t>If a team member is attuned to Wind: increases their critical rate by 13% when the combo count is 10 or higher. Benefits your whole team.</t>
  </si>
  <si>
    <t>If a team member is attuned to Wind: gradually regenerates their HP with 7.2% Recovery Potency every 2.9 seconds when the combo count is 10 or higher. Benefits your whole team.</t>
  </si>
  <si>
    <t>If a team member is attuned to Wind: increases their strength by 10% when the combo count is 10 or higher. Benefits your whole team.</t>
  </si>
  <si>
    <t>If a team member is attuned to Wind: increases their strength by 13% when the combo count is 10 or higher. Benefits your whole team.</t>
  </si>
  <si>
    <t>If a team member is attuned to Wind: reduces water damage taken by them by 10% when the combo count is 10 or higher. Benefits your whole team.</t>
  </si>
  <si>
    <t>If a team member is attuned to Wind: reduces water damage taken by them by 7% when the combo count is 10 or higher. Benefits your whole team.</t>
  </si>
  <si>
    <t>If a team member is attuned to Wind: increases their critical rate by 1% for every 10-hit combo. This effect can stack up to 20 times, but all stacks will be lost when the combo counter resets. Benefits your whole team.</t>
  </si>
  <si>
    <t>If a team member is attuned to Wind: fills 3% of their dragon gauge for every 50-hit combo. Benefits your whole team.</t>
  </si>
  <si>
    <t>If a team member is attuned to Wind: extends the window between them hitting an enemy and the combo counter resetting by 2.5 seconds. Benefits your whole team.</t>
  </si>
  <si>
    <t>If a team member is attuned to Wind: increases their critical rate by 10% for 15 seconds each time they receive a defense up buff. After activating, this ability will not activate again for 15 seconds. Benefits your whole team.</t>
  </si>
  <si>
    <t>If a team member is attuned to Wind: increases their critical rate by 9% for 15 seconds each time they receive a defense up buff. After activating, this ability will not activate again for 15 seconds. Benefits your whole team.</t>
  </si>
  <si>
    <t>If a team member is attuned to Wind: increases their defense by 6%. Benefits your whole team.</t>
  </si>
  <si>
    <t>If a team member is attuned to Wind: increases their dragon gauge fill rate by 20%. Benefits your whole team.</t>
  </si>
  <si>
    <t>If a team member is attuned to Wind: each shapeshift increases their strength (up to 3 times per quest). On first shapeshift strength is increased by 9% in total. On second shapeshift strength is increased by 19% in total. On third shapeshift strength is increased by 34% in total. Benefits your whole team.</t>
  </si>
  <si>
    <t>If a team member is attuned to Wind: increases their critical rate by 7% when their HP is 60% or above. Benefits your whole team.</t>
  </si>
  <si>
    <t>If a team member is attuned to Wind: increases their critical rate by 8% when their HP is 60% or above. Benefits your whole team.</t>
  </si>
  <si>
    <t>If a team member is attuned to Wind: increases their strength by 5% when their HP is 60% or above. Benefits your whole team.</t>
  </si>
  <si>
    <t>If a team member is attuned to Wind: increases their strength by 6% when their HP is 60% or above. Benefits your whole team.</t>
  </si>
  <si>
    <t>If a team member is attuned to Wind: reduces water damage taken by them by 5% when their HP is 80% or above. Benefits your whole team.</t>
  </si>
  <si>
    <t>If a team member is attuned to Wind: reduces water damage taken by them by 6% when their HP is 80% or above. Benefits your whole team.</t>
  </si>
  <si>
    <t>If a team member is attuned to Wind: increases their strength by 8% for 15 seconds when their HP is restored. After activating, this ability will not activate again for 10 seconds. Benefits your whole team.</t>
  </si>
  <si>
    <t>If a team member is attuned to Wind: increases their critical rate by 9% for 15 seconds when they successfully poison an enemy. After activating, this ability will not activate again for 10 seconds. Benefits your whole team.</t>
  </si>
  <si>
    <t>If a team member is attuned to Wind: increases their strength by 13% for 15 seconds when they successfully poison an enemy. After activating, this ability will not activate again for 10 seconds. Benefits your whole team.</t>
  </si>
  <si>
    <t>If a team member is attuned to Wind: increases their strength by 8% for 15 seconds when they successfully poison an enemy. After activating, this ability will not activate again for 10 seconds. Benefits your whole team.</t>
  </si>
  <si>
    <t>If a team member is attuned to Wind: reduces water damage taken by them by 5% for 15 seconds when they successfully poison an enemy. After activating, this ability will not activate again for 10 seconds. Benefits your whole team.</t>
  </si>
  <si>
    <t>If a team member is attuned to Wind: reduces water damage taken by them by 7% for 15 seconds when they successfully poison an enemy. After activating, this ability will not activate again for 10 seconds. Benefits your whole team.</t>
  </si>
  <si>
    <t>If a team member is attuned to Wind: reduces water damage taken by them by 8% for 15 seconds when they successfully poison an enemy. After activating, this ability will not activate again for 10 seconds. Benefits your whole team.</t>
  </si>
  <si>
    <t>If a team member is attuned to Wind: increases their chances of inflicting poison by 45%. Benefits your whole team.</t>
  </si>
  <si>
    <t>If a team member is attuned to Wind: reduces water damage taken by them by 8% for 15 seconds when they successfully inflict an enemy with stormlash. After activating, this ability will not activate again for 10 seconds. Benefits your whole team.</t>
  </si>
  <si>
    <t>If a team member is attuned to Wind: increases their strength by 10% for 15 seconds each time they receive a defense up buff. After activating, this ability will not activate again for 15 seconds. Benefits your whole team.</t>
  </si>
  <si>
    <t>If a team member is attuned to Wind: increases their strength by 9% for 15 seconds each time they receive a defense up buff. After activating, this ability will not activate again for 15 seconds. Benefits your whole team.</t>
  </si>
  <si>
    <t>If a team member is attuned to Wind: reduces their susceptibility to bog by 100% when they have a team defense amp. Benefits your whole team.</t>
  </si>
  <si>
    <t>If a team member is attuned to Wind: grants them a HP regen buff healing them for 2% Max HP every 3.9 seconds when they have a team strength amp. Benefits your whole team.</t>
  </si>
  <si>
    <t>If a team member is attuned to Wind: increases their water resistance by 6% when they have a Team Strength Amp. Benefits your whole team.</t>
  </si>
  <si>
    <t>If a team member is attuned to Wind: grants them a one-use shield that nullifies damage up to 25% of their maximum HP when they are hit by an attack that inflicts an affliction. After activating, this ability will not activate again for 20 seconds. This shield does not stack with any other shields of the same type. Benefits your whole team.</t>
  </si>
  <si>
    <t>If a team member is attuned to Wind: reduces water damage taken by them by 5% for 15 seconds each time they receive a defense up buff. After activating, this ability will not activate again for 15 seconds. Benefits your whole team.</t>
  </si>
  <si>
    <t>If a team member is attuned to Wind: reduces water damage taken by them by 7% for 15 seconds each time they receive a defense up buff. After activating, this ability will not activate again for 15 seconds. Benefits your whole team.</t>
  </si>
  <si>
    <t>Increases strength by 3% when HP is 60% or above. Benefits your whole team.</t>
  </si>
  <si>
    <t>Increases defense by 3%. Benefits your whole team.</t>
  </si>
  <si>
    <t>Increases dragon gauge fill rate by 14%. Benefits your whole team.</t>
  </si>
  <si>
    <t>Each shapeshift increases strength for the remainder of the quest (up to 3 times per quest). On first shapeshift strength is increased by 6% in total. On second shapeshift strength is increased by 15% in total. On third shapeshift strength is increased by 30% in total.</t>
  </si>
  <si>
    <t>Increases attack rate by 7%. Benefits your whole team.</t>
  </si>
  <si>
    <t>Adds 30% to the modifier applied to critical damage. Benefits your whole team.</t>
  </si>
  <si>
    <t>Increases critical rate by 10%. Benefits your whole team.</t>
  </si>
  <si>
    <t>Increases defense by 15%. Benefits your whole team.</t>
  </si>
  <si>
    <t>Adds 20% to the modifier applied to damage when in dragon form. Benefits your whole team.</t>
  </si>
  <si>
    <t>Increases dragon gauge fill rate by 15%. Benefits your whole team.</t>
  </si>
  <si>
    <t>Increases force strike damage by 20%. Benefits your whole team.</t>
  </si>
  <si>
    <t>Speeds the rate the mode gauge decreases by 20%. Benefits your whole team.</t>
  </si>
  <si>
    <t>Increases HP by 10% and defense by 10%. Benefits your whole team.</t>
  </si>
  <si>
    <t>Increases HP by 15%. Benefits your whole team.</t>
  </si>
  <si>
    <t>Increases the amount of HP an adventurer revives with by 30%. Benefits your whole team.</t>
  </si>
  <si>
    <t>Increases light damage by 15%. Benefits your whole team.</t>
  </si>
  <si>
    <t>Increases light damage by 20%. Benefits your whole team.</t>
  </si>
  <si>
    <t>Increases damage to enemies in overdrive state by 15%, and speeds the rate the mode gauge decreases by 10%. Benefits your whole team.</t>
  </si>
  <si>
    <t>Increases damage to paralyzed enemies by 8%. Benefits your whole team.</t>
  </si>
  <si>
    <t>Increases Recovery Potency by 20%. Benefits your whole team.</t>
  </si>
  <si>
    <t>Increases damage to enemies with reduced strength or defense by 8%. Benefits your whole team.</t>
  </si>
  <si>
    <t>Increases the chances of inflicting and the duration of scorchrend by 20%. Benefits your whole team.</t>
  </si>
  <si>
    <t>Adds 10% to the modifier applied to damage when in dragon form, and extends shapeshift time by 20%. Benefits your whole team.</t>
  </si>
  <si>
    <t>Increases Skill Damage by 15%. Benefits your whole team.</t>
  </si>
  <si>
    <t>Increases Skill Haste by 15%. Benefits your whole team.</t>
  </si>
  <si>
    <t>Increases the power of standard attacks by 20%. Benefits your whole team.</t>
  </si>
  <si>
    <t>Increases strength by 10%. Benefits your whole team.</t>
  </si>
  <si>
    <t>Increases wind damage by 20%. Benefits your whole team.</t>
  </si>
  <si>
    <t>NEW-CCA</t>
  </si>
  <si>
    <t>Gradually regenerates their HP with 7.2% Recovery Potency every 2.9 seconds when the combo count is 10 or higher. Benefits your whole team.</t>
  </si>
  <si>
    <t>Fills 3% of the dragon gauge when they are granted an amp or team amp. After activating, this ability will not activate again for 10 seconds. Benefits your whole team.</t>
  </si>
  <si>
    <t>Increases duration of their buff skills by 15%. Benefits your whole team.</t>
  </si>
  <si>
    <t>Increases chances of inflicting burn by 50%. Benefits your whole team.</t>
  </si>
  <si>
    <t>Increases energy level by 1 stage for every 20-hit combo. Benefits your whole team.</t>
  </si>
  <si>
    <t>Fills 3% of the dragon gauge for every 50-hit combo. Benefits your whole team.</t>
  </si>
  <si>
    <t>Extends the window between them hitting an enemy and the combo counter resetting by 2.5 seconds. Benefits your whole team.</t>
  </si>
  <si>
    <t>Increases critical rate by 13%. Benefits your whole team.</t>
  </si>
  <si>
    <t>Increases defense by 6%. Benefits your whole team.</t>
  </si>
  <si>
    <t>Dragon Damage +12%</t>
  </si>
  <si>
    <t>Adds 12% to the modifier applied to their damage when in dragon form. Benefits your whole team.</t>
  </si>
  <si>
    <t>Increases dragon gauge fill rate by 20%. Benefits your whole team.</t>
  </si>
  <si>
    <t>Extends their shapeshift time by 20%. Benefits your whole team.</t>
  </si>
  <si>
    <t>Each shapeshift increases strength for the remainder of the quest (up to 3 times per quest). On first shapeshift strength is increased by 10% in total. On second shapeshift strength is increased by 25% in total. On third shapeshift strength is increased by 40% in total. Also, adds 10% to the modifier applied to damage when in dragon form. Benefits your whole team.</t>
  </si>
  <si>
    <t>When their energy level is increased, also increases their inspiration level by 1 stage. After activating, this ability will not activate again for 15 seconds. Benefits your whole team.</t>
  </si>
  <si>
    <t>Increases flame resistance by 10%. Benefits your whole team.</t>
  </si>
  <si>
    <t>Increases HP by 10%. Benefits your whole team.</t>
  </si>
  <si>
    <t>Grants a one-use shield that nullifies damage up to 50% of their maximum HP when their HP drops to 40%. This does not stack with any other shields of the same type. Benefits your whole team.</t>
  </si>
  <si>
    <t>Grants an HP regen buff, healing them for 4% Max HP every 3.9 seconds for 20 seconds when their HP drops to 60%. After activating, this ability will not activate again for 30 seconds. Benefits your whole team.</t>
  </si>
  <si>
    <t>Increases light resistance by 10%. Benefits your whole team.</t>
  </si>
  <si>
    <t>Increases chances of inflicting paralysis by 50%. Benefits your whole team.</t>
  </si>
  <si>
    <t>Increases chances of inflicting poison by 50%. Benefits your whole team.</t>
  </si>
  <si>
    <t>Increases the potency of recovery skills by 20%. Benefits your whole team.</t>
  </si>
  <si>
    <t>Increases shadow resistance by 10%. Benefits your whole team.</t>
  </si>
  <si>
    <t>Increases damage to shadowblighted enemies by 8%. Benefits your whole team.</t>
  </si>
  <si>
    <t>Each shapeshift grants them an HP regen buff, healing them for 7% Max HP every 3.9 seconds for 20 seconds. Benefits your whole team.</t>
  </si>
  <si>
    <t>Increases strength by 13%. Benefits your whole team.</t>
  </si>
  <si>
    <t>Reduces their susceptibility to bog by 100% when they have a team defense amp. Benefits your whole team.</t>
  </si>
  <si>
    <t>Grants them a HP regen buff healing them for 2% Max HP every 3.9 seconds when they have a team defense amp. Benefits your whole team.</t>
  </si>
  <si>
    <t>Reduces their susceptibility to blindness by 100% when they have a team strength amp. Benefits your whole team.</t>
  </si>
  <si>
    <t>Reduces their susceptibility to burning by 100% when they have a Team Strength Amp. Benefits your whole team.</t>
  </si>
  <si>
    <t>Reduces their susceptibility to curses by 100% when they have a team strength amp. Benefits your whole team.</t>
  </si>
  <si>
    <t>Grants them a HP regen buff healing them for 2% Max HP every 3.9 seconds when they have a team strength amp. Benefits your whole team.</t>
  </si>
  <si>
    <t>Increases skill gauge fill rate by 6% when they have a team strength amp. Benefits your whole team.</t>
  </si>
  <si>
    <t>Grants a one-use shield that nullifies damage up to 50% of their maximum HP when they are hit by an attack that inflicts an affliction. After activating, this ability will not activate again for 20 seconds. This shield does not stack with any other shields of the same type. Benefits your whole team.</t>
  </si>
  <si>
    <t>Increases water resistance by 10%. Benefits your whole team.</t>
  </si>
  <si>
    <t>Increases wind resistance by 10%. Benefits your whole team.</t>
  </si>
  <si>
    <t>Total Co-Ability Count (Only Original 298 Adventurers)</t>
  </si>
  <si>
    <t>D-133</t>
  </si>
  <si>
    <t>Skill - Original</t>
  </si>
  <si>
    <t>Skill - V3 Revision</t>
  </si>
  <si>
    <t>Combo - Original</t>
  </si>
  <si>
    <t>Combo - V3 Revision</t>
  </si>
  <si>
    <t>HPV3</t>
  </si>
  <si>
    <t>STRV3</t>
  </si>
  <si>
    <t>Skill</t>
  </si>
  <si>
    <t>Combo</t>
  </si>
  <si>
    <t>Combo V3</t>
  </si>
  <si>
    <t>Family</t>
  </si>
  <si>
    <t>210121_01</t>
  </si>
  <si>
    <t>D-009</t>
  </si>
  <si>
    <t>Rathalos</t>
  </si>
  <si>
    <t>King of the Skies</t>
  </si>
  <si>
    <t>A massive fire-breathing dragon from another world. Known as the King of the Skies, it makes deft use of its flying ability to rain down death from above. Its fearsome flaming breath has also earned it the moniker of Fire Wyvern.</t>
  </si>
  <si>
    <t>https://dragalialost.wiki/w/Rathalos</t>
  </si>
  <si>
    <t>Clear Rathalos Assault: High Rank 
(Monster Hunter Primal Crisis)</t>
  </si>
  <si>
    <t>Firestorm</t>
  </si>
  <si>
    <t>Combo 1: 320% x 1
Combo 2: 350% x 1
Combo 3a: 150% x 1
Combo 3b: 600% x 1</t>
  </si>
  <si>
    <t>(Flame) HP &amp; Strength +35%</t>
  </si>
  <si>
    <t>(Element) Strength +55% &amp; Surge of Strength +30%</t>
  </si>
  <si>
    <t>(Element) Scorchrent Punisher +25%</t>
  </si>
  <si>
    <t>Affliction Punisher</t>
  </si>
  <si>
    <t>210103_01</t>
  </si>
  <si>
    <t>D-011</t>
  </si>
  <si>
    <t>Apollo</t>
  </si>
  <si>
    <t>Burning Sun</t>
  </si>
  <si>
    <t>A dragon who favors honorable combat, and the guardian of Apollonia. Daily skirmishes are held in that city, as fighters seeking honor and glory struggle to cultivate their skill and discipline through friendly competition.</t>
  </si>
  <si>
    <t>https://dragalialost.wiki/w/Apollo</t>
  </si>
  <si>
    <t>Clear Battle at Mount Adolla: Master 
(The Imperial Onslaught)</t>
  </si>
  <si>
    <t>Arrow of Glory</t>
  </si>
  <si>
    <t>Combo 1: 400% x 1
Combo 2: 425% x 1
Combo 3: 525% x 1</t>
  </si>
  <si>
    <t>Combo 1: 400% x 1
Combo 2: 440% x 1
Combo 3: 530% x 1</t>
  </si>
  <si>
    <t>(Element) Strength +55% &amp; Surge of Strength I</t>
  </si>
  <si>
    <t>(Flame) Burning Punisher +20%</t>
  </si>
  <si>
    <t>(Element) Burning Punisher +25%</t>
  </si>
  <si>
    <t>210058_01</t>
  </si>
  <si>
    <t>D-043</t>
  </si>
  <si>
    <t>Vodyanoy</t>
  </si>
  <si>
    <t>Ephemeral One</t>
  </si>
  <si>
    <t>A dragon who dwells in water, commanding fish at will. Having spent most of his time in the dark depths, he doesn't quite grasp human ways. However, he has taken quite the liking to Euden and now obeys him.</t>
  </si>
  <si>
    <t>https://dragalialost.wiki/w/Vodyanoy</t>
  </si>
  <si>
    <t>Clear Mercury's Trial: Standard 
(Dragon Trials)</t>
  </si>
  <si>
    <t>Relentless Torrent</t>
  </si>
  <si>
    <t>Combo 1: 352% x 1
Combo 2: 388% x 1
Combo 3: 492% x 1</t>
  </si>
  <si>
    <t>Combo 1: 370% x 1
Combo 2: 400% x 1
Combo 3: 500% x 1</t>
  </si>
  <si>
    <t>(Water) Strength +45%</t>
  </si>
  <si>
    <t>(Element) Frostbitten Punisher +25%</t>
  </si>
  <si>
    <t>210026_01</t>
  </si>
  <si>
    <t>D-064</t>
  </si>
  <si>
    <t>Pazuzu</t>
  </si>
  <si>
    <t>Calamitous Typhoon</t>
  </si>
  <si>
    <t>A dragon who births disaster from his wings. While he rarely involves himself with humans, he respects any who meet and overcome the destruction and disease his storms carry.</t>
  </si>
  <si>
    <t>https://dragalialost.wiki/w/Pazuzu</t>
  </si>
  <si>
    <t>Clear Midgardsormr's Trial: Master 
(Dragon Trials)</t>
  </si>
  <si>
    <t>Catastrophic Winds</t>
  </si>
  <si>
    <t>Combo 1: 280% x 1
Combo 2: 308% x 1
Combo 3: 130% x 3</t>
  </si>
  <si>
    <t>Combo 1: 300% x 1
Combo 2: 320% x 1
Combo 3: 150% x 3</t>
  </si>
  <si>
    <t>(Wind) Poisoned Punisher +20%</t>
  </si>
  <si>
    <t>(Element) Poisoned Punisher +25%</t>
  </si>
  <si>
    <t>210011_01</t>
  </si>
  <si>
    <t>D-070</t>
  </si>
  <si>
    <t>Stribog</t>
  </si>
  <si>
    <t>Ancient Knight</t>
  </si>
  <si>
    <t>A righteous dragon living deep in the mountains who places importance on order and uses his solitude to ponder heavy philosophical matters. While he possesses great power, he believes violence to be a last resort and rarely wields it.</t>
  </si>
  <si>
    <t>https://dragalialost.wiki/w/Stribog</t>
  </si>
  <si>
    <t>Clear Midgardsormr's Trial: Standard 
(Dragon Trials)</t>
  </si>
  <si>
    <t>Test of Integrity</t>
  </si>
  <si>
    <t>Combo 1: 432% x 1
Combo 2: 476% x 1
Combo 3: 604% x 1</t>
  </si>
  <si>
    <t>Combo 1: 450% x 1
Combo 2: 500% x 1
Combo 3: 640% x 1</t>
  </si>
  <si>
    <t>(Wind) HP +45%</t>
  </si>
  <si>
    <t>(Element) Stormlashed Punisher +25%</t>
  </si>
  <si>
    <t>210056_01</t>
  </si>
  <si>
    <t>D-092</t>
  </si>
  <si>
    <t>Corsaint Phoenix</t>
  </si>
  <si>
    <t>Holy Regenerant</t>
  </si>
  <si>
    <t>A phoenix with the power of regeneration. Though she's bubbly and strong-willed, she can also be clumsy when her mind wanders. Some believe her to be the model for the Ilian Church's sacred bird symbol, but the truth remains a mystery.</t>
  </si>
  <si>
    <t>https://dragalialost.wiki/w/Corsaint_Phoenix</t>
  </si>
  <si>
    <t>Clear Jeanne d'Arc's Trial: Standard 
(Trials of the Mighty)</t>
  </si>
  <si>
    <t>Refreshing Flare</t>
  </si>
  <si>
    <t>Combo 1: 440% x 1
Combo 2a: 152% x 1
Combo 2b: 354% x 1
Combo 3: 748% x 1</t>
  </si>
  <si>
    <t>Combo 1: 450% x 1
Combo 2a: 160% x 1
Combo 2b: 360% x 1
Combo 3: 760% x 1</t>
  </si>
  <si>
    <t>(Light) Paralyzed Punisher +20%</t>
  </si>
  <si>
    <t>(Element) Paralyzed Punisher +25%</t>
  </si>
  <si>
    <t>210013_01</t>
  </si>
  <si>
    <t>D-096</t>
  </si>
  <si>
    <t>Lindworm</t>
  </si>
  <si>
    <t>Seeker of Beauty</t>
  </si>
  <si>
    <t>A dragon who aspires to be beautiful in all she does. Surrounded by her collection of artwork, she dedicates herself to self-improvement. While she doesn't think much of humanity, she respects and admires their creative passion.</t>
  </si>
  <si>
    <t>https://dragalialost.wiki/w/Lindworm</t>
  </si>
  <si>
    <t>Clear Jupiter's Trial: Standard 
(Dragon Trials)</t>
  </si>
  <si>
    <t>Ethereal Gleam</t>
  </si>
  <si>
    <t>Combo 1: 408% x 1
Combo 2: 450% x 1
Combo 3a: 172% x 1
Combo 3b: 400% x 1</t>
  </si>
  <si>
    <t>Combo 1: 420% x 1
Combo 2: 450% x 1
Combo 3a: 180% x 1
Combo 3b: 400% x 1</t>
  </si>
  <si>
    <t>(Light) Strength +45%</t>
  </si>
  <si>
    <t>(Element) Flashburned Punisher +25%</t>
  </si>
  <si>
    <t>210045_01</t>
  </si>
  <si>
    <t>D-123</t>
  </si>
  <si>
    <t>Phantom</t>
  </si>
  <si>
    <t>Gruesome Specter</t>
  </si>
  <si>
    <t>A repulsive dragon that terrifies all who see him. Beneath his fearsome exterior, though, he has a kind heart. His appearance led him to be blamed for the destruction of a country and banished to the space between worlds.</t>
  </si>
  <si>
    <t>https://dragalialost.wiki/w/Phantom</t>
  </si>
  <si>
    <t>Clear Thanatos Clash: Expert 
(A Waltz with Fate)</t>
  </si>
  <si>
    <t>Thorny Spiral</t>
  </si>
  <si>
    <t>Combo 1: 260% x 1
Combo 2: 286% x 1
Combo 3: 468% x 1</t>
  </si>
  <si>
    <t>Combo 1: 270% x 1
Combo 2: 300% x 1
Combo 3: 480% x 1</t>
  </si>
  <si>
    <t>(Shadow) Strength +40%</t>
  </si>
  <si>
    <t>210014_01</t>
  </si>
  <si>
    <t>D-129</t>
  </si>
  <si>
    <t>Juggernaut</t>
  </si>
  <si>
    <t>Violent Brute</t>
  </si>
  <si>
    <t>An evil dragon said to control shadows. Infamously unruly, entire kingdoms have collapsed because of him. He can get carried away when flattered but becomes very tolerant to those who follow him.</t>
  </si>
  <si>
    <t>https://dragalialost.wiki/w/Juggernaut_(Dragon)</t>
  </si>
  <si>
    <t>Clear Zodiark's Trial: Expert 
(Dragon Trials)</t>
  </si>
  <si>
    <t>Shadow Carnage</t>
  </si>
  <si>
    <t>Combo 1: 328% x 1
Combo 2: 362% x 1
Combo 3: 460% x 1</t>
  </si>
  <si>
    <t>Combo 1: 340% x 1
Combo 2: 370% x 1
Combo 3: 480% x 1</t>
  </si>
  <si>
    <t>(Shadow) Strength +45%</t>
  </si>
  <si>
    <t>(Element) Shadowblighted Punisher +25%</t>
  </si>
  <si>
    <t>210167_01</t>
  </si>
  <si>
    <t>D-026</t>
  </si>
  <si>
    <t>Gala Beast Ciella</t>
  </si>
  <si>
    <t>Wings of Judgment</t>
  </si>
  <si>
    <t>The vestigial shade of Beast Ciella, formed from a portion of the amplified power conferred to her by her Agito mask. The true Ciella despaired over the world's deception, and this version incoherently mumbles of the same.</t>
  </si>
  <si>
    <t>https://dragalialost.wiki/w/Gala_Beast_Ciella</t>
  </si>
  <si>
    <t>Clear Ciella's Wrath: Expert 
(The Agito Uprising)</t>
  </si>
  <si>
    <t>Frozen Anguish</t>
  </si>
  <si>
    <t>Combo 1: 286% x 3
Combo 2: 343% x 3
Combo 3: 1800% x 1</t>
  </si>
  <si>
    <t>Combo 1: 300% x 3
Combo 2: 350% x 3
Combo 3: 1800% x 1</t>
  </si>
  <si>
    <t>(Water) Wings of Judgment V</t>
  </si>
  <si>
    <t>(Water) Desperate Agony II</t>
  </si>
  <si>
    <t>Wings of Judgment V</t>
  </si>
  <si>
    <t>Desperate Agony II</t>
  </si>
  <si>
    <t>Agito Beast</t>
  </si>
  <si>
    <t>210161_01</t>
  </si>
  <si>
    <t>D-051</t>
  </si>
  <si>
    <t>Gala Beast Volk</t>
  </si>
  <si>
    <t>Fangs of the Fangless</t>
  </si>
  <si>
    <t>The vestigial shade of Beast Volk, formed from a portion of the amplified power conferred to him by his Agito mask. His incoherent mumbling retains the familiar bite of Volk's own rancor.</t>
  </si>
  <si>
    <t>https://dragalialost.wiki/w/Gala_Beast_Volk</t>
  </si>
  <si>
    <t>Clear Volk's Wrath: Expert 
(The Agito Uprising)</t>
  </si>
  <si>
    <t>Lunatic Deliverance</t>
  </si>
  <si>
    <t>Combo 1: 460% x 1
Combo 2: 490% x 1
Combo 3: 760% x 1</t>
  </si>
  <si>
    <t>Combo 1: 470% x 1
Combo 2: 500% x 1
Combo 3: 770% x 1</t>
  </si>
  <si>
    <t>(Wind) Fangs of the Fangless V</t>
  </si>
  <si>
    <t>(Wind) Plague of Weakness II</t>
  </si>
  <si>
    <t>Fangs of the Fangless V</t>
  </si>
  <si>
    <t>Plague of Weakness II</t>
  </si>
  <si>
    <t>210178_01</t>
  </si>
  <si>
    <t>DN-001</t>
  </si>
  <si>
    <t>Gala Beast Ayaha &amp; Otoha</t>
  </si>
  <si>
    <t>https://dragalialost.wiki/w/Beast_Form_(Ayaha_%26_Otoha)</t>
  </si>
  <si>
    <t>Clear Ayaha &amp; Otoha's Wrath: Expert (The Agito Uprising)</t>
  </si>
  <si>
    <t>Soaring Wings V</t>
  </si>
  <si>
    <t>Tosenbo and Toryanse II</t>
  </si>
  <si>
    <t>DN-002</t>
  </si>
  <si>
    <t>Gala Beast Kai Yan</t>
  </si>
  <si>
    <t>The Invincible Arm</t>
  </si>
  <si>
    <t>https://dragalialost.wiki/w/Kai_Yan_(NPC)</t>
  </si>
  <si>
    <t>Clear Kai Yan's Wrath: Expert (The Agito Uprising)</t>
  </si>
  <si>
    <t>Invincible Arm V</t>
  </si>
  <si>
    <t>Adamantine Battleground II</t>
  </si>
  <si>
    <t>DN-003</t>
  </si>
  <si>
    <t>Gala Beast Tartarus</t>
  </si>
  <si>
    <t>Jaws of Destruction</t>
  </si>
  <si>
    <t>https://dragalialost.wiki/w/Tartarus_(NPC)</t>
  </si>
  <si>
    <t>Clear Tartarus's Wrath: Expert (The Agito Uprising)</t>
  </si>
  <si>
    <t>Jaws of Destruction V</t>
  </si>
  <si>
    <t>Relentless Rage II</t>
  </si>
  <si>
    <t>210163_01</t>
  </si>
  <si>
    <t>D-002</t>
  </si>
  <si>
    <t>Uriel</t>
  </si>
  <si>
    <t>Angel of Judgment</t>
  </si>
  <si>
    <t>One of the dragons known as the Five Archangels, he is a perfectionist who is as strict with others as he is himself—and even assigns points and gives grades. His intense personality is carried over in his Sigil-sworn apostle.</t>
  </si>
  <si>
    <t>https://dragalialost.wiki/w/Uriel</t>
  </si>
  <si>
    <t>Clear Iblis's Surging Cascade: Standard 
(Rise of the Sinister Dominion)</t>
  </si>
  <si>
    <t>Angelic Blaze</t>
  </si>
  <si>
    <t>Combo 1: 200% x 5
Combo 2: 800% x 1
Combo 3: 1000% x 1</t>
  </si>
  <si>
    <t>(Flame) Strength +60%</t>
  </si>
  <si>
    <t>(Flame) Uriel's Favor II</t>
  </si>
  <si>
    <t>(Element) Strength +70% &amp; Shapeshift Prep +50%</t>
  </si>
  <si>
    <t>Uriel's Favor</t>
  </si>
  <si>
    <t>Archangels</t>
  </si>
  <si>
    <t>210145_01</t>
  </si>
  <si>
    <t>D-029</t>
  </si>
  <si>
    <t>Gabriel</t>
  </si>
  <si>
    <t>Blessed Angel</t>
  </si>
  <si>
    <t>One of the dragons known as the Five Archangels. Though gentle and free-spirited, she is strong and dauntless at her core. She feels a motherly love for Pinon, her Sigil-sworn apostle, that occasionally borders on overprotectiveness.</t>
  </si>
  <si>
    <t>https://dragalialost.wiki/w/Gabriel</t>
  </si>
  <si>
    <t>Clear Jaldabaoth's Piercing Gale: Standard 
(Rise of the Sinister Dominion)</t>
  </si>
  <si>
    <t>Angelic Devotion</t>
  </si>
  <si>
    <t>Combo 1: 674% x 1
Combo 2: 878% x 1
Combo 3: Restores HP to all teammates with 25% Recovery Potency</t>
  </si>
  <si>
    <t>Combo 1: 700% x 1
Combo 2: 900% x 1
Combo 3: Restores HP to all teammates with 25% Recovery Potency</t>
  </si>
  <si>
    <t>(Water) Strength +60%</t>
  </si>
  <si>
    <t>(Water) Gabriel's Favor II</t>
  </si>
  <si>
    <t>Gabriel's Favor</t>
  </si>
  <si>
    <t>210168_01</t>
  </si>
  <si>
    <t>D-049</t>
  </si>
  <si>
    <t>Michael</t>
  </si>
  <si>
    <t>Angel of Lost Souls</t>
  </si>
  <si>
    <t>One of the dragons known as the Five Archangels. A pleasure-seeker whose behavior often confuses, his true thoughts are impossible to ascertain. Though he appears delicate, his power is without peer, and he guides people and dragons alike based on the strength of his own convictions.</t>
  </si>
  <si>
    <t>https://dragalialost.wiki/w/Michael</t>
  </si>
  <si>
    <t>Clear Surtr's Devouring Flame: Standard 
(Rise of the Sinister Dominion)</t>
  </si>
  <si>
    <t>Angelic Storm</t>
  </si>
  <si>
    <t>Omitted due to complexity</t>
  </si>
  <si>
    <t>(Wind) Strength +60%</t>
  </si>
  <si>
    <t>(Wind) Michael's Favor II</t>
  </si>
  <si>
    <t>Michael's Favor</t>
  </si>
  <si>
    <t>210154_01</t>
  </si>
  <si>
    <t>D-080</t>
  </si>
  <si>
    <t>Raphael</t>
  </si>
  <si>
    <t>Grace-Granting Angel</t>
  </si>
  <si>
    <t>One of the dragons known as the Five Archangels. Optimistic and open-minded in nature, her physical might belies her talent for healing. She is currently on a journey to aid any and all in need of her angelic succor.</t>
  </si>
  <si>
    <t>https://dragalialost.wiki/w/Raphael</t>
  </si>
  <si>
    <t>Clear Asura's Blinding Light: Standard 
(Rise of the Sinister Dominion)</t>
  </si>
  <si>
    <t>Angelic Justice</t>
  </si>
  <si>
    <t>Combo 1: 600% x 1
Combo 2: 690% x 1
Combo 3: 900% x 1</t>
  </si>
  <si>
    <t>Combo 1: 600% x 1
Combo 2: 700% x 1
Combo 3: 900% x 1</t>
  </si>
  <si>
    <t>(Light) Strength +60%</t>
  </si>
  <si>
    <t>(Light) Raphael's Aid II</t>
  </si>
  <si>
    <t>Raphael's Favor</t>
  </si>
  <si>
    <t>210132_01</t>
  </si>
  <si>
    <t>D-107</t>
  </si>
  <si>
    <t>Ramiel</t>
  </si>
  <si>
    <t>Angelic Herald</t>
  </si>
  <si>
    <t>One of the dragons known as the Five Archangels. Though calm and analytical, he also has a sharp tongue. At first, he had no emotions towards people, but he now feels a fatherly attachment to the Apostle he formed a Sigil with.</t>
  </si>
  <si>
    <t>https://dragalialost.wiki/w/Ramiel</t>
  </si>
  <si>
    <t>Clear Lilith's Encroaching Shadow: Standard 
(Rise of the Sinister Dominion)</t>
  </si>
  <si>
    <t>Angelic Declaration</t>
  </si>
  <si>
    <t>Combo 1: 390% x 1
Combo 2: 470% x 1
Combo 3: 680% x 1</t>
  </si>
  <si>
    <t>Combo 1: 400% x 1
Combo 2: 480% x 1
Combo 3: 700% x 1</t>
  </si>
  <si>
    <t>(Shadow) Strength &amp; Shapeshift Prep VI</t>
  </si>
  <si>
    <t>(Shadow) HP +30%</t>
  </si>
  <si>
    <t>Ramiel's Favor</t>
  </si>
  <si>
    <t>210124_01</t>
  </si>
  <si>
    <t>D-006</t>
  </si>
  <si>
    <t>Horus</t>
  </si>
  <si>
    <t>Flame-Winged Ruler</t>
  </si>
  <si>
    <t>A dragon who governed the royal family of the Sandreach long ago. He confers powerful magic to individuals out of curiosity for what they might accomplish, and was a dispassionate observer of people until the desert kingdom fell.</t>
  </si>
  <si>
    <t>https://dragalialost.wiki/w/Horus</t>
  </si>
  <si>
    <t>Clear Defensive Battle: EX 
(Sands of Revelation)</t>
  </si>
  <si>
    <t>Eye of Horus</t>
  </si>
  <si>
    <t>Combo 1: 140% x 3
Combo 2: 122% x 4
Combo 3: 134% x 5</t>
  </si>
  <si>
    <t>Combo 1: 150% x 3
Combo 2: 130% x 4
Combo 3: 150% x 5</t>
  </si>
  <si>
    <t>(Flame) Attack Rate &amp; Critical Rate V</t>
  </si>
  <si>
    <t>(Element) Attack Rate +20% &amp; Critical Rate +55%</t>
  </si>
  <si>
    <t>(Element) Surge of Strength +40%</t>
  </si>
  <si>
    <t>Critical Attack Rate</t>
  </si>
  <si>
    <t>210076_01</t>
  </si>
  <si>
    <t>D-038</t>
  </si>
  <si>
    <t>Dragonyule Jeanne</t>
  </si>
  <si>
    <t>Defender of Dragonyule</t>
  </si>
  <si>
    <t>Jeanne d'Arc has donned a beautiful dress for Dragonyule. She acts embarrassed to wear it, but deep down enjoys doing so. Despite her new attire, she hasn't lost her high-minded spirit, and watches over everyone as they enjoy the holiday.</t>
  </si>
  <si>
    <t>https://dragalialost.wiki/w/Dragonyule_Jeanne</t>
  </si>
  <si>
    <t>Upgrade the Yuletree to Lv. 35 
(The Miracle of Dragonyule)</t>
  </si>
  <si>
    <t>Frost Beam</t>
  </si>
  <si>
    <t>Combo 1: 370% x 1
Combo 2: 408% x 1
Combo 3: 518% x 1</t>
  </si>
  <si>
    <t>Combo 1: 370% x 1
Combo 2: 420% x 1
Combo 3: 540% x 1</t>
  </si>
  <si>
    <t>210074_01</t>
  </si>
  <si>
    <t>D-063</t>
  </si>
  <si>
    <t>Yulong</t>
  </si>
  <si>
    <t>Celestial Steed</t>
  </si>
  <si>
    <t>A dragon who acts as Xuan Zang's steed on her journey. He is very serious, and takes great pride in his charge.</t>
  </si>
  <si>
    <t>https://dragalialost.wiki/w/Yulong</t>
  </si>
  <si>
    <t>Clear Qitian Dasheng Clash: Expert 
(Echoes of Antiquity)</t>
  </si>
  <si>
    <t>Subjugating Storm</t>
  </si>
  <si>
    <t>Combo 1: 240% x 1
Combo 2: 264% x 1
Combo 3: 576% x 1</t>
  </si>
  <si>
    <t>Combo 1: 250% x 1
Combo 2: 280% x 1
Combo 3: 600% x 1</t>
  </si>
  <si>
    <t>(Wind) Strength +40%</t>
  </si>
  <si>
    <t>210142_01</t>
  </si>
  <si>
    <t>D-082</t>
  </si>
  <si>
    <t>Lumière Pandora</t>
  </si>
  <si>
    <t>Box-of-Hope Bearer</t>
  </si>
  <si>
    <t>A dragon who bears the Box of Hope, which has the power to better the world through spreading an abundance of blessings. She loves nothing more than spending time with her twin sister who carries the Box of Calamity.</t>
  </si>
  <si>
    <t>https://dragalialost.wiki/w/Lumière_Pandora</t>
  </si>
  <si>
    <t>Clear Aether Clash: Omega 
(Princess Connect! Re Dive A Voracious Visitor)</t>
  </si>
  <si>
    <t>Burst of Happiness</t>
  </si>
  <si>
    <t>Combo 1: 512% x 1
Combo 2: 574% x 1
Combo 3: 351% x 3</t>
  </si>
  <si>
    <t>Combo 1: 520% x 1
Combo 2: 600% x 1
Combo 3: 370% x 3</t>
  </si>
  <si>
    <t>(Light) Emissary of the Box of Hope V</t>
  </si>
  <si>
    <t>210135_01</t>
  </si>
  <si>
    <t>D-106</t>
  </si>
  <si>
    <t>Giovanni</t>
  </si>
  <si>
    <t>Ark of Music</t>
  </si>
  <si>
    <t>A music-loving dragon whose skill with singing, conducting, and composing is elite. Though he looks like a whale, he swims through skies as well as seas, and it is said that music rains down whenever he passes overhead.</t>
  </si>
  <si>
    <t>https://dragalialost.wiki/w/Giovanni</t>
  </si>
  <si>
    <t>Upgrade the Opera House to Lv. 35 
(The Phantom's Ransom)</t>
  </si>
  <si>
    <t>Grand Concerto</t>
  </si>
  <si>
    <t>Combo 1: 215% x 1
Combo 2: 247% x 1
Combo 3: Creates a 10% critical damage buff zone for 10 seconds</t>
  </si>
  <si>
    <t>Combo 1: 250% x 1
Combo 2: 250% x 1
Combo 3: Creates a 10% critical damage buff zone for 10 seconds</t>
  </si>
  <si>
    <t>(Shadow) Strength &amp; Critical Rate V</t>
  </si>
  <si>
    <t>210030_01</t>
  </si>
  <si>
    <t>D-012</t>
  </si>
  <si>
    <t>Arctos</t>
  </si>
  <si>
    <t>Fiery Coach</t>
  </si>
  <si>
    <t>A hot-blooded dragon whose mastery and knowledge of smithing is matched only by the joy he feels in sharing it with humans. The former coach of the blacksmith sisters' father, he spends his days honing body and mind in a volcano.</t>
  </si>
  <si>
    <t>https://dragalialost.wiki/w/Arctos</t>
  </si>
  <si>
    <t>Upgrade the Arctos Monument to Lv. 35 
(Flames of Reflection)</t>
  </si>
  <si>
    <t>Dragon Drop</t>
  </si>
  <si>
    <t>Combo 1: 420% x 1
Combo 2: 462% x 1
Combo 3: 840% x 2</t>
  </si>
  <si>
    <t>Combo 1: 430% x 1
Combo 2: 480% x 1
Combo 3: 850% x 2</t>
  </si>
  <si>
    <t>(Element) Strength &amp; Critical Damage VI</t>
  </si>
  <si>
    <t>(Element) Critical Damage Surge I</t>
  </si>
  <si>
    <t>(Element) Strength +50% &amp; Critical Damage +60%</t>
  </si>
  <si>
    <t>(Element) Critical Damage Surge +30%</t>
  </si>
  <si>
    <t>Critical Damage</t>
  </si>
  <si>
    <t>210053_01</t>
  </si>
  <si>
    <t>D-033</t>
  </si>
  <si>
    <t>Nimis</t>
  </si>
  <si>
    <t>Gluttonous Gourmand</t>
  </si>
  <si>
    <t>A dragon with a gluttonous appetite. Watch out, because when his tummy gets rumbly, he throws a tantrum like you wouldn't believe. He's the type to save his favorite foods for last, and lately he's been vibing hard on fresh fruits and pancakes.</t>
  </si>
  <si>
    <t>https://dragalialost.wiki/w/Nimis</t>
  </si>
  <si>
    <t>Clear Nature's Bounty - À La Carte: Expert 
(A Dash of Disaster)</t>
  </si>
  <si>
    <t>Pancake Paradise</t>
  </si>
  <si>
    <t>Combo 1: 540% x 1
Combo 2: 198% x 3
Combo 3: 612% x 2</t>
  </si>
  <si>
    <t>Combo 1: 550% x 1
Combo 2: 220% x 3
Combo 3: 630% x 2</t>
  </si>
  <si>
    <t>210080_01</t>
  </si>
  <si>
    <t>D-065</t>
  </si>
  <si>
    <t>Long Long</t>
  </si>
  <si>
    <t>Kung-Fu Master</t>
  </si>
  <si>
    <t>He looks like a charming panda, but is actually a full-fledged dragon. A warrior who trained under the Qilin tribe, he has mastered the art of hand-to-hand combat. He has a son called Mao Mao, and is something of a worrywart as a father.</t>
  </si>
  <si>
    <t>https://dragalialost.wiki/w/Long_Long</t>
  </si>
  <si>
    <t>Clear Valfarre Clash: Omega 
(Skyborne Spectacle)</t>
  </si>
  <si>
    <t>Howling Burst</t>
  </si>
  <si>
    <t>Combo 1: 320% x 1
Combo 2: 336% x 1
Combo 3: 352% x 1
Combo 4: 186% x 2
Combo 5: 481.572% x 1</t>
  </si>
  <si>
    <t>Combo 1: 320% x 1
Combo 2: 350% x 1
Combo 3: 370% x 1
Combo 4: 200% x 2
Combo 5: 500% x 1</t>
  </si>
  <si>
    <t>210078_01</t>
  </si>
  <si>
    <t>D-089</t>
  </si>
  <si>
    <t>Shishimai</t>
  </si>
  <si>
    <t>Fortune Bringer</t>
  </si>
  <si>
    <t>An immature dragon of good fortune from the eastern land of Hinomoto. He serves Amaterasu, fulfilling the role of distributing New Year's gifts. This fun-loving dragon despises fighting, and just wants to become the coolest dragon around!</t>
  </si>
  <si>
    <t>https://dragalialost.wiki/w/Shishimai_(Dragon)</t>
  </si>
  <si>
    <t>Clear Shishimai Showdown: Expert 
(Fortune from Afar)</t>
  </si>
  <si>
    <t>Blessed Ritual</t>
  </si>
  <si>
    <t>Combo 1: 330% x 1
Combo 2: 364% x 1
Combo 3: 462% x 1</t>
  </si>
  <si>
    <t>Combo 1: 350% x 1
Combo 2: 370% x 1
Combo 3: 470% x 1</t>
  </si>
  <si>
    <t>(Light) Critical Damage +70%</t>
  </si>
  <si>
    <t>210095_01</t>
  </si>
  <si>
    <t>D-116</t>
  </si>
  <si>
    <t>Parallel Zodiark</t>
  </si>
  <si>
    <t>Sunbathing Feline</t>
  </si>
  <si>
    <t>The Shadowwyrm from an alternate universe. Trailed by misfortune, his body had partially rotted away, but he is now reborn and returned to youthful flesh. His unpleasant memories of the parallel universe grant him even greater strength.</t>
  </si>
  <si>
    <t>https://dragalialost.wiki/w/Parallel_Zodiark</t>
  </si>
  <si>
    <t>Clear Chronos Clash: Expert 
(Fractured Futures)</t>
  </si>
  <si>
    <t>Malevolent Venom</t>
  </si>
  <si>
    <t>Combo 1: 326% x 1
Combo 2: 392% x 1
Combo 3: 174% x 1
Combo 3: 410% x 1</t>
  </si>
  <si>
    <t>Combo 1: 330% x 1
Combo 2: 400% x 1
Combo 3: 180% x 1
Combo 3: 430% x 1</t>
  </si>
  <si>
    <t>(Shadow) Critical Damage +40%</t>
  </si>
  <si>
    <t>(Shadow) Strength +25%</t>
  </si>
  <si>
    <t>210136_01</t>
  </si>
  <si>
    <t>D-004</t>
  </si>
  <si>
    <t>Gozu Tenno</t>
  </si>
  <si>
    <t>Hard-Faced Softy</t>
  </si>
  <si>
    <t>The dragon of the Ox, and one of twelve who serve Amaterasu. Though he looks scary, he is actually very caring—if he hears of a hungry person to the east or west, he'll be off in a flash to deliver candy or food to the individual in need.</t>
  </si>
  <si>
    <t>https://dragalialost.wiki/w/Gozu_Tenno</t>
  </si>
  <si>
    <t>Clear Shikigami Clash: Nightmare 
(Cursed Connections)</t>
  </si>
  <si>
    <t>Infernal Charge</t>
  </si>
  <si>
    <t>Combo 1: 800% x 1
Combo 2: 800% x 1
Combo 3: 800% x 2</t>
  </si>
  <si>
    <t>(Flame) Strength +70%</t>
  </si>
  <si>
    <t>(Element) Strength +70%</t>
  </si>
  <si>
    <t>(Element) Divine Mantras</t>
  </si>
  <si>
    <t>Divine Mantra</t>
  </si>
  <si>
    <t>210130_01</t>
  </si>
  <si>
    <t>D-031</t>
  </si>
  <si>
    <t>Styx</t>
  </si>
  <si>
    <t>Mischievous Guardian</t>
  </si>
  <si>
    <t>The dragon guardian of South Grastaea's rivers, with much variance between immature and mature forms. A normally friendly dragon, witnessing humans breaking a certain taboo causes it to produce troublesome copies of itself.</t>
  </si>
  <si>
    <t>https://dragalialost.wiki/w/Styx</t>
  </si>
  <si>
    <t>Upgrade the Festival Stage to Lv. 35 
(Rhythmic Resolutions)</t>
  </si>
  <si>
    <t>Frigid Blast</t>
  </si>
  <si>
    <t>Combo 1: 360% x 1
Combo 2: 390% x 1
Combo 3: 168% x 1</t>
  </si>
  <si>
    <t>Combo 1: 370% x 1
Combo 2: 400% x 1
Combo 3: 180% x 1</t>
  </si>
  <si>
    <t>Great Cascade</t>
  </si>
  <si>
    <t>(Element) Surge of Strength I</t>
  </si>
  <si>
    <t>210169_01</t>
  </si>
  <si>
    <t>D-050</t>
  </si>
  <si>
    <t>Fudo Myo-o</t>
  </si>
  <si>
    <t>Unwavering Guardian</t>
  </si>
  <si>
    <t>The dragon of the Tiger clan, one of twelve who serve Amaterasu. Though quiet and withdrawn, Shingen is a flame ever-burning in her heart. On rare occasions, her feelings become strong enough to make folks around her uncomfortable.</t>
  </si>
  <si>
    <t>https://dragalialost.wiki/w/Fudo_Myo-o</t>
  </si>
  <si>
    <t>Clear Tsukuyomi Clash: Omega 
(Celestial Showdown)</t>
  </si>
  <si>
    <t>Kurikara Gust</t>
  </si>
  <si>
    <t>Combo 1: 275% x 4
Combo 2: 300% x 4
Combo 3: 250% x 6</t>
  </si>
  <si>
    <t>Combo 1: 280% x 4
Combo 2: 300% x 4
Combo 3: 250% x 6</t>
  </si>
  <si>
    <t>(Wind) Strength +70%</t>
  </si>
  <si>
    <t>(Wind) Divine Mantras II</t>
  </si>
  <si>
    <t>210110_01</t>
  </si>
  <si>
    <t>D-085</t>
  </si>
  <si>
    <t>Daikokuten</t>
  </si>
  <si>
    <t>Exalted Mouse</t>
  </si>
  <si>
    <t>The Mouse Dragon, one of the Great Twelve chosen to support Amaterasu. He's cheerful and carefree, and his smile is said to bring luck. Oh, and he likes his mochi soft.</t>
  </si>
  <si>
    <t>https://dragalialost.wiki/w/Daikokuten</t>
  </si>
  <si>
    <t>Clear Ebisu Showdown: Omega 
(A Clawful Caper)</t>
  </si>
  <si>
    <t>Lucky Mallet</t>
  </si>
  <si>
    <t>Combo 1: 170% x 3
Combo 2: 146% x 4
Combo 3: 164% x 5</t>
  </si>
  <si>
    <t>Combo 1: 180% x 3
Combo 2: 150% x 4
Combo 3: 180% x 5</t>
  </si>
  <si>
    <t>(Light) Strength +55%</t>
  </si>
  <si>
    <t>(Light) Flurry Strength +25%</t>
  </si>
  <si>
    <t>210077_01</t>
  </si>
  <si>
    <t>D-121</t>
  </si>
  <si>
    <t>Marishiten</t>
  </si>
  <si>
    <t>Dawning Dragon</t>
  </si>
  <si>
    <t>One of the twelve great dragons that serve Amaterasu. Warlike and possessed of prodigious strength, she is revered amongst warriors as an icon of certain victory. In a cuter touch, she has a number of little boars that follow her around.</t>
  </si>
  <si>
    <t>https://dragalialost.wiki/w/Marishiten</t>
  </si>
  <si>
    <t>Clear Shishimai Showdown: Nightmare 
(Fortune from Afar)</t>
  </si>
  <si>
    <t>Daybreak Flurry</t>
  </si>
  <si>
    <t>Combo 1: 440% x 1
Combo 2: 462% x 1
Combo 3: 244% x 2
Combo 4: 510% x 1
Combo 5: 332% x 2</t>
  </si>
  <si>
    <t>Combo 1: 450% x 1
Combo 2: 470% x 1
Combo 3: 250% x 2
Combo 4: 520% x 1
Combo 5: 350% x 2</t>
  </si>
  <si>
    <t>(Shadow) Strength +60%</t>
  </si>
  <si>
    <t>210091_01</t>
  </si>
  <si>
    <t>D-120</t>
  </si>
  <si>
    <t>Gold Fafnir</t>
  </si>
  <si>
    <t>Gold Gentleman</t>
  </si>
  <si>
    <t>The most popular boy in the Fafnir tribe. He can be a bit pretentious, but makes up for it with his natural leadership ability and penchant for peace. His love for gold crystals is only outweighed by his desperation for human friends.</t>
  </si>
  <si>
    <t>https://dragalialost.wiki/w/Gold_Fafnir_(Dragon)</t>
  </si>
  <si>
    <t>Gold Heal</t>
  </si>
  <si>
    <t>Combo 1: 310% x 1
Combo 2: 310% x 1
Combo 3: 496% x 1</t>
  </si>
  <si>
    <t>Combo 1: 330% x 1
Combo 2: 330% x 1
Combo 3: 500% x 1</t>
  </si>
  <si>
    <t>Rupies +200%</t>
  </si>
  <si>
    <t>Fafnir</t>
  </si>
  <si>
    <t>210090_01</t>
  </si>
  <si>
    <t>D-126</t>
  </si>
  <si>
    <t>Silver Fafnir</t>
  </si>
  <si>
    <t>Silver Sidekick</t>
  </si>
  <si>
    <t>A female fafnir smitten with treasure. She's especially fond of silver crystals, but often finds herself gifting them to humans in hope of winning friendship. Despite her buoyant and big-hearted nature, she's actually quite lonely.</t>
  </si>
  <si>
    <t>https://dragalialost.wiki/w/Silver_Fafnir_(Dragon)</t>
  </si>
  <si>
    <t>Silver Defense</t>
  </si>
  <si>
    <t>Combo 1: 350% x 1
Combo 2: 386% x 1
Combo 3: 490% x 1</t>
  </si>
  <si>
    <t>Combo 1: 350% x 1
Combo 2: 400% x 1
Combo 3: 500% x 1</t>
  </si>
  <si>
    <t>Adventurer EXP +200%</t>
  </si>
  <si>
    <t>210089_01</t>
  </si>
  <si>
    <t>D-127</t>
  </si>
  <si>
    <t>Bronze Fafnir</t>
  </si>
  <si>
    <t>Bronze Buddy</t>
  </si>
  <si>
    <t>A treasure-loving dragon, and the lowest-ranking member of the Fafnir tribe. He loves collecting bronze crystals, but is so desperate for human friends that he gives them all away. Still, this carefree soul isn't one to sweat the details.</t>
  </si>
  <si>
    <t>https://dragalialost.wiki/w/Bronze_Fafnir_(Dragon)</t>
  </si>
  <si>
    <t>Bronze Strength</t>
  </si>
  <si>
    <t>Combo 1: 300% x 1
Combo 2: 330% x 1
Combo 3: 420% x 1</t>
  </si>
  <si>
    <t>Combo 1: 330% x 1
Combo 2: 350% x 1
Combo 3: 430% x 1</t>
  </si>
  <si>
    <t>Adventurer EXP +150%</t>
  </si>
  <si>
    <t>Mana +200%</t>
  </si>
  <si>
    <t>210132_03</t>
  </si>
  <si>
    <t>DN-014</t>
  </si>
  <si>
    <t>Fallen Angel Ramiel</t>
  </si>
  <si>
    <t>The Other Ramiel</t>
  </si>
  <si>
    <t>A dragon sealed in the otherworld bearing a resemblance to Ramiel. Bitter.</t>
  </si>
  <si>
    <t>https://dragalialost.wiki/w/Fallen_Angel_Ramiel_(NPC)</t>
  </si>
  <si>
    <t>(Element) Sinister Dominion</t>
  </si>
  <si>
    <t>Fallen Angels</t>
  </si>
  <si>
    <t>210145_03</t>
  </si>
  <si>
    <t>DN-015</t>
  </si>
  <si>
    <t>Fallen Angel Gabriel</t>
  </si>
  <si>
    <t>The Other Gabriel</t>
  </si>
  <si>
    <t>A dragon sealed in the otherworld bearing a resemblance to Gabriel. Zealous and motherly.</t>
  </si>
  <si>
    <t>https://dragalialost.wiki/w/Fallen_Angel_Gabriel_(NPC)</t>
  </si>
  <si>
    <t>210154_03</t>
  </si>
  <si>
    <t>DN-016</t>
  </si>
  <si>
    <t>Fallen Angel Raphael</t>
  </si>
  <si>
    <t>The Other Raphael</t>
  </si>
  <si>
    <t>A dragon sealed in the otherworld bearing a resemblance to Raphael. Haughty and obsessed with conflict.</t>
  </si>
  <si>
    <t>https://dragalialost.wiki/w/Fallen_Angel_Raphael_(NPC)</t>
  </si>
  <si>
    <t>210163_03</t>
  </si>
  <si>
    <t>DN-017</t>
  </si>
  <si>
    <t>Fallen Angel Uriel</t>
  </si>
  <si>
    <t>The Other Uriel</t>
  </si>
  <si>
    <t>A dragon sealed in the otherworld bearing a resemblance to Uriel.</t>
  </si>
  <si>
    <t>https://dragalialost.wiki/w/Fallen_Angel_Uriel_(NPC)</t>
  </si>
  <si>
    <t>210229_03</t>
  </si>
  <si>
    <t>DN-018</t>
  </si>
  <si>
    <t>Fallen Angel Michael</t>
  </si>
  <si>
    <t>The Other Michael</t>
  </si>
  <si>
    <t>A dragon sealed in the otherworld bearing a resemblance to Michael. More cooperative than other Fallen Angels.</t>
  </si>
  <si>
    <t>https://dragalialost.wiki/w/Fallen_Angel_Michael_(NPC)</t>
  </si>
  <si>
    <t>210147_01</t>
  </si>
  <si>
    <t>D-003</t>
  </si>
  <si>
    <t>Gala Reborn Agni</t>
  </si>
  <si>
    <t>Greedy Encroaching Flame</t>
  </si>
  <si>
    <t>The rapacious dragon Agni, once feared as the Firelord, reborn. His heart resonated with the people's hunger for peace, freeing him from the miasma that once ate away at him. His hunger only burns hotter now, fit to reduce all to ash.</t>
  </si>
  <si>
    <t>https://dragalialost.wiki/w/Gala_Reborn_Agni</t>
  </si>
  <si>
    <t>Clear Chapter 19: Hard 
(Main Campaign)</t>
  </si>
  <si>
    <t>Blazing Strike</t>
  </si>
  <si>
    <t>Combo 1: 290% x 2
Combo 2: 635% x 1
Combo 3: 802% x 1</t>
  </si>
  <si>
    <t>Combo 1: 300% x 2
Combo 2: 650% x 1
Combo 3: 810% x 1</t>
  </si>
  <si>
    <t>(Flame) Fervor of the Firelord II</t>
  </si>
  <si>
    <t>(Element) Reborn From The Void</t>
  </si>
  <si>
    <t>Gala Reborn</t>
  </si>
  <si>
    <t>210134_01</t>
  </si>
  <si>
    <t>D-030</t>
  </si>
  <si>
    <t>Gala Reborn Poseidon</t>
  </si>
  <si>
    <t>Courageous Seafarer</t>
  </si>
  <si>
    <t>Poseidon, the wyrm of legend who ruled the seas, is reborn. After receiving the faith of a maiden, he was freed from the miasma eating away at him. While his boisterous persona is unchanged, he is re-examining his view of people's strength.</t>
  </si>
  <si>
    <t>https://dragalialost.wiki/w/Gala_Reborn_Poseidon</t>
  </si>
  <si>
    <t>Clear Chapter 16: Hard 
(Main Campaign)</t>
  </si>
  <si>
    <t>Atlantean Flood</t>
  </si>
  <si>
    <t>Combo 1: 540% x 1
Combo 2: 594% x 1
Combo 3: 972% x 1</t>
  </si>
  <si>
    <t>Combo 1: 550% x 1
Combo 2: 600% x 1
Combo 3: 1000% x 1</t>
  </si>
  <si>
    <t>(Water) Strength +70%</t>
  </si>
  <si>
    <t>(Water) Fury of the Seas II</t>
  </si>
  <si>
    <t>210143_01</t>
  </si>
  <si>
    <t>D-054</t>
  </si>
  <si>
    <t>Gala Reborn Zephyr</t>
  </si>
  <si>
    <t>Guardian of the Plains</t>
  </si>
  <si>
    <t>Through the belief of the people of the plains, Zephyr has been reborn. Freed from the noxious miasma eating away at his body, his prudence is now tempered with an unwavering will and an open mind.</t>
  </si>
  <si>
    <t>https://dragalialost.wiki/w/Gala_Reborn_Zephyr</t>
  </si>
  <si>
    <t>Clear Chapter 17: Hard 
(Main Campaign)</t>
  </si>
  <si>
    <t>Howling Fury</t>
  </si>
  <si>
    <t>Combo 1: 416% x 1
Combo 2: 424% x 1
Combo 3: 405% x 3</t>
  </si>
  <si>
    <t>Combo 1: 420% x 1
Combo 2: 440% x 1
Combo 3: 420% x 3</t>
  </si>
  <si>
    <t>(Wind) Wrath of the Plains II</t>
  </si>
  <si>
    <t>210144_01</t>
  </si>
  <si>
    <t>D-081</t>
  </si>
  <si>
    <t>Gala Reborn Jeanne</t>
  </si>
  <si>
    <t>Sacred Standard Bearer</t>
  </si>
  <si>
    <t>The dragon maiden who guides all, now freed from miasmal corruption, shines with newfound luster. Inspired by the youth's hopes for a radiant future, she hoists the standard of battle to offer steadfast support to her warriors.</t>
  </si>
  <si>
    <t>https://dragalialost.wiki/w/Gala_Reborn_Jeanne</t>
  </si>
  <si>
    <t>Clear Chapter 18: Hard 
(Main Campaign)</t>
  </si>
  <si>
    <t>Holy Crusade</t>
  </si>
  <si>
    <t>Combo 1: 472% x 1
Combo 2: 520% x 1
Combo 3: 660% x 1</t>
  </si>
  <si>
    <t>Combo 1: 500% x 1
Combo 2: 530% x 1
Combo 3: 680% x 1</t>
  </si>
  <si>
    <t>(Light) Strength +70%</t>
  </si>
  <si>
    <t>(Light) Oath of the Righteous II</t>
  </si>
  <si>
    <t>210155_01</t>
  </si>
  <si>
    <t>D-103</t>
  </si>
  <si>
    <t>Gala Reborn Nidhogg</t>
  </si>
  <si>
    <t>Observer of Life and Death</t>
  </si>
  <si>
    <t>Nidhogg, wicked wyrm with dominion over death itself, reborn into a new form. Freed from wicked miasma by a maiden's determination, he takes a newfound interest in humanity—not just in their ends, as before, but now in their lives as well.</t>
  </si>
  <si>
    <t>https://dragalialost.wiki/w/Gala_Reborn_Nidhogg</t>
  </si>
  <si>
    <t>Clear Chapter 20: Hard 
(Main Campaign)</t>
  </si>
  <si>
    <t>Doomsday Eclipse</t>
  </si>
  <si>
    <t>Combo 1: 496% x 1
Combo 2: 546% x 1
Combo 3a: 208% x 1
Combo 3b: 486% x 1</t>
  </si>
  <si>
    <t>Combo 1: 500% x 1
Combo 2: 550% x 1
Combo 3a: 220% x 1
Combo 3b: 500% x 1</t>
  </si>
  <si>
    <t>(Shadow) Strength +70%</t>
  </si>
  <si>
    <t>(Shadow) Throes of Eternity II</t>
  </si>
  <si>
    <t>210002_01</t>
  </si>
  <si>
    <t>D-022</t>
  </si>
  <si>
    <t>Brunhilda</t>
  </si>
  <si>
    <t>Crimson Sweetheart</t>
  </si>
  <si>
    <t>The Flamewyrm who dwells in Mount Adolla. Known for having a temper like boiling magma, people fear her wrath—or they did, at least, until she fell hard for Euden. She is now entirely devoted to protecting him.</t>
  </si>
  <si>
    <t>https://dragalialost.wiki/w/Brunhilda</t>
  </si>
  <si>
    <t>Clear Chapter 03: Normal 
(Main Campaign)</t>
  </si>
  <si>
    <t>Muspelheim</t>
  </si>
  <si>
    <t>Combo 1: 296% x 1
Combo 2: 326% x 1
Combo 3: 414% x 2</t>
  </si>
  <si>
    <t>Combo 1: 300% x 1
Combo 2: 340% x 1
Combo 3: 430% x 2</t>
  </si>
  <si>
    <t>(Flame) Strength +20%</t>
  </si>
  <si>
    <t>(Element) HP &amp; Strength +25%</t>
  </si>
  <si>
    <t>Greatwyrm</t>
  </si>
  <si>
    <t>210003_01</t>
  </si>
  <si>
    <t>D-045</t>
  </si>
  <si>
    <t>Mercury</t>
  </si>
  <si>
    <t>Aquatic Guardian</t>
  </si>
  <si>
    <t>This protector of Saint Lotier has lived in the nearby waters since antiquity and watched over its people. She once had fins to better dwell in the water but eventually chose to walk among humans, and so she obtained four legs via magic.</t>
  </si>
  <si>
    <t>https://dragalialost.wiki/w/Mercury</t>
  </si>
  <si>
    <t>Clear Chapter 02: Normal 
(Main Campaign)</t>
  </si>
  <si>
    <t>Hydrocannon</t>
  </si>
  <si>
    <t>Combo 1: 352% x 1
Combo 2: 388% x 1
Combo 3a: 148% x 1
Combo 3b: 346% x 1</t>
  </si>
  <si>
    <t>Combo 1: 360% x 1
Combo 2: 400% x 1
Combo 3a: 160% x 1
Combo 3b: 350% x 1</t>
  </si>
  <si>
    <t>(Water) HP +20%</t>
  </si>
  <si>
    <t>210001_01</t>
  </si>
  <si>
    <t>D-072</t>
  </si>
  <si>
    <t>Midgardsormr</t>
  </si>
  <si>
    <t>Stormbound Ally</t>
  </si>
  <si>
    <t>The Windwyrm, a long resident of the Mistholt. The first dragon to personally meet Alberius, he supported him with his extensive knowledge. Stern but fair, he can manipulate weather and is often referred to as the lord of storms.</t>
  </si>
  <si>
    <t>https://dragalialost.wiki/w/Midgardsormr</t>
  </si>
  <si>
    <t>Clear Chapter 01: Normal 
(Main Campaign)</t>
  </si>
  <si>
    <t>Tornado Tail</t>
  </si>
  <si>
    <t>Combo 1: 296% x 1
Combo 2: 326% x 1
Combo 3: 414% x 1</t>
  </si>
  <si>
    <t>Combo 1: 300% x 1
Combo 2: 350% x 1
Combo 3: 430% x 1</t>
  </si>
  <si>
    <t>(Wind) HP &amp; Strength +15%</t>
  </si>
  <si>
    <t>210004_01</t>
  </si>
  <si>
    <t>D-098</t>
  </si>
  <si>
    <t>Jupiter</t>
  </si>
  <si>
    <t>Capricious Scamp</t>
  </si>
  <si>
    <t>The Lightwyrm who rules the thundery skies and has guided countless heroes. The lightning made by his body makes people dream of reaching the heavens. He is rather capricious and hedonistic, perhaps because he was born a superior being.</t>
  </si>
  <si>
    <t>https://dragalialost.wiki/w/Jupiter</t>
  </si>
  <si>
    <t>Clear Chapter 04: Normal 
(Main Campaign)</t>
  </si>
  <si>
    <t>Lightning Rood</t>
  </si>
  <si>
    <t>Combo 1: 264% x 1
Combo 2: 292% x 1
Combo 3: 370% x 2</t>
  </si>
  <si>
    <t>Combo 1: 280% x 1
Combo 2: 300% x 1
Combo 3: 380% x 2</t>
  </si>
  <si>
    <t>(Light) HP &amp; Strength +15%</t>
  </si>
  <si>
    <t>210005_01</t>
  </si>
  <si>
    <t>D-130</t>
  </si>
  <si>
    <t>Zodiark</t>
  </si>
  <si>
    <t>Accursed Vessel</t>
  </si>
  <si>
    <t>The Shadowwyrm, a feared legend in South Grastaea who has personally put an end to many a dynasty. People's resentment has gradually rotted away both his flesh and his bone—but his soul has fused with that of King Aurelius.</t>
  </si>
  <si>
    <t>https://dragalialost.wiki/w/Zodiark</t>
  </si>
  <si>
    <t>Clear Chapter 05: Normal 
(Main Campaign)</t>
  </si>
  <si>
    <t>Accursed Venom</t>
  </si>
  <si>
    <t>Combo 1: 336% x 1
Combo 2: 370% x 1
Combo 3: 140% x 1
Combo 3: 330% x 1</t>
  </si>
  <si>
    <t>Combo 1: 350% x 1
Combo 2: 380% x 1
Combo 3: 150% x 1
Combo 3: 350% x 1</t>
  </si>
  <si>
    <t>(Shadow) Strength +20%</t>
  </si>
  <si>
    <t>210039_01</t>
  </si>
  <si>
    <t>D-018</t>
  </si>
  <si>
    <t>High Brunhilda</t>
  </si>
  <si>
    <t>Crimson Companion</t>
  </si>
  <si>
    <t>The form of the Flamewyrm Brunhilda after releasing her hidden powers. Wreathed in crimson fire, she incinerates anything in range— except, of course, for Euden, for whom the flames of love burn even hotter.</t>
  </si>
  <si>
    <t>https://dragalialost.wiki/w/High_Brunhilda</t>
  </si>
  <si>
    <t>Clear High Brunhilda's Trial: Standard 
(Advanced Dragon Trials)</t>
  </si>
  <si>
    <t>Crimson Inferno</t>
  </si>
  <si>
    <t>Combo 1: 540% x 1
Combo 2: 594% x 1
Combo 3: 756% x 2</t>
  </si>
  <si>
    <t>Combo 1: 550% x 1
Combo 2: 600% x 1
Combo 3: 770% x 2</t>
  </si>
  <si>
    <t>(Element) HP &amp; Strength +40%</t>
  </si>
  <si>
    <t>Dragon Time +20% &amp; (Element) Surge of Strength +40%</t>
  </si>
  <si>
    <t>High Greatwyrm</t>
  </si>
  <si>
    <t>210040_01</t>
  </si>
  <si>
    <t>D-041</t>
  </si>
  <si>
    <t>High Mercury</t>
  </si>
  <si>
    <t>Compassionate Soul</t>
  </si>
  <si>
    <t>The Waterwyrm Mercury after releasing her true powers. Her immense mana acts as a great current that coats her body. With the kindness to protect those she cares for—and the strength to repel all threats—she's a truly wondrous dragon.</t>
  </si>
  <si>
    <t>https://dragalialost.wiki/w/High_Mercury</t>
  </si>
  <si>
    <t>Clear High Mercury's Trial: Standard 
(Advanced Dragon Trials)</t>
  </si>
  <si>
    <t>Aqua Spiral</t>
  </si>
  <si>
    <t>Combo 1: 400% x 1
Combo 2: 520% x 1
Combo 3a: 400% x 1
Combo 3b: 560% x 1</t>
  </si>
  <si>
    <t>Combo 1: 400% x 1
Combo 2: 540% x 1
Combo 3a: 400% x 1
Combo 3b: 560% x 1</t>
  </si>
  <si>
    <t>210038_01</t>
  </si>
  <si>
    <t>D-068</t>
  </si>
  <si>
    <t>High Midgardsormr</t>
  </si>
  <si>
    <t>Conductor of Storms</t>
  </si>
  <si>
    <t>Windwyrm Midgardsormr's form after releasing his true powers. With a beat of his wings, he can conjure frightful gales, scattering all in his wake. He uses his vast knowledge and power to defend the kingdom founded by his old master.</t>
  </si>
  <si>
    <t>https://dragalialost.wiki/w/High_Midgardsormr</t>
  </si>
  <si>
    <t>Clear High Midgardsormr's Trial: Standard 
(Advanced Dragon Trials)</t>
  </si>
  <si>
    <t>Grand Tempest</t>
  </si>
  <si>
    <t>Combo 1: 416% x 1
Combo 2: 458% x 1
Combo 3: 582% x 1</t>
  </si>
  <si>
    <t>Combo 1: 420% x 1
Combo 2: 480% x 1
Combo 3: 600% x 1</t>
  </si>
  <si>
    <t>210041_01</t>
  </si>
  <si>
    <t>D-093</t>
  </si>
  <si>
    <t>High Jupiter</t>
  </si>
  <si>
    <t>Radiant Hedonist</t>
  </si>
  <si>
    <t>The Lightwyrm after releasing his true powers. The vast mana flowing from his body clashes with itself in the air, cloaking his body in flashing light. His lightning makes the sky tremble and is feared as "wrath of the heavens."</t>
  </si>
  <si>
    <t>https://dragalialost.wiki/w/High_Jupiter</t>
  </si>
  <si>
    <t>Clear High Jupiter's Trial: Standard 
(Advanced Dragon Trials)</t>
  </si>
  <si>
    <t>Primal Thunder</t>
  </si>
  <si>
    <t>Combo 1: 440% x 1
Combo 2: 484% x 1
Combo 3: 748% x 1</t>
  </si>
  <si>
    <t>Combo 1: 450% x 1
Combo 2: 500% x 1
Combo 3: 750% x 1</t>
  </si>
  <si>
    <t>210042_01</t>
  </si>
  <si>
    <t>D-124</t>
  </si>
  <si>
    <t>High Zodiark</t>
  </si>
  <si>
    <t>Lord of Shadow</t>
  </si>
  <si>
    <t>The Shadowwyrm after releasing his true powers. He transforms the spite consuming him into dark mana, spawning bottomless shadows that engulf any who seek to harm those he cares for.</t>
  </si>
  <si>
    <t>https://dragalialost.wiki/w/High_Zodiark</t>
  </si>
  <si>
    <t>Clear High Zodiark's Trial: Standard 
(Advanced Dragon Trials)</t>
  </si>
  <si>
    <t>Obsidian Ray</t>
  </si>
  <si>
    <t>Combo 1: 460% x 1
Combo 2: 598% x 1
Combo 3a: 262% x 1
Combo 3b: 610% x 1</t>
  </si>
  <si>
    <t>Combo 1: 460% x 1
Combo 2: 600% x 1
Combo 3a: 280% x 1
Combo 3b: 630% x 1</t>
  </si>
  <si>
    <t>210006_01</t>
  </si>
  <si>
    <t>D-021</t>
  </si>
  <si>
    <t>Phoenix</t>
  </si>
  <si>
    <t>Bewitching Immortal</t>
  </si>
  <si>
    <t>A dragon with the power of reincarnation. Her beautiful female form doesn't age or wither, and it's said that even if she did die, she would soon be reborn in fire. Many seek her out to learn the secret to her eternal youth and immortality.</t>
  </si>
  <si>
    <t>https://dragalialost.wiki/w/Phoenix</t>
  </si>
  <si>
    <t>Clear Brunhilda's Trial: Expert 
(Dragon Trials)</t>
  </si>
  <si>
    <t>Regeneration Flame</t>
  </si>
  <si>
    <t>Combo 1: 408% x 1
Combo 2a: 134% x 1
Combo 2b: 316% x 1
Combo 3: 572% x 1</t>
  </si>
  <si>
    <t>Combo 1: 420% x 1
Combo 2a: 150% x 1
Combo 2b: 330% x 1
Combo 3: 600% x 1</t>
  </si>
  <si>
    <t>(Flame) HP +45%</t>
  </si>
  <si>
    <t>(Element) HP +65% &amp; Overdrive Punisher +65%</t>
  </si>
  <si>
    <t>(Element) Surge of Strength +60%</t>
  </si>
  <si>
    <t>HP &amp; Overdrive</t>
  </si>
  <si>
    <t>210081_01</t>
  </si>
  <si>
    <t>D-036</t>
  </si>
  <si>
    <t>Simurgh</t>
  </si>
  <si>
    <t>Caring Mother</t>
  </si>
  <si>
    <t>A motherly dragon living a quiet life in the forest. She has been warming the same egg for many hundreds of years, eagerly awaiting the first signs of hatching. To threaten her egg is to incur both a dragon's and a mother's wrath.</t>
  </si>
  <si>
    <t>https://dragalialost.wiki/w/Simurgh</t>
  </si>
  <si>
    <t>Upgrade the Dragoñata to Lv. 35 
(The Hunt for Harmony)</t>
  </si>
  <si>
    <t>Rainbow Bubbles</t>
  </si>
  <si>
    <t>Combo 1: 360% x 1
Combo 2: 342% x 2
Combo 3: 756% x 1</t>
  </si>
  <si>
    <t>Combo 1: 360% x 1
Combo 2: 360% x 2
Combo 3: 770% x 1</t>
  </si>
  <si>
    <t>(Element) HP +60% &amp; Surge of Strength III</t>
  </si>
  <si>
    <t>(Element) Overdrive Punisher +65%</t>
  </si>
  <si>
    <t>210036_01</t>
  </si>
  <si>
    <t>D-066</t>
  </si>
  <si>
    <t>Garuda</t>
  </si>
  <si>
    <t>Prideful Gale</t>
  </si>
  <si>
    <t>A dragon once revered as a god of protection in a certain village. Though haughty and stand-offish, she secretly wants to be close with those around her. She often acts on emotion, but is ultimately kindhearted and quite responsible.</t>
  </si>
  <si>
    <t>https://dragalialost.wiki/w/Garuda</t>
  </si>
  <si>
    <t>Upgrade the Wind Shrine to Lv. 35 
(A Wish to the Winds)</t>
  </si>
  <si>
    <t>Tempestuous Kiss</t>
  </si>
  <si>
    <t>Combo 1: 380% x 1
Combo 2a: 126% x 1
Combo 2b: 292% x 1
Combo 3: 572% x 1</t>
  </si>
  <si>
    <t>Combo 1: 400% x 1
Combo 2a: 130% x 1
Combo 2b: 300% x 1
Combo 3: 580% x 1</t>
  </si>
  <si>
    <t>(Element) HP +65%</t>
  </si>
  <si>
    <t>(Element) Surge of Strength IV</t>
  </si>
  <si>
    <t>210020_01</t>
  </si>
  <si>
    <t>D-094</t>
  </si>
  <si>
    <t>Jeanne d'Arc</t>
  </si>
  <si>
    <t>Standard Bearer</t>
  </si>
  <si>
    <t>A merciful, eternal knight about whom legends abound, she takes the form of a young maiden. She's said to appear whenever people are suffering—be it from corrupt government or fiend invasions—and lead them to salvation.</t>
  </si>
  <si>
    <t>https://dragalialost.wiki/w/Jeanne_d'Arc</t>
  </si>
  <si>
    <t>Clear Void Jeanne d'Arc Strike: Standard 
(Void Battles)</t>
  </si>
  <si>
    <t>Saint's Banner</t>
  </si>
  <si>
    <t>Combo 1: 790% x 1
Combo 2: 540% x 1
Combo 3: 670% x 1</t>
  </si>
  <si>
    <t>210015_01</t>
  </si>
  <si>
    <t>D-128</t>
  </si>
  <si>
    <t>Silke</t>
  </si>
  <si>
    <t>Friend Eternal</t>
  </si>
  <si>
    <t>A dragon adorned in a silk dress who once lived and worked among humans. Saddened by the brevity of human life, she took up taxidermy to preserve her friends for eternity. Once she opens up to someone, she actually gets kind of needy.</t>
  </si>
  <si>
    <t>https://dragalialost.wiki/w/Silke</t>
  </si>
  <si>
    <t>Clear Zodiark's Trial: Standard 
(Dragon Trials)</t>
  </si>
  <si>
    <t>Terror Sphere</t>
  </si>
  <si>
    <t>Combo 1a: 106% x 1
Combo 1b: 246% x 1
Combo 2a: 116% x 1
Combo 2b: 270% x 1
Combo 3a: 148% x 1
Combo 3b: 346% x 1</t>
  </si>
  <si>
    <t>Combo 1a: 120% x 1
Combo 1b: 250% x 1
Combo 2a: 130% x 1
Combo 2b: 280% x 1
Combo 3a: 150% x 1
Combo 3b: 350% x 1</t>
  </si>
  <si>
    <t>(Shadow) HP &amp; Strength +20%</t>
  </si>
  <si>
    <t>210007_01</t>
  </si>
  <si>
    <t>D-020</t>
  </si>
  <si>
    <t>Ifrit</t>
  </si>
  <si>
    <t>Ferocious Fighter</t>
  </si>
  <si>
    <t>A ferocious dragon that prowls the wastelands of Kleifheim in search of the strong, challenging all he deems worthy of combat. Dauntless and reckless, he hates losing more than anything. Once he's excited, nothing can calm him.</t>
  </si>
  <si>
    <t>https://dragalialost.wiki/w/Ifrit</t>
  </si>
  <si>
    <t>Clear Brunhilda's Trial: Standard 
(Dragon Trials)</t>
  </si>
  <si>
    <t>Lava Cascade</t>
  </si>
  <si>
    <t>Combo 1: 360% x 1
Combo 2: 396% x 1
Combo 3: 504% x 1</t>
  </si>
  <si>
    <t>Combo 1: 370% x 1
Combo 2: 400% x 1
Combo 3: 520% x 1</t>
  </si>
  <si>
    <t>(Flame) Strength +45%</t>
  </si>
  <si>
    <t>HP &amp; Strength</t>
  </si>
  <si>
    <t>210025_01</t>
  </si>
  <si>
    <t>D-042</t>
  </si>
  <si>
    <t>Poseidon</t>
  </si>
  <si>
    <t>Ocean Voyager</t>
  </si>
  <si>
    <t>A dragon of legend who dominates the seas of South Grastaea. Worshipped by sailors, his iron confidence gives him a broadminded personality. He particularly likes adventurous youths, giving them both advice (wanted or not) and protection.</t>
  </si>
  <si>
    <t>https://dragalialost.wiki/w/Poseidon</t>
  </si>
  <si>
    <t>Clear Void Poseidon Strike: Standard 
(Void Battles)</t>
  </si>
  <si>
    <t>Poseidon's Trident</t>
  </si>
  <si>
    <t>Combo 1: 360% x 1
Combo 2: 400% x 1
Combo 3: 500% x 1</t>
  </si>
  <si>
    <t>(Element) Surge of Strength II</t>
  </si>
  <si>
    <t>210050_01</t>
  </si>
  <si>
    <t>D-071</t>
  </si>
  <si>
    <t>Roc</t>
  </si>
  <si>
    <t>Grand Mercenary</t>
  </si>
  <si>
    <t>A mercenary dragon who lends aid to warriors. She once wandered the battlefields of South Grastaea with a previous master and speaks fondly of those times. Though usually calm, she tends to lose her composure in battle.</t>
  </si>
  <si>
    <t>https://dragalialost.wiki/w/Roc</t>
  </si>
  <si>
    <t>Clear Midgardsormr's Trial: Expert 
(Dragon Trials)</t>
  </si>
  <si>
    <t>Tactical Vortex</t>
  </si>
  <si>
    <t>(Wind) Strength +45%</t>
  </si>
  <si>
    <t>210043_01</t>
  </si>
  <si>
    <t>D-088</t>
  </si>
  <si>
    <t>Liger</t>
  </si>
  <si>
    <t>King of the Big Top</t>
  </si>
  <si>
    <t>A beastly, imposing dragon. Despite his fierce appearance, he's actually quite fun-loving. He puts on performances at the circus that overflow with charm, but on the battlefield, he rends foes apart with sharp fang and claw.</t>
  </si>
  <si>
    <t>https://dragalialost.wiki/w/Liger</t>
  </si>
  <si>
    <t>Upgrade the Circus Tent to Lv. 35 
(Dream Big Under the Big Top)</t>
  </si>
  <si>
    <t>Lightning Blitz</t>
  </si>
  <si>
    <t>210019_01</t>
  </si>
  <si>
    <t>D-125</t>
  </si>
  <si>
    <t>Nidhogg</t>
  </si>
  <si>
    <t>Death's Reveler</t>
  </si>
  <si>
    <t>A dragon that rules over death. It's not so much that he enjoys murder, but he does thrive off the strong emotions of the doomed. As such, he appears in times of plague, war, and disaster, making him much feared as an ill omen.</t>
  </si>
  <si>
    <t>https://dragalialost.wiki/w/Nidhogg</t>
  </si>
  <si>
    <t>Clear Void Nidhogg Strike: Standard 
(Void Battles)</t>
  </si>
  <si>
    <t>Total Eclipse</t>
  </si>
  <si>
    <t>210133_01</t>
  </si>
  <si>
    <t>D-005</t>
  </si>
  <si>
    <t>Mini Hildy</t>
  </si>
  <si>
    <t>First &amp; Last</t>
  </si>
  <si>
    <t>I'm Brunhilda! A dragon! But I'm hopelessly in love with a human! ...Huh? What do you mean, skip that part? Darling makes me who I am! So if you cut ANY of this, I'm gonna (REDACTED). ...Anyway, great to be with you!</t>
  </si>
  <si>
    <t>https://dragalialost.wiki/w/Mini_Hildy</t>
  </si>
  <si>
    <t>Exchange for 5,000 Rupies from Treasure Trade</t>
  </si>
  <si>
    <t>Celebratory Blast</t>
  </si>
  <si>
    <t>Combo 1: 300% x 1
Combo 2: 380% x 1
Combo 3: 520% x 1</t>
  </si>
  <si>
    <t>Combo 1: 300% x 1
Combo 2: 400% x 1
Combo 3: 550% x 1</t>
  </si>
  <si>
    <t>Mini Greatwyrm</t>
  </si>
  <si>
    <t>210146_01</t>
  </si>
  <si>
    <t>D-028</t>
  </si>
  <si>
    <t>Mini Mercs</t>
  </si>
  <si>
    <t>Mama to All</t>
  </si>
  <si>
    <t>I am Mercury, steward of the vast ocean and... Hmm? Mama? Is that a nickname, like Mym? Ha ha! I'm deeply flattered. Very well, then. You may call me Mama—but only if you stop shouting it over and over again!</t>
  </si>
  <si>
    <t>https://dragalialost.wiki/w/Mini_Mercs</t>
  </si>
  <si>
    <t>Tidal Jubilation</t>
  </si>
  <si>
    <t>Combo 1: 280% x 1
Combo 2: 300% x 1
Combo 3: 140% x 8</t>
  </si>
  <si>
    <t>Combo 1: 300% x 1
Combo 2: 300% x 1
Combo 3: 150% x 8</t>
  </si>
  <si>
    <t>210111_01</t>
  </si>
  <si>
    <t>D-060</t>
  </si>
  <si>
    <t>Mini Mids</t>
  </si>
  <si>
    <t>Tiny Typhoon</t>
  </si>
  <si>
    <t>What am I, you ask? Why, is something amiss? I find this to be a rather sudden query. Still, I am the Windwyrm, Midgardsormr, a fount of knowledge and the dragon bound to you by the pact. I am nothing more.</t>
  </si>
  <si>
    <t>https://dragalialost.wiki/w/Mini_Mids</t>
  </si>
  <si>
    <t>Celebratory Storm</t>
  </si>
  <si>
    <t>Combo 1: 300% x 1
Combo 2: 390% x 1
Combo 3: 510% x 1</t>
  </si>
  <si>
    <t>Combo 1: 300% x 1
Combo 2: 400% x 1
Combo 3: 530% x 1</t>
  </si>
  <si>
    <t>210166_01</t>
  </si>
  <si>
    <t>D-078</t>
  </si>
  <si>
    <t>Mini Jupi</t>
  </si>
  <si>
    <t>The Most Handsome Boy</t>
  </si>
  <si>
    <t>Hi there! The name's Jupiter, the most perfect, most handsome dragon in the whole world. You ever need an ear to talk to, mine are all yours. That's what friends do, right? Oh, and TOTALLY off topic, but mind signing this contract?</t>
  </si>
  <si>
    <t>https://dragalialost.wiki/w/Mini_Jupi</t>
  </si>
  <si>
    <t>Celebratory Surge</t>
  </si>
  <si>
    <t>Combo 1: 200% x 3
Combo 2: 400% x 2
Combo 3: 100% x 8</t>
  </si>
  <si>
    <t>Combo 1: 200% x 3
Combo 2: 400% x 2
Combo 3: 120% x 8</t>
  </si>
  <si>
    <t>210127_01</t>
  </si>
  <si>
    <t>D-112</t>
  </si>
  <si>
    <t>Mini Zodi</t>
  </si>
  <si>
    <t>Little Slice of Awkward</t>
  </si>
  <si>
    <t>An introduction? Er, yes! Right. Ahem... Well, when it comes to insects, I like butterflies. And ants. Yes, ants are also quite nice. Also... Let me see... Oh, right! My name! You may call me Mini Zodi, if you like.</t>
  </si>
  <si>
    <t>https://dragalialost.wiki/w/Mini_Zodi</t>
  </si>
  <si>
    <t>Jubilant Catastrophe</t>
  </si>
  <si>
    <t>Combo 1: 360% x 1
Combo 2: 390% x 1
Combo 3a: 168% x 1
Combo 3b: 392% x 1</t>
  </si>
  <si>
    <t>Combo 1: 360% x 1
Combo 2: 400% x 1
Combo 3a: 180% x 1
Combo 3b: 400% x 1</t>
  </si>
  <si>
    <t>210177_01</t>
  </si>
  <si>
    <t>D-001</t>
  </si>
  <si>
    <t>Primal Brunhilda</t>
  </si>
  <si>
    <t>Awakened Flamewyrm</t>
  </si>
  <si>
    <t>The Flamewyrm Brunhilda with her regained primal powers. Cloaked in brilliant flame, she is fire incarnate, and burns all who oppose her to ash. Her passion burns stronger still as she stands by her beloved on the battlefield.</t>
  </si>
  <si>
    <t>https://dragalialost.wiki/w/Primal_Brunhilda</t>
  </si>
  <si>
    <t>Clear Primal Brunhilda's Trial: Expert 
(Primal Dragon Trials)</t>
  </si>
  <si>
    <t>Awakened Blaze</t>
  </si>
  <si>
    <t>Combo 1: 568% x 1
Combo 2: 964% x 1
Combo 3: 676% x 4
Combo 4: 1826% x 1</t>
  </si>
  <si>
    <t>Combo 1: 575% x 1
Combo 2: 975% x 1
Combo 3: 675% x 4
Combo 4: 1850% x 1</t>
  </si>
  <si>
    <t>(Flame) Strength +100%</t>
  </si>
  <si>
    <t>Incinerating Ardor II</t>
  </si>
  <si>
    <t>(Element) Strength +100%</t>
  </si>
  <si>
    <t>Primal Greatwyrm</t>
  </si>
  <si>
    <t>210131_01</t>
  </si>
  <si>
    <t>DN-004</t>
  </si>
  <si>
    <t>Primal Midgardsormr</t>
  </si>
  <si>
    <t>Awakened Windwyrm</t>
  </si>
  <si>
    <t>https://dragalialost.wiki/w/Primal_Midgardsormr</t>
  </si>
  <si>
    <t>Clear Primal Midgardsormr's Trial: Expert (Primal Dragon Trials)</t>
  </si>
  <si>
    <t>Primal Might II</t>
  </si>
  <si>
    <t>120247_01</t>
  </si>
  <si>
    <t>DN-005</t>
  </si>
  <si>
    <t>Primal Mercury</t>
  </si>
  <si>
    <t>Awakened Waterwyrm</t>
  </si>
  <si>
    <t>https://dragalialost.wiki/w/Primal_Mercury</t>
  </si>
  <si>
    <t>Clear Primal Mercury's Trial: Expert (Primal Dragon Trials)</t>
  </si>
  <si>
    <t>120248_01</t>
  </si>
  <si>
    <t>DN-006</t>
  </si>
  <si>
    <t>Primal Jupiter</t>
  </si>
  <si>
    <t>Awakened Lightwyrm</t>
  </si>
  <si>
    <t>https://dragalialost.wiki/w/Primal_Jupiter</t>
  </si>
  <si>
    <t>Clear Primal Jupiter's Trial: Expert (Primal Dragon Trials)</t>
  </si>
  <si>
    <t>120249_01</t>
  </si>
  <si>
    <t>DN-007</t>
  </si>
  <si>
    <t>Primal Zodiark</t>
  </si>
  <si>
    <t>Awakened Shadowwyrm</t>
  </si>
  <si>
    <t>https://dragalialost.wiki/w/Primal_Zodiark</t>
  </si>
  <si>
    <t>Clear Primal Zodiark's Trial: Expert (Primal Dragon Trials)</t>
  </si>
  <si>
    <t>210107_01</t>
  </si>
  <si>
    <t>D-010</t>
  </si>
  <si>
    <t>Kagutsuchi</t>
  </si>
  <si>
    <t>Incandescent General</t>
  </si>
  <si>
    <t>A fiery dragon from southern Hinomoto. Born in a volcano, his flame-hardened body renders all but the most powerful attacks null. If you meet him off the battlefield, he will likely treat you to his homeland's famous fried chicken.</t>
  </si>
  <si>
    <t>https://dragalialost.wiki/w/Kagutsuchi</t>
  </si>
  <si>
    <t>Clear Agni's Trial: Standard 
(Trials of the Mighty)</t>
  </si>
  <si>
    <t>Coruscating Flames</t>
  </si>
  <si>
    <t>Combo 1: 400% x 1
Combo 2: 500% x 1
Combo 3a: 350% x 1
Combo 3b: 825% x 1</t>
  </si>
  <si>
    <t>Combo 1: 400% x 1
Combo 2: 500% x 1
Combo 3a: 360% x 1
Combo 3b: 850% x 1</t>
  </si>
  <si>
    <t>(Element) Strength +45% &amp; Surge of Strength II</t>
  </si>
  <si>
    <t>(Flame) Primed Strength +15%</t>
  </si>
  <si>
    <t>(Element) Strength +50% &amp; Overdrive Punisher +50%</t>
  </si>
  <si>
    <t>(Element) Surge of Strength +40% &amp; Primed Strength +15%</t>
  </si>
  <si>
    <t>Primed Overdrive</t>
  </si>
  <si>
    <t>210109_01</t>
  </si>
  <si>
    <t>D-034</t>
  </si>
  <si>
    <t>Kamuy</t>
  </si>
  <si>
    <t>Guardian Wolf</t>
  </si>
  <si>
    <t>A noble-minded dragon hailing from the snowy plains of northern Hinomoto. His white fur gives off a faint light that's said to drive away evil, and the people of his land revere him as their protector.</t>
  </si>
  <si>
    <t>https://dragalialost.wiki/w/Kamuy</t>
  </si>
  <si>
    <t>Clear Kamuy's Trial: Standard 
(Trials of the Mighty)</t>
  </si>
  <si>
    <t>White Land</t>
  </si>
  <si>
    <t>Combo 1: 380% x 1
Combo 2: 418% x 1
Combo 3: 836% x 1</t>
  </si>
  <si>
    <t>Combo 1: 400% x 1
Combo 2: 420% x 1
Combo 3: 850% x 1</t>
  </si>
  <si>
    <t>(Water) Primed Strength +15%</t>
  </si>
  <si>
    <t>210105_01</t>
  </si>
  <si>
    <t>D-059</t>
  </si>
  <si>
    <t>Hastur</t>
  </si>
  <si>
    <t>The Whisperer in Darkness</t>
  </si>
  <si>
    <t>A dragon who controls the denizens of a remote border village. He is said to grant the blessing of immortality to those who truly seek it, but the truth of this remains unknown. He seeks a key that will open a gate leading to the Ancient One.</t>
  </si>
  <si>
    <t>https://dragalialost.wiki/w/Hastur</t>
  </si>
  <si>
    <t>Clear All-Out Assault: EX 
(Stirring Shadows)</t>
  </si>
  <si>
    <t>Void Volley</t>
  </si>
  <si>
    <t>Combo 1: 380% x 1
Combo 2: 456% x 1
Combo 3: 684% x 1</t>
  </si>
  <si>
    <t>Combo 1: 400% x 1
Combo 2: 460% x 1
Combo 3: 700% x 1</t>
  </si>
  <si>
    <t>(Wind) Primed Strength +15%</t>
  </si>
  <si>
    <t>210051_01</t>
  </si>
  <si>
    <t>D-087</t>
  </si>
  <si>
    <t>Takemikazuchi</t>
  </si>
  <si>
    <t>Unrivaled Wrestler</t>
  </si>
  <si>
    <t>A dragon revered in Hinomoto. The lightning surging from his body is recognized as a symbol of power by warriors across the land. Especially famous for his grappling, he's said to be the founder of sumo.</t>
  </si>
  <si>
    <t>https://dragalialost.wiki/w/Takemikazuchi</t>
  </si>
  <si>
    <t>Clear Battle at Myriage Lake: Master 
(The Imperial Onslaught)</t>
  </si>
  <si>
    <t>Thunderous Charge</t>
  </si>
  <si>
    <t>Combo 1: 306% x 1
Combo 2: 336% x 1
Combo 3: 688% x 1</t>
  </si>
  <si>
    <t>Combo 1: 320% x 1
Combo 2: 350% x 1
Combo 3: 700% x 1</t>
  </si>
  <si>
    <t>(Element) Overdrive Punisher +30%</t>
  </si>
  <si>
    <t>210083_01</t>
  </si>
  <si>
    <t>D-110</t>
  </si>
  <si>
    <t>Barbatos</t>
  </si>
  <si>
    <t>Wyrmbound Dragon</t>
  </si>
  <si>
    <t>The true form of a dragon fused to a human by the Syndicate, a mysterious organization active in dark corners of the world. While dark magic chains this dragon to a human form, it eagerly awaits a chance to be set free…</t>
  </si>
  <si>
    <t>https://dragalialost.wiki/w/Barbatos</t>
  </si>
  <si>
    <t>Clear Aspidochelone Clash: Expert 
(Scars of the Syndicate)</t>
  </si>
  <si>
    <t>Ground Shaker</t>
  </si>
  <si>
    <t>Combo 1: 340% x 1
Combo 2: 374% x 1
Combo 3: 290% x 2</t>
  </si>
  <si>
    <t>Combo 1: 350% x 1
Combo 2: 400% x 1
Combo 3: 300% x 2</t>
  </si>
  <si>
    <t>(Shadow) HP Below 30% = Strength +40%</t>
  </si>
  <si>
    <t>210052_01</t>
  </si>
  <si>
    <t>D-014</t>
  </si>
  <si>
    <t>Prometheus</t>
  </si>
  <si>
    <t>Reclusive Flame</t>
  </si>
  <si>
    <t>A powerful dragon who inherited the Primal Flame. He believes the strong have a duty to protect the weak, yet his great power once hurt those he swore to save. Ever since that day, he has kept his distance from humanity.</t>
  </si>
  <si>
    <t>https://dragalialost.wiki/w/Prometheus</t>
  </si>
  <si>
    <t>Clear All-Out Assault 10 Times 
(Valentine's Confections)</t>
  </si>
  <si>
    <t>Promethean Flame</t>
  </si>
  <si>
    <t>Combo 1: 320% x 1
Combo 2: 352% x 1
Combo 3: 448% x 1</t>
  </si>
  <si>
    <t>Combo 1: 330% x 1
Combo 2: 370% x 1
Combo 3: 460% x 1</t>
  </si>
  <si>
    <t>(Flame) Strength &amp; Wind Res VI</t>
  </si>
  <si>
    <t>(Element) Strength +55% &amp; Vengeful Counter</t>
  </si>
  <si>
    <t>(Element) Surge of Strength +30% &amp; Counter Res +15%</t>
  </si>
  <si>
    <t>Resistant Counter</t>
  </si>
  <si>
    <t>210137_01</t>
  </si>
  <si>
    <t>D-053</t>
  </si>
  <si>
    <t>Menoetius</t>
  </si>
  <si>
    <t>Raging Wind</t>
  </si>
  <si>
    <t>A dragon who believes that might makes right. He casts off the weak as worthless garbage, sparing no mercy even for his would-be allies. He travels in search of battles that will amuse him, leaving the ravages of conflict in his wake.</t>
  </si>
  <si>
    <t>https://dragalialost.wiki/w/Menoetius</t>
  </si>
  <si>
    <t>Clear All-Out Assault: EX 
(Romance Under Siege)</t>
  </si>
  <si>
    <t>Menoetius's Devastation</t>
  </si>
  <si>
    <t>Combo 1: 170% x 3
Combo 2: 192% x 3
Combo 3: 351% x 3</t>
  </si>
  <si>
    <t>Combo 1: 180% x 3
Combo 2: 200% x 3
Combo 3: 360% x 3</t>
  </si>
  <si>
    <t>(Wind) Strength &amp; Water Res V</t>
  </si>
  <si>
    <t>(Wind) Vengeful Strength &amp; Counter II</t>
  </si>
  <si>
    <t>210048_01</t>
  </si>
  <si>
    <t>D-091</t>
  </si>
  <si>
    <t>Gilgamesh</t>
  </si>
  <si>
    <t>Supreme Ruler</t>
  </si>
  <si>
    <t>A dragon known as the king of kings. He is said to have once ruled the world, and his achievements live on in legend. Nary a single shadow can exist before the great power he possesses.</t>
  </si>
  <si>
    <t>https://dragalialost.wiki/w/Gilgamesh</t>
  </si>
  <si>
    <t>Clear High Jupiter's Trial: Prelude 
(Advanced Dragon Trials)</t>
  </si>
  <si>
    <t>Subjugating Sword</t>
  </si>
  <si>
    <t>Combo 1: 160% x 2
Combo 2: 88% x 4
Combo 3: 74% x 6</t>
  </si>
  <si>
    <t>Combo 1: 160% x 2
Combo 2: 100% x 4
Combo 3: 90% x 6</t>
  </si>
  <si>
    <t>(Light) Strength &amp; Shadow Res VI</t>
  </si>
  <si>
    <t>210112_01</t>
  </si>
  <si>
    <t>D-113</t>
  </si>
  <si>
    <t>Epimetheus</t>
  </si>
  <si>
    <t>Forsaken Brother</t>
  </si>
  <si>
    <t>A lonely dragon that awakened to the power of darkness. His three older brothers showed him no affection, leaving him starved for love. This yearning grew twisted, reducing him to a being of calamity that his siblings had sought to prevent.</t>
  </si>
  <si>
    <t>https://dragalialost.wiki/w/Epimetheus</t>
  </si>
  <si>
    <t>Clear High Zodiark's Trial: Prelude 
(Advanced Dragon Trials)</t>
  </si>
  <si>
    <t>Toxic Solitude</t>
  </si>
  <si>
    <t>Combo 1: 360% x 1
Combo 2: 400% x 1
Combo 3: 520% x 1</t>
  </si>
  <si>
    <t>(Shadow) Poisoned Punisher +20%</t>
  </si>
  <si>
    <t>DN-008</t>
  </si>
  <si>
    <t>Atlas</t>
  </si>
  <si>
    <t>Missing Brother</t>
  </si>
  <si>
    <t>https://dragalialost.wiki/w/Atlas</t>
  </si>
  <si>
    <t>Clear Battle at Myriage Lake: Master (The Imperial Onslaught)</t>
  </si>
  <si>
    <t>210082_01</t>
  </si>
  <si>
    <t>D-013</t>
  </si>
  <si>
    <t>Konohana Sakuya</t>
  </si>
  <si>
    <t>Blossoming Beauty</t>
  </si>
  <si>
    <t>A dragon from Hinomoto, clad in flowers. Any who receive her power bloom without limit, but she is said to only bestow it upon those she is sure will not wilt beneath its weight.</t>
  </si>
  <si>
    <t>https://dragalialost.wiki/w/Konohana_Sakuya</t>
  </si>
  <si>
    <t>Clear High Brunhilda's Trial: Prelude 
(Advanced Dragon Trials)</t>
  </si>
  <si>
    <t>Deciduous Dance</t>
  </si>
  <si>
    <t>Combo 1: 416% x 1
Combo 2: 458% x 1
Combo 3: 266% x 3</t>
  </si>
  <si>
    <t>Combo 1: 430% x 1
Combo 2: 470% x 1
Combo 3: 280% x 3</t>
  </si>
  <si>
    <t>(Flame) HP &amp; Strength +20%</t>
  </si>
  <si>
    <t>(Element) Skill Damage +100%</t>
  </si>
  <si>
    <t>(Element) HP &amp; Strength +20%</t>
  </si>
  <si>
    <t>(Element) Skill Damage +120%</t>
  </si>
  <si>
    <t>Skill Damage</t>
  </si>
  <si>
    <t>210054_01</t>
  </si>
  <si>
    <t>D-039</t>
  </si>
  <si>
    <t>Siren</t>
  </si>
  <si>
    <t>Spellbinding Singer</t>
  </si>
  <si>
    <t>A cheerful, singing dragon who lives on the shore. Though her songs have a reputation for sinking ships, that actually has no basis in fact. In reality, she just loves singing, and would never wish harm or ill on anyone.</t>
  </si>
  <si>
    <t>https://dragalialost.wiki/w/Siren</t>
  </si>
  <si>
    <t>Clear Barbary Clash: Omega 
(A Splash of Adventure)</t>
  </si>
  <si>
    <t>Aquatic Melody</t>
  </si>
  <si>
    <t>Combo 1: 460% x 1
Combo 2: 506% x 1
Combo 3: 806% x 1</t>
  </si>
  <si>
    <t>Combo 1: 470% x 1
Combo 2: 520% x 1
Combo 3: 820% x 1</t>
  </si>
  <si>
    <t>(Water) HP &amp; Strength +20%</t>
  </si>
  <si>
    <t>210098_01</t>
  </si>
  <si>
    <t>D-061</t>
  </si>
  <si>
    <t>Vayu</t>
  </si>
  <si>
    <t>Violent Gale</t>
  </si>
  <si>
    <t>A swift dragon clad in gusting winds. He is distinguished by his speed, as the gales he unleashes become blades that cleave the very air itself. Though his rough and wild personality makes him seem violent, he's actually quite kind.</t>
  </si>
  <si>
    <t>https://dragalialost.wiki/w/Vayu</t>
  </si>
  <si>
    <t>Clear Battle in the Dornith Mountains: Master 
(The Imperial Onslaught)</t>
  </si>
  <si>
    <t>Purusha Prana</t>
  </si>
  <si>
    <t>Combo 1: 208% x 2
Combo 2: 452% x 1
Combo 3: 738% x 1</t>
  </si>
  <si>
    <t>Combo 1: 220% x 2
Combo 2: 470% x 1
Combo 3: 750% x 1</t>
  </si>
  <si>
    <t>(Wind) HP &amp; Strength +20%</t>
  </si>
  <si>
    <t>210075_01</t>
  </si>
  <si>
    <t>D-095</t>
  </si>
  <si>
    <t>Halloween Silke</t>
  </si>
  <si>
    <t>Festive Prankster</t>
  </si>
  <si>
    <t>Believing Halloween costumes to be fashionable, Silke was happy to dress up for the party. She also believes the party allows people to prank one another without consequence and is gleefully pondering what tricks to play.</t>
  </si>
  <si>
    <t>https://dragalialost.wiki/w/Halloween_Silke</t>
  </si>
  <si>
    <t>Upgrade the Sweet Retreat to Lv. 35 
(Trick or Treasure!)</t>
  </si>
  <si>
    <t>Pumpkin Prank</t>
  </si>
  <si>
    <t>Combo 1a: 110% x 1
Combo 1b: 258% x 1
Combo 2a: 122% x 1
Combo 2b: 284% x 1
Combo 3a: 156% x 1
Combo 3b: 360% x 1</t>
  </si>
  <si>
    <t>Combo 1a: 120% x 1
Combo 1b: 270% x 1
Combo 2a: 130% x 1
Combo 2b: 300% x 1
Combo 3a: 160% x 1
Combo 3b: 360% x 1</t>
  </si>
  <si>
    <t>(Light) HP &amp; Strength +20%</t>
  </si>
  <si>
    <t>210087_01</t>
  </si>
  <si>
    <t>D-118</t>
  </si>
  <si>
    <t>Shinobi</t>
  </si>
  <si>
    <t>Ancestral Ninja</t>
  </si>
  <si>
    <t>A dragon who is at home among darkness and shadow. He fells his foes utilizing an arsenal of unique skills. The first ninjas of Hinomoto are said to have learned their techniques from him.</t>
  </si>
  <si>
    <t>https://dragalialost.wiki/w/Shinobi</t>
  </si>
  <si>
    <t>Clear Zodiark's Trial: Master 
(Dragon Trials)</t>
  </si>
  <si>
    <t>Shuriken Shower</t>
  </si>
  <si>
    <t>Combo 1: 150% x 2
Combo 2: 82% x 6
Combo 3: 72% x 8</t>
  </si>
  <si>
    <t>Combo 1: 150% x 2
Combo 2: 100% x 6
Combo 3: 90% x 8</t>
  </si>
  <si>
    <t>210055_01</t>
  </si>
  <si>
    <t>D-015</t>
  </si>
  <si>
    <t>Erasmus</t>
  </si>
  <si>
    <t>Azure Beacon</t>
  </si>
  <si>
    <t>A calm, collected dragon with a body covered in flames. He uses those flames to lead lost ships back to shore, earning him a reputation as a sailor's guardian. As one who values safety and peace, he always tries to help any in need.</t>
  </si>
  <si>
    <t>https://dragalialost.wiki/w/Erasmus</t>
  </si>
  <si>
    <t>Clear Barbary Clash: Expert 
(A Splash of Adventure)</t>
  </si>
  <si>
    <t>Illuminated Path</t>
  </si>
  <si>
    <t>Combo 1: 280% x 1
Combo 2: 144% x 2
Combo 3: 504% x 1</t>
  </si>
  <si>
    <t>Combo 1: 300% x 1
Combo 2: 150% x 2
Combo 3: 520% x 1</t>
  </si>
  <si>
    <t>(Flame) Strength +40%</t>
  </si>
  <si>
    <t>(Element) HP +40% &amp; Skill Haste +40%</t>
  </si>
  <si>
    <t>Skill Haste HP</t>
  </si>
  <si>
    <t>210097_01</t>
  </si>
  <si>
    <t>D-035</t>
  </si>
  <si>
    <t>Halloween Maritimus</t>
  </si>
  <si>
    <t>The People's Magician</t>
  </si>
  <si>
    <t>Maritimus in a magician costume! He's a big fan of Halloween, and plans to hand treats out to everyone he sees. The kids love him; their moms not so much!</t>
  </si>
  <si>
    <t>https://dragalialost.wiki/w/Halloween_Maritimus</t>
  </si>
  <si>
    <t>Clear Poseidon's Trial: Standard 
(Trials of the Mighty)</t>
  </si>
  <si>
    <t>Hocus Pocus!</t>
  </si>
  <si>
    <t>Combo 1: 400% x 1
Combo 2: 440% x 1
Combo 3: 760% x 2</t>
  </si>
  <si>
    <t>Combo 1: 400% x 1
Combo 2: 450% x 1
Combo 3: 780% x 2</t>
  </si>
  <si>
    <t>(Water) HP +30%</t>
  </si>
  <si>
    <t>(Water) Skill Haste +35%</t>
  </si>
  <si>
    <t>210084_01</t>
  </si>
  <si>
    <t>D-062</t>
  </si>
  <si>
    <t>Freyja</t>
  </si>
  <si>
    <t>Harvest Goddess</t>
  </si>
  <si>
    <t>A beautiful dragon who watches over love and harvests. Her giant staff, made from an ancient tree, spreads nature's blessings far and wide. She is adored by all life and loves it in return— especially her two feline familiars.</t>
  </si>
  <si>
    <t>https://dragalialost.wiki/w/Freyja</t>
  </si>
  <si>
    <t>Clear High Midgardsormr's Trial: Prelude 
(Advanced Dragon Trials)</t>
  </si>
  <si>
    <t>Breath of Life</t>
  </si>
  <si>
    <t>Combo 1: 320% x 1
Combo 2: 176% x 2
Combo 3: 266% x 3</t>
  </si>
  <si>
    <t>Combo 1: 330% x 1
Combo 2: 200% x 2
Combo 3: 280% x 3</t>
  </si>
  <si>
    <t>(Element) HP +40% &amp; Surge of Strength I</t>
  </si>
  <si>
    <t>(Element) Skill Haste +40%</t>
  </si>
  <si>
    <t>210085_01</t>
  </si>
  <si>
    <t>D-084</t>
  </si>
  <si>
    <t>Tie Shan Gongzhu</t>
  </si>
  <si>
    <t>Ravishing Rakshesha</t>
  </si>
  <si>
    <t>A dragon famed for her peerless beauty. Her intimidating rage earned her the nickname "Rakshesha," which comes from a similar word for a vicious demon. She is married to Niu Mowang, and clearly runs their relationship.</t>
  </si>
  <si>
    <t>https://dragalialost.wiki/w/Tie_Shan_Gongzhu</t>
  </si>
  <si>
    <t>Clear Mei Hou Wang Clash: Omega 
(Timeworn Torment)</t>
  </si>
  <si>
    <t>Energizing Fan</t>
  </si>
  <si>
    <t>Combo 1: 460% x 1
Combo 2: 504% x 1
Combo 3: 690% x 1</t>
  </si>
  <si>
    <t>Combo 1: 470% x 1
Combo 2: 520% x 1
Combo 3: 700% x 1</t>
  </si>
  <si>
    <t>210126_01</t>
  </si>
  <si>
    <t>D-109</t>
  </si>
  <si>
    <t>Azazel</t>
  </si>
  <si>
    <t>Winged Rebel</t>
  </si>
  <si>
    <t>A dragon whose existence was erased from the Church. He once held the role of conveying Ilia's words to the Auspex, but later fomented rebellion and was sealed away. Since being freed, he has fought to make the truth of the Church known.</t>
  </si>
  <si>
    <t>https://dragalialost.wiki/w/Azazel</t>
  </si>
  <si>
    <t>Clear Battle at the Wartarch Ruins: Master 
(The Imperial Onslaught)</t>
  </si>
  <si>
    <t>Merciless Doom</t>
  </si>
  <si>
    <t>Combo 1: 310% x 1
Combo 2: 342% x 1
Combo 3: 558% x 1</t>
  </si>
  <si>
    <t>Combo 1: 320% x 1
Combo 2: 350% x 1
Combo 3: 570% x 1</t>
  </si>
  <si>
    <t>210057_01</t>
  </si>
  <si>
    <t>D-017</t>
  </si>
  <si>
    <t>Pele</t>
  </si>
  <si>
    <t>Faithful Vassal</t>
  </si>
  <si>
    <t>A dragon who once protected Alba. Impressed by King Archeole's lordly caliber, she served him earnestly. That loyalty was so great, it remained even after the king mutated into a fiend.</t>
  </si>
  <si>
    <t>https://dragalialost.wiki/w/Pele</t>
  </si>
  <si>
    <t>Clear Phraeganoth Clash: Expert 
(Loyalty's Requiem)</t>
  </si>
  <si>
    <t>Blazing Pillars</t>
  </si>
  <si>
    <t>Combo 1: 360% x 1
Combo 2: 400% x 1
Combo 3: 492% x 1</t>
  </si>
  <si>
    <t>(Element) Strength +55% &amp; Skill Haste +40%</t>
  </si>
  <si>
    <t>(Element) Surge of Strength +30%</t>
  </si>
  <si>
    <t>Skill Haste Strength</t>
  </si>
  <si>
    <t>210120_01</t>
  </si>
  <si>
    <t>D-032</t>
  </si>
  <si>
    <t>Gaibhne &amp; Creidhne</t>
  </si>
  <si>
    <t>Delightful Dreamer</t>
  </si>
  <si>
    <t>A dragon who loves cute, dreamy things and is skilled at mending weapons. She's always at the side of her little sister, Creidhne. If you give her a weapon, you can be certain it will come back adorable!</t>
  </si>
  <si>
    <t>https://dragalialost.wiki/w/Gaibhne_&amp;_Creidhne</t>
  </si>
  <si>
    <t>Clear High Mercury's Trial: Prelude 
(Advanced Dragon Trials)</t>
  </si>
  <si>
    <t>Dazzling Dancefloor</t>
  </si>
  <si>
    <t>Combo 1: 480% x 1
Combo 2: 528% x 1
Combo 3: 432% x 2</t>
  </si>
  <si>
    <t>Combo 1: 500% x 1
Combo 2: 540% x 1
Combo 3: 450% x 2</t>
  </si>
  <si>
    <t>(Water) Skill Recharge II</t>
  </si>
  <si>
    <t>210116_01</t>
  </si>
  <si>
    <t>D-057</t>
  </si>
  <si>
    <t>Ariel</t>
  </si>
  <si>
    <t>Lion of the Goddess</t>
  </si>
  <si>
    <t>A dragon who metes out the goddess's judgment to dragons who would threaten mortals. She flies from one land to the next, spreading the word of Ilia and working to maintain a world where dragons and humans live together in harmony.</t>
  </si>
  <si>
    <t>https://dragalialost.wiki/w/Ariel</t>
  </si>
  <si>
    <t>Clear Zephyr's Trial: Standard 
(Trials of the Mighty)</t>
  </si>
  <si>
    <t>Cyclone Kick</t>
  </si>
  <si>
    <t>Combo 1: 380% x 1
Combo 2: 418% x 1
Combo 3: 164% x 3</t>
  </si>
  <si>
    <t>Combo 1: 400% x 1
Combo 2: 430% x 1
Combo 3: 180% x 3</t>
  </si>
  <si>
    <t>(Wind) Strength +50%</t>
  </si>
  <si>
    <t>(Wind) Skill Haste +30%</t>
  </si>
  <si>
    <t>210094_01</t>
  </si>
  <si>
    <t>D-086</t>
  </si>
  <si>
    <t>Pop-Star Siren</t>
  </si>
  <si>
    <t>Seaside Songstress</t>
  </si>
  <si>
    <t>The singing dragon is finally able to stand on the stage of her dreams—and with an almost frighteningly beautiful voice, she aims to bring joy to everyone. Her outfit was made by her friends, making her an icon of dragalia.</t>
  </si>
  <si>
    <t>https://dragalialost.wiki/w/Pop-Star_Siren</t>
  </si>
  <si>
    <t>Upgrade the Seabed Stage to Lv. 35 
(A Crescendo of Courage)</t>
  </si>
  <si>
    <t>Invigorating Harmony</t>
  </si>
  <si>
    <t>Combo 1: 160% x 1
Combo 2: 192% x 1
Combo 3: 288% x 1</t>
  </si>
  <si>
    <t>Combo 1: 160% x 1
Combo 2: 200% x 1
Combo 3: 300% x 1</t>
  </si>
  <si>
    <t>(Light) Strength +40%</t>
  </si>
  <si>
    <t>210072_01</t>
  </si>
  <si>
    <t>D-122</t>
  </si>
  <si>
    <t>Maritimus</t>
  </si>
  <si>
    <t>Beloved Mascot</t>
  </si>
  <si>
    <t>A dragon who protects the Harmonia Choir. He has long lived in the town where they are based, where he is beloved by all. He enjoys being fashionable, and wears a bell the choir children gave him around his neck with pride.</t>
  </si>
  <si>
    <t>https://dragalialost.wiki/w/Maritimus</t>
  </si>
  <si>
    <t>Clear Sabnock Clash: Expert 
(Resplendent Refrain)</t>
  </si>
  <si>
    <t>Polar Roller</t>
  </si>
  <si>
    <t>Combo 1: 380% x 1
Combo 2: 418% x 1
Combo 3: 266% x 2</t>
  </si>
  <si>
    <t>Combo 1: 400% x 1
Combo 2: 420% x 1
Combo 3: 280% x 2</t>
  </si>
  <si>
    <t>(Shadow) HP &amp; Strength +25%</t>
  </si>
  <si>
    <t>210024_01</t>
  </si>
  <si>
    <t>D-016</t>
  </si>
  <si>
    <t>Cerberus</t>
  </si>
  <si>
    <t>Underworld Gatekeeper</t>
  </si>
  <si>
    <t>The fire-wielding gatekeeper of the underworld. A free spirit, she often shirks her work in favor of play. The sentient, puppet-like dogs on her hands are called Coco and Mimi, and their intelligence allows them to speak and attack on their own.</t>
  </si>
  <si>
    <t>https://dragalialost.wiki/w/Cerberus</t>
  </si>
  <si>
    <t>Clear Brunhilda's Trial: Master 
(Dragon Trials)</t>
  </si>
  <si>
    <t>Infernal Damnation</t>
  </si>
  <si>
    <t>Combo 1: 400% x 1
Combo 2: 440% x 1
Combo 3: 280% x 2</t>
  </si>
  <si>
    <t>Combo 1: 400% x 1
Combo 2: 450% x 1
Combo 3: 300% x 2</t>
  </si>
  <si>
    <t>(Flame) Strength +65%</t>
  </si>
  <si>
    <t>(Element) Skill Prep +100% &amp; Team Amp = Skill Damage</t>
  </si>
  <si>
    <t>Skill Prep Team Amp</t>
  </si>
  <si>
    <t>210156_01</t>
  </si>
  <si>
    <t>D-027</t>
  </si>
  <si>
    <t>Summer Marishiten</t>
  </si>
  <si>
    <t>Beachside Dawn Dragon</t>
  </si>
  <si>
    <t>Marishiten, now 100 percent more beach-ready. Not even the sea can cool her fiery temperament. Her only regret is that she can't fight to the fullest with her loyal boarlets pestering her for belly rubs and scritches behind the ear.</t>
  </si>
  <si>
    <t>https://dragalialost.wiki/w/Summer_Marishiten</t>
  </si>
  <si>
    <t>Clear Defensive Battle: Field Training 
(The Fabled Fortune)</t>
  </si>
  <si>
    <t>Barreling Boars</t>
  </si>
  <si>
    <t>Combo 1: 302% x 1
Combo 2: 380% x 1
Combo 3: 550% x 1</t>
  </si>
  <si>
    <t>Combo 1: 320% x 1
Combo 2: 400% x 1
Combo 3: 550% x 1</t>
  </si>
  <si>
    <t>(Water) Wyrm of War II</t>
  </si>
  <si>
    <t>210125_01</t>
  </si>
  <si>
    <t>D-056</t>
  </si>
  <si>
    <t>Summer Konohana Sakuya</t>
  </si>
  <si>
    <t>Beachside Flower</t>
  </si>
  <si>
    <t>Konohana Sakuya trades her robes for swimwear, and the gentle scent of tropical flowers mix with salty air to soothe the hearts of fellow beach- goers. Though she came alone, the scene soon blossoms into a garden of friendly smiles.</t>
  </si>
  <si>
    <t>https://dragalialost.wiki/w/Summer_Konohana_Sakuya</t>
  </si>
  <si>
    <t>Clear Scylla Clash: Omega 
(Doomsday Getaway)</t>
  </si>
  <si>
    <t>Seashore Dance</t>
  </si>
  <si>
    <t>Combo 1: 580% x 1
Combo 2: 696% x 1
Combo 3: 812% x 2</t>
  </si>
  <si>
    <t>Combo 1: 600% x 1
Combo 2: 700% x 1
Combo 3: 830% x 2</t>
  </si>
  <si>
    <t>(Wind) Summer Flowers V</t>
  </si>
  <si>
    <t>210158_01</t>
  </si>
  <si>
    <t>D-079</t>
  </si>
  <si>
    <t>Summer Cat Sìth</t>
  </si>
  <si>
    <t>Mischievous Feline</t>
  </si>
  <si>
    <t>With Chelle on vacation, Cat Sìth dresses to match. Clad in hat and sunglasses, she is the picture of elegance, and would be primed for a purrfect summer...if only her beloved fur wasn't so unceasingly HOT. Thank Ilia for parasols!</t>
  </si>
  <si>
    <t>https://dragalialost.wiki/w/Summer_Cat_Sìth</t>
  </si>
  <si>
    <t>Clear Kanaloa Clash: Omega 
(Stranded Scions)</t>
  </si>
  <si>
    <t>Prankster's Pleasure</t>
  </si>
  <si>
    <t>Combo 1: 650% x 1
Combo 2: 770% x 1
Combo 3: 950% x 1</t>
  </si>
  <si>
    <t>Combo 1: 650% x 1
Combo 2: 800% x 1
Combo 3: 960% x 1</t>
  </si>
  <si>
    <t>(Light) Strength +50%</t>
  </si>
  <si>
    <t>(Light) Tropical Troublemaker II</t>
  </si>
  <si>
    <t>210115_01</t>
  </si>
  <si>
    <t>D-111</t>
  </si>
  <si>
    <t>Andromeda</t>
  </si>
  <si>
    <t>Liberated Aid</t>
  </si>
  <si>
    <t>A dragon captured by the vile Syndicate. She shoulders the sins of all people, and through offering herself up cleanses them of said sin. ...Or so it is said; she lost her memory due to Syndicate testing, and now travels with Aldred.</t>
  </si>
  <si>
    <t>https://dragalialost.wiki/w/Andromeda</t>
  </si>
  <si>
    <t>Clear Aspidochelone Clash: Omega 
(Scars of the Syndicate)</t>
  </si>
  <si>
    <t>Unblessed Bonds</t>
  </si>
  <si>
    <t>Combo 1: 418% x 1
Combo 2: 380% x 1
Combo 3: 216% x 3</t>
  </si>
  <si>
    <t>Combo 1: 430% x 1
Combo 2: 400% x 1
Combo 3: 230% x 3</t>
  </si>
  <si>
    <t>(Element) Strength +45% &amp; Surge of Strength I</t>
  </si>
  <si>
    <t>(Shadow) HP Below 30% = Strength &amp; Defense II</t>
  </si>
  <si>
    <t>210016_01</t>
  </si>
  <si>
    <t>D-019</t>
  </si>
  <si>
    <t>Agni</t>
  </si>
  <si>
    <t>Rapacious Firelord</t>
  </si>
  <si>
    <t>Known as the Firelord, he describes fire as "an all-consuming greed" and demands offerings from humans to sate his appetite. Dignified on the surface, he's selfish at heart—though he will always protect those who make offerings to him.</t>
  </si>
  <si>
    <t>https://dragalialost.wiki/w/Agni</t>
  </si>
  <si>
    <t>Clear Void Agni Strike: Standard 
(Void Battles)</t>
  </si>
  <si>
    <t>Devastation</t>
  </si>
  <si>
    <t>Combo 1: 280% x 2
Combo 2: 616% x 1
Combo 3: 784% x 1</t>
  </si>
  <si>
    <t>Combo 1: 300% x 2
Combo 2: 630% x 1
Combo 3: 800% x 1</t>
  </si>
  <si>
    <t>Strength</t>
  </si>
  <si>
    <t>210017_01</t>
  </si>
  <si>
    <t>D-040</t>
  </si>
  <si>
    <t>Leviathan</t>
  </si>
  <si>
    <t>Ruler of the Seas</t>
  </si>
  <si>
    <t>A dragon who has slumbered in the depths of the ocean since ancient times. Spoken of in hushed tones as a bringer of calamity, he is in truth a perfect gentleman who loathes his colossal power and what it represents.</t>
  </si>
  <si>
    <t>https://dragalialost.wiki/w/Leviathan</t>
  </si>
  <si>
    <t>Clear Mercury's Trial: Master 
(Dragon Trials)</t>
  </si>
  <si>
    <t>Tidal Stream</t>
  </si>
  <si>
    <t>Combo 1: 584% x 1
Combo 2a: 644% x 1
Combo 2b: 244% x 1
Combo 3: 572% x 1</t>
  </si>
  <si>
    <t>Combo 1: 600% x 1
Combo 2a: 650% x 1
Combo 2b: 250% x 1
Combo 3: 600% x 1</t>
  </si>
  <si>
    <t>(Water) Strength +65%</t>
  </si>
  <si>
    <t>210018_01</t>
  </si>
  <si>
    <t>D-069</t>
  </si>
  <si>
    <t>Zephyr</t>
  </si>
  <si>
    <t>Adulated Protector</t>
  </si>
  <si>
    <t>A dragon revered by the people of the plains. He protects those who praise his name and smites all who would do him harm. Cautious and mistrustful, he will not permit even a small threat to escape his punishment.</t>
  </si>
  <si>
    <t>https://dragalialost.wiki/w/Zephyr</t>
  </si>
  <si>
    <t>Clear Void Zephyr Strike: Standard 
(Void Battles)</t>
  </si>
  <si>
    <t>Zephyr's Wrath</t>
  </si>
  <si>
    <t>Combo 1: 512% x 1
Combo 2: 282% x 2
Combo 3: 716% x 1</t>
  </si>
  <si>
    <t>Combo 1: 530% x 1
Combo 2: 300% x 2
Combo 3: 730% x 1</t>
  </si>
  <si>
    <t>(Wind) Strength +65%</t>
  </si>
  <si>
    <t>210049_01</t>
  </si>
  <si>
    <t>D-090</t>
  </si>
  <si>
    <t>Cupid</t>
  </si>
  <si>
    <t>Love's Messenger</t>
  </si>
  <si>
    <t>A dragon who supports all those who are in love. He is quite young and pure, and wants nothing more than to spread love and happiness throughout the entire world.</t>
  </si>
  <si>
    <t>https://dragalialost.wiki/w/Cupid</t>
  </si>
  <si>
    <t>Clear Jupiter's Trial: Master 
(Dragon Trials)</t>
  </si>
  <si>
    <t>Lovely Pose</t>
  </si>
  <si>
    <t>Combo 1: 134% x 3
Combo 2: 110% x 4
Combo 3: 112% x 5</t>
  </si>
  <si>
    <t>Combo 1: 150% x 3
Combo 2: 130% x 4
Combo 3: 120% x 5</t>
  </si>
  <si>
    <t>(Light) Strength +65%</t>
  </si>
  <si>
    <t>200010_01</t>
  </si>
  <si>
    <t>D-117</t>
  </si>
  <si>
    <t>Chthonius</t>
  </si>
  <si>
    <t>Devoted Dragon</t>
  </si>
  <si>
    <t>One of the six legendary Greatwyrms who once accompanied the Founder King. Also known as the Netherwyrm, he wandered the abyss of death after his defeat, but now spreads his wings to stop the Other and fulfill his liege's dearest wish.</t>
  </si>
  <si>
    <t>https://dragalialost.wiki/w/Chthonius</t>
  </si>
  <si>
    <t>Clear Chthonius's Trial: Standard 
(Trials of the Mighty)</t>
  </si>
  <si>
    <t>Immortal Spirit</t>
  </si>
  <si>
    <t>Combo 1: 420% x 1
Combo 2: 504% x 1
Combo 3: 358% x 1</t>
  </si>
  <si>
    <t>Combo 1: 420% x 1
Combo 2: 520% x 1
Combo 3: 370% x 1</t>
  </si>
  <si>
    <t>(Shadow) Strength &amp; Dragon's Might VI</t>
  </si>
  <si>
    <t>210022_01</t>
  </si>
  <si>
    <t>D-024</t>
  </si>
  <si>
    <t>Cinder Drake</t>
  </si>
  <si>
    <t>A laid-back boy who loves nothing more than being pampered, taking naps, and eating food on other people's coin. Though he can be downright lazy at times, he does his job when it counts— especially if there's a threat to his friends.</t>
  </si>
  <si>
    <t>https://dragalialost.wiki/w/Cinder_Drake</t>
  </si>
  <si>
    <t>Clear Tutorial</t>
  </si>
  <si>
    <t>Cinderball</t>
  </si>
  <si>
    <t>Combo 1: 288% x 1
Combo 2: 316% x 1
Combo 3: 404% x 1</t>
  </si>
  <si>
    <t>Combo 1: 300% x 1
Combo 2: 325% x 1
Combo 3: 425% x 1</t>
  </si>
  <si>
    <t>(Flame) HP +15%</t>
  </si>
  <si>
    <t>(Element) HP +30%</t>
  </si>
  <si>
    <t>Tutorial - HP</t>
  </si>
  <si>
    <t>210063_01</t>
  </si>
  <si>
    <t>D-047</t>
  </si>
  <si>
    <t>Snow Drake</t>
  </si>
  <si>
    <t>A capricious female hatchling who immediately latches on to anyone she takes a liking to. She hates being bored or alone, and her wild mood swings are an endless headache to all those around her.</t>
  </si>
  <si>
    <t>https://dragalialost.wiki/w/Snow_Drake</t>
  </si>
  <si>
    <t>Snow Drop</t>
  </si>
  <si>
    <t>(Water) HP +15%</t>
  </si>
  <si>
    <t>210064_01</t>
  </si>
  <si>
    <t>D-074</t>
  </si>
  <si>
    <t>Gust Drake</t>
  </si>
  <si>
    <t>A small dragon who lives on the outer edges of southern Grastaea. Simple in nature, she loves growing vegetables, and her crops are both tasty and nutritious. Her carrots in particular are known far and wide for being delectable!</t>
  </si>
  <si>
    <t>https://dragalialost.wiki/w/Gust_Drake</t>
  </si>
  <si>
    <t>Gust Drop</t>
  </si>
  <si>
    <t>Combo 1: 300% x 1
Combo 2: 330% x 1
Combo 3: 430% x 1</t>
  </si>
  <si>
    <t>(Wind) HP +15%</t>
  </si>
  <si>
    <t>210065_01</t>
  </si>
  <si>
    <t>D-100</t>
  </si>
  <si>
    <t>Moon Drake</t>
  </si>
  <si>
    <t>A mischievous boy who's always going on nail- biting adventures with his hatchling friends. Though he sometimes finds himself in danger, he always forgets it by the next day. His goal is to aid the weak who are oppressed by the strong.</t>
  </si>
  <si>
    <t>https://dragalialost.wiki/w/Moon_Drake</t>
  </si>
  <si>
    <t>Moon Drop</t>
  </si>
  <si>
    <t>(Light) HP +15%</t>
  </si>
  <si>
    <t>210066_01</t>
  </si>
  <si>
    <t>D-132</t>
  </si>
  <si>
    <t>Gloom Drake</t>
  </si>
  <si>
    <t>A hatchling that prefers to be alone, spending her time in shadows and nooks. She doesn't dislike others, per se—she's just happier when alone. She can be affectionate once she gets used to someone's company, however.</t>
  </si>
  <si>
    <t>https://dragalialost.wiki/w/Gloom_Drake</t>
  </si>
  <si>
    <t>Black Hole</t>
  </si>
  <si>
    <t>(Shadow) HP +15%</t>
  </si>
  <si>
    <t>210023_01</t>
  </si>
  <si>
    <t>D-023</t>
  </si>
  <si>
    <t>Kindling Imp</t>
  </si>
  <si>
    <t>A frivolous hatchling who believes all life naturally seeks to find a partner and thus never misses a chance to talk to females of any race. His off-the-cuff style raises a lot of eyebrows, but his courage and kindness are real as can be.</t>
  </si>
  <si>
    <t>https://dragalialost.wiki/w/Kindling_Imp</t>
  </si>
  <si>
    <t>Ember Toss</t>
  </si>
  <si>
    <t>Combo 1: 80% x 1
Combo 2: 80% x 1
Combo 3: 80% x 2</t>
  </si>
  <si>
    <t>Combo 1: 240% x 1
Combo 2: 240% x 1
Combo 3: 240% x 2</t>
  </si>
  <si>
    <t>(Flame) HP &amp; Strength +10%</t>
  </si>
  <si>
    <t>Tutorial - Mixed</t>
  </si>
  <si>
    <t>210067_01</t>
  </si>
  <si>
    <t>D-046</t>
  </si>
  <si>
    <t>Wellspring Imp</t>
  </si>
  <si>
    <t>A hatchling who rules over animals as a queen. She considers dragons the pinnacle of existence, and as such is always telling others what to do. Her reign is a kindly one, however, and those who serve under her are often richly rewarded.</t>
  </si>
  <si>
    <t>https://dragalialost.wiki/w/Wellspring_Imp</t>
  </si>
  <si>
    <t>Noble Dance</t>
  </si>
  <si>
    <t>(Water) HP &amp; Strength +10%</t>
  </si>
  <si>
    <t>210068_01</t>
  </si>
  <si>
    <t>D-073</t>
  </si>
  <si>
    <t>Zephyr Imp</t>
  </si>
  <si>
    <t>A hatchling with no true home who spends his days soaring through the skies and is known to keep a friend for life. There is considerable mystery around his origins, including a well- worn legend that he was once, in fact, human.</t>
  </si>
  <si>
    <t>https://dragalialost.wiki/w/Zephyr_Imp</t>
  </si>
  <si>
    <t>Affinity Dance</t>
  </si>
  <si>
    <t>(Wind) HP &amp; Strength +10%</t>
  </si>
  <si>
    <t>210069_01</t>
  </si>
  <si>
    <t>D-099</t>
  </si>
  <si>
    <t>Astral Imp</t>
  </si>
  <si>
    <t>A quiet, calm dragon who loves books and can easily spend entire days reading them. His way of speaking is a bit blunt, but that's not because he dislikes others—he simply lacks any kind of interpersonal skills.</t>
  </si>
  <si>
    <t>https://dragalialost.wiki/w/Astral_Imp</t>
  </si>
  <si>
    <t>Wisdom Dance</t>
  </si>
  <si>
    <t>(Light) HP &amp; Strength +10%</t>
  </si>
  <si>
    <t>210070_01</t>
  </si>
  <si>
    <t>D-131</t>
  </si>
  <si>
    <t>Pallid Imp</t>
  </si>
  <si>
    <t>He calls himself the prince of twilight and talks a big game, but he lacks the strength to back it up. Generally a coward, he tries to intimidate his enemies in order to avoid actual fighting— though he can be surprisingly brave in a pinch.</t>
  </si>
  <si>
    <t>https://dragalialost.wiki/w/Pallid_Imp</t>
  </si>
  <si>
    <t>Grave Tidings</t>
  </si>
  <si>
    <t>(Shadow) HP &amp; Strength +10%</t>
  </si>
  <si>
    <t>210021_01</t>
  </si>
  <si>
    <t>D-025</t>
  </si>
  <si>
    <t>Homura</t>
  </si>
  <si>
    <t>A precocious young girl who once lived with orphans in the Children's Country in the woods. She's pushy due to caring for her young charges and often takes on more than she can handle. Though still a child, she thinks herself an adult.</t>
  </si>
  <si>
    <t>https://dragalialost.wiki/w/Homura</t>
  </si>
  <si>
    <t>Fire Breath</t>
  </si>
  <si>
    <t>Combo 1: 296% x 1
Combo 2: 326% x 1
Combo 3a: 124% x 1
Combo 3b: 290% x 1</t>
  </si>
  <si>
    <t>Combo 1: 300% x 1
Combo 2: 350% x 1
Combo 3a: 150% x 1
Combo 3b: 300% x 1</t>
  </si>
  <si>
    <t>(Flame) Strength +15%</t>
  </si>
  <si>
    <t>(Element) Strength +30%</t>
  </si>
  <si>
    <t>Tutorial - Strength</t>
  </si>
  <si>
    <t>210059_01</t>
  </si>
  <si>
    <t>D-048</t>
  </si>
  <si>
    <t>Fubuki</t>
  </si>
  <si>
    <t>An easygoing vagabond of a dragon who isn't tied to any particular place, and so he tends to wander alone. His travels have made him an expert on foreign cultures, and his wisdom has given him the nickname of "Little Sage."</t>
  </si>
  <si>
    <t>https://dragalialost.wiki/w/Fubuki</t>
  </si>
  <si>
    <t>Freezing Breath</t>
  </si>
  <si>
    <t>(Water) Strength +15%</t>
  </si>
  <si>
    <t>210060_01</t>
  </si>
  <si>
    <t>D-075</t>
  </si>
  <si>
    <t>Tsumuji</t>
  </si>
  <si>
    <t>A bright and active girl whose positive outlook raises the spirits of humans and animals alike. Though she can appear overconfident, this social butterfly treats everyone she meets with kindness and respect.</t>
  </si>
  <si>
    <t>https://dragalialost.wiki/w/Tsumuji</t>
  </si>
  <si>
    <t>Air Tackle</t>
  </si>
  <si>
    <t>(Wind) Strength +15%</t>
  </si>
  <si>
    <t>210061_01</t>
  </si>
  <si>
    <t>D-101</t>
  </si>
  <si>
    <t>Hinata</t>
  </si>
  <si>
    <t>A kind and caring girl who becomes terribly sad at the suffering of others. Because of this, she has devoted her life to making sure all those around her are happy.</t>
  </si>
  <si>
    <t>https://dragalialost.wiki/w/Hinata</t>
  </si>
  <si>
    <t>Shining Breath</t>
  </si>
  <si>
    <t>Combo 1: 300% x 1
Combo 2: 340% x 1
Combo 3a: 130% x 1
Combo 3b: 300% x 1</t>
  </si>
  <si>
    <t>(Light) Strength +15%</t>
  </si>
  <si>
    <t>210062_01</t>
  </si>
  <si>
    <t>Hikage</t>
  </si>
  <si>
    <t>A hatchling who oddly enjoys both human society and money. He can find ways to make a profit off of even the strongest dragon, but don't mistake his shrewd nature for evil— he's actually quite a delightful fellow.</t>
  </si>
  <si>
    <t>https://dragalialost.wiki/w/Hikage</t>
  </si>
  <si>
    <t>Gloom Tackle</t>
  </si>
  <si>
    <t>(Shadow) Strength +15%</t>
  </si>
  <si>
    <t>210096_01</t>
  </si>
  <si>
    <t>DN-009</t>
  </si>
  <si>
    <t>Void Agni</t>
  </si>
  <si>
    <t>The Ferocious Firelord</t>
  </si>
  <si>
    <t>Agni; succumbing to the dark mana forced on him by Beren. Now a puppet.</t>
  </si>
  <si>
    <t>https://dragalialost.wiki/w/Void_Agni_(NPC)</t>
  </si>
  <si>
    <t>Clear Void Agni Strike: Expert</t>
  </si>
  <si>
    <t>(Element) Void Corrosion</t>
  </si>
  <si>
    <t>(Element) Flurry Skill +80%</t>
  </si>
  <si>
    <t>Void Dragons</t>
  </si>
  <si>
    <t>210101_01</t>
  </si>
  <si>
    <t>DN-010</t>
  </si>
  <si>
    <t>Void Poseidon</t>
  </si>
  <si>
    <t>The Hollow Lakelord</t>
  </si>
  <si>
    <t>Poseidon; succumbing to the dark mana forced on him by Beren. Now a puppet.</t>
  </si>
  <si>
    <t>https://dragalialost.wiki/w/Void_Poseidon_(NPC)</t>
  </si>
  <si>
    <t>Clear Void Poseidon Strike: Expert</t>
  </si>
  <si>
    <t>210088_01</t>
  </si>
  <si>
    <t>DN-011</t>
  </si>
  <si>
    <t>Void Zephyr</t>
  </si>
  <si>
    <t>The Stagnant Guardian</t>
  </si>
  <si>
    <t>Zephyr; succumbing to the dark mana forced on him by Beren. Now a puppet.</t>
  </si>
  <si>
    <t>https://dragalialost.wiki/w/Void_Zephyr_(NPC)</t>
  </si>
  <si>
    <t>Clear Void Zephyr Strike: Expert</t>
  </si>
  <si>
    <t>210102_01</t>
  </si>
  <si>
    <t>DN-012</t>
  </si>
  <si>
    <t>Void Jeanne d'Arc</t>
  </si>
  <si>
    <t>The Sacrilegious Saint</t>
  </si>
  <si>
    <t>Jeanne D'arc; succumbing to the dark mana forced on her by Beren. Now a puppet. Her banner leads the lost farther astray.</t>
  </si>
  <si>
    <t>https://dragalialost.wiki/w/Void_Jeanne_d%27Arc_(NPC)</t>
  </si>
  <si>
    <t>Clear Void Jeanne d'Arc Strike: Expert</t>
  </si>
  <si>
    <t>210106_01</t>
  </si>
  <si>
    <t>DN-013</t>
  </si>
  <si>
    <t>Void Nidhogg</t>
  </si>
  <si>
    <t>Nidhogg Corrupted</t>
  </si>
  <si>
    <t>Nidhogg; succumbing to the dark mana forced on him by Beren. Now a puppet.</t>
  </si>
  <si>
    <t>https://dragalialost.wiki/w/Void_Nidhogg_(NPC)</t>
  </si>
  <si>
    <t>Clear Void Nidhogg Strike: Expert</t>
  </si>
  <si>
    <t>210079_01</t>
  </si>
  <si>
    <t>D-037</t>
  </si>
  <si>
    <t>Peng Lai</t>
  </si>
  <si>
    <t>Earthen Emancipator</t>
  </si>
  <si>
    <t>An old, genial dragon from the land of Taiwu. He gives order to the mana flowing through the land, and has the power to prevent disastrous floods. He can also impart his own mana into barren areas and turn them lush and fertile.</t>
  </si>
  <si>
    <t>https://dragalialost.wiki/w/Peng_Lai</t>
  </si>
  <si>
    <t>Clear Gaggles of Geysers 
(Story Quest) 
(Skyborne Spectacle)</t>
  </si>
  <si>
    <t>Swift Stream</t>
  </si>
  <si>
    <t>Combo 1: 400% x 1
Combo 2: 132% x 1
Combo 3: 560% x 1</t>
  </si>
  <si>
    <t>Combo 1: 400% x 1
Combo 2: 150% x 1
Combo 3: 580% x 1</t>
  </si>
  <si>
    <t>(Water) HP +40%</t>
  </si>
  <si>
    <t>(Element) HP +65% &amp; Defense +30%</t>
  </si>
  <si>
    <t>Z Defensive</t>
  </si>
  <si>
    <t>210010_01</t>
  </si>
  <si>
    <t>D-067</t>
  </si>
  <si>
    <t>Sylvia</t>
  </si>
  <si>
    <t>Guardian of the Wood</t>
  </si>
  <si>
    <t>A mellow dragon who loves nature and has watched over the modest lives of the sylvans for an age. She doesn't care for fighting, but will use her power without mercy to protect all she loves.</t>
  </si>
  <si>
    <t>https://dragalialost.wiki/w/Sylvia</t>
  </si>
  <si>
    <t>Clear Hypnos Clash: Expert 
(Kindness and Captivity)</t>
  </si>
  <si>
    <t>Hurricane Drive</t>
  </si>
  <si>
    <t>Combo 1: 250% x 1
Combo 2: 276% x 1
Combo 3: 350% x 1</t>
  </si>
  <si>
    <t>Combo 1: 250% x 1
Combo 2: 300% x 1
Combo 3: 350% x 1</t>
  </si>
  <si>
    <t>(Wind) HP +40%</t>
  </si>
  <si>
    <t>210012_01</t>
  </si>
  <si>
    <t>D-097</t>
  </si>
  <si>
    <t>Unicorn</t>
  </si>
  <si>
    <t>Arbiter of Purity</t>
  </si>
  <si>
    <t>A kindhearted, considerate, and refined female dragon that looks like a white horse with a horn. Legends claim that her race cherishes pure maidens and despises men—though that doesn't seem to be the case with her.</t>
  </si>
  <si>
    <t>https://dragalialost.wiki/w/Unicorn</t>
  </si>
  <si>
    <t>Clear Jupiter's Trial: Expert 
(Dragon Trials)</t>
  </si>
  <si>
    <t>Immaculate Light</t>
  </si>
  <si>
    <t>(Light) HP +45%</t>
  </si>
  <si>
    <t>210114_01</t>
  </si>
  <si>
    <t>D-115</t>
  </si>
  <si>
    <t>Ebisu</t>
  </si>
  <si>
    <t>A feline dragon who failed in his dream to be chosen as one of the Great Twelve. Feeling resentful toward Daikokuten, he chased him all the way to Alberia. He now spends his days sunbathing and thinking of his still-intact dream.</t>
  </si>
  <si>
    <t>https://dragalialost.wiki/w/Ebisu_(Dragon)</t>
  </si>
  <si>
    <t>Clear Ebisu Showdown: Expert 
(A Clawful Caper)</t>
  </si>
  <si>
    <t>Taiyaki Time</t>
  </si>
  <si>
    <t>Combo 1: 360% x 1
Combo 2: 414% x 1
Combo 3: 612% x 1</t>
  </si>
  <si>
    <t>Combo 1: 370% x 1
Combo 2: 420% x 1
Combo 3: 620% x 1</t>
  </si>
  <si>
    <t>(Shadow) HP +40%</t>
  </si>
  <si>
    <t>210008_01</t>
  </si>
  <si>
    <t>D-044</t>
  </si>
  <si>
    <t>Poliʻahu</t>
  </si>
  <si>
    <t>Placid Guide</t>
  </si>
  <si>
    <t>A calm dragon from the base of the Soltima Alps who always looks at the big picture. She's said to have been mischievous in the past, but she never speaks of this, preferring instead to give advice and guidance to any who are lost.</t>
  </si>
  <si>
    <t>https://dragalialost.wiki/w/Poliʻahu</t>
  </si>
  <si>
    <t>Clear Mercury's Trial: Expert 
(Dragon Trials)</t>
  </si>
  <si>
    <t>Lilinoe's Mist</t>
  </si>
  <si>
    <t>Combo 1: 392% x 1
Combo 2: 432% x 1
Combo 3: 164% x 2</t>
  </si>
  <si>
    <t>Combo 1: 400% x 1
Combo 2: 450% x 1
Combo 3: 200% x 2</t>
  </si>
  <si>
    <t>(Element) Strength +55% &amp; Shield = Strength +35%</t>
  </si>
  <si>
    <t>Z Divergent Shield</t>
  </si>
  <si>
    <t>210117_01</t>
  </si>
  <si>
    <t>D-058</t>
  </si>
  <si>
    <t>AC-011 Garland</t>
  </si>
  <si>
    <t>Revolutionary Warrior</t>
  </si>
  <si>
    <t>An anti-air dragon from the militant dragon group Pravda. He has a strong sense of integrity, and fights alongside humankind despite the ancient laws that would forbid such an alliance.</t>
  </si>
  <si>
    <t>https://dragalialost.wiki/w/AC-011_Garland</t>
  </si>
  <si>
    <t>Clear Grimnir's Trial: Standard 
(Trials of the Mighty)</t>
  </si>
  <si>
    <t>Shredding Storm</t>
  </si>
  <si>
    <t>Combo 1: 360% x 1
Combo 2: 576% x 1
Combo 3: 594% x 1</t>
  </si>
  <si>
    <t>Combo 1: 360% x 1
Combo 2: 600% x 1
Combo 3: 600% x 1</t>
  </si>
  <si>
    <t>(Wind) Dauntless Rampart III</t>
  </si>
  <si>
    <t>210046_01</t>
  </si>
  <si>
    <t>D-119</t>
  </si>
  <si>
    <t>Nyarlathotep</t>
  </si>
  <si>
    <t>Crawling Chaos</t>
  </si>
  <si>
    <t>A mysterious dragon who dwells in the Library Obscura. His words are difficult to parse; his conduct inscrutable. He claims to be an Emissary for something called the Ancient One, and that his name is but a word for many beings.</t>
  </si>
  <si>
    <t>https://dragalialost.wiki/w/Nyarlathotep</t>
  </si>
  <si>
    <t>Upgrade the Library Obscura to Lv. 35 
(The Accursed Archives)</t>
  </si>
  <si>
    <t>All-Encompassing Darkness</t>
  </si>
  <si>
    <t>Combo 1: 420% x 1
Combo 2: 462% x 1
Combo 3: 294% x 2</t>
  </si>
  <si>
    <t>Combo 1: 420% x 1
Combo 2: 470% x 1
Combo 3: 300% x 2</t>
  </si>
  <si>
    <t>(Element) Strength +50% &amp; Surge of Strength II</t>
  </si>
  <si>
    <t>200009_01</t>
  </si>
  <si>
    <t>D-007</t>
  </si>
  <si>
    <t>Gala Mars</t>
  </si>
  <si>
    <t>Forbidden Flamebringer</t>
  </si>
  <si>
    <t>A dragon famed for being the strongest in history. A hundred kingdoms were razed by his fires, which is why humans dubbed him the Blazewyrm. He later forged a pact with Leonidas and allowed himself to be twisted by the power of alchemy.</t>
  </si>
  <si>
    <t>https://dragalialost.wiki/w/Gala_Mars</t>
  </si>
  <si>
    <t>Clear Mars's Trial: Standard 
(Trials of the Mighty)</t>
  </si>
  <si>
    <t>Alchemical Hellfire</t>
  </si>
  <si>
    <t>Combo 1: 540% x 1
Combo 2: 594% x 1
Combo 3: 324% x 3</t>
  </si>
  <si>
    <t>Combo 1: 550% x 1
Combo 2: 600% x 1
Combo 3: 330% x 3</t>
  </si>
  <si>
    <t>(Flame) Strength V &amp; HP 50% = Strength +20%</t>
  </si>
  <si>
    <t>(Flame) Ending Shapeshift = Skill Gauges +100%</t>
  </si>
  <si>
    <t>(Element) Strength +90%</t>
  </si>
  <si>
    <t>(Element) Ending Shapeshift = Skill Gauges +100%</t>
  </si>
  <si>
    <t>Z Shapeshift = Skill Prep</t>
  </si>
  <si>
    <t>210152_01</t>
  </si>
  <si>
    <t>D-052</t>
  </si>
  <si>
    <t>Rose Queen</t>
  </si>
  <si>
    <t>Solitary Rose</t>
  </si>
  <si>
    <t>A beguiling dragon with the regal aura of a queen who prizes her beauty above all else. Master of rose and briar, she lies in woodland repose behind an impenetrable thorn wall of her own creation.</t>
  </si>
  <si>
    <t>https://dragalialost.wiki/w/Rose_Queen</t>
  </si>
  <si>
    <t>Clear Chronos Nyx Clash: Expert 
(Rage of Chronos)</t>
  </si>
  <si>
    <t>Sullen Rose</t>
  </si>
  <si>
    <t>Combo 1: 485% x 1
Combo 2: 268% x 2
Combo 3: 680% x 1</t>
  </si>
  <si>
    <t>Combo 1: 500% x 1
Combo 2: 280% x 2
Combo 3: 700% x 1</t>
  </si>
  <si>
    <t>(Wind) Slayer's Strength +2%</t>
  </si>
  <si>
    <t>210123_01</t>
  </si>
  <si>
    <t>D-114</t>
  </si>
  <si>
    <t>Fatalis</t>
  </si>
  <si>
    <t>The Black Dragon</t>
  </si>
  <si>
    <t>The Black Dragon of legend from another world. Its name has been whispered in fearsome tones since antiquity, for it is said to have razed entire kingdoms in but a night. Such stories were thought more faerie tale than truth, and yet…</t>
  </si>
  <si>
    <t>https://dragalialost.wiki/w/Fatalis</t>
  </si>
  <si>
    <t>Clear Fatalis Clash: G★★ 
(Monster Hunter Primal Crisis)</t>
  </si>
  <si>
    <t>Dust Explosion</t>
  </si>
  <si>
    <t>Combo 1: 430% x 1
Combo 2: 430% x 1
Combo 3a: 220% x 1
Combo 3b: 586% x 1</t>
  </si>
  <si>
    <t>Combo 1: 440% x 1
Combo 2: 440% x 1
Combo 3a: 240% x 1
Combo 3b: 600% x 1</t>
  </si>
  <si>
    <t>(Shadow) Strength +30%</t>
  </si>
  <si>
    <t>210122_01</t>
  </si>
  <si>
    <t>D-008</t>
  </si>
  <si>
    <t>Dreadking Rathalos</t>
  </si>
  <si>
    <t>Dreadking</t>
  </si>
  <si>
    <t>The Dreadking rules the skies, and its massive body, ebon wings, crimson breath, and noble pride serve as proof of its sovereignty. It pays little heed to mere humans, but any fool enough to violate its territory face a terrible judgment.</t>
  </si>
  <si>
    <t>https://dragalialost.wiki/w/Dreadking_Rathalos</t>
  </si>
  <si>
    <t>Clear Dreadking Rathalos's Trial 
(Monster Hunter Primal Crisis)</t>
  </si>
  <si>
    <t>Ignition Breath</t>
  </si>
  <si>
    <t>Combo 1: 440% x 1
Combo 2: 484% x 1
Combo 3a: 288% x 1
Combo 3b: 584% x 1</t>
  </si>
  <si>
    <t>Combo 1: 450% x 1
Combo 2: 500% x 1
Combo 3a: 300% x 1
Combo 3b: 600% x 1</t>
  </si>
  <si>
    <t>(Flame) Strength &amp; Force Strike Damage V</t>
  </si>
  <si>
    <t>(Flame) Striking Haste II &amp; Gauge Decelerator +30%</t>
  </si>
  <si>
    <t>(Element) Strength +70% &amp; Force Strike Damage +60%</t>
  </si>
  <si>
    <t>(Element) Striking Haste +30% &amp; Gauge Decelerator +30%</t>
  </si>
  <si>
    <t>Z Unique</t>
  </si>
  <si>
    <t>D-055</t>
  </si>
  <si>
    <t>Midgardsormr Zero</t>
  </si>
  <si>
    <t>Primal Stormbearer</t>
  </si>
  <si>
    <t>The Windwyrm who lived a thousand years ago. In the First War of Binding, he searched for harmony between people and dragon, then bequeathed his spirit to the next generation at the end of his life.</t>
  </si>
  <si>
    <t>https://dragalialost.wiki/w/Midgardsormr_Zero</t>
  </si>
  <si>
    <t>Clear Morsayati Clash: Omega 
(Forgotten Truths)</t>
  </si>
  <si>
    <t>Primal Tempest</t>
  </si>
  <si>
    <t>Combo 1: 210% x 2
Combo 2: 330% x 2
Combo 3: 450% x 2</t>
  </si>
  <si>
    <t>Combo 1: 230% x 2
Combo 2: 350% x 2
Combo 3: 450% x 2</t>
  </si>
  <si>
    <t>(Wind) HP &amp; Strength +35%</t>
  </si>
  <si>
    <t>(Wind) Flurry Skill +70%</t>
  </si>
  <si>
    <t>210173_01</t>
  </si>
  <si>
    <t>D-076</t>
  </si>
  <si>
    <t>Gala Elysium</t>
  </si>
  <si>
    <t>Custodian of the World</t>
  </si>
  <si>
    <t>A dragon said to have forged a pact with Ilia to seal away the Other during the First War of Binding. Called the Holywyrm, he is worshipped by many, and serves as custodian of the world so he might watch over the "children of man."</t>
  </si>
  <si>
    <t>https://dragalialost.wiki/w/Gala_Elysium</t>
  </si>
  <si>
    <t>Clear Elysium Clash: Omega 
(Dawn of Dragalia)</t>
  </si>
  <si>
    <t>Holy Bastion</t>
  </si>
  <si>
    <t>Combo 1: 965% x 1
Combo 2: 1128% x 1
Combo 3: 1420% x 1</t>
  </si>
  <si>
    <t>Combo 1: 1000% x 1
Combo 2: 1150% x 1
Combo 3: 1450% x 1</t>
  </si>
  <si>
    <t>(Light) Holywyrm's Grace V</t>
  </si>
  <si>
    <t>Holywyrm's Judgment II</t>
  </si>
  <si>
    <t>Holywyrm's Grace V</t>
  </si>
  <si>
    <t>210164_01</t>
  </si>
  <si>
    <t>D-077</t>
  </si>
  <si>
    <t>Gala Chronos Nyx</t>
  </si>
  <si>
    <t>Sovereign of Time</t>
  </si>
  <si>
    <t>A dragon who came here from another world and wields the power to manipulate time. He refers to the prince as "my liege," and seems cooperative, but his true master is located in another world. Who could that person be...?</t>
  </si>
  <si>
    <t>https://dragalialost.wiki/w/Gala_Chronos_Nyx</t>
  </si>
  <si>
    <t>Clear Chronos Nyx Clash: Omega 
(Fractured Futures)</t>
  </si>
  <si>
    <t>Dimensional Oblivion</t>
  </si>
  <si>
    <t>(Light) Strength +100%</t>
  </si>
  <si>
    <t>200018_01</t>
  </si>
  <si>
    <t>D-083</t>
  </si>
  <si>
    <t>Gala Thor</t>
  </si>
  <si>
    <t>The Fulminator</t>
  </si>
  <si>
    <t>Valyx's pactwyrm commands lightning itself, and has taken the title of Fulminator. Thor possesses power great enough to reduce battlefields to ash, and his beliefs as a warrior also influence the man with whom he has sworn a pact.</t>
  </si>
  <si>
    <t>https://dragalialost.wiki/w/Gala_Thor</t>
  </si>
  <si>
    <t>Clear Thor's Trial: Standard 
(Trials of the Mighty)</t>
  </si>
  <si>
    <t>Thor's Hammer</t>
  </si>
  <si>
    <t>Combo 1: 210% x 1
Combo 2: 252% x 1
Combo 3: 58% x 12</t>
  </si>
  <si>
    <t>Combo 1: 230% x 1
Combo 2: 270% x 1
Combo 3: 70% x 12</t>
  </si>
  <si>
    <t>(Light) Chariot Rider V</t>
  </si>
  <si>
    <t>(Light) Thunder Bringer II</t>
  </si>
  <si>
    <t>(Element) Strength +60%</t>
  </si>
  <si>
    <t>210162_01</t>
  </si>
  <si>
    <t>D-102</t>
  </si>
  <si>
    <t>Gala Bahamut</t>
  </si>
  <si>
    <t>Imposing Wings of Black</t>
  </si>
  <si>
    <t>A powerful dragon who has existed since primordial times. He wanted people and dragons to have free will and potential, but he lost his body in the fight against the Progenitor and can no longer interact with the world.</t>
  </si>
  <si>
    <t>https://dragalialost.wiki/w/Gala_Bahamut</t>
  </si>
  <si>
    <t>Clear Chapter 21: Hard 
(Main Campaign)</t>
  </si>
  <si>
    <t>Cataclysm Beam</t>
  </si>
  <si>
    <t>Combo 1: 180% x 4
Combo 2: 964% x 1
Combo 3: 676% x 4
Combo 4: 1826% x 1</t>
  </si>
  <si>
    <t>Combo 1: 200% x 4
Combo 2: 970% x 1
Combo 3: 680% x 4
Combo 4: 1830% x 1</t>
  </si>
  <si>
    <t>(Shadow) Strength +120%</t>
  </si>
  <si>
    <t>(Element) Strength +120%</t>
  </si>
  <si>
    <t>210148_01</t>
  </si>
  <si>
    <t>D-104</t>
  </si>
  <si>
    <t>High Chthonius</t>
  </si>
  <si>
    <t>Eternal Dreamer</t>
  </si>
  <si>
    <t>The Netherwyrm Chthonius, having unlocked his hidden power within. Though he once wandered the abyss of death, he has since effected a grand revival. Ever loyal to Alberius, he spreads his wings once more to serve his king's will.</t>
  </si>
  <si>
    <t>https://dragalialost.wiki/w/High_Chthonius</t>
  </si>
  <si>
    <t>Clear Elysium Clash: Nightmare 
(Dawn of Dragalia)</t>
  </si>
  <si>
    <t>Netherblast</t>
  </si>
  <si>
    <t>Combo 1: 269% x 1
Combo 2: 269% x 2
Combo 3a: 269% x 1
Combo 3b: 289% x 2</t>
  </si>
  <si>
    <t>Combo 1: 300% x 1
Combo 2: 300% x 2
Combo 3a: 300% x 1
Combo 3b: 300% x 2</t>
  </si>
  <si>
    <t>(Shadow) Strength &amp; High Dragon's Might V</t>
  </si>
  <si>
    <t>(Shadow) Steeled Dragon's Endurance II</t>
  </si>
  <si>
    <t>(Element) Strength +65%</t>
  </si>
  <si>
    <t>(Element) Shapeshift = HP +30% &amp; Strength +40%</t>
  </si>
  <si>
    <t>210138_01</t>
  </si>
  <si>
    <t>D-105</t>
  </si>
  <si>
    <t>Arsène</t>
  </si>
  <si>
    <t>Pillager of Twilight</t>
  </si>
  <si>
    <t>Joker's Persona, distinguished by its mask-like face and massive black wings. From where does this Persona fare? And what power does it hold beneath its haunting visage?</t>
  </si>
  <si>
    <t>https://dragalialost.wiki/w/Arsène</t>
  </si>
  <si>
    <t>Clear Monarch Emile Clash: Omega 
(Persona 5 Strikers Caged Desire)</t>
  </si>
  <si>
    <t>Maeiga</t>
  </si>
  <si>
    <t>Combo 1: 490% x 1
Combo 2: 570% x 1
Combo 3: 780% x 1
Combo 4: 780% x 1
Combo 5: 780% x 1</t>
  </si>
  <si>
    <t>Combo 1: 500% x 1
Combo 2: 580% x 1
Combo 3: 800% x 1
Combo 4: 800% x 1
Combo 5: 800% x 1</t>
  </si>
  <si>
    <t>Skill Damage +90%</t>
  </si>
  <si>
    <t>(Element) Skill Damage +90%</t>
  </si>
  <si>
    <t>200017_01</t>
  </si>
  <si>
    <t>D-108</t>
  </si>
  <si>
    <t>Gala Cat Sìth</t>
  </si>
  <si>
    <t>Capricious Feline</t>
  </si>
  <si>
    <t>A dragon sworn to Chelle who enjoys people- watching and midnight walks. Her cute exterior belies a mischievous caprice, and she treats untrusted people as playthings. Her callousness and passion match her pactbound human.</t>
  </si>
  <si>
    <t>https://dragalialost.wiki/w/Gala_Cat_Sìth</t>
  </si>
  <si>
    <t>Clear Chapter 17: Very Hard 
(Main Campaign)</t>
  </si>
  <si>
    <t>Elegant Artifice</t>
  </si>
  <si>
    <t>Combo 1: 600% x 1
Combo 2: 720% x 1
Combo 3: 900% x 1</t>
  </si>
  <si>
    <t>Combo 1: 600% x 1
Combo 2: 750% x 1
Combo 3: 900% x 1</t>
  </si>
  <si>
    <t>(Shadow) Skillful Trickery V</t>
  </si>
  <si>
    <t>(Shadow) Ending Shapeshift = Skillful Trickery V</t>
  </si>
  <si>
    <t>(Element) Skill Damage +180</t>
  </si>
  <si>
    <t>Type</t>
  </si>
  <si>
    <t>Deals 1 hit of 2800% flame damage to enemies in a line and inflicts burn for 60 seconds - dealing 72.7% flame damage every 3.9 seconds - with 110% chance and scorchrend for 60 seconds - dealing 31.1% flame damage every 2.9 seconds - with 110% chance.</t>
  </si>
  <si>
    <t>Deals 1 hit of 2800% flame damage to enemies in a line and inflicts burn for 60 seconds - dealing 100% flame damage every 2.9 seconds - with 200% chance and scorchrend for 60 seconds - dealing 100% flame damage every 2.9 seconds - with 200% chance.</t>
  </si>
  <si>
    <t>Burn &amp; Scorchrend</t>
  </si>
  <si>
    <t>Deals 5 hits of 450% flame damage to the target and nearby enemies, draws them together, and inflicts scorchrend for 21 seconds - dealing 41.6% flame damage every 2.9 seconds - with 120% chance.</t>
  </si>
  <si>
    <t>Deals 5 hits of 450% flame damage to the target and nearby enemies, draws them together, and inflicts scorchrend for 42 seconds - dealing 100% flame damage every 2.9 seconds - with 200% chance.</t>
  </si>
  <si>
    <t>Deals 1 hit of 1078% and 1 hit of 1470% flame damage to enemies directly ahead, and inflicts scorchrend for 21 seconds - dealing 41.6% flame damage every 2.9 seconds - with 120% chance. Enemies in break state take 1 hit of 808.5% and 1 hit of 1102.5% flame damage instead. If the user is targeting an enemy and not using a skill when their remaining shapeshift time runs out, this skill will be used automatically, regardless of whether or not the skill gauge is filled.</t>
  </si>
  <si>
    <t>Deals 1 hit of 1100% and 1 hit of 1500% flame damage to enemies directly ahead, and inflicts scorchrend for 42 seconds - dealing 100% flame damage every 2.9 seconds - with 200% chance. If the user is targeting an enemy and not using a skill when their remaining shapeshift time runs out, this skill will be used automatically, regardless of whether or not the skill gauge is filled.</t>
  </si>
  <si>
    <t>Deals 1 hit of 2500% flame damage to enemies in a line, and lowers their flame resistance by 10% for the remainder of the quest. This resistance reduction will not stack.</t>
  </si>
  <si>
    <t>Deals 1 hit of 2500% flame damage to enemies in a line, inflicts scorchrend for 42 seconds - dealing 100% flame damage every 2.9 seconds - with 200% base chance. Also, lowers their flame resistance by 10% for the remainder of the quest and grants the user the "Mantra of Compassion" effect. This resistance reduction will not stack.</t>
  </si>
  <si>
    <t>Deals 2 hits of 1008% flame damage to surrounding enemies.</t>
  </si>
  <si>
    <t>Deals 2 hits of 1200% flame damage to surrounding enemies.</t>
  </si>
  <si>
    <t>Deals 16 shots of 88% flame damage to multiple targets.</t>
  </si>
  <si>
    <t>Deals 16 shots of 125% flame damage to multiple targets and inflicts scorchrend for 42 seconds - dealing 100% flame damage every 2.9 seconds - with 200% base chance.</t>
  </si>
  <si>
    <t>Deals 3 hits of 500% flame damage to enemies directly ahead, draws them toward the user, and increases the user's strength by 20% for 20 seconds. It is possible to charge this skill's gauge by attacking, and use it up to twice during one shapeshift.</t>
  </si>
  <si>
    <t>Deals 3 hits of 700% flame damage to enemies directly ahead, draws them toward the user, and increases the user's strength by 20% for 20 seconds. Also, grants the entire team a Team Strength Amp (MAX Lv. = 1).</t>
  </si>
  <si>
    <t>Deals 1 hit of 200% and 1 hit of 800% flame damage to enemies directly ahead, and inflicts burn - dealing 97% flame damage every 3.9 seconds for 12 seconds - with a 120% base chance.</t>
  </si>
  <si>
    <t>Deals 1 hit of 400% and 1 hit of 1600% flame damage to enemies directly ahead, and inflicts burn - dealing 100% flame damage every 2.9 seconds for 42 seconds - with a 200% base chance.</t>
  </si>
  <si>
    <t>Deals 3 hits of 66% and 3 hits of 266% flame damage to the target and nearby enemies 3 times, and inflicts burn - dealing 97% damage every 3.9 seconds for 12 seconds - with 120% base chance.</t>
  </si>
  <si>
    <t>Deals 3 hits of 100% and 3 hits of 550% flame damage to the target and nearby enemies 3 times, and inflicts scorchrend for 42 seconds - dealing 100% flame damage every 2.9 seconds - with 200% chance.</t>
  </si>
  <si>
    <t>Deals 3 hits of 440% flame damage to surrounding enemies, and inflicts burn for 12 seconds - dealing 97% flame damage every 3.9 seconds - with 120% base chance.</t>
  </si>
  <si>
    <t>Deals 3 hits of 650% flame damage to surrounding enemies, and inflicts burn for 42 seconds - dealing 50% flame damage every 2.9 seconds - with 200% base chance.</t>
  </si>
  <si>
    <t>Deals 1 hit of 360% and 1 hit of 840% flame damage to the target and nearby enemies, inflicts burn for 30 seconds - dealing 41.5% flame damage every 3.9 seconds - with 120% base chance, and reduces their defense by 5% for 10 seconds.</t>
  </si>
  <si>
    <t>Deals 1 hit of 700% and 1 hit of 1300% flame damage to the target and nearby enemies, inflicts burn for 42 seconds - dealing 41.5% flame damage every 2.9 seconds - with 200% base chance, and reduces their defense by 10% for 10 seconds.</t>
  </si>
  <si>
    <t>Deals 1 hit of 600% and 1 hit of 1400% flame damage to enemies directly ahead, and inflicts stun for 6-7 seconds with 180% base chance.</t>
  </si>
  <si>
    <t>Deals 1 hit of 600% and 1 hit of 1400% flame damage to enemies directly ahead, inflicts stun for 6-7 seconds with 200% base chance, and inflicts burn for 42 seconds - dealing 100% slame damage every 2.9 seconds - with 200% base chance. Also, grants the entire team a team critical damage amp (Team Amp MAX Lv. = 1).</t>
  </si>
  <si>
    <t>2.6 second(s)</t>
  </si>
  <si>
    <t>Deals 1 hit of 1320% flame damage to the target and nearby enemies, and increases the damage dealt by the user's next skill by 40%.</t>
  </si>
  <si>
    <t>Deals 1 hit of 2000% flame damage to the target and nearby enemies, inflicts scorchrend for 42 seconds - dealing 100% flame damage every 2.9 seconds - with 200% chance, and increases the damage dealt by the user's next skill by 40%.</t>
  </si>
  <si>
    <t>Deals 1 hit of 1120% flame damage to the target and nearby enemies.</t>
  </si>
  <si>
    <t>Deals 1 hit of 2000% flame damage to the target and nearby enemies, and inflicts scorchrend for 42 seconds - dealing 100% flame damage every 2.9 seconds - with 200% chance.</t>
  </si>
  <si>
    <t>Deals 4 hits of 500% flame damage to enemies in a line.</t>
  </si>
  <si>
    <t>Deals 4 hits of 500% flame damage to enemies in a line, and inflicts scorchrend for 42 seconds - dealing 100% flame damage every 2.9 seconds - with 200% chance.</t>
  </si>
  <si>
    <t>Deals 7 hits of 220% flame damage to the target and nearby enemies, and inflicts burn for 12 seconds - dealing 97% flame damage every 3.9 seconds - with 120% base chance. Also reduces their strength by 5% for 10 seconds with 30% base chance and defense by 5% for 10 seconds with 100% base chance.</t>
  </si>
  <si>
    <t>Deals 7 hits of 300% flame damage to the target and nearby enemies, and inflicts burn for 42 seconds - dealing 50% flame damage every 2.9 seconds - with 200% base chance. Also reduces their strength and defense by 5% for 10 seconds. In addition, grants the entire team a Team Strength Amp (MAX Lv. = 3).</t>
  </si>
  <si>
    <t>Deals 2 hits of 440% flame damage to surrounding enemies, and inflicts burn for 12 seconds - dealing 97% flame damage every 3.9 seconds - with 120% base chance.</t>
  </si>
  <si>
    <t>Deals 2 hits of 1000% flame damage to surrounding enemies, and inflicts burn for 42 seconds - dealing 50% flame damage every 2.9 seconds - with 200% base chance.</t>
  </si>
  <si>
    <t>Deals 1 hit of 1788% flame damage to enemies directly ahead, and inflicts burn for 12 seconds - dealing 97% flame damage every 3.9 seconds - with 120% base chance.</t>
  </si>
  <si>
    <t>Deals 1 hit of 2000% flame damage to enemies directly ahead, and inflicts burn for 42 seconds - dealing 50% flame damage every 2.9 seconds - with 200% base chance.</t>
  </si>
  <si>
    <t>5.7 second(s)</t>
  </si>
  <si>
    <t>Deals 2 hits of 980% flame damage to enemies in a line.</t>
  </si>
  <si>
    <t>Deals 1 hit of 504% and 1 hit of 756% flame damage to enemies directly ahead and inflicts burn for 12 seconds - dealing 88.3% flame damage every 3.9 seconds - with 110% base chance.</t>
  </si>
  <si>
    <t>Deals 1 hit of 800% and 1 hit of 1200% flame damage to enemies directly ahead and inflicts scorchrend for 42 seconds - dealing 100% flame damage every 2.9 seconds - with 200% base chance.</t>
  </si>
  <si>
    <t>Restores HP to all allies with 51% Recovery Potency and applies Regen for 15 seconds, healing with 41% Regen Potency every 2.9 seconds.</t>
  </si>
  <si>
    <t>Restores HP to all allies with 60% Recovery Potency, continues healing over the next 20 seconds with 35% Recovery Potency every 2.9 seconds.</t>
  </si>
  <si>
    <t>027</t>
  </si>
  <si>
    <t>Deals up to 8 hits of 259% flame damage to enemies directly ahead. Movement is possible during the attack.</t>
  </si>
  <si>
    <t>Deals up to 8 hits of 270% flame damage to enemies directly ahead, and inflicts burn for 42 seconds - dealing 50% flame damage every 2.9 seconds - with 200% base chance. Movement is possible during the attack.</t>
  </si>
  <si>
    <t>Deals 2 hits of 348% flame damage to the target and nearby enemies.</t>
  </si>
  <si>
    <t>Deals 2 hits of 1000% flame damage to the target and nearby enemies.</t>
  </si>
  <si>
    <t>Deals 1 hit of 1008% flame damage to enemies in a line.</t>
  </si>
  <si>
    <t>Deals 1 hit of 2000% flame damage to enemies in a line.</t>
  </si>
  <si>
    <t>026</t>
  </si>
  <si>
    <t>Deals 1 hit of 1036% flame damage to enemies directly ahead.</t>
  </si>
  <si>
    <t>Deals 1 hit of 2000% flame damage to enemies directly ahead.</t>
  </si>
  <si>
    <t>Deals 1 hit of 2400% water damage to surrounding enemies and inflicts frostbite for 21 seconds - dealing 41% water damage every 2.9 seconds - with 120% chance.</t>
  </si>
  <si>
    <t>Deals 1 hit of 2400% water damage to surrounding enemies and inflicts frostbite for 42 seconds - dealing 50% water damage every 2.9 seconds - with 200% base chance.</t>
  </si>
  <si>
    <t>Deals 1 hit of 1800% water damage to enemies directly ahead, inflicts bleeding for 30 seconds - dealing 146% water damage every 4.9 seconds - with 100% chance, and grants the entire team a Team Strength Amp (MAX Lv. = 2).</t>
  </si>
  <si>
    <t>Deals 1 hit of 2000% water damage to enemies directly ahead, inflicts bleeding for 60 seconds - dealing 150% water damage every 4.9 seconds - with 100% chance, and grants the entire team a Team Strength Amp (MAX Lv. = 3).</t>
  </si>
  <si>
    <t>Deals 2 hits of 1008% water damage to surrounding enemies.</t>
  </si>
  <si>
    <t>Deals 2 hits of 1200% water damage to surrounding enemies.</t>
  </si>
  <si>
    <t>Deals 1 hit of 1722% water damage to enemies in a line, and inflicts frostbite for 21 seconds - dealing 41% water damage every 2.9 seconds - with 120% chance.</t>
  </si>
  <si>
    <t>Deals 1 hit of 2000% water damage to enemies in a line, and inflicts frostbite for 42 seconds - dealing 50% water damage every 2.9 seconds - with 200% base chance.</t>
  </si>
  <si>
    <t>Deals 1 hit of 534% and 1 hit of 1246% water damage to the target and nearby enemies. If the user is targeting an enemy and not using a skill when their remaining shapeshift time runs out, this skill will be used automatically, regardless of whether or not the skill gauge is filled.</t>
  </si>
  <si>
    <t>Deals 1 hit of 700% and 1 hit of 1500% water damage to the target and nearby enemies, and inflicts frostbite for 42 seconds - dealing 100% water damage every 2.9 seconds - with 200% chance. If the user is targeting an enemy and not using a skill when their remaining shapeshift time runs out, this skill will be used automatically, regardless of whether or not the skill gauge is filled.</t>
  </si>
  <si>
    <t>Deals x hits of 180% water damage to enemies in a line. Damage will be increased based on the number of Ice Spirit stacks the user has. 0 stacks: 6 hits. 1 stack: 9 hits. 2 stacks: 12 hits. 3 stacks: 16 hits. Ice Spirit stacks are gained through Styx's normal attacks, and can stack up to 3 times. All Ice Spirit stacks will be consumed when the user uses this skill, or when their shapeshift is undone.</t>
  </si>
  <si>
    <t>Deals 16 hits of 200% water damage to enemies in a line, inflicts frostbite for 42 seconds - dealing 100% water damage every 2.9 seconds - with 200% base chance. Also, lowers their water resistance by 10% for the remainder of the quest and grants the user the "Mantra of Compassion" effect. This resistance reduction will not stack.</t>
  </si>
  <si>
    <t>Creates a buff zone that lasts for 10 seconds and gradually fills the skill gauges of adventurers inside it by 9.1% every 0.9 seconds.</t>
  </si>
  <si>
    <t>Creates a buff zone that lasts for 10 seconds and gradually fills the skill gauges of adventurers inside it by 10% every 0.9 seconds.</t>
  </si>
  <si>
    <t>Restores HP to the user with 45% Recovery Potency, raises the dragon gauge by 20%, and extends shapeshift time by 5 seconds. Shapeshift time cannot exceed the maximum permitted time.</t>
  </si>
  <si>
    <t>Restores HP to all allies with 60% Recovery Potency, raises the dragon gauge by 20%, and extends shapeshift time by 5 seconds. Shapeshift time cannot exceed the maximum permitted time. Also, grants the entire team a team critical damage amp (Team Amp MAX Lv. = 1).</t>
  </si>
  <si>
    <t>Deals 4 hits of 300% water damage to the target and nearby enemies, and inflicts freeze for 3-6 seconds with 180% base chance.</t>
  </si>
  <si>
    <t>Deals 4 hits of 500% water damage to the target and nearby enemies, and inflicts freeze for 3-6 seconds with 200% base chance and frostbite for 42 seconds - dealing 100% water damage every 2.9 seconds - with 200% chance.</t>
  </si>
  <si>
    <t>Restores HP to all allies with 51% Recovery Potency, and creates a buff zone that lasts for 10 seconds and increases the skill damage of adventurers inside it by 30%.</t>
  </si>
  <si>
    <t>Restores HP to all allies with 60% Recovery Potency, and creates a buff zone that lasts for 10 seconds and increases the skill damage of adventurers inside it by 40%.</t>
  </si>
  <si>
    <t>Deals 12 hits of 108% water damage to enemies directly ahead, and restores HP to all allies with 30% Recovery Potency.</t>
  </si>
  <si>
    <t>Deals 12 hits of 150% water damage to enemies directly ahead, and restores HP to all allies with 60% Recovery Potency.</t>
  </si>
  <si>
    <t>Deals 1 hit of 1324% water damage to enemies directly ahead, and inflicts bog for 8 seconds with 180% base chance.</t>
  </si>
  <si>
    <t>Deals 1 hit of 2000% water damage to enemies directly ahead, and inflicts bog for 8 seconds with 200% base chance and frostbite for 42 seconds - dealing 100% water damage every 2.9 seconds - with 200% chance. Also, grants the entire team a team defense amp (Team Amp MAX Lv. = 1).</t>
  </si>
  <si>
    <t>Deals 3 hits of 408% water damage to enemies directly ahead, and inflicts freeze for 3-6 seconds with 180% base chance.</t>
  </si>
  <si>
    <t>Deals 3 hits of 650% water damage to enemies directly ahead, inflicts freeze for 3-6 seconds with 200% base chance and frostbite for 42 seconds - dealing 100% water damage every 2.9 seconds - with 200% chance, and increases the entire team's defense by 30% for 15 seconds.</t>
  </si>
  <si>
    <t>Deals 1 hit of 1000% water damage to surrounding enemies, and increases the damage dealt by the user's next skill by 40%.</t>
  </si>
  <si>
    <t>Deals 1 hit of 2000% water damage to surrounding enemies, inflicts frostbite for 42 seconds - dealing 100% water damage every 2.9 seconds - with 200% chance, and increases the damage dealt by the user's next skill by 40%.</t>
  </si>
  <si>
    <t>Deals 1 hit of 1827% water damage to enemies directly ahead, and inflicts bog for 8 seconds with 180% base chance.</t>
  </si>
  <si>
    <t>Deals 1 hit of 2000% water damage to enemies directly ahead, inflicts bog for 8 seconds with 200% base chance, and inflicts frostbite for 42 seconds - dealing 100% water damage every 2.9 seconds - with 200% chance.</t>
  </si>
  <si>
    <t>Deals 6 hits of 300% water damage to surrounding enemies, draws them toward the user, and inflicts bog for 8 seconds with 180% base chance.</t>
  </si>
  <si>
    <t>Deals 6 hits of 350% water damage to surrounding enemies, draws them toward the user, inflicts bog for 8 seconds with 200% base chance, and inflicts frostbite for 42 seconds - dealing 100% water damage every 2.9 seconds - with 200% base chance.</t>
  </si>
  <si>
    <t>Deals 1 hit of 369.6% and 1 hit of 862.4% water damage to the target and nearby enemies.</t>
  </si>
  <si>
    <t>Deals 1 hit of 500% and 1 hit of 1500% water damage to the target and nearby enemies, inflicts bog for 8 seconds with 200% base chance, and inflicts frostbite for 42 seconds - dealing 100% water damage every 2.9 seconds - with 200% chance.</t>
  </si>
  <si>
    <t>Deals 3 hits of 308% water damage to enemies directly ahead.</t>
  </si>
  <si>
    <t>Deals 3 hits of 650% water damage to enemies directly ahead, and inflicts frostbite for 42 seconds - dealing 100% water damage every 2.9 seconds - with 200% chance.</t>
  </si>
  <si>
    <t>Deals 1 hit of 411.6% and 1 hit of 960.4% water damage to the target and nearby enemies and inflicts freeze for 3-6 seconds with 140% base chance.</t>
  </si>
  <si>
    <t>Deals 1 hit of 700% and 1 hit of 1300% water damage to the target and nearby enemies, and inflicts freeze for 3-6 seconds with 200% base chance and and frostbite for 42 seconds - dealing 100% water damage every 2.9 seconds - with 200% chance.</t>
  </si>
  <si>
    <t>Deals 1 hit of 616% water damage to enemies in a line.</t>
  </si>
  <si>
    <t>Deals 1 hit of 2000% water damage to enemies in a line, and inflicts bog for 8 seconds with 200% base chance.</t>
  </si>
  <si>
    <t>Increases the entire team's defense by 25% for 15 seconds.</t>
  </si>
  <si>
    <t>Increases the entire team's strength, defense, and critical rate by 25% for 20 seconds, and increases their energy levels by 3 stages. Also, grants the entire team a team defense amp (Team Amp MAX Lv. = 1).</t>
  </si>
  <si>
    <t>Deals 1 hit of 1008% water damage to surrounding enemies.</t>
  </si>
  <si>
    <t>Deals 1 hit of 2000% water damage to surrounding enemies.</t>
  </si>
  <si>
    <t>Deals 1 hit of 1036% water damage to enemies directly ahead.</t>
  </si>
  <si>
    <t>Deals 1 hit of 2000% water damage to enemies directly ahead.</t>
  </si>
  <si>
    <t>During close-quarters combat: deals 2 hits of 1478% wind damage to surrounding enemies, inflicts poison for 15 seconds - dealing 43.6% wind damage every 2.9 seconds - with 110% chance, and grants the entire team a team defense amp (MAX Lv. = 2). During ranged combat: deals 7 hits of 170% and 4 hits of 265% wind damage to the target and nearby enemies, inflicts stormlash for 21 seconds - dealing 31% wind damage every 2.9 seconds - with 110% chance, and grants overdamage to the entire team based on 40% of the user's strength for 180 seconds that does not stack.</t>
  </si>
  <si>
    <t>During close-quarters combat: deals 2 hits of 1500% wind damage to surrounding enemies, inflicts poison for 42 seconds - dealing 100% wind damage every 2.9 seconds - with 200% chance, and grants the entire team a team defense amp (MAX Lv. = 3). During ranged combat: deals 7 hits of 175% and 4 hits of 175% wind damage to the target and nearby enemies, inflicts stormlash for 42 seconds - dealing 100% wind damage every 2.9 seconds - with 200% chance, and grants overdamage to the entire team based on 50% of the user's strength for 180 seconds that does not stack.</t>
  </si>
  <si>
    <t>Poison &amp; Stormlash</t>
  </si>
  <si>
    <t>Deals 6 hits of 417% wind damage to the target and nearby enemies, inflicts stormlash for 21 seconds - dealing 41% wind damage every 2.9 seconds - with 120% chance and grants the user the "Mantra of Compassion" effect.</t>
  </si>
  <si>
    <t>Deals 6 hits of 420% wind damage to the target and nearby enemies, inflicts stormlash for 42 seconds - dealing 100% wind damage every 2.9 seconds - with 200% base chance. Also, lowers their wind resistance by 10% for the remainder of the quest and grants the user the "Mantra of Compassion" effect. This resistance reduction will not stack.</t>
  </si>
  <si>
    <t>268</t>
  </si>
  <si>
    <t xml:space="preserve">Grants the user the "Blood Moon" effect, grants the entire team a team strength amp (MAX Lv. = 3), and activates "Skill Shift." This skill will become Lunatic Desolation and be immediately readied for use. Lunatic Desolation consumes Blood Moon and all stacks of Moonlit Rage, deals wind damage to surrounding enemies, and inflicts stun for 6-7 seconds with 180% chance. This attack deals damage based on the number of Moonlit Rage stacks consumed. 0 to 3 stacks: 1 hit of 1098% wind damage. 4 to 6 stacks: 1 hit of 1618% wind damage. 7 to 9 stacks: 1 hit of 2244% wind damage. 10 stacks: 1 hit of 3600% wind damage. If this skill has become Lunatic Desolation and not yet been used when the user's remaining shapeshift time runs out, it will be used automatically.
</t>
  </si>
  <si>
    <t>Grants the user the "Blood Moon" effect, grants the entire team a team strength amp (MAX Lv. = 3), and activates "Skill Shift." This skill will become Lunatic Desolation and be immediately readied for use. Lunatic Desolation consumes Blood Moon and all stacks of Moonlit Rage, deals wind damage to surrounding enemies, and inflicts stun for 6-7 seconds with 200% chance. This attack deals damage based on the number of Moonlit Rage stacks consumed. 0 to 3 stacks: 1 hit of 1100% wind damage. 4 to 6 stacks: 1 hit of 1650% wind damage. 7 to 9 stacks: 1 hit of 2300% wind damage. 10 stacks: 1 hit of 3600% wind damage. If this skill has become Lunatic Desolation and not yet been used when the user's remaining shapeshift time runs out, it will be used automatically.</t>
  </si>
  <si>
    <t>Deals 8 hits of 288% wind damage to surrounding enemies, and summons 5 enchanted roses. These roses will deal 25 hits of 50% wind damage to surrounding enemies for 10 seconds before wilting, then disappear after an additional 10 seconds. Destroying a wilted rose will restore HP with 10% Recovery Potency to the adventurer who destroyed it and count as having defeated 5 enemies.</t>
  </si>
  <si>
    <t>Deals 8 hits of 300% wind damage to surrounding enemies, inflicts stormlash for 42 seconds - dealing 100% wind damage every 2.9 seconds - with 200% chance, and summons 5 enchanted roses. These roses will deal 25 hits of 50% wind damage to surrounding enemies for 10 seconds before wilting, then disappear after an additional 10 seconds. Destroying a wilted rose will restore HP with 10% Recovery Potency to the adventurer who destroyed it.</t>
  </si>
  <si>
    <t>Deals 1 hit of 2304% wind damage to the target and nearby enemies, and inflicts stormlash for 21 seconds - dealing 41% wind damage every 2.9 seconds - with 120% chance.</t>
  </si>
  <si>
    <t>Deals 1 hit of 2400% wind damage to the target and nearby enemies, and inflicts stormlash for 42 seconds - dealing 100% wind damage every 2.9 seconds - with 200% base chance.</t>
  </si>
  <si>
    <t>Deals 1 hit of 1923% wind damage to the target and nearby enemies. If the user is targeting an enemy and not using a skill when their remaining shapeshift time runs out, this skill will be used automatically, regardless of whether or not the skill gauge is filled.</t>
  </si>
  <si>
    <t>Deals 1 hit of 2200% wind damage to the target and nearby enemies, and inflicts stormlash for 42 seconds - dealing 100% wind damage every 2.9 seconds - with 200% chance. If the user is targeting an enemy and not using a skill when their remaining shapeshift time runs out, this skill will be used automatically, regardless of whether or not the skill gauge is filled.</t>
  </si>
  <si>
    <t>Deals 15 hits of 69.8% and 4 hits of 393% wind damage to surrounding enemies, and lowers their wind resistance by 10% for the remainder of the quest. This resistance reduction will not stack.</t>
  </si>
  <si>
    <t>Deals 15 hits of 75% and 4 hits of 400% wind damage to surrounding enemies, and lowers their wind resistance by 10% for the remainder of the quest. This resistance reduction will not stack.</t>
  </si>
  <si>
    <t>Restores the user's HP with 84% Recovery Potency, and grants the user a "Smiling Flower." The (Wind) Summer Flowers ability buffs the user based on the number of Smiling Flowers they have, up to a maximum of 6 stacks.</t>
  </si>
  <si>
    <t>Restores HP to all allies with 100% Recovery Potency, and grants the user the following buffs for 60 seconds: Increases strength by 20%. Increases defense by 10%. Increases skill damage by 20%. Reduces water damage taken by 5%. Grants an HP regen buff, healing for 10% Max HP every 2.9 seconds Additionally, grants the entire team a Team Strength Amp (MAX Lv. = 3).</t>
  </si>
  <si>
    <t>Deals 1 hit of 2400% wind damage to the target and nearby enemies, and inflicts stun for 6-7 seconds with 180% chance.</t>
  </si>
  <si>
    <t>Deals 1 hit of 2400% wind damage to the target and nearby enemies, inflicts stun for 6-7 seconds with 200% chance, and inflicts poison for 42 seconds - dealing 100% wind damage every 2.9 seconds - with 200% base chance.</t>
  </si>
  <si>
    <t>Deals 1 hit of 1100% wind damage to enemies in a line.</t>
  </si>
  <si>
    <t>Deals 1 hit of 2000% wind damage to enemies in a line, and inflicts poison for 42 seconds - dealing 100% wind damage every 2.9 seconds - with 200% base chance.</t>
  </si>
  <si>
    <t>Deals 5 hits of 82% and 1 hit of 770% wind damage to the target and nearby enemies, and inflicts sleep for 3-8 seconds with 120% base chance.</t>
  </si>
  <si>
    <t>Deals 5 hits of 240% and 1 hit of 800% wind damage to the target and nearby enemies, inflicts sleep for 3-8 seconds with 200% base chance, and inflicts poison for 42 seconds - dealing 100% wind damage every 2.9 seconds - with 200% base chance.</t>
  </si>
  <si>
    <t>Deals 3 hits of 1008% wind damage to surrounding enemies.</t>
  </si>
  <si>
    <t>Deals 3 hits of 1200% wind damage to surrounding enemies.</t>
  </si>
  <si>
    <t>Deals 1 hit of 1792% wind damage to enemies in a line, and increases the damage dealt by the user's next skill by 40%.</t>
  </si>
  <si>
    <t>Deals 1 hit of 2000% wind damage to enemies in a line, and increases the damage dealt by the user's next skill by 40%.</t>
  </si>
  <si>
    <t>Restores HP to all allies with 42% Recovery Potency, continues healing over the next 20 seconds with 30% Recovery Potency every 2.9 seconds, and energizes the entire team.</t>
  </si>
  <si>
    <t>Restores HP to all allies with 60% Recovery Potency, continues healing over the next 20 seconds with 35% Recovery Potency every 2.9 seconds, and energizes the entire team.</t>
  </si>
  <si>
    <t>Deals 4 hits of 420% wind damage to surrounding enemies.</t>
  </si>
  <si>
    <t>Deals 4 hits of 500% wind damage to surrounding enemies and inflicts poison for 42 seconds - dealing 100% wind damage every 2.9 seconds - with 200% base chance.</t>
  </si>
  <si>
    <t>Deals 5 hits of 182% wind damage to enemies in a line, reduces their defense by 5% for 10 seconds, and inflicts poison for 30 seconds - dealing 29.1% wind damage every 2.9 seconds - with 120% base chance.</t>
  </si>
  <si>
    <t>Deals 5 hits of 400% wind damage to enemies in a line, reduces their defense by 10% for 10 seconds, and inflicts poison for 42 seconds - dealing 100% wind damage every 2.9 seconds - with 200% base chance.</t>
  </si>
  <si>
    <t>Deals 6 hits of 186% wind damage to enemies in a line.</t>
  </si>
  <si>
    <t>Deals 6 hits of 350% wind damage to enemies in a line and inflicts stormlash for 42 seconds - dealing 100% wind damage every 2.9 seconds - with 200% base chance.</t>
  </si>
  <si>
    <t>725</t>
  </si>
  <si>
    <t>Deals 3 hits of 420% wind damage to enemies directly ahead, and restores the user's HP by 37% of the damage inflicted.</t>
  </si>
  <si>
    <t>Deals 3 hits of 650% wind damage to enemies directly ahead, and restores the entire team's HP by 40% of the damage inflicted.</t>
  </si>
  <si>
    <t>Deals 3 hits of 292% wind damage per hit to enemies directly ahead.</t>
  </si>
  <si>
    <t>Deals 3 hits of 650% wind damage per hit to enemies directly ahead. Also, grants the entire team a team defense amp (Team Amp MAX Lv. = 1).</t>
  </si>
  <si>
    <t>Deals 1 hit of 1300.6% wind damage to enemies directly ahead, and inflicts stun for 6-7 seconds with 180% base chance.</t>
  </si>
  <si>
    <t>Deals 1 hit of 2000% wind damage to enemies directly ahead, and inflicts stun for 6-7 seconds with 200% base chance.</t>
  </si>
  <si>
    <t>Deals 3 hits of 534.8% wind damage to surrounding enemies, and inflicts stun for 6-7 seconds with 180% base chance.</t>
  </si>
  <si>
    <t>Deals 3 hits of 650% wind damage to surrounding enemies, inflicts stun for 6-7 seconds with 200% base chance, and inflicts stormlash for 42 seconds - dealing 100% wind damage every 2.9 seconds - with 200% base chance.</t>
  </si>
  <si>
    <t>Deals 3 hits of 504% wind damage to surrounding enemies and draws them toward the user.</t>
  </si>
  <si>
    <t>Deals 3 hits of 650% wind damage to surrounding enemies, draws them toward the user, and inflicts stormlash for 42 seconds - dealing 100% wind damage every 2.9 seconds - with 200% chance.</t>
  </si>
  <si>
    <t>Deals 1 hit of 1100.4% wind damage to surrounding enemies and inflicts stun for 5-6 seconds with 140% base chance.</t>
  </si>
  <si>
    <t>Deals 1 hit of 2000% wind damage to surrounding enemies, inflicts stun for 6-7 seconds with 200% base chance, and inflicts poison for 42 seconds - dealing 100% wind damage every 2.9 seconds - with 200% base chance.</t>
  </si>
  <si>
    <t>Deals 3 hits of 346% wind damage to surrounding enemies.</t>
  </si>
  <si>
    <t>Deals 3 hits of 650% wind damage to surrounding enemies, and inflicts stun for 6-7 seconds with 200% base chance.</t>
  </si>
  <si>
    <t>Increases the entire team's critical rate by 20% for 10 seconds.</t>
  </si>
  <si>
    <t>Increases the entire team's strength, defense, and critical rate by 25% for 20 seconds, and increases their energy levels by 3 stages. Also, grants the entire team a team critical damage amp (Team Amp MAX Lv. = 1).</t>
  </si>
  <si>
    <t>Deals 1 hit of 1008% wind damage to surrounding enemies.</t>
  </si>
  <si>
    <t>Deals 1 hit of 2000% wind damage to surrounding enemies.</t>
  </si>
  <si>
    <t>Deals 1 hit of 1036% wind damage to enemies directly ahead.</t>
  </si>
  <si>
    <t>Deals 1 hit of 2000% wind damage to enemies directly ahead.</t>
  </si>
  <si>
    <t>330</t>
  </si>
  <si>
    <t>Reduces damage taken by the entire team by 50% for 30 seconds and grants them a one-use divergent shield that nullifies damage less than 50% of the user's maximum HP, team defense amp (MAX Lv. = 3), and team critical damage amp (MAX Lv. = 3).</t>
  </si>
  <si>
    <t>Deals 7 hits of 500% light damage to the target and nearby enemies. This skill consumes 50% of the user's base dragon time (10 C).</t>
  </si>
  <si>
    <t>Deals 4 hits of 504% light damage to surrounding enemies.</t>
  </si>
  <si>
    <t>Deals 4 hits of 550% light damage to surrounding enemies.</t>
  </si>
  <si>
    <t>Deals 1 hit of 1750% light damage to surrounding enemies, inflicts flashburn for 21 seconds - dealing 41.6% light damage every 2.9 seconds - with 120% chance, and grants the entire team a team defense amp (MAX Lv. = 2).</t>
  </si>
  <si>
    <t>Deals 1 hit of 2000% light damage to surrounding enemies, inflicts flashburn for 42 seconds - dealing 100% light damage every 2.9 seconds - with 200% base chance, and grants the entire team a team strength amp (MAX Lv. = 3).</t>
  </si>
  <si>
    <t>Deals 1 hit of 650%, 1 hit of 800% and 1 hit of 950% light damage to enemies directly ahead, and immediately readies the user's second skill for use.</t>
  </si>
  <si>
    <t>Deals 1 hit of 700%, 1 hit of 800% and 1 hit of 1000% light damage to enemies directly ahead, inflicts flashburn for 42 seconds - dealing 100% light damage every 2.9 seconds - with 200% chance, and immediately readies the user's second skill for use.</t>
  </si>
  <si>
    <t>Deals 5 hits of 330% light damage to enemies directly ahead, and increases the user's max HP by 10%. If the user is targeting an enemy and not using a skill when their remaining shapeshift time runs out, this skill will be used automatically, regardless of whether or not the skill gauge is filled.</t>
  </si>
  <si>
    <t>Deals 5 hits of 400% light damage to enemies directly ahead, and increases the user's max HP by 10%. If the user is targeting an enemy and not using a skill when their remaining shapeshift time runs out, this skill will be used automatically, regardless of whether or not the skill gauge is filled.</t>
  </si>
  <si>
    <t>Increases the user's strength by 25% and critical rate by 15% for 15 seconds.</t>
  </si>
  <si>
    <t>Deals 1 hit of 325% light damage to the target and nearby enemies, and inflicts paralysis for 26 seconds - dealing 44.2% light damage every 3.9 seconds - with 110% chance. Continually tapping the screen while charging the attack will increase damage, with damage reaching its maximum potential at stage three. Stage one (3 taps): 1 hit of 785%. Stage two (6 taps): 1 hit of 1380%. Stage three (9 taps): 1 hit of 1780%. The attack will be unleashed after a set time or upon reaching stage three.</t>
  </si>
  <si>
    <t>Deals 1 hit of 400% light damage to the target and nearby enemies, and inflicts paralysis for 42 seconds - dealing 100% light damage every 2.9 seconds - with 200% base chance. Continually tapping the screen while charging the attack will increase damage, with damage reaching its maximum potential at stage three. Stage one (3 taps): 1 hit of 800%. Stage two (6 taps): 1 hit of 1400%. Stage three (9 taps): 1 hit of 1800%. The attack will be unleashed after a set time or upon reaching stage three.</t>
  </si>
  <si>
    <t>914</t>
  </si>
  <si>
    <t>Deals 5 hits of 280% light damage to enemies in a line, and energizes the entire team. Once energized, using any applicable skill will reset that adventurer's energy level to zero.</t>
  </si>
  <si>
    <t>Deals 5 hits of 400% light damage to enemies in a line, and energizes the entire team. Once energized, using any applicable skill will reset that adventurer's energy level to zero.</t>
  </si>
  <si>
    <t>Deals 1 hit of 1400% light damage to enemies directly ahead, and creates a buff zone that lasts for 10 seconds and increases the attack rate of adventurers inside it by 20%.</t>
  </si>
  <si>
    <t>Deals 1 hit of 2000% light damage to enemies directly ahead, inflicts paralysis for 42 seconds - dealing 100% light damage every 2.9 seconds - with 200% base chance. Also, lowers their light resistance by 10% for the remainder of the quest and grants the user the "Mantra of Compassion" effect. This resistance reduction will not stack.</t>
  </si>
  <si>
    <t>Increases the entire team's strength and defense by 20% for 20 seconds, and increases their energy levels by 3 stages. It is possible to charge this skill's gauge by attacking, and use it up to twice during one shapeshift.</t>
  </si>
  <si>
    <t>Deals 5 hits of 398% light damage to enemies in a line, and inflicts stun for 5-6 seconds with 140% base chance. Changing direction is possible during the attack.</t>
  </si>
  <si>
    <t>Deals 5 hits of 400% light damage to enemies in a line, inflicts stun for 6-7 seconds with 200% base chance, and inflicts flashburn for 42 seconds - dealing 100% light damage every 2.9 seconds - with 200% base chance. Changing direction is possible during the attack.</t>
  </si>
  <si>
    <t>Deals 4 hits of 274% light damage to enemies directly ahead, and inflicts paralysis for 13 seconds - dealing 88.3% light damage every 3.9 seconds - with 110% base chance.</t>
  </si>
  <si>
    <t>Deals 4 hits of 500% light damage to enemies directly ahead, and inflicts paralysis for 42 seconds - dealing 100% light damage every 2.9 seconds - with 200% base chance.</t>
  </si>
  <si>
    <t xml:space="preserve">Applies one of the following at random to all allies: Increases strength by 20% for 10 seconds. Increases defense by 20% for 10 seconds. Increases critical rate by 20% for 10 seconds.
</t>
  </si>
  <si>
    <t>Restores HP to all allies with 30% Recovery Potency, and increases the entire team's critical rate by 25% for 15 seconds.</t>
  </si>
  <si>
    <t>Restores HP to all allies with 60% Recovery Potency, and increases the entire team's critical rate by 25% for 20 seconds.</t>
  </si>
  <si>
    <t>Deals 1 hit of 1120% light damage to enemies directly ahead.</t>
  </si>
  <si>
    <t>Deals 1 hit of 2000% light damage to enemies directly ahead, inflicts flashburn for 42 seconds - dealing 100% light damage every 2.9 seconds - with 200% base chance.</t>
  </si>
  <si>
    <t>Deals 7 hits of 260% light damage to surrounding enemies, inflicts paralysis for 13 seconds - dealing 88.3% light damage every 3.9 seconds - with 110% base chance, and removes curse and poison from all allies.</t>
  </si>
  <si>
    <t>Deals 7 hits of 300% light damage to surrounding enemies, inflicts paralysis for 42 seconds - dealing 100% light damage every 2.9 seconds - with 200% base chance, and removes curse and poison from all allies.</t>
  </si>
  <si>
    <t>Deals 1 hit of 1700% light damage to surrounding enemies, and inflicts paralysis for 13 seconds - dealing 88.3% light damage every 3.9 seconds - with 110% base chance.</t>
  </si>
  <si>
    <t>Deals 1 hit of 2000% light damage to surrounding enemies, and inflicts paralysis for 42 seconds - dealing 100% light damage every 2.9 seconds - with 200% base chance.</t>
  </si>
  <si>
    <t>Deals 1 hit of 1652% light damage to surrounding enemies, and increases the entire team's defense by 30% for 15 seconds.</t>
  </si>
  <si>
    <t>Deals 1 hit of 2000% light damage to surrounding enemies, and increases the entire team's defense by 30% for 15 seconds. Also, grants the entire team a team defense amp (Team Amp MAX Lv. = 1).</t>
  </si>
  <si>
    <t>Deals 1 hit of 1288% light damage to surrounding enemies, and reduces their strength by 15% for 10 seconds with 100% base chance.</t>
  </si>
  <si>
    <t>Deals 1 hit of 2000% light damage to surrounding enemies, and reduces their strength by 30% for 30 seconds with 100% base chance.</t>
  </si>
  <si>
    <t>Deals 1 hit of 1428% light damage to enemies directly ahead.</t>
  </si>
  <si>
    <t>Deals 1 hit of 2000% light damage to enemies directly ahead and inflicts flashburn for 42 seconds - dealing 100% light damage every 2.9 seconds - with 200% chance.</t>
  </si>
  <si>
    <t>Deals 1 hit of 1260% light damage to enemies in a line.</t>
  </si>
  <si>
    <t>Deals 1 hit of 2000% light damage to enemies in a line. Also, grants the entire team a team defense amp (Team Amp MAX Lv. = 1).</t>
  </si>
  <si>
    <t>024</t>
  </si>
  <si>
    <t>Deals 2 hits of 462% light damage to surrounding enemies.</t>
  </si>
  <si>
    <t>Deals 2 hits of 1000% light damage to surrounding enemies, and inflicts paralysis for 42 seconds - dealing 100% light damage every 2.9 seconds - with 200% base chance.</t>
  </si>
  <si>
    <t>Increases the entire team's strength by 25% for 15 seconds.</t>
  </si>
  <si>
    <t>Increases the entire team's strength, defense, and critical rate by 25% for 20 seconds, and increases their energy levels by 3 stages. Also, grants the entire team a team strength amp (Team Amp MAX Lv. = 1).</t>
  </si>
  <si>
    <t>Deals 1 hit of 1008% light damage to surrounding enemies.</t>
  </si>
  <si>
    <t>Deals 1 hit of 2000% light damage to surrounding enemies.</t>
  </si>
  <si>
    <t>Deals 1 hit of 1036% light damage to enemies directly ahead.</t>
  </si>
  <si>
    <t>Deals 1 hit of 2000% light damage to enemies directly ahead.</t>
  </si>
  <si>
    <t>276</t>
  </si>
  <si>
    <t>3.6 second(s)</t>
  </si>
  <si>
    <t xml:space="preserve">This skill has a unique gauge with three bars attached to its skill button that is filled by standard attacks and dragon strikes while the user is shapeshifted. Each bar holds 30 SP, and the user will start dragon form with one bar already filled. Upon use, this skill's effects are based on the number of bars currently filled. 1 bar: Deals 5 hits of 410% shadow damage to the target and nearby enemies. 2 bars: Deals 6 hits of 516% shadow damage to the target and nearby enemies and grants the entire team a team defense amp (MAX Lv. = 1). 3 bars: Deals 9 hits of 540% shadow damage to the target and nearby enemies and grants the entire team a team strength amp (MAX Lv. = 1) and team defense amp (MAX Lv. = 1).
</t>
  </si>
  <si>
    <t xml:space="preserve">This skill has a unique gauge with three bars attached to its skill button that is filled by standard attacks and dragon strikes while the user is shapeshifted. Each bar holds 30 SP, and the user will start dragon form with one bar already filled. Upon use, this skill's effects are based on the number of bars currently filled. 1 bar: Deals 5 hits of 450% shadow damage to the target and nearby enemies. 2 bars: Deals 6 hits of 550% shadow damage to the target and nearby enemies and grants the entire team a team defense amp (MAX Lv. = 1). 3 bars: Deals 9 hits of 550% shadow damage to the target and nearby enemies and grants the entire team a team strength amp (MAX Lv. = 1) and team defense amp (MAX Lv. = 1).
</t>
  </si>
  <si>
    <t>Deals 8 hits of 300% shadow damage to the target and nearby enemies. Enemies in break state take 8 hits of 225% shadow damage instead. If the user is targeting an enemy and not using a skill when their remaining shapeshift time runs out, this skill will be used automatically, regardless of whether or not the skill gauge is filled.</t>
  </si>
  <si>
    <t>Deals 8 hits of 300% shadow damage to the target and nearby enemies, and inflicts shadowblight for 42 seconds - dealing 100% shadow damage every 2.9 seconds - with 200% chance. If the user is targeting an enemy and not using a skill when their remaining shapeshift time runs out, this skill will be used automatically, regardless of whether or not the skill gauge is filled.</t>
  </si>
  <si>
    <t>Deals 5 hits of 397% and 1 hit of 477% shadow damage to the target and nearby enemies, draws them together, and inflicts shadowblight for 21 seconds - dealing 31% shadow damage every 2.9 seconds with 120% chance.</t>
  </si>
  <si>
    <t>Deals 5 hits of 400% and 1 hit of 500% shadow damage to the target and nearby enemies, draws them together, and inflicts shadowblight for 42 seconds - dealing 100% shadow damage every 2.9 seconds with 200% chance.</t>
  </si>
  <si>
    <t>211</t>
  </si>
  <si>
    <t>Deals 1 hit of 2540% shadow damage to the target and nearby enemies.</t>
  </si>
  <si>
    <t>Deals 1 hit of 2600% shadow damage to the target and nearby enemies.</t>
  </si>
  <si>
    <t>Deals 6 hits of 220% shadow damage to enemies directly ahead. When the user is in a buff zone created by them or another adventurer, it will instead deal 5 hits of 264% shadow damage, the area of effect of this skill will be increased, and 15% will be added to the modifier applied to the user's critical damage for the remainder of the quest.</t>
  </si>
  <si>
    <t>Deals 6 hits of 350% shadow damage to enemies directly ahead. When the user is in a buff zone created by them or another adventurer, it will instead deal 5 hits of 450% shadow damage, the area of effect of this skill will be increased, and 15% will be added to the modifier applied to the user's critical damage for the remainder of the quest.</t>
  </si>
  <si>
    <t>Deals 1 hit of 644.8% and 1 hit of 967.2% shadow damage to enemies directly ahead, inflicts poison for 15 seconds - dealing 58.2% shadow damage every 2.9 seconds - with 120% chance, and reduces their defense by 20% for 15 seconds. This defense reduction effect will not stack. Also immediately readies the user's second skill for use, and gradually fills the skill gauges of the user's first and second skills by 0.75% every second for 90 seconds. Abilities that increase skill gauge fill rate will not affect this automatic increase.</t>
  </si>
  <si>
    <t>Deals 1 hit of 700% and 1 hit of 1000% shadow damage to enemies directly ahead, inflicts shadowblight for 42 seconds - dealing 100% shadow damage every 2.9 seconds - with 200% chance, and reduces their defense by 20% for 15 seconds. This defense reduction effect will not stack. Also immediately readies the user's second skill for use, and gradually fills the skill gauges of the user's first and second skills by 0.75% every second for 90 seconds. Abilities that increase skill gauge fill rate will not affect this automatic increase.</t>
  </si>
  <si>
    <t>Deals up to 32 hits of 48.4% shadow damage to enemies directly ahead for 10 seconds.</t>
  </si>
  <si>
    <t>Deals up to 32 hits of 100% shadow damage to enemies directly ahead for 10 seconds.</t>
  </si>
  <si>
    <t>Deals 5 hits of 200% shadow damage to enemies in a line, inflicts poison - dealing 29.1% shadow damage every 2.9 seconds for 30 seconds - with 120% chance, and increases the entire team's damage against poisoned enemies by 15% for 40 seconds.</t>
  </si>
  <si>
    <t>Deals 5 hits of 400% shadow damage to enemies in a line, inflicts poison - dealing 100% shadow damage every 2.9 seconds for 42 seconds - with 200% base chance, and increases the entire team's damage against poisoned enemies by 15% for 40 seconds.</t>
  </si>
  <si>
    <t>Deals 1 hit of 1200% shadow damage to enemies directly ahead.</t>
  </si>
  <si>
    <t>Deals 1 hit of 2000% shadow damage to enemies directly ahead, and inflicts shadowblight for 42 seconds - dealing 100% shadow damage every 2.9 seconds - with 200% chance</t>
  </si>
  <si>
    <t>5.2 second(s)</t>
  </si>
  <si>
    <t>Deals 4 hits of 330% shadow damage to the target and nearby enemies, and increases the entire team's defense by 30% for 15 seconds.</t>
  </si>
  <si>
    <t>Deals 4 hits of 500% shadow damage to the target and nearby enemies, and increases the entire team's defense by 30% for 15 seconds. Also, grants the entire team a Team Strength Amp (MAX Lv. = 3).</t>
  </si>
  <si>
    <t>Deals 3 hits of 1200% shadow damage to surrounding enemies.</t>
  </si>
  <si>
    <t>4.2 second(s)</t>
  </si>
  <si>
    <t>Deals 1 hit of 1260% shadow damage to surrounding enemies, and inflicts poison - dealing 29.1% shadow damage every 2.9 seconds for 30 seconds with a 120% base chance.</t>
  </si>
  <si>
    <t>Deals 1 hit of 2000% shadow damage to surrounding enemies, and inflicts poison - dealing 100% shadow damage every 2.9 seconds for 42 seconds with a 200% base chance.</t>
  </si>
  <si>
    <t>Deals 3 hits of 334% shadow damage to enemies in a line.</t>
  </si>
  <si>
    <t>Deals 3 hits of 650% shadow damage to enemies in a line, and inflicts poison for 42 seconds - dealing 100% shadow damage every 2.9 seconds - with 200% chance</t>
  </si>
  <si>
    <t>Restores HP to the user with 30% Recovery Potency and applies Regen for 15 seconds, healing with 41% Regen Potency every 2.9 seconds.</t>
  </si>
  <si>
    <t>Restores HP to all allies with 60% Recovery Potency, continues healing over the next 20 seconds with 35% Recovery Potency every 2.9 seconds. Also, grants the entire team a team defense amp (Team Amp MAX Lv. = 1).</t>
  </si>
  <si>
    <t>Deals 1 hit of 400% and 5 hits of 200% shadow damage to enemies directly ahead.</t>
  </si>
  <si>
    <t>Deals 1 hit of 500% and 5 hits of 300% shadow damage to enemies directly ahead. Also, grants the entire team a team critical damage amp (Team Amp MAX Lv. = 1).</t>
  </si>
  <si>
    <t>Deals 1 hit of 980% shadow damage to the target and nearby enemies, and inflicts poison - dealing 58.2% shadow damage every 2.9 seconds for 15 seconds - with 120% base chance.</t>
  </si>
  <si>
    <t>Deals 1 hit of 2000% shadow damage to the target and nearby enemies, and inflicts poison - dealing 100% shadow damage every 2.9 seconds for 42 seconds - with 200% base chance.</t>
  </si>
  <si>
    <t>Deals 13 hits of 122% and 1 hit of 180% shadow damage to the target and nearby enemies, and energizes the entire team.</t>
  </si>
  <si>
    <t>Deals 13 hits of 140% and 1 hit of 200% shadow damage to the target and nearby enemies, and energizes the entire team.</t>
  </si>
  <si>
    <t>Deals 2 hits of 736% shadow damage to enemies directly ahead.</t>
  </si>
  <si>
    <t>Deals 2 hits of 1000% shadow damage to enemies directly ahead and inflicts poison for 42 seconds - dealing 100% shadow damage every 2.9 seconds - with 200% chance.</t>
  </si>
  <si>
    <t>Restores HP to all allies with 30% Recovery Potency</t>
  </si>
  <si>
    <t>Restores HP to all allies with 60% Recovery Potency, continues healing over the next 20 seconds with 35% Recovery Potency every 2.9 seconds.</t>
  </si>
  <si>
    <t>Deals 6 hits of 208% shadow damage to enemies directly ahead, and inflicts bleeding for 30 seconds - dealing 146% shadow damage every 4.9 seconds - with 100% base chance.</t>
  </si>
  <si>
    <t>Deals 6 hits of 350% shadow damage to enemies directly ahead, inflicts bleeding for 60 seconds - dealing 300% shadow damage every 4.9 seconds - with 100% base chance. Also, lowers their shadow resistance by 10% for the remainder of the quest and grants the user the "Mantra of Compassion" effect. This resistance reduction will not stack.</t>
  </si>
  <si>
    <t>Deals 5 hits of 252% shadow damage to enemies directly ahead, and inflicts freeze for 3-6 seconds with 120% base chance. Movement is possible during the attack.</t>
  </si>
  <si>
    <t>Deals 5 hits of 400% shadow damage to enemies directly ahead, inflicts freeze for 3-6 seconds with 200% base chance, and inflicts shadowblight for 42 seconds - dealing 100% shadow damage every 2.9 seconds - with 200% chance. Movement is possible during the attack.</t>
  </si>
  <si>
    <t>Deals 5 hits of 288% shadow damage to surrounding enemies, and inflicts blindness for 8 seconds with 180% base chance.</t>
  </si>
  <si>
    <t>Deals 5 hits of 400% shadow damage to surrounding enemies, inflicts blindness for 8 seconds with 200% base chance, and inflicts poison for 42 seconds - dealing 100% shadow damage every 2.9 seconds - with 200% chance.</t>
  </si>
  <si>
    <t>Deals 1 hit of 1700% shadow damage to enemies directly ahead, and reduces their defense by 10% for 10 seconds.</t>
  </si>
  <si>
    <t>Deals 1 hit of 2000% shadow damage to enemies directly ahead, inflicts poison for 42 seconds - dealing 100% shadow damage every 2.9 seconds - with 200% base chance, and reduces their defense by 10% for 10 seconds.</t>
  </si>
  <si>
    <t>Deals 1 hit of 1549.8% shadow damage to the target and nearby enemies, and inflicts blindness for 8 seconds with 180% base chance.</t>
  </si>
  <si>
    <t>Deals 1 hit of 2000% shadow damage to the target and nearby enemies, inflicts blindness for 8 seconds with 200% base chance, and inflicts poison for 42 seconds - dealing 100% shadow damage every 2.9 seconds - with 200% chance.</t>
  </si>
  <si>
    <t>Increases the entire team's defense by 30% for 15 seconds.</t>
  </si>
  <si>
    <t>Increases the entire team's strength by 30% for 15 seconds.</t>
  </si>
  <si>
    <t>Deals 2 hits of 616% shadow damage to the target and nearby enemies, and reduces their defense by 15% for 10 seconds.</t>
  </si>
  <si>
    <t>Deals 2 hits of 1000% shadow damage to the target and nearby enemies, and reduces their defense by 20% for 15 seconds.</t>
  </si>
  <si>
    <t>Deals 3 hits of 574% shadow damage to enemies directly ahead.</t>
  </si>
  <si>
    <t>Deals 3 hits of 650% shadow damage to enemies directly ahead and inflicts shadowblight for 42 seconds - dealing 100% shadow damage every 2.9 seconds - with 200% chance.</t>
  </si>
  <si>
    <t>Deals 1 hit of 1176% shadow damage to enemies directly ahead and inflicts poison for 15 seconds - dealing 53% shadow damage every 2.9 seconds - with 110% base chance.</t>
  </si>
  <si>
    <t>Deals 1 hit of 2000% shadow damage to enemies directly ahead and inflicts poison for 42 seconds - dealing 100% shadow damage every 2.9 seconds - with 200% base chance.</t>
  </si>
  <si>
    <t>Deals 1 hit of 302% and 1 hit of 706% shadow damage to the target and nearby enemies.</t>
  </si>
  <si>
    <t>Deals 1 hit of 600% and 1 hit of 1400% shadow damage to the target and nearby enemies.</t>
  </si>
  <si>
    <t>Deals 1 hit of 1008% shadow damage to enemies in a line.</t>
  </si>
  <si>
    <t>Deals 1 hit of 2000% shadow damage to enemies in a line.</t>
  </si>
  <si>
    <t>Deals 1 hit of 1036% shadow damage to enemies directly ahead.</t>
  </si>
  <si>
    <t>Deals 1 hit of 2000% shadow damage to enemies directly ahead.</t>
  </si>
  <si>
    <t>210178 01</t>
  </si>
  <si>
    <t>Hana Ichi Monme</t>
  </si>
  <si>
    <t>Deals 7 hits of 396% flame damage to the target and nearby enemies, draws them together, restores 10% of damage inflicted as HP to the team up to a maximum of 10% of the targeted unit's max HP, and inflicts the following afflictions: Stun for 6-7 seconds with 110% chance. Burn for 12 seconds - dealing 97% flame damage every 3.9 seconds - with 120% chance. Scorchrend for 21 seconds - dealing 41.6% flame damage every 2.9 seconds - with 120% chance. Hana Ichi Monme also grants the entire team a team strength amp (MAX Lv. = 1), the "Purple Hagoromo" effect, and increases their max HP by 15%. Purple Hagoromo lasts for the remainder of the quest and does not stack, granting the following effects to the user: Heals the user for 2% of max HP every 2.9 seconds. Increases damage to stunned enemies by 10%, to burning enemies by 5% and to scorchrent enemies by 5%.</t>
  </si>
  <si>
    <t>Deals 7 hits of 400% flame damage to the target and nearby enemies, draws them together, restores 10% of damage inflicted as HP to the team up to a maximum of 10% of the targeted unit's max HP, and inflicts the following afflictions: Stun for 6-7 seconds with 200% chance. Burn for 42 seconds - dealing 100% flame damage every 2.9 seconds - with 200% chance. Scorchrend for 42 seconds - dealing 100% flame damage every 2.9 seconds - with 200% chance. Hana Ichi Monme also grants the entire team a team strength amp (MAX Lv. = 1), the "Purple Hagoromo" effect, and increases their max HP by 15%. Purple Hagoromo lasts for the remainder of the quest and does not stack, granting the following effects to the user: Heals the user for 2% of max HP every 2.9 seconds. Increases damage to stunned enemies by 10%, to burning enemies by 5% and to scorchrent enemies by 5%.</t>
  </si>
  <si>
    <t>Ability</t>
  </si>
  <si>
    <t>Fills 50% of the dragon gauge at the start of quests and extends shapeshift time by 100%, but doubles the amount of dragon energy required to shapeshift. (The user's maximum dragon energy will not be increased.) Also, grants the user a dragon strike while shapeshifted as Bahamut. This dragon strike deals 4 hits of 272% shadow damage to multiple targets and enemies near those targets, and provides 10 SP. The maximum amount of the dragon gauge that abilities can fill at the start of quests will be limited to 50% for the entire team.</t>
  </si>
  <si>
    <t>Fills 50% of the dragon gauge at the start of quests and extends shapeshift time by 100%, but doubles the amount of dragon energy required to shapeshift. (The user's maximum dragon energy will not be increased.) Also, grants the user a dragon strike while shapeshifted as Elysium. This dragon strike deals 1 hit of 3510% light damage to enemies directly ahead. The maximum amount of the dragon gauge that abilities can fill at the start of quests will be limited to 50% for the entire team.</t>
  </si>
  <si>
    <t>Fills 50% of the dragon gauge at the start of quests and extends shapeshift time by 100%, but doubles the amount of dragon energy required to shapeshift. (The user's maximum dragon energy will not be increased.) Also, grants the user a dragon strike while shapeshifted as Primal Brunhilda. This dragon strike creates a zone that lasts for 7.5 seconds and deals damage to enemies inside it. When the user is in this zone, the depletion of their dragon gauge over time will be reduced by 75%, and their HP will be restored with 40% Recovery Potency every 0.9 seconds. The user can only have one of these zones active at a time. In addition, when one of the user's skills ends or is interrupted, the user will be granted the "Heart Aflame" effect. Heart Aflame has two progressively more powerful levels. Lv. 1: For 10 seconds, increases skill damage by 10%. Lv. 2: For five seconds, increases skill damage by 30% and increases the chances of inflicting burn or scorchrend by 30%. The maximum amount of the dragon gauge that abilities can fill at the start of quests will be limited to 50% for the entire team.</t>
  </si>
  <si>
    <t>Grants the user a dragon strike while shapeshifted as Chronos Nyx. This dragon strike deals damage to the target and has three increasingly powerful charge levels. Also while shapeshifted as Chronos Nyx, remaining shapeshift time will be depleted by standard attacks, dragon strikes, and skills instead of being depleted automatically over time. In addition, if the user is able to dodge an attack, they will consume some of their remaining shapeshift time to automatically dodge it. Some attacks cannot be dodged in this way.</t>
  </si>
  <si>
    <t>If the user and the dragon have the same elemental attunement: grants the user the "Critical Damage Surge" effect at the start of quests for 180 seconds. During Critical Damage Surge, the modifier applied to the user's critical damage is increased by 30%.</t>
  </si>
  <si>
    <t>If the user and the dragon have the same elemental attunement: grants the user the "Surge of Strength" effect at the start of quests for 180 seconds. During Surge of Strength, the user's strength is increased by 30%.</t>
  </si>
  <si>
    <t>If the user and the dragon have the same elemental attunement: grants the user the "Surge of Strength" effect at the start of quests for 180 seconds. During Surge of Strength, the user's strength is increased by 40%.</t>
  </si>
  <si>
    <t>If the user and the dragon have the same elemental attunement: grants the user the "Surge of Strength" effect at the start of quests for 180 seconds. During Surge of Strength, the user's strength is increased by 60%.</t>
  </si>
  <si>
    <t>If the user and the dragon have the same elemental attunement: increases attack skill damage by 100%.</t>
  </si>
  <si>
    <t>If the user and the dragon have the same elemental attunement: increases damage to enemies in overdrive state by 30%.</t>
  </si>
  <si>
    <t>If the user and the dragon have the same elemental attunement: increases damage to enemies in overdrive state by 65%.</t>
  </si>
  <si>
    <t>If the user and the dragon have the same elemental attunement: increases HP by 40%. In addition, grants the user the "Surge of Strength" effect at the start of quests for 180 seconds. During Surge of Strength, the user's strength is increased by 30%.</t>
  </si>
  <si>
    <t>If the user and the dragon have the same elemental attunement: increases HP by 60%. In addition, grants the user the "Surge of Strength" effect at the start of quests for 180 seconds. During Surge of Strength, the user's strength is increased by 50%.</t>
  </si>
  <si>
    <t>If the user and the dragon have the same elemental attunement: increases HP by 65%.</t>
  </si>
  <si>
    <t>If the user and the dragon have the same elemental attunement: increases skill gauge fill rate by 40%.</t>
  </si>
  <si>
    <t>If the user and the dragon have the same elemental attunement: increases strength and HP by 40%.</t>
  </si>
  <si>
    <t>If the user and the dragon have the same elemental attunement: increases strength by 45%. In addition, grants the user the "Surge of Strength" effect at the start of quests for 180 seconds. During Surge of Strength, the user's strength is increased by 30%.</t>
  </si>
  <si>
    <t>If the user and the dragon have the same elemental attunement: increases strength by 45%. In addition, grants the user the "Surge of Strength" effect at the start of quests for 180 seconds. During Surge of Strength, the user's strength is increased by 40%.</t>
  </si>
  <si>
    <t>If the user and the dragon have the same elemental attunement: increases strength by 50% and adds 60% to the modifier applied to critical damage.</t>
  </si>
  <si>
    <t>If the user and the dragon have the same elemental attunement: increases strength by 50%. In addition, grants the user the "Surge of Strength" effect at the start of quests for 180 seconds. During Surge of Strength, the user's strength is increased by 40%.</t>
  </si>
  <si>
    <t>If the user and the dragon have the same elemental attunement: increases strength by 55%. In addition, grants the user the "Surge of Strength" effect at the start of quests for 180 seconds. During Surge of Strength, the user's strength is increased by 30%.</t>
  </si>
  <si>
    <t>If the user is attuned to Flame: adds 30% to the modifier applied to damage against wind-attuned enemies and enemies with no attunement for 45 seconds every time the dragon gauge fills by 10%. This increase will not stack, and, after activating, this ability will not activate again for five seconds.</t>
  </si>
  <si>
    <t>If the user is attuned to Flame: fills 100% of skill gauges when the user's shapeshift is undone.</t>
  </si>
  <si>
    <t>If the user is attuned to Flame: grants the "Uriel's Zeal" effect when they dodge an attack. Uriel's Zeal has three progressively more powerful levels. Lv. 1: For 60 seconds, increases the user's strength by 10% and the chances of inflicting scorchrend by 20%. Lv. 2: For 40 seconds, increases the user's strength by 20% and the chances of inflicting scorchrend by 40%. Lv. 3: For 20 seconds, increases the user's strength by 30% and the chances of inflicting scorchrend by 80%.</t>
  </si>
  <si>
    <t>If the user is attuned to Flame: increases attack rate by 20% and critical rate by 50%.</t>
  </si>
  <si>
    <t>If the user is attuned to Flame: increases damage to burning enemies by 20%.</t>
  </si>
  <si>
    <t>If the user is attuned to Flame: increases HP by 15%.</t>
  </si>
  <si>
    <t>If the user is attuned to Flame: increases HP by 45%.</t>
  </si>
  <si>
    <t>If the user is attuned to Flame: increases skill gauge fill rate by 30% when the user's force strikes connect, but slows the rate the mode gauge decreases by 30%.</t>
  </si>
  <si>
    <t>If the user is attuned to Flame: increases strength and HP by 10%.</t>
  </si>
  <si>
    <t>If the user is attuned to Flame: increases strength and HP by 20%.</t>
  </si>
  <si>
    <t>If the user is attuned to Flame: increases strength and HP by 35%.</t>
  </si>
  <si>
    <t>If the user is attuned to Flame: increases strength by 100%.</t>
  </si>
  <si>
    <t>If the user is attuned to Flame: increases strength by 15%.</t>
  </si>
  <si>
    <t>If the user is attuned to Flame: increases strength by 20%.</t>
  </si>
  <si>
    <t>If the user is attuned to Flame: increases strength by 40%.</t>
  </si>
  <si>
    <t>If the user is attuned to Flame: increases strength by 45%.</t>
  </si>
  <si>
    <t>If the user is attuned to Flame: increases strength by 55% and adds 15% to wind resistance.</t>
  </si>
  <si>
    <t>If the user is attuned to Flame: increases strength by 55% and force strike damage by 60%.</t>
  </si>
  <si>
    <t>If the user is attuned to Flame: increases strength by 60%.</t>
  </si>
  <si>
    <t>If the user is attuned to Flame: increases strength by 65%.</t>
  </si>
  <si>
    <t>If the user is attuned to Flame: increases strength by 70%, and increases strength by an additional 20% when HP is 50% or above.</t>
  </si>
  <si>
    <t>If the user is attuned to Flame: increases strength by 70%.</t>
  </si>
  <si>
    <t>If the user is attuned to Flame: using a force strike for 3 or more seconds, including both charge and attack time, adds 30% to the modifier applied to damage against wind-attuned enemies for 30 seconds. This increase will not stack, and, after activating, this ability will not activate again for 15 seconds.</t>
  </si>
  <si>
    <t>If the user is attuned to Light: adds 30% to the modifier applied to damage against shadow-attuned enemies and enemies with no attunement for 45 seconds every time the dragon gauge fills by 10%. This increase will not stack, and, after activating, this ability will not activate again for 5 seconds.</t>
  </si>
  <si>
    <t>If the user is attuned to Light: adds 70% to the modifier applied to critical damage.</t>
  </si>
  <si>
    <t>If the user is attuned to Light: fills 100% of skill gauges at the start of quests and increases damage to flashburned enemies by 25% when the user has a team defense amp.</t>
  </si>
  <si>
    <t>If the user is attuned to Light: increases damage to paralyzed enemies by 20%.</t>
  </si>
  <si>
    <t>If the user is attuned to Light: increases HP by 15%.</t>
  </si>
  <si>
    <t>If the user is attuned to Light: increases HP by 45%.</t>
  </si>
  <si>
    <t>If the user is attuned to Light: increases strength and HP by 10%.</t>
  </si>
  <si>
    <t>If the user is attuned to Light: increases strength and HP by 15%.</t>
  </si>
  <si>
    <t>If the user is attuned to Light: increases strength and HP by 20%.</t>
  </si>
  <si>
    <t>If the user is attuned to Light: increases strength by 100%.</t>
  </si>
  <si>
    <t>If the user is attuned to Light: increases strength by 15%.</t>
  </si>
  <si>
    <t>If the user is attuned to Light: increases strength by 20% for every Joyful Radiance stack the user has. The user will be granted four Joyful Radiance stacks at the start of quests, and they will be granted an additional stack every time their strength, defense, elemental resistance, critical rate, critical damage, energy level, or inspiration level is increased by one of their own skills. Amps do not count for this effect. Joyful Radiance can stack up to four times, and one stack will be consumed every 20 seconds.</t>
  </si>
  <si>
    <t>If the user is attuned to Light: increases strength by 25% when the combo count is 15 or higher.</t>
  </si>
  <si>
    <t>If the user is attuned to Light: increases strength by 40%.</t>
  </si>
  <si>
    <t>If the user is attuned to Light: increases strength by 45%.</t>
  </si>
  <si>
    <t>If the user is attuned to Light: increases strength by 50%, increases the user's energy level by one stage for every 5 seconds that pass, and provides a further increase to the user's strength based on the user's energy level, from a minimum of 25% at level one, up to a maximum of 45% when the user is energized.</t>
  </si>
  <si>
    <t>If the user is attuned to Light: increases strength by 50%.</t>
  </si>
  <si>
    <t>If the user is attuned to Light: increases strength by 55% and adds 15% to shadow resistance.</t>
  </si>
  <si>
    <t>If the user is attuned to Light: increases strength by 55%.</t>
  </si>
  <si>
    <t>If the user is attuned to Light: increases strength by 60%, defense by 30%, and HP by 30% and grants one of the following additional effects based on the user's unit type: Attack: Increases strength by 30%. Defense: Increases strength, defense, and HP by 15%. Support: Increases skill gauge fill rate by 30%. Healing: Increases HP by 30% and skill gauge fill rate by 15%.</t>
  </si>
  <si>
    <t>If the user is attuned to Light: increases strength by 60%.</t>
  </si>
  <si>
    <t>If the user is attuned to Light: increases strength by 65%.</t>
  </si>
  <si>
    <t>If the user is attuned to Light: increases strength by 70%.</t>
  </si>
  <si>
    <t>If the user is attuned to Light: when the user takes damage, restores their HP with 132% Recovery Potency, and grants them the "Raphael's Aid" effect for 30 seconds. During Raphael's Aid, the user's defense is increased by 50%. After activating, this ability will not activate again for 60 seconds.</t>
  </si>
  <si>
    <t>If the user is attuned to Light: When the user's shapeshift is undone, energizes the entire team.</t>
  </si>
  <si>
    <t>If the user is attuned to Shadow: adds 30% to the modifier applied to damage against light-attuned enemies and enemies with no attunement for 45 seconds every time the dragon gauge fills by 10%. This increase will not stack, and, after activating, this ability will not activate again for 5 seconds.</t>
  </si>
  <si>
    <t>If the user is attuned to Shadow: adds 40% to the modifier applied to critical damage.</t>
  </si>
  <si>
    <t>If the user is attuned to Shadow: Grants 15 stacks of "Skillful Trickery" at the start of quests. Using an attack skill consumes one stack of Skillful Trickery, and increases the damage of that skill by 180%. Every 25-hit combo will replenish one stack of Skillful Trickery. A maximum of 15 stacks of Skillful Trickery can be stored for use, and any excess will be discarded.</t>
  </si>
  <si>
    <t>If the user is attuned to Shadow: increases damage to poisoned enemies by 20%.</t>
  </si>
  <si>
    <t>If the user is attuned to Shadow: increases HP by 15%.</t>
  </si>
  <si>
    <t>If the user is attuned to Shadow: increases HP by 30%.</t>
  </si>
  <si>
    <t>If the user is attuned to Shadow: increases HP by 40%.</t>
  </si>
  <si>
    <t>If the user is attuned to Shadow: increases max HP by 30% for the remainder of the quest upon shapeshifting for the second time.</t>
  </si>
  <si>
    <t>If the user is attuned to Shadow: increases strength and HP by 10%.</t>
  </si>
  <si>
    <t>If the user is attuned to Shadow: increases strength and HP by 20%.</t>
  </si>
  <si>
    <t>If the user is attuned to Shadow: increases strength and HP by 25%.</t>
  </si>
  <si>
    <t>If the user is attuned to Shadow: increases strength by 120%.</t>
  </si>
  <si>
    <t>If the user is attuned to Shadow: increases strength by 15%.</t>
  </si>
  <si>
    <t>If the user is attuned to Shadow: increases strength by 20%.</t>
  </si>
  <si>
    <t>If the user is attuned to Shadow: increases strength by 25%.</t>
  </si>
  <si>
    <t>If the user is attuned to Shadow: increases strength by 30%.</t>
  </si>
  <si>
    <t>If the user is attuned to Shadow: increases strength by 40% and defense by 100% when HP is 30% or below.</t>
  </si>
  <si>
    <t>If the user is attuned to Shadow: increases strength by 40% when HP is 30% or below.</t>
  </si>
  <si>
    <t>If the user is attuned to Shadow: increases strength by 40%.</t>
  </si>
  <si>
    <t>If the user is attuned to Shadow: increases strength by 45% and critical rate by 20%.</t>
  </si>
  <si>
    <t>If the user is attuned to Shadow: increases strength by 45%.</t>
  </si>
  <si>
    <t>If the user is attuned to Shadow: increases strength by 60%, and increases strength by a further 10% for the remainder of the quest upon shapeshifting, up to twice per quest.</t>
  </si>
  <si>
    <t>If the user is attuned to Shadow: increases strength by 60%.</t>
  </si>
  <si>
    <t>If the user is attuned to Shadow: increases strength by 65%, and increases strength by a further 20% for the remainder of the quest upon shapeshifting, up to twice per quest.</t>
  </si>
  <si>
    <t>If the user is attuned to Shadow: increases strength by 70% and fills 50% of the dragon gauge at the start of quests.</t>
  </si>
  <si>
    <t>If the user is attuned to Shadow: increases strength by 70%.</t>
  </si>
  <si>
    <t>If the user is attuned to Shadow: replenishes 8 stacks of Skillful Trickery when the user's shapeshift is undone.</t>
  </si>
  <si>
    <t>If the user is attuned to Water: activates the "Gabriel's Love" effect when their HP is restored. Gabriel's Love increases strength by 10% and defense by 50%, and grants a one-use shield that nullifies damage up to 10% of the user's maximum HP. This shield can stack with ordinary shields. Gabriel's Love will not stack, its effects are lost upon taking damage, and, after activating, this ability will not activate again for 10 seconds.</t>
  </si>
  <si>
    <t>If the user is attuned to Water: adds 30% to the modifier applied to damage against flame-attuned enemies and enemies with no attunement for 45 seconds every time the dragon gauge fills by 10%. This increase will not stack, and, after activating, this ability will not activate again for 5 seconds.</t>
  </si>
  <si>
    <t>If the user is attuned to Water: fills 100% of skill gauges at the start of quests, and increases attack skill damage by 40% when the user has a Team Strength Amp.</t>
  </si>
  <si>
    <t>If the user is attuned to Water: fills 35% of a skill's skill gauge after using that skill.</t>
  </si>
  <si>
    <t>If the user is attuned to Water: grants the user a stack of the "Great Cascade" effect every 10 seconds. Each stack of Great Cascade increases the damage dealt by the user's next skill by 50%. This buff can stack up to 4 times, but all stacks will be lost upon using an attack skill.</t>
  </si>
  <si>
    <t>If the user is attuned to Water: increases damage to frostbitten enemies by 15%. In addition, standard attacks will apply the "Vulnerability" debuff while shapeshifted as Beast Ciella when the combo count is 15 or higher. Vulnerability can stack up to 10 times, and each stack reduces defense by 1% and frostbite resistance by 2% for the remainder of the quest unless removed by the enemy. Also, regardless of their attunement, reduces the user's defense by 20% and shortens the window between hitting an enemy and the combo counter resetting by 1 second.</t>
  </si>
  <si>
    <t>If the user is attuned to Water: increases HP by 15%.</t>
  </si>
  <si>
    <t>If the user is attuned to Water: increases HP by 20%.</t>
  </si>
  <si>
    <t>If the user is attuned to Water: increases HP by 30%.</t>
  </si>
  <si>
    <t>If the user is attuned to Water: increases HP by 40%.</t>
  </si>
  <si>
    <t>If the user is attuned to Water: increases skill gauge fill rate by 35%.</t>
  </si>
  <si>
    <t>If the user is attuned to Water: increases strength and HP by 10%.</t>
  </si>
  <si>
    <t>If the user is attuned to Water: increases strength and HP by 20%.</t>
  </si>
  <si>
    <t>If the user is attuned to Water: increases strength by 100%. Also, regardless of their attunement, grants the user a dragon strike while shapeshifted as Beast Ciella. This dragon strike deals damage to the target and nearby enemies and summons a crystal arrow. Up to 2 crystal arrows can exist simultaneously, but they will disappear automatically over time. Beast Ciella's standard attacks will bounce off these arrows. In addition, hitting a crystal arrow with Frozen Anguish will cause it to deal damage to surrounding enemies and disappear.</t>
  </si>
  <si>
    <t>If the user is attuned to Water: increases strength by 15%.</t>
  </si>
  <si>
    <t>If the user is attuned to Water: increases strength by 45%.</t>
  </si>
  <si>
    <t>If the user is attuned to Water: increases strength by 60%.</t>
  </si>
  <si>
    <t>If the user is attuned to Water: increases strength by 65%.</t>
  </si>
  <si>
    <t>If the user is attuned to Water: increases strength by 70%.</t>
  </si>
  <si>
    <t>If the user is attuned to Wind: adds 30% to the modifier applied to damage against water-attuned enemies and enemies with no attunement for 45 seconds every time the dragon gauge fills by 10%. This increase will not stack, and, after activating, this ability will not activate again for 5 seconds.</t>
  </si>
  <si>
    <t>If the user is attuned to Wind: at the start of quests, grants the user the "Mantra of Compassion" effect. Mantra of Compassion nullifies damage up to 100% of the user's maximum HP up to 2 times, and it will not stack. When all uses of this effect are consumed, the user will be granted the "Mantra of Wrath" effect and 50% of their dragon gauge will be filled. After activating, this dragon gauge fill effect will not activate again for 180 seconds. Mantra of Wrath increases attack rate by 10% and adds 30% to the modifier applied to damage against water-attuned enemies.</t>
  </si>
  <si>
    <t>If the user is attuned to Wind: deals 1 hit of 2753% wind damage to surrounding enemies, and grants the user the "Deranged Thrill" effect for 45 seconds when they are hit by an attack that inflicts an affliction. During Deranged Thrill, the user's strength is increased by 25%. Deranged Thrill will not stack, and, after activating, this ability will not activate again for 20 seconds.</t>
  </si>
  <si>
    <t>If the user is attuned to Wind: extends the window between hitting an enemy and the combo counter resetting by 2.5 seconds and, for every 15-hit combo, increases the user's strength by 3%. This strength increase can stack up to 10 times and is removed when the combo counter resets. Also, grants wind-attuned adventurers in the team overdamage based on 20% of the user's strength for 60 seconds at the start of quests and grants the user overdamage based on 20% of their strength for 60 seconds when the combo counter resets. In addition, regardless of the user's attunement, while shapeshifted as Michael, creates a combat zone around the user and grants them one of two combat styles: close quarters or ranged. If there are any enemies within this combat zone, the user will engage in close-quarters combat, otherwise they will default to ranged combat. The user's standard attack patterns and the effects activated by Angelic Storm will change based on their combat style.</t>
  </si>
  <si>
    <t>If the user is attuned to Wind: grants the user a "Smiling Flower" at the start of quests, and grants an additional Smiling Flower every 60 seconds, up to a maximum of six. The user will receive the following buffs based on their total number of Smiling Flowers._x000D_
- One Flower: Increases strength by 40%_x000D_
- Two Flowers: Increases defense by 20%_x000D_
- Three Flowers: Increases skill damage by 50%_x000D_
- Four Flowers: Reduces water damage taken by 5%_x000D_
- Six Flowers: Grants an HP regen buff, healing for 20% Max HP every 3.9 seconds</t>
  </si>
  <si>
    <t>If the user is attuned to Wind: grants them a one-use divergent shield that nullifies damage up to 45% of the user's maximum HP every 15 seconds that pass without the user being knocked back by an enemy. Divergent shields can stack with ordinary shields. Also, the user's strength is increased by 35% while this shield is active.</t>
  </si>
  <si>
    <t>If the user is attuned to Wind: increases attack skill damage by 70% when the combo count is 15 or higher.</t>
  </si>
  <si>
    <t>If the user is attuned to Wind: increases damage to poisoned enemies by 20%.</t>
  </si>
  <si>
    <t>If the user is attuned to Wind: increases HP by 15%.</t>
  </si>
  <si>
    <t>If the user is attuned to Wind: increases HP by 40%.</t>
  </si>
  <si>
    <t>If the user is attuned to Wind: increases HP by 45%.</t>
  </si>
  <si>
    <t>If the user is attuned to Wind: increases skill gauge fill rate by 30%.</t>
  </si>
  <si>
    <t>If the user is attuned to Wind: increases strength and HP by 10%.</t>
  </si>
  <si>
    <t>If the user is attuned to Wind: increases strength and HP by 15%.</t>
  </si>
  <si>
    <t>If the user is attuned to Wind: increases strength and HP by 20%.</t>
  </si>
  <si>
    <t>If the user is attuned to Wind: increases strength and HP by 35%.</t>
  </si>
  <si>
    <t>If the user is attuned to Wind: increases strength by 100%. Also, regardless of their attunement, grants the user a dragon strike while shapeshifted as Beast Volk. This dragon strike deals 3 hits of 314% wind damage to enemies in a line and reduces their defense by 10% for five seconds. This defense reduction will not stack. While charging this dragon strike, the user will be granted a stack of the "Moonlit Rage" effect at set intervals. A stack is granted 0.5 seconds after the dragon strike is fully charged, and a further stack is granted for every additional 1 second of uninterrupted charging, up to 9.5 seconds. Moonlit Rage can stack up to ten times.</t>
  </si>
  <si>
    <t>If the user is attuned to Wind: increases strength by 15%.</t>
  </si>
  <si>
    <t>If the user is attuned to Wind: increases strength by 2% for every five enemies defeated (up to five times per quest).</t>
  </si>
  <si>
    <t>If the user is attuned to Wind: increases strength by 40%.</t>
  </si>
  <si>
    <t>If the user is attuned to Wind: increases strength by 45%.</t>
  </si>
  <si>
    <t>If the user is attuned to Wind: increases strength by 50%, and adds 15% to water resistance.</t>
  </si>
  <si>
    <t>If the user is attuned to Wind: increases strength by 50%.</t>
  </si>
  <si>
    <t>If the user is attuned to Wind: increases strength by 60%.</t>
  </si>
  <si>
    <t>If the user is attuned to Wind: increases strength by 65%.</t>
  </si>
  <si>
    <t>If the user is attuned to Wind: increases strength by 70%.</t>
  </si>
  <si>
    <t>If the user is attuned to Wind: increases the chances of inflicting any afflictions by 100%, the duration of poison and stormlash inflicted on enemies by 30%, damage to poisoned enemies by 15%, and damage to stormlashed enemies by 15%. Also, regardless of their attunement, lowers the user's affliction resistance by 150%, but activates the following effects every 3.5 seconds while they have the "Blood Moon" effect: The user is granted a stack of the "Moonlit Rage" effect. Deals 1 hit of 258% wind damage to surrounding enemies, and 10% of the damage inflicted is restored as HP to the entire team. This recovery caps at 10% of each adventurer's maximum HP. The effect of the Dragon's Fierce Rule ability will not apply to this damage. When the user's shapeshift or Hybrid Transformation is undone, they will be inflicted with poison for 12 seconds - dealing 10% Max HP every 2.9 seconds, their dragon skill's "Skill Shift" will be reset, and the Blood Moon effect and all stacks of Moonlit Rage will be lost.</t>
  </si>
  <si>
    <t>Increases adventurer EXP intake for clearing quests by 150%.</t>
  </si>
  <si>
    <t>Increases the strength of the adventurer you are currently controlling by 15% for 10 seconds every time their initial skill, displayed at the top of their skill list, becomes available for use, providing they are Flame-attuned. After activating, this ability will not activate again for 15 seconds.</t>
  </si>
  <si>
    <t>Increases the strength of the adventurer you are currently controlling by 15% for 10 seconds every time their initial skill, displayed at the top of their skill list, becomes available for use, providing they are Water-attuned. After activating, this ability will not activate again for 15 seconds.</t>
  </si>
  <si>
    <t>Increases the strength of the adventurer you are currently controlling by 15% for 10 seconds every time their initial skill, displayed at the top of their skill list, becomes available for use, providing they are Wind-attuned. After activating, this ability will not activate again for 15 seconds.</t>
  </si>
  <si>
    <t>If elemental attunements match: Increases attack rate by 20% and critical rate by 55%.</t>
  </si>
  <si>
    <t>If elemental attunements match: Increases damage to burning enemies by 25%.</t>
  </si>
  <si>
    <t>If elemental attunements match: Grants the user the "Critical Damage Surge" effect at the start of quests for 180 seconds. During Critical Damage Surge, the modifier applied to the user's critical damage is increased by 30%.</t>
  </si>
  <si>
    <t>If elemental attunements match: At the start of quests, grants the user the "Mantra of Compassion" effect. Mantra of Compassion nullifies damage up to 100% of the user's maximum HP up to 2 times, and it will not stack. When all uses of this effect are consumed, the user will be granted the "Mantra of Wrath" effect and 50% of their dragon gauge will be filled. After activating, this dragon gauge fill effect will not activate again for 180 seconds. Mantra of Wrath increases attack rate by 10% and adds 30% to the modifier applied to damage.</t>
  </si>
  <si>
    <t>If elemental attunements match: Fills 100% of skill gauges when the user's shapeshift is undone.</t>
  </si>
  <si>
    <t>If elemental attunements match: Increases damage to flashburned enemies by 25%.</t>
  </si>
  <si>
    <t>If elemental attunements match: Increases attack skill damage by 80% when the combo count is 15 or higher.</t>
  </si>
  <si>
    <t>If elemental attunements match: Increases damage to frostbitten enemies by 25%.</t>
  </si>
  <si>
    <t>If elemental attunements match: Increases HP and strength by 20%.</t>
  </si>
  <si>
    <t>If elemental attunements match: Increases HP and strength by 25%.</t>
  </si>
  <si>
    <t>If elemental attunements match: Increases HP by 30%.</t>
  </si>
  <si>
    <t>If elemental attunements match: Increases HP and skill gauge fill rate by 40%.</t>
  </si>
  <si>
    <t>If elemental attunements match: Increases HP and overdrive gauge fill rate by 65%.</t>
  </si>
  <si>
    <t>If elemental attunements match: Increases damage to paralyzed enemies by 25%.</t>
  </si>
  <si>
    <t>If elemental attunements match: Increases damage to poisoned enemies by 25%.</t>
  </si>
  <si>
    <t>If elemental attunements match: Adds 30% to the modifier applied to damage against enemies of the opposing element and enemies with no attunement for 45 seconds every time the dragon gauge fills by 10%. This increase will not stack, and, after activating, this ability will not activate again for 5 seconds.</t>
  </si>
  <si>
    <t>If elemental attunements match: Increases damage to scorchrent enemies by 25%.</t>
  </si>
  <si>
    <t>If elemental attunements match: Increases damage to shadowblighted enemies by 25%.</t>
  </si>
  <si>
    <t>If elemental attunements match: Upon shapeshifting, increases max HP by 30% and strength by 40% once ber quest.</t>
  </si>
  <si>
    <t>If elemental attunements match: Increases attack skill damage by 120%.</t>
  </si>
  <si>
    <t>If elemental attunements match: Increases attack skill damage by 180%.</t>
  </si>
  <si>
    <t>If elemental attunements match: Increases attack skill damage by 90%.</t>
  </si>
  <si>
    <t xml:space="preserve">If elemental attunements match: Fills 100% of skill gauges at the start of quests, and increases attack skill damage by 40% when the user has a Team Strength Amp. </t>
  </si>
  <si>
    <t>If elemental attunements match: Increases damage to stormlashed enemies by 25%.</t>
  </si>
  <si>
    <t>If elemental attunements match: Increases strength by 100%.</t>
  </si>
  <si>
    <t>If elemental attunements match: Increases strength by 120%.</t>
  </si>
  <si>
    <t>If elemental attunements match: Increases strength by 30%.</t>
  </si>
  <si>
    <t>If elemental attunements match: Increases strength by 50% and adds 60% to the modifier applied to critical damage.</t>
  </si>
  <si>
    <t>If elemental attunements match: Increases strength by 50% and overdrive gauge fill rate by 50%.</t>
  </si>
  <si>
    <t>If elemental attunements match: Increases strength by 55% and skill gauge fill rate by 40%.</t>
  </si>
  <si>
    <t>If elemental attunements match: Grants the user a one-use divergent shield that nullifies damage up to 50% of the user's maximum HP every 15 seconds that pass without the user being knocked back by an enemy. Divergent shields can stack with ordinary shields. Also, the user's strength is increased by 35% while this shield is active.</t>
  </si>
  <si>
    <t>If elemental attunements match: Increases strength by 55%. In addition, grants the user the "Surge of Strength" effect at the start of quests for 180 seconds. During Surge of Strength, the user's strength is increased by 30%.</t>
  </si>
  <si>
    <t>If elemental attunements match: Every time the user is hit by an attack that inflicts an affliction, deals 1 hit of 3000% elemental damage to surrounding enemies, and grants the user the "Vengeful Counter" effect for 45 seconds. During Vengeful Counter, the user's strength is increased by 25%. Vengeful Counter will not stack, and, after activating, this ability will not activate again for 20 seconds.</t>
  </si>
  <si>
    <t>If elemental attunements match: Increases strength by 60%.</t>
  </si>
  <si>
    <t>If elemental attunements match: Increases strength by 65%.</t>
  </si>
  <si>
    <t>If elemental attunements match: Increases strength by 70%.</t>
  </si>
  <si>
    <t>If elemental attunements match: Increases strength by 70% and force strike damage by 70%.</t>
  </si>
  <si>
    <t>If elemental attunements match: Increases strength by 70% and fills 50% of the dragon gauge at the start of quests.</t>
  </si>
  <si>
    <t>If elemental attunements match: Increases strength by 90%.</t>
  </si>
  <si>
    <t>If elemental attunements match: Increases skill gauge fill rate by 30% when the user's force strikes connect, but slows the rate the mode gauge decreases by 30%.</t>
  </si>
  <si>
    <t>If elemental attunements match: Grants the user the "Surge of Strength" effect at the start of quests for 180 seconds. During Surge of Strength, the user's strength is increased by 30%.</t>
  </si>
  <si>
    <t>If elemental attunements match: Grants the user the "Surge of Strength" effect at the start of quests for 180 seconds. During Surge of Strength, the user's strength is increased by 30%. Also, adds 15% to elemental resistance.</t>
  </si>
  <si>
    <t>If elemental attunements match: Grants the user the "Surge of Strength" effect at the start of quests for 180 seconds. During Surge of Strength, the user's strength is increased by 40%.</t>
  </si>
  <si>
    <t>If elemental attunements match: Grants the user the "Surge of Strength" effect at the start of quests for 180 seconds. During Surge of Strength, the user's strength is increased by 40%. Also, increases the strength of the adventurer you are currently controlling by 15% for 15 seconds every time their initial skill, displayed at the top of their skill list, becomes available for use. After activating, this ability will not grant this effect again for 15 seconds.</t>
  </si>
  <si>
    <t>If elemental attunements match: Grants the user the "Surge of Strength" effect at the start of quests for 180 seconds. During Surge of Strength, the user's strength is increased by 60%.</t>
  </si>
  <si>
    <t>Grants the user the "Surge of Strength" effect at the start of quests for 180 seconds. During Surge of Strength, the user's strength is increased by 40%. Also, regardless of the user's attunement, extends shapeshift time by 20%.</t>
  </si>
  <si>
    <t>If the user is attuned to Water: Increases the user's HP by 30%, and activates the "Gabriel's Love" effect when their HP is restored. Gabriel's Love increases strength by 10% and defense by 50%, and grants a one-use shield that nullifies damage up to 40% of the user's maximum HP. This shield can stack with ordinary shields. Gabriel's Love will not stack, its effects are lost upon taking damage, and, after activating, this ability will not activate again for 10 seconds.</t>
  </si>
  <si>
    <t>If the user is attuned to Wind: Increases the user's HP by 30%, and extends the window between hitting an enemy and the combo counter resetting by 2.5 seconds and, for every 15-hit combo, increases the user's strength by 3%. This strength increase can stack up to 10 times and is removed when the combo counter resets. Also, grants wind-attuned adventurers in the team overdamage based on 20% of the user's strength for 60 seconds at the start of quests and grants the user overdamage based on 20% of their strength for 60 seconds when the combo counter resets. In addition, regardless of the user's attunement, while shapeshifted as Michael, creates a combat zone around the user and grants them one of two combat styles: close quarters or ranged. If there are any enemies within this combat zone, the user will engage in close-quarters combat, otherwise they will default to ranged combat. The user's standard attack patterns and the effects activated by Angelic Storm will change based on their combat style.</t>
  </si>
  <si>
    <t>If the user is attuned to Shadow: increases the user's HP by 30%, and when the user takes damage, grants them a one-use shield that nullifies damage up to 40% of the user's maximum HP. This shield can stack with ordinary shields. After activating, this ability will not activate again for 30 seconds.</t>
  </si>
  <si>
    <t>If the user is attuned to Light: increases the user's HP by 30%, and when the user takes damage, restores their HP with 150% Recovery Potency, and grants them the "Raphael's Aid" effect for 30 seconds. During Raphael's Aid, the user's defense is increased by 50%. After activating, this ability will not activate again for 60 seconds.</t>
  </si>
  <si>
    <t>If the user is attuned to Flame: increases the user's HP by 30%, and grants the "Uriel's Zeal" effect when they dodge an attack. Uriel's Zeal has three progressively more powerful levels. Lv. 1: For 60 seconds, increases the user's strength by 10% and the chances of inflicting scorchrend by 20%. Lv. 2: For 40 seconds, increases the user's strength by 20% and the chances of inflicting scorchrend by 40%. Lv. 3: For 20 seconds, increases the user's strength by 30% and the chances of inflicting scorchrend by 80%.</t>
  </si>
  <si>
    <t>Increases the user's energy level by one stage for every 5 seconds that pass, and provides a further increase to the user's strength based on the user's energy level, from a minimum of 25% at level one, up to a maximum of 45% when the user is energized. When the user's shapeshift is undone, energizes the entire team. Also, Curse of Nihility will not reset the user's energy level.</t>
  </si>
  <si>
    <t>If elemental attunements match: Fills 50% of the dragon gauge at the start of quests and extends shapeshift time by 100%, but doubles the amount of dragon energy required to shapeshift. (The user's maximum dragon energy will not be increased.) Also, when one of the user's skills ends or is interrupted, the user will be granted the "Primal Power" effect. Primal Power has two progressively more powerful levels. Lv. 1: For 10 seconds, increases skill damage by 10%. Lv. 2: For 5 seconds, increases skill damage by 30% and increases the chances of inflicting any affliction by 30%. The maximum amount of the dragon gauge that abilities can fill at the start of quests will be limited to 50% for the entire team.</t>
  </si>
  <si>
    <t>If elemental attunements match: increases HP and strength by 50%, but inflicts the user with the Creeping Corrosion debuff. Creeping Corrosion deals 1% Max HP damage every 2.9 seconds and reduces incoming healing by 50%. Every 5 seconds, the damage taken is increased by 1% Max HP. This accumulation will reset when 3000 HP is healed by the user.</t>
  </si>
  <si>
    <t>Increases adventurer EXP intake for clearing quests by 200%. This affects the entire team.</t>
  </si>
  <si>
    <t>Increases mana intake for clearing quests by 200%.</t>
  </si>
  <si>
    <t>Increases rupie intake for clearing quests by 200%.</t>
  </si>
  <si>
    <t>No Second Ability</t>
  </si>
  <si>
    <t>Total Ability Count (Only All 151 Dragons)</t>
  </si>
  <si>
    <t>W-050</t>
  </si>
  <si>
    <t>Weapon Skill - Original</t>
  </si>
  <si>
    <t>Weapon Skill - V3 Revision</t>
  </si>
  <si>
    <t>Info</t>
  </si>
  <si>
    <t>Original</t>
  </si>
  <si>
    <t>V3 Revision</t>
  </si>
  <si>
    <t>Rupies</t>
  </si>
  <si>
    <t>Unlock Material</t>
  </si>
  <si>
    <t>Unlock Condition</t>
  </si>
  <si>
    <t>V3 Re;Works Weapon Revisions</t>
  </si>
  <si>
    <t>Stats</t>
  </si>
  <si>
    <t>OG</t>
  </si>
  <si>
    <t>V3</t>
  </si>
  <si>
    <t xml:space="preserve"> </t>
  </si>
  <si>
    <t>★</t>
  </si>
  <si>
    <t>Weapon Skill</t>
  </si>
  <si>
    <t>Ability 1 - OLD</t>
  </si>
  <si>
    <t>Ability 2 - OLD</t>
  </si>
  <si>
    <t>301001_01</t>
  </si>
  <si>
    <t>W-001</t>
  </si>
  <si>
    <t>Battleworn Sword</t>
  </si>
  <si>
    <t>Core 1</t>
  </si>
  <si>
    <t>None</t>
  </si>
  <si>
    <t>Default</t>
  </si>
  <si>
    <t>302001_01</t>
  </si>
  <si>
    <t>W-002</t>
  </si>
  <si>
    <t>Battleworn Blade</t>
  </si>
  <si>
    <t>303001_01</t>
  </si>
  <si>
    <t>W-003</t>
  </si>
  <si>
    <t>Battleworn Dagger</t>
  </si>
  <si>
    <t>304001_01</t>
  </si>
  <si>
    <t>W-004</t>
  </si>
  <si>
    <t>Battleworn Axe</t>
  </si>
  <si>
    <t>305001_01</t>
  </si>
  <si>
    <t>W-005</t>
  </si>
  <si>
    <t>Battleworn Lance</t>
  </si>
  <si>
    <t>306001_01</t>
  </si>
  <si>
    <t>W-006</t>
  </si>
  <si>
    <t>Battleworn Bow</t>
  </si>
  <si>
    <t>307001_01</t>
  </si>
  <si>
    <t>W-007</t>
  </si>
  <si>
    <t>Battleworn Wand</t>
  </si>
  <si>
    <t>308001_01</t>
  </si>
  <si>
    <t>W-008</t>
  </si>
  <si>
    <t>Battleworn Staff</t>
  </si>
  <si>
    <t>309001_01</t>
  </si>
  <si>
    <t>W-009</t>
  </si>
  <si>
    <t>Battleworn Manacaster</t>
  </si>
  <si>
    <t>301030_01</t>
  </si>
  <si>
    <t>W-010</t>
  </si>
  <si>
    <t>Knight's Sword</t>
  </si>
  <si>
    <t>Core 3</t>
  </si>
  <si>
    <t>Broad Cleaver</t>
  </si>
  <si>
    <t>Clear Chapter 02</t>
  </si>
  <si>
    <t>302021_01</t>
  </si>
  <si>
    <t>W-011</t>
  </si>
  <si>
    <t>Subjugator</t>
  </si>
  <si>
    <t>Fusion Wave</t>
  </si>
  <si>
    <t>303026_01</t>
  </si>
  <si>
    <t>W-012</t>
  </si>
  <si>
    <t>Bejeweled Dagger</t>
  </si>
  <si>
    <t>Lover's Strike</t>
  </si>
  <si>
    <t>304025_01</t>
  </si>
  <si>
    <t>W-013</t>
  </si>
  <si>
    <t>Warrior's Axe</t>
  </si>
  <si>
    <t>Juggernaut's Swing</t>
  </si>
  <si>
    <t>305039_01</t>
  </si>
  <si>
    <t>W-014</t>
  </si>
  <si>
    <t>Trident</t>
  </si>
  <si>
    <t>Spiralling Descent</t>
  </si>
  <si>
    <t>306026_01</t>
  </si>
  <si>
    <t>W-015</t>
  </si>
  <si>
    <t>Composite Bow</t>
  </si>
  <si>
    <t>Mechanical Volley</t>
  </si>
  <si>
    <t>307042_01</t>
  </si>
  <si>
    <t>W-016</t>
  </si>
  <si>
    <t>Wizard's Rod</t>
  </si>
  <si>
    <t>Conchoidal Blast</t>
  </si>
  <si>
    <t>308002_01</t>
  </si>
  <si>
    <t>W-017</t>
  </si>
  <si>
    <t>Staff of Grace</t>
  </si>
  <si>
    <t>Horned Circle</t>
  </si>
  <si>
    <t>301040_01</t>
  </si>
  <si>
    <t>W-018</t>
  </si>
  <si>
    <t>Knights' Grace</t>
  </si>
  <si>
    <t>Core 4</t>
  </si>
  <si>
    <t>Glorious Wave</t>
  </si>
  <si>
    <t>Clear Chapter 04</t>
  </si>
  <si>
    <t>302012_01</t>
  </si>
  <si>
    <t>W-019</t>
  </si>
  <si>
    <t>Guardian Seal</t>
  </si>
  <si>
    <t>Masamura's Slash</t>
  </si>
  <si>
    <t>303033_01</t>
  </si>
  <si>
    <t>W-020</t>
  </si>
  <si>
    <t>Hardbreaker</t>
  </si>
  <si>
    <t>Dreamer's Spiral</t>
  </si>
  <si>
    <t>304026_01</t>
  </si>
  <si>
    <t>W-021</t>
  </si>
  <si>
    <t>Plain Axe</t>
  </si>
  <si>
    <t>Tyrant Swing</t>
  </si>
  <si>
    <t>305029_01</t>
  </si>
  <si>
    <t>W-022</t>
  </si>
  <si>
    <t>Strong Halberd</t>
  </si>
  <si>
    <t>Ironsides's Barrage</t>
  </si>
  <si>
    <t>306013_01</t>
  </si>
  <si>
    <t>W-023</t>
  </si>
  <si>
    <t>Executor</t>
  </si>
  <si>
    <t>Duskhawk's Energy</t>
  </si>
  <si>
    <t>307012_01</t>
  </si>
  <si>
    <t>W-024</t>
  </si>
  <si>
    <t>Latchkey</t>
  </si>
  <si>
    <t>Moonlight's Protection</t>
  </si>
  <si>
    <t>308005_01</t>
  </si>
  <si>
    <t>W-025</t>
  </si>
  <si>
    <t>Staff of Life</t>
  </si>
  <si>
    <t>Beautiful Healing</t>
  </si>
  <si>
    <t>309002_01</t>
  </si>
  <si>
    <t>W-026</t>
  </si>
  <si>
    <t>Antique Manacaster</t>
  </si>
  <si>
    <t>Antique Defense</t>
  </si>
  <si>
    <t>301041_01</t>
  </si>
  <si>
    <t>W-027</t>
  </si>
  <si>
    <t>Hero's Sword</t>
  </si>
  <si>
    <t>Core 5</t>
  </si>
  <si>
    <t>Noble Flash</t>
  </si>
  <si>
    <t>Clear Chapter 06</t>
  </si>
  <si>
    <t>302014_01</t>
  </si>
  <si>
    <t>W-028</t>
  </si>
  <si>
    <t>Dane's Favor</t>
  </si>
  <si>
    <t>Souleater's Feast</t>
  </si>
  <si>
    <t>303035_01</t>
  </si>
  <si>
    <t>W-029</t>
  </si>
  <si>
    <t>Kris Naga</t>
  </si>
  <si>
    <t>Hedgehog's Strength</t>
  </si>
  <si>
    <t>304012_01</t>
  </si>
  <si>
    <t>W-030</t>
  </si>
  <si>
    <t>Victory Axe</t>
  </si>
  <si>
    <t>Executioner's Impact</t>
  </si>
  <si>
    <t>305015_01</t>
  </si>
  <si>
    <t>W-031</t>
  </si>
  <si>
    <t>Pactspear</t>
  </si>
  <si>
    <t>Explosive Descent</t>
  </si>
  <si>
    <t>306015_01</t>
  </si>
  <si>
    <t>W-032</t>
  </si>
  <si>
    <t>Nitralica's Koto</t>
  </si>
  <si>
    <t>Star Volley</t>
  </si>
  <si>
    <t>307031_01</t>
  </si>
  <si>
    <t>W-033</t>
  </si>
  <si>
    <t>Wand of the Torrent</t>
  </si>
  <si>
    <t>Chaotic Healing</t>
  </si>
  <si>
    <t>308030_01</t>
  </si>
  <si>
    <t>W-034</t>
  </si>
  <si>
    <t>Cane of Soul's Repose</t>
  </si>
  <si>
    <t>Ethereal Circle</t>
  </si>
  <si>
    <t>309009_01</t>
  </si>
  <si>
    <t>W-035</t>
  </si>
  <si>
    <t>Chanzelian Caster</t>
  </si>
  <si>
    <t>Chanzelian Strength</t>
  </si>
  <si>
    <t>301032_01</t>
  </si>
  <si>
    <t>W-036</t>
  </si>
  <si>
    <t>Levatein</t>
  </si>
  <si>
    <t>Core E</t>
  </si>
  <si>
    <t>Calamitous Cleaver</t>
  </si>
  <si>
    <t>T1 Insignia</t>
  </si>
  <si>
    <t>Obtain Hero's Sword</t>
  </si>
  <si>
    <t>302013_01</t>
  </si>
  <si>
    <t>W-037</t>
  </si>
  <si>
    <t>Heaven's Acuity</t>
  </si>
  <si>
    <t>Heaven's Flames</t>
  </si>
  <si>
    <t>Obtain Dane's Favor</t>
  </si>
  <si>
    <t>303013_01</t>
  </si>
  <si>
    <t>W-038</t>
  </si>
  <si>
    <t>Aeternal Flame</t>
  </si>
  <si>
    <t>Aeternal Assault</t>
  </si>
  <si>
    <t>Obtain Kris Naga</t>
  </si>
  <si>
    <t>304027_01</t>
  </si>
  <si>
    <t>W-039</t>
  </si>
  <si>
    <t>Axe of the Blazing King</t>
  </si>
  <si>
    <t>Blazing Boost</t>
  </si>
  <si>
    <t>Obtain Victory Axe</t>
  </si>
  <si>
    <t>305030_01</t>
  </si>
  <si>
    <t>W-040</t>
  </si>
  <si>
    <t>Calamity Trigger</t>
  </si>
  <si>
    <t>Calamitous Descent</t>
  </si>
  <si>
    <t>Obtain Pactspear</t>
  </si>
  <si>
    <t>306027_01</t>
  </si>
  <si>
    <t>W-041</t>
  </si>
  <si>
    <t>Lupis Solis</t>
  </si>
  <si>
    <t>Lupine Vision</t>
  </si>
  <si>
    <t>Obtain Nitralica's Koto</t>
  </si>
  <si>
    <t>307015_01</t>
  </si>
  <si>
    <t>W-042</t>
  </si>
  <si>
    <t>Terranigmus</t>
  </si>
  <si>
    <t>Grand Healing</t>
  </si>
  <si>
    <t>Obtain Wand of the Torrent</t>
  </si>
  <si>
    <t>308031_01</t>
  </si>
  <si>
    <t>W-043</t>
  </si>
  <si>
    <t>Staff of the Red Emperor</t>
  </si>
  <si>
    <t>Red Emperor's Spirit</t>
  </si>
  <si>
    <t>Obtain Cane of Soul's Repose</t>
  </si>
  <si>
    <t>309011_01</t>
  </si>
  <si>
    <t>W-044</t>
  </si>
  <si>
    <t>Chanzelian Caster Mk. 65</t>
  </si>
  <si>
    <t>Mk. 65 Blastshot</t>
  </si>
  <si>
    <t>Obtain Chanzelian Caster</t>
  </si>
  <si>
    <t>301010_01</t>
  </si>
  <si>
    <t>W-045</t>
  </si>
  <si>
    <t>Eoantide</t>
  </si>
  <si>
    <t>Eoantide Cleaver</t>
  </si>
  <si>
    <t>302010_01</t>
  </si>
  <si>
    <t>W-046</t>
  </si>
  <si>
    <t>Maar Oasis</t>
  </si>
  <si>
    <t>Maar's Recovery</t>
  </si>
  <si>
    <t>303020_01</t>
  </si>
  <si>
    <t>W-047</t>
  </si>
  <si>
    <t>Lux Lamina</t>
  </si>
  <si>
    <t>Cobalt Strength</t>
  </si>
  <si>
    <t>304028_01</t>
  </si>
  <si>
    <t>W-048</t>
  </si>
  <si>
    <t>Grand Seadragon</t>
  </si>
  <si>
    <t>Seadragon's Impact</t>
  </si>
  <si>
    <t>305014_01</t>
  </si>
  <si>
    <t>W-049</t>
  </si>
  <si>
    <t>Ocean Lord</t>
  </si>
  <si>
    <t>Ocean's Healing</t>
  </si>
  <si>
    <t>306029_01</t>
  </si>
  <si>
    <t>Peacock's Whorl</t>
  </si>
  <si>
    <t>Peacock Shot</t>
  </si>
  <si>
    <t>307032_01</t>
  </si>
  <si>
    <t>W-051</t>
  </si>
  <si>
    <t>Ocean Monarch</t>
  </si>
  <si>
    <t>Monarch's Blast</t>
  </si>
  <si>
    <t>308011_01</t>
  </si>
  <si>
    <t>W-052</t>
  </si>
  <si>
    <t>Bracing Waters</t>
  </si>
  <si>
    <t>Bracing Spirit</t>
  </si>
  <si>
    <t>309012_01</t>
  </si>
  <si>
    <t>W-053</t>
  </si>
  <si>
    <t>Chanzelian Caster Mk. 72</t>
  </si>
  <si>
    <t>Mk. 72 Barrage</t>
  </si>
  <si>
    <t>301033_01</t>
  </si>
  <si>
    <t>W-054</t>
  </si>
  <si>
    <t>Durandal</t>
  </si>
  <si>
    <t>Heroic Epic</t>
  </si>
  <si>
    <t>302023_01</t>
  </si>
  <si>
    <t>W-055</t>
  </si>
  <si>
    <t>Anemone</t>
  </si>
  <si>
    <t>Verdant Wave</t>
  </si>
  <si>
    <t>303028_01</t>
  </si>
  <si>
    <t>W-056</t>
  </si>
  <si>
    <t>Karlsnautr</t>
  </si>
  <si>
    <t>Saga of the Soul</t>
  </si>
  <si>
    <t>304029_01</t>
  </si>
  <si>
    <t>W-057</t>
  </si>
  <si>
    <t>Axe of the Southern Cross</t>
  </si>
  <si>
    <t>Southern Impact</t>
  </si>
  <si>
    <t>305032_01</t>
  </si>
  <si>
    <t>W-058</t>
  </si>
  <si>
    <t>Spear of the Northern Cross</t>
  </si>
  <si>
    <t>Northern Healing</t>
  </si>
  <si>
    <t>306030_01</t>
  </si>
  <si>
    <t>W-059</t>
  </si>
  <si>
    <t>Stellar Pegasus</t>
  </si>
  <si>
    <t>Pegasus Shot</t>
  </si>
  <si>
    <t>307014_01</t>
  </si>
  <si>
    <t>W-060</t>
  </si>
  <si>
    <t>Phytalmios</t>
  </si>
  <si>
    <t>Phytalmios's Healing</t>
  </si>
  <si>
    <t>308032_01</t>
  </si>
  <si>
    <t>W-061</t>
  </si>
  <si>
    <t>Ancient Mage's Windcane</t>
  </si>
  <si>
    <t>Ancient Mage's Spirit</t>
  </si>
  <si>
    <t>309013_01</t>
  </si>
  <si>
    <t>W-062</t>
  </si>
  <si>
    <t>Chanzelian Caster Mk. 21</t>
  </si>
  <si>
    <t>Mk. 21 Burstshot</t>
  </si>
  <si>
    <t>301015_01</t>
  </si>
  <si>
    <t>W-063</t>
  </si>
  <si>
    <t>Zex's End</t>
  </si>
  <si>
    <t>Zex's Waltz</t>
  </si>
  <si>
    <t>302025_01</t>
  </si>
  <si>
    <t>W-064</t>
  </si>
  <si>
    <t>Heavenwing</t>
  </si>
  <si>
    <t>Winged Blessing</t>
  </si>
  <si>
    <t>303030_01</t>
  </si>
  <si>
    <t>W-065</t>
  </si>
  <si>
    <t>Thunderblade Sugaar</t>
  </si>
  <si>
    <t>Sugaar's Strength</t>
  </si>
  <si>
    <t>304013_01</t>
  </si>
  <si>
    <t>W-066</t>
  </si>
  <si>
    <t>Radiant Swath</t>
  </si>
  <si>
    <t>Radiant Boost</t>
  </si>
  <si>
    <t>305033_01</t>
  </si>
  <si>
    <t>W-067</t>
  </si>
  <si>
    <t>Thunder King's Greatspear</t>
  </si>
  <si>
    <t>Thunder's Descent</t>
  </si>
  <si>
    <t>306031_01</t>
  </si>
  <si>
    <t>W-068</t>
  </si>
  <si>
    <t>Thunderbow</t>
  </si>
  <si>
    <t>Divine Thunder</t>
  </si>
  <si>
    <t>307034_01</t>
  </si>
  <si>
    <t>W-069</t>
  </si>
  <si>
    <t>Twilight Shimmer</t>
  </si>
  <si>
    <t>Twilight Blast</t>
  </si>
  <si>
    <t>308014_01</t>
  </si>
  <si>
    <t>W-070</t>
  </si>
  <si>
    <t>Light of Judgment</t>
  </si>
  <si>
    <t>Judgment Circle</t>
  </si>
  <si>
    <t>309014_01</t>
  </si>
  <si>
    <t>W-071</t>
  </si>
  <si>
    <t>Chanzelian Caster Mk. 62</t>
  </si>
  <si>
    <t>Mk. 62 Spreadshot</t>
  </si>
  <si>
    <t>301037_01</t>
  </si>
  <si>
    <t>W-072</t>
  </si>
  <si>
    <t>Dáinsleif</t>
  </si>
  <si>
    <t>Eternal Strife</t>
  </si>
  <si>
    <t>302028_01</t>
  </si>
  <si>
    <t>W-073</t>
  </si>
  <si>
    <t>Blackwing</t>
  </si>
  <si>
    <t>Black Dance</t>
  </si>
  <si>
    <t>303031_01</t>
  </si>
  <si>
    <t>W-074</t>
  </si>
  <si>
    <t>Honor Edge</t>
  </si>
  <si>
    <t>Unwavering Assault</t>
  </si>
  <si>
    <t>304014_01</t>
  </si>
  <si>
    <t>W-075</t>
  </si>
  <si>
    <t>Primordial Titan</t>
  </si>
  <si>
    <t>Primordial Boost</t>
  </si>
  <si>
    <t>305036_01</t>
  </si>
  <si>
    <t>W-076</t>
  </si>
  <si>
    <t>Mistilteinn</t>
  </si>
  <si>
    <t>Heaven's Mistletoe</t>
  </si>
  <si>
    <t>306014_01</t>
  </si>
  <si>
    <t>W-077</t>
  </si>
  <si>
    <t>Necro Arcus</t>
  </si>
  <si>
    <t>Necro Volley</t>
  </si>
  <si>
    <t>307035_01</t>
  </si>
  <si>
    <t>W-078</t>
  </si>
  <si>
    <t>Underworld Despair</t>
  </si>
  <si>
    <t>Persephone's Healing</t>
  </si>
  <si>
    <t>308015_01</t>
  </si>
  <si>
    <t>W-079</t>
  </si>
  <si>
    <t>Caduceus</t>
  </si>
  <si>
    <t>Herald's Circle</t>
  </si>
  <si>
    <t>309015_01</t>
  </si>
  <si>
    <t>W-080</t>
  </si>
  <si>
    <t>Chanzelian Caster Mk. 81</t>
  </si>
  <si>
    <t>Mk. 81 Volley</t>
  </si>
  <si>
    <t>301056_01</t>
  </si>
  <si>
    <t>W-081</t>
  </si>
  <si>
    <t>Inferno Apogee</t>
  </si>
  <si>
    <t>Void</t>
  </si>
  <si>
    <t>(Flame) Skill Prep +50%</t>
  </si>
  <si>
    <t>302045_01</t>
  </si>
  <si>
    <t>W-082</t>
  </si>
  <si>
    <t>Skyrender</t>
  </si>
  <si>
    <t>303065_01</t>
  </si>
  <si>
    <t>W-083</t>
  </si>
  <si>
    <t>Vermillion Pain</t>
  </si>
  <si>
    <t>304043_01</t>
  </si>
  <si>
    <t>W-084</t>
  </si>
  <si>
    <t>Heavenwrath Gaze</t>
  </si>
  <si>
    <t>305077_01</t>
  </si>
  <si>
    <t>W-085</t>
  </si>
  <si>
    <t>Flamedance Lance</t>
  </si>
  <si>
    <t>306061_01</t>
  </si>
  <si>
    <t>W-086</t>
  </si>
  <si>
    <t>Vulcanrage</t>
  </si>
  <si>
    <t>307066_01</t>
  </si>
  <si>
    <t>W-087</t>
  </si>
  <si>
    <t>Scepter of Infinite Fire</t>
  </si>
  <si>
    <t>308044_01</t>
  </si>
  <si>
    <t>W-088</t>
  </si>
  <si>
    <t>Endless Demise</t>
  </si>
  <si>
    <t>301077_01</t>
  </si>
  <si>
    <t>W-089</t>
  </si>
  <si>
    <t>Judge of Oceans</t>
  </si>
  <si>
    <t>(Water) Full HP = Defense +20%</t>
  </si>
  <si>
    <t>302058_01</t>
  </si>
  <si>
    <t>W-090</t>
  </si>
  <si>
    <t>Highwater Slicer</t>
  </si>
  <si>
    <t>303058_01</t>
  </si>
  <si>
    <t>W-091</t>
  </si>
  <si>
    <t>Frigid Sting</t>
  </si>
  <si>
    <t>304066_01</t>
  </si>
  <si>
    <t>W-092</t>
  </si>
  <si>
    <t>Permafrost Crash</t>
  </si>
  <si>
    <t>305066_01</t>
  </si>
  <si>
    <t>W-093</t>
  </si>
  <si>
    <t>Strohm Mare</t>
  </si>
  <si>
    <t>306071_01</t>
  </si>
  <si>
    <t>W-094</t>
  </si>
  <si>
    <t>Everfrost Bow</t>
  </si>
  <si>
    <t>307077_01</t>
  </si>
  <si>
    <t>W-095</t>
  </si>
  <si>
    <t>Spirit Breaker</t>
  </si>
  <si>
    <t>308055_01</t>
  </si>
  <si>
    <t>W-096</t>
  </si>
  <si>
    <t>Endless Azure Core</t>
  </si>
  <si>
    <t>301098_01</t>
  </si>
  <si>
    <t>W-097</t>
  </si>
  <si>
    <t>Roaring Weald</t>
  </si>
  <si>
    <t>(Wind) Skill Prep +50%</t>
  </si>
  <si>
    <t>302089_01</t>
  </si>
  <si>
    <t>W-098</t>
  </si>
  <si>
    <t>Stormsquall Crash</t>
  </si>
  <si>
    <t>303088_01</t>
  </si>
  <si>
    <t>W-099</t>
  </si>
  <si>
    <t>The Gale</t>
  </si>
  <si>
    <t>304087_01</t>
  </si>
  <si>
    <t>W-100</t>
  </si>
  <si>
    <t>Jagged Bolt</t>
  </si>
  <si>
    <t>305094_01</t>
  </si>
  <si>
    <t>W-101</t>
  </si>
  <si>
    <t>Windsovereign Trident</t>
  </si>
  <si>
    <t>306087_01</t>
  </si>
  <si>
    <t>W-102</t>
  </si>
  <si>
    <t>Firmament Auger</t>
  </si>
  <si>
    <t>307095_01</t>
  </si>
  <si>
    <t>W-103</t>
  </si>
  <si>
    <t>Typhoon's Rule</t>
  </si>
  <si>
    <t>308088_01</t>
  </si>
  <si>
    <t>W-104</t>
  </si>
  <si>
    <t>Skypainter Staff</t>
  </si>
  <si>
    <t>301117_01</t>
  </si>
  <si>
    <t>W-105</t>
  </si>
  <si>
    <t>Death Aeon</t>
  </si>
  <si>
    <t>(Light) HP 70% = Defense +8%</t>
  </si>
  <si>
    <t>302108_01</t>
  </si>
  <si>
    <t>W-106</t>
  </si>
  <si>
    <t>Hollow Lightning</t>
  </si>
  <si>
    <t>303107_01</t>
  </si>
  <si>
    <t>W-107</t>
  </si>
  <si>
    <t>Merciful Claw</t>
  </si>
  <si>
    <t>304106_01</t>
  </si>
  <si>
    <t>W-108</t>
  </si>
  <si>
    <t>Blitzfang</t>
  </si>
  <si>
    <t>305113_01</t>
  </si>
  <si>
    <t>W-109</t>
  </si>
  <si>
    <t>Starpiercer</t>
  </si>
  <si>
    <t>306106_01</t>
  </si>
  <si>
    <t>W-110</t>
  </si>
  <si>
    <t>Astral Echo</t>
  </si>
  <si>
    <t>307114_01</t>
  </si>
  <si>
    <t>W-111</t>
  </si>
  <si>
    <t>Worldshaker</t>
  </si>
  <si>
    <t>308107_01</t>
  </si>
  <si>
    <t>W-112</t>
  </si>
  <si>
    <t>Dominus of Ever</t>
  </si>
  <si>
    <t>(Light) Recovery Potency +8%</t>
  </si>
  <si>
    <t>301106_01</t>
  </si>
  <si>
    <t>W-113</t>
  </si>
  <si>
    <t>Abyssbringer</t>
  </si>
  <si>
    <t>(Shadow) HP 50% = Defense +7%</t>
  </si>
  <si>
    <t>302097_01</t>
  </si>
  <si>
    <t>W-114</t>
  </si>
  <si>
    <t>Nightsky Ripper</t>
  </si>
  <si>
    <t>303096_01</t>
  </si>
  <si>
    <t>W-115</t>
  </si>
  <si>
    <t>Death Seeker</t>
  </si>
  <si>
    <t>304095_01</t>
  </si>
  <si>
    <t>W-116</t>
  </si>
  <si>
    <t>Genocide Cleaver</t>
  </si>
  <si>
    <t>305102_01</t>
  </si>
  <si>
    <t>W-117</t>
  </si>
  <si>
    <t>Final Eclipse</t>
  </si>
  <si>
    <t>306095_01</t>
  </si>
  <si>
    <t>W-118</t>
  </si>
  <si>
    <t>Black Dahlia Bow</t>
  </si>
  <si>
    <t>307103_01</t>
  </si>
  <si>
    <t>W-119</t>
  </si>
  <si>
    <t>Dirge of Desperation</t>
  </si>
  <si>
    <t>308096_01</t>
  </si>
  <si>
    <t>W-120</t>
  </si>
  <si>
    <t>Aria of Lamentation</t>
  </si>
  <si>
    <t>(Shadow) HP 50% = Healing +12%</t>
  </si>
  <si>
    <t>301132_01</t>
  </si>
  <si>
    <t>W-121</t>
  </si>
  <si>
    <t>Chimeratech Commander</t>
  </si>
  <si>
    <t>Chimera</t>
  </si>
  <si>
    <t>(Flame) Unyielding Offense +4%</t>
  </si>
  <si>
    <t>Chimera Standard Material</t>
  </si>
  <si>
    <t>302123_01</t>
  </si>
  <si>
    <t>W-122</t>
  </si>
  <si>
    <t>Chimeratech Lord</t>
  </si>
  <si>
    <t>303122_01</t>
  </si>
  <si>
    <t>W-123</t>
  </si>
  <si>
    <t>Chimeratech Elite</t>
  </si>
  <si>
    <t>304121_01</t>
  </si>
  <si>
    <t>W-124</t>
  </si>
  <si>
    <t>Chimeratech Warlord</t>
  </si>
  <si>
    <t>305128_01</t>
  </si>
  <si>
    <t>W-125</t>
  </si>
  <si>
    <t>Chimeratech Lancemaster</t>
  </si>
  <si>
    <t>306121_01</t>
  </si>
  <si>
    <t>W-126</t>
  </si>
  <si>
    <t>Chimeratech Sniper</t>
  </si>
  <si>
    <t>307129_01</t>
  </si>
  <si>
    <t>W-127</t>
  </si>
  <si>
    <t>Chimeratech Archmage</t>
  </si>
  <si>
    <t>308122_01</t>
  </si>
  <si>
    <t>W-128</t>
  </si>
  <si>
    <t>Chimeratech Cardinal</t>
  </si>
  <si>
    <t>309016_01</t>
  </si>
  <si>
    <t>W-129</t>
  </si>
  <si>
    <t>Chimeratech Gunner</t>
  </si>
  <si>
    <t>301133_01</t>
  </si>
  <si>
    <t>W-130</t>
  </si>
  <si>
    <t>Chimeratech Anomalocaris</t>
  </si>
  <si>
    <t>(Water) Unyielding Offense +4%</t>
  </si>
  <si>
    <t>302124_01</t>
  </si>
  <si>
    <t>W-131</t>
  </si>
  <si>
    <t>Chimeratech Hadranax</t>
  </si>
  <si>
    <t>303123_01</t>
  </si>
  <si>
    <t>W-132</t>
  </si>
  <si>
    <t>Chimeratech Vetulicola</t>
  </si>
  <si>
    <t>304122_01</t>
  </si>
  <si>
    <t>W-133</t>
  </si>
  <si>
    <t>Chimeratech Helmetia</t>
  </si>
  <si>
    <t>305129_01</t>
  </si>
  <si>
    <t>W-134</t>
  </si>
  <si>
    <t>Chimeratech Takakkawia</t>
  </si>
  <si>
    <t>306122_01</t>
  </si>
  <si>
    <t>W-135</t>
  </si>
  <si>
    <t>Chimeratech Hallucigenia</t>
  </si>
  <si>
    <t>307130_01</t>
  </si>
  <si>
    <t>W-136</t>
  </si>
  <si>
    <t>Chimeratech Hurdia</t>
  </si>
  <si>
    <t>308123_01</t>
  </si>
  <si>
    <t>W-137</t>
  </si>
  <si>
    <t>Chimeratech Metaldetes</t>
  </si>
  <si>
    <t>309017_01</t>
  </si>
  <si>
    <t>W-138</t>
  </si>
  <si>
    <t>Chimeratech Marella</t>
  </si>
  <si>
    <t>301134_01</t>
  </si>
  <si>
    <t>W-139</t>
  </si>
  <si>
    <t>Chimeratech Cypress</t>
  </si>
  <si>
    <t>(Wind) Unyielding Offense +4%</t>
  </si>
  <si>
    <t>302125_01</t>
  </si>
  <si>
    <t>W-140</t>
  </si>
  <si>
    <t>Chimeratech Benzoin</t>
  </si>
  <si>
    <t>303124_01</t>
  </si>
  <si>
    <t>W-141</t>
  </si>
  <si>
    <t>Chimeratech Tea Tree</t>
  </si>
  <si>
    <t>304123_01</t>
  </si>
  <si>
    <t>W-142</t>
  </si>
  <si>
    <t>Chimeratech Palmarosa</t>
  </si>
  <si>
    <t>305130_01</t>
  </si>
  <si>
    <t>W-143</t>
  </si>
  <si>
    <t>Chimeratech Caraway</t>
  </si>
  <si>
    <t>306123_01</t>
  </si>
  <si>
    <t>W-144</t>
  </si>
  <si>
    <t>Chimeratech Ajwain</t>
  </si>
  <si>
    <t>307131_01</t>
  </si>
  <si>
    <t>W-145</t>
  </si>
  <si>
    <t>Chimeratech Frankin</t>
  </si>
  <si>
    <t>308124_01</t>
  </si>
  <si>
    <t>W-146</t>
  </si>
  <si>
    <t>Chimeratech Marjoram</t>
  </si>
  <si>
    <t>309018_01</t>
  </si>
  <si>
    <t>W-147</t>
  </si>
  <si>
    <t>Chimeratech Fennel</t>
  </si>
  <si>
    <t>301135_01</t>
  </si>
  <si>
    <t>W-148</t>
  </si>
  <si>
    <t>Chimeratech Sirius</t>
  </si>
  <si>
    <t>(Light) Unyielding Offense +4%</t>
  </si>
  <si>
    <t>302126_01</t>
  </si>
  <si>
    <t>W-149</t>
  </si>
  <si>
    <t>Chimeratech Canopus</t>
  </si>
  <si>
    <t>303125_01</t>
  </si>
  <si>
    <t>W-150</t>
  </si>
  <si>
    <t>Chimeratech Capella</t>
  </si>
  <si>
    <t>304124_01</t>
  </si>
  <si>
    <t>W-151</t>
  </si>
  <si>
    <t>Chimeratech Rigel</t>
  </si>
  <si>
    <t>305131_01</t>
  </si>
  <si>
    <t>W-152</t>
  </si>
  <si>
    <t>Chimeratech Arcturus</t>
  </si>
  <si>
    <t>306124_01</t>
  </si>
  <si>
    <t>W-153</t>
  </si>
  <si>
    <t>Chimeratech Vega</t>
  </si>
  <si>
    <t>307132_01</t>
  </si>
  <si>
    <t>W-154</t>
  </si>
  <si>
    <t>Chimeratech Betelgeuse</t>
  </si>
  <si>
    <t>308125_01</t>
  </si>
  <si>
    <t>W-155</t>
  </si>
  <si>
    <t>Chimeratech Procyon</t>
  </si>
  <si>
    <t>309019_01</t>
  </si>
  <si>
    <t>W-156</t>
  </si>
  <si>
    <t>Chimeratech Al Nasr</t>
  </si>
  <si>
    <t>301136_01</t>
  </si>
  <si>
    <t>W-157</t>
  </si>
  <si>
    <t>Chimeratech Nocturne</t>
  </si>
  <si>
    <t>(Shadow) Unyielding Offense +4%</t>
  </si>
  <si>
    <t>302127_01</t>
  </si>
  <si>
    <t>W-158</t>
  </si>
  <si>
    <t>Chimeratech Requiem</t>
  </si>
  <si>
    <t>303126_01</t>
  </si>
  <si>
    <t>W-159</t>
  </si>
  <si>
    <t>Chimeratech Rhapsody</t>
  </si>
  <si>
    <t>304125_01</t>
  </si>
  <si>
    <t>W-160</t>
  </si>
  <si>
    <t>Chimeratech Fugue</t>
  </si>
  <si>
    <t>305132_01</t>
  </si>
  <si>
    <t>W-161</t>
  </si>
  <si>
    <t>Chimeratech Elegy</t>
  </si>
  <si>
    <t>306125_01</t>
  </si>
  <si>
    <t>W-162</t>
  </si>
  <si>
    <t>Chimeratech Concerto</t>
  </si>
  <si>
    <t>307133_01</t>
  </si>
  <si>
    <t>W-163</t>
  </si>
  <si>
    <t>Chimeratech Oratorio</t>
  </si>
  <si>
    <t>308126_01</t>
  </si>
  <si>
    <t>W-164</t>
  </si>
  <si>
    <t>Chimeratech Coda</t>
  </si>
  <si>
    <t>309020_01</t>
  </si>
  <si>
    <t>W-165</t>
  </si>
  <si>
    <t>Chimeratech Cantata</t>
  </si>
  <si>
    <t>301122_01</t>
  </si>
  <si>
    <t>W-166</t>
  </si>
  <si>
    <t>Absolute Crimson</t>
  </si>
  <si>
    <t>HDT</t>
  </si>
  <si>
    <t>Infinite Crimson</t>
  </si>
  <si>
    <t>HDT Expert Material</t>
  </si>
  <si>
    <t>Craft Inferno Apogee</t>
  </si>
  <si>
    <t>302113_01</t>
  </si>
  <si>
    <t>W-167</t>
  </si>
  <si>
    <t>Blinding Conflagration</t>
  </si>
  <si>
    <t>Blinding Blade</t>
  </si>
  <si>
    <t>Craft Skyrender</t>
  </si>
  <si>
    <t>303112_01</t>
  </si>
  <si>
    <t>W-168</t>
  </si>
  <si>
    <t>Flameruler's Maw</t>
  </si>
  <si>
    <t>Savage Flameruler</t>
  </si>
  <si>
    <t>Craft Vermillion Pain</t>
  </si>
  <si>
    <t>304111_01</t>
  </si>
  <si>
    <t>W-169</t>
  </si>
  <si>
    <t>Royal Crimson Heat</t>
  </si>
  <si>
    <t>Royal Crimson Passion</t>
  </si>
  <si>
    <t>Craft Heavenwrath Gaze</t>
  </si>
  <si>
    <t>305118_01</t>
  </si>
  <si>
    <t>W-170</t>
  </si>
  <si>
    <t>Pureflame Lance</t>
  </si>
  <si>
    <t>Crimson Wildfire</t>
  </si>
  <si>
    <t>Craft Flamedance Lance</t>
  </si>
  <si>
    <t>306111_01</t>
  </si>
  <si>
    <t>W-171</t>
  </si>
  <si>
    <t>Valkyrie's Fire</t>
  </si>
  <si>
    <t>Valkyrie's Heroic Raid</t>
  </si>
  <si>
    <t>Craft Vulcanrage</t>
  </si>
  <si>
    <t>307119_01</t>
  </si>
  <si>
    <t>W-172</t>
  </si>
  <si>
    <t>Infernoblaze</t>
  </si>
  <si>
    <t>Adoring Flames</t>
  </si>
  <si>
    <t>Craft Scepter of Infinite Fire</t>
  </si>
  <si>
    <t>308112_01</t>
  </si>
  <si>
    <t>W-173</t>
  </si>
  <si>
    <t>Blazegambol</t>
  </si>
  <si>
    <t>Gambolling Flames</t>
  </si>
  <si>
    <t>Craft Endless Demise</t>
  </si>
  <si>
    <t>309021_01</t>
  </si>
  <si>
    <t>W-174</t>
  </si>
  <si>
    <t>Crimson Trigger</t>
  </si>
  <si>
    <t>Crimson Howitzer</t>
  </si>
  <si>
    <t>Craft Chanzelian Caster</t>
  </si>
  <si>
    <t>301120_01</t>
  </si>
  <si>
    <t>W-175</t>
  </si>
  <si>
    <t>Absolute Aqua</t>
  </si>
  <si>
    <t>Infinite Aqua</t>
  </si>
  <si>
    <t>Craft Judge of Oceans</t>
  </si>
  <si>
    <t>302111_01</t>
  </si>
  <si>
    <t>W-176</t>
  </si>
  <si>
    <t>Ruinous Torrent</t>
  </si>
  <si>
    <t>Surging Blade</t>
  </si>
  <si>
    <t>Craft Highwater Slicer</t>
  </si>
  <si>
    <t>303110_01</t>
  </si>
  <si>
    <t>W-177</t>
  </si>
  <si>
    <t>Tideruler's Maw</t>
  </si>
  <si>
    <t>Vicious Tideruler</t>
  </si>
  <si>
    <t>Craft Frigid Sting</t>
  </si>
  <si>
    <t>304109_01</t>
  </si>
  <si>
    <t>W-178</t>
  </si>
  <si>
    <t>Mercy's Azure Tide</t>
  </si>
  <si>
    <t>Mercy's Azure Embrace</t>
  </si>
  <si>
    <t>Craft Permafrost Crash</t>
  </si>
  <si>
    <t>305116_01</t>
  </si>
  <si>
    <t>W-179</t>
  </si>
  <si>
    <t>Limpid Rush</t>
  </si>
  <si>
    <t>Limpid Shore</t>
  </si>
  <si>
    <t>Craft Strohm Mare</t>
  </si>
  <si>
    <t>306109_01</t>
  </si>
  <si>
    <t>W-180</t>
  </si>
  <si>
    <t>Azure Mercurius</t>
  </si>
  <si>
    <t>Mercurius's Transcendant Knowledge</t>
  </si>
  <si>
    <t>Craft Everfrost Bow</t>
  </si>
  <si>
    <t>307117_01</t>
  </si>
  <si>
    <t>W-181</t>
  </si>
  <si>
    <t>Aquatic Spiral</t>
  </si>
  <si>
    <t>Cascading Waves</t>
  </si>
  <si>
    <t>Craft Spirit Breaker</t>
  </si>
  <si>
    <t>308110_01</t>
  </si>
  <si>
    <t>W-182</t>
  </si>
  <si>
    <t>Ocean's Embrace</t>
  </si>
  <si>
    <t>Embracing Stream</t>
  </si>
  <si>
    <t>Craft Endless Azure Core</t>
  </si>
  <si>
    <t>309022_01</t>
  </si>
  <si>
    <t>W-183</t>
  </si>
  <si>
    <t>Aqua Trigger</t>
  </si>
  <si>
    <t>Aqua Howitzer</t>
  </si>
  <si>
    <t>301119_01</t>
  </si>
  <si>
    <t>W-184</t>
  </si>
  <si>
    <t>Absolute Tempest</t>
  </si>
  <si>
    <t>Infinite Tempest</t>
  </si>
  <si>
    <t>Craft Roaring Weald</t>
  </si>
  <si>
    <t>302110_01</t>
  </si>
  <si>
    <t>W-185</t>
  </si>
  <si>
    <t>Endless Horizon</t>
  </si>
  <si>
    <t>Endless Blade</t>
  </si>
  <si>
    <t>Craft Stormsquall Crash</t>
  </si>
  <si>
    <t>303109_01</t>
  </si>
  <si>
    <t>W-186</t>
  </si>
  <si>
    <t>Windruler's Maw</t>
  </si>
  <si>
    <t>Merciless Windruler</t>
  </si>
  <si>
    <t>Craft The Gale</t>
  </si>
  <si>
    <t>304108_01</t>
  </si>
  <si>
    <t>W-187</t>
  </si>
  <si>
    <t>Glorystorm's Guide</t>
  </si>
  <si>
    <t>Glorystorm's Wisdom</t>
  </si>
  <si>
    <t>Craft Jagged Bolt</t>
  </si>
  <si>
    <t>305115_01</t>
  </si>
  <si>
    <t>W-188</t>
  </si>
  <si>
    <t>Guiding Gale</t>
  </si>
  <si>
    <t>Glorious Gale</t>
  </si>
  <si>
    <t>Craft Windsovereign Trident</t>
  </si>
  <si>
    <t>306108_01</t>
  </si>
  <si>
    <t>W-189</t>
  </si>
  <si>
    <t>Jormungand's Fury</t>
  </si>
  <si>
    <t>Jormungand's Boundless World</t>
  </si>
  <si>
    <t>Craft Firmament Auger</t>
  </si>
  <si>
    <t>307116_01</t>
  </si>
  <si>
    <t>W-190</t>
  </si>
  <si>
    <t>Raging Cyclone</t>
  </si>
  <si>
    <t>Craft Typhoon's Rule</t>
  </si>
  <si>
    <t>308109_01</t>
  </si>
  <si>
    <t>W-191</t>
  </si>
  <si>
    <t>Stormruler</t>
  </si>
  <si>
    <t>Guiding Gust</t>
  </si>
  <si>
    <t>Craft Skypainter Staff</t>
  </si>
  <si>
    <t>309023_01</t>
  </si>
  <si>
    <t>W-192</t>
  </si>
  <si>
    <t>Tempest Trigger</t>
  </si>
  <si>
    <t>Tempest Cannon</t>
  </si>
  <si>
    <t>301121_01</t>
  </si>
  <si>
    <t>W-193</t>
  </si>
  <si>
    <t>Absolute Lightning</t>
  </si>
  <si>
    <t>Infinite Lightning</t>
  </si>
  <si>
    <t>Craft Death Aeon</t>
  </si>
  <si>
    <t>302112_01</t>
  </si>
  <si>
    <t>W-194</t>
  </si>
  <si>
    <t>Brilliant Flash</t>
  </si>
  <si>
    <t>Brilliant Blade</t>
  </si>
  <si>
    <t>Craft Hollow Lightning</t>
  </si>
  <si>
    <t>303111_01</t>
  </si>
  <si>
    <t>W-195</t>
  </si>
  <si>
    <t>Fulminator's Maw</t>
  </si>
  <si>
    <t>Ferocious Fulminator</t>
  </si>
  <si>
    <t>Craft Merciful Claw</t>
  </si>
  <si>
    <t>304110_01</t>
  </si>
  <si>
    <t>W-196</t>
  </si>
  <si>
    <t>Mighty Thundercrash</t>
  </si>
  <si>
    <t>Mighty Thunder's Delight</t>
  </si>
  <si>
    <t>Craft Blitzfang</t>
  </si>
  <si>
    <t>305117_01</t>
  </si>
  <si>
    <t>W-197</t>
  </si>
  <si>
    <t>Brilliant Lightflash</t>
  </si>
  <si>
    <t>Brilliant Thunder</t>
  </si>
  <si>
    <t>Craft Starpiercer</t>
  </si>
  <si>
    <t>306110_01</t>
  </si>
  <si>
    <t>W-198</t>
  </si>
  <si>
    <t>Jupiter's Sky</t>
  </si>
  <si>
    <t>Jupiter's Celestial Protection</t>
  </si>
  <si>
    <t>Craft Astral Echo</t>
  </si>
  <si>
    <t>307118_01</t>
  </si>
  <si>
    <t>W-199</t>
  </si>
  <si>
    <t>Primeval Thunder</t>
  </si>
  <si>
    <t>Ecstatic Lightning</t>
  </si>
  <si>
    <t>Craft Worldshaker</t>
  </si>
  <si>
    <t>308111_01</t>
  </si>
  <si>
    <t>W-200</t>
  </si>
  <si>
    <t>Heavensneer</t>
  </si>
  <si>
    <t>Trickster's Sneer</t>
  </si>
  <si>
    <t>Craft Dominus of Ever</t>
  </si>
  <si>
    <t>309024_01</t>
  </si>
  <si>
    <t>W-201</t>
  </si>
  <si>
    <t>Thunder Trigger</t>
  </si>
  <si>
    <t>Thunder Cannon</t>
  </si>
  <si>
    <t>301123_01</t>
  </si>
  <si>
    <t>W-202</t>
  </si>
  <si>
    <t>Absolute Hex</t>
  </si>
  <si>
    <t>Infinite Hexes</t>
  </si>
  <si>
    <t>Craft Abyssbringer</t>
  </si>
  <si>
    <t>302114_01</t>
  </si>
  <si>
    <t>W-203</t>
  </si>
  <si>
    <t>True Abyss</t>
  </si>
  <si>
    <t>Hellish Blade</t>
  </si>
  <si>
    <t>Craft Nightsky Ripper</t>
  </si>
  <si>
    <t>303113_01</t>
  </si>
  <si>
    <t>W-204</t>
  </si>
  <si>
    <t>Shaderuler's Maw</t>
  </si>
  <si>
    <t>Bloodstarved Shadowruler</t>
  </si>
  <si>
    <t>Craft Death Seeker</t>
  </si>
  <si>
    <t>304112_01</t>
  </si>
  <si>
    <t>W-205</t>
  </si>
  <si>
    <t>Shadowy Darkbite Axe</t>
  </si>
  <si>
    <t>Shadowy Darkbite's Curse</t>
  </si>
  <si>
    <t>Craft Genocide Cleaver</t>
  </si>
  <si>
    <t>305119_01</t>
  </si>
  <si>
    <t>W-206</t>
  </si>
  <si>
    <t>Ebon Scourge Lance</t>
  </si>
  <si>
    <t>Shadowy Hex</t>
  </si>
  <si>
    <t>Craft Final Eclipse</t>
  </si>
  <si>
    <t>306112_01</t>
  </si>
  <si>
    <t>W-207</t>
  </si>
  <si>
    <t>Hellish Prophecy</t>
  </si>
  <si>
    <t>Prophecy's Immaculate Guidance</t>
  </si>
  <si>
    <t>Craft Black Dahlia Bow</t>
  </si>
  <si>
    <t>307120_01</t>
  </si>
  <si>
    <t>W-208</t>
  </si>
  <si>
    <t>Darkbinder</t>
  </si>
  <si>
    <t>Binding Darkness</t>
  </si>
  <si>
    <t>Craft Dirge of Desperation</t>
  </si>
  <si>
    <t>308113_01</t>
  </si>
  <si>
    <t>W-209</t>
  </si>
  <si>
    <t>Dark Hunger</t>
  </si>
  <si>
    <t>Despair Devourer</t>
  </si>
  <si>
    <t>Craft Aria of Lamentation</t>
  </si>
  <si>
    <t>309025_01</t>
  </si>
  <si>
    <t>W-210</t>
  </si>
  <si>
    <t>Curse Trigger</t>
  </si>
  <si>
    <t>Curse Cannon</t>
  </si>
  <si>
    <t>301138_01</t>
  </si>
  <si>
    <t>W-211</t>
  </si>
  <si>
    <t>Nothung</t>
  </si>
  <si>
    <t>Agito</t>
  </si>
  <si>
    <t>Megingjörð</t>
  </si>
  <si>
    <t>(Flame) Járngreipr</t>
  </si>
  <si>
    <t>(Flame) Svalinn</t>
  </si>
  <si>
    <t>Agito Expert Material</t>
  </si>
  <si>
    <t>Craft Chimeratech Commander</t>
  </si>
  <si>
    <t>302129_01</t>
  </si>
  <si>
    <t>W-212</t>
  </si>
  <si>
    <t>Tyrfing</t>
  </si>
  <si>
    <t>Craft Chimeratech Lord</t>
  </si>
  <si>
    <t>303128_01</t>
  </si>
  <si>
    <t>W-213</t>
  </si>
  <si>
    <t>Hrotti</t>
  </si>
  <si>
    <t>Craft Chimeratech Elite</t>
  </si>
  <si>
    <t>304127_01</t>
  </si>
  <si>
    <t>W-214</t>
  </si>
  <si>
    <t>Mjölnir</t>
  </si>
  <si>
    <t>Craft Chimeratech Warlord</t>
  </si>
  <si>
    <t>305135_01</t>
  </si>
  <si>
    <t>W-215</t>
  </si>
  <si>
    <t>Gungnir</t>
  </si>
  <si>
    <t>Craft Chimeratech Lancemaster</t>
  </si>
  <si>
    <t>306127_01</t>
  </si>
  <si>
    <t>W-216</t>
  </si>
  <si>
    <t>Ýdalir</t>
  </si>
  <si>
    <t>Craft Chimeratech Sniper</t>
  </si>
  <si>
    <t>307135_01</t>
  </si>
  <si>
    <t>W-217</t>
  </si>
  <si>
    <t>Brísingr</t>
  </si>
  <si>
    <t>Craft Chimeratech Archmage</t>
  </si>
  <si>
    <t>308128_01</t>
  </si>
  <si>
    <t>W-218</t>
  </si>
  <si>
    <t>Gjallarhorn</t>
  </si>
  <si>
    <t>Craft Chimeratech Cardinal</t>
  </si>
  <si>
    <t>309026_01</t>
  </si>
  <si>
    <t>W-219</t>
  </si>
  <si>
    <t>Draupnir</t>
  </si>
  <si>
    <t>Craft Chimeratech Gunner</t>
  </si>
  <si>
    <t>301139_01</t>
  </si>
  <si>
    <t>W-220</t>
  </si>
  <si>
    <t>Ame no Murakumo</t>
  </si>
  <si>
    <t>Aramitama</t>
  </si>
  <si>
    <t>(Water) Kushimitama</t>
  </si>
  <si>
    <t>(Water) Sakimitama</t>
  </si>
  <si>
    <t>Craft Chimeratech Anomalocaris</t>
  </si>
  <si>
    <t>302130_01</t>
  </si>
  <si>
    <t>W-221</t>
  </si>
  <si>
    <t>Ame no Habakiri</t>
  </si>
  <si>
    <t>Craft Chimeratech Hadranax</t>
  </si>
  <si>
    <t>303129_01</t>
  </si>
  <si>
    <t>W-222</t>
  </si>
  <si>
    <t>Futsu no Mitama</t>
  </si>
  <si>
    <t>Craft Chimeratech Vetulicola</t>
  </si>
  <si>
    <t>304128_01</t>
  </si>
  <si>
    <t>W-223</t>
  </si>
  <si>
    <t>Ohohagari</t>
  </si>
  <si>
    <t>Craft Chimeratech Helmetia</t>
  </si>
  <si>
    <t>305136_01</t>
  </si>
  <si>
    <t>W-224</t>
  </si>
  <si>
    <t>Ame no Nuhoko</t>
  </si>
  <si>
    <t>Craft Chimeratech Takakkawia</t>
  </si>
  <si>
    <t>306128_01</t>
  </si>
  <si>
    <t>W-225</t>
  </si>
  <si>
    <t>Ame no Hajiyumi</t>
  </si>
  <si>
    <t>Craft Chimeratech Hallucigenia</t>
  </si>
  <si>
    <t>307136_01</t>
  </si>
  <si>
    <t>W-226</t>
  </si>
  <si>
    <t>Omizununo</t>
  </si>
  <si>
    <t>Craft Chimeratech Hurdia</t>
  </si>
  <si>
    <t>308129_01</t>
  </si>
  <si>
    <t>W-227</t>
  </si>
  <si>
    <t>Kunado</t>
  </si>
  <si>
    <t>Craft Chimeratech Metaldetes</t>
  </si>
  <si>
    <t>309027_01</t>
  </si>
  <si>
    <t>W-228</t>
  </si>
  <si>
    <t>Ame no Torifune</t>
  </si>
  <si>
    <t>Craft Chimeratech Marella</t>
  </si>
  <si>
    <t>301140_01</t>
  </si>
  <si>
    <t>W-229</t>
  </si>
  <si>
    <t>Excalibur</t>
  </si>
  <si>
    <t>Gwiber</t>
  </si>
  <si>
    <t>(Wind) The Round Table</t>
  </si>
  <si>
    <t>(Wind) Holy Grail</t>
  </si>
  <si>
    <t>Craft Chimeratech Cypress</t>
  </si>
  <si>
    <t>302131_01</t>
  </si>
  <si>
    <t>W-230</t>
  </si>
  <si>
    <t>Arondight</t>
  </si>
  <si>
    <t>Craft Chimeratech Benzoin</t>
  </si>
  <si>
    <t>303130_01</t>
  </si>
  <si>
    <t>W-231</t>
  </si>
  <si>
    <t>Carnwennan</t>
  </si>
  <si>
    <t>Craft Chimeratech Tea Tree</t>
  </si>
  <si>
    <t>304129_01</t>
  </si>
  <si>
    <t>W-232</t>
  </si>
  <si>
    <t>Marmyadose</t>
  </si>
  <si>
    <t>Craft Chimeratech Palmarosa</t>
  </si>
  <si>
    <t>305137_01</t>
  </si>
  <si>
    <t>W-233</t>
  </si>
  <si>
    <t>Rhongomyniad</t>
  </si>
  <si>
    <t>Craft Chimeratech Caraway</t>
  </si>
  <si>
    <t>306129_01</t>
  </si>
  <si>
    <t>W-234</t>
  </si>
  <si>
    <t>Failnaught</t>
  </si>
  <si>
    <t>Craft Chimeratech Ajwain</t>
  </si>
  <si>
    <t>307137_01</t>
  </si>
  <si>
    <t>W-235</t>
  </si>
  <si>
    <t>Camelot</t>
  </si>
  <si>
    <t>Craft Chimeratech Frankin</t>
  </si>
  <si>
    <t>308130_01</t>
  </si>
  <si>
    <t>W-236</t>
  </si>
  <si>
    <t>Avalon</t>
  </si>
  <si>
    <t>Craft Chimeratech Marjoram</t>
  </si>
  <si>
    <t>309028_01</t>
  </si>
  <si>
    <t>W-237</t>
  </si>
  <si>
    <t>Gallatin</t>
  </si>
  <si>
    <t>Craft Chimeratech Fennel</t>
  </si>
  <si>
    <t>301141_01</t>
  </si>
  <si>
    <t>W-238</t>
  </si>
  <si>
    <t>Caladbolg</t>
  </si>
  <si>
    <t>Mag Mell</t>
  </si>
  <si>
    <t>(Light) Fhiannaíocht</t>
  </si>
  <si>
    <t>(Light) Rúraíocht</t>
  </si>
  <si>
    <t>Craft Chimeratech Sirius</t>
  </si>
  <si>
    <t>302132_01</t>
  </si>
  <si>
    <t>W-239</t>
  </si>
  <si>
    <t>Fragarach</t>
  </si>
  <si>
    <t>Craft Chimeratech Canopus</t>
  </si>
  <si>
    <t>303131_01</t>
  </si>
  <si>
    <t>W-240</t>
  </si>
  <si>
    <t>Claíomh Solais</t>
  </si>
  <si>
    <t>Craft Chimeratech Capella</t>
  </si>
  <si>
    <t>304130_01</t>
  </si>
  <si>
    <t>W-241</t>
  </si>
  <si>
    <t>Rog Mol</t>
  </si>
  <si>
    <t>Craft Chimeratech Rigel</t>
  </si>
  <si>
    <t>305138_01</t>
  </si>
  <si>
    <t>W-242</t>
  </si>
  <si>
    <t>Areadbhar</t>
  </si>
  <si>
    <t>Craft Chimeratech Arcturus</t>
  </si>
  <si>
    <t>306130_01</t>
  </si>
  <si>
    <t>W-243</t>
  </si>
  <si>
    <t>Tathlum</t>
  </si>
  <si>
    <t>Craft Chimeratech Vega</t>
  </si>
  <si>
    <t>307138_01</t>
  </si>
  <si>
    <t>W-244</t>
  </si>
  <si>
    <t>Brionac</t>
  </si>
  <si>
    <t>Craft Chimeratech Betelgeuse</t>
  </si>
  <si>
    <t>308131_01</t>
  </si>
  <si>
    <t>W-245</t>
  </si>
  <si>
    <t>Del Frith</t>
  </si>
  <si>
    <t>Craft Chimeratech Procyon</t>
  </si>
  <si>
    <t>309029_01</t>
  </si>
  <si>
    <t>W-246</t>
  </si>
  <si>
    <t>Gae Assail</t>
  </si>
  <si>
    <t>Craft Chimeratech Al Nasr</t>
  </si>
  <si>
    <t>301142_01</t>
  </si>
  <si>
    <t>W-247</t>
  </si>
  <si>
    <t>Yitian Jian</t>
  </si>
  <si>
    <t>Qimen Dunjia</t>
  </si>
  <si>
    <t>(Shadow) Bai Zhan Qi Lue</t>
  </si>
  <si>
    <t>(Shadow) Tai Yi Shen Shu</t>
  </si>
  <si>
    <t>Craft Chimeratech Nocturne</t>
  </si>
  <si>
    <t>302133_01</t>
  </si>
  <si>
    <t>W-248</t>
  </si>
  <si>
    <t>Qixing Baodao</t>
  </si>
  <si>
    <t>Craft Chimeratech Requiem</t>
  </si>
  <si>
    <t>303132_01</t>
  </si>
  <si>
    <t>W-249</t>
  </si>
  <si>
    <t>Qinghong Jian</t>
  </si>
  <si>
    <t>Craft Chimeratech Rhapsody</t>
  </si>
  <si>
    <t>304131_01</t>
  </si>
  <si>
    <t>W-250</t>
  </si>
  <si>
    <t>Fangtian Huaji</t>
  </si>
  <si>
    <t>Craft Chimeratech Fugue</t>
  </si>
  <si>
    <t>305139_01</t>
  </si>
  <si>
    <t>W-251</t>
  </si>
  <si>
    <t>Qinglong Yanyuedao</t>
  </si>
  <si>
    <t>Craft Chimeratech Elegy</t>
  </si>
  <si>
    <t>306131_01</t>
  </si>
  <si>
    <t>W-252</t>
  </si>
  <si>
    <t>Longshe Gong</t>
  </si>
  <si>
    <t>Craft Chimeratech Concerto</t>
  </si>
  <si>
    <t>307139_01</t>
  </si>
  <si>
    <t>W-253</t>
  </si>
  <si>
    <t>Jiu Ci</t>
  </si>
  <si>
    <t>Craft Chimeratech Oratorio</t>
  </si>
  <si>
    <t>308132_01</t>
  </si>
  <si>
    <t>W-254</t>
  </si>
  <si>
    <t>Li Zhang</t>
  </si>
  <si>
    <t>Craft Chimeratech Coda</t>
  </si>
  <si>
    <t>309030_01</t>
  </si>
  <si>
    <t>W-255</t>
  </si>
  <si>
    <t>Wanli Qi Yunyan</t>
  </si>
  <si>
    <t>Craft Chimeratech Cantata</t>
  </si>
  <si>
    <t>301159_01</t>
  </si>
  <si>
    <t>W-256</t>
  </si>
  <si>
    <t>Primal Crimson</t>
  </si>
  <si>
    <t>Primal</t>
  </si>
  <si>
    <t>Ultimate Crimson</t>
  </si>
  <si>
    <t>Combo Time II</t>
  </si>
  <si>
    <t>PDT Expert Material</t>
  </si>
  <si>
    <t>Craft Absolute Crimson</t>
  </si>
  <si>
    <t>302148_01</t>
  </si>
  <si>
    <t>W-257</t>
  </si>
  <si>
    <t>Raging Conflagration</t>
  </si>
  <si>
    <t>Raging Blade</t>
  </si>
  <si>
    <t>Craft Blinding Conflagration</t>
  </si>
  <si>
    <t>303147_01</t>
  </si>
  <si>
    <t>W-258</t>
  </si>
  <si>
    <t>Flameruler's Fang</t>
  </si>
  <si>
    <t>Brutal Flameruler</t>
  </si>
  <si>
    <t>Craft Flameruler's Maw</t>
  </si>
  <si>
    <t>304144_01</t>
  </si>
  <si>
    <t>W-259</t>
  </si>
  <si>
    <t>Noble Crimson Heat</t>
  </si>
  <si>
    <t>Noble Crimson Passion</t>
  </si>
  <si>
    <t>Craft Royal Crimson Heat</t>
  </si>
  <si>
    <t>305154_01</t>
  </si>
  <si>
    <t>W-260</t>
  </si>
  <si>
    <t>Omniflame Lance</t>
  </si>
  <si>
    <t>Crimson Omnifire</t>
  </si>
  <si>
    <t>Craft Pureflame Lance</t>
  </si>
  <si>
    <t>306146_01</t>
  </si>
  <si>
    <t>W-261</t>
  </si>
  <si>
    <t>Valkyrie's Hellfire</t>
  </si>
  <si>
    <t>Valkyrie's Heroic Crusade</t>
  </si>
  <si>
    <t>Craft Valkyrie's Fire</t>
  </si>
  <si>
    <t>307153_01</t>
  </si>
  <si>
    <t>W-262</t>
  </si>
  <si>
    <t>Hellblaze</t>
  </si>
  <si>
    <t>Cleansing Flames</t>
  </si>
  <si>
    <t>Craft Infernoblaze</t>
  </si>
  <si>
    <t>308145_01</t>
  </si>
  <si>
    <t>W-263</t>
  </si>
  <si>
    <t>Flamerollick</t>
  </si>
  <si>
    <t>Rollicking Blaze</t>
  </si>
  <si>
    <t>Craft Blazegambol</t>
  </si>
  <si>
    <t>309041_01</t>
  </si>
  <si>
    <t>W-264</t>
  </si>
  <si>
    <t>Big Bang Trigger</t>
  </si>
  <si>
    <t>Big Bang Shell</t>
  </si>
  <si>
    <t>Craft Crimson Trigger</t>
  </si>
  <si>
    <t>301160_01</t>
  </si>
  <si>
    <t>W-265</t>
  </si>
  <si>
    <t>Primal Aqua</t>
  </si>
  <si>
    <t>Ultimate Aqua</t>
  </si>
  <si>
    <t>Craft Absolute Aqua</t>
  </si>
  <si>
    <t>302149_01</t>
  </si>
  <si>
    <t>W-266</t>
  </si>
  <si>
    <t>Calamitous Torrent</t>
  </si>
  <si>
    <t>Tempestuous Blade</t>
  </si>
  <si>
    <t>Craft Ruinous Torrent</t>
  </si>
  <si>
    <t>303148_01</t>
  </si>
  <si>
    <t>W-267</t>
  </si>
  <si>
    <t>Tideruler's Fang</t>
  </si>
  <si>
    <t>Fierce Tideruler</t>
  </si>
  <si>
    <t>Craft Tideruler's Maw</t>
  </si>
  <si>
    <t>304145_01</t>
  </si>
  <si>
    <t>W-268</t>
  </si>
  <si>
    <t>Mercy's Jeweled Tide</t>
  </si>
  <si>
    <t>Mercy's Jeweled Embrace</t>
  </si>
  <si>
    <t>Craft Mercy's Azure Tide</t>
  </si>
  <si>
    <t>305155_01</t>
  </si>
  <si>
    <t>W-269</t>
  </si>
  <si>
    <t>Limpid Cascade</t>
  </si>
  <si>
    <t>Limpid Cove</t>
  </si>
  <si>
    <t>Craft Limpid Rush</t>
  </si>
  <si>
    <t>306147_01</t>
  </si>
  <si>
    <t>W-270</t>
  </si>
  <si>
    <t>Sapphire Mercurius</t>
  </si>
  <si>
    <t>Mercurius's Omniscience</t>
  </si>
  <si>
    <t>Craft Azure Mercurius</t>
  </si>
  <si>
    <t>307154_01</t>
  </si>
  <si>
    <t>W-271</t>
  </si>
  <si>
    <t>Aqueous Prison</t>
  </si>
  <si>
    <t>Repressing Riptide</t>
  </si>
  <si>
    <t>Craft Aquatic Spiral</t>
  </si>
  <si>
    <t>308146_01</t>
  </si>
  <si>
    <t>W-272</t>
  </si>
  <si>
    <t>Ruler of the Jeweled Tide</t>
  </si>
  <si>
    <t>Reign of the Deep</t>
  </si>
  <si>
    <t>Craft Ocean's Embrace</t>
  </si>
  <si>
    <t>309042_01</t>
  </si>
  <si>
    <t>W-273</t>
  </si>
  <si>
    <t>Aquamarine Trigger</t>
  </si>
  <si>
    <t>Aquamarine Shell</t>
  </si>
  <si>
    <t>Craft Aqua Trigger</t>
  </si>
  <si>
    <t>301161_01</t>
  </si>
  <si>
    <t>W-274</t>
  </si>
  <si>
    <t>Ultimate Tempest</t>
  </si>
  <si>
    <t>Craft Absolute Tempest</t>
  </si>
  <si>
    <t>302150_01</t>
  </si>
  <si>
    <t>W-275</t>
  </si>
  <si>
    <t>Noble Horizon</t>
  </si>
  <si>
    <t>Noble Blade</t>
  </si>
  <si>
    <t>Craft Endless Horizon</t>
  </si>
  <si>
    <t>303149_01</t>
  </si>
  <si>
    <t>W-276</t>
  </si>
  <si>
    <t>Windruler's Fang</t>
  </si>
  <si>
    <t>Ruthless Windruler</t>
  </si>
  <si>
    <t>Craft Windruler's Maw</t>
  </si>
  <si>
    <t>304146_01</t>
  </si>
  <si>
    <t>W-277</t>
  </si>
  <si>
    <t>Tempest's Guide</t>
  </si>
  <si>
    <t>Tempest's Wisdom</t>
  </si>
  <si>
    <t>Craft Glorystorm's Guide</t>
  </si>
  <si>
    <t>305156_01</t>
  </si>
  <si>
    <t>W-278</t>
  </si>
  <si>
    <t>Gale's Aid</t>
  </si>
  <si>
    <t>Magnificent Gale</t>
  </si>
  <si>
    <t>Craft Guiding Gale</t>
  </si>
  <si>
    <t>306148_01</t>
  </si>
  <si>
    <t>W-279</t>
  </si>
  <si>
    <t>Jormungand's Wrath</t>
  </si>
  <si>
    <t>Jormungand's Boundless Heavens</t>
  </si>
  <si>
    <t>Craft Jormungand's Fury</t>
  </si>
  <si>
    <t>307155_01</t>
  </si>
  <si>
    <t>W-280</t>
  </si>
  <si>
    <t>Storm Chaser</t>
  </si>
  <si>
    <t>Furious Cyclone</t>
  </si>
  <si>
    <t>Craft Grand Tempest</t>
  </si>
  <si>
    <t>308147_01</t>
  </si>
  <si>
    <t>W-281</t>
  </si>
  <si>
    <t>Squallruler</t>
  </si>
  <si>
    <t>Steering Storm</t>
  </si>
  <si>
    <t>Craft Stormruler</t>
  </si>
  <si>
    <t>309043_01</t>
  </si>
  <si>
    <t>W-282</t>
  </si>
  <si>
    <t>Cyclone Trigger</t>
  </si>
  <si>
    <t>Tempest Shell</t>
  </si>
  <si>
    <t>Craft Tempest Trigger</t>
  </si>
  <si>
    <t>301162_01</t>
  </si>
  <si>
    <t>W-283</t>
  </si>
  <si>
    <t>Primal Lightning</t>
  </si>
  <si>
    <t>Ultimate Lightning</t>
  </si>
  <si>
    <t>Craft Absolute Lightning</t>
  </si>
  <si>
    <t>302151_01</t>
  </si>
  <si>
    <t>W-284</t>
  </si>
  <si>
    <t>Daunting Flash</t>
  </si>
  <si>
    <t>Daunting Blade</t>
  </si>
  <si>
    <t>Craft Brilliant Flash</t>
  </si>
  <si>
    <t>303150_01</t>
  </si>
  <si>
    <t>W-285</t>
  </si>
  <si>
    <t>Fulminator's Fang</t>
  </si>
  <si>
    <t>Roaring Fulminator</t>
  </si>
  <si>
    <t>Craft Fulminator's Maw</t>
  </si>
  <si>
    <t>304147_01</t>
  </si>
  <si>
    <t>W-286</t>
  </si>
  <si>
    <t>Indomitable Thundercrash</t>
  </si>
  <si>
    <t>Indomitable Thunder's Delight</t>
  </si>
  <si>
    <t>Craft Mighty Thundercrash</t>
  </si>
  <si>
    <t>305157_01</t>
  </si>
  <si>
    <t>W-287</t>
  </si>
  <si>
    <t>Radiant Lightflash</t>
  </si>
  <si>
    <t>Radiant Thunder</t>
  </si>
  <si>
    <t>Craft Brilliant Lightflash</t>
  </si>
  <si>
    <t>306149_01</t>
  </si>
  <si>
    <t>W-288</t>
  </si>
  <si>
    <t>Jupiter's Shimmer</t>
  </si>
  <si>
    <t>Jupiter's Shimmering Protection</t>
  </si>
  <si>
    <t>Craft Jupiter's Sky</t>
  </si>
  <si>
    <t>307156_01</t>
  </si>
  <si>
    <t>W-289</t>
  </si>
  <si>
    <t>Electron Burst</t>
  </si>
  <si>
    <t>Rapturous Lightning</t>
  </si>
  <si>
    <t>Craft Primeval Thunder</t>
  </si>
  <si>
    <t>308148_01</t>
  </si>
  <si>
    <t>W-290</t>
  </si>
  <si>
    <t>Cosmic Ruler</t>
  </si>
  <si>
    <t>Heaven's Decree</t>
  </si>
  <si>
    <t>Craft Heavensneer</t>
  </si>
  <si>
    <t>309044_01</t>
  </si>
  <si>
    <t>W-291</t>
  </si>
  <si>
    <t>Divine Trigger</t>
  </si>
  <si>
    <t>Divine Shell</t>
  </si>
  <si>
    <t>Craft Thunder Trigger</t>
  </si>
  <si>
    <t>301163_01</t>
  </si>
  <si>
    <t>W-292</t>
  </si>
  <si>
    <t>Primal Hex</t>
  </si>
  <si>
    <t>Ultimate Hex</t>
  </si>
  <si>
    <t>Craft Absolute Hex</t>
  </si>
  <si>
    <t>302152_01</t>
  </si>
  <si>
    <t>W-293</t>
  </si>
  <si>
    <t>Eternal Abyss</t>
  </si>
  <si>
    <t>Damnation Blade</t>
  </si>
  <si>
    <t>Craft True Abyss</t>
  </si>
  <si>
    <t>303151_01</t>
  </si>
  <si>
    <t>W-294</t>
  </si>
  <si>
    <t>Shaderuler's Fang</t>
  </si>
  <si>
    <t>Ravenous Shadowruler</t>
  </si>
  <si>
    <t>Craft Shaderuler's Maw</t>
  </si>
  <si>
    <t>304148_01</t>
  </si>
  <si>
    <t>W-295</t>
  </si>
  <si>
    <t>Nightfall's Darkbite Axe</t>
  </si>
  <si>
    <t>Nightfall's Curse</t>
  </si>
  <si>
    <t>Craft Shadowy Darkbite Axe</t>
  </si>
  <si>
    <t>305158_01</t>
  </si>
  <si>
    <t>W-296</t>
  </si>
  <si>
    <t>Ebon Plague Lance</t>
  </si>
  <si>
    <t>Umbral Hex</t>
  </si>
  <si>
    <t>Craft Ebon Scourge Lance</t>
  </si>
  <si>
    <t>306150_01</t>
  </si>
  <si>
    <t>W-297</t>
  </si>
  <si>
    <t>Nightmare Prophecy</t>
  </si>
  <si>
    <t>Prophecy's Unholy Guidance</t>
  </si>
  <si>
    <t>Craft Hellish Prophecy</t>
  </si>
  <si>
    <t>307157_01</t>
  </si>
  <si>
    <t>W-298</t>
  </si>
  <si>
    <t>Umbral Chaser</t>
  </si>
  <si>
    <t>Pursuing Darkness</t>
  </si>
  <si>
    <t>Craft Darkbinder</t>
  </si>
  <si>
    <t>308149_01</t>
  </si>
  <si>
    <t>W-299</t>
  </si>
  <si>
    <t>Consuming Darkness</t>
  </si>
  <si>
    <t>Hell's Oppressor</t>
  </si>
  <si>
    <t>Craft Dark Hunger</t>
  </si>
  <si>
    <t>309045_01</t>
  </si>
  <si>
    <t>W-300</t>
  </si>
  <si>
    <t>Dusk Trigger</t>
  </si>
  <si>
    <t>Dusk Shell</t>
  </si>
  <si>
    <t>Craft Curse Trigger</t>
  </si>
  <si>
    <t>Weapon Name</t>
  </si>
  <si>
    <t>SP Cost V3</t>
  </si>
  <si>
    <t>V3 Gimmick</t>
  </si>
  <si>
    <t>Deals 1 hit of 614% damage to enemies directly ahead, and inflicts burn for 12 seconds - dealing 60% damage every 3.9 seconds - with 90% base chance.</t>
  </si>
  <si>
    <t>Deals 1 hit of 1500% damage to enemies directly ahead, and inflicts burn for 21 seconds - dealing 50% damage every 2.9 seconds - with 100% base chance.</t>
  </si>
  <si>
    <t>Utility Inflict - Burn</t>
  </si>
  <si>
    <t>Deals 1 hit of 790% damage to enemies in a line.</t>
  </si>
  <si>
    <t>Deals 1 hit of 1500% damage to enemies in a line, and inflicts scorchrend for 21 seconds - dealing 50% damage every 2.9 seconds - with 100% base chance.</t>
  </si>
  <si>
    <t>Utility Inflict - Scorchrend</t>
  </si>
  <si>
    <t>Deals 4 hits of 152% damage to enemies directly ahead.</t>
  </si>
  <si>
    <t>Deals 4 hits of 375% damage to enemies directly ahead, inflicts poison for 21 seconds - dealing 50% damage every 2.9 seconds - with 100% base chance..</t>
  </si>
  <si>
    <t>Utility Inflict - Poison</t>
  </si>
  <si>
    <t>Deals 2 hits of 466% damage to surrounding enemies, draws them toward the user for 0.5 seconds, and inflicts poison - dealing 36% damage every 2.9 seconds for 15 seconds - with 90% base chance.</t>
  </si>
  <si>
    <t>Deals 2 hits of 750% damage to surrounding enemies, draws them toward the user for 0.5 seconds, and inflicts stormlash for 21 seconds - dealing 50% damage every 2.9 seconds - with 100% base chance.</t>
  </si>
  <si>
    <t>Utility Inflict - Stormlash</t>
  </si>
  <si>
    <t>Deals 1 hit of 685% damage to the target and nearby enemies.</t>
  </si>
  <si>
    <t>Deals 1 hit of 1500% damage to the target and nearby enemies, inflicts frostbite for 21 seconds - dealing 50% damage every 2.9 seconds - with 100% base chance..</t>
  </si>
  <si>
    <t>Utility Inflict - Frostbite</t>
  </si>
  <si>
    <t>Deals 3 shots of 235% damage to enemies in a line, and inflicts paralysis - dealing 60% damage every 3.9 seconds for 13 seconds - with 90% base chance.</t>
  </si>
  <si>
    <t>Deals 3 shots of 500% damage to enemies in a line, and inflicts paralysis for 21 seconds - dealing 50% damage every 2.9 seconds - with 100% base chance.</t>
  </si>
  <si>
    <t>Utility Inflict - Paralysis</t>
  </si>
  <si>
    <t>Deals 1 hit of 806% damage to the target and nearby enemies.</t>
  </si>
  <si>
    <t>Deals 1 hit of 1500% damage to the target and nearby enemies, and inflicts shadowblight for 21 seconds - dealing 50% damage every 2.9 seconds - with 100% base chance..</t>
  </si>
  <si>
    <t>Utility Inflict - Shadowblight</t>
  </si>
  <si>
    <t>Deals 1 hit of 562% damage to surrounding enemies.</t>
  </si>
  <si>
    <t>Deals 1 hit of 1500% damage to surrounding enemies, inflicts flashburn for 21 seconds - dealing 50% damage every 2.9 seconds - with 100% base chance..</t>
  </si>
  <si>
    <t>Utility Inflict - Flashburn</t>
  </si>
  <si>
    <t>Deals 2 hits of 338% damage to enemies in a line.</t>
  </si>
  <si>
    <t>Deals 2 hits of 750% damage to enemies in a line, and lowers their burn resistance by 10% for 15 seconds.</t>
  </si>
  <si>
    <t>Utility Res Down - Burn</t>
  </si>
  <si>
    <t>Deals 1 hit of 869% damage to surrounding enemies.</t>
  </si>
  <si>
    <t>Deals 1 hit of 1500% damage to surrounding enemies, and lowers their scorchrend resistance by 10% for 15 seconds.</t>
  </si>
  <si>
    <t>Utility Res Down - Scorchrend</t>
  </si>
  <si>
    <t>Deals 4 hits of 167% damage to enemies directly ahead.</t>
  </si>
  <si>
    <t>Deals 4 hits of 375% damage to enemies directly ahead, and lowers their poison resistance by 10% for 15 seconds.</t>
  </si>
  <si>
    <t>Utility Res Down - Poison</t>
  </si>
  <si>
    <t>Deals 2 hits of 513% damage to enemies directly ahead.</t>
  </si>
  <si>
    <t>Deals 2 hits of 750% damage to enemies directly ahead, and lowers their stormlash resistance by 10% for 15 seconds.</t>
  </si>
  <si>
    <t>Utility Res Down - Stormlash</t>
  </si>
  <si>
    <t>Deals 5 hits of 151% damage to enemies directly ahead.</t>
  </si>
  <si>
    <t>Deals 5 hits of 300% damage to enemies directly ahead, and lowers their frostbite resistance by 10% for 15 seconds.</t>
  </si>
  <si>
    <t>Utility Res Down - Frostbite</t>
  </si>
  <si>
    <t>Increases max HP by 15% for the remainder of the quest. Once HP buffs reach the limit of 30%, an HP recovery effect is granted instead.</t>
  </si>
  <si>
    <t>Increases the entire team's max HP by 10% for the remainder of the quest. Once HP buffs reach the limit of 30%, an HP recovery effect is granted instead.</t>
  </si>
  <si>
    <t>Utility HP Up</t>
  </si>
  <si>
    <t>Increases the user's defense by 25% for 10 seconds.</t>
  </si>
  <si>
    <t>Utility Buff - Defense</t>
  </si>
  <si>
    <t>Restores HP to the team member most in need with 207% Recovery Potency.</t>
  </si>
  <si>
    <t>Gradually recovers the entire team's HP with 35% Recovery Potency every 2.9 seconds for 20 seconds</t>
  </si>
  <si>
    <t>Utility HP Regen</t>
  </si>
  <si>
    <t>Utility Buff - Strength</t>
  </si>
  <si>
    <t>Deals 5 hits of 149% damage to enemies directly ahead.</t>
  </si>
  <si>
    <t>Deals 5 hits of 300% damage to enemies directly ahead, and dispels one buff from each target.</t>
  </si>
  <si>
    <t>Utility Dispel</t>
  </si>
  <si>
    <t>Deals 5 hits of 192% damage to enemies directly ahead.</t>
  </si>
  <si>
    <t>Deals 5 hits of 300% damage to enemies directly ahead, and lowers their paralysis resistance by 10% for 15 seconds.</t>
  </si>
  <si>
    <t>Utility Res Down - Paralysis</t>
  </si>
  <si>
    <t>Increases the user's strength by 35% for 5 seconds.</t>
  </si>
  <si>
    <t>Adds 20% to the modifier applied to the entire team's critical damage for 15 seconds.</t>
  </si>
  <si>
    <t>Utility Buff - Critical Damage</t>
  </si>
  <si>
    <t>Deals 3 hits of 376% damage to enemies directly ahead.</t>
  </si>
  <si>
    <t>Deals 3 hits of 500% damage to enemies directly ahead, and reduces defense by 10% for 10 seconds. This defense reduction effect will not stack.</t>
  </si>
  <si>
    <t>Utility Reduce - Defense</t>
  </si>
  <si>
    <t>Deals 2 hits of 415% damage to the target and nearby enemies.</t>
  </si>
  <si>
    <t>Deals 2 hits of 750% damage to the target and nearby enemies, and reduces strength by 15% for 10 seconds. This strength reduction effect will not stack.</t>
  </si>
  <si>
    <t>Utility Reduce - Strength</t>
  </si>
  <si>
    <t>Deals 3 shots of 284% damage to enemies in a line.</t>
  </si>
  <si>
    <t>Deals 3 shots of 500% damage to enemies in a line, and lowers their shadowblight resistance by 10% for 15 seconds.</t>
  </si>
  <si>
    <t>Utility Res Down - Shadowblight</t>
  </si>
  <si>
    <t>Restores the user's HP with 90% Recovery Potency.</t>
  </si>
  <si>
    <t>Restores HP to the entire team with 90% Recovery Potency.</t>
  </si>
  <si>
    <t>Utility HP Heal</t>
  </si>
  <si>
    <t>Deals 1 hit of 680% damage to surrounding enemies.</t>
  </si>
  <si>
    <t>Deals 1 hit of 1500% damage to surrounding enemies, and lowers their flashburn resistance by 10% for 15 seconds.</t>
  </si>
  <si>
    <t>Utility Res Down - Flashburn</t>
  </si>
  <si>
    <t>Increases the user's strength by 15% for 10 seconds.</t>
  </si>
  <si>
    <t>Increases the entire team's critical rate by 20% for 15 seconds.</t>
  </si>
  <si>
    <t>Utility Buff - Critical Rate</t>
  </si>
  <si>
    <t>Deals 5 hits of 165% flame damage to enemies directly ahead.</t>
  </si>
  <si>
    <t>Deals 5 hits of 300% flame damage to enemies directly ahead, and adds 20% to the modifier applied to damage against wind-attuned enemies for 20 seconds.</t>
  </si>
  <si>
    <t>Elemental Damage Up</t>
  </si>
  <si>
    <t>Deals 3 hits of 354% flame damage to enemies in a line.</t>
  </si>
  <si>
    <t>Deals 3 hits of 500% flame damage to enemies in a line, and adds 20% to the modifier applied to damage against wind-attuned enemies for 20 seconds.</t>
  </si>
  <si>
    <t>Deals 5 hits of 164% flame damage to enemies directly ahead.</t>
  </si>
  <si>
    <t>Adds 50% to the modifier applied to the user's critical damage for 20 seconds.</t>
  </si>
  <si>
    <t>Adds 50% to the modifier applied to the user's critical damage for 20 seconds, and adds 20% to the modifier applied to damage against wind-attuned enemies for 20 seconds.</t>
  </si>
  <si>
    <t>Elemental Damage Up - Critical Damage</t>
  </si>
  <si>
    <t>Deals 2 hits of 461% flame damage to the target and nearby enemies.</t>
  </si>
  <si>
    <t>Deals 2 hits of 750% flame damage to the target and nearby enemies, and adds 20% to the modifier applied to damage against wind-attuned enemies for 20 seconds.</t>
  </si>
  <si>
    <t>Increases the user's critical rate by 25% for 10 seconds.</t>
  </si>
  <si>
    <t>Increases the user's critical rate by 30% for 20 seconds, and adds 20% to the modifier applied to damage against wind-attuned enemies for 20 seconds.</t>
  </si>
  <si>
    <t>Elemental Damage Up - Critical Rate</t>
  </si>
  <si>
    <t>Restores the user's HP with 90% Recovery Potency, and adds 20% to the modifier applied to damage against wind-attuned enemies for 20 seconds.</t>
  </si>
  <si>
    <t>Elemental Damage Up - Heal Self</t>
  </si>
  <si>
    <t>Increases the potency of the user's recovery skills by 20% for 5 seconds.</t>
  </si>
  <si>
    <t>Increases the potency of the user's recovery skills by 20% for 20 seconds, and adds 20% to the modifier applied to damage against wind-attuned enemies for 20 seconds.</t>
  </si>
  <si>
    <t>Elemental Damage Up - Recovery Potency</t>
  </si>
  <si>
    <t>Deals 7 hits of 197% flame damage to to enemies directly ahead.</t>
  </si>
  <si>
    <t>Deals 7 hits of 215% flame damage to to enemies directly ahead, and adds 20% to the modifier applied to damage against wind-attuned enemies for 20 seconds.</t>
  </si>
  <si>
    <t>Deals 5 hits of 165% water damage to enemies directly ahead.</t>
  </si>
  <si>
    <t>Deals 5 hits of 300% water damage to enemies directly ahead, and adds 20% to the modifier applied to damage against flame-attuned enemies for 20 seconds.</t>
  </si>
  <si>
    <t>Restores the user's HP with 130% Recovery Potency, and adds 20% to the modifier applied to damage against flame-attuned enemies for 20 seconds.</t>
  </si>
  <si>
    <t>Increases the user's strength by 40% for 5 seconds.</t>
  </si>
  <si>
    <t>Increases the user's strength by 50% for 20 seconds, and adds 20% to the modifier applied to damage against flame-attuned enemies for 20 seconds.</t>
  </si>
  <si>
    <t>Elemental Damage Up - Strength</t>
  </si>
  <si>
    <t>Deals 3 hits of 418% water damage to enemies directly ahead.</t>
  </si>
  <si>
    <t>Deals 3 hits of 500% water damage to enemies directly ahead, and adds 20% to the modifier applied to damage against flame-attuned enemies for 20 seconds.</t>
  </si>
  <si>
    <t>Restores HP to surrounding teammates with 72% Recovery Potency.</t>
  </si>
  <si>
    <t>Restores HP to all teammates with 90% Recovery Potency, and adds 20% to the user's modifier applied to damage against flame-attuned enemies for 20 seconds.</t>
  </si>
  <si>
    <t>Elemental Damage Up - Heal Team</t>
  </si>
  <si>
    <t>Increases the user's critical rate by 30% for 20 seconds, and adds 20% to the modifier applied to damage against flame-attuned enemies for 20 seconds.</t>
  </si>
  <si>
    <t>Deals 4 hits of 271% water damage to the target and nearby enemies.</t>
  </si>
  <si>
    <t>Deals 4 hits of 375% water damage to the target and nearby enemies, and adds 20% to the modifier applied to damage against flame-attuned enemies for 20 seconds.</t>
  </si>
  <si>
    <t>Increases the potency of the user's recovery skills by 20% for 20 seconds, and adds 20% to the modifier applied to damage against flame-attuned enemies for 20 seconds.</t>
  </si>
  <si>
    <t>Deals 7 hits of 197% water damage to enemies directly ahead.</t>
  </si>
  <si>
    <t>Deals 7 hits of 214% water damage to enemies directly ahead, and adds 20% to the modifier applied to damage against flame-attuned enemies for 20 seconds.</t>
  </si>
  <si>
    <t>Increases the user's defense by 30% for 10 seconds.</t>
  </si>
  <si>
    <t>Increases the user's defense by 50% for 20 seconds, and adds 20% to the modifier applied to damage against water-attuned enemies for 20 seconds.</t>
  </si>
  <si>
    <t>Elemental Damage Up - Defense</t>
  </si>
  <si>
    <t>Deals 3 hits of 354% wind damage to enemies in a line.</t>
  </si>
  <si>
    <t>Deals 3 hits of 500% wind damage to enemies in a line, and adds 20% to the modifier applied to damage against water-attuned enemies for 20 seconds.</t>
  </si>
  <si>
    <t>Deals 5 hits of 164% wind damage to enemies directly ahead.</t>
  </si>
  <si>
    <t>Deals 5 hits of 300% wind damage to enemies directly ahead, and adds 20% to the modifier applied to damage against water-attuned enemies for 20 seconds.</t>
  </si>
  <si>
    <t>Deals 3 hits of 418% wind damage to enemies directly ahead.</t>
  </si>
  <si>
    <t>Deals 3 hits of 500% wind damage to enemies directly ahead, and adds 20% to the modifier applied to damage against water-attuned enemies for 20 seconds.</t>
  </si>
  <si>
    <t>Restores HP to all teammates with 90% Recovery Potency, and adds 20% to the user's modifier applied to damage against water-attuned enemies for 20 seconds.</t>
  </si>
  <si>
    <t>Increases the user's critical rate by 30% for 20 seconds, and adds 20% to the modifier applied to damage against water-attuned enemies for 20 seconds.</t>
  </si>
  <si>
    <t>Restores the user's HP with 130% Recovery Potency, and adds 20% to the modifier applied to damage against water-attuned enemies for 20 seconds.</t>
  </si>
  <si>
    <t>Increases the potency of the user's recovery skills by 20% for 20 seconds, and adds 20% to the modifier applied to damage against water-attuned enemies for 20 seconds.</t>
  </si>
  <si>
    <t>Deals 7 hits of 197% wind damage to enemies directly ahead.</t>
  </si>
  <si>
    <t>Deals 7 hits of 214% wind damage to enemies directly ahead, and adds 20% to the modifier applied to damage against water-attuned enemies for 20 seconds.</t>
  </si>
  <si>
    <t>Deals 5 hits of 165% light damage to enemies directly ahead.</t>
  </si>
  <si>
    <t>Deals 5 hits of 300% light damage to enemies directly ahead, and adds 20% to the modifier applied to damage against shadow-attuned enemies for 20 seconds.</t>
  </si>
  <si>
    <t>Restores the user's HP with 130% Recovery Potency, and adds 20% to the modifier applied to damage against shadow-attuned enemies for 20 seconds.</t>
  </si>
  <si>
    <t>Increases the user's strength by 50% for 20 seconds, and adds 20% to the modifier applied to damage against shadow-attuned enemies for 20 seconds.</t>
  </si>
  <si>
    <t>Adds 50% to the modifier applied to the user's critical damage for 20 seconds, and adds 20% to the modifier applied to damage against shadow-attuned enemies for 20 seconds.</t>
  </si>
  <si>
    <t>Deals 2 hits of 461% light damage to the target and nearby enemies.</t>
  </si>
  <si>
    <t>Deals 2 hits of 750% light damage to the target and nearby enemies, and adds 20% to the modifier applied to damage against shadow-attuned enemies for 20 seconds.</t>
  </si>
  <si>
    <t>Deals 1 shot of 949% light damage to enemies in a line.</t>
  </si>
  <si>
    <t>Deals 1 shot of 1500% light damage to enemies in a line, and adds 20% to the modifier applied to damage against shadow-attuned enemies for 20 seconds.</t>
  </si>
  <si>
    <t>Deals 4 hits of 271% light damage to the target and nearby enemies.</t>
  </si>
  <si>
    <t>Deals 4 hits of 375% light damage to the target and nearby enemies, and adds 20% to the modifier applied to damage against shadow-attuned enemies for 20 seconds.</t>
  </si>
  <si>
    <t>Deals 1 hit of 755% light damage to surrounding enemies.</t>
  </si>
  <si>
    <t>Deals 1 hit of 1500% light damage to surrounding enemies, and adds 20% to the modifier applied to damage against shadow-attuned enemies for 20 seconds.</t>
  </si>
  <si>
    <t>Deals 7 hits of 197% light damage to to enemies directly ahead. Paralyzed foes take 7 hits of 295.5% light damage instead.</t>
  </si>
  <si>
    <t>Deals 7 hits of 214% light damage to to enemies directly ahead, and adds 20% to the modifier applied to damage against shadow-attuned enemies for 20 seconds.</t>
  </si>
  <si>
    <t>Increases the user's defense by 50% for 20 seconds, and adds 20% to the modifier applied to damage against light-attuned enemies for 20 seconds.</t>
  </si>
  <si>
    <t>Deals 5 hits of 213% shadow damage to enemies directly ahead.</t>
  </si>
  <si>
    <t>Deals 5 hits of 300% shadow damage to enemies directly ahead, and adds 20% to the modifier applied to damage against light-attuned enemies for 20 seconds.</t>
  </si>
  <si>
    <t>Deals 5 hits of 164% shadow damage to enemies directly ahead.</t>
  </si>
  <si>
    <t>Adds 50% to the modifier applied to the user's critical damage for 20 seconds, and adds 20% to the modifier applied to damage against light-attuned enemies for 20 seconds.</t>
  </si>
  <si>
    <t>Deals 2 hits of 461% shadow damage to the target and nearby enemies.</t>
  </si>
  <si>
    <t>Deals 2 hits of 750% shadow damage to the target and nearby enemies, and adds 20% to the modifier applied to damage against light-attuned enemies for 20 seconds.</t>
  </si>
  <si>
    <t>Deals 3 shots of 316% shadow damage to enemies in a line.</t>
  </si>
  <si>
    <t>Deals 3 shots of 500% shadow damage to enemies in a line, and adds 20% to the modifier applied to damage against light-attuned enemies for 20 seconds.</t>
  </si>
  <si>
    <t>Restores the user's HP with 130% Recovery Potency, and adds 20% to the modifier applied to damage against light-attuned enemies for 20 seconds.</t>
  </si>
  <si>
    <t>Deals 1 hit of 755% shadow damage to surrounding enemies.</t>
  </si>
  <si>
    <t>Deals 1 hit of 1500% shadow damage to surrounding enemies, and adds 20% to the modifier applied to damage against light-attuned enemies for 20 seconds.</t>
  </si>
  <si>
    <t>Deals 7 hits of 197% shadow damage to enemies directly ahead.</t>
  </si>
  <si>
    <t>Deals 7 hits of 214% shadow damage to enemies directly ahead, and adds 20% to the modifier applied to damage against light-attuned enemies for 20 seconds.</t>
  </si>
  <si>
    <t>Deals 5 hits of 181% flame damage to enemies directly ahead.</t>
  </si>
  <si>
    <t>Deals 5 hits of 300% flame damage to enemies directly ahead, and lowers their flame resistance by 10% for 20 seconds. This resistance reduction will not stack.</t>
  </si>
  <si>
    <t>Elemental Res Down</t>
  </si>
  <si>
    <t>Deals 3 hits of 500% flame damage to enemies in a line, and lowers their flame resistance by 10% for 20 seconds. This resistance reduction will not stack.</t>
  </si>
  <si>
    <t>Deals 8 hits of 115% damage to enemies directly ahead.</t>
  </si>
  <si>
    <t>Deals 8 hits of 187% damage to enemies directly ahead, and lowers their flame resistance by 10% for 20 seconds. This resistance reduction will not stack.</t>
  </si>
  <si>
    <t>Deals 3 hits of 418% flame damage to enemies directly ahead.</t>
  </si>
  <si>
    <t>Deals 3 hits of 500% flame damage to enemies directly ahead, and lowers their flame resistance by 10% for 20 seconds. This resistance reduction will not stack.</t>
  </si>
  <si>
    <t>Deals 2 hits of 750% flame damage to the target and nearby enemies, and lowers their flame resistance by 10% for 20 seconds. This resistance reduction will not stack.</t>
  </si>
  <si>
    <t>Deals 3 hits of 316% damage to enemies in a line.</t>
  </si>
  <si>
    <t>Deals 3 hits of 500% damage to enemies in a line, and lowers their flame resistance by 10% for 20 seconds. This resistance reduction will not stack.</t>
  </si>
  <si>
    <t>Deals 4 hits of 243% flame damage to enemies in a line.</t>
  </si>
  <si>
    <t>Deals 4 hits of 375% flame damage to enemies in a line, and lowers their flame resistance by 10% for 20 seconds. This resistance reduction will not stack.</t>
  </si>
  <si>
    <t>Deals 4 hits of 143% flame damage to enemies in a line.</t>
  </si>
  <si>
    <t>Deals 25 hits of 41% flame damage to enemies directly ahead.</t>
  </si>
  <si>
    <t>Deals 25 hits of 60% flame damage to enemies directly ahead, and lowers their flame resistance by 10% for 20 seconds. This resistance reduction will not stack.</t>
  </si>
  <si>
    <t>Deals 3 hits of 248% water damage to surrounding enemies.</t>
  </si>
  <si>
    <t>Deals 3 hits of 500% water damage to surrounding enemies, and lowers their water resistance by 10% for 20 seconds. This resistance reduction will not stack.</t>
  </si>
  <si>
    <t>Deals 3 hits of 354% water damage to enemies in a line.</t>
  </si>
  <si>
    <t>Deals 3 hits of 500% water damage to enemies in a line, and lowers their water resistance by 10% for 20 seconds. This resistance reduction will not stack.</t>
  </si>
  <si>
    <t>Deals 8 hits of 115% water damage to enemies directly ahead.</t>
  </si>
  <si>
    <t>Deals 8 hits of 187% water damage to enemies directly ahead, and lowers their water resistance by 10% for 20 seconds. This resistance reduction will not stack.</t>
  </si>
  <si>
    <t>Deals 5 hits of 226% water damage to enemies directly ahead.</t>
  </si>
  <si>
    <t>Deals 5 hits of 300% water damage to enemies directly ahead, and lowers their water resistance by 10% for 20 seconds. This resistance reduction will not stack.</t>
  </si>
  <si>
    <t>Deals 2 hits of 414% water damage to surrounding enemies.</t>
  </si>
  <si>
    <t>Deals 2 hits of 750% water damage to surrounding enemies, and lowers their water resistance by 10% for 20 seconds. This resistance reduction will not stack.</t>
  </si>
  <si>
    <t>Deals 1 hit of 949% water damage to the target.</t>
  </si>
  <si>
    <t>Deals 1 hit of 1500% water damage to the target, and lowers their water resistance by 10% for 20 seconds. This resistance reduction will not stack.</t>
  </si>
  <si>
    <t>Deals 4 hits of 243% water damage to enemies in a line.</t>
  </si>
  <si>
    <t>Deals 4 hits of 375% water damage to enemies in a line, and lowers their water resistance by 10% for 20 seconds. This resistance reduction will not stack.</t>
  </si>
  <si>
    <t>Deals 4 hits of 143% water damage to enemies in a line.</t>
  </si>
  <si>
    <t>Deals 25 hits of 41% water damage to enemies directly ahead.</t>
  </si>
  <si>
    <t>Deals 25 hits of 60% water damage to enemies directly ahead, and lowers their water resistance by 10% for 20 seconds. This resistance reduction will not stack.</t>
  </si>
  <si>
    <t>Deals 3 hits of 248% wind damage to surrounding enemies.</t>
  </si>
  <si>
    <t>Deals 3 hits of 500% wind damage to surrounding enemies, and lowers their wind resistance by 10% for 20 seconds. This resistance reduction will not stack.</t>
  </si>
  <si>
    <t>Deals 1 hit of 957% wind damage to surrounding enemies.</t>
  </si>
  <si>
    <t>Deals 1 hit of 1500% wind damage to surrounding enemies, and lowers their wind resistance by 10% for 20 seconds. This resistance reduction will not stack.</t>
  </si>
  <si>
    <t>Deals 5 hits of 300% wind damage to enemies directly ahead, and lowers their wind resistance by 10% for 20 seconds. This resistance reduction will not stack.</t>
  </si>
  <si>
    <t>Deals 3 hits of 500% wind damage to enemies directly ahead, and lowers their wind resistance by 10% for 20 seconds. This resistance reduction will not stack.</t>
  </si>
  <si>
    <t>Deals 10 hits of 92% wind damage to enemies directly ahead.</t>
  </si>
  <si>
    <t>Deals 10 hits of 150% wind damage to enemies directly ahead, and lowers their wind resistance by 10% for 20 seconds. This resistance reduction will not stack.</t>
  </si>
  <si>
    <t>Deals 3 hits of 316% wind damage to enemies in a line.</t>
  </si>
  <si>
    <t>Deals 3 hits of 500% wind damage to enemies in a line, and lowers their wind resistance by 10% for 20 seconds. This resistance reduction will not stack.</t>
  </si>
  <si>
    <t>Deals 4 hits of 243% wind damage to enemies in a line.</t>
  </si>
  <si>
    <t>Deals 4 hits of 375% wind damage to enemies in a line, and lowers their wind resistance by 10% for 20 seconds. This resistance reduction will not stack.</t>
  </si>
  <si>
    <t>Deals 4 hits of 143% wind damage to enemies in a line.</t>
  </si>
  <si>
    <t>Deals 25 hits of 41% wind damage to enemies directly ahead.</t>
  </si>
  <si>
    <t>Deals 25 hits of 60% wind damage to enemies directly ahead, and lowers their wind resistance by 10% for 20 seconds. This resistance reduction will not stack.</t>
  </si>
  <si>
    <t>Deals 3 hits of 248% light damage to surrounding enemies.</t>
  </si>
  <si>
    <t>Deals 3 hits of 500% light damage to surrounding enemies, and lowers their light resistance by 10% for 20 seconds. This resistance reduction will not stack.</t>
  </si>
  <si>
    <t>Deals 5 hits of 213% light damage to enemies directly ahead.</t>
  </si>
  <si>
    <t>Deals 5 hits of 300% light damage to enemies directly ahead, and lowers their light resistance by 10% for 20 seconds. This resistance reduction will not stack.</t>
  </si>
  <si>
    <t>Deals 5 hits of 164% light damage to enemies directly ahead.</t>
  </si>
  <si>
    <t>Deals 5 hits of 226% light damage to enemies directly ahead.</t>
  </si>
  <si>
    <t>Deals 2 hits of 414% light damage to surrounding enemies.</t>
  </si>
  <si>
    <t>Deals 2 hits of 750% light damage to surrounding enemies, and lowers their light resistance by 10% for 20 seconds. This resistance reduction will not stack.</t>
  </si>
  <si>
    <t>Deals 1 hit of 949% light damage to the target.</t>
  </si>
  <si>
    <t>Deals 1 hit of 1500% light damage to the target, and lowers their light resistance by 10% for 20 seconds. This resistance reduction will not stack.</t>
  </si>
  <si>
    <t>Deals 4 hits of 375% light damage to the target and nearby enemies, and lowers their light resistance by 10% for 20 seconds. This resistance reduction will not stack.</t>
  </si>
  <si>
    <t>Deals 1 hit of 1500% light damage to surrounding enemies, and lowers their light resistance by 10% for 20 seconds. This resistance reduction will not stack.</t>
  </si>
  <si>
    <t>Deals 1 hit of 929% light damage to enemies in a line.</t>
  </si>
  <si>
    <t>Deals 1 hit of 1500% light damage to enemies in a line, and lowers their light resistance by 10% for 20 seconds. This resistance reduction will not stack.</t>
  </si>
  <si>
    <t>Deals 5 hits of 165% shadow damage to enemies directly ahead.</t>
  </si>
  <si>
    <t>Deals 5 hits of 300% shadow damage to enemies directly ahead, and lowers their shadow resistance by 10% for 20 seconds. This resistance reduction will not stack.</t>
  </si>
  <si>
    <t>Deals 5 hits of 173% shadow damage to surrounding enemies.</t>
  </si>
  <si>
    <t>Deals 5 hits of 300% shadow damage to surrounding enemies, and lowers their shadow resistance by 10% for 20 seconds. This resistance reduction will not stack.</t>
  </si>
  <si>
    <t>Deals 3 hits of 418% shadow damage to enemies directly ahead.</t>
  </si>
  <si>
    <t>Deals 3 hits of 500% shadow damage to enemies directly ahead, and lowers their shadow resistance by 10% for 20 seconds. This resistance reduction will not stack.</t>
  </si>
  <si>
    <t>Deals 2 hits of 750% shadow damage to the target and nearby enemies, and lowers their shadow resistance by 10% for 20 seconds. This resistance reduction will not stack.</t>
  </si>
  <si>
    <t>Deals 1 hit of 854% shadow damage to enemies in a line.</t>
  </si>
  <si>
    <t>Deals 1 hit of 1500% shadow damage to enemies in a line, and lowers their shadow resistance by 10% for 20 seconds. This resistance reduction will not stack.</t>
  </si>
  <si>
    <t>Deals 1 hit of 974% shadow damage to surrounding enemies.</t>
  </si>
  <si>
    <t>Deals 1 hit of 1500% shadow damage to surrounding enemies, and lowers their shadow resistance by 10% for 20 seconds. This resistance reduction will not stack.</t>
  </si>
  <si>
    <t>Deals 1 hit of 929% shadow damage to enemies in a line.</t>
  </si>
  <si>
    <t>Increases the user's strength by 40% until the next time this skill is used. The second time this skill is used, it will instead become Iðunn's Apple. Iðunn's Apple gradually recovers the user's HP with 5% Recovery Potency every 2.9 seconds until the skill is next used. The skill will then alternate between these two effects with every use.</t>
  </si>
  <si>
    <t>Increases the user's strength by 40% until the next time this skill is used. The second time this skill is used, it will instead become Iðunn's Apple. Iðunn's Apple increases the user's defense by 50% and gradually recovers the user's HP with 5% Recovery Potency every 2.9 seconds until the skill is next used. The skill will then alternate between these two effects with every use.</t>
  </si>
  <si>
    <t>Agito - Flame</t>
  </si>
  <si>
    <t>Increases the user's critical rate by 12% and increases strength by 20% until the next time this skill is used. The second time this skill is used, it will instead become Nigimitama. Nigimitama increases the user's defense by 35% until the skill is next used. The skill will then alternate between these two effects with every use.</t>
  </si>
  <si>
    <t>Increases the user's critical rate by 12% and increases strength by 20% until the next time this skill is used. The second time this skill is used, it will instead become Nigimitama. Nigimitama increases the user's defense by 50% and gradually recovers the user's HP with 5% Recovery Potency every 2.9 seconds until the skill is next used. The skill will then alternate between these two effects with every use.</t>
  </si>
  <si>
    <t>Agito - Water</t>
  </si>
  <si>
    <t>Increases the user's strength by 40% until the next time this skill is used. The second time this skill is used, it will instead become Y Ddraig Goch. Y Ddraig Goch increases the user's defense by 50% until the skill is next used. The skill will then alternate between these two effects with every use.</t>
  </si>
  <si>
    <t>Increases the user's strength by 40% until the next time this skill is used. The second time this skill is used, it will instead become Y Ddraig Goch. Y Ddraig Goch increases the user's defense by 50% and gradually recovers the user's HP with 5% Recovery Potency every 2.9 seconds until the skill is next used. The skill will then alternate between these two effects with every use.</t>
  </si>
  <si>
    <t>Agito - Wind</t>
  </si>
  <si>
    <t>Increases the user's strength by 40% until the next time this skill is used. The second time this skill is used, it will instead become Tír na nÓg. Tír na nÓg deals 5 hits of 198.4% light damage to surrounding enemies and if the attack connects, it will fill the dragon gauge by 100 DP once and increase skill gauge fill rate by 10% until the skill is next used. The skill will then alternate between these two effects with every use.</t>
  </si>
  <si>
    <t>Increases the user's strength by 40% until the next time this skill is used. The second time this skill is used, it will instead become Tír na nÓg. Tír na nÓg deals 5 hits of 300% light damage to surrounding enemies and if the attack connects, it will fill the dragon gauge by 100 DP once, increase skill gauge fill rate by 10%, and gradually recovers the user's HP with 5% Recovery Potency every 2.9 seconds until the skill is next used. The skill will then alternate between these two effects with every use.</t>
  </si>
  <si>
    <t>Agito - Light</t>
  </si>
  <si>
    <t>Increases the user's strength by 40% until the next time this skill is used. The second time this skill is used, it will instead become Tír na nÓg. Tír na nÓg deals 5 hits of 170.4% light damage to surrounding enemies and if the attack connects, it will fill the dragon gauge by 100 DP once and increase skill gauge fill rate by 10% until the skill is next used. The skill will then alternate between these two effects with every use.</t>
  </si>
  <si>
    <t>Increases the user's strength by 40% until the next time this skill is used. The second time this skill is used, it will instead become Tír na nÓg. Tír na nÓg deals 5 hits of 300% light damage to surrounding enemies and if the attack connects, it will fill the dragon gauge by 100 DP once and increase skill gauge fill rate by 10%, and gradually recovers the user's HP with 5% Recovery Potency every 2.9 seconds until the skill is next used. The skill will then alternate between these two effects with every use.</t>
  </si>
  <si>
    <t>Increases the user's strength by 40% until the next time this skill is used. The second time this skill is used, it will instead become Tír na nÓg. Tír na nÓg deals 5 hits of 131.2% light damage to surrounding enemies and if the attack connects, it will fill the dragon gauge by 100 DP once and increase skill gauge fill rate by 10% until the skill is next used. The skill will then alternate between these two effects with every use.</t>
  </si>
  <si>
    <t>Increases the user's strength by 40% until the next time this skill is used. The second time this skill is used, it will instead become Tír na nÓg. Tír na nÓg deals 5 hits of 226% light damage to surrounding enemies and if the attack connects, it will fill the dragon gauge by 100 DP once and increase skill gauge fill rate by 10% until the skill is next used. The skill will then alternate between these two effects with every use.</t>
  </si>
  <si>
    <t>Increases the user's strength by 40% until the next time this skill is used. The second time this skill is used, it will instead become Tír na nÓg. Tír na nÓg deals 5 hits of 165.6% light damage to surrounding enemies and if the attack connects, it will fill the dragon gauge by 100 DP once and increase skill gauge fill rate by 10% until the skill is next used. The skill will then alternate between these two effects with every use.</t>
  </si>
  <si>
    <t>Increases the user's strength by 40% until the next time this skill is used. The second time this skill is used, it will instead become Tír na nÓg. Tír na nÓg deals 5 hits of 189.8% light damage to enemies directly ahead and if the attack connects, it will fill the dragon gauge by 100 DP once and increase skill gauge fill rate by 10% until the skill is next used. The skill will then alternate between these two effects with every use.</t>
  </si>
  <si>
    <t>Increases the user's strength by 40% until the next time this skill is used. The second time this skill is used, it will instead become Tír na nÓg. Tír na nÓg deals 5 hits of 300% light damage to enemies directly ahead and if the attack connects, it will fill the dragon gauge by 100 DP once and increase skill gauge fill rate by 10%, and gradually recovers the user's HP with 5% Recovery Potency every 2.9 seconds until the skill is next used. The skill will then alternate between these two effects with every use.</t>
  </si>
  <si>
    <t>Increases the user's strength by 40% until the next time this skill is used. The second time this skill is used, it will instead become Tír na nÓg. Tír na nÓg deals 5 hits of 216.8% light damage to enemies directly ahead and if the attack connects, it will fill the dragon gauge by 100 DP once and increase skill gauge fill rate by 10% until the skill is next used. The skill will then alternate between these two effects with every use.</t>
  </si>
  <si>
    <t>Increases the user's strength by 40% until the next time this skill is used. The second time this skill is used, it will instead become Tír na nÓg. Tír na nÓg deals 5 hits of 151% light damage to surrounding enemies and if the attack connects, it will fill the dragon gauge by 100 DP once and increase skill gauge fill rate by 10% until the skill is next used. The skill will then alternate between these two effects with every use.</t>
  </si>
  <si>
    <t>Increases the user's strength by 40% until the next time this skill is used. The second time this skill is used, it will instead become Tír na nÓg. Tír na nÓg deals 25 hits of 44% light damage to enemies directly ahead and if the attack connects, it will fill the dragon gauge by 100 DP once and increase skill gauge fill rate by 10% until the skill is next used. Paralyzed foes take 25 hits of 66% light damage instead. The skill will then alternate between these two effects with every use.</t>
  </si>
  <si>
    <t>Increases the user's strength by 40% until the next time this skill is used. The second time this skill is used, it will instead become Tír na nÓg. Tír na nÓg deals 25 hits of 60% light damage to enemies directly ahead and if the attack connects, it will fill the dragon gauge by 100 DP once and increase skill gauge fill rate by 10%, and gradually recovers the user's HP with 5% Recovery Potency every 2.9 seconds until the skill is next used. The skill will then alternate between these two effects with every use.</t>
  </si>
  <si>
    <t>Increases the user's attack rate by 30% until the next time this skill is used. The second time this skill is used, it will instead become Shibing Bazhen. Shibing Bazhen increases the user's defense by 40% until the skill is next used. The skill will then alternate between these two effects with every use.</t>
  </si>
  <si>
    <t>Increases the user's attack rate by 30% and critical rate by 5% until the next time this skill is used. The second time this skill is used, it will instead become Shibing Bazhen. Shibing Bazhen increases the user's defense by 50% and gradually recovers the user's HP with 5% Recovery Potency every 2.9 seconds until the skill is next used. The skill will then alternate between these two effects with every use.</t>
  </si>
  <si>
    <t>Agito - Shadow</t>
  </si>
  <si>
    <t>Deals 5 hits of 165% flame damage to enemies directly ahead, increases the user's strength by 20% for 15 seconds, and grants them the "Primal Dragalia" effect for 90 seconds. Primal Dragalia increases the user's strength by 15% and their attack rate by 5%. Primal Dragalia will not stack.</t>
  </si>
  <si>
    <t>Deals 5 hits of 300% flame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</si>
  <si>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Primal Dragalia</t>
  </si>
  <si>
    <t>Deals 3 hits of 354% flame damage to enemies in a line, increases the user's strength by 20% for 15 seconds, and grants them the "Primal Dragalia" effect for 90 seconds. Primal Dragalia increases the user's strength by 15% and their attack rate by 5%. Primal Dragalia will not stack.</t>
  </si>
  <si>
    <t>Deals 3 hits of 500% flame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</si>
  <si>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8 hits of 115% damage to enemies directly ahead, increases the user's strength by 20% for 15 seconds, and grants them the "Primal Dragalia" effect for 90 seconds. Primal Dragalia increases the user's strength by 15% and their attack rate by 5%. Primal Dragalia will not stack.</t>
  </si>
  <si>
    <t>Deals 8 hits of 187%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</si>
  <si>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3 hits of 418% flame damage to enemies directly ahead, increases the user's strength by 20% for 15 seconds, and grants them the "Primal Dragalia" effect for 90 seconds. Primal Dragalia increases the user's strength by 15% and their attack rate by 5%. Primal Dragalia will not stack.</t>
  </si>
  <si>
    <t>Deals 3 hits of 500% flame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</si>
  <si>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2 hits of 461% flame damage to the target and nearby enemies, increases the user's strength by 20% for 15 seconds, and grants them the "Primal Dragalia" effect for 90 seconds. Primal Dragalia increases the user's strength by 15% and their attack rate by 5%. Primal Dragalia will not stack.</t>
  </si>
  <si>
    <t>Deals 2 hits of 750% flame damage to the target and nearby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</si>
  <si>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3 hits of 316% damage to enemies in a line, increases the user's strength by 20% for 15 seconds, and grants them the "Primal Dragalia" effect for 90 seconds. Primal Dragalia increases the user's strength by 15% and their attack rate by 5%. Primal Dragalia will not stack.</t>
  </si>
  <si>
    <t>Deals 3 hits of 500%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</si>
  <si>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4 hits of 243% flame damage to enemies in a line, increases the user's strength by 20% for 15 seconds, and grants them the "Primal Dragalia" effect for 90 seconds. Primal Dragalia increases the user's strength by 15% and their attack rate by 5%. Primal Dragalia will not stack.</t>
  </si>
  <si>
    <t>Deals 4 hits of 375% flame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</si>
  <si>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4 hits of 143% flame damage to enemies in a line, increases the user's strength by 20% for 15 seconds, and grants them the "Primal Dragalia" effect for 90 seconds. Primal Dragalia increases the user's strength by 15% and their attack rate by 5%. Primal Dragalia will not stack.</t>
  </si>
  <si>
    <t>Deals 25 hits of 41% flame damage to enemies directly ahead, increases the user's strength by 20% for 15 seconds, and grants them the "Primal Dragalia" effect for 90 seconds. Primal Dragalia increases the user's strength by 15% and their attack rate by 5%. Primal Dragalia will not stack.</t>
  </si>
  <si>
    <t>Deals 25 hits of 60% flame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</si>
  <si>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3 hits of 248% water damage to surrounding enemies, increases the user's strength by 20% for 15 seconds, and grants them the "Primal Dragalia" effect for 90 seconds. Primal Dragalia increases the user's strength by 15% and their attack rate by 5%. Primal Dragalia will not stack.</t>
  </si>
  <si>
    <t>Deals 3 hits of 500% water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</si>
  <si>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3 hits of 354% water damage to enemies in a line, increases the user's strength by 20% for 15 seconds, and grants them the "Primal Dragalia" effect for 90 seconds. Primal Dragalia increases the user's strength by 15% and their attack rate by 5%. Primal Dragalia will not stack.</t>
  </si>
  <si>
    <t>Deals 3 hits of 500% water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</si>
  <si>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8 hits of 115% water damage to enemies directly ahead, increases the user's strength by 20% for 15 seconds, and grants them the "Primal Dragalia" effect for 90 seconds. Primal Dragalia increases the user's strength by 15% and their attack rate by 5%. Primal Dragalia will not stack.</t>
  </si>
  <si>
    <t>Deals 8 hits of 187% water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</si>
  <si>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5 hits of 226% water damage to enemies directly ahead, increases the user's strength by 20% for 15 seconds, and grants them the "Primal Dragalia" effect for 90 seconds. Primal Dragalia increases the user's strength by 15% and their attack rate by 5%. Primal Dragalia will not stack.</t>
  </si>
  <si>
    <t>Deals 5 hits of 300% water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</si>
  <si>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2 hits of 414% water damage to surrounding enemies, increases the user's strength by 20% for 15 seconds, and grants them the "Primal Dragalia" effect for 90 seconds. Primal Dragalia increases the user's strength by 15% and their attack rate by 5%. Primal Dragalia will not stack.</t>
  </si>
  <si>
    <t>Deals 2 hits of 750% water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</si>
  <si>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1 hit of 949% water damage to the target, increases the user's strength by 20% for 15 seconds, and grants them the "Primal Dragalia" effect for 90 seconds. Primal Dragalia increases the user's strength by 15% and their attack rate by 5%. Primal Dragalia will not stack.</t>
  </si>
  <si>
    <t>Deals 1 hit of 1500% water damage to the target,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</si>
  <si>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4 hits of 243% water damage to enemies in a line, increases the user's strength by 20% for 15 seconds, and grants them the "Primal Dragalia" effect for 90 seconds. Primal Dragalia increases the user's strength by 15% and their attack rate by 5%. Primal Dragalia will not stack.</t>
  </si>
  <si>
    <t>Deals 4 hits of 375% water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</si>
  <si>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4 hits of 143% water damage to enemies in a line, increases the user's strength by 20% for 15 seconds, and grants them the "Primal Dragalia" effect for 90 seconds. Primal Dragalia increases the user's strength by 15% and their attack rate by 5%. Primal Dragalia will not stack.</t>
  </si>
  <si>
    <t>Deals 25 hits of 41% water damage to enemies directly ahead, increases the user's strength by 20% for 15 seconds, and grants them the "Primal Dragalia" effect for 90 seconds. Primal Dragalia increases the user's strength by 15% and their attack rate by 5%. Primal Dragalia will not stack.</t>
  </si>
  <si>
    <t>Deals 25 hits of 60% water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</si>
  <si>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3 hits of 248% wind damage to surrounding enemies, increases the user's strength by 20% for 15 seconds, and grants them the "Primal Dragalia" effect for 90 seconds. Primal Dragalia increases the user's strength by 15% and their attack rate by 5%. Primal Dragalia will not stack.</t>
  </si>
  <si>
    <t>Deals 3 hits of 500% wind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</si>
  <si>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1 hit of 957% wind damage to surrounding enemies, increases the user's strength by 20% for 15 seconds, and grants them the "Primal Dragalia" effect for 90 seconds. Primal Dragalia increases the user's strength by 15% and their attack rate by 5%. Primal Dragalia will not stack.</t>
  </si>
  <si>
    <t>Deals 1 hit of 1500% wind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</si>
  <si>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5 hits of 164% wind damage to enemies directly ahead, increases the user's strength by 20% for 15 seconds, and grants them the "Primal Dragalia" effect for 90 seconds. Primal Dragalia increases the user's strength by 15% and their attack rate by 5%. Primal Dragalia will not stack.</t>
  </si>
  <si>
    <t>Deals 5 hits of 300% wind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</si>
  <si>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3 hits of 418% wind damage to enemies directly ahead, increases the user's strength by 20% for 15 seconds, and grants them the "Primal Dragalia" effect for 90 seconds. Primal Dragalia increases the user's strength by 15% and their attack rate by 5%. Primal Dragalia will not stack.</t>
  </si>
  <si>
    <t>Deals 3 hits of 500% wind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</si>
  <si>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10 hits of 92% wind damage to enemies directly ahead, increases the user's strength by 20% for 15 seconds, and grants them the "Primal Dragalia" effect for 90 seconds. Primal Dragalia increases the user's strength by 15% and their attack rate by 5%. Primal Dragalia will not stack.</t>
  </si>
  <si>
    <t>Deals 10 hits of 150% wind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</si>
  <si>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3 hits of 316% wind damage to enemies in a line, increases the user's strength by 20% for 15 seconds, and grants them the "Primal Dragalia" effect for 90 seconds. Primal Dragalia increases the user's strength by 15% and their attack rate by 5%. Primal Dragalia will not stack.</t>
  </si>
  <si>
    <t>Deals 3 hits of 500% wind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</si>
  <si>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4 hits of 243% wind damage to enemies in a line, increases the user's strength by 20% for 15 seconds, and grants them the "Primal Dragalia" effect for 90 seconds. Primal Dragalia increases the user's strength by 15% and their attack rate by 5%. Primal Dragalia will not stack.</t>
  </si>
  <si>
    <t>Deals 4 hits of 375% wind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</si>
  <si>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4 hits of 143% wind damage to enemies in a line, increases the user's strength by 20% for 15 seconds, and grants them the "Primal Dragalia" effect for 90 seconds. Primal Dragalia increases the user's strength by 15% and their attack rate by 5%. Primal Dragalia will not stack.</t>
  </si>
  <si>
    <t>Deals 25 hits of 41% wind damage to enemies directly ahead, increases the user's strength by 20% for 15 seconds, and grants them the "Primal Dragalia" effect for 90 seconds. Primal Dragalia increases the user's strength by 15% and their attack rate by 5%. Primal Dragalia will not stack.</t>
  </si>
  <si>
    <t>Deals 25 hits of 60% wind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</si>
  <si>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3 hits of 248% light damage to surrounding enemies, increases the user's strength by 20% for 15 seconds, and grants them the "Primal Dragalia" effect for 90 seconds. Primal Dragalia increases the user's strength by 15% and their attack rate by 5%. Primal Dragalia will not stack.</t>
  </si>
  <si>
    <t>Deals 3 hits of 500% light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</si>
  <si>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5 hits of 213% light damage to enemies directly ahead, increases the user's strength by 20% for 15 seconds, and grants them the "Primal Dragalia" effect for 90 seconds. Primal Dragalia increases the user's strength by 15% and their attack rate by 5%. Primal Dragalia will not stack.</t>
  </si>
  <si>
    <t>Deals 5 hits of 300% light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</si>
  <si>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5 hits of 164% light damage to enemies directly ahead, increases the user's strength by 20% for 15 seconds, and grants them the "Primal Dragalia" effect for 90 seconds. Primal Dragalia increases the user's strength by 15% and their attack rate by 5%. Primal Dragalia will not stack.</t>
  </si>
  <si>
    <t>Deals 5 hits of 226% light damage to enemies directly ahead, increases the user's strength by 20% for 15 seconds, and grants them the "Primal Dragalia" effect for 90 seconds. Primal Dragalia increases the user's strength by 15% and their attack rate by 5%. Primal Dragalia will not stack.</t>
  </si>
  <si>
    <t>Deals 2 hits of 414% light damage to surrounding enemies, increases the user's strength by 20% for 15 seconds, and grants them the "Primal Dragalia" effect for 90 seconds. Primal Dragalia increases the user's strength by 15% and their attack rate by 5%. Primal Dragalia will not stack.</t>
  </si>
  <si>
    <t>Deals 2 hits of 750% light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</si>
  <si>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1 hit of 949% light damage to the target, increases the user's strength by 20% for 15 seconds, and grants them the "Primal Dragalia" effect for 90 seconds. Primal Dragalia increases the user's strength by 15% and their attack rate by 5%. Primal Dragalia will not stack.</t>
  </si>
  <si>
    <t>Deals 1 hit of 1500% light damage to the target,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</si>
  <si>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4 hits of 271% light damage to the target and nearby enemies, increases the user's strength by 20% for 15 seconds, and grants them the "Primal Dragalia" effect for 90 seconds. Primal Dragalia increases the user's strength by 15% and their attack rate by 5%. Primal Dragalia will not stack.</t>
  </si>
  <si>
    <t>Deals 4 hits of 375% light damage to the target and nearby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</si>
  <si>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1 hit of 755% light damage to surrounding enemies, increases the user's strength by 20% for 15 seconds, and grants them the "Primal Dragalia" effect for 90 seconds. Primal Dragalia increases the user's strength by 15% and their attack rate by 5%. Primal Dragalia will not stack.</t>
  </si>
  <si>
    <t>Deals 1 hit of 1500% light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</si>
  <si>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1 hit of 929% light damage to enemies in a line, increases the user's strength by 20% for 15 seconds, and grants them the "Primal Dragalia" effect for 90 seconds. Primal Dragalia increases the user's strength by 15% and their attack rate by 5%. Primal Dragalia will not stack.</t>
  </si>
  <si>
    <t>Deals 1 hit of 1500% light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</si>
  <si>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5 hits of 165% shadow damage to enemies directly ahead, increases the user's strength by 20% for 15 seconds, and grants them the "Primal Dragalia" effect for 90 seconds. Primal Dragalia increases the user's strength by 15% and their attack rate by 5%. Primal Dragalia will not stack.</t>
  </si>
  <si>
    <t>Deals 5 hits of 300% shadow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</si>
  <si>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5 hits of 213% shadow damage to enemies directly ahead, increases the user's strength by 20% for 15 seconds, and grants them the "Primal Dragalia" effect for 90 seconds. Primal Dragalia increases the user's strength by 15% and their attack rate by 5%. Primal Dragalia will not stack.</t>
  </si>
  <si>
    <t>Deals 5 hits of 173% shadow damage to surrounding enemies, increases the user's strength by 20% for 15 seconds, and grants them the "Primal Dragalia" effect for 90 seconds. Primal Dragalia increases the user's strength by 15% and their attack rate by 5%. Primal Dragalia will not stack.</t>
  </si>
  <si>
    <t>Deals 5 hits of 300% shadow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</si>
  <si>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3 hits of 418% shadow damage to enemies directly ahead, increases the user's strength by 20% for 15 seconds, and grants them the "Primal Dragalia" effect for 90 seconds. Primal Dragalia increases the user's strength by 15% and their attack rate by 5%. Primal Dragalia will not stack.</t>
  </si>
  <si>
    <t>Deals 3 hits of 500% shadow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</si>
  <si>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2 hits of 461% shadow damage to the target and nearby enemies, increases the user's strength by 20% for 15 seconds, and grants them the "Primal Dragalia" effect for 90 seconds. Primal Dragalia increases the user's strength by 15% and their attack rate by 5%. Primal Dragalia will not stack.</t>
  </si>
  <si>
    <t>Deals 2 hits of 750% shadow damage to the target and nearby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</si>
  <si>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1 hit of 854% shadow damage to enemies in a line, increases the user's strength by 20% for 15 seconds, and grants them the "Primal Dragalia" effect for 90 seconds. Primal Dragalia increases the user's strength by 15% and their attack rate by 5%. Primal Dragalia will not stack.</t>
  </si>
  <si>
    <t>Deals 1 hit of 1500% shadow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</si>
  <si>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1 hit of 974% shadow damage to surrounding enemies, increases the user's strength by 20% for 15 seconds, and grants them the "Primal Dragalia" effect for 90 seconds. Primal Dragalia increases the user's strength by 15% and their attack rate by 5%. Primal Dragalia will not stack.</t>
  </si>
  <si>
    <t>Deals 1 hit of 1500% shadow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t>
  </si>
  <si>
    <t>Deals 1 hit of 755% shadow damage to surrounding enemies, increases the user's strength by 20% for 15 seconds, and grants them the "Primal Dragalia" effect for 90 seconds. Primal Dragalia increases the user's strength by 15% and their attack rate by 5%. Primal Dragalia will not stack.</t>
  </si>
  <si>
    <t>Deals 1 hit of 929% shadow damage to enemies in a line, increases the user's strength by 20% for 15 seconds, and grants them the "Primal Dragalia" effect for 90 seconds. Primal Dragalia increases the user's strength by 15% and their attack rate by 5%. Primal Dragalia will not stack.</t>
  </si>
  <si>
    <t>This weapon has no weapon skill.</t>
  </si>
  <si>
    <t>W-Name</t>
  </si>
  <si>
    <t>inflicts burn for 21 seconds - dealing 50% damage every 2.9 seconds - with 100% base chance.</t>
  </si>
  <si>
    <t>lowers their XXXXXX resistance by 10% for 20 seconds.</t>
  </si>
  <si>
    <t>lowers their XXXXXX resistance by 10% for 20 seconds. This resistance reduction will not stack.</t>
  </si>
  <si>
    <t>WS-001</t>
  </si>
  <si>
    <t>WS-002</t>
  </si>
  <si>
    <t>WS-003</t>
  </si>
  <si>
    <t>WS-004</t>
  </si>
  <si>
    <t>WS-005</t>
  </si>
  <si>
    <t>WS-006</t>
  </si>
  <si>
    <t>Deals 3 shots of 235% damage to enemies in a line, and inflicts paralysis - dealing 60% damage every 3.9 seconds for 13 seconds - with 90% base chance.</t>
  </si>
  <si>
    <t>WS-007</t>
  </si>
  <si>
    <t>WS-008</t>
  </si>
  <si>
    <t>WS-009</t>
  </si>
  <si>
    <t>WS-010</t>
  </si>
  <si>
    <t>WS-011</t>
  </si>
  <si>
    <t>WS-012</t>
  </si>
  <si>
    <t>WS-013</t>
  </si>
  <si>
    <t>WS-014</t>
  </si>
  <si>
    <t>WS-015</t>
  </si>
  <si>
    <t>WS-016</t>
  </si>
  <si>
    <t>WS-017</t>
  </si>
  <si>
    <t>WS-018</t>
  </si>
  <si>
    <t>WS-019</t>
  </si>
  <si>
    <t>WS-020</t>
  </si>
  <si>
    <t>WS-021</t>
  </si>
  <si>
    <t>WS-022</t>
  </si>
  <si>
    <t>WS-023</t>
  </si>
  <si>
    <t>WS-024</t>
  </si>
  <si>
    <t>WS-025</t>
  </si>
  <si>
    <t>WS-026</t>
  </si>
  <si>
    <t>WS-027</t>
  </si>
  <si>
    <t>WS-028</t>
  </si>
  <si>
    <t>WS-029</t>
  </si>
  <si>
    <t>WS-030</t>
  </si>
  <si>
    <t>WS-031</t>
  </si>
  <si>
    <t>WS-032</t>
  </si>
  <si>
    <t>WS-033</t>
  </si>
  <si>
    <t>WS-034</t>
  </si>
  <si>
    <t>WS-035</t>
  </si>
  <si>
    <t>WS-036</t>
  </si>
  <si>
    <t>WS-037</t>
  </si>
  <si>
    <t>WS-038</t>
  </si>
  <si>
    <t>WS-039</t>
  </si>
  <si>
    <t>WS-040</t>
  </si>
  <si>
    <t>Restores HP to all teammates with 60% Recovery Potency, and adds 20% to the user's modifier applied to damage against flame-attuned enemies for 20 seconds.</t>
  </si>
  <si>
    <t>WS-041</t>
  </si>
  <si>
    <t>WS-042</t>
  </si>
  <si>
    <t>WS-043</t>
  </si>
  <si>
    <t>WS-044</t>
  </si>
  <si>
    <t>WS-045</t>
  </si>
  <si>
    <t>WS-046</t>
  </si>
  <si>
    <t>WS-047</t>
  </si>
  <si>
    <t>WS-048</t>
  </si>
  <si>
    <t>WS-049</t>
  </si>
  <si>
    <t>Restores HP to all teammates with 60% Recovery Potency, and adds 20% to the user's modifier applied to damage against water-attuned enemies for 20 seconds.</t>
  </si>
  <si>
    <t>WS-050</t>
  </si>
  <si>
    <t>WS-051</t>
  </si>
  <si>
    <t>WS-052</t>
  </si>
  <si>
    <t>WS-053</t>
  </si>
  <si>
    <t>WS-054</t>
  </si>
  <si>
    <t>WS-055</t>
  </si>
  <si>
    <t>WS-056</t>
  </si>
  <si>
    <t>WS-057</t>
  </si>
  <si>
    <t>WS-058</t>
  </si>
  <si>
    <t>WS-059</t>
  </si>
  <si>
    <t>WS-060</t>
  </si>
  <si>
    <t>WS-061</t>
  </si>
  <si>
    <t>WS-062</t>
  </si>
  <si>
    <t>WS-063</t>
  </si>
  <si>
    <t>WS-064</t>
  </si>
  <si>
    <t>WS-065</t>
  </si>
  <si>
    <t>WS-066</t>
  </si>
  <si>
    <t>WS-067</t>
  </si>
  <si>
    <t>WS-068</t>
  </si>
  <si>
    <t>WS-069</t>
  </si>
  <si>
    <t>WS-070</t>
  </si>
  <si>
    <t>WS-071</t>
  </si>
  <si>
    <t>WS-072</t>
  </si>
  <si>
    <t>WS-073</t>
  </si>
  <si>
    <t>WS-074</t>
  </si>
  <si>
    <t>WS-075</t>
  </si>
  <si>
    <t>WS-076</t>
  </si>
  <si>
    <t>WS-077</t>
  </si>
  <si>
    <t>WS-078</t>
  </si>
  <si>
    <t>WS-079</t>
  </si>
  <si>
    <t>WS-080</t>
  </si>
  <si>
    <t>WS-081</t>
  </si>
  <si>
    <t>WS-082</t>
  </si>
  <si>
    <t>WS-083</t>
  </si>
  <si>
    <t>WS-084</t>
  </si>
  <si>
    <t>WS-085</t>
  </si>
  <si>
    <t>WS-086</t>
  </si>
  <si>
    <t>WS-087</t>
  </si>
  <si>
    <t>WS-088</t>
  </si>
  <si>
    <t>WS-089</t>
  </si>
  <si>
    <t>WS-090</t>
  </si>
  <si>
    <t>WS-091</t>
  </si>
  <si>
    <t>WS-092</t>
  </si>
  <si>
    <t>WS-093</t>
  </si>
  <si>
    <t>WS-094</t>
  </si>
  <si>
    <t>WS-095</t>
  </si>
  <si>
    <t>WS-096</t>
  </si>
  <si>
    <t>WS-097</t>
  </si>
  <si>
    <t>WS-098</t>
  </si>
  <si>
    <t>WS-099</t>
  </si>
  <si>
    <t>WS-100</t>
  </si>
  <si>
    <t>WS-101</t>
  </si>
  <si>
    <t>WS-102</t>
  </si>
  <si>
    <t>WS-103</t>
  </si>
  <si>
    <t>WS-104</t>
  </si>
  <si>
    <t>WS-105</t>
  </si>
  <si>
    <t>WS-106</t>
  </si>
  <si>
    <t>WS-107</t>
  </si>
  <si>
    <t>WS-108</t>
  </si>
  <si>
    <t>WS-109</t>
  </si>
  <si>
    <t>WS-110</t>
  </si>
  <si>
    <t>WS-111</t>
  </si>
  <si>
    <t>WS-112</t>
  </si>
  <si>
    <t>WS-113</t>
  </si>
  <si>
    <t>WS-114</t>
  </si>
  <si>
    <t>WS-115</t>
  </si>
  <si>
    <t>WS-116</t>
  </si>
  <si>
    <t>WS-117</t>
  </si>
  <si>
    <t>WS-118</t>
  </si>
  <si>
    <t>WS-119</t>
  </si>
  <si>
    <t>WS-120</t>
  </si>
  <si>
    <t>WS-121</t>
  </si>
  <si>
    <t>WS-122</t>
  </si>
  <si>
    <t>WS-123</t>
  </si>
  <si>
    <t>WS-124</t>
  </si>
  <si>
    <t>WS-125</t>
  </si>
  <si>
    <t>WS-126</t>
  </si>
  <si>
    <t>WS-127</t>
  </si>
  <si>
    <t>WS-128</t>
  </si>
  <si>
    <t>WS-129</t>
  </si>
  <si>
    <t>WS-130</t>
  </si>
  <si>
    <t>WS-131</t>
  </si>
  <si>
    <t>WS-132</t>
  </si>
  <si>
    <t>WS-133</t>
  </si>
  <si>
    <t>WS-134</t>
  </si>
  <si>
    <t>WS-135</t>
  </si>
  <si>
    <t>WS-136</t>
  </si>
  <si>
    <t>WS-137</t>
  </si>
  <si>
    <t>WS-138</t>
  </si>
  <si>
    <t>WS-139</t>
  </si>
  <si>
    <t>WS-140</t>
  </si>
  <si>
    <t>WS-141</t>
  </si>
  <si>
    <t>WS-142</t>
  </si>
  <si>
    <t>WS-143</t>
  </si>
  <si>
    <t>WS-144</t>
  </si>
  <si>
    <t>WS-145</t>
  </si>
  <si>
    <t>WS-146</t>
  </si>
  <si>
    <t>WS-147</t>
  </si>
  <si>
    <t>WS-148</t>
  </si>
  <si>
    <t>WS-149</t>
  </si>
  <si>
    <t>WS-150</t>
  </si>
  <si>
    <t>WS-151</t>
  </si>
  <si>
    <t>WS-152</t>
  </si>
  <si>
    <t>WS-153</t>
  </si>
  <si>
    <t>WS-154</t>
  </si>
  <si>
    <t>WS-155</t>
  </si>
  <si>
    <t>WS-156</t>
  </si>
  <si>
    <t>WS-157</t>
  </si>
  <si>
    <t>WS-158</t>
  </si>
  <si>
    <t>WS-159</t>
  </si>
  <si>
    <t>WS-160</t>
  </si>
  <si>
    <t>WS-161</t>
  </si>
  <si>
    <t>WS-162</t>
  </si>
  <si>
    <t>WS-163</t>
  </si>
  <si>
    <t>WS-164</t>
  </si>
  <si>
    <t>WS-165</t>
  </si>
  <si>
    <t>WS-166</t>
  </si>
  <si>
    <t>WS-167</t>
  </si>
  <si>
    <t>WS-168</t>
  </si>
  <si>
    <t>WS-169</t>
  </si>
  <si>
    <t>WS-170</t>
  </si>
  <si>
    <t>WS-171</t>
  </si>
  <si>
    <t>WS-172</t>
  </si>
  <si>
    <t>WS-173</t>
  </si>
  <si>
    <t>WS-174</t>
  </si>
  <si>
    <t>WS-175</t>
  </si>
  <si>
    <t>WS-176</t>
  </si>
  <si>
    <t>WS-177</t>
  </si>
  <si>
    <t>WS-178</t>
  </si>
  <si>
    <t>WS-179</t>
  </si>
  <si>
    <t>WS-180</t>
  </si>
  <si>
    <t>WS-181</t>
  </si>
  <si>
    <t>WS-182</t>
  </si>
  <si>
    <t>WS-183</t>
  </si>
  <si>
    <t>WS-184</t>
  </si>
  <si>
    <t>WS-185</t>
  </si>
  <si>
    <t>WS-186</t>
  </si>
  <si>
    <t>WS-187</t>
  </si>
  <si>
    <t>WS-188</t>
  </si>
  <si>
    <t>WS-189</t>
  </si>
  <si>
    <t>WS-190</t>
  </si>
  <si>
    <t>WS-191</t>
  </si>
  <si>
    <t>WS-192</t>
  </si>
  <si>
    <t>WS-193</t>
  </si>
  <si>
    <t>WS-194</t>
  </si>
  <si>
    <t>WS-195</t>
  </si>
  <si>
    <t>WS-196</t>
  </si>
  <si>
    <t>WS-197</t>
  </si>
  <si>
    <t>WS-198</t>
  </si>
  <si>
    <t>WS-199</t>
  </si>
  <si>
    <t>WS-200</t>
  </si>
  <si>
    <t>WS-201</t>
  </si>
  <si>
    <t>WS-202</t>
  </si>
  <si>
    <t>WS-203</t>
  </si>
  <si>
    <t>WS-204</t>
  </si>
  <si>
    <t>WS-205</t>
  </si>
  <si>
    <t>WS-206</t>
  </si>
  <si>
    <t>DL Count</t>
  </si>
  <si>
    <t>If the user is attuned to Flame: fills 50% of skill gauges at the start of quests.</t>
  </si>
  <si>
    <t>If the user is attuned to Wind: fills 50% of skill gauges at the start of quests.</t>
  </si>
  <si>
    <t>If the user is attuned to Flame: increases strength by 4% for the remainder of the quest when the user's HP drops to 70% (five times per quest).</t>
  </si>
  <si>
    <t>If the user is attuned to Water: increases strength by 4% for the remainder of the quest when the user's HP drops to 70% (five times per quest).</t>
  </si>
  <si>
    <t>If the user is attuned to Wind: increases strength by 4% for the remainder of the quest when the user's HP drops to 70% (five times per quest).</t>
  </si>
  <si>
    <t>If the user is attuned to Light: increases strength by 4% for the remainder of the quest when the user's HP drops to 70% (five times per quest).</t>
  </si>
  <si>
    <t>If the user is attuned to Shadow: increases strength by 4% for the remainder of the quest when the user's HP drops to 70% (five times per quest).</t>
  </si>
  <si>
    <t>If the user is attuned to Water: increases defense by 20% when HP is full.</t>
  </si>
  <si>
    <t>If the user is attuned to Light: increases defense by 8% when HP is 70% or above.</t>
  </si>
  <si>
    <t>If the user is attuned to Shadow: increases defense by 7% when HP is 50% or above.</t>
  </si>
  <si>
    <t>If the user is attuned to Light: increases the potency of recovery skills by 8%.</t>
  </si>
  <si>
    <t>If the user is attuned to Shadow: increases the potency of recovery skills by 12% when HP is 50% or above.</t>
  </si>
  <si>
    <t>If the user is attuned to Shadow: increases critical rate by 5% after using Qimen Dunjia. This effect will persist until the user uses Shibing Bazhen.</t>
  </si>
  <si>
    <t>If the user is attuned to Flame: extends the window between hitting an enemy and the combo counter resetting by 1 second after using Megingjörð. This effect will persist until the user uses Iðunn's Apple.</t>
  </si>
  <si>
    <t>If the user is attuned to Water: extends the window between hitting an enemy and the combo counter resetting by 1 second after using Aramitama. This effect will persist until the user uses Nigimitama.</t>
  </si>
  <si>
    <t>If the user is attuned to Wind: extends the window between hitting an enemy and the combo counter resetting by 1 second after using Gwiber. This effect will persist until the user uses Y Ddraig Goch.</t>
  </si>
  <si>
    <t>If the user is attuned to Light: extends the window between hitting an enemy and the combo counter resetting by 1 second after using Mag Mell. This effect will persist until the user uses Tír na nÓg.</t>
  </si>
  <si>
    <t>If the user is attuned to Shadow: grants an HP regen buff of 1% Recovery Potency every 2.9 seconds after using Shibing Bazhen. This effect will persist until the user uses Qimen Dunjia.</t>
  </si>
  <si>
    <t>If the user is attuned to Flame: increases defense by 20% after using Iðunn's Apple. This increase will persist until the user uses Megingjörð.</t>
  </si>
  <si>
    <t>If the user is attuned to Water: grants an HP regen buff of 1.9% Recovery Potency every 2.9 seconds after using Nigimitama. This effect will persist until the user uses Aramitama.</t>
  </si>
  <si>
    <t>If the user is attuned to Wind: grants an HP regen buff of 1.9% Recovery Potency every 2.9 seconds after using Y Ddraig Goch. This effect will persist until the user uses Gwiber.</t>
  </si>
  <si>
    <t>If the user is attuned to Light: grants an HP regen buff of 1.9% Recovery Potency every 2.9 seconds after using Tír na nÓg. This effect will persist until the user uses Mag Mell.</t>
  </si>
  <si>
    <t>Combo Time I</t>
  </si>
  <si>
    <t>Extends the window between hitting an enemy and the combo counter resetting by 1 second.</t>
  </si>
  <si>
    <t>Extends the window between hitting an enemy and the combo counter resetting by 2.5 seconds.</t>
  </si>
  <si>
    <t>Dull Res</t>
  </si>
  <si>
    <t>Completely prevents dulling in Void Battles and certain other quests.</t>
  </si>
  <si>
    <t>Copy Punisher</t>
  </si>
  <si>
    <t>Increases damage to copies created by Propagation by 2000% in Void Battles and certain other quests.</t>
  </si>
  <si>
    <t>Petrify Res</t>
  </si>
  <si>
    <t>Completely prevents petrification in Void Battles and certain other quests.</t>
  </si>
  <si>
    <t>Spectral Shield Penetrator</t>
  </si>
  <si>
    <t>Ignores the effects of spectral shield when attacking enemies in Void Battles and certain other quests.</t>
  </si>
  <si>
    <t>Soul Eater Res</t>
  </si>
  <si>
    <t>Completely negates soul eater in Void Battles and certain other quests.</t>
  </si>
  <si>
    <t>Fury Penetrator</t>
  </si>
  <si>
    <t>Ignores the effects of fury when attacking enemies in Void Battles and certain other quests.</t>
  </si>
  <si>
    <t>Skill Resistance Penetrator</t>
  </si>
  <si>
    <t>Completely negates skill resistance in Void Battles and certain other quests.</t>
  </si>
  <si>
    <t>Void Dragon Effect Res</t>
  </si>
  <si>
    <t>Ignores the effects of whirlpool and divine protection, completely prevents dragon delaying and enervation, completely negates skill resistance, and completely nullifies damage from scorching air in Void Battles and certain other quests.</t>
  </si>
  <si>
    <t>Chimera's Bane +30%</t>
  </si>
  <si>
    <t>Increases damage to the Tempest Chimera by 30%.</t>
  </si>
  <si>
    <t>Frenzy Res</t>
  </si>
  <si>
    <t>Ignores the effects of frenzy when attacking and taking damage from enemies in Void Battles and certain other quests.</t>
  </si>
  <si>
    <t>Mighty's Bane +5%</t>
  </si>
  <si>
    <t>Increases damage to physians, thaumians, demihumans, therions, and demons by 5%.</t>
  </si>
  <si>
    <t>High Dragon's Bane +30%</t>
  </si>
  <si>
    <t>Increases damage to the High Greatwyrms by 30%.</t>
  </si>
  <si>
    <t>Weapon Abilities Count</t>
  </si>
  <si>
    <t>WA Num</t>
  </si>
  <si>
    <t>Weapon Ability</t>
  </si>
  <si>
    <t>WA Element</t>
  </si>
  <si>
    <t>WA Weapon</t>
  </si>
  <si>
    <t>WA Family</t>
  </si>
  <si>
    <t>WA Rupies</t>
  </si>
  <si>
    <t>WA Material</t>
  </si>
  <si>
    <t>WA Note</t>
  </si>
  <si>
    <t>WB Num</t>
  </si>
  <si>
    <t>Bonus %</t>
  </si>
  <si>
    <t>WB Family</t>
  </si>
  <si>
    <t>WB Element</t>
  </si>
  <si>
    <t>WB Weapon</t>
  </si>
  <si>
    <t>WB Rupies</t>
  </si>
  <si>
    <t>WB Material</t>
  </si>
  <si>
    <t>WS Num</t>
  </si>
  <si>
    <t>Wyrmprint Slot</t>
  </si>
  <si>
    <t>WS Family</t>
  </si>
  <si>
    <t>WS Element</t>
  </si>
  <si>
    <t>WS Weapon</t>
  </si>
  <si>
    <t>WS Rupies</t>
  </si>
  <si>
    <t>WS Material</t>
  </si>
  <si>
    <t>WA-001</t>
  </si>
  <si>
    <t>Void Ghost Material</t>
  </si>
  <si>
    <t>WB-001</t>
  </si>
  <si>
    <t>T2 Insignia</t>
  </si>
  <si>
    <t>Dominion #1</t>
  </si>
  <si>
    <t>RotSD Standard Material</t>
  </si>
  <si>
    <t>WA-002</t>
  </si>
  <si>
    <t>Void Shroom Material</t>
  </si>
  <si>
    <t>WB-002</t>
  </si>
  <si>
    <t>Void Dragon Expert Material</t>
  </si>
  <si>
    <t>Dominion #2</t>
  </si>
  <si>
    <t>RotSD Expert Material</t>
  </si>
  <si>
    <t>WA-003</t>
  </si>
  <si>
    <t>Void Hermit Material</t>
  </si>
  <si>
    <t>WB-003</t>
  </si>
  <si>
    <t>Chimera Expert Material</t>
  </si>
  <si>
    <t>WA-004</t>
  </si>
  <si>
    <t>WB-004</t>
  </si>
  <si>
    <t>HDT Master Material</t>
  </si>
  <si>
    <t>WA-005</t>
  </si>
  <si>
    <t>WB-005</t>
  </si>
  <si>
    <t>Agito Legend Material</t>
  </si>
  <si>
    <t>WA-006</t>
  </si>
  <si>
    <t>WB-006</t>
  </si>
  <si>
    <t>PDT Master Material</t>
  </si>
  <si>
    <t>WA-007</t>
  </si>
  <si>
    <t>Void Phantom Material</t>
  </si>
  <si>
    <t>WB-007</t>
  </si>
  <si>
    <t>WA-008</t>
  </si>
  <si>
    <t>Void Golem Material</t>
  </si>
  <si>
    <t>WB-008</t>
  </si>
  <si>
    <t>WA-009</t>
  </si>
  <si>
    <t>Void Catoblepas Material</t>
  </si>
  <si>
    <t>WB-009</t>
  </si>
  <si>
    <t>WA-010</t>
  </si>
  <si>
    <t>WB-010</t>
  </si>
  <si>
    <t>WA-011</t>
  </si>
  <si>
    <t>Void Manticore Material</t>
  </si>
  <si>
    <t>WB-011</t>
  </si>
  <si>
    <t>WA-012</t>
  </si>
  <si>
    <t>Void Dragon Standard Material</t>
  </si>
  <si>
    <t>WB-012</t>
  </si>
  <si>
    <t>WA-013</t>
  </si>
  <si>
    <t>WB-013</t>
  </si>
  <si>
    <t>WA-014</t>
  </si>
  <si>
    <t>WB-014</t>
  </si>
  <si>
    <t>WA-015</t>
  </si>
  <si>
    <t>WB-015</t>
  </si>
  <si>
    <t>WA-016</t>
  </si>
  <si>
    <t>Agito Master Material</t>
  </si>
  <si>
    <t>WB-016</t>
  </si>
  <si>
    <t>WA-017</t>
  </si>
  <si>
    <t>Replaces Combo Time I</t>
  </si>
  <si>
    <t>WB-017</t>
  </si>
  <si>
    <t>WA-018</t>
  </si>
  <si>
    <t>WB-018</t>
  </si>
  <si>
    <t>WA-019</t>
  </si>
  <si>
    <t>WB-019</t>
  </si>
  <si>
    <t>WA-020</t>
  </si>
  <si>
    <t>WB-020</t>
  </si>
  <si>
    <t>WA-021</t>
  </si>
  <si>
    <t>WB-021</t>
  </si>
  <si>
    <t>WA-022</t>
  </si>
  <si>
    <t>WB-022</t>
  </si>
  <si>
    <t>WA-023</t>
  </si>
  <si>
    <t>WB-023</t>
  </si>
  <si>
    <t>WA-024</t>
  </si>
  <si>
    <t>WB-024</t>
  </si>
  <si>
    <t>WA-025</t>
  </si>
  <si>
    <t>WB-025</t>
  </si>
  <si>
    <t>WA-026</t>
  </si>
  <si>
    <t>WB-026</t>
  </si>
  <si>
    <t>WA-027</t>
  </si>
  <si>
    <t>WB-027</t>
  </si>
  <si>
    <t>WA-028</t>
  </si>
  <si>
    <t>WB-028</t>
  </si>
  <si>
    <t>WA-029</t>
  </si>
  <si>
    <t>WB-029</t>
  </si>
  <si>
    <t>WA-030</t>
  </si>
  <si>
    <t>WB-030</t>
  </si>
  <si>
    <t>WA-031</t>
  </si>
  <si>
    <t>WB-031</t>
  </si>
  <si>
    <t>WA-032</t>
  </si>
  <si>
    <t>WB-032</t>
  </si>
  <si>
    <t>WA-033</t>
  </si>
  <si>
    <t>WB-033</t>
  </si>
  <si>
    <t>WA-034</t>
  </si>
  <si>
    <t>WB-034</t>
  </si>
  <si>
    <t>WA-035</t>
  </si>
  <si>
    <t>WB-035</t>
  </si>
  <si>
    <t>WA-036</t>
  </si>
  <si>
    <t>WB-036</t>
  </si>
  <si>
    <t>WA-037</t>
  </si>
  <si>
    <t>WB-037</t>
  </si>
  <si>
    <t>WA-038</t>
  </si>
  <si>
    <t>WB-038</t>
  </si>
  <si>
    <t>WA-039</t>
  </si>
  <si>
    <t>WB-039</t>
  </si>
  <si>
    <t>WA-040</t>
  </si>
  <si>
    <t>WB-040</t>
  </si>
  <si>
    <t>WA-041</t>
  </si>
  <si>
    <t>WB-041</t>
  </si>
  <si>
    <t>WA-042</t>
  </si>
  <si>
    <t>WB-042</t>
  </si>
  <si>
    <t>WA-043</t>
  </si>
  <si>
    <t>WB-043</t>
  </si>
  <si>
    <t>WA-044</t>
  </si>
  <si>
    <t>WB-044</t>
  </si>
  <si>
    <t>WA-045</t>
  </si>
  <si>
    <t>WB-045</t>
  </si>
  <si>
    <t>WA-046</t>
  </si>
  <si>
    <t>WB-046</t>
  </si>
  <si>
    <t>WA-047</t>
  </si>
  <si>
    <t>WB-047</t>
  </si>
  <si>
    <t>WA-048</t>
  </si>
  <si>
    <t>WB-048</t>
  </si>
  <si>
    <t>WA-049</t>
  </si>
  <si>
    <t>WB-049</t>
  </si>
  <si>
    <t>WA-050</t>
  </si>
  <si>
    <t>WB-050</t>
  </si>
  <si>
    <t>WA-051</t>
  </si>
  <si>
    <t>WB-051</t>
  </si>
  <si>
    <t>WA-052</t>
  </si>
  <si>
    <t>WB-052</t>
  </si>
  <si>
    <t>WA-053</t>
  </si>
  <si>
    <t>WB-053</t>
  </si>
  <si>
    <t>WA-054</t>
  </si>
  <si>
    <t>WB-054</t>
  </si>
  <si>
    <t>WA-055</t>
  </si>
  <si>
    <t>WB-055</t>
  </si>
  <si>
    <t>WA-056</t>
  </si>
  <si>
    <t>WB-056</t>
  </si>
  <si>
    <t>WA-057</t>
  </si>
  <si>
    <t>WB-057</t>
  </si>
  <si>
    <t>WA-058</t>
  </si>
  <si>
    <t>WB-058</t>
  </si>
  <si>
    <t>WA-059</t>
  </si>
  <si>
    <t>WB-059</t>
  </si>
  <si>
    <t>WA-060</t>
  </si>
  <si>
    <t>WB-060</t>
  </si>
  <si>
    <t>WA-061</t>
  </si>
  <si>
    <t>WB-061</t>
  </si>
  <si>
    <t>WA-062</t>
  </si>
  <si>
    <t>WB-062</t>
  </si>
  <si>
    <t>WA-063</t>
  </si>
  <si>
    <t>WB-063</t>
  </si>
  <si>
    <t>WA-064</t>
  </si>
  <si>
    <t>WB-064</t>
  </si>
  <si>
    <t>WA-065</t>
  </si>
  <si>
    <t>WB-065</t>
  </si>
  <si>
    <t>WA-066</t>
  </si>
  <si>
    <t>WB-066</t>
  </si>
  <si>
    <t>WA-067</t>
  </si>
  <si>
    <t>WB-067</t>
  </si>
  <si>
    <t>WA-068</t>
  </si>
  <si>
    <t>WB-068</t>
  </si>
  <si>
    <t>WA-069</t>
  </si>
  <si>
    <t>WB-069</t>
  </si>
  <si>
    <t>WA-070</t>
  </si>
  <si>
    <t>WB-070</t>
  </si>
  <si>
    <t>WA-071</t>
  </si>
  <si>
    <t>WB-071</t>
  </si>
  <si>
    <t>WA-072</t>
  </si>
  <si>
    <t>WB-072</t>
  </si>
  <si>
    <t>WA-073</t>
  </si>
  <si>
    <t>WB-073</t>
  </si>
  <si>
    <t>WA-074</t>
  </si>
  <si>
    <t>WB-074</t>
  </si>
  <si>
    <t>WA-075</t>
  </si>
  <si>
    <t>WB-075</t>
  </si>
  <si>
    <t>WA-076</t>
  </si>
  <si>
    <t>WB-076</t>
  </si>
  <si>
    <t>WA-077</t>
  </si>
  <si>
    <t>WB-077</t>
  </si>
  <si>
    <t>WA-078</t>
  </si>
  <si>
    <t>WB-078</t>
  </si>
  <si>
    <t>WA-079</t>
  </si>
  <si>
    <t>WB-079</t>
  </si>
  <si>
    <t>WA-080</t>
  </si>
  <si>
    <t>WB-080</t>
  </si>
  <si>
    <t>WA-081</t>
  </si>
  <si>
    <t>WB-081</t>
  </si>
  <si>
    <t>WA-082</t>
  </si>
  <si>
    <t>WB-082</t>
  </si>
  <si>
    <t>WA-083</t>
  </si>
  <si>
    <t>WB-083</t>
  </si>
  <si>
    <t>WA-084</t>
  </si>
  <si>
    <t>WB-084</t>
  </si>
  <si>
    <t>WA-085</t>
  </si>
  <si>
    <t>WB-085</t>
  </si>
  <si>
    <t>WA-086</t>
  </si>
  <si>
    <t>WB-086</t>
  </si>
  <si>
    <t>WA-087</t>
  </si>
  <si>
    <t>WB-087</t>
  </si>
  <si>
    <t>WA-088</t>
  </si>
  <si>
    <t>WB-088</t>
  </si>
  <si>
    <t>WA-089</t>
  </si>
  <si>
    <t>WB-089</t>
  </si>
  <si>
    <t>WA-090</t>
  </si>
  <si>
    <t>WB-090</t>
  </si>
  <si>
    <t>WA-091</t>
  </si>
  <si>
    <t>WB-091</t>
  </si>
  <si>
    <t>WA-092</t>
  </si>
  <si>
    <t>WB-092</t>
  </si>
  <si>
    <t>WA-093</t>
  </si>
  <si>
    <t>WB-093</t>
  </si>
  <si>
    <t>WA-094</t>
  </si>
  <si>
    <t>WB-094</t>
  </si>
  <si>
    <t>WA-095</t>
  </si>
  <si>
    <t>WB-095</t>
  </si>
  <si>
    <t>WA-096</t>
  </si>
  <si>
    <t>WB-096</t>
  </si>
  <si>
    <t>WA-097</t>
  </si>
  <si>
    <t>WB-097</t>
  </si>
  <si>
    <t>WA-098</t>
  </si>
  <si>
    <t>WB-098</t>
  </si>
  <si>
    <t>WA-099</t>
  </si>
  <si>
    <t>WB-099</t>
  </si>
  <si>
    <t>WA-100</t>
  </si>
  <si>
    <t>WB-100</t>
  </si>
  <si>
    <t>WA-101</t>
  </si>
  <si>
    <t>WB-101</t>
  </si>
  <si>
    <t>WA-102</t>
  </si>
  <si>
    <t>WB-102</t>
  </si>
  <si>
    <t>WA-103</t>
  </si>
  <si>
    <t>WB-103</t>
  </si>
  <si>
    <t>WA-104</t>
  </si>
  <si>
    <t>WB-104</t>
  </si>
  <si>
    <t>WA-105</t>
  </si>
  <si>
    <t>WB-105</t>
  </si>
  <si>
    <t>WA-106</t>
  </si>
  <si>
    <t>WB-106</t>
  </si>
  <si>
    <t>WA-107</t>
  </si>
  <si>
    <t>WB-107</t>
  </si>
  <si>
    <t>WA-108</t>
  </si>
  <si>
    <t>WB-108</t>
  </si>
  <si>
    <t>WA-109</t>
  </si>
  <si>
    <t>WB-109</t>
  </si>
  <si>
    <t>WA-110</t>
  </si>
  <si>
    <t>WB-110</t>
  </si>
  <si>
    <t>WA-111</t>
  </si>
  <si>
    <t>WB-111</t>
  </si>
  <si>
    <t>WA-112</t>
  </si>
  <si>
    <t>WB-112</t>
  </si>
  <si>
    <t>WA-113</t>
  </si>
  <si>
    <t>WB-113</t>
  </si>
  <si>
    <t>WA-114</t>
  </si>
  <si>
    <t>WB-114</t>
  </si>
  <si>
    <t>WA-115</t>
  </si>
  <si>
    <t>WB-115</t>
  </si>
  <si>
    <t>WA-116</t>
  </si>
  <si>
    <t>WB-116</t>
  </si>
  <si>
    <t>WA-117</t>
  </si>
  <si>
    <t>WB-117</t>
  </si>
  <si>
    <t>WA-118</t>
  </si>
  <si>
    <t>WB-118</t>
  </si>
  <si>
    <t>WA-119</t>
  </si>
  <si>
    <t>WB-119</t>
  </si>
  <si>
    <t>WA-120</t>
  </si>
  <si>
    <t>WB-120</t>
  </si>
  <si>
    <t>WA-121</t>
  </si>
  <si>
    <t>WB-121</t>
  </si>
  <si>
    <t>WA-122</t>
  </si>
  <si>
    <t>WB-122</t>
  </si>
  <si>
    <t>WA-123</t>
  </si>
  <si>
    <t>WB-123</t>
  </si>
  <si>
    <t>WA-124</t>
  </si>
  <si>
    <t>WB-124</t>
  </si>
  <si>
    <t>WA-125</t>
  </si>
  <si>
    <t>WB-125</t>
  </si>
  <si>
    <t>WA-126</t>
  </si>
  <si>
    <t>WB-126</t>
  </si>
  <si>
    <t>WA-127</t>
  </si>
  <si>
    <t>WB-127</t>
  </si>
  <si>
    <t>WA-128</t>
  </si>
  <si>
    <t>WB-128</t>
  </si>
  <si>
    <t>WA-129</t>
  </si>
  <si>
    <t>WB-129</t>
  </si>
  <si>
    <t>WA-130</t>
  </si>
  <si>
    <t>WB-130</t>
  </si>
  <si>
    <t>WA-131</t>
  </si>
  <si>
    <t>WB-131</t>
  </si>
  <si>
    <t>WA-132</t>
  </si>
  <si>
    <t>WB-132</t>
  </si>
  <si>
    <t>WA-133</t>
  </si>
  <si>
    <t>WB-133</t>
  </si>
  <si>
    <t>WA-134</t>
  </si>
  <si>
    <t>WB-134</t>
  </si>
  <si>
    <t>WA-135</t>
  </si>
  <si>
    <t>WB-135</t>
  </si>
  <si>
    <t>WA-136</t>
  </si>
  <si>
    <t>WB-136</t>
  </si>
  <si>
    <t>WA-137</t>
  </si>
  <si>
    <t>WB-137</t>
  </si>
  <si>
    <t>WA-138</t>
  </si>
  <si>
    <t>WB-138</t>
  </si>
  <si>
    <t>WA-139</t>
  </si>
  <si>
    <t>WB-139</t>
  </si>
  <si>
    <t>WA-140</t>
  </si>
  <si>
    <t>WB-140</t>
  </si>
  <si>
    <t>WA-141</t>
  </si>
  <si>
    <t>WB-141</t>
  </si>
  <si>
    <t>WA-142</t>
  </si>
  <si>
    <t>WB-142</t>
  </si>
  <si>
    <t>WA-143</t>
  </si>
  <si>
    <t>WB-143</t>
  </si>
  <si>
    <t>WA-144</t>
  </si>
  <si>
    <t>WB-144</t>
  </si>
  <si>
    <t>WA-145</t>
  </si>
  <si>
    <t>WB-145</t>
  </si>
  <si>
    <t>WA-146</t>
  </si>
  <si>
    <t>WB-146</t>
  </si>
  <si>
    <t>WA-147</t>
  </si>
  <si>
    <t>WB-147</t>
  </si>
  <si>
    <t>WA-148</t>
  </si>
  <si>
    <t>WB-148</t>
  </si>
  <si>
    <t>WA-149</t>
  </si>
  <si>
    <t>WB-149</t>
  </si>
  <si>
    <t>WA-150</t>
  </si>
  <si>
    <t>WB-150</t>
  </si>
  <si>
    <t>WA-151</t>
  </si>
  <si>
    <t>WB-151</t>
  </si>
  <si>
    <t>WA-152</t>
  </si>
  <si>
    <t>WB-152</t>
  </si>
  <si>
    <t>WA-153</t>
  </si>
  <si>
    <t>WB-153</t>
  </si>
  <si>
    <t>WA-154</t>
  </si>
  <si>
    <t>WB-154</t>
  </si>
  <si>
    <t>WA-155</t>
  </si>
  <si>
    <t>WB-155</t>
  </si>
  <si>
    <t>WA-156</t>
  </si>
  <si>
    <t>WB-156</t>
  </si>
  <si>
    <t>WA-157</t>
  </si>
  <si>
    <t>WB-157</t>
  </si>
  <si>
    <t>WA-158</t>
  </si>
  <si>
    <t>WB-158</t>
  </si>
  <si>
    <t>WA-159</t>
  </si>
  <si>
    <t>WB-159</t>
  </si>
  <si>
    <t>WA-160</t>
  </si>
  <si>
    <t>WB-160</t>
  </si>
  <si>
    <t>WA-161</t>
  </si>
  <si>
    <t>WB-161</t>
  </si>
  <si>
    <t>WA-162</t>
  </si>
  <si>
    <t>WB-162</t>
  </si>
  <si>
    <t>WA-163</t>
  </si>
  <si>
    <t>WB-163</t>
  </si>
  <si>
    <t>WA-164</t>
  </si>
  <si>
    <t>WB-164</t>
  </si>
  <si>
    <t>WA-165</t>
  </si>
  <si>
    <t>WB-165</t>
  </si>
  <si>
    <t>WA-166</t>
  </si>
  <si>
    <t>WB-166</t>
  </si>
  <si>
    <t>WA-167</t>
  </si>
  <si>
    <t>WB-167</t>
  </si>
  <si>
    <t>WA-168</t>
  </si>
  <si>
    <t>WB-168</t>
  </si>
  <si>
    <t>WA-169</t>
  </si>
  <si>
    <t>WB-169</t>
  </si>
  <si>
    <t>WA-170</t>
  </si>
  <si>
    <t>WB-170</t>
  </si>
  <si>
    <t>WA-171</t>
  </si>
  <si>
    <t>WB-171</t>
  </si>
  <si>
    <t>WA-172</t>
  </si>
  <si>
    <t>WB-172</t>
  </si>
  <si>
    <t>WA-173</t>
  </si>
  <si>
    <t>WB-173</t>
  </si>
  <si>
    <t>WA-174</t>
  </si>
  <si>
    <t>WB-174</t>
  </si>
  <si>
    <t>WA-175</t>
  </si>
  <si>
    <t>WB-175</t>
  </si>
  <si>
    <t>WA-176</t>
  </si>
  <si>
    <t>WB-176</t>
  </si>
  <si>
    <t>WA-177</t>
  </si>
  <si>
    <t>WB-177</t>
  </si>
  <si>
    <t>WA-178</t>
  </si>
  <si>
    <t>WB-178</t>
  </si>
  <si>
    <t>WA-179</t>
  </si>
  <si>
    <t>WB-179</t>
  </si>
  <si>
    <t>WA-180</t>
  </si>
  <si>
    <t>WB-180</t>
  </si>
  <si>
    <t>WA-181</t>
  </si>
  <si>
    <t>WB-181</t>
  </si>
  <si>
    <t>WA-182</t>
  </si>
  <si>
    <t>WB-182</t>
  </si>
  <si>
    <t>Total Rupie Costs for Dominion Wyrmprint Slot Unlocks</t>
  </si>
  <si>
    <t>WA-183</t>
  </si>
  <si>
    <t>WB-183</t>
  </si>
  <si>
    <t>WA-184</t>
  </si>
  <si>
    <t>WB-184</t>
  </si>
  <si>
    <t>WA-185</t>
  </si>
  <si>
    <t>WB-185</t>
  </si>
  <si>
    <t>WA-186</t>
  </si>
  <si>
    <t>WB-186</t>
  </si>
  <si>
    <t>WA-187</t>
  </si>
  <si>
    <t>WB-187</t>
  </si>
  <si>
    <t>WA-188</t>
  </si>
  <si>
    <t>WB-188</t>
  </si>
  <si>
    <t>WA-189</t>
  </si>
  <si>
    <t>WB-189</t>
  </si>
  <si>
    <t>WA-190</t>
  </si>
  <si>
    <t>WB-190</t>
  </si>
  <si>
    <t>WA-191</t>
  </si>
  <si>
    <t>WB-191</t>
  </si>
  <si>
    <t>WA-192</t>
  </si>
  <si>
    <t>WB-192</t>
  </si>
  <si>
    <t>WA-193</t>
  </si>
  <si>
    <t>WB-193</t>
  </si>
  <si>
    <t>WA-194</t>
  </si>
  <si>
    <t>WB-194</t>
  </si>
  <si>
    <t>WA-195</t>
  </si>
  <si>
    <t>WB-195</t>
  </si>
  <si>
    <t>WA-196</t>
  </si>
  <si>
    <t>WB-196</t>
  </si>
  <si>
    <t>WA-197</t>
  </si>
  <si>
    <t>WB-197</t>
  </si>
  <si>
    <t>WA-198</t>
  </si>
  <si>
    <t>WB-198</t>
  </si>
  <si>
    <t>WA-199</t>
  </si>
  <si>
    <t>WB-199</t>
  </si>
  <si>
    <t>WA-200</t>
  </si>
  <si>
    <t>WB-200</t>
  </si>
  <si>
    <t>WA-201</t>
  </si>
  <si>
    <t>WB-201</t>
  </si>
  <si>
    <t>WA-202</t>
  </si>
  <si>
    <t>WB-202</t>
  </si>
  <si>
    <t>WA-203</t>
  </si>
  <si>
    <t>WB-203</t>
  </si>
  <si>
    <t>WA-204</t>
  </si>
  <si>
    <t>WB-204</t>
  </si>
  <si>
    <t>WA-205</t>
  </si>
  <si>
    <t>WB-205</t>
  </si>
  <si>
    <t>WA-206</t>
  </si>
  <si>
    <t>WB-206</t>
  </si>
  <si>
    <t>WA-207</t>
  </si>
  <si>
    <t>WB-207</t>
  </si>
  <si>
    <t>WA-208</t>
  </si>
  <si>
    <t>WB-208</t>
  </si>
  <si>
    <t>WA-209</t>
  </si>
  <si>
    <t>WB-209</t>
  </si>
  <si>
    <t>WA-210</t>
  </si>
  <si>
    <t>WB-210</t>
  </si>
  <si>
    <t>WA-211</t>
  </si>
  <si>
    <t>WB-211</t>
  </si>
  <si>
    <t>WA-212</t>
  </si>
  <si>
    <t>WB-212</t>
  </si>
  <si>
    <t>WA-213</t>
  </si>
  <si>
    <t>WB-213</t>
  </si>
  <si>
    <t>WA-214</t>
  </si>
  <si>
    <t>WB-214</t>
  </si>
  <si>
    <t>WA-215</t>
  </si>
  <si>
    <t>WB-215</t>
  </si>
  <si>
    <t>WA-216</t>
  </si>
  <si>
    <t>WB-216</t>
  </si>
  <si>
    <t>WA-217</t>
  </si>
  <si>
    <t>WB-217</t>
  </si>
  <si>
    <t>WA-218</t>
  </si>
  <si>
    <t>WB-218</t>
  </si>
  <si>
    <t>WA-219</t>
  </si>
  <si>
    <t>WB-219</t>
  </si>
  <si>
    <t>WA-220</t>
  </si>
  <si>
    <t>WB-220</t>
  </si>
  <si>
    <t>WA-221</t>
  </si>
  <si>
    <t>WB-221</t>
  </si>
  <si>
    <t>WA-222</t>
  </si>
  <si>
    <t>WB-222</t>
  </si>
  <si>
    <t>WA-223</t>
  </si>
  <si>
    <t>WB-223</t>
  </si>
  <si>
    <t>WA-224</t>
  </si>
  <si>
    <t>WB-224</t>
  </si>
  <si>
    <t>WA-225</t>
  </si>
  <si>
    <t>WB-225</t>
  </si>
  <si>
    <t>WA-226</t>
  </si>
  <si>
    <t>WB-226</t>
  </si>
  <si>
    <t>WA-227</t>
  </si>
  <si>
    <t>WB-227</t>
  </si>
  <si>
    <t>WA-228</t>
  </si>
  <si>
    <t>WB-228</t>
  </si>
  <si>
    <t>WA-229</t>
  </si>
  <si>
    <t>WB-229</t>
  </si>
  <si>
    <t>WA-230</t>
  </si>
  <si>
    <t>WB-230</t>
  </si>
  <si>
    <t>WA-231</t>
  </si>
  <si>
    <t>WB-231</t>
  </si>
  <si>
    <t>WA-232</t>
  </si>
  <si>
    <t>WB-232</t>
  </si>
  <si>
    <t>WA-233</t>
  </si>
  <si>
    <t>WB-233</t>
  </si>
  <si>
    <t>WA-234</t>
  </si>
  <si>
    <t>WB-234</t>
  </si>
  <si>
    <t>WA-235</t>
  </si>
  <si>
    <t>WB-235</t>
  </si>
  <si>
    <t>WA-236</t>
  </si>
  <si>
    <t>WB-236</t>
  </si>
  <si>
    <t>WA-237</t>
  </si>
  <si>
    <t>WB-237</t>
  </si>
  <si>
    <t>WA-238</t>
  </si>
  <si>
    <t>WB-238</t>
  </si>
  <si>
    <t>WA-239</t>
  </si>
  <si>
    <t>WB-239</t>
  </si>
  <si>
    <t>WA-240</t>
  </si>
  <si>
    <t>WB-240</t>
  </si>
  <si>
    <t>WA-241</t>
  </si>
  <si>
    <t>WB-241</t>
  </si>
  <si>
    <t>WA-242</t>
  </si>
  <si>
    <t>WB-242</t>
  </si>
  <si>
    <t>WA-243</t>
  </si>
  <si>
    <t>WB-243</t>
  </si>
  <si>
    <t>WA-244</t>
  </si>
  <si>
    <t>WB-244</t>
  </si>
  <si>
    <t>WA-245</t>
  </si>
  <si>
    <t>WB-245</t>
  </si>
  <si>
    <t>WA-246</t>
  </si>
  <si>
    <t>WB-246</t>
  </si>
  <si>
    <t>WA-247</t>
  </si>
  <si>
    <t>WB-247</t>
  </si>
  <si>
    <t>WA-248</t>
  </si>
  <si>
    <t>WB-248</t>
  </si>
  <si>
    <t>WA-249</t>
  </si>
  <si>
    <t>WB-249</t>
  </si>
  <si>
    <t>WA-250</t>
  </si>
  <si>
    <t>WB-250</t>
  </si>
  <si>
    <t>WA-251</t>
  </si>
  <si>
    <t>WB-251</t>
  </si>
  <si>
    <t>WA-252</t>
  </si>
  <si>
    <t>WB-252</t>
  </si>
  <si>
    <t>WA-253</t>
  </si>
  <si>
    <t>WB-253</t>
  </si>
  <si>
    <t>WA-254</t>
  </si>
  <si>
    <t>WB-254</t>
  </si>
  <si>
    <t>WA-255</t>
  </si>
  <si>
    <t>WB-255</t>
  </si>
  <si>
    <t>WA-256</t>
  </si>
  <si>
    <t>WB-256</t>
  </si>
  <si>
    <t>WA-257</t>
  </si>
  <si>
    <t>WB-257</t>
  </si>
  <si>
    <t>WA-258</t>
  </si>
  <si>
    <t>WB-258</t>
  </si>
  <si>
    <t>WA-259</t>
  </si>
  <si>
    <t>WB-259</t>
  </si>
  <si>
    <t>WA-260</t>
  </si>
  <si>
    <t>WB-260</t>
  </si>
  <si>
    <t>WA-261</t>
  </si>
  <si>
    <t>WB-261</t>
  </si>
  <si>
    <t>WA-262</t>
  </si>
  <si>
    <t>WB-262</t>
  </si>
  <si>
    <t>WA-263</t>
  </si>
  <si>
    <t>WB-263</t>
  </si>
  <si>
    <t>WA-264</t>
  </si>
  <si>
    <t>WB-264</t>
  </si>
  <si>
    <t>WA-265</t>
  </si>
  <si>
    <t>WB-265</t>
  </si>
  <si>
    <t>WA-266</t>
  </si>
  <si>
    <t>WA-267</t>
  </si>
  <si>
    <t>Total Rupie Costs for Weapon Bonus Unlocks</t>
  </si>
  <si>
    <t>WA-268</t>
  </si>
  <si>
    <t>WA-269</t>
  </si>
  <si>
    <t xml:space="preserve">Total Weapon Bonuses - Sword: </t>
  </si>
  <si>
    <t>WA-270</t>
  </si>
  <si>
    <t xml:space="preserve">Total Weapon Bonuses - Blade: </t>
  </si>
  <si>
    <t>WA-271</t>
  </si>
  <si>
    <t xml:space="preserve">Total Weapon Bonuses - Daggger: </t>
  </si>
  <si>
    <t>WA-272</t>
  </si>
  <si>
    <t xml:space="preserve">Total Weapon Bonuses - Axe: </t>
  </si>
  <si>
    <t>WA-273</t>
  </si>
  <si>
    <t xml:space="preserve">Total Weapon Bonuses - Lance: </t>
  </si>
  <si>
    <t>WA-274</t>
  </si>
  <si>
    <t xml:space="preserve">Total Weapon Bonuses- Bow: </t>
  </si>
  <si>
    <t>WA-275</t>
  </si>
  <si>
    <t xml:space="preserve">Total Weapon Bonuses - Wand: </t>
  </si>
  <si>
    <t>WA-276</t>
  </si>
  <si>
    <t xml:space="preserve">Total Weapon Bonuses - Staff: </t>
  </si>
  <si>
    <t>WA-277</t>
  </si>
  <si>
    <t xml:space="preserve">Total Weapon Bonuses - Manacaster: </t>
  </si>
  <si>
    <t>WA-278</t>
  </si>
  <si>
    <t>WA-279</t>
  </si>
  <si>
    <t>WA-280</t>
  </si>
  <si>
    <t>WA-281</t>
  </si>
  <si>
    <t>WA-282</t>
  </si>
  <si>
    <t>WA-283</t>
  </si>
  <si>
    <t>WA-284</t>
  </si>
  <si>
    <t>WA-285</t>
  </si>
  <si>
    <t>WA-286</t>
  </si>
  <si>
    <t>WA-287</t>
  </si>
  <si>
    <t>WA-288</t>
  </si>
  <si>
    <t>WA-289</t>
  </si>
  <si>
    <t>WA-290</t>
  </si>
  <si>
    <t>WA-291</t>
  </si>
  <si>
    <t>WA-292</t>
  </si>
  <si>
    <t>WA-293</t>
  </si>
  <si>
    <t>WA-294</t>
  </si>
  <si>
    <t>WA-295</t>
  </si>
  <si>
    <t>WA-296</t>
  </si>
  <si>
    <t>WA-297</t>
  </si>
  <si>
    <t>WA-298</t>
  </si>
  <si>
    <t>WA-299</t>
  </si>
  <si>
    <t>WA-300</t>
  </si>
  <si>
    <t>WA-301</t>
  </si>
  <si>
    <t>WA-302</t>
  </si>
  <si>
    <t>WA-303</t>
  </si>
  <si>
    <t>WA-304</t>
  </si>
  <si>
    <t>WA-305</t>
  </si>
  <si>
    <t>WA-306</t>
  </si>
  <si>
    <t>WA-307</t>
  </si>
  <si>
    <t>WA-308</t>
  </si>
  <si>
    <t>WA-309</t>
  </si>
  <si>
    <t>WA-310</t>
  </si>
  <si>
    <t>WA-311</t>
  </si>
  <si>
    <t>WA-312</t>
  </si>
  <si>
    <t>WA-313</t>
  </si>
  <si>
    <t>WA-314</t>
  </si>
  <si>
    <t>WA-315</t>
  </si>
  <si>
    <t>WA-316</t>
  </si>
  <si>
    <t>WA-317</t>
  </si>
  <si>
    <t>WA-318</t>
  </si>
  <si>
    <t>WA-319</t>
  </si>
  <si>
    <t>WA-320</t>
  </si>
  <si>
    <t>WA-321</t>
  </si>
  <si>
    <t>WA-322</t>
  </si>
  <si>
    <t>WA-323</t>
  </si>
  <si>
    <t>WA-324</t>
  </si>
  <si>
    <t>WA-325</t>
  </si>
  <si>
    <t>WA-326</t>
  </si>
  <si>
    <t>WA-327</t>
  </si>
  <si>
    <t>WA-328</t>
  </si>
  <si>
    <t>WA-329</t>
  </si>
  <si>
    <t>WA-330</t>
  </si>
  <si>
    <t>WA-331</t>
  </si>
  <si>
    <t>WA-332</t>
  </si>
  <si>
    <t>WA-333</t>
  </si>
  <si>
    <t>WA-334</t>
  </si>
  <si>
    <t>WA-335</t>
  </si>
  <si>
    <t>WA-336</t>
  </si>
  <si>
    <t>WA-337</t>
  </si>
  <si>
    <t>WA-338</t>
  </si>
  <si>
    <t>WA-339</t>
  </si>
  <si>
    <t>WA-340</t>
  </si>
  <si>
    <t>WA-341</t>
  </si>
  <si>
    <t>WA-342</t>
  </si>
  <si>
    <t>WA-343</t>
  </si>
  <si>
    <t>WA-344</t>
  </si>
  <si>
    <t>WA-345</t>
  </si>
  <si>
    <t>WA-346</t>
  </si>
  <si>
    <t>WA-347</t>
  </si>
  <si>
    <t>WA-348</t>
  </si>
  <si>
    <t>WA-349</t>
  </si>
  <si>
    <t>WA-350</t>
  </si>
  <si>
    <t>WA-351</t>
  </si>
  <si>
    <t>WA-352</t>
  </si>
  <si>
    <t>WA-353</t>
  </si>
  <si>
    <t>WA-354</t>
  </si>
  <si>
    <t>WA-355</t>
  </si>
  <si>
    <t>WA-356</t>
  </si>
  <si>
    <t>WA-357</t>
  </si>
  <si>
    <t>WA-358</t>
  </si>
  <si>
    <t>WA-359</t>
  </si>
  <si>
    <t>WA-360</t>
  </si>
  <si>
    <t>WA-361</t>
  </si>
  <si>
    <t>WA-362</t>
  </si>
  <si>
    <t>WA-363</t>
  </si>
  <si>
    <t>WA-364</t>
  </si>
  <si>
    <t>WA-365</t>
  </si>
  <si>
    <t>WA-366</t>
  </si>
  <si>
    <t>WA-367</t>
  </si>
  <si>
    <t>WA-368</t>
  </si>
  <si>
    <t>WA-369</t>
  </si>
  <si>
    <t>WA-370</t>
  </si>
  <si>
    <t>WA-371</t>
  </si>
  <si>
    <t>WA-372</t>
  </si>
  <si>
    <t>WA-373</t>
  </si>
  <si>
    <t>WA-374</t>
  </si>
  <si>
    <t>WA-375</t>
  </si>
  <si>
    <t>WA-376</t>
  </si>
  <si>
    <t>WA-377</t>
  </si>
  <si>
    <t>WA-378</t>
  </si>
  <si>
    <t>WA-379</t>
  </si>
  <si>
    <t>WA-380</t>
  </si>
  <si>
    <t>WA-381</t>
  </si>
  <si>
    <t>WA-382</t>
  </si>
  <si>
    <t>WA-383</t>
  </si>
  <si>
    <t>WA-384</t>
  </si>
  <si>
    <t>WA-385</t>
  </si>
  <si>
    <t>WA-386</t>
  </si>
  <si>
    <t>WA-387</t>
  </si>
  <si>
    <t>WA-388</t>
  </si>
  <si>
    <t>WA-389</t>
  </si>
  <si>
    <t>WA-390</t>
  </si>
  <si>
    <t>WA-391</t>
  </si>
  <si>
    <t>WA-392</t>
  </si>
  <si>
    <t>WA-393</t>
  </si>
  <si>
    <t>WA-394</t>
  </si>
  <si>
    <t>WA-395</t>
  </si>
  <si>
    <t>WA-396</t>
  </si>
  <si>
    <t>WA-397</t>
  </si>
  <si>
    <t>WA-398</t>
  </si>
  <si>
    <t>WA-399</t>
  </si>
  <si>
    <t>WA-400</t>
  </si>
  <si>
    <t>WA-401</t>
  </si>
  <si>
    <t>WA-402</t>
  </si>
  <si>
    <t>WA-403</t>
  </si>
  <si>
    <t>WA-404</t>
  </si>
  <si>
    <t>WA-405</t>
  </si>
  <si>
    <t>WA-406</t>
  </si>
  <si>
    <t>WA-407</t>
  </si>
  <si>
    <t>WA-408</t>
  </si>
  <si>
    <t>WA-409</t>
  </si>
  <si>
    <t>WA-410</t>
  </si>
  <si>
    <t>WA-411</t>
  </si>
  <si>
    <t>WA-412</t>
  </si>
  <si>
    <t>WA-413</t>
  </si>
  <si>
    <t>WA-414</t>
  </si>
  <si>
    <t>WA-415</t>
  </si>
  <si>
    <t>WA-416</t>
  </si>
  <si>
    <t>WA-417</t>
  </si>
  <si>
    <t>WA-418</t>
  </si>
  <si>
    <t>WA-419</t>
  </si>
  <si>
    <t>WA-420</t>
  </si>
  <si>
    <t>WA-421</t>
  </si>
  <si>
    <t>WA-422</t>
  </si>
  <si>
    <t>WA-423</t>
  </si>
  <si>
    <t>WA-424</t>
  </si>
  <si>
    <t>WA-425</t>
  </si>
  <si>
    <t>WA-426</t>
  </si>
  <si>
    <t>WA-427</t>
  </si>
  <si>
    <t>WA-428</t>
  </si>
  <si>
    <t>WA-429</t>
  </si>
  <si>
    <t>WA-430</t>
  </si>
  <si>
    <t>WA-431</t>
  </si>
  <si>
    <t>WA-432</t>
  </si>
  <si>
    <t>WA-433</t>
  </si>
  <si>
    <t>WA-434</t>
  </si>
  <si>
    <t>WA-435</t>
  </si>
  <si>
    <t>WA-436</t>
  </si>
  <si>
    <t>WA-437</t>
  </si>
  <si>
    <t>WA-438</t>
  </si>
  <si>
    <t>WA-439</t>
  </si>
  <si>
    <t>WA-440</t>
  </si>
  <si>
    <t>WA-441</t>
  </si>
  <si>
    <t>WA-442</t>
  </si>
  <si>
    <t>WA-443</t>
  </si>
  <si>
    <t>WA-444</t>
  </si>
  <si>
    <t>WA-445</t>
  </si>
  <si>
    <t>WA-446</t>
  </si>
  <si>
    <t>WA-447</t>
  </si>
  <si>
    <t>WA-448</t>
  </si>
  <si>
    <t>WA-449</t>
  </si>
  <si>
    <t>WA-450</t>
  </si>
  <si>
    <t>WA-451</t>
  </si>
  <si>
    <t>WA-452</t>
  </si>
  <si>
    <t>WA-453</t>
  </si>
  <si>
    <t>WA-454</t>
  </si>
  <si>
    <t>WA-455</t>
  </si>
  <si>
    <t>WA-456</t>
  </si>
  <si>
    <t>WA-457</t>
  </si>
  <si>
    <t>WA-458</t>
  </si>
  <si>
    <t>WA-459</t>
  </si>
  <si>
    <t>WA-460</t>
  </si>
  <si>
    <t>WA-461</t>
  </si>
  <si>
    <t>WA-462</t>
  </si>
  <si>
    <t>WA-463</t>
  </si>
  <si>
    <t>WA-464</t>
  </si>
  <si>
    <t>WA-465</t>
  </si>
  <si>
    <t>WA-466</t>
  </si>
  <si>
    <t>WA-467</t>
  </si>
  <si>
    <t>WA-468</t>
  </si>
  <si>
    <t>WA-469</t>
  </si>
  <si>
    <t>WA-470</t>
  </si>
  <si>
    <t>WA-471</t>
  </si>
  <si>
    <t>WA-472</t>
  </si>
  <si>
    <t>WA-473</t>
  </si>
  <si>
    <t>WA-474</t>
  </si>
  <si>
    <t>WA-475</t>
  </si>
  <si>
    <t>WA-476</t>
  </si>
  <si>
    <t>WA-477</t>
  </si>
  <si>
    <t>WA-478</t>
  </si>
  <si>
    <t>WA-479</t>
  </si>
  <si>
    <t>WA-480</t>
  </si>
  <si>
    <t>WA-481</t>
  </si>
  <si>
    <t>WA-482</t>
  </si>
  <si>
    <t>WA-483</t>
  </si>
  <si>
    <t>WA-484</t>
  </si>
  <si>
    <t>WA-485</t>
  </si>
  <si>
    <t>WA-486</t>
  </si>
  <si>
    <t>WA-487</t>
  </si>
  <si>
    <t>WA-488</t>
  </si>
  <si>
    <t>WA-489</t>
  </si>
  <si>
    <t>WA-490</t>
  </si>
  <si>
    <t>WA-491</t>
  </si>
  <si>
    <t>WA-492</t>
  </si>
  <si>
    <t>WA-493</t>
  </si>
  <si>
    <t>WA-494</t>
  </si>
  <si>
    <t>WA-495</t>
  </si>
  <si>
    <t>WA-496</t>
  </si>
  <si>
    <t>WA-497</t>
  </si>
  <si>
    <t>WA-498</t>
  </si>
  <si>
    <t>WA-499</t>
  </si>
  <si>
    <t>WA-500</t>
  </si>
  <si>
    <t>WA-501</t>
  </si>
  <si>
    <t>WA-502</t>
  </si>
  <si>
    <t>WA-503</t>
  </si>
  <si>
    <t>WA-504</t>
  </si>
  <si>
    <t>WA-505</t>
  </si>
  <si>
    <t>WA-506</t>
  </si>
  <si>
    <t>WA-507</t>
  </si>
  <si>
    <t>WA-508</t>
  </si>
  <si>
    <t>WA-509</t>
  </si>
  <si>
    <t>WA-510</t>
  </si>
  <si>
    <t>WA-511</t>
  </si>
  <si>
    <t>WA-512</t>
  </si>
  <si>
    <t>WA-513</t>
  </si>
  <si>
    <t>WA-514</t>
  </si>
  <si>
    <t>WA-515</t>
  </si>
  <si>
    <t>WA-516</t>
  </si>
  <si>
    <t>WA-517</t>
  </si>
  <si>
    <t>WA-518</t>
  </si>
  <si>
    <t>WA-519</t>
  </si>
  <si>
    <t>WA-520</t>
  </si>
  <si>
    <t>WA-521</t>
  </si>
  <si>
    <t>WA-522</t>
  </si>
  <si>
    <t>WA-523</t>
  </si>
  <si>
    <t>WA-524</t>
  </si>
  <si>
    <t>WA-525</t>
  </si>
  <si>
    <t>WA-526</t>
  </si>
  <si>
    <t>WA-527</t>
  </si>
  <si>
    <t>WA-528</t>
  </si>
  <si>
    <t>WA-529</t>
  </si>
  <si>
    <t>WA-530</t>
  </si>
  <si>
    <t>WA-531</t>
  </si>
  <si>
    <t>WA-532</t>
  </si>
  <si>
    <t>WA-533</t>
  </si>
  <si>
    <t>WA-534</t>
  </si>
  <si>
    <t>WA-535</t>
  </si>
  <si>
    <t>WA-536</t>
  </si>
  <si>
    <t>WA-537</t>
  </si>
  <si>
    <t>WA-538</t>
  </si>
  <si>
    <t>WA-539</t>
  </si>
  <si>
    <t>WA-540</t>
  </si>
  <si>
    <t>WA-541</t>
  </si>
  <si>
    <t>WA-542</t>
  </si>
  <si>
    <t>WA-543</t>
  </si>
  <si>
    <t>WA-544</t>
  </si>
  <si>
    <t>WA-545</t>
  </si>
  <si>
    <t>WA-546</t>
  </si>
  <si>
    <t>WA-547</t>
  </si>
  <si>
    <t>WA-548</t>
  </si>
  <si>
    <t>WA-549</t>
  </si>
  <si>
    <t>WA-550</t>
  </si>
  <si>
    <t>WA-551</t>
  </si>
  <si>
    <t>WA-552</t>
  </si>
  <si>
    <t>WA-553</t>
  </si>
  <si>
    <t>WA-554</t>
  </si>
  <si>
    <t>WA-555</t>
  </si>
  <si>
    <t>WA-556</t>
  </si>
  <si>
    <t>WA-557</t>
  </si>
  <si>
    <t>WA-558</t>
  </si>
  <si>
    <t>WA-559</t>
  </si>
  <si>
    <t>WA-560</t>
  </si>
  <si>
    <t>WA-561</t>
  </si>
  <si>
    <t>WA-562</t>
  </si>
  <si>
    <t>WA-563</t>
  </si>
  <si>
    <t>WA-564</t>
  </si>
  <si>
    <t>WA-565</t>
  </si>
  <si>
    <t>WA-566</t>
  </si>
  <si>
    <t>WA-567</t>
  </si>
  <si>
    <t>WA-568</t>
  </si>
  <si>
    <t>WA-569</t>
  </si>
  <si>
    <t>WA-570</t>
  </si>
  <si>
    <t>WA-571</t>
  </si>
  <si>
    <t>WA-572</t>
  </si>
  <si>
    <t>WA-573</t>
  </si>
  <si>
    <t>WA-574</t>
  </si>
  <si>
    <t>WA-575</t>
  </si>
  <si>
    <t>WA-576</t>
  </si>
  <si>
    <t>WA-577</t>
  </si>
  <si>
    <t>WA-578</t>
  </si>
  <si>
    <t>WA-579</t>
  </si>
  <si>
    <t>WA-580</t>
  </si>
  <si>
    <t>WA-581</t>
  </si>
  <si>
    <t>WA-582</t>
  </si>
  <si>
    <t>WA-583</t>
  </si>
  <si>
    <t>WA-584</t>
  </si>
  <si>
    <t>WA-585</t>
  </si>
  <si>
    <t>WA-586</t>
  </si>
  <si>
    <t>WA-587</t>
  </si>
  <si>
    <t>WA-588</t>
  </si>
  <si>
    <t>WA-589</t>
  </si>
  <si>
    <t>WA-590</t>
  </si>
  <si>
    <t>WA-591</t>
  </si>
  <si>
    <t>WA-592</t>
  </si>
  <si>
    <t>WA-593</t>
  </si>
  <si>
    <t>WA-594</t>
  </si>
  <si>
    <t>WA-595</t>
  </si>
  <si>
    <t>WA-596</t>
  </si>
  <si>
    <t>WA-597</t>
  </si>
  <si>
    <t>WA-598</t>
  </si>
  <si>
    <t>WA-599</t>
  </si>
  <si>
    <t>WA-600</t>
  </si>
  <si>
    <t>WA-601</t>
  </si>
  <si>
    <t>WA-602</t>
  </si>
  <si>
    <t>WA-603</t>
  </si>
  <si>
    <t>WA-604</t>
  </si>
  <si>
    <t>WA-605</t>
  </si>
  <si>
    <t>WA-606</t>
  </si>
  <si>
    <t>WA-607</t>
  </si>
  <si>
    <t>WA-608</t>
  </si>
  <si>
    <t>WA-609</t>
  </si>
  <si>
    <t>WA-610</t>
  </si>
  <si>
    <t>WA-611</t>
  </si>
  <si>
    <t>WA-612</t>
  </si>
  <si>
    <t>WA-613</t>
  </si>
  <si>
    <t>WA-614</t>
  </si>
  <si>
    <t>WA-615</t>
  </si>
  <si>
    <t>WA-616</t>
  </si>
  <si>
    <t>WA-617</t>
  </si>
  <si>
    <t>WA-618</t>
  </si>
  <si>
    <t>WA-619</t>
  </si>
  <si>
    <t>WA-620</t>
  </si>
  <si>
    <t>WA-621</t>
  </si>
  <si>
    <t>WA-622</t>
  </si>
  <si>
    <t>WA-623</t>
  </si>
  <si>
    <t>WA-624</t>
  </si>
  <si>
    <t>WA-625</t>
  </si>
  <si>
    <t>WA-626</t>
  </si>
  <si>
    <t>WA-627</t>
  </si>
  <si>
    <t>WA-628</t>
  </si>
  <si>
    <t>WA-629</t>
  </si>
  <si>
    <t>WA-630</t>
  </si>
  <si>
    <t>WA-631</t>
  </si>
  <si>
    <t>WA-632</t>
  </si>
  <si>
    <t>WA-633</t>
  </si>
  <si>
    <t>WA-634</t>
  </si>
  <si>
    <t>WA-635</t>
  </si>
  <si>
    <t>WA-636</t>
  </si>
  <si>
    <t>WA-637</t>
  </si>
  <si>
    <t>WA-638</t>
  </si>
  <si>
    <t>WA-639</t>
  </si>
  <si>
    <t>WA-640</t>
  </si>
  <si>
    <t>WA-641</t>
  </si>
  <si>
    <t>WA-642</t>
  </si>
  <si>
    <t>WA-643</t>
  </si>
  <si>
    <t>WA-644</t>
  </si>
  <si>
    <t>WA-645</t>
  </si>
  <si>
    <t>WA-646</t>
  </si>
  <si>
    <t>WA-647</t>
  </si>
  <si>
    <t>WA-648</t>
  </si>
  <si>
    <t>WA-649</t>
  </si>
  <si>
    <t>WA-650</t>
  </si>
  <si>
    <t>WA-651</t>
  </si>
  <si>
    <t>WA-652</t>
  </si>
  <si>
    <t>WA-653</t>
  </si>
  <si>
    <t>WA-654</t>
  </si>
  <si>
    <t>WA-655</t>
  </si>
  <si>
    <t>WA-656</t>
  </si>
  <si>
    <t>WA-657</t>
  </si>
  <si>
    <t>WA-658</t>
  </si>
  <si>
    <t>WA-659</t>
  </si>
  <si>
    <t>WA-660</t>
  </si>
  <si>
    <t>WA-661</t>
  </si>
  <si>
    <t>WA-662</t>
  </si>
  <si>
    <t>WA-663</t>
  </si>
  <si>
    <t>WA-664</t>
  </si>
  <si>
    <t>WA-665</t>
  </si>
  <si>
    <t>WA-666</t>
  </si>
  <si>
    <t>WA-667</t>
  </si>
  <si>
    <t>WA-668</t>
  </si>
  <si>
    <t>WA-669</t>
  </si>
  <si>
    <t>WA-670</t>
  </si>
  <si>
    <t>WA-671</t>
  </si>
  <si>
    <t>WA-672</t>
  </si>
  <si>
    <t>WA-673</t>
  </si>
  <si>
    <t>WA-674</t>
  </si>
  <si>
    <t>WA-675</t>
  </si>
  <si>
    <t>WA-676</t>
  </si>
  <si>
    <t>WA-677</t>
  </si>
  <si>
    <t>WA-678</t>
  </si>
  <si>
    <t>WA-679</t>
  </si>
  <si>
    <t>WA-680</t>
  </si>
  <si>
    <t>WA-681</t>
  </si>
  <si>
    <t>WA-682</t>
  </si>
  <si>
    <t>WA-683</t>
  </si>
  <si>
    <t>WA-684</t>
  </si>
  <si>
    <t>WA-685</t>
  </si>
  <si>
    <t>WA-686</t>
  </si>
  <si>
    <t>WA-687</t>
  </si>
  <si>
    <t>WA-688</t>
  </si>
  <si>
    <t>WA-689</t>
  </si>
  <si>
    <t>WA-690</t>
  </si>
  <si>
    <t>WA-691</t>
  </si>
  <si>
    <t>WA-692</t>
  </si>
  <si>
    <t>WA-693</t>
  </si>
  <si>
    <t>WA-694</t>
  </si>
  <si>
    <t>WA-695</t>
  </si>
  <si>
    <t>WA-696</t>
  </si>
  <si>
    <t>WA-697</t>
  </si>
  <si>
    <t>WA-698</t>
  </si>
  <si>
    <t>WA-699</t>
  </si>
  <si>
    <t>WA-700</t>
  </si>
  <si>
    <t>WA-701</t>
  </si>
  <si>
    <t>WA-702</t>
  </si>
  <si>
    <t>WA-703</t>
  </si>
  <si>
    <t>WA-704</t>
  </si>
  <si>
    <t>WA-705</t>
  </si>
  <si>
    <t>WA-706</t>
  </si>
  <si>
    <t>WA-707</t>
  </si>
  <si>
    <t>WA-708</t>
  </si>
  <si>
    <t>WA-709</t>
  </si>
  <si>
    <t>WA-710</t>
  </si>
  <si>
    <t>WA-711</t>
  </si>
  <si>
    <t>WA-712</t>
  </si>
  <si>
    <t>WA-713</t>
  </si>
  <si>
    <t>WA-714</t>
  </si>
  <si>
    <t>WA-715</t>
  </si>
  <si>
    <t>WA-716</t>
  </si>
  <si>
    <t>WA-717</t>
  </si>
  <si>
    <t>WA-718</t>
  </si>
  <si>
    <t>WA-719</t>
  </si>
  <si>
    <t>WA-720</t>
  </si>
  <si>
    <t>WA-721</t>
  </si>
  <si>
    <t>WA-722</t>
  </si>
  <si>
    <t>WA-723</t>
  </si>
  <si>
    <t>WA-724</t>
  </si>
  <si>
    <t>WA-725</t>
  </si>
  <si>
    <t>WA-726</t>
  </si>
  <si>
    <t>WA-727</t>
  </si>
  <si>
    <t>WA-728</t>
  </si>
  <si>
    <t>WA-729</t>
  </si>
  <si>
    <t>WA-730</t>
  </si>
  <si>
    <t>WA-731</t>
  </si>
  <si>
    <t>WA-732</t>
  </si>
  <si>
    <t>WA-733</t>
  </si>
  <si>
    <t>WA-734</t>
  </si>
  <si>
    <t>WA-735</t>
  </si>
  <si>
    <t>WA-736</t>
  </si>
  <si>
    <t>WA-737</t>
  </si>
  <si>
    <t>WA-738</t>
  </si>
  <si>
    <t>WA-739</t>
  </si>
  <si>
    <t>WA-740</t>
  </si>
  <si>
    <t>WA-741</t>
  </si>
  <si>
    <t>WA-742</t>
  </si>
  <si>
    <t>WA-743</t>
  </si>
  <si>
    <t>WA-744</t>
  </si>
  <si>
    <t>WA-745</t>
  </si>
  <si>
    <t>WA-746</t>
  </si>
  <si>
    <t>WA-747</t>
  </si>
  <si>
    <t>WA-748</t>
  </si>
  <si>
    <t>WA-749</t>
  </si>
  <si>
    <t>WA-750</t>
  </si>
  <si>
    <t>WA-751</t>
  </si>
  <si>
    <t>WA-752</t>
  </si>
  <si>
    <t>WA-753</t>
  </si>
  <si>
    <t>WA-754</t>
  </si>
  <si>
    <t>WA-755</t>
  </si>
  <si>
    <t>WA-756</t>
  </si>
  <si>
    <t>WA-757</t>
  </si>
  <si>
    <t>WA-758</t>
  </si>
  <si>
    <t>WA-759</t>
  </si>
  <si>
    <t>WA-760</t>
  </si>
  <si>
    <t>WA-761</t>
  </si>
  <si>
    <t>WA-762</t>
  </si>
  <si>
    <t>WA-763</t>
  </si>
  <si>
    <t>WA-764</t>
  </si>
  <si>
    <t>WA-765</t>
  </si>
  <si>
    <t>Total Rupie Costs for Weapon Ability Upgrades</t>
  </si>
  <si>
    <t>Lv.</t>
  </si>
  <si>
    <t>Material</t>
  </si>
  <si>
    <t>HP+</t>
  </si>
  <si>
    <t>STR+</t>
  </si>
  <si>
    <t>HP Total</t>
  </si>
  <si>
    <t>STR Total</t>
  </si>
  <si>
    <t>HP Clean</t>
  </si>
  <si>
    <t>STR Clean</t>
  </si>
  <si>
    <t>Source</t>
  </si>
  <si>
    <t>Gain</t>
  </si>
  <si>
    <t>Bonus</t>
  </si>
  <si>
    <t>Skin</t>
  </si>
  <si>
    <t>Note</t>
  </si>
  <si>
    <t>Core Base</t>
  </si>
  <si>
    <t>Tutorial</t>
  </si>
  <si>
    <t>1★ Core Skin</t>
  </si>
  <si>
    <t>Starting Weapon</t>
  </si>
  <si>
    <t>Clear Chapter 2</t>
  </si>
  <si>
    <t>3★ Core Skill</t>
  </si>
  <si>
    <t>3★ Core Skin 1 &amp; 2</t>
  </si>
  <si>
    <t>Max 3-Star Core Weapon</t>
  </si>
  <si>
    <t>Clear Chapter 4</t>
  </si>
  <si>
    <t>4★ Core Skill</t>
  </si>
  <si>
    <t>4★ Core Skin 1 &amp; 2</t>
  </si>
  <si>
    <t>Max 4-Star Core Weapon</t>
  </si>
  <si>
    <t>Clear Chapter 6</t>
  </si>
  <si>
    <t>5★ Core Skill</t>
  </si>
  <si>
    <t>5★ Core Skin 1 &amp; 2</t>
  </si>
  <si>
    <t>Max 5-Star Core Weapon</t>
  </si>
  <si>
    <t>After finishing the Core Base weapon family, the player will be able to craft Elemental Weapons. Once crafted, progression for these weapons is non-linear.</t>
  </si>
  <si>
    <t>Elemental</t>
  </si>
  <si>
    <t>The Imperial Onslaught (Standard)</t>
  </si>
  <si>
    <t>Element Core Skill &amp; Gold Wyrmprint Slot #3</t>
  </si>
  <si>
    <t>3★ Element Skin</t>
  </si>
  <si>
    <t>Starting stats are based on Max 5-Star Core Weapon</t>
  </si>
  <si>
    <t>The Imperial Onslaught (Expert)</t>
  </si>
  <si>
    <t>Weapon Bonus</t>
  </si>
  <si>
    <t>4★ Element Skin, 5★ Element Skin</t>
  </si>
  <si>
    <t>A</t>
  </si>
  <si>
    <t>Void Skin A</t>
  </si>
  <si>
    <t>Can craft after maxing out Elemental Core weapons, no upfront material costs</t>
  </si>
  <si>
    <t>B</t>
  </si>
  <si>
    <t>Shroom Strikes</t>
  </si>
  <si>
    <t>Void Skin B</t>
  </si>
  <si>
    <t>The allocation of Void Weapon Abilities is based partially on conjecture, but partially just a guess.</t>
  </si>
  <si>
    <t>C</t>
  </si>
  <si>
    <t>D</t>
  </si>
  <si>
    <t>Ghost Strikes</t>
  </si>
  <si>
    <t>Void Skin C</t>
  </si>
  <si>
    <t>E</t>
  </si>
  <si>
    <t>F</t>
  </si>
  <si>
    <t>Hermit Strikes</t>
  </si>
  <si>
    <t>Void Skin D</t>
  </si>
  <si>
    <t>G</t>
  </si>
  <si>
    <t>H</t>
  </si>
  <si>
    <t>Golem Strikes</t>
  </si>
  <si>
    <t>[Void Dragon Effect] Res</t>
  </si>
  <si>
    <t>Void Skin E</t>
  </si>
  <si>
    <t>I</t>
  </si>
  <si>
    <t>DEF +10% (Nihility Immune)</t>
  </si>
  <si>
    <t>Based on Light, Shadow, and Water void weapon ability. Expanded from 8% to 10% and removed HP limit.</t>
  </si>
  <si>
    <t>J</t>
  </si>
  <si>
    <t>Catoblepas Strikes</t>
  </si>
  <si>
    <t>Void Skin F</t>
  </si>
  <si>
    <t>K</t>
  </si>
  <si>
    <t>Flame and Wind void weapons had this ability. Now every weapon has this ability.</t>
  </si>
  <si>
    <t>L</t>
  </si>
  <si>
    <t>Phantom Strikes</t>
  </si>
  <si>
    <t>Void Skin G</t>
  </si>
  <si>
    <t>M</t>
  </si>
  <si>
    <t>Manticore Strikes</t>
  </si>
  <si>
    <t>Based on recovery potency boost of light and shadow staves.</t>
  </si>
  <si>
    <t>O</t>
  </si>
  <si>
    <t>Astral's Bane +60%</t>
  </si>
  <si>
    <t>Useless, but there is no alternative to add</t>
  </si>
  <si>
    <t>P</t>
  </si>
  <si>
    <t>Void Dragon Strikes (Standard)</t>
  </si>
  <si>
    <t>Q</t>
  </si>
  <si>
    <t>Void Dragon Strikes (Expert)</t>
  </si>
  <si>
    <t>Chimera Strikes (Standard)</t>
  </si>
  <si>
    <t>Unyielding Offense +4%</t>
  </si>
  <si>
    <t>Chimeratech Skin</t>
  </si>
  <si>
    <t>Chimera Strikes (Expert)</t>
  </si>
  <si>
    <t>High Dragon</t>
  </si>
  <si>
    <t>Advanced Dragon Trials (Expert)</t>
  </si>
  <si>
    <t>HDW Skill</t>
  </si>
  <si>
    <t>Advanced Dragon Trials (Master)</t>
  </si>
  <si>
    <t>HDW Skin</t>
  </si>
  <si>
    <t>STR boost stems is based on Max HDT Weapons</t>
  </si>
  <si>
    <t>The Agito Uprising (Expert)</t>
  </si>
  <si>
    <t>Agito Skill</t>
  </si>
  <si>
    <t>Agito Skin</t>
  </si>
  <si>
    <t>The Agito Uprising (Master)</t>
  </si>
  <si>
    <t>Combo Time +1</t>
  </si>
  <si>
    <t>The Agito Uprising (Legend)</t>
  </si>
  <si>
    <t>Agito Legend Skin</t>
  </si>
  <si>
    <t>Rise of the Sinister Dominion (Standard)</t>
  </si>
  <si>
    <t>Green Wyrmprint Slot #1</t>
  </si>
  <si>
    <t>Carried over from Agito Weapons, not Primmal Dragon weapons</t>
  </si>
  <si>
    <t>Rise of the Sinister Dominion (Expert)</t>
  </si>
  <si>
    <t>Green Wyrmprint Slot #2</t>
  </si>
  <si>
    <t>Primal Dragon Trials (Expert)</t>
  </si>
  <si>
    <t>PDW Skill</t>
  </si>
  <si>
    <t>PDW Skin</t>
  </si>
  <si>
    <t>Primal Dragon Trials (Master)</t>
  </si>
  <si>
    <t>Combo Time +2.5</t>
  </si>
  <si>
    <t>Total Rupies</t>
  </si>
  <si>
    <t>All 45 Types</t>
  </si>
  <si>
    <t>Rupies for Facilities</t>
  </si>
  <si>
    <t>Rupies Needed</t>
  </si>
  <si>
    <t>Endgame Quests (5*3*4)</t>
  </si>
  <si>
    <t>9 Runs</t>
  </si>
  <si>
    <t>100k Rupies Per Runs</t>
  </si>
  <si>
    <t>TotM Quests (Master)</t>
  </si>
  <si>
    <t>1 Million Rupies per 69 Event</t>
  </si>
  <si>
    <t>Clear Story CH 7-26 (Normal)</t>
  </si>
  <si>
    <t>1 Million Rupies per Clear</t>
  </si>
  <si>
    <t>Clear Story CH 1-26 (Hard)</t>
  </si>
  <si>
    <t>Clear Story CH 1-26 (Very Hard)</t>
  </si>
  <si>
    <t>Affinity</t>
  </si>
  <si>
    <t>Obtain From</t>
  </si>
  <si>
    <t>V3 Re;Works Wyrmprint Revisions</t>
  </si>
  <si>
    <t>Dragalia Lost V3 Re;Works Wyrmprint Revisions</t>
  </si>
  <si>
    <t>ORIGINAL</t>
  </si>
  <si>
    <t>V3 Re;Works</t>
  </si>
  <si>
    <t>Date</t>
  </si>
  <si>
    <t>Condition</t>
  </si>
  <si>
    <t>Ability Base</t>
  </si>
  <si>
    <t>%</t>
  </si>
  <si>
    <t>Ability Base V3</t>
  </si>
  <si>
    <t>Ability V3</t>
  </si>
  <si>
    <t>Detail</t>
  </si>
  <si>
    <t>Obtain Source</t>
  </si>
  <si>
    <t>Difficulty</t>
  </si>
  <si>
    <t>WP-001</t>
  </si>
  <si>
    <t>Crown of Light (Serpent's Boon)</t>
  </si>
  <si>
    <t>Serpent</t>
  </si>
  <si>
    <t>MAIN</t>
  </si>
  <si>
    <t>Rise of the Sinister Dominion</t>
  </si>
  <si>
    <t>WP-002</t>
  </si>
  <si>
    <t>Tutelary's Destiny (Wolf's Boon)</t>
  </si>
  <si>
    <t>Wolf</t>
  </si>
  <si>
    <t>WP-003</t>
  </si>
  <si>
    <t>Her Beloved (Sword's Boon)</t>
  </si>
  <si>
    <t>WP-004</t>
  </si>
  <si>
    <t>Mask of Determination (Lance's Boon)</t>
  </si>
  <si>
    <t>Critical Rate</t>
  </si>
  <si>
    <t>WP-005</t>
  </si>
  <si>
    <t>Her Beloved (Crown's Boon)</t>
  </si>
  <si>
    <t>Crown</t>
  </si>
  <si>
    <t>WP-006</t>
  </si>
  <si>
    <t>Mask of Determination (Bow's Boon)</t>
  </si>
  <si>
    <t>WP-007</t>
  </si>
  <si>
    <t>"A Knight's Dream" (Axe's Boon)</t>
  </si>
  <si>
    <t>WP-008</t>
  </si>
  <si>
    <t>Wind of Oaths (Eagle's Boon)</t>
  </si>
  <si>
    <t>Eagle</t>
  </si>
  <si>
    <t>Skill Haste</t>
  </si>
  <si>
    <t>WP-009</t>
  </si>
  <si>
    <t>Beneath the Boughs (Wolf's Boon)</t>
  </si>
  <si>
    <t>WP-010</t>
  </si>
  <si>
    <t>Savage Hawk (Bow's Boon)</t>
  </si>
  <si>
    <t>Stormlashed Punisher</t>
  </si>
  <si>
    <t>WP-011</t>
  </si>
  <si>
    <t>Beneath the Boughs (Staff's Boon)</t>
  </si>
  <si>
    <t>WP-012</t>
  </si>
  <si>
    <t>Savage Hawk (Lance's Boon)</t>
  </si>
  <si>
    <t>WP-013</t>
  </si>
  <si>
    <t>A Mercenary's Pride (Eagle's Boon)</t>
  </si>
  <si>
    <t>WP-014</t>
  </si>
  <si>
    <t>Recital Invitation (Bull's Boon)</t>
  </si>
  <si>
    <t>Bull</t>
  </si>
  <si>
    <t>WP-015</t>
  </si>
  <si>
    <t>Thunderswift Lord's Blade (Axe's Boon)</t>
  </si>
  <si>
    <t>WP-016</t>
  </si>
  <si>
    <t>Promised Piety (Bow's Boon)</t>
  </si>
  <si>
    <t>Recovery Potency</t>
  </si>
  <si>
    <t>WP-017</t>
  </si>
  <si>
    <t>Thunderswift Lord's Blade (Lance's Boon)</t>
  </si>
  <si>
    <t>WP-018</t>
  </si>
  <si>
    <t>Promised Piety (Staff's Boon)</t>
  </si>
  <si>
    <t>WP-019</t>
  </si>
  <si>
    <t>Testament of Eternity (Fish's Boon)</t>
  </si>
  <si>
    <t>Fish</t>
  </si>
  <si>
    <t>WP-020</t>
  </si>
  <si>
    <t>Treasured Memory of the Sea (Butterfly's Boon)</t>
  </si>
  <si>
    <t>Butterfly</t>
  </si>
  <si>
    <t>WP-021</t>
  </si>
  <si>
    <t>An Unfreezing Flower (Deer's Boon)</t>
  </si>
  <si>
    <t>Deer</t>
  </si>
  <si>
    <t>WP-022</t>
  </si>
  <si>
    <t>A King's Pride (Staff's Boon)</t>
  </si>
  <si>
    <t>WP-023</t>
  </si>
  <si>
    <t>An Unfreezing Flower (Axe's Boon)</t>
  </si>
  <si>
    <t>WP-024</t>
  </si>
  <si>
    <t>A King's Pride (Sword's Boon)</t>
  </si>
  <si>
    <t>WP-025</t>
  </si>
  <si>
    <t>Apple-licious Dreams (Butterfly's Boon)</t>
  </si>
  <si>
    <t>WP-026</t>
  </si>
  <si>
    <t>Crystalline Blades (Bat's Boon)</t>
  </si>
  <si>
    <t>Bat</t>
  </si>
  <si>
    <t>WP-027</t>
  </si>
  <si>
    <t>Ravenous Fire (Deer's Boon)</t>
  </si>
  <si>
    <t>WP-028</t>
  </si>
  <si>
    <t>The Genius Tactician (Bow's Boon)</t>
  </si>
  <si>
    <t>WP-029</t>
  </si>
  <si>
    <t>Ravenous Fire (Crown's Boon)</t>
  </si>
  <si>
    <t>WP-030</t>
  </si>
  <si>
    <t>The Genius Tactician (Spider's Boon)</t>
  </si>
  <si>
    <t>Spider</t>
  </si>
  <si>
    <t>WP-031</t>
  </si>
  <si>
    <t>Valiant Crown</t>
  </si>
  <si>
    <t>Campaign</t>
  </si>
  <si>
    <t>Chapter 02</t>
  </si>
  <si>
    <t>WP-032</t>
  </si>
  <si>
    <t>Flurry Strength</t>
  </si>
  <si>
    <t>Chapter 01</t>
  </si>
  <si>
    <t>WP-033</t>
  </si>
  <si>
    <t>Evening of Luxury</t>
  </si>
  <si>
    <t>Full HP = Strength</t>
  </si>
  <si>
    <t>Chapter 09</t>
  </si>
  <si>
    <t>WP-034</t>
  </si>
  <si>
    <t>Worthy Rivals</t>
  </si>
  <si>
    <t>Broken Punisher</t>
  </si>
  <si>
    <t>Chapter 06</t>
  </si>
  <si>
    <t>WP-035</t>
  </si>
  <si>
    <t>Auspex's Prayer</t>
  </si>
  <si>
    <t>Full HP = Healing</t>
  </si>
  <si>
    <t>WP-036</t>
  </si>
  <si>
    <t>Dragon Brethren</t>
  </si>
  <si>
    <t>Dragon</t>
  </si>
  <si>
    <t>Dragon Time</t>
  </si>
  <si>
    <t>Chapter 08</t>
  </si>
  <si>
    <t>WP-037</t>
  </si>
  <si>
    <t>Luca's Prank</t>
  </si>
  <si>
    <t>WP-038</t>
  </si>
  <si>
    <t>Give Me Your Wounded</t>
  </si>
  <si>
    <t>Avenue to Power/Fortune</t>
  </si>
  <si>
    <t>WP-039</t>
  </si>
  <si>
    <t>Levin's Champion</t>
  </si>
  <si>
    <t>HP 70% = Critical Rate</t>
  </si>
  <si>
    <t>Chapter 03</t>
  </si>
  <si>
    <t>WP-040</t>
  </si>
  <si>
    <t>Nightstalker</t>
  </si>
  <si>
    <t>Force Strike</t>
  </si>
  <si>
    <t>WP-041</t>
  </si>
  <si>
    <t>Glorious Tempest</t>
  </si>
  <si>
    <t>High Midgardsormr Res</t>
  </si>
  <si>
    <t>The Imperial Onslaught</t>
  </si>
  <si>
    <t>WP-042</t>
  </si>
  <si>
    <t>Tough Love</t>
  </si>
  <si>
    <t>Last Offense</t>
  </si>
  <si>
    <t>EVENT</t>
  </si>
  <si>
    <t>Loyalty's Requiem</t>
  </si>
  <si>
    <t>WP-043</t>
  </si>
  <si>
    <t>Crystalian Envoy</t>
  </si>
  <si>
    <t>HP 70% = Strength</t>
  </si>
  <si>
    <t>WP-044</t>
  </si>
  <si>
    <t>Witch's Kitchen</t>
  </si>
  <si>
    <t>Full HP = Skill Damage</t>
  </si>
  <si>
    <t>Flurry Devastation</t>
  </si>
  <si>
    <t>Trick or Treasure!</t>
  </si>
  <si>
    <t>WP-045</t>
  </si>
  <si>
    <t>Of Tricks and Treats</t>
  </si>
  <si>
    <t>Shadow Res</t>
  </si>
  <si>
    <t>WP-046</t>
  </si>
  <si>
    <t>Plunder Pals</t>
  </si>
  <si>
    <t>WP-047</t>
  </si>
  <si>
    <t>Cleo's Ruse</t>
  </si>
  <si>
    <t>HP 70% = Healing</t>
  </si>
  <si>
    <t>Kindness and Captivity</t>
  </si>
  <si>
    <t>WP-048</t>
  </si>
  <si>
    <t>Jewels of the Sun</t>
  </si>
  <si>
    <t>Chapter 11</t>
  </si>
  <si>
    <t>WP-049</t>
  </si>
  <si>
    <t>Gentle Winds</t>
  </si>
  <si>
    <t>Skill Prep</t>
  </si>
  <si>
    <t>A Wish to the Winds</t>
  </si>
  <si>
    <t>WP-050</t>
  </si>
  <si>
    <t>Gale of Beauty</t>
  </si>
  <si>
    <t>WP-051</t>
  </si>
  <si>
    <t>Louise's Hobbies</t>
  </si>
  <si>
    <t>WP-052</t>
  </si>
  <si>
    <t>Resounding Rendition</t>
  </si>
  <si>
    <t>Resplendent Refrain</t>
  </si>
  <si>
    <t>WP-053</t>
  </si>
  <si>
    <t>Heavenly Holiday</t>
  </si>
  <si>
    <t>Curse Res</t>
  </si>
  <si>
    <t>Dragon Trials</t>
  </si>
  <si>
    <t>WP-054</t>
  </si>
  <si>
    <t>Volcanic Queen</t>
  </si>
  <si>
    <t>High Brunhilda Res</t>
  </si>
  <si>
    <t>WP-055</t>
  </si>
  <si>
    <t>A Wish Upon the Yuletree</t>
  </si>
  <si>
    <t>HP 70% = Defense</t>
  </si>
  <si>
    <t>The Miracle of Dragonyule</t>
  </si>
  <si>
    <t>WP-056</t>
  </si>
  <si>
    <t>The Prince of Dragonyule</t>
  </si>
  <si>
    <t>WP-057</t>
  </si>
  <si>
    <t>A Slice of Dragonyule</t>
  </si>
  <si>
    <t>WP-058</t>
  </si>
  <si>
    <t>The Greatest Gift</t>
  </si>
  <si>
    <t>Player EXP</t>
  </si>
  <si>
    <t>WP-059</t>
  </si>
  <si>
    <t>Happy New Year!</t>
  </si>
  <si>
    <t>Light Res</t>
  </si>
  <si>
    <t xml:space="preserve">Fortune from Afar </t>
  </si>
  <si>
    <t>WP-060</t>
  </si>
  <si>
    <t>Heralds of Hinomoto</t>
  </si>
  <si>
    <t>WP-061</t>
  </si>
  <si>
    <t>Dragon and Tamer</t>
  </si>
  <si>
    <t>Dream Big Under the Big Top</t>
  </si>
  <si>
    <t>WP-062</t>
  </si>
  <si>
    <t>Stellar Show</t>
  </si>
  <si>
    <t>WP-063</t>
  </si>
  <si>
    <t>Astounding Trick</t>
  </si>
  <si>
    <t>Buff Skill Time</t>
  </si>
  <si>
    <t>WP-064</t>
  </si>
  <si>
    <t>Warrior Maiden</t>
  </si>
  <si>
    <t>Chapter 04</t>
  </si>
  <si>
    <t>WP-065</t>
  </si>
  <si>
    <t>Kung Fu Masters</t>
  </si>
  <si>
    <t>Skyborne Spectacle</t>
  </si>
  <si>
    <t>WP-066</t>
  </si>
  <si>
    <t>The Chocolatiers</t>
  </si>
  <si>
    <t>WP-067</t>
  </si>
  <si>
    <t>The Rose Prince</t>
  </si>
  <si>
    <t>Affliction Guard III</t>
  </si>
  <si>
    <t>Affliction Guard</t>
  </si>
  <si>
    <t>Elemental Ruins</t>
  </si>
  <si>
    <t>WP-068</t>
  </si>
  <si>
    <t>The Petal Queen</t>
  </si>
  <si>
    <t>Valentine's Confections</t>
  </si>
  <si>
    <t>WP-069</t>
  </si>
  <si>
    <t>A Heartfelt Gift</t>
  </si>
  <si>
    <t>WP-070</t>
  </si>
  <si>
    <t>Valentine's Venture</t>
  </si>
  <si>
    <t>WP-071</t>
  </si>
  <si>
    <t>An Indelible Date</t>
  </si>
  <si>
    <t>WP-072</t>
  </si>
  <si>
    <t>Elegant Escort</t>
  </si>
  <si>
    <t>Burning Punisher</t>
  </si>
  <si>
    <t>WP-073</t>
  </si>
  <si>
    <t>Take My Hand</t>
  </si>
  <si>
    <t>WP-074</t>
  </si>
  <si>
    <t>Honest Repose</t>
  </si>
  <si>
    <t>WP-075</t>
  </si>
  <si>
    <t>The Shining Overlord</t>
  </si>
  <si>
    <t>Chapter 05</t>
  </si>
  <si>
    <t>WP-076</t>
  </si>
  <si>
    <t>A Solitary Light</t>
  </si>
  <si>
    <t>A Waltz with Fate</t>
  </si>
  <si>
    <t>WP-077</t>
  </si>
  <si>
    <t>The Fleeting Girl</t>
  </si>
  <si>
    <t>The Accursed Archives</t>
  </si>
  <si>
    <t>WP-078</t>
  </si>
  <si>
    <t>Hitting the Books</t>
  </si>
  <si>
    <t>WP-079</t>
  </si>
  <si>
    <t>Forest Bonds</t>
  </si>
  <si>
    <t>The Hunt for Harmony</t>
  </si>
  <si>
    <t>WP-080</t>
  </si>
  <si>
    <t>A Mother's Love</t>
  </si>
  <si>
    <t>Gauge Accelerator</t>
  </si>
  <si>
    <t>WP-081</t>
  </si>
  <si>
    <t>Queen of the Blue Seas</t>
  </si>
  <si>
    <t>High Mercury Res</t>
  </si>
  <si>
    <t>WP-082</t>
  </si>
  <si>
    <t>The Heroes Arrive</t>
  </si>
  <si>
    <t>Slayer's Strength</t>
  </si>
  <si>
    <t>COLLAB</t>
  </si>
  <si>
    <t>Fire Emblem: Lost Heroes Event</t>
  </si>
  <si>
    <t>WP-083</t>
  </si>
  <si>
    <t>Bonds Between Worlds</t>
  </si>
  <si>
    <t>WP-084</t>
  </si>
  <si>
    <t>Partners in Truth</t>
  </si>
  <si>
    <t>Bog Res</t>
  </si>
  <si>
    <t>Chapter 07</t>
  </si>
  <si>
    <t>WP-085</t>
  </si>
  <si>
    <t>After an Eternity</t>
  </si>
  <si>
    <t>WP-086</t>
  </si>
  <si>
    <t>Study Rabbits</t>
  </si>
  <si>
    <t>Clear all Dragon Trials on Expert</t>
  </si>
  <si>
    <t>WP-087</t>
  </si>
  <si>
    <t>The Bridal Dragon</t>
  </si>
  <si>
    <t>Dragon Damage</t>
  </si>
  <si>
    <t>WP-088</t>
  </si>
  <si>
    <t>Indelible Summer</t>
  </si>
  <si>
    <t>WP-089</t>
  </si>
  <si>
    <t>Sisters' Day Out</t>
  </si>
  <si>
    <t>Flames of Reflection</t>
  </si>
  <si>
    <t>WP-090</t>
  </si>
  <si>
    <t>The Dragon Smiths</t>
  </si>
  <si>
    <t>WP-091</t>
  </si>
  <si>
    <t>High Jupiter Res</t>
  </si>
  <si>
    <t>WP-092</t>
  </si>
  <si>
    <t>Summer Paladyns</t>
  </si>
  <si>
    <t>A Splash of Adventure</t>
  </si>
  <si>
    <t>WP-093</t>
  </si>
  <si>
    <t>Seaside Princess</t>
  </si>
  <si>
    <t>A Crescendo of Courage</t>
  </si>
  <si>
    <t>WP-094</t>
  </si>
  <si>
    <t>Surfing Siblings</t>
  </si>
  <si>
    <t>Full HP = Critical Damage</t>
  </si>
  <si>
    <t>WP-095</t>
  </si>
  <si>
    <t>Twinfold Bonds</t>
  </si>
  <si>
    <t>WP-096</t>
  </si>
  <si>
    <t>Castle Cheer Corps</t>
  </si>
  <si>
    <t>WP-097</t>
  </si>
  <si>
    <t>Ruler of Darkness</t>
  </si>
  <si>
    <t>High Zodiark Res</t>
  </si>
  <si>
    <t>WP-098</t>
  </si>
  <si>
    <t>United by One Vision</t>
  </si>
  <si>
    <t>United Haste</t>
  </si>
  <si>
    <t>Fractured Futures</t>
  </si>
  <si>
    <t>WP-099</t>
  </si>
  <si>
    <t>Endless Waltz</t>
  </si>
  <si>
    <t>Chapter 10</t>
  </si>
  <si>
    <t>WP-100</t>
  </si>
  <si>
    <t>An Ancient Oath</t>
  </si>
  <si>
    <t>WP-101</t>
  </si>
  <si>
    <t>Candy Couriers</t>
  </si>
  <si>
    <t>Chapter 14</t>
  </si>
  <si>
    <t>WP-102</t>
  </si>
  <si>
    <t>Prayers Unto Him</t>
  </si>
  <si>
    <t>Stirring Shadows</t>
  </si>
  <si>
    <t>WP-103</t>
  </si>
  <si>
    <t>In an Unending World</t>
  </si>
  <si>
    <t>Chapter 15</t>
  </si>
  <si>
    <t>WP-104</t>
  </si>
  <si>
    <t>Dear Diary</t>
  </si>
  <si>
    <t>Chapter 16</t>
  </si>
  <si>
    <t>WP-105</t>
  </si>
  <si>
    <t>Wily Warriors: Bubble &amp; Wood</t>
  </si>
  <si>
    <t>Mega Man Chaos Protocol Event</t>
  </si>
  <si>
    <t>WP-106</t>
  </si>
  <si>
    <t>Wily Warriors: Air &amp; Crash</t>
  </si>
  <si>
    <t>WP-107</t>
  </si>
  <si>
    <t>Wily Warriors: Metal &amp; Quick</t>
  </si>
  <si>
    <t>HP 70% = Critical Damage</t>
  </si>
  <si>
    <t>WP-108</t>
  </si>
  <si>
    <t>Wily Warriors: Flash &amp; Heat</t>
  </si>
  <si>
    <t>WP-109</t>
  </si>
  <si>
    <t>Roll On</t>
  </si>
  <si>
    <t>WP-110</t>
  </si>
  <si>
    <t>Mega Friends</t>
  </si>
  <si>
    <t>WP-111</t>
  </si>
  <si>
    <t>Howling to the Heavens</t>
  </si>
  <si>
    <t>WP-112</t>
  </si>
  <si>
    <t>Spirit of the Season</t>
  </si>
  <si>
    <t>Paralyzed Punisher</t>
  </si>
  <si>
    <t>WP-113</t>
  </si>
  <si>
    <t>The Wyrmclan Duo</t>
  </si>
  <si>
    <t>A Clawful Caper</t>
  </si>
  <si>
    <t>WP-114</t>
  </si>
  <si>
    <t>A Dog's Day</t>
  </si>
  <si>
    <t>WP-115</t>
  </si>
  <si>
    <t>Blossoms in a New Year's Sky</t>
  </si>
  <si>
    <t>WP-116</t>
  </si>
  <si>
    <t>Felyne Hospitality</t>
  </si>
  <si>
    <t>Critical Damage Doublebuff</t>
  </si>
  <si>
    <t>Monster Hunter Primal Crisis Event</t>
  </si>
  <si>
    <t>WP-117</t>
  </si>
  <si>
    <t>A Suit of Midnight</t>
  </si>
  <si>
    <t>WP-118</t>
  </si>
  <si>
    <t>Unexpected Requests</t>
  </si>
  <si>
    <t>Last Devastation</t>
  </si>
  <si>
    <t>WP-119</t>
  </si>
  <si>
    <t>Primal Crisis</t>
  </si>
  <si>
    <t>WP-120</t>
  </si>
  <si>
    <t>The Lurker in the Woods</t>
  </si>
  <si>
    <t>WP-121</t>
  </si>
  <si>
    <t>The Fires of Hate</t>
  </si>
  <si>
    <t>Chapter 13</t>
  </si>
  <si>
    <t>WP-122</t>
  </si>
  <si>
    <t>Berry Lovable Friends</t>
  </si>
  <si>
    <t>A Dash of Disaster</t>
  </si>
  <si>
    <t>WP-123</t>
  </si>
  <si>
    <t>Breakfast at Valerio's</t>
  </si>
  <si>
    <t>WP-124</t>
  </si>
  <si>
    <t>The Ilian Faithful</t>
  </si>
  <si>
    <t>WP-125</t>
  </si>
  <si>
    <t>Dazzling Duet!</t>
  </si>
  <si>
    <t>Striking Haste</t>
  </si>
  <si>
    <t>WP-126</t>
  </si>
  <si>
    <t>Brothers in Arms</t>
  </si>
  <si>
    <t>Strength Doublebuff</t>
  </si>
  <si>
    <t>WP-127</t>
  </si>
  <si>
    <t>The Red Impulse</t>
  </si>
  <si>
    <t>WP-128</t>
  </si>
  <si>
    <t>Memories of Youth</t>
  </si>
  <si>
    <t>Striker's Strength</t>
  </si>
  <si>
    <t>Chapter 12</t>
  </si>
  <si>
    <t>WP-129</t>
  </si>
  <si>
    <t>The Synthetic Dragon</t>
  </si>
  <si>
    <t>Resilient Offense</t>
  </si>
  <si>
    <t>Scars of the Syndicate</t>
  </si>
  <si>
    <t>WP-130</t>
  </si>
  <si>
    <t>Proper Maintenance</t>
  </si>
  <si>
    <t>WP-131</t>
  </si>
  <si>
    <t>Welcome to the Halidom!</t>
  </si>
  <si>
    <t>Fire Emblem: Kindred Ties</t>
  </si>
  <si>
    <t>WP-132</t>
  </si>
  <si>
    <t>A New Look</t>
  </si>
  <si>
    <t>Slayer's Devastation</t>
  </si>
  <si>
    <t>WP-133</t>
  </si>
  <si>
    <t>Memory of a Friend</t>
  </si>
  <si>
    <t>WP-134</t>
  </si>
  <si>
    <t>Here Come the Sealers!</t>
  </si>
  <si>
    <t>Timeworn Torment</t>
  </si>
  <si>
    <t>WP-135</t>
  </si>
  <si>
    <t>Me and My Bestie!</t>
  </si>
  <si>
    <t>Nadine and Linnea's United Front</t>
  </si>
  <si>
    <t>WP-136</t>
  </si>
  <si>
    <t>Best Buds</t>
  </si>
  <si>
    <t>Rhythmic Resolutions</t>
  </si>
  <si>
    <t>WP-137</t>
  </si>
  <si>
    <t>Once in a Lifetime</t>
  </si>
  <si>
    <t>WP-138</t>
  </si>
  <si>
    <t>Summertime, Feeling Feline</t>
  </si>
  <si>
    <t>Summertime Saviors</t>
  </si>
  <si>
    <t>WP-139</t>
  </si>
  <si>
    <t>Blossoms on the Water's Edge</t>
  </si>
  <si>
    <t>Dragon Haste</t>
  </si>
  <si>
    <t>Doomsday Getaway</t>
  </si>
  <si>
    <t>WP-140</t>
  </si>
  <si>
    <t>Memories of Summer's Dusk</t>
  </si>
  <si>
    <t>Stunned Punisher</t>
  </si>
  <si>
    <t>Twinkling Twilight</t>
  </si>
  <si>
    <t>WP-141</t>
  </si>
  <si>
    <t>Wings in the Night</t>
  </si>
  <si>
    <t>Agents of the Goddess</t>
  </si>
  <si>
    <t>WP-142</t>
  </si>
  <si>
    <t>A Day in Her Life</t>
  </si>
  <si>
    <t>Paralysis Res</t>
  </si>
  <si>
    <t>WP-143</t>
  </si>
  <si>
    <t>Moonlight Party</t>
  </si>
  <si>
    <t>Sands of Revelation</t>
  </si>
  <si>
    <t>WP-144</t>
  </si>
  <si>
    <t>Guardian of the Bond</t>
  </si>
  <si>
    <t>Forgotten Truths</t>
  </si>
  <si>
    <t>WP-145</t>
  </si>
  <si>
    <t>Second Anniversary</t>
  </si>
  <si>
    <t>United Strength</t>
  </si>
  <si>
    <t>WP-146</t>
  </si>
  <si>
    <t>Secret Nightmare</t>
  </si>
  <si>
    <t xml:space="preserve">Poison = Critical Damage </t>
  </si>
  <si>
    <t>Postmortem Panic</t>
  </si>
  <si>
    <t>WP-147</t>
  </si>
  <si>
    <t>Free-Spirited Opera</t>
  </si>
  <si>
    <t>The Phantom's Ransom</t>
  </si>
  <si>
    <t>WP-148</t>
  </si>
  <si>
    <t>Welcome to the Opera!</t>
  </si>
  <si>
    <t>Shadowblighted Punisher</t>
  </si>
  <si>
    <t>WP-149</t>
  </si>
  <si>
    <t>A Man Unchanging</t>
  </si>
  <si>
    <t>Poisoned Punisher</t>
  </si>
  <si>
    <t>Northern Negotiators</t>
  </si>
  <si>
    <t>WP-150</t>
  </si>
  <si>
    <t>Pecorine's Grand Adventure</t>
  </si>
  <si>
    <t>Princess Connect! Re:Dive: A Voracious Visitor</t>
  </si>
  <si>
    <t>WP-151</t>
  </si>
  <si>
    <t>Meanwhile, in Landosol...</t>
  </si>
  <si>
    <t>WP-152</t>
  </si>
  <si>
    <t>Dragonyule Dreaming</t>
  </si>
  <si>
    <t>Bleeding Punisher</t>
  </si>
  <si>
    <t>The Great Dragonyule Offensive</t>
  </si>
  <si>
    <t>WP-153</t>
  </si>
  <si>
    <t>The Cutie Competition</t>
  </si>
  <si>
    <t>Scorchrent Punisher</t>
  </si>
  <si>
    <t>Cursed Connections</t>
  </si>
  <si>
    <t>WP-154</t>
  </si>
  <si>
    <t>Caged Desire</t>
  </si>
  <si>
    <t>Persona 5 Strikers: Caged Desire Event</t>
  </si>
  <si>
    <t>WP-155</t>
  </si>
  <si>
    <t>Showtime!</t>
  </si>
  <si>
    <t>WP-156</t>
  </si>
  <si>
    <t>Sweet Surprise</t>
  </si>
  <si>
    <t>Romance Under Siege</t>
  </si>
  <si>
    <t>WP-157</t>
  </si>
  <si>
    <t>Rivalry of Kings</t>
  </si>
  <si>
    <t>Divine Deception</t>
  </si>
  <si>
    <t>WP-158</t>
  </si>
  <si>
    <t>Extreme Teamwork</t>
  </si>
  <si>
    <t>Flashburned Punisher</t>
  </si>
  <si>
    <t>WP-159</t>
  </si>
  <si>
    <t>Holywyrm's Advent</t>
  </si>
  <si>
    <t>Reduced DEF &amp; Enhanced SS III</t>
  </si>
  <si>
    <t>Dawn of Dragalia</t>
  </si>
  <si>
    <t>WP-160</t>
  </si>
  <si>
    <t>Springtime Breeze</t>
  </si>
  <si>
    <t>WP-161</t>
  </si>
  <si>
    <t>Bloody Little Queen</t>
  </si>
  <si>
    <t>Rage of Chronos</t>
  </si>
  <si>
    <t>WP-162</t>
  </si>
  <si>
    <t>Advent of the War God</t>
  </si>
  <si>
    <t>WP-163</t>
  </si>
  <si>
    <t>Initio's Sentinel</t>
  </si>
  <si>
    <t>The Children of Yggdrasil</t>
  </si>
  <si>
    <t>WP-164</t>
  </si>
  <si>
    <t>A Rainy Day</t>
  </si>
  <si>
    <t>WP-165</t>
  </si>
  <si>
    <t>Super Soaking Androids</t>
  </si>
  <si>
    <t>Toll of the Deep</t>
  </si>
  <si>
    <t>WP-166</t>
  </si>
  <si>
    <t>Superior Summer</t>
  </si>
  <si>
    <t>Stranded Scions</t>
  </si>
  <si>
    <t>WP-167</t>
  </si>
  <si>
    <t>In the Limelight</t>
  </si>
  <si>
    <t>WP-168</t>
  </si>
  <si>
    <t>One-Winged Journey</t>
  </si>
  <si>
    <t>Knights of Alberia</t>
  </si>
  <si>
    <t>WP-169</t>
  </si>
  <si>
    <t>Third Anniversary!</t>
  </si>
  <si>
    <t>United Critical Rate</t>
  </si>
  <si>
    <t>Faith Forsaken (Part One)</t>
  </si>
  <si>
    <t>WP-170</t>
  </si>
  <si>
    <t>Bonded by a Dream</t>
  </si>
  <si>
    <t>United Critical Damage</t>
  </si>
  <si>
    <t>WP-171</t>
  </si>
  <si>
    <t>Emissaries of the Heavens</t>
  </si>
  <si>
    <t>WP-172</t>
  </si>
  <si>
    <t>A Halloween Spectacular!</t>
  </si>
  <si>
    <t>The Clockwork Heart</t>
  </si>
  <si>
    <t>WP-173</t>
  </si>
  <si>
    <t>Adventure in the Past</t>
  </si>
  <si>
    <t>WP-174</t>
  </si>
  <si>
    <t>Going Undercover</t>
  </si>
  <si>
    <t>One Starry Dragonyule</t>
  </si>
  <si>
    <t>WP-175</t>
  </si>
  <si>
    <t>A Dragonyule for Ilia</t>
  </si>
  <si>
    <t>WP-176</t>
  </si>
  <si>
    <t>Wings of Rebellion at Rest</t>
  </si>
  <si>
    <t>Frostbitten Punisher</t>
  </si>
  <si>
    <t>Celestial Showdown</t>
  </si>
  <si>
    <t>WP-177</t>
  </si>
  <si>
    <t>A Royal Tea Party</t>
  </si>
  <si>
    <t>Debuff Skill Time</t>
  </si>
  <si>
    <t>The Blood That Binds</t>
  </si>
  <si>
    <t>WP-178</t>
  </si>
  <si>
    <t>A Wonderful Valentine's</t>
  </si>
  <si>
    <t>Overdrive Punisher</t>
  </si>
  <si>
    <t>WP-179</t>
  </si>
  <si>
    <t>Hospitality &amp; Harmony</t>
  </si>
  <si>
    <t>Operation: At Your Service</t>
  </si>
  <si>
    <t>WP-180</t>
  </si>
  <si>
    <t>What Dreams May Come</t>
  </si>
  <si>
    <t>WP-181</t>
  </si>
  <si>
    <t>Getting Acquainted</t>
  </si>
  <si>
    <t>Elemental Res</t>
  </si>
  <si>
    <t>Advent of the Origin</t>
  </si>
  <si>
    <t>WP-182</t>
  </si>
  <si>
    <t>The Wind's Guidance</t>
  </si>
  <si>
    <t>WP-183</t>
  </si>
  <si>
    <t>An Undying Memory</t>
  </si>
  <si>
    <t>WP-184</t>
  </si>
  <si>
    <t>Peaceful Waterfront</t>
  </si>
  <si>
    <t>WP-185</t>
  </si>
  <si>
    <t>Soaring Hope</t>
  </si>
  <si>
    <t>WP-186</t>
  </si>
  <si>
    <t>Unconditional Love</t>
  </si>
  <si>
    <t>WP-187</t>
  </si>
  <si>
    <t>Flower in the Fray</t>
  </si>
  <si>
    <t>Full HP = Critical Rate</t>
  </si>
  <si>
    <t>WP-188</t>
  </si>
  <si>
    <t>Destiny's Hand</t>
  </si>
  <si>
    <t>WP-189</t>
  </si>
  <si>
    <t>Sniper's Allure</t>
  </si>
  <si>
    <t>WP-190</t>
  </si>
  <si>
    <t>Promises in the Rain</t>
  </si>
  <si>
    <t>WP-191</t>
  </si>
  <si>
    <t>Fireside Gathering</t>
  </si>
  <si>
    <t>Burn Res</t>
  </si>
  <si>
    <t>WP-192</t>
  </si>
  <si>
    <t>Trove of Knowledge</t>
  </si>
  <si>
    <t>Stun Res</t>
  </si>
  <si>
    <t>WP-193</t>
  </si>
  <si>
    <t>Castaway's Journal</t>
  </si>
  <si>
    <t>WP-194</t>
  </si>
  <si>
    <t>WP-195</t>
  </si>
  <si>
    <t>King's Countenance</t>
  </si>
  <si>
    <t>WP-196</t>
  </si>
  <si>
    <t>Braving the Unknown</t>
  </si>
  <si>
    <t>Poison Res</t>
  </si>
  <si>
    <t>WP-197</t>
  </si>
  <si>
    <t>What a Handful!</t>
  </si>
  <si>
    <t>TBD Endeavor</t>
  </si>
  <si>
    <t>WP-198</t>
  </si>
  <si>
    <t>How to Flee Properly</t>
  </si>
  <si>
    <t>Last Defense</t>
  </si>
  <si>
    <t>WP-199</t>
  </si>
  <si>
    <t>One with the Shadows</t>
  </si>
  <si>
    <t>WP-200</t>
  </si>
  <si>
    <t>Warlust</t>
  </si>
  <si>
    <t>WP-201</t>
  </si>
  <si>
    <t>Armorer's Aspirations</t>
  </si>
  <si>
    <t>Full HP = Defense</t>
  </si>
  <si>
    <t>WP-202</t>
  </si>
  <si>
    <t>Revolutionary Magic</t>
  </si>
  <si>
    <t>WP-203</t>
  </si>
  <si>
    <t>Sisters of the Anvil</t>
  </si>
  <si>
    <t>WP-204</t>
  </si>
  <si>
    <t>Dueling Dancers</t>
  </si>
  <si>
    <t>WP-205</t>
  </si>
  <si>
    <t>Together We Stand</t>
  </si>
  <si>
    <t>WP-206</t>
  </si>
  <si>
    <t>Happier Times</t>
  </si>
  <si>
    <t>WP-207</t>
  </si>
  <si>
    <t>Greatwyrm Midgardsormr</t>
  </si>
  <si>
    <t>Midgardsormr Res</t>
  </si>
  <si>
    <t>WP-208</t>
  </si>
  <si>
    <t>Greatwyrm Mercury</t>
  </si>
  <si>
    <t>Mercury Res</t>
  </si>
  <si>
    <t>WP-209</t>
  </si>
  <si>
    <t>Greatwyrm Brunhilda</t>
  </si>
  <si>
    <t>Brunhilda Res</t>
  </si>
  <si>
    <t>WP-210</t>
  </si>
  <si>
    <t>Greatwyrm Jupiter</t>
  </si>
  <si>
    <t>Jupiter Res</t>
  </si>
  <si>
    <t>WP-211</t>
  </si>
  <si>
    <t>Greatwyrm Zodiark</t>
  </si>
  <si>
    <t>Zodiark Res</t>
  </si>
  <si>
    <t>WP-212</t>
  </si>
  <si>
    <t>Paladyn Defender</t>
  </si>
  <si>
    <t>WP-213</t>
  </si>
  <si>
    <t>The Warrioresses</t>
  </si>
  <si>
    <t>WP-214</t>
  </si>
  <si>
    <t>Silke Lends a Hand</t>
  </si>
  <si>
    <t>Blindness Res</t>
  </si>
  <si>
    <t>WP-215</t>
  </si>
  <si>
    <t>Samurai Siesta</t>
  </si>
  <si>
    <t>Sleep Res</t>
  </si>
  <si>
    <t>WP-216</t>
  </si>
  <si>
    <t>Better Together</t>
  </si>
  <si>
    <t>WP-217</t>
  </si>
  <si>
    <t>Fresh Perspective</t>
  </si>
  <si>
    <t>WP-218</t>
  </si>
  <si>
    <t>Kicking Back</t>
  </si>
  <si>
    <t>WP-219</t>
  </si>
  <si>
    <t>As the Snow Falls</t>
  </si>
  <si>
    <t>WP-220</t>
  </si>
  <si>
    <t>Saintly Delivery</t>
  </si>
  <si>
    <t>WP-221</t>
  </si>
  <si>
    <t>Hanetsuki Rally</t>
  </si>
  <si>
    <t>WP-222</t>
  </si>
  <si>
    <t>Luck of the Draw</t>
  </si>
  <si>
    <t>WP-223</t>
  </si>
  <si>
    <t>Slow and Steady</t>
  </si>
  <si>
    <t>WP-224</t>
  </si>
  <si>
    <t>Lunar Festivities</t>
  </si>
  <si>
    <t>WP-225</t>
  </si>
  <si>
    <t>Dragon Dance</t>
  </si>
  <si>
    <t>WP-226</t>
  </si>
  <si>
    <t>Entwined Flames</t>
  </si>
  <si>
    <t>WP-227</t>
  </si>
  <si>
    <t>New World Escort</t>
  </si>
  <si>
    <t>WP-228</t>
  </si>
  <si>
    <t>Delightful Dancer</t>
  </si>
  <si>
    <t>WP-229</t>
  </si>
  <si>
    <t>First-Rate Hospitality</t>
  </si>
  <si>
    <t>WP-230</t>
  </si>
  <si>
    <t>Egg-Shaped Dreams</t>
  </si>
  <si>
    <t>WP-231</t>
  </si>
  <si>
    <t>A Brief Repose</t>
  </si>
  <si>
    <t>WP-232</t>
  </si>
  <si>
    <t>Pipe Down</t>
  </si>
  <si>
    <t>WP-233</t>
  </si>
  <si>
    <t>Beauty's Secret</t>
  </si>
  <si>
    <t>WP-234</t>
  </si>
  <si>
    <t>A Maddened Master</t>
  </si>
  <si>
    <t>Wind Res</t>
  </si>
  <si>
    <t>Echoes of Antiquity</t>
  </si>
  <si>
    <t>WP-235</t>
  </si>
  <si>
    <t>Halidom Grooms</t>
  </si>
  <si>
    <t>WP-236</t>
  </si>
  <si>
    <t>Taiko Tandem</t>
  </si>
  <si>
    <t>WP-237</t>
  </si>
  <si>
    <t>To the Extreme!</t>
  </si>
  <si>
    <t>WP-238</t>
  </si>
  <si>
    <t>Beach Battle</t>
  </si>
  <si>
    <t>WP-239</t>
  </si>
  <si>
    <t>Preacher's Vacation</t>
  </si>
  <si>
    <t>Flame Res</t>
  </si>
  <si>
    <t>WP-240</t>
  </si>
  <si>
    <t>The Bustling Hut</t>
  </si>
  <si>
    <t>WP-241</t>
  </si>
  <si>
    <t>Hastened Squall</t>
  </si>
  <si>
    <t>WP-242</t>
  </si>
  <si>
    <t>Beautiful Nothingness</t>
  </si>
  <si>
    <t>WP-243</t>
  </si>
  <si>
    <t>The Bewitching Magician</t>
  </si>
  <si>
    <t>WP-244</t>
  </si>
  <si>
    <t>Odd Sparrows</t>
  </si>
  <si>
    <t>WP-245</t>
  </si>
  <si>
    <t>Masquerade Mission</t>
  </si>
  <si>
    <t>WP-246</t>
  </si>
  <si>
    <t>From Whence He Comes</t>
  </si>
  <si>
    <t>WP-247</t>
  </si>
  <si>
    <t>Chariot Drift</t>
  </si>
  <si>
    <t>WP-248</t>
  </si>
  <si>
    <t>Fluff Aplenty</t>
  </si>
  <si>
    <t>Freeze Res</t>
  </si>
  <si>
    <t>WP-249</t>
  </si>
  <si>
    <t>Glittering Dragonyule</t>
  </si>
  <si>
    <t>WP-250</t>
  </si>
  <si>
    <t>A New Year's Battle</t>
  </si>
  <si>
    <t>WP-251</t>
  </si>
  <si>
    <t>A Game of Cat and Boar</t>
  </si>
  <si>
    <t>WP-252</t>
  </si>
  <si>
    <t>The Plaguebringer</t>
  </si>
  <si>
    <t>WP-253</t>
  </si>
  <si>
    <t>Soaring Terror</t>
  </si>
  <si>
    <t>WP-254</t>
  </si>
  <si>
    <t>The Maid Crusade</t>
  </si>
  <si>
    <t>WP-255</t>
  </si>
  <si>
    <t>The Queen of the Knife</t>
  </si>
  <si>
    <t>WP-256</t>
  </si>
  <si>
    <t>A Small Courage</t>
  </si>
  <si>
    <t>WP-257</t>
  </si>
  <si>
    <t>A Widow's Lament</t>
  </si>
  <si>
    <t>WP-258</t>
  </si>
  <si>
    <t>A Pledge of Protection</t>
  </si>
  <si>
    <t>WP-259</t>
  </si>
  <si>
    <t>His Clever Brother</t>
  </si>
  <si>
    <t>WP-260</t>
  </si>
  <si>
    <t>Fallen Wings</t>
  </si>
  <si>
    <t>WP-261</t>
  </si>
  <si>
    <t>Happy Times</t>
  </si>
  <si>
    <t>WP-262</t>
  </si>
  <si>
    <t>Flowers Under the Moon</t>
  </si>
  <si>
    <t>WP-263</t>
  </si>
  <si>
    <t>A Bouquet</t>
  </si>
  <si>
    <t>WP-264</t>
  </si>
  <si>
    <t>Catch Me in the Sunflowers</t>
  </si>
  <si>
    <t>WP-265</t>
  </si>
  <si>
    <t>Such High Spirits!</t>
  </si>
  <si>
    <t>WP-266</t>
  </si>
  <si>
    <t>Fun in the Sun</t>
  </si>
  <si>
    <t>Water Res</t>
  </si>
  <si>
    <t>WP-267</t>
  </si>
  <si>
    <t>Seaside Memory</t>
  </si>
  <si>
    <t>WP-268</t>
  </si>
  <si>
    <t>A Passion for Produce</t>
  </si>
  <si>
    <t>WP-269</t>
  </si>
  <si>
    <t>Treasury of Knowledge</t>
  </si>
  <si>
    <t>Sleeping Punisher</t>
  </si>
  <si>
    <t>WP-270</t>
  </si>
  <si>
    <t>Dance of the Twin Blossoms</t>
  </si>
  <si>
    <t>WP-271</t>
  </si>
  <si>
    <t>Rogues' Banquet</t>
  </si>
  <si>
    <t>WP-272</t>
  </si>
  <si>
    <t>To My Dear Child</t>
  </si>
  <si>
    <t>WP-273</t>
  </si>
  <si>
    <t>Blessed Days</t>
  </si>
  <si>
    <t>WP-274</t>
  </si>
  <si>
    <t>A Perfect Faerie Tale</t>
  </si>
  <si>
    <t>WP-275</t>
  </si>
  <si>
    <t>Enter the Blue Rose!</t>
  </si>
  <si>
    <t>WP-276</t>
  </si>
  <si>
    <t>Beautiful Gunman</t>
  </si>
  <si>
    <t>WP-277</t>
  </si>
  <si>
    <t>Amaterasu Oblation</t>
  </si>
  <si>
    <t>WP-278</t>
  </si>
  <si>
    <t>Humanity's Companions</t>
  </si>
  <si>
    <t>WP-279</t>
  </si>
  <si>
    <t>Two Myms</t>
  </si>
  <si>
    <t>WP-280</t>
  </si>
  <si>
    <t>The Floofiest Bed</t>
  </si>
  <si>
    <t>WP-281</t>
  </si>
  <si>
    <t>Kunoichi Charisma</t>
  </si>
  <si>
    <t>WP-282</t>
  </si>
  <si>
    <t>Having a Summer Ball</t>
  </si>
  <si>
    <t>WP-283</t>
  </si>
  <si>
    <t>Bloom of the Battlefield</t>
  </si>
  <si>
    <t>WP-284</t>
  </si>
  <si>
    <t>Amane's Babysitting Chronicles</t>
  </si>
  <si>
    <t>WP-285</t>
  </si>
  <si>
    <t>A Choice Blend</t>
  </si>
  <si>
    <t>Faith Forsaken (Part Two)</t>
  </si>
  <si>
    <t>WP-286</t>
  </si>
  <si>
    <t>A Gift from an Angel</t>
  </si>
  <si>
    <t>WP-287</t>
  </si>
  <si>
    <t>Saint Starfall's Circus</t>
  </si>
  <si>
    <t>WP-288</t>
  </si>
  <si>
    <t>Passion Inherited</t>
  </si>
  <si>
    <t>WP-289</t>
  </si>
  <si>
    <t>The Nobles' Day Off</t>
  </si>
  <si>
    <t>WP-290</t>
  </si>
  <si>
    <t>BFFs!</t>
  </si>
  <si>
    <t>WP-291</t>
  </si>
  <si>
    <t>A Butler's Smile</t>
  </si>
  <si>
    <t>WP-292</t>
  </si>
  <si>
    <t>Hand in Hand</t>
  </si>
  <si>
    <t>WP-293</t>
  </si>
  <si>
    <t>Scorn the Destrier</t>
  </si>
  <si>
    <t>WP-294</t>
  </si>
  <si>
    <t>Halo</t>
  </si>
  <si>
    <t>WP-295</t>
  </si>
  <si>
    <t>Teatime</t>
  </si>
  <si>
    <t>WP-296</t>
  </si>
  <si>
    <t>Bellathorna</t>
  </si>
  <si>
    <t>WP-297</t>
  </si>
  <si>
    <t>Alberian Banner</t>
  </si>
  <si>
    <t>WP-298</t>
  </si>
  <si>
    <t>Cry of the Horn</t>
  </si>
  <si>
    <t>WP-299</t>
  </si>
  <si>
    <t>Howling Predator</t>
  </si>
  <si>
    <t>WP-300</t>
  </si>
  <si>
    <t>Syndicate Mask</t>
  </si>
  <si>
    <t>WP-301</t>
  </si>
  <si>
    <t>Hallowed Mountains</t>
  </si>
  <si>
    <t>WP-302</t>
  </si>
  <si>
    <t>Lakeside Euphony</t>
  </si>
  <si>
    <t>WP-303</t>
  </si>
  <si>
    <t>Dragon's Nest</t>
  </si>
  <si>
    <t>Shapeshift Prep</t>
  </si>
  <si>
    <t>WP-304</t>
  </si>
  <si>
    <t>Enchiridion</t>
  </si>
  <si>
    <t>WP-305</t>
  </si>
  <si>
    <t>Ironside Shield</t>
  </si>
  <si>
    <t>WP-306</t>
  </si>
  <si>
    <t>Winds of Saint Lotier</t>
  </si>
  <si>
    <t>WP-307</t>
  </si>
  <si>
    <t>Aromatherapy</t>
  </si>
  <si>
    <t>WP-308</t>
  </si>
  <si>
    <t>Eight-Leaf Clover</t>
  </si>
  <si>
    <t>WP-309</t>
  </si>
  <si>
    <t>Forbidden Relic</t>
  </si>
  <si>
    <t>Gauge Inhibitor</t>
  </si>
  <si>
    <t>WP-310</t>
  </si>
  <si>
    <t>Unfulfilled Visions</t>
  </si>
  <si>
    <t>WP-311</t>
  </si>
  <si>
    <t>Liber Grimortis</t>
  </si>
  <si>
    <t>WP-312</t>
  </si>
  <si>
    <t>Night Harbinger</t>
  </si>
  <si>
    <t>WP-313</t>
  </si>
  <si>
    <t>Tracks of Hope</t>
  </si>
  <si>
    <t>WP-314</t>
  </si>
  <si>
    <t>Potiongrass</t>
  </si>
  <si>
    <t>WP-315</t>
  </si>
  <si>
    <t>Nevermelt Ice</t>
  </si>
  <si>
    <t>WP-316</t>
  </si>
  <si>
    <t>Crown of Yore</t>
  </si>
  <si>
    <t>WP-317</t>
  </si>
  <si>
    <t>Pumpkin Pail</t>
  </si>
  <si>
    <t>WP-318</t>
  </si>
  <si>
    <t>The Halidom's Picnic</t>
  </si>
  <si>
    <t>WP-319</t>
  </si>
  <si>
    <t>Garuda's Feathers</t>
  </si>
  <si>
    <t>WP-320</t>
  </si>
  <si>
    <t>Secret Friend</t>
  </si>
  <si>
    <t>WP-321</t>
  </si>
  <si>
    <t>Roast Feast</t>
  </si>
  <si>
    <t>WP-322</t>
  </si>
  <si>
    <t>Vio Rhyse Alberia!</t>
  </si>
  <si>
    <t>WP-323</t>
  </si>
  <si>
    <t>Welcome, One and All</t>
  </si>
  <si>
    <t>WP-324</t>
  </si>
  <si>
    <t>Blossoms Ablaze</t>
  </si>
  <si>
    <t>WP-325</t>
  </si>
  <si>
    <t>To My Beloved</t>
  </si>
  <si>
    <t>WP-326</t>
  </si>
  <si>
    <t>The Davian Wetlands</t>
  </si>
  <si>
    <t>WP-327</t>
  </si>
  <si>
    <t>The Heretic's Laboratory</t>
  </si>
  <si>
    <t>WP-328</t>
  </si>
  <si>
    <t>Tiny Dragoñatas</t>
  </si>
  <si>
    <t>WP-329</t>
  </si>
  <si>
    <t>The Order's Messenger Owl</t>
  </si>
  <si>
    <t>WP-330</t>
  </si>
  <si>
    <t>Ring of Exaltation</t>
  </si>
  <si>
    <t>WP-331</t>
  </si>
  <si>
    <t>Seafood Soup</t>
  </si>
  <si>
    <t>WP-332</t>
  </si>
  <si>
    <t>Dragon Arcanum</t>
  </si>
  <si>
    <t>WP-333</t>
  </si>
  <si>
    <t>Mana Fount</t>
  </si>
  <si>
    <t>WP-334</t>
  </si>
  <si>
    <t>Old Harp</t>
  </si>
  <si>
    <t>WPN-001</t>
  </si>
  <si>
    <t>Crown of Light (Sword's Boon)</t>
  </si>
  <si>
    <t>Crown's Psalm III</t>
  </si>
  <si>
    <t>WPN-002</t>
  </si>
  <si>
    <t>Tutelary's Destiny (Spider's Boon)</t>
  </si>
  <si>
    <t>WPN-003</t>
  </si>
  <si>
    <t>"A Knight's Dream" (Wolf's Boon)</t>
  </si>
  <si>
    <t>WPN-004</t>
  </si>
  <si>
    <t>Wind of Oaths (Spider's Boon)</t>
  </si>
  <si>
    <t>WPN-005</t>
  </si>
  <si>
    <t>A Mercenary's Pride (Crown's Boon)</t>
  </si>
  <si>
    <t>Axe's Psalm III</t>
  </si>
  <si>
    <t>WPN-006</t>
  </si>
  <si>
    <t>WPN-007</t>
  </si>
  <si>
    <t>Testament of Eternity (Serpent's Boon)</t>
  </si>
  <si>
    <t>WPN-008</t>
  </si>
  <si>
    <t>Treasured Memory of the Sea (Fish's Boon)</t>
  </si>
  <si>
    <t>WPN-009</t>
  </si>
  <si>
    <t>Apple-licious Dreams (Crown's Boon)</t>
  </si>
  <si>
    <t>Dragon's Psalm III</t>
  </si>
  <si>
    <t>WPN-010</t>
  </si>
  <si>
    <t>WPN-011</t>
  </si>
  <si>
    <t>Encroaching Shadow</t>
  </si>
  <si>
    <t>Nihility Negation</t>
  </si>
  <si>
    <t>WPN-012</t>
  </si>
  <si>
    <t>Piercing Gale</t>
  </si>
  <si>
    <t>WPN-013</t>
  </si>
  <si>
    <t>Blinding Light</t>
  </si>
  <si>
    <t>WPN-014</t>
  </si>
  <si>
    <t>Surging Cascade</t>
  </si>
  <si>
    <t>WPN-015</t>
  </si>
  <si>
    <t>Devouring Flame</t>
  </si>
  <si>
    <t/>
  </si>
  <si>
    <t>(Flame) Nihility Negation</t>
  </si>
  <si>
    <t>WPN-016</t>
  </si>
  <si>
    <t>The Power of Bonds</t>
  </si>
  <si>
    <t>Poison = Critical Damage  +30%</t>
  </si>
  <si>
    <t>(Axe) Critical Rate +14%</t>
  </si>
  <si>
    <t>If the user wields an Axe: increases critical rate by 14%.</t>
  </si>
  <si>
    <t>(Bow) Critical Rate +14%</t>
  </si>
  <si>
    <t>If the user wields a Bow: increases critical rate by 14%.</t>
  </si>
  <si>
    <t>(Dagger) Critical Damage +17%</t>
  </si>
  <si>
    <t>If the user wields a Dagger: adds 17% to the modifier applied to critical damage.</t>
  </si>
  <si>
    <t>(Flame) Affliction Guard III</t>
  </si>
  <si>
    <t>If the user is attuned to Flame: resists afflictions up to three times per quest.</t>
  </si>
  <si>
    <t>(Light) Affliction Guard III</t>
  </si>
  <si>
    <t>If the user is attuned to Light: resists afflictions up to three times per quest.</t>
  </si>
  <si>
    <t>(Light) Critical Rate +8%</t>
  </si>
  <si>
    <t>If the user is attuned to Light: increases critical rate by 8%.</t>
  </si>
  <si>
    <t>(Light) Skill Haste +6%</t>
  </si>
  <si>
    <t>If the user is attuned to Light: increases skill gauge fill rate by 6%.</t>
  </si>
  <si>
    <t>(Manacaster) Critical Damage +17%</t>
  </si>
  <si>
    <t>If the user wields a Manacaster: adds 17% to the modifier applied to critical damage.</t>
  </si>
  <si>
    <t>(Shadow) Critical Rate +8%</t>
  </si>
  <si>
    <t>If the user is attuned to Shadow: increases critical rate by 8%.</t>
  </si>
  <si>
    <t>(Shadow) Flurry Devastation +12%</t>
  </si>
  <si>
    <t>If the user is attuned to Shadow: increases critical rate by 12% when the combo count is 15 or higher.</t>
  </si>
  <si>
    <t>(Shadow) Paralysis Res +75%</t>
  </si>
  <si>
    <t>If the user is attuned to Shadow: reduces susceptibility to paralysis by 75%.</t>
  </si>
  <si>
    <t>(Shadow) Skill Haste +6%</t>
  </si>
  <si>
    <t>If the user is attuned to shadow: increases skill gauge fill rate by 6%.</t>
  </si>
  <si>
    <t>(Sword) Critical Rate +14%</t>
  </si>
  <si>
    <t>If the user wields a Sword: increases critical rate by 14%.</t>
  </si>
  <si>
    <t>(Wand) Critical Rate +14%</t>
  </si>
  <si>
    <t>If the user wields a Wand: increases critical rate by 14%.</t>
  </si>
  <si>
    <t>(Water) Affliction Guard III</t>
  </si>
  <si>
    <t>If the user is attuned to Water: resists afflictions up to three times per quest.</t>
  </si>
  <si>
    <t>(Water) Flurry Devastation +12%</t>
  </si>
  <si>
    <t>If the user is attuned to Water: increases critical rate by 12% when the combo count is 15 or higher.</t>
  </si>
  <si>
    <t>(Water) Skill Haste +6%</t>
  </si>
  <si>
    <t>If the user is attuned to Water: increases skill gauge fill rate by 6%.</t>
  </si>
  <si>
    <t>(Water) Skill Haste +9%</t>
  </si>
  <si>
    <t>If the user is attuned to Water: increases skill gauge fill rate by 9%.</t>
  </si>
  <si>
    <t>(Wind) Affliction Guard III</t>
  </si>
  <si>
    <t>If the user is attuned to Wind: resists afflictions up to three times per quest.</t>
  </si>
  <si>
    <t>(Wind) Broken Punisher +25%</t>
  </si>
  <si>
    <t>If the user is attuned to Wind: increases damage to enemies in break state by 25%.</t>
  </si>
  <si>
    <t>(Wind) Critical Damage +15%</t>
  </si>
  <si>
    <t>If the user is attuned to Wind: adds 15% to the modifier applied to critical damage.</t>
  </si>
  <si>
    <t>(Wind) Critical Rate +8%</t>
  </si>
  <si>
    <t>If the user is attuned to Wind: increases critical rate by 8%.</t>
  </si>
  <si>
    <t>(Wind) Flurry Devastation +12%</t>
  </si>
  <si>
    <t>If the user is attuned to Wind: increases critical rate by 12% when the combo count is 15 or higher.</t>
  </si>
  <si>
    <t>Bleeding Punisher +4%</t>
  </si>
  <si>
    <t>Increases damage to bleeding enemies by 4%.</t>
  </si>
  <si>
    <t>Debuff Skill Time +25%</t>
  </si>
  <si>
    <t>Increases the duration of debuff skills by 25%.</t>
  </si>
  <si>
    <t>(Axe) Skill Damage +40%</t>
  </si>
  <si>
    <t>If the user wields an Axe: increases attack skill damage by 40%.</t>
  </si>
  <si>
    <t>(Blade) Critical Rate +12%</t>
  </si>
  <si>
    <t>If the user wields a Blade: increases critical rate by 12%.</t>
  </si>
  <si>
    <t>(Blade) Skill Damage +40%</t>
  </si>
  <si>
    <t>If the user wields a Blade: increases attack skill damage by 40%.</t>
  </si>
  <si>
    <t>(Bow) Critical Damage +25%</t>
  </si>
  <si>
    <t>If the user wields a Bow: adds 25% to the modifier applied to critical damage.</t>
  </si>
  <si>
    <t>(Bow) Skill Damage +40%</t>
  </si>
  <si>
    <t>If the user wields a Bow: increases attack skill damage by 40%.</t>
  </si>
  <si>
    <t>(Dagger) Critical Rate +12%</t>
  </si>
  <si>
    <t>If the user wields a Dagger: increases critical rate by 12%.</t>
  </si>
  <si>
    <t>(Dagger) Skill Damage +40%</t>
  </si>
  <si>
    <t>If the user wields a Dagger: increases attack skill damage by 40%.</t>
  </si>
  <si>
    <t>(Flame) Buff Skill Time +25%</t>
  </si>
  <si>
    <t>If the user is attuned to Flame: increases duration of buff skills by 25%.</t>
  </si>
  <si>
    <t>(Flame) Dragon Haste +15%</t>
  </si>
  <si>
    <t>If the user is attuned to Flame: increases dragon gauge fill rate by 15%.</t>
  </si>
  <si>
    <t>(Flame) Flurry Devastation +12%</t>
  </si>
  <si>
    <t>If the user is attuned to Flame: increases critical rate by 12% when the combo count is 15 or higher.</t>
  </si>
  <si>
    <t>(Flame) Skill Haste +10%</t>
  </si>
  <si>
    <t>If the user is attuned to Flame: Increases skill gauge fill rate by 10%.</t>
  </si>
  <si>
    <t>(Lance) Critical Rate +12%</t>
  </si>
  <si>
    <t>If the user wields a Lance: increases critical rate by 15%.</t>
  </si>
  <si>
    <t>(Lance) Skill Damage +40%</t>
  </si>
  <si>
    <t>If the user wields a Lance: increases attack skill damage by 40%.</t>
  </si>
  <si>
    <t>(Light) Buff Skill Time +25%</t>
  </si>
  <si>
    <t>If the user is attuned to Light: increases duration of buff skills by 25%.</t>
  </si>
  <si>
    <t>(Light) Dragon Haste +15%</t>
  </si>
  <si>
    <t>If the user is attuned to Light: increases dragon gauge fill rate by 15%.</t>
  </si>
  <si>
    <t>(Light) Skill Haste +10%</t>
  </si>
  <si>
    <t>If the user is attuned to Light: Increases skill gauge fill rate by 10%.</t>
  </si>
  <si>
    <t>(Manacaster) Critical Rate +12%</t>
  </si>
  <si>
    <t>If the user wields a Manacaster: increases critical rate by 12%.</t>
  </si>
  <si>
    <t>(Manacaster) Skill Damage +40%</t>
  </si>
  <si>
    <t>If the user wields a Manacaster: increases attack skill damage by 40%.</t>
  </si>
  <si>
    <t>(Shadow) Buff Skill Time +25%</t>
  </si>
  <si>
    <t>If the user is attuned to Shadow: increases duration of buff skills by 25%.</t>
  </si>
  <si>
    <t>(Shadow) Dragon Haste +15%</t>
  </si>
  <si>
    <t>If the user is attuned to Shadow: increases dragon gauge fill rate by 15%.</t>
  </si>
  <si>
    <t>(Shadow) Skill Haste +10%</t>
  </si>
  <si>
    <t>If the user is attuned to Shadow: increases skill gauge fill rate by 10%.</t>
  </si>
  <si>
    <t>(Staff) Skill Damage +40%</t>
  </si>
  <si>
    <t>If the user wields a Staff: increases attack skill damage by 40%.</t>
  </si>
  <si>
    <t>(Sword) Skill Damage +40%</t>
  </si>
  <si>
    <t>If the user wields a Sword: increases attack skill damage by 40%.</t>
  </si>
  <si>
    <t>(Wand) Recovery Potency +15%</t>
  </si>
  <si>
    <t>If the user wields a Wand: increases the potency of recovery skills by 15%.</t>
  </si>
  <si>
    <t>(Wand) Skill Damage +40%</t>
  </si>
  <si>
    <t>If the user wields a Wand: increases attack skill damage by 40%.</t>
  </si>
  <si>
    <t>(Water) Buff Skill Time +25%</t>
  </si>
  <si>
    <t>If the user is attuned to Water: increases duration of buff skills by 25%.</t>
  </si>
  <si>
    <t>(Water) Dragon Haste +15%</t>
  </si>
  <si>
    <t>If the user is attuned to Water: increases dragon gauge fill rate by 15%.</t>
  </si>
  <si>
    <t>(Water) Skill Haste +7%</t>
  </si>
  <si>
    <t>If the user is attuned to Water: increases skill gauge fill rate by 7%.</t>
  </si>
  <si>
    <t>(Wind) Buff Skill Time +25%</t>
  </si>
  <si>
    <t>If the user is attuned to Wind: increases duration of buff skills by 25%.</t>
  </si>
  <si>
    <t>(Wind) Dragon Haste +15%</t>
  </si>
  <si>
    <t>If the user is attuned to Wind: increases dragon gauge fill rate by 15%.</t>
  </si>
  <si>
    <t>(Wind) Skill Haste +10%</t>
  </si>
  <si>
    <t>If the user is attuned to Wind: increases skill gauge fill rate by 10%.</t>
  </si>
  <si>
    <t>(Wind) Skill Haste +7%</t>
  </si>
  <si>
    <t>If the user is attuned to Wind: Increases skill gauge fill rate by 7%.</t>
  </si>
  <si>
    <t>Bleeding Punisher +10%</t>
  </si>
  <si>
    <t>Increases damage to bleeding enemies by 10%.</t>
  </si>
  <si>
    <t>Defense +8%</t>
  </si>
  <si>
    <t>Increases defense by 8%.</t>
  </si>
  <si>
    <t>(Staff) Recovery Potency +20%</t>
  </si>
  <si>
    <t>If the user wields a Staff: increases the potency of recovery skills by 20%.</t>
  </si>
  <si>
    <t>(Shadow) Affliction Guard III</t>
  </si>
  <si>
    <t>If the user is attuned to Shadow: resists afflictions up to three times per quest.</t>
  </si>
  <si>
    <t>(Light) Skill Haste +7%</t>
  </si>
  <si>
    <t>If the user is attuned to Light: increases skill gauge fill rate by 7%.</t>
  </si>
  <si>
    <t>(Axe) Critical Damage +25%</t>
  </si>
  <si>
    <t>If the user wields an Axe: adds 25% to the modifier applied to critical damage.</t>
  </si>
  <si>
    <t>(Axe) Critical Rate +15%</t>
  </si>
  <si>
    <t>If the user wields an Axe: increases critical rate by 15%.</t>
  </si>
  <si>
    <t>(Blade) Critical Damage +25%</t>
  </si>
  <si>
    <t>If the user wields a Blade: adds 25% to the modifier applied to critical damage.</t>
  </si>
  <si>
    <t>(Bow) Critical Rate +15%</t>
  </si>
  <si>
    <t>If the user wields a Bow: increases critical rate by 15%.</t>
  </si>
  <si>
    <t>(Dagger) Critical Damage +25%</t>
  </si>
  <si>
    <t>If the user wields a Dagger: adds 25% to the modifier applied to critical damage.</t>
  </si>
  <si>
    <t>(Flame) Affliction Guard</t>
  </si>
  <si>
    <t>(Flame) Critical Rate +10%</t>
  </si>
  <si>
    <t>If the user is attuned to Flame: increases critical rate by 15%.</t>
  </si>
  <si>
    <t>(Flame) Skill Damage +35%</t>
  </si>
  <si>
    <t>If the user is attuned to Flame: increases attack skill damage by 35%.</t>
  </si>
  <si>
    <t>(Flame) Skill Haste +7%</t>
  </si>
  <si>
    <t>If the user is attuned to Flame: Increases skill gauge fill rate by 7%.</t>
  </si>
  <si>
    <t>(Lance) Critical Damage +25%</t>
  </si>
  <si>
    <t>If the user wields a Lance: adds 25% to the modifier applied to critical damage.</t>
  </si>
  <si>
    <t>(Light) Affliction Guard</t>
  </si>
  <si>
    <t>(Light) Critical Rate +10%</t>
  </si>
  <si>
    <t>If the user is attuned to Light: increases critical rate by 15%.</t>
  </si>
  <si>
    <t>(Light) Flurry Devastation +12%</t>
  </si>
  <si>
    <t>If the user is attuned to Light: increases critical rate by 12% when the combo count is 15 or higher.</t>
  </si>
  <si>
    <t>(Light) Shadow Res +15%</t>
  </si>
  <si>
    <t>If the user is attuned to Light: reduces shadow damage taken by 15%.</t>
  </si>
  <si>
    <t>(Light) Skill Damage +35%</t>
  </si>
  <si>
    <t>If the user is attuned to Light: increases attack skill damage by 35%.</t>
  </si>
  <si>
    <t>(Manacaster) Critical Damage +20%</t>
  </si>
  <si>
    <t>If the user wields a Manacaster: adds 20% to the modifier applied to critical damage.</t>
  </si>
  <si>
    <t>(Shadow) Affliction Guard</t>
  </si>
  <si>
    <t>(Shadow) Critical Rate +10%</t>
  </si>
  <si>
    <t>If the user is attuned to Shadow: increases critical rate by 15%.</t>
  </si>
  <si>
    <t>(Shadow) Flurry Devastation +15%</t>
  </si>
  <si>
    <t>If the user is attuned to Shadow: increases critical rate by 15% when the combo count is 15 or higher.</t>
  </si>
  <si>
    <t>(Shadow) Light Res +15%</t>
  </si>
  <si>
    <t>If the user is attuned to Shadow: reduces light damage taken by 15%.</t>
  </si>
  <si>
    <t>(Shadow) Skill Damage +35%</t>
  </si>
  <si>
    <t>If the user is attuned to Shadow: increases attack skill damage by 35%.</t>
  </si>
  <si>
    <t>(Shadow) Skill Haste +7%</t>
  </si>
  <si>
    <t>If the user is attuned to Shadow: Increases skill gauge fill rate by 7%.</t>
  </si>
  <si>
    <t>(Staff) Critical Damage +20%</t>
  </si>
  <si>
    <t>If the user wields a Staff: adds 20% to the modifier applied to critical damage.</t>
  </si>
  <si>
    <t>(Staff) Critical Rate +15%</t>
  </si>
  <si>
    <t>If the user wields a Staff: increases critical rate by 15%.</t>
  </si>
  <si>
    <t>(Sword) Critical Damage +25%</t>
  </si>
  <si>
    <t>If the user wields a Sword: adds 25% to the modifier applied to critical damage.</t>
  </si>
  <si>
    <t>(Sword) Critical Rate +15%</t>
  </si>
  <si>
    <t>If the user wields a Sword: increases critical rate by 15%.</t>
  </si>
  <si>
    <t>(Wand) Critical Damage +25%</t>
  </si>
  <si>
    <t>If the user wields a Wand: adds 25% to the modifier applied to critical damage.</t>
  </si>
  <si>
    <t>(Wand) Critical Rate +15%</t>
  </si>
  <si>
    <t>If the user wields a Wand: increases critical rate by 15%.</t>
  </si>
  <si>
    <t>(Water) Affliction Guard</t>
  </si>
  <si>
    <t>(Water) Critical Rate +10%</t>
  </si>
  <si>
    <t>If the user is attuned to Water: increases critical rate by 15%.</t>
  </si>
  <si>
    <t>(Water) Flurry Devastation +15%</t>
  </si>
  <si>
    <t>If the user is attuned to Water: increases critical rate by 15% when the combo count is 15 or higher.</t>
  </si>
  <si>
    <t>(Water) Skill Damage +35%</t>
  </si>
  <si>
    <t>If the user is attuned to Water: increases attack skill damage by 35%.</t>
  </si>
  <si>
    <t>(Water) Skill Haste +10%</t>
  </si>
  <si>
    <t>If the user is attuned to Water: Increases skill gauge fill rate by 10%.</t>
  </si>
  <si>
    <t>(Wind) Affliction Guard</t>
  </si>
  <si>
    <t>(Wind) Buff Skill Time +30%</t>
  </si>
  <si>
    <t>If the user is attuned to Wind: increases duration of buff skills by 30%.</t>
  </si>
  <si>
    <t>(Wind) Critical Rate +10%</t>
  </si>
  <si>
    <t>If the user is attuned to Wind: increases critical rate by 15%.</t>
  </si>
  <si>
    <t>(Wind) Flurry Devastation +15%</t>
  </si>
  <si>
    <t>If the user is attuned to Wind: increases critical rate by 15% when the combo count is 15 or higher.</t>
  </si>
  <si>
    <t>(Wind) Skill Damage +35%</t>
  </si>
  <si>
    <t>If the user is attuned to Wind: increases attack skill damage by 35%.</t>
  </si>
  <si>
    <t>If the user has one or more wyrmprints equipped with the Axe's Boon affinity, this ability decreases the number of wyrmprints necessary to activate the Axe's Boon affinity bonus by three.</t>
  </si>
  <si>
    <t>Bleeding Punisher +15%</t>
  </si>
  <si>
    <t>Increases damage to bleeding enemies by 15%.</t>
  </si>
  <si>
    <t>If the user has one or more wyrmprints equipped with the Crown's Boon affinity, this ability decreases the number of wyrmprints necessary to activate the Crown's Boon affinity bonus by three.</t>
  </si>
  <si>
    <t>Debuff Skill Time +30%</t>
  </si>
  <si>
    <t>Increases the duration of debuff skills by 30%.</t>
  </si>
  <si>
    <t>Dragon Haste +10%</t>
  </si>
  <si>
    <t>Increases dragon gauge fill rate by 10%.</t>
  </si>
  <si>
    <t>Dragon Time +13%</t>
  </si>
  <si>
    <t>Extends shapeshift time by 13%.</t>
  </si>
  <si>
    <t>If the user has one or more wyrmprints equipped with the Dragon's Boon affinity, this ability decreases the number of wyrmprints necessary to activate the Dragon's Boon affinity bonus by three.</t>
  </si>
  <si>
    <t>Elemental Res +8%</t>
  </si>
  <si>
    <t>Reduces all elementally attuned damage taken by 8%.</t>
  </si>
  <si>
    <t>Flurry Devastation +12%</t>
  </si>
  <si>
    <t>Increases critical rate by 12% when the combo count is 15 or higher.</t>
  </si>
  <si>
    <t>Increases HP by 10%.</t>
  </si>
  <si>
    <t>Increases HP by 15%.</t>
  </si>
  <si>
    <t>Last Devastation +40%</t>
  </si>
  <si>
    <t>Increases critical rate by 40% for 15 seconds when HP drops to 30% (once per quest).</t>
  </si>
  <si>
    <t>Recovery Potency +12%</t>
  </si>
  <si>
    <t>Increases the potency of recovery skills by 12%.</t>
  </si>
  <si>
    <t>Sleeping Punisher +25%</t>
  </si>
  <si>
    <t>Increases damage to sleeping enemies by 25%.</t>
  </si>
  <si>
    <t>increases strength by 13%</t>
  </si>
  <si>
    <t>Strength +15%</t>
  </si>
  <si>
    <t>increases strength by 15%</t>
  </si>
  <si>
    <t>United Critical Damage +22%</t>
  </si>
  <si>
    <t>Increases the modifier applied to critical damage by 17%, 19%, or 22% total relative to the number of other living team members.</t>
  </si>
  <si>
    <t>United Critical Rate +12%</t>
  </si>
  <si>
    <t>Increases critical rate relative by 6%, 9%, or 12% total relative to the number of other living team members.</t>
  </si>
  <si>
    <t>United Haste +9%</t>
  </si>
  <si>
    <t>Increases skill gauge fill rate by 5%, 7%, or 9% total relative to the number of other living team members.</t>
  </si>
  <si>
    <t>United Strength +17%</t>
  </si>
  <si>
    <t>Increases strength by 12%, 14%, or 17% total relative to the number of other living team members.</t>
  </si>
  <si>
    <t>If the user is attuned to Flame: completely negates the effects of Curse of Nihility.</t>
  </si>
  <si>
    <t>(Light) Nihility Negation</t>
  </si>
  <si>
    <t>If the user is attuned to Light: completely negates the effects of Curse of Nihility.</t>
  </si>
  <si>
    <t>(Shadow) Nihility Negation</t>
  </si>
  <si>
    <t>If the user is attuned to Shadow: completely negates the effects of Curse of Nihility.</t>
  </si>
  <si>
    <t>(Water) Nihility Negation</t>
  </si>
  <si>
    <t>If the user is attuned to Water: completely negates the effects of Curse of Nihility.</t>
  </si>
  <si>
    <t>(Wind) Nihility Negation</t>
  </si>
  <si>
    <t>If the user is attuned to Wind: completely negates the effects of Curse of Nihility.</t>
  </si>
  <si>
    <t>Increases skill gauge fill rate by 15%, strength by 20%, critical rate by 20%, and critical damage by 25%. Also, extends the window between hitting an enemy and the combo counter resetting by 2 seconds.</t>
  </si>
  <si>
    <t>This is a new wyrmprint.</t>
  </si>
  <si>
    <t>Total Wyrmprints</t>
  </si>
  <si>
    <t>WP Type</t>
  </si>
  <si>
    <t>Ability Group</t>
  </si>
  <si>
    <t>Total</t>
  </si>
  <si>
    <t>Affliction Res</t>
  </si>
  <si>
    <t>Desperation</t>
  </si>
  <si>
    <t>Doublebuff</t>
  </si>
  <si>
    <t>Offense</t>
  </si>
  <si>
    <t>Offense Buff</t>
  </si>
  <si>
    <t>Other</t>
  </si>
  <si>
    <t>Psalm</t>
  </si>
  <si>
    <t>Punisher</t>
  </si>
  <si>
    <t>Shapeshift</t>
  </si>
  <si>
    <t>Wyrmprint Ability Totals</t>
  </si>
  <si>
    <t xml:space="preserve"> Original
Total By Type</t>
  </si>
  <si>
    <t xml:space="preserve"> V3 Revision
Total By Type</t>
  </si>
  <si>
    <t>Original Bonus 
by Affinity Pieces</t>
  </si>
  <si>
    <t>V3 Revision Bonus 
by Affinity Pieces</t>
  </si>
  <si>
    <t>Affinity Bonus</t>
  </si>
  <si>
    <t>Buff Time</t>
  </si>
  <si>
    <t>V3 Re;Works Portrait Wyrmprint Revisions</t>
  </si>
  <si>
    <t>Abilities</t>
  </si>
  <si>
    <t>Num Info</t>
  </si>
  <si>
    <t>Character Info</t>
  </si>
  <si>
    <t>PWPNum</t>
  </si>
  <si>
    <t>OG Title</t>
  </si>
  <si>
    <t>R</t>
  </si>
  <si>
    <t>PWP Ability 1</t>
  </si>
  <si>
    <t>PWP Ability 2</t>
  </si>
  <si>
    <t>Locked PWP Ability 1</t>
  </si>
  <si>
    <t>Locked PWP Ability 2</t>
  </si>
  <si>
    <t>PWP-001</t>
  </si>
  <si>
    <t>PWP-002</t>
  </si>
  <si>
    <t>PWP-003</t>
  </si>
  <si>
    <t>PWP-004</t>
  </si>
  <si>
    <t>PWP-005</t>
  </si>
  <si>
    <t>Critical Damage +25%</t>
  </si>
  <si>
    <t>PWP-006</t>
  </si>
  <si>
    <t>PWP-007</t>
  </si>
  <si>
    <t>PWP-008</t>
  </si>
  <si>
    <t>PWP-009</t>
  </si>
  <si>
    <t>PWP-010</t>
  </si>
  <si>
    <t>PWP-011</t>
  </si>
  <si>
    <t>PWP-012</t>
  </si>
  <si>
    <t>PWP-013</t>
  </si>
  <si>
    <t>PWP-014</t>
  </si>
  <si>
    <t>PWP-015</t>
  </si>
  <si>
    <t>PWP-016</t>
  </si>
  <si>
    <t>PWP-017</t>
  </si>
  <si>
    <t>PWP-018</t>
  </si>
  <si>
    <t>PWP-019</t>
  </si>
  <si>
    <t>PWP-020</t>
  </si>
  <si>
    <t>PWP-021</t>
  </si>
  <si>
    <t>PWP-022</t>
  </si>
  <si>
    <t>PWP-023</t>
  </si>
  <si>
    <t>PWP-024</t>
  </si>
  <si>
    <t>PWP-025</t>
  </si>
  <si>
    <t>PWP-026</t>
  </si>
  <si>
    <t>PWP-027</t>
  </si>
  <si>
    <t>PWP-028</t>
  </si>
  <si>
    <t>PWP-029</t>
  </si>
  <si>
    <t>PWP-030</t>
  </si>
  <si>
    <t>PWP-031</t>
  </si>
  <si>
    <t>PWP-032</t>
  </si>
  <si>
    <t>PWP-033</t>
  </si>
  <si>
    <t>PWP-034</t>
  </si>
  <si>
    <t>PWP-035</t>
  </si>
  <si>
    <t>PWP-036</t>
  </si>
  <si>
    <t>PWP-037</t>
  </si>
  <si>
    <t>PWP-038</t>
  </si>
  <si>
    <t>PWP-039</t>
  </si>
  <si>
    <t>PWP-040</t>
  </si>
  <si>
    <t>PWP-041</t>
  </si>
  <si>
    <t>PWP-042</t>
  </si>
  <si>
    <t>HP 70% = Shield +40%</t>
  </si>
  <si>
    <t>PWP-043</t>
  </si>
  <si>
    <t>PWP-044</t>
  </si>
  <si>
    <t>PWP-045</t>
  </si>
  <si>
    <t>PWP-046</t>
  </si>
  <si>
    <t>PWP-047</t>
  </si>
  <si>
    <t>PWP-048</t>
  </si>
  <si>
    <t>PWP-049</t>
  </si>
  <si>
    <t>PWP-050</t>
  </si>
  <si>
    <t>PWP-051</t>
  </si>
  <si>
    <t>PWP-052</t>
  </si>
  <si>
    <t>PWP-053</t>
  </si>
  <si>
    <t>PWP-054</t>
  </si>
  <si>
    <t>PWP-055</t>
  </si>
  <si>
    <t>PWP-056</t>
  </si>
  <si>
    <t>PWP-057</t>
  </si>
  <si>
    <t>PWP-058</t>
  </si>
  <si>
    <t>PWP-059</t>
  </si>
  <si>
    <t>PWP-060</t>
  </si>
  <si>
    <t>PWP-061</t>
  </si>
  <si>
    <t>PWP-062</t>
  </si>
  <si>
    <t>PWP-063</t>
  </si>
  <si>
    <t>PWP-064</t>
  </si>
  <si>
    <t>PWP-065</t>
  </si>
  <si>
    <t>PWP-066</t>
  </si>
  <si>
    <t>PWP-067</t>
  </si>
  <si>
    <t>PWP-068</t>
  </si>
  <si>
    <t>PWP-069</t>
  </si>
  <si>
    <t>PWP-070</t>
  </si>
  <si>
    <t>PWP-071</t>
  </si>
  <si>
    <t>PWP-072</t>
  </si>
  <si>
    <t>PWP-073</t>
  </si>
  <si>
    <t>PWP-074</t>
  </si>
  <si>
    <t>PWP-075</t>
  </si>
  <si>
    <t>PWP-076</t>
  </si>
  <si>
    <t>PWP-077</t>
  </si>
  <si>
    <t>PWP-078</t>
  </si>
  <si>
    <t>PWP-079</t>
  </si>
  <si>
    <t>PWP-080</t>
  </si>
  <si>
    <t>PWP-081</t>
  </si>
  <si>
    <t>PWP-082</t>
  </si>
  <si>
    <t>PWP-083</t>
  </si>
  <si>
    <t>PWP-084</t>
  </si>
  <si>
    <t>PWP-085</t>
  </si>
  <si>
    <t>PWP-086</t>
  </si>
  <si>
    <t>PWP-087</t>
  </si>
  <si>
    <t>PWP-088</t>
  </si>
  <si>
    <t>PWP-089</t>
  </si>
  <si>
    <t>PWP-090</t>
  </si>
  <si>
    <t>PWP-091</t>
  </si>
  <si>
    <t>PWP-092</t>
  </si>
  <si>
    <t>PWP-093</t>
  </si>
  <si>
    <t>PWP-094</t>
  </si>
  <si>
    <t>PWP-095</t>
  </si>
  <si>
    <t>PWP-096</t>
  </si>
  <si>
    <t>PWP-097</t>
  </si>
  <si>
    <t>PWP-098</t>
  </si>
  <si>
    <t>PWP-099</t>
  </si>
  <si>
    <t>PWP-100</t>
  </si>
  <si>
    <t>PWP-101</t>
  </si>
  <si>
    <t>PWP-102</t>
  </si>
  <si>
    <t>PWP-103</t>
  </si>
  <si>
    <t>PWP-104</t>
  </si>
  <si>
    <t>PWP-105</t>
  </si>
  <si>
    <t>PWP-106</t>
  </si>
  <si>
    <t>PWP-107</t>
  </si>
  <si>
    <t>PWP-108</t>
  </si>
  <si>
    <t>PWP-109</t>
  </si>
  <si>
    <t>PWP-110</t>
  </si>
  <si>
    <t>PWP-111</t>
  </si>
  <si>
    <t>PWP-112</t>
  </si>
  <si>
    <t>PWP-113</t>
  </si>
  <si>
    <t>PWP-114</t>
  </si>
  <si>
    <t>PWP-115</t>
  </si>
  <si>
    <t>PWP-116</t>
  </si>
  <si>
    <t>PWP-117</t>
  </si>
  <si>
    <t>PWP-118</t>
  </si>
  <si>
    <t>PWP-119</t>
  </si>
  <si>
    <t>PWP-120</t>
  </si>
  <si>
    <t>PWP-121</t>
  </si>
  <si>
    <t>PWP-122</t>
  </si>
  <si>
    <t>PWP-123</t>
  </si>
  <si>
    <t>PWP-124</t>
  </si>
  <si>
    <t>PWP-125</t>
  </si>
  <si>
    <t>PWP-126</t>
  </si>
  <si>
    <t>PWP-127</t>
  </si>
  <si>
    <t>PWP-128</t>
  </si>
  <si>
    <t>PWP-129</t>
  </si>
  <si>
    <t>PWP-130</t>
  </si>
  <si>
    <t>PWP-131</t>
  </si>
  <si>
    <t>PWP-132</t>
  </si>
  <si>
    <t>PWP-133</t>
  </si>
  <si>
    <t>PWP-134</t>
  </si>
  <si>
    <t>PWP-135</t>
  </si>
  <si>
    <t>PWP-136</t>
  </si>
  <si>
    <t>PWP-137</t>
  </si>
  <si>
    <t>PWP-138</t>
  </si>
  <si>
    <t>PWP-139</t>
  </si>
  <si>
    <t>PWP-140</t>
  </si>
  <si>
    <t>PWP-141</t>
  </si>
  <si>
    <t>PWP-142</t>
  </si>
  <si>
    <t>PWP-143</t>
  </si>
  <si>
    <t>PWP-144</t>
  </si>
  <si>
    <t>PWP-145</t>
  </si>
  <si>
    <t>PWP-146</t>
  </si>
  <si>
    <t>PWP-147</t>
  </si>
  <si>
    <t>PWP-148</t>
  </si>
  <si>
    <t>PWP-149</t>
  </si>
  <si>
    <t>PWP-150</t>
  </si>
  <si>
    <t>PWP-151</t>
  </si>
  <si>
    <t>PWP-152</t>
  </si>
  <si>
    <t>PWP-153</t>
  </si>
  <si>
    <t>PWP-154</t>
  </si>
  <si>
    <t>PWP-155</t>
  </si>
  <si>
    <t>PWP-156</t>
  </si>
  <si>
    <t>PWP-157</t>
  </si>
  <si>
    <t>PWP-158</t>
  </si>
  <si>
    <t>PWP-159</t>
  </si>
  <si>
    <t>PWP-160</t>
  </si>
  <si>
    <t>PWP-161</t>
  </si>
  <si>
    <t>PWP-162</t>
  </si>
  <si>
    <t>PWP-163</t>
  </si>
  <si>
    <t>PWP-164</t>
  </si>
  <si>
    <t>PWP-165</t>
  </si>
  <si>
    <t>PWP-166</t>
  </si>
  <si>
    <t>PWP-167</t>
  </si>
  <si>
    <t>PWP-168</t>
  </si>
  <si>
    <t>PWP-169</t>
  </si>
  <si>
    <t>PWP-170</t>
  </si>
  <si>
    <t>PWP-171</t>
  </si>
  <si>
    <t>PWP-172</t>
  </si>
  <si>
    <t>PWP-173</t>
  </si>
  <si>
    <t>PWP-174</t>
  </si>
  <si>
    <t>PWP-175</t>
  </si>
  <si>
    <t>PWP-176</t>
  </si>
  <si>
    <t>PWP-177</t>
  </si>
  <si>
    <t>PWP-178</t>
  </si>
  <si>
    <t>PWP-179</t>
  </si>
  <si>
    <t>PWP-180</t>
  </si>
  <si>
    <t>PWP-181</t>
  </si>
  <si>
    <t>PWP-182</t>
  </si>
  <si>
    <t>PWP-183</t>
  </si>
  <si>
    <t>PWP-184</t>
  </si>
  <si>
    <t>PWP-185</t>
  </si>
  <si>
    <t>PWP-186</t>
  </si>
  <si>
    <t>PWP-187</t>
  </si>
  <si>
    <t>PWP-188</t>
  </si>
  <si>
    <t>PWP-189</t>
  </si>
  <si>
    <t>PWP-190</t>
  </si>
  <si>
    <t>PWP-191</t>
  </si>
  <si>
    <t>PWP-192</t>
  </si>
  <si>
    <t>PWP-193</t>
  </si>
  <si>
    <t>PWP-194</t>
  </si>
  <si>
    <t>PWP-195</t>
  </si>
  <si>
    <t>PWP-196</t>
  </si>
  <si>
    <t>PWP-197</t>
  </si>
  <si>
    <t>PWP-198</t>
  </si>
  <si>
    <t>PWP-199</t>
  </si>
  <si>
    <t>PWP-200</t>
  </si>
  <si>
    <t>PWP-201</t>
  </si>
  <si>
    <t>PWP-202</t>
  </si>
  <si>
    <t>PWP-203</t>
  </si>
  <si>
    <t>PWP-204</t>
  </si>
  <si>
    <t>PWP-205</t>
  </si>
  <si>
    <t>PWP-206</t>
  </si>
  <si>
    <t>PWP-207</t>
  </si>
  <si>
    <t>PWP-208</t>
  </si>
  <si>
    <t>PWP-209</t>
  </si>
  <si>
    <t>PWP-210</t>
  </si>
  <si>
    <t>PWP-211</t>
  </si>
  <si>
    <t>PWP-212</t>
  </si>
  <si>
    <t>PWP-213</t>
  </si>
  <si>
    <t>PWP-214</t>
  </si>
  <si>
    <t>PWP-215</t>
  </si>
  <si>
    <t>PWP-216</t>
  </si>
  <si>
    <t>PWP-217</t>
  </si>
  <si>
    <t>PWP-218</t>
  </si>
  <si>
    <t>PWP-219</t>
  </si>
  <si>
    <t>PWP-220</t>
  </si>
  <si>
    <t>PWP-221</t>
  </si>
  <si>
    <t>PWP-222</t>
  </si>
  <si>
    <t>PWP-223</t>
  </si>
  <si>
    <t>PWP-224</t>
  </si>
  <si>
    <t>PWP-225</t>
  </si>
  <si>
    <t>PWP-226</t>
  </si>
  <si>
    <t>PWP-227</t>
  </si>
  <si>
    <t>PWP-228</t>
  </si>
  <si>
    <t>PWP-229</t>
  </si>
  <si>
    <t>PWP-230</t>
  </si>
  <si>
    <t>PWP-231</t>
  </si>
  <si>
    <t>PWP-232</t>
  </si>
  <si>
    <t>PWP-233</t>
  </si>
  <si>
    <t>PWP-234</t>
  </si>
  <si>
    <t>PWP-235</t>
  </si>
  <si>
    <t>PWP-236</t>
  </si>
  <si>
    <t>PWP-237</t>
  </si>
  <si>
    <t>PWP-238</t>
  </si>
  <si>
    <t>PWP-239</t>
  </si>
  <si>
    <t>PWP-240</t>
  </si>
  <si>
    <t>PWP-241</t>
  </si>
  <si>
    <t>PWP-242</t>
  </si>
  <si>
    <t>PWP-243</t>
  </si>
  <si>
    <t>PWP-244</t>
  </si>
  <si>
    <t>PWP-245</t>
  </si>
  <si>
    <t>PWP-246</t>
  </si>
  <si>
    <t>PWP-247</t>
  </si>
  <si>
    <t>PWP-248</t>
  </si>
  <si>
    <t>PWP-249</t>
  </si>
  <si>
    <t>PWP-250</t>
  </si>
  <si>
    <t>PWP-251</t>
  </si>
  <si>
    <t>PWP-252</t>
  </si>
  <si>
    <t>PWP-253</t>
  </si>
  <si>
    <t>PWP-254</t>
  </si>
  <si>
    <t>PWP-255</t>
  </si>
  <si>
    <t>PWP-256</t>
  </si>
  <si>
    <t>PWP-257</t>
  </si>
  <si>
    <t>PWP-258</t>
  </si>
  <si>
    <t>PWP-259</t>
  </si>
  <si>
    <t>PWP-260</t>
  </si>
  <si>
    <t>PWP-261</t>
  </si>
  <si>
    <t>PWP-262</t>
  </si>
  <si>
    <t>PWP-263</t>
  </si>
  <si>
    <t>PWP-264</t>
  </si>
  <si>
    <t>PWP-265</t>
  </si>
  <si>
    <t>PWP-266</t>
  </si>
  <si>
    <t>PWP-267</t>
  </si>
  <si>
    <t>PWP-268</t>
  </si>
  <si>
    <t>PWP-269</t>
  </si>
  <si>
    <t>Sleeping, Bleeding, and Shadowblighted Punisher (V3)</t>
  </si>
  <si>
    <t>PWP-270</t>
  </si>
  <si>
    <t>PWP-271</t>
  </si>
  <si>
    <t>PWP-272</t>
  </si>
  <si>
    <t>PWP-273</t>
  </si>
  <si>
    <t>PWP-274</t>
  </si>
  <si>
    <t>PWP-275</t>
  </si>
  <si>
    <t>PWP-276</t>
  </si>
  <si>
    <t>PWP-277</t>
  </si>
  <si>
    <t>PWP-278</t>
  </si>
  <si>
    <t>PWP-279</t>
  </si>
  <si>
    <t>PWP-280</t>
  </si>
  <si>
    <t>PWP-281</t>
  </si>
  <si>
    <t>PWP-282</t>
  </si>
  <si>
    <t>PWP-283</t>
  </si>
  <si>
    <t>PWP-284</t>
  </si>
  <si>
    <t>PWP-285</t>
  </si>
  <si>
    <t>PWP-286</t>
  </si>
  <si>
    <t>PWP-287</t>
  </si>
  <si>
    <t>PWP-288</t>
  </si>
  <si>
    <t>PWP-289</t>
  </si>
  <si>
    <t>PWP-290</t>
  </si>
  <si>
    <t>PWP-291</t>
  </si>
  <si>
    <t>PWP-292</t>
  </si>
  <si>
    <t>PWP-293</t>
  </si>
  <si>
    <t>PWP-294</t>
  </si>
  <si>
    <t>PWP-295</t>
  </si>
  <si>
    <t>PWP-296</t>
  </si>
  <si>
    <t>PWP-297</t>
  </si>
  <si>
    <t>PWP-298</t>
  </si>
  <si>
    <t>PWP-299</t>
  </si>
  <si>
    <t>PWP-300</t>
  </si>
  <si>
    <t>PWP-301</t>
  </si>
  <si>
    <t>PWP-302</t>
  </si>
  <si>
    <t>PWP-303</t>
  </si>
  <si>
    <t>PWP-304</t>
  </si>
  <si>
    <t>PWP-305</t>
  </si>
  <si>
    <t>PWP-306</t>
  </si>
  <si>
    <t>PWP-307</t>
  </si>
  <si>
    <t>PWP-308</t>
  </si>
  <si>
    <t>PWP-309</t>
  </si>
  <si>
    <t>PWP-310</t>
  </si>
  <si>
    <t>PWP-311</t>
  </si>
  <si>
    <t>PWP-312</t>
  </si>
  <si>
    <t>PWP-313</t>
  </si>
  <si>
    <t>PWP-314</t>
  </si>
  <si>
    <t>PWP-315</t>
  </si>
  <si>
    <t>PWP-316</t>
  </si>
  <si>
    <t>PWP-317</t>
  </si>
  <si>
    <t>PWP-318</t>
  </si>
  <si>
    <t>PWP-319</t>
  </si>
  <si>
    <t>PWP-320</t>
  </si>
  <si>
    <t>PWP-321</t>
  </si>
  <si>
    <t>PWP-322</t>
  </si>
  <si>
    <t>PWP-323</t>
  </si>
  <si>
    <t>PWP-324</t>
  </si>
  <si>
    <t>PWP-325</t>
  </si>
  <si>
    <t>PWP-326</t>
  </si>
  <si>
    <t>PWP-327</t>
  </si>
  <si>
    <t>PWP-328</t>
  </si>
  <si>
    <t>PWP-329</t>
  </si>
  <si>
    <t>PWP-330</t>
  </si>
  <si>
    <t>PWP-331</t>
  </si>
  <si>
    <t>PWP-332</t>
  </si>
  <si>
    <t>PWP-333</t>
  </si>
  <si>
    <t>PWP-334</t>
  </si>
  <si>
    <t>PWP-335</t>
  </si>
  <si>
    <t>PWP-336</t>
  </si>
  <si>
    <t>PWP-337</t>
  </si>
  <si>
    <t>PWP-338</t>
  </si>
  <si>
    <t>PWP-339</t>
  </si>
  <si>
    <t>PWP-340</t>
  </si>
  <si>
    <t>PWP-341</t>
  </si>
  <si>
    <t>PWP-342</t>
  </si>
  <si>
    <t>PWP-343</t>
  </si>
  <si>
    <t>PWP-344</t>
  </si>
  <si>
    <t>PWP-345</t>
  </si>
  <si>
    <t>PWP-346</t>
  </si>
  <si>
    <t>PWP-347</t>
  </si>
  <si>
    <t>PWP-348</t>
  </si>
  <si>
    <t>PWP-349</t>
  </si>
  <si>
    <t>PWP-350</t>
  </si>
  <si>
    <t>PWP-351</t>
  </si>
  <si>
    <t>PWP-352</t>
  </si>
  <si>
    <t>PWP-353</t>
  </si>
  <si>
    <t>PWP-354</t>
  </si>
  <si>
    <t>PWP-355</t>
  </si>
  <si>
    <t>PWP-356</t>
  </si>
  <si>
    <t>PWP-357</t>
  </si>
  <si>
    <t>PWP-358</t>
  </si>
  <si>
    <t>PWP-359</t>
  </si>
  <si>
    <t>PWP-360</t>
  </si>
  <si>
    <t>PWP-361</t>
  </si>
  <si>
    <t>PWP-362</t>
  </si>
  <si>
    <t>PWP-363</t>
  </si>
  <si>
    <t>PWP-364</t>
  </si>
  <si>
    <t>PWP-365</t>
  </si>
  <si>
    <t>PWP-366</t>
  </si>
  <si>
    <t>PWP-367</t>
  </si>
  <si>
    <t>PWP-368</t>
  </si>
  <si>
    <t>PWP-369</t>
  </si>
  <si>
    <t>PWP-370</t>
  </si>
  <si>
    <t>PWP-371</t>
  </si>
  <si>
    <t>PWP-372</t>
  </si>
  <si>
    <t>PWP-373</t>
  </si>
  <si>
    <t>PWP-374</t>
  </si>
  <si>
    <t>PWP-375</t>
  </si>
  <si>
    <t>PWP-376</t>
  </si>
  <si>
    <t>PWP-377</t>
  </si>
  <si>
    <t>PWP-378</t>
  </si>
  <si>
    <t>PWP-379</t>
  </si>
  <si>
    <t>PWP-380</t>
  </si>
  <si>
    <t>PWP-381</t>
  </si>
  <si>
    <t>PWP-382</t>
  </si>
  <si>
    <t>PWP-383</t>
  </si>
  <si>
    <t>PWP-384</t>
  </si>
  <si>
    <t>PWP-385</t>
  </si>
  <si>
    <t>PWP-386</t>
  </si>
  <si>
    <t>PWP-387</t>
  </si>
  <si>
    <t>PWP-388</t>
  </si>
  <si>
    <t>PWP-389</t>
  </si>
  <si>
    <t>PWP-390</t>
  </si>
  <si>
    <t>PWP-391</t>
  </si>
  <si>
    <t>PWP-392</t>
  </si>
  <si>
    <t>PWP-393</t>
  </si>
  <si>
    <t>PWP-394</t>
  </si>
  <si>
    <t>PWP-395</t>
  </si>
  <si>
    <t>PWP-396</t>
  </si>
  <si>
    <t>PWP-397</t>
  </si>
  <si>
    <t>PWP-398</t>
  </si>
  <si>
    <t>PWP-399</t>
  </si>
  <si>
    <t>PWP-400</t>
  </si>
  <si>
    <t>PWP-401</t>
  </si>
  <si>
    <t>PWP-402</t>
  </si>
  <si>
    <t>PWP-403</t>
  </si>
  <si>
    <t>PWP-404</t>
  </si>
  <si>
    <t>PWP-405</t>
  </si>
  <si>
    <t>PWP-406</t>
  </si>
  <si>
    <t>PWP-407</t>
  </si>
  <si>
    <t>PWP-408</t>
  </si>
  <si>
    <t>PWP-409</t>
  </si>
  <si>
    <t>PWP-410</t>
  </si>
  <si>
    <t>PWP-411</t>
  </si>
  <si>
    <t>PWP-412</t>
  </si>
  <si>
    <t>PWP-413</t>
  </si>
  <si>
    <t>PWP-414</t>
  </si>
  <si>
    <t>PWP-415</t>
  </si>
  <si>
    <t>PWP-416</t>
  </si>
  <si>
    <t>PWP-417</t>
  </si>
  <si>
    <t>PWP-418</t>
  </si>
  <si>
    <t>PWP-419</t>
  </si>
  <si>
    <t>PWP-420</t>
  </si>
  <si>
    <t>PWP-421</t>
  </si>
  <si>
    <t>PWP-422</t>
  </si>
  <si>
    <t>PWP-423</t>
  </si>
  <si>
    <t>PWP-424</t>
  </si>
  <si>
    <t>PWP-425</t>
  </si>
  <si>
    <t>PWP-426</t>
  </si>
  <si>
    <t>PWP-427</t>
  </si>
  <si>
    <t>PWP-428</t>
  </si>
  <si>
    <t>PWP-429</t>
  </si>
  <si>
    <t>PWP-430</t>
  </si>
  <si>
    <t>PWP-431</t>
  </si>
  <si>
    <t>PWP-432</t>
  </si>
  <si>
    <t>PWP-433</t>
  </si>
  <si>
    <t>PWP-434</t>
  </si>
  <si>
    <t>PWP-435</t>
  </si>
  <si>
    <t>PWP-436</t>
  </si>
  <si>
    <t>PWP-437</t>
  </si>
  <si>
    <t>PWP-438</t>
  </si>
  <si>
    <t>PWP-439</t>
  </si>
  <si>
    <t>PWP-440</t>
  </si>
  <si>
    <t>PWP-441</t>
  </si>
  <si>
    <t>PWP-442</t>
  </si>
  <si>
    <t>PWP-443</t>
  </si>
  <si>
    <t>PWP-444</t>
  </si>
  <si>
    <t>PWP-445</t>
  </si>
  <si>
    <t>PWP-446</t>
  </si>
  <si>
    <t>PWP-447</t>
  </si>
  <si>
    <t>PWP-448</t>
  </si>
  <si>
    <t>PWP-449</t>
  </si>
  <si>
    <t>PWP-450</t>
  </si>
  <si>
    <t>PWP-451</t>
  </si>
  <si>
    <t>PWP-452</t>
  </si>
  <si>
    <t>PWP-453</t>
  </si>
  <si>
    <t>PWP-454</t>
  </si>
  <si>
    <t>PWP-455</t>
  </si>
  <si>
    <t>PWP-456</t>
  </si>
  <si>
    <t>100046_01</t>
  </si>
  <si>
    <t>PWP-457</t>
  </si>
  <si>
    <t>Finlorda</t>
  </si>
  <si>
    <t>Former Faerie King</t>
  </si>
  <si>
    <t>NPC</t>
  </si>
  <si>
    <t>100048_01</t>
  </si>
  <si>
    <t>PWP-458</t>
  </si>
  <si>
    <t>Jinlorda</t>
  </si>
  <si>
    <t>Faerie King</t>
  </si>
  <si>
    <t>100052_01</t>
  </si>
  <si>
    <t>PWP-459</t>
  </si>
  <si>
    <t>Surtr</t>
  </si>
  <si>
    <t>Rent Heavens Embodiment</t>
  </si>
  <si>
    <t>120050_01</t>
  </si>
  <si>
    <t>PWP-460</t>
  </si>
  <si>
    <t>Phraeganoth</t>
  </si>
  <si>
    <t>Alba's Destroyer</t>
  </si>
  <si>
    <t>120059_01</t>
  </si>
  <si>
    <t>PWP-461</t>
  </si>
  <si>
    <t>The Doctor</t>
  </si>
  <si>
    <t>Syndicate Elite</t>
  </si>
  <si>
    <t>120082_01</t>
  </si>
  <si>
    <t>PWP-462</t>
  </si>
  <si>
    <t>Barbary</t>
  </si>
  <si>
    <t>The Pirate Fiend</t>
  </si>
  <si>
    <t>Custom PWP Title</t>
  </si>
  <si>
    <t>120132_01</t>
  </si>
  <si>
    <t>PWP-463</t>
  </si>
  <si>
    <t>Shion</t>
  </si>
  <si>
    <t>The Tutelary's Caring Brother</t>
  </si>
  <si>
    <t>120176_01</t>
  </si>
  <si>
    <t>PWP-464</t>
  </si>
  <si>
    <t>Nazuna</t>
  </si>
  <si>
    <t>Hinomotoan Culinary Entrepreneur</t>
  </si>
  <si>
    <t>120178_01</t>
  </si>
  <si>
    <t>PWP-465</t>
  </si>
  <si>
    <t>Rikugo</t>
  </si>
  <si>
    <t>Marvelous Naoto</t>
  </si>
  <si>
    <t>120218_01</t>
  </si>
  <si>
    <t>PWP-466</t>
  </si>
  <si>
    <t>Anassa</t>
  </si>
  <si>
    <t>Ex Machina Commander</t>
  </si>
  <si>
    <t>120237_02</t>
  </si>
  <si>
    <t>PWP-467</t>
  </si>
  <si>
    <t>Jake</t>
  </si>
  <si>
    <t>The Captain</t>
  </si>
  <si>
    <t>210128_01</t>
  </si>
  <si>
    <t>PWP-468</t>
  </si>
  <si>
    <t>Puppy</t>
  </si>
  <si>
    <t>Wagabond Pupper</t>
  </si>
  <si>
    <t>100050_01</t>
  </si>
  <si>
    <t>PWP-469</t>
  </si>
  <si>
    <t>Asura</t>
  </si>
  <si>
    <t>Monster of Legion</t>
  </si>
  <si>
    <t>100031_01</t>
  </si>
  <si>
    <t>PWP-470</t>
  </si>
  <si>
    <t>King Alberius</t>
  </si>
  <si>
    <t>The Founder King</t>
  </si>
  <si>
    <t>Aeonian Record</t>
  </si>
  <si>
    <t>120140_01</t>
  </si>
  <si>
    <t>PWP-471</t>
  </si>
  <si>
    <t>Chronos</t>
  </si>
  <si>
    <t>The Other's Pactwyrm</t>
  </si>
  <si>
    <t>100039_01</t>
  </si>
  <si>
    <t>PWP-472</t>
  </si>
  <si>
    <t>Nedrick</t>
  </si>
  <si>
    <t>Genesiswyrm's Pactbound</t>
  </si>
  <si>
    <t>100047_01</t>
  </si>
  <si>
    <t>PWP-473</t>
  </si>
  <si>
    <t>Lilith</t>
  </si>
  <si>
    <t>Avatar of Atrocity</t>
  </si>
  <si>
    <t>120053_01</t>
  </si>
  <si>
    <t>PWP-474</t>
  </si>
  <si>
    <t>Thanatos</t>
  </si>
  <si>
    <t>King of Death</t>
  </si>
  <si>
    <t>120094_01</t>
  </si>
  <si>
    <t>PWP-475</t>
  </si>
  <si>
    <t>Sabnock</t>
  </si>
  <si>
    <t>The Darkness in Children's Hearts</t>
  </si>
  <si>
    <t>120165_01</t>
  </si>
  <si>
    <t>PWP-476</t>
  </si>
  <si>
    <t>Dorothy</t>
  </si>
  <si>
    <t>The Sugary Assassin</t>
  </si>
  <si>
    <t>120185_01</t>
  </si>
  <si>
    <t>PWP-477</t>
  </si>
  <si>
    <t>Mei Hou Wang</t>
  </si>
  <si>
    <t>The Kind-Hearted Fiend</t>
  </si>
  <si>
    <t>100023_01</t>
  </si>
  <si>
    <t>PWP-478</t>
  </si>
  <si>
    <t>Zacharias</t>
  </si>
  <si>
    <t>The Lord of Saint Lotier</t>
  </si>
  <si>
    <t>100038_01</t>
  </si>
  <si>
    <t>PWP-479</t>
  </si>
  <si>
    <t>Beren</t>
  </si>
  <si>
    <t>The Fifth Scion</t>
  </si>
  <si>
    <t>100051_01</t>
  </si>
  <si>
    <t>PWP-480</t>
  </si>
  <si>
    <t>Iblis</t>
  </si>
  <si>
    <t>Secluded Demon</t>
  </si>
  <si>
    <t>110256_02</t>
  </si>
  <si>
    <t>PWP-481</t>
  </si>
  <si>
    <t>Child Louise</t>
  </si>
  <si>
    <t>The Doting Little Sister</t>
  </si>
  <si>
    <t>120111_01</t>
  </si>
  <si>
    <t>PWP-482</t>
  </si>
  <si>
    <t>Picaro</t>
  </si>
  <si>
    <t>L'Amandier's Heir</t>
  </si>
  <si>
    <t>120112_01</t>
  </si>
  <si>
    <t>PWP-483</t>
  </si>
  <si>
    <t>Valfarre</t>
  </si>
  <si>
    <t>The Astral Glutton</t>
  </si>
  <si>
    <t>120169_01</t>
  </si>
  <si>
    <t>PWP-484</t>
  </si>
  <si>
    <t>Angie</t>
  </si>
  <si>
    <t>Bloodfist's Granddaughter</t>
  </si>
  <si>
    <t>120179_01</t>
  </si>
  <si>
    <t>PWP-485</t>
  </si>
  <si>
    <t>Sandy</t>
  </si>
  <si>
    <t>Catherine's Right-Hand Woman</t>
  </si>
  <si>
    <t>120180_01</t>
  </si>
  <si>
    <t>PWP-486</t>
  </si>
  <si>
    <t>Becky</t>
  </si>
  <si>
    <t>Catherine's Left-Hand Woman</t>
  </si>
  <si>
    <t>120200_01</t>
  </si>
  <si>
    <t>PWP-487</t>
  </si>
  <si>
    <t>Scylla</t>
  </si>
  <si>
    <t>Devourer of Souls</t>
  </si>
  <si>
    <t>120205_01</t>
  </si>
  <si>
    <t>PWP-488</t>
  </si>
  <si>
    <t>Belladonna</t>
  </si>
  <si>
    <t>Songstress of Flowers</t>
  </si>
  <si>
    <t>120225_01</t>
  </si>
  <si>
    <t>PWP-489</t>
  </si>
  <si>
    <t>Tiana</t>
  </si>
  <si>
    <t>The Abyssian Priestess</t>
  </si>
  <si>
    <t>100049_01</t>
  </si>
  <si>
    <t>PWP-490</t>
  </si>
  <si>
    <t>Jaldabaoth</t>
  </si>
  <si>
    <t>Ruler of Immorality</t>
  </si>
  <si>
    <t>120051_01</t>
  </si>
  <si>
    <t>PWP-491</t>
  </si>
  <si>
    <t>Hypnos</t>
  </si>
  <si>
    <t>Corrupted Dragon</t>
  </si>
  <si>
    <t>120125_01</t>
  </si>
  <si>
    <t>PWP-492</t>
  </si>
  <si>
    <t>Qitian Dasheng</t>
  </si>
  <si>
    <t>The Corrupted Rookie Sealer</t>
  </si>
  <si>
    <t>120145_01</t>
  </si>
  <si>
    <t>PWP-493</t>
  </si>
  <si>
    <t>Primia</t>
  </si>
  <si>
    <t>Princess of Mentzara</t>
  </si>
  <si>
    <t>120212_01</t>
  </si>
  <si>
    <t>PWP-494</t>
  </si>
  <si>
    <t>Doman</t>
  </si>
  <si>
    <t>Mukuroshu Member</t>
  </si>
  <si>
    <t>200014_01</t>
  </si>
  <si>
    <t>PWP-495</t>
  </si>
  <si>
    <t>Uranus</t>
  </si>
  <si>
    <t>100009_06</t>
  </si>
  <si>
    <t>PWP-496</t>
  </si>
  <si>
    <t>Empress Zethia</t>
  </si>
  <si>
    <t>Auspex of the Nether</t>
  </si>
  <si>
    <t>NONE</t>
  </si>
  <si>
    <t>100012_01</t>
  </si>
  <si>
    <t>PWP-497</t>
  </si>
  <si>
    <t>Aurelius</t>
  </si>
  <si>
    <t>Sage-King</t>
  </si>
  <si>
    <t>100030_04</t>
  </si>
  <si>
    <t>PWP-498</t>
  </si>
  <si>
    <t>Morsayati</t>
  </si>
  <si>
    <t>The Other</t>
  </si>
  <si>
    <t>200008_01</t>
  </si>
  <si>
    <t>PWP-499</t>
  </si>
  <si>
    <t>Fafnir Roy III</t>
  </si>
  <si>
    <t>Guardian of the Vault</t>
  </si>
  <si>
    <t>HP 70% = Divergent Shield +40%</t>
  </si>
  <si>
    <t>210028_01</t>
  </si>
  <si>
    <t>PWP-500</t>
  </si>
  <si>
    <t>Tsukuyomi</t>
  </si>
  <si>
    <t>Leader of the Mukoroshu</t>
  </si>
  <si>
    <t>100001_11</t>
  </si>
  <si>
    <t>Unused</t>
  </si>
  <si>
    <t>Halloween Prince</t>
  </si>
  <si>
    <t>100007_01</t>
  </si>
  <si>
    <t>Notte (NPC)</t>
  </si>
  <si>
    <t>The Faerie</t>
  </si>
  <si>
    <t>100009_04</t>
  </si>
  <si>
    <t>Otherworld Zethia</t>
  </si>
  <si>
    <t>Mysterious Woman</t>
  </si>
  <si>
    <t>100013_01</t>
  </si>
  <si>
    <t>Leonidas (NPC)</t>
  </si>
  <si>
    <t>The World Ruler</t>
  </si>
  <si>
    <t>100014_01</t>
  </si>
  <si>
    <t>Phares (NPC)</t>
  </si>
  <si>
    <t>The Second Scion</t>
  </si>
  <si>
    <t>100015_03</t>
  </si>
  <si>
    <t>Chelle (NPC)</t>
  </si>
  <si>
    <t>The Inferno</t>
  </si>
  <si>
    <t>100016_01</t>
  </si>
  <si>
    <t>Valyx (NPC)</t>
  </si>
  <si>
    <t>100017_01</t>
  </si>
  <si>
    <t>Emile (NPC)</t>
  </si>
  <si>
    <t>Pride's Pinnacle</t>
  </si>
  <si>
    <t>100018_01</t>
  </si>
  <si>
    <t>Leif (NPC)</t>
  </si>
  <si>
    <t>Royal Knight Captain</t>
  </si>
  <si>
    <t>100019_01</t>
  </si>
  <si>
    <t>Harle (NPC)</t>
  </si>
  <si>
    <t>Scheming Demon</t>
  </si>
  <si>
    <t>100030_01</t>
  </si>
  <si>
    <t>Morsayati (NPC)</t>
  </si>
  <si>
    <t>100043_01</t>
  </si>
  <si>
    <t>Origa (NPC)</t>
  </si>
  <si>
    <t>Northern Auspex</t>
  </si>
  <si>
    <t>100044_01</t>
  </si>
  <si>
    <t>Sheila (NPC)</t>
  </si>
  <si>
    <t>Gatov's Daughter</t>
  </si>
  <si>
    <t>100053_01</t>
  </si>
  <si>
    <t>Xenos</t>
  </si>
  <si>
    <t>The Progenitor</t>
  </si>
  <si>
    <t>120052_01</t>
  </si>
  <si>
    <t>Aspidochelone</t>
  </si>
  <si>
    <t>120067_01</t>
  </si>
  <si>
    <t>Lathna (NPC)</t>
  </si>
  <si>
    <t>120076_01</t>
  </si>
  <si>
    <t>Wu Kong (NPC)</t>
  </si>
  <si>
    <t>120100_01</t>
  </si>
  <si>
    <t>120101_01</t>
  </si>
  <si>
    <t>Xu Fu</t>
  </si>
  <si>
    <t>120102_01</t>
  </si>
  <si>
    <t>Fa Ming</t>
  </si>
  <si>
    <t>Xuan Zang's Mentor</t>
  </si>
  <si>
    <t>120103_01</t>
  </si>
  <si>
    <t>Wu Wei</t>
  </si>
  <si>
    <t>120104_01</t>
  </si>
  <si>
    <t>Lazry (NPC)</t>
  </si>
  <si>
    <t>120119_01</t>
  </si>
  <si>
    <t>Loki (Fire Emblem)</t>
  </si>
  <si>
    <t>120134_01</t>
  </si>
  <si>
    <t>"Mym"</t>
  </si>
  <si>
    <t>120135_01</t>
  </si>
  <si>
    <t>Mascula (NPC)</t>
  </si>
  <si>
    <t>120139_01</t>
  </si>
  <si>
    <t>Chronos (Small)</t>
  </si>
  <si>
    <t>120170_01_</t>
  </si>
  <si>
    <t>Bareed</t>
  </si>
  <si>
    <t>120177_01</t>
  </si>
  <si>
    <t>Carmen</t>
  </si>
  <si>
    <t>120181_01</t>
  </si>
  <si>
    <t>Sam</t>
  </si>
  <si>
    <t>120182_01</t>
  </si>
  <si>
    <t>Styx (NPC)</t>
  </si>
  <si>
    <t>120243_01</t>
  </si>
  <si>
    <t>Satan</t>
  </si>
  <si>
    <t>The Demonlord</t>
  </si>
  <si>
    <t>120246_01</t>
  </si>
  <si>
    <t>Void Elysium</t>
  </si>
  <si>
    <t>200011_01</t>
  </si>
  <si>
    <t>Cused Chthonius</t>
  </si>
  <si>
    <t>210071_01</t>
  </si>
  <si>
    <t>Nyarlathotep (White)</t>
  </si>
  <si>
    <t>Emissary of the Ancient One</t>
  </si>
  <si>
    <t>This is not a complete list of NPCs.</t>
  </si>
  <si>
    <t>Dragalia Lost V3 Re;Works Portrait Wyrmprint Abilities</t>
  </si>
  <si>
    <t>PWP Ability Name</t>
  </si>
  <si>
    <t>PWP Ability Description</t>
  </si>
  <si>
    <t>Adds 25% to the modifier applied to critical damage.</t>
  </si>
  <si>
    <t>Increases defense by 20%.</t>
  </si>
  <si>
    <t>Increases dragon gauge fill rate by 15%.</t>
  </si>
  <si>
    <t>Increases HP by 15%.</t>
  </si>
  <si>
    <t>When the user's HP drops to 70%, grants them a one-use divergent shield that nullifies damage up to 40% of the user's maximum HP. This shield can stack with ordinary shields. After activating, this ability will not activate again for 15 seconds.</t>
  </si>
  <si>
    <t>When the user's HP drops to 70%, grants them a one-use shield that nullifies damage up to 40% of the user's maximum HP. This does not stack with any other shields. After activating, this ability will not activate again for 15 seconds.</t>
  </si>
  <si>
    <t>Adds 10% to the modifier applied to damage when in dragon form, and extends shapeshift time by 20%.</t>
  </si>
  <si>
    <t>Increases attack skill damage by 40%.</t>
  </si>
  <si>
    <t>Chapter Title</t>
  </si>
  <si>
    <t>CH</t>
  </si>
  <si>
    <t>Section</t>
  </si>
  <si>
    <t>Part</t>
  </si>
  <si>
    <t>Section Title</t>
  </si>
  <si>
    <t>File Name</t>
  </si>
  <si>
    <t>Normal</t>
  </si>
  <si>
    <t>Hard</t>
  </si>
  <si>
    <t>Very Hard</t>
  </si>
  <si>
    <t>Normal Drop</t>
  </si>
  <si>
    <t>Hard Drop</t>
  </si>
  <si>
    <t>Very Hard Drop</t>
  </si>
  <si>
    <t>First Clear</t>
  </si>
  <si>
    <t>C-001</t>
  </si>
  <si>
    <t>The Journey Begins</t>
  </si>
  <si>
    <t>01</t>
  </si>
  <si>
    <t>Mayleaf Trail</t>
  </si>
  <si>
    <t>Story</t>
  </si>
  <si>
    <t>Prologue</t>
  </si>
  <si>
    <t>https://dragalialost.wiki/w/Prologue</t>
  </si>
  <si>
    <t>C-002</t>
  </si>
  <si>
    <t>In Pursuit of the Shard</t>
  </si>
  <si>
    <t>https://dragalialost.wiki/w/In_Pursuit_of_the_Shard</t>
  </si>
  <si>
    <t>C-003</t>
  </si>
  <si>
    <t>Hybrid</t>
  </si>
  <si>
    <t>Save the Paladyn</t>
  </si>
  <si>
    <t>https://dragalialost.wiki/w/Save_the_Paladyn</t>
  </si>
  <si>
    <t>Campaign 1</t>
  </si>
  <si>
    <t>Campaign 2</t>
  </si>
  <si>
    <t>Campaign 4</t>
  </si>
  <si>
    <t>C-004</t>
  </si>
  <si>
    <t>The Lone Paladyn</t>
  </si>
  <si>
    <t>https://dragalialost.wiki/w/The_Lone_Paladyn</t>
  </si>
  <si>
    <t>C-005</t>
  </si>
  <si>
    <t>Rovetelle</t>
  </si>
  <si>
    <t>The Veteran Mercenary</t>
  </si>
  <si>
    <t>https://dragalialost.wiki/w/The_Veteran_Mercenary</t>
  </si>
  <si>
    <t>C-006</t>
  </si>
  <si>
    <t>The Mercenary's Test</t>
  </si>
  <si>
    <t>https://dragalialost.wiki/w/The_Mercenary%27s_Test</t>
  </si>
  <si>
    <t>C-007</t>
  </si>
  <si>
    <t>After the Battle</t>
  </si>
  <si>
    <t>https://dragalialost.wiki/w/After_the_Battle</t>
  </si>
  <si>
    <t>C-008</t>
  </si>
  <si>
    <t>Windwyrm's Den</t>
  </si>
  <si>
    <t>Gameplay</t>
  </si>
  <si>
    <t>A Formidable Guardian</t>
  </si>
  <si>
    <t>https://dragalialost.wiki/w/A_Formidable_Guardian</t>
  </si>
  <si>
    <t>C-009</t>
  </si>
  <si>
    <t>The Shard's Secret</t>
  </si>
  <si>
    <t>https://dragalialost.wiki/w/The_Shard's_Secret</t>
  </si>
  <si>
    <t>C-010</t>
  </si>
  <si>
    <t>A True Pact</t>
  </si>
  <si>
    <t>https://dragalialost.wiki/w/A_True_Pact</t>
  </si>
  <si>
    <t>C-011</t>
  </si>
  <si>
    <t>The Proud Windwyrm</t>
  </si>
  <si>
    <t>https://dragalialost.wiki/w/The_Proud_Windwyrm</t>
  </si>
  <si>
    <t>C-012</t>
  </si>
  <si>
    <t>The Mistholt</t>
  </si>
  <si>
    <t>The Heart of the Forest</t>
  </si>
  <si>
    <t>https://dragalialost.wiki/w/The_Heart_of_the_Forest</t>
  </si>
  <si>
    <t>C-013</t>
  </si>
  <si>
    <t>Scramble in the Shade</t>
  </si>
  <si>
    <t>https://dragalialost.wiki/w/Scramble_in_the_Shade</t>
  </si>
  <si>
    <t>C-014</t>
  </si>
  <si>
    <t>Alberius the Founder</t>
  </si>
  <si>
    <t>https://dragalialost.wiki/w/Alberius_the_Founder</t>
  </si>
  <si>
    <t>C-015</t>
  </si>
  <si>
    <t>Den of Slimes</t>
  </si>
  <si>
    <t>https://dragalialost.wiki/w/Den_of_Slimes</t>
  </si>
  <si>
    <t>C-016</t>
  </si>
  <si>
    <t>Clash Beneath the Canopy</t>
  </si>
  <si>
    <t>https://dragalialost.wiki/w/Clash_Beneath_the_Canopy</t>
  </si>
  <si>
    <t>C-017</t>
  </si>
  <si>
    <t>Shard and Shadow</t>
  </si>
  <si>
    <t>https://dragalialost.wiki/w/Shard_and_Shadow</t>
  </si>
  <si>
    <t>C-018</t>
  </si>
  <si>
    <t>The Waterwyrm's Cradle</t>
  </si>
  <si>
    <t>02</t>
  </si>
  <si>
    <t>Myriage Lake</t>
  </si>
  <si>
    <t>A Changed Alberia</t>
  </si>
  <si>
    <t>https://dragalialost.wiki/w/A_Changed_Alberia</t>
  </si>
  <si>
    <t>C-019</t>
  </si>
  <si>
    <t>A Hasty Retreat</t>
  </si>
  <si>
    <t>https://dragalialost.wiki/w/A_Hasty_Retreat</t>
  </si>
  <si>
    <t>C-020</t>
  </si>
  <si>
    <t>Aquatic Advance</t>
  </si>
  <si>
    <t>https://dragalialost.wiki/w/Aquatic_Advance</t>
  </si>
  <si>
    <t>C-021</t>
  </si>
  <si>
    <t>Creekside</t>
  </si>
  <si>
    <t>The Sylvan Archer</t>
  </si>
  <si>
    <t>https://dragalialost.wiki/w/The_Sylvan_Archer</t>
  </si>
  <si>
    <t>C-022</t>
  </si>
  <si>
    <t>Puddled Path</t>
  </si>
  <si>
    <t>https://dragalialost.wiki/w/Puddled_Path</t>
  </si>
  <si>
    <t>C-023</t>
  </si>
  <si>
    <t>2-EX 1</t>
  </si>
  <si>
    <t>Sullied Delta</t>
  </si>
  <si>
    <t>The Twin Scions</t>
  </si>
  <si>
    <t>https://dragalialost.wiki/w/The_Twin_Scions</t>
  </si>
  <si>
    <t>C-024</t>
  </si>
  <si>
    <t>The Fiend's Haunt</t>
  </si>
  <si>
    <t>https://dragalialost.wiki/w/The_Fiends%27_Haunt</t>
  </si>
  <si>
    <t>C-025</t>
  </si>
  <si>
    <t>Woodhaven</t>
  </si>
  <si>
    <t>The Ravaged Village</t>
  </si>
  <si>
    <t>https://dragalialost.wiki/w/The_Ravaged_Village</t>
  </si>
  <si>
    <t>C-026</t>
  </si>
  <si>
    <t>In Pursuit of Emile</t>
  </si>
  <si>
    <t>https://dragalialost.wiki/w/In_Pursuit_of_Emile</t>
  </si>
  <si>
    <t>C-027</t>
  </si>
  <si>
    <t>Flotsam and Jetsam</t>
  </si>
  <si>
    <t>https://dragalialost.wiki/w/Flotsam_and_Jetsam</t>
  </si>
  <si>
    <t>C-028</t>
  </si>
  <si>
    <t>Forest Refuge</t>
  </si>
  <si>
    <t>At The Hideaway</t>
  </si>
  <si>
    <t>https://dragalialost.wiki/w/At_The_Hideaway</t>
  </si>
  <si>
    <t>C-029</t>
  </si>
  <si>
    <t>A Race Against the Clock</t>
  </si>
  <si>
    <t>https://dragalialost.wiki/w/A_Race_Against_the_Clock</t>
  </si>
  <si>
    <t>C-030</t>
  </si>
  <si>
    <t>Beyond the Forest</t>
  </si>
  <si>
    <t>Along the Lakeside</t>
  </si>
  <si>
    <t>https://dragalialost.wiki/w/Along_the_Lakeside</t>
  </si>
  <si>
    <t>C-031</t>
  </si>
  <si>
    <t>The Glistening Waterwyrm</t>
  </si>
  <si>
    <t>https://dragalialost.wiki/w/The_Glistening_Waterwyrm</t>
  </si>
  <si>
    <t>C-032</t>
  </si>
  <si>
    <t>Dragalia Lost</t>
  </si>
  <si>
    <t>https://dragalialost.wiki/w/Dragalia_Lost</t>
  </si>
  <si>
    <t>C-033</t>
  </si>
  <si>
    <t>5-EX 2</t>
  </si>
  <si>
    <t>Tributary Lair</t>
  </si>
  <si>
    <t>Long Lives</t>
  </si>
  <si>
    <t>https://dragalialost.wiki/w/Long_Lives</t>
  </si>
  <si>
    <t>C-034</t>
  </si>
  <si>
    <t>The Fiendchiefs</t>
  </si>
  <si>
    <t>https://dragalialost.wiki/w/The_Fiendchiefs</t>
  </si>
  <si>
    <t>C-035</t>
  </si>
  <si>
    <t>Lakeside Ravages</t>
  </si>
  <si>
    <t>The Sapphire Battleground</t>
  </si>
  <si>
    <t>https://dragalialost.wiki/w/The_Sapphire_Battleground</t>
  </si>
  <si>
    <t>C-036</t>
  </si>
  <si>
    <t>New Power</t>
  </si>
  <si>
    <t>https://dragalialost.wiki/w/New_Power</t>
  </si>
  <si>
    <t>C-037</t>
  </si>
  <si>
    <t>The Flamewyrm's Abode</t>
  </si>
  <si>
    <t>03</t>
  </si>
  <si>
    <t>Mount Adolla</t>
  </si>
  <si>
    <t>Into the Cauldron</t>
  </si>
  <si>
    <t>https://dragalialost.wiki/w/Into_the_Cauldron</t>
  </si>
  <si>
    <t>C-038</t>
  </si>
  <si>
    <t>Flight through the Fire Spires</t>
  </si>
  <si>
    <t>https://dragalialost.wiki/w/Flight_through_the_Fire_Spires</t>
  </si>
  <si>
    <t>C-039</t>
  </si>
  <si>
    <t>The Flamehound</t>
  </si>
  <si>
    <t>https://dragalialost.wiki/w/The_Flamehound</t>
  </si>
  <si>
    <t>C-040</t>
  </si>
  <si>
    <t>Magma Mire</t>
  </si>
  <si>
    <t>In Search of Zethia</t>
  </si>
  <si>
    <t>https://dragalialost.wiki/w/In_Search_of_Zethia</t>
  </si>
  <si>
    <t>C-041</t>
  </si>
  <si>
    <t>A Rocky Road</t>
  </si>
  <si>
    <t>https://dragalialost.wiki/w/A_Rocky_Road</t>
  </si>
  <si>
    <t>C-042</t>
  </si>
  <si>
    <t>Terror's Approach</t>
  </si>
  <si>
    <t>https://dragalialost.wiki/w/Terror%27s_Approach</t>
  </si>
  <si>
    <t>C-043</t>
  </si>
  <si>
    <t>Volcanic Caverns</t>
  </si>
  <si>
    <t>No Failing Now</t>
  </si>
  <si>
    <t>https://dragalialost.wiki/w/No_Failing_Now</t>
  </si>
  <si>
    <t>C-044</t>
  </si>
  <si>
    <t>The Wounded Wyrm</t>
  </si>
  <si>
    <t>https://dragalialost.wiki/w/The_Wounded_Wyrm</t>
  </si>
  <si>
    <t>C-045</t>
  </si>
  <si>
    <t>Grave of the Giant Wyrm</t>
  </si>
  <si>
    <t>https://dragalialost.wiki/w/Grave_of_the_Giant_Wyrm</t>
  </si>
  <si>
    <t>C-046</t>
  </si>
  <si>
    <t>A Sensitive Soul</t>
  </si>
  <si>
    <t>https://dragalialost.wiki/w/A_Sensitive_Soul</t>
  </si>
  <si>
    <t>C-047</t>
  </si>
  <si>
    <t>Guard the Flamewyrm</t>
  </si>
  <si>
    <t>https://dragalialost.wiki/w/Guard_the_Flamewyrm</t>
  </si>
  <si>
    <t>C-048</t>
  </si>
  <si>
    <t>Impending Eruption</t>
  </si>
  <si>
    <t>https://dragalialost.wiki/w/Impending_Eruption</t>
  </si>
  <si>
    <t>C-049</t>
  </si>
  <si>
    <t>Crater</t>
  </si>
  <si>
    <t>A Fiendish Assault</t>
  </si>
  <si>
    <t>https://dragalialost.wiki/w/A_Fiendish_Assault</t>
  </si>
  <si>
    <t>C-050</t>
  </si>
  <si>
    <t>Labyrinth of No Return</t>
  </si>
  <si>
    <t>https://dragalialost.wiki/w/Labyrinth_of_No_Return</t>
  </si>
  <si>
    <t>C-051</t>
  </si>
  <si>
    <t>Rite of the Pact</t>
  </si>
  <si>
    <t>https://dragalialost.wiki/w/Rite_of_the_Pact</t>
  </si>
  <si>
    <t>C-052</t>
  </si>
  <si>
    <t>An Impassioned Ally</t>
  </si>
  <si>
    <t>https://dragalialost.wiki/w/An_Impassioned_Ally</t>
  </si>
  <si>
    <t>C-053</t>
  </si>
  <si>
    <t>The Lightwyrm's Roost</t>
  </si>
  <si>
    <t>04</t>
  </si>
  <si>
    <t>Zamshire Pass</t>
  </si>
  <si>
    <t>The Mountain Trail</t>
  </si>
  <si>
    <t>https://dragalialost.wiki/w/The_Mountain_Trail</t>
  </si>
  <si>
    <t>C-054</t>
  </si>
  <si>
    <t>The Rat's Overlook</t>
  </si>
  <si>
    <t>https://dragalialost.wiki/w/The_Rat%27s_Overlook</t>
  </si>
  <si>
    <t>C-055</t>
  </si>
  <si>
    <t>Beware the Rolling Rocks</t>
  </si>
  <si>
    <t>https://dragalialost.wiki/w/Beware_the_Rolling_Rocks</t>
  </si>
  <si>
    <t>C-056</t>
  </si>
  <si>
    <t>Shocking Beauty</t>
  </si>
  <si>
    <t>https://dragalialost.wiki/w/Shocking_Beauty</t>
  </si>
  <si>
    <t>C-057</t>
  </si>
  <si>
    <t>Kleifheim</t>
  </si>
  <si>
    <t>Wyrmseeker</t>
  </si>
  <si>
    <t>https://dragalialost.wiki/w/Wyrmseeker</t>
  </si>
  <si>
    <t>C-058</t>
  </si>
  <si>
    <t>The Moovers and the Shakers</t>
  </si>
  <si>
    <t>https://dragalialost.wiki/w/The_Moovers_and_the_Shakers</t>
  </si>
  <si>
    <t>C-059</t>
  </si>
  <si>
    <t>The Great Reptile Adversary</t>
  </si>
  <si>
    <t>https://dragalialost.wiki/w/The_Great_Reptile_Adversary</t>
  </si>
  <si>
    <t>C-060</t>
  </si>
  <si>
    <t>Trail of Death</t>
  </si>
  <si>
    <t>https://dragalialost.wiki/w/Trail_of_Death</t>
  </si>
  <si>
    <t>C-061</t>
  </si>
  <si>
    <t>Feeding Ground</t>
  </si>
  <si>
    <t>A Faint Presence</t>
  </si>
  <si>
    <t>https://dragalialost.wiki/w/A_Faint_Presence</t>
  </si>
  <si>
    <t>C-062</t>
  </si>
  <si>
    <t>The Three Mountain Fiends</t>
  </si>
  <si>
    <t>https://dragalialost.wiki/w/The_Three_Mountain_Fiends</t>
  </si>
  <si>
    <t>C-063</t>
  </si>
  <si>
    <t>Dornith Crossing</t>
  </si>
  <si>
    <t>Mayhem on the Trail</t>
  </si>
  <si>
    <t>https://dragalialost.wiki/w/Mayhem_on_the_Trail</t>
  </si>
  <si>
    <t>C-064</t>
  </si>
  <si>
    <t>Battle to Save Emile</t>
  </si>
  <si>
    <t>https://dragalialost.wiki/w/Battle_to_Save_Emile</t>
  </si>
  <si>
    <t>C-065</t>
  </si>
  <si>
    <t>Inexoable Obsession</t>
  </si>
  <si>
    <t>https://dragalialost.wiki/w/Inexoable_Obsession</t>
  </si>
  <si>
    <t>C-066</t>
  </si>
  <si>
    <t>Resuming the Climb</t>
  </si>
  <si>
    <t>https://dragalialost.wiki/w/Resuming_the_Climb</t>
  </si>
  <si>
    <t>C-067</t>
  </si>
  <si>
    <t>The Mountain Breeding Ground</t>
  </si>
  <si>
    <t>https://dragalialost.wiki/w/The_Mountain_Breeding_Ground</t>
  </si>
  <si>
    <t>C-068</t>
  </si>
  <si>
    <t>Sandscald Cliffs</t>
  </si>
  <si>
    <t>A Load of Bull</t>
  </si>
  <si>
    <t>https://dragalialost.wiki/w/A_Load_of_Bull</t>
  </si>
  <si>
    <t>C-069</t>
  </si>
  <si>
    <t>The Endless Journey</t>
  </si>
  <si>
    <t>https://dragalialost.wiki/w/The_Endless_Journey</t>
  </si>
  <si>
    <t>C-070</t>
  </si>
  <si>
    <t>The Wyrm Descends</t>
  </si>
  <si>
    <t>https://dragalialost.wiki/w/The_Wyrm_Descends</t>
  </si>
  <si>
    <t>C-071</t>
  </si>
  <si>
    <t>4-EX 2</t>
  </si>
  <si>
    <t>The Rocksplay</t>
  </si>
  <si>
    <t>The Paladyn's Calling</t>
  </si>
  <si>
    <t>https://dragalialost.wiki/w/The_Paladyn's_Calling</t>
  </si>
  <si>
    <t>C-072</t>
  </si>
  <si>
    <t>A Swinging Mountain Bash</t>
  </si>
  <si>
    <t>https://dragalialost.wiki/w/A_Swinging_Mountain_Bash</t>
  </si>
  <si>
    <t>C-073</t>
  </si>
  <si>
    <t>Dornith Summit</t>
  </si>
  <si>
    <t>A Sea of Pebbles and Petals</t>
  </si>
  <si>
    <t>https://dragalialost.wiki/w/A_Sea_of_Pebbles_and_Petals</t>
  </si>
  <si>
    <t>C-074</t>
  </si>
  <si>
    <t>Clash at the Summit</t>
  </si>
  <si>
    <t>https://dragalialost.wiki/w/Clash_at_the_Summit</t>
  </si>
  <si>
    <t>C-075</t>
  </si>
  <si>
    <t>The Lightwyrm's Wishes</t>
  </si>
  <si>
    <t>https://dragalialost.wiki/w/The_Lightwyrm's_Wishes</t>
  </si>
  <si>
    <t>C-076</t>
  </si>
  <si>
    <t>What Defines a Hero</t>
  </si>
  <si>
    <t>https://dragalialost.wiki/w/What_Defines_a_Hero</t>
  </si>
  <si>
    <t>C-077</t>
  </si>
  <si>
    <t>Bound</t>
  </si>
  <si>
    <t>05</t>
  </si>
  <si>
    <t>Binding Ruins</t>
  </si>
  <si>
    <t>To the Ancient Ruins</t>
  </si>
  <si>
    <t>https://dragalialost.wiki/w/To_the_Ancient_Ruins</t>
  </si>
  <si>
    <t>C-078</t>
  </si>
  <si>
    <t>Invitation to Darkness</t>
  </si>
  <si>
    <t>https://dragalialost.wiki/w/Invitation_to_Darkness</t>
  </si>
  <si>
    <t>C-079</t>
  </si>
  <si>
    <t>The Magical Doors</t>
  </si>
  <si>
    <t>https://dragalialost.wiki/w/The_Magical_Doors</t>
  </si>
  <si>
    <t>C-080</t>
  </si>
  <si>
    <t>Binding Ruins: Interior</t>
  </si>
  <si>
    <t>The Emperor's Scheme</t>
  </si>
  <si>
    <t>https://dragalialost.wiki/w/The_Emperor's_Scheme</t>
  </si>
  <si>
    <t>C-081</t>
  </si>
  <si>
    <t>Defeat the Imperial Soldiers</t>
  </si>
  <si>
    <t>https://dragalialost.wiki/w/Defeat_the_Imperial_Soldiers</t>
  </si>
  <si>
    <t>C-082</t>
  </si>
  <si>
    <t>The Shadow Revealed</t>
  </si>
  <si>
    <t>https://dragalialost.wiki/w/The_Shadow_Revealed</t>
  </si>
  <si>
    <t>C-083</t>
  </si>
  <si>
    <t>Confronting the Emperor</t>
  </si>
  <si>
    <t>https://dragalialost.wiki/w/Confronting_the_Emperor</t>
  </si>
  <si>
    <t>C-084</t>
  </si>
  <si>
    <t>Forbidden Ritual</t>
  </si>
  <si>
    <t>https://dragalialost.wiki/w/Forbidden_Ritual</t>
  </si>
  <si>
    <t>C-085</t>
  </si>
  <si>
    <t>Binding Ruins: Recesses</t>
  </si>
  <si>
    <t>The Collapsed Corridor</t>
  </si>
  <si>
    <t>https://dragalialost.wiki/w/The_Collapsed_Corridor</t>
  </si>
  <si>
    <t>C-086</t>
  </si>
  <si>
    <t>Fire-Breathing Statues</t>
  </si>
  <si>
    <t>https://dragalialost.wiki/w/Fire-Breathing_Statues</t>
  </si>
  <si>
    <t>C-087</t>
  </si>
  <si>
    <t>The Channeling Chamber</t>
  </si>
  <si>
    <t>https://dragalialost.wiki/w/The_Channeling_Chamber</t>
  </si>
  <si>
    <t>C-088</t>
  </si>
  <si>
    <t>Binding Ruins: Terminus</t>
  </si>
  <si>
    <t>https://dragalialost.wiki/w/Zethia</t>
  </si>
  <si>
    <t>C-089</t>
  </si>
  <si>
    <t>A Fatal Trap</t>
  </si>
  <si>
    <t>https://dragalialost.wiki/w/A_Fatal_Trap</t>
  </si>
  <si>
    <t>C-090</t>
  </si>
  <si>
    <t>Dark Terminus</t>
  </si>
  <si>
    <t>https://dragalialost.wiki/w/Dark_Terminus</t>
  </si>
  <si>
    <t>C-091</t>
  </si>
  <si>
    <t>The Auspex's Last Words</t>
  </si>
  <si>
    <t>https://dragalialost.wiki/w/The_Auspex's_Last_Words</t>
  </si>
  <si>
    <t>C-092</t>
  </si>
  <si>
    <t>The Halidom's Crisis</t>
  </si>
  <si>
    <t>06</t>
  </si>
  <si>
    <t>Halidom Environs</t>
  </si>
  <si>
    <t>In Low Spirits</t>
  </si>
  <si>
    <t>https://dragalialost.wiki/w/In_Low_Spirits</t>
  </si>
  <si>
    <t>C-093</t>
  </si>
  <si>
    <t>Watch for Falling Trees</t>
  </si>
  <si>
    <t>https://dragalialost.wiki/w/Watch_for_Falling_Trees</t>
  </si>
  <si>
    <t>C-094</t>
  </si>
  <si>
    <t>The Violet Mire</t>
  </si>
  <si>
    <t>https://dragalialost.wiki/w/The_Violet_Mire</t>
  </si>
  <si>
    <t>C-095</t>
  </si>
  <si>
    <t>Man of War</t>
  </si>
  <si>
    <t>https://dragalialost.wiki/w/Man_of_War</t>
  </si>
  <si>
    <t>C-096</t>
  </si>
  <si>
    <t>Night Meanderings</t>
  </si>
  <si>
    <t>https://dragalialost.wiki/w/Night_Meanderings</t>
  </si>
  <si>
    <t>C-097</t>
  </si>
  <si>
    <t>Midnight Melee</t>
  </si>
  <si>
    <t>https://dragalialost.wiki/w/Midnight_Melee</t>
  </si>
  <si>
    <t>C-098</t>
  </si>
  <si>
    <t>Road to Conflict</t>
  </si>
  <si>
    <t>What to Seek</t>
  </si>
  <si>
    <t>https://dragalialost.wiki/w/What_to_Seek</t>
  </si>
  <si>
    <t>C-099</t>
  </si>
  <si>
    <t>The Serpent's Gaze</t>
  </si>
  <si>
    <t>https://dragalialost.wiki/w/The_Serpent%27s_Gaze</t>
  </si>
  <si>
    <t>C-100</t>
  </si>
  <si>
    <t>The Frothing Mire</t>
  </si>
  <si>
    <t>https://dragalialost.wiki/w/The_Frothing_Mire</t>
  </si>
  <si>
    <t>C-101</t>
  </si>
  <si>
    <t>Royal Makings</t>
  </si>
  <si>
    <t>https://dragalialost.wiki/w/Royal_Makings</t>
  </si>
  <si>
    <t>C-102</t>
  </si>
  <si>
    <t>The Prince and Eye</t>
  </si>
  <si>
    <t>https://dragalialost.wiki/w/The_Prince_and_Eye</t>
  </si>
  <si>
    <t>C-103</t>
  </si>
  <si>
    <t>No Escape</t>
  </si>
  <si>
    <t>https://dragalialost.wiki/w/No_Escape</t>
  </si>
  <si>
    <t>C-104</t>
  </si>
  <si>
    <t>Mistholt Gauntlet</t>
  </si>
  <si>
    <t>Woodland Blitz</t>
  </si>
  <si>
    <t>https://dragalialost.wiki/w/Woodland_Blitz</t>
  </si>
  <si>
    <t>C-105</t>
  </si>
  <si>
    <t>Destroy Them All!</t>
  </si>
  <si>
    <t>https://dragalialost.wiki/w/Destroy_Them_All!</t>
  </si>
  <si>
    <t>C-106</t>
  </si>
  <si>
    <t>Enemy Camp</t>
  </si>
  <si>
    <t>The Paladyn's Past</t>
  </si>
  <si>
    <t>https://dragalialost.wiki/w/The_Paladyn's_Past</t>
  </si>
  <si>
    <t>C-107</t>
  </si>
  <si>
    <t>The Midnight Raid</t>
  </si>
  <si>
    <t>https://dragalialost.wiki/w/The_Midnight_Raid</t>
  </si>
  <si>
    <t>C-108</t>
  </si>
  <si>
    <t>Double Trouble</t>
  </si>
  <si>
    <t>https://dragalialost.wiki/w/Double_Trouble</t>
  </si>
  <si>
    <t>C-109</t>
  </si>
  <si>
    <t>Battle With Valyx's Soldiers</t>
  </si>
  <si>
    <t>https://dragalialost.wiki/w/Battle_with_Valyx%27s_Soldiers</t>
  </si>
  <si>
    <t>C-110</t>
  </si>
  <si>
    <t>The Eye of the Clash</t>
  </si>
  <si>
    <t>https://dragalialost.wiki/w/The_Eye_of_the_Clash</t>
  </si>
  <si>
    <t>C-111</t>
  </si>
  <si>
    <t>The Windway</t>
  </si>
  <si>
    <t>One Last Push</t>
  </si>
  <si>
    <t>https://dragalialost.wiki/w/One_Last_Push</t>
  </si>
  <si>
    <t>C-112</t>
  </si>
  <si>
    <t>Seize the Enemy Camp</t>
  </si>
  <si>
    <t>https://dragalialost.wiki/w/Seize_the_Enemy_Camp</t>
  </si>
  <si>
    <t>C-113</t>
  </si>
  <si>
    <t>Indomitable Titan</t>
  </si>
  <si>
    <t>https://dragalialost.wiki/w/Indomitable_Titan</t>
  </si>
  <si>
    <t>C-114</t>
  </si>
  <si>
    <t>Diadem of Light</t>
  </si>
  <si>
    <t>https://dragalialost.wiki/w/Diadem_of_Light</t>
  </si>
  <si>
    <t>C-115</t>
  </si>
  <si>
    <t>Trek to the Aquapolis</t>
  </si>
  <si>
    <t>07</t>
  </si>
  <si>
    <t>Aquapolis Highway</t>
  </si>
  <si>
    <t>Across the Moor</t>
  </si>
  <si>
    <t>https://dragalialost.wiki/w/Across_the_Moor</t>
  </si>
  <si>
    <t>C-116</t>
  </si>
  <si>
    <t>The Narrow Road</t>
  </si>
  <si>
    <t>https://dragalialost.wiki/w/The_Narrow_Road</t>
  </si>
  <si>
    <t>Campaign 3</t>
  </si>
  <si>
    <t>C-117</t>
  </si>
  <si>
    <t>In Deep Water</t>
  </si>
  <si>
    <t>https://dragalialost.wiki/w/In_Deep_Water</t>
  </si>
  <si>
    <t>C-118</t>
  </si>
  <si>
    <t>Aquapolis Moat</t>
  </si>
  <si>
    <t>Outside the City</t>
  </si>
  <si>
    <t>https://dragalialost.wiki/w/Outside_the_City</t>
  </si>
  <si>
    <t>C-119</t>
  </si>
  <si>
    <t>Journey Through the Jets</t>
  </si>
  <si>
    <t>https://dragalialost.wiki/w/Journey_Through_the_Jets</t>
  </si>
  <si>
    <t>C-120</t>
  </si>
  <si>
    <t>Garden of the Hounds</t>
  </si>
  <si>
    <t>https://dragalialost.wiki/w/Garden_of_the_Hounds</t>
  </si>
  <si>
    <t>C-121</t>
  </si>
  <si>
    <t>Saint Lotier</t>
  </si>
  <si>
    <t>The Audience</t>
  </si>
  <si>
    <t>https://dragalialost.wiki/w/The_Audience</t>
  </si>
  <si>
    <t>C-122</t>
  </si>
  <si>
    <t>Mushroom Mayhem</t>
  </si>
  <si>
    <t>https://dragalialost.wiki/w/Mushroom_Mayhem</t>
  </si>
  <si>
    <t>C-123</t>
  </si>
  <si>
    <t>Waterside Cleanup</t>
  </si>
  <si>
    <t>https://dragalialost.wiki/w/Waterside_Cleanup</t>
  </si>
  <si>
    <t>C-124</t>
  </si>
  <si>
    <t>Father and Son</t>
  </si>
  <si>
    <t>https://dragalialost.wiki/w/Father_and_Son</t>
  </si>
  <si>
    <t>C-125</t>
  </si>
  <si>
    <t>King of the Old Marsh</t>
  </si>
  <si>
    <t>https://dragalialost.wiki/w/King_of_the_Old_Marsh</t>
  </si>
  <si>
    <t>C-126</t>
  </si>
  <si>
    <t>The Water Trap Gauntlet</t>
  </si>
  <si>
    <t>https://dragalialost.wiki/w/The_Water_Trap_Gauntlet</t>
  </si>
  <si>
    <t>C-127</t>
  </si>
  <si>
    <t>3-EX 1</t>
  </si>
  <si>
    <t>Lakeside Pasture</t>
  </si>
  <si>
    <t>Troublemaker on the Far Shore</t>
  </si>
  <si>
    <t>https://dragalialost.wiki/w/Troublemaker_on_the_Far_Shore</t>
  </si>
  <si>
    <t>C-128</t>
  </si>
  <si>
    <t>Wetlands Approach</t>
  </si>
  <si>
    <t>History of a Continent</t>
  </si>
  <si>
    <t>https://dragalialost.wiki/w/History_of_a_Continent</t>
  </si>
  <si>
    <t>C-129</t>
  </si>
  <si>
    <t>A Watery Grave</t>
  </si>
  <si>
    <t>https://dragalialost.wiki/w/A_Watery_Grave</t>
  </si>
  <si>
    <t>C-130</t>
  </si>
  <si>
    <t>Feast of the Water Fiends</t>
  </si>
  <si>
    <t>https://dragalialost.wiki/w/Feast_of_the_Water_Fiends</t>
  </si>
  <si>
    <t>C-131</t>
  </si>
  <si>
    <t>Watering Hole</t>
  </si>
  <si>
    <t>Lakeside Blitz</t>
  </si>
  <si>
    <t>https://dragalialost.wiki/w/Lakeside_Blitz</t>
  </si>
  <si>
    <t>C-132</t>
  </si>
  <si>
    <t>Davian Wetlands</t>
  </si>
  <si>
    <t>Writhing to the Occasion</t>
  </si>
  <si>
    <t>https://dragalialost.wiki/w/Writhing_to_the_Occasion</t>
  </si>
  <si>
    <t>C-133</t>
  </si>
  <si>
    <t>Pursue Emile!</t>
  </si>
  <si>
    <t>https://dragalialost.wiki/w/Pursue_Emile!</t>
  </si>
  <si>
    <t>C-134</t>
  </si>
  <si>
    <t>A Farewell Blow</t>
  </si>
  <si>
    <t>https://dragalialost.wiki/w/A_Farewell_Blow</t>
  </si>
  <si>
    <t>C-135</t>
  </si>
  <si>
    <t>The General's Stratagem</t>
  </si>
  <si>
    <t>https://dragalialost.wiki/w/The_General's_Stratagem</t>
  </si>
  <si>
    <t>C-136</t>
  </si>
  <si>
    <t>Defeat the Ancient Weapon</t>
  </si>
  <si>
    <t>https://dragalialost.wiki/w/Defeat_the_Ancient_Weapon</t>
  </si>
  <si>
    <t>C-137</t>
  </si>
  <si>
    <t>A Bond to Unite the Land</t>
  </si>
  <si>
    <t>https://dragalialost.wiki/w/A_Bond_to_Unite_the_Land</t>
  </si>
  <si>
    <t>C-138</t>
  </si>
  <si>
    <t>Entwining Flames</t>
  </si>
  <si>
    <t>08</t>
  </si>
  <si>
    <t>Forsaken Way: Entrance</t>
  </si>
  <si>
    <t>To Valkaheim</t>
  </si>
  <si>
    <t>https://dragalialost.wiki/w/To_Valkaheim</t>
  </si>
  <si>
    <t>C-139</t>
  </si>
  <si>
    <t>The Forsaken Way</t>
  </si>
  <si>
    <t>https://dragalialost.wiki/w/The_Forsaken_Way</t>
  </si>
  <si>
    <t>C-140</t>
  </si>
  <si>
    <t>Among the Roaring Flames</t>
  </si>
  <si>
    <t>https://dragalialost.wiki/w/Among_the_Roaring_Flames</t>
  </si>
  <si>
    <t>C-141</t>
  </si>
  <si>
    <t>Dancing with Flames</t>
  </si>
  <si>
    <t>https://dragalialost.wiki/w/Dancing_with_Flames</t>
  </si>
  <si>
    <t>C-142</t>
  </si>
  <si>
    <t>The Ruined Church</t>
  </si>
  <si>
    <t>https://dragalialost.wiki/w/The_Ruined_Church</t>
  </si>
  <si>
    <t>C-143</t>
  </si>
  <si>
    <t>Clad in Crimson</t>
  </si>
  <si>
    <t>https://dragalialost.wiki/w/Clad_in_Crimson</t>
  </si>
  <si>
    <t>C-144</t>
  </si>
  <si>
    <t>Danger from Below</t>
  </si>
  <si>
    <t>https://dragalialost.wiki/w/Danger_from_Below</t>
  </si>
  <si>
    <t>C-145</t>
  </si>
  <si>
    <t>The Burning Byroad</t>
  </si>
  <si>
    <t>The City of Might</t>
  </si>
  <si>
    <t>https://dragalialost.wiki/w/The_City_of_Might</t>
  </si>
  <si>
    <t>C-146</t>
  </si>
  <si>
    <t>Sorrounded by Scorching Heat</t>
  </si>
  <si>
    <t>https://dragalialost.wiki/w/Surrounded_by_Scorching_Heat</t>
  </si>
  <si>
    <t>C-147</t>
  </si>
  <si>
    <t>Bridge of the Sun</t>
  </si>
  <si>
    <t>Dark Ambitions</t>
  </si>
  <si>
    <t>https://dragalialost.wiki/w/Dark_Ambitions</t>
  </si>
  <si>
    <t>C-148</t>
  </si>
  <si>
    <t>Burning Blood</t>
  </si>
  <si>
    <t>https://dragalialost.wiki/w/Burning_Blood</t>
  </si>
  <si>
    <t>C-149</t>
  </si>
  <si>
    <t>The Searing Slog</t>
  </si>
  <si>
    <t>https://dragalialost.wiki/w/The_Searing_Slog</t>
  </si>
  <si>
    <t>C-150</t>
  </si>
  <si>
    <t>The Pyroclastic Path</t>
  </si>
  <si>
    <t>https://dragalialost.wiki/w/The_Pyroclastic_Path</t>
  </si>
  <si>
    <t>C-151</t>
  </si>
  <si>
    <t>The Crimson Crossroads</t>
  </si>
  <si>
    <t>The Savage Blazewyrm</t>
  </si>
  <si>
    <t>https://dragalialost.wiki/w/The_Savage_Blazewyrm</t>
  </si>
  <si>
    <t>C-152</t>
  </si>
  <si>
    <t>The Undead's Approach</t>
  </si>
  <si>
    <t>https://dragalialost.wiki/w/The_Undead%27s_Approach</t>
  </si>
  <si>
    <t>C-153</t>
  </si>
  <si>
    <t>Garden of the Dead</t>
  </si>
  <si>
    <t>https://dragalialost.wiki/w/Garden_of_the_Dead</t>
  </si>
  <si>
    <t>C-154</t>
  </si>
  <si>
    <t>Perdition's Lookout</t>
  </si>
  <si>
    <t>In the Distant Capital</t>
  </si>
  <si>
    <t>https://dragalialost.wiki/w/In_the_Distant_Capital</t>
  </si>
  <si>
    <t>C-155</t>
  </si>
  <si>
    <t>In the Heat of the Moment</t>
  </si>
  <si>
    <t>https://dragalialost.wiki/w/In_the_Heat_of_the_Moment</t>
  </si>
  <si>
    <t>C-156</t>
  </si>
  <si>
    <t>The Demon's Altar</t>
  </si>
  <si>
    <t>The Infernal Giants</t>
  </si>
  <si>
    <t>https://dragalialost.wiki/w/The_Infernal_Giants</t>
  </si>
  <si>
    <t>C-157</t>
  </si>
  <si>
    <t>Justice in Many Forms</t>
  </si>
  <si>
    <t>https://dragalialost.wiki/w/Justice_in_Many_Forms</t>
  </si>
  <si>
    <t>C-158</t>
  </si>
  <si>
    <t>Beyond the Hellfire</t>
  </si>
  <si>
    <t>https://dragalialost.wiki/w/Beyond_the_Hellfire</t>
  </si>
  <si>
    <t>C-159</t>
  </si>
  <si>
    <t>Love Births Strength</t>
  </si>
  <si>
    <t>https://dragalialost.wiki/w/Love_Births_Strength</t>
  </si>
  <si>
    <t>C-160</t>
  </si>
  <si>
    <t>The Princess's Party</t>
  </si>
  <si>
    <t>09</t>
  </si>
  <si>
    <t>The Egan Flats</t>
  </si>
  <si>
    <t>The Princess's Invitation</t>
  </si>
  <si>
    <t>https://dragalialost.wiki/w/The_Princess's_Invitation</t>
  </si>
  <si>
    <t>C-161</t>
  </si>
  <si>
    <t>The Path to the Party</t>
  </si>
  <si>
    <t>https://dragalialost.wiki/w/The_Path_to_the_Party</t>
  </si>
  <si>
    <t>C-162</t>
  </si>
  <si>
    <t>Uninhabited Wasteland</t>
  </si>
  <si>
    <t>Palace in the Sands</t>
  </si>
  <si>
    <t>https://dragalialost.wiki/w/Palace_in_the_Sands</t>
  </si>
  <si>
    <t>C-163</t>
  </si>
  <si>
    <t>Saving the Sparrow</t>
  </si>
  <si>
    <t>https://dragalialost.wiki/w/Saving_the_Sparrow</t>
  </si>
  <si>
    <t>C-164</t>
  </si>
  <si>
    <t>Sandy Intersection</t>
  </si>
  <si>
    <t>An Unexpected Gift</t>
  </si>
  <si>
    <t>https://dragalialost.wiki/w/An_Unexpected_Gift</t>
  </si>
  <si>
    <t>C-165</t>
  </si>
  <si>
    <t>In the Rumbling Thunder</t>
  </si>
  <si>
    <t>https://dragalialost.wiki/w/In_the_Rumbling_Thunder</t>
  </si>
  <si>
    <t>C-166</t>
  </si>
  <si>
    <t>Chanzelia's Main Gate</t>
  </si>
  <si>
    <t>The Sparrow's Resolve</t>
  </si>
  <si>
    <t>https://dragalialost.wiki/w/The_Sparrow's_Resolve</t>
  </si>
  <si>
    <t>C-167</t>
  </si>
  <si>
    <t>The Fiends' Feast</t>
  </si>
  <si>
    <t>https://dragalialost.wiki/w/The_Fiends%27_Feast</t>
  </si>
  <si>
    <t>C-168</t>
  </si>
  <si>
    <t>Chanzelian Palace</t>
  </si>
  <si>
    <t>In the Shadow of Radiance</t>
  </si>
  <si>
    <t>https://dragalialost.wiki/w/In_the_Shadow_of_Radiance</t>
  </si>
  <si>
    <t>C-169</t>
  </si>
  <si>
    <t>A Triumphant Return</t>
  </si>
  <si>
    <t>https://dragalialost.wiki/w/A_Triumphant_Return</t>
  </si>
  <si>
    <t>C-170</t>
  </si>
  <si>
    <t>A New Horse</t>
  </si>
  <si>
    <t>https://dragalialost.wiki/w/A_New_Horse</t>
  </si>
  <si>
    <t>C-171</t>
  </si>
  <si>
    <t>The Eventide Game</t>
  </si>
  <si>
    <t>https://dragalialost.wiki/w/The_Eventide_Game</t>
  </si>
  <si>
    <t>C-172</t>
  </si>
  <si>
    <t>Excavation Site</t>
  </si>
  <si>
    <t>Schemes Exposed</t>
  </si>
  <si>
    <t>https://dragalialost.wiki/w/Schemes_Exposed</t>
  </si>
  <si>
    <t>C-173</t>
  </si>
  <si>
    <t>The Weapon Awakens</t>
  </si>
  <si>
    <t>https://dragalialost.wiki/w/The_Weapon_Awakens</t>
  </si>
  <si>
    <t>C-174</t>
  </si>
  <si>
    <t>The Princess's Plot</t>
  </si>
  <si>
    <t>https://dragalialost.wiki/w/The_Princess's_Plot</t>
  </si>
  <si>
    <t>C-175</t>
  </si>
  <si>
    <t>Gran Criminale</t>
  </si>
  <si>
    <t>https://dragalialost.wiki/w/Gran_Criminale</t>
  </si>
  <si>
    <t>C-176</t>
  </si>
  <si>
    <t>An Endless Rondo</t>
  </si>
  <si>
    <t>https://dragalialost.wiki/w/An_Endless_Rondo</t>
  </si>
  <si>
    <t>C-177</t>
  </si>
  <si>
    <t>Resurgent Despair</t>
  </si>
  <si>
    <t>10</t>
  </si>
  <si>
    <t>Clave Loy'elune</t>
  </si>
  <si>
    <t>https://dragalialost.wiki/w/Clave_Loy'elune</t>
  </si>
  <si>
    <t>C-178</t>
  </si>
  <si>
    <t>The Miasmic Ruins</t>
  </si>
  <si>
    <t>https://dragalialost.wiki/w/The_Miasmic_Ruins</t>
  </si>
  <si>
    <t>C-179</t>
  </si>
  <si>
    <t>Ruin Interior</t>
  </si>
  <si>
    <t>Bygone Days</t>
  </si>
  <si>
    <t>https://dragalialost.wiki/w/Bygone_Days</t>
  </si>
  <si>
    <t>C-180</t>
  </si>
  <si>
    <t>Following the Darkness</t>
  </si>
  <si>
    <t>https://dragalialost.wiki/w/Following_the_Darkness</t>
  </si>
  <si>
    <t>C-181</t>
  </si>
  <si>
    <t>Interior</t>
  </si>
  <si>
    <t>A Story Untold</t>
  </si>
  <si>
    <t>https://dragalialost.wiki/w/A_Story_Untold</t>
  </si>
  <si>
    <t>C-182</t>
  </si>
  <si>
    <t>Impending Disaster</t>
  </si>
  <si>
    <t>https://dragalialost.wiki/w/Impending_Disaster</t>
  </si>
  <si>
    <t>C-183</t>
  </si>
  <si>
    <t>Narrow Pass</t>
  </si>
  <si>
    <t>The Empire's Origins</t>
  </si>
  <si>
    <t>https://dragalialost.wiki/w/The_Empire's_Origins</t>
  </si>
  <si>
    <t>C-184</t>
  </si>
  <si>
    <t>Pervasive Resentment</t>
  </si>
  <si>
    <t>https://dragalialost.wiki/w/Pervasive_Resentment</t>
  </si>
  <si>
    <t>C-185</t>
  </si>
  <si>
    <t>??? (Chapter 10)</t>
  </si>
  <si>
    <t>https://dragalialost.wiki/w/%3F%3F%3F_(Chapter_10)</t>
  </si>
  <si>
    <t>C-186</t>
  </si>
  <si>
    <t>Deep Inside</t>
  </si>
  <si>
    <t>The Blood Casket</t>
  </si>
  <si>
    <t>https://dragalialost.wiki/w/The_Blood_Casket</t>
  </si>
  <si>
    <t>C-187</t>
  </si>
  <si>
    <t>Legendary Resting Place</t>
  </si>
  <si>
    <t>https://dragalialost.wiki/w/Legendary_Resting_Place</t>
  </si>
  <si>
    <t>C-188</t>
  </si>
  <si>
    <t>A Corpse's Invitation</t>
  </si>
  <si>
    <t>https://dragalialost.wiki/w/A_Corpse%27s_Invitation</t>
  </si>
  <si>
    <t>C-189</t>
  </si>
  <si>
    <t>Depths</t>
  </si>
  <si>
    <t>To the Final Battle</t>
  </si>
  <si>
    <t>https://dragalialost.wiki/w/To_the_Final_Battle</t>
  </si>
  <si>
    <t>C-190</t>
  </si>
  <si>
    <t>A Hero's End</t>
  </si>
  <si>
    <t>https://dragalialost.wiki/w/A_Hero's_End</t>
  </si>
  <si>
    <t>C-191</t>
  </si>
  <si>
    <t>Terminus</t>
  </si>
  <si>
    <t>The Netherwyrm's Roar</t>
  </si>
  <si>
    <t>https://dragalialost.wiki/w/The_Netherwyrm%27s_Roar</t>
  </si>
  <si>
    <t>C-192</t>
  </si>
  <si>
    <t>https://dragalialost.wiki/w/Resurgent_Despair</t>
  </si>
  <si>
    <t>C-193</t>
  </si>
  <si>
    <t>A New Vow</t>
  </si>
  <si>
    <t>https://dragalialost.wiki/w/A_New_Vow</t>
  </si>
  <si>
    <t>C-194</t>
  </si>
  <si>
    <t>Android Anguish</t>
  </si>
  <si>
    <t>11</t>
  </si>
  <si>
    <t>Murgia Village Outskirts</t>
  </si>
  <si>
    <t>Ancient Weapons</t>
  </si>
  <si>
    <t>https://dragalialost.wiki/w/Ancient_Weapons</t>
  </si>
  <si>
    <t>C-195</t>
  </si>
  <si>
    <t>Advance of the Androids</t>
  </si>
  <si>
    <t>https://dragalialost.wiki/w/Advance_of_the_Androids</t>
  </si>
  <si>
    <t>C-196</t>
  </si>
  <si>
    <t>Stone Path</t>
  </si>
  <si>
    <t>Mascula's Activation</t>
  </si>
  <si>
    <t>https://dragalialost.wiki/w/Mascula's_Activation</t>
  </si>
  <si>
    <t>C-197</t>
  </si>
  <si>
    <t>Persistent Pursuers</t>
  </si>
  <si>
    <t>https://dragalialost.wiki/w/Persistent_Pursuers</t>
  </si>
  <si>
    <t>C-198</t>
  </si>
  <si>
    <t>Grassy Field</t>
  </si>
  <si>
    <t>An Innocent Android</t>
  </si>
  <si>
    <t>https://dragalialost.wiki/w/An_Innocent_Android</t>
  </si>
  <si>
    <t>C-199</t>
  </si>
  <si>
    <t>Prince Emile's Obsession</t>
  </si>
  <si>
    <t>https://dragalialost.wiki/w/Prince_Emile%27s_Obsession</t>
  </si>
  <si>
    <t>C-200</t>
  </si>
  <si>
    <t>Ruined Town</t>
  </si>
  <si>
    <t>Ruined Town Run-In</t>
  </si>
  <si>
    <t>https://dragalialost.wiki/w/Ruined_Town_Run-In</t>
  </si>
  <si>
    <t>C-201</t>
  </si>
  <si>
    <t>A Broken Heart</t>
  </si>
  <si>
    <t>https://dragalialost.wiki/w/A_Broken_Heart</t>
  </si>
  <si>
    <t>C-202</t>
  </si>
  <si>
    <t>4-EX 1</t>
  </si>
  <si>
    <t>Ancient Meadow</t>
  </si>
  <si>
    <t>A Curious Feeling</t>
  </si>
  <si>
    <t>https://dragalialost.wiki/w/A_Curious_Feeling</t>
  </si>
  <si>
    <t>C-203</t>
  </si>
  <si>
    <t>Blocked Path</t>
  </si>
  <si>
    <t>https://dragalialost.wiki/w/Blocked_Path</t>
  </si>
  <si>
    <t>C-204</t>
  </si>
  <si>
    <t>??? (Chapter 11)</t>
  </si>
  <si>
    <t>https://dragalialost.wiki/w/%3F%3F%3F_(Chapter_11)</t>
  </si>
  <si>
    <t>C-205</t>
  </si>
  <si>
    <t>Mossy Meadow</t>
  </si>
  <si>
    <t>Following Laxi</t>
  </si>
  <si>
    <t>https://dragalialost.wiki/w/Following_Laxi</t>
  </si>
  <si>
    <t>C-206</t>
  </si>
  <si>
    <t>Twilight Chase</t>
  </si>
  <si>
    <t>https://dragalialost.wiki/w/Twilight_Chase</t>
  </si>
  <si>
    <t>C-207</t>
  </si>
  <si>
    <t>Forgotten Ruin</t>
  </si>
  <si>
    <t>The Maestro's Children</t>
  </si>
  <si>
    <t>https://dragalialost.wiki/w/The_Maestro's_Children</t>
  </si>
  <si>
    <t>C-208</t>
  </si>
  <si>
    <t>Annihilation Mode</t>
  </si>
  <si>
    <t>https://dragalialost.wiki/w/Annihilation_Mode</t>
  </si>
  <si>
    <t>C-209</t>
  </si>
  <si>
    <t>Two Hearts</t>
  </si>
  <si>
    <t>https://dragalialost.wiki/w/Two_Hearts</t>
  </si>
  <si>
    <t>C-210</t>
  </si>
  <si>
    <t>The Path She Believed In</t>
  </si>
  <si>
    <t>https://dragalialost.wiki/w/The_Path_She_Believed_In</t>
  </si>
  <si>
    <t>C-211</t>
  </si>
  <si>
    <t>Pursuing Knowledge</t>
  </si>
  <si>
    <t>https://dragalialost.wiki/w/Pursuing_Knowledge</t>
  </si>
  <si>
    <t>C-212</t>
  </si>
  <si>
    <t>Destruction and Domination</t>
  </si>
  <si>
    <t>12</t>
  </si>
  <si>
    <t>Rovetelle Outskirts</t>
  </si>
  <si>
    <t>The Flames of Battle</t>
  </si>
  <si>
    <t>https://dragalialost.wiki/w/The_Flames_of_Battle</t>
  </si>
  <si>
    <t>C-213</t>
  </si>
  <si>
    <t>Blazewyrm</t>
  </si>
  <si>
    <t>https://dragalialost.wiki/w/Blazewyrm</t>
  </si>
  <si>
    <t>C-214</t>
  </si>
  <si>
    <t>Mistholt: Entrance</t>
  </si>
  <si>
    <t>Rabid Resolve</t>
  </si>
  <si>
    <t>https://dragalialost.wiki/w/Rabid_Resolve</t>
  </si>
  <si>
    <t>C-215</t>
  </si>
  <si>
    <t>Ferocity</t>
  </si>
  <si>
    <t>https://dragalialost.wiki/w/Ferocity</t>
  </si>
  <si>
    <t>C-216</t>
  </si>
  <si>
    <t>Unremitting</t>
  </si>
  <si>
    <t>https://dragalialost.wiki/w/Unremitting</t>
  </si>
  <si>
    <t>C-217</t>
  </si>
  <si>
    <t>Mistholt: Defensive Line</t>
  </si>
  <si>
    <t>Setting a Trap</t>
  </si>
  <si>
    <t>https://dragalialost.wiki/w/Setting_a_Trap</t>
  </si>
  <si>
    <t>C-218</t>
  </si>
  <si>
    <t>Resistance</t>
  </si>
  <si>
    <t>https://dragalialost.wiki/w/Resistance</t>
  </si>
  <si>
    <t>C-219</t>
  </si>
  <si>
    <t>Royal Authority</t>
  </si>
  <si>
    <t>https://dragalialost.wiki/w/Royal_Authority</t>
  </si>
  <si>
    <t>C-220</t>
  </si>
  <si>
    <t>Advance</t>
  </si>
  <si>
    <t>https://dragalialost.wiki/w/Advance</t>
  </si>
  <si>
    <t>C-221</t>
  </si>
  <si>
    <t>Mistholt: Verdant Area</t>
  </si>
  <si>
    <t>Sibling Assembly</t>
  </si>
  <si>
    <t>https://dragalialost.wiki/w/Sibling_Assembly</t>
  </si>
  <si>
    <t>C-222</t>
  </si>
  <si>
    <t>Perplexity</t>
  </si>
  <si>
    <t>https://dragalialost.wiki/w/Perplexity</t>
  </si>
  <si>
    <t>C-223</t>
  </si>
  <si>
    <t>??? (Chapter 12)</t>
  </si>
  <si>
    <t>https://dragalialost.wiki/w/%3F%3F%3F_(Chapter_12)</t>
  </si>
  <si>
    <t>C-224</t>
  </si>
  <si>
    <t>Last Line of Defense</t>
  </si>
  <si>
    <t>Fate</t>
  </si>
  <si>
    <t>https://dragalialost.wiki/w/Fate</t>
  </si>
  <si>
    <t>C-225</t>
  </si>
  <si>
    <t>The Decisive Battle</t>
  </si>
  <si>
    <t>https://dragalialost.wiki/w/The_Decisive_Battle</t>
  </si>
  <si>
    <t>C-226</t>
  </si>
  <si>
    <t>Rightful Ruler</t>
  </si>
  <si>
    <t>https://dragalialost.wiki/w/Rightful_Ruler</t>
  </si>
  <si>
    <t>C-227</t>
  </si>
  <si>
    <t>Unyielding Ambition</t>
  </si>
  <si>
    <t>https://dragalialost.wiki/w/Unyielding_Ambition</t>
  </si>
  <si>
    <t>C-228</t>
  </si>
  <si>
    <t>The Unshackling</t>
  </si>
  <si>
    <t>https://dragalialost.wiki/w/The_Unshackling</t>
  </si>
  <si>
    <t>C-229</t>
  </si>
  <si>
    <t>Old Memories</t>
  </si>
  <si>
    <t>https://dragalialost.wiki/w/Old_Memories</t>
  </si>
  <si>
    <t>C-230</t>
  </si>
  <si>
    <t>The Royal Truth</t>
  </si>
  <si>
    <t>https://dragalialost.wiki/w/The_Royal_Truth</t>
  </si>
  <si>
    <t>C-231</t>
  </si>
  <si>
    <t>Return from Darkness</t>
  </si>
  <si>
    <t>13</t>
  </si>
  <si>
    <t>Lake Reeve: Entrance</t>
  </si>
  <si>
    <t>A Black Power</t>
  </si>
  <si>
    <t>https://dragalialost.wiki/w/A_Black_Power</t>
  </si>
  <si>
    <t>C-232</t>
  </si>
  <si>
    <t>The Verboten Lake</t>
  </si>
  <si>
    <t>https://dragalialost.wiki/w/The_Verboten_Lake</t>
  </si>
  <si>
    <t>C-233</t>
  </si>
  <si>
    <t>After the Lost Child</t>
  </si>
  <si>
    <t>https://dragalialost.wiki/w/After_the_Lost_Child</t>
  </si>
  <si>
    <t>C-234</t>
  </si>
  <si>
    <t>Forbidden Path</t>
  </si>
  <si>
    <t>Attacked on the Shore</t>
  </si>
  <si>
    <t>https://dragalialost.wiki/w/Attacked_on_the_Shore</t>
  </si>
  <si>
    <t>C-235</t>
  </si>
  <si>
    <t>The Corrupted Dragons</t>
  </si>
  <si>
    <t>https://dragalialost.wiki/w/The_Corrupted_Dragons</t>
  </si>
  <si>
    <t>Void 3 Dragon</t>
  </si>
  <si>
    <t>Void 4 Dragon</t>
  </si>
  <si>
    <t>C-236</t>
  </si>
  <si>
    <t>Forbidden Path: Crossroads</t>
  </si>
  <si>
    <t>A Lakeside Meeting</t>
  </si>
  <si>
    <t>https://dragalialost.wiki/w/A_Lakeside_Meeting</t>
  </si>
  <si>
    <t>C-237</t>
  </si>
  <si>
    <t>The Black Fiends</t>
  </si>
  <si>
    <t>https://dragalialost.wiki/w/The_Black_Fiends</t>
  </si>
  <si>
    <t>C-238</t>
  </si>
  <si>
    <t>Lakeside Path</t>
  </si>
  <si>
    <t>A Warrior's Pride</t>
  </si>
  <si>
    <t>https://dragalialost.wiki/w/A_Warrior's_Pride</t>
  </si>
  <si>
    <t>C-239</t>
  </si>
  <si>
    <t>Battle on the Byroad</t>
  </si>
  <si>
    <t>https://dragalialost.wiki/w/Battle_on_the_Byroad</t>
  </si>
  <si>
    <t>C-240</t>
  </si>
  <si>
    <t>??? (Chapter 13)</t>
  </si>
  <si>
    <t>https://dragalialost.wiki/w/%3F%3F%3F_(Chapter_13)</t>
  </si>
  <si>
    <t>C-241</t>
  </si>
  <si>
    <t>Polluted Forest</t>
  </si>
  <si>
    <t>To Be Needed</t>
  </si>
  <si>
    <t>https://dragalialost.wiki/w/To_Be_Needed</t>
  </si>
  <si>
    <t>C-242</t>
  </si>
  <si>
    <t>https://dragalialost.wiki/w/The_Stagnant_Guardian</t>
  </si>
  <si>
    <t>C-243</t>
  </si>
  <si>
    <t>https://dragalialost.wiki/w/The_Sacrilegious_Saint</t>
  </si>
  <si>
    <t>Void Jeanne</t>
  </si>
  <si>
    <t>C-244</t>
  </si>
  <si>
    <t>Mysterious Structure</t>
  </si>
  <si>
    <t>Ancient Technology</t>
  </si>
  <si>
    <t>https://dragalialost.wiki/w/Ancient_Technology</t>
  </si>
  <si>
    <t>C-245</t>
  </si>
  <si>
    <t>https://dragalialost.wiki/w/The_Ferocious_Firelord</t>
  </si>
  <si>
    <t>C-246</t>
  </si>
  <si>
    <t>Testing and Experimentation</t>
  </si>
  <si>
    <t>https://dragalialost.wiki/w/Testing_and_Experimentation</t>
  </si>
  <si>
    <t>C-247</t>
  </si>
  <si>
    <t>https://dragalialost.wiki/w/The_Hollow_Lakelord</t>
  </si>
  <si>
    <t>C-248</t>
  </si>
  <si>
    <t>Alberia's Hope</t>
  </si>
  <si>
    <t>https://dragalialost.wiki/w/Alberia's_Hope</t>
  </si>
  <si>
    <t>C-249</t>
  </si>
  <si>
    <t>Resolve</t>
  </si>
  <si>
    <t>https://dragalialost.wiki/w/Resolve</t>
  </si>
  <si>
    <t>C-250</t>
  </si>
  <si>
    <t>Sowing Chaos</t>
  </si>
  <si>
    <t>https://dragalialost.wiki/w/Sowing_Chaos</t>
  </si>
  <si>
    <t>C-251</t>
  </si>
  <si>
    <t>Beast Attack</t>
  </si>
  <si>
    <t>https://dragalialost.wiki/w/Beast_Attack</t>
  </si>
  <si>
    <t>C-252</t>
  </si>
  <si>
    <t>Praying for a Path</t>
  </si>
  <si>
    <t>https://dragalialost.wiki/w/Praying_for_a_Path</t>
  </si>
  <si>
    <t>C-253</t>
  </si>
  <si>
    <t>Chaos in the Capital</t>
  </si>
  <si>
    <t>14</t>
  </si>
  <si>
    <t>Road to the Capital</t>
  </si>
  <si>
    <t>Advancing on the Capital</t>
  </si>
  <si>
    <t>https://dragalialost.wiki/w/Advancing_on_the_Capital</t>
  </si>
  <si>
    <t>C-254</t>
  </si>
  <si>
    <t>The Road to Victory (Quest)</t>
  </si>
  <si>
    <t>https://dragalialost.wiki/w/The_Road_to_Victory_(Main_Campaign)</t>
  </si>
  <si>
    <t>C-255</t>
  </si>
  <si>
    <t>Outer Plains</t>
  </si>
  <si>
    <t>The Weight of a Heart</t>
  </si>
  <si>
    <t>https://dragalialost.wiki/w/The_Weight_of_a_Heart</t>
  </si>
  <si>
    <t>C-256</t>
  </si>
  <si>
    <t>The Other's Assassins</t>
  </si>
  <si>
    <t>https://dragalialost.wiki/w/The_Other%27s_Assassins</t>
  </si>
  <si>
    <t>Volcanic Chimera</t>
  </si>
  <si>
    <t>Void 3 Chimera</t>
  </si>
  <si>
    <t>C-257</t>
  </si>
  <si>
    <t>Sol Alberia</t>
  </si>
  <si>
    <t>A Ruler's Legitimacy</t>
  </si>
  <si>
    <t>https://dragalialost.wiki/w/A_Ruler's_Legitimacy</t>
  </si>
  <si>
    <t>C-258</t>
  </si>
  <si>
    <t>Enscorcelled Halls</t>
  </si>
  <si>
    <t>https://dragalialost.wiki/w/Enscorcelled_Halls</t>
  </si>
  <si>
    <t>C-259</t>
  </si>
  <si>
    <t>The Darkened Palace</t>
  </si>
  <si>
    <t>https://dragalialost.wiki/w/The_Darkened_Palace</t>
  </si>
  <si>
    <t>C-260</t>
  </si>
  <si>
    <t>Assault of the Flame Beast</t>
  </si>
  <si>
    <t>https://dragalialost.wiki/w/Assault_of_the_Flame_Beast</t>
  </si>
  <si>
    <t>Void 4 Chimera</t>
  </si>
  <si>
    <t>C-261</t>
  </si>
  <si>
    <t>Outer Palace</t>
  </si>
  <si>
    <t>The Raven's Designs</t>
  </si>
  <si>
    <t>https://dragalialost.wiki/w/The_Raven's_Designs</t>
  </si>
  <si>
    <t>C-262</t>
  </si>
  <si>
    <t>A Terrifying Assault</t>
  </si>
  <si>
    <t>https://dragalialost.wiki/w/A_Terrifying_Assault</t>
  </si>
  <si>
    <t>C-263</t>
  </si>
  <si>
    <t>??? (Chapter 14)</t>
  </si>
  <si>
    <t>https://dragalialost.wiki/w/%3F%3F%3F_(Chapter_14)</t>
  </si>
  <si>
    <t>C-264</t>
  </si>
  <si>
    <t>Inner Palace</t>
  </si>
  <si>
    <t>Unlit Corridors</t>
  </si>
  <si>
    <t>https://dragalialost.wiki/w/Unlit_Corridors</t>
  </si>
  <si>
    <t>C-265</t>
  </si>
  <si>
    <t>Laxi's Plea</t>
  </si>
  <si>
    <t>https://dragalialost.wiki/w/Laxi's_Plea</t>
  </si>
  <si>
    <t>C-266</t>
  </si>
  <si>
    <t>To the Demon's Throne</t>
  </si>
  <si>
    <t>https://dragalialost.wiki/w/To_the_Demon%27s_Throne</t>
  </si>
  <si>
    <t>C-267</t>
  </si>
  <si>
    <t>True and Terrible Power</t>
  </si>
  <si>
    <t>https://dragalialost.wiki/w/True_and_Terrible_Power</t>
  </si>
  <si>
    <t>C-268</t>
  </si>
  <si>
    <t>Convergence</t>
  </si>
  <si>
    <t>https://dragalialost.wiki/w/Convergence</t>
  </si>
  <si>
    <t>C-269</t>
  </si>
  <si>
    <t>Unforeseen Fangs</t>
  </si>
  <si>
    <t>https://dragalialost.wiki/w/Unforeseen_Fangs</t>
  </si>
  <si>
    <t>Agito 1</t>
  </si>
  <si>
    <t>C-270</t>
  </si>
  <si>
    <t>Unrelenting</t>
  </si>
  <si>
    <t>https://dragalialost.wiki/w/Unrelenting</t>
  </si>
  <si>
    <t>C-271</t>
  </si>
  <si>
    <t>Relentless Fangs</t>
  </si>
  <si>
    <t>https://dragalialost.wiki/w/Relentless_Fangs</t>
  </si>
  <si>
    <t>C-272</t>
  </si>
  <si>
    <t>On a Moonlit Night</t>
  </si>
  <si>
    <t>https://dragalialost.wiki/w/On_a_Moonlit_Night</t>
  </si>
  <si>
    <t>C-273</t>
  </si>
  <si>
    <t>A Paladyn's Past</t>
  </si>
  <si>
    <t>https://dragalialost.wiki/w/A_Paladyn's_Past</t>
  </si>
  <si>
    <t>C-274</t>
  </si>
  <si>
    <t>Conference in Valkaheim</t>
  </si>
  <si>
    <t>https://dragalialost.wiki/w/Conference_in_Valkaheim</t>
  </si>
  <si>
    <t>C-275</t>
  </si>
  <si>
    <t>A Prince's Ambitions</t>
  </si>
  <si>
    <t>https://dragalialost.wiki/w/A_Prince's_Ambitions</t>
  </si>
  <si>
    <t>C-276</t>
  </si>
  <si>
    <t>Light and Shadow</t>
  </si>
  <si>
    <t>15</t>
  </si>
  <si>
    <t>Mountain Path Entrance</t>
  </si>
  <si>
    <t>True Instincts</t>
  </si>
  <si>
    <t>https://dragalialost.wiki/w/True_Instincts</t>
  </si>
  <si>
    <t>C-277</t>
  </si>
  <si>
    <t>Precarious Mountain Path</t>
  </si>
  <si>
    <t>https://dragalialost.wiki/w/Precarious_Mountain_Path</t>
  </si>
  <si>
    <t>C-278</t>
  </si>
  <si>
    <t>Crossroads</t>
  </si>
  <si>
    <t>Mountain Face-Off</t>
  </si>
  <si>
    <t>https://dragalialost.wiki/w/Mountain_Face-Off</t>
  </si>
  <si>
    <t>C-279</t>
  </si>
  <si>
    <t>Winged Terror</t>
  </si>
  <si>
    <t>https://dragalialost.wiki/w/Winged_Terror</t>
  </si>
  <si>
    <t>C-280</t>
  </si>
  <si>
    <t>The Price of Kindness</t>
  </si>
  <si>
    <t>https://dragalialost.wiki/w/The_Price_of_Kindness</t>
  </si>
  <si>
    <t>C-281</t>
  </si>
  <si>
    <t>Middle of the Mountain</t>
  </si>
  <si>
    <t>Mountain of Fiends</t>
  </si>
  <si>
    <t>https://dragalialost.wiki/w/Mountain_of_Fiends</t>
  </si>
  <si>
    <t>C-282</t>
  </si>
  <si>
    <t>Derelict Side Road</t>
  </si>
  <si>
    <t>Agito Assembly</t>
  </si>
  <si>
    <t>https://dragalialost.wiki/w/Agito_Assembly</t>
  </si>
  <si>
    <t>C-283</t>
  </si>
  <si>
    <t>Old Mountain Ruin</t>
  </si>
  <si>
    <t>https://dragalialost.wiki/w/Old_Mountain_Ruin</t>
  </si>
  <si>
    <t>C-284</t>
  </si>
  <si>
    <t>??? (Chapter 15)</t>
  </si>
  <si>
    <t>https://dragalialost.wiki/w/%3F%3F%3F_(Chapter_15)</t>
  </si>
  <si>
    <t>C-285</t>
  </si>
  <si>
    <t>Border Checkpoint</t>
  </si>
  <si>
    <t>Through the Thunderclouds</t>
  </si>
  <si>
    <t>https://dragalialost.wiki/w/Through_the_Thunderclouds</t>
  </si>
  <si>
    <t>C-286</t>
  </si>
  <si>
    <t>Battle on the Border</t>
  </si>
  <si>
    <t>https://dragalialost.wiki/w/Battle_on_the_Border</t>
  </si>
  <si>
    <t>C-287</t>
  </si>
  <si>
    <t>The Warrior's Challenge</t>
  </si>
  <si>
    <t>https://dragalialost.wiki/w/The_Warrior%27s_Challenge</t>
  </si>
  <si>
    <t>C-288</t>
  </si>
  <si>
    <t>His Light and Shadow</t>
  </si>
  <si>
    <t>https://dragalialost.wiki/w/His_Light_and_Shadow</t>
  </si>
  <si>
    <t>C-289</t>
  </si>
  <si>
    <t>The Fulminator's Fury</t>
  </si>
  <si>
    <t>https://dragalialost.wiki/w/The_Fulminator%27s_Fury</t>
  </si>
  <si>
    <t>C-290</t>
  </si>
  <si>
    <t>The Truth Emerges</t>
  </si>
  <si>
    <t>https://dragalialost.wiki/w/The_Truth_Emerges</t>
  </si>
  <si>
    <t>C-291</t>
  </si>
  <si>
    <t>Auspexes Together</t>
  </si>
  <si>
    <t>https://dragalialost.wiki/w/Auspexes_Together</t>
  </si>
  <si>
    <t>C-292</t>
  </si>
  <si>
    <t>In the Wake of Defeat</t>
  </si>
  <si>
    <t>https://dragalialost.wiki/w/In_the_Wake_of_Defeat</t>
  </si>
  <si>
    <t>C-293</t>
  </si>
  <si>
    <t>Wavering Faith</t>
  </si>
  <si>
    <t>https://dragalialost.wiki/w/Wavering_Faith</t>
  </si>
  <si>
    <t>C-294</t>
  </si>
  <si>
    <t>The Eldest Brother's Departure</t>
  </si>
  <si>
    <t>https://dragalialost.wiki/w/The_Eldest_Brother's_Departure</t>
  </si>
  <si>
    <t>C-295</t>
  </si>
  <si>
    <t>The Halidom's Secret</t>
  </si>
  <si>
    <t>https://dragalialost.wiki/w/The_Halidom's_Secret</t>
  </si>
  <si>
    <t>C-296</t>
  </si>
  <si>
    <t>New Bonds</t>
  </si>
  <si>
    <t>16</t>
  </si>
  <si>
    <t>Forest Camp</t>
  </si>
  <si>
    <t>A Kingdom in Disarray</t>
  </si>
  <si>
    <t>https://dragalialost.wiki/w/A_Kingdom_in_Disarray</t>
  </si>
  <si>
    <t>C-297</t>
  </si>
  <si>
    <t>An Uncertain Heart</t>
  </si>
  <si>
    <t>https://dragalialost.wiki/w/An_Uncertain_Heart</t>
  </si>
  <si>
    <t>C-298</t>
  </si>
  <si>
    <t>Returning to the Halidom</t>
  </si>
  <si>
    <t>https://dragalialost.wiki/w/Returning_to_the_Halidom</t>
  </si>
  <si>
    <t>C-299</t>
  </si>
  <si>
    <t>Mistholt Outskirts</t>
  </si>
  <si>
    <t>The People's Anger</t>
  </si>
  <si>
    <t>https://dragalialost.wiki/w/The_People's_Anger</t>
  </si>
  <si>
    <t>C-300</t>
  </si>
  <si>
    <t>Toyed with by the Twins</t>
  </si>
  <si>
    <t>https://dragalialost.wiki/w/Toyed_with_by_the_Twins</t>
  </si>
  <si>
    <t>C-301</t>
  </si>
  <si>
    <t>Swirling Doubt</t>
  </si>
  <si>
    <t>https://dragalialost.wiki/w/Swirling_Doubt</t>
  </si>
  <si>
    <t>C-302</t>
  </si>
  <si>
    <t>The Eldest Royal</t>
  </si>
  <si>
    <t>https://dragalialost.wiki/w/The_Eldest_Royal</t>
  </si>
  <si>
    <t>C-303</t>
  </si>
  <si>
    <t>Searching for the Truth</t>
  </si>
  <si>
    <t>https://dragalialost.wiki/w/Searching_for_the_Truth</t>
  </si>
  <si>
    <t>C-304</t>
  </si>
  <si>
    <t>Mistholt: Great Forest</t>
  </si>
  <si>
    <t>Wings and Twins</t>
  </si>
  <si>
    <t>https://dragalialost.wiki/w/Wings_and_Twins</t>
  </si>
  <si>
    <t>C-305</t>
  </si>
  <si>
    <t>??? (Chapter 16)</t>
  </si>
  <si>
    <t>https://dragalialost.wiki/w/%3F%3F%3F_(Chapter_16)</t>
  </si>
  <si>
    <t>C-306</t>
  </si>
  <si>
    <t>Mistholt: Settlement Outskirts</t>
  </si>
  <si>
    <t>The Dragon's Whereabouts</t>
  </si>
  <si>
    <t>https://dragalialost.wiki/w/The_Dragon%27s_Whereabouts</t>
  </si>
  <si>
    <t>C-307</t>
  </si>
  <si>
    <t>New Alberia: Castle Town</t>
  </si>
  <si>
    <t>Correct Teachings</t>
  </si>
  <si>
    <t>https://dragalialost.wiki/w/Correct_Teachings</t>
  </si>
  <si>
    <t>C-308</t>
  </si>
  <si>
    <t>Defeating the Mastermind</t>
  </si>
  <si>
    <t>https://dragalialost.wiki/w/Defeating_the_Mastermind</t>
  </si>
  <si>
    <t>C-309</t>
  </si>
  <si>
    <t>A Road to Believe In</t>
  </si>
  <si>
    <t>https://dragalialost.wiki/w/A_Road_to_Believe_In</t>
  </si>
  <si>
    <t>C-310</t>
  </si>
  <si>
    <t>An Unwavering Heart</t>
  </si>
  <si>
    <t>https://dragalialost.wiki/w/An_Unwavering_Heart</t>
  </si>
  <si>
    <t>Agito 2</t>
  </si>
  <si>
    <t>C-311</t>
  </si>
  <si>
    <t>Truth and Resolve</t>
  </si>
  <si>
    <t>https://dragalialost.wiki/w/Truth_and_Resolve</t>
  </si>
  <si>
    <t>C-312</t>
  </si>
  <si>
    <t>Setting Off</t>
  </si>
  <si>
    <t>https://dragalialost.wiki/w/Setting_Off</t>
  </si>
  <si>
    <t>C-313</t>
  </si>
  <si>
    <t>The Jewel's Power</t>
  </si>
  <si>
    <t>https://dragalialost.wiki/w/The_Jewel's_Power</t>
  </si>
  <si>
    <t>C-314</t>
  </si>
  <si>
    <t>A Worthy Partner</t>
  </si>
  <si>
    <t>https://dragalialost.wiki/w/A_Worthy_Partner</t>
  </si>
  <si>
    <t>C-315</t>
  </si>
  <si>
    <t>Pursuing Revenge</t>
  </si>
  <si>
    <t>https://dragalialost.wiki/w/Pursuing_Revenge</t>
  </si>
  <si>
    <t>C-316</t>
  </si>
  <si>
    <t>The City of Grams</t>
  </si>
  <si>
    <t>17</t>
  </si>
  <si>
    <t>North Grastaea: Plains</t>
  </si>
  <si>
    <t>The Northern Believers</t>
  </si>
  <si>
    <t>https://dragalialost.wiki/w/The_Northern_Believers</t>
  </si>
  <si>
    <t>C-317</t>
  </si>
  <si>
    <t>The Road to Grams</t>
  </si>
  <si>
    <t>https://dragalialost.wiki/w/The_Road_to_Grams</t>
  </si>
  <si>
    <t>C-318</t>
  </si>
  <si>
    <t>A Visitor in the Dark</t>
  </si>
  <si>
    <t>https://dragalialost.wiki/w/A_Visitor_in_the_Dark</t>
  </si>
  <si>
    <t>C-319</t>
  </si>
  <si>
    <t>Central Grams</t>
  </si>
  <si>
    <t>The Beautiful City</t>
  </si>
  <si>
    <t>https://dragalialost.wiki/w/The_Beautiful_City</t>
  </si>
  <si>
    <t>C-320</t>
  </si>
  <si>
    <t>Guardians of the Faith</t>
  </si>
  <si>
    <t>https://dragalialost.wiki/w/Guardians_of_the_Faith</t>
  </si>
  <si>
    <t>C-321</t>
  </si>
  <si>
    <t>Of Templars and Tales</t>
  </si>
  <si>
    <t>https://dragalialost.wiki/w/Of_Templars_and_Tales</t>
  </si>
  <si>
    <t>C-322</t>
  </si>
  <si>
    <t>The Guards' Pursuit</t>
  </si>
  <si>
    <t>https://dragalialost.wiki/w/The_Guards%27_Pursuit</t>
  </si>
  <si>
    <t>C-323</t>
  </si>
  <si>
    <t>Grams: Outer Edge</t>
  </si>
  <si>
    <t>The Darkness of Grams</t>
  </si>
  <si>
    <t>https://dragalialost.wiki/w/The_Darkness_of_Grams</t>
  </si>
  <si>
    <t>C-324</t>
  </si>
  <si>
    <t>One City, Two Peoples</t>
  </si>
  <si>
    <t>https://dragalialost.wiki/w/One_City,_Two_Peoples</t>
  </si>
  <si>
    <t>C-325</t>
  </si>
  <si>
    <t>Battle in Grams</t>
  </si>
  <si>
    <t>https://dragalialost.wiki/w/Battle_in_Grams</t>
  </si>
  <si>
    <t>C-326</t>
  </si>
  <si>
    <t>Grams Slums: Back Alley</t>
  </si>
  <si>
    <t>The Good Samaritans</t>
  </si>
  <si>
    <t>https://dragalialost.wiki/w/The_Good_Samaritans</t>
  </si>
  <si>
    <t>C-327</t>
  </si>
  <si>
    <t>??? (Chapter 17)</t>
  </si>
  <si>
    <t>https://dragalialost.wiki/w/%3F%3F%3F_(Chapter_17)</t>
  </si>
  <si>
    <t>C-328</t>
  </si>
  <si>
    <t>Grams Slums</t>
  </si>
  <si>
    <t>Changing the System</t>
  </si>
  <si>
    <t>https://dragalialost.wiki/w/Changing_the_System</t>
  </si>
  <si>
    <t>C-329</t>
  </si>
  <si>
    <t>Surrounded</t>
  </si>
  <si>
    <t>https://dragalialost.wiki/w/Surrounded</t>
  </si>
  <si>
    <t>C-330</t>
  </si>
  <si>
    <t>Escape from Grams</t>
  </si>
  <si>
    <t>https://dragalialost.wiki/w/Escape_from_Grams</t>
  </si>
  <si>
    <t>C-331</t>
  </si>
  <si>
    <t>Grams Outskirts: Plains</t>
  </si>
  <si>
    <t>What Awaits</t>
  </si>
  <si>
    <t>https://dragalialost.wiki/w/What_Awaits</t>
  </si>
  <si>
    <t>C-332</t>
  </si>
  <si>
    <t>His Fangs Strike Again</t>
  </si>
  <si>
    <t>https://dragalialost.wiki/w/His_Fangs_Strike_Again</t>
  </si>
  <si>
    <t>C-333</t>
  </si>
  <si>
    <t>https://dragalialost.wiki/w/Ocean%27s_Embrace_(Story)</t>
  </si>
  <si>
    <t>C-334</t>
  </si>
  <si>
    <t>The Faeries' Home</t>
  </si>
  <si>
    <t>https://dragalialost.wiki/w/The_Faeries'_Home</t>
  </si>
  <si>
    <t>C-335</t>
  </si>
  <si>
    <t>A Clandestine Conversation</t>
  </si>
  <si>
    <t>https://dragalialost.wiki/w/A_Clandestine_Conversation</t>
  </si>
  <si>
    <t>C-336</t>
  </si>
  <si>
    <t>Ambition</t>
  </si>
  <si>
    <t>https://dragalialost.wiki/w/Ambition</t>
  </si>
  <si>
    <t>C-337</t>
  </si>
  <si>
    <t>The Forest of the Faeries</t>
  </si>
  <si>
    <t>18</t>
  </si>
  <si>
    <t>The Faewood</t>
  </si>
  <si>
    <t>The Enchanting Forest</t>
  </si>
  <si>
    <t>https://dragalialost.wiki/w/The_Enchanting_Forest</t>
  </si>
  <si>
    <t>C-338</t>
  </si>
  <si>
    <t>Crossing the Snowy Mountains</t>
  </si>
  <si>
    <t>https://dragalialost.wiki/w/Crossing_the_Snowy_Mountains</t>
  </si>
  <si>
    <t>C-339</t>
  </si>
  <si>
    <t>Foot of the Mountain</t>
  </si>
  <si>
    <t>Whiteout</t>
  </si>
  <si>
    <t>https://dragalialost.wiki/w/Whiteout</t>
  </si>
  <si>
    <t>C-340</t>
  </si>
  <si>
    <t>Bonds Buffeted by the Blizzard</t>
  </si>
  <si>
    <t>https://dragalialost.wiki/w/Bonds_Buffeted_by_the_Blizzard</t>
  </si>
  <si>
    <t>C-341</t>
  </si>
  <si>
    <t>Halfway Point</t>
  </si>
  <si>
    <t>Deep within the Heart</t>
  </si>
  <si>
    <t>https://dragalialost.wiki/w/Deep_within_the_Heart</t>
  </si>
  <si>
    <t>C-342</t>
  </si>
  <si>
    <t>The Iron Ruler</t>
  </si>
  <si>
    <t>https://dragalialost.wiki/w/The_Iron_Ruler</t>
  </si>
  <si>
    <t>C-343</t>
  </si>
  <si>
    <t>https://dragalialost.wiki/w/The_Invincible_Arm</t>
  </si>
  <si>
    <t>C-344</t>
  </si>
  <si>
    <t>Weeding Out the Weak</t>
  </si>
  <si>
    <t>https://dragalialost.wiki/w/Weeding_Out_the_Weak</t>
  </si>
  <si>
    <t>C-345</t>
  </si>
  <si>
    <t>Blessed Light</t>
  </si>
  <si>
    <t>https://dragalialost.wiki/w/Blessed_Light</t>
  </si>
  <si>
    <t>C-346</t>
  </si>
  <si>
    <t>Mountaintop Lake</t>
  </si>
  <si>
    <t>Mountain of Snow and Ice</t>
  </si>
  <si>
    <t>https://dragalialost.wiki/w/Mountain_of_Snow_and_Ice</t>
  </si>
  <si>
    <t>C-347</t>
  </si>
  <si>
    <t>Shifting Memories</t>
  </si>
  <si>
    <t>https://dragalialost.wiki/w/Shifting_Memories</t>
  </si>
  <si>
    <t>C-348</t>
  </si>
  <si>
    <t>Guided by a Voice</t>
  </si>
  <si>
    <t>https://dragalialost.wiki/w/Guided_by_a_Voice</t>
  </si>
  <si>
    <t>C-349</t>
  </si>
  <si>
    <t>Road to the Faerie Kingdom</t>
  </si>
  <si>
    <t>https://dragalialost.wiki/w/Road_to_the_Faerie_Kingdom</t>
  </si>
  <si>
    <t>C-350</t>
  </si>
  <si>
    <t>The Approaching White Wolf</t>
  </si>
  <si>
    <t>https://dragalialost.wiki/w/The_Approaching_White_Wolf</t>
  </si>
  <si>
    <t>C-351</t>
  </si>
  <si>
    <t>Barring the Way</t>
  </si>
  <si>
    <t>https://dragalialost.wiki/w/Barring_the_Way</t>
  </si>
  <si>
    <t>C-352</t>
  </si>
  <si>
    <t>Frozen Plains</t>
  </si>
  <si>
    <t>To the Ancient Door</t>
  </si>
  <si>
    <t>https://dragalialost.wiki/w/To_the_Ancient_Door</t>
  </si>
  <si>
    <t>C-353</t>
  </si>
  <si>
    <t>Notte's Feelings</t>
  </si>
  <si>
    <t>https://dragalialost.wiki/w/Notte's_Feelings</t>
  </si>
  <si>
    <t>C-354</t>
  </si>
  <si>
    <t>Into the Future</t>
  </si>
  <si>
    <t>https://dragalialost.wiki/w/Into_the_Future</t>
  </si>
  <si>
    <t>C-355</t>
  </si>
  <si>
    <t>Hidden Truths</t>
  </si>
  <si>
    <t>19</t>
  </si>
  <si>
    <t>Faerie Kingdom: Outskirts</t>
  </si>
  <si>
    <t>A Beautiful Man</t>
  </si>
  <si>
    <t>https://dragalialost.wiki/w/A_Beautiful_Man</t>
  </si>
  <si>
    <t>C-356</t>
  </si>
  <si>
    <t>The Faerie Kingdom</t>
  </si>
  <si>
    <t>https://dragalialost.wiki/w/The_Faerie_Kingdom</t>
  </si>
  <si>
    <t>C-357</t>
  </si>
  <si>
    <t>Approaching Androids</t>
  </si>
  <si>
    <t>https://dragalialost.wiki/w/Approaching_Androids</t>
  </si>
  <si>
    <t>C-358</t>
  </si>
  <si>
    <t>Faerie Kingdom: Center</t>
  </si>
  <si>
    <t>In the Android's Sights</t>
  </si>
  <si>
    <t>https://dragalialost.wiki/w/In_the_Android's_Sights</t>
  </si>
  <si>
    <t>C-359</t>
  </si>
  <si>
    <t>Wild Children</t>
  </si>
  <si>
    <t>https://dragalialost.wiki/w/Wild_Children</t>
  </si>
  <si>
    <t>C-360</t>
  </si>
  <si>
    <t>Distorted Perception</t>
  </si>
  <si>
    <t>https://dragalialost.wiki/w/Distorted_Perception</t>
  </si>
  <si>
    <t>C-361</t>
  </si>
  <si>
    <t>Wings of Obsession</t>
  </si>
  <si>
    <t>https://dragalialost.wiki/w/Wings_of_Obsession</t>
  </si>
  <si>
    <t>C-362</t>
  </si>
  <si>
    <t>Freedom and Shackles</t>
  </si>
  <si>
    <t>https://dragalialost.wiki/w/Freedom_and_Shackles</t>
  </si>
  <si>
    <t>C-363</t>
  </si>
  <si>
    <t>Beyond the Faerie Town</t>
  </si>
  <si>
    <t>https://dragalialost.wiki/w/Beyond_the_Faerie_Town</t>
  </si>
  <si>
    <t>C-364</t>
  </si>
  <si>
    <t>To the Former King's Mansion</t>
  </si>
  <si>
    <t>https://dragalialost.wiki/w/To_the_Former_King%27s_Mansion</t>
  </si>
  <si>
    <t>C-365</t>
  </si>
  <si>
    <t>Confession</t>
  </si>
  <si>
    <t>https://dragalialost.wiki/w/Confession</t>
  </si>
  <si>
    <t>C-366</t>
  </si>
  <si>
    <t>Soul and Vessel</t>
  </si>
  <si>
    <t>https://dragalialost.wiki/w/Soul_and_Vessel</t>
  </si>
  <si>
    <t>C-367</t>
  </si>
  <si>
    <t>Untold Truths</t>
  </si>
  <si>
    <t>https://dragalialost.wiki/w/Untold_Truths</t>
  </si>
  <si>
    <t>C-368</t>
  </si>
  <si>
    <t>The Woods of Purity</t>
  </si>
  <si>
    <t>Wounds</t>
  </si>
  <si>
    <t>https://dragalialost.wiki/w/Wounds</t>
  </si>
  <si>
    <t>C-369</t>
  </si>
  <si>
    <t>Body of the Other</t>
  </si>
  <si>
    <t>https://dragalialost.wiki/w/Body_of_the_Other</t>
  </si>
  <si>
    <t>C-370</t>
  </si>
  <si>
    <t>Together, Swords in Hand</t>
  </si>
  <si>
    <t>https://dragalialost.wiki/w/Together,_Swords_in_Hand</t>
  </si>
  <si>
    <t>C-371</t>
  </si>
  <si>
    <t>The Androids' Pursuit</t>
  </si>
  <si>
    <t>https://dragalialost.wiki/w/The_Androids%27_Pursuit</t>
  </si>
  <si>
    <t>C-372</t>
  </si>
  <si>
    <t>More than Artificial</t>
  </si>
  <si>
    <t>https://dragalialost.wiki/w/More_than_Artificial</t>
  </si>
  <si>
    <t>C-373</t>
  </si>
  <si>
    <t>Old Road to the North</t>
  </si>
  <si>
    <t>Departure at Dawn</t>
  </si>
  <si>
    <t>https://dragalialost.wiki/w/Departure_at_Dawn</t>
  </si>
  <si>
    <t>C-374</t>
  </si>
  <si>
    <t>Inherited Will</t>
  </si>
  <si>
    <t>https://dragalialost.wiki/w/Inherited_Will</t>
  </si>
  <si>
    <t>C-375</t>
  </si>
  <si>
    <t>The Abyssalwyrm's Madness</t>
  </si>
  <si>
    <t>https://dragalialost.wiki/w/The_Abyssalwyrm%27s_Madness</t>
  </si>
  <si>
    <t>C-376</t>
  </si>
  <si>
    <t>To the Sacred Tree</t>
  </si>
  <si>
    <t>https://dragalialost.wiki/w/To_the_Sacred_Tree</t>
  </si>
  <si>
    <t>C-377</t>
  </si>
  <si>
    <t>The Sacred Tree</t>
  </si>
  <si>
    <t>20</t>
  </si>
  <si>
    <t>Foot of the Sacred Tree</t>
  </si>
  <si>
    <t>Disturbance at the Sacred Tree</t>
  </si>
  <si>
    <t>https://dragalialost.wiki/w/Disturbance_at_the_Sacred_Tree</t>
  </si>
  <si>
    <t>C-378</t>
  </si>
  <si>
    <t>The Root-Laden Path</t>
  </si>
  <si>
    <t>https://dragalialost.wiki/w/The_Root-Laden_Path</t>
  </si>
  <si>
    <t>C-379</t>
  </si>
  <si>
    <t>Crossing the Verdure</t>
  </si>
  <si>
    <t>https://dragalialost.wiki/w/Crossing_the_Verdure</t>
  </si>
  <si>
    <t>C-380</t>
  </si>
  <si>
    <t>Path through the Foliage</t>
  </si>
  <si>
    <t>Rejecting the World</t>
  </si>
  <si>
    <t>https://dragalialost.wiki/w/Rejecting_the_World</t>
  </si>
  <si>
    <t>C-381</t>
  </si>
  <si>
    <t>A Fortress of Foliage</t>
  </si>
  <si>
    <t>https://dragalialost.wiki/w/A_Fortress_of_Foliage</t>
  </si>
  <si>
    <t>C-382</t>
  </si>
  <si>
    <t>Tree Trouble</t>
  </si>
  <si>
    <t>https://dragalialost.wiki/w/Tree_Trouble</t>
  </si>
  <si>
    <t>C-383</t>
  </si>
  <si>
    <t>The Foggy Branches</t>
  </si>
  <si>
    <t>Within the Mist</t>
  </si>
  <si>
    <t>https://dragalialost.wiki/w/Within_the_Mist</t>
  </si>
  <si>
    <t>C-384</t>
  </si>
  <si>
    <t>The King's Attendant</t>
  </si>
  <si>
    <t>https://dragalialost.wiki/w/The_King's_Attendant</t>
  </si>
  <si>
    <t>C-385</t>
  </si>
  <si>
    <t>With Resolve in Your Heart</t>
  </si>
  <si>
    <t>https://dragalialost.wiki/w/With_Resolve_in_Your_Heart</t>
  </si>
  <si>
    <t>C-386</t>
  </si>
  <si>
    <t>The Twisted Boughs</t>
  </si>
  <si>
    <t>Loyal Subjects</t>
  </si>
  <si>
    <t>https://dragalialost.wiki/w/Loyal_Subjects</t>
  </si>
  <si>
    <t>C-387</t>
  </si>
  <si>
    <t>The Agito</t>
  </si>
  <si>
    <t>https://dragalialost.wiki/w/The_Agito</t>
  </si>
  <si>
    <t>C-388</t>
  </si>
  <si>
    <t>The World He Left Behind</t>
  </si>
  <si>
    <t>https://dragalialost.wiki/w/The_World_He_Left_Behind</t>
  </si>
  <si>
    <t>C-389</t>
  </si>
  <si>
    <t>In Exchange for Prayer</t>
  </si>
  <si>
    <t>https://dragalialost.wiki/w/In_Exchange_for_Prayer</t>
  </si>
  <si>
    <t>C-390</t>
  </si>
  <si>
    <t>Path to the Clouds</t>
  </si>
  <si>
    <t>Bearing the Other's Flesh</t>
  </si>
  <si>
    <t>https://dragalialost.wiki/w/Bearing_the_Other's_Flesh</t>
  </si>
  <si>
    <t>C-391</t>
  </si>
  <si>
    <t>Toward the Clouds</t>
  </si>
  <si>
    <t>https://dragalialost.wiki/w/Toward_the_Clouds</t>
  </si>
  <si>
    <t>C-392</t>
  </si>
  <si>
    <t>A Green Purgatory</t>
  </si>
  <si>
    <t>https://dragalialost.wiki/w/A_Green_Purgatory</t>
  </si>
  <si>
    <t>C-393</t>
  </si>
  <si>
    <t>Cloudbough</t>
  </si>
  <si>
    <t>Truth of the Pact</t>
  </si>
  <si>
    <t>https://dragalialost.wiki/w/Truth_of_the_Pact</t>
  </si>
  <si>
    <t>C-394</t>
  </si>
  <si>
    <t>Guardian of the Barrier</t>
  </si>
  <si>
    <t>https://dragalialost.wiki/w/Guardian_of_the_Barrier</t>
  </si>
  <si>
    <t>C-395</t>
  </si>
  <si>
    <t>Cloudbough: Barrier</t>
  </si>
  <si>
    <t>The Faerie King</t>
  </si>
  <si>
    <t>https://dragalialost.wiki/w/The_Faerie_King</t>
  </si>
  <si>
    <t>C-396</t>
  </si>
  <si>
    <t>The Masked Beasts</t>
  </si>
  <si>
    <t>https://dragalialost.wiki/w/The_Masked_Beasts</t>
  </si>
  <si>
    <t>ALL Agito</t>
  </si>
  <si>
    <t>Agito 3</t>
  </si>
  <si>
    <t>C-397</t>
  </si>
  <si>
    <t>No Retreat</t>
  </si>
  <si>
    <t>https://dragalialost.wiki/w/No_Retreat</t>
  </si>
  <si>
    <t>C-398</t>
  </si>
  <si>
    <t>Zethia's Decision</t>
  </si>
  <si>
    <t>https://dragalialost.wiki/w/Zethia's_Decision</t>
  </si>
  <si>
    <t>C-399</t>
  </si>
  <si>
    <t>From Father to Child</t>
  </si>
  <si>
    <t>https://dragalialost.wiki/w/From_Father_to_Child</t>
  </si>
  <si>
    <t>C-400</t>
  </si>
  <si>
    <t>The Two Creators</t>
  </si>
  <si>
    <t>21</t>
  </si>
  <si>
    <t>Stairway to the Clouds</t>
  </si>
  <si>
    <t>To the Summit</t>
  </si>
  <si>
    <t>https://dragalialost.wiki/w/To_the_Summit</t>
  </si>
  <si>
    <t>C-401</t>
  </si>
  <si>
    <t>The Blossoms of War</t>
  </si>
  <si>
    <t>https://dragalialost.wiki/w/The_Blossoms_of_War</t>
  </si>
  <si>
    <t>C-402</t>
  </si>
  <si>
    <t>The Faerie King's New Strength</t>
  </si>
  <si>
    <t>https://dragalialost.wiki/w/The_Faerie_King%27s_New_Strength</t>
  </si>
  <si>
    <t>C-403</t>
  </si>
  <si>
    <t>Above the Clouds</t>
  </si>
  <si>
    <t>Rebellion of the Powerless</t>
  </si>
  <si>
    <t>https://dragalialost.wiki/w/Rebellion_of_the_Powerless</t>
  </si>
  <si>
    <t>C-404</t>
  </si>
  <si>
    <t>The Flamewyrm's Stolen Power</t>
  </si>
  <si>
    <t>https://dragalialost.wiki/w/The_Flamewyrm%27s_Stolen_Power</t>
  </si>
  <si>
    <t>C-405</t>
  </si>
  <si>
    <t>https://dragalialost.wiki/w/The_Two_Creators</t>
  </si>
  <si>
    <t>C-406</t>
  </si>
  <si>
    <t>The Holywyrm's Vengeance</t>
  </si>
  <si>
    <t>https://dragalialost.wiki/w/The_Holywyrm%27s_Vengeance</t>
  </si>
  <si>
    <t>C-407</t>
  </si>
  <si>
    <t>The Holywyrm's Apostle</t>
  </si>
  <si>
    <t>https://dragalialost.wiki/w/The_Holywyrm%27s_Apostle</t>
  </si>
  <si>
    <t>C-408</t>
  </si>
  <si>
    <t>Canopy in Bloom</t>
  </si>
  <si>
    <t>Beyond Possibility</t>
  </si>
  <si>
    <t>https://dragalialost.wiki/w/Beyond_Possibility</t>
  </si>
  <si>
    <t>C-409</t>
  </si>
  <si>
    <t>The Holywyrm's Advent</t>
  </si>
  <si>
    <t>https://dragalialost.wiki/w/The_Holywyrm%27s_Advent</t>
  </si>
  <si>
    <t>ELYSIUM</t>
  </si>
  <si>
    <t>Mighty 1</t>
  </si>
  <si>
    <t>Mighty 2</t>
  </si>
  <si>
    <t>Mighty 3</t>
  </si>
  <si>
    <t>C-410</t>
  </si>
  <si>
    <t>Out of Love for the World</t>
  </si>
  <si>
    <t>https://dragalialost.wiki/w/Out_of_Love_for_the_World</t>
  </si>
  <si>
    <t>C-411</t>
  </si>
  <si>
    <t>The Direction of Destiny</t>
  </si>
  <si>
    <t>https://dragalialost.wiki/w/The_Direction_of_Destiny</t>
  </si>
  <si>
    <t>C-412</t>
  </si>
  <si>
    <t>Cataclysm in Full Bloom</t>
  </si>
  <si>
    <t>https://dragalialost.wiki/w/Cataclysm_in_Full_Bloom</t>
  </si>
  <si>
    <t>C-413</t>
  </si>
  <si>
    <t>Leafless Canopy</t>
  </si>
  <si>
    <t>Bearer of the Pact</t>
  </si>
  <si>
    <t>https://dragalialost.wiki/w/Bearer_of_the_Pact</t>
  </si>
  <si>
    <t>C-414</t>
  </si>
  <si>
    <t>Treetop Showdown</t>
  </si>
  <si>
    <t>https://dragalialost.wiki/w/Treetop_Showdown</t>
  </si>
  <si>
    <t>C-415</t>
  </si>
  <si>
    <t>Fruiting Canopy</t>
  </si>
  <si>
    <t>Fall of the Holywyrm</t>
  </si>
  <si>
    <t>https://dragalialost.wiki/w/Fall_of_the_Holywyrm</t>
  </si>
  <si>
    <t>C-416</t>
  </si>
  <si>
    <t>The Holywyrm's Disgrace</t>
  </si>
  <si>
    <t>https://dragalialost.wiki/w/The_Holywyrm%27s_Disgrace</t>
  </si>
  <si>
    <t>C-417</t>
  </si>
  <si>
    <t>Father and Child</t>
  </si>
  <si>
    <t>https://dragalialost.wiki/w/Father_and_Child</t>
  </si>
  <si>
    <t>C-418</t>
  </si>
  <si>
    <t>The Fallen Boughs</t>
  </si>
  <si>
    <t>Before the Fall</t>
  </si>
  <si>
    <t>https://dragalialost.wiki/w/Before_the_Fall</t>
  </si>
  <si>
    <t>C-419</t>
  </si>
  <si>
    <t>The Fallen Tree</t>
  </si>
  <si>
    <t>https://dragalialost.wiki/w/The_Fallen_Tree</t>
  </si>
  <si>
    <t>C-420</t>
  </si>
  <si>
    <t>The Approaching Battle</t>
  </si>
  <si>
    <t>https://dragalialost.wiki/w/The_Approaching_Battle</t>
  </si>
  <si>
    <t>C-421</t>
  </si>
  <si>
    <t>Twice Sworn</t>
  </si>
  <si>
    <t>22</t>
  </si>
  <si>
    <t>Confrontation</t>
  </si>
  <si>
    <t>https://dragalialost.wiki/w/Confrontation</t>
  </si>
  <si>
    <t>C-422</t>
  </si>
  <si>
    <t>Chasing Wings</t>
  </si>
  <si>
    <t>https://dragalialost.wiki/w/Chasing_Wings</t>
  </si>
  <si>
    <t>C-423</t>
  </si>
  <si>
    <t>Flowers in Full Bloom</t>
  </si>
  <si>
    <t>https://dragalialost.wiki/w/Flowers_in_Full_Bloom</t>
  </si>
  <si>
    <t>C-424</t>
  </si>
  <si>
    <t>Awakened Dragon</t>
  </si>
  <si>
    <t>https://dragalialost.wiki/w/Awakened_Dragon</t>
  </si>
  <si>
    <t>C-425</t>
  </si>
  <si>
    <t>Hiding in the Greenery</t>
  </si>
  <si>
    <t>https://dragalialost.wiki/w/Hiding_in_the_Greenery</t>
  </si>
  <si>
    <t>C-426</t>
  </si>
  <si>
    <t>Wyrm of Genesis and Oblivion</t>
  </si>
  <si>
    <t>https://dragalialost.wiki/w/Wyrm_of_Genesis_and_Oblivion</t>
  </si>
  <si>
    <t>C-427</t>
  </si>
  <si>
    <t>What He Was Never Given</t>
  </si>
  <si>
    <t>https://dragalialost.wiki/w/What_He_Was_Never_Given</t>
  </si>
  <si>
    <t>C-428</t>
  </si>
  <si>
    <t>Bahamut (Quest)</t>
  </si>
  <si>
    <t>https://dragalialost.wiki/w/Bahamut_(Quest)</t>
  </si>
  <si>
    <t>Bahamut + Lilith</t>
  </si>
  <si>
    <t>Lilith Drops</t>
  </si>
  <si>
    <t>C-429</t>
  </si>
  <si>
    <t>The True Pact</t>
  </si>
  <si>
    <t>https://dragalialost.wiki/w/The_True_Pact</t>
  </si>
  <si>
    <t>C-430</t>
  </si>
  <si>
    <t>Manipulated Auspex</t>
  </si>
  <si>
    <t>https://dragalialost.wiki/w/Manipulated_Auspex</t>
  </si>
  <si>
    <t>C-431</t>
  </si>
  <si>
    <t>To the Canopy</t>
  </si>
  <si>
    <t>https://dragalialost.wiki/w/To_the_Canopy</t>
  </si>
  <si>
    <t>C-432</t>
  </si>
  <si>
    <t>Treetop Clash</t>
  </si>
  <si>
    <t>https://dragalialost.wiki/w/Treetop_Clash</t>
  </si>
  <si>
    <t>C-433</t>
  </si>
  <si>
    <t>Forbidden Art</t>
  </si>
  <si>
    <t>https://dragalialost.wiki/w/Forbidden_Art</t>
  </si>
  <si>
    <t>C-434</t>
  </si>
  <si>
    <t>Veiled Machinations</t>
  </si>
  <si>
    <t>https://dragalialost.wiki/w/Veiled_Machinations</t>
  </si>
  <si>
    <t>C-435</t>
  </si>
  <si>
    <t>Bahamut, Once More</t>
  </si>
  <si>
    <t>https://dragalialost.wiki/w/Bahamut,_Once_More</t>
  </si>
  <si>
    <t>Bahamut + Jaldy</t>
  </si>
  <si>
    <t>Jaldabaoth Drops</t>
  </si>
  <si>
    <t>C-436</t>
  </si>
  <si>
    <t>The Pact</t>
  </si>
  <si>
    <t>https://dragalialost.wiki/w/The_Pact</t>
  </si>
  <si>
    <t>C-437</t>
  </si>
  <si>
    <t>https://dragalialost.wiki/w/Light_and_Shadow</t>
  </si>
  <si>
    <t>Nedrick + Asura</t>
  </si>
  <si>
    <t>Asura Drops</t>
  </si>
  <si>
    <t>C-438</t>
  </si>
  <si>
    <t>Atonement</t>
  </si>
  <si>
    <t>https://dragalialost.wiki/w/Atonement</t>
  </si>
  <si>
    <t>C-439</t>
  </si>
  <si>
    <t>What's Left Behind</t>
  </si>
  <si>
    <t>https://dragalialost.wiki/w/What's_Left_Behind</t>
  </si>
  <si>
    <t>C-440</t>
  </si>
  <si>
    <t>23</t>
  </si>
  <si>
    <t>Grams: West District</t>
  </si>
  <si>
    <t>The Holy City, Gone Mad</t>
  </si>
  <si>
    <t>https://dragalialost.wiki/w/The_Holy_City,_Gone_Mad</t>
  </si>
  <si>
    <t>C-441</t>
  </si>
  <si>
    <t>In the Ruins of the City</t>
  </si>
  <si>
    <t>https://dragalialost.wiki/w/In_the_Ruins_of_the_City</t>
  </si>
  <si>
    <t>C-442</t>
  </si>
  <si>
    <t>Grams: Slums</t>
  </si>
  <si>
    <t>The Puppet and the Door</t>
  </si>
  <si>
    <t>https://dragalialost.wiki/w/The_Puppet_and_the_Door</t>
  </si>
  <si>
    <t>C-443</t>
  </si>
  <si>
    <t>What Family Brings</t>
  </si>
  <si>
    <t>https://dragalialost.wiki/w/What_Family_Brings</t>
  </si>
  <si>
    <t>C-444</t>
  </si>
  <si>
    <t>Memories of Old</t>
  </si>
  <si>
    <t>https://dragalialost.wiki/w/Memories_of_Old</t>
  </si>
  <si>
    <t>C-445</t>
  </si>
  <si>
    <t>Lingering Chaos</t>
  </si>
  <si>
    <t>https://dragalialost.wiki/w/Lingering_Chaos</t>
  </si>
  <si>
    <t>C-446</t>
  </si>
  <si>
    <t>Vessels of the Mark</t>
  </si>
  <si>
    <t>https://dragalialost.wiki/w/Vessels_of_the_Mark</t>
  </si>
  <si>
    <t>C-447</t>
  </si>
  <si>
    <t>Facing a Terminal</t>
  </si>
  <si>
    <t>https://dragalialost.wiki/w/Facing_a_Terminal</t>
  </si>
  <si>
    <t>Iblis Drops</t>
  </si>
  <si>
    <t>C-448</t>
  </si>
  <si>
    <t>https://dragalialost.wiki/w/Family</t>
  </si>
  <si>
    <t>C-449</t>
  </si>
  <si>
    <t>Resurrection</t>
  </si>
  <si>
    <t>https://dragalialost.wiki/w/Resurrection</t>
  </si>
  <si>
    <t>C-450</t>
  </si>
  <si>
    <t>A Fight with No Future</t>
  </si>
  <si>
    <t>https://dragalialost.wiki/w/A_Fight_with_No_Future</t>
  </si>
  <si>
    <t>C-451</t>
  </si>
  <si>
    <t>Despair</t>
  </si>
  <si>
    <t>https://dragalialost.wiki/w/Despair</t>
  </si>
  <si>
    <t>C-452</t>
  </si>
  <si>
    <t>Escaping Despair</t>
  </si>
  <si>
    <t>https://dragalialost.wiki/w/Escaping_Despair</t>
  </si>
  <si>
    <t>C-453</t>
  </si>
  <si>
    <t>Resignment</t>
  </si>
  <si>
    <t>https://dragalialost.wiki/w/Resignment</t>
  </si>
  <si>
    <t>C-454</t>
  </si>
  <si>
    <t>To Carry the Flame</t>
  </si>
  <si>
    <t>https://dragalialost.wiki/w/To_Carry_the_Flame</t>
  </si>
  <si>
    <t>C-455</t>
  </si>
  <si>
    <t>Grams Outskirts</t>
  </si>
  <si>
    <t>Talent</t>
  </si>
  <si>
    <t>https://dragalialost.wiki/w/Talent</t>
  </si>
  <si>
    <t>C-456</t>
  </si>
  <si>
    <t>The Path to Hope</t>
  </si>
  <si>
    <t>https://dragalialost.wiki/w/The_Path_to_Hope</t>
  </si>
  <si>
    <t>Surtr Drops</t>
  </si>
  <si>
    <t>C-457</t>
  </si>
  <si>
    <t>Possibility</t>
  </si>
  <si>
    <t>https://dragalialost.wiki/w/Possibility</t>
  </si>
  <si>
    <t>C-458</t>
  </si>
  <si>
    <t>Primal Strength</t>
  </si>
  <si>
    <t>24</t>
  </si>
  <si>
    <t>Sandswept Town</t>
  </si>
  <si>
    <t>Buried Sins</t>
  </si>
  <si>
    <t>https://dragalialost.wiki/w/Buried_Sins</t>
  </si>
  <si>
    <t>C-459</t>
  </si>
  <si>
    <t>Battle in the Sands</t>
  </si>
  <si>
    <t>https://dragalialost.wiki/w/Battle_in_the_Sands</t>
  </si>
  <si>
    <t>C-460</t>
  </si>
  <si>
    <t>Lake Ruins</t>
  </si>
  <si>
    <t>Beyond the Miasma</t>
  </si>
  <si>
    <t>https://dragalialost.wiki/w/Beyond_the_Miasma</t>
  </si>
  <si>
    <t>C-461</t>
  </si>
  <si>
    <t>The Soul's Lament</t>
  </si>
  <si>
    <t>https://dragalialost.wiki/w/The_Soul's_Lament</t>
  </si>
  <si>
    <t>C-462</t>
  </si>
  <si>
    <t>Within the Miasma</t>
  </si>
  <si>
    <t>https://dragalialost.wiki/w/Within_the_Miasma</t>
  </si>
  <si>
    <t>C-463</t>
  </si>
  <si>
    <t>Bygone Shore</t>
  </si>
  <si>
    <t>A Father's Decision</t>
  </si>
  <si>
    <t>https://dragalialost.wiki/w/A_Father's_Decision</t>
  </si>
  <si>
    <t>C-464</t>
  </si>
  <si>
    <t>The Soul's Cry</t>
  </si>
  <si>
    <t>https://dragalialost.wiki/w/The_Soul%27s_Cry</t>
  </si>
  <si>
    <t>C-465</t>
  </si>
  <si>
    <t>Forgotten Depths</t>
  </si>
  <si>
    <t>Proof of Sin</t>
  </si>
  <si>
    <t>https://dragalialost.wiki/w/Proof_of_Sin</t>
  </si>
  <si>
    <t>C-466</t>
  </si>
  <si>
    <t>Together</t>
  </si>
  <si>
    <t>https://dragalialost.wiki/w/Together</t>
  </si>
  <si>
    <t>C-467</t>
  </si>
  <si>
    <t>Primal Wind</t>
  </si>
  <si>
    <t>https://dragalialost.wiki/w/Primal_Wind</t>
  </si>
  <si>
    <t>C-468</t>
  </si>
  <si>
    <t>The Will for Destruction</t>
  </si>
  <si>
    <t>https://dragalialost.wiki/w/The_Will_for_Destruction</t>
  </si>
  <si>
    <t>C-469</t>
  </si>
  <si>
    <t>The Ending of Possibility</t>
  </si>
  <si>
    <t>https://dragalialost.wiki/w/The_Ending_of_Possibility</t>
  </si>
  <si>
    <t>C-470</t>
  </si>
  <si>
    <t>Dragon Necropolis</t>
  </si>
  <si>
    <t>Puppets of the Mark</t>
  </si>
  <si>
    <t>https://dragalialost.wiki/w/Puppets_of_the_Mark</t>
  </si>
  <si>
    <t>C-471</t>
  </si>
  <si>
    <t>The Shackled Holywyrm</t>
  </si>
  <si>
    <t>https://dragalialost.wiki/w/The_Shackled_Holywyrm</t>
  </si>
  <si>
    <t>RotSD 1</t>
  </si>
  <si>
    <t>RotSD 2</t>
  </si>
  <si>
    <t>RotSD 3</t>
  </si>
  <si>
    <t>Nature's Blessing</t>
  </si>
  <si>
    <t>C-472</t>
  </si>
  <si>
    <t>Beren's Fabricated World</t>
  </si>
  <si>
    <t>https://dragalialost.wiki/w/Beren's_Fabricated_World</t>
  </si>
  <si>
    <t>C-473</t>
  </si>
  <si>
    <t>Overflowing Power</t>
  </si>
  <si>
    <t>https://dragalialost.wiki/w/Overflowing_Power</t>
  </si>
  <si>
    <t>C-474</t>
  </si>
  <si>
    <t>The Primal Greatwyrms</t>
  </si>
  <si>
    <t>https://dragalialost.wiki/w/The_Primal_Greatwyrms</t>
  </si>
  <si>
    <t>C-475</t>
  </si>
  <si>
    <t>The Goddess's Secret Weapon</t>
  </si>
  <si>
    <t>https://dragalialost.wiki/w/The_Goddess's_Secret_Weapon</t>
  </si>
  <si>
    <t>C-476</t>
  </si>
  <si>
    <t>Proof of the Pact</t>
  </si>
  <si>
    <t>25</t>
  </si>
  <si>
    <t>The Five Auspexes</t>
  </si>
  <si>
    <t>https://dragalialost.wiki/w/The_Five_Auspexes</t>
  </si>
  <si>
    <t>C-477</t>
  </si>
  <si>
    <t>In the Creator's Wake</t>
  </si>
  <si>
    <t>https://dragalialost.wiki/w/In_the_Creator%27s_Wake</t>
  </si>
  <si>
    <t>C-478</t>
  </si>
  <si>
    <t>As the World Crumbles</t>
  </si>
  <si>
    <t>https://dragalialost.wiki/w/As_the_World_Crumbles</t>
  </si>
  <si>
    <t>C-479</t>
  </si>
  <si>
    <t>The Shadow of Xenos</t>
  </si>
  <si>
    <t>https://dragalialost.wiki/w/The_Shadow_of_Xenos</t>
  </si>
  <si>
    <t>C-480</t>
  </si>
  <si>
    <t>Between Worlds</t>
  </si>
  <si>
    <t>https://dragalialost.wiki/w/Between_Worlds</t>
  </si>
  <si>
    <t>C-481</t>
  </si>
  <si>
    <t>Mordecai's True Form</t>
  </si>
  <si>
    <t>https://dragalialost.wiki/w/Mordecai's_True_Form</t>
  </si>
  <si>
    <t>C-482</t>
  </si>
  <si>
    <t>The Primal Windwyrm</t>
  </si>
  <si>
    <t>https://dragalialost.wiki/w/The_Primal_Windwyrm</t>
  </si>
  <si>
    <t>PDT 1</t>
  </si>
  <si>
    <t>PDT 2</t>
  </si>
  <si>
    <t>PDT 3</t>
  </si>
  <si>
    <t>C-483</t>
  </si>
  <si>
    <t>Road to the Halidom</t>
  </si>
  <si>
    <t>Approaching Terminals</t>
  </si>
  <si>
    <t>https://dragalialost.wiki/w/Approaching_Terminals</t>
  </si>
  <si>
    <t>C-484</t>
  </si>
  <si>
    <t>The Power of Creation</t>
  </si>
  <si>
    <t>https://dragalialost.wiki/w/The_Power_of_Creation</t>
  </si>
  <si>
    <t>C-485</t>
  </si>
  <si>
    <t>The Dark Fortress</t>
  </si>
  <si>
    <t>https://dragalialost.wiki/w/The_Dark_Fortress</t>
  </si>
  <si>
    <t>C-486</t>
  </si>
  <si>
    <t>Imminent Destruction</t>
  </si>
  <si>
    <t>https://dragalialost.wiki/w/Imminent_Destruction</t>
  </si>
  <si>
    <t>C-487</t>
  </si>
  <si>
    <t>The Primal Trial</t>
  </si>
  <si>
    <t>https://dragalialost.wiki/w/The_Primal_Trial</t>
  </si>
  <si>
    <t>HDT Mats &amp; Primal Brunhilda</t>
  </si>
  <si>
    <t>HDT 1</t>
  </si>
  <si>
    <t>HDT 2</t>
  </si>
  <si>
    <t>HDT 3</t>
  </si>
  <si>
    <t>C-488</t>
  </si>
  <si>
    <t>The Land of Ruin</t>
  </si>
  <si>
    <t>https://dragalialost.wiki/w/The_Land_of_Ruin</t>
  </si>
  <si>
    <t>C-489</t>
  </si>
  <si>
    <t>The Emperor</t>
  </si>
  <si>
    <t>https://dragalialost.wiki/w/The_Emperor</t>
  </si>
  <si>
    <t>C-490</t>
  </si>
  <si>
    <t>Sovereign of the End</t>
  </si>
  <si>
    <t>https://dragalialost.wiki/w/Sovereign_of_the_End</t>
  </si>
  <si>
    <t>The Other &amp; Nat Bless</t>
  </si>
  <si>
    <t>C-491</t>
  </si>
  <si>
    <t>The Other's World</t>
  </si>
  <si>
    <t>https://dragalialost.wiki/w/The_Other's_World</t>
  </si>
  <si>
    <t>C-492</t>
  </si>
  <si>
    <t>A Perfect Whole</t>
  </si>
  <si>
    <t>https://dragalialost.wiki/w/A_Perfect_Whole</t>
  </si>
  <si>
    <t>Chronos &amp; Primal Mercury</t>
  </si>
  <si>
    <t>C-493</t>
  </si>
  <si>
    <t>https://dragalialost.wiki/w/Proof_of_the_Pact</t>
  </si>
  <si>
    <t>C-494</t>
  </si>
  <si>
    <t>26</t>
  </si>
  <si>
    <t>Stronghold Entrance</t>
  </si>
  <si>
    <t>A Ray of Hope</t>
  </si>
  <si>
    <t>https://dragalialost.wiki/w/A_Ray_of_Hope</t>
  </si>
  <si>
    <t>C-495</t>
  </si>
  <si>
    <t>Path to the End</t>
  </si>
  <si>
    <t>https://dragalialost.wiki/w/Path_to_the_End</t>
  </si>
  <si>
    <t>C-496</t>
  </si>
  <si>
    <t>Distorted Path</t>
  </si>
  <si>
    <t>C-497</t>
  </si>
  <si>
    <t>Twisted Possibility</t>
  </si>
  <si>
    <t>https://dragalialost.wiki/w/Twisted_Possibility</t>
  </si>
  <si>
    <t>C-498</t>
  </si>
  <si>
    <t>Beyond Reason</t>
  </si>
  <si>
    <t>https://dragalialost.wiki/w/Beyond_Reason</t>
  </si>
  <si>
    <t>C-499</t>
  </si>
  <si>
    <t>The Otherworld Shadowwyrm</t>
  </si>
  <si>
    <t>https://dragalialost.wiki/w/The_Otherworld_Shadowwyrm</t>
  </si>
  <si>
    <t>High Doiark &amp;Primal Zodiark</t>
  </si>
  <si>
    <t>C-500</t>
  </si>
  <si>
    <t>Merged Worlds</t>
  </si>
  <si>
    <t>A Fixed Outcome</t>
  </si>
  <si>
    <t>https://dragalialost.wiki/w/A_Fixed_Outcome</t>
  </si>
  <si>
    <t>C-501</t>
  </si>
  <si>
    <t>The Rejected Prince</t>
  </si>
  <si>
    <t>https://dragalialost.wiki/w/The_Rejected_Prince</t>
  </si>
  <si>
    <t>MORSAYATI &amp;Primal Jupiter</t>
  </si>
  <si>
    <t>C-502</t>
  </si>
  <si>
    <t>The Rejected</t>
  </si>
  <si>
    <t>https://dragalialost.wiki/w/The_Rejected</t>
  </si>
  <si>
    <t>C-503</t>
  </si>
  <si>
    <t>The Threat of Possibility</t>
  </si>
  <si>
    <t>https://dragalialost.wiki/w/The_Threat_of_Possibility</t>
  </si>
  <si>
    <t>C-504</t>
  </si>
  <si>
    <t>Shattered Worlds</t>
  </si>
  <si>
    <t>Dark Possibility</t>
  </si>
  <si>
    <t>https://dragalialost.wiki/w/Dark_Possibility</t>
  </si>
  <si>
    <t>C-505</t>
  </si>
  <si>
    <t>Crumbling Worlds</t>
  </si>
  <si>
    <t>https://dragalialost.wiki/w/Crumbling_Worlds</t>
  </si>
  <si>
    <t>C-506</t>
  </si>
  <si>
    <t>Swearing on Our Lives</t>
  </si>
  <si>
    <t>https://dragalialost.wiki/w/Swearing_on_Our_Lives</t>
  </si>
  <si>
    <t>C-507</t>
  </si>
  <si>
    <t>Overcoming Despair</t>
  </si>
  <si>
    <t>https://dragalialost.wiki/w/Overcoming_Despair</t>
  </si>
  <si>
    <t>C-508</t>
  </si>
  <si>
    <t>The Miracle of Possibility</t>
  </si>
  <si>
    <t>https://dragalialost.wiki/w/The_Miracle_of_Possibility</t>
  </si>
  <si>
    <t>C-509</t>
  </si>
  <si>
    <t>Heart of Creation</t>
  </si>
  <si>
    <t>Vessel of Creation</t>
  </si>
  <si>
    <t>https://dragalialost.wiki/w/Vessel_of_Creation</t>
  </si>
  <si>
    <t>C-510</t>
  </si>
  <si>
    <t>Heart</t>
  </si>
  <si>
    <t>https://dragalialost.wiki/w/Heart</t>
  </si>
  <si>
    <t>C-511</t>
  </si>
  <si>
    <t>The Consummate Creator</t>
  </si>
  <si>
    <t>https://dragalialost.wiki/w/The_Consummate_Creator</t>
  </si>
  <si>
    <t>XENOS - No Drops</t>
  </si>
  <si>
    <t>C-512</t>
  </si>
  <si>
    <t>Cast Anew</t>
  </si>
  <si>
    <t>https://dragalialost.wiki/w/Cast_Anew</t>
  </si>
  <si>
    <t>C-513</t>
  </si>
  <si>
    <t>Fight for Humanity</t>
  </si>
  <si>
    <t>https://dragalialost.wiki/w/Fight_for_Humanity</t>
  </si>
  <si>
    <t>C-514</t>
  </si>
  <si>
    <t>A New Beginning</t>
  </si>
  <si>
    <t>https://dragalialost.wiki/w/A_New_Beginning</t>
  </si>
  <si>
    <t>C-515</t>
  </si>
  <si>
    <t>A World without End</t>
  </si>
  <si>
    <t>https://dragalialost.wiki/w/A_World_without_End</t>
  </si>
  <si>
    <t>Quest Grouping</t>
  </si>
  <si>
    <t>Quest Name</t>
  </si>
  <si>
    <t>D#</t>
  </si>
  <si>
    <t>Drop Element</t>
  </si>
  <si>
    <t>Might</t>
  </si>
  <si>
    <t>Runs</t>
  </si>
  <si>
    <t>Mana</t>
  </si>
  <si>
    <t>EXP</t>
  </si>
  <si>
    <t>Drop Type</t>
  </si>
  <si>
    <t>T Mana</t>
  </si>
  <si>
    <t>T Rupies</t>
  </si>
  <si>
    <t>T EXP</t>
  </si>
  <si>
    <t>Main Campaign</t>
  </si>
  <si>
    <t>C-003H</t>
  </si>
  <si>
    <t>C-003V</t>
  </si>
  <si>
    <t>C-006H</t>
  </si>
  <si>
    <t>C-006V</t>
  </si>
  <si>
    <t>C-008H</t>
  </si>
  <si>
    <t>C-008V</t>
  </si>
  <si>
    <t>C-010H</t>
  </si>
  <si>
    <t>C-010V</t>
  </si>
  <si>
    <t>C-012H</t>
  </si>
  <si>
    <t>C-012V</t>
  </si>
  <si>
    <t>C-013H</t>
  </si>
  <si>
    <t>C-013V</t>
  </si>
  <si>
    <t>C-015H</t>
  </si>
  <si>
    <t>C-015V</t>
  </si>
  <si>
    <t>C-016H</t>
  </si>
  <si>
    <t>C-016V</t>
  </si>
  <si>
    <t>C-019H</t>
  </si>
  <si>
    <t>C-019V</t>
  </si>
  <si>
    <t>C-020H</t>
  </si>
  <si>
    <t>C-020V</t>
  </si>
  <si>
    <t>C-022H</t>
  </si>
  <si>
    <t>C-022V</t>
  </si>
  <si>
    <t>C-024H</t>
  </si>
  <si>
    <t>C-024V</t>
  </si>
  <si>
    <t>C-026H</t>
  </si>
  <si>
    <t>C-026V</t>
  </si>
  <si>
    <t>C-027H</t>
  </si>
  <si>
    <t>C-027V</t>
  </si>
  <si>
    <t>C-029H</t>
  </si>
  <si>
    <t>C-029V</t>
  </si>
  <si>
    <t>C-030H</t>
  </si>
  <si>
    <t>C-030V</t>
  </si>
  <si>
    <t>C-034H</t>
  </si>
  <si>
    <t>C-034V</t>
  </si>
  <si>
    <t>C-035H</t>
  </si>
  <si>
    <t>C-035V</t>
  </si>
  <si>
    <t>C-038H</t>
  </si>
  <si>
    <t>C-038V</t>
  </si>
  <si>
    <t>C-039H</t>
  </si>
  <si>
    <t>C-039V</t>
  </si>
  <si>
    <t>C-041H</t>
  </si>
  <si>
    <t>C-041V</t>
  </si>
  <si>
    <t>C-042H</t>
  </si>
  <si>
    <t>C-042V</t>
  </si>
  <si>
    <t>C-043H</t>
  </si>
  <si>
    <t>C-043V</t>
  </si>
  <si>
    <t>C-045H</t>
  </si>
  <si>
    <t>C-045V</t>
  </si>
  <si>
    <t>C-047H</t>
  </si>
  <si>
    <t>C-047V</t>
  </si>
  <si>
    <t>C-049H</t>
  </si>
  <si>
    <t>C-049V</t>
  </si>
  <si>
    <t>C-050H</t>
  </si>
  <si>
    <t>C-050V</t>
  </si>
  <si>
    <t>C-051H</t>
  </si>
  <si>
    <t>C-051V</t>
  </si>
  <si>
    <t>C-054H</t>
  </si>
  <si>
    <t>C-054V</t>
  </si>
  <si>
    <t>C-055H</t>
  </si>
  <si>
    <t>C-055V</t>
  </si>
  <si>
    <t>C-056H</t>
  </si>
  <si>
    <t>C-056V</t>
  </si>
  <si>
    <t>C-058H</t>
  </si>
  <si>
    <t>C-058V</t>
  </si>
  <si>
    <t>C-059H</t>
  </si>
  <si>
    <t>C-059V</t>
  </si>
  <si>
    <t>C-060H</t>
  </si>
  <si>
    <t>C-060V</t>
  </si>
  <si>
    <t>C-062H</t>
  </si>
  <si>
    <t>C-062V</t>
  </si>
  <si>
    <t>C-064H</t>
  </si>
  <si>
    <t>C-064V</t>
  </si>
  <si>
    <t>C-066H</t>
  </si>
  <si>
    <t>C-066V</t>
  </si>
  <si>
    <t>C-067H</t>
  </si>
  <si>
    <t>C-067V</t>
  </si>
  <si>
    <t>C-068H</t>
  </si>
  <si>
    <t>C-068V</t>
  </si>
  <si>
    <t>C-069H</t>
  </si>
  <si>
    <t>C-069V</t>
  </si>
  <si>
    <t>C-072H</t>
  </si>
  <si>
    <t>C-072V</t>
  </si>
  <si>
    <t>C-073H</t>
  </si>
  <si>
    <t>C-073V</t>
  </si>
  <si>
    <t>C-074H</t>
  </si>
  <si>
    <t>C-074V</t>
  </si>
  <si>
    <t>C-078H</t>
  </si>
  <si>
    <t>C-078V</t>
  </si>
  <si>
    <t>C-079H</t>
  </si>
  <si>
    <t>C-079V</t>
  </si>
  <si>
    <t>C-081H</t>
  </si>
  <si>
    <t>C-081V</t>
  </si>
  <si>
    <t>C-083H</t>
  </si>
  <si>
    <t>C-083V</t>
  </si>
  <si>
    <t>C-085H</t>
  </si>
  <si>
    <t>C-085V</t>
  </si>
  <si>
    <t>C-086H</t>
  </si>
  <si>
    <t>C-086V</t>
  </si>
  <si>
    <t>C-087H</t>
  </si>
  <si>
    <t>C-087V</t>
  </si>
  <si>
    <t>C-089H</t>
  </si>
  <si>
    <t>C-089V</t>
  </si>
  <si>
    <t>C-090H</t>
  </si>
  <si>
    <t>C-090V</t>
  </si>
  <si>
    <t>C-093H</t>
  </si>
  <si>
    <t>C-093V</t>
  </si>
  <si>
    <t>C-094H</t>
  </si>
  <si>
    <t>C-094V</t>
  </si>
  <si>
    <t>C-096H</t>
  </si>
  <si>
    <t>C-096V</t>
  </si>
  <si>
    <t>C-097H</t>
  </si>
  <si>
    <t>C-097V</t>
  </si>
  <si>
    <t>C-099H</t>
  </si>
  <si>
    <t>C-099V</t>
  </si>
  <si>
    <t>C-100H</t>
  </si>
  <si>
    <t>C-100V</t>
  </si>
  <si>
    <t>C-102H</t>
  </si>
  <si>
    <t>C-102V</t>
  </si>
  <si>
    <t>C-103H</t>
  </si>
  <si>
    <t>C-103V</t>
  </si>
  <si>
    <t>C-104H</t>
  </si>
  <si>
    <t>C-104V</t>
  </si>
  <si>
    <t>C-105H</t>
  </si>
  <si>
    <t>C-105V</t>
  </si>
  <si>
    <t>C-107H</t>
  </si>
  <si>
    <t>C-107V</t>
  </si>
  <si>
    <t>C-108H</t>
  </si>
  <si>
    <t>C-108V</t>
  </si>
  <si>
    <t>C-109H</t>
  </si>
  <si>
    <t>C-109V</t>
  </si>
  <si>
    <t>C-111H</t>
  </si>
  <si>
    <t>C-111V</t>
  </si>
  <si>
    <t>C-112H</t>
  </si>
  <si>
    <t>C-112V</t>
  </si>
  <si>
    <t>C-113H</t>
  </si>
  <si>
    <t>C-113V</t>
  </si>
  <si>
    <t>C-116H</t>
  </si>
  <si>
    <t>C-116V</t>
  </si>
  <si>
    <t>C-117H</t>
  </si>
  <si>
    <t>C-117V</t>
  </si>
  <si>
    <t>C-119H</t>
  </si>
  <si>
    <t>C-119V</t>
  </si>
  <si>
    <t>C-120H</t>
  </si>
  <si>
    <t>C-120V</t>
  </si>
  <si>
    <t>C-122H</t>
  </si>
  <si>
    <t>C-122V</t>
  </si>
  <si>
    <t>C-123H</t>
  </si>
  <si>
    <t>C-123V</t>
  </si>
  <si>
    <t>C-125H</t>
  </si>
  <si>
    <t>C-125V</t>
  </si>
  <si>
    <t>C-126H</t>
  </si>
  <si>
    <t>C-126V</t>
  </si>
  <si>
    <t>C-127H</t>
  </si>
  <si>
    <t>C-127V</t>
  </si>
  <si>
    <t>C-129H</t>
  </si>
  <si>
    <t>C-129V</t>
  </si>
  <si>
    <t>C-130H</t>
  </si>
  <si>
    <t>C-130V</t>
  </si>
  <si>
    <t>C-131H</t>
  </si>
  <si>
    <t>C-131V</t>
  </si>
  <si>
    <t>C-133H</t>
  </si>
  <si>
    <t>C-133V</t>
  </si>
  <si>
    <t>C-136H</t>
  </si>
  <si>
    <t>C-136V</t>
  </si>
  <si>
    <t>C-139H</t>
  </si>
  <si>
    <t>C-139V</t>
  </si>
  <si>
    <t>C-140H</t>
  </si>
  <si>
    <t>C-140V</t>
  </si>
  <si>
    <t>C-141H</t>
  </si>
  <si>
    <t>C-141V</t>
  </si>
  <si>
    <t>C-143H</t>
  </si>
  <si>
    <t>C-143V</t>
  </si>
  <si>
    <t>C-144H</t>
  </si>
  <si>
    <t>C-144V</t>
  </si>
  <si>
    <t>C-146H</t>
  </si>
  <si>
    <t>C-146V</t>
  </si>
  <si>
    <t>C-148H</t>
  </si>
  <si>
    <t>C-148V</t>
  </si>
  <si>
    <t>C-149H</t>
  </si>
  <si>
    <t>C-149V</t>
  </si>
  <si>
    <t>C-150H</t>
  </si>
  <si>
    <t>C-150V</t>
  </si>
  <si>
    <t>C-152H</t>
  </si>
  <si>
    <t>C-152V</t>
  </si>
  <si>
    <t>C-153H</t>
  </si>
  <si>
    <t>C-153V</t>
  </si>
  <si>
    <t>C-155H</t>
  </si>
  <si>
    <t>C-155V</t>
  </si>
  <si>
    <t>C-156H</t>
  </si>
  <si>
    <t>C-156V</t>
  </si>
  <si>
    <t>C-158H</t>
  </si>
  <si>
    <t>C-158V</t>
  </si>
  <si>
    <t>C-161H</t>
  </si>
  <si>
    <t>C-161V</t>
  </si>
  <si>
    <t>C-163H</t>
  </si>
  <si>
    <t>C-163V</t>
  </si>
  <si>
    <t>C-165H</t>
  </si>
  <si>
    <t>C-165V</t>
  </si>
  <si>
    <t>C-167H</t>
  </si>
  <si>
    <t>C-167V</t>
  </si>
  <si>
    <t>C-168H</t>
  </si>
  <si>
    <t>C-168V</t>
  </si>
  <si>
    <t>C-172H</t>
  </si>
  <si>
    <t>C-172V</t>
  </si>
  <si>
    <t>C-173H</t>
  </si>
  <si>
    <t>C-173V</t>
  </si>
  <si>
    <t>C-175H</t>
  </si>
  <si>
    <t>C-175V</t>
  </si>
  <si>
    <t>C-178H</t>
  </si>
  <si>
    <t>C-178V</t>
  </si>
  <si>
    <t>C-180H</t>
  </si>
  <si>
    <t>C-180V</t>
  </si>
  <si>
    <t>C-182H</t>
  </si>
  <si>
    <t>C-182V</t>
  </si>
  <si>
    <t>C-184H</t>
  </si>
  <si>
    <t>C-184V</t>
  </si>
  <si>
    <t>C-185H</t>
  </si>
  <si>
    <t>C-185V</t>
  </si>
  <si>
    <t>C-187H</t>
  </si>
  <si>
    <t>C-187V</t>
  </si>
  <si>
    <t>C-188H</t>
  </si>
  <si>
    <t>C-188V</t>
  </si>
  <si>
    <t>C-189H</t>
  </si>
  <si>
    <t>C-189V</t>
  </si>
  <si>
    <t>C-191H</t>
  </si>
  <si>
    <t>C-191V</t>
  </si>
  <si>
    <t>C-195H</t>
  </si>
  <si>
    <t>C-195V</t>
  </si>
  <si>
    <t>C-197H</t>
  </si>
  <si>
    <t>C-197V</t>
  </si>
  <si>
    <t>C-199H</t>
  </si>
  <si>
    <t>C-199V</t>
  </si>
  <si>
    <t>C-200H</t>
  </si>
  <si>
    <t>C-200V</t>
  </si>
  <si>
    <t>C-203H</t>
  </si>
  <si>
    <t>C-203V</t>
  </si>
  <si>
    <t>C-204H</t>
  </si>
  <si>
    <t>C-204V</t>
  </si>
  <si>
    <t>C-205H</t>
  </si>
  <si>
    <t>C-205V</t>
  </si>
  <si>
    <t>C-206H</t>
  </si>
  <si>
    <t>C-206V</t>
  </si>
  <si>
    <t>C-208H</t>
  </si>
  <si>
    <t>C-208V</t>
  </si>
  <si>
    <t>C-213H</t>
  </si>
  <si>
    <t>C-213V</t>
  </si>
  <si>
    <t>C-215H</t>
  </si>
  <si>
    <t>C-215V</t>
  </si>
  <si>
    <t>C-216H</t>
  </si>
  <si>
    <t>C-216V</t>
  </si>
  <si>
    <t>C-218H</t>
  </si>
  <si>
    <t>C-218V</t>
  </si>
  <si>
    <t>C-220H</t>
  </si>
  <si>
    <t>C-220V</t>
  </si>
  <si>
    <t>C-222H</t>
  </si>
  <si>
    <t>C-222V</t>
  </si>
  <si>
    <t>C-223H</t>
  </si>
  <si>
    <t>C-223V</t>
  </si>
  <si>
    <t>C-224H</t>
  </si>
  <si>
    <t>C-224V</t>
  </si>
  <si>
    <t>C-226H</t>
  </si>
  <si>
    <t>C-226V</t>
  </si>
  <si>
    <t>C-233H</t>
  </si>
  <si>
    <t>C-233V</t>
  </si>
  <si>
    <t>C-234H</t>
  </si>
  <si>
    <t>C-234V</t>
  </si>
  <si>
    <t>C-235H</t>
  </si>
  <si>
    <t>C-235V</t>
  </si>
  <si>
    <t>C-237H</t>
  </si>
  <si>
    <t>C-237V</t>
  </si>
  <si>
    <t>C-239H</t>
  </si>
  <si>
    <t>C-239V</t>
  </si>
  <si>
    <t>C-240H</t>
  </si>
  <si>
    <t>C-240V</t>
  </si>
  <si>
    <t>C-242H</t>
  </si>
  <si>
    <t>C-242V</t>
  </si>
  <si>
    <t>C-243H</t>
  </si>
  <si>
    <t>C-243V</t>
  </si>
  <si>
    <t>C-245H</t>
  </si>
  <si>
    <t>C-245V</t>
  </si>
  <si>
    <t>C-247H</t>
  </si>
  <si>
    <t>C-247V</t>
  </si>
  <si>
    <t>C-254H</t>
  </si>
  <si>
    <t>C-254V</t>
  </si>
  <si>
    <t>C-256H</t>
  </si>
  <si>
    <t>C-256V</t>
  </si>
  <si>
    <t>C-259H</t>
  </si>
  <si>
    <t>C-259V</t>
  </si>
  <si>
    <t>C-260H</t>
  </si>
  <si>
    <t>C-260V</t>
  </si>
  <si>
    <t>C-262H</t>
  </si>
  <si>
    <t>C-262V</t>
  </si>
  <si>
    <t>C-263H</t>
  </si>
  <si>
    <t>C-263V</t>
  </si>
  <si>
    <t>C-264H</t>
  </si>
  <si>
    <t>C-264V</t>
  </si>
  <si>
    <t>C-266H</t>
  </si>
  <si>
    <t>C-266V</t>
  </si>
  <si>
    <t>C-269H</t>
  </si>
  <si>
    <t>C-269V</t>
  </si>
  <si>
    <t>C-271H</t>
  </si>
  <si>
    <t>C-271V</t>
  </si>
  <si>
    <t>C-277H</t>
  </si>
  <si>
    <t>C-277V</t>
  </si>
  <si>
    <t>C-279H</t>
  </si>
  <si>
    <t>C-279V</t>
  </si>
  <si>
    <t>C-281H</t>
  </si>
  <si>
    <t>C-281V</t>
  </si>
  <si>
    <t>C-283H</t>
  </si>
  <si>
    <t>C-283V</t>
  </si>
  <si>
    <t>ALL</t>
  </si>
  <si>
    <t>C-284H</t>
  </si>
  <si>
    <t>C-284V</t>
  </si>
  <si>
    <t>C-285H</t>
  </si>
  <si>
    <t>C-285V</t>
  </si>
  <si>
    <t>C-287H</t>
  </si>
  <si>
    <t>C-287V</t>
  </si>
  <si>
    <t>C-289H</t>
  </si>
  <si>
    <t>C-289V</t>
  </si>
  <si>
    <t>C-298H</t>
  </si>
  <si>
    <t>C-298V</t>
  </si>
  <si>
    <t>C-300H</t>
  </si>
  <si>
    <t>C-300V</t>
  </si>
  <si>
    <t>C-303H</t>
  </si>
  <si>
    <t>C-303V</t>
  </si>
  <si>
    <t>C-305H</t>
  </si>
  <si>
    <t>C-305V</t>
  </si>
  <si>
    <t>C-306H</t>
  </si>
  <si>
    <t>C-306V</t>
  </si>
  <si>
    <t>C-308H</t>
  </si>
  <si>
    <t>C-308V</t>
  </si>
  <si>
    <t>C-310H</t>
  </si>
  <si>
    <t>C-310V</t>
  </si>
  <si>
    <t>C-317H</t>
  </si>
  <si>
    <t>C-317V</t>
  </si>
  <si>
    <t>C-320H</t>
  </si>
  <si>
    <t>C-320V</t>
  </si>
  <si>
    <t>C-322H</t>
  </si>
  <si>
    <t>C-322V</t>
  </si>
  <si>
    <t>C-325H</t>
  </si>
  <si>
    <t>C-325V</t>
  </si>
  <si>
    <t>C-327H</t>
  </si>
  <si>
    <t>C-327V</t>
  </si>
  <si>
    <t>C-329H</t>
  </si>
  <si>
    <t>C-329V</t>
  </si>
  <si>
    <t>C-332H</t>
  </si>
  <si>
    <t>C-332V</t>
  </si>
  <si>
    <t>C-338H</t>
  </si>
  <si>
    <t>C-338V</t>
  </si>
  <si>
    <t>C-340H</t>
  </si>
  <si>
    <t>C-340V</t>
  </si>
  <si>
    <t>C-342H</t>
  </si>
  <si>
    <t>C-342V</t>
  </si>
  <si>
    <t>C-344H</t>
  </si>
  <si>
    <t>C-344V</t>
  </si>
  <si>
    <t>C-346H</t>
  </si>
  <si>
    <t>C-346V</t>
  </si>
  <si>
    <t>C-348H</t>
  </si>
  <si>
    <t>C-348V</t>
  </si>
  <si>
    <t>C-350H</t>
  </si>
  <si>
    <t>C-350V</t>
  </si>
  <si>
    <t>C-352H</t>
  </si>
  <si>
    <t>C-352V</t>
  </si>
  <si>
    <t>C-357H</t>
  </si>
  <si>
    <t>C-357V</t>
  </si>
  <si>
    <t>C-359H</t>
  </si>
  <si>
    <t>C-359V</t>
  </si>
  <si>
    <t>C-361H</t>
  </si>
  <si>
    <t>C-361V</t>
  </si>
  <si>
    <t>C-363H</t>
  </si>
  <si>
    <t>C-363V</t>
  </si>
  <si>
    <t>C-364H</t>
  </si>
  <si>
    <t>C-364V</t>
  </si>
  <si>
    <t>C-370H</t>
  </si>
  <si>
    <t>C-370V</t>
  </si>
  <si>
    <t>C-371H</t>
  </si>
  <si>
    <t>C-371V</t>
  </si>
  <si>
    <t>C-373H</t>
  </si>
  <si>
    <t>C-373V</t>
  </si>
  <si>
    <t>C-375H</t>
  </si>
  <si>
    <t>C-375V</t>
  </si>
  <si>
    <t>C-378H</t>
  </si>
  <si>
    <t>C-378V</t>
  </si>
  <si>
    <t>C-379H</t>
  </si>
  <si>
    <t>C-379V</t>
  </si>
  <si>
    <t>C-381H</t>
  </si>
  <si>
    <t>C-381V</t>
  </si>
  <si>
    <t>C-382H</t>
  </si>
  <si>
    <t>C-382V</t>
  </si>
  <si>
    <t>C-385H</t>
  </si>
  <si>
    <t>C-385V</t>
  </si>
  <si>
    <t>C-387H</t>
  </si>
  <si>
    <t>C-387V</t>
  </si>
  <si>
    <t>C-391H</t>
  </si>
  <si>
    <t>C-391V</t>
  </si>
  <si>
    <t>C-392H</t>
  </si>
  <si>
    <t>C-392V</t>
  </si>
  <si>
    <t>C-394H</t>
  </si>
  <si>
    <t>C-394V</t>
  </si>
  <si>
    <t>C-396H</t>
  </si>
  <si>
    <t>C-396V</t>
  </si>
  <si>
    <t>C-401H</t>
  </si>
  <si>
    <t>C-401V</t>
  </si>
  <si>
    <t>C-402H</t>
  </si>
  <si>
    <t>C-402V</t>
  </si>
  <si>
    <t>C-404H</t>
  </si>
  <si>
    <t>C-404V</t>
  </si>
  <si>
    <t>C-406H</t>
  </si>
  <si>
    <t>C-406V</t>
  </si>
  <si>
    <t>C-407H</t>
  </si>
  <si>
    <t>C-407V</t>
  </si>
  <si>
    <t>Might 1</t>
  </si>
  <si>
    <t>C-409H</t>
  </si>
  <si>
    <t>Might 2</t>
  </si>
  <si>
    <t>C-409V</t>
  </si>
  <si>
    <t>Might 3</t>
  </si>
  <si>
    <t>C-412H</t>
  </si>
  <si>
    <t>C-412V</t>
  </si>
  <si>
    <t>C-414H</t>
  </si>
  <si>
    <t>C-414V</t>
  </si>
  <si>
    <t>C-416H</t>
  </si>
  <si>
    <t>C-416V</t>
  </si>
  <si>
    <t>C-418H</t>
  </si>
  <si>
    <t>C-418V</t>
  </si>
  <si>
    <t>C-419H</t>
  </si>
  <si>
    <t>C-419V</t>
  </si>
  <si>
    <t>C-422H</t>
  </si>
  <si>
    <t>C-422V</t>
  </si>
  <si>
    <t>C-423H</t>
  </si>
  <si>
    <t>C-423V</t>
  </si>
  <si>
    <t>C-425H</t>
  </si>
  <si>
    <t>C-425V</t>
  </si>
  <si>
    <t>C-428H</t>
  </si>
  <si>
    <t>C-428V</t>
  </si>
  <si>
    <t>C-431H</t>
  </si>
  <si>
    <t>C-431V</t>
  </si>
  <si>
    <t>C-432H</t>
  </si>
  <si>
    <t>C-432V</t>
  </si>
  <si>
    <t>C-435H</t>
  </si>
  <si>
    <t>C-435V</t>
  </si>
  <si>
    <t>C-437H</t>
  </si>
  <si>
    <t>C-437V</t>
  </si>
  <si>
    <t>C-441H</t>
  </si>
  <si>
    <t>C-441V</t>
  </si>
  <si>
    <t>C-443H</t>
  </si>
  <si>
    <t>C-443V</t>
  </si>
  <si>
    <t>C-445H</t>
  </si>
  <si>
    <t>C-445V</t>
  </si>
  <si>
    <t>C-447H</t>
  </si>
  <si>
    <t>C-447V</t>
  </si>
  <si>
    <t>C-450H</t>
  </si>
  <si>
    <t>C-450V</t>
  </si>
  <si>
    <t>C-452H</t>
  </si>
  <si>
    <t>C-452V</t>
  </si>
  <si>
    <t>C-454H</t>
  </si>
  <si>
    <t>C-454V</t>
  </si>
  <si>
    <t>C-456H</t>
  </si>
  <si>
    <t>C-456V</t>
  </si>
  <si>
    <t>C-459H</t>
  </si>
  <si>
    <t>C-459V</t>
  </si>
  <si>
    <t>C-462H</t>
  </si>
  <si>
    <t>C-462V</t>
  </si>
  <si>
    <t>C-464H</t>
  </si>
  <si>
    <t>C-464V</t>
  </si>
  <si>
    <t>C-465H</t>
  </si>
  <si>
    <t>C-465V</t>
  </si>
  <si>
    <t>C-470H</t>
  </si>
  <si>
    <t>C-470V</t>
  </si>
  <si>
    <t>C-471H</t>
  </si>
  <si>
    <t>C-471V</t>
  </si>
  <si>
    <t>C-473H</t>
  </si>
  <si>
    <t>C-473V</t>
  </si>
  <si>
    <t>C-477H</t>
  </si>
  <si>
    <t>C-477V</t>
  </si>
  <si>
    <t>C-479H</t>
  </si>
  <si>
    <t>C-479V</t>
  </si>
  <si>
    <t>C-482H</t>
  </si>
  <si>
    <t>C-482V</t>
  </si>
  <si>
    <t>C-483H</t>
  </si>
  <si>
    <t>C-483V</t>
  </si>
  <si>
    <t>C-486H</t>
  </si>
  <si>
    <t>C-486V</t>
  </si>
  <si>
    <t>C-487H</t>
  </si>
  <si>
    <t>C-487V</t>
  </si>
  <si>
    <t>C-490H</t>
  </si>
  <si>
    <t>C-490V</t>
  </si>
  <si>
    <t>C-492H</t>
  </si>
  <si>
    <t>C-492V</t>
  </si>
  <si>
    <t>C-495H</t>
  </si>
  <si>
    <t>C-495V</t>
  </si>
  <si>
    <t>C-497H</t>
  </si>
  <si>
    <t>C-497V</t>
  </si>
  <si>
    <t>C-499H</t>
  </si>
  <si>
    <t>C-499V</t>
  </si>
  <si>
    <t>C-501H</t>
  </si>
  <si>
    <t>C-501V</t>
  </si>
  <si>
    <t>C-504H</t>
  </si>
  <si>
    <t>C-504V</t>
  </si>
  <si>
    <t>C-507H</t>
  </si>
  <si>
    <t>C-507V</t>
  </si>
  <si>
    <t>C-511H</t>
  </si>
  <si>
    <t>C-511V</t>
  </si>
  <si>
    <t>E-0101</t>
  </si>
  <si>
    <t>Raid</t>
  </si>
  <si>
    <t>A Fervid Teacher</t>
  </si>
  <si>
    <t>Single</t>
  </si>
  <si>
    <t>Raid 1</t>
  </si>
  <si>
    <t>E-0102</t>
  </si>
  <si>
    <t>A Cry for Help</t>
  </si>
  <si>
    <t>E-0103</t>
  </si>
  <si>
    <t>Magma Onslaught</t>
  </si>
  <si>
    <t>E-0104</t>
  </si>
  <si>
    <t>The Oppressive Flame</t>
  </si>
  <si>
    <t>E-0105</t>
  </si>
  <si>
    <t xml:space="preserve">	Devotion</t>
  </si>
  <si>
    <t>E-0106</t>
  </si>
  <si>
    <t>Assault on Archeole</t>
  </si>
  <si>
    <t>Beginner</t>
  </si>
  <si>
    <t>E-0107</t>
  </si>
  <si>
    <t>Expert</t>
  </si>
  <si>
    <t>E-0108</t>
  </si>
  <si>
    <t>Phraeganoth Clash</t>
  </si>
  <si>
    <t>E-0109</t>
  </si>
  <si>
    <t>Raid 3</t>
  </si>
  <si>
    <t>E-0110</t>
  </si>
  <si>
    <t>EX</t>
  </si>
  <si>
    <t>E-0111</t>
  </si>
  <si>
    <t>Nightmare</t>
  </si>
  <si>
    <t>Raid 4</t>
  </si>
  <si>
    <t>E-0112</t>
  </si>
  <si>
    <t>Omega</t>
  </si>
  <si>
    <t>E-0201</t>
  </si>
  <si>
    <t>Facility</t>
  </si>
  <si>
    <t>Trees in the Twilight</t>
  </si>
  <si>
    <t>Event 1</t>
  </si>
  <si>
    <t>E-0202</t>
  </si>
  <si>
    <t>Lantern o' Laughs</t>
  </si>
  <si>
    <t>E-0203</t>
  </si>
  <si>
    <t>Squash the Pumpking</t>
  </si>
  <si>
    <t>E-0204</t>
  </si>
  <si>
    <t>Standard</t>
  </si>
  <si>
    <t>Event 2</t>
  </si>
  <si>
    <t>E-0205</t>
  </si>
  <si>
    <t>Event 3</t>
  </si>
  <si>
    <t>E-0206</t>
  </si>
  <si>
    <t>Halloween Horrors</t>
  </si>
  <si>
    <t>E-0207</t>
  </si>
  <si>
    <t>Master</t>
  </si>
  <si>
    <t>Event 4</t>
  </si>
  <si>
    <t>E-0301</t>
  </si>
  <si>
    <t>To the Hidden Village</t>
  </si>
  <si>
    <t>E-0302</t>
  </si>
  <si>
    <t>Then and Now</t>
  </si>
  <si>
    <t>E-0303</t>
  </si>
  <si>
    <t>Break through the Fiends!</t>
  </si>
  <si>
    <t>E-0304</t>
  </si>
  <si>
    <t>Melsa's Inkling</t>
  </si>
  <si>
    <t>E-0305</t>
  </si>
  <si>
    <t>Go Forth with Courage</t>
  </si>
  <si>
    <t>E-0306</t>
  </si>
  <si>
    <t>Storm Sentinel Clash</t>
  </si>
  <si>
    <t>E-0307</t>
  </si>
  <si>
    <t>E-0308</t>
  </si>
  <si>
    <t>E-0309</t>
  </si>
  <si>
    <t>Hypnos Clash</t>
  </si>
  <si>
    <t>E-0310</t>
  </si>
  <si>
    <t>E-0311</t>
  </si>
  <si>
    <t>E-0312</t>
  </si>
  <si>
    <t>E-0313</t>
  </si>
  <si>
    <t>E-0401</t>
  </si>
  <si>
    <t>The Way Home</t>
  </si>
  <si>
    <t>E-0402</t>
  </si>
  <si>
    <t>Defending the Village</t>
  </si>
  <si>
    <t>E-0403</t>
  </si>
  <si>
    <t>Fiend Alert!</t>
  </si>
  <si>
    <t>E-0404</t>
  </si>
  <si>
    <t>E-0405</t>
  </si>
  <si>
    <t>E-0406</t>
  </si>
  <si>
    <t>Ruler of the Shore</t>
  </si>
  <si>
    <t>E-0407</t>
  </si>
  <si>
    <t>E-0501</t>
  </si>
  <si>
    <t>Watch Your Footing</t>
  </si>
  <si>
    <t>E-0502</t>
  </si>
  <si>
    <t>Force Back the Fiends</t>
  </si>
  <si>
    <t>E-0503</t>
  </si>
  <si>
    <t>Struggle in the Snow</t>
  </si>
  <si>
    <t>E-0504</t>
  </si>
  <si>
    <t>Forward Without Hesitation</t>
  </si>
  <si>
    <t>E-0505</t>
  </si>
  <si>
    <t>Banishing the Darkness Within</t>
  </si>
  <si>
    <t>E-0506</t>
  </si>
  <si>
    <t>Manticore Assault</t>
  </si>
  <si>
    <t>E-0507</t>
  </si>
  <si>
    <t>E-0508</t>
  </si>
  <si>
    <t>Sabnock Clash</t>
  </si>
  <si>
    <t>E-0509</t>
  </si>
  <si>
    <t>E-0510</t>
  </si>
  <si>
    <t>E-0511</t>
  </si>
  <si>
    <t>E-0601</t>
  </si>
  <si>
    <t>Saintly Skirmish</t>
  </si>
  <si>
    <t>E-0602</t>
  </si>
  <si>
    <t>Trim the Treant</t>
  </si>
  <si>
    <t>E-0603</t>
  </si>
  <si>
    <t>Dazzling Delusions</t>
  </si>
  <si>
    <t>E-0604</t>
  </si>
  <si>
    <t>E-0605</t>
  </si>
  <si>
    <t>E-0606</t>
  </si>
  <si>
    <t>Season's Beatings</t>
  </si>
  <si>
    <t>E-0607</t>
  </si>
  <si>
    <t>E-0701</t>
  </si>
  <si>
    <t>Fortune from Afar</t>
  </si>
  <si>
    <t>Fiend Clean-Up</t>
  </si>
  <si>
    <t>E-0702</t>
  </si>
  <si>
    <t>Field Trip into Town</t>
  </si>
  <si>
    <t>E-0703</t>
  </si>
  <si>
    <t>New Year's Eve Clash</t>
  </si>
  <si>
    <t>E-0704</t>
  </si>
  <si>
    <t>Rescue Botan!</t>
  </si>
  <si>
    <t>E-0705</t>
  </si>
  <si>
    <t xml:space="preserve">	Moonlight March</t>
  </si>
  <si>
    <t>E-0706</t>
  </si>
  <si>
    <t>Ieyasu's Crucible</t>
  </si>
  <si>
    <t>E-0707</t>
  </si>
  <si>
    <t>E-0708</t>
  </si>
  <si>
    <t>E-0709</t>
  </si>
  <si>
    <t>Shishimai Showdown</t>
  </si>
  <si>
    <t>E-0710</t>
  </si>
  <si>
    <t>E-0711</t>
  </si>
  <si>
    <t>E-0712</t>
  </si>
  <si>
    <t>E-0713</t>
  </si>
  <si>
    <t>E-0801</t>
  </si>
  <si>
    <t>Practice in the Poison Swamp</t>
  </si>
  <si>
    <t>E-0802</t>
  </si>
  <si>
    <t>A Fiendish Finale</t>
  </si>
  <si>
    <t>E-0803</t>
  </si>
  <si>
    <t>Welcome to the Fiend Circus</t>
  </si>
  <si>
    <t>E-0804</t>
  </si>
  <si>
    <t>E-0805</t>
  </si>
  <si>
    <t>E-0806</t>
  </si>
  <si>
    <t>Top Star Trial</t>
  </si>
  <si>
    <t>E-0807</t>
  </si>
  <si>
    <t>E-0901</t>
  </si>
  <si>
    <t>To the Dragon-Vein Spring</t>
  </si>
  <si>
    <t>E-0902</t>
  </si>
  <si>
    <t>Bogged Down</t>
  </si>
  <si>
    <t>E-0903</t>
  </si>
  <si>
    <t>Bounties for the Brave</t>
  </si>
  <si>
    <t>E-0904</t>
  </si>
  <si>
    <t>Return to the Spring</t>
  </si>
  <si>
    <t>E-0905</t>
  </si>
  <si>
    <t>Gaggles of Geysers</t>
  </si>
  <si>
    <t>E-0906</t>
  </si>
  <si>
    <t>Aquatic Cyclops Assault</t>
  </si>
  <si>
    <t>E-0907</t>
  </si>
  <si>
    <t>E-0908</t>
  </si>
  <si>
    <t>Valfarre Clash</t>
  </si>
  <si>
    <t>E-0909</t>
  </si>
  <si>
    <t>E-0910</t>
  </si>
  <si>
    <t>E-0911</t>
  </si>
  <si>
    <t>E-0912</t>
  </si>
  <si>
    <t>E-1001</t>
  </si>
  <si>
    <t>Onslaught NEW</t>
  </si>
  <si>
    <t>Skirmish (Valentine's Confections)</t>
  </si>
  <si>
    <t>E-1002</t>
  </si>
  <si>
    <t>Local Conflict (Valentine's Confections)</t>
  </si>
  <si>
    <t>E-1003</t>
  </si>
  <si>
    <t>All-Out Assault (Valentine's Confections)</t>
  </si>
  <si>
    <t>E-1004</t>
  </si>
  <si>
    <t>E-1005</t>
  </si>
  <si>
    <t>E-1006</t>
  </si>
  <si>
    <t>E-1007</t>
  </si>
  <si>
    <t>E-1008</t>
  </si>
  <si>
    <t>E-1009</t>
  </si>
  <si>
    <t>E-1010</t>
  </si>
  <si>
    <t>Event 5</t>
  </si>
  <si>
    <t>E-1011</t>
  </si>
  <si>
    <t>E-1012</t>
  </si>
  <si>
    <t>E-1013</t>
  </si>
  <si>
    <t>Event 6</t>
  </si>
  <si>
    <t>E-1101</t>
  </si>
  <si>
    <t>Save Phantom!</t>
  </si>
  <si>
    <t>E-1102</t>
  </si>
  <si>
    <t>Twilight's Call</t>
  </si>
  <si>
    <t>E-1103</t>
  </si>
  <si>
    <t>In the Clutches of Death</t>
  </si>
  <si>
    <t>E-1104</t>
  </si>
  <si>
    <t>Returning Home</t>
  </si>
  <si>
    <t>E-1105</t>
  </si>
  <si>
    <t>Fighting for Freedom</t>
  </si>
  <si>
    <t>E-1106</t>
  </si>
  <si>
    <t>Guardian Sentinel Assault</t>
  </si>
  <si>
    <t>E-1107</t>
  </si>
  <si>
    <t>E-1108</t>
  </si>
  <si>
    <t>Thanatos Clash</t>
  </si>
  <si>
    <t>E-1109</t>
  </si>
  <si>
    <t>E-1110</t>
  </si>
  <si>
    <t>E-1111</t>
  </si>
  <si>
    <t>E-1112</t>
  </si>
  <si>
    <t>Omega 1</t>
  </si>
  <si>
    <t>E-1113</t>
  </si>
  <si>
    <t>Omega 2</t>
  </si>
  <si>
    <t>Raid 5</t>
  </si>
  <si>
    <t>E-1114</t>
  </si>
  <si>
    <t>Omega 3</t>
  </si>
  <si>
    <t>E-1201</t>
  </si>
  <si>
    <t>Seeking the Unknown</t>
  </si>
  <si>
    <t>E-1202</t>
  </si>
  <si>
    <t>Beyond Darkness</t>
  </si>
  <si>
    <t>E-1203</t>
  </si>
  <si>
    <t>The Crawling Nightmare</t>
  </si>
  <si>
    <t>E-1204</t>
  </si>
  <si>
    <t>E-1205</t>
  </si>
  <si>
    <t>E-1206</t>
  </si>
  <si>
    <t>Chaos's Calling</t>
  </si>
  <si>
    <t>E-1207</t>
  </si>
  <si>
    <t>E-1301</t>
  </si>
  <si>
    <t>Fleur's Shortcut</t>
  </si>
  <si>
    <t>E-1302</t>
  </si>
  <si>
    <t>The Search for the Egg</t>
  </si>
  <si>
    <t>E-1303</t>
  </si>
  <si>
    <t>The Vernal Games Warm-Ups</t>
  </si>
  <si>
    <t>E-1304</t>
  </si>
  <si>
    <t>E-1305</t>
  </si>
  <si>
    <t>E-1306</t>
  </si>
  <si>
    <t>Full-Bloom Festivities</t>
  </si>
  <si>
    <t>E-1307</t>
  </si>
  <si>
    <t>E-1401</t>
  </si>
  <si>
    <t>Crossover</t>
  </si>
  <si>
    <t>Fire Emblem: Lost Heroes</t>
  </si>
  <si>
    <t>Repel the Empire!</t>
  </si>
  <si>
    <t>All</t>
  </si>
  <si>
    <t>E-1402</t>
  </si>
  <si>
    <t>Clash of Princes</t>
  </si>
  <si>
    <t>E-1403</t>
  </si>
  <si>
    <t>The Reticent Princess</t>
  </si>
  <si>
    <t>E-1404</t>
  </si>
  <si>
    <t>Repel the Empire</t>
  </si>
  <si>
    <t>E-1405</t>
  </si>
  <si>
    <t>E-1406</t>
  </si>
  <si>
    <t>Lunatic</t>
  </si>
  <si>
    <t>E-1407</t>
  </si>
  <si>
    <t>Infernal</t>
  </si>
  <si>
    <t>E-1408</t>
  </si>
  <si>
    <t>The Alberian Front</t>
  </si>
  <si>
    <t>Power 2</t>
  </si>
  <si>
    <t>E-1409</t>
  </si>
  <si>
    <t>Power 3</t>
  </si>
  <si>
    <t>E-1410</t>
  </si>
  <si>
    <t>Power 4</t>
  </si>
  <si>
    <t>E-1411</t>
  </si>
  <si>
    <t>Alfonse's Trial</t>
  </si>
  <si>
    <t>Raid 2</t>
  </si>
  <si>
    <t>E-1412</t>
  </si>
  <si>
    <t>Veronica's Trial</t>
  </si>
  <si>
    <t>E-1501</t>
  </si>
  <si>
    <t>The Long Journey</t>
  </si>
  <si>
    <t>E-1502</t>
  </si>
  <si>
    <t>After the Relic</t>
  </si>
  <si>
    <t>E-1503</t>
  </si>
  <si>
    <t>Cyclops Assault</t>
  </si>
  <si>
    <t>E-1504</t>
  </si>
  <si>
    <t>E-1505</t>
  </si>
  <si>
    <t>Qitian Dasheng Clash</t>
  </si>
  <si>
    <t>E-1506</t>
  </si>
  <si>
    <t>E-1507</t>
  </si>
  <si>
    <t>E-1508</t>
  </si>
  <si>
    <t>E-1509</t>
  </si>
  <si>
    <t>E-1510</t>
  </si>
  <si>
    <t>E-1511</t>
  </si>
  <si>
    <t>E-1601</t>
  </si>
  <si>
    <t>Finding the Master</t>
  </si>
  <si>
    <t>E-1602</t>
  </si>
  <si>
    <t>A Deadly Drill</t>
  </si>
  <si>
    <t>E-1603</t>
  </si>
  <si>
    <t>Arctos's Trial</t>
  </si>
  <si>
    <t>E-1604</t>
  </si>
  <si>
    <t>E-1605</t>
  </si>
  <si>
    <t>E-1606</t>
  </si>
  <si>
    <t>The Path to Mastery</t>
  </si>
  <si>
    <t>E-1607</t>
  </si>
  <si>
    <t>E-1701</t>
  </si>
  <si>
    <t>Tangled in Traps</t>
  </si>
  <si>
    <t>E-1702</t>
  </si>
  <si>
    <t>The Counteroffensive</t>
  </si>
  <si>
    <t>E-1703</t>
  </si>
  <si>
    <t>Giant Ember Toad Assault</t>
  </si>
  <si>
    <t>E-1704</t>
  </si>
  <si>
    <t>E-1705</t>
  </si>
  <si>
    <t>E-1706</t>
  </si>
  <si>
    <t>Barbary Clash</t>
  </si>
  <si>
    <t>E-1707</t>
  </si>
  <si>
    <t>E-1708</t>
  </si>
  <si>
    <t>E-1709</t>
  </si>
  <si>
    <t>E-1710</t>
  </si>
  <si>
    <t>E-1711</t>
  </si>
  <si>
    <t>E-1801</t>
  </si>
  <si>
    <t>Searching for Materials</t>
  </si>
  <si>
    <t>E-1802</t>
  </si>
  <si>
    <t>The Opening Act</t>
  </si>
  <si>
    <t>E-1803</t>
  </si>
  <si>
    <t>A Fiendish Performance</t>
  </si>
  <si>
    <t>E-1804</t>
  </si>
  <si>
    <t>E-1805</t>
  </si>
  <si>
    <t>E-1806</t>
  </si>
  <si>
    <t>Can't Stop the Beatdown!</t>
  </si>
  <si>
    <t>E-1807</t>
  </si>
  <si>
    <t>E-1901</t>
  </si>
  <si>
    <t>The Unleashed Ones</t>
  </si>
  <si>
    <t>E-1902</t>
  </si>
  <si>
    <t>A Light in the Darkness</t>
  </si>
  <si>
    <t>E-1903</t>
  </si>
  <si>
    <t>E-1904</t>
  </si>
  <si>
    <t>Time's End</t>
  </si>
  <si>
    <t>E-1905</t>
  </si>
  <si>
    <t>Shining Cyclops Assault</t>
  </si>
  <si>
    <t>E-1906</t>
  </si>
  <si>
    <t>E-1907</t>
  </si>
  <si>
    <t>E-1908</t>
  </si>
  <si>
    <t>Chronos Clash</t>
  </si>
  <si>
    <t>E-1909</t>
  </si>
  <si>
    <t>E-1910</t>
  </si>
  <si>
    <t>E-1911</t>
  </si>
  <si>
    <t>Chronos Nyx Clash</t>
  </si>
  <si>
    <t>E-1912</t>
  </si>
  <si>
    <t>E-1913</t>
  </si>
  <si>
    <t>E-1914</t>
  </si>
  <si>
    <t>E-1915</t>
  </si>
  <si>
    <t>E-2001</t>
  </si>
  <si>
    <t>Skirmish (Stirring Shadows)</t>
  </si>
  <si>
    <t>E-2002</t>
  </si>
  <si>
    <t>Local Conflict (Stirring Shadows)</t>
  </si>
  <si>
    <t>E-2003</t>
  </si>
  <si>
    <t>All-Out Assault (Stirring Shadows)</t>
  </si>
  <si>
    <t>E-2004</t>
  </si>
  <si>
    <t>E-2005</t>
  </si>
  <si>
    <t>E-2006</t>
  </si>
  <si>
    <t>E-2007</t>
  </si>
  <si>
    <t>E-2008</t>
  </si>
  <si>
    <t>E-2009</t>
  </si>
  <si>
    <t>E-2010</t>
  </si>
  <si>
    <t>E-2011</t>
  </si>
  <si>
    <t>E-2012</t>
  </si>
  <si>
    <t>E-2013</t>
  </si>
  <si>
    <t>E-2101</t>
  </si>
  <si>
    <t>Mega Man: Chaos Protocol</t>
  </si>
  <si>
    <t>Brainwashed Midgardsormr</t>
  </si>
  <si>
    <t>Mega 1</t>
  </si>
  <si>
    <t>E-2102</t>
  </si>
  <si>
    <t>Mega 2</t>
  </si>
  <si>
    <t>E-2103</t>
  </si>
  <si>
    <t>Mega 3</t>
  </si>
  <si>
    <t>E-2104</t>
  </si>
  <si>
    <t>Mega 4</t>
  </si>
  <si>
    <t>E-2105</t>
  </si>
  <si>
    <t>Superhero</t>
  </si>
  <si>
    <t>Mega 5</t>
  </si>
  <si>
    <t>E-2106</t>
  </si>
  <si>
    <t>Brainwashed Mercury</t>
  </si>
  <si>
    <t>E-2107</t>
  </si>
  <si>
    <t>E-2108</t>
  </si>
  <si>
    <t>E-2109</t>
  </si>
  <si>
    <t>E-2110</t>
  </si>
  <si>
    <t>E-2111</t>
  </si>
  <si>
    <t>Brainwashed Brunhilda</t>
  </si>
  <si>
    <t>E-2112</t>
  </si>
  <si>
    <t>E-2113</t>
  </si>
  <si>
    <t>E-2114</t>
  </si>
  <si>
    <t>E-2115</t>
  </si>
  <si>
    <t>E-2116</t>
  </si>
  <si>
    <t>Brainwashed Jupiter</t>
  </si>
  <si>
    <t>E-2117</t>
  </si>
  <si>
    <t>E-2118</t>
  </si>
  <si>
    <t>E-2119</t>
  </si>
  <si>
    <t>E-2120</t>
  </si>
  <si>
    <t>E-2121</t>
  </si>
  <si>
    <t>Brainwashed Zodiark</t>
  </si>
  <si>
    <t>E-2122</t>
  </si>
  <si>
    <t>E-2123</t>
  </si>
  <si>
    <t>E-2124</t>
  </si>
  <si>
    <t>E-2125</t>
  </si>
  <si>
    <t>E-2126</t>
  </si>
  <si>
    <t>Wily Machine 2</t>
  </si>
  <si>
    <t>Power 1</t>
  </si>
  <si>
    <t>E-2127</t>
  </si>
  <si>
    <t>E-2128</t>
  </si>
  <si>
    <t>E-2129</t>
  </si>
  <si>
    <t>E-2130</t>
  </si>
  <si>
    <t>E-2131</t>
  </si>
  <si>
    <t>Mega Man's Trial</t>
  </si>
  <si>
    <t>E-2201</t>
  </si>
  <si>
    <t>Simple</t>
  </si>
  <si>
    <t>A Sweeping Retrospective</t>
  </si>
  <si>
    <t>Gold Slime Clean-Up</t>
  </si>
  <si>
    <t>E-2202</t>
  </si>
  <si>
    <t>Fafnir Clean-Up</t>
  </si>
  <si>
    <t>E-2203</t>
  </si>
  <si>
    <t>Treasure Slime Clean-Up</t>
  </si>
  <si>
    <t>MC Farm</t>
  </si>
  <si>
    <t>E-2301</t>
  </si>
  <si>
    <t>Into the Woods</t>
  </si>
  <si>
    <t>E-2302</t>
  </si>
  <si>
    <t>Wild Cat Chase</t>
  </si>
  <si>
    <t>E-2303</t>
  </si>
  <si>
    <t>Subdue the Snapper!</t>
  </si>
  <si>
    <t>E-2304</t>
  </si>
  <si>
    <t>E-2305</t>
  </si>
  <si>
    <t>Ebisu Showdown</t>
  </si>
  <si>
    <t>E-2306</t>
  </si>
  <si>
    <t>E-2307</t>
  </si>
  <si>
    <t>E-2308</t>
  </si>
  <si>
    <t>E-2309</t>
  </si>
  <si>
    <t>E-2310</t>
  </si>
  <si>
    <t>E-2311</t>
  </si>
  <si>
    <t>E-2401</t>
  </si>
  <si>
    <t>Monster Hunter: Primal Crisis</t>
  </si>
  <si>
    <t>Let the Hunt Begin</t>
  </si>
  <si>
    <t>E-2402</t>
  </si>
  <si>
    <t>The King's Descent</t>
  </si>
  <si>
    <t>E-2403</t>
  </si>
  <si>
    <t>Kill or Be Killed</t>
  </si>
  <si>
    <t>E-2404</t>
  </si>
  <si>
    <t>The Dreadking's Domain</t>
  </si>
  <si>
    <t>E-2405</t>
  </si>
  <si>
    <t>Encounter with a Legend</t>
  </si>
  <si>
    <t>E-2406</t>
  </si>
  <si>
    <t>Rathalos Assault</t>
  </si>
  <si>
    <t>Low Rank</t>
  </si>
  <si>
    <t>E-2407</t>
  </si>
  <si>
    <t>High Rank</t>
  </si>
  <si>
    <t>E-2408</t>
  </si>
  <si>
    <t>Fatalis Clash</t>
  </si>
  <si>
    <t>G★</t>
  </si>
  <si>
    <t>E-2409</t>
  </si>
  <si>
    <t>G★★</t>
  </si>
  <si>
    <t>E-2410</t>
  </si>
  <si>
    <t>E-2411</t>
  </si>
  <si>
    <t>G★★★</t>
  </si>
  <si>
    <t>E-2412</t>
  </si>
  <si>
    <t>G★★★★</t>
  </si>
  <si>
    <t>E-2413</t>
  </si>
  <si>
    <t>Trial</t>
  </si>
  <si>
    <t>Rathalos's Trial</t>
  </si>
  <si>
    <t>E-2414</t>
  </si>
  <si>
    <t>Advanced Trial</t>
  </si>
  <si>
    <t>E-2415</t>
  </si>
  <si>
    <t>Dreadking's Trial</t>
  </si>
  <si>
    <t>E-2416</t>
  </si>
  <si>
    <t>Advanced Dreadking's Trial</t>
  </si>
  <si>
    <t>E-2501</t>
  </si>
  <si>
    <t>Mushroom Gathering</t>
  </si>
  <si>
    <t>E-2502</t>
  </si>
  <si>
    <t>Stocking Up for a Turnabout</t>
  </si>
  <si>
    <t>E-2503</t>
  </si>
  <si>
    <t>Nature's Bounty - À La Carte</t>
  </si>
  <si>
    <t>E-2504</t>
  </si>
  <si>
    <t>E-2505</t>
  </si>
  <si>
    <t>E-2506</t>
  </si>
  <si>
    <t>Survival of the Hungriest</t>
  </si>
  <si>
    <t>E-2507</t>
  </si>
  <si>
    <t>E-2601</t>
  </si>
  <si>
    <t>Pursuing the Shapeshifter</t>
  </si>
  <si>
    <t>E-2602</t>
  </si>
  <si>
    <t>Hour of Retribution</t>
  </si>
  <si>
    <t>E-2603</t>
  </si>
  <si>
    <t>Light Manticore Assault</t>
  </si>
  <si>
    <t>E-2604</t>
  </si>
  <si>
    <t>E-2605</t>
  </si>
  <si>
    <t>Aspidochelone Clash</t>
  </si>
  <si>
    <t>E-2606</t>
  </si>
  <si>
    <t>E-2607</t>
  </si>
  <si>
    <t>E-2608</t>
  </si>
  <si>
    <t>E-2609</t>
  </si>
  <si>
    <t>E-2610</t>
  </si>
  <si>
    <t>E-2611</t>
  </si>
  <si>
    <t>E-2701</t>
  </si>
  <si>
    <t>Walkies</t>
  </si>
  <si>
    <t>Forest</t>
  </si>
  <si>
    <t>E-2702</t>
  </si>
  <si>
    <t>Beach</t>
  </si>
  <si>
    <t>E-2801</t>
  </si>
  <si>
    <t>E-2802</t>
  </si>
  <si>
    <t>E-2803</t>
  </si>
  <si>
    <t>E-2804</t>
  </si>
  <si>
    <t>Thórr's Hammer</t>
  </si>
  <si>
    <t>E-2805</t>
  </si>
  <si>
    <t>Battle with Peony</t>
  </si>
  <si>
    <t>E-2806</t>
  </si>
  <si>
    <t>E-2807</t>
  </si>
  <si>
    <t>E-2808</t>
  </si>
  <si>
    <t>Battle with Tiki</t>
  </si>
  <si>
    <t>E-2809</t>
  </si>
  <si>
    <t>E-2810</t>
  </si>
  <si>
    <t>E-2811</t>
  </si>
  <si>
    <t>Battle with Chrom</t>
  </si>
  <si>
    <t>E-2812</t>
  </si>
  <si>
    <t>E-2813</t>
  </si>
  <si>
    <t>E-2814</t>
  </si>
  <si>
    <t>Thórr's Descent</t>
  </si>
  <si>
    <t>E-2815</t>
  </si>
  <si>
    <t>E-2816</t>
  </si>
  <si>
    <t>E-2817</t>
  </si>
  <si>
    <t>Arena of Flame</t>
  </si>
  <si>
    <t>E-2818</t>
  </si>
  <si>
    <t>E-2819</t>
  </si>
  <si>
    <t>E-2820</t>
  </si>
  <si>
    <t>E-2821</t>
  </si>
  <si>
    <t>Arena of Water</t>
  </si>
  <si>
    <t>E-2822</t>
  </si>
  <si>
    <t>E-2823</t>
  </si>
  <si>
    <t>E-2824</t>
  </si>
  <si>
    <t>E-2825</t>
  </si>
  <si>
    <t>Arena of Wind</t>
  </si>
  <si>
    <t>E-2826</t>
  </si>
  <si>
    <t>E-2827</t>
  </si>
  <si>
    <t>E-2828</t>
  </si>
  <si>
    <t>E-2829</t>
  </si>
  <si>
    <t>Arena of Light</t>
  </si>
  <si>
    <t>E-2830</t>
  </si>
  <si>
    <t>E-2831</t>
  </si>
  <si>
    <t>E-2832</t>
  </si>
  <si>
    <t>E-2833</t>
  </si>
  <si>
    <t>Arena of Shadow</t>
  </si>
  <si>
    <t>E-2834</t>
  </si>
  <si>
    <t>E-2835</t>
  </si>
  <si>
    <t>E-2836</t>
  </si>
  <si>
    <t>E-2901</t>
  </si>
  <si>
    <t>Ascent to Eminence</t>
  </si>
  <si>
    <t>Ascent to Power</t>
  </si>
  <si>
    <t>E-2902</t>
  </si>
  <si>
    <t>Ascent to Fortune</t>
  </si>
  <si>
    <t>E-3001</t>
  </si>
  <si>
    <t>Escaping the Cave</t>
  </si>
  <si>
    <t>E-3002</t>
  </si>
  <si>
    <t>Fighting for a Chance</t>
  </si>
  <si>
    <t>E-3003</t>
  </si>
  <si>
    <t>Defying Xuan Zang</t>
  </si>
  <si>
    <t>E-3004</t>
  </si>
  <si>
    <t>E-3005</t>
  </si>
  <si>
    <t>Mei Hou Wang Clash</t>
  </si>
  <si>
    <t>E-3006</t>
  </si>
  <si>
    <t>E-3007</t>
  </si>
  <si>
    <t>E-3008</t>
  </si>
  <si>
    <t>E-3009</t>
  </si>
  <si>
    <t>E-3010</t>
  </si>
  <si>
    <t>E-3011</t>
  </si>
  <si>
    <t>E-3101</t>
  </si>
  <si>
    <t>Onslaught</t>
  </si>
  <si>
    <t>Skirmish (Nadine and Linnea's United Front)</t>
  </si>
  <si>
    <t>E-3102</t>
  </si>
  <si>
    <t>Local Conflict (Nadine and Linnea's United Front)</t>
  </si>
  <si>
    <t>E-3103</t>
  </si>
  <si>
    <t>All-Out Assault (Nadine and Linnea's United Front)</t>
  </si>
  <si>
    <t>E-3104</t>
  </si>
  <si>
    <t>E-3105</t>
  </si>
  <si>
    <t>E-3106</t>
  </si>
  <si>
    <t>E-3107</t>
  </si>
  <si>
    <t>E-3108</t>
  </si>
  <si>
    <t>E-3109</t>
  </si>
  <si>
    <t>E-3110</t>
  </si>
  <si>
    <t>E-3111</t>
  </si>
  <si>
    <t>E-3112</t>
  </si>
  <si>
    <t>E-3113</t>
  </si>
  <si>
    <t>E-3201</t>
  </si>
  <si>
    <t>A Sudden Attack</t>
  </si>
  <si>
    <t>E-3202</t>
  </si>
  <si>
    <t>Protect the Stage!</t>
  </si>
  <si>
    <t>E-3203</t>
  </si>
  <si>
    <t>Frenetic Fiend Festival</t>
  </si>
  <si>
    <t>E-3204</t>
  </si>
  <si>
    <t>E-3205</t>
  </si>
  <si>
    <t>E-3206</t>
  </si>
  <si>
    <t>Raging Festivities</t>
  </si>
  <si>
    <t>E-3207</t>
  </si>
  <si>
    <t>E-3301</t>
  </si>
  <si>
    <t>Defensive</t>
  </si>
  <si>
    <t>Skirmish (Summertime Saviors)</t>
  </si>
  <si>
    <t>E-3302</t>
  </si>
  <si>
    <t>Local Conflict (Summertime Saviors)</t>
  </si>
  <si>
    <t>E-3303</t>
  </si>
  <si>
    <t>Defensive Battle (Summertime Saviors)</t>
  </si>
  <si>
    <t>E-3304</t>
  </si>
  <si>
    <t>E-3305</t>
  </si>
  <si>
    <t>E-3306</t>
  </si>
  <si>
    <t>E-3307</t>
  </si>
  <si>
    <t>E-3308</t>
  </si>
  <si>
    <t>E-3309</t>
  </si>
  <si>
    <t>E-3310</t>
  </si>
  <si>
    <t>E-3311</t>
  </si>
  <si>
    <t>E-3312</t>
  </si>
  <si>
    <t>E-3313</t>
  </si>
  <si>
    <t>E-3401</t>
  </si>
  <si>
    <t>Assault on Admiral Pincers</t>
  </si>
  <si>
    <t>E-3402</t>
  </si>
  <si>
    <t>E-3403</t>
  </si>
  <si>
    <t>Scylla Clash</t>
  </si>
  <si>
    <t>E-3404</t>
  </si>
  <si>
    <t>E-3405</t>
  </si>
  <si>
    <t>E-3406</t>
  </si>
  <si>
    <t>E-3407</t>
  </si>
  <si>
    <t>E-3408</t>
  </si>
  <si>
    <t>E-3409</t>
  </si>
  <si>
    <t>E-3501</t>
  </si>
  <si>
    <t>Skirmish (Twinkling Twilight)</t>
  </si>
  <si>
    <t>E-3502</t>
  </si>
  <si>
    <t>Local Conflict (Twinkling Twilight)</t>
  </si>
  <si>
    <t>E-3503</t>
  </si>
  <si>
    <t>All-Out Assault (Twinkling Twilight)</t>
  </si>
  <si>
    <t>E-3504</t>
  </si>
  <si>
    <t>E-3505</t>
  </si>
  <si>
    <t>E-3506</t>
  </si>
  <si>
    <t>E-3507</t>
  </si>
  <si>
    <t>E-3508</t>
  </si>
  <si>
    <t>E-3509</t>
  </si>
  <si>
    <t>E-3510</t>
  </si>
  <si>
    <t>E-3511</t>
  </si>
  <si>
    <t>E-3512</t>
  </si>
  <si>
    <t>E-3513</t>
  </si>
  <si>
    <t>E-3601</t>
  </si>
  <si>
    <t>Subduing the Beasts</t>
  </si>
  <si>
    <t>E-3602</t>
  </si>
  <si>
    <t>The Goddess's Will</t>
  </si>
  <si>
    <t>E-3603</t>
  </si>
  <si>
    <t>E-3604</t>
  </si>
  <si>
    <t>E-3605</t>
  </si>
  <si>
    <t>Divine Deliverance</t>
  </si>
  <si>
    <t>E-3606</t>
  </si>
  <si>
    <t>E-3607</t>
  </si>
  <si>
    <t>Smiting the Haughty Demon</t>
  </si>
  <si>
    <t>E-3608</t>
  </si>
  <si>
    <t>E-3701</t>
  </si>
  <si>
    <t>Skirmish (Sands of Revelation)</t>
  </si>
  <si>
    <t>E-3702</t>
  </si>
  <si>
    <t>Local Conflict (Sands of Revelation)</t>
  </si>
  <si>
    <t>E-3703</t>
  </si>
  <si>
    <t>Defensive Battle (Sands of Revelation)</t>
  </si>
  <si>
    <t>E-3704</t>
  </si>
  <si>
    <t>E-3705</t>
  </si>
  <si>
    <t>E-3706</t>
  </si>
  <si>
    <t>E-3707</t>
  </si>
  <si>
    <t>E-3708</t>
  </si>
  <si>
    <t>E-3709</t>
  </si>
  <si>
    <t>E-3710</t>
  </si>
  <si>
    <t>E-3711</t>
  </si>
  <si>
    <t>E-3712</t>
  </si>
  <si>
    <t>E-3713</t>
  </si>
  <si>
    <t>E-3801</t>
  </si>
  <si>
    <t>Otherworld Visitor</t>
  </si>
  <si>
    <t>E-3802</t>
  </si>
  <si>
    <t>Android Attack</t>
  </si>
  <si>
    <t>E-3803</t>
  </si>
  <si>
    <t>The War of Binding's Climax</t>
  </si>
  <si>
    <t>E-3804</t>
  </si>
  <si>
    <t>Assault on Zephyr</t>
  </si>
  <si>
    <t>E-3805</t>
  </si>
  <si>
    <t>E-3806</t>
  </si>
  <si>
    <t>Morsayati Clash</t>
  </si>
  <si>
    <t>E-3807</t>
  </si>
  <si>
    <t>E-3808</t>
  </si>
  <si>
    <t>E-3809</t>
  </si>
  <si>
    <t>E-3810</t>
  </si>
  <si>
    <t>E-3811</t>
  </si>
  <si>
    <t>E-3812</t>
  </si>
  <si>
    <t>E-3901</t>
  </si>
  <si>
    <t>Skirmish (Postmortem Panic)</t>
  </si>
  <si>
    <t>E-3902</t>
  </si>
  <si>
    <t>Local Conflict (Postmortem Panic)</t>
  </si>
  <si>
    <t>E-3903</t>
  </si>
  <si>
    <t>All-Out Assault (Postmortem Panic)</t>
  </si>
  <si>
    <t>E-3904</t>
  </si>
  <si>
    <t>E-3905</t>
  </si>
  <si>
    <t>E-3906</t>
  </si>
  <si>
    <t>E-3907</t>
  </si>
  <si>
    <t>E-3908</t>
  </si>
  <si>
    <t>E-3909</t>
  </si>
  <si>
    <t>E-3910</t>
  </si>
  <si>
    <t>E-3911</t>
  </si>
  <si>
    <t>E-3912</t>
  </si>
  <si>
    <t>E-3913</t>
  </si>
  <si>
    <t>E-4001</t>
  </si>
  <si>
    <t>Welcome to the Blue Rose's Show</t>
  </si>
  <si>
    <t>E-4002</t>
  </si>
  <si>
    <t>Fiend Opera Overture</t>
  </si>
  <si>
    <t>E-4003</t>
  </si>
  <si>
    <t>E-4004</t>
  </si>
  <si>
    <t>E-4005</t>
  </si>
  <si>
    <t>Fiend Opera Gala</t>
  </si>
  <si>
    <t>E-4006</t>
  </si>
  <si>
    <t>E-4007</t>
  </si>
  <si>
    <t>A Duel with the Phantom Thief</t>
  </si>
  <si>
    <t>E-4008</t>
  </si>
  <si>
    <t>E-4101</t>
  </si>
  <si>
    <t>Skirmish (Northern Negotiators)</t>
  </si>
  <si>
    <t>E-4102</t>
  </si>
  <si>
    <t>Local Conflict (Northern Negotiators)</t>
  </si>
  <si>
    <t>E-4103</t>
  </si>
  <si>
    <t>Defensive Battle (Northern Negotiators)</t>
  </si>
  <si>
    <t>E-4104</t>
  </si>
  <si>
    <t>E-4105</t>
  </si>
  <si>
    <t>E-4106</t>
  </si>
  <si>
    <t>E-4107</t>
  </si>
  <si>
    <t>E-4108</t>
  </si>
  <si>
    <t>E-4109</t>
  </si>
  <si>
    <t>E-4110</t>
  </si>
  <si>
    <t>E-4111</t>
  </si>
  <si>
    <t>E-4112</t>
  </si>
  <si>
    <t>E-4113</t>
  </si>
  <si>
    <t>E-4114</t>
  </si>
  <si>
    <t>Field Training</t>
  </si>
  <si>
    <t>E-4201</t>
  </si>
  <si>
    <t>A Pre-adventure Meal</t>
  </si>
  <si>
    <t>E-4202</t>
  </si>
  <si>
    <t>Making Good Porridge</t>
  </si>
  <si>
    <t>E-4203</t>
  </si>
  <si>
    <t>Flame Manticore Assault</t>
  </si>
  <si>
    <t>E-4204</t>
  </si>
  <si>
    <t>E-4205</t>
  </si>
  <si>
    <t>Aether Clash</t>
  </si>
  <si>
    <t>E-4206</t>
  </si>
  <si>
    <t>E-4207</t>
  </si>
  <si>
    <t>E-4208</t>
  </si>
  <si>
    <t>E-4209</t>
  </si>
  <si>
    <t>E-4210</t>
  </si>
  <si>
    <t>E-4211</t>
  </si>
  <si>
    <t>E-4212</t>
  </si>
  <si>
    <t>Pecorine's Trial</t>
  </si>
  <si>
    <t>E-4301</t>
  </si>
  <si>
    <t>Skirmish (The Great Dragonyule Offensive)</t>
  </si>
  <si>
    <t>E-4302</t>
  </si>
  <si>
    <t>Local Conflict (The Great Dragonyule Offensive)</t>
  </si>
  <si>
    <t>E-4303</t>
  </si>
  <si>
    <t>All-Out Assault (The Great Dragonyule Offensive)</t>
  </si>
  <si>
    <t>E-4304</t>
  </si>
  <si>
    <t>E-4305</t>
  </si>
  <si>
    <t>E-4306</t>
  </si>
  <si>
    <t>E-4307</t>
  </si>
  <si>
    <t>E-4308</t>
  </si>
  <si>
    <t>E-4309</t>
  </si>
  <si>
    <t>E-4310</t>
  </si>
  <si>
    <t>E-4311</t>
  </si>
  <si>
    <t>E-4312</t>
  </si>
  <si>
    <t>E-4313</t>
  </si>
  <si>
    <t>E-4401</t>
  </si>
  <si>
    <t>Through the Barrier</t>
  </si>
  <si>
    <t>E-4402</t>
  </si>
  <si>
    <t>Breaking the Spell</t>
  </si>
  <si>
    <t>E-4403</t>
  </si>
  <si>
    <t>Repelling Yoshitsune</t>
  </si>
  <si>
    <t>E-4404</t>
  </si>
  <si>
    <t>E-4405</t>
  </si>
  <si>
    <t>Shikigami Clash</t>
  </si>
  <si>
    <t>E-4406</t>
  </si>
  <si>
    <t>E-4407</t>
  </si>
  <si>
    <t>E-4408</t>
  </si>
  <si>
    <t>E-4409</t>
  </si>
  <si>
    <t>E-4410</t>
  </si>
  <si>
    <t>E-4411</t>
  </si>
  <si>
    <t>E-4412</t>
  </si>
  <si>
    <t>Match with a Mischief-Maker</t>
  </si>
  <si>
    <t>E-4501</t>
  </si>
  <si>
    <t>Coliseum</t>
  </si>
  <si>
    <t>Fortune's Fray</t>
  </si>
  <si>
    <t>First Preliminary Round (Fortune's Fray)</t>
  </si>
  <si>
    <t>E-4502</t>
  </si>
  <si>
    <t>Second Preliminary Round (Fortune's Fray)</t>
  </si>
  <si>
    <t>E-4503</t>
  </si>
  <si>
    <t>Tournament (Fortune's Fray)</t>
  </si>
  <si>
    <t>First Round</t>
  </si>
  <si>
    <t>E-4504</t>
  </si>
  <si>
    <t>E-4505</t>
  </si>
  <si>
    <t>E-4506</t>
  </si>
  <si>
    <t>Second Round</t>
  </si>
  <si>
    <t>E-4507</t>
  </si>
  <si>
    <t>E-4508</t>
  </si>
  <si>
    <t>E-4509</t>
  </si>
  <si>
    <t>Third Round</t>
  </si>
  <si>
    <t>E-4510</t>
  </si>
  <si>
    <t>E-4511</t>
  </si>
  <si>
    <t>E-4512</t>
  </si>
  <si>
    <t>Finals</t>
  </si>
  <si>
    <t>E-4513</t>
  </si>
  <si>
    <t>Exhibition Match (Fortune's Fray)</t>
  </si>
  <si>
    <t>E-4514</t>
  </si>
  <si>
    <t>Encore EX</t>
  </si>
  <si>
    <t>E-4601</t>
  </si>
  <si>
    <t>Persona 5 Strikers: Caged Desire</t>
  </si>
  <si>
    <t>Breakin' Out</t>
  </si>
  <si>
    <t>E-4602</t>
  </si>
  <si>
    <t>Striking for Victory</t>
  </si>
  <si>
    <t>E-4603</t>
  </si>
  <si>
    <t>Take Your Heart</t>
  </si>
  <si>
    <t>E-4604</t>
  </si>
  <si>
    <t>Warden Assault</t>
  </si>
  <si>
    <t>E-4605</t>
  </si>
  <si>
    <t>E-4606</t>
  </si>
  <si>
    <t>Monarch Emile Clash</t>
  </si>
  <si>
    <t>E-4607</t>
  </si>
  <si>
    <t>E-4608</t>
  </si>
  <si>
    <t>E-4609</t>
  </si>
  <si>
    <t>E-4610</t>
  </si>
  <si>
    <t>E-4611</t>
  </si>
  <si>
    <t>E-4612</t>
  </si>
  <si>
    <t>E-4613</t>
  </si>
  <si>
    <t>Joker's Trial</t>
  </si>
  <si>
    <t>E-4614</t>
  </si>
  <si>
    <t>E-4615</t>
  </si>
  <si>
    <t>E-4616</t>
  </si>
  <si>
    <t>Sophie's Trial</t>
  </si>
  <si>
    <t>E-4617</t>
  </si>
  <si>
    <t>E-4618</t>
  </si>
  <si>
    <t>E-4701</t>
  </si>
  <si>
    <t>Skirmish (Romance Under Siege)</t>
  </si>
  <si>
    <t>E-4702</t>
  </si>
  <si>
    <t>Local Conflict (Romance Under Siege)</t>
  </si>
  <si>
    <t>E-4703</t>
  </si>
  <si>
    <t>All-Out Assault (Romance Under Siege)</t>
  </si>
  <si>
    <t>E-4704</t>
  </si>
  <si>
    <t>E-4705</t>
  </si>
  <si>
    <t>E-4706</t>
  </si>
  <si>
    <t>E-4707</t>
  </si>
  <si>
    <t>E-4708</t>
  </si>
  <si>
    <t>E-4709</t>
  </si>
  <si>
    <t>E-4710</t>
  </si>
  <si>
    <t>E-4711</t>
  </si>
  <si>
    <t>E-4712</t>
  </si>
  <si>
    <t>E-4713</t>
  </si>
  <si>
    <t>E-4801</t>
  </si>
  <si>
    <t>The False Demon's Revenge</t>
  </si>
  <si>
    <t>E-4802</t>
  </si>
  <si>
    <t>Active Investigation</t>
  </si>
  <si>
    <t>E-4803</t>
  </si>
  <si>
    <t>E-4804</t>
  </si>
  <si>
    <t>E-4805</t>
  </si>
  <si>
    <t>In Pursuit of Truth</t>
  </si>
  <si>
    <t>E-4806</t>
  </si>
  <si>
    <t>E-4807</t>
  </si>
  <si>
    <t>Judgment for the Wicked</t>
  </si>
  <si>
    <t>E-4808</t>
  </si>
  <si>
    <t>E-4901</t>
  </si>
  <si>
    <t>Ageless Artifice</t>
  </si>
  <si>
    <t>Skirmish (Ageless Artifice)</t>
  </si>
  <si>
    <t>E-4902</t>
  </si>
  <si>
    <t>Local Conflict (Ageless Artifice)</t>
  </si>
  <si>
    <t>E-4903</t>
  </si>
  <si>
    <t>Defensive Battle (Ageless Artifice)</t>
  </si>
  <si>
    <t>E-4904</t>
  </si>
  <si>
    <t>E-4905</t>
  </si>
  <si>
    <t>E-4906</t>
  </si>
  <si>
    <t>E-4907</t>
  </si>
  <si>
    <t>E-4908</t>
  </si>
  <si>
    <t>E-4909</t>
  </si>
  <si>
    <t>E-4910</t>
  </si>
  <si>
    <t>E-4911</t>
  </si>
  <si>
    <t>E-4912</t>
  </si>
  <si>
    <t>E-4913</t>
  </si>
  <si>
    <t>E-4914</t>
  </si>
  <si>
    <t>E-5001</t>
  </si>
  <si>
    <t>Road to the Cathedral</t>
  </si>
  <si>
    <t>E-5002</t>
  </si>
  <si>
    <t>Elysium Clash</t>
  </si>
  <si>
    <t>E-5003</t>
  </si>
  <si>
    <t>Repelling Imperial Forces</t>
  </si>
  <si>
    <t>E-5004</t>
  </si>
  <si>
    <t>E-5005</t>
  </si>
  <si>
    <t>E-5006</t>
  </si>
  <si>
    <t>E-5007</t>
  </si>
  <si>
    <t>E-5008</t>
  </si>
  <si>
    <t>E-5009</t>
  </si>
  <si>
    <t>E-5010</t>
  </si>
  <si>
    <t>E-5011</t>
  </si>
  <si>
    <t>E-5101</t>
  </si>
  <si>
    <t>Elementary Escapades</t>
  </si>
  <si>
    <t>Skirmish (Elementary Escapades)</t>
  </si>
  <si>
    <t>E-5102</t>
  </si>
  <si>
    <t>Local Conflict (Elementary Escapades)</t>
  </si>
  <si>
    <t>E-5103</t>
  </si>
  <si>
    <t>All-Out Assault (Elementary Escapades)</t>
  </si>
  <si>
    <t>E-5104</t>
  </si>
  <si>
    <t>E-5105</t>
  </si>
  <si>
    <t>E-5106</t>
  </si>
  <si>
    <t>E-5107</t>
  </si>
  <si>
    <t>E-5108</t>
  </si>
  <si>
    <t>E-5109</t>
  </si>
  <si>
    <t>E-5110</t>
  </si>
  <si>
    <t>E-5111</t>
  </si>
  <si>
    <t>E-5112</t>
  </si>
  <si>
    <t>E-5113</t>
  </si>
  <si>
    <t>E-5201</t>
  </si>
  <si>
    <t>The Forbidden Wood</t>
  </si>
  <si>
    <t>E-5202</t>
  </si>
  <si>
    <t>Aquatic Cyclops Assault (Rage of Chronos)</t>
  </si>
  <si>
    <t>E-5203</t>
  </si>
  <si>
    <t>E-5204</t>
  </si>
  <si>
    <t>E-5205</t>
  </si>
  <si>
    <t>E-5206</t>
  </si>
  <si>
    <t>E-5207</t>
  </si>
  <si>
    <t>E-5208</t>
  </si>
  <si>
    <t>E-5209</t>
  </si>
  <si>
    <t>E-5210</t>
  </si>
  <si>
    <t>E-5211</t>
  </si>
  <si>
    <t>Roar of the Mad Cyclone</t>
  </si>
  <si>
    <t>E-5301</t>
  </si>
  <si>
    <t>Shadow of the Mukuroshu</t>
  </si>
  <si>
    <t>Skirmish (Shadow of the Mukuroshu)</t>
  </si>
  <si>
    <t>E-5302</t>
  </si>
  <si>
    <t>Local Conflict (Shadow of the Mukuroshu)</t>
  </si>
  <si>
    <t>E-5303</t>
  </si>
  <si>
    <t>Defensive Battle (Shadow of the Mukuroshu)</t>
  </si>
  <si>
    <t>E-5304</t>
  </si>
  <si>
    <t>E-5305</t>
  </si>
  <si>
    <t>E-5306</t>
  </si>
  <si>
    <t>E-5307</t>
  </si>
  <si>
    <t>E-5308</t>
  </si>
  <si>
    <t>E-5309</t>
  </si>
  <si>
    <t>E-5310</t>
  </si>
  <si>
    <t>E-5311</t>
  </si>
  <si>
    <t>E-5312</t>
  </si>
  <si>
    <t>E-5313</t>
  </si>
  <si>
    <t>E-5314</t>
  </si>
  <si>
    <t>E-5401</t>
  </si>
  <si>
    <t>Invasion</t>
  </si>
  <si>
    <t>Repelling the Forest's Aggressors</t>
  </si>
  <si>
    <t>E-5402</t>
  </si>
  <si>
    <t>E-5403</t>
  </si>
  <si>
    <t>E-5404</t>
  </si>
  <si>
    <t>Guardians of the Wood</t>
  </si>
  <si>
    <t>E-5405</t>
  </si>
  <si>
    <t>E-5406</t>
  </si>
  <si>
    <t>E-5501</t>
  </si>
  <si>
    <t>Blessed Bloodline</t>
  </si>
  <si>
    <t>Skirmish (Blessed Bloodline)</t>
  </si>
  <si>
    <t>E-5502</t>
  </si>
  <si>
    <t>Local Conflict (Blessed Bloodline)</t>
  </si>
  <si>
    <t>E-5503</t>
  </si>
  <si>
    <t>All-Out Assault (Blessed Bloodline)</t>
  </si>
  <si>
    <t>E-5504</t>
  </si>
  <si>
    <t>E-5505</t>
  </si>
  <si>
    <t>E-5506</t>
  </si>
  <si>
    <t>E-5507</t>
  </si>
  <si>
    <t>E-5508</t>
  </si>
  <si>
    <t>E-5509</t>
  </si>
  <si>
    <t>E-5510</t>
  </si>
  <si>
    <t>E-5511</t>
  </si>
  <si>
    <t>E-5512</t>
  </si>
  <si>
    <t>E-5513</t>
  </si>
  <si>
    <t>E-5601</t>
  </si>
  <si>
    <t>Wrath of Leviathan</t>
  </si>
  <si>
    <t>E-5602</t>
  </si>
  <si>
    <t>The Stirring Abyss</t>
  </si>
  <si>
    <t>E-5603</t>
  </si>
  <si>
    <t>E-5604</t>
  </si>
  <si>
    <t>E-5605</t>
  </si>
  <si>
    <t>Tempestuous Assault</t>
  </si>
  <si>
    <t>E-5606</t>
  </si>
  <si>
    <t>E-5607</t>
  </si>
  <si>
    <t>E-5608</t>
  </si>
  <si>
    <t>E-5701</t>
  </si>
  <si>
    <t>The Fabled Fortune</t>
  </si>
  <si>
    <t>Skirmish (The Fabled Fortune)</t>
  </si>
  <si>
    <t>E-5702</t>
  </si>
  <si>
    <t>Local Conflict (The Fabled Fortune)</t>
  </si>
  <si>
    <t>E-5703</t>
  </si>
  <si>
    <t>Defensive Battle (The Fabled Fortune)</t>
  </si>
  <si>
    <t>E-5704</t>
  </si>
  <si>
    <t>E-5705</t>
  </si>
  <si>
    <t>E-5706</t>
  </si>
  <si>
    <t>E-5707</t>
  </si>
  <si>
    <t>E-5708</t>
  </si>
  <si>
    <t>E-5709</t>
  </si>
  <si>
    <t>E-5710</t>
  </si>
  <si>
    <t>E-5711</t>
  </si>
  <si>
    <t>E-5712</t>
  </si>
  <si>
    <t>E-5713</t>
  </si>
  <si>
    <t>E-5714</t>
  </si>
  <si>
    <t>E-5801</t>
  </si>
  <si>
    <t>Survival Island</t>
  </si>
  <si>
    <t>E-5802</t>
  </si>
  <si>
    <t>Assault on Commodore Pincers</t>
  </si>
  <si>
    <t>E-5803</t>
  </si>
  <si>
    <t>E-5804</t>
  </si>
  <si>
    <t>Kanaloa Clash</t>
  </si>
  <si>
    <t>E-5805</t>
  </si>
  <si>
    <t>E-5806</t>
  </si>
  <si>
    <t>E-5807</t>
  </si>
  <si>
    <t>E-5808</t>
  </si>
  <si>
    <t>E-5809</t>
  </si>
  <si>
    <t>E-5810</t>
  </si>
  <si>
    <t>E-5901</t>
  </si>
  <si>
    <t>Drifting Sorrows</t>
  </si>
  <si>
    <t>Skirmish (Drifting Sorrows)</t>
  </si>
  <si>
    <t>E-5902</t>
  </si>
  <si>
    <t>Local Conflict (Drifting Sorrows)</t>
  </si>
  <si>
    <t>E-5903</t>
  </si>
  <si>
    <t>All-Out Assault (Drifting Sorrows)</t>
  </si>
  <si>
    <t>E-5904</t>
  </si>
  <si>
    <t>E-5905</t>
  </si>
  <si>
    <t>E-5906</t>
  </si>
  <si>
    <t>E-5907</t>
  </si>
  <si>
    <t>E-5908</t>
  </si>
  <si>
    <t>E-5909</t>
  </si>
  <si>
    <t>E-5910</t>
  </si>
  <si>
    <t>E-5911</t>
  </si>
  <si>
    <t>E-5912</t>
  </si>
  <si>
    <t>E-5913</t>
  </si>
  <si>
    <t>E-6001</t>
  </si>
  <si>
    <t>Repelling the Forces of Grams</t>
  </si>
  <si>
    <t>E-6002</t>
  </si>
  <si>
    <t>E-6003</t>
  </si>
  <si>
    <t>E-6004</t>
  </si>
  <si>
    <t>A Duel with the Black Raven</t>
  </si>
  <si>
    <t>E-6005</t>
  </si>
  <si>
    <t>E-6006</t>
  </si>
  <si>
    <t>E-6101</t>
  </si>
  <si>
    <t>Shackles of the Syndicate</t>
  </si>
  <si>
    <t>Skirmish (Shackles of the Syndicate)</t>
  </si>
  <si>
    <t>E-6102</t>
  </si>
  <si>
    <t>Local Conflict (Shackles of the Syndicate)</t>
  </si>
  <si>
    <t>E-6103</t>
  </si>
  <si>
    <t>Defensive Battle (Shackles of the Syndicate)</t>
  </si>
  <si>
    <t>E-6104</t>
  </si>
  <si>
    <t>E-6105</t>
  </si>
  <si>
    <t>E-6106</t>
  </si>
  <si>
    <t>E-6107</t>
  </si>
  <si>
    <t>E-6108</t>
  </si>
  <si>
    <t>E-6109</t>
  </si>
  <si>
    <t>E-6110</t>
  </si>
  <si>
    <t>E-6111</t>
  </si>
  <si>
    <t>E-6112</t>
  </si>
  <si>
    <t>E-6113</t>
  </si>
  <si>
    <t>E-6114</t>
  </si>
  <si>
    <t>E-6201</t>
  </si>
  <si>
    <t>Resistance of the Innocent</t>
  </si>
  <si>
    <t>E-6202</t>
  </si>
  <si>
    <t>The Might of Heaven</t>
  </si>
  <si>
    <t>E-6203</t>
  </si>
  <si>
    <t>Assault on Michael</t>
  </si>
  <si>
    <t>E-6204</t>
  </si>
  <si>
    <t>E-6205</t>
  </si>
  <si>
    <t>Asura Clash</t>
  </si>
  <si>
    <t>E-6206</t>
  </si>
  <si>
    <t>E-6207</t>
  </si>
  <si>
    <t>E-6208</t>
  </si>
  <si>
    <t>E-6209</t>
  </si>
  <si>
    <t>E-6210</t>
  </si>
  <si>
    <t>E-6211</t>
  </si>
  <si>
    <t>E-6301</t>
  </si>
  <si>
    <t>Ceaseless Tragedy</t>
  </si>
  <si>
    <t>E-6302</t>
  </si>
  <si>
    <t>A Glimmer of Hope</t>
  </si>
  <si>
    <t>E-6303</t>
  </si>
  <si>
    <t>Satan Clash</t>
  </si>
  <si>
    <t>E-6304</t>
  </si>
  <si>
    <t>Assault on Lilith</t>
  </si>
  <si>
    <t>E-6305</t>
  </si>
  <si>
    <t>E-6306</t>
  </si>
  <si>
    <t>E-6307</t>
  </si>
  <si>
    <t>E-6308</t>
  </si>
  <si>
    <t>E-6309</t>
  </si>
  <si>
    <t>E-6310</t>
  </si>
  <si>
    <t>E-6311</t>
  </si>
  <si>
    <t>E-6312</t>
  </si>
  <si>
    <t>E-6313</t>
  </si>
  <si>
    <t>Basileus's Trial</t>
  </si>
  <si>
    <t>E-6314</t>
  </si>
  <si>
    <t>E-6401</t>
  </si>
  <si>
    <t>The Hunt for Medicinal Herbs</t>
  </si>
  <si>
    <t>E-6402</t>
  </si>
  <si>
    <t>Choreography Class</t>
  </si>
  <si>
    <t>E-6403</t>
  </si>
  <si>
    <t>E-6404</t>
  </si>
  <si>
    <t>E-6405</t>
  </si>
  <si>
    <t>Theatrical Throwdown</t>
  </si>
  <si>
    <t>E-6406</t>
  </si>
  <si>
    <t>E-6407</t>
  </si>
  <si>
    <t>The Creature's Curtain Call</t>
  </si>
  <si>
    <t>E-6408</t>
  </si>
  <si>
    <t>E-6501</t>
  </si>
  <si>
    <t>A Dazzling Defense</t>
  </si>
  <si>
    <t>Skirmish (A Dazzling Defense)</t>
  </si>
  <si>
    <t>E-6502</t>
  </si>
  <si>
    <t>Local Conflict (A Dazzling Defense)</t>
  </si>
  <si>
    <t>E-6503</t>
  </si>
  <si>
    <t>All-Out Assault (A Dazzling Defense)</t>
  </si>
  <si>
    <t>E-6504</t>
  </si>
  <si>
    <t>E-6505</t>
  </si>
  <si>
    <t>E-6506</t>
  </si>
  <si>
    <t>E-6507</t>
  </si>
  <si>
    <t>E-6508</t>
  </si>
  <si>
    <t>E-6509</t>
  </si>
  <si>
    <t>E-6510</t>
  </si>
  <si>
    <t>E-6511</t>
  </si>
  <si>
    <t>E-6512</t>
  </si>
  <si>
    <t>E-6513</t>
  </si>
  <si>
    <t>E-6601</t>
  </si>
  <si>
    <t>Repelling the Frosty Fiends</t>
  </si>
  <si>
    <t>E-6602</t>
  </si>
  <si>
    <t>E-6603</t>
  </si>
  <si>
    <t>E-6604</t>
  </si>
  <si>
    <t>The Angelic Herald</t>
  </si>
  <si>
    <t>E-6605</t>
  </si>
  <si>
    <t>E-6606</t>
  </si>
  <si>
    <t>E-6701</t>
  </si>
  <si>
    <t>The Underworld's Offensive</t>
  </si>
  <si>
    <t>E-6702</t>
  </si>
  <si>
    <t>Water Manticore Assault</t>
  </si>
  <si>
    <t>E-6703</t>
  </si>
  <si>
    <t>E-6704</t>
  </si>
  <si>
    <t>Tsukuyomi Clash</t>
  </si>
  <si>
    <t>E-6705</t>
  </si>
  <si>
    <t>E-6706</t>
  </si>
  <si>
    <t>E-6707</t>
  </si>
  <si>
    <t>E-6708</t>
  </si>
  <si>
    <t>E-6709</t>
  </si>
  <si>
    <t>E-6710</t>
  </si>
  <si>
    <t>E-6801</t>
  </si>
  <si>
    <t>Repelling the Black Mana Forces</t>
  </si>
  <si>
    <t>E-6802</t>
  </si>
  <si>
    <t>E-6803</t>
  </si>
  <si>
    <t>E-6804</t>
  </si>
  <si>
    <t>A Twisted Hero</t>
  </si>
  <si>
    <t>E-6805</t>
  </si>
  <si>
    <t>E-6806</t>
  </si>
  <si>
    <t>E-6901</t>
  </si>
  <si>
    <t>Repelling the Imperial Forces</t>
  </si>
  <si>
    <t>E-6902</t>
  </si>
  <si>
    <t>E-6903</t>
  </si>
  <si>
    <t>E-6904</t>
  </si>
  <si>
    <t>Emile's Trial</t>
  </si>
  <si>
    <t>E-6905</t>
  </si>
  <si>
    <t>E-6906</t>
  </si>
  <si>
    <t>E-7001</t>
  </si>
  <si>
    <t>The Second Coming of Satan</t>
  </si>
  <si>
    <t>E-7002</t>
  </si>
  <si>
    <t>Volcanic Cyclops Assault</t>
  </si>
  <si>
    <t>E-7003</t>
  </si>
  <si>
    <t>E-7004</t>
  </si>
  <si>
    <t>True Bahamut Clash</t>
  </si>
  <si>
    <t>E-7005</t>
  </si>
  <si>
    <t>E-7006</t>
  </si>
  <si>
    <t>E-7007</t>
  </si>
  <si>
    <t>E-7008</t>
  </si>
  <si>
    <t>E-7009</t>
  </si>
  <si>
    <t>E-7010</t>
  </si>
  <si>
    <t>Q-001</t>
  </si>
  <si>
    <t>Avenue to Power</t>
  </si>
  <si>
    <t>Q-002</t>
  </si>
  <si>
    <t>Q-003</t>
  </si>
  <si>
    <t>Q-004</t>
  </si>
  <si>
    <t>Q-005</t>
  </si>
  <si>
    <t>Avenue to Fortune</t>
  </si>
  <si>
    <t>Q-006</t>
  </si>
  <si>
    <t>Q-007</t>
  </si>
  <si>
    <t>Q-008</t>
  </si>
  <si>
    <t>Q-009</t>
  </si>
  <si>
    <t>Flamehowl Ruins</t>
  </si>
  <si>
    <t>Orbs 1</t>
  </si>
  <si>
    <t>Q-010</t>
  </si>
  <si>
    <t>Orbs 2</t>
  </si>
  <si>
    <t>Q-011</t>
  </si>
  <si>
    <t>Orbs 3</t>
  </si>
  <si>
    <t>Q-012</t>
  </si>
  <si>
    <t>Waterscour Ruins</t>
  </si>
  <si>
    <t>Q-013</t>
  </si>
  <si>
    <t>Q-014</t>
  </si>
  <si>
    <t>Q-015</t>
  </si>
  <si>
    <t>Windmaul Ruins</t>
  </si>
  <si>
    <t>Q-016</t>
  </si>
  <si>
    <t>Q-017</t>
  </si>
  <si>
    <t>Q-018</t>
  </si>
  <si>
    <t>Lightsunder Ruins</t>
  </si>
  <si>
    <t>Q-019</t>
  </si>
  <si>
    <t>Q-020</t>
  </si>
  <si>
    <t>Q-021</t>
  </si>
  <si>
    <t>Shadowsteep Ruins</t>
  </si>
  <si>
    <t>Q-022</t>
  </si>
  <si>
    <t>Q-023</t>
  </si>
  <si>
    <t>Q-024</t>
  </si>
  <si>
    <t>Midgardsormr's Trial</t>
  </si>
  <si>
    <t>Dragon 1</t>
  </si>
  <si>
    <t>Q-025</t>
  </si>
  <si>
    <t>Dragon 2</t>
  </si>
  <si>
    <t>Q-026</t>
  </si>
  <si>
    <t>Dragon 3</t>
  </si>
  <si>
    <t>Q-027</t>
  </si>
  <si>
    <t>Dragon 4</t>
  </si>
  <si>
    <t>Q-028</t>
  </si>
  <si>
    <t>Mercury's Trial</t>
  </si>
  <si>
    <t>Q-029</t>
  </si>
  <si>
    <t>Q-030</t>
  </si>
  <si>
    <t>Q-031</t>
  </si>
  <si>
    <t>Q-032</t>
  </si>
  <si>
    <t>Brunhilda's Trial</t>
  </si>
  <si>
    <t>Q-033</t>
  </si>
  <si>
    <t>Q-034</t>
  </si>
  <si>
    <t>Q-035</t>
  </si>
  <si>
    <t>Q-036</t>
  </si>
  <si>
    <t>Jupiter's Trial</t>
  </si>
  <si>
    <t>Q-037</t>
  </si>
  <si>
    <t>Q-038</t>
  </si>
  <si>
    <t>Q-039</t>
  </si>
  <si>
    <t>Q-040</t>
  </si>
  <si>
    <t>Zodiark's Trial</t>
  </si>
  <si>
    <t>Q-041</t>
  </si>
  <si>
    <t>Q-042</t>
  </si>
  <si>
    <t>Q-043</t>
  </si>
  <si>
    <t>Q-044</t>
  </si>
  <si>
    <t>Battle at Mount Adolla</t>
  </si>
  <si>
    <t>Q-045</t>
  </si>
  <si>
    <t>Imperial 1 Flame</t>
  </si>
  <si>
    <t>Q-046</t>
  </si>
  <si>
    <t>Imperial 2 Flame</t>
  </si>
  <si>
    <t>Q-047</t>
  </si>
  <si>
    <t>Imperial 3 Flame</t>
  </si>
  <si>
    <t>Q-048</t>
  </si>
  <si>
    <t>Battle at Myriage Lake</t>
  </si>
  <si>
    <t>Q-049</t>
  </si>
  <si>
    <t>Imperial 1 Water</t>
  </si>
  <si>
    <t>Q-050</t>
  </si>
  <si>
    <t>Imperial 2 Water</t>
  </si>
  <si>
    <t>Q-051</t>
  </si>
  <si>
    <t>Imperial 3 Water</t>
  </si>
  <si>
    <t>Q-052</t>
  </si>
  <si>
    <t>Battle in Rovetelle Forest</t>
  </si>
  <si>
    <t>Q-053</t>
  </si>
  <si>
    <t>Imperial 1 Wind</t>
  </si>
  <si>
    <t>Q-054</t>
  </si>
  <si>
    <t>Imperial 2 Wind</t>
  </si>
  <si>
    <t>Q-055</t>
  </si>
  <si>
    <t>Imperial 3 Wind</t>
  </si>
  <si>
    <t>Q-056</t>
  </si>
  <si>
    <t>Battle in the Dornith Mountains</t>
  </si>
  <si>
    <t>Q-057</t>
  </si>
  <si>
    <t>Imperial 1 Shadow</t>
  </si>
  <si>
    <t>Q-058</t>
  </si>
  <si>
    <t>Imperial 2 Shadow</t>
  </si>
  <si>
    <t>Q-059</t>
  </si>
  <si>
    <t>Imperial 3 Shadow</t>
  </si>
  <si>
    <t>Q-060</t>
  </si>
  <si>
    <t>Battle at the Wartarch Ruins</t>
  </si>
  <si>
    <t>Q-061</t>
  </si>
  <si>
    <t>Imperial 1 Light</t>
  </si>
  <si>
    <t>Q-062</t>
  </si>
  <si>
    <t>Imperial 2 Light</t>
  </si>
  <si>
    <t>Q-063</t>
  </si>
  <si>
    <t>Imperial 3 Light</t>
  </si>
  <si>
    <t>Q-101</t>
  </si>
  <si>
    <t>Advanced Dragon Trials</t>
  </si>
  <si>
    <t>High Midgardsormr's Trial</t>
  </si>
  <si>
    <t>Prelude</t>
  </si>
  <si>
    <t>Dragon 5</t>
  </si>
  <si>
    <t>Q-102</t>
  </si>
  <si>
    <t>Q-103</t>
  </si>
  <si>
    <t>Q-104</t>
  </si>
  <si>
    <t>Q-105</t>
  </si>
  <si>
    <t>High Mercury's Trial</t>
  </si>
  <si>
    <t>Q-106</t>
  </si>
  <si>
    <t>Q-107</t>
  </si>
  <si>
    <t>Q-108</t>
  </si>
  <si>
    <t>Q-109</t>
  </si>
  <si>
    <t>High Brunhilda's Trial</t>
  </si>
  <si>
    <t>Q-110</t>
  </si>
  <si>
    <t>Q-111</t>
  </si>
  <si>
    <t>Q-112</t>
  </si>
  <si>
    <t>Q-113</t>
  </si>
  <si>
    <t>High Jupiter's Trial</t>
  </si>
  <si>
    <t>Q-114</t>
  </si>
  <si>
    <t>Q-115</t>
  </si>
  <si>
    <t>Q-116</t>
  </si>
  <si>
    <t>Q-117</t>
  </si>
  <si>
    <t>High Zodiark's Trial</t>
  </si>
  <si>
    <t>Q-118</t>
  </si>
  <si>
    <t>Q-119</t>
  </si>
  <si>
    <t>Q-120</t>
  </si>
  <si>
    <t>Q-121</t>
  </si>
  <si>
    <t>The Agito Uprising</t>
  </si>
  <si>
    <t>Volk's Wrath</t>
  </si>
  <si>
    <t>Q-122</t>
  </si>
  <si>
    <t>Q-123</t>
  </si>
  <si>
    <t>Q-124</t>
  </si>
  <si>
    <t>Ciella's Wrath</t>
  </si>
  <si>
    <t>Q-125</t>
  </si>
  <si>
    <t>Q-126</t>
  </si>
  <si>
    <t>Q-127</t>
  </si>
  <si>
    <t>Ayaha &amp; Otoha's Wrath</t>
  </si>
  <si>
    <t>Q-128</t>
  </si>
  <si>
    <t>Q-129</t>
  </si>
  <si>
    <t>Q-130</t>
  </si>
  <si>
    <t>Kai Yan's Wrath</t>
  </si>
  <si>
    <t>Q-131</t>
  </si>
  <si>
    <t>Q-132</t>
  </si>
  <si>
    <t>Q-133</t>
  </si>
  <si>
    <t>Tartarus's Wrath</t>
  </si>
  <si>
    <t>Q-134</t>
  </si>
  <si>
    <t>Q-135</t>
  </si>
  <si>
    <t>Q-136</t>
  </si>
  <si>
    <t>Jaldabaoth's Piercing Gale</t>
  </si>
  <si>
    <t>Q-137</t>
  </si>
  <si>
    <t>Q-138</t>
  </si>
  <si>
    <t>Q-139</t>
  </si>
  <si>
    <t>Iblis's Surging Cascade</t>
  </si>
  <si>
    <t>Q-140</t>
  </si>
  <si>
    <t>Q-141</t>
  </si>
  <si>
    <t>Q-142</t>
  </si>
  <si>
    <t>Surtr's Devouring Flame</t>
  </si>
  <si>
    <t>Q-143</t>
  </si>
  <si>
    <t>Q-144</t>
  </si>
  <si>
    <t>Q-145</t>
  </si>
  <si>
    <t>Asura's Blinding Light</t>
  </si>
  <si>
    <t>Q-146</t>
  </si>
  <si>
    <t>Q-147</t>
  </si>
  <si>
    <t>Q-148</t>
  </si>
  <si>
    <t>Lilith's Encroaching Shadow</t>
  </si>
  <si>
    <t>Q-149</t>
  </si>
  <si>
    <t>Q-150</t>
  </si>
  <si>
    <t>Q-151</t>
  </si>
  <si>
    <t>Primal Dragon Trials</t>
  </si>
  <si>
    <t>Primal Midgardsormr's Trial</t>
  </si>
  <si>
    <t>Q-152</t>
  </si>
  <si>
    <t>Q-153</t>
  </si>
  <si>
    <t>Q-154</t>
  </si>
  <si>
    <t>Primal Brunhilda's Trial</t>
  </si>
  <si>
    <t>Q-155</t>
  </si>
  <si>
    <t>Q-156</t>
  </si>
  <si>
    <t>Q-157</t>
  </si>
  <si>
    <t>Primal Mercury's Trial</t>
  </si>
  <si>
    <t>Q-158</t>
  </si>
  <si>
    <t>Q-159</t>
  </si>
  <si>
    <t>Q-160</t>
  </si>
  <si>
    <t>Primal Jupiter's Trial</t>
  </si>
  <si>
    <t>Q-161</t>
  </si>
  <si>
    <t>Q-162</t>
  </si>
  <si>
    <t>Q-163</t>
  </si>
  <si>
    <t>Primal Zodiark's Trial</t>
  </si>
  <si>
    <t>Q-164</t>
  </si>
  <si>
    <t>Q-165</t>
  </si>
  <si>
    <t>Q-166</t>
  </si>
  <si>
    <t>Volk's Wrath (Legend Difficulty)</t>
  </si>
  <si>
    <t>Legend</t>
  </si>
  <si>
    <t>Agito 4</t>
  </si>
  <si>
    <t>Q-167</t>
  </si>
  <si>
    <t>Ciella's Wrath (Legend Difficulty)</t>
  </si>
  <si>
    <t>Q-168</t>
  </si>
  <si>
    <t>Ayaha &amp; Otoha's Wrath (Legend Difficulty)</t>
  </si>
  <si>
    <t>Q-169</t>
  </si>
  <si>
    <t>Kai Yan's Wrath (Legend Difficulty)</t>
  </si>
  <si>
    <t>Q-170</t>
  </si>
  <si>
    <t>Tartarus's Wrath (Legend Difficulty)</t>
  </si>
  <si>
    <t>Q-171</t>
  </si>
  <si>
    <t>Extremely Challenging Quest</t>
  </si>
  <si>
    <t>Morsayati Reckoning</t>
  </si>
  <si>
    <t>Q-172</t>
  </si>
  <si>
    <t>Jaldabaoth's Piercing Gale (Legend Difficulty)</t>
  </si>
  <si>
    <t>Q-173</t>
  </si>
  <si>
    <t>Iblis's Surging Cascade (Legend Difficulty)</t>
  </si>
  <si>
    <t>Q-174</t>
  </si>
  <si>
    <t>Surtr's Devouring Flame (Legend Difficulty)</t>
  </si>
  <si>
    <t>Q-175</t>
  </si>
  <si>
    <t>Asura's Blinding Light (Legend Difficulty)</t>
  </si>
  <si>
    <t>Q-176</t>
  </si>
  <si>
    <t>Lilith's Encroaching Shadow (Legend Difficulty)</t>
  </si>
  <si>
    <t>Q-201</t>
  </si>
  <si>
    <t>Void Battles</t>
  </si>
  <si>
    <t>Blazing Ghost Strike</t>
  </si>
  <si>
    <t>Void 1 Ghost</t>
  </si>
  <si>
    <t>Q-202</t>
  </si>
  <si>
    <t>Cerulean Ghost Strike</t>
  </si>
  <si>
    <t>Q-203</t>
  </si>
  <si>
    <t>Lambent Ghost Strike</t>
  </si>
  <si>
    <t>Q-204</t>
  </si>
  <si>
    <t>Violet Ghost Strike</t>
  </si>
  <si>
    <t>Q-205</t>
  </si>
  <si>
    <t>Scalding Shroom Strike</t>
  </si>
  <si>
    <t>Void 1 Shroom</t>
  </si>
  <si>
    <t>Q-206</t>
  </si>
  <si>
    <t>Gust Shroom Strike</t>
  </si>
  <si>
    <t>Q-207</t>
  </si>
  <si>
    <t>Wandering Shroom Strike</t>
  </si>
  <si>
    <t>Q-208</t>
  </si>
  <si>
    <t>Frost Hermit Strike</t>
  </si>
  <si>
    <t>Void 2 Hermit</t>
  </si>
  <si>
    <t>Q-209</t>
  </si>
  <si>
    <t>Twilight Hermit Strike</t>
  </si>
  <si>
    <t>Q-210</t>
  </si>
  <si>
    <t>Steel Golem Strike</t>
  </si>
  <si>
    <t>Void 2 Golem</t>
  </si>
  <si>
    <t>Q-211</t>
  </si>
  <si>
    <t>Amber Golem Strike</t>
  </si>
  <si>
    <t>Q-212</t>
  </si>
  <si>
    <t>Obsidian Golem Strike</t>
  </si>
  <si>
    <t>Q-213</t>
  </si>
  <si>
    <t>Catoblepas Anemos Strike</t>
  </si>
  <si>
    <t>Void 2 Catoblepas</t>
  </si>
  <si>
    <t>Q-214</t>
  </si>
  <si>
    <t>Catoblepas Fotia Strike</t>
  </si>
  <si>
    <t>Q-215</t>
  </si>
  <si>
    <t>Catoblepas Skia Strike</t>
  </si>
  <si>
    <t>Q-216</t>
  </si>
  <si>
    <t>Eolian Phantom Strike</t>
  </si>
  <si>
    <t>Void 3 Phantom</t>
  </si>
  <si>
    <t>Q-217</t>
  </si>
  <si>
    <t>Infernal Phantom Strike</t>
  </si>
  <si>
    <t>Q-218</t>
  </si>
  <si>
    <t>Abyssal Phantom Strike</t>
  </si>
  <si>
    <t>Q-219</t>
  </si>
  <si>
    <t>Smoldering Manticore Strike</t>
  </si>
  <si>
    <t>Void 3 Manticore</t>
  </si>
  <si>
    <t>Q-220</t>
  </si>
  <si>
    <t>Greedy Manticore Strike</t>
  </si>
  <si>
    <t>Q-221</t>
  </si>
  <si>
    <t>Proud Manticore Strike</t>
  </si>
  <si>
    <t>Q-222</t>
  </si>
  <si>
    <t>Raging Manticore Strike</t>
  </si>
  <si>
    <t>Q-223</t>
  </si>
  <si>
    <t>Void Zephyr Strike</t>
  </si>
  <si>
    <t>Q-224</t>
  </si>
  <si>
    <t>Void Poseidon Strike</t>
  </si>
  <si>
    <t>Q-225</t>
  </si>
  <si>
    <t>Void Agni Strike</t>
  </si>
  <si>
    <t>Q-226</t>
  </si>
  <si>
    <t>Void Jeanne d'Arc Strike</t>
  </si>
  <si>
    <t>Q-227</t>
  </si>
  <si>
    <t>Void Nidhogg Strike</t>
  </si>
  <si>
    <t>Q-228</t>
  </si>
  <si>
    <t>Q-229</t>
  </si>
  <si>
    <t>Q-230</t>
  </si>
  <si>
    <t>Q-231</t>
  </si>
  <si>
    <t>Q-232</t>
  </si>
  <si>
    <t>Q-233</t>
  </si>
  <si>
    <t>Volcanic Chimera Strike</t>
  </si>
  <si>
    <t>Q-234</t>
  </si>
  <si>
    <t>Tidal Chimera Strike</t>
  </si>
  <si>
    <t>Q-235</t>
  </si>
  <si>
    <t>Tempest Chimera Strike</t>
  </si>
  <si>
    <t>Q-236</t>
  </si>
  <si>
    <t>Luminous Chimera Strike</t>
  </si>
  <si>
    <t>Q-237</t>
  </si>
  <si>
    <t>Ebon Chimera Strike</t>
  </si>
  <si>
    <t>Q-238</t>
  </si>
  <si>
    <t>Q-239</t>
  </si>
  <si>
    <t>Q-240</t>
  </si>
  <si>
    <t>Q-241</t>
  </si>
  <si>
    <t>Q-242</t>
  </si>
  <si>
    <t>Q-301</t>
  </si>
  <si>
    <t>Trials of the Mighty</t>
  </si>
  <si>
    <t>Agni's Trial</t>
  </si>
  <si>
    <t>Q-302</t>
  </si>
  <si>
    <t>Q-303</t>
  </si>
  <si>
    <t>Q-304</t>
  </si>
  <si>
    <t>Asura's Trial (Light)</t>
  </si>
  <si>
    <t>Q-305</t>
  </si>
  <si>
    <t>Q-306</t>
  </si>
  <si>
    <t>Q-307</t>
  </si>
  <si>
    <t>Asura's Trial (Wind)</t>
  </si>
  <si>
    <t>Q-308</t>
  </si>
  <si>
    <t>Q-309</t>
  </si>
  <si>
    <t>Q-310</t>
  </si>
  <si>
    <t>Chthonius's Trial</t>
  </si>
  <si>
    <t>Q-311</t>
  </si>
  <si>
    <t>Q-312</t>
  </si>
  <si>
    <t>Q-313</t>
  </si>
  <si>
    <t>Flame Legion's Trial</t>
  </si>
  <si>
    <t>Q-314</t>
  </si>
  <si>
    <t>Q-315</t>
  </si>
  <si>
    <t>Q-316</t>
  </si>
  <si>
    <t>Grimnir's Trial</t>
  </si>
  <si>
    <t>Q-317</t>
  </si>
  <si>
    <t>Q-318</t>
  </si>
  <si>
    <t>Q-319</t>
  </si>
  <si>
    <t>Harle's Trial</t>
  </si>
  <si>
    <t>Q-320</t>
  </si>
  <si>
    <t>Q-321</t>
  </si>
  <si>
    <t>Q-322</t>
  </si>
  <si>
    <t>Iblis's Trial (Shadow)</t>
  </si>
  <si>
    <t>Q-323</t>
  </si>
  <si>
    <t>Q-324</t>
  </si>
  <si>
    <t>Q-325</t>
  </si>
  <si>
    <t>Iblis's Trial (Water)</t>
  </si>
  <si>
    <t>Q-326</t>
  </si>
  <si>
    <t>Q-327</t>
  </si>
  <si>
    <t>Q-328</t>
  </si>
  <si>
    <t>Jaldabaoth's Trial (Water)</t>
  </si>
  <si>
    <t>Q-329</t>
  </si>
  <si>
    <t>Q-330</t>
  </si>
  <si>
    <t>Q-331</t>
  </si>
  <si>
    <t>Jaldabaoth's Trial (Wind)</t>
  </si>
  <si>
    <t>Q-332</t>
  </si>
  <si>
    <t>Q-333</t>
  </si>
  <si>
    <t>Q-334</t>
  </si>
  <si>
    <t>Jeanne d'Arc's Trial</t>
  </si>
  <si>
    <t>Q-335</t>
  </si>
  <si>
    <t>Q-336</t>
  </si>
  <si>
    <t>Q-337</t>
  </si>
  <si>
    <t>Kamuy's Trial</t>
  </si>
  <si>
    <t>Q-338</t>
  </si>
  <si>
    <t>Q-339</t>
  </si>
  <si>
    <t>Q-340</t>
  </si>
  <si>
    <t>Light Legion's Trial</t>
  </si>
  <si>
    <t>Q-341</t>
  </si>
  <si>
    <t>Q-342</t>
  </si>
  <si>
    <t>Q-343</t>
  </si>
  <si>
    <t>Lilith's Trial (Flame)</t>
  </si>
  <si>
    <t>Q-344</t>
  </si>
  <si>
    <t>Q-345</t>
  </si>
  <si>
    <t>Q-346</t>
  </si>
  <si>
    <t>Lilith's Trial (Shadow)</t>
  </si>
  <si>
    <t>Q-347</t>
  </si>
  <si>
    <t>Q-348</t>
  </si>
  <si>
    <t>Q-349</t>
  </si>
  <si>
    <t>Mars's Trial</t>
  </si>
  <si>
    <t>Q-350</t>
  </si>
  <si>
    <t>Q-351</t>
  </si>
  <si>
    <t>Q-352</t>
  </si>
  <si>
    <t>Nidhogg's Trial</t>
  </si>
  <si>
    <t>Q-353</t>
  </si>
  <si>
    <t>Q-354</t>
  </si>
  <si>
    <t>Q-355</t>
  </si>
  <si>
    <t>Poseidon's Trial</t>
  </si>
  <si>
    <t>Q-356</t>
  </si>
  <si>
    <t>Q-357</t>
  </si>
  <si>
    <t>Q-358</t>
  </si>
  <si>
    <t>Shadow Legion's Trial</t>
  </si>
  <si>
    <t>Q-359</t>
  </si>
  <si>
    <t>Q-360</t>
  </si>
  <si>
    <t>Q-361</t>
  </si>
  <si>
    <t>Surtr's Trial (Flame)</t>
  </si>
  <si>
    <t>Q-362</t>
  </si>
  <si>
    <t>Q-363</t>
  </si>
  <si>
    <t>Q-364</t>
  </si>
  <si>
    <t>Surtr's Trial (Light)</t>
  </si>
  <si>
    <t>Q-365</t>
  </si>
  <si>
    <t>Q-366</t>
  </si>
  <si>
    <t>Q-367</t>
  </si>
  <si>
    <t>Thor's Trial</t>
  </si>
  <si>
    <t>Q-368</t>
  </si>
  <si>
    <t>Q-369</t>
  </si>
  <si>
    <t>Q-370</t>
  </si>
  <si>
    <t>Water Legion's Trial</t>
  </si>
  <si>
    <t>Q-371</t>
  </si>
  <si>
    <t>Q-372</t>
  </si>
  <si>
    <t>Q-373</t>
  </si>
  <si>
    <t>Wind Legion's Trial</t>
  </si>
  <si>
    <t>Q-374</t>
  </si>
  <si>
    <t>Q-375</t>
  </si>
  <si>
    <t>Q-376</t>
  </si>
  <si>
    <t>Zephyr's Trial</t>
  </si>
  <si>
    <t>Q-377</t>
  </si>
  <si>
    <t>Q-378</t>
  </si>
  <si>
    <t>QN-201</t>
  </si>
  <si>
    <t>Standard NEW</t>
  </si>
  <si>
    <t>*WATER* Shroom Strike</t>
  </si>
  <si>
    <t>QN-202</t>
  </si>
  <si>
    <t>*SHADOW* Shroom Strike</t>
  </si>
  <si>
    <t>QN-203</t>
  </si>
  <si>
    <t>*WIND* Ghost Strike</t>
  </si>
  <si>
    <t>QN-204</t>
  </si>
  <si>
    <t>*FLAME* Hermit Strike</t>
  </si>
  <si>
    <t>QN-205</t>
  </si>
  <si>
    <t>*WIND* Hermit Strike</t>
  </si>
  <si>
    <t>QN-206</t>
  </si>
  <si>
    <t>*LIGHT* Hermit Strike</t>
  </si>
  <si>
    <t>QN-207</t>
  </si>
  <si>
    <t>*WATER* Golem Strike</t>
  </si>
  <si>
    <t>QN-208</t>
  </si>
  <si>
    <t>*WIND* Golem Strike</t>
  </si>
  <si>
    <t>QN-209</t>
  </si>
  <si>
    <t>*WATER* Catoblepas Strike</t>
  </si>
  <si>
    <t>QN-210</t>
  </si>
  <si>
    <t>*LIGHT* Catoblepas Strike</t>
  </si>
  <si>
    <t>QN-211</t>
  </si>
  <si>
    <t>*LIGHT* Phantom Strike</t>
  </si>
  <si>
    <t>QN-212</t>
  </si>
  <si>
    <t>*SHADOW* Phantom Strike</t>
  </si>
  <si>
    <t>QN-213</t>
  </si>
  <si>
    <t>*WIND* Manticore Strike</t>
  </si>
  <si>
    <t>D1#</t>
  </si>
  <si>
    <t>Drop 1</t>
  </si>
  <si>
    <t>D2#</t>
  </si>
  <si>
    <t>Drop 2</t>
  </si>
  <si>
    <t>D3#</t>
  </si>
  <si>
    <t>Drop 3</t>
  </si>
  <si>
    <t>D4#</t>
  </si>
  <si>
    <t>Drop 4</t>
  </si>
  <si>
    <t>D5#</t>
  </si>
  <si>
    <t>Drop 5</t>
  </si>
  <si>
    <t>Materials</t>
  </si>
  <si>
    <t>Agito Standard Material</t>
  </si>
  <si>
    <t>T1 Orb</t>
  </si>
  <si>
    <t>T2 Orb</t>
  </si>
  <si>
    <t>T3 Orb</t>
  </si>
  <si>
    <t>T4 Orb</t>
  </si>
  <si>
    <t>DScale T1</t>
  </si>
  <si>
    <t>DScale T2</t>
  </si>
  <si>
    <t>HDT Standard Material</t>
  </si>
  <si>
    <t>Sword Tablet</t>
  </si>
  <si>
    <t>Bow Tablet</t>
  </si>
  <si>
    <t>Blade Tablet</t>
  </si>
  <si>
    <t>Lance Tablet</t>
  </si>
  <si>
    <t>Axe Tablet</t>
  </si>
  <si>
    <t>Wand Tablet</t>
  </si>
  <si>
    <t>Staff Tablet</t>
  </si>
  <si>
    <t>PDT Standard Material</t>
  </si>
  <si>
    <t>Dagger Tablet</t>
  </si>
  <si>
    <t>Manacaster Tablet</t>
  </si>
  <si>
    <t>Bronze Crystal</t>
  </si>
  <si>
    <t>Silver Crystal</t>
  </si>
  <si>
    <t>Gold Crystal</t>
  </si>
  <si>
    <t>Void Leaf</t>
  </si>
  <si>
    <t>D1</t>
  </si>
  <si>
    <t>D2</t>
  </si>
  <si>
    <t>D3</t>
  </si>
  <si>
    <t>D4</t>
  </si>
  <si>
    <t>D5</t>
  </si>
  <si>
    <t>Code</t>
  </si>
  <si>
    <t>New?</t>
  </si>
  <si>
    <t>110059 02</t>
  </si>
  <si>
    <t>Defensive Battle</t>
  </si>
  <si>
    <t>110359 01</t>
  </si>
  <si>
    <t>110050 02</t>
  </si>
  <si>
    <t>Monster Hunter Primal Crisis</t>
  </si>
  <si>
    <t>110259 01</t>
  </si>
  <si>
    <t>110291 01</t>
  </si>
  <si>
    <t>110266 01</t>
  </si>
  <si>
    <t>110054 01</t>
  </si>
  <si>
    <t>The Mercurial Gauntlet</t>
  </si>
  <si>
    <t>Lv. 20 of The Mercurial Gauntlet in All Elements</t>
  </si>
  <si>
    <t>110008 01</t>
  </si>
  <si>
    <t>The Mercurial Gauntlet (Flame)</t>
  </si>
  <si>
    <t>Lv. 30</t>
  </si>
  <si>
    <t>100001 01</t>
  </si>
  <si>
    <t>110052 03</t>
  </si>
  <si>
    <t>All-Out Assault</t>
  </si>
  <si>
    <t>110261 01</t>
  </si>
  <si>
    <t>110064 02</t>
  </si>
  <si>
    <t>110346 01</t>
  </si>
  <si>
    <t>110264 01</t>
  </si>
  <si>
    <t>110010 01</t>
  </si>
  <si>
    <t>100032 01</t>
  </si>
  <si>
    <t>Ch. 11 6-3</t>
  </si>
  <si>
    <t>110002 01</t>
  </si>
  <si>
    <t>100044 02</t>
  </si>
  <si>
    <t>Ch. 24 5-6</t>
  </si>
  <si>
    <t>110345 03</t>
  </si>
  <si>
    <t>100032 04</t>
  </si>
  <si>
    <t>Ch. 14 4-8</t>
  </si>
  <si>
    <t>110011 01</t>
  </si>
  <si>
    <t>110344 01</t>
  </si>
  <si>
    <t>Lv. 30 of The Mercurial Gauntlet in All Elements</t>
  </si>
  <si>
    <t>110270 01</t>
  </si>
  <si>
    <t>110005 01</t>
  </si>
  <si>
    <t>100042 02</t>
  </si>
  <si>
    <t>Ch. 22 5-2</t>
  </si>
  <si>
    <t>100003 10</t>
  </si>
  <si>
    <t>100010 07</t>
  </si>
  <si>
    <t>110263 01</t>
  </si>
  <si>
    <t>110056 01</t>
  </si>
  <si>
    <t>Golem Strikes (all elements)</t>
  </si>
  <si>
    <t>QUESTS</t>
  </si>
  <si>
    <t>110007 01</t>
  </si>
  <si>
    <t>Lv. 20</t>
  </si>
  <si>
    <t>110378 01</t>
  </si>
  <si>
    <t>Persona 5 Strikers Caged Desire</t>
  </si>
  <si>
    <t>100002 15</t>
  </si>
  <si>
    <t>Exhibition Match</t>
  </si>
  <si>
    <t>110357 01</t>
  </si>
  <si>
    <t>100010 04</t>
  </si>
  <si>
    <t>Ch. 08 5-3</t>
  </si>
  <si>
    <t>110260 01</t>
  </si>
  <si>
    <t>110299 01</t>
  </si>
  <si>
    <t>110001 01</t>
  </si>
  <si>
    <t>100005 08</t>
  </si>
  <si>
    <t>110342 01</t>
  </si>
  <si>
    <t>Ghost Strikes (all elements)</t>
  </si>
  <si>
    <t>100029 02</t>
  </si>
  <si>
    <t>Ch. 06 4-3</t>
  </si>
  <si>
    <t>110011 02</t>
  </si>
  <si>
    <t>Participate in the Event</t>
  </si>
  <si>
    <t>E-10</t>
  </si>
  <si>
    <t>110003 01</t>
  </si>
  <si>
    <t>100004 19</t>
  </si>
  <si>
    <t>110375 01</t>
  </si>
  <si>
    <t>110053 03</t>
  </si>
  <si>
    <t>110354 01</t>
  </si>
  <si>
    <t>Mega Man Chaos Protocol</t>
  </si>
  <si>
    <t>E-21</t>
  </si>
  <si>
    <t>110032 02</t>
  </si>
  <si>
    <t>Hermit Strikes (all elements)</t>
  </si>
  <si>
    <t>110009 01</t>
  </si>
  <si>
    <t>Lv. 40</t>
  </si>
  <si>
    <t>110004 01</t>
  </si>
  <si>
    <t>110399 01</t>
  </si>
  <si>
    <t>110374 01</t>
  </si>
  <si>
    <t>110337 03</t>
  </si>
  <si>
    <t>110043 02</t>
  </si>
  <si>
    <t>110257 02</t>
  </si>
  <si>
    <t>110269 01</t>
  </si>
  <si>
    <t>Lv. 10</t>
  </si>
  <si>
    <t>110006 01</t>
  </si>
  <si>
    <t>110367 03</t>
  </si>
  <si>
    <t>110382 01</t>
  </si>
  <si>
    <t>100013 04</t>
  </si>
  <si>
    <t>Ch. 16 4-4</t>
  </si>
  <si>
    <t>110313 03</t>
  </si>
  <si>
    <t>110363 01</t>
  </si>
  <si>
    <t>110255 02</t>
  </si>
  <si>
    <t>110022 01</t>
  </si>
  <si>
    <t>110301 02</t>
  </si>
  <si>
    <t>Upgrade the Sweet Retreat to Lv. 30</t>
  </si>
  <si>
    <t>E-02</t>
  </si>
  <si>
    <t>110015 01</t>
  </si>
  <si>
    <t>110395 01</t>
  </si>
  <si>
    <t>100045 01</t>
  </si>
  <si>
    <t>Ch. 19 5-4</t>
  </si>
  <si>
    <t>110341 03</t>
  </si>
  <si>
    <t>110295 01</t>
  </si>
  <si>
    <t>100003 02</t>
  </si>
  <si>
    <t>110255 01</t>
  </si>
  <si>
    <t>110016 01</t>
  </si>
  <si>
    <t>110385 01</t>
  </si>
  <si>
    <t>110360 01</t>
  </si>
  <si>
    <t>110296 01</t>
  </si>
  <si>
    <t>100004 02</t>
  </si>
  <si>
    <t>110265 01</t>
  </si>
  <si>
    <t>110253 01</t>
  </si>
  <si>
    <t>110020 01</t>
  </si>
  <si>
    <t>The Mercurial Gauntlet (Water)</t>
  </si>
  <si>
    <t>110383 01</t>
  </si>
  <si>
    <t>110355 01</t>
  </si>
  <si>
    <t>100002 13</t>
  </si>
  <si>
    <t>Ch. 09 5-4</t>
  </si>
  <si>
    <t>110042 02</t>
  </si>
  <si>
    <t>110018 01</t>
  </si>
  <si>
    <t>110258 01</t>
  </si>
  <si>
    <t>110012 01</t>
  </si>
  <si>
    <t>110352 03</t>
  </si>
  <si>
    <t>110364 01</t>
  </si>
  <si>
    <t>110328 01</t>
  </si>
  <si>
    <t>110021 01</t>
  </si>
  <si>
    <t>110356 01</t>
  </si>
  <si>
    <t>Catoblepas Strikes (all elements)</t>
  </si>
  <si>
    <t>100002 01</t>
  </si>
  <si>
    <t>Ch. 01 1-3</t>
  </si>
  <si>
    <t>110058 01</t>
  </si>
  <si>
    <t>110014 01</t>
  </si>
  <si>
    <t>110302 04</t>
  </si>
  <si>
    <t>110366 01</t>
  </si>
  <si>
    <t>100029 03</t>
  </si>
  <si>
    <t>110317 01</t>
  </si>
  <si>
    <t>110053 02</t>
  </si>
  <si>
    <t>110013 01</t>
  </si>
  <si>
    <t>100043 02</t>
  </si>
  <si>
    <t>100017 03</t>
  </si>
  <si>
    <t>Ch. 23 5-3</t>
  </si>
  <si>
    <t>100004 17</t>
  </si>
  <si>
    <t>Princess Connect! Re Dive A Voracious Visitor</t>
  </si>
  <si>
    <t>110362 01</t>
  </si>
  <si>
    <t>110252 01</t>
  </si>
  <si>
    <t>110300 01</t>
  </si>
  <si>
    <t>110063 02</t>
  </si>
  <si>
    <t>110022 02</t>
  </si>
  <si>
    <t>Upgrade the Yuletree to Lv. 10</t>
  </si>
  <si>
    <t>E-06</t>
  </si>
  <si>
    <t>110396 01</t>
  </si>
  <si>
    <t>110252 02</t>
  </si>
  <si>
    <t>110351 01</t>
  </si>
  <si>
    <t>110029 02</t>
  </si>
  <si>
    <t>110019 01</t>
  </si>
  <si>
    <t>Lv. 10 of The Mercurial Gauntlet in All Elements</t>
  </si>
  <si>
    <t>110017 01</t>
  </si>
  <si>
    <t>100029 04</t>
  </si>
  <si>
    <t>110376 01</t>
  </si>
  <si>
    <t>110370 01</t>
  </si>
  <si>
    <t>100001 14</t>
  </si>
  <si>
    <t>110392 01</t>
  </si>
  <si>
    <t>110379 01</t>
  </si>
  <si>
    <t>100018 02</t>
  </si>
  <si>
    <t>Ch. 13 5-4</t>
  </si>
  <si>
    <t>100002 06</t>
  </si>
  <si>
    <t>100003 07</t>
  </si>
  <si>
    <t>Ch. 07 5-5</t>
  </si>
  <si>
    <t>110038 02</t>
  </si>
  <si>
    <t>The Mercurial Gauntlet (Wind)</t>
  </si>
  <si>
    <t>110315 01</t>
  </si>
  <si>
    <t>100019 02</t>
  </si>
  <si>
    <t>110349 04</t>
  </si>
  <si>
    <t>110296 02</t>
  </si>
  <si>
    <t>110352 01</t>
  </si>
  <si>
    <t>Phantom Strikes (all elements)</t>
  </si>
  <si>
    <t>110307 01</t>
  </si>
  <si>
    <t>110310 01</t>
  </si>
  <si>
    <t>Moonlight March</t>
  </si>
  <si>
    <t>110030 01</t>
  </si>
  <si>
    <t>110027 01</t>
  </si>
  <si>
    <t>110365 03</t>
  </si>
  <si>
    <t>100007 07</t>
  </si>
  <si>
    <t>Ch. 18 5-3</t>
  </si>
  <si>
    <t>110066 02</t>
  </si>
  <si>
    <t>110002 02</t>
  </si>
  <si>
    <t>110314 01</t>
  </si>
  <si>
    <t>110026 01</t>
  </si>
  <si>
    <t>110401 01</t>
  </si>
  <si>
    <t>100006 11</t>
  </si>
  <si>
    <t>Tournament Finals</t>
  </si>
  <si>
    <t>110041 02</t>
  </si>
  <si>
    <t>110027 02</t>
  </si>
  <si>
    <t>110268 01</t>
  </si>
  <si>
    <t>100003 01</t>
  </si>
  <si>
    <t>Ch. 01 2-3</t>
  </si>
  <si>
    <t>110023 01</t>
  </si>
  <si>
    <t>100014 03</t>
  </si>
  <si>
    <t>110403 01</t>
  </si>
  <si>
    <t>110285 01</t>
  </si>
  <si>
    <t>110270 02</t>
  </si>
  <si>
    <t>110353 01</t>
  </si>
  <si>
    <t>110318 01</t>
  </si>
  <si>
    <t>110302 01</t>
  </si>
  <si>
    <t>110029 01</t>
  </si>
  <si>
    <t>110387 01</t>
  </si>
  <si>
    <t>110342 03</t>
  </si>
  <si>
    <t>110368 01</t>
  </si>
  <si>
    <t>110267 01</t>
  </si>
  <si>
    <t>110256 01</t>
  </si>
  <si>
    <t>110350 01</t>
  </si>
  <si>
    <t>Shroom Strikes (all elements)</t>
  </si>
  <si>
    <t>110031 01</t>
  </si>
  <si>
    <t>110028 01</t>
  </si>
  <si>
    <t>110397 01</t>
  </si>
  <si>
    <t>110386 01</t>
  </si>
  <si>
    <t>110009 02</t>
  </si>
  <si>
    <t>110032 01</t>
  </si>
  <si>
    <t>110021 03</t>
  </si>
  <si>
    <t>Upgrade the Yuletree to Lv. 20</t>
  </si>
  <si>
    <t>110340 01</t>
  </si>
  <si>
    <t>110025 01</t>
  </si>
  <si>
    <t>100008 04</t>
  </si>
  <si>
    <t>Treasure Trade</t>
  </si>
  <si>
    <t>110340 02</t>
  </si>
  <si>
    <t>110341 01</t>
  </si>
  <si>
    <t>110004 02</t>
  </si>
  <si>
    <t>110257 01</t>
  </si>
  <si>
    <t>110024 01</t>
  </si>
  <si>
    <t>110394 01</t>
  </si>
  <si>
    <t>110389 01</t>
  </si>
  <si>
    <t>110350 02</t>
  </si>
  <si>
    <t>100018 07</t>
  </si>
  <si>
    <t>110371 01</t>
  </si>
  <si>
    <t>100001 08</t>
  </si>
  <si>
    <t>Ch. 10 6-3</t>
  </si>
  <si>
    <t>110327 01</t>
  </si>
  <si>
    <t>110274 01</t>
  </si>
  <si>
    <t>110301 01</t>
  </si>
  <si>
    <t>The Mercurial Gauntlet (Light)</t>
  </si>
  <si>
    <t>110035 01</t>
  </si>
  <si>
    <t>110398 01</t>
  </si>
  <si>
    <t>110369 01</t>
  </si>
  <si>
    <t>100006 09</t>
  </si>
  <si>
    <t>Ch. 11 6-2</t>
  </si>
  <si>
    <t>110015 02</t>
  </si>
  <si>
    <t>110348 01</t>
  </si>
  <si>
    <t>110064 01</t>
  </si>
  <si>
    <t>110049 02</t>
  </si>
  <si>
    <t>Upgrade the Sweet Retreat to Lv. 20</t>
  </si>
  <si>
    <t>110393 01</t>
  </si>
  <si>
    <t>110281 02</t>
  </si>
  <si>
    <t>110324 01</t>
  </si>
  <si>
    <t>110345 01</t>
  </si>
  <si>
    <t>Subdue the Snapper</t>
  </si>
  <si>
    <t>110319 01</t>
  </si>
  <si>
    <t>110276 01</t>
  </si>
  <si>
    <t>110037 01</t>
  </si>
  <si>
    <t>100016 03</t>
  </si>
  <si>
    <t>110334 02</t>
  </si>
  <si>
    <t>Ch. 20 7-5</t>
  </si>
  <si>
    <t>110380 01</t>
  </si>
  <si>
    <t>110322 01</t>
  </si>
  <si>
    <t>110036 03</t>
  </si>
  <si>
    <t>110042 01</t>
  </si>
  <si>
    <t>100006 03</t>
  </si>
  <si>
    <t>110033 01</t>
  </si>
  <si>
    <t>110381 01</t>
  </si>
  <si>
    <t>110358 01</t>
  </si>
  <si>
    <t>110007 02</t>
  </si>
  <si>
    <t>100002 02</t>
  </si>
  <si>
    <t>110275 01</t>
  </si>
  <si>
    <t>110323 01</t>
  </si>
  <si>
    <t>110039 01</t>
  </si>
  <si>
    <t>110034 01</t>
  </si>
  <si>
    <t>110391 01</t>
  </si>
  <si>
    <t>110010 02</t>
  </si>
  <si>
    <t>100004 04</t>
  </si>
  <si>
    <t>110303 01</t>
  </si>
  <si>
    <t>110040 01</t>
  </si>
  <si>
    <t>100006 01</t>
  </si>
  <si>
    <t>Ch. 02 2-1</t>
  </si>
  <si>
    <t>110036 01</t>
  </si>
  <si>
    <t>100054 02</t>
  </si>
  <si>
    <t>100015 08</t>
  </si>
  <si>
    <t>110299 02</t>
  </si>
  <si>
    <t>110361 01</t>
  </si>
  <si>
    <t>110305 01</t>
  </si>
  <si>
    <t>110347 01</t>
  </si>
  <si>
    <t>110041 01</t>
  </si>
  <si>
    <t>110316 01</t>
  </si>
  <si>
    <t>100007 10</t>
  </si>
  <si>
    <t xml:space="preserve">Celebrating Cutie	</t>
  </si>
  <si>
    <t>100009 08</t>
  </si>
  <si>
    <t>Ch. 15 4-5</t>
  </si>
  <si>
    <t>110043 01</t>
  </si>
  <si>
    <t>110277 01</t>
  </si>
  <si>
    <t>110304 01</t>
  </si>
  <si>
    <t>110047 02</t>
  </si>
  <si>
    <t>Upgrade the Sweet Retreat to Lv. 10</t>
  </si>
  <si>
    <t>110063 01</t>
  </si>
  <si>
    <t>110038 01</t>
  </si>
  <si>
    <t>100032 07</t>
  </si>
  <si>
    <t>110384 01</t>
  </si>
  <si>
    <t>110367 01</t>
  </si>
  <si>
    <t>110003 02</t>
  </si>
  <si>
    <t>100039 03</t>
  </si>
  <si>
    <t>Ch. 23 5-2</t>
  </si>
  <si>
    <t>100031 03</t>
  </si>
  <si>
    <t>100005 02</t>
  </si>
  <si>
    <t>Ch. 12 4-3</t>
  </si>
  <si>
    <t>110325 01</t>
  </si>
  <si>
    <t>110334 01</t>
  </si>
  <si>
    <t>110050 01</t>
  </si>
  <si>
    <t>The Mercurial Gauntlet (Shadow)</t>
  </si>
  <si>
    <t>110046 01</t>
  </si>
  <si>
    <t>100054 01</t>
  </si>
  <si>
    <t>Ch. 21 6-3</t>
  </si>
  <si>
    <t>110271 01</t>
  </si>
  <si>
    <t>110326 01</t>
  </si>
  <si>
    <t>110313 01</t>
  </si>
  <si>
    <t>110262 01</t>
  </si>
  <si>
    <t>110343 01</t>
  </si>
  <si>
    <t>110044 01</t>
  </si>
  <si>
    <t>100001 12</t>
  </si>
  <si>
    <t>110377 01</t>
  </si>
  <si>
    <t>110365 01</t>
  </si>
  <si>
    <t>110306 01</t>
  </si>
  <si>
    <t>110336 01</t>
  </si>
  <si>
    <t>100005 01</t>
  </si>
  <si>
    <t>Ch. 08 5-4</t>
  </si>
  <si>
    <t>110052 01</t>
  </si>
  <si>
    <t>110067 01</t>
  </si>
  <si>
    <t>110048 01</t>
  </si>
  <si>
    <t>110307 02</t>
  </si>
  <si>
    <t>110335 02</t>
  </si>
  <si>
    <t>110281 01</t>
  </si>
  <si>
    <t>110311 01</t>
  </si>
  <si>
    <t>110045 01</t>
  </si>
  <si>
    <t>110402 01</t>
  </si>
  <si>
    <t>100013 06</t>
  </si>
  <si>
    <t>110349 01</t>
  </si>
  <si>
    <t>110272 01</t>
  </si>
  <si>
    <t>110335 01</t>
  </si>
  <si>
    <t>110312 01</t>
  </si>
  <si>
    <t>110254 01</t>
  </si>
  <si>
    <t>110318 02</t>
  </si>
  <si>
    <t>110018 02</t>
  </si>
  <si>
    <t>100015 04</t>
  </si>
  <si>
    <t>Ch. 16 4-6</t>
  </si>
  <si>
    <t>110310 02</t>
  </si>
  <si>
    <t>110053 01</t>
  </si>
  <si>
    <t>110066 01</t>
  </si>
  <si>
    <t>110388 01</t>
  </si>
  <si>
    <t>Aquatic Cyclops Assaul</t>
  </si>
  <si>
    <t>100009 07</t>
  </si>
  <si>
    <t>Ch. 14 4-9</t>
  </si>
  <si>
    <t>110337 01</t>
  </si>
  <si>
    <t>100004 10</t>
  </si>
  <si>
    <t>Ch. 10 6-1</t>
  </si>
  <si>
    <t>C-192H</t>
  </si>
  <si>
    <t>110333 01</t>
  </si>
  <si>
    <t>110051 01</t>
  </si>
  <si>
    <t>110047 01</t>
  </si>
  <si>
    <t>110059 01</t>
  </si>
  <si>
    <t>110269 02</t>
  </si>
  <si>
    <t>110280 01</t>
  </si>
  <si>
    <t>100004 01</t>
  </si>
  <si>
    <t>Ch. 01 3-4</t>
  </si>
  <si>
    <t>110049 01</t>
  </si>
  <si>
    <t>110404 01</t>
  </si>
  <si>
    <t>100010 10</t>
  </si>
  <si>
    <t>100015 05</t>
  </si>
  <si>
    <t>Ch. 17 5-4</t>
  </si>
  <si>
    <t>100054 03</t>
  </si>
  <si>
    <t>Ch. 22 5-4</t>
  </si>
  <si>
    <t>ADVENTURER</t>
  </si>
  <si>
    <t>https://dragalialost.wiki/w/Summer_Elisanne</t>
  </si>
  <si>
    <t>100002 14</t>
  </si>
  <si>
    <t>https://dragalialost.wiki/w/Sarisse</t>
  </si>
  <si>
    <t>100029 01</t>
  </si>
  <si>
    <t>https://dragalialost.wiki/w/Volk</t>
  </si>
  <si>
    <t>110405 01</t>
  </si>
  <si>
    <t>https://dragalialost.wiki/w/Kai_Yan</t>
  </si>
  <si>
    <t>110406 01</t>
  </si>
  <si>
    <t>https://dragalialost.wiki/w/Ciella</t>
  </si>
  <si>
    <t>110407 01</t>
  </si>
  <si>
    <t>https://dragalialost.wiki/w/Tartarus</t>
  </si>
  <si>
    <t>110408 01</t>
  </si>
  <si>
    <t>Ch. 19 5-3</t>
  </si>
  <si>
    <t>Trials</t>
  </si>
  <si>
    <t>Upgrade the Arctos Monument to Lv. 35</t>
  </si>
  <si>
    <t>E-16</t>
  </si>
  <si>
    <t>Ch. 03 4-4</t>
  </si>
  <si>
    <t>Upgrade the Festival Stage to Lv. 35</t>
  </si>
  <si>
    <t>E-32</t>
  </si>
  <si>
    <t>Upgrade The Hungerdome to Lv. 35</t>
  </si>
  <si>
    <t>E-25</t>
  </si>
  <si>
    <t>Upgrade the Dragoñata to Lv. 35</t>
  </si>
  <si>
    <t>E-13</t>
  </si>
  <si>
    <t>Upgrade the Yuletree to Lv. 35</t>
  </si>
  <si>
    <t>Ch. 02 6-1</t>
  </si>
  <si>
    <t>Ch. 17 5-2</t>
  </si>
  <si>
    <t>Upgrade the Wind Shrine to Lv. 35</t>
  </si>
  <si>
    <t>E-04</t>
  </si>
  <si>
    <t>Ch. 01 3-3</t>
  </si>
  <si>
    <t>Ch. 18 5-1</t>
  </si>
  <si>
    <t>Upgrade the Seabed Stage to Lv. 35</t>
  </si>
  <si>
    <t>E-18</t>
  </si>
  <si>
    <t>Upgrade the Circus Tent to Lv. 35</t>
  </si>
  <si>
    <t>E-08</t>
  </si>
  <si>
    <t>https://dragalialost.wiki/w/Shishimai</t>
  </si>
  <si>
    <t>https://dragalialost.wiki/w/Jeanne_dArc</t>
  </si>
  <si>
    <t>Upgrade the Sweet Retreat to Lv. 35</t>
  </si>
  <si>
    <t>Ch. 04 5-4</t>
  </si>
  <si>
    <t>Ch. 21 6-2</t>
  </si>
  <si>
    <t>Ch. 20 7-2</t>
  </si>
  <si>
    <t>https://dragalialost.wiki/w/Arsene</t>
  </si>
  <si>
    <t>Upgrade the Opera House to Lv. 35</t>
  </si>
  <si>
    <t>E-40</t>
  </si>
  <si>
    <t>https://dragalialost.wiki/w/Gala_Cat_S%C3%ACth</t>
  </si>
  <si>
    <t>https://dragalialost.wiki/w/Fatalis_(Dragon)</t>
  </si>
  <si>
    <t>https://dragalialost.wiki/w/Ebisu</t>
  </si>
  <si>
    <t>Aberrant Shadow</t>
  </si>
  <si>
    <t>Upgrade the Library Obscura to Lv. 35</t>
  </si>
  <si>
    <t>E-12</t>
  </si>
  <si>
    <t>https://dragalialost.wiki/w/Gold_Fafnir</t>
  </si>
  <si>
    <t>Exchange for Void Leaf x20 from Treasure Trade</t>
  </si>
  <si>
    <t>https://dragalialost.wiki/w/Silver_Fafnir</t>
  </si>
  <si>
    <t>Exchange for Void Leaf x10 from Treasure Trade</t>
  </si>
  <si>
    <t>https://dragalialost.wiki/w/Bronze_Fafnir</t>
  </si>
  <si>
    <t>Exchange for Void Leaf x5 from Treasure Trade</t>
  </si>
  <si>
    <t>https://dragalialost.wiki/w/Juggernaut</t>
  </si>
  <si>
    <t>Ch. 05 4-4</t>
  </si>
  <si>
    <t>https://dragalialost.wiki/w/Gala_Beast_Ayaha_&amp;_Otoha</t>
  </si>
  <si>
    <t>DRAGON</t>
  </si>
  <si>
    <t>https://dragalialost.wiki/w/Gala_Beast_Kai_Yan</t>
  </si>
  <si>
    <t>https://dragalialost.wiki/w/Gala_Beast_Tartarus</t>
  </si>
  <si>
    <t>F-01</t>
  </si>
  <si>
    <t>Flame Altar</t>
  </si>
  <si>
    <t>F-02</t>
  </si>
  <si>
    <t>Water Altar</t>
  </si>
  <si>
    <t>F-03</t>
  </si>
  <si>
    <t>Wind Altar</t>
  </si>
  <si>
    <t>F-04</t>
  </si>
  <si>
    <t>Light Altar</t>
  </si>
  <si>
    <t>F-05</t>
  </si>
  <si>
    <t>Shadow Altar</t>
  </si>
  <si>
    <t>F-06</t>
  </si>
  <si>
    <t>Sword Dojo</t>
  </si>
  <si>
    <t>Ch. 06 4-4</t>
  </si>
  <si>
    <t>F-07</t>
  </si>
  <si>
    <t>Blade Dojo</t>
  </si>
  <si>
    <t>F-08</t>
  </si>
  <si>
    <t>Dagger Dojo</t>
  </si>
  <si>
    <t>F-09</t>
  </si>
  <si>
    <t>Axe Dojo</t>
  </si>
  <si>
    <t>F-10</t>
  </si>
  <si>
    <t>Lance Dojo</t>
  </si>
  <si>
    <t>F-11</t>
  </si>
  <si>
    <t>Bow Dojo</t>
  </si>
  <si>
    <t>F-12</t>
  </si>
  <si>
    <t>Wand Dojo</t>
  </si>
  <si>
    <t>F-13</t>
  </si>
  <si>
    <t>Staff Dojo</t>
  </si>
  <si>
    <t>F-14</t>
  </si>
  <si>
    <t>Manacaster Dojo</t>
  </si>
  <si>
    <t>F-15</t>
  </si>
  <si>
    <t>Magma Slime Statue</t>
  </si>
  <si>
    <t>F-16</t>
  </si>
  <si>
    <t>Aqua Slime Statue</t>
  </si>
  <si>
    <t>F-17</t>
  </si>
  <si>
    <t>Aero Slime Statue</t>
  </si>
  <si>
    <t>F-18</t>
  </si>
  <si>
    <t>Twinkling Slime Statue</t>
  </si>
  <si>
    <t>F-19</t>
  </si>
  <si>
    <t>Poison Slime Statue</t>
  </si>
  <si>
    <t>F-20</t>
  </si>
  <si>
    <t>Wind Dracolith</t>
  </si>
  <si>
    <t>F-21</t>
  </si>
  <si>
    <t>Water Dracolith</t>
  </si>
  <si>
    <t>F-22</t>
  </si>
  <si>
    <t>Flame Dracolith</t>
  </si>
  <si>
    <t>F-23</t>
  </si>
  <si>
    <t>Light Dracolith</t>
  </si>
  <si>
    <t>Ch. 09 5-5</t>
  </si>
  <si>
    <t>F-24</t>
  </si>
  <si>
    <t>Shadow Dracolith</t>
  </si>
  <si>
    <t>F-25</t>
  </si>
  <si>
    <t>Fafnir Statue (Wind)</t>
  </si>
  <si>
    <t>F-26</t>
  </si>
  <si>
    <t>Fafnir Statue (Water)</t>
  </si>
  <si>
    <t>F-27</t>
  </si>
  <si>
    <t>Fafnir Statue (Flame)</t>
  </si>
  <si>
    <t>F-28</t>
  </si>
  <si>
    <t>Fafnir Statue (Light)</t>
  </si>
  <si>
    <t>F-29</t>
  </si>
  <si>
    <t>Fafnir Statue (Shadow)</t>
  </si>
  <si>
    <t>F-30</t>
  </si>
  <si>
    <t>Flame Tree</t>
  </si>
  <si>
    <t>F-31</t>
  </si>
  <si>
    <t>Water Tree</t>
  </si>
  <si>
    <t>F-32</t>
  </si>
  <si>
    <t>Wind Tree</t>
  </si>
  <si>
    <t>F-33</t>
  </si>
  <si>
    <t>Light Tree</t>
  </si>
  <si>
    <t>F-34</t>
  </si>
  <si>
    <t>Shadow Tree</t>
  </si>
  <si>
    <t>F-35</t>
  </si>
  <si>
    <t>Sweet Retreat</t>
  </si>
  <si>
    <t>F-36</t>
  </si>
  <si>
    <t>Wind Shrine</t>
  </si>
  <si>
    <t>F-37</t>
  </si>
  <si>
    <t>Yuletree</t>
  </si>
  <si>
    <t>F-38</t>
  </si>
  <si>
    <t>Circus Tent</t>
  </si>
  <si>
    <t>F-39</t>
  </si>
  <si>
    <t>Library Obscura</t>
  </si>
  <si>
    <t>F-40</t>
  </si>
  <si>
    <t>Dragoñata</t>
  </si>
  <si>
    <t>F-41</t>
  </si>
  <si>
    <t>Arctos Monument</t>
  </si>
  <si>
    <t>F-42</t>
  </si>
  <si>
    <t>Seabed Stage</t>
  </si>
  <si>
    <t>F-43</t>
  </si>
  <si>
    <t>The Hungerdome</t>
  </si>
  <si>
    <t>F-44</t>
  </si>
  <si>
    <t>Festival Stage</t>
  </si>
  <si>
    <t>F-45</t>
  </si>
  <si>
    <t>Statue of Ilia</t>
  </si>
  <si>
    <t>F-46</t>
  </si>
  <si>
    <t>Opera House</t>
  </si>
  <si>
    <t>F-47</t>
  </si>
  <si>
    <t>Cleansing Fount</t>
  </si>
  <si>
    <t>F-48</t>
  </si>
  <si>
    <t>Abyssal Bell</t>
  </si>
  <si>
    <t>E-56</t>
  </si>
  <si>
    <t>F-49</t>
  </si>
  <si>
    <t>Dr. Schmidt's Lab</t>
  </si>
  <si>
    <t>Wyrmprint</t>
  </si>
  <si>
    <t>https://dragalialost.wiki/w/Crown_of_Light_(Serpent's_Boon)</t>
  </si>
  <si>
    <t>https://dragalialost.wiki/w/Tutelary's_Destiny_(Wolf's_Boon)</t>
  </si>
  <si>
    <t>https://dragalialost.wiki/w/Her_Beloved_(Sword's_Boon)</t>
  </si>
  <si>
    <t>https://dragalialost.wiki/w/Mask_of_Determination_(Lance's_Boon)</t>
  </si>
  <si>
    <t>https://dragalialost.wiki/w/Her_Beloved_(Crown's_Boon)</t>
  </si>
  <si>
    <t>https://dragalialost.wiki/w/Mask_of_Determination_(Bow's_Boon)</t>
  </si>
  <si>
    <t>https://dragalialost.wiki/w/"A_Knight's_Dream"_(Axe's_Boon)</t>
  </si>
  <si>
    <t>https://dragalialost.wiki/w/Wind_of_Oaths_(Eagle's_Boon)</t>
  </si>
  <si>
    <t>https://dragalialost.wiki/w/Beneath_the_Boughs_(Wolf's_Boon)</t>
  </si>
  <si>
    <t>https://dragalialost.wiki/w/Savage_Hawk_(Bow's_Boon)</t>
  </si>
  <si>
    <t>https://dragalialost.wiki/w/Beneath_the_Boughs_(Staff's_Boon)</t>
  </si>
  <si>
    <t>https://dragalialost.wiki/w/Savage_Hawk_(Lance's_Boon)</t>
  </si>
  <si>
    <t>https://dragalialost.wiki/w/A_Mercenary's_Pride_(Eagle's_Boon)</t>
  </si>
  <si>
    <t>https://dragalialost.wiki/w/Recital_Invitation_(Bull's_Boon)</t>
  </si>
  <si>
    <t>https://dragalialost.wiki/w/Thunderswift_Lord's_Blade_(Axe's_Boon)</t>
  </si>
  <si>
    <t>https://dragalialost.wiki/w/Promised_Piety_(Bow's_Boon)</t>
  </si>
  <si>
    <t>https://dragalialost.wiki/w/Thunderswift_Lord's_Blade_(Lance's_Boon)</t>
  </si>
  <si>
    <t>https://dragalialost.wiki/w/Promised_Piety_(Staff's_Boon)</t>
  </si>
  <si>
    <t>https://dragalialost.wiki/w/Testament_of_Eternity_(Fish's_Boon)</t>
  </si>
  <si>
    <t>https://dragalialost.wiki/w/Treasured_Memory_of_the_Sea_(Butterfly's_Boon)</t>
  </si>
  <si>
    <t>https://dragalialost.wiki/w/An_Unfreezing_Flower_(Deer's_Boon)</t>
  </si>
  <si>
    <t>https://dragalialost.wiki/w/A_King's_Pride_(Staff's_Boon)</t>
  </si>
  <si>
    <t>An Unfreezing Flower (Axe's Boon"</t>
  </si>
  <si>
    <t>https://dragalialost.wiki/w/An_Unfreezing_Flower_(Axe's_Boon"</t>
  </si>
  <si>
    <t>https://dragalialost.wiki/w/A_King's_Pride_(Sword's_Boon)</t>
  </si>
  <si>
    <t>https://dragalialost.wiki/w/Apple-licious_Dreams_(Butterfly's_Boon)</t>
  </si>
  <si>
    <t>https://dragalialost.wiki/w/Crystalline_Blades_(Bat's_Boon)</t>
  </si>
  <si>
    <t>https://dragalialost.wiki/w/Ravenous_Fire_(Deer's_Boon)</t>
  </si>
  <si>
    <t>https://dragalialost.wiki/w/The_Genius_Tactician_(Bow's_Boon)</t>
  </si>
  <si>
    <t>https://dragalialost.wiki/w/Ravenous_Fire_(Crown's_Boon)</t>
  </si>
  <si>
    <t>https://dragalialost.wiki/w/The_Genius_Tactician_(Spider's_Boon)</t>
  </si>
  <si>
    <t>https://dragalialost.wiki/w/Valiant_Crown</t>
  </si>
  <si>
    <t>Obtain From Ch. 02 EX 2 Chest</t>
  </si>
  <si>
    <t>https://dragalialost.wiki/w/Flash_of_Genius</t>
  </si>
  <si>
    <t>Ch. 01 4-5</t>
  </si>
  <si>
    <t>https://dragalialost.wiki/w/Evening_of_Luxury</t>
  </si>
  <si>
    <t>Obtain From Ch. 09 EX 1 Chest</t>
  </si>
  <si>
    <t>https://dragalialost.wiki/w/Worthy_Rivals</t>
  </si>
  <si>
    <t>Obtain From Ch. 06 EX 1 Chest</t>
  </si>
  <si>
    <t>https://dragalialost.wiki/w/Auspex's_Prayer</t>
  </si>
  <si>
    <t>https://dragalialost.wiki/w/Dragon_Brethren</t>
  </si>
  <si>
    <t>Obtain From Ch. 08 EX 2 Chest</t>
  </si>
  <si>
    <t>https://dragalialost.wiki/w/Luca's_Prank</t>
  </si>
  <si>
    <t>https://dragalialost.wiki/w/Give_Me_Your_Wounded</t>
  </si>
  <si>
    <t>https://dragalialost.wiki/w/Levin's_Champion</t>
  </si>
  <si>
    <t>Ch. 03 4-3</t>
  </si>
  <si>
    <t>https://dragalialost.wiki/w/Nightstalker</t>
  </si>
  <si>
    <t>https://dragalialost.wiki/w/Glorious_Tempest</t>
  </si>
  <si>
    <t>https://dragalialost.wiki/w/Tough_Love</t>
  </si>
  <si>
    <t>https://dragalialost.wiki/w/Crystalian_Envoy</t>
  </si>
  <si>
    <t>Very hard</t>
  </si>
  <si>
    <t>https://dragalialost.wiki/w/Witch's_Kitchen</t>
  </si>
  <si>
    <t>https://dragalialost.wiki/w/Of_Tricks_and_Treats</t>
  </si>
  <si>
    <t>https://dragalialost.wiki/w/Plunder_Pals</t>
  </si>
  <si>
    <t>https://dragalialost.wiki/w/Cleo's_Ruse</t>
  </si>
  <si>
    <t>https://dragalialost.wiki/w/Jewels_of_the_Sun</t>
  </si>
  <si>
    <t>Obtain From Ch. 11 EX 1 Chest</t>
  </si>
  <si>
    <t>https://dragalialost.wiki/w/Gentle_Winds</t>
  </si>
  <si>
    <t>https://dragalialost.wiki/w/Gale_of_Beauty</t>
  </si>
  <si>
    <t>https://dragalialost.wiki/w/Louise's_Hobbies</t>
  </si>
  <si>
    <t>https://dragalialost.wiki/w/Resounding_Rendition</t>
  </si>
  <si>
    <t>https://dragalialost.wiki/w/Heavenly_Holiday</t>
  </si>
  <si>
    <t>https://dragalialost.wiki/w/Volcanic_Queen</t>
  </si>
  <si>
    <t>https://dragalialost.wiki/w/A_Wish_Upon_the_Yuletree</t>
  </si>
  <si>
    <t xml:space="preserve">Read Episode 5 of the Event Story	</t>
  </si>
  <si>
    <t>https://dragalialost.wiki/w/The_Prince_of_Dragonyule</t>
  </si>
  <si>
    <t>https://dragalialost.wiki/w/A_Slice_of_Dragonyule</t>
  </si>
  <si>
    <t>https://dragalialost.wiki/w/The_Greatest_Gift</t>
  </si>
  <si>
    <t>https://dragalialost.wiki/w/Happy_New_Year!</t>
  </si>
  <si>
    <t>https://dragalialost.wiki/w/Heralds_of_Hinomoto</t>
  </si>
  <si>
    <t>https://dragalialost.wiki/w/Dragon_and_Tamer</t>
  </si>
  <si>
    <t>https://dragalialost.wiki/w/Stellar_Show</t>
  </si>
  <si>
    <t>https://dragalialost.wiki/w/Astounding_Trick</t>
  </si>
  <si>
    <t>https://dragalialost.wiki/w/Warrior_Maiden</t>
  </si>
  <si>
    <t>Obtain From Ch. 04 EX 2 Chest</t>
  </si>
  <si>
    <t>https://dragalialost.wiki/w/Kung_Fu_Masters</t>
  </si>
  <si>
    <t>https://dragalialost.wiki/w/The_Chocolatiers</t>
  </si>
  <si>
    <t>https://dragalialost.wiki/w/The_Rose_Prince</t>
  </si>
  <si>
    <t>https://dragalialost.wiki/w/The_Petal_Queen</t>
  </si>
  <si>
    <t>Read the Epilogue</t>
  </si>
  <si>
    <t>https://dragalialost.wiki/w/A_Heartfelt_Gift</t>
  </si>
  <si>
    <t>https://dragalialost.wiki/w/Valentine's_Venture</t>
  </si>
  <si>
    <t>https://dragalialost.wiki/w/An_Indelible_Date</t>
  </si>
  <si>
    <t>https://dragalialost.wiki/w/Elegant_Escort</t>
  </si>
  <si>
    <t>https://dragalialost.wiki/w/Take_My_Hand</t>
  </si>
  <si>
    <t>https://dragalialost.wiki/w/Honest_Repose</t>
  </si>
  <si>
    <t>https://dragalialost.wiki/w/The_Shining_Overlord</t>
  </si>
  <si>
    <t>Ch. 05 4-3</t>
  </si>
  <si>
    <t>https://dragalialost.wiki/w/A_Solitary_Light</t>
  </si>
  <si>
    <t>https://dragalialost.wiki/w/The_Fleeting_Girl</t>
  </si>
  <si>
    <t>https://dragalialost.wiki/w/Hitting_the_Books</t>
  </si>
  <si>
    <t>https://dragalialost.wiki/w/Forest_Bonds</t>
  </si>
  <si>
    <t>https://dragalialost.wiki/w/A_Mother's_Love</t>
  </si>
  <si>
    <t>https://dragalialost.wiki/w/Queen_of_the_Blue_Seas</t>
  </si>
  <si>
    <t>https://dragalialost.wiki/w/The_Heroes_Arrive</t>
  </si>
  <si>
    <t>E-14</t>
  </si>
  <si>
    <t>https://dragalialost.wiki/w/Bonds_Between_Worlds</t>
  </si>
  <si>
    <t>https://dragalialost.wiki/w/Partners_in_Truth</t>
  </si>
  <si>
    <t>Obtain From Ch. 07 EX 2 Chest</t>
  </si>
  <si>
    <t>https://dragalialost.wiki/w/After_an_Eternity</t>
  </si>
  <si>
    <t>https://dragalialost.wiki/w/Study_Rabbits</t>
  </si>
  <si>
    <t>https://dragalialost.wiki/w/The_Bridal_Dragon</t>
  </si>
  <si>
    <t>https://dragalialost.wiki/w/Indelible_Summer</t>
  </si>
  <si>
    <t>https://dragalialost.wiki/w/Sisters'_Day_Out</t>
  </si>
  <si>
    <t>https://dragalialost.wiki/w/The_Dragon_Smiths</t>
  </si>
  <si>
    <t>https://dragalialost.wiki/w/King_of_the_Skies</t>
  </si>
  <si>
    <t>https://dragalialost.wiki/w/Summer_Paladyns</t>
  </si>
  <si>
    <t>https://dragalialost.wiki/w/Seaside_Princess</t>
  </si>
  <si>
    <t>https://dragalialost.wiki/w/Surfing_Siblings</t>
  </si>
  <si>
    <t>https://dragalialost.wiki/w/Twinfold_Bonds</t>
  </si>
  <si>
    <t>https://dragalialost.wiki/w/Castle_Cheer_Corps</t>
  </si>
  <si>
    <t>https://dragalialost.wiki/w/Ruler_of_Darkness</t>
  </si>
  <si>
    <t>https://dragalialost.wiki/w/United_by_One_Vision</t>
  </si>
  <si>
    <t>https://dragalialost.wiki/w/Endless_Waltz</t>
  </si>
  <si>
    <t>Obtain From Ch. 10 EX 1 Chest</t>
  </si>
  <si>
    <t>https://dragalialost.wiki/w/An_Ancient_Oath</t>
  </si>
  <si>
    <t>https://dragalialost.wiki/w/Candy_Couriers</t>
  </si>
  <si>
    <t>Obtain From Ch. 14 EX 1 Chest</t>
  </si>
  <si>
    <t>https://dragalialost.wiki/w/Prayers_Unto_Him</t>
  </si>
  <si>
    <t>https://dragalialost.wiki/w/In_an_Unending_World</t>
  </si>
  <si>
    <t>Obtain From Ch. 15 EX 1 Chest</t>
  </si>
  <si>
    <t>https://dragalialost.wiki/w/Dear_Diary</t>
  </si>
  <si>
    <t>Obtain From Ch. 16 EX 1 Chest</t>
  </si>
  <si>
    <t>https://dragalialost.wiki/w/Wily_Warriors:_Bubble_&amp;_Wood</t>
  </si>
  <si>
    <t>https://dragalialost.wiki/w/Wily_Warriors:_Air_&amp;_Crash</t>
  </si>
  <si>
    <t>https://dragalialost.wiki/w/Wily_Warriors:_Metal_&amp;_Quick</t>
  </si>
  <si>
    <t>https://dragalialost.wiki/w/Wily_Warriors:_Flash_&amp;_Heat</t>
  </si>
  <si>
    <t>https://dragalialost.wiki/w/Roll_On</t>
  </si>
  <si>
    <t>https://dragalialost.wiki/w/Mega_Friends</t>
  </si>
  <si>
    <t>https://dragalialost.wiki/w/Howling_to_the_Heavens</t>
  </si>
  <si>
    <t>https://dragalialost.wiki/w/Spirit_of_the_Season</t>
  </si>
  <si>
    <t>https://dragalialost.wiki/w/The_Wyrmclan_Duo</t>
  </si>
  <si>
    <t>https://dragalialost.wiki/w/A_Dog's_Day</t>
  </si>
  <si>
    <t>https://dragalialost.wiki/w/Blossoms_in_a_New_Year's_Sky</t>
  </si>
  <si>
    <t>https://dragalialost.wiki/w/Felyne_Hospitality</t>
  </si>
  <si>
    <t>https://dragalialost.wiki/w/A_Suit_of_Midnight</t>
  </si>
  <si>
    <t>https://dragalialost.wiki/w/Unexpected_Requests</t>
  </si>
  <si>
    <t>https://dragalialost.wiki/w/Primal_Crisis</t>
  </si>
  <si>
    <t>https://dragalialost.wiki/w/The_Lurker_in_the_Woods</t>
  </si>
  <si>
    <t>https://dragalialost.wiki/w/The_Fires_of_Hate</t>
  </si>
  <si>
    <t>Obtain From Ch. 13 EX 1 Chest</t>
  </si>
  <si>
    <t>https://dragalialost.wiki/w/Berry_Lovable_Friends</t>
  </si>
  <si>
    <t>https://dragalialost.wiki/w/Breakfast_at_Valerio's</t>
  </si>
  <si>
    <t>https://dragalialost.wiki/w/The_Ilian_Faithful</t>
  </si>
  <si>
    <t>https://dragalialost.wiki/w/Dazzling_Duet!</t>
  </si>
  <si>
    <t>https://dragalialost.wiki/w/Brothers_in_Arms</t>
  </si>
  <si>
    <t>https://dragalialost.wiki/w/The_Red_Impulse</t>
  </si>
  <si>
    <t>https://dragalialost.wiki/w/Memories_of_Youth</t>
  </si>
  <si>
    <t>Obtain From Ch. 12 EX 1 Chest</t>
  </si>
  <si>
    <t>https://dragalialost.wiki/w/The_Synthetic_Dragon</t>
  </si>
  <si>
    <t>https://dragalialost.wiki/w/Proper_Maintenance</t>
  </si>
  <si>
    <t>https://dragalialost.wiki/w/Welcome_to_the_Halidom!</t>
  </si>
  <si>
    <t>E-28</t>
  </si>
  <si>
    <t>https://dragalialost.wiki/w/A_New_Look</t>
  </si>
  <si>
    <t>https://dragalialost.wiki/w/Memory_of_a_Friend</t>
  </si>
  <si>
    <t>https://dragalialost.wiki/w/Here_Come_the_Sealers!</t>
  </si>
  <si>
    <t>https://dragalialost.wiki/w/Me_and_My_Bestie!</t>
  </si>
  <si>
    <t>E-31</t>
  </si>
  <si>
    <t>https://dragalialost.wiki/w/Best_Buds</t>
  </si>
  <si>
    <t>https://dragalialost.wiki/w/Once_in_a_Lifetime</t>
  </si>
  <si>
    <t>https://dragalialost.wiki/w/Summertime,_Feeling_Feline</t>
  </si>
  <si>
    <t>E-33</t>
  </si>
  <si>
    <t>https://dragalialost.wiki/w/Blossoms_on_the_Water's_Edge</t>
  </si>
  <si>
    <t>https://dragalialost.wiki/w/Memories_of_Summer's_Dusk</t>
  </si>
  <si>
    <t>E-35</t>
  </si>
  <si>
    <t>https://dragalialost.wiki/w/Wings_in_the_Night</t>
  </si>
  <si>
    <t>E-36</t>
  </si>
  <si>
    <t>https://dragalialost.wiki/w/A_Day_in_Her_Life</t>
  </si>
  <si>
    <t>https://dragalialost.wiki/w/Moonlight_Party</t>
  </si>
  <si>
    <t>E-37</t>
  </si>
  <si>
    <t>https://dragalialost.wiki/w/Guardian_of_the_Bond</t>
  </si>
  <si>
    <t>https://dragalialost.wiki/w/Second_Anniversary</t>
  </si>
  <si>
    <t>https://dragalialost.wiki/w/Secret_Nightmare</t>
  </si>
  <si>
    <t>E-39</t>
  </si>
  <si>
    <t>https://dragalialost.wiki/w/Free-Spirited_Opera</t>
  </si>
  <si>
    <t>https://dragalialost.wiki/w/Welcome_to_the_Opera!</t>
  </si>
  <si>
    <t>https://dragalialost.wiki/w/A_Man_Unchanging</t>
  </si>
  <si>
    <t>https://dragalialost.wiki/w/Pecorine's_Grand_Adventure</t>
  </si>
  <si>
    <t>E-42</t>
  </si>
  <si>
    <t>https://dragalialost.wiki/w/Meanwhile,_in_Landosol…</t>
  </si>
  <si>
    <t>https://dragalialost.wiki/w/Dragonyule_Dreaming</t>
  </si>
  <si>
    <t>E-43</t>
  </si>
  <si>
    <t>https://dragalialost.wiki/w/The_Cutie_Competition</t>
  </si>
  <si>
    <t>https://dragalialost.wiki/w/Caged_Desire</t>
  </si>
  <si>
    <t>https://dragalialost.wiki/w/Showtime!</t>
  </si>
  <si>
    <t>https://dragalialost.wiki/w/Sweet_Surprise</t>
  </si>
  <si>
    <t>E-47</t>
  </si>
  <si>
    <t>https://dragalialost.wiki/w/Rivalry_of_Kings</t>
  </si>
  <si>
    <t>https://dragalialost.wiki/w/Extreme_Teamwork</t>
  </si>
  <si>
    <t>E-48</t>
  </si>
  <si>
    <t>https://dragalialost.wiki/w/Holywyrm's_Advent</t>
  </si>
  <si>
    <t>E-50</t>
  </si>
  <si>
    <t>https://dragalialost.wiki/w/Springtime_Breeze</t>
  </si>
  <si>
    <t>https://dragalialost.wiki/w/Bloody_Little_Queen</t>
  </si>
  <si>
    <t>https://dragalialost.wiki/w/Advent_of_the_War_God</t>
  </si>
  <si>
    <t>https://dragalialost.wiki/w/Initio's_Sentinel</t>
  </si>
  <si>
    <t>https://dragalialost.wiki/w/A_Rainy_Day</t>
  </si>
  <si>
    <t>https://dragalialost.wiki/w/Super_Soaking_Androids</t>
  </si>
  <si>
    <t>https://dragalialost.wiki/w/Superior_Summer</t>
  </si>
  <si>
    <t>E-58</t>
  </si>
  <si>
    <t>https://dragalialost.wiki/w/In_the_Limelight</t>
  </si>
  <si>
    <t>https://dragalialost.wiki/w/One-Winged_Journey</t>
  </si>
  <si>
    <t>https://dragalialost.wiki/w/Third_Anniversary!</t>
  </si>
  <si>
    <t>https://dragalialost.wiki/w/Bonded_by_a_Dream</t>
  </si>
  <si>
    <t>E-62</t>
  </si>
  <si>
    <t>https://dragalialost.wiki/w/Emissaries_of_the_Heavens</t>
  </si>
  <si>
    <t>https://dragalialost.wiki/w/A_Halloween_Spectacular!</t>
  </si>
  <si>
    <t>E-64</t>
  </si>
  <si>
    <t>https://dragalialost.wiki/w/Adventure_in_the_Past</t>
  </si>
  <si>
    <t>https://dragalialost.wiki/w/Going_Undercover</t>
  </si>
  <si>
    <t>https://dragalialost.wiki/w/A_Dragonyule_for_Ilia</t>
  </si>
  <si>
    <t>https://dragalialost.wiki/w/Wings_of_Rebellion_at_Rest</t>
  </si>
  <si>
    <t>https://dragalialost.wiki/w/A_Royal_Tea_Party</t>
  </si>
  <si>
    <t>https://dragalialost.wiki/w/A_Wonderful_Valentine's</t>
  </si>
  <si>
    <t>https://dragalialost.wiki/w/Hospitality_&amp;_Harmony</t>
  </si>
  <si>
    <t>https://dragalialost.wiki/w/What_Dreams_May_Come</t>
  </si>
  <si>
    <t>https://dragalialost.wiki/w/Getting_Acquainted</t>
  </si>
  <si>
    <t>https://dragalialost.wiki/w/The_Wind's_Guidance</t>
  </si>
  <si>
    <t>E-70</t>
  </si>
  <si>
    <t>https://dragalialost.wiki/w/An_Undying_Memory</t>
  </si>
  <si>
    <t>https://dragalialost.wiki/w/Peaceful_Waterfront</t>
  </si>
  <si>
    <t>https://dragalialost.wiki/w/Soaring_Hope</t>
  </si>
  <si>
    <t>https://dragalialost.wiki/w/Unconditional_Love</t>
  </si>
  <si>
    <t>https://dragalialost.wiki/w/Flower_in_the_Fray</t>
  </si>
  <si>
    <t>Obtain From Ch. 02 EX 1 Chest</t>
  </si>
  <si>
    <t>https://dragalialost.wiki/w/Destiny's_Hand</t>
  </si>
  <si>
    <t>https://dragalialost.wiki/w/Sniper's_Allure</t>
  </si>
  <si>
    <t>https://dragalialost.wiki/w/Promises_in_the_Rain</t>
  </si>
  <si>
    <t>Obtain From Ch. 07 EX 1 Chest</t>
  </si>
  <si>
    <t>https://dragalialost.wiki/w/Fireside_Gathering</t>
  </si>
  <si>
    <t>https://dragalialost.wiki/w/Trove_of_Knowledge</t>
  </si>
  <si>
    <t>https://dragalialost.wiki/w/Castaway's_Journal</t>
  </si>
  <si>
    <t>https://dragalialost.wiki/w/Lord_of_the_Skies</t>
  </si>
  <si>
    <t>https://dragalialost.wiki/w/King's_Countenance</t>
  </si>
  <si>
    <t>https://dragalialost.wiki/w/Braving_the_Unknown</t>
  </si>
  <si>
    <t>https://dragalialost.wiki/w/What_a_Handful!</t>
  </si>
  <si>
    <t>SPECIAL</t>
  </si>
  <si>
    <t>Unlock 50 Mana Nodes for a Wind-Attuned Adventurer</t>
  </si>
  <si>
    <t>https://dragalialost.wiki/w/How_to_Flee_Properly</t>
  </si>
  <si>
    <t>https://dragalialost.wiki/w/One_with_the_Shadows</t>
  </si>
  <si>
    <t>https://dragalialost.wiki/w/Warlust</t>
  </si>
  <si>
    <t>Obtain From Ch. 04 EX 1 Chest</t>
  </si>
  <si>
    <t>https://dragalialost.wiki/w/Armorer's_Aspirations</t>
  </si>
  <si>
    <t>Unlock 50 Mana Nodes for a Light-Attuned Adventurer</t>
  </si>
  <si>
    <t>https://dragalialost.wiki/w/Revolutionary_Magic</t>
  </si>
  <si>
    <t>https://dragalialost.wiki/w/Sisters_of_the_Anvil</t>
  </si>
  <si>
    <t>https://dragalialost.wiki/w/Dueling_Dancers</t>
  </si>
  <si>
    <t>https://dragalialost.wiki/w/Together_We_Stand</t>
  </si>
  <si>
    <t>https://dragalialost.wiki/w/Happier_Times</t>
  </si>
  <si>
    <t>https://dragalialost.wiki/w/Greatwyrm_Midgardsormr</t>
  </si>
  <si>
    <t>https://dragalialost.wiki/w/Greatwyrm_Mercury</t>
  </si>
  <si>
    <t>https://dragalialost.wiki/w/Greatwyrm_Brunhilda</t>
  </si>
  <si>
    <t>https://dragalialost.wiki/w/Greatwyrm_Jupiter</t>
  </si>
  <si>
    <t>https://dragalialost.wiki/w/Greatwyrm_Zodiark</t>
  </si>
  <si>
    <t>https://dragalialost.wiki/w/Paladyn_Defender</t>
  </si>
  <si>
    <t>E-01</t>
  </si>
  <si>
    <t>https://dragalialost.wiki/w/The_Warrioresses</t>
  </si>
  <si>
    <t>https://dragalialost.wiki/w/Silke_Lends_a_Hand</t>
  </si>
  <si>
    <t>https://dragalialost.wiki/w/Samurai_Siesta</t>
  </si>
  <si>
    <t>https://dragalialost.wiki/w/Better_Together</t>
  </si>
  <si>
    <t>E-03</t>
  </si>
  <si>
    <t>https://dragalialost.wiki/w/Fresh_Perspective</t>
  </si>
  <si>
    <t>https://dragalialost.wiki/w/Kicking_Back</t>
  </si>
  <si>
    <t>https://dragalialost.wiki/w/As_the_Snow_Falls</t>
  </si>
  <si>
    <t>E-05</t>
  </si>
  <si>
    <t>https://dragalialost.wiki/w/Saintly_Delivery</t>
  </si>
  <si>
    <t>https://dragalialost.wiki/w/Hanetsuki_Rally</t>
  </si>
  <si>
    <t>https://dragalialost.wiki/w/Luck_of_the_Draw</t>
  </si>
  <si>
    <t>E-07</t>
  </si>
  <si>
    <t>https://dragalialost.wiki/w/Slow_and_Steady</t>
  </si>
  <si>
    <t>https://dragalialost.wiki/w/Lunar_Festivities</t>
  </si>
  <si>
    <t>https://dragalialost.wiki/w/Dragon_Dance</t>
  </si>
  <si>
    <t>E-09</t>
  </si>
  <si>
    <t>https://dragalialost.wiki/w/Entwined_Flames</t>
  </si>
  <si>
    <t>https://dragalialost.wiki/w/New_World_Escort</t>
  </si>
  <si>
    <t>https://dragalialost.wiki/w/Delightful_Dancer</t>
  </si>
  <si>
    <t>E-11</t>
  </si>
  <si>
    <t>https://dragalialost.wiki/w/First-Rate_Hospitality</t>
  </si>
  <si>
    <t>https://dragalialost.wiki/w/Egg-Shaped_Dreams</t>
  </si>
  <si>
    <t>https://dragalialost.wiki/w/A_Brief_Repose</t>
  </si>
  <si>
    <t>https://dragalialost.wiki/w/Pipe_Down</t>
  </si>
  <si>
    <t>Obtain From Ch. 08 EX 1 Chest</t>
  </si>
  <si>
    <t>https://dragalialost.wiki/w/Beauty's_Secret</t>
  </si>
  <si>
    <t>https://dragalialost.wiki/w/A_Maddened_Master</t>
  </si>
  <si>
    <t>E-15</t>
  </si>
  <si>
    <t>https://dragalialost.wiki/w/Halidom_Grooms</t>
  </si>
  <si>
    <t>Unlock 50 Mana Nodes for a Flame-Attuned Adventurer</t>
  </si>
  <si>
    <t>https://dragalialost.wiki/w/Taiko_Tandem</t>
  </si>
  <si>
    <t>https://dragalialost.wiki/w/To_the_Extreme!</t>
  </si>
  <si>
    <t>https://dragalialost.wiki/w/Beach_Battle</t>
  </si>
  <si>
    <t>https://dragalialost.wiki/w/Preacher's_Vacation</t>
  </si>
  <si>
    <t>E-17</t>
  </si>
  <si>
    <t>https://dragalialost.wiki/w/The_Bustling_Hut</t>
  </si>
  <si>
    <t>https://dragalialost.wiki/w/Hastened_Squall</t>
  </si>
  <si>
    <t>https://dragalialost.wiki/w/Beautiful_Nothingness</t>
  </si>
  <si>
    <t>https://dragalialost.wiki/w/The_Bewitching_Magician</t>
  </si>
  <si>
    <t>E-19</t>
  </si>
  <si>
    <t>https://dragalialost.wiki/w/Odd_Sparrows</t>
  </si>
  <si>
    <t>https://dragalialost.wiki/w/Masquerade_Mission</t>
  </si>
  <si>
    <t>https://dragalialost.wiki/w/From_Whence_He_Comes</t>
  </si>
  <si>
    <t>E-20</t>
  </si>
  <si>
    <t>https://dragalialost.wiki/w/Chariot_Drift</t>
  </si>
  <si>
    <t>https://dragalialost.wiki/w/Fluff_Aplenty</t>
  </si>
  <si>
    <t>https://dragalialost.wiki/w/Glittering_Dragonyule</t>
  </si>
  <si>
    <t>https://dragalialost.wiki/w/A_New_Year's_Battle</t>
  </si>
  <si>
    <t>https://dragalialost.wiki/w/A_Game_of_Cat_and_Boar</t>
  </si>
  <si>
    <t>E-23</t>
  </si>
  <si>
    <t>https://dragalialost.wiki/w/The_Plaguebringer</t>
  </si>
  <si>
    <t>https://dragalialost.wiki/w/Soaring_Terror</t>
  </si>
  <si>
    <t>E-24</t>
  </si>
  <si>
    <t>https://dragalialost.wiki/w/The_Maid_Crusade</t>
  </si>
  <si>
    <t>https://dragalialost.wiki/w/The_Queen_of_the_Knife</t>
  </si>
  <si>
    <t>https://dragalialost.wiki/w/A_Small_Courage</t>
  </si>
  <si>
    <t>https://dragalialost.wiki/w/A_Widow's_Lament</t>
  </si>
  <si>
    <t>https://dragalialost.wiki/w/A_Pledge_of_Protection</t>
  </si>
  <si>
    <t>E-26</t>
  </si>
  <si>
    <t>https://dragalialost.wiki/w/His_Clever_Brother</t>
  </si>
  <si>
    <t>https://dragalialost.wiki/w/Fallen_Wings</t>
  </si>
  <si>
    <t>https://dragalialost.wiki/w/Happy_Times</t>
  </si>
  <si>
    <t>E-30</t>
  </si>
  <si>
    <t>https://dragalialost.wiki/w/Flowers_Under_the_Moon</t>
  </si>
  <si>
    <t>https://dragalialost.wiki/w/A_Bouquet</t>
  </si>
  <si>
    <t>https://dragalialost.wiki/w/Catch_Me_in_the_Sunflowers</t>
  </si>
  <si>
    <t>https://dragalialost.wiki/w/Such_High_Spirits!</t>
  </si>
  <si>
    <t>https://dragalialost.wiki/w/Fun_in_the_Sun</t>
  </si>
  <si>
    <t>E-34</t>
  </si>
  <si>
    <t>https://dragalialost.wiki/w/Seaside_Memory</t>
  </si>
  <si>
    <t>https://dragalialost.wiki/w/A_Passion_for_Produce</t>
  </si>
  <si>
    <t>https://dragalialost.wiki/w/Treasury_of_Knowledge</t>
  </si>
  <si>
    <t>https://dragalialost.wiki/w/Dance_of_the_Twin_Blossoms</t>
  </si>
  <si>
    <t>https://dragalialost.wiki/w/Rogues'_Banquet</t>
  </si>
  <si>
    <t>https://dragalialost.wiki/w/To_My_Dear_Child</t>
  </si>
  <si>
    <t>https://dragalialost.wiki/w/Blessed_Days</t>
  </si>
  <si>
    <t>E-38</t>
  </si>
  <si>
    <t>https://dragalialost.wiki/w/A_Perfect_Faerie_Tale</t>
  </si>
  <si>
    <t>https://dragalialost.wiki/w/Enter_the_Blue_Rose!</t>
  </si>
  <si>
    <t>https://dragalialost.wiki/w/Beautiful_Gunman</t>
  </si>
  <si>
    <t>https://dragalialost.wiki/w/Amaterasu_Oblation</t>
  </si>
  <si>
    <t>E-44</t>
  </si>
  <si>
    <t>https://dragalialost.wiki/w/Humanity's_Companions</t>
  </si>
  <si>
    <t>E-46</t>
  </si>
  <si>
    <t>https://dragalialost.wiki/w/Two_Myms</t>
  </si>
  <si>
    <t>https://dragalialost.wiki/w/The_Floofiest_Bed</t>
  </si>
  <si>
    <t>https://dragalialost.wiki/w/Kunoichi_Charisma</t>
  </si>
  <si>
    <t>E-54</t>
  </si>
  <si>
    <t>https://dragalialost.wiki/w/Having_a_Summer_Ball</t>
  </si>
  <si>
    <t>https://dragalialost.wiki/w/Bloom_of_the_Battlefield</t>
  </si>
  <si>
    <t>https://dragalialost.wiki/w/Amane's_Babysitting_Chronicles</t>
  </si>
  <si>
    <t>E-60</t>
  </si>
  <si>
    <t>https://dragalialost.wiki/w/A_Choice_Blend</t>
  </si>
  <si>
    <t>E-63</t>
  </si>
  <si>
    <t>https://dragalialost.wiki/w/A_Gift_from_an_Angel</t>
  </si>
  <si>
    <t>https://dragalialost.wiki/w/Saint_Starfall's_Circus</t>
  </si>
  <si>
    <t>E-66</t>
  </si>
  <si>
    <t>https://dragalialost.wiki/w/Passion_Inherited</t>
  </si>
  <si>
    <t>E-67</t>
  </si>
  <si>
    <t>https://dragalialost.wiki/w/The_Nobles'_Day_Off</t>
  </si>
  <si>
    <t>https://dragalialost.wiki/w/BFFs!</t>
  </si>
  <si>
    <t>E-68</t>
  </si>
  <si>
    <t>https://dragalialost.wiki/w/A_Butler's_Smile</t>
  </si>
  <si>
    <t>https://dragalialost.wiki/w/Hand_in_Hand</t>
  </si>
  <si>
    <t>E-69</t>
  </si>
  <si>
    <t>https://dragalialost.wiki/w/Scorn_the_Destrier</t>
  </si>
  <si>
    <t>https://dragalialost.wiki/w/Halo</t>
  </si>
  <si>
    <t>https://dragalialost.wiki/w/Teatime</t>
  </si>
  <si>
    <t>https://dragalialost.wiki/w/Bellathorna</t>
  </si>
  <si>
    <t>https://dragalialost.wiki/w/Alberian_Banner</t>
  </si>
  <si>
    <t>https://dragalialost.wiki/w/Cry_of_the_Horn</t>
  </si>
  <si>
    <t>https://dragalialost.wiki/w/Howling_Predator</t>
  </si>
  <si>
    <t>https://dragalialost.wiki/w/Syndicate_Mask</t>
  </si>
  <si>
    <t>https://dragalialost.wiki/w/Hallowed_Mountains</t>
  </si>
  <si>
    <t>https://dragalialost.wiki/w/Lakeside_Euphony</t>
  </si>
  <si>
    <t>https://dragalialost.wiki/w/Dragon's_Nest</t>
  </si>
  <si>
    <t>https://dragalialost.wiki/w/Enchiridion</t>
  </si>
  <si>
    <t>https://dragalialost.wiki/w/Ironside_Shield</t>
  </si>
  <si>
    <t>Unlock 50 Mana Nodes for a Water-Attuned Adventurer</t>
  </si>
  <si>
    <t>https://dragalialost.wiki/w/Winds_of_Saint_Lotier</t>
  </si>
  <si>
    <t>https://dragalialost.wiki/w/Aromatherapy</t>
  </si>
  <si>
    <t>https://dragalialost.wiki/w/Eight-Leaf_Clover</t>
  </si>
  <si>
    <t>https://dragalialost.wiki/w/Forbidden_Relic</t>
  </si>
  <si>
    <t>https://dragalialost.wiki/w/Unfulfilled_Visions</t>
  </si>
  <si>
    <t>https://dragalialost.wiki/w/Liber_Grimortis</t>
  </si>
  <si>
    <t>https://dragalialost.wiki/w/Night_Harbinger</t>
  </si>
  <si>
    <t>Unlock 50 Mana Nodes for a Shadow-Attuned Adventurer</t>
  </si>
  <si>
    <t>https://dragalialost.wiki/w/Tracks_of_Hope</t>
  </si>
  <si>
    <t>https://dragalialost.wiki/w/Potiongrass</t>
  </si>
  <si>
    <t>https://dragalialost.wiki/w/Nevermelt_Ice</t>
  </si>
  <si>
    <t>https://dragalialost.wiki/w/Crown_of_Yore</t>
  </si>
  <si>
    <t>https://dragalialost.wiki/w/Pumpkin_Pail</t>
  </si>
  <si>
    <t>https://dragalialost.wiki/w/The_Halidom's_Picnic</t>
  </si>
  <si>
    <t>https://dragalialost.wiki/w/Garuda's_Feathers</t>
  </si>
  <si>
    <t>https://dragalialost.wiki/w/Secret_Friend</t>
  </si>
  <si>
    <t>https://dragalialost.wiki/w/Roast_Feast</t>
  </si>
  <si>
    <t>https://dragalialost.wiki/w/Vio_Rhyse_Alberia!</t>
  </si>
  <si>
    <t>https://dragalialost.wiki/w/Welcome,_One_and_All</t>
  </si>
  <si>
    <t>https://dragalialost.wiki/w/Blossoms_Ablaze</t>
  </si>
  <si>
    <t>https://dragalialost.wiki/w/To_My_Beloved</t>
  </si>
  <si>
    <t>https://dragalialost.wiki/w/The_Davian_Wetlands</t>
  </si>
  <si>
    <t>https://dragalialost.wiki/w/The_Heretic's_Laboratory</t>
  </si>
  <si>
    <t>https://dragalialost.wiki/w/Tiny_Dragoñatas</t>
  </si>
  <si>
    <t>https://dragalialost.wiki/w/The_Order's_Messenger_Owl</t>
  </si>
  <si>
    <t>https://dragalialost.wiki/w/Ring_of_Exaltation</t>
  </si>
  <si>
    <t>https://dragalialost.wiki/w/Seafood_Soup</t>
  </si>
  <si>
    <t>https://dragalialost.wiki/w/Dragon_Arcanum</t>
  </si>
  <si>
    <t>https://dragalialost.wiki/w/Mana_Fount</t>
  </si>
  <si>
    <t>https://dragalialost.wiki/w/Old_Harp</t>
  </si>
  <si>
    <t>Blinging Light</t>
  </si>
  <si>
    <t>Complete all Rise of the Sinister Dominion Quests on Legend Difficulty</t>
  </si>
  <si>
    <t>This was simply used to create the Endeavor list. This is outdated.</t>
  </si>
  <si>
    <t>Endeavor Details</t>
  </si>
  <si>
    <t>Reward Details</t>
  </si>
  <si>
    <t>Group</t>
  </si>
  <si>
    <t>Event Name</t>
  </si>
  <si>
    <t>R-Num</t>
  </si>
  <si>
    <t>Quantity</t>
  </si>
  <si>
    <t>CAMP</t>
  </si>
  <si>
    <t>Clear Ch. 01 1-3 of the Main Campaign (Normal)</t>
  </si>
  <si>
    <t>Clear Ch. 01 2-3 of the Main Campaign (Normal)</t>
  </si>
  <si>
    <t>Clear Ch. 01 3-3 of the Main Campaign (Normal)</t>
  </si>
  <si>
    <t>Clear Ch. 01 3-4 of the Main Campaign (Normal)</t>
  </si>
  <si>
    <t>Clear Ch. 01 4-6 of the Main Campaign (Normal)</t>
  </si>
  <si>
    <t>Clear Ch. 02 2-1 of the Main Campaign (Normal)</t>
  </si>
  <si>
    <t>Clear Ch. 02 6-2 of the Main Campaign (Normal)</t>
  </si>
  <si>
    <t>Clear Ch. 03 4-4 of the Main Campaign (Normal)</t>
  </si>
  <si>
    <t>Clear Ch. 04 5-4 of the Main Campaign (Normal)</t>
  </si>
  <si>
    <t>Clear Ch. 05 4-4 of the Main Campaign (Normal)</t>
  </si>
  <si>
    <t>Clear Ch. 06 4-4 of the Main Campaign (Normal)</t>
  </si>
  <si>
    <t>Clear Ch. 07 5-6 of the Main Campaign (Normal)</t>
  </si>
  <si>
    <t>Clear Ch. 08 5-4 of the Main Campaign (Normal)</t>
  </si>
  <si>
    <t>Clear Ch. 09 5-5 of the Main Campaign (Normal)</t>
  </si>
  <si>
    <t>Clear Ch. 10 6-3 of the Main Campaign (Normal)</t>
  </si>
  <si>
    <t>Clear Ch. 11 6-3 of the Main Campaign (Normal)</t>
  </si>
  <si>
    <t>Clear Ch. 12 4-7 of the Main Campaign (Normal)</t>
  </si>
  <si>
    <t>Clear Ch. 13 5-6 of the Main Campaign (Normal)</t>
  </si>
  <si>
    <t>Clear Ch. 13 5-9 of the Main Campaign (Normal)</t>
  </si>
  <si>
    <t>Clear Ch. 14 4-12 of the Main Campaign (Normal)</t>
  </si>
  <si>
    <t>Clear Ch. 14 4-9 of the Main Campaign (Normal)</t>
  </si>
  <si>
    <t>Clear Ch. 15 4-8 of the Main Campaign (Normal)</t>
  </si>
  <si>
    <t>Clear Ch. 16 4-6 of the Main Campaign (Normal)</t>
  </si>
  <si>
    <t>Clear Ch. 16 4-9 of the Main Campaign (Normal)</t>
  </si>
  <si>
    <t>Clear Ch. 17 5-4 of the Main Campaign (Normal)</t>
  </si>
  <si>
    <t>Clear Ch. 17 5-6 of the Main Campaign (Normal)</t>
  </si>
  <si>
    <t>Clear Ch. 18 5-3 of the Main Campaign (Normal)</t>
  </si>
  <si>
    <t>Clear Ch. 19 5-4 of the Main Campaign (Normal)</t>
  </si>
  <si>
    <t>Clear Ch. 20 7-5 of the Main Campaign (Normal)</t>
  </si>
  <si>
    <t>Clear Ch. 21 6-3 of the Main Campaign (Normal)</t>
  </si>
  <si>
    <t>Clear Ch. 22 5-4 of the Main Campaign (Normal)</t>
  </si>
  <si>
    <t>Clear Ch. 23 5-3 of the Main Campaign (Normal)</t>
  </si>
  <si>
    <t>Clear Ch. 24 5-6 of the Main Campaign (Normal)</t>
  </si>
  <si>
    <t>Clear Ch. 25 4-5 of the Main Campaign (Normal)</t>
  </si>
  <si>
    <t>Clear Ch. 26 5-7 of the Main Campaign (Normal)</t>
  </si>
  <si>
    <t>Clear Ch. 01 4-5 of the Main Campaign (Hard)</t>
  </si>
  <si>
    <t>Clear Ch. 02 6-1 of the Main Campaign (Hard)</t>
  </si>
  <si>
    <t>Clear Ch. 03 4-3 of the Main Campaign (Hard)</t>
  </si>
  <si>
    <t>Clear Ch. 05 4-3 of the Main Campaign (Hard)</t>
  </si>
  <si>
    <t>Clear Ch. 06 4-3 of the Main Campaign (Hard)</t>
  </si>
  <si>
    <t>Clear Ch. 07 5-5 of the Main Campaign (Hard)</t>
  </si>
  <si>
    <t>Clear Ch. 08 5-3 of the Main Campaign (Hard)</t>
  </si>
  <si>
    <t>Clear Ch. 09 5-4 of the Main Campaign (Hard)</t>
  </si>
  <si>
    <t>Clear Ch. 10 6-1 of the Main Campaign (Hard)</t>
  </si>
  <si>
    <t>Clear Ch. 11 6-2 of the Main Campaign (Hard)</t>
  </si>
  <si>
    <t>Clear Ch. 12 4-3 of the Main Campaign (Hard)</t>
  </si>
  <si>
    <t>Clear Ch. 13 5-4 of the Main Campaign (Hard)</t>
  </si>
  <si>
    <t>Clear Ch. 14 4-8 of the Main Campaign (Hard)</t>
  </si>
  <si>
    <t>Clear Ch. 15 4-5 of the Main Campaign (Hard)</t>
  </si>
  <si>
    <t>Clear Ch. 16 4-4 of the Main Campaign (Hard)</t>
  </si>
  <si>
    <t>Clear Ch. 17 5-2 of the Main Campaign (Hard)</t>
  </si>
  <si>
    <t>Clear Ch. 18 5-1 of the Main Campaign (Hard)</t>
  </si>
  <si>
    <t>Clear Ch. 19 5-3 of the Main Campaign (Hard)</t>
  </si>
  <si>
    <t>Clear Ch. 20 7-2 of the Main Campaign (Hard)</t>
  </si>
  <si>
    <t>Clear Ch. 21 6-2 of the Main Campaign (Hard)</t>
  </si>
  <si>
    <t>Clear Ch. 22 5-2 of the Main Campaign (Hard)</t>
  </si>
  <si>
    <t>Clear Ch. 23 5-2 of the Main Campaign (Hard)</t>
  </si>
  <si>
    <t>Clear Ch. 24 5-4 of the Main Campaign (Hard)</t>
  </si>
  <si>
    <t>Clear Ch. 25 4-4 of the Main Campaign (Hard)</t>
  </si>
  <si>
    <t>Clear Ch. 26 5-3 of the Main Campaign (Hard)</t>
  </si>
  <si>
    <t>Clear Ch. 01 4-5 of the Main Campaign (Very Hard)</t>
  </si>
  <si>
    <t>Clear Ch. 02 6-1 of the Main Campaign (Very Hard)</t>
  </si>
  <si>
    <t>Clear Ch. 03 4-3 of the Main Campaign (Very Hard)</t>
  </si>
  <si>
    <t>Clear Ch. 05 4-3 of the Main Campaign (Very Hard)</t>
  </si>
  <si>
    <t>Clear Ch. 06 4-3 of the Main Campaign (Very Hard)</t>
  </si>
  <si>
    <t>Clear Ch. 07 5-5 of the Main Campaign (Very Hard)</t>
  </si>
  <si>
    <t>Clear Ch. 08 5-3 of the Main Campaign (Very Hard)</t>
  </si>
  <si>
    <t>Clear Ch. 09 5-4 of the Main Campaign (Very Hard)</t>
  </si>
  <si>
    <t>Clear Ch. 10 6-1 of the Main Campaign (Very Hard)</t>
  </si>
  <si>
    <t>Clear Ch. 11 6-2 of the Main Campaign (Very Hard)</t>
  </si>
  <si>
    <t>Clear Ch. 12 4-3 of the Main Campaign (Very Hard)</t>
  </si>
  <si>
    <t>Clear Ch. 13 5-4 of the Main Campaign (Very Hard)</t>
  </si>
  <si>
    <t>Clear Ch. 14 4-8 of the Main Campaign (Very Hard)</t>
  </si>
  <si>
    <t>Clear Ch. 15 4-5 of the Main Campaign (Very Hard)</t>
  </si>
  <si>
    <t>Clear Ch. 16 4-4 of the Main Campaign (Very Hard)</t>
  </si>
  <si>
    <t>Clear Ch. 17 5-2 of the Main Campaign (Very Hard)</t>
  </si>
  <si>
    <t>Clear Ch. 18 5-1 of the Main Campaign (Very Hard)</t>
  </si>
  <si>
    <t>Clear Ch. 19 5-3 of the Main Campaign (Very Hard)</t>
  </si>
  <si>
    <t>Clear Ch. 20 7-2 of the Main Campaign (Very Hard)</t>
  </si>
  <si>
    <t>Clear Ch. 21 6-2 of the Main Campaign (Very Hard)</t>
  </si>
  <si>
    <t>Clear Ch. 22 5-2 of the Main Campaign (Very Hard)</t>
  </si>
  <si>
    <t>Clear Ch. 23 5-2 of the Main Campaign (Very Hard)</t>
  </si>
  <si>
    <t>Clear Ch. 24 5-4 of the Main Campaign (Very Hard)</t>
  </si>
  <si>
    <t>Clear Ch. 25 4-4 of the Main Campaign (Very Hard)</t>
  </si>
  <si>
    <t>Clear Ch. 26 5-3 of the Main Campaign (Very Hard)</t>
  </si>
  <si>
    <t>EDV-01</t>
  </si>
  <si>
    <t>EDV-1</t>
  </si>
  <si>
    <t>Other Normal Endeavors</t>
  </si>
  <si>
    <t>Shapeshift into a Dragon</t>
  </si>
  <si>
    <t>Upgrade an Adventurer</t>
  </si>
  <si>
    <t>Unbind an Adventurer's First Mana Circle</t>
  </si>
  <si>
    <t>Unbind an Adventurer's Second Mana Circle</t>
  </si>
  <si>
    <t>Unbind an Adventurer's Third Mana Circle</t>
  </si>
  <si>
    <t>Unbind an Adventurer's Fourth Mana Circle</t>
  </si>
  <si>
    <t>Unbind an Adventurer's Fifth Mana Circle</t>
  </si>
  <si>
    <t>Raise an Adventurer to Lv. 30</t>
  </si>
  <si>
    <t>Raise an Adventurer to Lv. 40</t>
  </si>
  <si>
    <t>Raise an Adventurer to Lv. 50</t>
  </si>
  <si>
    <t>Raise an Adventurer to Lv. 60</t>
  </si>
  <si>
    <t>Raise an Adventurer to Lv. 70</t>
  </si>
  <si>
    <t>Raise an Adventurer to Lv. 80</t>
  </si>
  <si>
    <t>Raise an Adventurer to Lv. 90</t>
  </si>
  <si>
    <t>Raise an Adventurer to Lv. 100</t>
  </si>
  <si>
    <t>Upgrade Any Facility to Lv. 5</t>
  </si>
  <si>
    <t>Upgrade Any Facility to Lv. 10</t>
  </si>
  <si>
    <t>Upgrade Any Facility to Lv. 15</t>
  </si>
  <si>
    <t>Upgrade Any Facility to Lv. 25</t>
  </si>
  <si>
    <t>Upgrade Any Facility to Lv. 35</t>
  </si>
  <si>
    <t>Upgrade Facilities 10 Times</t>
  </si>
  <si>
    <t>Upgrade Facilities 20 Times</t>
  </si>
  <si>
    <t>Upgrade Facilities 30 Times</t>
  </si>
  <si>
    <t>Upgrade Facilities 40 Times</t>
  </si>
  <si>
    <t>Upgrade Facilities 50 Times</t>
  </si>
  <si>
    <t>Upgrade Facilities 60 Times</t>
  </si>
  <si>
    <t>Upgrade Facilities 70 Times</t>
  </si>
  <si>
    <t>Upgrade Facilities 80 Times</t>
  </si>
  <si>
    <t>Upgrade Facilities 90 Times</t>
  </si>
  <si>
    <t>Upgrade Facilities 100 Times</t>
  </si>
  <si>
    <t>Upgrade Facilities 110 Times</t>
  </si>
  <si>
    <t>Use Crafting to Forge a Weapon</t>
  </si>
  <si>
    <t>Clear Avenue to Power: Beginner</t>
  </si>
  <si>
    <t>Clear Avenue to Power: Standard</t>
  </si>
  <si>
    <t>Clear Avenue to Power: Expert</t>
  </si>
  <si>
    <t>Clear Avenue to Power: Master</t>
  </si>
  <si>
    <t>Clear Avenue to Power</t>
  </si>
  <si>
    <t>Clear Avenue to Power Three Times</t>
  </si>
  <si>
    <t>Clear Avenue to Power Five Times</t>
  </si>
  <si>
    <t>Clear Avenue to Power 10 Times</t>
  </si>
  <si>
    <t>Clear Avenue to Fortune</t>
  </si>
  <si>
    <t>Clear Avenue to Fortune: Beginner</t>
  </si>
  <si>
    <t>Clear Avenue to Fortune: Standard</t>
  </si>
  <si>
    <t>Clear Avenue to Fortune: Expert</t>
  </si>
  <si>
    <t>Clear Avenue to Fortune: Master</t>
  </si>
  <si>
    <t>Clear Avenue to Fortune Three Times</t>
  </si>
  <si>
    <t>Clear Avenue to Fortune Five Times</t>
  </si>
  <si>
    <t>Clear an Elemental Ruin Using a Skip Ticket</t>
  </si>
  <si>
    <t>EDV-03</t>
  </si>
  <si>
    <t>Clear all Dragon Trials on Master</t>
  </si>
  <si>
    <t>Clear Midgardsormr's Trial: Beginner</t>
  </si>
  <si>
    <t>Clear Midgardsormr's Trial: Standard</t>
  </si>
  <si>
    <t>Clear Midgardsormr's Trial: Expert</t>
  </si>
  <si>
    <t>Clear Midgardsormr's Trial: Master</t>
  </si>
  <si>
    <t>Clear Mercury's Trial: Beginner</t>
  </si>
  <si>
    <t>Clear Mercury's Trial: Standard</t>
  </si>
  <si>
    <t>Clear Mercury's Trial: Expert</t>
  </si>
  <si>
    <t>Clear Mercury's Trial: Master</t>
  </si>
  <si>
    <t>Clear Brunhilda's Trial: Beginner</t>
  </si>
  <si>
    <t>Clear Brunhilda's Trial: Standard</t>
  </si>
  <si>
    <t>Clear Brunhilda's Trial: Expert</t>
  </si>
  <si>
    <t>Clear Brunhilda's Trial: Master</t>
  </si>
  <si>
    <t>Clear Jupiter's Trial: Beginner</t>
  </si>
  <si>
    <t>Clear Jupiter's Trial: Standard</t>
  </si>
  <si>
    <t>Clear Jupiter's Trial: Expert</t>
  </si>
  <si>
    <t>Clear Jupiter's Trial: Master</t>
  </si>
  <si>
    <t>Clear Zodiark's Trial: Beginner</t>
  </si>
  <si>
    <t>Clear Zodiark's Trial: Standard</t>
  </si>
  <si>
    <t>Clear Zodiark's Trial: Expert</t>
  </si>
  <si>
    <t>Clear Zodiark's Trial: Master</t>
  </si>
  <si>
    <t>EDV-06</t>
  </si>
  <si>
    <t>Clear Battle at Mount Adolla: Beginner</t>
  </si>
  <si>
    <t>Clear Battle at Mount Adolla: Standard</t>
  </si>
  <si>
    <t>Clear Battle at Mount Adolla: Expert</t>
  </si>
  <si>
    <t>Clear Battle at Mount Adolla: Master</t>
  </si>
  <si>
    <t>Clear Battle at Myriage Lake: Beginner</t>
  </si>
  <si>
    <t>Clear Battle at Myriage Lake: Standard</t>
  </si>
  <si>
    <t>Clear Battle at Myriage Lake: Expert</t>
  </si>
  <si>
    <t>Clear Battle at Myriage Lake: Master</t>
  </si>
  <si>
    <t>Clear Battle in Rovetelle Forest: Beginner</t>
  </si>
  <si>
    <t>Clear Battle in Rovetelle Forest: Standard</t>
  </si>
  <si>
    <t>Clear Battle in Rovetelle Forest: Expert</t>
  </si>
  <si>
    <t>Clear Battle in Rovetelle Forest: Master</t>
  </si>
  <si>
    <t>Clear Battle in the Dornith Mountains: Beginner</t>
  </si>
  <si>
    <t>Clear Battle in the Dornith Mountains: Standard</t>
  </si>
  <si>
    <t>Clear Battle in the Dornith Mountains: Expert</t>
  </si>
  <si>
    <t>Clear Battle in the Dornith Mountains: Master</t>
  </si>
  <si>
    <t>Clear Battle at the Wartarch Ruins: Beginner</t>
  </si>
  <si>
    <t>Clear Battle at the Wartarch Ruins: Standard</t>
  </si>
  <si>
    <t>Clear Battle at the Wartarch Ruins: Expert</t>
  </si>
  <si>
    <t>Clear Battle at the Wartarch Ruins: Master</t>
  </si>
  <si>
    <t>EDV-07</t>
  </si>
  <si>
    <t>Clear Scalding Shroom Strike</t>
  </si>
  <si>
    <t>Clear *WATER* Shroom Strike</t>
  </si>
  <si>
    <t>Clear Gust Shroom Strike</t>
  </si>
  <si>
    <t>Clear Wandering Shroom Strike</t>
  </si>
  <si>
    <t>Clear *SHADOW* Shroom Strike</t>
  </si>
  <si>
    <t>Clear Ghost Strikes (all elements)</t>
  </si>
  <si>
    <t>Clear Shroom Strikes (all elements)</t>
  </si>
  <si>
    <t>Clear Hermit Strikes (all elements)</t>
  </si>
  <si>
    <t>Clear Golem Strikes (all elements)</t>
  </si>
  <si>
    <t>Clear Catoblepas Strikes (all elements)</t>
  </si>
  <si>
    <t>Clear Phantom Strikes (all elements)</t>
  </si>
  <si>
    <t>Clear Smoldering Manticore Strike</t>
  </si>
  <si>
    <t>Clear Greedy Manticore Strike</t>
  </si>
  <si>
    <t>Clear *WIND* Manticore Strike</t>
  </si>
  <si>
    <t>Clear Proud Manticore Strike</t>
  </si>
  <si>
    <t>Clear Raging Manticore Strike</t>
  </si>
  <si>
    <t>Clear Void Zephyr Strike: Standard</t>
  </si>
  <si>
    <t>Clear Void Poseidon Strike: Standard</t>
  </si>
  <si>
    <t>Clear Void Agni Strike: Standard</t>
  </si>
  <si>
    <t>Clear Void Jeanne d'Arc Strike: Standard</t>
  </si>
  <si>
    <t>Clear Void Nidhogg Strike: Standard</t>
  </si>
  <si>
    <t>Clear Volcanic Chimera Strike: Standard</t>
  </si>
  <si>
    <t>Clear Tidal Chimera Strike: Standard</t>
  </si>
  <si>
    <t>Clear Tempest Chimera Strike: Standard</t>
  </si>
  <si>
    <t>Clear Luminous Chimera Strike: Standard</t>
  </si>
  <si>
    <t>Clear Ebon Chimera Strike: Standard</t>
  </si>
  <si>
    <t>Clear High Midgardsormr's Trial: Prelude</t>
  </si>
  <si>
    <t>Clear High Midgardsormr's Trial: Standard</t>
  </si>
  <si>
    <t>Clear High Mercury's Trial: Prelude</t>
  </si>
  <si>
    <t>Clear High Mercury's Trial: Standard</t>
  </si>
  <si>
    <t>Clear High Brunhilda's Trial: Prelude</t>
  </si>
  <si>
    <t>Clear High Brunhilda's Trial: Standard</t>
  </si>
  <si>
    <t>Clear High Jupiter's Trial: Prelude</t>
  </si>
  <si>
    <t>Clear High Jupiter's Trial: Standard</t>
  </si>
  <si>
    <t>Clear High Zodiark's Trial: Prelude</t>
  </si>
  <si>
    <t>Clear High Zodiark's Trial: Standard</t>
  </si>
  <si>
    <t>EDV-10</t>
  </si>
  <si>
    <t>Clear Agni's Trial: Standard</t>
  </si>
  <si>
    <t>Clear Asura's Trial (Light): Standard</t>
  </si>
  <si>
    <t>Clear Asura's Trial (Wind): Standard</t>
  </si>
  <si>
    <t>Clear Chthonius's Trial: Standard</t>
  </si>
  <si>
    <t>Clear Flame Legion's Trial: Standard</t>
  </si>
  <si>
    <t>Clear Grimnir's Trial: Standard</t>
  </si>
  <si>
    <t>Clear Harle's Trial: Standard</t>
  </si>
  <si>
    <t>Clear Iblis's Trial (Water): Standard</t>
  </si>
  <si>
    <t>Clear Iblis's Trial (Shadow): Standard</t>
  </si>
  <si>
    <t>Clear Jaldabaoth's Trial (Wind): Standard</t>
  </si>
  <si>
    <t>Clear Jaldabaoth's Trial (Water): Standard</t>
  </si>
  <si>
    <t>Clear Jeanne d'Arc's Trial: Standard</t>
  </si>
  <si>
    <t>Clear Kamuy's Trial: Standard</t>
  </si>
  <si>
    <t>Clear Light Legion's Trial: Standard</t>
  </si>
  <si>
    <t>Clear Lilith's Trial (Shadow): Standard</t>
  </si>
  <si>
    <t>Clear Lilith's Trial (Flame): Standard</t>
  </si>
  <si>
    <t>Clear Mars's Trial: Standard</t>
  </si>
  <si>
    <t>Clear Nidhogg's Trial: Standard</t>
  </si>
  <si>
    <t>Clear Poseidon's Trial: Standard</t>
  </si>
  <si>
    <t>Clear Shadow Legion's Trial: Standard</t>
  </si>
  <si>
    <t>Clear Surtr's Trial (Flame): Standard</t>
  </si>
  <si>
    <t>Clear Surtr's Trial (Light): Standard</t>
  </si>
  <si>
    <t>Clear Thor's Trial: Standard</t>
  </si>
  <si>
    <t>Clear Water Legion's Trial: Standard</t>
  </si>
  <si>
    <t>Clear Wind Legion's Trial: Standard</t>
  </si>
  <si>
    <t>Clear Zephyr's Trial: Standard</t>
  </si>
  <si>
    <t>Clear Volk's Wrath: Standard</t>
  </si>
  <si>
    <t>Clear Volk's Wrath: Expert</t>
  </si>
  <si>
    <t>Clear Volk's Wrath: Master</t>
  </si>
  <si>
    <t>Clear Ayaha &amp; Otoha's Wrath: Standard</t>
  </si>
  <si>
    <t>Clear Ciella's Wrath: Expert</t>
  </si>
  <si>
    <t>Clear Ciella's Wrath: Master</t>
  </si>
  <si>
    <t>Clear Ciella's Wrath: Standard</t>
  </si>
  <si>
    <t>Clear Ayaha &amp; Otoha's Wrath: Expert</t>
  </si>
  <si>
    <t>Clear Ayaha &amp; Otoha's Wrath: Master</t>
  </si>
  <si>
    <t>Clear Kai Yan's Wrath: Standard</t>
  </si>
  <si>
    <t>Clear Kai Yan's Wrath: Expert</t>
  </si>
  <si>
    <t>Clear Kai Yan's Wrath: Master</t>
  </si>
  <si>
    <t>Clear Tartarus's Wrath: Standard</t>
  </si>
  <si>
    <t>Clear Tartarus's Wrath: Expert</t>
  </si>
  <si>
    <t>Clear Tartarus's Wrath: Master</t>
  </si>
  <si>
    <t>EDV-16</t>
  </si>
  <si>
    <t>Clear Jaldabaoth's Piercing Gale: Standard</t>
  </si>
  <si>
    <t>Clear Jaldabaoth's Piercing Gale: Expert</t>
  </si>
  <si>
    <t>Clear Jaldabaoth's Piercing Gale: Master</t>
  </si>
  <si>
    <t>Clear Iblis's Surging Cascade: Standard</t>
  </si>
  <si>
    <t>Clear Iblis's Surging Cascade: Expert</t>
  </si>
  <si>
    <t>Clear Iblis's Surging Cascade: Master</t>
  </si>
  <si>
    <t>Clear Surtr's Devouring Flame: Standard</t>
  </si>
  <si>
    <t>Clear Surtr's Devouring Flame: Expert</t>
  </si>
  <si>
    <t>Clear Surtr's Devouring Flame: Master</t>
  </si>
  <si>
    <t>Clear Asura's Blinding Light: Standard</t>
  </si>
  <si>
    <t>Clear Asura's Blinding Light: Expert</t>
  </si>
  <si>
    <t>Clear Asura's Blinding Light: Master</t>
  </si>
  <si>
    <t>Clear Lilith's Encroaching Shadow: Standard</t>
  </si>
  <si>
    <t>Clear Lilith's Encroaching Shadow: Expert</t>
  </si>
  <si>
    <t>Clear Lilith's Encroaching Shadow: Master</t>
  </si>
  <si>
    <t>Clear Jaldabaoth's Piercing Gale: Legend</t>
  </si>
  <si>
    <t>Clear Iblis's Surging Cascade: Legend</t>
  </si>
  <si>
    <t>Clear Surtr's Devouring Flame: Legend</t>
  </si>
  <si>
    <t>Clear Asura's Blinding Light: Legend</t>
  </si>
  <si>
    <t>Clear Lilith's Encroaching Shadow: Legend</t>
  </si>
  <si>
    <t>Clear all Rise of the Sinister Dominion Quests on Legend</t>
  </si>
  <si>
    <t>Clear Primal Midgardsormr's Trial: Expert</t>
  </si>
  <si>
    <t>Clear Primal Brunhilda's Trial: Expert</t>
  </si>
  <si>
    <t>Clear Primal Mercury's Trial: Expert</t>
  </si>
  <si>
    <t>Clear Primal Jupiter's Trial: Expert</t>
  </si>
  <si>
    <t>Clear Primal Zodiark's Trial: Expert</t>
  </si>
  <si>
    <t>Clear Magma Onslaught</t>
  </si>
  <si>
    <t>Clear Assault on Archeole: Expert</t>
  </si>
  <si>
    <t>Clear Phraeganoth Clash: Expert</t>
  </si>
  <si>
    <t>Clear a Boss Battle on Expert</t>
  </si>
  <si>
    <t>Clear a Raid Battle on Expert</t>
  </si>
  <si>
    <t>Clear Three Boss Battles</t>
  </si>
  <si>
    <t>Clear Three Raid Battles</t>
  </si>
  <si>
    <t>Clear Five Boss Battles</t>
  </si>
  <si>
    <t>Clear Five Raid Battles</t>
  </si>
  <si>
    <t>Clear a Raid Battle on Nightmare</t>
  </si>
  <si>
    <t>Clear Trees in the Twilight</t>
  </si>
  <si>
    <t>Clear Lantern o' Laughs</t>
  </si>
  <si>
    <t>Clear Squash the Pumpking: Beginner</t>
  </si>
  <si>
    <t>Clear Squash the Pumpking: Standard</t>
  </si>
  <si>
    <t>Clear Squash the Pumpking: Expert</t>
  </si>
  <si>
    <t>Clear Halloween Horrors: Expert</t>
  </si>
  <si>
    <t>Clear Halloween Horrors: Master</t>
  </si>
  <si>
    <t>Clear a Boss Battle on Beginner</t>
  </si>
  <si>
    <t>Snack-o'-Lantern</t>
  </si>
  <si>
    <t>Clear a Boss Battle on Standard</t>
  </si>
  <si>
    <t>Completely Clear a Challenge Battle on Expert</t>
  </si>
  <si>
    <t>Completely Clear a Challenge Battle on Master</t>
  </si>
  <si>
    <t>Clear a Quest with Plunder Pals Equipped</t>
  </si>
  <si>
    <t>Clear Three Challenge Battles</t>
  </si>
  <si>
    <t>Clear Five Challenge Battles</t>
  </si>
  <si>
    <t>Clear Seven Boss Battles</t>
  </si>
  <si>
    <t>Clear Seven Challenge Battles</t>
  </si>
  <si>
    <t>Clear Melsa's Inkling</t>
  </si>
  <si>
    <t>Clear Storm Sentinel Clash: Expert</t>
  </si>
  <si>
    <t>Clear Hypnos Clash: Expert</t>
  </si>
  <si>
    <t>Clear Hypnos Clash: Nightmare</t>
  </si>
  <si>
    <t>Windwhistle Grass</t>
  </si>
  <si>
    <t>Clear Defending the Village</t>
  </si>
  <si>
    <t>Clear Fiend Alert!: Beginner</t>
  </si>
  <si>
    <t>Clear Fiend Alert!: Standard</t>
  </si>
  <si>
    <t>Clear Fiend Alert!: Expert</t>
  </si>
  <si>
    <t>Clear Ruler of the Shore: Expert</t>
  </si>
  <si>
    <t>Clear Ruler of the Shore: Master</t>
  </si>
  <si>
    <t>Clear a Quest with Louise's Hobbies Equipped</t>
  </si>
  <si>
    <t>Clear Forward Without Hesitation</t>
  </si>
  <si>
    <t>Clear Banishing the Darkness Within</t>
  </si>
  <si>
    <t>Clear Manticore Assault: Expert</t>
  </si>
  <si>
    <t>Clear Sabnock Clash: Expert</t>
  </si>
  <si>
    <t>Clear Sabnock Clash: EX</t>
  </si>
  <si>
    <t>Clear Sabnock Clash: Nightmare</t>
  </si>
  <si>
    <t>Read Episode 5 of the Event Story</t>
  </si>
  <si>
    <t>Astral Ornament</t>
  </si>
  <si>
    <t>Clear Dazzling Delusions: Expert</t>
  </si>
  <si>
    <t>Clear Season's Beatings: Expert</t>
  </si>
  <si>
    <t>Clear Season's Beatings: Master</t>
  </si>
  <si>
    <t>Clear a Quest with A Slice of Dragonyule Equipped</t>
  </si>
  <si>
    <t>Clear Field Trip into Town</t>
  </si>
  <si>
    <t>Clear Rescue Botan!</t>
  </si>
  <si>
    <t>Clear Moonlight March</t>
  </si>
  <si>
    <t>Clear Ieyasu's Crucible: Standard</t>
  </si>
  <si>
    <t>Clear Ieyasu's Crucible: Expert</t>
  </si>
  <si>
    <t>Clear Shishimai Showdown: Beginner</t>
  </si>
  <si>
    <t>Clear Shishimai Showdown: Expert</t>
  </si>
  <si>
    <t>Clear Shishimai Showdown: EX</t>
  </si>
  <si>
    <t>Clear Shishimai Showdown: Nightmare</t>
  </si>
  <si>
    <t>Clear Practice in the Poison Swamp</t>
  </si>
  <si>
    <t>Clear Welcome to the Fiend Circus: Beginner</t>
  </si>
  <si>
    <t>Clear Welcome to the Fiend Circus: Standard</t>
  </si>
  <si>
    <t>Clear Welcome to the Fiend Circus: Expert</t>
  </si>
  <si>
    <t>Clear Top Star Trial: Expert</t>
  </si>
  <si>
    <t>Clear Top Star Trial: Master</t>
  </si>
  <si>
    <t>Tent Canvas</t>
  </si>
  <si>
    <t>Clear a Quest with Astounding Trick Equipped</t>
  </si>
  <si>
    <t>Clear To the Dragon-Vein Spring</t>
  </si>
  <si>
    <t>Clear Bogged Down</t>
  </si>
  <si>
    <t>Clear Bounties for the Brave</t>
  </si>
  <si>
    <t>Clear Return to the Spring</t>
  </si>
  <si>
    <t>Clear Gaggles of Geysers</t>
  </si>
  <si>
    <t>Clear Aquatic Cyclops Assault: Expert</t>
  </si>
  <si>
    <t>Clear Valfarre Clash: Expert</t>
  </si>
  <si>
    <t>Clear Valfarre Clash: EX</t>
  </si>
  <si>
    <t>Clear Valfarre Clash: Nightmare</t>
  </si>
  <si>
    <t>Clear Valfarre Clash: Omega</t>
  </si>
  <si>
    <t>Clear All-Out Assault: Beginner</t>
  </si>
  <si>
    <t>Clear All-Out Assault: Standard</t>
  </si>
  <si>
    <t>Clear All-Out Assault: Expert</t>
  </si>
  <si>
    <t>Clear All-Out Assault: Master</t>
  </si>
  <si>
    <t>Clear All-Out Assault: EX</t>
  </si>
  <si>
    <t>Clear a Quest on Beginner Three Times</t>
  </si>
  <si>
    <t>Clear a Quest on Standard Three Times</t>
  </si>
  <si>
    <t>Clear a Quest on Expert Three Times</t>
  </si>
  <si>
    <t>Clear a All-Out Assault on Expert</t>
  </si>
  <si>
    <t>Clear a Quest on Master Three Times</t>
  </si>
  <si>
    <t>Clear a All-Out Assault on Master</t>
  </si>
  <si>
    <t>Clear All-Out Assault EX</t>
  </si>
  <si>
    <t>Clear Save Phantom!</t>
  </si>
  <si>
    <t>Clear Guardian Sentinel Assault: Expert</t>
  </si>
  <si>
    <t>Clear Thanatos Clash: Nightmare</t>
  </si>
  <si>
    <t>Arcane Tome</t>
  </si>
  <si>
    <t>Clear The Crawling Nightmare: Beginner</t>
  </si>
  <si>
    <t>Clear The Crawling Nightmare: Standard</t>
  </si>
  <si>
    <t>Clear The Crawling Nightmare: Expert</t>
  </si>
  <si>
    <t>Clear Chaos's Calling: Expert</t>
  </si>
  <si>
    <t>Clear Chaos's Calling: Master</t>
  </si>
  <si>
    <t>Clear a Quest with Hitting the Books Equipped</t>
  </si>
  <si>
    <t>Papier-mâché</t>
  </si>
  <si>
    <t>Clear The Search for the Egg</t>
  </si>
  <si>
    <t>Clear The Vernal Games Warm-Ups: Beginner</t>
  </si>
  <si>
    <t>Clear The Vernal Games Warm-Ups: Standard</t>
  </si>
  <si>
    <t>Clear The Vernal Games Warm-Ups: Expert</t>
  </si>
  <si>
    <t>Clear Full-Bloom Festivities: Expert</t>
  </si>
  <si>
    <t>Clear Full-Bloom Festivities: Master</t>
  </si>
  <si>
    <t>Clear a Quest with A Mother's Love Equipped</t>
  </si>
  <si>
    <t>Clear Repel the Empire!</t>
  </si>
  <si>
    <t>Clear Repel the Empire: Normal</t>
  </si>
  <si>
    <t>Clear Repel the Empire: Hard</t>
  </si>
  <si>
    <t>Clear Repel the Empire: Lunatic</t>
  </si>
  <si>
    <t>Clear The Alberian Front: Normal</t>
  </si>
  <si>
    <t>Clear The Alberian Front: Lunatic</t>
  </si>
  <si>
    <t>Clear Veronica's Trial</t>
  </si>
  <si>
    <t>Clear Cyclops Assault: Expert</t>
  </si>
  <si>
    <t>Clear Qitian Dasheng Clash: Expert</t>
  </si>
  <si>
    <t>Clear A Deadly Drill</t>
  </si>
  <si>
    <t>Clear Arctos's Trial: Standard</t>
  </si>
  <si>
    <t>Clear Arctos's Trial: Expert</t>
  </si>
  <si>
    <t>Clear The Path to Mastery: Expert</t>
  </si>
  <si>
    <t>Clear The Path to Mastery: Master</t>
  </si>
  <si>
    <t>Motivational Log</t>
  </si>
  <si>
    <t>Clear a Quest with The Dragon Smiths Equipped</t>
  </si>
  <si>
    <t>Clear Tangled in Traps</t>
  </si>
  <si>
    <t>Clear The Counteroffensive</t>
  </si>
  <si>
    <t>Clear Giant Ember Toad Assault: Beginner</t>
  </si>
  <si>
    <t>Clear Giant Ember Toad Assault: Expert</t>
  </si>
  <si>
    <t>Clear Barbary Clash: Expert</t>
  </si>
  <si>
    <t>Clear Barbary Clash: EX</t>
  </si>
  <si>
    <t>Clear Barbary Clash: Nightmare</t>
  </si>
  <si>
    <t>Clear Barbary Clash: Omega</t>
  </si>
  <si>
    <t>Clear A Fiendish Performance: Beginner</t>
  </si>
  <si>
    <t>Clear A Fiendish Performance: Standard</t>
  </si>
  <si>
    <t>Clear A Fiendish Performance: Expert</t>
  </si>
  <si>
    <t>Clear Can't Stop the Beatdown!: Expert</t>
  </si>
  <si>
    <t>Clear Can't Stop the Beatdown!: Master</t>
  </si>
  <si>
    <t>Glam Shell</t>
  </si>
  <si>
    <t>Clear a Quest with Surfing Siblings Equipped</t>
  </si>
  <si>
    <t>Clear A Light in the Darkness</t>
  </si>
  <si>
    <t>Clear The Decisive Battle</t>
  </si>
  <si>
    <t>Clear Time's End</t>
  </si>
  <si>
    <t>Clear Shining Cyclops Assault: Expert</t>
  </si>
  <si>
    <t>Clear Chronos Nyx Clash: Nightmare</t>
  </si>
  <si>
    <t>Clear Chronos Nyx Clash: Omega</t>
  </si>
  <si>
    <t>Clear Brainwashed Midgardsormr: Beginner</t>
  </si>
  <si>
    <t>Clear Brainwashed Mercury: Beginner</t>
  </si>
  <si>
    <t>Clear Brainwashed Brunhilda: Beginner</t>
  </si>
  <si>
    <t>Clear Brainwashed Jupiter: Beginner</t>
  </si>
  <si>
    <t>Clear Brainwashed Zodiark: Beginner</t>
  </si>
  <si>
    <t>Clear Wily Machine 2: Beginner</t>
  </si>
  <si>
    <t>Clear Into the Woods</t>
  </si>
  <si>
    <t>Clear Wild Cat Chase</t>
  </si>
  <si>
    <t>Clear Subdue the Snapper: Beginner</t>
  </si>
  <si>
    <t>Clear Subdue the Snapper!: Expert</t>
  </si>
  <si>
    <t>Clear Ebisu Showdown: Expert</t>
  </si>
  <si>
    <t>Clear Ebisu Showdown: EX</t>
  </si>
  <si>
    <t>Clear Ebisu Showdown: Nightmare</t>
  </si>
  <si>
    <t>Clear Ebisu Showdown: Omega 1</t>
  </si>
  <si>
    <t>Clear The King's Descent</t>
  </si>
  <si>
    <t>Clear The Dreadking's Domain</t>
  </si>
  <si>
    <t>Clear Encounter with a Legend</t>
  </si>
  <si>
    <t>Clear Rathalos Assault: High Rank</t>
  </si>
  <si>
    <t>Clear Fatalis Clash: G★★</t>
  </si>
  <si>
    <t>Clear Fatalis Clash: EX</t>
  </si>
  <si>
    <t>Clear Fatalis Clash: G★★★</t>
  </si>
  <si>
    <t>Clear Fatalis Clash: G★★★★</t>
  </si>
  <si>
    <t>Clear Trials: Rathalos's Trial</t>
  </si>
  <si>
    <t>Clear Trials: Advanced Trial</t>
  </si>
  <si>
    <t>Clear Trials: Dreadking's Trial</t>
  </si>
  <si>
    <t>Clear Nature's Bounty - À La Carte: Beginner</t>
  </si>
  <si>
    <t>Clear Nature's Bounty - À La Carte: Standard</t>
  </si>
  <si>
    <t>Clear Nature's Bounty - À La Carte: Expert</t>
  </si>
  <si>
    <t>Clear Survival of the Hungriest: Expert</t>
  </si>
  <si>
    <t>Clear Survival of the Hungriest: Master</t>
  </si>
  <si>
    <t>Clear Upgrade The Hungerdome to Lv. 35</t>
  </si>
  <si>
    <t>Clear a Quest withBerry Lovable Friends Equipped</t>
  </si>
  <si>
    <t>Clear Hour of Retribution</t>
  </si>
  <si>
    <t>Clear Light Manticore Assault: Standard</t>
  </si>
  <si>
    <t>Clear Light Manticore Assault: Expert</t>
  </si>
  <si>
    <t>Clear Aspidochelone Clash: Expert</t>
  </si>
  <si>
    <t>Clear Aspidochelone Clash: EX</t>
  </si>
  <si>
    <t>Clear Aspidochelone Clash: Nightmare</t>
  </si>
  <si>
    <t>Clear Aspidochelone Clash: Omega 1</t>
  </si>
  <si>
    <t>Clear Thórr's Hammer</t>
  </si>
  <si>
    <t>Clear Battle with Peony: Hard</t>
  </si>
  <si>
    <t>Clear Battle with Tiki: Hard</t>
  </si>
  <si>
    <t>Clear Battle with Chrom: Hard</t>
  </si>
  <si>
    <t>Clear Thórr's Descent: Normal</t>
  </si>
  <si>
    <t>Clear Escaping the Cave</t>
  </si>
  <si>
    <t>Clear Fighting for a Chance</t>
  </si>
  <si>
    <t>Clear Defying Xuan Zang: Expert</t>
  </si>
  <si>
    <t>Clear Mei Hou Wang Clash: Expert</t>
  </si>
  <si>
    <t>Clear Mei Hou Wang Clash: EX</t>
  </si>
  <si>
    <t>Clear Mei Hou Wang Clash: Nightmare</t>
  </si>
  <si>
    <t>Clear Mei Hou Wang Clash: Omega 1</t>
  </si>
  <si>
    <t>Clear Frenetic Fiend Festival: Standard</t>
  </si>
  <si>
    <t>Clear Frenetic Fiend Festival: Expert</t>
  </si>
  <si>
    <t>Clear Raging Festivities: Expert</t>
  </si>
  <si>
    <t>Clear Raging Festivities: Master</t>
  </si>
  <si>
    <t>Ornate Lantern</t>
  </si>
  <si>
    <t>Clear a Quest with Best Buds Equipped</t>
  </si>
  <si>
    <t>Clear Defensive Battle: Master</t>
  </si>
  <si>
    <t>Clear Defensive Battle: EX</t>
  </si>
  <si>
    <t>Clear a Defensive Battle on Expert</t>
  </si>
  <si>
    <t>Clear a Defensive Battle on Master</t>
  </si>
  <si>
    <t>Clear Defensive Battle EX</t>
  </si>
  <si>
    <t>Clear Assault on Admiral Pincers: Beginner</t>
  </si>
  <si>
    <t>Clear Assault on Admiral Pincers: Expert</t>
  </si>
  <si>
    <t>Clear Scylla Clash: Expert</t>
  </si>
  <si>
    <t>Clear Scylla Clash: EX</t>
  </si>
  <si>
    <t>Clear Scylla Clash: Nightmare</t>
  </si>
  <si>
    <t>Clear Scylla Clash: Omega 1</t>
  </si>
  <si>
    <t>Clear Scylla Clash: Omega 2</t>
  </si>
  <si>
    <t>Clear The Goddess's Will: Beginner</t>
  </si>
  <si>
    <t>Clear The Goddess's Will: Expert</t>
  </si>
  <si>
    <t>Clear Divine Deliverance: Expert</t>
  </si>
  <si>
    <t>Clear Divine Deliverance: Master</t>
  </si>
  <si>
    <t>Holy Ore</t>
  </si>
  <si>
    <t>Clear a Quest with Wings of the Night Equipped</t>
  </si>
  <si>
    <t>Clear Android Attack</t>
  </si>
  <si>
    <t>Clear The War of Binding's Climax</t>
  </si>
  <si>
    <t>Clear Assault on Zephyr: Expert</t>
  </si>
  <si>
    <t>Clear Morsayati Clash: Expert</t>
  </si>
  <si>
    <t>Clear Morsayati Clash: EX</t>
  </si>
  <si>
    <t>Clear Morsayati Clash: Nightmare</t>
  </si>
  <si>
    <t>Clear Morsayati Clash: Omega 1</t>
  </si>
  <si>
    <t>Clear Fiend Opera Overture: Expert</t>
  </si>
  <si>
    <t>Clear Fiend Opera Gala: Expert</t>
  </si>
  <si>
    <t>Clear Fiend Opera Gala: Master</t>
  </si>
  <si>
    <t>Clear A Duel with the Phantom Thief: Standard</t>
  </si>
  <si>
    <t xml:space="preserve">Libretto </t>
  </si>
  <si>
    <t>Clear a Quest with Enter the Blue Rose! Equipped</t>
  </si>
  <si>
    <t>E-41</t>
  </si>
  <si>
    <t>Clear Defensive Battle: Field Training</t>
  </si>
  <si>
    <t>Clear A Pre-adventure Meal</t>
  </si>
  <si>
    <t>Clear Flame Manticore Assault: Expert</t>
  </si>
  <si>
    <t>Clear Aether Clash: Expert</t>
  </si>
  <si>
    <t>Clear Aether Clash: Nightmare</t>
  </si>
  <si>
    <t>Clear Pecorine's Trial</t>
  </si>
  <si>
    <t>Clear Through the Barrier</t>
  </si>
  <si>
    <t>Clear Repelling Yoshitsune: Expert</t>
  </si>
  <si>
    <t>Clear Shikigami Clash: Expert</t>
  </si>
  <si>
    <t>Clear Shikigami Clash: Nightmare</t>
  </si>
  <si>
    <t>Clear Shikigami Clash: Omega 1</t>
  </si>
  <si>
    <t>E-45</t>
  </si>
  <si>
    <t>Participate in the Fortune Fighters Tournament and Collect an Exclusive Reward</t>
  </si>
  <si>
    <t>Clear Tournament Finals</t>
  </si>
  <si>
    <t>Clear Exhibition Match: EX</t>
  </si>
  <si>
    <t>Clear Exhibition Match: Encore EX</t>
  </si>
  <si>
    <t>Win the Second Preliminary Round and Collect an Exclusive Reward</t>
  </si>
  <si>
    <t>Win the Third Preliminary Round and Collect an Exclusive Reward</t>
  </si>
  <si>
    <t>Win the Tournament Finals and Collect an Exclusive Reward</t>
  </si>
  <si>
    <t>Clear Exhibition Match EX</t>
  </si>
  <si>
    <t>Clear Take Your Heart</t>
  </si>
  <si>
    <t>Clear Warden Assault: Expert</t>
  </si>
  <si>
    <t>Clear Monarch Emile Clash: Expert</t>
  </si>
  <si>
    <t>Clear Monarch Emile Clash: EX</t>
  </si>
  <si>
    <t>Clear Monarch Emile Clash: Nightmare</t>
  </si>
  <si>
    <t>Clear Joker's Trial: Standard</t>
  </si>
  <si>
    <t>Clear Sophie's Trial: Standard</t>
  </si>
  <si>
    <t>Clear The False Demon's Revenge</t>
  </si>
  <si>
    <t>Clear Active Investigation: Expert</t>
  </si>
  <si>
    <t>Clear In Pursuit of Truth: Master</t>
  </si>
  <si>
    <t xml:space="preserve">Sacred Stone </t>
  </si>
  <si>
    <t>Clear a Quest with Extreme Teamwork Equipped</t>
  </si>
  <si>
    <t>E-49</t>
  </si>
  <si>
    <t>Clear Elysium Clash (Fixed)</t>
  </si>
  <si>
    <t>Clear Repelling Imperial Forces: Beginner</t>
  </si>
  <si>
    <t>Clear Repelling Imperial Forces: Expert</t>
  </si>
  <si>
    <t>Clear Elysium Clash: Expert</t>
  </si>
  <si>
    <t>Clear Elysium Clash: EX</t>
  </si>
  <si>
    <t>Clear Elysium Clash: Nightmare</t>
  </si>
  <si>
    <t>Clear Elysium Clash: Omega 1</t>
  </si>
  <si>
    <t>E-51</t>
  </si>
  <si>
    <t>E-52</t>
  </si>
  <si>
    <t>Clear Aquatic Cyclops Assaul: Expert</t>
  </si>
  <si>
    <t>Clear Chronos Nyx Clash: Expert</t>
  </si>
  <si>
    <t>Clear Chronos Nyx Clash: EX</t>
  </si>
  <si>
    <t>Clear Roar of the Mad Cyclone</t>
  </si>
  <si>
    <t>E-53</t>
  </si>
  <si>
    <t>Clear Repelling the Forest's Aggressors: Master</t>
  </si>
  <si>
    <t>Clear Guardians of the Wood: Standard</t>
  </si>
  <si>
    <t>Clear Repelling the Forest's Aggressors: Expert</t>
  </si>
  <si>
    <t>Clear an Invasion on Standard</t>
  </si>
  <si>
    <t>Clear an Invasion on Expert</t>
  </si>
  <si>
    <t>Clear an Invasion Three Times</t>
  </si>
  <si>
    <t xml:space="preserve">Clear a Trial on Standard	</t>
  </si>
  <si>
    <t xml:space="preserve">Clear a Trial on Expert	</t>
  </si>
  <si>
    <t xml:space="preserve">Clear a Trial on Master	</t>
  </si>
  <si>
    <t>Clear a Trial Three Times</t>
  </si>
  <si>
    <t>E-55</t>
  </si>
  <si>
    <t>Clear The Stirring Abyss: Expert</t>
  </si>
  <si>
    <t>Clear Tempestuous Assault: Master</t>
  </si>
  <si>
    <t>Clear Wrath of Leviathan: Standard</t>
  </si>
  <si>
    <t>Tidal Tears</t>
  </si>
  <si>
    <t>Clear a Quest with Having a Summer Ball Equipped</t>
  </si>
  <si>
    <t>E-57</t>
  </si>
  <si>
    <t>Clear Survival Island</t>
  </si>
  <si>
    <t>Clear Assault on Commodore Pincers: Expert</t>
  </si>
  <si>
    <t>Clear Kanaloa Clash: Expert</t>
  </si>
  <si>
    <t>Clear Kanaloa Clash: EX</t>
  </si>
  <si>
    <t>Clear Kanaloa Clash: Nightmare</t>
  </si>
  <si>
    <t>E-59</t>
  </si>
  <si>
    <t>Clear Repelling the Forces of Grams: Expert</t>
  </si>
  <si>
    <t>Clear Repelling the Forces of Grams: Master</t>
  </si>
  <si>
    <t>Clear A Duel with the Black Raven: Standard</t>
  </si>
  <si>
    <t>Clear A Duel with the Black Raven: Expert</t>
  </si>
  <si>
    <t>E-61</t>
  </si>
  <si>
    <t>Clear The Might of Heaven</t>
  </si>
  <si>
    <t>Clear Assault on Michael: Expert</t>
  </si>
  <si>
    <t>Clear Asura Clash: Expert</t>
  </si>
  <si>
    <t>Clear Asura Clash: Nightmare</t>
  </si>
  <si>
    <t>Clear Assault on Lilith: Expert</t>
  </si>
  <si>
    <t>Clear Basileus's Trial: Standard</t>
  </si>
  <si>
    <t xml:space="preserve">Conductive Bolt </t>
  </si>
  <si>
    <t>Clear Choreography Class: Expert</t>
  </si>
  <si>
    <t>Clear Theatrical Throwdown: Master</t>
  </si>
  <si>
    <t>Clear The Creature's Curtain Call: Standard</t>
  </si>
  <si>
    <t>Clear a Quest with A Halloween Spectacular! Equipped</t>
  </si>
  <si>
    <t>E-65</t>
  </si>
  <si>
    <t>Clear Repelling the Frosty Fiends: Expert</t>
  </si>
  <si>
    <t>Clear Repelling the Frosty Fiends: Master</t>
  </si>
  <si>
    <t>Clear The Angelic Herald: Standard</t>
  </si>
  <si>
    <t>Clear The Angelic Herald: Expert</t>
  </si>
  <si>
    <t>Clear The Angelic Herald: Master</t>
  </si>
  <si>
    <t>Clear The Underworld's Offensive</t>
  </si>
  <si>
    <t>Clear Water Manticore Assault: Expert</t>
  </si>
  <si>
    <t>Clear Tsukuyomi Clash: Expert</t>
  </si>
  <si>
    <t>Clear Tsukuyomi Clash: Nightmare</t>
  </si>
  <si>
    <t>Clear Tsukuyomi Clash: Omega 1</t>
  </si>
  <si>
    <t>Clear Repelling the Black Mana Forces: Expert</t>
  </si>
  <si>
    <t>Clear Repelling the Black Mana Forces: Master</t>
  </si>
  <si>
    <t>Clear A Twisted Hero: Standard</t>
  </si>
  <si>
    <t>Clear A Twisted Hero: Expert</t>
  </si>
  <si>
    <t>Clear A Twisted Hero: Master</t>
  </si>
  <si>
    <t>Clear Repelling the Imperial Forces: Expert</t>
  </si>
  <si>
    <t>Clear Repelling the Imperial Forces: Master</t>
  </si>
  <si>
    <t>Clear Emile's Trial: Standard</t>
  </si>
  <si>
    <t>Clear Emile's Trial: Expert</t>
  </si>
  <si>
    <t>Clear Emile's Trial: Master</t>
  </si>
  <si>
    <t>Clear The Second Coming of Satan</t>
  </si>
  <si>
    <t>Clear Volcanic Cyclops Assault: Expert</t>
  </si>
  <si>
    <t>Clear True Bahamut Clash: Expert</t>
  </si>
  <si>
    <t>Clear True Bahamut Clash: Nightmare</t>
  </si>
  <si>
    <t>TMG</t>
  </si>
  <si>
    <t>Mercurial Gauntlet</t>
  </si>
  <si>
    <t>Clear The Mercurial Gauntlet</t>
  </si>
  <si>
    <t>Clear Lv. 02 of The Mercurial Gauntlet in All Elements</t>
  </si>
  <si>
    <t>Clear Lv. 04 of The Mercurial Gauntlet in All Elements</t>
  </si>
  <si>
    <t>Clear Lv. 06 of The Mercurial Gauntlet in All Elements</t>
  </si>
  <si>
    <t>Clear Lv. 08 of The Mercurial Gauntlet in All Elements</t>
  </si>
  <si>
    <t>Clear Lv. 10 of The Mercurial Gauntlet in All Elements</t>
  </si>
  <si>
    <t>Clear Lv. 12 of The Mercurial Gauntlet in All Elements</t>
  </si>
  <si>
    <t>Clear Lv. 14 of The Mercurial Gauntlet in All Elements</t>
  </si>
  <si>
    <t>Clear Lv. 16 of The Mercurial Gauntlet in All Elements</t>
  </si>
  <si>
    <t>Clear Lv. 18 of The Mercurial Gauntlet in All Elements</t>
  </si>
  <si>
    <t>Clear Lv. 20 of The Mercurial Gauntlet in All Elements</t>
  </si>
  <si>
    <t>Clear Lv. 22 of The Mercurial Gauntlet in All Elements</t>
  </si>
  <si>
    <t>Clear Lv. 24 of The Mercurial Gauntlet in All Elements</t>
  </si>
  <si>
    <t>Clear Lv. 26 of The Mercurial Gauntlet in All Elements</t>
  </si>
  <si>
    <t>Clear Lv. 28 of The Mercurial Gauntlet in All Elements</t>
  </si>
  <si>
    <t>Clear Lv. 30 of The Mercurial Gauntlet in All Elements</t>
  </si>
  <si>
    <t>Clear Lv. 32 of The Mercurial Gauntlet in All Elements</t>
  </si>
  <si>
    <t>Clear Lv. 34 of The Mercurial Gauntlet in All Elements</t>
  </si>
  <si>
    <t>Clear Lv. 36 of The Mercurial Gauntlet in All Elements</t>
  </si>
  <si>
    <t>Clear Lv. 38 of The Mercurial Gauntlet in All Elements</t>
  </si>
  <si>
    <t>Omnicite</t>
  </si>
  <si>
    <t>Clear Lv. 72 of The Mercurial Gauntlet in All Elements</t>
  </si>
  <si>
    <t>Clear Lv. 74 of The Mercurial Gauntlet in All Elements</t>
  </si>
  <si>
    <t>Clear Lv. 76 of The Mercurial Gauntlet in All Elements</t>
  </si>
  <si>
    <t>Clear Lv. 78 of The Mercurial Gauntlet in All Elements</t>
  </si>
  <si>
    <t>Clear The Mercurial Gauntlet (Flame): Lv. 01</t>
  </si>
  <si>
    <t>Clear The Mercurial Gauntlet (Flame): Lv. 02</t>
  </si>
  <si>
    <t>Clear The Mercurial Gauntlet (Flame): Lv. 03</t>
  </si>
  <si>
    <t>Clear The Mercurial Gauntlet (Flame): Lv. 04</t>
  </si>
  <si>
    <t>Clear The Mercurial Gauntlet (Flame): Lv. 05</t>
  </si>
  <si>
    <t>Clear The Mercurial Gauntlet (Flame): Lv. 06</t>
  </si>
  <si>
    <t>Clear The Mercurial Gauntlet (Flame): Lv. 07</t>
  </si>
  <si>
    <t>Clear The Mercurial Gauntlet (Flame): Lv. 08</t>
  </si>
  <si>
    <t>Clear The Mercurial Gauntlet (Flame): Lv. 09</t>
  </si>
  <si>
    <t>Clear The Mercurial Gauntlet (Flame): Lv. 10</t>
  </si>
  <si>
    <t>Clear The Mercurial Gauntlet (Flame): Lv. 11</t>
  </si>
  <si>
    <t>Clear The Mercurial Gauntlet (Flame): Lv. 12</t>
  </si>
  <si>
    <t>Clear The Mercurial Gauntlet (Flame): Lv. 13</t>
  </si>
  <si>
    <t>Clear The Mercurial Gauntlet (Flame): Lv. 14</t>
  </si>
  <si>
    <t>Clear The Mercurial Gauntlet (Flame): Lv. 15</t>
  </si>
  <si>
    <t>Clear The Mercurial Gauntlet (Flame): Lv. 16</t>
  </si>
  <si>
    <t>Clear The Mercurial Gauntlet (Flame): Lv. 17</t>
  </si>
  <si>
    <t>Clear The Mercurial Gauntlet (Flame): Lv. 18</t>
  </si>
  <si>
    <t>Clear The Mercurial Gauntlet (Flame): Lv. 19</t>
  </si>
  <si>
    <t>Clear The Mercurial Gauntlet (Flame): Lv. 20</t>
  </si>
  <si>
    <t>Clear The Mercurial Gauntlet (Flame): Lv. 21</t>
  </si>
  <si>
    <t>Clear The Mercurial Gauntlet (Flame): Lv. 22</t>
  </si>
  <si>
    <t>Clear The Mercurial Gauntlet (Flame): Lv. 23</t>
  </si>
  <si>
    <t>Clear The Mercurial Gauntlet (Flame): Lv. 24</t>
  </si>
  <si>
    <t>Clear The Mercurial Gauntlet (Flame): Lv. 25</t>
  </si>
  <si>
    <t>Clear The Mercurial Gauntlet (Flame): Lv. 26</t>
  </si>
  <si>
    <t>Clear The Mercurial Gauntlet (Flame): Lv. 27</t>
  </si>
  <si>
    <t>Clear The Mercurial Gauntlet (Flame): Lv. 28</t>
  </si>
  <si>
    <t>Clear The Mercurial Gauntlet (Flame): Lv. 29</t>
  </si>
  <si>
    <t>Clear The Mercurial Gauntlet (Flame): Lv. 30</t>
  </si>
  <si>
    <t>Clear The Mercurial Gauntlet (Flame): Lv. 31</t>
  </si>
  <si>
    <t>Clear The Mercurial Gauntlet (Flame): Lv. 32</t>
  </si>
  <si>
    <t>Clear The Mercurial Gauntlet (Flame): Lv. 34</t>
  </si>
  <si>
    <t>Clear The Mercurial Gauntlet (Flame): Lv. 36</t>
  </si>
  <si>
    <t>Clear The Mercurial Gauntlet (Flame): Lv. 37</t>
  </si>
  <si>
    <t>Clear The Mercurial Gauntlet (Flame): Lv. 39</t>
  </si>
  <si>
    <t>Clear The Mercurial Gauntlet (Flame): Lv. 40</t>
  </si>
  <si>
    <t>Clear The Mercurial Gauntlet (Flame): Lv. 42</t>
  </si>
  <si>
    <t>Clear The Mercurial Gauntlet (Flame): Lv. 44</t>
  </si>
  <si>
    <t>Clear The Mercurial Gauntlet (Flame): Lv. 46</t>
  </si>
  <si>
    <t>Clear The Mercurial Gauntlet (Flame): Lv. 66</t>
  </si>
  <si>
    <t>Clear The Mercurial Gauntlet (Flame): Lv. 67</t>
  </si>
  <si>
    <t>Clear The Mercurial Gauntlet (Flame): Lv. 69</t>
  </si>
  <si>
    <t>Clear The Mercurial Gauntlet (Flame): Lv. 71</t>
  </si>
  <si>
    <t>Clear The Mercurial Gauntlet (Flame): Lv. 72</t>
  </si>
  <si>
    <t>Clear The Mercurial Gauntlet (Flame): Lv. 74</t>
  </si>
  <si>
    <t>Clear The Mercurial Gauntlet (Flame): Lv. 76</t>
  </si>
  <si>
    <t>Clear The Mercurial Gauntlet (Flame): Lv. 77</t>
  </si>
  <si>
    <t>Clear The Mercurial Gauntlet (Flame): Lv. 79</t>
  </si>
  <si>
    <t>Clear The Mercurial Gauntlet (Water): Lv. 01</t>
  </si>
  <si>
    <t>Clear The Mercurial Gauntlet (Water): Lv. 02</t>
  </si>
  <si>
    <t>Clear The Mercurial Gauntlet (Water): Lv. 03</t>
  </si>
  <si>
    <t>Clear The Mercurial Gauntlet (Water): Lv. 04</t>
  </si>
  <si>
    <t>Clear The Mercurial Gauntlet (Water): Lv. 05</t>
  </si>
  <si>
    <t>Clear The Mercurial Gauntlet (Water): Lv. 06</t>
  </si>
  <si>
    <t>Clear The Mercurial Gauntlet (Water): Lv. 07</t>
  </si>
  <si>
    <t>Clear The Mercurial Gauntlet (Water): Lv. 08</t>
  </si>
  <si>
    <t>Clear The Mercurial Gauntlet (Water): Lv. 09</t>
  </si>
  <si>
    <t>Clear The Mercurial Gauntlet (Water): Lv. 10</t>
  </si>
  <si>
    <t>Clear The Mercurial Gauntlet (Water): Lv. 11</t>
  </si>
  <si>
    <t>Clear The Mercurial Gauntlet (Water): Lv. 12</t>
  </si>
  <si>
    <t>Clear The Mercurial Gauntlet (Water): Lv. 13</t>
  </si>
  <si>
    <t>Clear The Mercurial Gauntlet (Water): Lv. 14</t>
  </si>
  <si>
    <t>Clear The Mercurial Gauntlet (Water): Lv. 15</t>
  </si>
  <si>
    <t>Clear The Mercurial Gauntlet (Water): Lv. 16</t>
  </si>
  <si>
    <t>Clear The Mercurial Gauntlet (Water): Lv. 17</t>
  </si>
  <si>
    <t>Clear The Mercurial Gauntlet (Water): Lv. 18</t>
  </si>
  <si>
    <t>Clear The Mercurial Gauntlet (Water): Lv. 19</t>
  </si>
  <si>
    <t>Clear The Mercurial Gauntlet (Water): Lv. 20</t>
  </si>
  <si>
    <t>Clear The Mercurial Gauntlet (Water): Lv. 21</t>
  </si>
  <si>
    <t>Clear The Mercurial Gauntlet (Water): Lv. 22</t>
  </si>
  <si>
    <t>Clear The Mercurial Gauntlet (Water): Lv. 23</t>
  </si>
  <si>
    <t>Clear The Mercurial Gauntlet (Water): Lv. 24</t>
  </si>
  <si>
    <t>Clear The Mercurial Gauntlet (Water): Lv. 25</t>
  </si>
  <si>
    <t>Clear The Mercurial Gauntlet (Water): Lv. 26</t>
  </si>
  <si>
    <t>Clear The Mercurial Gauntlet (Water): Lv. 27</t>
  </si>
  <si>
    <t>Clear The Mercurial Gauntlet (Water): Lv. 28</t>
  </si>
  <si>
    <t>Clear The Mercurial Gauntlet (Water): Lv. 29</t>
  </si>
  <si>
    <t>Clear The Mercurial Gauntlet (Water): Lv. 30</t>
  </si>
  <si>
    <t>Clear The Mercurial Gauntlet (Water): Lv. 31</t>
  </si>
  <si>
    <t>Clear The Mercurial Gauntlet (Water): Lv. 32</t>
  </si>
  <si>
    <t>Clear The Mercurial Gauntlet (Water): Lv. 34</t>
  </si>
  <si>
    <t>Clear The Mercurial Gauntlet (Water): Lv. 36</t>
  </si>
  <si>
    <t>Clear The Mercurial Gauntlet (Water): Lv. 37</t>
  </si>
  <si>
    <t>Clear The Mercurial Gauntlet (Water): Lv. 39</t>
  </si>
  <si>
    <t>Clear The Mercurial Gauntlet (Water): Lv. 40</t>
  </si>
  <si>
    <t>Clear The Mercurial Gauntlet (Water): Lv. 42</t>
  </si>
  <si>
    <t>Clear The Mercurial Gauntlet (Water): Lv. 44</t>
  </si>
  <si>
    <t>Clear The Mercurial Gauntlet (Water): Lv. 46</t>
  </si>
  <si>
    <t>Clear The Mercurial Gauntlet (Water): Lv. 66</t>
  </si>
  <si>
    <t>Clear The Mercurial Gauntlet (Water): Lv. 67</t>
  </si>
  <si>
    <t>Clear The Mercurial Gauntlet (Water): Lv. 69</t>
  </si>
  <si>
    <t>Clear The Mercurial Gauntlet (Water): Lv. 71</t>
  </si>
  <si>
    <t>Clear The Mercurial Gauntlet (Water): Lv. 72</t>
  </si>
  <si>
    <t>Clear The Mercurial Gauntlet (Water): Lv. 74</t>
  </si>
  <si>
    <t>Clear The Mercurial Gauntlet (Water): Lv. 76</t>
  </si>
  <si>
    <t>Clear The Mercurial Gauntlet (Water): Lv. 77</t>
  </si>
  <si>
    <t>Clear The Mercurial Gauntlet (Water): Lv. 79</t>
  </si>
  <si>
    <t>Clear The Mercurial Gauntlet (Wind): Lv. 01</t>
  </si>
  <si>
    <t>Clear The Mercurial Gauntlet (Wind): Lv. 02</t>
  </si>
  <si>
    <t>Clear The Mercurial Gauntlet (Wind): Lv. 03</t>
  </si>
  <si>
    <t>Clear The Mercurial Gauntlet (Wind): Lv. 04</t>
  </si>
  <si>
    <t>Clear The Mercurial Gauntlet (Wind): Lv. 05</t>
  </si>
  <si>
    <t>Clear The Mercurial Gauntlet (Wind): Lv. 06</t>
  </si>
  <si>
    <t>Clear The Mercurial Gauntlet (Wind): Lv. 07</t>
  </si>
  <si>
    <t>Clear The Mercurial Gauntlet (Wind): Lv. 08</t>
  </si>
  <si>
    <t>Clear The Mercurial Gauntlet (Wind): Lv. 09</t>
  </si>
  <si>
    <t>Clear The Mercurial Gauntlet (Wind): Lv. 10</t>
  </si>
  <si>
    <t>Clear The Mercurial Gauntlet (Wind): Lv. 11</t>
  </si>
  <si>
    <t>Clear The Mercurial Gauntlet (Wind): Lv. 12</t>
  </si>
  <si>
    <t>Clear The Mercurial Gauntlet (Wind): Lv. 13</t>
  </si>
  <si>
    <t>Clear The Mercurial Gauntlet (Wind): Lv. 14</t>
  </si>
  <si>
    <t>Clear The Mercurial Gauntlet (Wind): Lv. 15</t>
  </si>
  <si>
    <t>Clear The Mercurial Gauntlet (Wind): Lv. 16</t>
  </si>
  <si>
    <t>Clear The Mercurial Gauntlet (Wind): Lv. 17</t>
  </si>
  <si>
    <t>Clear The Mercurial Gauntlet (Wind): Lv. 18</t>
  </si>
  <si>
    <t>Clear The Mercurial Gauntlet (Wind): Lv. 19</t>
  </si>
  <si>
    <t>Clear The Mercurial Gauntlet (Wind): Lv. 20</t>
  </si>
  <si>
    <t>Clear The Mercurial Gauntlet (Wind): Lv. 21</t>
  </si>
  <si>
    <t>Clear The Mercurial Gauntlet (Wind): Lv. 22</t>
  </si>
  <si>
    <t>Clear The Mercurial Gauntlet (Wind): Lv. 23</t>
  </si>
  <si>
    <t>Clear The Mercurial Gauntlet (Wind): Lv. 24</t>
  </si>
  <si>
    <t>Clear The Mercurial Gauntlet (Wind): Lv. 25</t>
  </si>
  <si>
    <t>Clear The Mercurial Gauntlet (Wind): Lv. 26</t>
  </si>
  <si>
    <t>Clear The Mercurial Gauntlet (Wind): Lv. 27</t>
  </si>
  <si>
    <t>Clear The Mercurial Gauntlet (Wind): Lv. 28</t>
  </si>
  <si>
    <t>Clear The Mercurial Gauntlet (Wind): Lv. 29</t>
  </si>
  <si>
    <t>Clear The Mercurial Gauntlet (Wind): Lv. 30</t>
  </si>
  <si>
    <t>Clear The Mercurial Gauntlet (Wind): Lv. 31</t>
  </si>
  <si>
    <t>Clear The Mercurial Gauntlet (Wind): Lv. 32</t>
  </si>
  <si>
    <t>Clear The Mercurial Gauntlet (Wind): Lv. 34</t>
  </si>
  <si>
    <t>Clear The Mercurial Gauntlet (Wind): Lv. 36</t>
  </si>
  <si>
    <t>Clear The Mercurial Gauntlet (Wind): Lv. 37</t>
  </si>
  <si>
    <t>Clear The Mercurial Gauntlet (Wind): Lv. 39</t>
  </si>
  <si>
    <t>Clear The Mercurial Gauntlet (Wind): Lv. 40</t>
  </si>
  <si>
    <t>Clear The Mercurial Gauntlet (Wind): Lv. 42</t>
  </si>
  <si>
    <t>Clear The Mercurial Gauntlet (Wind): Lv. 44</t>
  </si>
  <si>
    <t>Clear The Mercurial Gauntlet (Wind): Lv. 46</t>
  </si>
  <si>
    <t>Clear The Mercurial Gauntlet (Wind): Lv. 66</t>
  </si>
  <si>
    <t>Clear The Mercurial Gauntlet (Wind): Lv. 67</t>
  </si>
  <si>
    <t>Clear The Mercurial Gauntlet (Wind): Lv. 69</t>
  </si>
  <si>
    <t>Clear The Mercurial Gauntlet (Wind): Lv. 71</t>
  </si>
  <si>
    <t>Clear The Mercurial Gauntlet (Wind): Lv. 72</t>
  </si>
  <si>
    <t>Clear The Mercurial Gauntlet (Wind): Lv. 74</t>
  </si>
  <si>
    <t>Clear The Mercurial Gauntlet (Wind): Lv. 76</t>
  </si>
  <si>
    <t>Clear The Mercurial Gauntlet (Wind): Lv. 77</t>
  </si>
  <si>
    <t>Clear The Mercurial Gauntlet (Wind): Lv. 79</t>
  </si>
  <si>
    <t>Clear The Mercurial Gauntlet (Light): Lv. 01</t>
  </si>
  <si>
    <t>Clear The Mercurial Gauntlet (Light): Lv. 02</t>
  </si>
  <si>
    <t>Clear The Mercurial Gauntlet (Light): Lv. 03</t>
  </si>
  <si>
    <t>Clear The Mercurial Gauntlet (Light): Lv. 04</t>
  </si>
  <si>
    <t>Clear The Mercurial Gauntlet (Light): Lv. 05</t>
  </si>
  <si>
    <t>Clear The Mercurial Gauntlet (Light): Lv. 06</t>
  </si>
  <si>
    <t>Clear The Mercurial Gauntlet (Light): Lv. 07</t>
  </si>
  <si>
    <t>Clear The Mercurial Gauntlet (Light): Lv. 08</t>
  </si>
  <si>
    <t>Clear The Mercurial Gauntlet (Light): Lv. 09</t>
  </si>
  <si>
    <t>Clear The Mercurial Gauntlet (Light): Lv. 10</t>
  </si>
  <si>
    <t>Clear The Mercurial Gauntlet (Light): Lv. 11</t>
  </si>
  <si>
    <t>Clear The Mercurial Gauntlet (Light): Lv. 12</t>
  </si>
  <si>
    <t>Clear The Mercurial Gauntlet (Light): Lv. 13</t>
  </si>
  <si>
    <t>Clear The Mercurial Gauntlet (Light): Lv. 14</t>
  </si>
  <si>
    <t>Clear The Mercurial Gauntlet (Light): Lv. 15</t>
  </si>
  <si>
    <t>Clear The Mercurial Gauntlet (Light): Lv. 16</t>
  </si>
  <si>
    <t>Clear The Mercurial Gauntlet (Light): Lv. 17</t>
  </si>
  <si>
    <t>Clear The Mercurial Gauntlet (Light): Lv. 18</t>
  </si>
  <si>
    <t>Clear The Mercurial Gauntlet (Light): Lv. 19</t>
  </si>
  <si>
    <t>Clear The Mercurial Gauntlet (Light): Lv. 20</t>
  </si>
  <si>
    <t>Clear The Mercurial Gauntlet (Light): Lv. 21</t>
  </si>
  <si>
    <t>Clear The Mercurial Gauntlet (Light): Lv. 22</t>
  </si>
  <si>
    <t>Clear The Mercurial Gauntlet (Light): Lv. 23</t>
  </si>
  <si>
    <t>Clear The Mercurial Gauntlet (Light): Lv. 24</t>
  </si>
  <si>
    <t>Clear The Mercurial Gauntlet (Light): Lv. 25</t>
  </si>
  <si>
    <t>Clear The Mercurial Gauntlet (Light): Lv. 26</t>
  </si>
  <si>
    <t>Clear The Mercurial Gauntlet (Light): Lv. 27</t>
  </si>
  <si>
    <t>Clear The Mercurial Gauntlet (Light): Lv. 28</t>
  </si>
  <si>
    <t>Clear The Mercurial Gauntlet (Light): Lv. 29</t>
  </si>
  <si>
    <t>Clear The Mercurial Gauntlet (Light): Lv. 30</t>
  </si>
  <si>
    <t>Clear The Mercurial Gauntlet (Light): Lv. 31</t>
  </si>
  <si>
    <t>Clear The Mercurial Gauntlet (Light): Lv. 32</t>
  </si>
  <si>
    <t>Clear The Mercurial Gauntlet (Light): Lv. 34</t>
  </si>
  <si>
    <t>Clear The Mercurial Gauntlet (Light): Lv. 36</t>
  </si>
  <si>
    <t>Clear The Mercurial Gauntlet (Light): Lv. 37</t>
  </si>
  <si>
    <t>Clear The Mercurial Gauntlet (Light): Lv. 39</t>
  </si>
  <si>
    <t>Clear The Mercurial Gauntlet (Light): Lv. 40</t>
  </si>
  <si>
    <t>Clear The Mercurial Gauntlet (Light): Lv. 42</t>
  </si>
  <si>
    <t>Clear The Mercurial Gauntlet (Light): Lv. 44</t>
  </si>
  <si>
    <t>Clear The Mercurial Gauntlet (Light): Lv. 46</t>
  </si>
  <si>
    <t>Clear The Mercurial Gauntlet (Light): Lv. 66</t>
  </si>
  <si>
    <t>Clear The Mercurial Gauntlet (Light): Lv. 67</t>
  </si>
  <si>
    <t>Clear The Mercurial Gauntlet (Light): Lv. 69</t>
  </si>
  <si>
    <t>Clear The Mercurial Gauntlet (Light): Lv. 71</t>
  </si>
  <si>
    <t>Clear The Mercurial Gauntlet (Light): Lv. 72</t>
  </si>
  <si>
    <t>Clear The Mercurial Gauntlet (Light): Lv. 74</t>
  </si>
  <si>
    <t>Clear The Mercurial Gauntlet (Light): Lv. 76</t>
  </si>
  <si>
    <t>Clear The Mercurial Gauntlet (Light): Lv. 77</t>
  </si>
  <si>
    <t>Clear The Mercurial Gauntlet (Light): Lv. 79</t>
  </si>
  <si>
    <t>Clear The Mercurial Gauntlet (Shadow): Lv. 01</t>
  </si>
  <si>
    <t>Clear The Mercurial Gauntlet (Shadow): Lv. 02</t>
  </si>
  <si>
    <t>Clear The Mercurial Gauntlet (Shadow): Lv. 03</t>
  </si>
  <si>
    <t>Clear The Mercurial Gauntlet (Shadow): Lv. 04</t>
  </si>
  <si>
    <t>Clear The Mercurial Gauntlet (Shadow): Lv. 05</t>
  </si>
  <si>
    <t>Clear The Mercurial Gauntlet (Shadow): Lv. 06</t>
  </si>
  <si>
    <t>Clear The Mercurial Gauntlet (Shadow): Lv. 07</t>
  </si>
  <si>
    <t>Clear The Mercurial Gauntlet (Shadow): Lv. 08</t>
  </si>
  <si>
    <t>Clear The Mercurial Gauntlet (Shadow): Lv. 09</t>
  </si>
  <si>
    <t>Clear The Mercurial Gauntlet (Shadow): Lv. 10</t>
  </si>
  <si>
    <t>Clear The Mercurial Gauntlet (Shadow): Lv. 11</t>
  </si>
  <si>
    <t>Clear The Mercurial Gauntlet (Shadow): Lv. 12</t>
  </si>
  <si>
    <t>Clear The Mercurial Gauntlet (Shadow): Lv. 13</t>
  </si>
  <si>
    <t>Clear The Mercurial Gauntlet (Shadow): Lv. 14</t>
  </si>
  <si>
    <t>Clear The Mercurial Gauntlet (Shadow): Lv. 15</t>
  </si>
  <si>
    <t>Clear The Mercurial Gauntlet (Shadow): Lv. 16</t>
  </si>
  <si>
    <t>Clear The Mercurial Gauntlet (Shadow): Lv. 17</t>
  </si>
  <si>
    <t>Clear The Mercurial Gauntlet (Shadow): Lv. 18</t>
  </si>
  <si>
    <t>Clear The Mercurial Gauntlet (Shadow): Lv. 19</t>
  </si>
  <si>
    <t>Clear The Mercurial Gauntlet (Shadow): Lv. 20</t>
  </si>
  <si>
    <t>Clear The Mercurial Gauntlet (Shadow): Lv. 21</t>
  </si>
  <si>
    <t>Clear The Mercurial Gauntlet (Shadow): Lv. 22</t>
  </si>
  <si>
    <t>Clear The Mercurial Gauntlet (Shadow): Lv. 23</t>
  </si>
  <si>
    <t>Clear The Mercurial Gauntlet (Shadow): Lv. 24</t>
  </si>
  <si>
    <t>Clear The Mercurial Gauntlet (Shadow): Lv. 25</t>
  </si>
  <si>
    <t>Clear The Mercurial Gauntlet (Shadow): Lv. 26</t>
  </si>
  <si>
    <t>Clear The Mercurial Gauntlet (Shadow): Lv. 27</t>
  </si>
  <si>
    <t>Clear The Mercurial Gauntlet (Shadow): Lv. 28</t>
  </si>
  <si>
    <t>Clear The Mercurial Gauntlet (Shadow): Lv. 29</t>
  </si>
  <si>
    <t>Clear The Mercurial Gauntlet (Shadow): Lv. 30</t>
  </si>
  <si>
    <t>Clear The Mercurial Gauntlet (Shadow): Lv. 31</t>
  </si>
  <si>
    <t>Clear The Mercurial Gauntlet (Shadow): Lv. 32</t>
  </si>
  <si>
    <t>Clear The Mercurial Gauntlet (Shadow): Lv. 34</t>
  </si>
  <si>
    <t>Clear The Mercurial Gauntlet (Shadow): Lv. 36</t>
  </si>
  <si>
    <t>Clear The Mercurial Gauntlet (Shadow): Lv. 37</t>
  </si>
  <si>
    <t>Clear The Mercurial Gauntlet (Shadow): Lv. 39</t>
  </si>
  <si>
    <t>Clear The Mercurial Gauntlet (Shadow): Lv. 40</t>
  </si>
  <si>
    <t>Clear The Mercurial Gauntlet (Shadow): Lv. 42</t>
  </si>
  <si>
    <t>Clear The Mercurial Gauntlet (Shadow): Lv. 44</t>
  </si>
  <si>
    <t>Clear The Mercurial Gauntlet (Shadow): Lv. 46</t>
  </si>
  <si>
    <t>Clear The Mercurial Gauntlet (Shadow): Lv. 66</t>
  </si>
  <si>
    <t>Clear The Mercurial Gauntlet (Shadow): Lv. 67</t>
  </si>
  <si>
    <t>Clear The Mercurial Gauntlet (Shadow): Lv. 69</t>
  </si>
  <si>
    <t>Clear The Mercurial Gauntlet (Shadow): Lv. 71</t>
  </si>
  <si>
    <t>Clear The Mercurial Gauntlet (Shadow): Lv. 72</t>
  </si>
  <si>
    <t>Clear The Mercurial Gauntlet (Shadow): Lv. 74</t>
  </si>
  <si>
    <t>Clear The Mercurial Gauntlet (Shadow): Lv. 76</t>
  </si>
  <si>
    <t>Clear The Mercurial Gauntlet (Shadow): Lv. 77</t>
  </si>
  <si>
    <t>Clear The Mercurial Gauntlet (Shadow): Lv. 79</t>
  </si>
  <si>
    <t>ETK</t>
  </si>
  <si>
    <t>Kaleidoscape</t>
  </si>
  <si>
    <t>Clear the 10th Floor of the Kaleidoscape</t>
  </si>
  <si>
    <t>Dawn Amber</t>
  </si>
  <si>
    <t>Clear the 20th Floor of the Kaleidoscape</t>
  </si>
  <si>
    <t>Clear the 30th Floor of the Kaleidoscape</t>
  </si>
  <si>
    <t>Clear the 40th Floor of the Kaleidoscape</t>
  </si>
  <si>
    <t>Clear the 50th Floor of the Kaleidoscape</t>
  </si>
  <si>
    <t>Clear the 60th Floor of the Kaleidoscape</t>
  </si>
  <si>
    <t>Clear a Total of 30 Floors on Kaleidoscape Expeditions</t>
  </si>
  <si>
    <t>Clear a Total of 60 Floors on Kaleidoscape Expeditions</t>
  </si>
  <si>
    <t>Clear a Total of 100 Floors on Kaleidoscape Expeditions</t>
  </si>
  <si>
    <t>Clear a Total of 200 Floors on Kaleidoscape Expeditions</t>
  </si>
  <si>
    <t>Clear a Total of 300 Floors on Kaleidoscape Expeditions</t>
  </si>
  <si>
    <t>Clear a Total of 400 Floors on Kaleidoscape Expeditions</t>
  </si>
  <si>
    <t>Clear a Total of 500 Floors on Kaleidoscape Expeditions</t>
  </si>
  <si>
    <t>Clear a Total of 700 Floors on Kaleidoscape Expeditions</t>
  </si>
  <si>
    <t>Clear a Total of 1,000 Floors on Kaleidoscape Expeditions</t>
  </si>
  <si>
    <t>Clear the 30th Floor of the Kaleidoscape with Five Adventurers</t>
  </si>
  <si>
    <t>Dusk Amber</t>
  </si>
  <si>
    <t>Clear the 30th Floor of the Kaleidoscape with 10 Adventurers</t>
  </si>
  <si>
    <t>Clear the 30th Floor of the Kaleidoscape with 20 Adventurers</t>
  </si>
  <si>
    <t>Clear the 30th Floor of the Kaleidoscape with 30 Adventurers</t>
  </si>
  <si>
    <t>Clear the 40th Floor of the Kaleidoscape with Five Adventurers</t>
  </si>
  <si>
    <t>Clear the 40th Floor of the Kaleidoscape with 10 Adventurers</t>
  </si>
  <si>
    <t>Clear the 40th Floor of the Kaleidoscape with 20 Adventurers</t>
  </si>
  <si>
    <t>Clear the 40th Floor of the Kaleidoscape with 30 Adventurers</t>
  </si>
  <si>
    <t>Clear the 50th Floor of the Kaleidoscape with Five Adventurers</t>
  </si>
  <si>
    <t>Clear the 50th Floor of the Kaleidoscape with 10 Adventurers</t>
  </si>
  <si>
    <t>Clear the 50th Floor of the Kaleidoscape with 20 Adventurers</t>
  </si>
  <si>
    <t>Clear the 50th Floor of the Kaleidoscape with 30 Adventurers</t>
  </si>
  <si>
    <t>Clear 100 Floors of the Kaleidoscape, Including Expeditions</t>
  </si>
  <si>
    <t>Clear 200 Floors of the Kaleidoscape, Including Expeditions</t>
  </si>
  <si>
    <t>Clear 300 Floors of the Kaleidoscape, Including Expeditions</t>
  </si>
  <si>
    <t>Clear 500 Floors of the Kaleidoscape, Including Expeditions</t>
  </si>
  <si>
    <t>Clear 700 Floors of the Kaleidoscape, Including Expeditions</t>
  </si>
  <si>
    <t>Clear 1,000 Floors of the Kaleidoscape, Including Expeditions</t>
  </si>
  <si>
    <t>Clear 1,500 Floors of the Kaleidoscape, Including Expeditions</t>
  </si>
  <si>
    <t>Clear 2,000 Floors of the Kaleidoscape, Including Expeditions</t>
  </si>
  <si>
    <t>Clear 2,500 Floors of the Kaleidoscape, Including Expeditions</t>
  </si>
  <si>
    <t>Clear 3,000 Floors of the Kaleidoscape, Including Expeditions</t>
  </si>
  <si>
    <t>Clear 3,500 Floors of the Kaleidoscape, Including Expeditions</t>
  </si>
  <si>
    <t>Clear 4,000 Floors of the Kaleidoscape, Including Expeditions</t>
  </si>
  <si>
    <t>Clear 5,000 Floors of the Kaleidoscape, Including Expeditions</t>
  </si>
  <si>
    <t>Clear the 60th Floor of the Kaleidoscape with Five Adventurers</t>
  </si>
  <si>
    <t>Clear the 60th Floor of the Kaleidoscape with 10 Adventurers</t>
  </si>
  <si>
    <t>Clear the 60th Floor of the Kaleidoscape with 20 Adventurers</t>
  </si>
  <si>
    <t>Clear the 60th Floor of the Kaleidoscape with 30 Adventurers</t>
  </si>
  <si>
    <t>Clear the 60th Floor of the Kaleidoscape with 40 Adventurers</t>
  </si>
  <si>
    <t>Clear the 60th Floor of the Kaleidoscape with 42 Adventurers</t>
  </si>
  <si>
    <t>Clear the 60th Floor of the Kaleidoscape with 45 Adventurers</t>
  </si>
  <si>
    <t>Clear the 60th Floor of the Kaleidoscape with 48 Adventurers</t>
  </si>
  <si>
    <t>Clear the 60th Floor of the Kaleidoscape with 50 Adventurers</t>
  </si>
  <si>
    <t>TT</t>
  </si>
  <si>
    <t>Non-Endeavor</t>
  </si>
  <si>
    <t>TUT</t>
  </si>
  <si>
    <t>CHEST</t>
  </si>
  <si>
    <t>Campaign Chest</t>
  </si>
  <si>
    <t>Obtain From Ch. 02 EX 1 Chest (Normal)</t>
  </si>
  <si>
    <t>Obtain From Ch. 02 EX 1 Chest (Hard)</t>
  </si>
  <si>
    <t>Obtain From Ch. 02 EX 1 Chest (Very Hard)</t>
  </si>
  <si>
    <t>Obtain From Ch. 02 EX 2 Chest (Normal)</t>
  </si>
  <si>
    <t>Obtain From Ch. 02 EX 2 Chest (Hard)</t>
  </si>
  <si>
    <t>Obtain From Ch. 02 EX 2 Chest (Very hard)</t>
  </si>
  <si>
    <t>Obtain From Ch. 04 EX 1 Chest (Normal)</t>
  </si>
  <si>
    <t>Obtain From Ch. 04 EX 1 Chest (Hard)</t>
  </si>
  <si>
    <t>Obtain From Ch. 04 EX 1 Chest (Very Hard)</t>
  </si>
  <si>
    <t>Obtain From Ch. 04 EX 2 Chest (Normal)</t>
  </si>
  <si>
    <t>Obtain From Ch. 04 EX 2 Chest (Hard)</t>
  </si>
  <si>
    <t>Obtain From Ch. 04 EX 2 Chest (Very Hard)</t>
  </si>
  <si>
    <t>Obtain From Ch. 06 EX 1 Chest (Normal)</t>
  </si>
  <si>
    <t>Obtain From Ch. 06 EX 1 Chest (Hard)</t>
  </si>
  <si>
    <t>Obtain From Ch. 06 EX 1 Chest (Very Hard)</t>
  </si>
  <si>
    <t>Obtain From Ch. 07 EX 1 Chest (Normal)</t>
  </si>
  <si>
    <t>Obtain From Ch. 08 EX 1 Chest (Normal)</t>
  </si>
  <si>
    <t>Obtain From Ch. 07 EX 1 Chest (Hard)</t>
  </si>
  <si>
    <t>Obtain From Ch. 08 EX 1 Chest (Hard)</t>
  </si>
  <si>
    <t>Obtain From Ch. 07 EX 1 Chest (Very Hard)</t>
  </si>
  <si>
    <t>Obtain From Ch. 08 EX 1 Chest (Very Hard)</t>
  </si>
  <si>
    <t>Obtain From Ch. 07 EX 2 Chest (Normal)</t>
  </si>
  <si>
    <t>Obtain From Ch. 08 EX 2 Chest (Normal)</t>
  </si>
  <si>
    <t>Obtain From Ch. 07 EX 2 Chest (Hard)</t>
  </si>
  <si>
    <t>Obtain From Ch. 08 EX 2 Chest (Hard)</t>
  </si>
  <si>
    <t>Obtain From Ch. 07 EX 2 Chest (Very Hard)</t>
  </si>
  <si>
    <t>Obtain From Ch. 08 EX 2 Chest (Very Hard)</t>
  </si>
  <si>
    <t>Obtain From Ch. 09 EX 1 Chest (Normal)</t>
  </si>
  <si>
    <t>Obtain From Ch. 09 EX 1 Chest (Hard)</t>
  </si>
  <si>
    <t>Obtain From Ch. 09 EX 1 Chest (Very Hard)</t>
  </si>
  <si>
    <t>Obtain From Ch. 10 EX 1 Chest (Normal)</t>
  </si>
  <si>
    <t>Obtain From Ch. 10 EX 1 Chest (Hard)</t>
  </si>
  <si>
    <t>Obtain From Ch. 10 EX 1 Chest (Very Hard)</t>
  </si>
  <si>
    <t>Obtain From Ch. 11 EX 1 Chest (Normal)</t>
  </si>
  <si>
    <t>Obtain From Ch. 11 EX 1 Chest (Hard)</t>
  </si>
  <si>
    <t>Obtain From Ch. 11 EX 1 Chest (Very Hard)</t>
  </si>
  <si>
    <t>Obtain From Ch. 12 EX 1 Chest (Normal)</t>
  </si>
  <si>
    <t>Obtain From Ch. 12 EX 1 Chest (Hard)</t>
  </si>
  <si>
    <t>Obtain From Ch. 12 EX 1 Chest (Very Hard)</t>
  </si>
  <si>
    <t>Obtain From Ch. 16 EX 1 Chest (Hard)</t>
  </si>
  <si>
    <t>Obtain From Ch. 16 EX 1 Chest (Very Hard)</t>
  </si>
  <si>
    <t>Obtain From Ch. 13 EX 1 Chest (Normal)</t>
  </si>
  <si>
    <t>Obtain From Ch. 13 EX 1 Chest (Hard)</t>
  </si>
  <si>
    <t>Obtain From Ch. 13 EX 1 Chest (Very Hard)</t>
  </si>
  <si>
    <t>Obtain From Ch. 14 EX 1 Chest (Normal)</t>
  </si>
  <si>
    <t>Obtain From Ch. 14 EX 1 Chest (Hard)</t>
  </si>
  <si>
    <t>Obtain From Ch. 14 EX 1 Chest (Very Hard)</t>
  </si>
  <si>
    <t>Obtain From Ch. 15 EX 1 Chest (Normal)</t>
  </si>
  <si>
    <t>Obtain From Ch. 15 EX 1 Chest (Hard)</t>
  </si>
  <si>
    <t>Obtain From Ch. 15 EX 1 Chest (Very Hard)</t>
  </si>
  <si>
    <t>Obtain From Ch. 16 EX 1 Chest (Normal)</t>
  </si>
  <si>
    <t>Stage</t>
  </si>
  <si>
    <t>Summary</t>
  </si>
  <si>
    <t>Stage 1: Basic Drills</t>
  </si>
  <si>
    <t>Clear Ch. 1 2-3 of the Main Campaign</t>
  </si>
  <si>
    <t>You'll learn the basics of combat while advancing the main campaign!</t>
  </si>
  <si>
    <t>Clear Ch. 1 3-4 of the Main Campaign</t>
  </si>
  <si>
    <t>Equipping wyrmprints on your adventurers will help you through the main campaign!</t>
  </si>
  <si>
    <t>Raise a Flame-Attuned Adventurer to Lv. 30</t>
  </si>
  <si>
    <t>You can easily increase an adventurer's level using the crystals you get from Avenue to Power.</t>
  </si>
  <si>
    <t>Dscale T1</t>
  </si>
  <si>
    <t>Unlock 10 Mana Nodes for a Flame-Attuned Adventurer</t>
  </si>
  <si>
    <t>Unlocking your adventurers' mana nodes is an important part of making them stronger! You can access them by tapping Upgrade from the home screen and choosing Mana Circles. You can also get mana from the main campaign!</t>
  </si>
  <si>
    <t>Use the Optimize Feature to Form a Flame-Attuned Team</t>
  </si>
  <si>
    <t>Flame-attuned adventurers have the advantage against wind-attuned enemies. You can cycle between teams using the row of elemental icons near the top of the Teams menu.</t>
  </si>
  <si>
    <t>Clear Ch. 1 4-6 of the Main Campaign</t>
  </si>
  <si>
    <t>Once you have, the chapter will be complete!</t>
  </si>
  <si>
    <t>Place a Flame Altar on the Castle Grounds</t>
  </si>
  <si>
    <t>Flame Altars increase the stats of flame-attuned adventurers.</t>
  </si>
  <si>
    <t>Raise a Wind-Attuned Adventurer to Lv. 30</t>
  </si>
  <si>
    <t>Unlock 10 Mana Nodes for a Wind-Attuned Adventurer</t>
  </si>
  <si>
    <t>Use the Optimize Feature to Form a Wind-Attuned Team</t>
  </si>
  <si>
    <t>Wind-attuned adventurers have the advantage against water-attuned enemies. You can cycle between teams using the row of elemental icons near the top of the Teams menu.</t>
  </si>
  <si>
    <t>Clear Ch. 2 2-1 of the Main Campaign</t>
  </si>
  <si>
    <t>You'll want a wind-attuned team to make it through this chapter. Clearing this quest will unlock recurring events!</t>
  </si>
  <si>
    <t>Place a Wind Altar on the Castle Grounds</t>
  </si>
  <si>
    <t>Wind Altars increase the stats of wind-attuned adventurers. You'll be able to build your first after reaching player level 4, so advance the main campaign and get leveling up!</t>
  </si>
  <si>
    <t>Clear Windmaul Ruins</t>
  </si>
  <si>
    <t>You can get all kinds of useful items for powering up your wind-attuned adventurers and facilities from Windmaul Ruins. Bring a flame-attuned team to burn up the opposition!</t>
  </si>
  <si>
    <t>Upgrade a Wind Altar to Lv. 10</t>
  </si>
  <si>
    <t>You can get Wind Orbs from Windmaul Ruins.</t>
  </si>
  <si>
    <t>Clear Ch. 2 5-3 of the Main Campaign</t>
  </si>
  <si>
    <t>You'll want a wind-attuned team to make it through this chapter.</t>
  </si>
  <si>
    <t>Clear Ch. 2 6-2 of the Main Campaign</t>
  </si>
  <si>
    <t>Raise a Water-Attuned Adventurer to Lv. 30</t>
  </si>
  <si>
    <t>Unlock 10 Mana Nodes for a Water-Attuned Adventurer</t>
  </si>
  <si>
    <t>Unlocking your adventurers' mana nodes is an important part of making them stronger! You can access them by tapping Upgrade from the home screen and choosing Mana Circles. You can get more mana from Avenue to Power!</t>
  </si>
  <si>
    <t>Use the Optimize Feature to Form a Water-Attuned Team</t>
  </si>
  <si>
    <t>Water-attuned adventurers have the advantage against flame-attuned enemies. You can cycle between teams using the row of elemental icons near the top of the Teams menu.</t>
  </si>
  <si>
    <t>Place a Water Altar on the Castle Grounds</t>
  </si>
  <si>
    <t>Water Altars increase the stats of water-attuned adventurers. You'll be able to build your first after reaching player level 6.</t>
  </si>
  <si>
    <t>Clear Waterscour Ruins</t>
  </si>
  <si>
    <t>You can get all kinds of useful items for powering up your water-attuned adventurers and facilities from Waterscour Ruins. Bring a wind-attuned team to make it a breeze!</t>
  </si>
  <si>
    <t>Upgrade a Water Altar to Lv. 10</t>
  </si>
  <si>
    <t>You can get Water Orbs from Waterscour Ruins.</t>
  </si>
  <si>
    <t>Clear Ch. 3 4-4 of the Main Campaign</t>
  </si>
  <si>
    <t>You'll want a water-attuned team to make it through this chapter.</t>
  </si>
  <si>
    <t>Clear Flamehowl Ruins</t>
  </si>
  <si>
    <t>You can get all kinds of useful items for powering up your flame-attuned adventurers and facilities from Flamehowl Ruins. Bring a water-attuned team to make a splash!</t>
  </si>
  <si>
    <t>Upgrade a Flame Altar to Lv. 10</t>
  </si>
  <si>
    <t>You can get Flame Orbs from Flamehowl Ruins.</t>
  </si>
  <si>
    <t>Clear a Dragon Trial on Beginner</t>
  </si>
  <si>
    <t>You can attempt Dragon Trials from the Challenge Events section of the quest menu! Show the dragons just how much stronger you've become!</t>
  </si>
  <si>
    <t>Raise a Shadow-Attuned Adventurer to Lv. 30</t>
  </si>
  <si>
    <t>Unlock 10 Mana Nodes for a Shadow-Attuned Adventurer</t>
  </si>
  <si>
    <t>Use the Optimize Feature to Form a Shadow-Attuned Team</t>
  </si>
  <si>
    <t>Shadow-attuned adventurers have the advantage against light-attuned enemies. You can cycle between teams using the row of elemental icons near the top of the Teams menu.</t>
  </si>
  <si>
    <t>Place a Shadow Altar on the Castle Grounds</t>
  </si>
  <si>
    <t>Shadow Altars increase the stats of shadow-attuned adventurers. You'll be able to build your first after reaching player level 8.</t>
  </si>
  <si>
    <t>Clear Ch. 4 5-4 of the Main Campaign</t>
  </si>
  <si>
    <t>You'll want a shadow-attuned team to make it through this chapter. If you're low on might, you can power up your adventurers using the crystals you get from Avenue to Power!</t>
  </si>
  <si>
    <t>Raise a Light-Attuned Adventurer to Lv. 30</t>
  </si>
  <si>
    <t>Unlock 10 Mana Nodes for a Light-Attuned Adventurer</t>
  </si>
  <si>
    <t>Use the Optimize Feature to Form a Light-Attuned Team</t>
  </si>
  <si>
    <t>Light-attuned adventurers have the advantage against shadow-attuned enemies. You can cycle between teams using the row of elemental icons near the top of the Teams menu.</t>
  </si>
  <si>
    <t>Place a Light Altar on the Castle Grounds</t>
  </si>
  <si>
    <t>Light Altars increase the stats of light-attuned adventurers. You'll be able to build your first after reaching player level 10.</t>
  </si>
  <si>
    <t>Clear Lightsunder Ruins</t>
  </si>
  <si>
    <t>You can get all kinds of useful items for powering up your light-attuned adventurers and facilities from Lightsunder Ruins. Bring a shadow-attuned team to make 'em scream!</t>
  </si>
  <si>
    <t>Upgrade a Light Altar to Lv. 10</t>
  </si>
  <si>
    <t>You can get Light Orbs from Lightsunder Ruins.</t>
  </si>
  <si>
    <t>Clear Ch. 5 4-4 of the Main Campaign</t>
  </si>
  <si>
    <t>You'll want a light-attuned team to make it through this chapter. If you're short on might, you can power up your adventurers using the crystals you get from Avenue to Power!</t>
  </si>
  <si>
    <t>Clear Shadowsteep Ruins</t>
  </si>
  <si>
    <t>You can get all kinds of useful items for powering up your shadow-attuned adventurers and facilities from Shadowsteep Ruins. Bring a light-attuned team to purge those baddies good!</t>
  </si>
  <si>
    <t>Upgrade a Shadow Altar to Lv. 10</t>
  </si>
  <si>
    <t>You can get Shadow Orbs from Shadowsteep Ruins.</t>
  </si>
  <si>
    <t>Clear a Dragon Trial on Standard</t>
  </si>
  <si>
    <t>You can attempt Dragon Trials from the Challenge Events section of the quest menu! Power up your adventurers and dragons, and use a team of the effective element to bring your opponents down!</t>
  </si>
  <si>
    <t>Clear All Endeavors in Stage 1 of the Royal Regimen</t>
  </si>
  <si>
    <t>You'll earn this reward by clearing all of the endeavors in Stage 1 of the regimen.</t>
  </si>
  <si>
    <t>Stage 2: Intermediate Drills</t>
  </si>
  <si>
    <t>Raise a Flame-Attuned Adventurer to Lv. 70</t>
  </si>
  <si>
    <t>Unlock 20 Mana Nodes for a Flame-Attuned Adventurer</t>
  </si>
  <si>
    <t>Unlocking your adventurers' mana nodes will make them stronger! You can get Flame Orbs and Blaze Orbs from Flamehowl Ruins, and mana from Avenue to Power.</t>
  </si>
  <si>
    <t>Clear Ch. 6 3-3 of the Main Campaign</t>
  </si>
  <si>
    <t>You'll want a powerful flame-attuned team to make it through this chapter.</t>
  </si>
  <si>
    <t>Raise a Shadow-Attuned Adventurer to Lv. 70</t>
  </si>
  <si>
    <t>Unlock 20 Mana Nodes for a Shadow-Attuned Adventurer</t>
  </si>
  <si>
    <t>Unlocking your adventurers' mana nodes will make them stronger! You can get Shadow Orbs and Nightfall Orbs from Shadowsteep Ruins, and mana from Avenue to Power.</t>
  </si>
  <si>
    <t>Reach a Facility Level of Lv. 50</t>
  </si>
  <si>
    <t>Try leveling up as many facilities as you can!</t>
  </si>
  <si>
    <t>Clear Ch. 6 4-3 of the Main Campaign</t>
  </si>
  <si>
    <t>Chapter 6 4-3 of the main campaign is full of challenging foes, and you'll need a strong shadow-attuned team to make it through. If you're struggling, try leveling up your team using items from Avenue to Power!</t>
  </si>
  <si>
    <t>Advance the Main Campaign and Place a Wind Dracolith</t>
  </si>
  <si>
    <t>You'll get a Wind Dracolith for clearing Ch. 6 4-6 of the main campaign. It boosts wind-attuned dragons!</t>
  </si>
  <si>
    <t>Place a Sword Dojo on the Castle Grounds</t>
  </si>
  <si>
    <t>Dojos power up adventurers who use the corresponding weapon type in battle.</t>
  </si>
  <si>
    <t>Clear The Imperial Onslaught on Beginner</t>
  </si>
  <si>
    <t>You can challenge The Imperial Onslaught from the Challenge Events section of the quest menu. The drop rewards from these quests can be used to level up your dojos!</t>
  </si>
  <si>
    <t>Raise a Wind-Attuned Adventurer to Lv. 70</t>
  </si>
  <si>
    <t>Unlock 20 Mana Nodes for a Wind-Attuned Adventurer</t>
  </si>
  <si>
    <t>Unlocking your adventurers' mana nodes will make them stronger! You can get Wind Orbs and Storm Orbs from Windmaul Ruins, and mana from Avenue to Power.</t>
  </si>
  <si>
    <t>Advance the Main Campaign and Place a Water Dracolith</t>
  </si>
  <si>
    <t>You'll get a Water Dracolith for clearing Ch. 7 5-6 of the main campaign. It boosts water-attuned dragons!</t>
  </si>
  <si>
    <t>Raise a Water-Attuned Adventurer to Lv. 70</t>
  </si>
  <si>
    <t>Unlock 20 Mana Nodes for a Water-Attuned Adventurer</t>
  </si>
  <si>
    <t>Unlocking your adventurers' mana nodes will make them stronger! You can get Water Orbs and Stream Orbs from Waterscour Ruins, and mana from Avenue to Power.</t>
  </si>
  <si>
    <t>Raise a Light-Attuned Adventurer to Lv. 70</t>
  </si>
  <si>
    <t>Unlock 20 Mana Nodes for a Light-Attuned Adventurer</t>
  </si>
  <si>
    <t>Unlocking your adventurers' mana nodes will make them stronger! You can get Light Orbs and Radiance Orbs from Lightsunder Ruins, and mana from Avenue to Power.</t>
  </si>
  <si>
    <t>Reach 7,000 Might with a Team</t>
  </si>
  <si>
    <t>You can increase a team's might by powering up your adventurers, weapons, dragons, and wyrmprints. Try crafting and upgrading some 4★ weapons!</t>
  </si>
  <si>
    <t>Clear The Imperial Onslaught on Standard</t>
  </si>
  <si>
    <t>You can challenge The Imperial Onslaught from the Challenge Events section of the quest menu. You'll want a team of powerful adventurers and dragons with the elemental advantage!</t>
  </si>
  <si>
    <t>Clear a Dragon Trial on Expert</t>
  </si>
  <si>
    <t>You can challenge Dragon Trials from the Challenge Events section of the quest menu. Make sure to bring powerful adventurers and dragons with an elemental advantage over the foe you're facing!</t>
  </si>
  <si>
    <t>Clear All Endeavors in Stage 2 of the Royal Regimen</t>
  </si>
  <si>
    <t>You'll earn this reward by clearing all of the endeavors in Stage 2 of the regimen.</t>
  </si>
  <si>
    <t>Stage 3: Advanced Drills</t>
  </si>
  <si>
    <t>Unlock 30 Mana Nodes for a Flame-Attuned Adventurer</t>
  </si>
  <si>
    <t>You can get Flame Orbs, Blaze Orbs, and Inferno Orbs from Flamehowl Ruins, Flamewyrm's Scales and Flamewyrm's Scaldscales from Brunhilda's Trial, and mana from Avenue to Power.</t>
  </si>
  <si>
    <t>Unlock 30 Mana Nodes for a Water-Attuned Adventurer</t>
  </si>
  <si>
    <t>You can get Water Orbs, Stream Orbs, and Deluge Orbs from Waterscour Ruins, Waterwyrm's Scales and Waterwyrm's Glistscales from Mercury's Trial, and mana from Avenue to Power.</t>
  </si>
  <si>
    <t>Unlock 30 Mana Nodes for a Wind-Attuned Adventurer</t>
  </si>
  <si>
    <t>You can get Wind Orbs, Storm Orbs, and Maelstrom Orbs from Windmaul Ruins, Windwyrm's Scales and Windwyrm's Squallscales from Midgardsormr's Trial, and mana from Avenue to Power.</t>
  </si>
  <si>
    <t>Unlock 30 Mana Nodes for a Light-Attuned Adventurer</t>
  </si>
  <si>
    <t>You can get Light Orbs, Radiance Orbs, and Refulgence Orbs from Lightsunder Ruins, Lightwyrm's Scales and Lightwyrm's Glowscales from Jupiter's Trial, and mana from Avenue to Power.</t>
  </si>
  <si>
    <t>Unlock 30 Mana Nodes for a Shadow-Attuned Adventurer</t>
  </si>
  <si>
    <t>You can get Shadow Orbs, Nightfall Orbs, and Nether Orbs from Shadowsteep Ruins, Shadowwyrm's Scales and Shadowwyrm's Darkscales from Zodiark's Trial, and mana from Avenue to Power.</t>
  </si>
  <si>
    <t>Raise an Adventurer to Lv. 100</t>
  </si>
  <si>
    <t>Level up any adventurer of your choice to meet this goal!</t>
  </si>
  <si>
    <t>Unlock 40 Mana Nodes for a Flame-Attuned Adventurer</t>
  </si>
  <si>
    <t>You can get Flame Orbs, Blaze Orbs, Inferno Orbs, and Rainbow Orbs from Flamehowl Ruins, and Flamewyrm's Scales and Flamewyrm's Scaldscales from Brunhilda's Trial.</t>
  </si>
  <si>
    <t>Unlock 40 Mana Nodes for a Water-Attuned Adventurer</t>
  </si>
  <si>
    <t>You can get Water Orbs, Stream Orbs, Deluge Orbs, and Rainbow Orbs from Waterscour Ruins, and Waterwyrm's Scales and Waterwyrm's Glistscales from Mercury's Trial.</t>
  </si>
  <si>
    <t>Unlock 40 Mana Nodes for a Wind-Attuned Adventurer</t>
  </si>
  <si>
    <t>You can get Wind Orbs, Storm Orbs, Maelstrom Orbs, and Rainbow Orbs from Windmaul Ruins, and Windwyrm's Scales and Windwyrm's Squallscales from Midgardsormr's Trial.</t>
  </si>
  <si>
    <t>Unlock 40 Mana Nodes for a Light-Attuned Adventurer</t>
  </si>
  <si>
    <t>You can get Light Orbs, Radiance Orbs, Refulgence Orbs, and Rainbow Orbs from Lightsunder Ruins, and Lightwyrm's Scales and Lightwyrm's Glowscales from Jupiter's Trial.</t>
  </si>
  <si>
    <t>Unlock 40 Mana Nodes for a Shadow-Attuned Adventurer</t>
  </si>
  <si>
    <t>You can get Shadow Orbs, Nightfall Orbs, Nether Orbs, and Rainbow Orbs from Shadowsteep Ruins, and Shadowwyrm's Scales and Shadowwyrm's Darkscales from Zodiark's Trial.</t>
  </si>
  <si>
    <t>Reach 9,000 Might with a Team</t>
  </si>
  <si>
    <t>You can increase your might by powering up your adventurers, weapons, dragons, and wyrmprints. Upgrading facilities like altars and dojos will help too!</t>
  </si>
  <si>
    <t>You can attempt Void Battles from the Special Events section of the quest menu! If you don't succeed at first, keep practicing and studying the boss's attack patterns with a shadow-attuned team until you do!</t>
  </si>
  <si>
    <t>Reach 13,000 Might with a Team</t>
  </si>
  <si>
    <t>You can increase your might by powering up your adventurers, weapons, dragons, and wyrmprints. You'll want to unbind and upgrade your weapons for this challenge!</t>
  </si>
  <si>
    <t>Clear Steel Golem Strike</t>
  </si>
  <si>
    <t>You can attempt Void Battles from the quest menu! Using materials acquired by defeating the Gust Shroom to unlock the Dull Res weapon ability for water-attuned weapons will help you win!</t>
  </si>
  <si>
    <t>Clear The Imperial Onslaught on Expert</t>
  </si>
  <si>
    <t>You can challenge The Imperial Onslaught from the Challenge Events section of the quest menu. You'll want a team of powerful adventurers and dragons with the elemental advantage to clear Expert.</t>
  </si>
  <si>
    <t>Advance the Main Campaign and Place a Flame Dracolith</t>
  </si>
  <si>
    <t>You'll get a Flame Dracolith for clearing Ch. 7 5-4 of the main campaign. It boosts flame-attuned dragons!</t>
  </si>
  <si>
    <t>Advance the Main Campaign and Place a Light Dracolith</t>
  </si>
  <si>
    <t>You'll get a Light Dracolith for clearing Ch. 9 5-5 of the main campaign. It boosts light-attuned dragons!</t>
  </si>
  <si>
    <t>Reach 15,000 Might with a Team</t>
  </si>
  <si>
    <t>You can increase your might by powering up your adventurers, weapons, dragons, and wyrmprints. Upgrading facilities like altars and dojos will help raise it even faster!</t>
  </si>
  <si>
    <t>Clear Void Zephyr Strike</t>
  </si>
  <si>
    <t>You can attempt Void Battles from the Special Events section of the quest menu! Using materials acquired by defeating the Amber Golem to unlock the Dull Res weapon ability for flame-attuned weapons will help you win!</t>
  </si>
  <si>
    <t>Clear Midgardsormr's Trial on Master</t>
  </si>
  <si>
    <t>You can attempt Dragon Trials from the Challenge Events section of the quest menu! You'll want a powerful flame-attuned team to beat Midgardsormr on Master.</t>
  </si>
  <si>
    <t>Clear High Midgardsormr's Trial on Standard</t>
  </si>
  <si>
    <t>You can attempt Advanced Dragon Trials from the Challenge Events section of the quest menu! Using materials acquired by defeating Void Zephyr to unlock the High Midgardsormr's Bane weapon ability for flame-attuned weapons will help you win!</t>
  </si>
  <si>
    <t>Clear Ch. 10 6-3 of the Main Campaign</t>
  </si>
  <si>
    <t>You'll want a powerful light-attuned team to make it through this chapter.</t>
  </si>
  <si>
    <t>Advance the Main Campaign and Place a Shadow Dracolith</t>
  </si>
  <si>
    <t>You'll get a Shadow Dracolith for clearing Ch. 10 6-3 of the main campaign. It boosts shadow-attuned dragons!</t>
  </si>
  <si>
    <t>Defeat a Manticore in a Void Battle</t>
  </si>
  <si>
    <t>You can attempt Void Battles from the quest menu! Using materials acquired by defeating hermits to unlock the Fury Penetrator weapon ability will help you win!</t>
  </si>
  <si>
    <t>Reach 18,000 Might with a Team</t>
  </si>
  <si>
    <t>Defeat a Chimera in a Void Battle</t>
  </si>
  <si>
    <t>You can attempt Void Battles from the quest menu! Using materials acquired by defeating phantoms to unlock the Frenzy Res weapon ability will help you win!</t>
  </si>
  <si>
    <t>Reach 22,000 Might with a Team</t>
  </si>
  <si>
    <t>You can increase your might by powering up your adventurers, weapons, dragons, and wyrmprints. Upgrading facilities like altars and dojos will help raise even faster!</t>
  </si>
  <si>
    <t>Clear an Agito Uprising Quest on Standard</t>
  </si>
  <si>
    <t>You can attempt Agito Uprising quests from the Challenge Events section of the quest menu!</t>
  </si>
  <si>
    <t>Clear All Endeavors in Stage 3 of the Royal Regimen</t>
  </si>
  <si>
    <t>You'll earn this reward by clearing all of the endeavors in Stage 3 of the regimen.</t>
  </si>
  <si>
    <t>Needed</t>
  </si>
  <si>
    <t>RR</t>
  </si>
  <si>
    <t>Excess</t>
  </si>
  <si>
    <t>Quest Sources</t>
  </si>
  <si>
    <t>Every Quest (Suggested Might or 100,000)</t>
  </si>
  <si>
    <t>Every Quest (Suggested Might)</t>
  </si>
  <si>
    <t>Main Campaign, Avenue to Power, Raid Events</t>
  </si>
  <si>
    <t>The Imperial Onslaught (Flame)</t>
  </si>
  <si>
    <t>The Imperial Onslaught (Water)</t>
  </si>
  <si>
    <t>The Imperial Onslaught (Shadow)</t>
  </si>
  <si>
    <t>The Imperial Onslaught (Wind)</t>
  </si>
  <si>
    <t>The Imperial Onslaught (Light)</t>
  </si>
  <si>
    <t>Trials of the Mighty, Morsayati Reckoning</t>
  </si>
  <si>
    <t>Void Leaves</t>
  </si>
  <si>
    <t>Void Battles (1-5 per quest)</t>
  </si>
  <si>
    <t>Main Campaign, Elemental Ruins, Events</t>
  </si>
  <si>
    <t>Main Campaign (Very Hard), Void Battles (Expert), Events</t>
  </si>
  <si>
    <t>Dragon Trials, Events</t>
  </si>
  <si>
    <t>Advanced Dragon Trials (Prelude), Events</t>
  </si>
  <si>
    <t>The Imperial Onslaught (Master)</t>
  </si>
  <si>
    <t>LV.</t>
  </si>
  <si>
    <t>DMG</t>
  </si>
  <si>
    <t>Obtain</t>
  </si>
  <si>
    <t>Weapon 2</t>
  </si>
  <si>
    <t>Rupie Cost</t>
  </si>
  <si>
    <t>Adv HP</t>
  </si>
  <si>
    <t>Adv STR</t>
  </si>
  <si>
    <t>Dra HP</t>
  </si>
  <si>
    <t>Dra STR</t>
  </si>
  <si>
    <t>Dra DMG</t>
  </si>
  <si>
    <t>Elemental Altar</t>
  </si>
  <si>
    <t>Chapter 2</t>
  </si>
  <si>
    <t>Weapon Dojo</t>
  </si>
  <si>
    <t>Chapter 6</t>
  </si>
  <si>
    <t>Slime Statue</t>
  </si>
  <si>
    <t>Shroom Strike</t>
  </si>
  <si>
    <t>Dracolith</t>
  </si>
  <si>
    <t>Chapter 7</t>
  </si>
  <si>
    <t>Chapter 8</t>
  </si>
  <si>
    <t>Chapter 9</t>
  </si>
  <si>
    <t>Fafnir Statue</t>
  </si>
  <si>
    <t>High Midgardsormr's Trial (Standard)</t>
  </si>
  <si>
    <t>High Mercury's Trial (Standard)</t>
  </si>
  <si>
    <t>High Brunhilda's Trial (Standard)</t>
  </si>
  <si>
    <t>High Jupiter's Trial (Standard)</t>
  </si>
  <si>
    <t>High Zodiark's Trial (Standard)</t>
  </si>
  <si>
    <t>Agito Tree</t>
  </si>
  <si>
    <t>Volk's Wrath (Standard)</t>
  </si>
  <si>
    <t>Ayaha &amp; Otoha's Wrath (Standard)</t>
  </si>
  <si>
    <t>Ciella's Wrath (Standard)</t>
  </si>
  <si>
    <t>Kai Yan's Wrath (Standard)</t>
  </si>
  <si>
    <t>Tartarus's Wrath (Standard)</t>
  </si>
  <si>
    <t>Event Element</t>
  </si>
  <si>
    <t>Event Weapon</t>
  </si>
  <si>
    <t>Clear: Chapter 6</t>
  </si>
  <si>
    <t>Weapon Tablet</t>
  </si>
  <si>
    <t>Total Rupie Costs for All Facility Upgrades</t>
  </si>
  <si>
    <t>Clear: Void Ghost Strikes</t>
  </si>
  <si>
    <t>Clear: HDT (Standard)</t>
  </si>
  <si>
    <t>Main Campaign Reward</t>
  </si>
  <si>
    <t>Event Reward</t>
  </si>
  <si>
    <t>Facility Material</t>
  </si>
  <si>
    <t>Clear: Agito (Standard)</t>
  </si>
  <si>
    <t>MC Level</t>
  </si>
  <si>
    <t>Mana Cost</t>
  </si>
  <si>
    <t>Adventurers</t>
  </si>
  <si>
    <t>Quantity Needed</t>
  </si>
  <si>
    <t>Adventurer Story #2</t>
  </si>
  <si>
    <t>Total Mana</t>
  </si>
  <si>
    <t>Adventurer Story #3</t>
  </si>
  <si>
    <t>Adventurer Story #4</t>
  </si>
  <si>
    <t>Adventurer Story #5</t>
  </si>
  <si>
    <t>Ability 1 Upgrade</t>
  </si>
  <si>
    <t>Skill 1 Upgrade</t>
  </si>
  <si>
    <t>Adventurers would have their first and second skills, force strike, and all three abilities by default.</t>
  </si>
  <si>
    <t>All adventurers start with fully upgraded co-abilities and chain co-abilities.</t>
  </si>
  <si>
    <t>Ability 2 Upgrade</t>
  </si>
  <si>
    <t>Force strikes are fully upgraded and do not have varying levels.</t>
  </si>
  <si>
    <t>Skills should only have two levels. One at 80% power and one at 100% power.</t>
  </si>
  <si>
    <t>Abilities should have two levels. If applicable, use the old ability prior to V3 Revisions.</t>
  </si>
  <si>
    <t>Ability 2 should just change the affliction res from 100% to 50% and remove the potency effect.</t>
  </si>
  <si>
    <t>The weaker 'Level 1' skills and abilities are beyond the scope of V3 Re;Works.</t>
  </si>
  <si>
    <t>Skill 2 Upgrade</t>
  </si>
  <si>
    <t>Ability 3 Upgrade</t>
  </si>
  <si>
    <t>Standard Attack Level Increase</t>
  </si>
  <si>
    <t xml:space="preserve">  Mana Required Per Adventurer</t>
  </si>
  <si>
    <t>EXP Cost</t>
  </si>
  <si>
    <t>Total HP &amp; STR</t>
  </si>
  <si>
    <t>Total Adventurers</t>
  </si>
  <si>
    <t>Total EXP Needed for Adventurers</t>
  </si>
  <si>
    <t>EXP Material</t>
  </si>
  <si>
    <t>EXP per Material</t>
  </si>
  <si>
    <t>From Material Calculator</t>
  </si>
  <si>
    <t>EXP Per Materials</t>
  </si>
  <si>
    <t>Total EXP from EXP Crystals</t>
  </si>
  <si>
    <t>Notes:</t>
  </si>
  <si>
    <t>In V3 Re;Works, adventurers would earn a significant amount of EXP per quest.</t>
  </si>
  <si>
    <t>However, there is enough EXP yield from EXP crystals to cover the player's need for EXP.</t>
  </si>
  <si>
    <t>For the sake of balancing every adventurer, they will all have the same base HP and Strength stats.</t>
  </si>
  <si>
    <t>The starting stats are based on the Prince.</t>
  </si>
  <si>
    <t>The max stats are based on Gala Sarisse, Gala Leif, and Ieyasu.</t>
  </si>
  <si>
    <t xml:space="preserve">Gala Sarisse had HP of 1011 and Gala Leif had HP of 1002. This figure was rounded down to 1000 HP. </t>
  </si>
  <si>
    <t xml:space="preserve">The previous highest strength adventurer was Ieyasu had 624 Strength. This figure was rounded up to 625. </t>
  </si>
  <si>
    <t>Augments would no longer be applicable or visible. Augments would be part of the base stats gained by leveling up.</t>
  </si>
  <si>
    <t xml:space="preserve">With the +100 HP and +100 Strength of augments, the totals would be 1100 HP and 725 strength. </t>
  </si>
  <si>
    <t>The 1100 HP and 725 strength figures would be the base stats added onto with equipment and bonuses.</t>
  </si>
  <si>
    <t>These bonuses include weapons, dragons, wyrmprints, facility bonuses, weapon bonuses and Notte's Notes bonuses.</t>
  </si>
  <si>
    <t xml:space="preserve">  EXP Required per Adventurer</t>
  </si>
  <si>
    <t>Original Figures</t>
  </si>
  <si>
    <t>50% Discount</t>
  </si>
  <si>
    <t>V3 Re;Works Figures</t>
  </si>
  <si>
    <t>Dawn</t>
  </si>
  <si>
    <t>Dusk</t>
  </si>
  <si>
    <t>Lv. 1-20 Unlock Requirements</t>
  </si>
  <si>
    <t>Total Unlock Requirements</t>
  </si>
  <si>
    <t>Endeavor Rewards</t>
  </si>
  <si>
    <t>Estimated 30-50 FL Yield</t>
  </si>
  <si>
    <t>Estimated 40-60 FL Yield</t>
  </si>
  <si>
    <t>Estimated 30-60 FL Yield</t>
  </si>
  <si>
    <t>8 Hour Expedition Yield</t>
  </si>
  <si>
    <t>Fafnir Ability</t>
  </si>
  <si>
    <t>Increases the active adventurer's HP by 1%.</t>
  </si>
  <si>
    <t>Updated percentage per level.</t>
  </si>
  <si>
    <t>Increases the active adventurer's HP by 2%.</t>
  </si>
  <si>
    <t>Increases the active adventurer's HP by 3%.</t>
  </si>
  <si>
    <t>Increases the active adventurer's HP by 4%.</t>
  </si>
  <si>
    <t>Increases the active adventurer's HP by 5%.</t>
  </si>
  <si>
    <t>Increases the active adventurer's HP by 6%.</t>
  </si>
  <si>
    <t>Increases the active adventurer's HP by 7%.</t>
  </si>
  <si>
    <t>Increases the active adventurer's HP by 8%.</t>
  </si>
  <si>
    <t>Increases the active adventurer's HP by 9%.</t>
  </si>
  <si>
    <t>Increases the active adventurer's HP by 10%.</t>
  </si>
  <si>
    <t>Increases the active adventurer's HP by 11%.</t>
  </si>
  <si>
    <t>Increases the active adventurer's HP by 12%.</t>
  </si>
  <si>
    <t>Increases the active adventurer's HP by 13%.</t>
  </si>
  <si>
    <t>Increases the active adventurer's HP by 14%.</t>
  </si>
  <si>
    <t>Increases the active adventurer's HP by 15%.</t>
  </si>
  <si>
    <t>Increases the active adventurer's HP by 16%.</t>
  </si>
  <si>
    <t>Increases the active adventurer's HP by 17%.</t>
  </si>
  <si>
    <t>Increases the active adventurer's HP by 18%.</t>
  </si>
  <si>
    <t>Increases the active adventurer's HP by 19%.</t>
  </si>
  <si>
    <t>Increases the active adventurer's HP by 20%.</t>
  </si>
  <si>
    <t>Increases the active adventurer's strength by 1%.</t>
  </si>
  <si>
    <t>Increases the active adventurer's strength by 2%.</t>
  </si>
  <si>
    <t>Increases the active adventurer's strength by 3%.</t>
  </si>
  <si>
    <t>Increases the active adventurer's strength by 4%.</t>
  </si>
  <si>
    <t>Increases the active adventurer's strength by 5%.</t>
  </si>
  <si>
    <t>Increases the active adventurer's strength by 6%.</t>
  </si>
  <si>
    <t>Increases the active adventurer's strength by 7%.</t>
  </si>
  <si>
    <t>Increases the active adventurer's strength by 8%.</t>
  </si>
  <si>
    <t>Increases the active adventurer's strength by 9%.</t>
  </si>
  <si>
    <t>Increases the active adventurer's strength by 10%.</t>
  </si>
  <si>
    <t>Increases the active adventurer's strength by 11%.</t>
  </si>
  <si>
    <t>Increases the active adventurer's strength by 13%.</t>
  </si>
  <si>
    <t>Increases the active adventurer's strength by 12%.</t>
  </si>
  <si>
    <t>Increases the active adventurer's strength by 14%.</t>
  </si>
  <si>
    <t>Increases the active adventurer's strength by 15%.</t>
  </si>
  <si>
    <t>Increases the active adventurer's strength by 16%.</t>
  </si>
  <si>
    <t>Increases the active adventurer's strength by 17%.</t>
  </si>
  <si>
    <t>Increases the active adventurer's strength by 19%.</t>
  </si>
  <si>
    <t>Increases the active adventurer's strength by 18%.</t>
  </si>
  <si>
    <t>Increases the active adventurer's strength by 20%.</t>
  </si>
  <si>
    <t>Increases the active adventurer's attack skill damage by 1%.</t>
  </si>
  <si>
    <t>Increases the active adventurer's attack skill damage by 2%.</t>
  </si>
  <si>
    <t>Increases the active adventurer's attack skill damage by 3%.</t>
  </si>
  <si>
    <t>Increases the active adventurer's attack skill damage by 4%.</t>
  </si>
  <si>
    <t>Increases the active adventurer's attack skill damage by 5%.</t>
  </si>
  <si>
    <t>Increases the active adventurer's attack skill damage by 6%.</t>
  </si>
  <si>
    <t>Increases the active adventurer's attack skill damage by 7%.</t>
  </si>
  <si>
    <t>Increases the active adventurer's attack skill damage by 8%.</t>
  </si>
  <si>
    <t>Increases the active adventurer's attack skill damage by 9%.</t>
  </si>
  <si>
    <t>Increases the active adventurer's attack skill damage by 10%.</t>
  </si>
  <si>
    <t>Increases the active adventurer's attack skill damage by 11%.</t>
  </si>
  <si>
    <t>Increases the active adventurer's attack skill damage by 12%.</t>
  </si>
  <si>
    <t>Increases the active adventurer's attack skill damage by 13%.</t>
  </si>
  <si>
    <t>Increases the active adventurer's attack skill damage by 14%.</t>
  </si>
  <si>
    <t>Increases the active adventurer's attack skill damage by 15%.</t>
  </si>
  <si>
    <t>Increases the active adventurer's attack skill damage by 16%.</t>
  </si>
  <si>
    <t>Increases the active adventurer's attack skill damage by 17%.</t>
  </si>
  <si>
    <t>Increases the active adventurer's attack skill damage by 18%.</t>
  </si>
  <si>
    <t>Increases the active adventurer's attack skill damage by 19%.</t>
  </si>
  <si>
    <t>Increases the active adventurer's attack skill damage by 20%.</t>
  </si>
  <si>
    <t>Increases the active adventurer's critical rate by 0.5%.</t>
  </si>
  <si>
    <t>Updated costs only.</t>
  </si>
  <si>
    <t>Increases the active adventurer's critical rate by 1%.</t>
  </si>
  <si>
    <t>Increases the active adventurer's critical rate by 1.5%.</t>
  </si>
  <si>
    <t>Increases the active adventurer's critical rate by 2%.</t>
  </si>
  <si>
    <t>Increases the active adventurer's critical rate by 2.5%.</t>
  </si>
  <si>
    <t>Increases the active adventurer's critical rate by 3%.</t>
  </si>
  <si>
    <t>Increases the active adventurer's critical rate by 3.5%.</t>
  </si>
  <si>
    <t>Increases the active adventurer's critical rate by 4%.</t>
  </si>
  <si>
    <t>Increases the active adventurer's critical rate by 4.5%.</t>
  </si>
  <si>
    <t>Increases the active adventurer's critical rate by 5%.</t>
  </si>
  <si>
    <t>Increases the active adventurer's critical rate by 6%.</t>
  </si>
  <si>
    <t>Increases the active adventurer's critical rate by 7%.</t>
  </si>
  <si>
    <t>Increases the active adventurer's critical rate by 8%.</t>
  </si>
  <si>
    <t>Increases the active adventurer's critical rate by 9%.</t>
  </si>
  <si>
    <t>Increases the active adventurer's critical rate by 10%.</t>
  </si>
  <si>
    <t>Increases the active adventurer's critical rate by 11%.</t>
  </si>
  <si>
    <t>Increases the active adventurer's critical rate by 12%.</t>
  </si>
  <si>
    <t>Increases the active adventurer's critical rate by 13%.</t>
  </si>
  <si>
    <t>Increases the active adventurer's critical rate by 14%.</t>
  </si>
  <si>
    <t>Increases the active adventurer's critical rate by 15%.</t>
  </si>
  <si>
    <t>Adds 0.5% to the modifier applied to the active adventurer's critical damage.</t>
  </si>
  <si>
    <t>Adds 1% to the modifier applied to the active adventurer's critical damage.</t>
  </si>
  <si>
    <t>Adds 1.5% to the modifier applied to the active adventurer's critical damage.</t>
  </si>
  <si>
    <t>Adds 2% to the modifier applied to the active adventurer's critical damage.</t>
  </si>
  <si>
    <t>Adds 2.5% to the modifier applied to the active adventurer's critical damage.</t>
  </si>
  <si>
    <t>Adds 3% to the modifier applied to the active adventurer's critical damage.</t>
  </si>
  <si>
    <t>Adds 3.5% to the modifier applied to the active adventurer's critical damage.</t>
  </si>
  <si>
    <t>Adds 4% to the modifier applied to the active adventurer's critical damage.</t>
  </si>
  <si>
    <t>Adds 4.5% to the modifier applied to the active adventurer's critical damage.</t>
  </si>
  <si>
    <t>Adds 5% to the modifier applied to the active adventurer's critical damage.</t>
  </si>
  <si>
    <t>Adds 6% to the modifier applied to the active adventurer's critical damage.</t>
  </si>
  <si>
    <t>Adds 7% to the modifier applied to the active adventurer's critical damage.</t>
  </si>
  <si>
    <t>Adds 8% to the modifier applied to the active adventurer's critical damage.</t>
  </si>
  <si>
    <t>Adds 9% to the modifier applied to the active adventurer's critical damage.</t>
  </si>
  <si>
    <t>Adds 10% to the modifier applied to the active adventurer's critical damage.</t>
  </si>
  <si>
    <t>Adds 11% to the modifier applied to the active adventurer's critical damage.</t>
  </si>
  <si>
    <t>Adds 12% to the modifier applied to the active adventurer's critical damage.</t>
  </si>
  <si>
    <t>Adds 13% to the modifier applied to the active adventurer's critical damage.</t>
  </si>
  <si>
    <t>Adds 14% to the modifier applied to the active adventurer's critical damage.</t>
  </si>
  <si>
    <t>Adds 15% to the modifier applied to the active adventurer's critical damage.</t>
  </si>
  <si>
    <t>Increases the active adventurer's force strike damage by 1%.</t>
  </si>
  <si>
    <t>Increases the active adventurer's force strike damage by 2%.</t>
  </si>
  <si>
    <t>Increases the active adventurer's force strike damage by 3%.</t>
  </si>
  <si>
    <t>Increases the active adventurer's force strike damage by 4%.</t>
  </si>
  <si>
    <t>Increases the active adventurer's force strike damage by 5%.</t>
  </si>
  <si>
    <t>Increases the active adventurer's force strike damage by 6%.</t>
  </si>
  <si>
    <t>Increases the active adventurer's force strike damage by 7%.</t>
  </si>
  <si>
    <t>Increases the active adventurer's force strike damage by 8%.</t>
  </si>
  <si>
    <t>Increases the active adventurer's force strike damage by 9%.</t>
  </si>
  <si>
    <t>Increases the active adventurer's force strike damage by 10%.</t>
  </si>
  <si>
    <t>Increases the active adventurer's force strike damage by 11%.</t>
  </si>
  <si>
    <t>Increases the active adventurer's force strike damage by 12%.</t>
  </si>
  <si>
    <t>Increases the active adventurer's force strike damage by 13%.</t>
  </si>
  <si>
    <t>Increases the active adventurer's force strike damage by 14%.</t>
  </si>
  <si>
    <t>Increases the active adventurer's force strike damage by 15%.</t>
  </si>
  <si>
    <t>Increases the active adventurer's force strike damage by 16%.</t>
  </si>
  <si>
    <t>Increases the active adventurer's force strike damage by 17%.</t>
  </si>
  <si>
    <t>Increases the active adventurer's force strike damage by 18%.</t>
  </si>
  <si>
    <t>Increases the active adventurer's force strike damage by 19%.</t>
  </si>
  <si>
    <t>Increases the active adventurer's force strike damage by 20%.</t>
  </si>
  <si>
    <t>Increases the active adventurer's recovery potency by 1%.</t>
  </si>
  <si>
    <t>Increases the active adventurer's recovery potency by 2%.</t>
  </si>
  <si>
    <t>Increases the active adventurer's recovery potency by 3%.</t>
  </si>
  <si>
    <t>Increases the active adventurer's recovery potency by 4%.</t>
  </si>
  <si>
    <t>Increases the active adventurer's recovery potency by 5%.</t>
  </si>
  <si>
    <t>Increases the active adventurer's recovery potency by 6%.</t>
  </si>
  <si>
    <t>Increases the active adventurer's recovery potency by 7%.</t>
  </si>
  <si>
    <t>Increases the active adventurer's recovery potency by 8%.</t>
  </si>
  <si>
    <t>Increases the active adventurer's recovery potency by 9%.</t>
  </si>
  <si>
    <t>Increases the active adventurer's recovery potency by 10%.</t>
  </si>
  <si>
    <t>Increases the active adventurer's recovery potency by 11%.</t>
  </si>
  <si>
    <t>Increases the active adventurer's recovery potency by 12%.</t>
  </si>
  <si>
    <t>Increases the active adventurer's recovery potency by 13%.</t>
  </si>
  <si>
    <t>Increases the active adventurer's recovery potency by 14%.</t>
  </si>
  <si>
    <t>Increases the active adventurer's recovery potency by 15%.</t>
  </si>
  <si>
    <t>Increases the active adventurer's recovery potency by 16%.</t>
  </si>
  <si>
    <t>Increases the active adventurer's recovery potency by 17%.</t>
  </si>
  <si>
    <t>Increases the active adventurer's recovery potency by 18%.</t>
  </si>
  <si>
    <t>Increases the active adventurer's recovery potency by 19%.</t>
  </si>
  <si>
    <t>Increases the active adventurer's recovery potency by 20%.</t>
  </si>
  <si>
    <t>Increases the active adventurer's defense by 1%.</t>
  </si>
  <si>
    <t>Increases the active adventurer's defense by 2%.</t>
  </si>
  <si>
    <t>Increases the active adventurer's defense by 3%.</t>
  </si>
  <si>
    <t>Increases the active adventurer's defense by 4%.</t>
  </si>
  <si>
    <t>Increases the active adventurer's defense by 5%.</t>
  </si>
  <si>
    <t>Increases the active adventurer's defense by 6%.</t>
  </si>
  <si>
    <t>Increases the active adventurer's defense by 7%.</t>
  </si>
  <si>
    <t>Increases the active adventurer's defense by 8%.</t>
  </si>
  <si>
    <t>Increases the active adventurer's defense by 9%.</t>
  </si>
  <si>
    <t>Increases the active adventurer's defense by 10%.</t>
  </si>
  <si>
    <t>Increases the active adventurer's defense by 11%.</t>
  </si>
  <si>
    <t>Increases the active adventurer's defense by 12%.</t>
  </si>
  <si>
    <t>Increases the active adventurer's defense by 13%.</t>
  </si>
  <si>
    <t>Increases the active adventurer's defense by 14%.</t>
  </si>
  <si>
    <t>Increases the active adventurer's defense by 15%.</t>
  </si>
  <si>
    <t>Increases the active adventurer's defense by 17%.</t>
  </si>
  <si>
    <t>Increases the active adventurer's defense by 19%.</t>
  </si>
  <si>
    <t>Increases the active adventurer's defense by 21%.</t>
  </si>
  <si>
    <t>Increases the active adventurer's defense by 23%.</t>
  </si>
  <si>
    <t>Increases the active adventurer's defense by 25%.</t>
  </si>
  <si>
    <t>Dragon's Claws</t>
  </si>
  <si>
    <t>Each shapeshift increases strength for the remainder of the quest (up to 3 times per quest). On first shapeshift strength is increased by 4% in total. On second shapeshift strength is increased by 10% in total. On third shapeshift strength is increased by 20% in total.</t>
  </si>
  <si>
    <t>Based on unlock requirements for levels 1 to 10 for other Fafnir Abilities.</t>
  </si>
  <si>
    <t>Each shapeshift increases strength for the remainder of the quest (up to 3 times per quest). On first shapeshift strength is increased by 5% in total. On second shapeshift strength is increased by 13% in total. On third shapeshift strength is increased by 25% in total.</t>
  </si>
  <si>
    <t>Based on unlock requirements for levels 11 to 15 for other Fafnir Abilities.</t>
  </si>
  <si>
    <t>Based on unlock requirements for levels 16 to 20 for other Fafnir Abilities.</t>
  </si>
  <si>
    <t>Dragon's Scales</t>
  </si>
  <si>
    <t>Each shapeshift increases defense for the remainder of the quest (up to 3 times per quest). On first shapeshift defense is increased by 3% in total. On second shapeshift defense is increased by 8% in total. On third shapeshift defense is increased by 16% in total.</t>
  </si>
  <si>
    <t>Each shapeshift increases defense for the remainder of the quest (up to 3 times per quest). On first shapeshift defense is increased by 5% in total. On second shapeshift defense is increased by 13% in total. On third shapeshift defense is increased by 25% in total.</t>
  </si>
  <si>
    <t>Each shapeshift increases defense for the remainder of the quest (up to 3 times per quest). On first shapeshift defense is increased by 10% in total. On second shapeshift defense is increased by 21% in total. On third shapeshift defense is increased by 33% in total.</t>
  </si>
  <si>
    <t>Increases critical rate by 1% for every 5 enemies defeated (up to 3 times per quest).</t>
  </si>
  <si>
    <t>Based on unlock requirements for levels 1 to 4 for other Fafnir Abilities.</t>
  </si>
  <si>
    <t>Increases critical rate by 2% for every 5 enemies defeated (up to 3 times per quest).</t>
  </si>
  <si>
    <t>Based on unlock requirements for levels 5 to 8 for other Fafnir Abilities.</t>
  </si>
  <si>
    <t>Increases critical rate by 3% for every 5 enemies defeated (up to 3 times per quest).</t>
  </si>
  <si>
    <t>Based on unlock requirements for levels 9 to 12 for other Fafnir Abilities.</t>
  </si>
  <si>
    <t>Increases critical rate by 4% for every 5 enemies defeated (up to 3 times per quest).</t>
  </si>
  <si>
    <t>Based on unlock requirements for levels 13 to 16 for other Fafnir Abilities.</t>
  </si>
  <si>
    <t>Increases critical rate by 5% for every 5 enemies defeated (up to 3 times per quest).</t>
  </si>
  <si>
    <t>Based on unlock requirements for levels 17 to 20 for other Fafnir Abilities.</t>
  </si>
  <si>
    <t>Increases strength by 1% for every 5 enemies defeated (up to 3 times per quest).</t>
  </si>
  <si>
    <t>Increases strength by 2% for every 5 enemies defeated (up to 3 times per quest).</t>
  </si>
  <si>
    <t>Increases strength by 3% for every 5 enemies defeated (up to 3 times per quest).</t>
  </si>
  <si>
    <t>Increases strength by 4% for every 5 enemies defeated (up to 3 times per quest).</t>
  </si>
  <si>
    <t>Increases strength by 5% for every 5 enemies defeated (up to 3 times per quest).</t>
  </si>
  <si>
    <t>Dawn Amber Intake</t>
  </si>
  <si>
    <t>Increases dawn amber intake by 1%.</t>
  </si>
  <si>
    <t>Increases dawn amber intake by 2%.</t>
  </si>
  <si>
    <t>Increases dawn amber intake by 3%.</t>
  </si>
  <si>
    <t>Increases dawn amber intake by 4%.</t>
  </si>
  <si>
    <t>Increases dawn amber intake by 5%.</t>
  </si>
  <si>
    <t>Increases dawn amber intake by 6%.</t>
  </si>
  <si>
    <t>Increases dawn amber intake by 7%.</t>
  </si>
  <si>
    <t>Increases dawn amber intake by 8%.</t>
  </si>
  <si>
    <t>Increases dawn amber intake by 9%.</t>
  </si>
  <si>
    <t>Increases dawn amber intake by 10%.</t>
  </si>
  <si>
    <t>Increases dawn amber intake by 11%.</t>
  </si>
  <si>
    <t>Increases dawn amber intake by 12%.</t>
  </si>
  <si>
    <t>Increases dawn amber intake by 13%.</t>
  </si>
  <si>
    <t>Increases dawn amber intake by 14%.</t>
  </si>
  <si>
    <t>Increases dawn amber intake by 15%.</t>
  </si>
  <si>
    <t>Increases dawn amber intake by 16%.</t>
  </si>
  <si>
    <t>Increases dawn amber intake by 17%.</t>
  </si>
  <si>
    <t>Increases dawn amber intake by 18%.</t>
  </si>
  <si>
    <t>Increases dawn amber intake by 19%.</t>
  </si>
  <si>
    <t>Increases dawn amber intake by 20%.</t>
  </si>
  <si>
    <t>Dusk Amber Intake</t>
  </si>
  <si>
    <t>Increases dusk amber intake by 1%.</t>
  </si>
  <si>
    <t>Increases dusk amber intake by 2%.</t>
  </si>
  <si>
    <t>Increases dusk amber intake by 3%.</t>
  </si>
  <si>
    <t>Increases dusk amber intake by 4%.</t>
  </si>
  <si>
    <t>Increases dusk amber intake by 5%.</t>
  </si>
  <si>
    <t>Increases dusk amber intake by 6%.</t>
  </si>
  <si>
    <t>Increases dusk amber intake by 7%.</t>
  </si>
  <si>
    <t>Increases dusk amber intake by 8%.</t>
  </si>
  <si>
    <t>Increases dusk amber intake by 9%.</t>
  </si>
  <si>
    <t>Increases dusk amber intake by 10%.</t>
  </si>
  <si>
    <t>Increases dusk amber intake by 11%.</t>
  </si>
  <si>
    <t>Increases dusk amber intake by 12%.</t>
  </si>
  <si>
    <t>Increases dusk amber intake by 13%.</t>
  </si>
  <si>
    <t>Increases dusk amber intake by 14%.</t>
  </si>
  <si>
    <t>Increases dusk amber intake by 15%.</t>
  </si>
  <si>
    <t>Increases dusk amber intake by 16%.</t>
  </si>
  <si>
    <t>Increases dusk amber intake by 17%.</t>
  </si>
  <si>
    <t>Increases dusk amber intake by 18%.</t>
  </si>
  <si>
    <t>Increases dusk amber intake by 19%.</t>
  </si>
  <si>
    <t>Increases dusk amber intake by 20%.</t>
  </si>
  <si>
    <t>Increases adventurer EXP earned in the Kaleidoscape by 1%.</t>
  </si>
  <si>
    <t>Increases adventurer EXP earned in the Kaleidoscape by 2%.</t>
  </si>
  <si>
    <t>Increases adventurer EXP earned in the Kaleidoscape by 3%.</t>
  </si>
  <si>
    <t>Increases adventurer EXP earned in the Kaleidoscape by 4%.</t>
  </si>
  <si>
    <t>Increases adventurer EXP earned in the Kaleidoscape by 5%.</t>
  </si>
  <si>
    <t>Increases adventurer EXP earned in the Kaleidoscape by 6%.</t>
  </si>
  <si>
    <t>Increases adventurer EXP earned in the Kaleidoscape by 7%.</t>
  </si>
  <si>
    <t>Increases adventurer EXP earned in the Kaleidoscape by 8%.</t>
  </si>
  <si>
    <t>Increases adventurer EXP earned in the Kaleidoscape by 9%.</t>
  </si>
  <si>
    <t>Increases adventurer EXP earned in the Kaleidoscape by 10%.</t>
  </si>
  <si>
    <t>Increases adventurer EXP earned in the Kaleidoscape by 11%.</t>
  </si>
  <si>
    <t>Increases adventurer EXP earned in the Kaleidoscape by 12%.</t>
  </si>
  <si>
    <t>Increases adventurer EXP earned in the Kaleidoscape by 13%.</t>
  </si>
  <si>
    <t>Increases adventurer EXP earned in the Kaleidoscape by 14%.</t>
  </si>
  <si>
    <t>Increases adventurer EXP earned in the Kaleidoscape by 15%.</t>
  </si>
  <si>
    <t>Increases adventurer EXP earned in the Kaleidoscape by 16%.</t>
  </si>
  <si>
    <t>Increases adventurer EXP earned in the Kaleidoscape by 17%.</t>
  </si>
  <si>
    <t>Increases adventurer EXP earned in the Kaleidoscape by 18%.</t>
  </si>
  <si>
    <t>Increases adventurer EXP earned in the Kaleidoscape by 19%.</t>
  </si>
  <si>
    <t>Increases adventurer EXP earned in the Kaleidoscape by 20%.</t>
  </si>
  <si>
    <t>Total Amber Required for all Fafnir Ability Upgrades</t>
  </si>
  <si>
    <t>Keep?</t>
  </si>
  <si>
    <t>Keep</t>
  </si>
  <si>
    <t>Deals 9 hits of 181% light damage to the target and nearby enemies, and inflicts flashburn for 21 seconds - dealing 41.6% light damage every 2.9 seconds - with 120% chance. Aiming is possible during the attack.</t>
  </si>
  <si>
    <t>Deals 9 hits of 220% light damage to the target and nearby enemies, dispels one buff from each target, and inflicts flashburn for 21 seconds - dealing 50% light damage every 2.9 seconds - with 120% chance. Aiming is possible during the attack.</t>
  </si>
  <si>
    <t>Deals 46 hits of 60% water damage to the target and nearby enemies and dispels one buff from each of them.</t>
  </si>
  <si>
    <t>Replaced A Splash of Affection with Umbral Assault.</t>
  </si>
  <si>
    <t>Replaced Shanao Strike with Sakura Flurry.</t>
  </si>
  <si>
    <t>Replaced</t>
  </si>
  <si>
    <t>Deals 1 hit of 1600% wind damage to enemies directly ahead, dispels one buff from each target, and inflicts poison - dealing 58.2% wind damage every 2.9 seconds for 21 seconds - with 120% base chance</t>
  </si>
  <si>
    <t>Attack Rate +10%</t>
  </si>
  <si>
    <t>Buff Time +30%</t>
  </si>
  <si>
    <t>No</t>
  </si>
  <si>
    <t>No…</t>
  </si>
  <si>
    <t>Dragon Only</t>
  </si>
  <si>
    <t>Should be available to 90%+ of all adventurers</t>
  </si>
  <si>
    <t>Strength Amp</t>
  </si>
  <si>
    <t>Every adventurer should have access to 1 or 2 amps</t>
  </si>
  <si>
    <t>Defense Amp</t>
  </si>
  <si>
    <t>Critical Damage Amp</t>
  </si>
  <si>
    <t>Affliction Res Down</t>
  </si>
  <si>
    <t>Should be available to 1 adventurer per weapon/element combination. Lowers their XXXXX resistance by 20% for 30 seconds.</t>
  </si>
  <si>
    <t>Elemental Res Up</t>
  </si>
  <si>
    <t>Should be available to 1 adventurer per weapon/element combination. Resistance is increased by 20% for 10 seconds.</t>
  </si>
  <si>
    <t>Should be available to 1 adventurer per weapon/element combination. Only sword, blade, dagger, axe.</t>
  </si>
  <si>
    <t>Should be available to 1 adventurer per weapon/element combination.</t>
  </si>
  <si>
    <t>Should be available to 2 healers per element. Standardized to Overdamage, based on 50% of strength.</t>
  </si>
  <si>
    <t xml:space="preserve">Should be available to 1 adventurer per weapon/element combination. Should be available to 2 healers per element. </t>
  </si>
  <si>
    <t>Lv 1 Team Amp</t>
  </si>
  <si>
    <t>using XXXXX will grant the user a team XXXXX amp (Team Amp MAX Lv. = 1). After this amp is granted, this ability will not grant it again for 15 seconds.</t>
  </si>
  <si>
    <t>Lv 3 Team Amp</t>
  </si>
  <si>
    <t>using XXXXX will grant the user a team XXXXX amp (Team Amp MAX Lv. = 3). After this amp is granted, this ability will not grant it again for 30 seconds.</t>
  </si>
  <si>
    <t>Lv 3 Amp - Specific Skill</t>
  </si>
  <si>
    <t>using XXXXX will grant the user a XXXXX amp (Team Amp MAX Lv. = 3). After this amp is granted, this ability will not grant it again for 15 seconds.</t>
  </si>
  <si>
    <t>Lv 3 Amp - Any Skill</t>
  </si>
  <si>
    <t>using any skill will grant the user a XXXXX amp (Team Amp MAX Lv. = 3). After this amp is granted, this ability will not grant it again for 15 seconds.</t>
  </si>
  <si>
    <t>Lv 1 Amp</t>
  </si>
  <si>
    <t>using XXXXX will grant the user a XXXXX amp (Team Amp MAX Lv. = 1). After this amp is granted, this ability will not grant it again for 8 seconds.</t>
  </si>
  <si>
    <t>inflicts XXXXX for 21 seconds - dealing 50% XXXXX damage every 2.9 seconds - with 120% base chance.</t>
  </si>
  <si>
    <t>Defense Down</t>
  </si>
  <si>
    <t>reduces their defense by 10% for 10 seconds.</t>
  </si>
  <si>
    <t>Strength Down</t>
  </si>
  <si>
    <t>reduces their strength by 10% for 20 seconds</t>
  </si>
  <si>
    <t>reduces their strength by 20% for 15 seconds</t>
  </si>
  <si>
    <t>reduces their strength by 30% for 10 seconds</t>
  </si>
  <si>
    <t>Shield</t>
  </si>
  <si>
    <t>one-use shield that nullifies damage less than 40% of the user's maximum HP</t>
  </si>
  <si>
    <t>BLEED</t>
  </si>
  <si>
    <t>inflicts bleeding for 30 seconds - dealing 150% XXXXX damage every 4.9 seconds - with 100% base chance</t>
  </si>
  <si>
    <t>affliction Res Down</t>
  </si>
  <si>
    <t>lowers their XXXXXX resistance by 20% for 30 seconds. This resistance reduction will not stack.</t>
  </si>
  <si>
    <t>increases the entire team's max HP by 10% for the remainder of the quest. This does not stack with any other shields. Once HP buffs reach the limit of 30%, an HP recovery effect is granted instead.</t>
  </si>
  <si>
    <t>Dragon Affliction</t>
  </si>
  <si>
    <t>inflicts XXXXX for 42 seconds - dealing 100% XXXXX damage every 2.9 seconds - with 200% base chance.</t>
  </si>
  <si>
    <t>grants the user a XXXXX amp (Team Amp MAX Lv. = 1).</t>
  </si>
  <si>
    <t>DMG (Lv1)</t>
  </si>
  <si>
    <t>DMG (Lv2)</t>
  </si>
  <si>
    <t>SP Gain</t>
  </si>
  <si>
    <t>Hits</t>
  </si>
  <si>
    <t>Range</t>
  </si>
  <si>
    <t>DMG (Lv1) V3</t>
  </si>
  <si>
    <t>DMG (Lv2) V3</t>
  </si>
  <si>
    <t>SP Gain V3</t>
  </si>
  <si>
    <t>Combo 1</t>
  </si>
  <si>
    <t>Combo 2</t>
  </si>
  <si>
    <t>Combo 3</t>
  </si>
  <si>
    <t>Combo 4</t>
  </si>
  <si>
    <t>Combo 5 (Slash)</t>
  </si>
  <si>
    <t>Combo 5 (AoE Impact)</t>
  </si>
  <si>
    <t>Dash Attack</t>
  </si>
  <si>
    <t>Combo 5 (Dash)</t>
  </si>
  <si>
    <t>Combo 5 (Circle Slash)</t>
  </si>
  <si>
    <t>Combo 5</t>
  </si>
  <si>
    <t>Combo 4 (Draws enemies closer)</t>
  </si>
  <si>
    <t>Combo 5 (Big)</t>
  </si>
  <si>
    <t>Combo 5 (Small)</t>
  </si>
  <si>
    <t>Manacaster (Long-range)</t>
  </si>
  <si>
    <t>Manacaster (Close-range)</t>
  </si>
  <si>
    <t>Manacaster (Rapid-fire)</t>
  </si>
  <si>
    <t>Item Obtained</t>
  </si>
  <si>
    <t>Amnt</t>
  </si>
  <si>
    <t>Item Req.</t>
  </si>
  <si>
    <t>Item Req. 1</t>
  </si>
  <si>
    <t>Item Req. 2</t>
  </si>
  <si>
    <t>Golden Crystal</t>
  </si>
  <si>
    <t>Can only be purchased once.</t>
  </si>
  <si>
    <t>[WEAPON SKINS]</t>
  </si>
  <si>
    <t>Specific details for weapon skins are beyond the scope of V3 Re;Works.</t>
  </si>
  <si>
    <t>(Flame) Above 10 Hits = Critical Rate +13%</t>
  </si>
  <si>
    <t>If a team member is attuned to Flame: increases their critical rate by 13% when the combo count is 10 or higher. Benefits your whole team.</t>
  </si>
  <si>
    <t>(Flame) Burn = Critical Rate +13%</t>
  </si>
  <si>
    <t>If a team member is attuned to Flame: increases their critical rate by 3% for 15 seconds when they successfully burn an enemy. After activating, this ability will not activate again for 10 seconds. Benefits your whole team.</t>
  </si>
  <si>
    <t>(Flame) Damage Taken = Force Strike Damage VII</t>
  </si>
  <si>
    <t>If a team member is attuned to Flame: increases the damage dealt by their next force strike by 25% upon taking damage. Benefits your whole team.</t>
  </si>
  <si>
    <t>(Flame) HP +10%</t>
  </si>
  <si>
    <t>If a team member is attuned to Flame: increases their HP by 10%. Benefits your whole team.</t>
  </si>
  <si>
    <t>(Light) HP +10%</t>
  </si>
  <si>
    <t>If a team member is attuned to Light: increases their HP by 10%. Benefits your whole team.</t>
  </si>
  <si>
    <t>(Light) Paralyzing Edge +50%</t>
  </si>
  <si>
    <t>If a team member is attuned to Light: increases their chances of inflicting paralysis by 50%. Benefits your whole team.</t>
  </si>
  <si>
    <t>(Shadow) HP +10%</t>
  </si>
  <si>
    <t>If a team member is attuned to Shadow: increases their HP by 10%. Benefits your whole team.</t>
  </si>
  <si>
    <t>(Water) Buff Skill Time +15%</t>
  </si>
  <si>
    <t>If a team member is attuned to Water: increases duration of their buff skills by 15%. Benefits your whole team.</t>
  </si>
  <si>
    <t>(Water) HP +10%</t>
  </si>
  <si>
    <t>If a team member is attuned to Water: increases their HP by 10%. Benefits your whole team.</t>
  </si>
  <si>
    <t>(Wind) HP +10%</t>
  </si>
  <si>
    <t>If a team member is attuned to Wind: increases their HP by 10%. Benefits your whole team.</t>
  </si>
  <si>
    <t>(Wind) Poison Edge +50%</t>
  </si>
  <si>
    <t>If a team member is attuned to Wind: increases their chances of inflicting poison by 50%. Benefits your whole team.</t>
  </si>
  <si>
    <t>Shadowblight Punisher +8%</t>
  </si>
  <si>
    <t>Combo = Buff Skill Time +15%</t>
  </si>
  <si>
    <t>Increases duration of their buff skills by 15% when the combo count is 10 or higher. Benefits your whole team.</t>
  </si>
  <si>
    <t>Trash</t>
  </si>
  <si>
    <t>Combo = Critical Rate V</t>
  </si>
  <si>
    <t>Increases critical rate by 1% for every 10-hit combo. This effect can stack up to 20 times, but all stacks will be lost when the combo counter resets. Benefits your whole team.</t>
  </si>
  <si>
    <t>Critical Rate Doublebuff +10%</t>
  </si>
  <si>
    <t>Increases critical rate by 10% for 15 seconds each time they receive a defense up buff. After activating, this ability will not activate again for 15 seconds. Benefits your whole team.</t>
  </si>
  <si>
    <t>Paralysis = User Critical Rate +13%</t>
  </si>
  <si>
    <t>Increases critical rate by 13% for 15 seconds when they successfully paralyze an enemy. After activating, this ability will not activate again for 10 seconds. Benefits your whole team.</t>
  </si>
  <si>
    <t>Above 10 Hits = Critical Rate +13%</t>
  </si>
  <si>
    <t>Increases critical rate by 13% when the combo count is 10 or higher. Benefits your whole team.</t>
  </si>
  <si>
    <t>Burn = Critical Rate +13%</t>
  </si>
  <si>
    <t>Increases critical rate by 3% for 15 seconds when they successfully burn an enemy. After activating, this ability will not activate again for 10 seconds. Benefits your whole team.</t>
  </si>
  <si>
    <t>HP 60% = Critical Rate +8%</t>
  </si>
  <si>
    <t>Increases critical rate by 8% when their HP is 60% or above. Benefits your whole team.</t>
  </si>
  <si>
    <t>Poison = User Critical Rate +9%</t>
  </si>
  <si>
    <t>Increases critical rate by 9% for 15 seconds when they successfully poison an enemy. After activating, this ability will not activate again for 10 seconds. Benefits your whole team.</t>
  </si>
  <si>
    <t>Flame Dancer V</t>
  </si>
  <si>
    <t>Dragon's Claws VI</t>
  </si>
  <si>
    <t>Each shapeshift increases their strength (up to 3 times per quest). On first shapeshift strength is increased by 10% in total. On second shapeshift strength is increased by 20% in total. On third shapeshift strength is increased by 35% in total. Benefits your whole team.</t>
  </si>
  <si>
    <t>Dragon's Claws V3 Ability</t>
  </si>
  <si>
    <t>Team Defense Amp = Flame Res +6%</t>
  </si>
  <si>
    <t>Increases flame resistance by 6% when they have a team defense amp. Benefits your whole team.</t>
  </si>
  <si>
    <t>Above 10 Hits = Flame Res +10%</t>
  </si>
  <si>
    <t>Reduces flame damage taken by them by 10% when the combo count is 10 or higher. Benefits your whole team.</t>
  </si>
  <si>
    <t>HP Below 40% = Flame Res +10%</t>
  </si>
  <si>
    <t>Reduces flame damage taken by them by 10% when their HP is 40% or below. Benefits your whole team.</t>
  </si>
  <si>
    <t>HP 60% = Flame Res +6%</t>
  </si>
  <si>
    <t>Reduces flame damage taken by them by 6% when their HP is 60% or above. Benefits your whole team.</t>
  </si>
  <si>
    <t>HP 80% = Flame Res +6%</t>
  </si>
  <si>
    <t>Reduces flame damage taken by them by 6% when their HP is 80% or above. Benefits your whole team.</t>
  </si>
  <si>
    <t>Frostbite = User Flame Res +8%</t>
  </si>
  <si>
    <t>Reduces flame damage taken by them by 8% for 15 seconds when they successfully inflict an enemy with frostbite. After activating, this ability will not activate again for 10 seconds. Benefits your whole team.</t>
  </si>
  <si>
    <t>Damage Taken = Force Strike Damage VII</t>
  </si>
  <si>
    <t>Increases the damage dealt by their next force strike by 25% upon taking damage. Benefits your whole team.</t>
  </si>
  <si>
    <t>Divine Grace V?</t>
  </si>
  <si>
    <t>Increases the potency of their recovery skills by 20%. Benefits your whole team.</t>
  </si>
  <si>
    <t>Team Critical Dmg Amp = Light Res +6%</t>
  </si>
  <si>
    <t>Increases light resistance by 6% when they have a team critical damage amp. Benefits your whole team.</t>
  </si>
  <si>
    <t>Above 10 Hits = Light Res +10%</t>
  </si>
  <si>
    <t>Reduces light damage taken by them by 10% when the combo count is 10 or higher. Benefits your whole team.</t>
  </si>
  <si>
    <t>Above 10 Hits = Shadow Res +10%</t>
  </si>
  <si>
    <t>HP Below 40% = Light Res +10%</t>
  </si>
  <si>
    <t>Reduces light damage taken by them by 10% when their HP is 40% or below. Benefits your whole team.</t>
  </si>
  <si>
    <t>HP 80% = Light Res +6%</t>
  </si>
  <si>
    <t>Reduces light damage taken by them by 6% when their HP is 80% or above. Benefits your whole team.</t>
  </si>
  <si>
    <t>Poised Light Res +7%</t>
  </si>
  <si>
    <t>Reduces light damage taken by them by 7% when they are in a buff zone. Benefits your whole team.</t>
  </si>
  <si>
    <t>Poison = User Light Res +8%</t>
  </si>
  <si>
    <t>Reduces light damage taken by them by 8% for 15 seconds when they successfully poison an enemy. After activating, this ability will not activate again for 10 seconds. Benefits your whole team.</t>
  </si>
  <si>
    <t>HP 80% = Shadow Res +6%</t>
  </si>
  <si>
    <t>Reduces shadow damage taken by them by 6% when their HP is 80% or above. Benefits your whole team.</t>
  </si>
  <si>
    <t>Poised Shadow Res +7%</t>
  </si>
  <si>
    <t>Reduces shadow damage taken by them by 7% when they are in a buff zone. Benefits your whole team.</t>
  </si>
  <si>
    <t>Energy = Shadow Res +8%</t>
  </si>
  <si>
    <t>Reduces shadow damage taken by them by 8% for 15 seconds when their energy level is increased. After activating, this ability will not activate again for 15 seconds. Benefits your whole team.</t>
  </si>
  <si>
    <t>Flashburn = Shadow Res +8%</t>
  </si>
  <si>
    <t>Reduces shadow damage taken by them by 8% for 15 seconds when they successfully inflict an enemy with flashburn. After activating, this ability will not activate again for 10 seconds. Benefits your whole team.</t>
  </si>
  <si>
    <t>Paralysis = User Shadow Res +8%</t>
  </si>
  <si>
    <t>Reduces shadow damage taken by them by 8% for 15 seconds when they successfully paralyze an enemy. After activating, this ability will not activate again for 10 seconds. Benefits your whole team.</t>
  </si>
  <si>
    <t>Poised Shadowblighted Punisher +8%</t>
  </si>
  <si>
    <t>Increases damage to shadowblighted enemies by 8% when the adventurer is in a buff zone. Benefits your whole team.</t>
  </si>
  <si>
    <t>Dodge = Strength +10%</t>
  </si>
  <si>
    <t>Increases strength by 10% for 15 seconds each time they dodge an attack. After activating, this ability will not activate again for 15 seconds. Benefits your whole team.</t>
  </si>
  <si>
    <t>Increases strength by 10% for 15 seconds each time they receive a defense up buff. After activating, this ability will not activate again for 15 seconds. Benefits your whole team.</t>
  </si>
  <si>
    <t>Energy = Strength +10%</t>
  </si>
  <si>
    <t>Increases strength by 10% for 15 seconds when their energy level is increased. After activating, this ability will not activate again for 15 seconds. Benefits your whole team.</t>
  </si>
  <si>
    <t>Shadowblight = Strength +13%</t>
  </si>
  <si>
    <t>Increases strength by 13% for 15 seconds upon successfully inflicting an enemy with shadowblight. After activating, this ability will not activate again for 10 seconds. Benefits your whole team.</t>
  </si>
  <si>
    <t>Burn = User Strength +13%</t>
  </si>
  <si>
    <t>Increases strength by 13% for 15 seconds when they successfully burn an enemy. After activating, this ability will not activate again for 10 seconds. Benefits your whole team.</t>
  </si>
  <si>
    <t>Frostbite = User Strength +13%</t>
  </si>
  <si>
    <t>Increases strength by 13% for 15 seconds when they successfully inflict an enemy with frostbite. After activating, this ability will not activate again for 10 seconds. Benefits your whole team.</t>
  </si>
  <si>
    <t>Paralysis = User Strength +13%</t>
  </si>
  <si>
    <t>Increases strength by 13% for 15 seconds when they successfully paralyze an enemy. After activating, this ability will not activate again for 10 seconds. Benefits your whole team.</t>
  </si>
  <si>
    <t>Poison = User Strength +13%</t>
  </si>
  <si>
    <t>Increases strength by 13% for 15 seconds when they successfully poison an enemy. After activating, this ability will not activate again for 10 seconds. Benefits your whole team.</t>
  </si>
  <si>
    <t>Taking Damage = Strength +13%</t>
  </si>
  <si>
    <t>Increases strength by 13% for 15 seconds when they take damage. After activating, this ability will not activate again for 5 seconds. Benefits your whole team.</t>
  </si>
  <si>
    <t>Above 10 Hits = Strength +13%</t>
  </si>
  <si>
    <t>Increases strength by 13% when the combo count is 10 or higher. Benefits your whole team.</t>
  </si>
  <si>
    <t>Poised Strength +13%</t>
  </si>
  <si>
    <t>Increases strength by 13% when they are in a buff zone. Benefits your whole team.</t>
  </si>
  <si>
    <t>HP Below 40% = Strength +15%</t>
  </si>
  <si>
    <t>Increases strength by 15% when their HP is 40% or below. Benefits your whole team.</t>
  </si>
  <si>
    <t>HP 60% = Strength +6%</t>
  </si>
  <si>
    <t>Increases strength by 6% when their HP is 60% or above. Benefits your whole team.</t>
  </si>
  <si>
    <t>HP Recovery = Strength +8%</t>
  </si>
  <si>
    <t>Increases strength by 8% for 15 seconds when their HP is restored. After activating, this ability will not activate again for 10 seconds. Benefits your whole team.</t>
  </si>
  <si>
    <t>No Afflictions = Strength +6%</t>
  </si>
  <si>
    <t>Team Strength Amp = Strength +8%</t>
  </si>
  <si>
    <t>Increases strength by 8% when they have a Team Strength Amp. Benefits your whole team.</t>
  </si>
  <si>
    <t>Team Strength Amp = Water Res +6%</t>
  </si>
  <si>
    <t>Increases water resistance by 6% when they have a Team Strength Amp. Benefits your whole team.</t>
  </si>
  <si>
    <t>Above 10 Hits = Water Res +10%</t>
  </si>
  <si>
    <t>Reduces water damage taken by them by 10% when the combo count is 10 or higher. Benefits your whole team.</t>
  </si>
  <si>
    <t>Gentleman Thief V</t>
  </si>
  <si>
    <t>HP 80% = Water Res +6%</t>
  </si>
  <si>
    <t>Reduces water damage taken by them by 6% when their HP is 80% or above. Benefits your whole team.</t>
  </si>
  <si>
    <t>Water Res Doublebuff +7%</t>
  </si>
  <si>
    <t>Reduces water damage taken by them by 7% for 15 seconds each time they receive a defense up buff. After activating, this ability will not activate again for 15 seconds. Benefits your whole team.</t>
  </si>
  <si>
    <t>Stormlash = User Water Res +8%</t>
  </si>
  <si>
    <t>Reduces water damage taken by them by 8% for 15 seconds when they successfully inflict an enemy with stormlash. After activating, this ability will not activate again for 10 seconds. Benefits your whole team.</t>
  </si>
  <si>
    <t>Poison = User Water Res +8%</t>
  </si>
  <si>
    <t>Reduces water damage taken by them by 8% for 15 seconds when they successfully poison an enemy. After activating, this ability will not activate again for 10 seconds. Benefits your whole team.</t>
  </si>
  <si>
    <t>Above 10 Hits = Wind Res +10%</t>
  </si>
  <si>
    <t>Reduces wind damage taken by them by 10% when the combo count is 10 or higher. Benefits your whole team.</t>
  </si>
  <si>
    <t>HP Below 40% = Wind Res +10%</t>
  </si>
  <si>
    <t>Reduces wind damage taken by them by 10% when their HP is 40% or below. Benefits your whole team.</t>
  </si>
  <si>
    <t>HP 80% = Wind Res +6%</t>
  </si>
  <si>
    <t>Reduces wind damage taken by them by 6% when their HP is 80% or above. Benefits your whole team.</t>
  </si>
  <si>
    <t>Scorchrend = Wind Res +8%</t>
  </si>
  <si>
    <t>Reduces wind damage taken by them by 8% for 15 seconds when they successfully inflict an enemy with scorchrend. After activating, this ability will not activate again for 10 seconds. Benefits your whole team.</t>
  </si>
  <si>
    <t>Burn = User Wind Res +8%</t>
  </si>
  <si>
    <t>Reduces wind damage taken by them by 8% for 15 seconds when they successfully burn an enemy. After activating, this ability will not activate again for 10 seconds. Benefits your whole team.</t>
  </si>
  <si>
    <t>Grants them a one-use shield that nullifies damage up to 50% of their maximum HP when they are hit by an attack that inflicts an affliction. After activating, this ability will not activate again for 20 seconds. This shield does not stack with any other shields of the same type. Benefits your whole team.</t>
  </si>
  <si>
    <t>Grants them a one-use shield that nullifies damage up to 50% of their maximum HP when their HP drops to 40%. This does not stack with any other shields of the same type. Benefits your whole team.</t>
  </si>
  <si>
    <t>Grants them an HP regen buff, healing them for 4% Max HP every 3.9 seconds for 20 seconds when their HP drops to 60%. After activating, this ability will not activate again for 30 seconds. Benefits your whole team.</t>
  </si>
  <si>
    <t>(Axe) Critical Rate +10%</t>
  </si>
  <si>
    <t>Null</t>
  </si>
  <si>
    <t>If the user wields an Axe: increases critical rate by 10%.</t>
  </si>
  <si>
    <t>(Axe) Critical Rate +12%</t>
  </si>
  <si>
    <t>If the user wields an Axe: increases critical rate by 12%.</t>
  </si>
  <si>
    <t>(Axe) Skill Damage +30%</t>
  </si>
  <si>
    <t>If the user wields an Axe: increases attack skill damage by 30%.</t>
  </si>
  <si>
    <t>(Axe) Skill Damage +35%</t>
  </si>
  <si>
    <t>If the user wields an Axe: increases attack skill damage by 35%.</t>
  </si>
  <si>
    <t>(Blade) Critical Rate +10%</t>
  </si>
  <si>
    <t>If the user wields a Blade: increases critical rate by 10%.</t>
  </si>
  <si>
    <t>(Blade) Critical Rate +8%</t>
  </si>
  <si>
    <t>If the user wields a Blade: increases critical rate by 8%.</t>
  </si>
  <si>
    <t>(Blade) Skill Damage +30%</t>
  </si>
  <si>
    <t>If the user wields a Blade: increases attack skill damage by 30%.</t>
  </si>
  <si>
    <t>(Blade) Skill Damage +35%</t>
  </si>
  <si>
    <t>If the user wields a Blade: increases attack skill damage by 35%.</t>
  </si>
  <si>
    <t>(Bow) Critical Damage +20%</t>
  </si>
  <si>
    <t>If the user wields a Bow: adds 20% to the modifier applied to critical damage.</t>
  </si>
  <si>
    <t>(Bow) Critical Damage +22%</t>
  </si>
  <si>
    <t>If the user wields a Bow: adds 22% to the modifier applied to critical damage.</t>
  </si>
  <si>
    <t>(Bow) Critical Rate +10%</t>
  </si>
  <si>
    <t>If the user wields a Bow: increases critical rate by 10%.</t>
  </si>
  <si>
    <t>(Bow) Critical Rate +12%</t>
  </si>
  <si>
    <t>If the user wields a Bow: increases critical rate by 12%.</t>
  </si>
  <si>
    <t>(Bow) Skill Damage +30%</t>
  </si>
  <si>
    <t>If the user wields a Bow: increases attack skill damage by 30%.</t>
  </si>
  <si>
    <t>(Bow) Skill Damage +35%</t>
  </si>
  <si>
    <t>If the user wields a Bow: increases attack skill damage by 35%.</t>
  </si>
  <si>
    <t>(Dagger) Critical Damage +10%</t>
  </si>
  <si>
    <t>If the user wields a Dagger: adds 10% to the modifier applied]] to critical damage.</t>
  </si>
  <si>
    <t>(Dagger) Critical Damage +15%</t>
  </si>
  <si>
    <t>If the user wields a Dagger: adds 15% to the modifier applied to critical damage.</t>
  </si>
  <si>
    <t>(Dagger) Critical Rate +10%</t>
  </si>
  <si>
    <t>If the user wields a Dagger: increases critical rate by 10%.</t>
  </si>
  <si>
    <t>(Dagger) Critical Rate +8%</t>
  </si>
  <si>
    <t>If the user wields a Dagger: increases critical rate by 8%.</t>
  </si>
  <si>
    <t>(Dagger) Skill Damage +30%</t>
  </si>
  <si>
    <t>If the user wields a Dagger: increases attack skill damage by 30%.</t>
  </si>
  <si>
    <t>(Dagger) Skill Damage +35%</t>
  </si>
  <si>
    <t>If the user wields a Dagger: increases attack skill damage by 35%.</t>
  </si>
  <si>
    <t>(Flame) Affliction Guard I</t>
  </si>
  <si>
    <t>If the user is attuned to Flame: resists afflictions once per quest.</t>
  </si>
  <si>
    <t>(Flame) Affliction Guard II</t>
  </si>
  <si>
    <t>If the user is attuned to Flame: resists afflictions up to two times per quest.</t>
  </si>
  <si>
    <t>(Flame) Attack Rate &amp; Critical Rate I</t>
  </si>
  <si>
    <t>If the user is attuned to Flame: increases attack rate by 10% and critical rate by 30%.</t>
  </si>
  <si>
    <t>(Flame) Attack Rate &amp; Critical Rate II</t>
  </si>
  <si>
    <t>If the user is attuned to Flame: increases attack rate by 12% and critical rate by 35%.</t>
  </si>
  <si>
    <t>(Flame) Attack Rate &amp; Critical Rate III</t>
  </si>
  <si>
    <t>If the user is attuned to Flame: increases attack rate by 14% and critical rate by 40%.</t>
  </si>
  <si>
    <t>(Flame) Attack Rate &amp; Critical Rate IV</t>
  </si>
  <si>
    <t>If the user is attuned to Flame: increases attack rate by 17% and critical rate by 45%.</t>
  </si>
  <si>
    <t>(Flame) Blinded Punisher +10%</t>
  </si>
  <si>
    <t>If the user is attuned to Flame: increases damage to blinded enemies by 10%.</t>
  </si>
  <si>
    <t>(Flame) Blinded Punisher +15%</t>
  </si>
  <si>
    <t>If the user is attuned to Flame: increases damage to blinded enemies by 15%.</t>
  </si>
  <si>
    <t>(Flame) Buff Skill Time +15%</t>
  </si>
  <si>
    <t>If the user is attuned to Flame: increases duration of buff skills by 15%.</t>
  </si>
  <si>
    <t>(Flame) Buff Skill Time +20%</t>
  </si>
  <si>
    <t>If the user is attuned to Flame: increases duration of buff skills by 20%.</t>
  </si>
  <si>
    <t>(Flame) Burning Punisher +15%</t>
  </si>
  <si>
    <t>If the user is attuned to Flame: increases damage to burning enemies by 15%.</t>
  </si>
  <si>
    <t>(Flame) Dragon Delay Res</t>
  </si>
  <si>
    <t>If the user is attuned to Flame: completely prevents dragon delaying in Void Battles and certain other quests.</t>
  </si>
  <si>
    <t>(Flame) Dull Res</t>
  </si>
  <si>
    <t>If the user is attuned to Flame: completely prevents dulling in Void Battles and certain other quests.</t>
  </si>
  <si>
    <t>(Flame) Ending Shapeshift = Skill Gauges +50%</t>
  </si>
  <si>
    <t>If the user is attuned to Flame: fills 50% of skill gauges when the user's shapeshift is undone.</t>
  </si>
  <si>
    <t>(Flame) Fervor of the Firelord I</t>
  </si>
  <si>
    <t>If the user is attuned to Flame: adds 25% to the modifier applied to damage against wind-attuned enemies and enemies with no attunement for 45 seconds every time the dragon gauge fills by 10%. This increase will not stack, and, after activating, this ability will not activate again for five seconds.</t>
  </si>
  <si>
    <t>(Flame) Flurry Devastation +10%</t>
  </si>
  <si>
    <t>If the user is attuned to Flame: increases critical rate by 10% when the combo count is 15 or higher.</t>
  </si>
  <si>
    <t>(Flame) Flurry Devastation +8%</t>
  </si>
  <si>
    <t>If the user is attuned to Flame: increases critical rate by 8% when the combo count is 15 or higher.</t>
  </si>
  <si>
    <t>(Flame) Frenzy Res</t>
  </si>
  <si>
    <t>If the user is attuned to Flame: ignores the effects of frenzy when attacking and taking damage from enemies in Void Battles and certain other quests.</t>
  </si>
  <si>
    <t>(Flame) Full HP = Defense +15%</t>
  </si>
  <si>
    <t>If the user is attuned to Flame: increases defense by 15% when HP is full.</t>
  </si>
  <si>
    <t>(Flame) Full HP = Defense +20%</t>
  </si>
  <si>
    <t>If the user is attuned to Flame: increases defense by 20% when HP is full.</t>
  </si>
  <si>
    <t>(Flame) Full HP = Strength +8%</t>
  </si>
  <si>
    <t>If the user is attuned to Flame: increases strength by 8% when HP is full.</t>
  </si>
  <si>
    <t>(Flame) HP &amp; Strength +15%</t>
  </si>
  <si>
    <t>If the user is attuned to Flame: increases strength and HP by 15%.</t>
  </si>
  <si>
    <t>(Flame) HP &amp; Strength +23%</t>
  </si>
  <si>
    <t>If the user is attuned to Flame: increases strength and HP by 23%.</t>
  </si>
  <si>
    <t>(Flame) HP &amp; Strength +26%</t>
  </si>
  <si>
    <t>If the user is attuned to Flame: increases strength and HP by 26%.</t>
  </si>
  <si>
    <t>(Flame) HP &amp; Strength +30%</t>
  </si>
  <si>
    <t>If the user is attuned to Flame: increases strength and HP by 30%.</t>
  </si>
  <si>
    <t>(Flame) HP &amp; Strength +5%</t>
  </si>
  <si>
    <t>If the user is attuned to Flame: increases strength and HP by 5%.</t>
  </si>
  <si>
    <t>(Flame) HP &amp; Strength +6%</t>
  </si>
  <si>
    <t>If the user is attuned to Flame: increases strength and HP by 6%.</t>
  </si>
  <si>
    <t>(Flame) HP &amp; Strength +7%</t>
  </si>
  <si>
    <t>If the user is attuned to Flame: increases strength and HP by 7%.</t>
  </si>
  <si>
    <t>(Flame) HP &amp; Strength +8%</t>
  </si>
  <si>
    <t>If the user is attuned to Flame: increases strength and HP by 8%.</t>
  </si>
  <si>
    <t>If the user is attuned to Flame: increases HP by 10%.</t>
  </si>
  <si>
    <t>(Flame) HP +11%</t>
  </si>
  <si>
    <t>If the user is attuned to Flame: increases HP by 11%.</t>
  </si>
  <si>
    <t>(Flame) HP +12%</t>
  </si>
  <si>
    <t>If the user is attuned to Flame: increases HP by 12%.</t>
  </si>
  <si>
    <t>(Flame) HP +13%</t>
  </si>
  <si>
    <t>If the user is attuned to Flame: increases HP by 13%.</t>
  </si>
  <si>
    <t>(Flame) HP +20%</t>
  </si>
  <si>
    <t>If the user is attuned to Flame: increases HP by 20%.</t>
  </si>
  <si>
    <t>(Flame) HP +30%</t>
  </si>
  <si>
    <t>If the user is attuned to Flame: increases HP by 30%.</t>
  </si>
  <si>
    <t>(Flame) HP +33%</t>
  </si>
  <si>
    <t>If the user is attuned to Flame: increases HP by 33%.</t>
  </si>
  <si>
    <t>(Flame) HP +36%</t>
  </si>
  <si>
    <t>If the user is attuned to Flame: increases HP by 36%.</t>
  </si>
  <si>
    <t>(Flame) HP +39%</t>
  </si>
  <si>
    <t>If the user is attuned to Flame: increases HP by 39%.</t>
  </si>
  <si>
    <t>(Flame) HP +40%</t>
  </si>
  <si>
    <t>If the user is attuned to Flame: increases HP by 40%.</t>
  </si>
  <si>
    <t>(Flame) HP +60%</t>
  </si>
  <si>
    <t>If the user is attuned to Flame: increases HP by 60%.</t>
  </si>
  <si>
    <t>(Flame) HP 70% = Critical Rate +5%</t>
  </si>
  <si>
    <t>If the user is attuned to Flame: increases critical rate by 5% when HP is 70% or above.</t>
  </si>
  <si>
    <t>(Flame) HP 70% = Defense +3%</t>
  </si>
  <si>
    <t>If the user is attuned to Flame: increases defense by 3% when HP is 70% or above.</t>
  </si>
  <si>
    <t>(Flame) HP 70% = Defense +5%</t>
  </si>
  <si>
    <t>If the user is attuned to Flame: increases defense by 5% when HP is 70% or above.</t>
  </si>
  <si>
    <t>(Flame) HP 70% = Strength +5%</t>
  </si>
  <si>
    <t>If the user is attuned to Flame: increases strength by 5% when HP is 70% or above.</t>
  </si>
  <si>
    <t>(Flame) HP 70% = Strength +8%</t>
  </si>
  <si>
    <t>If the user is attuned to Flame: increases strength by 8% when HP is 70% or above.</t>
  </si>
  <si>
    <t>(Flame) Petrify Res</t>
  </si>
  <si>
    <t>If the user is attuned to Flame: completely prevents petrification in Void Battles and certain other quests.</t>
  </si>
  <si>
    <t>(Flame) Physian's Bane +10%</t>
  </si>
  <si>
    <t>If the user is attuned to Flame: increases damage to physians by 10%.</t>
  </si>
  <si>
    <t>(Flame) Physian's Bane +15%</t>
  </si>
  <si>
    <t>If the user is attuned to Flame: increases damage to physians by 15%.</t>
  </si>
  <si>
    <t>(Flame) Primed Strength +10%</t>
  </si>
  <si>
    <t>Increases the strength of the adventurer you are currently controlling by 10% for 10 seconds every time their initial skill, displayed at the top of their skill list, becomes available for use, providing they are Flame-attuned. After activating, this ability will not activate again for 15 seconds.</t>
  </si>
  <si>
    <t>(Flame) Skill Damage +50%</t>
  </si>
  <si>
    <t>If the user is attuned to Flame: increases attack skill damage by 50%.</t>
  </si>
  <si>
    <t>(Flame) Skill Damage +70%</t>
  </si>
  <si>
    <t>If the user is attuned to Flame: increases attack skill damage by 70%.</t>
  </si>
  <si>
    <t>(Flame) Skill Damage +90%</t>
  </si>
  <si>
    <t>If the user is attuned to Flame: increases attack skill damage by 90%.</t>
  </si>
  <si>
    <t>(Flame) Skill Haste +4%</t>
  </si>
  <si>
    <t>If the user is attuned to Flame: increases skill gauge fill rate by 4%.</t>
  </si>
  <si>
    <t>(Flame) Skill Haste +8%</t>
  </si>
  <si>
    <t>If the user is attuned to Flame: increases skill gauge fill rate by 8%.</t>
  </si>
  <si>
    <t>(Flame) Skill Prep +25%</t>
  </si>
  <si>
    <t>If the user is attuned to Flame: fills 25% of skill gauges at the start of quests.</t>
  </si>
  <si>
    <t>(Flame) Slayer's Strength +3%</t>
  </si>
  <si>
    <t>If the user is attuned to Flame: increases strength by 3% for every five enemies defeated (up to five times per quest).</t>
  </si>
  <si>
    <t>(Flame) Slayer's Strength +4%</t>
  </si>
  <si>
    <t>If the user is attuned to Flame: increases strength by 4% for every five enemies defeated (up to five times per quest).</t>
  </si>
  <si>
    <t>(Flame) Soul Eater Res</t>
  </si>
  <si>
    <t>If the user is attuned to Flame: completely negates soul eater in Void Battles and certain other quests.</t>
  </si>
  <si>
    <t>(Flame) Spectral Shield Penetrator</t>
  </si>
  <si>
    <t>If the user is attuned to Flame: ignores the effects of spectral shield when attacking enemies in Void Battles and certain other quests.</t>
  </si>
  <si>
    <t>(Flame) Strength &amp; Critical Damage I</t>
  </si>
  <si>
    <t>If the user is attuned to Flame: increases strength by 30% and adds 50% to the modifier applied to critical damage.</t>
  </si>
  <si>
    <t>(Flame) Strength &amp; Critical Damage II</t>
  </si>
  <si>
    <t>If the user is attuned to Flame: increases strength by 45% and adds 55% to the modifier applied to critical damage.</t>
  </si>
  <si>
    <t>If the user is attuned to Flame: increases strength by 33% and adds 50% to the modifier applied to critical damage.</t>
  </si>
  <si>
    <t>(Flame) Strength &amp; Critical Damage III</t>
  </si>
  <si>
    <t>If the user is attuned to Flame: increases strength by 36% and adds 50% to the modifier applied to critical damage.</t>
  </si>
  <si>
    <t>(Flame) Strength &amp; Critical Damage IV</t>
  </si>
  <si>
    <t>If the user is attuned to Flame: increases strength by 39% and adds 50% to the modifier applied to critical damage.</t>
  </si>
  <si>
    <t>(Flame) Strength &amp; Critical Damage V</t>
  </si>
  <si>
    <t>(Flame) Strength &amp; Force Strike Damage I</t>
  </si>
  <si>
    <t>If the user is attuned to Flame: increases strength by 45% and force strike damage by 50%.</t>
  </si>
  <si>
    <t>(Flame) Strength &amp; Force Strike Damage II</t>
  </si>
  <si>
    <t>If the user is attuned to Flame: increases strength by 47% and force strike damage by 50%.</t>
  </si>
  <si>
    <t>(Flame) Strength &amp; Force Strike Damage III</t>
  </si>
  <si>
    <t>If the user is attuned to Flame: increases strength by 49% and force strike damage by 50%.</t>
  </si>
  <si>
    <t>(Flame) Strength &amp; Force Strike Damage IV</t>
  </si>
  <si>
    <t>If the user is attuned to Flame: increases strength by 52% and force strike damage by 50%.</t>
  </si>
  <si>
    <t>(Flame) Strength &amp; Wind Res I</t>
  </si>
  <si>
    <t>If the user is attuned to Flame: increases strength by 35% and adds 15% to wind resistance.</t>
  </si>
  <si>
    <t>If the user is attuned to Flame: increases strength by 35%, and adds 15% to wind resistance.</t>
  </si>
  <si>
    <t>(Flame) Strength &amp; Wind Res II</t>
  </si>
  <si>
    <t>If the user is attuned to Flame: increases strength by 50% and adds 15% to wind resistance.</t>
  </si>
  <si>
    <t>If the user is attuned to Flame: increases strength by 38%, and adds 15% to wind resistance.</t>
  </si>
  <si>
    <t>(Flame) Strength &amp; Wind Res III</t>
  </si>
  <si>
    <t>If the user is attuned to Flame: increases strength by 41%, and adds 15% to wind resistance.</t>
  </si>
  <si>
    <t>(Flame) Strength &amp; Wind Res IV</t>
  </si>
  <si>
    <t>If the user is attuned to Flame: increases strength by 45%, and adds 15% to wind resistance.</t>
  </si>
  <si>
    <t>(Flame) Strength &amp; Wind Res V</t>
  </si>
  <si>
    <t>If the user is attuned to Flame: increases strength by 50%, and adds 15% to wind resistance.</t>
  </si>
  <si>
    <t>(Flame) Strength +10%</t>
  </si>
  <si>
    <t>If the user is attuned to Flame: increases strength by 10%.</t>
  </si>
  <si>
    <t>(Flame) Strength +11%</t>
  </si>
  <si>
    <t>If the user is attuned to Flame: increases strength by 11%.</t>
  </si>
  <si>
    <t>(Flame) Strength +12%</t>
  </si>
  <si>
    <t>If the user is attuned to Flame: increases strength by 12%.</t>
  </si>
  <si>
    <t>(Flame) Strength +13%</t>
  </si>
  <si>
    <t>If the user is attuned to Flame: increases strength by 13%.</t>
  </si>
  <si>
    <t>(Flame) Strength +14%</t>
  </si>
  <si>
    <t>If the user is attuned to Flame: increases strength by 14%.</t>
  </si>
  <si>
    <t>(Flame) Strength +16%</t>
  </si>
  <si>
    <t>If the user is attuned to Flame: increases strength by 16%.</t>
  </si>
  <si>
    <t>(Flame) Strength +17%</t>
  </si>
  <si>
    <t>If the user is attuned to Flame: increases strength by 17%.</t>
  </si>
  <si>
    <t>(Flame) Strength +18%</t>
  </si>
  <si>
    <t>If the user is attuned to Flame: increases strength by 18%.</t>
  </si>
  <si>
    <t>(Flame) Strength +25%</t>
  </si>
  <si>
    <t>If the user is attuned to Flame: increases strength by 25%.</t>
  </si>
  <si>
    <t>(Flame) Strength +30%</t>
  </si>
  <si>
    <t>If the user is attuned to Flame: increases strength by 30%.</t>
  </si>
  <si>
    <t>(Flame) Strength +33%</t>
  </si>
  <si>
    <t>If the user is attuned to Flame: increases strength by 33%.</t>
  </si>
  <si>
    <t>(Flame) Strength +35%</t>
  </si>
  <si>
    <t>If the user is attuned to Flame: increases strength by 35%.</t>
  </si>
  <si>
    <t>(Flame) Strength +36%</t>
  </si>
  <si>
    <t>If the user is attuned to Flame: increases strength by 36%.</t>
  </si>
  <si>
    <t>(Flame) Strength +37%</t>
  </si>
  <si>
    <t>If the user is attuned to Flame: increases strength by 37%.</t>
  </si>
  <si>
    <t>(Flame) Strength +38%</t>
  </si>
  <si>
    <t>If the user is attuned to Flame: increases strength by 38%.</t>
  </si>
  <si>
    <t>(Flame) Strength +39%</t>
  </si>
  <si>
    <t>If the user is attuned to Flame: increases strength by 39%.</t>
  </si>
  <si>
    <t>(Flame) Strength +41%</t>
  </si>
  <si>
    <t>If the user is attuned to Flame: increases strength by 41%.</t>
  </si>
  <si>
    <t>(Flame) Strength +42%</t>
  </si>
  <si>
    <t>If the user is attuned to Flame: increases strength by 42%.</t>
  </si>
  <si>
    <t>(Flame) Strength +50%</t>
  </si>
  <si>
    <t>If the user is attuned to Flame: increases strength by 50%.</t>
  </si>
  <si>
    <t>(Flame) Strength +55%</t>
  </si>
  <si>
    <t>If the user is attuned to Flame: increases strength by 55%.</t>
  </si>
  <si>
    <t>(Flame) Strength I &amp; HP 50% = Strength +20%</t>
  </si>
  <si>
    <t>If the user is attuned to Flame: increases strength by 40%, and increases strength by an additional 20% when HP is 50% or above.</t>
  </si>
  <si>
    <t>(Flame) Strength II &amp; HP 50% = Strength +20%</t>
  </si>
  <si>
    <t>If the user is attuned to Flame: increases strength by 45%, and increases strength by an additional 20% when HP is 50% or above.</t>
  </si>
  <si>
    <t>(Flame) Strength III &amp; HP 50% = Strength +20%</t>
  </si>
  <si>
    <t>If the user is attuned to Flame: increases strength by 50%, and increases strength by an additional 20% when HP is 50% or above.</t>
  </si>
  <si>
    <t>(Flame) Strength IV &amp; HP 50% = Strength +20%</t>
  </si>
  <si>
    <t>If the user is attuned to Flame: increases strength by 55%, and increases strength by an additional 20% when HP is 50% or above.</t>
  </si>
  <si>
    <t>(Flame) Striking Haste I &amp; Gauge Decelerator +30%</t>
  </si>
  <si>
    <t>If the user is attuned to Flame: increases skill gauge fill rate by 20% when the user's force strikes connect, but slows the rate the mode gauge decreases by 30%.</t>
  </si>
  <si>
    <t>(Flame) Thaumian's Bane +10%</t>
  </si>
  <si>
    <t>If the user is attuned to Flame: increases damage to thaumians by 10%.</t>
  </si>
  <si>
    <t>(Flame) Thaumian's Bane +15%</t>
  </si>
  <si>
    <t>If the user is attuned to Flame: increases damage to thaumians by 15%.</t>
  </si>
  <si>
    <t>(Flame) Undead's Bane +10%</t>
  </si>
  <si>
    <t>If the user is attuned to Flame: increases damage to undead by 10%.</t>
  </si>
  <si>
    <t>(Flame) Undead's Bane +15%</t>
  </si>
  <si>
    <t>If the user is attuned to Flame: increases damage to undead by 15%.</t>
  </si>
  <si>
    <t>(Flame) Unyielding Offense +2%</t>
  </si>
  <si>
    <t>If the user is attuned to Flame: increases strength by 2% for the remainder of the quest when the user's HP drops to 70% (five times per quest).</t>
  </si>
  <si>
    <t>(Lance) Skill Damage +30%</t>
  </si>
  <si>
    <t>If the user wields a Lance: increases attack skill damage by 30%.</t>
  </si>
  <si>
    <t>(Lance) Skill Damage +35%</t>
  </si>
  <si>
    <t>If the user wields a Lance: increases attack skill damage by 35%.</t>
  </si>
  <si>
    <t>(Light) Affliction Guard I</t>
  </si>
  <si>
    <t>If the user is attuned to Light: resists afflictions once per quest.</t>
  </si>
  <si>
    <t>(Light) Affliction Guard II</t>
  </si>
  <si>
    <t>If the user is attuned to Light: resists afflictions up to two times per quest.</t>
  </si>
  <si>
    <t>(Light) Buff Skill Time +15%</t>
  </si>
  <si>
    <t>If the user is attuned to Light: increases duration of buff skills by 15%.</t>
  </si>
  <si>
    <t>(Light) Buff Skill Time +20%</t>
  </si>
  <si>
    <t>If the user is attuned to Light: increases duration of buff skills by 20%.</t>
  </si>
  <si>
    <t>(Light) Chariot Rider I</t>
  </si>
  <si>
    <t>If the user is attuned to Light: increases strength by 30%, increases the user's energy level by one stage for every 5 seconds that pass, and provides a further increase to the user's strength based on the user's energy level, from a minimum of 25% at level one, up to a maximum of 45% when the user is energized.</t>
  </si>
  <si>
    <t>(Light) Chariot Rider II</t>
  </si>
  <si>
    <t>If the user is attuned to Light: increases strength by 35%, increases the user's energy level by one stage for every 5 seconds that pass, and provides a further increase to the user's strength based on the user's energy level, from a minimum of 25% at level one, up to a maximum of 45% when the user is energized.</t>
  </si>
  <si>
    <t>(Light) Chariot Rider III</t>
  </si>
  <si>
    <t>If the user is attuned to Light: increases strength by 40%, increases the user's energy level by one stage for every 5 seconds that pass, and provides a further increase to the user's strength based on the user's energy level, from a minimum of 25% at level one, up to a maximum of 45% when the user is energized.</t>
  </si>
  <si>
    <t>(Light) Chariot Rider IV</t>
  </si>
  <si>
    <t>If the user is attuned to Light: increases strength by 45%, increases the user's energy level by one stage for every 5 seconds that pass, and provides a further increase to the user's strength based on the user's energy level, from a minimum of 25% at level one, up to a maximum of 45% when the user is energized.</t>
  </si>
  <si>
    <t>(Light) Copy Punisher</t>
  </si>
  <si>
    <t>If the user is attuned to Light: increases damage to copies created by Propagation by 2000% in Void Battles and certain other quests.</t>
  </si>
  <si>
    <t>(Light) Critical Damage +50%</t>
  </si>
  <si>
    <t>If the user is attuned to Light: adds 50% to the modifier applied to critical damage.</t>
  </si>
  <si>
    <t>(Light) Critical Damage +55%</t>
  </si>
  <si>
    <t>If the user is attuned to Light: adds 55% to the modifier applied to critical damage.</t>
  </si>
  <si>
    <t>(Light) Critical Damage +60%</t>
  </si>
  <si>
    <t>If the user is attuned to Light: adds 60% to the modifier applied to critical damage.</t>
  </si>
  <si>
    <t>(Light) Critical Damage +65%</t>
  </si>
  <si>
    <t>If the user is attuned to Light: adds 65% to the modifier applied to critical damage.</t>
  </si>
  <si>
    <t>(Light) Critical Rate +5%</t>
  </si>
  <si>
    <t>If the user is attuned to Light: increases critical rate by 5%.</t>
  </si>
  <si>
    <t>(Light) Critical Rate +6%</t>
  </si>
  <si>
    <t>If the user is attuned to Light: increases critical rate by 6%.</t>
  </si>
  <si>
    <t>(Light) Curse Res +25%</t>
  </si>
  <si>
    <t>If the user is attuned to Light: reduces susceptibility to curses by 25%.</t>
  </si>
  <si>
    <t>(Light) Curse Res +35%</t>
  </si>
  <si>
    <t>If the user is attuned to Light: reduces susceptibility to curses by 35%.</t>
  </si>
  <si>
    <t>(Light) Curse Res +40%</t>
  </si>
  <si>
    <t>If the user is attuned to Light: reduces susceptibility to curses by 40%.</t>
  </si>
  <si>
    <t>(Light) Dull Res</t>
  </si>
  <si>
    <t>If the user is attuned to Light: completely prevents dulling in Void Battles and certain other quests.</t>
  </si>
  <si>
    <t>(Light) Emissary of the Box of Hope I</t>
  </si>
  <si>
    <t>If the user is attuned to Light: increases strength by 10% for every Joyful Radiance stack the user has. The user will be granted four Joyful Radiance stacks at the start of quests, and they will be granted an additional stack every time their strength, defense, elemental resistance, critical rate, critical damage, energy level, or inspiration level is increased by one of their own skills. Amps do not count for this effect. Joyful Radiance can stack up to four times, and one stack will be consumed every 20 seconds.</t>
  </si>
  <si>
    <t>(Light) Emissary of the Box of Hope II</t>
  </si>
  <si>
    <t>If the user is attuned to Light: increases strength by 12% for every Joyful Radiance stack the user has. The user will be granted four Joyful Radiance stacks at the start of quests, and they will be granted an additional stack every time their strength, defense, elemental resistance, critical rate, critical damage, energy level, or inspiration level is increased by one of their own skills. Amps do not count for this effect. Joyful Radiance can stack up to four times, and one stack will be consumed every 20 seconds.</t>
  </si>
  <si>
    <t>(Light) Emissary of the Box of Hope III</t>
  </si>
  <si>
    <t>If the user is attuned to Light: increases strength by 14% for every Joyful Radiance stack the user has. The user will be granted four Joyful Radiance stacks at the start of quests, and they will be granted an additional stack every time their strength, defense, elemental resistance, critical rate, critical damage, energy level, or inspiration level is increased by one of their own skills. Amps do not count for this effect. Joyful Radiance can stack up to four times, and one stack will be consumed every 20 seconds.</t>
  </si>
  <si>
    <t>(Light) Emissary of the Box of Hope IV</t>
  </si>
  <si>
    <t>If the user is attuned to Light: increases strength by 16% for every Joyful Radiance stack the user has. The user will be granted four Joyful Radiance stacks at the start of quests, and they will be granted an additional stack every time their strength, defense, elemental resistance, critical rate, critical damage, energy level, or inspiration level is increased by one of their own skills. Amps do not count for this effect. Joyful Radiance can stack up to four times, and one stack will be consumed every 20 seconds.</t>
  </si>
  <si>
    <t>(Light) Enervation Res</t>
  </si>
  <si>
    <t>If the user is attuned to Light: completely prevents enervation in Void Battles and certain other quests.</t>
  </si>
  <si>
    <t>(Light) Flurry Strength +20%</t>
  </si>
  <si>
    <t>If the user is attuned to Light: increases strength by 20% when the combo count is 15 or higher.</t>
  </si>
  <si>
    <t>(Light) Frenzy Res</t>
  </si>
  <si>
    <t>If the user is attuned to Light: ignores the effects of frenzy when attacking and taking damage from enemies in Void Battles and certain other quests.</t>
  </si>
  <si>
    <t>(Light) Fury Penetrator</t>
  </si>
  <si>
    <t>If the user is attuned to Light: ignores the effects of fury when attacking enemies in Void Battles and certain other quests.</t>
  </si>
  <si>
    <t>(Light) HP &amp; Strength +13%</t>
  </si>
  <si>
    <t>If the user is attuned to Light: increases strength and HP by 13%.</t>
  </si>
  <si>
    <t>(Light) HP &amp; Strength +16%</t>
  </si>
  <si>
    <t>If the user is attuned to Light: increases strength and HP by 16%.</t>
  </si>
  <si>
    <t>(Light) HP &amp; Strength +17%</t>
  </si>
  <si>
    <t>If the user is attuned to Light: increases strength and HP by 17%.</t>
  </si>
  <si>
    <t>(Light) HP &amp; Strength +18%</t>
  </si>
  <si>
    <t>If the user is attuned to Light: increases strength and HP by 18%.</t>
  </si>
  <si>
    <t>(Light) HP &amp; Strength +23%</t>
  </si>
  <si>
    <t>If the user is attuned to Light: increases strength and HP by 23%.</t>
  </si>
  <si>
    <t>(Light) HP &amp; Strength +26%</t>
  </si>
  <si>
    <t>If the user is attuned to Light: increases strength and HP by 26%.</t>
  </si>
  <si>
    <t>(Light) HP &amp; Strength +30%</t>
  </si>
  <si>
    <t>If the user is attuned to Light: increases strength and HP by 30%.</t>
  </si>
  <si>
    <t>(Light) HP &amp; Strength +35%</t>
  </si>
  <si>
    <t>If the user is attuned to Light: increases strength and HP by 35%.</t>
  </si>
  <si>
    <t>(Light) HP &amp; Strength +5%</t>
  </si>
  <si>
    <t>If the user is attuned to Light: increases strength and HP by 5%.</t>
  </si>
  <si>
    <t>(Light) HP &amp; Strength +6%</t>
  </si>
  <si>
    <t>If the user is attuned to Light: increases strength and HP by 6%.</t>
  </si>
  <si>
    <t>(Light) HP &amp; Strength +7%</t>
  </si>
  <si>
    <t>If the user is attuned to Light: increases strength and HP by 7%.</t>
  </si>
  <si>
    <t>(Light) HP &amp; Strength +8%</t>
  </si>
  <si>
    <t>If the user is attuned to Light: increases strength and HP by 8%.</t>
  </si>
  <si>
    <t>(Light) HP &amp; Strength +9%</t>
  </si>
  <si>
    <t>If the user is attuned to Light: increases strength and HP by 9%.</t>
  </si>
  <si>
    <t>If the user is attuned to Light: increases HP by 10%.</t>
  </si>
  <si>
    <t>(Light) HP +11%</t>
  </si>
  <si>
    <t>If the user is attuned to Light: increases HP by 11%.</t>
  </si>
  <si>
    <t>(Light) HP +12%</t>
  </si>
  <si>
    <t>If the user is attuned to Light: increases HP by 12%.</t>
  </si>
  <si>
    <t>(Light) HP +13%</t>
  </si>
  <si>
    <t>If the user is attuned to Light: increases HP by 13%.</t>
  </si>
  <si>
    <t>(Light) HP +20%</t>
  </si>
  <si>
    <t>If the user is attuned to Light: increases HP by 20%.</t>
  </si>
  <si>
    <t>(Light) HP +22%</t>
  </si>
  <si>
    <t>If the user is attuned to Light: increases HP by 22%.</t>
  </si>
  <si>
    <t>(Light) HP +24%</t>
  </si>
  <si>
    <t>If the user is attuned to Light: increases HP by 24%.</t>
  </si>
  <si>
    <t>(Light) HP +27%</t>
  </si>
  <si>
    <t>If the user is attuned to Light: increases HP by 27%.</t>
  </si>
  <si>
    <t>(Light) HP +30%</t>
  </si>
  <si>
    <t>If the user is attuned to Light: increases HP by 30%.</t>
  </si>
  <si>
    <t>(Light) HP +33%</t>
  </si>
  <si>
    <t>If the user is attuned to Light: increases HP by 33%.</t>
  </si>
  <si>
    <t>(Light) HP +36%</t>
  </si>
  <si>
    <t>If the user is attuned to Light: increases HP by 36%.</t>
  </si>
  <si>
    <t>(Light) HP +39%</t>
  </si>
  <si>
    <t>If the user is attuned to Light: increases HP by 39%.</t>
  </si>
  <si>
    <t>(Light) HP +40%</t>
  </si>
  <si>
    <t>If the user is attuned to Light: increases HP by 40%.</t>
  </si>
  <si>
    <t>(Light) HP +50%</t>
  </si>
  <si>
    <t>If the user is attuned to Light: increases HP by 50%.</t>
  </si>
  <si>
    <t>(Light) HP +55%</t>
  </si>
  <si>
    <t>If the user is attuned to Light: increases HP by 55%.</t>
  </si>
  <si>
    <t>(Light) HP +60%</t>
  </si>
  <si>
    <t>If the user is attuned to Light: increases HP by 60%.</t>
  </si>
  <si>
    <t>(Light) HP 50% = Defense +4%</t>
  </si>
  <si>
    <t>If the user is attuned to Light: increases defense by 4% when HP is 50% or above.</t>
  </si>
  <si>
    <t>(Light) HP 50% = Defense +7%</t>
  </si>
  <si>
    <t>If the user is attuned to Light: increases defense by 7% when HP is 50% or above.</t>
  </si>
  <si>
    <t>(Light) HP 50% = Healing +12%</t>
  </si>
  <si>
    <t>If the user is attuned to Light: increases the potency of recovery skills by 12% when HP is 50% or above.</t>
  </si>
  <si>
    <t>(Light) HP 50% = Healing +7%</t>
  </si>
  <si>
    <t>If the user is attuned to Light: increases the potency of recovery skills by 7% when HP is 50% or above.</t>
  </si>
  <si>
    <t>(Light) HP 50% = Strength +7%</t>
  </si>
  <si>
    <t>If the user is attuned to Light: increases strength by 7% when HP is 50% or above.</t>
  </si>
  <si>
    <t>(Light) HP 70% = Defense +3%</t>
  </si>
  <si>
    <t>If the user is attuned to Light: increases defense by 3% when HP is 70% or above.</t>
  </si>
  <si>
    <t>(Light) HP 70% = Defense +5%</t>
  </si>
  <si>
    <t>If the user is attuned to Light: increases defense by 5% when HP is 70% or above.</t>
  </si>
  <si>
    <t>(Light) HP 70% = Strength +5%</t>
  </si>
  <si>
    <t>If the user is attuned to Light: increases strength by 5% when HP is 70% or above.</t>
  </si>
  <si>
    <t>(Light) HP 70% = Strength +8%</t>
  </si>
  <si>
    <t>If the user is attuned to Light: increases strength by 8% when HP is 70% or above.</t>
  </si>
  <si>
    <t>(Light) Overdrive Punisher +20%</t>
  </si>
  <si>
    <t>If the user is attuned to Light: increases damage to enemies in overdrive state by 20%.</t>
  </si>
  <si>
    <t>(Light) Overdrive Punisher +25%</t>
  </si>
  <si>
    <t>If the user is attuned to Light: increases damage to enemies in overdrive state by 25%.</t>
  </si>
  <si>
    <t>(Light) Paralyzed Punisher +10%</t>
  </si>
  <si>
    <t>If the user is attuned to Light: increases damage to paralyzed enemies by 10%.</t>
  </si>
  <si>
    <t>(Light) Paralyzed Punisher +15%</t>
  </si>
  <si>
    <t>If the user is attuned to Light: increases damage to paralyzed enemies by 15%.</t>
  </si>
  <si>
    <t>(Light) Petrify Res</t>
  </si>
  <si>
    <t>If the user is attuned to Light: completely prevents petrification in Void Battles and certain other quests.</t>
  </si>
  <si>
    <t>(Light) Physian's Bane +10%</t>
  </si>
  <si>
    <t>If the user is attuned to Light: increases damage to physians by 10%.</t>
  </si>
  <si>
    <t>(Light) Physian's Bane +15%</t>
  </si>
  <si>
    <t>If the user is attuned to Light: increases damage to physians by 15%.</t>
  </si>
  <si>
    <t>(Light) Raphael's Aid I</t>
  </si>
  <si>
    <t>If the user is attuned to Light: when the user takes damage, restores their HP with 108% Recovery Potency, and grants them the "Raphael's Aid" effect for 30 seconds. During Raphael's Aid, the user's defense is increased by 30%. After activating, this ability will not activate again for 60 seconds.</t>
  </si>
  <si>
    <t>(Light) Recovery Potency +5%</t>
  </si>
  <si>
    <t>If the user is attuned to Light: increases the potency of recovery skills by 5%.</t>
  </si>
  <si>
    <t>(Light) Skill Haste +25%</t>
  </si>
  <si>
    <t>If the user is attuned to Light: increases skill gauge fill rate by 25%.</t>
  </si>
  <si>
    <t>(Light) Skill Haste +35%</t>
  </si>
  <si>
    <t>If the user is attuned to Light: increases skill gauge fill rate by 35%.</t>
  </si>
  <si>
    <t>(Light) Skill Haste +4%</t>
  </si>
  <si>
    <t>If the user is attuned to Light: increases skill gauge fill rate by 4%.</t>
  </si>
  <si>
    <t>(Light) Skill Haste +5%</t>
  </si>
  <si>
    <t>If the user is attuned to Light: increases skill gauge fill rate by 5%.</t>
  </si>
  <si>
    <t>(Light) Skill Prep +25%</t>
  </si>
  <si>
    <t>If the user is attuned to Light: fills 25% of skill gauges at the start of quests.</t>
  </si>
  <si>
    <t>(Light) Skill Prep +50%</t>
  </si>
  <si>
    <t>If the user is attuned to Light: fills 50% of skill gauges at the start of quests.</t>
  </si>
  <si>
    <t>(Light) Slayer's Strength +3%</t>
  </si>
  <si>
    <t>If the user is attuned to Light: increases strength by 3% for every five enemies defeated (up to five times per quest).</t>
  </si>
  <si>
    <t>(Light) Slayer's Strength +4%</t>
  </si>
  <si>
    <t>If the user is attuned to Light: increases strength by 4% for every five enemies defeated (up to five times per quest).</t>
  </si>
  <si>
    <t>(Light) Strength &amp; Shadow Res I</t>
  </si>
  <si>
    <t>If the user is attuned to Light: increases strength by 35%, and adds 15% to shadow resistance.</t>
  </si>
  <si>
    <t>If the user is attuned to Light: increases strength by 35% and adds 15% to shadow resistance.</t>
  </si>
  <si>
    <t>(Light) Strength &amp; Shadow Res II</t>
  </si>
  <si>
    <t>If the user is attuned to Light: increases strength by 38%, and adds 15% to shadow resistance.</t>
  </si>
  <si>
    <t>If the user is attuned to Light: increases strength by 50% and adds 15% to shadow resistance.</t>
  </si>
  <si>
    <t>(Light) Strength &amp; Shadow Res III</t>
  </si>
  <si>
    <t>If the user is attuned to Light: increases strength by 41%, and adds 15% to shadow resistance.</t>
  </si>
  <si>
    <t>(Light) Strength &amp; Shadow Res IV</t>
  </si>
  <si>
    <t>If the user is attuned to Light: increases strength by 45%, and adds 15% to shadow resistance.</t>
  </si>
  <si>
    <t>(Light) Strength &amp; Shadow Res V</t>
  </si>
  <si>
    <t>If the user is attuned to Light: increases strength by 50%, and adds 15% to shadow resistance.</t>
  </si>
  <si>
    <t>(Light) Strength +10%</t>
  </si>
  <si>
    <t>If the user is attuned to Light: increases strength by 10%.</t>
  </si>
  <si>
    <t>(Light) Strength +11%</t>
  </si>
  <si>
    <t>If the user is attuned to Light: increases strength by 11%.</t>
  </si>
  <si>
    <t>(Light) Strength +12%</t>
  </si>
  <si>
    <t>If the user is attuned to Light: increases strength by 12%.</t>
  </si>
  <si>
    <t>(Light) Strength +13%</t>
  </si>
  <si>
    <t>If the user is attuned to Light: increases strength by 13%.</t>
  </si>
  <si>
    <t>(Light) Strength +20%</t>
  </si>
  <si>
    <t>If the user is attuned to Light: increases strength by 20%.</t>
  </si>
  <si>
    <t>(Light) Strength +30%</t>
  </si>
  <si>
    <t>If the user is attuned to Light: increases strength by 30%.</t>
  </si>
  <si>
    <t>(Light) Strength +32%</t>
  </si>
  <si>
    <t>If the user is attuned to Light: increases strength by 32%.</t>
  </si>
  <si>
    <t>(Light) Strength +33%</t>
  </si>
  <si>
    <t>If the user is attuned to Light: increases strength by 33%.</t>
  </si>
  <si>
    <t>(Light) Strength +34%</t>
  </si>
  <si>
    <t>If the user is attuned to Light: increases strength by 34%.</t>
  </si>
  <si>
    <t>(Light) Strength +35%</t>
  </si>
  <si>
    <t>If the user is attuned to Light: increases strength by 35%.</t>
  </si>
  <si>
    <t>(Light) Strength +36%</t>
  </si>
  <si>
    <t>If the user is attuned to Light: increases strength by 36%.</t>
  </si>
  <si>
    <t>(Light) Strength +37%</t>
  </si>
  <si>
    <t>If the user is attuned to Light: increases strength by 37%.</t>
  </si>
  <si>
    <t>(Light) Strength +38%</t>
  </si>
  <si>
    <t>If the user is attuned to Light: increases strength by 38%.</t>
  </si>
  <si>
    <t>(Light) Strength +39%</t>
  </si>
  <si>
    <t>If the user is attuned to Light: increases strength by 39%.</t>
  </si>
  <si>
    <t>(Light) Strength +41%</t>
  </si>
  <si>
    <t>If the user is attuned to Light: increases strength by 41%.</t>
  </si>
  <si>
    <t>(Light) Strength +47%</t>
  </si>
  <si>
    <t>If the user is attuned to Light: increases strength by 47%.</t>
  </si>
  <si>
    <t>(Light) Strength +49%</t>
  </si>
  <si>
    <t>If the user is attuned to Light: increases strength by 49%.</t>
  </si>
  <si>
    <t>(Light) Strength +52%</t>
  </si>
  <si>
    <t>If the user is attuned to Light: increases strength by 52%.</t>
  </si>
  <si>
    <t>(Light) Strength +80%</t>
  </si>
  <si>
    <t>If the user is attuned to Light: increases strength by 80%.</t>
  </si>
  <si>
    <t>(Light) Strength +85%</t>
  </si>
  <si>
    <t>If the user is attuned to Light: increases strength by 85%.</t>
  </si>
  <si>
    <t>(Light) Strength +90%</t>
  </si>
  <si>
    <t>If the user is attuned to Light: increases strength by 90%.</t>
  </si>
  <si>
    <t>(Light) Strength +95%</t>
  </si>
  <si>
    <t>If the user is attuned to Light: increases strength by 95%.</t>
  </si>
  <si>
    <t>(Light) Stunned Punisher +15%</t>
  </si>
  <si>
    <t>If the user is attuned to Light: increases damage to stunned enemies by 15%.</t>
  </si>
  <si>
    <t>(Light) Thaumian's Bane +10%</t>
  </si>
  <si>
    <t>If the user is attuned to Wind: increases damage to thaumians by 10%.</t>
  </si>
  <si>
    <t>(Light) Thaumian's Bane +15%</t>
  </si>
  <si>
    <t>If the user is attuned to Light: increases damage to thaumians by 15%.</t>
  </si>
  <si>
    <t>(Light) Thunder Bringer I</t>
  </si>
  <si>
    <t>If the user is attuned to Light: When the user's shapeshift is undone, energizes them and increases the entire team's energy levels by one stage.</t>
  </si>
  <si>
    <t>(Light) Tropical Troublemaker I</t>
  </si>
  <si>
    <t>If the user is attuned to Light: fills 50% of skill gauges at the start of quests and increases damage to flashburned enemies by 20% when the user has a team defense amp.</t>
  </si>
  <si>
    <t>(Light) Undead's Bane +10%</t>
  </si>
  <si>
    <t>If the user is attuned to Light: increases damage to undead by 10%.</t>
  </si>
  <si>
    <t>(Light) Undead's Bane +15%</t>
  </si>
  <si>
    <t>If the user is attuned to Light: increases damage to undead by 15%.</t>
  </si>
  <si>
    <t>(Light) Unyielding Offense +2%</t>
  </si>
  <si>
    <t>If the user is attuned to Light: increases strength by 2% for the remainder of the quest when the user's HP drops to 70% (five times per quest).</t>
  </si>
  <si>
    <t>(Light) Whirlwind Strength +20%</t>
  </si>
  <si>
    <t>(Light) Whirlwind Strength +25%</t>
  </si>
  <si>
    <t>(Light) Whirlwind Strength +40%</t>
  </si>
  <si>
    <t>If the user is attuned to Light: increases strength by 40% when the combo count is 30 or higher.</t>
  </si>
  <si>
    <t>(Light) Whirlwind Strength +50%</t>
  </si>
  <si>
    <t>If the user is attuned to Light: increases strength by 50% when the combo count is 30 or higher.</t>
  </si>
  <si>
    <t>(Manacaster) Critical Damage +10%</t>
  </si>
  <si>
    <t>If the user wields a Manacaster: adds 10% to the modifier applied to critical damage.</t>
  </si>
  <si>
    <t>(Manacaster) Critical Damage +15%</t>
  </si>
  <si>
    <t>If the user wields a Manacaster: adds 15% to the modifier applied to critical damage.</t>
  </si>
  <si>
    <t>(Manacaster) Critical Rate +10%</t>
  </si>
  <si>
    <t>If the user wields a Manacaster: increases critical rate by 10%.</t>
  </si>
  <si>
    <t>(Manacaster) Critical Rate +8%</t>
  </si>
  <si>
    <t>If the user wields a Manacaster: increases critical rate by 8%.</t>
  </si>
  <si>
    <t>(Manacaster) Skill Damage +30%</t>
  </si>
  <si>
    <t>If the user wields a Manacaster: increases attack skill damage by 30%.</t>
  </si>
  <si>
    <t>(Manacaster) Skill Damage +35%</t>
  </si>
  <si>
    <t>If the user wields a Manacaster: increases attack skill damage by 35%.</t>
  </si>
  <si>
    <t>(Shadow) Affliction Guard I</t>
  </si>
  <si>
    <t>If the user is attuned to Shadow: resists afflictions once per quest.</t>
  </si>
  <si>
    <t>(Shadow) Affliction Guard II</t>
  </si>
  <si>
    <t>If the user is attuned to Shadow: resists afflictions up to two times per quest.</t>
  </si>
  <si>
    <t>(Shadow) Blinded Punisher +10%</t>
  </si>
  <si>
    <t>If the user is attuned to Shadow: increases damage to blinded enemies by 10%.</t>
  </si>
  <si>
    <t>(Shadow) Blinded Punisher +15%</t>
  </si>
  <si>
    <t>If the user is attuned to Shadow: increases damage to blinded enemies by 15%.</t>
  </si>
  <si>
    <t>(Shadow) Buff Skill Time +15%</t>
  </si>
  <si>
    <t>If the user is attuned to Shadow: increases duration of buff skills by 15%.</t>
  </si>
  <si>
    <t>(Shadow) Buff Skill Time +20%</t>
  </si>
  <si>
    <t>If the user is attuned to Shadow: increases duration of buff skills by 20%.</t>
  </si>
  <si>
    <t>(Shadow) Critical Damage +20%</t>
  </si>
  <si>
    <t>If the user is attuned to Shadow: adds 20% to the modifier applied to critical damage.</t>
  </si>
  <si>
    <t>(Shadow) Critical Damage +25%</t>
  </si>
  <si>
    <t>If the user is attuned to Shadow: adds 25% to the modifier applied to critical damage.</t>
  </si>
  <si>
    <t>(Shadow) Critical Damage +30%</t>
  </si>
  <si>
    <t>If the user is attuned to Shadow: adds 30% to the modifier applied to critical damage.</t>
  </si>
  <si>
    <t>(Shadow) Critical Damage +35%</t>
  </si>
  <si>
    <t>If the user is attuned to Shadow: adds 35% to the modifier applied to critical damage.</t>
  </si>
  <si>
    <t>(Shadow) Divinity Penetrator</t>
  </si>
  <si>
    <t>If the user is attuned to Shadow: ignores the effects of divine protection when attacking enemies in Void Battles and certain other quests.</t>
  </si>
  <si>
    <t>(Shadow) Dragon Delay Res</t>
  </si>
  <si>
    <t>If the user is attuned to Shadow: completely prevents dragon delaying in Void Battles and certain other quests.</t>
  </si>
  <si>
    <t>(Shadow) Dull Res</t>
  </si>
  <si>
    <t>If the user is attuned to Shadow: completely prevents dulling in Void Battles and certain other quests.</t>
  </si>
  <si>
    <t>(Shadow) Ending Shapeshift = Skillful Trickery I</t>
  </si>
  <si>
    <t>If the user is attuned to Shadow: increases the damage dealt by the user's next five skills by 120% when the user's shapeshift is undone.</t>
  </si>
  <si>
    <t>If the user is attuned to Shadow: replenishes 5 stacks of Skillful Trickery when the user's shapeshift is undone.</t>
  </si>
  <si>
    <t>(Shadow) Ending Shapeshift = Skillful Trickery II</t>
  </si>
  <si>
    <t>If the user is attuned to Shadow: increases the damage dealt by the user's next eight skills by 180% when the user's shapeshift is undone.</t>
  </si>
  <si>
    <t>(Shadow) Ending Shapeshift = Skillful Trickery III</t>
  </si>
  <si>
    <t>(Shadow) Ending Shapeshift = Skillful Trickery IV</t>
  </si>
  <si>
    <t>(Shadow) Flurry Devastation +10%</t>
  </si>
  <si>
    <t>If the user is attuned to Shadow: increases critical rate by 10% when the combo count is 15 or higher.</t>
  </si>
  <si>
    <t>(Shadow) Flurry Devastation +8%</t>
  </si>
  <si>
    <t>If the user is attuned to Shadow: increases critical rate by 8% when the combo count is 15 or higher.</t>
  </si>
  <si>
    <t>(Shadow) Frenzy Res</t>
  </si>
  <si>
    <t>If the user is attuned to Shadow: ignores the effects of frenzy when attacking and taking damage from enemies in Void Battles and certain other quests.</t>
  </si>
  <si>
    <t>(Shadow) Fury Penetrator</t>
  </si>
  <si>
    <t>If the user is attuned to Shadow: ignores the effects of fury when attacking enemies in Void Battles and certain other quests.</t>
  </si>
  <si>
    <t>(Shadow) HP &amp; Strength +13%</t>
  </si>
  <si>
    <t>If the user is attuned to Shadow: increases strength and HP by 13%.</t>
  </si>
  <si>
    <t>(Shadow) HP &amp; Strength +15%</t>
  </si>
  <si>
    <t>If the user is attuned to Shadow: increases strength and HP by 15%.</t>
  </si>
  <si>
    <t>(Shadow) HP &amp; Strength +16%</t>
  </si>
  <si>
    <t>If the user is attuned to Shadow: increases strength and HP by 16%.</t>
  </si>
  <si>
    <t>(Shadow) HP &amp; Strength +17%</t>
  </si>
  <si>
    <t>If the user is attuned to Shadow: increases strength and HP by 17%.</t>
  </si>
  <si>
    <t>(Shadow) HP &amp; Strength +18%</t>
  </si>
  <si>
    <t>If the user is attuned to Shadow: increases strength and HP by 18%.</t>
  </si>
  <si>
    <t>(Shadow) HP &amp; Strength +23%</t>
  </si>
  <si>
    <t>If the user is attuned to Shadow: increases strength and HP by 23%.</t>
  </si>
  <si>
    <t>(Shadow) HP &amp; Strength +26%</t>
  </si>
  <si>
    <t>If the user is attuned to Shadow: increases strength and HP by 26%.</t>
  </si>
  <si>
    <t>(Shadow) HP &amp; Strength +30%</t>
  </si>
  <si>
    <t>If the user is attuned to Shadow: increases strength and HP by 30%.</t>
  </si>
  <si>
    <t>(Shadow) HP &amp; Strength +35%</t>
  </si>
  <si>
    <t>If the user is attuned to Shadow: increases strength and HP by 35%.</t>
  </si>
  <si>
    <t>(Shadow) HP &amp; Strength +5%</t>
  </si>
  <si>
    <t>If the user is attuned to Shadow: increases strength and HP by 5%.</t>
  </si>
  <si>
    <t>(Shadow) HP &amp; Strength +6%</t>
  </si>
  <si>
    <t>If the user is attuned to Shadow: increases strength and HP by 6%.</t>
  </si>
  <si>
    <t>(Shadow) HP &amp; Strength +7%</t>
  </si>
  <si>
    <t>If the user is attuned to Shadow: increases strength and HP by 7%.</t>
  </si>
  <si>
    <t>(Shadow) HP &amp; Strength +8%</t>
  </si>
  <si>
    <t>If the user is attuned to Shadow: increases strength and HP by 8%.</t>
  </si>
  <si>
    <t>(Shadow) HP &amp; Strength +9%</t>
  </si>
  <si>
    <t>If the user is attuned to Shadow: increases strength and HP by 9%.</t>
  </si>
  <si>
    <t>If the user is attuned to Shadow: increases HP by 10%.</t>
  </si>
  <si>
    <t>(Shadow) HP +11%</t>
  </si>
  <si>
    <t>If the user is attuned to Shadow: increases HP by 11%.</t>
  </si>
  <si>
    <t>(Shadow) HP +12%</t>
  </si>
  <si>
    <t>If the user is attuned to Shadow: increases HP by 12%.</t>
  </si>
  <si>
    <t>(Shadow) HP +13%</t>
  </si>
  <si>
    <t>If the user is attuned to Shadow: increases HP by 13%.</t>
  </si>
  <si>
    <t>(Shadow) HP +20%</t>
  </si>
  <si>
    <t>If the user is attuned to Shadow: increases HP by 20%.</t>
  </si>
  <si>
    <t>(Shadow) HP +22%</t>
  </si>
  <si>
    <t>If the user is attuned to Shadow: increases HP by 22%.</t>
  </si>
  <si>
    <t>(Shadow) HP +24%</t>
  </si>
  <si>
    <t>If the user is attuned to Shadow: increases HP by 24%.</t>
  </si>
  <si>
    <t>(Shadow) HP +27%</t>
  </si>
  <si>
    <t>If the user is attuned to Shadow: increases HP by 27%.</t>
  </si>
  <si>
    <t>(Shadow) HP +32%</t>
  </si>
  <si>
    <t>If the user is attuned to Shadow: increases HP by 32%.</t>
  </si>
  <si>
    <t>(Shadow) HP +34%</t>
  </si>
  <si>
    <t>If the user is attuned to Shadow: increases HP by 34%.</t>
  </si>
  <si>
    <t>(Shadow) HP +36%</t>
  </si>
  <si>
    <t>If the user is attuned to Shadow: increases HP by 36%.</t>
  </si>
  <si>
    <t>(Shadow) HP +39%</t>
  </si>
  <si>
    <t>If the user is attuned to Shadow: increases HP by 39%.</t>
  </si>
  <si>
    <t>(Shadow) HP +45%</t>
  </si>
  <si>
    <t>If the user is attuned to Shadow: increases HP by 45%.</t>
  </si>
  <si>
    <t>(Shadow) HP +50%</t>
  </si>
  <si>
    <t>If the user is attuned to Shadow: increases HP by 50%.</t>
  </si>
  <si>
    <t>(Shadow) HP +55%</t>
  </si>
  <si>
    <t>If the user is attuned to Shadow: increases HP by 55%.</t>
  </si>
  <si>
    <t>(Shadow) HP +60%</t>
  </si>
  <si>
    <t>If the user is attuned to Shadow: increases HP by 60%.</t>
  </si>
  <si>
    <t>(Shadow) HP 30% = Strength +35%</t>
  </si>
  <si>
    <t>If the user is attuned to Shadow: increases strength by 35% when HP is 30% or above.</t>
  </si>
  <si>
    <t>(Shadow) HP 30% = Strength +38%</t>
  </si>
  <si>
    <t>If the user is attuned to Shadow: increases strength by 38% when HP is 30% or above.</t>
  </si>
  <si>
    <t>(Shadow) HP 30% = Strength +41%</t>
  </si>
  <si>
    <t>If the user is attuned to Shadow: increases strength by 41% when HP is 30% or above.</t>
  </si>
  <si>
    <t>(Shadow) HP 30% = Strength +45%</t>
  </si>
  <si>
    <t>If the user is attuned to Shadow: increases strength by 45% when HP is 30% or above.</t>
  </si>
  <si>
    <t>(Shadow) HP 30% = Strength +50%</t>
  </si>
  <si>
    <t>If the user is attuned to Shadow: increases strength by 50% when HP is 30% or above.</t>
  </si>
  <si>
    <t>(Shadow) HP 50% = Defense +4%</t>
  </si>
  <si>
    <t>If the user is attuned to Shadow: increases defense by 4% when HP is 50% or above.</t>
  </si>
  <si>
    <t>(Shadow) HP 50% = Healing +7%</t>
  </si>
  <si>
    <t>If the user is attuned to Shadow: increases the potency of recovery skills by 7% when HP is 50% or above.</t>
  </si>
  <si>
    <t>(Shadow) HP 70% = Defense +3%</t>
  </si>
  <si>
    <t>If the user is attuned to Shadow: increases defense by 3% when HP is 70% or above.</t>
  </si>
  <si>
    <t>(Shadow) HP 70% = Defense +5%</t>
  </si>
  <si>
    <t>If the user is attuned to Shadow: increases defense by 5% when HP is 70% or above.</t>
  </si>
  <si>
    <t>(Shadow) HP 70% = Defense +8%</t>
  </si>
  <si>
    <t>If the user is attuned to Shadow: increases defense by 8% when HP is 70% or above.</t>
  </si>
  <si>
    <t>(Shadow) HP 70% = Skill Haste +5%</t>
  </si>
  <si>
    <t>If the user is attuned to shadow: increases skill gauge fill rate by 5% when HP is 70% or above.</t>
  </si>
  <si>
    <t>(Shadow) HP Below 30% = Strength &amp; Defense I</t>
  </si>
  <si>
    <t>If the user is attuned to Shadow: increases strength by 20% and defense by 75% when HP is 30% or below.</t>
  </si>
  <si>
    <t>(Shadow) HP Below 30% = Strength +30%</t>
  </si>
  <si>
    <t>If the user is attuned to Shadow: increases strength by 30% when HP is 30% or below.</t>
  </si>
  <si>
    <t>(Shadow) HP Below 30% = Strength +32%</t>
  </si>
  <si>
    <t>If the user is attuned to Shadow: increases strength by 32% when HP is 30% or below.</t>
  </si>
  <si>
    <t>(Shadow) HP Below 30% = Strength +34%</t>
  </si>
  <si>
    <t>If the user is attuned to Shadow: increases strength by 34% when HP is 30% or below.</t>
  </si>
  <si>
    <t>(Shadow) HP Below 30% = Strength +36%</t>
  </si>
  <si>
    <t>If the user is attuned to Shadow: increases strength by 36% when HP is 30% or below.</t>
  </si>
  <si>
    <t>(Shadow) Paralysis Res +25%</t>
  </si>
  <si>
    <t>If the user is attuned to Shadow: reduces susceptibility to paralysis by 25%.</t>
  </si>
  <si>
    <t>(Shadow) Paralysis Res +40%</t>
  </si>
  <si>
    <t>If the user is attuned to Shadow: reduces susceptibility to paralysis by 40%.</t>
  </si>
  <si>
    <t>(Shadow) Paralysis Res +50%</t>
  </si>
  <si>
    <t>If the user is attuned to Shadow: reduces susceptibility to paralysis by 50%.</t>
  </si>
  <si>
    <t>(Shadow) Paralysis Res +65%</t>
  </si>
  <si>
    <t>If the user is attuned to Shadow: reduces susceptibility to paralysis by 65%.</t>
  </si>
  <si>
    <t>(Shadow) Physian's Bane +10%</t>
  </si>
  <si>
    <t>If the user is attuned to Shadow: increases damage to physians by 10%.</t>
  </si>
  <si>
    <t>(Shadow) Physian's Bane +15%</t>
  </si>
  <si>
    <t>If the user is attuned to Shadow: increases damage to physians by 15%.</t>
  </si>
  <si>
    <t>(Shadow) Poisoned Punisher +15%</t>
  </si>
  <si>
    <t>If the user is attuned to Shadow: increases damage to poisoned enemies by 15%.</t>
  </si>
  <si>
    <t>(Shadow) Recovery Potency +5%</t>
  </si>
  <si>
    <t>If the user is attuned to Shadow: increases the potency of recovery skills by 5%.</t>
  </si>
  <si>
    <t>(Shadow) Recovery Potency +8%</t>
  </si>
  <si>
    <t>If the user is attuned to Shadow: increases the potency of recovery skills by 8%.</t>
  </si>
  <si>
    <t>(Shadow) Skill Damage +50%</t>
  </si>
  <si>
    <t>If the user is attuned to Shadow: increases attack skill damage by 50%.</t>
  </si>
  <si>
    <t>(Shadow) Skill Damage +70%</t>
  </si>
  <si>
    <t>If the user is attuned to Shadow: increases attack skill damage by 70%.</t>
  </si>
  <si>
    <t>(Shadow) Skill Damage +90%</t>
  </si>
  <si>
    <t>If the user is attuned to Shadow: increases attack skill damage by 90%.</t>
  </si>
  <si>
    <t>(Shadow) Skill Haste +25%</t>
  </si>
  <si>
    <t>If the user is attuned to Shadow: increases skill gauge fill rate by 25%.</t>
  </si>
  <si>
    <t>(Shadow) Skill Haste +35%</t>
  </si>
  <si>
    <t>If the user is attuned to Shadow: increases skill gauge fill rate by 35%.</t>
  </si>
  <si>
    <t>(Shadow) Skill Haste +4%</t>
  </si>
  <si>
    <t>If the user is attuned to shadow: increases skill gauge fill rate by 4%.</t>
  </si>
  <si>
    <t>(Shadow) Skill Haste +5%</t>
  </si>
  <si>
    <t>If the user is attuned to shadow: increases skill gauge fill rate by 5%.</t>
  </si>
  <si>
    <t>(Shadow) Skill Haste +8%</t>
  </si>
  <si>
    <t>If the user is attuned to Shadow: increases skill gauge fill rate by 8%.</t>
  </si>
  <si>
    <t>(Shadow) Skill Haste +9%</t>
  </si>
  <si>
    <t>If the user is attuned to Shadow: increases skill gauge fill rate by 9%.</t>
  </si>
  <si>
    <t>(Shadow) Skill Prep +25%</t>
  </si>
  <si>
    <t>If the user is attuned to Shadow: fills 25% of skill gauges at the start of quests.</t>
  </si>
  <si>
    <t>(Shadow) Skillful Trickery I</t>
  </si>
  <si>
    <t>If the user is attuned to Shadow: increases the damage dealt by the user's next 15 skills by 120% at the start of quests. Every 30-hit combo will increase the damage dealt by an additional skill by 120%. A maximum of 15 of this skill-damage-increasing effect can be stored for use, and any excess will be discarded.</t>
  </si>
  <si>
    <t>If the user is attuned to Shadow: Grants 15 stacks of "Skillful Trickery" at the start of quests. Using an attack skill consumes one stack of Skillful Trickery, and increases the damage of that skill by 120%. Every 30-hit combo will replenish one stack of Skillful Trickery. A maximum of 15 stacks of Skillful Trickery can be stored for use, and any excess will be discarded.</t>
  </si>
  <si>
    <t>(Shadow) Skillful Trickery II</t>
  </si>
  <si>
    <t>If the user is attuned to Shadow: increases the damage dealt by the user's next 15 skills by 180% at the start of quests. Every 25-hit combo will increase the damage dealt by an additional skill by 180%. A maximum of 15 of this skill-damage-increasing effect can be stored for use, and any excess will be discarded.</t>
  </si>
  <si>
    <t>If the user is attuned to Shadow: Grants 15 stacks of "Skillful Trickery" at the start of quests. Using an attack skill consumes one stack of Skillful Trickery, and increases the damage of that skill by 135%. Every 30-hit combo will replenish one stack of Skillful Trickery. A maximum of 15 stacks of Skillful Trickery can be stored for use, and any excess will be discarded.</t>
  </si>
  <si>
    <t>(Shadow) Skillful Trickery III</t>
  </si>
  <si>
    <t>If the user is attuned to Shadow: Grants 15 stacks of "Skillful Trickery" at the start of quests. Using an attack skill consumes one stack of Skillful Trickery, and increases the damage of that skill by 150%. Every 30-hit combo will replenish one stack of Skillful Trickery. A maximum of 15 stacks of Skillful Trickery can be stored for use, and any excess will be discarded.</t>
  </si>
  <si>
    <t>(Shadow) Skillful Trickery IV</t>
  </si>
  <si>
    <t>If the user is attuned to Shadow: Grants 15 stacks of "Skillful Trickery" at the start of quests. Using an attack skill consumes one stack of Skillful Trickery, and increases the damage of that skill by 165%. Every 30-hit combo will replenish one stack of Skillful Trickery. A maximum of 15 stacks of Skillful Trickery can be stored for use, and any excess will be discarded.</t>
  </si>
  <si>
    <t>(Shadow) Slayer's Strength +3%</t>
  </si>
  <si>
    <t>If the user is attuned to Shadow: increases strength by 3% for every five enemies defeated (up to five times per quest).</t>
  </si>
  <si>
    <t>(Shadow) Slayer's Strength +4%</t>
  </si>
  <si>
    <t>If the user is attuned to Shadow: increases strength by 4% for every five enemies defeated (up to five times per quest).</t>
  </si>
  <si>
    <t>(Shadow) Steeled Dragon's Endurance I</t>
  </si>
  <si>
    <t>If the user is attuned to Shadow: increases max HP by 20% for the remainder of the quest upon shapeshifting for the second time.</t>
  </si>
  <si>
    <t>(Shadow) Strength &amp; Critical Rate I</t>
  </si>
  <si>
    <t>If the user is attuned to Shadow: increases strength by 30% and critical rate by 15%.</t>
  </si>
  <si>
    <t>(Shadow) Strength &amp; Critical Rate II</t>
  </si>
  <si>
    <t>If the user is attuned to Shadow: increases strength by 33% and critical rate by 15%.</t>
  </si>
  <si>
    <t>(Shadow) Strength &amp; Critical Rate III</t>
  </si>
  <si>
    <t>If the user is attuned to Shadow: increases strength by 36% and critical rate by 15%.</t>
  </si>
  <si>
    <t>(Shadow) Strength &amp; Critical Rate IV</t>
  </si>
  <si>
    <t>If the user is attuned to Shadow: increases strength by 39% and critical rate by 15%.</t>
  </si>
  <si>
    <t>(Shadow) Strength &amp; Dragon's Might I</t>
  </si>
  <si>
    <t>If the user is attuned to Shadow: increases strength by 45%, and increases strength by a further 10% for the remainder of the quest upon shapeshifting, up to twice per quest.</t>
  </si>
  <si>
    <t>(Shadow) Strength &amp; Dragon's Might II</t>
  </si>
  <si>
    <t>If the user is attuned to Shadow: increases strength by 47%, and increases strength by a further 10% for the remainder of the quest upon shapeshifting, up to twice per quest.</t>
  </si>
  <si>
    <t>If the user is attuned to Shadow: increases strength by 55%, and increases strength by a further 10% for the remainder of the quest upon shapeshifting, up to twice per quest.</t>
  </si>
  <si>
    <t>(Shadow) Strength &amp; Dragon's Might III</t>
  </si>
  <si>
    <t>If the user is attuned to Shadow: increases strength by 49%, and increases strength by a further 10% for the remainder of the quest upon shapeshifting, up to twice per quest.</t>
  </si>
  <si>
    <t>(Shadow) Strength &amp; Dragon's Might IV</t>
  </si>
  <si>
    <t>If the user is attuned to Shadow: increases strength by 52%, and increases strength by a further 10% for the remainder of the quest upon shapeshifting, up to twice per quest.</t>
  </si>
  <si>
    <t>(Shadow) Strength &amp; Dragon's Might V</t>
  </si>
  <si>
    <t>(Shadow) Strength &amp; High Dragon's Might I</t>
  </si>
  <si>
    <t>If the user is attuned to Shadow: increases strength by 55%, and increases strength by a further 20% for the remainder of the quest upon shapeshifting, up to twice per quest.</t>
  </si>
  <si>
    <t>(Shadow) Strength &amp; High Dragon's Might II</t>
  </si>
  <si>
    <t>If the user is attuned to Shadow: increases strength by 57%, and increases strength by a further 20% for the remainder of the quest upon shapeshifting, up to twice per quest.</t>
  </si>
  <si>
    <t>(Shadow) Strength &amp; High Dragon's Might III</t>
  </si>
  <si>
    <t>If the user is attuned to Shadow: increases strength by 59%, and increases strength by a further 20% for the remainder of the quest upon shapeshifting, up to twice per quest.</t>
  </si>
  <si>
    <t>(Shadow) Strength &amp; High Dragon's Might IV</t>
  </si>
  <si>
    <t>If the user is attuned to Shadow: increases strength by 62%, and increases strength by a further 20% for the remainder of the quest upon shapeshifting, up to twice per quest.</t>
  </si>
  <si>
    <t>(Shadow) Strength &amp; Shapeshift Prep I</t>
  </si>
  <si>
    <t>If the user is attuned to Shadow: increases strength by 40% and fills 10% of the dragon gauge at the start of quests.</t>
  </si>
  <si>
    <t>(Shadow) Strength &amp; Shapeshift Prep II</t>
  </si>
  <si>
    <t>If the user is attuned to Shadow: increases strength by 45% and fills 20% of the dragon gauge at the start of quests.</t>
  </si>
  <si>
    <t>(Shadow) Strength &amp; Shapeshift Prep III</t>
  </si>
  <si>
    <t>If the user is attuned to Shadow: increases strength by 50% and fills 30% of the dragon gauge at the start of quests.</t>
  </si>
  <si>
    <t>(Shadow) Strength &amp; Shapeshift Prep IV</t>
  </si>
  <si>
    <t>If the user is attuned to Shadow: increases strength by 55% and fills 40% of the dragon gauge at the start of quests.</t>
  </si>
  <si>
    <t>(Shadow) Strength &amp; Shapeshift Prep V</t>
  </si>
  <si>
    <t>If the user is attuned to Shadow: increases strength by 60% and fills 50% of the dragon gauge at the start of quests.</t>
  </si>
  <si>
    <t>(Shadow) Strength +10%</t>
  </si>
  <si>
    <t>If the user is attuned to Shadow: increases strength by 10%.</t>
  </si>
  <si>
    <t>(Shadow) Strength +100%</t>
  </si>
  <si>
    <t>If the user is attuned to Shadow: increases strength by 100%.</t>
  </si>
  <si>
    <t>(Shadow) Strength +105%</t>
  </si>
  <si>
    <t>If the user is attuned to Shadow: increases strength by 105%.</t>
  </si>
  <si>
    <t>(Shadow) Strength +11%</t>
  </si>
  <si>
    <t>If the user is attuned to Shadow: increases strength by 11%.</t>
  </si>
  <si>
    <t>(Shadow) Strength +110%</t>
  </si>
  <si>
    <t>If the user is attuned to Shadow: increases strength by 110%.</t>
  </si>
  <si>
    <t>(Shadow) Strength +115%</t>
  </si>
  <si>
    <t>If the user is attuned to Shadow: increases strength by 115%.</t>
  </si>
  <si>
    <t>(Shadow) Strength +12%</t>
  </si>
  <si>
    <t>If the user is attuned to Shadow: increases strength by 12%.</t>
  </si>
  <si>
    <t>(Shadow) Strength +13%</t>
  </si>
  <si>
    <t>If the user is attuned to Shadow: increases strength by 13%.</t>
  </si>
  <si>
    <t>(Shadow) Strength +14%</t>
  </si>
  <si>
    <t>If the user is attuned to Shadow: increases strength by 14%.</t>
  </si>
  <si>
    <t>(Shadow) Strength +16%</t>
  </si>
  <si>
    <t>If the user is attuned to Shadow: increases strength by 16%.</t>
  </si>
  <si>
    <t>(Shadow) Strength +17%</t>
  </si>
  <si>
    <t>If the user is attuned to Shadow: increases strength by 17%.</t>
  </si>
  <si>
    <t>(Shadow) Strength +18%</t>
  </si>
  <si>
    <t>If the user is attuned to Shadow: increases strength by 18%.</t>
  </si>
  <si>
    <t>(Shadow) Strength +32%</t>
  </si>
  <si>
    <t>If the user is attuned to Shadow: increases strength by 32%.</t>
  </si>
  <si>
    <t>(Shadow) Strength +33%</t>
  </si>
  <si>
    <t>If the user is attuned to Shadow: increases strength by 33%.</t>
  </si>
  <si>
    <t>(Shadow) Strength +34%</t>
  </si>
  <si>
    <t>If the user is attuned to Shadow: increases strength by 34%.</t>
  </si>
  <si>
    <t>(Shadow) Strength +35%</t>
  </si>
  <si>
    <t>If the user is attuned to Shadow: increases strength by 35%.</t>
  </si>
  <si>
    <t>(Shadow) Strength +36%</t>
  </si>
  <si>
    <t>If the user is attuned to Shadow: increases strength by 36%.</t>
  </si>
  <si>
    <t>(Shadow) Strength +37%</t>
  </si>
  <si>
    <t>If the user is attuned to Shadow: increases strength by 37%.</t>
  </si>
  <si>
    <t>(Shadow) Strength +38%</t>
  </si>
  <si>
    <t>If the user is attuned to Shadow: increases strength by 38%.</t>
  </si>
  <si>
    <t>(Shadow) Strength +39%</t>
  </si>
  <si>
    <t>If the user is attuned to Shadow: increases strength by 39%.</t>
  </si>
  <si>
    <t>(Shadow) Strength +41%</t>
  </si>
  <si>
    <t>If the user is attuned to Shadow: increases strength by 41%.</t>
  </si>
  <si>
    <t>(Shadow) Strength +47%</t>
  </si>
  <si>
    <t>If the user is attuned to Shadow: increases strength by 47%.</t>
  </si>
  <si>
    <t>(Shadow) Strength +49%</t>
  </si>
  <si>
    <t>If the user is attuned to Shadow: increases strength by 49%.</t>
  </si>
  <si>
    <t>(Shadow) Strength +50%</t>
  </si>
  <si>
    <t>If the user is attuned to Shadow: increases strength by 50%.</t>
  </si>
  <si>
    <t>(Shadow) Strength +52%</t>
  </si>
  <si>
    <t>If the user is attuned to Shadow: increases strength by 52%.</t>
  </si>
  <si>
    <t>(Shadow) Strength +55%</t>
  </si>
  <si>
    <t>If the user is attuned to Shadow: increases strength by 55%.</t>
  </si>
  <si>
    <t>(Shadow) Strength +65%</t>
  </si>
  <si>
    <t>If the user is attuned to Shadow: increases strength by 65%.</t>
  </si>
  <si>
    <t>(Shadow) Thaumian's Bane +10%</t>
  </si>
  <si>
    <t>If the user is attuned to Shadow: increases damage to thaumians by 10%.</t>
  </si>
  <si>
    <t>(Shadow) Thaumian's Bane +15%</t>
  </si>
  <si>
    <t>If the user is attuned to Shadow: increases damage to thaumians by 15%.</t>
  </si>
  <si>
    <t>(Shadow) Undead's Bane +10%</t>
  </si>
  <si>
    <t>If the user is attuned to Shadow: increases damage to undead by 10%.</t>
  </si>
  <si>
    <t>(Shadow) Undead's Bane +15%</t>
  </si>
  <si>
    <t>If the user is attuned to Shadow: increases damage to undead by 15%.</t>
  </si>
  <si>
    <t>(Shadow) Unyielding Offense +2%</t>
  </si>
  <si>
    <t>If the user is attuned to Shadow: increases strength by 2% for the remainder of the quest when the user's HP drops to 70% (five times per quest).</t>
  </si>
  <si>
    <t>(Staff) Skill Damage +30%</t>
  </si>
  <si>
    <t>If the user wields a Staff: increases attack skill damage by 30%.</t>
  </si>
  <si>
    <t>(Staff) Skill Damage +35%</t>
  </si>
  <si>
    <t>If the user wields a Staff: increases attack skill damage by 35%.</t>
  </si>
  <si>
    <t>(Sword) Critical Rate +10%</t>
  </si>
  <si>
    <t>If the user wields a Sword: increases critical rate by 10%.</t>
  </si>
  <si>
    <t>(Sword) Critical Rate +12%</t>
  </si>
  <si>
    <t>If the user wields a Sword: increases critical rate by 12%.</t>
  </si>
  <si>
    <t>(Sword) Skill Damage +30%</t>
  </si>
  <si>
    <t>If the user wields a Sword: increases attack skill damage by 30%.</t>
  </si>
  <si>
    <t>(Sword) Skill Damage +35%</t>
  </si>
  <si>
    <t>If the user wields a Sword: increases attack skill damage by 35%.</t>
  </si>
  <si>
    <t>(Wand) Critical Rate +10%</t>
  </si>
  <si>
    <t>If the user wields a Wand: increases critical rate by 10%.</t>
  </si>
  <si>
    <t>(Wand) Critical Rate +12%</t>
  </si>
  <si>
    <t>If the user wields a Wand: increases critical rate by 12%.</t>
  </si>
  <si>
    <t>(Wand) Recovery Potency +10%</t>
  </si>
  <si>
    <t>If the user wields a Wand: increases the potency of recovery skills by 10%.</t>
  </si>
  <si>
    <t>(Wand) Recovery Potency +13%</t>
  </si>
  <si>
    <t>If the user wields a Wand: increases the potency of recovery skills by 13%.</t>
  </si>
  <si>
    <t>(Wand) Skill Damage +30%</t>
  </si>
  <si>
    <t>If the user wields a Wand: increases attack skill damage by 30%.</t>
  </si>
  <si>
    <t>(Wand) Skill Damage +35%</t>
  </si>
  <si>
    <t>If the user wields a Wand: increases attack skill damage by 35%.</t>
  </si>
  <si>
    <t>(Water) Affliction Guard I</t>
  </si>
  <si>
    <t>If the user is attuned to Water: resists afflictions once per quest.</t>
  </si>
  <si>
    <t>(Water) Affliction Guard II</t>
  </si>
  <si>
    <t>If the user is attuned to Water: resists afflictions up to two times per quest.</t>
  </si>
  <si>
    <t>(Water) Broken Punisher +10%</t>
  </si>
  <si>
    <t>If the user is attuned to Water: increases damage to enemies in break state by 10%.</t>
  </si>
  <si>
    <t>(Water) Broken Punisher +15%</t>
  </si>
  <si>
    <t>If the user is attuned to Water: increases damage to enemies in break state by 15%.</t>
  </si>
  <si>
    <t>(Water) Compounding Skill Damage I</t>
  </si>
  <si>
    <t>If the user is attuned to Water: increases the damage of the next attack skill by 40% for every 15 seconds that pass. This buff can stack up to four times. All stacks will be lost upon using an attack skill.</t>
  </si>
  <si>
    <t>(Water) Compounding Skill Damage II</t>
  </si>
  <si>
    <t>If the user is attuned to Water: increases the damage of the next attack skill by 50% for every 15 seconds that pass. This buff can stack up to four times. All stacks will be lost upon using an attack skill.</t>
  </si>
  <si>
    <t>If the user is attuned to Water: increases the damage of the next attack skill by 42% for every 15 seconds that pass. This buff can stack up to four times. All stacks will be lost upon using an attack skill.</t>
  </si>
  <si>
    <t>(Water) Compounding Skill Damage III</t>
  </si>
  <si>
    <t>If the user is attuned to Water: increases the damage of the next attack skill by 44% for every 15 seconds that pass. This buff can stack up to four times. All stacks will be lost upon using an attack skill.</t>
  </si>
  <si>
    <t>(Water) Compounding Skill Damage IV</t>
  </si>
  <si>
    <t>If the user is attuned to Water: increases the damage of the next attack skill by 46% for every 15 seconds that pass. This buff can stack up to four times. All stacks will be lost upon using an attack skill.</t>
  </si>
  <si>
    <t>(Water) Compounding Skill Damage V</t>
  </si>
  <si>
    <t>(Water) Dull Res</t>
  </si>
  <si>
    <t>If the user is attuned to Water: completely prevents dulling in Void Battles and certain other quests.</t>
  </si>
  <si>
    <t>(Water) Flurry Devastation +10%</t>
  </si>
  <si>
    <t>If the user is attuned to Water: increases critical rate by 10% when the combo count is 15 or higher.</t>
  </si>
  <si>
    <t>(Water) Flurry Devastation +8%</t>
  </si>
  <si>
    <t>If the user is attuned to Water: increases critical rate by 8% when the combo count is 15 or higher.</t>
  </si>
  <si>
    <t>(Water) Frenzy Res</t>
  </si>
  <si>
    <t>If the user is attuned to Water: ignores the effects of frenzy when attacking and taking damage from enemies in Void Battles and certain other quests.</t>
  </si>
  <si>
    <t>(Water) Full HP = Defense +15%</t>
  </si>
  <si>
    <t>If the user is attuned to Water: increases defense by 15% when HP is full.</t>
  </si>
  <si>
    <t>(Water) Fury of the Seas I</t>
  </si>
  <si>
    <t>If the user is attuned to Water: adds 25% to the modifier applied to damage against flame-attuned enemies and enemies with no attunement for 45 seconds every time the dragon gauge fills by 10%. This increase will not stack, and, after activating, this ability will not activate again for 5 seconds.</t>
  </si>
  <si>
    <t>(Water) Fury Penetrator</t>
  </si>
  <si>
    <t>If the user is attuned to Water: ignores the effects of fury when attacking enemies in Void Battles and certain other quests.</t>
  </si>
  <si>
    <t>(Water) Gabriel's Favor I</t>
  </si>
  <si>
    <t>If the user is attuned to Water: activates the "Gabriel's Love" effect when their HP is restored. Gabriel's Love increases strength by 5% and defense by 25%, and grants a one-use shield that nullifies damage up to 5% of the user's maximum HP. This shield can stack with ordinary shields. Gabriel's Love will not stack, its effects are lost upon taking damage, and, after activating, this ability will not activate again for 10 seconds.</t>
  </si>
  <si>
    <t>(Water) HP &amp; Strength +15%</t>
  </si>
  <si>
    <t>If the user is attuned to Water: increases strength and HP by 15%.</t>
  </si>
  <si>
    <t>(Water) HP &amp; Strength +16%</t>
  </si>
  <si>
    <t>If the user is attuned to Water: increases strength and HP by 16%.</t>
  </si>
  <si>
    <t>(Water) HP &amp; Strength +17%</t>
  </si>
  <si>
    <t>If the user is attuned to Water: increases strength and HP by 17%.</t>
  </si>
  <si>
    <t>(Water) HP &amp; Strength +18%</t>
  </si>
  <si>
    <t>If the user is attuned to Water: increases strength and HP by 18%.</t>
  </si>
  <si>
    <t>(Water) HP &amp; Strength +23%</t>
  </si>
  <si>
    <t>If the user is attuned to Water: increases strength and HP by 23%.</t>
  </si>
  <si>
    <t>(Water) HP &amp; Strength +26%</t>
  </si>
  <si>
    <t>If the user is attuned to Water: increases strength and HP by 26%.</t>
  </si>
  <si>
    <t>(Water) HP &amp; Strength +30%</t>
  </si>
  <si>
    <t>If the user is attuned to Water: increases strength and HP by 30%.</t>
  </si>
  <si>
    <t>(Water) HP &amp; Strength +35%</t>
  </si>
  <si>
    <t>If the user is attuned to Water: increases strength and HP by 35%.</t>
  </si>
  <si>
    <t>(Water) HP &amp; Strength +5%</t>
  </si>
  <si>
    <t>If the user is attuned to Water: increases strength and HP by 5%.</t>
  </si>
  <si>
    <t>(Water) HP &amp; Strength +6%</t>
  </si>
  <si>
    <t>If the user is attuned to Water: increases strength and HP by 6%.</t>
  </si>
  <si>
    <t>(Water) HP &amp; Strength +7%</t>
  </si>
  <si>
    <t>If the user is attuned to Water: increases strength and HP by 7%.</t>
  </si>
  <si>
    <t>(Water) HP &amp; Strength +8%</t>
  </si>
  <si>
    <t>If the user is attuned to Water: increases strength and HP by 8%.</t>
  </si>
  <si>
    <t>If the user is attuned to Water: increases HP by 10%.</t>
  </si>
  <si>
    <t>(Water) HP +11%</t>
  </si>
  <si>
    <t>If the user is attuned to Water: increases HP by 11%.</t>
  </si>
  <si>
    <t>(Water) HP +12%</t>
  </si>
  <si>
    <t>If the user is attuned to Water: increases HP by 12%.</t>
  </si>
  <si>
    <t>(Water) HP +13%</t>
  </si>
  <si>
    <t>If the user is attuned to Water: increases HP by 13%.</t>
  </si>
  <si>
    <t>(Water) HP +16%</t>
  </si>
  <si>
    <t>If the user is attuned to Water: increases HP by 16%.</t>
  </si>
  <si>
    <t>(Water) HP +17%</t>
  </si>
  <si>
    <t>If the user is attuned to Water: increases HP by 17%.</t>
  </si>
  <si>
    <t>(Water) HP +18%</t>
  </si>
  <si>
    <t>If the user is attuned to Water: increases HP by 18%.</t>
  </si>
  <si>
    <t>(Water) HP +22%</t>
  </si>
  <si>
    <t>If the user is attuned to Water: increases HP by 22%.</t>
  </si>
  <si>
    <t>(Water) HP +24%</t>
  </si>
  <si>
    <t>If the user is attuned to Water: increases HP by 24%.</t>
  </si>
  <si>
    <t>(Water) HP +25%</t>
  </si>
  <si>
    <t>If the user is attuned to Water: increases HP by 25%.</t>
  </si>
  <si>
    <t>(Water) HP +27%</t>
  </si>
  <si>
    <t>If the user is attuned to Water: increases HP by 27%.</t>
  </si>
  <si>
    <t>(Water) HP +32%</t>
  </si>
  <si>
    <t>If the user is attuned to Water: increases HP by 32%.</t>
  </si>
  <si>
    <t>(Water) HP +34%</t>
  </si>
  <si>
    <t>If the user is attuned to Water: increases HP by 34%.</t>
  </si>
  <si>
    <t>(Water) HP +35%</t>
  </si>
  <si>
    <t>If the user is attuned to Water: increases HP by 35%.</t>
  </si>
  <si>
    <t>(Water) HP +37%</t>
  </si>
  <si>
    <t>If the user is attuned to Water: increases HP by 37%.</t>
  </si>
  <si>
    <t>(Water) HP +45%</t>
  </si>
  <si>
    <t>If the user is attuned to Water: increases HP by 45%.</t>
  </si>
  <si>
    <t>(Water) HP +60%</t>
  </si>
  <si>
    <t>If the user is attuned to Water: increases HP by 60%.</t>
  </si>
  <si>
    <t>(Water) HP 70% = Defense +3%</t>
  </si>
  <si>
    <t>If the user is attuned to Water: increases defense by 3% when HP is 70% or above.</t>
  </si>
  <si>
    <t>(Water) HP 70% = Defense +5%</t>
  </si>
  <si>
    <t>If the user is attuned to Water: increases defense by 5% when HP is 70% or above.</t>
  </si>
  <si>
    <t>(Water) HP 70% = Strength +5%</t>
  </si>
  <si>
    <t>If the user is attuned to Water: increases strength by 5% when HP is 70% or above.</t>
  </si>
  <si>
    <t>(Water) HP 70% = Strength +8%</t>
  </si>
  <si>
    <t>If the user is attuned to Water: increases strength by 8% when HP is 70% or above.</t>
  </si>
  <si>
    <t>(Water) Overdrive Punisher +40%</t>
  </si>
  <si>
    <t>If the user is attuned to Water: increases damage to enemies in overdrive state by 40%.</t>
  </si>
  <si>
    <t>(Water) Overdrive Punisher +60%</t>
  </si>
  <si>
    <t>If the user is attuned to Water: increases damage to enemies in overdrive state by 60%.</t>
  </si>
  <si>
    <t>(Water) Petrify Res</t>
  </si>
  <si>
    <t>If the user is attuned to Water: completely prevents petrification in Void Battles and certain other quests.</t>
  </si>
  <si>
    <t>(Water) Physian's Bane +10%</t>
  </si>
  <si>
    <t>If the user is attuned to Water: increases damage to physians by 10%.</t>
  </si>
  <si>
    <t>(Water) Physian's Bane +15%</t>
  </si>
  <si>
    <t>If the user is attuned to Water: increases damage to physians by 15%.</t>
  </si>
  <si>
    <t>(Water) Primed Strength +10%</t>
  </si>
  <si>
    <t>Increases the strength of the adventurer you are currently controlling by 10% for 10 seconds every time their initial skill, displayed at the top of their skill list, becomes available for use, providing they are Water-attuned. After activating, this ability will not activate again for 15 seconds.</t>
  </si>
  <si>
    <t>(Water) Scorching Air Res</t>
  </si>
  <si>
    <t>If the user is attuned to Water: completely nullifies damage from scorching air in Void Battles and certain other quests.</t>
  </si>
  <si>
    <t>(Water) Skill Damage +70%</t>
  </si>
  <si>
    <t>If the user is attuned to Water: increases attack skill damage by 70%.</t>
  </si>
  <si>
    <t>(Water) Skill Damage +90%</t>
  </si>
  <si>
    <t>If the user is attuned to Water: increases attack skill damage by 90%.</t>
  </si>
  <si>
    <t>(Water) Skill Haste +25%</t>
  </si>
  <si>
    <t>If the user is attuned to Water: increases skill gauge fill rate by 25%.</t>
  </si>
  <si>
    <t>(Water) Skill Haste +4%</t>
  </si>
  <si>
    <t>If the user is attuned to Water: increases skill gauge fill rate by 4%.</t>
  </si>
  <si>
    <t>(Water) Skill Haste +5%</t>
  </si>
  <si>
    <t>If the user is attuned to Water: increases skill gauge fill rate by 5%.</t>
  </si>
  <si>
    <t>(Water) Skill Prep +25%</t>
  </si>
  <si>
    <t>If the user is attuned to Water: fills 25% of skill gauges at the start of quests.</t>
  </si>
  <si>
    <t>(Water) Skill Prep +50%</t>
  </si>
  <si>
    <t>If the user is attuned to Water: fills 50% of skill gauges at the start of quests.</t>
  </si>
  <si>
    <t>(Water) Skill Recharge I</t>
  </si>
  <si>
    <t>If the user is attuned to Water: fills 25% of a skill's skill gauge after using that skill.</t>
  </si>
  <si>
    <t>(Water) Skill Resistance Penetrator</t>
  </si>
  <si>
    <t>If the user is attuned to Water: completely negates skill resistance in Void Battles and certain other quests.</t>
  </si>
  <si>
    <t>(Water) Slayer's Strength +3%</t>
  </si>
  <si>
    <t>If the user is attuned to Water: increases strength by 3% for every five enemies defeated (up to five times per quest).</t>
  </si>
  <si>
    <t>(Water) Slayer's Strength +4%</t>
  </si>
  <si>
    <t>If the user is attuned to Water: increases strength by 4% for every five enemies defeated (up to five times per quest).</t>
  </si>
  <si>
    <t>(Water) Soul Eater Res</t>
  </si>
  <si>
    <t>If the user is attuned to Water: completely negates Soul Eater in Void Battles and certain other quests.</t>
  </si>
  <si>
    <t>(Water) Spectral Shield Penetrator</t>
  </si>
  <si>
    <t>If the user is attuned to Water: ignores the effects of spectral shield when attacking enemies in Void Battles and certain other quests.</t>
  </si>
  <si>
    <t>(Water) Strength &amp; Critical Damage I</t>
  </si>
  <si>
    <t>If the user is attuned to Water: increases strength by 30% and adds 50% to the modifier applied to critical damage.</t>
  </si>
  <si>
    <t>(Water) Strength &amp; Critical Damage II</t>
  </si>
  <si>
    <t>If the user is attuned to Water: increases strength by 33% and adds 50% to the modifier applied to critical damage.</t>
  </si>
  <si>
    <t>If the user is attuned to Water: increases strength by 45% and adds 55% to the modifier applied to critical damage.</t>
  </si>
  <si>
    <t>(Water) Strength &amp; Critical Damage III</t>
  </si>
  <si>
    <t>If the user is attuned to Water: increases strength by 36% and adds 50% to the modifier applied to critical damage.</t>
  </si>
  <si>
    <t>(Water) Strength &amp; Critical Damage IV</t>
  </si>
  <si>
    <t>If the user is attuned to Water: increases strength by 39% and adds 50% to the modifier applied to critical damage.</t>
  </si>
  <si>
    <t>(Water) Strength &amp; Critical Damage V</t>
  </si>
  <si>
    <t>(Water) Strength +10%</t>
  </si>
  <si>
    <t>If the user is attuned to Water: increases strength by 10%.</t>
  </si>
  <si>
    <t>(Water) Strength +11%</t>
  </si>
  <si>
    <t>If the user is attuned to Water: increases strength by 11%.</t>
  </si>
  <si>
    <t>(Water) Strength +12%</t>
  </si>
  <si>
    <t>If the user is attuned to Water: increases strength by 12%.</t>
  </si>
  <si>
    <t>(Water) Strength +13%</t>
  </si>
  <si>
    <t>If the user is attuned to Water: increases strength by 13%.</t>
  </si>
  <si>
    <t>(Water) Strength +14%</t>
  </si>
  <si>
    <t>If the user is attuned to Water: increases strength by 14%.</t>
  </si>
  <si>
    <t>(Water) Strength +16%</t>
  </si>
  <si>
    <t>If the user is attuned to Water: increases strength by 16%.</t>
  </si>
  <si>
    <t>(Water) Strength +20%</t>
  </si>
  <si>
    <t>If the user is attuned to Water: increases strength by 20%.</t>
  </si>
  <si>
    <t>(Water) Strength +30%</t>
  </si>
  <si>
    <t>If the user is attuned to Water: increases strength by 30%.</t>
  </si>
  <si>
    <t>(Water) Strength +33%</t>
  </si>
  <si>
    <t>If the user is attuned to Water: increases strength by 33%.</t>
  </si>
  <si>
    <t>(Water) Strength +35%</t>
  </si>
  <si>
    <t>If the user is attuned to Water: increases strength by 35%.</t>
  </si>
  <si>
    <t>(Water) Strength +36%</t>
  </si>
  <si>
    <t>If the user is attuned to Water: increases strength by 36%.</t>
  </si>
  <si>
    <t>(Water) Strength +37%</t>
  </si>
  <si>
    <t>If the user is attuned to Water: increases strength by 37%.</t>
  </si>
  <si>
    <t>(Water) Strength +39%</t>
  </si>
  <si>
    <t>If the user is attuned to Water: increases strength by 39%.</t>
  </si>
  <si>
    <t>(Water) Strength +40%</t>
  </si>
  <si>
    <t>If the user is attuned to Water: increases strength by 40%.</t>
  </si>
  <si>
    <t>(Water) Strength +41%</t>
  </si>
  <si>
    <t>If the user is attuned to Water: increases strength by 41%.</t>
  </si>
  <si>
    <t>(Water) Strength +42%</t>
  </si>
  <si>
    <t>If the user is attuned to Water: increases strength by 42%.</t>
  </si>
  <si>
    <t>(Water) Strength +43%</t>
  </si>
  <si>
    <t>If the user is attuned to Water: increases strength by 43%.</t>
  </si>
  <si>
    <t>(Water) Strength +50%</t>
  </si>
  <si>
    <t>If the user is attuned to Water: increases strength by 50%.</t>
  </si>
  <si>
    <t>(Water) Strength +55%</t>
  </si>
  <si>
    <t>If the user is attuned to Water: increases strength by 55%.</t>
  </si>
  <si>
    <t>(Water) Thaumian's Bane +10%</t>
  </si>
  <si>
    <t>If the user is attuned to Water: increases damage to thaumians by 10%.</t>
  </si>
  <si>
    <t>(Water) Thaumian's Bane +15%</t>
  </si>
  <si>
    <t>If the user is attuned to Water: increases damage to thaumians by 15%.</t>
  </si>
  <si>
    <t>(Water) Undead's Bane +10%</t>
  </si>
  <si>
    <t>If the user is attuned to Water: increases damage to undead by 10%.</t>
  </si>
  <si>
    <t>(Water) Undead's Bane +15%</t>
  </si>
  <si>
    <t>If the user is attuned to Water: increases damage to undead by 15%.</t>
  </si>
  <si>
    <t>(Water) Unyielding Offense +2%</t>
  </si>
  <si>
    <t>If the user is attuned to Water: increases strength by 2% for the remainder of the quest when the user's HP drops to 70% (five times per quest).</t>
  </si>
  <si>
    <t>(Water) Wyrm of War I</t>
  </si>
  <si>
    <t>If the user is attuned to Water: fills 50% of skill gauges at the start of quests, and increases attack skill damage by 25% when the user has a Team Strength Amp</t>
  </si>
  <si>
    <t>(Wind) Affliction Guard I</t>
  </si>
  <si>
    <t>If the user is attuned to Wind: resists afflictions once per quest.</t>
  </si>
  <si>
    <t>(Wind) Affliction Guard II</t>
  </si>
  <si>
    <t>If the user is attuned to Wind: resists afflictions up to two times per quest.</t>
  </si>
  <si>
    <t>(Wind) Blinded Punisher +10%</t>
  </si>
  <si>
    <t>If the user is attuned to Wind: increases damage to blinded enemies by 10%.</t>
  </si>
  <si>
    <t>(Wind) Blinded Punisher +15%</t>
  </si>
  <si>
    <t>If the user is attuned to Wind: increases damage to blinded enemies by 15%.</t>
  </si>
  <si>
    <t>(Wind) Bog Res +25%</t>
  </si>
  <si>
    <t>If the user is attuned to Wind: reduces susceptibility to bog by 25%.</t>
  </si>
  <si>
    <t>(Wind) Bog Res +35%</t>
  </si>
  <si>
    <t>If the user is attuned to Wind: reduces susceptibility to bog by 35%.</t>
  </si>
  <si>
    <t>(Wind) Bog Res +40%</t>
  </si>
  <si>
    <t>If the user is attuned to Wind: reduces susceptibility to bog by 40%.</t>
  </si>
  <si>
    <t>(Wind) Broken Punisher +15%</t>
  </si>
  <si>
    <t>If the user is attuned to Wind: increases damage to enemies in break state by 15%.</t>
  </si>
  <si>
    <t>(Wind) Broken Punisher +20%</t>
  </si>
  <si>
    <t>If the user is attuned to Wind: increases damage to enemies in break state by 20%.</t>
  </si>
  <si>
    <t>(Wind) Buff Skill Time +15%</t>
  </si>
  <si>
    <t>If the user is attuned to Wind: increases duration of buff skills by 15%.</t>
  </si>
  <si>
    <t>(Wind) Buff Skill Time +20%</t>
  </si>
  <si>
    <t>If the user is attuned to Wind: increases duration of buff skills by 20%.</t>
  </si>
  <si>
    <t>(Wind) Copy Punisher</t>
  </si>
  <si>
    <t>If the user is attuned to Wind: increases damage to copies created by Propagation by 2000% in Void Battles and certain other quests.</t>
  </si>
  <si>
    <t>(Wind) Critical Damage +10%</t>
  </si>
  <si>
    <t>If the user is attuned to Wind: adds 10% to the modifier applied to critical damage.</t>
  </si>
  <si>
    <t>(Wind) Critical Damage +13%</t>
  </si>
  <si>
    <t>If the user is attuned to Wind: adds 13% to the modifier applied to critical damage.</t>
  </si>
  <si>
    <t>(Wind) Critical Rate +5%</t>
  </si>
  <si>
    <t>If the user is attuned to Wind: increases critical rate by 5%.</t>
  </si>
  <si>
    <t>(Wind) Critical Rate +6%</t>
  </si>
  <si>
    <t>If the user is attuned to Wind: increases critical rate by 6%.</t>
  </si>
  <si>
    <t>(Wind) Dauntless Rampart I</t>
  </si>
  <si>
    <t>If the user is attuned to Wind: grants them a one-use divergent shield that nullifies damage less than 30% of the user's maximum HP every 15 seconds that pass without the user being knocked back by an enemy. Divergent shields can stack with ordinary shields. Also, the user's strength is increased by 30% while this shield is active.</t>
  </si>
  <si>
    <t>(Wind) Dauntless Rampart II</t>
  </si>
  <si>
    <t>If the user is attuned to Wind: grants them a one-use divergent shield that nullifies damage less than 40% of the user's maximum HP every 15 seconds that pass without the user being knocked back by an enemy. Divergent shields can stack with ordinary shields. Also, the user's strength is increased by 30% while this shield is active.</t>
  </si>
  <si>
    <t>(Wind) Fangs of the Fangless I</t>
  </si>
  <si>
    <t>If the user is attuned to Wind: increases strength by 80%._x000D_
_x000D_
Also, regardless of their attunement, grants the user a dragon strike while shapeshifted as Beast Volk. This dragon strike deals 3 hits of 314% wind damage to enemies in a line and reduces their defense by 10% for five seconds. This defense reduction will not stack._x000D_
_x000D_
While charging this dragon strike, the user will be granted a stack of the "Moonlit Rage" effect at set intervals. A stack is granted 0.5 seconds after the dragon strike is fully charged, and a further stack is granted for every additional 1 second of uninterrupted charging, up to 9.5 seconds. Moonlit Rage can stack up to ten times.</t>
  </si>
  <si>
    <t>(Wind) Fangs of the Fangless II</t>
  </si>
  <si>
    <t>If the user is attuned to Wind: increases strength by 85%._x000D_
_x000D_
Also, regardless of their attunement, grants the user a dragon strike while shapeshifted as Beast Volk. This dragon strike deals 3 hits of 314% wind damage to enemies in a line and reduces their defense by 10% for five seconds. This defense reduction will not stack._x000D_
_x000D_
While charging this dragon strike, the user will be granted a stack of the "Moonlit Rage" effect at set intervals. A stack is granted 0.5 seconds after the dragon strike is fully charged, and a further stack is granted for every additional 1 second of uninterrupted charging, up to 9.5 seconds. Moonlit Rage can stack up to ten times.</t>
  </si>
  <si>
    <t>(Wind) Fangs of the Fangless III</t>
  </si>
  <si>
    <t>If the user is attuned to Wind: increases strength by 90%._x000D_
_x000D_
Also, regardless of their attunement, grants the user a dragon strike while shapeshifted as Beast Volk. This dragon strike deals 3 hits of 314% wind damage to enemies in a line and reduces their defense by 10% for five seconds. This defense reduction will not stack._x000D_
_x000D_
While charging this dragon strike, the user will be granted a stack of the "Moonlit Rage" effect at set intervals. A stack is granted 0.5 seconds after the dragon strike is fully charged, and a further stack is granted for every additional 1 second of uninterrupted charging, up to 9.5 seconds. Moonlit Rage can stack up to ten times.</t>
  </si>
  <si>
    <t>(Wind) Fangs of the Fangless IV</t>
  </si>
  <si>
    <t>If the user is attuned to Wind: increases strength by 95%._x000D_
_x000D_
Also, regardless of their attunement, grants the user a dragon strike while shapeshifted as Beast Volk. This dragon strike deals 3 hits of 314% wind damage to enemies in a line and reduces their defense by 10% for five seconds. This defense reduction will not stack._x000D_
_x000D_
While charging this dragon strike, the user will be granted a stack of the "Moonlit Rage" effect at set intervals. A stack is granted 0.5 seconds after the dragon strike is fully charged, and a further stack is granted for every additional 1 second of uninterrupted charging, up to 9.5 seconds. Moonlit Rage can stack up to ten times.</t>
  </si>
  <si>
    <t>If the user is attuned to Wind: increases strength by 100%._x000D_
_x000D_
Also, regardless of their attunement, grants the user a dragon strike while shapeshifted as Beast Volk. This dragon strike deals 3 hits of 314% wind damage to enemies in a line and reduces their defense by 10% for five seconds. This defense reduction will not stack._x000D_
_x000D_
While charging this dragon strike, the user will be granted a stack of the "Moonlit Rage" effect at set intervals. A stack is granted 0.5 seconds after the dragon strike is fully charged, and a further stack is granted for every additional 1 second of uninterrupted charging, up to 9.5 seconds. Moonlit Rage can stack up to ten times.</t>
  </si>
  <si>
    <t>(Wind) Flurry Devastation +10%</t>
  </si>
  <si>
    <t>If the user is attuned to Wind: increases critical rate by 10% when the combo count is 15 or higher.</t>
  </si>
  <si>
    <t>(Wind) Flurry Devastation +8%</t>
  </si>
  <si>
    <t>If the user is attuned to Wind: increases critical rate by 8% when the combo count is 15 or higher.</t>
  </si>
  <si>
    <t>(Wind) Flurry Skill +50%</t>
  </si>
  <si>
    <t>If the user is attuned to Wind: increases attack skill damage by 50% when the combo count is 15 or higher.</t>
  </si>
  <si>
    <t>(Wind) Flurry Skill +55%</t>
  </si>
  <si>
    <t>If the user is attuned to Wind: increases attack skill damage by 55% when the combo count is 15 or higher.</t>
  </si>
  <si>
    <t>(Wind) Flurry Skill +60%</t>
  </si>
  <si>
    <t>If the user is attuned to Wind: increases attack skill damage by 60% when the combo count is 15 or higher.</t>
  </si>
  <si>
    <t>(Wind) Flurry Skill +65%</t>
  </si>
  <si>
    <t>If the user is attuned to Wind: increases attack skill damage by 65% when the combo count is 15 or higher.</t>
  </si>
  <si>
    <t>(Wind) Frenzy Res</t>
  </si>
  <si>
    <t>If the user is attuned to Wind: ignores the effects of frenzy when attacking and taking damage from enemies in Void Battles and certain other quests.</t>
  </si>
  <si>
    <t>(Wind) Fury Penetrator</t>
  </si>
  <si>
    <t>If the user is attuned to Wind: ignores the effects of fury when attacking enemies in Void Battles and certain other quests.</t>
  </si>
  <si>
    <t>(Wind) HP &amp; Strength +13%</t>
  </si>
  <si>
    <t>If the user is attuned to Wind: increases strength and HP by 13%.</t>
  </si>
  <si>
    <t>(Wind) HP &amp; Strength +23%</t>
  </si>
  <si>
    <t>If the user is attuned to Wind: increases strength and HP by 23%.</t>
  </si>
  <si>
    <t>(Wind) HP &amp; Strength +26%</t>
  </si>
  <si>
    <t>If the user is attuned to Wind: increases strength and HP by 26%.</t>
  </si>
  <si>
    <t>(Wind) HP &amp; Strength +30%</t>
  </si>
  <si>
    <t>If the user is attuned to Wind: increases strength and HP by 30%.</t>
  </si>
  <si>
    <t>(Wind) HP &amp; Strength +5%</t>
  </si>
  <si>
    <t>If the user is attuned to Wind: increases strength and HP by 5%.</t>
  </si>
  <si>
    <t>(Wind) HP &amp; Strength +6%</t>
  </si>
  <si>
    <t>If the user is attuned to Wind: increases strength and HP by 6%.</t>
  </si>
  <si>
    <t>(Wind) HP &amp; Strength +7%</t>
  </si>
  <si>
    <t>If the user is attuned to Wind: increases strength and HP by 7%.</t>
  </si>
  <si>
    <t>(Wind) HP &amp; Strength +8%</t>
  </si>
  <si>
    <t>If the user is attuned to Wind: increases strength and HP by 8%.</t>
  </si>
  <si>
    <t>(Wind) HP &amp; Strength +9%</t>
  </si>
  <si>
    <t>If the user is attuned to Wind: increases strength and HP by 9%.</t>
  </si>
  <si>
    <t>If the user is attuned to Wind: increases HP by 10%.</t>
  </si>
  <si>
    <t>(Wind) HP +11%</t>
  </si>
  <si>
    <t>If the user is attuned to Wind: increases HP by 11%.</t>
  </si>
  <si>
    <t>(Wind) HP +12%</t>
  </si>
  <si>
    <t>If the user is attuned to Wind: increases HP by 12%.</t>
  </si>
  <si>
    <t>(Wind) HP +13%</t>
  </si>
  <si>
    <t>If the user is attuned to Wind: increases HP by 13%.</t>
  </si>
  <si>
    <t>(Wind) HP +20%</t>
  </si>
  <si>
    <t>If the user is attuned to Wind: increases HP by 20%.</t>
  </si>
  <si>
    <t>(Wind) HP +22%</t>
  </si>
  <si>
    <t>If the user is attuned to Wind: increases HP by 22%.</t>
  </si>
  <si>
    <t>(Wind) HP +24%</t>
  </si>
  <si>
    <t>If the user is attuned to Wind: increases HP by 24%.</t>
  </si>
  <si>
    <t>(Wind) HP +25%</t>
  </si>
  <si>
    <t>If the user is attuned to Wind: increases HP by 25%.</t>
  </si>
  <si>
    <t>(Wind) HP +27%</t>
  </si>
  <si>
    <t>If the user is attuned to Wind: increases HP by 27%.</t>
  </si>
  <si>
    <t>(Wind) HP +30%</t>
  </si>
  <si>
    <t>If the user is attuned to Wind: increases HP by 30%.</t>
  </si>
  <si>
    <t>(Wind) HP +33%</t>
  </si>
  <si>
    <t>If the user is attuned to Wind: increases HP by 33%.</t>
  </si>
  <si>
    <t>(Wind) HP +35%</t>
  </si>
  <si>
    <t>If the user is attuned to Wind: increases HP by 35%.</t>
  </si>
  <si>
    <t>(Wind) HP +36%</t>
  </si>
  <si>
    <t>If the user is attuned to Wind: increases HP by 36%.</t>
  </si>
  <si>
    <t>(Wind) HP +39%</t>
  </si>
  <si>
    <t>If the user is attuned to Wind: increases HP by 39%.</t>
  </si>
  <si>
    <t>(Wind) HP +50%</t>
  </si>
  <si>
    <t>If the user is attuned to Wind: increases HP by 50%.</t>
  </si>
  <si>
    <t>(Wind) HP +55%</t>
  </si>
  <si>
    <t>If the user is attuned to Wind: increases HP by 55%.</t>
  </si>
  <si>
    <t>(Wind) HP +60%</t>
  </si>
  <si>
    <t>If the user is attuned to Wind: increases HP by 60%.</t>
  </si>
  <si>
    <t>(Wind) HP 70% = Defense +3%</t>
  </si>
  <si>
    <t>If the user is attuned to Wind: increases defense by 3% when HP is 70% or above.</t>
  </si>
  <si>
    <t>(Wind) HP 70% = Defense +5%</t>
  </si>
  <si>
    <t>If the user is attuned to Wind: increases defense by 5% when HP is 70% or above.</t>
  </si>
  <si>
    <t>(Wind) HP 70% = Healing +8%</t>
  </si>
  <si>
    <t>If the user is attuned to Wind: increases the potency of recovery skills by 8% when HP is 70% or above.</t>
  </si>
  <si>
    <t>(Wind) HP 70% = Strength +5%</t>
  </si>
  <si>
    <t>If the user is attuned to Wind: increases strength by 5% when HP is 70% or above.</t>
  </si>
  <si>
    <t>(Wind) HP 70% = Strength +8%</t>
  </si>
  <si>
    <t>If the user is attuned to Wind: increases strength by 8% when HP is 70% or above.</t>
  </si>
  <si>
    <t>(Wind) Physian's Bane +10%</t>
  </si>
  <si>
    <t>If the user is attuned to Wind: increases damage to physians by 10%.</t>
  </si>
  <si>
    <t>(Wind) Physian's Bane +15%</t>
  </si>
  <si>
    <t>If the user is attuned to Wind: increases damage to physians by 15%.</t>
  </si>
  <si>
    <t>(Wind) Plague of Weakness I</t>
  </si>
  <si>
    <t>If the user is attuned to Wind: increases the chances of inflicting any afflictions by 50%, the duration of poison and stormlash inflicted on enemies by 20%, damage to poisoned enemies by 10%, and damage to stormlashed enemies by 10%._x000D_
_x000D_
Also, regardless of their attunement, lowers the user's affliction resistance by 150%, but activates the following effects every 3.5 seconds while they have the "Blood Moon" effect:_x000D_
・The user is granted a stack of the "Moonlit Rage" effect._x000D_
・Deals 1 hit of 258% wind damage to surrounding enemies, and 10% of the damage inflicted is restored as HP to the entire team. This recovery caps at 10% of each adventurer's maximum HP. The effect of the Dragon's Fierce Rule ability will not apply to this damage._x000D_
_x000D_
When the user's shapeshift or Hybrid Transformation is undone, they will be inflicted with poison for 12 seconds - dealing 10% Max HP every 2.9 seconds, their dragon skill's "Skill Shift" will be reset, and the Blood Moon effect and all stacks of Moonlit Rage will be lost.</t>
  </si>
  <si>
    <t>If the user is attuned to Wind: increases the chances of inflicting any afflictions by 100%, the duration of poison and stormlash inflicted on enemies by 30%, damage to poisoned enemies by 15%, and damage to stormlashed enemies by 15%._x000D_
_x000D_
Also, regardless of their attunement, lowers the user's affliction resistance by 150%, but activates the following effects every 3.5 seconds while they have the "Blood Moon" effect:_x000D_
・The user is granted a stack of the "Moonlit Rage" effect._x000D_
・Deals 1 hit of 258% wind damage to surrounding enemies, and 10% of the damage inflicted is restored as HP to the entire team. This recovery caps at 10% of each adventurer's maximum HP. The effect of the Dragon's Fierce Rule ability will not apply to this damage._x000D_
_x000D_
When the user's shapeshift or Hybrid Transformation is undone, they will be inflicted with poison for 12 seconds - dealing 10% Max HP every 2.9 seconds, their dragon skill's "Skill Shift" will be reset, and the Blood Moon effect and all stacks of Moonlit Rage will be lost.</t>
  </si>
  <si>
    <t>(Wind) Poisoned Punisher +15%</t>
  </si>
  <si>
    <t>If the user is attuned to Wind: increases damage to poisoned enemies by 15%.</t>
  </si>
  <si>
    <t>(Wind) Primed Strength +10%</t>
  </si>
  <si>
    <t>Increases the strength of the adventurer you are currently controlling by 10% for 10 seconds every time their initial skill, displayed at the top of their skill list, becomes available for use, providing they are Wind-attuned. After activating, this ability will not activate again for 15 seconds.</t>
  </si>
  <si>
    <t>(Wind) Recovery Potency +5%</t>
  </si>
  <si>
    <t>If the user is attuned to Wind: increases the potency of recovery skills by 5%.</t>
  </si>
  <si>
    <t>(Wind) Skill Damage +70%</t>
  </si>
  <si>
    <t>If the user is attuned to Wind: increases attack skill damage by 70%.</t>
  </si>
  <si>
    <t>(Wind) Skill Damage +90%</t>
  </si>
  <si>
    <t>If the user is attuned to Wind: increases attack skill damage by 90%.</t>
  </si>
  <si>
    <t>(Wind) Skill Haste +20%</t>
  </si>
  <si>
    <t>If the user is attuned to Wind: increases skill gauge fill rate by 20%.</t>
  </si>
  <si>
    <t>(Wind) Skill Haste +25%</t>
  </si>
  <si>
    <t>If the user is attuned to wind: increases skill gauge fill rate by 25%.</t>
  </si>
  <si>
    <t>(Wind) Skill Haste +35%</t>
  </si>
  <si>
    <t>If the user is attuned to wind: increases skill gauge fill rate by 35%.</t>
  </si>
  <si>
    <t>(Wind) Skill Haste +6%</t>
  </si>
  <si>
    <t>If the user is attuned to Wind: increases skill gauge fill rate by 6%.</t>
  </si>
  <si>
    <t>(Wind) Skill Haste +8%</t>
  </si>
  <si>
    <t>If the user is attuned to Wind: increases skill gauge fill rate by 8%.</t>
  </si>
  <si>
    <t>(Wind) Skill Prep +25%</t>
  </si>
  <si>
    <t>If the user is attuned to Wind: fills 25% of skill gauges at the start of quests.</t>
  </si>
  <si>
    <t>(Wind) Skill Resistance Penetrator</t>
  </si>
  <si>
    <t>If the user is attuned to Wind: completely negates skill resistance in Void Battles and certain other quests.</t>
  </si>
  <si>
    <t>(Wind) Slayer's Strength +1%</t>
  </si>
  <si>
    <t>If the user is attuned to Wind: increases strength by 1% for every five enemies defeated (up to five times per quest).</t>
  </si>
  <si>
    <t>(Wind) Slayer's Strength +3%</t>
  </si>
  <si>
    <t>If the user is attuned to Wind: increases strength by 3% for every five enemies defeated (up to five times per quest).</t>
  </si>
  <si>
    <t>(Wind) Slayer's Strength +4%</t>
  </si>
  <si>
    <t>If the user is attuned to Wind: increases strength by 4% for every five enemies defeated (up to five times per quest).</t>
  </si>
  <si>
    <t>(Wind) Soul Eater Res</t>
  </si>
  <si>
    <t>If the user is attuned to Wind: completely negates Soul Eater in Void Battles and certain other quests.</t>
  </si>
  <si>
    <t>(Wind) Spectral Shield Penetrator</t>
  </si>
  <si>
    <t>If the user is attuned to Wind: ignores the effects of spectral shield when attacking enemies in Void Battles and certain other quests.</t>
  </si>
  <si>
    <t>(Wind) Strength &amp; Critical Damage I</t>
  </si>
  <si>
    <t>If the user is attuned to Wind: increases strength by 30% and adds 50% to the modifier applied to critical damage.</t>
  </si>
  <si>
    <t>(Wind) Strength &amp; Critical Damage II</t>
  </si>
  <si>
    <t>If the user is attuned to Wind: increases strength by 45% and adds 55% to the modifier applied to critical damage.</t>
  </si>
  <si>
    <t>If the user is attuned to Wind: increases strength by 33% and adds 50% to the modifier applied to critical damage.</t>
  </si>
  <si>
    <t>(Wind) Strength &amp; Critical Damage III</t>
  </si>
  <si>
    <t>If the user is attuned to Wind: increases strength by 36% and adds 50% to the modifier applied to critical damage.</t>
  </si>
  <si>
    <t>(Wind) Strength &amp; Critical Damage IV</t>
  </si>
  <si>
    <t>If the user is attuned to Wind: increases strength by 39% and adds 50% to the modifier applied to critical damage.</t>
  </si>
  <si>
    <t>(Wind) Strength &amp; Critical Damage V</t>
  </si>
  <si>
    <t>(Wind) Strength &amp; Water Res I</t>
  </si>
  <si>
    <t>If the user is attuned to Wind: increases strength by 35%, and adds 15% to water resistance.</t>
  </si>
  <si>
    <t>(Wind) Strength &amp; Water Res II</t>
  </si>
  <si>
    <t>If the user is attuned to Wind: increases strength by 38%, and adds 15% to water resistance.</t>
  </si>
  <si>
    <t>(Wind) Strength &amp; Water Res III</t>
  </si>
  <si>
    <t>If the user is attuned to Wind: increases strength by 41%, and adds 15% to water resistance.</t>
  </si>
  <si>
    <t>(Wind) Strength &amp; Water Res IV</t>
  </si>
  <si>
    <t>If the user is attuned to Wind: increases strength by 45%, and adds 15% to water resistance.</t>
  </si>
  <si>
    <t>(Wind) Strength +10%</t>
  </si>
  <si>
    <t>If the user is attuned to Wind: increases strength by 10%.</t>
  </si>
  <si>
    <t>(Wind) Strength +11%</t>
  </si>
  <si>
    <t>If the user is attuned to Wind: increases strength by 11%.</t>
  </si>
  <si>
    <t>(Wind) Strength +12%</t>
  </si>
  <si>
    <t>If the user is attuned to Wind: increases strength by 12%.</t>
  </si>
  <si>
    <t>(Wind) Strength +13%</t>
  </si>
  <si>
    <t>If the user is attuned to Wind: increases strength by 13%.</t>
  </si>
  <si>
    <t>(Wind) Strength +14%</t>
  </si>
  <si>
    <t>If the user is attuned to Wind: increases strength by 14%.</t>
  </si>
  <si>
    <t>(Wind) Strength +16%</t>
  </si>
  <si>
    <t>If the user is attuned to Wind: increases strength by 16%.</t>
  </si>
  <si>
    <t>(Wind) Strength +20%</t>
  </si>
  <si>
    <t>If the user is attuned to Wind: increases strength by 20%.</t>
  </si>
  <si>
    <t>(Wind) Strength +25%</t>
  </si>
  <si>
    <t>If the user is attuned to Wind: increases strength by 25%.</t>
  </si>
  <si>
    <t>(Wind) Strength +30%</t>
  </si>
  <si>
    <t>If the user is attuned to Wind: increases strength by 30%.</t>
  </si>
  <si>
    <t>(Wind) Strength +33%</t>
  </si>
  <si>
    <t>If the user is attuned to Wind: increases strength by 33%.</t>
  </si>
  <si>
    <t>(Wind) Strength +35%</t>
  </si>
  <si>
    <t>If the user is attuned to Wind: increases strength by 35%.</t>
  </si>
  <si>
    <t>(Wind) Strength +36%</t>
  </si>
  <si>
    <t>If the user is attuned to Wind: increases strength by 36%.</t>
  </si>
  <si>
    <t>(Wind) Strength +37%</t>
  </si>
  <si>
    <t>If the user is attuned to Wind: increases strength by 37%.</t>
  </si>
  <si>
    <t>(Wind) Strength +38%</t>
  </si>
  <si>
    <t>If the user is attuned to Wind: increases strength by 38%.</t>
  </si>
  <si>
    <t>(Wind) Strength +39%</t>
  </si>
  <si>
    <t>If the user is attuned to Wind: increases strength by 39%.</t>
  </si>
  <si>
    <t>(Wind) Strength +41%</t>
  </si>
  <si>
    <t>If the user is attuned to Wind: increases strength by 41%.</t>
  </si>
  <si>
    <t>(Wind) Strength +42%</t>
  </si>
  <si>
    <t>If the user is attuned to Wind: increases strength by 42%.</t>
  </si>
  <si>
    <t>(Wind) Strength +44%</t>
  </si>
  <si>
    <t>If the user is attuned to Wind: increases strength by 44%.</t>
  </si>
  <si>
    <t>(Wind) Strength +55%</t>
  </si>
  <si>
    <t>If the user is attuned to Wind: increases strength by 55%.</t>
  </si>
  <si>
    <t>(Wind) Summer Flowers I</t>
  </si>
  <si>
    <t>If the user is attuned to Wind: grants the user a "Smiling Flower" at the start of quests, and grants an additional Smiling Flower every 60 seconds, up to a maximum of six. The user will receive the following buffs based on their total number of Smiling Flowers._x000D_
- One Flower: Increases strength by 30%_x000D_
- Two Flowers: Increases defense by 10%_x000D_
- Three Flowers: Increases skill damage by 30%_x000D_
- Four Flowers: Reduces water damage taken by 3%_x000D_
- Six Flowers: Grants an HP regen buff, healing for 15% Max HP every 3.9 seconds</t>
  </si>
  <si>
    <t>(Wind) Summer Flowers II</t>
  </si>
  <si>
    <t>If the user is attuned to Wind: grants the user a "Smiling Flower" at the start of quests, and grants an additional Smiling Flower every 60 seconds, up to a maximum of six. The user will receive the following buffs based on their total number of Smiling Flowers._x000D_
- One Flower: Increases strength by 32%_x000D_
- Two Flowers: Increases defense by 12%_x000D_
- Three Flowers: Increases skill damage by 35%_x000D_
- Four Flowers: Reduces water damage taken by 3%_x000D_
- Six Flowers: Grants an HP regen buff, healing for 15% Max HP every 3.9 seconds</t>
  </si>
  <si>
    <t>(Wind) Summer Flowers III</t>
  </si>
  <si>
    <t>If the user is attuned to Wind: grants the user a "Smiling Flower" at the start of quests, and grants an additional Smiling Flower every 60 seconds, up to a maximum of six. The user will receive the following buffs based on their total number of Smiling Flowers._x000D_
- One Flower: Increases strength by 34%_x000D_
- Two Flowers: Increases defense by 14%_x000D_
- Three Flowers: Increases skill damage by 40%_x000D_
- Four Flowers: Reduces water damage taken by 5%_x000D_
- Six Flowers: Grants an HP regen buff, healing for 15% Max HP every 3.9 seconds</t>
  </si>
  <si>
    <t>(Wind) Summer Flowers IV</t>
  </si>
  <si>
    <t>If the user is attuned to Wind: grants the user a "Smiling Flower" at the start of quests, and grants an additional Smiling Flower every 60 seconds, up to a maximum of six. The user will receive the following buffs based on their total number of Smiling Flowers._x000D_
- One Flower: Increases strength by 37%_x000D_
- Two Flowers: Increases defense by 17%_x000D_
- Three Flowers: Increases skill damage by 45%_x000D_
- Four Flowers: Reduces water damage taken by 5%_x000D_
- Six Flowers: Grants an HP regen buff, healing for 15% Max HP every 3.9 seconds</t>
  </si>
  <si>
    <t>(Wind) Thaumian's Bane +10%</t>
  </si>
  <si>
    <t>(Wind) Thaumian's Bane +15%</t>
  </si>
  <si>
    <t>If the user is attuned to Wind: increases damage to thaumians by 15%.</t>
  </si>
  <si>
    <t>(Wind) Therion's Bane +15%</t>
  </si>
  <si>
    <t>If the user is attuned to Wind: increases damage to therions by 15%.</t>
  </si>
  <si>
    <t>(Wind) Undead's Bane +10%</t>
  </si>
  <si>
    <t>If the user is attuned to Wind: increases damage to undead by 10%.</t>
  </si>
  <si>
    <t>(Wind) Undead's Bane +15%</t>
  </si>
  <si>
    <t>If the user is attuned to Wind: increases damage to undead by 15%.</t>
  </si>
  <si>
    <t>(Wind) Unyielding Offense +2%</t>
  </si>
  <si>
    <t>If the user is attuned to Wind: increases strength by 2% for the remainder of the quest when the user's HP drops to 70% (five times per quest).</t>
  </si>
  <si>
    <t>(Wind) Vengeful Strength &amp; Counter I</t>
  </si>
  <si>
    <t>If the user is attuned to Wind: deals 1 hit of 2457% wind damage to surrounding enemies, and grants the user the "Deranged Thrill" effect for 45 seconds when they are hit by an attack that inflicts an affliction. During Deranged Thrill, the user's strength is increased by 15%. Deranged Thrill will not stack, and, after activating, this ability will not activate again for 20 seconds.</t>
  </si>
  <si>
    <t>(Wind) Whirlpool Res</t>
  </si>
  <si>
    <t>If the user is attuned to Wind: ignores the effects of whirlpool in Void Battles and certain other quests.</t>
  </si>
  <si>
    <t>(Wind) Wrath of the Plains I</t>
  </si>
  <si>
    <t>If the user is attuned to Wind: adds 25% to the modifier applied to damage against water-attuned enemies and enemies with no attunement for 45 seconds every time the dragon gauge fills by 10%. This increase will not stack, and, after activating, this ability will not activate again for 5 seconds.</t>
  </si>
  <si>
    <t>A Song That Envelops the World</t>
  </si>
  <si>
    <t>Acclaim +100%</t>
  </si>
  <si>
    <t>Increases acclaim intake for clearing quests by 100%.</t>
  </si>
  <si>
    <t>Acclaim +125%</t>
  </si>
  <si>
    <t>Increases acclaim intake for clearing quests by 125%.</t>
  </si>
  <si>
    <t>Acclaim +150%</t>
  </si>
  <si>
    <t>Increases acclaim intake for clearing quests by 150%.</t>
  </si>
  <si>
    <t>Adventurer EXP +100%</t>
  </si>
  <si>
    <t>Increases adventurer EXP intake for clearing quests by 100%.</t>
  </si>
  <si>
    <t>Adventurer EXP +110%</t>
  </si>
  <si>
    <t>Increases adventurer EXP intake for clearing quests by 110%.</t>
  </si>
  <si>
    <t>Adventurer EXP +120%</t>
  </si>
  <si>
    <t>Increases adventurer EXP intake for clearing quests by 120%.</t>
  </si>
  <si>
    <t>Adventurer EXP +130%</t>
  </si>
  <si>
    <t>Increases adventurer EXP intake for clearing quests by 130%.</t>
  </si>
  <si>
    <t>Arcane Tomes +25%</t>
  </si>
  <si>
    <t>Increases arcane tome intake for clearing quests by 25%.</t>
  </si>
  <si>
    <t>Arcane Tomes +35%</t>
  </si>
  <si>
    <t>Increases arcane tome intake for clearing quests by 35%.</t>
  </si>
  <si>
    <t>Arcane Tomes +50%</t>
  </si>
  <si>
    <t>Increases arcane tome intake for clearing quests by 50%.</t>
  </si>
  <si>
    <t>Arcane Tomes +60%</t>
  </si>
  <si>
    <t>Increases arcane tome intake for clearing quests by 60%.</t>
  </si>
  <si>
    <t>Arcane Tomes +75%</t>
  </si>
  <si>
    <t>Increases arcane tome intake for clearing quests by 75%.</t>
  </si>
  <si>
    <t>Astral Ornament +25%</t>
  </si>
  <si>
    <t>Increases astral ornaments intake for clearing quests by 25%.</t>
  </si>
  <si>
    <t>Astral Ornament +35%</t>
  </si>
  <si>
    <t>Increases astral ornament intake for clearing quests by 35%.</t>
  </si>
  <si>
    <t>Astral Ornament +50%</t>
  </si>
  <si>
    <t>Increases astral ornaments intake for clearing quests by 50%.</t>
  </si>
  <si>
    <t>Astral Ornament +60%</t>
  </si>
  <si>
    <t>Increases astral ornament intake for clearing quests by 60%.</t>
  </si>
  <si>
    <t>Astral Ornament +75%</t>
  </si>
  <si>
    <t>Increases astral ornaments intake for clearing quests by 75%.</t>
  </si>
  <si>
    <t>Chef's Special +25%</t>
  </si>
  <si>
    <t>Increases chef's special intake for clearing quests by 25%.</t>
  </si>
  <si>
    <t>Chef's Special +35%</t>
  </si>
  <si>
    <t>Increases chef's special intake for clearing quests by 35%.</t>
  </si>
  <si>
    <t>Chef's Special +50%</t>
  </si>
  <si>
    <t>Increases chef's special intake for clearing quests by 50%.</t>
  </si>
  <si>
    <t>Chef's Special +60%</t>
  </si>
  <si>
    <t>Increases chef's special intake for clearing quests by 60%.</t>
  </si>
  <si>
    <t>Chef's Special +75%</t>
  </si>
  <si>
    <t>Increases chef's special intake for clearing quests by 75%.</t>
  </si>
  <si>
    <t>Conductive Bolts +25%</t>
  </si>
  <si>
    <t>Increases conductive bolt intake for clearing quests by 25%.</t>
  </si>
  <si>
    <t>Conductive Bolts +35%</t>
  </si>
  <si>
    <t>Increases conductive bolt intake for clearing quests by 35%.</t>
  </si>
  <si>
    <t>Conductive Bolts +50%</t>
  </si>
  <si>
    <t>Increases conductive bolt intake for clearing quests by 50%.</t>
  </si>
  <si>
    <t>Divine Gales +100%</t>
  </si>
  <si>
    <t>Increases divine gale intake for clearing quests by 100%.</t>
  </si>
  <si>
    <t>Divine Gales +125%</t>
  </si>
  <si>
    <t>Increases divine gale intake for clearing quests by 125%.</t>
  </si>
  <si>
    <t>Divine Gales +150%</t>
  </si>
  <si>
    <t>Increases divine gale intake for clearing quests by 150%.</t>
  </si>
  <si>
    <t>Divine Gales +25%</t>
  </si>
  <si>
    <t>Increases divine gale intake for clearing quests by 25%.</t>
  </si>
  <si>
    <t>Divine Gales +35%</t>
  </si>
  <si>
    <t>Increases divine gale intake for clearing quests by 35%.</t>
  </si>
  <si>
    <t>Divine Gales +50%</t>
  </si>
  <si>
    <t>Increases divine gale intake for clearing quests by 50%.</t>
  </si>
  <si>
    <t>Eggsploration Points +100%</t>
  </si>
  <si>
    <t>Increases eggsploration point intake for clearing quests by 100%.</t>
  </si>
  <si>
    <t>Eggsploration Points +125%</t>
  </si>
  <si>
    <t>Increases eggsploration point intake for clearing quests by 125%.</t>
  </si>
  <si>
    <t>Eggsploration Points +150%</t>
  </si>
  <si>
    <t>Increases eggsploration point intake for clearing quests by 150%.</t>
  </si>
  <si>
    <t>Eggsploration Points +25%</t>
  </si>
  <si>
    <t>Increases eggsploration point intake for clearing quests by 25%.</t>
  </si>
  <si>
    <t>Eggsploration Points +35%</t>
  </si>
  <si>
    <t>Increases eggsploration point intake for clearing quests by 35%.</t>
  </si>
  <si>
    <t>Eggsploration Points +50%</t>
  </si>
  <si>
    <t>Increases eggsploration point intake for clearing quests by 50%.</t>
  </si>
  <si>
    <t>Eggsploration Points +75%</t>
  </si>
  <si>
    <t>Increases eggsploration point intake for clearing quests by 75%.</t>
  </si>
  <si>
    <t>Festival Spirit +100%</t>
  </si>
  <si>
    <t>Increases festival spirit intake for clearing quests by 100%.</t>
  </si>
  <si>
    <t>Festival Spirit +125%</t>
  </si>
  <si>
    <t>Increases festival spirit intake for clearing quests by 125%.</t>
  </si>
  <si>
    <t>Festival Spirit +150%</t>
  </si>
  <si>
    <t>Increases festival spirit intake for clearing quests by 150%.</t>
  </si>
  <si>
    <t>Festival Spirit +25%</t>
  </si>
  <si>
    <t>Increases festival spirit intake for clearing quests by 25%.</t>
  </si>
  <si>
    <t>Festival Spirit +35%</t>
  </si>
  <si>
    <t>Increases festival spirit intake for clearing quests by 35%.</t>
  </si>
  <si>
    <t>Festival Spirit +50%</t>
  </si>
  <si>
    <t>Increases festival spirit intake for clearing quests by 50%.</t>
  </si>
  <si>
    <t>Festival Spirit +75%</t>
  </si>
  <si>
    <t>Increases festival spirit intake for clearing quests by 75%.</t>
  </si>
  <si>
    <t>Forbidden Knowledge +100%</t>
  </si>
  <si>
    <t>Increases forbidden knowledge intake for clearing quests by 100%.</t>
  </si>
  <si>
    <t>Forbidden Knowledge +125%</t>
  </si>
  <si>
    <t>Increases forbidden knowledge intake for clearing quests by 125%.</t>
  </si>
  <si>
    <t>Forbidden Knowledge +150%</t>
  </si>
  <si>
    <t>Increases forbidden knowledge intake for clearing quests by 150%.</t>
  </si>
  <si>
    <t>Forbidden Knowledge +25%</t>
  </si>
  <si>
    <t>Increases forbidden knowledge intake for clearing quests by 25%.</t>
  </si>
  <si>
    <t>Forbidden Knowledge +35%</t>
  </si>
  <si>
    <t>Increases forbidden knowledge intake for clearing quests by 35%.</t>
  </si>
  <si>
    <t>Forbidden Knowledge +50%</t>
  </si>
  <si>
    <t>Increases forbidden knowledge intake for clearing quests by 50%.</t>
  </si>
  <si>
    <t>Forbidden Knowledge +75%</t>
  </si>
  <si>
    <t>Increases forbidden knowledge intake for clearing quests by 75%.</t>
  </si>
  <si>
    <t>Glam Shells +25%</t>
  </si>
  <si>
    <t>Increases glam shell intake for clearing quests by 25%.</t>
  </si>
  <si>
    <t>Glam Shells +35%</t>
  </si>
  <si>
    <t>Increases glam shell intake for clearing quests by 35%.</t>
  </si>
  <si>
    <t>Glam Shells +50%</t>
  </si>
  <si>
    <t>Increases glam shell intake for clearing quests by 50%.</t>
  </si>
  <si>
    <t>Glam Shells +60%</t>
  </si>
  <si>
    <t>Increases glam shell intake for clearing quests by 60%.</t>
  </si>
  <si>
    <t>Glam Shells +75%</t>
  </si>
  <si>
    <t>Increases glam shell intake for clearing quests by 75%.</t>
  </si>
  <si>
    <t>Holiday Cheer +100%</t>
  </si>
  <si>
    <t>Increases Holiday Cheer intake for clearing quests by 100%.</t>
  </si>
  <si>
    <t>Holiday Cheer +125%</t>
  </si>
  <si>
    <t>Increases holiday cheer intake for clearing quests by 125%.</t>
  </si>
  <si>
    <t>Holiday Cheer +150%</t>
  </si>
  <si>
    <t>Increases Holiday Cheer intake for clearing quests by 150%.</t>
  </si>
  <si>
    <t>Holiday Cheer +25%</t>
  </si>
  <si>
    <t>Increases Holiday Cheer intake for clearing quests by 25%.</t>
  </si>
  <si>
    <t>Holiday Cheer +35%</t>
  </si>
  <si>
    <t>Increases holiday cheer intake for clearing quests by 35%.</t>
  </si>
  <si>
    <t>Holiday Cheer +50%</t>
  </si>
  <si>
    <t>Increases Holiday Cheer intake for clearing quests by 50%.</t>
  </si>
  <si>
    <t>Holy Ore +25%</t>
  </si>
  <si>
    <t>Increases holy ore intake for clearing quests by 25%.</t>
  </si>
  <si>
    <t>Holy Ore +35%</t>
  </si>
  <si>
    <t>Increases holy ore intake for clearing quests by 35%.</t>
  </si>
  <si>
    <t>Holy Ore +50%</t>
  </si>
  <si>
    <t>Increases holy ore intake for clearing quests by 50%.</t>
  </si>
  <si>
    <t>Holy Ore +60%</t>
  </si>
  <si>
    <t>Increases holy ore intake for clearing quests by 60%.</t>
  </si>
  <si>
    <t>Holy Ore +75%</t>
  </si>
  <si>
    <t>Increases holy ore intake for clearing quests by 75%.</t>
  </si>
  <si>
    <t>Hype +100%</t>
  </si>
  <si>
    <t>Increases hype intake for clearing quests by 100%.</t>
  </si>
  <si>
    <t>Hype +125%</t>
  </si>
  <si>
    <t>Increases hype intake for clearing quests by 125%.</t>
  </si>
  <si>
    <t>Hype +150%</t>
  </si>
  <si>
    <t>Increases hype intake for clearing quests by 150%.</t>
  </si>
  <si>
    <t>Hype +25%</t>
  </si>
  <si>
    <t>Increases hype intake for clearing quests by 25%.</t>
  </si>
  <si>
    <t>Hype +35%</t>
  </si>
  <si>
    <t>Increases hype intake for clearing quests by 35%.</t>
  </si>
  <si>
    <t>Hype +50%</t>
  </si>
  <si>
    <t>Increases hype intake for clearing quests by 50%.</t>
  </si>
  <si>
    <t>Hype +75%</t>
  </si>
  <si>
    <t>Increases hype intake for clearing quests by 75%.</t>
  </si>
  <si>
    <t>Intelligence +100%</t>
  </si>
  <si>
    <t>Increases intelligence intake for clearing quests by 100%.</t>
  </si>
  <si>
    <t>Intelligence +125%</t>
  </si>
  <si>
    <t>Increases intelligence intake for clearing quests by 125%.</t>
  </si>
  <si>
    <t>Intelligence +150%</t>
  </si>
  <si>
    <t>Increases intelligence intake for clearing quests by 150%.</t>
  </si>
  <si>
    <t>Librettos +25%</t>
  </si>
  <si>
    <t>Increases libretto intake for clearing quests by 25%.</t>
  </si>
  <si>
    <t>Librettos +35%</t>
  </si>
  <si>
    <t>Increases libretto intake for clearing quests by 35%.</t>
  </si>
  <si>
    <t>Librettos +50%</t>
  </si>
  <si>
    <t>Increases libretto intake for clearing quests by 50%.</t>
  </si>
  <si>
    <t>Mettle +100%</t>
  </si>
  <si>
    <t>Increases mettle intake for clearing quests by 100%.</t>
  </si>
  <si>
    <t>Mettle +125%</t>
  </si>
  <si>
    <t>Increases mettle intake for clearing quests by 125%.</t>
  </si>
  <si>
    <t>Mettle +150%</t>
  </si>
  <si>
    <t>Increases mettle intake for clearing quests by 150%.</t>
  </si>
  <si>
    <t>Mettle +25%</t>
  </si>
  <si>
    <t>Increases mettle intake for clearing quests by 25%.</t>
  </si>
  <si>
    <t>Mettle +35%</t>
  </si>
  <si>
    <t>Increases mettle intake for clearing quests by 35%.</t>
  </si>
  <si>
    <t>Mettle +50%</t>
  </si>
  <si>
    <t>Increases mettle intake for clearing quests by 50%.</t>
  </si>
  <si>
    <t>Mettle +75%</t>
  </si>
  <si>
    <t>Increases mettle intake for clearing quests by 75%.</t>
  </si>
  <si>
    <t>Motivational Logs +25%</t>
  </si>
  <si>
    <t>Increases motivational log intake for clearing quests by 25%.</t>
  </si>
  <si>
    <t>Motivational Logs +35%</t>
  </si>
  <si>
    <t>Increases motivational log intake for clearing quests by 35%.</t>
  </si>
  <si>
    <t>Motivational Logs +50%</t>
  </si>
  <si>
    <t>Increases motivational log intake for clearing quests by 50%.</t>
  </si>
  <si>
    <t>Motivational Logs +60%</t>
  </si>
  <si>
    <t>Increases motivational log intake for clearing quests by 60%.</t>
  </si>
  <si>
    <t>Motivational Logs +75%</t>
  </si>
  <si>
    <t>Increases motivational log intake for clearing quests by 75%.</t>
  </si>
  <si>
    <t>Oceanic Resonance +100%</t>
  </si>
  <si>
    <t>Increases oceanic resonance intake for clearing quests by 100%.</t>
  </si>
  <si>
    <t>Oceanic Resonance +125%</t>
  </si>
  <si>
    <t>Increases oceanic resonance intake for clearing quests by 125%.</t>
  </si>
  <si>
    <t>Oceanic Resonance +150%</t>
  </si>
  <si>
    <t>Increases oceanic resonance intake for clearing quests by 150%.</t>
  </si>
  <si>
    <t>Ornate Lanterns +25%</t>
  </si>
  <si>
    <t>Increases ornate lantern intake for clearing quests by 25%.</t>
  </si>
  <si>
    <t>Ornate Lanterns +35%</t>
  </si>
  <si>
    <t>Increases ornate lantern intake for clearing quests by 35%.</t>
  </si>
  <si>
    <t>Ornate Lanterns +50%</t>
  </si>
  <si>
    <t>Increases ornate lantern intake for clearing quests by 50%.</t>
  </si>
  <si>
    <t>Papier-Mâché +25%</t>
  </si>
  <si>
    <t>Increases papier-mâché intake for clearing quests by 25%.</t>
  </si>
  <si>
    <t>Papier-Mâché +35%</t>
  </si>
  <si>
    <t>Increases papier-mâché intake for clearing quests by 35%.</t>
  </si>
  <si>
    <t>Papier-Mâché +50%</t>
  </si>
  <si>
    <t>Increases papier-mâché intake for clearing quests by 50%.</t>
  </si>
  <si>
    <t>Papier-Mâché +60%</t>
  </si>
  <si>
    <t>Increases papier-mâché intake for clearing quests by 60%.</t>
  </si>
  <si>
    <t>Papier-Mâché +75%</t>
  </si>
  <si>
    <t>Increases papier-mâché intake for clearing quests by 75%.</t>
  </si>
  <si>
    <t>Renown +100%</t>
  </si>
  <si>
    <t>Increases renown intake for clearing quests by 100%.</t>
  </si>
  <si>
    <t>Renown +125%</t>
  </si>
  <si>
    <t>Increases renown intake for clearing quests by 125%.</t>
  </si>
  <si>
    <t>Renown +150%</t>
  </si>
  <si>
    <t>Increases renown intake for clearing quests by 150%.</t>
  </si>
  <si>
    <t>Renown +25%</t>
  </si>
  <si>
    <t>Increases renown intake for clearing quests by 25%.</t>
  </si>
  <si>
    <t>Renown +35%</t>
  </si>
  <si>
    <t>Increases renown intake for clearing quests by 35%.</t>
  </si>
  <si>
    <t>Renown +50%</t>
  </si>
  <si>
    <t>Increases renown intake for clearing quests by 50%.</t>
  </si>
  <si>
    <t>Resolve +30%</t>
  </si>
  <si>
    <t>Increases resolve intake for clearing quests by 30%.</t>
  </si>
  <si>
    <t>Resolve +45%</t>
  </si>
  <si>
    <t>Increases resolve intake for clearing quests by 45%.</t>
  </si>
  <si>
    <t>Resolve +60%</t>
  </si>
  <si>
    <t>Increases resolve intake for clearing quests by 60%.</t>
  </si>
  <si>
    <t>Sacred Stone +25%</t>
  </si>
  <si>
    <t>Increases sacred stone intake for clearing quests by 25%.</t>
  </si>
  <si>
    <t>Sacred Stone +35%</t>
  </si>
  <si>
    <t>Increases sacred stone intake for clearing quests by 35%.</t>
  </si>
  <si>
    <t>Sacred Stone +50%</t>
  </si>
  <si>
    <t>Increases sacred stone intake for clearing quests by 50%.</t>
  </si>
  <si>
    <t>Sanctity +100%</t>
  </si>
  <si>
    <t>Increases sanctity intake for clearing quests by 100%.</t>
  </si>
  <si>
    <t>Sanctity +125%</t>
  </si>
  <si>
    <t>Increases sanctity intake for clearing quests by 125%.</t>
  </si>
  <si>
    <t>Sanctity +150%</t>
  </si>
  <si>
    <t>Increases sanctity intake for clearing quests by 150%.</t>
  </si>
  <si>
    <t>Sanctity +25%</t>
  </si>
  <si>
    <t>Increases sanctity intake for clearing quests by 25%.</t>
  </si>
  <si>
    <t>Sanctity +35%</t>
  </si>
  <si>
    <t>Increases sanctity intake for clearing quests by 35%.</t>
  </si>
  <si>
    <t>Sanctity +50%</t>
  </si>
  <si>
    <t>Increases sanctity intake for clearing quests by 50%.</t>
  </si>
  <si>
    <t>Sanctity +75%</t>
  </si>
  <si>
    <t>Increases sanctity intake for clearing quests by 75%.</t>
  </si>
  <si>
    <t>Snack-o'-Lanterns +25%</t>
  </si>
  <si>
    <t>Increases Snack-o'-Lantern intake for clearing quests by 25%.</t>
  </si>
  <si>
    <t>Snack-o'-Lanterns +35%</t>
  </si>
  <si>
    <t>Increases Snack-o'-Lantern intake for clearing quests by 35%.</t>
  </si>
  <si>
    <t>Snack-o'-Lanterns +50%</t>
  </si>
  <si>
    <t>Increases Snack-o'-Lantern intake for clearing quests by 50%.</t>
  </si>
  <si>
    <t>Tent Canvas +25%</t>
  </si>
  <si>
    <t>Increases tent canvas intake for clearing quests by 25%.</t>
  </si>
  <si>
    <t>Tent Canvas +35%</t>
  </si>
  <si>
    <t>Increases tent canvas intake for clearing quests by 35%.</t>
  </si>
  <si>
    <t>Tent Canvas +50%</t>
  </si>
  <si>
    <t>Increases tent canvas intake for clearing quests by 50%.</t>
  </si>
  <si>
    <t>Tent Canvas +60%</t>
  </si>
  <si>
    <t>Increases tent canvas intake for clearing quests by 60%.</t>
  </si>
  <si>
    <t>Tent Canvas +75%</t>
  </si>
  <si>
    <t>Increases tent canvas intake for clearing quests by 75%.</t>
  </si>
  <si>
    <t>Tidal Tears +25%</t>
  </si>
  <si>
    <t>Increases tidal tear intake for clearing quests by 25%.</t>
  </si>
  <si>
    <t>Tidal Tears +35%</t>
  </si>
  <si>
    <t>Increases tidal tear intake for clearing quests by 35%.</t>
  </si>
  <si>
    <t>Tidal Tears +50%</t>
  </si>
  <si>
    <t>Increases tidal tear intake for clearing quests by 50%.</t>
  </si>
  <si>
    <t>Tricker Treats +100%</t>
  </si>
  <si>
    <t>Increases Tricker Treat intake for clearing quests by 100%.</t>
  </si>
  <si>
    <t>Tricker Treats +25%</t>
  </si>
  <si>
    <t>Increases Tricker Treat intake for clearing quests by 25%.</t>
  </si>
  <si>
    <t>Tricker Treats +35%</t>
  </si>
  <si>
    <t>Increases Tricker Treat intake for clearing quests by 35%.</t>
  </si>
  <si>
    <t>Tricker Treats +50%</t>
  </si>
  <si>
    <t>Increases Tricker Treat intake for clearing quests by 50%.</t>
  </si>
  <si>
    <t>Tricker Treats +75%</t>
  </si>
  <si>
    <t>Increases Tricker Treat intake for clearing quests by 75%.</t>
  </si>
  <si>
    <t>Valor +10%</t>
  </si>
  <si>
    <t>Increases valor intake for clearing quests by 10%.</t>
  </si>
  <si>
    <t>Valor +15%</t>
  </si>
  <si>
    <t>Increases valor intake for clearing quests by 15%.</t>
  </si>
  <si>
    <t>Valor +20%</t>
  </si>
  <si>
    <t>Increases valor intake for clearing quests by 20%.</t>
  </si>
  <si>
    <t>Valor +30%</t>
  </si>
  <si>
    <t>Increases valor intake for clearing quests by 30%.</t>
  </si>
  <si>
    <t>Valor +40%</t>
  </si>
  <si>
    <t>Increases valor intake for clearing quests by 40%.</t>
  </si>
  <si>
    <t>Valor +45%</t>
  </si>
  <si>
    <t>Increases valor intake for clearing quests by 45%.</t>
  </si>
  <si>
    <t>Valor +60%</t>
  </si>
  <si>
    <t>Increases valor intake for clearing quests by 60%.</t>
  </si>
  <si>
    <t>Vibrato +100%</t>
  </si>
  <si>
    <t>Increases vibrato intake for clearing quests by 100%.</t>
  </si>
  <si>
    <t>Vibrato +125%</t>
  </si>
  <si>
    <t>Increases vibrato intake for clearing quests by 125%.</t>
  </si>
  <si>
    <t>Vibrato +150%</t>
  </si>
  <si>
    <t>Increases vibrato intake for clearing quests by 150%.</t>
  </si>
  <si>
    <t>Vibrato +50%</t>
  </si>
  <si>
    <t>Increases vibrato intake for clearing quests by 50%.</t>
  </si>
  <si>
    <t>Vibrato +75%</t>
  </si>
  <si>
    <t>Increases vibrato intake for clearing quests by 75%.</t>
  </si>
  <si>
    <t>Windwhistle Grass +25%</t>
  </si>
  <si>
    <t>Increases windwhistle grass intake for clearing quests by 25%.</t>
  </si>
  <si>
    <t>Windwhistle Grass +35%</t>
  </si>
  <si>
    <t>Increases windwhistle grass intake for clearing quests by 35%.</t>
  </si>
  <si>
    <t>Windwhistle Grass +50%</t>
  </si>
  <si>
    <t>Increases windwhistle grass intake for clearing quests by 50%.</t>
  </si>
  <si>
    <t>Windwhistle Grass +60%</t>
  </si>
  <si>
    <t>Increases windwhistle grass intake for clearing quests by 60%.</t>
  </si>
  <si>
    <t>Windwhistle Grass +75%</t>
  </si>
  <si>
    <t>Increases wind whistle grass intake for clearing quests by 75%.</t>
  </si>
  <si>
    <t>Zest +100%</t>
  </si>
  <si>
    <t>Increases zest intake for clearing quests by 100%.</t>
  </si>
  <si>
    <t>Zest +125%</t>
  </si>
  <si>
    <t>Increases zest intake for clearing quests by 125%.</t>
  </si>
  <si>
    <t>Zest +150%</t>
  </si>
  <si>
    <t>Increases zest intake for clearing quests by 150%.</t>
  </si>
  <si>
    <t>Zest +25%</t>
  </si>
  <si>
    <t>Increases zest intake for clearing quests by 25%.</t>
  </si>
  <si>
    <t>Zest +35%</t>
  </si>
  <si>
    <t>Increases zest intake for clearing quests by 35%.</t>
  </si>
  <si>
    <t>Zest +50%</t>
  </si>
  <si>
    <t>Increases zest intake for clearing quests by 50%.</t>
  </si>
  <si>
    <t>Zest +75%</t>
  </si>
  <si>
    <t>Increases zest intake for clearing quests by 75%.</t>
  </si>
  <si>
    <t>Deals 3 hits of 1500% water damage to enemies directly ahead, dispels one buff from each target, increases the user's energy level by 3 stages, increases the entire team's flame resistance by 30% for 30 seconds, grants all teammates a one-use shield that nullifies damage less than 40% of the user's maximum HP, and grants the user a strength amp (Team Amp MAX Lv. = 3). Neither this shield nor the increase in flame resistance stacks. The skill gauge for this skill can be filled by attacking enemies, but it will also gradually fill automatically during Divine Revelation.</t>
  </si>
  <si>
    <t>Pietro was a low tier adventurer whose most notable quality was being a favorite of Dragalia Foundry. This revised build aims to make Pietro better by doubling his skill damage, giving him bleed, dispel, a strength amp, a critical rate boost for non-Nihility content, and an useful affliction resistance. This build is not super creative, but there was little to build upon</t>
  </si>
  <si>
    <t>Increases damage to frostbitten enemies by 30%. Also, using a skill will grant the user a defense amp (Team Amp MAX Lv. = 3). After this amp is granted, this ability will not grant it again for 15 seconds.</t>
  </si>
  <si>
    <t>Restores HP to all allies with 60% Recovery Potency, and gradually recovers their HP for 20 seconds, healing with 35% Recovery Potency every 2.9 seconds. Also, grants the user a defense amp (Team Amp MAX Lv. = 3).</t>
  </si>
  <si>
    <t>Increases the entire team's defense by 25% for 15 seconds, restores HP to all allies with 130% Recovery Potency, removes burning, and increases the entire team's strength by 15% for 60 seconds. This strength increase will not stack.</t>
  </si>
  <si>
    <t>Jakob is a milquetoast adventurer who never had anything going for him. This revision doubles his skill damage, gives him strength and defensive amps, dispel, skill prep &amp; skill charge, and Flurry Slayer's Strength for good measure. And due to the need for frostbite res down adventurers, he was given frostbite and frostbite res down.</t>
  </si>
  <si>
    <t>Grants the entire team a team defense amp (Team Amp MAX Lv. = 3) when the user's HP is restored. After activating, this ability will not activate again for 15 seconds. Also, increases the potency of recovery skills by 20%.</t>
  </si>
  <si>
    <t>Laranoa was a great water adventurer prior to Curse of Nihility content, given her ability to grant several buffs at once, and ability to amass critical damage buffs. However, her usability became limited after regular buffs were rendered useless. This revision simplifies how buffs are applied, grants her a critical damage amp, boosts her critical rate, adds dispel, and also a defense amp for good measure.</t>
  </si>
  <si>
    <t>Weapon Abilities</t>
  </si>
  <si>
    <t>Weapon Unlockables</t>
  </si>
  <si>
    <t>Wyrmprint Ptintable</t>
  </si>
  <si>
    <t>Wyrmprint Abilities</t>
  </si>
  <si>
    <t>Wyrmprint Ability Count</t>
  </si>
  <si>
    <t>Wyrmprint Affinity Comparison</t>
  </si>
  <si>
    <t>Portrait Wyrmprint Printable</t>
  </si>
  <si>
    <t>Portrait Wyrmprint List</t>
  </si>
  <si>
    <t>Portrait Wyrmprint Abilities</t>
  </si>
  <si>
    <t>Unlockable Adventurers, Dragons, Wyrmprints (OUTDATED)</t>
  </si>
  <si>
    <t>Enter the Kaleidoscape - Amber Costs</t>
  </si>
  <si>
    <t>Enter the Kaleidoscape - Ability Costs</t>
  </si>
  <si>
    <t>Enter the Kaleidoscape - Shared Skills</t>
  </si>
  <si>
    <t>Adventurer Comparison (Used to Develop Adventurer Kits)</t>
  </si>
  <si>
    <t>Materials Checklist</t>
  </si>
  <si>
    <t>Quest List</t>
  </si>
  <si>
    <t>Quest Drop Calculations</t>
  </si>
  <si>
    <t>Endeavor List Revision</t>
  </si>
  <si>
    <t>Facility Costs</t>
  </si>
  <si>
    <r>
      <rPr>
        <b/>
        <sz val="11"/>
        <color theme="1"/>
        <rFont val="Tw Cen MT"/>
        <family val="2"/>
        <scheme val="minor"/>
      </rPr>
      <t>Note:</t>
    </r>
    <r>
      <rPr>
        <sz val="11"/>
        <color theme="1"/>
        <rFont val="Tw Cen MT"/>
        <family val="2"/>
        <scheme val="minor"/>
      </rPr>
      <t xml:space="preserve"> Calculations for adventurer EXP and Enter the Kaleidoscape materials are not accurately represented here. See the respective sections for more details.</t>
    </r>
  </si>
  <si>
    <t>THIS IS OUTDATED - INFORMATION MOVED TO OTHER SHEETS</t>
  </si>
  <si>
    <t>THIS WAS A TOOL TO FIT ALL ADVENTURER INFORMATION ON ONE SCREEN FOR BUILDING THEIR KITS.</t>
  </si>
  <si>
    <t>Copy Text (Used to Keep Language Consistent)</t>
  </si>
  <si>
    <t>(Element) HP +50% &amp; Defense +30%</t>
  </si>
  <si>
    <t>If elemental attunements match: Increases HP by 50% and defense by 30%</t>
  </si>
  <si>
    <t>Exchange for 20 Void Seeds from Treasure Trade</t>
  </si>
  <si>
    <t>Exchange for 10 Void Seeds from Treasure Trade</t>
  </si>
  <si>
    <t>Exchange for 5 Void Seeds from Treasure Trade</t>
  </si>
  <si>
    <t>Clear Lilith's Encroaching Shadow: Expert 
(Rise of the Sinister Dominion)</t>
  </si>
  <si>
    <t>Clear Jaldabaoth's Piercing Gale: Expert 
(Rise of the Sinister Dominion)</t>
  </si>
  <si>
    <t>Clear Asura's Blinding Light: Expert 
(Rise of the Sinister Dominion)</t>
  </si>
  <si>
    <t>Clear Iblis's Surging Cascade: Expert 
(Rise of the Sinister Dominion)</t>
  </si>
  <si>
    <t>Clear Surtr's Devouring Flame: Expert 
(Rise of the Sinister Dominion)</t>
  </si>
  <si>
    <t>Clear Void Agni Strike: Expert
(Void Battles)</t>
  </si>
  <si>
    <t>Clear Void Poseidon Strike: Expert
(Void Battles)</t>
  </si>
  <si>
    <t>Clear Void Zephyr Strike: Expert
(Void Battles)</t>
  </si>
  <si>
    <t>Clear Void Jeanne d'Arc Strike: Expert
(Void Battles)</t>
  </si>
  <si>
    <t>Clear Void Nidhogg Strike: Expert
(Void Battles)</t>
  </si>
  <si>
    <t>Clear Lv. 40 of The Mercurial Gauntlet in All Elements</t>
  </si>
  <si>
    <t>Clear Lv. 40 of The Mercurial Gauntlet in All Elements
(The Mercurial Gauntlet)</t>
  </si>
  <si>
    <t>Clear Lv. 80 of The Mercurial Gauntlet in All Elements</t>
  </si>
  <si>
    <t>Clear Lv. 45 of The Mercurial Gauntlet in All Elements</t>
  </si>
  <si>
    <t>Clear Lv. 50 of The Mercurial Gauntlet in All Elements</t>
  </si>
  <si>
    <t>Clear Lv. 55 of The Mercurial Gauntlet in All Elements</t>
  </si>
  <si>
    <t>Clear Lv. 60 of The Mercurial Gauntlet in All Elements</t>
  </si>
  <si>
    <t>Clear Lv. 65 of The Mercurial Gauntlet in All Elements</t>
  </si>
  <si>
    <t>Clear Lv. 70 of The Mercurial Gauntlet in All Elements</t>
  </si>
  <si>
    <t>Clear Lv. 75 of The Mercurial Gauntlet in All Elements</t>
  </si>
  <si>
    <t>Clear Lv. 77 of The Mercurial Gauntlet in All Elements</t>
  </si>
  <si>
    <t>Clear Lv. 79 of The Mercurial Gauntlet in All Elements</t>
  </si>
  <si>
    <t>Clear Lv. 71 of The Mercurial Gauntlet in All Elements</t>
  </si>
  <si>
    <t>Clear Lv. 73 of The Mercurial Gauntlet in All Elements</t>
  </si>
  <si>
    <t>Clear The Mercurial Gauntlet (Flame): Lv. 50</t>
  </si>
  <si>
    <t>Clear The Mercurial Gauntlet (Flame): Lv. 48</t>
  </si>
  <si>
    <t>Clear The Mercurial Gauntlet (Flame): Lv. 45</t>
  </si>
  <si>
    <t>Clear The Mercurial Gauntlet (Flame): Lv. 80</t>
  </si>
  <si>
    <t>Clear The Mercurial Gauntlet (Flame): Lv. 78</t>
  </si>
  <si>
    <t>Clear The Mercurial Gauntlet (Flame): Lv. 75</t>
  </si>
  <si>
    <t>Clear The Mercurial Gauntlet (Flame): Lv. 73</t>
  </si>
  <si>
    <t>Clear The Mercurial Gauntlet (Flame): Lv. 70</t>
  </si>
  <si>
    <t>Clear The Mercurial Gauntlet (Flame): Lv. 55</t>
  </si>
  <si>
    <t>Clear The Mercurial Gauntlet (Flame): Lv. 60</t>
  </si>
  <si>
    <t>Clear The Mercurial Gauntlet (Flame): Lv. 65</t>
  </si>
  <si>
    <t>Clear The Mercurial Gauntlet (Flame): Lv. 68</t>
  </si>
  <si>
    <t>Clear The Mercurial Gauntlet (Water): Lv. 45</t>
  </si>
  <si>
    <t>Clear The Mercurial Gauntlet (Water): Lv. 48</t>
  </si>
  <si>
    <t>Clear The Mercurial Gauntlet (Water): Lv. 50</t>
  </si>
  <si>
    <t>Clear The Mercurial Gauntlet (Water): Lv. 55</t>
  </si>
  <si>
    <t>Clear The Mercurial Gauntlet (Water): Lv. 60</t>
  </si>
  <si>
    <t>Clear The Mercurial Gauntlet (Water): Lv. 65</t>
  </si>
  <si>
    <t>Clear The Mercurial Gauntlet (Water): Lv. 68</t>
  </si>
  <si>
    <t>Clear The Mercurial Gauntlet (Water): Lv. 70</t>
  </si>
  <si>
    <t>Clear The Mercurial Gauntlet (Water): Lv. 73</t>
  </si>
  <si>
    <t>Clear The Mercurial Gauntlet (Water): Lv. 75</t>
  </si>
  <si>
    <t>Clear The Mercurial Gauntlet (Water): Lv. 78</t>
  </si>
  <si>
    <t>Clear The Mercurial Gauntlet (Water): Lv. 80</t>
  </si>
  <si>
    <t>Clear The Mercurial Gauntlet (Wind): Lv. 45</t>
  </si>
  <si>
    <t>Clear The Mercurial Gauntlet (Wind): Lv. 48</t>
  </si>
  <si>
    <t>Clear The Mercurial Gauntlet (Wind): Lv. 50</t>
  </si>
  <si>
    <t>Clear The Mercurial Gauntlet (Wind): Lv. 55</t>
  </si>
  <si>
    <t>Clear The Mercurial Gauntlet (Wind): Lv. 60</t>
  </si>
  <si>
    <t>Clear The Mercurial Gauntlet (Wind): Lv. 65</t>
  </si>
  <si>
    <t>Clear The Mercurial Gauntlet (Wind): Lv. 68</t>
  </si>
  <si>
    <t>Clear The Mercurial Gauntlet (Wind): Lv. 70</t>
  </si>
  <si>
    <t>Clear The Mercurial Gauntlet (Wind): Lv. 73</t>
  </si>
  <si>
    <t>Clear The Mercurial Gauntlet (Wind): Lv. 75</t>
  </si>
  <si>
    <t>Clear The Mercurial Gauntlet (Wind): Lv. 78</t>
  </si>
  <si>
    <t>Clear The Mercurial Gauntlet (Wind): Lv. 80</t>
  </si>
  <si>
    <t>Clear The Mercurial Gauntlet (Light): Lv. 45</t>
  </si>
  <si>
    <t>Clear The Mercurial Gauntlet (Light): Lv. 48</t>
  </si>
  <si>
    <t>Clear The Mercurial Gauntlet (Light): Lv. 50</t>
  </si>
  <si>
    <t>Clear The Mercurial Gauntlet (Light): Lv. 55</t>
  </si>
  <si>
    <t>Clear The Mercurial Gauntlet (Light): Lv. 60</t>
  </si>
  <si>
    <t>Clear The Mercurial Gauntlet (Light): Lv. 65</t>
  </si>
  <si>
    <t>Clear The Mercurial Gauntlet (Light): Lv. 68</t>
  </si>
  <si>
    <t>Clear The Mercurial Gauntlet (Light): Lv. 70</t>
  </si>
  <si>
    <t>Clear The Mercurial Gauntlet (Light): Lv. 73</t>
  </si>
  <si>
    <t>Clear The Mercurial Gauntlet (Light): Lv. 75</t>
  </si>
  <si>
    <t>Clear The Mercurial Gauntlet (Light): Lv. 78</t>
  </si>
  <si>
    <t>Clear The Mercurial Gauntlet (Light): Lv. 80</t>
  </si>
  <si>
    <t>Clear The Mercurial Gauntlet (Shadow): Lv. 45</t>
  </si>
  <si>
    <t>Clear The Mercurial Gauntlet (Shadow): Lv. 48</t>
  </si>
  <si>
    <t>Clear The Mercurial Gauntlet (Shadow): Lv. 50</t>
  </si>
  <si>
    <t>Clear The Mercurial Gauntlet (Shadow): Lv. 55</t>
  </si>
  <si>
    <t>Clear The Mercurial Gauntlet (Shadow): Lv. 60</t>
  </si>
  <si>
    <t>Clear The Mercurial Gauntlet (Shadow): Lv. 65</t>
  </si>
  <si>
    <t>Clear The Mercurial Gauntlet (Shadow): Lv. 68</t>
  </si>
  <si>
    <t>Clear The Mercurial Gauntlet (Shadow): Lv. 70</t>
  </si>
  <si>
    <t>Clear The Mercurial Gauntlet (Shadow): Lv. 73</t>
  </si>
  <si>
    <t>Clear The Mercurial Gauntlet (Shadow): Lv. 75</t>
  </si>
  <si>
    <t>Clear The Mercurial Gauntlet (Shadow): Lv. 78</t>
  </si>
  <si>
    <t>Clear The Mercurial Gauntlet (Shadow): Lv. 80</t>
  </si>
  <si>
    <t>Q-401</t>
  </si>
  <si>
    <t>Q-402</t>
  </si>
  <si>
    <t>Q-403</t>
  </si>
  <si>
    <t>Q-404</t>
  </si>
  <si>
    <t>Q-405</t>
  </si>
  <si>
    <t>Various</t>
  </si>
  <si>
    <t>Water Orb</t>
  </si>
  <si>
    <t>Wind Orb</t>
  </si>
  <si>
    <t>Light Orb</t>
  </si>
  <si>
    <t>Shadow Orb</t>
  </si>
  <si>
    <t>Stream Orb</t>
  </si>
  <si>
    <t>Deluge Orb</t>
  </si>
  <si>
    <t>Tsunami Orb</t>
  </si>
  <si>
    <t>Flame Orb</t>
  </si>
  <si>
    <t>Blaze Orb</t>
  </si>
  <si>
    <t>Incandescence Orb</t>
  </si>
  <si>
    <t>Inferno Orb</t>
  </si>
  <si>
    <t>Storm Orb</t>
  </si>
  <si>
    <t>Maelstrom Orb</t>
  </si>
  <si>
    <t>Tempest Orb</t>
  </si>
  <si>
    <t>Radiance Orb</t>
  </si>
  <si>
    <t>Refulgence Orb</t>
  </si>
  <si>
    <t>Resplendence Orb</t>
  </si>
  <si>
    <t>Nightfall Orb</t>
  </si>
  <si>
    <t>Nether Orb</t>
  </si>
  <si>
    <t>Abaddon Orb</t>
  </si>
  <si>
    <t>Shadowwyrm's Scale</t>
  </si>
  <si>
    <t>Shadowwyrm's Darkscale</t>
  </si>
  <si>
    <t>Windwyrm's Squallscale</t>
  </si>
  <si>
    <t>Windwyrm's Scale</t>
  </si>
  <si>
    <t>Lightwyrm's Scale</t>
  </si>
  <si>
    <t>Waterwyrm's Glistscale</t>
  </si>
  <si>
    <t>Waterwyrm's Scale</t>
  </si>
  <si>
    <t>Flamewyrm's Scaldscale</t>
  </si>
  <si>
    <t>Flamewyrm's Scale</t>
  </si>
  <si>
    <t>Lightwyrm's Glowscale</t>
  </si>
  <si>
    <t>Vermilion Insignia</t>
  </si>
  <si>
    <t>Azure Insignia</t>
  </si>
  <si>
    <t>Jade Insignia</t>
  </si>
  <si>
    <t>Royal Jade Insignia</t>
  </si>
  <si>
    <t>Amber Insignia</t>
  </si>
  <si>
    <t>Royal Amber Insignia</t>
  </si>
  <si>
    <t>Royal Vermilion Insignia</t>
  </si>
  <si>
    <t>Royal Azure Insignia</t>
  </si>
  <si>
    <t>Violet Insignia</t>
  </si>
  <si>
    <t>Royal Violet Insignia</t>
  </si>
  <si>
    <t>Soaring Ones' Mask Fragment</t>
  </si>
  <si>
    <t>Liberated One's Mask Fragment</t>
  </si>
  <si>
    <t>Rebellious One's Cruelty</t>
  </si>
  <si>
    <t>Rebellious Butterflies' Searing Fire</t>
  </si>
  <si>
    <t>Eliminating One's Mask Fragment</t>
  </si>
  <si>
    <t>Despairing One's Mask Fragment</t>
  </si>
  <si>
    <t>Rebellious One's Desperation</t>
  </si>
  <si>
    <t>Rebellious Bird's Tide</t>
  </si>
  <si>
    <t>Destitute One's Mask Fragment</t>
  </si>
  <si>
    <t>Plagued One's Mask Fragment</t>
  </si>
  <si>
    <t>Rebellious One's Insanity</t>
  </si>
  <si>
    <t>Rebellious Wolf's Gale</t>
  </si>
  <si>
    <t>Almighty One's Mask Fragment</t>
  </si>
  <si>
    <t>Uprooting One's Mask Fragment</t>
  </si>
  <si>
    <t>Rebellious One's Arrogance</t>
  </si>
  <si>
    <t>Rebellious Ox's Lightning</t>
  </si>
  <si>
    <t>Rebellious Lion's Twilight</t>
  </si>
  <si>
    <t>Rebellious One's Loyalty</t>
  </si>
  <si>
    <t>Vengeful One's Mask Fragment</t>
  </si>
  <si>
    <t>Remaining One's Mask Fragment</t>
  </si>
  <si>
    <t>Firestorm Shard</t>
  </si>
  <si>
    <t>Firestorm Prism</t>
  </si>
  <si>
    <t>Whirlpool Shard</t>
  </si>
  <si>
    <t>Whirlpool Prism</t>
  </si>
  <si>
    <t>Cyclone Shard</t>
  </si>
  <si>
    <t>Cyclone Prism</t>
  </si>
  <si>
    <t>Blinding Shard</t>
  </si>
  <si>
    <t>Blinding Prism</t>
  </si>
  <si>
    <t>Twilight Shard</t>
  </si>
  <si>
    <t>Twilight Prism</t>
  </si>
  <si>
    <t>Primal Flamewyrm's Sphere</t>
  </si>
  <si>
    <t>Primal Waterwyrm's Sphere</t>
  </si>
  <si>
    <t>Primal Windwyrm's Sphere</t>
  </si>
  <si>
    <t>Primal Lightwyrm's Sphere</t>
  </si>
  <si>
    <t>Primal Shadowwyrm's Sphere</t>
  </si>
  <si>
    <t>Primal Flamewyrm's Greatsphere</t>
  </si>
  <si>
    <t>Primal Waterwyrm's Greatsphere</t>
  </si>
  <si>
    <t>Primal Windwyrm's Greatsphere</t>
  </si>
  <si>
    <t>Primal Lightwyrm's Greatsphere</t>
  </si>
  <si>
    <t>Primal Shadowwyrm's Greatsphere</t>
  </si>
  <si>
    <t>Primal Flamewyrm's Ruby</t>
  </si>
  <si>
    <t>Primal Waterwyrm's Azurite</t>
  </si>
  <si>
    <t>Primal Windwyrm's Emerald</t>
  </si>
  <si>
    <t>Primal Lightwyrm's Citrine</t>
  </si>
  <si>
    <t>Primal Shadowwyrm's Amethyst</t>
  </si>
  <si>
    <t>Burning Spore</t>
  </si>
  <si>
    <t>*WATER* Spore</t>
  </si>
  <si>
    <t>*SHADOW* Spore</t>
  </si>
  <si>
    <t>*WIND* Lantern</t>
  </si>
  <si>
    <t>*FLAME* Wood</t>
  </si>
  <si>
    <t>*WIND* Wood</t>
  </si>
  <si>
    <t>*LIGHT* Wood</t>
  </si>
  <si>
    <t>*WATER* Core</t>
  </si>
  <si>
    <t>*WIND* Core</t>
  </si>
  <si>
    <t>Catoblepas's *WATER*-eye</t>
  </si>
  <si>
    <t>Catoblepas's *LIGHT*-eye</t>
  </si>
  <si>
    <t>*SHADOW* Soul</t>
  </si>
  <si>
    <t>*WIND* Tail</t>
  </si>
  <si>
    <t>Otherworldly Lantern</t>
  </si>
  <si>
    <t>Golem Core</t>
  </si>
  <si>
    <t>Catoblepas's Heateye</t>
  </si>
  <si>
    <t>Infernal Soul</t>
  </si>
  <si>
    <t>Smoldering Tail</t>
  </si>
  <si>
    <t>Blazing Horn</t>
  </si>
  <si>
    <t>Blazing Ember</t>
  </si>
  <si>
    <t>Abyssal Lantern</t>
  </si>
  <si>
    <t>Aromatic Wood</t>
  </si>
  <si>
    <t>Abyssal Soul</t>
  </si>
  <si>
    <t>Oceanic Fin</t>
  </si>
  <si>
    <t>Oceanic Crown</t>
  </si>
  <si>
    <t>Greedy Tail</t>
  </si>
  <si>
    <t>Spongy Spore</t>
  </si>
  <si>
    <t>Shiny Spore</t>
  </si>
  <si>
    <t>Unearthly Lantern</t>
  </si>
  <si>
    <t>Shadowy Lantern</t>
  </si>
  <si>
    <t>Acoustic Wood</t>
  </si>
  <si>
    <t>Light Core</t>
  </si>
  <si>
    <t>Dark Core</t>
  </si>
  <si>
    <t>Catoblepas's Stormeye</t>
  </si>
  <si>
    <t>Catoblepas's Shadoweye</t>
  </si>
  <si>
    <t>Eolian Soul</t>
  </si>
  <si>
    <t>*LIGHT* Soul</t>
  </si>
  <si>
    <t>Proud Tail</t>
  </si>
  <si>
    <t>Raging Tail</t>
  </si>
  <si>
    <t>Great Feather</t>
  </si>
  <si>
    <t>Zephyr Rune</t>
  </si>
  <si>
    <t>Necroblossom</t>
  </si>
  <si>
    <t>Abyssal Standard</t>
  </si>
  <si>
    <t>Ruinous Horn</t>
  </si>
  <si>
    <t>Ruinous Wing</t>
  </si>
  <si>
    <t>Volcanic Claw</t>
  </si>
  <si>
    <t>Volcanic Horn</t>
  </si>
  <si>
    <t>Tidal Claw</t>
  </si>
  <si>
    <t>Tidal Horn</t>
  </si>
  <si>
    <t>Tempest Claw</t>
  </si>
  <si>
    <t>Tempest Horn</t>
  </si>
  <si>
    <t>Luminous Claw</t>
  </si>
  <si>
    <t>Ebon Claw</t>
  </si>
  <si>
    <t>Luminous Horn</t>
  </si>
  <si>
    <t>Ebon Horn</t>
  </si>
  <si>
    <t>Flamewyrm's Greatsphere</t>
  </si>
  <si>
    <t>Waterwyrm's Greatsphere</t>
  </si>
  <si>
    <t>Windwyrm's Greatsphere</t>
  </si>
  <si>
    <t>Lightwyrm's Greatsphere</t>
  </si>
  <si>
    <t>Shadowwyrm's Greatsphere</t>
  </si>
  <si>
    <t>High Flamewyrm's Tail</t>
  </si>
  <si>
    <t>High Flamewyrm's Horn</t>
  </si>
  <si>
    <t>High Waterwyrm's Tail</t>
  </si>
  <si>
    <t>High Waterwyrm's Horn</t>
  </si>
  <si>
    <t>High Windwyrm's Tail</t>
  </si>
  <si>
    <t>High Windwyrm's Horn</t>
  </si>
  <si>
    <t>High Lightwyrm's Tail</t>
  </si>
  <si>
    <t>High Lightwyrm's Horn</t>
  </si>
  <si>
    <t>High Shadowwyrm's Tail</t>
  </si>
  <si>
    <t>High Shadowwyrm's Horn</t>
  </si>
  <si>
    <t>The Mercurial Gauntlet, Kaleidoscape Treasure Trade</t>
  </si>
  <si>
    <t>Defense +13%</t>
  </si>
  <si>
    <t>Combo 1-9: 195% +145%</t>
  </si>
  <si>
    <t>Corrupted Devastation</t>
  </si>
  <si>
    <t>Deals 2 hits of 1000% flame damage to enemies in a line, and inflicts burn for 42 seconds - dealing 100% flame damage every 2.9 seconds - with 200% chance.</t>
  </si>
  <si>
    <t>Corrupted Trident</t>
  </si>
  <si>
    <t>Corrupted Wrath</t>
  </si>
  <si>
    <t>Corrupted Banner</t>
  </si>
  <si>
    <t>Corrupted Eclipse</t>
  </si>
  <si>
    <t>Satanic Declaration</t>
  </si>
  <si>
    <t>Deals 1 hit of 2000% shadow damage to the target and nearby enemies, and inflicts poison - dealing 100% shadow damage every 2.9 seconds for 42 seconds - with 200% base chance, and reduces their defense by 20% for 20 seconds. This defense reduction effect will not stack.</t>
  </si>
  <si>
    <t>Satanic Devotion</t>
  </si>
  <si>
    <t>Deals 1 hit of 700% and 1 hit of 1000% shadow damage to enemies directly ahead, inflicts shadowblight for 42 seconds - dealing 100% shadow damage every 2.9 seconds - with 200% chance, reduces their defense by 20% for 20 seconds. This defense reduction effect will not stack.</t>
  </si>
  <si>
    <t>Deals 1 hit of 2000% wind damage to enemies in a line, inflicts frostbite for 42 seconds - dealing 50% water damage every 2.9 seconds - with 200% base chance, and reduces their defense by 20% for 20 seconds. This defense reduction effect will not stack.</t>
  </si>
  <si>
    <t>Deals 1 hit of 700%, 1 hit of 800% and 1 hit of 1000% light damage to enemies directly ahead, inflicts flashburn for 42 seconds - dealing 100% light damage every 2.9 seconds - with 200% chance, and reduces their defense by 20% for 20 seconds. This defense reduction effect will not stack.</t>
  </si>
  <si>
    <t>Deals 5 hits of 450% water damage to the target and nearby enemies, draws them together, and inflicts frostbite for 42 seconds - dealing 100% water damage every 2.9 seconds - with 200% chance, and reduces their defense by 20% for 20 seconds. This defense reduction effect will not stack.</t>
  </si>
  <si>
    <t>Deals 2 hits of 1000% flame damage to enemies in a line, and inflicts burn - dealing 100% flame damage every 2.9 seconds for 42 seconds - with 200% base chance, and reduces their defense by 20% for 20 seconds. This defense reduction effect will not stack.</t>
  </si>
  <si>
    <t>Deals 1 hit of 500% and 1 hit of 1500% water damage to the target and nearby enemies, and inflicts frostbite - dealing 100% water damage every 2.9 seconds for 42 seconds - with 200% base chance, and reduces their defense by 20% for 20 seconds. This defense reduction effect will not stack.</t>
  </si>
  <si>
    <t>Deals 3 hits of 650% wind damage to surrounding enemies, and inflicts poison - dealing 100% wind damage every 2.9 seconds for 42 seconds - with 200% base chance, and reduces their defense by 20% for 20 seconds. This defense reduction effect will not stack.</t>
  </si>
  <si>
    <t>Deals 2 hits of 1500% flame damage to surrounding enemies, inflicts scorchrend for 42 seconds - dealing 100% flame damage every 2.9 seconds - with 200% chance, and reduces their defense by 20% for 20 seconds. This defense reduction effect will not stack.</t>
  </si>
  <si>
    <t>Satanic Pummeling</t>
  </si>
  <si>
    <t>Satanic Barrage</t>
  </si>
  <si>
    <t>Satanic Scorch</t>
  </si>
  <si>
    <t>Watery Resurgence</t>
  </si>
  <si>
    <t>Deals 1 hit of 2000% flame damage to the target and nearby enemies, and inflicts frostbite for 42 seconds - dealing 100% flame damage every 2.9 seconds - with 200% chance.</t>
  </si>
  <si>
    <t>ATLAS</t>
  </si>
  <si>
    <t>KAI YAN</t>
  </si>
  <si>
    <t>TARTARUS</t>
  </si>
  <si>
    <t>New Dragon Notes</t>
  </si>
  <si>
    <t>Void Agni is derivative of Agni and would have the same attack and skill animations. All Void Dragons have the same standardized skill effects and abilities.</t>
  </si>
  <si>
    <t>Void Poseidon is derivative of Poseidon and would have the same attack and skill animations. All Void Dragons have the same standardized skill effects and abilities.</t>
  </si>
  <si>
    <t>Void Zephyr is derivative of Zephyr and would have the same attack and skill animations. All Void Dragons have the same standardized skill effects and abilities.</t>
  </si>
  <si>
    <t>Void Jeanne d'Arc is derivative of Jeanne d'Arc and would have the same attack and skill animations. All Void Dragons have the same standardized skill effects and abilities.</t>
  </si>
  <si>
    <t>Void Nidhogg is derivative of Nidhogg and would have the same attack and skill animations. All Void Dragons have the same standardized skill effects and abilities.</t>
  </si>
  <si>
    <t>Fallen Angel Ramiel is derivative of Ramiel and would have the same attack and skill animations. All Fallen Angels have the same standardized skill effects and abilities.</t>
  </si>
  <si>
    <t>Fallen Angel Gabriel is derivative of Gabriel and would have the same attack and skill animations. All Fallen Angels have the same standardized skill effects and abilities.</t>
  </si>
  <si>
    <t>Fallen Angel Raphael is derivative of Raphael and would have the same attack and skill animations. All Fallen Angels have the same standardized skill effects and abilities.</t>
  </si>
  <si>
    <t>Fallen Angel Uriel is derivative of Uriel and would have the same attack and skill animations. All Fallen Angels have the same standardized skill effects and abilities.</t>
  </si>
  <si>
    <t>Fallen Angel Michael is derivative of Michael, which is a slight problem as Michael was a complex dragon. Let's say he only works in close-quarters mode. All Fallen Angels have the same standardized skill effects and abilities.</t>
  </si>
  <si>
    <t>Combo 1: 460% x 5
Combo 2: 550% x 1
Combo 3a: 400% x 1
Combo 3b: 100% x 1</t>
  </si>
  <si>
    <t xml:space="preserve">Atlas is being treated as a water version of Prometheus, inheriting his skill and attack combo, as between Prometheus and Epimetheus, Atlas seems more like Prometheus. </t>
  </si>
  <si>
    <t>Ayaha &amp; Otoha were already given a beast/dragon form with their adventurer kit, and this is derivative of that, featuring the same skill and combo. A second ability was not assigned due to the complexity of Agito Beast dragons.</t>
  </si>
  <si>
    <t>United Tempest</t>
  </si>
  <si>
    <t>Deals 15 hits of 60% and 4 hits of 300% wind damage to surrounding enemies, and lowers their wind resistance by 15% for the remainder of the quest, then deals 3 hits of 195% wind damage to enemies directly ahead and inflicts stun for 6-7 seconds with 200% base chance. The resistance reduction effect will not stack.</t>
  </si>
  <si>
    <t>Combo 1: 210% x 1
Combo 2: 330% x 1
Combo 3: 450% x 1</t>
  </si>
  <si>
    <t>(Element) Primal Might</t>
  </si>
  <si>
    <t>[PLACEHOLDER] If the user is attuned to Flame: increases strength by 100%. Also, regardless of their attunement, grants the user a dragon strike while shapeshifted as Beast Ayaya &amp; Otoha.</t>
  </si>
  <si>
    <t>[PLACEHOLDER] If the user is attuned to Light: increases strength by 100%. Also, regardless of their attunement, grants the user a dragon strike while shapeshifted as Beast Kai Yan.</t>
  </si>
  <si>
    <t>[PLACEHOLDER] If the user is attuned to Shadow: increases strength by 100%. Also, regardless of their attunement, grants the user a dragon strike while shapeshifted as Beast Tartarus.</t>
  </si>
  <si>
    <t>[PLACEHOLDER] ABILITY NOT DETERMINED!!!</t>
  </si>
  <si>
    <t>Cruel Butterfly II</t>
  </si>
  <si>
    <t>Primal Midgardsormr is a combination of Midgardsormr Zero, Primal Brunhilda, and Bondforged Prince's unique shapeshift form. The Primal Might ability is a placeholder simplification of Incinerating Andor from Primal Brunhilda.</t>
  </si>
  <si>
    <t xml:space="preserve">Deals 1 hit of 2000% light damage to surrounding enemies, and inflicts paralysis - dealing 100% light damage every 2.9 seconds for 42 seconds - with 200% base chance, and reduces their defense by 20% for 20 seconds. This defense reduction effect will not stack. </t>
  </si>
  <si>
    <t>If elemental attunements match: grants the user a team strength amp (Team Amp MAX Lv. = 1), team defense amp (Team Amp MAX Lv. = 1), and team critical damage amp (Team Amp MAX Lv. = 1). After these amps are granted, this ability will not grant them again for 60.1 seconds. Creeping Corrosion debuff. Additionally, this ability inflicts the user with the Curse of Nihility and Creeping Corrosion debuffs for the entire quest. Creeping Corrosion deals 1% Max HP damage every 2.9 seconds and reduces incoming healing by 50%. Every 5 seconds, the damage taken is increased by 1% Max HP. This accumulation will reset when 3000 HP is healed by the user.</t>
  </si>
  <si>
    <t>Phares's Pactwyrm</t>
  </si>
  <si>
    <t>Deals 1 hit of 1600% wind damage to enemies directly ahead, dispels one buff from each target, and inflicts poison - dealing 50% wind damage every 2.9 seconds for 21 seconds - with 120% base chance. In addition, grants the user a critical damage amp (Team Amp MAX Lv. = 3). After this amp is granted, this ability will not grant it again for 15 seconds.</t>
  </si>
  <si>
    <t>Deals 2 hits of 800% wind damage to surrounding enemies, increases the entire team's water resistance by 10% for 30 seconds, and fills the user's dragondrive gauge by 1200 UTP. If this skill is used during dragondrive, a variant called Eight-span Tempest will be used instead. Eight-span Tempest deals 2 hits of 800% and 1 hit of 1300% wind damage to surrounding enemies, apply Amaterasu's Resilient Burst, and inflict poison for 21 seconds - dealing 50% wind damage every 2.9 seconds - with 120% chance and stormlash for 21 seconds - dealing 50% wind damage every 2.9 seconds - with 120% chance, and increases the entire team's water resistance by 10% for 30 seconds. This increase does not stack.</t>
  </si>
  <si>
    <t>Deals 3 hits of 30% and 3 hits of 800% light damage, draws them together, dispels one buff from each target, inflicts stun for 6-7 seconds with 120% base chance and paralysis for 21 seconds - dealing 50% light damage every 2.9 seconds - with 120% chance, and increases the entire team's energy levels by 2 stages.</t>
  </si>
  <si>
    <t>EDVMG</t>
  </si>
  <si>
    <t>EDVETK</t>
  </si>
  <si>
    <t>Save the Paladyn (Chapter 01)</t>
  </si>
  <si>
    <t>The Mercenary's Test (Chapter 01)</t>
  </si>
  <si>
    <t>A Formidable Guardian (Chapter 01)</t>
  </si>
  <si>
    <t>A True Pact (Chapter 01)</t>
  </si>
  <si>
    <t>The Heart of the Forest (Chapter 01)</t>
  </si>
  <si>
    <t>Scramble in the Shade (Chapter 01)</t>
  </si>
  <si>
    <t>Den of Slimes (Chapter 01)</t>
  </si>
  <si>
    <t>Clash Beneath the Canopy (Chapter 01)</t>
  </si>
  <si>
    <t>A Hasty Retreat (Chapter 02)</t>
  </si>
  <si>
    <t>Aquatic Advance (Chapter 02)</t>
  </si>
  <si>
    <t>Puddled Path (Chapter 02)</t>
  </si>
  <si>
    <t>The Fiend's Haunt (Chapter 02)</t>
  </si>
  <si>
    <t>In Pursuit of Emile (Chapter 02)</t>
  </si>
  <si>
    <t>Flotsam and Jetsam (Chapter 02)</t>
  </si>
  <si>
    <t>A Race Against the Clock (Chapter 02)</t>
  </si>
  <si>
    <t>Along the Lakeside (Chapter 02)</t>
  </si>
  <si>
    <t>The Fiendchiefs (Chapter 02)</t>
  </si>
  <si>
    <t>The Sapphire Battleground (Chapter 02)</t>
  </si>
  <si>
    <t>Flight through the Fire Spires (Chapter 03)</t>
  </si>
  <si>
    <t>The Flamehound (Chapter 03)</t>
  </si>
  <si>
    <t>A Rocky Road (Chapter 03)</t>
  </si>
  <si>
    <t>Terror's Approach (Chapter 03)</t>
  </si>
  <si>
    <t>No Failing Now (Chapter 03)</t>
  </si>
  <si>
    <t>Grave of the Giant Wyrm (Chapter 03)</t>
  </si>
  <si>
    <t>Guard the Flamewyrm (Chapter 03)</t>
  </si>
  <si>
    <t>A Fiendish Assault (Chapter 03)</t>
  </si>
  <si>
    <t>Labyrinth of No Return (Chapter 03)</t>
  </si>
  <si>
    <t>Rite of the Pact (Chapter 03)</t>
  </si>
  <si>
    <t>The Rat's Overlook (Chapter 04)</t>
  </si>
  <si>
    <t>Beware the Rolling Rocks (Chapter 04)</t>
  </si>
  <si>
    <t>Shocking Beauty (Chapter 04)</t>
  </si>
  <si>
    <t>The Moovers and the Shakers (Chapter 04)</t>
  </si>
  <si>
    <t>The Great Reptile Adversary (Chapter 04)</t>
  </si>
  <si>
    <t>Trail of Death (Chapter 04)</t>
  </si>
  <si>
    <t>The Three Mountain Fiends (Chapter 04)</t>
  </si>
  <si>
    <t>Battle to Save Emile (Chapter 04)</t>
  </si>
  <si>
    <t>Resuming the Climb (Chapter 04)</t>
  </si>
  <si>
    <t>The Mountain Breeding Ground (Chapter 04)</t>
  </si>
  <si>
    <t>A Load of Bull (Chapter 04)</t>
  </si>
  <si>
    <t>The Endless Journey (Chapter 04)</t>
  </si>
  <si>
    <t>A Swinging Mountain Bash (Chapter 04)</t>
  </si>
  <si>
    <t>A Sea of Pebbles and Petals (Chapter 04)</t>
  </si>
  <si>
    <t>Clash at the Summit (Chapter 04)</t>
  </si>
  <si>
    <t>Invitation to Darkness (Chapter 05)</t>
  </si>
  <si>
    <t>The Magical Doors (Chapter 05)</t>
  </si>
  <si>
    <t>Defeat the Imperial Soldiers (Chapter 05)</t>
  </si>
  <si>
    <t>Confronting the Emperor (Chapter 05)</t>
  </si>
  <si>
    <t>The Collapsed Corridor (Chapter 05)</t>
  </si>
  <si>
    <t>Fire-Breathing Statues (Chapter 05)</t>
  </si>
  <si>
    <t>The Channeling Chamber (Chapter 05)</t>
  </si>
  <si>
    <t>A Fatal Trap (Chapter 05)</t>
  </si>
  <si>
    <t>Dark Terminus (Chapter 05)</t>
  </si>
  <si>
    <t>Watch for Falling Trees (Chapter 06)</t>
  </si>
  <si>
    <t>The Violet Mire (Chapter 06)</t>
  </si>
  <si>
    <t>Night Meanderings (Chapter 06)</t>
  </si>
  <si>
    <t>Midnight Melee (Chapter 06)</t>
  </si>
  <si>
    <t>The Serpent's Gaze (Chapter 06)</t>
  </si>
  <si>
    <t>The Frothing Mire (Chapter 06)</t>
  </si>
  <si>
    <t>The Prince and Eye (Chapter 06)</t>
  </si>
  <si>
    <t>No Escape (Chapter 06)</t>
  </si>
  <si>
    <t>Woodland Blitz (Chapter 06)</t>
  </si>
  <si>
    <t>Destroy Them All! (Chapter 06)</t>
  </si>
  <si>
    <t>The Midnight Raid (Chapter 06)</t>
  </si>
  <si>
    <t>Double Trouble (Chapter 06)</t>
  </si>
  <si>
    <t>Battle With Valyx's Soldiers (Chapter 06)</t>
  </si>
  <si>
    <t>One Last Push (Chapter 06)</t>
  </si>
  <si>
    <t>Seize the Enemy Camp (Chapter 06)</t>
  </si>
  <si>
    <t>Indomitable Titan (Chapter 06)</t>
  </si>
  <si>
    <t>The Narrow Road (Chapter 07)</t>
  </si>
  <si>
    <t>In Deep Water (Chapter 07)</t>
  </si>
  <si>
    <t>Journey Through the Jets (Chapter 07)</t>
  </si>
  <si>
    <t>Garden of the Hounds (Chapter 07)</t>
  </si>
  <si>
    <t>Mushroom Mayhem (Chapter 07)</t>
  </si>
  <si>
    <t>Waterside Cleanup (Chapter 07)</t>
  </si>
  <si>
    <t>King of the Old Marsh (Chapter 07)</t>
  </si>
  <si>
    <t>The Water Trap Gauntlet (Chapter 07)</t>
  </si>
  <si>
    <t>Troublemaker on the Far Shore (Chapter 07)</t>
  </si>
  <si>
    <t>A Watery Grave (Chapter 07)</t>
  </si>
  <si>
    <t>Feast of the Water Fiends (Chapter 07)</t>
  </si>
  <si>
    <t>Lakeside Blitz (Chapter 07)</t>
  </si>
  <si>
    <t>Pursue Emile! (Chapter 07)</t>
  </si>
  <si>
    <t>Defeat the Ancient Weapon (Chapter 07)</t>
  </si>
  <si>
    <t>The Forsaken Way (Chapter 08)</t>
  </si>
  <si>
    <t>Among the Roaring Flames (Chapter 08)</t>
  </si>
  <si>
    <t>Dancing with Flames (Chapter 08)</t>
  </si>
  <si>
    <t>Clad in Crimson (Chapter 08)</t>
  </si>
  <si>
    <t>Danger from Below (Chapter 08)</t>
  </si>
  <si>
    <t>Sorrounded by Scorching Heat (Chapter 08)</t>
  </si>
  <si>
    <t>Burning Blood (Chapter 08)</t>
  </si>
  <si>
    <t>The Searing Slog (Chapter 08)</t>
  </si>
  <si>
    <t>The Pyroclastic Path (Chapter 08)</t>
  </si>
  <si>
    <t>The Undead's Approach (Chapter 08)</t>
  </si>
  <si>
    <t>Garden of the Dead (Chapter 08)</t>
  </si>
  <si>
    <t>In the Heat of the Moment (Chapter 08)</t>
  </si>
  <si>
    <t>The Infernal Giants (Chapter 08)</t>
  </si>
  <si>
    <t>Beyond the Hellfire (Chapter 08)</t>
  </si>
  <si>
    <t>The Path to the Party (Chapter 09)</t>
  </si>
  <si>
    <t>Saving the Sparrow (Chapter 09)</t>
  </si>
  <si>
    <t>In the Rumbling Thunder (Chapter 09)</t>
  </si>
  <si>
    <t>The Fiends' Feast (Chapter 09)</t>
  </si>
  <si>
    <t>In the Shadow of Radiance (Chapter 09)</t>
  </si>
  <si>
    <t>Schemes Exposed (Chapter 09)</t>
  </si>
  <si>
    <t>The Weapon Awakens (Chapter 09)</t>
  </si>
  <si>
    <t>Gran Criminale (Chapter 09)</t>
  </si>
  <si>
    <t>The Miasmic Ruins (Chapter 10)</t>
  </si>
  <si>
    <t>Following the Darkness (Chapter 10)</t>
  </si>
  <si>
    <t>Impending Disaster (Chapter 10)</t>
  </si>
  <si>
    <t>Pervasive Resentment (Chapter 10)</t>
  </si>
  <si>
    <t>??? (Chapter 10) (Chapter 10)</t>
  </si>
  <si>
    <t>Legendary Resting Place (Chapter 10)</t>
  </si>
  <si>
    <t>A Corpse's Invitation (Chapter 10)</t>
  </si>
  <si>
    <t>To the Final Battle (Chapter 10)</t>
  </si>
  <si>
    <t>The Netherwyrm's Roar (Chapter 10)</t>
  </si>
  <si>
    <t>Advance of the Androids (Chapter 11)</t>
  </si>
  <si>
    <t>Persistent Pursuers (Chapter 11)</t>
  </si>
  <si>
    <t>Prince Emile's Obsession (Chapter 11)</t>
  </si>
  <si>
    <t>Ruined Town Run-In (Chapter 11)</t>
  </si>
  <si>
    <t>Blocked Path (Chapter 11)</t>
  </si>
  <si>
    <t>??? (Chapter 11) (Chapter 11)</t>
  </si>
  <si>
    <t>Following Laxi (Chapter 11)</t>
  </si>
  <si>
    <t>Twilight Chase (Chapter 11)</t>
  </si>
  <si>
    <t>Annihilation Mode (Chapter 11)</t>
  </si>
  <si>
    <t>Blazewyrm (Chapter 12)</t>
  </si>
  <si>
    <t>Ferocity (Chapter 12)</t>
  </si>
  <si>
    <t>Unremitting (Chapter 12)</t>
  </si>
  <si>
    <t>Resistance (Chapter 12)</t>
  </si>
  <si>
    <t>Advance (Chapter 12)</t>
  </si>
  <si>
    <t>Perplexity (Chapter 12)</t>
  </si>
  <si>
    <t>??? (Chapter 12) (Chapter 12)</t>
  </si>
  <si>
    <t>Fate (Chapter 12)</t>
  </si>
  <si>
    <t>Rightful Ruler (Chapter 12)</t>
  </si>
  <si>
    <t>After the Lost Child (Chapter 13)</t>
  </si>
  <si>
    <t>Attacked on the Shore (Chapter 13)</t>
  </si>
  <si>
    <t>The Corrupted Dragons (Chapter 13)</t>
  </si>
  <si>
    <t>The Black Fiends (Chapter 13)</t>
  </si>
  <si>
    <t>Battle on the Byroad (Chapter 13)</t>
  </si>
  <si>
    <t>??? (Chapter 13) (Chapter 13)</t>
  </si>
  <si>
    <t>The Stagnant Guardian (Chapter 13)</t>
  </si>
  <si>
    <t>The Sacrilegious Saint (Chapter 13)</t>
  </si>
  <si>
    <t>The Ferocious Firelord (Chapter 13)</t>
  </si>
  <si>
    <t>The Hollow Lakelord (Chapter 13)</t>
  </si>
  <si>
    <t>The Road to Victory (Quest) (Chapter 14)</t>
  </si>
  <si>
    <t>The Other's Assassins (Chapter 14)</t>
  </si>
  <si>
    <t>The Darkened Palace (Chapter 14)</t>
  </si>
  <si>
    <t>Assault of the Flame Beast (Chapter 14)</t>
  </si>
  <si>
    <t>A Terrifying Assault (Chapter 14)</t>
  </si>
  <si>
    <t>??? (Chapter 14) (Chapter 14)</t>
  </si>
  <si>
    <t>Unlit Corridors (Chapter 14)</t>
  </si>
  <si>
    <t>To the Demon's Throne (Chapter 14)</t>
  </si>
  <si>
    <t>Unforeseen Fangs (Chapter 14)</t>
  </si>
  <si>
    <t>Relentless Fangs (Chapter 14)</t>
  </si>
  <si>
    <t>Precarious Mountain Path (Chapter 15)</t>
  </si>
  <si>
    <t>Winged Terror (Chapter 15)</t>
  </si>
  <si>
    <t>Mountain of Fiends (Chapter 15)</t>
  </si>
  <si>
    <t>Old Mountain Ruin (Chapter 15)</t>
  </si>
  <si>
    <t>??? (Chapter 15) (Chapter 15)</t>
  </si>
  <si>
    <t>Through the Thunderclouds (Chapter 15)</t>
  </si>
  <si>
    <t>The Warrior's Challenge (Chapter 15)</t>
  </si>
  <si>
    <t>The Fulminator's Fury (Chapter 15)</t>
  </si>
  <si>
    <t>Returning to the Halidom (Chapter 16)</t>
  </si>
  <si>
    <t>Toyed with by the Twins (Chapter 16)</t>
  </si>
  <si>
    <t>Searching for the Truth (Chapter 16)</t>
  </si>
  <si>
    <t>??? (Chapter 16) (Chapter 16)</t>
  </si>
  <si>
    <t>The Dragon's Whereabouts (Chapter 16)</t>
  </si>
  <si>
    <t>Defeating the Mastermind (Chapter 16)</t>
  </si>
  <si>
    <t>An Unwavering Heart (Chapter 16)</t>
  </si>
  <si>
    <t>The Road to Grams (Chapter 17)</t>
  </si>
  <si>
    <t>Guardians of the Faith (Chapter 17)</t>
  </si>
  <si>
    <t>The Guards' Pursuit (Chapter 17)</t>
  </si>
  <si>
    <t>Battle in Grams (Chapter 17)</t>
  </si>
  <si>
    <t>??? (Chapter 17) (Chapter 17)</t>
  </si>
  <si>
    <t>Surrounded (Chapter 17)</t>
  </si>
  <si>
    <t>His Fangs Strike Again (Chapter 17)</t>
  </si>
  <si>
    <t>Crossing the Snowy Mountains (Chapter 18)</t>
  </si>
  <si>
    <t>Bonds Buffeted by the Blizzard (Chapter 18)</t>
  </si>
  <si>
    <t>The Iron Ruler (Chapter 18)</t>
  </si>
  <si>
    <t>Weeding Out the Weak (Chapter 18)</t>
  </si>
  <si>
    <t>Mountain of Snow and Ice (Chapter 18)</t>
  </si>
  <si>
    <t>Guided by a Voice (Chapter 18)</t>
  </si>
  <si>
    <t>The Approaching White Wolf (Chapter 18)</t>
  </si>
  <si>
    <t>To the Ancient Door (Chapter 18)</t>
  </si>
  <si>
    <t>Approaching Androids (Chapter 19)</t>
  </si>
  <si>
    <t>Wild Children (Chapter 19)</t>
  </si>
  <si>
    <t>Wings of Obsession (Chapter 19)</t>
  </si>
  <si>
    <t>Beyond the Faerie Town (Chapter 19)</t>
  </si>
  <si>
    <t>To the Former King's Mansion (Chapter 19)</t>
  </si>
  <si>
    <t>Together, Swords in Hand (Chapter 19)</t>
  </si>
  <si>
    <t>The Androids' Pursuit (Chapter 19)</t>
  </si>
  <si>
    <t>Departure at Dawn (Chapter 19)</t>
  </si>
  <si>
    <t>The Abyssalwyrm's Madness (Chapter 19)</t>
  </si>
  <si>
    <t>The Root-Laden Path (Chapter 20)</t>
  </si>
  <si>
    <t>Crossing the Verdure (Chapter 20)</t>
  </si>
  <si>
    <t>A Fortress of Foliage (Chapter 20)</t>
  </si>
  <si>
    <t>Tree Trouble (Chapter 20)</t>
  </si>
  <si>
    <t>With Resolve in Your Heart (Chapter 20)</t>
  </si>
  <si>
    <t>The Agito (Chapter 20)</t>
  </si>
  <si>
    <t>Toward the Clouds (Chapter 20)</t>
  </si>
  <si>
    <t>A Green Purgatory (Chapter 20)</t>
  </si>
  <si>
    <t>Guardian of the Barrier (Chapter 20)</t>
  </si>
  <si>
    <t>The Masked Beasts (Chapter 20)</t>
  </si>
  <si>
    <t>The Blossoms of War (Chapter 21)</t>
  </si>
  <si>
    <t>The Faerie King's New Strength (Chapter 21)</t>
  </si>
  <si>
    <t>The Flamewyrm's Stolen Power (Chapter 21)</t>
  </si>
  <si>
    <t>The Holywyrm's Vengeance (Chapter 21)</t>
  </si>
  <si>
    <t>The Holywyrm's Apostle (Chapter 21)</t>
  </si>
  <si>
    <t>The Holywyrm's Advent (Chapter 21)</t>
  </si>
  <si>
    <t>Cataclysm in Full Bloom (Chapter 21)</t>
  </si>
  <si>
    <t>Treetop Showdown (Chapter 21)</t>
  </si>
  <si>
    <t>The Holywyrm's Disgrace (Chapter 21)</t>
  </si>
  <si>
    <t>Before the Fall (Chapter 21)</t>
  </si>
  <si>
    <t>The Fallen Tree (Chapter 21)</t>
  </si>
  <si>
    <t>Chasing Wings (Chapter 22)</t>
  </si>
  <si>
    <t>Flowers in Full Bloom (Chapter 22)</t>
  </si>
  <si>
    <t>Hiding in the Greenery (Chapter 22)</t>
  </si>
  <si>
    <t>Bahamut (Quest) (Chapter 22)</t>
  </si>
  <si>
    <t>To the Canopy (Chapter 22)</t>
  </si>
  <si>
    <t>Treetop Clash (Chapter 22)</t>
  </si>
  <si>
    <t>Bahamut, Once More (Chapter 22)</t>
  </si>
  <si>
    <t>Light and Shadow (Chapter 22)</t>
  </si>
  <si>
    <t>In the Ruins of the City (Chapter 23)</t>
  </si>
  <si>
    <t>What Family Brings (Chapter 23)</t>
  </si>
  <si>
    <t>Lingering Chaos (Chapter 23)</t>
  </si>
  <si>
    <t>Facing a Terminal (Chapter 23)</t>
  </si>
  <si>
    <t>A Fight with No Future (Chapter 23)</t>
  </si>
  <si>
    <t>Escaping Despair (Chapter 23)</t>
  </si>
  <si>
    <t>To Carry the Flame (Chapter 23)</t>
  </si>
  <si>
    <t>The Path to Hope (Chapter 23)</t>
  </si>
  <si>
    <t>Battle in the Sands (Chapter 24)</t>
  </si>
  <si>
    <t>Within the Miasma (Chapter 24)</t>
  </si>
  <si>
    <t>The Soul's Cry (Chapter 24)</t>
  </si>
  <si>
    <t>Proof of Sin (Chapter 24)</t>
  </si>
  <si>
    <t>Puppets of the Mark (Chapter 24)</t>
  </si>
  <si>
    <t>The Shackled Holywyrm (Chapter 24)</t>
  </si>
  <si>
    <t>Overflowing Power (Chapter 24)</t>
  </si>
  <si>
    <t>In the Creator's Wake (Chapter 25)</t>
  </si>
  <si>
    <t>The Shadow of Xenos (Chapter 25)</t>
  </si>
  <si>
    <t>The Primal Windwyrm (Chapter 25)</t>
  </si>
  <si>
    <t>Approaching Terminals (Chapter 25)</t>
  </si>
  <si>
    <t>Imminent Destruction (Chapter 25)</t>
  </si>
  <si>
    <t>The Primal Trial (Chapter 25)</t>
  </si>
  <si>
    <t>Sovereign of the End (Chapter 25)</t>
  </si>
  <si>
    <t>A Perfect Whole (Chapter 25)</t>
  </si>
  <si>
    <t>Path to the End (Chapter 26)</t>
  </si>
  <si>
    <t>Twisted Possibility (Chapter 26)</t>
  </si>
  <si>
    <t>The Otherworld Shadowwyrm (Chapter 26)</t>
  </si>
  <si>
    <t>The Rejected Prince (Chapter 26)</t>
  </si>
  <si>
    <t>Dark Possibility (Chapter 26)</t>
  </si>
  <si>
    <t>Overcoming Despair (Chapter 26)</t>
  </si>
  <si>
    <t>The Consummate Creator (Chapter 26)</t>
  </si>
  <si>
    <t>Fight for Humanity (Chapter 26)</t>
  </si>
  <si>
    <t>Objective Details</t>
  </si>
  <si>
    <t>Other Rewards List</t>
  </si>
  <si>
    <t>New Dragons Printable</t>
  </si>
  <si>
    <t>All weapon bonuses increase HP and Strength by the listed percentage.</t>
  </si>
  <si>
    <t>Material Name</t>
  </si>
  <si>
    <t>Added to consolidate res abilities.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</si>
</sst>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3" formatCode="_(* #,##0.00_);_(* \(#,##0.00\);_(* &quot;-&quot;??_);_(@_)"/>
    <numFmt numFmtId="164" formatCode="_(* #,##0_);_(* \(#,##0\);_(* &quot;-&quot;??_);_(@_)"/>
    <numFmt numFmtId="165" formatCode="m&quot;/&quot;d&quot;/&quot;yy"/>
    <numFmt numFmtId="166" formatCode="mmm\ d\,\ yyyy"/>
    <numFmt numFmtId="167" formatCode="mmm\ dd\,\ yyyy"/>
    <numFmt numFmtId="168" formatCode="mmmm\ d\,\ yyyy"/>
    <numFmt numFmtId="169" formatCode="#,##0.0"/>
  </numFmts>
  <fonts count="75" x14ac:knownFonts="1">
    <font>
      <sz val="11"/>
      <color theme="1"/>
      <name val="Tw Cen MT"/>
      <family val="2"/>
      <scheme val="minor"/>
    </font>
    <font>
      <b/>
      <sz val="16"/>
      <color theme="1"/>
      <name val="Tw Cen MT Condensed"/>
      <family val="2"/>
    </font>
    <font>
      <sz val="11"/>
      <color theme="1"/>
      <name val="Tw Cen MT"/>
      <family val="2"/>
      <scheme val="minor"/>
    </font>
    <font>
      <b/>
      <sz val="11"/>
      <color theme="1"/>
      <name val="Tw Cen MT"/>
      <family val="2"/>
      <scheme val="minor"/>
    </font>
    <font>
      <u/>
      <sz val="11"/>
      <color theme="10"/>
      <name val="Tw Cen MT"/>
      <family val="2"/>
      <scheme val="minor"/>
    </font>
    <font>
      <sz val="12"/>
      <color theme="1"/>
      <name val="Tw Cen MT"/>
      <family val="2"/>
      <scheme val="minor"/>
    </font>
    <font>
      <b/>
      <sz val="14"/>
      <name val="Tw Cen MT"/>
      <family val="2"/>
      <scheme val="minor"/>
    </font>
    <font>
      <b/>
      <sz val="18"/>
      <color theme="1"/>
      <name val="Tw Cen MT"/>
      <family val="2"/>
      <scheme val="minor"/>
    </font>
    <font>
      <sz val="14"/>
      <color theme="1"/>
      <name val="Tw Cen MT"/>
      <family val="2"/>
      <scheme val="minor"/>
    </font>
    <font>
      <b/>
      <sz val="18"/>
      <color theme="0"/>
      <name val="Tw Cen MT"/>
      <family val="2"/>
      <scheme val="minor"/>
    </font>
    <font>
      <b/>
      <sz val="17"/>
      <color theme="1"/>
      <name val="Tw Cen MT"/>
      <family val="2"/>
      <scheme val="minor"/>
    </font>
    <font>
      <b/>
      <sz val="18"/>
      <name val="Tw Cen MT"/>
      <family val="2"/>
      <scheme val="minor"/>
    </font>
    <font>
      <b/>
      <sz val="22"/>
      <name val="Tw Cen MT"/>
      <family val="2"/>
      <scheme val="minor"/>
    </font>
    <font>
      <sz val="18"/>
      <color theme="1"/>
      <name val="Tw Cen MT"/>
      <family val="2"/>
      <scheme val="minor"/>
    </font>
    <font>
      <b/>
      <sz val="17"/>
      <color rgb="FFFF0000"/>
      <name val="Tw Cen MT"/>
      <family val="2"/>
      <scheme val="minor"/>
    </font>
    <font>
      <b/>
      <sz val="16"/>
      <color theme="1"/>
      <name val="Tw Cen MT"/>
      <family val="2"/>
      <scheme val="minor"/>
    </font>
    <font>
      <b/>
      <sz val="14"/>
      <color rgb="FFFF0000"/>
      <name val="Tw Cen MT"/>
      <family val="2"/>
      <scheme val="minor"/>
    </font>
    <font>
      <b/>
      <sz val="22"/>
      <color theme="1"/>
      <name val="Tw Cen MT"/>
      <family val="2"/>
      <scheme val="minor"/>
    </font>
    <font>
      <b/>
      <sz val="8"/>
      <color theme="1"/>
      <name val="Tw Cen MT"/>
      <family val="2"/>
      <scheme val="minor"/>
    </font>
    <font>
      <sz val="16"/>
      <color theme="1"/>
      <name val="Tw Cen MT"/>
      <family val="2"/>
      <scheme val="minor"/>
    </font>
    <font>
      <b/>
      <sz val="20"/>
      <color rgb="FFFF0000"/>
      <name val="Tw Cen MT"/>
      <family val="2"/>
      <scheme val="minor"/>
    </font>
    <font>
      <b/>
      <sz val="20"/>
      <color theme="1"/>
      <name val="Tw Cen MT"/>
      <family val="2"/>
      <scheme val="minor"/>
    </font>
    <font>
      <b/>
      <sz val="20"/>
      <color theme="0"/>
      <name val="Tw Cen MT"/>
      <family val="2"/>
      <scheme val="minor"/>
    </font>
    <font>
      <sz val="14.5"/>
      <color theme="1"/>
      <name val="Tw Cen MT"/>
      <family val="2"/>
      <scheme val="minor"/>
    </font>
    <font>
      <sz val="14"/>
      <name val="Tw Cen MT"/>
      <family val="2"/>
      <scheme val="minor"/>
    </font>
    <font>
      <b/>
      <sz val="14"/>
      <color theme="1"/>
      <name val="Tw Cen MT"/>
      <family val="2"/>
      <scheme val="minor"/>
    </font>
    <font>
      <sz val="8"/>
      <name val="Tw Cen MT"/>
      <family val="2"/>
      <scheme val="minor"/>
    </font>
    <font>
      <b/>
      <sz val="16"/>
      <name val="Tw Cen MT"/>
      <family val="2"/>
      <scheme val="minor"/>
    </font>
    <font>
      <b/>
      <sz val="16"/>
      <name val="Tw Cen MT"/>
      <family val="2"/>
      <scheme val="major"/>
    </font>
    <font>
      <u/>
      <sz val="11"/>
      <color rgb="FF1155CC"/>
      <name val="Tw Cen MT"/>
      <family val="2"/>
      <scheme val="minor"/>
    </font>
    <font>
      <sz val="11"/>
      <name val="Arial"/>
      <family val="2"/>
    </font>
    <font>
      <sz val="11"/>
      <color rgb="FF000000"/>
      <name val="Tw Cen MT"/>
      <family val="2"/>
      <scheme val="minor"/>
    </font>
    <font>
      <u/>
      <sz val="11"/>
      <color rgb="FF0000FF"/>
      <name val="Tw Cen MT"/>
      <family val="2"/>
      <scheme val="minor"/>
    </font>
    <font>
      <i/>
      <sz val="11"/>
      <color theme="1"/>
      <name val="Tw Cen MT"/>
      <family val="2"/>
      <scheme val="minor"/>
    </font>
    <font>
      <b/>
      <sz val="20"/>
      <color theme="1"/>
      <name val="AvantGarde CE"/>
      <family val="5"/>
      <charset val="238"/>
    </font>
    <font>
      <sz val="14"/>
      <color theme="1"/>
      <name val="AvantGarde CE"/>
      <family val="5"/>
      <charset val="238"/>
    </font>
    <font>
      <b/>
      <sz val="18"/>
      <color theme="1"/>
      <name val="AvantGarde CE"/>
      <family val="5"/>
      <charset val="238"/>
    </font>
    <font>
      <b/>
      <sz val="18"/>
      <color theme="0"/>
      <name val="AvantGarde CE"/>
      <family val="5"/>
      <charset val="238"/>
    </font>
    <font>
      <b/>
      <sz val="17"/>
      <color theme="1"/>
      <name val="AvantGarde CE"/>
      <family val="5"/>
      <charset val="238"/>
    </font>
    <font>
      <sz val="13"/>
      <color theme="1"/>
      <name val="AvantGarde CE"/>
      <family val="5"/>
      <charset val="238"/>
    </font>
    <font>
      <b/>
      <sz val="16"/>
      <color theme="1"/>
      <name val="AvantGarde CE"/>
      <family val="5"/>
      <charset val="238"/>
    </font>
    <font>
      <b/>
      <sz val="18"/>
      <name val="AvantGarde CE"/>
      <family val="5"/>
      <charset val="238"/>
    </font>
    <font>
      <b/>
      <sz val="22"/>
      <name val="AvantGarde CE"/>
      <family val="5"/>
      <charset val="238"/>
    </font>
    <font>
      <b/>
      <sz val="14"/>
      <name val="AvantGarde CE"/>
      <family val="5"/>
      <charset val="238"/>
    </font>
    <font>
      <b/>
      <sz val="15"/>
      <name val="AvantGarde CE"/>
      <family val="5"/>
      <charset val="238"/>
    </font>
    <font>
      <b/>
      <sz val="20"/>
      <color rgb="FFFF0000"/>
      <name val="AvantGarde CE"/>
      <family val="5"/>
      <charset val="238"/>
    </font>
    <font>
      <b/>
      <sz val="17"/>
      <color rgb="FFFF0000"/>
      <name val="AvantGarde CE"/>
      <family val="5"/>
      <charset val="238"/>
    </font>
    <font>
      <b/>
      <sz val="13"/>
      <name val="AvantGarde CE"/>
      <family val="5"/>
      <charset val="238"/>
    </font>
    <font>
      <b/>
      <sz val="13"/>
      <color theme="1"/>
      <name val="AvantGarde CE"/>
      <family val="5"/>
      <charset val="238"/>
    </font>
    <font>
      <b/>
      <sz val="22"/>
      <color theme="1"/>
      <name val="AvantGarde CE"/>
      <family val="5"/>
      <charset val="238"/>
    </font>
    <font>
      <sz val="16"/>
      <color theme="1"/>
      <name val="AvantGarde CE"/>
      <family val="5"/>
      <charset val="238"/>
    </font>
    <font>
      <b/>
      <sz val="8"/>
      <color theme="1"/>
      <name val="AvantGarde CE"/>
      <family val="5"/>
      <charset val="238"/>
    </font>
    <font>
      <b/>
      <sz val="14"/>
      <color rgb="FFFF0000"/>
      <name val="AvantGarde CE"/>
      <family val="5"/>
      <charset val="238"/>
    </font>
    <font>
      <b/>
      <sz val="16"/>
      <color theme="0"/>
      <name val="Tw Cen MT"/>
      <family val="2"/>
      <scheme val="minor"/>
    </font>
    <font>
      <b/>
      <sz val="12"/>
      <color theme="1"/>
      <name val="Tw Cen MT"/>
      <family val="2"/>
      <scheme val="minor"/>
    </font>
    <font>
      <sz val="11"/>
      <color rgb="FFFF0000"/>
      <name val="Tw Cen MT"/>
      <family val="2"/>
      <scheme val="minor"/>
    </font>
    <font>
      <sz val="11"/>
      <color theme="0"/>
      <name val="Tw Cen MT"/>
      <family val="2"/>
      <scheme val="minor"/>
    </font>
    <font>
      <sz val="22"/>
      <color theme="1"/>
      <name val="Tw Cen MT"/>
      <family val="2"/>
      <scheme val="minor"/>
    </font>
    <font>
      <b/>
      <sz val="24"/>
      <name val="Tw Cen MT"/>
      <family val="2"/>
      <scheme val="minor"/>
    </font>
    <font>
      <b/>
      <sz val="24"/>
      <color theme="1"/>
      <name val="Tw Cen MT"/>
      <family val="2"/>
      <scheme val="minor"/>
    </font>
    <font>
      <sz val="20"/>
      <color theme="1"/>
      <name val="Tw Cen MT"/>
      <family val="2"/>
      <scheme val="minor"/>
    </font>
    <font>
      <b/>
      <sz val="24"/>
      <name val="Tw Cen MT"/>
      <family val="2"/>
      <scheme val="major"/>
    </font>
    <font>
      <sz val="18"/>
      <name val="Tw Cen MT"/>
      <family val="2"/>
      <scheme val="minor"/>
    </font>
    <font>
      <b/>
      <sz val="17"/>
      <color theme="0"/>
      <name val="Tw Cen MT"/>
      <family val="2"/>
      <scheme val="minor"/>
    </font>
    <font>
      <sz val="17"/>
      <color theme="1"/>
      <name val="Tw Cen MT"/>
      <family val="2"/>
      <scheme val="minor"/>
    </font>
    <font>
      <sz val="17"/>
      <color rgb="FFFF0000"/>
      <name val="Tw Cen MT"/>
      <family val="2"/>
      <scheme val="minor"/>
    </font>
    <font>
      <sz val="11"/>
      <name val="Tw Cen MT"/>
      <family val="2"/>
      <scheme val="minor"/>
    </font>
    <font>
      <b/>
      <sz val="15"/>
      <name val="Tw Cen MT"/>
      <family val="2"/>
      <scheme val="minor"/>
    </font>
    <font>
      <sz val="8"/>
      <color theme="1"/>
      <name val="Tw Cen MT"/>
      <family val="2"/>
      <scheme val="minor"/>
    </font>
    <font>
      <sz val="13"/>
      <color theme="1"/>
      <name val="Tw Cen MT"/>
      <family val="2"/>
      <scheme val="minor"/>
    </font>
    <font>
      <b/>
      <sz val="15"/>
      <color theme="1"/>
      <name val="Tw Cen MT"/>
      <family val="2"/>
      <scheme val="minor"/>
    </font>
    <font>
      <b/>
      <sz val="24"/>
      <color theme="1"/>
      <name val="Tw Cen MT"/>
      <family val="2"/>
      <scheme val="major"/>
    </font>
    <font>
      <b/>
      <sz val="18"/>
      <color rgb="FFFF0000"/>
      <name val="Tw Cen MT"/>
      <family val="2"/>
      <scheme val="minor"/>
    </font>
    <font>
      <b/>
      <sz val="24"/>
      <color rgb="FFFF0000"/>
      <name val="Tw Cen MT"/>
      <family val="2"/>
      <scheme val="minor"/>
    </font>
    <font>
      <b/>
      <sz val="16"/>
      <color theme="1"/>
      <name val="Tw Cen MT"/>
      <family val="2"/>
      <scheme val="major"/>
    </font>
  </fonts>
  <fills count="12">
    <fill>
      <patternFill patternType="none"/>
    </fill>
    <fill>
      <patternFill patternType="gray125"/>
    </fill>
    <fill>
      <patternFill patternType="solid">
        <fgColor theme="1"/>
        <bgColor indexed="64"/>
      </patternFill>
    </fill>
    <fill>
      <patternFill patternType="solid">
        <fgColor rgb="FF66CCFF"/>
        <bgColor indexed="64"/>
      </patternFill>
    </fill>
    <fill>
      <patternFill patternType="solid">
        <fgColor rgb="FFCCFFFF"/>
        <bgColor indexed="64"/>
      </patternFill>
    </fill>
    <fill>
      <patternFill patternType="solid">
        <fgColor rgb="FFFFFFCC"/>
        <bgColor indexed="64"/>
      </patternFill>
    </fill>
    <fill>
      <patternFill patternType="solid">
        <fgColor rgb="FFFFD966"/>
        <bgColor indexed="64"/>
      </patternFill>
    </fill>
    <fill>
      <patternFill patternType="solid">
        <fgColor rgb="FF087539"/>
        <bgColor indexed="64"/>
      </patternFill>
    </fill>
    <fill>
      <patternFill patternType="solid">
        <fgColor rgb="FFFFFF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FCCFF"/>
        <bgColor indexed="64"/>
      </patternFill>
    </fill>
  </fills>
  <borders count="62">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diagonal/>
    </border>
    <border>
      <left/>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right/>
      <top/>
      <bottom style="thin">
        <color rgb="FF000000"/>
      </bottom>
      <diagonal/>
    </border>
    <border>
      <left style="thin">
        <color rgb="FF000000"/>
      </left>
      <right/>
      <top/>
      <bottom style="thin">
        <color rgb="FF000000"/>
      </bottom>
      <diagonal/>
    </border>
    <border>
      <left/>
      <right/>
      <top style="thin">
        <color rgb="FF000000"/>
      </top>
      <bottom style="thin">
        <color rgb="FF000000"/>
      </bottom>
      <diagonal/>
    </border>
    <border>
      <left/>
      <right style="thin">
        <color rgb="FF000000"/>
      </right>
      <top/>
      <bottom/>
      <diagonal/>
    </border>
    <border>
      <left style="thin">
        <color rgb="FF000000"/>
      </left>
      <right/>
      <top/>
      <bottom/>
      <diagonal/>
    </border>
    <border>
      <left/>
      <right style="thin">
        <color rgb="FF000000"/>
      </right>
      <top/>
      <bottom style="thin">
        <color rgb="FF000000"/>
      </bottom>
      <diagonal/>
    </border>
    <border>
      <left/>
      <right style="thin">
        <color rgb="FF000000"/>
      </right>
      <top style="thin">
        <color indexed="64"/>
      </top>
      <bottom style="thin">
        <color indexed="64"/>
      </bottom>
      <diagonal/>
    </border>
    <border>
      <left style="thin">
        <color rgb="FF000000"/>
      </left>
      <right/>
      <top style="thin">
        <color indexed="64"/>
      </top>
      <bottom style="thin">
        <color indexed="64"/>
      </bottom>
      <diagonal/>
    </border>
    <border>
      <left/>
      <right style="medium">
        <color indexed="64"/>
      </right>
      <top style="medium">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style="thin">
        <color indexed="64"/>
      </left>
      <right/>
      <top/>
      <bottom style="thin">
        <color theme="0" tint="-0.34998626667073579"/>
      </bottom>
      <diagonal/>
    </border>
    <border>
      <left/>
      <right style="thin">
        <color indexed="64"/>
      </right>
      <top/>
      <bottom style="thin">
        <color theme="0" tint="-0.34998626667073579"/>
      </bottom>
      <diagonal/>
    </border>
    <border>
      <left style="thin">
        <color indexed="64"/>
      </left>
      <right/>
      <top style="thin">
        <color indexed="64"/>
      </top>
      <bottom style="thin">
        <color theme="0" tint="-0.34998626667073579"/>
      </bottom>
      <diagonal/>
    </border>
    <border>
      <left/>
      <right style="thin">
        <color indexed="64"/>
      </right>
      <top style="thin">
        <color indexed="64"/>
      </top>
      <bottom style="thin">
        <color theme="0" tint="-0.34998626667073579"/>
      </bottom>
      <diagonal/>
    </border>
    <border>
      <left style="thin">
        <color indexed="64"/>
      </left>
      <right/>
      <top style="thin">
        <color theme="0" tint="-0.34998626667073579"/>
      </top>
      <bottom style="thin">
        <color theme="0" tint="-0.34998626667073579"/>
      </bottom>
      <diagonal/>
    </border>
    <border>
      <left/>
      <right style="thin">
        <color indexed="64"/>
      </right>
      <top style="thin">
        <color theme="0" tint="-0.34998626667073579"/>
      </top>
      <bottom style="thin">
        <color theme="0" tint="-0.34998626667073579"/>
      </bottom>
      <diagonal/>
    </border>
    <border>
      <left/>
      <right/>
      <top style="thin">
        <color indexed="64"/>
      </top>
      <bottom style="thin">
        <color theme="0" tint="-0.34998626667073579"/>
      </bottom>
      <diagonal/>
    </border>
    <border>
      <left/>
      <right/>
      <top/>
      <bottom style="thin">
        <color theme="0" tint="-0.34998626667073579"/>
      </bottom>
      <diagonal/>
    </border>
    <border>
      <left/>
      <right/>
      <top style="thin">
        <color theme="0" tint="-0.34998626667073579"/>
      </top>
      <bottom style="thin">
        <color theme="0" tint="-0.34998626667073579"/>
      </bottom>
      <diagonal/>
    </border>
    <border>
      <left style="thin">
        <color indexed="64"/>
      </left>
      <right/>
      <top style="thin">
        <color theme="0" tint="-0.34998626667073579"/>
      </top>
      <bottom style="thin">
        <color indexed="64"/>
      </bottom>
      <diagonal/>
    </border>
    <border>
      <left/>
      <right/>
      <top style="thin">
        <color theme="0" tint="-0.34998626667073579"/>
      </top>
      <bottom style="thin">
        <color indexed="64"/>
      </bottom>
      <diagonal/>
    </border>
    <border>
      <left/>
      <right style="thin">
        <color indexed="64"/>
      </right>
      <top style="thin">
        <color theme="0" tint="-0.34998626667073579"/>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thin">
        <color theme="0" tint="-0.34998626667073579"/>
      </bottom>
      <diagonal/>
    </border>
    <border>
      <left/>
      <right/>
      <top style="medium">
        <color indexed="64"/>
      </top>
      <bottom style="thin">
        <color theme="0" tint="-0.34998626667073579"/>
      </bottom>
      <diagonal/>
    </border>
    <border>
      <left/>
      <right style="medium">
        <color indexed="64"/>
      </right>
      <top style="medium">
        <color indexed="64"/>
      </top>
      <bottom style="thin">
        <color theme="0" tint="-0.34998626667073579"/>
      </bottom>
      <diagonal/>
    </border>
    <border>
      <left style="medium">
        <color indexed="64"/>
      </left>
      <right/>
      <top style="thin">
        <color theme="0" tint="-0.34998626667073579"/>
      </top>
      <bottom style="thin">
        <color theme="0" tint="-0.34998626667073579"/>
      </bottom>
      <diagonal/>
    </border>
    <border>
      <left/>
      <right style="medium">
        <color indexed="64"/>
      </right>
      <top style="thin">
        <color theme="0" tint="-0.34998626667073579"/>
      </top>
      <bottom style="thin">
        <color theme="0" tint="-0.34998626667073579"/>
      </bottom>
      <diagonal/>
    </border>
    <border>
      <left style="medium">
        <color indexed="64"/>
      </left>
      <right/>
      <top style="thin">
        <color theme="0" tint="-0.34998626667073579"/>
      </top>
      <bottom style="medium">
        <color indexed="64"/>
      </bottom>
      <diagonal/>
    </border>
    <border>
      <left/>
      <right/>
      <top style="thin">
        <color theme="0" tint="-0.34998626667073579"/>
      </top>
      <bottom style="medium">
        <color indexed="64"/>
      </bottom>
      <diagonal/>
    </border>
    <border>
      <left/>
      <right style="medium">
        <color indexed="64"/>
      </right>
      <top style="thin">
        <color theme="0" tint="-0.34998626667073579"/>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style="thin">
        <color theme="0" tint="-0.34998626667073579"/>
      </top>
      <bottom style="thin">
        <color theme="0" tint="-0.34998626667073579"/>
      </bottom>
      <diagonal/>
    </border>
    <border>
      <left/>
      <right style="thin">
        <color rgb="FF000000"/>
      </right>
      <top style="thin">
        <color theme="0" tint="-0.34998626667073579"/>
      </top>
      <bottom style="thin">
        <color theme="0" tint="-0.34998626667073579"/>
      </bottom>
      <diagonal/>
    </border>
    <border>
      <left style="thin">
        <color indexed="64"/>
      </left>
      <right style="thin">
        <color rgb="FF000000"/>
      </right>
      <top style="thin">
        <color indexed="64"/>
      </top>
      <bottom style="thin">
        <color theme="0" tint="-0.34998626667073579"/>
      </bottom>
      <diagonal/>
    </border>
    <border>
      <left style="thin">
        <color indexed="64"/>
      </left>
      <right style="thin">
        <color indexed="64"/>
      </right>
      <top style="thin">
        <color indexed="64"/>
      </top>
      <bottom style="thin">
        <color theme="0" tint="-0.34998626667073579"/>
      </bottom>
      <diagonal/>
    </border>
    <border>
      <left/>
      <right style="thin">
        <color rgb="FF000000"/>
      </right>
      <top style="thin">
        <color indexed="64"/>
      </top>
      <bottom style="thin">
        <color theme="0" tint="-0.34998626667073579"/>
      </bottom>
      <diagonal/>
    </border>
    <border>
      <left style="thin">
        <color indexed="64"/>
      </left>
      <right style="thin">
        <color rgb="FF000000"/>
      </right>
      <top style="thin">
        <color theme="0" tint="-0.34998626667073579"/>
      </top>
      <bottom style="thin">
        <color theme="0" tint="-0.34998626667073579"/>
      </bottom>
      <diagonal/>
    </border>
    <border>
      <left style="thin">
        <color indexed="64"/>
      </left>
      <right style="thin">
        <color rgb="FF000000"/>
      </right>
      <top style="thin">
        <color theme="0" tint="-0.34998626667073579"/>
      </top>
      <bottom style="thin">
        <color indexed="64"/>
      </bottom>
      <diagonal/>
    </border>
    <border>
      <left style="thin">
        <color indexed="64"/>
      </left>
      <right style="thin">
        <color indexed="64"/>
      </right>
      <top style="thin">
        <color theme="0" tint="-0.34998626667073579"/>
      </top>
      <bottom style="thin">
        <color indexed="64"/>
      </bottom>
      <diagonal/>
    </border>
    <border>
      <left/>
      <right style="thin">
        <color rgb="FF000000"/>
      </right>
      <top style="thin">
        <color theme="0" tint="-0.34998626667073579"/>
      </top>
      <bottom style="thin">
        <color indexed="64"/>
      </bottom>
      <diagonal/>
    </border>
  </borders>
  <cellStyleXfs count="4">
    <xf numFmtId="0" fontId="0" fillId="0" borderId="0"/>
    <xf numFmtId="43" fontId="2" fillId="0" borderId="0" applyFont="0" applyFill="0" applyBorder="0" applyAlignment="0" applyProtection="0"/>
    <xf numFmtId="0" fontId="4" fillId="0" borderId="0" applyNumberFormat="0" applyFill="0" applyBorder="0" applyAlignment="0" applyProtection="0"/>
    <xf numFmtId="9" fontId="2" fillId="0" borderId="0" applyFont="0" applyFill="0" applyBorder="0" applyAlignment="0" applyProtection="0"/>
  </cellStyleXfs>
  <cellXfs count="876">
    <xf numFmtId="0" fontId="0" fillId="0" borderId="0" xfId="0"/>
    <xf numFmtId="0" fontId="3" fillId="0" borderId="0" xfId="0" applyFont="1"/>
    <xf numFmtId="0" fontId="3" fillId="0" borderId="9" xfId="0" applyFont="1" applyBorder="1"/>
    <xf numFmtId="0" fontId="0" fillId="8" borderId="0" xfId="0" applyFill="1"/>
    <xf numFmtId="0" fontId="4" fillId="0" borderId="0" xfId="2" applyAlignment="1"/>
    <xf numFmtId="15" fontId="0" fillId="0" borderId="0" xfId="0" applyNumberFormat="1"/>
    <xf numFmtId="0" fontId="0" fillId="0" borderId="0" xfId="0" quotePrefix="1"/>
    <xf numFmtId="0" fontId="0" fillId="0" borderId="0" xfId="0" applyAlignment="1">
      <alignment vertical="top"/>
    </xf>
    <xf numFmtId="0" fontId="8" fillId="0" borderId="0" xfId="0" applyFont="1" applyAlignment="1">
      <alignment horizontal="center" vertical="center"/>
    </xf>
    <xf numFmtId="0" fontId="10" fillId="0" borderId="0" xfId="0" applyFont="1" applyAlignment="1">
      <alignment vertical="center"/>
    </xf>
    <xf numFmtId="0" fontId="10" fillId="0" borderId="0" xfId="0" applyFont="1" applyAlignment="1">
      <alignment horizontal="center" vertical="center"/>
    </xf>
    <xf numFmtId="0" fontId="10" fillId="0" borderId="0" xfId="0" applyFont="1" applyAlignment="1">
      <alignment horizontal="right" vertical="center"/>
    </xf>
    <xf numFmtId="0" fontId="10" fillId="0" borderId="9" xfId="0" applyFont="1" applyBorder="1" applyAlignment="1">
      <alignment horizontal="right" vertical="center"/>
    </xf>
    <xf numFmtId="0" fontId="10" fillId="0" borderId="0" xfId="0" applyFont="1" applyAlignment="1">
      <alignment horizontal="left" vertical="center"/>
    </xf>
    <xf numFmtId="0" fontId="10" fillId="0" borderId="5" xfId="0" applyFont="1" applyBorder="1" applyAlignment="1">
      <alignment vertical="center"/>
    </xf>
    <xf numFmtId="3" fontId="11" fillId="5" borderId="1" xfId="0" applyNumberFormat="1" applyFont="1" applyFill="1" applyBorder="1" applyAlignment="1">
      <alignment horizontal="center" vertical="center"/>
    </xf>
    <xf numFmtId="3" fontId="6" fillId="5" borderId="1" xfId="0" applyNumberFormat="1" applyFont="1" applyFill="1" applyBorder="1" applyAlignment="1">
      <alignment horizontal="center" vertical="center"/>
    </xf>
    <xf numFmtId="0" fontId="14" fillId="0" borderId="0" xfId="0" applyFont="1" applyAlignment="1">
      <alignment vertical="center"/>
    </xf>
    <xf numFmtId="0" fontId="15" fillId="0" borderId="0" xfId="0" applyFont="1" applyAlignment="1">
      <alignment horizontal="center" vertical="center"/>
    </xf>
    <xf numFmtId="0" fontId="16" fillId="0" borderId="0" xfId="0" applyFont="1" applyAlignment="1">
      <alignment vertical="center"/>
    </xf>
    <xf numFmtId="0" fontId="18" fillId="0" borderId="5" xfId="0" applyFont="1" applyBorder="1" applyAlignment="1">
      <alignment horizontal="center" vertical="center"/>
    </xf>
    <xf numFmtId="0" fontId="9" fillId="0" borderId="0" xfId="0" applyFont="1" applyAlignment="1">
      <alignment vertical="center"/>
    </xf>
    <xf numFmtId="0" fontId="9" fillId="0" borderId="0" xfId="0" applyFont="1" applyAlignment="1">
      <alignment horizontal="center" vertical="center"/>
    </xf>
    <xf numFmtId="0" fontId="19" fillId="0" borderId="0" xfId="0" applyFont="1" applyAlignment="1">
      <alignment vertical="top" wrapText="1"/>
    </xf>
    <xf numFmtId="0" fontId="8" fillId="0" borderId="0" xfId="0" applyFont="1" applyAlignment="1">
      <alignment vertical="top" wrapText="1"/>
    </xf>
    <xf numFmtId="0" fontId="7" fillId="0" borderId="13" xfId="0" applyFont="1" applyBorder="1" applyAlignment="1">
      <alignment horizontal="center" vertical="center"/>
    </xf>
    <xf numFmtId="0" fontId="7" fillId="0" borderId="1" xfId="0" applyFont="1" applyBorder="1" applyAlignment="1">
      <alignment horizontal="center" vertical="center"/>
    </xf>
    <xf numFmtId="0" fontId="11" fillId="4" borderId="10" xfId="0" applyFont="1" applyFill="1" applyBorder="1" applyAlignment="1">
      <alignment horizontal="center" vertical="center"/>
    </xf>
    <xf numFmtId="0" fontId="24" fillId="0" borderId="0" xfId="0" applyFont="1" applyAlignment="1">
      <alignment horizontal="center" vertical="center"/>
    </xf>
    <xf numFmtId="0" fontId="7" fillId="4" borderId="2" xfId="0" applyFont="1" applyFill="1" applyBorder="1" applyAlignment="1">
      <alignment horizontal="center" vertical="center"/>
    </xf>
    <xf numFmtId="0" fontId="8" fillId="6" borderId="10" xfId="0" applyFont="1" applyFill="1" applyBorder="1" applyAlignment="1">
      <alignment horizontal="center" vertical="center"/>
    </xf>
    <xf numFmtId="0" fontId="8" fillId="0" borderId="0" xfId="0" applyFont="1" applyAlignment="1">
      <alignment vertical="center"/>
    </xf>
    <xf numFmtId="0" fontId="8" fillId="6" borderId="2" xfId="0" applyFont="1" applyFill="1" applyBorder="1" applyAlignment="1">
      <alignment horizontal="center" vertical="center"/>
    </xf>
    <xf numFmtId="0" fontId="7" fillId="4" borderId="10" xfId="0" applyFont="1" applyFill="1" applyBorder="1" applyAlignment="1">
      <alignment horizontal="center" vertical="center"/>
    </xf>
    <xf numFmtId="3" fontId="11" fillId="5" borderId="1" xfId="0" applyNumberFormat="1" applyFont="1" applyFill="1" applyBorder="1" applyAlignment="1">
      <alignment horizontal="center" vertical="center" wrapText="1"/>
    </xf>
    <xf numFmtId="0" fontId="18" fillId="0" borderId="5" xfId="0" applyFont="1" applyBorder="1" applyAlignment="1">
      <alignment horizontal="center" vertical="center" wrapText="1"/>
    </xf>
    <xf numFmtId="0" fontId="20" fillId="0" borderId="0" xfId="0" applyFont="1" applyAlignment="1">
      <alignment vertical="center"/>
    </xf>
    <xf numFmtId="0" fontId="21" fillId="0" borderId="0" xfId="0" applyFont="1" applyAlignment="1">
      <alignment horizontal="center" vertical="center"/>
    </xf>
    <xf numFmtId="0" fontId="7" fillId="0" borderId="0" xfId="0" applyFont="1" applyAlignment="1">
      <alignment horizontal="center" vertical="center"/>
    </xf>
    <xf numFmtId="0" fontId="7" fillId="0" borderId="8" xfId="0" applyFont="1" applyBorder="1" applyAlignment="1">
      <alignment horizontal="center" vertical="center"/>
    </xf>
    <xf numFmtId="0" fontId="7" fillId="0" borderId="3" xfId="0" applyFont="1" applyBorder="1" applyAlignment="1">
      <alignment horizontal="center" vertical="center"/>
    </xf>
    <xf numFmtId="0" fontId="19" fillId="0" borderId="5" xfId="0" applyFont="1" applyBorder="1" applyAlignment="1">
      <alignment vertical="top" wrapText="1"/>
    </xf>
    <xf numFmtId="0" fontId="25" fillId="6" borderId="11" xfId="0" applyFont="1" applyFill="1" applyBorder="1" applyAlignment="1">
      <alignment horizontal="left" vertical="center"/>
    </xf>
    <xf numFmtId="0" fontId="3" fillId="0" borderId="9" xfId="0" applyFont="1" applyBorder="1" applyAlignment="1">
      <alignment horizontal="center"/>
    </xf>
    <xf numFmtId="0" fontId="0" fillId="0" borderId="4" xfId="0" applyBorder="1"/>
    <xf numFmtId="0" fontId="0" fillId="0" borderId="5" xfId="0" applyBorder="1"/>
    <xf numFmtId="0" fontId="0" fillId="0" borderId="6" xfId="0" applyBorder="1"/>
    <xf numFmtId="0" fontId="0" fillId="0" borderId="9" xfId="0" applyBorder="1"/>
    <xf numFmtId="0" fontId="0" fillId="0" borderId="7" xfId="0" applyBorder="1"/>
    <xf numFmtId="0" fontId="3" fillId="0" borderId="10" xfId="0" applyFont="1" applyBorder="1" applyAlignment="1">
      <alignment horizontal="center"/>
    </xf>
    <xf numFmtId="0" fontId="3" fillId="0" borderId="11" xfId="0" applyFont="1" applyBorder="1" applyAlignment="1">
      <alignment horizontal="center"/>
    </xf>
    <xf numFmtId="0" fontId="3" fillId="0" borderId="12" xfId="0" applyFont="1" applyBorder="1" applyAlignment="1">
      <alignment horizontal="center"/>
    </xf>
    <xf numFmtId="0" fontId="0" fillId="8" borderId="0" xfId="0" applyFill="1" applyAlignment="1">
      <alignment vertical="top"/>
    </xf>
    <xf numFmtId="0" fontId="20" fillId="0" borderId="0" xfId="0" applyFont="1" applyAlignment="1">
      <alignment horizontal="center" vertical="center"/>
    </xf>
    <xf numFmtId="0" fontId="23" fillId="0" borderId="0" xfId="0" applyFont="1" applyAlignment="1">
      <alignment horizontal="center" vertical="top" wrapText="1"/>
    </xf>
    <xf numFmtId="0" fontId="21" fillId="0" borderId="1" xfId="0" applyFont="1" applyBorder="1" applyAlignment="1">
      <alignment horizontal="center" vertical="center"/>
    </xf>
    <xf numFmtId="0" fontId="23" fillId="0" borderId="0" xfId="0" applyFont="1" applyAlignment="1">
      <alignment vertical="top" wrapText="1"/>
    </xf>
    <xf numFmtId="0" fontId="9" fillId="2" borderId="4" xfId="0" applyFont="1" applyFill="1" applyBorder="1" applyAlignment="1">
      <alignment horizontal="center"/>
    </xf>
    <xf numFmtId="0" fontId="3" fillId="0" borderId="9" xfId="0" applyFont="1" applyBorder="1" applyAlignment="1">
      <alignment vertical="top"/>
    </xf>
    <xf numFmtId="164" fontId="0" fillId="0" borderId="0" xfId="1" applyNumberFormat="1" applyFont="1"/>
    <xf numFmtId="43" fontId="0" fillId="0" borderId="0" xfId="0" applyNumberFormat="1"/>
    <xf numFmtId="0" fontId="0" fillId="8" borderId="0" xfId="0" applyFill="1" applyAlignment="1">
      <alignment vertical="top" wrapText="1"/>
    </xf>
    <xf numFmtId="43" fontId="0" fillId="9" borderId="0" xfId="0" applyNumberFormat="1" applyFill="1"/>
    <xf numFmtId="0" fontId="0" fillId="0" borderId="0" xfId="0" applyAlignment="1">
      <alignment vertical="top" wrapText="1"/>
    </xf>
    <xf numFmtId="0" fontId="0" fillId="0" borderId="2" xfId="0" applyBorder="1"/>
    <xf numFmtId="0" fontId="0" fillId="0" borderId="8" xfId="0" applyBorder="1"/>
    <xf numFmtId="0" fontId="0" fillId="0" borderId="3" xfId="0" applyBorder="1"/>
    <xf numFmtId="0" fontId="3" fillId="0" borderId="12" xfId="0" applyFont="1" applyBorder="1"/>
    <xf numFmtId="0" fontId="2" fillId="0" borderId="0" xfId="0" applyFont="1"/>
    <xf numFmtId="0" fontId="2" fillId="0" borderId="0" xfId="0" applyFont="1" applyAlignment="1">
      <alignment horizontal="center"/>
    </xf>
    <xf numFmtId="0" fontId="0" fillId="0" borderId="0" xfId="0" applyAlignment="1">
      <alignment horizontal="center" vertical="center"/>
    </xf>
    <xf numFmtId="0" fontId="2" fillId="0" borderId="0" xfId="0" applyFont="1" applyAlignment="1">
      <alignment horizontal="left"/>
    </xf>
    <xf numFmtId="9" fontId="2" fillId="0" borderId="0" xfId="0" applyNumberFormat="1" applyFont="1" applyAlignment="1">
      <alignment horizontal="center"/>
    </xf>
    <xf numFmtId="15" fontId="2" fillId="0" borderId="0" xfId="0" applyNumberFormat="1" applyFont="1"/>
    <xf numFmtId="9" fontId="2" fillId="0" borderId="0" xfId="0" applyNumberFormat="1" applyFont="1"/>
    <xf numFmtId="0" fontId="3" fillId="0" borderId="18" xfId="0" applyFont="1" applyBorder="1"/>
    <xf numFmtId="0" fontId="3" fillId="0" borderId="0" xfId="0" applyFont="1" applyAlignment="1">
      <alignment horizontal="center"/>
    </xf>
    <xf numFmtId="3" fontId="2" fillId="0" borderId="0" xfId="0" applyNumberFormat="1" applyFont="1"/>
    <xf numFmtId="3" fontId="3" fillId="0" borderId="0" xfId="0" applyNumberFormat="1" applyFont="1"/>
    <xf numFmtId="0" fontId="0" fillId="0" borderId="0" xfId="0" applyAlignment="1">
      <alignment horizontal="left" vertical="center"/>
    </xf>
    <xf numFmtId="0" fontId="3" fillId="0" borderId="0" xfId="0" applyFont="1" applyAlignment="1">
      <alignment horizontal="center" vertical="center"/>
    </xf>
    <xf numFmtId="0" fontId="3" fillId="0" borderId="0" xfId="0" applyFont="1" applyAlignment="1">
      <alignment horizontal="left" vertical="center"/>
    </xf>
    <xf numFmtId="0" fontId="3" fillId="0" borderId="17" xfId="0" applyFont="1" applyBorder="1" applyAlignment="1">
      <alignment horizontal="center"/>
    </xf>
    <xf numFmtId="0" fontId="3" fillId="0" borderId="16" xfId="0" applyFont="1" applyBorder="1" applyAlignment="1">
      <alignment horizontal="center"/>
    </xf>
    <xf numFmtId="0" fontId="0" fillId="0" borderId="0" xfId="0" applyAlignment="1">
      <alignment horizontal="center"/>
    </xf>
    <xf numFmtId="165" fontId="0" fillId="0" borderId="0" xfId="0" applyNumberFormat="1" applyAlignment="1">
      <alignment horizontal="center"/>
    </xf>
    <xf numFmtId="0" fontId="0" fillId="0" borderId="0" xfId="0" applyAlignment="1">
      <alignment horizontal="left"/>
    </xf>
    <xf numFmtId="0" fontId="31" fillId="0" borderId="0" xfId="0" applyFont="1" applyAlignment="1">
      <alignment horizontal="left"/>
    </xf>
    <xf numFmtId="10" fontId="3" fillId="0" borderId="0" xfId="0" applyNumberFormat="1" applyFont="1"/>
    <xf numFmtId="3" fontId="0" fillId="0" borderId="0" xfId="0" applyNumberFormat="1"/>
    <xf numFmtId="10" fontId="0" fillId="0" borderId="0" xfId="0" applyNumberFormat="1"/>
    <xf numFmtId="3" fontId="3" fillId="0" borderId="18" xfId="0" applyNumberFormat="1" applyFont="1" applyBorder="1"/>
    <xf numFmtId="0" fontId="0" fillId="0" borderId="0" xfId="0" applyAlignment="1">
      <alignment vertical="center"/>
    </xf>
    <xf numFmtId="0" fontId="0" fillId="0" borderId="20" xfId="0" applyBorder="1"/>
    <xf numFmtId="166" fontId="0" fillId="0" borderId="0" xfId="0" applyNumberFormat="1"/>
    <xf numFmtId="0" fontId="3" fillId="0" borderId="10" xfId="0" applyFont="1" applyBorder="1"/>
    <xf numFmtId="9" fontId="0" fillId="0" borderId="0" xfId="0" applyNumberFormat="1" applyAlignment="1">
      <alignment horizontal="center"/>
    </xf>
    <xf numFmtId="0" fontId="3" fillId="0" borderId="11" xfId="0" applyFont="1" applyBorder="1"/>
    <xf numFmtId="166" fontId="0" fillId="0" borderId="5" xfId="0" applyNumberFormat="1" applyBorder="1"/>
    <xf numFmtId="167" fontId="0" fillId="0" borderId="5" xfId="0" applyNumberFormat="1" applyBorder="1"/>
    <xf numFmtId="0" fontId="0" fillId="0" borderId="0" xfId="0" applyAlignment="1">
      <alignment horizontal="left" vertical="top"/>
    </xf>
    <xf numFmtId="0" fontId="0" fillId="0" borderId="0" xfId="0" quotePrefix="1" applyAlignment="1">
      <alignment horizontal="left" vertical="center"/>
    </xf>
    <xf numFmtId="0" fontId="29" fillId="0" borderId="0" xfId="0" applyFont="1"/>
    <xf numFmtId="0" fontId="4" fillId="0" borderId="0" xfId="2"/>
    <xf numFmtId="0" fontId="0" fillId="0" borderId="0" xfId="0" applyAlignment="1">
      <alignment horizontal="right"/>
    </xf>
    <xf numFmtId="0" fontId="33" fillId="0" borderId="0" xfId="0" applyFont="1"/>
    <xf numFmtId="0" fontId="3" fillId="0" borderId="0" xfId="0" applyFont="1" applyAlignment="1">
      <alignment horizontal="left"/>
    </xf>
    <xf numFmtId="3" fontId="3" fillId="0" borderId="0" xfId="0" applyNumberFormat="1" applyFont="1" applyAlignment="1">
      <alignment horizontal="left"/>
    </xf>
    <xf numFmtId="0" fontId="4" fillId="0" borderId="0" xfId="2" applyAlignment="1">
      <alignment horizontal="left" vertical="top"/>
    </xf>
    <xf numFmtId="164" fontId="0" fillId="0" borderId="0" xfId="0" applyNumberFormat="1"/>
    <xf numFmtId="168" fontId="0" fillId="0" borderId="5" xfId="0" applyNumberFormat="1" applyBorder="1"/>
    <xf numFmtId="169" fontId="0" fillId="0" borderId="0" xfId="0" applyNumberFormat="1"/>
    <xf numFmtId="0" fontId="3" fillId="0" borderId="16" xfId="0" applyFont="1" applyBorder="1"/>
    <xf numFmtId="0" fontId="3" fillId="0" borderId="16" xfId="0" applyFont="1" applyBorder="1" applyAlignment="1">
      <alignment horizontal="left"/>
    </xf>
    <xf numFmtId="0" fontId="29" fillId="0" borderId="0" xfId="0" applyFont="1" applyAlignment="1">
      <alignment horizontal="left"/>
    </xf>
    <xf numFmtId="0" fontId="4" fillId="0" borderId="0" xfId="2" applyAlignment="1">
      <alignment horizontal="left"/>
    </xf>
    <xf numFmtId="0" fontId="32" fillId="0" borderId="0" xfId="0" applyFont="1" applyAlignment="1">
      <alignment horizontal="left"/>
    </xf>
    <xf numFmtId="0" fontId="4" fillId="0" borderId="0" xfId="2" applyAlignment="1">
      <alignment horizontal="left" vertical="center"/>
    </xf>
    <xf numFmtId="165" fontId="0" fillId="0" borderId="0" xfId="0" applyNumberFormat="1" applyAlignment="1">
      <alignment horizontal="left"/>
    </xf>
    <xf numFmtId="0" fontId="3" fillId="0" borderId="6" xfId="0" applyFont="1" applyBorder="1"/>
    <xf numFmtId="0" fontId="3" fillId="0" borderId="7" xfId="0" applyFont="1" applyBorder="1"/>
    <xf numFmtId="9" fontId="0" fillId="0" borderId="4" xfId="3" applyFont="1" applyBorder="1"/>
    <xf numFmtId="9" fontId="0" fillId="0" borderId="0" xfId="3" applyFont="1" applyBorder="1"/>
    <xf numFmtId="9" fontId="0" fillId="0" borderId="5" xfId="3" applyFont="1" applyBorder="1"/>
    <xf numFmtId="9" fontId="0" fillId="0" borderId="6" xfId="3" applyFont="1" applyBorder="1"/>
    <xf numFmtId="9" fontId="0" fillId="0" borderId="9" xfId="3" applyFont="1" applyBorder="1"/>
    <xf numFmtId="9" fontId="0" fillId="0" borderId="7" xfId="3" applyFont="1" applyBorder="1"/>
    <xf numFmtId="0" fontId="3" fillId="0" borderId="12" xfId="0" applyFont="1" applyBorder="1" applyAlignment="1">
      <alignment horizontal="left"/>
    </xf>
    <xf numFmtId="0" fontId="3" fillId="0" borderId="11" xfId="0" applyFont="1" applyBorder="1" applyAlignment="1">
      <alignment horizontal="left"/>
    </xf>
    <xf numFmtId="0" fontId="3" fillId="0" borderId="5" xfId="0" applyFont="1" applyBorder="1"/>
    <xf numFmtId="0" fontId="0" fillId="0" borderId="19" xfId="0" applyBorder="1"/>
    <xf numFmtId="3" fontId="0" fillId="0" borderId="19" xfId="0" applyNumberFormat="1" applyBorder="1"/>
    <xf numFmtId="4" fontId="0" fillId="0" borderId="0" xfId="0" applyNumberFormat="1"/>
    <xf numFmtId="4" fontId="0" fillId="0" borderId="19" xfId="0" applyNumberFormat="1" applyBorder="1"/>
    <xf numFmtId="0" fontId="0" fillId="0" borderId="17" xfId="0" applyBorder="1"/>
    <xf numFmtId="4" fontId="0" fillId="0" borderId="16" xfId="0" applyNumberFormat="1" applyBorder="1"/>
    <xf numFmtId="4" fontId="0" fillId="0" borderId="21" xfId="0" applyNumberFormat="1" applyBorder="1"/>
    <xf numFmtId="0" fontId="3" fillId="0" borderId="24" xfId="0" applyFont="1" applyBorder="1"/>
    <xf numFmtId="0" fontId="0" fillId="0" borderId="25" xfId="0" applyBorder="1"/>
    <xf numFmtId="0" fontId="0" fillId="0" borderId="26" xfId="0" applyBorder="1"/>
    <xf numFmtId="0" fontId="35" fillId="0" borderId="0" xfId="0" applyFont="1" applyAlignment="1">
      <alignment horizontal="center" vertical="center"/>
    </xf>
    <xf numFmtId="0" fontId="38" fillId="0" borderId="0" xfId="0" applyFont="1" applyAlignment="1">
      <alignment vertical="center"/>
    </xf>
    <xf numFmtId="0" fontId="38" fillId="0" borderId="0" xfId="0" applyFont="1" applyAlignment="1">
      <alignment horizontal="center" vertical="center"/>
    </xf>
    <xf numFmtId="0" fontId="38" fillId="0" borderId="0" xfId="0" applyFont="1" applyAlignment="1">
      <alignment horizontal="right" vertical="center"/>
    </xf>
    <xf numFmtId="0" fontId="38" fillId="0" borderId="9" xfId="0" applyFont="1" applyBorder="1" applyAlignment="1">
      <alignment horizontal="right" vertical="center"/>
    </xf>
    <xf numFmtId="0" fontId="38" fillId="0" borderId="0" xfId="0" applyFont="1" applyAlignment="1">
      <alignment horizontal="left" vertical="center"/>
    </xf>
    <xf numFmtId="0" fontId="38" fillId="0" borderId="5" xfId="0" applyFont="1" applyBorder="1" applyAlignment="1">
      <alignment vertical="center"/>
    </xf>
    <xf numFmtId="3" fontId="44" fillId="5" borderId="1" xfId="0" applyNumberFormat="1" applyFont="1" applyFill="1" applyBorder="1" applyAlignment="1">
      <alignment horizontal="center" vertical="center"/>
    </xf>
    <xf numFmtId="0" fontId="34" fillId="0" borderId="0" xfId="0" applyFont="1" applyAlignment="1">
      <alignment horizontal="center" vertical="center"/>
    </xf>
    <xf numFmtId="0" fontId="36" fillId="0" borderId="0" xfId="0" applyFont="1" applyAlignment="1">
      <alignment horizontal="center" vertical="center"/>
    </xf>
    <xf numFmtId="0" fontId="36" fillId="0" borderId="8" xfId="0" applyFont="1" applyBorder="1" applyAlignment="1">
      <alignment horizontal="center" vertical="center"/>
    </xf>
    <xf numFmtId="0" fontId="36" fillId="0" borderId="3" xfId="0" applyFont="1" applyBorder="1" applyAlignment="1">
      <alignment horizontal="center" vertical="center"/>
    </xf>
    <xf numFmtId="0" fontId="46" fillId="0" borderId="0" xfId="0" applyFont="1" applyAlignment="1">
      <alignment vertical="center"/>
    </xf>
    <xf numFmtId="0" fontId="48" fillId="6" borderId="11" xfId="0" applyFont="1" applyFill="1" applyBorder="1" applyAlignment="1">
      <alignment horizontal="left" vertical="center"/>
    </xf>
    <xf numFmtId="0" fontId="45" fillId="0" borderId="0" xfId="0" applyFont="1" applyAlignment="1">
      <alignment vertical="center"/>
    </xf>
    <xf numFmtId="0" fontId="40" fillId="0" borderId="0" xfId="0" applyFont="1" applyAlignment="1">
      <alignment horizontal="center" vertical="center"/>
    </xf>
    <xf numFmtId="3" fontId="43" fillId="5" borderId="1" xfId="0" applyNumberFormat="1" applyFont="1" applyFill="1" applyBorder="1" applyAlignment="1">
      <alignment horizontal="center" vertical="center"/>
    </xf>
    <xf numFmtId="0" fontId="50" fillId="0" borderId="0" xfId="0" applyFont="1" applyAlignment="1">
      <alignment horizontal="center" vertical="center"/>
    </xf>
    <xf numFmtId="0" fontId="51" fillId="0" borderId="5" xfId="0" applyFont="1" applyBorder="1" applyAlignment="1">
      <alignment horizontal="center" vertical="center"/>
    </xf>
    <xf numFmtId="0" fontId="52" fillId="0" borderId="0" xfId="0" applyFont="1" applyAlignment="1">
      <alignment vertical="center"/>
    </xf>
    <xf numFmtId="0" fontId="37" fillId="0" borderId="0" xfId="0" applyFont="1" applyAlignment="1">
      <alignment vertical="center"/>
    </xf>
    <xf numFmtId="0" fontId="37" fillId="0" borderId="0" xfId="0" applyFont="1" applyAlignment="1">
      <alignment horizontal="center" vertical="center"/>
    </xf>
    <xf numFmtId="0" fontId="50" fillId="0" borderId="0" xfId="0" applyFont="1" applyAlignment="1">
      <alignment vertical="top" wrapText="1"/>
    </xf>
    <xf numFmtId="0" fontId="50" fillId="0" borderId="5" xfId="0" applyFont="1" applyBorder="1" applyAlignment="1">
      <alignment vertical="top" wrapText="1"/>
    </xf>
    <xf numFmtId="0" fontId="35" fillId="0" borderId="0" xfId="0" applyFont="1" applyAlignment="1">
      <alignment vertical="top" wrapText="1"/>
    </xf>
    <xf numFmtId="3" fontId="3" fillId="0" borderId="12" xfId="0" applyNumberFormat="1" applyFont="1" applyBorder="1"/>
    <xf numFmtId="169" fontId="3" fillId="0" borderId="12" xfId="0" applyNumberFormat="1" applyFont="1" applyBorder="1"/>
    <xf numFmtId="169" fontId="3" fillId="0" borderId="11" xfId="0" applyNumberFormat="1" applyFont="1" applyBorder="1"/>
    <xf numFmtId="0" fontId="0" fillId="11" borderId="0" xfId="0" applyFill="1" applyAlignment="1">
      <alignment horizontal="left"/>
    </xf>
    <xf numFmtId="0" fontId="0" fillId="10" borderId="0" xfId="0" applyFill="1" applyAlignment="1">
      <alignment horizontal="left"/>
    </xf>
    <xf numFmtId="0" fontId="0" fillId="0" borderId="5" xfId="0" applyBorder="1" applyAlignment="1">
      <alignment wrapText="1"/>
    </xf>
    <xf numFmtId="0" fontId="0" fillId="0" borderId="7" xfId="0" applyBorder="1" applyAlignment="1">
      <alignment wrapText="1"/>
    </xf>
    <xf numFmtId="0" fontId="0" fillId="0" borderId="28" xfId="0" applyBorder="1" applyAlignment="1">
      <alignment wrapText="1"/>
    </xf>
    <xf numFmtId="0" fontId="0" fillId="0" borderId="30" xfId="0" applyBorder="1" applyAlignment="1">
      <alignment wrapText="1"/>
    </xf>
    <xf numFmtId="0" fontId="0" fillId="0" borderId="32" xfId="0" applyBorder="1" applyAlignment="1">
      <alignment wrapText="1"/>
    </xf>
    <xf numFmtId="164" fontId="0" fillId="0" borderId="0" xfId="1" applyNumberFormat="1" applyFont="1" applyBorder="1"/>
    <xf numFmtId="0" fontId="19" fillId="0" borderId="0" xfId="0" applyFont="1" applyAlignment="1">
      <alignment horizontal="center" vertical="center" wrapText="1"/>
    </xf>
    <xf numFmtId="0" fontId="7" fillId="3" borderId="1" xfId="0" applyFont="1" applyFill="1" applyBorder="1" applyAlignment="1">
      <alignment horizontal="center" vertical="center"/>
    </xf>
    <xf numFmtId="0" fontId="8" fillId="0" borderId="0" xfId="0" applyFont="1" applyAlignment="1">
      <alignment horizontal="left" vertical="center"/>
    </xf>
    <xf numFmtId="0" fontId="25" fillId="0" borderId="1" xfId="0" applyFont="1" applyBorder="1" applyAlignment="1">
      <alignment horizontal="center" vertical="center"/>
    </xf>
    <xf numFmtId="0" fontId="53" fillId="2" borderId="4" xfId="0" applyFont="1" applyFill="1" applyBorder="1" applyAlignment="1">
      <alignment horizontal="center" vertical="center"/>
    </xf>
    <xf numFmtId="0" fontId="0" fillId="0" borderId="0" xfId="0" applyAlignment="1">
      <alignment wrapText="1"/>
    </xf>
    <xf numFmtId="0" fontId="0" fillId="0" borderId="15" xfId="0" applyBorder="1"/>
    <xf numFmtId="0" fontId="0" fillId="0" borderId="14" xfId="0" applyBorder="1"/>
    <xf numFmtId="0" fontId="5" fillId="0" borderId="0" xfId="0" applyFont="1"/>
    <xf numFmtId="0" fontId="54" fillId="0" borderId="0" xfId="0" applyFont="1"/>
    <xf numFmtId="0" fontId="54" fillId="0" borderId="12" xfId="0" applyFont="1" applyBorder="1"/>
    <xf numFmtId="0" fontId="54" fillId="0" borderId="23" xfId="0" applyFont="1" applyBorder="1"/>
    <xf numFmtId="0" fontId="54" fillId="0" borderId="11" xfId="0" applyFont="1" applyBorder="1"/>
    <xf numFmtId="0" fontId="54" fillId="0" borderId="1" xfId="0" applyFont="1" applyBorder="1" applyAlignment="1">
      <alignment horizontal="center"/>
    </xf>
    <xf numFmtId="0" fontId="3" fillId="0" borderId="14" xfId="0" applyFont="1" applyBorder="1"/>
    <xf numFmtId="0" fontId="3" fillId="0" borderId="13" xfId="0" applyFont="1" applyBorder="1" applyAlignment="1">
      <alignment horizontal="center"/>
    </xf>
    <xf numFmtId="0" fontId="3" fillId="0" borderId="10" xfId="0" applyFont="1" applyBorder="1" applyAlignment="1">
      <alignment horizontal="left"/>
    </xf>
    <xf numFmtId="0" fontId="3" fillId="0" borderId="2" xfId="0" applyFont="1" applyBorder="1"/>
    <xf numFmtId="0" fontId="3" fillId="0" borderId="8" xfId="0" applyFont="1" applyBorder="1"/>
    <xf numFmtId="0" fontId="3" fillId="0" borderId="1" xfId="0" applyFont="1" applyBorder="1"/>
    <xf numFmtId="9" fontId="3" fillId="0" borderId="22" xfId="0" applyNumberFormat="1" applyFont="1" applyBorder="1"/>
    <xf numFmtId="9" fontId="3" fillId="0" borderId="12" xfId="0" applyNumberFormat="1" applyFont="1" applyBorder="1"/>
    <xf numFmtId="9" fontId="3" fillId="0" borderId="11" xfId="0" applyNumberFormat="1" applyFont="1" applyBorder="1"/>
    <xf numFmtId="9" fontId="3" fillId="0" borderId="10" xfId="0" quotePrefix="1" applyNumberFormat="1" applyFont="1" applyBorder="1"/>
    <xf numFmtId="0" fontId="25" fillId="0" borderId="14" xfId="0" applyFont="1" applyBorder="1" applyAlignment="1">
      <alignment horizontal="center" vertical="center"/>
    </xf>
    <xf numFmtId="0" fontId="8" fillId="0" borderId="10" xfId="0" applyFont="1" applyBorder="1" applyAlignment="1">
      <alignment horizontal="center" vertical="center"/>
    </xf>
    <xf numFmtId="0" fontId="8" fillId="0" borderId="12" xfId="0" applyFont="1" applyBorder="1" applyAlignment="1">
      <alignment horizontal="center" vertical="center"/>
    </xf>
    <xf numFmtId="0" fontId="8" fillId="0" borderId="11" xfId="0" applyFont="1" applyBorder="1" applyAlignment="1">
      <alignment horizontal="center" vertical="center"/>
    </xf>
    <xf numFmtId="0" fontId="56" fillId="0" borderId="0" xfId="0" quotePrefix="1" applyFont="1"/>
    <xf numFmtId="0" fontId="3" fillId="0" borderId="4" xfId="0" applyFont="1" applyBorder="1" applyAlignment="1">
      <alignment horizontal="center"/>
    </xf>
    <xf numFmtId="164" fontId="0" fillId="0" borderId="4" xfId="1" applyNumberFormat="1" applyFont="1" applyBorder="1"/>
    <xf numFmtId="164" fontId="0" fillId="0" borderId="5" xfId="1" applyNumberFormat="1" applyFont="1" applyBorder="1"/>
    <xf numFmtId="164" fontId="0" fillId="0" borderId="6" xfId="1" applyNumberFormat="1" applyFont="1" applyBorder="1"/>
    <xf numFmtId="164" fontId="0" fillId="0" borderId="9" xfId="1" applyNumberFormat="1" applyFont="1" applyBorder="1"/>
    <xf numFmtId="164" fontId="0" fillId="0" borderId="7" xfId="1" applyNumberFormat="1" applyFont="1" applyBorder="1"/>
    <xf numFmtId="3" fontId="3" fillId="0" borderId="12" xfId="0" applyNumberFormat="1" applyFont="1" applyBorder="1" applyAlignment="1">
      <alignment horizontal="left"/>
    </xf>
    <xf numFmtId="3" fontId="3" fillId="0" borderId="11" xfId="0" applyNumberFormat="1" applyFont="1" applyBorder="1" applyAlignment="1">
      <alignment horizontal="left"/>
    </xf>
    <xf numFmtId="0" fontId="3" fillId="0" borderId="10" xfId="0" applyFont="1" applyBorder="1" applyAlignment="1">
      <alignment horizontal="left" vertical="center"/>
    </xf>
    <xf numFmtId="0" fontId="3" fillId="0" borderId="11" xfId="0" applyFont="1" applyBorder="1" applyAlignment="1">
      <alignment horizontal="left" vertical="center"/>
    </xf>
    <xf numFmtId="0" fontId="3" fillId="0" borderId="12" xfId="0" applyFont="1" applyBorder="1" applyAlignment="1">
      <alignment horizontal="left" vertical="center"/>
    </xf>
    <xf numFmtId="0" fontId="0" fillId="0" borderId="29" xfId="0" applyBorder="1" applyAlignment="1">
      <alignment vertical="top"/>
    </xf>
    <xf numFmtId="0" fontId="0" fillId="0" borderId="27" xfId="0" applyBorder="1" applyAlignment="1">
      <alignment vertical="top"/>
    </xf>
    <xf numFmtId="0" fontId="0" fillId="0" borderId="31" xfId="0" applyBorder="1" applyAlignment="1">
      <alignment vertical="top"/>
    </xf>
    <xf numFmtId="0" fontId="0" fillId="0" borderId="4" xfId="0" applyBorder="1" applyAlignment="1">
      <alignment vertical="top"/>
    </xf>
    <xf numFmtId="0" fontId="9" fillId="2" borderId="4" xfId="0" applyFont="1" applyFill="1" applyBorder="1" applyAlignment="1">
      <alignment horizontal="center" vertical="center"/>
    </xf>
    <xf numFmtId="0" fontId="25" fillId="0" borderId="0" xfId="0" applyFont="1" applyAlignment="1">
      <alignment horizontal="center" vertical="center"/>
    </xf>
    <xf numFmtId="0" fontId="56" fillId="0" borderId="0" xfId="0" applyFont="1"/>
    <xf numFmtId="0" fontId="13" fillId="0" borderId="0" xfId="0" applyFont="1"/>
    <xf numFmtId="0" fontId="0" fillId="0" borderId="33" xfId="0" applyBorder="1" applyAlignment="1">
      <alignment vertical="top"/>
    </xf>
    <xf numFmtId="0" fontId="0" fillId="0" borderId="34" xfId="0" applyBorder="1" applyAlignment="1">
      <alignment vertical="top"/>
    </xf>
    <xf numFmtId="0" fontId="0" fillId="0" borderId="35" xfId="0" applyBorder="1" applyAlignment="1">
      <alignment vertical="top"/>
    </xf>
    <xf numFmtId="0" fontId="0" fillId="0" borderId="36" xfId="0" applyBorder="1" applyAlignment="1">
      <alignment vertical="top"/>
    </xf>
    <xf numFmtId="0" fontId="0" fillId="0" borderId="37" xfId="0" applyBorder="1" applyAlignment="1">
      <alignment vertical="top"/>
    </xf>
    <xf numFmtId="0" fontId="8" fillId="0" borderId="0" xfId="0" applyFont="1" applyAlignment="1">
      <alignment horizontal="left"/>
    </xf>
    <xf numFmtId="0" fontId="19" fillId="0" borderId="0" xfId="0" applyFont="1" applyAlignment="1">
      <alignment horizontal="center" vertical="center"/>
    </xf>
    <xf numFmtId="0" fontId="8" fillId="0" borderId="1" xfId="0" applyFont="1" applyBorder="1" applyAlignment="1">
      <alignment horizontal="center" vertical="center"/>
    </xf>
    <xf numFmtId="0" fontId="15" fillId="6" borderId="11" xfId="0" applyFont="1" applyFill="1" applyBorder="1" applyAlignment="1">
      <alignment horizontal="left" vertical="center"/>
    </xf>
    <xf numFmtId="0" fontId="13" fillId="0" borderId="1" xfId="0" applyFont="1" applyBorder="1" applyAlignment="1">
      <alignment horizontal="center" vertical="top" wrapText="1"/>
    </xf>
    <xf numFmtId="0" fontId="21" fillId="0" borderId="1" xfId="0" applyFont="1" applyBorder="1" applyAlignment="1">
      <alignment horizontal="center"/>
    </xf>
    <xf numFmtId="0" fontId="63" fillId="2" borderId="4" xfId="0" applyFont="1" applyFill="1" applyBorder="1" applyAlignment="1">
      <alignment horizontal="center" vertical="center"/>
    </xf>
    <xf numFmtId="0" fontId="10" fillId="0" borderId="11" xfId="0" applyFont="1" applyBorder="1" applyAlignment="1">
      <alignment vertical="center"/>
    </xf>
    <xf numFmtId="0" fontId="10" fillId="0" borderId="1" xfId="0" applyFont="1" applyBorder="1" applyAlignment="1">
      <alignment vertical="center"/>
    </xf>
    <xf numFmtId="0" fontId="10" fillId="0" borderId="1" xfId="0" applyFont="1" applyBorder="1" applyAlignment="1">
      <alignment horizontal="center" vertical="center"/>
    </xf>
    <xf numFmtId="0" fontId="64" fillId="0" borderId="0" xfId="0" applyFont="1"/>
    <xf numFmtId="0" fontId="64" fillId="0" borderId="0" xfId="0" applyFont="1" applyAlignment="1">
      <alignment horizontal="center" vertical="center"/>
    </xf>
    <xf numFmtId="0" fontId="10" fillId="4" borderId="1" xfId="0" applyFont="1" applyFill="1" applyBorder="1" applyAlignment="1">
      <alignment horizontal="center" vertical="center"/>
    </xf>
    <xf numFmtId="0" fontId="66" fillId="0" borderId="0" xfId="0" quotePrefix="1" applyFont="1"/>
    <xf numFmtId="3" fontId="67" fillId="5" borderId="1" xfId="0" applyNumberFormat="1" applyFont="1" applyFill="1" applyBorder="1" applyAlignment="1">
      <alignment horizontal="center" vertical="center"/>
    </xf>
    <xf numFmtId="0" fontId="66" fillId="0" borderId="0" xfId="0" applyFont="1"/>
    <xf numFmtId="0" fontId="68" fillId="0" borderId="0" xfId="0" applyFont="1"/>
    <xf numFmtId="0" fontId="0" fillId="0" borderId="3" xfId="0" applyBorder="1" applyAlignment="1">
      <alignment wrapText="1"/>
    </xf>
    <xf numFmtId="0" fontId="25" fillId="0" borderId="0" xfId="0" applyFont="1" applyAlignment="1">
      <alignment vertical="center"/>
    </xf>
    <xf numFmtId="0" fontId="3" fillId="0" borderId="13" xfId="0" applyFont="1" applyBorder="1" applyAlignment="1">
      <alignment horizontal="center" vertical="center"/>
    </xf>
    <xf numFmtId="0" fontId="15" fillId="0" borderId="1" xfId="0" applyFont="1" applyBorder="1" applyAlignment="1">
      <alignment horizontal="center" vertical="center"/>
    </xf>
    <xf numFmtId="0" fontId="19" fillId="0" borderId="0" xfId="0" applyFont="1"/>
    <xf numFmtId="0" fontId="15" fillId="0" borderId="14" xfId="0" applyFont="1" applyBorder="1" applyAlignment="1">
      <alignment horizontal="center" vertical="center"/>
    </xf>
    <xf numFmtId="0" fontId="55" fillId="0" borderId="0" xfId="0" applyFont="1" applyAlignment="1">
      <alignment vertical="center"/>
    </xf>
    <xf numFmtId="0" fontId="3" fillId="0" borderId="10" xfId="0" applyFont="1" applyBorder="1" applyAlignment="1">
      <alignment horizontal="center" vertical="center"/>
    </xf>
    <xf numFmtId="0" fontId="3" fillId="0" borderId="11" xfId="0" applyFont="1" applyBorder="1" applyAlignment="1">
      <alignment horizontal="center" vertical="center"/>
    </xf>
    <xf numFmtId="0" fontId="70" fillId="0" borderId="1" xfId="0" applyFont="1" applyBorder="1" applyAlignment="1">
      <alignment horizontal="center" vertical="center"/>
    </xf>
    <xf numFmtId="10" fontId="3" fillId="0" borderId="12" xfId="3" applyNumberFormat="1" applyFont="1" applyBorder="1"/>
    <xf numFmtId="0" fontId="3" fillId="0" borderId="10" xfId="0" applyFont="1" applyBorder="1" applyAlignment="1">
      <alignment horizontal="left" vertical="top"/>
    </xf>
    <xf numFmtId="0" fontId="3" fillId="0" borderId="12" xfId="0" applyFont="1" applyBorder="1" applyAlignment="1">
      <alignment horizontal="left" vertical="top"/>
    </xf>
    <xf numFmtId="0" fontId="0" fillId="0" borderId="34" xfId="0" applyBorder="1"/>
    <xf numFmtId="0" fontId="0" fillId="0" borderId="34" xfId="0" applyBorder="1" applyAlignment="1">
      <alignment wrapText="1"/>
    </xf>
    <xf numFmtId="0" fontId="0" fillId="0" borderId="35" xfId="0" applyBorder="1"/>
    <xf numFmtId="3" fontId="0" fillId="0" borderId="32" xfId="0" applyNumberFormat="1" applyBorder="1"/>
    <xf numFmtId="3" fontId="0" fillId="0" borderId="28" xfId="0" applyNumberFormat="1" applyBorder="1"/>
    <xf numFmtId="0" fontId="0" fillId="0" borderId="37" xfId="0" applyBorder="1"/>
    <xf numFmtId="0" fontId="0" fillId="0" borderId="37" xfId="0" applyBorder="1" applyAlignment="1">
      <alignment wrapText="1"/>
    </xf>
    <xf numFmtId="3" fontId="0" fillId="0" borderId="38" xfId="0" applyNumberFormat="1" applyBorder="1"/>
    <xf numFmtId="0" fontId="0" fillId="0" borderId="29" xfId="0" applyBorder="1"/>
    <xf numFmtId="0" fontId="0" fillId="0" borderId="33" xfId="0" applyBorder="1"/>
    <xf numFmtId="0" fontId="0" fillId="0" borderId="33" xfId="0" applyBorder="1" applyAlignment="1">
      <alignment wrapText="1"/>
    </xf>
    <xf numFmtId="3" fontId="0" fillId="0" borderId="30" xfId="0" applyNumberFormat="1" applyBorder="1"/>
    <xf numFmtId="0" fontId="0" fillId="0" borderId="27" xfId="0" applyBorder="1"/>
    <xf numFmtId="0" fontId="0" fillId="0" borderId="36" xfId="0" applyBorder="1"/>
    <xf numFmtId="0" fontId="2" fillId="0" borderId="6" xfId="0" applyFont="1" applyBorder="1"/>
    <xf numFmtId="0" fontId="2" fillId="0" borderId="9" xfId="0" applyFont="1" applyBorder="1"/>
    <xf numFmtId="3" fontId="0" fillId="0" borderId="9" xfId="0" applyNumberFormat="1" applyBorder="1"/>
    <xf numFmtId="164" fontId="2" fillId="0" borderId="9" xfId="1" applyNumberFormat="1" applyFont="1" applyBorder="1"/>
    <xf numFmtId="0" fontId="2" fillId="0" borderId="7" xfId="0" applyFont="1" applyBorder="1"/>
    <xf numFmtId="0" fontId="2" fillId="0" borderId="35" xfId="0" applyFont="1" applyBorder="1"/>
    <xf numFmtId="3" fontId="0" fillId="0" borderId="35" xfId="0" applyNumberFormat="1" applyBorder="1"/>
    <xf numFmtId="164" fontId="2" fillId="0" borderId="35" xfId="1" applyNumberFormat="1" applyFont="1" applyBorder="1"/>
    <xf numFmtId="0" fontId="3" fillId="0" borderId="3" xfId="0" applyFont="1" applyBorder="1"/>
    <xf numFmtId="0" fontId="2" fillId="0" borderId="32" xfId="0" applyFont="1" applyBorder="1"/>
    <xf numFmtId="0" fontId="2" fillId="0" borderId="2" xfId="0" applyFont="1" applyBorder="1"/>
    <xf numFmtId="3" fontId="0" fillId="0" borderId="8" xfId="0" applyNumberFormat="1" applyBorder="1"/>
    <xf numFmtId="164" fontId="2" fillId="0" borderId="8" xfId="1" applyNumberFormat="1" applyFont="1" applyBorder="1"/>
    <xf numFmtId="0" fontId="2" fillId="0" borderId="31" xfId="0" applyFont="1" applyBorder="1"/>
    <xf numFmtId="0" fontId="33" fillId="0" borderId="31" xfId="0" applyFont="1" applyBorder="1"/>
    <xf numFmtId="0" fontId="33" fillId="0" borderId="35" xfId="0" applyFont="1" applyBorder="1"/>
    <xf numFmtId="3" fontId="33" fillId="0" borderId="35" xfId="0" applyNumberFormat="1" applyFont="1" applyBorder="1"/>
    <xf numFmtId="164" fontId="33" fillId="0" borderId="35" xfId="1" applyNumberFormat="1" applyFont="1" applyBorder="1"/>
    <xf numFmtId="0" fontId="33" fillId="0" borderId="32" xfId="0" applyFont="1" applyBorder="1"/>
    <xf numFmtId="0" fontId="0" fillId="0" borderId="12" xfId="0" applyBorder="1"/>
    <xf numFmtId="3" fontId="2" fillId="0" borderId="12" xfId="0" applyNumberFormat="1" applyFont="1" applyBorder="1"/>
    <xf numFmtId="0" fontId="3" fillId="0" borderId="12" xfId="0" applyFont="1" applyBorder="1" applyAlignment="1">
      <alignment horizontal="right"/>
    </xf>
    <xf numFmtId="0" fontId="0" fillId="0" borderId="0" xfId="0" applyAlignment="1">
      <alignment horizontal="right" vertical="center"/>
    </xf>
    <xf numFmtId="3" fontId="3" fillId="0" borderId="12" xfId="0" applyNumberFormat="1" applyFont="1" applyBorder="1" applyAlignment="1">
      <alignment horizontal="right"/>
    </xf>
    <xf numFmtId="0" fontId="0" fillId="0" borderId="23" xfId="0" applyBorder="1"/>
    <xf numFmtId="3" fontId="0" fillId="0" borderId="12" xfId="0" applyNumberFormat="1" applyBorder="1"/>
    <xf numFmtId="3" fontId="0" fillId="0" borderId="22" xfId="0" applyNumberFormat="1" applyBorder="1"/>
    <xf numFmtId="0" fontId="0" fillId="0" borderId="16" xfId="0" applyBorder="1"/>
    <xf numFmtId="0" fontId="0" fillId="0" borderId="10" xfId="0" applyBorder="1"/>
    <xf numFmtId="3" fontId="0" fillId="0" borderId="11" xfId="0" applyNumberFormat="1" applyBorder="1"/>
    <xf numFmtId="4" fontId="0" fillId="0" borderId="12" xfId="0" applyNumberFormat="1" applyBorder="1"/>
    <xf numFmtId="4" fontId="0" fillId="0" borderId="11" xfId="0" applyNumberFormat="1" applyBorder="1"/>
    <xf numFmtId="0" fontId="0" fillId="0" borderId="35" xfId="0" applyBorder="1" applyAlignment="1">
      <alignment wrapText="1"/>
    </xf>
    <xf numFmtId="0" fontId="0" fillId="0" borderId="31" xfId="0" applyBorder="1"/>
    <xf numFmtId="0" fontId="0" fillId="0" borderId="38" xfId="0" applyBorder="1" applyAlignment="1">
      <alignment wrapText="1"/>
    </xf>
    <xf numFmtId="0" fontId="0" fillId="0" borderId="33" xfId="0" applyBorder="1" applyAlignment="1">
      <alignment horizontal="center"/>
    </xf>
    <xf numFmtId="0" fontId="0" fillId="0" borderId="35" xfId="0" applyBorder="1" applyAlignment="1">
      <alignment horizontal="center"/>
    </xf>
    <xf numFmtId="0" fontId="0" fillId="0" borderId="37" xfId="0" applyBorder="1" applyAlignment="1">
      <alignment horizontal="center"/>
    </xf>
    <xf numFmtId="0" fontId="54" fillId="0" borderId="10" xfId="0" applyFont="1" applyBorder="1"/>
    <xf numFmtId="0" fontId="54" fillId="0" borderId="12" xfId="0" applyFont="1" applyBorder="1" applyAlignment="1">
      <alignment horizontal="center"/>
    </xf>
    <xf numFmtId="3" fontId="54" fillId="0" borderId="12" xfId="0" applyNumberFormat="1" applyFont="1" applyBorder="1" applyAlignment="1">
      <alignment wrapText="1"/>
    </xf>
    <xf numFmtId="0" fontId="15" fillId="0" borderId="0" xfId="0" applyFont="1" applyAlignment="1">
      <alignment horizontal="left"/>
    </xf>
    <xf numFmtId="0" fontId="0" fillId="11" borderId="12" xfId="0" applyFill="1" applyBorder="1" applyAlignment="1">
      <alignment wrapText="1"/>
    </xf>
    <xf numFmtId="0" fontId="0" fillId="11" borderId="11" xfId="0" applyFill="1" applyBorder="1" applyAlignment="1">
      <alignment wrapText="1"/>
    </xf>
    <xf numFmtId="0" fontId="0" fillId="10" borderId="12" xfId="0" applyFill="1" applyBorder="1" applyAlignment="1">
      <alignment wrapText="1"/>
    </xf>
    <xf numFmtId="0" fontId="0" fillId="10" borderId="11" xfId="0" applyFill="1" applyBorder="1" applyAlignment="1">
      <alignment wrapText="1"/>
    </xf>
    <xf numFmtId="0" fontId="0" fillId="10" borderId="10" xfId="0" applyFill="1" applyBorder="1" applyAlignment="1">
      <alignment vertical="center"/>
    </xf>
    <xf numFmtId="0" fontId="0" fillId="10" borderId="12" xfId="0" applyFill="1" applyBorder="1" applyAlignment="1">
      <alignment vertical="center"/>
    </xf>
    <xf numFmtId="0" fontId="0" fillId="11" borderId="10" xfId="0" applyFill="1" applyBorder="1" applyAlignment="1">
      <alignment vertical="center"/>
    </xf>
    <xf numFmtId="0" fontId="0" fillId="11" borderId="12" xfId="0" applyFill="1" applyBorder="1" applyAlignment="1">
      <alignment vertical="center"/>
    </xf>
    <xf numFmtId="0" fontId="0" fillId="0" borderId="35" xfId="0" quotePrefix="1" applyBorder="1"/>
    <xf numFmtId="0" fontId="0" fillId="0" borderId="34" xfId="0" quotePrefix="1" applyBorder="1"/>
    <xf numFmtId="0" fontId="0" fillId="0" borderId="33" xfId="0" quotePrefix="1" applyBorder="1"/>
    <xf numFmtId="0" fontId="0" fillId="0" borderId="9" xfId="0" quotePrefix="1" applyBorder="1"/>
    <xf numFmtId="0" fontId="0" fillId="0" borderId="9" xfId="0" applyBorder="1" applyAlignment="1">
      <alignment wrapText="1"/>
    </xf>
    <xf numFmtId="9" fontId="0" fillId="0" borderId="35" xfId="0" applyNumberFormat="1" applyBorder="1"/>
    <xf numFmtId="9" fontId="0" fillId="0" borderId="8" xfId="0" applyNumberFormat="1" applyBorder="1"/>
    <xf numFmtId="0" fontId="0" fillId="0" borderId="32" xfId="0" applyBorder="1"/>
    <xf numFmtId="9" fontId="0" fillId="0" borderId="37" xfId="0" applyNumberFormat="1" applyBorder="1"/>
    <xf numFmtId="0" fontId="0" fillId="0" borderId="38" xfId="0" applyBorder="1"/>
    <xf numFmtId="9" fontId="0" fillId="0" borderId="35" xfId="0" applyNumberFormat="1" applyBorder="1" applyAlignment="1">
      <alignment horizontal="right"/>
    </xf>
    <xf numFmtId="9" fontId="0" fillId="0" borderId="37" xfId="0" applyNumberFormat="1" applyBorder="1" applyAlignment="1">
      <alignment horizontal="right"/>
    </xf>
    <xf numFmtId="3" fontId="0" fillId="0" borderId="5" xfId="0" applyNumberFormat="1" applyBorder="1"/>
    <xf numFmtId="3" fontId="0" fillId="0" borderId="37" xfId="0" applyNumberFormat="1" applyBorder="1"/>
    <xf numFmtId="3" fontId="0" fillId="0" borderId="4" xfId="0" applyNumberFormat="1" applyBorder="1"/>
    <xf numFmtId="3" fontId="0" fillId="0" borderId="31" xfId="0" applyNumberFormat="1" applyBorder="1"/>
    <xf numFmtId="3" fontId="0" fillId="0" borderId="36" xfId="0" applyNumberFormat="1" applyBorder="1"/>
    <xf numFmtId="3" fontId="54" fillId="0" borderId="12" xfId="0" applyNumberFormat="1" applyFont="1" applyBorder="1"/>
    <xf numFmtId="3" fontId="54" fillId="0" borderId="11" xfId="0" applyNumberFormat="1" applyFont="1" applyBorder="1"/>
    <xf numFmtId="0" fontId="0" fillId="0" borderId="30" xfId="0" applyBorder="1"/>
    <xf numFmtId="0" fontId="0" fillId="0" borderId="28" xfId="0" applyBorder="1"/>
    <xf numFmtId="0" fontId="71" fillId="4" borderId="1" xfId="0" applyFont="1" applyFill="1" applyBorder="1" applyAlignment="1">
      <alignment horizontal="center" vertical="center" wrapText="1"/>
    </xf>
    <xf numFmtId="0" fontId="17" fillId="0" borderId="0" xfId="0" applyFont="1" applyAlignment="1">
      <alignment vertical="center"/>
    </xf>
    <xf numFmtId="0" fontId="4" fillId="0" borderId="0" xfId="2" applyFill="1"/>
    <xf numFmtId="0" fontId="72" fillId="0" borderId="0" xfId="0" applyFont="1" applyAlignment="1">
      <alignment horizontal="left"/>
    </xf>
    <xf numFmtId="0" fontId="73" fillId="0" borderId="0" xfId="0" applyFont="1" applyAlignment="1">
      <alignment horizontal="left" vertical="center"/>
    </xf>
    <xf numFmtId="0" fontId="74" fillId="4" borderId="1" xfId="0" applyFont="1" applyFill="1" applyBorder="1" applyAlignment="1">
      <alignment horizontal="center" vertical="center" wrapText="1"/>
    </xf>
    <xf numFmtId="0" fontId="19" fillId="0" borderId="13" xfId="0" applyFont="1" applyBorder="1" applyAlignment="1">
      <alignment horizontal="left" vertical="center" textRotation="90"/>
    </xf>
    <xf numFmtId="0" fontId="19" fillId="0" borderId="15" xfId="0" applyFont="1" applyBorder="1" applyAlignment="1">
      <alignment horizontal="left" vertical="center" textRotation="90"/>
    </xf>
    <xf numFmtId="0" fontId="19" fillId="0" borderId="14" xfId="0" applyFont="1" applyBorder="1" applyAlignment="1">
      <alignment horizontal="left" vertical="center" textRotation="90"/>
    </xf>
    <xf numFmtId="0" fontId="19" fillId="0" borderId="2" xfId="0" applyFont="1" applyBorder="1" applyAlignment="1">
      <alignment horizontal="left" vertical="center" textRotation="90"/>
    </xf>
    <xf numFmtId="0" fontId="19" fillId="0" borderId="4" xfId="0" applyFont="1" applyBorder="1" applyAlignment="1">
      <alignment horizontal="left" vertical="center" textRotation="90"/>
    </xf>
    <xf numFmtId="0" fontId="3" fillId="0" borderId="8" xfId="0" applyFont="1" applyBorder="1" applyAlignment="1">
      <alignment horizontal="center"/>
    </xf>
    <xf numFmtId="3" fontId="43" fillId="5" borderId="13" xfId="0" applyNumberFormat="1" applyFont="1" applyFill="1" applyBorder="1" applyAlignment="1">
      <alignment horizontal="center" vertical="center"/>
    </xf>
    <xf numFmtId="3" fontId="43" fillId="5" borderId="14" xfId="0" applyNumberFormat="1" applyFont="1" applyFill="1" applyBorder="1" applyAlignment="1">
      <alignment horizontal="center" vertical="center"/>
    </xf>
    <xf numFmtId="0" fontId="34" fillId="0" borderId="10" xfId="0" applyFont="1" applyBorder="1" applyAlignment="1">
      <alignment horizontal="center" vertical="center"/>
    </xf>
    <xf numFmtId="0" fontId="34" fillId="0" borderId="11" xfId="0" applyFont="1" applyBorder="1" applyAlignment="1">
      <alignment horizontal="center" vertical="center"/>
    </xf>
    <xf numFmtId="0" fontId="36" fillId="0" borderId="10" xfId="0" applyFont="1" applyBorder="1" applyAlignment="1">
      <alignment horizontal="center"/>
    </xf>
    <xf numFmtId="0" fontId="36" fillId="0" borderId="12" xfId="0" applyFont="1" applyBorder="1" applyAlignment="1">
      <alignment horizontal="center"/>
    </xf>
    <xf numFmtId="0" fontId="36" fillId="0" borderId="11" xfId="0" applyFont="1" applyBorder="1" applyAlignment="1">
      <alignment horizontal="center"/>
    </xf>
    <xf numFmtId="0" fontId="36" fillId="3" borderId="10" xfId="0" applyFont="1" applyFill="1" applyBorder="1" applyAlignment="1">
      <alignment horizontal="center"/>
    </xf>
    <xf numFmtId="0" fontId="36" fillId="3" borderId="12" xfId="0" applyFont="1" applyFill="1" applyBorder="1" applyAlignment="1">
      <alignment horizontal="center"/>
    </xf>
    <xf numFmtId="0" fontId="36" fillId="3" borderId="11" xfId="0" applyFont="1" applyFill="1" applyBorder="1" applyAlignment="1">
      <alignment horizontal="center"/>
    </xf>
    <xf numFmtId="0" fontId="37" fillId="2" borderId="4" xfId="0" applyFont="1" applyFill="1" applyBorder="1" applyAlignment="1">
      <alignment horizontal="center"/>
    </xf>
    <xf numFmtId="0" fontId="37" fillId="2" borderId="0" xfId="0" applyFont="1" applyFill="1" applyAlignment="1">
      <alignment horizontal="center"/>
    </xf>
    <xf numFmtId="0" fontId="39" fillId="0" borderId="2" xfId="0" applyFont="1" applyBorder="1" applyAlignment="1">
      <alignment horizontal="center" vertical="top" wrapText="1"/>
    </xf>
    <xf numFmtId="0" fontId="39" fillId="0" borderId="8" xfId="0" applyFont="1" applyBorder="1" applyAlignment="1">
      <alignment horizontal="center" vertical="top" wrapText="1"/>
    </xf>
    <xf numFmtId="0" fontId="39" fillId="0" borderId="3" xfId="0" applyFont="1" applyBorder="1" applyAlignment="1">
      <alignment horizontal="center" vertical="top" wrapText="1"/>
    </xf>
    <xf numFmtId="0" fontId="39" fillId="0" borderId="4" xfId="0" applyFont="1" applyBorder="1" applyAlignment="1">
      <alignment horizontal="center" vertical="top" wrapText="1"/>
    </xf>
    <xf numFmtId="0" fontId="39" fillId="0" borderId="0" xfId="0" applyFont="1" applyAlignment="1">
      <alignment horizontal="center" vertical="top" wrapText="1"/>
    </xf>
    <xf numFmtId="0" fontId="39" fillId="0" borderId="5" xfId="0" applyFont="1" applyBorder="1" applyAlignment="1">
      <alignment horizontal="center" vertical="top" wrapText="1"/>
    </xf>
    <xf numFmtId="0" fontId="39" fillId="0" borderId="6" xfId="0" applyFont="1" applyBorder="1" applyAlignment="1">
      <alignment horizontal="center" vertical="top" wrapText="1"/>
    </xf>
    <xf numFmtId="0" fontId="39" fillId="0" borderId="9" xfId="0" applyFont="1" applyBorder="1" applyAlignment="1">
      <alignment horizontal="center" vertical="top" wrapText="1"/>
    </xf>
    <xf numFmtId="0" fontId="39" fillId="0" borderId="7" xfId="0" applyFont="1" applyBorder="1" applyAlignment="1">
      <alignment horizontal="center" vertical="top" wrapText="1"/>
    </xf>
    <xf numFmtId="0" fontId="40" fillId="0" borderId="10" xfId="0" applyFont="1" applyBorder="1" applyAlignment="1">
      <alignment horizontal="center" vertical="top"/>
    </xf>
    <xf numFmtId="0" fontId="40" fillId="0" borderId="12" xfId="0" applyFont="1" applyBorder="1" applyAlignment="1">
      <alignment horizontal="center" vertical="top"/>
    </xf>
    <xf numFmtId="0" fontId="40" fillId="0" borderId="11" xfId="0" applyFont="1" applyBorder="1" applyAlignment="1">
      <alignment horizontal="center" vertical="top"/>
    </xf>
    <xf numFmtId="0" fontId="41" fillId="0" borderId="0" xfId="0" applyFont="1" applyAlignment="1">
      <alignment horizontal="center" vertical="center"/>
    </xf>
    <xf numFmtId="0" fontId="42" fillId="4" borderId="13" xfId="0" applyFont="1" applyFill="1" applyBorder="1" applyAlignment="1">
      <alignment horizontal="center" vertical="center"/>
    </xf>
    <xf numFmtId="0" fontId="42" fillId="4" borderId="15" xfId="0" applyFont="1" applyFill="1" applyBorder="1" applyAlignment="1">
      <alignment horizontal="center" vertical="center"/>
    </xf>
    <xf numFmtId="0" fontId="42" fillId="4" borderId="14" xfId="0" applyFont="1" applyFill="1" applyBorder="1" applyAlignment="1">
      <alignment horizontal="center" vertical="center"/>
    </xf>
    <xf numFmtId="0" fontId="35" fillId="0" borderId="10" xfId="0" applyFont="1" applyBorder="1" applyAlignment="1">
      <alignment horizontal="center" vertical="top" wrapText="1"/>
    </xf>
    <xf numFmtId="0" fontId="35" fillId="0" borderId="12" xfId="0" applyFont="1" applyBorder="1" applyAlignment="1">
      <alignment horizontal="center" vertical="top" wrapText="1"/>
    </xf>
    <xf numFmtId="0" fontId="35" fillId="0" borderId="11" xfId="0" applyFont="1" applyBorder="1" applyAlignment="1">
      <alignment horizontal="center" vertical="top" wrapText="1"/>
    </xf>
    <xf numFmtId="0" fontId="45" fillId="0" borderId="0" xfId="0" applyFont="1" applyAlignment="1">
      <alignment horizontal="center" vertical="center"/>
    </xf>
    <xf numFmtId="0" fontId="36" fillId="0" borderId="2" xfId="0" applyFont="1" applyBorder="1" applyAlignment="1">
      <alignment horizontal="center"/>
    </xf>
    <xf numFmtId="0" fontId="36" fillId="0" borderId="8" xfId="0" applyFont="1" applyBorder="1" applyAlignment="1">
      <alignment horizontal="center"/>
    </xf>
    <xf numFmtId="0" fontId="36" fillId="0" borderId="3" xfId="0" applyFont="1" applyBorder="1" applyAlignment="1">
      <alignment horizontal="center"/>
    </xf>
    <xf numFmtId="0" fontId="36" fillId="0" borderId="4" xfId="0" applyFont="1" applyBorder="1" applyAlignment="1">
      <alignment horizontal="center"/>
    </xf>
    <xf numFmtId="0" fontId="36" fillId="0" borderId="0" xfId="0" applyFont="1" applyAlignment="1">
      <alignment horizontal="center"/>
    </xf>
    <xf numFmtId="0" fontId="36" fillId="0" borderId="5" xfId="0" applyFont="1" applyBorder="1" applyAlignment="1">
      <alignment horizontal="center"/>
    </xf>
    <xf numFmtId="0" fontId="35" fillId="0" borderId="2" xfId="0" applyFont="1" applyBorder="1" applyAlignment="1">
      <alignment horizontal="center" vertical="top" wrapText="1"/>
    </xf>
    <xf numFmtId="0" fontId="35" fillId="0" borderId="8" xfId="0" applyFont="1" applyBorder="1" applyAlignment="1">
      <alignment horizontal="center" vertical="top" wrapText="1"/>
    </xf>
    <xf numFmtId="0" fontId="35" fillId="0" borderId="3" xfId="0" applyFont="1" applyBorder="1" applyAlignment="1">
      <alignment horizontal="center" vertical="top" wrapText="1"/>
    </xf>
    <xf numFmtId="0" fontId="35" fillId="0" borderId="4" xfId="0" applyFont="1" applyBorder="1" applyAlignment="1">
      <alignment horizontal="center" vertical="top" wrapText="1"/>
    </xf>
    <xf numFmtId="0" fontId="35" fillId="0" borderId="0" xfId="0" applyFont="1" applyAlignment="1">
      <alignment horizontal="center" vertical="top" wrapText="1"/>
    </xf>
    <xf numFmtId="0" fontId="35" fillId="0" borderId="5" xfId="0" applyFont="1" applyBorder="1" applyAlignment="1">
      <alignment horizontal="center" vertical="top" wrapText="1"/>
    </xf>
    <xf numFmtId="0" fontId="35" fillId="0" borderId="6" xfId="0" applyFont="1" applyBorder="1" applyAlignment="1">
      <alignment horizontal="center" vertical="top" wrapText="1"/>
    </xf>
    <xf numFmtId="0" fontId="35" fillId="0" borderId="9" xfId="0" applyFont="1" applyBorder="1" applyAlignment="1">
      <alignment horizontal="center" vertical="top" wrapText="1"/>
    </xf>
    <xf numFmtId="0" fontId="35" fillId="0" borderId="7" xfId="0" applyFont="1" applyBorder="1" applyAlignment="1">
      <alignment horizontal="center" vertical="top" wrapText="1"/>
    </xf>
    <xf numFmtId="0" fontId="37" fillId="7" borderId="10" xfId="0" applyFont="1" applyFill="1" applyBorder="1" applyAlignment="1">
      <alignment horizontal="center"/>
    </xf>
    <xf numFmtId="0" fontId="37" fillId="7" borderId="12" xfId="0" applyFont="1" applyFill="1" applyBorder="1" applyAlignment="1">
      <alignment horizontal="center"/>
    </xf>
    <xf numFmtId="0" fontId="37" fillId="7" borderId="11" xfId="0" applyFont="1" applyFill="1" applyBorder="1" applyAlignment="1">
      <alignment horizontal="center"/>
    </xf>
    <xf numFmtId="0" fontId="47" fillId="6" borderId="10" xfId="0" applyFont="1" applyFill="1" applyBorder="1" applyAlignment="1">
      <alignment horizontal="right" vertical="center"/>
    </xf>
    <xf numFmtId="0" fontId="47" fillId="6" borderId="12" xfId="0" applyFont="1" applyFill="1" applyBorder="1" applyAlignment="1">
      <alignment horizontal="right" vertical="center"/>
    </xf>
    <xf numFmtId="0" fontId="39" fillId="0" borderId="2" xfId="0" applyFont="1" applyBorder="1" applyAlignment="1">
      <alignment horizontal="center" vertical="center" wrapText="1"/>
    </xf>
    <xf numFmtId="0" fontId="39" fillId="0" borderId="8" xfId="0" applyFont="1" applyBorder="1" applyAlignment="1">
      <alignment horizontal="center" vertical="center" wrapText="1"/>
    </xf>
    <xf numFmtId="0" fontId="39" fillId="0" borderId="3" xfId="0" applyFont="1" applyBorder="1" applyAlignment="1">
      <alignment horizontal="center" vertical="center" wrapText="1"/>
    </xf>
    <xf numFmtId="0" fontId="39" fillId="0" borderId="4" xfId="0" applyFont="1" applyBorder="1" applyAlignment="1">
      <alignment horizontal="center" vertical="center" wrapText="1"/>
    </xf>
    <xf numFmtId="0" fontId="39" fillId="0" borderId="0" xfId="0" applyFont="1" applyAlignment="1">
      <alignment horizontal="center" vertical="center" wrapText="1"/>
    </xf>
    <xf numFmtId="0" fontId="39" fillId="0" borderId="5" xfId="0" applyFont="1" applyBorder="1" applyAlignment="1">
      <alignment horizontal="center" vertical="center" wrapText="1"/>
    </xf>
    <xf numFmtId="0" fontId="39" fillId="0" borderId="6" xfId="0" applyFont="1" applyBorder="1" applyAlignment="1">
      <alignment horizontal="center" vertical="center" wrapText="1"/>
    </xf>
    <xf numFmtId="0" fontId="39" fillId="0" borderId="9" xfId="0" applyFont="1" applyBorder="1" applyAlignment="1">
      <alignment horizontal="center" vertical="center" wrapText="1"/>
    </xf>
    <xf numFmtId="0" fontId="39" fillId="0" borderId="7" xfId="0" applyFont="1" applyBorder="1" applyAlignment="1">
      <alignment horizontal="center" vertical="center" wrapText="1"/>
    </xf>
    <xf numFmtId="0" fontId="43" fillId="6" borderId="13" xfId="0" applyFont="1" applyFill="1" applyBorder="1" applyAlignment="1">
      <alignment horizontal="center" vertical="center" wrapText="1"/>
    </xf>
    <xf numFmtId="0" fontId="43" fillId="6" borderId="15" xfId="0" applyFont="1" applyFill="1" applyBorder="1" applyAlignment="1">
      <alignment horizontal="center" vertical="center" wrapText="1"/>
    </xf>
    <xf numFmtId="0" fontId="43" fillId="6" borderId="14" xfId="0" applyFont="1" applyFill="1" applyBorder="1" applyAlignment="1">
      <alignment horizontal="center" vertical="center" wrapText="1"/>
    </xf>
    <xf numFmtId="0" fontId="49" fillId="4" borderId="13" xfId="0" applyFont="1" applyFill="1" applyBorder="1" applyAlignment="1">
      <alignment horizontal="center" vertical="center"/>
    </xf>
    <xf numFmtId="0" fontId="49" fillId="4" borderId="14" xfId="0" applyFont="1" applyFill="1" applyBorder="1" applyAlignment="1">
      <alignment horizontal="center" vertical="center"/>
    </xf>
    <xf numFmtId="0" fontId="49" fillId="4" borderId="10" xfId="0" applyFont="1" applyFill="1" applyBorder="1" applyAlignment="1">
      <alignment horizontal="center" vertical="center"/>
    </xf>
    <xf numFmtId="0" fontId="49" fillId="4" borderId="12" xfId="0" applyFont="1" applyFill="1" applyBorder="1" applyAlignment="1">
      <alignment horizontal="center" vertical="center"/>
    </xf>
    <xf numFmtId="0" fontId="49" fillId="4" borderId="11" xfId="0" applyFont="1" applyFill="1" applyBorder="1" applyAlignment="1">
      <alignment horizontal="center" vertical="center"/>
    </xf>
    <xf numFmtId="0" fontId="35" fillId="0" borderId="2" xfId="0" applyFont="1" applyBorder="1" applyAlignment="1">
      <alignment horizontal="left" vertical="top" wrapText="1"/>
    </xf>
    <xf numFmtId="0" fontId="35" fillId="0" borderId="8" xfId="0" applyFont="1" applyBorder="1" applyAlignment="1">
      <alignment horizontal="left" vertical="top" wrapText="1"/>
    </xf>
    <xf numFmtId="0" fontId="35" fillId="0" borderId="3" xfId="0" applyFont="1" applyBorder="1" applyAlignment="1">
      <alignment horizontal="left" vertical="top" wrapText="1"/>
    </xf>
    <xf numFmtId="0" fontId="35" fillId="0" borderId="4" xfId="0" applyFont="1" applyBorder="1" applyAlignment="1">
      <alignment horizontal="left" vertical="top" wrapText="1"/>
    </xf>
    <xf numFmtId="0" fontId="35" fillId="0" borderId="0" xfId="0" applyFont="1" applyAlignment="1">
      <alignment horizontal="left" vertical="top" wrapText="1"/>
    </xf>
    <xf numFmtId="0" fontId="35" fillId="0" borderId="5" xfId="0" applyFont="1" applyBorder="1" applyAlignment="1">
      <alignment horizontal="left" vertical="top" wrapText="1"/>
    </xf>
    <xf numFmtId="0" fontId="35" fillId="0" borderId="6" xfId="0" applyFont="1" applyBorder="1" applyAlignment="1">
      <alignment horizontal="left" vertical="top" wrapText="1"/>
    </xf>
    <xf numFmtId="0" fontId="35" fillId="0" borderId="9" xfId="0" applyFont="1" applyBorder="1" applyAlignment="1">
      <alignment horizontal="left" vertical="top" wrapText="1"/>
    </xf>
    <xf numFmtId="0" fontId="35" fillId="0" borderId="7" xfId="0" applyFont="1" applyBorder="1" applyAlignment="1">
      <alignment horizontal="left" vertical="top" wrapText="1"/>
    </xf>
    <xf numFmtId="0" fontId="51" fillId="0" borderId="0" xfId="0" applyFont="1" applyAlignment="1">
      <alignment horizontal="center" vertical="center" wrapText="1"/>
    </xf>
    <xf numFmtId="0" fontId="51" fillId="0" borderId="5" xfId="0" applyFont="1" applyBorder="1" applyAlignment="1">
      <alignment horizontal="center" vertical="center" wrapText="1"/>
    </xf>
    <xf numFmtId="0" fontId="40" fillId="4" borderId="10" xfId="0" applyFont="1" applyFill="1" applyBorder="1" applyAlignment="1">
      <alignment horizontal="center" vertical="center" wrapText="1"/>
    </xf>
    <xf numFmtId="0" fontId="40" fillId="4" borderId="12" xfId="0" applyFont="1" applyFill="1" applyBorder="1" applyAlignment="1">
      <alignment horizontal="center" vertical="center" wrapText="1"/>
    </xf>
    <xf numFmtId="0" fontId="40" fillId="4" borderId="11" xfId="0" applyFont="1" applyFill="1" applyBorder="1" applyAlignment="1">
      <alignment horizontal="center" vertical="center" wrapText="1"/>
    </xf>
    <xf numFmtId="0" fontId="37" fillId="2" borderId="0" xfId="0" applyFont="1" applyFill="1" applyAlignment="1">
      <alignment horizontal="center" vertical="center"/>
    </xf>
    <xf numFmtId="0" fontId="40" fillId="4" borderId="2" xfId="0" applyFont="1" applyFill="1" applyBorder="1" applyAlignment="1">
      <alignment horizontal="center" vertical="center" wrapText="1"/>
    </xf>
    <xf numFmtId="0" fontId="40" fillId="4" borderId="8" xfId="0" applyFont="1" applyFill="1" applyBorder="1" applyAlignment="1">
      <alignment horizontal="center" vertical="center" wrapText="1"/>
    </xf>
    <xf numFmtId="0" fontId="40" fillId="4" borderId="3" xfId="0" applyFont="1" applyFill="1" applyBorder="1" applyAlignment="1">
      <alignment horizontal="center" vertical="center" wrapText="1"/>
    </xf>
    <xf numFmtId="0" fontId="40" fillId="4" borderId="4" xfId="0" applyFont="1" applyFill="1" applyBorder="1" applyAlignment="1">
      <alignment horizontal="center" vertical="center" wrapText="1"/>
    </xf>
    <xf numFmtId="0" fontId="40" fillId="4" borderId="0" xfId="0" applyFont="1" applyFill="1" applyAlignment="1">
      <alignment horizontal="center" vertical="center" wrapText="1"/>
    </xf>
    <xf numFmtId="0" fontId="40" fillId="4" borderId="5" xfId="0" applyFont="1" applyFill="1" applyBorder="1" applyAlignment="1">
      <alignment horizontal="center" vertical="center" wrapText="1"/>
    </xf>
    <xf numFmtId="0" fontId="40" fillId="4" borderId="6" xfId="0" applyFont="1" applyFill="1" applyBorder="1" applyAlignment="1">
      <alignment horizontal="center" vertical="center" wrapText="1"/>
    </xf>
    <xf numFmtId="0" fontId="40" fillId="4" borderId="9" xfId="0" applyFont="1" applyFill="1" applyBorder="1" applyAlignment="1">
      <alignment horizontal="center" vertical="center" wrapText="1"/>
    </xf>
    <xf numFmtId="0" fontId="40" fillId="4" borderId="7" xfId="0" applyFont="1" applyFill="1" applyBorder="1" applyAlignment="1">
      <alignment horizontal="center" vertical="center" wrapText="1"/>
    </xf>
    <xf numFmtId="0" fontId="51" fillId="0" borderId="0" xfId="0" applyFont="1" applyAlignment="1">
      <alignment horizontal="center" vertical="center"/>
    </xf>
    <xf numFmtId="0" fontId="49" fillId="4" borderId="2" xfId="0" applyFont="1" applyFill="1" applyBorder="1" applyAlignment="1">
      <alignment horizontal="center" vertical="center"/>
    </xf>
    <xf numFmtId="0" fontId="49" fillId="4" borderId="8" xfId="0" applyFont="1" applyFill="1" applyBorder="1" applyAlignment="1">
      <alignment horizontal="center" vertical="center"/>
    </xf>
    <xf numFmtId="0" fontId="49" fillId="4" borderId="3" xfId="0" applyFont="1" applyFill="1" applyBorder="1" applyAlignment="1">
      <alignment horizontal="center" vertical="center"/>
    </xf>
    <xf numFmtId="0" fontId="49" fillId="4" borderId="6" xfId="0" applyFont="1" applyFill="1" applyBorder="1" applyAlignment="1">
      <alignment horizontal="center" vertical="center"/>
    </xf>
    <xf numFmtId="0" fontId="49" fillId="4" borderId="9" xfId="0" applyFont="1" applyFill="1" applyBorder="1" applyAlignment="1">
      <alignment horizontal="center" vertical="center"/>
    </xf>
    <xf numFmtId="0" fontId="49" fillId="4" borderId="7" xfId="0" applyFont="1" applyFill="1" applyBorder="1" applyAlignment="1">
      <alignment horizontal="center" vertical="center"/>
    </xf>
    <xf numFmtId="0" fontId="22" fillId="2" borderId="4" xfId="0" applyFont="1" applyFill="1" applyBorder="1" applyAlignment="1">
      <alignment horizontal="center"/>
    </xf>
    <xf numFmtId="0" fontId="22" fillId="2" borderId="0" xfId="0" applyFont="1" applyFill="1" applyAlignment="1">
      <alignment horizontal="center"/>
    </xf>
    <xf numFmtId="0" fontId="8" fillId="0" borderId="2" xfId="0" applyFont="1" applyBorder="1" applyAlignment="1">
      <alignment horizontal="center" vertical="top" wrapText="1"/>
    </xf>
    <xf numFmtId="0" fontId="8" fillId="0" borderId="8" xfId="0" applyFont="1" applyBorder="1" applyAlignment="1">
      <alignment horizontal="center" vertical="top" wrapText="1"/>
    </xf>
    <xf numFmtId="0" fontId="8" fillId="0" borderId="3" xfId="0" applyFont="1" applyBorder="1" applyAlignment="1">
      <alignment horizontal="center" vertical="top" wrapText="1"/>
    </xf>
    <xf numFmtId="0" fontId="8" fillId="0" borderId="4" xfId="0" applyFont="1" applyBorder="1" applyAlignment="1">
      <alignment horizontal="center" vertical="top" wrapText="1"/>
    </xf>
    <xf numFmtId="0" fontId="8" fillId="0" borderId="0" xfId="0" applyFont="1" applyAlignment="1">
      <alignment horizontal="center" vertical="top" wrapText="1"/>
    </xf>
    <xf numFmtId="0" fontId="8" fillId="0" borderId="5" xfId="0" applyFont="1" applyBorder="1" applyAlignment="1">
      <alignment horizontal="center" vertical="top" wrapText="1"/>
    </xf>
    <xf numFmtId="0" fontId="8" fillId="0" borderId="6" xfId="0" applyFont="1" applyBorder="1" applyAlignment="1">
      <alignment horizontal="center" vertical="top" wrapText="1"/>
    </xf>
    <xf numFmtId="0" fontId="8" fillId="0" borderId="9" xfId="0" applyFont="1" applyBorder="1" applyAlignment="1">
      <alignment horizontal="center" vertical="top" wrapText="1"/>
    </xf>
    <xf numFmtId="0" fontId="8" fillId="0" borderId="7" xfId="0" applyFont="1" applyBorder="1" applyAlignment="1">
      <alignment horizontal="center" vertical="top" wrapText="1"/>
    </xf>
    <xf numFmtId="0" fontId="21" fillId="0" borderId="10" xfId="0" applyFont="1" applyBorder="1" applyAlignment="1">
      <alignment horizontal="center" vertical="center"/>
    </xf>
    <xf numFmtId="0" fontId="21" fillId="0" borderId="11" xfId="0" applyFont="1" applyBorder="1" applyAlignment="1">
      <alignment horizontal="center" vertical="center"/>
    </xf>
    <xf numFmtId="0" fontId="21" fillId="0" borderId="10" xfId="0" applyFont="1" applyBorder="1" applyAlignment="1">
      <alignment horizontal="center"/>
    </xf>
    <xf numFmtId="0" fontId="21" fillId="0" borderId="12" xfId="0" applyFont="1" applyBorder="1" applyAlignment="1">
      <alignment horizontal="center"/>
    </xf>
    <xf numFmtId="0" fontId="21" fillId="0" borderId="11" xfId="0" applyFont="1" applyBorder="1" applyAlignment="1">
      <alignment horizontal="center"/>
    </xf>
    <xf numFmtId="0" fontId="11" fillId="0" borderId="0" xfId="0" applyFont="1" applyAlignment="1">
      <alignment horizontal="center" vertical="center"/>
    </xf>
    <xf numFmtId="0" fontId="58" fillId="4" borderId="13" xfId="0" applyFont="1" applyFill="1" applyBorder="1" applyAlignment="1">
      <alignment horizontal="center" vertical="center"/>
    </xf>
    <xf numFmtId="0" fontId="58" fillId="4" borderId="15" xfId="0" applyFont="1" applyFill="1" applyBorder="1" applyAlignment="1">
      <alignment horizontal="center" vertical="center"/>
    </xf>
    <xf numFmtId="0" fontId="58" fillId="4" borderId="14" xfId="0" applyFont="1" applyFill="1" applyBorder="1" applyAlignment="1">
      <alignment horizontal="center" vertical="center"/>
    </xf>
    <xf numFmtId="0" fontId="27" fillId="6" borderId="10" xfId="0" applyFont="1" applyFill="1" applyBorder="1" applyAlignment="1">
      <alignment horizontal="right" vertical="center"/>
    </xf>
    <xf numFmtId="0" fontId="27" fillId="6" borderId="12" xfId="0" applyFont="1" applyFill="1" applyBorder="1" applyAlignment="1">
      <alignment horizontal="right" vertical="center"/>
    </xf>
    <xf numFmtId="0" fontId="20" fillId="0" borderId="0" xfId="0" applyFont="1" applyAlignment="1">
      <alignment horizontal="center" vertical="center"/>
    </xf>
    <xf numFmtId="0" fontId="21" fillId="0" borderId="2" xfId="0" applyFont="1" applyBorder="1" applyAlignment="1">
      <alignment horizontal="center"/>
    </xf>
    <xf numFmtId="0" fontId="21" fillId="0" borderId="8" xfId="0" applyFont="1" applyBorder="1" applyAlignment="1">
      <alignment horizontal="center"/>
    </xf>
    <xf numFmtId="0" fontId="21" fillId="0" borderId="3" xfId="0" applyFont="1" applyBorder="1" applyAlignment="1">
      <alignment horizontal="center"/>
    </xf>
    <xf numFmtId="0" fontId="21" fillId="0" borderId="4" xfId="0" applyFont="1" applyBorder="1" applyAlignment="1">
      <alignment horizontal="center"/>
    </xf>
    <xf numFmtId="0" fontId="21" fillId="0" borderId="0" xfId="0" applyFont="1" applyAlignment="1">
      <alignment horizontal="center"/>
    </xf>
    <xf numFmtId="0" fontId="21" fillId="0" borderId="5" xfId="0" applyFont="1" applyBorder="1" applyAlignment="1">
      <alignment horizontal="center"/>
    </xf>
    <xf numFmtId="0" fontId="57" fillId="0" borderId="2" xfId="0" applyFont="1" applyBorder="1" applyAlignment="1">
      <alignment horizontal="center" vertical="top" wrapText="1"/>
    </xf>
    <xf numFmtId="0" fontId="57" fillId="0" borderId="8" xfId="0" applyFont="1" applyBorder="1" applyAlignment="1">
      <alignment horizontal="center" vertical="top" wrapText="1"/>
    </xf>
    <xf numFmtId="0" fontId="57" fillId="0" borderId="3" xfId="0" applyFont="1" applyBorder="1" applyAlignment="1">
      <alignment horizontal="center" vertical="top" wrapText="1"/>
    </xf>
    <xf numFmtId="0" fontId="57" fillId="0" borderId="4" xfId="0" applyFont="1" applyBorder="1" applyAlignment="1">
      <alignment horizontal="center" vertical="top" wrapText="1"/>
    </xf>
    <xf numFmtId="0" fontId="57" fillId="0" borderId="0" xfId="0" applyFont="1" applyAlignment="1">
      <alignment horizontal="center" vertical="top" wrapText="1"/>
    </xf>
    <xf numFmtId="0" fontId="57" fillId="0" borderId="5" xfId="0" applyFont="1" applyBorder="1" applyAlignment="1">
      <alignment horizontal="center" vertical="top" wrapText="1"/>
    </xf>
    <xf numFmtId="0" fontId="57" fillId="0" borderId="6" xfId="0" applyFont="1" applyBorder="1" applyAlignment="1">
      <alignment horizontal="center" vertical="top" wrapText="1"/>
    </xf>
    <xf numFmtId="0" fontId="57" fillId="0" borderId="9" xfId="0" applyFont="1" applyBorder="1" applyAlignment="1">
      <alignment horizontal="center" vertical="top" wrapText="1"/>
    </xf>
    <xf numFmtId="0" fontId="57" fillId="0" borderId="7" xfId="0" applyFont="1" applyBorder="1" applyAlignment="1">
      <alignment horizontal="center" vertical="top" wrapText="1"/>
    </xf>
    <xf numFmtId="0" fontId="6" fillId="6" borderId="13" xfId="0" applyFont="1" applyFill="1" applyBorder="1" applyAlignment="1">
      <alignment horizontal="center" vertical="center" wrapText="1"/>
    </xf>
    <xf numFmtId="0" fontId="6" fillId="6" borderId="15" xfId="0" applyFont="1" applyFill="1" applyBorder="1" applyAlignment="1">
      <alignment horizontal="center" vertical="center" wrapText="1"/>
    </xf>
    <xf numFmtId="0" fontId="6" fillId="6" borderId="14" xfId="0" applyFont="1" applyFill="1" applyBorder="1" applyAlignment="1">
      <alignment horizontal="center" vertical="center" wrapText="1"/>
    </xf>
    <xf numFmtId="3" fontId="6" fillId="5" borderId="13" xfId="0" applyNumberFormat="1" applyFont="1" applyFill="1" applyBorder="1" applyAlignment="1">
      <alignment horizontal="center" vertical="center"/>
    </xf>
    <xf numFmtId="3" fontId="6" fillId="5" borderId="14" xfId="0" applyNumberFormat="1" applyFont="1" applyFill="1" applyBorder="1" applyAlignment="1">
      <alignment horizontal="center" vertical="center"/>
    </xf>
    <xf numFmtId="0" fontId="21" fillId="3" borderId="10" xfId="0" applyFont="1" applyFill="1" applyBorder="1" applyAlignment="1">
      <alignment horizontal="center"/>
    </xf>
    <xf numFmtId="0" fontId="21" fillId="3" borderId="12" xfId="0" applyFont="1" applyFill="1" applyBorder="1" applyAlignment="1">
      <alignment horizontal="center"/>
    </xf>
    <xf numFmtId="0" fontId="21" fillId="3" borderId="11" xfId="0" applyFont="1" applyFill="1" applyBorder="1" applyAlignment="1">
      <alignment horizontal="center"/>
    </xf>
    <xf numFmtId="0" fontId="59" fillId="4" borderId="13" xfId="0" applyFont="1" applyFill="1" applyBorder="1" applyAlignment="1">
      <alignment horizontal="center" vertical="center"/>
    </xf>
    <xf numFmtId="0" fontId="59" fillId="4" borderId="14" xfId="0" applyFont="1" applyFill="1" applyBorder="1" applyAlignment="1">
      <alignment horizontal="center" vertical="center"/>
    </xf>
    <xf numFmtId="0" fontId="22" fillId="7" borderId="10" xfId="0" applyFont="1" applyFill="1" applyBorder="1" applyAlignment="1">
      <alignment horizontal="center"/>
    </xf>
    <xf numFmtId="0" fontId="22" fillId="7" borderId="12" xfId="0" applyFont="1" applyFill="1" applyBorder="1" applyAlignment="1">
      <alignment horizontal="center"/>
    </xf>
    <xf numFmtId="0" fontId="22" fillId="7" borderId="11" xfId="0" applyFont="1" applyFill="1" applyBorder="1" applyAlignment="1">
      <alignment horizontal="center"/>
    </xf>
    <xf numFmtId="0" fontId="13" fillId="0" borderId="2" xfId="0" applyFont="1" applyBorder="1" applyAlignment="1">
      <alignment horizontal="center" vertical="center" wrapText="1"/>
    </xf>
    <xf numFmtId="0" fontId="13" fillId="0" borderId="8" xfId="0" applyFont="1" applyBorder="1" applyAlignment="1">
      <alignment horizontal="center" vertical="center" wrapText="1"/>
    </xf>
    <xf numFmtId="0" fontId="13" fillId="0" borderId="3" xfId="0" applyFont="1" applyBorder="1" applyAlignment="1">
      <alignment horizontal="center" vertical="center" wrapText="1"/>
    </xf>
    <xf numFmtId="0" fontId="13" fillId="0" borderId="4" xfId="0" applyFont="1" applyBorder="1" applyAlignment="1">
      <alignment horizontal="center" vertical="center" wrapText="1"/>
    </xf>
    <xf numFmtId="0" fontId="13" fillId="0" borderId="0" xfId="0" applyFont="1" applyAlignment="1">
      <alignment horizontal="center" vertical="center" wrapText="1"/>
    </xf>
    <xf numFmtId="0" fontId="13" fillId="0" borderId="5" xfId="0" applyFont="1" applyBorder="1" applyAlignment="1">
      <alignment horizontal="center" vertical="center" wrapText="1"/>
    </xf>
    <xf numFmtId="0" fontId="13" fillId="0" borderId="6" xfId="0" applyFont="1" applyBorder="1" applyAlignment="1">
      <alignment horizontal="center" vertical="center" wrapText="1"/>
    </xf>
    <xf numFmtId="0" fontId="13" fillId="0" borderId="9" xfId="0" applyFont="1" applyBorder="1" applyAlignment="1">
      <alignment horizontal="center" vertical="center" wrapText="1"/>
    </xf>
    <xf numFmtId="0" fontId="13" fillId="0" borderId="7" xfId="0" applyFont="1" applyBorder="1" applyAlignment="1">
      <alignment horizontal="center" vertical="center" wrapText="1"/>
    </xf>
    <xf numFmtId="0" fontId="57" fillId="0" borderId="10" xfId="0" applyFont="1" applyBorder="1" applyAlignment="1">
      <alignment horizontal="center" vertical="top" wrapText="1"/>
    </xf>
    <xf numFmtId="0" fontId="57" fillId="0" borderId="12" xfId="0" applyFont="1" applyBorder="1" applyAlignment="1">
      <alignment horizontal="center" vertical="top" wrapText="1"/>
    </xf>
    <xf numFmtId="0" fontId="57" fillId="0" borderId="11" xfId="0" applyFont="1" applyBorder="1" applyAlignment="1">
      <alignment horizontal="center" vertical="top" wrapText="1"/>
    </xf>
    <xf numFmtId="0" fontId="59" fillId="4" borderId="10" xfId="0" applyFont="1" applyFill="1" applyBorder="1" applyAlignment="1">
      <alignment horizontal="center" vertical="center"/>
    </xf>
    <xf numFmtId="0" fontId="59" fillId="4" borderId="12" xfId="0" applyFont="1" applyFill="1" applyBorder="1" applyAlignment="1">
      <alignment horizontal="center" vertical="center"/>
    </xf>
    <xf numFmtId="0" fontId="59" fillId="4" borderId="11" xfId="0" applyFont="1" applyFill="1" applyBorder="1" applyAlignment="1">
      <alignment horizontal="center" vertical="center"/>
    </xf>
    <xf numFmtId="0" fontId="60" fillId="0" borderId="2" xfId="0" applyFont="1" applyBorder="1" applyAlignment="1">
      <alignment horizontal="center" vertical="top" wrapText="1"/>
    </xf>
    <xf numFmtId="0" fontId="60" fillId="0" borderId="8" xfId="0" applyFont="1" applyBorder="1" applyAlignment="1">
      <alignment horizontal="center" vertical="top" wrapText="1"/>
    </xf>
    <xf numFmtId="0" fontId="60" fillId="0" borderId="3" xfId="0" applyFont="1" applyBorder="1" applyAlignment="1">
      <alignment horizontal="center" vertical="top" wrapText="1"/>
    </xf>
    <xf numFmtId="0" fontId="60" fillId="0" borderId="4" xfId="0" applyFont="1" applyBorder="1" applyAlignment="1">
      <alignment horizontal="center" vertical="top" wrapText="1"/>
    </xf>
    <xf numFmtId="0" fontId="60" fillId="0" borderId="0" xfId="0" applyFont="1" applyAlignment="1">
      <alignment horizontal="center" vertical="top" wrapText="1"/>
    </xf>
    <xf numFmtId="0" fontId="60" fillId="0" borderId="5" xfId="0" applyFont="1" applyBorder="1" applyAlignment="1">
      <alignment horizontal="center" vertical="top" wrapText="1"/>
    </xf>
    <xf numFmtId="0" fontId="60" fillId="0" borderId="6" xfId="0" applyFont="1" applyBorder="1" applyAlignment="1">
      <alignment horizontal="center" vertical="top" wrapText="1"/>
    </xf>
    <xf numFmtId="0" fontId="60" fillId="0" borderId="9" xfId="0" applyFont="1" applyBorder="1" applyAlignment="1">
      <alignment horizontal="center" vertical="top" wrapText="1"/>
    </xf>
    <xf numFmtId="0" fontId="60" fillId="0" borderId="7" xfId="0" applyFont="1" applyBorder="1" applyAlignment="1">
      <alignment horizontal="center" vertical="top" wrapText="1"/>
    </xf>
    <xf numFmtId="0" fontId="60" fillId="0" borderId="10" xfId="0" applyFont="1" applyBorder="1" applyAlignment="1">
      <alignment horizontal="center" vertical="top" wrapText="1"/>
    </xf>
    <xf numFmtId="0" fontId="60" fillId="0" borderId="12" xfId="0" applyFont="1" applyBorder="1" applyAlignment="1">
      <alignment horizontal="center" vertical="top" wrapText="1"/>
    </xf>
    <xf numFmtId="0" fontId="60" fillId="0" borderId="11" xfId="0" applyFont="1" applyBorder="1" applyAlignment="1">
      <alignment horizontal="center" vertical="top" wrapText="1"/>
    </xf>
    <xf numFmtId="0" fontId="18" fillId="0" borderId="0" xfId="0" applyFont="1" applyAlignment="1">
      <alignment horizontal="center" vertical="center"/>
    </xf>
    <xf numFmtId="0" fontId="59" fillId="4" borderId="2" xfId="0" applyFont="1" applyFill="1" applyBorder="1" applyAlignment="1">
      <alignment horizontal="center" vertical="center"/>
    </xf>
    <xf numFmtId="0" fontId="59" fillId="4" borderId="8" xfId="0" applyFont="1" applyFill="1" applyBorder="1" applyAlignment="1">
      <alignment horizontal="center" vertical="center"/>
    </xf>
    <xf numFmtId="0" fontId="59" fillId="4" borderId="3" xfId="0" applyFont="1" applyFill="1" applyBorder="1" applyAlignment="1">
      <alignment horizontal="center" vertical="center"/>
    </xf>
    <xf numFmtId="0" fontId="59" fillId="4" borderId="6" xfId="0" applyFont="1" applyFill="1" applyBorder="1" applyAlignment="1">
      <alignment horizontal="center" vertical="center"/>
    </xf>
    <xf numFmtId="0" fontId="59" fillId="4" borderId="9" xfId="0" applyFont="1" applyFill="1" applyBorder="1" applyAlignment="1">
      <alignment horizontal="center" vertical="center"/>
    </xf>
    <xf numFmtId="0" fontId="59" fillId="4" borderId="7" xfId="0" applyFont="1" applyFill="1" applyBorder="1" applyAlignment="1">
      <alignment horizontal="center" vertical="center"/>
    </xf>
    <xf numFmtId="0" fontId="17" fillId="4" borderId="2" xfId="0" applyFont="1" applyFill="1" applyBorder="1" applyAlignment="1">
      <alignment horizontal="center" vertical="center"/>
    </xf>
    <xf numFmtId="0" fontId="17" fillId="4" borderId="8" xfId="0" applyFont="1" applyFill="1" applyBorder="1" applyAlignment="1">
      <alignment horizontal="center" vertical="center"/>
    </xf>
    <xf numFmtId="0" fontId="17" fillId="4" borderId="3" xfId="0" applyFont="1" applyFill="1" applyBorder="1" applyAlignment="1">
      <alignment horizontal="center" vertical="center"/>
    </xf>
    <xf numFmtId="0" fontId="17" fillId="4" borderId="6" xfId="0" applyFont="1" applyFill="1" applyBorder="1" applyAlignment="1">
      <alignment horizontal="center" vertical="center"/>
    </xf>
    <xf numFmtId="0" fontId="17" fillId="4" borderId="9" xfId="0" applyFont="1" applyFill="1" applyBorder="1" applyAlignment="1">
      <alignment horizontal="center" vertical="center"/>
    </xf>
    <xf numFmtId="0" fontId="17" fillId="4" borderId="7" xfId="0" applyFont="1" applyFill="1" applyBorder="1" applyAlignment="1">
      <alignment horizontal="center" vertical="center"/>
    </xf>
    <xf numFmtId="0" fontId="13" fillId="0" borderId="2" xfId="0" applyFont="1" applyBorder="1" applyAlignment="1">
      <alignment horizontal="left" vertical="top" wrapText="1"/>
    </xf>
    <xf numFmtId="0" fontId="13" fillId="0" borderId="8" xfId="0" applyFont="1" applyBorder="1" applyAlignment="1">
      <alignment horizontal="left" vertical="top" wrapText="1"/>
    </xf>
    <xf numFmtId="0" fontId="13" fillId="0" borderId="3" xfId="0" applyFont="1" applyBorder="1" applyAlignment="1">
      <alignment horizontal="left" vertical="top" wrapText="1"/>
    </xf>
    <xf numFmtId="0" fontId="13" fillId="0" borderId="4" xfId="0" applyFont="1" applyBorder="1" applyAlignment="1">
      <alignment horizontal="left" vertical="top" wrapText="1"/>
    </xf>
    <xf numFmtId="0" fontId="13" fillId="0" borderId="0" xfId="0" applyFont="1" applyAlignment="1">
      <alignment horizontal="left" vertical="top" wrapText="1"/>
    </xf>
    <xf numFmtId="0" fontId="13" fillId="0" borderId="5" xfId="0" applyFont="1" applyBorder="1" applyAlignment="1">
      <alignment horizontal="left" vertical="top" wrapText="1"/>
    </xf>
    <xf numFmtId="0" fontId="13" fillId="0" borderId="6" xfId="0" applyFont="1" applyBorder="1" applyAlignment="1">
      <alignment horizontal="left" vertical="top" wrapText="1"/>
    </xf>
    <xf numFmtId="0" fontId="13" fillId="0" borderId="9" xfId="0" applyFont="1" applyBorder="1" applyAlignment="1">
      <alignment horizontal="left" vertical="top" wrapText="1"/>
    </xf>
    <xf numFmtId="0" fontId="13" fillId="0" borderId="7" xfId="0" applyFont="1" applyBorder="1" applyAlignment="1">
      <alignment horizontal="left" vertical="top" wrapText="1"/>
    </xf>
    <xf numFmtId="0" fontId="18" fillId="0" borderId="0" xfId="0" applyFont="1" applyAlignment="1">
      <alignment horizontal="center" vertical="center" wrapText="1"/>
    </xf>
    <xf numFmtId="0" fontId="18" fillId="0" borderId="5" xfId="0" applyFont="1" applyBorder="1" applyAlignment="1">
      <alignment horizontal="center" vertical="center" wrapText="1"/>
    </xf>
    <xf numFmtId="0" fontId="17" fillId="4" borderId="10" xfId="0" applyFont="1" applyFill="1" applyBorder="1" applyAlignment="1">
      <alignment horizontal="center" vertical="center" wrapText="1"/>
    </xf>
    <xf numFmtId="0" fontId="17" fillId="4" borderId="12" xfId="0" applyFont="1" applyFill="1" applyBorder="1" applyAlignment="1">
      <alignment horizontal="center" vertical="center" wrapText="1"/>
    </xf>
    <xf numFmtId="0" fontId="17" fillId="4" borderId="11" xfId="0" applyFont="1" applyFill="1" applyBorder="1" applyAlignment="1">
      <alignment horizontal="center" vertical="center" wrapText="1"/>
    </xf>
    <xf numFmtId="0" fontId="7" fillId="4" borderId="10" xfId="0" applyFont="1" applyFill="1" applyBorder="1" applyAlignment="1">
      <alignment horizontal="center" vertical="center" wrapText="1"/>
    </xf>
    <xf numFmtId="0" fontId="7" fillId="4" borderId="12" xfId="0" applyFont="1" applyFill="1" applyBorder="1" applyAlignment="1">
      <alignment horizontal="center" vertical="center" wrapText="1"/>
    </xf>
    <xf numFmtId="0" fontId="7" fillId="4" borderId="11" xfId="0" applyFont="1" applyFill="1" applyBorder="1" applyAlignment="1">
      <alignment horizontal="center" vertical="center" wrapText="1"/>
    </xf>
    <xf numFmtId="0" fontId="17" fillId="4" borderId="2" xfId="0" applyFont="1" applyFill="1" applyBorder="1" applyAlignment="1">
      <alignment horizontal="center" vertical="center" wrapText="1"/>
    </xf>
    <xf numFmtId="0" fontId="17" fillId="4" borderId="8" xfId="0" applyFont="1" applyFill="1" applyBorder="1" applyAlignment="1">
      <alignment horizontal="center" vertical="center" wrapText="1"/>
    </xf>
    <xf numFmtId="0" fontId="17" fillId="4" borderId="3" xfId="0" applyFont="1" applyFill="1" applyBorder="1" applyAlignment="1">
      <alignment horizontal="center" vertical="center" wrapText="1"/>
    </xf>
    <xf numFmtId="0" fontId="17" fillId="4" borderId="4" xfId="0" applyFont="1" applyFill="1" applyBorder="1" applyAlignment="1">
      <alignment horizontal="center" vertical="center" wrapText="1"/>
    </xf>
    <xf numFmtId="0" fontId="17" fillId="4" borderId="0" xfId="0" applyFont="1" applyFill="1" applyAlignment="1">
      <alignment horizontal="center" vertical="center" wrapText="1"/>
    </xf>
    <xf numFmtId="0" fontId="17" fillId="4" borderId="5" xfId="0" applyFont="1" applyFill="1" applyBorder="1" applyAlignment="1">
      <alignment horizontal="center" vertical="center" wrapText="1"/>
    </xf>
    <xf numFmtId="0" fontId="17" fillId="4" borderId="6" xfId="0" applyFont="1" applyFill="1" applyBorder="1" applyAlignment="1">
      <alignment horizontal="center" vertical="center" wrapText="1"/>
    </xf>
    <xf numFmtId="0" fontId="17" fillId="4" borderId="9" xfId="0" applyFont="1" applyFill="1" applyBorder="1" applyAlignment="1">
      <alignment horizontal="center" vertical="center" wrapText="1"/>
    </xf>
    <xf numFmtId="0" fontId="17" fillId="4" borderId="7" xfId="0" applyFont="1" applyFill="1" applyBorder="1" applyAlignment="1">
      <alignment horizontal="center" vertical="center" wrapText="1"/>
    </xf>
    <xf numFmtId="0" fontId="13" fillId="0" borderId="2" xfId="0" applyFont="1" applyBorder="1" applyAlignment="1">
      <alignment horizontal="center" vertical="top" wrapText="1"/>
    </xf>
    <xf numFmtId="0" fontId="13" fillId="0" borderId="8" xfId="0" applyFont="1" applyBorder="1" applyAlignment="1">
      <alignment horizontal="center" vertical="top" wrapText="1"/>
    </xf>
    <xf numFmtId="0" fontId="13" fillId="0" borderId="3" xfId="0" applyFont="1" applyBorder="1" applyAlignment="1">
      <alignment horizontal="center" vertical="top" wrapText="1"/>
    </xf>
    <xf numFmtId="0" fontId="13" fillId="0" borderId="4" xfId="0" applyFont="1" applyBorder="1" applyAlignment="1">
      <alignment horizontal="center" vertical="top" wrapText="1"/>
    </xf>
    <xf numFmtId="0" fontId="13" fillId="0" borderId="0" xfId="0" applyFont="1" applyAlignment="1">
      <alignment horizontal="center" vertical="top" wrapText="1"/>
    </xf>
    <xf numFmtId="0" fontId="13" fillId="0" borderId="5" xfId="0" applyFont="1" applyBorder="1" applyAlignment="1">
      <alignment horizontal="center" vertical="top" wrapText="1"/>
    </xf>
    <xf numFmtId="0" fontId="13" fillId="0" borderId="6" xfId="0" applyFont="1" applyBorder="1" applyAlignment="1">
      <alignment horizontal="center" vertical="top" wrapText="1"/>
    </xf>
    <xf numFmtId="0" fontId="13" fillId="0" borderId="9" xfId="0" applyFont="1" applyBorder="1" applyAlignment="1">
      <alignment horizontal="center" vertical="top" wrapText="1"/>
    </xf>
    <xf numFmtId="0" fontId="13" fillId="0" borderId="7" xfId="0" applyFont="1" applyBorder="1" applyAlignment="1">
      <alignment horizontal="center" vertical="top" wrapText="1"/>
    </xf>
    <xf numFmtId="0" fontId="12" fillId="4" borderId="13" xfId="0" applyFont="1" applyFill="1" applyBorder="1" applyAlignment="1">
      <alignment horizontal="center" vertical="center"/>
    </xf>
    <xf numFmtId="0" fontId="12" fillId="4" borderId="15" xfId="0" applyFont="1" applyFill="1" applyBorder="1" applyAlignment="1">
      <alignment horizontal="center" vertical="center"/>
    </xf>
    <xf numFmtId="0" fontId="12" fillId="4" borderId="14" xfId="0" applyFont="1" applyFill="1" applyBorder="1" applyAlignment="1">
      <alignment horizontal="center" vertical="center"/>
    </xf>
    <xf numFmtId="0" fontId="7" fillId="0" borderId="10" xfId="0" applyFont="1" applyBorder="1" applyAlignment="1">
      <alignment horizontal="center" vertical="center"/>
    </xf>
    <xf numFmtId="0" fontId="7" fillId="0" borderId="12" xfId="0" applyFont="1" applyBorder="1" applyAlignment="1">
      <alignment horizontal="center" vertical="center"/>
    </xf>
    <xf numFmtId="0" fontId="7" fillId="0" borderId="11" xfId="0" applyFont="1" applyBorder="1" applyAlignment="1">
      <alignment horizontal="center" vertical="center"/>
    </xf>
    <xf numFmtId="0" fontId="21" fillId="3" borderId="10" xfId="0" applyFont="1" applyFill="1" applyBorder="1" applyAlignment="1">
      <alignment horizontal="center" vertical="center"/>
    </xf>
    <xf numFmtId="0" fontId="21" fillId="3" borderId="12" xfId="0" applyFont="1" applyFill="1" applyBorder="1" applyAlignment="1">
      <alignment horizontal="center" vertical="center"/>
    </xf>
    <xf numFmtId="0" fontId="21" fillId="3" borderId="11" xfId="0" applyFont="1" applyFill="1" applyBorder="1" applyAlignment="1">
      <alignment horizontal="center" vertical="center"/>
    </xf>
    <xf numFmtId="0" fontId="23" fillId="0" borderId="2" xfId="0" applyFont="1" applyBorder="1" applyAlignment="1">
      <alignment horizontal="center" vertical="top" wrapText="1"/>
    </xf>
    <xf numFmtId="0" fontId="23" fillId="0" borderId="8" xfId="0" applyFont="1" applyBorder="1" applyAlignment="1">
      <alignment horizontal="center" vertical="top" wrapText="1"/>
    </xf>
    <xf numFmtId="0" fontId="23" fillId="0" borderId="3" xfId="0" applyFont="1" applyBorder="1" applyAlignment="1">
      <alignment horizontal="center" vertical="top" wrapText="1"/>
    </xf>
    <xf numFmtId="0" fontId="23" fillId="0" borderId="4" xfId="0" applyFont="1" applyBorder="1" applyAlignment="1">
      <alignment horizontal="center" vertical="top" wrapText="1"/>
    </xf>
    <xf numFmtId="0" fontId="23" fillId="0" borderId="0" xfId="0" applyFont="1" applyAlignment="1">
      <alignment horizontal="center" vertical="top" wrapText="1"/>
    </xf>
    <xf numFmtId="0" fontId="23" fillId="0" borderId="5" xfId="0" applyFont="1" applyBorder="1" applyAlignment="1">
      <alignment horizontal="center" vertical="top" wrapText="1"/>
    </xf>
    <xf numFmtId="0" fontId="23" fillId="0" borderId="6" xfId="0" applyFont="1" applyBorder="1" applyAlignment="1">
      <alignment horizontal="center" vertical="top" wrapText="1"/>
    </xf>
    <xf numFmtId="0" fontId="23" fillId="0" borderId="9" xfId="0" applyFont="1" applyBorder="1" applyAlignment="1">
      <alignment horizontal="center" vertical="top" wrapText="1"/>
    </xf>
    <xf numFmtId="0" fontId="23" fillId="0" borderId="7" xfId="0" applyFont="1" applyBorder="1" applyAlignment="1">
      <alignment horizontal="center" vertical="top" wrapText="1"/>
    </xf>
    <xf numFmtId="0" fontId="9" fillId="7" borderId="10" xfId="0" applyFont="1" applyFill="1" applyBorder="1" applyAlignment="1">
      <alignment horizontal="center" vertical="center"/>
    </xf>
    <xf numFmtId="0" fontId="9" fillId="7" borderId="12" xfId="0" applyFont="1" applyFill="1" applyBorder="1" applyAlignment="1">
      <alignment horizontal="center" vertical="center"/>
    </xf>
    <xf numFmtId="0" fontId="9" fillId="7" borderId="11" xfId="0" applyFont="1" applyFill="1" applyBorder="1" applyAlignment="1">
      <alignment horizontal="center" vertical="center"/>
    </xf>
    <xf numFmtId="0" fontId="6" fillId="6" borderId="10" xfId="0" applyFont="1" applyFill="1" applyBorder="1" applyAlignment="1">
      <alignment horizontal="right" vertical="center"/>
    </xf>
    <xf numFmtId="0" fontId="6" fillId="6" borderId="12" xfId="0" applyFont="1" applyFill="1" applyBorder="1" applyAlignment="1">
      <alignment horizontal="right" vertical="center"/>
    </xf>
    <xf numFmtId="0" fontId="7" fillId="0" borderId="2" xfId="0" applyFont="1" applyBorder="1" applyAlignment="1">
      <alignment horizontal="center" vertical="center"/>
    </xf>
    <xf numFmtId="0" fontId="7" fillId="0" borderId="8" xfId="0" applyFont="1" applyBorder="1" applyAlignment="1">
      <alignment horizontal="center" vertical="center"/>
    </xf>
    <xf numFmtId="0" fontId="7" fillId="0" borderId="3" xfId="0" applyFont="1" applyBorder="1" applyAlignment="1">
      <alignment horizontal="center" vertical="center"/>
    </xf>
    <xf numFmtId="0" fontId="7" fillId="0" borderId="4" xfId="0" applyFont="1" applyBorder="1" applyAlignment="1">
      <alignment horizontal="center" vertical="center"/>
    </xf>
    <xf numFmtId="0" fontId="7" fillId="0" borderId="0" xfId="0" applyFont="1" applyAlignment="1">
      <alignment horizontal="center" vertical="center"/>
    </xf>
    <xf numFmtId="0" fontId="7" fillId="0" borderId="5" xfId="0" applyFont="1" applyBorder="1" applyAlignment="1">
      <alignment horizontal="center" vertical="center"/>
    </xf>
    <xf numFmtId="0" fontId="19" fillId="0" borderId="2" xfId="0" applyFont="1" applyBorder="1" applyAlignment="1">
      <alignment horizontal="center" vertical="center" wrapText="1"/>
    </xf>
    <xf numFmtId="0" fontId="19" fillId="0" borderId="8" xfId="0" applyFont="1" applyBorder="1" applyAlignment="1">
      <alignment horizontal="center" vertical="center" wrapText="1"/>
    </xf>
    <xf numFmtId="0" fontId="19" fillId="0" borderId="3" xfId="0" applyFont="1" applyBorder="1" applyAlignment="1">
      <alignment horizontal="center" vertical="center" wrapText="1"/>
    </xf>
    <xf numFmtId="0" fontId="19" fillId="0" borderId="4" xfId="0" applyFont="1" applyBorder="1" applyAlignment="1">
      <alignment horizontal="center" vertical="center" wrapText="1"/>
    </xf>
    <xf numFmtId="0" fontId="19" fillId="0" borderId="0" xfId="0" applyFont="1" applyAlignment="1">
      <alignment horizontal="center" vertical="center" wrapText="1"/>
    </xf>
    <xf numFmtId="0" fontId="19" fillId="0" borderId="5" xfId="0" applyFont="1" applyBorder="1" applyAlignment="1">
      <alignment horizontal="center" vertical="center" wrapText="1"/>
    </xf>
    <xf numFmtId="0" fontId="19" fillId="0" borderId="6" xfId="0" applyFont="1" applyBorder="1" applyAlignment="1">
      <alignment horizontal="center" vertical="center" wrapText="1"/>
    </xf>
    <xf numFmtId="0" fontId="19" fillId="0" borderId="9" xfId="0" applyFont="1" applyBorder="1" applyAlignment="1">
      <alignment horizontal="center" vertical="center" wrapText="1"/>
    </xf>
    <xf numFmtId="0" fontId="19" fillId="0" borderId="7" xfId="0" applyFont="1" applyBorder="1" applyAlignment="1">
      <alignment horizontal="center" vertical="center" wrapText="1"/>
    </xf>
    <xf numFmtId="0" fontId="17" fillId="4" borderId="13" xfId="0" applyFont="1" applyFill="1" applyBorder="1" applyAlignment="1">
      <alignment horizontal="center" vertical="center"/>
    </xf>
    <xf numFmtId="0" fontId="17" fillId="4" borderId="14" xfId="0" applyFont="1" applyFill="1" applyBorder="1" applyAlignment="1">
      <alignment horizontal="center" vertical="center"/>
    </xf>
    <xf numFmtId="0" fontId="13" fillId="0" borderId="10" xfId="0" applyFont="1" applyBorder="1" applyAlignment="1">
      <alignment horizontal="center" vertical="top" wrapText="1"/>
    </xf>
    <xf numFmtId="0" fontId="13" fillId="0" borderId="12" xfId="0" applyFont="1" applyBorder="1" applyAlignment="1">
      <alignment horizontal="center" vertical="top" wrapText="1"/>
    </xf>
    <xf numFmtId="0" fontId="13" fillId="0" borderId="11" xfId="0" applyFont="1" applyBorder="1" applyAlignment="1">
      <alignment horizontal="center" vertical="top" wrapText="1"/>
    </xf>
    <xf numFmtId="0" fontId="17" fillId="4" borderId="10" xfId="0" applyFont="1" applyFill="1" applyBorder="1" applyAlignment="1">
      <alignment horizontal="center" vertical="center"/>
    </xf>
    <xf numFmtId="0" fontId="17" fillId="4" borderId="12" xfId="0" applyFont="1" applyFill="1" applyBorder="1" applyAlignment="1">
      <alignment horizontal="center" vertical="center"/>
    </xf>
    <xf numFmtId="0" fontId="17" fillId="4" borderId="11" xfId="0" applyFont="1" applyFill="1" applyBorder="1" applyAlignment="1">
      <alignment horizontal="center" vertical="center"/>
    </xf>
    <xf numFmtId="0" fontId="15" fillId="4" borderId="10" xfId="0" applyFont="1" applyFill="1" applyBorder="1" applyAlignment="1">
      <alignment horizontal="center" vertical="center" wrapText="1"/>
    </xf>
    <xf numFmtId="0" fontId="15" fillId="4" borderId="12" xfId="0" applyFont="1" applyFill="1" applyBorder="1" applyAlignment="1">
      <alignment horizontal="center" vertical="center" wrapText="1"/>
    </xf>
    <xf numFmtId="0" fontId="15" fillId="4" borderId="11" xfId="0" applyFont="1" applyFill="1" applyBorder="1" applyAlignment="1">
      <alignment horizontal="center" vertical="center" wrapText="1"/>
    </xf>
    <xf numFmtId="0" fontId="19" fillId="0" borderId="2" xfId="0" applyFont="1" applyBorder="1" applyAlignment="1">
      <alignment horizontal="left" vertical="top" wrapText="1"/>
    </xf>
    <xf numFmtId="0" fontId="19" fillId="0" borderId="8" xfId="0" applyFont="1" applyBorder="1" applyAlignment="1">
      <alignment horizontal="left" vertical="top" wrapText="1"/>
    </xf>
    <xf numFmtId="0" fontId="19" fillId="0" borderId="3" xfId="0" applyFont="1" applyBorder="1" applyAlignment="1">
      <alignment horizontal="left" vertical="top" wrapText="1"/>
    </xf>
    <xf numFmtId="0" fontId="19" fillId="0" borderId="4" xfId="0" applyFont="1" applyBorder="1" applyAlignment="1">
      <alignment horizontal="left" vertical="top" wrapText="1"/>
    </xf>
    <xf numFmtId="0" fontId="19" fillId="0" borderId="0" xfId="0" applyFont="1" applyAlignment="1">
      <alignment horizontal="left" vertical="top" wrapText="1"/>
    </xf>
    <xf numFmtId="0" fontId="19" fillId="0" borderId="5" xfId="0" applyFont="1" applyBorder="1" applyAlignment="1">
      <alignment horizontal="left" vertical="top" wrapText="1"/>
    </xf>
    <xf numFmtId="0" fontId="19" fillId="0" borderId="6" xfId="0" applyFont="1" applyBorder="1" applyAlignment="1">
      <alignment horizontal="left" vertical="top" wrapText="1"/>
    </xf>
    <xf numFmtId="0" fontId="19" fillId="0" borderId="9" xfId="0" applyFont="1" applyBorder="1" applyAlignment="1">
      <alignment horizontal="left" vertical="top" wrapText="1"/>
    </xf>
    <xf numFmtId="0" fontId="19" fillId="0" borderId="7" xfId="0" applyFont="1" applyBorder="1" applyAlignment="1">
      <alignment horizontal="left" vertical="top" wrapText="1"/>
    </xf>
    <xf numFmtId="0" fontId="19" fillId="0" borderId="2" xfId="0" applyFont="1" applyBorder="1" applyAlignment="1">
      <alignment horizontal="center" vertical="top" wrapText="1"/>
    </xf>
    <xf numFmtId="0" fontId="19" fillId="0" borderId="8" xfId="0" applyFont="1" applyBorder="1" applyAlignment="1">
      <alignment horizontal="center" vertical="top" wrapText="1"/>
    </xf>
    <xf numFmtId="0" fontId="19" fillId="0" borderId="3" xfId="0" applyFont="1" applyBorder="1" applyAlignment="1">
      <alignment horizontal="center" vertical="top" wrapText="1"/>
    </xf>
    <xf numFmtId="0" fontId="19" fillId="0" borderId="4" xfId="0" applyFont="1" applyBorder="1" applyAlignment="1">
      <alignment horizontal="center" vertical="top" wrapText="1"/>
    </xf>
    <xf numFmtId="0" fontId="19" fillId="0" borderId="0" xfId="0" applyFont="1" applyAlignment="1">
      <alignment horizontal="center" vertical="top" wrapText="1"/>
    </xf>
    <xf numFmtId="0" fontId="19" fillId="0" borderId="5" xfId="0" applyFont="1" applyBorder="1" applyAlignment="1">
      <alignment horizontal="center" vertical="top" wrapText="1"/>
    </xf>
    <xf numFmtId="0" fontId="19" fillId="0" borderId="6" xfId="0" applyFont="1" applyBorder="1" applyAlignment="1">
      <alignment horizontal="center" vertical="top" wrapText="1"/>
    </xf>
    <xf numFmtId="0" fontId="19" fillId="0" borderId="9" xfId="0" applyFont="1" applyBorder="1" applyAlignment="1">
      <alignment horizontal="center" vertical="top" wrapText="1"/>
    </xf>
    <xf numFmtId="0" fontId="19" fillId="0" borderId="7" xfId="0" applyFont="1" applyBorder="1" applyAlignment="1">
      <alignment horizontal="center" vertical="top" wrapText="1"/>
    </xf>
    <xf numFmtId="0" fontId="15" fillId="4" borderId="2" xfId="0" applyFont="1" applyFill="1" applyBorder="1" applyAlignment="1">
      <alignment horizontal="center" vertical="center" wrapText="1"/>
    </xf>
    <xf numFmtId="0" fontId="15" fillId="4" borderId="8" xfId="0" applyFont="1" applyFill="1" applyBorder="1" applyAlignment="1">
      <alignment horizontal="center" vertical="center" wrapText="1"/>
    </xf>
    <xf numFmtId="0" fontId="15" fillId="4" borderId="3" xfId="0" applyFont="1" applyFill="1" applyBorder="1" applyAlignment="1">
      <alignment horizontal="center" vertical="center" wrapText="1"/>
    </xf>
    <xf numFmtId="0" fontId="15" fillId="4" borderId="4" xfId="0" applyFont="1" applyFill="1" applyBorder="1" applyAlignment="1">
      <alignment horizontal="center" vertical="center" wrapText="1"/>
    </xf>
    <xf numFmtId="0" fontId="15" fillId="4" borderId="0" xfId="0" applyFont="1" applyFill="1" applyAlignment="1">
      <alignment horizontal="center" vertical="center" wrapText="1"/>
    </xf>
    <xf numFmtId="0" fontId="15" fillId="4" borderId="5" xfId="0" applyFont="1" applyFill="1" applyBorder="1" applyAlignment="1">
      <alignment horizontal="center" vertical="center" wrapText="1"/>
    </xf>
    <xf numFmtId="0" fontId="15" fillId="4" borderId="6" xfId="0" applyFont="1" applyFill="1" applyBorder="1" applyAlignment="1">
      <alignment horizontal="center" vertical="center" wrapText="1"/>
    </xf>
    <xf numFmtId="0" fontId="15" fillId="4" borderId="9" xfId="0" applyFont="1" applyFill="1" applyBorder="1" applyAlignment="1">
      <alignment horizontal="center" vertical="center" wrapText="1"/>
    </xf>
    <xf numFmtId="0" fontId="15" fillId="4" borderId="7" xfId="0" applyFont="1" applyFill="1" applyBorder="1" applyAlignment="1">
      <alignment horizontal="center" vertical="center" wrapText="1"/>
    </xf>
    <xf numFmtId="0" fontId="62" fillId="0" borderId="10" xfId="0" applyFont="1" applyBorder="1" applyAlignment="1">
      <alignment horizontal="center" vertical="top" wrapText="1"/>
    </xf>
    <xf numFmtId="0" fontId="62" fillId="0" borderId="12" xfId="0" applyFont="1" applyBorder="1" applyAlignment="1">
      <alignment horizontal="center" vertical="top" wrapText="1"/>
    </xf>
    <xf numFmtId="0" fontId="62" fillId="0" borderId="11" xfId="0" applyFont="1" applyBorder="1" applyAlignment="1">
      <alignment horizontal="center" vertical="top" wrapText="1"/>
    </xf>
    <xf numFmtId="0" fontId="21" fillId="0" borderId="6" xfId="0" applyFont="1" applyBorder="1" applyAlignment="1">
      <alignment horizontal="center"/>
    </xf>
    <xf numFmtId="0" fontId="21" fillId="0" borderId="9" xfId="0" applyFont="1" applyBorder="1" applyAlignment="1">
      <alignment horizontal="center"/>
    </xf>
    <xf numFmtId="0" fontId="21" fillId="0" borderId="7" xfId="0" applyFont="1" applyBorder="1" applyAlignment="1">
      <alignment horizontal="center"/>
    </xf>
    <xf numFmtId="0" fontId="7" fillId="3" borderId="10" xfId="0" applyFont="1" applyFill="1" applyBorder="1" applyAlignment="1">
      <alignment horizontal="center" vertical="center"/>
    </xf>
    <xf numFmtId="0" fontId="7" fillId="3" borderId="12" xfId="0" applyFont="1" applyFill="1" applyBorder="1" applyAlignment="1">
      <alignment horizontal="center" vertical="center"/>
    </xf>
    <xf numFmtId="0" fontId="7" fillId="3" borderId="11" xfId="0" applyFont="1" applyFill="1" applyBorder="1" applyAlignment="1">
      <alignment horizontal="center" vertical="center"/>
    </xf>
    <xf numFmtId="0" fontId="9" fillId="2" borderId="4" xfId="0" applyFont="1" applyFill="1" applyBorder="1" applyAlignment="1">
      <alignment horizontal="center"/>
    </xf>
    <xf numFmtId="0" fontId="9" fillId="2" borderId="0" xfId="0" applyFont="1" applyFill="1" applyAlignment="1">
      <alignment horizontal="center"/>
    </xf>
    <xf numFmtId="0" fontId="20" fillId="0" borderId="0" xfId="0" applyFont="1" applyAlignment="1">
      <alignment horizontal="center"/>
    </xf>
    <xf numFmtId="0" fontId="18" fillId="0" borderId="9" xfId="0" applyFont="1" applyBorder="1" applyAlignment="1">
      <alignment horizontal="center" vertical="center"/>
    </xf>
    <xf numFmtId="0" fontId="71" fillId="4" borderId="13" xfId="0" applyFont="1" applyFill="1" applyBorder="1" applyAlignment="1">
      <alignment horizontal="center" vertical="center" wrapText="1"/>
    </xf>
    <xf numFmtId="0" fontId="71" fillId="4" borderId="14" xfId="0" applyFont="1" applyFill="1" applyBorder="1" applyAlignment="1">
      <alignment horizontal="center" vertical="center" wrapText="1"/>
    </xf>
    <xf numFmtId="0" fontId="27" fillId="0" borderId="5" xfId="0" applyFont="1" applyBorder="1" applyAlignment="1">
      <alignment horizontal="center" vertical="center"/>
    </xf>
    <xf numFmtId="0" fontId="27" fillId="0" borderId="0" xfId="0" applyFont="1" applyAlignment="1">
      <alignment horizontal="center" vertical="center"/>
    </xf>
    <xf numFmtId="0" fontId="61" fillId="4" borderId="13" xfId="0" applyFont="1" applyFill="1" applyBorder="1" applyAlignment="1">
      <alignment horizontal="center" vertical="center"/>
    </xf>
    <xf numFmtId="0" fontId="61" fillId="4" borderId="15" xfId="0" applyFont="1" applyFill="1" applyBorder="1" applyAlignment="1">
      <alignment horizontal="center" vertical="center"/>
    </xf>
    <xf numFmtId="0" fontId="61" fillId="4" borderId="14" xfId="0" applyFont="1" applyFill="1" applyBorder="1" applyAlignment="1">
      <alignment horizontal="center" vertical="center"/>
    </xf>
    <xf numFmtId="0" fontId="9" fillId="2" borderId="10" xfId="0" applyFont="1" applyFill="1" applyBorder="1" applyAlignment="1">
      <alignment horizontal="center" vertical="center"/>
    </xf>
    <xf numFmtId="0" fontId="9" fillId="2" borderId="12" xfId="0" applyFont="1" applyFill="1" applyBorder="1" applyAlignment="1">
      <alignment horizontal="center" vertical="center"/>
    </xf>
    <xf numFmtId="0" fontId="9" fillId="2" borderId="11" xfId="0" applyFont="1" applyFill="1" applyBorder="1" applyAlignment="1">
      <alignment horizontal="center" vertical="center"/>
    </xf>
    <xf numFmtId="0" fontId="5" fillId="0" borderId="2" xfId="0" applyFont="1" applyBorder="1" applyAlignment="1">
      <alignment horizontal="center" vertical="top" wrapText="1"/>
    </xf>
    <xf numFmtId="0" fontId="5" fillId="0" borderId="3" xfId="0" applyFont="1" applyBorder="1" applyAlignment="1">
      <alignment horizontal="center" vertical="top" wrapText="1"/>
    </xf>
    <xf numFmtId="0" fontId="5" fillId="0" borderId="4" xfId="0" applyFont="1" applyBorder="1" applyAlignment="1">
      <alignment horizontal="center" vertical="top" wrapText="1"/>
    </xf>
    <xf numFmtId="0" fontId="5" fillId="0" borderId="5" xfId="0" applyFont="1" applyBorder="1" applyAlignment="1">
      <alignment horizontal="center" vertical="top" wrapText="1"/>
    </xf>
    <xf numFmtId="0" fontId="5" fillId="0" borderId="6" xfId="0" applyFont="1" applyBorder="1" applyAlignment="1">
      <alignment horizontal="center" vertical="top" wrapText="1"/>
    </xf>
    <xf numFmtId="0" fontId="5" fillId="0" borderId="7" xfId="0" applyFont="1" applyBorder="1" applyAlignment="1">
      <alignment horizontal="center" vertical="top" wrapText="1"/>
    </xf>
    <xf numFmtId="0" fontId="28" fillId="4" borderId="13" xfId="0" applyFont="1" applyFill="1" applyBorder="1" applyAlignment="1">
      <alignment horizontal="center" vertical="center"/>
    </xf>
    <xf numFmtId="0" fontId="28" fillId="4" borderId="15" xfId="0" applyFont="1" applyFill="1" applyBorder="1" applyAlignment="1">
      <alignment horizontal="center" vertical="center"/>
    </xf>
    <xf numFmtId="0" fontId="28" fillId="4" borderId="14" xfId="0" applyFont="1" applyFill="1" applyBorder="1" applyAlignment="1">
      <alignment horizontal="center" vertical="center"/>
    </xf>
    <xf numFmtId="0" fontId="7" fillId="0" borderId="13" xfId="0" applyFont="1" applyBorder="1" applyAlignment="1">
      <alignment horizontal="center" vertical="center"/>
    </xf>
    <xf numFmtId="0" fontId="7" fillId="0" borderId="14" xfId="0" applyFont="1" applyBorder="1" applyAlignment="1">
      <alignment horizontal="center" vertical="center"/>
    </xf>
    <xf numFmtId="0" fontId="10" fillId="0" borderId="10" xfId="0" applyFont="1" applyBorder="1" applyAlignment="1">
      <alignment horizontal="center" vertical="center"/>
    </xf>
    <xf numFmtId="0" fontId="10" fillId="0" borderId="12" xfId="0" applyFont="1" applyBorder="1" applyAlignment="1">
      <alignment horizontal="center" vertical="center"/>
    </xf>
    <xf numFmtId="0" fontId="10" fillId="0" borderId="11" xfId="0" applyFont="1" applyBorder="1" applyAlignment="1">
      <alignment horizontal="center" vertical="center"/>
    </xf>
    <xf numFmtId="0" fontId="64" fillId="0" borderId="2" xfId="0" applyFont="1" applyBorder="1" applyAlignment="1">
      <alignment horizontal="center" vertical="top" wrapText="1"/>
    </xf>
    <xf numFmtId="0" fontId="64" fillId="0" borderId="3" xfId="0" applyFont="1" applyBorder="1" applyAlignment="1">
      <alignment horizontal="center" vertical="top" wrapText="1"/>
    </xf>
    <xf numFmtId="0" fontId="64" fillId="0" borderId="4" xfId="0" applyFont="1" applyBorder="1" applyAlignment="1">
      <alignment horizontal="center" vertical="top" wrapText="1"/>
    </xf>
    <xf numFmtId="0" fontId="64" fillId="0" borderId="5" xfId="0" applyFont="1" applyBorder="1" applyAlignment="1">
      <alignment horizontal="center" vertical="top" wrapText="1"/>
    </xf>
    <xf numFmtId="0" fontId="64" fillId="0" borderId="6" xfId="0" applyFont="1" applyBorder="1" applyAlignment="1">
      <alignment horizontal="center" vertical="top" wrapText="1"/>
    </xf>
    <xf numFmtId="0" fontId="64" fillId="0" borderId="7" xfId="0" applyFont="1" applyBorder="1" applyAlignment="1">
      <alignment horizontal="center" vertical="top" wrapText="1"/>
    </xf>
    <xf numFmtId="0" fontId="65" fillId="0" borderId="8" xfId="0" applyFont="1" applyBorder="1" applyAlignment="1">
      <alignment horizontal="center" vertical="center"/>
    </xf>
    <xf numFmtId="0" fontId="65" fillId="0" borderId="0" xfId="0" applyFont="1" applyAlignment="1">
      <alignment horizontal="center" vertical="center"/>
    </xf>
    <xf numFmtId="0" fontId="63" fillId="2" borderId="10" xfId="0" applyFont="1" applyFill="1" applyBorder="1" applyAlignment="1">
      <alignment horizontal="right" vertical="center"/>
    </xf>
    <xf numFmtId="0" fontId="63" fillId="2" borderId="11" xfId="0" applyFont="1" applyFill="1" applyBorder="1" applyAlignment="1">
      <alignment horizontal="right" vertical="center"/>
    </xf>
    <xf numFmtId="0" fontId="10" fillId="0" borderId="2" xfId="0" applyFont="1" applyBorder="1" applyAlignment="1">
      <alignment horizontal="right" vertical="center"/>
    </xf>
    <xf numFmtId="0" fontId="10" fillId="0" borderId="3" xfId="0" applyFont="1" applyBorder="1" applyAlignment="1">
      <alignment horizontal="right" vertical="center"/>
    </xf>
    <xf numFmtId="0" fontId="10" fillId="0" borderId="10" xfId="0" applyFont="1" applyBorder="1" applyAlignment="1">
      <alignment horizontal="right" vertical="center"/>
    </xf>
    <xf numFmtId="0" fontId="10" fillId="0" borderId="11" xfId="0" applyFont="1" applyBorder="1" applyAlignment="1">
      <alignment horizontal="right" vertical="center"/>
    </xf>
    <xf numFmtId="0" fontId="22" fillId="2" borderId="4" xfId="0" applyFont="1" applyFill="1" applyBorder="1" applyAlignment="1">
      <alignment horizontal="center" vertical="top"/>
    </xf>
    <xf numFmtId="0" fontId="22" fillId="2" borderId="0" xfId="0" applyFont="1" applyFill="1" applyAlignment="1">
      <alignment horizontal="center" vertical="top"/>
    </xf>
    <xf numFmtId="0" fontId="69" fillId="0" borderId="2" xfId="0" applyFont="1" applyBorder="1" applyAlignment="1">
      <alignment horizontal="center" vertical="top" wrapText="1"/>
    </xf>
    <xf numFmtId="0" fontId="69" fillId="0" borderId="3" xfId="0" applyFont="1" applyBorder="1" applyAlignment="1">
      <alignment horizontal="center" vertical="top" wrapText="1"/>
    </xf>
    <xf numFmtId="0" fontId="69" fillId="0" borderId="4" xfId="0" applyFont="1" applyBorder="1" applyAlignment="1">
      <alignment horizontal="center" vertical="top" wrapText="1"/>
    </xf>
    <xf numFmtId="0" fontId="69" fillId="0" borderId="5" xfId="0" applyFont="1" applyBorder="1" applyAlignment="1">
      <alignment horizontal="center" vertical="top" wrapText="1"/>
    </xf>
    <xf numFmtId="0" fontId="69" fillId="0" borderId="6" xfId="0" applyFont="1" applyBorder="1" applyAlignment="1">
      <alignment horizontal="center" vertical="top" wrapText="1"/>
    </xf>
    <xf numFmtId="0" fontId="69" fillId="0" borderId="7" xfId="0" applyFont="1" applyBorder="1" applyAlignment="1">
      <alignment horizontal="center" vertical="top" wrapText="1"/>
    </xf>
    <xf numFmtId="0" fontId="15" fillId="0" borderId="10" xfId="0" applyFont="1" applyBorder="1" applyAlignment="1">
      <alignment horizontal="center" vertical="center"/>
    </xf>
    <xf numFmtId="0" fontId="15" fillId="0" borderId="12" xfId="0" applyFont="1" applyBorder="1" applyAlignment="1">
      <alignment horizontal="center" vertical="center"/>
    </xf>
    <xf numFmtId="0" fontId="15" fillId="0" borderId="11" xfId="0" applyFont="1" applyBorder="1" applyAlignment="1">
      <alignment horizontal="center" vertical="center"/>
    </xf>
    <xf numFmtId="0" fontId="0" fillId="0" borderId="2" xfId="0" applyBorder="1" applyAlignment="1">
      <alignment horizontal="center" vertical="top" wrapText="1"/>
    </xf>
    <xf numFmtId="0" fontId="0" fillId="0" borderId="3" xfId="0" applyBorder="1" applyAlignment="1">
      <alignment horizontal="center" vertical="top" wrapText="1"/>
    </xf>
    <xf numFmtId="0" fontId="0" fillId="0" borderId="4" xfId="0" applyBorder="1" applyAlignment="1">
      <alignment horizontal="center" vertical="top" wrapText="1"/>
    </xf>
    <xf numFmtId="0" fontId="0" fillId="0" borderId="5" xfId="0" applyBorder="1" applyAlignment="1">
      <alignment horizontal="center" vertical="top" wrapText="1"/>
    </xf>
    <xf numFmtId="0" fontId="0" fillId="0" borderId="6" xfId="0" applyBorder="1" applyAlignment="1">
      <alignment horizontal="center" vertical="top" wrapText="1"/>
    </xf>
    <xf numFmtId="0" fontId="0" fillId="0" borderId="7" xfId="0" applyBorder="1" applyAlignment="1">
      <alignment horizontal="center" vertical="top" wrapText="1"/>
    </xf>
    <xf numFmtId="0" fontId="70" fillId="0" borderId="10" xfId="0" applyFont="1" applyBorder="1" applyAlignment="1">
      <alignment horizontal="center" vertical="center"/>
    </xf>
    <xf numFmtId="0" fontId="70" fillId="0" borderId="12" xfId="0" applyFont="1" applyBorder="1" applyAlignment="1">
      <alignment horizontal="center" vertical="center"/>
    </xf>
    <xf numFmtId="0" fontId="70" fillId="0" borderId="11" xfId="0" applyFont="1" applyBorder="1" applyAlignment="1">
      <alignment horizontal="center" vertical="center"/>
    </xf>
    <xf numFmtId="0" fontId="55" fillId="0" borderId="0" xfId="0" applyFont="1" applyAlignment="1">
      <alignment horizontal="center" vertical="center"/>
    </xf>
    <xf numFmtId="0" fontId="4" fillId="0" borderId="0" xfId="2" applyAlignment="1">
      <alignment horizontal="center" vertical="center"/>
    </xf>
    <xf numFmtId="0" fontId="25" fillId="0" borderId="10" xfId="0" applyFont="1" applyBorder="1" applyAlignment="1">
      <alignment horizontal="center" vertical="center"/>
    </xf>
    <xf numFmtId="0" fontId="25" fillId="0" borderId="12" xfId="0" applyFont="1" applyBorder="1" applyAlignment="1">
      <alignment horizontal="center" vertical="center"/>
    </xf>
    <xf numFmtId="0" fontId="25" fillId="0" borderId="11" xfId="0" applyFont="1" applyBorder="1" applyAlignment="1">
      <alignment horizontal="center" vertical="center"/>
    </xf>
    <xf numFmtId="0" fontId="5" fillId="0" borderId="13" xfId="0" applyFont="1" applyBorder="1" applyAlignment="1">
      <alignment horizontal="center" vertical="center" wrapText="1"/>
    </xf>
    <xf numFmtId="0" fontId="5" fillId="0" borderId="14" xfId="0" applyFont="1" applyBorder="1" applyAlignment="1">
      <alignment horizontal="center" vertical="center" wrapText="1"/>
    </xf>
    <xf numFmtId="0" fontId="9" fillId="2" borderId="0" xfId="0" applyFont="1" applyFill="1" applyAlignment="1">
      <alignment horizontal="center" vertical="center"/>
    </xf>
    <xf numFmtId="0" fontId="7" fillId="2" borderId="0" xfId="0" applyFont="1" applyFill="1" applyAlignment="1">
      <alignment horizontal="center" vertical="center"/>
    </xf>
    <xf numFmtId="0" fontId="3" fillId="0" borderId="10" xfId="0" applyFont="1" applyBorder="1" applyAlignment="1">
      <alignment horizontal="center" vertical="center"/>
    </xf>
    <xf numFmtId="0" fontId="3" fillId="0" borderId="12" xfId="0" applyFont="1" applyBorder="1" applyAlignment="1">
      <alignment horizontal="center" vertical="center"/>
    </xf>
    <xf numFmtId="0" fontId="3" fillId="0" borderId="11" xfId="0" applyFont="1" applyBorder="1" applyAlignment="1">
      <alignment horizontal="center" vertical="center"/>
    </xf>
    <xf numFmtId="0" fontId="54" fillId="0" borderId="10" xfId="0" applyFont="1" applyBorder="1" applyAlignment="1">
      <alignment horizontal="center" vertical="center"/>
    </xf>
    <xf numFmtId="0" fontId="54" fillId="0" borderId="12" xfId="0" applyFont="1" applyBorder="1" applyAlignment="1">
      <alignment horizontal="center" vertical="center"/>
    </xf>
    <xf numFmtId="0" fontId="54" fillId="0" borderId="11" xfId="0" applyFont="1" applyBorder="1" applyAlignment="1">
      <alignment horizontal="center" vertical="center"/>
    </xf>
    <xf numFmtId="0" fontId="3" fillId="0" borderId="10" xfId="0" applyFont="1" applyBorder="1" applyAlignment="1">
      <alignment horizontal="center"/>
    </xf>
    <xf numFmtId="0" fontId="3" fillId="0" borderId="12" xfId="0" applyFont="1" applyBorder="1" applyAlignment="1">
      <alignment horizontal="center"/>
    </xf>
    <xf numFmtId="0" fontId="3" fillId="0" borderId="11" xfId="0" applyFont="1" applyBorder="1" applyAlignment="1">
      <alignment horizontal="center"/>
    </xf>
    <xf numFmtId="0" fontId="3" fillId="0" borderId="8" xfId="0" applyFont="1" applyBorder="1" applyAlignment="1">
      <alignment horizontal="center" wrapText="1"/>
    </xf>
    <xf numFmtId="0" fontId="3" fillId="0" borderId="3" xfId="0" applyFont="1" applyBorder="1" applyAlignment="1">
      <alignment horizontal="center"/>
    </xf>
    <xf numFmtId="0" fontId="3" fillId="0" borderId="2" xfId="0" applyFont="1" applyBorder="1" applyAlignment="1">
      <alignment horizontal="center" wrapText="1"/>
    </xf>
    <xf numFmtId="0" fontId="3" fillId="0" borderId="3" xfId="0" applyFont="1" applyBorder="1" applyAlignment="1">
      <alignment horizontal="center" wrapText="1"/>
    </xf>
    <xf numFmtId="0" fontId="53" fillId="2" borderId="4" xfId="0" applyFont="1" applyFill="1" applyBorder="1" applyAlignment="1">
      <alignment horizontal="center" vertical="center"/>
    </xf>
    <xf numFmtId="0" fontId="53" fillId="2" borderId="0" xfId="0" applyFont="1" applyFill="1" applyAlignment="1">
      <alignment horizontal="center" vertical="center"/>
    </xf>
    <xf numFmtId="0" fontId="0" fillId="0" borderId="12" xfId="0" applyBorder="1" applyAlignment="1">
      <alignment horizontal="center"/>
    </xf>
    <xf numFmtId="0" fontId="0" fillId="0" borderId="11" xfId="0" applyBorder="1" applyAlignment="1">
      <alignment horizontal="center"/>
    </xf>
    <xf numFmtId="0" fontId="3" fillId="0" borderId="2" xfId="0" applyFont="1" applyBorder="1" applyAlignment="1">
      <alignment horizontal="center"/>
    </xf>
    <xf numFmtId="0" fontId="30" fillId="0" borderId="8" xfId="0" applyFont="1" applyBorder="1"/>
    <xf numFmtId="0" fontId="30" fillId="0" borderId="3" xfId="0" applyFont="1" applyBorder="1"/>
    <xf numFmtId="0" fontId="8" fillId="0" borderId="10" xfId="0" applyFont="1" applyBorder="1" applyAlignment="1">
      <alignment horizontal="center" vertical="top" wrapText="1"/>
    </xf>
    <xf numFmtId="0" fontId="8" fillId="0" borderId="12" xfId="0" applyFont="1" applyBorder="1" applyAlignment="1">
      <alignment horizontal="center" vertical="top" wrapText="1"/>
    </xf>
    <xf numFmtId="0" fontId="8" fillId="0" borderId="11" xfId="0" applyFont="1" applyBorder="1" applyAlignment="1">
      <alignment horizontal="center" vertical="top" wrapText="1"/>
    </xf>
    <xf numFmtId="0" fontId="7" fillId="4" borderId="2" xfId="0" applyFont="1" applyFill="1" applyBorder="1" applyAlignment="1">
      <alignment horizontal="center" vertical="center"/>
    </xf>
    <xf numFmtId="0" fontId="7" fillId="4" borderId="3" xfId="0" applyFont="1" applyFill="1" applyBorder="1" applyAlignment="1">
      <alignment horizontal="center" vertical="center"/>
    </xf>
    <xf numFmtId="0" fontId="7" fillId="4" borderId="6" xfId="0" applyFont="1" applyFill="1" applyBorder="1" applyAlignment="1">
      <alignment horizontal="center" vertical="center"/>
    </xf>
    <xf numFmtId="0" fontId="7" fillId="4" borderId="7" xfId="0" applyFont="1" applyFill="1" applyBorder="1" applyAlignment="1">
      <alignment horizontal="center" vertical="center"/>
    </xf>
    <xf numFmtId="0" fontId="9" fillId="2" borderId="4" xfId="0" applyFont="1" applyFill="1" applyBorder="1" applyAlignment="1">
      <alignment horizontal="center" vertical="center"/>
    </xf>
    <xf numFmtId="0" fontId="7" fillId="4" borderId="10" xfId="0" applyFont="1" applyFill="1" applyBorder="1" applyAlignment="1">
      <alignment horizontal="center" vertical="center"/>
    </xf>
    <xf numFmtId="0" fontId="7" fillId="4" borderId="11" xfId="0" applyFont="1" applyFill="1" applyBorder="1" applyAlignment="1">
      <alignment horizontal="center" vertical="center"/>
    </xf>
    <xf numFmtId="0" fontId="1" fillId="0" borderId="13" xfId="0" applyFont="1" applyBorder="1" applyAlignment="1">
      <alignment horizontal="center" vertical="center"/>
    </xf>
    <xf numFmtId="0" fontId="1" fillId="0" borderId="15" xfId="0" applyFont="1" applyBorder="1" applyAlignment="1">
      <alignment horizontal="center" vertical="center"/>
    </xf>
    <xf numFmtId="0" fontId="1" fillId="0" borderId="14" xfId="0" applyFont="1" applyBorder="1" applyAlignment="1">
      <alignment horizontal="center" vertical="center"/>
    </xf>
    <xf numFmtId="0" fontId="7" fillId="4" borderId="4" xfId="0" applyFont="1" applyFill="1" applyBorder="1" applyAlignment="1">
      <alignment horizontal="center" vertical="center"/>
    </xf>
    <xf numFmtId="0" fontId="7" fillId="4" borderId="5" xfId="0" applyFont="1" applyFill="1" applyBorder="1" applyAlignment="1">
      <alignment horizontal="center" vertical="center"/>
    </xf>
    <xf numFmtId="0" fontId="18" fillId="0" borderId="5" xfId="0" applyFont="1" applyBorder="1" applyAlignment="1">
      <alignment horizontal="center" vertical="center"/>
    </xf>
    <xf numFmtId="0" fontId="18" fillId="0" borderId="7" xfId="0" applyFont="1" applyBorder="1" applyAlignment="1">
      <alignment horizontal="center" vertical="center"/>
    </xf>
    <xf numFmtId="0" fontId="5" fillId="0" borderId="10" xfId="0" applyFont="1" applyBorder="1" applyAlignment="1">
      <alignment horizontal="center" vertical="top" wrapText="1"/>
    </xf>
    <xf numFmtId="0" fontId="5" fillId="0" borderId="12" xfId="0" applyFont="1" applyBorder="1" applyAlignment="1">
      <alignment horizontal="center" vertical="top" wrapText="1"/>
    </xf>
    <xf numFmtId="0" fontId="5" fillId="0" borderId="11" xfId="0" applyFont="1" applyBorder="1" applyAlignment="1">
      <alignment horizontal="center" vertical="top" wrapText="1"/>
    </xf>
    <xf numFmtId="0" fontId="11" fillId="0" borderId="5" xfId="0" applyFont="1" applyBorder="1" applyAlignment="1">
      <alignment horizontal="center" vertical="center"/>
    </xf>
    <xf numFmtId="0" fontId="11" fillId="0" borderId="7" xfId="0" applyFont="1" applyBorder="1" applyAlignment="1">
      <alignment horizontal="center" vertical="center"/>
    </xf>
    <xf numFmtId="0" fontId="8" fillId="0" borderId="2" xfId="0" applyFont="1" applyBorder="1" applyAlignment="1">
      <alignment horizontal="left" vertical="top" wrapText="1"/>
    </xf>
    <xf numFmtId="0" fontId="8" fillId="0" borderId="8" xfId="0" applyFont="1" applyBorder="1" applyAlignment="1">
      <alignment horizontal="left" vertical="top" wrapText="1"/>
    </xf>
    <xf numFmtId="0" fontId="8" fillId="0" borderId="3" xfId="0" applyFont="1" applyBorder="1" applyAlignment="1">
      <alignment horizontal="left" vertical="top" wrapText="1"/>
    </xf>
    <xf numFmtId="0" fontId="8" fillId="0" borderId="4" xfId="0" applyFont="1" applyBorder="1" applyAlignment="1">
      <alignment horizontal="left" vertical="top" wrapText="1"/>
    </xf>
    <xf numFmtId="0" fontId="8" fillId="0" borderId="0" xfId="0" applyFont="1" applyAlignment="1">
      <alignment horizontal="left" vertical="top" wrapText="1"/>
    </xf>
    <xf numFmtId="0" fontId="8" fillId="0" borderId="5" xfId="0" applyFont="1" applyBorder="1" applyAlignment="1">
      <alignment horizontal="left" vertical="top" wrapText="1"/>
    </xf>
    <xf numFmtId="0" fontId="8" fillId="0" borderId="6" xfId="0" applyFont="1" applyBorder="1" applyAlignment="1">
      <alignment horizontal="left" vertical="top" wrapText="1"/>
    </xf>
    <xf numFmtId="0" fontId="8" fillId="0" borderId="9" xfId="0" applyFont="1" applyBorder="1" applyAlignment="1">
      <alignment horizontal="left" vertical="top" wrapText="1"/>
    </xf>
    <xf numFmtId="0" fontId="8" fillId="0" borderId="7" xfId="0" applyFont="1" applyBorder="1" applyAlignment="1">
      <alignment horizontal="left" vertical="top" wrapText="1"/>
    </xf>
    <xf numFmtId="0" fontId="3" fillId="0" borderId="10" xfId="0" applyFont="1" applyFill="1" applyBorder="1"/>
    <xf numFmtId="0" fontId="3" fillId="0" borderId="12" xfId="0" applyFont="1" applyFill="1" applyBorder="1"/>
    <xf numFmtId="0" fontId="3" fillId="0" borderId="11" xfId="0" applyFont="1" applyFill="1" applyBorder="1"/>
    <xf numFmtId="0" fontId="0" fillId="0" borderId="4" xfId="0" applyFill="1" applyBorder="1"/>
    <xf numFmtId="0" fontId="0" fillId="0" borderId="0" xfId="0" applyFill="1"/>
    <xf numFmtId="164" fontId="0" fillId="0" borderId="0" xfId="1" applyNumberFormat="1" applyFont="1" applyFill="1" applyBorder="1"/>
    <xf numFmtId="164" fontId="0" fillId="0" borderId="0" xfId="0" applyNumberFormat="1" applyFill="1"/>
    <xf numFmtId="164" fontId="0" fillId="0" borderId="5" xfId="0" applyNumberFormat="1" applyFill="1" applyBorder="1"/>
    <xf numFmtId="0" fontId="0" fillId="0" borderId="31" xfId="0" applyFill="1" applyBorder="1"/>
    <xf numFmtId="0" fontId="0" fillId="0" borderId="35" xfId="0" applyFill="1" applyBorder="1"/>
    <xf numFmtId="164" fontId="0" fillId="0" borderId="35" xfId="1" applyNumberFormat="1" applyFont="1" applyFill="1" applyBorder="1"/>
    <xf numFmtId="164" fontId="0" fillId="0" borderId="35" xfId="0" applyNumberFormat="1" applyFill="1" applyBorder="1"/>
    <xf numFmtId="164" fontId="0" fillId="0" borderId="32" xfId="0" applyNumberFormat="1" applyFill="1" applyBorder="1"/>
    <xf numFmtId="0" fontId="0" fillId="0" borderId="27" xfId="0" applyFill="1" applyBorder="1"/>
    <xf numFmtId="0" fontId="0" fillId="0" borderId="34" xfId="0" applyFill="1" applyBorder="1"/>
    <xf numFmtId="164" fontId="0" fillId="0" borderId="34" xfId="1" applyNumberFormat="1" applyFont="1" applyFill="1" applyBorder="1"/>
    <xf numFmtId="164" fontId="0" fillId="0" borderId="34" xfId="0" applyNumberFormat="1" applyFill="1" applyBorder="1"/>
    <xf numFmtId="164" fontId="0" fillId="0" borderId="28" xfId="0" applyNumberFormat="1" applyFill="1" applyBorder="1"/>
    <xf numFmtId="0" fontId="0" fillId="0" borderId="36" xfId="0" applyFill="1" applyBorder="1"/>
    <xf numFmtId="0" fontId="0" fillId="0" borderId="37" xfId="0" applyFill="1" applyBorder="1"/>
    <xf numFmtId="164" fontId="0" fillId="0" borderId="37" xfId="1" applyNumberFormat="1" applyFont="1" applyFill="1" applyBorder="1"/>
    <xf numFmtId="164" fontId="0" fillId="0" borderId="37" xfId="0" applyNumberFormat="1" applyFill="1" applyBorder="1"/>
    <xf numFmtId="164" fontId="0" fillId="0" borderId="38" xfId="0" applyNumberFormat="1" applyFill="1" applyBorder="1"/>
    <xf numFmtId="0" fontId="0" fillId="0" borderId="35" xfId="0" applyBorder="1" applyAlignment="1">
      <alignment horizontal="left"/>
    </xf>
    <xf numFmtId="0" fontId="4" fillId="0" borderId="35" xfId="2" applyBorder="1" applyAlignment="1"/>
    <xf numFmtId="0" fontId="0" fillId="0" borderId="37" xfId="0" applyBorder="1" applyAlignment="1">
      <alignment horizontal="left"/>
    </xf>
    <xf numFmtId="0" fontId="4" fillId="0" borderId="37" xfId="2" applyBorder="1" applyAlignment="1"/>
    <xf numFmtId="43" fontId="0" fillId="0" borderId="35" xfId="1" applyFont="1" applyBorder="1"/>
    <xf numFmtId="0" fontId="3" fillId="0" borderId="12" xfId="0" applyNumberFormat="1" applyFont="1" applyBorder="1"/>
    <xf numFmtId="0" fontId="3" fillId="0" borderId="12" xfId="1" applyNumberFormat="1" applyFont="1" applyBorder="1"/>
    <xf numFmtId="0" fontId="3" fillId="0" borderId="11" xfId="1" applyNumberFormat="1" applyFont="1" applyBorder="1"/>
    <xf numFmtId="43" fontId="0" fillId="0" borderId="33" xfId="1" applyFont="1" applyBorder="1"/>
    <xf numFmtId="43" fontId="0" fillId="0" borderId="30" xfId="1" applyFont="1" applyBorder="1"/>
    <xf numFmtId="43" fontId="0" fillId="0" borderId="32" xfId="1" applyFont="1" applyBorder="1"/>
    <xf numFmtId="43" fontId="0" fillId="0" borderId="37" xfId="1" applyFont="1" applyBorder="1"/>
    <xf numFmtId="43" fontId="0" fillId="0" borderId="38" xfId="1" applyFont="1" applyBorder="1"/>
    <xf numFmtId="0" fontId="3" fillId="0" borderId="39" xfId="0" applyFont="1" applyBorder="1"/>
    <xf numFmtId="0" fontId="3" fillId="0" borderId="40" xfId="0" applyFont="1" applyBorder="1"/>
    <xf numFmtId="0" fontId="3" fillId="0" borderId="41" xfId="0" applyFont="1" applyBorder="1"/>
    <xf numFmtId="0" fontId="0" fillId="0" borderId="42" xfId="0" applyBorder="1"/>
    <xf numFmtId="0" fontId="0" fillId="0" borderId="43" xfId="0" applyBorder="1"/>
    <xf numFmtId="3" fontId="0" fillId="0" borderId="43" xfId="0" applyNumberFormat="1" applyBorder="1"/>
    <xf numFmtId="0" fontId="0" fillId="0" borderId="44" xfId="0" applyBorder="1"/>
    <xf numFmtId="0" fontId="0" fillId="0" borderId="45" xfId="0" applyBorder="1"/>
    <xf numFmtId="0" fontId="0" fillId="0" borderId="46" xfId="0" applyBorder="1"/>
    <xf numFmtId="0" fontId="0" fillId="0" borderId="47" xfId="0" applyBorder="1"/>
    <xf numFmtId="0" fontId="0" fillId="0" borderId="48" xfId="0" applyBorder="1"/>
    <xf numFmtId="3" fontId="0" fillId="0" borderId="48" xfId="0" applyNumberFormat="1" applyBorder="1"/>
    <xf numFmtId="0" fontId="0" fillId="0" borderId="49" xfId="0" applyBorder="1"/>
    <xf numFmtId="10" fontId="0" fillId="0" borderId="43" xfId="3" applyNumberFormat="1" applyFont="1" applyBorder="1"/>
    <xf numFmtId="10" fontId="0" fillId="0" borderId="35" xfId="3" applyNumberFormat="1" applyFont="1" applyBorder="1"/>
    <xf numFmtId="10" fontId="0" fillId="0" borderId="48" xfId="3" applyNumberFormat="1" applyFont="1" applyBorder="1"/>
    <xf numFmtId="0" fontId="3" fillId="0" borderId="50" xfId="0" applyFont="1" applyBorder="1"/>
    <xf numFmtId="0" fontId="3" fillId="0" borderId="51" xfId="0" applyFont="1" applyBorder="1"/>
    <xf numFmtId="0" fontId="3" fillId="0" borderId="52" xfId="0" applyFont="1" applyBorder="1"/>
    <xf numFmtId="0" fontId="0" fillId="0" borderId="53" xfId="0" applyBorder="1"/>
    <xf numFmtId="15" fontId="0" fillId="0" borderId="54" xfId="0" applyNumberFormat="1" applyBorder="1"/>
    <xf numFmtId="9" fontId="0" fillId="0" borderId="35" xfId="0" applyNumberFormat="1" applyBorder="1" applyAlignment="1">
      <alignment horizontal="center"/>
    </xf>
    <xf numFmtId="0" fontId="0" fillId="0" borderId="31" xfId="0" applyBorder="1" applyAlignment="1">
      <alignment horizontal="center"/>
    </xf>
    <xf numFmtId="9" fontId="0" fillId="0" borderId="32" xfId="0" applyNumberFormat="1" applyBorder="1" applyAlignment="1">
      <alignment horizontal="left"/>
    </xf>
    <xf numFmtId="0" fontId="0" fillId="0" borderId="55" xfId="0" applyBorder="1" applyAlignment="1">
      <alignment horizontal="center"/>
    </xf>
    <xf numFmtId="0" fontId="0" fillId="0" borderId="56" xfId="0" applyBorder="1"/>
    <xf numFmtId="15" fontId="0" fillId="0" borderId="57" xfId="0" applyNumberFormat="1" applyBorder="1"/>
    <xf numFmtId="9" fontId="0" fillId="0" borderId="33" xfId="0" applyNumberFormat="1" applyBorder="1" applyAlignment="1">
      <alignment horizontal="center"/>
    </xf>
    <xf numFmtId="0" fontId="0" fillId="0" borderId="29" xfId="0" applyBorder="1" applyAlignment="1">
      <alignment horizontal="center"/>
    </xf>
    <xf numFmtId="9" fontId="0" fillId="0" borderId="30" xfId="0" applyNumberFormat="1" applyBorder="1" applyAlignment="1">
      <alignment horizontal="left"/>
    </xf>
    <xf numFmtId="9" fontId="0" fillId="0" borderId="56" xfId="0" applyNumberFormat="1" applyBorder="1"/>
    <xf numFmtId="0" fontId="0" fillId="0" borderId="58" xfId="0" applyBorder="1" applyAlignment="1">
      <alignment horizontal="center"/>
    </xf>
    <xf numFmtId="9" fontId="0" fillId="0" borderId="53" xfId="0" applyNumberFormat="1" applyBorder="1"/>
    <xf numFmtId="0" fontId="0" fillId="0" borderId="59" xfId="0" applyBorder="1" applyAlignment="1">
      <alignment horizontal="center"/>
    </xf>
    <xf numFmtId="0" fontId="0" fillId="0" borderId="60" xfId="0" applyBorder="1"/>
    <xf numFmtId="15" fontId="0" fillId="0" borderId="61" xfId="0" applyNumberFormat="1" applyBorder="1"/>
    <xf numFmtId="9" fontId="0" fillId="0" borderId="37" xfId="0" applyNumberFormat="1" applyBorder="1" applyAlignment="1">
      <alignment horizontal="center"/>
    </xf>
    <xf numFmtId="0" fontId="0" fillId="0" borderId="36" xfId="0" applyBorder="1" applyAlignment="1">
      <alignment horizontal="center"/>
    </xf>
    <xf numFmtId="9" fontId="0" fillId="0" borderId="38" xfId="0" applyNumberFormat="1" applyBorder="1" applyAlignment="1">
      <alignment horizontal="left"/>
    </xf>
    <xf numFmtId="9" fontId="0" fillId="0" borderId="60" xfId="0" applyNumberFormat="1" applyBorder="1"/>
    <xf numFmtId="0" fontId="0" fillId="10" borderId="12" xfId="0" applyFill="1" applyBorder="1" applyAlignment="1"/>
    <xf numFmtId="0" fontId="0" fillId="0" borderId="0" xfId="0" applyAlignment="1"/>
    <xf numFmtId="0" fontId="0" fillId="11" borderId="12" xfId="0" applyFill="1" applyBorder="1" applyAlignment="1"/>
    <xf numFmtId="3" fontId="3" fillId="0" borderId="11" xfId="0" applyNumberFormat="1" applyFont="1" applyBorder="1"/>
    <xf numFmtId="169" fontId="0" fillId="0" borderId="35" xfId="0" applyNumberFormat="1" applyBorder="1"/>
    <xf numFmtId="3" fontId="0" fillId="0" borderId="34" xfId="0" applyNumberFormat="1" applyBorder="1"/>
    <xf numFmtId="169" fontId="0" fillId="0" borderId="34" xfId="0" applyNumberFormat="1" applyBorder="1"/>
    <xf numFmtId="169" fontId="0" fillId="0" borderId="28" xfId="0" applyNumberFormat="1" applyBorder="1"/>
    <xf numFmtId="169" fontId="0" fillId="0" borderId="32" xfId="0" applyNumberFormat="1" applyBorder="1"/>
    <xf numFmtId="169" fontId="0" fillId="0" borderId="37" xfId="0" applyNumberFormat="1" applyBorder="1"/>
    <xf numFmtId="169" fontId="0" fillId="0" borderId="38" xfId="0" applyNumberFormat="1" applyBorder="1"/>
  </cellXfs>
  <cellStyles count="4">
    <cellStyle name="Comma" xfId="1" builtinId="3"/>
    <cellStyle name="Hyperlink" xfId="2" builtinId="8"/>
    <cellStyle name="Normal" xfId="0" builtinId="0"/>
    <cellStyle name="Percent" xfId="3" builtinId="5"/>
  </cellStyles>
  <dxfs count="12">
    <dxf>
      <fill>
        <patternFill>
          <bgColor rgb="FF840808"/>
        </patternFill>
      </fill>
    </dxf>
    <dxf>
      <fill>
        <patternFill>
          <bgColor rgb="FF085594"/>
        </patternFill>
      </fill>
    </dxf>
    <dxf>
      <fill>
        <patternFill>
          <bgColor rgb="FF520C9C"/>
        </patternFill>
      </fill>
    </dxf>
    <dxf>
      <fill>
        <patternFill>
          <bgColor rgb="FF087539"/>
        </patternFill>
      </fill>
    </dxf>
    <dxf>
      <fill>
        <patternFill>
          <bgColor rgb="FF840808"/>
        </patternFill>
      </fill>
    </dxf>
    <dxf>
      <fill>
        <patternFill>
          <bgColor rgb="FF085594"/>
        </patternFill>
      </fill>
    </dxf>
    <dxf>
      <fill>
        <patternFill>
          <bgColor rgb="FF520C9C"/>
        </patternFill>
      </fill>
    </dxf>
    <dxf>
      <fill>
        <patternFill>
          <bgColor rgb="FF087539"/>
        </patternFill>
      </fill>
    </dxf>
    <dxf>
      <fill>
        <patternFill>
          <bgColor rgb="FF840808"/>
        </patternFill>
      </fill>
    </dxf>
    <dxf>
      <fill>
        <patternFill>
          <bgColor rgb="FF085594"/>
        </patternFill>
      </fill>
    </dxf>
    <dxf>
      <fill>
        <patternFill>
          <bgColor rgb="FF520C9C"/>
        </patternFill>
      </fill>
    </dxf>
    <dxf>
      <fill>
        <patternFill>
          <bgColor rgb="FF087539"/>
        </patternFill>
      </fill>
    </dxf>
  </dxfs>
  <tableStyles count="0" defaultTableStyle="TableStyleMedium2" defaultPivotStyle="PivotStyleLight16"/>
  <colors>
    <mruColors>
      <color rgb="FFCCFFFF"/>
      <color rgb="FFB4FFFF"/>
      <color rgb="FFFFCCCC"/>
      <color rgb="FFFFCCFF"/>
      <color rgb="FFFFFFCC"/>
      <color rgb="FFFFD966"/>
      <color rgb="FFFFC70A"/>
      <color rgb="FF087539"/>
      <color rgb="FF520C9C"/>
      <color rgb="FF08559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microsoft.com/office/2017/06/relationships/rdRichValue" Target="richData/rdrichvalue.xml"/><Relationship Id="rId68"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connections" Target="connections.xml"/><Relationship Id="rId66" Type="http://schemas.openxmlformats.org/officeDocument/2006/relationships/calcChain" Target="calcChain.xml"/><Relationship Id="rId5" Type="http://schemas.openxmlformats.org/officeDocument/2006/relationships/worksheet" Target="worksheets/sheet5.xml"/><Relationship Id="rId61" Type="http://schemas.openxmlformats.org/officeDocument/2006/relationships/sheetMetadata" Target="metadata.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microsoft.com/office/2017/06/relationships/rdRichValueStructure" Target="richData/rdrichvaluestructure.xml"/><Relationship Id="rId69" Type="http://schemas.openxmlformats.org/officeDocument/2006/relationships/customXml" Target="../customXml/item3.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tyles" Target="styles.xml"/><Relationship Id="rId67" Type="http://schemas.openxmlformats.org/officeDocument/2006/relationships/customXml" Target="../customXml/item1.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microsoft.com/office/2020/07/relationships/rdRichValueWebImage" Target="richData/rdRichValueWebImage.xml"/><Relationship Id="rId70"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sharedStrings" Target="sharedStrings.xml"/><Relationship Id="rId65" Type="http://schemas.microsoft.com/office/2017/06/relationships/rdRichValueTypes" Target="richData/rdRichValueTypes.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s>
</file>

<file path=xl/richData/_rels/rdRichValueWebImage.xml.rels><?xml version="1.0" encoding="UTF-8" standalone="yes"?>
<Relationships xmlns="http://schemas.openxmlformats.org/package/2006/relationships"><Relationship Id="rId1827" Type="http://schemas.openxmlformats.org/officeDocument/2006/relationships/image" Target="../media/image909.png"/><Relationship Id="rId3042" Type="http://schemas.openxmlformats.org/officeDocument/2006/relationships/image" Target="../media/image1516.png"/><Relationship Id="rId170" Type="http://schemas.openxmlformats.org/officeDocument/2006/relationships/image" Target="../media/image85.png"/><Relationship Id="rId987" Type="http://schemas.openxmlformats.org/officeDocument/2006/relationships/hyperlink" Target="https://natalie.tf/wp-content/uploads/2023/10/DLV3_Icon_WP_400096_02.png" TargetMode="External"/><Relationship Id="rId2668" Type="http://schemas.openxmlformats.org/officeDocument/2006/relationships/hyperlink" Target="https://natalie.tf/wp-content/uploads/2023/10/DLV3_Icon_DRA_210163_01.png" TargetMode="External"/><Relationship Id="rId2875" Type="http://schemas.openxmlformats.org/officeDocument/2006/relationships/image" Target="../media/image1433.png"/><Relationship Id="rId847" Type="http://schemas.openxmlformats.org/officeDocument/2006/relationships/hyperlink" Target="https://natalie.tf/wp-content/uploads/2023/10/DLV3_Icon_WP_400091_01.png" TargetMode="External"/><Relationship Id="rId1477" Type="http://schemas.openxmlformats.org/officeDocument/2006/relationships/image" Target="../media/image734.png"/><Relationship Id="rId1684" Type="http://schemas.openxmlformats.org/officeDocument/2006/relationships/hyperlink" Target="https://natalie.tf/wp-content/uploads/2023/10/DLV3_Icon_WP_400410_02.png" TargetMode="External"/><Relationship Id="rId1891" Type="http://schemas.openxmlformats.org/officeDocument/2006/relationships/image" Target="../media/image941.png"/><Relationship Id="rId2528" Type="http://schemas.openxmlformats.org/officeDocument/2006/relationships/hyperlink" Target="https://natalie.tf/wp-content/uploads/2023/10/DLV3_Icon_ADV_110277_01_r05.png" TargetMode="External"/><Relationship Id="rId2735" Type="http://schemas.openxmlformats.org/officeDocument/2006/relationships/image" Target="../media/image1363.png"/><Relationship Id="rId2942" Type="http://schemas.openxmlformats.org/officeDocument/2006/relationships/image" Target="../media/image1466.png"/><Relationship Id="rId707" Type="http://schemas.openxmlformats.org/officeDocument/2006/relationships/hyperlink" Target="https://natalie.tf/wp-content/uploads/2023/11/DLV3_Icon_Affinity_Butterfly.png" TargetMode="External"/><Relationship Id="rId914" Type="http://schemas.openxmlformats.org/officeDocument/2006/relationships/hyperlink" Target="https://natalie.tf/wp-content/uploads/2023/10/DLV3_Icon_WP_400143_02.png" TargetMode="External"/><Relationship Id="rId1337" Type="http://schemas.openxmlformats.org/officeDocument/2006/relationships/image" Target="../media/image664.png"/><Relationship Id="rId1544" Type="http://schemas.openxmlformats.org/officeDocument/2006/relationships/hyperlink" Target="https://natalie.tf/wp-content/uploads/2023/10/DLV3_Icon_WP_400114_02.png" TargetMode="External"/><Relationship Id="rId1751" Type="http://schemas.openxmlformats.org/officeDocument/2006/relationships/image" Target="../media/image871.png"/><Relationship Id="rId2802" Type="http://schemas.openxmlformats.org/officeDocument/2006/relationships/hyperlink" Target="https://natalie.tf/wp-content/uploads/2023/10/DLV3_Icon_DRA_210068_01.png" TargetMode="External"/><Relationship Id="rId43" Type="http://schemas.openxmlformats.org/officeDocument/2006/relationships/hyperlink" Target="https://natalie.tf/wp-content/uploads/2023/10/DLV3_Icon_Weapon_303020_01.png" TargetMode="External"/><Relationship Id="rId1404" Type="http://schemas.openxmlformats.org/officeDocument/2006/relationships/hyperlink" Target="https://natalie.tf/wp-content/uploads/2023/10/DLV3_Icon_WP_400033_01.png" TargetMode="External"/><Relationship Id="rId1611" Type="http://schemas.openxmlformats.org/officeDocument/2006/relationships/image" Target="../media/image801.png"/><Relationship Id="rId497" Type="http://schemas.openxmlformats.org/officeDocument/2006/relationships/hyperlink" Target="https://natalie.tf/wp-content/uploads/2023/10/DLV3_Icon_Weapon_301140_01.png" TargetMode="External"/><Relationship Id="rId2178" Type="http://schemas.openxmlformats.org/officeDocument/2006/relationships/hyperlink" Target="https://natalie.tf/wp-content/uploads/2023/10/DLV3_Icon_ADV_100013_04_r05.png" TargetMode="External"/><Relationship Id="rId2385" Type="http://schemas.openxmlformats.org/officeDocument/2006/relationships/image" Target="../media/image1188.png"/><Relationship Id="rId357" Type="http://schemas.openxmlformats.org/officeDocument/2006/relationships/hyperlink" Target="https://natalie.tf/wp-content/uploads/2023/10/DLV3_Icon_Weapon_303126_01.png" TargetMode="External"/><Relationship Id="rId1194" Type="http://schemas.openxmlformats.org/officeDocument/2006/relationships/image" Target="../media/image593.png"/><Relationship Id="rId2038" Type="http://schemas.openxmlformats.org/officeDocument/2006/relationships/hyperlink" Target="https://natalie.tf/wp-content/uploads/2023/11/DLV3_Icon_Custom_Devouring_Flame_WP.png" TargetMode="External"/><Relationship Id="rId2592" Type="http://schemas.openxmlformats.org/officeDocument/2006/relationships/hyperlink" Target="https://natalie.tf/wp-content/uploads/2023/10/DLV3_Icon_ADV_110335_01_r05.png" TargetMode="External"/><Relationship Id="rId217" Type="http://schemas.openxmlformats.org/officeDocument/2006/relationships/hyperlink" Target="https://natalie.tf/wp-content/uploads/2023/10/DLV3_Icon_Weapon_301077_01.png" TargetMode="External"/><Relationship Id="rId564" Type="http://schemas.openxmlformats.org/officeDocument/2006/relationships/image" Target="../media/image282.png"/><Relationship Id="rId771" Type="http://schemas.openxmlformats.org/officeDocument/2006/relationships/hyperlink" Target="https://natalie.tf/wp-content/uploads/2023/10/DLV3_Icon_WP_400052_02.png" TargetMode="External"/><Relationship Id="rId2245" Type="http://schemas.openxmlformats.org/officeDocument/2006/relationships/image" Target="../media/image1118.png"/><Relationship Id="rId2452" Type="http://schemas.openxmlformats.org/officeDocument/2006/relationships/hyperlink" Target="https://natalie.tf/wp-content/uploads/2023/10/DLV3_Icon_ADV_110034_01_r05.png" TargetMode="External"/><Relationship Id="rId424" Type="http://schemas.openxmlformats.org/officeDocument/2006/relationships/image" Target="../media/image212.png"/><Relationship Id="rId631" Type="http://schemas.openxmlformats.org/officeDocument/2006/relationships/hyperlink" Target="https://natalie.tf/wp-content/uploads/2023/10/DLV3_Icon_Weapon_305158_01.png" TargetMode="External"/><Relationship Id="rId1054" Type="http://schemas.openxmlformats.org/officeDocument/2006/relationships/image" Target="../media/image523.png"/><Relationship Id="rId1261" Type="http://schemas.openxmlformats.org/officeDocument/2006/relationships/image" Target="../media/image626.png"/><Relationship Id="rId2105" Type="http://schemas.openxmlformats.org/officeDocument/2006/relationships/image" Target="../media/image1048.png"/><Relationship Id="rId2312" Type="http://schemas.openxmlformats.org/officeDocument/2006/relationships/hyperlink" Target="https://natalie.tf/wp-content/uploads/2023/10/DLV3_Icon_ADV_110307_01_r05.png" TargetMode="External"/><Relationship Id="rId1121" Type="http://schemas.openxmlformats.org/officeDocument/2006/relationships/hyperlink" Target="https://natalie.tf/wp-content/uploads/2023/10/DLV3_Icon_WP_400288_01.png" TargetMode="External"/><Relationship Id="rId1938" Type="http://schemas.openxmlformats.org/officeDocument/2006/relationships/hyperlink" Target="https://natalie.tf/wp-content/uploads/2023/10/DLV3_Icon_WP_400028_01.png" TargetMode="External"/><Relationship Id="rId281" Type="http://schemas.openxmlformats.org/officeDocument/2006/relationships/hyperlink" Target="https://natalie.tf/wp-content/uploads/2023/10/DLV3_Icon_Weapon_301132_01.png" TargetMode="External"/><Relationship Id="rId3013" Type="http://schemas.openxmlformats.org/officeDocument/2006/relationships/hyperlink" Target="https://natalie.tf/wp-content/uploads/2023/11/DLV3_Icon_NPC_120111_01.png" TargetMode="External"/><Relationship Id="rId141" Type="http://schemas.openxmlformats.org/officeDocument/2006/relationships/hyperlink" Target="https://natalie.tf/wp-content/uploads/2023/10/DLV3_Icon_Weapon_307032_01.png" TargetMode="External"/><Relationship Id="rId7" Type="http://schemas.openxmlformats.org/officeDocument/2006/relationships/hyperlink" Target="https://natalie.tf/wp-content/uploads/2023/10/DLV3_Icon_Skill_212.png" TargetMode="External"/><Relationship Id="rId2779" Type="http://schemas.openxmlformats.org/officeDocument/2006/relationships/image" Target="../media/image1385.png"/><Relationship Id="rId2986" Type="http://schemas.openxmlformats.org/officeDocument/2006/relationships/image" Target="../media/image1488.png"/><Relationship Id="rId958" Type="http://schemas.openxmlformats.org/officeDocument/2006/relationships/hyperlink" Target="https://natalie.tf/wp-content/uploads/2023/10/DLV3_Icon_WP_400108_01.png" TargetMode="External"/><Relationship Id="rId1588" Type="http://schemas.openxmlformats.org/officeDocument/2006/relationships/hyperlink" Target="https://natalie.tf/wp-content/uploads/2023/10/DLV3_Icon_WP_400174_02.png" TargetMode="External"/><Relationship Id="rId1795" Type="http://schemas.openxmlformats.org/officeDocument/2006/relationships/image" Target="../media/image893.png"/><Relationship Id="rId2639" Type="http://schemas.openxmlformats.org/officeDocument/2006/relationships/image" Target="../media/image1315.png"/><Relationship Id="rId2846" Type="http://schemas.openxmlformats.org/officeDocument/2006/relationships/hyperlink" Target="https://natalie.tf/wp-content/uploads/2023/10/DLV3_Icon_DRA_210126_01.png" TargetMode="External"/><Relationship Id="rId87" Type="http://schemas.openxmlformats.org/officeDocument/2006/relationships/hyperlink" Target="https://natalie.tf/wp-content/uploads/2023/10/DLV3_Icon_Weapon_302012_01.png" TargetMode="External"/><Relationship Id="rId818" Type="http://schemas.openxmlformats.org/officeDocument/2006/relationships/image" Target="../media/image409.png"/><Relationship Id="rId1448" Type="http://schemas.openxmlformats.org/officeDocument/2006/relationships/hyperlink" Target="https://natalie.tf/wp-content/uploads/2023/10/DLV3_Icon_Ability_1030001.png" TargetMode="External"/><Relationship Id="rId1655" Type="http://schemas.openxmlformats.org/officeDocument/2006/relationships/image" Target="../media/image823.png"/><Relationship Id="rId2706" Type="http://schemas.openxmlformats.org/officeDocument/2006/relationships/hyperlink" Target="https://natalie.tf/wp-content/uploads/2023/10/DLV3_Icon_DRA_210022_01.png" TargetMode="External"/><Relationship Id="rId1308" Type="http://schemas.openxmlformats.org/officeDocument/2006/relationships/hyperlink" Target="https://natalie.tf/wp-content/uploads/2023/10/DLV3_Icon_WP_400478_01.png" TargetMode="External"/><Relationship Id="rId1862" Type="http://schemas.openxmlformats.org/officeDocument/2006/relationships/hyperlink" Target="https://natalie.tf/wp-content/uploads/2023/10/DLV3_Icon_WP_400008_02.png" TargetMode="External"/><Relationship Id="rId2913" Type="http://schemas.openxmlformats.org/officeDocument/2006/relationships/image" Target="../media/image1452.png"/><Relationship Id="rId1515" Type="http://schemas.openxmlformats.org/officeDocument/2006/relationships/image" Target="../media/image753.png"/><Relationship Id="rId1722" Type="http://schemas.openxmlformats.org/officeDocument/2006/relationships/hyperlink" Target="https://natalie.tf/wp-content/uploads/2023/10/DLV3_Icon_WP_400434_01.png" TargetMode="External"/><Relationship Id="rId14" Type="http://schemas.openxmlformats.org/officeDocument/2006/relationships/image" Target="../media/image7.png"/><Relationship Id="rId2289" Type="http://schemas.openxmlformats.org/officeDocument/2006/relationships/image" Target="../media/image1140.png"/><Relationship Id="rId2496" Type="http://schemas.openxmlformats.org/officeDocument/2006/relationships/hyperlink" Target="https://natalie.tf/wp-content/uploads/2023/10/DLV3_Icon_ADV_110361_01_r05.png" TargetMode="External"/><Relationship Id="rId468" Type="http://schemas.openxmlformats.org/officeDocument/2006/relationships/image" Target="../media/image234.png"/><Relationship Id="rId675" Type="http://schemas.openxmlformats.org/officeDocument/2006/relationships/hyperlink" Target="https://natalie.tf/wp-content/uploads/2023/11/DLV3_Icon_Affinity_Wolf.png" TargetMode="External"/><Relationship Id="rId882" Type="http://schemas.openxmlformats.org/officeDocument/2006/relationships/hyperlink" Target="https://natalie.tf/wp-content/uploads/2023/10/DLV3_Icon_WP_400131_01.png" TargetMode="External"/><Relationship Id="rId1098" Type="http://schemas.openxmlformats.org/officeDocument/2006/relationships/image" Target="../media/image545.png"/><Relationship Id="rId2149" Type="http://schemas.openxmlformats.org/officeDocument/2006/relationships/image" Target="../media/image1070.png"/><Relationship Id="rId2356" Type="http://schemas.openxmlformats.org/officeDocument/2006/relationships/hyperlink" Target="https://natalie.tf/wp-content/uploads/2023/10/DLV3_Icon_ADV_110032_01_r05.png" TargetMode="External"/><Relationship Id="rId2563" Type="http://schemas.openxmlformats.org/officeDocument/2006/relationships/image" Target="../media/image1277.png"/><Relationship Id="rId2770" Type="http://schemas.openxmlformats.org/officeDocument/2006/relationships/hyperlink" Target="https://natalie.tf/wp-content/uploads/2023/10/DLV3_Icon_DRA_210080_01.png" TargetMode="External"/><Relationship Id="rId328" Type="http://schemas.openxmlformats.org/officeDocument/2006/relationships/image" Target="../media/image164.png"/><Relationship Id="rId535" Type="http://schemas.openxmlformats.org/officeDocument/2006/relationships/hyperlink" Target="https://natalie.tf/wp-content/uploads/2023/10/DLV3_Icon_Weapon_302133_01.png" TargetMode="External"/><Relationship Id="rId742" Type="http://schemas.openxmlformats.org/officeDocument/2006/relationships/image" Target="../media/image371.png"/><Relationship Id="rId1165" Type="http://schemas.openxmlformats.org/officeDocument/2006/relationships/hyperlink" Target="https://natalie.tf/wp-content/uploads/2023/10/DLV3_Icon_WP_400429_01.png" TargetMode="External"/><Relationship Id="rId1372" Type="http://schemas.openxmlformats.org/officeDocument/2006/relationships/hyperlink" Target="https://natalie.tf/wp-content/uploads/2023/10/DLV3_Icon_WP_400500_01.png" TargetMode="External"/><Relationship Id="rId2009" Type="http://schemas.openxmlformats.org/officeDocument/2006/relationships/image" Target="../media/image1000.png"/><Relationship Id="rId2216" Type="http://schemas.openxmlformats.org/officeDocument/2006/relationships/hyperlink" Target="https://natalie.tf/wp-content/uploads/2023/10/DLV3_Icon_ADV_110355_01_r05.png" TargetMode="External"/><Relationship Id="rId2423" Type="http://schemas.openxmlformats.org/officeDocument/2006/relationships/image" Target="../media/image1207.png"/><Relationship Id="rId2630" Type="http://schemas.openxmlformats.org/officeDocument/2006/relationships/hyperlink" Target="https://natalie.tf/wp-content/uploads/2023/10/DLV3_Icon_ADV_100010_10_r05.png" TargetMode="External"/><Relationship Id="rId602" Type="http://schemas.openxmlformats.org/officeDocument/2006/relationships/image" Target="../media/image301.png"/><Relationship Id="rId1025" Type="http://schemas.openxmlformats.org/officeDocument/2006/relationships/hyperlink" Target="https://natalie.tf/wp-content/uploads/2023/10/DLV3_Icon_WP_400382_01.png" TargetMode="External"/><Relationship Id="rId1232" Type="http://schemas.openxmlformats.org/officeDocument/2006/relationships/hyperlink" Target="https://natalie.tf/wp-content/uploads/2023/10/DLV3_Icon_WP_400457_01.png" TargetMode="External"/><Relationship Id="rId3057" Type="http://schemas.openxmlformats.org/officeDocument/2006/relationships/hyperlink" Target="https://natalie.tf/wp-content/uploads/2023/10/DLV3_Icon_Skill_157.png" TargetMode="External"/><Relationship Id="rId185" Type="http://schemas.openxmlformats.org/officeDocument/2006/relationships/hyperlink" Target="https://natalie.tf/wp-content/uploads/2023/10/DLV3_Icon_Weapon_302028_01.png" TargetMode="External"/><Relationship Id="rId1909" Type="http://schemas.openxmlformats.org/officeDocument/2006/relationships/image" Target="../media/image950.png"/><Relationship Id="rId392" Type="http://schemas.openxmlformats.org/officeDocument/2006/relationships/image" Target="../media/image196.png"/><Relationship Id="rId2073" Type="http://schemas.openxmlformats.org/officeDocument/2006/relationships/image" Target="../media/image1032.png"/><Relationship Id="rId2280" Type="http://schemas.openxmlformats.org/officeDocument/2006/relationships/hyperlink" Target="https://natalie.tf/wp-content/uploads/2023/10/DLV3_Icon_ADV_100002_06_r05.png" TargetMode="External"/><Relationship Id="rId252" Type="http://schemas.openxmlformats.org/officeDocument/2006/relationships/image" Target="../media/image126.png"/><Relationship Id="rId2140" Type="http://schemas.openxmlformats.org/officeDocument/2006/relationships/hyperlink" Target="https://natalie.tf/wp-content/uploads/2023/10/DLV3_Icon_ADV_110064_02_r05.png" TargetMode="External"/><Relationship Id="rId112" Type="http://schemas.openxmlformats.org/officeDocument/2006/relationships/image" Target="../media/image56.png"/><Relationship Id="rId1699" Type="http://schemas.openxmlformats.org/officeDocument/2006/relationships/image" Target="../media/image845.png"/><Relationship Id="rId2000" Type="http://schemas.openxmlformats.org/officeDocument/2006/relationships/hyperlink" Target="https://natalie.tf/wp-content/uploads/2023/10/DLV3_Icon_WP_400279_02.png" TargetMode="External"/><Relationship Id="rId2957" Type="http://schemas.openxmlformats.org/officeDocument/2006/relationships/hyperlink" Target="https://natalie.tf/wp-content/uploads/2023/11/DLV3_Icon_NPC_210128_01.png" TargetMode="External"/><Relationship Id="rId929" Type="http://schemas.openxmlformats.org/officeDocument/2006/relationships/hyperlink" Target="https://natalie.tf/wp-content/uploads/2023/10/DLV3_Icon_WP_400148_01.png" TargetMode="External"/><Relationship Id="rId1559" Type="http://schemas.openxmlformats.org/officeDocument/2006/relationships/image" Target="../media/image775.png"/><Relationship Id="rId1766" Type="http://schemas.openxmlformats.org/officeDocument/2006/relationships/hyperlink" Target="https://natalie.tf/wp-content/uploads/2023/10/DLV3_Icon_WP_400132_02.png" TargetMode="External"/><Relationship Id="rId1973" Type="http://schemas.openxmlformats.org/officeDocument/2006/relationships/image" Target="../media/image982.png"/><Relationship Id="rId2817" Type="http://schemas.openxmlformats.org/officeDocument/2006/relationships/image" Target="../media/image1404.png"/><Relationship Id="rId58" Type="http://schemas.openxmlformats.org/officeDocument/2006/relationships/image" Target="../media/image29.png"/><Relationship Id="rId1419" Type="http://schemas.openxmlformats.org/officeDocument/2006/relationships/image" Target="../media/image705.png"/><Relationship Id="rId1626" Type="http://schemas.openxmlformats.org/officeDocument/2006/relationships/hyperlink" Target="https://natalie.tf/wp-content/uploads/2023/10/DLV3_Icon_WP_400336_01.png" TargetMode="External"/><Relationship Id="rId1833" Type="http://schemas.openxmlformats.org/officeDocument/2006/relationships/image" Target="../media/image912.png"/><Relationship Id="rId1900" Type="http://schemas.openxmlformats.org/officeDocument/2006/relationships/hyperlink" Target="https://natalie.tf/wp-content/uploads/2023/10/DLV3_Icon_WP_400017_02.png" TargetMode="External"/><Relationship Id="rId579" Type="http://schemas.openxmlformats.org/officeDocument/2006/relationships/hyperlink" Target="https://natalie.tf/wp-content/uploads/2023/10/DLV3_Icon_Weapon_306147_01.png" TargetMode="External"/><Relationship Id="rId786" Type="http://schemas.openxmlformats.org/officeDocument/2006/relationships/image" Target="../media/image393.png"/><Relationship Id="rId993" Type="http://schemas.openxmlformats.org/officeDocument/2006/relationships/hyperlink" Target="https://natalie.tf/wp-content/uploads/2023/10/DLV3_Icon_WP_400243_01.png" TargetMode="External"/><Relationship Id="rId2467" Type="http://schemas.openxmlformats.org/officeDocument/2006/relationships/image" Target="../media/image1229.png"/><Relationship Id="rId2674" Type="http://schemas.openxmlformats.org/officeDocument/2006/relationships/hyperlink" Target="https://natalie.tf/wp-content/uploads/2023/10/DLV3_Icon_DRA_210024_01.png" TargetMode="External"/><Relationship Id="rId439" Type="http://schemas.openxmlformats.org/officeDocument/2006/relationships/hyperlink" Target="https://natalie.tf/wp-content/uploads/2023/10/DLV3_Icon_Weapon_308111_01.png" TargetMode="External"/><Relationship Id="rId646" Type="http://schemas.openxmlformats.org/officeDocument/2006/relationships/image" Target="../media/image323.png"/><Relationship Id="rId1069" Type="http://schemas.openxmlformats.org/officeDocument/2006/relationships/hyperlink" Target="https://natalie.tf/wp-content/uploads/2023/10/DLV3_Icon_WP_400401_02.png" TargetMode="External"/><Relationship Id="rId1276" Type="http://schemas.openxmlformats.org/officeDocument/2006/relationships/hyperlink" Target="https://natalie.tf/wp-content/uploads/2023/10/DLV3_Icon_WP_400467_01.png" TargetMode="External"/><Relationship Id="rId1483" Type="http://schemas.openxmlformats.org/officeDocument/2006/relationships/image" Target="../media/image737.png"/><Relationship Id="rId2327" Type="http://schemas.openxmlformats.org/officeDocument/2006/relationships/image" Target="../media/image1159.png"/><Relationship Id="rId2881" Type="http://schemas.openxmlformats.org/officeDocument/2006/relationships/image" Target="../media/image1436.png"/><Relationship Id="rId506" Type="http://schemas.openxmlformats.org/officeDocument/2006/relationships/image" Target="../media/image253.png"/><Relationship Id="rId853" Type="http://schemas.openxmlformats.org/officeDocument/2006/relationships/hyperlink" Target="https://natalie.tf/wp-content/uploads/2023/10/DLV3_Icon_WP_400115_01.png" TargetMode="External"/><Relationship Id="rId1136" Type="http://schemas.openxmlformats.org/officeDocument/2006/relationships/image" Target="../media/image564.png"/><Relationship Id="rId1690" Type="http://schemas.openxmlformats.org/officeDocument/2006/relationships/hyperlink" Target="https://natalie.tf/wp-content/uploads/2023/10/DLV3_Icon_WP_400414_01.png" TargetMode="External"/><Relationship Id="rId2534" Type="http://schemas.openxmlformats.org/officeDocument/2006/relationships/hyperlink" Target="https://natalie.tf/wp-content/uploads/2023/10/DLV3_Icon_ADV_110050_01_r05.png" TargetMode="External"/><Relationship Id="rId2741" Type="http://schemas.openxmlformats.org/officeDocument/2006/relationships/image" Target="../media/image1366.png"/><Relationship Id="rId713" Type="http://schemas.openxmlformats.org/officeDocument/2006/relationships/hyperlink" Target="https://natalie.tf/wp-content/uploads/2023/10/DLV3_Icon_WP_400203_01.png" TargetMode="External"/><Relationship Id="rId920" Type="http://schemas.openxmlformats.org/officeDocument/2006/relationships/hyperlink" Target="https://natalie.tf/wp-content/uploads/2023/10/DLV3_Icon_WP_400145_02.png" TargetMode="External"/><Relationship Id="rId1343" Type="http://schemas.openxmlformats.org/officeDocument/2006/relationships/image" Target="../media/image667.png"/><Relationship Id="rId1550" Type="http://schemas.openxmlformats.org/officeDocument/2006/relationships/hyperlink" Target="https://natalie.tf/wp-content/uploads/2023/10/DLV3_Icon_WP_400126_01.png" TargetMode="External"/><Relationship Id="rId2601" Type="http://schemas.openxmlformats.org/officeDocument/2006/relationships/image" Target="../media/image1296.png"/><Relationship Id="rId1203" Type="http://schemas.openxmlformats.org/officeDocument/2006/relationships/hyperlink" Target="https://natalie.tf/wp-content/uploads/2023/10/DLV3_Icon_WP_400447_02.png" TargetMode="External"/><Relationship Id="rId1410" Type="http://schemas.openxmlformats.org/officeDocument/2006/relationships/hyperlink" Target="https://natalie.tf/wp-content/uploads/2023/10/DLV3_Icon_WP_400034_02.png" TargetMode="External"/><Relationship Id="rId296" Type="http://schemas.openxmlformats.org/officeDocument/2006/relationships/image" Target="../media/image148.png"/><Relationship Id="rId2184" Type="http://schemas.openxmlformats.org/officeDocument/2006/relationships/hyperlink" Target="https://natalie.tf/wp-content/uploads/2023/10/DLV3_Icon_ADV_110385_01_r05.png" TargetMode="External"/><Relationship Id="rId2391" Type="http://schemas.openxmlformats.org/officeDocument/2006/relationships/image" Target="../media/image1191.png"/><Relationship Id="rId3028" Type="http://schemas.openxmlformats.org/officeDocument/2006/relationships/image" Target="../media/image1509.png"/><Relationship Id="rId156" Type="http://schemas.openxmlformats.org/officeDocument/2006/relationships/image" Target="../media/image78.png"/><Relationship Id="rId363" Type="http://schemas.openxmlformats.org/officeDocument/2006/relationships/hyperlink" Target="https://natalie.tf/wp-content/uploads/2023/10/DLV3_Icon_Weapon_306125_01.png" TargetMode="External"/><Relationship Id="rId570" Type="http://schemas.openxmlformats.org/officeDocument/2006/relationships/image" Target="../media/image285.png"/><Relationship Id="rId2044" Type="http://schemas.openxmlformats.org/officeDocument/2006/relationships/hyperlink" Target="https://natalie.tf/wp-content/uploads/2023/10/DLV3_Icon_ADV_110342_01_r05.png" TargetMode="External"/><Relationship Id="rId2251" Type="http://schemas.openxmlformats.org/officeDocument/2006/relationships/image" Target="../media/image1121.png"/><Relationship Id="rId223" Type="http://schemas.openxmlformats.org/officeDocument/2006/relationships/hyperlink" Target="https://natalie.tf/wp-content/uploads/2023/10/DLV3_Icon_Weapon_304066_01.png" TargetMode="External"/><Relationship Id="rId430" Type="http://schemas.openxmlformats.org/officeDocument/2006/relationships/image" Target="../media/image215.png"/><Relationship Id="rId1060" Type="http://schemas.openxmlformats.org/officeDocument/2006/relationships/image" Target="../media/image526.png"/><Relationship Id="rId2111" Type="http://schemas.openxmlformats.org/officeDocument/2006/relationships/image" Target="../media/image1051.png"/><Relationship Id="rId1877" Type="http://schemas.openxmlformats.org/officeDocument/2006/relationships/image" Target="../media/image934.png"/><Relationship Id="rId2928" Type="http://schemas.openxmlformats.org/officeDocument/2006/relationships/hyperlink" Target="https://natalie.tf/wp-content/uploads/2023/10/DLV3_Icon_DRA_210005_01.png" TargetMode="External"/><Relationship Id="rId1737" Type="http://schemas.openxmlformats.org/officeDocument/2006/relationships/image" Target="../media/image864.png"/><Relationship Id="rId1944" Type="http://schemas.openxmlformats.org/officeDocument/2006/relationships/hyperlink" Target="https://natalie.tf/wp-content/uploads/2023/10/DLV3_Icon_WP_400031_02.png" TargetMode="External"/><Relationship Id="rId29" Type="http://schemas.openxmlformats.org/officeDocument/2006/relationships/hyperlink" Target="https://natalie.tf/wp-content/uploads/2023/10/DLV3_Icon_Ability_Blank.png" TargetMode="External"/><Relationship Id="rId1804" Type="http://schemas.openxmlformats.org/officeDocument/2006/relationships/hyperlink" Target="https://natalie.tf/wp-content/uploads/2023/10/DLV3_Icon_WP_400164_01.png" TargetMode="External"/><Relationship Id="rId897" Type="http://schemas.openxmlformats.org/officeDocument/2006/relationships/image" Target="../media/image448.png"/><Relationship Id="rId2578" Type="http://schemas.openxmlformats.org/officeDocument/2006/relationships/hyperlink" Target="https://natalie.tf/wp-content/uploads/2023/10/DLV3_Icon_ADV_110365_01_r05.png" TargetMode="External"/><Relationship Id="rId2785" Type="http://schemas.openxmlformats.org/officeDocument/2006/relationships/image" Target="../media/image1388.png"/><Relationship Id="rId2992" Type="http://schemas.openxmlformats.org/officeDocument/2006/relationships/image" Target="../media/image1491.png"/><Relationship Id="rId757" Type="http://schemas.openxmlformats.org/officeDocument/2006/relationships/hyperlink" Target="https://natalie.tf/wp-content/uploads/2023/10/DLV3_Icon_WP_400067_01.png" TargetMode="External"/><Relationship Id="rId964" Type="http://schemas.openxmlformats.org/officeDocument/2006/relationships/hyperlink" Target="https://natalie.tf/wp-content/uploads/2023/10/DLV3_Icon_WP_400277_02.png" TargetMode="External"/><Relationship Id="rId1387" Type="http://schemas.openxmlformats.org/officeDocument/2006/relationships/image" Target="../media/image689.png"/><Relationship Id="rId1594" Type="http://schemas.openxmlformats.org/officeDocument/2006/relationships/hyperlink" Target="https://natalie.tf/wp-content/uploads/2023/10/DLV3_Icon_Ability_1020022.png" TargetMode="External"/><Relationship Id="rId2438" Type="http://schemas.openxmlformats.org/officeDocument/2006/relationships/hyperlink" Target="https://natalie.tf/wp-content/uploads/2023/10/DLV3_Icon_ADV_110037_01_r05.png" TargetMode="External"/><Relationship Id="rId2645" Type="http://schemas.openxmlformats.org/officeDocument/2006/relationships/image" Target="../media/image1318.png"/><Relationship Id="rId2852" Type="http://schemas.openxmlformats.org/officeDocument/2006/relationships/hyperlink" Target="https://natalie.tf/wp-content/uploads/2023/10/DLV3_Icon_DRA_210004_01.png" TargetMode="External"/><Relationship Id="rId93" Type="http://schemas.openxmlformats.org/officeDocument/2006/relationships/hyperlink" Target="https://natalie.tf/wp-content/uploads/2023/10/DLV3_Icon_Weapon_305029_01.png" TargetMode="External"/><Relationship Id="rId617" Type="http://schemas.openxmlformats.org/officeDocument/2006/relationships/hyperlink" Target="https://natalie.tf/wp-content/uploads/2023/10/DLV3_Icon_Weapon_307156_01.png" TargetMode="External"/><Relationship Id="rId824" Type="http://schemas.openxmlformats.org/officeDocument/2006/relationships/image" Target="../media/image412.png"/><Relationship Id="rId1247" Type="http://schemas.openxmlformats.org/officeDocument/2006/relationships/image" Target="../media/image619.png"/><Relationship Id="rId1454" Type="http://schemas.openxmlformats.org/officeDocument/2006/relationships/hyperlink" Target="https://natalie.tf/wp-content/uploads/2023/10/DLV3_Icon_WP_400044_01.png" TargetMode="External"/><Relationship Id="rId1661" Type="http://schemas.openxmlformats.org/officeDocument/2006/relationships/image" Target="../media/image826.png"/><Relationship Id="rId2505" Type="http://schemas.openxmlformats.org/officeDocument/2006/relationships/image" Target="../media/image1248.png"/><Relationship Id="rId2712" Type="http://schemas.openxmlformats.org/officeDocument/2006/relationships/hyperlink" Target="https://natalie.tf/wp-content/uploads/2023/10/DLV3_Icon_DRA_210076_01.png" TargetMode="External"/><Relationship Id="rId1107" Type="http://schemas.openxmlformats.org/officeDocument/2006/relationships/hyperlink" Target="https://natalie.tf/wp-content/uploads/2023/10/DLV3_Icon_WP_400419_01.png" TargetMode="External"/><Relationship Id="rId1314" Type="http://schemas.openxmlformats.org/officeDocument/2006/relationships/hyperlink" Target="https://natalie.tf/wp-content/uploads/2023/10/DLV3_Icon_WP_400479_02.png" TargetMode="External"/><Relationship Id="rId1521" Type="http://schemas.openxmlformats.org/officeDocument/2006/relationships/image" Target="../media/image756.png"/><Relationship Id="rId20" Type="http://schemas.openxmlformats.org/officeDocument/2006/relationships/image" Target="../media/image10.png"/><Relationship Id="rId2088" Type="http://schemas.openxmlformats.org/officeDocument/2006/relationships/hyperlink" Target="https://natalie.tf/wp-content/uploads/2023/10/DLV3_Icon_ADV_110004_01_r05.png" TargetMode="External"/><Relationship Id="rId2295" Type="http://schemas.openxmlformats.org/officeDocument/2006/relationships/image" Target="../media/image1143.png"/><Relationship Id="rId267" Type="http://schemas.openxmlformats.org/officeDocument/2006/relationships/hyperlink" Target="https://natalie.tf/wp-content/uploads/2023/10/DLV3_Icon_Weapon_302097_01.png" TargetMode="External"/><Relationship Id="rId474" Type="http://schemas.openxmlformats.org/officeDocument/2006/relationships/image" Target="../media/image237.png"/><Relationship Id="rId2155" Type="http://schemas.openxmlformats.org/officeDocument/2006/relationships/image" Target="../media/image1073.png"/><Relationship Id="rId127" Type="http://schemas.openxmlformats.org/officeDocument/2006/relationships/hyperlink" Target="https://natalie.tf/wp-content/uploads/2023/10/DLV3_Icon_Weapon_304027_01.png" TargetMode="External"/><Relationship Id="rId681" Type="http://schemas.openxmlformats.org/officeDocument/2006/relationships/hyperlink" Target="https://natalie.tf/wp-content/uploads/2023/11/DLV3_Icon_Affinity_Crown.png" TargetMode="External"/><Relationship Id="rId2362" Type="http://schemas.openxmlformats.org/officeDocument/2006/relationships/hyperlink" Target="https://natalie.tf/wp-content/uploads/2023/10/DLV3_Icon_ADV_110387_01_r05.png" TargetMode="External"/><Relationship Id="rId334" Type="http://schemas.openxmlformats.org/officeDocument/2006/relationships/image" Target="../media/image167.png"/><Relationship Id="rId541" Type="http://schemas.openxmlformats.org/officeDocument/2006/relationships/hyperlink" Target="https://natalie.tf/wp-content/uploads/2023/10/DLV3_Icon_Weapon_305139_01.png" TargetMode="External"/><Relationship Id="rId1171" Type="http://schemas.openxmlformats.org/officeDocument/2006/relationships/hyperlink" Target="https://natalie.tf/wp-content/uploads/2023/10/DLV3_Icon_WP_400433_02.png" TargetMode="External"/><Relationship Id="rId2015" Type="http://schemas.openxmlformats.org/officeDocument/2006/relationships/image" Target="../media/image1003.png"/><Relationship Id="rId2222" Type="http://schemas.openxmlformats.org/officeDocument/2006/relationships/hyperlink" Target="https://natalie.tf/wp-content/uploads/2023/10/DLV3_Icon_ADV_110302_04_r05.png" TargetMode="External"/><Relationship Id="rId401" Type="http://schemas.openxmlformats.org/officeDocument/2006/relationships/hyperlink" Target="https://natalie.tf/wp-content/uploads/2023/10/DLV3_Icon_Weapon_307117_01.png" TargetMode="External"/><Relationship Id="rId1031" Type="http://schemas.openxmlformats.org/officeDocument/2006/relationships/hyperlink" Target="https://natalie.tf/wp-content/uploads/2023/10/DLV3_Icon_WP_400073_02.png" TargetMode="External"/><Relationship Id="rId1988" Type="http://schemas.openxmlformats.org/officeDocument/2006/relationships/hyperlink" Target="https://natalie.tf/wp-content/uploads/2023/10/DLV3_Icon_WP_400151_02.png" TargetMode="External"/><Relationship Id="rId1848" Type="http://schemas.openxmlformats.org/officeDocument/2006/relationships/hyperlink" Target="https://natalie.tf/wp-content/uploads/2023/10/DLV3_Icon_WP_400498_01.png" TargetMode="External"/><Relationship Id="rId3063" Type="http://schemas.openxmlformats.org/officeDocument/2006/relationships/hyperlink" Target="https://natalie.tf/wp-content/uploads/2023/10/DLV3_Icon_Skill_030.png" TargetMode="External"/><Relationship Id="rId191" Type="http://schemas.openxmlformats.org/officeDocument/2006/relationships/hyperlink" Target="https://natalie.tf/wp-content/uploads/2023/10/DLV3_Icon_Weapon_305036_01.png" TargetMode="External"/><Relationship Id="rId1708" Type="http://schemas.openxmlformats.org/officeDocument/2006/relationships/hyperlink" Target="https://natalie.tf/wp-content/uploads/2023/10/DLV3_Icon_WP_400422_02.png" TargetMode="External"/><Relationship Id="rId1915" Type="http://schemas.openxmlformats.org/officeDocument/2006/relationships/image" Target="../media/image953.png"/><Relationship Id="rId2689" Type="http://schemas.openxmlformats.org/officeDocument/2006/relationships/image" Target="../media/image1340.png"/><Relationship Id="rId2896" Type="http://schemas.openxmlformats.org/officeDocument/2006/relationships/hyperlink" Target="https://natalie.tf/wp-content/uploads/2023/11/DLV3_Icon_DRA_Custom_Beast_Ayaha_Otoha.png" TargetMode="External"/><Relationship Id="rId868" Type="http://schemas.openxmlformats.org/officeDocument/2006/relationships/hyperlink" Target="https://natalie.tf/wp-content/uploads/2023/10/DLV3_Icon_Ability_1080004.png" TargetMode="External"/><Relationship Id="rId1498" Type="http://schemas.openxmlformats.org/officeDocument/2006/relationships/hyperlink" Target="https://natalie.tf/wp-content/uploads/2023/10/DLV3_Icon_WP_400057_01.png" TargetMode="External"/><Relationship Id="rId2549" Type="http://schemas.openxmlformats.org/officeDocument/2006/relationships/image" Target="../media/image1270.png"/><Relationship Id="rId2756" Type="http://schemas.openxmlformats.org/officeDocument/2006/relationships/hyperlink" Target="https://natalie.tf/wp-content/uploads/2023/10/DLV3_Icon_DRA_210168_01.png" TargetMode="External"/><Relationship Id="rId2963" Type="http://schemas.openxmlformats.org/officeDocument/2006/relationships/hyperlink" Target="https://natalie.tf/wp-content/uploads/2023/11/DLV3_Icon_NPC_100046_01.png" TargetMode="External"/><Relationship Id="rId728" Type="http://schemas.openxmlformats.org/officeDocument/2006/relationships/image" Target="../media/image364.png"/><Relationship Id="rId935" Type="http://schemas.openxmlformats.org/officeDocument/2006/relationships/image" Target="../media/image464.png"/><Relationship Id="rId1358" Type="http://schemas.openxmlformats.org/officeDocument/2006/relationships/hyperlink" Target="https://natalie.tf/wp-content/uploads/2023/10/DLV3_Icon_WP_400494_02.png" TargetMode="External"/><Relationship Id="rId1565" Type="http://schemas.openxmlformats.org/officeDocument/2006/relationships/image" Target="../media/image778.png"/><Relationship Id="rId1772" Type="http://schemas.openxmlformats.org/officeDocument/2006/relationships/hyperlink" Target="https://natalie.tf/wp-content/uploads/2023/10/DLV3_Icon_WP_400451_01.png" TargetMode="External"/><Relationship Id="rId2409" Type="http://schemas.openxmlformats.org/officeDocument/2006/relationships/image" Target="../media/image1200.png"/><Relationship Id="rId2616" Type="http://schemas.openxmlformats.org/officeDocument/2006/relationships/hyperlink" Target="https://natalie.tf/wp-content/uploads/2023/10/DLV3_Icon_ADV_110310_02_r05.png" TargetMode="External"/><Relationship Id="rId64" Type="http://schemas.openxmlformats.org/officeDocument/2006/relationships/image" Target="../media/image32.png"/><Relationship Id="rId1218" Type="http://schemas.openxmlformats.org/officeDocument/2006/relationships/image" Target="../media/image605.png"/><Relationship Id="rId1425" Type="http://schemas.openxmlformats.org/officeDocument/2006/relationships/image" Target="../media/image708.png"/><Relationship Id="rId2823" Type="http://schemas.openxmlformats.org/officeDocument/2006/relationships/image" Target="../media/image1407.png"/><Relationship Id="rId1632" Type="http://schemas.openxmlformats.org/officeDocument/2006/relationships/hyperlink" Target="https://natalie.tf/wp-content/uploads/2023/10/DLV3_Icon_WP_400339_01.png" TargetMode="External"/><Relationship Id="rId2199" Type="http://schemas.openxmlformats.org/officeDocument/2006/relationships/image" Target="../media/image1095.png"/><Relationship Id="rId378" Type="http://schemas.openxmlformats.org/officeDocument/2006/relationships/image" Target="../media/image189.png"/><Relationship Id="rId585" Type="http://schemas.openxmlformats.org/officeDocument/2006/relationships/hyperlink" Target="https://natalie.tf/wp-content/uploads/2023/10/DLV3_Icon_Weapon_309042_01.png" TargetMode="External"/><Relationship Id="rId792" Type="http://schemas.openxmlformats.org/officeDocument/2006/relationships/image" Target="../media/image396.png"/><Relationship Id="rId2059" Type="http://schemas.openxmlformats.org/officeDocument/2006/relationships/image" Target="../media/image1025.png"/><Relationship Id="rId2266" Type="http://schemas.openxmlformats.org/officeDocument/2006/relationships/hyperlink" Target="https://natalie.tf/wp-content/uploads/2023/10/DLV3_Icon_ADV_110300_01_r05.png" TargetMode="External"/><Relationship Id="rId2473" Type="http://schemas.openxmlformats.org/officeDocument/2006/relationships/image" Target="../media/image1232.png"/><Relationship Id="rId2680" Type="http://schemas.openxmlformats.org/officeDocument/2006/relationships/hyperlink" Target="https://natalie.tf/wp-content/uploads/2023/10/DLV3_Icon_DRA_210133_01.png" TargetMode="External"/><Relationship Id="rId238" Type="http://schemas.openxmlformats.org/officeDocument/2006/relationships/image" Target="../media/image119.png"/><Relationship Id="rId445" Type="http://schemas.openxmlformats.org/officeDocument/2006/relationships/hyperlink" Target="https://natalie.tf/wp-content/uploads/2023/10/DLV3_Icon_Weapon_302114_01.png" TargetMode="External"/><Relationship Id="rId652" Type="http://schemas.openxmlformats.org/officeDocument/2006/relationships/image" Target="../media/image326.png"/><Relationship Id="rId1075" Type="http://schemas.openxmlformats.org/officeDocument/2006/relationships/hyperlink" Target="https://natalie.tf/wp-content/uploads/2023/10/DLV3_Icon_WP_400397_01.png" TargetMode="External"/><Relationship Id="rId1282" Type="http://schemas.openxmlformats.org/officeDocument/2006/relationships/hyperlink" Target="https://natalie.tf/wp-content/uploads/2023/10/DLV3_Icon_WP_400079_01.png" TargetMode="External"/><Relationship Id="rId2126" Type="http://schemas.openxmlformats.org/officeDocument/2006/relationships/hyperlink" Target="https://natalie.tf/wp-content/uploads/2023/10/DLV3_Icon_ADV_110011_01_r05.png" TargetMode="External"/><Relationship Id="rId2333" Type="http://schemas.openxmlformats.org/officeDocument/2006/relationships/image" Target="../media/image1162.png"/><Relationship Id="rId2540" Type="http://schemas.openxmlformats.org/officeDocument/2006/relationships/hyperlink" Target="https://natalie.tf/wp-content/uploads/2023/10/DLV3_Icon_ADV_110063_01_r05.png" TargetMode="External"/><Relationship Id="rId305" Type="http://schemas.openxmlformats.org/officeDocument/2006/relationships/hyperlink" Target="https://natalie.tf/wp-content/uploads/2023/10/DLV3_Icon_Weapon_304122_01.png" TargetMode="External"/><Relationship Id="rId512" Type="http://schemas.openxmlformats.org/officeDocument/2006/relationships/image" Target="../media/image256.png"/><Relationship Id="rId1142" Type="http://schemas.openxmlformats.org/officeDocument/2006/relationships/image" Target="../media/image567.png"/><Relationship Id="rId2400" Type="http://schemas.openxmlformats.org/officeDocument/2006/relationships/hyperlink" Target="https://natalie.tf/wp-content/uploads/2023/10/DLV3_Icon_ADV_110389_01_r05.png" TargetMode="External"/><Relationship Id="rId1002" Type="http://schemas.openxmlformats.org/officeDocument/2006/relationships/image" Target="../media/image497.png"/><Relationship Id="rId1959" Type="http://schemas.openxmlformats.org/officeDocument/2006/relationships/image" Target="../media/image975.png"/><Relationship Id="rId1819" Type="http://schemas.openxmlformats.org/officeDocument/2006/relationships/image" Target="../media/image905.png"/><Relationship Id="rId2190" Type="http://schemas.openxmlformats.org/officeDocument/2006/relationships/hyperlink" Target="https://natalie.tf/wp-content/uploads/2023/10/DLV3_Icon_ADV_110255_02_r05.png" TargetMode="External"/><Relationship Id="rId3034" Type="http://schemas.openxmlformats.org/officeDocument/2006/relationships/image" Target="../media/image1512.png"/><Relationship Id="rId162" Type="http://schemas.openxmlformats.org/officeDocument/2006/relationships/image" Target="../media/image81.png"/><Relationship Id="rId2050" Type="http://schemas.openxmlformats.org/officeDocument/2006/relationships/hyperlink" Target="https://natalie.tf/wp-content/uploads/2023/10/DLV3_Icon_Ability_1010150.png" TargetMode="External"/><Relationship Id="rId979" Type="http://schemas.openxmlformats.org/officeDocument/2006/relationships/hyperlink" Target="https://natalie.tf/wp-content/uploads/2023/10/DLV3_Icon_WP_400168_01.png" TargetMode="External"/><Relationship Id="rId839" Type="http://schemas.openxmlformats.org/officeDocument/2006/relationships/hyperlink" Target="https://natalie.tf/wp-content/uploads/2023/10/DLV3_Icon_WP_400111_02.png" TargetMode="External"/><Relationship Id="rId1469" Type="http://schemas.openxmlformats.org/officeDocument/2006/relationships/image" Target="../media/image730.png"/><Relationship Id="rId2867" Type="http://schemas.openxmlformats.org/officeDocument/2006/relationships/image" Target="../media/image1429.png"/><Relationship Id="rId1676" Type="http://schemas.openxmlformats.org/officeDocument/2006/relationships/hyperlink" Target="https://natalie.tf/wp-content/uploads/2023/10/DLV3_Icon_WP_400408_02.png" TargetMode="External"/><Relationship Id="rId1883" Type="http://schemas.openxmlformats.org/officeDocument/2006/relationships/image" Target="../media/image937.png"/><Relationship Id="rId2727" Type="http://schemas.openxmlformats.org/officeDocument/2006/relationships/image" Target="../media/image1359.png"/><Relationship Id="rId2934" Type="http://schemas.openxmlformats.org/officeDocument/2006/relationships/hyperlink" Target="https://natalie.tf/wp-content/uploads/2023/11/DLV3_Icon_DRA_Custom_Fallen_Raphael.png" TargetMode="External"/><Relationship Id="rId906" Type="http://schemas.openxmlformats.org/officeDocument/2006/relationships/hyperlink" Target="https://natalie.tf/wp-content/uploads/2023/10/DLV3_Icon_WP_400142_01.png" TargetMode="External"/><Relationship Id="rId1329" Type="http://schemas.openxmlformats.org/officeDocument/2006/relationships/image" Target="../media/image660.png"/><Relationship Id="rId1536" Type="http://schemas.openxmlformats.org/officeDocument/2006/relationships/hyperlink" Target="https://natalie.tf/wp-content/uploads/2023/10/DLV3_Icon_WP_400105_02.png" TargetMode="External"/><Relationship Id="rId1743" Type="http://schemas.openxmlformats.org/officeDocument/2006/relationships/image" Target="../media/image867.png"/><Relationship Id="rId1950" Type="http://schemas.openxmlformats.org/officeDocument/2006/relationships/hyperlink" Target="https://natalie.tf/wp-content/uploads/2023/10/DLV3_Icon_WP_400032_01.png" TargetMode="External"/><Relationship Id="rId35" Type="http://schemas.openxmlformats.org/officeDocument/2006/relationships/hyperlink" Target="https://natalie.tf/wp-content/uploads/2023/11/DLV3_Portrait_Custom_DRA_210229_03.png" TargetMode="External"/><Relationship Id="rId1603" Type="http://schemas.openxmlformats.org/officeDocument/2006/relationships/image" Target="../media/image797.png"/><Relationship Id="rId1810" Type="http://schemas.openxmlformats.org/officeDocument/2006/relationships/hyperlink" Target="https://natalie.tf/wp-content/uploads/2023/10/DLV3_Icon_WP_400477_02.png" TargetMode="External"/><Relationship Id="rId489" Type="http://schemas.openxmlformats.org/officeDocument/2006/relationships/hyperlink" Target="https://natalie.tf/wp-content/uploads/2023/10/DLV3_Icon_Weapon_306128_01.png" TargetMode="External"/><Relationship Id="rId696" Type="http://schemas.openxmlformats.org/officeDocument/2006/relationships/image" Target="../media/image348.png"/><Relationship Id="rId2377" Type="http://schemas.openxmlformats.org/officeDocument/2006/relationships/image" Target="../media/image1184.png"/><Relationship Id="rId2584" Type="http://schemas.openxmlformats.org/officeDocument/2006/relationships/hyperlink" Target="https://natalie.tf/wp-content/uploads/2023/10/DLV3_Icon_ADV_110349_01_r05.png" TargetMode="External"/><Relationship Id="rId2791" Type="http://schemas.openxmlformats.org/officeDocument/2006/relationships/image" Target="../media/image1391.png"/><Relationship Id="rId349" Type="http://schemas.openxmlformats.org/officeDocument/2006/relationships/hyperlink" Target="https://natalie.tf/wp-content/uploads/2023/10/DLV3_Icon_Weapon_308125_01.png" TargetMode="External"/><Relationship Id="rId556" Type="http://schemas.openxmlformats.org/officeDocument/2006/relationships/image" Target="../media/image278.png"/><Relationship Id="rId763" Type="http://schemas.openxmlformats.org/officeDocument/2006/relationships/hyperlink" Target="https://natalie.tf/wp-content/uploads/2023/10/DLV3_Icon_Ability_1010003.png" TargetMode="External"/><Relationship Id="rId1186" Type="http://schemas.openxmlformats.org/officeDocument/2006/relationships/image" Target="../media/image589.png"/><Relationship Id="rId1393" Type="http://schemas.openxmlformats.org/officeDocument/2006/relationships/image" Target="../media/image692.png"/><Relationship Id="rId2237" Type="http://schemas.openxmlformats.org/officeDocument/2006/relationships/image" Target="../media/image1114.png"/><Relationship Id="rId2444" Type="http://schemas.openxmlformats.org/officeDocument/2006/relationships/hyperlink" Target="https://natalie.tf/wp-content/uploads/2023/10/DLV3_Icon_ADV_100006_09_r05.png" TargetMode="External"/><Relationship Id="rId209" Type="http://schemas.openxmlformats.org/officeDocument/2006/relationships/hyperlink" Target="https://natalie.tf/wp-content/uploads/2023/10/DLV3_Icon_Weapon_305077_01.png" TargetMode="External"/><Relationship Id="rId416" Type="http://schemas.openxmlformats.org/officeDocument/2006/relationships/image" Target="../media/image208.png"/><Relationship Id="rId970" Type="http://schemas.openxmlformats.org/officeDocument/2006/relationships/image" Target="../media/image481.png"/><Relationship Id="rId1046" Type="http://schemas.openxmlformats.org/officeDocument/2006/relationships/image" Target="../media/image519.png"/><Relationship Id="rId1253" Type="http://schemas.openxmlformats.org/officeDocument/2006/relationships/image" Target="../media/image622.png"/><Relationship Id="rId2651" Type="http://schemas.openxmlformats.org/officeDocument/2006/relationships/image" Target="../media/image1321.png"/><Relationship Id="rId623" Type="http://schemas.openxmlformats.org/officeDocument/2006/relationships/hyperlink" Target="https://natalie.tf/wp-content/uploads/2023/10/DLV3_Icon_Weapon_301163_01.png" TargetMode="External"/><Relationship Id="rId830" Type="http://schemas.openxmlformats.org/officeDocument/2006/relationships/image" Target="../media/image415.png"/><Relationship Id="rId1460" Type="http://schemas.openxmlformats.org/officeDocument/2006/relationships/hyperlink" Target="https://natalie.tf/wp-content/uploads/2023/10/DLV3_Icon_WP_400045_02.png" TargetMode="External"/><Relationship Id="rId2304" Type="http://schemas.openxmlformats.org/officeDocument/2006/relationships/hyperlink" Target="https://natalie.tf/wp-content/uploads/2023/10/DLV3_Icon_ADV_110296_02_r05.png" TargetMode="External"/><Relationship Id="rId2511" Type="http://schemas.openxmlformats.org/officeDocument/2006/relationships/image" Target="../media/image1251.png"/><Relationship Id="rId1113" Type="http://schemas.openxmlformats.org/officeDocument/2006/relationships/hyperlink" Target="https://natalie.tf/wp-content/uploads/2023/10/DLV3_Icon_WP_400418_01.png" TargetMode="External"/><Relationship Id="rId1320" Type="http://schemas.openxmlformats.org/officeDocument/2006/relationships/hyperlink" Target="https://natalie.tf/wp-content/uploads/2023/10/DLV3_Icon_WP_400481_01.png" TargetMode="External"/><Relationship Id="rId3078" Type="http://schemas.openxmlformats.org/officeDocument/2006/relationships/image" Target="../media/image1534.png"/><Relationship Id="rId2094" Type="http://schemas.openxmlformats.org/officeDocument/2006/relationships/hyperlink" Target="https://natalie.tf/wp-content/uploads/2023/10/DLV3_Icon_ADV_100005_08_r05.png" TargetMode="External"/><Relationship Id="rId273" Type="http://schemas.openxmlformats.org/officeDocument/2006/relationships/hyperlink" Target="https://natalie.tf/wp-content/uploads/2023/10/DLV3_Icon_Weapon_305102_01.png" TargetMode="External"/><Relationship Id="rId480" Type="http://schemas.openxmlformats.org/officeDocument/2006/relationships/image" Target="../media/image240.png"/><Relationship Id="rId2161" Type="http://schemas.openxmlformats.org/officeDocument/2006/relationships/image" Target="../media/image1076.png"/><Relationship Id="rId3005" Type="http://schemas.openxmlformats.org/officeDocument/2006/relationships/hyperlink" Target="https://natalie.tf/wp-content/uploads/2023/11/DLV3_Icon_NPC_Custom_100051_01.png" TargetMode="External"/><Relationship Id="rId133" Type="http://schemas.openxmlformats.org/officeDocument/2006/relationships/hyperlink" Target="https://natalie.tf/wp-content/uploads/2023/10/DLV3_Icon_Weapon_307015_01.png" TargetMode="External"/><Relationship Id="rId340" Type="http://schemas.openxmlformats.org/officeDocument/2006/relationships/image" Target="../media/image170.png"/><Relationship Id="rId2021" Type="http://schemas.openxmlformats.org/officeDocument/2006/relationships/image" Target="../media/image1006.png"/><Relationship Id="rId200" Type="http://schemas.openxmlformats.org/officeDocument/2006/relationships/image" Target="../media/image100.png"/><Relationship Id="rId2978" Type="http://schemas.openxmlformats.org/officeDocument/2006/relationships/image" Target="../media/image1484.png"/><Relationship Id="rId1787" Type="http://schemas.openxmlformats.org/officeDocument/2006/relationships/image" Target="../media/image889.png"/><Relationship Id="rId1994" Type="http://schemas.openxmlformats.org/officeDocument/2006/relationships/hyperlink" Target="https://natalie.tf/wp-content/uploads/2023/10/DLV3_Icon_WP_400175_01.png" TargetMode="External"/><Relationship Id="rId2838" Type="http://schemas.openxmlformats.org/officeDocument/2006/relationships/hyperlink" Target="https://natalie.tf/wp-content/uploads/2023/10/DLV3_Icon_DRA_210142_01.png" TargetMode="External"/><Relationship Id="rId79" Type="http://schemas.openxmlformats.org/officeDocument/2006/relationships/hyperlink" Target="https://natalie.tf/wp-content/uploads/2023/10/DLV3_Icon_Weapon_306026_01.png" TargetMode="External"/><Relationship Id="rId1647" Type="http://schemas.openxmlformats.org/officeDocument/2006/relationships/image" Target="../media/image819.png"/><Relationship Id="rId1854" Type="http://schemas.openxmlformats.org/officeDocument/2006/relationships/hyperlink" Target="https://natalie.tf/wp-content/uploads/2023/10/DLV3_Icon_WP_400006_02.png" TargetMode="External"/><Relationship Id="rId2905" Type="http://schemas.openxmlformats.org/officeDocument/2006/relationships/image" Target="../media/image1448.png"/><Relationship Id="rId1507" Type="http://schemas.openxmlformats.org/officeDocument/2006/relationships/image" Target="../media/image749.png"/><Relationship Id="rId1714" Type="http://schemas.openxmlformats.org/officeDocument/2006/relationships/hyperlink" Target="https://natalie.tf/wp-content/uploads/2023/10/DLV3_Icon_WP_400430_01.png" TargetMode="External"/><Relationship Id="rId1921" Type="http://schemas.openxmlformats.org/officeDocument/2006/relationships/image" Target="../media/image956.png"/><Relationship Id="rId2488" Type="http://schemas.openxmlformats.org/officeDocument/2006/relationships/hyperlink" Target="https://natalie.tf/wp-content/uploads/2023/10/DLV3_Icon_ADV_100015_08_r05.png" TargetMode="External"/><Relationship Id="rId1297" Type="http://schemas.openxmlformats.org/officeDocument/2006/relationships/image" Target="../media/image644.png"/><Relationship Id="rId2695" Type="http://schemas.openxmlformats.org/officeDocument/2006/relationships/image" Target="../media/image1343.png"/><Relationship Id="rId667" Type="http://schemas.openxmlformats.org/officeDocument/2006/relationships/hyperlink" Target="https://natalie.tf/wp-content/uploads/2023/10/DLV3_Icon_Ability_1070018.png" TargetMode="External"/><Relationship Id="rId874" Type="http://schemas.openxmlformats.org/officeDocument/2006/relationships/hyperlink" Target="https://natalie.tf/wp-content/uploads/2023/10/DLV3_Icon_WP_400128_01.png" TargetMode="External"/><Relationship Id="rId2348" Type="http://schemas.openxmlformats.org/officeDocument/2006/relationships/hyperlink" Target="https://natalie.tf/wp-content/uploads/2023/10/DLV3_Icon_ADV_110386_01_r05.png" TargetMode="External"/><Relationship Id="rId2555" Type="http://schemas.openxmlformats.org/officeDocument/2006/relationships/image" Target="../media/image1273.png"/><Relationship Id="rId2762" Type="http://schemas.openxmlformats.org/officeDocument/2006/relationships/hyperlink" Target="https://natalie.tf/wp-content/uploads/2023/10/DLV3_Icon_DRA_210074_01.png" TargetMode="External"/><Relationship Id="rId527" Type="http://schemas.openxmlformats.org/officeDocument/2006/relationships/hyperlink" Target="https://natalie.tf/wp-content/uploads/2023/10/DLV3_Icon_Weapon_307138_01.png" TargetMode="External"/><Relationship Id="rId734" Type="http://schemas.openxmlformats.org/officeDocument/2006/relationships/image" Target="../media/image367.png"/><Relationship Id="rId941" Type="http://schemas.openxmlformats.org/officeDocument/2006/relationships/image" Target="../media/image467.png"/><Relationship Id="rId1157" Type="http://schemas.openxmlformats.org/officeDocument/2006/relationships/hyperlink" Target="https://natalie.tf/wp-content/uploads/2023/10/DLV3_Icon_WP_400425_01.png" TargetMode="External"/><Relationship Id="rId1364" Type="http://schemas.openxmlformats.org/officeDocument/2006/relationships/hyperlink" Target="https://natalie.tf/wp-content/uploads/2023/10/DLV3_Icon_WP_400496_02.png" TargetMode="External"/><Relationship Id="rId1571" Type="http://schemas.openxmlformats.org/officeDocument/2006/relationships/image" Target="../media/image781.png"/><Relationship Id="rId2208" Type="http://schemas.openxmlformats.org/officeDocument/2006/relationships/hyperlink" Target="https://natalie.tf/wp-content/uploads/2023/10/DLV3_Icon_ADV_110020_01_r05.png" TargetMode="External"/><Relationship Id="rId2415" Type="http://schemas.openxmlformats.org/officeDocument/2006/relationships/image" Target="../media/image1203.png"/><Relationship Id="rId2622" Type="http://schemas.openxmlformats.org/officeDocument/2006/relationships/hyperlink" Target="https://natalie.tf/wp-content/uploads/2023/10/DLV3_Icon_ADV_110049_01_r05.png" TargetMode="External"/><Relationship Id="rId70" Type="http://schemas.openxmlformats.org/officeDocument/2006/relationships/image" Target="../media/image35.png"/><Relationship Id="rId801" Type="http://schemas.openxmlformats.org/officeDocument/2006/relationships/hyperlink" Target="https://natalie.tf/wp-content/uploads/2023/10/DLV3_Icon_WP_400078_02.png" TargetMode="External"/><Relationship Id="rId1017" Type="http://schemas.openxmlformats.org/officeDocument/2006/relationships/hyperlink" Target="https://natalie.tf/wp-content/uploads/2023/10/DLV3_Icon_WP_400097_01.png" TargetMode="External"/><Relationship Id="rId1224" Type="http://schemas.openxmlformats.org/officeDocument/2006/relationships/hyperlink" Target="https://natalie.tf/wp-content/uploads/2023/10/DLV3_Icon_WP_400454_02.png" TargetMode="External"/><Relationship Id="rId1431" Type="http://schemas.openxmlformats.org/officeDocument/2006/relationships/image" Target="../media/image711.png"/><Relationship Id="rId3049" Type="http://schemas.openxmlformats.org/officeDocument/2006/relationships/hyperlink" Target="https://natalie.tf/wp-content/uploads/2023/10/DLV3_Icon_Skill_217.png" TargetMode="External"/><Relationship Id="rId177" Type="http://schemas.openxmlformats.org/officeDocument/2006/relationships/hyperlink" Target="https://natalie.tf/wp-content/uploads/2023/10/DLV3_Icon_Weapon_307034_01.png" TargetMode="External"/><Relationship Id="rId384" Type="http://schemas.openxmlformats.org/officeDocument/2006/relationships/image" Target="../media/image192.png"/><Relationship Id="rId591" Type="http://schemas.openxmlformats.org/officeDocument/2006/relationships/hyperlink" Target="https://natalie.tf/wp-content/uploads/2023/10/DLV3_Icon_Weapon_303149_01.png" TargetMode="External"/><Relationship Id="rId2065" Type="http://schemas.openxmlformats.org/officeDocument/2006/relationships/image" Target="../media/image1028.png"/><Relationship Id="rId2272" Type="http://schemas.openxmlformats.org/officeDocument/2006/relationships/hyperlink" Target="https://natalie.tf/wp-content/uploads/2023/10/DLV3_Icon_ADV_110379_01_r05.png" TargetMode="External"/><Relationship Id="rId244" Type="http://schemas.openxmlformats.org/officeDocument/2006/relationships/image" Target="../media/image122.png"/><Relationship Id="rId1081" Type="http://schemas.openxmlformats.org/officeDocument/2006/relationships/hyperlink" Target="https://natalie.tf/wp-content/uploads/2023/10/DLV3_Icon_WP_400395_02.png" TargetMode="External"/><Relationship Id="rId451" Type="http://schemas.openxmlformats.org/officeDocument/2006/relationships/hyperlink" Target="https://natalie.tf/wp-content/uploads/2023/10/DLV3_Icon_Weapon_305119_01.png" TargetMode="External"/><Relationship Id="rId2132" Type="http://schemas.openxmlformats.org/officeDocument/2006/relationships/hyperlink" Target="https://natalie.tf/wp-content/uploads/2023/10/DLV3_Icon_ADV_110052_03_r05.png" TargetMode="External"/><Relationship Id="rId104" Type="http://schemas.openxmlformats.org/officeDocument/2006/relationships/image" Target="../media/image52.png"/><Relationship Id="rId311" Type="http://schemas.openxmlformats.org/officeDocument/2006/relationships/hyperlink" Target="https://natalie.tf/wp-content/uploads/2023/10/DLV3_Icon_Weapon_307130_01.png" TargetMode="External"/><Relationship Id="rId1898" Type="http://schemas.openxmlformats.org/officeDocument/2006/relationships/hyperlink" Target="https://natalie.tf/wp-content/uploads/2023/10/DLV3_Icon_WP_400017_01.png" TargetMode="External"/><Relationship Id="rId2949" Type="http://schemas.openxmlformats.org/officeDocument/2006/relationships/hyperlink" Target="https://natalie.tf/wp-content/uploads/2023/11/DLV3_Icon_NPC_120218_01.png" TargetMode="External"/><Relationship Id="rId1758" Type="http://schemas.openxmlformats.org/officeDocument/2006/relationships/hyperlink" Target="https://natalie.tf/wp-content/uploads/2023/10/DLV3_Icon_Ability_1070010.png" TargetMode="External"/><Relationship Id="rId2809" Type="http://schemas.openxmlformats.org/officeDocument/2006/relationships/image" Target="../media/image1400.png"/><Relationship Id="rId1965" Type="http://schemas.openxmlformats.org/officeDocument/2006/relationships/image" Target="../media/image978.png"/><Relationship Id="rId1618" Type="http://schemas.openxmlformats.org/officeDocument/2006/relationships/hyperlink" Target="https://natalie.tf/wp-content/uploads/2023/10/DLV3_Icon_WP_400095_01.png" TargetMode="External"/><Relationship Id="rId1825" Type="http://schemas.openxmlformats.org/officeDocument/2006/relationships/image" Target="../media/image908.png"/><Relationship Id="rId3040" Type="http://schemas.openxmlformats.org/officeDocument/2006/relationships/image" Target="../media/image1515.png"/><Relationship Id="rId2599" Type="http://schemas.openxmlformats.org/officeDocument/2006/relationships/image" Target="../media/image1295.png"/><Relationship Id="rId778" Type="http://schemas.openxmlformats.org/officeDocument/2006/relationships/image" Target="../media/image389.png"/><Relationship Id="rId985" Type="http://schemas.openxmlformats.org/officeDocument/2006/relationships/hyperlink" Target="https://natalie.tf/wp-content/uploads/2023/10/DLV3_Icon_WP_400096_01.png" TargetMode="External"/><Relationship Id="rId2459" Type="http://schemas.openxmlformats.org/officeDocument/2006/relationships/image" Target="../media/image1225.png"/><Relationship Id="rId2666" Type="http://schemas.openxmlformats.org/officeDocument/2006/relationships/hyperlink" Target="https://natalie.tf/wp-content/uploads/2023/10/DLV3_Icon_DRA_210052_01.png" TargetMode="External"/><Relationship Id="rId2873" Type="http://schemas.openxmlformats.org/officeDocument/2006/relationships/image" Target="../media/image1432.png"/><Relationship Id="rId638" Type="http://schemas.openxmlformats.org/officeDocument/2006/relationships/image" Target="../media/image319.png"/><Relationship Id="rId845" Type="http://schemas.openxmlformats.org/officeDocument/2006/relationships/hyperlink" Target="https://natalie.tf/wp-content/uploads/2023/10/DLV3_Icon_WP_400121_02.png" TargetMode="External"/><Relationship Id="rId1268" Type="http://schemas.openxmlformats.org/officeDocument/2006/relationships/hyperlink" Target="https://natalie.tf/wp-content/uploads/2023/10/DLV3_Icon_WP_400466_01.png" TargetMode="External"/><Relationship Id="rId1475" Type="http://schemas.openxmlformats.org/officeDocument/2006/relationships/image" Target="../media/image733.png"/><Relationship Id="rId1682" Type="http://schemas.openxmlformats.org/officeDocument/2006/relationships/hyperlink" Target="https://natalie.tf/wp-content/uploads/2023/10/DLV3_Icon_WP_400410_01.png" TargetMode="External"/><Relationship Id="rId2319" Type="http://schemas.openxmlformats.org/officeDocument/2006/relationships/image" Target="../media/image1155.png"/><Relationship Id="rId2526" Type="http://schemas.openxmlformats.org/officeDocument/2006/relationships/hyperlink" Target="https://natalie.tf/wp-content/uploads/2023/10/DLV3_Icon_ADV_110325_01_r05.png" TargetMode="External"/><Relationship Id="rId2733" Type="http://schemas.openxmlformats.org/officeDocument/2006/relationships/image" Target="../media/image1362.png"/><Relationship Id="rId705" Type="http://schemas.openxmlformats.org/officeDocument/2006/relationships/hyperlink" Target="https://natalie.tf/wp-content/uploads/2023/10/DLV3_Icon_WP_400199_01.png" TargetMode="External"/><Relationship Id="rId1128" Type="http://schemas.openxmlformats.org/officeDocument/2006/relationships/image" Target="../media/image560.png"/><Relationship Id="rId1335" Type="http://schemas.openxmlformats.org/officeDocument/2006/relationships/image" Target="../media/image663.png"/><Relationship Id="rId1542" Type="http://schemas.openxmlformats.org/officeDocument/2006/relationships/hyperlink" Target="https://natalie.tf/wp-content/uploads/2023/10/DLV3_Icon_WP_400114_01.png" TargetMode="External"/><Relationship Id="rId2940" Type="http://schemas.openxmlformats.org/officeDocument/2006/relationships/hyperlink" Target="https://natalie.tf/wp-content/uploads/2023/11/DLV3_Icon_DRA_Custom_Fallen_Michael.png" TargetMode="External"/><Relationship Id="rId912" Type="http://schemas.openxmlformats.org/officeDocument/2006/relationships/hyperlink" Target="https://natalie.tf/wp-content/uploads/2023/10/DLV3_Icon_WP_400143_01.png" TargetMode="External"/><Relationship Id="rId2800" Type="http://schemas.openxmlformats.org/officeDocument/2006/relationships/hyperlink" Target="https://natalie.tf/wp-content/uploads/2023/10/DLV3_Icon_DRA_210110_01.png" TargetMode="External"/><Relationship Id="rId41" Type="http://schemas.openxmlformats.org/officeDocument/2006/relationships/hyperlink" Target="https://natalie.tf/wp-content/uploads/2023/10/DLV3_Icon_Weapon_302010_01.png" TargetMode="External"/><Relationship Id="rId1402" Type="http://schemas.openxmlformats.org/officeDocument/2006/relationships/hyperlink" Target="https://natalie.tf/wp-content/uploads/2023/10/DLV3_Icon_WP_400383_02.png" TargetMode="External"/><Relationship Id="rId288" Type="http://schemas.openxmlformats.org/officeDocument/2006/relationships/image" Target="../media/image144.png"/><Relationship Id="rId495" Type="http://schemas.openxmlformats.org/officeDocument/2006/relationships/hyperlink" Target="https://natalie.tf/wp-content/uploads/2023/10/DLV3_Icon_Weapon_309027_01.png" TargetMode="External"/><Relationship Id="rId2176" Type="http://schemas.openxmlformats.org/officeDocument/2006/relationships/hyperlink" Target="https://natalie.tf/wp-content/uploads/2023/10/DLV3_Icon_ADV_110255_01_r05.png" TargetMode="External"/><Relationship Id="rId2383" Type="http://schemas.openxmlformats.org/officeDocument/2006/relationships/image" Target="../media/image1187.png"/><Relationship Id="rId2590" Type="http://schemas.openxmlformats.org/officeDocument/2006/relationships/hyperlink" Target="https://natalie.tf/wp-content/uploads/2023/10/DLV3_Icon_ADV_100005_01_r05.png" TargetMode="External"/><Relationship Id="rId148" Type="http://schemas.openxmlformats.org/officeDocument/2006/relationships/image" Target="../media/image74.png"/><Relationship Id="rId355" Type="http://schemas.openxmlformats.org/officeDocument/2006/relationships/hyperlink" Target="https://natalie.tf/wp-content/uploads/2023/10/DLV3_Icon_Weapon_302127_01.png" TargetMode="External"/><Relationship Id="rId562" Type="http://schemas.openxmlformats.org/officeDocument/2006/relationships/image" Target="../media/image281.png"/><Relationship Id="rId1192" Type="http://schemas.openxmlformats.org/officeDocument/2006/relationships/image" Target="../media/image592.png"/><Relationship Id="rId2036" Type="http://schemas.openxmlformats.org/officeDocument/2006/relationships/hyperlink" Target="https://natalie.tf/wp-content/uploads/2023/11/DLV3_Icon_Custom_Surging_Cascade_WP.png" TargetMode="External"/><Relationship Id="rId2243" Type="http://schemas.openxmlformats.org/officeDocument/2006/relationships/image" Target="../media/image1117.png"/><Relationship Id="rId2450" Type="http://schemas.openxmlformats.org/officeDocument/2006/relationships/hyperlink" Target="https://natalie.tf/wp-content/uploads/2023/10/DLV3_Icon_ADV_110380_01_r05.png" TargetMode="External"/><Relationship Id="rId215" Type="http://schemas.openxmlformats.org/officeDocument/2006/relationships/hyperlink" Target="https://natalie.tf/wp-content/uploads/2023/10/DLV3_Icon_Weapon_308044_01.png" TargetMode="External"/><Relationship Id="rId422" Type="http://schemas.openxmlformats.org/officeDocument/2006/relationships/image" Target="../media/image211.png"/><Relationship Id="rId1052" Type="http://schemas.openxmlformats.org/officeDocument/2006/relationships/image" Target="../media/image522.png"/><Relationship Id="rId2103" Type="http://schemas.openxmlformats.org/officeDocument/2006/relationships/image" Target="../media/image1047.png"/><Relationship Id="rId2310" Type="http://schemas.openxmlformats.org/officeDocument/2006/relationships/hyperlink" Target="https://natalie.tf/wp-content/uploads/2023/10/DLV3_Icon_ADV_110041_02_r05.png" TargetMode="External"/><Relationship Id="rId1869" Type="http://schemas.openxmlformats.org/officeDocument/2006/relationships/image" Target="../media/image930.png"/><Relationship Id="rId1729" Type="http://schemas.openxmlformats.org/officeDocument/2006/relationships/image" Target="../media/image860.png"/><Relationship Id="rId1936" Type="http://schemas.openxmlformats.org/officeDocument/2006/relationships/hyperlink" Target="https://natalie.tf/wp-content/uploads/2023/10/DLV3_Icon_WP_400026_02.png" TargetMode="External"/><Relationship Id="rId3011" Type="http://schemas.openxmlformats.org/officeDocument/2006/relationships/hyperlink" Target="https://natalie.tf/wp-content/uploads/2023/11/DLV3_Icon_NPC_120212_01.png" TargetMode="External"/><Relationship Id="rId5" Type="http://schemas.openxmlformats.org/officeDocument/2006/relationships/hyperlink" Target="https://natalie.tf/wp-content/uploads/2023/10/DLV3_Portrait_ADV_100015_05_r05.png" TargetMode="External"/><Relationship Id="rId889" Type="http://schemas.openxmlformats.org/officeDocument/2006/relationships/image" Target="../media/image444.png"/><Relationship Id="rId2777" Type="http://schemas.openxmlformats.org/officeDocument/2006/relationships/image" Target="../media/image1384.png"/><Relationship Id="rId749" Type="http://schemas.openxmlformats.org/officeDocument/2006/relationships/hyperlink" Target="https://natalie.tf/wp-content/uploads/2023/10/DLV3_Icon_WP_400065_02.png" TargetMode="External"/><Relationship Id="rId1379" Type="http://schemas.openxmlformats.org/officeDocument/2006/relationships/image" Target="../media/image685.png"/><Relationship Id="rId1586" Type="http://schemas.openxmlformats.org/officeDocument/2006/relationships/hyperlink" Target="https://natalie.tf/wp-content/uploads/2023/10/DLV3_Icon_WP_400174_01.png" TargetMode="External"/><Relationship Id="rId2984" Type="http://schemas.openxmlformats.org/officeDocument/2006/relationships/image" Target="../media/image1487.png"/><Relationship Id="rId609" Type="http://schemas.openxmlformats.org/officeDocument/2006/relationships/hyperlink" Target="https://natalie.tf/wp-content/uploads/2023/10/DLV3_Icon_Weapon_303150_01.png" TargetMode="External"/><Relationship Id="rId956" Type="http://schemas.openxmlformats.org/officeDocument/2006/relationships/hyperlink" Target="https://natalie.tf/wp-content/uploads/2023/10/DLV3_Icon_WP_400176_02.png" TargetMode="External"/><Relationship Id="rId1239" Type="http://schemas.openxmlformats.org/officeDocument/2006/relationships/image" Target="../media/image615.png"/><Relationship Id="rId1793" Type="http://schemas.openxmlformats.org/officeDocument/2006/relationships/image" Target="../media/image892.png"/><Relationship Id="rId2637" Type="http://schemas.openxmlformats.org/officeDocument/2006/relationships/image" Target="../media/image1314.png"/><Relationship Id="rId2844" Type="http://schemas.openxmlformats.org/officeDocument/2006/relationships/hyperlink" Target="https://natalie.tf/wp-content/uploads/2023/10/DLV3_Icon_DRA_210013_01.png" TargetMode="External"/><Relationship Id="rId85" Type="http://schemas.openxmlformats.org/officeDocument/2006/relationships/hyperlink" Target="https://natalie.tf/wp-content/uploads/2023/10/DLV3_Icon_Weapon_301040_01.png" TargetMode="External"/><Relationship Id="rId816" Type="http://schemas.openxmlformats.org/officeDocument/2006/relationships/image" Target="../media/image408.png"/><Relationship Id="rId1446" Type="http://schemas.openxmlformats.org/officeDocument/2006/relationships/hyperlink" Target="https://natalie.tf/wp-content/uploads/2023/10/DLV3_Icon_WP_400042_02.png" TargetMode="External"/><Relationship Id="rId1653" Type="http://schemas.openxmlformats.org/officeDocument/2006/relationships/image" Target="../media/image822.png"/><Relationship Id="rId1860" Type="http://schemas.openxmlformats.org/officeDocument/2006/relationships/hyperlink" Target="https://natalie.tf/wp-content/uploads/2023/10/DLV3_Icon_WP_400008_01.png" TargetMode="External"/><Relationship Id="rId2704" Type="http://schemas.openxmlformats.org/officeDocument/2006/relationships/hyperlink" Target="https://natalie.tf/wp-content/uploads/2023/10/DLV3_Icon_DRA_210081_01.png" TargetMode="External"/><Relationship Id="rId2911" Type="http://schemas.openxmlformats.org/officeDocument/2006/relationships/image" Target="../media/image1451.png"/><Relationship Id="rId1306" Type="http://schemas.openxmlformats.org/officeDocument/2006/relationships/hyperlink" Target="https://natalie.tf/wp-content/uploads/2023/10/DLV3_Icon_WP_400475_02.png" TargetMode="External"/><Relationship Id="rId1513" Type="http://schemas.openxmlformats.org/officeDocument/2006/relationships/image" Target="../media/image752.png"/><Relationship Id="rId1720" Type="http://schemas.openxmlformats.org/officeDocument/2006/relationships/hyperlink" Target="https://natalie.tf/wp-content/uploads/2023/10/DLV3_Icon_WP_400432_02.png" TargetMode="External"/><Relationship Id="rId12" Type="http://schemas.openxmlformats.org/officeDocument/2006/relationships/image" Target="../media/image6.png"/><Relationship Id="rId399" Type="http://schemas.openxmlformats.org/officeDocument/2006/relationships/hyperlink" Target="https://natalie.tf/wp-content/uploads/2023/10/DLV3_Icon_Weapon_306109_01.png" TargetMode="External"/><Relationship Id="rId2287" Type="http://schemas.openxmlformats.org/officeDocument/2006/relationships/image" Target="../media/image1139.png"/><Relationship Id="rId2494" Type="http://schemas.openxmlformats.org/officeDocument/2006/relationships/hyperlink" Target="https://natalie.tf/wp-content/uploads/2023/10/DLV3_Icon_ADV_110323_01_r05.png" TargetMode="External"/><Relationship Id="rId259" Type="http://schemas.openxmlformats.org/officeDocument/2006/relationships/hyperlink" Target="https://natalie.tf/wp-content/uploads/2023/10/DLV3_Icon_Weapon_306106_01.png" TargetMode="External"/><Relationship Id="rId466" Type="http://schemas.openxmlformats.org/officeDocument/2006/relationships/image" Target="../media/image233.png"/><Relationship Id="rId673" Type="http://schemas.openxmlformats.org/officeDocument/2006/relationships/hyperlink" Target="https://natalie.tf/wp-content/uploads/2023/11/DLV3_Icon_Affinity_Serpent.png" TargetMode="External"/><Relationship Id="rId880" Type="http://schemas.openxmlformats.org/officeDocument/2006/relationships/hyperlink" Target="https://natalie.tf/wp-content/uploads/2023/10/DLV3_Icon_WP_400129_02.png" TargetMode="External"/><Relationship Id="rId1096" Type="http://schemas.openxmlformats.org/officeDocument/2006/relationships/image" Target="../media/image544.png"/><Relationship Id="rId2147" Type="http://schemas.openxmlformats.org/officeDocument/2006/relationships/image" Target="../media/image1069.png"/><Relationship Id="rId2354" Type="http://schemas.openxmlformats.org/officeDocument/2006/relationships/hyperlink" Target="https://natalie.tf/wp-content/uploads/2023/10/DLV3_Icon_ADV_110302_01_r05.png" TargetMode="External"/><Relationship Id="rId2561" Type="http://schemas.openxmlformats.org/officeDocument/2006/relationships/image" Target="../media/image1276.png"/><Relationship Id="rId119" Type="http://schemas.openxmlformats.org/officeDocument/2006/relationships/hyperlink" Target="https://natalie.tf/wp-content/uploads/2023/10/DLV3_Icon_Weapon_309009_01.png" TargetMode="External"/><Relationship Id="rId326" Type="http://schemas.openxmlformats.org/officeDocument/2006/relationships/image" Target="../media/image163.png"/><Relationship Id="rId533" Type="http://schemas.openxmlformats.org/officeDocument/2006/relationships/hyperlink" Target="https://natalie.tf/wp-content/uploads/2023/10/DLV3_Icon_Weapon_301142_01.png" TargetMode="External"/><Relationship Id="rId1163" Type="http://schemas.openxmlformats.org/officeDocument/2006/relationships/hyperlink" Target="https://natalie.tf/wp-content/uploads/2023/10/DLV3_Icon_WP_400441_02.png" TargetMode="External"/><Relationship Id="rId1370" Type="http://schemas.openxmlformats.org/officeDocument/2006/relationships/hyperlink" Target="https://natalie.tf/wp-content/uploads/2023/10/DLV3_Icon_WP_400497_02.png" TargetMode="External"/><Relationship Id="rId2007" Type="http://schemas.openxmlformats.org/officeDocument/2006/relationships/image" Target="../media/image999.png"/><Relationship Id="rId2214" Type="http://schemas.openxmlformats.org/officeDocument/2006/relationships/hyperlink" Target="https://natalie.tf/wp-content/uploads/2023/10/DLV3_Icon_ADV_110058_01_r05.png" TargetMode="External"/><Relationship Id="rId740" Type="http://schemas.openxmlformats.org/officeDocument/2006/relationships/image" Target="../media/image370.png"/><Relationship Id="rId1023" Type="http://schemas.openxmlformats.org/officeDocument/2006/relationships/hyperlink" Target="https://natalie.tf/wp-content/uploads/2023/10/DLV3_Icon_WP_400380_02.png" TargetMode="External"/><Relationship Id="rId2421" Type="http://schemas.openxmlformats.org/officeDocument/2006/relationships/image" Target="../media/image1206.png"/><Relationship Id="rId600" Type="http://schemas.openxmlformats.org/officeDocument/2006/relationships/image" Target="../media/image300.png"/><Relationship Id="rId1230" Type="http://schemas.openxmlformats.org/officeDocument/2006/relationships/hyperlink" Target="https://natalie.tf/wp-content/uploads/2023/10/DLV3_Icon_Ability_1040014.png" TargetMode="External"/><Relationship Id="rId3055" Type="http://schemas.openxmlformats.org/officeDocument/2006/relationships/hyperlink" Target="https://natalie.tf/wp-content/uploads/2023/10/DLV3_Icon_Skill_189.png" TargetMode="External"/><Relationship Id="rId183" Type="http://schemas.openxmlformats.org/officeDocument/2006/relationships/hyperlink" Target="https://natalie.tf/wp-content/uploads/2023/10/DLV3_Icon_Weapon_301037_01.png" TargetMode="External"/><Relationship Id="rId390" Type="http://schemas.openxmlformats.org/officeDocument/2006/relationships/image" Target="../media/image195.png"/><Relationship Id="rId1907" Type="http://schemas.openxmlformats.org/officeDocument/2006/relationships/image" Target="../media/image949.png"/><Relationship Id="rId2071" Type="http://schemas.openxmlformats.org/officeDocument/2006/relationships/image" Target="../media/image1031.png"/><Relationship Id="rId250" Type="http://schemas.openxmlformats.org/officeDocument/2006/relationships/image" Target="../media/image125.png"/><Relationship Id="rId110" Type="http://schemas.openxmlformats.org/officeDocument/2006/relationships/image" Target="../media/image55.png"/><Relationship Id="rId2888" Type="http://schemas.openxmlformats.org/officeDocument/2006/relationships/hyperlink" Target="https://natalie.tf/wp-content/uploads/2023/10/DLV3_Icon_DRA_210132_01.png" TargetMode="External"/><Relationship Id="rId1697" Type="http://schemas.openxmlformats.org/officeDocument/2006/relationships/image" Target="../media/image844.png"/><Relationship Id="rId2748" Type="http://schemas.openxmlformats.org/officeDocument/2006/relationships/hyperlink" Target="https://natalie.tf/wp-content/uploads/2023/10/DLV3_Icon_DRA_210063_01.png" TargetMode="External"/><Relationship Id="rId2955" Type="http://schemas.openxmlformats.org/officeDocument/2006/relationships/hyperlink" Target="https://natalie.tf/wp-content/uploads/2023/11/DLV3_Icon_DRA_Custom_Void_Jean_dArc.png" TargetMode="External"/><Relationship Id="rId927" Type="http://schemas.openxmlformats.org/officeDocument/2006/relationships/image" Target="../media/image461.png"/><Relationship Id="rId1557" Type="http://schemas.openxmlformats.org/officeDocument/2006/relationships/image" Target="../media/image774.png"/><Relationship Id="rId1764" Type="http://schemas.openxmlformats.org/officeDocument/2006/relationships/hyperlink" Target="https://natalie.tf/wp-content/uploads/2023/10/DLV3_Icon_WP_400132_01.png" TargetMode="External"/><Relationship Id="rId1971" Type="http://schemas.openxmlformats.org/officeDocument/2006/relationships/image" Target="../media/image981.png"/><Relationship Id="rId2608" Type="http://schemas.openxmlformats.org/officeDocument/2006/relationships/hyperlink" Target="https://natalie.tf/wp-content/uploads/2023/10/DLV3_Icon_ADV_110018_02_r05.png" TargetMode="External"/><Relationship Id="rId2815" Type="http://schemas.openxmlformats.org/officeDocument/2006/relationships/image" Target="../media/image1403.png"/><Relationship Id="rId56" Type="http://schemas.openxmlformats.org/officeDocument/2006/relationships/image" Target="../media/image28.png"/><Relationship Id="rId1417" Type="http://schemas.openxmlformats.org/officeDocument/2006/relationships/image" Target="../media/image704.png"/><Relationship Id="rId1624" Type="http://schemas.openxmlformats.org/officeDocument/2006/relationships/hyperlink" Target="https://natalie.tf/wp-content/uploads/2023/10/DLV3_Icon_WP_400337_02.png" TargetMode="External"/><Relationship Id="rId1831" Type="http://schemas.openxmlformats.org/officeDocument/2006/relationships/image" Target="../media/image911.png"/><Relationship Id="rId2398" Type="http://schemas.openxmlformats.org/officeDocument/2006/relationships/hyperlink" Target="https://natalie.tf/wp-content/uploads/2023/10/DLV3_Icon_ADV_110015_02_r05.png" TargetMode="External"/><Relationship Id="rId577" Type="http://schemas.openxmlformats.org/officeDocument/2006/relationships/hyperlink" Target="https://natalie.tf/wp-content/uploads/2023/10/DLV3_Icon_Weapon_305155_01.png" TargetMode="External"/><Relationship Id="rId2258" Type="http://schemas.openxmlformats.org/officeDocument/2006/relationships/hyperlink" Target="https://natalie.tf/wp-content/uploads/2023/10/DLV3_Icon_ADV_110362_01_r05.png" TargetMode="External"/><Relationship Id="rId784" Type="http://schemas.openxmlformats.org/officeDocument/2006/relationships/image" Target="../media/image392.png"/><Relationship Id="rId991" Type="http://schemas.openxmlformats.org/officeDocument/2006/relationships/hyperlink" Target="https://natalie.tf/wp-content/uploads/2023/10/DLV3_Icon_WP_400334_02.png" TargetMode="External"/><Relationship Id="rId1067" Type="http://schemas.openxmlformats.org/officeDocument/2006/relationships/hyperlink" Target="https://natalie.tf/wp-content/uploads/2023/10/DLV3_Icon_WP_400401_01.png" TargetMode="External"/><Relationship Id="rId2465" Type="http://schemas.openxmlformats.org/officeDocument/2006/relationships/image" Target="../media/image1228.png"/><Relationship Id="rId2672" Type="http://schemas.openxmlformats.org/officeDocument/2006/relationships/hyperlink" Target="https://natalie.tf/wp-content/uploads/2023/10/DLV3_Icon_DRA_210147_01.png" TargetMode="External"/><Relationship Id="rId437" Type="http://schemas.openxmlformats.org/officeDocument/2006/relationships/hyperlink" Target="https://natalie.tf/wp-content/uploads/2023/10/DLV3_Icon_Weapon_307118_01.png" TargetMode="External"/><Relationship Id="rId644" Type="http://schemas.openxmlformats.org/officeDocument/2006/relationships/image" Target="../media/image322.png"/><Relationship Id="rId851" Type="http://schemas.openxmlformats.org/officeDocument/2006/relationships/hyperlink" Target="https://natalie.tf/wp-content/uploads/2023/10/DLV3_Icon_Ability_1020003.png" TargetMode="External"/><Relationship Id="rId1274" Type="http://schemas.openxmlformats.org/officeDocument/2006/relationships/hyperlink" Target="https://natalie.tf/wp-content/uploads/2023/10/DLV3_Icon_WP_400403_02.png" TargetMode="External"/><Relationship Id="rId1481" Type="http://schemas.openxmlformats.org/officeDocument/2006/relationships/image" Target="../media/image736.png"/><Relationship Id="rId2118" Type="http://schemas.openxmlformats.org/officeDocument/2006/relationships/hyperlink" Target="https://natalie.tf/wp-content/uploads/2023/10/DLV3_Icon_ADV_110345_03_r05.png" TargetMode="External"/><Relationship Id="rId2325" Type="http://schemas.openxmlformats.org/officeDocument/2006/relationships/image" Target="../media/image1158.png"/><Relationship Id="rId2532" Type="http://schemas.openxmlformats.org/officeDocument/2006/relationships/hyperlink" Target="https://natalie.tf/wp-content/uploads/2023/10/DLV3_Icon_ADV_110304_01_r05.png" TargetMode="External"/><Relationship Id="rId504" Type="http://schemas.openxmlformats.org/officeDocument/2006/relationships/image" Target="../media/image252.png"/><Relationship Id="rId711" Type="http://schemas.openxmlformats.org/officeDocument/2006/relationships/hyperlink" Target="https://natalie.tf/wp-content/uploads/2023/11/DLV3_Icon_Affinity_Deer.png" TargetMode="External"/><Relationship Id="rId1134" Type="http://schemas.openxmlformats.org/officeDocument/2006/relationships/image" Target="../media/image563.png"/><Relationship Id="rId1341" Type="http://schemas.openxmlformats.org/officeDocument/2006/relationships/image" Target="../media/image666.png"/><Relationship Id="rId1201" Type="http://schemas.openxmlformats.org/officeDocument/2006/relationships/hyperlink" Target="https://natalie.tf/wp-content/uploads/2023/10/DLV3_Icon_WP_400447_01.png" TargetMode="External"/><Relationship Id="rId294" Type="http://schemas.openxmlformats.org/officeDocument/2006/relationships/image" Target="../media/image147.png"/><Relationship Id="rId2182" Type="http://schemas.openxmlformats.org/officeDocument/2006/relationships/hyperlink" Target="https://natalie.tf/wp-content/uploads/2023/10/DLV3_Icon_ADV_110313_03_r05.png" TargetMode="External"/><Relationship Id="rId3026" Type="http://schemas.openxmlformats.org/officeDocument/2006/relationships/image" Target="../media/image1508.png"/><Relationship Id="rId154" Type="http://schemas.openxmlformats.org/officeDocument/2006/relationships/image" Target="../media/image77.png"/><Relationship Id="rId361" Type="http://schemas.openxmlformats.org/officeDocument/2006/relationships/hyperlink" Target="https://natalie.tf/wp-content/uploads/2023/10/DLV3_Icon_Weapon_305132_01.png" TargetMode="External"/><Relationship Id="rId2042" Type="http://schemas.openxmlformats.org/officeDocument/2006/relationships/hyperlink" Target="https://natalie.tf/wp-content/uploads/2023/10/DLV3_Icon_ADV_100003_10_r05.png" TargetMode="External"/><Relationship Id="rId2999" Type="http://schemas.openxmlformats.org/officeDocument/2006/relationships/hyperlink" Target="https://natalie.tf/wp-content/uploads/2023/11/DLV3_Icon_NPC_Custom_120051_01.png" TargetMode="External"/><Relationship Id="rId221" Type="http://schemas.openxmlformats.org/officeDocument/2006/relationships/hyperlink" Target="https://natalie.tf/wp-content/uploads/2023/10/DLV3_Icon_Weapon_303058_01.png" TargetMode="External"/><Relationship Id="rId2859" Type="http://schemas.openxmlformats.org/officeDocument/2006/relationships/image" Target="../media/image1425.png"/><Relationship Id="rId1668" Type="http://schemas.openxmlformats.org/officeDocument/2006/relationships/hyperlink" Target="https://natalie.tf/wp-content/uploads/2023/10/DLV3_Icon_Ability_1030003.png" TargetMode="External"/><Relationship Id="rId1875" Type="http://schemas.openxmlformats.org/officeDocument/2006/relationships/image" Target="../media/image933.png"/><Relationship Id="rId2719" Type="http://schemas.openxmlformats.org/officeDocument/2006/relationships/image" Target="../media/image1355.png"/><Relationship Id="rId1528" Type="http://schemas.openxmlformats.org/officeDocument/2006/relationships/hyperlink" Target="https://natalie.tf/wp-content/uploads/2023/10/DLV3_Icon_Ability_1030010.png" TargetMode="External"/><Relationship Id="rId2926" Type="http://schemas.openxmlformats.org/officeDocument/2006/relationships/hyperlink" Target="https://natalie.tf/wp-content/uploads/2023/11/DLV3_Icon_DRA_Custom_Fallen_Ramiel.png" TargetMode="External"/><Relationship Id="rId1735" Type="http://schemas.openxmlformats.org/officeDocument/2006/relationships/image" Target="../media/image863.png"/><Relationship Id="rId1942" Type="http://schemas.openxmlformats.org/officeDocument/2006/relationships/hyperlink" Target="https://natalie.tf/wp-content/uploads/2023/10/DLV3_Icon_WP_400031_01.png" TargetMode="External"/><Relationship Id="rId27" Type="http://schemas.openxmlformats.org/officeDocument/2006/relationships/hyperlink" Target="https://natalie.tf/wp-content/uploads/2023/10/DLV3_Icon_Ability_1020002.png" TargetMode="External"/><Relationship Id="rId1802" Type="http://schemas.openxmlformats.org/officeDocument/2006/relationships/hyperlink" Target="https://natalie.tf/wp-content/uploads/2023/10/DLV3_Icon_WP_400161_02.png" TargetMode="External"/><Relationship Id="rId688" Type="http://schemas.openxmlformats.org/officeDocument/2006/relationships/image" Target="../media/image344.png"/><Relationship Id="rId895" Type="http://schemas.openxmlformats.org/officeDocument/2006/relationships/image" Target="../media/image447.png"/><Relationship Id="rId2369" Type="http://schemas.openxmlformats.org/officeDocument/2006/relationships/image" Target="../media/image1180.png"/><Relationship Id="rId2576" Type="http://schemas.openxmlformats.org/officeDocument/2006/relationships/hyperlink" Target="https://natalie.tf/wp-content/uploads/2023/10/DLV3_Icon_ADV_110402_01_r05.png" TargetMode="External"/><Relationship Id="rId2783" Type="http://schemas.openxmlformats.org/officeDocument/2006/relationships/image" Target="../media/image1387.png"/><Relationship Id="rId2990" Type="http://schemas.openxmlformats.org/officeDocument/2006/relationships/image" Target="../media/image1490.png"/><Relationship Id="rId548" Type="http://schemas.openxmlformats.org/officeDocument/2006/relationships/image" Target="../media/image274.png"/><Relationship Id="rId755" Type="http://schemas.openxmlformats.org/officeDocument/2006/relationships/hyperlink" Target="https://natalie.tf/wp-content/uploads/2023/10/DLV3_Icon_WP_400066_02.png" TargetMode="External"/><Relationship Id="rId962" Type="http://schemas.openxmlformats.org/officeDocument/2006/relationships/hyperlink" Target="https://natalie.tf/wp-content/uploads/2023/10/DLV3_Icon_WP_400277_01.png" TargetMode="External"/><Relationship Id="rId1178" Type="http://schemas.openxmlformats.org/officeDocument/2006/relationships/image" Target="../media/image585.png"/><Relationship Id="rId1385" Type="http://schemas.openxmlformats.org/officeDocument/2006/relationships/image" Target="../media/image688.png"/><Relationship Id="rId1592" Type="http://schemas.openxmlformats.org/officeDocument/2006/relationships/hyperlink" Target="https://natalie.tf/wp-content/uploads/2023/10/DLV3_Icon_WP_400293_02.png" TargetMode="External"/><Relationship Id="rId2229" Type="http://schemas.openxmlformats.org/officeDocument/2006/relationships/image" Target="../media/image1110.png"/><Relationship Id="rId2436" Type="http://schemas.openxmlformats.org/officeDocument/2006/relationships/hyperlink" Target="https://natalie.tf/wp-content/uploads/2023/10/DLV3_Icon_ADV_110398_01_r05.png" TargetMode="External"/><Relationship Id="rId2643" Type="http://schemas.openxmlformats.org/officeDocument/2006/relationships/image" Target="../media/image1317.png"/><Relationship Id="rId2850" Type="http://schemas.openxmlformats.org/officeDocument/2006/relationships/hyperlink" Target="https://natalie.tf/wp-content/uploads/2023/10/DLV3_Icon_DRA_210083_01.png" TargetMode="External"/><Relationship Id="rId91" Type="http://schemas.openxmlformats.org/officeDocument/2006/relationships/hyperlink" Target="https://natalie.tf/wp-content/uploads/2023/10/DLV3_Icon_Weapon_304026_01.png" TargetMode="External"/><Relationship Id="rId408" Type="http://schemas.openxmlformats.org/officeDocument/2006/relationships/image" Target="../media/image204.png"/><Relationship Id="rId615" Type="http://schemas.openxmlformats.org/officeDocument/2006/relationships/hyperlink" Target="https://natalie.tf/wp-content/uploads/2023/10/DLV3_Icon_Weapon_306149_01.png" TargetMode="External"/><Relationship Id="rId822" Type="http://schemas.openxmlformats.org/officeDocument/2006/relationships/image" Target="../media/image411.png"/><Relationship Id="rId1038" Type="http://schemas.openxmlformats.org/officeDocument/2006/relationships/image" Target="../media/image515.png"/><Relationship Id="rId1245" Type="http://schemas.openxmlformats.org/officeDocument/2006/relationships/image" Target="../media/image618.png"/><Relationship Id="rId1452" Type="http://schemas.openxmlformats.org/officeDocument/2006/relationships/hyperlink" Target="https://natalie.tf/wp-content/uploads/2023/10/DLV3_Icon_WP_400043_02.png" TargetMode="External"/><Relationship Id="rId2503" Type="http://schemas.openxmlformats.org/officeDocument/2006/relationships/image" Target="../media/image1247.png"/><Relationship Id="rId1105" Type="http://schemas.openxmlformats.org/officeDocument/2006/relationships/hyperlink" Target="https://natalie.tf/wp-content/uploads/2023/10/DLV3_Icon_WP_400416_02.png" TargetMode="External"/><Relationship Id="rId1312" Type="http://schemas.openxmlformats.org/officeDocument/2006/relationships/hyperlink" Target="https://natalie.tf/wp-content/uploads/2023/10/DLV3_Icon_WP_400479_01.png" TargetMode="External"/><Relationship Id="rId2710" Type="http://schemas.openxmlformats.org/officeDocument/2006/relationships/hyperlink" Target="https://natalie.tf/wp-content/uploads/2023/10/DLV3_Icon_DRA_210021_01.png" TargetMode="External"/><Relationship Id="rId198" Type="http://schemas.openxmlformats.org/officeDocument/2006/relationships/image" Target="../media/image99.png"/><Relationship Id="rId2086" Type="http://schemas.openxmlformats.org/officeDocument/2006/relationships/hyperlink" Target="https://natalie.tf/wp-content/uploads/2023/10/DLV3_Icon_ADV_110299_01_r05.png" TargetMode="External"/><Relationship Id="rId2293" Type="http://schemas.openxmlformats.org/officeDocument/2006/relationships/image" Target="../media/image1142.png"/><Relationship Id="rId265" Type="http://schemas.openxmlformats.org/officeDocument/2006/relationships/hyperlink" Target="https://natalie.tf/wp-content/uploads/2023/10/DLV3_Icon_Weapon_301106_01.png" TargetMode="External"/><Relationship Id="rId472" Type="http://schemas.openxmlformats.org/officeDocument/2006/relationships/image" Target="../media/image236.png"/><Relationship Id="rId2153" Type="http://schemas.openxmlformats.org/officeDocument/2006/relationships/image" Target="../media/image1072.png"/><Relationship Id="rId2360" Type="http://schemas.openxmlformats.org/officeDocument/2006/relationships/hyperlink" Target="https://natalie.tf/wp-content/uploads/2023/10/DLV3_Icon_ADV_110021_03_r05.png" TargetMode="External"/><Relationship Id="rId125" Type="http://schemas.openxmlformats.org/officeDocument/2006/relationships/hyperlink" Target="https://natalie.tf/wp-content/uploads/2023/10/DLV3_Icon_Weapon_303013_01.png" TargetMode="External"/><Relationship Id="rId332" Type="http://schemas.openxmlformats.org/officeDocument/2006/relationships/image" Target="../media/image166.png"/><Relationship Id="rId2013" Type="http://schemas.openxmlformats.org/officeDocument/2006/relationships/image" Target="../media/image1002.png"/><Relationship Id="rId2220" Type="http://schemas.openxmlformats.org/officeDocument/2006/relationships/hyperlink" Target="https://natalie.tf/wp-content/uploads/2023/10/DLV3_Icon_ADV_100002_13_r05.png" TargetMode="External"/><Relationship Id="rId1779" Type="http://schemas.openxmlformats.org/officeDocument/2006/relationships/image" Target="../media/image885.png"/><Relationship Id="rId1986" Type="http://schemas.openxmlformats.org/officeDocument/2006/relationships/hyperlink" Target="https://natalie.tf/wp-content/uploads/2023/10/DLV3_Icon_WP_400151_01.png" TargetMode="External"/><Relationship Id="rId1639" Type="http://schemas.openxmlformats.org/officeDocument/2006/relationships/image" Target="../media/image815.png"/><Relationship Id="rId1846" Type="http://schemas.openxmlformats.org/officeDocument/2006/relationships/hyperlink" Target="https://natalie.tf/wp-content/uploads/2023/10/DLV3_Icon_WP_400499_02.png" TargetMode="External"/><Relationship Id="rId3061" Type="http://schemas.openxmlformats.org/officeDocument/2006/relationships/hyperlink" Target="https://natalie.tf/wp-content/uploads/2023/10/DLV3_Icon_Skill_132.png" TargetMode="External"/><Relationship Id="rId1706" Type="http://schemas.openxmlformats.org/officeDocument/2006/relationships/hyperlink" Target="https://natalie.tf/wp-content/uploads/2023/10/DLV3_Icon_WP_400422_01.png" TargetMode="External"/><Relationship Id="rId1913" Type="http://schemas.openxmlformats.org/officeDocument/2006/relationships/image" Target="../media/image952.png"/><Relationship Id="rId799" Type="http://schemas.openxmlformats.org/officeDocument/2006/relationships/hyperlink" Target="https://natalie.tf/wp-content/uploads/2023/10/DLV3_Icon_WP_400078_01.png" TargetMode="External"/><Relationship Id="rId2687" Type="http://schemas.openxmlformats.org/officeDocument/2006/relationships/image" Target="../media/image1339.png"/><Relationship Id="rId2894" Type="http://schemas.openxmlformats.org/officeDocument/2006/relationships/hyperlink" Target="https://natalie.tf/wp-content/uploads/2023/10/DLV3_Icon_DRA_210077_01.png" TargetMode="External"/><Relationship Id="rId659" Type="http://schemas.openxmlformats.org/officeDocument/2006/relationships/hyperlink" Target="https://natalie.tf/wp-content/uploads/2023/10/DLV3_Icon_Ability_1020004.png" TargetMode="External"/><Relationship Id="rId866" Type="http://schemas.openxmlformats.org/officeDocument/2006/relationships/hyperlink" Target="https://natalie.tf/wp-content/uploads/2023/10/DLV3_Icon_WP_400124_02.png" TargetMode="External"/><Relationship Id="rId1289" Type="http://schemas.openxmlformats.org/officeDocument/2006/relationships/image" Target="../media/image640.png"/><Relationship Id="rId1496" Type="http://schemas.openxmlformats.org/officeDocument/2006/relationships/hyperlink" Target="https://natalie.tf/wp-content/uploads/2023/10/DLV3_Icon_WP_400056_02.png" TargetMode="External"/><Relationship Id="rId2547" Type="http://schemas.openxmlformats.org/officeDocument/2006/relationships/image" Target="../media/image1269.png"/><Relationship Id="rId519" Type="http://schemas.openxmlformats.org/officeDocument/2006/relationships/hyperlink" Target="https://natalie.tf/wp-content/uploads/2023/10/DLV3_Icon_Weapon_303131_01.png" TargetMode="External"/><Relationship Id="rId1149" Type="http://schemas.openxmlformats.org/officeDocument/2006/relationships/hyperlink" Target="https://natalie.tf/wp-content/uploads/2023/10/DLV3_Icon_WP_400239_01.png" TargetMode="External"/><Relationship Id="rId1356" Type="http://schemas.openxmlformats.org/officeDocument/2006/relationships/hyperlink" Target="https://natalie.tf/wp-content/uploads/2023/10/DLV3_Icon_WP_400494_01.png" TargetMode="External"/><Relationship Id="rId2754" Type="http://schemas.openxmlformats.org/officeDocument/2006/relationships/hyperlink" Target="https://natalie.tf/wp-content/uploads/2023/10/DLV3_Icon_DRA_210098_01.png" TargetMode="External"/><Relationship Id="rId2961" Type="http://schemas.openxmlformats.org/officeDocument/2006/relationships/hyperlink" Target="https://natalie.tf/wp-content/uploads/2023/11/DLV3_Icon_NPC_Custom_100050_01.png" TargetMode="External"/><Relationship Id="rId726" Type="http://schemas.openxmlformats.org/officeDocument/2006/relationships/image" Target="../media/image363.png"/><Relationship Id="rId933" Type="http://schemas.openxmlformats.org/officeDocument/2006/relationships/image" Target="../media/image463.png"/><Relationship Id="rId1009" Type="http://schemas.openxmlformats.org/officeDocument/2006/relationships/hyperlink" Target="https://natalie.tf/wp-content/uploads/2023/10/DLV3_Icon_WP_400338_01.png" TargetMode="External"/><Relationship Id="rId1563" Type="http://schemas.openxmlformats.org/officeDocument/2006/relationships/image" Target="../media/image777.png"/><Relationship Id="rId1770" Type="http://schemas.openxmlformats.org/officeDocument/2006/relationships/hyperlink" Target="https://natalie.tf/wp-content/uploads/2023/10/DLV3_Icon_WP_400453_02.png" TargetMode="External"/><Relationship Id="rId2407" Type="http://schemas.openxmlformats.org/officeDocument/2006/relationships/image" Target="../media/image1199.png"/><Relationship Id="rId2614" Type="http://schemas.openxmlformats.org/officeDocument/2006/relationships/hyperlink" Target="https://natalie.tf/wp-content/uploads/2023/10/DLV3_Icon_ADV_110280_01_r05.png" TargetMode="External"/><Relationship Id="rId2821" Type="http://schemas.openxmlformats.org/officeDocument/2006/relationships/image" Target="../media/image1406.png"/><Relationship Id="rId62" Type="http://schemas.openxmlformats.org/officeDocument/2006/relationships/image" Target="../media/image31.png"/><Relationship Id="rId1216" Type="http://schemas.openxmlformats.org/officeDocument/2006/relationships/image" Target="../media/image604.png"/><Relationship Id="rId1423" Type="http://schemas.openxmlformats.org/officeDocument/2006/relationships/image" Target="../media/image707.png"/><Relationship Id="rId1630" Type="http://schemas.openxmlformats.org/officeDocument/2006/relationships/hyperlink" Target="https://natalie.tf/wp-content/uploads/2023/10/DLV3_Icon_Ability_1080001.png" TargetMode="External"/><Relationship Id="rId2197" Type="http://schemas.openxmlformats.org/officeDocument/2006/relationships/image" Target="../media/image1094.png"/><Relationship Id="rId169" Type="http://schemas.openxmlformats.org/officeDocument/2006/relationships/hyperlink" Target="https://natalie.tf/wp-content/uploads/2023/10/DLV3_Icon_Weapon_303030_01.png" TargetMode="External"/><Relationship Id="rId376" Type="http://schemas.openxmlformats.org/officeDocument/2006/relationships/image" Target="../media/image188.png"/><Relationship Id="rId583" Type="http://schemas.openxmlformats.org/officeDocument/2006/relationships/hyperlink" Target="https://natalie.tf/wp-content/uploads/2023/10/DLV3_Icon_Weapon_308146_01.png" TargetMode="External"/><Relationship Id="rId790" Type="http://schemas.openxmlformats.org/officeDocument/2006/relationships/image" Target="../media/image395.png"/><Relationship Id="rId2057" Type="http://schemas.openxmlformats.org/officeDocument/2006/relationships/image" Target="../media/image1024.png"/><Relationship Id="rId2264" Type="http://schemas.openxmlformats.org/officeDocument/2006/relationships/hyperlink" Target="https://natalie.tf/wp-content/uploads/2023/10/DLV3_Icon_ADV_100001_14_r05.png" TargetMode="External"/><Relationship Id="rId2471" Type="http://schemas.openxmlformats.org/officeDocument/2006/relationships/image" Target="../media/image1231.png"/><Relationship Id="rId236" Type="http://schemas.openxmlformats.org/officeDocument/2006/relationships/image" Target="../media/image118.png"/><Relationship Id="rId443" Type="http://schemas.openxmlformats.org/officeDocument/2006/relationships/hyperlink" Target="https://natalie.tf/wp-content/uploads/2023/10/DLV3_Icon_Weapon_301123_01.png" TargetMode="External"/><Relationship Id="rId650" Type="http://schemas.openxmlformats.org/officeDocument/2006/relationships/image" Target="../media/image325.png"/><Relationship Id="rId1073" Type="http://schemas.openxmlformats.org/officeDocument/2006/relationships/hyperlink" Target="https://natalie.tf/wp-content/uploads/2023/10/DLV3_Icon_WP_400412_02.png" TargetMode="External"/><Relationship Id="rId1280" Type="http://schemas.openxmlformats.org/officeDocument/2006/relationships/hyperlink" Target="https://natalie.tf/wp-content/uploads/2023/10/DLV3_Icon_Ability_1070020.png" TargetMode="External"/><Relationship Id="rId2124" Type="http://schemas.openxmlformats.org/officeDocument/2006/relationships/hyperlink" Target="https://natalie.tf/wp-content/uploads/2023/10/DLV3_Icon_ADV_110008_01_r05.png" TargetMode="External"/><Relationship Id="rId2331" Type="http://schemas.openxmlformats.org/officeDocument/2006/relationships/image" Target="../media/image1161.png"/><Relationship Id="rId303" Type="http://schemas.openxmlformats.org/officeDocument/2006/relationships/hyperlink" Target="https://natalie.tf/wp-content/uploads/2023/10/DLV3_Icon_Weapon_303123_01.png" TargetMode="External"/><Relationship Id="rId1140" Type="http://schemas.openxmlformats.org/officeDocument/2006/relationships/image" Target="../media/image566.png"/><Relationship Id="rId510" Type="http://schemas.openxmlformats.org/officeDocument/2006/relationships/image" Target="../media/image255.png"/><Relationship Id="rId1000" Type="http://schemas.openxmlformats.org/officeDocument/2006/relationships/image" Target="../media/image496.png"/><Relationship Id="rId1957" Type="http://schemas.openxmlformats.org/officeDocument/2006/relationships/image" Target="../media/image974.png"/><Relationship Id="rId1817" Type="http://schemas.openxmlformats.org/officeDocument/2006/relationships/image" Target="../media/image904.png"/><Relationship Id="rId3032" Type="http://schemas.openxmlformats.org/officeDocument/2006/relationships/image" Target="../media/image1511.png"/><Relationship Id="rId160" Type="http://schemas.openxmlformats.org/officeDocument/2006/relationships/image" Target="../media/image80.png"/><Relationship Id="rId2798" Type="http://schemas.openxmlformats.org/officeDocument/2006/relationships/hyperlink" Target="https://natalie.tf/wp-content/uploads/2023/10/DLV3_Icon_DRA_210001_01.png" TargetMode="External"/><Relationship Id="rId977" Type="http://schemas.openxmlformats.org/officeDocument/2006/relationships/hyperlink" Target="https://natalie.tf/wp-content/uploads/2023/10/DLV3_Icon_WP_400083_02.png" TargetMode="External"/><Relationship Id="rId2658" Type="http://schemas.openxmlformats.org/officeDocument/2006/relationships/hyperlink" Target="https://natalie.tf/wp-content/uploads/2023/10/DLV3_Icon_DRA_210030_01.png" TargetMode="External"/><Relationship Id="rId2865" Type="http://schemas.openxmlformats.org/officeDocument/2006/relationships/image" Target="../media/image1428.png"/><Relationship Id="rId837" Type="http://schemas.openxmlformats.org/officeDocument/2006/relationships/hyperlink" Target="https://natalie.tf/wp-content/uploads/2023/10/DLV3_Icon_WP_400111_01.png" TargetMode="External"/><Relationship Id="rId1467" Type="http://schemas.openxmlformats.org/officeDocument/2006/relationships/image" Target="../media/image729.png"/><Relationship Id="rId1674" Type="http://schemas.openxmlformats.org/officeDocument/2006/relationships/hyperlink" Target="https://natalie.tf/wp-content/uploads/2023/10/DLV3_Icon_WP_400408_01.png" TargetMode="External"/><Relationship Id="rId1881" Type="http://schemas.openxmlformats.org/officeDocument/2006/relationships/image" Target="../media/image936.png"/><Relationship Id="rId2518" Type="http://schemas.openxmlformats.org/officeDocument/2006/relationships/hyperlink" Target="https://natalie.tf/wp-content/uploads/2023/10/DLV3_Icon_ADV_100031_03_r05.png" TargetMode="External"/><Relationship Id="rId2725" Type="http://schemas.openxmlformats.org/officeDocument/2006/relationships/image" Target="../media/image1358.png"/><Relationship Id="rId2932" Type="http://schemas.openxmlformats.org/officeDocument/2006/relationships/hyperlink" Target="https://natalie.tf/wp-content/uploads/2023/10/DLV3_Icon_DRA_210070_01.png" TargetMode="External"/><Relationship Id="rId904" Type="http://schemas.openxmlformats.org/officeDocument/2006/relationships/hyperlink" Target="https://natalie.tf/wp-content/uploads/2023/10/DLV3_Icon_Ability_1030012.png" TargetMode="External"/><Relationship Id="rId1327" Type="http://schemas.openxmlformats.org/officeDocument/2006/relationships/image" Target="../media/image659.png"/><Relationship Id="rId1534" Type="http://schemas.openxmlformats.org/officeDocument/2006/relationships/hyperlink" Target="https://natalie.tf/wp-content/uploads/2023/10/DLV3_Icon_WP_400105_01.png" TargetMode="External"/><Relationship Id="rId1741" Type="http://schemas.openxmlformats.org/officeDocument/2006/relationships/image" Target="../media/image866.png"/><Relationship Id="rId33" Type="http://schemas.openxmlformats.org/officeDocument/2006/relationships/hyperlink" Target="https://natalie.tf/wp-content/uploads/2023/11/DLV3_Icon_DRA_Custom_210229_03.png" TargetMode="External"/><Relationship Id="rId1601" Type="http://schemas.openxmlformats.org/officeDocument/2006/relationships/image" Target="../media/image796.png"/><Relationship Id="rId487" Type="http://schemas.openxmlformats.org/officeDocument/2006/relationships/hyperlink" Target="https://natalie.tf/wp-content/uploads/2023/10/DLV3_Icon_Weapon_305136_01.png" TargetMode="External"/><Relationship Id="rId694" Type="http://schemas.openxmlformats.org/officeDocument/2006/relationships/image" Target="../media/image347.png"/><Relationship Id="rId2168" Type="http://schemas.openxmlformats.org/officeDocument/2006/relationships/hyperlink" Target="https://natalie.tf/wp-content/uploads/2023/10/DLV3_Icon_ADV_110295_01_r05.png" TargetMode="External"/><Relationship Id="rId2375" Type="http://schemas.openxmlformats.org/officeDocument/2006/relationships/image" Target="../media/image1183.png"/><Relationship Id="rId347" Type="http://schemas.openxmlformats.org/officeDocument/2006/relationships/hyperlink" Target="https://natalie.tf/wp-content/uploads/2023/10/DLV3_Icon_Weapon_307132_01.png" TargetMode="External"/><Relationship Id="rId1184" Type="http://schemas.openxmlformats.org/officeDocument/2006/relationships/image" Target="../media/image588.png"/><Relationship Id="rId2028" Type="http://schemas.openxmlformats.org/officeDocument/2006/relationships/hyperlink" Target="https://natalie.tf/wp-content/uploads/2023/11/DLV3_Icon_Custom_Encroaching_Shadow_WP.png" TargetMode="External"/><Relationship Id="rId2582" Type="http://schemas.openxmlformats.org/officeDocument/2006/relationships/hyperlink" Target="https://natalie.tf/wp-content/uploads/2023/10/DLV3_Icon_ADV_110306_01_r05.png" TargetMode="External"/><Relationship Id="rId554" Type="http://schemas.openxmlformats.org/officeDocument/2006/relationships/image" Target="../media/image277.png"/><Relationship Id="rId761" Type="http://schemas.openxmlformats.org/officeDocument/2006/relationships/hyperlink" Target="https://natalie.tf/wp-content/uploads/2023/11/DLV3_Icon_Affinity_Dragon.png" TargetMode="External"/><Relationship Id="rId1391" Type="http://schemas.openxmlformats.org/officeDocument/2006/relationships/image" Target="../media/image691.png"/><Relationship Id="rId2235" Type="http://schemas.openxmlformats.org/officeDocument/2006/relationships/image" Target="../media/image1113.png"/><Relationship Id="rId2442" Type="http://schemas.openxmlformats.org/officeDocument/2006/relationships/hyperlink" Target="https://natalie.tf/wp-content/uploads/2023/10/DLV3_Icon_ADV_100016_03_r05.png" TargetMode="External"/><Relationship Id="rId207" Type="http://schemas.openxmlformats.org/officeDocument/2006/relationships/hyperlink" Target="https://natalie.tf/wp-content/uploads/2023/10/DLV3_Icon_Weapon_304043_01.png" TargetMode="External"/><Relationship Id="rId414" Type="http://schemas.openxmlformats.org/officeDocument/2006/relationships/image" Target="../media/image207.png"/><Relationship Id="rId621" Type="http://schemas.openxmlformats.org/officeDocument/2006/relationships/hyperlink" Target="https://natalie.tf/wp-content/uploads/2023/10/DLV3_Icon_Weapon_309044_01.png" TargetMode="External"/><Relationship Id="rId1044" Type="http://schemas.openxmlformats.org/officeDocument/2006/relationships/image" Target="../media/image518.png"/><Relationship Id="rId1251" Type="http://schemas.openxmlformats.org/officeDocument/2006/relationships/image" Target="../media/image621.png"/><Relationship Id="rId2302" Type="http://schemas.openxmlformats.org/officeDocument/2006/relationships/hyperlink" Target="https://natalie.tf/wp-content/uploads/2023/10/DLV3_Icon_ADV_110401_01_r05.png" TargetMode="External"/><Relationship Id="rId1111" Type="http://schemas.openxmlformats.org/officeDocument/2006/relationships/hyperlink" Target="https://natalie.tf/wp-content/uploads/2023/10/DLV3_Icon_WP_400424_01.png" TargetMode="External"/><Relationship Id="rId3076" Type="http://schemas.openxmlformats.org/officeDocument/2006/relationships/image" Target="../media/image1533.png"/><Relationship Id="rId1928" Type="http://schemas.openxmlformats.org/officeDocument/2006/relationships/hyperlink" Target="https://natalie.tf/wp-content/uploads/2023/10/DLV3_Icon_WP_400024_02.png" TargetMode="External"/><Relationship Id="rId2092" Type="http://schemas.openxmlformats.org/officeDocument/2006/relationships/hyperlink" Target="https://natalie.tf/wp-content/uploads/2023/10/DLV3_Icon_ADV_110399_01_r05.png" TargetMode="External"/><Relationship Id="rId271" Type="http://schemas.openxmlformats.org/officeDocument/2006/relationships/hyperlink" Target="https://natalie.tf/wp-content/uploads/2023/10/DLV3_Icon_Weapon_304095_01.png" TargetMode="External"/><Relationship Id="rId3003" Type="http://schemas.openxmlformats.org/officeDocument/2006/relationships/hyperlink" Target="https://natalie.tf/wp-content/uploads/2023/11/DLV3_Icon_NPC_Custom_120125_01.png" TargetMode="External"/><Relationship Id="rId131" Type="http://schemas.openxmlformats.org/officeDocument/2006/relationships/hyperlink" Target="https://natalie.tf/wp-content/uploads/2023/10/DLV3_Icon_Weapon_306027_01.png" TargetMode="External"/><Relationship Id="rId2769" Type="http://schemas.openxmlformats.org/officeDocument/2006/relationships/image" Target="../media/image1380.png"/><Relationship Id="rId2976" Type="http://schemas.openxmlformats.org/officeDocument/2006/relationships/image" Target="../media/image1483.png"/><Relationship Id="rId948" Type="http://schemas.openxmlformats.org/officeDocument/2006/relationships/hyperlink" Target="https://natalie.tf/wp-content/uploads/2023/10/DLV3_Icon_WP_400157_02.png" TargetMode="External"/><Relationship Id="rId1578" Type="http://schemas.openxmlformats.org/officeDocument/2006/relationships/hyperlink" Target="https://natalie.tf/wp-content/uploads/2023/10/DLV3_Icon_WP_400152_01.png" TargetMode="External"/><Relationship Id="rId1785" Type="http://schemas.openxmlformats.org/officeDocument/2006/relationships/image" Target="../media/image888.png"/><Relationship Id="rId1992" Type="http://schemas.openxmlformats.org/officeDocument/2006/relationships/hyperlink" Target="https://natalie.tf/wp-content/uploads/2023/10/DLV3_Icon_WP_400156_02.png" TargetMode="External"/><Relationship Id="rId2629" Type="http://schemas.openxmlformats.org/officeDocument/2006/relationships/image" Target="../media/image1310.png"/><Relationship Id="rId2836" Type="http://schemas.openxmlformats.org/officeDocument/2006/relationships/hyperlink" Target="https://natalie.tf/wp-content/uploads/2023/10/DLV3_Icon_DRA_210020_01.png" TargetMode="External"/><Relationship Id="rId77" Type="http://schemas.openxmlformats.org/officeDocument/2006/relationships/hyperlink" Target="https://natalie.tf/wp-content/uploads/2023/10/DLV3_Icon_Weapon_305039_01.png" TargetMode="External"/><Relationship Id="rId808" Type="http://schemas.openxmlformats.org/officeDocument/2006/relationships/image" Target="../media/image404.png"/><Relationship Id="rId1438" Type="http://schemas.openxmlformats.org/officeDocument/2006/relationships/hyperlink" Target="https://natalie.tf/wp-content/uploads/2023/10/DLV3_Icon_WP_400040_02.png" TargetMode="External"/><Relationship Id="rId1645" Type="http://schemas.openxmlformats.org/officeDocument/2006/relationships/image" Target="../media/image818.png"/><Relationship Id="rId1852" Type="http://schemas.openxmlformats.org/officeDocument/2006/relationships/hyperlink" Target="https://natalie.tf/wp-content/uploads/2023/10/DLV3_Icon_WP_400006_01.png" TargetMode="External"/><Relationship Id="rId2903" Type="http://schemas.openxmlformats.org/officeDocument/2006/relationships/image" Target="../media/image1447.png"/><Relationship Id="rId1505" Type="http://schemas.openxmlformats.org/officeDocument/2006/relationships/image" Target="../media/image748.png"/><Relationship Id="rId1712" Type="http://schemas.openxmlformats.org/officeDocument/2006/relationships/hyperlink" Target="https://natalie.tf/wp-content/uploads/2023/10/DLV3_Icon_WP_400169_02.png" TargetMode="External"/><Relationship Id="rId598" Type="http://schemas.openxmlformats.org/officeDocument/2006/relationships/image" Target="../media/image299.png"/><Relationship Id="rId2279" Type="http://schemas.openxmlformats.org/officeDocument/2006/relationships/image" Target="../media/image1135.png"/><Relationship Id="rId2486" Type="http://schemas.openxmlformats.org/officeDocument/2006/relationships/hyperlink" Target="https://natalie.tf/wp-content/uploads/2023/10/DLV3_Icon_ADV_100002_02_r05.png" TargetMode="External"/><Relationship Id="rId2693" Type="http://schemas.openxmlformats.org/officeDocument/2006/relationships/image" Target="../media/image1342.png"/><Relationship Id="rId458" Type="http://schemas.openxmlformats.org/officeDocument/2006/relationships/image" Target="../media/image229.png"/><Relationship Id="rId665" Type="http://schemas.openxmlformats.org/officeDocument/2006/relationships/hyperlink" Target="https://natalie.tf/wp-content/uploads/2023/10/DLV3_Icon_WP_400214_01.png" TargetMode="External"/><Relationship Id="rId872" Type="http://schemas.openxmlformats.org/officeDocument/2006/relationships/hyperlink" Target="https://natalie.tf/wp-content/uploads/2023/10/DLV3_Icon_WP_400125_02.png" TargetMode="External"/><Relationship Id="rId1088" Type="http://schemas.openxmlformats.org/officeDocument/2006/relationships/image" Target="../media/image540.png"/><Relationship Id="rId1295" Type="http://schemas.openxmlformats.org/officeDocument/2006/relationships/image" Target="../media/image643.png"/><Relationship Id="rId2139" Type="http://schemas.openxmlformats.org/officeDocument/2006/relationships/image" Target="../media/image1065.png"/><Relationship Id="rId2346" Type="http://schemas.openxmlformats.org/officeDocument/2006/relationships/hyperlink" Target="https://natalie.tf/wp-content/uploads/2023/10/DLV3_Icon_ADV_110353_01_r05.png" TargetMode="External"/><Relationship Id="rId2553" Type="http://schemas.openxmlformats.org/officeDocument/2006/relationships/image" Target="../media/image1272.png"/><Relationship Id="rId2760" Type="http://schemas.openxmlformats.org/officeDocument/2006/relationships/hyperlink" Target="https://natalie.tf/wp-content/uploads/2023/10/DLV3_Icon_DRA_210169_01.png" TargetMode="External"/><Relationship Id="rId318" Type="http://schemas.openxmlformats.org/officeDocument/2006/relationships/image" Target="../media/image159.png"/><Relationship Id="rId525" Type="http://schemas.openxmlformats.org/officeDocument/2006/relationships/hyperlink" Target="https://natalie.tf/wp-content/uploads/2023/10/DLV3_Icon_Weapon_306130_01.png" TargetMode="External"/><Relationship Id="rId732" Type="http://schemas.openxmlformats.org/officeDocument/2006/relationships/image" Target="../media/image366.png"/><Relationship Id="rId1155" Type="http://schemas.openxmlformats.org/officeDocument/2006/relationships/hyperlink" Target="https://natalie.tf/wp-content/uploads/2023/10/DLV3_Icon_WP_400423_02.png" TargetMode="External"/><Relationship Id="rId1362" Type="http://schemas.openxmlformats.org/officeDocument/2006/relationships/hyperlink" Target="https://natalie.tf/wp-content/uploads/2023/10/DLV3_Icon_WP_400496_01.png" TargetMode="External"/><Relationship Id="rId2206" Type="http://schemas.openxmlformats.org/officeDocument/2006/relationships/hyperlink" Target="https://natalie.tf/wp-content/uploads/2023/10/DLV3_Icon_ADV_110356_01_r05.png" TargetMode="External"/><Relationship Id="rId2413" Type="http://schemas.openxmlformats.org/officeDocument/2006/relationships/image" Target="../media/image1202.png"/><Relationship Id="rId2620" Type="http://schemas.openxmlformats.org/officeDocument/2006/relationships/hyperlink" Target="https://natalie.tf/wp-content/uploads/2023/10/DLV3_Icon_ADV_110053_01_r05.png" TargetMode="External"/><Relationship Id="rId1015" Type="http://schemas.openxmlformats.org/officeDocument/2006/relationships/hyperlink" Target="https://natalie.tf/wp-content/uploads/2023/10/DLV3_Icon_WP_400340_02.png" TargetMode="External"/><Relationship Id="rId1222" Type="http://schemas.openxmlformats.org/officeDocument/2006/relationships/hyperlink" Target="https://natalie.tf/wp-content/uploads/2023/10/DLV3_Icon_WP_400454_01.png" TargetMode="External"/><Relationship Id="rId3047" Type="http://schemas.openxmlformats.org/officeDocument/2006/relationships/hyperlink" Target="https://natalie.tf/wp-content/uploads/2023/10/DLV3_Icon_Skill_180.png" TargetMode="External"/><Relationship Id="rId175" Type="http://schemas.openxmlformats.org/officeDocument/2006/relationships/hyperlink" Target="https://natalie.tf/wp-content/uploads/2023/10/DLV3_Icon_Weapon_306031_01.png" TargetMode="External"/><Relationship Id="rId382" Type="http://schemas.openxmlformats.org/officeDocument/2006/relationships/image" Target="../media/image191.png"/><Relationship Id="rId2063" Type="http://schemas.openxmlformats.org/officeDocument/2006/relationships/image" Target="../media/image1027.png"/><Relationship Id="rId2270" Type="http://schemas.openxmlformats.org/officeDocument/2006/relationships/hyperlink" Target="https://natalie.tf/wp-content/uploads/2023/10/DLV3_Icon_ADV_110063_02_r05.png" TargetMode="External"/><Relationship Id="rId242" Type="http://schemas.openxmlformats.org/officeDocument/2006/relationships/image" Target="../media/image121.png"/><Relationship Id="rId2130" Type="http://schemas.openxmlformats.org/officeDocument/2006/relationships/hyperlink" Target="https://natalie.tf/wp-content/uploads/2023/10/DLV3_Icon_ADV_110344_01_r05.png" TargetMode="External"/><Relationship Id="rId102" Type="http://schemas.openxmlformats.org/officeDocument/2006/relationships/image" Target="../media/image51.png"/><Relationship Id="rId1689" Type="http://schemas.openxmlformats.org/officeDocument/2006/relationships/image" Target="../media/image840.png"/><Relationship Id="rId1896" Type="http://schemas.openxmlformats.org/officeDocument/2006/relationships/hyperlink" Target="https://natalie.tf/wp-content/uploads/2023/10/DLV3_Icon_Ability_1010008.png" TargetMode="External"/><Relationship Id="rId2947" Type="http://schemas.openxmlformats.org/officeDocument/2006/relationships/hyperlink" Target="https://natalie.tf/wp-content/uploads/2023/11/DLV3_Icon_DRA_Custom_Void_Poseidon.png" TargetMode="External"/><Relationship Id="rId919" Type="http://schemas.openxmlformats.org/officeDocument/2006/relationships/image" Target="../media/image458.png"/><Relationship Id="rId1549" Type="http://schemas.openxmlformats.org/officeDocument/2006/relationships/image" Target="../media/image770.png"/><Relationship Id="rId1756" Type="http://schemas.openxmlformats.org/officeDocument/2006/relationships/hyperlink" Target="https://natalie.tf/wp-content/uploads/2023/10/DLV3_Icon_WP_400155_02.png" TargetMode="External"/><Relationship Id="rId1963" Type="http://schemas.openxmlformats.org/officeDocument/2006/relationships/image" Target="../media/image977.png"/><Relationship Id="rId2807" Type="http://schemas.openxmlformats.org/officeDocument/2006/relationships/image" Target="../media/image1399.png"/><Relationship Id="rId48" Type="http://schemas.openxmlformats.org/officeDocument/2006/relationships/image" Target="../media/image24.png"/><Relationship Id="rId1409" Type="http://schemas.openxmlformats.org/officeDocument/2006/relationships/image" Target="../media/image700.png"/><Relationship Id="rId1616" Type="http://schemas.openxmlformats.org/officeDocument/2006/relationships/hyperlink" Target="https://natalie.tf/wp-content/uploads/2023/10/DLV3_Icon_WP_400335_02.png" TargetMode="External"/><Relationship Id="rId1823" Type="http://schemas.openxmlformats.org/officeDocument/2006/relationships/image" Target="../media/image907.png"/><Relationship Id="rId2597" Type="http://schemas.openxmlformats.org/officeDocument/2006/relationships/image" Target="../media/image1294.png"/><Relationship Id="rId569" Type="http://schemas.openxmlformats.org/officeDocument/2006/relationships/hyperlink" Target="https://natalie.tf/wp-content/uploads/2023/10/DLV3_Icon_Weapon_301160_01.png" TargetMode="External"/><Relationship Id="rId776" Type="http://schemas.openxmlformats.org/officeDocument/2006/relationships/image" Target="../media/image388.png"/><Relationship Id="rId983" Type="http://schemas.openxmlformats.org/officeDocument/2006/relationships/hyperlink" Target="https://natalie.tf/wp-content/uploads/2023/10/DLV3_Icon_Ability_1020001.png" TargetMode="External"/><Relationship Id="rId1199" Type="http://schemas.openxmlformats.org/officeDocument/2006/relationships/hyperlink" Target="https://natalie.tf/wp-content/uploads/2023/10/DLV3_Icon_Ability_1070006.png" TargetMode="External"/><Relationship Id="rId2457" Type="http://schemas.openxmlformats.org/officeDocument/2006/relationships/image" Target="../media/image1224.png"/><Relationship Id="rId2664" Type="http://schemas.openxmlformats.org/officeDocument/2006/relationships/hyperlink" Target="https://natalie.tf/wp-content/uploads/2023/10/DLV3_Icon_DRA_210177_01.png" TargetMode="External"/><Relationship Id="rId429" Type="http://schemas.openxmlformats.org/officeDocument/2006/relationships/hyperlink" Target="https://natalie.tf/wp-content/uploads/2023/10/DLV3_Icon_Weapon_303111_01.png" TargetMode="External"/><Relationship Id="rId636" Type="http://schemas.openxmlformats.org/officeDocument/2006/relationships/image" Target="../media/image318.png"/><Relationship Id="rId1059" Type="http://schemas.openxmlformats.org/officeDocument/2006/relationships/hyperlink" Target="https://natalie.tf/wp-content/uploads/2023/10/DLV3_Icon_WP_400399_01.png" TargetMode="External"/><Relationship Id="rId1266" Type="http://schemas.openxmlformats.org/officeDocument/2006/relationships/hyperlink" Target="https://natalie.tf/wp-content/uploads/2023/10/DLV3_Icon_WP_400469_02.png" TargetMode="External"/><Relationship Id="rId1473" Type="http://schemas.openxmlformats.org/officeDocument/2006/relationships/image" Target="../media/image732.png"/><Relationship Id="rId2317" Type="http://schemas.openxmlformats.org/officeDocument/2006/relationships/image" Target="../media/image1154.png"/><Relationship Id="rId2871" Type="http://schemas.openxmlformats.org/officeDocument/2006/relationships/image" Target="../media/image1431.png"/><Relationship Id="rId843" Type="http://schemas.openxmlformats.org/officeDocument/2006/relationships/hyperlink" Target="https://natalie.tf/wp-content/uploads/2023/10/DLV3_Icon_WP_400121_01.png" TargetMode="External"/><Relationship Id="rId1126" Type="http://schemas.openxmlformats.org/officeDocument/2006/relationships/image" Target="../media/image559.png"/><Relationship Id="rId1680" Type="http://schemas.openxmlformats.org/officeDocument/2006/relationships/hyperlink" Target="https://natalie.tf/wp-content/uploads/2023/10/DLV3_Icon_WP_400406_02.png" TargetMode="External"/><Relationship Id="rId2524" Type="http://schemas.openxmlformats.org/officeDocument/2006/relationships/hyperlink" Target="https://natalie.tf/wp-content/uploads/2023/10/DLV3_Icon_ADV_110043_01_r05.png" TargetMode="External"/><Relationship Id="rId2731" Type="http://schemas.openxmlformats.org/officeDocument/2006/relationships/image" Target="../media/image1361.png"/><Relationship Id="rId703" Type="http://schemas.openxmlformats.org/officeDocument/2006/relationships/hyperlink" Target="https://natalie.tf/wp-content/uploads/2023/11/DLV3_Icon_Affinity_Fish.png" TargetMode="External"/><Relationship Id="rId910" Type="http://schemas.openxmlformats.org/officeDocument/2006/relationships/hyperlink" Target="https://natalie.tf/wp-content/uploads/2023/10/DLV3_Icon_Ability_1010012.png" TargetMode="External"/><Relationship Id="rId1333" Type="http://schemas.openxmlformats.org/officeDocument/2006/relationships/image" Target="../media/image662.png"/><Relationship Id="rId1540" Type="http://schemas.openxmlformats.org/officeDocument/2006/relationships/hyperlink" Target="https://natalie.tf/wp-content/uploads/2023/10/DLV3_Icon_WP_400112_02.png" TargetMode="External"/><Relationship Id="rId1400" Type="http://schemas.openxmlformats.org/officeDocument/2006/relationships/hyperlink" Target="https://natalie.tf/wp-content/uploads/2023/10/DLV3_Icon_WP_400383_01.png" TargetMode="External"/><Relationship Id="rId286" Type="http://schemas.openxmlformats.org/officeDocument/2006/relationships/image" Target="../media/image143.png"/><Relationship Id="rId493" Type="http://schemas.openxmlformats.org/officeDocument/2006/relationships/hyperlink" Target="https://natalie.tf/wp-content/uploads/2023/10/DLV3_Icon_Weapon_308129_01.png" TargetMode="External"/><Relationship Id="rId2174" Type="http://schemas.openxmlformats.org/officeDocument/2006/relationships/hyperlink" Target="https://natalie.tf/wp-content/uploads/2023/10/DLV3_Icon_ADV_110382_01_r05.png" TargetMode="External"/><Relationship Id="rId2381" Type="http://schemas.openxmlformats.org/officeDocument/2006/relationships/image" Target="../media/image1186.png"/><Relationship Id="rId3018" Type="http://schemas.openxmlformats.org/officeDocument/2006/relationships/image" Target="../media/image1504.png"/><Relationship Id="rId146" Type="http://schemas.openxmlformats.org/officeDocument/2006/relationships/image" Target="../media/image73.png"/><Relationship Id="rId353" Type="http://schemas.openxmlformats.org/officeDocument/2006/relationships/hyperlink" Target="https://natalie.tf/wp-content/uploads/2023/10/DLV3_Icon_Weapon_301136_01.png" TargetMode="External"/><Relationship Id="rId560" Type="http://schemas.openxmlformats.org/officeDocument/2006/relationships/image" Target="../media/image280.png"/><Relationship Id="rId1190" Type="http://schemas.openxmlformats.org/officeDocument/2006/relationships/image" Target="../media/image591.png"/><Relationship Id="rId2034" Type="http://schemas.openxmlformats.org/officeDocument/2006/relationships/hyperlink" Target="https://natalie.tf/wp-content/uploads/2023/11/DLV3_Icon_Custom_Blinding-Light_WP.png" TargetMode="External"/><Relationship Id="rId2241" Type="http://schemas.openxmlformats.org/officeDocument/2006/relationships/image" Target="../media/image1116.png"/><Relationship Id="rId213" Type="http://schemas.openxmlformats.org/officeDocument/2006/relationships/hyperlink" Target="https://natalie.tf/wp-content/uploads/2023/10/DLV3_Icon_Weapon_307066_01.png" TargetMode="External"/><Relationship Id="rId420" Type="http://schemas.openxmlformats.org/officeDocument/2006/relationships/image" Target="../media/image210.png"/><Relationship Id="rId1050" Type="http://schemas.openxmlformats.org/officeDocument/2006/relationships/image" Target="../media/image521.png"/><Relationship Id="rId2101" Type="http://schemas.openxmlformats.org/officeDocument/2006/relationships/image" Target="../media/image1046.png"/><Relationship Id="rId1867" Type="http://schemas.openxmlformats.org/officeDocument/2006/relationships/image" Target="../media/image929.png"/><Relationship Id="rId2918" Type="http://schemas.openxmlformats.org/officeDocument/2006/relationships/hyperlink" Target="https://natalie.tf/wp-content/uploads/2023/11/DLV3_Icon_DRA_Custom_Primal_Zodiark.png" TargetMode="External"/><Relationship Id="rId1727" Type="http://schemas.openxmlformats.org/officeDocument/2006/relationships/image" Target="../media/image859.png"/><Relationship Id="rId1934" Type="http://schemas.openxmlformats.org/officeDocument/2006/relationships/hyperlink" Target="https://natalie.tf/wp-content/uploads/2023/10/DLV3_Icon_WP_400026_01.png" TargetMode="External"/><Relationship Id="rId3082" Type="http://schemas.openxmlformats.org/officeDocument/2006/relationships/image" Target="../media/image1536.png"/><Relationship Id="rId19" Type="http://schemas.openxmlformats.org/officeDocument/2006/relationships/hyperlink" Target="https://natalie.tf/wp-content/uploads/2023/10/DLV3_Icon_Ability_1030041.png" TargetMode="External"/><Relationship Id="rId3" Type="http://schemas.openxmlformats.org/officeDocument/2006/relationships/hyperlink" Target="https://natalie.tf/wp-content/uploads/2023/10/DLV3_Icon_ADV_100015_05_r05.png" TargetMode="External"/><Relationship Id="rId887" Type="http://schemas.openxmlformats.org/officeDocument/2006/relationships/image" Target="../media/image443.png"/><Relationship Id="rId2568" Type="http://schemas.openxmlformats.org/officeDocument/2006/relationships/hyperlink" Target="https://natalie.tf/wp-content/uploads/2023/10/DLV3_Icon_ADV_110311_01_r05.png" TargetMode="External"/><Relationship Id="rId2775" Type="http://schemas.openxmlformats.org/officeDocument/2006/relationships/image" Target="../media/image1383.png"/><Relationship Id="rId2982" Type="http://schemas.openxmlformats.org/officeDocument/2006/relationships/image" Target="../media/image1486.png"/><Relationship Id="rId747" Type="http://schemas.openxmlformats.org/officeDocument/2006/relationships/hyperlink" Target="https://natalie.tf/wp-content/uploads/2023/10/DLV3_Icon_WP_400065_01.png" TargetMode="External"/><Relationship Id="rId954" Type="http://schemas.openxmlformats.org/officeDocument/2006/relationships/hyperlink" Target="https://natalie.tf/wp-content/uploads/2023/10/DLV3_Icon_WP_400176_01.png" TargetMode="External"/><Relationship Id="rId1377" Type="http://schemas.openxmlformats.org/officeDocument/2006/relationships/image" Target="../media/image684.png"/><Relationship Id="rId1584" Type="http://schemas.openxmlformats.org/officeDocument/2006/relationships/hyperlink" Target="https://natalie.tf/wp-content/uploads/2023/10/DLV3_Icon_WP_400119_02.png" TargetMode="External"/><Relationship Id="rId1791" Type="http://schemas.openxmlformats.org/officeDocument/2006/relationships/image" Target="../media/image891.png"/><Relationship Id="rId2428" Type="http://schemas.openxmlformats.org/officeDocument/2006/relationships/hyperlink" Target="https://natalie.tf/wp-content/uploads/2023/10/DLV3_Icon_ADV_110301_01_r05.png" TargetMode="External"/><Relationship Id="rId2635" Type="http://schemas.openxmlformats.org/officeDocument/2006/relationships/image" Target="../media/image1313.png"/><Relationship Id="rId2842" Type="http://schemas.openxmlformats.org/officeDocument/2006/relationships/hyperlink" Target="https://natalie.tf/wp-content/uploads/2023/10/DLV3_Icon_DRA_200018_01.png" TargetMode="External"/><Relationship Id="rId83" Type="http://schemas.openxmlformats.org/officeDocument/2006/relationships/hyperlink" Target="https://natalie.tf/wp-content/uploads/2023/10/DLV3_Icon_Weapon_308002_01.png" TargetMode="External"/><Relationship Id="rId607" Type="http://schemas.openxmlformats.org/officeDocument/2006/relationships/hyperlink" Target="https://natalie.tf/wp-content/uploads/2023/10/DLV3_Icon_Weapon_302151_01.png" TargetMode="External"/><Relationship Id="rId814" Type="http://schemas.openxmlformats.org/officeDocument/2006/relationships/image" Target="../media/image407.png"/><Relationship Id="rId1237" Type="http://schemas.openxmlformats.org/officeDocument/2006/relationships/image" Target="../media/image614.png"/><Relationship Id="rId1444" Type="http://schemas.openxmlformats.org/officeDocument/2006/relationships/hyperlink" Target="https://natalie.tf/wp-content/uploads/2023/10/DLV3_Icon_WP_400042_01.png" TargetMode="External"/><Relationship Id="rId1651" Type="http://schemas.openxmlformats.org/officeDocument/2006/relationships/image" Target="../media/image821.png"/><Relationship Id="rId2702" Type="http://schemas.openxmlformats.org/officeDocument/2006/relationships/hyperlink" Target="https://natalie.tf/wp-content/uploads/2023/10/DLV3_Icon_DRA_210023_01.png" TargetMode="External"/><Relationship Id="rId1304" Type="http://schemas.openxmlformats.org/officeDocument/2006/relationships/hyperlink" Target="https://natalie.tf/wp-content/uploads/2023/10/DLV3_Icon_WP_400475_01.png" TargetMode="External"/><Relationship Id="rId1511" Type="http://schemas.openxmlformats.org/officeDocument/2006/relationships/image" Target="../media/image751.png"/><Relationship Id="rId10" Type="http://schemas.openxmlformats.org/officeDocument/2006/relationships/image" Target="../media/image5.png"/><Relationship Id="rId397" Type="http://schemas.openxmlformats.org/officeDocument/2006/relationships/hyperlink" Target="https://natalie.tf/wp-content/uploads/2023/10/DLV3_Icon_Weapon_305116_01.png" TargetMode="External"/><Relationship Id="rId2078" Type="http://schemas.openxmlformats.org/officeDocument/2006/relationships/hyperlink" Target="https://natalie.tf/wp-content/uploads/2023/10/DLV3_Icon_ADV_100010_04_r05.png" TargetMode="External"/><Relationship Id="rId2285" Type="http://schemas.openxmlformats.org/officeDocument/2006/relationships/image" Target="../media/image1138.png"/><Relationship Id="rId2492" Type="http://schemas.openxmlformats.org/officeDocument/2006/relationships/hyperlink" Target="https://natalie.tf/wp-content/uploads/2023/10/DLV3_Icon_ADV_110299_02_r05.png" TargetMode="External"/><Relationship Id="rId257" Type="http://schemas.openxmlformats.org/officeDocument/2006/relationships/hyperlink" Target="https://natalie.tf/wp-content/uploads/2023/10/DLV3_Icon_Weapon_305113_01.png" TargetMode="External"/><Relationship Id="rId464" Type="http://schemas.openxmlformats.org/officeDocument/2006/relationships/image" Target="../media/image232.png"/><Relationship Id="rId1094" Type="http://schemas.openxmlformats.org/officeDocument/2006/relationships/image" Target="../media/image543.png"/><Relationship Id="rId2145" Type="http://schemas.openxmlformats.org/officeDocument/2006/relationships/image" Target="../media/image1068.png"/><Relationship Id="rId117" Type="http://schemas.openxmlformats.org/officeDocument/2006/relationships/hyperlink" Target="https://natalie.tf/wp-content/uploads/2023/10/DLV3_Icon_Weapon_308030_01.png" TargetMode="External"/><Relationship Id="rId671" Type="http://schemas.openxmlformats.org/officeDocument/2006/relationships/hyperlink" Target="https://natalie.tf/wp-content/uploads/2023/10/DLV3_Icon_WP_400261_01.png" TargetMode="External"/><Relationship Id="rId2352" Type="http://schemas.openxmlformats.org/officeDocument/2006/relationships/hyperlink" Target="https://natalie.tf/wp-content/uploads/2023/10/DLV3_Icon_ADV_110009_02_r05.png" TargetMode="External"/><Relationship Id="rId324" Type="http://schemas.openxmlformats.org/officeDocument/2006/relationships/image" Target="../media/image162.png"/><Relationship Id="rId531" Type="http://schemas.openxmlformats.org/officeDocument/2006/relationships/hyperlink" Target="https://natalie.tf/wp-content/uploads/2023/10/DLV3_Icon_Weapon_309029_01.png" TargetMode="External"/><Relationship Id="rId1161" Type="http://schemas.openxmlformats.org/officeDocument/2006/relationships/hyperlink" Target="https://natalie.tf/wp-content/uploads/2023/10/DLV3_Icon_WP_400441_01.png" TargetMode="External"/><Relationship Id="rId2005" Type="http://schemas.openxmlformats.org/officeDocument/2006/relationships/image" Target="../media/image998.png"/><Relationship Id="rId2212" Type="http://schemas.openxmlformats.org/officeDocument/2006/relationships/hyperlink" Target="https://natalie.tf/wp-content/uploads/2023/10/DLV3_Icon_ADV_110383_01_r05.png" TargetMode="External"/><Relationship Id="rId1021" Type="http://schemas.openxmlformats.org/officeDocument/2006/relationships/hyperlink" Target="https://natalie.tf/wp-content/uploads/2023/10/DLV3_Icon_WP_400380_01.png" TargetMode="External"/><Relationship Id="rId1978" Type="http://schemas.openxmlformats.org/officeDocument/2006/relationships/hyperlink" Target="https://natalie.tf/wp-content/uploads/2023/10/DLV3_Icon_WP_400137_01.png" TargetMode="External"/><Relationship Id="rId903" Type="http://schemas.openxmlformats.org/officeDocument/2006/relationships/image" Target="../media/image451.png"/><Relationship Id="rId1326" Type="http://schemas.openxmlformats.org/officeDocument/2006/relationships/hyperlink" Target="https://natalie.tf/wp-content/uploads/2023/10/DLV3_Icon_WP_400484_01.png" TargetMode="External"/><Relationship Id="rId1533" Type="http://schemas.openxmlformats.org/officeDocument/2006/relationships/image" Target="../media/image762.png"/><Relationship Id="rId1740" Type="http://schemas.openxmlformats.org/officeDocument/2006/relationships/hyperlink" Target="https://natalie.tf/wp-content/uploads/2023/10/DLV3_Icon_WP_400443_01.png" TargetMode="External"/><Relationship Id="rId32" Type="http://schemas.openxmlformats.org/officeDocument/2006/relationships/image" Target="../media/image16.png"/><Relationship Id="rId1600" Type="http://schemas.openxmlformats.org/officeDocument/2006/relationships/hyperlink" Target="https://natalie.tf/wp-content/uploads/2023/10/DLV3_Icon_WP_400085_01.png" TargetMode="External"/><Relationship Id="rId1838" Type="http://schemas.openxmlformats.org/officeDocument/2006/relationships/hyperlink" Target="https://natalie.tf/wp-content/uploads/2023/10/DLV3_Icon_WP_400495_02.png" TargetMode="External"/><Relationship Id="rId3053" Type="http://schemas.openxmlformats.org/officeDocument/2006/relationships/hyperlink" Target="https://natalie.tf/wp-content/uploads/2023/10/DLV3_Icon_Skill_118.png" TargetMode="External"/><Relationship Id="rId181" Type="http://schemas.openxmlformats.org/officeDocument/2006/relationships/hyperlink" Target="https://natalie.tf/wp-content/uploads/2023/10/DLV3_Icon_Weapon_309014_01.png" TargetMode="External"/><Relationship Id="rId1905" Type="http://schemas.openxmlformats.org/officeDocument/2006/relationships/image" Target="../media/image948.png"/><Relationship Id="rId279" Type="http://schemas.openxmlformats.org/officeDocument/2006/relationships/hyperlink" Target="https://natalie.tf/wp-content/uploads/2023/10/DLV3_Icon_Weapon_308096_01.png" TargetMode="External"/><Relationship Id="rId486" Type="http://schemas.openxmlformats.org/officeDocument/2006/relationships/image" Target="../media/image243.png"/><Relationship Id="rId693" Type="http://schemas.openxmlformats.org/officeDocument/2006/relationships/hyperlink" Target="https://natalie.tf/wp-content/uploads/2023/10/DLV3_Icon_WP_400301_01.png" TargetMode="External"/><Relationship Id="rId2167" Type="http://schemas.openxmlformats.org/officeDocument/2006/relationships/image" Target="../media/image1079.png"/><Relationship Id="rId2374" Type="http://schemas.openxmlformats.org/officeDocument/2006/relationships/hyperlink" Target="https://natalie.tf/wp-content/uploads/2023/10/DLV3_Icon_ADV_110267_01_r05.png" TargetMode="External"/><Relationship Id="rId2581" Type="http://schemas.openxmlformats.org/officeDocument/2006/relationships/image" Target="../media/image1286.png"/><Relationship Id="rId139" Type="http://schemas.openxmlformats.org/officeDocument/2006/relationships/hyperlink" Target="https://natalie.tf/wp-content/uploads/2023/10/DLV3_Icon_Weapon_301010_01.png" TargetMode="External"/><Relationship Id="rId346" Type="http://schemas.openxmlformats.org/officeDocument/2006/relationships/image" Target="../media/image173.png"/><Relationship Id="rId553" Type="http://schemas.openxmlformats.org/officeDocument/2006/relationships/hyperlink" Target="https://natalie.tf/wp-content/uploads/2023/10/DLV3_Icon_Weapon_302148_01.png" TargetMode="External"/><Relationship Id="rId760" Type="http://schemas.openxmlformats.org/officeDocument/2006/relationships/image" Target="../media/image380.png"/><Relationship Id="rId998" Type="http://schemas.openxmlformats.org/officeDocument/2006/relationships/image" Target="../media/image495.png"/><Relationship Id="rId1183" Type="http://schemas.openxmlformats.org/officeDocument/2006/relationships/hyperlink" Target="https://natalie.tf/wp-content/uploads/2023/10/DLV3_Icon_WP_400437_02.png" TargetMode="External"/><Relationship Id="rId1390" Type="http://schemas.openxmlformats.org/officeDocument/2006/relationships/hyperlink" Target="https://natalie.tf/wp-content/uploads/2023/10/DLV3_Icon_WP_400122_02.png" TargetMode="External"/><Relationship Id="rId2027" Type="http://schemas.openxmlformats.org/officeDocument/2006/relationships/image" Target="../media/image1009.png"/><Relationship Id="rId2234" Type="http://schemas.openxmlformats.org/officeDocument/2006/relationships/hyperlink" Target="https://natalie.tf/wp-content/uploads/2023/10/DLV3_Icon_ADV_110317_01_r05.png" TargetMode="External"/><Relationship Id="rId2441" Type="http://schemas.openxmlformats.org/officeDocument/2006/relationships/image" Target="../media/image1216.png"/><Relationship Id="rId2679" Type="http://schemas.openxmlformats.org/officeDocument/2006/relationships/image" Target="../media/image1335.png"/><Relationship Id="rId2886" Type="http://schemas.openxmlformats.org/officeDocument/2006/relationships/hyperlink" Target="https://natalie.tf/wp-content/uploads/2023/10/DLV3_Icon_DRA_210046_01.png" TargetMode="External"/><Relationship Id="rId206" Type="http://schemas.openxmlformats.org/officeDocument/2006/relationships/image" Target="../media/image103.png"/><Relationship Id="rId413" Type="http://schemas.openxmlformats.org/officeDocument/2006/relationships/hyperlink" Target="https://natalie.tf/wp-content/uploads/2023/10/DLV3_Icon_Weapon_304108_01.png" TargetMode="External"/><Relationship Id="rId858" Type="http://schemas.openxmlformats.org/officeDocument/2006/relationships/image" Target="../media/image429.png"/><Relationship Id="rId1043" Type="http://schemas.openxmlformats.org/officeDocument/2006/relationships/hyperlink" Target="https://natalie.tf/wp-content/uploads/2023/10/DLV3_Icon_WP_400135_02.png" TargetMode="External"/><Relationship Id="rId1488" Type="http://schemas.openxmlformats.org/officeDocument/2006/relationships/hyperlink" Target="https://natalie.tf/wp-content/uploads/2023/10/DLV3_Icon_WP_400069_02.png" TargetMode="External"/><Relationship Id="rId1695" Type="http://schemas.openxmlformats.org/officeDocument/2006/relationships/image" Target="../media/image843.png"/><Relationship Id="rId2539" Type="http://schemas.openxmlformats.org/officeDocument/2006/relationships/image" Target="../media/image1265.png"/><Relationship Id="rId2746" Type="http://schemas.openxmlformats.org/officeDocument/2006/relationships/hyperlink" Target="https://natalie.tf/wp-content/uploads/2023/10/DLV3_Icon_DRA_210105_01.png" TargetMode="External"/><Relationship Id="rId2953" Type="http://schemas.openxmlformats.org/officeDocument/2006/relationships/hyperlink" Target="https://natalie.tf/wp-content/uploads/2023/11/DLV3_Icon_NPC_120237_02.png" TargetMode="External"/><Relationship Id="rId620" Type="http://schemas.openxmlformats.org/officeDocument/2006/relationships/image" Target="../media/image310.png"/><Relationship Id="rId718" Type="http://schemas.openxmlformats.org/officeDocument/2006/relationships/image" Target="../media/image359.png"/><Relationship Id="rId925" Type="http://schemas.openxmlformats.org/officeDocument/2006/relationships/image" Target="../media/image460.png"/><Relationship Id="rId1250" Type="http://schemas.openxmlformats.org/officeDocument/2006/relationships/hyperlink" Target="https://natalie.tf/wp-content/uploads/2023/10/DLV3_Icon_WP_400461_01.png" TargetMode="External"/><Relationship Id="rId1348" Type="http://schemas.openxmlformats.org/officeDocument/2006/relationships/hyperlink" Target="https://natalie.tf/wp-content/uploads/2023/10/DLV3_Icon_WP_400487_02.png" TargetMode="External"/><Relationship Id="rId1555" Type="http://schemas.openxmlformats.org/officeDocument/2006/relationships/image" Target="../media/image773.png"/><Relationship Id="rId1762" Type="http://schemas.openxmlformats.org/officeDocument/2006/relationships/hyperlink" Target="https://natalie.tf/wp-content/uploads/2023/10/DLV3_Icon_WP_400449_02.png" TargetMode="External"/><Relationship Id="rId2301" Type="http://schemas.openxmlformats.org/officeDocument/2006/relationships/image" Target="../media/image1146.png"/><Relationship Id="rId2606" Type="http://schemas.openxmlformats.org/officeDocument/2006/relationships/hyperlink" Target="https://natalie.tf/wp-content/uploads/2023/10/DLV3_Icon_ADV_110059_01_r05.png" TargetMode="External"/><Relationship Id="rId1110" Type="http://schemas.openxmlformats.org/officeDocument/2006/relationships/image" Target="../media/image551.png"/><Relationship Id="rId1208" Type="http://schemas.openxmlformats.org/officeDocument/2006/relationships/image" Target="../media/image600.png"/><Relationship Id="rId1415" Type="http://schemas.openxmlformats.org/officeDocument/2006/relationships/image" Target="../media/image703.png"/><Relationship Id="rId2813" Type="http://schemas.openxmlformats.org/officeDocument/2006/relationships/image" Target="../media/image1402.png"/><Relationship Id="rId54" Type="http://schemas.openxmlformats.org/officeDocument/2006/relationships/image" Target="../media/image27.png"/><Relationship Id="rId1622" Type="http://schemas.openxmlformats.org/officeDocument/2006/relationships/hyperlink" Target="https://natalie.tf/wp-content/uploads/2023/10/DLV3_Icon_WP_400337_01.png" TargetMode="External"/><Relationship Id="rId1927" Type="http://schemas.openxmlformats.org/officeDocument/2006/relationships/image" Target="../media/image959.png"/><Relationship Id="rId3075" Type="http://schemas.openxmlformats.org/officeDocument/2006/relationships/hyperlink" Target="https://natalie.tf/wp-content/uploads/2023/10/DLV3_Icon_Skill_064.png" TargetMode="External"/><Relationship Id="rId2091" Type="http://schemas.openxmlformats.org/officeDocument/2006/relationships/image" Target="../media/image1041.png"/><Relationship Id="rId2189" Type="http://schemas.openxmlformats.org/officeDocument/2006/relationships/image" Target="../media/image1090.png"/><Relationship Id="rId270" Type="http://schemas.openxmlformats.org/officeDocument/2006/relationships/image" Target="../media/image135.png"/><Relationship Id="rId2396" Type="http://schemas.openxmlformats.org/officeDocument/2006/relationships/hyperlink" Target="https://natalie.tf/wp-content/uploads/2023/10/DLV3_Icon_ADV_110394_01_r05.png" TargetMode="External"/><Relationship Id="rId3002" Type="http://schemas.openxmlformats.org/officeDocument/2006/relationships/image" Target="../media/image1496.png"/><Relationship Id="rId130" Type="http://schemas.openxmlformats.org/officeDocument/2006/relationships/image" Target="../media/image65.png"/><Relationship Id="rId368" Type="http://schemas.openxmlformats.org/officeDocument/2006/relationships/image" Target="../media/image184.png"/><Relationship Id="rId575" Type="http://schemas.openxmlformats.org/officeDocument/2006/relationships/hyperlink" Target="https://natalie.tf/wp-content/uploads/2023/10/DLV3_Icon_Weapon_304145_01.png" TargetMode="External"/><Relationship Id="rId782" Type="http://schemas.openxmlformats.org/officeDocument/2006/relationships/image" Target="../media/image391.png"/><Relationship Id="rId2049" Type="http://schemas.openxmlformats.org/officeDocument/2006/relationships/image" Target="../media/image1020.png"/><Relationship Id="rId2256" Type="http://schemas.openxmlformats.org/officeDocument/2006/relationships/hyperlink" Target="https://natalie.tf/wp-content/uploads/2023/10/DLV3_Icon_ADV_110376_01_r05.png" TargetMode="External"/><Relationship Id="rId2463" Type="http://schemas.openxmlformats.org/officeDocument/2006/relationships/image" Target="../media/image1227.png"/><Relationship Id="rId2670" Type="http://schemas.openxmlformats.org/officeDocument/2006/relationships/hyperlink" Target="https://natalie.tf/wp-content/uploads/2023/10/DLV3_Icon_DRA_210055_01.png" TargetMode="External"/><Relationship Id="rId228" Type="http://schemas.openxmlformats.org/officeDocument/2006/relationships/image" Target="../media/image114.png"/><Relationship Id="rId435" Type="http://schemas.openxmlformats.org/officeDocument/2006/relationships/hyperlink" Target="https://natalie.tf/wp-content/uploads/2023/10/DLV3_Icon_Weapon_306110_01.png" TargetMode="External"/><Relationship Id="rId642" Type="http://schemas.openxmlformats.org/officeDocument/2006/relationships/image" Target="../media/image321.png"/><Relationship Id="rId1065" Type="http://schemas.openxmlformats.org/officeDocument/2006/relationships/hyperlink" Target="https://natalie.tf/wp-content/uploads/2023/10/DLV3_Icon_WP_400400_02.png" TargetMode="External"/><Relationship Id="rId1272" Type="http://schemas.openxmlformats.org/officeDocument/2006/relationships/hyperlink" Target="https://natalie.tf/wp-content/uploads/2023/10/DLV3_Icon_WP_400403_01.png" TargetMode="External"/><Relationship Id="rId2116" Type="http://schemas.openxmlformats.org/officeDocument/2006/relationships/hyperlink" Target="https://natalie.tf/wp-content/uploads/2023/10/DLV3_Icon_ADV_110266_01_r05.png" TargetMode="External"/><Relationship Id="rId2323" Type="http://schemas.openxmlformats.org/officeDocument/2006/relationships/image" Target="../media/image1157.png"/><Relationship Id="rId2530" Type="http://schemas.openxmlformats.org/officeDocument/2006/relationships/hyperlink" Target="https://natalie.tf/wp-content/uploads/2023/10/DLV3_Icon_ADV_110334_01_r05.png" TargetMode="External"/><Relationship Id="rId2768" Type="http://schemas.openxmlformats.org/officeDocument/2006/relationships/hyperlink" Target="https://natalie.tf/wp-content/uploads/2023/10/DLV3_Icon_DRA_210152_01.png" TargetMode="External"/><Relationship Id="rId2975" Type="http://schemas.openxmlformats.org/officeDocument/2006/relationships/hyperlink" Target="https://natalie.tf/wp-content/uploads/2023/11/DLV3_Icon_NPC_Custom_120050_01.png" TargetMode="External"/><Relationship Id="rId502" Type="http://schemas.openxmlformats.org/officeDocument/2006/relationships/image" Target="../media/image251.png"/><Relationship Id="rId947" Type="http://schemas.openxmlformats.org/officeDocument/2006/relationships/image" Target="../media/image470.png"/><Relationship Id="rId1132" Type="http://schemas.openxmlformats.org/officeDocument/2006/relationships/image" Target="../media/image562.png"/><Relationship Id="rId1577" Type="http://schemas.openxmlformats.org/officeDocument/2006/relationships/image" Target="../media/image784.png"/><Relationship Id="rId1784" Type="http://schemas.openxmlformats.org/officeDocument/2006/relationships/hyperlink" Target="https://natalie.tf/wp-content/uploads/2023/10/DLV3_Icon_WP_400460_01.png" TargetMode="External"/><Relationship Id="rId1991" Type="http://schemas.openxmlformats.org/officeDocument/2006/relationships/image" Target="../media/image991.png"/><Relationship Id="rId2628" Type="http://schemas.openxmlformats.org/officeDocument/2006/relationships/hyperlink" Target="https://natalie.tf/wp-content/uploads/2023/10/DLV3_Icon_ADV_110388_01_r05.png" TargetMode="External"/><Relationship Id="rId2835" Type="http://schemas.openxmlformats.org/officeDocument/2006/relationships/image" Target="../media/image1413.png"/><Relationship Id="rId76" Type="http://schemas.openxmlformats.org/officeDocument/2006/relationships/image" Target="../media/image38.png"/><Relationship Id="rId807" Type="http://schemas.openxmlformats.org/officeDocument/2006/relationships/hyperlink" Target="https://natalie.tf/wp-content/uploads/2023/10/DLV3_Icon_WP_400087_02.png" TargetMode="External"/><Relationship Id="rId1437" Type="http://schemas.openxmlformats.org/officeDocument/2006/relationships/image" Target="../media/image714.png"/><Relationship Id="rId1644" Type="http://schemas.openxmlformats.org/officeDocument/2006/relationships/hyperlink" Target="https://natalie.tf/wp-content/uploads/2023/10/DLV3_Icon_WP_400387_01.png" TargetMode="External"/><Relationship Id="rId1851" Type="http://schemas.openxmlformats.org/officeDocument/2006/relationships/image" Target="../media/image921.png"/><Relationship Id="rId2902" Type="http://schemas.openxmlformats.org/officeDocument/2006/relationships/hyperlink" Target="https://natalie.tf/wp-content/uploads/2023/10/DLV3_Icon_DRA_210045_01.png" TargetMode="External"/><Relationship Id="rId1504" Type="http://schemas.openxmlformats.org/officeDocument/2006/relationships/hyperlink" Target="https://natalie.tf/wp-content/uploads/2023/10/DLV3_Icon_WP_400058_02.png" TargetMode="External"/><Relationship Id="rId1711" Type="http://schemas.openxmlformats.org/officeDocument/2006/relationships/image" Target="../media/image851.png"/><Relationship Id="rId1949" Type="http://schemas.openxmlformats.org/officeDocument/2006/relationships/image" Target="../media/image970.png"/><Relationship Id="rId292" Type="http://schemas.openxmlformats.org/officeDocument/2006/relationships/image" Target="../media/image146.png"/><Relationship Id="rId1809" Type="http://schemas.openxmlformats.org/officeDocument/2006/relationships/image" Target="../media/image900.png"/><Relationship Id="rId597" Type="http://schemas.openxmlformats.org/officeDocument/2006/relationships/hyperlink" Target="https://natalie.tf/wp-content/uploads/2023/10/DLV3_Icon_Weapon_306148_01.png" TargetMode="External"/><Relationship Id="rId2180" Type="http://schemas.openxmlformats.org/officeDocument/2006/relationships/hyperlink" Target="https://natalie.tf/wp-content/uploads/2023/10/DLV3_Icon_ADV_110016_01_r05.png" TargetMode="External"/><Relationship Id="rId2278" Type="http://schemas.openxmlformats.org/officeDocument/2006/relationships/hyperlink" Target="https://natalie.tf/wp-content/uploads/2023/10/DLV3_Icon_ADV_110396_01_r05.png" TargetMode="External"/><Relationship Id="rId2485" Type="http://schemas.openxmlformats.org/officeDocument/2006/relationships/image" Target="../media/image1238.png"/><Relationship Id="rId3024" Type="http://schemas.openxmlformats.org/officeDocument/2006/relationships/image" Target="../media/image1507.png"/><Relationship Id="rId152" Type="http://schemas.openxmlformats.org/officeDocument/2006/relationships/image" Target="../media/image76.png"/><Relationship Id="rId457" Type="http://schemas.openxmlformats.org/officeDocument/2006/relationships/hyperlink" Target="https://natalie.tf/wp-content/uploads/2023/10/DLV3_Icon_Weapon_308113_01.png" TargetMode="External"/><Relationship Id="rId1087" Type="http://schemas.openxmlformats.org/officeDocument/2006/relationships/hyperlink" Target="https://natalie.tf/wp-content/uploads/2023/10/DLV3_Icon_Ability_1070004.png" TargetMode="External"/><Relationship Id="rId1294" Type="http://schemas.openxmlformats.org/officeDocument/2006/relationships/hyperlink" Target="https://natalie.tf/wp-content/uploads/2023/10/DLV3_Icon_WP_400472_02.png" TargetMode="External"/><Relationship Id="rId2040" Type="http://schemas.openxmlformats.org/officeDocument/2006/relationships/hyperlink" Target="https://natalie.tf/wp-content/uploads/2023/11/DLV3_Icon_Custom_The_Power_of_Bonds_WP.png" TargetMode="External"/><Relationship Id="rId2138" Type="http://schemas.openxmlformats.org/officeDocument/2006/relationships/hyperlink" Target="https://natalie.tf/wp-content/uploads/2023/10/DLV3_Icon_ADV_110005_01_r05.png" TargetMode="External"/><Relationship Id="rId2692" Type="http://schemas.openxmlformats.org/officeDocument/2006/relationships/hyperlink" Target="https://natalie.tf/wp-content/uploads/2023/10/DLV3_Icon_DRA_210122_01.png" TargetMode="External"/><Relationship Id="rId2997" Type="http://schemas.openxmlformats.org/officeDocument/2006/relationships/hyperlink" Target="https://natalie.tf/wp-content/uploads/2023/11/DLV3_Icon_NPC_100023_01.png" TargetMode="External"/><Relationship Id="rId664" Type="http://schemas.openxmlformats.org/officeDocument/2006/relationships/image" Target="../media/image332.png"/><Relationship Id="rId871" Type="http://schemas.openxmlformats.org/officeDocument/2006/relationships/image" Target="../media/image435.png"/><Relationship Id="rId969" Type="http://schemas.openxmlformats.org/officeDocument/2006/relationships/hyperlink" Target="https://natalie.tf/wp-content/uploads/2023/10/DLV3_Icon_WP_400153_01.png" TargetMode="External"/><Relationship Id="rId1599" Type="http://schemas.openxmlformats.org/officeDocument/2006/relationships/image" Target="../media/image795.png"/><Relationship Id="rId2345" Type="http://schemas.openxmlformats.org/officeDocument/2006/relationships/image" Target="../media/image1168.png"/><Relationship Id="rId2552" Type="http://schemas.openxmlformats.org/officeDocument/2006/relationships/hyperlink" Target="https://natalie.tf/wp-content/uploads/2023/10/DLV3_Icon_ADV_110048_01_r05.png" TargetMode="External"/><Relationship Id="rId317" Type="http://schemas.openxmlformats.org/officeDocument/2006/relationships/hyperlink" Target="https://natalie.tf/wp-content/uploads/2023/10/DLV3_Icon_Weapon_301134_01.png" TargetMode="External"/><Relationship Id="rId524" Type="http://schemas.openxmlformats.org/officeDocument/2006/relationships/image" Target="../media/image262.png"/><Relationship Id="rId731" Type="http://schemas.openxmlformats.org/officeDocument/2006/relationships/hyperlink" Target="https://natalie.tf/wp-content/uploads/2023/10/DLV3_Icon_Ability_1010115.png" TargetMode="External"/><Relationship Id="rId1154" Type="http://schemas.openxmlformats.org/officeDocument/2006/relationships/image" Target="../media/image573.png"/><Relationship Id="rId1361" Type="http://schemas.openxmlformats.org/officeDocument/2006/relationships/image" Target="../media/image676.png"/><Relationship Id="rId1459" Type="http://schemas.openxmlformats.org/officeDocument/2006/relationships/image" Target="../media/image725.png"/><Relationship Id="rId2205" Type="http://schemas.openxmlformats.org/officeDocument/2006/relationships/image" Target="../media/image1098.png"/><Relationship Id="rId2412" Type="http://schemas.openxmlformats.org/officeDocument/2006/relationships/hyperlink" Target="https://natalie.tf/wp-content/uploads/2023/10/DLV3_Icon_ADV_110371_01_r05.png" TargetMode="External"/><Relationship Id="rId2857" Type="http://schemas.openxmlformats.org/officeDocument/2006/relationships/image" Target="../media/image1424.png"/><Relationship Id="rId98" Type="http://schemas.openxmlformats.org/officeDocument/2006/relationships/image" Target="../media/image49.png"/><Relationship Id="rId829" Type="http://schemas.openxmlformats.org/officeDocument/2006/relationships/hyperlink" Target="https://natalie.tf/wp-content/uploads/2023/10/DLV3_Icon_WP_400107_01.png" TargetMode="External"/><Relationship Id="rId1014" Type="http://schemas.openxmlformats.org/officeDocument/2006/relationships/image" Target="../media/image503.png"/><Relationship Id="rId1221" Type="http://schemas.openxmlformats.org/officeDocument/2006/relationships/hyperlink" Target="https://natalie.tf/wp-content/uploads/2023/10/DLV3_Icon_WP_400450_02.png" TargetMode="External"/><Relationship Id="rId1666" Type="http://schemas.openxmlformats.org/officeDocument/2006/relationships/hyperlink" Target="https://natalie.tf/wp-content/uploads/2023/10/DLV3_Icon_WP_400396_02.png" TargetMode="External"/><Relationship Id="rId1873" Type="http://schemas.openxmlformats.org/officeDocument/2006/relationships/image" Target="../media/image932.png"/><Relationship Id="rId2717" Type="http://schemas.openxmlformats.org/officeDocument/2006/relationships/image" Target="../media/image1354.png"/><Relationship Id="rId2924" Type="http://schemas.openxmlformats.org/officeDocument/2006/relationships/hyperlink" Target="https://natalie.tf/wp-content/uploads/2023/10/DLV3_Icon_DRA_210014_01.png" TargetMode="External"/><Relationship Id="rId1319" Type="http://schemas.openxmlformats.org/officeDocument/2006/relationships/image" Target="../media/image655.png"/><Relationship Id="rId1526" Type="http://schemas.openxmlformats.org/officeDocument/2006/relationships/hyperlink" Target="https://natalie.tf/wp-content/uploads/2023/10/DLV3_Icon_WP_400100_02.png" TargetMode="External"/><Relationship Id="rId1733" Type="http://schemas.openxmlformats.org/officeDocument/2006/relationships/image" Target="../media/image862.png"/><Relationship Id="rId1940" Type="http://schemas.openxmlformats.org/officeDocument/2006/relationships/hyperlink" Target="https://natalie.tf/wp-content/uploads/2023/10/DLV3_Icon_WP_400028_02.png" TargetMode="External"/><Relationship Id="rId25" Type="http://schemas.openxmlformats.org/officeDocument/2006/relationships/hyperlink" Target="https://natalie.tf/wp-content/uploads/2023/10/DLV3_Portrait_DRA_210062_01.png" TargetMode="External"/><Relationship Id="rId1800" Type="http://schemas.openxmlformats.org/officeDocument/2006/relationships/hyperlink" Target="https://natalie.tf/wp-content/uploads/2023/10/DLV3_Icon_WP_400161_01.png" TargetMode="External"/><Relationship Id="rId3046" Type="http://schemas.openxmlformats.org/officeDocument/2006/relationships/image" Target="../media/image1518.png"/><Relationship Id="rId174" Type="http://schemas.openxmlformats.org/officeDocument/2006/relationships/image" Target="../media/image87.png"/><Relationship Id="rId381" Type="http://schemas.openxmlformats.org/officeDocument/2006/relationships/hyperlink" Target="https://natalie.tf/wp-content/uploads/2023/10/DLV3_Icon_Weapon_306111_01.png" TargetMode="External"/><Relationship Id="rId2062" Type="http://schemas.openxmlformats.org/officeDocument/2006/relationships/hyperlink" Target="https://natalie.tf/wp-content/uploads/2023/10/DLV3_Icon_ADV_100004_19_r05.png" TargetMode="External"/><Relationship Id="rId241" Type="http://schemas.openxmlformats.org/officeDocument/2006/relationships/hyperlink" Target="https://natalie.tf/wp-content/uploads/2023/10/DLV3_Icon_Weapon_305094_01.png" TargetMode="External"/><Relationship Id="rId479" Type="http://schemas.openxmlformats.org/officeDocument/2006/relationships/hyperlink" Target="https://natalie.tf/wp-content/uploads/2023/10/DLV3_Icon_Weapon_301139_01.png" TargetMode="External"/><Relationship Id="rId686" Type="http://schemas.openxmlformats.org/officeDocument/2006/relationships/image" Target="../media/image343.png"/><Relationship Id="rId893" Type="http://schemas.openxmlformats.org/officeDocument/2006/relationships/image" Target="../media/image446.png"/><Relationship Id="rId2367" Type="http://schemas.openxmlformats.org/officeDocument/2006/relationships/image" Target="../media/image1179.png"/><Relationship Id="rId2574" Type="http://schemas.openxmlformats.org/officeDocument/2006/relationships/hyperlink" Target="https://natalie.tf/wp-content/uploads/2023/10/DLV3_Icon_ADV_110377_01_r05.png" TargetMode="External"/><Relationship Id="rId2781" Type="http://schemas.openxmlformats.org/officeDocument/2006/relationships/image" Target="../media/image1386.png"/><Relationship Id="rId339" Type="http://schemas.openxmlformats.org/officeDocument/2006/relationships/hyperlink" Target="https://natalie.tf/wp-content/uploads/2023/10/DLV3_Icon_Weapon_303125_01.png" TargetMode="External"/><Relationship Id="rId546" Type="http://schemas.openxmlformats.org/officeDocument/2006/relationships/image" Target="../media/image273.png"/><Relationship Id="rId753" Type="http://schemas.openxmlformats.org/officeDocument/2006/relationships/hyperlink" Target="https://natalie.tf/wp-content/uploads/2023/10/DLV3_Icon_WP_400066_01.png" TargetMode="External"/><Relationship Id="rId1176" Type="http://schemas.openxmlformats.org/officeDocument/2006/relationships/image" Target="../media/image584.png"/><Relationship Id="rId1383" Type="http://schemas.openxmlformats.org/officeDocument/2006/relationships/image" Target="../media/image687.png"/><Relationship Id="rId2227" Type="http://schemas.openxmlformats.org/officeDocument/2006/relationships/image" Target="../media/image1109.png"/><Relationship Id="rId2434" Type="http://schemas.openxmlformats.org/officeDocument/2006/relationships/hyperlink" Target="https://natalie.tf/wp-content/uploads/2023/10/DLV3_Icon_ADV_110276_01_r05.png" TargetMode="External"/><Relationship Id="rId2879" Type="http://schemas.openxmlformats.org/officeDocument/2006/relationships/image" Target="../media/image1435.png"/><Relationship Id="rId101" Type="http://schemas.openxmlformats.org/officeDocument/2006/relationships/hyperlink" Target="https://natalie.tf/wp-content/uploads/2023/10/DLV3_Icon_Weapon_309002_01.png" TargetMode="External"/><Relationship Id="rId406" Type="http://schemas.openxmlformats.org/officeDocument/2006/relationships/image" Target="../media/image203.png"/><Relationship Id="rId960" Type="http://schemas.openxmlformats.org/officeDocument/2006/relationships/hyperlink" Target="https://natalie.tf/wp-content/uploads/2023/10/DLV3_Icon_WP_400108_02.png" TargetMode="External"/><Relationship Id="rId1036" Type="http://schemas.openxmlformats.org/officeDocument/2006/relationships/image" Target="../media/image514.png"/><Relationship Id="rId1243" Type="http://schemas.openxmlformats.org/officeDocument/2006/relationships/image" Target="../media/image617.png"/><Relationship Id="rId1590" Type="http://schemas.openxmlformats.org/officeDocument/2006/relationships/hyperlink" Target="https://natalie.tf/wp-content/uploads/2023/10/DLV3_Icon_WP_400293_01.png" TargetMode="External"/><Relationship Id="rId1688" Type="http://schemas.openxmlformats.org/officeDocument/2006/relationships/hyperlink" Target="https://natalie.tf/wp-content/uploads/2023/10/DLV3_Icon_WP_400415_02.png" TargetMode="External"/><Relationship Id="rId1895" Type="http://schemas.openxmlformats.org/officeDocument/2006/relationships/image" Target="../media/image943.png"/><Relationship Id="rId2641" Type="http://schemas.openxmlformats.org/officeDocument/2006/relationships/image" Target="../media/image1316.png"/><Relationship Id="rId2739" Type="http://schemas.openxmlformats.org/officeDocument/2006/relationships/image" Target="../media/image1365.png"/><Relationship Id="rId2946" Type="http://schemas.openxmlformats.org/officeDocument/2006/relationships/image" Target="../media/image1468.png"/><Relationship Id="rId613" Type="http://schemas.openxmlformats.org/officeDocument/2006/relationships/hyperlink" Target="https://natalie.tf/wp-content/uploads/2023/10/DLV3_Icon_Weapon_305157_01.png" TargetMode="External"/><Relationship Id="rId820" Type="http://schemas.openxmlformats.org/officeDocument/2006/relationships/image" Target="../media/image410.png"/><Relationship Id="rId918" Type="http://schemas.openxmlformats.org/officeDocument/2006/relationships/hyperlink" Target="https://natalie.tf/wp-content/uploads/2023/10/DLV3_Icon_WP_400145_01.png" TargetMode="External"/><Relationship Id="rId1450" Type="http://schemas.openxmlformats.org/officeDocument/2006/relationships/hyperlink" Target="https://natalie.tf/wp-content/uploads/2023/10/DLV3_Icon_WP_400043_01.png" TargetMode="External"/><Relationship Id="rId1548" Type="http://schemas.openxmlformats.org/officeDocument/2006/relationships/hyperlink" Target="https://natalie.tf/wp-content/uploads/2023/10/DLV3_Icon_WP_400116_02.png" TargetMode="External"/><Relationship Id="rId1755" Type="http://schemas.openxmlformats.org/officeDocument/2006/relationships/image" Target="../media/image873.png"/><Relationship Id="rId2501" Type="http://schemas.openxmlformats.org/officeDocument/2006/relationships/image" Target="../media/image1246.png"/><Relationship Id="rId1103" Type="http://schemas.openxmlformats.org/officeDocument/2006/relationships/hyperlink" Target="https://natalie.tf/wp-content/uploads/2023/10/DLV3_Icon_WP_400416_01.png" TargetMode="External"/><Relationship Id="rId1310" Type="http://schemas.openxmlformats.org/officeDocument/2006/relationships/hyperlink" Target="https://natalie.tf/wp-content/uploads/2023/10/DLV3_Icon_WP_400478_02.png" TargetMode="External"/><Relationship Id="rId1408" Type="http://schemas.openxmlformats.org/officeDocument/2006/relationships/hyperlink" Target="https://natalie.tf/wp-content/uploads/2023/10/DLV3_Icon_WP_400034_01.png" TargetMode="External"/><Relationship Id="rId1962" Type="http://schemas.openxmlformats.org/officeDocument/2006/relationships/hyperlink" Target="https://natalie.tf/wp-content/uploads/2023/10/DLV3_Icon_WP_400113_01.png" TargetMode="External"/><Relationship Id="rId2806" Type="http://schemas.openxmlformats.org/officeDocument/2006/relationships/hyperlink" Target="https://natalie.tf/wp-content/uploads/2023/10/DLV3_Icon_DRA_210064_01.png" TargetMode="External"/><Relationship Id="rId47" Type="http://schemas.openxmlformats.org/officeDocument/2006/relationships/hyperlink" Target="https://natalie.tf/wp-content/uploads/2023/10/DLV3_Icon_Weapon_305014_01.png" TargetMode="External"/><Relationship Id="rId1615" Type="http://schemas.openxmlformats.org/officeDocument/2006/relationships/image" Target="../media/image803.png"/><Relationship Id="rId1822" Type="http://schemas.openxmlformats.org/officeDocument/2006/relationships/hyperlink" Target="https://natalie.tf/wp-content/uploads/2023/10/DLV3_Icon_WP_400482_02.png" TargetMode="External"/><Relationship Id="rId3068" Type="http://schemas.openxmlformats.org/officeDocument/2006/relationships/image" Target="../media/image1529.png"/><Relationship Id="rId196" Type="http://schemas.openxmlformats.org/officeDocument/2006/relationships/image" Target="../media/image98.png"/><Relationship Id="rId2084" Type="http://schemas.openxmlformats.org/officeDocument/2006/relationships/hyperlink" Target="https://natalie.tf/wp-content/uploads/2023/10/DLV3_Icon_ADV_110009_01_r05.png" TargetMode="External"/><Relationship Id="rId2291" Type="http://schemas.openxmlformats.org/officeDocument/2006/relationships/image" Target="../media/image1141.png"/><Relationship Id="rId263" Type="http://schemas.openxmlformats.org/officeDocument/2006/relationships/hyperlink" Target="https://natalie.tf/wp-content/uploads/2023/10/DLV3_Icon_Weapon_308107_01.png" TargetMode="External"/><Relationship Id="rId470" Type="http://schemas.openxmlformats.org/officeDocument/2006/relationships/image" Target="../media/image235.png"/><Relationship Id="rId2151" Type="http://schemas.openxmlformats.org/officeDocument/2006/relationships/image" Target="../media/image1071.png"/><Relationship Id="rId2389" Type="http://schemas.openxmlformats.org/officeDocument/2006/relationships/image" Target="../media/image1190.png"/><Relationship Id="rId2596" Type="http://schemas.openxmlformats.org/officeDocument/2006/relationships/hyperlink" Target="https://natalie.tf/wp-content/uploads/2023/10/DLV3_Icon_ADV_110312_01_r05.png" TargetMode="External"/><Relationship Id="rId123" Type="http://schemas.openxmlformats.org/officeDocument/2006/relationships/hyperlink" Target="https://natalie.tf/wp-content/uploads/2023/10/DLV3_Icon_Weapon_302013_01.png" TargetMode="External"/><Relationship Id="rId330" Type="http://schemas.openxmlformats.org/officeDocument/2006/relationships/image" Target="../media/image165.png"/><Relationship Id="rId568" Type="http://schemas.openxmlformats.org/officeDocument/2006/relationships/image" Target="../media/image284.png"/><Relationship Id="rId775" Type="http://schemas.openxmlformats.org/officeDocument/2006/relationships/hyperlink" Target="https://natalie.tf/wp-content/uploads/2023/10/DLV3_Icon_WP_400070_02.png" TargetMode="External"/><Relationship Id="rId982" Type="http://schemas.openxmlformats.org/officeDocument/2006/relationships/image" Target="../media/image487.png"/><Relationship Id="rId1198" Type="http://schemas.openxmlformats.org/officeDocument/2006/relationships/image" Target="../media/image595.png"/><Relationship Id="rId2011" Type="http://schemas.openxmlformats.org/officeDocument/2006/relationships/image" Target="../media/image1001.png"/><Relationship Id="rId2249" Type="http://schemas.openxmlformats.org/officeDocument/2006/relationships/image" Target="../media/image1120.png"/><Relationship Id="rId2456" Type="http://schemas.openxmlformats.org/officeDocument/2006/relationships/hyperlink" Target="https://natalie.tf/wp-content/uploads/2023/10/DLV3_Icon_ADV_110391_01_r05.png" TargetMode="External"/><Relationship Id="rId2663" Type="http://schemas.openxmlformats.org/officeDocument/2006/relationships/image" Target="../media/image1327.png"/><Relationship Id="rId2870" Type="http://schemas.openxmlformats.org/officeDocument/2006/relationships/hyperlink" Target="https://natalie.tf/wp-content/uploads/2023/10/DLV3_Icon_DRA_210114_01.png" TargetMode="External"/><Relationship Id="rId428" Type="http://schemas.openxmlformats.org/officeDocument/2006/relationships/image" Target="../media/image214.png"/><Relationship Id="rId635" Type="http://schemas.openxmlformats.org/officeDocument/2006/relationships/hyperlink" Target="https://natalie.tf/wp-content/uploads/2023/10/DLV3_Icon_Weapon_307157_01.png" TargetMode="External"/><Relationship Id="rId842" Type="http://schemas.openxmlformats.org/officeDocument/2006/relationships/image" Target="../media/image421.png"/><Relationship Id="rId1058" Type="http://schemas.openxmlformats.org/officeDocument/2006/relationships/image" Target="../media/image525.png"/><Relationship Id="rId1265" Type="http://schemas.openxmlformats.org/officeDocument/2006/relationships/image" Target="../media/image628.png"/><Relationship Id="rId1472" Type="http://schemas.openxmlformats.org/officeDocument/2006/relationships/hyperlink" Target="https://natalie.tf/wp-content/uploads/2023/10/DLV3_Icon_WP_400048_02.png" TargetMode="External"/><Relationship Id="rId2109" Type="http://schemas.openxmlformats.org/officeDocument/2006/relationships/image" Target="../media/image1050.png"/><Relationship Id="rId2316" Type="http://schemas.openxmlformats.org/officeDocument/2006/relationships/hyperlink" Target="https://natalie.tf/wp-content/uploads/2023/10/DLV3_Icon_ADV_110310_01_r05.png" TargetMode="External"/><Relationship Id="rId2523" Type="http://schemas.openxmlformats.org/officeDocument/2006/relationships/image" Target="../media/image1257.png"/><Relationship Id="rId2730" Type="http://schemas.openxmlformats.org/officeDocument/2006/relationships/hyperlink" Target="https://natalie.tf/wp-content/uploads/2023/10/DLV3_Icon_DRA_210134_01.png" TargetMode="External"/><Relationship Id="rId2968" Type="http://schemas.openxmlformats.org/officeDocument/2006/relationships/image" Target="../media/image1479.png"/><Relationship Id="rId702" Type="http://schemas.openxmlformats.org/officeDocument/2006/relationships/image" Target="../media/image351.png"/><Relationship Id="rId1125" Type="http://schemas.openxmlformats.org/officeDocument/2006/relationships/hyperlink" Target="https://natalie.tf/wp-content/uploads/2023/10/DLV3_Icon_WP_400285_01.png" TargetMode="External"/><Relationship Id="rId1332" Type="http://schemas.openxmlformats.org/officeDocument/2006/relationships/hyperlink" Target="https://natalie.tf/wp-content/uploads/2023/10/DLV3_Icon_WP_400483_02.png" TargetMode="External"/><Relationship Id="rId1777" Type="http://schemas.openxmlformats.org/officeDocument/2006/relationships/image" Target="../media/image884.png"/><Relationship Id="rId1984" Type="http://schemas.openxmlformats.org/officeDocument/2006/relationships/hyperlink" Target="https://natalie.tf/wp-content/uploads/2023/10/DLV3_Icon_WP_400141_02.png" TargetMode="External"/><Relationship Id="rId2828" Type="http://schemas.openxmlformats.org/officeDocument/2006/relationships/hyperlink" Target="https://natalie.tf/wp-content/uploads/2023/10/DLV3_Icon_DRA_210056_01.png" TargetMode="External"/><Relationship Id="rId69" Type="http://schemas.openxmlformats.org/officeDocument/2006/relationships/hyperlink" Target="https://natalie.tf/wp-content/uploads/2023/10/DLV3_Icon_Weapon_301030_01.png" TargetMode="External"/><Relationship Id="rId1637" Type="http://schemas.openxmlformats.org/officeDocument/2006/relationships/image" Target="../media/image814.png"/><Relationship Id="rId1844" Type="http://schemas.openxmlformats.org/officeDocument/2006/relationships/hyperlink" Target="https://natalie.tf/wp-content/uploads/2023/10/DLV3_Icon_WP_400499_01.png" TargetMode="External"/><Relationship Id="rId1704" Type="http://schemas.openxmlformats.org/officeDocument/2006/relationships/hyperlink" Target="https://natalie.tf/wp-content/uploads/2023/10/DLV3_Icon_WP_400386_02.png" TargetMode="External"/><Relationship Id="rId285" Type="http://schemas.openxmlformats.org/officeDocument/2006/relationships/hyperlink" Target="https://natalie.tf/wp-content/uploads/2023/10/DLV3_Icon_Weapon_303122_01.png" TargetMode="External"/><Relationship Id="rId1911" Type="http://schemas.openxmlformats.org/officeDocument/2006/relationships/image" Target="../media/image951.png"/><Relationship Id="rId492" Type="http://schemas.openxmlformats.org/officeDocument/2006/relationships/image" Target="../media/image246.png"/><Relationship Id="rId797" Type="http://schemas.openxmlformats.org/officeDocument/2006/relationships/hyperlink" Target="https://natalie.tf/wp-content/uploads/2023/10/DLV3_Icon_WP_400077_02.png" TargetMode="External"/><Relationship Id="rId2173" Type="http://schemas.openxmlformats.org/officeDocument/2006/relationships/image" Target="../media/image1082.png"/><Relationship Id="rId2380" Type="http://schemas.openxmlformats.org/officeDocument/2006/relationships/hyperlink" Target="https://natalie.tf/wp-content/uploads/2023/10/DLV3_Icon_ADV_110341_01_r05.png" TargetMode="External"/><Relationship Id="rId2478" Type="http://schemas.openxmlformats.org/officeDocument/2006/relationships/hyperlink" Target="https://natalie.tf/wp-content/uploads/2023/10/DLV3_Icon_ADV_110358_01_r05.png" TargetMode="External"/><Relationship Id="rId3017" Type="http://schemas.openxmlformats.org/officeDocument/2006/relationships/hyperlink" Target="https://natalie.tf/wp-content/uploads/2023/11/DLV3_Icon_NPC_Custom_120112_01.png" TargetMode="External"/><Relationship Id="rId145" Type="http://schemas.openxmlformats.org/officeDocument/2006/relationships/hyperlink" Target="https://natalie.tf/wp-content/uploads/2023/10/DLV3_Icon_Weapon_309012_01.png" TargetMode="External"/><Relationship Id="rId352" Type="http://schemas.openxmlformats.org/officeDocument/2006/relationships/image" Target="../media/image176.png"/><Relationship Id="rId1287" Type="http://schemas.openxmlformats.org/officeDocument/2006/relationships/image" Target="../media/image639.png"/><Relationship Id="rId2033" Type="http://schemas.openxmlformats.org/officeDocument/2006/relationships/image" Target="../media/image1012.png"/><Relationship Id="rId2240" Type="http://schemas.openxmlformats.org/officeDocument/2006/relationships/hyperlink" Target="https://natalie.tf/wp-content/uploads/2023/10/DLV3_Icon_ADV_110352_03_r05.png" TargetMode="External"/><Relationship Id="rId2685" Type="http://schemas.openxmlformats.org/officeDocument/2006/relationships/image" Target="../media/image1338.png"/><Relationship Id="rId2892" Type="http://schemas.openxmlformats.org/officeDocument/2006/relationships/hyperlink" Target="https://natalie.tf/wp-content/uploads/2023/10/DLV3_Icon_DRA_200017_01.png" TargetMode="External"/><Relationship Id="rId212" Type="http://schemas.openxmlformats.org/officeDocument/2006/relationships/image" Target="../media/image106.png"/><Relationship Id="rId657" Type="http://schemas.openxmlformats.org/officeDocument/2006/relationships/hyperlink" Target="https://natalie.tf/wp-content/uploads/2023/10/DLV3_Icon_WP_400258_01.png" TargetMode="External"/><Relationship Id="rId864" Type="http://schemas.openxmlformats.org/officeDocument/2006/relationships/hyperlink" Target="https://natalie.tf/wp-content/uploads/2023/10/DLV3_Icon_WP_400124_01.png" TargetMode="External"/><Relationship Id="rId1494" Type="http://schemas.openxmlformats.org/officeDocument/2006/relationships/hyperlink" Target="https://natalie.tf/wp-content/uploads/2023/10/DLV3_Icon_WP_400056_01.png" TargetMode="External"/><Relationship Id="rId1799" Type="http://schemas.openxmlformats.org/officeDocument/2006/relationships/image" Target="../media/image895.png"/><Relationship Id="rId2100" Type="http://schemas.openxmlformats.org/officeDocument/2006/relationships/hyperlink" Target="https://natalie.tf/wp-content/uploads/2023/10/DLV3_Icon_ADV_110359_01_r05.png" TargetMode="External"/><Relationship Id="rId2338" Type="http://schemas.openxmlformats.org/officeDocument/2006/relationships/hyperlink" Target="https://natalie.tf/wp-content/uploads/2023/10/DLV3_Icon_ADV_110285_01_r05.png" TargetMode="External"/><Relationship Id="rId2545" Type="http://schemas.openxmlformats.org/officeDocument/2006/relationships/image" Target="../media/image1268.png"/><Relationship Id="rId2752" Type="http://schemas.openxmlformats.org/officeDocument/2006/relationships/hyperlink" Target="https://natalie.tf/wp-content/uploads/2023/10/DLV3_Icon_DRA_210059_01.png" TargetMode="External"/><Relationship Id="rId517" Type="http://schemas.openxmlformats.org/officeDocument/2006/relationships/hyperlink" Target="https://natalie.tf/wp-content/uploads/2023/10/DLV3_Icon_Weapon_302132_01.png" TargetMode="External"/><Relationship Id="rId724" Type="http://schemas.openxmlformats.org/officeDocument/2006/relationships/image" Target="../media/image362.png"/><Relationship Id="rId931" Type="http://schemas.openxmlformats.org/officeDocument/2006/relationships/hyperlink" Target="https://natalie.tf/wp-content/uploads/2023/10/DLV3_Icon_WP_400148_02.png" TargetMode="External"/><Relationship Id="rId1147" Type="http://schemas.openxmlformats.org/officeDocument/2006/relationships/hyperlink" Target="https://natalie.tf/wp-content/uploads/2023/10/DLV3_Icon_WP_400237_02.png" TargetMode="External"/><Relationship Id="rId1354" Type="http://schemas.openxmlformats.org/officeDocument/2006/relationships/hyperlink" Target="https://natalie.tf/wp-content/uploads/2023/10/DLV3_Icon_Ability_1070013.png" TargetMode="External"/><Relationship Id="rId1561" Type="http://schemas.openxmlformats.org/officeDocument/2006/relationships/image" Target="../media/image776.png"/><Relationship Id="rId2405" Type="http://schemas.openxmlformats.org/officeDocument/2006/relationships/image" Target="../media/image1198.png"/><Relationship Id="rId2612" Type="http://schemas.openxmlformats.org/officeDocument/2006/relationships/hyperlink" Target="https://natalie.tf/wp-content/uploads/2023/10/DLV3_Icon_ADV_100015_04_r05.png" TargetMode="External"/><Relationship Id="rId60" Type="http://schemas.openxmlformats.org/officeDocument/2006/relationships/image" Target="../media/image30.png"/><Relationship Id="rId1007" Type="http://schemas.openxmlformats.org/officeDocument/2006/relationships/hyperlink" Target="https://natalie.tf/wp-content/uploads/2023/10/DLV3_Icon_WP_400098_02.png" TargetMode="External"/><Relationship Id="rId1214" Type="http://schemas.openxmlformats.org/officeDocument/2006/relationships/image" Target="../media/image603.png"/><Relationship Id="rId1421" Type="http://schemas.openxmlformats.org/officeDocument/2006/relationships/image" Target="../media/image706.png"/><Relationship Id="rId1659" Type="http://schemas.openxmlformats.org/officeDocument/2006/relationships/image" Target="../media/image825.png"/><Relationship Id="rId1866" Type="http://schemas.openxmlformats.org/officeDocument/2006/relationships/hyperlink" Target="https://natalie.tf/wp-content/uploads/2023/10/DLV3_Icon_WP_400009_02.png" TargetMode="External"/><Relationship Id="rId2917" Type="http://schemas.openxmlformats.org/officeDocument/2006/relationships/image" Target="../media/image1454.png"/><Relationship Id="rId3081" Type="http://schemas.openxmlformats.org/officeDocument/2006/relationships/hyperlink" Target="https://natalie.tf/wp-content/uploads/2023/10/DLV3_Icon_Skill_198.png" TargetMode="External"/><Relationship Id="rId1519" Type="http://schemas.openxmlformats.org/officeDocument/2006/relationships/image" Target="../media/image755.png"/><Relationship Id="rId1726" Type="http://schemas.openxmlformats.org/officeDocument/2006/relationships/hyperlink" Target="https://natalie.tf/wp-content/uploads/2023/10/DLV3_Icon_WP_400284_01.png" TargetMode="External"/><Relationship Id="rId1933" Type="http://schemas.openxmlformats.org/officeDocument/2006/relationships/image" Target="../media/image962.png"/><Relationship Id="rId18" Type="http://schemas.openxmlformats.org/officeDocument/2006/relationships/image" Target="../media/image9.png"/><Relationship Id="rId2195" Type="http://schemas.openxmlformats.org/officeDocument/2006/relationships/image" Target="../media/image1093.png"/><Relationship Id="rId3039" Type="http://schemas.openxmlformats.org/officeDocument/2006/relationships/hyperlink" Target="https://natalie.tf/wp-content/uploads/2023/10/DLV3_Icon_Ability_1020032.png" TargetMode="External"/><Relationship Id="rId167" Type="http://schemas.openxmlformats.org/officeDocument/2006/relationships/hyperlink" Target="https://natalie.tf/wp-content/uploads/2023/10/DLV3_Icon_Weapon_302025_01.png" TargetMode="External"/><Relationship Id="rId374" Type="http://schemas.openxmlformats.org/officeDocument/2006/relationships/image" Target="../media/image187.png"/><Relationship Id="rId581" Type="http://schemas.openxmlformats.org/officeDocument/2006/relationships/hyperlink" Target="https://natalie.tf/wp-content/uploads/2023/10/DLV3_Icon_Weapon_307154_01.png" TargetMode="External"/><Relationship Id="rId2055" Type="http://schemas.openxmlformats.org/officeDocument/2006/relationships/image" Target="../media/image1023.png"/><Relationship Id="rId2262" Type="http://schemas.openxmlformats.org/officeDocument/2006/relationships/hyperlink" Target="https://natalie.tf/wp-content/uploads/2023/10/DLV3_Icon_ADV_110252_01_r05.png" TargetMode="External"/><Relationship Id="rId234" Type="http://schemas.openxmlformats.org/officeDocument/2006/relationships/image" Target="../media/image117.png"/><Relationship Id="rId679" Type="http://schemas.openxmlformats.org/officeDocument/2006/relationships/hyperlink" Target="https://natalie.tf/wp-content/uploads/2023/11/DLV3_Icon_Affinity_Lance.png" TargetMode="External"/><Relationship Id="rId886" Type="http://schemas.openxmlformats.org/officeDocument/2006/relationships/hyperlink" Target="https://natalie.tf/wp-content/uploads/2023/10/DLV3_Icon_Ability_1010006.png" TargetMode="External"/><Relationship Id="rId2567" Type="http://schemas.openxmlformats.org/officeDocument/2006/relationships/image" Target="../media/image1279.png"/><Relationship Id="rId2774" Type="http://schemas.openxmlformats.org/officeDocument/2006/relationships/hyperlink" Target="https://natalie.tf/wp-content/uploads/2023/10/DLV3_Icon_DRA_210036_01.png" TargetMode="External"/><Relationship Id="rId2" Type="http://schemas.openxmlformats.org/officeDocument/2006/relationships/image" Target="../media/image1.png"/><Relationship Id="rId441" Type="http://schemas.openxmlformats.org/officeDocument/2006/relationships/hyperlink" Target="https://natalie.tf/wp-content/uploads/2023/10/DLV3_Icon_Weapon_309024_01.png" TargetMode="External"/><Relationship Id="rId539" Type="http://schemas.openxmlformats.org/officeDocument/2006/relationships/hyperlink" Target="https://natalie.tf/wp-content/uploads/2023/10/DLV3_Icon_Weapon_304131_01.png" TargetMode="External"/><Relationship Id="rId746" Type="http://schemas.openxmlformats.org/officeDocument/2006/relationships/image" Target="../media/image373.png"/><Relationship Id="rId1071" Type="http://schemas.openxmlformats.org/officeDocument/2006/relationships/hyperlink" Target="https://natalie.tf/wp-content/uploads/2023/10/DLV3_Icon_WP_400412_01.png" TargetMode="External"/><Relationship Id="rId1169" Type="http://schemas.openxmlformats.org/officeDocument/2006/relationships/hyperlink" Target="https://natalie.tf/wp-content/uploads/2023/10/DLV3_Icon_WP_400433_01.png" TargetMode="External"/><Relationship Id="rId1376" Type="http://schemas.openxmlformats.org/officeDocument/2006/relationships/hyperlink" Target="https://natalie.tf/wp-content/uploads/2023/10/DLV3_Icon_Ability_1020036.png" TargetMode="External"/><Relationship Id="rId1583" Type="http://schemas.openxmlformats.org/officeDocument/2006/relationships/image" Target="../media/image787.png"/><Relationship Id="rId2122" Type="http://schemas.openxmlformats.org/officeDocument/2006/relationships/hyperlink" Target="https://natalie.tf/wp-content/uploads/2023/10/DLV3_Icon_ADV_100032_04_r05.png" TargetMode="External"/><Relationship Id="rId2427" Type="http://schemas.openxmlformats.org/officeDocument/2006/relationships/image" Target="../media/image1209.png"/><Relationship Id="rId2981" Type="http://schemas.openxmlformats.org/officeDocument/2006/relationships/hyperlink" Target="https://natalie.tf/wp-content/uploads/2023/11/DLV3_Icon_NPC_120053_01.png" TargetMode="External"/><Relationship Id="rId301" Type="http://schemas.openxmlformats.org/officeDocument/2006/relationships/hyperlink" Target="https://natalie.tf/wp-content/uploads/2023/10/DLV3_Icon_Weapon_302124_01.png" TargetMode="External"/><Relationship Id="rId953" Type="http://schemas.openxmlformats.org/officeDocument/2006/relationships/image" Target="../media/image473.png"/><Relationship Id="rId1029" Type="http://schemas.openxmlformats.org/officeDocument/2006/relationships/hyperlink" Target="https://natalie.tf/wp-content/uploads/2023/10/DLV3_Icon_WP_400073_01.png" TargetMode="External"/><Relationship Id="rId1236" Type="http://schemas.openxmlformats.org/officeDocument/2006/relationships/hyperlink" Target="https://natalie.tf/wp-content/uploads/2023/10/DLV3_Icon_WP_400459_01.png" TargetMode="External"/><Relationship Id="rId1790" Type="http://schemas.openxmlformats.org/officeDocument/2006/relationships/hyperlink" Target="https://natalie.tf/wp-content/uploads/2023/10/DLV3_Icon_WP_400464_02.png" TargetMode="External"/><Relationship Id="rId1888" Type="http://schemas.openxmlformats.org/officeDocument/2006/relationships/hyperlink" Target="https://natalie.tf/wp-content/uploads/2023/10/DLV3_Icon_WP_400015_01.png" TargetMode="External"/><Relationship Id="rId2634" Type="http://schemas.openxmlformats.org/officeDocument/2006/relationships/hyperlink" Target="https://natalie.tf/wp-content/uploads/2023/10/DLV3_Icon_ADV_110337_01_r05.png" TargetMode="External"/><Relationship Id="rId2841" Type="http://schemas.openxmlformats.org/officeDocument/2006/relationships/image" Target="../media/image1416.png"/><Relationship Id="rId2939" Type="http://schemas.openxmlformats.org/officeDocument/2006/relationships/image" Target="../media/image1465.png"/><Relationship Id="rId82" Type="http://schemas.openxmlformats.org/officeDocument/2006/relationships/image" Target="../media/image41.png"/><Relationship Id="rId606" Type="http://schemas.openxmlformats.org/officeDocument/2006/relationships/image" Target="../media/image303.png"/><Relationship Id="rId813" Type="http://schemas.openxmlformats.org/officeDocument/2006/relationships/hyperlink" Target="https://natalie.tf/wp-content/uploads/2023/10/DLV3_Icon_WP_400099_01.png" TargetMode="External"/><Relationship Id="rId1443" Type="http://schemas.openxmlformats.org/officeDocument/2006/relationships/image" Target="../media/image717.png"/><Relationship Id="rId1650" Type="http://schemas.openxmlformats.org/officeDocument/2006/relationships/hyperlink" Target="https://natalie.tf/wp-content/uploads/2023/10/DLV3_Icon_WP_400385_02.png" TargetMode="External"/><Relationship Id="rId1748" Type="http://schemas.openxmlformats.org/officeDocument/2006/relationships/hyperlink" Target="https://natalie.tf/wp-content/uploads/2023/10/DLV3_Icon_WP_400444_02.png" TargetMode="External"/><Relationship Id="rId2701" Type="http://schemas.openxmlformats.org/officeDocument/2006/relationships/image" Target="../media/image1346.png"/><Relationship Id="rId1303" Type="http://schemas.openxmlformats.org/officeDocument/2006/relationships/image" Target="../media/image647.png"/><Relationship Id="rId1510" Type="http://schemas.openxmlformats.org/officeDocument/2006/relationships/hyperlink" Target="https://natalie.tf/wp-content/uploads/2023/10/DLV3_Icon_WP_400053_01.png" TargetMode="External"/><Relationship Id="rId1955" Type="http://schemas.openxmlformats.org/officeDocument/2006/relationships/image" Target="../media/image973.png"/><Relationship Id="rId1608" Type="http://schemas.openxmlformats.org/officeDocument/2006/relationships/hyperlink" Target="https://natalie.tf/wp-content/uploads/2023/10/DLV3_Icon_Ability_1080003.png" TargetMode="External"/><Relationship Id="rId1815" Type="http://schemas.openxmlformats.org/officeDocument/2006/relationships/image" Target="../media/image903.png"/><Relationship Id="rId3030" Type="http://schemas.openxmlformats.org/officeDocument/2006/relationships/image" Target="../media/image1510.png"/><Relationship Id="rId189" Type="http://schemas.openxmlformats.org/officeDocument/2006/relationships/hyperlink" Target="https://natalie.tf/wp-content/uploads/2023/10/DLV3_Icon_Weapon_304014_01.png" TargetMode="External"/><Relationship Id="rId396" Type="http://schemas.openxmlformats.org/officeDocument/2006/relationships/image" Target="../media/image198.png"/><Relationship Id="rId2077" Type="http://schemas.openxmlformats.org/officeDocument/2006/relationships/image" Target="../media/image1034.png"/><Relationship Id="rId2284" Type="http://schemas.openxmlformats.org/officeDocument/2006/relationships/hyperlink" Target="https://natalie.tf/wp-content/uploads/2023/10/DLV3_Icon_ADV_100003_07_r05.png" TargetMode="External"/><Relationship Id="rId2491" Type="http://schemas.openxmlformats.org/officeDocument/2006/relationships/image" Target="../media/image1241.png"/><Relationship Id="rId256" Type="http://schemas.openxmlformats.org/officeDocument/2006/relationships/image" Target="../media/image128.png"/><Relationship Id="rId463" Type="http://schemas.openxmlformats.org/officeDocument/2006/relationships/hyperlink" Target="https://natalie.tf/wp-content/uploads/2023/10/DLV3_Icon_Weapon_302129_01.png" TargetMode="External"/><Relationship Id="rId670" Type="http://schemas.openxmlformats.org/officeDocument/2006/relationships/image" Target="../media/image335.png"/><Relationship Id="rId1093" Type="http://schemas.openxmlformats.org/officeDocument/2006/relationships/hyperlink" Target="https://natalie.tf/wp-content/uploads/2023/10/DLV3_Icon_WP_400409_01.png" TargetMode="External"/><Relationship Id="rId2144" Type="http://schemas.openxmlformats.org/officeDocument/2006/relationships/hyperlink" Target="https://natalie.tf/wp-content/uploads/2023/10/DLV3_Icon_ADV_110346_01_r05.png" TargetMode="External"/><Relationship Id="rId2351" Type="http://schemas.openxmlformats.org/officeDocument/2006/relationships/image" Target="../media/image1171.png"/><Relationship Id="rId2589" Type="http://schemas.openxmlformats.org/officeDocument/2006/relationships/image" Target="../media/image1290.png"/><Relationship Id="rId2796" Type="http://schemas.openxmlformats.org/officeDocument/2006/relationships/hyperlink" Target="https://natalie.tf/wp-content/uploads/2023/10/DLV3_Icon_DRA_210085_01.png" TargetMode="External"/><Relationship Id="rId116" Type="http://schemas.openxmlformats.org/officeDocument/2006/relationships/image" Target="../media/image58.png"/><Relationship Id="rId323" Type="http://schemas.openxmlformats.org/officeDocument/2006/relationships/hyperlink" Target="https://natalie.tf/wp-content/uploads/2023/10/DLV3_Icon_Weapon_304123_01.png" TargetMode="External"/><Relationship Id="rId530" Type="http://schemas.openxmlformats.org/officeDocument/2006/relationships/image" Target="../media/image265.png"/><Relationship Id="rId768" Type="http://schemas.openxmlformats.org/officeDocument/2006/relationships/image" Target="../media/image384.png"/><Relationship Id="rId975" Type="http://schemas.openxmlformats.org/officeDocument/2006/relationships/hyperlink" Target="https://natalie.tf/wp-content/uploads/2023/10/DLV3_Icon_WP_400083_01.png" TargetMode="External"/><Relationship Id="rId1160" Type="http://schemas.openxmlformats.org/officeDocument/2006/relationships/image" Target="../media/image576.png"/><Relationship Id="rId1398" Type="http://schemas.openxmlformats.org/officeDocument/2006/relationships/hyperlink" Target="https://natalie.tf/wp-content/uploads/2023/10/DLV3_Icon_WP_400159_02.png" TargetMode="External"/><Relationship Id="rId2004" Type="http://schemas.openxmlformats.org/officeDocument/2006/relationships/hyperlink" Target="https://natalie.tf/wp-content/uploads/2023/10/DLV3_Icon_WP_400001_02.png" TargetMode="External"/><Relationship Id="rId2211" Type="http://schemas.openxmlformats.org/officeDocument/2006/relationships/image" Target="../media/image1101.png"/><Relationship Id="rId2449" Type="http://schemas.openxmlformats.org/officeDocument/2006/relationships/image" Target="../media/image1220.png"/><Relationship Id="rId2656" Type="http://schemas.openxmlformats.org/officeDocument/2006/relationships/hyperlink" Target="https://natalie.tf/wp-content/uploads/2023/11/DLV3_Icon_ADV_Custom_Ciella.png" TargetMode="External"/><Relationship Id="rId2863" Type="http://schemas.openxmlformats.org/officeDocument/2006/relationships/image" Target="../media/image1427.png"/><Relationship Id="rId628" Type="http://schemas.openxmlformats.org/officeDocument/2006/relationships/image" Target="../media/image314.png"/><Relationship Id="rId835" Type="http://schemas.openxmlformats.org/officeDocument/2006/relationships/hyperlink" Target="https://natalie.tf/wp-content/uploads/2023/10/DLV3_Icon_WP_400110_02.png" TargetMode="External"/><Relationship Id="rId1258" Type="http://schemas.openxmlformats.org/officeDocument/2006/relationships/hyperlink" Target="https://natalie.tf/wp-content/uploads/2023/10/DLV3_Icon_WP_400465_02.png" TargetMode="External"/><Relationship Id="rId1465" Type="http://schemas.openxmlformats.org/officeDocument/2006/relationships/image" Target="../media/image728.png"/><Relationship Id="rId1672" Type="http://schemas.openxmlformats.org/officeDocument/2006/relationships/hyperlink" Target="https://natalie.tf/wp-content/uploads/2023/10/DLV3_Icon_WP_400394_02.png" TargetMode="External"/><Relationship Id="rId2309" Type="http://schemas.openxmlformats.org/officeDocument/2006/relationships/image" Target="../media/image1150.png"/><Relationship Id="rId2516" Type="http://schemas.openxmlformats.org/officeDocument/2006/relationships/hyperlink" Target="https://natalie.tf/wp-content/uploads/2023/10/DLV3_Icon_ADV_100007_10_r05.png" TargetMode="External"/><Relationship Id="rId2723" Type="http://schemas.openxmlformats.org/officeDocument/2006/relationships/image" Target="../media/image1357.png"/><Relationship Id="rId1020" Type="http://schemas.openxmlformats.org/officeDocument/2006/relationships/image" Target="../media/image506.png"/><Relationship Id="rId1118" Type="http://schemas.openxmlformats.org/officeDocument/2006/relationships/image" Target="../media/image555.png"/><Relationship Id="rId1325" Type="http://schemas.openxmlformats.org/officeDocument/2006/relationships/image" Target="../media/image658.png"/><Relationship Id="rId1532" Type="http://schemas.openxmlformats.org/officeDocument/2006/relationships/hyperlink" Target="https://natalie.tf/wp-content/uploads/2023/10/DLV3_Icon_WP_400102_02.png" TargetMode="External"/><Relationship Id="rId1977" Type="http://schemas.openxmlformats.org/officeDocument/2006/relationships/image" Target="../media/image984.png"/><Relationship Id="rId2930" Type="http://schemas.openxmlformats.org/officeDocument/2006/relationships/hyperlink" Target="https://natalie.tf/wp-content/uploads/2023/11/DLV3_Icon_DRA_Custom_Fallen_Gabriel.png" TargetMode="External"/><Relationship Id="rId902" Type="http://schemas.openxmlformats.org/officeDocument/2006/relationships/hyperlink" Target="https://natalie.tf/wp-content/uploads/2023/10/DLV3_Icon_WP_400139_02.png" TargetMode="External"/><Relationship Id="rId1837" Type="http://schemas.openxmlformats.org/officeDocument/2006/relationships/image" Target="../media/image914.png"/><Relationship Id="rId31" Type="http://schemas.openxmlformats.org/officeDocument/2006/relationships/hyperlink" Target="https://natalie.tf/wp-content/uploads/2023/10/DLV3_Icon_Skill_020.png" TargetMode="External"/><Relationship Id="rId2099" Type="http://schemas.openxmlformats.org/officeDocument/2006/relationships/image" Target="../media/image1045.png"/><Relationship Id="rId3052" Type="http://schemas.openxmlformats.org/officeDocument/2006/relationships/image" Target="../media/image1521.png"/><Relationship Id="rId180" Type="http://schemas.openxmlformats.org/officeDocument/2006/relationships/image" Target="../media/image90.png"/><Relationship Id="rId278" Type="http://schemas.openxmlformats.org/officeDocument/2006/relationships/image" Target="../media/image139.png"/><Relationship Id="rId1904" Type="http://schemas.openxmlformats.org/officeDocument/2006/relationships/hyperlink" Target="https://natalie.tf/wp-content/uploads/2023/10/DLV3_Icon_WP_400018_02.png" TargetMode="External"/><Relationship Id="rId485" Type="http://schemas.openxmlformats.org/officeDocument/2006/relationships/hyperlink" Target="https://natalie.tf/wp-content/uploads/2023/10/DLV3_Icon_Weapon_304128_01.png" TargetMode="External"/><Relationship Id="rId692" Type="http://schemas.openxmlformats.org/officeDocument/2006/relationships/image" Target="../media/image346.png"/><Relationship Id="rId2166" Type="http://schemas.openxmlformats.org/officeDocument/2006/relationships/hyperlink" Target="https://natalie.tf/wp-content/uploads/2023/10/DLV3_Icon_ADV_110006_01_r05.png" TargetMode="External"/><Relationship Id="rId2373" Type="http://schemas.openxmlformats.org/officeDocument/2006/relationships/image" Target="../media/image1182.png"/><Relationship Id="rId2580" Type="http://schemas.openxmlformats.org/officeDocument/2006/relationships/hyperlink" Target="https://natalie.tf/wp-content/uploads/2023/10/DLV3_Icon_ADV_100013_06_r05.png" TargetMode="External"/><Relationship Id="rId138" Type="http://schemas.openxmlformats.org/officeDocument/2006/relationships/image" Target="../media/image69.png"/><Relationship Id="rId345" Type="http://schemas.openxmlformats.org/officeDocument/2006/relationships/hyperlink" Target="https://natalie.tf/wp-content/uploads/2023/10/DLV3_Icon_Weapon_306124_01.png" TargetMode="External"/><Relationship Id="rId552" Type="http://schemas.openxmlformats.org/officeDocument/2006/relationships/image" Target="../media/image276.png"/><Relationship Id="rId997" Type="http://schemas.openxmlformats.org/officeDocument/2006/relationships/hyperlink" Target="https://natalie.tf/wp-content/uploads/2023/10/DLV3_Icon_WP_400245_01.png" TargetMode="External"/><Relationship Id="rId1182" Type="http://schemas.openxmlformats.org/officeDocument/2006/relationships/image" Target="../media/image587.png"/><Relationship Id="rId2026" Type="http://schemas.openxmlformats.org/officeDocument/2006/relationships/hyperlink" Target="https://natalie.tf/wp-content/uploads/2023/11/DLV3_Icon_Custom_Dragons_Psalm_Crude_Edit.png" TargetMode="External"/><Relationship Id="rId2233" Type="http://schemas.openxmlformats.org/officeDocument/2006/relationships/image" Target="../media/image1112.png"/><Relationship Id="rId2440" Type="http://schemas.openxmlformats.org/officeDocument/2006/relationships/hyperlink" Target="https://natalie.tf/wp-content/uploads/2023/10/DLV3_Icon_ADV_110369_01_r05.png" TargetMode="External"/><Relationship Id="rId2678" Type="http://schemas.openxmlformats.org/officeDocument/2006/relationships/hyperlink" Target="https://natalie.tf/wp-content/uploads/2023/10/DLV3_Icon_DRA_210057_01.png" TargetMode="External"/><Relationship Id="rId2885" Type="http://schemas.openxmlformats.org/officeDocument/2006/relationships/image" Target="../media/image1438.png"/><Relationship Id="rId205" Type="http://schemas.openxmlformats.org/officeDocument/2006/relationships/hyperlink" Target="https://natalie.tf/wp-content/uploads/2023/10/DLV3_Icon_Weapon_303065_01.png" TargetMode="External"/><Relationship Id="rId412" Type="http://schemas.openxmlformats.org/officeDocument/2006/relationships/image" Target="../media/image206.png"/><Relationship Id="rId857" Type="http://schemas.openxmlformats.org/officeDocument/2006/relationships/hyperlink" Target="https://natalie.tf/wp-content/uploads/2023/10/DLV3_Icon_WP_400118_01.png" TargetMode="External"/><Relationship Id="rId1042" Type="http://schemas.openxmlformats.org/officeDocument/2006/relationships/image" Target="../media/image517.png"/><Relationship Id="rId1487" Type="http://schemas.openxmlformats.org/officeDocument/2006/relationships/image" Target="../media/image739.png"/><Relationship Id="rId1694" Type="http://schemas.openxmlformats.org/officeDocument/2006/relationships/hyperlink" Target="https://natalie.tf/wp-content/uploads/2023/10/DLV3_Icon_WP_400286_01.png" TargetMode="External"/><Relationship Id="rId2300" Type="http://schemas.openxmlformats.org/officeDocument/2006/relationships/hyperlink" Target="https://natalie.tf/wp-content/uploads/2023/10/DLV3_Icon_ADV_110349_04_r05.png" TargetMode="External"/><Relationship Id="rId2538" Type="http://schemas.openxmlformats.org/officeDocument/2006/relationships/hyperlink" Target="https://natalie.tf/wp-content/uploads/2023/10/DLV3_Icon_ADV_110046_01_r05.png" TargetMode="External"/><Relationship Id="rId2745" Type="http://schemas.openxmlformats.org/officeDocument/2006/relationships/image" Target="../media/image1368.png"/><Relationship Id="rId2952" Type="http://schemas.openxmlformats.org/officeDocument/2006/relationships/image" Target="../media/image1471.png"/><Relationship Id="rId717" Type="http://schemas.openxmlformats.org/officeDocument/2006/relationships/hyperlink" Target="https://natalie.tf/wp-content/uploads/2023/10/DLV3_Icon_Ability_1010110.png" TargetMode="External"/><Relationship Id="rId924" Type="http://schemas.openxmlformats.org/officeDocument/2006/relationships/hyperlink" Target="https://natalie.tf/wp-content/uploads/2023/10/DLV3_Icon_Ability_1070002.png" TargetMode="External"/><Relationship Id="rId1347" Type="http://schemas.openxmlformats.org/officeDocument/2006/relationships/image" Target="../media/image669.png"/><Relationship Id="rId1554" Type="http://schemas.openxmlformats.org/officeDocument/2006/relationships/hyperlink" Target="https://natalie.tf/wp-content/uploads/2023/10/DLV3_Icon_WP_400127_01.png" TargetMode="External"/><Relationship Id="rId1761" Type="http://schemas.openxmlformats.org/officeDocument/2006/relationships/image" Target="../media/image876.png"/><Relationship Id="rId1999" Type="http://schemas.openxmlformats.org/officeDocument/2006/relationships/image" Target="../media/image995.png"/><Relationship Id="rId2605" Type="http://schemas.openxmlformats.org/officeDocument/2006/relationships/image" Target="../media/image1298.png"/><Relationship Id="rId2812" Type="http://schemas.openxmlformats.org/officeDocument/2006/relationships/hyperlink" Target="https://natalie.tf/wp-content/uploads/2023/10/DLV3_Icon_DRA_210043_01.png" TargetMode="External"/><Relationship Id="rId53" Type="http://schemas.openxmlformats.org/officeDocument/2006/relationships/hyperlink" Target="https://natalie.tf/wp-content/uploads/2023/10/DLV3_Icon_Weapon_302001_01.png" TargetMode="External"/><Relationship Id="rId1207" Type="http://schemas.openxmlformats.org/officeDocument/2006/relationships/hyperlink" Target="https://natalie.tf/wp-content/uploads/2023/10/DLV3_Icon_WP_400166_02.png" TargetMode="External"/><Relationship Id="rId1414" Type="http://schemas.openxmlformats.org/officeDocument/2006/relationships/hyperlink" Target="https://natalie.tf/wp-content/uploads/2023/10/DLV3_Icon_WP_400035_02.png" TargetMode="External"/><Relationship Id="rId1621" Type="http://schemas.openxmlformats.org/officeDocument/2006/relationships/image" Target="../media/image806.png"/><Relationship Id="rId1859" Type="http://schemas.openxmlformats.org/officeDocument/2006/relationships/image" Target="../media/image925.png"/><Relationship Id="rId3074" Type="http://schemas.openxmlformats.org/officeDocument/2006/relationships/image" Target="../media/image1532.png"/><Relationship Id="rId1719" Type="http://schemas.openxmlformats.org/officeDocument/2006/relationships/image" Target="../media/image855.png"/><Relationship Id="rId1926" Type="http://schemas.openxmlformats.org/officeDocument/2006/relationships/hyperlink" Target="https://natalie.tf/wp-content/uploads/2023/10/DLV3_Icon_WP_400024_01.png" TargetMode="External"/><Relationship Id="rId2090" Type="http://schemas.openxmlformats.org/officeDocument/2006/relationships/hyperlink" Target="https://natalie.tf/wp-content/uploads/2023/10/DLV3_Icon_ADV_110001_01_r05.png" TargetMode="External"/><Relationship Id="rId2188" Type="http://schemas.openxmlformats.org/officeDocument/2006/relationships/hyperlink" Target="https://natalie.tf/wp-content/uploads/2023/10/DLV3_Icon_ADV_110360_01_r05.png" TargetMode="External"/><Relationship Id="rId2395" Type="http://schemas.openxmlformats.org/officeDocument/2006/relationships/image" Target="../media/image1193.png"/><Relationship Id="rId367" Type="http://schemas.openxmlformats.org/officeDocument/2006/relationships/hyperlink" Target="https://natalie.tf/wp-content/uploads/2023/10/DLV3_Icon_Weapon_308126_01.png" TargetMode="External"/><Relationship Id="rId574" Type="http://schemas.openxmlformats.org/officeDocument/2006/relationships/image" Target="../media/image287.png"/><Relationship Id="rId2048" Type="http://schemas.openxmlformats.org/officeDocument/2006/relationships/hyperlink" Target="https://natalie.tf/wp-content/uploads/2023/10/DLV3_Icon_ADV_100029_02_r05.png" TargetMode="External"/><Relationship Id="rId2255" Type="http://schemas.openxmlformats.org/officeDocument/2006/relationships/image" Target="../media/image1123.png"/><Relationship Id="rId3001" Type="http://schemas.openxmlformats.org/officeDocument/2006/relationships/hyperlink" Target="https://natalie.tf/wp-content/uploads/2023/11/DLV3_Icon_NPC_100038_01.png" TargetMode="External"/><Relationship Id="rId227" Type="http://schemas.openxmlformats.org/officeDocument/2006/relationships/hyperlink" Target="https://natalie.tf/wp-content/uploads/2023/10/DLV3_Icon_Weapon_306071_01.png" TargetMode="External"/><Relationship Id="rId781" Type="http://schemas.openxmlformats.org/officeDocument/2006/relationships/hyperlink" Target="https://natalie.tf/wp-content/uploads/2023/10/DLV3_Icon_WP_400072_01.png" TargetMode="External"/><Relationship Id="rId879" Type="http://schemas.openxmlformats.org/officeDocument/2006/relationships/image" Target="../media/image439.png"/><Relationship Id="rId2462" Type="http://schemas.openxmlformats.org/officeDocument/2006/relationships/hyperlink" Target="https://natalie.tf/wp-content/uploads/2023/10/DLV3_Icon_ADV_110042_01_r05.png" TargetMode="External"/><Relationship Id="rId2767" Type="http://schemas.openxmlformats.org/officeDocument/2006/relationships/image" Target="../media/image1379.png"/><Relationship Id="rId434" Type="http://schemas.openxmlformats.org/officeDocument/2006/relationships/image" Target="../media/image217.png"/><Relationship Id="rId641" Type="http://schemas.openxmlformats.org/officeDocument/2006/relationships/hyperlink" Target="https://natalie.tf/wp-content/uploads/2023/10/DLV3_Icon_WP_400177_01.png" TargetMode="External"/><Relationship Id="rId739" Type="http://schemas.openxmlformats.org/officeDocument/2006/relationships/hyperlink" Target="https://natalie.tf/wp-content/uploads/2023/10/DLV3_Icon_WP_400063_01.png" TargetMode="External"/><Relationship Id="rId1064" Type="http://schemas.openxmlformats.org/officeDocument/2006/relationships/image" Target="../media/image528.png"/><Relationship Id="rId1271" Type="http://schemas.openxmlformats.org/officeDocument/2006/relationships/image" Target="../media/image631.png"/><Relationship Id="rId1369" Type="http://schemas.openxmlformats.org/officeDocument/2006/relationships/image" Target="../media/image680.png"/><Relationship Id="rId1576" Type="http://schemas.openxmlformats.org/officeDocument/2006/relationships/hyperlink" Target="https://natalie.tf/wp-content/uploads/2023/10/DLV3_Icon_WP_400093_02.png" TargetMode="External"/><Relationship Id="rId2115" Type="http://schemas.openxmlformats.org/officeDocument/2006/relationships/image" Target="../media/image1053.png"/><Relationship Id="rId2322" Type="http://schemas.openxmlformats.org/officeDocument/2006/relationships/hyperlink" Target="https://natalie.tf/wp-content/uploads/2023/10/DLV3_Icon_ADV_100003_01_r05.png" TargetMode="External"/><Relationship Id="rId2974" Type="http://schemas.openxmlformats.org/officeDocument/2006/relationships/image" Target="../media/image1482.png"/><Relationship Id="rId501" Type="http://schemas.openxmlformats.org/officeDocument/2006/relationships/hyperlink" Target="https://natalie.tf/wp-content/uploads/2023/10/DLV3_Icon_Weapon_303130_01.png" TargetMode="External"/><Relationship Id="rId946" Type="http://schemas.openxmlformats.org/officeDocument/2006/relationships/hyperlink" Target="https://natalie.tf/wp-content/uploads/2023/10/DLV3_Icon_WP_400157_01.png" TargetMode="External"/><Relationship Id="rId1131" Type="http://schemas.openxmlformats.org/officeDocument/2006/relationships/hyperlink" Target="https://natalie.tf/wp-content/uploads/2023/10/DLV3_Icon_WP_400420_02.png" TargetMode="External"/><Relationship Id="rId1229" Type="http://schemas.openxmlformats.org/officeDocument/2006/relationships/image" Target="../media/image610.png"/><Relationship Id="rId1783" Type="http://schemas.openxmlformats.org/officeDocument/2006/relationships/image" Target="../media/image887.png"/><Relationship Id="rId1990" Type="http://schemas.openxmlformats.org/officeDocument/2006/relationships/hyperlink" Target="https://natalie.tf/wp-content/uploads/2023/10/DLV3_Icon_WP_400156_01.png" TargetMode="External"/><Relationship Id="rId2627" Type="http://schemas.openxmlformats.org/officeDocument/2006/relationships/image" Target="../media/image1309.png"/><Relationship Id="rId2834" Type="http://schemas.openxmlformats.org/officeDocument/2006/relationships/hyperlink" Target="https://natalie.tf/wp-content/uploads/2023/10/DLV3_Icon_DRA_210144_01.png" TargetMode="External"/><Relationship Id="rId75" Type="http://schemas.openxmlformats.org/officeDocument/2006/relationships/hyperlink" Target="https://natalie.tf/wp-content/uploads/2023/10/DLV3_Icon_Weapon_304025_01.png" TargetMode="External"/><Relationship Id="rId806" Type="http://schemas.openxmlformats.org/officeDocument/2006/relationships/image" Target="../media/image403.png"/><Relationship Id="rId1436" Type="http://schemas.openxmlformats.org/officeDocument/2006/relationships/hyperlink" Target="https://natalie.tf/wp-content/uploads/2023/10/DLV3_Icon_WP_400040_01.png" TargetMode="External"/><Relationship Id="rId1643" Type="http://schemas.openxmlformats.org/officeDocument/2006/relationships/image" Target="../media/image817.png"/><Relationship Id="rId1850" Type="http://schemas.openxmlformats.org/officeDocument/2006/relationships/hyperlink" Target="https://natalie.tf/wp-content/uploads/2023/10/DLV3_Icon_WP_400498_02.png" TargetMode="External"/><Relationship Id="rId2901" Type="http://schemas.openxmlformats.org/officeDocument/2006/relationships/image" Target="../media/image1446.png"/><Relationship Id="rId1503" Type="http://schemas.openxmlformats.org/officeDocument/2006/relationships/image" Target="../media/image747.png"/><Relationship Id="rId1710" Type="http://schemas.openxmlformats.org/officeDocument/2006/relationships/hyperlink" Target="https://natalie.tf/wp-content/uploads/2023/10/DLV3_Icon_WP_400169_01.png" TargetMode="External"/><Relationship Id="rId1948" Type="http://schemas.openxmlformats.org/officeDocument/2006/relationships/hyperlink" Target="https://natalie.tf/wp-content/uploads/2023/10/DLV3_Icon_WP_400029_02.png" TargetMode="External"/><Relationship Id="rId291" Type="http://schemas.openxmlformats.org/officeDocument/2006/relationships/hyperlink" Target="https://natalie.tf/wp-content/uploads/2023/10/DLV3_Icon_Weapon_306121_01.png" TargetMode="External"/><Relationship Id="rId1808" Type="http://schemas.openxmlformats.org/officeDocument/2006/relationships/hyperlink" Target="https://natalie.tf/wp-content/uploads/2023/10/DLV3_Icon_WP_400477_01.png" TargetMode="External"/><Relationship Id="rId3023" Type="http://schemas.openxmlformats.org/officeDocument/2006/relationships/hyperlink" Target="https://natalie.tf/wp-content/uploads/2023/11/DLV3_Icon_NPC_Custom_120169_01.png" TargetMode="External"/><Relationship Id="rId151" Type="http://schemas.openxmlformats.org/officeDocument/2006/relationships/hyperlink" Target="https://natalie.tf/wp-content/uploads/2023/10/DLV3_Icon_Weapon_303028_01.png" TargetMode="External"/><Relationship Id="rId389" Type="http://schemas.openxmlformats.org/officeDocument/2006/relationships/hyperlink" Target="https://natalie.tf/wp-content/uploads/2023/10/DLV3_Icon_Weapon_301120_01.png" TargetMode="External"/><Relationship Id="rId596" Type="http://schemas.openxmlformats.org/officeDocument/2006/relationships/image" Target="../media/image298.png"/><Relationship Id="rId2277" Type="http://schemas.openxmlformats.org/officeDocument/2006/relationships/image" Target="../media/image1134.png"/><Relationship Id="rId2484" Type="http://schemas.openxmlformats.org/officeDocument/2006/relationships/hyperlink" Target="https://natalie.tf/wp-content/uploads/2023/10/DLV3_Icon_ADV_100054_02_r05.png" TargetMode="External"/><Relationship Id="rId2691" Type="http://schemas.openxmlformats.org/officeDocument/2006/relationships/image" Target="../media/image1341.png"/><Relationship Id="rId249" Type="http://schemas.openxmlformats.org/officeDocument/2006/relationships/hyperlink" Target="https://natalie.tf/wp-content/uploads/2023/10/DLV3_Icon_Weapon_301117_01.png" TargetMode="External"/><Relationship Id="rId456" Type="http://schemas.openxmlformats.org/officeDocument/2006/relationships/image" Target="../media/image228.png"/><Relationship Id="rId663" Type="http://schemas.openxmlformats.org/officeDocument/2006/relationships/hyperlink" Target="https://natalie.tf/wp-content/uploads/2023/10/DLV3_Icon_Ability_1010126.png" TargetMode="External"/><Relationship Id="rId870" Type="http://schemas.openxmlformats.org/officeDocument/2006/relationships/hyperlink" Target="https://natalie.tf/wp-content/uploads/2023/10/DLV3_Icon_WP_400125_01.png" TargetMode="External"/><Relationship Id="rId1086" Type="http://schemas.openxmlformats.org/officeDocument/2006/relationships/image" Target="../media/image539.png"/><Relationship Id="rId1293" Type="http://schemas.openxmlformats.org/officeDocument/2006/relationships/image" Target="../media/image642.png"/><Relationship Id="rId2137" Type="http://schemas.openxmlformats.org/officeDocument/2006/relationships/image" Target="../media/image1064.png"/><Relationship Id="rId2344" Type="http://schemas.openxmlformats.org/officeDocument/2006/relationships/hyperlink" Target="https://natalie.tf/wp-content/uploads/2023/10/DLV3_Icon_ADV_110314_01_r05.png" TargetMode="External"/><Relationship Id="rId2551" Type="http://schemas.openxmlformats.org/officeDocument/2006/relationships/image" Target="../media/image1271.png"/><Relationship Id="rId2789" Type="http://schemas.openxmlformats.org/officeDocument/2006/relationships/image" Target="../media/image1390.png"/><Relationship Id="rId2996" Type="http://schemas.openxmlformats.org/officeDocument/2006/relationships/image" Target="../media/image1493.png"/><Relationship Id="rId109" Type="http://schemas.openxmlformats.org/officeDocument/2006/relationships/hyperlink" Target="https://natalie.tf/wp-content/uploads/2023/10/DLV3_Icon_Weapon_304012_01.png" TargetMode="External"/><Relationship Id="rId316" Type="http://schemas.openxmlformats.org/officeDocument/2006/relationships/image" Target="../media/image158.png"/><Relationship Id="rId523" Type="http://schemas.openxmlformats.org/officeDocument/2006/relationships/hyperlink" Target="https://natalie.tf/wp-content/uploads/2023/10/DLV3_Icon_Weapon_305138_01.png" TargetMode="External"/><Relationship Id="rId968" Type="http://schemas.openxmlformats.org/officeDocument/2006/relationships/hyperlink" Target="https://natalie.tf/wp-content/uploads/2023/10/DLV3_Icon_WP_400280_02.png" TargetMode="External"/><Relationship Id="rId1153" Type="http://schemas.openxmlformats.org/officeDocument/2006/relationships/hyperlink" Target="https://natalie.tf/wp-content/uploads/2023/10/DLV3_Icon_WP_400423_01.png" TargetMode="External"/><Relationship Id="rId1598" Type="http://schemas.openxmlformats.org/officeDocument/2006/relationships/hyperlink" Target="https://natalie.tf/wp-content/uploads/2023/10/DLV3_Icon_WP_400054_02.png" TargetMode="External"/><Relationship Id="rId2204" Type="http://schemas.openxmlformats.org/officeDocument/2006/relationships/hyperlink" Target="https://natalie.tf/wp-content/uploads/2023/10/DLV3_Icon_ADV_110253_01_r05.png" TargetMode="External"/><Relationship Id="rId2649" Type="http://schemas.openxmlformats.org/officeDocument/2006/relationships/image" Target="../media/image1320.png"/><Relationship Id="rId2856" Type="http://schemas.openxmlformats.org/officeDocument/2006/relationships/hyperlink" Target="https://natalie.tf/wp-content/uploads/2023/10/DLV3_Icon_DRA_210069_01.png" TargetMode="External"/><Relationship Id="rId97" Type="http://schemas.openxmlformats.org/officeDocument/2006/relationships/hyperlink" Target="https://natalie.tf/wp-content/uploads/2023/10/DLV3_Icon_Weapon_307012_01.png" TargetMode="External"/><Relationship Id="rId730" Type="http://schemas.openxmlformats.org/officeDocument/2006/relationships/image" Target="../media/image365.png"/><Relationship Id="rId828" Type="http://schemas.openxmlformats.org/officeDocument/2006/relationships/image" Target="../media/image414.png"/><Relationship Id="rId1013" Type="http://schemas.openxmlformats.org/officeDocument/2006/relationships/hyperlink" Target="https://natalie.tf/wp-content/uploads/2023/10/DLV3_Icon_WP_400340_01.png" TargetMode="External"/><Relationship Id="rId1360" Type="http://schemas.openxmlformats.org/officeDocument/2006/relationships/hyperlink" Target="https://natalie.tf/wp-content/uploads/2023/10/DLV3_Icon_Ability_1010051.png" TargetMode="External"/><Relationship Id="rId1458" Type="http://schemas.openxmlformats.org/officeDocument/2006/relationships/hyperlink" Target="https://natalie.tf/wp-content/uploads/2023/10/DLV3_Icon_WP_400045_01.png" TargetMode="External"/><Relationship Id="rId1665" Type="http://schemas.openxmlformats.org/officeDocument/2006/relationships/image" Target="../media/image828.png"/><Relationship Id="rId1872" Type="http://schemas.openxmlformats.org/officeDocument/2006/relationships/hyperlink" Target="https://natalie.tf/wp-content/uploads/2023/10/DLV3_Icon_WP_400011_01.png" TargetMode="External"/><Relationship Id="rId2411" Type="http://schemas.openxmlformats.org/officeDocument/2006/relationships/image" Target="../media/image1201.png"/><Relationship Id="rId2509" Type="http://schemas.openxmlformats.org/officeDocument/2006/relationships/image" Target="../media/image1250.png"/><Relationship Id="rId2716" Type="http://schemas.openxmlformats.org/officeDocument/2006/relationships/hyperlink" Target="https://natalie.tf/wp-content/uploads/2023/10/DLV3_Icon_DRA_210054_01.png" TargetMode="External"/><Relationship Id="rId1220" Type="http://schemas.openxmlformats.org/officeDocument/2006/relationships/image" Target="../media/image606.png"/><Relationship Id="rId1318" Type="http://schemas.openxmlformats.org/officeDocument/2006/relationships/hyperlink" Target="https://natalie.tf/wp-content/uploads/2023/10/DLV3_Icon_WP_400405_02.png" TargetMode="External"/><Relationship Id="rId1525" Type="http://schemas.openxmlformats.org/officeDocument/2006/relationships/image" Target="../media/image758.png"/><Relationship Id="rId2923" Type="http://schemas.openxmlformats.org/officeDocument/2006/relationships/image" Target="../media/image1457.png"/><Relationship Id="rId1732" Type="http://schemas.openxmlformats.org/officeDocument/2006/relationships/hyperlink" Target="https://natalie.tf/wp-content/uploads/2023/10/DLV3_Icon_WP_400438_01.png" TargetMode="External"/><Relationship Id="rId24" Type="http://schemas.openxmlformats.org/officeDocument/2006/relationships/image" Target="../media/image12.png"/><Relationship Id="rId2299" Type="http://schemas.openxmlformats.org/officeDocument/2006/relationships/image" Target="../media/image1145.png"/><Relationship Id="rId3045" Type="http://schemas.openxmlformats.org/officeDocument/2006/relationships/hyperlink" Target="https://natalie.tf/wp-content/uploads/2023/10/DLV3_Icon_Skill_029.png" TargetMode="External"/><Relationship Id="rId173" Type="http://schemas.openxmlformats.org/officeDocument/2006/relationships/hyperlink" Target="https://natalie.tf/wp-content/uploads/2023/10/DLV3_Icon_Weapon_305033_01.png" TargetMode="External"/><Relationship Id="rId380" Type="http://schemas.openxmlformats.org/officeDocument/2006/relationships/image" Target="../media/image190.png"/><Relationship Id="rId2061" Type="http://schemas.openxmlformats.org/officeDocument/2006/relationships/image" Target="../media/image1026.png"/><Relationship Id="rId240" Type="http://schemas.openxmlformats.org/officeDocument/2006/relationships/image" Target="../media/image120.png"/><Relationship Id="rId478" Type="http://schemas.openxmlformats.org/officeDocument/2006/relationships/image" Target="../media/image239.png"/><Relationship Id="rId685" Type="http://schemas.openxmlformats.org/officeDocument/2006/relationships/hyperlink" Target="https://natalie.tf/wp-content/uploads/2023/11/DLV3_Icon_Affinity_Axe.png" TargetMode="External"/><Relationship Id="rId892" Type="http://schemas.openxmlformats.org/officeDocument/2006/relationships/hyperlink" Target="https://natalie.tf/wp-content/uploads/2023/10/DLV3_Icon_WP_400163_01.png" TargetMode="External"/><Relationship Id="rId2159" Type="http://schemas.openxmlformats.org/officeDocument/2006/relationships/image" Target="../media/image1075.png"/><Relationship Id="rId2366" Type="http://schemas.openxmlformats.org/officeDocument/2006/relationships/hyperlink" Target="https://natalie.tf/wp-content/uploads/2023/10/DLV3_Icon_ADV_110342_03_r05.png" TargetMode="External"/><Relationship Id="rId2573" Type="http://schemas.openxmlformats.org/officeDocument/2006/relationships/image" Target="../media/image1282.png"/><Relationship Id="rId2780" Type="http://schemas.openxmlformats.org/officeDocument/2006/relationships/hyperlink" Target="https://natalie.tf/wp-content/uploads/2023/10/DLV3_Icon_DRA_210131_01.png" TargetMode="External"/><Relationship Id="rId100" Type="http://schemas.openxmlformats.org/officeDocument/2006/relationships/image" Target="../media/image50.png"/><Relationship Id="rId338" Type="http://schemas.openxmlformats.org/officeDocument/2006/relationships/image" Target="../media/image169.png"/><Relationship Id="rId545" Type="http://schemas.openxmlformats.org/officeDocument/2006/relationships/hyperlink" Target="https://natalie.tf/wp-content/uploads/2023/10/DLV3_Icon_Weapon_307139_01.png" TargetMode="External"/><Relationship Id="rId752" Type="http://schemas.openxmlformats.org/officeDocument/2006/relationships/image" Target="../media/image376.png"/><Relationship Id="rId1175" Type="http://schemas.openxmlformats.org/officeDocument/2006/relationships/hyperlink" Target="https://natalie.tf/wp-content/uploads/2023/10/DLV3_Icon_WP_400435_02.png" TargetMode="External"/><Relationship Id="rId1382" Type="http://schemas.openxmlformats.org/officeDocument/2006/relationships/hyperlink" Target="https://natalie.tf/wp-content/uploads/2023/10/DLV3_Icon_Ability_1010075.png" TargetMode="External"/><Relationship Id="rId2019" Type="http://schemas.openxmlformats.org/officeDocument/2006/relationships/image" Target="../media/image1005.png"/><Relationship Id="rId2226" Type="http://schemas.openxmlformats.org/officeDocument/2006/relationships/hyperlink" Target="https://natalie.tf/wp-content/uploads/2023/10/DLV3_Icon_ADV_110366_01_r05.png" TargetMode="External"/><Relationship Id="rId2433" Type="http://schemas.openxmlformats.org/officeDocument/2006/relationships/image" Target="../media/image1212.png"/><Relationship Id="rId2640" Type="http://schemas.openxmlformats.org/officeDocument/2006/relationships/hyperlink" Target="https://natalie.tf/wp-content/uploads/2023/11/DLV3_Icon_ADV_Custom_Summer_Elisanne.png" TargetMode="External"/><Relationship Id="rId2878" Type="http://schemas.openxmlformats.org/officeDocument/2006/relationships/hyperlink" Target="https://natalie.tf/wp-content/uploads/2023/10/DLV3_Icon_DRA_200010_01.png" TargetMode="External"/><Relationship Id="rId405" Type="http://schemas.openxmlformats.org/officeDocument/2006/relationships/hyperlink" Target="https://natalie.tf/wp-content/uploads/2023/10/DLV3_Icon_Weapon_309022_01.png" TargetMode="External"/><Relationship Id="rId612" Type="http://schemas.openxmlformats.org/officeDocument/2006/relationships/image" Target="../media/image306.png"/><Relationship Id="rId1035" Type="http://schemas.openxmlformats.org/officeDocument/2006/relationships/hyperlink" Target="https://natalie.tf/wp-content/uploads/2023/10/DLV3_Icon_WP_400384_02.png" TargetMode="External"/><Relationship Id="rId1242" Type="http://schemas.openxmlformats.org/officeDocument/2006/relationships/hyperlink" Target="https://natalie.tf/wp-content/uploads/2023/10/DLV3_Icon_WP_400462_01.png" TargetMode="External"/><Relationship Id="rId1687" Type="http://schemas.openxmlformats.org/officeDocument/2006/relationships/image" Target="../media/image839.png"/><Relationship Id="rId1894" Type="http://schemas.openxmlformats.org/officeDocument/2006/relationships/hyperlink" Target="https://natalie.tf/wp-content/uploads/2023/10/DLV3_Icon_WP_400016_02.png" TargetMode="External"/><Relationship Id="rId2500" Type="http://schemas.openxmlformats.org/officeDocument/2006/relationships/hyperlink" Target="https://natalie.tf/wp-content/uploads/2023/10/DLV3_Icon_ADV_110305_01_r05.png" TargetMode="External"/><Relationship Id="rId2738" Type="http://schemas.openxmlformats.org/officeDocument/2006/relationships/hyperlink" Target="https://natalie.tf/wp-content/uploads/2023/10/DLV3_Icon_DRA_210120_01.png" TargetMode="External"/><Relationship Id="rId2945" Type="http://schemas.openxmlformats.org/officeDocument/2006/relationships/hyperlink" Target="https://natalie.tf/wp-content/uploads/2023/11/DLV3_Icon_NPC_120178_01.png" TargetMode="External"/><Relationship Id="rId917" Type="http://schemas.openxmlformats.org/officeDocument/2006/relationships/hyperlink" Target="https://natalie.tf/wp-content/uploads/2023/10/DLV3_Icon_WP_400144_02.png" TargetMode="External"/><Relationship Id="rId1102" Type="http://schemas.openxmlformats.org/officeDocument/2006/relationships/image" Target="../media/image547.png"/><Relationship Id="rId1547" Type="http://schemas.openxmlformats.org/officeDocument/2006/relationships/image" Target="../media/image769.png"/><Relationship Id="rId1754" Type="http://schemas.openxmlformats.org/officeDocument/2006/relationships/hyperlink" Target="https://natalie.tf/wp-content/uploads/2023/10/DLV3_Icon_WP_400155_01.png" TargetMode="External"/><Relationship Id="rId1961" Type="http://schemas.openxmlformats.org/officeDocument/2006/relationships/image" Target="../media/image976.png"/><Relationship Id="rId2805" Type="http://schemas.openxmlformats.org/officeDocument/2006/relationships/image" Target="../media/image1398.png"/><Relationship Id="rId46" Type="http://schemas.openxmlformats.org/officeDocument/2006/relationships/image" Target="../media/image23.png"/><Relationship Id="rId1407" Type="http://schemas.openxmlformats.org/officeDocument/2006/relationships/image" Target="../media/image699.png"/><Relationship Id="rId1614" Type="http://schemas.openxmlformats.org/officeDocument/2006/relationships/hyperlink" Target="https://natalie.tf/wp-content/uploads/2023/10/DLV3_Icon_WP_400335_01.png" TargetMode="External"/><Relationship Id="rId1821" Type="http://schemas.openxmlformats.org/officeDocument/2006/relationships/image" Target="../media/image906.png"/><Relationship Id="rId3067" Type="http://schemas.openxmlformats.org/officeDocument/2006/relationships/hyperlink" Target="https://natalie.tf/wp-content/uploads/2023/10/DLV3_Icon_Skill_031.png" TargetMode="External"/><Relationship Id="rId195" Type="http://schemas.openxmlformats.org/officeDocument/2006/relationships/hyperlink" Target="https://natalie.tf/wp-content/uploads/2023/10/DLV3_Icon_Weapon_307035_01.png" TargetMode="External"/><Relationship Id="rId1919" Type="http://schemas.openxmlformats.org/officeDocument/2006/relationships/image" Target="../media/image955.png"/><Relationship Id="rId2083" Type="http://schemas.openxmlformats.org/officeDocument/2006/relationships/image" Target="../media/image1037.png"/><Relationship Id="rId2290" Type="http://schemas.openxmlformats.org/officeDocument/2006/relationships/hyperlink" Target="https://natalie.tf/wp-content/uploads/2023/10/DLV3_Icon_ADV_110029_02_r05.png" TargetMode="External"/><Relationship Id="rId2388" Type="http://schemas.openxmlformats.org/officeDocument/2006/relationships/hyperlink" Target="https://natalie.tf/wp-content/uploads/2023/10/DLV3_Icon_ADV_110257_01_r05.png" TargetMode="External"/><Relationship Id="rId2595" Type="http://schemas.openxmlformats.org/officeDocument/2006/relationships/image" Target="../media/image1293.png"/><Relationship Id="rId262" Type="http://schemas.openxmlformats.org/officeDocument/2006/relationships/image" Target="../media/image131.png"/><Relationship Id="rId567" Type="http://schemas.openxmlformats.org/officeDocument/2006/relationships/hyperlink" Target="https://natalie.tf/wp-content/uploads/2023/10/DLV3_Icon_Weapon_309041_01.png" TargetMode="External"/><Relationship Id="rId1197" Type="http://schemas.openxmlformats.org/officeDocument/2006/relationships/hyperlink" Target="https://natalie.tf/wp-content/uploads/2023/10/DLV3_Icon_WP_400445_02.png" TargetMode="External"/><Relationship Id="rId2150" Type="http://schemas.openxmlformats.org/officeDocument/2006/relationships/hyperlink" Target="https://natalie.tf/wp-content/uploads/2023/10/DLV3_Icon_ADV_110337_03_r05.png" TargetMode="External"/><Relationship Id="rId2248" Type="http://schemas.openxmlformats.org/officeDocument/2006/relationships/hyperlink" Target="https://natalie.tf/wp-content/uploads/2023/10/DLV3_Icon_ADV_110017_01_r05.png" TargetMode="External"/><Relationship Id="rId122" Type="http://schemas.openxmlformats.org/officeDocument/2006/relationships/image" Target="../media/image61.png"/><Relationship Id="rId774" Type="http://schemas.openxmlformats.org/officeDocument/2006/relationships/image" Target="../media/image387.png"/><Relationship Id="rId981" Type="http://schemas.openxmlformats.org/officeDocument/2006/relationships/hyperlink" Target="https://natalie.tf/wp-content/uploads/2023/10/DLV3_Icon_WP_400168_02.png" TargetMode="External"/><Relationship Id="rId1057" Type="http://schemas.openxmlformats.org/officeDocument/2006/relationships/hyperlink" Target="https://natalie.tf/wp-content/uploads/2023/10/DLV3_Icon_WP_400398_02.png" TargetMode="External"/><Relationship Id="rId2010" Type="http://schemas.openxmlformats.org/officeDocument/2006/relationships/hyperlink" Target="https://natalie.tf/wp-content/uploads/2023/10/DLV3_Icon_WP_400003_01.png" TargetMode="External"/><Relationship Id="rId2455" Type="http://schemas.openxmlformats.org/officeDocument/2006/relationships/image" Target="../media/image1223.png"/><Relationship Id="rId2662" Type="http://schemas.openxmlformats.org/officeDocument/2006/relationships/hyperlink" Target="https://natalie.tf/wp-content/uploads/2023/10/DLV3_Icon_DRA_210082_01.png" TargetMode="External"/><Relationship Id="rId427" Type="http://schemas.openxmlformats.org/officeDocument/2006/relationships/hyperlink" Target="https://natalie.tf/wp-content/uploads/2023/10/DLV3_Icon_Weapon_302112_01.png" TargetMode="External"/><Relationship Id="rId634" Type="http://schemas.openxmlformats.org/officeDocument/2006/relationships/image" Target="../media/image317.png"/><Relationship Id="rId841" Type="http://schemas.openxmlformats.org/officeDocument/2006/relationships/hyperlink" Target="https://natalie.tf/wp-content/uploads/2023/10/DLV3_Icon_Ability_1030007.png" TargetMode="External"/><Relationship Id="rId1264" Type="http://schemas.openxmlformats.org/officeDocument/2006/relationships/hyperlink" Target="https://natalie.tf/wp-content/uploads/2023/10/DLV3_Icon_WP_400469_01.png" TargetMode="External"/><Relationship Id="rId1471" Type="http://schemas.openxmlformats.org/officeDocument/2006/relationships/image" Target="../media/image731.png"/><Relationship Id="rId1569" Type="http://schemas.openxmlformats.org/officeDocument/2006/relationships/image" Target="../media/image780.png"/><Relationship Id="rId2108" Type="http://schemas.openxmlformats.org/officeDocument/2006/relationships/hyperlink" Target="https://natalie.tf/wp-content/uploads/2023/10/DLV3_Icon_ADV_110259_01_r05.png" TargetMode="External"/><Relationship Id="rId2315" Type="http://schemas.openxmlformats.org/officeDocument/2006/relationships/image" Target="../media/image1153.png"/><Relationship Id="rId2522" Type="http://schemas.openxmlformats.org/officeDocument/2006/relationships/hyperlink" Target="https://natalie.tf/wp-content/uploads/2023/10/DLV3_Icon_ADV_100005_02_r05.png" TargetMode="External"/><Relationship Id="rId2967" Type="http://schemas.openxmlformats.org/officeDocument/2006/relationships/hyperlink" Target="https://natalie.tf/wp-content/uploads/2023/11/DLV3_Icon_NPC_100048_01.png" TargetMode="External"/><Relationship Id="rId701" Type="http://schemas.openxmlformats.org/officeDocument/2006/relationships/hyperlink" Target="https://natalie.tf/wp-content/uploads/2023/10/DLV3_Icon_WP_400180_01.png" TargetMode="External"/><Relationship Id="rId939" Type="http://schemas.openxmlformats.org/officeDocument/2006/relationships/image" Target="../media/image466.png"/><Relationship Id="rId1124" Type="http://schemas.openxmlformats.org/officeDocument/2006/relationships/image" Target="../media/image558.png"/><Relationship Id="rId1331" Type="http://schemas.openxmlformats.org/officeDocument/2006/relationships/image" Target="../media/image661.png"/><Relationship Id="rId1776" Type="http://schemas.openxmlformats.org/officeDocument/2006/relationships/hyperlink" Target="https://natalie.tf/wp-content/uploads/2023/10/DLV3_Icon_WP_400455_01.png" TargetMode="External"/><Relationship Id="rId1983" Type="http://schemas.openxmlformats.org/officeDocument/2006/relationships/image" Target="../media/image987.png"/><Relationship Id="rId2827" Type="http://schemas.openxmlformats.org/officeDocument/2006/relationships/image" Target="../media/image1409.png"/><Relationship Id="rId68" Type="http://schemas.openxmlformats.org/officeDocument/2006/relationships/image" Target="../media/image34.png"/><Relationship Id="rId1429" Type="http://schemas.openxmlformats.org/officeDocument/2006/relationships/image" Target="../media/image710.png"/><Relationship Id="rId1636" Type="http://schemas.openxmlformats.org/officeDocument/2006/relationships/hyperlink" Target="https://natalie.tf/wp-content/uploads/2023/10/DLV3_Icon_WP_400379_01.png" TargetMode="External"/><Relationship Id="rId1843" Type="http://schemas.openxmlformats.org/officeDocument/2006/relationships/image" Target="../media/image917.png"/><Relationship Id="rId1703" Type="http://schemas.openxmlformats.org/officeDocument/2006/relationships/image" Target="../media/image847.png"/><Relationship Id="rId1910" Type="http://schemas.openxmlformats.org/officeDocument/2006/relationships/hyperlink" Target="https://natalie.tf/wp-content/uploads/2023/10/DLV3_Icon_WP_400020_01.png" TargetMode="External"/><Relationship Id="rId284" Type="http://schemas.openxmlformats.org/officeDocument/2006/relationships/image" Target="../media/image142.png"/><Relationship Id="rId491" Type="http://schemas.openxmlformats.org/officeDocument/2006/relationships/hyperlink" Target="https://natalie.tf/wp-content/uploads/2023/10/DLV3_Icon_Weapon_307136_01.png" TargetMode="External"/><Relationship Id="rId2172" Type="http://schemas.openxmlformats.org/officeDocument/2006/relationships/hyperlink" Target="https://natalie.tf/wp-content/uploads/2023/10/DLV3_Icon_ADV_100003_02_r05.png" TargetMode="External"/><Relationship Id="rId3016" Type="http://schemas.openxmlformats.org/officeDocument/2006/relationships/image" Target="../media/image1503.png"/><Relationship Id="rId144" Type="http://schemas.openxmlformats.org/officeDocument/2006/relationships/image" Target="../media/image72.png"/><Relationship Id="rId589" Type="http://schemas.openxmlformats.org/officeDocument/2006/relationships/hyperlink" Target="https://natalie.tf/wp-content/uploads/2023/10/DLV3_Icon_Weapon_302150_01.png" TargetMode="External"/><Relationship Id="rId796" Type="http://schemas.openxmlformats.org/officeDocument/2006/relationships/image" Target="../media/image398.png"/><Relationship Id="rId2477" Type="http://schemas.openxmlformats.org/officeDocument/2006/relationships/image" Target="../media/image1234.png"/><Relationship Id="rId2684" Type="http://schemas.openxmlformats.org/officeDocument/2006/relationships/hyperlink" Target="https://natalie.tf/wp-content/uploads/2023/10/DLV3_Icon_DRA_210124_01.png" TargetMode="External"/><Relationship Id="rId351" Type="http://schemas.openxmlformats.org/officeDocument/2006/relationships/hyperlink" Target="https://natalie.tf/wp-content/uploads/2023/10/DLV3_Icon_Weapon_309019_01.png" TargetMode="External"/><Relationship Id="rId449" Type="http://schemas.openxmlformats.org/officeDocument/2006/relationships/hyperlink" Target="https://natalie.tf/wp-content/uploads/2023/10/DLV3_Icon_Weapon_304112_01.png" TargetMode="External"/><Relationship Id="rId656" Type="http://schemas.openxmlformats.org/officeDocument/2006/relationships/image" Target="../media/image328.png"/><Relationship Id="rId863" Type="http://schemas.openxmlformats.org/officeDocument/2006/relationships/hyperlink" Target="https://natalie.tf/wp-content/uploads/2023/10/DLV3_Icon_WP_400123_02.png" TargetMode="External"/><Relationship Id="rId1079" Type="http://schemas.openxmlformats.org/officeDocument/2006/relationships/hyperlink" Target="https://natalie.tf/wp-content/uploads/2023/10/DLV3_Icon_WP_400395_01.png" TargetMode="External"/><Relationship Id="rId1286" Type="http://schemas.openxmlformats.org/officeDocument/2006/relationships/hyperlink" Target="https://natalie.tf/wp-content/uploads/2023/10/DLV3_Icon_Ability_1010024.png" TargetMode="External"/><Relationship Id="rId1493" Type="http://schemas.openxmlformats.org/officeDocument/2006/relationships/image" Target="../media/image742.png"/><Relationship Id="rId2032" Type="http://schemas.openxmlformats.org/officeDocument/2006/relationships/hyperlink" Target="https://natalie.tf/wp-content/uploads/2023/11/DLV3_Icon_Custom_Piercing_Gale_WP.png" TargetMode="External"/><Relationship Id="rId2337" Type="http://schemas.openxmlformats.org/officeDocument/2006/relationships/image" Target="../media/image1164.png"/><Relationship Id="rId2544" Type="http://schemas.openxmlformats.org/officeDocument/2006/relationships/hyperlink" Target="https://natalie.tf/wp-content/uploads/2023/10/DLV3_Icon_ADV_110038_01_r05.png" TargetMode="External"/><Relationship Id="rId2891" Type="http://schemas.openxmlformats.org/officeDocument/2006/relationships/image" Target="../media/image1441.png"/><Relationship Id="rId2989" Type="http://schemas.openxmlformats.org/officeDocument/2006/relationships/hyperlink" Target="https://natalie.tf/wp-content/uploads/2023/11/DLV3_Icon_NPC_Custom_120165_01.png" TargetMode="External"/><Relationship Id="rId211" Type="http://schemas.openxmlformats.org/officeDocument/2006/relationships/hyperlink" Target="https://natalie.tf/wp-content/uploads/2023/10/DLV3_Icon_Weapon_306061_01.png" TargetMode="External"/><Relationship Id="rId309" Type="http://schemas.openxmlformats.org/officeDocument/2006/relationships/hyperlink" Target="https://natalie.tf/wp-content/uploads/2023/10/DLV3_Icon_Weapon_306122_01.png" TargetMode="External"/><Relationship Id="rId516" Type="http://schemas.openxmlformats.org/officeDocument/2006/relationships/image" Target="../media/image258.png"/><Relationship Id="rId1146" Type="http://schemas.openxmlformats.org/officeDocument/2006/relationships/image" Target="../media/image569.png"/><Relationship Id="rId1798" Type="http://schemas.openxmlformats.org/officeDocument/2006/relationships/hyperlink" Target="https://natalie.tf/wp-content/uploads/2023/10/DLV3_Icon_WP_400471_02.png" TargetMode="External"/><Relationship Id="rId2751" Type="http://schemas.openxmlformats.org/officeDocument/2006/relationships/image" Target="../media/image1371.png"/><Relationship Id="rId2849" Type="http://schemas.openxmlformats.org/officeDocument/2006/relationships/image" Target="../media/image1420.png"/><Relationship Id="rId723" Type="http://schemas.openxmlformats.org/officeDocument/2006/relationships/hyperlink" Target="https://natalie.tf/wp-content/uploads/2023/11/DLV3_Icon_Affinity_Bat.png" TargetMode="External"/><Relationship Id="rId930" Type="http://schemas.openxmlformats.org/officeDocument/2006/relationships/image" Target="../media/image462.png"/><Relationship Id="rId1006" Type="http://schemas.openxmlformats.org/officeDocument/2006/relationships/image" Target="../media/image499.png"/><Relationship Id="rId1353" Type="http://schemas.openxmlformats.org/officeDocument/2006/relationships/image" Target="../media/image672.png"/><Relationship Id="rId1560" Type="http://schemas.openxmlformats.org/officeDocument/2006/relationships/hyperlink" Target="https://natalie.tf/wp-content/uploads/2023/10/DLV3_Icon_WP_400090_02.png" TargetMode="External"/><Relationship Id="rId1658" Type="http://schemas.openxmlformats.org/officeDocument/2006/relationships/hyperlink" Target="https://natalie.tf/wp-content/uploads/2023/10/DLV3_Icon_WP_400390_02.png" TargetMode="External"/><Relationship Id="rId1865" Type="http://schemas.openxmlformats.org/officeDocument/2006/relationships/image" Target="../media/image928.png"/><Relationship Id="rId2404" Type="http://schemas.openxmlformats.org/officeDocument/2006/relationships/hyperlink" Target="https://natalie.tf/wp-content/uploads/2023/10/DLV3_Icon_ADV_110350_02_r05.png" TargetMode="External"/><Relationship Id="rId2611" Type="http://schemas.openxmlformats.org/officeDocument/2006/relationships/image" Target="../media/image1301.png"/><Relationship Id="rId2709" Type="http://schemas.openxmlformats.org/officeDocument/2006/relationships/image" Target="../media/image1350.png"/><Relationship Id="rId1213" Type="http://schemas.openxmlformats.org/officeDocument/2006/relationships/hyperlink" Target="https://natalie.tf/wp-content/uploads/2023/10/DLV3_Icon_WP_400448_02.png" TargetMode="External"/><Relationship Id="rId1420" Type="http://schemas.openxmlformats.org/officeDocument/2006/relationships/hyperlink" Target="https://natalie.tf/wp-content/uploads/2023/10/DLV3_Icon_WP_400037_01.png" TargetMode="External"/><Relationship Id="rId1518" Type="http://schemas.openxmlformats.org/officeDocument/2006/relationships/hyperlink" Target="https://natalie.tf/wp-content/uploads/2023/10/DLV3_Icon_WP_400061_01.png" TargetMode="External"/><Relationship Id="rId2916" Type="http://schemas.openxmlformats.org/officeDocument/2006/relationships/hyperlink" Target="https://natalie.tf/wp-content/uploads/2023/10/DLV3_Icon_DRA_210089_01.png" TargetMode="External"/><Relationship Id="rId3080" Type="http://schemas.openxmlformats.org/officeDocument/2006/relationships/image" Target="../media/image1535.png"/><Relationship Id="rId1725" Type="http://schemas.openxmlformats.org/officeDocument/2006/relationships/image" Target="../media/image858.png"/><Relationship Id="rId1932" Type="http://schemas.openxmlformats.org/officeDocument/2006/relationships/hyperlink" Target="https://natalie.tf/wp-content/uploads/2023/10/DLV3_Icon_WP_400025_02.png" TargetMode="External"/><Relationship Id="rId17" Type="http://schemas.openxmlformats.org/officeDocument/2006/relationships/hyperlink" Target="https://natalie.tf/wp-content/uploads/2023/10/DLV3_Icon_Ability_1030019.png" TargetMode="External"/><Relationship Id="rId2194" Type="http://schemas.openxmlformats.org/officeDocument/2006/relationships/hyperlink" Target="https://natalie.tf/wp-content/uploads/2023/10/DLV3_Icon_ADV_110022_01_r05.png" TargetMode="External"/><Relationship Id="rId3038" Type="http://schemas.openxmlformats.org/officeDocument/2006/relationships/image" Target="../media/image1514.png"/><Relationship Id="rId166" Type="http://schemas.openxmlformats.org/officeDocument/2006/relationships/image" Target="../media/image83.png"/><Relationship Id="rId373" Type="http://schemas.openxmlformats.org/officeDocument/2006/relationships/hyperlink" Target="https://natalie.tf/wp-content/uploads/2023/10/DLV3_Icon_Weapon_302113_01.png" TargetMode="External"/><Relationship Id="rId580" Type="http://schemas.openxmlformats.org/officeDocument/2006/relationships/image" Target="../media/image290.png"/><Relationship Id="rId2054" Type="http://schemas.openxmlformats.org/officeDocument/2006/relationships/hyperlink" Target="https://natalie.tf/wp-content/uploads/2023/10/DLV3_Icon_ADV_110011_02_r05.png" TargetMode="External"/><Relationship Id="rId2261" Type="http://schemas.openxmlformats.org/officeDocument/2006/relationships/image" Target="../media/image1126.png"/><Relationship Id="rId2499" Type="http://schemas.openxmlformats.org/officeDocument/2006/relationships/image" Target="../media/image1245.png"/><Relationship Id="rId1" Type="http://schemas.openxmlformats.org/officeDocument/2006/relationships/hyperlink" Target="https://natalie.tf/wp-content/uploads/2023/10/DLV3_Icon_Skill_158.png" TargetMode="External"/><Relationship Id="rId233" Type="http://schemas.openxmlformats.org/officeDocument/2006/relationships/hyperlink" Target="https://natalie.tf/wp-content/uploads/2023/10/DLV3_Icon_Weapon_301098_01.png" TargetMode="External"/><Relationship Id="rId440" Type="http://schemas.openxmlformats.org/officeDocument/2006/relationships/image" Target="../media/image220.png"/><Relationship Id="rId678" Type="http://schemas.openxmlformats.org/officeDocument/2006/relationships/image" Target="../media/image339.png"/><Relationship Id="rId885" Type="http://schemas.openxmlformats.org/officeDocument/2006/relationships/image" Target="../media/image442.png"/><Relationship Id="rId1070" Type="http://schemas.openxmlformats.org/officeDocument/2006/relationships/image" Target="../media/image531.png"/><Relationship Id="rId2121" Type="http://schemas.openxmlformats.org/officeDocument/2006/relationships/image" Target="../media/image1056.png"/><Relationship Id="rId2359" Type="http://schemas.openxmlformats.org/officeDocument/2006/relationships/image" Target="../media/image1175.png"/><Relationship Id="rId2566" Type="http://schemas.openxmlformats.org/officeDocument/2006/relationships/hyperlink" Target="https://natalie.tf/wp-content/uploads/2023/10/DLV3_Icon_ADV_110044_01_r05.png" TargetMode="External"/><Relationship Id="rId2773" Type="http://schemas.openxmlformats.org/officeDocument/2006/relationships/image" Target="../media/image1382.png"/><Relationship Id="rId2980" Type="http://schemas.openxmlformats.org/officeDocument/2006/relationships/image" Target="../media/image1485.png"/><Relationship Id="rId300" Type="http://schemas.openxmlformats.org/officeDocument/2006/relationships/image" Target="../media/image150.png"/><Relationship Id="rId538" Type="http://schemas.openxmlformats.org/officeDocument/2006/relationships/image" Target="../media/image269.png"/><Relationship Id="rId745" Type="http://schemas.openxmlformats.org/officeDocument/2006/relationships/hyperlink" Target="https://natalie.tf/wp-content/uploads/2023/10/DLV3_Icon_WP_400064_02.png" TargetMode="External"/><Relationship Id="rId952" Type="http://schemas.openxmlformats.org/officeDocument/2006/relationships/hyperlink" Target="https://natalie.tf/wp-content/uploads/2023/10/DLV3_Icon_WP_400172_02.png" TargetMode="External"/><Relationship Id="rId1168" Type="http://schemas.openxmlformats.org/officeDocument/2006/relationships/image" Target="../media/image580.png"/><Relationship Id="rId1375" Type="http://schemas.openxmlformats.org/officeDocument/2006/relationships/image" Target="../media/image683.png"/><Relationship Id="rId1582" Type="http://schemas.openxmlformats.org/officeDocument/2006/relationships/hyperlink" Target="https://natalie.tf/wp-content/uploads/2023/10/DLV3_Icon_WP_400119_01.png" TargetMode="External"/><Relationship Id="rId2219" Type="http://schemas.openxmlformats.org/officeDocument/2006/relationships/image" Target="../media/image1105.png"/><Relationship Id="rId2426" Type="http://schemas.openxmlformats.org/officeDocument/2006/relationships/hyperlink" Target="https://natalie.tf/wp-content/uploads/2023/10/DLV3_Icon_ADV_110345_01_r05.png" TargetMode="External"/><Relationship Id="rId2633" Type="http://schemas.openxmlformats.org/officeDocument/2006/relationships/image" Target="../media/image1312.png"/><Relationship Id="rId81" Type="http://schemas.openxmlformats.org/officeDocument/2006/relationships/hyperlink" Target="https://natalie.tf/wp-content/uploads/2023/10/DLV3_Icon_Weapon_307042_01.png" TargetMode="External"/><Relationship Id="rId605" Type="http://schemas.openxmlformats.org/officeDocument/2006/relationships/hyperlink" Target="https://natalie.tf/wp-content/uploads/2023/10/DLV3_Icon_Weapon_301162_01.png" TargetMode="External"/><Relationship Id="rId812" Type="http://schemas.openxmlformats.org/officeDocument/2006/relationships/image" Target="../media/image406.png"/><Relationship Id="rId1028" Type="http://schemas.openxmlformats.org/officeDocument/2006/relationships/image" Target="../media/image510.png"/><Relationship Id="rId1235" Type="http://schemas.openxmlformats.org/officeDocument/2006/relationships/image" Target="../media/image613.png"/><Relationship Id="rId1442" Type="http://schemas.openxmlformats.org/officeDocument/2006/relationships/hyperlink" Target="https://natalie.tf/wp-content/uploads/2023/10/DLV3_Icon_WP_400041_02.png" TargetMode="External"/><Relationship Id="rId1887" Type="http://schemas.openxmlformats.org/officeDocument/2006/relationships/image" Target="../media/image939.png"/><Relationship Id="rId2840" Type="http://schemas.openxmlformats.org/officeDocument/2006/relationships/hyperlink" Target="https://natalie.tf/wp-content/uploads/2023/10/DLV3_Icon_DRA_210075_01.png" TargetMode="External"/><Relationship Id="rId2938" Type="http://schemas.openxmlformats.org/officeDocument/2006/relationships/hyperlink" Target="https://natalie.tf/wp-content/uploads/2023/11/DLV3_Icon_DRA_Custom_Fallen_Uriel.png" TargetMode="External"/><Relationship Id="rId1302" Type="http://schemas.openxmlformats.org/officeDocument/2006/relationships/hyperlink" Target="https://natalie.tf/wp-content/uploads/2023/10/DLV3_Icon_WP_400474_02.png" TargetMode="External"/><Relationship Id="rId1747" Type="http://schemas.openxmlformats.org/officeDocument/2006/relationships/image" Target="../media/image869.png"/><Relationship Id="rId1954" Type="http://schemas.openxmlformats.org/officeDocument/2006/relationships/hyperlink" Target="https://natalie.tf/wp-content/uploads/2023/10/DLV3_Icon_WP_400101_01.png" TargetMode="External"/><Relationship Id="rId2700" Type="http://schemas.openxmlformats.org/officeDocument/2006/relationships/hyperlink" Target="https://natalie.tf/wp-content/uploads/2023/10/DLV3_Icon_DRA_210097_01.png" TargetMode="External"/><Relationship Id="rId39" Type="http://schemas.openxmlformats.org/officeDocument/2006/relationships/hyperlink" Target="https://natalie.tf/wp-content/uploads/2023/10/DLV3_Icon_Ability_1020006.png" TargetMode="External"/><Relationship Id="rId1607" Type="http://schemas.openxmlformats.org/officeDocument/2006/relationships/image" Target="../media/image799.png"/><Relationship Id="rId1814" Type="http://schemas.openxmlformats.org/officeDocument/2006/relationships/hyperlink" Target="https://natalie.tf/wp-content/uploads/2023/10/DLV3_Icon_WP_400480_02.png" TargetMode="External"/><Relationship Id="rId188" Type="http://schemas.openxmlformats.org/officeDocument/2006/relationships/image" Target="../media/image94.png"/><Relationship Id="rId395" Type="http://schemas.openxmlformats.org/officeDocument/2006/relationships/hyperlink" Target="https://natalie.tf/wp-content/uploads/2023/10/DLV3_Icon_Weapon_304109_01.png" TargetMode="External"/><Relationship Id="rId2076" Type="http://schemas.openxmlformats.org/officeDocument/2006/relationships/hyperlink" Target="https://natalie.tf/wp-content/uploads/2023/10/DLV3_Icon_ADV_110354_01_r05.png" TargetMode="External"/><Relationship Id="rId2283" Type="http://schemas.openxmlformats.org/officeDocument/2006/relationships/image" Target="../media/image1137.png"/><Relationship Id="rId2490" Type="http://schemas.openxmlformats.org/officeDocument/2006/relationships/hyperlink" Target="https://natalie.tf/wp-content/uploads/2023/10/DLV3_Icon_ADV_110275_01_r05.png" TargetMode="External"/><Relationship Id="rId2588" Type="http://schemas.openxmlformats.org/officeDocument/2006/relationships/hyperlink" Target="https://natalie.tf/wp-content/uploads/2023/10/DLV3_Icon_ADV_110272_01_r05.png" TargetMode="External"/><Relationship Id="rId255" Type="http://schemas.openxmlformats.org/officeDocument/2006/relationships/hyperlink" Target="https://natalie.tf/wp-content/uploads/2023/10/DLV3_Icon_Weapon_304106_01.png" TargetMode="External"/><Relationship Id="rId462" Type="http://schemas.openxmlformats.org/officeDocument/2006/relationships/image" Target="../media/image231.png"/><Relationship Id="rId1092" Type="http://schemas.openxmlformats.org/officeDocument/2006/relationships/image" Target="../media/image542.png"/><Relationship Id="rId1397" Type="http://schemas.openxmlformats.org/officeDocument/2006/relationships/image" Target="../media/image694.png"/><Relationship Id="rId2143" Type="http://schemas.openxmlformats.org/officeDocument/2006/relationships/image" Target="../media/image1067.png"/><Relationship Id="rId2350" Type="http://schemas.openxmlformats.org/officeDocument/2006/relationships/hyperlink" Target="https://natalie.tf/wp-content/uploads/2023/10/DLV3_Icon_ADV_110318_01_r05.png" TargetMode="External"/><Relationship Id="rId2795" Type="http://schemas.openxmlformats.org/officeDocument/2006/relationships/image" Target="../media/image1393.png"/><Relationship Id="rId115" Type="http://schemas.openxmlformats.org/officeDocument/2006/relationships/hyperlink" Target="https://natalie.tf/wp-content/uploads/2023/10/DLV3_Icon_Weapon_307031_01.png" TargetMode="External"/><Relationship Id="rId322" Type="http://schemas.openxmlformats.org/officeDocument/2006/relationships/image" Target="../media/image161.png"/><Relationship Id="rId767" Type="http://schemas.openxmlformats.org/officeDocument/2006/relationships/hyperlink" Target="https://natalie.tf/wp-content/uploads/2023/10/DLV3_Icon_WP_400068_02.png" TargetMode="External"/><Relationship Id="rId974" Type="http://schemas.openxmlformats.org/officeDocument/2006/relationships/image" Target="../media/image483.png"/><Relationship Id="rId2003" Type="http://schemas.openxmlformats.org/officeDocument/2006/relationships/image" Target="../media/image997.png"/><Relationship Id="rId2210" Type="http://schemas.openxmlformats.org/officeDocument/2006/relationships/hyperlink" Target="https://natalie.tf/wp-content/uploads/2023/10/DLV3_Icon_ADV_100002_01_r05.png" TargetMode="External"/><Relationship Id="rId2448" Type="http://schemas.openxmlformats.org/officeDocument/2006/relationships/hyperlink" Target="https://natalie.tf/wp-content/uploads/2023/10/DLV3_Icon_ADV_110039_01_r05.png" TargetMode="External"/><Relationship Id="rId2655" Type="http://schemas.openxmlformats.org/officeDocument/2006/relationships/image" Target="../media/image1323.png"/><Relationship Id="rId2862" Type="http://schemas.openxmlformats.org/officeDocument/2006/relationships/hyperlink" Target="https://natalie.tf/wp-content/uploads/2023/10/DLV3_Icon_DRA_210112_01.png" TargetMode="External"/><Relationship Id="rId627" Type="http://schemas.openxmlformats.org/officeDocument/2006/relationships/hyperlink" Target="https://natalie.tf/wp-content/uploads/2023/10/DLV3_Icon_Weapon_303151_01.png" TargetMode="External"/><Relationship Id="rId834" Type="http://schemas.openxmlformats.org/officeDocument/2006/relationships/image" Target="../media/image417.png"/><Relationship Id="rId1257" Type="http://schemas.openxmlformats.org/officeDocument/2006/relationships/image" Target="../media/image624.png"/><Relationship Id="rId1464" Type="http://schemas.openxmlformats.org/officeDocument/2006/relationships/hyperlink" Target="https://natalie.tf/wp-content/uploads/2023/10/DLV3_Icon_WP_400046_02.png" TargetMode="External"/><Relationship Id="rId1671" Type="http://schemas.openxmlformats.org/officeDocument/2006/relationships/image" Target="../media/image831.png"/><Relationship Id="rId2308" Type="http://schemas.openxmlformats.org/officeDocument/2006/relationships/hyperlink" Target="https://natalie.tf/wp-content/uploads/2023/10/DLV3_Icon_ADV_110352_01_r05.png" TargetMode="External"/><Relationship Id="rId2515" Type="http://schemas.openxmlformats.org/officeDocument/2006/relationships/image" Target="../media/image1253.png"/><Relationship Id="rId2722" Type="http://schemas.openxmlformats.org/officeDocument/2006/relationships/hyperlink" Target="https://natalie.tf/wp-content/uploads/2023/10/DLV3_Icon_DRA_210146_01.png" TargetMode="External"/><Relationship Id="rId901" Type="http://schemas.openxmlformats.org/officeDocument/2006/relationships/image" Target="../media/image450.png"/><Relationship Id="rId1117" Type="http://schemas.openxmlformats.org/officeDocument/2006/relationships/hyperlink" Target="https://natalie.tf/wp-content/uploads/2023/10/DLV3_Icon_WP_400413_01.png" TargetMode="External"/><Relationship Id="rId1324" Type="http://schemas.openxmlformats.org/officeDocument/2006/relationships/hyperlink" Target="https://natalie.tf/wp-content/uploads/2023/10/DLV3_Icon_WP_400491_01.png" TargetMode="External"/><Relationship Id="rId1531" Type="http://schemas.openxmlformats.org/officeDocument/2006/relationships/image" Target="../media/image761.png"/><Relationship Id="rId1769" Type="http://schemas.openxmlformats.org/officeDocument/2006/relationships/image" Target="../media/image880.png"/><Relationship Id="rId1976" Type="http://schemas.openxmlformats.org/officeDocument/2006/relationships/hyperlink" Target="https://natalie.tf/wp-content/uploads/2023/10/DLV3_Icon_WP_400130_02.png" TargetMode="External"/><Relationship Id="rId30" Type="http://schemas.openxmlformats.org/officeDocument/2006/relationships/image" Target="../media/image15.png"/><Relationship Id="rId1629" Type="http://schemas.openxmlformats.org/officeDocument/2006/relationships/image" Target="../media/image810.png"/><Relationship Id="rId1836" Type="http://schemas.openxmlformats.org/officeDocument/2006/relationships/hyperlink" Target="https://natalie.tf/wp-content/uploads/2023/10/DLV3_Icon_WP_400495_01.png" TargetMode="External"/><Relationship Id="rId1903" Type="http://schemas.openxmlformats.org/officeDocument/2006/relationships/image" Target="../media/image947.png"/><Relationship Id="rId2098" Type="http://schemas.openxmlformats.org/officeDocument/2006/relationships/hyperlink" Target="https://natalie.tf/wp-content/uploads/2023/10/DLV3_Icon_ADV_110264_01_r05.png" TargetMode="External"/><Relationship Id="rId3051" Type="http://schemas.openxmlformats.org/officeDocument/2006/relationships/hyperlink" Target="https://natalie.tf/wp-content/uploads/2023/10/DLV3_Icon_Skill_009.png" TargetMode="External"/><Relationship Id="rId277" Type="http://schemas.openxmlformats.org/officeDocument/2006/relationships/hyperlink" Target="https://natalie.tf/wp-content/uploads/2023/10/DLV3_Icon_Weapon_307103_01.png" TargetMode="External"/><Relationship Id="rId484" Type="http://schemas.openxmlformats.org/officeDocument/2006/relationships/image" Target="../media/image242.png"/><Relationship Id="rId2165" Type="http://schemas.openxmlformats.org/officeDocument/2006/relationships/image" Target="../media/image1078.png"/><Relationship Id="rId3009" Type="http://schemas.openxmlformats.org/officeDocument/2006/relationships/hyperlink" Target="https://natalie.tf/wp-content/uploads/2023/11/DLV3_Icon_NPC_110256_02.png" TargetMode="External"/><Relationship Id="rId137" Type="http://schemas.openxmlformats.org/officeDocument/2006/relationships/hyperlink" Target="https://natalie.tf/wp-content/uploads/2023/10/DLV3_Icon_Weapon_309011_01.png" TargetMode="External"/><Relationship Id="rId344" Type="http://schemas.openxmlformats.org/officeDocument/2006/relationships/image" Target="../media/image172.png"/><Relationship Id="rId691" Type="http://schemas.openxmlformats.org/officeDocument/2006/relationships/hyperlink" Target="https://natalie.tf/wp-content/uploads/2023/11/DLV3_Icon_Affinity_Bull.png" TargetMode="External"/><Relationship Id="rId789" Type="http://schemas.openxmlformats.org/officeDocument/2006/relationships/hyperlink" Target="https://natalie.tf/wp-content/uploads/2023/10/DLV3_Icon_WP_400075_02.png" TargetMode="External"/><Relationship Id="rId996" Type="http://schemas.openxmlformats.org/officeDocument/2006/relationships/image" Target="../media/image494.png"/><Relationship Id="rId2025" Type="http://schemas.openxmlformats.org/officeDocument/2006/relationships/image" Target="../media/image1008.png"/><Relationship Id="rId2372" Type="http://schemas.openxmlformats.org/officeDocument/2006/relationships/hyperlink" Target="https://natalie.tf/wp-content/uploads/2023/10/DLV3_Icon_ADV_100008_04_r05.png" TargetMode="External"/><Relationship Id="rId2677" Type="http://schemas.openxmlformats.org/officeDocument/2006/relationships/image" Target="../media/image1334.png"/><Relationship Id="rId2884" Type="http://schemas.openxmlformats.org/officeDocument/2006/relationships/hyperlink" Target="https://natalie.tf/wp-content/uploads/2023/10/DLV3_Icon_DRA_210135_01.png" TargetMode="External"/><Relationship Id="rId551" Type="http://schemas.openxmlformats.org/officeDocument/2006/relationships/hyperlink" Target="https://natalie.tf/wp-content/uploads/2023/10/DLV3_Icon_Weapon_301159_01.png" TargetMode="External"/><Relationship Id="rId649" Type="http://schemas.openxmlformats.org/officeDocument/2006/relationships/hyperlink" Target="https://natalie.tf/wp-content/uploads/2023/10/DLV3_Icon_WP_400362_01.png" TargetMode="External"/><Relationship Id="rId856" Type="http://schemas.openxmlformats.org/officeDocument/2006/relationships/image" Target="../media/image428.png"/><Relationship Id="rId1181" Type="http://schemas.openxmlformats.org/officeDocument/2006/relationships/hyperlink" Target="https://natalie.tf/wp-content/uploads/2023/10/DLV3_Icon_WP_400437_01.png" TargetMode="External"/><Relationship Id="rId1279" Type="http://schemas.openxmlformats.org/officeDocument/2006/relationships/image" Target="../media/image635.png"/><Relationship Id="rId1486" Type="http://schemas.openxmlformats.org/officeDocument/2006/relationships/hyperlink" Target="https://natalie.tf/wp-content/uploads/2023/10/DLV3_Icon_WP_400069_01.png" TargetMode="External"/><Relationship Id="rId2232" Type="http://schemas.openxmlformats.org/officeDocument/2006/relationships/hyperlink" Target="https://natalie.tf/wp-content/uploads/2023/10/DLV3_Icon_ADV_110258_01_r05.png" TargetMode="External"/><Relationship Id="rId2537" Type="http://schemas.openxmlformats.org/officeDocument/2006/relationships/image" Target="../media/image1264.png"/><Relationship Id="rId204" Type="http://schemas.openxmlformats.org/officeDocument/2006/relationships/image" Target="../media/image102.png"/><Relationship Id="rId411" Type="http://schemas.openxmlformats.org/officeDocument/2006/relationships/hyperlink" Target="https://natalie.tf/wp-content/uploads/2023/10/DLV3_Icon_Weapon_303109_01.png" TargetMode="External"/><Relationship Id="rId509" Type="http://schemas.openxmlformats.org/officeDocument/2006/relationships/hyperlink" Target="https://natalie.tf/wp-content/uploads/2023/10/DLV3_Icon_Weapon_307137_01.png" TargetMode="External"/><Relationship Id="rId1041" Type="http://schemas.openxmlformats.org/officeDocument/2006/relationships/hyperlink" Target="https://natalie.tf/wp-content/uploads/2023/10/DLV3_Icon_WP_400135_01.png" TargetMode="External"/><Relationship Id="rId1139" Type="http://schemas.openxmlformats.org/officeDocument/2006/relationships/hyperlink" Target="https://natalie.tf/wp-content/uploads/2023/10/DLV3_Icon_WP_400402_02.png" TargetMode="External"/><Relationship Id="rId1346" Type="http://schemas.openxmlformats.org/officeDocument/2006/relationships/hyperlink" Target="https://natalie.tf/wp-content/uploads/2023/10/DLV3_Icon_WP_400487_01.png" TargetMode="External"/><Relationship Id="rId1693" Type="http://schemas.openxmlformats.org/officeDocument/2006/relationships/image" Target="../media/image842.png"/><Relationship Id="rId1998" Type="http://schemas.openxmlformats.org/officeDocument/2006/relationships/hyperlink" Target="https://natalie.tf/wp-content/uploads/2023/10/DLV3_Icon_WP_400279_01.png" TargetMode="External"/><Relationship Id="rId2744" Type="http://schemas.openxmlformats.org/officeDocument/2006/relationships/hyperlink" Target="https://natalie.tf/wp-content/uploads/2023/10/DLV3_Icon_DRA_210067_01.png" TargetMode="External"/><Relationship Id="rId2951" Type="http://schemas.openxmlformats.org/officeDocument/2006/relationships/hyperlink" Target="https://natalie.tf/wp-content/uploads/2023/11/DLV3_Icon_DRA_Custom_Void_Zephyr.png" TargetMode="External"/><Relationship Id="rId716" Type="http://schemas.openxmlformats.org/officeDocument/2006/relationships/image" Target="../media/image358.png"/><Relationship Id="rId923" Type="http://schemas.openxmlformats.org/officeDocument/2006/relationships/hyperlink" Target="https://natalie.tf/wp-content/uploads/2023/10/DLV3_Icon_WP_400146_02.png" TargetMode="External"/><Relationship Id="rId1553" Type="http://schemas.openxmlformats.org/officeDocument/2006/relationships/image" Target="../media/image772.png"/><Relationship Id="rId1760" Type="http://schemas.openxmlformats.org/officeDocument/2006/relationships/hyperlink" Target="https://natalie.tf/wp-content/uploads/2023/10/DLV3_Icon_WP_400449_01.png" TargetMode="External"/><Relationship Id="rId1858" Type="http://schemas.openxmlformats.org/officeDocument/2006/relationships/hyperlink" Target="https://natalie.tf/wp-content/uploads/2023/10/DLV3_Icon_WP_400007_02.png" TargetMode="External"/><Relationship Id="rId2604" Type="http://schemas.openxmlformats.org/officeDocument/2006/relationships/hyperlink" Target="https://natalie.tf/wp-content/uploads/2023/10/DLV3_Icon_ADV_110318_02_r05.png" TargetMode="External"/><Relationship Id="rId2811" Type="http://schemas.openxmlformats.org/officeDocument/2006/relationships/image" Target="../media/image1401.png"/><Relationship Id="rId52" Type="http://schemas.openxmlformats.org/officeDocument/2006/relationships/image" Target="../media/image26.png"/><Relationship Id="rId1206" Type="http://schemas.openxmlformats.org/officeDocument/2006/relationships/image" Target="../media/image599.png"/><Relationship Id="rId1413" Type="http://schemas.openxmlformats.org/officeDocument/2006/relationships/image" Target="../media/image702.png"/><Relationship Id="rId1620" Type="http://schemas.openxmlformats.org/officeDocument/2006/relationships/hyperlink" Target="https://natalie.tf/wp-content/uploads/2023/10/DLV3_Icon_WP_400095_02.png" TargetMode="External"/><Relationship Id="rId2909" Type="http://schemas.openxmlformats.org/officeDocument/2006/relationships/image" Target="../media/image1450.png"/><Relationship Id="rId3073" Type="http://schemas.openxmlformats.org/officeDocument/2006/relationships/hyperlink" Target="https://natalie.tf/wp-content/uploads/2023/10/DLV3_Icon_Skill_016.png" TargetMode="External"/><Relationship Id="rId1718" Type="http://schemas.openxmlformats.org/officeDocument/2006/relationships/hyperlink" Target="https://natalie.tf/wp-content/uploads/2023/10/DLV3_Icon_WP_400432_01.png" TargetMode="External"/><Relationship Id="rId1925" Type="http://schemas.openxmlformats.org/officeDocument/2006/relationships/image" Target="../media/image958.png"/><Relationship Id="rId299" Type="http://schemas.openxmlformats.org/officeDocument/2006/relationships/hyperlink" Target="https://natalie.tf/wp-content/uploads/2023/10/DLV3_Icon_Weapon_301133_01.png" TargetMode="External"/><Relationship Id="rId2187" Type="http://schemas.openxmlformats.org/officeDocument/2006/relationships/image" Target="../media/image1089.png"/><Relationship Id="rId2394" Type="http://schemas.openxmlformats.org/officeDocument/2006/relationships/hyperlink" Target="https://natalie.tf/wp-content/uploads/2023/10/DLV3_Icon_ADV_110397_01_r05.png" TargetMode="External"/><Relationship Id="rId159" Type="http://schemas.openxmlformats.org/officeDocument/2006/relationships/hyperlink" Target="https://natalie.tf/wp-content/uploads/2023/10/DLV3_Icon_Weapon_307014_01.png" TargetMode="External"/><Relationship Id="rId366" Type="http://schemas.openxmlformats.org/officeDocument/2006/relationships/image" Target="../media/image183.png"/><Relationship Id="rId573" Type="http://schemas.openxmlformats.org/officeDocument/2006/relationships/hyperlink" Target="https://natalie.tf/wp-content/uploads/2023/10/DLV3_Icon_Weapon_303148_01.png" TargetMode="External"/><Relationship Id="rId780" Type="http://schemas.openxmlformats.org/officeDocument/2006/relationships/image" Target="../media/image390.png"/><Relationship Id="rId2047" Type="http://schemas.openxmlformats.org/officeDocument/2006/relationships/image" Target="../media/image1019.png"/><Relationship Id="rId2254" Type="http://schemas.openxmlformats.org/officeDocument/2006/relationships/hyperlink" Target="https://natalie.tf/wp-content/uploads/2023/10/DLV3_Icon_ADV_100004_17_r05.png" TargetMode="External"/><Relationship Id="rId2461" Type="http://schemas.openxmlformats.org/officeDocument/2006/relationships/image" Target="../media/image1226.png"/><Relationship Id="rId2699" Type="http://schemas.openxmlformats.org/officeDocument/2006/relationships/image" Target="../media/image1345.png"/><Relationship Id="rId3000" Type="http://schemas.openxmlformats.org/officeDocument/2006/relationships/image" Target="../media/image1495.png"/><Relationship Id="rId226" Type="http://schemas.openxmlformats.org/officeDocument/2006/relationships/image" Target="../media/image113.png"/><Relationship Id="rId433" Type="http://schemas.openxmlformats.org/officeDocument/2006/relationships/hyperlink" Target="https://natalie.tf/wp-content/uploads/2023/10/DLV3_Icon_Weapon_305117_01.png" TargetMode="External"/><Relationship Id="rId878" Type="http://schemas.openxmlformats.org/officeDocument/2006/relationships/hyperlink" Target="https://natalie.tf/wp-content/uploads/2023/10/DLV3_Icon_WP_400129_01.png" TargetMode="External"/><Relationship Id="rId1063" Type="http://schemas.openxmlformats.org/officeDocument/2006/relationships/hyperlink" Target="https://natalie.tf/wp-content/uploads/2023/10/DLV3_Icon_WP_400400_01.png" TargetMode="External"/><Relationship Id="rId1270" Type="http://schemas.openxmlformats.org/officeDocument/2006/relationships/hyperlink" Target="https://natalie.tf/wp-content/uploads/2023/10/DLV3_Icon_WP_400466_02.png" TargetMode="External"/><Relationship Id="rId2114" Type="http://schemas.openxmlformats.org/officeDocument/2006/relationships/hyperlink" Target="https://natalie.tf/wp-content/uploads/2023/10/DLV3_Icon_ADV_100044_02_r05.png" TargetMode="External"/><Relationship Id="rId2559" Type="http://schemas.openxmlformats.org/officeDocument/2006/relationships/image" Target="../media/image1275.png"/><Relationship Id="rId2766" Type="http://schemas.openxmlformats.org/officeDocument/2006/relationships/hyperlink" Target="https://natalie.tf/wp-content/uploads/2023/10/DLV3_Icon_DRA_210026_01.png" TargetMode="External"/><Relationship Id="rId2973" Type="http://schemas.openxmlformats.org/officeDocument/2006/relationships/hyperlink" Target="https://natalie.tf/wp-content/uploads/2023/11/DLV3_Icon_NPC_100039_01.png" TargetMode="External"/><Relationship Id="rId640" Type="http://schemas.openxmlformats.org/officeDocument/2006/relationships/image" Target="../media/image320.png"/><Relationship Id="rId738" Type="http://schemas.openxmlformats.org/officeDocument/2006/relationships/image" Target="../media/image369.png"/><Relationship Id="rId945" Type="http://schemas.openxmlformats.org/officeDocument/2006/relationships/image" Target="../media/image469.png"/><Relationship Id="rId1368" Type="http://schemas.openxmlformats.org/officeDocument/2006/relationships/hyperlink" Target="https://natalie.tf/wp-content/uploads/2023/10/DLV3_Icon_WP_400497_01.png" TargetMode="External"/><Relationship Id="rId1575" Type="http://schemas.openxmlformats.org/officeDocument/2006/relationships/image" Target="../media/image783.png"/><Relationship Id="rId1782" Type="http://schemas.openxmlformats.org/officeDocument/2006/relationships/hyperlink" Target="https://natalie.tf/wp-content/uploads/2023/10/DLV3_Icon_WP_400458_02.png" TargetMode="External"/><Relationship Id="rId2321" Type="http://schemas.openxmlformats.org/officeDocument/2006/relationships/image" Target="../media/image1156.png"/><Relationship Id="rId2419" Type="http://schemas.openxmlformats.org/officeDocument/2006/relationships/image" Target="../media/image1205.png"/><Relationship Id="rId2626" Type="http://schemas.openxmlformats.org/officeDocument/2006/relationships/hyperlink" Target="https://natalie.tf/wp-content/uploads/2023/10/DLV3_Icon_ADV_110404_01_r05.png" TargetMode="External"/><Relationship Id="rId2833" Type="http://schemas.openxmlformats.org/officeDocument/2006/relationships/image" Target="../media/image1412.png"/><Relationship Id="rId74" Type="http://schemas.openxmlformats.org/officeDocument/2006/relationships/image" Target="../media/image37.png"/><Relationship Id="rId500" Type="http://schemas.openxmlformats.org/officeDocument/2006/relationships/image" Target="../media/image250.png"/><Relationship Id="rId805" Type="http://schemas.openxmlformats.org/officeDocument/2006/relationships/hyperlink" Target="https://natalie.tf/wp-content/uploads/2023/10/DLV3_Icon_WP_400087_01.png" TargetMode="External"/><Relationship Id="rId1130" Type="http://schemas.openxmlformats.org/officeDocument/2006/relationships/image" Target="../media/image561.png"/><Relationship Id="rId1228" Type="http://schemas.openxmlformats.org/officeDocument/2006/relationships/hyperlink" Target="https://natalie.tf/wp-content/uploads/2023/10/DLV3_Icon_WP_400456_02.png" TargetMode="External"/><Relationship Id="rId1435" Type="http://schemas.openxmlformats.org/officeDocument/2006/relationships/image" Target="../media/image713.png"/><Relationship Id="rId1642" Type="http://schemas.openxmlformats.org/officeDocument/2006/relationships/hyperlink" Target="https://natalie.tf/wp-content/uploads/2023/10/DLV3_Icon_WP_400381_02.png" TargetMode="External"/><Relationship Id="rId1947" Type="http://schemas.openxmlformats.org/officeDocument/2006/relationships/image" Target="../media/image969.png"/><Relationship Id="rId2900" Type="http://schemas.openxmlformats.org/officeDocument/2006/relationships/hyperlink" Target="https://natalie.tf/wp-content/uploads/2023/11/DLV3_Icon_DRA_Custom_Beast_Kai_Yan.png" TargetMode="External"/><Relationship Id="rId1502" Type="http://schemas.openxmlformats.org/officeDocument/2006/relationships/hyperlink" Target="https://natalie.tf/wp-content/uploads/2023/10/DLV3_Icon_WP_400058_01.png" TargetMode="External"/><Relationship Id="rId1807" Type="http://schemas.openxmlformats.org/officeDocument/2006/relationships/image" Target="../media/image899.png"/><Relationship Id="rId290" Type="http://schemas.openxmlformats.org/officeDocument/2006/relationships/image" Target="../media/image145.png"/><Relationship Id="rId388" Type="http://schemas.openxmlformats.org/officeDocument/2006/relationships/image" Target="../media/image194.png"/><Relationship Id="rId2069" Type="http://schemas.openxmlformats.org/officeDocument/2006/relationships/image" Target="../media/image1030.png"/><Relationship Id="rId3022" Type="http://schemas.openxmlformats.org/officeDocument/2006/relationships/image" Target="../media/image1506.png"/><Relationship Id="rId150" Type="http://schemas.openxmlformats.org/officeDocument/2006/relationships/image" Target="../media/image75.png"/><Relationship Id="rId595" Type="http://schemas.openxmlformats.org/officeDocument/2006/relationships/hyperlink" Target="https://natalie.tf/wp-content/uploads/2023/10/DLV3_Icon_Weapon_305156_01.png" TargetMode="External"/><Relationship Id="rId2276" Type="http://schemas.openxmlformats.org/officeDocument/2006/relationships/hyperlink" Target="https://natalie.tf/wp-content/uploads/2023/10/DLV3_Icon_ADV_100018_02_r05.png" TargetMode="External"/><Relationship Id="rId2483" Type="http://schemas.openxmlformats.org/officeDocument/2006/relationships/image" Target="../media/image1237.png"/><Relationship Id="rId2690" Type="http://schemas.openxmlformats.org/officeDocument/2006/relationships/hyperlink" Target="https://natalie.tf/wp-content/uploads/2023/10/DLV3_Icon_DRA_210007_01.png" TargetMode="External"/><Relationship Id="rId248" Type="http://schemas.openxmlformats.org/officeDocument/2006/relationships/image" Target="../media/image124.png"/><Relationship Id="rId455" Type="http://schemas.openxmlformats.org/officeDocument/2006/relationships/hyperlink" Target="https://natalie.tf/wp-content/uploads/2023/10/DLV3_Icon_Weapon_307120_01.png" TargetMode="External"/><Relationship Id="rId662" Type="http://schemas.openxmlformats.org/officeDocument/2006/relationships/image" Target="../media/image331.png"/><Relationship Id="rId1085" Type="http://schemas.openxmlformats.org/officeDocument/2006/relationships/hyperlink" Target="https://natalie.tf/wp-content/uploads/2023/10/DLV3_Icon_WP_400393_02.png" TargetMode="External"/><Relationship Id="rId1292" Type="http://schemas.openxmlformats.org/officeDocument/2006/relationships/hyperlink" Target="https://natalie.tf/wp-content/uploads/2023/10/DLV3_Icon_WP_400472_01.png" TargetMode="External"/><Relationship Id="rId2136" Type="http://schemas.openxmlformats.org/officeDocument/2006/relationships/hyperlink" Target="https://natalie.tf/wp-content/uploads/2023/10/DLV3_Icon_ADV_110261_01_r05.png" TargetMode="External"/><Relationship Id="rId2343" Type="http://schemas.openxmlformats.org/officeDocument/2006/relationships/image" Target="../media/image1167.png"/><Relationship Id="rId2550" Type="http://schemas.openxmlformats.org/officeDocument/2006/relationships/hyperlink" Target="https://natalie.tf/wp-content/uploads/2023/10/DLV3_Icon_ADV_110326_01_r05.png" TargetMode="External"/><Relationship Id="rId2788" Type="http://schemas.openxmlformats.org/officeDocument/2006/relationships/hyperlink" Target="https://natalie.tf/wp-content/uploads/2023/10/DLV3_Icon_DRA_210116_01.png" TargetMode="External"/><Relationship Id="rId2995" Type="http://schemas.openxmlformats.org/officeDocument/2006/relationships/hyperlink" Target="https://natalie.tf/wp-content/uploads/2023/11/DLV3_Icon_NPC_Custom_100049_01.png" TargetMode="External"/><Relationship Id="rId108" Type="http://schemas.openxmlformats.org/officeDocument/2006/relationships/image" Target="../media/image54.png"/><Relationship Id="rId315" Type="http://schemas.openxmlformats.org/officeDocument/2006/relationships/hyperlink" Target="https://natalie.tf/wp-content/uploads/2023/10/DLV3_Icon_Weapon_309017_01.png" TargetMode="External"/><Relationship Id="rId522" Type="http://schemas.openxmlformats.org/officeDocument/2006/relationships/image" Target="../media/image261.png"/><Relationship Id="rId967" Type="http://schemas.openxmlformats.org/officeDocument/2006/relationships/image" Target="../media/image480.png"/><Relationship Id="rId1152" Type="http://schemas.openxmlformats.org/officeDocument/2006/relationships/image" Target="../media/image572.png"/><Relationship Id="rId1597" Type="http://schemas.openxmlformats.org/officeDocument/2006/relationships/image" Target="../media/image794.png"/><Relationship Id="rId2203" Type="http://schemas.openxmlformats.org/officeDocument/2006/relationships/image" Target="../media/image1097.png"/><Relationship Id="rId2410" Type="http://schemas.openxmlformats.org/officeDocument/2006/relationships/hyperlink" Target="https://natalie.tf/wp-content/uploads/2023/10/DLV3_Icon_ADV_110049_02_r05.png" TargetMode="External"/><Relationship Id="rId2648" Type="http://schemas.openxmlformats.org/officeDocument/2006/relationships/hyperlink" Target="https://natalie.tf/wp-content/uploads/2023/11/DLV3_Icon_ADV_Custom_Volk.png" TargetMode="External"/><Relationship Id="rId2855" Type="http://schemas.openxmlformats.org/officeDocument/2006/relationships/image" Target="../media/image1423.png"/><Relationship Id="rId96" Type="http://schemas.openxmlformats.org/officeDocument/2006/relationships/image" Target="../media/image48.png"/><Relationship Id="rId827" Type="http://schemas.openxmlformats.org/officeDocument/2006/relationships/hyperlink" Target="https://natalie.tf/wp-content/uploads/2023/10/DLV3_Icon_Ability_1020011.png" TargetMode="External"/><Relationship Id="rId1012" Type="http://schemas.openxmlformats.org/officeDocument/2006/relationships/image" Target="../media/image502.png"/><Relationship Id="rId1457" Type="http://schemas.openxmlformats.org/officeDocument/2006/relationships/image" Target="../media/image724.png"/><Relationship Id="rId1664" Type="http://schemas.openxmlformats.org/officeDocument/2006/relationships/hyperlink" Target="https://natalie.tf/wp-content/uploads/2023/10/DLV3_Icon_WP_400396_01.png" TargetMode="External"/><Relationship Id="rId1871" Type="http://schemas.openxmlformats.org/officeDocument/2006/relationships/image" Target="../media/image931.png"/><Relationship Id="rId2508" Type="http://schemas.openxmlformats.org/officeDocument/2006/relationships/hyperlink" Target="https://natalie.tf/wp-content/uploads/2023/10/DLV3_Icon_ADV_110041_01_r05.png" TargetMode="External"/><Relationship Id="rId2715" Type="http://schemas.openxmlformats.org/officeDocument/2006/relationships/image" Target="../media/image1353.png"/><Relationship Id="rId2922" Type="http://schemas.openxmlformats.org/officeDocument/2006/relationships/hyperlink" Target="https://natalie.tf/wp-content/uploads/2023/11/DLV3_Icon_DRA_Custom_Beast_Atlas.png" TargetMode="External"/><Relationship Id="rId1317" Type="http://schemas.openxmlformats.org/officeDocument/2006/relationships/image" Target="../media/image654.png"/><Relationship Id="rId1524" Type="http://schemas.openxmlformats.org/officeDocument/2006/relationships/hyperlink" Target="https://natalie.tf/wp-content/uploads/2023/10/DLV3_Icon_WP_400100_01.png" TargetMode="External"/><Relationship Id="rId1731" Type="http://schemas.openxmlformats.org/officeDocument/2006/relationships/image" Target="../media/image861.png"/><Relationship Id="rId1969" Type="http://schemas.openxmlformats.org/officeDocument/2006/relationships/image" Target="../media/image980.png"/><Relationship Id="rId23" Type="http://schemas.openxmlformats.org/officeDocument/2006/relationships/hyperlink" Target="https://natalie.tf/wp-content/uploads/2023/10/DLV3_Icon_DRA_210062_01.png" TargetMode="External"/><Relationship Id="rId1829" Type="http://schemas.openxmlformats.org/officeDocument/2006/relationships/image" Target="../media/image910.png"/><Relationship Id="rId2298" Type="http://schemas.openxmlformats.org/officeDocument/2006/relationships/hyperlink" Target="https://natalie.tf/wp-content/uploads/2023/10/DLV3_Icon_ADV_110026_01_r05.png" TargetMode="External"/><Relationship Id="rId3044" Type="http://schemas.openxmlformats.org/officeDocument/2006/relationships/image" Target="../media/image1517.png"/><Relationship Id="rId172" Type="http://schemas.openxmlformats.org/officeDocument/2006/relationships/image" Target="../media/image86.png"/><Relationship Id="rId477" Type="http://schemas.openxmlformats.org/officeDocument/2006/relationships/hyperlink" Target="https://natalie.tf/wp-content/uploads/2023/10/DLV3_Icon_Weapon_309026_01.png" TargetMode="External"/><Relationship Id="rId684" Type="http://schemas.openxmlformats.org/officeDocument/2006/relationships/image" Target="../media/image342.png"/><Relationship Id="rId2060" Type="http://schemas.openxmlformats.org/officeDocument/2006/relationships/hyperlink" Target="https://natalie.tf/wp-content/uploads/2023/10/DLV3_Icon_ADV_110007_01_r05.png" TargetMode="External"/><Relationship Id="rId2158" Type="http://schemas.openxmlformats.org/officeDocument/2006/relationships/hyperlink" Target="https://natalie.tf/wp-content/uploads/2023/10/DLV3_Icon_ADV_110257_02_r05.png" TargetMode="External"/><Relationship Id="rId2365" Type="http://schemas.openxmlformats.org/officeDocument/2006/relationships/image" Target="../media/image1178.png"/><Relationship Id="rId337" Type="http://schemas.openxmlformats.org/officeDocument/2006/relationships/hyperlink" Target="https://natalie.tf/wp-content/uploads/2023/10/DLV3_Icon_Weapon_302126_01.png" TargetMode="External"/><Relationship Id="rId891" Type="http://schemas.openxmlformats.org/officeDocument/2006/relationships/image" Target="../media/image445.png"/><Relationship Id="rId989" Type="http://schemas.openxmlformats.org/officeDocument/2006/relationships/hyperlink" Target="https://natalie.tf/wp-content/uploads/2023/10/DLV3_Icon_WP_400334_01.png" TargetMode="External"/><Relationship Id="rId2018" Type="http://schemas.openxmlformats.org/officeDocument/2006/relationships/hyperlink" Target="https://natalie.tf/wp-content/uploads/2023/10/DLV3_Icon_WP_400005_01.png" TargetMode="External"/><Relationship Id="rId2572" Type="http://schemas.openxmlformats.org/officeDocument/2006/relationships/hyperlink" Target="https://natalie.tf/wp-content/uploads/2023/10/DLV3_Icon_ADV_110045_01_r05.png" TargetMode="External"/><Relationship Id="rId2877" Type="http://schemas.openxmlformats.org/officeDocument/2006/relationships/image" Target="../media/image1434.png"/><Relationship Id="rId544" Type="http://schemas.openxmlformats.org/officeDocument/2006/relationships/image" Target="../media/image272.png"/><Relationship Id="rId751" Type="http://schemas.openxmlformats.org/officeDocument/2006/relationships/hyperlink" Target="https://natalie.tf/wp-content/uploads/2023/10/DLV3_Icon_Ability_1010009.png" TargetMode="External"/><Relationship Id="rId849" Type="http://schemas.openxmlformats.org/officeDocument/2006/relationships/hyperlink" Target="https://natalie.tf/wp-content/uploads/2023/10/DLV3_Icon_WP_400091_02.png" TargetMode="External"/><Relationship Id="rId1174" Type="http://schemas.openxmlformats.org/officeDocument/2006/relationships/image" Target="../media/image583.png"/><Relationship Id="rId1381" Type="http://schemas.openxmlformats.org/officeDocument/2006/relationships/image" Target="../media/image686.png"/><Relationship Id="rId1479" Type="http://schemas.openxmlformats.org/officeDocument/2006/relationships/image" Target="../media/image735.png"/><Relationship Id="rId1686" Type="http://schemas.openxmlformats.org/officeDocument/2006/relationships/hyperlink" Target="https://natalie.tf/wp-content/uploads/2023/10/DLV3_Icon_WP_400415_01.png" TargetMode="External"/><Relationship Id="rId2225" Type="http://schemas.openxmlformats.org/officeDocument/2006/relationships/image" Target="../media/image1108.png"/><Relationship Id="rId2432" Type="http://schemas.openxmlformats.org/officeDocument/2006/relationships/hyperlink" Target="https://natalie.tf/wp-content/uploads/2023/10/DLV3_Icon_ADV_110035_01_r05.png" TargetMode="External"/><Relationship Id="rId404" Type="http://schemas.openxmlformats.org/officeDocument/2006/relationships/image" Target="../media/image202.png"/><Relationship Id="rId611" Type="http://schemas.openxmlformats.org/officeDocument/2006/relationships/hyperlink" Target="https://natalie.tf/wp-content/uploads/2023/10/DLV3_Icon_Weapon_304147_01.png" TargetMode="External"/><Relationship Id="rId1034" Type="http://schemas.openxmlformats.org/officeDocument/2006/relationships/image" Target="../media/image513.png"/><Relationship Id="rId1241" Type="http://schemas.openxmlformats.org/officeDocument/2006/relationships/image" Target="../media/image616.png"/><Relationship Id="rId1339" Type="http://schemas.openxmlformats.org/officeDocument/2006/relationships/image" Target="../media/image665.png"/><Relationship Id="rId1893" Type="http://schemas.openxmlformats.org/officeDocument/2006/relationships/image" Target="../media/image942.png"/><Relationship Id="rId2737" Type="http://schemas.openxmlformats.org/officeDocument/2006/relationships/image" Target="../media/image1364.png"/><Relationship Id="rId2944" Type="http://schemas.openxmlformats.org/officeDocument/2006/relationships/image" Target="../media/image1467.png"/><Relationship Id="rId709" Type="http://schemas.openxmlformats.org/officeDocument/2006/relationships/hyperlink" Target="https://natalie.tf/wp-content/uploads/2023/10/DLV3_Icon_WP_400247_01.png" TargetMode="External"/><Relationship Id="rId916" Type="http://schemas.openxmlformats.org/officeDocument/2006/relationships/image" Target="../media/image457.png"/><Relationship Id="rId1101" Type="http://schemas.openxmlformats.org/officeDocument/2006/relationships/hyperlink" Target="https://natalie.tf/wp-content/uploads/2023/10/DLV3_Icon_WP_400417_02.png" TargetMode="External"/><Relationship Id="rId1546" Type="http://schemas.openxmlformats.org/officeDocument/2006/relationships/hyperlink" Target="https://natalie.tf/wp-content/uploads/2023/10/DLV3_Icon_WP_400116_01.png" TargetMode="External"/><Relationship Id="rId1753" Type="http://schemas.openxmlformats.org/officeDocument/2006/relationships/image" Target="../media/image872.png"/><Relationship Id="rId1960" Type="http://schemas.openxmlformats.org/officeDocument/2006/relationships/hyperlink" Target="https://natalie.tf/wp-content/uploads/2023/10/DLV3_Icon_WP_400106_02.png" TargetMode="External"/><Relationship Id="rId2804" Type="http://schemas.openxmlformats.org/officeDocument/2006/relationships/hyperlink" Target="https://natalie.tf/wp-content/uploads/2023/10/DLV3_Icon_DRA_210094_01.png" TargetMode="External"/><Relationship Id="rId45" Type="http://schemas.openxmlformats.org/officeDocument/2006/relationships/hyperlink" Target="https://natalie.tf/wp-content/uploads/2023/10/DLV3_Icon_Weapon_304028_01.png" TargetMode="External"/><Relationship Id="rId1406" Type="http://schemas.openxmlformats.org/officeDocument/2006/relationships/hyperlink" Target="https://natalie.tf/wp-content/uploads/2023/10/DLV3_Icon_WP_400033_02.png" TargetMode="External"/><Relationship Id="rId1613" Type="http://schemas.openxmlformats.org/officeDocument/2006/relationships/image" Target="../media/image802.png"/><Relationship Id="rId1820" Type="http://schemas.openxmlformats.org/officeDocument/2006/relationships/hyperlink" Target="https://natalie.tf/wp-content/uploads/2023/10/DLV3_Icon_WP_400482_01.png" TargetMode="External"/><Relationship Id="rId3066" Type="http://schemas.openxmlformats.org/officeDocument/2006/relationships/image" Target="../media/image1528.png"/><Relationship Id="rId194" Type="http://schemas.openxmlformats.org/officeDocument/2006/relationships/image" Target="../media/image97.png"/><Relationship Id="rId1918" Type="http://schemas.openxmlformats.org/officeDocument/2006/relationships/hyperlink" Target="https://natalie.tf/wp-content/uploads/2023/10/DLV3_Icon_WP_400022_01.png" TargetMode="External"/><Relationship Id="rId2082" Type="http://schemas.openxmlformats.org/officeDocument/2006/relationships/hyperlink" Target="https://natalie.tf/wp-content/uploads/2023/10/DLV3_Icon_ADV_110260_01_r05.png" TargetMode="External"/><Relationship Id="rId261" Type="http://schemas.openxmlformats.org/officeDocument/2006/relationships/hyperlink" Target="https://natalie.tf/wp-content/uploads/2023/10/DLV3_Icon_Weapon_307114_01.png" TargetMode="External"/><Relationship Id="rId499" Type="http://schemas.openxmlformats.org/officeDocument/2006/relationships/hyperlink" Target="https://natalie.tf/wp-content/uploads/2023/10/DLV3_Icon_Weapon_302131_01.png" TargetMode="External"/><Relationship Id="rId2387" Type="http://schemas.openxmlformats.org/officeDocument/2006/relationships/image" Target="../media/image1189.png"/><Relationship Id="rId2594" Type="http://schemas.openxmlformats.org/officeDocument/2006/relationships/hyperlink" Target="https://natalie.tf/wp-content/uploads/2023/10/DLV3_Icon_ADV_110052_01_r05.png" TargetMode="External"/><Relationship Id="rId359" Type="http://schemas.openxmlformats.org/officeDocument/2006/relationships/hyperlink" Target="https://natalie.tf/wp-content/uploads/2023/10/DLV3_Icon_Weapon_304125_01.png" TargetMode="External"/><Relationship Id="rId566" Type="http://schemas.openxmlformats.org/officeDocument/2006/relationships/image" Target="../media/image283.png"/><Relationship Id="rId773" Type="http://schemas.openxmlformats.org/officeDocument/2006/relationships/hyperlink" Target="https://natalie.tf/wp-content/uploads/2023/10/DLV3_Icon_WP_400070_01.png" TargetMode="External"/><Relationship Id="rId1196" Type="http://schemas.openxmlformats.org/officeDocument/2006/relationships/image" Target="../media/image594.png"/><Relationship Id="rId2247" Type="http://schemas.openxmlformats.org/officeDocument/2006/relationships/image" Target="../media/image1119.png"/><Relationship Id="rId2454" Type="http://schemas.openxmlformats.org/officeDocument/2006/relationships/hyperlink" Target="https://natalie.tf/wp-content/uploads/2023/10/DLV3_Icon_ADV_110322_01_r05.png" TargetMode="External"/><Relationship Id="rId2899" Type="http://schemas.openxmlformats.org/officeDocument/2006/relationships/image" Target="../media/image1445.png"/><Relationship Id="rId121" Type="http://schemas.openxmlformats.org/officeDocument/2006/relationships/hyperlink" Target="https://natalie.tf/wp-content/uploads/2023/10/DLV3_Icon_Weapon_301032_01.png" TargetMode="External"/><Relationship Id="rId219" Type="http://schemas.openxmlformats.org/officeDocument/2006/relationships/hyperlink" Target="https://natalie.tf/wp-content/uploads/2023/10/DLV3_Icon_Weapon_302058_01.png" TargetMode="External"/><Relationship Id="rId426" Type="http://schemas.openxmlformats.org/officeDocument/2006/relationships/image" Target="../media/image213.png"/><Relationship Id="rId633" Type="http://schemas.openxmlformats.org/officeDocument/2006/relationships/hyperlink" Target="https://natalie.tf/wp-content/uploads/2023/10/DLV3_Icon_Weapon_306150_01.png" TargetMode="External"/><Relationship Id="rId980" Type="http://schemas.openxmlformats.org/officeDocument/2006/relationships/image" Target="../media/image486.png"/><Relationship Id="rId1056" Type="http://schemas.openxmlformats.org/officeDocument/2006/relationships/image" Target="../media/image524.png"/><Relationship Id="rId1263" Type="http://schemas.openxmlformats.org/officeDocument/2006/relationships/image" Target="../media/image627.png"/><Relationship Id="rId2107" Type="http://schemas.openxmlformats.org/officeDocument/2006/relationships/image" Target="../media/image1049.png"/><Relationship Id="rId2314" Type="http://schemas.openxmlformats.org/officeDocument/2006/relationships/hyperlink" Target="https://natalie.tf/wp-content/uploads/2023/10/DLV3_Icon_ADV_110027_02_r05.png" TargetMode="External"/><Relationship Id="rId2661" Type="http://schemas.openxmlformats.org/officeDocument/2006/relationships/image" Target="../media/image1326.png"/><Relationship Id="rId2759" Type="http://schemas.openxmlformats.org/officeDocument/2006/relationships/image" Target="../media/image1375.png"/><Relationship Id="rId2966" Type="http://schemas.openxmlformats.org/officeDocument/2006/relationships/image" Target="../media/image1478.png"/><Relationship Id="rId840" Type="http://schemas.openxmlformats.org/officeDocument/2006/relationships/image" Target="../media/image420.png"/><Relationship Id="rId938" Type="http://schemas.openxmlformats.org/officeDocument/2006/relationships/hyperlink" Target="https://natalie.tf/wp-content/uploads/2023/10/DLV3_Icon_WP_400150_02.png" TargetMode="External"/><Relationship Id="rId1470" Type="http://schemas.openxmlformats.org/officeDocument/2006/relationships/hyperlink" Target="https://natalie.tf/wp-content/uploads/2023/10/DLV3_Icon_WP_400048_01.png" TargetMode="External"/><Relationship Id="rId1568" Type="http://schemas.openxmlformats.org/officeDocument/2006/relationships/hyperlink" Target="https://natalie.tf/wp-content/uploads/2023/10/DLV3_Icon_WP_400138_02.png" TargetMode="External"/><Relationship Id="rId1775" Type="http://schemas.openxmlformats.org/officeDocument/2006/relationships/image" Target="../media/image883.png"/><Relationship Id="rId2521" Type="http://schemas.openxmlformats.org/officeDocument/2006/relationships/image" Target="../media/image1256.png"/><Relationship Id="rId2619" Type="http://schemas.openxmlformats.org/officeDocument/2006/relationships/image" Target="../media/image1305.png"/><Relationship Id="rId2826" Type="http://schemas.openxmlformats.org/officeDocument/2006/relationships/hyperlink" Target="https://natalie.tf/wp-content/uploads/2023/10/DLV3_Icon_DRA_210158_01.png" TargetMode="External"/><Relationship Id="rId67" Type="http://schemas.openxmlformats.org/officeDocument/2006/relationships/hyperlink" Target="https://natalie.tf/wp-content/uploads/2023/10/DLV3_Icon_Weapon_309001_01.png" TargetMode="External"/><Relationship Id="rId700" Type="http://schemas.openxmlformats.org/officeDocument/2006/relationships/image" Target="../media/image350.png"/><Relationship Id="rId1123" Type="http://schemas.openxmlformats.org/officeDocument/2006/relationships/hyperlink" Target="https://natalie.tf/wp-content/uploads/2023/10/DLV3_Icon_WP_400288_02.png" TargetMode="External"/><Relationship Id="rId1330" Type="http://schemas.openxmlformats.org/officeDocument/2006/relationships/hyperlink" Target="https://natalie.tf/wp-content/uploads/2023/10/DLV3_Icon_WP_400483_01.png" TargetMode="External"/><Relationship Id="rId1428" Type="http://schemas.openxmlformats.org/officeDocument/2006/relationships/hyperlink" Target="https://natalie.tf/wp-content/uploads/2023/10/DLV3_Icon_WP_400038_02.png" TargetMode="External"/><Relationship Id="rId1635" Type="http://schemas.openxmlformats.org/officeDocument/2006/relationships/image" Target="../media/image813.png"/><Relationship Id="rId1982" Type="http://schemas.openxmlformats.org/officeDocument/2006/relationships/hyperlink" Target="https://natalie.tf/wp-content/uploads/2023/10/DLV3_Icon_WP_400141_01.png" TargetMode="External"/><Relationship Id="rId1842" Type="http://schemas.openxmlformats.org/officeDocument/2006/relationships/hyperlink" Target="https://natalie.tf/wp-content/uploads/2023/10/DLV3_Icon_WP_400246_02.png" TargetMode="External"/><Relationship Id="rId1702" Type="http://schemas.openxmlformats.org/officeDocument/2006/relationships/hyperlink" Target="https://natalie.tf/wp-content/uploads/2023/10/DLV3_Icon_WP_400386_01.png" TargetMode="External"/><Relationship Id="rId283" Type="http://schemas.openxmlformats.org/officeDocument/2006/relationships/hyperlink" Target="https://natalie.tf/wp-content/uploads/2023/10/DLV3_Icon_Weapon_302123_01.png" TargetMode="External"/><Relationship Id="rId490" Type="http://schemas.openxmlformats.org/officeDocument/2006/relationships/image" Target="../media/image245.png"/><Relationship Id="rId2171" Type="http://schemas.openxmlformats.org/officeDocument/2006/relationships/image" Target="../media/image1081.png"/><Relationship Id="rId3015" Type="http://schemas.openxmlformats.org/officeDocument/2006/relationships/hyperlink" Target="https://natalie.tf/wp-content/uploads/2023/11/DLV3_Icon_NPC_Custom_200014_01.png" TargetMode="External"/><Relationship Id="rId143" Type="http://schemas.openxmlformats.org/officeDocument/2006/relationships/hyperlink" Target="https://natalie.tf/wp-content/uploads/2023/10/DLV3_Icon_Weapon_308011_01.png" TargetMode="External"/><Relationship Id="rId350" Type="http://schemas.openxmlformats.org/officeDocument/2006/relationships/image" Target="../media/image175.png"/><Relationship Id="rId588" Type="http://schemas.openxmlformats.org/officeDocument/2006/relationships/image" Target="../media/image294.png"/><Relationship Id="rId795" Type="http://schemas.openxmlformats.org/officeDocument/2006/relationships/hyperlink" Target="https://natalie.tf/wp-content/uploads/2023/10/DLV3_Icon_WP_400077_01.png" TargetMode="External"/><Relationship Id="rId2031" Type="http://schemas.openxmlformats.org/officeDocument/2006/relationships/image" Target="../media/image1011.png"/><Relationship Id="rId2269" Type="http://schemas.openxmlformats.org/officeDocument/2006/relationships/image" Target="../media/image1130.png"/><Relationship Id="rId2476" Type="http://schemas.openxmlformats.org/officeDocument/2006/relationships/hyperlink" Target="https://natalie.tf/wp-content/uploads/2023/10/DLV3_Icon_ADV_100006_01_r05.png" TargetMode="External"/><Relationship Id="rId2683" Type="http://schemas.openxmlformats.org/officeDocument/2006/relationships/image" Target="../media/image1337.png"/><Relationship Id="rId2890" Type="http://schemas.openxmlformats.org/officeDocument/2006/relationships/hyperlink" Target="https://natalie.tf/wp-content/uploads/2023/10/DLV3_Icon_DRA_210091_01.png" TargetMode="External"/><Relationship Id="rId9" Type="http://schemas.openxmlformats.org/officeDocument/2006/relationships/hyperlink" Target="https://natalie.tf/wp-content/uploads/2023/10/DLV3_Icon_Ability_1010063.png" TargetMode="External"/><Relationship Id="rId210" Type="http://schemas.openxmlformats.org/officeDocument/2006/relationships/image" Target="../media/image105.png"/><Relationship Id="rId448" Type="http://schemas.openxmlformats.org/officeDocument/2006/relationships/image" Target="../media/image224.png"/><Relationship Id="rId655" Type="http://schemas.openxmlformats.org/officeDocument/2006/relationships/hyperlink" Target="https://natalie.tf/wp-content/uploads/2023/10/DLV3_Icon_WP_400178_01.png" TargetMode="External"/><Relationship Id="rId862" Type="http://schemas.openxmlformats.org/officeDocument/2006/relationships/image" Target="../media/image431.png"/><Relationship Id="rId1078" Type="http://schemas.openxmlformats.org/officeDocument/2006/relationships/image" Target="../media/image535.png"/><Relationship Id="rId1285" Type="http://schemas.openxmlformats.org/officeDocument/2006/relationships/image" Target="../media/image638.png"/><Relationship Id="rId1492" Type="http://schemas.openxmlformats.org/officeDocument/2006/relationships/hyperlink" Target="https://natalie.tf/wp-content/uploads/2023/10/DLV3_Icon_WP_400055_02.png" TargetMode="External"/><Relationship Id="rId2129" Type="http://schemas.openxmlformats.org/officeDocument/2006/relationships/image" Target="../media/image1060.png"/><Relationship Id="rId2336" Type="http://schemas.openxmlformats.org/officeDocument/2006/relationships/hyperlink" Target="https://natalie.tf/wp-content/uploads/2023/10/DLV3_Icon_ADV_110066_02_r05.png" TargetMode="External"/><Relationship Id="rId2543" Type="http://schemas.openxmlformats.org/officeDocument/2006/relationships/image" Target="../media/image1267.png"/><Relationship Id="rId2750" Type="http://schemas.openxmlformats.org/officeDocument/2006/relationships/hyperlink" Target="https://natalie.tf/wp-content/uploads/2023/10/DLV3_Icon_DRA_210111_01.png" TargetMode="External"/><Relationship Id="rId2988" Type="http://schemas.openxmlformats.org/officeDocument/2006/relationships/image" Target="../media/image1489.png"/><Relationship Id="rId308" Type="http://schemas.openxmlformats.org/officeDocument/2006/relationships/image" Target="../media/image154.png"/><Relationship Id="rId515" Type="http://schemas.openxmlformats.org/officeDocument/2006/relationships/hyperlink" Target="https://natalie.tf/wp-content/uploads/2023/10/DLV3_Icon_Weapon_301141_01.png" TargetMode="External"/><Relationship Id="rId722" Type="http://schemas.openxmlformats.org/officeDocument/2006/relationships/image" Target="../media/image361.png"/><Relationship Id="rId1145" Type="http://schemas.openxmlformats.org/officeDocument/2006/relationships/hyperlink" Target="https://natalie.tf/wp-content/uploads/2023/10/DLV3_Icon_WP_400237_01.png" TargetMode="External"/><Relationship Id="rId1352" Type="http://schemas.openxmlformats.org/officeDocument/2006/relationships/hyperlink" Target="https://natalie.tf/wp-content/uploads/2023/10/DLV3_Icon_WP_400493_02.png" TargetMode="External"/><Relationship Id="rId1797" Type="http://schemas.openxmlformats.org/officeDocument/2006/relationships/image" Target="../media/image894.png"/><Relationship Id="rId2403" Type="http://schemas.openxmlformats.org/officeDocument/2006/relationships/image" Target="../media/image1197.png"/><Relationship Id="rId2848" Type="http://schemas.openxmlformats.org/officeDocument/2006/relationships/hyperlink" Target="https://natalie.tf/wp-content/uploads/2023/10/DLV3_Icon_DRA_210012_01.png" TargetMode="External"/><Relationship Id="rId89" Type="http://schemas.openxmlformats.org/officeDocument/2006/relationships/hyperlink" Target="https://natalie.tf/wp-content/uploads/2023/10/DLV3_Icon_Weapon_303033_01.png" TargetMode="External"/><Relationship Id="rId1005" Type="http://schemas.openxmlformats.org/officeDocument/2006/relationships/hyperlink" Target="https://natalie.tf/wp-content/uploads/2023/10/DLV3_Icon_WP_400098_01.png" TargetMode="External"/><Relationship Id="rId1212" Type="http://schemas.openxmlformats.org/officeDocument/2006/relationships/image" Target="../media/image602.png"/><Relationship Id="rId1657" Type="http://schemas.openxmlformats.org/officeDocument/2006/relationships/image" Target="../media/image824.png"/><Relationship Id="rId1864" Type="http://schemas.openxmlformats.org/officeDocument/2006/relationships/hyperlink" Target="https://natalie.tf/wp-content/uploads/2023/10/DLV3_Icon_WP_400009_01.png" TargetMode="External"/><Relationship Id="rId2610" Type="http://schemas.openxmlformats.org/officeDocument/2006/relationships/hyperlink" Target="https://natalie.tf/wp-content/uploads/2023/10/DLV3_Icon_ADV_110269_02_r05.png" TargetMode="External"/><Relationship Id="rId2708" Type="http://schemas.openxmlformats.org/officeDocument/2006/relationships/hyperlink" Target="https://natalie.tf/wp-content/uploads/2023/10/DLV3_Icon_DRA_210079_01.png" TargetMode="External"/><Relationship Id="rId2915" Type="http://schemas.openxmlformats.org/officeDocument/2006/relationships/image" Target="../media/image1453.png"/><Relationship Id="rId1517" Type="http://schemas.openxmlformats.org/officeDocument/2006/relationships/image" Target="../media/image754.png"/><Relationship Id="rId1724" Type="http://schemas.openxmlformats.org/officeDocument/2006/relationships/hyperlink" Target="https://natalie.tf/wp-content/uploads/2023/10/DLV3_Icon_WP_400434_02.png" TargetMode="External"/><Relationship Id="rId16" Type="http://schemas.openxmlformats.org/officeDocument/2006/relationships/image" Target="../media/image8.png"/><Relationship Id="rId1931" Type="http://schemas.openxmlformats.org/officeDocument/2006/relationships/image" Target="../media/image961.png"/><Relationship Id="rId3037" Type="http://schemas.openxmlformats.org/officeDocument/2006/relationships/hyperlink" Target="https://natalie.tf/wp-content/uploads/2023/11/DLV3_Icon_NPC_210028_01.png" TargetMode="External"/><Relationship Id="rId2193" Type="http://schemas.openxmlformats.org/officeDocument/2006/relationships/image" Target="../media/image1092.png"/><Relationship Id="rId2498" Type="http://schemas.openxmlformats.org/officeDocument/2006/relationships/hyperlink" Target="https://natalie.tf/wp-content/uploads/2023/10/DLV3_Icon_ADV_100032_07_r05.png" TargetMode="External"/><Relationship Id="rId165" Type="http://schemas.openxmlformats.org/officeDocument/2006/relationships/hyperlink" Target="https://natalie.tf/wp-content/uploads/2023/10/DLV3_Icon_Weapon_301015_01.png" TargetMode="External"/><Relationship Id="rId372" Type="http://schemas.openxmlformats.org/officeDocument/2006/relationships/image" Target="../media/image186.png"/><Relationship Id="rId677" Type="http://schemas.openxmlformats.org/officeDocument/2006/relationships/hyperlink" Target="https://natalie.tf/wp-content/uploads/2023/11/DLV3_Icon_Affinity_Sword.png" TargetMode="External"/><Relationship Id="rId2053" Type="http://schemas.openxmlformats.org/officeDocument/2006/relationships/image" Target="../media/image1022.png"/><Relationship Id="rId2260" Type="http://schemas.openxmlformats.org/officeDocument/2006/relationships/hyperlink" Target="https://natalie.tf/wp-content/uploads/2023/10/DLV3_Icon_ADV_110370_01_r05.png" TargetMode="External"/><Relationship Id="rId2358" Type="http://schemas.openxmlformats.org/officeDocument/2006/relationships/hyperlink" Target="https://natalie.tf/wp-content/uploads/2023/10/DLV3_Icon_ADV_110029_01_r05.png" TargetMode="External"/><Relationship Id="rId232" Type="http://schemas.openxmlformats.org/officeDocument/2006/relationships/image" Target="../media/image116.png"/><Relationship Id="rId884" Type="http://schemas.openxmlformats.org/officeDocument/2006/relationships/hyperlink" Target="https://natalie.tf/wp-content/uploads/2023/10/DLV3_Icon_WP_400131_02.png" TargetMode="External"/><Relationship Id="rId2120" Type="http://schemas.openxmlformats.org/officeDocument/2006/relationships/hyperlink" Target="https://natalie.tf/wp-content/uploads/2023/10/DLV3_Icon_ADV_110054_01_r05.png" TargetMode="External"/><Relationship Id="rId2565" Type="http://schemas.openxmlformats.org/officeDocument/2006/relationships/image" Target="../media/image1278.png"/><Relationship Id="rId2772" Type="http://schemas.openxmlformats.org/officeDocument/2006/relationships/hyperlink" Target="https://natalie.tf/wp-content/uploads/2023/10/DLV3_Icon_DRA_210137_01.png" TargetMode="External"/><Relationship Id="rId537" Type="http://schemas.openxmlformats.org/officeDocument/2006/relationships/hyperlink" Target="https://natalie.tf/wp-content/uploads/2023/10/DLV3_Icon_Weapon_303132_01.png" TargetMode="External"/><Relationship Id="rId744" Type="http://schemas.openxmlformats.org/officeDocument/2006/relationships/image" Target="../media/image372.png"/><Relationship Id="rId951" Type="http://schemas.openxmlformats.org/officeDocument/2006/relationships/image" Target="../media/image472.png"/><Relationship Id="rId1167" Type="http://schemas.openxmlformats.org/officeDocument/2006/relationships/hyperlink" Target="https://natalie.tf/wp-content/uploads/2023/10/DLV3_Icon_WP_400429_02.png" TargetMode="External"/><Relationship Id="rId1374" Type="http://schemas.openxmlformats.org/officeDocument/2006/relationships/hyperlink" Target="https://natalie.tf/wp-content/uploads/2023/10/DLV3_Icon_WP_400500_02.png" TargetMode="External"/><Relationship Id="rId1581" Type="http://schemas.openxmlformats.org/officeDocument/2006/relationships/image" Target="../media/image786.png"/><Relationship Id="rId1679" Type="http://schemas.openxmlformats.org/officeDocument/2006/relationships/image" Target="../media/image835.png"/><Relationship Id="rId2218" Type="http://schemas.openxmlformats.org/officeDocument/2006/relationships/hyperlink" Target="https://natalie.tf/wp-content/uploads/2023/10/DLV3_Icon_ADV_110014_01_r05.png" TargetMode="External"/><Relationship Id="rId2425" Type="http://schemas.openxmlformats.org/officeDocument/2006/relationships/image" Target="../media/image1208.png"/><Relationship Id="rId2632" Type="http://schemas.openxmlformats.org/officeDocument/2006/relationships/hyperlink" Target="https://natalie.tf/wp-content/uploads/2023/10/DLV3_Icon_ADV_100009_07_r05.png" TargetMode="External"/><Relationship Id="rId80" Type="http://schemas.openxmlformats.org/officeDocument/2006/relationships/image" Target="../media/image40.png"/><Relationship Id="rId604" Type="http://schemas.openxmlformats.org/officeDocument/2006/relationships/image" Target="../media/image302.png"/><Relationship Id="rId811" Type="http://schemas.openxmlformats.org/officeDocument/2006/relationships/hyperlink" Target="https://natalie.tf/wp-content/uploads/2023/10/DLV3_Icon_WP_400074_02.png" TargetMode="External"/><Relationship Id="rId1027" Type="http://schemas.openxmlformats.org/officeDocument/2006/relationships/hyperlink" Target="https://natalie.tf/wp-content/uploads/2023/10/DLV3_Icon_WP_400382_02.png" TargetMode="External"/><Relationship Id="rId1234" Type="http://schemas.openxmlformats.org/officeDocument/2006/relationships/hyperlink" Target="https://natalie.tf/wp-content/uploads/2023/10/DLV3_Icon_WP_400457_02.png" TargetMode="External"/><Relationship Id="rId1441" Type="http://schemas.openxmlformats.org/officeDocument/2006/relationships/image" Target="../media/image716.png"/><Relationship Id="rId1886" Type="http://schemas.openxmlformats.org/officeDocument/2006/relationships/hyperlink" Target="https://natalie.tf/wp-content/uploads/2023/10/DLV3_Icon_WP_400014_02.png" TargetMode="External"/><Relationship Id="rId2937" Type="http://schemas.openxmlformats.org/officeDocument/2006/relationships/image" Target="../media/image1464.png"/><Relationship Id="rId909" Type="http://schemas.openxmlformats.org/officeDocument/2006/relationships/image" Target="../media/image454.png"/><Relationship Id="rId1301" Type="http://schemas.openxmlformats.org/officeDocument/2006/relationships/image" Target="../media/image646.png"/><Relationship Id="rId1539" Type="http://schemas.openxmlformats.org/officeDocument/2006/relationships/image" Target="../media/image765.png"/><Relationship Id="rId1746" Type="http://schemas.openxmlformats.org/officeDocument/2006/relationships/hyperlink" Target="https://natalie.tf/wp-content/uploads/2023/10/DLV3_Icon_WP_400444_01.png" TargetMode="External"/><Relationship Id="rId1953" Type="http://schemas.openxmlformats.org/officeDocument/2006/relationships/image" Target="../media/image972.png"/><Relationship Id="rId38" Type="http://schemas.openxmlformats.org/officeDocument/2006/relationships/image" Target="../media/image19.png"/><Relationship Id="rId1606" Type="http://schemas.openxmlformats.org/officeDocument/2006/relationships/hyperlink" Target="https://natalie.tf/wp-content/uploads/2023/10/DLV3_Icon_WP_400171_02.png" TargetMode="External"/><Relationship Id="rId1813" Type="http://schemas.openxmlformats.org/officeDocument/2006/relationships/image" Target="../media/image902.png"/><Relationship Id="rId3059" Type="http://schemas.openxmlformats.org/officeDocument/2006/relationships/hyperlink" Target="https://natalie.tf/wp-content/uploads/2023/10/DLV3_Icon_Skill_046.png" TargetMode="External"/><Relationship Id="rId187" Type="http://schemas.openxmlformats.org/officeDocument/2006/relationships/hyperlink" Target="https://natalie.tf/wp-content/uploads/2023/10/DLV3_Icon_Weapon_303031_01.png" TargetMode="External"/><Relationship Id="rId394" Type="http://schemas.openxmlformats.org/officeDocument/2006/relationships/image" Target="../media/image197.png"/><Relationship Id="rId2075" Type="http://schemas.openxmlformats.org/officeDocument/2006/relationships/image" Target="../media/image1033.png"/><Relationship Id="rId2282" Type="http://schemas.openxmlformats.org/officeDocument/2006/relationships/hyperlink" Target="https://natalie.tf/wp-content/uploads/2023/10/DLV3_Icon_ADV_110252_02_r05.png" TargetMode="External"/><Relationship Id="rId254" Type="http://schemas.openxmlformats.org/officeDocument/2006/relationships/image" Target="../media/image127.png"/><Relationship Id="rId699" Type="http://schemas.openxmlformats.org/officeDocument/2006/relationships/hyperlink" Target="https://natalie.tf/wp-content/uploads/2023/10/DLV3_Icon_Ability_1010108.png" TargetMode="External"/><Relationship Id="rId1091" Type="http://schemas.openxmlformats.org/officeDocument/2006/relationships/hyperlink" Target="https://natalie.tf/wp-content/uploads/2023/10/DLV3_Icon_WP_400407_02.png" TargetMode="External"/><Relationship Id="rId2587" Type="http://schemas.openxmlformats.org/officeDocument/2006/relationships/image" Target="../media/image1289.png"/><Relationship Id="rId2794" Type="http://schemas.openxmlformats.org/officeDocument/2006/relationships/hyperlink" Target="https://natalie.tf/wp-content/uploads/2023/10/DLV3_Icon_DRA_210050_01.png" TargetMode="External"/><Relationship Id="rId114" Type="http://schemas.openxmlformats.org/officeDocument/2006/relationships/image" Target="../media/image57.png"/><Relationship Id="rId461" Type="http://schemas.openxmlformats.org/officeDocument/2006/relationships/hyperlink" Target="https://natalie.tf/wp-content/uploads/2023/10/DLV3_Icon_Weapon_301138_01.png" TargetMode="External"/><Relationship Id="rId559" Type="http://schemas.openxmlformats.org/officeDocument/2006/relationships/hyperlink" Target="https://natalie.tf/wp-content/uploads/2023/10/DLV3_Icon_Weapon_305154_01.png" TargetMode="External"/><Relationship Id="rId766" Type="http://schemas.openxmlformats.org/officeDocument/2006/relationships/image" Target="../media/image383.png"/><Relationship Id="rId1189" Type="http://schemas.openxmlformats.org/officeDocument/2006/relationships/hyperlink" Target="https://natalie.tf/wp-content/uploads/2023/10/DLV3_Icon_WP_400439_01.png" TargetMode="External"/><Relationship Id="rId1396" Type="http://schemas.openxmlformats.org/officeDocument/2006/relationships/hyperlink" Target="https://natalie.tf/wp-content/uploads/2023/10/DLV3_Icon_WP_400159_01.png" TargetMode="External"/><Relationship Id="rId2142" Type="http://schemas.openxmlformats.org/officeDocument/2006/relationships/hyperlink" Target="https://natalie.tf/wp-content/uploads/2023/10/DLV3_Icon_ADV_100042_02_r05.png" TargetMode="External"/><Relationship Id="rId2447" Type="http://schemas.openxmlformats.org/officeDocument/2006/relationships/image" Target="../media/image1219.png"/><Relationship Id="rId321" Type="http://schemas.openxmlformats.org/officeDocument/2006/relationships/hyperlink" Target="https://natalie.tf/wp-content/uploads/2023/10/DLV3_Icon_Weapon_303124_01.png" TargetMode="External"/><Relationship Id="rId419" Type="http://schemas.openxmlformats.org/officeDocument/2006/relationships/hyperlink" Target="https://natalie.tf/wp-content/uploads/2023/10/DLV3_Icon_Weapon_307116_01.png" TargetMode="External"/><Relationship Id="rId626" Type="http://schemas.openxmlformats.org/officeDocument/2006/relationships/image" Target="../media/image313.png"/><Relationship Id="rId973" Type="http://schemas.openxmlformats.org/officeDocument/2006/relationships/hyperlink" Target="https://natalie.tf/wp-content/uploads/2023/10/DLV3_Icon_Ability_1030009.png" TargetMode="External"/><Relationship Id="rId1049" Type="http://schemas.openxmlformats.org/officeDocument/2006/relationships/hyperlink" Target="https://natalie.tf/wp-content/uploads/2023/10/DLV3_Icon_WP_400411_01.png" TargetMode="External"/><Relationship Id="rId1256" Type="http://schemas.openxmlformats.org/officeDocument/2006/relationships/hyperlink" Target="https://natalie.tf/wp-content/uploads/2023/10/DLV3_Icon_WP_400465_01.png" TargetMode="External"/><Relationship Id="rId2002" Type="http://schemas.openxmlformats.org/officeDocument/2006/relationships/hyperlink" Target="https://natalie.tf/wp-content/uploads/2023/10/DLV3_Icon_WP_400001_01.png" TargetMode="External"/><Relationship Id="rId2307" Type="http://schemas.openxmlformats.org/officeDocument/2006/relationships/image" Target="../media/image1149.png"/><Relationship Id="rId2654" Type="http://schemas.openxmlformats.org/officeDocument/2006/relationships/hyperlink" Target="https://natalie.tf/wp-content/uploads/2023/10/DLV3_Icon_DRA_210103_01.png" TargetMode="External"/><Relationship Id="rId2861" Type="http://schemas.openxmlformats.org/officeDocument/2006/relationships/image" Target="../media/image1426.png"/><Relationship Id="rId2959" Type="http://schemas.openxmlformats.org/officeDocument/2006/relationships/hyperlink" Target="https://natalie.tf/wp-content/uploads/2023/11/DLV3_Icon_DRA_Custom_Void_Nidhogg.png" TargetMode="External"/><Relationship Id="rId833" Type="http://schemas.openxmlformats.org/officeDocument/2006/relationships/hyperlink" Target="https://natalie.tf/wp-content/uploads/2023/10/DLV3_Icon_WP_400110_01.png" TargetMode="External"/><Relationship Id="rId1116" Type="http://schemas.openxmlformats.org/officeDocument/2006/relationships/image" Target="../media/image554.png"/><Relationship Id="rId1463" Type="http://schemas.openxmlformats.org/officeDocument/2006/relationships/image" Target="../media/image727.png"/><Relationship Id="rId1670" Type="http://schemas.openxmlformats.org/officeDocument/2006/relationships/hyperlink" Target="https://natalie.tf/wp-content/uploads/2023/10/DLV3_Icon_WP_400394_01.png" TargetMode="External"/><Relationship Id="rId1768" Type="http://schemas.openxmlformats.org/officeDocument/2006/relationships/hyperlink" Target="https://natalie.tf/wp-content/uploads/2023/10/DLV3_Icon_WP_400453_01.png" TargetMode="External"/><Relationship Id="rId2514" Type="http://schemas.openxmlformats.org/officeDocument/2006/relationships/hyperlink" Target="https://natalie.tf/wp-content/uploads/2023/10/DLV3_Icon_ADV_100039_03_r05.png" TargetMode="External"/><Relationship Id="rId2721" Type="http://schemas.openxmlformats.org/officeDocument/2006/relationships/image" Target="../media/image1356.png"/><Relationship Id="rId2819" Type="http://schemas.openxmlformats.org/officeDocument/2006/relationships/image" Target="../media/image1405.png"/><Relationship Id="rId900" Type="http://schemas.openxmlformats.org/officeDocument/2006/relationships/hyperlink" Target="https://natalie.tf/wp-content/uploads/2023/10/DLV3_Icon_WP_400139_01.png" TargetMode="External"/><Relationship Id="rId1323" Type="http://schemas.openxmlformats.org/officeDocument/2006/relationships/image" Target="../media/image657.png"/><Relationship Id="rId1530" Type="http://schemas.openxmlformats.org/officeDocument/2006/relationships/hyperlink" Target="https://natalie.tf/wp-content/uploads/2023/10/DLV3_Icon_WP_400102_01.png" TargetMode="External"/><Relationship Id="rId1628" Type="http://schemas.openxmlformats.org/officeDocument/2006/relationships/hyperlink" Target="https://natalie.tf/wp-content/uploads/2023/10/DLV3_Icon_WP_400336_02.png" TargetMode="External"/><Relationship Id="rId1975" Type="http://schemas.openxmlformats.org/officeDocument/2006/relationships/image" Target="../media/image983.png"/><Relationship Id="rId1835" Type="http://schemas.openxmlformats.org/officeDocument/2006/relationships/image" Target="../media/image913.png"/><Relationship Id="rId3050" Type="http://schemas.openxmlformats.org/officeDocument/2006/relationships/image" Target="../media/image1520.png"/><Relationship Id="rId1902" Type="http://schemas.openxmlformats.org/officeDocument/2006/relationships/hyperlink" Target="https://natalie.tf/wp-content/uploads/2023/10/DLV3_Icon_WP_400018_01.png" TargetMode="External"/><Relationship Id="rId2097" Type="http://schemas.openxmlformats.org/officeDocument/2006/relationships/image" Target="../media/image1044.png"/><Relationship Id="rId276" Type="http://schemas.openxmlformats.org/officeDocument/2006/relationships/image" Target="../media/image138.png"/><Relationship Id="rId483" Type="http://schemas.openxmlformats.org/officeDocument/2006/relationships/hyperlink" Target="https://natalie.tf/wp-content/uploads/2023/10/DLV3_Icon_Weapon_303129_01.png" TargetMode="External"/><Relationship Id="rId690" Type="http://schemas.openxmlformats.org/officeDocument/2006/relationships/image" Target="../media/image345.png"/><Relationship Id="rId2164" Type="http://schemas.openxmlformats.org/officeDocument/2006/relationships/hyperlink" Target="https://natalie.tf/wp-content/uploads/2023/10/DLV3_Icon_ADV_110341_03_r05.png" TargetMode="External"/><Relationship Id="rId2371" Type="http://schemas.openxmlformats.org/officeDocument/2006/relationships/image" Target="../media/image1181.png"/><Relationship Id="rId3008" Type="http://schemas.openxmlformats.org/officeDocument/2006/relationships/image" Target="../media/image1499.png"/><Relationship Id="rId136" Type="http://schemas.openxmlformats.org/officeDocument/2006/relationships/image" Target="../media/image68.png"/><Relationship Id="rId343" Type="http://schemas.openxmlformats.org/officeDocument/2006/relationships/hyperlink" Target="https://natalie.tf/wp-content/uploads/2023/10/DLV3_Icon_Weapon_305131_01.png" TargetMode="External"/><Relationship Id="rId550" Type="http://schemas.openxmlformats.org/officeDocument/2006/relationships/image" Target="../media/image275.png"/><Relationship Id="rId788" Type="http://schemas.openxmlformats.org/officeDocument/2006/relationships/image" Target="../media/image394.png"/><Relationship Id="rId995" Type="http://schemas.openxmlformats.org/officeDocument/2006/relationships/hyperlink" Target="https://natalie.tf/wp-content/uploads/2023/10/DLV3_Icon_WP_400243_02.png" TargetMode="External"/><Relationship Id="rId1180" Type="http://schemas.openxmlformats.org/officeDocument/2006/relationships/image" Target="../media/image586.png"/><Relationship Id="rId2024" Type="http://schemas.openxmlformats.org/officeDocument/2006/relationships/hyperlink" Target="https://natalie.tf/wp-content/uploads/2023/11/DLV3_Icon_Custom_Axes_Psalm_Crude_Edit.png" TargetMode="External"/><Relationship Id="rId2231" Type="http://schemas.openxmlformats.org/officeDocument/2006/relationships/image" Target="../media/image1111.png"/><Relationship Id="rId2469" Type="http://schemas.openxmlformats.org/officeDocument/2006/relationships/image" Target="../media/image1230.png"/><Relationship Id="rId2676" Type="http://schemas.openxmlformats.org/officeDocument/2006/relationships/hyperlink" Target="https://natalie.tf/wp-content/uploads/2023/10/DLV3_Icon_DRA_210136_01.png" TargetMode="External"/><Relationship Id="rId2883" Type="http://schemas.openxmlformats.org/officeDocument/2006/relationships/image" Target="../media/image1437.png"/><Relationship Id="rId203" Type="http://schemas.openxmlformats.org/officeDocument/2006/relationships/hyperlink" Target="https://natalie.tf/wp-content/uploads/2023/10/DLV3_Icon_Weapon_302045_01.png" TargetMode="External"/><Relationship Id="rId648" Type="http://schemas.openxmlformats.org/officeDocument/2006/relationships/image" Target="../media/image324.png"/><Relationship Id="rId855" Type="http://schemas.openxmlformats.org/officeDocument/2006/relationships/hyperlink" Target="https://natalie.tf/wp-content/uploads/2023/10/DLV3_Icon_WP_400115_02.png" TargetMode="External"/><Relationship Id="rId1040" Type="http://schemas.openxmlformats.org/officeDocument/2006/relationships/image" Target="../media/image516.png"/><Relationship Id="rId1278" Type="http://schemas.openxmlformats.org/officeDocument/2006/relationships/hyperlink" Target="https://natalie.tf/wp-content/uploads/2023/10/DLV3_Icon_WP_400467_02.png" TargetMode="External"/><Relationship Id="rId1485" Type="http://schemas.openxmlformats.org/officeDocument/2006/relationships/image" Target="../media/image738.png"/><Relationship Id="rId1692" Type="http://schemas.openxmlformats.org/officeDocument/2006/relationships/hyperlink" Target="https://natalie.tf/wp-content/uploads/2023/10/DLV3_Icon_WP_400414_02.png" TargetMode="External"/><Relationship Id="rId2329" Type="http://schemas.openxmlformats.org/officeDocument/2006/relationships/image" Target="../media/image1160.png"/><Relationship Id="rId2536" Type="http://schemas.openxmlformats.org/officeDocument/2006/relationships/hyperlink" Target="https://natalie.tf/wp-content/uploads/2023/10/DLV3_Icon_ADV_110047_02_r05.png" TargetMode="External"/><Relationship Id="rId2743" Type="http://schemas.openxmlformats.org/officeDocument/2006/relationships/image" Target="../media/image1367.png"/><Relationship Id="rId410" Type="http://schemas.openxmlformats.org/officeDocument/2006/relationships/image" Target="../media/image205.png"/><Relationship Id="rId508" Type="http://schemas.openxmlformats.org/officeDocument/2006/relationships/image" Target="../media/image254.png"/><Relationship Id="rId715" Type="http://schemas.openxmlformats.org/officeDocument/2006/relationships/hyperlink" Target="https://natalie.tf/wp-content/uploads/2023/10/DLV3_Icon_Ability_1010041.png" TargetMode="External"/><Relationship Id="rId922" Type="http://schemas.openxmlformats.org/officeDocument/2006/relationships/image" Target="../media/image459.png"/><Relationship Id="rId1138" Type="http://schemas.openxmlformats.org/officeDocument/2006/relationships/image" Target="../media/image565.png"/><Relationship Id="rId1345" Type="http://schemas.openxmlformats.org/officeDocument/2006/relationships/image" Target="../media/image668.png"/><Relationship Id="rId1552" Type="http://schemas.openxmlformats.org/officeDocument/2006/relationships/hyperlink" Target="https://natalie.tf/wp-content/uploads/2023/10/DLV3_Icon_WP_400126_02.png" TargetMode="External"/><Relationship Id="rId1997" Type="http://schemas.openxmlformats.org/officeDocument/2006/relationships/image" Target="../media/image994.png"/><Relationship Id="rId2603" Type="http://schemas.openxmlformats.org/officeDocument/2006/relationships/image" Target="../media/image1297.png"/><Relationship Id="rId2950" Type="http://schemas.openxmlformats.org/officeDocument/2006/relationships/image" Target="../media/image1470.png"/><Relationship Id="rId1205" Type="http://schemas.openxmlformats.org/officeDocument/2006/relationships/hyperlink" Target="https://natalie.tf/wp-content/uploads/2023/10/DLV3_Icon_WP_400166_01.png" TargetMode="External"/><Relationship Id="rId1857" Type="http://schemas.openxmlformats.org/officeDocument/2006/relationships/image" Target="../media/image924.png"/><Relationship Id="rId2810" Type="http://schemas.openxmlformats.org/officeDocument/2006/relationships/hyperlink" Target="https://natalie.tf/wp-content/uploads/2023/10/DLV3_Icon_DRA_210060_01.png" TargetMode="External"/><Relationship Id="rId2908" Type="http://schemas.openxmlformats.org/officeDocument/2006/relationships/hyperlink" Target="https://natalie.tf/wp-content/uploads/2023/10/DLV3_Icon_DRA_210019_01.png" TargetMode="External"/><Relationship Id="rId51" Type="http://schemas.openxmlformats.org/officeDocument/2006/relationships/hyperlink" Target="https://natalie.tf/wp-content/uploads/2023/10/DLV3_Icon_Weapon_301001_01.png" TargetMode="External"/><Relationship Id="rId1412" Type="http://schemas.openxmlformats.org/officeDocument/2006/relationships/hyperlink" Target="https://natalie.tf/wp-content/uploads/2023/10/DLV3_Icon_WP_400035_01.png" TargetMode="External"/><Relationship Id="rId1717" Type="http://schemas.openxmlformats.org/officeDocument/2006/relationships/image" Target="../media/image854.png"/><Relationship Id="rId1924" Type="http://schemas.openxmlformats.org/officeDocument/2006/relationships/hyperlink" Target="https://natalie.tf/wp-content/uploads/2023/10/DLV3_Icon_WP_400023_02.png" TargetMode="External"/><Relationship Id="rId3072" Type="http://schemas.openxmlformats.org/officeDocument/2006/relationships/image" Target="../media/image1531.png"/><Relationship Id="rId298" Type="http://schemas.openxmlformats.org/officeDocument/2006/relationships/image" Target="../media/image149.png"/><Relationship Id="rId158" Type="http://schemas.openxmlformats.org/officeDocument/2006/relationships/image" Target="../media/image79.png"/><Relationship Id="rId2186" Type="http://schemas.openxmlformats.org/officeDocument/2006/relationships/hyperlink" Target="https://natalie.tf/wp-content/uploads/2023/10/DLV3_Icon_ADV_110363_01_r05.png" TargetMode="External"/><Relationship Id="rId2393" Type="http://schemas.openxmlformats.org/officeDocument/2006/relationships/image" Target="../media/image1192.png"/><Relationship Id="rId2698" Type="http://schemas.openxmlformats.org/officeDocument/2006/relationships/hyperlink" Target="https://natalie.tf/wp-content/uploads/2023/10/DLV3_Icon_DRA_210002_01.png" TargetMode="External"/><Relationship Id="rId365" Type="http://schemas.openxmlformats.org/officeDocument/2006/relationships/hyperlink" Target="https://natalie.tf/wp-content/uploads/2023/10/DLV3_Icon_Weapon_307133_01.png" TargetMode="External"/><Relationship Id="rId572" Type="http://schemas.openxmlformats.org/officeDocument/2006/relationships/image" Target="../media/image286.png"/><Relationship Id="rId2046" Type="http://schemas.openxmlformats.org/officeDocument/2006/relationships/hyperlink" Target="https://natalie.tf/wp-content/uploads/2023/10/DLV3_Icon_ADV_100010_07_r05.png" TargetMode="External"/><Relationship Id="rId2253" Type="http://schemas.openxmlformats.org/officeDocument/2006/relationships/image" Target="../media/image1122.png"/><Relationship Id="rId2460" Type="http://schemas.openxmlformats.org/officeDocument/2006/relationships/hyperlink" Target="https://natalie.tf/wp-content/uploads/2023/10/DLV3_Icon_ADV_110010_02_r05.png" TargetMode="External"/><Relationship Id="rId225" Type="http://schemas.openxmlformats.org/officeDocument/2006/relationships/hyperlink" Target="https://natalie.tf/wp-content/uploads/2023/10/DLV3_Icon_Weapon_305066_01.png" TargetMode="External"/><Relationship Id="rId432" Type="http://schemas.openxmlformats.org/officeDocument/2006/relationships/image" Target="../media/image216.png"/><Relationship Id="rId877" Type="http://schemas.openxmlformats.org/officeDocument/2006/relationships/image" Target="../media/image438.png"/><Relationship Id="rId1062" Type="http://schemas.openxmlformats.org/officeDocument/2006/relationships/image" Target="../media/image527.png"/><Relationship Id="rId2113" Type="http://schemas.openxmlformats.org/officeDocument/2006/relationships/image" Target="../media/image1052.png"/><Relationship Id="rId2320" Type="http://schemas.openxmlformats.org/officeDocument/2006/relationships/hyperlink" Target="https://natalie.tf/wp-content/uploads/2023/10/DLV3_Icon_ADV_110030_01_r05.png" TargetMode="External"/><Relationship Id="rId2558" Type="http://schemas.openxmlformats.org/officeDocument/2006/relationships/hyperlink" Target="https://natalie.tf/wp-content/uploads/2023/10/DLV3_Icon_ADV_110262_01_r05.png" TargetMode="External"/><Relationship Id="rId2765" Type="http://schemas.openxmlformats.org/officeDocument/2006/relationships/image" Target="../media/image1378.png"/><Relationship Id="rId2972" Type="http://schemas.openxmlformats.org/officeDocument/2006/relationships/image" Target="../media/image1481.png"/><Relationship Id="rId737" Type="http://schemas.openxmlformats.org/officeDocument/2006/relationships/hyperlink" Target="https://natalie.tf/wp-content/uploads/2023/10/DLV3_Icon_WP_400062_02.png" TargetMode="External"/><Relationship Id="rId944" Type="http://schemas.openxmlformats.org/officeDocument/2006/relationships/hyperlink" Target="https://natalie.tf/wp-content/uploads/2023/10/DLV3_Icon_Ability_1010011.png" TargetMode="External"/><Relationship Id="rId1367" Type="http://schemas.openxmlformats.org/officeDocument/2006/relationships/image" Target="../media/image679.png"/><Relationship Id="rId1574" Type="http://schemas.openxmlformats.org/officeDocument/2006/relationships/hyperlink" Target="https://natalie.tf/wp-content/uploads/2023/10/DLV3_Icon_WP_400093_01.png" TargetMode="External"/><Relationship Id="rId1781" Type="http://schemas.openxmlformats.org/officeDocument/2006/relationships/image" Target="../media/image886.png"/><Relationship Id="rId2418" Type="http://schemas.openxmlformats.org/officeDocument/2006/relationships/hyperlink" Target="https://natalie.tf/wp-content/uploads/2023/10/DLV3_Icon_ADV_110281_02_r05.png" TargetMode="External"/><Relationship Id="rId2625" Type="http://schemas.openxmlformats.org/officeDocument/2006/relationships/image" Target="../media/image1308.png"/><Relationship Id="rId2832" Type="http://schemas.openxmlformats.org/officeDocument/2006/relationships/hyperlink" Target="https://natalie.tf/wp-content/uploads/2023/10/DLV3_Icon_DRA_210041_01.png" TargetMode="External"/><Relationship Id="rId73" Type="http://schemas.openxmlformats.org/officeDocument/2006/relationships/hyperlink" Target="https://natalie.tf/wp-content/uploads/2023/10/DLV3_Icon_Weapon_303026_01.png" TargetMode="External"/><Relationship Id="rId804" Type="http://schemas.openxmlformats.org/officeDocument/2006/relationships/image" Target="../media/image402.png"/><Relationship Id="rId1227" Type="http://schemas.openxmlformats.org/officeDocument/2006/relationships/image" Target="../media/image609.png"/><Relationship Id="rId1434" Type="http://schemas.openxmlformats.org/officeDocument/2006/relationships/hyperlink" Target="https://natalie.tf/wp-content/uploads/2023/10/DLV3_Icon_WP_400039_02.png" TargetMode="External"/><Relationship Id="rId1641" Type="http://schemas.openxmlformats.org/officeDocument/2006/relationships/image" Target="../media/image816.png"/><Relationship Id="rId1879" Type="http://schemas.openxmlformats.org/officeDocument/2006/relationships/image" Target="../media/image935.png"/><Relationship Id="rId1501" Type="http://schemas.openxmlformats.org/officeDocument/2006/relationships/image" Target="../media/image746.png"/><Relationship Id="rId1739" Type="http://schemas.openxmlformats.org/officeDocument/2006/relationships/image" Target="../media/image865.png"/><Relationship Id="rId1946" Type="http://schemas.openxmlformats.org/officeDocument/2006/relationships/hyperlink" Target="https://natalie.tf/wp-content/uploads/2023/10/DLV3_Icon_WP_400029_01.png" TargetMode="External"/><Relationship Id="rId1806" Type="http://schemas.openxmlformats.org/officeDocument/2006/relationships/hyperlink" Target="https://natalie.tf/wp-content/uploads/2023/10/DLV3_Icon_WP_400164_02.png" TargetMode="External"/><Relationship Id="rId387" Type="http://schemas.openxmlformats.org/officeDocument/2006/relationships/hyperlink" Target="https://natalie.tf/wp-content/uploads/2023/10/DLV3_Icon_Weapon_309021_01.png" TargetMode="External"/><Relationship Id="rId594" Type="http://schemas.openxmlformats.org/officeDocument/2006/relationships/image" Target="../media/image297.png"/><Relationship Id="rId2068" Type="http://schemas.openxmlformats.org/officeDocument/2006/relationships/hyperlink" Target="https://natalie.tf/wp-content/uploads/2023/10/DLV3_Icon_Ability_1020014.png" TargetMode="External"/><Relationship Id="rId2275" Type="http://schemas.openxmlformats.org/officeDocument/2006/relationships/image" Target="../media/image1133.png"/><Relationship Id="rId3021" Type="http://schemas.openxmlformats.org/officeDocument/2006/relationships/hyperlink" Target="https://natalie.tf/wp-content/uploads/2023/10/DLV3_Icon_Ability_1070022.png" TargetMode="External"/><Relationship Id="rId247" Type="http://schemas.openxmlformats.org/officeDocument/2006/relationships/hyperlink" Target="https://natalie.tf/wp-content/uploads/2023/10/DLV3_Icon_Weapon_308088_01.png" TargetMode="External"/><Relationship Id="rId899" Type="http://schemas.openxmlformats.org/officeDocument/2006/relationships/image" Target="../media/image449.png"/><Relationship Id="rId1084" Type="http://schemas.openxmlformats.org/officeDocument/2006/relationships/image" Target="../media/image538.png"/><Relationship Id="rId2482" Type="http://schemas.openxmlformats.org/officeDocument/2006/relationships/hyperlink" Target="https://natalie.tf/wp-content/uploads/2023/10/DLV3_Icon_ADV_110007_02_r05.png" TargetMode="External"/><Relationship Id="rId2787" Type="http://schemas.openxmlformats.org/officeDocument/2006/relationships/image" Target="../media/image1389.png"/><Relationship Id="rId107" Type="http://schemas.openxmlformats.org/officeDocument/2006/relationships/hyperlink" Target="https://natalie.tf/wp-content/uploads/2023/10/DLV3_Icon_Weapon_303035_01.png" TargetMode="External"/><Relationship Id="rId454" Type="http://schemas.openxmlformats.org/officeDocument/2006/relationships/image" Target="../media/image227.png"/><Relationship Id="rId661" Type="http://schemas.openxmlformats.org/officeDocument/2006/relationships/hyperlink" Target="https://natalie.tf/wp-content/uploads/2023/10/DLV3_Icon_WP_400325_01.png" TargetMode="External"/><Relationship Id="rId759" Type="http://schemas.openxmlformats.org/officeDocument/2006/relationships/hyperlink" Target="https://natalie.tf/wp-content/uploads/2023/10/DLV3_Icon_WP_400067_02.png" TargetMode="External"/><Relationship Id="rId966" Type="http://schemas.openxmlformats.org/officeDocument/2006/relationships/hyperlink" Target="https://natalie.tf/wp-content/uploads/2023/10/DLV3_Icon_WP_400280_01.png" TargetMode="External"/><Relationship Id="rId1291" Type="http://schemas.openxmlformats.org/officeDocument/2006/relationships/image" Target="../media/image641.png"/><Relationship Id="rId1389" Type="http://schemas.openxmlformats.org/officeDocument/2006/relationships/image" Target="../media/image690.png"/><Relationship Id="rId1596" Type="http://schemas.openxmlformats.org/officeDocument/2006/relationships/hyperlink" Target="https://natalie.tf/wp-content/uploads/2023/10/DLV3_Icon_WP_400054_01.png" TargetMode="External"/><Relationship Id="rId2135" Type="http://schemas.openxmlformats.org/officeDocument/2006/relationships/image" Target="../media/image1063.png"/><Relationship Id="rId2342" Type="http://schemas.openxmlformats.org/officeDocument/2006/relationships/hyperlink" Target="https://natalie.tf/wp-content/uploads/2023/10/DLV3_Icon_ADV_110270_02_r05.png" TargetMode="External"/><Relationship Id="rId2647" Type="http://schemas.openxmlformats.org/officeDocument/2006/relationships/image" Target="../media/image1319.png"/><Relationship Id="rId2994" Type="http://schemas.openxmlformats.org/officeDocument/2006/relationships/image" Target="../media/image1492.png"/><Relationship Id="rId314" Type="http://schemas.openxmlformats.org/officeDocument/2006/relationships/image" Target="../media/image157.png"/><Relationship Id="rId521" Type="http://schemas.openxmlformats.org/officeDocument/2006/relationships/hyperlink" Target="https://natalie.tf/wp-content/uploads/2023/10/DLV3_Icon_Weapon_304130_01.png" TargetMode="External"/><Relationship Id="rId619" Type="http://schemas.openxmlformats.org/officeDocument/2006/relationships/hyperlink" Target="https://natalie.tf/wp-content/uploads/2023/10/DLV3_Icon_Weapon_308148_01.png" TargetMode="External"/><Relationship Id="rId1151" Type="http://schemas.openxmlformats.org/officeDocument/2006/relationships/hyperlink" Target="https://natalie.tf/wp-content/uploads/2023/10/DLV3_Icon_WP_400239_02.png" TargetMode="External"/><Relationship Id="rId1249" Type="http://schemas.openxmlformats.org/officeDocument/2006/relationships/image" Target="../media/image620.png"/><Relationship Id="rId2202" Type="http://schemas.openxmlformats.org/officeDocument/2006/relationships/hyperlink" Target="https://natalie.tf/wp-content/uploads/2023/10/DLV3_Icon_ADV_110021_01_r05.png" TargetMode="External"/><Relationship Id="rId2854" Type="http://schemas.openxmlformats.org/officeDocument/2006/relationships/hyperlink" Target="https://natalie.tf/wp-content/uploads/2023/10/DLV3_Icon_DRA_210115_01.png" TargetMode="External"/><Relationship Id="rId95" Type="http://schemas.openxmlformats.org/officeDocument/2006/relationships/hyperlink" Target="https://natalie.tf/wp-content/uploads/2023/10/DLV3_Icon_Weapon_306013_01.png" TargetMode="External"/><Relationship Id="rId826" Type="http://schemas.openxmlformats.org/officeDocument/2006/relationships/image" Target="../media/image413.png"/><Relationship Id="rId1011" Type="http://schemas.openxmlformats.org/officeDocument/2006/relationships/hyperlink" Target="https://natalie.tf/wp-content/uploads/2023/10/DLV3_Icon_WP_400338_02.png" TargetMode="External"/><Relationship Id="rId1109" Type="http://schemas.openxmlformats.org/officeDocument/2006/relationships/hyperlink" Target="https://natalie.tf/wp-content/uploads/2023/10/DLV3_Icon_WP_400419_02.png" TargetMode="External"/><Relationship Id="rId1456" Type="http://schemas.openxmlformats.org/officeDocument/2006/relationships/hyperlink" Target="https://natalie.tf/wp-content/uploads/2023/10/DLV3_Icon_WP_400044_02.png" TargetMode="External"/><Relationship Id="rId1663" Type="http://schemas.openxmlformats.org/officeDocument/2006/relationships/image" Target="../media/image827.png"/><Relationship Id="rId1870" Type="http://schemas.openxmlformats.org/officeDocument/2006/relationships/hyperlink" Target="https://natalie.tf/wp-content/uploads/2023/10/DLV3_Icon_WP_400010_02.png" TargetMode="External"/><Relationship Id="rId1968" Type="http://schemas.openxmlformats.org/officeDocument/2006/relationships/hyperlink" Target="https://natalie.tf/wp-content/uploads/2023/10/DLV3_Icon_WP_400117_02.png" TargetMode="External"/><Relationship Id="rId2507" Type="http://schemas.openxmlformats.org/officeDocument/2006/relationships/image" Target="../media/image1249.png"/><Relationship Id="rId2714" Type="http://schemas.openxmlformats.org/officeDocument/2006/relationships/hyperlink" Target="https://natalie.tf/wp-content/uploads/2023/10/DLV3_Icon_DRA_210167_01.png" TargetMode="External"/><Relationship Id="rId2921" Type="http://schemas.openxmlformats.org/officeDocument/2006/relationships/image" Target="../media/image1456.png"/><Relationship Id="rId1316" Type="http://schemas.openxmlformats.org/officeDocument/2006/relationships/hyperlink" Target="https://natalie.tf/wp-content/uploads/2023/10/DLV3_Icon_WP_400405_01.png" TargetMode="External"/><Relationship Id="rId1523" Type="http://schemas.openxmlformats.org/officeDocument/2006/relationships/image" Target="../media/image757.png"/><Relationship Id="rId1730" Type="http://schemas.openxmlformats.org/officeDocument/2006/relationships/hyperlink" Target="https://natalie.tf/wp-content/uploads/2023/10/DLV3_Icon_Ability_1020037.png" TargetMode="External"/><Relationship Id="rId22" Type="http://schemas.openxmlformats.org/officeDocument/2006/relationships/image" Target="../media/image11.png"/><Relationship Id="rId1828" Type="http://schemas.openxmlformats.org/officeDocument/2006/relationships/hyperlink" Target="https://natalie.tf/wp-content/uploads/2023/10/DLV3_Icon_WP_400489_01.png" TargetMode="External"/><Relationship Id="rId3043" Type="http://schemas.openxmlformats.org/officeDocument/2006/relationships/hyperlink" Target="https://natalie.tf/wp-content/uploads/2023/11/DLV3_Icon_NPC_120205_01.png" TargetMode="External"/><Relationship Id="rId171" Type="http://schemas.openxmlformats.org/officeDocument/2006/relationships/hyperlink" Target="https://natalie.tf/wp-content/uploads/2023/10/DLV3_Icon_Weapon_304013_01.png" TargetMode="External"/><Relationship Id="rId2297" Type="http://schemas.openxmlformats.org/officeDocument/2006/relationships/image" Target="../media/image1144.png"/><Relationship Id="rId269" Type="http://schemas.openxmlformats.org/officeDocument/2006/relationships/hyperlink" Target="https://natalie.tf/wp-content/uploads/2023/10/DLV3_Icon_Weapon_303096_01.png" TargetMode="External"/><Relationship Id="rId476" Type="http://schemas.openxmlformats.org/officeDocument/2006/relationships/image" Target="../media/image238.png"/><Relationship Id="rId683" Type="http://schemas.openxmlformats.org/officeDocument/2006/relationships/hyperlink" Target="https://natalie.tf/wp-content/uploads/2023/11/DLV3_Icon_Affinity_Bow.png" TargetMode="External"/><Relationship Id="rId890" Type="http://schemas.openxmlformats.org/officeDocument/2006/relationships/hyperlink" Target="https://natalie.tf/wp-content/uploads/2023/10/DLV3_Icon_WP_400080_02.png" TargetMode="External"/><Relationship Id="rId2157" Type="http://schemas.openxmlformats.org/officeDocument/2006/relationships/image" Target="../media/image1074.png"/><Relationship Id="rId2364" Type="http://schemas.openxmlformats.org/officeDocument/2006/relationships/hyperlink" Target="https://natalie.tf/wp-content/uploads/2023/10/DLV3_Icon_ADV_110340_01_r05.png" TargetMode="External"/><Relationship Id="rId2571" Type="http://schemas.openxmlformats.org/officeDocument/2006/relationships/image" Target="../media/image1281.png"/><Relationship Id="rId129" Type="http://schemas.openxmlformats.org/officeDocument/2006/relationships/hyperlink" Target="https://natalie.tf/wp-content/uploads/2023/10/DLV3_Icon_Weapon_305030_01.png" TargetMode="External"/><Relationship Id="rId336" Type="http://schemas.openxmlformats.org/officeDocument/2006/relationships/image" Target="../media/image168.png"/><Relationship Id="rId543" Type="http://schemas.openxmlformats.org/officeDocument/2006/relationships/hyperlink" Target="https://natalie.tf/wp-content/uploads/2023/10/DLV3_Icon_Weapon_306131_01.png" TargetMode="External"/><Relationship Id="rId988" Type="http://schemas.openxmlformats.org/officeDocument/2006/relationships/image" Target="../media/image490.png"/><Relationship Id="rId1173" Type="http://schemas.openxmlformats.org/officeDocument/2006/relationships/hyperlink" Target="https://natalie.tf/wp-content/uploads/2023/10/DLV3_Icon_WP_400435_01.png" TargetMode="External"/><Relationship Id="rId1380" Type="http://schemas.openxmlformats.org/officeDocument/2006/relationships/hyperlink" Target="https://natalie.tf/wp-content/uploads/2023/10/DLV3_Icon_WP_400502_02.png" TargetMode="External"/><Relationship Id="rId2017" Type="http://schemas.openxmlformats.org/officeDocument/2006/relationships/image" Target="../media/image1004.png"/><Relationship Id="rId2224" Type="http://schemas.openxmlformats.org/officeDocument/2006/relationships/hyperlink" Target="https://natalie.tf/wp-content/uploads/2023/10/DLV3_Icon_ADV_110042_02_r05.png" TargetMode="External"/><Relationship Id="rId2669" Type="http://schemas.openxmlformats.org/officeDocument/2006/relationships/image" Target="../media/image1330.png"/><Relationship Id="rId2876" Type="http://schemas.openxmlformats.org/officeDocument/2006/relationships/hyperlink" Target="https://natalie.tf/wp-content/uploads/2023/10/DLV3_Icon_DRA_210148_01.png" TargetMode="External"/><Relationship Id="rId403" Type="http://schemas.openxmlformats.org/officeDocument/2006/relationships/hyperlink" Target="https://natalie.tf/wp-content/uploads/2023/10/DLV3_Icon_Weapon_308110_01.png" TargetMode="External"/><Relationship Id="rId750" Type="http://schemas.openxmlformats.org/officeDocument/2006/relationships/image" Target="../media/image375.png"/><Relationship Id="rId848" Type="http://schemas.openxmlformats.org/officeDocument/2006/relationships/image" Target="../media/image424.png"/><Relationship Id="rId1033" Type="http://schemas.openxmlformats.org/officeDocument/2006/relationships/hyperlink" Target="https://natalie.tf/wp-content/uploads/2023/10/DLV3_Icon_WP_400384_01.png" TargetMode="External"/><Relationship Id="rId1478" Type="http://schemas.openxmlformats.org/officeDocument/2006/relationships/hyperlink" Target="https://natalie.tf/wp-content/uploads/2023/10/DLV3_Icon_WP_400050_01.png" TargetMode="External"/><Relationship Id="rId1685" Type="http://schemas.openxmlformats.org/officeDocument/2006/relationships/image" Target="../media/image838.png"/><Relationship Id="rId1892" Type="http://schemas.openxmlformats.org/officeDocument/2006/relationships/hyperlink" Target="https://natalie.tf/wp-content/uploads/2023/10/DLV3_Icon_WP_400016_01.png" TargetMode="External"/><Relationship Id="rId2431" Type="http://schemas.openxmlformats.org/officeDocument/2006/relationships/image" Target="../media/image1211.png"/><Relationship Id="rId2529" Type="http://schemas.openxmlformats.org/officeDocument/2006/relationships/image" Target="../media/image1260.png"/><Relationship Id="rId2736" Type="http://schemas.openxmlformats.org/officeDocument/2006/relationships/hyperlink" Target="https://natalie.tf/wp-content/uploads/2023/10/DLV3_Icon_DRA_210008_01.png" TargetMode="External"/><Relationship Id="rId610" Type="http://schemas.openxmlformats.org/officeDocument/2006/relationships/image" Target="../media/image305.png"/><Relationship Id="rId708" Type="http://schemas.openxmlformats.org/officeDocument/2006/relationships/image" Target="../media/image354.png"/><Relationship Id="rId915" Type="http://schemas.openxmlformats.org/officeDocument/2006/relationships/hyperlink" Target="https://natalie.tf/wp-content/uploads/2023/10/DLV3_Icon_WP_400144_01.png" TargetMode="External"/><Relationship Id="rId1240" Type="http://schemas.openxmlformats.org/officeDocument/2006/relationships/hyperlink" Target="https://natalie.tf/wp-content/uploads/2023/10/DLV3_Icon_Ability_1070001.png" TargetMode="External"/><Relationship Id="rId1338" Type="http://schemas.openxmlformats.org/officeDocument/2006/relationships/hyperlink" Target="https://natalie.tf/wp-content/uploads/2023/10/DLV3_Icon_WP_400486_01.png" TargetMode="External"/><Relationship Id="rId1545" Type="http://schemas.openxmlformats.org/officeDocument/2006/relationships/image" Target="../media/image768.png"/><Relationship Id="rId2943" Type="http://schemas.openxmlformats.org/officeDocument/2006/relationships/hyperlink" Target="https://natalie.tf/wp-content/uploads/2023/11/DLV3_Icon_DRA_Custom_Void_Agni.png" TargetMode="External"/><Relationship Id="rId1100" Type="http://schemas.openxmlformats.org/officeDocument/2006/relationships/image" Target="../media/image546.png"/><Relationship Id="rId1405" Type="http://schemas.openxmlformats.org/officeDocument/2006/relationships/image" Target="../media/image698.png"/><Relationship Id="rId1752" Type="http://schemas.openxmlformats.org/officeDocument/2006/relationships/hyperlink" Target="https://natalie.tf/wp-content/uploads/2023/10/DLV3_Icon_WP_400446_02.png" TargetMode="External"/><Relationship Id="rId2803" Type="http://schemas.openxmlformats.org/officeDocument/2006/relationships/image" Target="../media/image1397.png"/><Relationship Id="rId44" Type="http://schemas.openxmlformats.org/officeDocument/2006/relationships/image" Target="../media/image22.png"/><Relationship Id="rId1612" Type="http://schemas.openxmlformats.org/officeDocument/2006/relationships/hyperlink" Target="https://natalie.tf/wp-content/uploads/2023/10/DLV3_Icon_WP_400282_02.png" TargetMode="External"/><Relationship Id="rId1917" Type="http://schemas.openxmlformats.org/officeDocument/2006/relationships/image" Target="../media/image954.png"/><Relationship Id="rId3065" Type="http://schemas.openxmlformats.org/officeDocument/2006/relationships/hyperlink" Target="https://natalie.tf/wp-content/uploads/2023/10/DLV3_Icon_Skill_011.png" TargetMode="External"/><Relationship Id="rId193" Type="http://schemas.openxmlformats.org/officeDocument/2006/relationships/hyperlink" Target="https://natalie.tf/wp-content/uploads/2023/10/DLV3_Icon_Weapon_306014_01.png" TargetMode="External"/><Relationship Id="rId498" Type="http://schemas.openxmlformats.org/officeDocument/2006/relationships/image" Target="../media/image249.png"/><Relationship Id="rId2081" Type="http://schemas.openxmlformats.org/officeDocument/2006/relationships/image" Target="../media/image1036.png"/><Relationship Id="rId2179" Type="http://schemas.openxmlformats.org/officeDocument/2006/relationships/image" Target="../media/image1085.png"/><Relationship Id="rId260" Type="http://schemas.openxmlformats.org/officeDocument/2006/relationships/image" Target="../media/image130.png"/><Relationship Id="rId2386" Type="http://schemas.openxmlformats.org/officeDocument/2006/relationships/hyperlink" Target="https://natalie.tf/wp-content/uploads/2023/10/DLV3_Icon_ADV_110031_01_r05.png" TargetMode="External"/><Relationship Id="rId2593" Type="http://schemas.openxmlformats.org/officeDocument/2006/relationships/image" Target="../media/image1292.png"/><Relationship Id="rId120" Type="http://schemas.openxmlformats.org/officeDocument/2006/relationships/image" Target="../media/image60.png"/><Relationship Id="rId358" Type="http://schemas.openxmlformats.org/officeDocument/2006/relationships/image" Target="../media/image179.png"/><Relationship Id="rId565" Type="http://schemas.openxmlformats.org/officeDocument/2006/relationships/hyperlink" Target="https://natalie.tf/wp-content/uploads/2023/10/DLV3_Icon_Weapon_308145_01.png" TargetMode="External"/><Relationship Id="rId772" Type="http://schemas.openxmlformats.org/officeDocument/2006/relationships/image" Target="../media/image386.png"/><Relationship Id="rId1195" Type="http://schemas.openxmlformats.org/officeDocument/2006/relationships/hyperlink" Target="https://natalie.tf/wp-content/uploads/2023/10/DLV3_Icon_WP_400445_01.png" TargetMode="External"/><Relationship Id="rId2039" Type="http://schemas.openxmlformats.org/officeDocument/2006/relationships/image" Target="../media/image1015.png"/><Relationship Id="rId2246" Type="http://schemas.openxmlformats.org/officeDocument/2006/relationships/hyperlink" Target="https://natalie.tf/wp-content/uploads/2023/10/DLV3_Icon_ADV_100043_02_r05.png" TargetMode="External"/><Relationship Id="rId2453" Type="http://schemas.openxmlformats.org/officeDocument/2006/relationships/image" Target="../media/image1222.png"/><Relationship Id="rId2660" Type="http://schemas.openxmlformats.org/officeDocument/2006/relationships/hyperlink" Target="https://natalie.tf/wp-content/uploads/2023/11/DLV3_Icon_ADV_Custom_Tartarus.png" TargetMode="External"/><Relationship Id="rId2898" Type="http://schemas.openxmlformats.org/officeDocument/2006/relationships/hyperlink" Target="https://natalie.tf/wp-content/uploads/2023/10/DLV3_Icon_DRA_210072_01.png" TargetMode="External"/><Relationship Id="rId218" Type="http://schemas.openxmlformats.org/officeDocument/2006/relationships/image" Target="../media/image109.png"/><Relationship Id="rId425" Type="http://schemas.openxmlformats.org/officeDocument/2006/relationships/hyperlink" Target="https://natalie.tf/wp-content/uploads/2023/10/DLV3_Icon_Weapon_301121_01.png" TargetMode="External"/><Relationship Id="rId632" Type="http://schemas.openxmlformats.org/officeDocument/2006/relationships/image" Target="../media/image316.png"/><Relationship Id="rId1055" Type="http://schemas.openxmlformats.org/officeDocument/2006/relationships/hyperlink" Target="https://natalie.tf/wp-content/uploads/2023/10/DLV3_Icon_WP_400398_01.png" TargetMode="External"/><Relationship Id="rId1262" Type="http://schemas.openxmlformats.org/officeDocument/2006/relationships/hyperlink" Target="https://natalie.tf/wp-content/uploads/2023/10/DLV3_Icon_WP_400476_01.png" TargetMode="External"/><Relationship Id="rId2106" Type="http://schemas.openxmlformats.org/officeDocument/2006/relationships/hyperlink" Target="https://natalie.tf/wp-content/uploads/2023/10/DLV3_Icon_ADV_100032_01_r05.png" TargetMode="External"/><Relationship Id="rId2313" Type="http://schemas.openxmlformats.org/officeDocument/2006/relationships/image" Target="../media/image1152.png"/><Relationship Id="rId2520" Type="http://schemas.openxmlformats.org/officeDocument/2006/relationships/hyperlink" Target="https://natalie.tf/wp-content/uploads/2023/10/DLV3_Icon_ADV_100009_08_r05.png" TargetMode="External"/><Relationship Id="rId2758" Type="http://schemas.openxmlformats.org/officeDocument/2006/relationships/hyperlink" Target="https://natalie.tf/wp-content/uploads/2023/10/DLV3_Icon_DRA_210084_01.png" TargetMode="External"/><Relationship Id="rId2965" Type="http://schemas.openxmlformats.org/officeDocument/2006/relationships/hyperlink" Target="https://natalie.tf/wp-content/uploads/2023/11/DLV3_Icon_NPC_100031_01.png" TargetMode="External"/><Relationship Id="rId937" Type="http://schemas.openxmlformats.org/officeDocument/2006/relationships/image" Target="../media/image465.png"/><Relationship Id="rId1122" Type="http://schemas.openxmlformats.org/officeDocument/2006/relationships/image" Target="../media/image557.png"/><Relationship Id="rId1567" Type="http://schemas.openxmlformats.org/officeDocument/2006/relationships/image" Target="../media/image779.png"/><Relationship Id="rId1774" Type="http://schemas.openxmlformats.org/officeDocument/2006/relationships/hyperlink" Target="https://natalie.tf/wp-content/uploads/2023/10/DLV3_Icon_WP_400451_02.png" TargetMode="External"/><Relationship Id="rId1981" Type="http://schemas.openxmlformats.org/officeDocument/2006/relationships/image" Target="../media/image986.png"/><Relationship Id="rId2618" Type="http://schemas.openxmlformats.org/officeDocument/2006/relationships/hyperlink" Target="https://natalie.tf/wp-content/uploads/2023/10/DLV3_Icon_ADV_100004_01_r05.png" TargetMode="External"/><Relationship Id="rId2825" Type="http://schemas.openxmlformats.org/officeDocument/2006/relationships/image" Target="../media/image1408.png"/><Relationship Id="rId66" Type="http://schemas.openxmlformats.org/officeDocument/2006/relationships/image" Target="../media/image33.png"/><Relationship Id="rId1427" Type="http://schemas.openxmlformats.org/officeDocument/2006/relationships/image" Target="../media/image709.png"/><Relationship Id="rId1634" Type="http://schemas.openxmlformats.org/officeDocument/2006/relationships/hyperlink" Target="https://natalie.tf/wp-content/uploads/2023/10/DLV3_Icon_WP_400339_02.png" TargetMode="External"/><Relationship Id="rId1841" Type="http://schemas.openxmlformats.org/officeDocument/2006/relationships/image" Target="../media/image916.png"/><Relationship Id="rId1939" Type="http://schemas.openxmlformats.org/officeDocument/2006/relationships/image" Target="../media/image965.png"/><Relationship Id="rId1701" Type="http://schemas.openxmlformats.org/officeDocument/2006/relationships/image" Target="../media/image846.png"/><Relationship Id="rId282" Type="http://schemas.openxmlformats.org/officeDocument/2006/relationships/image" Target="../media/image141.png"/><Relationship Id="rId587" Type="http://schemas.openxmlformats.org/officeDocument/2006/relationships/hyperlink" Target="https://natalie.tf/wp-content/uploads/2023/10/DLV3_Icon_Weapon_301161_01.png" TargetMode="External"/><Relationship Id="rId2170" Type="http://schemas.openxmlformats.org/officeDocument/2006/relationships/hyperlink" Target="https://natalie.tf/wp-content/uploads/2023/10/DLV3_Icon_ADV_110367_03_r05.png" TargetMode="External"/><Relationship Id="rId2268" Type="http://schemas.openxmlformats.org/officeDocument/2006/relationships/hyperlink" Target="https://natalie.tf/wp-content/uploads/2023/10/DLV3_Icon_ADV_110392_01_r05.png" TargetMode="External"/><Relationship Id="rId3014" Type="http://schemas.openxmlformats.org/officeDocument/2006/relationships/image" Target="../media/image1502.png"/><Relationship Id="rId8" Type="http://schemas.openxmlformats.org/officeDocument/2006/relationships/image" Target="../media/image4.png"/><Relationship Id="rId142" Type="http://schemas.openxmlformats.org/officeDocument/2006/relationships/image" Target="../media/image71.png"/><Relationship Id="rId447" Type="http://schemas.openxmlformats.org/officeDocument/2006/relationships/hyperlink" Target="https://natalie.tf/wp-content/uploads/2023/10/DLV3_Icon_Weapon_303113_01.png" TargetMode="External"/><Relationship Id="rId794" Type="http://schemas.openxmlformats.org/officeDocument/2006/relationships/image" Target="../media/image397.png"/><Relationship Id="rId1077" Type="http://schemas.openxmlformats.org/officeDocument/2006/relationships/hyperlink" Target="https://natalie.tf/wp-content/uploads/2023/10/DLV3_Icon_WP_400397_02.png" TargetMode="External"/><Relationship Id="rId2030" Type="http://schemas.openxmlformats.org/officeDocument/2006/relationships/hyperlink" Target="https://natalie.tf/wp-content/uploads/2023/10/DLV3_Icon_Ability_1030021.png" TargetMode="External"/><Relationship Id="rId2128" Type="http://schemas.openxmlformats.org/officeDocument/2006/relationships/hyperlink" Target="https://natalie.tf/wp-content/uploads/2023/10/DLV3_Icon_ADV_100001_01_r05.png" TargetMode="External"/><Relationship Id="rId2475" Type="http://schemas.openxmlformats.org/officeDocument/2006/relationships/image" Target="../media/image1233.png"/><Relationship Id="rId2682" Type="http://schemas.openxmlformats.org/officeDocument/2006/relationships/hyperlink" Target="https://natalie.tf/wp-content/uploads/2023/10/DLV3_Icon_DRA_210039_01.png" TargetMode="External"/><Relationship Id="rId2987" Type="http://schemas.openxmlformats.org/officeDocument/2006/relationships/hyperlink" Target="https://natalie.tf/wp-content/uploads/2023/11/DLV3_Icon_NPC_Custom_120132_01.png" TargetMode="External"/><Relationship Id="rId654" Type="http://schemas.openxmlformats.org/officeDocument/2006/relationships/image" Target="../media/image327.png"/><Relationship Id="rId861" Type="http://schemas.openxmlformats.org/officeDocument/2006/relationships/hyperlink" Target="https://natalie.tf/wp-content/uploads/2023/10/DLV3_Icon_WP_400123_01.png" TargetMode="External"/><Relationship Id="rId959" Type="http://schemas.openxmlformats.org/officeDocument/2006/relationships/image" Target="../media/image476.png"/><Relationship Id="rId1284" Type="http://schemas.openxmlformats.org/officeDocument/2006/relationships/hyperlink" Target="https://natalie.tf/wp-content/uploads/2023/10/DLV3_Icon_WP_400079_02.png" TargetMode="External"/><Relationship Id="rId1491" Type="http://schemas.openxmlformats.org/officeDocument/2006/relationships/image" Target="../media/image741.png"/><Relationship Id="rId1589" Type="http://schemas.openxmlformats.org/officeDocument/2006/relationships/image" Target="../media/image790.png"/><Relationship Id="rId2335" Type="http://schemas.openxmlformats.org/officeDocument/2006/relationships/image" Target="../media/image1163.png"/><Relationship Id="rId2542" Type="http://schemas.openxmlformats.org/officeDocument/2006/relationships/hyperlink" Target="https://natalie.tf/wp-content/uploads/2023/10/DLV3_Icon_ADV_100054_01_r05.png" TargetMode="External"/><Relationship Id="rId307" Type="http://schemas.openxmlformats.org/officeDocument/2006/relationships/hyperlink" Target="https://natalie.tf/wp-content/uploads/2023/10/DLV3_Icon_Weapon_305129_01.png" TargetMode="External"/><Relationship Id="rId514" Type="http://schemas.openxmlformats.org/officeDocument/2006/relationships/image" Target="../media/image257.png"/><Relationship Id="rId721" Type="http://schemas.openxmlformats.org/officeDocument/2006/relationships/hyperlink" Target="https://natalie.tf/wp-content/uploads/2023/10/DLV3_Icon_WP_400254_01.png" TargetMode="External"/><Relationship Id="rId1144" Type="http://schemas.openxmlformats.org/officeDocument/2006/relationships/image" Target="../media/image568.png"/><Relationship Id="rId1351" Type="http://schemas.openxmlformats.org/officeDocument/2006/relationships/image" Target="../media/image671.png"/><Relationship Id="rId1449" Type="http://schemas.openxmlformats.org/officeDocument/2006/relationships/image" Target="../media/image720.png"/><Relationship Id="rId1796" Type="http://schemas.openxmlformats.org/officeDocument/2006/relationships/hyperlink" Target="https://natalie.tf/wp-content/uploads/2023/10/DLV3_Icon_WP_400471_01.png" TargetMode="External"/><Relationship Id="rId2402" Type="http://schemas.openxmlformats.org/officeDocument/2006/relationships/hyperlink" Target="https://natalie.tf/wp-content/uploads/2023/10/DLV3_Icon_ADV_110348_01_r05.png" TargetMode="External"/><Relationship Id="rId2847" Type="http://schemas.openxmlformats.org/officeDocument/2006/relationships/image" Target="../media/image1419.png"/><Relationship Id="rId88" Type="http://schemas.openxmlformats.org/officeDocument/2006/relationships/image" Target="../media/image44.png"/><Relationship Id="rId819" Type="http://schemas.openxmlformats.org/officeDocument/2006/relationships/hyperlink" Target="https://natalie.tf/wp-content/uploads/2023/10/DLV3_Icon_WP_400103_02.png" TargetMode="External"/><Relationship Id="rId1004" Type="http://schemas.openxmlformats.org/officeDocument/2006/relationships/image" Target="../media/image498.png"/><Relationship Id="rId1211" Type="http://schemas.openxmlformats.org/officeDocument/2006/relationships/hyperlink" Target="https://natalie.tf/wp-content/uploads/2023/10/DLV3_Icon_WP_400448_01.png" TargetMode="External"/><Relationship Id="rId1656" Type="http://schemas.openxmlformats.org/officeDocument/2006/relationships/hyperlink" Target="https://natalie.tf/wp-content/uploads/2023/10/DLV3_Icon_WP_400390_01.png" TargetMode="External"/><Relationship Id="rId1863" Type="http://schemas.openxmlformats.org/officeDocument/2006/relationships/image" Target="../media/image927.png"/><Relationship Id="rId2707" Type="http://schemas.openxmlformats.org/officeDocument/2006/relationships/image" Target="../media/image1349.png"/><Relationship Id="rId2914" Type="http://schemas.openxmlformats.org/officeDocument/2006/relationships/hyperlink" Target="https://natalie.tf/wp-content/uploads/2023/11/DLV3_Icon_DRA_Custom_Primal_Jupiter.png" TargetMode="External"/><Relationship Id="rId1309" Type="http://schemas.openxmlformats.org/officeDocument/2006/relationships/image" Target="../media/image650.png"/><Relationship Id="rId1516" Type="http://schemas.openxmlformats.org/officeDocument/2006/relationships/hyperlink" Target="https://natalie.tf/wp-content/uploads/2023/10/DLV3_Icon_WP_400060_02.png" TargetMode="External"/><Relationship Id="rId1723" Type="http://schemas.openxmlformats.org/officeDocument/2006/relationships/image" Target="../media/image857.png"/><Relationship Id="rId1930" Type="http://schemas.openxmlformats.org/officeDocument/2006/relationships/hyperlink" Target="https://natalie.tf/wp-content/uploads/2023/10/DLV3_Icon_WP_400025_01.png" TargetMode="External"/><Relationship Id="rId15" Type="http://schemas.openxmlformats.org/officeDocument/2006/relationships/hyperlink" Target="https://natalie.tf/wp-content/uploads/2023/10/DLV3_Icon_Ability_1070017.png" TargetMode="External"/><Relationship Id="rId2192" Type="http://schemas.openxmlformats.org/officeDocument/2006/relationships/hyperlink" Target="https://natalie.tf/wp-content/uploads/2023/10/DLV3_Icon_ADV_110296_01_r05.png" TargetMode="External"/><Relationship Id="rId3036" Type="http://schemas.openxmlformats.org/officeDocument/2006/relationships/image" Target="../media/image1513.png"/><Relationship Id="rId164" Type="http://schemas.openxmlformats.org/officeDocument/2006/relationships/image" Target="../media/image82.png"/><Relationship Id="rId371" Type="http://schemas.openxmlformats.org/officeDocument/2006/relationships/hyperlink" Target="https://natalie.tf/wp-content/uploads/2023/10/DLV3_Icon_Weapon_301122_01.png" TargetMode="External"/><Relationship Id="rId2052" Type="http://schemas.openxmlformats.org/officeDocument/2006/relationships/hyperlink" Target="https://natalie.tf/wp-content/uploads/2023/10/DLV3_Icon_ADV_110263_01_r05.png" TargetMode="External"/><Relationship Id="rId2497" Type="http://schemas.openxmlformats.org/officeDocument/2006/relationships/image" Target="../media/image1244.png"/><Relationship Id="rId469" Type="http://schemas.openxmlformats.org/officeDocument/2006/relationships/hyperlink" Target="https://natalie.tf/wp-content/uploads/2023/10/DLV3_Icon_Weapon_305135_01.png" TargetMode="External"/><Relationship Id="rId676" Type="http://schemas.openxmlformats.org/officeDocument/2006/relationships/image" Target="../media/image338.png"/><Relationship Id="rId883" Type="http://schemas.openxmlformats.org/officeDocument/2006/relationships/image" Target="../media/image441.png"/><Relationship Id="rId1099" Type="http://schemas.openxmlformats.org/officeDocument/2006/relationships/hyperlink" Target="https://natalie.tf/wp-content/uploads/2023/10/DLV3_Icon_WP_400417_01.png" TargetMode="External"/><Relationship Id="rId2357" Type="http://schemas.openxmlformats.org/officeDocument/2006/relationships/image" Target="../media/image1174.png"/><Relationship Id="rId2564" Type="http://schemas.openxmlformats.org/officeDocument/2006/relationships/hyperlink" Target="https://natalie.tf/wp-content/uploads/2023/10/DLV3_Icon_ADV_110281_01_r05.png" TargetMode="External"/><Relationship Id="rId231" Type="http://schemas.openxmlformats.org/officeDocument/2006/relationships/hyperlink" Target="https://natalie.tf/wp-content/uploads/2023/10/DLV3_Icon_Weapon_308055_01.png" TargetMode="External"/><Relationship Id="rId329" Type="http://schemas.openxmlformats.org/officeDocument/2006/relationships/hyperlink" Target="https://natalie.tf/wp-content/uploads/2023/10/DLV3_Icon_Weapon_307131_01.png" TargetMode="External"/><Relationship Id="rId536" Type="http://schemas.openxmlformats.org/officeDocument/2006/relationships/image" Target="../media/image268.png"/><Relationship Id="rId1166" Type="http://schemas.openxmlformats.org/officeDocument/2006/relationships/image" Target="../media/image579.png"/><Relationship Id="rId1373" Type="http://schemas.openxmlformats.org/officeDocument/2006/relationships/image" Target="../media/image682.png"/><Relationship Id="rId2217" Type="http://schemas.openxmlformats.org/officeDocument/2006/relationships/image" Target="../media/image1104.png"/><Relationship Id="rId2771" Type="http://schemas.openxmlformats.org/officeDocument/2006/relationships/image" Target="../media/image1381.png"/><Relationship Id="rId2869" Type="http://schemas.openxmlformats.org/officeDocument/2006/relationships/image" Target="../media/image1430.png"/><Relationship Id="rId743" Type="http://schemas.openxmlformats.org/officeDocument/2006/relationships/hyperlink" Target="https://natalie.tf/wp-content/uploads/2023/10/DLV3_Icon_WP_400064_01.png" TargetMode="External"/><Relationship Id="rId950" Type="http://schemas.openxmlformats.org/officeDocument/2006/relationships/hyperlink" Target="https://natalie.tf/wp-content/uploads/2023/10/DLV3_Icon_WP_400172_01.png" TargetMode="External"/><Relationship Id="rId1026" Type="http://schemas.openxmlformats.org/officeDocument/2006/relationships/image" Target="../media/image509.png"/><Relationship Id="rId1580" Type="http://schemas.openxmlformats.org/officeDocument/2006/relationships/hyperlink" Target="https://natalie.tf/wp-content/uploads/2023/10/DLV3_Icon_WP_400152_02.png" TargetMode="External"/><Relationship Id="rId1678" Type="http://schemas.openxmlformats.org/officeDocument/2006/relationships/hyperlink" Target="https://natalie.tf/wp-content/uploads/2023/10/DLV3_Icon_WP_400406_01.png" TargetMode="External"/><Relationship Id="rId1885" Type="http://schemas.openxmlformats.org/officeDocument/2006/relationships/image" Target="../media/image938.png"/><Relationship Id="rId2424" Type="http://schemas.openxmlformats.org/officeDocument/2006/relationships/hyperlink" Target="https://natalie.tf/wp-content/uploads/2023/10/DLV3_Icon_ADV_110274_01_r05.png" TargetMode="External"/><Relationship Id="rId2631" Type="http://schemas.openxmlformats.org/officeDocument/2006/relationships/image" Target="../media/image1311.png"/><Relationship Id="rId2729" Type="http://schemas.openxmlformats.org/officeDocument/2006/relationships/image" Target="../media/image1360.png"/><Relationship Id="rId2936" Type="http://schemas.openxmlformats.org/officeDocument/2006/relationships/hyperlink" Target="https://natalie.tf/wp-content/uploads/2023/10/DLV3_Icon_DRA_210066_01.png" TargetMode="External"/><Relationship Id="rId603" Type="http://schemas.openxmlformats.org/officeDocument/2006/relationships/hyperlink" Target="https://natalie.tf/wp-content/uploads/2023/10/DLV3_Icon_Weapon_309043_01.png" TargetMode="External"/><Relationship Id="rId810" Type="http://schemas.openxmlformats.org/officeDocument/2006/relationships/image" Target="../media/image405.png"/><Relationship Id="rId908" Type="http://schemas.openxmlformats.org/officeDocument/2006/relationships/hyperlink" Target="https://natalie.tf/wp-content/uploads/2023/10/DLV3_Icon_WP_400142_02.png" TargetMode="External"/><Relationship Id="rId1233" Type="http://schemas.openxmlformats.org/officeDocument/2006/relationships/image" Target="../media/image612.png"/><Relationship Id="rId1440" Type="http://schemas.openxmlformats.org/officeDocument/2006/relationships/hyperlink" Target="https://natalie.tf/wp-content/uploads/2023/10/DLV3_Icon_WP_400041_01.png" TargetMode="External"/><Relationship Id="rId1538" Type="http://schemas.openxmlformats.org/officeDocument/2006/relationships/hyperlink" Target="https://natalie.tf/wp-content/uploads/2023/10/DLV3_Icon_WP_400112_01.png" TargetMode="External"/><Relationship Id="rId1300" Type="http://schemas.openxmlformats.org/officeDocument/2006/relationships/hyperlink" Target="https://natalie.tf/wp-content/uploads/2023/10/DLV3_Icon_WP_400474_01.png" TargetMode="External"/><Relationship Id="rId1745" Type="http://schemas.openxmlformats.org/officeDocument/2006/relationships/image" Target="../media/image868.png"/><Relationship Id="rId1952" Type="http://schemas.openxmlformats.org/officeDocument/2006/relationships/hyperlink" Target="https://natalie.tf/wp-content/uploads/2023/10/DLV3_Icon_WP_400032_02.png" TargetMode="External"/><Relationship Id="rId37" Type="http://schemas.openxmlformats.org/officeDocument/2006/relationships/hyperlink" Target="https://natalie.tf/wp-content/uploads/2023/10/DLV3_Icon_Ability_1010061.png" TargetMode="External"/><Relationship Id="rId1605" Type="http://schemas.openxmlformats.org/officeDocument/2006/relationships/image" Target="../media/image798.png"/><Relationship Id="rId1812" Type="http://schemas.openxmlformats.org/officeDocument/2006/relationships/hyperlink" Target="https://natalie.tf/wp-content/uploads/2023/10/DLV3_Icon_WP_400480_01.png" TargetMode="External"/><Relationship Id="rId3058" Type="http://schemas.openxmlformats.org/officeDocument/2006/relationships/image" Target="../media/image1524.png"/><Relationship Id="rId186" Type="http://schemas.openxmlformats.org/officeDocument/2006/relationships/image" Target="../media/image93.png"/><Relationship Id="rId393" Type="http://schemas.openxmlformats.org/officeDocument/2006/relationships/hyperlink" Target="https://natalie.tf/wp-content/uploads/2023/10/DLV3_Icon_Weapon_303110_01.png" TargetMode="External"/><Relationship Id="rId2074" Type="http://schemas.openxmlformats.org/officeDocument/2006/relationships/hyperlink" Target="https://natalie.tf/wp-content/uploads/2023/10/DLV3_Icon_ADV_110357_01_r05.png" TargetMode="External"/><Relationship Id="rId2281" Type="http://schemas.openxmlformats.org/officeDocument/2006/relationships/image" Target="../media/image1136.png"/><Relationship Id="rId253" Type="http://schemas.openxmlformats.org/officeDocument/2006/relationships/hyperlink" Target="https://natalie.tf/wp-content/uploads/2023/10/DLV3_Icon_Weapon_303107_01.png" TargetMode="External"/><Relationship Id="rId460" Type="http://schemas.openxmlformats.org/officeDocument/2006/relationships/image" Target="../media/image230.png"/><Relationship Id="rId698" Type="http://schemas.openxmlformats.org/officeDocument/2006/relationships/image" Target="../media/image349.png"/><Relationship Id="rId1090" Type="http://schemas.openxmlformats.org/officeDocument/2006/relationships/image" Target="../media/image541.png"/><Relationship Id="rId2141" Type="http://schemas.openxmlformats.org/officeDocument/2006/relationships/image" Target="../media/image1066.png"/><Relationship Id="rId2379" Type="http://schemas.openxmlformats.org/officeDocument/2006/relationships/image" Target="../media/image1185.png"/><Relationship Id="rId2586" Type="http://schemas.openxmlformats.org/officeDocument/2006/relationships/hyperlink" Target="https://natalie.tf/wp-content/uploads/2023/10/DLV3_Icon_ADV_110336_01_r05.png" TargetMode="External"/><Relationship Id="rId2793" Type="http://schemas.openxmlformats.org/officeDocument/2006/relationships/image" Target="../media/image1392.png"/><Relationship Id="rId113" Type="http://schemas.openxmlformats.org/officeDocument/2006/relationships/hyperlink" Target="https://natalie.tf/wp-content/uploads/2023/10/DLV3_Icon_Weapon_306015_01.png" TargetMode="External"/><Relationship Id="rId320" Type="http://schemas.openxmlformats.org/officeDocument/2006/relationships/image" Target="../media/image160.png"/><Relationship Id="rId558" Type="http://schemas.openxmlformats.org/officeDocument/2006/relationships/image" Target="../media/image279.png"/><Relationship Id="rId765" Type="http://schemas.openxmlformats.org/officeDocument/2006/relationships/hyperlink" Target="https://natalie.tf/wp-content/uploads/2023/10/DLV3_Icon_WP_400068_01.png" TargetMode="External"/><Relationship Id="rId972" Type="http://schemas.openxmlformats.org/officeDocument/2006/relationships/image" Target="../media/image482.png"/><Relationship Id="rId1188" Type="http://schemas.openxmlformats.org/officeDocument/2006/relationships/image" Target="../media/image590.png"/><Relationship Id="rId1395" Type="http://schemas.openxmlformats.org/officeDocument/2006/relationships/image" Target="../media/image693.png"/><Relationship Id="rId2001" Type="http://schemas.openxmlformats.org/officeDocument/2006/relationships/image" Target="../media/image996.png"/><Relationship Id="rId2239" Type="http://schemas.openxmlformats.org/officeDocument/2006/relationships/image" Target="../media/image1115.png"/><Relationship Id="rId2446" Type="http://schemas.openxmlformats.org/officeDocument/2006/relationships/hyperlink" Target="https://natalie.tf/wp-content/uploads/2023/10/DLV3_Icon_ADV_110334_02_r05.png" TargetMode="External"/><Relationship Id="rId2653" Type="http://schemas.openxmlformats.org/officeDocument/2006/relationships/image" Target="../media/image1322.png"/><Relationship Id="rId2860" Type="http://schemas.openxmlformats.org/officeDocument/2006/relationships/hyperlink" Target="https://natalie.tf/wp-content/uploads/2023/10/DLV3_Icon_DRA_210065_01.png" TargetMode="External"/><Relationship Id="rId418" Type="http://schemas.openxmlformats.org/officeDocument/2006/relationships/image" Target="../media/image209.png"/><Relationship Id="rId625" Type="http://schemas.openxmlformats.org/officeDocument/2006/relationships/hyperlink" Target="https://natalie.tf/wp-content/uploads/2023/10/DLV3_Icon_Weapon_302152_01.png" TargetMode="External"/><Relationship Id="rId832" Type="http://schemas.openxmlformats.org/officeDocument/2006/relationships/image" Target="../media/image416.png"/><Relationship Id="rId1048" Type="http://schemas.openxmlformats.org/officeDocument/2006/relationships/image" Target="../media/image520.png"/><Relationship Id="rId1255" Type="http://schemas.openxmlformats.org/officeDocument/2006/relationships/image" Target="../media/image623.png"/><Relationship Id="rId1462" Type="http://schemas.openxmlformats.org/officeDocument/2006/relationships/hyperlink" Target="https://natalie.tf/wp-content/uploads/2023/10/DLV3_Icon_WP_400046_01.png" TargetMode="External"/><Relationship Id="rId2306" Type="http://schemas.openxmlformats.org/officeDocument/2006/relationships/hyperlink" Target="https://natalie.tf/wp-content/uploads/2023/10/DLV3_Icon_ADV_100006_11_r05.png" TargetMode="External"/><Relationship Id="rId2513" Type="http://schemas.openxmlformats.org/officeDocument/2006/relationships/image" Target="../media/image1252.png"/><Relationship Id="rId2958" Type="http://schemas.openxmlformats.org/officeDocument/2006/relationships/image" Target="../media/image1474.png"/><Relationship Id="rId1115" Type="http://schemas.openxmlformats.org/officeDocument/2006/relationships/hyperlink" Target="https://natalie.tf/wp-content/uploads/2023/10/DLV3_Icon_WP_400418_02.png" TargetMode="External"/><Relationship Id="rId1322" Type="http://schemas.openxmlformats.org/officeDocument/2006/relationships/hyperlink" Target="https://natalie.tf/wp-content/uploads/2023/10/DLV3_Icon_WP_400481_02.png" TargetMode="External"/><Relationship Id="rId1767" Type="http://schemas.openxmlformats.org/officeDocument/2006/relationships/image" Target="../media/image879.png"/><Relationship Id="rId1974" Type="http://schemas.openxmlformats.org/officeDocument/2006/relationships/hyperlink" Target="https://natalie.tf/wp-content/uploads/2023/10/DLV3_Icon_WP_400130_01.png" TargetMode="External"/><Relationship Id="rId2720" Type="http://schemas.openxmlformats.org/officeDocument/2006/relationships/hyperlink" Target="https://natalie.tf/wp-content/uploads/2023/10/DLV3_Icon_DRA_210017_01.png" TargetMode="External"/><Relationship Id="rId2818" Type="http://schemas.openxmlformats.org/officeDocument/2006/relationships/hyperlink" Target="https://natalie.tf/wp-content/uploads/2023/10/DLV3_Icon_DRA_210164_01.png" TargetMode="External"/><Relationship Id="rId59" Type="http://schemas.openxmlformats.org/officeDocument/2006/relationships/hyperlink" Target="https://natalie.tf/wp-content/uploads/2023/10/DLV3_Icon_Weapon_305001_01.png" TargetMode="External"/><Relationship Id="rId1627" Type="http://schemas.openxmlformats.org/officeDocument/2006/relationships/image" Target="../media/image809.png"/><Relationship Id="rId1834" Type="http://schemas.openxmlformats.org/officeDocument/2006/relationships/hyperlink" Target="https://natalie.tf/wp-content/uploads/2023/10/DLV3_Icon_WP_400492_02.png" TargetMode="External"/><Relationship Id="rId2096" Type="http://schemas.openxmlformats.org/officeDocument/2006/relationships/hyperlink" Target="https://natalie.tf/wp-content/uploads/2023/10/DLV3_Icon_ADV_110059_02_r05.png" TargetMode="External"/><Relationship Id="rId1901" Type="http://schemas.openxmlformats.org/officeDocument/2006/relationships/image" Target="../media/image946.png"/><Relationship Id="rId275" Type="http://schemas.openxmlformats.org/officeDocument/2006/relationships/hyperlink" Target="https://natalie.tf/wp-content/uploads/2023/10/DLV3_Icon_Weapon_306095_01.png" TargetMode="External"/><Relationship Id="rId482" Type="http://schemas.openxmlformats.org/officeDocument/2006/relationships/image" Target="../media/image241.png"/><Relationship Id="rId2163" Type="http://schemas.openxmlformats.org/officeDocument/2006/relationships/image" Target="../media/image1077.png"/><Relationship Id="rId2370" Type="http://schemas.openxmlformats.org/officeDocument/2006/relationships/hyperlink" Target="https://natalie.tf/wp-content/uploads/2023/10/DLV3_Icon_ADV_110368_01_r05.png" TargetMode="External"/><Relationship Id="rId3007" Type="http://schemas.openxmlformats.org/officeDocument/2006/relationships/hyperlink" Target="https://natalie.tf/wp-content/uploads/2023/11/DLV3_Icon_NPC_Custom_120145_01.png" TargetMode="External"/><Relationship Id="rId135" Type="http://schemas.openxmlformats.org/officeDocument/2006/relationships/hyperlink" Target="https://natalie.tf/wp-content/uploads/2023/10/DLV3_Icon_Weapon_308031_01.png" TargetMode="External"/><Relationship Id="rId342" Type="http://schemas.openxmlformats.org/officeDocument/2006/relationships/image" Target="../media/image171.png"/><Relationship Id="rId787" Type="http://schemas.openxmlformats.org/officeDocument/2006/relationships/hyperlink" Target="https://natalie.tf/wp-content/uploads/2023/10/DLV3_Icon_WP_400075_01.png" TargetMode="External"/><Relationship Id="rId994" Type="http://schemas.openxmlformats.org/officeDocument/2006/relationships/image" Target="../media/image493.png"/><Relationship Id="rId2023" Type="http://schemas.openxmlformats.org/officeDocument/2006/relationships/image" Target="../media/image1007.png"/><Relationship Id="rId2230" Type="http://schemas.openxmlformats.org/officeDocument/2006/relationships/hyperlink" Target="https://natalie.tf/wp-content/uploads/2023/10/DLV3_Icon_ADV_100029_03_r05.png" TargetMode="External"/><Relationship Id="rId2468" Type="http://schemas.openxmlformats.org/officeDocument/2006/relationships/hyperlink" Target="https://natalie.tf/wp-content/uploads/2023/10/DLV3_Icon_ADV_110303_01_r05.png" TargetMode="External"/><Relationship Id="rId2675" Type="http://schemas.openxmlformats.org/officeDocument/2006/relationships/image" Target="../media/image1333.png"/><Relationship Id="rId2882" Type="http://schemas.openxmlformats.org/officeDocument/2006/relationships/hyperlink" Target="https://natalie.tf/wp-content/uploads/2023/10/DLV3_Icon_DRA_210087_01.png" TargetMode="External"/><Relationship Id="rId202" Type="http://schemas.openxmlformats.org/officeDocument/2006/relationships/image" Target="../media/image101.png"/><Relationship Id="rId647" Type="http://schemas.openxmlformats.org/officeDocument/2006/relationships/hyperlink" Target="https://natalie.tf/wp-content/uploads/2023/10/DLV3_Icon_WP_400236_01.png" TargetMode="External"/><Relationship Id="rId854" Type="http://schemas.openxmlformats.org/officeDocument/2006/relationships/image" Target="../media/image427.png"/><Relationship Id="rId1277" Type="http://schemas.openxmlformats.org/officeDocument/2006/relationships/image" Target="../media/image634.png"/><Relationship Id="rId1484" Type="http://schemas.openxmlformats.org/officeDocument/2006/relationships/hyperlink" Target="https://natalie.tf/wp-content/uploads/2023/10/DLV3_Icon_WP_400051_02.png" TargetMode="External"/><Relationship Id="rId1691" Type="http://schemas.openxmlformats.org/officeDocument/2006/relationships/image" Target="../media/image841.png"/><Relationship Id="rId2328" Type="http://schemas.openxmlformats.org/officeDocument/2006/relationships/hyperlink" Target="https://natalie.tf/wp-content/uploads/2023/10/DLV3_Icon_ADV_110365_03_r05.png" TargetMode="External"/><Relationship Id="rId2535" Type="http://schemas.openxmlformats.org/officeDocument/2006/relationships/image" Target="../media/image1263.png"/><Relationship Id="rId2742" Type="http://schemas.openxmlformats.org/officeDocument/2006/relationships/hyperlink" Target="https://natalie.tf/wp-content/uploads/2023/10/DLV3_Icon_DRA_210053_01.png" TargetMode="External"/><Relationship Id="rId507" Type="http://schemas.openxmlformats.org/officeDocument/2006/relationships/hyperlink" Target="https://natalie.tf/wp-content/uploads/2023/10/DLV3_Icon_Weapon_306129_01.png" TargetMode="External"/><Relationship Id="rId714" Type="http://schemas.openxmlformats.org/officeDocument/2006/relationships/image" Target="../media/image357.png"/><Relationship Id="rId921" Type="http://schemas.openxmlformats.org/officeDocument/2006/relationships/hyperlink" Target="https://natalie.tf/wp-content/uploads/2023/10/DLV3_Icon_WP_400146_01.png" TargetMode="External"/><Relationship Id="rId1137" Type="http://schemas.openxmlformats.org/officeDocument/2006/relationships/hyperlink" Target="https://natalie.tf/wp-content/uploads/2023/10/DLV3_Icon_WP_400402_01.png" TargetMode="External"/><Relationship Id="rId1344" Type="http://schemas.openxmlformats.org/officeDocument/2006/relationships/hyperlink" Target="https://natalie.tf/wp-content/uploads/2023/10/DLV3_Icon_WP_400490_02.png" TargetMode="External"/><Relationship Id="rId1551" Type="http://schemas.openxmlformats.org/officeDocument/2006/relationships/image" Target="../media/image771.png"/><Relationship Id="rId1789" Type="http://schemas.openxmlformats.org/officeDocument/2006/relationships/image" Target="../media/image890.png"/><Relationship Id="rId1996" Type="http://schemas.openxmlformats.org/officeDocument/2006/relationships/hyperlink" Target="https://natalie.tf/wp-content/uploads/2023/10/DLV3_Icon_WP_400175_02.png" TargetMode="External"/><Relationship Id="rId2602" Type="http://schemas.openxmlformats.org/officeDocument/2006/relationships/hyperlink" Target="https://natalie.tf/wp-content/uploads/2023/10/DLV3_Icon_ADV_110047_01_r05.png" TargetMode="External"/><Relationship Id="rId50" Type="http://schemas.openxmlformats.org/officeDocument/2006/relationships/image" Target="../media/image25.png"/><Relationship Id="rId1204" Type="http://schemas.openxmlformats.org/officeDocument/2006/relationships/image" Target="../media/image598.png"/><Relationship Id="rId1411" Type="http://schemas.openxmlformats.org/officeDocument/2006/relationships/image" Target="../media/image701.png"/><Relationship Id="rId1649" Type="http://schemas.openxmlformats.org/officeDocument/2006/relationships/image" Target="../media/image820.png"/><Relationship Id="rId1856" Type="http://schemas.openxmlformats.org/officeDocument/2006/relationships/hyperlink" Target="https://natalie.tf/wp-content/uploads/2023/10/DLV3_Icon_WP_400007_01.png" TargetMode="External"/><Relationship Id="rId2907" Type="http://schemas.openxmlformats.org/officeDocument/2006/relationships/image" Target="../media/image1449.png"/><Relationship Id="rId3071" Type="http://schemas.openxmlformats.org/officeDocument/2006/relationships/hyperlink" Target="https://natalie.tf/wp-content/uploads/2023/10/DLV3_Icon_Skill_014.png" TargetMode="External"/><Relationship Id="rId1509" Type="http://schemas.openxmlformats.org/officeDocument/2006/relationships/image" Target="../media/image750.png"/><Relationship Id="rId1716" Type="http://schemas.openxmlformats.org/officeDocument/2006/relationships/hyperlink" Target="https://natalie.tf/wp-content/uploads/2023/10/DLV3_Icon_WP_400430_02.png" TargetMode="External"/><Relationship Id="rId1923" Type="http://schemas.openxmlformats.org/officeDocument/2006/relationships/image" Target="../media/image957.png"/><Relationship Id="rId297" Type="http://schemas.openxmlformats.org/officeDocument/2006/relationships/hyperlink" Target="https://natalie.tf/wp-content/uploads/2023/10/DLV3_Icon_Weapon_309016_01.png" TargetMode="External"/><Relationship Id="rId2185" Type="http://schemas.openxmlformats.org/officeDocument/2006/relationships/image" Target="../media/image1088.png"/><Relationship Id="rId2392" Type="http://schemas.openxmlformats.org/officeDocument/2006/relationships/hyperlink" Target="https://natalie.tf/wp-content/uploads/2023/10/DLV3_Icon_ADV_110024_01_r05.png" TargetMode="External"/><Relationship Id="rId3029" Type="http://schemas.openxmlformats.org/officeDocument/2006/relationships/hyperlink" Target="https://natalie.tf/wp-content/uploads/2023/11/DLV3_Icon_NPC_100030_04.png" TargetMode="External"/><Relationship Id="rId157" Type="http://schemas.openxmlformats.org/officeDocument/2006/relationships/hyperlink" Target="https://natalie.tf/wp-content/uploads/2023/10/DLV3_Icon_Weapon_306030_01.png" TargetMode="External"/><Relationship Id="rId364" Type="http://schemas.openxmlformats.org/officeDocument/2006/relationships/image" Target="../media/image182.png"/><Relationship Id="rId2045" Type="http://schemas.openxmlformats.org/officeDocument/2006/relationships/image" Target="../media/image1018.png"/><Relationship Id="rId2697" Type="http://schemas.openxmlformats.org/officeDocument/2006/relationships/image" Target="../media/image1344.png"/><Relationship Id="rId571" Type="http://schemas.openxmlformats.org/officeDocument/2006/relationships/hyperlink" Target="https://natalie.tf/wp-content/uploads/2023/10/DLV3_Icon_Weapon_302149_01.png" TargetMode="External"/><Relationship Id="rId669" Type="http://schemas.openxmlformats.org/officeDocument/2006/relationships/hyperlink" Target="https://natalie.tf/wp-content/uploads/2023/10/DLV3_Icon_WP_400179_01.png" TargetMode="External"/><Relationship Id="rId876" Type="http://schemas.openxmlformats.org/officeDocument/2006/relationships/hyperlink" Target="https://natalie.tf/wp-content/uploads/2023/10/DLV3_Icon_WP_400128_02.png" TargetMode="External"/><Relationship Id="rId1299" Type="http://schemas.openxmlformats.org/officeDocument/2006/relationships/image" Target="../media/image645.png"/><Relationship Id="rId2252" Type="http://schemas.openxmlformats.org/officeDocument/2006/relationships/hyperlink" Target="https://natalie.tf/wp-content/uploads/2023/10/DLV3_Icon_ADV_100029_04_r05.png" TargetMode="External"/><Relationship Id="rId2557" Type="http://schemas.openxmlformats.org/officeDocument/2006/relationships/image" Target="../media/image1274.png"/><Relationship Id="rId224" Type="http://schemas.openxmlformats.org/officeDocument/2006/relationships/image" Target="../media/image112.png"/><Relationship Id="rId431" Type="http://schemas.openxmlformats.org/officeDocument/2006/relationships/hyperlink" Target="https://natalie.tf/wp-content/uploads/2023/10/DLV3_Icon_Weapon_304110_01.png" TargetMode="External"/><Relationship Id="rId529" Type="http://schemas.openxmlformats.org/officeDocument/2006/relationships/hyperlink" Target="https://natalie.tf/wp-content/uploads/2023/10/DLV3_Icon_Weapon_308131_01.png" TargetMode="External"/><Relationship Id="rId736" Type="http://schemas.openxmlformats.org/officeDocument/2006/relationships/image" Target="../media/image368.png"/><Relationship Id="rId1061" Type="http://schemas.openxmlformats.org/officeDocument/2006/relationships/hyperlink" Target="https://natalie.tf/wp-content/uploads/2023/10/DLV3_Icon_WP_400399_02.png" TargetMode="External"/><Relationship Id="rId1159" Type="http://schemas.openxmlformats.org/officeDocument/2006/relationships/hyperlink" Target="https://natalie.tf/wp-content/uploads/2023/10/DLV3_Icon_WP_400425_02.png" TargetMode="External"/><Relationship Id="rId1366" Type="http://schemas.openxmlformats.org/officeDocument/2006/relationships/hyperlink" Target="https://natalie.tf/wp-content/uploads/2023/10/DLV3_Icon_Ability_1010010.png" TargetMode="External"/><Relationship Id="rId2112" Type="http://schemas.openxmlformats.org/officeDocument/2006/relationships/hyperlink" Target="https://natalie.tf/wp-content/uploads/2023/10/DLV3_Icon_ADV_110291_01_r05.png" TargetMode="External"/><Relationship Id="rId2417" Type="http://schemas.openxmlformats.org/officeDocument/2006/relationships/image" Target="../media/image1204.png"/><Relationship Id="rId2764" Type="http://schemas.openxmlformats.org/officeDocument/2006/relationships/hyperlink" Target="https://natalie.tf/wp-content/uploads/2023/10/DLV3_Icon_DRA_210161_01.png" TargetMode="External"/><Relationship Id="rId2971" Type="http://schemas.openxmlformats.org/officeDocument/2006/relationships/hyperlink" Target="https://natalie.tf/wp-content/uploads/2023/11/DLV3_Icon_NPC_Custom_100052_01.png" TargetMode="External"/><Relationship Id="rId943" Type="http://schemas.openxmlformats.org/officeDocument/2006/relationships/image" Target="../media/image468.png"/><Relationship Id="rId1019" Type="http://schemas.openxmlformats.org/officeDocument/2006/relationships/hyperlink" Target="https://natalie.tf/wp-content/uploads/2023/10/DLV3_Icon_WP_400097_02.png" TargetMode="External"/><Relationship Id="rId1573" Type="http://schemas.openxmlformats.org/officeDocument/2006/relationships/image" Target="../media/image782.png"/><Relationship Id="rId1780" Type="http://schemas.openxmlformats.org/officeDocument/2006/relationships/hyperlink" Target="https://natalie.tf/wp-content/uploads/2023/10/DLV3_Icon_WP_400458_01.png" TargetMode="External"/><Relationship Id="rId1878" Type="http://schemas.openxmlformats.org/officeDocument/2006/relationships/hyperlink" Target="https://natalie.tf/wp-content/uploads/2023/10/DLV3_Icon_WP_400012_02.png" TargetMode="External"/><Relationship Id="rId2624" Type="http://schemas.openxmlformats.org/officeDocument/2006/relationships/hyperlink" Target="https://natalie.tf/wp-content/uploads/2023/10/DLV3_Icon_ADV_110066_01_r05.png" TargetMode="External"/><Relationship Id="rId2831" Type="http://schemas.openxmlformats.org/officeDocument/2006/relationships/image" Target="../media/image1411.png"/><Relationship Id="rId2929" Type="http://schemas.openxmlformats.org/officeDocument/2006/relationships/image" Target="../media/image1460.png"/><Relationship Id="rId72" Type="http://schemas.openxmlformats.org/officeDocument/2006/relationships/image" Target="../media/image36.png"/><Relationship Id="rId803" Type="http://schemas.openxmlformats.org/officeDocument/2006/relationships/hyperlink" Target="https://natalie.tf/wp-content/uploads/2023/10/DLV3_Icon_Ability_1080005.png" TargetMode="External"/><Relationship Id="rId1226" Type="http://schemas.openxmlformats.org/officeDocument/2006/relationships/hyperlink" Target="https://natalie.tf/wp-content/uploads/2023/10/DLV3_Icon_WP_400456_01.png" TargetMode="External"/><Relationship Id="rId1433" Type="http://schemas.openxmlformats.org/officeDocument/2006/relationships/image" Target="../media/image712.png"/><Relationship Id="rId1640" Type="http://schemas.openxmlformats.org/officeDocument/2006/relationships/hyperlink" Target="https://natalie.tf/wp-content/uploads/2023/10/DLV3_Icon_WP_400381_01.png" TargetMode="External"/><Relationship Id="rId1738" Type="http://schemas.openxmlformats.org/officeDocument/2006/relationships/hyperlink" Target="https://natalie.tf/wp-content/uploads/2023/10/DLV3_Icon_WP_400440_02.png" TargetMode="External"/><Relationship Id="rId1500" Type="http://schemas.openxmlformats.org/officeDocument/2006/relationships/hyperlink" Target="https://natalie.tf/wp-content/uploads/2023/10/DLV3_Icon_WP_400057_02.png" TargetMode="External"/><Relationship Id="rId1945" Type="http://schemas.openxmlformats.org/officeDocument/2006/relationships/image" Target="../media/image968.png"/><Relationship Id="rId1805" Type="http://schemas.openxmlformats.org/officeDocument/2006/relationships/image" Target="../media/image898.png"/><Relationship Id="rId3020" Type="http://schemas.openxmlformats.org/officeDocument/2006/relationships/image" Target="../media/image1505.png"/><Relationship Id="rId179" Type="http://schemas.openxmlformats.org/officeDocument/2006/relationships/hyperlink" Target="https://natalie.tf/wp-content/uploads/2023/10/DLV3_Icon_Weapon_308014_01.png" TargetMode="External"/><Relationship Id="rId386" Type="http://schemas.openxmlformats.org/officeDocument/2006/relationships/image" Target="../media/image193.png"/><Relationship Id="rId593" Type="http://schemas.openxmlformats.org/officeDocument/2006/relationships/hyperlink" Target="https://natalie.tf/wp-content/uploads/2023/10/DLV3_Icon_Weapon_304146_01.png" TargetMode="External"/><Relationship Id="rId2067" Type="http://schemas.openxmlformats.org/officeDocument/2006/relationships/image" Target="../media/image1029.png"/><Relationship Id="rId2274" Type="http://schemas.openxmlformats.org/officeDocument/2006/relationships/hyperlink" Target="https://natalie.tf/wp-content/uploads/2023/10/DLV3_Icon_ADV_110022_02_r05.png" TargetMode="External"/><Relationship Id="rId2481" Type="http://schemas.openxmlformats.org/officeDocument/2006/relationships/image" Target="../media/image1236.png"/><Relationship Id="rId246" Type="http://schemas.openxmlformats.org/officeDocument/2006/relationships/image" Target="../media/image123.png"/><Relationship Id="rId453" Type="http://schemas.openxmlformats.org/officeDocument/2006/relationships/hyperlink" Target="https://natalie.tf/wp-content/uploads/2023/10/DLV3_Icon_Weapon_306112_01.png" TargetMode="External"/><Relationship Id="rId660" Type="http://schemas.openxmlformats.org/officeDocument/2006/relationships/image" Target="../media/image330.png"/><Relationship Id="rId898" Type="http://schemas.openxmlformats.org/officeDocument/2006/relationships/hyperlink" Target="https://natalie.tf/wp-content/uploads/2023/10/DLV3_Icon_WP_400092_02.png" TargetMode="External"/><Relationship Id="rId1083" Type="http://schemas.openxmlformats.org/officeDocument/2006/relationships/hyperlink" Target="https://natalie.tf/wp-content/uploads/2023/10/DLV3_Icon_WP_400393_01.png" TargetMode="External"/><Relationship Id="rId1290" Type="http://schemas.openxmlformats.org/officeDocument/2006/relationships/hyperlink" Target="https://natalie.tf/wp-content/uploads/2023/10/DLV3_Icon_WP_400468_02.png" TargetMode="External"/><Relationship Id="rId2134" Type="http://schemas.openxmlformats.org/officeDocument/2006/relationships/hyperlink" Target="https://natalie.tf/wp-content/uploads/2023/10/DLV3_Icon_ADV_110270_01_r05.png" TargetMode="External"/><Relationship Id="rId2341" Type="http://schemas.openxmlformats.org/officeDocument/2006/relationships/image" Target="../media/image1166.png"/><Relationship Id="rId2579" Type="http://schemas.openxmlformats.org/officeDocument/2006/relationships/image" Target="../media/image1285.png"/><Relationship Id="rId2786" Type="http://schemas.openxmlformats.org/officeDocument/2006/relationships/hyperlink" Target="https://natalie.tf/wp-content/uploads/2023/10/DLV3_Icon_DRA_210018_01.png" TargetMode="External"/><Relationship Id="rId2993" Type="http://schemas.openxmlformats.org/officeDocument/2006/relationships/hyperlink" Target="https://natalie.tf/wp-content/uploads/2023/11/DLV3_Icon_NPC_120185_01.png" TargetMode="External"/><Relationship Id="rId106" Type="http://schemas.openxmlformats.org/officeDocument/2006/relationships/image" Target="../media/image53.png"/><Relationship Id="rId313" Type="http://schemas.openxmlformats.org/officeDocument/2006/relationships/hyperlink" Target="https://natalie.tf/wp-content/uploads/2023/10/DLV3_Icon_Weapon_308123_01.png" TargetMode="External"/><Relationship Id="rId758" Type="http://schemas.openxmlformats.org/officeDocument/2006/relationships/image" Target="../media/image379.png"/><Relationship Id="rId965" Type="http://schemas.openxmlformats.org/officeDocument/2006/relationships/image" Target="../media/image479.png"/><Relationship Id="rId1150" Type="http://schemas.openxmlformats.org/officeDocument/2006/relationships/image" Target="../media/image571.png"/><Relationship Id="rId1388" Type="http://schemas.openxmlformats.org/officeDocument/2006/relationships/hyperlink" Target="https://natalie.tf/wp-content/uploads/2023/10/DLV3_Icon_WP_400122_01.png" TargetMode="External"/><Relationship Id="rId1595" Type="http://schemas.openxmlformats.org/officeDocument/2006/relationships/image" Target="../media/image793.png"/><Relationship Id="rId2439" Type="http://schemas.openxmlformats.org/officeDocument/2006/relationships/image" Target="../media/image1215.png"/><Relationship Id="rId2646" Type="http://schemas.openxmlformats.org/officeDocument/2006/relationships/hyperlink" Target="https://natalie.tf/wp-content/uploads/2023/10/DLV3_Icon_DRA_210121_01.png" TargetMode="External"/><Relationship Id="rId2853" Type="http://schemas.openxmlformats.org/officeDocument/2006/relationships/image" Target="../media/image1422.png"/><Relationship Id="rId94" Type="http://schemas.openxmlformats.org/officeDocument/2006/relationships/image" Target="../media/image47.png"/><Relationship Id="rId520" Type="http://schemas.openxmlformats.org/officeDocument/2006/relationships/image" Target="../media/image260.png"/><Relationship Id="rId618" Type="http://schemas.openxmlformats.org/officeDocument/2006/relationships/image" Target="../media/image309.png"/><Relationship Id="rId825" Type="http://schemas.openxmlformats.org/officeDocument/2006/relationships/hyperlink" Target="https://natalie.tf/wp-content/uploads/2023/10/DLV3_Icon_WP_400104_02.png" TargetMode="External"/><Relationship Id="rId1248" Type="http://schemas.openxmlformats.org/officeDocument/2006/relationships/hyperlink" Target="https://natalie.tf/wp-content/uploads/2023/10/DLV3_Icon_WP_400463_02.png" TargetMode="External"/><Relationship Id="rId1455" Type="http://schemas.openxmlformats.org/officeDocument/2006/relationships/image" Target="../media/image723.png"/><Relationship Id="rId1662" Type="http://schemas.openxmlformats.org/officeDocument/2006/relationships/hyperlink" Target="https://natalie.tf/wp-content/uploads/2023/10/DLV3_Icon_WP_400392_02.png" TargetMode="External"/><Relationship Id="rId2201" Type="http://schemas.openxmlformats.org/officeDocument/2006/relationships/image" Target="../media/image1096.png"/><Relationship Id="rId2506" Type="http://schemas.openxmlformats.org/officeDocument/2006/relationships/hyperlink" Target="https://natalie.tf/wp-content/uploads/2023/10/DLV3_Icon_ADV_110367_01_r05.png" TargetMode="External"/><Relationship Id="rId1010" Type="http://schemas.openxmlformats.org/officeDocument/2006/relationships/image" Target="../media/image501.png"/><Relationship Id="rId1108" Type="http://schemas.openxmlformats.org/officeDocument/2006/relationships/image" Target="../media/image550.png"/><Relationship Id="rId1315" Type="http://schemas.openxmlformats.org/officeDocument/2006/relationships/image" Target="../media/image653.png"/><Relationship Id="rId1967" Type="http://schemas.openxmlformats.org/officeDocument/2006/relationships/image" Target="../media/image979.png"/><Relationship Id="rId2713" Type="http://schemas.openxmlformats.org/officeDocument/2006/relationships/image" Target="../media/image1352.png"/><Relationship Id="rId2920" Type="http://schemas.openxmlformats.org/officeDocument/2006/relationships/hyperlink" Target="https://natalie.tf/wp-content/uploads/2023/10/DLV3_Icon_DRA_210015_01.png" TargetMode="External"/><Relationship Id="rId1522" Type="http://schemas.openxmlformats.org/officeDocument/2006/relationships/hyperlink" Target="https://natalie.tf/wp-content/uploads/2023/10/DLV3_Icon_Ability_1030005.png" TargetMode="External"/><Relationship Id="rId21" Type="http://schemas.openxmlformats.org/officeDocument/2006/relationships/hyperlink" Target="https://natalie.tf/wp-content/uploads/2023/10/DLV3_Icon_Skill_013.png" TargetMode="External"/><Relationship Id="rId2089" Type="http://schemas.openxmlformats.org/officeDocument/2006/relationships/image" Target="../media/image1040.png"/><Relationship Id="rId2296" Type="http://schemas.openxmlformats.org/officeDocument/2006/relationships/hyperlink" Target="https://natalie.tf/wp-content/uploads/2023/10/DLV3_Icon_ADV_100019_02_r05.png" TargetMode="External"/><Relationship Id="rId268" Type="http://schemas.openxmlformats.org/officeDocument/2006/relationships/image" Target="../media/image134.png"/><Relationship Id="rId475" Type="http://schemas.openxmlformats.org/officeDocument/2006/relationships/hyperlink" Target="https://natalie.tf/wp-content/uploads/2023/10/DLV3_Icon_Weapon_308128_01.png" TargetMode="External"/><Relationship Id="rId682" Type="http://schemas.openxmlformats.org/officeDocument/2006/relationships/image" Target="../media/image341.png"/><Relationship Id="rId2156" Type="http://schemas.openxmlformats.org/officeDocument/2006/relationships/hyperlink" Target="https://natalie.tf/wp-content/uploads/2023/10/DLV3_Icon_ADV_110395_01_r05.png" TargetMode="External"/><Relationship Id="rId2363" Type="http://schemas.openxmlformats.org/officeDocument/2006/relationships/image" Target="../media/image1177.png"/><Relationship Id="rId2570" Type="http://schemas.openxmlformats.org/officeDocument/2006/relationships/hyperlink" Target="https://natalie.tf/wp-content/uploads/2023/10/DLV3_Icon_ADV_100001_12_r05.png" TargetMode="External"/><Relationship Id="rId128" Type="http://schemas.openxmlformats.org/officeDocument/2006/relationships/image" Target="../media/image64.png"/><Relationship Id="rId335" Type="http://schemas.openxmlformats.org/officeDocument/2006/relationships/hyperlink" Target="https://natalie.tf/wp-content/uploads/2023/10/DLV3_Icon_Weapon_301135_01.png" TargetMode="External"/><Relationship Id="rId542" Type="http://schemas.openxmlformats.org/officeDocument/2006/relationships/image" Target="../media/image271.png"/><Relationship Id="rId1172" Type="http://schemas.openxmlformats.org/officeDocument/2006/relationships/image" Target="../media/image582.png"/><Relationship Id="rId2016" Type="http://schemas.openxmlformats.org/officeDocument/2006/relationships/hyperlink" Target="https://natalie.tf/wp-content/uploads/2023/10/DLV3_Icon_WP_400004_02.png" TargetMode="External"/><Relationship Id="rId2223" Type="http://schemas.openxmlformats.org/officeDocument/2006/relationships/image" Target="../media/image1107.png"/><Relationship Id="rId2430" Type="http://schemas.openxmlformats.org/officeDocument/2006/relationships/hyperlink" Target="https://natalie.tf/wp-content/uploads/2023/10/DLV3_Icon_ADV_110319_01_r05.png" TargetMode="External"/><Relationship Id="rId402" Type="http://schemas.openxmlformats.org/officeDocument/2006/relationships/image" Target="../media/image201.png"/><Relationship Id="rId1032" Type="http://schemas.openxmlformats.org/officeDocument/2006/relationships/image" Target="../media/image512.png"/><Relationship Id="rId1989" Type="http://schemas.openxmlformats.org/officeDocument/2006/relationships/image" Target="../media/image990.png"/><Relationship Id="rId1849" Type="http://schemas.openxmlformats.org/officeDocument/2006/relationships/image" Target="../media/image920.png"/><Relationship Id="rId3064" Type="http://schemas.openxmlformats.org/officeDocument/2006/relationships/image" Target="../media/image1527.png"/><Relationship Id="rId192" Type="http://schemas.openxmlformats.org/officeDocument/2006/relationships/image" Target="../media/image96.png"/><Relationship Id="rId1709" Type="http://schemas.openxmlformats.org/officeDocument/2006/relationships/image" Target="../media/image850.png"/><Relationship Id="rId1916" Type="http://schemas.openxmlformats.org/officeDocument/2006/relationships/hyperlink" Target="https://natalie.tf/wp-content/uploads/2023/10/DLV3_Icon_WP_400021_02.png" TargetMode="External"/><Relationship Id="rId2080" Type="http://schemas.openxmlformats.org/officeDocument/2006/relationships/hyperlink" Target="https://natalie.tf/wp-content/uploads/2023/10/DLV3_Icon_ADV_110032_02_r05.png" TargetMode="External"/><Relationship Id="rId2897" Type="http://schemas.openxmlformats.org/officeDocument/2006/relationships/image" Target="../media/image1444.png"/><Relationship Id="rId869" Type="http://schemas.openxmlformats.org/officeDocument/2006/relationships/image" Target="../media/image434.png"/><Relationship Id="rId1499" Type="http://schemas.openxmlformats.org/officeDocument/2006/relationships/image" Target="../media/image745.png"/><Relationship Id="rId729" Type="http://schemas.openxmlformats.org/officeDocument/2006/relationships/hyperlink" Target="https://natalie.tf/wp-content/uploads/2023/10/DLV3_Icon_Ability_1020043.png" TargetMode="External"/><Relationship Id="rId1359" Type="http://schemas.openxmlformats.org/officeDocument/2006/relationships/image" Target="../media/image675.png"/><Relationship Id="rId2757" Type="http://schemas.openxmlformats.org/officeDocument/2006/relationships/image" Target="../media/image1374.png"/><Relationship Id="rId2964" Type="http://schemas.openxmlformats.org/officeDocument/2006/relationships/image" Target="../media/image1477.png"/><Relationship Id="rId936" Type="http://schemas.openxmlformats.org/officeDocument/2006/relationships/hyperlink" Target="https://natalie.tf/wp-content/uploads/2023/10/DLV3_Icon_WP_400150_01.png" TargetMode="External"/><Relationship Id="rId1219" Type="http://schemas.openxmlformats.org/officeDocument/2006/relationships/hyperlink" Target="https://natalie.tf/wp-content/uploads/2023/10/DLV3_Icon_WP_400450_01.png" TargetMode="External"/><Relationship Id="rId1566" Type="http://schemas.openxmlformats.org/officeDocument/2006/relationships/hyperlink" Target="https://natalie.tf/wp-content/uploads/2023/10/DLV3_Icon_WP_400138_01.png" TargetMode="External"/><Relationship Id="rId1773" Type="http://schemas.openxmlformats.org/officeDocument/2006/relationships/image" Target="../media/image882.png"/><Relationship Id="rId1980" Type="http://schemas.openxmlformats.org/officeDocument/2006/relationships/hyperlink" Target="https://natalie.tf/wp-content/uploads/2023/10/DLV3_Icon_WP_400137_02.png" TargetMode="External"/><Relationship Id="rId2617" Type="http://schemas.openxmlformats.org/officeDocument/2006/relationships/image" Target="../media/image1304.png"/><Relationship Id="rId2824" Type="http://schemas.openxmlformats.org/officeDocument/2006/relationships/hyperlink" Target="https://natalie.tf/wp-content/uploads/2023/10/DLV3_Icon_DRA_210048_01.png" TargetMode="External"/><Relationship Id="rId65" Type="http://schemas.openxmlformats.org/officeDocument/2006/relationships/hyperlink" Target="https://natalie.tf/wp-content/uploads/2023/10/DLV3_Icon_Weapon_308001_01.png" TargetMode="External"/><Relationship Id="rId1426" Type="http://schemas.openxmlformats.org/officeDocument/2006/relationships/hyperlink" Target="https://natalie.tf/wp-content/uploads/2023/10/DLV3_Icon_WP_400038_01.png" TargetMode="External"/><Relationship Id="rId1633" Type="http://schemas.openxmlformats.org/officeDocument/2006/relationships/image" Target="../media/image812.png"/><Relationship Id="rId1840" Type="http://schemas.openxmlformats.org/officeDocument/2006/relationships/hyperlink" Target="https://natalie.tf/wp-content/uploads/2023/10/DLV3_Icon_WP_400246_01.png" TargetMode="External"/><Relationship Id="rId1700" Type="http://schemas.openxmlformats.org/officeDocument/2006/relationships/hyperlink" Target="https://natalie.tf/wp-content/uploads/2023/10/DLV3_Icon_WP_400421_02.png" TargetMode="External"/><Relationship Id="rId379" Type="http://schemas.openxmlformats.org/officeDocument/2006/relationships/hyperlink" Target="https://natalie.tf/wp-content/uploads/2023/10/DLV3_Icon_Weapon_305118_01.png" TargetMode="External"/><Relationship Id="rId586" Type="http://schemas.openxmlformats.org/officeDocument/2006/relationships/image" Target="../media/image293.png"/><Relationship Id="rId793" Type="http://schemas.openxmlformats.org/officeDocument/2006/relationships/hyperlink" Target="https://natalie.tf/wp-content/uploads/2023/10/DLV3_Icon_WP_400076_02.png" TargetMode="External"/><Relationship Id="rId2267" Type="http://schemas.openxmlformats.org/officeDocument/2006/relationships/image" Target="../media/image1129.png"/><Relationship Id="rId2474" Type="http://schemas.openxmlformats.org/officeDocument/2006/relationships/hyperlink" Target="https://natalie.tf/wp-content/uploads/2023/10/DLV3_Icon_ADV_110381_01_r05.png" TargetMode="External"/><Relationship Id="rId2681" Type="http://schemas.openxmlformats.org/officeDocument/2006/relationships/image" Target="../media/image1336.png"/><Relationship Id="rId239" Type="http://schemas.openxmlformats.org/officeDocument/2006/relationships/hyperlink" Target="https://natalie.tf/wp-content/uploads/2023/10/DLV3_Icon_Weapon_304087_01.png" TargetMode="External"/><Relationship Id="rId446" Type="http://schemas.openxmlformats.org/officeDocument/2006/relationships/image" Target="../media/image223.png"/><Relationship Id="rId653" Type="http://schemas.openxmlformats.org/officeDocument/2006/relationships/hyperlink" Target="https://natalie.tf/wp-content/uploads/2023/10/DLV3_Icon_Ability_1010105.png" TargetMode="External"/><Relationship Id="rId1076" Type="http://schemas.openxmlformats.org/officeDocument/2006/relationships/image" Target="../media/image534.png"/><Relationship Id="rId1283" Type="http://schemas.openxmlformats.org/officeDocument/2006/relationships/image" Target="../media/image637.png"/><Relationship Id="rId1490" Type="http://schemas.openxmlformats.org/officeDocument/2006/relationships/hyperlink" Target="https://natalie.tf/wp-content/uploads/2023/10/DLV3_Icon_WP_400055_01.png" TargetMode="External"/><Relationship Id="rId2127" Type="http://schemas.openxmlformats.org/officeDocument/2006/relationships/image" Target="../media/image1059.png"/><Relationship Id="rId2334" Type="http://schemas.openxmlformats.org/officeDocument/2006/relationships/hyperlink" Target="https://natalie.tf/wp-content/uploads/2023/10/DLV3_Icon_ADV_110403_01_r05.png" TargetMode="External"/><Relationship Id="rId306" Type="http://schemas.openxmlformats.org/officeDocument/2006/relationships/image" Target="../media/image153.png"/><Relationship Id="rId860" Type="http://schemas.openxmlformats.org/officeDocument/2006/relationships/image" Target="../media/image430.png"/><Relationship Id="rId1143" Type="http://schemas.openxmlformats.org/officeDocument/2006/relationships/hyperlink" Target="https://natalie.tf/wp-content/uploads/2023/10/DLV3_Icon_WP_400088_02.png" TargetMode="External"/><Relationship Id="rId2541" Type="http://schemas.openxmlformats.org/officeDocument/2006/relationships/image" Target="../media/image1266.png"/><Relationship Id="rId513" Type="http://schemas.openxmlformats.org/officeDocument/2006/relationships/hyperlink" Target="https://natalie.tf/wp-content/uploads/2023/10/DLV3_Icon_Weapon_309028_01.png" TargetMode="External"/><Relationship Id="rId720" Type="http://schemas.openxmlformats.org/officeDocument/2006/relationships/image" Target="../media/image360.png"/><Relationship Id="rId1350" Type="http://schemas.openxmlformats.org/officeDocument/2006/relationships/hyperlink" Target="https://natalie.tf/wp-content/uploads/2023/10/DLV3_Icon_WP_400493_01.png" TargetMode="External"/><Relationship Id="rId2401" Type="http://schemas.openxmlformats.org/officeDocument/2006/relationships/image" Target="../media/image1196.png"/><Relationship Id="rId1003" Type="http://schemas.openxmlformats.org/officeDocument/2006/relationships/hyperlink" Target="https://natalie.tf/wp-content/uploads/2023/10/DLV3_Icon_WP_400158_02.png" TargetMode="External"/><Relationship Id="rId1210" Type="http://schemas.openxmlformats.org/officeDocument/2006/relationships/image" Target="../media/image601.png"/><Relationship Id="rId2191" Type="http://schemas.openxmlformats.org/officeDocument/2006/relationships/image" Target="../media/image1091.png"/><Relationship Id="rId3035" Type="http://schemas.openxmlformats.org/officeDocument/2006/relationships/hyperlink" Target="https://natalie.tf/wp-content/uploads/2023/11/DLV3_Icon_NPC_120200_01.png" TargetMode="External"/><Relationship Id="rId163" Type="http://schemas.openxmlformats.org/officeDocument/2006/relationships/hyperlink" Target="https://natalie.tf/wp-content/uploads/2023/10/DLV3_Icon_Weapon_309013_01.png" TargetMode="External"/><Relationship Id="rId370" Type="http://schemas.openxmlformats.org/officeDocument/2006/relationships/image" Target="../media/image185.png"/><Relationship Id="rId2051" Type="http://schemas.openxmlformats.org/officeDocument/2006/relationships/image" Target="../media/image1021.png"/><Relationship Id="rId230" Type="http://schemas.openxmlformats.org/officeDocument/2006/relationships/image" Target="../media/image115.png"/><Relationship Id="rId2868" Type="http://schemas.openxmlformats.org/officeDocument/2006/relationships/hyperlink" Target="https://natalie.tf/wp-content/uploads/2023/10/DLV3_Icon_DRA_210162_01.png" TargetMode="External"/><Relationship Id="rId1677" Type="http://schemas.openxmlformats.org/officeDocument/2006/relationships/image" Target="../media/image834.png"/><Relationship Id="rId1884" Type="http://schemas.openxmlformats.org/officeDocument/2006/relationships/hyperlink" Target="https://natalie.tf/wp-content/uploads/2023/10/DLV3_Icon_WP_400014_01.png" TargetMode="External"/><Relationship Id="rId2728" Type="http://schemas.openxmlformats.org/officeDocument/2006/relationships/hyperlink" Target="https://natalie.tf/wp-content/uploads/2023/10/DLV3_Icon_DRA_210025_01.png" TargetMode="External"/><Relationship Id="rId2935" Type="http://schemas.openxmlformats.org/officeDocument/2006/relationships/image" Target="../media/image1463.png"/><Relationship Id="rId907" Type="http://schemas.openxmlformats.org/officeDocument/2006/relationships/image" Target="../media/image453.png"/><Relationship Id="rId1537" Type="http://schemas.openxmlformats.org/officeDocument/2006/relationships/image" Target="../media/image764.png"/><Relationship Id="rId1744" Type="http://schemas.openxmlformats.org/officeDocument/2006/relationships/hyperlink" Target="https://natalie.tf/wp-content/uploads/2023/10/DLV3_Icon_Ability_1080002.png" TargetMode="External"/><Relationship Id="rId1951" Type="http://schemas.openxmlformats.org/officeDocument/2006/relationships/image" Target="../media/image971.png"/><Relationship Id="rId36" Type="http://schemas.openxmlformats.org/officeDocument/2006/relationships/image" Target="../media/image18.png"/><Relationship Id="rId1604" Type="http://schemas.openxmlformats.org/officeDocument/2006/relationships/hyperlink" Target="https://natalie.tf/wp-content/uploads/2023/10/DLV3_Icon_WP_400171_01.png" TargetMode="External"/><Relationship Id="rId1811" Type="http://schemas.openxmlformats.org/officeDocument/2006/relationships/image" Target="../media/image901.png"/><Relationship Id="rId697" Type="http://schemas.openxmlformats.org/officeDocument/2006/relationships/hyperlink" Target="https://natalie.tf/wp-content/uploads/2023/10/DLV3_Icon_Ability_1020009.png" TargetMode="External"/><Relationship Id="rId2378" Type="http://schemas.openxmlformats.org/officeDocument/2006/relationships/hyperlink" Target="https://natalie.tf/wp-content/uploads/2023/10/DLV3_Icon_ADV_110256_01_r05.png" TargetMode="External"/><Relationship Id="rId1187" Type="http://schemas.openxmlformats.org/officeDocument/2006/relationships/hyperlink" Target="https://natalie.tf/wp-content/uploads/2023/10/DLV3_Icon_WP_400442_02.png" TargetMode="External"/><Relationship Id="rId2585" Type="http://schemas.openxmlformats.org/officeDocument/2006/relationships/image" Target="../media/image1288.png"/><Relationship Id="rId2792" Type="http://schemas.openxmlformats.org/officeDocument/2006/relationships/hyperlink" Target="https://natalie.tf/wp-content/uploads/2023/10/DLV3_Icon_DRA_210117_01.png" TargetMode="External"/><Relationship Id="rId557" Type="http://schemas.openxmlformats.org/officeDocument/2006/relationships/hyperlink" Target="https://natalie.tf/wp-content/uploads/2023/10/DLV3_Icon_Weapon_304144_01.png" TargetMode="External"/><Relationship Id="rId764" Type="http://schemas.openxmlformats.org/officeDocument/2006/relationships/image" Target="../media/image382.png"/><Relationship Id="rId971" Type="http://schemas.openxmlformats.org/officeDocument/2006/relationships/hyperlink" Target="https://natalie.tf/wp-content/uploads/2023/10/DLV3_Icon_WP_400153_02.png" TargetMode="External"/><Relationship Id="rId1394" Type="http://schemas.openxmlformats.org/officeDocument/2006/relationships/hyperlink" Target="https://natalie.tf/wp-content/uploads/2023/10/DLV3_Icon_WP_400134_02.png" TargetMode="External"/><Relationship Id="rId2238" Type="http://schemas.openxmlformats.org/officeDocument/2006/relationships/hyperlink" Target="https://natalie.tf/wp-content/uploads/2023/10/DLV3_Icon_ADV_110053_02_r05.png" TargetMode="External"/><Relationship Id="rId2445" Type="http://schemas.openxmlformats.org/officeDocument/2006/relationships/image" Target="../media/image1218.png"/><Relationship Id="rId2652" Type="http://schemas.openxmlformats.org/officeDocument/2006/relationships/hyperlink" Target="https://natalie.tf/wp-content/uploads/2023/11/DLV3_Icon_ADV_Custom_Kai_Yan.png" TargetMode="External"/><Relationship Id="rId417" Type="http://schemas.openxmlformats.org/officeDocument/2006/relationships/hyperlink" Target="https://natalie.tf/wp-content/uploads/2023/10/DLV3_Icon_Weapon_306108_01.png" TargetMode="External"/><Relationship Id="rId624" Type="http://schemas.openxmlformats.org/officeDocument/2006/relationships/image" Target="../media/image312.png"/><Relationship Id="rId831" Type="http://schemas.openxmlformats.org/officeDocument/2006/relationships/hyperlink" Target="https://natalie.tf/wp-content/uploads/2023/10/DLV3_Icon_WP_400107_02.png" TargetMode="External"/><Relationship Id="rId1047" Type="http://schemas.openxmlformats.org/officeDocument/2006/relationships/hyperlink" Target="https://natalie.tf/wp-content/uploads/2023/10/DLV3_Icon_WP_400389_02.png" TargetMode="External"/><Relationship Id="rId1254" Type="http://schemas.openxmlformats.org/officeDocument/2006/relationships/hyperlink" Target="https://natalie.tf/wp-content/uploads/2023/10/DLV3_Icon_Ability_1130001.png" TargetMode="External"/><Relationship Id="rId1461" Type="http://schemas.openxmlformats.org/officeDocument/2006/relationships/image" Target="../media/image726.png"/><Relationship Id="rId2305" Type="http://schemas.openxmlformats.org/officeDocument/2006/relationships/image" Target="../media/image1148.png"/><Relationship Id="rId2512" Type="http://schemas.openxmlformats.org/officeDocument/2006/relationships/hyperlink" Target="https://natalie.tf/wp-content/uploads/2023/10/DLV3_Icon_ADV_110316_01_r05.png" TargetMode="External"/><Relationship Id="rId1114" Type="http://schemas.openxmlformats.org/officeDocument/2006/relationships/image" Target="../media/image553.png"/><Relationship Id="rId1321" Type="http://schemas.openxmlformats.org/officeDocument/2006/relationships/image" Target="../media/image656.png"/><Relationship Id="rId3079" Type="http://schemas.openxmlformats.org/officeDocument/2006/relationships/hyperlink" Target="https://natalie.tf/wp-content/uploads/2023/10/DLV3_Icon_Skill_803.png" TargetMode="External"/><Relationship Id="rId2095" Type="http://schemas.openxmlformats.org/officeDocument/2006/relationships/image" Target="../media/image1043.png"/><Relationship Id="rId274" Type="http://schemas.openxmlformats.org/officeDocument/2006/relationships/image" Target="../media/image137.png"/><Relationship Id="rId481" Type="http://schemas.openxmlformats.org/officeDocument/2006/relationships/hyperlink" Target="https://natalie.tf/wp-content/uploads/2023/10/DLV3_Icon_Weapon_302130_01.png" TargetMode="External"/><Relationship Id="rId2162" Type="http://schemas.openxmlformats.org/officeDocument/2006/relationships/hyperlink" Target="https://natalie.tf/wp-content/uploads/2023/10/DLV3_Icon_ADV_110269_01_r05.png" TargetMode="External"/><Relationship Id="rId3006" Type="http://schemas.openxmlformats.org/officeDocument/2006/relationships/image" Target="../media/image1498.png"/><Relationship Id="rId134" Type="http://schemas.openxmlformats.org/officeDocument/2006/relationships/image" Target="../media/image67.png"/><Relationship Id="rId341" Type="http://schemas.openxmlformats.org/officeDocument/2006/relationships/hyperlink" Target="https://natalie.tf/wp-content/uploads/2023/10/DLV3_Icon_Weapon_304124_01.png" TargetMode="External"/><Relationship Id="rId2022" Type="http://schemas.openxmlformats.org/officeDocument/2006/relationships/hyperlink" Target="https://natalie.tf/wp-content/uploads/2023/11/DLV3_Icon_Custom_Crowns_Psalm_Crude_Edit.png.png" TargetMode="External"/><Relationship Id="rId2979" Type="http://schemas.openxmlformats.org/officeDocument/2006/relationships/hyperlink" Target="https://natalie.tf/wp-content/uploads/2023/11/DLV3_Icon_NPC_120059_01.png" TargetMode="External"/><Relationship Id="rId201" Type="http://schemas.openxmlformats.org/officeDocument/2006/relationships/hyperlink" Target="https://natalie.tf/wp-content/uploads/2023/10/DLV3_Icon_Weapon_301056_01.png" TargetMode="External"/><Relationship Id="rId1788" Type="http://schemas.openxmlformats.org/officeDocument/2006/relationships/hyperlink" Target="https://natalie.tf/wp-content/uploads/2023/10/DLV3_Icon_WP_400464_01.png" TargetMode="External"/><Relationship Id="rId1995" Type="http://schemas.openxmlformats.org/officeDocument/2006/relationships/image" Target="../media/image993.png"/><Relationship Id="rId2839" Type="http://schemas.openxmlformats.org/officeDocument/2006/relationships/image" Target="../media/image1415.png"/><Relationship Id="rId1648" Type="http://schemas.openxmlformats.org/officeDocument/2006/relationships/hyperlink" Target="https://natalie.tf/wp-content/uploads/2023/10/DLV3_Icon_WP_400385_01.png" TargetMode="External"/><Relationship Id="rId1508" Type="http://schemas.openxmlformats.org/officeDocument/2006/relationships/hyperlink" Target="https://natalie.tf/wp-content/uploads/2023/10/DLV3_Icon_WP_400059_02.png" TargetMode="External"/><Relationship Id="rId1855" Type="http://schemas.openxmlformats.org/officeDocument/2006/relationships/image" Target="../media/image923.png"/><Relationship Id="rId2906" Type="http://schemas.openxmlformats.org/officeDocument/2006/relationships/hyperlink" Target="https://natalie.tf/wp-content/uploads/2023/10/DLV3_Icon_DRA_210042_01.png" TargetMode="External"/><Relationship Id="rId3070" Type="http://schemas.openxmlformats.org/officeDocument/2006/relationships/image" Target="../media/image1530.png"/><Relationship Id="rId1715" Type="http://schemas.openxmlformats.org/officeDocument/2006/relationships/image" Target="../media/image853.png"/><Relationship Id="rId1922" Type="http://schemas.openxmlformats.org/officeDocument/2006/relationships/hyperlink" Target="https://natalie.tf/wp-content/uploads/2023/10/DLV3_Icon_WP_400023_01.png" TargetMode="External"/><Relationship Id="rId2489" Type="http://schemas.openxmlformats.org/officeDocument/2006/relationships/image" Target="../media/image1240.png"/><Relationship Id="rId2696" Type="http://schemas.openxmlformats.org/officeDocument/2006/relationships/hyperlink" Target="https://natalie.tf/wp-content/uploads/2023/10/DLV3_Icon_DRA_210109_01.png" TargetMode="External"/><Relationship Id="rId668" Type="http://schemas.openxmlformats.org/officeDocument/2006/relationships/image" Target="../media/image334.png"/><Relationship Id="rId875" Type="http://schemas.openxmlformats.org/officeDocument/2006/relationships/image" Target="../media/image437.png"/><Relationship Id="rId1298" Type="http://schemas.openxmlformats.org/officeDocument/2006/relationships/hyperlink" Target="https://natalie.tf/wp-content/uploads/2023/10/DLV3_Icon_WP_400473_02.png" TargetMode="External"/><Relationship Id="rId2349" Type="http://schemas.openxmlformats.org/officeDocument/2006/relationships/image" Target="../media/image1170.png"/><Relationship Id="rId2556" Type="http://schemas.openxmlformats.org/officeDocument/2006/relationships/hyperlink" Target="https://natalie.tf/wp-content/uploads/2023/10/DLV3_Icon_ADV_110307_02_r05.png" TargetMode="External"/><Relationship Id="rId2763" Type="http://schemas.openxmlformats.org/officeDocument/2006/relationships/image" Target="../media/image1377.png"/><Relationship Id="rId2970" Type="http://schemas.openxmlformats.org/officeDocument/2006/relationships/image" Target="../media/image1480.png"/><Relationship Id="rId528" Type="http://schemas.openxmlformats.org/officeDocument/2006/relationships/image" Target="../media/image264.png"/><Relationship Id="rId735" Type="http://schemas.openxmlformats.org/officeDocument/2006/relationships/hyperlink" Target="https://natalie.tf/wp-content/uploads/2023/10/DLV3_Icon_WP_400062_01.png" TargetMode="External"/><Relationship Id="rId942" Type="http://schemas.openxmlformats.org/officeDocument/2006/relationships/hyperlink" Target="https://natalie.tf/wp-content/uploads/2023/10/DLV3_Icon_WP_400154_02.png" TargetMode="External"/><Relationship Id="rId1158" Type="http://schemas.openxmlformats.org/officeDocument/2006/relationships/image" Target="../media/image575.png"/><Relationship Id="rId1365" Type="http://schemas.openxmlformats.org/officeDocument/2006/relationships/image" Target="../media/image678.png"/><Relationship Id="rId1572" Type="http://schemas.openxmlformats.org/officeDocument/2006/relationships/hyperlink" Target="https://natalie.tf/wp-content/uploads/2023/10/DLV3_Icon_WP_400140_02.png" TargetMode="External"/><Relationship Id="rId2209" Type="http://schemas.openxmlformats.org/officeDocument/2006/relationships/image" Target="../media/image1100.png"/><Relationship Id="rId2416" Type="http://schemas.openxmlformats.org/officeDocument/2006/relationships/hyperlink" Target="https://natalie.tf/wp-content/uploads/2023/10/DLV3_Icon_ADV_100001_08_r05.png" TargetMode="External"/><Relationship Id="rId2623" Type="http://schemas.openxmlformats.org/officeDocument/2006/relationships/image" Target="../media/image1307.png"/><Relationship Id="rId1018" Type="http://schemas.openxmlformats.org/officeDocument/2006/relationships/image" Target="../media/image505.png"/><Relationship Id="rId1225" Type="http://schemas.openxmlformats.org/officeDocument/2006/relationships/image" Target="../media/image608.png"/><Relationship Id="rId1432" Type="http://schemas.openxmlformats.org/officeDocument/2006/relationships/hyperlink" Target="https://natalie.tf/wp-content/uploads/2023/10/DLV3_Icon_WP_400039_01.png" TargetMode="External"/><Relationship Id="rId2830" Type="http://schemas.openxmlformats.org/officeDocument/2006/relationships/hyperlink" Target="https://natalie.tf/wp-content/uploads/2023/10/DLV3_Icon_DRA_210154_01.png" TargetMode="External"/><Relationship Id="rId71" Type="http://schemas.openxmlformats.org/officeDocument/2006/relationships/hyperlink" Target="https://natalie.tf/wp-content/uploads/2023/10/DLV3_Icon_Weapon_302021_01.png" TargetMode="External"/><Relationship Id="rId802" Type="http://schemas.openxmlformats.org/officeDocument/2006/relationships/image" Target="../media/image401.png"/><Relationship Id="rId178" Type="http://schemas.openxmlformats.org/officeDocument/2006/relationships/image" Target="../media/image89.png"/><Relationship Id="rId385" Type="http://schemas.openxmlformats.org/officeDocument/2006/relationships/hyperlink" Target="https://natalie.tf/wp-content/uploads/2023/10/DLV3_Icon_Weapon_308112_01.png" TargetMode="External"/><Relationship Id="rId592" Type="http://schemas.openxmlformats.org/officeDocument/2006/relationships/image" Target="../media/image296.png"/><Relationship Id="rId2066" Type="http://schemas.openxmlformats.org/officeDocument/2006/relationships/hyperlink" Target="https://natalie.tf/wp-content/uploads/2023/10/DLV3_Icon_ADV_110375_01_r05.png" TargetMode="External"/><Relationship Id="rId2273" Type="http://schemas.openxmlformats.org/officeDocument/2006/relationships/image" Target="../media/image1132.png"/><Relationship Id="rId2480" Type="http://schemas.openxmlformats.org/officeDocument/2006/relationships/hyperlink" Target="https://natalie.tf/wp-content/uploads/2023/10/DLV3_Icon_ADV_110036_01_r05.png" TargetMode="External"/><Relationship Id="rId245" Type="http://schemas.openxmlformats.org/officeDocument/2006/relationships/hyperlink" Target="https://natalie.tf/wp-content/uploads/2023/10/DLV3_Icon_Weapon_307095_01.png" TargetMode="External"/><Relationship Id="rId452" Type="http://schemas.openxmlformats.org/officeDocument/2006/relationships/image" Target="../media/image226.png"/><Relationship Id="rId1082" Type="http://schemas.openxmlformats.org/officeDocument/2006/relationships/image" Target="../media/image537.png"/><Relationship Id="rId2133" Type="http://schemas.openxmlformats.org/officeDocument/2006/relationships/image" Target="../media/image1062.png"/><Relationship Id="rId2340" Type="http://schemas.openxmlformats.org/officeDocument/2006/relationships/hyperlink" Target="https://natalie.tf/wp-content/uploads/2023/10/DLV3_Icon_ADV_110002_02_r05.png" TargetMode="External"/><Relationship Id="rId105" Type="http://schemas.openxmlformats.org/officeDocument/2006/relationships/hyperlink" Target="https://natalie.tf/wp-content/uploads/2023/10/DLV3_Icon_Weapon_302014_01.png" TargetMode="External"/><Relationship Id="rId312" Type="http://schemas.openxmlformats.org/officeDocument/2006/relationships/image" Target="../media/image156.png"/><Relationship Id="rId2200" Type="http://schemas.openxmlformats.org/officeDocument/2006/relationships/hyperlink" Target="https://natalie.tf/wp-content/uploads/2023/10/DLV3_Icon_ADV_110265_01_r05.png" TargetMode="External"/><Relationship Id="rId1899" Type="http://schemas.openxmlformats.org/officeDocument/2006/relationships/image" Target="../media/image945.png"/><Relationship Id="rId1759" Type="http://schemas.openxmlformats.org/officeDocument/2006/relationships/image" Target="../media/image875.png"/><Relationship Id="rId1966" Type="http://schemas.openxmlformats.org/officeDocument/2006/relationships/hyperlink" Target="https://natalie.tf/wp-content/uploads/2023/10/DLV3_Icon_WP_400117_01.png" TargetMode="External"/><Relationship Id="rId1619" Type="http://schemas.openxmlformats.org/officeDocument/2006/relationships/image" Target="../media/image805.png"/><Relationship Id="rId1826" Type="http://schemas.openxmlformats.org/officeDocument/2006/relationships/hyperlink" Target="https://natalie.tf/wp-content/uploads/2023/10/DLV3_Icon_WP_400488_02.png" TargetMode="External"/><Relationship Id="rId3041" Type="http://schemas.openxmlformats.org/officeDocument/2006/relationships/hyperlink" Target="https://natalie.tf/wp-content/uploads/2023/10/DLV3_Icon_Ability_1010117.png" TargetMode="External"/><Relationship Id="rId779" Type="http://schemas.openxmlformats.org/officeDocument/2006/relationships/hyperlink" Target="https://natalie.tf/wp-content/uploads/2023/10/DLV3_Icon_WP_400071_02.png" TargetMode="External"/><Relationship Id="rId986" Type="http://schemas.openxmlformats.org/officeDocument/2006/relationships/image" Target="../media/image489.png"/><Relationship Id="rId2667" Type="http://schemas.openxmlformats.org/officeDocument/2006/relationships/image" Target="../media/image1329.png"/><Relationship Id="rId639" Type="http://schemas.openxmlformats.org/officeDocument/2006/relationships/hyperlink" Target="https://natalie.tf/wp-content/uploads/2023/10/DLV3_Icon_Weapon_309045_01.png" TargetMode="External"/><Relationship Id="rId1269" Type="http://schemas.openxmlformats.org/officeDocument/2006/relationships/image" Target="../media/image630.png"/><Relationship Id="rId1476" Type="http://schemas.openxmlformats.org/officeDocument/2006/relationships/hyperlink" Target="https://natalie.tf/wp-content/uploads/2023/10/DLV3_Icon_WP_400049_02.png" TargetMode="External"/><Relationship Id="rId2874" Type="http://schemas.openxmlformats.org/officeDocument/2006/relationships/hyperlink" Target="https://natalie.tf/wp-content/uploads/2023/10/DLV3_Icon_DRA_210095_01.png" TargetMode="External"/><Relationship Id="rId846" Type="http://schemas.openxmlformats.org/officeDocument/2006/relationships/image" Target="../media/image423.png"/><Relationship Id="rId1129" Type="http://schemas.openxmlformats.org/officeDocument/2006/relationships/hyperlink" Target="https://natalie.tf/wp-content/uploads/2023/10/DLV3_Icon_WP_400420_01.png" TargetMode="External"/><Relationship Id="rId1683" Type="http://schemas.openxmlformats.org/officeDocument/2006/relationships/image" Target="../media/image837.png"/><Relationship Id="rId1890" Type="http://schemas.openxmlformats.org/officeDocument/2006/relationships/hyperlink" Target="https://natalie.tf/wp-content/uploads/2023/10/DLV3_Icon_WP_400015_02.png" TargetMode="External"/><Relationship Id="rId2527" Type="http://schemas.openxmlformats.org/officeDocument/2006/relationships/image" Target="../media/image1259.png"/><Relationship Id="rId2734" Type="http://schemas.openxmlformats.org/officeDocument/2006/relationships/hyperlink" Target="https://natalie.tf/wp-content/uploads/2023/10/DLV3_Icon_DRA_210130_01.png" TargetMode="External"/><Relationship Id="rId2941" Type="http://schemas.openxmlformats.org/officeDocument/2006/relationships/hyperlink" Target="https://natalie.tf/wp-content/uploads/2023/11/DLV3_Icon_NPC_Custom_120176_01.png" TargetMode="External"/><Relationship Id="rId706" Type="http://schemas.openxmlformats.org/officeDocument/2006/relationships/image" Target="../media/image353.png"/><Relationship Id="rId913" Type="http://schemas.openxmlformats.org/officeDocument/2006/relationships/image" Target="../media/image456.png"/><Relationship Id="rId1336" Type="http://schemas.openxmlformats.org/officeDocument/2006/relationships/hyperlink" Target="https://natalie.tf/wp-content/uploads/2023/10/DLV3_Icon_WP_400485_02.png" TargetMode="External"/><Relationship Id="rId1543" Type="http://schemas.openxmlformats.org/officeDocument/2006/relationships/image" Target="../media/image767.png"/><Relationship Id="rId1750" Type="http://schemas.openxmlformats.org/officeDocument/2006/relationships/hyperlink" Target="https://natalie.tf/wp-content/uploads/2023/10/DLV3_Icon_WP_400446_01.png" TargetMode="External"/><Relationship Id="rId2801" Type="http://schemas.openxmlformats.org/officeDocument/2006/relationships/image" Target="../media/image1396.png"/><Relationship Id="rId42" Type="http://schemas.openxmlformats.org/officeDocument/2006/relationships/image" Target="../media/image21.png"/><Relationship Id="rId1403" Type="http://schemas.openxmlformats.org/officeDocument/2006/relationships/image" Target="../media/image697.png"/><Relationship Id="rId1610" Type="http://schemas.openxmlformats.org/officeDocument/2006/relationships/hyperlink" Target="https://natalie.tf/wp-content/uploads/2023/10/DLV3_Icon_WP_400282_01.png" TargetMode="External"/><Relationship Id="rId289" Type="http://schemas.openxmlformats.org/officeDocument/2006/relationships/hyperlink" Target="https://natalie.tf/wp-content/uploads/2023/10/DLV3_Icon_Weapon_305128_01.png" TargetMode="External"/><Relationship Id="rId496" Type="http://schemas.openxmlformats.org/officeDocument/2006/relationships/image" Target="../media/image248.png"/><Relationship Id="rId2177" Type="http://schemas.openxmlformats.org/officeDocument/2006/relationships/image" Target="../media/image1084.png"/><Relationship Id="rId2384" Type="http://schemas.openxmlformats.org/officeDocument/2006/relationships/hyperlink" Target="https://natalie.tf/wp-content/uploads/2023/10/DLV3_Icon_ADV_110004_02_r05.png" TargetMode="External"/><Relationship Id="rId2591" Type="http://schemas.openxmlformats.org/officeDocument/2006/relationships/image" Target="../media/image1291.png"/><Relationship Id="rId149" Type="http://schemas.openxmlformats.org/officeDocument/2006/relationships/hyperlink" Target="https://natalie.tf/wp-content/uploads/2023/10/DLV3_Icon_Weapon_302023_01.png" TargetMode="External"/><Relationship Id="rId356" Type="http://schemas.openxmlformats.org/officeDocument/2006/relationships/image" Target="../media/image178.png"/><Relationship Id="rId563" Type="http://schemas.openxmlformats.org/officeDocument/2006/relationships/hyperlink" Target="https://natalie.tf/wp-content/uploads/2023/10/DLV3_Icon_Weapon_307153_01.png" TargetMode="External"/><Relationship Id="rId770" Type="http://schemas.openxmlformats.org/officeDocument/2006/relationships/image" Target="../media/image385.png"/><Relationship Id="rId1193" Type="http://schemas.openxmlformats.org/officeDocument/2006/relationships/hyperlink" Target="https://natalie.tf/wp-content/uploads/2023/10/DLV3_Icon_Ability_1020005.png" TargetMode="External"/><Relationship Id="rId2037" Type="http://schemas.openxmlformats.org/officeDocument/2006/relationships/image" Target="../media/image1014.png"/><Relationship Id="rId2244" Type="http://schemas.openxmlformats.org/officeDocument/2006/relationships/hyperlink" Target="https://natalie.tf/wp-content/uploads/2023/10/DLV3_Icon_ADV_110364_01_r05.png" TargetMode="External"/><Relationship Id="rId2451" Type="http://schemas.openxmlformats.org/officeDocument/2006/relationships/image" Target="../media/image1221.png"/><Relationship Id="rId216" Type="http://schemas.openxmlformats.org/officeDocument/2006/relationships/image" Target="../media/image108.png"/><Relationship Id="rId423" Type="http://schemas.openxmlformats.org/officeDocument/2006/relationships/hyperlink" Target="https://natalie.tf/wp-content/uploads/2023/10/DLV3_Icon_Weapon_309023_01.png" TargetMode="External"/><Relationship Id="rId1053" Type="http://schemas.openxmlformats.org/officeDocument/2006/relationships/hyperlink" Target="https://natalie.tf/wp-content/uploads/2023/10/DLV3_Icon_WP_400391_02.png" TargetMode="External"/><Relationship Id="rId1260" Type="http://schemas.openxmlformats.org/officeDocument/2006/relationships/hyperlink" Target="https://natalie.tf/wp-content/uploads/2023/10/DLV3_Icon_Ability_1070019.png" TargetMode="External"/><Relationship Id="rId2104" Type="http://schemas.openxmlformats.org/officeDocument/2006/relationships/hyperlink" Target="https://natalie.tf/wp-content/uploads/2023/10/DLV3_Icon_ADV_110050_02_r05.png" TargetMode="External"/><Relationship Id="rId630" Type="http://schemas.openxmlformats.org/officeDocument/2006/relationships/image" Target="../media/image315.png"/><Relationship Id="rId2311" Type="http://schemas.openxmlformats.org/officeDocument/2006/relationships/image" Target="../media/image1151.png"/><Relationship Id="rId1120" Type="http://schemas.openxmlformats.org/officeDocument/2006/relationships/image" Target="../media/image556.png"/><Relationship Id="rId1937" Type="http://schemas.openxmlformats.org/officeDocument/2006/relationships/image" Target="../media/image964.png"/><Relationship Id="rId280" Type="http://schemas.openxmlformats.org/officeDocument/2006/relationships/image" Target="../media/image140.png"/><Relationship Id="rId3012" Type="http://schemas.openxmlformats.org/officeDocument/2006/relationships/image" Target="../media/image1501.png"/><Relationship Id="rId140" Type="http://schemas.openxmlformats.org/officeDocument/2006/relationships/image" Target="../media/image70.png"/><Relationship Id="rId6" Type="http://schemas.openxmlformats.org/officeDocument/2006/relationships/image" Target="../media/image3.png"/><Relationship Id="rId2778" Type="http://schemas.openxmlformats.org/officeDocument/2006/relationships/hyperlink" Target="https://natalie.tf/wp-content/uploads/2023/10/DLV3_Icon_DRA_210010_01.png" TargetMode="External"/><Relationship Id="rId2985" Type="http://schemas.openxmlformats.org/officeDocument/2006/relationships/hyperlink" Target="https://natalie.tf/wp-content/uploads/2023/11/DLV3_Icon_NPC_Custom_120094_01.png" TargetMode="External"/><Relationship Id="rId957" Type="http://schemas.openxmlformats.org/officeDocument/2006/relationships/image" Target="../media/image475.png"/><Relationship Id="rId1587" Type="http://schemas.openxmlformats.org/officeDocument/2006/relationships/image" Target="../media/image789.png"/><Relationship Id="rId1794" Type="http://schemas.openxmlformats.org/officeDocument/2006/relationships/hyperlink" Target="https://natalie.tf/wp-content/uploads/2023/10/DLV3_Icon_WP_400470_02.png" TargetMode="External"/><Relationship Id="rId2638" Type="http://schemas.openxmlformats.org/officeDocument/2006/relationships/hyperlink" Target="https://natalie.tf/wp-content/uploads/2023/10/DLV3_Icon_ADV_100004_10_r05.png" TargetMode="External"/><Relationship Id="rId2845" Type="http://schemas.openxmlformats.org/officeDocument/2006/relationships/image" Target="../media/image1418.png"/><Relationship Id="rId86" Type="http://schemas.openxmlformats.org/officeDocument/2006/relationships/image" Target="../media/image43.png"/><Relationship Id="rId817" Type="http://schemas.openxmlformats.org/officeDocument/2006/relationships/hyperlink" Target="https://natalie.tf/wp-content/uploads/2023/10/DLV3_Icon_WP_400103_01.png" TargetMode="External"/><Relationship Id="rId1447" Type="http://schemas.openxmlformats.org/officeDocument/2006/relationships/image" Target="../media/image719.png"/><Relationship Id="rId1654" Type="http://schemas.openxmlformats.org/officeDocument/2006/relationships/hyperlink" Target="https://natalie.tf/wp-content/uploads/2023/10/DLV3_Icon_WP_400388_02.png" TargetMode="External"/><Relationship Id="rId1861" Type="http://schemas.openxmlformats.org/officeDocument/2006/relationships/image" Target="../media/image926.png"/><Relationship Id="rId2705" Type="http://schemas.openxmlformats.org/officeDocument/2006/relationships/image" Target="../media/image1348.png"/><Relationship Id="rId2912" Type="http://schemas.openxmlformats.org/officeDocument/2006/relationships/hyperlink" Target="https://natalie.tf/wp-content/uploads/2023/10/DLV3_Icon_DRA_210090_01.png" TargetMode="External"/><Relationship Id="rId1307" Type="http://schemas.openxmlformats.org/officeDocument/2006/relationships/image" Target="../media/image649.png"/><Relationship Id="rId1514" Type="http://schemas.openxmlformats.org/officeDocument/2006/relationships/hyperlink" Target="https://natalie.tf/wp-content/uploads/2023/10/DLV3_Icon_WP_400060_01.png" TargetMode="External"/><Relationship Id="rId1721" Type="http://schemas.openxmlformats.org/officeDocument/2006/relationships/image" Target="../media/image856.png"/><Relationship Id="rId13" Type="http://schemas.openxmlformats.org/officeDocument/2006/relationships/hyperlink" Target="https://natalie.tf/wp-content/uploads/2023/10/DLV3_Icon_Ability_1010001.png" TargetMode="External"/><Relationship Id="rId2288" Type="http://schemas.openxmlformats.org/officeDocument/2006/relationships/hyperlink" Target="https://natalie.tf/wp-content/uploads/2023/10/DLV3_Icon_ADV_110038_02_r05.png" TargetMode="External"/><Relationship Id="rId2495" Type="http://schemas.openxmlformats.org/officeDocument/2006/relationships/image" Target="../media/image1243.png"/><Relationship Id="rId467" Type="http://schemas.openxmlformats.org/officeDocument/2006/relationships/hyperlink" Target="https://natalie.tf/wp-content/uploads/2023/10/DLV3_Icon_Weapon_304127_01.png" TargetMode="External"/><Relationship Id="rId1097" Type="http://schemas.openxmlformats.org/officeDocument/2006/relationships/hyperlink" Target="https://natalie.tf/wp-content/uploads/2023/10/DLV3_Icon_WP_400431_01.png" TargetMode="External"/><Relationship Id="rId2148" Type="http://schemas.openxmlformats.org/officeDocument/2006/relationships/hyperlink" Target="https://natalie.tf/wp-content/uploads/2023/10/DLV3_Icon_ADV_110301_02_r05.png" TargetMode="External"/><Relationship Id="rId674" Type="http://schemas.openxmlformats.org/officeDocument/2006/relationships/image" Target="../media/image337.png"/><Relationship Id="rId881" Type="http://schemas.openxmlformats.org/officeDocument/2006/relationships/image" Target="../media/image440.png"/><Relationship Id="rId2355" Type="http://schemas.openxmlformats.org/officeDocument/2006/relationships/image" Target="../media/image1173.png"/><Relationship Id="rId2562" Type="http://schemas.openxmlformats.org/officeDocument/2006/relationships/hyperlink" Target="https://natalie.tf/wp-content/uploads/2023/10/DLV3_Icon_ADV_110343_01_r05.png" TargetMode="External"/><Relationship Id="rId327" Type="http://schemas.openxmlformats.org/officeDocument/2006/relationships/hyperlink" Target="https://natalie.tf/wp-content/uploads/2023/10/DLV3_Icon_Weapon_306123_01.png" TargetMode="External"/><Relationship Id="rId534" Type="http://schemas.openxmlformats.org/officeDocument/2006/relationships/image" Target="../media/image267.png"/><Relationship Id="rId741" Type="http://schemas.openxmlformats.org/officeDocument/2006/relationships/hyperlink" Target="https://natalie.tf/wp-content/uploads/2023/10/DLV3_Icon_WP_400063_02.png" TargetMode="External"/><Relationship Id="rId1164" Type="http://schemas.openxmlformats.org/officeDocument/2006/relationships/image" Target="../media/image578.png"/><Relationship Id="rId1371" Type="http://schemas.openxmlformats.org/officeDocument/2006/relationships/image" Target="../media/image681.png"/><Relationship Id="rId2008" Type="http://schemas.openxmlformats.org/officeDocument/2006/relationships/hyperlink" Target="https://natalie.tf/wp-content/uploads/2023/10/DLV3_Icon_WP_400002_02.png" TargetMode="External"/><Relationship Id="rId2215" Type="http://schemas.openxmlformats.org/officeDocument/2006/relationships/image" Target="../media/image1103.png"/><Relationship Id="rId2422" Type="http://schemas.openxmlformats.org/officeDocument/2006/relationships/hyperlink" Target="https://natalie.tf/wp-content/uploads/2023/10/DLV3_Icon_ADV_110324_01_r05.png" TargetMode="External"/><Relationship Id="rId601" Type="http://schemas.openxmlformats.org/officeDocument/2006/relationships/hyperlink" Target="https://natalie.tf/wp-content/uploads/2023/10/DLV3_Icon_Weapon_308147_01.png" TargetMode="External"/><Relationship Id="rId1024" Type="http://schemas.openxmlformats.org/officeDocument/2006/relationships/image" Target="../media/image508.png"/><Relationship Id="rId1231" Type="http://schemas.openxmlformats.org/officeDocument/2006/relationships/image" Target="../media/image611.png"/><Relationship Id="rId3056" Type="http://schemas.openxmlformats.org/officeDocument/2006/relationships/image" Target="../media/image1523.png"/><Relationship Id="rId184" Type="http://schemas.openxmlformats.org/officeDocument/2006/relationships/image" Target="../media/image92.png"/><Relationship Id="rId391" Type="http://schemas.openxmlformats.org/officeDocument/2006/relationships/hyperlink" Target="https://natalie.tf/wp-content/uploads/2023/10/DLV3_Icon_Weapon_302111_01.png" TargetMode="External"/><Relationship Id="rId1908" Type="http://schemas.openxmlformats.org/officeDocument/2006/relationships/hyperlink" Target="https://natalie.tf/wp-content/uploads/2023/10/DLV3_Icon_WP_400019_02.png" TargetMode="External"/><Relationship Id="rId2072" Type="http://schemas.openxmlformats.org/officeDocument/2006/relationships/hyperlink" Target="https://natalie.tf/wp-content/uploads/2023/10/DLV3_Icon_ADV_110053_03_r05.png" TargetMode="External"/><Relationship Id="rId251" Type="http://schemas.openxmlformats.org/officeDocument/2006/relationships/hyperlink" Target="https://natalie.tf/wp-content/uploads/2023/10/DLV3_Icon_Weapon_302108_01.png" TargetMode="External"/><Relationship Id="rId2889" Type="http://schemas.openxmlformats.org/officeDocument/2006/relationships/image" Target="../media/image1440.png"/><Relationship Id="rId111" Type="http://schemas.openxmlformats.org/officeDocument/2006/relationships/hyperlink" Target="https://natalie.tf/wp-content/uploads/2023/10/DLV3_Icon_Weapon_305015_01.png" TargetMode="External"/><Relationship Id="rId1698" Type="http://schemas.openxmlformats.org/officeDocument/2006/relationships/hyperlink" Target="https://natalie.tf/wp-content/uploads/2023/10/DLV3_Icon_WP_400421_01.png" TargetMode="External"/><Relationship Id="rId2749" Type="http://schemas.openxmlformats.org/officeDocument/2006/relationships/image" Target="../media/image1370.png"/><Relationship Id="rId2956" Type="http://schemas.openxmlformats.org/officeDocument/2006/relationships/image" Target="../media/image1473.png"/><Relationship Id="rId928" Type="http://schemas.openxmlformats.org/officeDocument/2006/relationships/hyperlink" Target="https://natalie.tf/wp-content/uploads/2023/10/DLV3_Icon_WP_400147_02.png" TargetMode="External"/><Relationship Id="rId1558" Type="http://schemas.openxmlformats.org/officeDocument/2006/relationships/hyperlink" Target="https://natalie.tf/wp-content/uploads/2023/10/DLV3_Icon_WP_400090_01.png" TargetMode="External"/><Relationship Id="rId1765" Type="http://schemas.openxmlformats.org/officeDocument/2006/relationships/image" Target="../media/image878.png"/><Relationship Id="rId2609" Type="http://schemas.openxmlformats.org/officeDocument/2006/relationships/image" Target="../media/image1300.png"/><Relationship Id="rId57" Type="http://schemas.openxmlformats.org/officeDocument/2006/relationships/hyperlink" Target="https://natalie.tf/wp-content/uploads/2023/10/DLV3_Icon_Weapon_304001_01.png" TargetMode="External"/><Relationship Id="rId1418" Type="http://schemas.openxmlformats.org/officeDocument/2006/relationships/hyperlink" Target="https://natalie.tf/wp-content/uploads/2023/10/DLV3_Icon_WP_400036_02.png" TargetMode="External"/><Relationship Id="rId1972" Type="http://schemas.openxmlformats.org/officeDocument/2006/relationships/hyperlink" Target="https://natalie.tf/wp-content/uploads/2023/10/DLV3_Icon_WP_400027_02.png" TargetMode="External"/><Relationship Id="rId2816" Type="http://schemas.openxmlformats.org/officeDocument/2006/relationships/hyperlink" Target="https://natalie.tf/wp-content/uploads/2023/10/DLV3_Icon_DRA_210078_01.png" TargetMode="External"/><Relationship Id="rId1625" Type="http://schemas.openxmlformats.org/officeDocument/2006/relationships/image" Target="../media/image808.png"/><Relationship Id="rId1832" Type="http://schemas.openxmlformats.org/officeDocument/2006/relationships/hyperlink" Target="https://natalie.tf/wp-content/uploads/2023/10/DLV3_Icon_WP_400492_01.png" TargetMode="External"/><Relationship Id="rId2399" Type="http://schemas.openxmlformats.org/officeDocument/2006/relationships/image" Target="../media/image1195.png"/><Relationship Id="rId578" Type="http://schemas.openxmlformats.org/officeDocument/2006/relationships/image" Target="../media/image289.png"/><Relationship Id="rId785" Type="http://schemas.openxmlformats.org/officeDocument/2006/relationships/hyperlink" Target="https://natalie.tf/wp-content/uploads/2023/10/DLV3_Icon_Ability_1100002.png" TargetMode="External"/><Relationship Id="rId992" Type="http://schemas.openxmlformats.org/officeDocument/2006/relationships/image" Target="../media/image492.png"/><Relationship Id="rId2259" Type="http://schemas.openxmlformats.org/officeDocument/2006/relationships/image" Target="../media/image1125.png"/><Relationship Id="rId2466" Type="http://schemas.openxmlformats.org/officeDocument/2006/relationships/hyperlink" Target="https://natalie.tf/wp-content/uploads/2023/10/DLV3_Icon_ADV_100006_03_r05.png" TargetMode="External"/><Relationship Id="rId2673" Type="http://schemas.openxmlformats.org/officeDocument/2006/relationships/image" Target="../media/image1332.png"/><Relationship Id="rId2880" Type="http://schemas.openxmlformats.org/officeDocument/2006/relationships/hyperlink" Target="https://natalie.tf/wp-content/uploads/2023/10/DLV3_Icon_DRA_210138_01.png" TargetMode="External"/><Relationship Id="rId438" Type="http://schemas.openxmlformats.org/officeDocument/2006/relationships/image" Target="../media/image219.png"/><Relationship Id="rId645" Type="http://schemas.openxmlformats.org/officeDocument/2006/relationships/hyperlink" Target="https://natalie.tf/wp-content/uploads/2023/10/DLV3_Icon_WP_400359_01.png" TargetMode="External"/><Relationship Id="rId852" Type="http://schemas.openxmlformats.org/officeDocument/2006/relationships/image" Target="../media/image426.png"/><Relationship Id="rId1068" Type="http://schemas.openxmlformats.org/officeDocument/2006/relationships/image" Target="../media/image530.png"/><Relationship Id="rId1275" Type="http://schemas.openxmlformats.org/officeDocument/2006/relationships/image" Target="../media/image633.png"/><Relationship Id="rId1482" Type="http://schemas.openxmlformats.org/officeDocument/2006/relationships/hyperlink" Target="https://natalie.tf/wp-content/uploads/2023/10/DLV3_Icon_WP_400051_01.png" TargetMode="External"/><Relationship Id="rId2119" Type="http://schemas.openxmlformats.org/officeDocument/2006/relationships/image" Target="../media/image1055.png"/><Relationship Id="rId2326" Type="http://schemas.openxmlformats.org/officeDocument/2006/relationships/hyperlink" Target="https://natalie.tf/wp-content/uploads/2023/10/DLV3_Icon_ADV_110023_01_r05.png" TargetMode="External"/><Relationship Id="rId2533" Type="http://schemas.openxmlformats.org/officeDocument/2006/relationships/image" Target="../media/image1262.png"/><Relationship Id="rId2740" Type="http://schemas.openxmlformats.org/officeDocument/2006/relationships/hyperlink" Target="https://natalie.tf/wp-content/uploads/2023/10/DLV3_Icon_DRA_210003_01.png" TargetMode="External"/><Relationship Id="rId505" Type="http://schemas.openxmlformats.org/officeDocument/2006/relationships/hyperlink" Target="https://natalie.tf/wp-content/uploads/2023/10/DLV3_Icon_Weapon_305137_01.png" TargetMode="External"/><Relationship Id="rId712" Type="http://schemas.openxmlformats.org/officeDocument/2006/relationships/image" Target="../media/image356.png"/><Relationship Id="rId1135" Type="http://schemas.openxmlformats.org/officeDocument/2006/relationships/hyperlink" Target="https://natalie.tf/wp-content/uploads/2023/10/DLV3_Icon_WP_400342_02.png" TargetMode="External"/><Relationship Id="rId1342" Type="http://schemas.openxmlformats.org/officeDocument/2006/relationships/hyperlink" Target="https://natalie.tf/wp-content/uploads/2023/10/DLV3_Icon_WP_400490_01.png" TargetMode="External"/><Relationship Id="rId1202" Type="http://schemas.openxmlformats.org/officeDocument/2006/relationships/image" Target="../media/image597.png"/><Relationship Id="rId2600" Type="http://schemas.openxmlformats.org/officeDocument/2006/relationships/hyperlink" Target="https://natalie.tf/wp-content/uploads/2023/10/DLV3_Icon_ADV_110254_01_r05.png" TargetMode="External"/><Relationship Id="rId295" Type="http://schemas.openxmlformats.org/officeDocument/2006/relationships/hyperlink" Target="https://natalie.tf/wp-content/uploads/2023/10/DLV3_Icon_Weapon_308122_01.png" TargetMode="External"/><Relationship Id="rId2183" Type="http://schemas.openxmlformats.org/officeDocument/2006/relationships/image" Target="../media/image1087.png"/><Relationship Id="rId2390" Type="http://schemas.openxmlformats.org/officeDocument/2006/relationships/hyperlink" Target="https://natalie.tf/wp-content/uploads/2023/10/DLV3_Icon_ADV_110028_01_r05.png" TargetMode="External"/><Relationship Id="rId3027" Type="http://schemas.openxmlformats.org/officeDocument/2006/relationships/hyperlink" Target="https://natalie.tf/wp-content/uploads/2023/11/DLV3_Icon_NPC_120179_01.png" TargetMode="External"/><Relationship Id="rId155" Type="http://schemas.openxmlformats.org/officeDocument/2006/relationships/hyperlink" Target="https://natalie.tf/wp-content/uploads/2023/10/DLV3_Icon_Weapon_305032_01.png" TargetMode="External"/><Relationship Id="rId362" Type="http://schemas.openxmlformats.org/officeDocument/2006/relationships/image" Target="../media/image181.png"/><Relationship Id="rId2043" Type="http://schemas.openxmlformats.org/officeDocument/2006/relationships/image" Target="../media/image1017.png"/><Relationship Id="rId2250" Type="http://schemas.openxmlformats.org/officeDocument/2006/relationships/hyperlink" Target="https://natalie.tf/wp-content/uploads/2023/10/DLV3_Icon_ADV_100017_03_r05.png" TargetMode="External"/><Relationship Id="rId222" Type="http://schemas.openxmlformats.org/officeDocument/2006/relationships/image" Target="../media/image111.png"/><Relationship Id="rId2110" Type="http://schemas.openxmlformats.org/officeDocument/2006/relationships/hyperlink" Target="https://natalie.tf/wp-content/uploads/2023/10/DLV3_Icon_ADV_110002_01_r05.png" TargetMode="External"/><Relationship Id="rId1669" Type="http://schemas.openxmlformats.org/officeDocument/2006/relationships/image" Target="../media/image830.png"/><Relationship Id="rId1876" Type="http://schemas.openxmlformats.org/officeDocument/2006/relationships/hyperlink" Target="https://natalie.tf/wp-content/uploads/2023/10/DLV3_Icon_WP_400012_01.png" TargetMode="External"/><Relationship Id="rId2927" Type="http://schemas.openxmlformats.org/officeDocument/2006/relationships/image" Target="../media/image1459.png"/><Relationship Id="rId1529" Type="http://schemas.openxmlformats.org/officeDocument/2006/relationships/image" Target="../media/image760.png"/><Relationship Id="rId1736" Type="http://schemas.openxmlformats.org/officeDocument/2006/relationships/hyperlink" Target="https://natalie.tf/wp-content/uploads/2023/10/DLV3_Icon_WP_400440_01.png" TargetMode="External"/><Relationship Id="rId1943" Type="http://schemas.openxmlformats.org/officeDocument/2006/relationships/image" Target="../media/image967.png"/><Relationship Id="rId28" Type="http://schemas.openxmlformats.org/officeDocument/2006/relationships/image" Target="../media/image14.png"/><Relationship Id="rId1803" Type="http://schemas.openxmlformats.org/officeDocument/2006/relationships/image" Target="../media/image897.png"/><Relationship Id="rId689" Type="http://schemas.openxmlformats.org/officeDocument/2006/relationships/hyperlink" Target="https://natalie.tf/wp-content/uploads/2023/11/DLV3_Icon_Affinity_Staff.png" TargetMode="External"/><Relationship Id="rId896" Type="http://schemas.openxmlformats.org/officeDocument/2006/relationships/hyperlink" Target="https://natalie.tf/wp-content/uploads/2023/10/DLV3_Icon_WP_400092_01.png" TargetMode="External"/><Relationship Id="rId2577" Type="http://schemas.openxmlformats.org/officeDocument/2006/relationships/image" Target="../media/image1284.png"/><Relationship Id="rId2784" Type="http://schemas.openxmlformats.org/officeDocument/2006/relationships/hyperlink" Target="https://natalie.tf/wp-content/uploads/2023/10/DLV3_Icon_DRA_210125_01.png" TargetMode="External"/><Relationship Id="rId549" Type="http://schemas.openxmlformats.org/officeDocument/2006/relationships/hyperlink" Target="https://natalie.tf/wp-content/uploads/2023/10/DLV3_Icon_Weapon_309030_01.png" TargetMode="External"/><Relationship Id="rId756" Type="http://schemas.openxmlformats.org/officeDocument/2006/relationships/image" Target="../media/image378.png"/><Relationship Id="rId1179" Type="http://schemas.openxmlformats.org/officeDocument/2006/relationships/hyperlink" Target="https://natalie.tf/wp-content/uploads/2023/10/DLV3_Icon_WP_400436_02.png" TargetMode="External"/><Relationship Id="rId1386" Type="http://schemas.openxmlformats.org/officeDocument/2006/relationships/hyperlink" Target="https://natalie.tf/wp-content/uploads/2023/10/DLV3_Icon_WP_400501_02.png" TargetMode="External"/><Relationship Id="rId1593" Type="http://schemas.openxmlformats.org/officeDocument/2006/relationships/image" Target="../media/image792.png"/><Relationship Id="rId2437" Type="http://schemas.openxmlformats.org/officeDocument/2006/relationships/image" Target="../media/image1214.png"/><Relationship Id="rId2991" Type="http://schemas.openxmlformats.org/officeDocument/2006/relationships/hyperlink" Target="https://natalie.tf/wp-content/uploads/2023/11/DLV3_Icon_NPC_120225_01.png" TargetMode="External"/><Relationship Id="rId409" Type="http://schemas.openxmlformats.org/officeDocument/2006/relationships/hyperlink" Target="https://natalie.tf/wp-content/uploads/2023/10/DLV3_Icon_Weapon_302110_01.png" TargetMode="External"/><Relationship Id="rId963" Type="http://schemas.openxmlformats.org/officeDocument/2006/relationships/image" Target="../media/image478.png"/><Relationship Id="rId1039" Type="http://schemas.openxmlformats.org/officeDocument/2006/relationships/hyperlink" Target="https://natalie.tf/wp-content/uploads/2023/10/DLV3_Icon_WP_400084_02.png" TargetMode="External"/><Relationship Id="rId1246" Type="http://schemas.openxmlformats.org/officeDocument/2006/relationships/hyperlink" Target="https://natalie.tf/wp-content/uploads/2023/10/DLV3_Icon_WP_400463_01.png" TargetMode="External"/><Relationship Id="rId2644" Type="http://schemas.openxmlformats.org/officeDocument/2006/relationships/hyperlink" Target="https://natalie.tf/wp-content/uploads/2023/11/DLV3_Icon_ADV_Custom_Sarisse.png" TargetMode="External"/><Relationship Id="rId2851" Type="http://schemas.openxmlformats.org/officeDocument/2006/relationships/image" Target="../media/image1421.png"/><Relationship Id="rId92" Type="http://schemas.openxmlformats.org/officeDocument/2006/relationships/image" Target="../media/image46.png"/><Relationship Id="rId616" Type="http://schemas.openxmlformats.org/officeDocument/2006/relationships/image" Target="../media/image308.png"/><Relationship Id="rId823" Type="http://schemas.openxmlformats.org/officeDocument/2006/relationships/hyperlink" Target="https://natalie.tf/wp-content/uploads/2023/10/DLV3_Icon_WP_400104_01.png" TargetMode="External"/><Relationship Id="rId1453" Type="http://schemas.openxmlformats.org/officeDocument/2006/relationships/image" Target="../media/image722.png"/><Relationship Id="rId1660" Type="http://schemas.openxmlformats.org/officeDocument/2006/relationships/hyperlink" Target="https://natalie.tf/wp-content/uploads/2023/10/DLV3_Icon_WP_400392_01.png" TargetMode="External"/><Relationship Id="rId2504" Type="http://schemas.openxmlformats.org/officeDocument/2006/relationships/hyperlink" Target="https://natalie.tf/wp-content/uploads/2023/10/DLV3_Icon_ADV_110347_01_r05.png" TargetMode="External"/><Relationship Id="rId2711" Type="http://schemas.openxmlformats.org/officeDocument/2006/relationships/image" Target="../media/image1351.png"/><Relationship Id="rId1106" Type="http://schemas.openxmlformats.org/officeDocument/2006/relationships/image" Target="../media/image549.png"/><Relationship Id="rId1313" Type="http://schemas.openxmlformats.org/officeDocument/2006/relationships/image" Target="../media/image652.png"/><Relationship Id="rId1520" Type="http://schemas.openxmlformats.org/officeDocument/2006/relationships/hyperlink" Target="https://natalie.tf/wp-content/uploads/2023/10/DLV3_Icon_WP_400061_02.png" TargetMode="External"/><Relationship Id="rId199" Type="http://schemas.openxmlformats.org/officeDocument/2006/relationships/hyperlink" Target="https://natalie.tf/wp-content/uploads/2023/10/DLV3_Icon_Weapon_309015_01.png" TargetMode="External"/><Relationship Id="rId2087" Type="http://schemas.openxmlformats.org/officeDocument/2006/relationships/image" Target="../media/image1039.png"/><Relationship Id="rId2294" Type="http://schemas.openxmlformats.org/officeDocument/2006/relationships/hyperlink" Target="https://natalie.tf/wp-content/uploads/2023/10/DLV3_Icon_ADV_110019_01_r05.png" TargetMode="External"/><Relationship Id="rId266" Type="http://schemas.openxmlformats.org/officeDocument/2006/relationships/image" Target="../media/image133.png"/><Relationship Id="rId473" Type="http://schemas.openxmlformats.org/officeDocument/2006/relationships/hyperlink" Target="https://natalie.tf/wp-content/uploads/2023/10/DLV3_Icon_Weapon_307135_01.png" TargetMode="External"/><Relationship Id="rId680" Type="http://schemas.openxmlformats.org/officeDocument/2006/relationships/image" Target="../media/image340.png"/><Relationship Id="rId2154" Type="http://schemas.openxmlformats.org/officeDocument/2006/relationships/hyperlink" Target="https://natalie.tf/wp-content/uploads/2023/10/DLV3_Icon_ADV_110043_02_r05.png" TargetMode="External"/><Relationship Id="rId2361" Type="http://schemas.openxmlformats.org/officeDocument/2006/relationships/image" Target="../media/image1176.png"/><Relationship Id="rId126" Type="http://schemas.openxmlformats.org/officeDocument/2006/relationships/image" Target="../media/image63.png"/><Relationship Id="rId333" Type="http://schemas.openxmlformats.org/officeDocument/2006/relationships/hyperlink" Target="https://natalie.tf/wp-content/uploads/2023/10/DLV3_Icon_Weapon_309018_01.png" TargetMode="External"/><Relationship Id="rId540" Type="http://schemas.openxmlformats.org/officeDocument/2006/relationships/image" Target="../media/image270.png"/><Relationship Id="rId1170" Type="http://schemas.openxmlformats.org/officeDocument/2006/relationships/image" Target="../media/image581.png"/><Relationship Id="rId2014" Type="http://schemas.openxmlformats.org/officeDocument/2006/relationships/hyperlink" Target="https://natalie.tf/wp-content/uploads/2023/10/DLV3_Icon_WP_400004_01.png" TargetMode="External"/><Relationship Id="rId2221" Type="http://schemas.openxmlformats.org/officeDocument/2006/relationships/image" Target="../media/image1106.png"/><Relationship Id="rId1030" Type="http://schemas.openxmlformats.org/officeDocument/2006/relationships/image" Target="../media/image511.png"/><Relationship Id="rId400" Type="http://schemas.openxmlformats.org/officeDocument/2006/relationships/image" Target="../media/image200.png"/><Relationship Id="rId1987" Type="http://schemas.openxmlformats.org/officeDocument/2006/relationships/image" Target="../media/image989.png"/><Relationship Id="rId1847" Type="http://schemas.openxmlformats.org/officeDocument/2006/relationships/image" Target="../media/image919.png"/><Relationship Id="rId1707" Type="http://schemas.openxmlformats.org/officeDocument/2006/relationships/image" Target="../media/image849.png"/><Relationship Id="rId3062" Type="http://schemas.openxmlformats.org/officeDocument/2006/relationships/image" Target="../media/image1526.png"/><Relationship Id="rId190" Type="http://schemas.openxmlformats.org/officeDocument/2006/relationships/image" Target="../media/image95.png"/><Relationship Id="rId1914" Type="http://schemas.openxmlformats.org/officeDocument/2006/relationships/hyperlink" Target="https://natalie.tf/wp-content/uploads/2023/10/DLV3_Icon_WP_400021_01.png" TargetMode="External"/><Relationship Id="rId2688" Type="http://schemas.openxmlformats.org/officeDocument/2006/relationships/hyperlink" Target="https://natalie.tf/wp-content/uploads/2023/10/DLV3_Icon_DRA_200009_01.png" TargetMode="External"/><Relationship Id="rId2895" Type="http://schemas.openxmlformats.org/officeDocument/2006/relationships/image" Target="../media/image1443.png"/><Relationship Id="rId867" Type="http://schemas.openxmlformats.org/officeDocument/2006/relationships/image" Target="../media/image433.png"/><Relationship Id="rId1497" Type="http://schemas.openxmlformats.org/officeDocument/2006/relationships/image" Target="../media/image744.png"/><Relationship Id="rId2548" Type="http://schemas.openxmlformats.org/officeDocument/2006/relationships/hyperlink" Target="https://natalie.tf/wp-content/uploads/2023/10/DLV3_Icon_ADV_110067_01_r05.png" TargetMode="External"/><Relationship Id="rId2755" Type="http://schemas.openxmlformats.org/officeDocument/2006/relationships/image" Target="../media/image1373.png"/><Relationship Id="rId2962" Type="http://schemas.openxmlformats.org/officeDocument/2006/relationships/image" Target="../media/image1476.png"/><Relationship Id="rId727" Type="http://schemas.openxmlformats.org/officeDocument/2006/relationships/hyperlink" Target="https://natalie.tf/wp-content/uploads/2023/10/DLV3_Icon_WP_400192_01.png" TargetMode="External"/><Relationship Id="rId934" Type="http://schemas.openxmlformats.org/officeDocument/2006/relationships/hyperlink" Target="https://natalie.tf/wp-content/uploads/2023/10/DLV3_Icon_WP_400167_02.png" TargetMode="External"/><Relationship Id="rId1357" Type="http://schemas.openxmlformats.org/officeDocument/2006/relationships/image" Target="../media/image674.png"/><Relationship Id="rId1564" Type="http://schemas.openxmlformats.org/officeDocument/2006/relationships/hyperlink" Target="https://natalie.tf/wp-content/uploads/2023/10/DLV3_Icon_WP_400136_02.png" TargetMode="External"/><Relationship Id="rId1771" Type="http://schemas.openxmlformats.org/officeDocument/2006/relationships/image" Target="../media/image881.png"/><Relationship Id="rId2408" Type="http://schemas.openxmlformats.org/officeDocument/2006/relationships/hyperlink" Target="https://natalie.tf/wp-content/uploads/2023/10/DLV3_Icon_ADV_100018_07_r05.png" TargetMode="External"/><Relationship Id="rId2615" Type="http://schemas.openxmlformats.org/officeDocument/2006/relationships/image" Target="../media/image1303.png"/><Relationship Id="rId2822" Type="http://schemas.openxmlformats.org/officeDocument/2006/relationships/hyperlink" Target="https://natalie.tf/wp-content/uploads/2023/10/DLV3_Icon_DRA_210166_01.png" TargetMode="External"/><Relationship Id="rId63" Type="http://schemas.openxmlformats.org/officeDocument/2006/relationships/hyperlink" Target="https://natalie.tf/wp-content/uploads/2023/10/DLV3_Icon_Weapon_307001_01.png" TargetMode="External"/><Relationship Id="rId1217" Type="http://schemas.openxmlformats.org/officeDocument/2006/relationships/hyperlink" Target="https://natalie.tf/wp-content/uploads/2023/10/DLV3_Icon_WP_400452_02.png" TargetMode="External"/><Relationship Id="rId1424" Type="http://schemas.openxmlformats.org/officeDocument/2006/relationships/hyperlink" Target="https://natalie.tf/wp-content/uploads/2023/10/DLV3_Icon_Ability_1030002.png" TargetMode="External"/><Relationship Id="rId1631" Type="http://schemas.openxmlformats.org/officeDocument/2006/relationships/image" Target="../media/image811.png"/><Relationship Id="rId2198" Type="http://schemas.openxmlformats.org/officeDocument/2006/relationships/hyperlink" Target="https://natalie.tf/wp-content/uploads/2023/10/DLV3_Icon_ADV_110328_01_r05.png" TargetMode="External"/><Relationship Id="rId377" Type="http://schemas.openxmlformats.org/officeDocument/2006/relationships/hyperlink" Target="https://natalie.tf/wp-content/uploads/2023/10/DLV3_Icon_Weapon_304111_01.png" TargetMode="External"/><Relationship Id="rId584" Type="http://schemas.openxmlformats.org/officeDocument/2006/relationships/image" Target="../media/image292.png"/><Relationship Id="rId2058" Type="http://schemas.openxmlformats.org/officeDocument/2006/relationships/hyperlink" Target="https://natalie.tf/wp-content/uploads/2023/10/DLV3_Icon_ADV_110003_01_r05.png" TargetMode="External"/><Relationship Id="rId2265" Type="http://schemas.openxmlformats.org/officeDocument/2006/relationships/image" Target="../media/image1128.png"/><Relationship Id="rId237" Type="http://schemas.openxmlformats.org/officeDocument/2006/relationships/hyperlink" Target="https://natalie.tf/wp-content/uploads/2023/10/DLV3_Icon_Weapon_303088_01.png" TargetMode="External"/><Relationship Id="rId791" Type="http://schemas.openxmlformats.org/officeDocument/2006/relationships/hyperlink" Target="https://natalie.tf/wp-content/uploads/2023/10/DLV3_Icon_WP_400076_01.png" TargetMode="External"/><Relationship Id="rId1074" Type="http://schemas.openxmlformats.org/officeDocument/2006/relationships/image" Target="../media/image533.png"/><Relationship Id="rId2472" Type="http://schemas.openxmlformats.org/officeDocument/2006/relationships/hyperlink" Target="https://natalie.tf/wp-content/uploads/2023/10/DLV3_Icon_ADV_110040_01_r05.png" TargetMode="External"/><Relationship Id="rId444" Type="http://schemas.openxmlformats.org/officeDocument/2006/relationships/image" Target="../media/image222.png"/><Relationship Id="rId651" Type="http://schemas.openxmlformats.org/officeDocument/2006/relationships/hyperlink" Target="https://natalie.tf/wp-content/uploads/2023/10/DLV3_Icon_Ability_1020010.png" TargetMode="External"/><Relationship Id="rId1281" Type="http://schemas.openxmlformats.org/officeDocument/2006/relationships/image" Target="../media/image636.png"/><Relationship Id="rId2125" Type="http://schemas.openxmlformats.org/officeDocument/2006/relationships/image" Target="../media/image1058.png"/><Relationship Id="rId2332" Type="http://schemas.openxmlformats.org/officeDocument/2006/relationships/hyperlink" Target="https://natalie.tf/wp-content/uploads/2023/10/DLV3_Icon_ADV_100007_07_r05.png" TargetMode="External"/><Relationship Id="rId304" Type="http://schemas.openxmlformats.org/officeDocument/2006/relationships/image" Target="../media/image152.png"/><Relationship Id="rId511" Type="http://schemas.openxmlformats.org/officeDocument/2006/relationships/hyperlink" Target="https://natalie.tf/wp-content/uploads/2023/10/DLV3_Icon_Weapon_308130_01.png" TargetMode="External"/><Relationship Id="rId1141" Type="http://schemas.openxmlformats.org/officeDocument/2006/relationships/hyperlink" Target="https://natalie.tf/wp-content/uploads/2023/10/DLV3_Icon_WP_400088_01.png" TargetMode="External"/><Relationship Id="rId1001" Type="http://schemas.openxmlformats.org/officeDocument/2006/relationships/hyperlink" Target="https://natalie.tf/wp-content/uploads/2023/10/DLV3_Icon_WP_400158_01.png" TargetMode="External"/><Relationship Id="rId1958" Type="http://schemas.openxmlformats.org/officeDocument/2006/relationships/hyperlink" Target="https://natalie.tf/wp-content/uploads/2023/10/DLV3_Icon_WP_400106_01.png" TargetMode="External"/><Relationship Id="rId1818" Type="http://schemas.openxmlformats.org/officeDocument/2006/relationships/hyperlink" Target="https://natalie.tf/wp-content/uploads/2023/10/DLV3_Icon_WP_400291_02.png" TargetMode="External"/><Relationship Id="rId3033" Type="http://schemas.openxmlformats.org/officeDocument/2006/relationships/hyperlink" Target="https://natalie.tf/wp-content/uploads/2023/11/DLV3_Icon_NPC_Custom_200008_01.png" TargetMode="External"/><Relationship Id="rId161" Type="http://schemas.openxmlformats.org/officeDocument/2006/relationships/hyperlink" Target="https://natalie.tf/wp-content/uploads/2023/10/DLV3_Icon_Weapon_308032_01.png" TargetMode="External"/><Relationship Id="rId2799" Type="http://schemas.openxmlformats.org/officeDocument/2006/relationships/image" Target="../media/image1395.png"/><Relationship Id="rId978" Type="http://schemas.openxmlformats.org/officeDocument/2006/relationships/image" Target="../media/image485.png"/><Relationship Id="rId2659" Type="http://schemas.openxmlformats.org/officeDocument/2006/relationships/image" Target="../media/image1325.png"/><Relationship Id="rId2866" Type="http://schemas.openxmlformats.org/officeDocument/2006/relationships/hyperlink" Target="https://natalie.tf/wp-content/uploads/2023/10/DLV3_Icon_DRA_210123_01.png" TargetMode="External"/><Relationship Id="rId838" Type="http://schemas.openxmlformats.org/officeDocument/2006/relationships/image" Target="../media/image419.png"/><Relationship Id="rId1468" Type="http://schemas.openxmlformats.org/officeDocument/2006/relationships/hyperlink" Target="https://natalie.tf/wp-content/uploads/2023/10/DLV3_Icon_WP_400047_02.png" TargetMode="External"/><Relationship Id="rId1675" Type="http://schemas.openxmlformats.org/officeDocument/2006/relationships/image" Target="../media/image833.png"/><Relationship Id="rId1882" Type="http://schemas.openxmlformats.org/officeDocument/2006/relationships/hyperlink" Target="https://natalie.tf/wp-content/uploads/2023/10/DLV3_Icon_WP_400013_02.png" TargetMode="External"/><Relationship Id="rId2519" Type="http://schemas.openxmlformats.org/officeDocument/2006/relationships/image" Target="../media/image1255.png"/><Relationship Id="rId2726" Type="http://schemas.openxmlformats.org/officeDocument/2006/relationships/hyperlink" Target="https://natalie.tf/wp-content/uploads/2023/10/DLV3_Icon_DRA_210145_01.png" TargetMode="External"/><Relationship Id="rId1328" Type="http://schemas.openxmlformats.org/officeDocument/2006/relationships/hyperlink" Target="https://natalie.tf/wp-content/uploads/2023/10/DLV3_Icon_WP_400484_02.png" TargetMode="External"/><Relationship Id="rId1535" Type="http://schemas.openxmlformats.org/officeDocument/2006/relationships/image" Target="../media/image763.png"/><Relationship Id="rId2933" Type="http://schemas.openxmlformats.org/officeDocument/2006/relationships/image" Target="../media/image1462.png"/><Relationship Id="rId905" Type="http://schemas.openxmlformats.org/officeDocument/2006/relationships/image" Target="../media/image452.png"/><Relationship Id="rId1742" Type="http://schemas.openxmlformats.org/officeDocument/2006/relationships/hyperlink" Target="https://natalie.tf/wp-content/uploads/2023/10/DLV3_Icon_WP_400443_02.png" TargetMode="External"/><Relationship Id="rId34" Type="http://schemas.openxmlformats.org/officeDocument/2006/relationships/image" Target="../media/image17.png"/><Relationship Id="rId1602" Type="http://schemas.openxmlformats.org/officeDocument/2006/relationships/hyperlink" Target="https://natalie.tf/wp-content/uploads/2023/10/DLV3_Icon_WP_400085_02.png" TargetMode="External"/><Relationship Id="rId488" Type="http://schemas.openxmlformats.org/officeDocument/2006/relationships/image" Target="../media/image244.png"/><Relationship Id="rId695" Type="http://schemas.openxmlformats.org/officeDocument/2006/relationships/hyperlink" Target="https://natalie.tf/wp-content/uploads/2023/10/DLV3_Icon_WP_400226_01.png" TargetMode="External"/><Relationship Id="rId2169" Type="http://schemas.openxmlformats.org/officeDocument/2006/relationships/image" Target="../media/image1080.png"/><Relationship Id="rId2376" Type="http://schemas.openxmlformats.org/officeDocument/2006/relationships/hyperlink" Target="https://natalie.tf/wp-content/uploads/2023/10/DLV3_Icon_ADV_110340_02_r05.png" TargetMode="External"/><Relationship Id="rId2583" Type="http://schemas.openxmlformats.org/officeDocument/2006/relationships/image" Target="../media/image1287.png"/><Relationship Id="rId2790" Type="http://schemas.openxmlformats.org/officeDocument/2006/relationships/hyperlink" Target="https://natalie.tf/wp-content/uploads/2023/10/DLV3_Icon_DRA_210011_01.png" TargetMode="External"/><Relationship Id="rId348" Type="http://schemas.openxmlformats.org/officeDocument/2006/relationships/image" Target="../media/image174.png"/><Relationship Id="rId555" Type="http://schemas.openxmlformats.org/officeDocument/2006/relationships/hyperlink" Target="https://natalie.tf/wp-content/uploads/2023/10/DLV3_Icon_Weapon_303147_01.png" TargetMode="External"/><Relationship Id="rId762" Type="http://schemas.openxmlformats.org/officeDocument/2006/relationships/image" Target="../media/image381.png"/><Relationship Id="rId1185" Type="http://schemas.openxmlformats.org/officeDocument/2006/relationships/hyperlink" Target="https://natalie.tf/wp-content/uploads/2023/10/DLV3_Icon_WP_400442_01.png" TargetMode="External"/><Relationship Id="rId1392" Type="http://schemas.openxmlformats.org/officeDocument/2006/relationships/hyperlink" Target="https://natalie.tf/wp-content/uploads/2023/10/DLV3_Icon_WP_400134_01.png" TargetMode="External"/><Relationship Id="rId2029" Type="http://schemas.openxmlformats.org/officeDocument/2006/relationships/image" Target="../media/image1010.png"/><Relationship Id="rId2236" Type="http://schemas.openxmlformats.org/officeDocument/2006/relationships/hyperlink" Target="https://natalie.tf/wp-content/uploads/2023/10/DLV3_Icon_ADV_110012_01_r05.png" TargetMode="External"/><Relationship Id="rId2443" Type="http://schemas.openxmlformats.org/officeDocument/2006/relationships/image" Target="../media/image1217.png"/><Relationship Id="rId2650" Type="http://schemas.openxmlformats.org/officeDocument/2006/relationships/hyperlink" Target="https://natalie.tf/wp-content/uploads/2023/10/DLV3_Icon_DRA_210107_01.png" TargetMode="External"/><Relationship Id="rId208" Type="http://schemas.openxmlformats.org/officeDocument/2006/relationships/image" Target="../media/image104.png"/><Relationship Id="rId415" Type="http://schemas.openxmlformats.org/officeDocument/2006/relationships/hyperlink" Target="https://natalie.tf/wp-content/uploads/2023/10/DLV3_Icon_Weapon_305115_01.png" TargetMode="External"/><Relationship Id="rId622" Type="http://schemas.openxmlformats.org/officeDocument/2006/relationships/image" Target="../media/image311.png"/><Relationship Id="rId1045" Type="http://schemas.openxmlformats.org/officeDocument/2006/relationships/hyperlink" Target="https://natalie.tf/wp-content/uploads/2023/10/DLV3_Icon_WP_400389_01.png" TargetMode="External"/><Relationship Id="rId1252" Type="http://schemas.openxmlformats.org/officeDocument/2006/relationships/hyperlink" Target="https://natalie.tf/wp-content/uploads/2023/10/DLV3_Icon_WP_400461_02.png" TargetMode="External"/><Relationship Id="rId2303" Type="http://schemas.openxmlformats.org/officeDocument/2006/relationships/image" Target="../media/image1147.png"/><Relationship Id="rId2510" Type="http://schemas.openxmlformats.org/officeDocument/2006/relationships/hyperlink" Target="https://natalie.tf/wp-content/uploads/2023/10/DLV3_Icon_ADV_110003_02_r05.png" TargetMode="External"/><Relationship Id="rId1112" Type="http://schemas.openxmlformats.org/officeDocument/2006/relationships/image" Target="../media/image552.png"/><Relationship Id="rId3077" Type="http://schemas.openxmlformats.org/officeDocument/2006/relationships/hyperlink" Target="https://natalie.tf/wp-content/uploads/2023/10/DLV3_Icon_Skill_025.png" TargetMode="External"/><Relationship Id="rId1929" Type="http://schemas.openxmlformats.org/officeDocument/2006/relationships/image" Target="../media/image960.png"/><Relationship Id="rId2093" Type="http://schemas.openxmlformats.org/officeDocument/2006/relationships/image" Target="../media/image1042.png"/><Relationship Id="rId272" Type="http://schemas.openxmlformats.org/officeDocument/2006/relationships/image" Target="../media/image136.png"/><Relationship Id="rId2160" Type="http://schemas.openxmlformats.org/officeDocument/2006/relationships/hyperlink" Target="https://natalie.tf/wp-content/uploads/2023/10/DLV3_Icon_ADV_100045_01_r05.png" TargetMode="External"/><Relationship Id="rId3004" Type="http://schemas.openxmlformats.org/officeDocument/2006/relationships/image" Target="../media/image1497.png"/><Relationship Id="rId132" Type="http://schemas.openxmlformats.org/officeDocument/2006/relationships/image" Target="../media/image66.png"/><Relationship Id="rId2020" Type="http://schemas.openxmlformats.org/officeDocument/2006/relationships/hyperlink" Target="https://natalie.tf/wp-content/uploads/2023/10/DLV3_Icon_WP_400005_02.png" TargetMode="External"/><Relationship Id="rId1579" Type="http://schemas.openxmlformats.org/officeDocument/2006/relationships/image" Target="../media/image785.png"/><Relationship Id="rId2977" Type="http://schemas.openxmlformats.org/officeDocument/2006/relationships/hyperlink" Target="https://natalie.tf/wp-content/uploads/2023/11/DLV3_Icon_NPC_Custom_100047_01.png" TargetMode="External"/><Relationship Id="rId949" Type="http://schemas.openxmlformats.org/officeDocument/2006/relationships/image" Target="../media/image471.png"/><Relationship Id="rId1786" Type="http://schemas.openxmlformats.org/officeDocument/2006/relationships/hyperlink" Target="https://natalie.tf/wp-content/uploads/2023/10/DLV3_Icon_WP_400460_02.png" TargetMode="External"/><Relationship Id="rId1993" Type="http://schemas.openxmlformats.org/officeDocument/2006/relationships/image" Target="../media/image992.png"/><Relationship Id="rId2837" Type="http://schemas.openxmlformats.org/officeDocument/2006/relationships/image" Target="../media/image1414.png"/><Relationship Id="rId78" Type="http://schemas.openxmlformats.org/officeDocument/2006/relationships/image" Target="../media/image39.png"/><Relationship Id="rId809" Type="http://schemas.openxmlformats.org/officeDocument/2006/relationships/hyperlink" Target="https://natalie.tf/wp-content/uploads/2023/10/DLV3_Icon_WP_400074_01.png" TargetMode="External"/><Relationship Id="rId1439" Type="http://schemas.openxmlformats.org/officeDocument/2006/relationships/image" Target="../media/image715.png"/><Relationship Id="rId1646" Type="http://schemas.openxmlformats.org/officeDocument/2006/relationships/hyperlink" Target="https://natalie.tf/wp-content/uploads/2023/10/DLV3_Icon_WP_400387_02.png" TargetMode="External"/><Relationship Id="rId1853" Type="http://schemas.openxmlformats.org/officeDocument/2006/relationships/image" Target="../media/image922.png"/><Relationship Id="rId2904" Type="http://schemas.openxmlformats.org/officeDocument/2006/relationships/hyperlink" Target="https://natalie.tf/wp-content/uploads/2023/11/DLV3_Icon_DRA_Custom_Beast_Tartarus.png" TargetMode="External"/><Relationship Id="rId1506" Type="http://schemas.openxmlformats.org/officeDocument/2006/relationships/hyperlink" Target="https://natalie.tf/wp-content/uploads/2023/10/DLV3_Icon_WP_400059_01.png" TargetMode="External"/><Relationship Id="rId1713" Type="http://schemas.openxmlformats.org/officeDocument/2006/relationships/image" Target="../media/image852.png"/><Relationship Id="rId1920" Type="http://schemas.openxmlformats.org/officeDocument/2006/relationships/hyperlink" Target="https://natalie.tf/wp-content/uploads/2023/10/DLV3_Icon_WP_400022_02.png" TargetMode="External"/><Relationship Id="rId599" Type="http://schemas.openxmlformats.org/officeDocument/2006/relationships/hyperlink" Target="https://natalie.tf/wp-content/uploads/2023/10/DLV3_Icon_Weapon_307155_01.png" TargetMode="External"/><Relationship Id="rId2487" Type="http://schemas.openxmlformats.org/officeDocument/2006/relationships/image" Target="../media/image1239.png"/><Relationship Id="rId2694" Type="http://schemas.openxmlformats.org/officeDocument/2006/relationships/hyperlink" Target="https://natalie.tf/wp-content/uploads/2023/10/DLV3_Icon_DRA_210006_01.png" TargetMode="External"/><Relationship Id="rId459" Type="http://schemas.openxmlformats.org/officeDocument/2006/relationships/hyperlink" Target="https://natalie.tf/wp-content/uploads/2023/10/DLV3_Icon_Weapon_309025_01.png" TargetMode="External"/><Relationship Id="rId666" Type="http://schemas.openxmlformats.org/officeDocument/2006/relationships/image" Target="../media/image333.png"/><Relationship Id="rId873" Type="http://schemas.openxmlformats.org/officeDocument/2006/relationships/image" Target="../media/image436.png"/><Relationship Id="rId1089" Type="http://schemas.openxmlformats.org/officeDocument/2006/relationships/hyperlink" Target="https://natalie.tf/wp-content/uploads/2023/10/DLV3_Icon_WP_400407_01.png" TargetMode="External"/><Relationship Id="rId1296" Type="http://schemas.openxmlformats.org/officeDocument/2006/relationships/hyperlink" Target="https://natalie.tf/wp-content/uploads/2023/10/DLV3_Icon_WP_400473_01.png" TargetMode="External"/><Relationship Id="rId2347" Type="http://schemas.openxmlformats.org/officeDocument/2006/relationships/image" Target="../media/image1169.png"/><Relationship Id="rId2554" Type="http://schemas.openxmlformats.org/officeDocument/2006/relationships/hyperlink" Target="https://natalie.tf/wp-content/uploads/2023/10/DLV3_Icon_ADV_110313_01_r05.png" TargetMode="External"/><Relationship Id="rId319" Type="http://schemas.openxmlformats.org/officeDocument/2006/relationships/hyperlink" Target="https://natalie.tf/wp-content/uploads/2023/10/DLV3_Icon_Weapon_302125_01.png" TargetMode="External"/><Relationship Id="rId526" Type="http://schemas.openxmlformats.org/officeDocument/2006/relationships/image" Target="../media/image263.png"/><Relationship Id="rId1156" Type="http://schemas.openxmlformats.org/officeDocument/2006/relationships/image" Target="../media/image574.png"/><Relationship Id="rId1363" Type="http://schemas.openxmlformats.org/officeDocument/2006/relationships/image" Target="../media/image677.png"/><Relationship Id="rId2207" Type="http://schemas.openxmlformats.org/officeDocument/2006/relationships/image" Target="../media/image1099.png"/><Relationship Id="rId2761" Type="http://schemas.openxmlformats.org/officeDocument/2006/relationships/image" Target="../media/image1376.png"/><Relationship Id="rId733" Type="http://schemas.openxmlformats.org/officeDocument/2006/relationships/hyperlink" Target="https://natalie.tf/wp-content/uploads/2023/11/DLV3_Icon_Affinity_Spider.png" TargetMode="External"/><Relationship Id="rId940" Type="http://schemas.openxmlformats.org/officeDocument/2006/relationships/hyperlink" Target="https://natalie.tf/wp-content/uploads/2023/10/DLV3_Icon_WP_400154_01.png" TargetMode="External"/><Relationship Id="rId1016" Type="http://schemas.openxmlformats.org/officeDocument/2006/relationships/image" Target="../media/image504.png"/><Relationship Id="rId1570" Type="http://schemas.openxmlformats.org/officeDocument/2006/relationships/hyperlink" Target="https://natalie.tf/wp-content/uploads/2023/10/DLV3_Icon_WP_400140_01.png" TargetMode="External"/><Relationship Id="rId2414" Type="http://schemas.openxmlformats.org/officeDocument/2006/relationships/hyperlink" Target="https://natalie.tf/wp-content/uploads/2023/10/DLV3_Icon_ADV_110393_01_r05.png" TargetMode="External"/><Relationship Id="rId2621" Type="http://schemas.openxmlformats.org/officeDocument/2006/relationships/image" Target="../media/image1306.png"/><Relationship Id="rId800" Type="http://schemas.openxmlformats.org/officeDocument/2006/relationships/image" Target="../media/image400.png"/><Relationship Id="rId1223" Type="http://schemas.openxmlformats.org/officeDocument/2006/relationships/image" Target="../media/image607.png"/><Relationship Id="rId1430" Type="http://schemas.openxmlformats.org/officeDocument/2006/relationships/hyperlink" Target="https://natalie.tf/wp-content/uploads/2023/10/DLV3_Icon_Ability_1030006.png" TargetMode="External"/><Relationship Id="rId3048" Type="http://schemas.openxmlformats.org/officeDocument/2006/relationships/image" Target="../media/image1519.png"/><Relationship Id="rId176" Type="http://schemas.openxmlformats.org/officeDocument/2006/relationships/image" Target="../media/image88.png"/><Relationship Id="rId383" Type="http://schemas.openxmlformats.org/officeDocument/2006/relationships/hyperlink" Target="https://natalie.tf/wp-content/uploads/2023/10/DLV3_Icon_Weapon_307119_01.png" TargetMode="External"/><Relationship Id="rId590" Type="http://schemas.openxmlformats.org/officeDocument/2006/relationships/image" Target="../media/image295.png"/><Relationship Id="rId2064" Type="http://schemas.openxmlformats.org/officeDocument/2006/relationships/hyperlink" Target="https://natalie.tf/wp-content/uploads/2023/10/DLV3_Icon_ADV_110378_01_r05.png" TargetMode="External"/><Relationship Id="rId2271" Type="http://schemas.openxmlformats.org/officeDocument/2006/relationships/image" Target="../media/image1131.png"/><Relationship Id="rId243" Type="http://schemas.openxmlformats.org/officeDocument/2006/relationships/hyperlink" Target="https://natalie.tf/wp-content/uploads/2023/10/DLV3_Icon_Weapon_306087_01.png" TargetMode="External"/><Relationship Id="rId450" Type="http://schemas.openxmlformats.org/officeDocument/2006/relationships/image" Target="../media/image225.png"/><Relationship Id="rId1080" Type="http://schemas.openxmlformats.org/officeDocument/2006/relationships/image" Target="../media/image536.png"/><Relationship Id="rId2131" Type="http://schemas.openxmlformats.org/officeDocument/2006/relationships/image" Target="../media/image1061.png"/><Relationship Id="rId103" Type="http://schemas.openxmlformats.org/officeDocument/2006/relationships/hyperlink" Target="https://natalie.tf/wp-content/uploads/2023/10/DLV3_Icon_Weapon_301041_01.png" TargetMode="External"/><Relationship Id="rId310" Type="http://schemas.openxmlformats.org/officeDocument/2006/relationships/image" Target="../media/image155.png"/><Relationship Id="rId1897" Type="http://schemas.openxmlformats.org/officeDocument/2006/relationships/image" Target="../media/image944.png"/><Relationship Id="rId2948" Type="http://schemas.openxmlformats.org/officeDocument/2006/relationships/image" Target="../media/image1469.png"/><Relationship Id="rId1757" Type="http://schemas.openxmlformats.org/officeDocument/2006/relationships/image" Target="../media/image874.png"/><Relationship Id="rId1964" Type="http://schemas.openxmlformats.org/officeDocument/2006/relationships/hyperlink" Target="https://natalie.tf/wp-content/uploads/2023/10/DLV3_Icon_WP_400113_02.png" TargetMode="External"/><Relationship Id="rId2808" Type="http://schemas.openxmlformats.org/officeDocument/2006/relationships/hyperlink" Target="https://natalie.tf/wp-content/uploads/2023/10/DLV3_Icon_DRA_210051_01.png" TargetMode="External"/><Relationship Id="rId49" Type="http://schemas.openxmlformats.org/officeDocument/2006/relationships/hyperlink" Target="https://natalie.tf/wp-content/uploads/2023/10/DLV3_Icon_Weapon_306029_01.png" TargetMode="External"/><Relationship Id="rId1617" Type="http://schemas.openxmlformats.org/officeDocument/2006/relationships/image" Target="../media/image804.png"/><Relationship Id="rId1824" Type="http://schemas.openxmlformats.org/officeDocument/2006/relationships/hyperlink" Target="https://natalie.tf/wp-content/uploads/2023/10/DLV3_Icon_WP_400488_01.png" TargetMode="External"/><Relationship Id="rId2598" Type="http://schemas.openxmlformats.org/officeDocument/2006/relationships/hyperlink" Target="https://natalie.tf/wp-content/uploads/2023/10/DLV3_Icon_ADV_110051_01_r05.png" TargetMode="External"/><Relationship Id="rId777" Type="http://schemas.openxmlformats.org/officeDocument/2006/relationships/hyperlink" Target="https://natalie.tf/wp-content/uploads/2023/10/DLV3_Icon_WP_400071_01.png" TargetMode="External"/><Relationship Id="rId984" Type="http://schemas.openxmlformats.org/officeDocument/2006/relationships/image" Target="../media/image488.png"/><Relationship Id="rId2458" Type="http://schemas.openxmlformats.org/officeDocument/2006/relationships/hyperlink" Target="https://natalie.tf/wp-content/uploads/2023/10/DLV3_Icon_ADV_110036_03_r05.png" TargetMode="External"/><Relationship Id="rId2665" Type="http://schemas.openxmlformats.org/officeDocument/2006/relationships/image" Target="../media/image1328.png"/><Relationship Id="rId2872" Type="http://schemas.openxmlformats.org/officeDocument/2006/relationships/hyperlink" Target="https://natalie.tf/wp-content/uploads/2023/10/DLV3_Icon_DRA_210155_01.png" TargetMode="External"/><Relationship Id="rId637" Type="http://schemas.openxmlformats.org/officeDocument/2006/relationships/hyperlink" Target="https://natalie.tf/wp-content/uploads/2023/10/DLV3_Icon_Weapon_308149_01.png" TargetMode="External"/><Relationship Id="rId844" Type="http://schemas.openxmlformats.org/officeDocument/2006/relationships/image" Target="../media/image422.png"/><Relationship Id="rId1267" Type="http://schemas.openxmlformats.org/officeDocument/2006/relationships/image" Target="../media/image629.png"/><Relationship Id="rId1474" Type="http://schemas.openxmlformats.org/officeDocument/2006/relationships/hyperlink" Target="https://natalie.tf/wp-content/uploads/2023/10/DLV3_Icon_WP_400049_01.png" TargetMode="External"/><Relationship Id="rId1681" Type="http://schemas.openxmlformats.org/officeDocument/2006/relationships/image" Target="../media/image836.png"/><Relationship Id="rId2318" Type="http://schemas.openxmlformats.org/officeDocument/2006/relationships/hyperlink" Target="https://natalie.tf/wp-content/uploads/2023/10/DLV3_Icon_ADV_110268_01_r05.png" TargetMode="External"/><Relationship Id="rId2525" Type="http://schemas.openxmlformats.org/officeDocument/2006/relationships/image" Target="../media/image1258.png"/><Relationship Id="rId2732" Type="http://schemas.openxmlformats.org/officeDocument/2006/relationships/hyperlink" Target="https://natalie.tf/wp-content/uploads/2023/10/DLV3_Icon_DRA_210058_01.png" TargetMode="External"/><Relationship Id="rId704" Type="http://schemas.openxmlformats.org/officeDocument/2006/relationships/image" Target="../media/image352.png"/><Relationship Id="rId911" Type="http://schemas.openxmlformats.org/officeDocument/2006/relationships/image" Target="../media/image455.png"/><Relationship Id="rId1127" Type="http://schemas.openxmlformats.org/officeDocument/2006/relationships/hyperlink" Target="https://natalie.tf/wp-content/uploads/2023/10/DLV3_Icon_WP_400285_02.png" TargetMode="External"/><Relationship Id="rId1334" Type="http://schemas.openxmlformats.org/officeDocument/2006/relationships/hyperlink" Target="https://natalie.tf/wp-content/uploads/2023/10/DLV3_Icon_WP_400485_01.png" TargetMode="External"/><Relationship Id="rId1541" Type="http://schemas.openxmlformats.org/officeDocument/2006/relationships/image" Target="../media/image766.png"/><Relationship Id="rId40" Type="http://schemas.openxmlformats.org/officeDocument/2006/relationships/image" Target="../media/image20.png"/><Relationship Id="rId1401" Type="http://schemas.openxmlformats.org/officeDocument/2006/relationships/image" Target="../media/image696.png"/><Relationship Id="rId287" Type="http://schemas.openxmlformats.org/officeDocument/2006/relationships/hyperlink" Target="https://natalie.tf/wp-content/uploads/2023/10/DLV3_Icon_Weapon_304121_01.png" TargetMode="External"/><Relationship Id="rId494" Type="http://schemas.openxmlformats.org/officeDocument/2006/relationships/image" Target="../media/image247.png"/><Relationship Id="rId2175" Type="http://schemas.openxmlformats.org/officeDocument/2006/relationships/image" Target="../media/image1083.png"/><Relationship Id="rId2382" Type="http://schemas.openxmlformats.org/officeDocument/2006/relationships/hyperlink" Target="https://natalie.tf/wp-content/uploads/2023/10/DLV3_Icon_ADV_110350_01_r05.png" TargetMode="External"/><Relationship Id="rId3019" Type="http://schemas.openxmlformats.org/officeDocument/2006/relationships/hyperlink" Target="https://natalie.tf/wp-content/uploads/2023/11/DLV3_Icon_NPC_100009_06.png" TargetMode="External"/><Relationship Id="rId147" Type="http://schemas.openxmlformats.org/officeDocument/2006/relationships/hyperlink" Target="https://natalie.tf/wp-content/uploads/2023/10/DLV3_Icon_Weapon_301033_01.png" TargetMode="External"/><Relationship Id="rId354" Type="http://schemas.openxmlformats.org/officeDocument/2006/relationships/image" Target="../media/image177.png"/><Relationship Id="rId1191" Type="http://schemas.openxmlformats.org/officeDocument/2006/relationships/hyperlink" Target="https://natalie.tf/wp-content/uploads/2023/10/DLV3_Icon_WP_400439_02.png" TargetMode="External"/><Relationship Id="rId2035" Type="http://schemas.openxmlformats.org/officeDocument/2006/relationships/image" Target="../media/image1013.png"/><Relationship Id="rId561" Type="http://schemas.openxmlformats.org/officeDocument/2006/relationships/hyperlink" Target="https://natalie.tf/wp-content/uploads/2023/10/DLV3_Icon_Weapon_306146_01.png" TargetMode="External"/><Relationship Id="rId2242" Type="http://schemas.openxmlformats.org/officeDocument/2006/relationships/hyperlink" Target="https://natalie.tf/wp-content/uploads/2023/10/DLV3_Icon_ADV_110013_01_r05.png" TargetMode="External"/><Relationship Id="rId214" Type="http://schemas.openxmlformats.org/officeDocument/2006/relationships/image" Target="../media/image107.png"/><Relationship Id="rId421" Type="http://schemas.openxmlformats.org/officeDocument/2006/relationships/hyperlink" Target="https://natalie.tf/wp-content/uploads/2023/10/DLV3_Icon_Weapon_308109_01.png" TargetMode="External"/><Relationship Id="rId1051" Type="http://schemas.openxmlformats.org/officeDocument/2006/relationships/hyperlink" Target="https://natalie.tf/wp-content/uploads/2023/10/DLV3_Icon_WP_400391_01.png" TargetMode="External"/><Relationship Id="rId2102" Type="http://schemas.openxmlformats.org/officeDocument/2006/relationships/hyperlink" Target="https://natalie.tf/wp-content/uploads/2023/10/DLV3_Icon_ADV_110010_01_r05.png" TargetMode="External"/><Relationship Id="rId1868" Type="http://schemas.openxmlformats.org/officeDocument/2006/relationships/hyperlink" Target="https://natalie.tf/wp-content/uploads/2023/10/DLV3_Icon_WP_400010_01.png" TargetMode="External"/><Relationship Id="rId2919" Type="http://schemas.openxmlformats.org/officeDocument/2006/relationships/image" Target="../media/image1455.png"/><Relationship Id="rId1728" Type="http://schemas.openxmlformats.org/officeDocument/2006/relationships/hyperlink" Target="https://natalie.tf/wp-content/uploads/2023/10/DLV3_Icon_WP_400284_02.png" TargetMode="External"/><Relationship Id="rId1935" Type="http://schemas.openxmlformats.org/officeDocument/2006/relationships/image" Target="../media/image963.png"/><Relationship Id="rId3010" Type="http://schemas.openxmlformats.org/officeDocument/2006/relationships/image" Target="../media/image1500.png"/><Relationship Id="rId4" Type="http://schemas.openxmlformats.org/officeDocument/2006/relationships/image" Target="../media/image2.png"/><Relationship Id="rId888" Type="http://schemas.openxmlformats.org/officeDocument/2006/relationships/hyperlink" Target="https://natalie.tf/wp-content/uploads/2023/10/DLV3_Icon_WP_400080_01.png" TargetMode="External"/><Relationship Id="rId2569" Type="http://schemas.openxmlformats.org/officeDocument/2006/relationships/image" Target="../media/image1280.png"/><Relationship Id="rId2776" Type="http://schemas.openxmlformats.org/officeDocument/2006/relationships/hyperlink" Target="https://natalie.tf/wp-content/uploads/2023/10/DLV3_Icon_DRA_210143_01.png" TargetMode="External"/><Relationship Id="rId2983" Type="http://schemas.openxmlformats.org/officeDocument/2006/relationships/hyperlink" Target="https://natalie.tf/wp-content/uploads/2023/11/DLV3_Icon_NPC_120082_01.png" TargetMode="External"/><Relationship Id="rId748" Type="http://schemas.openxmlformats.org/officeDocument/2006/relationships/image" Target="../media/image374.png"/><Relationship Id="rId955" Type="http://schemas.openxmlformats.org/officeDocument/2006/relationships/image" Target="../media/image474.png"/><Relationship Id="rId1378" Type="http://schemas.openxmlformats.org/officeDocument/2006/relationships/hyperlink" Target="https://natalie.tf/wp-content/uploads/2023/10/DLV3_Icon_WP_400502_01.png" TargetMode="External"/><Relationship Id="rId1585" Type="http://schemas.openxmlformats.org/officeDocument/2006/relationships/image" Target="../media/image788.png"/><Relationship Id="rId1792" Type="http://schemas.openxmlformats.org/officeDocument/2006/relationships/hyperlink" Target="https://natalie.tf/wp-content/uploads/2023/10/DLV3_Icon_WP_400470_01.png" TargetMode="External"/><Relationship Id="rId2429" Type="http://schemas.openxmlformats.org/officeDocument/2006/relationships/image" Target="../media/image1210.png"/><Relationship Id="rId2636" Type="http://schemas.openxmlformats.org/officeDocument/2006/relationships/hyperlink" Target="https://natalie.tf/wp-content/uploads/2023/11/DLV3_Icon_ADV_Custom_Zethia.png" TargetMode="External"/><Relationship Id="rId2843" Type="http://schemas.openxmlformats.org/officeDocument/2006/relationships/image" Target="../media/image1417.png"/><Relationship Id="rId84" Type="http://schemas.openxmlformats.org/officeDocument/2006/relationships/image" Target="../media/image42.png"/><Relationship Id="rId608" Type="http://schemas.openxmlformats.org/officeDocument/2006/relationships/image" Target="../media/image304.png"/><Relationship Id="rId815" Type="http://schemas.openxmlformats.org/officeDocument/2006/relationships/hyperlink" Target="https://natalie.tf/wp-content/uploads/2023/10/DLV3_Icon_WP_400099_02.png" TargetMode="External"/><Relationship Id="rId1238" Type="http://schemas.openxmlformats.org/officeDocument/2006/relationships/hyperlink" Target="https://natalie.tf/wp-content/uploads/2023/10/DLV3_Icon_WP_400459_02.png" TargetMode="External"/><Relationship Id="rId1445" Type="http://schemas.openxmlformats.org/officeDocument/2006/relationships/image" Target="../media/image718.png"/><Relationship Id="rId1652" Type="http://schemas.openxmlformats.org/officeDocument/2006/relationships/hyperlink" Target="https://natalie.tf/wp-content/uploads/2023/10/DLV3_Icon_WP_400388_01.png" TargetMode="External"/><Relationship Id="rId1305" Type="http://schemas.openxmlformats.org/officeDocument/2006/relationships/image" Target="../media/image648.png"/><Relationship Id="rId2703" Type="http://schemas.openxmlformats.org/officeDocument/2006/relationships/image" Target="../media/image1347.png"/><Relationship Id="rId2910" Type="http://schemas.openxmlformats.org/officeDocument/2006/relationships/hyperlink" Target="https://natalie.tf/wp-content/uploads/2023/11/DLV3_Icon_DRA_Custom_Primal_Mercury.png" TargetMode="External"/><Relationship Id="rId1512" Type="http://schemas.openxmlformats.org/officeDocument/2006/relationships/hyperlink" Target="https://natalie.tf/wp-content/uploads/2023/10/DLV3_Icon_WP_400053_02.png" TargetMode="External"/><Relationship Id="rId11" Type="http://schemas.openxmlformats.org/officeDocument/2006/relationships/hyperlink" Target="https://natalie.tf/wp-content/uploads/2023/10/DLV3_Icon_Ability_1020013.png" TargetMode="External"/><Relationship Id="rId398" Type="http://schemas.openxmlformats.org/officeDocument/2006/relationships/image" Target="../media/image199.png"/><Relationship Id="rId2079" Type="http://schemas.openxmlformats.org/officeDocument/2006/relationships/image" Target="../media/image1035.png"/><Relationship Id="rId2286" Type="http://schemas.openxmlformats.org/officeDocument/2006/relationships/hyperlink" Target="https://natalie.tf/wp-content/uploads/2023/10/DLV3_Icon_ADV_110351_01_r05.png" TargetMode="External"/><Relationship Id="rId2493" Type="http://schemas.openxmlformats.org/officeDocument/2006/relationships/image" Target="../media/image1242.png"/><Relationship Id="rId258" Type="http://schemas.openxmlformats.org/officeDocument/2006/relationships/image" Target="../media/image129.png"/><Relationship Id="rId465" Type="http://schemas.openxmlformats.org/officeDocument/2006/relationships/hyperlink" Target="https://natalie.tf/wp-content/uploads/2023/10/DLV3_Icon_Weapon_303128_01.png" TargetMode="External"/><Relationship Id="rId672" Type="http://schemas.openxmlformats.org/officeDocument/2006/relationships/image" Target="../media/image336.png"/><Relationship Id="rId1095" Type="http://schemas.openxmlformats.org/officeDocument/2006/relationships/hyperlink" Target="https://natalie.tf/wp-content/uploads/2023/10/DLV3_Icon_WP_400409_02.png" TargetMode="External"/><Relationship Id="rId2146" Type="http://schemas.openxmlformats.org/officeDocument/2006/relationships/hyperlink" Target="https://natalie.tf/wp-content/uploads/2023/10/DLV3_Icon_ADV_110374_01_r05.png" TargetMode="External"/><Relationship Id="rId2353" Type="http://schemas.openxmlformats.org/officeDocument/2006/relationships/image" Target="../media/image1172.png"/><Relationship Id="rId2560" Type="http://schemas.openxmlformats.org/officeDocument/2006/relationships/hyperlink" Target="https://natalie.tf/wp-content/uploads/2023/10/DLV3_Icon_ADV_110335_02_r05.png" TargetMode="External"/><Relationship Id="rId118" Type="http://schemas.openxmlformats.org/officeDocument/2006/relationships/image" Target="../media/image59.png"/><Relationship Id="rId325" Type="http://schemas.openxmlformats.org/officeDocument/2006/relationships/hyperlink" Target="https://natalie.tf/wp-content/uploads/2023/10/DLV3_Icon_Weapon_305130_01.png" TargetMode="External"/><Relationship Id="rId532" Type="http://schemas.openxmlformats.org/officeDocument/2006/relationships/image" Target="../media/image266.png"/><Relationship Id="rId1162" Type="http://schemas.openxmlformats.org/officeDocument/2006/relationships/image" Target="../media/image577.png"/><Relationship Id="rId2006" Type="http://schemas.openxmlformats.org/officeDocument/2006/relationships/hyperlink" Target="https://natalie.tf/wp-content/uploads/2023/10/DLV3_Icon_WP_400002_01.png" TargetMode="External"/><Relationship Id="rId2213" Type="http://schemas.openxmlformats.org/officeDocument/2006/relationships/image" Target="../media/image1102.png"/><Relationship Id="rId2420" Type="http://schemas.openxmlformats.org/officeDocument/2006/relationships/hyperlink" Target="https://natalie.tf/wp-content/uploads/2023/10/DLV3_Icon_ADV_110327_01_r05.png" TargetMode="External"/><Relationship Id="rId1022" Type="http://schemas.openxmlformats.org/officeDocument/2006/relationships/image" Target="../media/image507.png"/><Relationship Id="rId1979" Type="http://schemas.openxmlformats.org/officeDocument/2006/relationships/image" Target="../media/image985.png"/><Relationship Id="rId1839" Type="http://schemas.openxmlformats.org/officeDocument/2006/relationships/image" Target="../media/image915.png"/><Relationship Id="rId3054" Type="http://schemas.openxmlformats.org/officeDocument/2006/relationships/image" Target="../media/image1522.png"/><Relationship Id="rId182" Type="http://schemas.openxmlformats.org/officeDocument/2006/relationships/image" Target="../media/image91.png"/><Relationship Id="rId1906" Type="http://schemas.openxmlformats.org/officeDocument/2006/relationships/hyperlink" Target="https://natalie.tf/wp-content/uploads/2023/10/DLV3_Icon_WP_400019_01.png" TargetMode="External"/><Relationship Id="rId2070" Type="http://schemas.openxmlformats.org/officeDocument/2006/relationships/hyperlink" Target="https://natalie.tf/wp-content/uploads/2023/10/DLV3_Icon_ADV_100002_15_r05.png" TargetMode="External"/><Relationship Id="rId999" Type="http://schemas.openxmlformats.org/officeDocument/2006/relationships/hyperlink" Target="https://natalie.tf/wp-content/uploads/2023/10/DLV3_Icon_WP_400245_02.png" TargetMode="External"/><Relationship Id="rId2887" Type="http://schemas.openxmlformats.org/officeDocument/2006/relationships/image" Target="../media/image1439.png"/><Relationship Id="rId859" Type="http://schemas.openxmlformats.org/officeDocument/2006/relationships/hyperlink" Target="https://natalie.tf/wp-content/uploads/2023/10/DLV3_Icon_WP_400118_02.png" TargetMode="External"/><Relationship Id="rId1489" Type="http://schemas.openxmlformats.org/officeDocument/2006/relationships/image" Target="../media/image740.png"/><Relationship Id="rId1696" Type="http://schemas.openxmlformats.org/officeDocument/2006/relationships/hyperlink" Target="https://natalie.tf/wp-content/uploads/2023/10/DLV3_Icon_WP_400286_02.png" TargetMode="External"/><Relationship Id="rId1349" Type="http://schemas.openxmlformats.org/officeDocument/2006/relationships/image" Target="../media/image670.png"/><Relationship Id="rId2747" Type="http://schemas.openxmlformats.org/officeDocument/2006/relationships/image" Target="../media/image1369.png"/><Relationship Id="rId2954" Type="http://schemas.openxmlformats.org/officeDocument/2006/relationships/image" Target="../media/image1472.png"/><Relationship Id="rId719" Type="http://schemas.openxmlformats.org/officeDocument/2006/relationships/hyperlink" Target="https://natalie.tf/wp-content/uploads/2023/10/DLV3_Icon_WP_400181_01.png" TargetMode="External"/><Relationship Id="rId926" Type="http://schemas.openxmlformats.org/officeDocument/2006/relationships/hyperlink" Target="https://natalie.tf/wp-content/uploads/2023/10/DLV3_Icon_WP_400147_01.png" TargetMode="External"/><Relationship Id="rId1556" Type="http://schemas.openxmlformats.org/officeDocument/2006/relationships/hyperlink" Target="https://natalie.tf/wp-content/uploads/2023/10/DLV3_Icon_WP_400127_02.png" TargetMode="External"/><Relationship Id="rId1763" Type="http://schemas.openxmlformats.org/officeDocument/2006/relationships/image" Target="../media/image877.png"/><Relationship Id="rId1970" Type="http://schemas.openxmlformats.org/officeDocument/2006/relationships/hyperlink" Target="https://natalie.tf/wp-content/uploads/2023/10/DLV3_Icon_WP_400027_01.png" TargetMode="External"/><Relationship Id="rId2607" Type="http://schemas.openxmlformats.org/officeDocument/2006/relationships/image" Target="../media/image1299.png"/><Relationship Id="rId2814" Type="http://schemas.openxmlformats.org/officeDocument/2006/relationships/hyperlink" Target="https://natalie.tf/wp-content/uploads/2023/10/DLV3_Icon_DRA_210173_01.png" TargetMode="External"/><Relationship Id="rId55" Type="http://schemas.openxmlformats.org/officeDocument/2006/relationships/hyperlink" Target="https://natalie.tf/wp-content/uploads/2023/10/DLV3_Icon_Weapon_303001_01.png" TargetMode="External"/><Relationship Id="rId1209" Type="http://schemas.openxmlformats.org/officeDocument/2006/relationships/hyperlink" Target="https://natalie.tf/wp-content/uploads/2023/10/DLV3_Icon_Ability_1030004.png" TargetMode="External"/><Relationship Id="rId1416" Type="http://schemas.openxmlformats.org/officeDocument/2006/relationships/hyperlink" Target="https://natalie.tf/wp-content/uploads/2023/10/DLV3_Icon_WP_400036_01.png" TargetMode="External"/><Relationship Id="rId1623" Type="http://schemas.openxmlformats.org/officeDocument/2006/relationships/image" Target="../media/image807.png"/><Relationship Id="rId1830" Type="http://schemas.openxmlformats.org/officeDocument/2006/relationships/hyperlink" Target="https://natalie.tf/wp-content/uploads/2023/10/DLV3_Icon_WP_400489_02.png" TargetMode="External"/><Relationship Id="rId2397" Type="http://schemas.openxmlformats.org/officeDocument/2006/relationships/image" Target="../media/image1194.png"/><Relationship Id="rId369" Type="http://schemas.openxmlformats.org/officeDocument/2006/relationships/hyperlink" Target="https://natalie.tf/wp-content/uploads/2023/10/DLV3_Icon_Weapon_309020_01.png" TargetMode="External"/><Relationship Id="rId576" Type="http://schemas.openxmlformats.org/officeDocument/2006/relationships/image" Target="../media/image288.png"/><Relationship Id="rId783" Type="http://schemas.openxmlformats.org/officeDocument/2006/relationships/hyperlink" Target="https://natalie.tf/wp-content/uploads/2023/10/DLV3_Icon_WP_400072_02.png" TargetMode="External"/><Relationship Id="rId990" Type="http://schemas.openxmlformats.org/officeDocument/2006/relationships/image" Target="../media/image491.png"/><Relationship Id="rId2257" Type="http://schemas.openxmlformats.org/officeDocument/2006/relationships/image" Target="../media/image1124.png"/><Relationship Id="rId2464" Type="http://schemas.openxmlformats.org/officeDocument/2006/relationships/hyperlink" Target="https://natalie.tf/wp-content/uploads/2023/10/DLV3_Icon_ADV_100004_04_r05.png" TargetMode="External"/><Relationship Id="rId2671" Type="http://schemas.openxmlformats.org/officeDocument/2006/relationships/image" Target="../media/image1331.png"/><Relationship Id="rId229" Type="http://schemas.openxmlformats.org/officeDocument/2006/relationships/hyperlink" Target="https://natalie.tf/wp-content/uploads/2023/10/DLV3_Icon_Weapon_307077_01.png" TargetMode="External"/><Relationship Id="rId436" Type="http://schemas.openxmlformats.org/officeDocument/2006/relationships/image" Target="../media/image218.png"/><Relationship Id="rId643" Type="http://schemas.openxmlformats.org/officeDocument/2006/relationships/hyperlink" Target="https://natalie.tf/wp-content/uploads/2023/10/DLV3_Icon_Ability_1010002.png" TargetMode="External"/><Relationship Id="rId1066" Type="http://schemas.openxmlformats.org/officeDocument/2006/relationships/image" Target="../media/image529.png"/><Relationship Id="rId1273" Type="http://schemas.openxmlformats.org/officeDocument/2006/relationships/image" Target="../media/image632.png"/><Relationship Id="rId1480" Type="http://schemas.openxmlformats.org/officeDocument/2006/relationships/hyperlink" Target="https://natalie.tf/wp-content/uploads/2023/10/DLV3_Icon_WP_400050_02.png" TargetMode="External"/><Relationship Id="rId2117" Type="http://schemas.openxmlformats.org/officeDocument/2006/relationships/image" Target="../media/image1054.png"/><Relationship Id="rId2324" Type="http://schemas.openxmlformats.org/officeDocument/2006/relationships/hyperlink" Target="https://natalie.tf/wp-content/uploads/2023/10/DLV3_Icon_ADV_110027_01_r05.png" TargetMode="External"/><Relationship Id="rId850" Type="http://schemas.openxmlformats.org/officeDocument/2006/relationships/image" Target="../media/image425.png"/><Relationship Id="rId1133" Type="http://schemas.openxmlformats.org/officeDocument/2006/relationships/hyperlink" Target="https://natalie.tf/wp-content/uploads/2023/10/DLV3_Icon_WP_400342_01.png" TargetMode="External"/><Relationship Id="rId2531" Type="http://schemas.openxmlformats.org/officeDocument/2006/relationships/image" Target="../media/image1261.png"/><Relationship Id="rId503" Type="http://schemas.openxmlformats.org/officeDocument/2006/relationships/hyperlink" Target="https://natalie.tf/wp-content/uploads/2023/10/DLV3_Icon_Weapon_304129_01.png" TargetMode="External"/><Relationship Id="rId710" Type="http://schemas.openxmlformats.org/officeDocument/2006/relationships/image" Target="../media/image355.png"/><Relationship Id="rId1340" Type="http://schemas.openxmlformats.org/officeDocument/2006/relationships/hyperlink" Target="https://natalie.tf/wp-content/uploads/2023/10/DLV3_Icon_WP_400486_02.png" TargetMode="External"/><Relationship Id="rId1200" Type="http://schemas.openxmlformats.org/officeDocument/2006/relationships/image" Target="../media/image596.png"/><Relationship Id="rId293" Type="http://schemas.openxmlformats.org/officeDocument/2006/relationships/hyperlink" Target="https://natalie.tf/wp-content/uploads/2023/10/DLV3_Icon_Weapon_307129_01.png" TargetMode="External"/><Relationship Id="rId2181" Type="http://schemas.openxmlformats.org/officeDocument/2006/relationships/image" Target="../media/image1086.png"/><Relationship Id="rId3025" Type="http://schemas.openxmlformats.org/officeDocument/2006/relationships/hyperlink" Target="https://natalie.tf/wp-content/uploads/2023/11/DLV3_Icon_NPC_100012_01.png" TargetMode="External"/><Relationship Id="rId153" Type="http://schemas.openxmlformats.org/officeDocument/2006/relationships/hyperlink" Target="https://natalie.tf/wp-content/uploads/2023/10/DLV3_Icon_Weapon_304029_01.png" TargetMode="External"/><Relationship Id="rId360" Type="http://schemas.openxmlformats.org/officeDocument/2006/relationships/image" Target="../media/image180.png"/><Relationship Id="rId2041" Type="http://schemas.openxmlformats.org/officeDocument/2006/relationships/image" Target="../media/image1016.png"/><Relationship Id="rId220" Type="http://schemas.openxmlformats.org/officeDocument/2006/relationships/image" Target="../media/image110.png"/><Relationship Id="rId2998" Type="http://schemas.openxmlformats.org/officeDocument/2006/relationships/image" Target="../media/image1494.png"/><Relationship Id="rId2858" Type="http://schemas.openxmlformats.org/officeDocument/2006/relationships/hyperlink" Target="https://natalie.tf/wp-content/uploads/2023/10/DLV3_Icon_DRA_210127_01.png" TargetMode="External"/><Relationship Id="rId99" Type="http://schemas.openxmlformats.org/officeDocument/2006/relationships/hyperlink" Target="https://natalie.tf/wp-content/uploads/2023/10/DLV3_Icon_Weapon_308005_01.png" TargetMode="External"/><Relationship Id="rId1667" Type="http://schemas.openxmlformats.org/officeDocument/2006/relationships/image" Target="../media/image829.png"/><Relationship Id="rId1874" Type="http://schemas.openxmlformats.org/officeDocument/2006/relationships/hyperlink" Target="https://natalie.tf/wp-content/uploads/2023/10/DLV3_Icon_WP_400011_02.png" TargetMode="External"/><Relationship Id="rId2718" Type="http://schemas.openxmlformats.org/officeDocument/2006/relationships/hyperlink" Target="https://natalie.tf/wp-content/uploads/2023/10/DLV3_Icon_DRA_210156_01.png" TargetMode="External"/><Relationship Id="rId2925" Type="http://schemas.openxmlformats.org/officeDocument/2006/relationships/image" Target="../media/image1458.png"/><Relationship Id="rId1527" Type="http://schemas.openxmlformats.org/officeDocument/2006/relationships/image" Target="../media/image759.png"/><Relationship Id="rId1734" Type="http://schemas.openxmlformats.org/officeDocument/2006/relationships/hyperlink" Target="https://natalie.tf/wp-content/uploads/2023/10/DLV3_Icon_WP_400438_02.png" TargetMode="External"/><Relationship Id="rId1941" Type="http://schemas.openxmlformats.org/officeDocument/2006/relationships/image" Target="../media/image966.png"/><Relationship Id="rId26" Type="http://schemas.openxmlformats.org/officeDocument/2006/relationships/image" Target="../media/image13.png"/><Relationship Id="rId1801" Type="http://schemas.openxmlformats.org/officeDocument/2006/relationships/image" Target="../media/image896.png"/><Relationship Id="rId687" Type="http://schemas.openxmlformats.org/officeDocument/2006/relationships/hyperlink" Target="https://natalie.tf/wp-content/uploads/2023/11/DLV3_Icon_Affinity_Eagle.png" TargetMode="External"/><Relationship Id="rId2368" Type="http://schemas.openxmlformats.org/officeDocument/2006/relationships/hyperlink" Target="https://natalie.tf/wp-content/uploads/2023/10/DLV3_Icon_ADV_110025_01_r05.png" TargetMode="External"/><Relationship Id="rId894" Type="http://schemas.openxmlformats.org/officeDocument/2006/relationships/hyperlink" Target="https://natalie.tf/wp-content/uploads/2023/10/DLV3_Icon_WP_400163_02.png" TargetMode="External"/><Relationship Id="rId1177" Type="http://schemas.openxmlformats.org/officeDocument/2006/relationships/hyperlink" Target="https://natalie.tf/wp-content/uploads/2023/10/DLV3_Icon_WP_400436_01.png" TargetMode="External"/><Relationship Id="rId2575" Type="http://schemas.openxmlformats.org/officeDocument/2006/relationships/image" Target="../media/image1283.png"/><Relationship Id="rId2782" Type="http://schemas.openxmlformats.org/officeDocument/2006/relationships/hyperlink" Target="https://natalie.tf/wp-content/uploads/2023/10/DLV3_Icon_DRA_210038_01.png" TargetMode="External"/><Relationship Id="rId547" Type="http://schemas.openxmlformats.org/officeDocument/2006/relationships/hyperlink" Target="https://natalie.tf/wp-content/uploads/2023/10/DLV3_Icon_Weapon_308132_01.png" TargetMode="External"/><Relationship Id="rId754" Type="http://schemas.openxmlformats.org/officeDocument/2006/relationships/image" Target="../media/image377.png"/><Relationship Id="rId961" Type="http://schemas.openxmlformats.org/officeDocument/2006/relationships/image" Target="../media/image477.png"/><Relationship Id="rId1384" Type="http://schemas.openxmlformats.org/officeDocument/2006/relationships/hyperlink" Target="https://natalie.tf/wp-content/uploads/2023/10/DLV3_Icon_WP_400501_01.png" TargetMode="External"/><Relationship Id="rId1591" Type="http://schemas.openxmlformats.org/officeDocument/2006/relationships/image" Target="../media/image791.png"/><Relationship Id="rId2228" Type="http://schemas.openxmlformats.org/officeDocument/2006/relationships/hyperlink" Target="https://natalie.tf/wp-content/uploads/2023/10/DLV3_Icon_ADV_110018_01_r05.png" TargetMode="External"/><Relationship Id="rId2435" Type="http://schemas.openxmlformats.org/officeDocument/2006/relationships/image" Target="../media/image1213.png"/><Relationship Id="rId2642" Type="http://schemas.openxmlformats.org/officeDocument/2006/relationships/hyperlink" Target="https://natalie.tf/wp-content/uploads/2023/10/DLV3_Icon_ADV_110333_01_r05.png" TargetMode="External"/><Relationship Id="rId90" Type="http://schemas.openxmlformats.org/officeDocument/2006/relationships/image" Target="../media/image45.png"/><Relationship Id="rId407" Type="http://schemas.openxmlformats.org/officeDocument/2006/relationships/hyperlink" Target="https://natalie.tf/wp-content/uploads/2023/10/DLV3_Icon_Weapon_301119_01.png" TargetMode="External"/><Relationship Id="rId614" Type="http://schemas.openxmlformats.org/officeDocument/2006/relationships/image" Target="../media/image307.png"/><Relationship Id="rId821" Type="http://schemas.openxmlformats.org/officeDocument/2006/relationships/hyperlink" Target="https://natalie.tf/wp-content/uploads/2023/10/DLV3_Icon_Ability_1010007.png" TargetMode="External"/><Relationship Id="rId1037" Type="http://schemas.openxmlformats.org/officeDocument/2006/relationships/hyperlink" Target="https://natalie.tf/wp-content/uploads/2023/10/DLV3_Icon_WP_400084_01.png" TargetMode="External"/><Relationship Id="rId1244" Type="http://schemas.openxmlformats.org/officeDocument/2006/relationships/hyperlink" Target="https://natalie.tf/wp-content/uploads/2023/10/DLV3_Icon_WP_400462_02.png" TargetMode="External"/><Relationship Id="rId1451" Type="http://schemas.openxmlformats.org/officeDocument/2006/relationships/image" Target="../media/image721.png"/><Relationship Id="rId2502" Type="http://schemas.openxmlformats.org/officeDocument/2006/relationships/hyperlink" Target="https://natalie.tf/wp-content/uploads/2023/10/DLV3_Icon_ADV_110384_01_r05.png" TargetMode="External"/><Relationship Id="rId1104" Type="http://schemas.openxmlformats.org/officeDocument/2006/relationships/image" Target="../media/image548.png"/><Relationship Id="rId1311" Type="http://schemas.openxmlformats.org/officeDocument/2006/relationships/image" Target="../media/image651.png"/><Relationship Id="rId3069" Type="http://schemas.openxmlformats.org/officeDocument/2006/relationships/hyperlink" Target="https://natalie.tf/wp-content/uploads/2023/10/DLV3_Icon_Skill_201.png" TargetMode="External"/><Relationship Id="rId197" Type="http://schemas.openxmlformats.org/officeDocument/2006/relationships/hyperlink" Target="https://natalie.tf/wp-content/uploads/2023/10/DLV3_Icon_Weapon_308015_01.png" TargetMode="External"/><Relationship Id="rId2085" Type="http://schemas.openxmlformats.org/officeDocument/2006/relationships/image" Target="../media/image1038.png"/><Relationship Id="rId2292" Type="http://schemas.openxmlformats.org/officeDocument/2006/relationships/hyperlink" Target="https://natalie.tf/wp-content/uploads/2023/10/DLV3_Icon_ADV_110315_01_r05.png" TargetMode="External"/><Relationship Id="rId264" Type="http://schemas.openxmlformats.org/officeDocument/2006/relationships/image" Target="../media/image132.png"/><Relationship Id="rId471" Type="http://schemas.openxmlformats.org/officeDocument/2006/relationships/hyperlink" Target="https://natalie.tf/wp-content/uploads/2023/10/DLV3_Icon_Weapon_306127_01.png" TargetMode="External"/><Relationship Id="rId2152" Type="http://schemas.openxmlformats.org/officeDocument/2006/relationships/hyperlink" Target="https://natalie.tf/wp-content/uploads/2023/10/DLV3_Icon_ADV_110015_01_r05.png" TargetMode="External"/><Relationship Id="rId124" Type="http://schemas.openxmlformats.org/officeDocument/2006/relationships/image" Target="../media/image62.png"/><Relationship Id="rId331" Type="http://schemas.openxmlformats.org/officeDocument/2006/relationships/hyperlink" Target="https://natalie.tf/wp-content/uploads/2023/10/DLV3_Icon_Weapon_308124_01.png" TargetMode="External"/><Relationship Id="rId2012" Type="http://schemas.openxmlformats.org/officeDocument/2006/relationships/hyperlink" Target="https://natalie.tf/wp-content/uploads/2023/10/DLV3_Icon_WP_400003_02.png" TargetMode="External"/><Relationship Id="rId2969" Type="http://schemas.openxmlformats.org/officeDocument/2006/relationships/hyperlink" Target="https://natalie.tf/wp-content/uploads/2023/11/DLV3_Icon_NPC_Custom_120140_01.png" TargetMode="External"/><Relationship Id="rId1778" Type="http://schemas.openxmlformats.org/officeDocument/2006/relationships/hyperlink" Target="https://natalie.tf/wp-content/uploads/2023/10/DLV3_Icon_WP_400455_02.png" TargetMode="External"/><Relationship Id="rId1985" Type="http://schemas.openxmlformats.org/officeDocument/2006/relationships/image" Target="../media/image988.png"/><Relationship Id="rId2829" Type="http://schemas.openxmlformats.org/officeDocument/2006/relationships/image" Target="../media/image1410.png"/><Relationship Id="rId1638" Type="http://schemas.openxmlformats.org/officeDocument/2006/relationships/hyperlink" Target="https://natalie.tf/wp-content/uploads/2023/10/DLV3_Icon_WP_400379_02.png" TargetMode="External"/><Relationship Id="rId1845" Type="http://schemas.openxmlformats.org/officeDocument/2006/relationships/image" Target="../media/image918.png"/><Relationship Id="rId3060" Type="http://schemas.openxmlformats.org/officeDocument/2006/relationships/image" Target="../media/image1525.png"/><Relationship Id="rId1705" Type="http://schemas.openxmlformats.org/officeDocument/2006/relationships/image" Target="../media/image848.png"/><Relationship Id="rId1912" Type="http://schemas.openxmlformats.org/officeDocument/2006/relationships/hyperlink" Target="https://natalie.tf/wp-content/uploads/2023/10/DLV3_Icon_WP_400020_02.png" TargetMode="External"/><Relationship Id="rId798" Type="http://schemas.openxmlformats.org/officeDocument/2006/relationships/image" Target="../media/image399.png"/><Relationship Id="rId2479" Type="http://schemas.openxmlformats.org/officeDocument/2006/relationships/image" Target="../media/image1235.png"/><Relationship Id="rId2686" Type="http://schemas.openxmlformats.org/officeDocument/2006/relationships/hyperlink" Target="https://natalie.tf/wp-content/uploads/2023/10/DLV3_Icon_DRA_210016_01.png" TargetMode="External"/><Relationship Id="rId2893" Type="http://schemas.openxmlformats.org/officeDocument/2006/relationships/image" Target="../media/image1442.png"/><Relationship Id="rId658" Type="http://schemas.openxmlformats.org/officeDocument/2006/relationships/image" Target="../media/image329.png"/><Relationship Id="rId865" Type="http://schemas.openxmlformats.org/officeDocument/2006/relationships/image" Target="../media/image432.png"/><Relationship Id="rId1288" Type="http://schemas.openxmlformats.org/officeDocument/2006/relationships/hyperlink" Target="https://natalie.tf/wp-content/uploads/2023/10/DLV3_Icon_WP_400468_01.png" TargetMode="External"/><Relationship Id="rId1495" Type="http://schemas.openxmlformats.org/officeDocument/2006/relationships/image" Target="../media/image743.png"/><Relationship Id="rId2339" Type="http://schemas.openxmlformats.org/officeDocument/2006/relationships/image" Target="../media/image1165.png"/><Relationship Id="rId2546" Type="http://schemas.openxmlformats.org/officeDocument/2006/relationships/hyperlink" Target="https://natalie.tf/wp-content/uploads/2023/10/DLV3_Icon_ADV_110271_01_r05.png" TargetMode="External"/><Relationship Id="rId2753" Type="http://schemas.openxmlformats.org/officeDocument/2006/relationships/image" Target="../media/image1372.png"/><Relationship Id="rId2960" Type="http://schemas.openxmlformats.org/officeDocument/2006/relationships/image" Target="../media/image1475.png"/><Relationship Id="rId518" Type="http://schemas.openxmlformats.org/officeDocument/2006/relationships/image" Target="../media/image259.png"/><Relationship Id="rId725" Type="http://schemas.openxmlformats.org/officeDocument/2006/relationships/hyperlink" Target="https://natalie.tf/wp-content/uploads/2023/10/DLV3_Icon_WP_400191_01.png" TargetMode="External"/><Relationship Id="rId932" Type="http://schemas.openxmlformats.org/officeDocument/2006/relationships/hyperlink" Target="https://natalie.tf/wp-content/uploads/2023/10/DLV3_Icon_WP_400167_01.png" TargetMode="External"/><Relationship Id="rId1148" Type="http://schemas.openxmlformats.org/officeDocument/2006/relationships/image" Target="../media/image570.png"/><Relationship Id="rId1355" Type="http://schemas.openxmlformats.org/officeDocument/2006/relationships/image" Target="../media/image673.png"/><Relationship Id="rId1562" Type="http://schemas.openxmlformats.org/officeDocument/2006/relationships/hyperlink" Target="https://natalie.tf/wp-content/uploads/2023/10/DLV3_Icon_WP_400136_01.png" TargetMode="External"/><Relationship Id="rId2406" Type="http://schemas.openxmlformats.org/officeDocument/2006/relationships/hyperlink" Target="https://natalie.tf/wp-content/uploads/2023/10/DLV3_Icon_ADV_110064_01_r05.png" TargetMode="External"/><Relationship Id="rId2613" Type="http://schemas.openxmlformats.org/officeDocument/2006/relationships/image" Target="../media/image1302.png"/><Relationship Id="rId1008" Type="http://schemas.openxmlformats.org/officeDocument/2006/relationships/image" Target="../media/image500.png"/><Relationship Id="rId1215" Type="http://schemas.openxmlformats.org/officeDocument/2006/relationships/hyperlink" Target="https://natalie.tf/wp-content/uploads/2023/10/DLV3_Icon_WP_400452_01.png" TargetMode="External"/><Relationship Id="rId1422" Type="http://schemas.openxmlformats.org/officeDocument/2006/relationships/hyperlink" Target="https://natalie.tf/wp-content/uploads/2023/10/DLV3_Icon_WP_400037_02.png" TargetMode="External"/><Relationship Id="rId2820" Type="http://schemas.openxmlformats.org/officeDocument/2006/relationships/hyperlink" Target="https://natalie.tf/wp-content/uploads/2023/10/DLV3_Icon_DRA_210049_01.png" TargetMode="External"/><Relationship Id="rId61" Type="http://schemas.openxmlformats.org/officeDocument/2006/relationships/hyperlink" Target="https://natalie.tf/wp-content/uploads/2023/10/DLV3_Icon_Weapon_306001_01.png" TargetMode="External"/><Relationship Id="rId2196" Type="http://schemas.openxmlformats.org/officeDocument/2006/relationships/hyperlink" Target="https://natalie.tf/wp-content/uploads/2023/10/DLV3_Icon_ADV_100004_02_r05.png" TargetMode="External"/><Relationship Id="rId168" Type="http://schemas.openxmlformats.org/officeDocument/2006/relationships/image" Target="../media/image84.png"/><Relationship Id="rId375" Type="http://schemas.openxmlformats.org/officeDocument/2006/relationships/hyperlink" Target="https://natalie.tf/wp-content/uploads/2023/10/DLV3_Icon_Weapon_303112_01.png" TargetMode="External"/><Relationship Id="rId582" Type="http://schemas.openxmlformats.org/officeDocument/2006/relationships/image" Target="../media/image291.png"/><Relationship Id="rId2056" Type="http://schemas.openxmlformats.org/officeDocument/2006/relationships/hyperlink" Target="https://natalie.tf/wp-content/uploads/2023/10/DLV3_Icon_ADV_110056_01_r05.png" TargetMode="External"/><Relationship Id="rId2263" Type="http://schemas.openxmlformats.org/officeDocument/2006/relationships/image" Target="../media/image1127.png"/><Relationship Id="rId2470" Type="http://schemas.openxmlformats.org/officeDocument/2006/relationships/hyperlink" Target="https://natalie.tf/wp-content/uploads/2023/10/DLV3_Icon_ADV_110033_01_r05.png" TargetMode="External"/><Relationship Id="rId235" Type="http://schemas.openxmlformats.org/officeDocument/2006/relationships/hyperlink" Target="https://natalie.tf/wp-content/uploads/2023/10/DLV3_Icon_Weapon_302089_01.png" TargetMode="External"/><Relationship Id="rId442" Type="http://schemas.openxmlformats.org/officeDocument/2006/relationships/image" Target="../media/image221.png"/><Relationship Id="rId1072" Type="http://schemas.openxmlformats.org/officeDocument/2006/relationships/image" Target="../media/image532.png"/><Relationship Id="rId2123" Type="http://schemas.openxmlformats.org/officeDocument/2006/relationships/image" Target="../media/image1057.png"/><Relationship Id="rId2330" Type="http://schemas.openxmlformats.org/officeDocument/2006/relationships/hyperlink" Target="https://natalie.tf/wp-content/uploads/2023/10/DLV3_Icon_ADV_100014_03_r05.png" TargetMode="External"/><Relationship Id="rId302" Type="http://schemas.openxmlformats.org/officeDocument/2006/relationships/image" Target="../media/image151.png"/><Relationship Id="rId1889" Type="http://schemas.openxmlformats.org/officeDocument/2006/relationships/image" Target="../media/image940.png"/><Relationship Id="rId1749" Type="http://schemas.openxmlformats.org/officeDocument/2006/relationships/image" Target="../media/image870.png"/><Relationship Id="rId1956" Type="http://schemas.openxmlformats.org/officeDocument/2006/relationships/hyperlink" Target="https://natalie.tf/wp-content/uploads/2023/10/DLV3_Icon_WP_400101_02.png" TargetMode="External"/><Relationship Id="rId1609" Type="http://schemas.openxmlformats.org/officeDocument/2006/relationships/image" Target="../media/image800.png"/><Relationship Id="rId1816" Type="http://schemas.openxmlformats.org/officeDocument/2006/relationships/hyperlink" Target="https://natalie.tf/wp-content/uploads/2023/10/DLV3_Icon_WP_400291_01.png" TargetMode="External"/><Relationship Id="rId3031" Type="http://schemas.openxmlformats.org/officeDocument/2006/relationships/hyperlink" Target="https://natalie.tf/wp-content/uploads/2023/11/DLV3_Icon_NPC_120180_01.png" TargetMode="External"/><Relationship Id="rId2797" Type="http://schemas.openxmlformats.org/officeDocument/2006/relationships/image" Target="../media/image1394.png"/><Relationship Id="rId769" Type="http://schemas.openxmlformats.org/officeDocument/2006/relationships/hyperlink" Target="https://natalie.tf/wp-content/uploads/2023/10/DLV3_Icon_WP_400052_01.png" TargetMode="External"/><Relationship Id="rId976" Type="http://schemas.openxmlformats.org/officeDocument/2006/relationships/image" Target="../media/image484.png"/><Relationship Id="rId1399" Type="http://schemas.openxmlformats.org/officeDocument/2006/relationships/image" Target="../media/image695.png"/><Relationship Id="rId2657" Type="http://schemas.openxmlformats.org/officeDocument/2006/relationships/image" Target="../media/image1324.png"/><Relationship Id="rId629" Type="http://schemas.openxmlformats.org/officeDocument/2006/relationships/hyperlink" Target="https://natalie.tf/wp-content/uploads/2023/10/DLV3_Icon_Weapon_304148_01.png" TargetMode="External"/><Relationship Id="rId1259" Type="http://schemas.openxmlformats.org/officeDocument/2006/relationships/image" Target="../media/image625.png"/><Relationship Id="rId1466" Type="http://schemas.openxmlformats.org/officeDocument/2006/relationships/hyperlink" Target="https://natalie.tf/wp-content/uploads/2023/10/DLV3_Icon_WP_400047_01.png" TargetMode="External"/><Relationship Id="rId2864" Type="http://schemas.openxmlformats.org/officeDocument/2006/relationships/hyperlink" Target="https://natalie.tf/wp-content/uploads/2023/10/DLV3_Icon_DRA_210061_01.png" TargetMode="External"/><Relationship Id="rId836" Type="http://schemas.openxmlformats.org/officeDocument/2006/relationships/image" Target="../media/image418.png"/><Relationship Id="rId1119" Type="http://schemas.openxmlformats.org/officeDocument/2006/relationships/hyperlink" Target="https://natalie.tf/wp-content/uploads/2023/10/DLV3_Icon_WP_400413_02.png" TargetMode="External"/><Relationship Id="rId1673" Type="http://schemas.openxmlformats.org/officeDocument/2006/relationships/image" Target="../media/image832.png"/><Relationship Id="rId1880" Type="http://schemas.openxmlformats.org/officeDocument/2006/relationships/hyperlink" Target="https://natalie.tf/wp-content/uploads/2023/10/DLV3_Icon_WP_400013_01.png" TargetMode="External"/><Relationship Id="rId2517" Type="http://schemas.openxmlformats.org/officeDocument/2006/relationships/image" Target="../media/image1254.png"/><Relationship Id="rId2724" Type="http://schemas.openxmlformats.org/officeDocument/2006/relationships/hyperlink" Target="https://natalie.tf/wp-content/uploads/2023/10/DLV3_Icon_DRA_210040_01.png" TargetMode="External"/><Relationship Id="rId2931" Type="http://schemas.openxmlformats.org/officeDocument/2006/relationships/image" Target="../media/image146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types>
    <type name="_webimage">
      <keyFlags>
        <key name="WebImageIdentifier">
          <flag name="ShowInCardView" value="0"/>
        </key>
      </keyFlags>
    </type>
  </types>
</rvTypesInfo>
</file>

<file path=xl/richData/rdRichValueWebImage.xml><?xml version="1.0" encoding="utf-8"?>
<webImagesSrd xmlns="http://schemas.microsoft.com/office/spreadsheetml/2020/richdatawebimage" xmlns:r="http://schemas.openxmlformats.org/officeDocument/2006/relationships">
  <webImageSrd>
    <address r:id="rId1"/>
    <blip r:id="rId2"/>
  </webImageSrd>
  <webImageSrd>
    <address r:id="rId3"/>
    <blip r:id="rId4"/>
  </webImageSrd>
  <webImageSrd>
    <address r:id="rId5"/>
    <blip r:id="rId6"/>
  </webImageSrd>
  <webImageSrd>
    <address r:id="rId7"/>
    <blip r:id="rId8"/>
  </webImageSrd>
  <webImageSrd>
    <address r:id="rId9"/>
    <blip r:id="rId10"/>
  </webImageSrd>
  <webImageSrd>
    <address r:id="rId11"/>
    <blip r:id="rId12"/>
  </webImageSrd>
  <webImageSrd>
    <address r:id="rId13"/>
    <blip r:id="rId14"/>
  </webImageSrd>
  <webImageSrd>
    <address r:id="rId15"/>
    <blip r:id="rId16"/>
  </webImageSrd>
  <webImageSrd>
    <address r:id="rId17"/>
    <blip r:id="rId18"/>
  </webImageSrd>
  <webImageSrd>
    <address r:id="rId19"/>
    <blip r:id="rId20"/>
  </webImageSrd>
  <webImageSrd>
    <address r:id="rId21"/>
    <blip r:id="rId22"/>
  </webImageSrd>
  <webImageSrd>
    <address r:id="rId23"/>
    <blip r:id="rId24"/>
  </webImageSrd>
  <webImageSrd>
    <address r:id="rId25"/>
    <blip r:id="rId26"/>
  </webImageSrd>
  <webImageSrd>
    <address r:id="rId27"/>
    <blip r:id="rId28"/>
  </webImageSrd>
  <webImageSrd>
    <address r:id="rId29"/>
    <blip r:id="rId30"/>
  </webImageSrd>
  <webImageSrd>
    <address r:id="rId31"/>
    <blip r:id="rId32"/>
  </webImageSrd>
  <webImageSrd>
    <address r:id="rId33"/>
    <blip r:id="rId34"/>
  </webImageSrd>
  <webImageSrd>
    <address r:id="rId35"/>
    <blip r:id="rId36"/>
  </webImageSrd>
  <webImageSrd>
    <address r:id="rId37"/>
    <blip r:id="rId38"/>
  </webImageSrd>
  <webImageSrd>
    <address r:id="rId39"/>
    <blip r:id="rId40"/>
  </webImageSrd>
  <webImageSrd>
    <address r:id="rId41"/>
    <blip r:id="rId42"/>
  </webImageSrd>
  <webImageSrd>
    <address r:id="rId43"/>
    <blip r:id="rId44"/>
  </webImageSrd>
  <webImageSrd>
    <address r:id="rId45"/>
    <blip r:id="rId46"/>
  </webImageSrd>
  <webImageSrd>
    <address r:id="rId47"/>
    <blip r:id="rId48"/>
  </webImageSrd>
  <webImageSrd>
    <address r:id="rId49"/>
    <blip r:id="rId50"/>
  </webImageSrd>
  <webImageSrd>
    <address r:id="rId51"/>
    <blip r:id="rId52"/>
  </webImageSrd>
  <webImageSrd>
    <address r:id="rId53"/>
    <blip r:id="rId54"/>
  </webImageSrd>
  <webImageSrd>
    <address r:id="rId55"/>
    <blip r:id="rId56"/>
  </webImageSrd>
  <webImageSrd>
    <address r:id="rId57"/>
    <blip r:id="rId58"/>
  </webImageSrd>
  <webImageSrd>
    <address r:id="rId59"/>
    <blip r:id="rId60"/>
  </webImageSrd>
  <webImageSrd>
    <address r:id="rId61"/>
    <blip r:id="rId62"/>
  </webImageSrd>
  <webImageSrd>
    <address r:id="rId63"/>
    <blip r:id="rId64"/>
  </webImageSrd>
  <webImageSrd>
    <address r:id="rId65"/>
    <blip r:id="rId66"/>
  </webImageSrd>
  <webImageSrd>
    <address r:id="rId67"/>
    <blip r:id="rId68"/>
  </webImageSrd>
  <webImageSrd>
    <address r:id="rId69"/>
    <blip r:id="rId70"/>
  </webImageSrd>
  <webImageSrd>
    <address r:id="rId71"/>
    <blip r:id="rId72"/>
  </webImageSrd>
  <webImageSrd>
    <address r:id="rId73"/>
    <blip r:id="rId74"/>
  </webImageSrd>
  <webImageSrd>
    <address r:id="rId75"/>
    <blip r:id="rId76"/>
  </webImageSrd>
  <webImageSrd>
    <address r:id="rId77"/>
    <blip r:id="rId78"/>
  </webImageSrd>
  <webImageSrd>
    <address r:id="rId79"/>
    <blip r:id="rId80"/>
  </webImageSrd>
  <webImageSrd>
    <address r:id="rId81"/>
    <blip r:id="rId82"/>
  </webImageSrd>
  <webImageSrd>
    <address r:id="rId83"/>
    <blip r:id="rId84"/>
  </webImageSrd>
  <webImageSrd>
    <address r:id="rId85"/>
    <blip r:id="rId86"/>
  </webImageSrd>
  <webImageSrd>
    <address r:id="rId87"/>
    <blip r:id="rId88"/>
  </webImageSrd>
  <webImageSrd>
    <address r:id="rId89"/>
    <blip r:id="rId90"/>
  </webImageSrd>
  <webImageSrd>
    <address r:id="rId91"/>
    <blip r:id="rId92"/>
  </webImageSrd>
  <webImageSrd>
    <address r:id="rId93"/>
    <blip r:id="rId94"/>
  </webImageSrd>
  <webImageSrd>
    <address r:id="rId95"/>
    <blip r:id="rId96"/>
  </webImageSrd>
  <webImageSrd>
    <address r:id="rId97"/>
    <blip r:id="rId98"/>
  </webImageSrd>
  <webImageSrd>
    <address r:id="rId99"/>
    <blip r:id="rId100"/>
  </webImageSrd>
  <webImageSrd>
    <address r:id="rId101"/>
    <blip r:id="rId102"/>
  </webImageSrd>
  <webImageSrd>
    <address r:id="rId103"/>
    <blip r:id="rId104"/>
  </webImageSrd>
  <webImageSrd>
    <address r:id="rId105"/>
    <blip r:id="rId106"/>
  </webImageSrd>
  <webImageSrd>
    <address r:id="rId107"/>
    <blip r:id="rId108"/>
  </webImageSrd>
  <webImageSrd>
    <address r:id="rId109"/>
    <blip r:id="rId110"/>
  </webImageSrd>
  <webImageSrd>
    <address r:id="rId111"/>
    <blip r:id="rId112"/>
  </webImageSrd>
  <webImageSrd>
    <address r:id="rId113"/>
    <blip r:id="rId114"/>
  </webImageSrd>
  <webImageSrd>
    <address r:id="rId115"/>
    <blip r:id="rId116"/>
  </webImageSrd>
  <webImageSrd>
    <address r:id="rId117"/>
    <blip r:id="rId118"/>
  </webImageSrd>
  <webImageSrd>
    <address r:id="rId119"/>
    <blip r:id="rId120"/>
  </webImageSrd>
  <webImageSrd>
    <address r:id="rId121"/>
    <blip r:id="rId122"/>
  </webImageSrd>
  <webImageSrd>
    <address r:id="rId123"/>
    <blip r:id="rId124"/>
  </webImageSrd>
  <webImageSrd>
    <address r:id="rId125"/>
    <blip r:id="rId126"/>
  </webImageSrd>
  <webImageSrd>
    <address r:id="rId127"/>
    <blip r:id="rId128"/>
  </webImageSrd>
  <webImageSrd>
    <address r:id="rId129"/>
    <blip r:id="rId130"/>
  </webImageSrd>
  <webImageSrd>
    <address r:id="rId131"/>
    <blip r:id="rId132"/>
  </webImageSrd>
  <webImageSrd>
    <address r:id="rId133"/>
    <blip r:id="rId134"/>
  </webImageSrd>
  <webImageSrd>
    <address r:id="rId135"/>
    <blip r:id="rId136"/>
  </webImageSrd>
  <webImageSrd>
    <address r:id="rId137"/>
    <blip r:id="rId138"/>
  </webImageSrd>
  <webImageSrd>
    <address r:id="rId139"/>
    <blip r:id="rId140"/>
  </webImageSrd>
  <webImageSrd>
    <address r:id="rId141"/>
    <blip r:id="rId142"/>
  </webImageSrd>
  <webImageSrd>
    <address r:id="rId143"/>
    <blip r:id="rId144"/>
  </webImageSrd>
  <webImageSrd>
    <address r:id="rId145"/>
    <blip r:id="rId146"/>
  </webImageSrd>
  <webImageSrd>
    <address r:id="rId147"/>
    <blip r:id="rId148"/>
  </webImageSrd>
  <webImageSrd>
    <address r:id="rId149"/>
    <blip r:id="rId150"/>
  </webImageSrd>
  <webImageSrd>
    <address r:id="rId151"/>
    <blip r:id="rId152"/>
  </webImageSrd>
  <webImageSrd>
    <address r:id="rId153"/>
    <blip r:id="rId154"/>
  </webImageSrd>
  <webImageSrd>
    <address r:id="rId155"/>
    <blip r:id="rId156"/>
  </webImageSrd>
  <webImageSrd>
    <address r:id="rId157"/>
    <blip r:id="rId158"/>
  </webImageSrd>
  <webImageSrd>
    <address r:id="rId159"/>
    <blip r:id="rId160"/>
  </webImageSrd>
  <webImageSrd>
    <address r:id="rId161"/>
    <blip r:id="rId162"/>
  </webImageSrd>
  <webImageSrd>
    <address r:id="rId163"/>
    <blip r:id="rId164"/>
  </webImageSrd>
  <webImageSrd>
    <address r:id="rId165"/>
    <blip r:id="rId166"/>
  </webImageSrd>
  <webImageSrd>
    <address r:id="rId167"/>
    <blip r:id="rId168"/>
  </webImageSrd>
  <webImageSrd>
    <address r:id="rId169"/>
    <blip r:id="rId170"/>
  </webImageSrd>
  <webImageSrd>
    <address r:id="rId171"/>
    <blip r:id="rId172"/>
  </webImageSrd>
  <webImageSrd>
    <address r:id="rId173"/>
    <blip r:id="rId174"/>
  </webImageSrd>
  <webImageSrd>
    <address r:id="rId175"/>
    <blip r:id="rId176"/>
  </webImageSrd>
  <webImageSrd>
    <address r:id="rId177"/>
    <blip r:id="rId178"/>
  </webImageSrd>
  <webImageSrd>
    <address r:id="rId179"/>
    <blip r:id="rId180"/>
  </webImageSrd>
  <webImageSrd>
    <address r:id="rId181"/>
    <blip r:id="rId182"/>
  </webImageSrd>
  <webImageSrd>
    <address r:id="rId183"/>
    <blip r:id="rId184"/>
  </webImageSrd>
  <webImageSrd>
    <address r:id="rId185"/>
    <blip r:id="rId186"/>
  </webImageSrd>
  <webImageSrd>
    <address r:id="rId187"/>
    <blip r:id="rId188"/>
  </webImageSrd>
  <webImageSrd>
    <address r:id="rId189"/>
    <blip r:id="rId190"/>
  </webImageSrd>
  <webImageSrd>
    <address r:id="rId191"/>
    <blip r:id="rId192"/>
  </webImageSrd>
  <webImageSrd>
    <address r:id="rId193"/>
    <blip r:id="rId194"/>
  </webImageSrd>
  <webImageSrd>
    <address r:id="rId195"/>
    <blip r:id="rId196"/>
  </webImageSrd>
  <webImageSrd>
    <address r:id="rId197"/>
    <blip r:id="rId198"/>
  </webImageSrd>
  <webImageSrd>
    <address r:id="rId199"/>
    <blip r:id="rId200"/>
  </webImageSrd>
  <webImageSrd>
    <address r:id="rId201"/>
    <blip r:id="rId202"/>
  </webImageSrd>
  <webImageSrd>
    <address r:id="rId203"/>
    <blip r:id="rId204"/>
  </webImageSrd>
  <webImageSrd>
    <address r:id="rId205"/>
    <blip r:id="rId206"/>
  </webImageSrd>
  <webImageSrd>
    <address r:id="rId207"/>
    <blip r:id="rId208"/>
  </webImageSrd>
  <webImageSrd>
    <address r:id="rId209"/>
    <blip r:id="rId210"/>
  </webImageSrd>
  <webImageSrd>
    <address r:id="rId211"/>
    <blip r:id="rId212"/>
  </webImageSrd>
  <webImageSrd>
    <address r:id="rId213"/>
    <blip r:id="rId214"/>
  </webImageSrd>
  <webImageSrd>
    <address r:id="rId215"/>
    <blip r:id="rId216"/>
  </webImageSrd>
  <webImageSrd>
    <address r:id="rId217"/>
    <blip r:id="rId218"/>
  </webImageSrd>
  <webImageSrd>
    <address r:id="rId219"/>
    <blip r:id="rId220"/>
  </webImageSrd>
  <webImageSrd>
    <address r:id="rId221"/>
    <blip r:id="rId222"/>
  </webImageSrd>
  <webImageSrd>
    <address r:id="rId223"/>
    <blip r:id="rId224"/>
  </webImageSrd>
  <webImageSrd>
    <address r:id="rId225"/>
    <blip r:id="rId226"/>
  </webImageSrd>
  <webImageSrd>
    <address r:id="rId227"/>
    <blip r:id="rId228"/>
  </webImageSrd>
  <webImageSrd>
    <address r:id="rId229"/>
    <blip r:id="rId230"/>
  </webImageSrd>
  <webImageSrd>
    <address r:id="rId231"/>
    <blip r:id="rId232"/>
  </webImageSrd>
  <webImageSrd>
    <address r:id="rId233"/>
    <blip r:id="rId234"/>
  </webImageSrd>
  <webImageSrd>
    <address r:id="rId235"/>
    <blip r:id="rId236"/>
  </webImageSrd>
  <webImageSrd>
    <address r:id="rId237"/>
    <blip r:id="rId238"/>
  </webImageSrd>
  <webImageSrd>
    <address r:id="rId239"/>
    <blip r:id="rId240"/>
  </webImageSrd>
  <webImageSrd>
    <address r:id="rId241"/>
    <blip r:id="rId242"/>
  </webImageSrd>
  <webImageSrd>
    <address r:id="rId243"/>
    <blip r:id="rId244"/>
  </webImageSrd>
  <webImageSrd>
    <address r:id="rId245"/>
    <blip r:id="rId246"/>
  </webImageSrd>
  <webImageSrd>
    <address r:id="rId247"/>
    <blip r:id="rId248"/>
  </webImageSrd>
  <webImageSrd>
    <address r:id="rId249"/>
    <blip r:id="rId250"/>
  </webImageSrd>
  <webImageSrd>
    <address r:id="rId251"/>
    <blip r:id="rId252"/>
  </webImageSrd>
  <webImageSrd>
    <address r:id="rId253"/>
    <blip r:id="rId254"/>
  </webImageSrd>
  <webImageSrd>
    <address r:id="rId255"/>
    <blip r:id="rId256"/>
  </webImageSrd>
  <webImageSrd>
    <address r:id="rId257"/>
    <blip r:id="rId258"/>
  </webImageSrd>
  <webImageSrd>
    <address r:id="rId259"/>
    <blip r:id="rId260"/>
  </webImageSrd>
  <webImageSrd>
    <address r:id="rId261"/>
    <blip r:id="rId262"/>
  </webImageSrd>
  <webImageSrd>
    <address r:id="rId263"/>
    <blip r:id="rId264"/>
  </webImageSrd>
  <webImageSrd>
    <address r:id="rId265"/>
    <blip r:id="rId266"/>
  </webImageSrd>
  <webImageSrd>
    <address r:id="rId267"/>
    <blip r:id="rId268"/>
  </webImageSrd>
  <webImageSrd>
    <address r:id="rId269"/>
    <blip r:id="rId270"/>
  </webImageSrd>
  <webImageSrd>
    <address r:id="rId271"/>
    <blip r:id="rId272"/>
  </webImageSrd>
  <webImageSrd>
    <address r:id="rId273"/>
    <blip r:id="rId274"/>
  </webImageSrd>
  <webImageSrd>
    <address r:id="rId275"/>
    <blip r:id="rId276"/>
  </webImageSrd>
  <webImageSrd>
    <address r:id="rId277"/>
    <blip r:id="rId278"/>
  </webImageSrd>
  <webImageSrd>
    <address r:id="rId279"/>
    <blip r:id="rId280"/>
  </webImageSrd>
  <webImageSrd>
    <address r:id="rId281"/>
    <blip r:id="rId282"/>
  </webImageSrd>
  <webImageSrd>
    <address r:id="rId283"/>
    <blip r:id="rId284"/>
  </webImageSrd>
  <webImageSrd>
    <address r:id="rId285"/>
    <blip r:id="rId286"/>
  </webImageSrd>
  <webImageSrd>
    <address r:id="rId287"/>
    <blip r:id="rId288"/>
  </webImageSrd>
  <webImageSrd>
    <address r:id="rId289"/>
    <blip r:id="rId290"/>
  </webImageSrd>
  <webImageSrd>
    <address r:id="rId291"/>
    <blip r:id="rId292"/>
  </webImageSrd>
  <webImageSrd>
    <address r:id="rId293"/>
    <blip r:id="rId294"/>
  </webImageSrd>
  <webImageSrd>
    <address r:id="rId295"/>
    <blip r:id="rId296"/>
  </webImageSrd>
  <webImageSrd>
    <address r:id="rId297"/>
    <blip r:id="rId298"/>
  </webImageSrd>
  <webImageSrd>
    <address r:id="rId299"/>
    <blip r:id="rId300"/>
  </webImageSrd>
  <webImageSrd>
    <address r:id="rId301"/>
    <blip r:id="rId302"/>
  </webImageSrd>
  <webImageSrd>
    <address r:id="rId303"/>
    <blip r:id="rId304"/>
  </webImageSrd>
  <webImageSrd>
    <address r:id="rId305"/>
    <blip r:id="rId306"/>
  </webImageSrd>
  <webImageSrd>
    <address r:id="rId307"/>
    <blip r:id="rId308"/>
  </webImageSrd>
  <webImageSrd>
    <address r:id="rId309"/>
    <blip r:id="rId310"/>
  </webImageSrd>
  <webImageSrd>
    <address r:id="rId311"/>
    <blip r:id="rId312"/>
  </webImageSrd>
  <webImageSrd>
    <address r:id="rId313"/>
    <blip r:id="rId314"/>
  </webImageSrd>
  <webImageSrd>
    <address r:id="rId315"/>
    <blip r:id="rId316"/>
  </webImageSrd>
  <webImageSrd>
    <address r:id="rId317"/>
    <blip r:id="rId318"/>
  </webImageSrd>
  <webImageSrd>
    <address r:id="rId319"/>
    <blip r:id="rId320"/>
  </webImageSrd>
  <webImageSrd>
    <address r:id="rId321"/>
    <blip r:id="rId322"/>
  </webImageSrd>
  <webImageSrd>
    <address r:id="rId323"/>
    <blip r:id="rId324"/>
  </webImageSrd>
  <webImageSrd>
    <address r:id="rId325"/>
    <blip r:id="rId326"/>
  </webImageSrd>
  <webImageSrd>
    <address r:id="rId327"/>
    <blip r:id="rId328"/>
  </webImageSrd>
  <webImageSrd>
    <address r:id="rId329"/>
    <blip r:id="rId330"/>
  </webImageSrd>
  <webImageSrd>
    <address r:id="rId331"/>
    <blip r:id="rId332"/>
  </webImageSrd>
  <webImageSrd>
    <address r:id="rId333"/>
    <blip r:id="rId334"/>
  </webImageSrd>
  <webImageSrd>
    <address r:id="rId335"/>
    <blip r:id="rId336"/>
  </webImageSrd>
  <webImageSrd>
    <address r:id="rId337"/>
    <blip r:id="rId338"/>
  </webImageSrd>
  <webImageSrd>
    <address r:id="rId339"/>
    <blip r:id="rId340"/>
  </webImageSrd>
  <webImageSrd>
    <address r:id="rId341"/>
    <blip r:id="rId342"/>
  </webImageSrd>
  <webImageSrd>
    <address r:id="rId343"/>
    <blip r:id="rId344"/>
  </webImageSrd>
  <webImageSrd>
    <address r:id="rId345"/>
    <blip r:id="rId346"/>
  </webImageSrd>
  <webImageSrd>
    <address r:id="rId347"/>
    <blip r:id="rId348"/>
  </webImageSrd>
  <webImageSrd>
    <address r:id="rId349"/>
    <blip r:id="rId350"/>
  </webImageSrd>
  <webImageSrd>
    <address r:id="rId351"/>
    <blip r:id="rId352"/>
  </webImageSrd>
  <webImageSrd>
    <address r:id="rId353"/>
    <blip r:id="rId354"/>
  </webImageSrd>
  <webImageSrd>
    <address r:id="rId355"/>
    <blip r:id="rId356"/>
  </webImageSrd>
  <webImageSrd>
    <address r:id="rId357"/>
    <blip r:id="rId358"/>
  </webImageSrd>
  <webImageSrd>
    <address r:id="rId359"/>
    <blip r:id="rId360"/>
  </webImageSrd>
  <webImageSrd>
    <address r:id="rId361"/>
    <blip r:id="rId362"/>
  </webImageSrd>
  <webImageSrd>
    <address r:id="rId363"/>
    <blip r:id="rId364"/>
  </webImageSrd>
  <webImageSrd>
    <address r:id="rId365"/>
    <blip r:id="rId366"/>
  </webImageSrd>
  <webImageSrd>
    <address r:id="rId367"/>
    <blip r:id="rId368"/>
  </webImageSrd>
  <webImageSrd>
    <address r:id="rId369"/>
    <blip r:id="rId370"/>
  </webImageSrd>
  <webImageSrd>
    <address r:id="rId371"/>
    <blip r:id="rId372"/>
  </webImageSrd>
  <webImageSrd>
    <address r:id="rId373"/>
    <blip r:id="rId374"/>
  </webImageSrd>
  <webImageSrd>
    <address r:id="rId375"/>
    <blip r:id="rId376"/>
  </webImageSrd>
  <webImageSrd>
    <address r:id="rId377"/>
    <blip r:id="rId378"/>
  </webImageSrd>
  <webImageSrd>
    <address r:id="rId379"/>
    <blip r:id="rId380"/>
  </webImageSrd>
  <webImageSrd>
    <address r:id="rId381"/>
    <blip r:id="rId382"/>
  </webImageSrd>
  <webImageSrd>
    <address r:id="rId383"/>
    <blip r:id="rId384"/>
  </webImageSrd>
  <webImageSrd>
    <address r:id="rId385"/>
    <blip r:id="rId386"/>
  </webImageSrd>
  <webImageSrd>
    <address r:id="rId387"/>
    <blip r:id="rId388"/>
  </webImageSrd>
  <webImageSrd>
    <address r:id="rId389"/>
    <blip r:id="rId390"/>
  </webImageSrd>
  <webImageSrd>
    <address r:id="rId391"/>
    <blip r:id="rId392"/>
  </webImageSrd>
  <webImageSrd>
    <address r:id="rId393"/>
    <blip r:id="rId394"/>
  </webImageSrd>
  <webImageSrd>
    <address r:id="rId395"/>
    <blip r:id="rId396"/>
  </webImageSrd>
  <webImageSrd>
    <address r:id="rId397"/>
    <blip r:id="rId398"/>
  </webImageSrd>
  <webImageSrd>
    <address r:id="rId399"/>
    <blip r:id="rId400"/>
  </webImageSrd>
  <webImageSrd>
    <address r:id="rId401"/>
    <blip r:id="rId402"/>
  </webImageSrd>
  <webImageSrd>
    <address r:id="rId403"/>
    <blip r:id="rId404"/>
  </webImageSrd>
  <webImageSrd>
    <address r:id="rId405"/>
    <blip r:id="rId406"/>
  </webImageSrd>
  <webImageSrd>
    <address r:id="rId407"/>
    <blip r:id="rId408"/>
  </webImageSrd>
  <webImageSrd>
    <address r:id="rId409"/>
    <blip r:id="rId410"/>
  </webImageSrd>
  <webImageSrd>
    <address r:id="rId411"/>
    <blip r:id="rId412"/>
  </webImageSrd>
  <webImageSrd>
    <address r:id="rId413"/>
    <blip r:id="rId414"/>
  </webImageSrd>
  <webImageSrd>
    <address r:id="rId415"/>
    <blip r:id="rId416"/>
  </webImageSrd>
  <webImageSrd>
    <address r:id="rId417"/>
    <blip r:id="rId418"/>
  </webImageSrd>
  <webImageSrd>
    <address r:id="rId419"/>
    <blip r:id="rId420"/>
  </webImageSrd>
  <webImageSrd>
    <address r:id="rId421"/>
    <blip r:id="rId422"/>
  </webImageSrd>
  <webImageSrd>
    <address r:id="rId423"/>
    <blip r:id="rId424"/>
  </webImageSrd>
  <webImageSrd>
    <address r:id="rId425"/>
    <blip r:id="rId426"/>
  </webImageSrd>
  <webImageSrd>
    <address r:id="rId427"/>
    <blip r:id="rId428"/>
  </webImageSrd>
  <webImageSrd>
    <address r:id="rId429"/>
    <blip r:id="rId430"/>
  </webImageSrd>
  <webImageSrd>
    <address r:id="rId431"/>
    <blip r:id="rId432"/>
  </webImageSrd>
  <webImageSrd>
    <address r:id="rId433"/>
    <blip r:id="rId434"/>
  </webImageSrd>
  <webImageSrd>
    <address r:id="rId435"/>
    <blip r:id="rId436"/>
  </webImageSrd>
  <webImageSrd>
    <address r:id="rId437"/>
    <blip r:id="rId438"/>
  </webImageSrd>
  <webImageSrd>
    <address r:id="rId439"/>
    <blip r:id="rId440"/>
  </webImageSrd>
  <webImageSrd>
    <address r:id="rId441"/>
    <blip r:id="rId442"/>
  </webImageSrd>
  <webImageSrd>
    <address r:id="rId443"/>
    <blip r:id="rId444"/>
  </webImageSrd>
  <webImageSrd>
    <address r:id="rId445"/>
    <blip r:id="rId446"/>
  </webImageSrd>
  <webImageSrd>
    <address r:id="rId447"/>
    <blip r:id="rId448"/>
  </webImageSrd>
  <webImageSrd>
    <address r:id="rId449"/>
    <blip r:id="rId450"/>
  </webImageSrd>
  <webImageSrd>
    <address r:id="rId451"/>
    <blip r:id="rId452"/>
  </webImageSrd>
  <webImageSrd>
    <address r:id="rId453"/>
    <blip r:id="rId454"/>
  </webImageSrd>
  <webImageSrd>
    <address r:id="rId455"/>
    <blip r:id="rId456"/>
  </webImageSrd>
  <webImageSrd>
    <address r:id="rId457"/>
    <blip r:id="rId458"/>
  </webImageSrd>
  <webImageSrd>
    <address r:id="rId459"/>
    <blip r:id="rId460"/>
  </webImageSrd>
  <webImageSrd>
    <address r:id="rId461"/>
    <blip r:id="rId462"/>
  </webImageSrd>
  <webImageSrd>
    <address r:id="rId463"/>
    <blip r:id="rId464"/>
  </webImageSrd>
  <webImageSrd>
    <address r:id="rId465"/>
    <blip r:id="rId466"/>
  </webImageSrd>
  <webImageSrd>
    <address r:id="rId467"/>
    <blip r:id="rId468"/>
  </webImageSrd>
  <webImageSrd>
    <address r:id="rId469"/>
    <blip r:id="rId470"/>
  </webImageSrd>
  <webImageSrd>
    <address r:id="rId471"/>
    <blip r:id="rId472"/>
  </webImageSrd>
  <webImageSrd>
    <address r:id="rId473"/>
    <blip r:id="rId474"/>
  </webImageSrd>
  <webImageSrd>
    <address r:id="rId475"/>
    <blip r:id="rId476"/>
  </webImageSrd>
  <webImageSrd>
    <address r:id="rId477"/>
    <blip r:id="rId478"/>
  </webImageSrd>
  <webImageSrd>
    <address r:id="rId479"/>
    <blip r:id="rId480"/>
  </webImageSrd>
  <webImageSrd>
    <address r:id="rId481"/>
    <blip r:id="rId482"/>
  </webImageSrd>
  <webImageSrd>
    <address r:id="rId483"/>
    <blip r:id="rId484"/>
  </webImageSrd>
  <webImageSrd>
    <address r:id="rId485"/>
    <blip r:id="rId486"/>
  </webImageSrd>
  <webImageSrd>
    <address r:id="rId487"/>
    <blip r:id="rId488"/>
  </webImageSrd>
  <webImageSrd>
    <address r:id="rId489"/>
    <blip r:id="rId490"/>
  </webImageSrd>
  <webImageSrd>
    <address r:id="rId491"/>
    <blip r:id="rId492"/>
  </webImageSrd>
  <webImageSrd>
    <address r:id="rId493"/>
    <blip r:id="rId494"/>
  </webImageSrd>
  <webImageSrd>
    <address r:id="rId495"/>
    <blip r:id="rId496"/>
  </webImageSrd>
  <webImageSrd>
    <address r:id="rId497"/>
    <blip r:id="rId498"/>
  </webImageSrd>
  <webImageSrd>
    <address r:id="rId499"/>
    <blip r:id="rId500"/>
  </webImageSrd>
  <webImageSrd>
    <address r:id="rId501"/>
    <blip r:id="rId502"/>
  </webImageSrd>
  <webImageSrd>
    <address r:id="rId503"/>
    <blip r:id="rId504"/>
  </webImageSrd>
  <webImageSrd>
    <address r:id="rId505"/>
    <blip r:id="rId506"/>
  </webImageSrd>
  <webImageSrd>
    <address r:id="rId507"/>
    <blip r:id="rId508"/>
  </webImageSrd>
  <webImageSrd>
    <address r:id="rId509"/>
    <blip r:id="rId510"/>
  </webImageSrd>
  <webImageSrd>
    <address r:id="rId511"/>
    <blip r:id="rId512"/>
  </webImageSrd>
  <webImageSrd>
    <address r:id="rId513"/>
    <blip r:id="rId514"/>
  </webImageSrd>
  <webImageSrd>
    <address r:id="rId515"/>
    <blip r:id="rId516"/>
  </webImageSrd>
  <webImageSrd>
    <address r:id="rId517"/>
    <blip r:id="rId518"/>
  </webImageSrd>
  <webImageSrd>
    <address r:id="rId519"/>
    <blip r:id="rId520"/>
  </webImageSrd>
  <webImageSrd>
    <address r:id="rId521"/>
    <blip r:id="rId522"/>
  </webImageSrd>
  <webImageSrd>
    <address r:id="rId523"/>
    <blip r:id="rId524"/>
  </webImageSrd>
  <webImageSrd>
    <address r:id="rId525"/>
    <blip r:id="rId526"/>
  </webImageSrd>
  <webImageSrd>
    <address r:id="rId527"/>
    <blip r:id="rId528"/>
  </webImageSrd>
  <webImageSrd>
    <address r:id="rId529"/>
    <blip r:id="rId530"/>
  </webImageSrd>
  <webImageSrd>
    <address r:id="rId531"/>
    <blip r:id="rId532"/>
  </webImageSrd>
  <webImageSrd>
    <address r:id="rId533"/>
    <blip r:id="rId534"/>
  </webImageSrd>
  <webImageSrd>
    <address r:id="rId535"/>
    <blip r:id="rId536"/>
  </webImageSrd>
  <webImageSrd>
    <address r:id="rId537"/>
    <blip r:id="rId538"/>
  </webImageSrd>
  <webImageSrd>
    <address r:id="rId539"/>
    <blip r:id="rId540"/>
  </webImageSrd>
  <webImageSrd>
    <address r:id="rId541"/>
    <blip r:id="rId542"/>
  </webImageSrd>
  <webImageSrd>
    <address r:id="rId543"/>
    <blip r:id="rId544"/>
  </webImageSrd>
  <webImageSrd>
    <address r:id="rId545"/>
    <blip r:id="rId546"/>
  </webImageSrd>
  <webImageSrd>
    <address r:id="rId547"/>
    <blip r:id="rId548"/>
  </webImageSrd>
  <webImageSrd>
    <address r:id="rId549"/>
    <blip r:id="rId550"/>
  </webImageSrd>
  <webImageSrd>
    <address r:id="rId551"/>
    <blip r:id="rId552"/>
  </webImageSrd>
  <webImageSrd>
    <address r:id="rId553"/>
    <blip r:id="rId554"/>
  </webImageSrd>
  <webImageSrd>
    <address r:id="rId555"/>
    <blip r:id="rId556"/>
  </webImageSrd>
  <webImageSrd>
    <address r:id="rId557"/>
    <blip r:id="rId558"/>
  </webImageSrd>
  <webImageSrd>
    <address r:id="rId559"/>
    <blip r:id="rId560"/>
  </webImageSrd>
  <webImageSrd>
    <address r:id="rId561"/>
    <blip r:id="rId562"/>
  </webImageSrd>
  <webImageSrd>
    <address r:id="rId563"/>
    <blip r:id="rId564"/>
  </webImageSrd>
  <webImageSrd>
    <address r:id="rId565"/>
    <blip r:id="rId566"/>
  </webImageSrd>
  <webImageSrd>
    <address r:id="rId567"/>
    <blip r:id="rId568"/>
  </webImageSrd>
  <webImageSrd>
    <address r:id="rId569"/>
    <blip r:id="rId570"/>
  </webImageSrd>
  <webImageSrd>
    <address r:id="rId571"/>
    <blip r:id="rId572"/>
  </webImageSrd>
  <webImageSrd>
    <address r:id="rId573"/>
    <blip r:id="rId574"/>
  </webImageSrd>
  <webImageSrd>
    <address r:id="rId575"/>
    <blip r:id="rId576"/>
  </webImageSrd>
  <webImageSrd>
    <address r:id="rId577"/>
    <blip r:id="rId578"/>
  </webImageSrd>
  <webImageSrd>
    <address r:id="rId579"/>
    <blip r:id="rId580"/>
  </webImageSrd>
  <webImageSrd>
    <address r:id="rId581"/>
    <blip r:id="rId582"/>
  </webImageSrd>
  <webImageSrd>
    <address r:id="rId583"/>
    <blip r:id="rId584"/>
  </webImageSrd>
  <webImageSrd>
    <address r:id="rId585"/>
    <blip r:id="rId586"/>
  </webImageSrd>
  <webImageSrd>
    <address r:id="rId587"/>
    <blip r:id="rId588"/>
  </webImageSrd>
  <webImageSrd>
    <address r:id="rId589"/>
    <blip r:id="rId590"/>
  </webImageSrd>
  <webImageSrd>
    <address r:id="rId591"/>
    <blip r:id="rId592"/>
  </webImageSrd>
  <webImageSrd>
    <address r:id="rId593"/>
    <blip r:id="rId594"/>
  </webImageSrd>
  <webImageSrd>
    <address r:id="rId595"/>
    <blip r:id="rId596"/>
  </webImageSrd>
  <webImageSrd>
    <address r:id="rId597"/>
    <blip r:id="rId598"/>
  </webImageSrd>
  <webImageSrd>
    <address r:id="rId599"/>
    <blip r:id="rId600"/>
  </webImageSrd>
  <webImageSrd>
    <address r:id="rId601"/>
    <blip r:id="rId602"/>
  </webImageSrd>
  <webImageSrd>
    <address r:id="rId603"/>
    <blip r:id="rId604"/>
  </webImageSrd>
  <webImageSrd>
    <address r:id="rId605"/>
    <blip r:id="rId606"/>
  </webImageSrd>
  <webImageSrd>
    <address r:id="rId607"/>
    <blip r:id="rId608"/>
  </webImageSrd>
  <webImageSrd>
    <address r:id="rId609"/>
    <blip r:id="rId610"/>
  </webImageSrd>
  <webImageSrd>
    <address r:id="rId611"/>
    <blip r:id="rId612"/>
  </webImageSrd>
  <webImageSrd>
    <address r:id="rId613"/>
    <blip r:id="rId614"/>
  </webImageSrd>
  <webImageSrd>
    <address r:id="rId615"/>
    <blip r:id="rId616"/>
  </webImageSrd>
  <webImageSrd>
    <address r:id="rId617"/>
    <blip r:id="rId618"/>
  </webImageSrd>
  <webImageSrd>
    <address r:id="rId619"/>
    <blip r:id="rId620"/>
  </webImageSrd>
  <webImageSrd>
    <address r:id="rId621"/>
    <blip r:id="rId622"/>
  </webImageSrd>
  <webImageSrd>
    <address r:id="rId623"/>
    <blip r:id="rId624"/>
  </webImageSrd>
  <webImageSrd>
    <address r:id="rId625"/>
    <blip r:id="rId626"/>
  </webImageSrd>
  <webImageSrd>
    <address r:id="rId627"/>
    <blip r:id="rId628"/>
  </webImageSrd>
  <webImageSrd>
    <address r:id="rId629"/>
    <blip r:id="rId630"/>
  </webImageSrd>
  <webImageSrd>
    <address r:id="rId631"/>
    <blip r:id="rId632"/>
  </webImageSrd>
  <webImageSrd>
    <address r:id="rId633"/>
    <blip r:id="rId634"/>
  </webImageSrd>
  <webImageSrd>
    <address r:id="rId635"/>
    <blip r:id="rId636"/>
  </webImageSrd>
  <webImageSrd>
    <address r:id="rId637"/>
    <blip r:id="rId638"/>
  </webImageSrd>
  <webImageSrd>
    <address r:id="rId639"/>
    <blip r:id="rId640"/>
  </webImageSrd>
  <webImageSrd>
    <address r:id="rId641"/>
    <blip r:id="rId642"/>
  </webImageSrd>
  <webImageSrd>
    <address r:id="rId643"/>
    <blip r:id="rId644"/>
  </webImageSrd>
  <webImageSrd>
    <address r:id="rId645"/>
    <blip r:id="rId646"/>
  </webImageSrd>
  <webImageSrd>
    <address r:id="rId647"/>
    <blip r:id="rId648"/>
  </webImageSrd>
  <webImageSrd>
    <address r:id="rId649"/>
    <blip r:id="rId650"/>
  </webImageSrd>
  <webImageSrd>
    <address r:id="rId651"/>
    <blip r:id="rId652"/>
  </webImageSrd>
  <webImageSrd>
    <address r:id="rId653"/>
    <blip r:id="rId654"/>
  </webImageSrd>
  <webImageSrd>
    <address r:id="rId655"/>
    <blip r:id="rId656"/>
  </webImageSrd>
  <webImageSrd>
    <address r:id="rId657"/>
    <blip r:id="rId658"/>
  </webImageSrd>
  <webImageSrd>
    <address r:id="rId659"/>
    <blip r:id="rId660"/>
  </webImageSrd>
  <webImageSrd>
    <address r:id="rId661"/>
    <blip r:id="rId662"/>
  </webImageSrd>
  <webImageSrd>
    <address r:id="rId663"/>
    <blip r:id="rId664"/>
  </webImageSrd>
  <webImageSrd>
    <address r:id="rId665"/>
    <blip r:id="rId666"/>
  </webImageSrd>
  <webImageSrd>
    <address r:id="rId667"/>
    <blip r:id="rId668"/>
  </webImageSrd>
  <webImageSrd>
    <address r:id="rId669"/>
    <blip r:id="rId670"/>
  </webImageSrd>
  <webImageSrd>
    <address r:id="rId671"/>
    <blip r:id="rId672"/>
  </webImageSrd>
  <webImageSrd>
    <address r:id="rId673"/>
    <blip r:id="rId674"/>
  </webImageSrd>
  <webImageSrd>
    <address r:id="rId675"/>
    <blip r:id="rId676"/>
  </webImageSrd>
  <webImageSrd>
    <address r:id="rId677"/>
    <blip r:id="rId678"/>
  </webImageSrd>
  <webImageSrd>
    <address r:id="rId679"/>
    <blip r:id="rId680"/>
  </webImageSrd>
  <webImageSrd>
    <address r:id="rId681"/>
    <blip r:id="rId682"/>
  </webImageSrd>
  <webImageSrd>
    <address r:id="rId683"/>
    <blip r:id="rId684"/>
  </webImageSrd>
  <webImageSrd>
    <address r:id="rId685"/>
    <blip r:id="rId686"/>
  </webImageSrd>
  <webImageSrd>
    <address r:id="rId687"/>
    <blip r:id="rId688"/>
  </webImageSrd>
  <webImageSrd>
    <address r:id="rId689"/>
    <blip r:id="rId690"/>
  </webImageSrd>
  <webImageSrd>
    <address r:id="rId691"/>
    <blip r:id="rId692"/>
  </webImageSrd>
  <webImageSrd>
    <address r:id="rId693"/>
    <blip r:id="rId694"/>
  </webImageSrd>
  <webImageSrd>
    <address r:id="rId695"/>
    <blip r:id="rId696"/>
  </webImageSrd>
  <webImageSrd>
    <address r:id="rId697"/>
    <blip r:id="rId698"/>
  </webImageSrd>
  <webImageSrd>
    <address r:id="rId699"/>
    <blip r:id="rId700"/>
  </webImageSrd>
  <webImageSrd>
    <address r:id="rId701"/>
    <blip r:id="rId702"/>
  </webImageSrd>
  <webImageSrd>
    <address r:id="rId703"/>
    <blip r:id="rId704"/>
  </webImageSrd>
  <webImageSrd>
    <address r:id="rId705"/>
    <blip r:id="rId706"/>
  </webImageSrd>
  <webImageSrd>
    <address r:id="rId707"/>
    <blip r:id="rId708"/>
  </webImageSrd>
  <webImageSrd>
    <address r:id="rId709"/>
    <blip r:id="rId710"/>
  </webImageSrd>
  <webImageSrd>
    <address r:id="rId711"/>
    <blip r:id="rId712"/>
  </webImageSrd>
  <webImageSrd>
    <address r:id="rId713"/>
    <blip r:id="rId714"/>
  </webImageSrd>
  <webImageSrd>
    <address r:id="rId715"/>
    <blip r:id="rId716"/>
  </webImageSrd>
  <webImageSrd>
    <address r:id="rId717"/>
    <blip r:id="rId718"/>
  </webImageSrd>
  <webImageSrd>
    <address r:id="rId719"/>
    <blip r:id="rId720"/>
  </webImageSrd>
  <webImageSrd>
    <address r:id="rId721"/>
    <blip r:id="rId722"/>
  </webImageSrd>
  <webImageSrd>
    <address r:id="rId723"/>
    <blip r:id="rId724"/>
  </webImageSrd>
  <webImageSrd>
    <address r:id="rId725"/>
    <blip r:id="rId726"/>
  </webImageSrd>
  <webImageSrd>
    <address r:id="rId727"/>
    <blip r:id="rId728"/>
  </webImageSrd>
  <webImageSrd>
    <address r:id="rId729"/>
    <blip r:id="rId730"/>
  </webImageSrd>
  <webImageSrd>
    <address r:id="rId731"/>
    <blip r:id="rId732"/>
  </webImageSrd>
  <webImageSrd>
    <address r:id="rId733"/>
    <blip r:id="rId734"/>
  </webImageSrd>
  <webImageSrd>
    <address r:id="rId735"/>
    <blip r:id="rId736"/>
  </webImageSrd>
  <webImageSrd>
    <address r:id="rId737"/>
    <blip r:id="rId738"/>
  </webImageSrd>
  <webImageSrd>
    <address r:id="rId739"/>
    <blip r:id="rId740"/>
  </webImageSrd>
  <webImageSrd>
    <address r:id="rId741"/>
    <blip r:id="rId742"/>
  </webImageSrd>
  <webImageSrd>
    <address r:id="rId743"/>
    <blip r:id="rId744"/>
  </webImageSrd>
  <webImageSrd>
    <address r:id="rId745"/>
    <blip r:id="rId746"/>
  </webImageSrd>
  <webImageSrd>
    <address r:id="rId747"/>
    <blip r:id="rId748"/>
  </webImageSrd>
  <webImageSrd>
    <address r:id="rId749"/>
    <blip r:id="rId750"/>
  </webImageSrd>
  <webImageSrd>
    <address r:id="rId751"/>
    <blip r:id="rId752"/>
  </webImageSrd>
  <webImageSrd>
    <address r:id="rId753"/>
    <blip r:id="rId754"/>
  </webImageSrd>
  <webImageSrd>
    <address r:id="rId755"/>
    <blip r:id="rId756"/>
  </webImageSrd>
  <webImageSrd>
    <address r:id="rId757"/>
    <blip r:id="rId758"/>
  </webImageSrd>
  <webImageSrd>
    <address r:id="rId759"/>
    <blip r:id="rId760"/>
  </webImageSrd>
  <webImageSrd>
    <address r:id="rId761"/>
    <blip r:id="rId762"/>
  </webImageSrd>
  <webImageSrd>
    <address r:id="rId763"/>
    <blip r:id="rId764"/>
  </webImageSrd>
  <webImageSrd>
    <address r:id="rId765"/>
    <blip r:id="rId766"/>
  </webImageSrd>
  <webImageSrd>
    <address r:id="rId767"/>
    <blip r:id="rId768"/>
  </webImageSrd>
  <webImageSrd>
    <address r:id="rId769"/>
    <blip r:id="rId770"/>
  </webImageSrd>
  <webImageSrd>
    <address r:id="rId771"/>
    <blip r:id="rId772"/>
  </webImageSrd>
  <webImageSrd>
    <address r:id="rId773"/>
    <blip r:id="rId774"/>
  </webImageSrd>
  <webImageSrd>
    <address r:id="rId775"/>
    <blip r:id="rId776"/>
  </webImageSrd>
  <webImageSrd>
    <address r:id="rId777"/>
    <blip r:id="rId778"/>
  </webImageSrd>
  <webImageSrd>
    <address r:id="rId779"/>
    <blip r:id="rId780"/>
  </webImageSrd>
  <webImageSrd>
    <address r:id="rId781"/>
    <blip r:id="rId782"/>
  </webImageSrd>
  <webImageSrd>
    <address r:id="rId783"/>
    <blip r:id="rId784"/>
  </webImageSrd>
  <webImageSrd>
    <address r:id="rId785"/>
    <blip r:id="rId786"/>
  </webImageSrd>
  <webImageSrd>
    <address r:id="rId787"/>
    <blip r:id="rId788"/>
  </webImageSrd>
  <webImageSrd>
    <address r:id="rId789"/>
    <blip r:id="rId790"/>
  </webImageSrd>
  <webImageSrd>
    <address r:id="rId791"/>
    <blip r:id="rId792"/>
  </webImageSrd>
  <webImageSrd>
    <address r:id="rId793"/>
    <blip r:id="rId794"/>
  </webImageSrd>
  <webImageSrd>
    <address r:id="rId795"/>
    <blip r:id="rId796"/>
  </webImageSrd>
  <webImageSrd>
    <address r:id="rId797"/>
    <blip r:id="rId798"/>
  </webImageSrd>
  <webImageSrd>
    <address r:id="rId799"/>
    <blip r:id="rId800"/>
  </webImageSrd>
  <webImageSrd>
    <address r:id="rId801"/>
    <blip r:id="rId802"/>
  </webImageSrd>
  <webImageSrd>
    <address r:id="rId803"/>
    <blip r:id="rId804"/>
  </webImageSrd>
  <webImageSrd>
    <address r:id="rId805"/>
    <blip r:id="rId806"/>
  </webImageSrd>
  <webImageSrd>
    <address r:id="rId807"/>
    <blip r:id="rId808"/>
  </webImageSrd>
  <webImageSrd>
    <address r:id="rId809"/>
    <blip r:id="rId810"/>
  </webImageSrd>
  <webImageSrd>
    <address r:id="rId811"/>
    <blip r:id="rId812"/>
  </webImageSrd>
  <webImageSrd>
    <address r:id="rId813"/>
    <blip r:id="rId814"/>
  </webImageSrd>
  <webImageSrd>
    <address r:id="rId815"/>
    <blip r:id="rId816"/>
  </webImageSrd>
  <webImageSrd>
    <address r:id="rId817"/>
    <blip r:id="rId818"/>
  </webImageSrd>
  <webImageSrd>
    <address r:id="rId819"/>
    <blip r:id="rId820"/>
  </webImageSrd>
  <webImageSrd>
    <address r:id="rId821"/>
    <blip r:id="rId822"/>
  </webImageSrd>
  <webImageSrd>
    <address r:id="rId823"/>
    <blip r:id="rId824"/>
  </webImageSrd>
  <webImageSrd>
    <address r:id="rId825"/>
    <blip r:id="rId826"/>
  </webImageSrd>
  <webImageSrd>
    <address r:id="rId827"/>
    <blip r:id="rId828"/>
  </webImageSrd>
  <webImageSrd>
    <address r:id="rId829"/>
    <blip r:id="rId830"/>
  </webImageSrd>
  <webImageSrd>
    <address r:id="rId831"/>
    <blip r:id="rId832"/>
  </webImageSrd>
  <webImageSrd>
    <address r:id="rId833"/>
    <blip r:id="rId834"/>
  </webImageSrd>
  <webImageSrd>
    <address r:id="rId835"/>
    <blip r:id="rId836"/>
  </webImageSrd>
  <webImageSrd>
    <address r:id="rId837"/>
    <blip r:id="rId838"/>
  </webImageSrd>
  <webImageSrd>
    <address r:id="rId839"/>
    <blip r:id="rId840"/>
  </webImageSrd>
  <webImageSrd>
    <address r:id="rId841"/>
    <blip r:id="rId842"/>
  </webImageSrd>
  <webImageSrd>
    <address r:id="rId843"/>
    <blip r:id="rId844"/>
  </webImageSrd>
  <webImageSrd>
    <address r:id="rId845"/>
    <blip r:id="rId846"/>
  </webImageSrd>
  <webImageSrd>
    <address r:id="rId847"/>
    <blip r:id="rId848"/>
  </webImageSrd>
  <webImageSrd>
    <address r:id="rId849"/>
    <blip r:id="rId850"/>
  </webImageSrd>
  <webImageSrd>
    <address r:id="rId851"/>
    <blip r:id="rId852"/>
  </webImageSrd>
  <webImageSrd>
    <address r:id="rId853"/>
    <blip r:id="rId854"/>
  </webImageSrd>
  <webImageSrd>
    <address r:id="rId855"/>
    <blip r:id="rId856"/>
  </webImageSrd>
  <webImageSrd>
    <address r:id="rId857"/>
    <blip r:id="rId858"/>
  </webImageSrd>
  <webImageSrd>
    <address r:id="rId859"/>
    <blip r:id="rId860"/>
  </webImageSrd>
  <webImageSrd>
    <address r:id="rId861"/>
    <blip r:id="rId862"/>
  </webImageSrd>
  <webImageSrd>
    <address r:id="rId863"/>
    <blip r:id="rId862"/>
  </webImageSrd>
  <webImageSrd>
    <address r:id="rId864"/>
    <blip r:id="rId865"/>
  </webImageSrd>
  <webImageSrd>
    <address r:id="rId866"/>
    <blip r:id="rId867"/>
  </webImageSrd>
  <webImageSrd>
    <address r:id="rId868"/>
    <blip r:id="rId869"/>
  </webImageSrd>
  <webImageSrd>
    <address r:id="rId870"/>
    <blip r:id="rId871"/>
  </webImageSrd>
  <webImageSrd>
    <address r:id="rId872"/>
    <blip r:id="rId873"/>
  </webImageSrd>
  <webImageSrd>
    <address r:id="rId874"/>
    <blip r:id="rId875"/>
  </webImageSrd>
  <webImageSrd>
    <address r:id="rId876"/>
    <blip r:id="rId877"/>
  </webImageSrd>
  <webImageSrd>
    <address r:id="rId878"/>
    <blip r:id="rId879"/>
  </webImageSrd>
  <webImageSrd>
    <address r:id="rId880"/>
    <blip r:id="rId881"/>
  </webImageSrd>
  <webImageSrd>
    <address r:id="rId882"/>
    <blip r:id="rId883"/>
  </webImageSrd>
  <webImageSrd>
    <address r:id="rId884"/>
    <blip r:id="rId885"/>
  </webImageSrd>
  <webImageSrd>
    <address r:id="rId886"/>
    <blip r:id="rId887"/>
  </webImageSrd>
  <webImageSrd>
    <address r:id="rId888"/>
    <blip r:id="rId889"/>
  </webImageSrd>
  <webImageSrd>
    <address r:id="rId890"/>
    <blip r:id="rId891"/>
  </webImageSrd>
  <webImageSrd>
    <address r:id="rId892"/>
    <blip r:id="rId893"/>
  </webImageSrd>
  <webImageSrd>
    <address r:id="rId894"/>
    <blip r:id="rId895"/>
  </webImageSrd>
  <webImageSrd>
    <address r:id="rId896"/>
    <blip r:id="rId897"/>
  </webImageSrd>
  <webImageSrd>
    <address r:id="rId898"/>
    <blip r:id="rId899"/>
  </webImageSrd>
  <webImageSrd>
    <address r:id="rId900"/>
    <blip r:id="rId901"/>
  </webImageSrd>
  <webImageSrd>
    <address r:id="rId902"/>
    <blip r:id="rId903"/>
  </webImageSrd>
  <webImageSrd>
    <address r:id="rId904"/>
    <blip r:id="rId905"/>
  </webImageSrd>
  <webImageSrd>
    <address r:id="rId906"/>
    <blip r:id="rId907"/>
  </webImageSrd>
  <webImageSrd>
    <address r:id="rId908"/>
    <blip r:id="rId909"/>
  </webImageSrd>
  <webImageSrd>
    <address r:id="rId910"/>
    <blip r:id="rId911"/>
  </webImageSrd>
  <webImageSrd>
    <address r:id="rId912"/>
    <blip r:id="rId913"/>
  </webImageSrd>
  <webImageSrd>
    <address r:id="rId914"/>
    <blip r:id="rId913"/>
  </webImageSrd>
  <webImageSrd>
    <address r:id="rId915"/>
    <blip r:id="rId916"/>
  </webImageSrd>
  <webImageSrd>
    <address r:id="rId917"/>
    <blip r:id="rId916"/>
  </webImageSrd>
  <webImageSrd>
    <address r:id="rId918"/>
    <blip r:id="rId919"/>
  </webImageSrd>
  <webImageSrd>
    <address r:id="rId920"/>
    <blip r:id="rId919"/>
  </webImageSrd>
  <webImageSrd>
    <address r:id="rId921"/>
    <blip r:id="rId922"/>
  </webImageSrd>
  <webImageSrd>
    <address r:id="rId923"/>
    <blip r:id="rId922"/>
  </webImageSrd>
  <webImageSrd>
    <address r:id="rId924"/>
    <blip r:id="rId925"/>
  </webImageSrd>
  <webImageSrd>
    <address r:id="rId926"/>
    <blip r:id="rId927"/>
  </webImageSrd>
  <webImageSrd>
    <address r:id="rId928"/>
    <blip r:id="rId927"/>
  </webImageSrd>
  <webImageSrd>
    <address r:id="rId929"/>
    <blip r:id="rId930"/>
  </webImageSrd>
  <webImageSrd>
    <address r:id="rId931"/>
    <blip r:id="rId930"/>
  </webImageSrd>
  <webImageSrd>
    <address r:id="rId932"/>
    <blip r:id="rId933"/>
  </webImageSrd>
  <webImageSrd>
    <address r:id="rId934"/>
    <blip r:id="rId935"/>
  </webImageSrd>
  <webImageSrd>
    <address r:id="rId936"/>
    <blip r:id="rId937"/>
  </webImageSrd>
  <webImageSrd>
    <address r:id="rId938"/>
    <blip r:id="rId939"/>
  </webImageSrd>
  <webImageSrd>
    <address r:id="rId940"/>
    <blip r:id="rId941"/>
  </webImageSrd>
  <webImageSrd>
    <address r:id="rId942"/>
    <blip r:id="rId943"/>
  </webImageSrd>
  <webImageSrd>
    <address r:id="rId944"/>
    <blip r:id="rId945"/>
  </webImageSrd>
  <webImageSrd>
    <address r:id="rId946"/>
    <blip r:id="rId947"/>
  </webImageSrd>
  <webImageSrd>
    <address r:id="rId948"/>
    <blip r:id="rId949"/>
  </webImageSrd>
  <webImageSrd>
    <address r:id="rId950"/>
    <blip r:id="rId951"/>
  </webImageSrd>
  <webImageSrd>
    <address r:id="rId952"/>
    <blip r:id="rId953"/>
  </webImageSrd>
  <webImageSrd>
    <address r:id="rId954"/>
    <blip r:id="rId955"/>
  </webImageSrd>
  <webImageSrd>
    <address r:id="rId956"/>
    <blip r:id="rId957"/>
  </webImageSrd>
  <webImageSrd>
    <address r:id="rId958"/>
    <blip r:id="rId959"/>
  </webImageSrd>
  <webImageSrd>
    <address r:id="rId960"/>
    <blip r:id="rId961"/>
  </webImageSrd>
  <webImageSrd>
    <address r:id="rId962"/>
    <blip r:id="rId963"/>
  </webImageSrd>
  <webImageSrd>
    <address r:id="rId964"/>
    <blip r:id="rId965"/>
  </webImageSrd>
  <webImageSrd>
    <address r:id="rId966"/>
    <blip r:id="rId967"/>
  </webImageSrd>
  <webImageSrd>
    <address r:id="rId968"/>
    <blip r:id="rId967"/>
  </webImageSrd>
  <webImageSrd>
    <address r:id="rId969"/>
    <blip r:id="rId970"/>
  </webImageSrd>
  <webImageSrd>
    <address r:id="rId971"/>
    <blip r:id="rId972"/>
  </webImageSrd>
  <webImageSrd>
    <address r:id="rId973"/>
    <blip r:id="rId974"/>
  </webImageSrd>
  <webImageSrd>
    <address r:id="rId975"/>
    <blip r:id="rId976"/>
  </webImageSrd>
  <webImageSrd>
    <address r:id="rId977"/>
    <blip r:id="rId978"/>
  </webImageSrd>
  <webImageSrd>
    <address r:id="rId979"/>
    <blip r:id="rId980"/>
  </webImageSrd>
  <webImageSrd>
    <address r:id="rId981"/>
    <blip r:id="rId982"/>
  </webImageSrd>
  <webImageSrd>
    <address r:id="rId983"/>
    <blip r:id="rId984"/>
  </webImageSrd>
  <webImageSrd>
    <address r:id="rId985"/>
    <blip r:id="rId986"/>
  </webImageSrd>
  <webImageSrd>
    <address r:id="rId987"/>
    <blip r:id="rId988"/>
  </webImageSrd>
  <webImageSrd>
    <address r:id="rId989"/>
    <blip r:id="rId990"/>
  </webImageSrd>
  <webImageSrd>
    <address r:id="rId991"/>
    <blip r:id="rId992"/>
  </webImageSrd>
  <webImageSrd>
    <address r:id="rId993"/>
    <blip r:id="rId994"/>
  </webImageSrd>
  <webImageSrd>
    <address r:id="rId995"/>
    <blip r:id="rId996"/>
  </webImageSrd>
  <webImageSrd>
    <address r:id="rId997"/>
    <blip r:id="rId998"/>
  </webImageSrd>
  <webImageSrd>
    <address r:id="rId999"/>
    <blip r:id="rId1000"/>
  </webImageSrd>
  <webImageSrd>
    <address r:id="rId1001"/>
    <blip r:id="rId1002"/>
  </webImageSrd>
  <webImageSrd>
    <address r:id="rId1003"/>
    <blip r:id="rId1004"/>
  </webImageSrd>
  <webImageSrd>
    <address r:id="rId1005"/>
    <blip r:id="rId1006"/>
  </webImageSrd>
  <webImageSrd>
    <address r:id="rId1007"/>
    <blip r:id="rId1008"/>
  </webImageSrd>
  <webImageSrd>
    <address r:id="rId1009"/>
    <blip r:id="rId1010"/>
  </webImageSrd>
  <webImageSrd>
    <address r:id="rId1011"/>
    <blip r:id="rId1012"/>
  </webImageSrd>
  <webImageSrd>
    <address r:id="rId1013"/>
    <blip r:id="rId1014"/>
  </webImageSrd>
  <webImageSrd>
    <address r:id="rId1015"/>
    <blip r:id="rId1016"/>
  </webImageSrd>
  <webImageSrd>
    <address r:id="rId1017"/>
    <blip r:id="rId1018"/>
  </webImageSrd>
  <webImageSrd>
    <address r:id="rId1019"/>
    <blip r:id="rId1020"/>
  </webImageSrd>
  <webImageSrd>
    <address r:id="rId1021"/>
    <blip r:id="rId1022"/>
  </webImageSrd>
  <webImageSrd>
    <address r:id="rId1023"/>
    <blip r:id="rId1024"/>
  </webImageSrd>
  <webImageSrd>
    <address r:id="rId1025"/>
    <blip r:id="rId1026"/>
  </webImageSrd>
  <webImageSrd>
    <address r:id="rId1027"/>
    <blip r:id="rId1028"/>
  </webImageSrd>
  <webImageSrd>
    <address r:id="rId1029"/>
    <blip r:id="rId1030"/>
  </webImageSrd>
  <webImageSrd>
    <address r:id="rId1031"/>
    <blip r:id="rId1032"/>
  </webImageSrd>
  <webImageSrd>
    <address r:id="rId1033"/>
    <blip r:id="rId1034"/>
  </webImageSrd>
  <webImageSrd>
    <address r:id="rId1035"/>
    <blip r:id="rId1036"/>
  </webImageSrd>
  <webImageSrd>
    <address r:id="rId1037"/>
    <blip r:id="rId1038"/>
  </webImageSrd>
  <webImageSrd>
    <address r:id="rId1039"/>
    <blip r:id="rId1040"/>
  </webImageSrd>
  <webImageSrd>
    <address r:id="rId1041"/>
    <blip r:id="rId1042"/>
  </webImageSrd>
  <webImageSrd>
    <address r:id="rId1043"/>
    <blip r:id="rId1044"/>
  </webImageSrd>
  <webImageSrd>
    <address r:id="rId1045"/>
    <blip r:id="rId1046"/>
  </webImageSrd>
  <webImageSrd>
    <address r:id="rId1047"/>
    <blip r:id="rId1048"/>
  </webImageSrd>
  <webImageSrd>
    <address r:id="rId1049"/>
    <blip r:id="rId1050"/>
  </webImageSrd>
  <webImageSrd>
    <address r:id="rId1051"/>
    <blip r:id="rId1052"/>
  </webImageSrd>
  <webImageSrd>
    <address r:id="rId1053"/>
    <blip r:id="rId1054"/>
  </webImageSrd>
  <webImageSrd>
    <address r:id="rId1055"/>
    <blip r:id="rId1056"/>
  </webImageSrd>
  <webImageSrd>
    <address r:id="rId1057"/>
    <blip r:id="rId1058"/>
  </webImageSrd>
  <webImageSrd>
    <address r:id="rId1059"/>
    <blip r:id="rId1060"/>
  </webImageSrd>
  <webImageSrd>
    <address r:id="rId1061"/>
    <blip r:id="rId1062"/>
  </webImageSrd>
  <webImageSrd>
    <address r:id="rId1063"/>
    <blip r:id="rId1064"/>
  </webImageSrd>
  <webImageSrd>
    <address r:id="rId1065"/>
    <blip r:id="rId1066"/>
  </webImageSrd>
  <webImageSrd>
    <address r:id="rId1067"/>
    <blip r:id="rId1068"/>
  </webImageSrd>
  <webImageSrd>
    <address r:id="rId1069"/>
    <blip r:id="rId1070"/>
  </webImageSrd>
  <webImageSrd>
    <address r:id="rId1071"/>
    <blip r:id="rId1072"/>
  </webImageSrd>
  <webImageSrd>
    <address r:id="rId1073"/>
    <blip r:id="rId1074"/>
  </webImageSrd>
  <webImageSrd>
    <address r:id="rId1075"/>
    <blip r:id="rId1076"/>
  </webImageSrd>
  <webImageSrd>
    <address r:id="rId1077"/>
    <blip r:id="rId1078"/>
  </webImageSrd>
  <webImageSrd>
    <address r:id="rId1079"/>
    <blip r:id="rId1080"/>
  </webImageSrd>
  <webImageSrd>
    <address r:id="rId1081"/>
    <blip r:id="rId1082"/>
  </webImageSrd>
  <webImageSrd>
    <address r:id="rId1083"/>
    <blip r:id="rId1084"/>
  </webImageSrd>
  <webImageSrd>
    <address r:id="rId1085"/>
    <blip r:id="rId1086"/>
  </webImageSrd>
  <webImageSrd>
    <address r:id="rId1087"/>
    <blip r:id="rId1088"/>
  </webImageSrd>
  <webImageSrd>
    <address r:id="rId1089"/>
    <blip r:id="rId1090"/>
  </webImageSrd>
  <webImageSrd>
    <address r:id="rId1091"/>
    <blip r:id="rId1092"/>
  </webImageSrd>
  <webImageSrd>
    <address r:id="rId1093"/>
    <blip r:id="rId1094"/>
  </webImageSrd>
  <webImageSrd>
    <address r:id="rId1095"/>
    <blip r:id="rId1096"/>
  </webImageSrd>
  <webImageSrd>
    <address r:id="rId1097"/>
    <blip r:id="rId1098"/>
  </webImageSrd>
  <webImageSrd>
    <address r:id="rId1099"/>
    <blip r:id="rId1100"/>
  </webImageSrd>
  <webImageSrd>
    <address r:id="rId1101"/>
    <blip r:id="rId1102"/>
  </webImageSrd>
  <webImageSrd>
    <address r:id="rId1103"/>
    <blip r:id="rId1104"/>
  </webImageSrd>
  <webImageSrd>
    <address r:id="rId1105"/>
    <blip r:id="rId1106"/>
  </webImageSrd>
  <webImageSrd>
    <address r:id="rId1107"/>
    <blip r:id="rId1108"/>
  </webImageSrd>
  <webImageSrd>
    <address r:id="rId1109"/>
    <blip r:id="rId1110"/>
  </webImageSrd>
  <webImageSrd>
    <address r:id="rId1111"/>
    <blip r:id="rId1112"/>
  </webImageSrd>
  <webImageSrd>
    <address r:id="rId1113"/>
    <blip r:id="rId1114"/>
  </webImageSrd>
  <webImageSrd>
    <address r:id="rId1115"/>
    <blip r:id="rId1116"/>
  </webImageSrd>
  <webImageSrd>
    <address r:id="rId1117"/>
    <blip r:id="rId1118"/>
  </webImageSrd>
  <webImageSrd>
    <address r:id="rId1119"/>
    <blip r:id="rId1120"/>
  </webImageSrd>
  <webImageSrd>
    <address r:id="rId1121"/>
    <blip r:id="rId1122"/>
  </webImageSrd>
  <webImageSrd>
    <address r:id="rId1123"/>
    <blip r:id="rId1124"/>
  </webImageSrd>
  <webImageSrd>
    <address r:id="rId1125"/>
    <blip r:id="rId1126"/>
  </webImageSrd>
  <webImageSrd>
    <address r:id="rId1127"/>
    <blip r:id="rId1128"/>
  </webImageSrd>
  <webImageSrd>
    <address r:id="rId1129"/>
    <blip r:id="rId1130"/>
  </webImageSrd>
  <webImageSrd>
    <address r:id="rId1131"/>
    <blip r:id="rId1132"/>
  </webImageSrd>
  <webImageSrd>
    <address r:id="rId1133"/>
    <blip r:id="rId1134"/>
  </webImageSrd>
  <webImageSrd>
    <address r:id="rId1135"/>
    <blip r:id="rId1136"/>
  </webImageSrd>
  <webImageSrd>
    <address r:id="rId1137"/>
    <blip r:id="rId1138"/>
  </webImageSrd>
  <webImageSrd>
    <address r:id="rId1139"/>
    <blip r:id="rId1140"/>
  </webImageSrd>
  <webImageSrd>
    <address r:id="rId1141"/>
    <blip r:id="rId1142"/>
  </webImageSrd>
  <webImageSrd>
    <address r:id="rId1143"/>
    <blip r:id="rId1144"/>
  </webImageSrd>
  <webImageSrd>
    <address r:id="rId1145"/>
    <blip r:id="rId1146"/>
  </webImageSrd>
  <webImageSrd>
    <address r:id="rId1147"/>
    <blip r:id="rId1148"/>
  </webImageSrd>
  <webImageSrd>
    <address r:id="rId1149"/>
    <blip r:id="rId1150"/>
  </webImageSrd>
  <webImageSrd>
    <address r:id="rId1151"/>
    <blip r:id="rId1152"/>
  </webImageSrd>
  <webImageSrd>
    <address r:id="rId1153"/>
    <blip r:id="rId1154"/>
  </webImageSrd>
  <webImageSrd>
    <address r:id="rId1155"/>
    <blip r:id="rId1156"/>
  </webImageSrd>
  <webImageSrd>
    <address r:id="rId1157"/>
    <blip r:id="rId1158"/>
  </webImageSrd>
  <webImageSrd>
    <address r:id="rId1159"/>
    <blip r:id="rId1160"/>
  </webImageSrd>
  <webImageSrd>
    <address r:id="rId1161"/>
    <blip r:id="rId1162"/>
  </webImageSrd>
  <webImageSrd>
    <address r:id="rId1163"/>
    <blip r:id="rId1164"/>
  </webImageSrd>
  <webImageSrd>
    <address r:id="rId1165"/>
    <blip r:id="rId1166"/>
  </webImageSrd>
  <webImageSrd>
    <address r:id="rId1167"/>
    <blip r:id="rId1168"/>
  </webImageSrd>
  <webImageSrd>
    <address r:id="rId1169"/>
    <blip r:id="rId1170"/>
  </webImageSrd>
  <webImageSrd>
    <address r:id="rId1171"/>
    <blip r:id="rId1172"/>
  </webImageSrd>
  <webImageSrd>
    <address r:id="rId1173"/>
    <blip r:id="rId1174"/>
  </webImageSrd>
  <webImageSrd>
    <address r:id="rId1175"/>
    <blip r:id="rId1176"/>
  </webImageSrd>
  <webImageSrd>
    <address r:id="rId1177"/>
    <blip r:id="rId1178"/>
  </webImageSrd>
  <webImageSrd>
    <address r:id="rId1179"/>
    <blip r:id="rId1180"/>
  </webImageSrd>
  <webImageSrd>
    <address r:id="rId1181"/>
    <blip r:id="rId1182"/>
  </webImageSrd>
  <webImageSrd>
    <address r:id="rId1183"/>
    <blip r:id="rId1184"/>
  </webImageSrd>
  <webImageSrd>
    <address r:id="rId1185"/>
    <blip r:id="rId1186"/>
  </webImageSrd>
  <webImageSrd>
    <address r:id="rId1187"/>
    <blip r:id="rId1188"/>
  </webImageSrd>
  <webImageSrd>
    <address r:id="rId1189"/>
    <blip r:id="rId1190"/>
  </webImageSrd>
  <webImageSrd>
    <address r:id="rId1191"/>
    <blip r:id="rId1192"/>
  </webImageSrd>
  <webImageSrd>
    <address r:id="rId1193"/>
    <blip r:id="rId1194"/>
  </webImageSrd>
  <webImageSrd>
    <address r:id="rId1195"/>
    <blip r:id="rId1196"/>
  </webImageSrd>
  <webImageSrd>
    <address r:id="rId1197"/>
    <blip r:id="rId1198"/>
  </webImageSrd>
  <webImageSrd>
    <address r:id="rId1199"/>
    <blip r:id="rId1200"/>
  </webImageSrd>
  <webImageSrd>
    <address r:id="rId1201"/>
    <blip r:id="rId1202"/>
  </webImageSrd>
  <webImageSrd>
    <address r:id="rId1203"/>
    <blip r:id="rId1204"/>
  </webImageSrd>
  <webImageSrd>
    <address r:id="rId1205"/>
    <blip r:id="rId1206"/>
  </webImageSrd>
  <webImageSrd>
    <address r:id="rId1207"/>
    <blip r:id="rId1208"/>
  </webImageSrd>
  <webImageSrd>
    <address r:id="rId1209"/>
    <blip r:id="rId1210"/>
  </webImageSrd>
  <webImageSrd>
    <address r:id="rId1211"/>
    <blip r:id="rId1212"/>
  </webImageSrd>
  <webImageSrd>
    <address r:id="rId1213"/>
    <blip r:id="rId1214"/>
  </webImageSrd>
  <webImageSrd>
    <address r:id="rId1215"/>
    <blip r:id="rId1216"/>
  </webImageSrd>
  <webImageSrd>
    <address r:id="rId1217"/>
    <blip r:id="rId1218"/>
  </webImageSrd>
  <webImageSrd>
    <address r:id="rId1219"/>
    <blip r:id="rId1220"/>
  </webImageSrd>
  <webImageSrd>
    <address r:id="rId1221"/>
    <blip r:id="rId1220"/>
  </webImageSrd>
  <webImageSrd>
    <address r:id="rId1222"/>
    <blip r:id="rId1223"/>
  </webImageSrd>
  <webImageSrd>
    <address r:id="rId1224"/>
    <blip r:id="rId1225"/>
  </webImageSrd>
  <webImageSrd>
    <address r:id="rId1226"/>
    <blip r:id="rId1227"/>
  </webImageSrd>
  <webImageSrd>
    <address r:id="rId1228"/>
    <blip r:id="rId1229"/>
  </webImageSrd>
  <webImageSrd>
    <address r:id="rId1230"/>
    <blip r:id="rId1231"/>
  </webImageSrd>
  <webImageSrd>
    <address r:id="rId1232"/>
    <blip r:id="rId1233"/>
  </webImageSrd>
  <webImageSrd>
    <address r:id="rId1234"/>
    <blip r:id="rId1235"/>
  </webImageSrd>
  <webImageSrd>
    <address r:id="rId1236"/>
    <blip r:id="rId1237"/>
  </webImageSrd>
  <webImageSrd>
    <address r:id="rId1238"/>
    <blip r:id="rId1239"/>
  </webImageSrd>
  <webImageSrd>
    <address r:id="rId1240"/>
    <blip r:id="rId1241"/>
  </webImageSrd>
  <webImageSrd>
    <address r:id="rId1242"/>
    <blip r:id="rId1243"/>
  </webImageSrd>
  <webImageSrd>
    <address r:id="rId1244"/>
    <blip r:id="rId1245"/>
  </webImageSrd>
  <webImageSrd>
    <address r:id="rId1246"/>
    <blip r:id="rId1247"/>
  </webImageSrd>
  <webImageSrd>
    <address r:id="rId1248"/>
    <blip r:id="rId1249"/>
  </webImageSrd>
  <webImageSrd>
    <address r:id="rId1250"/>
    <blip r:id="rId1251"/>
  </webImageSrd>
  <webImageSrd>
    <address r:id="rId1252"/>
    <blip r:id="rId1253"/>
  </webImageSrd>
  <webImageSrd>
    <address r:id="rId1254"/>
    <blip r:id="rId1255"/>
  </webImageSrd>
  <webImageSrd>
    <address r:id="rId1256"/>
    <blip r:id="rId1257"/>
  </webImageSrd>
  <webImageSrd>
    <address r:id="rId1258"/>
    <blip r:id="rId1259"/>
  </webImageSrd>
  <webImageSrd>
    <address r:id="rId1260"/>
    <blip r:id="rId1261"/>
  </webImageSrd>
  <webImageSrd>
    <address r:id="rId1262"/>
    <blip r:id="rId1263"/>
  </webImageSrd>
  <webImageSrd>
    <address r:id="rId1264"/>
    <blip r:id="rId1265"/>
  </webImageSrd>
  <webImageSrd>
    <address r:id="rId1266"/>
    <blip r:id="rId1267"/>
  </webImageSrd>
  <webImageSrd>
    <address r:id="rId1268"/>
    <blip r:id="rId1269"/>
  </webImageSrd>
  <webImageSrd>
    <address r:id="rId1270"/>
    <blip r:id="rId1271"/>
  </webImageSrd>
  <webImageSrd>
    <address r:id="rId1272"/>
    <blip r:id="rId1273"/>
  </webImageSrd>
  <webImageSrd>
    <address r:id="rId1274"/>
    <blip r:id="rId1275"/>
  </webImageSrd>
  <webImageSrd>
    <address r:id="rId1276"/>
    <blip r:id="rId1277"/>
  </webImageSrd>
  <webImageSrd>
    <address r:id="rId1278"/>
    <blip r:id="rId1279"/>
  </webImageSrd>
  <webImageSrd>
    <address r:id="rId1280"/>
    <blip r:id="rId1281"/>
  </webImageSrd>
  <webImageSrd>
    <address r:id="rId1282"/>
    <blip r:id="rId1283"/>
  </webImageSrd>
  <webImageSrd>
    <address r:id="rId1284"/>
    <blip r:id="rId1285"/>
  </webImageSrd>
  <webImageSrd>
    <address r:id="rId1286"/>
    <blip r:id="rId1287"/>
  </webImageSrd>
  <webImageSrd>
    <address r:id="rId1288"/>
    <blip r:id="rId1289"/>
  </webImageSrd>
  <webImageSrd>
    <address r:id="rId1290"/>
    <blip r:id="rId1291"/>
  </webImageSrd>
  <webImageSrd>
    <address r:id="rId1292"/>
    <blip r:id="rId1293"/>
  </webImageSrd>
  <webImageSrd>
    <address r:id="rId1294"/>
    <blip r:id="rId1295"/>
  </webImageSrd>
  <webImageSrd>
    <address r:id="rId1296"/>
    <blip r:id="rId1297"/>
  </webImageSrd>
  <webImageSrd>
    <address r:id="rId1298"/>
    <blip r:id="rId1299"/>
  </webImageSrd>
  <webImageSrd>
    <address r:id="rId1300"/>
    <blip r:id="rId1301"/>
  </webImageSrd>
  <webImageSrd>
    <address r:id="rId1302"/>
    <blip r:id="rId1303"/>
  </webImageSrd>
  <webImageSrd>
    <address r:id="rId1304"/>
    <blip r:id="rId1305"/>
  </webImageSrd>
  <webImageSrd>
    <address r:id="rId1306"/>
    <blip r:id="rId1307"/>
  </webImageSrd>
  <webImageSrd>
    <address r:id="rId1308"/>
    <blip r:id="rId1309"/>
  </webImageSrd>
  <webImageSrd>
    <address r:id="rId1310"/>
    <blip r:id="rId1311"/>
  </webImageSrd>
  <webImageSrd>
    <address r:id="rId1312"/>
    <blip r:id="rId1313"/>
  </webImageSrd>
  <webImageSrd>
    <address r:id="rId1314"/>
    <blip r:id="rId1315"/>
  </webImageSrd>
  <webImageSrd>
    <address r:id="rId1316"/>
    <blip r:id="rId1317"/>
  </webImageSrd>
  <webImageSrd>
    <address r:id="rId1318"/>
    <blip r:id="rId1319"/>
  </webImageSrd>
  <webImageSrd>
    <address r:id="rId1320"/>
    <blip r:id="rId1321"/>
  </webImageSrd>
  <webImageSrd>
    <address r:id="rId1322"/>
    <blip r:id="rId1323"/>
  </webImageSrd>
  <webImageSrd>
    <address r:id="rId1324"/>
    <blip r:id="rId1325"/>
  </webImageSrd>
  <webImageSrd>
    <address r:id="rId1326"/>
    <blip r:id="rId1327"/>
  </webImageSrd>
  <webImageSrd>
    <address r:id="rId1328"/>
    <blip r:id="rId1329"/>
  </webImageSrd>
  <webImageSrd>
    <address r:id="rId1330"/>
    <blip r:id="rId1331"/>
  </webImageSrd>
  <webImageSrd>
    <address r:id="rId1332"/>
    <blip r:id="rId1333"/>
  </webImageSrd>
  <webImageSrd>
    <address r:id="rId1334"/>
    <blip r:id="rId1335"/>
  </webImageSrd>
  <webImageSrd>
    <address r:id="rId1336"/>
    <blip r:id="rId1337"/>
  </webImageSrd>
  <webImageSrd>
    <address r:id="rId1338"/>
    <blip r:id="rId1339"/>
  </webImageSrd>
  <webImageSrd>
    <address r:id="rId1340"/>
    <blip r:id="rId1341"/>
  </webImageSrd>
  <webImageSrd>
    <address r:id="rId1342"/>
    <blip r:id="rId1343"/>
  </webImageSrd>
  <webImageSrd>
    <address r:id="rId1344"/>
    <blip r:id="rId1345"/>
  </webImageSrd>
  <webImageSrd>
    <address r:id="rId1346"/>
    <blip r:id="rId1347"/>
  </webImageSrd>
  <webImageSrd>
    <address r:id="rId1348"/>
    <blip r:id="rId1349"/>
  </webImageSrd>
  <webImageSrd>
    <address r:id="rId1350"/>
    <blip r:id="rId1351"/>
  </webImageSrd>
  <webImageSrd>
    <address r:id="rId1352"/>
    <blip r:id="rId1353"/>
  </webImageSrd>
  <webImageSrd>
    <address r:id="rId1354"/>
    <blip r:id="rId1355"/>
  </webImageSrd>
  <webImageSrd>
    <address r:id="rId1356"/>
    <blip r:id="rId1357"/>
  </webImageSrd>
  <webImageSrd>
    <address r:id="rId1358"/>
    <blip r:id="rId1359"/>
  </webImageSrd>
  <webImageSrd>
    <address r:id="rId1360"/>
    <blip r:id="rId1361"/>
  </webImageSrd>
  <webImageSrd>
    <address r:id="rId1362"/>
    <blip r:id="rId1363"/>
  </webImageSrd>
  <webImageSrd>
    <address r:id="rId1364"/>
    <blip r:id="rId1365"/>
  </webImageSrd>
  <webImageSrd>
    <address r:id="rId1366"/>
    <blip r:id="rId1367"/>
  </webImageSrd>
  <webImageSrd>
    <address r:id="rId1368"/>
    <blip r:id="rId1369"/>
  </webImageSrd>
  <webImageSrd>
    <address r:id="rId1370"/>
    <blip r:id="rId1371"/>
  </webImageSrd>
  <webImageSrd>
    <address r:id="rId1372"/>
    <blip r:id="rId1373"/>
  </webImageSrd>
  <webImageSrd>
    <address r:id="rId1374"/>
    <blip r:id="rId1375"/>
  </webImageSrd>
  <webImageSrd>
    <address r:id="rId1376"/>
    <blip r:id="rId1377"/>
  </webImageSrd>
  <webImageSrd>
    <address r:id="rId1378"/>
    <blip r:id="rId1379"/>
  </webImageSrd>
  <webImageSrd>
    <address r:id="rId1380"/>
    <blip r:id="rId1381"/>
  </webImageSrd>
  <webImageSrd>
    <address r:id="rId1382"/>
    <blip r:id="rId1383"/>
  </webImageSrd>
  <webImageSrd>
    <address r:id="rId1384"/>
    <blip r:id="rId1385"/>
  </webImageSrd>
  <webImageSrd>
    <address r:id="rId1386"/>
    <blip r:id="rId1387"/>
  </webImageSrd>
  <webImageSrd>
    <address r:id="rId1388"/>
    <blip r:id="rId1389"/>
  </webImageSrd>
  <webImageSrd>
    <address r:id="rId1390"/>
    <blip r:id="rId1391"/>
  </webImageSrd>
  <webImageSrd>
    <address r:id="rId1392"/>
    <blip r:id="rId1393"/>
  </webImageSrd>
  <webImageSrd>
    <address r:id="rId1394"/>
    <blip r:id="rId1395"/>
  </webImageSrd>
  <webImageSrd>
    <address r:id="rId1396"/>
    <blip r:id="rId1397"/>
  </webImageSrd>
  <webImageSrd>
    <address r:id="rId1398"/>
    <blip r:id="rId1399"/>
  </webImageSrd>
  <webImageSrd>
    <address r:id="rId1400"/>
    <blip r:id="rId1401"/>
  </webImageSrd>
  <webImageSrd>
    <address r:id="rId1402"/>
    <blip r:id="rId1403"/>
  </webImageSrd>
  <webImageSrd>
    <address r:id="rId1404"/>
    <blip r:id="rId1405"/>
  </webImageSrd>
  <webImageSrd>
    <address r:id="rId1406"/>
    <blip r:id="rId1407"/>
  </webImageSrd>
  <webImageSrd>
    <address r:id="rId1408"/>
    <blip r:id="rId1409"/>
  </webImageSrd>
  <webImageSrd>
    <address r:id="rId1410"/>
    <blip r:id="rId1411"/>
  </webImageSrd>
  <webImageSrd>
    <address r:id="rId1412"/>
    <blip r:id="rId1413"/>
  </webImageSrd>
  <webImageSrd>
    <address r:id="rId1414"/>
    <blip r:id="rId1415"/>
  </webImageSrd>
  <webImageSrd>
    <address r:id="rId1416"/>
    <blip r:id="rId1417"/>
  </webImageSrd>
  <webImageSrd>
    <address r:id="rId1418"/>
    <blip r:id="rId1419"/>
  </webImageSrd>
  <webImageSrd>
    <address r:id="rId1420"/>
    <blip r:id="rId1421"/>
  </webImageSrd>
  <webImageSrd>
    <address r:id="rId1422"/>
    <blip r:id="rId1423"/>
  </webImageSrd>
  <webImageSrd>
    <address r:id="rId1424"/>
    <blip r:id="rId1425"/>
  </webImageSrd>
  <webImageSrd>
    <address r:id="rId1426"/>
    <blip r:id="rId1427"/>
  </webImageSrd>
  <webImageSrd>
    <address r:id="rId1428"/>
    <blip r:id="rId1429"/>
  </webImageSrd>
  <webImageSrd>
    <address r:id="rId1430"/>
    <blip r:id="rId1431"/>
  </webImageSrd>
  <webImageSrd>
    <address r:id="rId1432"/>
    <blip r:id="rId1433"/>
  </webImageSrd>
  <webImageSrd>
    <address r:id="rId1434"/>
    <blip r:id="rId1435"/>
  </webImageSrd>
  <webImageSrd>
    <address r:id="rId1436"/>
    <blip r:id="rId1437"/>
  </webImageSrd>
  <webImageSrd>
    <address r:id="rId1438"/>
    <blip r:id="rId1439"/>
  </webImageSrd>
  <webImageSrd>
    <address r:id="rId1440"/>
    <blip r:id="rId1441"/>
  </webImageSrd>
  <webImageSrd>
    <address r:id="rId1442"/>
    <blip r:id="rId1443"/>
  </webImageSrd>
  <webImageSrd>
    <address r:id="rId1444"/>
    <blip r:id="rId1445"/>
  </webImageSrd>
  <webImageSrd>
    <address r:id="rId1446"/>
    <blip r:id="rId1447"/>
  </webImageSrd>
  <webImageSrd>
    <address r:id="rId1448"/>
    <blip r:id="rId1449"/>
  </webImageSrd>
  <webImageSrd>
    <address r:id="rId1450"/>
    <blip r:id="rId1451"/>
  </webImageSrd>
  <webImageSrd>
    <address r:id="rId1452"/>
    <blip r:id="rId1453"/>
  </webImageSrd>
  <webImageSrd>
    <address r:id="rId1454"/>
    <blip r:id="rId1455"/>
  </webImageSrd>
  <webImageSrd>
    <address r:id="rId1456"/>
    <blip r:id="rId1457"/>
  </webImageSrd>
  <webImageSrd>
    <address r:id="rId1458"/>
    <blip r:id="rId1459"/>
  </webImageSrd>
  <webImageSrd>
    <address r:id="rId1460"/>
    <blip r:id="rId1461"/>
  </webImageSrd>
  <webImageSrd>
    <address r:id="rId1462"/>
    <blip r:id="rId1463"/>
  </webImageSrd>
  <webImageSrd>
    <address r:id="rId1464"/>
    <blip r:id="rId1465"/>
  </webImageSrd>
  <webImageSrd>
    <address r:id="rId1466"/>
    <blip r:id="rId1467"/>
  </webImageSrd>
  <webImageSrd>
    <address r:id="rId1468"/>
    <blip r:id="rId1469"/>
  </webImageSrd>
  <webImageSrd>
    <address r:id="rId1470"/>
    <blip r:id="rId1471"/>
  </webImageSrd>
  <webImageSrd>
    <address r:id="rId1472"/>
    <blip r:id="rId1473"/>
  </webImageSrd>
  <webImageSrd>
    <address r:id="rId1474"/>
    <blip r:id="rId1475"/>
  </webImageSrd>
  <webImageSrd>
    <address r:id="rId1476"/>
    <blip r:id="rId1477"/>
  </webImageSrd>
  <webImageSrd>
    <address r:id="rId1478"/>
    <blip r:id="rId1479"/>
  </webImageSrd>
  <webImageSrd>
    <address r:id="rId1480"/>
    <blip r:id="rId1481"/>
  </webImageSrd>
  <webImageSrd>
    <address r:id="rId1482"/>
    <blip r:id="rId1483"/>
  </webImageSrd>
  <webImageSrd>
    <address r:id="rId1484"/>
    <blip r:id="rId1485"/>
  </webImageSrd>
  <webImageSrd>
    <address r:id="rId1486"/>
    <blip r:id="rId1487"/>
  </webImageSrd>
  <webImageSrd>
    <address r:id="rId1488"/>
    <blip r:id="rId1489"/>
  </webImageSrd>
  <webImageSrd>
    <address r:id="rId1490"/>
    <blip r:id="rId1491"/>
  </webImageSrd>
  <webImageSrd>
    <address r:id="rId1492"/>
    <blip r:id="rId1493"/>
  </webImageSrd>
  <webImageSrd>
    <address r:id="rId1494"/>
    <blip r:id="rId1495"/>
  </webImageSrd>
  <webImageSrd>
    <address r:id="rId1496"/>
    <blip r:id="rId1497"/>
  </webImageSrd>
  <webImageSrd>
    <address r:id="rId1498"/>
    <blip r:id="rId1499"/>
  </webImageSrd>
  <webImageSrd>
    <address r:id="rId1500"/>
    <blip r:id="rId1501"/>
  </webImageSrd>
  <webImageSrd>
    <address r:id="rId1502"/>
    <blip r:id="rId1503"/>
  </webImageSrd>
  <webImageSrd>
    <address r:id="rId1504"/>
    <blip r:id="rId1505"/>
  </webImageSrd>
  <webImageSrd>
    <address r:id="rId1506"/>
    <blip r:id="rId1507"/>
  </webImageSrd>
  <webImageSrd>
    <address r:id="rId1508"/>
    <blip r:id="rId1509"/>
  </webImageSrd>
  <webImageSrd>
    <address r:id="rId1510"/>
    <blip r:id="rId1511"/>
  </webImageSrd>
  <webImageSrd>
    <address r:id="rId1512"/>
    <blip r:id="rId1513"/>
  </webImageSrd>
  <webImageSrd>
    <address r:id="rId1514"/>
    <blip r:id="rId1515"/>
  </webImageSrd>
  <webImageSrd>
    <address r:id="rId1516"/>
    <blip r:id="rId1517"/>
  </webImageSrd>
  <webImageSrd>
    <address r:id="rId1518"/>
    <blip r:id="rId1519"/>
  </webImageSrd>
  <webImageSrd>
    <address r:id="rId1520"/>
    <blip r:id="rId1521"/>
  </webImageSrd>
  <webImageSrd>
    <address r:id="rId1522"/>
    <blip r:id="rId1523"/>
  </webImageSrd>
  <webImageSrd>
    <address r:id="rId1524"/>
    <blip r:id="rId1525"/>
  </webImageSrd>
  <webImageSrd>
    <address r:id="rId1526"/>
    <blip r:id="rId1527"/>
  </webImageSrd>
  <webImageSrd>
    <address r:id="rId1528"/>
    <blip r:id="rId1529"/>
  </webImageSrd>
  <webImageSrd>
    <address r:id="rId1530"/>
    <blip r:id="rId1531"/>
  </webImageSrd>
  <webImageSrd>
    <address r:id="rId1532"/>
    <blip r:id="rId1533"/>
  </webImageSrd>
  <webImageSrd>
    <address r:id="rId1534"/>
    <blip r:id="rId1535"/>
  </webImageSrd>
  <webImageSrd>
    <address r:id="rId1536"/>
    <blip r:id="rId1537"/>
  </webImageSrd>
  <webImageSrd>
    <address r:id="rId1538"/>
    <blip r:id="rId1539"/>
  </webImageSrd>
  <webImageSrd>
    <address r:id="rId1540"/>
    <blip r:id="rId1541"/>
  </webImageSrd>
  <webImageSrd>
    <address r:id="rId1542"/>
    <blip r:id="rId1543"/>
  </webImageSrd>
  <webImageSrd>
    <address r:id="rId1544"/>
    <blip r:id="rId1545"/>
  </webImageSrd>
  <webImageSrd>
    <address r:id="rId1546"/>
    <blip r:id="rId1547"/>
  </webImageSrd>
  <webImageSrd>
    <address r:id="rId1548"/>
    <blip r:id="rId1549"/>
  </webImageSrd>
  <webImageSrd>
    <address r:id="rId1550"/>
    <blip r:id="rId1551"/>
  </webImageSrd>
  <webImageSrd>
    <address r:id="rId1552"/>
    <blip r:id="rId1553"/>
  </webImageSrd>
  <webImageSrd>
    <address r:id="rId1554"/>
    <blip r:id="rId1555"/>
  </webImageSrd>
  <webImageSrd>
    <address r:id="rId1556"/>
    <blip r:id="rId1557"/>
  </webImageSrd>
  <webImageSrd>
    <address r:id="rId1558"/>
    <blip r:id="rId1559"/>
  </webImageSrd>
  <webImageSrd>
    <address r:id="rId1560"/>
    <blip r:id="rId1561"/>
  </webImageSrd>
  <webImageSrd>
    <address r:id="rId1562"/>
    <blip r:id="rId1563"/>
  </webImageSrd>
  <webImageSrd>
    <address r:id="rId1564"/>
    <blip r:id="rId1565"/>
  </webImageSrd>
  <webImageSrd>
    <address r:id="rId1566"/>
    <blip r:id="rId1567"/>
  </webImageSrd>
  <webImageSrd>
    <address r:id="rId1568"/>
    <blip r:id="rId1569"/>
  </webImageSrd>
  <webImageSrd>
    <address r:id="rId1570"/>
    <blip r:id="rId1571"/>
  </webImageSrd>
  <webImageSrd>
    <address r:id="rId1572"/>
    <blip r:id="rId1573"/>
  </webImageSrd>
  <webImageSrd>
    <address r:id="rId1574"/>
    <blip r:id="rId1575"/>
  </webImageSrd>
  <webImageSrd>
    <address r:id="rId1576"/>
    <blip r:id="rId1577"/>
  </webImageSrd>
  <webImageSrd>
    <address r:id="rId1578"/>
    <blip r:id="rId1579"/>
  </webImageSrd>
  <webImageSrd>
    <address r:id="rId1580"/>
    <blip r:id="rId1581"/>
  </webImageSrd>
  <webImageSrd>
    <address r:id="rId1582"/>
    <blip r:id="rId1583"/>
  </webImageSrd>
  <webImageSrd>
    <address r:id="rId1584"/>
    <blip r:id="rId1585"/>
  </webImageSrd>
  <webImageSrd>
    <address r:id="rId1586"/>
    <blip r:id="rId1587"/>
  </webImageSrd>
  <webImageSrd>
    <address r:id="rId1588"/>
    <blip r:id="rId1589"/>
  </webImageSrd>
  <webImageSrd>
    <address r:id="rId1590"/>
    <blip r:id="rId1591"/>
  </webImageSrd>
  <webImageSrd>
    <address r:id="rId1592"/>
    <blip r:id="rId1593"/>
  </webImageSrd>
  <webImageSrd>
    <address r:id="rId1594"/>
    <blip r:id="rId1595"/>
  </webImageSrd>
  <webImageSrd>
    <address r:id="rId1596"/>
    <blip r:id="rId1597"/>
  </webImageSrd>
  <webImageSrd>
    <address r:id="rId1598"/>
    <blip r:id="rId1599"/>
  </webImageSrd>
  <webImageSrd>
    <address r:id="rId1600"/>
    <blip r:id="rId1601"/>
  </webImageSrd>
  <webImageSrd>
    <address r:id="rId1602"/>
    <blip r:id="rId1603"/>
  </webImageSrd>
  <webImageSrd>
    <address r:id="rId1604"/>
    <blip r:id="rId1605"/>
  </webImageSrd>
  <webImageSrd>
    <address r:id="rId1606"/>
    <blip r:id="rId1607"/>
  </webImageSrd>
  <webImageSrd>
    <address r:id="rId1608"/>
    <blip r:id="rId1609"/>
  </webImageSrd>
  <webImageSrd>
    <address r:id="rId1610"/>
    <blip r:id="rId1611"/>
  </webImageSrd>
  <webImageSrd>
    <address r:id="rId1612"/>
    <blip r:id="rId1613"/>
  </webImageSrd>
  <webImageSrd>
    <address r:id="rId1614"/>
    <blip r:id="rId1615"/>
  </webImageSrd>
  <webImageSrd>
    <address r:id="rId1616"/>
    <blip r:id="rId1617"/>
  </webImageSrd>
  <webImageSrd>
    <address r:id="rId1618"/>
    <blip r:id="rId1619"/>
  </webImageSrd>
  <webImageSrd>
    <address r:id="rId1620"/>
    <blip r:id="rId1621"/>
  </webImageSrd>
  <webImageSrd>
    <address r:id="rId1622"/>
    <blip r:id="rId1623"/>
  </webImageSrd>
  <webImageSrd>
    <address r:id="rId1624"/>
    <blip r:id="rId1625"/>
  </webImageSrd>
  <webImageSrd>
    <address r:id="rId1626"/>
    <blip r:id="rId1627"/>
  </webImageSrd>
  <webImageSrd>
    <address r:id="rId1628"/>
    <blip r:id="rId1629"/>
  </webImageSrd>
  <webImageSrd>
    <address r:id="rId1630"/>
    <blip r:id="rId1631"/>
  </webImageSrd>
  <webImageSrd>
    <address r:id="rId1632"/>
    <blip r:id="rId1633"/>
  </webImageSrd>
  <webImageSrd>
    <address r:id="rId1634"/>
    <blip r:id="rId1635"/>
  </webImageSrd>
  <webImageSrd>
    <address r:id="rId1636"/>
    <blip r:id="rId1637"/>
  </webImageSrd>
  <webImageSrd>
    <address r:id="rId1638"/>
    <blip r:id="rId1639"/>
  </webImageSrd>
  <webImageSrd>
    <address r:id="rId1640"/>
    <blip r:id="rId1641"/>
  </webImageSrd>
  <webImageSrd>
    <address r:id="rId1642"/>
    <blip r:id="rId1643"/>
  </webImageSrd>
  <webImageSrd>
    <address r:id="rId1644"/>
    <blip r:id="rId1645"/>
  </webImageSrd>
  <webImageSrd>
    <address r:id="rId1646"/>
    <blip r:id="rId1647"/>
  </webImageSrd>
  <webImageSrd>
    <address r:id="rId1648"/>
    <blip r:id="rId1649"/>
  </webImageSrd>
  <webImageSrd>
    <address r:id="rId1650"/>
    <blip r:id="rId1651"/>
  </webImageSrd>
  <webImageSrd>
    <address r:id="rId1652"/>
    <blip r:id="rId1653"/>
  </webImageSrd>
  <webImageSrd>
    <address r:id="rId1654"/>
    <blip r:id="rId1655"/>
  </webImageSrd>
  <webImageSrd>
    <address r:id="rId1656"/>
    <blip r:id="rId1657"/>
  </webImageSrd>
  <webImageSrd>
    <address r:id="rId1658"/>
    <blip r:id="rId1659"/>
  </webImageSrd>
  <webImageSrd>
    <address r:id="rId1660"/>
    <blip r:id="rId1661"/>
  </webImageSrd>
  <webImageSrd>
    <address r:id="rId1662"/>
    <blip r:id="rId1663"/>
  </webImageSrd>
  <webImageSrd>
    <address r:id="rId1664"/>
    <blip r:id="rId1665"/>
  </webImageSrd>
  <webImageSrd>
    <address r:id="rId1666"/>
    <blip r:id="rId1667"/>
  </webImageSrd>
  <webImageSrd>
    <address r:id="rId1668"/>
    <blip r:id="rId1669"/>
  </webImageSrd>
  <webImageSrd>
    <address r:id="rId1670"/>
    <blip r:id="rId1671"/>
  </webImageSrd>
  <webImageSrd>
    <address r:id="rId1672"/>
    <blip r:id="rId1673"/>
  </webImageSrd>
  <webImageSrd>
    <address r:id="rId1674"/>
    <blip r:id="rId1675"/>
  </webImageSrd>
  <webImageSrd>
    <address r:id="rId1676"/>
    <blip r:id="rId1677"/>
  </webImageSrd>
  <webImageSrd>
    <address r:id="rId1678"/>
    <blip r:id="rId1679"/>
  </webImageSrd>
  <webImageSrd>
    <address r:id="rId1680"/>
    <blip r:id="rId1681"/>
  </webImageSrd>
  <webImageSrd>
    <address r:id="rId1682"/>
    <blip r:id="rId1683"/>
  </webImageSrd>
  <webImageSrd>
    <address r:id="rId1684"/>
    <blip r:id="rId1685"/>
  </webImageSrd>
  <webImageSrd>
    <address r:id="rId1686"/>
    <blip r:id="rId1687"/>
  </webImageSrd>
  <webImageSrd>
    <address r:id="rId1688"/>
    <blip r:id="rId1689"/>
  </webImageSrd>
  <webImageSrd>
    <address r:id="rId1690"/>
    <blip r:id="rId1691"/>
  </webImageSrd>
  <webImageSrd>
    <address r:id="rId1692"/>
    <blip r:id="rId1693"/>
  </webImageSrd>
  <webImageSrd>
    <address r:id="rId1694"/>
    <blip r:id="rId1695"/>
  </webImageSrd>
  <webImageSrd>
    <address r:id="rId1696"/>
    <blip r:id="rId1697"/>
  </webImageSrd>
  <webImageSrd>
    <address r:id="rId1698"/>
    <blip r:id="rId1699"/>
  </webImageSrd>
  <webImageSrd>
    <address r:id="rId1700"/>
    <blip r:id="rId1701"/>
  </webImageSrd>
  <webImageSrd>
    <address r:id="rId1702"/>
    <blip r:id="rId1703"/>
  </webImageSrd>
  <webImageSrd>
    <address r:id="rId1704"/>
    <blip r:id="rId1705"/>
  </webImageSrd>
  <webImageSrd>
    <address r:id="rId1706"/>
    <blip r:id="rId1707"/>
  </webImageSrd>
  <webImageSrd>
    <address r:id="rId1708"/>
    <blip r:id="rId1709"/>
  </webImageSrd>
  <webImageSrd>
    <address r:id="rId1710"/>
    <blip r:id="rId1711"/>
  </webImageSrd>
  <webImageSrd>
    <address r:id="rId1712"/>
    <blip r:id="rId1713"/>
  </webImageSrd>
  <webImageSrd>
    <address r:id="rId1714"/>
    <blip r:id="rId1715"/>
  </webImageSrd>
  <webImageSrd>
    <address r:id="rId1716"/>
    <blip r:id="rId1717"/>
  </webImageSrd>
  <webImageSrd>
    <address r:id="rId1718"/>
    <blip r:id="rId1719"/>
  </webImageSrd>
  <webImageSrd>
    <address r:id="rId1720"/>
    <blip r:id="rId1721"/>
  </webImageSrd>
  <webImageSrd>
    <address r:id="rId1722"/>
    <blip r:id="rId1723"/>
  </webImageSrd>
  <webImageSrd>
    <address r:id="rId1724"/>
    <blip r:id="rId1725"/>
  </webImageSrd>
  <webImageSrd>
    <address r:id="rId1726"/>
    <blip r:id="rId1727"/>
  </webImageSrd>
  <webImageSrd>
    <address r:id="rId1728"/>
    <blip r:id="rId1729"/>
  </webImageSrd>
  <webImageSrd>
    <address r:id="rId1730"/>
    <blip r:id="rId1731"/>
  </webImageSrd>
  <webImageSrd>
    <address r:id="rId1732"/>
    <blip r:id="rId1733"/>
  </webImageSrd>
  <webImageSrd>
    <address r:id="rId1734"/>
    <blip r:id="rId1735"/>
  </webImageSrd>
  <webImageSrd>
    <address r:id="rId1736"/>
    <blip r:id="rId1737"/>
  </webImageSrd>
  <webImageSrd>
    <address r:id="rId1738"/>
    <blip r:id="rId1739"/>
  </webImageSrd>
  <webImageSrd>
    <address r:id="rId1740"/>
    <blip r:id="rId1741"/>
  </webImageSrd>
  <webImageSrd>
    <address r:id="rId1742"/>
    <blip r:id="rId1743"/>
  </webImageSrd>
  <webImageSrd>
    <address r:id="rId1744"/>
    <blip r:id="rId1745"/>
  </webImageSrd>
  <webImageSrd>
    <address r:id="rId1746"/>
    <blip r:id="rId1747"/>
  </webImageSrd>
  <webImageSrd>
    <address r:id="rId1748"/>
    <blip r:id="rId1749"/>
  </webImageSrd>
  <webImageSrd>
    <address r:id="rId1750"/>
    <blip r:id="rId1751"/>
  </webImageSrd>
  <webImageSrd>
    <address r:id="rId1752"/>
    <blip r:id="rId1753"/>
  </webImageSrd>
  <webImageSrd>
    <address r:id="rId1754"/>
    <blip r:id="rId1755"/>
  </webImageSrd>
  <webImageSrd>
    <address r:id="rId1756"/>
    <blip r:id="rId1757"/>
  </webImageSrd>
  <webImageSrd>
    <address r:id="rId1758"/>
    <blip r:id="rId1759"/>
  </webImageSrd>
  <webImageSrd>
    <address r:id="rId1760"/>
    <blip r:id="rId1761"/>
  </webImageSrd>
  <webImageSrd>
    <address r:id="rId1762"/>
    <blip r:id="rId1763"/>
  </webImageSrd>
  <webImageSrd>
    <address r:id="rId1764"/>
    <blip r:id="rId1765"/>
  </webImageSrd>
  <webImageSrd>
    <address r:id="rId1766"/>
    <blip r:id="rId1767"/>
  </webImageSrd>
  <webImageSrd>
    <address r:id="rId1768"/>
    <blip r:id="rId1769"/>
  </webImageSrd>
  <webImageSrd>
    <address r:id="rId1770"/>
    <blip r:id="rId1771"/>
  </webImageSrd>
  <webImageSrd>
    <address r:id="rId1772"/>
    <blip r:id="rId1773"/>
  </webImageSrd>
  <webImageSrd>
    <address r:id="rId1774"/>
    <blip r:id="rId1775"/>
  </webImageSrd>
  <webImageSrd>
    <address r:id="rId1776"/>
    <blip r:id="rId1777"/>
  </webImageSrd>
  <webImageSrd>
    <address r:id="rId1778"/>
    <blip r:id="rId1779"/>
  </webImageSrd>
  <webImageSrd>
    <address r:id="rId1780"/>
    <blip r:id="rId1781"/>
  </webImageSrd>
  <webImageSrd>
    <address r:id="rId1782"/>
    <blip r:id="rId1783"/>
  </webImageSrd>
  <webImageSrd>
    <address r:id="rId1784"/>
    <blip r:id="rId1785"/>
  </webImageSrd>
  <webImageSrd>
    <address r:id="rId1786"/>
    <blip r:id="rId1787"/>
  </webImageSrd>
  <webImageSrd>
    <address r:id="rId1788"/>
    <blip r:id="rId1789"/>
  </webImageSrd>
  <webImageSrd>
    <address r:id="rId1790"/>
    <blip r:id="rId1791"/>
  </webImageSrd>
  <webImageSrd>
    <address r:id="rId1792"/>
    <blip r:id="rId1793"/>
  </webImageSrd>
  <webImageSrd>
    <address r:id="rId1794"/>
    <blip r:id="rId1795"/>
  </webImageSrd>
  <webImageSrd>
    <address r:id="rId1796"/>
    <blip r:id="rId1797"/>
  </webImageSrd>
  <webImageSrd>
    <address r:id="rId1798"/>
    <blip r:id="rId1799"/>
  </webImageSrd>
  <webImageSrd>
    <address r:id="rId1800"/>
    <blip r:id="rId1801"/>
  </webImageSrd>
  <webImageSrd>
    <address r:id="rId1802"/>
    <blip r:id="rId1803"/>
  </webImageSrd>
  <webImageSrd>
    <address r:id="rId1804"/>
    <blip r:id="rId1805"/>
  </webImageSrd>
  <webImageSrd>
    <address r:id="rId1806"/>
    <blip r:id="rId1807"/>
  </webImageSrd>
  <webImageSrd>
    <address r:id="rId1808"/>
    <blip r:id="rId1809"/>
  </webImageSrd>
  <webImageSrd>
    <address r:id="rId1810"/>
    <blip r:id="rId1811"/>
  </webImageSrd>
  <webImageSrd>
    <address r:id="rId1812"/>
    <blip r:id="rId1813"/>
  </webImageSrd>
  <webImageSrd>
    <address r:id="rId1814"/>
    <blip r:id="rId1815"/>
  </webImageSrd>
  <webImageSrd>
    <address r:id="rId1816"/>
    <blip r:id="rId1817"/>
  </webImageSrd>
  <webImageSrd>
    <address r:id="rId1818"/>
    <blip r:id="rId1819"/>
  </webImageSrd>
  <webImageSrd>
    <address r:id="rId1820"/>
    <blip r:id="rId1821"/>
  </webImageSrd>
  <webImageSrd>
    <address r:id="rId1822"/>
    <blip r:id="rId1823"/>
  </webImageSrd>
  <webImageSrd>
    <address r:id="rId1824"/>
    <blip r:id="rId1825"/>
  </webImageSrd>
  <webImageSrd>
    <address r:id="rId1826"/>
    <blip r:id="rId1827"/>
  </webImageSrd>
  <webImageSrd>
    <address r:id="rId1828"/>
    <blip r:id="rId1829"/>
  </webImageSrd>
  <webImageSrd>
    <address r:id="rId1830"/>
    <blip r:id="rId1831"/>
  </webImageSrd>
  <webImageSrd>
    <address r:id="rId1832"/>
    <blip r:id="rId1833"/>
  </webImageSrd>
  <webImageSrd>
    <address r:id="rId1834"/>
    <blip r:id="rId1835"/>
  </webImageSrd>
  <webImageSrd>
    <address r:id="rId1836"/>
    <blip r:id="rId1837"/>
  </webImageSrd>
  <webImageSrd>
    <address r:id="rId1838"/>
    <blip r:id="rId1839"/>
  </webImageSrd>
  <webImageSrd>
    <address r:id="rId1840"/>
    <blip r:id="rId1841"/>
  </webImageSrd>
  <webImageSrd>
    <address r:id="rId1842"/>
    <blip r:id="rId1843"/>
  </webImageSrd>
  <webImageSrd>
    <address r:id="rId1844"/>
    <blip r:id="rId1845"/>
  </webImageSrd>
  <webImageSrd>
    <address r:id="rId1846"/>
    <blip r:id="rId1847"/>
  </webImageSrd>
  <webImageSrd>
    <address r:id="rId1848"/>
    <blip r:id="rId1849"/>
  </webImageSrd>
  <webImageSrd>
    <address r:id="rId1850"/>
    <blip r:id="rId1851"/>
  </webImageSrd>
  <webImageSrd>
    <address r:id="rId1852"/>
    <blip r:id="rId1853"/>
  </webImageSrd>
  <webImageSrd>
    <address r:id="rId1854"/>
    <blip r:id="rId1855"/>
  </webImageSrd>
  <webImageSrd>
    <address r:id="rId1856"/>
    <blip r:id="rId1857"/>
  </webImageSrd>
  <webImageSrd>
    <address r:id="rId1858"/>
    <blip r:id="rId1859"/>
  </webImageSrd>
  <webImageSrd>
    <address r:id="rId1860"/>
    <blip r:id="rId1861"/>
  </webImageSrd>
  <webImageSrd>
    <address r:id="rId1862"/>
    <blip r:id="rId1863"/>
  </webImageSrd>
  <webImageSrd>
    <address r:id="rId1864"/>
    <blip r:id="rId1865"/>
  </webImageSrd>
  <webImageSrd>
    <address r:id="rId1866"/>
    <blip r:id="rId1867"/>
  </webImageSrd>
  <webImageSrd>
    <address r:id="rId1868"/>
    <blip r:id="rId1869"/>
  </webImageSrd>
  <webImageSrd>
    <address r:id="rId1870"/>
    <blip r:id="rId1871"/>
  </webImageSrd>
  <webImageSrd>
    <address r:id="rId1872"/>
    <blip r:id="rId1873"/>
  </webImageSrd>
  <webImageSrd>
    <address r:id="rId1874"/>
    <blip r:id="rId1875"/>
  </webImageSrd>
  <webImageSrd>
    <address r:id="rId1876"/>
    <blip r:id="rId1877"/>
  </webImageSrd>
  <webImageSrd>
    <address r:id="rId1878"/>
    <blip r:id="rId1879"/>
  </webImageSrd>
  <webImageSrd>
    <address r:id="rId1880"/>
    <blip r:id="rId1881"/>
  </webImageSrd>
  <webImageSrd>
    <address r:id="rId1882"/>
    <blip r:id="rId1883"/>
  </webImageSrd>
  <webImageSrd>
    <address r:id="rId1884"/>
    <blip r:id="rId1885"/>
  </webImageSrd>
  <webImageSrd>
    <address r:id="rId1886"/>
    <blip r:id="rId1887"/>
  </webImageSrd>
  <webImageSrd>
    <address r:id="rId1888"/>
    <blip r:id="rId1889"/>
  </webImageSrd>
  <webImageSrd>
    <address r:id="rId1890"/>
    <blip r:id="rId1891"/>
  </webImageSrd>
  <webImageSrd>
    <address r:id="rId1892"/>
    <blip r:id="rId1893"/>
  </webImageSrd>
  <webImageSrd>
    <address r:id="rId1894"/>
    <blip r:id="rId1895"/>
  </webImageSrd>
  <webImageSrd>
    <address r:id="rId1896"/>
    <blip r:id="rId1897"/>
  </webImageSrd>
  <webImageSrd>
    <address r:id="rId1898"/>
    <blip r:id="rId1899"/>
  </webImageSrd>
  <webImageSrd>
    <address r:id="rId1900"/>
    <blip r:id="rId1901"/>
  </webImageSrd>
  <webImageSrd>
    <address r:id="rId1902"/>
    <blip r:id="rId1903"/>
  </webImageSrd>
  <webImageSrd>
    <address r:id="rId1904"/>
    <blip r:id="rId1905"/>
  </webImageSrd>
  <webImageSrd>
    <address r:id="rId1906"/>
    <blip r:id="rId1907"/>
  </webImageSrd>
  <webImageSrd>
    <address r:id="rId1908"/>
    <blip r:id="rId1909"/>
  </webImageSrd>
  <webImageSrd>
    <address r:id="rId1910"/>
    <blip r:id="rId1911"/>
  </webImageSrd>
  <webImageSrd>
    <address r:id="rId1912"/>
    <blip r:id="rId1913"/>
  </webImageSrd>
  <webImageSrd>
    <address r:id="rId1914"/>
    <blip r:id="rId1915"/>
  </webImageSrd>
  <webImageSrd>
    <address r:id="rId1916"/>
    <blip r:id="rId1917"/>
  </webImageSrd>
  <webImageSrd>
    <address r:id="rId1918"/>
    <blip r:id="rId1919"/>
  </webImageSrd>
  <webImageSrd>
    <address r:id="rId1920"/>
    <blip r:id="rId1921"/>
  </webImageSrd>
  <webImageSrd>
    <address r:id="rId1922"/>
    <blip r:id="rId1923"/>
  </webImageSrd>
  <webImageSrd>
    <address r:id="rId1924"/>
    <blip r:id="rId1925"/>
  </webImageSrd>
  <webImageSrd>
    <address r:id="rId1926"/>
    <blip r:id="rId1927"/>
  </webImageSrd>
  <webImageSrd>
    <address r:id="rId1928"/>
    <blip r:id="rId1929"/>
  </webImageSrd>
  <webImageSrd>
    <address r:id="rId1930"/>
    <blip r:id="rId1931"/>
  </webImageSrd>
  <webImageSrd>
    <address r:id="rId1932"/>
    <blip r:id="rId1933"/>
  </webImageSrd>
  <webImageSrd>
    <address r:id="rId1934"/>
    <blip r:id="rId1935"/>
  </webImageSrd>
  <webImageSrd>
    <address r:id="rId1936"/>
    <blip r:id="rId1937"/>
  </webImageSrd>
  <webImageSrd>
    <address r:id="rId1938"/>
    <blip r:id="rId1939"/>
  </webImageSrd>
  <webImageSrd>
    <address r:id="rId1940"/>
    <blip r:id="rId1941"/>
  </webImageSrd>
  <webImageSrd>
    <address r:id="rId1942"/>
    <blip r:id="rId1943"/>
  </webImageSrd>
  <webImageSrd>
    <address r:id="rId1944"/>
    <blip r:id="rId1945"/>
  </webImageSrd>
  <webImageSrd>
    <address r:id="rId1946"/>
    <blip r:id="rId1947"/>
  </webImageSrd>
  <webImageSrd>
    <address r:id="rId1948"/>
    <blip r:id="rId1949"/>
  </webImageSrd>
  <webImageSrd>
    <address r:id="rId1950"/>
    <blip r:id="rId1951"/>
  </webImageSrd>
  <webImageSrd>
    <address r:id="rId1952"/>
    <blip r:id="rId1953"/>
  </webImageSrd>
  <webImageSrd>
    <address r:id="rId1954"/>
    <blip r:id="rId1955"/>
  </webImageSrd>
  <webImageSrd>
    <address r:id="rId1956"/>
    <blip r:id="rId1957"/>
  </webImageSrd>
  <webImageSrd>
    <address r:id="rId1958"/>
    <blip r:id="rId1959"/>
  </webImageSrd>
  <webImageSrd>
    <address r:id="rId1960"/>
    <blip r:id="rId1961"/>
  </webImageSrd>
  <webImageSrd>
    <address r:id="rId1962"/>
    <blip r:id="rId1963"/>
  </webImageSrd>
  <webImageSrd>
    <address r:id="rId1964"/>
    <blip r:id="rId1965"/>
  </webImageSrd>
  <webImageSrd>
    <address r:id="rId1966"/>
    <blip r:id="rId1967"/>
  </webImageSrd>
  <webImageSrd>
    <address r:id="rId1968"/>
    <blip r:id="rId1969"/>
  </webImageSrd>
  <webImageSrd>
    <address r:id="rId1970"/>
    <blip r:id="rId1971"/>
  </webImageSrd>
  <webImageSrd>
    <address r:id="rId1972"/>
    <blip r:id="rId1973"/>
  </webImageSrd>
  <webImageSrd>
    <address r:id="rId1974"/>
    <blip r:id="rId1975"/>
  </webImageSrd>
  <webImageSrd>
    <address r:id="rId1976"/>
    <blip r:id="rId1977"/>
  </webImageSrd>
  <webImageSrd>
    <address r:id="rId1978"/>
    <blip r:id="rId1979"/>
  </webImageSrd>
  <webImageSrd>
    <address r:id="rId1980"/>
    <blip r:id="rId1981"/>
  </webImageSrd>
  <webImageSrd>
    <address r:id="rId1982"/>
    <blip r:id="rId1983"/>
  </webImageSrd>
  <webImageSrd>
    <address r:id="rId1984"/>
    <blip r:id="rId1985"/>
  </webImageSrd>
  <webImageSrd>
    <address r:id="rId1986"/>
    <blip r:id="rId1987"/>
  </webImageSrd>
  <webImageSrd>
    <address r:id="rId1988"/>
    <blip r:id="rId1989"/>
  </webImageSrd>
  <webImageSrd>
    <address r:id="rId1990"/>
    <blip r:id="rId1991"/>
  </webImageSrd>
  <webImageSrd>
    <address r:id="rId1992"/>
    <blip r:id="rId1993"/>
  </webImageSrd>
  <webImageSrd>
    <address r:id="rId1994"/>
    <blip r:id="rId1995"/>
  </webImageSrd>
  <webImageSrd>
    <address r:id="rId1996"/>
    <blip r:id="rId1997"/>
  </webImageSrd>
  <webImageSrd>
    <address r:id="rId1998"/>
    <blip r:id="rId1999"/>
  </webImageSrd>
  <webImageSrd>
    <address r:id="rId2000"/>
    <blip r:id="rId2001"/>
  </webImageSrd>
  <webImageSrd>
    <address r:id="rId2002"/>
    <blip r:id="rId2003"/>
  </webImageSrd>
  <webImageSrd>
    <address r:id="rId2004"/>
    <blip r:id="rId2005"/>
  </webImageSrd>
  <webImageSrd>
    <address r:id="rId2006"/>
    <blip r:id="rId2007"/>
  </webImageSrd>
  <webImageSrd>
    <address r:id="rId2008"/>
    <blip r:id="rId2009"/>
  </webImageSrd>
  <webImageSrd>
    <address r:id="rId2010"/>
    <blip r:id="rId2011"/>
  </webImageSrd>
  <webImageSrd>
    <address r:id="rId2012"/>
    <blip r:id="rId2013"/>
  </webImageSrd>
  <webImageSrd>
    <address r:id="rId2014"/>
    <blip r:id="rId2015"/>
  </webImageSrd>
  <webImageSrd>
    <address r:id="rId2016"/>
    <blip r:id="rId2017"/>
  </webImageSrd>
  <webImageSrd>
    <address r:id="rId2018"/>
    <blip r:id="rId2019"/>
  </webImageSrd>
  <webImageSrd>
    <address r:id="rId2020"/>
    <blip r:id="rId2021"/>
  </webImageSrd>
  <webImageSrd>
    <address r:id="rId2022"/>
    <blip r:id="rId2023"/>
  </webImageSrd>
  <webImageSrd>
    <address r:id="rId2024"/>
    <blip r:id="rId2025"/>
  </webImageSrd>
  <webImageSrd>
    <address r:id="rId2026"/>
    <blip r:id="rId2027"/>
  </webImageSrd>
  <webImageSrd>
    <address r:id="rId2028"/>
    <blip r:id="rId2029"/>
  </webImageSrd>
  <webImageSrd>
    <address r:id="rId2030"/>
    <blip r:id="rId2031"/>
  </webImageSrd>
  <webImageSrd>
    <address r:id="rId2032"/>
    <blip r:id="rId2033"/>
  </webImageSrd>
  <webImageSrd>
    <address r:id="rId2034"/>
    <blip r:id="rId2035"/>
  </webImageSrd>
  <webImageSrd>
    <address r:id="rId2036"/>
    <blip r:id="rId2037"/>
  </webImageSrd>
  <webImageSrd>
    <address r:id="rId2038"/>
    <blip r:id="rId2039"/>
  </webImageSrd>
  <webImageSrd>
    <address r:id="rId2040"/>
    <blip r:id="rId2041"/>
  </webImageSrd>
  <webImageSrd>
    <address r:id="rId2042"/>
    <blip r:id="rId2043"/>
  </webImageSrd>
  <webImageSrd>
    <address r:id="rId2044"/>
    <blip r:id="rId2045"/>
  </webImageSrd>
  <webImageSrd>
    <address r:id="rId2046"/>
    <blip r:id="rId2047"/>
  </webImageSrd>
  <webImageSrd>
    <address r:id="rId2048"/>
    <blip r:id="rId2049"/>
  </webImageSrd>
  <webImageSrd>
    <address r:id="rId2050"/>
    <blip r:id="rId2051"/>
  </webImageSrd>
  <webImageSrd>
    <address r:id="rId2052"/>
    <blip r:id="rId2053"/>
  </webImageSrd>
  <webImageSrd>
    <address r:id="rId2054"/>
    <blip r:id="rId2055"/>
  </webImageSrd>
  <webImageSrd>
    <address r:id="rId2056"/>
    <blip r:id="rId2057"/>
  </webImageSrd>
  <webImageSrd>
    <address r:id="rId2058"/>
    <blip r:id="rId2059"/>
  </webImageSrd>
  <webImageSrd>
    <address r:id="rId2060"/>
    <blip r:id="rId2061"/>
  </webImageSrd>
  <webImageSrd>
    <address r:id="rId2062"/>
    <blip r:id="rId2063"/>
  </webImageSrd>
  <webImageSrd>
    <address r:id="rId2064"/>
    <blip r:id="rId2065"/>
  </webImageSrd>
  <webImageSrd>
    <address r:id="rId2066"/>
    <blip r:id="rId2067"/>
  </webImageSrd>
  <webImageSrd>
    <address r:id="rId2068"/>
    <blip r:id="rId2069"/>
  </webImageSrd>
  <webImageSrd>
    <address r:id="rId2070"/>
    <blip r:id="rId2071"/>
  </webImageSrd>
  <webImageSrd>
    <address r:id="rId2072"/>
    <blip r:id="rId2073"/>
  </webImageSrd>
  <webImageSrd>
    <address r:id="rId2074"/>
    <blip r:id="rId2075"/>
  </webImageSrd>
  <webImageSrd>
    <address r:id="rId2076"/>
    <blip r:id="rId2077"/>
  </webImageSrd>
  <webImageSrd>
    <address r:id="rId2078"/>
    <blip r:id="rId2079"/>
  </webImageSrd>
  <webImageSrd>
    <address r:id="rId2080"/>
    <blip r:id="rId2081"/>
  </webImageSrd>
  <webImageSrd>
    <address r:id="rId2082"/>
    <blip r:id="rId2083"/>
  </webImageSrd>
  <webImageSrd>
    <address r:id="rId2084"/>
    <blip r:id="rId2085"/>
  </webImageSrd>
  <webImageSrd>
    <address r:id="rId2086"/>
    <blip r:id="rId2087"/>
  </webImageSrd>
  <webImageSrd>
    <address r:id="rId2088"/>
    <blip r:id="rId2089"/>
  </webImageSrd>
  <webImageSrd>
    <address r:id="rId2090"/>
    <blip r:id="rId2091"/>
  </webImageSrd>
  <webImageSrd>
    <address r:id="rId2092"/>
    <blip r:id="rId2093"/>
  </webImageSrd>
  <webImageSrd>
    <address r:id="rId2094"/>
    <blip r:id="rId2095"/>
  </webImageSrd>
  <webImageSrd>
    <address r:id="rId2096"/>
    <blip r:id="rId2097"/>
  </webImageSrd>
  <webImageSrd>
    <address r:id="rId2098"/>
    <blip r:id="rId2099"/>
  </webImageSrd>
  <webImageSrd>
    <address r:id="rId2100"/>
    <blip r:id="rId2101"/>
  </webImageSrd>
  <webImageSrd>
    <address r:id="rId2102"/>
    <blip r:id="rId2103"/>
  </webImageSrd>
  <webImageSrd>
    <address r:id="rId2104"/>
    <blip r:id="rId2105"/>
  </webImageSrd>
  <webImageSrd>
    <address r:id="rId2106"/>
    <blip r:id="rId2107"/>
  </webImageSrd>
  <webImageSrd>
    <address r:id="rId2108"/>
    <blip r:id="rId2109"/>
  </webImageSrd>
  <webImageSrd>
    <address r:id="rId2110"/>
    <blip r:id="rId2111"/>
  </webImageSrd>
  <webImageSrd>
    <address r:id="rId2112"/>
    <blip r:id="rId2113"/>
  </webImageSrd>
  <webImageSrd>
    <address r:id="rId2114"/>
    <blip r:id="rId2115"/>
  </webImageSrd>
  <webImageSrd>
    <address r:id="rId2116"/>
    <blip r:id="rId2117"/>
  </webImageSrd>
  <webImageSrd>
    <address r:id="rId2118"/>
    <blip r:id="rId2119"/>
  </webImageSrd>
  <webImageSrd>
    <address r:id="rId2120"/>
    <blip r:id="rId2121"/>
  </webImageSrd>
  <webImageSrd>
    <address r:id="rId2122"/>
    <blip r:id="rId2123"/>
  </webImageSrd>
  <webImageSrd>
    <address r:id="rId2124"/>
    <blip r:id="rId2125"/>
  </webImageSrd>
  <webImageSrd>
    <address r:id="rId2126"/>
    <blip r:id="rId2127"/>
  </webImageSrd>
  <webImageSrd>
    <address r:id="rId2128"/>
    <blip r:id="rId2129"/>
  </webImageSrd>
  <webImageSrd>
    <address r:id="rId2130"/>
    <blip r:id="rId2131"/>
  </webImageSrd>
  <webImageSrd>
    <address r:id="rId2132"/>
    <blip r:id="rId2133"/>
  </webImageSrd>
  <webImageSrd>
    <address r:id="rId2134"/>
    <blip r:id="rId2135"/>
  </webImageSrd>
  <webImageSrd>
    <address r:id="rId2136"/>
    <blip r:id="rId2137"/>
  </webImageSrd>
  <webImageSrd>
    <address r:id="rId2138"/>
    <blip r:id="rId2139"/>
  </webImageSrd>
  <webImageSrd>
    <address r:id="rId2140"/>
    <blip r:id="rId2141"/>
  </webImageSrd>
  <webImageSrd>
    <address r:id="rId2142"/>
    <blip r:id="rId2143"/>
  </webImageSrd>
  <webImageSrd>
    <address r:id="rId2144"/>
    <blip r:id="rId2145"/>
  </webImageSrd>
  <webImageSrd>
    <address r:id="rId2146"/>
    <blip r:id="rId2147"/>
  </webImageSrd>
  <webImageSrd>
    <address r:id="rId2148"/>
    <blip r:id="rId2149"/>
  </webImageSrd>
  <webImageSrd>
    <address r:id="rId2150"/>
    <blip r:id="rId2151"/>
  </webImageSrd>
  <webImageSrd>
    <address r:id="rId2152"/>
    <blip r:id="rId2153"/>
  </webImageSrd>
  <webImageSrd>
    <address r:id="rId2154"/>
    <blip r:id="rId2155"/>
  </webImageSrd>
  <webImageSrd>
    <address r:id="rId2156"/>
    <blip r:id="rId2157"/>
  </webImageSrd>
  <webImageSrd>
    <address r:id="rId2158"/>
    <blip r:id="rId2159"/>
  </webImageSrd>
  <webImageSrd>
    <address r:id="rId2160"/>
    <blip r:id="rId2161"/>
  </webImageSrd>
  <webImageSrd>
    <address r:id="rId2162"/>
    <blip r:id="rId2163"/>
  </webImageSrd>
  <webImageSrd>
    <address r:id="rId2164"/>
    <blip r:id="rId2165"/>
  </webImageSrd>
  <webImageSrd>
    <address r:id="rId2166"/>
    <blip r:id="rId2167"/>
  </webImageSrd>
  <webImageSrd>
    <address r:id="rId2168"/>
    <blip r:id="rId2169"/>
  </webImageSrd>
  <webImageSrd>
    <address r:id="rId2170"/>
    <blip r:id="rId2171"/>
  </webImageSrd>
  <webImageSrd>
    <address r:id="rId2172"/>
    <blip r:id="rId2173"/>
  </webImageSrd>
  <webImageSrd>
    <address r:id="rId2174"/>
    <blip r:id="rId2175"/>
  </webImageSrd>
  <webImageSrd>
    <address r:id="rId2176"/>
    <blip r:id="rId2177"/>
  </webImageSrd>
  <webImageSrd>
    <address r:id="rId2178"/>
    <blip r:id="rId2179"/>
  </webImageSrd>
  <webImageSrd>
    <address r:id="rId2180"/>
    <blip r:id="rId2181"/>
  </webImageSrd>
  <webImageSrd>
    <address r:id="rId2182"/>
    <blip r:id="rId2183"/>
  </webImageSrd>
  <webImageSrd>
    <address r:id="rId2184"/>
    <blip r:id="rId2185"/>
  </webImageSrd>
  <webImageSrd>
    <address r:id="rId2186"/>
    <blip r:id="rId2187"/>
  </webImageSrd>
  <webImageSrd>
    <address r:id="rId2188"/>
    <blip r:id="rId2189"/>
  </webImageSrd>
  <webImageSrd>
    <address r:id="rId2190"/>
    <blip r:id="rId2191"/>
  </webImageSrd>
  <webImageSrd>
    <address r:id="rId2192"/>
    <blip r:id="rId2193"/>
  </webImageSrd>
  <webImageSrd>
    <address r:id="rId2194"/>
    <blip r:id="rId2195"/>
  </webImageSrd>
  <webImageSrd>
    <address r:id="rId2196"/>
    <blip r:id="rId2197"/>
  </webImageSrd>
  <webImageSrd>
    <address r:id="rId2198"/>
    <blip r:id="rId2199"/>
  </webImageSrd>
  <webImageSrd>
    <address r:id="rId2200"/>
    <blip r:id="rId2201"/>
  </webImageSrd>
  <webImageSrd>
    <address r:id="rId2202"/>
    <blip r:id="rId2203"/>
  </webImageSrd>
  <webImageSrd>
    <address r:id="rId2204"/>
    <blip r:id="rId2205"/>
  </webImageSrd>
  <webImageSrd>
    <address r:id="rId2206"/>
    <blip r:id="rId2207"/>
  </webImageSrd>
  <webImageSrd>
    <address r:id="rId2208"/>
    <blip r:id="rId2209"/>
  </webImageSrd>
  <webImageSrd>
    <address r:id="rId2210"/>
    <blip r:id="rId2211"/>
  </webImageSrd>
  <webImageSrd>
    <address r:id="rId2212"/>
    <blip r:id="rId2213"/>
  </webImageSrd>
  <webImageSrd>
    <address r:id="rId2214"/>
    <blip r:id="rId2215"/>
  </webImageSrd>
  <webImageSrd>
    <address r:id="rId2216"/>
    <blip r:id="rId2217"/>
  </webImageSrd>
  <webImageSrd>
    <address r:id="rId2218"/>
    <blip r:id="rId2219"/>
  </webImageSrd>
  <webImageSrd>
    <address r:id="rId2220"/>
    <blip r:id="rId2221"/>
  </webImageSrd>
  <webImageSrd>
    <address r:id="rId2222"/>
    <blip r:id="rId2223"/>
  </webImageSrd>
  <webImageSrd>
    <address r:id="rId2224"/>
    <blip r:id="rId2225"/>
  </webImageSrd>
  <webImageSrd>
    <address r:id="rId2226"/>
    <blip r:id="rId2227"/>
  </webImageSrd>
  <webImageSrd>
    <address r:id="rId2228"/>
    <blip r:id="rId2229"/>
  </webImageSrd>
  <webImageSrd>
    <address r:id="rId2230"/>
    <blip r:id="rId2231"/>
  </webImageSrd>
  <webImageSrd>
    <address r:id="rId2232"/>
    <blip r:id="rId2233"/>
  </webImageSrd>
  <webImageSrd>
    <address r:id="rId2234"/>
    <blip r:id="rId2235"/>
  </webImageSrd>
  <webImageSrd>
    <address r:id="rId2236"/>
    <blip r:id="rId2237"/>
  </webImageSrd>
  <webImageSrd>
    <address r:id="rId2238"/>
    <blip r:id="rId2239"/>
  </webImageSrd>
  <webImageSrd>
    <address r:id="rId2240"/>
    <blip r:id="rId2241"/>
  </webImageSrd>
  <webImageSrd>
    <address r:id="rId2242"/>
    <blip r:id="rId2243"/>
  </webImageSrd>
  <webImageSrd>
    <address r:id="rId2244"/>
    <blip r:id="rId2245"/>
  </webImageSrd>
  <webImageSrd>
    <address r:id="rId2246"/>
    <blip r:id="rId2247"/>
  </webImageSrd>
  <webImageSrd>
    <address r:id="rId2248"/>
    <blip r:id="rId2249"/>
  </webImageSrd>
  <webImageSrd>
    <address r:id="rId2250"/>
    <blip r:id="rId2251"/>
  </webImageSrd>
  <webImageSrd>
    <address r:id="rId2252"/>
    <blip r:id="rId2253"/>
  </webImageSrd>
  <webImageSrd>
    <address r:id="rId2254"/>
    <blip r:id="rId2255"/>
  </webImageSrd>
  <webImageSrd>
    <address r:id="rId2256"/>
    <blip r:id="rId2257"/>
  </webImageSrd>
  <webImageSrd>
    <address r:id="rId2258"/>
    <blip r:id="rId2259"/>
  </webImageSrd>
  <webImageSrd>
    <address r:id="rId2260"/>
    <blip r:id="rId2261"/>
  </webImageSrd>
  <webImageSrd>
    <address r:id="rId2262"/>
    <blip r:id="rId2263"/>
  </webImageSrd>
  <webImageSrd>
    <address r:id="rId2264"/>
    <blip r:id="rId2265"/>
  </webImageSrd>
  <webImageSrd>
    <address r:id="rId2266"/>
    <blip r:id="rId2267"/>
  </webImageSrd>
  <webImageSrd>
    <address r:id="rId2268"/>
    <blip r:id="rId2269"/>
  </webImageSrd>
  <webImageSrd>
    <address r:id="rId2270"/>
    <blip r:id="rId2271"/>
  </webImageSrd>
  <webImageSrd>
    <address r:id="rId2272"/>
    <blip r:id="rId2273"/>
  </webImageSrd>
  <webImageSrd>
    <address r:id="rId2274"/>
    <blip r:id="rId2275"/>
  </webImageSrd>
  <webImageSrd>
    <address r:id="rId2276"/>
    <blip r:id="rId2277"/>
  </webImageSrd>
  <webImageSrd>
    <address r:id="rId2278"/>
    <blip r:id="rId2279"/>
  </webImageSrd>
  <webImageSrd>
    <address r:id="rId2280"/>
    <blip r:id="rId2281"/>
  </webImageSrd>
  <webImageSrd>
    <address r:id="rId2282"/>
    <blip r:id="rId2283"/>
  </webImageSrd>
  <webImageSrd>
    <address r:id="rId2284"/>
    <blip r:id="rId2285"/>
  </webImageSrd>
  <webImageSrd>
    <address r:id="rId2286"/>
    <blip r:id="rId2287"/>
  </webImageSrd>
  <webImageSrd>
    <address r:id="rId2288"/>
    <blip r:id="rId2289"/>
  </webImageSrd>
  <webImageSrd>
    <address r:id="rId2290"/>
    <blip r:id="rId2291"/>
  </webImageSrd>
  <webImageSrd>
    <address r:id="rId2292"/>
    <blip r:id="rId2293"/>
  </webImageSrd>
  <webImageSrd>
    <address r:id="rId2294"/>
    <blip r:id="rId2295"/>
  </webImageSrd>
  <webImageSrd>
    <address r:id="rId2296"/>
    <blip r:id="rId2297"/>
  </webImageSrd>
  <webImageSrd>
    <address r:id="rId2298"/>
    <blip r:id="rId2299"/>
  </webImageSrd>
  <webImageSrd>
    <address r:id="rId2300"/>
    <blip r:id="rId2301"/>
  </webImageSrd>
  <webImageSrd>
    <address r:id="rId2302"/>
    <blip r:id="rId2303"/>
  </webImageSrd>
  <webImageSrd>
    <address r:id="rId2304"/>
    <blip r:id="rId2305"/>
  </webImageSrd>
  <webImageSrd>
    <address r:id="rId2306"/>
    <blip r:id="rId2307"/>
  </webImageSrd>
  <webImageSrd>
    <address r:id="rId2308"/>
    <blip r:id="rId2309"/>
  </webImageSrd>
  <webImageSrd>
    <address r:id="rId2310"/>
    <blip r:id="rId2311"/>
  </webImageSrd>
  <webImageSrd>
    <address r:id="rId2312"/>
    <blip r:id="rId2313"/>
  </webImageSrd>
  <webImageSrd>
    <address r:id="rId2314"/>
    <blip r:id="rId2315"/>
  </webImageSrd>
  <webImageSrd>
    <address r:id="rId2316"/>
    <blip r:id="rId2317"/>
  </webImageSrd>
  <webImageSrd>
    <address r:id="rId2318"/>
    <blip r:id="rId2319"/>
  </webImageSrd>
  <webImageSrd>
    <address r:id="rId2320"/>
    <blip r:id="rId2321"/>
  </webImageSrd>
  <webImageSrd>
    <address r:id="rId2322"/>
    <blip r:id="rId2323"/>
  </webImageSrd>
  <webImageSrd>
    <address r:id="rId2324"/>
    <blip r:id="rId2325"/>
  </webImageSrd>
  <webImageSrd>
    <address r:id="rId2326"/>
    <blip r:id="rId2327"/>
  </webImageSrd>
  <webImageSrd>
    <address r:id="rId2328"/>
    <blip r:id="rId2329"/>
  </webImageSrd>
  <webImageSrd>
    <address r:id="rId2330"/>
    <blip r:id="rId2331"/>
  </webImageSrd>
  <webImageSrd>
    <address r:id="rId2332"/>
    <blip r:id="rId2333"/>
  </webImageSrd>
  <webImageSrd>
    <address r:id="rId2334"/>
    <blip r:id="rId2335"/>
  </webImageSrd>
  <webImageSrd>
    <address r:id="rId2336"/>
    <blip r:id="rId2337"/>
  </webImageSrd>
  <webImageSrd>
    <address r:id="rId2338"/>
    <blip r:id="rId2339"/>
  </webImageSrd>
  <webImageSrd>
    <address r:id="rId2340"/>
    <blip r:id="rId2341"/>
  </webImageSrd>
  <webImageSrd>
    <address r:id="rId2342"/>
    <blip r:id="rId2343"/>
  </webImageSrd>
  <webImageSrd>
    <address r:id="rId2344"/>
    <blip r:id="rId2345"/>
  </webImageSrd>
  <webImageSrd>
    <address r:id="rId2346"/>
    <blip r:id="rId2347"/>
  </webImageSrd>
  <webImageSrd>
    <address r:id="rId2348"/>
    <blip r:id="rId2349"/>
  </webImageSrd>
  <webImageSrd>
    <address r:id="rId2350"/>
    <blip r:id="rId2351"/>
  </webImageSrd>
  <webImageSrd>
    <address r:id="rId2352"/>
    <blip r:id="rId2353"/>
  </webImageSrd>
  <webImageSrd>
    <address r:id="rId2354"/>
    <blip r:id="rId2355"/>
  </webImageSrd>
  <webImageSrd>
    <address r:id="rId2356"/>
    <blip r:id="rId2357"/>
  </webImageSrd>
  <webImageSrd>
    <address r:id="rId2358"/>
    <blip r:id="rId2359"/>
  </webImageSrd>
  <webImageSrd>
    <address r:id="rId2360"/>
    <blip r:id="rId2361"/>
  </webImageSrd>
  <webImageSrd>
    <address r:id="rId2362"/>
    <blip r:id="rId2363"/>
  </webImageSrd>
  <webImageSrd>
    <address r:id="rId2364"/>
    <blip r:id="rId2365"/>
  </webImageSrd>
  <webImageSrd>
    <address r:id="rId2366"/>
    <blip r:id="rId2367"/>
  </webImageSrd>
  <webImageSrd>
    <address r:id="rId2368"/>
    <blip r:id="rId2369"/>
  </webImageSrd>
  <webImageSrd>
    <address r:id="rId2370"/>
    <blip r:id="rId2371"/>
  </webImageSrd>
  <webImageSrd>
    <address r:id="rId2372"/>
    <blip r:id="rId2373"/>
  </webImageSrd>
  <webImageSrd>
    <address r:id="rId2374"/>
    <blip r:id="rId2375"/>
  </webImageSrd>
  <webImageSrd>
    <address r:id="rId2376"/>
    <blip r:id="rId2377"/>
  </webImageSrd>
  <webImageSrd>
    <address r:id="rId2378"/>
    <blip r:id="rId2379"/>
  </webImageSrd>
  <webImageSrd>
    <address r:id="rId2380"/>
    <blip r:id="rId2381"/>
  </webImageSrd>
  <webImageSrd>
    <address r:id="rId2382"/>
    <blip r:id="rId2383"/>
  </webImageSrd>
  <webImageSrd>
    <address r:id="rId2384"/>
    <blip r:id="rId2385"/>
  </webImageSrd>
  <webImageSrd>
    <address r:id="rId2386"/>
    <blip r:id="rId2387"/>
  </webImageSrd>
  <webImageSrd>
    <address r:id="rId2388"/>
    <blip r:id="rId2389"/>
  </webImageSrd>
  <webImageSrd>
    <address r:id="rId2390"/>
    <blip r:id="rId2391"/>
  </webImageSrd>
  <webImageSrd>
    <address r:id="rId2392"/>
    <blip r:id="rId2393"/>
  </webImageSrd>
  <webImageSrd>
    <address r:id="rId2394"/>
    <blip r:id="rId2395"/>
  </webImageSrd>
  <webImageSrd>
    <address r:id="rId2396"/>
    <blip r:id="rId2397"/>
  </webImageSrd>
  <webImageSrd>
    <address r:id="rId2398"/>
    <blip r:id="rId2399"/>
  </webImageSrd>
  <webImageSrd>
    <address r:id="rId2400"/>
    <blip r:id="rId2401"/>
  </webImageSrd>
  <webImageSrd>
    <address r:id="rId2402"/>
    <blip r:id="rId2403"/>
  </webImageSrd>
  <webImageSrd>
    <address r:id="rId2404"/>
    <blip r:id="rId2405"/>
  </webImageSrd>
  <webImageSrd>
    <address r:id="rId2406"/>
    <blip r:id="rId2407"/>
  </webImageSrd>
  <webImageSrd>
    <address r:id="rId2408"/>
    <blip r:id="rId2409"/>
  </webImageSrd>
  <webImageSrd>
    <address r:id="rId2410"/>
    <blip r:id="rId2411"/>
  </webImageSrd>
  <webImageSrd>
    <address r:id="rId2412"/>
    <blip r:id="rId2413"/>
  </webImageSrd>
  <webImageSrd>
    <address r:id="rId2414"/>
    <blip r:id="rId2415"/>
  </webImageSrd>
  <webImageSrd>
    <address r:id="rId2416"/>
    <blip r:id="rId2417"/>
  </webImageSrd>
  <webImageSrd>
    <address r:id="rId2418"/>
    <blip r:id="rId2419"/>
  </webImageSrd>
  <webImageSrd>
    <address r:id="rId2420"/>
    <blip r:id="rId2421"/>
  </webImageSrd>
  <webImageSrd>
    <address r:id="rId2422"/>
    <blip r:id="rId2423"/>
  </webImageSrd>
  <webImageSrd>
    <address r:id="rId2424"/>
    <blip r:id="rId2425"/>
  </webImageSrd>
  <webImageSrd>
    <address r:id="rId2426"/>
    <blip r:id="rId2427"/>
  </webImageSrd>
  <webImageSrd>
    <address r:id="rId2428"/>
    <blip r:id="rId2429"/>
  </webImageSrd>
  <webImageSrd>
    <address r:id="rId2430"/>
    <blip r:id="rId2431"/>
  </webImageSrd>
  <webImageSrd>
    <address r:id="rId2432"/>
    <blip r:id="rId2433"/>
  </webImageSrd>
  <webImageSrd>
    <address r:id="rId2434"/>
    <blip r:id="rId2435"/>
  </webImageSrd>
  <webImageSrd>
    <address r:id="rId2436"/>
    <blip r:id="rId2437"/>
  </webImageSrd>
  <webImageSrd>
    <address r:id="rId2438"/>
    <blip r:id="rId2439"/>
  </webImageSrd>
  <webImageSrd>
    <address r:id="rId2440"/>
    <blip r:id="rId2441"/>
  </webImageSrd>
  <webImageSrd>
    <address r:id="rId2442"/>
    <blip r:id="rId2443"/>
  </webImageSrd>
  <webImageSrd>
    <address r:id="rId2444"/>
    <blip r:id="rId2445"/>
  </webImageSrd>
  <webImageSrd>
    <address r:id="rId2446"/>
    <blip r:id="rId2447"/>
  </webImageSrd>
  <webImageSrd>
    <address r:id="rId2448"/>
    <blip r:id="rId2449"/>
  </webImageSrd>
  <webImageSrd>
    <address r:id="rId2450"/>
    <blip r:id="rId2451"/>
  </webImageSrd>
  <webImageSrd>
    <address r:id="rId2452"/>
    <blip r:id="rId2453"/>
  </webImageSrd>
  <webImageSrd>
    <address r:id="rId2454"/>
    <blip r:id="rId2455"/>
  </webImageSrd>
  <webImageSrd>
    <address r:id="rId2456"/>
    <blip r:id="rId2457"/>
  </webImageSrd>
  <webImageSrd>
    <address r:id="rId2458"/>
    <blip r:id="rId2459"/>
  </webImageSrd>
  <webImageSrd>
    <address r:id="rId2460"/>
    <blip r:id="rId2461"/>
  </webImageSrd>
  <webImageSrd>
    <address r:id="rId2462"/>
    <blip r:id="rId2463"/>
  </webImageSrd>
  <webImageSrd>
    <address r:id="rId2464"/>
    <blip r:id="rId2465"/>
  </webImageSrd>
  <webImageSrd>
    <address r:id="rId2466"/>
    <blip r:id="rId2467"/>
  </webImageSrd>
  <webImageSrd>
    <address r:id="rId2468"/>
    <blip r:id="rId2469"/>
  </webImageSrd>
  <webImageSrd>
    <address r:id="rId2470"/>
    <blip r:id="rId2471"/>
  </webImageSrd>
  <webImageSrd>
    <address r:id="rId2472"/>
    <blip r:id="rId2473"/>
  </webImageSrd>
  <webImageSrd>
    <address r:id="rId2474"/>
    <blip r:id="rId2475"/>
  </webImageSrd>
  <webImageSrd>
    <address r:id="rId2476"/>
    <blip r:id="rId2477"/>
  </webImageSrd>
  <webImageSrd>
    <address r:id="rId2478"/>
    <blip r:id="rId2479"/>
  </webImageSrd>
  <webImageSrd>
    <address r:id="rId2480"/>
    <blip r:id="rId2481"/>
  </webImageSrd>
  <webImageSrd>
    <address r:id="rId2482"/>
    <blip r:id="rId2483"/>
  </webImageSrd>
  <webImageSrd>
    <address r:id="rId2484"/>
    <blip r:id="rId2485"/>
  </webImageSrd>
  <webImageSrd>
    <address r:id="rId2486"/>
    <blip r:id="rId2487"/>
  </webImageSrd>
  <webImageSrd>
    <address r:id="rId2488"/>
    <blip r:id="rId2489"/>
  </webImageSrd>
  <webImageSrd>
    <address r:id="rId2490"/>
    <blip r:id="rId2491"/>
  </webImageSrd>
  <webImageSrd>
    <address r:id="rId2492"/>
    <blip r:id="rId2493"/>
  </webImageSrd>
  <webImageSrd>
    <address r:id="rId2494"/>
    <blip r:id="rId2495"/>
  </webImageSrd>
  <webImageSrd>
    <address r:id="rId2496"/>
    <blip r:id="rId2497"/>
  </webImageSrd>
  <webImageSrd>
    <address r:id="rId2498"/>
    <blip r:id="rId2499"/>
  </webImageSrd>
  <webImageSrd>
    <address r:id="rId2500"/>
    <blip r:id="rId2501"/>
  </webImageSrd>
  <webImageSrd>
    <address r:id="rId2502"/>
    <blip r:id="rId2503"/>
  </webImageSrd>
  <webImageSrd>
    <address r:id="rId2504"/>
    <blip r:id="rId2505"/>
  </webImageSrd>
  <webImageSrd>
    <address r:id="rId2506"/>
    <blip r:id="rId2507"/>
  </webImageSrd>
  <webImageSrd>
    <address r:id="rId2508"/>
    <blip r:id="rId2509"/>
  </webImageSrd>
  <webImageSrd>
    <address r:id="rId2510"/>
    <blip r:id="rId2511"/>
  </webImageSrd>
  <webImageSrd>
    <address r:id="rId2512"/>
    <blip r:id="rId2513"/>
  </webImageSrd>
  <webImageSrd>
    <address r:id="rId2514"/>
    <blip r:id="rId2515"/>
  </webImageSrd>
  <webImageSrd>
    <address r:id="rId2516"/>
    <blip r:id="rId2517"/>
  </webImageSrd>
  <webImageSrd>
    <address r:id="rId2518"/>
    <blip r:id="rId2519"/>
  </webImageSrd>
  <webImageSrd>
    <address r:id="rId2520"/>
    <blip r:id="rId2521"/>
  </webImageSrd>
  <webImageSrd>
    <address r:id="rId2522"/>
    <blip r:id="rId2523"/>
  </webImageSrd>
  <webImageSrd>
    <address r:id="rId2524"/>
    <blip r:id="rId2525"/>
  </webImageSrd>
  <webImageSrd>
    <address r:id="rId2526"/>
    <blip r:id="rId2527"/>
  </webImageSrd>
  <webImageSrd>
    <address r:id="rId2528"/>
    <blip r:id="rId2529"/>
  </webImageSrd>
  <webImageSrd>
    <address r:id="rId2530"/>
    <blip r:id="rId2531"/>
  </webImageSrd>
  <webImageSrd>
    <address r:id="rId2532"/>
    <blip r:id="rId2533"/>
  </webImageSrd>
  <webImageSrd>
    <address r:id="rId2534"/>
    <blip r:id="rId2535"/>
  </webImageSrd>
  <webImageSrd>
    <address r:id="rId2536"/>
    <blip r:id="rId2537"/>
  </webImageSrd>
  <webImageSrd>
    <address r:id="rId2538"/>
    <blip r:id="rId2539"/>
  </webImageSrd>
  <webImageSrd>
    <address r:id="rId2540"/>
    <blip r:id="rId2541"/>
  </webImageSrd>
  <webImageSrd>
    <address r:id="rId2542"/>
    <blip r:id="rId2543"/>
  </webImageSrd>
  <webImageSrd>
    <address r:id="rId2544"/>
    <blip r:id="rId2545"/>
  </webImageSrd>
  <webImageSrd>
    <address r:id="rId2546"/>
    <blip r:id="rId2547"/>
  </webImageSrd>
  <webImageSrd>
    <address r:id="rId2548"/>
    <blip r:id="rId2549"/>
  </webImageSrd>
  <webImageSrd>
    <address r:id="rId2550"/>
    <blip r:id="rId2551"/>
  </webImageSrd>
  <webImageSrd>
    <address r:id="rId2552"/>
    <blip r:id="rId2553"/>
  </webImageSrd>
  <webImageSrd>
    <address r:id="rId2554"/>
    <blip r:id="rId2555"/>
  </webImageSrd>
  <webImageSrd>
    <address r:id="rId2556"/>
    <blip r:id="rId2557"/>
  </webImageSrd>
  <webImageSrd>
    <address r:id="rId2558"/>
    <blip r:id="rId2559"/>
  </webImageSrd>
  <webImageSrd>
    <address r:id="rId2560"/>
    <blip r:id="rId2561"/>
  </webImageSrd>
  <webImageSrd>
    <address r:id="rId2562"/>
    <blip r:id="rId2563"/>
  </webImageSrd>
  <webImageSrd>
    <address r:id="rId2564"/>
    <blip r:id="rId2565"/>
  </webImageSrd>
  <webImageSrd>
    <address r:id="rId2566"/>
    <blip r:id="rId2567"/>
  </webImageSrd>
  <webImageSrd>
    <address r:id="rId2568"/>
    <blip r:id="rId2569"/>
  </webImageSrd>
  <webImageSrd>
    <address r:id="rId2570"/>
    <blip r:id="rId2571"/>
  </webImageSrd>
  <webImageSrd>
    <address r:id="rId2572"/>
    <blip r:id="rId2573"/>
  </webImageSrd>
  <webImageSrd>
    <address r:id="rId2574"/>
    <blip r:id="rId2575"/>
  </webImageSrd>
  <webImageSrd>
    <address r:id="rId2576"/>
    <blip r:id="rId2577"/>
  </webImageSrd>
  <webImageSrd>
    <address r:id="rId2578"/>
    <blip r:id="rId2579"/>
  </webImageSrd>
  <webImageSrd>
    <address r:id="rId2580"/>
    <blip r:id="rId2581"/>
  </webImageSrd>
  <webImageSrd>
    <address r:id="rId2582"/>
    <blip r:id="rId2583"/>
  </webImageSrd>
  <webImageSrd>
    <address r:id="rId2584"/>
    <blip r:id="rId2585"/>
  </webImageSrd>
  <webImageSrd>
    <address r:id="rId2586"/>
    <blip r:id="rId2587"/>
  </webImageSrd>
  <webImageSrd>
    <address r:id="rId2588"/>
    <blip r:id="rId2589"/>
  </webImageSrd>
  <webImageSrd>
    <address r:id="rId2590"/>
    <blip r:id="rId2591"/>
  </webImageSrd>
  <webImageSrd>
    <address r:id="rId2592"/>
    <blip r:id="rId2593"/>
  </webImageSrd>
  <webImageSrd>
    <address r:id="rId2594"/>
    <blip r:id="rId2595"/>
  </webImageSrd>
  <webImageSrd>
    <address r:id="rId2596"/>
    <blip r:id="rId2597"/>
  </webImageSrd>
  <webImageSrd>
    <address r:id="rId2598"/>
    <blip r:id="rId2599"/>
  </webImageSrd>
  <webImageSrd>
    <address r:id="rId2600"/>
    <blip r:id="rId2601"/>
  </webImageSrd>
  <webImageSrd>
    <address r:id="rId2602"/>
    <blip r:id="rId2603"/>
  </webImageSrd>
  <webImageSrd>
    <address r:id="rId2604"/>
    <blip r:id="rId2605"/>
  </webImageSrd>
  <webImageSrd>
    <address r:id="rId2606"/>
    <blip r:id="rId2607"/>
  </webImageSrd>
  <webImageSrd>
    <address r:id="rId2608"/>
    <blip r:id="rId2609"/>
  </webImageSrd>
  <webImageSrd>
    <address r:id="rId2610"/>
    <blip r:id="rId2611"/>
  </webImageSrd>
  <webImageSrd>
    <address r:id="rId2612"/>
    <blip r:id="rId2613"/>
  </webImageSrd>
  <webImageSrd>
    <address r:id="rId2614"/>
    <blip r:id="rId2615"/>
  </webImageSrd>
  <webImageSrd>
    <address r:id="rId2616"/>
    <blip r:id="rId2617"/>
  </webImageSrd>
  <webImageSrd>
    <address r:id="rId2618"/>
    <blip r:id="rId2619"/>
  </webImageSrd>
  <webImageSrd>
    <address r:id="rId2620"/>
    <blip r:id="rId2621"/>
  </webImageSrd>
  <webImageSrd>
    <address r:id="rId2622"/>
    <blip r:id="rId2623"/>
  </webImageSrd>
  <webImageSrd>
    <address r:id="rId2624"/>
    <blip r:id="rId2625"/>
  </webImageSrd>
  <webImageSrd>
    <address r:id="rId2626"/>
    <blip r:id="rId2627"/>
  </webImageSrd>
  <webImageSrd>
    <address r:id="rId2628"/>
    <blip r:id="rId2629"/>
  </webImageSrd>
  <webImageSrd>
    <address r:id="rId2630"/>
    <blip r:id="rId2631"/>
  </webImageSrd>
  <webImageSrd>
    <address r:id="rId2632"/>
    <blip r:id="rId2633"/>
  </webImageSrd>
  <webImageSrd>
    <address r:id="rId2634"/>
    <blip r:id="rId2635"/>
  </webImageSrd>
  <webImageSrd>
    <address r:id="rId2636"/>
    <blip r:id="rId2637"/>
  </webImageSrd>
  <webImageSrd>
    <address r:id="rId2638"/>
    <blip r:id="rId2639"/>
  </webImageSrd>
  <webImageSrd>
    <address r:id="rId2640"/>
    <blip r:id="rId2641"/>
  </webImageSrd>
  <webImageSrd>
    <address r:id="rId2642"/>
    <blip r:id="rId2643"/>
  </webImageSrd>
  <webImageSrd>
    <address r:id="rId2644"/>
    <blip r:id="rId2645"/>
  </webImageSrd>
  <webImageSrd>
    <address r:id="rId2646"/>
    <blip r:id="rId2647"/>
  </webImageSrd>
  <webImageSrd>
    <address r:id="rId2648"/>
    <blip r:id="rId2649"/>
  </webImageSrd>
  <webImageSrd>
    <address r:id="rId2650"/>
    <blip r:id="rId2651"/>
  </webImageSrd>
  <webImageSrd>
    <address r:id="rId2652"/>
    <blip r:id="rId2653"/>
  </webImageSrd>
  <webImageSrd>
    <address r:id="rId2654"/>
    <blip r:id="rId2655"/>
  </webImageSrd>
  <webImageSrd>
    <address r:id="rId2656"/>
    <blip r:id="rId2657"/>
  </webImageSrd>
  <webImageSrd>
    <address r:id="rId2658"/>
    <blip r:id="rId2659"/>
  </webImageSrd>
  <webImageSrd>
    <address r:id="rId2660"/>
    <blip r:id="rId2661"/>
  </webImageSrd>
  <webImageSrd>
    <address r:id="rId2662"/>
    <blip r:id="rId2663"/>
  </webImageSrd>
  <webImageSrd>
    <address r:id="rId2664"/>
    <blip r:id="rId2665"/>
  </webImageSrd>
  <webImageSrd>
    <address r:id="rId2666"/>
    <blip r:id="rId2667"/>
  </webImageSrd>
  <webImageSrd>
    <address r:id="rId2668"/>
    <blip r:id="rId2669"/>
  </webImageSrd>
  <webImageSrd>
    <address r:id="rId2670"/>
    <blip r:id="rId2671"/>
  </webImageSrd>
  <webImageSrd>
    <address r:id="rId2672"/>
    <blip r:id="rId2673"/>
  </webImageSrd>
  <webImageSrd>
    <address r:id="rId2674"/>
    <blip r:id="rId2675"/>
  </webImageSrd>
  <webImageSrd>
    <address r:id="rId2676"/>
    <blip r:id="rId2677"/>
  </webImageSrd>
  <webImageSrd>
    <address r:id="rId2678"/>
    <blip r:id="rId2679"/>
  </webImageSrd>
  <webImageSrd>
    <address r:id="rId2680"/>
    <blip r:id="rId2681"/>
  </webImageSrd>
  <webImageSrd>
    <address r:id="rId2682"/>
    <blip r:id="rId2683"/>
  </webImageSrd>
  <webImageSrd>
    <address r:id="rId2684"/>
    <blip r:id="rId2685"/>
  </webImageSrd>
  <webImageSrd>
    <address r:id="rId2686"/>
    <blip r:id="rId2687"/>
  </webImageSrd>
  <webImageSrd>
    <address r:id="rId2688"/>
    <blip r:id="rId2689"/>
  </webImageSrd>
  <webImageSrd>
    <address r:id="rId2690"/>
    <blip r:id="rId2691"/>
  </webImageSrd>
  <webImageSrd>
    <address r:id="rId2692"/>
    <blip r:id="rId2693"/>
  </webImageSrd>
  <webImageSrd>
    <address r:id="rId2694"/>
    <blip r:id="rId2695"/>
  </webImageSrd>
  <webImageSrd>
    <address r:id="rId2696"/>
    <blip r:id="rId2697"/>
  </webImageSrd>
  <webImageSrd>
    <address r:id="rId2698"/>
    <blip r:id="rId2699"/>
  </webImageSrd>
  <webImageSrd>
    <address r:id="rId2700"/>
    <blip r:id="rId2701"/>
  </webImageSrd>
  <webImageSrd>
    <address r:id="rId2702"/>
    <blip r:id="rId2703"/>
  </webImageSrd>
  <webImageSrd>
    <address r:id="rId2704"/>
    <blip r:id="rId2705"/>
  </webImageSrd>
  <webImageSrd>
    <address r:id="rId2706"/>
    <blip r:id="rId2707"/>
  </webImageSrd>
  <webImageSrd>
    <address r:id="rId2708"/>
    <blip r:id="rId2709"/>
  </webImageSrd>
  <webImageSrd>
    <address r:id="rId2710"/>
    <blip r:id="rId2711"/>
  </webImageSrd>
  <webImageSrd>
    <address r:id="rId2712"/>
    <blip r:id="rId2713"/>
  </webImageSrd>
  <webImageSrd>
    <address r:id="rId2714"/>
    <blip r:id="rId2715"/>
  </webImageSrd>
  <webImageSrd>
    <address r:id="rId2716"/>
    <blip r:id="rId2717"/>
  </webImageSrd>
  <webImageSrd>
    <address r:id="rId2718"/>
    <blip r:id="rId2719"/>
  </webImageSrd>
  <webImageSrd>
    <address r:id="rId2720"/>
    <blip r:id="rId2721"/>
  </webImageSrd>
  <webImageSrd>
    <address r:id="rId2722"/>
    <blip r:id="rId2723"/>
  </webImageSrd>
  <webImageSrd>
    <address r:id="rId2724"/>
    <blip r:id="rId2725"/>
  </webImageSrd>
  <webImageSrd>
    <address r:id="rId2726"/>
    <blip r:id="rId2727"/>
  </webImageSrd>
  <webImageSrd>
    <address r:id="rId2728"/>
    <blip r:id="rId2729"/>
  </webImageSrd>
  <webImageSrd>
    <address r:id="rId2730"/>
    <blip r:id="rId2731"/>
  </webImageSrd>
  <webImageSrd>
    <address r:id="rId2732"/>
    <blip r:id="rId2733"/>
  </webImageSrd>
  <webImageSrd>
    <address r:id="rId2734"/>
    <blip r:id="rId2735"/>
  </webImageSrd>
  <webImageSrd>
    <address r:id="rId2736"/>
    <blip r:id="rId2737"/>
  </webImageSrd>
  <webImageSrd>
    <address r:id="rId2738"/>
    <blip r:id="rId2739"/>
  </webImageSrd>
  <webImageSrd>
    <address r:id="rId2740"/>
    <blip r:id="rId2741"/>
  </webImageSrd>
  <webImageSrd>
    <address r:id="rId2742"/>
    <blip r:id="rId2743"/>
  </webImageSrd>
  <webImageSrd>
    <address r:id="rId2744"/>
    <blip r:id="rId2745"/>
  </webImageSrd>
  <webImageSrd>
    <address r:id="rId2746"/>
    <blip r:id="rId2747"/>
  </webImageSrd>
  <webImageSrd>
    <address r:id="rId2748"/>
    <blip r:id="rId2749"/>
  </webImageSrd>
  <webImageSrd>
    <address r:id="rId2750"/>
    <blip r:id="rId2751"/>
  </webImageSrd>
  <webImageSrd>
    <address r:id="rId2752"/>
    <blip r:id="rId2753"/>
  </webImageSrd>
  <webImageSrd>
    <address r:id="rId2754"/>
    <blip r:id="rId2755"/>
  </webImageSrd>
  <webImageSrd>
    <address r:id="rId2756"/>
    <blip r:id="rId2757"/>
  </webImageSrd>
  <webImageSrd>
    <address r:id="rId2758"/>
    <blip r:id="rId2759"/>
  </webImageSrd>
  <webImageSrd>
    <address r:id="rId2760"/>
    <blip r:id="rId2761"/>
  </webImageSrd>
  <webImageSrd>
    <address r:id="rId2762"/>
    <blip r:id="rId2763"/>
  </webImageSrd>
  <webImageSrd>
    <address r:id="rId2764"/>
    <blip r:id="rId2765"/>
  </webImageSrd>
  <webImageSrd>
    <address r:id="rId2766"/>
    <blip r:id="rId2767"/>
  </webImageSrd>
  <webImageSrd>
    <address r:id="rId2768"/>
    <blip r:id="rId2769"/>
  </webImageSrd>
  <webImageSrd>
    <address r:id="rId2770"/>
    <blip r:id="rId2771"/>
  </webImageSrd>
  <webImageSrd>
    <address r:id="rId2772"/>
    <blip r:id="rId2773"/>
  </webImageSrd>
  <webImageSrd>
    <address r:id="rId2774"/>
    <blip r:id="rId2775"/>
  </webImageSrd>
  <webImageSrd>
    <address r:id="rId2776"/>
    <blip r:id="rId2777"/>
  </webImageSrd>
  <webImageSrd>
    <address r:id="rId2778"/>
    <blip r:id="rId2779"/>
  </webImageSrd>
  <webImageSrd>
    <address r:id="rId2780"/>
    <blip r:id="rId2781"/>
  </webImageSrd>
  <webImageSrd>
    <address r:id="rId2782"/>
    <blip r:id="rId2783"/>
  </webImageSrd>
  <webImageSrd>
    <address r:id="rId2784"/>
    <blip r:id="rId2785"/>
  </webImageSrd>
  <webImageSrd>
    <address r:id="rId2786"/>
    <blip r:id="rId2787"/>
  </webImageSrd>
  <webImageSrd>
    <address r:id="rId2788"/>
    <blip r:id="rId2789"/>
  </webImageSrd>
  <webImageSrd>
    <address r:id="rId2790"/>
    <blip r:id="rId2791"/>
  </webImageSrd>
  <webImageSrd>
    <address r:id="rId2792"/>
    <blip r:id="rId2793"/>
  </webImageSrd>
  <webImageSrd>
    <address r:id="rId2794"/>
    <blip r:id="rId2795"/>
  </webImageSrd>
  <webImageSrd>
    <address r:id="rId2796"/>
    <blip r:id="rId2797"/>
  </webImageSrd>
  <webImageSrd>
    <address r:id="rId2798"/>
    <blip r:id="rId2799"/>
  </webImageSrd>
  <webImageSrd>
    <address r:id="rId2800"/>
    <blip r:id="rId2801"/>
  </webImageSrd>
  <webImageSrd>
    <address r:id="rId2802"/>
    <blip r:id="rId2803"/>
  </webImageSrd>
  <webImageSrd>
    <address r:id="rId2804"/>
    <blip r:id="rId2805"/>
  </webImageSrd>
  <webImageSrd>
    <address r:id="rId2806"/>
    <blip r:id="rId2807"/>
  </webImageSrd>
  <webImageSrd>
    <address r:id="rId2808"/>
    <blip r:id="rId2809"/>
  </webImageSrd>
  <webImageSrd>
    <address r:id="rId2810"/>
    <blip r:id="rId2811"/>
  </webImageSrd>
  <webImageSrd>
    <address r:id="rId2812"/>
    <blip r:id="rId2813"/>
  </webImageSrd>
  <webImageSrd>
    <address r:id="rId2814"/>
    <blip r:id="rId2815"/>
  </webImageSrd>
  <webImageSrd>
    <address r:id="rId2816"/>
    <blip r:id="rId2817"/>
  </webImageSrd>
  <webImageSrd>
    <address r:id="rId2818"/>
    <blip r:id="rId2819"/>
  </webImageSrd>
  <webImageSrd>
    <address r:id="rId2820"/>
    <blip r:id="rId2821"/>
  </webImageSrd>
  <webImageSrd>
    <address r:id="rId2822"/>
    <blip r:id="rId2823"/>
  </webImageSrd>
  <webImageSrd>
    <address r:id="rId2824"/>
    <blip r:id="rId2825"/>
  </webImageSrd>
  <webImageSrd>
    <address r:id="rId2826"/>
    <blip r:id="rId2827"/>
  </webImageSrd>
  <webImageSrd>
    <address r:id="rId2828"/>
    <blip r:id="rId2829"/>
  </webImageSrd>
  <webImageSrd>
    <address r:id="rId2830"/>
    <blip r:id="rId2831"/>
  </webImageSrd>
  <webImageSrd>
    <address r:id="rId2832"/>
    <blip r:id="rId2833"/>
  </webImageSrd>
  <webImageSrd>
    <address r:id="rId2834"/>
    <blip r:id="rId2835"/>
  </webImageSrd>
  <webImageSrd>
    <address r:id="rId2836"/>
    <blip r:id="rId2837"/>
  </webImageSrd>
  <webImageSrd>
    <address r:id="rId2838"/>
    <blip r:id="rId2839"/>
  </webImageSrd>
  <webImageSrd>
    <address r:id="rId2840"/>
    <blip r:id="rId2841"/>
  </webImageSrd>
  <webImageSrd>
    <address r:id="rId2842"/>
    <blip r:id="rId2843"/>
  </webImageSrd>
  <webImageSrd>
    <address r:id="rId2844"/>
    <blip r:id="rId2845"/>
  </webImageSrd>
  <webImageSrd>
    <address r:id="rId2846"/>
    <blip r:id="rId2847"/>
  </webImageSrd>
  <webImageSrd>
    <address r:id="rId2848"/>
    <blip r:id="rId2849"/>
  </webImageSrd>
  <webImageSrd>
    <address r:id="rId2850"/>
    <blip r:id="rId2851"/>
  </webImageSrd>
  <webImageSrd>
    <address r:id="rId2852"/>
    <blip r:id="rId2853"/>
  </webImageSrd>
  <webImageSrd>
    <address r:id="rId2854"/>
    <blip r:id="rId2855"/>
  </webImageSrd>
  <webImageSrd>
    <address r:id="rId2856"/>
    <blip r:id="rId2857"/>
  </webImageSrd>
  <webImageSrd>
    <address r:id="rId2858"/>
    <blip r:id="rId2859"/>
  </webImageSrd>
  <webImageSrd>
    <address r:id="rId2860"/>
    <blip r:id="rId2861"/>
  </webImageSrd>
  <webImageSrd>
    <address r:id="rId2862"/>
    <blip r:id="rId2863"/>
  </webImageSrd>
  <webImageSrd>
    <address r:id="rId2864"/>
    <blip r:id="rId2865"/>
  </webImageSrd>
  <webImageSrd>
    <address r:id="rId2866"/>
    <blip r:id="rId2867"/>
  </webImageSrd>
  <webImageSrd>
    <address r:id="rId2868"/>
    <blip r:id="rId2869"/>
  </webImageSrd>
  <webImageSrd>
    <address r:id="rId2870"/>
    <blip r:id="rId2871"/>
  </webImageSrd>
  <webImageSrd>
    <address r:id="rId2872"/>
    <blip r:id="rId2873"/>
  </webImageSrd>
  <webImageSrd>
    <address r:id="rId2874"/>
    <blip r:id="rId2875"/>
  </webImageSrd>
  <webImageSrd>
    <address r:id="rId2876"/>
    <blip r:id="rId2877"/>
  </webImageSrd>
  <webImageSrd>
    <address r:id="rId2878"/>
    <blip r:id="rId2879"/>
  </webImageSrd>
  <webImageSrd>
    <address r:id="rId2880"/>
    <blip r:id="rId2881"/>
  </webImageSrd>
  <webImageSrd>
    <address r:id="rId2882"/>
    <blip r:id="rId2883"/>
  </webImageSrd>
  <webImageSrd>
    <address r:id="rId2884"/>
    <blip r:id="rId2885"/>
  </webImageSrd>
  <webImageSrd>
    <address r:id="rId2886"/>
    <blip r:id="rId2887"/>
  </webImageSrd>
  <webImageSrd>
    <address r:id="rId2888"/>
    <blip r:id="rId2889"/>
  </webImageSrd>
  <webImageSrd>
    <address r:id="rId2890"/>
    <blip r:id="rId2891"/>
  </webImageSrd>
  <webImageSrd>
    <address r:id="rId2892"/>
    <blip r:id="rId2893"/>
  </webImageSrd>
  <webImageSrd>
    <address r:id="rId2894"/>
    <blip r:id="rId2895"/>
  </webImageSrd>
  <webImageSrd>
    <address r:id="rId2896"/>
    <blip r:id="rId2897"/>
  </webImageSrd>
  <webImageSrd>
    <address r:id="rId2898"/>
    <blip r:id="rId2899"/>
  </webImageSrd>
  <webImageSrd>
    <address r:id="rId2900"/>
    <blip r:id="rId2901"/>
  </webImageSrd>
  <webImageSrd>
    <address r:id="rId2902"/>
    <blip r:id="rId2903"/>
  </webImageSrd>
  <webImageSrd>
    <address r:id="rId2904"/>
    <blip r:id="rId2905"/>
  </webImageSrd>
  <webImageSrd>
    <address r:id="rId2906"/>
    <blip r:id="rId2907"/>
  </webImageSrd>
  <webImageSrd>
    <address r:id="rId2908"/>
    <blip r:id="rId2909"/>
  </webImageSrd>
  <webImageSrd>
    <address r:id="rId2910"/>
    <blip r:id="rId2911"/>
  </webImageSrd>
  <webImageSrd>
    <address r:id="rId2912"/>
    <blip r:id="rId2913"/>
  </webImageSrd>
  <webImageSrd>
    <address r:id="rId2914"/>
    <blip r:id="rId2915"/>
  </webImageSrd>
  <webImageSrd>
    <address r:id="rId2916"/>
    <blip r:id="rId2917"/>
  </webImageSrd>
  <webImageSrd>
    <address r:id="rId2918"/>
    <blip r:id="rId2919"/>
  </webImageSrd>
  <webImageSrd>
    <address r:id="rId2920"/>
    <blip r:id="rId2921"/>
  </webImageSrd>
  <webImageSrd>
    <address r:id="rId2922"/>
    <blip r:id="rId2923"/>
  </webImageSrd>
  <webImageSrd>
    <address r:id="rId2924"/>
    <blip r:id="rId2925"/>
  </webImageSrd>
  <webImageSrd>
    <address r:id="rId2926"/>
    <blip r:id="rId2927"/>
  </webImageSrd>
  <webImageSrd>
    <address r:id="rId2928"/>
    <blip r:id="rId2929"/>
  </webImageSrd>
  <webImageSrd>
    <address r:id="rId2930"/>
    <blip r:id="rId2931"/>
  </webImageSrd>
  <webImageSrd>
    <address r:id="rId2932"/>
    <blip r:id="rId2933"/>
  </webImageSrd>
  <webImageSrd>
    <address r:id="rId2934"/>
    <blip r:id="rId2935"/>
  </webImageSrd>
  <webImageSrd>
    <address r:id="rId2936"/>
    <blip r:id="rId2937"/>
  </webImageSrd>
  <webImageSrd>
    <address r:id="rId2938"/>
    <blip r:id="rId2939"/>
  </webImageSrd>
  <webImageSrd>
    <address r:id="rId2940"/>
    <blip r:id="rId34"/>
  </webImageSrd>
  <webImageSrd>
    <address r:id="rId2941"/>
    <blip r:id="rId2942"/>
  </webImageSrd>
  <webImageSrd>
    <address r:id="rId2943"/>
    <blip r:id="rId2944"/>
  </webImageSrd>
  <webImageSrd>
    <address r:id="rId2945"/>
    <blip r:id="rId2946"/>
  </webImageSrd>
  <webImageSrd>
    <address r:id="rId2947"/>
    <blip r:id="rId2948"/>
  </webImageSrd>
  <webImageSrd>
    <address r:id="rId2949"/>
    <blip r:id="rId2950"/>
  </webImageSrd>
  <webImageSrd>
    <address r:id="rId2951"/>
    <blip r:id="rId2952"/>
  </webImageSrd>
  <webImageSrd>
    <address r:id="rId2953"/>
    <blip r:id="rId2954"/>
  </webImageSrd>
  <webImageSrd>
    <address r:id="rId2955"/>
    <blip r:id="rId2956"/>
  </webImageSrd>
  <webImageSrd>
    <address r:id="rId2957"/>
    <blip r:id="rId2958"/>
  </webImageSrd>
  <webImageSrd>
    <address r:id="rId2959"/>
    <blip r:id="rId2960"/>
  </webImageSrd>
  <webImageSrd>
    <address r:id="rId2961"/>
    <blip r:id="rId2962"/>
  </webImageSrd>
  <webImageSrd>
    <address r:id="rId2963"/>
    <blip r:id="rId2964"/>
  </webImageSrd>
  <webImageSrd>
    <address r:id="rId2965"/>
    <blip r:id="rId2966"/>
  </webImageSrd>
  <webImageSrd>
    <address r:id="rId2967"/>
    <blip r:id="rId2968"/>
  </webImageSrd>
  <webImageSrd>
    <address r:id="rId2969"/>
    <blip r:id="rId2970"/>
  </webImageSrd>
  <webImageSrd>
    <address r:id="rId2971"/>
    <blip r:id="rId2972"/>
  </webImageSrd>
  <webImageSrd>
    <address r:id="rId2973"/>
    <blip r:id="rId2974"/>
  </webImageSrd>
  <webImageSrd>
    <address r:id="rId2975"/>
    <blip r:id="rId2976"/>
  </webImageSrd>
  <webImageSrd>
    <address r:id="rId2977"/>
    <blip r:id="rId2978"/>
  </webImageSrd>
  <webImageSrd>
    <address r:id="rId2979"/>
    <blip r:id="rId2980"/>
  </webImageSrd>
  <webImageSrd>
    <address r:id="rId2981"/>
    <blip r:id="rId2982"/>
  </webImageSrd>
  <webImageSrd>
    <address r:id="rId2983"/>
    <blip r:id="rId2984"/>
  </webImageSrd>
  <webImageSrd>
    <address r:id="rId2985"/>
    <blip r:id="rId2986"/>
  </webImageSrd>
  <webImageSrd>
    <address r:id="rId2987"/>
    <blip r:id="rId2988"/>
  </webImageSrd>
  <webImageSrd>
    <address r:id="rId2989"/>
    <blip r:id="rId2990"/>
  </webImageSrd>
  <webImageSrd>
    <address r:id="rId2991"/>
    <blip r:id="rId2992"/>
  </webImageSrd>
  <webImageSrd>
    <address r:id="rId2993"/>
    <blip r:id="rId2994"/>
  </webImageSrd>
  <webImageSrd>
    <address r:id="rId2995"/>
    <blip r:id="rId2996"/>
  </webImageSrd>
  <webImageSrd>
    <address r:id="rId2997"/>
    <blip r:id="rId2998"/>
  </webImageSrd>
  <webImageSrd>
    <address r:id="rId2999"/>
    <blip r:id="rId3000"/>
  </webImageSrd>
  <webImageSrd>
    <address r:id="rId3001"/>
    <blip r:id="rId3002"/>
  </webImageSrd>
  <webImageSrd>
    <address r:id="rId3003"/>
    <blip r:id="rId3004"/>
  </webImageSrd>
  <webImageSrd>
    <address r:id="rId3005"/>
    <blip r:id="rId3006"/>
  </webImageSrd>
  <webImageSrd>
    <address r:id="rId3007"/>
    <blip r:id="rId3008"/>
  </webImageSrd>
  <webImageSrd>
    <address r:id="rId3009"/>
    <blip r:id="rId3010"/>
  </webImageSrd>
  <webImageSrd>
    <address r:id="rId3011"/>
    <blip r:id="rId3012"/>
  </webImageSrd>
  <webImageSrd>
    <address r:id="rId3013"/>
    <blip r:id="rId3014"/>
  </webImageSrd>
  <webImageSrd>
    <address r:id="rId3015"/>
    <blip r:id="rId3016"/>
  </webImageSrd>
  <webImageSrd>
    <address r:id="rId3017"/>
    <blip r:id="rId3018"/>
  </webImageSrd>
  <webImageSrd>
    <address r:id="rId3019"/>
    <blip r:id="rId3020"/>
  </webImageSrd>
  <webImageSrd>
    <address r:id="rId3021"/>
    <blip r:id="rId3022"/>
  </webImageSrd>
  <webImageSrd>
    <address r:id="rId3023"/>
    <blip r:id="rId3024"/>
  </webImageSrd>
  <webImageSrd>
    <address r:id="rId3025"/>
    <blip r:id="rId3026"/>
  </webImageSrd>
  <webImageSrd>
    <address r:id="rId3027"/>
    <blip r:id="rId3028"/>
  </webImageSrd>
  <webImageSrd>
    <address r:id="rId3029"/>
    <blip r:id="rId3030"/>
  </webImageSrd>
  <webImageSrd>
    <address r:id="rId3031"/>
    <blip r:id="rId3032"/>
  </webImageSrd>
  <webImageSrd>
    <address r:id="rId3033"/>
    <blip r:id="rId3034"/>
  </webImageSrd>
  <webImageSrd>
    <address r:id="rId3035"/>
    <blip r:id="rId3036"/>
  </webImageSrd>
  <webImageSrd>
    <address r:id="rId3037"/>
    <blip r:id="rId3038"/>
  </webImageSrd>
  <webImageSrd>
    <address r:id="rId3039"/>
    <blip r:id="rId3040"/>
  </webImageSrd>
  <webImageSrd>
    <address r:id="rId3041"/>
    <blip r:id="rId3042"/>
  </webImageSrd>
  <webImageSrd>
    <address r:id="rId3043"/>
    <blip r:id="rId3044"/>
  </webImageSrd>
  <webImageSrd>
    <address r:id="rId3045"/>
    <blip r:id="rId3046"/>
  </webImageSrd>
  <webImageSrd>
    <address r:id="rId3047"/>
    <blip r:id="rId3048"/>
  </webImageSrd>
  <webImageSrd>
    <address r:id="rId3049"/>
    <blip r:id="rId3050"/>
  </webImageSrd>
  <webImageSrd>
    <address r:id="rId3051"/>
    <blip r:id="rId3052"/>
  </webImageSrd>
  <webImageSrd>
    <address r:id="rId3053"/>
    <blip r:id="rId3054"/>
  </webImageSrd>
  <webImageSrd>
    <address r:id="rId3055"/>
    <blip r:id="rId3056"/>
  </webImageSrd>
  <webImageSrd>
    <address r:id="rId3057"/>
    <blip r:id="rId3058"/>
  </webImageSrd>
  <webImageSrd>
    <address r:id="rId3059"/>
    <blip r:id="rId3060"/>
  </webImageSrd>
  <webImageSrd>
    <address r:id="rId3061"/>
    <blip r:id="rId3062"/>
  </webImageSrd>
  <webImageSrd>
    <address r:id="rId3063"/>
    <blip r:id="rId3064"/>
  </webImageSrd>
  <webImageSrd>
    <address r:id="rId3065"/>
    <blip r:id="rId3066"/>
  </webImageSrd>
  <webImageSrd>
    <address r:id="rId3067"/>
    <blip r:id="rId3068"/>
  </webImageSrd>
  <webImageSrd>
    <address r:id="rId3069"/>
    <blip r:id="rId3070"/>
  </webImageSrd>
  <webImageSrd>
    <address r:id="rId3071"/>
    <blip r:id="rId3072"/>
  </webImageSrd>
  <webImageSrd>
    <address r:id="rId3073"/>
    <blip r:id="rId3074"/>
  </webImageSrd>
  <webImageSrd>
    <address r:id="rId3075"/>
    <blip r:id="rId3076"/>
  </webImageSrd>
  <webImageSrd>
    <address r:id="rId3077"/>
    <blip r:id="rId3078"/>
  </webImageSrd>
  <webImageSrd>
    <address r:id="rId3079"/>
    <blip r:id="rId3080"/>
  </webImageSrd>
  <webImageSrd>
    <address r:id="rId3081"/>
    <blip r:id="rId3082"/>
  </webImageSrd>
</webImagesSrd>
</file>

<file path=xl/richData/rdrichvalue.xml><?xml version="1.0" encoding="utf-8"?>
<rvData xmlns="http://schemas.microsoft.com/office/spreadsheetml/2017/richdata" count="1552">
  <rv s="0">
    <v>0</v>
    <v>1</v>
    <v>0</v>
    <v>0</v>
  </rv>
  <rv s="0">
    <v>1</v>
    <v>1</v>
    <v>0</v>
    <v>0</v>
  </rv>
  <rv s="0">
    <v>2</v>
    <v>1</v>
    <v>0</v>
    <v>0</v>
  </rv>
  <rv s="0">
    <v>3</v>
    <v>1</v>
    <v>0</v>
    <v>0</v>
  </rv>
  <rv s="0">
    <v>4</v>
    <v>1</v>
    <v>0</v>
    <v>0</v>
  </rv>
  <rv s="0">
    <v>5</v>
    <v>1</v>
    <v>0</v>
    <v>0</v>
  </rv>
  <rv s="0">
    <v>6</v>
    <v>1</v>
    <v>0</v>
    <v>0</v>
  </rv>
  <rv s="0">
    <v>7</v>
    <v>1</v>
    <v>0</v>
    <v>0</v>
  </rv>
  <rv s="0">
    <v>8</v>
    <v>1</v>
    <v>0</v>
    <v>0</v>
  </rv>
  <rv s="0">
    <v>9</v>
    <v>1</v>
    <v>0</v>
    <v>0</v>
  </rv>
  <rv s="0">
    <v>10</v>
    <v>1</v>
    <v>0</v>
    <v>0</v>
  </rv>
  <rv s="0">
    <v>11</v>
    <v>1</v>
    <v>0</v>
    <v>0</v>
  </rv>
  <rv s="0">
    <v>12</v>
    <v>1</v>
    <v>0</v>
    <v>0</v>
  </rv>
  <rv s="0">
    <v>13</v>
    <v>1</v>
    <v>0</v>
    <v>0</v>
  </rv>
  <rv s="0">
    <v>14</v>
    <v>1</v>
    <v>0</v>
    <v>0</v>
  </rv>
  <rv s="0">
    <v>15</v>
    <v>1</v>
    <v>0</v>
    <v>0</v>
  </rv>
  <rv s="0">
    <v>16</v>
    <v>1</v>
    <v>0</v>
    <v>0</v>
  </rv>
  <rv s="0">
    <v>17</v>
    <v>1</v>
    <v>0</v>
    <v>0</v>
  </rv>
  <rv s="0">
    <v>18</v>
    <v>1</v>
    <v>0</v>
    <v>0</v>
  </rv>
  <rv s="0">
    <v>19</v>
    <v>1</v>
    <v>0</v>
    <v>0</v>
  </rv>
  <rv s="0">
    <v>20</v>
    <v>1</v>
    <v>0</v>
    <v>0</v>
  </rv>
  <rv s="0">
    <v>21</v>
    <v>1</v>
    <v>0</v>
    <v>0</v>
  </rv>
  <rv s="0">
    <v>22</v>
    <v>1</v>
    <v>0</v>
    <v>0</v>
  </rv>
  <rv s="0">
    <v>23</v>
    <v>1</v>
    <v>0</v>
    <v>0</v>
  </rv>
  <rv s="0">
    <v>24</v>
    <v>1</v>
    <v>0</v>
    <v>0</v>
  </rv>
  <rv s="0">
    <v>25</v>
    <v>1</v>
    <v>0</v>
    <v>0</v>
  </rv>
  <rv s="0">
    <v>26</v>
    <v>1</v>
    <v>0</v>
    <v>0</v>
  </rv>
  <rv s="0">
    <v>27</v>
    <v>1</v>
    <v>0</v>
    <v>0</v>
  </rv>
  <rv s="0">
    <v>28</v>
    <v>1</v>
    <v>0</v>
    <v>0</v>
  </rv>
  <rv s="0">
    <v>29</v>
    <v>1</v>
    <v>0</v>
    <v>0</v>
  </rv>
  <rv s="0">
    <v>30</v>
    <v>1</v>
    <v>0</v>
    <v>0</v>
  </rv>
  <rv s="0">
    <v>31</v>
    <v>1</v>
    <v>0</v>
    <v>0</v>
  </rv>
  <rv s="0">
    <v>32</v>
    <v>1</v>
    <v>0</v>
    <v>0</v>
  </rv>
  <rv s="0">
    <v>33</v>
    <v>1</v>
    <v>0</v>
    <v>0</v>
  </rv>
  <rv s="0">
    <v>34</v>
    <v>1</v>
    <v>0</v>
    <v>0</v>
  </rv>
  <rv s="0">
    <v>35</v>
    <v>1</v>
    <v>0</v>
    <v>0</v>
  </rv>
  <rv s="0">
    <v>36</v>
    <v>1</v>
    <v>0</v>
    <v>0</v>
  </rv>
  <rv s="0">
    <v>37</v>
    <v>1</v>
    <v>0</v>
    <v>0</v>
  </rv>
  <rv s="0">
    <v>38</v>
    <v>1</v>
    <v>0</v>
    <v>0</v>
  </rv>
  <rv s="0">
    <v>39</v>
    <v>1</v>
    <v>0</v>
    <v>0</v>
  </rv>
  <rv s="0">
    <v>40</v>
    <v>1</v>
    <v>0</v>
    <v>0</v>
  </rv>
  <rv s="0">
    <v>41</v>
    <v>1</v>
    <v>0</v>
    <v>0</v>
  </rv>
  <rv s="0">
    <v>42</v>
    <v>1</v>
    <v>0</v>
    <v>0</v>
  </rv>
  <rv s="0">
    <v>43</v>
    <v>1</v>
    <v>0</v>
    <v>0</v>
  </rv>
  <rv s="0">
    <v>44</v>
    <v>1</v>
    <v>0</v>
    <v>0</v>
  </rv>
  <rv s="0">
    <v>45</v>
    <v>1</v>
    <v>0</v>
    <v>0</v>
  </rv>
  <rv s="0">
    <v>46</v>
    <v>1</v>
    <v>0</v>
    <v>0</v>
  </rv>
  <rv s="0">
    <v>47</v>
    <v>1</v>
    <v>0</v>
    <v>0</v>
  </rv>
  <rv s="0">
    <v>48</v>
    <v>1</v>
    <v>0</v>
    <v>0</v>
  </rv>
  <rv s="0">
    <v>49</v>
    <v>1</v>
    <v>0</v>
    <v>0</v>
  </rv>
  <rv s="0">
    <v>50</v>
    <v>1</v>
    <v>0</v>
    <v>0</v>
  </rv>
  <rv s="0">
    <v>51</v>
    <v>1</v>
    <v>0</v>
    <v>0</v>
  </rv>
  <rv s="0">
    <v>52</v>
    <v>1</v>
    <v>0</v>
    <v>0</v>
  </rv>
  <rv s="0">
    <v>53</v>
    <v>1</v>
    <v>0</v>
    <v>0</v>
  </rv>
  <rv s="0">
    <v>54</v>
    <v>1</v>
    <v>0</v>
    <v>0</v>
  </rv>
  <rv s="0">
    <v>55</v>
    <v>1</v>
    <v>0</v>
    <v>0</v>
  </rv>
  <rv s="0">
    <v>56</v>
    <v>1</v>
    <v>0</v>
    <v>0</v>
  </rv>
  <rv s="0">
    <v>57</v>
    <v>1</v>
    <v>0</v>
    <v>0</v>
  </rv>
  <rv s="0">
    <v>58</v>
    <v>1</v>
    <v>0</v>
    <v>0</v>
  </rv>
  <rv s="0">
    <v>59</v>
    <v>1</v>
    <v>0</v>
    <v>0</v>
  </rv>
  <rv s="0">
    <v>60</v>
    <v>1</v>
    <v>0</v>
    <v>0</v>
  </rv>
  <rv s="0">
    <v>61</v>
    <v>1</v>
    <v>0</v>
    <v>0</v>
  </rv>
  <rv s="0">
    <v>62</v>
    <v>1</v>
    <v>0</v>
    <v>0</v>
  </rv>
  <rv s="0">
    <v>63</v>
    <v>1</v>
    <v>0</v>
    <v>0</v>
  </rv>
  <rv s="0">
    <v>64</v>
    <v>1</v>
    <v>0</v>
    <v>0</v>
  </rv>
  <rv s="0">
    <v>65</v>
    <v>1</v>
    <v>0</v>
    <v>0</v>
  </rv>
  <rv s="0">
    <v>66</v>
    <v>1</v>
    <v>0</v>
    <v>0</v>
  </rv>
  <rv s="0">
    <v>67</v>
    <v>1</v>
    <v>0</v>
    <v>0</v>
  </rv>
  <rv s="0">
    <v>68</v>
    <v>1</v>
    <v>0</v>
    <v>0</v>
  </rv>
  <rv s="0">
    <v>69</v>
    <v>1</v>
    <v>0</v>
    <v>0</v>
  </rv>
  <rv s="0">
    <v>70</v>
    <v>1</v>
    <v>0</v>
    <v>0</v>
  </rv>
  <rv s="0">
    <v>71</v>
    <v>1</v>
    <v>0</v>
    <v>0</v>
  </rv>
  <rv s="0">
    <v>72</v>
    <v>1</v>
    <v>0</v>
    <v>0</v>
  </rv>
  <rv s="0">
    <v>73</v>
    <v>1</v>
    <v>0</v>
    <v>0</v>
  </rv>
  <rv s="0">
    <v>74</v>
    <v>1</v>
    <v>0</v>
    <v>0</v>
  </rv>
  <rv s="0">
    <v>75</v>
    <v>1</v>
    <v>0</v>
    <v>0</v>
  </rv>
  <rv s="0">
    <v>76</v>
    <v>1</v>
    <v>0</v>
    <v>0</v>
  </rv>
  <rv s="0">
    <v>77</v>
    <v>1</v>
    <v>0</v>
    <v>0</v>
  </rv>
  <rv s="0">
    <v>78</v>
    <v>1</v>
    <v>0</v>
    <v>0</v>
  </rv>
  <rv s="0">
    <v>79</v>
    <v>1</v>
    <v>0</v>
    <v>0</v>
  </rv>
  <rv s="0">
    <v>80</v>
    <v>1</v>
    <v>0</v>
    <v>0</v>
  </rv>
  <rv s="0">
    <v>81</v>
    <v>1</v>
    <v>0</v>
    <v>0</v>
  </rv>
  <rv s="0">
    <v>82</v>
    <v>1</v>
    <v>0</v>
    <v>0</v>
  </rv>
  <rv s="0">
    <v>83</v>
    <v>1</v>
    <v>0</v>
    <v>0</v>
  </rv>
  <rv s="0">
    <v>84</v>
    <v>1</v>
    <v>0</v>
    <v>0</v>
  </rv>
  <rv s="0">
    <v>85</v>
    <v>1</v>
    <v>0</v>
    <v>0</v>
  </rv>
  <rv s="0">
    <v>86</v>
    <v>1</v>
    <v>0</v>
    <v>0</v>
  </rv>
  <rv s="0">
    <v>87</v>
    <v>1</v>
    <v>0</v>
    <v>0</v>
  </rv>
  <rv s="0">
    <v>88</v>
    <v>1</v>
    <v>0</v>
    <v>0</v>
  </rv>
  <rv s="0">
    <v>89</v>
    <v>1</v>
    <v>0</v>
    <v>0</v>
  </rv>
  <rv s="0">
    <v>90</v>
    <v>1</v>
    <v>0</v>
    <v>0</v>
  </rv>
  <rv s="0">
    <v>91</v>
    <v>1</v>
    <v>0</v>
    <v>0</v>
  </rv>
  <rv s="0">
    <v>92</v>
    <v>1</v>
    <v>0</v>
    <v>0</v>
  </rv>
  <rv s="0">
    <v>93</v>
    <v>1</v>
    <v>0</v>
    <v>0</v>
  </rv>
  <rv s="0">
    <v>94</v>
    <v>1</v>
    <v>0</v>
    <v>0</v>
  </rv>
  <rv s="0">
    <v>95</v>
    <v>1</v>
    <v>0</v>
    <v>0</v>
  </rv>
  <rv s="0">
    <v>96</v>
    <v>1</v>
    <v>0</v>
    <v>0</v>
  </rv>
  <rv s="0">
    <v>97</v>
    <v>1</v>
    <v>0</v>
    <v>0</v>
  </rv>
  <rv s="0">
    <v>98</v>
    <v>1</v>
    <v>0</v>
    <v>0</v>
  </rv>
  <rv s="0">
    <v>99</v>
    <v>1</v>
    <v>0</v>
    <v>0</v>
  </rv>
  <rv s="0">
    <v>100</v>
    <v>1</v>
    <v>0</v>
    <v>0</v>
  </rv>
  <rv s="0">
    <v>101</v>
    <v>1</v>
    <v>0</v>
    <v>0</v>
  </rv>
  <rv s="0">
    <v>102</v>
    <v>1</v>
    <v>0</v>
    <v>0</v>
  </rv>
  <rv s="0">
    <v>103</v>
    <v>1</v>
    <v>0</v>
    <v>0</v>
  </rv>
  <rv s="0">
    <v>104</v>
    <v>1</v>
    <v>0</v>
    <v>0</v>
  </rv>
  <rv s="0">
    <v>105</v>
    <v>1</v>
    <v>0</v>
    <v>0</v>
  </rv>
  <rv s="0">
    <v>106</v>
    <v>1</v>
    <v>0</v>
    <v>0</v>
  </rv>
  <rv s="0">
    <v>107</v>
    <v>1</v>
    <v>0</v>
    <v>0</v>
  </rv>
  <rv s="0">
    <v>108</v>
    <v>1</v>
    <v>0</v>
    <v>0</v>
  </rv>
  <rv s="0">
    <v>109</v>
    <v>1</v>
    <v>0</v>
    <v>0</v>
  </rv>
  <rv s="0">
    <v>110</v>
    <v>1</v>
    <v>0</v>
    <v>0</v>
  </rv>
  <rv s="0">
    <v>111</v>
    <v>1</v>
    <v>0</v>
    <v>0</v>
  </rv>
  <rv s="0">
    <v>112</v>
    <v>1</v>
    <v>0</v>
    <v>0</v>
  </rv>
  <rv s="0">
    <v>113</v>
    <v>1</v>
    <v>0</v>
    <v>0</v>
  </rv>
  <rv s="0">
    <v>114</v>
    <v>1</v>
    <v>0</v>
    <v>0</v>
  </rv>
  <rv s="0">
    <v>115</v>
    <v>1</v>
    <v>0</v>
    <v>0</v>
  </rv>
  <rv s="0">
    <v>116</v>
    <v>1</v>
    <v>0</v>
    <v>0</v>
  </rv>
  <rv s="0">
    <v>117</v>
    <v>1</v>
    <v>0</v>
    <v>0</v>
  </rv>
  <rv s="0">
    <v>118</v>
    <v>1</v>
    <v>0</v>
    <v>0</v>
  </rv>
  <rv s="0">
    <v>119</v>
    <v>1</v>
    <v>0</v>
    <v>0</v>
  </rv>
  <rv s="0">
    <v>120</v>
    <v>1</v>
    <v>0</v>
    <v>0</v>
  </rv>
  <rv s="0">
    <v>121</v>
    <v>1</v>
    <v>0</v>
    <v>0</v>
  </rv>
  <rv s="0">
    <v>122</v>
    <v>1</v>
    <v>0</v>
    <v>0</v>
  </rv>
  <rv s="0">
    <v>123</v>
    <v>1</v>
    <v>0</v>
    <v>0</v>
  </rv>
  <rv s="0">
    <v>124</v>
    <v>1</v>
    <v>0</v>
    <v>0</v>
  </rv>
  <rv s="0">
    <v>125</v>
    <v>1</v>
    <v>0</v>
    <v>0</v>
  </rv>
  <rv s="0">
    <v>126</v>
    <v>1</v>
    <v>0</v>
    <v>0</v>
  </rv>
  <rv s="0">
    <v>127</v>
    <v>1</v>
    <v>0</v>
    <v>0</v>
  </rv>
  <rv s="0">
    <v>128</v>
    <v>1</v>
    <v>0</v>
    <v>0</v>
  </rv>
  <rv s="0">
    <v>129</v>
    <v>1</v>
    <v>0</v>
    <v>0</v>
  </rv>
  <rv s="0">
    <v>130</v>
    <v>1</v>
    <v>0</v>
    <v>0</v>
  </rv>
  <rv s="0">
    <v>131</v>
    <v>1</v>
    <v>0</v>
    <v>0</v>
  </rv>
  <rv s="0">
    <v>132</v>
    <v>1</v>
    <v>0</v>
    <v>0</v>
  </rv>
  <rv s="0">
    <v>133</v>
    <v>1</v>
    <v>0</v>
    <v>0</v>
  </rv>
  <rv s="0">
    <v>134</v>
    <v>1</v>
    <v>0</v>
    <v>0</v>
  </rv>
  <rv s="0">
    <v>135</v>
    <v>1</v>
    <v>0</v>
    <v>0</v>
  </rv>
  <rv s="0">
    <v>136</v>
    <v>1</v>
    <v>0</v>
    <v>0</v>
  </rv>
  <rv s="0">
    <v>137</v>
    <v>1</v>
    <v>0</v>
    <v>0</v>
  </rv>
  <rv s="0">
    <v>138</v>
    <v>1</v>
    <v>0</v>
    <v>0</v>
  </rv>
  <rv s="0">
    <v>139</v>
    <v>1</v>
    <v>0</v>
    <v>0</v>
  </rv>
  <rv s="0">
    <v>140</v>
    <v>1</v>
    <v>0</v>
    <v>0</v>
  </rv>
  <rv s="0">
    <v>141</v>
    <v>1</v>
    <v>0</v>
    <v>0</v>
  </rv>
  <rv s="0">
    <v>142</v>
    <v>1</v>
    <v>0</v>
    <v>0</v>
  </rv>
  <rv s="0">
    <v>143</v>
    <v>1</v>
    <v>0</v>
    <v>0</v>
  </rv>
  <rv s="0">
    <v>144</v>
    <v>1</v>
    <v>0</v>
    <v>0</v>
  </rv>
  <rv s="0">
    <v>145</v>
    <v>1</v>
    <v>0</v>
    <v>0</v>
  </rv>
  <rv s="0">
    <v>146</v>
    <v>1</v>
    <v>0</v>
    <v>0</v>
  </rv>
  <rv s="0">
    <v>147</v>
    <v>1</v>
    <v>0</v>
    <v>0</v>
  </rv>
  <rv s="0">
    <v>148</v>
    <v>1</v>
    <v>0</v>
    <v>0</v>
  </rv>
  <rv s="0">
    <v>149</v>
    <v>1</v>
    <v>0</v>
    <v>0</v>
  </rv>
  <rv s="0">
    <v>150</v>
    <v>1</v>
    <v>0</v>
    <v>0</v>
  </rv>
  <rv s="0">
    <v>151</v>
    <v>1</v>
    <v>0</v>
    <v>0</v>
  </rv>
  <rv s="0">
    <v>152</v>
    <v>1</v>
    <v>0</v>
    <v>0</v>
  </rv>
  <rv s="0">
    <v>153</v>
    <v>1</v>
    <v>0</v>
    <v>0</v>
  </rv>
  <rv s="0">
    <v>154</v>
    <v>1</v>
    <v>0</v>
    <v>0</v>
  </rv>
  <rv s="0">
    <v>155</v>
    <v>1</v>
    <v>0</v>
    <v>0</v>
  </rv>
  <rv s="0">
    <v>156</v>
    <v>1</v>
    <v>0</v>
    <v>0</v>
  </rv>
  <rv s="0">
    <v>157</v>
    <v>1</v>
    <v>0</v>
    <v>0</v>
  </rv>
  <rv s="0">
    <v>158</v>
    <v>1</v>
    <v>0</v>
    <v>0</v>
  </rv>
  <rv s="0">
    <v>159</v>
    <v>1</v>
    <v>0</v>
    <v>0</v>
  </rv>
  <rv s="0">
    <v>160</v>
    <v>1</v>
    <v>0</v>
    <v>0</v>
  </rv>
  <rv s="0">
    <v>161</v>
    <v>1</v>
    <v>0</v>
    <v>0</v>
  </rv>
  <rv s="0">
    <v>162</v>
    <v>1</v>
    <v>0</v>
    <v>0</v>
  </rv>
  <rv s="0">
    <v>163</v>
    <v>1</v>
    <v>0</v>
    <v>0</v>
  </rv>
  <rv s="0">
    <v>164</v>
    <v>1</v>
    <v>0</v>
    <v>0</v>
  </rv>
  <rv s="0">
    <v>165</v>
    <v>1</v>
    <v>0</v>
    <v>0</v>
  </rv>
  <rv s="0">
    <v>166</v>
    <v>1</v>
    <v>0</v>
    <v>0</v>
  </rv>
  <rv s="0">
    <v>167</v>
    <v>1</v>
    <v>0</v>
    <v>0</v>
  </rv>
  <rv s="0">
    <v>168</v>
    <v>1</v>
    <v>0</v>
    <v>0</v>
  </rv>
  <rv s="0">
    <v>169</v>
    <v>1</v>
    <v>0</v>
    <v>0</v>
  </rv>
  <rv s="0">
    <v>170</v>
    <v>1</v>
    <v>0</v>
    <v>0</v>
  </rv>
  <rv s="0">
    <v>171</v>
    <v>1</v>
    <v>0</v>
    <v>0</v>
  </rv>
  <rv s="0">
    <v>172</v>
    <v>1</v>
    <v>0</v>
    <v>0</v>
  </rv>
  <rv s="0">
    <v>173</v>
    <v>1</v>
    <v>0</v>
    <v>0</v>
  </rv>
  <rv s="0">
    <v>174</v>
    <v>1</v>
    <v>0</v>
    <v>0</v>
  </rv>
  <rv s="0">
    <v>175</v>
    <v>1</v>
    <v>0</v>
    <v>0</v>
  </rv>
  <rv s="0">
    <v>176</v>
    <v>1</v>
    <v>0</v>
    <v>0</v>
  </rv>
  <rv s="0">
    <v>177</v>
    <v>1</v>
    <v>0</v>
    <v>0</v>
  </rv>
  <rv s="0">
    <v>178</v>
    <v>1</v>
    <v>0</v>
    <v>0</v>
  </rv>
  <rv s="0">
    <v>179</v>
    <v>1</v>
    <v>0</v>
    <v>0</v>
  </rv>
  <rv s="0">
    <v>180</v>
    <v>1</v>
    <v>0</v>
    <v>0</v>
  </rv>
  <rv s="0">
    <v>181</v>
    <v>1</v>
    <v>0</v>
    <v>0</v>
  </rv>
  <rv s="0">
    <v>182</v>
    <v>1</v>
    <v>0</v>
    <v>0</v>
  </rv>
  <rv s="0">
    <v>183</v>
    <v>1</v>
    <v>0</v>
    <v>0</v>
  </rv>
  <rv s="0">
    <v>184</v>
    <v>1</v>
    <v>0</v>
    <v>0</v>
  </rv>
  <rv s="0">
    <v>185</v>
    <v>1</v>
    <v>0</v>
    <v>0</v>
  </rv>
  <rv s="0">
    <v>186</v>
    <v>1</v>
    <v>0</v>
    <v>0</v>
  </rv>
  <rv s="0">
    <v>187</v>
    <v>1</v>
    <v>0</v>
    <v>0</v>
  </rv>
  <rv s="0">
    <v>188</v>
    <v>1</v>
    <v>0</v>
    <v>0</v>
  </rv>
  <rv s="0">
    <v>189</v>
    <v>1</v>
    <v>0</v>
    <v>0</v>
  </rv>
  <rv s="0">
    <v>190</v>
    <v>1</v>
    <v>0</v>
    <v>0</v>
  </rv>
  <rv s="0">
    <v>191</v>
    <v>1</v>
    <v>0</v>
    <v>0</v>
  </rv>
  <rv s="0">
    <v>192</v>
    <v>1</v>
    <v>0</v>
    <v>0</v>
  </rv>
  <rv s="0">
    <v>193</v>
    <v>1</v>
    <v>0</v>
    <v>0</v>
  </rv>
  <rv s="0">
    <v>194</v>
    <v>1</v>
    <v>0</v>
    <v>0</v>
  </rv>
  <rv s="0">
    <v>195</v>
    <v>1</v>
    <v>0</v>
    <v>0</v>
  </rv>
  <rv s="0">
    <v>196</v>
    <v>1</v>
    <v>0</v>
    <v>0</v>
  </rv>
  <rv s="0">
    <v>197</v>
    <v>1</v>
    <v>0</v>
    <v>0</v>
  </rv>
  <rv s="0">
    <v>198</v>
    <v>1</v>
    <v>0</v>
    <v>0</v>
  </rv>
  <rv s="0">
    <v>199</v>
    <v>1</v>
    <v>0</v>
    <v>0</v>
  </rv>
  <rv s="0">
    <v>200</v>
    <v>1</v>
    <v>0</v>
    <v>0</v>
  </rv>
  <rv s="0">
    <v>201</v>
    <v>1</v>
    <v>0</v>
    <v>0</v>
  </rv>
  <rv s="0">
    <v>202</v>
    <v>1</v>
    <v>0</v>
    <v>0</v>
  </rv>
  <rv s="0">
    <v>203</v>
    <v>1</v>
    <v>0</v>
    <v>0</v>
  </rv>
  <rv s="0">
    <v>204</v>
    <v>1</v>
    <v>0</v>
    <v>0</v>
  </rv>
  <rv s="0">
    <v>205</v>
    <v>1</v>
    <v>0</v>
    <v>0</v>
  </rv>
  <rv s="0">
    <v>206</v>
    <v>1</v>
    <v>0</v>
    <v>0</v>
  </rv>
  <rv s="0">
    <v>207</v>
    <v>1</v>
    <v>0</v>
    <v>0</v>
  </rv>
  <rv s="0">
    <v>208</v>
    <v>1</v>
    <v>0</v>
    <v>0</v>
  </rv>
  <rv s="0">
    <v>209</v>
    <v>1</v>
    <v>0</v>
    <v>0</v>
  </rv>
  <rv s="0">
    <v>210</v>
    <v>1</v>
    <v>0</v>
    <v>0</v>
  </rv>
  <rv s="0">
    <v>211</v>
    <v>1</v>
    <v>0</v>
    <v>0</v>
  </rv>
  <rv s="0">
    <v>212</v>
    <v>1</v>
    <v>0</v>
    <v>0</v>
  </rv>
  <rv s="0">
    <v>213</v>
    <v>1</v>
    <v>0</v>
    <v>0</v>
  </rv>
  <rv s="0">
    <v>214</v>
    <v>1</v>
    <v>0</v>
    <v>0</v>
  </rv>
  <rv s="0">
    <v>215</v>
    <v>1</v>
    <v>0</v>
    <v>0</v>
  </rv>
  <rv s="0">
    <v>216</v>
    <v>1</v>
    <v>0</v>
    <v>0</v>
  </rv>
  <rv s="0">
    <v>217</v>
    <v>1</v>
    <v>0</v>
    <v>0</v>
  </rv>
  <rv s="0">
    <v>218</v>
    <v>1</v>
    <v>0</v>
    <v>0</v>
  </rv>
  <rv s="0">
    <v>219</v>
    <v>1</v>
    <v>0</v>
    <v>0</v>
  </rv>
  <rv s="0">
    <v>220</v>
    <v>1</v>
    <v>0</v>
    <v>0</v>
  </rv>
  <rv s="0">
    <v>221</v>
    <v>1</v>
    <v>0</v>
    <v>0</v>
  </rv>
  <rv s="0">
    <v>222</v>
    <v>1</v>
    <v>0</v>
    <v>0</v>
  </rv>
  <rv s="0">
    <v>223</v>
    <v>1</v>
    <v>0</v>
    <v>0</v>
  </rv>
  <rv s="0">
    <v>224</v>
    <v>1</v>
    <v>0</v>
    <v>0</v>
  </rv>
  <rv s="0">
    <v>225</v>
    <v>1</v>
    <v>0</v>
    <v>0</v>
  </rv>
  <rv s="0">
    <v>226</v>
    <v>1</v>
    <v>0</v>
    <v>0</v>
  </rv>
  <rv s="0">
    <v>227</v>
    <v>1</v>
    <v>0</v>
    <v>0</v>
  </rv>
  <rv s="0">
    <v>228</v>
    <v>1</v>
    <v>0</v>
    <v>0</v>
  </rv>
  <rv s="0">
    <v>229</v>
    <v>1</v>
    <v>0</v>
    <v>0</v>
  </rv>
  <rv s="0">
    <v>230</v>
    <v>1</v>
    <v>0</v>
    <v>0</v>
  </rv>
  <rv s="0">
    <v>231</v>
    <v>1</v>
    <v>0</v>
    <v>0</v>
  </rv>
  <rv s="0">
    <v>232</v>
    <v>1</v>
    <v>0</v>
    <v>0</v>
  </rv>
  <rv s="0">
    <v>233</v>
    <v>1</v>
    <v>0</v>
    <v>0</v>
  </rv>
  <rv s="0">
    <v>234</v>
    <v>1</v>
    <v>0</v>
    <v>0</v>
  </rv>
  <rv s="0">
    <v>235</v>
    <v>1</v>
    <v>0</v>
    <v>0</v>
  </rv>
  <rv s="0">
    <v>236</v>
    <v>1</v>
    <v>0</v>
    <v>0</v>
  </rv>
  <rv s="0">
    <v>237</v>
    <v>1</v>
    <v>0</v>
    <v>0</v>
  </rv>
  <rv s="0">
    <v>238</v>
    <v>1</v>
    <v>0</v>
    <v>0</v>
  </rv>
  <rv s="0">
    <v>239</v>
    <v>1</v>
    <v>0</v>
    <v>0</v>
  </rv>
  <rv s="0">
    <v>240</v>
    <v>1</v>
    <v>0</v>
    <v>0</v>
  </rv>
  <rv s="0">
    <v>241</v>
    <v>1</v>
    <v>0</v>
    <v>0</v>
  </rv>
  <rv s="0">
    <v>242</v>
    <v>1</v>
    <v>0</v>
    <v>0</v>
  </rv>
  <rv s="0">
    <v>243</v>
    <v>1</v>
    <v>0</v>
    <v>0</v>
  </rv>
  <rv s="0">
    <v>244</v>
    <v>1</v>
    <v>0</v>
    <v>0</v>
  </rv>
  <rv s="0">
    <v>245</v>
    <v>1</v>
    <v>0</v>
    <v>0</v>
  </rv>
  <rv s="0">
    <v>246</v>
    <v>1</v>
    <v>0</v>
    <v>0</v>
  </rv>
  <rv s="0">
    <v>247</v>
    <v>1</v>
    <v>0</v>
    <v>0</v>
  </rv>
  <rv s="0">
    <v>248</v>
    <v>1</v>
    <v>0</v>
    <v>0</v>
  </rv>
  <rv s="0">
    <v>249</v>
    <v>1</v>
    <v>0</v>
    <v>0</v>
  </rv>
  <rv s="0">
    <v>250</v>
    <v>1</v>
    <v>0</v>
    <v>0</v>
  </rv>
  <rv s="0">
    <v>251</v>
    <v>1</v>
    <v>0</v>
    <v>0</v>
  </rv>
  <rv s="0">
    <v>252</v>
    <v>1</v>
    <v>0</v>
    <v>0</v>
  </rv>
  <rv s="0">
    <v>253</v>
    <v>1</v>
    <v>0</v>
    <v>0</v>
  </rv>
  <rv s="0">
    <v>254</v>
    <v>1</v>
    <v>0</v>
    <v>0</v>
  </rv>
  <rv s="0">
    <v>255</v>
    <v>1</v>
    <v>0</v>
    <v>0</v>
  </rv>
  <rv s="0">
    <v>256</v>
    <v>1</v>
    <v>0</v>
    <v>0</v>
  </rv>
  <rv s="0">
    <v>257</v>
    <v>1</v>
    <v>0</v>
    <v>0</v>
  </rv>
  <rv s="0">
    <v>258</v>
    <v>1</v>
    <v>0</v>
    <v>0</v>
  </rv>
  <rv s="0">
    <v>259</v>
    <v>1</v>
    <v>0</v>
    <v>0</v>
  </rv>
  <rv s="0">
    <v>260</v>
    <v>1</v>
    <v>0</v>
    <v>0</v>
  </rv>
  <rv s="0">
    <v>261</v>
    <v>1</v>
    <v>0</v>
    <v>0</v>
  </rv>
  <rv s="0">
    <v>262</v>
    <v>1</v>
    <v>0</v>
    <v>0</v>
  </rv>
  <rv s="0">
    <v>263</v>
    <v>1</v>
    <v>0</v>
    <v>0</v>
  </rv>
  <rv s="0">
    <v>264</v>
    <v>1</v>
    <v>0</v>
    <v>0</v>
  </rv>
  <rv s="0">
    <v>265</v>
    <v>1</v>
    <v>0</v>
    <v>0</v>
  </rv>
  <rv s="0">
    <v>266</v>
    <v>1</v>
    <v>0</v>
    <v>0</v>
  </rv>
  <rv s="0">
    <v>267</v>
    <v>1</v>
    <v>0</v>
    <v>0</v>
  </rv>
  <rv s="0">
    <v>268</v>
    <v>1</v>
    <v>0</v>
    <v>0</v>
  </rv>
  <rv s="0">
    <v>269</v>
    <v>1</v>
    <v>0</v>
    <v>0</v>
  </rv>
  <rv s="0">
    <v>270</v>
    <v>1</v>
    <v>0</v>
    <v>0</v>
  </rv>
  <rv s="0">
    <v>271</v>
    <v>1</v>
    <v>0</v>
    <v>0</v>
  </rv>
  <rv s="0">
    <v>272</v>
    <v>1</v>
    <v>0</v>
    <v>0</v>
  </rv>
  <rv s="0">
    <v>273</v>
    <v>1</v>
    <v>0</v>
    <v>0</v>
  </rv>
  <rv s="0">
    <v>274</v>
    <v>1</v>
    <v>0</v>
    <v>0</v>
  </rv>
  <rv s="0">
    <v>275</v>
    <v>1</v>
    <v>0</v>
    <v>0</v>
  </rv>
  <rv s="0">
    <v>276</v>
    <v>1</v>
    <v>0</v>
    <v>0</v>
  </rv>
  <rv s="0">
    <v>277</v>
    <v>1</v>
    <v>0</v>
    <v>0</v>
  </rv>
  <rv s="0">
    <v>278</v>
    <v>1</v>
    <v>0</v>
    <v>0</v>
  </rv>
  <rv s="0">
    <v>279</v>
    <v>1</v>
    <v>0</v>
    <v>0</v>
  </rv>
  <rv s="0">
    <v>280</v>
    <v>1</v>
    <v>0</v>
    <v>0</v>
  </rv>
  <rv s="0">
    <v>281</v>
    <v>1</v>
    <v>0</v>
    <v>0</v>
  </rv>
  <rv s="0">
    <v>282</v>
    <v>1</v>
    <v>0</v>
    <v>0</v>
  </rv>
  <rv s="0">
    <v>283</v>
    <v>1</v>
    <v>0</v>
    <v>0</v>
  </rv>
  <rv s="0">
    <v>284</v>
    <v>1</v>
    <v>0</v>
    <v>0</v>
  </rv>
  <rv s="0">
    <v>285</v>
    <v>1</v>
    <v>0</v>
    <v>0</v>
  </rv>
  <rv s="0">
    <v>286</v>
    <v>1</v>
    <v>0</v>
    <v>0</v>
  </rv>
  <rv s="0">
    <v>287</v>
    <v>1</v>
    <v>0</v>
    <v>0</v>
  </rv>
  <rv s="0">
    <v>288</v>
    <v>1</v>
    <v>0</v>
    <v>0</v>
  </rv>
  <rv s="0">
    <v>289</v>
    <v>1</v>
    <v>0</v>
    <v>0</v>
  </rv>
  <rv s="0">
    <v>290</v>
    <v>1</v>
    <v>0</v>
    <v>0</v>
  </rv>
  <rv s="0">
    <v>291</v>
    <v>1</v>
    <v>0</v>
    <v>0</v>
  </rv>
  <rv s="0">
    <v>292</v>
    <v>1</v>
    <v>0</v>
    <v>0</v>
  </rv>
  <rv s="0">
    <v>293</v>
    <v>1</v>
    <v>0</v>
    <v>0</v>
  </rv>
  <rv s="0">
    <v>294</v>
    <v>1</v>
    <v>0</v>
    <v>0</v>
  </rv>
  <rv s="0">
    <v>295</v>
    <v>1</v>
    <v>0</v>
    <v>0</v>
  </rv>
  <rv s="0">
    <v>296</v>
    <v>1</v>
    <v>0</v>
    <v>0</v>
  </rv>
  <rv s="0">
    <v>297</v>
    <v>1</v>
    <v>0</v>
    <v>0</v>
  </rv>
  <rv s="0">
    <v>298</v>
    <v>1</v>
    <v>0</v>
    <v>0</v>
  </rv>
  <rv s="0">
    <v>299</v>
    <v>1</v>
    <v>0</v>
    <v>0</v>
  </rv>
  <rv s="0">
    <v>300</v>
    <v>1</v>
    <v>0</v>
    <v>0</v>
  </rv>
  <rv s="0">
    <v>301</v>
    <v>1</v>
    <v>0</v>
    <v>0</v>
  </rv>
  <rv s="0">
    <v>302</v>
    <v>1</v>
    <v>0</v>
    <v>0</v>
  </rv>
  <rv s="0">
    <v>303</v>
    <v>1</v>
    <v>0</v>
    <v>0</v>
  </rv>
  <rv s="0">
    <v>304</v>
    <v>1</v>
    <v>0</v>
    <v>0</v>
  </rv>
  <rv s="0">
    <v>305</v>
    <v>1</v>
    <v>0</v>
    <v>0</v>
  </rv>
  <rv s="0">
    <v>306</v>
    <v>1</v>
    <v>0</v>
    <v>0</v>
  </rv>
  <rv s="0">
    <v>307</v>
    <v>1</v>
    <v>0</v>
    <v>0</v>
  </rv>
  <rv s="0">
    <v>308</v>
    <v>1</v>
    <v>0</v>
    <v>0</v>
  </rv>
  <rv s="0">
    <v>309</v>
    <v>1</v>
    <v>0</v>
    <v>0</v>
  </rv>
  <rv s="0">
    <v>310</v>
    <v>1</v>
    <v>0</v>
    <v>0</v>
  </rv>
  <rv s="0">
    <v>311</v>
    <v>1</v>
    <v>0</v>
    <v>0</v>
  </rv>
  <rv s="0">
    <v>312</v>
    <v>1</v>
    <v>0</v>
    <v>0</v>
  </rv>
  <rv s="0">
    <v>313</v>
    <v>1</v>
    <v>0</v>
    <v>0</v>
  </rv>
  <rv s="0">
    <v>314</v>
    <v>1</v>
    <v>0</v>
    <v>0</v>
  </rv>
  <rv s="0">
    <v>315</v>
    <v>1</v>
    <v>0</v>
    <v>0</v>
  </rv>
  <rv s="0">
    <v>316</v>
    <v>1</v>
    <v>0</v>
    <v>0</v>
  </rv>
  <rv s="0">
    <v>317</v>
    <v>1</v>
    <v>0</v>
    <v>0</v>
  </rv>
  <rv s="0">
    <v>318</v>
    <v>1</v>
    <v>0</v>
    <v>0</v>
  </rv>
  <rv s="0">
    <v>319</v>
    <v>1</v>
    <v>0</v>
    <v>0</v>
  </rv>
  <rv s="0">
    <v>320</v>
    <v>1</v>
    <v>0</v>
    <v>0</v>
  </rv>
  <rv s="0">
    <v>321</v>
    <v>1</v>
    <v>0</v>
    <v>0</v>
  </rv>
  <rv s="0">
    <v>322</v>
    <v>1</v>
    <v>0</v>
    <v>0</v>
  </rv>
  <rv s="0">
    <v>323</v>
    <v>1</v>
    <v>0</v>
    <v>0</v>
  </rv>
  <rv s="0">
    <v>324</v>
    <v>1</v>
    <v>0</v>
    <v>0</v>
  </rv>
  <rv s="0">
    <v>325</v>
    <v>1</v>
    <v>0</v>
    <v>0</v>
  </rv>
  <rv s="0">
    <v>326</v>
    <v>1</v>
    <v>0</v>
    <v>0</v>
  </rv>
  <rv s="0">
    <v>327</v>
    <v>1</v>
    <v>0</v>
    <v>0</v>
  </rv>
  <rv s="0">
    <v>328</v>
    <v>1</v>
    <v>0</v>
    <v>0</v>
  </rv>
  <rv s="0">
    <v>329</v>
    <v>1</v>
    <v>0</v>
    <v>0</v>
  </rv>
  <rv s="0">
    <v>330</v>
    <v>1</v>
    <v>0</v>
    <v>0</v>
  </rv>
  <rv s="0">
    <v>331</v>
    <v>1</v>
    <v>0</v>
    <v>0</v>
  </rv>
  <rv s="0">
    <v>332</v>
    <v>1</v>
    <v>0</v>
    <v>0</v>
  </rv>
  <rv s="0">
    <v>333</v>
    <v>1</v>
    <v>0</v>
    <v>0</v>
  </rv>
  <rv s="0">
    <v>334</v>
    <v>1</v>
    <v>0</v>
    <v>0</v>
  </rv>
  <rv s="0">
    <v>335</v>
    <v>1</v>
    <v>0</v>
    <v>0</v>
  </rv>
  <rv s="0">
    <v>336</v>
    <v>1</v>
    <v>0</v>
    <v>0</v>
  </rv>
  <rv s="0">
    <v>337</v>
    <v>1</v>
    <v>0</v>
    <v>0</v>
  </rv>
  <rv s="0">
    <v>338</v>
    <v>1</v>
    <v>0</v>
    <v>0</v>
  </rv>
  <rv s="0">
    <v>339</v>
    <v>1</v>
    <v>0</v>
    <v>0</v>
  </rv>
  <rv s="0">
    <v>340</v>
    <v>1</v>
    <v>0</v>
    <v>0</v>
  </rv>
  <rv s="0">
    <v>341</v>
    <v>1</v>
    <v>0</v>
    <v>0</v>
  </rv>
  <rv s="0">
    <v>342</v>
    <v>1</v>
    <v>0</v>
    <v>0</v>
  </rv>
  <rv s="0">
    <v>343</v>
    <v>1</v>
    <v>0</v>
    <v>0</v>
  </rv>
  <rv s="0">
    <v>344</v>
    <v>1</v>
    <v>0</v>
    <v>0</v>
  </rv>
  <rv s="0">
    <v>345</v>
    <v>1</v>
    <v>0</v>
    <v>0</v>
  </rv>
  <rv s="0">
    <v>346</v>
    <v>1</v>
    <v>0</v>
    <v>0</v>
  </rv>
  <rv s="0">
    <v>347</v>
    <v>1</v>
    <v>0</v>
    <v>0</v>
  </rv>
  <rv s="0">
    <v>348</v>
    <v>1</v>
    <v>0</v>
    <v>0</v>
  </rv>
  <rv s="0">
    <v>349</v>
    <v>1</v>
    <v>0</v>
    <v>0</v>
  </rv>
  <rv s="0">
    <v>350</v>
    <v>1</v>
    <v>0</v>
    <v>0</v>
  </rv>
  <rv s="0">
    <v>351</v>
    <v>1</v>
    <v>0</v>
    <v>0</v>
  </rv>
  <rv s="0">
    <v>352</v>
    <v>1</v>
    <v>0</v>
    <v>0</v>
  </rv>
  <rv s="0">
    <v>353</v>
    <v>1</v>
    <v>0</v>
    <v>0</v>
  </rv>
  <rv s="0">
    <v>354</v>
    <v>1</v>
    <v>0</v>
    <v>0</v>
  </rv>
  <rv s="0">
    <v>355</v>
    <v>1</v>
    <v>0</v>
    <v>0</v>
  </rv>
  <rv s="0">
    <v>356</v>
    <v>1</v>
    <v>0</v>
    <v>0</v>
  </rv>
  <rv s="0">
    <v>357</v>
    <v>1</v>
    <v>0</v>
    <v>0</v>
  </rv>
  <rv s="0">
    <v>358</v>
    <v>1</v>
    <v>0</v>
    <v>0</v>
  </rv>
  <rv s="0">
    <v>359</v>
    <v>1</v>
    <v>0</v>
    <v>0</v>
  </rv>
  <rv s="0">
    <v>360</v>
    <v>1</v>
    <v>0</v>
    <v>0</v>
  </rv>
  <rv s="0">
    <v>361</v>
    <v>1</v>
    <v>0</v>
    <v>0</v>
  </rv>
  <rv s="0">
    <v>362</v>
    <v>1</v>
    <v>0</v>
    <v>0</v>
  </rv>
  <rv s="0">
    <v>363</v>
    <v>1</v>
    <v>0</v>
    <v>0</v>
  </rv>
  <rv s="0">
    <v>364</v>
    <v>1</v>
    <v>0</v>
    <v>0</v>
  </rv>
  <rv s="0">
    <v>365</v>
    <v>1</v>
    <v>0</v>
    <v>0</v>
  </rv>
  <rv s="0">
    <v>366</v>
    <v>1</v>
    <v>0</v>
    <v>0</v>
  </rv>
  <rv s="0">
    <v>367</v>
    <v>1</v>
    <v>0</v>
    <v>0</v>
  </rv>
  <rv s="0">
    <v>368</v>
    <v>1</v>
    <v>0</v>
    <v>0</v>
  </rv>
  <rv s="0">
    <v>369</v>
    <v>1</v>
    <v>0</v>
    <v>0</v>
  </rv>
  <rv s="0">
    <v>370</v>
    <v>1</v>
    <v>0</v>
    <v>0</v>
  </rv>
  <rv s="0">
    <v>371</v>
    <v>1</v>
    <v>0</v>
    <v>0</v>
  </rv>
  <rv s="0">
    <v>372</v>
    <v>1</v>
    <v>0</v>
    <v>0</v>
  </rv>
  <rv s="0">
    <v>373</v>
    <v>1</v>
    <v>0</v>
    <v>0</v>
  </rv>
  <rv s="0">
    <v>374</v>
    <v>1</v>
    <v>0</v>
    <v>0</v>
  </rv>
  <rv s="0">
    <v>375</v>
    <v>1</v>
    <v>0</v>
    <v>0</v>
  </rv>
  <rv s="0">
    <v>376</v>
    <v>1</v>
    <v>0</v>
    <v>0</v>
  </rv>
  <rv s="0">
    <v>377</v>
    <v>1</v>
    <v>0</v>
    <v>0</v>
  </rv>
  <rv s="0">
    <v>378</v>
    <v>1</v>
    <v>0</v>
    <v>0</v>
  </rv>
  <rv s="0">
    <v>379</v>
    <v>1</v>
    <v>0</v>
    <v>0</v>
  </rv>
  <rv s="0">
    <v>380</v>
    <v>1</v>
    <v>0</v>
    <v>0</v>
  </rv>
  <rv s="0">
    <v>381</v>
    <v>1</v>
    <v>0</v>
    <v>0</v>
  </rv>
  <rv s="0">
    <v>382</v>
    <v>1</v>
    <v>0</v>
    <v>0</v>
  </rv>
  <rv s="0">
    <v>383</v>
    <v>1</v>
    <v>0</v>
    <v>0</v>
  </rv>
  <rv s="0">
    <v>384</v>
    <v>1</v>
    <v>0</v>
    <v>0</v>
  </rv>
  <rv s="0">
    <v>385</v>
    <v>1</v>
    <v>0</v>
    <v>0</v>
  </rv>
  <rv s="0">
    <v>386</v>
    <v>1</v>
    <v>0</v>
    <v>0</v>
  </rv>
  <rv s="0">
    <v>387</v>
    <v>1</v>
    <v>0</v>
    <v>0</v>
  </rv>
  <rv s="0">
    <v>388</v>
    <v>1</v>
    <v>0</v>
    <v>0</v>
  </rv>
  <rv s="0">
    <v>389</v>
    <v>1</v>
    <v>0</v>
    <v>0</v>
  </rv>
  <rv s="0">
    <v>390</v>
    <v>1</v>
    <v>0</v>
    <v>0</v>
  </rv>
  <rv s="0">
    <v>391</v>
    <v>1</v>
    <v>0</v>
    <v>0</v>
  </rv>
  <rv s="0">
    <v>392</v>
    <v>1</v>
    <v>0</v>
    <v>0</v>
  </rv>
  <rv s="0">
    <v>393</v>
    <v>1</v>
    <v>0</v>
    <v>0</v>
  </rv>
  <rv s="0">
    <v>394</v>
    <v>1</v>
    <v>0</v>
    <v>0</v>
  </rv>
  <rv s="0">
    <v>395</v>
    <v>1</v>
    <v>0</v>
    <v>0</v>
  </rv>
  <rv s="0">
    <v>396</v>
    <v>1</v>
    <v>0</v>
    <v>0</v>
  </rv>
  <rv s="0">
    <v>397</v>
    <v>1</v>
    <v>0</v>
    <v>0</v>
  </rv>
  <rv s="0">
    <v>398</v>
    <v>1</v>
    <v>0</v>
    <v>0</v>
  </rv>
  <rv s="0">
    <v>399</v>
    <v>1</v>
    <v>0</v>
    <v>0</v>
  </rv>
  <rv s="0">
    <v>400</v>
    <v>1</v>
    <v>0</v>
    <v>0</v>
  </rv>
  <rv s="0">
    <v>401</v>
    <v>1</v>
    <v>0</v>
    <v>0</v>
  </rv>
  <rv s="0">
    <v>402</v>
    <v>1</v>
    <v>0</v>
    <v>0</v>
  </rv>
  <rv s="0">
    <v>403</v>
    <v>1</v>
    <v>0</v>
    <v>0</v>
  </rv>
  <rv s="0">
    <v>404</v>
    <v>1</v>
    <v>0</v>
    <v>0</v>
  </rv>
  <rv s="0">
    <v>405</v>
    <v>1</v>
    <v>0</v>
    <v>0</v>
  </rv>
  <rv s="0">
    <v>406</v>
    <v>1</v>
    <v>0</v>
    <v>0</v>
  </rv>
  <rv s="0">
    <v>407</v>
    <v>1</v>
    <v>0</v>
    <v>0</v>
  </rv>
  <rv s="0">
    <v>408</v>
    <v>1</v>
    <v>0</v>
    <v>0</v>
  </rv>
  <rv s="0">
    <v>409</v>
    <v>1</v>
    <v>0</v>
    <v>0</v>
  </rv>
  <rv s="0">
    <v>410</v>
    <v>1</v>
    <v>0</v>
    <v>0</v>
  </rv>
  <rv s="0">
    <v>411</v>
    <v>1</v>
    <v>0</v>
    <v>0</v>
  </rv>
  <rv s="0">
    <v>412</v>
    <v>1</v>
    <v>0</v>
    <v>0</v>
  </rv>
  <rv s="0">
    <v>413</v>
    <v>1</v>
    <v>0</v>
    <v>0</v>
  </rv>
  <rv s="0">
    <v>414</v>
    <v>1</v>
    <v>0</v>
    <v>0</v>
  </rv>
  <rv s="0">
    <v>415</v>
    <v>1</v>
    <v>0</v>
    <v>0</v>
  </rv>
  <rv s="0">
    <v>416</v>
    <v>1</v>
    <v>0</v>
    <v>0</v>
  </rv>
  <rv s="0">
    <v>417</v>
    <v>1</v>
    <v>0</v>
    <v>0</v>
  </rv>
  <rv s="0">
    <v>418</v>
    <v>1</v>
    <v>0</v>
    <v>0</v>
  </rv>
  <rv s="0">
    <v>419</v>
    <v>1</v>
    <v>0</v>
    <v>0</v>
  </rv>
  <rv s="0">
    <v>420</v>
    <v>1</v>
    <v>0</v>
    <v>0</v>
  </rv>
  <rv s="0">
    <v>421</v>
    <v>1</v>
    <v>0</v>
    <v>0</v>
  </rv>
  <rv s="0">
    <v>422</v>
    <v>1</v>
    <v>0</v>
    <v>0</v>
  </rv>
  <rv s="0">
    <v>423</v>
    <v>1</v>
    <v>0</v>
    <v>0</v>
  </rv>
  <rv s="0">
    <v>424</v>
    <v>1</v>
    <v>0</v>
    <v>0</v>
  </rv>
  <rv s="0">
    <v>425</v>
    <v>1</v>
    <v>0</v>
    <v>0</v>
  </rv>
  <rv s="0">
    <v>426</v>
    <v>1</v>
    <v>0</v>
    <v>0</v>
  </rv>
  <rv s="0">
    <v>427</v>
    <v>1</v>
    <v>0</v>
    <v>0</v>
  </rv>
  <rv s="0">
    <v>428</v>
    <v>1</v>
    <v>0</v>
    <v>0</v>
  </rv>
  <rv s="0">
    <v>429</v>
    <v>1</v>
    <v>0</v>
    <v>0</v>
  </rv>
  <rv s="0">
    <v>430</v>
    <v>1</v>
    <v>0</v>
    <v>0</v>
  </rv>
  <rv s="0">
    <v>431</v>
    <v>1</v>
    <v>0</v>
    <v>0</v>
  </rv>
  <rv s="0">
    <v>432</v>
    <v>1</v>
    <v>0</v>
    <v>0</v>
  </rv>
  <rv s="0">
    <v>433</v>
    <v>1</v>
    <v>0</v>
    <v>0</v>
  </rv>
  <rv s="0">
    <v>434</v>
    <v>1</v>
    <v>0</v>
    <v>0</v>
  </rv>
  <rv s="0">
    <v>435</v>
    <v>1</v>
    <v>0</v>
    <v>0</v>
  </rv>
  <rv s="0">
    <v>436</v>
    <v>1</v>
    <v>0</v>
    <v>0</v>
  </rv>
  <rv s="0">
    <v>437</v>
    <v>1</v>
    <v>0</v>
    <v>0</v>
  </rv>
  <rv s="0">
    <v>438</v>
    <v>1</v>
    <v>0</v>
    <v>0</v>
  </rv>
  <rv s="0">
    <v>439</v>
    <v>1</v>
    <v>0</v>
    <v>0</v>
  </rv>
  <rv s="0">
    <v>440</v>
    <v>1</v>
    <v>0</v>
    <v>0</v>
  </rv>
  <rv s="0">
    <v>441</v>
    <v>1</v>
    <v>0</v>
    <v>0</v>
  </rv>
  <rv s="0">
    <v>442</v>
    <v>1</v>
    <v>0</v>
    <v>0</v>
  </rv>
  <rv s="0">
    <v>443</v>
    <v>1</v>
    <v>0</v>
    <v>0</v>
  </rv>
  <rv s="0">
    <v>444</v>
    <v>1</v>
    <v>0</v>
    <v>0</v>
  </rv>
  <rv s="0">
    <v>445</v>
    <v>1</v>
    <v>0</v>
    <v>0</v>
  </rv>
  <rv s="0">
    <v>446</v>
    <v>1</v>
    <v>0</v>
    <v>0</v>
  </rv>
  <rv s="0">
    <v>447</v>
    <v>1</v>
    <v>0</v>
    <v>0</v>
  </rv>
  <rv s="0">
    <v>448</v>
    <v>1</v>
    <v>0</v>
    <v>0</v>
  </rv>
  <rv s="0">
    <v>449</v>
    <v>1</v>
    <v>0</v>
    <v>0</v>
  </rv>
  <rv s="0">
    <v>450</v>
    <v>1</v>
    <v>0</v>
    <v>0</v>
  </rv>
  <rv s="0">
    <v>451</v>
    <v>1</v>
    <v>0</v>
    <v>0</v>
  </rv>
  <rv s="0">
    <v>452</v>
    <v>1</v>
    <v>0</v>
    <v>0</v>
  </rv>
  <rv s="0">
    <v>453</v>
    <v>1</v>
    <v>0</v>
    <v>0</v>
  </rv>
  <rv s="0">
    <v>454</v>
    <v>1</v>
    <v>0</v>
    <v>0</v>
  </rv>
  <rv s="0">
    <v>455</v>
    <v>1</v>
    <v>0</v>
    <v>0</v>
  </rv>
  <rv s="0">
    <v>456</v>
    <v>1</v>
    <v>0</v>
    <v>0</v>
  </rv>
  <rv s="0">
    <v>457</v>
    <v>1</v>
    <v>0</v>
    <v>0</v>
  </rv>
  <rv s="0">
    <v>458</v>
    <v>1</v>
    <v>0</v>
    <v>0</v>
  </rv>
  <rv s="0">
    <v>459</v>
    <v>1</v>
    <v>0</v>
    <v>0</v>
  </rv>
  <rv s="0">
    <v>460</v>
    <v>1</v>
    <v>0</v>
    <v>0</v>
  </rv>
  <rv s="0">
    <v>461</v>
    <v>1</v>
    <v>0</v>
    <v>0</v>
  </rv>
  <rv s="0">
    <v>462</v>
    <v>1</v>
    <v>0</v>
    <v>0</v>
  </rv>
  <rv s="0">
    <v>463</v>
    <v>1</v>
    <v>0</v>
    <v>0</v>
  </rv>
  <rv s="0">
    <v>464</v>
    <v>1</v>
    <v>0</v>
    <v>0</v>
  </rv>
  <rv s="0">
    <v>465</v>
    <v>1</v>
    <v>0</v>
    <v>0</v>
  </rv>
  <rv s="0">
    <v>466</v>
    <v>1</v>
    <v>0</v>
    <v>0</v>
  </rv>
  <rv s="0">
    <v>467</v>
    <v>1</v>
    <v>0</v>
    <v>0</v>
  </rv>
  <rv s="0">
    <v>468</v>
    <v>1</v>
    <v>0</v>
    <v>0</v>
  </rv>
  <rv s="0">
    <v>469</v>
    <v>1</v>
    <v>0</v>
    <v>0</v>
  </rv>
  <rv s="0">
    <v>470</v>
    <v>1</v>
    <v>0</v>
    <v>0</v>
  </rv>
  <rv s="0">
    <v>471</v>
    <v>1</v>
    <v>0</v>
    <v>0</v>
  </rv>
  <rv s="0">
    <v>472</v>
    <v>1</v>
    <v>0</v>
    <v>0</v>
  </rv>
  <rv s="0">
    <v>473</v>
    <v>1</v>
    <v>0</v>
    <v>0</v>
  </rv>
  <rv s="0">
    <v>474</v>
    <v>1</v>
    <v>0</v>
    <v>0</v>
  </rv>
  <rv s="0">
    <v>475</v>
    <v>1</v>
    <v>0</v>
    <v>0</v>
  </rv>
  <rv s="0">
    <v>476</v>
    <v>1</v>
    <v>0</v>
    <v>0</v>
  </rv>
  <rv s="0">
    <v>477</v>
    <v>1</v>
    <v>0</v>
    <v>0</v>
  </rv>
  <rv s="0">
    <v>478</v>
    <v>1</v>
    <v>0</v>
    <v>0</v>
  </rv>
  <rv s="0">
    <v>479</v>
    <v>1</v>
    <v>0</v>
    <v>0</v>
  </rv>
  <rv s="0">
    <v>480</v>
    <v>1</v>
    <v>0</v>
    <v>0</v>
  </rv>
  <rv s="0">
    <v>481</v>
    <v>1</v>
    <v>0</v>
    <v>0</v>
  </rv>
  <rv s="0">
    <v>482</v>
    <v>1</v>
    <v>0</v>
    <v>0</v>
  </rv>
  <rv s="0">
    <v>483</v>
    <v>1</v>
    <v>0</v>
    <v>0</v>
  </rv>
  <rv s="0">
    <v>484</v>
    <v>1</v>
    <v>0</v>
    <v>0</v>
  </rv>
  <rv s="0">
    <v>485</v>
    <v>1</v>
    <v>0</v>
    <v>0</v>
  </rv>
  <rv s="0">
    <v>486</v>
    <v>1</v>
    <v>0</v>
    <v>0</v>
  </rv>
  <rv s="0">
    <v>487</v>
    <v>1</v>
    <v>0</v>
    <v>0</v>
  </rv>
  <rv s="0">
    <v>488</v>
    <v>1</v>
    <v>0</v>
    <v>0</v>
  </rv>
  <rv s="0">
    <v>489</v>
    <v>1</v>
    <v>0</v>
    <v>0</v>
  </rv>
  <rv s="0">
    <v>490</v>
    <v>1</v>
    <v>0</v>
    <v>0</v>
  </rv>
  <rv s="0">
    <v>491</v>
    <v>1</v>
    <v>0</v>
    <v>0</v>
  </rv>
  <rv s="0">
    <v>492</v>
    <v>1</v>
    <v>0</v>
    <v>0</v>
  </rv>
  <rv s="0">
    <v>493</v>
    <v>1</v>
    <v>0</v>
    <v>0</v>
  </rv>
  <rv s="0">
    <v>494</v>
    <v>1</v>
    <v>0</v>
    <v>0</v>
  </rv>
  <rv s="0">
    <v>495</v>
    <v>1</v>
    <v>0</v>
    <v>0</v>
  </rv>
  <rv s="0">
    <v>496</v>
    <v>1</v>
    <v>0</v>
    <v>0</v>
  </rv>
  <rv s="0">
    <v>497</v>
    <v>1</v>
    <v>0</v>
    <v>0</v>
  </rv>
  <rv s="0">
    <v>498</v>
    <v>1</v>
    <v>0</v>
    <v>0</v>
  </rv>
  <rv s="0">
    <v>499</v>
    <v>1</v>
    <v>0</v>
    <v>0</v>
  </rv>
  <rv s="0">
    <v>500</v>
    <v>1</v>
    <v>0</v>
    <v>0</v>
  </rv>
  <rv s="0">
    <v>501</v>
    <v>1</v>
    <v>0</v>
    <v>0</v>
  </rv>
  <rv s="0">
    <v>502</v>
    <v>1</v>
    <v>0</v>
    <v>0</v>
  </rv>
  <rv s="0">
    <v>503</v>
    <v>1</v>
    <v>0</v>
    <v>0</v>
  </rv>
  <rv s="0">
    <v>504</v>
    <v>1</v>
    <v>0</v>
    <v>0</v>
  </rv>
  <rv s="0">
    <v>505</v>
    <v>1</v>
    <v>0</v>
    <v>0</v>
  </rv>
  <rv s="0">
    <v>506</v>
    <v>1</v>
    <v>0</v>
    <v>0</v>
  </rv>
  <rv s="0">
    <v>507</v>
    <v>1</v>
    <v>0</v>
    <v>0</v>
  </rv>
  <rv s="0">
    <v>508</v>
    <v>1</v>
    <v>0</v>
    <v>0</v>
  </rv>
  <rv s="0">
    <v>509</v>
    <v>1</v>
    <v>0</v>
    <v>0</v>
  </rv>
  <rv s="0">
    <v>510</v>
    <v>1</v>
    <v>0</v>
    <v>0</v>
  </rv>
  <rv s="0">
    <v>511</v>
    <v>1</v>
    <v>0</v>
    <v>0</v>
  </rv>
  <rv s="0">
    <v>512</v>
    <v>1</v>
    <v>0</v>
    <v>0</v>
  </rv>
  <rv s="0">
    <v>513</v>
    <v>1</v>
    <v>0</v>
    <v>0</v>
  </rv>
  <rv s="0">
    <v>514</v>
    <v>1</v>
    <v>0</v>
    <v>0</v>
  </rv>
  <rv s="0">
    <v>515</v>
    <v>1</v>
    <v>0</v>
    <v>0</v>
  </rv>
  <rv s="0">
    <v>516</v>
    <v>1</v>
    <v>0</v>
    <v>0</v>
  </rv>
  <rv s="0">
    <v>517</v>
    <v>1</v>
    <v>0</v>
    <v>0</v>
  </rv>
  <rv s="0">
    <v>518</v>
    <v>1</v>
    <v>0</v>
    <v>0</v>
  </rv>
  <rv s="0">
    <v>519</v>
    <v>1</v>
    <v>0</v>
    <v>0</v>
  </rv>
  <rv s="0">
    <v>520</v>
    <v>1</v>
    <v>0</v>
    <v>0</v>
  </rv>
  <rv s="0">
    <v>521</v>
    <v>1</v>
    <v>0</v>
    <v>0</v>
  </rv>
  <rv s="0">
    <v>522</v>
    <v>1</v>
    <v>0</v>
    <v>0</v>
  </rv>
  <rv s="0">
    <v>523</v>
    <v>1</v>
    <v>0</v>
    <v>0</v>
  </rv>
  <rv s="0">
    <v>524</v>
    <v>1</v>
    <v>0</v>
    <v>0</v>
  </rv>
  <rv s="0">
    <v>525</v>
    <v>1</v>
    <v>0</v>
    <v>0</v>
  </rv>
  <rv s="0">
    <v>526</v>
    <v>1</v>
    <v>0</v>
    <v>0</v>
  </rv>
  <rv s="0">
    <v>527</v>
    <v>1</v>
    <v>0</v>
    <v>0</v>
  </rv>
  <rv s="0">
    <v>528</v>
    <v>1</v>
    <v>0</v>
    <v>0</v>
  </rv>
  <rv s="0">
    <v>529</v>
    <v>1</v>
    <v>0</v>
    <v>0</v>
  </rv>
  <rv s="0">
    <v>530</v>
    <v>1</v>
    <v>0</v>
    <v>0</v>
  </rv>
  <rv s="0">
    <v>531</v>
    <v>1</v>
    <v>0</v>
    <v>0</v>
  </rv>
  <rv s="0">
    <v>532</v>
    <v>1</v>
    <v>0</v>
    <v>0</v>
  </rv>
  <rv s="0">
    <v>533</v>
    <v>1</v>
    <v>0</v>
    <v>0</v>
  </rv>
  <rv s="0">
    <v>534</v>
    <v>1</v>
    <v>0</v>
    <v>0</v>
  </rv>
  <rv s="0">
    <v>535</v>
    <v>1</v>
    <v>0</v>
    <v>0</v>
  </rv>
  <rv s="0">
    <v>536</v>
    <v>1</v>
    <v>0</v>
    <v>0</v>
  </rv>
  <rv s="0">
    <v>537</v>
    <v>1</v>
    <v>0</v>
    <v>0</v>
  </rv>
  <rv s="0">
    <v>538</v>
    <v>1</v>
    <v>0</v>
    <v>0</v>
  </rv>
  <rv s="0">
    <v>539</v>
    <v>1</v>
    <v>0</v>
    <v>0</v>
  </rv>
  <rv s="0">
    <v>540</v>
    <v>1</v>
    <v>0</v>
    <v>0</v>
  </rv>
  <rv s="0">
    <v>541</v>
    <v>1</v>
    <v>0</v>
    <v>0</v>
  </rv>
  <rv s="0">
    <v>542</v>
    <v>1</v>
    <v>0</v>
    <v>0</v>
  </rv>
  <rv s="0">
    <v>543</v>
    <v>1</v>
    <v>0</v>
    <v>0</v>
  </rv>
  <rv s="0">
    <v>544</v>
    <v>1</v>
    <v>0</v>
    <v>0</v>
  </rv>
  <rv s="0">
    <v>545</v>
    <v>1</v>
    <v>0</v>
    <v>0</v>
  </rv>
  <rv s="0">
    <v>546</v>
    <v>1</v>
    <v>0</v>
    <v>0</v>
  </rv>
  <rv s="0">
    <v>547</v>
    <v>1</v>
    <v>0</v>
    <v>0</v>
  </rv>
  <rv s="0">
    <v>548</v>
    <v>1</v>
    <v>0</v>
    <v>0</v>
  </rv>
  <rv s="0">
    <v>549</v>
    <v>1</v>
    <v>0</v>
    <v>0</v>
  </rv>
  <rv s="0">
    <v>550</v>
    <v>1</v>
    <v>0</v>
    <v>0</v>
  </rv>
  <rv s="0">
    <v>551</v>
    <v>1</v>
    <v>0</v>
    <v>0</v>
  </rv>
  <rv s="0">
    <v>552</v>
    <v>1</v>
    <v>0</v>
    <v>0</v>
  </rv>
  <rv s="0">
    <v>553</v>
    <v>1</v>
    <v>0</v>
    <v>0</v>
  </rv>
  <rv s="0">
    <v>554</v>
    <v>1</v>
    <v>0</v>
    <v>0</v>
  </rv>
  <rv s="0">
    <v>555</v>
    <v>1</v>
    <v>0</v>
    <v>0</v>
  </rv>
  <rv s="0">
    <v>556</v>
    <v>1</v>
    <v>0</v>
    <v>0</v>
  </rv>
  <rv s="0">
    <v>557</v>
    <v>1</v>
    <v>0</v>
    <v>0</v>
  </rv>
  <rv s="0">
    <v>558</v>
    <v>1</v>
    <v>0</v>
    <v>0</v>
  </rv>
  <rv s="0">
    <v>559</v>
    <v>1</v>
    <v>0</v>
    <v>0</v>
  </rv>
  <rv s="0">
    <v>560</v>
    <v>1</v>
    <v>0</v>
    <v>0</v>
  </rv>
  <rv s="0">
    <v>561</v>
    <v>1</v>
    <v>0</v>
    <v>0</v>
  </rv>
  <rv s="0">
    <v>562</v>
    <v>1</v>
    <v>0</v>
    <v>0</v>
  </rv>
  <rv s="0">
    <v>563</v>
    <v>1</v>
    <v>0</v>
    <v>0</v>
  </rv>
  <rv s="0">
    <v>564</v>
    <v>1</v>
    <v>0</v>
    <v>0</v>
  </rv>
  <rv s="0">
    <v>565</v>
    <v>1</v>
    <v>0</v>
    <v>0</v>
  </rv>
  <rv s="0">
    <v>566</v>
    <v>1</v>
    <v>0</v>
    <v>0</v>
  </rv>
  <rv s="0">
    <v>567</v>
    <v>1</v>
    <v>0</v>
    <v>0</v>
  </rv>
  <rv s="0">
    <v>568</v>
    <v>1</v>
    <v>0</v>
    <v>0</v>
  </rv>
  <rv s="0">
    <v>569</v>
    <v>1</v>
    <v>0</v>
    <v>0</v>
  </rv>
  <rv s="0">
    <v>570</v>
    <v>1</v>
    <v>0</v>
    <v>0</v>
  </rv>
  <rv s="0">
    <v>571</v>
    <v>1</v>
    <v>0</v>
    <v>0</v>
  </rv>
  <rv s="0">
    <v>572</v>
    <v>1</v>
    <v>0</v>
    <v>0</v>
  </rv>
  <rv s="0">
    <v>573</v>
    <v>1</v>
    <v>0</v>
    <v>0</v>
  </rv>
  <rv s="0">
    <v>574</v>
    <v>1</v>
    <v>0</v>
    <v>0</v>
  </rv>
  <rv s="0">
    <v>575</v>
    <v>1</v>
    <v>0</v>
    <v>0</v>
  </rv>
  <rv s="0">
    <v>576</v>
    <v>1</v>
    <v>0</v>
    <v>0</v>
  </rv>
  <rv s="0">
    <v>577</v>
    <v>1</v>
    <v>0</v>
    <v>0</v>
  </rv>
  <rv s="0">
    <v>578</v>
    <v>1</v>
    <v>0</v>
    <v>0</v>
  </rv>
  <rv s="0">
    <v>579</v>
    <v>1</v>
    <v>0</v>
    <v>0</v>
  </rv>
  <rv s="0">
    <v>580</v>
    <v>1</v>
    <v>0</v>
    <v>0</v>
  </rv>
  <rv s="0">
    <v>581</v>
    <v>1</v>
    <v>0</v>
    <v>0</v>
  </rv>
  <rv s="0">
    <v>582</v>
    <v>1</v>
    <v>0</v>
    <v>0</v>
  </rv>
  <rv s="0">
    <v>583</v>
    <v>1</v>
    <v>0</v>
    <v>0</v>
  </rv>
  <rv s="0">
    <v>584</v>
    <v>1</v>
    <v>0</v>
    <v>0</v>
  </rv>
  <rv s="0">
    <v>585</v>
    <v>1</v>
    <v>0</v>
    <v>0</v>
  </rv>
  <rv s="0">
    <v>586</v>
    <v>1</v>
    <v>0</v>
    <v>0</v>
  </rv>
  <rv s="0">
    <v>587</v>
    <v>1</v>
    <v>0</v>
    <v>0</v>
  </rv>
  <rv s="0">
    <v>588</v>
    <v>1</v>
    <v>0</v>
    <v>0</v>
  </rv>
  <rv s="0">
    <v>589</v>
    <v>1</v>
    <v>0</v>
    <v>0</v>
  </rv>
  <rv s="0">
    <v>590</v>
    <v>1</v>
    <v>0</v>
    <v>0</v>
  </rv>
  <rv s="0">
    <v>591</v>
    <v>1</v>
    <v>0</v>
    <v>0</v>
  </rv>
  <rv s="0">
    <v>592</v>
    <v>1</v>
    <v>0</v>
    <v>0</v>
  </rv>
  <rv s="0">
    <v>593</v>
    <v>1</v>
    <v>0</v>
    <v>0</v>
  </rv>
  <rv s="0">
    <v>594</v>
    <v>1</v>
    <v>0</v>
    <v>0</v>
  </rv>
  <rv s="0">
    <v>595</v>
    <v>1</v>
    <v>0</v>
    <v>0</v>
  </rv>
  <rv s="0">
    <v>596</v>
    <v>1</v>
    <v>0</v>
    <v>0</v>
  </rv>
  <rv s="0">
    <v>597</v>
    <v>1</v>
    <v>0</v>
    <v>0</v>
  </rv>
  <rv s="0">
    <v>598</v>
    <v>1</v>
    <v>0</v>
    <v>0</v>
  </rv>
  <rv s="0">
    <v>599</v>
    <v>1</v>
    <v>0</v>
    <v>0</v>
  </rv>
  <rv s="0">
    <v>600</v>
    <v>1</v>
    <v>0</v>
    <v>0</v>
  </rv>
  <rv s="0">
    <v>601</v>
    <v>1</v>
    <v>0</v>
    <v>0</v>
  </rv>
  <rv s="0">
    <v>602</v>
    <v>1</v>
    <v>0</v>
    <v>0</v>
  </rv>
  <rv s="0">
    <v>603</v>
    <v>1</v>
    <v>0</v>
    <v>0</v>
  </rv>
  <rv s="0">
    <v>604</v>
    <v>1</v>
    <v>0</v>
    <v>0</v>
  </rv>
  <rv s="0">
    <v>605</v>
    <v>1</v>
    <v>0</v>
    <v>0</v>
  </rv>
  <rv s="0">
    <v>606</v>
    <v>1</v>
    <v>0</v>
    <v>0</v>
  </rv>
  <rv s="0">
    <v>607</v>
    <v>1</v>
    <v>0</v>
    <v>0</v>
  </rv>
  <rv s="0">
    <v>608</v>
    <v>1</v>
    <v>0</v>
    <v>0</v>
  </rv>
  <rv s="0">
    <v>609</v>
    <v>1</v>
    <v>0</v>
    <v>0</v>
  </rv>
  <rv s="0">
    <v>610</v>
    <v>1</v>
    <v>0</v>
    <v>0</v>
  </rv>
  <rv s="0">
    <v>611</v>
    <v>1</v>
    <v>0</v>
    <v>0</v>
  </rv>
  <rv s="0">
    <v>612</v>
    <v>1</v>
    <v>0</v>
    <v>0</v>
  </rv>
  <rv s="0">
    <v>613</v>
    <v>1</v>
    <v>0</v>
    <v>0</v>
  </rv>
  <rv s="0">
    <v>614</v>
    <v>1</v>
    <v>0</v>
    <v>0</v>
  </rv>
  <rv s="0">
    <v>615</v>
    <v>1</v>
    <v>0</v>
    <v>0</v>
  </rv>
  <rv s="0">
    <v>616</v>
    <v>1</v>
    <v>0</v>
    <v>0</v>
  </rv>
  <rv s="0">
    <v>617</v>
    <v>1</v>
    <v>0</v>
    <v>0</v>
  </rv>
  <rv s="0">
    <v>618</v>
    <v>1</v>
    <v>0</v>
    <v>0</v>
  </rv>
  <rv s="0">
    <v>619</v>
    <v>1</v>
    <v>0</v>
    <v>0</v>
  </rv>
  <rv s="0">
    <v>620</v>
    <v>1</v>
    <v>0</v>
    <v>0</v>
  </rv>
  <rv s="0">
    <v>621</v>
    <v>1</v>
    <v>0</v>
    <v>0</v>
  </rv>
  <rv s="0">
    <v>622</v>
    <v>1</v>
    <v>0</v>
    <v>0</v>
  </rv>
  <rv s="0">
    <v>623</v>
    <v>1</v>
    <v>0</v>
    <v>0</v>
  </rv>
  <rv s="0">
    <v>624</v>
    <v>1</v>
    <v>0</v>
    <v>0</v>
  </rv>
  <rv s="0">
    <v>625</v>
    <v>1</v>
    <v>0</v>
    <v>0</v>
  </rv>
  <rv s="0">
    <v>626</v>
    <v>1</v>
    <v>0</v>
    <v>0</v>
  </rv>
  <rv s="0">
    <v>627</v>
    <v>1</v>
    <v>0</v>
    <v>0</v>
  </rv>
  <rv s="0">
    <v>628</v>
    <v>1</v>
    <v>0</v>
    <v>0</v>
  </rv>
  <rv s="0">
    <v>629</v>
    <v>1</v>
    <v>0</v>
    <v>0</v>
  </rv>
  <rv s="0">
    <v>630</v>
    <v>1</v>
    <v>0</v>
    <v>0</v>
  </rv>
  <rv s="0">
    <v>631</v>
    <v>1</v>
    <v>0</v>
    <v>0</v>
  </rv>
  <rv s="0">
    <v>632</v>
    <v>1</v>
    <v>0</v>
    <v>0</v>
  </rv>
  <rv s="0">
    <v>633</v>
    <v>1</v>
    <v>0</v>
    <v>0</v>
  </rv>
  <rv s="0">
    <v>634</v>
    <v>1</v>
    <v>0</v>
    <v>0</v>
  </rv>
  <rv s="0">
    <v>635</v>
    <v>1</v>
    <v>0</v>
    <v>0</v>
  </rv>
  <rv s="0">
    <v>636</v>
    <v>1</v>
    <v>0</v>
    <v>0</v>
  </rv>
  <rv s="0">
    <v>637</v>
    <v>1</v>
    <v>0</v>
    <v>0</v>
  </rv>
  <rv s="0">
    <v>638</v>
    <v>1</v>
    <v>0</v>
    <v>0</v>
  </rv>
  <rv s="0">
    <v>639</v>
    <v>1</v>
    <v>0</v>
    <v>0</v>
  </rv>
  <rv s="0">
    <v>640</v>
    <v>1</v>
    <v>0</v>
    <v>0</v>
  </rv>
  <rv s="0">
    <v>641</v>
    <v>1</v>
    <v>0</v>
    <v>0</v>
  </rv>
  <rv s="0">
    <v>642</v>
    <v>1</v>
    <v>0</v>
    <v>0</v>
  </rv>
  <rv s="0">
    <v>643</v>
    <v>1</v>
    <v>0</v>
    <v>0</v>
  </rv>
  <rv s="0">
    <v>644</v>
    <v>1</v>
    <v>0</v>
    <v>0</v>
  </rv>
  <rv s="0">
    <v>645</v>
    <v>1</v>
    <v>0</v>
    <v>0</v>
  </rv>
  <rv s="0">
    <v>646</v>
    <v>1</v>
    <v>0</v>
    <v>0</v>
  </rv>
  <rv s="0">
    <v>647</v>
    <v>1</v>
    <v>0</v>
    <v>0</v>
  </rv>
  <rv s="0">
    <v>648</v>
    <v>1</v>
    <v>0</v>
    <v>0</v>
  </rv>
  <rv s="0">
    <v>649</v>
    <v>1</v>
    <v>0</v>
    <v>0</v>
  </rv>
  <rv s="0">
    <v>650</v>
    <v>1</v>
    <v>0</v>
    <v>0</v>
  </rv>
  <rv s="0">
    <v>651</v>
    <v>1</v>
    <v>0</v>
    <v>0</v>
  </rv>
  <rv s="0">
    <v>652</v>
    <v>1</v>
    <v>0</v>
    <v>0</v>
  </rv>
  <rv s="0">
    <v>653</v>
    <v>1</v>
    <v>0</v>
    <v>0</v>
  </rv>
  <rv s="0">
    <v>654</v>
    <v>1</v>
    <v>0</v>
    <v>0</v>
  </rv>
  <rv s="0">
    <v>655</v>
    <v>1</v>
    <v>0</v>
    <v>0</v>
  </rv>
  <rv s="0">
    <v>656</v>
    <v>1</v>
    <v>0</v>
    <v>0</v>
  </rv>
  <rv s="0">
    <v>657</v>
    <v>1</v>
    <v>0</v>
    <v>0</v>
  </rv>
  <rv s="0">
    <v>658</v>
    <v>1</v>
    <v>0</v>
    <v>0</v>
  </rv>
  <rv s="0">
    <v>659</v>
    <v>1</v>
    <v>0</v>
    <v>0</v>
  </rv>
  <rv s="0">
    <v>660</v>
    <v>1</v>
    <v>0</v>
    <v>0</v>
  </rv>
  <rv s="0">
    <v>661</v>
    <v>1</v>
    <v>0</v>
    <v>0</v>
  </rv>
  <rv s="0">
    <v>662</v>
    <v>1</v>
    <v>0</v>
    <v>0</v>
  </rv>
  <rv s="0">
    <v>663</v>
    <v>1</v>
    <v>0</v>
    <v>0</v>
  </rv>
  <rv s="0">
    <v>664</v>
    <v>1</v>
    <v>0</v>
    <v>0</v>
  </rv>
  <rv s="0">
    <v>665</v>
    <v>1</v>
    <v>0</v>
    <v>0</v>
  </rv>
  <rv s="0">
    <v>666</v>
    <v>1</v>
    <v>0</v>
    <v>0</v>
  </rv>
  <rv s="0">
    <v>667</v>
    <v>1</v>
    <v>0</v>
    <v>0</v>
  </rv>
  <rv s="0">
    <v>668</v>
    <v>1</v>
    <v>0</v>
    <v>0</v>
  </rv>
  <rv s="0">
    <v>669</v>
    <v>1</v>
    <v>0</v>
    <v>0</v>
  </rv>
  <rv s="0">
    <v>670</v>
    <v>1</v>
    <v>0</v>
    <v>0</v>
  </rv>
  <rv s="0">
    <v>671</v>
    <v>1</v>
    <v>0</v>
    <v>0</v>
  </rv>
  <rv s="0">
    <v>672</v>
    <v>1</v>
    <v>0</v>
    <v>0</v>
  </rv>
  <rv s="0">
    <v>673</v>
    <v>1</v>
    <v>0</v>
    <v>0</v>
  </rv>
  <rv s="0">
    <v>674</v>
    <v>1</v>
    <v>0</v>
    <v>0</v>
  </rv>
  <rv s="0">
    <v>675</v>
    <v>1</v>
    <v>0</v>
    <v>0</v>
  </rv>
  <rv s="0">
    <v>676</v>
    <v>1</v>
    <v>0</v>
    <v>0</v>
  </rv>
  <rv s="0">
    <v>677</v>
    <v>1</v>
    <v>0</v>
    <v>0</v>
  </rv>
  <rv s="0">
    <v>678</v>
    <v>1</v>
    <v>0</v>
    <v>0</v>
  </rv>
  <rv s="0">
    <v>679</v>
    <v>1</v>
    <v>0</v>
    <v>0</v>
  </rv>
  <rv s="0">
    <v>680</v>
    <v>1</v>
    <v>0</v>
    <v>0</v>
  </rv>
  <rv s="0">
    <v>681</v>
    <v>1</v>
    <v>0</v>
    <v>0</v>
  </rv>
  <rv s="0">
    <v>682</v>
    <v>1</v>
    <v>0</v>
    <v>0</v>
  </rv>
  <rv s="0">
    <v>683</v>
    <v>1</v>
    <v>0</v>
    <v>0</v>
  </rv>
  <rv s="0">
    <v>684</v>
    <v>1</v>
    <v>0</v>
    <v>0</v>
  </rv>
  <rv s="0">
    <v>685</v>
    <v>1</v>
    <v>0</v>
    <v>0</v>
  </rv>
  <rv s="0">
    <v>686</v>
    <v>1</v>
    <v>0</v>
    <v>0</v>
  </rv>
  <rv s="0">
    <v>687</v>
    <v>1</v>
    <v>0</v>
    <v>0</v>
  </rv>
  <rv s="0">
    <v>688</v>
    <v>1</v>
    <v>0</v>
    <v>0</v>
  </rv>
  <rv s="0">
    <v>689</v>
    <v>1</v>
    <v>0</v>
    <v>0</v>
  </rv>
  <rv s="0">
    <v>690</v>
    <v>1</v>
    <v>0</v>
    <v>0</v>
  </rv>
  <rv s="0">
    <v>691</v>
    <v>1</v>
    <v>0</v>
    <v>0</v>
  </rv>
  <rv s="0">
    <v>692</v>
    <v>1</v>
    <v>0</v>
    <v>0</v>
  </rv>
  <rv s="0">
    <v>693</v>
    <v>1</v>
    <v>0</v>
    <v>0</v>
  </rv>
  <rv s="0">
    <v>694</v>
    <v>1</v>
    <v>0</v>
    <v>0</v>
  </rv>
  <rv s="0">
    <v>695</v>
    <v>1</v>
    <v>0</v>
    <v>0</v>
  </rv>
  <rv s="0">
    <v>696</v>
    <v>1</v>
    <v>0</v>
    <v>0</v>
  </rv>
  <rv s="0">
    <v>697</v>
    <v>1</v>
    <v>0</v>
    <v>0</v>
  </rv>
  <rv s="0">
    <v>698</v>
    <v>1</v>
    <v>0</v>
    <v>0</v>
  </rv>
  <rv s="0">
    <v>699</v>
    <v>1</v>
    <v>0</v>
    <v>0</v>
  </rv>
  <rv s="0">
    <v>700</v>
    <v>1</v>
    <v>0</v>
    <v>0</v>
  </rv>
  <rv s="0">
    <v>701</v>
    <v>1</v>
    <v>0</v>
    <v>0</v>
  </rv>
  <rv s="0">
    <v>702</v>
    <v>1</v>
    <v>0</v>
    <v>0</v>
  </rv>
  <rv s="0">
    <v>703</v>
    <v>1</v>
    <v>0</v>
    <v>0</v>
  </rv>
  <rv s="0">
    <v>704</v>
    <v>1</v>
    <v>0</v>
    <v>0</v>
  </rv>
  <rv s="0">
    <v>705</v>
    <v>1</v>
    <v>0</v>
    <v>0</v>
  </rv>
  <rv s="0">
    <v>706</v>
    <v>1</v>
    <v>0</v>
    <v>0</v>
  </rv>
  <rv s="0">
    <v>707</v>
    <v>1</v>
    <v>0</v>
    <v>0</v>
  </rv>
  <rv s="0">
    <v>708</v>
    <v>1</v>
    <v>0</v>
    <v>0</v>
  </rv>
  <rv s="0">
    <v>709</v>
    <v>1</v>
    <v>0</v>
    <v>0</v>
  </rv>
  <rv s="0">
    <v>710</v>
    <v>1</v>
    <v>0</v>
    <v>0</v>
  </rv>
  <rv s="0">
    <v>711</v>
    <v>1</v>
    <v>0</v>
    <v>0</v>
  </rv>
  <rv s="0">
    <v>712</v>
    <v>1</v>
    <v>0</v>
    <v>0</v>
  </rv>
  <rv s="0">
    <v>713</v>
    <v>1</v>
    <v>0</v>
    <v>0</v>
  </rv>
  <rv s="0">
    <v>714</v>
    <v>1</v>
    <v>0</v>
    <v>0</v>
  </rv>
  <rv s="0">
    <v>715</v>
    <v>1</v>
    <v>0</v>
    <v>0</v>
  </rv>
  <rv s="0">
    <v>716</v>
    <v>1</v>
    <v>0</v>
    <v>0</v>
  </rv>
  <rv s="0">
    <v>717</v>
    <v>1</v>
    <v>0</v>
    <v>0</v>
  </rv>
  <rv s="0">
    <v>718</v>
    <v>1</v>
    <v>0</v>
    <v>0</v>
  </rv>
  <rv s="0">
    <v>719</v>
    <v>1</v>
    <v>0</v>
    <v>0</v>
  </rv>
  <rv s="0">
    <v>720</v>
    <v>1</v>
    <v>0</v>
    <v>0</v>
  </rv>
  <rv s="0">
    <v>721</v>
    <v>1</v>
    <v>0</v>
    <v>0</v>
  </rv>
  <rv s="0">
    <v>722</v>
    <v>1</v>
    <v>0</v>
    <v>0</v>
  </rv>
  <rv s="0">
    <v>723</v>
    <v>1</v>
    <v>0</v>
    <v>0</v>
  </rv>
  <rv s="0">
    <v>724</v>
    <v>1</v>
    <v>0</v>
    <v>0</v>
  </rv>
  <rv s="0">
    <v>725</v>
    <v>1</v>
    <v>0</v>
    <v>0</v>
  </rv>
  <rv s="0">
    <v>726</v>
    <v>1</v>
    <v>0</v>
    <v>0</v>
  </rv>
  <rv s="0">
    <v>727</v>
    <v>1</v>
    <v>0</v>
    <v>0</v>
  </rv>
  <rv s="0">
    <v>728</v>
    <v>1</v>
    <v>0</v>
    <v>0</v>
  </rv>
  <rv s="0">
    <v>729</v>
    <v>1</v>
    <v>0</v>
    <v>0</v>
  </rv>
  <rv s="0">
    <v>730</v>
    <v>1</v>
    <v>0</v>
    <v>0</v>
  </rv>
  <rv s="0">
    <v>731</v>
    <v>1</v>
    <v>0</v>
    <v>0</v>
  </rv>
  <rv s="0">
    <v>732</v>
    <v>1</v>
    <v>0</v>
    <v>0</v>
  </rv>
  <rv s="0">
    <v>733</v>
    <v>1</v>
    <v>0</v>
    <v>0</v>
  </rv>
  <rv s="0">
    <v>734</v>
    <v>1</v>
    <v>0</v>
    <v>0</v>
  </rv>
  <rv s="0">
    <v>735</v>
    <v>1</v>
    <v>0</v>
    <v>0</v>
  </rv>
  <rv s="0">
    <v>736</v>
    <v>1</v>
    <v>0</v>
    <v>0</v>
  </rv>
  <rv s="0">
    <v>737</v>
    <v>1</v>
    <v>0</v>
    <v>0</v>
  </rv>
  <rv s="0">
    <v>738</v>
    <v>1</v>
    <v>0</v>
    <v>0</v>
  </rv>
  <rv s="0">
    <v>739</v>
    <v>1</v>
    <v>0</v>
    <v>0</v>
  </rv>
  <rv s="0">
    <v>740</v>
    <v>1</v>
    <v>0</v>
    <v>0</v>
  </rv>
  <rv s="0">
    <v>741</v>
    <v>1</v>
    <v>0</v>
    <v>0</v>
  </rv>
  <rv s="0">
    <v>742</v>
    <v>1</v>
    <v>0</v>
    <v>0</v>
  </rv>
  <rv s="0">
    <v>743</v>
    <v>1</v>
    <v>0</v>
    <v>0</v>
  </rv>
  <rv s="0">
    <v>744</v>
    <v>1</v>
    <v>0</v>
    <v>0</v>
  </rv>
  <rv s="0">
    <v>745</v>
    <v>1</v>
    <v>0</v>
    <v>0</v>
  </rv>
  <rv s="0">
    <v>746</v>
    <v>1</v>
    <v>0</v>
    <v>0</v>
  </rv>
  <rv s="0">
    <v>747</v>
    <v>1</v>
    <v>0</v>
    <v>0</v>
  </rv>
  <rv s="0">
    <v>748</v>
    <v>1</v>
    <v>0</v>
    <v>0</v>
  </rv>
  <rv s="0">
    <v>749</v>
    <v>1</v>
    <v>0</v>
    <v>0</v>
  </rv>
  <rv s="0">
    <v>750</v>
    <v>1</v>
    <v>0</v>
    <v>0</v>
  </rv>
  <rv s="0">
    <v>751</v>
    <v>1</v>
    <v>0</v>
    <v>0</v>
  </rv>
  <rv s="0">
    <v>752</v>
    <v>1</v>
    <v>0</v>
    <v>0</v>
  </rv>
  <rv s="0">
    <v>753</v>
    <v>1</v>
    <v>0</v>
    <v>0</v>
  </rv>
  <rv s="0">
    <v>754</v>
    <v>1</v>
    <v>0</v>
    <v>0</v>
  </rv>
  <rv s="0">
    <v>755</v>
    <v>1</v>
    <v>0</v>
    <v>0</v>
  </rv>
  <rv s="0">
    <v>756</v>
    <v>1</v>
    <v>0</v>
    <v>0</v>
  </rv>
  <rv s="0">
    <v>757</v>
    <v>1</v>
    <v>0</v>
    <v>0</v>
  </rv>
  <rv s="0">
    <v>758</v>
    <v>1</v>
    <v>0</v>
    <v>0</v>
  </rv>
  <rv s="0">
    <v>759</v>
    <v>1</v>
    <v>0</v>
    <v>0</v>
  </rv>
  <rv s="0">
    <v>760</v>
    <v>1</v>
    <v>0</v>
    <v>0</v>
  </rv>
  <rv s="0">
    <v>761</v>
    <v>1</v>
    <v>0</v>
    <v>0</v>
  </rv>
  <rv s="0">
    <v>762</v>
    <v>1</v>
    <v>0</v>
    <v>0</v>
  </rv>
  <rv s="0">
    <v>763</v>
    <v>1</v>
    <v>0</v>
    <v>0</v>
  </rv>
  <rv s="0">
    <v>764</v>
    <v>1</v>
    <v>0</v>
    <v>0</v>
  </rv>
  <rv s="0">
    <v>765</v>
    <v>1</v>
    <v>0</v>
    <v>0</v>
  </rv>
  <rv s="0">
    <v>766</v>
    <v>1</v>
    <v>0</v>
    <v>0</v>
  </rv>
  <rv s="0">
    <v>767</v>
    <v>1</v>
    <v>0</v>
    <v>0</v>
  </rv>
  <rv s="0">
    <v>768</v>
    <v>1</v>
    <v>0</v>
    <v>0</v>
  </rv>
  <rv s="0">
    <v>769</v>
    <v>1</v>
    <v>0</v>
    <v>0</v>
  </rv>
  <rv s="0">
    <v>770</v>
    <v>1</v>
    <v>0</v>
    <v>0</v>
  </rv>
  <rv s="0">
    <v>771</v>
    <v>1</v>
    <v>0</v>
    <v>0</v>
  </rv>
  <rv s="0">
    <v>772</v>
    <v>1</v>
    <v>0</v>
    <v>0</v>
  </rv>
  <rv s="0">
    <v>773</v>
    <v>1</v>
    <v>0</v>
    <v>0</v>
  </rv>
  <rv s="0">
    <v>774</v>
    <v>1</v>
    <v>0</v>
    <v>0</v>
  </rv>
  <rv s="0">
    <v>775</v>
    <v>1</v>
    <v>0</v>
    <v>0</v>
  </rv>
  <rv s="0">
    <v>776</v>
    <v>1</v>
    <v>0</v>
    <v>0</v>
  </rv>
  <rv s="0">
    <v>777</v>
    <v>1</v>
    <v>0</v>
    <v>0</v>
  </rv>
  <rv s="0">
    <v>778</v>
    <v>1</v>
    <v>0</v>
    <v>0</v>
  </rv>
  <rv s="0">
    <v>779</v>
    <v>1</v>
    <v>0</v>
    <v>0</v>
  </rv>
  <rv s="0">
    <v>780</v>
    <v>1</v>
    <v>0</v>
    <v>0</v>
  </rv>
  <rv s="0">
    <v>781</v>
    <v>1</v>
    <v>0</v>
    <v>0</v>
  </rv>
  <rv s="0">
    <v>782</v>
    <v>1</v>
    <v>0</v>
    <v>0</v>
  </rv>
  <rv s="0">
    <v>783</v>
    <v>1</v>
    <v>0</v>
    <v>0</v>
  </rv>
  <rv s="0">
    <v>784</v>
    <v>1</v>
    <v>0</v>
    <v>0</v>
  </rv>
  <rv s="0">
    <v>785</v>
    <v>1</v>
    <v>0</v>
    <v>0</v>
  </rv>
  <rv s="0">
    <v>786</v>
    <v>1</v>
    <v>0</v>
    <v>0</v>
  </rv>
  <rv s="0">
    <v>787</v>
    <v>1</v>
    <v>0</v>
    <v>0</v>
  </rv>
  <rv s="0">
    <v>788</v>
    <v>1</v>
    <v>0</v>
    <v>0</v>
  </rv>
  <rv s="0">
    <v>789</v>
    <v>1</v>
    <v>0</v>
    <v>0</v>
  </rv>
  <rv s="0">
    <v>790</v>
    <v>1</v>
    <v>0</v>
    <v>0</v>
  </rv>
  <rv s="0">
    <v>791</v>
    <v>1</v>
    <v>0</v>
    <v>0</v>
  </rv>
  <rv s="0">
    <v>792</v>
    <v>1</v>
    <v>0</v>
    <v>0</v>
  </rv>
  <rv s="0">
    <v>793</v>
    <v>1</v>
    <v>0</v>
    <v>0</v>
  </rv>
  <rv s="0">
    <v>794</v>
    <v>1</v>
    <v>0</v>
    <v>0</v>
  </rv>
  <rv s="0">
    <v>795</v>
    <v>1</v>
    <v>0</v>
    <v>0</v>
  </rv>
  <rv s="0">
    <v>796</v>
    <v>1</v>
    <v>0</v>
    <v>0</v>
  </rv>
  <rv s="0">
    <v>797</v>
    <v>1</v>
    <v>0</v>
    <v>0</v>
  </rv>
  <rv s="0">
    <v>798</v>
    <v>1</v>
    <v>0</v>
    <v>0</v>
  </rv>
  <rv s="0">
    <v>799</v>
    <v>1</v>
    <v>0</v>
    <v>0</v>
  </rv>
  <rv s="0">
    <v>800</v>
    <v>1</v>
    <v>0</v>
    <v>0</v>
  </rv>
  <rv s="0">
    <v>801</v>
    <v>1</v>
    <v>0</v>
    <v>0</v>
  </rv>
  <rv s="0">
    <v>802</v>
    <v>1</v>
    <v>0</v>
    <v>0</v>
  </rv>
  <rv s="0">
    <v>803</v>
    <v>1</v>
    <v>0</v>
    <v>0</v>
  </rv>
  <rv s="0">
    <v>804</v>
    <v>1</v>
    <v>0</v>
    <v>0</v>
  </rv>
  <rv s="0">
    <v>805</v>
    <v>1</v>
    <v>0</v>
    <v>0</v>
  </rv>
  <rv s="0">
    <v>806</v>
    <v>1</v>
    <v>0</v>
    <v>0</v>
  </rv>
  <rv s="0">
    <v>807</v>
    <v>1</v>
    <v>0</v>
    <v>0</v>
  </rv>
  <rv s="0">
    <v>808</v>
    <v>1</v>
    <v>0</v>
    <v>0</v>
  </rv>
  <rv s="0">
    <v>809</v>
    <v>1</v>
    <v>0</v>
    <v>0</v>
  </rv>
  <rv s="0">
    <v>810</v>
    <v>1</v>
    <v>0</v>
    <v>0</v>
  </rv>
  <rv s="0">
    <v>811</v>
    <v>1</v>
    <v>0</v>
    <v>0</v>
  </rv>
  <rv s="0">
    <v>812</v>
    <v>1</v>
    <v>0</v>
    <v>0</v>
  </rv>
  <rv s="0">
    <v>813</v>
    <v>1</v>
    <v>0</v>
    <v>0</v>
  </rv>
  <rv s="0">
    <v>814</v>
    <v>1</v>
    <v>0</v>
    <v>0</v>
  </rv>
  <rv s="0">
    <v>815</v>
    <v>1</v>
    <v>0</v>
    <v>0</v>
  </rv>
  <rv s="0">
    <v>816</v>
    <v>1</v>
    <v>0</v>
    <v>0</v>
  </rv>
  <rv s="0">
    <v>817</v>
    <v>1</v>
    <v>0</v>
    <v>0</v>
  </rv>
  <rv s="0">
    <v>818</v>
    <v>1</v>
    <v>0</v>
    <v>0</v>
  </rv>
  <rv s="0">
    <v>819</v>
    <v>1</v>
    <v>0</v>
    <v>0</v>
  </rv>
  <rv s="0">
    <v>820</v>
    <v>1</v>
    <v>0</v>
    <v>0</v>
  </rv>
  <rv s="0">
    <v>821</v>
    <v>1</v>
    <v>0</v>
    <v>0</v>
  </rv>
  <rv s="0">
    <v>822</v>
    <v>1</v>
    <v>0</v>
    <v>0</v>
  </rv>
  <rv s="0">
    <v>823</v>
    <v>1</v>
    <v>0</v>
    <v>0</v>
  </rv>
  <rv s="0">
    <v>824</v>
    <v>1</v>
    <v>0</v>
    <v>0</v>
  </rv>
  <rv s="0">
    <v>825</v>
    <v>1</v>
    <v>0</v>
    <v>0</v>
  </rv>
  <rv s="0">
    <v>826</v>
    <v>1</v>
    <v>0</v>
    <v>0</v>
  </rv>
  <rv s="0">
    <v>827</v>
    <v>1</v>
    <v>0</v>
    <v>0</v>
  </rv>
  <rv s="0">
    <v>828</v>
    <v>1</v>
    <v>0</v>
    <v>0</v>
  </rv>
  <rv s="0">
    <v>829</v>
    <v>1</v>
    <v>0</v>
    <v>0</v>
  </rv>
  <rv s="0">
    <v>830</v>
    <v>1</v>
    <v>0</v>
    <v>0</v>
  </rv>
  <rv s="0">
    <v>831</v>
    <v>1</v>
    <v>0</v>
    <v>0</v>
  </rv>
  <rv s="0">
    <v>832</v>
    <v>1</v>
    <v>0</v>
    <v>0</v>
  </rv>
  <rv s="0">
    <v>833</v>
    <v>1</v>
    <v>0</v>
    <v>0</v>
  </rv>
  <rv s="0">
    <v>834</v>
    <v>1</v>
    <v>0</v>
    <v>0</v>
  </rv>
  <rv s="0">
    <v>835</v>
    <v>1</v>
    <v>0</v>
    <v>0</v>
  </rv>
  <rv s="0">
    <v>836</v>
    <v>1</v>
    <v>0</v>
    <v>0</v>
  </rv>
  <rv s="0">
    <v>837</v>
    <v>1</v>
    <v>0</v>
    <v>0</v>
  </rv>
  <rv s="0">
    <v>838</v>
    <v>1</v>
    <v>0</v>
    <v>0</v>
  </rv>
  <rv s="0">
    <v>839</v>
    <v>1</v>
    <v>0</v>
    <v>0</v>
  </rv>
  <rv s="0">
    <v>840</v>
    <v>1</v>
    <v>0</v>
    <v>0</v>
  </rv>
  <rv s="0">
    <v>841</v>
    <v>1</v>
    <v>0</v>
    <v>0</v>
  </rv>
  <rv s="0">
    <v>842</v>
    <v>1</v>
    <v>0</v>
    <v>0</v>
  </rv>
  <rv s="0">
    <v>843</v>
    <v>1</v>
    <v>0</v>
    <v>0</v>
  </rv>
  <rv s="0">
    <v>844</v>
    <v>1</v>
    <v>0</v>
    <v>0</v>
  </rv>
  <rv s="0">
    <v>845</v>
    <v>1</v>
    <v>0</v>
    <v>0</v>
  </rv>
  <rv s="0">
    <v>846</v>
    <v>1</v>
    <v>0</v>
    <v>0</v>
  </rv>
  <rv s="0">
    <v>847</v>
    <v>1</v>
    <v>0</v>
    <v>0</v>
  </rv>
  <rv s="0">
    <v>848</v>
    <v>1</v>
    <v>0</v>
    <v>0</v>
  </rv>
  <rv s="0">
    <v>849</v>
    <v>1</v>
    <v>0</v>
    <v>0</v>
  </rv>
  <rv s="0">
    <v>850</v>
    <v>1</v>
    <v>0</v>
    <v>0</v>
  </rv>
  <rv s="0">
    <v>851</v>
    <v>1</v>
    <v>0</v>
    <v>0</v>
  </rv>
  <rv s="0">
    <v>852</v>
    <v>1</v>
    <v>0</v>
    <v>0</v>
  </rv>
  <rv s="0">
    <v>853</v>
    <v>1</v>
    <v>0</v>
    <v>0</v>
  </rv>
  <rv s="0">
    <v>854</v>
    <v>1</v>
    <v>0</v>
    <v>0</v>
  </rv>
  <rv s="0">
    <v>855</v>
    <v>1</v>
    <v>0</v>
    <v>0</v>
  </rv>
  <rv s="0">
    <v>856</v>
    <v>1</v>
    <v>0</v>
    <v>0</v>
  </rv>
  <rv s="0">
    <v>857</v>
    <v>1</v>
    <v>0</v>
    <v>0</v>
  </rv>
  <rv s="0">
    <v>858</v>
    <v>1</v>
    <v>0</v>
    <v>0</v>
  </rv>
  <rv s="0">
    <v>859</v>
    <v>1</v>
    <v>0</v>
    <v>0</v>
  </rv>
  <rv s="0">
    <v>860</v>
    <v>1</v>
    <v>0</v>
    <v>0</v>
  </rv>
  <rv s="0">
    <v>861</v>
    <v>1</v>
    <v>0</v>
    <v>0</v>
  </rv>
  <rv s="0">
    <v>862</v>
    <v>1</v>
    <v>0</v>
    <v>0</v>
  </rv>
  <rv s="0">
    <v>863</v>
    <v>1</v>
    <v>0</v>
    <v>0</v>
  </rv>
  <rv s="0">
    <v>864</v>
    <v>1</v>
    <v>0</v>
    <v>0</v>
  </rv>
  <rv s="0">
    <v>865</v>
    <v>1</v>
    <v>0</v>
    <v>0</v>
  </rv>
  <rv s="0">
    <v>866</v>
    <v>1</v>
    <v>0</v>
    <v>0</v>
  </rv>
  <rv s="0">
    <v>867</v>
    <v>1</v>
    <v>0</v>
    <v>0</v>
  </rv>
  <rv s="0">
    <v>868</v>
    <v>1</v>
    <v>0</v>
    <v>0</v>
  </rv>
  <rv s="0">
    <v>869</v>
    <v>1</v>
    <v>0</v>
    <v>0</v>
  </rv>
  <rv s="0">
    <v>870</v>
    <v>1</v>
    <v>0</v>
    <v>0</v>
  </rv>
  <rv s="0">
    <v>871</v>
    <v>1</v>
    <v>0</v>
    <v>0</v>
  </rv>
  <rv s="0">
    <v>872</v>
    <v>1</v>
    <v>0</v>
    <v>0</v>
  </rv>
  <rv s="0">
    <v>873</v>
    <v>1</v>
    <v>0</v>
    <v>0</v>
  </rv>
  <rv s="0">
    <v>874</v>
    <v>1</v>
    <v>0</v>
    <v>0</v>
  </rv>
  <rv s="0">
    <v>875</v>
    <v>1</v>
    <v>0</v>
    <v>0</v>
  </rv>
  <rv s="0">
    <v>876</v>
    <v>1</v>
    <v>0</v>
    <v>0</v>
  </rv>
  <rv s="0">
    <v>877</v>
    <v>1</v>
    <v>0</v>
    <v>0</v>
  </rv>
  <rv s="0">
    <v>878</v>
    <v>1</v>
    <v>0</v>
    <v>0</v>
  </rv>
  <rv s="0">
    <v>879</v>
    <v>1</v>
    <v>0</v>
    <v>0</v>
  </rv>
  <rv s="0">
    <v>880</v>
    <v>1</v>
    <v>0</v>
    <v>0</v>
  </rv>
  <rv s="0">
    <v>881</v>
    <v>1</v>
    <v>0</v>
    <v>0</v>
  </rv>
  <rv s="0">
    <v>882</v>
    <v>1</v>
    <v>0</v>
    <v>0</v>
  </rv>
  <rv s="0">
    <v>883</v>
    <v>1</v>
    <v>0</v>
    <v>0</v>
  </rv>
  <rv s="0">
    <v>884</v>
    <v>1</v>
    <v>0</v>
    <v>0</v>
  </rv>
  <rv s="0">
    <v>885</v>
    <v>1</v>
    <v>0</v>
    <v>0</v>
  </rv>
  <rv s="0">
    <v>886</v>
    <v>1</v>
    <v>0</v>
    <v>0</v>
  </rv>
  <rv s="0">
    <v>887</v>
    <v>1</v>
    <v>0</v>
    <v>0</v>
  </rv>
  <rv s="0">
    <v>888</v>
    <v>1</v>
    <v>0</v>
    <v>0</v>
  </rv>
  <rv s="0">
    <v>889</v>
    <v>1</v>
    <v>0</v>
    <v>0</v>
  </rv>
  <rv s="0">
    <v>890</v>
    <v>1</v>
    <v>0</v>
    <v>0</v>
  </rv>
  <rv s="0">
    <v>891</v>
    <v>1</v>
    <v>0</v>
    <v>0</v>
  </rv>
  <rv s="0">
    <v>892</v>
    <v>1</v>
    <v>0</v>
    <v>0</v>
  </rv>
  <rv s="0">
    <v>893</v>
    <v>1</v>
    <v>0</v>
    <v>0</v>
  </rv>
  <rv s="0">
    <v>894</v>
    <v>1</v>
    <v>0</v>
    <v>0</v>
  </rv>
  <rv s="0">
    <v>895</v>
    <v>1</v>
    <v>0</v>
    <v>0</v>
  </rv>
  <rv s="0">
    <v>896</v>
    <v>1</v>
    <v>0</v>
    <v>0</v>
  </rv>
  <rv s="0">
    <v>897</v>
    <v>1</v>
    <v>0</v>
    <v>0</v>
  </rv>
  <rv s="0">
    <v>898</v>
    <v>1</v>
    <v>0</v>
    <v>0</v>
  </rv>
  <rv s="0">
    <v>899</v>
    <v>1</v>
    <v>0</v>
    <v>0</v>
  </rv>
  <rv s="0">
    <v>900</v>
    <v>1</v>
    <v>0</v>
    <v>0</v>
  </rv>
  <rv s="0">
    <v>901</v>
    <v>1</v>
    <v>0</v>
    <v>0</v>
  </rv>
  <rv s="0">
    <v>902</v>
    <v>1</v>
    <v>0</v>
    <v>0</v>
  </rv>
  <rv s="0">
    <v>903</v>
    <v>1</v>
    <v>0</v>
    <v>0</v>
  </rv>
  <rv s="0">
    <v>904</v>
    <v>1</v>
    <v>0</v>
    <v>0</v>
  </rv>
  <rv s="0">
    <v>905</v>
    <v>1</v>
    <v>0</v>
    <v>0</v>
  </rv>
  <rv s="0">
    <v>906</v>
    <v>1</v>
    <v>0</v>
    <v>0</v>
  </rv>
  <rv s="0">
    <v>907</v>
    <v>1</v>
    <v>0</v>
    <v>0</v>
  </rv>
  <rv s="0">
    <v>908</v>
    <v>1</v>
    <v>0</v>
    <v>0</v>
  </rv>
  <rv s="0">
    <v>909</v>
    <v>1</v>
    <v>0</v>
    <v>0</v>
  </rv>
  <rv s="0">
    <v>910</v>
    <v>1</v>
    <v>0</v>
    <v>0</v>
  </rv>
  <rv s="0">
    <v>911</v>
    <v>1</v>
    <v>0</v>
    <v>0</v>
  </rv>
  <rv s="0">
    <v>912</v>
    <v>1</v>
    <v>0</v>
    <v>0</v>
  </rv>
  <rv s="0">
    <v>913</v>
    <v>1</v>
    <v>0</v>
    <v>0</v>
  </rv>
  <rv s="0">
    <v>914</v>
    <v>1</v>
    <v>0</v>
    <v>0</v>
  </rv>
  <rv s="0">
    <v>915</v>
    <v>1</v>
    <v>0</v>
    <v>0</v>
  </rv>
  <rv s="0">
    <v>916</v>
    <v>1</v>
    <v>0</v>
    <v>0</v>
  </rv>
  <rv s="0">
    <v>917</v>
    <v>1</v>
    <v>0</v>
    <v>0</v>
  </rv>
  <rv s="0">
    <v>918</v>
    <v>1</v>
    <v>0</v>
    <v>0</v>
  </rv>
  <rv s="0">
    <v>919</v>
    <v>1</v>
    <v>0</v>
    <v>0</v>
  </rv>
  <rv s="0">
    <v>920</v>
    <v>1</v>
    <v>0</v>
    <v>0</v>
  </rv>
  <rv s="0">
    <v>921</v>
    <v>1</v>
    <v>0</v>
    <v>0</v>
  </rv>
  <rv s="0">
    <v>922</v>
    <v>1</v>
    <v>0</v>
    <v>0</v>
  </rv>
  <rv s="0">
    <v>923</v>
    <v>1</v>
    <v>0</v>
    <v>0</v>
  </rv>
  <rv s="0">
    <v>924</v>
    <v>1</v>
    <v>0</v>
    <v>0</v>
  </rv>
  <rv s="0">
    <v>925</v>
    <v>1</v>
    <v>0</v>
    <v>0</v>
  </rv>
  <rv s="0">
    <v>926</v>
    <v>1</v>
    <v>0</v>
    <v>0</v>
  </rv>
  <rv s="0">
    <v>927</v>
    <v>1</v>
    <v>0</v>
    <v>0</v>
  </rv>
  <rv s="0">
    <v>928</v>
    <v>1</v>
    <v>0</v>
    <v>0</v>
  </rv>
  <rv s="0">
    <v>929</v>
    <v>1</v>
    <v>0</v>
    <v>0</v>
  </rv>
  <rv s="0">
    <v>930</v>
    <v>1</v>
    <v>0</v>
    <v>0</v>
  </rv>
  <rv s="0">
    <v>931</v>
    <v>1</v>
    <v>0</v>
    <v>0</v>
  </rv>
  <rv s="0">
    <v>932</v>
    <v>1</v>
    <v>0</v>
    <v>0</v>
  </rv>
  <rv s="0">
    <v>933</v>
    <v>1</v>
    <v>0</v>
    <v>0</v>
  </rv>
  <rv s="0">
    <v>934</v>
    <v>1</v>
    <v>0</v>
    <v>0</v>
  </rv>
  <rv s="0">
    <v>935</v>
    <v>1</v>
    <v>0</v>
    <v>0</v>
  </rv>
  <rv s="0">
    <v>936</v>
    <v>1</v>
    <v>0</v>
    <v>0</v>
  </rv>
  <rv s="0">
    <v>937</v>
    <v>1</v>
    <v>0</v>
    <v>0</v>
  </rv>
  <rv s="0">
    <v>938</v>
    <v>1</v>
    <v>0</v>
    <v>0</v>
  </rv>
  <rv s="0">
    <v>939</v>
    <v>1</v>
    <v>0</v>
    <v>0</v>
  </rv>
  <rv s="0">
    <v>940</v>
    <v>1</v>
    <v>0</v>
    <v>0</v>
  </rv>
  <rv s="0">
    <v>941</v>
    <v>1</v>
    <v>0</v>
    <v>0</v>
  </rv>
  <rv s="0">
    <v>942</v>
    <v>1</v>
    <v>0</v>
    <v>0</v>
  </rv>
  <rv s="0">
    <v>943</v>
    <v>1</v>
    <v>0</v>
    <v>0</v>
  </rv>
  <rv s="0">
    <v>944</v>
    <v>1</v>
    <v>0</v>
    <v>0</v>
  </rv>
  <rv s="0">
    <v>945</v>
    <v>1</v>
    <v>0</v>
    <v>0</v>
  </rv>
  <rv s="0">
    <v>946</v>
    <v>1</v>
    <v>0</v>
    <v>0</v>
  </rv>
  <rv s="0">
    <v>947</v>
    <v>1</v>
    <v>0</v>
    <v>0</v>
  </rv>
  <rv s="0">
    <v>948</v>
    <v>1</v>
    <v>0</v>
    <v>0</v>
  </rv>
  <rv s="0">
    <v>949</v>
    <v>1</v>
    <v>0</v>
    <v>0</v>
  </rv>
  <rv s="0">
    <v>950</v>
    <v>1</v>
    <v>0</v>
    <v>0</v>
  </rv>
  <rv s="0">
    <v>951</v>
    <v>1</v>
    <v>0</v>
    <v>0</v>
  </rv>
  <rv s="0">
    <v>952</v>
    <v>1</v>
    <v>0</v>
    <v>0</v>
  </rv>
  <rv s="0">
    <v>953</v>
    <v>1</v>
    <v>0</v>
    <v>0</v>
  </rv>
  <rv s="0">
    <v>954</v>
    <v>1</v>
    <v>0</v>
    <v>0</v>
  </rv>
  <rv s="0">
    <v>955</v>
    <v>1</v>
    <v>0</v>
    <v>0</v>
  </rv>
  <rv s="0">
    <v>956</v>
    <v>1</v>
    <v>0</v>
    <v>0</v>
  </rv>
  <rv s="0">
    <v>957</v>
    <v>1</v>
    <v>0</v>
    <v>0</v>
  </rv>
  <rv s="0">
    <v>958</v>
    <v>1</v>
    <v>0</v>
    <v>0</v>
  </rv>
  <rv s="0">
    <v>959</v>
    <v>1</v>
    <v>0</v>
    <v>0</v>
  </rv>
  <rv s="0">
    <v>960</v>
    <v>1</v>
    <v>0</v>
    <v>0</v>
  </rv>
  <rv s="0">
    <v>961</v>
    <v>1</v>
    <v>0</v>
    <v>0</v>
  </rv>
  <rv s="0">
    <v>962</v>
    <v>1</v>
    <v>0</v>
    <v>0</v>
  </rv>
  <rv s="0">
    <v>963</v>
    <v>1</v>
    <v>0</v>
    <v>0</v>
  </rv>
  <rv s="0">
    <v>964</v>
    <v>1</v>
    <v>0</v>
    <v>0</v>
  </rv>
  <rv s="0">
    <v>965</v>
    <v>1</v>
    <v>0</v>
    <v>0</v>
  </rv>
  <rv s="0">
    <v>966</v>
    <v>1</v>
    <v>0</v>
    <v>0</v>
  </rv>
  <rv s="0">
    <v>967</v>
    <v>1</v>
    <v>0</v>
    <v>0</v>
  </rv>
  <rv s="0">
    <v>968</v>
    <v>1</v>
    <v>0</v>
    <v>0</v>
  </rv>
  <rv s="0">
    <v>969</v>
    <v>1</v>
    <v>0</v>
    <v>0</v>
  </rv>
  <rv s="0">
    <v>970</v>
    <v>1</v>
    <v>0</v>
    <v>0</v>
  </rv>
  <rv s="0">
    <v>971</v>
    <v>1</v>
    <v>0</v>
    <v>0</v>
  </rv>
  <rv s="0">
    <v>972</v>
    <v>1</v>
    <v>0</v>
    <v>0</v>
  </rv>
  <rv s="0">
    <v>973</v>
    <v>1</v>
    <v>0</v>
    <v>0</v>
  </rv>
  <rv s="0">
    <v>974</v>
    <v>1</v>
    <v>0</v>
    <v>0</v>
  </rv>
  <rv s="0">
    <v>975</v>
    <v>1</v>
    <v>0</v>
    <v>0</v>
  </rv>
  <rv s="0">
    <v>976</v>
    <v>1</v>
    <v>0</v>
    <v>0</v>
  </rv>
  <rv s="0">
    <v>977</v>
    <v>1</v>
    <v>0</v>
    <v>0</v>
  </rv>
  <rv s="0">
    <v>978</v>
    <v>1</v>
    <v>0</v>
    <v>0</v>
  </rv>
  <rv s="0">
    <v>979</v>
    <v>1</v>
    <v>0</v>
    <v>0</v>
  </rv>
  <rv s="0">
    <v>980</v>
    <v>1</v>
    <v>0</v>
    <v>0</v>
  </rv>
  <rv s="0">
    <v>981</v>
    <v>1</v>
    <v>0</v>
    <v>0</v>
  </rv>
  <rv s="0">
    <v>982</v>
    <v>1</v>
    <v>0</v>
    <v>0</v>
  </rv>
  <rv s="0">
    <v>983</v>
    <v>1</v>
    <v>0</v>
    <v>0</v>
  </rv>
  <rv s="0">
    <v>984</v>
    <v>1</v>
    <v>0</v>
    <v>0</v>
  </rv>
  <rv s="0">
    <v>985</v>
    <v>1</v>
    <v>0</v>
    <v>0</v>
  </rv>
  <rv s="0">
    <v>986</v>
    <v>1</v>
    <v>0</v>
    <v>0</v>
  </rv>
  <rv s="0">
    <v>987</v>
    <v>1</v>
    <v>0</v>
    <v>0</v>
  </rv>
  <rv s="0">
    <v>988</v>
    <v>1</v>
    <v>0</v>
    <v>0</v>
  </rv>
  <rv s="0">
    <v>989</v>
    <v>1</v>
    <v>0</v>
    <v>0</v>
  </rv>
  <rv s="0">
    <v>990</v>
    <v>1</v>
    <v>0</v>
    <v>0</v>
  </rv>
  <rv s="0">
    <v>991</v>
    <v>1</v>
    <v>0</v>
    <v>0</v>
  </rv>
  <rv s="0">
    <v>992</v>
    <v>1</v>
    <v>0</v>
    <v>0</v>
  </rv>
  <rv s="0">
    <v>993</v>
    <v>1</v>
    <v>0</v>
    <v>0</v>
  </rv>
  <rv s="0">
    <v>994</v>
    <v>1</v>
    <v>0</v>
    <v>0</v>
  </rv>
  <rv s="0">
    <v>995</v>
    <v>1</v>
    <v>0</v>
    <v>0</v>
  </rv>
  <rv s="0">
    <v>996</v>
    <v>1</v>
    <v>0</v>
    <v>0</v>
  </rv>
  <rv s="0">
    <v>997</v>
    <v>1</v>
    <v>0</v>
    <v>0</v>
  </rv>
  <rv s="0">
    <v>998</v>
    <v>1</v>
    <v>0</v>
    <v>0</v>
  </rv>
  <rv s="0">
    <v>999</v>
    <v>1</v>
    <v>0</v>
    <v>0</v>
  </rv>
  <rv s="0">
    <v>1000</v>
    <v>1</v>
    <v>0</v>
    <v>0</v>
  </rv>
  <rv s="0">
    <v>1001</v>
    <v>1</v>
    <v>0</v>
    <v>0</v>
  </rv>
  <rv s="0">
    <v>1002</v>
    <v>1</v>
    <v>0</v>
    <v>0</v>
  </rv>
  <rv s="0">
    <v>1003</v>
    <v>1</v>
    <v>0</v>
    <v>0</v>
  </rv>
  <rv s="0">
    <v>1004</v>
    <v>1</v>
    <v>0</v>
    <v>0</v>
  </rv>
  <rv s="0">
    <v>1005</v>
    <v>1</v>
    <v>0</v>
    <v>0</v>
  </rv>
  <rv s="0">
    <v>1006</v>
    <v>1</v>
    <v>0</v>
    <v>0</v>
  </rv>
  <rv s="0">
    <v>1007</v>
    <v>1</v>
    <v>0</v>
    <v>0</v>
  </rv>
  <rv s="0">
    <v>1008</v>
    <v>1</v>
    <v>0</v>
    <v>0</v>
  </rv>
  <rv s="0">
    <v>1009</v>
    <v>1</v>
    <v>0</v>
    <v>0</v>
  </rv>
  <rv s="0">
    <v>1010</v>
    <v>1</v>
    <v>0</v>
    <v>0</v>
  </rv>
  <rv s="0">
    <v>1011</v>
    <v>1</v>
    <v>0</v>
    <v>0</v>
  </rv>
  <rv s="0">
    <v>1012</v>
    <v>1</v>
    <v>0</v>
    <v>0</v>
  </rv>
  <rv s="0">
    <v>1013</v>
    <v>1</v>
    <v>0</v>
    <v>0</v>
  </rv>
  <rv s="0">
    <v>1014</v>
    <v>1</v>
    <v>0</v>
    <v>0</v>
  </rv>
  <rv s="0">
    <v>1015</v>
    <v>1</v>
    <v>0</v>
    <v>0</v>
  </rv>
  <rv s="0">
    <v>1016</v>
    <v>1</v>
    <v>0</v>
    <v>0</v>
  </rv>
  <rv s="0">
    <v>1017</v>
    <v>1</v>
    <v>0</v>
    <v>0</v>
  </rv>
  <rv s="0">
    <v>1018</v>
    <v>1</v>
    <v>0</v>
    <v>0</v>
  </rv>
  <rv s="0">
    <v>1018</v>
    <v>4</v>
    <v>0</v>
    <v>0</v>
  </rv>
  <rv s="0">
    <v>1019</v>
    <v>1</v>
    <v>0</v>
    <v>0</v>
  </rv>
  <rv s="0">
    <v>1020</v>
    <v>1</v>
    <v>0</v>
    <v>0</v>
  </rv>
  <rv s="0">
    <v>1020</v>
    <v>4</v>
    <v>0</v>
    <v>0</v>
  </rv>
  <rv s="0">
    <v>1021</v>
    <v>1</v>
    <v>0</v>
    <v>0</v>
  </rv>
  <rv s="0">
    <v>1021</v>
    <v>4</v>
    <v>0</v>
    <v>0</v>
  </rv>
  <rv s="0">
    <v>1022</v>
    <v>1</v>
    <v>0</v>
    <v>0</v>
  </rv>
  <rv s="0">
    <v>1022</v>
    <v>4</v>
    <v>0</v>
    <v>0</v>
  </rv>
  <rv s="0">
    <v>1023</v>
    <v>1</v>
    <v>0</v>
    <v>0</v>
  </rv>
  <rv s="0">
    <v>1023</v>
    <v>4</v>
    <v>0</v>
    <v>0</v>
  </rv>
  <rv s="0">
    <v>1024</v>
    <v>1</v>
    <v>0</v>
    <v>0</v>
  </rv>
  <rv s="0">
    <v>1024</v>
    <v>4</v>
    <v>0</v>
    <v>0</v>
  </rv>
  <rv s="0">
    <v>1025</v>
    <v>1</v>
    <v>0</v>
    <v>0</v>
  </rv>
  <rv s="0">
    <v>1026</v>
    <v>1</v>
    <v>0</v>
    <v>0</v>
  </rv>
  <rv s="0">
    <v>1027</v>
    <v>1</v>
    <v>0</v>
    <v>0</v>
  </rv>
  <rv s="0">
    <v>1028</v>
    <v>1</v>
    <v>0</v>
    <v>0</v>
  </rv>
  <rv s="0">
    <v>1029</v>
    <v>1</v>
    <v>0</v>
    <v>0</v>
  </rv>
  <rv s="0">
    <v>1030</v>
    <v>1</v>
    <v>0</v>
    <v>0</v>
  </rv>
  <rv s="0">
    <v>1031</v>
    <v>1</v>
    <v>0</v>
    <v>0</v>
  </rv>
  <rv s="0">
    <v>1032</v>
    <v>1</v>
    <v>0</v>
    <v>0</v>
  </rv>
  <rv s="0">
    <v>1033</v>
    <v>1</v>
    <v>0</v>
    <v>0</v>
  </rv>
  <rv s="0">
    <v>1034</v>
    <v>1</v>
    <v>0</v>
    <v>0</v>
  </rv>
  <rv s="0">
    <v>1035</v>
    <v>1</v>
    <v>0</v>
    <v>0</v>
  </rv>
  <rv s="0">
    <v>1036</v>
    <v>1</v>
    <v>0</v>
    <v>0</v>
  </rv>
  <rv s="0">
    <v>1037</v>
    <v>1</v>
    <v>0</v>
    <v>0</v>
  </rv>
  <rv s="0">
    <v>1038</v>
    <v>1</v>
    <v>0</v>
    <v>0</v>
  </rv>
  <rv s="0">
    <v>1039</v>
    <v>1</v>
    <v>0</v>
    <v>0</v>
  </rv>
  <rv s="0">
    <v>1040</v>
    <v>1</v>
    <v>0</v>
    <v>0</v>
  </rv>
  <rv s="0">
    <v>1041</v>
    <v>1</v>
    <v>0</v>
    <v>0</v>
  </rv>
  <rv s="0">
    <v>1042</v>
    <v>1</v>
    <v>0</v>
    <v>0</v>
  </rv>
  <rv s="0">
    <v>1043</v>
    <v>1</v>
    <v>0</v>
    <v>0</v>
  </rv>
  <rv s="0">
    <v>1044</v>
    <v>1</v>
    <v>0</v>
    <v>0</v>
  </rv>
  <rv s="0">
    <v>1045</v>
    <v>1</v>
    <v>0</v>
    <v>0</v>
  </rv>
  <rv s="0">
    <v>1046</v>
    <v>1</v>
    <v>0</v>
    <v>0</v>
  </rv>
  <rv s="0">
    <v>1047</v>
    <v>1</v>
    <v>0</v>
    <v>0</v>
  </rv>
  <rv s="0">
    <v>1048</v>
    <v>1</v>
    <v>0</v>
    <v>0</v>
  </rv>
  <rv s="0">
    <v>1049</v>
    <v>1</v>
    <v>0</v>
    <v>0</v>
  </rv>
  <rv s="0">
    <v>1050</v>
    <v>1</v>
    <v>0</v>
    <v>0</v>
  </rv>
  <rv s="0">
    <v>1051</v>
    <v>1</v>
    <v>0</v>
    <v>0</v>
  </rv>
  <rv s="0">
    <v>1052</v>
    <v>1</v>
    <v>0</v>
    <v>0</v>
  </rv>
  <rv s="0">
    <v>1053</v>
    <v>1</v>
    <v>0</v>
    <v>0</v>
  </rv>
  <rv s="0">
    <v>1054</v>
    <v>1</v>
    <v>0</v>
    <v>0</v>
  </rv>
  <rv s="0">
    <v>1055</v>
    <v>1</v>
    <v>0</v>
    <v>0</v>
  </rv>
  <rv s="0">
    <v>1056</v>
    <v>1</v>
    <v>0</v>
    <v>0</v>
  </rv>
  <rv s="0">
    <v>1057</v>
    <v>1</v>
    <v>0</v>
    <v>0</v>
  </rv>
  <rv s="0">
    <v>1058</v>
    <v>1</v>
    <v>0</v>
    <v>0</v>
  </rv>
  <rv s="0">
    <v>1059</v>
    <v>1</v>
    <v>0</v>
    <v>0</v>
  </rv>
  <rv s="0">
    <v>1060</v>
    <v>1</v>
    <v>0</v>
    <v>0</v>
  </rv>
  <rv s="0">
    <v>1061</v>
    <v>1</v>
    <v>0</v>
    <v>0</v>
  </rv>
  <rv s="0">
    <v>1062</v>
    <v>1</v>
    <v>0</v>
    <v>0</v>
  </rv>
  <rv s="0">
    <v>1063</v>
    <v>1</v>
    <v>0</v>
    <v>0</v>
  </rv>
  <rv s="0">
    <v>1064</v>
    <v>1</v>
    <v>0</v>
    <v>0</v>
  </rv>
  <rv s="0">
    <v>1065</v>
    <v>1</v>
    <v>0</v>
    <v>0</v>
  </rv>
  <rv s="0">
    <v>1066</v>
    <v>1</v>
    <v>0</v>
    <v>0</v>
  </rv>
  <rv s="0">
    <v>1067</v>
    <v>1</v>
    <v>0</v>
    <v>0</v>
  </rv>
  <rv s="0">
    <v>1068</v>
    <v>1</v>
    <v>0</v>
    <v>0</v>
  </rv>
  <rv s="0">
    <v>1069</v>
    <v>1</v>
    <v>0</v>
    <v>0</v>
  </rv>
  <rv s="0">
    <v>1070</v>
    <v>1</v>
    <v>0</v>
    <v>0</v>
  </rv>
  <rv s="0">
    <v>1071</v>
    <v>1</v>
    <v>0</v>
    <v>0</v>
  </rv>
  <rv s="0">
    <v>1072</v>
    <v>1</v>
    <v>0</v>
    <v>0</v>
  </rv>
  <rv s="0">
    <v>1073</v>
    <v>1</v>
    <v>0</v>
    <v>0</v>
  </rv>
  <rv s="0">
    <v>1074</v>
    <v>1</v>
    <v>0</v>
    <v>0</v>
  </rv>
  <rv s="0">
    <v>1075</v>
    <v>1</v>
    <v>0</v>
    <v>0</v>
  </rv>
  <rv s="0">
    <v>1076</v>
    <v>1</v>
    <v>0</v>
    <v>0</v>
  </rv>
  <rv s="0">
    <v>1077</v>
    <v>1</v>
    <v>0</v>
    <v>0</v>
  </rv>
  <rv s="0">
    <v>1078</v>
    <v>1</v>
    <v>0</v>
    <v>0</v>
  </rv>
  <rv s="0">
    <v>1079</v>
    <v>1</v>
    <v>0</v>
    <v>0</v>
  </rv>
  <rv s="0">
    <v>1080</v>
    <v>1</v>
    <v>0</v>
    <v>0</v>
  </rv>
  <rv s="0">
    <v>1081</v>
    <v>1</v>
    <v>0</v>
    <v>0</v>
  </rv>
  <rv s="0">
    <v>1082</v>
    <v>1</v>
    <v>0</v>
    <v>0</v>
  </rv>
  <rv s="0">
    <v>1083</v>
    <v>1</v>
    <v>0</v>
    <v>0</v>
  </rv>
  <rv s="0">
    <v>1084</v>
    <v>1</v>
    <v>0</v>
    <v>0</v>
  </rv>
  <rv s="0">
    <v>1085</v>
    <v>1</v>
    <v>0</v>
    <v>0</v>
  </rv>
  <rv s="0">
    <v>1086</v>
    <v>1</v>
    <v>0</v>
    <v>0</v>
  </rv>
  <rv s="0">
    <v>1087</v>
    <v>1</v>
    <v>0</v>
    <v>0</v>
  </rv>
  <rv s="0">
    <v>1088</v>
    <v>1</v>
    <v>0</v>
    <v>0</v>
  </rv>
  <rv s="0">
    <v>1089</v>
    <v>1</v>
    <v>0</v>
    <v>0</v>
  </rv>
  <rv s="0">
    <v>1090</v>
    <v>1</v>
    <v>0</v>
    <v>0</v>
  </rv>
  <rv s="0">
    <v>1091</v>
    <v>1</v>
    <v>0</v>
    <v>0</v>
  </rv>
  <rv s="0">
    <v>1092</v>
    <v>1</v>
    <v>0</v>
    <v>0</v>
  </rv>
  <rv s="0">
    <v>1093</v>
    <v>1</v>
    <v>0</v>
    <v>0</v>
  </rv>
  <rv s="0">
    <v>1094</v>
    <v>1</v>
    <v>0</v>
    <v>0</v>
  </rv>
  <rv s="0">
    <v>1095</v>
    <v>1</v>
    <v>0</v>
    <v>0</v>
  </rv>
  <rv s="0">
    <v>1096</v>
    <v>1</v>
    <v>0</v>
    <v>0</v>
  </rv>
  <rv s="0">
    <v>1097</v>
    <v>1</v>
    <v>0</v>
    <v>0</v>
  </rv>
  <rv s="0">
    <v>1098</v>
    <v>1</v>
    <v>0</v>
    <v>0</v>
  </rv>
  <rv s="0">
    <v>1099</v>
    <v>1</v>
    <v>0</v>
    <v>0</v>
  </rv>
  <rv s="0">
    <v>1100</v>
    <v>1</v>
    <v>0</v>
    <v>0</v>
  </rv>
  <rv s="0">
    <v>1101</v>
    <v>1</v>
    <v>0</v>
    <v>0</v>
  </rv>
  <rv s="0">
    <v>1102</v>
    <v>1</v>
    <v>0</v>
    <v>0</v>
  </rv>
  <rv s="0">
    <v>1103</v>
    <v>1</v>
    <v>0</v>
    <v>0</v>
  </rv>
  <rv s="0">
    <v>1104</v>
    <v>1</v>
    <v>0</v>
    <v>0</v>
  </rv>
  <rv s="0">
    <v>1105</v>
    <v>1</v>
    <v>0</v>
    <v>0</v>
  </rv>
  <rv s="0">
    <v>1106</v>
    <v>1</v>
    <v>0</v>
    <v>0</v>
  </rv>
  <rv s="0">
    <v>1107</v>
    <v>1</v>
    <v>0</v>
    <v>0</v>
  </rv>
  <rv s="0">
    <v>1108</v>
    <v>1</v>
    <v>0</v>
    <v>0</v>
  </rv>
  <rv s="0">
    <v>1109</v>
    <v>1</v>
    <v>0</v>
    <v>0</v>
  </rv>
  <rv s="0">
    <v>1110</v>
    <v>1</v>
    <v>0</v>
    <v>0</v>
  </rv>
  <rv s="0">
    <v>1111</v>
    <v>1</v>
    <v>0</v>
    <v>0</v>
  </rv>
  <rv s="0">
    <v>1112</v>
    <v>1</v>
    <v>0</v>
    <v>0</v>
  </rv>
  <rv s="0">
    <v>1113</v>
    <v>1</v>
    <v>0</v>
    <v>0</v>
  </rv>
  <rv s="0">
    <v>1114</v>
    <v>1</v>
    <v>0</v>
    <v>0</v>
  </rv>
  <rv s="0">
    <v>1115</v>
    <v>1</v>
    <v>0</v>
    <v>0</v>
  </rv>
  <rv s="0">
    <v>1116</v>
    <v>1</v>
    <v>0</v>
    <v>0</v>
  </rv>
  <rv s="0">
    <v>1117</v>
    <v>1</v>
    <v>0</v>
    <v>0</v>
  </rv>
  <rv s="0">
    <v>1118</v>
    <v>1</v>
    <v>0</v>
    <v>0</v>
  </rv>
  <rv s="0">
    <v>1119</v>
    <v>1</v>
    <v>0</v>
    <v>0</v>
  </rv>
  <rv s="0">
    <v>1120</v>
    <v>1</v>
    <v>0</v>
    <v>0</v>
  </rv>
  <rv s="0">
    <v>1121</v>
    <v>1</v>
    <v>0</v>
    <v>0</v>
  </rv>
  <rv s="0">
    <v>1122</v>
    <v>1</v>
    <v>0</v>
    <v>0</v>
  </rv>
  <rv s="0">
    <v>1123</v>
    <v>1</v>
    <v>0</v>
    <v>0</v>
  </rv>
  <rv s="0">
    <v>1124</v>
    <v>1</v>
    <v>0</v>
    <v>0</v>
  </rv>
  <rv s="0">
    <v>1125</v>
    <v>1</v>
    <v>0</v>
    <v>0</v>
  </rv>
  <rv s="0">
    <v>1126</v>
    <v>1</v>
    <v>0</v>
    <v>0</v>
  </rv>
  <rv s="0">
    <v>1127</v>
    <v>1</v>
    <v>0</v>
    <v>0</v>
  </rv>
  <rv s="0">
    <v>1128</v>
    <v>1</v>
    <v>0</v>
    <v>0</v>
  </rv>
  <rv s="0">
    <v>1129</v>
    <v>1</v>
    <v>0</v>
    <v>0</v>
  </rv>
  <rv s="0">
    <v>1130</v>
    <v>1</v>
    <v>0</v>
    <v>0</v>
  </rv>
  <rv s="0">
    <v>1131</v>
    <v>1</v>
    <v>0</v>
    <v>0</v>
  </rv>
  <rv s="0">
    <v>1132</v>
    <v>1</v>
    <v>0</v>
    <v>0</v>
  </rv>
  <rv s="0">
    <v>1133</v>
    <v>1</v>
    <v>0</v>
    <v>0</v>
  </rv>
  <rv s="0">
    <v>1134</v>
    <v>1</v>
    <v>0</v>
    <v>0</v>
  </rv>
  <rv s="0">
    <v>1135</v>
    <v>1</v>
    <v>0</v>
    <v>0</v>
  </rv>
  <rv s="0">
    <v>1136</v>
    <v>1</v>
    <v>0</v>
    <v>0</v>
  </rv>
  <rv s="0">
    <v>1137</v>
    <v>1</v>
    <v>0</v>
    <v>0</v>
  </rv>
  <rv s="0">
    <v>1138</v>
    <v>1</v>
    <v>0</v>
    <v>0</v>
  </rv>
  <rv s="0">
    <v>1139</v>
    <v>1</v>
    <v>0</v>
    <v>0</v>
  </rv>
  <rv s="0">
    <v>1140</v>
    <v>1</v>
    <v>0</v>
    <v>0</v>
  </rv>
  <rv s="0">
    <v>1141</v>
    <v>1</v>
    <v>0</v>
    <v>0</v>
  </rv>
  <rv s="0">
    <v>1142</v>
    <v>1</v>
    <v>0</v>
    <v>0</v>
  </rv>
  <rv s="0">
    <v>1143</v>
    <v>1</v>
    <v>0</v>
    <v>0</v>
  </rv>
  <rv s="0">
    <v>1144</v>
    <v>1</v>
    <v>0</v>
    <v>0</v>
  </rv>
  <rv s="0">
    <v>1145</v>
    <v>1</v>
    <v>0</v>
    <v>0</v>
  </rv>
  <rv s="0">
    <v>1146</v>
    <v>1</v>
    <v>0</v>
    <v>0</v>
  </rv>
  <rv s="0">
    <v>1147</v>
    <v>1</v>
    <v>0</v>
    <v>0</v>
  </rv>
  <rv s="0">
    <v>1148</v>
    <v>1</v>
    <v>0</v>
    <v>0</v>
  </rv>
  <rv s="0">
    <v>1149</v>
    <v>1</v>
    <v>0</v>
    <v>0</v>
  </rv>
  <rv s="0">
    <v>1150</v>
    <v>1</v>
    <v>0</v>
    <v>0</v>
  </rv>
  <rv s="0">
    <v>1151</v>
    <v>1</v>
    <v>0</v>
    <v>0</v>
  </rv>
  <rv s="0">
    <v>1152</v>
    <v>1</v>
    <v>0</v>
    <v>0</v>
  </rv>
  <rv s="0">
    <v>1153</v>
    <v>1</v>
    <v>0</v>
    <v>0</v>
  </rv>
  <rv s="0">
    <v>1154</v>
    <v>1</v>
    <v>0</v>
    <v>0</v>
  </rv>
  <rv s="0">
    <v>1155</v>
    <v>1</v>
    <v>0</v>
    <v>0</v>
  </rv>
  <rv s="0">
    <v>1156</v>
    <v>1</v>
    <v>0</v>
    <v>0</v>
  </rv>
  <rv s="0">
    <v>1157</v>
    <v>1</v>
    <v>0</v>
    <v>0</v>
  </rv>
  <rv s="0">
    <v>1158</v>
    <v>1</v>
    <v>0</v>
    <v>0</v>
  </rv>
  <rv s="0">
    <v>1159</v>
    <v>1</v>
    <v>0</v>
    <v>0</v>
  </rv>
  <rv s="0">
    <v>1160</v>
    <v>1</v>
    <v>0</v>
    <v>0</v>
  </rv>
  <rv s="0">
    <v>1161</v>
    <v>1</v>
    <v>0</v>
    <v>0</v>
  </rv>
  <rv s="0">
    <v>1162</v>
    <v>1</v>
    <v>0</v>
    <v>0</v>
  </rv>
  <rv s="0">
    <v>1163</v>
    <v>1</v>
    <v>0</v>
    <v>0</v>
  </rv>
  <rv s="0">
    <v>1164</v>
    <v>1</v>
    <v>0</v>
    <v>0</v>
  </rv>
  <rv s="0">
    <v>1165</v>
    <v>1</v>
    <v>0</v>
    <v>0</v>
  </rv>
  <rv s="0">
    <v>1166</v>
    <v>1</v>
    <v>0</v>
    <v>0</v>
  </rv>
  <rv s="0">
    <v>1167</v>
    <v>1</v>
    <v>0</v>
    <v>0</v>
  </rv>
  <rv s="0">
    <v>1168</v>
    <v>1</v>
    <v>0</v>
    <v>0</v>
  </rv>
  <rv s="0">
    <v>1169</v>
    <v>1</v>
    <v>0</v>
    <v>0</v>
  </rv>
  <rv s="0">
    <v>1170</v>
    <v>1</v>
    <v>0</v>
    <v>0</v>
  </rv>
  <rv s="0">
    <v>1171</v>
    <v>1</v>
    <v>0</v>
    <v>0</v>
  </rv>
  <rv s="0">
    <v>1172</v>
    <v>1</v>
    <v>0</v>
    <v>0</v>
  </rv>
  <rv s="0">
    <v>1173</v>
    <v>1</v>
    <v>0</v>
    <v>0</v>
  </rv>
  <rv s="0">
    <v>1174</v>
    <v>1</v>
    <v>0</v>
    <v>0</v>
  </rv>
  <rv s="0">
    <v>1175</v>
    <v>1</v>
    <v>0</v>
    <v>0</v>
  </rv>
  <rv s="0">
    <v>1176</v>
    <v>1</v>
    <v>0</v>
    <v>0</v>
  </rv>
  <rv s="0">
    <v>1177</v>
    <v>1</v>
    <v>0</v>
    <v>0</v>
  </rv>
  <rv s="0">
    <v>1178</v>
    <v>1</v>
    <v>0</v>
    <v>0</v>
  </rv>
  <rv s="0">
    <v>1179</v>
    <v>1</v>
    <v>0</v>
    <v>0</v>
  </rv>
  <rv s="0">
    <v>1180</v>
    <v>1</v>
    <v>0</v>
    <v>0</v>
  </rv>
  <rv s="0">
    <v>1181</v>
    <v>1</v>
    <v>0</v>
    <v>0</v>
  </rv>
  <rv s="0">
    <v>1182</v>
    <v>1</v>
    <v>0</v>
    <v>0</v>
  </rv>
  <rv s="0">
    <v>1183</v>
    <v>1</v>
    <v>0</v>
    <v>0</v>
  </rv>
  <rv s="0">
    <v>1184</v>
    <v>1</v>
    <v>0</v>
    <v>0</v>
  </rv>
  <rv s="0">
    <v>1185</v>
    <v>1</v>
    <v>0</v>
    <v>0</v>
  </rv>
  <rv s="0">
    <v>1186</v>
    <v>1</v>
    <v>0</v>
    <v>0</v>
  </rv>
  <rv s="0">
    <v>1187</v>
    <v>1</v>
    <v>0</v>
    <v>0</v>
  </rv>
  <rv s="0">
    <v>1188</v>
    <v>1</v>
    <v>0</v>
    <v>0</v>
  </rv>
  <rv s="0">
    <v>1189</v>
    <v>1</v>
    <v>0</v>
    <v>0</v>
  </rv>
  <rv s="0">
    <v>1190</v>
    <v>1</v>
    <v>0</v>
    <v>0</v>
  </rv>
  <rv s="0">
    <v>1191</v>
    <v>1</v>
    <v>0</v>
    <v>0</v>
  </rv>
  <rv s="0">
    <v>1192</v>
    <v>1</v>
    <v>0</v>
    <v>0</v>
  </rv>
  <rv s="0">
    <v>1193</v>
    <v>1</v>
    <v>0</v>
    <v>0</v>
  </rv>
  <rv s="0">
    <v>1194</v>
    <v>1</v>
    <v>0</v>
    <v>0</v>
  </rv>
  <rv s="0">
    <v>1195</v>
    <v>1</v>
    <v>0</v>
    <v>0</v>
  </rv>
  <rv s="0">
    <v>1196</v>
    <v>1</v>
    <v>0</v>
    <v>0</v>
  </rv>
  <rv s="0">
    <v>1197</v>
    <v>1</v>
    <v>0</v>
    <v>0</v>
  </rv>
  <rv s="0">
    <v>1198</v>
    <v>1</v>
    <v>0</v>
    <v>0</v>
  </rv>
  <rv s="0">
    <v>1199</v>
    <v>1</v>
    <v>0</v>
    <v>0</v>
  </rv>
  <rv s="0">
    <v>1200</v>
    <v>1</v>
    <v>0</v>
    <v>0</v>
  </rv>
  <rv s="0">
    <v>1201</v>
    <v>1</v>
    <v>0</v>
    <v>0</v>
  </rv>
  <rv s="0">
    <v>1202</v>
    <v>1</v>
    <v>0</v>
    <v>0</v>
  </rv>
  <rv s="0">
    <v>1203</v>
    <v>1</v>
    <v>0</v>
    <v>0</v>
  </rv>
  <rv s="0">
    <v>1204</v>
    <v>1</v>
    <v>0</v>
    <v>0</v>
  </rv>
  <rv s="0">
    <v>1205</v>
    <v>1</v>
    <v>0</v>
    <v>0</v>
  </rv>
  <rv s="0">
    <v>1206</v>
    <v>1</v>
    <v>0</v>
    <v>0</v>
  </rv>
  <rv s="0">
    <v>1207</v>
    <v>1</v>
    <v>0</v>
    <v>0</v>
  </rv>
  <rv s="0">
    <v>1208</v>
    <v>1</v>
    <v>0</v>
    <v>0</v>
  </rv>
  <rv s="0">
    <v>1209</v>
    <v>1</v>
    <v>0</v>
    <v>0</v>
  </rv>
  <rv s="0">
    <v>1210</v>
    <v>1</v>
    <v>0</v>
    <v>0</v>
  </rv>
  <rv s="0">
    <v>1211</v>
    <v>1</v>
    <v>0</v>
    <v>0</v>
  </rv>
  <rv s="0">
    <v>1212</v>
    <v>1</v>
    <v>0</v>
    <v>0</v>
  </rv>
  <rv s="0">
    <v>1213</v>
    <v>1</v>
    <v>0</v>
    <v>0</v>
  </rv>
  <rv s="0">
    <v>1214</v>
    <v>1</v>
    <v>0</v>
    <v>0</v>
  </rv>
  <rv s="0">
    <v>1215</v>
    <v>1</v>
    <v>0</v>
    <v>0</v>
  </rv>
  <rv s="0">
    <v>1216</v>
    <v>1</v>
    <v>0</v>
    <v>0</v>
  </rv>
  <rv s="0">
    <v>1217</v>
    <v>1</v>
    <v>0</v>
    <v>0</v>
  </rv>
  <rv s="0">
    <v>1218</v>
    <v>1</v>
    <v>0</v>
    <v>0</v>
  </rv>
  <rv s="0">
    <v>1219</v>
    <v>1</v>
    <v>0</v>
    <v>0</v>
  </rv>
  <rv s="0">
    <v>1220</v>
    <v>1</v>
    <v>0</v>
    <v>0</v>
  </rv>
  <rv s="0">
    <v>1221</v>
    <v>1</v>
    <v>0</v>
    <v>0</v>
  </rv>
  <rv s="0">
    <v>1222</v>
    <v>1</v>
    <v>0</v>
    <v>0</v>
  </rv>
  <rv s="0">
    <v>1223</v>
    <v>1</v>
    <v>0</v>
    <v>0</v>
  </rv>
  <rv s="0">
    <v>1224</v>
    <v>1</v>
    <v>0</v>
    <v>0</v>
  </rv>
  <rv s="0">
    <v>1225</v>
    <v>1</v>
    <v>0</v>
    <v>0</v>
  </rv>
  <rv s="0">
    <v>1226</v>
    <v>1</v>
    <v>0</v>
    <v>0</v>
  </rv>
  <rv s="0">
    <v>1227</v>
    <v>1</v>
    <v>0</v>
    <v>0</v>
  </rv>
  <rv s="0">
    <v>1228</v>
    <v>1</v>
    <v>0</v>
    <v>0</v>
  </rv>
  <rv s="0">
    <v>1229</v>
    <v>1</v>
    <v>0</v>
    <v>0</v>
  </rv>
  <rv s="0">
    <v>1230</v>
    <v>1</v>
    <v>0</v>
    <v>0</v>
  </rv>
  <rv s="0">
    <v>1231</v>
    <v>1</v>
    <v>0</v>
    <v>0</v>
  </rv>
  <rv s="0">
    <v>1232</v>
    <v>1</v>
    <v>0</v>
    <v>0</v>
  </rv>
  <rv s="0">
    <v>1233</v>
    <v>1</v>
    <v>0</v>
    <v>0</v>
  </rv>
  <rv s="0">
    <v>1234</v>
    <v>1</v>
    <v>0</v>
    <v>0</v>
  </rv>
  <rv s="0">
    <v>1235</v>
    <v>1</v>
    <v>0</v>
    <v>0</v>
  </rv>
  <rv s="0">
    <v>1236</v>
    <v>1</v>
    <v>0</v>
    <v>0</v>
  </rv>
  <rv s="0">
    <v>1237</v>
    <v>1</v>
    <v>0</v>
    <v>0</v>
  </rv>
  <rv s="0">
    <v>1238</v>
    <v>1</v>
    <v>0</v>
    <v>0</v>
  </rv>
  <rv s="0">
    <v>1239</v>
    <v>1</v>
    <v>0</v>
    <v>0</v>
  </rv>
  <rv s="0">
    <v>1240</v>
    <v>1</v>
    <v>0</v>
    <v>0</v>
  </rv>
  <rv s="0">
    <v>1241</v>
    <v>1</v>
    <v>0</v>
    <v>0</v>
  </rv>
  <rv s="0">
    <v>1242</v>
    <v>1</v>
    <v>0</v>
    <v>0</v>
  </rv>
  <rv s="0">
    <v>1243</v>
    <v>1</v>
    <v>0</v>
    <v>0</v>
  </rv>
  <rv s="0">
    <v>1244</v>
    <v>1</v>
    <v>0</v>
    <v>0</v>
  </rv>
  <rv s="0">
    <v>1245</v>
    <v>1</v>
    <v>0</v>
    <v>0</v>
  </rv>
  <rv s="0">
    <v>1246</v>
    <v>1</v>
    <v>0</v>
    <v>0</v>
  </rv>
  <rv s="0">
    <v>1247</v>
    <v>1</v>
    <v>0</v>
    <v>0</v>
  </rv>
  <rv s="0">
    <v>1248</v>
    <v>1</v>
    <v>0</v>
    <v>0</v>
  </rv>
  <rv s="0">
    <v>1249</v>
    <v>1</v>
    <v>0</v>
    <v>0</v>
  </rv>
  <rv s="0">
    <v>1250</v>
    <v>1</v>
    <v>0</v>
    <v>0</v>
  </rv>
  <rv s="0">
    <v>1251</v>
    <v>1</v>
    <v>0</v>
    <v>0</v>
  </rv>
  <rv s="0">
    <v>1252</v>
    <v>1</v>
    <v>0</v>
    <v>0</v>
  </rv>
  <rv s="0">
    <v>1253</v>
    <v>1</v>
    <v>0</v>
    <v>0</v>
  </rv>
  <rv s="0">
    <v>1254</v>
    <v>1</v>
    <v>0</v>
    <v>0</v>
  </rv>
  <rv s="0">
    <v>1255</v>
    <v>1</v>
    <v>0</v>
    <v>0</v>
  </rv>
  <rv s="0">
    <v>1256</v>
    <v>1</v>
    <v>0</v>
    <v>0</v>
  </rv>
  <rv s="0">
    <v>1257</v>
    <v>1</v>
    <v>0</v>
    <v>0</v>
  </rv>
  <rv s="0">
    <v>1258</v>
    <v>1</v>
    <v>0</v>
    <v>0</v>
  </rv>
  <rv s="0">
    <v>1259</v>
    <v>1</v>
    <v>0</v>
    <v>0</v>
  </rv>
  <rv s="0">
    <v>1260</v>
    <v>1</v>
    <v>0</v>
    <v>0</v>
  </rv>
  <rv s="0">
    <v>1261</v>
    <v>1</v>
    <v>0</v>
    <v>0</v>
  </rv>
  <rv s="0">
    <v>1262</v>
    <v>1</v>
    <v>0</v>
    <v>0</v>
  </rv>
  <rv s="0">
    <v>1263</v>
    <v>1</v>
    <v>0</v>
    <v>0</v>
  </rv>
  <rv s="0">
    <v>1264</v>
    <v>1</v>
    <v>0</v>
    <v>0</v>
  </rv>
  <rv s="0">
    <v>1265</v>
    <v>1</v>
    <v>0</v>
    <v>0</v>
  </rv>
  <rv s="0">
    <v>1266</v>
    <v>1</v>
    <v>0</v>
    <v>0</v>
  </rv>
  <rv s="0">
    <v>1267</v>
    <v>1</v>
    <v>0</v>
    <v>0</v>
  </rv>
  <rv s="0">
    <v>1268</v>
    <v>1</v>
    <v>0</v>
    <v>0</v>
  </rv>
  <rv s="0">
    <v>1269</v>
    <v>1</v>
    <v>0</v>
    <v>0</v>
  </rv>
  <rv s="0">
    <v>1270</v>
    <v>1</v>
    <v>0</v>
    <v>0</v>
  </rv>
  <rv s="0">
    <v>1271</v>
    <v>1</v>
    <v>0</v>
    <v>0</v>
  </rv>
  <rv s="0">
    <v>1272</v>
    <v>1</v>
    <v>0</v>
    <v>0</v>
  </rv>
  <rv s="0">
    <v>1273</v>
    <v>1</v>
    <v>0</v>
    <v>0</v>
  </rv>
  <rv s="0">
    <v>1274</v>
    <v>1</v>
    <v>0</v>
    <v>0</v>
  </rv>
  <rv s="0">
    <v>1275</v>
    <v>1</v>
    <v>0</v>
    <v>0</v>
  </rv>
  <rv s="0">
    <v>1276</v>
    <v>1</v>
    <v>0</v>
    <v>0</v>
  </rv>
  <rv s="0">
    <v>1277</v>
    <v>1</v>
    <v>0</v>
    <v>0</v>
  </rv>
  <rv s="0">
    <v>1278</v>
    <v>1</v>
    <v>0</v>
    <v>0</v>
  </rv>
  <rv s="0">
    <v>1279</v>
    <v>1</v>
    <v>0</v>
    <v>0</v>
  </rv>
  <rv s="0">
    <v>1280</v>
    <v>1</v>
    <v>0</v>
    <v>0</v>
  </rv>
  <rv s="0">
    <v>1281</v>
    <v>1</v>
    <v>0</v>
    <v>0</v>
  </rv>
  <rv s="0">
    <v>1282</v>
    <v>1</v>
    <v>0</v>
    <v>0</v>
  </rv>
  <rv s="0">
    <v>1283</v>
    <v>1</v>
    <v>0</v>
    <v>0</v>
  </rv>
  <rv s="0">
    <v>1284</v>
    <v>1</v>
    <v>0</v>
    <v>0</v>
  </rv>
  <rv s="0">
    <v>1285</v>
    <v>1</v>
    <v>0</v>
    <v>0</v>
  </rv>
  <rv s="0">
    <v>1286</v>
    <v>1</v>
    <v>0</v>
    <v>0</v>
  </rv>
  <rv s="0">
    <v>1287</v>
    <v>1</v>
    <v>0</v>
    <v>0</v>
  </rv>
  <rv s="0">
    <v>1288</v>
    <v>1</v>
    <v>0</v>
    <v>0</v>
  </rv>
  <rv s="0">
    <v>1289</v>
    <v>1</v>
    <v>0</v>
    <v>0</v>
  </rv>
  <rv s="0">
    <v>1290</v>
    <v>1</v>
    <v>0</v>
    <v>0</v>
  </rv>
  <rv s="0">
    <v>1291</v>
    <v>1</v>
    <v>0</v>
    <v>0</v>
  </rv>
  <rv s="0">
    <v>1292</v>
    <v>1</v>
    <v>0</v>
    <v>0</v>
  </rv>
  <rv s="0">
    <v>1293</v>
    <v>1</v>
    <v>0</v>
    <v>0</v>
  </rv>
  <rv s="0">
    <v>1294</v>
    <v>1</v>
    <v>0</v>
    <v>0</v>
  </rv>
  <rv s="0">
    <v>1295</v>
    <v>1</v>
    <v>0</v>
    <v>0</v>
  </rv>
  <rv s="0">
    <v>1296</v>
    <v>1</v>
    <v>0</v>
    <v>0</v>
  </rv>
  <rv s="0">
    <v>1297</v>
    <v>1</v>
    <v>0</v>
    <v>0</v>
  </rv>
  <rv s="0">
    <v>1298</v>
    <v>1</v>
    <v>0</v>
    <v>0</v>
  </rv>
  <rv s="0">
    <v>1299</v>
    <v>1</v>
    <v>0</v>
    <v>0</v>
  </rv>
  <rv s="0">
    <v>1300</v>
    <v>1</v>
    <v>0</v>
    <v>0</v>
  </rv>
  <rv s="0">
    <v>1301</v>
    <v>1</v>
    <v>0</v>
    <v>0</v>
  </rv>
  <rv s="0">
    <v>1302</v>
    <v>1</v>
    <v>0</v>
    <v>0</v>
  </rv>
  <rv s="0">
    <v>1303</v>
    <v>1</v>
    <v>0</v>
    <v>0</v>
  </rv>
  <rv s="0">
    <v>1304</v>
    <v>1</v>
    <v>0</v>
    <v>0</v>
  </rv>
  <rv s="0">
    <v>1305</v>
    <v>1</v>
    <v>0</v>
    <v>0</v>
  </rv>
  <rv s="0">
    <v>1306</v>
    <v>1</v>
    <v>0</v>
    <v>0</v>
  </rv>
  <rv s="0">
    <v>1307</v>
    <v>1</v>
    <v>0</v>
    <v>0</v>
  </rv>
  <rv s="0">
    <v>1308</v>
    <v>1</v>
    <v>0</v>
    <v>0</v>
  </rv>
  <rv s="0">
    <v>1309</v>
    <v>1</v>
    <v>0</v>
    <v>0</v>
  </rv>
  <rv s="0">
    <v>1310</v>
    <v>1</v>
    <v>0</v>
    <v>0</v>
  </rv>
  <rv s="0">
    <v>1311</v>
    <v>1</v>
    <v>0</v>
    <v>0</v>
  </rv>
  <rv s="0">
    <v>1312</v>
    <v>1</v>
    <v>0</v>
    <v>0</v>
  </rv>
  <rv s="0">
    <v>1313</v>
    <v>1</v>
    <v>0</v>
    <v>0</v>
  </rv>
  <rv s="0">
    <v>1314</v>
    <v>1</v>
    <v>0</v>
    <v>0</v>
  </rv>
  <rv s="0">
    <v>1315</v>
    <v>1</v>
    <v>0</v>
    <v>0</v>
  </rv>
  <rv s="0">
    <v>1316</v>
    <v>1</v>
    <v>0</v>
    <v>0</v>
  </rv>
  <rv s="0">
    <v>1317</v>
    <v>1</v>
    <v>0</v>
    <v>0</v>
  </rv>
  <rv s="0">
    <v>1318</v>
    <v>1</v>
    <v>0</v>
    <v>0</v>
  </rv>
  <rv s="0">
    <v>1319</v>
    <v>1</v>
    <v>0</v>
    <v>0</v>
  </rv>
  <rv s="0">
    <v>1320</v>
    <v>1</v>
    <v>0</v>
    <v>0</v>
  </rv>
  <rv s="0">
    <v>1321</v>
    <v>1</v>
    <v>0</v>
    <v>0</v>
  </rv>
  <rv s="0">
    <v>1322</v>
    <v>1</v>
    <v>0</v>
    <v>0</v>
  </rv>
  <rv s="0">
    <v>1323</v>
    <v>1</v>
    <v>0</v>
    <v>0</v>
  </rv>
  <rv s="0">
    <v>1324</v>
    <v>1</v>
    <v>0</v>
    <v>0</v>
  </rv>
  <rv s="0">
    <v>1325</v>
    <v>1</v>
    <v>0</v>
    <v>0</v>
  </rv>
  <rv s="0">
    <v>1326</v>
    <v>1</v>
    <v>0</v>
    <v>0</v>
  </rv>
  <rv s="0">
    <v>1327</v>
    <v>1</v>
    <v>0</v>
    <v>0</v>
  </rv>
  <rv s="0">
    <v>1328</v>
    <v>1</v>
    <v>0</v>
    <v>0</v>
  </rv>
  <rv s="0">
    <v>1329</v>
    <v>1</v>
    <v>0</v>
    <v>0</v>
  </rv>
  <rv s="0">
    <v>1330</v>
    <v>1</v>
    <v>0</v>
    <v>0</v>
  </rv>
  <rv s="0">
    <v>1331</v>
    <v>1</v>
    <v>0</v>
    <v>0</v>
  </rv>
  <rv s="0">
    <v>1332</v>
    <v>1</v>
    <v>0</v>
    <v>0</v>
  </rv>
  <rv s="0">
    <v>1333</v>
    <v>1</v>
    <v>0</v>
    <v>0</v>
  </rv>
  <rv s="0">
    <v>1334</v>
    <v>1</v>
    <v>0</v>
    <v>0</v>
  </rv>
  <rv s="0">
    <v>1335</v>
    <v>1</v>
    <v>0</v>
    <v>0</v>
  </rv>
  <rv s="0">
    <v>1336</v>
    <v>1</v>
    <v>0</v>
    <v>0</v>
  </rv>
  <rv s="0">
    <v>1337</v>
    <v>1</v>
    <v>0</v>
    <v>0</v>
  </rv>
  <rv s="0">
    <v>1338</v>
    <v>1</v>
    <v>0</v>
    <v>0</v>
  </rv>
  <rv s="0">
    <v>1339</v>
    <v>1</v>
    <v>0</v>
    <v>0</v>
  </rv>
  <rv s="0">
    <v>1340</v>
    <v>1</v>
    <v>0</v>
    <v>0</v>
  </rv>
  <rv s="0">
    <v>1341</v>
    <v>1</v>
    <v>0</v>
    <v>0</v>
  </rv>
  <rv s="0">
    <v>1342</v>
    <v>1</v>
    <v>0</v>
    <v>0</v>
  </rv>
  <rv s="0">
    <v>1343</v>
    <v>1</v>
    <v>0</v>
    <v>0</v>
  </rv>
  <rv s="0">
    <v>1344</v>
    <v>1</v>
    <v>0</v>
    <v>0</v>
  </rv>
  <rv s="0">
    <v>1345</v>
    <v>1</v>
    <v>0</v>
    <v>0</v>
  </rv>
  <rv s="0">
    <v>1346</v>
    <v>1</v>
    <v>0</v>
    <v>0</v>
  </rv>
  <rv s="0">
    <v>1347</v>
    <v>1</v>
    <v>0</v>
    <v>0</v>
  </rv>
  <rv s="0">
    <v>1348</v>
    <v>1</v>
    <v>0</v>
    <v>0</v>
  </rv>
  <rv s="0">
    <v>1349</v>
    <v>1</v>
    <v>0</v>
    <v>0</v>
  </rv>
  <rv s="0">
    <v>1350</v>
    <v>1</v>
    <v>0</v>
    <v>0</v>
  </rv>
  <rv s="0">
    <v>1351</v>
    <v>1</v>
    <v>0</v>
    <v>0</v>
  </rv>
  <rv s="0">
    <v>1352</v>
    <v>1</v>
    <v>0</v>
    <v>0</v>
  </rv>
  <rv s="0">
    <v>1353</v>
    <v>1</v>
    <v>0</v>
    <v>0</v>
  </rv>
  <rv s="0">
    <v>1354</v>
    <v>1</v>
    <v>0</v>
    <v>0</v>
  </rv>
  <rv s="0">
    <v>1355</v>
    <v>1</v>
    <v>0</v>
    <v>0</v>
  </rv>
  <rv s="0">
    <v>1356</v>
    <v>1</v>
    <v>0</v>
    <v>0</v>
  </rv>
  <rv s="0">
    <v>1357</v>
    <v>1</v>
    <v>0</v>
    <v>0</v>
  </rv>
  <rv s="0">
    <v>1358</v>
    <v>1</v>
    <v>0</v>
    <v>0</v>
  </rv>
  <rv s="0">
    <v>1359</v>
    <v>1</v>
    <v>0</v>
    <v>0</v>
  </rv>
  <rv s="0">
    <v>1360</v>
    <v>1</v>
    <v>0</v>
    <v>0</v>
  </rv>
  <rv s="0">
    <v>1361</v>
    <v>1</v>
    <v>0</v>
    <v>0</v>
  </rv>
  <rv s="0">
    <v>1362</v>
    <v>1</v>
    <v>0</v>
    <v>0</v>
  </rv>
  <rv s="0">
    <v>1363</v>
    <v>1</v>
    <v>0</v>
    <v>0</v>
  </rv>
  <rv s="0">
    <v>1364</v>
    <v>1</v>
    <v>0</v>
    <v>0</v>
  </rv>
  <rv s="0">
    <v>1365</v>
    <v>1</v>
    <v>0</v>
    <v>0</v>
  </rv>
  <rv s="0">
    <v>1366</v>
    <v>1</v>
    <v>0</v>
    <v>0</v>
  </rv>
  <rv s="0">
    <v>1367</v>
    <v>1</v>
    <v>0</v>
    <v>0</v>
  </rv>
  <rv s="0">
    <v>1368</v>
    <v>1</v>
    <v>0</v>
    <v>0</v>
  </rv>
  <rv s="0">
    <v>1369</v>
    <v>1</v>
    <v>0</v>
    <v>0</v>
  </rv>
  <rv s="0">
    <v>1370</v>
    <v>1</v>
    <v>0</v>
    <v>0</v>
  </rv>
  <rv s="0">
    <v>1371</v>
    <v>1</v>
    <v>0</v>
    <v>0</v>
  </rv>
  <rv s="0">
    <v>1372</v>
    <v>1</v>
    <v>0</v>
    <v>0</v>
  </rv>
  <rv s="0">
    <v>1373</v>
    <v>1</v>
    <v>0</v>
    <v>0</v>
  </rv>
  <rv s="0">
    <v>1374</v>
    <v>1</v>
    <v>0</v>
    <v>0</v>
  </rv>
  <rv s="0">
    <v>1375</v>
    <v>1</v>
    <v>0</v>
    <v>0</v>
  </rv>
  <rv s="0">
    <v>1376</v>
    <v>1</v>
    <v>0</v>
    <v>0</v>
  </rv>
  <rv s="0">
    <v>1377</v>
    <v>1</v>
    <v>0</v>
    <v>0</v>
  </rv>
  <rv s="0">
    <v>1378</v>
    <v>1</v>
    <v>0</v>
    <v>0</v>
  </rv>
  <rv s="0">
    <v>1379</v>
    <v>1</v>
    <v>0</v>
    <v>0</v>
  </rv>
  <rv s="0">
    <v>1380</v>
    <v>1</v>
    <v>0</v>
    <v>0</v>
  </rv>
  <rv s="0">
    <v>1381</v>
    <v>1</v>
    <v>0</v>
    <v>0</v>
  </rv>
  <rv s="0">
    <v>1382</v>
    <v>1</v>
    <v>0</v>
    <v>0</v>
  </rv>
  <rv s="0">
    <v>1383</v>
    <v>1</v>
    <v>0</v>
    <v>0</v>
  </rv>
  <rv s="0">
    <v>1384</v>
    <v>1</v>
    <v>0</v>
    <v>0</v>
  </rv>
  <rv s="0">
    <v>1385</v>
    <v>1</v>
    <v>0</v>
    <v>0</v>
  </rv>
  <rv s="0">
    <v>1386</v>
    <v>1</v>
    <v>0</v>
    <v>0</v>
  </rv>
  <rv s="0">
    <v>1387</v>
    <v>1</v>
    <v>0</v>
    <v>0</v>
  </rv>
  <rv s="0">
    <v>1388</v>
    <v>1</v>
    <v>0</v>
    <v>0</v>
  </rv>
  <rv s="0">
    <v>1389</v>
    <v>1</v>
    <v>0</v>
    <v>0</v>
  </rv>
  <rv s="0">
    <v>1390</v>
    <v>1</v>
    <v>0</v>
    <v>0</v>
  </rv>
  <rv s="0">
    <v>1391</v>
    <v>1</v>
    <v>0</v>
    <v>0</v>
  </rv>
  <rv s="0">
    <v>1392</v>
    <v>1</v>
    <v>0</v>
    <v>0</v>
  </rv>
  <rv s="0">
    <v>1393</v>
    <v>1</v>
    <v>0</v>
    <v>0</v>
  </rv>
  <rv s="0">
    <v>1394</v>
    <v>1</v>
    <v>0</v>
    <v>0</v>
  </rv>
  <rv s="0">
    <v>1395</v>
    <v>1</v>
    <v>0</v>
    <v>0</v>
  </rv>
  <rv s="0">
    <v>1396</v>
    <v>1</v>
    <v>0</v>
    <v>0</v>
  </rv>
  <rv s="0">
    <v>1397</v>
    <v>1</v>
    <v>0</v>
    <v>0</v>
  </rv>
  <rv s="0">
    <v>1398</v>
    <v>1</v>
    <v>0</v>
    <v>0</v>
  </rv>
  <rv s="0">
    <v>1399</v>
    <v>1</v>
    <v>0</v>
    <v>0</v>
  </rv>
  <rv s="0">
    <v>1400</v>
    <v>1</v>
    <v>0</v>
    <v>0</v>
  </rv>
  <rv s="0">
    <v>1401</v>
    <v>1</v>
    <v>0</v>
    <v>0</v>
  </rv>
  <rv s="0">
    <v>1402</v>
    <v>1</v>
    <v>0</v>
    <v>0</v>
  </rv>
  <rv s="0">
    <v>1403</v>
    <v>1</v>
    <v>0</v>
    <v>0</v>
  </rv>
  <rv s="0">
    <v>1404</v>
    <v>1</v>
    <v>0</v>
    <v>0</v>
  </rv>
  <rv s="0">
    <v>1405</v>
    <v>1</v>
    <v>0</v>
    <v>0</v>
  </rv>
  <rv s="0">
    <v>1406</v>
    <v>1</v>
    <v>0</v>
    <v>0</v>
  </rv>
  <rv s="0">
    <v>1407</v>
    <v>1</v>
    <v>0</v>
    <v>0</v>
  </rv>
  <rv s="0">
    <v>1408</v>
    <v>1</v>
    <v>0</v>
    <v>0</v>
  </rv>
  <rv s="0">
    <v>1409</v>
    <v>1</v>
    <v>0</v>
    <v>0</v>
  </rv>
  <rv s="0">
    <v>1410</v>
    <v>1</v>
    <v>0</v>
    <v>0</v>
  </rv>
  <rv s="0">
    <v>1411</v>
    <v>1</v>
    <v>0</v>
    <v>0</v>
  </rv>
  <rv s="0">
    <v>1412</v>
    <v>1</v>
    <v>0</v>
    <v>0</v>
  </rv>
  <rv s="0">
    <v>1413</v>
    <v>1</v>
    <v>0</v>
    <v>0</v>
  </rv>
  <rv s="0">
    <v>1414</v>
    <v>1</v>
    <v>0</v>
    <v>0</v>
  </rv>
  <rv s="0">
    <v>1415</v>
    <v>1</v>
    <v>0</v>
    <v>0</v>
  </rv>
  <rv s="0">
    <v>1416</v>
    <v>1</v>
    <v>0</v>
    <v>0</v>
  </rv>
  <rv s="0">
    <v>1417</v>
    <v>1</v>
    <v>0</v>
    <v>0</v>
  </rv>
  <rv s="0">
    <v>1418</v>
    <v>1</v>
    <v>0</v>
    <v>0</v>
  </rv>
  <rv s="0">
    <v>1419</v>
    <v>1</v>
    <v>0</v>
    <v>0</v>
  </rv>
  <rv s="0">
    <v>1420</v>
    <v>1</v>
    <v>0</v>
    <v>0</v>
  </rv>
  <rv s="0">
    <v>1421</v>
    <v>1</v>
    <v>0</v>
    <v>0</v>
  </rv>
  <rv s="0">
    <v>1422</v>
    <v>1</v>
    <v>0</v>
    <v>0</v>
  </rv>
  <rv s="0">
    <v>1423</v>
    <v>1</v>
    <v>0</v>
    <v>0</v>
  </rv>
  <rv s="0">
    <v>1424</v>
    <v>1</v>
    <v>0</v>
    <v>0</v>
  </rv>
  <rv s="0">
    <v>1425</v>
    <v>1</v>
    <v>0</v>
    <v>0</v>
  </rv>
  <rv s="0">
    <v>1426</v>
    <v>1</v>
    <v>0</v>
    <v>0</v>
  </rv>
  <rv s="0">
    <v>1427</v>
    <v>1</v>
    <v>0</v>
    <v>0</v>
  </rv>
  <rv s="0">
    <v>1428</v>
    <v>1</v>
    <v>0</v>
    <v>0</v>
  </rv>
  <rv s="0">
    <v>1429</v>
    <v>1</v>
    <v>0</v>
    <v>0</v>
  </rv>
  <rv s="0">
    <v>1430</v>
    <v>1</v>
    <v>0</v>
    <v>0</v>
  </rv>
  <rv s="0">
    <v>1431</v>
    <v>1</v>
    <v>0</v>
    <v>0</v>
  </rv>
  <rv s="0">
    <v>1432</v>
    <v>1</v>
    <v>0</v>
    <v>0</v>
  </rv>
  <rv s="0">
    <v>1433</v>
    <v>1</v>
    <v>0</v>
    <v>0</v>
  </rv>
  <rv s="0">
    <v>1434</v>
    <v>1</v>
    <v>0</v>
    <v>0</v>
  </rv>
  <rv s="0">
    <v>1435</v>
    <v>1</v>
    <v>0</v>
    <v>0</v>
  </rv>
  <rv s="0">
    <v>1436</v>
    <v>1</v>
    <v>0</v>
    <v>0</v>
  </rv>
  <rv s="0">
    <v>1437</v>
    <v>1</v>
    <v>0</v>
    <v>0</v>
  </rv>
  <rv s="0">
    <v>1438</v>
    <v>1</v>
    <v>0</v>
    <v>0</v>
  </rv>
  <rv s="0">
    <v>1439</v>
    <v>1</v>
    <v>0</v>
    <v>0</v>
  </rv>
  <rv s="0">
    <v>1440</v>
    <v>1</v>
    <v>0</v>
    <v>0</v>
  </rv>
  <rv s="0">
    <v>1441</v>
    <v>1</v>
    <v>0</v>
    <v>0</v>
  </rv>
  <rv s="0">
    <v>1442</v>
    <v>1</v>
    <v>0</v>
    <v>0</v>
  </rv>
  <rv s="0">
    <v>1443</v>
    <v>1</v>
    <v>0</v>
    <v>0</v>
  </rv>
  <rv s="0">
    <v>1444</v>
    <v>1</v>
    <v>0</v>
    <v>0</v>
  </rv>
  <rv s="0">
    <v>1445</v>
    <v>1</v>
    <v>0</v>
    <v>0</v>
  </rv>
  <rv s="0">
    <v>1446</v>
    <v>1</v>
    <v>0</v>
    <v>0</v>
  </rv>
  <rv s="0">
    <v>1447</v>
    <v>1</v>
    <v>0</v>
    <v>0</v>
  </rv>
  <rv s="0">
    <v>1448</v>
    <v>1</v>
    <v>0</v>
    <v>0</v>
  </rv>
  <rv s="0">
    <v>1449</v>
    <v>1</v>
    <v>0</v>
    <v>0</v>
  </rv>
  <rv s="0">
    <v>1450</v>
    <v>1</v>
    <v>0</v>
    <v>0</v>
  </rv>
  <rv s="0">
    <v>1451</v>
    <v>1</v>
    <v>0</v>
    <v>0</v>
  </rv>
  <rv s="0">
    <v>1452</v>
    <v>1</v>
    <v>0</v>
    <v>0</v>
  </rv>
  <rv s="0">
    <v>1453</v>
    <v>1</v>
    <v>0</v>
    <v>0</v>
  </rv>
  <rv s="0">
    <v>1454</v>
    <v>1</v>
    <v>0</v>
    <v>0</v>
  </rv>
  <rv s="0">
    <v>1455</v>
    <v>1</v>
    <v>0</v>
    <v>0</v>
  </rv>
  <rv s="0">
    <v>1456</v>
    <v>1</v>
    <v>0</v>
    <v>0</v>
  </rv>
  <rv s="0">
    <v>1457</v>
    <v>1</v>
    <v>0</v>
    <v>0</v>
  </rv>
  <rv s="0">
    <v>1458</v>
    <v>1</v>
    <v>0</v>
    <v>0</v>
  </rv>
  <rv s="0">
    <v>1459</v>
    <v>1</v>
    <v>0</v>
    <v>0</v>
  </rv>
  <rv s="0">
    <v>1460</v>
    <v>1</v>
    <v>0</v>
    <v>0</v>
  </rv>
  <rv s="0">
    <v>1461</v>
    <v>1</v>
    <v>0</v>
    <v>0</v>
  </rv>
  <rv s="0">
    <v>1462</v>
    <v>1</v>
    <v>0</v>
    <v>0</v>
  </rv>
  <rv s="0">
    <v>1463</v>
    <v>1</v>
    <v>0</v>
    <v>0</v>
  </rv>
  <rv s="0">
    <v>1464</v>
    <v>1</v>
    <v>0</v>
    <v>0</v>
  </rv>
  <rv s="0">
    <v>1465</v>
    <v>1</v>
    <v>0</v>
    <v>0</v>
  </rv>
  <rv s="0">
    <v>1466</v>
    <v>1</v>
    <v>0</v>
    <v>0</v>
  </rv>
  <rv s="0">
    <v>1467</v>
    <v>1</v>
    <v>0</v>
    <v>0</v>
  </rv>
  <rv s="0">
    <v>1468</v>
    <v>1</v>
    <v>0</v>
    <v>0</v>
  </rv>
  <rv s="0">
    <v>1469</v>
    <v>1</v>
    <v>0</v>
    <v>0</v>
  </rv>
  <rv s="0">
    <v>1470</v>
    <v>1</v>
    <v>0</v>
    <v>0</v>
  </rv>
  <rv s="0">
    <v>1471</v>
    <v>1</v>
    <v>0</v>
    <v>0</v>
  </rv>
  <rv s="0">
    <v>1472</v>
    <v>1</v>
    <v>0</v>
    <v>0</v>
  </rv>
  <rv s="0">
    <v>1473</v>
    <v>1</v>
    <v>0</v>
    <v>0</v>
  </rv>
  <rv s="0">
    <v>1474</v>
    <v>1</v>
    <v>0</v>
    <v>0</v>
  </rv>
  <rv s="0">
    <v>1475</v>
    <v>1</v>
    <v>0</v>
    <v>0</v>
  </rv>
  <rv s="0">
    <v>1476</v>
    <v>1</v>
    <v>0</v>
    <v>0</v>
  </rv>
  <rv s="0">
    <v>1477</v>
    <v>1</v>
    <v>0</v>
    <v>0</v>
  </rv>
  <rv s="0">
    <v>1478</v>
    <v>1</v>
    <v>0</v>
    <v>0</v>
  </rv>
  <rv s="0">
    <v>1479</v>
    <v>1</v>
    <v>0</v>
    <v>0</v>
  </rv>
  <rv s="0">
    <v>1480</v>
    <v>1</v>
    <v>0</v>
    <v>0</v>
  </rv>
  <rv s="0">
    <v>1481</v>
    <v>1</v>
    <v>0</v>
    <v>0</v>
  </rv>
  <rv s="0">
    <v>1482</v>
    <v>1</v>
    <v>0</v>
    <v>0</v>
  </rv>
  <rv s="0">
    <v>1483</v>
    <v>1</v>
    <v>0</v>
    <v>0</v>
  </rv>
  <rv s="0">
    <v>1484</v>
    <v>1</v>
    <v>0</v>
    <v>0</v>
  </rv>
  <rv s="0">
    <v>1485</v>
    <v>1</v>
    <v>0</v>
    <v>0</v>
  </rv>
  <rv s="0">
    <v>1486</v>
    <v>1</v>
    <v>0</v>
    <v>0</v>
  </rv>
  <rv s="0">
    <v>1487</v>
    <v>1</v>
    <v>0</v>
    <v>0</v>
  </rv>
  <rv s="0">
    <v>1488</v>
    <v>1</v>
    <v>0</v>
    <v>0</v>
  </rv>
  <rv s="0">
    <v>1489</v>
    <v>1</v>
    <v>0</v>
    <v>0</v>
  </rv>
  <rv s="0">
    <v>1490</v>
    <v>1</v>
    <v>0</v>
    <v>0</v>
  </rv>
  <rv s="0">
    <v>1491</v>
    <v>1</v>
    <v>0</v>
    <v>0</v>
  </rv>
  <rv s="0">
    <v>1492</v>
    <v>1</v>
    <v>0</v>
    <v>0</v>
  </rv>
  <rv s="0">
    <v>1493</v>
    <v>1</v>
    <v>0</v>
    <v>0</v>
  </rv>
  <rv s="0">
    <v>1494</v>
    <v>1</v>
    <v>0</v>
    <v>0</v>
  </rv>
  <rv s="0">
    <v>1495</v>
    <v>1</v>
    <v>0</v>
    <v>0</v>
  </rv>
  <rv s="0">
    <v>1496</v>
    <v>1</v>
    <v>0</v>
    <v>0</v>
  </rv>
  <rv s="0">
    <v>1497</v>
    <v>1</v>
    <v>0</v>
    <v>0</v>
  </rv>
  <rv s="0">
    <v>1498</v>
    <v>1</v>
    <v>0</v>
    <v>0</v>
  </rv>
  <rv s="0">
    <v>1499</v>
    <v>1</v>
    <v>0</v>
    <v>0</v>
  </rv>
  <rv s="0">
    <v>1500</v>
    <v>1</v>
    <v>0</v>
    <v>0</v>
  </rv>
  <rv s="0">
    <v>1501</v>
    <v>1</v>
    <v>0</v>
    <v>0</v>
  </rv>
  <rv s="0">
    <v>1502</v>
    <v>1</v>
    <v>0</v>
    <v>0</v>
  </rv>
  <rv s="0">
    <v>1503</v>
    <v>1</v>
    <v>0</v>
    <v>0</v>
  </rv>
  <rv s="0">
    <v>1504</v>
    <v>1</v>
    <v>0</v>
    <v>0</v>
  </rv>
  <rv s="0">
    <v>1505</v>
    <v>1</v>
    <v>0</v>
    <v>0</v>
  </rv>
  <rv s="0">
    <v>1506</v>
    <v>1</v>
    <v>0</v>
    <v>0</v>
  </rv>
  <rv s="0">
    <v>1507</v>
    <v>1</v>
    <v>0</v>
    <v>0</v>
  </rv>
  <rv s="0">
    <v>1508</v>
    <v>1</v>
    <v>0</v>
    <v>0</v>
  </rv>
  <rv s="0">
    <v>1509</v>
    <v>1</v>
    <v>0</v>
    <v>0</v>
  </rv>
  <rv s="0">
    <v>1510</v>
    <v>1</v>
    <v>0</v>
    <v>0</v>
  </rv>
  <rv s="0">
    <v>1511</v>
    <v>1</v>
    <v>0</v>
    <v>0</v>
  </rv>
  <rv s="0">
    <v>1512</v>
    <v>1</v>
    <v>0</v>
    <v>0</v>
  </rv>
  <rv s="0">
    <v>1513</v>
    <v>1</v>
    <v>0</v>
    <v>0</v>
  </rv>
  <rv s="0">
    <v>1514</v>
    <v>1</v>
    <v>0</v>
    <v>0</v>
  </rv>
  <rv s="0">
    <v>1515</v>
    <v>1</v>
    <v>0</v>
    <v>0</v>
  </rv>
  <rv s="0">
    <v>1516</v>
    <v>1</v>
    <v>0</v>
    <v>0</v>
  </rv>
  <rv s="0">
    <v>1517</v>
    <v>1</v>
    <v>0</v>
    <v>0</v>
  </rv>
  <rv s="0">
    <v>1518</v>
    <v>1</v>
    <v>0</v>
    <v>0</v>
  </rv>
  <rv s="0">
    <v>1519</v>
    <v>1</v>
    <v>0</v>
    <v>0</v>
  </rv>
  <rv s="0">
    <v>1520</v>
    <v>1</v>
    <v>0</v>
    <v>0</v>
  </rv>
  <rv s="0">
    <v>1521</v>
    <v>1</v>
    <v>0</v>
    <v>0</v>
  </rv>
  <rv s="0">
    <v>1522</v>
    <v>1</v>
    <v>0</v>
    <v>0</v>
  </rv>
  <rv s="0">
    <v>1523</v>
    <v>1</v>
    <v>0</v>
    <v>0</v>
  </rv>
  <rv s="0">
    <v>1524</v>
    <v>1</v>
    <v>0</v>
    <v>0</v>
  </rv>
  <rv s="0">
    <v>1525</v>
    <v>1</v>
    <v>0</v>
    <v>0</v>
  </rv>
  <rv s="0">
    <v>1526</v>
    <v>1</v>
    <v>0</v>
    <v>0</v>
  </rv>
  <rv s="0">
    <v>1527</v>
    <v>1</v>
    <v>0</v>
    <v>0</v>
  </rv>
  <rv s="0">
    <v>1528</v>
    <v>1</v>
    <v>0</v>
    <v>0</v>
  </rv>
  <rv s="0">
    <v>1529</v>
    <v>1</v>
    <v>0</v>
    <v>0</v>
  </rv>
  <rv s="0">
    <v>1530</v>
    <v>1</v>
    <v>0</v>
    <v>0</v>
  </rv>
  <rv s="0">
    <v>1531</v>
    <v>1</v>
    <v>0</v>
    <v>0</v>
  </rv>
  <rv s="0">
    <v>1532</v>
    <v>1</v>
    <v>0</v>
    <v>0</v>
  </rv>
  <rv s="0">
    <v>1533</v>
    <v>1</v>
    <v>0</v>
    <v>0</v>
  </rv>
  <rv s="0">
    <v>1534</v>
    <v>1</v>
    <v>0</v>
    <v>0</v>
  </rv>
  <rv s="0">
    <v>1535</v>
    <v>1</v>
    <v>0</v>
    <v>0</v>
  </rv>
  <rv s="0">
    <v>1536</v>
    <v>1</v>
    <v>0</v>
    <v>0</v>
  </rv>
  <rv s="0">
    <v>1537</v>
    <v>1</v>
    <v>0</v>
    <v>0</v>
  </rv>
  <rv s="0">
    <v>1538</v>
    <v>1</v>
    <v>0</v>
    <v>0</v>
  </rv>
  <rv s="0">
    <v>1539</v>
    <v>1</v>
    <v>0</v>
    <v>0</v>
  </rv>
  <rv s="0">
    <v>1540</v>
    <v>1</v>
    <v>0</v>
    <v>0</v>
  </rv>
  <rv s="0">
    <v>1541</v>
    <v>1</v>
    <v>0</v>
    <v>0</v>
  </rv>
  <rv s="0">
    <v>1542</v>
    <v>1</v>
    <v>0</v>
    <v>0</v>
  </rv>
  <rv s="0">
    <v>1543</v>
    <v>1</v>
    <v>0</v>
    <v>0</v>
  </rv>
  <rv s="0">
    <v>1544</v>
    <v>1</v>
    <v>0</v>
    <v>0</v>
  </rv>
  <rv s="0">
    <v>1545</v>
    <v>1</v>
    <v>0</v>
    <v>0</v>
  </rv>
</rvData>
</file>

<file path=xl/richData/rdrichvaluestructure.xml><?xml version="1.0" encoding="utf-8"?>
<rvStructures xmlns="http://schemas.microsoft.com/office/spreadsheetml/2017/richdata" count="1">
  <s t="_webimage">
    <k n="WebImageIdentifier" t="i"/>
    <k n="CalcOrigin" t="i"/>
    <k n="ComputedImage" t="b"/>
    <k n="ImageSizing" t="i"/>
  </s>
</rvStructure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Tw Cen MT">
      <a:majorFont>
        <a:latin typeface="Tw Cen MT" panose="020B0602020104020603"/>
        <a:ea typeface=""/>
        <a:cs typeface=""/>
        <a:font script="Grek" typeface="Calibri"/>
        <a:font script="Cyrl" typeface="Calibri"/>
        <a:font script="Jpan" typeface="HGPｺﾞｼｯｸE"/>
        <a:font script="Hang" typeface="HY얕은샘물M"/>
        <a:font script="Hans" typeface="华文仿宋"/>
        <a:font script="Hant" typeface="微軟正黑體"/>
        <a:font script="Arab" typeface="Arial"/>
        <a:font script="Hebr" typeface="Levenim MT"/>
        <a:font script="Thai" typeface="FreesiaUPC"/>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ajorFont>
      <a:minorFont>
        <a:latin typeface="Tw Cen MT" panose="020B0602020104020603"/>
        <a:ea typeface=""/>
        <a:cs typeface=""/>
        <a:font script="Grek" typeface="Calibri"/>
        <a:font script="Cyrl" typeface="Calibri"/>
        <a:font script="Jpan" typeface="HGPｺﾞｼｯｸE"/>
        <a:font script="Hang" typeface="HY얕은샘물M"/>
        <a:font script="Hans" typeface="华文仿宋"/>
        <a:font script="Hant" typeface="微軟正黑體"/>
        <a:font script="Arab" typeface="Arial"/>
        <a:font script="Hebr" typeface="Levenim MT"/>
        <a:font script="Thai" typeface="FreesiaUPC"/>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17" Type="http://schemas.openxmlformats.org/officeDocument/2006/relationships/hyperlink" Target="https://dragalialost.wiki/w/Lapis" TargetMode="External"/><Relationship Id="rId299" Type="http://schemas.openxmlformats.org/officeDocument/2006/relationships/printerSettings" Target="../printerSettings/printerSettings7.bin"/><Relationship Id="rId21" Type="http://schemas.openxmlformats.org/officeDocument/2006/relationships/hyperlink" Target="https://dragalialost.wiki/w/Ezelith" TargetMode="External"/><Relationship Id="rId63" Type="http://schemas.openxmlformats.org/officeDocument/2006/relationships/hyperlink" Target="https://dragalialost.wiki/w/Xander" TargetMode="External"/><Relationship Id="rId159" Type="http://schemas.openxmlformats.org/officeDocument/2006/relationships/hyperlink" Target="https://dragalialost.wiki/w/Louise" TargetMode="External"/><Relationship Id="rId170" Type="http://schemas.openxmlformats.org/officeDocument/2006/relationships/hyperlink" Target="https://dragalialost.wiki/w/Nina" TargetMode="External"/><Relationship Id="rId226" Type="http://schemas.openxmlformats.org/officeDocument/2006/relationships/hyperlink" Target="https://dragalialost.wiki/w/Ryozen" TargetMode="External"/><Relationship Id="rId268" Type="http://schemas.openxmlformats.org/officeDocument/2006/relationships/hyperlink" Target="https://dragalialost.wiki/w/Curran" TargetMode="External"/><Relationship Id="rId32" Type="http://schemas.openxmlformats.org/officeDocument/2006/relationships/hyperlink" Target="https://dragalialost.wiki/w/Kimono_Elisanne" TargetMode="External"/><Relationship Id="rId74" Type="http://schemas.openxmlformats.org/officeDocument/2006/relationships/hyperlink" Target="https://dragalialost.wiki/w/Tiki" TargetMode="External"/><Relationship Id="rId128" Type="http://schemas.openxmlformats.org/officeDocument/2006/relationships/hyperlink" Target="https://dragalialost.wiki/w/Forager_Mitsuba" TargetMode="External"/><Relationship Id="rId5" Type="http://schemas.openxmlformats.org/officeDocument/2006/relationships/hyperlink" Target="https://dragalialost.wiki/w/Marth" TargetMode="External"/><Relationship Id="rId181" Type="http://schemas.openxmlformats.org/officeDocument/2006/relationships/hyperlink" Target="https://dragalialost.wiki/w/Gala_Prince" TargetMode="External"/><Relationship Id="rId237" Type="http://schemas.openxmlformats.org/officeDocument/2006/relationships/hyperlink" Target="https://dragalialost.wiki/w/Estelle" TargetMode="External"/><Relationship Id="rId279" Type="http://schemas.openxmlformats.org/officeDocument/2006/relationships/hyperlink" Target="https://dragalialost.wiki/w/Opera_Karina" TargetMode="External"/><Relationship Id="rId43" Type="http://schemas.openxmlformats.org/officeDocument/2006/relationships/hyperlink" Target="https://dragalialost.wiki/w/Yukata_Cleo" TargetMode="External"/><Relationship Id="rId139" Type="http://schemas.openxmlformats.org/officeDocument/2006/relationships/hyperlink" Target="https://dragalialost.wiki/w/Francesca" TargetMode="External"/><Relationship Id="rId290" Type="http://schemas.openxmlformats.org/officeDocument/2006/relationships/hyperlink" Target="https://dragalialost.wiki/w/Althemia" TargetMode="External"/><Relationship Id="rId85" Type="http://schemas.openxmlformats.org/officeDocument/2006/relationships/hyperlink" Target="https://dragalialost.wiki/w/Pietro" TargetMode="External"/><Relationship Id="rId150" Type="http://schemas.openxmlformats.org/officeDocument/2006/relationships/hyperlink" Target="https://dragalialost.wiki/w/Halloween_Melsa" TargetMode="External"/><Relationship Id="rId192" Type="http://schemas.openxmlformats.org/officeDocument/2006/relationships/hyperlink" Target="https://dragalialost.wiki/w/Farren" TargetMode="External"/><Relationship Id="rId206" Type="http://schemas.openxmlformats.org/officeDocument/2006/relationships/hyperlink" Target="https://dragalialost.wiki/w/Linus" TargetMode="External"/><Relationship Id="rId248" Type="http://schemas.openxmlformats.org/officeDocument/2006/relationships/hyperlink" Target="https://dragalialost.wiki/w/Berserker" TargetMode="External"/><Relationship Id="rId12" Type="http://schemas.openxmlformats.org/officeDocument/2006/relationships/hyperlink" Target="https://dragalialost.wiki/w/Armored_Yachiyo" TargetMode="External"/><Relationship Id="rId108" Type="http://schemas.openxmlformats.org/officeDocument/2006/relationships/hyperlink" Target="https://dragalialost.wiki/w/Dragonyule_Xander" TargetMode="External"/><Relationship Id="rId54" Type="http://schemas.openxmlformats.org/officeDocument/2006/relationships/hyperlink" Target="https://dragalialost.wiki/w/Halloween_Lowen" TargetMode="External"/><Relationship Id="rId75" Type="http://schemas.openxmlformats.org/officeDocument/2006/relationships/hyperlink" Target="https://dragalialost.wiki/w/Mitsuba" TargetMode="External"/><Relationship Id="rId96" Type="http://schemas.openxmlformats.org/officeDocument/2006/relationships/hyperlink" Target="https://dragalialost.wiki/w/Pinon" TargetMode="External"/><Relationship Id="rId140" Type="http://schemas.openxmlformats.org/officeDocument/2006/relationships/hyperlink" Target="https://dragalialost.wiki/w/Shingen" TargetMode="External"/><Relationship Id="rId161" Type="http://schemas.openxmlformats.org/officeDocument/2006/relationships/hyperlink" Target="https://dragalialost.wiki/w/Eleonora" TargetMode="External"/><Relationship Id="rId182" Type="http://schemas.openxmlformats.org/officeDocument/2006/relationships/hyperlink" Target="https://dragalialost.wiki/w/Alfonse" TargetMode="External"/><Relationship Id="rId217" Type="http://schemas.openxmlformats.org/officeDocument/2006/relationships/hyperlink" Target="https://dragalialost.wiki/w/Rawn" TargetMode="External"/><Relationship Id="rId6" Type="http://schemas.openxmlformats.org/officeDocument/2006/relationships/hyperlink" Target="https://dragalialost.wiki/w/Naveed" TargetMode="External"/><Relationship Id="rId238" Type="http://schemas.openxmlformats.org/officeDocument/2006/relationships/hyperlink" Target="https://dragalialost.wiki/w/Hope" TargetMode="External"/><Relationship Id="rId259" Type="http://schemas.openxmlformats.org/officeDocument/2006/relationships/hyperlink" Target="https://dragalialost.wiki/w/Nevin" TargetMode="External"/><Relationship Id="rId23" Type="http://schemas.openxmlformats.org/officeDocument/2006/relationships/hyperlink" Target="https://dragalialost.wiki/w/Melsa" TargetMode="External"/><Relationship Id="rId119" Type="http://schemas.openxmlformats.org/officeDocument/2006/relationships/hyperlink" Target="https://dragalialost.wiki/w/Nino" TargetMode="External"/><Relationship Id="rId270" Type="http://schemas.openxmlformats.org/officeDocument/2006/relationships/hyperlink" Target="https://dragalialost.wiki/w/Erik" TargetMode="External"/><Relationship Id="rId291" Type="http://schemas.openxmlformats.org/officeDocument/2006/relationships/hyperlink" Target="https://dragalialost.wiki/w/Grace" TargetMode="External"/><Relationship Id="rId44" Type="http://schemas.openxmlformats.org/officeDocument/2006/relationships/hyperlink" Target="https://dragalialost.wiki/w/Seimei" TargetMode="External"/><Relationship Id="rId65" Type="http://schemas.openxmlformats.org/officeDocument/2006/relationships/hyperlink" Target="https://dragalialost.wiki/w/Zardin" TargetMode="External"/><Relationship Id="rId86" Type="http://schemas.openxmlformats.org/officeDocument/2006/relationships/hyperlink" Target="https://dragalialost.wiki/w/Rex" TargetMode="External"/><Relationship Id="rId130" Type="http://schemas.openxmlformats.org/officeDocument/2006/relationships/hyperlink" Target="https://dragalialost.wiki/w/Victor" TargetMode="External"/><Relationship Id="rId151" Type="http://schemas.openxmlformats.org/officeDocument/2006/relationships/hyperlink" Target="https://dragalialost.wiki/w/Kirsty" TargetMode="External"/><Relationship Id="rId172" Type="http://schemas.openxmlformats.org/officeDocument/2006/relationships/hyperlink" Target="https://dragalialost.wiki/w/Akasha" TargetMode="External"/><Relationship Id="rId193" Type="http://schemas.openxmlformats.org/officeDocument/2006/relationships/hyperlink" Target="https://dragalialost.wiki/w/Yukata_Curran" TargetMode="External"/><Relationship Id="rId207" Type="http://schemas.openxmlformats.org/officeDocument/2006/relationships/hyperlink" Target="https://dragalialost.wiki/w/Sharena" TargetMode="External"/><Relationship Id="rId228" Type="http://schemas.openxmlformats.org/officeDocument/2006/relationships/hyperlink" Target="https://dragalialost.wiki/w/Albert" TargetMode="External"/><Relationship Id="rId249" Type="http://schemas.openxmlformats.org/officeDocument/2006/relationships/hyperlink" Target="https://dragalialost.wiki/w/Rodrigo" TargetMode="External"/><Relationship Id="rId13" Type="http://schemas.openxmlformats.org/officeDocument/2006/relationships/hyperlink" Target="https://dragalialost.wiki/w/Nobunaga" TargetMode="External"/><Relationship Id="rId109" Type="http://schemas.openxmlformats.org/officeDocument/2006/relationships/hyperlink" Target="https://dragalialost.wiki/w/Sandalphon" TargetMode="External"/><Relationship Id="rId260" Type="http://schemas.openxmlformats.org/officeDocument/2006/relationships/hyperlink" Target="https://dragalialost.wiki/w/Bellina" TargetMode="External"/><Relationship Id="rId281" Type="http://schemas.openxmlformats.org/officeDocument/2006/relationships/hyperlink" Target="https://dragalialost.wiki/w/Valentine's_Addis" TargetMode="External"/><Relationship Id="rId34" Type="http://schemas.openxmlformats.org/officeDocument/2006/relationships/hyperlink" Target="https://dragalialost.wiki/w/Gala_Mym" TargetMode="External"/><Relationship Id="rId55" Type="http://schemas.openxmlformats.org/officeDocument/2006/relationships/hyperlink" Target="https://dragalialost.wiki/w/Verica" TargetMode="External"/><Relationship Id="rId76" Type="http://schemas.openxmlformats.org/officeDocument/2006/relationships/hyperlink" Target="https://dragalialost.wiki/w/Dragonyule_Cleo" TargetMode="External"/><Relationship Id="rId97" Type="http://schemas.openxmlformats.org/officeDocument/2006/relationships/hyperlink" Target="https://dragalialost.wiki/w/Hunter_Sarisse" TargetMode="External"/><Relationship Id="rId120" Type="http://schemas.openxmlformats.org/officeDocument/2006/relationships/hyperlink" Target="https://dragalialost.wiki/w/Mona" TargetMode="External"/><Relationship Id="rId141" Type="http://schemas.openxmlformats.org/officeDocument/2006/relationships/hyperlink" Target="https://dragalialost.wiki/w/Kimono_Luca" TargetMode="External"/><Relationship Id="rId7" Type="http://schemas.openxmlformats.org/officeDocument/2006/relationships/hyperlink" Target="https://dragalialost.wiki/w/Serena" TargetMode="External"/><Relationship Id="rId162" Type="http://schemas.openxmlformats.org/officeDocument/2006/relationships/hyperlink" Target="https://dragalialost.wiki/w/Philia" TargetMode="External"/><Relationship Id="rId183" Type="http://schemas.openxmlformats.org/officeDocument/2006/relationships/hyperlink" Target="https://dragalialost.wiki/w/Odetta" TargetMode="External"/><Relationship Id="rId218" Type="http://schemas.openxmlformats.org/officeDocument/2006/relationships/hyperlink" Target="https://dragalialost.wiki/w/Luca" TargetMode="External"/><Relationship Id="rId239" Type="http://schemas.openxmlformats.org/officeDocument/2006/relationships/hyperlink" Target="https://dragalialost.wiki/w/Halloween_Laxi" TargetMode="External"/><Relationship Id="rId250" Type="http://schemas.openxmlformats.org/officeDocument/2006/relationships/hyperlink" Target="https://dragalialost.wiki/w/Gala_Zethia" TargetMode="External"/><Relationship Id="rId271" Type="http://schemas.openxmlformats.org/officeDocument/2006/relationships/hyperlink" Target="https://dragalialost.wiki/w/Yukimura" TargetMode="External"/><Relationship Id="rId292" Type="http://schemas.openxmlformats.org/officeDocument/2006/relationships/hyperlink" Target="https://dragalialost.wiki/w/Summer_Verica" TargetMode="External"/><Relationship Id="rId24" Type="http://schemas.openxmlformats.org/officeDocument/2006/relationships/hyperlink" Target="https://dragalialost.wiki/w/Renelle" TargetMode="External"/><Relationship Id="rId45" Type="http://schemas.openxmlformats.org/officeDocument/2006/relationships/hyperlink" Target="https://dragalialost.wiki/w/Incognito_Nefaria" TargetMode="External"/><Relationship Id="rId66" Type="http://schemas.openxmlformats.org/officeDocument/2006/relationships/hyperlink" Target="https://dragalialost.wiki/w/Regina" TargetMode="External"/><Relationship Id="rId87" Type="http://schemas.openxmlformats.org/officeDocument/2006/relationships/hyperlink" Target="https://dragalialost.wiki/w/Faeblessed_Tobias" TargetMode="External"/><Relationship Id="rId110" Type="http://schemas.openxmlformats.org/officeDocument/2006/relationships/hyperlink" Target="https://dragalialost.wiki/w/Dragonyule_Lily" TargetMode="External"/><Relationship Id="rId131" Type="http://schemas.openxmlformats.org/officeDocument/2006/relationships/hyperlink" Target="https://dragalialost.wiki/w/Addis" TargetMode="External"/><Relationship Id="rId152" Type="http://schemas.openxmlformats.org/officeDocument/2006/relationships/hyperlink" Target="https://dragalialost.wiki/w/Sylas" TargetMode="External"/><Relationship Id="rId173" Type="http://schemas.openxmlformats.org/officeDocument/2006/relationships/hyperlink" Target="https://dragalialost.wiki/w/Wedding_Xania" TargetMode="External"/><Relationship Id="rId194" Type="http://schemas.openxmlformats.org/officeDocument/2006/relationships/hyperlink" Target="https://dragalialost.wiki/w/Wu_Kong" TargetMode="External"/><Relationship Id="rId208" Type="http://schemas.openxmlformats.org/officeDocument/2006/relationships/hyperlink" Target="https://dragalialost.wiki/w/Hunter_Vanessa" TargetMode="External"/><Relationship Id="rId229" Type="http://schemas.openxmlformats.org/officeDocument/2006/relationships/hyperlink" Target="https://dragalialost.wiki/w/Amane" TargetMode="External"/><Relationship Id="rId240" Type="http://schemas.openxmlformats.org/officeDocument/2006/relationships/hyperlink" Target="https://dragalialost.wiki/w/Eirene" TargetMode="External"/><Relationship Id="rId261" Type="http://schemas.openxmlformats.org/officeDocument/2006/relationships/hyperlink" Target="https://dragalialost.wiki/w/Delphi" TargetMode="External"/><Relationship Id="rId14" Type="http://schemas.openxmlformats.org/officeDocument/2006/relationships/hyperlink" Target="https://dragalialost.wiki/w/Rena" TargetMode="External"/><Relationship Id="rId35" Type="http://schemas.openxmlformats.org/officeDocument/2006/relationships/hyperlink" Target="https://dragalialost.wiki/w/Emma" TargetMode="External"/><Relationship Id="rId56" Type="http://schemas.openxmlformats.org/officeDocument/2006/relationships/hyperlink" Target="https://dragalialost.wiki/w/Aurien" TargetMode="External"/><Relationship Id="rId77" Type="http://schemas.openxmlformats.org/officeDocument/2006/relationships/hyperlink" Target="https://dragalialost.wiki/w/Renee" TargetMode="External"/><Relationship Id="rId100" Type="http://schemas.openxmlformats.org/officeDocument/2006/relationships/hyperlink" Target="https://dragalialost.wiki/w/Waike" TargetMode="External"/><Relationship Id="rId282" Type="http://schemas.openxmlformats.org/officeDocument/2006/relationships/hyperlink" Target="https://dragalialost.wiki/w/Nefaria" TargetMode="External"/><Relationship Id="rId8" Type="http://schemas.openxmlformats.org/officeDocument/2006/relationships/hyperlink" Target="https://dragalialost.wiki/w/Karl" TargetMode="External"/><Relationship Id="rId98" Type="http://schemas.openxmlformats.org/officeDocument/2006/relationships/hyperlink" Target="https://dragalialost.wiki/w/Laranoa" TargetMode="External"/><Relationship Id="rId121" Type="http://schemas.openxmlformats.org/officeDocument/2006/relationships/hyperlink" Target="https://dragalialost.wiki/w/Gala_Leif" TargetMode="External"/><Relationship Id="rId142" Type="http://schemas.openxmlformats.org/officeDocument/2006/relationships/hyperlink" Target="https://dragalialost.wiki/w/Summer_Amane" TargetMode="External"/><Relationship Id="rId163" Type="http://schemas.openxmlformats.org/officeDocument/2006/relationships/hyperlink" Target="https://dragalialost.wiki/w/Basileus" TargetMode="External"/><Relationship Id="rId184" Type="http://schemas.openxmlformats.org/officeDocument/2006/relationships/hyperlink" Target="https://dragalialost.wiki/w/Raemond" TargetMode="External"/><Relationship Id="rId219" Type="http://schemas.openxmlformats.org/officeDocument/2006/relationships/hyperlink" Target="https://dragalialost.wiki/w/Malora" TargetMode="External"/><Relationship Id="rId230" Type="http://schemas.openxmlformats.org/officeDocument/2006/relationships/hyperlink" Target="https://dragalialost.wiki/w/Xiao_Lei" TargetMode="External"/><Relationship Id="rId251" Type="http://schemas.openxmlformats.org/officeDocument/2006/relationships/hyperlink" Target="https://dragalialost.wiki/w/Linnea" TargetMode="External"/><Relationship Id="rId25" Type="http://schemas.openxmlformats.org/officeDocument/2006/relationships/hyperlink" Target="https://dragalialost.wiki/w/Gala_Gatov" TargetMode="External"/><Relationship Id="rId46" Type="http://schemas.openxmlformats.org/officeDocument/2006/relationships/hyperlink" Target="https://dragalialost.wiki/w/Mega_Man" TargetMode="External"/><Relationship Id="rId67" Type="http://schemas.openxmlformats.org/officeDocument/2006/relationships/hyperlink" Target="https://dragalialost.wiki/w/Gala_Mascula" TargetMode="External"/><Relationship Id="rId272" Type="http://schemas.openxmlformats.org/officeDocument/2006/relationships/hyperlink" Target="https://dragalialost.wiki/w/Summer_Leonidas" TargetMode="External"/><Relationship Id="rId293" Type="http://schemas.openxmlformats.org/officeDocument/2006/relationships/hyperlink" Target="https://dragalialost.wiki/w/Heinwald" TargetMode="External"/><Relationship Id="rId88" Type="http://schemas.openxmlformats.org/officeDocument/2006/relationships/hyperlink" Target="https://dragalialost.wiki/w/Catherine" TargetMode="External"/><Relationship Id="rId111" Type="http://schemas.openxmlformats.org/officeDocument/2006/relationships/hyperlink" Target="https://dragalialost.wiki/w/Jiang_Ziya" TargetMode="External"/><Relationship Id="rId132" Type="http://schemas.openxmlformats.org/officeDocument/2006/relationships/hyperlink" Target="https://dragalialost.wiki/w/Musashi" TargetMode="External"/><Relationship Id="rId153" Type="http://schemas.openxmlformats.org/officeDocument/2006/relationships/hyperlink" Target="https://dragalialost.wiki/w/Pia" TargetMode="External"/><Relationship Id="rId174" Type="http://schemas.openxmlformats.org/officeDocument/2006/relationships/hyperlink" Target="https://dragalialost.wiki/w/Lowen" TargetMode="External"/><Relationship Id="rId195" Type="http://schemas.openxmlformats.org/officeDocument/2006/relationships/hyperlink" Target="https://dragalialost.wiki/w/Mitsuhide" TargetMode="External"/><Relationship Id="rId209" Type="http://schemas.openxmlformats.org/officeDocument/2006/relationships/hyperlink" Target="https://dragalialost.wiki/w/Halloween_Elisanne" TargetMode="External"/><Relationship Id="rId220" Type="http://schemas.openxmlformats.org/officeDocument/2006/relationships/hyperlink" Target="https://dragalialost.wiki/w/Bondforged_Zethia" TargetMode="External"/><Relationship Id="rId241" Type="http://schemas.openxmlformats.org/officeDocument/2006/relationships/hyperlink" Target="https://dragalialost.wiki/w/Ilia" TargetMode="External"/><Relationship Id="rId15" Type="http://schemas.openxmlformats.org/officeDocument/2006/relationships/hyperlink" Target="https://dragalialost.wiki/w/Mikoto" TargetMode="External"/><Relationship Id="rId36" Type="http://schemas.openxmlformats.org/officeDocument/2006/relationships/hyperlink" Target="https://dragalialost.wiki/w/Xuan_Zang" TargetMode="External"/><Relationship Id="rId57" Type="http://schemas.openxmlformats.org/officeDocument/2006/relationships/hyperlink" Target="https://dragalialost.wiki/w/Dragonyule_Ilia" TargetMode="External"/><Relationship Id="rId262" Type="http://schemas.openxmlformats.org/officeDocument/2006/relationships/hyperlink" Target="https://dragalialost.wiki/w/Alex" TargetMode="External"/><Relationship Id="rId283" Type="http://schemas.openxmlformats.org/officeDocument/2006/relationships/hyperlink" Target="https://dragalialost.wiki/w/Norwin" TargetMode="External"/><Relationship Id="rId78" Type="http://schemas.openxmlformats.org/officeDocument/2006/relationships/hyperlink" Target="https://dragalialost.wiki/w/Orsem" TargetMode="External"/><Relationship Id="rId99" Type="http://schemas.openxmlformats.org/officeDocument/2006/relationships/hyperlink" Target="https://dragalialost.wiki/w/Dragonyule_Nefaria" TargetMode="External"/><Relationship Id="rId101" Type="http://schemas.openxmlformats.org/officeDocument/2006/relationships/hyperlink" Target="https://dragalialost.wiki/w/Origa" TargetMode="External"/><Relationship Id="rId122" Type="http://schemas.openxmlformats.org/officeDocument/2006/relationships/hyperlink" Target="https://dragalialost.wiki/w/Wedding_Elisanne" TargetMode="External"/><Relationship Id="rId143" Type="http://schemas.openxmlformats.org/officeDocument/2006/relationships/hyperlink" Target="https://dragalialost.wiki/w/Valentine's_Melody" TargetMode="External"/><Relationship Id="rId164" Type="http://schemas.openxmlformats.org/officeDocument/2006/relationships/hyperlink" Target="https://dragalialost.wiki/w/Myriam" TargetMode="External"/><Relationship Id="rId185" Type="http://schemas.openxmlformats.org/officeDocument/2006/relationships/hyperlink" Target="https://dragalialost.wiki/w/Humanoid_Jupiter" TargetMode="External"/><Relationship Id="rId9" Type="http://schemas.openxmlformats.org/officeDocument/2006/relationships/hyperlink" Target="https://dragalialost.wiki/w/The_Prince" TargetMode="External"/><Relationship Id="rId210" Type="http://schemas.openxmlformats.org/officeDocument/2006/relationships/hyperlink" Target="https://dragalialost.wiki/w/Annelie" TargetMode="External"/><Relationship Id="rId26" Type="http://schemas.openxmlformats.org/officeDocument/2006/relationships/hyperlink" Target="https://dragalialost.wiki/w/Child_Ranzal" TargetMode="External"/><Relationship Id="rId231" Type="http://schemas.openxmlformats.org/officeDocument/2006/relationships/hyperlink" Target="https://dragalialost.wiki/w/Kimono_Notte" TargetMode="External"/><Relationship Id="rId252" Type="http://schemas.openxmlformats.org/officeDocument/2006/relationships/hyperlink" Target="https://dragalialost.wiki/w/Natalie" TargetMode="External"/><Relationship Id="rId273" Type="http://schemas.openxmlformats.org/officeDocument/2006/relationships/hyperlink" Target="https://dragalialost.wiki/w/Lathna" TargetMode="External"/><Relationship Id="rId294" Type="http://schemas.openxmlformats.org/officeDocument/2006/relationships/hyperlink" Target="https://dragalialost.wiki/w/Cleo" TargetMode="External"/><Relationship Id="rId47" Type="http://schemas.openxmlformats.org/officeDocument/2006/relationships/hyperlink" Target="https://dragalialost.wiki/w/Student_Maribelle" TargetMode="External"/><Relationship Id="rId68" Type="http://schemas.openxmlformats.org/officeDocument/2006/relationships/hyperlink" Target="https://dragalialost.wiki/w/Halloween_Akasha" TargetMode="External"/><Relationship Id="rId89" Type="http://schemas.openxmlformats.org/officeDocument/2006/relationships/hyperlink" Target="https://dragalialost.wiki/w/Fjorm" TargetMode="External"/><Relationship Id="rId112" Type="http://schemas.openxmlformats.org/officeDocument/2006/relationships/hyperlink" Target="https://dragalialost.wiki/w/Nurse_Aeleen" TargetMode="External"/><Relationship Id="rId133" Type="http://schemas.openxmlformats.org/officeDocument/2006/relationships/hyperlink" Target="https://dragalialost.wiki/w/Melody" TargetMode="External"/><Relationship Id="rId154" Type="http://schemas.openxmlformats.org/officeDocument/2006/relationships/hyperlink" Target="https://dragalialost.wiki/w/Aeleen" TargetMode="External"/><Relationship Id="rId175" Type="http://schemas.openxmlformats.org/officeDocument/2006/relationships/hyperlink" Target="https://dragalialost.wiki/w/Sophie" TargetMode="External"/><Relationship Id="rId196" Type="http://schemas.openxmlformats.org/officeDocument/2006/relationships/hyperlink" Target="https://dragalialost.wiki/w/Fleur" TargetMode="External"/><Relationship Id="rId200" Type="http://schemas.openxmlformats.org/officeDocument/2006/relationships/hyperlink" Target="https://dragalialost.wiki/w/Gala_Audric" TargetMode="External"/><Relationship Id="rId16" Type="http://schemas.openxmlformats.org/officeDocument/2006/relationships/hyperlink" Target="https://dragalialost.wiki/w/Laxi" TargetMode="External"/><Relationship Id="rId221" Type="http://schemas.openxmlformats.org/officeDocument/2006/relationships/hyperlink" Target="https://dragalialost.wiki/w/Summer_Chelle" TargetMode="External"/><Relationship Id="rId242" Type="http://schemas.openxmlformats.org/officeDocument/2006/relationships/hyperlink" Target="https://dragalialost.wiki/w/Sharpshooter_Joe" TargetMode="External"/><Relationship Id="rId263" Type="http://schemas.openxmlformats.org/officeDocument/2006/relationships/hyperlink" Target="https://dragalialost.wiki/w/Orion" TargetMode="External"/><Relationship Id="rId284" Type="http://schemas.openxmlformats.org/officeDocument/2006/relationships/hyperlink" Target="https://dragalialost.wiki/w/Vania" TargetMode="External"/><Relationship Id="rId37" Type="http://schemas.openxmlformats.org/officeDocument/2006/relationships/hyperlink" Target="https://dragalialost.wiki/w/Alain" TargetMode="External"/><Relationship Id="rId58" Type="http://schemas.openxmlformats.org/officeDocument/2006/relationships/hyperlink" Target="https://dragalialost.wiki/w/Faris" TargetMode="External"/><Relationship Id="rId79" Type="http://schemas.openxmlformats.org/officeDocument/2006/relationships/hyperlink" Target="https://dragalialost.wiki/w/Luther" TargetMode="External"/><Relationship Id="rId102" Type="http://schemas.openxmlformats.org/officeDocument/2006/relationships/hyperlink" Target="https://dragalialost.wiki/w/Gala_Emile" TargetMode="External"/><Relationship Id="rId123" Type="http://schemas.openxmlformats.org/officeDocument/2006/relationships/hyperlink" Target="https://dragalialost.wiki/w/Gala_Ranzal" TargetMode="External"/><Relationship Id="rId144" Type="http://schemas.openxmlformats.org/officeDocument/2006/relationships/hyperlink" Target="https://dragalialost.wiki/w/Lin_You" TargetMode="External"/><Relationship Id="rId90" Type="http://schemas.openxmlformats.org/officeDocument/2006/relationships/hyperlink" Target="https://dragalialost.wiki/w/Xainfried" TargetMode="External"/><Relationship Id="rId165" Type="http://schemas.openxmlformats.org/officeDocument/2006/relationships/hyperlink" Target="https://dragalialost.wiki/w/Summer_Sinoa" TargetMode="External"/><Relationship Id="rId186" Type="http://schemas.openxmlformats.org/officeDocument/2006/relationships/hyperlink" Target="https://dragalialost.wiki/w/Mordecai" TargetMode="External"/><Relationship Id="rId211" Type="http://schemas.openxmlformats.org/officeDocument/2006/relationships/hyperlink" Target="https://dragalialost.wiki/w/Sha_Wujing" TargetMode="External"/><Relationship Id="rId232" Type="http://schemas.openxmlformats.org/officeDocument/2006/relationships/hyperlink" Target="https://dragalialost.wiki/w/Gala_Zena" TargetMode="External"/><Relationship Id="rId253" Type="http://schemas.openxmlformats.org/officeDocument/2006/relationships/hyperlink" Target="https://dragalialost.wiki/w/Ieyasu" TargetMode="External"/><Relationship Id="rId274" Type="http://schemas.openxmlformats.org/officeDocument/2006/relationships/hyperlink" Target="https://dragalialost.wiki/w/Forte" TargetMode="External"/><Relationship Id="rId295" Type="http://schemas.openxmlformats.org/officeDocument/2006/relationships/hyperlink" Target="https://dragalialost.wiki/w/Edward" TargetMode="External"/><Relationship Id="rId27" Type="http://schemas.openxmlformats.org/officeDocument/2006/relationships/hyperlink" Target="https://dragalialost.wiki/w/Halloween_Mym" TargetMode="External"/><Relationship Id="rId48" Type="http://schemas.openxmlformats.org/officeDocument/2006/relationships/hyperlink" Target="https://dragalialost.wiki/w/Sinoa" TargetMode="External"/><Relationship Id="rId69" Type="http://schemas.openxmlformats.org/officeDocument/2006/relationships/hyperlink" Target="https://dragalialost.wiki/w/Valerio" TargetMode="External"/><Relationship Id="rId113" Type="http://schemas.openxmlformats.org/officeDocument/2006/relationships/hyperlink" Target="https://dragalialost.wiki/w/Thaniel" TargetMode="External"/><Relationship Id="rId134" Type="http://schemas.openxmlformats.org/officeDocument/2006/relationships/hyperlink" Target="https://dragalialost.wiki/w/Dragonyule_Nevin" TargetMode="External"/><Relationship Id="rId80" Type="http://schemas.openxmlformats.org/officeDocument/2006/relationships/hyperlink" Target="https://dragalialost.wiki/w/Finni" TargetMode="External"/><Relationship Id="rId155" Type="http://schemas.openxmlformats.org/officeDocument/2006/relationships/hyperlink" Target="https://dragalialost.wiki/w/Humanoid_Midgardsormr" TargetMode="External"/><Relationship Id="rId176" Type="http://schemas.openxmlformats.org/officeDocument/2006/relationships/hyperlink" Target="https://dragalialost.wiki/w/Cecile" TargetMode="External"/><Relationship Id="rId197" Type="http://schemas.openxmlformats.org/officeDocument/2006/relationships/hyperlink" Target="https://dragalialost.wiki/w/Fritz" TargetMode="External"/><Relationship Id="rId201" Type="http://schemas.openxmlformats.org/officeDocument/2006/relationships/hyperlink" Target="https://dragalialost.wiki/w/Sophie_(Persona)" TargetMode="External"/><Relationship Id="rId222" Type="http://schemas.openxmlformats.org/officeDocument/2006/relationships/hyperlink" Target="https://dragalialost.wiki/w/Peony" TargetMode="External"/><Relationship Id="rId243" Type="http://schemas.openxmlformats.org/officeDocument/2006/relationships/hyperlink" Target="https://dragalialost.wiki/w/Gala_Nedrick" TargetMode="External"/><Relationship Id="rId264" Type="http://schemas.openxmlformats.org/officeDocument/2006/relationships/hyperlink" Target="https://dragalialost.wiki/w/Vida" TargetMode="External"/><Relationship Id="rId285" Type="http://schemas.openxmlformats.org/officeDocument/2006/relationships/hyperlink" Target="https://dragalialost.wiki/w/Zena" TargetMode="External"/><Relationship Id="rId17" Type="http://schemas.openxmlformats.org/officeDocument/2006/relationships/hyperlink" Target="https://dragalialost.wiki/w/Aoi" TargetMode="External"/><Relationship Id="rId38" Type="http://schemas.openxmlformats.org/officeDocument/2006/relationships/hyperlink" Target="https://dragalialost.wiki/w/Summer_Alex" TargetMode="External"/><Relationship Id="rId59" Type="http://schemas.openxmlformats.org/officeDocument/2006/relationships/hyperlink" Target="https://dragalialost.wiki/w/Gala_Leonidas" TargetMode="External"/><Relationship Id="rId103" Type="http://schemas.openxmlformats.org/officeDocument/2006/relationships/hyperlink" Target="https://dragalialost.wiki/w/Forager_Cleo" TargetMode="External"/><Relationship Id="rId124" Type="http://schemas.openxmlformats.org/officeDocument/2006/relationships/hyperlink" Target="https://dragalialost.wiki/w/Templar_Hope" TargetMode="External"/><Relationship Id="rId70" Type="http://schemas.openxmlformats.org/officeDocument/2006/relationships/hyperlink" Target="https://dragalialost.wiki/w/Summer_Ranzal" TargetMode="External"/><Relationship Id="rId91" Type="http://schemas.openxmlformats.org/officeDocument/2006/relationships/hyperlink" Target="https://dragalialost.wiki/w/Gauld" TargetMode="External"/><Relationship Id="rId145" Type="http://schemas.openxmlformats.org/officeDocument/2006/relationships/hyperlink" Target="https://dragalialost.wiki/w/Ranzal" TargetMode="External"/><Relationship Id="rId166" Type="http://schemas.openxmlformats.org/officeDocument/2006/relationships/hyperlink" Target="https://dragalialost.wiki/w/Maribelle" TargetMode="External"/><Relationship Id="rId187" Type="http://schemas.openxmlformats.org/officeDocument/2006/relationships/hyperlink" Target="https://dragalialost.wiki/w/Gala_Luca" TargetMode="External"/><Relationship Id="rId1" Type="http://schemas.openxmlformats.org/officeDocument/2006/relationships/hyperlink" Target="https://dragalialost.wiki/w/Undercover_Grace" TargetMode="External"/><Relationship Id="rId212" Type="http://schemas.openxmlformats.org/officeDocument/2006/relationships/hyperlink" Target="https://dragalialost.wiki/w/Malka" TargetMode="External"/><Relationship Id="rId233" Type="http://schemas.openxmlformats.org/officeDocument/2006/relationships/hyperlink" Target="https://dragalialost.wiki/w/Hildegarde" TargetMode="External"/><Relationship Id="rId254" Type="http://schemas.openxmlformats.org/officeDocument/2006/relationships/hyperlink" Target="https://dragalialost.wiki/w/Aldred" TargetMode="External"/><Relationship Id="rId28" Type="http://schemas.openxmlformats.org/officeDocument/2006/relationships/hyperlink" Target="https://dragalialost.wiki/w/Ramona" TargetMode="External"/><Relationship Id="rId49" Type="http://schemas.openxmlformats.org/officeDocument/2006/relationships/hyperlink" Target="https://dragalialost.wiki/w/Xania" TargetMode="External"/><Relationship Id="rId114" Type="http://schemas.openxmlformats.org/officeDocument/2006/relationships/hyperlink" Target="https://dragalialost.wiki/w/Ricardt" TargetMode="External"/><Relationship Id="rId275" Type="http://schemas.openxmlformats.org/officeDocument/2006/relationships/hyperlink" Target="https://dragalialost.wiki/w/Patia" TargetMode="External"/><Relationship Id="rId296" Type="http://schemas.openxmlformats.org/officeDocument/2006/relationships/hyperlink" Target="https://dragalialost.wiki/w/Humanoid_Zodiark" TargetMode="External"/><Relationship Id="rId60" Type="http://schemas.openxmlformats.org/officeDocument/2006/relationships/hyperlink" Target="https://dragalialost.wiki/w/Summer_Ieyasu" TargetMode="External"/><Relationship Id="rId81" Type="http://schemas.openxmlformats.org/officeDocument/2006/relationships/hyperlink" Target="https://dragalialost.wiki/w/Lazry" TargetMode="External"/><Relationship Id="rId135" Type="http://schemas.openxmlformats.org/officeDocument/2006/relationships/hyperlink" Target="https://dragalialost.wiki/w/Gala_Notte" TargetMode="External"/><Relationship Id="rId156" Type="http://schemas.openxmlformats.org/officeDocument/2006/relationships/hyperlink" Target="https://dragalialost.wiki/w/Valentine's_Chelsea" TargetMode="External"/><Relationship Id="rId177" Type="http://schemas.openxmlformats.org/officeDocument/2006/relationships/hyperlink" Target="https://dragalialost.wiki/w/Saiga" TargetMode="External"/><Relationship Id="rId198" Type="http://schemas.openxmlformats.org/officeDocument/2006/relationships/hyperlink" Target="https://dragalialost.wiki/w/Irfan" TargetMode="External"/><Relationship Id="rId202" Type="http://schemas.openxmlformats.org/officeDocument/2006/relationships/hyperlink" Target="https://dragalialost.wiki/w/Zhu_Bajie" TargetMode="External"/><Relationship Id="rId223" Type="http://schemas.openxmlformats.org/officeDocument/2006/relationships/hyperlink" Target="https://dragalialost.wiki/w/Lucretia" TargetMode="External"/><Relationship Id="rId244" Type="http://schemas.openxmlformats.org/officeDocument/2006/relationships/hyperlink" Target="https://dragalialost.wiki/w/Alberius" TargetMode="External"/><Relationship Id="rId18" Type="http://schemas.openxmlformats.org/officeDocument/2006/relationships/hyperlink" Target="https://dragalialost.wiki/w/Sheila" TargetMode="External"/><Relationship Id="rId39" Type="http://schemas.openxmlformats.org/officeDocument/2006/relationships/hyperlink" Target="https://dragalialost.wiki/w/Chelsea" TargetMode="External"/><Relationship Id="rId265" Type="http://schemas.openxmlformats.org/officeDocument/2006/relationships/hyperlink" Target="https://dragalialost.wiki/w/Vice" TargetMode="External"/><Relationship Id="rId286" Type="http://schemas.openxmlformats.org/officeDocument/2006/relationships/hyperlink" Target="https://dragalialost.wiki/w/Cassandra" TargetMode="External"/><Relationship Id="rId50" Type="http://schemas.openxmlformats.org/officeDocument/2006/relationships/hyperlink" Target="https://dragalialost.wiki/w/Ayaha_&amp;_Otoha" TargetMode="External"/><Relationship Id="rId104" Type="http://schemas.openxmlformats.org/officeDocument/2006/relationships/hyperlink" Target="https://dragalialost.wiki/w/Yurius" TargetMode="External"/><Relationship Id="rId125" Type="http://schemas.openxmlformats.org/officeDocument/2006/relationships/hyperlink" Target="https://dragalialost.wiki/w/Ku_Hai" TargetMode="External"/><Relationship Id="rId146" Type="http://schemas.openxmlformats.org/officeDocument/2006/relationships/hyperlink" Target="https://dragalialost.wiki/w/Johanna" TargetMode="External"/><Relationship Id="rId167" Type="http://schemas.openxmlformats.org/officeDocument/2006/relationships/hyperlink" Target="https://dragalialost.wiki/w/Dragonyule_Xainfried" TargetMode="External"/><Relationship Id="rId188" Type="http://schemas.openxmlformats.org/officeDocument/2006/relationships/hyperlink" Target="https://dragalialost.wiki/w/Beautician_Zardin" TargetMode="External"/><Relationship Id="rId71" Type="http://schemas.openxmlformats.org/officeDocument/2006/relationships/hyperlink" Target="https://dragalialost.wiki/w/Celliera" TargetMode="External"/><Relationship Id="rId92" Type="http://schemas.openxmlformats.org/officeDocument/2006/relationships/hyperlink" Target="https://dragalialost.wiki/w/Elisanne" TargetMode="External"/><Relationship Id="rId213" Type="http://schemas.openxmlformats.org/officeDocument/2006/relationships/hyperlink" Target="https://dragalialost.wiki/w/Isaac" TargetMode="External"/><Relationship Id="rId234" Type="http://schemas.openxmlformats.org/officeDocument/2006/relationships/hyperlink" Target="https://dragalialost.wiki/w/Felicia" TargetMode="External"/><Relationship Id="rId2" Type="http://schemas.openxmlformats.org/officeDocument/2006/relationships/hyperlink" Target="https://dragalialost.wiki/w/Chrom" TargetMode="External"/><Relationship Id="rId29" Type="http://schemas.openxmlformats.org/officeDocument/2006/relationships/hyperlink" Target="https://dragalialost.wiki/w/Yue" TargetMode="External"/><Relationship Id="rId255" Type="http://schemas.openxmlformats.org/officeDocument/2006/relationships/hyperlink" Target="https://dragalialost.wiki/w/Durant" TargetMode="External"/><Relationship Id="rId276" Type="http://schemas.openxmlformats.org/officeDocument/2006/relationships/hyperlink" Target="https://dragalialost.wiki/w/Botan" TargetMode="External"/><Relationship Id="rId297" Type="http://schemas.openxmlformats.org/officeDocument/2006/relationships/hyperlink" Target="https://dragalialost.wiki/w/Summer_Mym" TargetMode="External"/><Relationship Id="rId40" Type="http://schemas.openxmlformats.org/officeDocument/2006/relationships/hyperlink" Target="https://dragalialost.wiki/w/Gala_Sarisse" TargetMode="External"/><Relationship Id="rId115" Type="http://schemas.openxmlformats.org/officeDocument/2006/relationships/hyperlink" Target="https://dragalialost.wiki/w/Sharpshooter_Sarisse" TargetMode="External"/><Relationship Id="rId136" Type="http://schemas.openxmlformats.org/officeDocument/2006/relationships/hyperlink" Target="https://dragalialost.wiki/w/Summer_Norwin" TargetMode="External"/><Relationship Id="rId157" Type="http://schemas.openxmlformats.org/officeDocument/2006/relationships/hyperlink" Target="https://dragalialost.wiki/w/Meene" TargetMode="External"/><Relationship Id="rId178" Type="http://schemas.openxmlformats.org/officeDocument/2006/relationships/hyperlink" Target="https://dragalialost.wiki/w/Formal_Joachim" TargetMode="External"/><Relationship Id="rId61" Type="http://schemas.openxmlformats.org/officeDocument/2006/relationships/hyperlink" Target="https://dragalialost.wiki/w/Eugene" TargetMode="External"/><Relationship Id="rId82" Type="http://schemas.openxmlformats.org/officeDocument/2006/relationships/hyperlink" Target="https://dragalialost.wiki/w/Gala_Elisanne" TargetMode="External"/><Relationship Id="rId199" Type="http://schemas.openxmlformats.org/officeDocument/2006/relationships/hyperlink" Target="https://dragalialost.wiki/w/Valyx" TargetMode="External"/><Relationship Id="rId203" Type="http://schemas.openxmlformats.org/officeDocument/2006/relationships/hyperlink" Target="https://dragalialost.wiki/w/Dragonyule_Malora" TargetMode="External"/><Relationship Id="rId19" Type="http://schemas.openxmlformats.org/officeDocument/2006/relationships/hyperlink" Target="https://dragalialost.wiki/w/Summer_Mitsuhide" TargetMode="External"/><Relationship Id="rId224" Type="http://schemas.openxmlformats.org/officeDocument/2006/relationships/hyperlink" Target="https://dragalialost.wiki/w/Chitose" TargetMode="External"/><Relationship Id="rId245" Type="http://schemas.openxmlformats.org/officeDocument/2006/relationships/hyperlink" Target="https://dragalialost.wiki/w/Gala_Alex" TargetMode="External"/><Relationship Id="rId266" Type="http://schemas.openxmlformats.org/officeDocument/2006/relationships/hyperlink" Target="https://dragalialost.wiki/w/Dragonyule_Victor" TargetMode="External"/><Relationship Id="rId287" Type="http://schemas.openxmlformats.org/officeDocument/2006/relationships/hyperlink" Target="https://dragalialost.wiki/w/Gala_Cleo" TargetMode="External"/><Relationship Id="rId30" Type="http://schemas.openxmlformats.org/officeDocument/2006/relationships/hyperlink" Target="https://dragalialost.wiki/w/Vanessa" TargetMode="External"/><Relationship Id="rId105" Type="http://schemas.openxmlformats.org/officeDocument/2006/relationships/hyperlink" Target="https://dragalialost.wiki/w/Lily" TargetMode="External"/><Relationship Id="rId126" Type="http://schemas.openxmlformats.org/officeDocument/2006/relationships/hyperlink" Target="https://dragalialost.wiki/w/Harle" TargetMode="External"/><Relationship Id="rId147" Type="http://schemas.openxmlformats.org/officeDocument/2006/relationships/hyperlink" Target="https://dragalialost.wiki/w/Phares" TargetMode="External"/><Relationship Id="rId168" Type="http://schemas.openxmlformats.org/officeDocument/2006/relationships/hyperlink" Target="https://dragalialost.wiki/w/Noelle" TargetMode="External"/><Relationship Id="rId51" Type="http://schemas.openxmlformats.org/officeDocument/2006/relationships/hyperlink" Target="https://dragalialost.wiki/w/Kuzunoha" TargetMode="External"/><Relationship Id="rId72" Type="http://schemas.openxmlformats.org/officeDocument/2006/relationships/hyperlink" Target="https://dragalialost.wiki/w/Jurota" TargetMode="External"/><Relationship Id="rId93" Type="http://schemas.openxmlformats.org/officeDocument/2006/relationships/hyperlink" Target="https://dragalialost.wiki/w/Jakob" TargetMode="External"/><Relationship Id="rId189" Type="http://schemas.openxmlformats.org/officeDocument/2006/relationships/hyperlink" Target="https://dragalialost.wiki/w/Hanabusa" TargetMode="External"/><Relationship Id="rId3" Type="http://schemas.openxmlformats.org/officeDocument/2006/relationships/hyperlink" Target="https://dragalialost.wiki/w/Hunter_Berserker" TargetMode="External"/><Relationship Id="rId214" Type="http://schemas.openxmlformats.org/officeDocument/2006/relationships/hyperlink" Target="https://dragalialost.wiki/w/Summer_Mikoto" TargetMode="External"/><Relationship Id="rId235" Type="http://schemas.openxmlformats.org/officeDocument/2006/relationships/hyperlink" Target="https://dragalialost.wiki/w/Vixel" TargetMode="External"/><Relationship Id="rId256" Type="http://schemas.openxmlformats.org/officeDocument/2006/relationships/hyperlink" Target="https://dragalialost.wiki/w/Taro" TargetMode="External"/><Relationship Id="rId277" Type="http://schemas.openxmlformats.org/officeDocument/2006/relationships/hyperlink" Target="https://dragalialost.wiki/w/Zace" TargetMode="External"/><Relationship Id="rId298" Type="http://schemas.openxmlformats.org/officeDocument/2006/relationships/hyperlink" Target="https://dragalialost.wiki/w/Gala_Chelle" TargetMode="External"/><Relationship Id="rId116" Type="http://schemas.openxmlformats.org/officeDocument/2006/relationships/hyperlink" Target="https://dragalialost.wiki/w/Yoshitsune" TargetMode="External"/><Relationship Id="rId137" Type="http://schemas.openxmlformats.org/officeDocument/2006/relationships/hyperlink" Target="https://dragalialost.wiki/w/Wedding_Aoi" TargetMode="External"/><Relationship Id="rId158" Type="http://schemas.openxmlformats.org/officeDocument/2006/relationships/hyperlink" Target="https://dragalialost.wiki/w/Hawk" TargetMode="External"/><Relationship Id="rId20" Type="http://schemas.openxmlformats.org/officeDocument/2006/relationships/hyperlink" Target="https://dragalialost.wiki/w/Gala_Laxi" TargetMode="External"/><Relationship Id="rId41" Type="http://schemas.openxmlformats.org/officeDocument/2006/relationships/hyperlink" Target="https://dragalialost.wiki/w/Valentine's_Ezelith" TargetMode="External"/><Relationship Id="rId62" Type="http://schemas.openxmlformats.org/officeDocument/2006/relationships/hyperlink" Target="https://dragalialost.wiki/w/Summer_Celliera" TargetMode="External"/><Relationship Id="rId83" Type="http://schemas.openxmlformats.org/officeDocument/2006/relationships/hyperlink" Target="https://dragalialost.wiki/w/Summer_Julietta" TargetMode="External"/><Relationship Id="rId179" Type="http://schemas.openxmlformats.org/officeDocument/2006/relationships/hyperlink" Target="https://dragalialost.wiki/w/Civilian_Leif" TargetMode="External"/><Relationship Id="rId190" Type="http://schemas.openxmlformats.org/officeDocument/2006/relationships/hyperlink" Target="https://dragalialost.wiki/w/Yachiyo" TargetMode="External"/><Relationship Id="rId204" Type="http://schemas.openxmlformats.org/officeDocument/2006/relationships/hyperlink" Target="https://dragalialost.wiki/w/Julietta" TargetMode="External"/><Relationship Id="rId225" Type="http://schemas.openxmlformats.org/officeDocument/2006/relationships/hyperlink" Target="https://dragalialost.wiki/w/Ryszarda" TargetMode="External"/><Relationship Id="rId246" Type="http://schemas.openxmlformats.org/officeDocument/2006/relationships/hyperlink" Target="https://dragalialost.wiki/w/Yaten" TargetMode="External"/><Relationship Id="rId267" Type="http://schemas.openxmlformats.org/officeDocument/2006/relationships/hyperlink" Target="https://dragalialost.wiki/w/Summer_Patia" TargetMode="External"/><Relationship Id="rId288" Type="http://schemas.openxmlformats.org/officeDocument/2006/relationships/hyperlink" Target="https://dragalialost.wiki/w/Veronica" TargetMode="External"/><Relationship Id="rId106" Type="http://schemas.openxmlformats.org/officeDocument/2006/relationships/hyperlink" Target="https://dragalialost.wiki/w/Pipple" TargetMode="External"/><Relationship Id="rId127" Type="http://schemas.openxmlformats.org/officeDocument/2006/relationships/hyperlink" Target="https://dragalialost.wiki/w/Yukata_Lathna" TargetMode="External"/><Relationship Id="rId10" Type="http://schemas.openxmlformats.org/officeDocument/2006/relationships/hyperlink" Target="https://dragalialost.wiki/w/Valentine's_Orion" TargetMode="External"/><Relationship Id="rId31" Type="http://schemas.openxmlformats.org/officeDocument/2006/relationships/hyperlink" Target="https://dragalialost.wiki/w/Panther" TargetMode="External"/><Relationship Id="rId52" Type="http://schemas.openxmlformats.org/officeDocument/2006/relationships/hyperlink" Target="https://dragalialost.wiki/w/Yukata_Cassandra" TargetMode="External"/><Relationship Id="rId73" Type="http://schemas.openxmlformats.org/officeDocument/2006/relationships/hyperlink" Target="https://dragalialost.wiki/w/Humanoid_Mercury" TargetMode="External"/><Relationship Id="rId94" Type="http://schemas.openxmlformats.org/officeDocument/2006/relationships/hyperlink" Target="https://dragalialost.wiki/w/Cibella" TargetMode="External"/><Relationship Id="rId148" Type="http://schemas.openxmlformats.org/officeDocument/2006/relationships/hyperlink" Target="https://dragalialost.wiki/w/Izumo" TargetMode="External"/><Relationship Id="rId169" Type="http://schemas.openxmlformats.org/officeDocument/2006/relationships/hyperlink" Target="https://dragalialost.wiki/w/Nicolas" TargetMode="External"/><Relationship Id="rId4" Type="http://schemas.openxmlformats.org/officeDocument/2006/relationships/hyperlink" Target="https://dragalialost.wiki/w/Lea" TargetMode="External"/><Relationship Id="rId180" Type="http://schemas.openxmlformats.org/officeDocument/2006/relationships/hyperlink" Target="https://dragalialost.wiki/w/Pecorine" TargetMode="External"/><Relationship Id="rId215" Type="http://schemas.openxmlformats.org/officeDocument/2006/relationships/hyperlink" Target="https://dragalialost.wiki/w/Summer_Cleo" TargetMode="External"/><Relationship Id="rId236" Type="http://schemas.openxmlformats.org/officeDocument/2006/relationships/hyperlink" Target="https://dragalialost.wiki/w/Halloween_Althemia" TargetMode="External"/><Relationship Id="rId257" Type="http://schemas.openxmlformats.org/officeDocument/2006/relationships/hyperlink" Target="https://dragalialost.wiki/w/Summer_Prince" TargetMode="External"/><Relationship Id="rId278" Type="http://schemas.openxmlformats.org/officeDocument/2006/relationships/hyperlink" Target="https://dragalialost.wiki/w/Halloween_Sylas" TargetMode="External"/><Relationship Id="rId42" Type="http://schemas.openxmlformats.org/officeDocument/2006/relationships/hyperlink" Target="https://dragalialost.wiki/w/Joe" TargetMode="External"/><Relationship Id="rId84" Type="http://schemas.openxmlformats.org/officeDocument/2006/relationships/hyperlink" Target="https://dragalialost.wiki/w/Karina" TargetMode="External"/><Relationship Id="rId138" Type="http://schemas.openxmlformats.org/officeDocument/2006/relationships/hyperlink" Target="https://dragalialost.wiki/w/Su_Fang" TargetMode="External"/><Relationship Id="rId191" Type="http://schemas.openxmlformats.org/officeDocument/2006/relationships/hyperlink" Target="https://dragalialost.wiki/w/Halloween_Edward" TargetMode="External"/><Relationship Id="rId205" Type="http://schemas.openxmlformats.org/officeDocument/2006/relationships/hyperlink" Target="https://dragalialost.wiki/w/Summer_Luca" TargetMode="External"/><Relationship Id="rId247" Type="http://schemas.openxmlformats.org/officeDocument/2006/relationships/hyperlink" Target="https://dragalialost.wiki/w/Audric" TargetMode="External"/><Relationship Id="rId107" Type="http://schemas.openxmlformats.org/officeDocument/2006/relationships/hyperlink" Target="https://dragalialost.wiki/w/Summer_Estelle" TargetMode="External"/><Relationship Id="rId289" Type="http://schemas.openxmlformats.org/officeDocument/2006/relationships/hyperlink" Target="https://dragalialost.wiki/w/Kleimann" TargetMode="External"/><Relationship Id="rId11" Type="http://schemas.openxmlformats.org/officeDocument/2006/relationships/hyperlink" Target="https://dragalialost.wiki/w/Marty" TargetMode="External"/><Relationship Id="rId53" Type="http://schemas.openxmlformats.org/officeDocument/2006/relationships/hyperlink" Target="https://dragalialost.wiki/w/Valentine's_Hildegarde" TargetMode="External"/><Relationship Id="rId149" Type="http://schemas.openxmlformats.org/officeDocument/2006/relationships/hyperlink" Target="https://dragalialost.wiki/w/Grimnir" TargetMode="External"/><Relationship Id="rId95" Type="http://schemas.openxmlformats.org/officeDocument/2006/relationships/hyperlink" Target="https://dragalialost.wiki/w/Housekeeper_Pia" TargetMode="External"/><Relationship Id="rId160" Type="http://schemas.openxmlformats.org/officeDocument/2006/relationships/hyperlink" Target="https://dragalialost.wiki/w/Joachim" TargetMode="External"/><Relationship Id="rId216" Type="http://schemas.openxmlformats.org/officeDocument/2006/relationships/hyperlink" Target="https://dragalialost.wiki/w/Elias" TargetMode="External"/><Relationship Id="rId258" Type="http://schemas.openxmlformats.org/officeDocument/2006/relationships/hyperlink" Target="https://dragalialost.wiki/w/Joker" TargetMode="External"/><Relationship Id="rId22" Type="http://schemas.openxmlformats.org/officeDocument/2006/relationships/hyperlink" Target="https://dragalialost.wiki/w/Yuya" TargetMode="External"/><Relationship Id="rId64" Type="http://schemas.openxmlformats.org/officeDocument/2006/relationships/hyperlink" Target="https://dragalialost.wiki/w/Halloween_Odetta" TargetMode="External"/><Relationship Id="rId118" Type="http://schemas.openxmlformats.org/officeDocument/2006/relationships/hyperlink" Target="https://dragalialost.wiki/w/Bondforged_Prince" TargetMode="External"/><Relationship Id="rId171" Type="http://schemas.openxmlformats.org/officeDocument/2006/relationships/hyperlink" Target="https://dragalialost.wiki/w/Formal_Noelle" TargetMode="External"/><Relationship Id="rId227" Type="http://schemas.openxmlformats.org/officeDocument/2006/relationships/hyperlink" Target="https://dragalialost.wiki/w/Radiant_Xuan_Zang" TargetMode="External"/><Relationship Id="rId269" Type="http://schemas.openxmlformats.org/officeDocument/2006/relationships/hyperlink" Target="https://dragalialost.wiki/w/Sazanka" TargetMode="External"/><Relationship Id="rId33" Type="http://schemas.openxmlformats.org/officeDocument/2006/relationships/hyperlink" Target="https://dragalialost.wiki/w/Nadine" TargetMode="External"/><Relationship Id="rId129" Type="http://schemas.openxmlformats.org/officeDocument/2006/relationships/hyperlink" Target="https://dragalialost.wiki/w/Tobias" TargetMode="External"/><Relationship Id="rId280" Type="http://schemas.openxmlformats.org/officeDocument/2006/relationships/hyperlink" Target="https://dragalialost.wiki/w/Chelle" TargetMode="Externa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17" Type="http://schemas.openxmlformats.org/officeDocument/2006/relationships/hyperlink" Target="https://dragalialost.wiki/w/Nyarlathotep" TargetMode="External"/><Relationship Id="rId21" Type="http://schemas.openxmlformats.org/officeDocument/2006/relationships/hyperlink" Target="https://dragalialost.wiki/w/Brunhilda" TargetMode="External"/><Relationship Id="rId42" Type="http://schemas.openxmlformats.org/officeDocument/2006/relationships/hyperlink" Target="https://dragalialost.wiki/w/Vodyanoy" TargetMode="External"/><Relationship Id="rId63" Type="http://schemas.openxmlformats.org/officeDocument/2006/relationships/hyperlink" Target="https://dragalialost.wiki/w/Pazuzu" TargetMode="External"/><Relationship Id="rId84" Type="http://schemas.openxmlformats.org/officeDocument/2006/relationships/hyperlink" Target="https://dragalialost.wiki/w/Daikokuten" TargetMode="External"/><Relationship Id="rId138" Type="http://schemas.openxmlformats.org/officeDocument/2006/relationships/hyperlink" Target="https://dragalialost.wiki/w/Beast_Form_(Ayaha_%26_Otoha)" TargetMode="External"/><Relationship Id="rId107" Type="http://schemas.openxmlformats.org/officeDocument/2006/relationships/hyperlink" Target="https://dragalialost.wiki/w/Gala_Cat_S&#236;th" TargetMode="External"/><Relationship Id="rId11" Type="http://schemas.openxmlformats.org/officeDocument/2006/relationships/hyperlink" Target="https://dragalialost.wiki/w/Arctos" TargetMode="External"/><Relationship Id="rId32" Type="http://schemas.openxmlformats.org/officeDocument/2006/relationships/hyperlink" Target="https://dragalialost.wiki/w/Nimis" TargetMode="External"/><Relationship Id="rId53" Type="http://schemas.openxmlformats.org/officeDocument/2006/relationships/hyperlink" Target="https://dragalialost.wiki/w/Gala_Reborn_Zephyr" TargetMode="External"/><Relationship Id="rId74" Type="http://schemas.openxmlformats.org/officeDocument/2006/relationships/hyperlink" Target="https://dragalialost.wiki/w/Tsumuji" TargetMode="External"/><Relationship Id="rId128" Type="http://schemas.openxmlformats.org/officeDocument/2006/relationships/hyperlink" Target="https://dragalialost.wiki/w/Zodiark" TargetMode="External"/><Relationship Id="rId149" Type="http://schemas.openxmlformats.org/officeDocument/2006/relationships/hyperlink" Target="https://dragalialost.wiki/w/Void_Poseidon_(NPC)" TargetMode="External"/><Relationship Id="rId5" Type="http://schemas.openxmlformats.org/officeDocument/2006/relationships/hyperlink" Target="https://dragalialost.wiki/w/Mini_Hildy" TargetMode="External"/><Relationship Id="rId95" Type="http://schemas.openxmlformats.org/officeDocument/2006/relationships/hyperlink" Target="https://dragalialost.wiki/w/Lindworm" TargetMode="External"/><Relationship Id="rId22" Type="http://schemas.openxmlformats.org/officeDocument/2006/relationships/hyperlink" Target="https://dragalialost.wiki/w/Kindling_Imp" TargetMode="External"/><Relationship Id="rId27" Type="http://schemas.openxmlformats.org/officeDocument/2006/relationships/hyperlink" Target="https://dragalialost.wiki/w/Mini_Mercs" TargetMode="External"/><Relationship Id="rId43" Type="http://schemas.openxmlformats.org/officeDocument/2006/relationships/hyperlink" Target="https://dragalialost.wiki/w/Poli&#699;ahu" TargetMode="External"/><Relationship Id="rId48" Type="http://schemas.openxmlformats.org/officeDocument/2006/relationships/hyperlink" Target="https://dragalialost.wiki/w/Michael" TargetMode="External"/><Relationship Id="rId64" Type="http://schemas.openxmlformats.org/officeDocument/2006/relationships/hyperlink" Target="https://dragalialost.wiki/w/Long_Long" TargetMode="External"/><Relationship Id="rId69" Type="http://schemas.openxmlformats.org/officeDocument/2006/relationships/hyperlink" Target="https://dragalialost.wiki/w/Stribog" TargetMode="External"/><Relationship Id="rId113" Type="http://schemas.openxmlformats.org/officeDocument/2006/relationships/hyperlink" Target="https://dragalialost.wiki/w/Ebisu_(Dragon)" TargetMode="External"/><Relationship Id="rId118" Type="http://schemas.openxmlformats.org/officeDocument/2006/relationships/hyperlink" Target="https://dragalialost.wiki/w/Gold_Fafnir_(Dragon)" TargetMode="External"/><Relationship Id="rId134" Type="http://schemas.openxmlformats.org/officeDocument/2006/relationships/hyperlink" Target="https://dragalialost.wiki/w/Primal_Jupiter" TargetMode="External"/><Relationship Id="rId139" Type="http://schemas.openxmlformats.org/officeDocument/2006/relationships/hyperlink" Target="https://dragalialost.wiki/w/Kai_Yan_(NPC)" TargetMode="External"/><Relationship Id="rId80" Type="http://schemas.openxmlformats.org/officeDocument/2006/relationships/hyperlink" Target="https://dragalialost.wiki/w/Gala_Reborn_Jeanne" TargetMode="External"/><Relationship Id="rId85" Type="http://schemas.openxmlformats.org/officeDocument/2006/relationships/hyperlink" Target="https://dragalialost.wiki/w/Pop-Star_Siren" TargetMode="External"/><Relationship Id="rId150" Type="http://schemas.openxmlformats.org/officeDocument/2006/relationships/hyperlink" Target="https://dragalialost.wiki/w/Void_Jeanne_d%27Arc_(NPC)" TargetMode="External"/><Relationship Id="rId12" Type="http://schemas.openxmlformats.org/officeDocument/2006/relationships/hyperlink" Target="https://dragalialost.wiki/w/Konohana_Sakuya" TargetMode="External"/><Relationship Id="rId17" Type="http://schemas.openxmlformats.org/officeDocument/2006/relationships/hyperlink" Target="https://dragalialost.wiki/w/High_Brunhilda" TargetMode="External"/><Relationship Id="rId33" Type="http://schemas.openxmlformats.org/officeDocument/2006/relationships/hyperlink" Target="https://dragalialost.wiki/w/Kamuy" TargetMode="External"/><Relationship Id="rId38" Type="http://schemas.openxmlformats.org/officeDocument/2006/relationships/hyperlink" Target="https://dragalialost.wiki/w/Siren" TargetMode="External"/><Relationship Id="rId59" Type="http://schemas.openxmlformats.org/officeDocument/2006/relationships/hyperlink" Target="https://dragalialost.wiki/w/Mini_Mids" TargetMode="External"/><Relationship Id="rId103" Type="http://schemas.openxmlformats.org/officeDocument/2006/relationships/hyperlink" Target="https://dragalialost.wiki/w/High_Chthonius" TargetMode="External"/><Relationship Id="rId108" Type="http://schemas.openxmlformats.org/officeDocument/2006/relationships/hyperlink" Target="https://dragalialost.wiki/w/Azazel" TargetMode="External"/><Relationship Id="rId124" Type="http://schemas.openxmlformats.org/officeDocument/2006/relationships/hyperlink" Target="https://dragalialost.wiki/w/Silver_Fafnir_(Dragon)" TargetMode="External"/><Relationship Id="rId129" Type="http://schemas.openxmlformats.org/officeDocument/2006/relationships/hyperlink" Target="https://dragalialost.wiki/w/Barbatos" TargetMode="External"/><Relationship Id="rId54" Type="http://schemas.openxmlformats.org/officeDocument/2006/relationships/hyperlink" Target="https://dragalialost.wiki/w/Midgardsormr_Zero" TargetMode="External"/><Relationship Id="rId70" Type="http://schemas.openxmlformats.org/officeDocument/2006/relationships/hyperlink" Target="https://dragalialost.wiki/w/Roc" TargetMode="External"/><Relationship Id="rId75" Type="http://schemas.openxmlformats.org/officeDocument/2006/relationships/hyperlink" Target="https://dragalialost.wiki/w/Gala_Elysium" TargetMode="External"/><Relationship Id="rId91" Type="http://schemas.openxmlformats.org/officeDocument/2006/relationships/hyperlink" Target="https://dragalialost.wiki/w/Corsaint_Phoenix" TargetMode="External"/><Relationship Id="rId96" Type="http://schemas.openxmlformats.org/officeDocument/2006/relationships/hyperlink" Target="https://dragalialost.wiki/w/Unicorn" TargetMode="External"/><Relationship Id="rId140" Type="http://schemas.openxmlformats.org/officeDocument/2006/relationships/hyperlink" Target="https://dragalialost.wiki/w/Tartarus_(NPC)" TargetMode="External"/><Relationship Id="rId145" Type="http://schemas.openxmlformats.org/officeDocument/2006/relationships/hyperlink" Target="https://dragalialost.wiki/w/Fallen_Angel_Uriel_(NPC)" TargetMode="External"/><Relationship Id="rId1" Type="http://schemas.openxmlformats.org/officeDocument/2006/relationships/hyperlink" Target="https://dragalialost.wiki/w/Primal_Brunhilda" TargetMode="External"/><Relationship Id="rId6" Type="http://schemas.openxmlformats.org/officeDocument/2006/relationships/hyperlink" Target="https://dragalialost.wiki/w/Horus" TargetMode="External"/><Relationship Id="rId23" Type="http://schemas.openxmlformats.org/officeDocument/2006/relationships/hyperlink" Target="https://dragalialost.wiki/w/Cinder_Drake" TargetMode="External"/><Relationship Id="rId28" Type="http://schemas.openxmlformats.org/officeDocument/2006/relationships/hyperlink" Target="https://dragalialost.wiki/w/Gabriel" TargetMode="External"/><Relationship Id="rId49" Type="http://schemas.openxmlformats.org/officeDocument/2006/relationships/hyperlink" Target="https://dragalialost.wiki/w/Fudo_Myo-o" TargetMode="External"/><Relationship Id="rId114" Type="http://schemas.openxmlformats.org/officeDocument/2006/relationships/hyperlink" Target="https://dragalialost.wiki/w/Parallel_Zodiark" TargetMode="External"/><Relationship Id="rId119" Type="http://schemas.openxmlformats.org/officeDocument/2006/relationships/hyperlink" Target="https://dragalialost.wiki/w/Marishiten" TargetMode="External"/><Relationship Id="rId44" Type="http://schemas.openxmlformats.org/officeDocument/2006/relationships/hyperlink" Target="https://dragalialost.wiki/w/Mercury" TargetMode="External"/><Relationship Id="rId60" Type="http://schemas.openxmlformats.org/officeDocument/2006/relationships/hyperlink" Target="https://dragalialost.wiki/w/Vayu" TargetMode="External"/><Relationship Id="rId65" Type="http://schemas.openxmlformats.org/officeDocument/2006/relationships/hyperlink" Target="https://dragalialost.wiki/w/Garuda" TargetMode="External"/><Relationship Id="rId81" Type="http://schemas.openxmlformats.org/officeDocument/2006/relationships/hyperlink" Target="https://dragalialost.wiki/w/Lumi&#232;re_Pandora" TargetMode="External"/><Relationship Id="rId86" Type="http://schemas.openxmlformats.org/officeDocument/2006/relationships/hyperlink" Target="https://dragalialost.wiki/w/Takemikazuchi" TargetMode="External"/><Relationship Id="rId130" Type="http://schemas.openxmlformats.org/officeDocument/2006/relationships/hyperlink" Target="https://dragalialost.wiki/w/Pallid_Imp" TargetMode="External"/><Relationship Id="rId135" Type="http://schemas.openxmlformats.org/officeDocument/2006/relationships/hyperlink" Target="https://dragalialost.wiki/w/Primal_Zodiark" TargetMode="External"/><Relationship Id="rId151" Type="http://schemas.openxmlformats.org/officeDocument/2006/relationships/hyperlink" Target="https://dragalialost.wiki/w/Void_Nidhogg_(NPC)" TargetMode="External"/><Relationship Id="rId13" Type="http://schemas.openxmlformats.org/officeDocument/2006/relationships/hyperlink" Target="https://dragalialost.wiki/w/Prometheus" TargetMode="External"/><Relationship Id="rId18" Type="http://schemas.openxmlformats.org/officeDocument/2006/relationships/hyperlink" Target="https://dragalialost.wiki/w/Agni" TargetMode="External"/><Relationship Id="rId39" Type="http://schemas.openxmlformats.org/officeDocument/2006/relationships/hyperlink" Target="https://dragalialost.wiki/w/Leviathan" TargetMode="External"/><Relationship Id="rId109" Type="http://schemas.openxmlformats.org/officeDocument/2006/relationships/hyperlink" Target="https://dragalialost.wiki/w/Andromeda" TargetMode="External"/><Relationship Id="rId34" Type="http://schemas.openxmlformats.org/officeDocument/2006/relationships/hyperlink" Target="https://dragalialost.wiki/w/Halloween_Maritimus" TargetMode="External"/><Relationship Id="rId50" Type="http://schemas.openxmlformats.org/officeDocument/2006/relationships/hyperlink" Target="https://dragalialost.wiki/w/Gala_Beast_Volk" TargetMode="External"/><Relationship Id="rId55" Type="http://schemas.openxmlformats.org/officeDocument/2006/relationships/hyperlink" Target="https://dragalialost.wiki/w/Summer_Konohana_Sakuya" TargetMode="External"/><Relationship Id="rId76" Type="http://schemas.openxmlformats.org/officeDocument/2006/relationships/hyperlink" Target="https://dragalialost.wiki/w/Gala_Chronos_Nyx" TargetMode="External"/><Relationship Id="rId97" Type="http://schemas.openxmlformats.org/officeDocument/2006/relationships/hyperlink" Target="https://dragalialost.wiki/w/Jupiter" TargetMode="External"/><Relationship Id="rId104" Type="http://schemas.openxmlformats.org/officeDocument/2006/relationships/hyperlink" Target="https://dragalialost.wiki/w/Ars&#232;ne" TargetMode="External"/><Relationship Id="rId120" Type="http://schemas.openxmlformats.org/officeDocument/2006/relationships/hyperlink" Target="https://dragalialost.wiki/w/Maritimus" TargetMode="External"/><Relationship Id="rId125" Type="http://schemas.openxmlformats.org/officeDocument/2006/relationships/hyperlink" Target="https://dragalialost.wiki/w/Bronze_Fafnir_(Dragon)" TargetMode="External"/><Relationship Id="rId141" Type="http://schemas.openxmlformats.org/officeDocument/2006/relationships/hyperlink" Target="https://dragalialost.wiki/w/Atlas" TargetMode="External"/><Relationship Id="rId146" Type="http://schemas.openxmlformats.org/officeDocument/2006/relationships/hyperlink" Target="https://dragalialost.wiki/w/Fallen_Angel_Michael_(NPC)" TargetMode="External"/><Relationship Id="rId7" Type="http://schemas.openxmlformats.org/officeDocument/2006/relationships/hyperlink" Target="https://dragalialost.wiki/w/Gala_Mars" TargetMode="External"/><Relationship Id="rId71" Type="http://schemas.openxmlformats.org/officeDocument/2006/relationships/hyperlink" Target="https://dragalialost.wiki/w/Midgardsormr" TargetMode="External"/><Relationship Id="rId92" Type="http://schemas.openxmlformats.org/officeDocument/2006/relationships/hyperlink" Target="https://dragalialost.wiki/w/High_Jupiter" TargetMode="External"/><Relationship Id="rId2" Type="http://schemas.openxmlformats.org/officeDocument/2006/relationships/hyperlink" Target="https://dragalialost.wiki/w/Uriel" TargetMode="External"/><Relationship Id="rId29" Type="http://schemas.openxmlformats.org/officeDocument/2006/relationships/hyperlink" Target="https://dragalialost.wiki/w/Gala_Reborn_Poseidon" TargetMode="External"/><Relationship Id="rId24" Type="http://schemas.openxmlformats.org/officeDocument/2006/relationships/hyperlink" Target="https://dragalialost.wiki/w/Homura" TargetMode="External"/><Relationship Id="rId40" Type="http://schemas.openxmlformats.org/officeDocument/2006/relationships/hyperlink" Target="https://dragalialost.wiki/w/High_Mercury" TargetMode="External"/><Relationship Id="rId45" Type="http://schemas.openxmlformats.org/officeDocument/2006/relationships/hyperlink" Target="https://dragalialost.wiki/w/Wellspring_Imp" TargetMode="External"/><Relationship Id="rId66" Type="http://schemas.openxmlformats.org/officeDocument/2006/relationships/hyperlink" Target="https://dragalialost.wiki/w/Sylvia" TargetMode="External"/><Relationship Id="rId87" Type="http://schemas.openxmlformats.org/officeDocument/2006/relationships/hyperlink" Target="https://dragalialost.wiki/w/Liger" TargetMode="External"/><Relationship Id="rId110" Type="http://schemas.openxmlformats.org/officeDocument/2006/relationships/hyperlink" Target="https://dragalialost.wiki/w/Mini_Zodi" TargetMode="External"/><Relationship Id="rId115" Type="http://schemas.openxmlformats.org/officeDocument/2006/relationships/hyperlink" Target="https://dragalialost.wiki/w/Chthonius" TargetMode="External"/><Relationship Id="rId131" Type="http://schemas.openxmlformats.org/officeDocument/2006/relationships/hyperlink" Target="https://dragalialost.wiki/w/Gloom_Drake" TargetMode="External"/><Relationship Id="rId136" Type="http://schemas.openxmlformats.org/officeDocument/2006/relationships/hyperlink" Target="https://dragalialost.wiki/w/Primal_Mercury" TargetMode="External"/><Relationship Id="rId61" Type="http://schemas.openxmlformats.org/officeDocument/2006/relationships/hyperlink" Target="https://dragalialost.wiki/w/Freyja" TargetMode="External"/><Relationship Id="rId82" Type="http://schemas.openxmlformats.org/officeDocument/2006/relationships/hyperlink" Target="https://dragalialost.wiki/w/Gala_Thor" TargetMode="External"/><Relationship Id="rId152" Type="http://schemas.openxmlformats.org/officeDocument/2006/relationships/printerSettings" Target="../printerSettings/printerSettings14.bin"/><Relationship Id="rId19" Type="http://schemas.openxmlformats.org/officeDocument/2006/relationships/hyperlink" Target="https://dragalialost.wiki/w/Ifrit" TargetMode="External"/><Relationship Id="rId14" Type="http://schemas.openxmlformats.org/officeDocument/2006/relationships/hyperlink" Target="https://dragalialost.wiki/w/Erasmus" TargetMode="External"/><Relationship Id="rId30" Type="http://schemas.openxmlformats.org/officeDocument/2006/relationships/hyperlink" Target="https://dragalialost.wiki/w/Styx" TargetMode="External"/><Relationship Id="rId35" Type="http://schemas.openxmlformats.org/officeDocument/2006/relationships/hyperlink" Target="https://dragalialost.wiki/w/Simurgh" TargetMode="External"/><Relationship Id="rId56" Type="http://schemas.openxmlformats.org/officeDocument/2006/relationships/hyperlink" Target="https://dragalialost.wiki/w/Ariel" TargetMode="External"/><Relationship Id="rId77" Type="http://schemas.openxmlformats.org/officeDocument/2006/relationships/hyperlink" Target="https://dragalialost.wiki/w/Mini_Jupi" TargetMode="External"/><Relationship Id="rId100" Type="http://schemas.openxmlformats.org/officeDocument/2006/relationships/hyperlink" Target="https://dragalialost.wiki/w/Hinata" TargetMode="External"/><Relationship Id="rId105" Type="http://schemas.openxmlformats.org/officeDocument/2006/relationships/hyperlink" Target="https://dragalialost.wiki/w/Giovanni" TargetMode="External"/><Relationship Id="rId126" Type="http://schemas.openxmlformats.org/officeDocument/2006/relationships/hyperlink" Target="https://dragalialost.wiki/w/Silke" TargetMode="External"/><Relationship Id="rId147" Type="http://schemas.openxmlformats.org/officeDocument/2006/relationships/hyperlink" Target="https://dragalialost.wiki/w/Void_Zephyr_(NPC)" TargetMode="External"/><Relationship Id="rId8" Type="http://schemas.openxmlformats.org/officeDocument/2006/relationships/hyperlink" Target="https://dragalialost.wiki/w/Dreadking_Rathalos" TargetMode="External"/><Relationship Id="rId51" Type="http://schemas.openxmlformats.org/officeDocument/2006/relationships/hyperlink" Target="https://dragalialost.wiki/w/Rose_Queen" TargetMode="External"/><Relationship Id="rId72" Type="http://schemas.openxmlformats.org/officeDocument/2006/relationships/hyperlink" Target="https://dragalialost.wiki/w/Zephyr_Imp" TargetMode="External"/><Relationship Id="rId93" Type="http://schemas.openxmlformats.org/officeDocument/2006/relationships/hyperlink" Target="https://dragalialost.wiki/w/Jeanne_d'Arc" TargetMode="External"/><Relationship Id="rId98" Type="http://schemas.openxmlformats.org/officeDocument/2006/relationships/hyperlink" Target="https://dragalialost.wiki/w/Astral_Imp" TargetMode="External"/><Relationship Id="rId121" Type="http://schemas.openxmlformats.org/officeDocument/2006/relationships/hyperlink" Target="https://dragalialost.wiki/w/Phantom" TargetMode="External"/><Relationship Id="rId142" Type="http://schemas.openxmlformats.org/officeDocument/2006/relationships/hyperlink" Target="https://dragalialost.wiki/w/Fallen_Angel_Ramiel_(NPC)" TargetMode="External"/><Relationship Id="rId3" Type="http://schemas.openxmlformats.org/officeDocument/2006/relationships/hyperlink" Target="https://dragalialost.wiki/w/Gala_Reborn_Agni" TargetMode="External"/><Relationship Id="rId25" Type="http://schemas.openxmlformats.org/officeDocument/2006/relationships/hyperlink" Target="https://dragalialost.wiki/w/Gala_Beast_Ciella" TargetMode="External"/><Relationship Id="rId46" Type="http://schemas.openxmlformats.org/officeDocument/2006/relationships/hyperlink" Target="https://dragalialost.wiki/w/Snow_Drake" TargetMode="External"/><Relationship Id="rId67" Type="http://schemas.openxmlformats.org/officeDocument/2006/relationships/hyperlink" Target="https://dragalialost.wiki/w/High_Midgardsormr" TargetMode="External"/><Relationship Id="rId116" Type="http://schemas.openxmlformats.org/officeDocument/2006/relationships/hyperlink" Target="https://dragalialost.wiki/w/Shinobi" TargetMode="External"/><Relationship Id="rId137" Type="http://schemas.openxmlformats.org/officeDocument/2006/relationships/hyperlink" Target="https://dragalialost.wiki/w/Primal_Midgardsormr" TargetMode="External"/><Relationship Id="rId20" Type="http://schemas.openxmlformats.org/officeDocument/2006/relationships/hyperlink" Target="https://dragalialost.wiki/w/Phoenix" TargetMode="External"/><Relationship Id="rId41" Type="http://schemas.openxmlformats.org/officeDocument/2006/relationships/hyperlink" Target="https://dragalialost.wiki/w/Poseidon" TargetMode="External"/><Relationship Id="rId62" Type="http://schemas.openxmlformats.org/officeDocument/2006/relationships/hyperlink" Target="https://dragalialost.wiki/w/Yulong" TargetMode="External"/><Relationship Id="rId83" Type="http://schemas.openxmlformats.org/officeDocument/2006/relationships/hyperlink" Target="https://dragalialost.wiki/w/Tie_Shan_Gongzhu" TargetMode="External"/><Relationship Id="rId88" Type="http://schemas.openxmlformats.org/officeDocument/2006/relationships/hyperlink" Target="https://dragalialost.wiki/w/Shishimai_(Dragon)" TargetMode="External"/><Relationship Id="rId111" Type="http://schemas.openxmlformats.org/officeDocument/2006/relationships/hyperlink" Target="https://dragalialost.wiki/w/Epimetheus" TargetMode="External"/><Relationship Id="rId132" Type="http://schemas.openxmlformats.org/officeDocument/2006/relationships/hyperlink" Target="https://dragalialost.wiki/w/Hikage" TargetMode="External"/><Relationship Id="rId15" Type="http://schemas.openxmlformats.org/officeDocument/2006/relationships/hyperlink" Target="https://dragalialost.wiki/w/Cerberus" TargetMode="External"/><Relationship Id="rId36" Type="http://schemas.openxmlformats.org/officeDocument/2006/relationships/hyperlink" Target="https://dragalialost.wiki/w/Peng_Lai" TargetMode="External"/><Relationship Id="rId57" Type="http://schemas.openxmlformats.org/officeDocument/2006/relationships/hyperlink" Target="https://dragalialost.wiki/w/AC-011_Garland" TargetMode="External"/><Relationship Id="rId106" Type="http://schemas.openxmlformats.org/officeDocument/2006/relationships/hyperlink" Target="https://dragalialost.wiki/w/Ramiel" TargetMode="External"/><Relationship Id="rId127" Type="http://schemas.openxmlformats.org/officeDocument/2006/relationships/hyperlink" Target="https://dragalialost.wiki/w/Juggernaut_(Dragon)" TargetMode="External"/><Relationship Id="rId10" Type="http://schemas.openxmlformats.org/officeDocument/2006/relationships/hyperlink" Target="https://dragalialost.wiki/w/Apollo" TargetMode="External"/><Relationship Id="rId31" Type="http://schemas.openxmlformats.org/officeDocument/2006/relationships/hyperlink" Target="https://dragalialost.wiki/w/Gaibhne_&amp;_Creidhne" TargetMode="External"/><Relationship Id="rId52" Type="http://schemas.openxmlformats.org/officeDocument/2006/relationships/hyperlink" Target="https://dragalialost.wiki/w/Menoetius" TargetMode="External"/><Relationship Id="rId73" Type="http://schemas.openxmlformats.org/officeDocument/2006/relationships/hyperlink" Target="https://dragalialost.wiki/w/Gust_Drake" TargetMode="External"/><Relationship Id="rId78" Type="http://schemas.openxmlformats.org/officeDocument/2006/relationships/hyperlink" Target="https://dragalialost.wiki/w/Summer_Cat_S&#236;th" TargetMode="External"/><Relationship Id="rId94" Type="http://schemas.openxmlformats.org/officeDocument/2006/relationships/hyperlink" Target="https://dragalialost.wiki/w/Halloween_Silke" TargetMode="External"/><Relationship Id="rId99" Type="http://schemas.openxmlformats.org/officeDocument/2006/relationships/hyperlink" Target="https://dragalialost.wiki/w/Moon_Drake" TargetMode="External"/><Relationship Id="rId101" Type="http://schemas.openxmlformats.org/officeDocument/2006/relationships/hyperlink" Target="https://dragalialost.wiki/w/Gala_Bahamut" TargetMode="External"/><Relationship Id="rId122" Type="http://schemas.openxmlformats.org/officeDocument/2006/relationships/hyperlink" Target="https://dragalialost.wiki/w/High_Zodiark" TargetMode="External"/><Relationship Id="rId143" Type="http://schemas.openxmlformats.org/officeDocument/2006/relationships/hyperlink" Target="https://dragalialost.wiki/w/Fallen_Angel_Gabriel_(NPC)" TargetMode="External"/><Relationship Id="rId148" Type="http://schemas.openxmlformats.org/officeDocument/2006/relationships/hyperlink" Target="https://dragalialost.wiki/w/Void_Agni_(NPC)" TargetMode="External"/><Relationship Id="rId4" Type="http://schemas.openxmlformats.org/officeDocument/2006/relationships/hyperlink" Target="https://dragalialost.wiki/w/Gozu_Tenno" TargetMode="External"/><Relationship Id="rId9" Type="http://schemas.openxmlformats.org/officeDocument/2006/relationships/hyperlink" Target="https://dragalialost.wiki/w/Kagutsuchi" TargetMode="External"/><Relationship Id="rId26" Type="http://schemas.openxmlformats.org/officeDocument/2006/relationships/hyperlink" Target="https://dragalialost.wiki/w/Summer_Marishiten" TargetMode="External"/><Relationship Id="rId47" Type="http://schemas.openxmlformats.org/officeDocument/2006/relationships/hyperlink" Target="https://dragalialost.wiki/w/Fubuki" TargetMode="External"/><Relationship Id="rId68" Type="http://schemas.openxmlformats.org/officeDocument/2006/relationships/hyperlink" Target="https://dragalialost.wiki/w/Zephyr" TargetMode="External"/><Relationship Id="rId89" Type="http://schemas.openxmlformats.org/officeDocument/2006/relationships/hyperlink" Target="https://dragalialost.wiki/w/Cupid" TargetMode="External"/><Relationship Id="rId112" Type="http://schemas.openxmlformats.org/officeDocument/2006/relationships/hyperlink" Target="https://dragalialost.wiki/w/Fatalis" TargetMode="External"/><Relationship Id="rId133" Type="http://schemas.openxmlformats.org/officeDocument/2006/relationships/hyperlink" Target="https://dragalialost.wiki/w/Rathalos" TargetMode="External"/><Relationship Id="rId16" Type="http://schemas.openxmlformats.org/officeDocument/2006/relationships/hyperlink" Target="https://dragalialost.wiki/w/Pele" TargetMode="External"/><Relationship Id="rId37" Type="http://schemas.openxmlformats.org/officeDocument/2006/relationships/hyperlink" Target="https://dragalialost.wiki/w/Dragonyule_Jeanne" TargetMode="External"/><Relationship Id="rId58" Type="http://schemas.openxmlformats.org/officeDocument/2006/relationships/hyperlink" Target="https://dragalialost.wiki/w/Hastur" TargetMode="External"/><Relationship Id="rId79" Type="http://schemas.openxmlformats.org/officeDocument/2006/relationships/hyperlink" Target="https://dragalialost.wiki/w/Raphael" TargetMode="External"/><Relationship Id="rId102" Type="http://schemas.openxmlformats.org/officeDocument/2006/relationships/hyperlink" Target="https://dragalialost.wiki/w/Gala_Reborn_Nidhogg" TargetMode="External"/><Relationship Id="rId123" Type="http://schemas.openxmlformats.org/officeDocument/2006/relationships/hyperlink" Target="https://dragalialost.wiki/w/Nidhogg" TargetMode="External"/><Relationship Id="rId144" Type="http://schemas.openxmlformats.org/officeDocument/2006/relationships/hyperlink" Target="https://dragalialost.wiki/w/Fallen_Angel_Raphael_(NPC)" TargetMode="External"/><Relationship Id="rId90" Type="http://schemas.openxmlformats.org/officeDocument/2006/relationships/hyperlink" Target="https://dragalialost.wiki/w/Gilgamesh" TargetMode="Externa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8" Type="http://schemas.openxmlformats.org/officeDocument/2006/relationships/hyperlink" Target="https://natalie.tf/wp-content/uploads/2023/10/DLV3_Icon_WP_%22&amp;&amp;%22_01.png" TargetMode="External"/><Relationship Id="rId13" Type="http://schemas.openxmlformats.org/officeDocument/2006/relationships/hyperlink" Target="https://natalie.tf/wp-content/uploads/2023/10/DLV3_Icon_WP_%22&amp;&amp;%22_01.png" TargetMode="External"/><Relationship Id="rId3" Type="http://schemas.openxmlformats.org/officeDocument/2006/relationships/hyperlink" Target="https://natalie.tf/wp-content/uploads/2023/10/DLV3_Icon_WP_%22&amp;&amp;%22_01.png" TargetMode="External"/><Relationship Id="rId7" Type="http://schemas.openxmlformats.org/officeDocument/2006/relationships/hyperlink" Target="https://natalie.tf/wp-content/uploads/2023/10/DLV3_Icon_WP_%22&amp;&amp;%22_01.png" TargetMode="External"/><Relationship Id="rId12" Type="http://schemas.openxmlformats.org/officeDocument/2006/relationships/hyperlink" Target="https://natalie.tf/wp-content/uploads/2023/10/DLV3_Icon_WP_%22&amp;&amp;%22_01.png" TargetMode="External"/><Relationship Id="rId2" Type="http://schemas.openxmlformats.org/officeDocument/2006/relationships/hyperlink" Target="https://natalie.tf/wp-content/uploads/2023/10/DLV3_Icon_WP_%22&amp;&amp;%22_01.png" TargetMode="External"/><Relationship Id="rId1" Type="http://schemas.openxmlformats.org/officeDocument/2006/relationships/hyperlink" Target="https://natalie.tf/wp-content/uploads/2023/10/DLV3_Icon_WP_%22&amp;&amp;%22_01.png" TargetMode="External"/><Relationship Id="rId6" Type="http://schemas.openxmlformats.org/officeDocument/2006/relationships/hyperlink" Target="https://natalie.tf/wp-content/uploads/2023/10/DLV3_Icon_WP_%22&amp;&amp;%22_01.png" TargetMode="External"/><Relationship Id="rId11" Type="http://schemas.openxmlformats.org/officeDocument/2006/relationships/hyperlink" Target="https://natalie.tf/wp-content/uploads/2023/10/DLV3_Icon_WP_%22&amp;&amp;%22_01.png" TargetMode="External"/><Relationship Id="rId5" Type="http://schemas.openxmlformats.org/officeDocument/2006/relationships/hyperlink" Target="https://natalie.tf/wp-content/uploads/2023/10/DLV3_Icon_WP_%22&amp;&amp;%22_01.png" TargetMode="External"/><Relationship Id="rId15" Type="http://schemas.openxmlformats.org/officeDocument/2006/relationships/printerSettings" Target="../printerSettings/printerSettings23.bin"/><Relationship Id="rId10" Type="http://schemas.openxmlformats.org/officeDocument/2006/relationships/hyperlink" Target="https://natalie.tf/wp-content/uploads/2023/10/DLV3_Icon_WP_%22&amp;&amp;%22_01.png" TargetMode="External"/><Relationship Id="rId4" Type="http://schemas.openxmlformats.org/officeDocument/2006/relationships/hyperlink" Target="https://natalie.tf/wp-content/uploads/2023/10/DLV3_Icon_WP_%22&amp;&amp;%22_01.png" TargetMode="External"/><Relationship Id="rId9" Type="http://schemas.openxmlformats.org/officeDocument/2006/relationships/hyperlink" Target="https://natalie.tf/wp-content/uploads/2023/10/DLV3_Icon_WP_%22&amp;&amp;%22_01.png" TargetMode="External"/><Relationship Id="rId14" Type="http://schemas.openxmlformats.org/officeDocument/2006/relationships/hyperlink" Target="https://natalie.tf/wp-content/uploads/2023/10/DLV3_Icon_WP_%22&amp;&amp;%22_01.png" TargetMode="External"/></Relationships>
</file>

<file path=xl/worksheets/_rels/sheet27.xml.rels><?xml version="1.0" encoding="UTF-8" standalone="yes"?>
<Relationships xmlns="http://schemas.openxmlformats.org/package/2006/relationships"><Relationship Id="rId117" Type="http://schemas.openxmlformats.org/officeDocument/2006/relationships/hyperlink" Target="https://natalie.tf/wp-content/uploads/2023/10/DLV3_Icon_WP_%22&amp;&amp;%22_01.png" TargetMode="External"/><Relationship Id="rId21" Type="http://schemas.openxmlformats.org/officeDocument/2006/relationships/hyperlink" Target="https://natalie.tf/wp-content/uploads/2023/10/DLV3_Icon_WP_%22&amp;&amp;%22_01.png" TargetMode="External"/><Relationship Id="rId42" Type="http://schemas.openxmlformats.org/officeDocument/2006/relationships/hyperlink" Target="https://natalie.tf/wp-content/uploads/2023/10/DLV3_Icon_WP_%22&amp;&amp;%22_01.png" TargetMode="External"/><Relationship Id="rId63" Type="http://schemas.openxmlformats.org/officeDocument/2006/relationships/hyperlink" Target="https://natalie.tf/wp-content/uploads/2023/10/DLV3_Icon_WP_%22&amp;&amp;%22_01.png" TargetMode="External"/><Relationship Id="rId84" Type="http://schemas.openxmlformats.org/officeDocument/2006/relationships/hyperlink" Target="https://natalie.tf/wp-content/uploads/2023/10/DLV3_Icon_WP_%22&amp;&amp;%22_01.png" TargetMode="External"/><Relationship Id="rId138" Type="http://schemas.openxmlformats.org/officeDocument/2006/relationships/hyperlink" Target="https://natalie.tf/wp-content/uploads/2023/10/DLV3_Icon_WP_%22&amp;&amp;%22_01.png" TargetMode="External"/><Relationship Id="rId159" Type="http://schemas.openxmlformats.org/officeDocument/2006/relationships/hyperlink" Target="https://natalie.tf/wp-content/uploads/2023/10/DLV3_Icon_WP_%22&amp;&amp;%22_01.png" TargetMode="External"/><Relationship Id="rId170" Type="http://schemas.openxmlformats.org/officeDocument/2006/relationships/hyperlink" Target="https://natalie.tf/wp-content/uploads/2023/10/DLV3_Icon_WP_%22&amp;&amp;%22_01.png" TargetMode="External"/><Relationship Id="rId107" Type="http://schemas.openxmlformats.org/officeDocument/2006/relationships/hyperlink" Target="https://natalie.tf/wp-content/uploads/2023/10/DLV3_Icon_WP_%22&amp;&amp;%22_01.png" TargetMode="External"/><Relationship Id="rId11" Type="http://schemas.openxmlformats.org/officeDocument/2006/relationships/hyperlink" Target="https://natalie.tf/wp-content/uploads/2023/10/DLV3_Icon_WP_%22&amp;&amp;%22_01.png" TargetMode="External"/><Relationship Id="rId32" Type="http://schemas.openxmlformats.org/officeDocument/2006/relationships/hyperlink" Target="https://natalie.tf/wp-content/uploads/2023/10/DLV3_Icon_WP_%22&amp;&amp;%22_01.png" TargetMode="External"/><Relationship Id="rId53" Type="http://schemas.openxmlformats.org/officeDocument/2006/relationships/hyperlink" Target="https://natalie.tf/wp-content/uploads/2023/10/DLV3_Icon_WP_%22&amp;&amp;%22_01.png" TargetMode="External"/><Relationship Id="rId74" Type="http://schemas.openxmlformats.org/officeDocument/2006/relationships/hyperlink" Target="https://natalie.tf/wp-content/uploads/2023/10/DLV3_Icon_WP_%22&amp;&amp;%22_01.png" TargetMode="External"/><Relationship Id="rId128" Type="http://schemas.openxmlformats.org/officeDocument/2006/relationships/hyperlink" Target="https://natalie.tf/wp-content/uploads/2023/10/DLV3_Icon_WP_%22&amp;&amp;%22_01.png" TargetMode="External"/><Relationship Id="rId149" Type="http://schemas.openxmlformats.org/officeDocument/2006/relationships/hyperlink" Target="https://natalie.tf/wp-content/uploads/2023/10/DLV3_Icon_WP_%22&amp;&amp;%22_01.png" TargetMode="External"/><Relationship Id="rId5" Type="http://schemas.openxmlformats.org/officeDocument/2006/relationships/hyperlink" Target="https://natalie.tf/wp-content/uploads/2023/10/DLV3_Icon_WP_%22&amp;&amp;%22_01.png" TargetMode="External"/><Relationship Id="rId95" Type="http://schemas.openxmlformats.org/officeDocument/2006/relationships/hyperlink" Target="https://natalie.tf/wp-content/uploads/2023/10/DLV3_Icon_WP_%22&amp;&amp;%22_01.png" TargetMode="External"/><Relationship Id="rId160" Type="http://schemas.openxmlformats.org/officeDocument/2006/relationships/hyperlink" Target="https://natalie.tf/wp-content/uploads/2023/10/DLV3_Icon_WP_%22&amp;&amp;%22_01.png" TargetMode="External"/><Relationship Id="rId181" Type="http://schemas.openxmlformats.org/officeDocument/2006/relationships/hyperlink" Target="https://natalie.tf/wp-content/uploads/2023/10/DLV3_Icon_WP_%22&amp;&amp;%22_01.png" TargetMode="External"/><Relationship Id="rId22" Type="http://schemas.openxmlformats.org/officeDocument/2006/relationships/hyperlink" Target="https://natalie.tf/wp-content/uploads/2023/10/DLV3_Icon_WP_%22&amp;&amp;%22_01.png" TargetMode="External"/><Relationship Id="rId43" Type="http://schemas.openxmlformats.org/officeDocument/2006/relationships/hyperlink" Target="https://natalie.tf/wp-content/uploads/2023/10/DLV3_Icon_WP_%22&amp;&amp;%22_01.png" TargetMode="External"/><Relationship Id="rId64" Type="http://schemas.openxmlformats.org/officeDocument/2006/relationships/hyperlink" Target="https://natalie.tf/wp-content/uploads/2023/10/DLV3_Icon_WP_%22&amp;&amp;%22_01.png" TargetMode="External"/><Relationship Id="rId118" Type="http://schemas.openxmlformats.org/officeDocument/2006/relationships/hyperlink" Target="https://natalie.tf/wp-content/uploads/2023/10/DLV3_Icon_WP_%22&amp;&amp;%22_01.png" TargetMode="External"/><Relationship Id="rId139" Type="http://schemas.openxmlformats.org/officeDocument/2006/relationships/hyperlink" Target="https://natalie.tf/wp-content/uploads/2023/10/DLV3_Icon_WP_%22&amp;&amp;%22_01.png" TargetMode="External"/><Relationship Id="rId85" Type="http://schemas.openxmlformats.org/officeDocument/2006/relationships/hyperlink" Target="https://natalie.tf/wp-content/uploads/2023/10/DLV3_Icon_WP_%22&amp;&amp;%22_01.png" TargetMode="External"/><Relationship Id="rId150" Type="http://schemas.openxmlformats.org/officeDocument/2006/relationships/hyperlink" Target="https://natalie.tf/wp-content/uploads/2023/10/DLV3_Icon_WP_%22&amp;&amp;%22_01.png" TargetMode="External"/><Relationship Id="rId171" Type="http://schemas.openxmlformats.org/officeDocument/2006/relationships/hyperlink" Target="https://natalie.tf/wp-content/uploads/2023/10/DLV3_Icon_WP_%22&amp;&amp;%22_01.png" TargetMode="External"/><Relationship Id="rId12" Type="http://schemas.openxmlformats.org/officeDocument/2006/relationships/hyperlink" Target="https://natalie.tf/wp-content/uploads/2023/10/DLV3_Icon_WP_%22&amp;&amp;%22_01.png" TargetMode="External"/><Relationship Id="rId33" Type="http://schemas.openxmlformats.org/officeDocument/2006/relationships/hyperlink" Target="https://natalie.tf/wp-content/uploads/2023/10/DLV3_Icon_WP_%22&amp;&amp;%22_01.png" TargetMode="External"/><Relationship Id="rId108" Type="http://schemas.openxmlformats.org/officeDocument/2006/relationships/hyperlink" Target="https://natalie.tf/wp-content/uploads/2023/10/DLV3_Icon_WP_%22&amp;&amp;%22_01.png" TargetMode="External"/><Relationship Id="rId129" Type="http://schemas.openxmlformats.org/officeDocument/2006/relationships/hyperlink" Target="https://natalie.tf/wp-content/uploads/2023/10/DLV3_Icon_WP_%22&amp;&amp;%22_01.png" TargetMode="External"/><Relationship Id="rId54" Type="http://schemas.openxmlformats.org/officeDocument/2006/relationships/hyperlink" Target="https://natalie.tf/wp-content/uploads/2023/10/DLV3_Icon_WP_%22&amp;&amp;%22_01.png" TargetMode="External"/><Relationship Id="rId75" Type="http://schemas.openxmlformats.org/officeDocument/2006/relationships/hyperlink" Target="https://natalie.tf/wp-content/uploads/2023/10/DLV3_Icon_WP_%22&amp;&amp;%22_01.png" TargetMode="External"/><Relationship Id="rId96" Type="http://schemas.openxmlformats.org/officeDocument/2006/relationships/hyperlink" Target="https://natalie.tf/wp-content/uploads/2023/10/DLV3_Icon_WP_%22&amp;&amp;%22_01.png" TargetMode="External"/><Relationship Id="rId140" Type="http://schemas.openxmlformats.org/officeDocument/2006/relationships/hyperlink" Target="https://natalie.tf/wp-content/uploads/2023/10/DLV3_Icon_WP_%22&amp;&amp;%22_01.png" TargetMode="External"/><Relationship Id="rId161" Type="http://schemas.openxmlformats.org/officeDocument/2006/relationships/hyperlink" Target="https://natalie.tf/wp-content/uploads/2023/10/DLV3_Icon_WP_%22&amp;&amp;%22_01.png" TargetMode="External"/><Relationship Id="rId182" Type="http://schemas.openxmlformats.org/officeDocument/2006/relationships/hyperlink" Target="https://natalie.tf/wp-content/uploads/2023/10/DLV3_Icon_WP_%22&amp;&amp;%22_01.png" TargetMode="External"/><Relationship Id="rId6" Type="http://schemas.openxmlformats.org/officeDocument/2006/relationships/hyperlink" Target="https://natalie.tf/wp-content/uploads/2023/10/DLV3_Icon_WP_%22&amp;&amp;%22_01.png" TargetMode="External"/><Relationship Id="rId23" Type="http://schemas.openxmlformats.org/officeDocument/2006/relationships/hyperlink" Target="https://natalie.tf/wp-content/uploads/2023/10/DLV3_Icon_WP_%22&amp;&amp;%22_01.png" TargetMode="External"/><Relationship Id="rId119" Type="http://schemas.openxmlformats.org/officeDocument/2006/relationships/hyperlink" Target="https://natalie.tf/wp-content/uploads/2023/10/DLV3_Icon_WP_%22&amp;&amp;%22_01.png" TargetMode="External"/><Relationship Id="rId44" Type="http://schemas.openxmlformats.org/officeDocument/2006/relationships/hyperlink" Target="https://natalie.tf/wp-content/uploads/2023/10/DLV3_Icon_WP_%22&amp;&amp;%22_01.png" TargetMode="External"/><Relationship Id="rId65" Type="http://schemas.openxmlformats.org/officeDocument/2006/relationships/hyperlink" Target="https://natalie.tf/wp-content/uploads/2023/10/DLV3_Icon_WP_%22&amp;&amp;%22_01.png" TargetMode="External"/><Relationship Id="rId86" Type="http://schemas.openxmlformats.org/officeDocument/2006/relationships/hyperlink" Target="https://natalie.tf/wp-content/uploads/2023/10/DLV3_Icon_WP_%22&amp;&amp;%22_01.png" TargetMode="External"/><Relationship Id="rId130" Type="http://schemas.openxmlformats.org/officeDocument/2006/relationships/hyperlink" Target="https://natalie.tf/wp-content/uploads/2023/10/DLV3_Icon_WP_%22&amp;&amp;%22_01.png" TargetMode="External"/><Relationship Id="rId151" Type="http://schemas.openxmlformats.org/officeDocument/2006/relationships/hyperlink" Target="https://natalie.tf/wp-content/uploads/2023/10/DLV3_Icon_WP_%22&amp;&amp;%22_01.png" TargetMode="External"/><Relationship Id="rId172" Type="http://schemas.openxmlformats.org/officeDocument/2006/relationships/hyperlink" Target="https://natalie.tf/wp-content/uploads/2023/10/DLV3_Icon_WP_%22&amp;&amp;%22_01.png" TargetMode="External"/><Relationship Id="rId13" Type="http://schemas.openxmlformats.org/officeDocument/2006/relationships/hyperlink" Target="https://natalie.tf/wp-content/uploads/2023/10/DLV3_Icon_WP_%22&amp;&amp;%22_01.png" TargetMode="External"/><Relationship Id="rId18" Type="http://schemas.openxmlformats.org/officeDocument/2006/relationships/hyperlink" Target="https://natalie.tf/wp-content/uploads/2023/10/DLV3_Icon_WP_%22&amp;&amp;%22_01.png" TargetMode="External"/><Relationship Id="rId39" Type="http://schemas.openxmlformats.org/officeDocument/2006/relationships/hyperlink" Target="https://natalie.tf/wp-content/uploads/2023/10/DLV3_Icon_WP_%22&amp;&amp;%22_01.png" TargetMode="External"/><Relationship Id="rId109" Type="http://schemas.openxmlformats.org/officeDocument/2006/relationships/hyperlink" Target="https://natalie.tf/wp-content/uploads/2023/10/DLV3_Icon_WP_%22&amp;&amp;%22_01.png" TargetMode="External"/><Relationship Id="rId34" Type="http://schemas.openxmlformats.org/officeDocument/2006/relationships/hyperlink" Target="https://natalie.tf/wp-content/uploads/2023/10/DLV3_Icon_WP_%22&amp;&amp;%22_01.png" TargetMode="External"/><Relationship Id="rId50" Type="http://schemas.openxmlformats.org/officeDocument/2006/relationships/hyperlink" Target="https://natalie.tf/wp-content/uploads/2023/10/DLV3_Icon_WP_%22&amp;&amp;%22_01.png" TargetMode="External"/><Relationship Id="rId55" Type="http://schemas.openxmlformats.org/officeDocument/2006/relationships/hyperlink" Target="https://natalie.tf/wp-content/uploads/2023/10/DLV3_Icon_WP_%22&amp;&amp;%22_01.png" TargetMode="External"/><Relationship Id="rId76" Type="http://schemas.openxmlformats.org/officeDocument/2006/relationships/hyperlink" Target="https://natalie.tf/wp-content/uploads/2023/10/DLV3_Icon_WP_%22&amp;&amp;%22_01.png" TargetMode="External"/><Relationship Id="rId97" Type="http://schemas.openxmlformats.org/officeDocument/2006/relationships/hyperlink" Target="https://natalie.tf/wp-content/uploads/2023/10/DLV3_Icon_WP_%22&amp;&amp;%22_01.png" TargetMode="External"/><Relationship Id="rId104" Type="http://schemas.openxmlformats.org/officeDocument/2006/relationships/hyperlink" Target="https://natalie.tf/wp-content/uploads/2023/10/DLV3_Icon_WP_%22&amp;&amp;%22_01.png" TargetMode="External"/><Relationship Id="rId120" Type="http://schemas.openxmlformats.org/officeDocument/2006/relationships/hyperlink" Target="https://natalie.tf/wp-content/uploads/2023/10/DLV3_Icon_WP_%22&amp;&amp;%22_01.png" TargetMode="External"/><Relationship Id="rId125" Type="http://schemas.openxmlformats.org/officeDocument/2006/relationships/hyperlink" Target="https://natalie.tf/wp-content/uploads/2023/10/DLV3_Icon_WP_%22&amp;&amp;%22_01.png" TargetMode="External"/><Relationship Id="rId141" Type="http://schemas.openxmlformats.org/officeDocument/2006/relationships/hyperlink" Target="https://natalie.tf/wp-content/uploads/2023/10/DLV3_Icon_WP_%22&amp;&amp;%22_01.png" TargetMode="External"/><Relationship Id="rId146" Type="http://schemas.openxmlformats.org/officeDocument/2006/relationships/hyperlink" Target="https://natalie.tf/wp-content/uploads/2023/10/DLV3_Icon_WP_%22&amp;&amp;%22_01.png" TargetMode="External"/><Relationship Id="rId167" Type="http://schemas.openxmlformats.org/officeDocument/2006/relationships/hyperlink" Target="https://natalie.tf/wp-content/uploads/2023/10/DLV3_Icon_WP_%22&amp;&amp;%22_01.png" TargetMode="External"/><Relationship Id="rId188" Type="http://schemas.openxmlformats.org/officeDocument/2006/relationships/printerSettings" Target="../printerSettings/printerSettings24.bin"/><Relationship Id="rId7" Type="http://schemas.openxmlformats.org/officeDocument/2006/relationships/hyperlink" Target="https://natalie.tf/wp-content/uploads/2023/10/DLV3_Icon_WP_%22&amp;&amp;%22_01.png" TargetMode="External"/><Relationship Id="rId71" Type="http://schemas.openxmlformats.org/officeDocument/2006/relationships/hyperlink" Target="https://natalie.tf/wp-content/uploads/2023/10/DLV3_Icon_WP_%22&amp;&amp;%22_01.png" TargetMode="External"/><Relationship Id="rId92" Type="http://schemas.openxmlformats.org/officeDocument/2006/relationships/hyperlink" Target="https://natalie.tf/wp-content/uploads/2023/10/DLV3_Icon_WP_%22&amp;&amp;%22_01.png" TargetMode="External"/><Relationship Id="rId162" Type="http://schemas.openxmlformats.org/officeDocument/2006/relationships/hyperlink" Target="https://natalie.tf/wp-content/uploads/2023/10/DLV3_Icon_WP_%22&amp;&amp;%22_01.png" TargetMode="External"/><Relationship Id="rId183" Type="http://schemas.openxmlformats.org/officeDocument/2006/relationships/hyperlink" Target="https://natalie.tf/wp-content/uploads/2023/10/DLV3_Icon_WP_%22&amp;&amp;%22_01.png" TargetMode="External"/><Relationship Id="rId2" Type="http://schemas.openxmlformats.org/officeDocument/2006/relationships/hyperlink" Target="https://natalie.tf/wp-content/uploads/2023/10/DLV3_Icon_WP_%22&amp;&amp;%22_01.png" TargetMode="External"/><Relationship Id="rId29" Type="http://schemas.openxmlformats.org/officeDocument/2006/relationships/hyperlink" Target="https://natalie.tf/wp-content/uploads/2023/10/DLV3_Icon_WP_%22&amp;&amp;%22_01.png" TargetMode="External"/><Relationship Id="rId24" Type="http://schemas.openxmlformats.org/officeDocument/2006/relationships/hyperlink" Target="https://natalie.tf/wp-content/uploads/2023/10/DLV3_Icon_WP_%22&amp;&amp;%22_01.png" TargetMode="External"/><Relationship Id="rId40" Type="http://schemas.openxmlformats.org/officeDocument/2006/relationships/hyperlink" Target="https://natalie.tf/wp-content/uploads/2023/10/DLV3_Icon_WP_%22&amp;&amp;%22_01.png" TargetMode="External"/><Relationship Id="rId45" Type="http://schemas.openxmlformats.org/officeDocument/2006/relationships/hyperlink" Target="https://natalie.tf/wp-content/uploads/2023/10/DLV3_Icon_WP_%22&amp;&amp;%22_01.png" TargetMode="External"/><Relationship Id="rId66" Type="http://schemas.openxmlformats.org/officeDocument/2006/relationships/hyperlink" Target="https://natalie.tf/wp-content/uploads/2023/10/DLV3_Icon_WP_%22&amp;&amp;%22_01.png" TargetMode="External"/><Relationship Id="rId87" Type="http://schemas.openxmlformats.org/officeDocument/2006/relationships/hyperlink" Target="https://natalie.tf/wp-content/uploads/2023/10/DLV3_Icon_WP_%22&amp;&amp;%22_01.png" TargetMode="External"/><Relationship Id="rId110" Type="http://schemas.openxmlformats.org/officeDocument/2006/relationships/hyperlink" Target="https://natalie.tf/wp-content/uploads/2023/10/DLV3_Icon_WP_%22&amp;&amp;%22_01.png" TargetMode="External"/><Relationship Id="rId115" Type="http://schemas.openxmlformats.org/officeDocument/2006/relationships/hyperlink" Target="https://natalie.tf/wp-content/uploads/2023/10/DLV3_Icon_WP_%22&amp;&amp;%22_01.png" TargetMode="External"/><Relationship Id="rId131" Type="http://schemas.openxmlformats.org/officeDocument/2006/relationships/hyperlink" Target="https://natalie.tf/wp-content/uploads/2023/10/DLV3_Icon_WP_%22&amp;&amp;%22_01.png" TargetMode="External"/><Relationship Id="rId136" Type="http://schemas.openxmlformats.org/officeDocument/2006/relationships/hyperlink" Target="https://natalie.tf/wp-content/uploads/2023/10/DLV3_Icon_WP_%22&amp;&amp;%22_01.png" TargetMode="External"/><Relationship Id="rId157" Type="http://schemas.openxmlformats.org/officeDocument/2006/relationships/hyperlink" Target="https://natalie.tf/wp-content/uploads/2023/10/DLV3_Icon_WP_%22&amp;&amp;%22_01.png" TargetMode="External"/><Relationship Id="rId178" Type="http://schemas.openxmlformats.org/officeDocument/2006/relationships/hyperlink" Target="https://natalie.tf/wp-content/uploads/2023/10/DLV3_Icon_WP_%22&amp;&amp;%22_01.png" TargetMode="External"/><Relationship Id="rId61" Type="http://schemas.openxmlformats.org/officeDocument/2006/relationships/hyperlink" Target="https://natalie.tf/wp-content/uploads/2023/10/DLV3_Icon_WP_%22&amp;&amp;%22_01.png" TargetMode="External"/><Relationship Id="rId82" Type="http://schemas.openxmlformats.org/officeDocument/2006/relationships/hyperlink" Target="https://natalie.tf/wp-content/uploads/2023/10/DLV3_Icon_WP_%22&amp;&amp;%22_01.png" TargetMode="External"/><Relationship Id="rId152" Type="http://schemas.openxmlformats.org/officeDocument/2006/relationships/hyperlink" Target="https://natalie.tf/wp-content/uploads/2023/10/DLV3_Icon_WP_%22&amp;&amp;%22_01.png" TargetMode="External"/><Relationship Id="rId173" Type="http://schemas.openxmlformats.org/officeDocument/2006/relationships/hyperlink" Target="https://natalie.tf/wp-content/uploads/2023/10/DLV3_Icon_WP_%22&amp;&amp;%22_01.png" TargetMode="External"/><Relationship Id="rId19" Type="http://schemas.openxmlformats.org/officeDocument/2006/relationships/hyperlink" Target="https://natalie.tf/wp-content/uploads/2023/10/DLV3_Icon_WP_%22&amp;&amp;%22_01.png" TargetMode="External"/><Relationship Id="rId14" Type="http://schemas.openxmlformats.org/officeDocument/2006/relationships/hyperlink" Target="https://natalie.tf/wp-content/uploads/2023/10/DLV3_Icon_WP_%22&amp;&amp;%22_01.png" TargetMode="External"/><Relationship Id="rId30" Type="http://schemas.openxmlformats.org/officeDocument/2006/relationships/hyperlink" Target="https://natalie.tf/wp-content/uploads/2023/10/DLV3_Icon_WP_%22&amp;&amp;%22_01.png" TargetMode="External"/><Relationship Id="rId35" Type="http://schemas.openxmlformats.org/officeDocument/2006/relationships/hyperlink" Target="https://natalie.tf/wp-content/uploads/2023/10/DLV3_Icon_WP_%22&amp;&amp;%22_01.png" TargetMode="External"/><Relationship Id="rId56" Type="http://schemas.openxmlformats.org/officeDocument/2006/relationships/hyperlink" Target="https://natalie.tf/wp-content/uploads/2023/10/DLV3_Icon_WP_%22&amp;&amp;%22_01.png" TargetMode="External"/><Relationship Id="rId77" Type="http://schemas.openxmlformats.org/officeDocument/2006/relationships/hyperlink" Target="https://natalie.tf/wp-content/uploads/2023/10/DLV3_Icon_WP_%22&amp;&amp;%22_01.png" TargetMode="External"/><Relationship Id="rId100" Type="http://schemas.openxmlformats.org/officeDocument/2006/relationships/hyperlink" Target="https://natalie.tf/wp-content/uploads/2023/10/DLV3_Icon_WP_%22&amp;&amp;%22_01.png" TargetMode="External"/><Relationship Id="rId105" Type="http://schemas.openxmlformats.org/officeDocument/2006/relationships/hyperlink" Target="https://natalie.tf/wp-content/uploads/2023/10/DLV3_Icon_WP_%22&amp;&amp;%22_01.png" TargetMode="External"/><Relationship Id="rId126" Type="http://schemas.openxmlformats.org/officeDocument/2006/relationships/hyperlink" Target="https://natalie.tf/wp-content/uploads/2023/10/DLV3_Icon_WP_%22&amp;&amp;%22_01.png" TargetMode="External"/><Relationship Id="rId147" Type="http://schemas.openxmlformats.org/officeDocument/2006/relationships/hyperlink" Target="https://natalie.tf/wp-content/uploads/2023/10/DLV3_Icon_WP_%22&amp;&amp;%22_01.png" TargetMode="External"/><Relationship Id="rId168" Type="http://schemas.openxmlformats.org/officeDocument/2006/relationships/hyperlink" Target="https://natalie.tf/wp-content/uploads/2023/10/DLV3_Icon_WP_%22&amp;&amp;%22_01.png" TargetMode="External"/><Relationship Id="rId8" Type="http://schemas.openxmlformats.org/officeDocument/2006/relationships/hyperlink" Target="https://natalie.tf/wp-content/uploads/2023/10/DLV3_Icon_WP_%22&amp;&amp;%22_01.png" TargetMode="External"/><Relationship Id="rId51" Type="http://schemas.openxmlformats.org/officeDocument/2006/relationships/hyperlink" Target="https://natalie.tf/wp-content/uploads/2023/10/DLV3_Icon_WP_%22&amp;&amp;%22_01.png" TargetMode="External"/><Relationship Id="rId72" Type="http://schemas.openxmlformats.org/officeDocument/2006/relationships/hyperlink" Target="https://natalie.tf/wp-content/uploads/2023/10/DLV3_Icon_WP_%22&amp;&amp;%22_01.png" TargetMode="External"/><Relationship Id="rId93" Type="http://schemas.openxmlformats.org/officeDocument/2006/relationships/hyperlink" Target="https://natalie.tf/wp-content/uploads/2023/10/DLV3_Icon_WP_%22&amp;&amp;%22_01.png" TargetMode="External"/><Relationship Id="rId98" Type="http://schemas.openxmlformats.org/officeDocument/2006/relationships/hyperlink" Target="https://natalie.tf/wp-content/uploads/2023/10/DLV3_Icon_WP_%22&amp;&amp;%22_01.png" TargetMode="External"/><Relationship Id="rId121" Type="http://schemas.openxmlformats.org/officeDocument/2006/relationships/hyperlink" Target="https://natalie.tf/wp-content/uploads/2023/10/DLV3_Icon_WP_%22&amp;&amp;%22_01.png" TargetMode="External"/><Relationship Id="rId142" Type="http://schemas.openxmlformats.org/officeDocument/2006/relationships/hyperlink" Target="https://natalie.tf/wp-content/uploads/2023/10/DLV3_Icon_WP_%22&amp;&amp;%22_01.png" TargetMode="External"/><Relationship Id="rId163" Type="http://schemas.openxmlformats.org/officeDocument/2006/relationships/hyperlink" Target="https://natalie.tf/wp-content/uploads/2023/10/DLV3_Icon_WP_%22&amp;&amp;%22_01.png" TargetMode="External"/><Relationship Id="rId184" Type="http://schemas.openxmlformats.org/officeDocument/2006/relationships/hyperlink" Target="https://natalie.tf/wp-content/uploads/2023/10/DLV3_Icon_WP_%22&amp;&amp;%22_01.png" TargetMode="External"/><Relationship Id="rId3" Type="http://schemas.openxmlformats.org/officeDocument/2006/relationships/hyperlink" Target="https://natalie.tf/wp-content/uploads/2023/10/DLV3_Icon_WP_%22&amp;&amp;%22_01.png" TargetMode="External"/><Relationship Id="rId25" Type="http://schemas.openxmlformats.org/officeDocument/2006/relationships/hyperlink" Target="https://natalie.tf/wp-content/uploads/2023/10/DLV3_Icon_WP_%22&amp;&amp;%22_01.png" TargetMode="External"/><Relationship Id="rId46" Type="http://schemas.openxmlformats.org/officeDocument/2006/relationships/hyperlink" Target="https://natalie.tf/wp-content/uploads/2023/10/DLV3_Icon_WP_%22&amp;&amp;%22_01.png" TargetMode="External"/><Relationship Id="rId67" Type="http://schemas.openxmlformats.org/officeDocument/2006/relationships/hyperlink" Target="https://natalie.tf/wp-content/uploads/2023/10/DLV3_Icon_WP_%22&amp;&amp;%22_01.png" TargetMode="External"/><Relationship Id="rId116" Type="http://schemas.openxmlformats.org/officeDocument/2006/relationships/hyperlink" Target="https://natalie.tf/wp-content/uploads/2023/10/DLV3_Icon_WP_%22&amp;&amp;%22_01.png" TargetMode="External"/><Relationship Id="rId137" Type="http://schemas.openxmlformats.org/officeDocument/2006/relationships/hyperlink" Target="https://natalie.tf/wp-content/uploads/2023/10/DLV3_Icon_WP_%22&amp;&amp;%22_01.png" TargetMode="External"/><Relationship Id="rId158" Type="http://schemas.openxmlformats.org/officeDocument/2006/relationships/hyperlink" Target="https://natalie.tf/wp-content/uploads/2023/10/DLV3_Icon_WP_%22&amp;&amp;%22_01.png" TargetMode="External"/><Relationship Id="rId20" Type="http://schemas.openxmlformats.org/officeDocument/2006/relationships/hyperlink" Target="https://natalie.tf/wp-content/uploads/2023/10/DLV3_Icon_WP_%22&amp;&amp;%22_01.png" TargetMode="External"/><Relationship Id="rId41" Type="http://schemas.openxmlformats.org/officeDocument/2006/relationships/hyperlink" Target="https://natalie.tf/wp-content/uploads/2023/10/DLV3_Icon_WP_%22&amp;&amp;%22_01.png" TargetMode="External"/><Relationship Id="rId62" Type="http://schemas.openxmlformats.org/officeDocument/2006/relationships/hyperlink" Target="https://natalie.tf/wp-content/uploads/2023/10/DLV3_Icon_WP_%22&amp;&amp;%22_01.png" TargetMode="External"/><Relationship Id="rId83" Type="http://schemas.openxmlformats.org/officeDocument/2006/relationships/hyperlink" Target="https://natalie.tf/wp-content/uploads/2023/10/DLV3_Icon_WP_%22&amp;&amp;%22_01.png" TargetMode="External"/><Relationship Id="rId88" Type="http://schemas.openxmlformats.org/officeDocument/2006/relationships/hyperlink" Target="https://natalie.tf/wp-content/uploads/2023/10/DLV3_Icon_WP_%22&amp;&amp;%22_01.png" TargetMode="External"/><Relationship Id="rId111" Type="http://schemas.openxmlformats.org/officeDocument/2006/relationships/hyperlink" Target="https://natalie.tf/wp-content/uploads/2023/10/DLV3_Icon_WP_%22&amp;&amp;%22_01.png" TargetMode="External"/><Relationship Id="rId132" Type="http://schemas.openxmlformats.org/officeDocument/2006/relationships/hyperlink" Target="https://natalie.tf/wp-content/uploads/2023/10/DLV3_Icon_WP_%22&amp;&amp;%22_01.png" TargetMode="External"/><Relationship Id="rId153" Type="http://schemas.openxmlformats.org/officeDocument/2006/relationships/hyperlink" Target="https://natalie.tf/wp-content/uploads/2023/10/DLV3_Icon_WP_%22&amp;&amp;%22_01.png" TargetMode="External"/><Relationship Id="rId174" Type="http://schemas.openxmlformats.org/officeDocument/2006/relationships/hyperlink" Target="https://natalie.tf/wp-content/uploads/2023/10/DLV3_Icon_WP_%22&amp;&amp;%22_01.png" TargetMode="External"/><Relationship Id="rId179" Type="http://schemas.openxmlformats.org/officeDocument/2006/relationships/hyperlink" Target="https://natalie.tf/wp-content/uploads/2023/10/DLV3_Icon_WP_%22&amp;&amp;%22_01.png" TargetMode="External"/><Relationship Id="rId15" Type="http://schemas.openxmlformats.org/officeDocument/2006/relationships/hyperlink" Target="https://natalie.tf/wp-content/uploads/2023/10/DLV3_Icon_WP_%22&amp;&amp;%22_01.png" TargetMode="External"/><Relationship Id="rId36" Type="http://schemas.openxmlformats.org/officeDocument/2006/relationships/hyperlink" Target="https://natalie.tf/wp-content/uploads/2023/10/DLV3_Icon_WP_%22&amp;&amp;%22_01.png" TargetMode="External"/><Relationship Id="rId57" Type="http://schemas.openxmlformats.org/officeDocument/2006/relationships/hyperlink" Target="https://natalie.tf/wp-content/uploads/2023/10/DLV3_Icon_WP_%22&amp;&amp;%22_01.png" TargetMode="External"/><Relationship Id="rId106" Type="http://schemas.openxmlformats.org/officeDocument/2006/relationships/hyperlink" Target="https://natalie.tf/wp-content/uploads/2023/10/DLV3_Icon_WP_%22&amp;&amp;%22_01.png" TargetMode="External"/><Relationship Id="rId127" Type="http://schemas.openxmlformats.org/officeDocument/2006/relationships/hyperlink" Target="https://natalie.tf/wp-content/uploads/2023/10/DLV3_Icon_WP_%22&amp;&amp;%22_01.png" TargetMode="External"/><Relationship Id="rId10" Type="http://schemas.openxmlformats.org/officeDocument/2006/relationships/hyperlink" Target="https://natalie.tf/wp-content/uploads/2023/10/DLV3_Icon_WP_%22&amp;&amp;%22_01.png" TargetMode="External"/><Relationship Id="rId31" Type="http://schemas.openxmlformats.org/officeDocument/2006/relationships/hyperlink" Target="https://natalie.tf/wp-content/uploads/2023/10/DLV3_Icon_WP_%22&amp;&amp;%22_01.png" TargetMode="External"/><Relationship Id="rId52" Type="http://schemas.openxmlformats.org/officeDocument/2006/relationships/hyperlink" Target="https://natalie.tf/wp-content/uploads/2023/10/DLV3_Icon_WP_%22&amp;&amp;%22_01.png" TargetMode="External"/><Relationship Id="rId73" Type="http://schemas.openxmlformats.org/officeDocument/2006/relationships/hyperlink" Target="https://natalie.tf/wp-content/uploads/2023/10/DLV3_Icon_WP_%22&amp;&amp;%22_01.png" TargetMode="External"/><Relationship Id="rId78" Type="http://schemas.openxmlformats.org/officeDocument/2006/relationships/hyperlink" Target="https://natalie.tf/wp-content/uploads/2023/10/DLV3_Icon_WP_%22&amp;&amp;%22_01.png" TargetMode="External"/><Relationship Id="rId94" Type="http://schemas.openxmlformats.org/officeDocument/2006/relationships/hyperlink" Target="https://natalie.tf/wp-content/uploads/2023/10/DLV3_Icon_WP_%22&amp;&amp;%22_01.png" TargetMode="External"/><Relationship Id="rId99" Type="http://schemas.openxmlformats.org/officeDocument/2006/relationships/hyperlink" Target="https://natalie.tf/wp-content/uploads/2023/10/DLV3_Icon_WP_%22&amp;&amp;%22_01.png" TargetMode="External"/><Relationship Id="rId101" Type="http://schemas.openxmlformats.org/officeDocument/2006/relationships/hyperlink" Target="https://natalie.tf/wp-content/uploads/2023/10/DLV3_Icon_WP_%22&amp;&amp;%22_01.png" TargetMode="External"/><Relationship Id="rId122" Type="http://schemas.openxmlformats.org/officeDocument/2006/relationships/hyperlink" Target="https://natalie.tf/wp-content/uploads/2023/10/DLV3_Icon_WP_%22&amp;&amp;%22_01.png" TargetMode="External"/><Relationship Id="rId143" Type="http://schemas.openxmlformats.org/officeDocument/2006/relationships/hyperlink" Target="https://natalie.tf/wp-content/uploads/2023/10/DLV3_Icon_WP_%22&amp;&amp;%22_01.png" TargetMode="External"/><Relationship Id="rId148" Type="http://schemas.openxmlformats.org/officeDocument/2006/relationships/hyperlink" Target="https://natalie.tf/wp-content/uploads/2023/10/DLV3_Icon_WP_%22&amp;&amp;%22_01.png" TargetMode="External"/><Relationship Id="rId164" Type="http://schemas.openxmlformats.org/officeDocument/2006/relationships/hyperlink" Target="https://natalie.tf/wp-content/uploads/2023/10/DLV3_Icon_WP_%22&amp;&amp;%22_01.png" TargetMode="External"/><Relationship Id="rId169" Type="http://schemas.openxmlformats.org/officeDocument/2006/relationships/hyperlink" Target="https://natalie.tf/wp-content/uploads/2023/10/DLV3_Icon_WP_%22&amp;&amp;%22_01.png" TargetMode="External"/><Relationship Id="rId185" Type="http://schemas.openxmlformats.org/officeDocument/2006/relationships/hyperlink" Target="https://natalie.tf/wp-content/uploads/2023/10/DLV3_Icon_WP_%22&amp;&amp;%22_01.png" TargetMode="External"/><Relationship Id="rId4" Type="http://schemas.openxmlformats.org/officeDocument/2006/relationships/hyperlink" Target="https://natalie.tf/wp-content/uploads/2023/10/DLV3_Icon_WP_%22&amp;&amp;%22_01.png" TargetMode="External"/><Relationship Id="rId9" Type="http://schemas.openxmlformats.org/officeDocument/2006/relationships/hyperlink" Target="https://natalie.tf/wp-content/uploads/2023/10/DLV3_Icon_WP_%22&amp;&amp;%22_01.png" TargetMode="External"/><Relationship Id="rId180" Type="http://schemas.openxmlformats.org/officeDocument/2006/relationships/hyperlink" Target="https://natalie.tf/wp-content/uploads/2023/10/DLV3_Icon_WP_%22&amp;&amp;%22_01.png" TargetMode="External"/><Relationship Id="rId26" Type="http://schemas.openxmlformats.org/officeDocument/2006/relationships/hyperlink" Target="https://natalie.tf/wp-content/uploads/2023/10/DLV3_Icon_WP_%22&amp;&amp;%22_01.png" TargetMode="External"/><Relationship Id="rId47" Type="http://schemas.openxmlformats.org/officeDocument/2006/relationships/hyperlink" Target="https://natalie.tf/wp-content/uploads/2023/10/DLV3_Icon_WP_%22&amp;&amp;%22_01.png" TargetMode="External"/><Relationship Id="rId68" Type="http://schemas.openxmlformats.org/officeDocument/2006/relationships/hyperlink" Target="https://natalie.tf/wp-content/uploads/2023/10/DLV3_Icon_WP_%22&amp;&amp;%22_01.png" TargetMode="External"/><Relationship Id="rId89" Type="http://schemas.openxmlformats.org/officeDocument/2006/relationships/hyperlink" Target="https://natalie.tf/wp-content/uploads/2023/10/DLV3_Icon_WP_%22&amp;&amp;%22_01.png" TargetMode="External"/><Relationship Id="rId112" Type="http://schemas.openxmlformats.org/officeDocument/2006/relationships/hyperlink" Target="https://natalie.tf/wp-content/uploads/2023/10/DLV3_Icon_WP_%22&amp;&amp;%22_01.png" TargetMode="External"/><Relationship Id="rId133" Type="http://schemas.openxmlformats.org/officeDocument/2006/relationships/hyperlink" Target="https://natalie.tf/wp-content/uploads/2023/10/DLV3_Icon_WP_%22&amp;&amp;%22_01.png" TargetMode="External"/><Relationship Id="rId154" Type="http://schemas.openxmlformats.org/officeDocument/2006/relationships/hyperlink" Target="https://natalie.tf/wp-content/uploads/2023/10/DLV3_Icon_WP_%22&amp;&amp;%22_01.png" TargetMode="External"/><Relationship Id="rId175" Type="http://schemas.openxmlformats.org/officeDocument/2006/relationships/hyperlink" Target="https://natalie.tf/wp-content/uploads/2023/10/DLV3_Icon_WP_%22&amp;&amp;%22_01.png" TargetMode="External"/><Relationship Id="rId16" Type="http://schemas.openxmlformats.org/officeDocument/2006/relationships/hyperlink" Target="https://natalie.tf/wp-content/uploads/2023/10/DLV3_Icon_WP_%22&amp;&amp;%22_01.png" TargetMode="External"/><Relationship Id="rId37" Type="http://schemas.openxmlformats.org/officeDocument/2006/relationships/hyperlink" Target="https://natalie.tf/wp-content/uploads/2023/10/DLV3_Icon_WP_%22&amp;&amp;%22_01.png" TargetMode="External"/><Relationship Id="rId58" Type="http://schemas.openxmlformats.org/officeDocument/2006/relationships/hyperlink" Target="https://natalie.tf/wp-content/uploads/2023/10/DLV3_Icon_WP_%22&amp;&amp;%22_01.png" TargetMode="External"/><Relationship Id="rId79" Type="http://schemas.openxmlformats.org/officeDocument/2006/relationships/hyperlink" Target="https://natalie.tf/wp-content/uploads/2023/10/DLV3_Icon_WP_%22&amp;&amp;%22_01.png" TargetMode="External"/><Relationship Id="rId102" Type="http://schemas.openxmlformats.org/officeDocument/2006/relationships/hyperlink" Target="https://natalie.tf/wp-content/uploads/2023/10/DLV3_Icon_WP_%22&amp;&amp;%22_01.png" TargetMode="External"/><Relationship Id="rId123" Type="http://schemas.openxmlformats.org/officeDocument/2006/relationships/hyperlink" Target="https://natalie.tf/wp-content/uploads/2023/10/DLV3_Icon_WP_%22&amp;&amp;%22_01.png" TargetMode="External"/><Relationship Id="rId144" Type="http://schemas.openxmlformats.org/officeDocument/2006/relationships/hyperlink" Target="https://natalie.tf/wp-content/uploads/2023/10/DLV3_Icon_WP_%22&amp;&amp;%22_01.png" TargetMode="External"/><Relationship Id="rId90" Type="http://schemas.openxmlformats.org/officeDocument/2006/relationships/hyperlink" Target="https://natalie.tf/wp-content/uploads/2023/10/DLV3_Icon_WP_%22&amp;&amp;%22_01.png" TargetMode="External"/><Relationship Id="rId165" Type="http://schemas.openxmlformats.org/officeDocument/2006/relationships/hyperlink" Target="https://natalie.tf/wp-content/uploads/2023/10/DLV3_Icon_WP_%22&amp;&amp;%22_01.png" TargetMode="External"/><Relationship Id="rId186" Type="http://schemas.openxmlformats.org/officeDocument/2006/relationships/hyperlink" Target="https://natalie.tf/wp-content/uploads/2023/10/DLV3_Icon_WP_%22&amp;&amp;%22_01.png" TargetMode="External"/><Relationship Id="rId27" Type="http://schemas.openxmlformats.org/officeDocument/2006/relationships/hyperlink" Target="https://natalie.tf/wp-content/uploads/2023/10/DLV3_Icon_WP_%22&amp;&amp;%22_01.png" TargetMode="External"/><Relationship Id="rId48" Type="http://schemas.openxmlformats.org/officeDocument/2006/relationships/hyperlink" Target="https://natalie.tf/wp-content/uploads/2023/10/DLV3_Icon_WP_%22&amp;&amp;%22_01.png" TargetMode="External"/><Relationship Id="rId69" Type="http://schemas.openxmlformats.org/officeDocument/2006/relationships/hyperlink" Target="https://natalie.tf/wp-content/uploads/2023/10/DLV3_Icon_WP_%22&amp;&amp;%22_01.png" TargetMode="External"/><Relationship Id="rId113" Type="http://schemas.openxmlformats.org/officeDocument/2006/relationships/hyperlink" Target="https://natalie.tf/wp-content/uploads/2023/10/DLV3_Icon_WP_%22&amp;&amp;%22_01.png" TargetMode="External"/><Relationship Id="rId134" Type="http://schemas.openxmlformats.org/officeDocument/2006/relationships/hyperlink" Target="https://natalie.tf/wp-content/uploads/2023/10/DLV3_Icon_WP_%22&amp;&amp;%22_01.png" TargetMode="External"/><Relationship Id="rId80" Type="http://schemas.openxmlformats.org/officeDocument/2006/relationships/hyperlink" Target="https://natalie.tf/wp-content/uploads/2023/10/DLV3_Icon_WP_%22&amp;&amp;%22_01.png" TargetMode="External"/><Relationship Id="rId155" Type="http://schemas.openxmlformats.org/officeDocument/2006/relationships/hyperlink" Target="https://natalie.tf/wp-content/uploads/2023/10/DLV3_Icon_WP_%22&amp;&amp;%22_01.png" TargetMode="External"/><Relationship Id="rId176" Type="http://schemas.openxmlformats.org/officeDocument/2006/relationships/hyperlink" Target="https://natalie.tf/wp-content/uploads/2023/10/DLV3_Icon_WP_%22&amp;&amp;%22_01.png" TargetMode="External"/><Relationship Id="rId17" Type="http://schemas.openxmlformats.org/officeDocument/2006/relationships/hyperlink" Target="https://natalie.tf/wp-content/uploads/2023/10/DLV3_Icon_WP_%22&amp;&amp;%22_01.png" TargetMode="External"/><Relationship Id="rId38" Type="http://schemas.openxmlformats.org/officeDocument/2006/relationships/hyperlink" Target="https://natalie.tf/wp-content/uploads/2023/10/DLV3_Icon_WP_%22&amp;&amp;%22_01.png" TargetMode="External"/><Relationship Id="rId59" Type="http://schemas.openxmlformats.org/officeDocument/2006/relationships/hyperlink" Target="https://natalie.tf/wp-content/uploads/2023/10/DLV3_Icon_WP_%22&amp;&amp;%22_01.png" TargetMode="External"/><Relationship Id="rId103" Type="http://schemas.openxmlformats.org/officeDocument/2006/relationships/hyperlink" Target="https://natalie.tf/wp-content/uploads/2023/10/DLV3_Icon_WP_%22&amp;&amp;%22_01.png" TargetMode="External"/><Relationship Id="rId124" Type="http://schemas.openxmlformats.org/officeDocument/2006/relationships/hyperlink" Target="https://natalie.tf/wp-content/uploads/2023/10/DLV3_Icon_WP_%22&amp;&amp;%22_01.png" TargetMode="External"/><Relationship Id="rId70" Type="http://schemas.openxmlformats.org/officeDocument/2006/relationships/hyperlink" Target="https://natalie.tf/wp-content/uploads/2023/10/DLV3_Icon_WP_%22&amp;&amp;%22_01.png" TargetMode="External"/><Relationship Id="rId91" Type="http://schemas.openxmlformats.org/officeDocument/2006/relationships/hyperlink" Target="https://natalie.tf/wp-content/uploads/2023/10/DLV3_Icon_WP_%22&amp;&amp;%22_01.png" TargetMode="External"/><Relationship Id="rId145" Type="http://schemas.openxmlformats.org/officeDocument/2006/relationships/hyperlink" Target="https://natalie.tf/wp-content/uploads/2023/10/DLV3_Icon_WP_%22&amp;&amp;%22_01.png" TargetMode="External"/><Relationship Id="rId166" Type="http://schemas.openxmlformats.org/officeDocument/2006/relationships/hyperlink" Target="https://natalie.tf/wp-content/uploads/2023/10/DLV3_Icon_WP_%22&amp;&amp;%22_01.png" TargetMode="External"/><Relationship Id="rId187" Type="http://schemas.openxmlformats.org/officeDocument/2006/relationships/hyperlink" Target="https://natalie.tf/wp-content/uploads/2023/10/DLV3_Icon_WP_%22&amp;&amp;%22_01.png" TargetMode="External"/><Relationship Id="rId1" Type="http://schemas.openxmlformats.org/officeDocument/2006/relationships/hyperlink" Target="https://natalie.tf/wp-content/uploads/2023/10/DLV3_Icon_WP_%22&amp;&amp;%22_01.png" TargetMode="External"/><Relationship Id="rId28" Type="http://schemas.openxmlformats.org/officeDocument/2006/relationships/hyperlink" Target="https://natalie.tf/wp-content/uploads/2023/10/DLV3_Icon_WP_%22&amp;&amp;%22_01.png" TargetMode="External"/><Relationship Id="rId49" Type="http://schemas.openxmlformats.org/officeDocument/2006/relationships/hyperlink" Target="https://natalie.tf/wp-content/uploads/2023/10/DLV3_Icon_WP_%22&amp;&amp;%22_01.png" TargetMode="External"/><Relationship Id="rId114" Type="http://schemas.openxmlformats.org/officeDocument/2006/relationships/hyperlink" Target="https://natalie.tf/wp-content/uploads/2023/10/DLV3_Icon_WP_%22&amp;&amp;%22_01.png" TargetMode="External"/><Relationship Id="rId60" Type="http://schemas.openxmlformats.org/officeDocument/2006/relationships/hyperlink" Target="https://natalie.tf/wp-content/uploads/2023/10/DLV3_Icon_WP_%22&amp;&amp;%22_01.png" TargetMode="External"/><Relationship Id="rId81" Type="http://schemas.openxmlformats.org/officeDocument/2006/relationships/hyperlink" Target="https://natalie.tf/wp-content/uploads/2023/10/DLV3_Icon_WP_%22&amp;&amp;%22_01.png" TargetMode="External"/><Relationship Id="rId135" Type="http://schemas.openxmlformats.org/officeDocument/2006/relationships/hyperlink" Target="https://natalie.tf/wp-content/uploads/2023/10/DLV3_Icon_WP_%22&amp;&amp;%22_01.png" TargetMode="External"/><Relationship Id="rId156" Type="http://schemas.openxmlformats.org/officeDocument/2006/relationships/hyperlink" Target="https://natalie.tf/wp-content/uploads/2023/10/DLV3_Icon_WP_%22&amp;&amp;%22_01.png" TargetMode="External"/><Relationship Id="rId177" Type="http://schemas.openxmlformats.org/officeDocument/2006/relationships/hyperlink" Target="https://natalie.tf/wp-content/uploads/2023/10/DLV3_Icon_WP_%22&amp;&amp;%22_01.png" TargetMode="Externa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117" Type="http://schemas.openxmlformats.org/officeDocument/2006/relationships/hyperlink" Target="https://dragalialost.wiki/w/King_of_the_Old_Marsh" TargetMode="External"/><Relationship Id="rId21" Type="http://schemas.openxmlformats.org/officeDocument/2006/relationships/hyperlink" Target="https://dragalialost.wiki/w/The_Sylvan_Archer" TargetMode="External"/><Relationship Id="rId63" Type="http://schemas.openxmlformats.org/officeDocument/2006/relationships/hyperlink" Target="https://dragalialost.wiki/w/Resuming_the_Climb" TargetMode="External"/><Relationship Id="rId159" Type="http://schemas.openxmlformats.org/officeDocument/2006/relationships/hyperlink" Target="https://dragalialost.wiki/w/Schemes_Exposed" TargetMode="External"/><Relationship Id="rId324" Type="http://schemas.openxmlformats.org/officeDocument/2006/relationships/hyperlink" Target="https://dragalialost.wiki/w/The_Enchanting_Forest" TargetMode="External"/><Relationship Id="rId366" Type="http://schemas.openxmlformats.org/officeDocument/2006/relationships/hyperlink" Target="https://dragalialost.wiki/w/Rejecting_the_World" TargetMode="External"/><Relationship Id="rId170" Type="http://schemas.openxmlformats.org/officeDocument/2006/relationships/hyperlink" Target="https://dragalialost.wiki/w/Pervasive_Resentment" TargetMode="External"/><Relationship Id="rId226" Type="http://schemas.openxmlformats.org/officeDocument/2006/relationships/hyperlink" Target="https://dragalialost.wiki/w/To_Be_Needed" TargetMode="External"/><Relationship Id="rId433" Type="http://schemas.openxmlformats.org/officeDocument/2006/relationships/hyperlink" Target="https://dragalialost.wiki/w/Despair" TargetMode="External"/><Relationship Id="rId268" Type="http://schemas.openxmlformats.org/officeDocument/2006/relationships/hyperlink" Target="https://dragalialost.wiki/w/The_Warrior's_Challenge" TargetMode="External"/><Relationship Id="rId475" Type="http://schemas.openxmlformats.org/officeDocument/2006/relationships/hyperlink" Target="https://dragalialost.wiki/w/The_Otherworld_Shadowwyrm" TargetMode="External"/><Relationship Id="rId32" Type="http://schemas.openxmlformats.org/officeDocument/2006/relationships/hyperlink" Target="https://dragalialost.wiki/w/The_Fiendchiefs" TargetMode="External"/><Relationship Id="rId74" Type="http://schemas.openxmlformats.org/officeDocument/2006/relationships/hyperlink" Target="https://dragalialost.wiki/w/Invitation_to_Darkness" TargetMode="External"/><Relationship Id="rId128" Type="http://schemas.openxmlformats.org/officeDocument/2006/relationships/hyperlink" Target="https://dragalialost.wiki/w/A_Bond_to_Unite_the_Land" TargetMode="External"/><Relationship Id="rId335" Type="http://schemas.openxmlformats.org/officeDocument/2006/relationships/hyperlink" Target="https://dragalialost.wiki/w/Guided_by_a_Voice" TargetMode="External"/><Relationship Id="rId377" Type="http://schemas.openxmlformats.org/officeDocument/2006/relationships/hyperlink" Target="https://dragalialost.wiki/w/Toward_the_Clouds" TargetMode="External"/><Relationship Id="rId500" Type="http://schemas.openxmlformats.org/officeDocument/2006/relationships/hyperlink" Target="https://dragalialost.wiki/w/From_Father_to_Child" TargetMode="External"/><Relationship Id="rId5" Type="http://schemas.openxmlformats.org/officeDocument/2006/relationships/hyperlink" Target="https://dragalialost.wiki/w/The_Veteran_Mercenary" TargetMode="External"/><Relationship Id="rId181" Type="http://schemas.openxmlformats.org/officeDocument/2006/relationships/hyperlink" Target="https://dragalialost.wiki/w/An_Innocent_Android" TargetMode="External"/><Relationship Id="rId237" Type="http://schemas.openxmlformats.org/officeDocument/2006/relationships/hyperlink" Target="https://dragalialost.wiki/w/Praying_for_a_Path" TargetMode="External"/><Relationship Id="rId402" Type="http://schemas.openxmlformats.org/officeDocument/2006/relationships/hyperlink" Target="https://dragalialost.wiki/w/Father_and_Child" TargetMode="External"/><Relationship Id="rId279" Type="http://schemas.openxmlformats.org/officeDocument/2006/relationships/hyperlink" Target="https://dragalialost.wiki/w/Toyed_with_by_the_Twins" TargetMode="External"/><Relationship Id="rId444" Type="http://schemas.openxmlformats.org/officeDocument/2006/relationships/hyperlink" Target="https://dragalialost.wiki/w/The_Soul's_Cry" TargetMode="External"/><Relationship Id="rId486" Type="http://schemas.openxmlformats.org/officeDocument/2006/relationships/hyperlink" Target="https://dragalialost.wiki/w/The_Consummate_Creator" TargetMode="External"/><Relationship Id="rId43" Type="http://schemas.openxmlformats.org/officeDocument/2006/relationships/hyperlink" Target="https://dragalialost.wiki/w/A_Sensitive_Soul" TargetMode="External"/><Relationship Id="rId139" Type="http://schemas.openxmlformats.org/officeDocument/2006/relationships/hyperlink" Target="https://dragalialost.wiki/w/The_Pyroclastic_Path" TargetMode="External"/><Relationship Id="rId290" Type="http://schemas.openxmlformats.org/officeDocument/2006/relationships/hyperlink" Target="https://dragalialost.wiki/w/Setting_Off" TargetMode="External"/><Relationship Id="rId304" Type="http://schemas.openxmlformats.org/officeDocument/2006/relationships/hyperlink" Target="https://dragalialost.wiki/w/The_Northern_Believers" TargetMode="External"/><Relationship Id="rId346" Type="http://schemas.openxmlformats.org/officeDocument/2006/relationships/hyperlink" Target="https://dragalialost.wiki/w/Wings_of_Obsession" TargetMode="External"/><Relationship Id="rId388" Type="http://schemas.openxmlformats.org/officeDocument/2006/relationships/hyperlink" Target="https://dragalialost.wiki/w/Rebellion_of_the_Powerless" TargetMode="External"/><Relationship Id="rId511" Type="http://schemas.openxmlformats.org/officeDocument/2006/relationships/hyperlink" Target="https://dragalialost.wiki/w/Along_the_Lakeside" TargetMode="External"/><Relationship Id="rId85" Type="http://schemas.openxmlformats.org/officeDocument/2006/relationships/hyperlink" Target="https://dragalialost.wiki/w/Dark_Terminus" TargetMode="External"/><Relationship Id="rId150" Type="http://schemas.openxmlformats.org/officeDocument/2006/relationships/hyperlink" Target="https://dragalialost.wiki/w/Palace_in_the_Sands" TargetMode="External"/><Relationship Id="rId192" Type="http://schemas.openxmlformats.org/officeDocument/2006/relationships/hyperlink" Target="https://dragalialost.wiki/w/Following_Laxi" TargetMode="External"/><Relationship Id="rId206" Type="http://schemas.openxmlformats.org/officeDocument/2006/relationships/hyperlink" Target="https://dragalialost.wiki/w/Royal_Authority" TargetMode="External"/><Relationship Id="rId413" Type="http://schemas.openxmlformats.org/officeDocument/2006/relationships/hyperlink" Target="https://dragalialost.wiki/w/Manipulated_Auspex" TargetMode="External"/><Relationship Id="rId248" Type="http://schemas.openxmlformats.org/officeDocument/2006/relationships/hyperlink" Target="https://dragalialost.wiki/w/Laxi's_Plea" TargetMode="External"/><Relationship Id="rId455" Type="http://schemas.openxmlformats.org/officeDocument/2006/relationships/hyperlink" Target="https://dragalialost.wiki/w/The_Five_Auspexes" TargetMode="External"/><Relationship Id="rId497" Type="http://schemas.openxmlformats.org/officeDocument/2006/relationships/hyperlink" Target="https://dragalialost.wiki/w/To_Carry_the_Flame" TargetMode="External"/><Relationship Id="rId12" Type="http://schemas.openxmlformats.org/officeDocument/2006/relationships/hyperlink" Target="https://dragalialost.wiki/w/The_Lone_Paladyn" TargetMode="External"/><Relationship Id="rId108" Type="http://schemas.openxmlformats.org/officeDocument/2006/relationships/hyperlink" Target="https://dragalialost.wiki/w/Across_the_Moor" TargetMode="External"/><Relationship Id="rId315" Type="http://schemas.openxmlformats.org/officeDocument/2006/relationships/hyperlink" Target="https://dragalialost.wiki/w/Changing_the_System" TargetMode="External"/><Relationship Id="rId357" Type="http://schemas.openxmlformats.org/officeDocument/2006/relationships/hyperlink" Target="https://dragalialost.wiki/w/To_the_Former_King's_Mansion" TargetMode="External"/><Relationship Id="rId54" Type="http://schemas.openxmlformats.org/officeDocument/2006/relationships/hyperlink" Target="https://dragalialost.wiki/w/Wyrmseeker" TargetMode="External"/><Relationship Id="rId96" Type="http://schemas.openxmlformats.org/officeDocument/2006/relationships/hyperlink" Target="https://dragalialost.wiki/w/The_Prince_and_Eye" TargetMode="External"/><Relationship Id="rId161" Type="http://schemas.openxmlformats.org/officeDocument/2006/relationships/hyperlink" Target="https://dragalialost.wiki/w/The_Princess's_Plot" TargetMode="External"/><Relationship Id="rId217" Type="http://schemas.openxmlformats.org/officeDocument/2006/relationships/hyperlink" Target="https://dragalialost.wiki/w/A_Black_Power" TargetMode="External"/><Relationship Id="rId399" Type="http://schemas.openxmlformats.org/officeDocument/2006/relationships/hyperlink" Target="https://dragalialost.wiki/w/Treetop_Showdown" TargetMode="External"/><Relationship Id="rId259" Type="http://schemas.openxmlformats.org/officeDocument/2006/relationships/hyperlink" Target="https://dragalialost.wiki/w/Precarious_Mountain_Path" TargetMode="External"/><Relationship Id="rId424" Type="http://schemas.openxmlformats.org/officeDocument/2006/relationships/hyperlink" Target="https://dragalialost.wiki/w/In_the_Ruins_of_the_City" TargetMode="External"/><Relationship Id="rId466" Type="http://schemas.openxmlformats.org/officeDocument/2006/relationships/hyperlink" Target="https://dragalialost.wiki/w/The_Emperor" TargetMode="External"/><Relationship Id="rId23" Type="http://schemas.openxmlformats.org/officeDocument/2006/relationships/hyperlink" Target="https://dragalialost.wiki/w/The_Twin_Scions" TargetMode="External"/><Relationship Id="rId119" Type="http://schemas.openxmlformats.org/officeDocument/2006/relationships/hyperlink" Target="https://dragalialost.wiki/w/Troublemaker_on_the_Far_Shore" TargetMode="External"/><Relationship Id="rId270" Type="http://schemas.openxmlformats.org/officeDocument/2006/relationships/hyperlink" Target="https://dragalialost.wiki/w/The_Fulminator's_Fury" TargetMode="External"/><Relationship Id="rId326" Type="http://schemas.openxmlformats.org/officeDocument/2006/relationships/hyperlink" Target="https://dragalialost.wiki/w/Whiteout" TargetMode="External"/><Relationship Id="rId65" Type="http://schemas.openxmlformats.org/officeDocument/2006/relationships/hyperlink" Target="https://dragalialost.wiki/w/A_Load_of_Bull" TargetMode="External"/><Relationship Id="rId130" Type="http://schemas.openxmlformats.org/officeDocument/2006/relationships/hyperlink" Target="https://dragalialost.wiki/w/The_Forsaken_Way" TargetMode="External"/><Relationship Id="rId368" Type="http://schemas.openxmlformats.org/officeDocument/2006/relationships/hyperlink" Target="https://dragalialost.wiki/w/Tree_Trouble" TargetMode="External"/><Relationship Id="rId172" Type="http://schemas.openxmlformats.org/officeDocument/2006/relationships/hyperlink" Target="https://dragalialost.wiki/w/Legendary_Resting_Place" TargetMode="External"/><Relationship Id="rId228" Type="http://schemas.openxmlformats.org/officeDocument/2006/relationships/hyperlink" Target="https://dragalialost.wiki/w/The_Sacrilegious_Saint" TargetMode="External"/><Relationship Id="rId435" Type="http://schemas.openxmlformats.org/officeDocument/2006/relationships/hyperlink" Target="https://dragalialost.wiki/w/Resignment" TargetMode="External"/><Relationship Id="rId477" Type="http://schemas.openxmlformats.org/officeDocument/2006/relationships/hyperlink" Target="https://dragalialost.wiki/w/The_Rejected_Prince" TargetMode="External"/><Relationship Id="rId281" Type="http://schemas.openxmlformats.org/officeDocument/2006/relationships/hyperlink" Target="https://dragalialost.wiki/w/The_Eldest_Royal" TargetMode="External"/><Relationship Id="rId337" Type="http://schemas.openxmlformats.org/officeDocument/2006/relationships/hyperlink" Target="https://dragalialost.wiki/w/The_Approaching_White_Wolf" TargetMode="External"/><Relationship Id="rId502" Type="http://schemas.openxmlformats.org/officeDocument/2006/relationships/hyperlink" Target="https://dragalialost.wiki/w/The_Ruined_Church" TargetMode="External"/><Relationship Id="rId34" Type="http://schemas.openxmlformats.org/officeDocument/2006/relationships/hyperlink" Target="https://dragalialost.wiki/w/New_Power" TargetMode="External"/><Relationship Id="rId76" Type="http://schemas.openxmlformats.org/officeDocument/2006/relationships/hyperlink" Target="https://dragalialost.wiki/w/The_Emperor's_Scheme" TargetMode="External"/><Relationship Id="rId141" Type="http://schemas.openxmlformats.org/officeDocument/2006/relationships/hyperlink" Target="https://dragalialost.wiki/w/The_Undead's_Approach" TargetMode="External"/><Relationship Id="rId379" Type="http://schemas.openxmlformats.org/officeDocument/2006/relationships/hyperlink" Target="https://dragalialost.wiki/w/Truth_of_the_Pact" TargetMode="External"/><Relationship Id="rId7" Type="http://schemas.openxmlformats.org/officeDocument/2006/relationships/hyperlink" Target="https://dragalialost.wiki/w/After_the_Battle" TargetMode="External"/><Relationship Id="rId183" Type="http://schemas.openxmlformats.org/officeDocument/2006/relationships/hyperlink" Target="https://dragalialost.wiki/w/Ruined_Town_Run-In" TargetMode="External"/><Relationship Id="rId239" Type="http://schemas.openxmlformats.org/officeDocument/2006/relationships/hyperlink" Target="https://dragalialost.wiki/w/The_Road_to_Victory_(Main_Campaign)" TargetMode="External"/><Relationship Id="rId390" Type="http://schemas.openxmlformats.org/officeDocument/2006/relationships/hyperlink" Target="https://dragalialost.wiki/w/The_Two_Creators" TargetMode="External"/><Relationship Id="rId404" Type="http://schemas.openxmlformats.org/officeDocument/2006/relationships/hyperlink" Target="https://dragalialost.wiki/w/The_Approaching_Battle" TargetMode="External"/><Relationship Id="rId446" Type="http://schemas.openxmlformats.org/officeDocument/2006/relationships/hyperlink" Target="https://dragalialost.wiki/w/Together" TargetMode="External"/><Relationship Id="rId250" Type="http://schemas.openxmlformats.org/officeDocument/2006/relationships/hyperlink" Target="https://dragalialost.wiki/w/Convergence" TargetMode="External"/><Relationship Id="rId292" Type="http://schemas.openxmlformats.org/officeDocument/2006/relationships/hyperlink" Target="https://dragalialost.wiki/w/A_Worthy_Partner" TargetMode="External"/><Relationship Id="rId306" Type="http://schemas.openxmlformats.org/officeDocument/2006/relationships/hyperlink" Target="https://dragalialost.wiki/w/A_Visitor_in_the_Dark" TargetMode="External"/><Relationship Id="rId488" Type="http://schemas.openxmlformats.org/officeDocument/2006/relationships/hyperlink" Target="https://dragalialost.wiki/w/Fight_for_Humanity" TargetMode="External"/><Relationship Id="rId45" Type="http://schemas.openxmlformats.org/officeDocument/2006/relationships/hyperlink" Target="https://dragalialost.wiki/w/Impending_Eruption" TargetMode="External"/><Relationship Id="rId87" Type="http://schemas.openxmlformats.org/officeDocument/2006/relationships/hyperlink" Target="https://dragalialost.wiki/w/In_Low_Spirits" TargetMode="External"/><Relationship Id="rId110" Type="http://schemas.openxmlformats.org/officeDocument/2006/relationships/hyperlink" Target="https://dragalialost.wiki/w/In_Deep_Water" TargetMode="External"/><Relationship Id="rId348" Type="http://schemas.openxmlformats.org/officeDocument/2006/relationships/hyperlink" Target="https://dragalialost.wiki/w/Beyond_the_Faerie_Town" TargetMode="External"/><Relationship Id="rId513" Type="http://schemas.openxmlformats.org/officeDocument/2006/relationships/hyperlink" Target="https://dragalialost.wiki/w/Battle_with_Valyx%27s_Soldiers" TargetMode="External"/><Relationship Id="rId152" Type="http://schemas.openxmlformats.org/officeDocument/2006/relationships/hyperlink" Target="https://dragalialost.wiki/w/In_the_Rumbling_Thunder" TargetMode="External"/><Relationship Id="rId194" Type="http://schemas.openxmlformats.org/officeDocument/2006/relationships/hyperlink" Target="https://dragalialost.wiki/w/The_Maestro's_Children" TargetMode="External"/><Relationship Id="rId208" Type="http://schemas.openxmlformats.org/officeDocument/2006/relationships/hyperlink" Target="https://dragalialost.wiki/w/Sibling_Assembly" TargetMode="External"/><Relationship Id="rId415" Type="http://schemas.openxmlformats.org/officeDocument/2006/relationships/hyperlink" Target="https://dragalialost.wiki/w/Treetop_Clash" TargetMode="External"/><Relationship Id="rId457" Type="http://schemas.openxmlformats.org/officeDocument/2006/relationships/hyperlink" Target="https://dragalialost.wiki/w/As_the_World_Crumbles" TargetMode="External"/><Relationship Id="rId261" Type="http://schemas.openxmlformats.org/officeDocument/2006/relationships/hyperlink" Target="https://dragalialost.wiki/w/The_Price_of_Kindness" TargetMode="External"/><Relationship Id="rId499" Type="http://schemas.openxmlformats.org/officeDocument/2006/relationships/hyperlink" Target="https://dragalialost.wiki/w/The_Fallen_Tree" TargetMode="External"/><Relationship Id="rId14" Type="http://schemas.openxmlformats.org/officeDocument/2006/relationships/hyperlink" Target="https://dragalialost.wiki/w/Scramble_in_the_Shade" TargetMode="External"/><Relationship Id="rId56" Type="http://schemas.openxmlformats.org/officeDocument/2006/relationships/hyperlink" Target="https://dragalialost.wiki/w/The_Great_Reptile_Adversary" TargetMode="External"/><Relationship Id="rId317" Type="http://schemas.openxmlformats.org/officeDocument/2006/relationships/hyperlink" Target="https://dragalialost.wiki/w/Escape_from_Grams" TargetMode="External"/><Relationship Id="rId359" Type="http://schemas.openxmlformats.org/officeDocument/2006/relationships/hyperlink" Target="https://dragalialost.wiki/w/Soul_and_Vessel" TargetMode="External"/><Relationship Id="rId98" Type="http://schemas.openxmlformats.org/officeDocument/2006/relationships/hyperlink" Target="https://dragalialost.wiki/w/Woodland_Blitz" TargetMode="External"/><Relationship Id="rId121" Type="http://schemas.openxmlformats.org/officeDocument/2006/relationships/hyperlink" Target="https://dragalialost.wiki/w/A_Watery_Grave" TargetMode="External"/><Relationship Id="rId163" Type="http://schemas.openxmlformats.org/officeDocument/2006/relationships/hyperlink" Target="https://dragalialost.wiki/w/An_Endless_Rondo" TargetMode="External"/><Relationship Id="rId219" Type="http://schemas.openxmlformats.org/officeDocument/2006/relationships/hyperlink" Target="https://dragalialost.wiki/w/Attacked_on_the_Shore" TargetMode="External"/><Relationship Id="rId370" Type="http://schemas.openxmlformats.org/officeDocument/2006/relationships/hyperlink" Target="https://dragalialost.wiki/w/The_King's_Attendant" TargetMode="External"/><Relationship Id="rId426" Type="http://schemas.openxmlformats.org/officeDocument/2006/relationships/hyperlink" Target="https://dragalialost.wiki/w/What_Family_Brings" TargetMode="External"/><Relationship Id="rId230" Type="http://schemas.openxmlformats.org/officeDocument/2006/relationships/hyperlink" Target="https://dragalialost.wiki/w/The_Ferocious_Firelord" TargetMode="External"/><Relationship Id="rId468" Type="http://schemas.openxmlformats.org/officeDocument/2006/relationships/hyperlink" Target="https://dragalialost.wiki/w/The_Other's_World" TargetMode="External"/><Relationship Id="rId25" Type="http://schemas.openxmlformats.org/officeDocument/2006/relationships/hyperlink" Target="https://dragalialost.wiki/w/The_Ravaged_Village" TargetMode="External"/><Relationship Id="rId67" Type="http://schemas.openxmlformats.org/officeDocument/2006/relationships/hyperlink" Target="https://dragalialost.wiki/w/The_Wyrm_Descends" TargetMode="External"/><Relationship Id="rId272" Type="http://schemas.openxmlformats.org/officeDocument/2006/relationships/hyperlink" Target="https://dragalialost.wiki/w/In_the_Wake_of_Defeat" TargetMode="External"/><Relationship Id="rId328" Type="http://schemas.openxmlformats.org/officeDocument/2006/relationships/hyperlink" Target="https://dragalialost.wiki/w/Deep_within_the_Heart" TargetMode="External"/><Relationship Id="rId132" Type="http://schemas.openxmlformats.org/officeDocument/2006/relationships/hyperlink" Target="https://dragalialost.wiki/w/Dancing_with_Flames" TargetMode="External"/><Relationship Id="rId174" Type="http://schemas.openxmlformats.org/officeDocument/2006/relationships/hyperlink" Target="https://dragalialost.wiki/w/A_Hero's_End" TargetMode="External"/><Relationship Id="rId381" Type="http://schemas.openxmlformats.org/officeDocument/2006/relationships/hyperlink" Target="https://dragalialost.wiki/w/The_Faerie_King" TargetMode="External"/><Relationship Id="rId241" Type="http://schemas.openxmlformats.org/officeDocument/2006/relationships/hyperlink" Target="https://dragalialost.wiki/w/The_Other's_Assassins" TargetMode="External"/><Relationship Id="rId437" Type="http://schemas.openxmlformats.org/officeDocument/2006/relationships/hyperlink" Target="https://dragalialost.wiki/w/The_Path_to_Hope" TargetMode="External"/><Relationship Id="rId479" Type="http://schemas.openxmlformats.org/officeDocument/2006/relationships/hyperlink" Target="https://dragalialost.wiki/w/The_Threat_of_Possibility" TargetMode="External"/><Relationship Id="rId36" Type="http://schemas.openxmlformats.org/officeDocument/2006/relationships/hyperlink" Target="https://dragalialost.wiki/w/Flight_through_the_Fire_Spires" TargetMode="External"/><Relationship Id="rId283" Type="http://schemas.openxmlformats.org/officeDocument/2006/relationships/hyperlink" Target="https://dragalialost.wiki/w/Wings_and_Twins" TargetMode="External"/><Relationship Id="rId339" Type="http://schemas.openxmlformats.org/officeDocument/2006/relationships/hyperlink" Target="https://dragalialost.wiki/w/To_the_Ancient_Door" TargetMode="External"/><Relationship Id="rId490" Type="http://schemas.openxmlformats.org/officeDocument/2006/relationships/hyperlink" Target="https://dragalialost.wiki/w/A_World_without_End" TargetMode="External"/><Relationship Id="rId504" Type="http://schemas.openxmlformats.org/officeDocument/2006/relationships/hyperlink" Target="https://dragalialost.wiki/w/Feast_of_the_Water_Fiends" TargetMode="External"/><Relationship Id="rId78" Type="http://schemas.openxmlformats.org/officeDocument/2006/relationships/hyperlink" Target="https://dragalialost.wiki/w/The_Shadow_Revealed" TargetMode="External"/><Relationship Id="rId101" Type="http://schemas.openxmlformats.org/officeDocument/2006/relationships/hyperlink" Target="https://dragalialost.wiki/w/The_Midnight_Raid" TargetMode="External"/><Relationship Id="rId143" Type="http://schemas.openxmlformats.org/officeDocument/2006/relationships/hyperlink" Target="https://dragalialost.wiki/w/In_the_Distant_Capital" TargetMode="External"/><Relationship Id="rId185" Type="http://schemas.openxmlformats.org/officeDocument/2006/relationships/hyperlink" Target="https://dragalialost.wiki/w/Bygone_Days" TargetMode="External"/><Relationship Id="rId350" Type="http://schemas.openxmlformats.org/officeDocument/2006/relationships/hyperlink" Target="https://dragalialost.wiki/w/Untold_Truths" TargetMode="External"/><Relationship Id="rId406" Type="http://schemas.openxmlformats.org/officeDocument/2006/relationships/hyperlink" Target="https://dragalialost.wiki/w/Flowers_in_Full_Bloom" TargetMode="External"/><Relationship Id="rId9" Type="http://schemas.openxmlformats.org/officeDocument/2006/relationships/hyperlink" Target="https://dragalialost.wiki/w/The_Shard's_Secret" TargetMode="External"/><Relationship Id="rId210" Type="http://schemas.openxmlformats.org/officeDocument/2006/relationships/hyperlink" Target="https://dragalialost.wiki/w/%3F%3F%3F_(Chapter_12)" TargetMode="External"/><Relationship Id="rId392" Type="http://schemas.openxmlformats.org/officeDocument/2006/relationships/hyperlink" Target="https://dragalialost.wiki/w/The_Holywyrm's_Apostle" TargetMode="External"/><Relationship Id="rId448" Type="http://schemas.openxmlformats.org/officeDocument/2006/relationships/hyperlink" Target="https://dragalialost.wiki/w/The_Will_for_Destruction" TargetMode="External"/><Relationship Id="rId252" Type="http://schemas.openxmlformats.org/officeDocument/2006/relationships/hyperlink" Target="https://dragalialost.wiki/w/Unrelenting" TargetMode="External"/><Relationship Id="rId294" Type="http://schemas.openxmlformats.org/officeDocument/2006/relationships/hyperlink" Target="https://dragalialost.wiki/w/The_Truth_Emerges" TargetMode="External"/><Relationship Id="rId308" Type="http://schemas.openxmlformats.org/officeDocument/2006/relationships/hyperlink" Target="https://dragalialost.wiki/w/Guardians_of_the_Faith" TargetMode="External"/><Relationship Id="rId515" Type="http://schemas.openxmlformats.org/officeDocument/2006/relationships/hyperlink" Target="https://dragalialost.wiki/w/An_Unexpected_Gift" TargetMode="External"/><Relationship Id="rId47" Type="http://schemas.openxmlformats.org/officeDocument/2006/relationships/hyperlink" Target="https://dragalialost.wiki/w/Labyrinth_of_No_Return" TargetMode="External"/><Relationship Id="rId89" Type="http://schemas.openxmlformats.org/officeDocument/2006/relationships/hyperlink" Target="https://dragalialost.wiki/w/The_Violet_Mire" TargetMode="External"/><Relationship Id="rId112" Type="http://schemas.openxmlformats.org/officeDocument/2006/relationships/hyperlink" Target="https://dragalialost.wiki/w/Garden_of_the_Hounds" TargetMode="External"/><Relationship Id="rId154" Type="http://schemas.openxmlformats.org/officeDocument/2006/relationships/hyperlink" Target="https://dragalialost.wiki/w/The_Fiends'_Feast" TargetMode="External"/><Relationship Id="rId361" Type="http://schemas.openxmlformats.org/officeDocument/2006/relationships/hyperlink" Target="https://dragalialost.wiki/w/Inherited_Will" TargetMode="External"/><Relationship Id="rId196" Type="http://schemas.openxmlformats.org/officeDocument/2006/relationships/hyperlink" Target="https://dragalialost.wiki/w/Two_Hearts" TargetMode="External"/><Relationship Id="rId417" Type="http://schemas.openxmlformats.org/officeDocument/2006/relationships/hyperlink" Target="https://dragalialost.wiki/w/Veiled_Machinations" TargetMode="External"/><Relationship Id="rId459" Type="http://schemas.openxmlformats.org/officeDocument/2006/relationships/hyperlink" Target="https://dragalialost.wiki/w/Between_Worlds" TargetMode="External"/><Relationship Id="rId16" Type="http://schemas.openxmlformats.org/officeDocument/2006/relationships/hyperlink" Target="https://dragalialost.wiki/w/Den_of_Slimes" TargetMode="External"/><Relationship Id="rId221" Type="http://schemas.openxmlformats.org/officeDocument/2006/relationships/hyperlink" Target="https://dragalialost.wiki/w/A_Lakeside_Meeting" TargetMode="External"/><Relationship Id="rId263" Type="http://schemas.openxmlformats.org/officeDocument/2006/relationships/hyperlink" Target="https://dragalialost.wiki/w/Agito_Assembly" TargetMode="External"/><Relationship Id="rId319" Type="http://schemas.openxmlformats.org/officeDocument/2006/relationships/hyperlink" Target="https://dragalialost.wiki/w/His_Fangs_Strike_Again" TargetMode="External"/><Relationship Id="rId470" Type="http://schemas.openxmlformats.org/officeDocument/2006/relationships/hyperlink" Target="https://dragalialost.wiki/w/Proof_of_the_Pact" TargetMode="External"/><Relationship Id="rId58" Type="http://schemas.openxmlformats.org/officeDocument/2006/relationships/hyperlink" Target="https://dragalialost.wiki/w/A_Faint_Presence" TargetMode="External"/><Relationship Id="rId123" Type="http://schemas.openxmlformats.org/officeDocument/2006/relationships/hyperlink" Target="https://dragalialost.wiki/w/Writhing_to_the_Occasion" TargetMode="External"/><Relationship Id="rId330" Type="http://schemas.openxmlformats.org/officeDocument/2006/relationships/hyperlink" Target="https://dragalialost.wiki/w/The_Invincible_Arm" TargetMode="External"/><Relationship Id="rId165" Type="http://schemas.openxmlformats.org/officeDocument/2006/relationships/hyperlink" Target="https://dragalialost.wiki/w/The_Miasmic_Ruins" TargetMode="External"/><Relationship Id="rId372" Type="http://schemas.openxmlformats.org/officeDocument/2006/relationships/hyperlink" Target="https://dragalialost.wiki/w/Loyal_Subjects" TargetMode="External"/><Relationship Id="rId428" Type="http://schemas.openxmlformats.org/officeDocument/2006/relationships/hyperlink" Target="https://dragalialost.wiki/w/Vessels_of_the_Mark" TargetMode="External"/><Relationship Id="rId232" Type="http://schemas.openxmlformats.org/officeDocument/2006/relationships/hyperlink" Target="https://dragalialost.wiki/w/The_Hollow_Lakelord" TargetMode="External"/><Relationship Id="rId274" Type="http://schemas.openxmlformats.org/officeDocument/2006/relationships/hyperlink" Target="https://dragalialost.wiki/w/The_Eldest_Brother's_Departure" TargetMode="External"/><Relationship Id="rId481" Type="http://schemas.openxmlformats.org/officeDocument/2006/relationships/hyperlink" Target="https://dragalialost.wiki/w/Crumbling_Worlds" TargetMode="External"/><Relationship Id="rId27" Type="http://schemas.openxmlformats.org/officeDocument/2006/relationships/hyperlink" Target="https://dragalialost.wiki/w/Flotsam_and_Jetsam" TargetMode="External"/><Relationship Id="rId69" Type="http://schemas.openxmlformats.org/officeDocument/2006/relationships/hyperlink" Target="https://dragalialost.wiki/w/A_Swinging_Mountain_Bash" TargetMode="External"/><Relationship Id="rId134" Type="http://schemas.openxmlformats.org/officeDocument/2006/relationships/hyperlink" Target="https://dragalialost.wiki/w/Danger_from_Below" TargetMode="External"/><Relationship Id="rId80" Type="http://schemas.openxmlformats.org/officeDocument/2006/relationships/hyperlink" Target="https://dragalialost.wiki/w/Forbidden_Ritual" TargetMode="External"/><Relationship Id="rId176" Type="http://schemas.openxmlformats.org/officeDocument/2006/relationships/hyperlink" Target="https://dragalialost.wiki/w/A_New_Vow" TargetMode="External"/><Relationship Id="rId341" Type="http://schemas.openxmlformats.org/officeDocument/2006/relationships/hyperlink" Target="https://dragalialost.wiki/w/Into_the_Future" TargetMode="External"/><Relationship Id="rId383" Type="http://schemas.openxmlformats.org/officeDocument/2006/relationships/hyperlink" Target="https://dragalialost.wiki/w/No_Retreat" TargetMode="External"/><Relationship Id="rId439" Type="http://schemas.openxmlformats.org/officeDocument/2006/relationships/hyperlink" Target="https://dragalialost.wiki/w/Buried_Sins" TargetMode="External"/><Relationship Id="rId201" Type="http://schemas.openxmlformats.org/officeDocument/2006/relationships/hyperlink" Target="https://dragalialost.wiki/w/Rabid_Resolve" TargetMode="External"/><Relationship Id="rId243" Type="http://schemas.openxmlformats.org/officeDocument/2006/relationships/hyperlink" Target="https://dragalialost.wiki/w/The_Darkened_Palace" TargetMode="External"/><Relationship Id="rId285" Type="http://schemas.openxmlformats.org/officeDocument/2006/relationships/hyperlink" Target="https://dragalialost.wiki/w/The_Dragon's_Whereabouts" TargetMode="External"/><Relationship Id="rId450" Type="http://schemas.openxmlformats.org/officeDocument/2006/relationships/hyperlink" Target="https://dragalialost.wiki/w/Puppets_of_the_Mark" TargetMode="External"/><Relationship Id="rId506" Type="http://schemas.openxmlformats.org/officeDocument/2006/relationships/hyperlink" Target="https://dragalialost.wiki/w/The_Serpent's_Gaze" TargetMode="External"/><Relationship Id="rId38" Type="http://schemas.openxmlformats.org/officeDocument/2006/relationships/hyperlink" Target="https://dragalialost.wiki/w/In_Search_of_Zethia" TargetMode="External"/><Relationship Id="rId103" Type="http://schemas.openxmlformats.org/officeDocument/2006/relationships/hyperlink" Target="https://dragalialost.wiki/w/The_Eye_of_the_Clash" TargetMode="External"/><Relationship Id="rId310" Type="http://schemas.openxmlformats.org/officeDocument/2006/relationships/hyperlink" Target="https://dragalialost.wiki/w/The_Guards'_Pursuit" TargetMode="External"/><Relationship Id="rId492" Type="http://schemas.openxmlformats.org/officeDocument/2006/relationships/hyperlink" Target="https://dragalialost.wiki/w/The_Dark_Fortress" TargetMode="External"/><Relationship Id="rId91" Type="http://schemas.openxmlformats.org/officeDocument/2006/relationships/hyperlink" Target="https://dragalialost.wiki/w/Night_Meanderings" TargetMode="External"/><Relationship Id="rId145" Type="http://schemas.openxmlformats.org/officeDocument/2006/relationships/hyperlink" Target="https://dragalialost.wiki/w/The_Infernal_Giants" TargetMode="External"/><Relationship Id="rId187" Type="http://schemas.openxmlformats.org/officeDocument/2006/relationships/hyperlink" Target="https://dragalialost.wiki/w/To_the_Final_Battle" TargetMode="External"/><Relationship Id="rId352" Type="http://schemas.openxmlformats.org/officeDocument/2006/relationships/hyperlink" Target="https://dragalialost.wiki/w/Body_of_the_Other" TargetMode="External"/><Relationship Id="rId394" Type="http://schemas.openxmlformats.org/officeDocument/2006/relationships/hyperlink" Target="https://dragalialost.wiki/w/The_Holywyrm's_Advent" TargetMode="External"/><Relationship Id="rId408" Type="http://schemas.openxmlformats.org/officeDocument/2006/relationships/hyperlink" Target="https://dragalialost.wiki/w/Hiding_in_the_Greenery" TargetMode="External"/><Relationship Id="rId212" Type="http://schemas.openxmlformats.org/officeDocument/2006/relationships/hyperlink" Target="https://dragalialost.wiki/w/The_Decisive_Battle" TargetMode="External"/><Relationship Id="rId254" Type="http://schemas.openxmlformats.org/officeDocument/2006/relationships/hyperlink" Target="https://dragalialost.wiki/w/On_a_Moonlit_Night" TargetMode="External"/><Relationship Id="rId49" Type="http://schemas.openxmlformats.org/officeDocument/2006/relationships/hyperlink" Target="https://dragalialost.wiki/w/An_Impassioned_Ally" TargetMode="External"/><Relationship Id="rId114" Type="http://schemas.openxmlformats.org/officeDocument/2006/relationships/hyperlink" Target="https://dragalialost.wiki/w/Mushroom_Mayhem" TargetMode="External"/><Relationship Id="rId296" Type="http://schemas.openxmlformats.org/officeDocument/2006/relationships/hyperlink" Target="https://dragalialost.wiki/w/Defeating_the_Mastermind" TargetMode="External"/><Relationship Id="rId461" Type="http://schemas.openxmlformats.org/officeDocument/2006/relationships/hyperlink" Target="https://dragalialost.wiki/w/Approaching_Terminals" TargetMode="External"/><Relationship Id="rId60" Type="http://schemas.openxmlformats.org/officeDocument/2006/relationships/hyperlink" Target="https://dragalialost.wiki/w/Mayhem_on_the_Trail" TargetMode="External"/><Relationship Id="rId156" Type="http://schemas.openxmlformats.org/officeDocument/2006/relationships/hyperlink" Target="https://dragalialost.wiki/w/A_Triumphant_Return" TargetMode="External"/><Relationship Id="rId198" Type="http://schemas.openxmlformats.org/officeDocument/2006/relationships/hyperlink" Target="https://dragalialost.wiki/w/Pursuing_Knowledge" TargetMode="External"/><Relationship Id="rId321" Type="http://schemas.openxmlformats.org/officeDocument/2006/relationships/hyperlink" Target="https://dragalialost.wiki/w/The_Faeries'_Home" TargetMode="External"/><Relationship Id="rId363" Type="http://schemas.openxmlformats.org/officeDocument/2006/relationships/hyperlink" Target="https://dragalialost.wiki/w/Disturbance_at_the_Sacred_Tree" TargetMode="External"/><Relationship Id="rId419" Type="http://schemas.openxmlformats.org/officeDocument/2006/relationships/hyperlink" Target="https://dragalialost.wiki/w/The_Pact" TargetMode="External"/><Relationship Id="rId223" Type="http://schemas.openxmlformats.org/officeDocument/2006/relationships/hyperlink" Target="https://dragalialost.wiki/w/A_Warrior's_Pride" TargetMode="External"/><Relationship Id="rId430" Type="http://schemas.openxmlformats.org/officeDocument/2006/relationships/hyperlink" Target="https://dragalialost.wiki/w/Family" TargetMode="External"/><Relationship Id="rId18" Type="http://schemas.openxmlformats.org/officeDocument/2006/relationships/hyperlink" Target="https://dragalialost.wiki/w/Shard_and_Shadow" TargetMode="External"/><Relationship Id="rId265" Type="http://schemas.openxmlformats.org/officeDocument/2006/relationships/hyperlink" Target="https://dragalialost.wiki/w/%3F%3F%3F_(Chapter_15)" TargetMode="External"/><Relationship Id="rId472" Type="http://schemas.openxmlformats.org/officeDocument/2006/relationships/hyperlink" Target="https://dragalialost.wiki/w/Path_to_the_End" TargetMode="External"/><Relationship Id="rId125" Type="http://schemas.openxmlformats.org/officeDocument/2006/relationships/hyperlink" Target="https://dragalialost.wiki/w/A_Farewell_Blow" TargetMode="External"/><Relationship Id="rId167" Type="http://schemas.openxmlformats.org/officeDocument/2006/relationships/hyperlink" Target="https://dragalialost.wiki/w/A_Story_Untold" TargetMode="External"/><Relationship Id="rId332" Type="http://schemas.openxmlformats.org/officeDocument/2006/relationships/hyperlink" Target="https://dragalialost.wiki/w/Blessed_Light" TargetMode="External"/><Relationship Id="rId374" Type="http://schemas.openxmlformats.org/officeDocument/2006/relationships/hyperlink" Target="https://dragalialost.wiki/w/The_World_He_Left_Behind" TargetMode="External"/><Relationship Id="rId71" Type="http://schemas.openxmlformats.org/officeDocument/2006/relationships/hyperlink" Target="https://dragalialost.wiki/w/The_Lightwyrm's_Wishes" TargetMode="External"/><Relationship Id="rId234" Type="http://schemas.openxmlformats.org/officeDocument/2006/relationships/hyperlink" Target="https://dragalialost.wiki/w/Resolve" TargetMode="External"/><Relationship Id="rId2" Type="http://schemas.openxmlformats.org/officeDocument/2006/relationships/hyperlink" Target="https://dragalialost.wiki/w/Prologue" TargetMode="External"/><Relationship Id="rId29" Type="http://schemas.openxmlformats.org/officeDocument/2006/relationships/hyperlink" Target="https://dragalialost.wiki/w/A_Race_Against_the_Clock" TargetMode="External"/><Relationship Id="rId276" Type="http://schemas.openxmlformats.org/officeDocument/2006/relationships/hyperlink" Target="https://dragalialost.wiki/w/A_Kingdom_in_Disarray" TargetMode="External"/><Relationship Id="rId441" Type="http://schemas.openxmlformats.org/officeDocument/2006/relationships/hyperlink" Target="https://dragalialost.wiki/w/Beyond_the_Miasma" TargetMode="External"/><Relationship Id="rId483" Type="http://schemas.openxmlformats.org/officeDocument/2006/relationships/hyperlink" Target="https://dragalialost.wiki/w/The_Miracle_of_Possibility" TargetMode="External"/><Relationship Id="rId40" Type="http://schemas.openxmlformats.org/officeDocument/2006/relationships/hyperlink" Target="https://dragalialost.wiki/w/Terror's_Approach" TargetMode="External"/><Relationship Id="rId136" Type="http://schemas.openxmlformats.org/officeDocument/2006/relationships/hyperlink" Target="https://dragalialost.wiki/w/Dark_Ambitions" TargetMode="External"/><Relationship Id="rId178" Type="http://schemas.openxmlformats.org/officeDocument/2006/relationships/hyperlink" Target="https://dragalialost.wiki/w/Advance_of_the_Androids" TargetMode="External"/><Relationship Id="rId301" Type="http://schemas.openxmlformats.org/officeDocument/2006/relationships/hyperlink" Target="https://dragalialost.wiki/w/The_Unshackling" TargetMode="External"/><Relationship Id="rId343" Type="http://schemas.openxmlformats.org/officeDocument/2006/relationships/hyperlink" Target="https://dragalialost.wiki/w/The_Faerie_Kingdom" TargetMode="External"/><Relationship Id="rId82" Type="http://schemas.openxmlformats.org/officeDocument/2006/relationships/hyperlink" Target="https://dragalialost.wiki/w/Fire-Breathing_Statues" TargetMode="External"/><Relationship Id="rId203" Type="http://schemas.openxmlformats.org/officeDocument/2006/relationships/hyperlink" Target="https://dragalialost.wiki/w/Unremitting" TargetMode="External"/><Relationship Id="rId385" Type="http://schemas.openxmlformats.org/officeDocument/2006/relationships/hyperlink" Target="https://dragalialost.wiki/w/To_the_Summit" TargetMode="External"/><Relationship Id="rId245" Type="http://schemas.openxmlformats.org/officeDocument/2006/relationships/hyperlink" Target="https://dragalialost.wiki/w/A_Terrifying_Assault" TargetMode="External"/><Relationship Id="rId287" Type="http://schemas.openxmlformats.org/officeDocument/2006/relationships/hyperlink" Target="https://dragalialost.wiki/w/A_Road_to_Believe_In" TargetMode="External"/><Relationship Id="rId410" Type="http://schemas.openxmlformats.org/officeDocument/2006/relationships/hyperlink" Target="https://dragalialost.wiki/w/What_He_Was_Never_Given" TargetMode="External"/><Relationship Id="rId452" Type="http://schemas.openxmlformats.org/officeDocument/2006/relationships/hyperlink" Target="https://dragalialost.wiki/w/Overflowing_Power" TargetMode="External"/><Relationship Id="rId494" Type="http://schemas.openxmlformats.org/officeDocument/2006/relationships/hyperlink" Target="https://dragalialost.wiki/w/A_Father's_Decision" TargetMode="External"/><Relationship Id="rId508" Type="http://schemas.openxmlformats.org/officeDocument/2006/relationships/hyperlink" Target="https://dragalialost.wiki/w/Clash_at_the_Summit" TargetMode="External"/><Relationship Id="rId105" Type="http://schemas.openxmlformats.org/officeDocument/2006/relationships/hyperlink" Target="https://dragalialost.wiki/w/Seize_the_Enemy_Camp" TargetMode="External"/><Relationship Id="rId147" Type="http://schemas.openxmlformats.org/officeDocument/2006/relationships/hyperlink" Target="https://dragalialost.wiki/w/Love_Births_Strength" TargetMode="External"/><Relationship Id="rId312" Type="http://schemas.openxmlformats.org/officeDocument/2006/relationships/hyperlink" Target="https://dragalialost.wiki/w/One_City,_Two_Peoples" TargetMode="External"/><Relationship Id="rId354" Type="http://schemas.openxmlformats.org/officeDocument/2006/relationships/hyperlink" Target="https://dragalialost.wiki/w/The_Androids'_Pursuit" TargetMode="External"/><Relationship Id="rId51" Type="http://schemas.openxmlformats.org/officeDocument/2006/relationships/hyperlink" Target="https://dragalialost.wiki/w/The_Rat's_Overlook" TargetMode="External"/><Relationship Id="rId93" Type="http://schemas.openxmlformats.org/officeDocument/2006/relationships/hyperlink" Target="https://dragalialost.wiki/w/What_to_Seek" TargetMode="External"/><Relationship Id="rId189" Type="http://schemas.openxmlformats.org/officeDocument/2006/relationships/hyperlink" Target="https://dragalialost.wiki/w/A_Curious_Feeling" TargetMode="External"/><Relationship Id="rId396" Type="http://schemas.openxmlformats.org/officeDocument/2006/relationships/hyperlink" Target="https://dragalialost.wiki/w/The_Direction_of_Destiny" TargetMode="External"/><Relationship Id="rId214" Type="http://schemas.openxmlformats.org/officeDocument/2006/relationships/hyperlink" Target="https://dragalialost.wiki/w/Unyielding_Ambition" TargetMode="External"/><Relationship Id="rId256" Type="http://schemas.openxmlformats.org/officeDocument/2006/relationships/hyperlink" Target="https://dragalialost.wiki/w/Conference_in_Valkaheim" TargetMode="External"/><Relationship Id="rId298" Type="http://schemas.openxmlformats.org/officeDocument/2006/relationships/hyperlink" Target="https://dragalialost.wiki/w/The_Raven's_Designs" TargetMode="External"/><Relationship Id="rId421" Type="http://schemas.openxmlformats.org/officeDocument/2006/relationships/hyperlink" Target="https://dragalialost.wiki/w/Atonement" TargetMode="External"/><Relationship Id="rId463" Type="http://schemas.openxmlformats.org/officeDocument/2006/relationships/hyperlink" Target="https://dragalialost.wiki/w/Imminent_Destruction" TargetMode="External"/><Relationship Id="rId116" Type="http://schemas.openxmlformats.org/officeDocument/2006/relationships/hyperlink" Target="https://dragalialost.wiki/w/Father_and_Son" TargetMode="External"/><Relationship Id="rId158" Type="http://schemas.openxmlformats.org/officeDocument/2006/relationships/hyperlink" Target="https://dragalialost.wiki/w/The_Eventide_Game" TargetMode="External"/><Relationship Id="rId323" Type="http://schemas.openxmlformats.org/officeDocument/2006/relationships/hyperlink" Target="https://dragalialost.wiki/w/Ambition" TargetMode="External"/><Relationship Id="rId20" Type="http://schemas.openxmlformats.org/officeDocument/2006/relationships/hyperlink" Target="https://dragalialost.wiki/w/Aquatic_Advance" TargetMode="External"/><Relationship Id="rId62" Type="http://schemas.openxmlformats.org/officeDocument/2006/relationships/hyperlink" Target="https://dragalialost.wiki/w/Inexoable_Obsession" TargetMode="External"/><Relationship Id="rId365" Type="http://schemas.openxmlformats.org/officeDocument/2006/relationships/hyperlink" Target="https://dragalialost.wiki/w/Crossing_the_Verdure" TargetMode="External"/><Relationship Id="rId225" Type="http://schemas.openxmlformats.org/officeDocument/2006/relationships/hyperlink" Target="https://dragalialost.wiki/w/%3F%3F%3F_(Chapter_13)" TargetMode="External"/><Relationship Id="rId267" Type="http://schemas.openxmlformats.org/officeDocument/2006/relationships/hyperlink" Target="https://dragalialost.wiki/w/Battle_on_the_Border" TargetMode="External"/><Relationship Id="rId432" Type="http://schemas.openxmlformats.org/officeDocument/2006/relationships/hyperlink" Target="https://dragalialost.wiki/w/A_Fight_with_No_Future" TargetMode="External"/><Relationship Id="rId474" Type="http://schemas.openxmlformats.org/officeDocument/2006/relationships/hyperlink" Target="https://dragalialost.wiki/w/Beyond_Reason" TargetMode="External"/><Relationship Id="rId127" Type="http://schemas.openxmlformats.org/officeDocument/2006/relationships/hyperlink" Target="https://dragalialost.wiki/w/Defeat_the_Ancient_Weapon" TargetMode="External"/><Relationship Id="rId31" Type="http://schemas.openxmlformats.org/officeDocument/2006/relationships/hyperlink" Target="https://dragalialost.wiki/w/Long_Lives" TargetMode="External"/><Relationship Id="rId73" Type="http://schemas.openxmlformats.org/officeDocument/2006/relationships/hyperlink" Target="https://dragalialost.wiki/w/To_the_Ancient_Ruins" TargetMode="External"/><Relationship Id="rId169" Type="http://schemas.openxmlformats.org/officeDocument/2006/relationships/hyperlink" Target="https://dragalialost.wiki/w/The_Empire's_Origins" TargetMode="External"/><Relationship Id="rId334" Type="http://schemas.openxmlformats.org/officeDocument/2006/relationships/hyperlink" Target="https://dragalialost.wiki/w/Shifting_Memories" TargetMode="External"/><Relationship Id="rId376" Type="http://schemas.openxmlformats.org/officeDocument/2006/relationships/hyperlink" Target="https://dragalialost.wiki/w/Bearing_the_Other's_Flesh" TargetMode="External"/><Relationship Id="rId4" Type="http://schemas.openxmlformats.org/officeDocument/2006/relationships/hyperlink" Target="https://dragalialost.wiki/w/Save_the_Paladyn" TargetMode="External"/><Relationship Id="rId180" Type="http://schemas.openxmlformats.org/officeDocument/2006/relationships/hyperlink" Target="https://dragalialost.wiki/w/Persistent_Pursuers" TargetMode="External"/><Relationship Id="rId236" Type="http://schemas.openxmlformats.org/officeDocument/2006/relationships/hyperlink" Target="https://dragalialost.wiki/w/Beast_Attack" TargetMode="External"/><Relationship Id="rId278" Type="http://schemas.openxmlformats.org/officeDocument/2006/relationships/hyperlink" Target="https://dragalialost.wiki/w/Returning_to_the_Halidom" TargetMode="External"/><Relationship Id="rId401" Type="http://schemas.openxmlformats.org/officeDocument/2006/relationships/hyperlink" Target="https://dragalialost.wiki/w/The_Holywyrm's_Disgrace" TargetMode="External"/><Relationship Id="rId443" Type="http://schemas.openxmlformats.org/officeDocument/2006/relationships/hyperlink" Target="https://dragalialost.wiki/w/Within_the_Miasma" TargetMode="External"/><Relationship Id="rId303" Type="http://schemas.openxmlformats.org/officeDocument/2006/relationships/hyperlink" Target="https://dragalialost.wiki/w/%3F%3F%3F_(Chapter_17)" TargetMode="External"/><Relationship Id="rId485" Type="http://schemas.openxmlformats.org/officeDocument/2006/relationships/hyperlink" Target="https://dragalialost.wiki/w/Heart" TargetMode="External"/><Relationship Id="rId42" Type="http://schemas.openxmlformats.org/officeDocument/2006/relationships/hyperlink" Target="https://dragalialost.wiki/w/Grave_of_the_Giant_Wyrm" TargetMode="External"/><Relationship Id="rId84" Type="http://schemas.openxmlformats.org/officeDocument/2006/relationships/hyperlink" Target="https://dragalialost.wiki/w/Zethia" TargetMode="External"/><Relationship Id="rId138" Type="http://schemas.openxmlformats.org/officeDocument/2006/relationships/hyperlink" Target="https://dragalialost.wiki/w/The_Searing_Slog" TargetMode="External"/><Relationship Id="rId345" Type="http://schemas.openxmlformats.org/officeDocument/2006/relationships/hyperlink" Target="https://dragalialost.wiki/w/Wild_Children" TargetMode="External"/><Relationship Id="rId387" Type="http://schemas.openxmlformats.org/officeDocument/2006/relationships/hyperlink" Target="https://dragalialost.wiki/w/The_Faerie_King's_New_Strength" TargetMode="External"/><Relationship Id="rId510" Type="http://schemas.openxmlformats.org/officeDocument/2006/relationships/hyperlink" Target="https://dragalialost.wiki/w/Dragalia_Lost" TargetMode="External"/><Relationship Id="rId191" Type="http://schemas.openxmlformats.org/officeDocument/2006/relationships/hyperlink" Target="https://dragalialost.wiki/w/%3F%3F%3F_(Chapter_11)" TargetMode="External"/><Relationship Id="rId205" Type="http://schemas.openxmlformats.org/officeDocument/2006/relationships/hyperlink" Target="https://dragalialost.wiki/w/Resistance" TargetMode="External"/><Relationship Id="rId247" Type="http://schemas.openxmlformats.org/officeDocument/2006/relationships/hyperlink" Target="https://dragalialost.wiki/w/Unlit_Corridors" TargetMode="External"/><Relationship Id="rId412" Type="http://schemas.openxmlformats.org/officeDocument/2006/relationships/hyperlink" Target="https://dragalialost.wiki/w/The_True_Pact" TargetMode="External"/><Relationship Id="rId107" Type="http://schemas.openxmlformats.org/officeDocument/2006/relationships/hyperlink" Target="https://dragalialost.wiki/w/Diadem_of_Light" TargetMode="External"/><Relationship Id="rId289" Type="http://schemas.openxmlformats.org/officeDocument/2006/relationships/hyperlink" Target="https://dragalialost.wiki/w/Truth_and_Resolve" TargetMode="External"/><Relationship Id="rId454" Type="http://schemas.openxmlformats.org/officeDocument/2006/relationships/hyperlink" Target="https://dragalialost.wiki/w/The_Goddess's_Secret_Weapon" TargetMode="External"/><Relationship Id="rId496" Type="http://schemas.openxmlformats.org/officeDocument/2006/relationships/hyperlink" Target="https://dragalialost.wiki/w/Memories_of_Old" TargetMode="External"/><Relationship Id="rId11" Type="http://schemas.openxmlformats.org/officeDocument/2006/relationships/hyperlink" Target="https://dragalialost.wiki/w/The_Proud_Windwyrm" TargetMode="External"/><Relationship Id="rId53" Type="http://schemas.openxmlformats.org/officeDocument/2006/relationships/hyperlink" Target="https://dragalialost.wiki/w/Shocking_Beauty" TargetMode="External"/><Relationship Id="rId149" Type="http://schemas.openxmlformats.org/officeDocument/2006/relationships/hyperlink" Target="https://dragalialost.wiki/w/The_Path_to_the_Party" TargetMode="External"/><Relationship Id="rId314" Type="http://schemas.openxmlformats.org/officeDocument/2006/relationships/hyperlink" Target="https://dragalialost.wiki/w/The_Good_Samaritans" TargetMode="External"/><Relationship Id="rId356" Type="http://schemas.openxmlformats.org/officeDocument/2006/relationships/hyperlink" Target="https://dragalialost.wiki/w/In_the_Android's_Sights" TargetMode="External"/><Relationship Id="rId398" Type="http://schemas.openxmlformats.org/officeDocument/2006/relationships/hyperlink" Target="https://dragalialost.wiki/w/Bearer_of_the_Pact" TargetMode="External"/><Relationship Id="rId95" Type="http://schemas.openxmlformats.org/officeDocument/2006/relationships/hyperlink" Target="https://dragalialost.wiki/w/Royal_Makings" TargetMode="External"/><Relationship Id="rId160" Type="http://schemas.openxmlformats.org/officeDocument/2006/relationships/hyperlink" Target="https://dragalialost.wiki/w/The_Weapon_Awakens" TargetMode="External"/><Relationship Id="rId216" Type="http://schemas.openxmlformats.org/officeDocument/2006/relationships/hyperlink" Target="https://dragalialost.wiki/w/The_Royal_Truth" TargetMode="External"/><Relationship Id="rId423" Type="http://schemas.openxmlformats.org/officeDocument/2006/relationships/hyperlink" Target="https://dragalialost.wiki/w/The_Holy_City,_Gone_Mad" TargetMode="External"/><Relationship Id="rId258" Type="http://schemas.openxmlformats.org/officeDocument/2006/relationships/hyperlink" Target="https://dragalialost.wiki/w/True_Instincts" TargetMode="External"/><Relationship Id="rId465" Type="http://schemas.openxmlformats.org/officeDocument/2006/relationships/hyperlink" Target="https://dragalialost.wiki/w/The_Land_of_Ruin" TargetMode="External"/><Relationship Id="rId22" Type="http://schemas.openxmlformats.org/officeDocument/2006/relationships/hyperlink" Target="https://dragalialost.wiki/w/Puddled_Path" TargetMode="External"/><Relationship Id="rId64" Type="http://schemas.openxmlformats.org/officeDocument/2006/relationships/hyperlink" Target="https://dragalialost.wiki/w/The_Mountain_Breeding_Ground" TargetMode="External"/><Relationship Id="rId118" Type="http://schemas.openxmlformats.org/officeDocument/2006/relationships/hyperlink" Target="https://dragalialost.wiki/w/The_Water_Trap_Gauntlet" TargetMode="External"/><Relationship Id="rId325" Type="http://schemas.openxmlformats.org/officeDocument/2006/relationships/hyperlink" Target="https://dragalialost.wiki/w/Crossing_the_Snowy_Mountains" TargetMode="External"/><Relationship Id="rId367" Type="http://schemas.openxmlformats.org/officeDocument/2006/relationships/hyperlink" Target="https://dragalialost.wiki/w/A_Fortress_of_Foliage" TargetMode="External"/><Relationship Id="rId171" Type="http://schemas.openxmlformats.org/officeDocument/2006/relationships/hyperlink" Target="https://dragalialost.wiki/w/The_Blood_Casket" TargetMode="External"/><Relationship Id="rId227" Type="http://schemas.openxmlformats.org/officeDocument/2006/relationships/hyperlink" Target="https://dragalialost.wiki/w/The_Stagnant_Guardian" TargetMode="External"/><Relationship Id="rId269" Type="http://schemas.openxmlformats.org/officeDocument/2006/relationships/hyperlink" Target="https://dragalialost.wiki/w/His_Light_and_Shadow" TargetMode="External"/><Relationship Id="rId434" Type="http://schemas.openxmlformats.org/officeDocument/2006/relationships/hyperlink" Target="https://dragalialost.wiki/w/Escaping_Despair" TargetMode="External"/><Relationship Id="rId476" Type="http://schemas.openxmlformats.org/officeDocument/2006/relationships/hyperlink" Target="https://dragalialost.wiki/w/A_Fixed_Outcome" TargetMode="External"/><Relationship Id="rId33" Type="http://schemas.openxmlformats.org/officeDocument/2006/relationships/hyperlink" Target="https://dragalialost.wiki/w/The_Sapphire_Battleground" TargetMode="External"/><Relationship Id="rId129" Type="http://schemas.openxmlformats.org/officeDocument/2006/relationships/hyperlink" Target="https://dragalialost.wiki/w/To_Valkaheim" TargetMode="External"/><Relationship Id="rId280" Type="http://schemas.openxmlformats.org/officeDocument/2006/relationships/hyperlink" Target="https://dragalialost.wiki/w/Swirling_Doubt" TargetMode="External"/><Relationship Id="rId336" Type="http://schemas.openxmlformats.org/officeDocument/2006/relationships/hyperlink" Target="https://dragalialost.wiki/w/Road_to_the_Faerie_Kingdom" TargetMode="External"/><Relationship Id="rId501" Type="http://schemas.openxmlformats.org/officeDocument/2006/relationships/hyperlink" Target="https://dragalialost.wiki/w/The_Abyssalwyrm's_Madness" TargetMode="External"/><Relationship Id="rId75" Type="http://schemas.openxmlformats.org/officeDocument/2006/relationships/hyperlink" Target="https://dragalialost.wiki/w/The_Magical_Doors" TargetMode="External"/><Relationship Id="rId140" Type="http://schemas.openxmlformats.org/officeDocument/2006/relationships/hyperlink" Target="https://dragalialost.wiki/w/The_Savage_Blazewyrm" TargetMode="External"/><Relationship Id="rId182" Type="http://schemas.openxmlformats.org/officeDocument/2006/relationships/hyperlink" Target="https://dragalialost.wiki/w/Prince_Emile's_Obsession" TargetMode="External"/><Relationship Id="rId378" Type="http://schemas.openxmlformats.org/officeDocument/2006/relationships/hyperlink" Target="https://dragalialost.wiki/w/A_Green_Purgatory" TargetMode="External"/><Relationship Id="rId403" Type="http://schemas.openxmlformats.org/officeDocument/2006/relationships/hyperlink" Target="https://dragalialost.wiki/w/Before_the_Fall" TargetMode="External"/><Relationship Id="rId6" Type="http://schemas.openxmlformats.org/officeDocument/2006/relationships/hyperlink" Target="https://dragalialost.wiki/w/The_Mercenary's_Test" TargetMode="External"/><Relationship Id="rId238" Type="http://schemas.openxmlformats.org/officeDocument/2006/relationships/hyperlink" Target="https://dragalialost.wiki/w/Advancing_on_the_Capital" TargetMode="External"/><Relationship Id="rId445" Type="http://schemas.openxmlformats.org/officeDocument/2006/relationships/hyperlink" Target="https://dragalialost.wiki/w/Proof_of_Sin" TargetMode="External"/><Relationship Id="rId487" Type="http://schemas.openxmlformats.org/officeDocument/2006/relationships/hyperlink" Target="https://dragalialost.wiki/w/Cast_Anew" TargetMode="External"/><Relationship Id="rId291" Type="http://schemas.openxmlformats.org/officeDocument/2006/relationships/hyperlink" Target="https://dragalialost.wiki/w/The_Jewel's_Power" TargetMode="External"/><Relationship Id="rId305" Type="http://schemas.openxmlformats.org/officeDocument/2006/relationships/hyperlink" Target="https://dragalialost.wiki/w/The_Road_to_Grams" TargetMode="External"/><Relationship Id="rId347" Type="http://schemas.openxmlformats.org/officeDocument/2006/relationships/hyperlink" Target="https://dragalialost.wiki/w/Freedom_and_Shackles" TargetMode="External"/><Relationship Id="rId512" Type="http://schemas.openxmlformats.org/officeDocument/2006/relationships/hyperlink" Target="https://dragalialost.wiki/w/A_Hasty_Retreat" TargetMode="External"/><Relationship Id="rId44" Type="http://schemas.openxmlformats.org/officeDocument/2006/relationships/hyperlink" Target="https://dragalialost.wiki/w/Guard_the_Flamewyrm" TargetMode="External"/><Relationship Id="rId86" Type="http://schemas.openxmlformats.org/officeDocument/2006/relationships/hyperlink" Target="https://dragalialost.wiki/w/The_Auspex's_Last_Words" TargetMode="External"/><Relationship Id="rId151" Type="http://schemas.openxmlformats.org/officeDocument/2006/relationships/hyperlink" Target="https://dragalialost.wiki/w/Saving_the_Sparrow" TargetMode="External"/><Relationship Id="rId389" Type="http://schemas.openxmlformats.org/officeDocument/2006/relationships/hyperlink" Target="https://dragalialost.wiki/w/The_Flamewyrm's_Stolen_Power" TargetMode="External"/><Relationship Id="rId193" Type="http://schemas.openxmlformats.org/officeDocument/2006/relationships/hyperlink" Target="https://dragalialost.wiki/w/Twilight_Chase" TargetMode="External"/><Relationship Id="rId207" Type="http://schemas.openxmlformats.org/officeDocument/2006/relationships/hyperlink" Target="https://dragalialost.wiki/w/Advance" TargetMode="External"/><Relationship Id="rId249" Type="http://schemas.openxmlformats.org/officeDocument/2006/relationships/hyperlink" Target="https://dragalialost.wiki/w/To_the_Demon's_Throne" TargetMode="External"/><Relationship Id="rId414" Type="http://schemas.openxmlformats.org/officeDocument/2006/relationships/hyperlink" Target="https://dragalialost.wiki/w/To_the_Canopy" TargetMode="External"/><Relationship Id="rId456" Type="http://schemas.openxmlformats.org/officeDocument/2006/relationships/hyperlink" Target="https://dragalialost.wiki/w/In_the_Creator's_Wake" TargetMode="External"/><Relationship Id="rId498" Type="http://schemas.openxmlformats.org/officeDocument/2006/relationships/hyperlink" Target="https://dragalialost.wiki/w/Chasing_Wings" TargetMode="External"/><Relationship Id="rId13" Type="http://schemas.openxmlformats.org/officeDocument/2006/relationships/hyperlink" Target="https://dragalialost.wiki/w/The_Heart_of_the_Forest" TargetMode="External"/><Relationship Id="rId109" Type="http://schemas.openxmlformats.org/officeDocument/2006/relationships/hyperlink" Target="https://dragalialost.wiki/w/The_Narrow_Road" TargetMode="External"/><Relationship Id="rId260" Type="http://schemas.openxmlformats.org/officeDocument/2006/relationships/hyperlink" Target="https://dragalialost.wiki/w/Mountain_Face-Off" TargetMode="External"/><Relationship Id="rId316" Type="http://schemas.openxmlformats.org/officeDocument/2006/relationships/hyperlink" Target="https://dragalialost.wiki/w/Surrounded" TargetMode="External"/><Relationship Id="rId55" Type="http://schemas.openxmlformats.org/officeDocument/2006/relationships/hyperlink" Target="https://dragalialost.wiki/w/The_Moovers_and_the_Shakers" TargetMode="External"/><Relationship Id="rId97" Type="http://schemas.openxmlformats.org/officeDocument/2006/relationships/hyperlink" Target="https://dragalialost.wiki/w/No_Escape" TargetMode="External"/><Relationship Id="rId120" Type="http://schemas.openxmlformats.org/officeDocument/2006/relationships/hyperlink" Target="https://dragalialost.wiki/w/History_of_a_Continent" TargetMode="External"/><Relationship Id="rId358" Type="http://schemas.openxmlformats.org/officeDocument/2006/relationships/hyperlink" Target="https://dragalialost.wiki/w/Distorted_Perception" TargetMode="External"/><Relationship Id="rId162" Type="http://schemas.openxmlformats.org/officeDocument/2006/relationships/hyperlink" Target="https://dragalialost.wiki/w/Gran_Criminale" TargetMode="External"/><Relationship Id="rId218" Type="http://schemas.openxmlformats.org/officeDocument/2006/relationships/hyperlink" Target="https://dragalialost.wiki/w/The_Verboten_Lake" TargetMode="External"/><Relationship Id="rId425" Type="http://schemas.openxmlformats.org/officeDocument/2006/relationships/hyperlink" Target="https://dragalialost.wiki/w/The_Puppet_and_the_Door" TargetMode="External"/><Relationship Id="rId467" Type="http://schemas.openxmlformats.org/officeDocument/2006/relationships/hyperlink" Target="https://dragalialost.wiki/w/Sovereign_of_the_End" TargetMode="External"/><Relationship Id="rId271" Type="http://schemas.openxmlformats.org/officeDocument/2006/relationships/hyperlink" Target="https://dragalialost.wiki/w/Auspexes_Together" TargetMode="External"/><Relationship Id="rId24" Type="http://schemas.openxmlformats.org/officeDocument/2006/relationships/hyperlink" Target="https://dragalialost.wiki/w/The_Fiends%27_Haunt" TargetMode="External"/><Relationship Id="rId66" Type="http://schemas.openxmlformats.org/officeDocument/2006/relationships/hyperlink" Target="https://dragalialost.wiki/w/The_Endless_Journey" TargetMode="External"/><Relationship Id="rId131" Type="http://schemas.openxmlformats.org/officeDocument/2006/relationships/hyperlink" Target="https://dragalialost.wiki/w/Among_the_Roaring_Flames" TargetMode="External"/><Relationship Id="rId327" Type="http://schemas.openxmlformats.org/officeDocument/2006/relationships/hyperlink" Target="https://dragalialost.wiki/w/Bonds_Buffeted_by_the_Blizzard" TargetMode="External"/><Relationship Id="rId369" Type="http://schemas.openxmlformats.org/officeDocument/2006/relationships/hyperlink" Target="https://dragalialost.wiki/w/Within_the_Mist" TargetMode="External"/><Relationship Id="rId173" Type="http://schemas.openxmlformats.org/officeDocument/2006/relationships/hyperlink" Target="https://dragalialost.wiki/w/A_Corpse's_Invitation" TargetMode="External"/><Relationship Id="rId229" Type="http://schemas.openxmlformats.org/officeDocument/2006/relationships/hyperlink" Target="https://dragalialost.wiki/w/Ancient_Technology" TargetMode="External"/><Relationship Id="rId380" Type="http://schemas.openxmlformats.org/officeDocument/2006/relationships/hyperlink" Target="https://dragalialost.wiki/w/Guardian_of_the_Barrier" TargetMode="External"/><Relationship Id="rId436" Type="http://schemas.openxmlformats.org/officeDocument/2006/relationships/hyperlink" Target="https://dragalialost.wiki/w/Talent" TargetMode="External"/><Relationship Id="rId240" Type="http://schemas.openxmlformats.org/officeDocument/2006/relationships/hyperlink" Target="https://dragalialost.wiki/w/The_Weight_of_a_Heart" TargetMode="External"/><Relationship Id="rId478" Type="http://schemas.openxmlformats.org/officeDocument/2006/relationships/hyperlink" Target="https://dragalialost.wiki/w/The_Rejected" TargetMode="External"/><Relationship Id="rId35" Type="http://schemas.openxmlformats.org/officeDocument/2006/relationships/hyperlink" Target="https://dragalialost.wiki/w/Into_the_Cauldron" TargetMode="External"/><Relationship Id="rId77" Type="http://schemas.openxmlformats.org/officeDocument/2006/relationships/hyperlink" Target="https://dragalialost.wiki/w/Defeat_the_Imperial_Soldiers" TargetMode="External"/><Relationship Id="rId100" Type="http://schemas.openxmlformats.org/officeDocument/2006/relationships/hyperlink" Target="https://dragalialost.wiki/w/The_Paladyn's_Past" TargetMode="External"/><Relationship Id="rId282" Type="http://schemas.openxmlformats.org/officeDocument/2006/relationships/hyperlink" Target="https://dragalialost.wiki/w/Searching_for_the_Truth" TargetMode="External"/><Relationship Id="rId338" Type="http://schemas.openxmlformats.org/officeDocument/2006/relationships/hyperlink" Target="https://dragalialost.wiki/w/Barring_the_Way" TargetMode="External"/><Relationship Id="rId503" Type="http://schemas.openxmlformats.org/officeDocument/2006/relationships/hyperlink" Target="https://dragalialost.wiki/w/Justice_in_Many_Forms" TargetMode="External"/><Relationship Id="rId8" Type="http://schemas.openxmlformats.org/officeDocument/2006/relationships/hyperlink" Target="https://dragalialost.wiki/w/A_Formidable_Guardian" TargetMode="External"/><Relationship Id="rId142" Type="http://schemas.openxmlformats.org/officeDocument/2006/relationships/hyperlink" Target="https://dragalialost.wiki/w/Garden_of_the_Dead" TargetMode="External"/><Relationship Id="rId184" Type="http://schemas.openxmlformats.org/officeDocument/2006/relationships/hyperlink" Target="https://dragalialost.wiki/w/A_Broken_Heart" TargetMode="External"/><Relationship Id="rId391" Type="http://schemas.openxmlformats.org/officeDocument/2006/relationships/hyperlink" Target="https://dragalialost.wiki/w/The_Holywyrm's_Vengeance" TargetMode="External"/><Relationship Id="rId405" Type="http://schemas.openxmlformats.org/officeDocument/2006/relationships/hyperlink" Target="https://dragalialost.wiki/w/Confrontation" TargetMode="External"/><Relationship Id="rId447" Type="http://schemas.openxmlformats.org/officeDocument/2006/relationships/hyperlink" Target="https://dragalialost.wiki/w/Primal_Wind" TargetMode="External"/><Relationship Id="rId251" Type="http://schemas.openxmlformats.org/officeDocument/2006/relationships/hyperlink" Target="https://dragalialost.wiki/w/Unforeseen_Fangs" TargetMode="External"/><Relationship Id="rId489" Type="http://schemas.openxmlformats.org/officeDocument/2006/relationships/hyperlink" Target="https://dragalialost.wiki/w/A_New_Beginning" TargetMode="External"/><Relationship Id="rId46" Type="http://schemas.openxmlformats.org/officeDocument/2006/relationships/hyperlink" Target="https://dragalialost.wiki/w/A_Fiendish_Assault" TargetMode="External"/><Relationship Id="rId293" Type="http://schemas.openxmlformats.org/officeDocument/2006/relationships/hyperlink" Target="https://dragalialost.wiki/w/Pursuing_Revenge" TargetMode="External"/><Relationship Id="rId307" Type="http://schemas.openxmlformats.org/officeDocument/2006/relationships/hyperlink" Target="https://dragalialost.wiki/w/The_Beautiful_City" TargetMode="External"/><Relationship Id="rId349" Type="http://schemas.openxmlformats.org/officeDocument/2006/relationships/hyperlink" Target="https://dragalialost.wiki/w/Confession" TargetMode="External"/><Relationship Id="rId514" Type="http://schemas.openxmlformats.org/officeDocument/2006/relationships/hyperlink" Target="https://dragalialost.wiki/w/Surrounded_by_Scorching_Heat" TargetMode="External"/><Relationship Id="rId88" Type="http://schemas.openxmlformats.org/officeDocument/2006/relationships/hyperlink" Target="https://dragalialost.wiki/w/Watch_for_Falling_Trees" TargetMode="External"/><Relationship Id="rId111" Type="http://schemas.openxmlformats.org/officeDocument/2006/relationships/hyperlink" Target="https://dragalialost.wiki/w/Outside_the_City" TargetMode="External"/><Relationship Id="rId153" Type="http://schemas.openxmlformats.org/officeDocument/2006/relationships/hyperlink" Target="https://dragalialost.wiki/w/The_Sparrow's_Resolve" TargetMode="External"/><Relationship Id="rId195" Type="http://schemas.openxmlformats.org/officeDocument/2006/relationships/hyperlink" Target="https://dragalialost.wiki/w/Annihilation_Mode" TargetMode="External"/><Relationship Id="rId209" Type="http://schemas.openxmlformats.org/officeDocument/2006/relationships/hyperlink" Target="https://dragalialost.wiki/w/Perplexity" TargetMode="External"/><Relationship Id="rId360" Type="http://schemas.openxmlformats.org/officeDocument/2006/relationships/hyperlink" Target="https://dragalialost.wiki/w/Departure_at_Dawn" TargetMode="External"/><Relationship Id="rId416" Type="http://schemas.openxmlformats.org/officeDocument/2006/relationships/hyperlink" Target="https://dragalialost.wiki/w/Forbidden_Art" TargetMode="External"/><Relationship Id="rId220" Type="http://schemas.openxmlformats.org/officeDocument/2006/relationships/hyperlink" Target="https://dragalialost.wiki/w/The_Corrupted_Dragons" TargetMode="External"/><Relationship Id="rId458" Type="http://schemas.openxmlformats.org/officeDocument/2006/relationships/hyperlink" Target="https://dragalialost.wiki/w/The_Shadow_of_Xenos" TargetMode="External"/><Relationship Id="rId15" Type="http://schemas.openxmlformats.org/officeDocument/2006/relationships/hyperlink" Target="https://dragalialost.wiki/w/Alberius_the_Founder" TargetMode="External"/><Relationship Id="rId57" Type="http://schemas.openxmlformats.org/officeDocument/2006/relationships/hyperlink" Target="https://dragalialost.wiki/w/Trail_of_Death" TargetMode="External"/><Relationship Id="rId262" Type="http://schemas.openxmlformats.org/officeDocument/2006/relationships/hyperlink" Target="https://dragalialost.wiki/w/Mountain_of_Fiends" TargetMode="External"/><Relationship Id="rId318" Type="http://schemas.openxmlformats.org/officeDocument/2006/relationships/hyperlink" Target="https://dragalialost.wiki/w/What_Awaits" TargetMode="External"/><Relationship Id="rId99" Type="http://schemas.openxmlformats.org/officeDocument/2006/relationships/hyperlink" Target="https://dragalialost.wiki/w/Destroy_Them_All!" TargetMode="External"/><Relationship Id="rId122" Type="http://schemas.openxmlformats.org/officeDocument/2006/relationships/hyperlink" Target="https://dragalialost.wiki/w/Lakeside_Blitz" TargetMode="External"/><Relationship Id="rId164" Type="http://schemas.openxmlformats.org/officeDocument/2006/relationships/hyperlink" Target="https://dragalialost.wiki/w/Clave_Loy'elune" TargetMode="External"/><Relationship Id="rId371" Type="http://schemas.openxmlformats.org/officeDocument/2006/relationships/hyperlink" Target="https://dragalialost.wiki/w/With_Resolve_in_Your_Heart" TargetMode="External"/><Relationship Id="rId427" Type="http://schemas.openxmlformats.org/officeDocument/2006/relationships/hyperlink" Target="https://dragalialost.wiki/w/Lingering_Chaos" TargetMode="External"/><Relationship Id="rId469" Type="http://schemas.openxmlformats.org/officeDocument/2006/relationships/hyperlink" Target="https://dragalialost.wiki/w/A_Perfect_Whole" TargetMode="External"/><Relationship Id="rId26" Type="http://schemas.openxmlformats.org/officeDocument/2006/relationships/hyperlink" Target="https://dragalialost.wiki/w/In_Pursuit_of_Emile" TargetMode="External"/><Relationship Id="rId231" Type="http://schemas.openxmlformats.org/officeDocument/2006/relationships/hyperlink" Target="https://dragalialost.wiki/w/Testing_and_Experimentation" TargetMode="External"/><Relationship Id="rId273" Type="http://schemas.openxmlformats.org/officeDocument/2006/relationships/hyperlink" Target="https://dragalialost.wiki/w/Wavering_Faith" TargetMode="External"/><Relationship Id="rId329" Type="http://schemas.openxmlformats.org/officeDocument/2006/relationships/hyperlink" Target="https://dragalialost.wiki/w/The_Iron_Ruler" TargetMode="External"/><Relationship Id="rId480" Type="http://schemas.openxmlformats.org/officeDocument/2006/relationships/hyperlink" Target="https://dragalialost.wiki/w/Dark_Possibility" TargetMode="External"/><Relationship Id="rId68" Type="http://schemas.openxmlformats.org/officeDocument/2006/relationships/hyperlink" Target="https://dragalialost.wiki/w/The_Paladyn's_Calling" TargetMode="External"/><Relationship Id="rId133" Type="http://schemas.openxmlformats.org/officeDocument/2006/relationships/hyperlink" Target="https://dragalialost.wiki/w/Clad_in_Crimson" TargetMode="External"/><Relationship Id="rId175" Type="http://schemas.openxmlformats.org/officeDocument/2006/relationships/hyperlink" Target="https://dragalialost.wiki/w/Resurgent_Despair" TargetMode="External"/><Relationship Id="rId340" Type="http://schemas.openxmlformats.org/officeDocument/2006/relationships/hyperlink" Target="https://dragalialost.wiki/w/Notte's_Feelings" TargetMode="External"/><Relationship Id="rId200" Type="http://schemas.openxmlformats.org/officeDocument/2006/relationships/hyperlink" Target="https://dragalialost.wiki/w/Blazewyrm" TargetMode="External"/><Relationship Id="rId382" Type="http://schemas.openxmlformats.org/officeDocument/2006/relationships/hyperlink" Target="https://dragalialost.wiki/w/The_Masked_Beasts" TargetMode="External"/><Relationship Id="rId438" Type="http://schemas.openxmlformats.org/officeDocument/2006/relationships/hyperlink" Target="https://dragalialost.wiki/w/Possibility" TargetMode="External"/><Relationship Id="rId242" Type="http://schemas.openxmlformats.org/officeDocument/2006/relationships/hyperlink" Target="https://dragalialost.wiki/w/A_Ruler's_Legitimacy" TargetMode="External"/><Relationship Id="rId284" Type="http://schemas.openxmlformats.org/officeDocument/2006/relationships/hyperlink" Target="https://dragalialost.wiki/w/%3F%3F%3F_(Chapter_16)" TargetMode="External"/><Relationship Id="rId491" Type="http://schemas.openxmlformats.org/officeDocument/2006/relationships/hyperlink" Target="https://dragalialost.wiki/w/Swearing_on_Our_Lives" TargetMode="External"/><Relationship Id="rId505" Type="http://schemas.openxmlformats.org/officeDocument/2006/relationships/hyperlink" Target="https://dragalialost.wiki/w/Journey_Through_the_Jets" TargetMode="External"/><Relationship Id="rId37" Type="http://schemas.openxmlformats.org/officeDocument/2006/relationships/hyperlink" Target="https://dragalialost.wiki/w/The_Flamehound" TargetMode="External"/><Relationship Id="rId79" Type="http://schemas.openxmlformats.org/officeDocument/2006/relationships/hyperlink" Target="https://dragalialost.wiki/w/Confronting_the_Emperor" TargetMode="External"/><Relationship Id="rId102" Type="http://schemas.openxmlformats.org/officeDocument/2006/relationships/hyperlink" Target="https://dragalialost.wiki/w/Double_Trouble" TargetMode="External"/><Relationship Id="rId144" Type="http://schemas.openxmlformats.org/officeDocument/2006/relationships/hyperlink" Target="https://dragalialost.wiki/w/In_the_Heat_of_the_Moment" TargetMode="External"/><Relationship Id="rId90" Type="http://schemas.openxmlformats.org/officeDocument/2006/relationships/hyperlink" Target="https://dragalialost.wiki/w/Man_of_War" TargetMode="External"/><Relationship Id="rId186" Type="http://schemas.openxmlformats.org/officeDocument/2006/relationships/hyperlink" Target="https://dragalialost.wiki/w/%3F%3F%3F_(Chapter_10)" TargetMode="External"/><Relationship Id="rId351" Type="http://schemas.openxmlformats.org/officeDocument/2006/relationships/hyperlink" Target="https://dragalialost.wiki/w/Wounds" TargetMode="External"/><Relationship Id="rId393" Type="http://schemas.openxmlformats.org/officeDocument/2006/relationships/hyperlink" Target="https://dragalialost.wiki/w/Beyond_Possibility" TargetMode="External"/><Relationship Id="rId407" Type="http://schemas.openxmlformats.org/officeDocument/2006/relationships/hyperlink" Target="https://dragalialost.wiki/w/Awakened_Dragon" TargetMode="External"/><Relationship Id="rId449" Type="http://schemas.openxmlformats.org/officeDocument/2006/relationships/hyperlink" Target="https://dragalialost.wiki/w/The_Ending_of_Possibility" TargetMode="External"/><Relationship Id="rId211" Type="http://schemas.openxmlformats.org/officeDocument/2006/relationships/hyperlink" Target="https://dragalialost.wiki/w/Fate" TargetMode="External"/><Relationship Id="rId253" Type="http://schemas.openxmlformats.org/officeDocument/2006/relationships/hyperlink" Target="https://dragalialost.wiki/w/Relentless_Fangs" TargetMode="External"/><Relationship Id="rId295" Type="http://schemas.openxmlformats.org/officeDocument/2006/relationships/hyperlink" Target="https://dragalialost.wiki/w/The_People's_Anger" TargetMode="External"/><Relationship Id="rId309" Type="http://schemas.openxmlformats.org/officeDocument/2006/relationships/hyperlink" Target="https://dragalialost.wiki/w/Of_Templars_and_Tales" TargetMode="External"/><Relationship Id="rId460" Type="http://schemas.openxmlformats.org/officeDocument/2006/relationships/hyperlink" Target="https://dragalialost.wiki/w/Mordecai's_True_Form" TargetMode="External"/><Relationship Id="rId516" Type="http://schemas.openxmlformats.org/officeDocument/2006/relationships/printerSettings" Target="../printerSettings/printerSettings32.bin"/><Relationship Id="rId48" Type="http://schemas.openxmlformats.org/officeDocument/2006/relationships/hyperlink" Target="https://dragalialost.wiki/w/Rite_of_the_Pact" TargetMode="External"/><Relationship Id="rId113" Type="http://schemas.openxmlformats.org/officeDocument/2006/relationships/hyperlink" Target="https://dragalialost.wiki/w/The_Audience" TargetMode="External"/><Relationship Id="rId320" Type="http://schemas.openxmlformats.org/officeDocument/2006/relationships/hyperlink" Target="https://dragalialost.wiki/w/Ocean%27s_Embrace_(Story)" TargetMode="External"/><Relationship Id="rId155" Type="http://schemas.openxmlformats.org/officeDocument/2006/relationships/hyperlink" Target="https://dragalialost.wiki/w/In_the_Shadow_of_Radiance" TargetMode="External"/><Relationship Id="rId197" Type="http://schemas.openxmlformats.org/officeDocument/2006/relationships/hyperlink" Target="https://dragalialost.wiki/w/The_Path_She_Believed_In" TargetMode="External"/><Relationship Id="rId362" Type="http://schemas.openxmlformats.org/officeDocument/2006/relationships/hyperlink" Target="https://dragalialost.wiki/w/To_the_Sacred_Tree" TargetMode="External"/><Relationship Id="rId418" Type="http://schemas.openxmlformats.org/officeDocument/2006/relationships/hyperlink" Target="https://dragalialost.wiki/w/Bahamut,_Once_More" TargetMode="External"/><Relationship Id="rId222" Type="http://schemas.openxmlformats.org/officeDocument/2006/relationships/hyperlink" Target="https://dragalialost.wiki/w/The_Black_Fiends" TargetMode="External"/><Relationship Id="rId264" Type="http://schemas.openxmlformats.org/officeDocument/2006/relationships/hyperlink" Target="https://dragalialost.wiki/w/Old_Mountain_Ruin" TargetMode="External"/><Relationship Id="rId471" Type="http://schemas.openxmlformats.org/officeDocument/2006/relationships/hyperlink" Target="https://dragalialost.wiki/w/A_Ray_of_Hope" TargetMode="External"/><Relationship Id="rId17" Type="http://schemas.openxmlformats.org/officeDocument/2006/relationships/hyperlink" Target="https://dragalialost.wiki/w/Clash_Beneath_the_Canopy" TargetMode="External"/><Relationship Id="rId59" Type="http://schemas.openxmlformats.org/officeDocument/2006/relationships/hyperlink" Target="https://dragalialost.wiki/w/The_Three_Mountain_Fiends" TargetMode="External"/><Relationship Id="rId124" Type="http://schemas.openxmlformats.org/officeDocument/2006/relationships/hyperlink" Target="https://dragalialost.wiki/w/Pursue_Emile!" TargetMode="External"/><Relationship Id="rId70" Type="http://schemas.openxmlformats.org/officeDocument/2006/relationships/hyperlink" Target="https://dragalialost.wiki/w/A_Sea_of_Pebbles_and_Petals" TargetMode="External"/><Relationship Id="rId166" Type="http://schemas.openxmlformats.org/officeDocument/2006/relationships/hyperlink" Target="https://dragalialost.wiki/w/Following_the_Darkness" TargetMode="External"/><Relationship Id="rId331" Type="http://schemas.openxmlformats.org/officeDocument/2006/relationships/hyperlink" Target="https://dragalialost.wiki/w/Weeding_Out_the_Weak" TargetMode="External"/><Relationship Id="rId373" Type="http://schemas.openxmlformats.org/officeDocument/2006/relationships/hyperlink" Target="https://dragalialost.wiki/w/The_Agito" TargetMode="External"/><Relationship Id="rId429" Type="http://schemas.openxmlformats.org/officeDocument/2006/relationships/hyperlink" Target="https://dragalialost.wiki/w/Facing_a_Terminal" TargetMode="External"/><Relationship Id="rId1" Type="http://schemas.openxmlformats.org/officeDocument/2006/relationships/hyperlink" Target="https://dragalialost.wiki/w/The_Primal_Windwyrm" TargetMode="External"/><Relationship Id="rId233" Type="http://schemas.openxmlformats.org/officeDocument/2006/relationships/hyperlink" Target="https://dragalialost.wiki/w/Alberia's_Hope" TargetMode="External"/><Relationship Id="rId440" Type="http://schemas.openxmlformats.org/officeDocument/2006/relationships/hyperlink" Target="https://dragalialost.wiki/w/Battle_in_the_Sands" TargetMode="External"/><Relationship Id="rId28" Type="http://schemas.openxmlformats.org/officeDocument/2006/relationships/hyperlink" Target="https://dragalialost.wiki/w/At_The_Hideaway" TargetMode="External"/><Relationship Id="rId275" Type="http://schemas.openxmlformats.org/officeDocument/2006/relationships/hyperlink" Target="https://dragalialost.wiki/w/The_Halidom's_Secret" TargetMode="External"/><Relationship Id="rId300" Type="http://schemas.openxmlformats.org/officeDocument/2006/relationships/hyperlink" Target="https://dragalialost.wiki/w/Winged_Terror" TargetMode="External"/><Relationship Id="rId482" Type="http://schemas.openxmlformats.org/officeDocument/2006/relationships/hyperlink" Target="https://dragalialost.wiki/w/Overcoming_Despair" TargetMode="External"/><Relationship Id="rId81" Type="http://schemas.openxmlformats.org/officeDocument/2006/relationships/hyperlink" Target="https://dragalialost.wiki/w/The_Collapsed_Corridor" TargetMode="External"/><Relationship Id="rId135" Type="http://schemas.openxmlformats.org/officeDocument/2006/relationships/hyperlink" Target="https://dragalialost.wiki/w/The_City_of_Might" TargetMode="External"/><Relationship Id="rId177" Type="http://schemas.openxmlformats.org/officeDocument/2006/relationships/hyperlink" Target="https://dragalialost.wiki/w/Ancient_Weapons" TargetMode="External"/><Relationship Id="rId342" Type="http://schemas.openxmlformats.org/officeDocument/2006/relationships/hyperlink" Target="https://dragalialost.wiki/w/A_Beautiful_Man" TargetMode="External"/><Relationship Id="rId384" Type="http://schemas.openxmlformats.org/officeDocument/2006/relationships/hyperlink" Target="https://dragalialost.wiki/w/Zethia's_Decision" TargetMode="External"/><Relationship Id="rId202" Type="http://schemas.openxmlformats.org/officeDocument/2006/relationships/hyperlink" Target="https://dragalialost.wiki/w/Ferocity" TargetMode="External"/><Relationship Id="rId244" Type="http://schemas.openxmlformats.org/officeDocument/2006/relationships/hyperlink" Target="https://dragalialost.wiki/w/Assault_of_the_Flame_Beast" TargetMode="External"/><Relationship Id="rId39" Type="http://schemas.openxmlformats.org/officeDocument/2006/relationships/hyperlink" Target="https://dragalialost.wiki/w/A_Rocky_Road" TargetMode="External"/><Relationship Id="rId286" Type="http://schemas.openxmlformats.org/officeDocument/2006/relationships/hyperlink" Target="https://dragalialost.wiki/w/Correct_Teachings" TargetMode="External"/><Relationship Id="rId451" Type="http://schemas.openxmlformats.org/officeDocument/2006/relationships/hyperlink" Target="https://dragalialost.wiki/w/Beren's_Fabricated_World" TargetMode="External"/><Relationship Id="rId493" Type="http://schemas.openxmlformats.org/officeDocument/2006/relationships/hyperlink" Target="https://dragalialost.wiki/w/The_Dark_Fortress" TargetMode="External"/><Relationship Id="rId507" Type="http://schemas.openxmlformats.org/officeDocument/2006/relationships/hyperlink" Target="https://dragalialost.wiki/w/A_Fatal_Trap" TargetMode="External"/><Relationship Id="rId50" Type="http://schemas.openxmlformats.org/officeDocument/2006/relationships/hyperlink" Target="https://dragalialost.wiki/w/The_Mountain_Trail" TargetMode="External"/><Relationship Id="rId104" Type="http://schemas.openxmlformats.org/officeDocument/2006/relationships/hyperlink" Target="https://dragalialost.wiki/w/One_Last_Push" TargetMode="External"/><Relationship Id="rId146" Type="http://schemas.openxmlformats.org/officeDocument/2006/relationships/hyperlink" Target="https://dragalialost.wiki/w/Beyond_the_Hellfire" TargetMode="External"/><Relationship Id="rId188" Type="http://schemas.openxmlformats.org/officeDocument/2006/relationships/hyperlink" Target="https://dragalialost.wiki/w/The_Netherwyrm's_Roar" TargetMode="External"/><Relationship Id="rId311" Type="http://schemas.openxmlformats.org/officeDocument/2006/relationships/hyperlink" Target="https://dragalialost.wiki/w/The_Darkness_of_Grams" TargetMode="External"/><Relationship Id="rId353" Type="http://schemas.openxmlformats.org/officeDocument/2006/relationships/hyperlink" Target="https://dragalialost.wiki/w/Together,_Swords_in_Hand" TargetMode="External"/><Relationship Id="rId395" Type="http://schemas.openxmlformats.org/officeDocument/2006/relationships/hyperlink" Target="https://dragalialost.wiki/w/Out_of_Love_for_the_World" TargetMode="External"/><Relationship Id="rId409" Type="http://schemas.openxmlformats.org/officeDocument/2006/relationships/hyperlink" Target="https://dragalialost.wiki/w/Wyrm_of_Genesis_and_Oblivion" TargetMode="External"/><Relationship Id="rId92" Type="http://schemas.openxmlformats.org/officeDocument/2006/relationships/hyperlink" Target="https://dragalialost.wiki/w/Midnight_Melee" TargetMode="External"/><Relationship Id="rId213" Type="http://schemas.openxmlformats.org/officeDocument/2006/relationships/hyperlink" Target="https://dragalialost.wiki/w/Rightful_Ruler" TargetMode="External"/><Relationship Id="rId420" Type="http://schemas.openxmlformats.org/officeDocument/2006/relationships/hyperlink" Target="https://dragalialost.wiki/w/Light_and_Shadow" TargetMode="External"/><Relationship Id="rId255" Type="http://schemas.openxmlformats.org/officeDocument/2006/relationships/hyperlink" Target="https://dragalialost.wiki/w/A_Paladyn's_Past" TargetMode="External"/><Relationship Id="rId297" Type="http://schemas.openxmlformats.org/officeDocument/2006/relationships/hyperlink" Target="https://dragalialost.wiki/w/True_and_Terrible_Power" TargetMode="External"/><Relationship Id="rId462" Type="http://schemas.openxmlformats.org/officeDocument/2006/relationships/hyperlink" Target="https://dragalialost.wiki/w/The_Power_of_Creation" TargetMode="External"/><Relationship Id="rId115" Type="http://schemas.openxmlformats.org/officeDocument/2006/relationships/hyperlink" Target="https://dragalialost.wiki/w/Waterside_Cleanup" TargetMode="External"/><Relationship Id="rId157" Type="http://schemas.openxmlformats.org/officeDocument/2006/relationships/hyperlink" Target="https://dragalialost.wiki/w/A_New_Horse" TargetMode="External"/><Relationship Id="rId322" Type="http://schemas.openxmlformats.org/officeDocument/2006/relationships/hyperlink" Target="https://dragalialost.wiki/w/A_Clandestine_Conversation" TargetMode="External"/><Relationship Id="rId364" Type="http://schemas.openxmlformats.org/officeDocument/2006/relationships/hyperlink" Target="https://dragalialost.wiki/w/The_Root-Laden_Path" TargetMode="External"/><Relationship Id="rId61" Type="http://schemas.openxmlformats.org/officeDocument/2006/relationships/hyperlink" Target="https://dragalialost.wiki/w/Battle_to_Save_Emile" TargetMode="External"/><Relationship Id="rId199" Type="http://schemas.openxmlformats.org/officeDocument/2006/relationships/hyperlink" Target="https://dragalialost.wiki/w/The_Flames_of_Battle" TargetMode="External"/><Relationship Id="rId19" Type="http://schemas.openxmlformats.org/officeDocument/2006/relationships/hyperlink" Target="https://dragalialost.wiki/w/A_Changed_Alberia" TargetMode="External"/><Relationship Id="rId224" Type="http://schemas.openxmlformats.org/officeDocument/2006/relationships/hyperlink" Target="https://dragalialost.wiki/w/Battle_on_the_Byroad" TargetMode="External"/><Relationship Id="rId266" Type="http://schemas.openxmlformats.org/officeDocument/2006/relationships/hyperlink" Target="https://dragalialost.wiki/w/Through_the_Thunderclouds" TargetMode="External"/><Relationship Id="rId431" Type="http://schemas.openxmlformats.org/officeDocument/2006/relationships/hyperlink" Target="https://dragalialost.wiki/w/Resurrection" TargetMode="External"/><Relationship Id="rId473" Type="http://schemas.openxmlformats.org/officeDocument/2006/relationships/hyperlink" Target="https://dragalialost.wiki/w/Twisted_Possibility" TargetMode="External"/><Relationship Id="rId30" Type="http://schemas.openxmlformats.org/officeDocument/2006/relationships/hyperlink" Target="https://dragalialost.wiki/w/The_Glistening_Waterwyrm" TargetMode="External"/><Relationship Id="rId126" Type="http://schemas.openxmlformats.org/officeDocument/2006/relationships/hyperlink" Target="https://dragalialost.wiki/w/The_General's_Stratagem" TargetMode="External"/><Relationship Id="rId168" Type="http://schemas.openxmlformats.org/officeDocument/2006/relationships/hyperlink" Target="https://dragalialost.wiki/w/Impending_Disaster" TargetMode="External"/><Relationship Id="rId333" Type="http://schemas.openxmlformats.org/officeDocument/2006/relationships/hyperlink" Target="https://dragalialost.wiki/w/Mountain_of_Snow_and_Ice" TargetMode="External"/><Relationship Id="rId72" Type="http://schemas.openxmlformats.org/officeDocument/2006/relationships/hyperlink" Target="https://dragalialost.wiki/w/What_Defines_a_Hero" TargetMode="External"/><Relationship Id="rId375" Type="http://schemas.openxmlformats.org/officeDocument/2006/relationships/hyperlink" Target="https://dragalialost.wiki/w/In_Exchange_for_Prayer" TargetMode="External"/><Relationship Id="rId3" Type="http://schemas.openxmlformats.org/officeDocument/2006/relationships/hyperlink" Target="https://dragalialost.wiki/w/In_Pursuit_of_the_Shard" TargetMode="External"/><Relationship Id="rId235" Type="http://schemas.openxmlformats.org/officeDocument/2006/relationships/hyperlink" Target="https://dragalialost.wiki/w/Sowing_Chaos" TargetMode="External"/><Relationship Id="rId277" Type="http://schemas.openxmlformats.org/officeDocument/2006/relationships/hyperlink" Target="https://dragalialost.wiki/w/An_Uncertain_Heart" TargetMode="External"/><Relationship Id="rId400" Type="http://schemas.openxmlformats.org/officeDocument/2006/relationships/hyperlink" Target="https://dragalialost.wiki/w/Fall_of_the_Holywyrm" TargetMode="External"/><Relationship Id="rId442" Type="http://schemas.openxmlformats.org/officeDocument/2006/relationships/hyperlink" Target="https://dragalialost.wiki/w/The_Soul's_Lament" TargetMode="External"/><Relationship Id="rId484" Type="http://schemas.openxmlformats.org/officeDocument/2006/relationships/hyperlink" Target="https://dragalialost.wiki/w/Vessel_of_Creation" TargetMode="External"/><Relationship Id="rId137" Type="http://schemas.openxmlformats.org/officeDocument/2006/relationships/hyperlink" Target="https://dragalialost.wiki/w/Burning_Blood" TargetMode="External"/><Relationship Id="rId302" Type="http://schemas.openxmlformats.org/officeDocument/2006/relationships/hyperlink" Target="https://dragalialost.wiki/w/After_the_Lost_Child" TargetMode="External"/><Relationship Id="rId344" Type="http://schemas.openxmlformats.org/officeDocument/2006/relationships/hyperlink" Target="https://dragalialost.wiki/w/Approaching_Androids" TargetMode="External"/><Relationship Id="rId41" Type="http://schemas.openxmlformats.org/officeDocument/2006/relationships/hyperlink" Target="https://dragalialost.wiki/w/No_Failing_Now" TargetMode="External"/><Relationship Id="rId83" Type="http://schemas.openxmlformats.org/officeDocument/2006/relationships/hyperlink" Target="https://dragalialost.wiki/w/The_Channeling_Chamber" TargetMode="External"/><Relationship Id="rId179" Type="http://schemas.openxmlformats.org/officeDocument/2006/relationships/hyperlink" Target="https://dragalialost.wiki/w/Mascula's_Activation" TargetMode="External"/><Relationship Id="rId386" Type="http://schemas.openxmlformats.org/officeDocument/2006/relationships/hyperlink" Target="https://dragalialost.wiki/w/The_Blossoms_of_War" TargetMode="External"/><Relationship Id="rId190" Type="http://schemas.openxmlformats.org/officeDocument/2006/relationships/hyperlink" Target="https://dragalialost.wiki/w/Blocked_Path" TargetMode="External"/><Relationship Id="rId204" Type="http://schemas.openxmlformats.org/officeDocument/2006/relationships/hyperlink" Target="https://dragalialost.wiki/w/Setting_a_Trap" TargetMode="External"/><Relationship Id="rId246" Type="http://schemas.openxmlformats.org/officeDocument/2006/relationships/hyperlink" Target="https://dragalialost.wiki/w/%3F%3F%3F_(Chapter_14)" TargetMode="External"/><Relationship Id="rId288" Type="http://schemas.openxmlformats.org/officeDocument/2006/relationships/hyperlink" Target="https://dragalialost.wiki/w/An_Unwavering_Heart" TargetMode="External"/><Relationship Id="rId411" Type="http://schemas.openxmlformats.org/officeDocument/2006/relationships/hyperlink" Target="https://dragalialost.wiki/w/Bahamut_(Quest)" TargetMode="External"/><Relationship Id="rId453" Type="http://schemas.openxmlformats.org/officeDocument/2006/relationships/hyperlink" Target="https://dragalialost.wiki/w/The_Primal_Greatwyrms" TargetMode="External"/><Relationship Id="rId509" Type="http://schemas.openxmlformats.org/officeDocument/2006/relationships/hyperlink" Target="https://dragalialost.wiki/w/The_Wounded_Wyrm" TargetMode="External"/><Relationship Id="rId106" Type="http://schemas.openxmlformats.org/officeDocument/2006/relationships/hyperlink" Target="https://dragalialost.wiki/w/Indomitable_Titan" TargetMode="External"/><Relationship Id="rId313" Type="http://schemas.openxmlformats.org/officeDocument/2006/relationships/hyperlink" Target="https://dragalialost.wiki/w/Battle_in_Grams" TargetMode="External"/><Relationship Id="rId495" Type="http://schemas.openxmlformats.org/officeDocument/2006/relationships/hyperlink" Target="https://dragalialost.wiki/w/The_Shackled_Holywyrm" TargetMode="External"/><Relationship Id="rId10" Type="http://schemas.openxmlformats.org/officeDocument/2006/relationships/hyperlink" Target="https://dragalialost.wiki/w/A_True_Pact" TargetMode="External"/><Relationship Id="rId52" Type="http://schemas.openxmlformats.org/officeDocument/2006/relationships/hyperlink" Target="https://dragalialost.wiki/w/Beware_the_Rolling_Rocks" TargetMode="External"/><Relationship Id="rId94" Type="http://schemas.openxmlformats.org/officeDocument/2006/relationships/hyperlink" Target="https://dragalialost.wiki/w/The_Frothing_Mire" TargetMode="External"/><Relationship Id="rId148" Type="http://schemas.openxmlformats.org/officeDocument/2006/relationships/hyperlink" Target="https://dragalialost.wiki/w/The_Princess's_Invitation" TargetMode="External"/><Relationship Id="rId355" Type="http://schemas.openxmlformats.org/officeDocument/2006/relationships/hyperlink" Target="https://dragalialost.wiki/w/More_than_Artificial" TargetMode="External"/><Relationship Id="rId397" Type="http://schemas.openxmlformats.org/officeDocument/2006/relationships/hyperlink" Target="https://dragalialost.wiki/w/Cataclysm_in_Full_Bloom" TargetMode="External"/><Relationship Id="rId215" Type="http://schemas.openxmlformats.org/officeDocument/2006/relationships/hyperlink" Target="https://dragalialost.wiki/w/Old_Memories" TargetMode="External"/><Relationship Id="rId257" Type="http://schemas.openxmlformats.org/officeDocument/2006/relationships/hyperlink" Target="https://dragalialost.wiki/w/A_Prince's_Ambitions" TargetMode="External"/><Relationship Id="rId422" Type="http://schemas.openxmlformats.org/officeDocument/2006/relationships/hyperlink" Target="https://dragalialost.wiki/w/What's_Left_Behind" TargetMode="External"/><Relationship Id="rId464" Type="http://schemas.openxmlformats.org/officeDocument/2006/relationships/hyperlink" Target="https://dragalialost.wiki/w/The_Primal_Trial" TargetMode="External"/><Relationship Id="rId299" Type="http://schemas.openxmlformats.org/officeDocument/2006/relationships/hyperlink" Target="https://dragalialost.wiki/w/Enscorcelled_Halls" TargetMode="Externa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53.xml.rels><?xml version="1.0" encoding="UTF-8" standalone="yes"?>
<Relationships xmlns="http://schemas.openxmlformats.org/package/2006/relationships"><Relationship Id="rId117" Type="http://schemas.openxmlformats.org/officeDocument/2006/relationships/hyperlink" Target="https://dragalialost.wiki/w/Mona" TargetMode="External"/><Relationship Id="rId671" Type="http://schemas.openxmlformats.org/officeDocument/2006/relationships/hyperlink" Target="https://dragalialost.wiki/w/Hand_in_Hand" TargetMode="External"/><Relationship Id="rId769" Type="http://schemas.openxmlformats.org/officeDocument/2006/relationships/hyperlink" Target="https://dragalialost.wiki/w/Dragon_and_Tamer" TargetMode="External"/><Relationship Id="rId21" Type="http://schemas.openxmlformats.org/officeDocument/2006/relationships/hyperlink" Target="https://dragalialost.wiki/w/Yuya" TargetMode="External"/><Relationship Id="rId324" Type="http://schemas.openxmlformats.org/officeDocument/2006/relationships/hyperlink" Target="https://dragalialost.wiki/w/Summer_Marishiten" TargetMode="External"/><Relationship Id="rId531" Type="http://schemas.openxmlformats.org/officeDocument/2006/relationships/hyperlink" Target="https://dragalialost.wiki/w/One_with_the_Shadows" TargetMode="External"/><Relationship Id="rId629" Type="http://schemas.openxmlformats.org/officeDocument/2006/relationships/hyperlink" Target="https://dragalialost.wiki/w/Happy_Times" TargetMode="External"/><Relationship Id="rId170" Type="http://schemas.openxmlformats.org/officeDocument/2006/relationships/hyperlink" Target="https://dragalialost.wiki/w/Sophie" TargetMode="External"/><Relationship Id="rId268" Type="http://schemas.openxmlformats.org/officeDocument/2006/relationships/hyperlink" Target="https://dragalialost.wiki/w/Lathna" TargetMode="External"/><Relationship Id="rId475" Type="http://schemas.openxmlformats.org/officeDocument/2006/relationships/hyperlink" Target="https://dragalialost.wiki/w/Crown_of_Yore" TargetMode="External"/><Relationship Id="rId682" Type="http://schemas.openxmlformats.org/officeDocument/2006/relationships/hyperlink" Target="https://dragalialost.wiki/w/As_the_Snow_Falls" TargetMode="External"/><Relationship Id="rId32" Type="http://schemas.openxmlformats.org/officeDocument/2006/relationships/hyperlink" Target="https://dragalialost.wiki/w/Nadine" TargetMode="External"/><Relationship Id="rId128" Type="http://schemas.openxmlformats.org/officeDocument/2006/relationships/hyperlink" Target="https://dragalialost.wiki/w/Addis" TargetMode="External"/><Relationship Id="rId335" Type="http://schemas.openxmlformats.org/officeDocument/2006/relationships/hyperlink" Target="https://dragalialost.wiki/w/Dragonyule_Jeanne" TargetMode="External"/><Relationship Id="rId542" Type="http://schemas.openxmlformats.org/officeDocument/2006/relationships/hyperlink" Target="https://dragalialost.wiki/w/The_Warrioresses" TargetMode="External"/><Relationship Id="rId181" Type="http://schemas.openxmlformats.org/officeDocument/2006/relationships/hyperlink" Target="https://dragalialost.wiki/w/Humanoid_Jupiter" TargetMode="External"/><Relationship Id="rId402" Type="http://schemas.openxmlformats.org/officeDocument/2006/relationships/hyperlink" Target="https://dragalialost.wiki/w/Azazel" TargetMode="External"/><Relationship Id="rId279" Type="http://schemas.openxmlformats.org/officeDocument/2006/relationships/hyperlink" Target="https://dragalialost.wiki/w/Zena" TargetMode="External"/><Relationship Id="rId486" Type="http://schemas.openxmlformats.org/officeDocument/2006/relationships/hyperlink" Target="https://dragalialost.wiki/w/Alberian_Banner" TargetMode="External"/><Relationship Id="rId693" Type="http://schemas.openxmlformats.org/officeDocument/2006/relationships/hyperlink" Target="https://dragalialost.wiki/w/The_Bustling_Hut" TargetMode="External"/><Relationship Id="rId707" Type="http://schemas.openxmlformats.org/officeDocument/2006/relationships/hyperlink" Target="https://dragalialost.wiki/w/Getting_Acquainted" TargetMode="External"/><Relationship Id="rId43" Type="http://schemas.openxmlformats.org/officeDocument/2006/relationships/hyperlink" Target="https://dragalialost.wiki/w/Incognito_Nefaria" TargetMode="External"/><Relationship Id="rId139" Type="http://schemas.openxmlformats.org/officeDocument/2006/relationships/hyperlink" Target="https://dragalialost.wiki/w/Summer_Amane" TargetMode="External"/><Relationship Id="rId346" Type="http://schemas.openxmlformats.org/officeDocument/2006/relationships/hyperlink" Target="https://dragalialost.wiki/w/Fudo_Myo-o" TargetMode="External"/><Relationship Id="rId553" Type="http://schemas.openxmlformats.org/officeDocument/2006/relationships/hyperlink" Target="https://dragalialost.wiki/w/Fluff_Aplenty" TargetMode="External"/><Relationship Id="rId760" Type="http://schemas.openxmlformats.org/officeDocument/2006/relationships/hyperlink" Target="https://dragalialost.wiki/w/Second_Anniversary" TargetMode="External"/><Relationship Id="rId192" Type="http://schemas.openxmlformats.org/officeDocument/2006/relationships/hyperlink" Target="https://dragalialost.wiki/w/Fleur" TargetMode="External"/><Relationship Id="rId206" Type="http://schemas.openxmlformats.org/officeDocument/2006/relationships/hyperlink" Target="https://dragalialost.wiki/w/Halloween_Elisanne" TargetMode="External"/><Relationship Id="rId413" Type="http://schemas.openxmlformats.org/officeDocument/2006/relationships/hyperlink" Target="https://dragalialost.wiki/w/Marishiten" TargetMode="External"/><Relationship Id="rId497" Type="http://schemas.openxmlformats.org/officeDocument/2006/relationships/hyperlink" Target="https://dragalialost.wiki/w/Pipe_Down" TargetMode="External"/><Relationship Id="rId620" Type="http://schemas.openxmlformats.org/officeDocument/2006/relationships/hyperlink" Target="https://dragalialost.wiki/w/Roast_Feast" TargetMode="External"/><Relationship Id="rId718" Type="http://schemas.openxmlformats.org/officeDocument/2006/relationships/hyperlink" Target="https://dragalialost.wiki/w/Sniper's_Allure" TargetMode="External"/><Relationship Id="rId357" Type="http://schemas.openxmlformats.org/officeDocument/2006/relationships/hyperlink" Target="https://dragalialost.wiki/w/Vayu" TargetMode="External"/><Relationship Id="rId54" Type="http://schemas.openxmlformats.org/officeDocument/2006/relationships/hyperlink" Target="https://dragalialost.wiki/w/Dragonyule_Ilia" TargetMode="External"/><Relationship Id="rId217" Type="http://schemas.openxmlformats.org/officeDocument/2006/relationships/hyperlink" Target="https://dragalialost.wiki/w/Malora" TargetMode="External"/><Relationship Id="rId564" Type="http://schemas.openxmlformats.org/officeDocument/2006/relationships/hyperlink" Target="https://dragalialost.wiki/w/A_Pledge_of_Protection" TargetMode="External"/><Relationship Id="rId771" Type="http://schemas.openxmlformats.org/officeDocument/2006/relationships/hyperlink" Target="https://dragalialost.wiki/w/Astounding_Trick" TargetMode="External"/><Relationship Id="rId424" Type="http://schemas.openxmlformats.org/officeDocument/2006/relationships/hyperlink" Target="https://dragalialost.wiki/w/Gloom_Drake" TargetMode="External"/><Relationship Id="rId631" Type="http://schemas.openxmlformats.org/officeDocument/2006/relationships/hyperlink" Target="https://dragalialost.wiki/w/Here_Come_the_Sealers!" TargetMode="External"/><Relationship Id="rId729" Type="http://schemas.openxmlformats.org/officeDocument/2006/relationships/hyperlink" Target="https://dragalialost.wiki/w/Springtime_Breeze" TargetMode="External"/><Relationship Id="rId270" Type="http://schemas.openxmlformats.org/officeDocument/2006/relationships/hyperlink" Target="https://dragalialost.wiki/w/Patia" TargetMode="External"/><Relationship Id="rId65" Type="http://schemas.openxmlformats.org/officeDocument/2006/relationships/hyperlink" Target="https://dragalialost.wiki/w/Halloween_Akasha" TargetMode="External"/><Relationship Id="rId130" Type="http://schemas.openxmlformats.org/officeDocument/2006/relationships/hyperlink" Target="https://dragalialost.wiki/w/Melody" TargetMode="External"/><Relationship Id="rId368" Type="http://schemas.openxmlformats.org/officeDocument/2006/relationships/hyperlink" Target="https://dragalialost.wiki/w/Midgardsormr" TargetMode="External"/><Relationship Id="rId575" Type="http://schemas.openxmlformats.org/officeDocument/2006/relationships/hyperlink" Target="https://dragalialost.wiki/w/What_a_Handful!" TargetMode="External"/><Relationship Id="rId228" Type="http://schemas.openxmlformats.org/officeDocument/2006/relationships/hyperlink" Target="https://dragalialost.wiki/w/Hildegarde" TargetMode="External"/><Relationship Id="rId435" Type="http://schemas.openxmlformats.org/officeDocument/2006/relationships/hyperlink" Target="https://dragalialost.wiki/w/Arsene" TargetMode="External"/><Relationship Id="rId642" Type="http://schemas.openxmlformats.org/officeDocument/2006/relationships/hyperlink" Target="https://dragalialost.wiki/w/Mana_Fount" TargetMode="External"/><Relationship Id="rId281" Type="http://schemas.openxmlformats.org/officeDocument/2006/relationships/hyperlink" Target="https://dragalialost.wiki/w/Gala_Cleo" TargetMode="External"/><Relationship Id="rId502" Type="http://schemas.openxmlformats.org/officeDocument/2006/relationships/hyperlink" Target="https://dragalialost.wiki/w/Odd_Sparrows" TargetMode="External"/><Relationship Id="rId76" Type="http://schemas.openxmlformats.org/officeDocument/2006/relationships/hyperlink" Target="https://dragalialost.wiki/w/Luther" TargetMode="External"/><Relationship Id="rId141" Type="http://schemas.openxmlformats.org/officeDocument/2006/relationships/hyperlink" Target="https://dragalialost.wiki/w/Ranzal" TargetMode="External"/><Relationship Id="rId379" Type="http://schemas.openxmlformats.org/officeDocument/2006/relationships/hyperlink" Target="https://dragalialost.wiki/w/Daikokuten" TargetMode="External"/><Relationship Id="rId586" Type="http://schemas.openxmlformats.org/officeDocument/2006/relationships/hyperlink" Target="https://dragalialost.wiki/w/A_Royal_Tea_Party" TargetMode="External"/><Relationship Id="rId7" Type="http://schemas.openxmlformats.org/officeDocument/2006/relationships/hyperlink" Target="https://dragalialost.wiki/w/Serena" TargetMode="External"/><Relationship Id="rId239" Type="http://schemas.openxmlformats.org/officeDocument/2006/relationships/hyperlink" Target="https://dragalialost.wiki/w/Alberius" TargetMode="External"/><Relationship Id="rId446" Type="http://schemas.openxmlformats.org/officeDocument/2006/relationships/hyperlink" Target="https://dragalialost.wiki/w/Beneath_the_Boughs_(Wolf's_Boon)" TargetMode="External"/><Relationship Id="rId653" Type="http://schemas.openxmlformats.org/officeDocument/2006/relationships/hyperlink" Target="https://dragalialost.wiki/w/Wily_Warriors:_Air_&amp;_Crash" TargetMode="External"/><Relationship Id="rId292" Type="http://schemas.openxmlformats.org/officeDocument/2006/relationships/hyperlink" Target="https://dragalialost.wiki/w/Gala_Chelle" TargetMode="External"/><Relationship Id="rId306" Type="http://schemas.openxmlformats.org/officeDocument/2006/relationships/hyperlink" Target="https://dragalialost.wiki/w/Gala_Mars" TargetMode="External"/><Relationship Id="rId87" Type="http://schemas.openxmlformats.org/officeDocument/2006/relationships/hyperlink" Target="https://dragalialost.wiki/w/Xainfried" TargetMode="External"/><Relationship Id="rId513" Type="http://schemas.openxmlformats.org/officeDocument/2006/relationships/hyperlink" Target="https://dragalialost.wiki/w/A_Passion_for_Produce" TargetMode="External"/><Relationship Id="rId597" Type="http://schemas.openxmlformats.org/officeDocument/2006/relationships/hyperlink" Target="https://dragalialost.wiki/w/A_Mother's_Love" TargetMode="External"/><Relationship Id="rId720" Type="http://schemas.openxmlformats.org/officeDocument/2006/relationships/hyperlink" Target="https://dragalialost.wiki/w/Beauty's_Secret" TargetMode="External"/><Relationship Id="rId152" Type="http://schemas.openxmlformats.org/officeDocument/2006/relationships/hyperlink" Target="https://dragalialost.wiki/w/Meene" TargetMode="External"/><Relationship Id="rId457" Type="http://schemas.openxmlformats.org/officeDocument/2006/relationships/hyperlink" Target="https://dragalialost.wiki/w/Treasured_Memory_of_the_Sea_(Butterfly's_Boon)" TargetMode="External"/><Relationship Id="rId664" Type="http://schemas.openxmlformats.org/officeDocument/2006/relationships/hyperlink" Target="https://dragalialost.wiki/w/Me_and_My_Bestie!" TargetMode="External"/><Relationship Id="rId14" Type="http://schemas.openxmlformats.org/officeDocument/2006/relationships/hyperlink" Target="https://dragalialost.wiki/w/Mikoto" TargetMode="External"/><Relationship Id="rId317" Type="http://schemas.openxmlformats.org/officeDocument/2006/relationships/hyperlink" Target="https://dragalialost.wiki/w/Ifrit" TargetMode="External"/><Relationship Id="rId524" Type="http://schemas.openxmlformats.org/officeDocument/2006/relationships/hyperlink" Target="https://dragalialost.wiki/w/The_Plaguebringer" TargetMode="External"/><Relationship Id="rId731" Type="http://schemas.openxmlformats.org/officeDocument/2006/relationships/hyperlink" Target="https://dragalialost.wiki/w/Rivalry_of_Kings" TargetMode="External"/><Relationship Id="rId98" Type="http://schemas.openxmlformats.org/officeDocument/2006/relationships/hyperlink" Target="https://dragalialost.wiki/w/Origa" TargetMode="External"/><Relationship Id="rId163" Type="http://schemas.openxmlformats.org/officeDocument/2006/relationships/hyperlink" Target="https://dragalialost.wiki/w/Noelle" TargetMode="External"/><Relationship Id="rId370" Type="http://schemas.openxmlformats.org/officeDocument/2006/relationships/hyperlink" Target="https://dragalialost.wiki/w/Gust_Drake" TargetMode="External"/><Relationship Id="rId230" Type="http://schemas.openxmlformats.org/officeDocument/2006/relationships/hyperlink" Target="https://dragalialost.wiki/w/Vixel" TargetMode="External"/><Relationship Id="rId468" Type="http://schemas.openxmlformats.org/officeDocument/2006/relationships/hyperlink" Target="https://dragalialost.wiki/w/Valiant_Crown" TargetMode="External"/><Relationship Id="rId675" Type="http://schemas.openxmlformats.org/officeDocument/2006/relationships/hyperlink" Target="https://dragalialost.wiki/w/Caged_Desire" TargetMode="External"/><Relationship Id="rId25" Type="http://schemas.openxmlformats.org/officeDocument/2006/relationships/hyperlink" Target="https://dragalialost.wiki/w/Child_Ranzal" TargetMode="External"/><Relationship Id="rId328" Type="http://schemas.openxmlformats.org/officeDocument/2006/relationships/hyperlink" Target="https://dragalialost.wiki/w/Styx" TargetMode="External"/><Relationship Id="rId535" Type="http://schemas.openxmlformats.org/officeDocument/2006/relationships/hyperlink" Target="https://dragalialost.wiki/w/The_Ilian_Faithful" TargetMode="External"/><Relationship Id="rId742" Type="http://schemas.openxmlformats.org/officeDocument/2006/relationships/hyperlink" Target="https://dragalialost.wiki/w/The_Bewitching_Magician" TargetMode="External"/><Relationship Id="rId174" Type="http://schemas.openxmlformats.org/officeDocument/2006/relationships/hyperlink" Target="https://dragalialost.wiki/w/Civilian_Leif" TargetMode="External"/><Relationship Id="rId381" Type="http://schemas.openxmlformats.org/officeDocument/2006/relationships/hyperlink" Target="https://dragalialost.wiki/w/Takemikazuchi" TargetMode="External"/><Relationship Id="rId602" Type="http://schemas.openxmlformats.org/officeDocument/2006/relationships/hyperlink" Target="https://dragalialost.wiki/w/Greatwyrm_Jupiter" TargetMode="External"/><Relationship Id="rId241" Type="http://schemas.openxmlformats.org/officeDocument/2006/relationships/hyperlink" Target="https://dragalialost.wiki/w/Yaten" TargetMode="External"/><Relationship Id="rId479" Type="http://schemas.openxmlformats.org/officeDocument/2006/relationships/hyperlink" Target="https://dragalialost.wiki/w/Happier_Times" TargetMode="External"/><Relationship Id="rId686" Type="http://schemas.openxmlformats.org/officeDocument/2006/relationships/hyperlink" Target="https://dragalialost.wiki/w/Once_in_a_Lifetime" TargetMode="External"/><Relationship Id="rId36" Type="http://schemas.openxmlformats.org/officeDocument/2006/relationships/hyperlink" Target="https://dragalialost.wiki/w/Alain" TargetMode="External"/><Relationship Id="rId339" Type="http://schemas.openxmlformats.org/officeDocument/2006/relationships/hyperlink" Target="https://dragalialost.wiki/w/Poseidon" TargetMode="External"/><Relationship Id="rId546" Type="http://schemas.openxmlformats.org/officeDocument/2006/relationships/hyperlink" Target="https://dragalialost.wiki/w/Potiongrass" TargetMode="External"/><Relationship Id="rId753" Type="http://schemas.openxmlformats.org/officeDocument/2006/relationships/hyperlink" Target="https://dragalialost.wiki/w/One-Winged_Journey" TargetMode="External"/><Relationship Id="rId101" Type="http://schemas.openxmlformats.org/officeDocument/2006/relationships/hyperlink" Target="https://dragalialost.wiki/w/Yurius" TargetMode="External"/><Relationship Id="rId185" Type="http://schemas.openxmlformats.org/officeDocument/2006/relationships/hyperlink" Target="https://dragalialost.wiki/w/Hanabusa" TargetMode="External"/><Relationship Id="rId406" Type="http://schemas.openxmlformats.org/officeDocument/2006/relationships/hyperlink" Target="https://dragalialost.wiki/w/Epimetheus" TargetMode="External"/><Relationship Id="rId392" Type="http://schemas.openxmlformats.org/officeDocument/2006/relationships/hyperlink" Target="https://dragalialost.wiki/w/Jupiter" TargetMode="External"/><Relationship Id="rId613" Type="http://schemas.openxmlformats.org/officeDocument/2006/relationships/hyperlink" Target="https://dragalialost.wiki/w/Glorious_Tempest" TargetMode="External"/><Relationship Id="rId697" Type="http://schemas.openxmlformats.org/officeDocument/2006/relationships/hyperlink" Target="https://dragalialost.wiki/w/Summer_Paladyns" TargetMode="External"/><Relationship Id="rId252" Type="http://schemas.openxmlformats.org/officeDocument/2006/relationships/hyperlink" Target="https://dragalialost.wiki/w/Summer_Prince" TargetMode="External"/><Relationship Id="rId47" Type="http://schemas.openxmlformats.org/officeDocument/2006/relationships/hyperlink" Target="https://dragalialost.wiki/w/Xania" TargetMode="External"/><Relationship Id="rId112" Type="http://schemas.openxmlformats.org/officeDocument/2006/relationships/hyperlink" Target="https://dragalialost.wiki/w/Sharpshooter_Sarisse" TargetMode="External"/><Relationship Id="rId557" Type="http://schemas.openxmlformats.org/officeDocument/2006/relationships/hyperlink" Target="https://dragalialost.wiki/w/Destiny's_Hand" TargetMode="External"/><Relationship Id="rId764" Type="http://schemas.openxmlformats.org/officeDocument/2006/relationships/hyperlink" Target="https://dragalialost.wiki/w/Sisters'_Day_Out" TargetMode="External"/><Relationship Id="rId196" Type="http://schemas.openxmlformats.org/officeDocument/2006/relationships/hyperlink" Target="https://dragalialost.wiki/w/Gala_Audric" TargetMode="External"/><Relationship Id="rId417" Type="http://schemas.openxmlformats.org/officeDocument/2006/relationships/hyperlink" Target="https://dragalialost.wiki/w/Nidhogg" TargetMode="External"/><Relationship Id="rId624" Type="http://schemas.openxmlformats.org/officeDocument/2006/relationships/hyperlink" Target="https://dragalialost.wiki/w/The_Greatest_Gift" TargetMode="External"/><Relationship Id="rId263" Type="http://schemas.openxmlformats.org/officeDocument/2006/relationships/hyperlink" Target="https://dragalialost.wiki/w/Curran" TargetMode="External"/><Relationship Id="rId470" Type="http://schemas.openxmlformats.org/officeDocument/2006/relationships/hyperlink" Target="https://dragalialost.wiki/w/Evening_of_Luxury" TargetMode="External"/><Relationship Id="rId58" Type="http://schemas.openxmlformats.org/officeDocument/2006/relationships/hyperlink" Target="https://dragalialost.wiki/w/Eugene" TargetMode="External"/><Relationship Id="rId123" Type="http://schemas.openxmlformats.org/officeDocument/2006/relationships/hyperlink" Target="https://dragalialost.wiki/w/Harle" TargetMode="External"/><Relationship Id="rId330" Type="http://schemas.openxmlformats.org/officeDocument/2006/relationships/hyperlink" Target="https://dragalialost.wiki/w/Nimis" TargetMode="External"/><Relationship Id="rId568" Type="http://schemas.openxmlformats.org/officeDocument/2006/relationships/hyperlink" Target="https://dragalialost.wiki/w/Blossoms_Ablaze" TargetMode="External"/><Relationship Id="rId775" Type="http://schemas.openxmlformats.org/officeDocument/2006/relationships/hyperlink" Target="https://dragalialost.wiki/w/Valentine's_Ezelith" TargetMode="External"/><Relationship Id="rId428" Type="http://schemas.openxmlformats.org/officeDocument/2006/relationships/hyperlink" Target="https://dragalialost.wiki/w/Primal_Mercury" TargetMode="External"/><Relationship Id="rId635" Type="http://schemas.openxmlformats.org/officeDocument/2006/relationships/hyperlink" Target="https://dragalialost.wiki/w/Pumpkin_Pail" TargetMode="External"/><Relationship Id="rId274" Type="http://schemas.openxmlformats.org/officeDocument/2006/relationships/hyperlink" Target="https://dragalialost.wiki/w/Opera_Karina" TargetMode="External"/><Relationship Id="rId481" Type="http://schemas.openxmlformats.org/officeDocument/2006/relationships/hyperlink" Target="https://dragalialost.wiki/w/Warrior_Maiden" TargetMode="External"/><Relationship Id="rId702" Type="http://schemas.openxmlformats.org/officeDocument/2006/relationships/hyperlink" Target="https://dragalialost.wiki/w/Gentle_Winds" TargetMode="External"/><Relationship Id="rId69" Type="http://schemas.openxmlformats.org/officeDocument/2006/relationships/hyperlink" Target="https://dragalialost.wiki/w/Jurota" TargetMode="External"/><Relationship Id="rId134" Type="http://schemas.openxmlformats.org/officeDocument/2006/relationships/hyperlink" Target="https://dragalialost.wiki/w/Wedding_Aoi" TargetMode="External"/><Relationship Id="rId579" Type="http://schemas.openxmlformats.org/officeDocument/2006/relationships/hyperlink" Target="https://dragalialost.wiki/w/Night_Harbinger" TargetMode="External"/><Relationship Id="rId341" Type="http://schemas.openxmlformats.org/officeDocument/2006/relationships/hyperlink" Target="https://dragalialost.wiki/w/Mercury" TargetMode="External"/><Relationship Id="rId439" Type="http://schemas.openxmlformats.org/officeDocument/2006/relationships/hyperlink" Target="https://dragalialost.wiki/w/Tutelary's_Destiny_(Wolf's_Boon)" TargetMode="External"/><Relationship Id="rId646" Type="http://schemas.openxmlformats.org/officeDocument/2006/relationships/hyperlink" Target="https://dragalialost.wiki/w/The_Petal_Queen" TargetMode="External"/><Relationship Id="rId201" Type="http://schemas.openxmlformats.org/officeDocument/2006/relationships/hyperlink" Target="https://dragalialost.wiki/w/Summer_Luca" TargetMode="External"/><Relationship Id="rId285" Type="http://schemas.openxmlformats.org/officeDocument/2006/relationships/hyperlink" Target="https://dragalialost.wiki/w/Grace" TargetMode="External"/><Relationship Id="rId506" Type="http://schemas.openxmlformats.org/officeDocument/2006/relationships/hyperlink" Target="https://dragalialost.wiki/w/An_Ancient_Oath" TargetMode="External"/><Relationship Id="rId492" Type="http://schemas.openxmlformats.org/officeDocument/2006/relationships/hyperlink" Target="https://dragalialost.wiki/w/Such_High_Spirits!" TargetMode="External"/><Relationship Id="rId713" Type="http://schemas.openxmlformats.org/officeDocument/2006/relationships/hyperlink" Target="https://dragalialost.wiki/w/Wings_in_the_Night" TargetMode="External"/><Relationship Id="rId145" Type="http://schemas.openxmlformats.org/officeDocument/2006/relationships/hyperlink" Target="https://dragalialost.wiki/w/Grimnir" TargetMode="External"/><Relationship Id="rId352" Type="http://schemas.openxmlformats.org/officeDocument/2006/relationships/hyperlink" Target="https://dragalialost.wiki/w/Summer_Konohana_Sakuya" TargetMode="External"/><Relationship Id="rId212" Type="http://schemas.openxmlformats.org/officeDocument/2006/relationships/hyperlink" Target="https://dragalialost.wiki/w/Summer_Mikoto" TargetMode="External"/><Relationship Id="rId657" Type="http://schemas.openxmlformats.org/officeDocument/2006/relationships/hyperlink" Target="https://dragalialost.wiki/w/Mega_Friends" TargetMode="External"/><Relationship Id="rId296" Type="http://schemas.openxmlformats.org/officeDocument/2006/relationships/hyperlink" Target="https://dragalialost.wiki/w/Kai_Yan" TargetMode="External"/><Relationship Id="rId517" Type="http://schemas.openxmlformats.org/officeDocument/2006/relationships/hyperlink" Target="https://dragalialost.wiki/w/Candy_Couriers" TargetMode="External"/><Relationship Id="rId724" Type="http://schemas.openxmlformats.org/officeDocument/2006/relationships/hyperlink" Target="https://dragalialost.wiki/w/Wings_of_Rebellion_at_Rest" TargetMode="External"/><Relationship Id="rId60" Type="http://schemas.openxmlformats.org/officeDocument/2006/relationships/hyperlink" Target="https://dragalialost.wiki/w/Xander" TargetMode="External"/><Relationship Id="rId156" Type="http://schemas.openxmlformats.org/officeDocument/2006/relationships/hyperlink" Target="https://dragalialost.wiki/w/Eleonora" TargetMode="External"/><Relationship Id="rId363" Type="http://schemas.openxmlformats.org/officeDocument/2006/relationships/hyperlink" Target="https://dragalialost.wiki/w/Sylvia" TargetMode="External"/><Relationship Id="rId570" Type="http://schemas.openxmlformats.org/officeDocument/2006/relationships/hyperlink" Target="https://dragalialost.wiki/w/From_Whence_He_Comes" TargetMode="External"/><Relationship Id="rId223" Type="http://schemas.openxmlformats.org/officeDocument/2006/relationships/hyperlink" Target="https://dragalialost.wiki/w/Chitose" TargetMode="External"/><Relationship Id="rId430" Type="http://schemas.openxmlformats.org/officeDocument/2006/relationships/hyperlink" Target="https://dragalialost.wiki/w/Gala_Beast_Ayaha_&amp;_Otoha" TargetMode="External"/><Relationship Id="rId668" Type="http://schemas.openxmlformats.org/officeDocument/2006/relationships/hyperlink" Target="https://dragalialost.wiki/w/Going_Undercover" TargetMode="External"/><Relationship Id="rId18" Type="http://schemas.openxmlformats.org/officeDocument/2006/relationships/hyperlink" Target="https://dragalialost.wiki/w/Summer_Mitsuhide" TargetMode="External"/><Relationship Id="rId528" Type="http://schemas.openxmlformats.org/officeDocument/2006/relationships/hyperlink" Target="https://dragalialost.wiki/w/After_an_Eternity" TargetMode="External"/><Relationship Id="rId735" Type="http://schemas.openxmlformats.org/officeDocument/2006/relationships/hyperlink" Target="https://dragalialost.wiki/w/Seaside_Memory" TargetMode="External"/><Relationship Id="rId167" Type="http://schemas.openxmlformats.org/officeDocument/2006/relationships/hyperlink" Target="https://dragalialost.wiki/w/Akasha" TargetMode="External"/><Relationship Id="rId374" Type="http://schemas.openxmlformats.org/officeDocument/2006/relationships/hyperlink" Target="https://dragalialost.wiki/w/Mini_Jupi" TargetMode="External"/><Relationship Id="rId581" Type="http://schemas.openxmlformats.org/officeDocument/2006/relationships/hyperlink" Target="https://dragalialost.wiki/w/The_Heretic's_Laboratory" TargetMode="External"/><Relationship Id="rId71" Type="http://schemas.openxmlformats.org/officeDocument/2006/relationships/hyperlink" Target="https://dragalialost.wiki/w/Tiki" TargetMode="External"/><Relationship Id="rId234" Type="http://schemas.openxmlformats.org/officeDocument/2006/relationships/hyperlink" Target="https://dragalialost.wiki/w/Halloween_Laxi" TargetMode="External"/><Relationship Id="rId679" Type="http://schemas.openxmlformats.org/officeDocument/2006/relationships/hyperlink" Target="https://dragalialost.wiki/w/Meanwhile,_in_Landosol&#8230;" TargetMode="External"/><Relationship Id="rId2" Type="http://schemas.openxmlformats.org/officeDocument/2006/relationships/hyperlink" Target="https://dragalialost.wiki/w/Chrom" TargetMode="External"/><Relationship Id="rId29" Type="http://schemas.openxmlformats.org/officeDocument/2006/relationships/hyperlink" Target="https://dragalialost.wiki/w/Vanessa" TargetMode="External"/><Relationship Id="rId441" Type="http://schemas.openxmlformats.org/officeDocument/2006/relationships/hyperlink" Target="https://dragalialost.wiki/w/Mask_of_Determination_(Lance's_Boon)" TargetMode="External"/><Relationship Id="rId539" Type="http://schemas.openxmlformats.org/officeDocument/2006/relationships/hyperlink" Target="https://dragalialost.wiki/w/The_Rose_Prince" TargetMode="External"/><Relationship Id="rId746" Type="http://schemas.openxmlformats.org/officeDocument/2006/relationships/hyperlink" Target="https://dragalialost.wiki/w/Better_Together" TargetMode="External"/><Relationship Id="rId178" Type="http://schemas.openxmlformats.org/officeDocument/2006/relationships/hyperlink" Target="https://dragalialost.wiki/w/Albert" TargetMode="External"/><Relationship Id="rId301" Type="http://schemas.openxmlformats.org/officeDocument/2006/relationships/hyperlink" Target="https://dragalialost.wiki/w/Uriel" TargetMode="External"/><Relationship Id="rId82" Type="http://schemas.openxmlformats.org/officeDocument/2006/relationships/hyperlink" Target="https://dragalialost.wiki/w/Pietro" TargetMode="External"/><Relationship Id="rId385" Type="http://schemas.openxmlformats.org/officeDocument/2006/relationships/hyperlink" Target="https://dragalialost.wiki/w/Gilgamesh" TargetMode="External"/><Relationship Id="rId592" Type="http://schemas.openxmlformats.org/officeDocument/2006/relationships/hyperlink" Target="https://dragalialost.wiki/w/Adventure_in_the_Past" TargetMode="External"/><Relationship Id="rId606" Type="http://schemas.openxmlformats.org/officeDocument/2006/relationships/hyperlink" Target="https://dragalialost.wiki/w/A_Bouquet" TargetMode="External"/><Relationship Id="rId245" Type="http://schemas.openxmlformats.org/officeDocument/2006/relationships/hyperlink" Target="https://dragalialost.wiki/w/Gala_Zethia" TargetMode="External"/><Relationship Id="rId452" Type="http://schemas.openxmlformats.org/officeDocument/2006/relationships/hyperlink" Target="https://dragalialost.wiki/w/Thunderswift_Lord's_Blade_(Axe's_Boon)" TargetMode="External"/><Relationship Id="rId105" Type="http://schemas.openxmlformats.org/officeDocument/2006/relationships/hyperlink" Target="https://dragalialost.wiki/w/Dragonyule_Xander" TargetMode="External"/><Relationship Id="rId312" Type="http://schemas.openxmlformats.org/officeDocument/2006/relationships/hyperlink" Target="https://dragalialost.wiki/w/Erasmus" TargetMode="External"/><Relationship Id="rId757" Type="http://schemas.openxmlformats.org/officeDocument/2006/relationships/hyperlink" Target="https://dragalialost.wiki/w/Welcome_to_the_Halidom!" TargetMode="External"/><Relationship Id="rId93" Type="http://schemas.openxmlformats.org/officeDocument/2006/relationships/hyperlink" Target="https://dragalialost.wiki/w/Pinon" TargetMode="External"/><Relationship Id="rId189" Type="http://schemas.openxmlformats.org/officeDocument/2006/relationships/hyperlink" Target="https://dragalialost.wiki/w/Yukata_Curran" TargetMode="External"/><Relationship Id="rId396" Type="http://schemas.openxmlformats.org/officeDocument/2006/relationships/hyperlink" Target="https://dragalialost.wiki/w/Gala_Bahamut" TargetMode="External"/><Relationship Id="rId617" Type="http://schemas.openxmlformats.org/officeDocument/2006/relationships/hyperlink" Target="https://dragalialost.wiki/w/Ruler_of_Darkness" TargetMode="External"/><Relationship Id="rId256" Type="http://schemas.openxmlformats.org/officeDocument/2006/relationships/hyperlink" Target="https://dragalialost.wiki/w/Delphi" TargetMode="External"/><Relationship Id="rId463" Type="http://schemas.openxmlformats.org/officeDocument/2006/relationships/hyperlink" Target="https://dragalialost.wiki/w/Crystalline_Blades_(Bat's_Boon)" TargetMode="External"/><Relationship Id="rId670" Type="http://schemas.openxmlformats.org/officeDocument/2006/relationships/hyperlink" Target="https://dragalialost.wiki/w/A_Butler's_Smile" TargetMode="External"/><Relationship Id="rId116" Type="http://schemas.openxmlformats.org/officeDocument/2006/relationships/hyperlink" Target="https://dragalialost.wiki/w/Nino" TargetMode="External"/><Relationship Id="rId323" Type="http://schemas.openxmlformats.org/officeDocument/2006/relationships/hyperlink" Target="https://dragalialost.wiki/w/Gala_Beast_Ciella" TargetMode="External"/><Relationship Id="rId530" Type="http://schemas.openxmlformats.org/officeDocument/2006/relationships/hyperlink" Target="https://dragalialost.wiki/w/Fireside_Gathering" TargetMode="External"/><Relationship Id="rId768" Type="http://schemas.openxmlformats.org/officeDocument/2006/relationships/hyperlink" Target="https://dragalialost.wiki/w/Heralds_of_Hinomoto" TargetMode="External"/><Relationship Id="rId20" Type="http://schemas.openxmlformats.org/officeDocument/2006/relationships/hyperlink" Target="https://dragalialost.wiki/w/Ezelith" TargetMode="External"/><Relationship Id="rId628" Type="http://schemas.openxmlformats.org/officeDocument/2006/relationships/hyperlink" Target="https://dragalialost.wiki/w/Welcome_to_the_Opera!" TargetMode="External"/><Relationship Id="rId267" Type="http://schemas.openxmlformats.org/officeDocument/2006/relationships/hyperlink" Target="https://dragalialost.wiki/w/Summer_Leonidas" TargetMode="External"/><Relationship Id="rId474" Type="http://schemas.openxmlformats.org/officeDocument/2006/relationships/hyperlink" Target="https://dragalialost.wiki/w/Nightstalker" TargetMode="External"/><Relationship Id="rId127" Type="http://schemas.openxmlformats.org/officeDocument/2006/relationships/hyperlink" Target="https://dragalialost.wiki/w/Victor" TargetMode="External"/><Relationship Id="rId681" Type="http://schemas.openxmlformats.org/officeDocument/2006/relationships/hyperlink" Target="https://dragalialost.wiki/w/Advent_of_the_War_God" TargetMode="External"/><Relationship Id="rId779" Type="http://schemas.openxmlformats.org/officeDocument/2006/relationships/hyperlink" Target="https://dragalialost.wiki/w/Lumi&#232;re_Pandora" TargetMode="External"/><Relationship Id="rId31" Type="http://schemas.openxmlformats.org/officeDocument/2006/relationships/hyperlink" Target="https://dragalialost.wiki/w/Kimono_Elisanne" TargetMode="External"/><Relationship Id="rId334" Type="http://schemas.openxmlformats.org/officeDocument/2006/relationships/hyperlink" Target="https://dragalialost.wiki/w/Peng_Lai" TargetMode="External"/><Relationship Id="rId541" Type="http://schemas.openxmlformats.org/officeDocument/2006/relationships/hyperlink" Target="https://dragalialost.wiki/w/How_to_Flee_Properly" TargetMode="External"/><Relationship Id="rId639" Type="http://schemas.openxmlformats.org/officeDocument/2006/relationships/hyperlink" Target="https://dragalialost.wiki/w/Ring_of_Exaltation" TargetMode="External"/><Relationship Id="rId180" Type="http://schemas.openxmlformats.org/officeDocument/2006/relationships/hyperlink" Target="https://dragalialost.wiki/w/Raemond" TargetMode="External"/><Relationship Id="rId278" Type="http://schemas.openxmlformats.org/officeDocument/2006/relationships/hyperlink" Target="https://dragalialost.wiki/w/Vania" TargetMode="External"/><Relationship Id="rId401" Type="http://schemas.openxmlformats.org/officeDocument/2006/relationships/hyperlink" Target="https://dragalialost.wiki/w/Gala_Cat_S%C3%ACth" TargetMode="External"/><Relationship Id="rId485" Type="http://schemas.openxmlformats.org/officeDocument/2006/relationships/hyperlink" Target="https://dragalialost.wiki/w/Brothers_in_Arms" TargetMode="External"/><Relationship Id="rId692" Type="http://schemas.openxmlformats.org/officeDocument/2006/relationships/hyperlink" Target="https://dragalialost.wiki/w/Surfing_Siblings" TargetMode="External"/><Relationship Id="rId706" Type="http://schemas.openxmlformats.org/officeDocument/2006/relationships/hyperlink" Target="https://dragalialost.wiki/w/Garuda's_Feathers" TargetMode="External"/><Relationship Id="rId42" Type="http://schemas.openxmlformats.org/officeDocument/2006/relationships/hyperlink" Target="https://dragalialost.wiki/w/Seimei" TargetMode="External"/><Relationship Id="rId138" Type="http://schemas.openxmlformats.org/officeDocument/2006/relationships/hyperlink" Target="https://dragalialost.wiki/w/Kimono_Luca" TargetMode="External"/><Relationship Id="rId345" Type="http://schemas.openxmlformats.org/officeDocument/2006/relationships/hyperlink" Target="https://dragalialost.wiki/w/Michael" TargetMode="External"/><Relationship Id="rId552" Type="http://schemas.openxmlformats.org/officeDocument/2006/relationships/hyperlink" Target="https://dragalialost.wiki/w/To_My_Beloved" TargetMode="External"/><Relationship Id="rId191" Type="http://schemas.openxmlformats.org/officeDocument/2006/relationships/hyperlink" Target="https://dragalialost.wiki/w/Mitsuhide" TargetMode="External"/><Relationship Id="rId205" Type="http://schemas.openxmlformats.org/officeDocument/2006/relationships/hyperlink" Target="https://dragalialost.wiki/w/Hunter_Vanessa" TargetMode="External"/><Relationship Id="rId412" Type="http://schemas.openxmlformats.org/officeDocument/2006/relationships/hyperlink" Target="https://dragalialost.wiki/w/Gold_Fafnir" TargetMode="External"/><Relationship Id="rId107" Type="http://schemas.openxmlformats.org/officeDocument/2006/relationships/hyperlink" Target="https://dragalialost.wiki/w/Dragonyule_Lily" TargetMode="External"/><Relationship Id="rId289" Type="http://schemas.openxmlformats.org/officeDocument/2006/relationships/hyperlink" Target="https://dragalialost.wiki/w/Edward" TargetMode="External"/><Relationship Id="rId454" Type="http://schemas.openxmlformats.org/officeDocument/2006/relationships/hyperlink" Target="https://dragalialost.wiki/w/Thunderswift_Lord's_Blade_(Lance's_Boon)" TargetMode="External"/><Relationship Id="rId496" Type="http://schemas.openxmlformats.org/officeDocument/2006/relationships/hyperlink" Target="https://dragalialost.wiki/w/A_Rainy_Day" TargetMode="External"/><Relationship Id="rId661" Type="http://schemas.openxmlformats.org/officeDocument/2006/relationships/hyperlink" Target="https://dragalialost.wiki/w/Unexpected_Requests" TargetMode="External"/><Relationship Id="rId717" Type="http://schemas.openxmlformats.org/officeDocument/2006/relationships/hyperlink" Target="https://dragalialost.wiki/w/Castle_Cheer_Corps" TargetMode="External"/><Relationship Id="rId759" Type="http://schemas.openxmlformats.org/officeDocument/2006/relationships/hyperlink" Target="https://dragalialost.wiki/w/Guardian_of_the_Bond" TargetMode="External"/><Relationship Id="rId11" Type="http://schemas.openxmlformats.org/officeDocument/2006/relationships/hyperlink" Target="https://dragalialost.wiki/w/Armored_Yachiyo" TargetMode="External"/><Relationship Id="rId53" Type="http://schemas.openxmlformats.org/officeDocument/2006/relationships/hyperlink" Target="https://dragalialost.wiki/w/Aurien" TargetMode="External"/><Relationship Id="rId149" Type="http://schemas.openxmlformats.org/officeDocument/2006/relationships/hyperlink" Target="https://dragalialost.wiki/w/Pia" TargetMode="External"/><Relationship Id="rId314" Type="http://schemas.openxmlformats.org/officeDocument/2006/relationships/hyperlink" Target="https://dragalialost.wiki/w/Pele" TargetMode="External"/><Relationship Id="rId356" Type="http://schemas.openxmlformats.org/officeDocument/2006/relationships/hyperlink" Target="https://dragalialost.wiki/w/Mini_Mids" TargetMode="External"/><Relationship Id="rId398" Type="http://schemas.openxmlformats.org/officeDocument/2006/relationships/hyperlink" Target="https://dragalialost.wiki/w/High_Chthonius" TargetMode="External"/><Relationship Id="rId521" Type="http://schemas.openxmlformats.org/officeDocument/2006/relationships/hyperlink" Target="https://dragalialost.wiki/w/Entwined_Flames" TargetMode="External"/><Relationship Id="rId563" Type="http://schemas.openxmlformats.org/officeDocument/2006/relationships/hyperlink" Target="https://dragalialost.wiki/w/A_Widow's_Lament" TargetMode="External"/><Relationship Id="rId619" Type="http://schemas.openxmlformats.org/officeDocument/2006/relationships/hyperlink" Target="https://dragalialost.wiki/w/Glittering_Dragonyule" TargetMode="External"/><Relationship Id="rId770" Type="http://schemas.openxmlformats.org/officeDocument/2006/relationships/hyperlink" Target="https://dragalialost.wiki/w/Stellar_Show" TargetMode="External"/><Relationship Id="rId95" Type="http://schemas.openxmlformats.org/officeDocument/2006/relationships/hyperlink" Target="https://dragalialost.wiki/w/Laranoa" TargetMode="External"/><Relationship Id="rId160" Type="http://schemas.openxmlformats.org/officeDocument/2006/relationships/hyperlink" Target="https://dragalialost.wiki/w/Summer_Sinoa" TargetMode="External"/><Relationship Id="rId216" Type="http://schemas.openxmlformats.org/officeDocument/2006/relationships/hyperlink" Target="https://dragalialost.wiki/w/Luca" TargetMode="External"/><Relationship Id="rId423" Type="http://schemas.openxmlformats.org/officeDocument/2006/relationships/hyperlink" Target="https://dragalialost.wiki/w/Pallid_Imp" TargetMode="External"/><Relationship Id="rId258" Type="http://schemas.openxmlformats.org/officeDocument/2006/relationships/hyperlink" Target="https://dragalialost.wiki/w/Orion" TargetMode="External"/><Relationship Id="rId465" Type="http://schemas.openxmlformats.org/officeDocument/2006/relationships/hyperlink" Target="https://dragalialost.wiki/w/The_Genius_Tactician_(Bow's_Boon)" TargetMode="External"/><Relationship Id="rId630" Type="http://schemas.openxmlformats.org/officeDocument/2006/relationships/hyperlink" Target="https://dragalialost.wiki/w/Flowers_Under_the_Moon" TargetMode="External"/><Relationship Id="rId672" Type="http://schemas.openxmlformats.org/officeDocument/2006/relationships/hyperlink" Target="https://dragalialost.wiki/w/Hospitality_&amp;_Harmony" TargetMode="External"/><Relationship Id="rId728" Type="http://schemas.openxmlformats.org/officeDocument/2006/relationships/hyperlink" Target="https://dragalialost.wiki/w/Holywyrm's_Advent" TargetMode="External"/><Relationship Id="rId22" Type="http://schemas.openxmlformats.org/officeDocument/2006/relationships/hyperlink" Target="https://dragalialost.wiki/w/Melsa" TargetMode="External"/><Relationship Id="rId64" Type="http://schemas.openxmlformats.org/officeDocument/2006/relationships/hyperlink" Target="https://dragalialost.wiki/w/Gala_Mascula" TargetMode="External"/><Relationship Id="rId118" Type="http://schemas.openxmlformats.org/officeDocument/2006/relationships/hyperlink" Target="https://dragalialost.wiki/w/Gala_Leif" TargetMode="External"/><Relationship Id="rId325" Type="http://schemas.openxmlformats.org/officeDocument/2006/relationships/hyperlink" Target="https://dragalialost.wiki/w/Mini_Mercs" TargetMode="External"/><Relationship Id="rId367" Type="http://schemas.openxmlformats.org/officeDocument/2006/relationships/hyperlink" Target="https://dragalialost.wiki/w/Roc" TargetMode="External"/><Relationship Id="rId532" Type="http://schemas.openxmlformats.org/officeDocument/2006/relationships/hyperlink" Target="https://dragalialost.wiki/w/Indelible_Summer" TargetMode="External"/><Relationship Id="rId574" Type="http://schemas.openxmlformats.org/officeDocument/2006/relationships/hyperlink" Target="https://dragalialost.wiki/w/Summertime,_Feeling_Feline" TargetMode="External"/><Relationship Id="rId171" Type="http://schemas.openxmlformats.org/officeDocument/2006/relationships/hyperlink" Target="https://dragalialost.wiki/w/Cecile" TargetMode="External"/><Relationship Id="rId227" Type="http://schemas.openxmlformats.org/officeDocument/2006/relationships/hyperlink" Target="https://dragalialost.wiki/w/Gala_Zena" TargetMode="External"/><Relationship Id="rId269" Type="http://schemas.openxmlformats.org/officeDocument/2006/relationships/hyperlink" Target="https://dragalialost.wiki/w/Forte" TargetMode="External"/><Relationship Id="rId434" Type="http://schemas.openxmlformats.org/officeDocument/2006/relationships/hyperlink" Target="https://dragalialost.wiki/w/Fatalis_(Dragon)" TargetMode="External"/><Relationship Id="rId476" Type="http://schemas.openxmlformats.org/officeDocument/2006/relationships/hyperlink" Target="https://dragalialost.wiki/w/Luca's_Prank" TargetMode="External"/><Relationship Id="rId641" Type="http://schemas.openxmlformats.org/officeDocument/2006/relationships/hyperlink" Target="https://dragalialost.wiki/w/Dragon_Arcanum" TargetMode="External"/><Relationship Id="rId683" Type="http://schemas.openxmlformats.org/officeDocument/2006/relationships/hyperlink" Target="https://dragalialost.wiki/w/Resounding_Rendition" TargetMode="External"/><Relationship Id="rId739" Type="http://schemas.openxmlformats.org/officeDocument/2006/relationships/hyperlink" Target="https://dragalialost.wiki/w/Bloom_of_the_Battlefield" TargetMode="External"/><Relationship Id="rId33" Type="http://schemas.openxmlformats.org/officeDocument/2006/relationships/hyperlink" Target="https://dragalialost.wiki/w/Gala_Mym" TargetMode="External"/><Relationship Id="rId129" Type="http://schemas.openxmlformats.org/officeDocument/2006/relationships/hyperlink" Target="https://dragalialost.wiki/w/Musashi" TargetMode="External"/><Relationship Id="rId280" Type="http://schemas.openxmlformats.org/officeDocument/2006/relationships/hyperlink" Target="https://dragalialost.wiki/w/Cassandra" TargetMode="External"/><Relationship Id="rId336" Type="http://schemas.openxmlformats.org/officeDocument/2006/relationships/hyperlink" Target="https://dragalialost.wiki/w/Siren" TargetMode="External"/><Relationship Id="rId501" Type="http://schemas.openxmlformats.org/officeDocument/2006/relationships/hyperlink" Target="https://dragalialost.wiki/w/Memory_of_a_Friend" TargetMode="External"/><Relationship Id="rId543" Type="http://schemas.openxmlformats.org/officeDocument/2006/relationships/hyperlink" Target="https://dragalialost.wiki/w/A_Perfect_Faerie_Tale" TargetMode="External"/><Relationship Id="rId75" Type="http://schemas.openxmlformats.org/officeDocument/2006/relationships/hyperlink" Target="https://dragalialost.wiki/w/Orsem" TargetMode="External"/><Relationship Id="rId140" Type="http://schemas.openxmlformats.org/officeDocument/2006/relationships/hyperlink" Target="https://dragalialost.wiki/w/Lin_You" TargetMode="External"/><Relationship Id="rId182" Type="http://schemas.openxmlformats.org/officeDocument/2006/relationships/hyperlink" Target="https://dragalialost.wiki/w/Mordecai" TargetMode="External"/><Relationship Id="rId378" Type="http://schemas.openxmlformats.org/officeDocument/2006/relationships/hyperlink" Target="https://dragalialost.wiki/w/Tie_Shan_Gongzhu" TargetMode="External"/><Relationship Id="rId403" Type="http://schemas.openxmlformats.org/officeDocument/2006/relationships/hyperlink" Target="https://dragalialost.wiki/w/Barbatos" TargetMode="External"/><Relationship Id="rId585" Type="http://schemas.openxmlformats.org/officeDocument/2006/relationships/hyperlink" Target="https://dragalialost.wiki/w/BFFs!" TargetMode="External"/><Relationship Id="rId750" Type="http://schemas.openxmlformats.org/officeDocument/2006/relationships/hyperlink" Target="https://dragalialost.wiki/w/A_Brief_Repose" TargetMode="External"/><Relationship Id="rId6" Type="http://schemas.openxmlformats.org/officeDocument/2006/relationships/hyperlink" Target="https://dragalialost.wiki/w/Naveed" TargetMode="External"/><Relationship Id="rId238" Type="http://schemas.openxmlformats.org/officeDocument/2006/relationships/hyperlink" Target="https://dragalialost.wiki/w/Gala_Nedrick" TargetMode="External"/><Relationship Id="rId445" Type="http://schemas.openxmlformats.org/officeDocument/2006/relationships/hyperlink" Target="https://dragalialost.wiki/w/Wind_of_Oaths_(Eagle's_Boon)" TargetMode="External"/><Relationship Id="rId487" Type="http://schemas.openxmlformats.org/officeDocument/2006/relationships/hyperlink" Target="https://dragalialost.wiki/w/Dazzling_Duet!" TargetMode="External"/><Relationship Id="rId610" Type="http://schemas.openxmlformats.org/officeDocument/2006/relationships/hyperlink" Target="https://dragalialost.wiki/w/Forbidden_Relic" TargetMode="External"/><Relationship Id="rId652" Type="http://schemas.openxmlformats.org/officeDocument/2006/relationships/hyperlink" Target="https://dragalialost.wiki/w/Wily_Warriors:_Bubble_&amp;_Wood" TargetMode="External"/><Relationship Id="rId694" Type="http://schemas.openxmlformats.org/officeDocument/2006/relationships/hyperlink" Target="https://dragalialost.wiki/w/Berry_Lovable_Friends" TargetMode="External"/><Relationship Id="rId708" Type="http://schemas.openxmlformats.org/officeDocument/2006/relationships/hyperlink" Target="https://dragalialost.wiki/w/The_Wind's_Guidance" TargetMode="External"/><Relationship Id="rId291" Type="http://schemas.openxmlformats.org/officeDocument/2006/relationships/hyperlink" Target="https://dragalialost.wiki/w/Summer_Mym" TargetMode="External"/><Relationship Id="rId305" Type="http://schemas.openxmlformats.org/officeDocument/2006/relationships/hyperlink" Target="https://dragalialost.wiki/w/Horus" TargetMode="External"/><Relationship Id="rId347" Type="http://schemas.openxmlformats.org/officeDocument/2006/relationships/hyperlink" Target="https://dragalialost.wiki/w/Gala_Beast_Volk" TargetMode="External"/><Relationship Id="rId512" Type="http://schemas.openxmlformats.org/officeDocument/2006/relationships/hyperlink" Target="https://dragalialost.wiki/w/Memories_of_Youth" TargetMode="External"/><Relationship Id="rId44" Type="http://schemas.openxmlformats.org/officeDocument/2006/relationships/hyperlink" Target="https://dragalialost.wiki/w/Mega_Man" TargetMode="External"/><Relationship Id="rId86" Type="http://schemas.openxmlformats.org/officeDocument/2006/relationships/hyperlink" Target="https://dragalialost.wiki/w/Fjorm" TargetMode="External"/><Relationship Id="rId151" Type="http://schemas.openxmlformats.org/officeDocument/2006/relationships/hyperlink" Target="https://dragalialost.wiki/w/Humanoid_Midgardsormr" TargetMode="External"/><Relationship Id="rId389" Type="http://schemas.openxmlformats.org/officeDocument/2006/relationships/hyperlink" Target="https://dragalialost.wiki/w/Halloween_Silke" TargetMode="External"/><Relationship Id="rId554" Type="http://schemas.openxmlformats.org/officeDocument/2006/relationships/hyperlink" Target="https://dragalialost.wiki/w/Bellathorna" TargetMode="External"/><Relationship Id="rId596" Type="http://schemas.openxmlformats.org/officeDocument/2006/relationships/hyperlink" Target="https://dragalialost.wiki/w/Forest_Bonds" TargetMode="External"/><Relationship Id="rId761" Type="http://schemas.openxmlformats.org/officeDocument/2006/relationships/hyperlink" Target="https://dragalialost.wiki/w/The_Heroes_Arrive" TargetMode="External"/><Relationship Id="rId193" Type="http://schemas.openxmlformats.org/officeDocument/2006/relationships/hyperlink" Target="https://dragalialost.wiki/w/Fritz" TargetMode="External"/><Relationship Id="rId207" Type="http://schemas.openxmlformats.org/officeDocument/2006/relationships/hyperlink" Target="https://dragalialost.wiki/w/Annelie" TargetMode="External"/><Relationship Id="rId249" Type="http://schemas.openxmlformats.org/officeDocument/2006/relationships/hyperlink" Target="https://dragalialost.wiki/w/Aldred" TargetMode="External"/><Relationship Id="rId414" Type="http://schemas.openxmlformats.org/officeDocument/2006/relationships/hyperlink" Target="https://dragalialost.wiki/w/Maritimus" TargetMode="External"/><Relationship Id="rId456" Type="http://schemas.openxmlformats.org/officeDocument/2006/relationships/hyperlink" Target="https://dragalialost.wiki/w/Testament_of_Eternity_(Fish's_Boon)" TargetMode="External"/><Relationship Id="rId498" Type="http://schemas.openxmlformats.org/officeDocument/2006/relationships/hyperlink" Target="https://dragalialost.wiki/w/His_Clever_Brother" TargetMode="External"/><Relationship Id="rId621" Type="http://schemas.openxmlformats.org/officeDocument/2006/relationships/hyperlink" Target="https://dragalialost.wiki/w/A_Wish_Upon_the_Yuletree" TargetMode="External"/><Relationship Id="rId663" Type="http://schemas.openxmlformats.org/officeDocument/2006/relationships/hyperlink" Target="https://dragalialost.wiki/w/The_Lurker_in_the_Woods" TargetMode="External"/><Relationship Id="rId13" Type="http://schemas.openxmlformats.org/officeDocument/2006/relationships/hyperlink" Target="https://dragalialost.wiki/w/Rena" TargetMode="External"/><Relationship Id="rId109" Type="http://schemas.openxmlformats.org/officeDocument/2006/relationships/hyperlink" Target="https://dragalialost.wiki/w/Nurse_Aeleen" TargetMode="External"/><Relationship Id="rId260" Type="http://schemas.openxmlformats.org/officeDocument/2006/relationships/hyperlink" Target="https://dragalialost.wiki/w/Vice" TargetMode="External"/><Relationship Id="rId316" Type="http://schemas.openxmlformats.org/officeDocument/2006/relationships/hyperlink" Target="https://dragalialost.wiki/w/Agni" TargetMode="External"/><Relationship Id="rId523" Type="http://schemas.openxmlformats.org/officeDocument/2006/relationships/hyperlink" Target="https://dragalialost.wiki/w/Dear_Diary" TargetMode="External"/><Relationship Id="rId719" Type="http://schemas.openxmlformats.org/officeDocument/2006/relationships/hyperlink" Target="https://dragalialost.wiki/w/Together_We_Stand" TargetMode="External"/><Relationship Id="rId55" Type="http://schemas.openxmlformats.org/officeDocument/2006/relationships/hyperlink" Target="https://dragalialost.wiki/w/Faris" TargetMode="External"/><Relationship Id="rId97" Type="http://schemas.openxmlformats.org/officeDocument/2006/relationships/hyperlink" Target="https://dragalialost.wiki/w/Waike" TargetMode="External"/><Relationship Id="rId120" Type="http://schemas.openxmlformats.org/officeDocument/2006/relationships/hyperlink" Target="https://dragalialost.wiki/w/Gala_Ranzal" TargetMode="External"/><Relationship Id="rId358" Type="http://schemas.openxmlformats.org/officeDocument/2006/relationships/hyperlink" Target="https://dragalialost.wiki/w/Freyja" TargetMode="External"/><Relationship Id="rId565" Type="http://schemas.openxmlformats.org/officeDocument/2006/relationships/hyperlink" Target="https://dragalialost.wiki/w/The_Synthetic_Dragon" TargetMode="External"/><Relationship Id="rId730" Type="http://schemas.openxmlformats.org/officeDocument/2006/relationships/hyperlink" Target="https://dragalialost.wiki/w/Two_Myms" TargetMode="External"/><Relationship Id="rId772" Type="http://schemas.openxmlformats.org/officeDocument/2006/relationships/hyperlink" Target="https://dragalialost.wiki/w/Tough_Love" TargetMode="External"/><Relationship Id="rId162" Type="http://schemas.openxmlformats.org/officeDocument/2006/relationships/hyperlink" Target="https://dragalialost.wiki/w/Dragonyule_Xainfried" TargetMode="External"/><Relationship Id="rId218" Type="http://schemas.openxmlformats.org/officeDocument/2006/relationships/hyperlink" Target="https://dragalialost.wiki/w/Bondforged_Zethia" TargetMode="External"/><Relationship Id="rId425" Type="http://schemas.openxmlformats.org/officeDocument/2006/relationships/hyperlink" Target="https://dragalialost.wiki/w/Hikage" TargetMode="External"/><Relationship Id="rId467" Type="http://schemas.openxmlformats.org/officeDocument/2006/relationships/hyperlink" Target="https://dragalialost.wiki/w/The_Genius_Tactician_(Spider's_Boon)" TargetMode="External"/><Relationship Id="rId632" Type="http://schemas.openxmlformats.org/officeDocument/2006/relationships/hyperlink" Target="https://dragalialost.wiki/w/Having_a_Summer_Ball" TargetMode="External"/><Relationship Id="rId271" Type="http://schemas.openxmlformats.org/officeDocument/2006/relationships/hyperlink" Target="https://dragalialost.wiki/w/Botan" TargetMode="External"/><Relationship Id="rId674" Type="http://schemas.openxmlformats.org/officeDocument/2006/relationships/hyperlink" Target="https://dragalialost.wiki/w/Humanity's_Companions" TargetMode="External"/><Relationship Id="rId24" Type="http://schemas.openxmlformats.org/officeDocument/2006/relationships/hyperlink" Target="https://dragalialost.wiki/w/Gala_Gatov" TargetMode="External"/><Relationship Id="rId66" Type="http://schemas.openxmlformats.org/officeDocument/2006/relationships/hyperlink" Target="https://dragalialost.wiki/w/Valerio" TargetMode="External"/><Relationship Id="rId131" Type="http://schemas.openxmlformats.org/officeDocument/2006/relationships/hyperlink" Target="https://dragalialost.wiki/w/Dragonyule_Nevin" TargetMode="External"/><Relationship Id="rId327" Type="http://schemas.openxmlformats.org/officeDocument/2006/relationships/hyperlink" Target="https://dragalialost.wiki/w/Gala_Reborn_Poseidon" TargetMode="External"/><Relationship Id="rId369" Type="http://schemas.openxmlformats.org/officeDocument/2006/relationships/hyperlink" Target="https://dragalialost.wiki/w/Zephyr_Imp" TargetMode="External"/><Relationship Id="rId534" Type="http://schemas.openxmlformats.org/officeDocument/2006/relationships/hyperlink" Target="https://dragalialost.wiki/w/Lakeside_Euphony" TargetMode="External"/><Relationship Id="rId576" Type="http://schemas.openxmlformats.org/officeDocument/2006/relationships/hyperlink" Target="https://dragalialost.wiki/w/Armorer's_Aspirations" TargetMode="External"/><Relationship Id="rId741" Type="http://schemas.openxmlformats.org/officeDocument/2006/relationships/hyperlink" Target="https://dragalialost.wiki/w/A_Choice_Blend" TargetMode="External"/><Relationship Id="rId173" Type="http://schemas.openxmlformats.org/officeDocument/2006/relationships/hyperlink" Target="https://dragalialost.wiki/w/Formal_Joachim" TargetMode="External"/><Relationship Id="rId229" Type="http://schemas.openxmlformats.org/officeDocument/2006/relationships/hyperlink" Target="https://dragalialost.wiki/w/Felicia" TargetMode="External"/><Relationship Id="rId380" Type="http://schemas.openxmlformats.org/officeDocument/2006/relationships/hyperlink" Target="https://dragalialost.wiki/w/Pop-Star_Siren" TargetMode="External"/><Relationship Id="rId436" Type="http://schemas.openxmlformats.org/officeDocument/2006/relationships/hyperlink" Target="https://dragalialost.wiki/w/Dreadking_Rathalos" TargetMode="External"/><Relationship Id="rId601" Type="http://schemas.openxmlformats.org/officeDocument/2006/relationships/hyperlink" Target="https://dragalialost.wiki/w/Greatwyrm_Brunhilda" TargetMode="External"/><Relationship Id="rId643" Type="http://schemas.openxmlformats.org/officeDocument/2006/relationships/hyperlink" Target="https://dragalialost.wiki/w/Old_Harp" TargetMode="External"/><Relationship Id="rId240" Type="http://schemas.openxmlformats.org/officeDocument/2006/relationships/hyperlink" Target="https://dragalialost.wiki/w/Gala_Alex" TargetMode="External"/><Relationship Id="rId478" Type="http://schemas.openxmlformats.org/officeDocument/2006/relationships/hyperlink" Target="https://dragalialost.wiki/w/Flower_in_the_Fray" TargetMode="External"/><Relationship Id="rId685" Type="http://schemas.openxmlformats.org/officeDocument/2006/relationships/hyperlink" Target="https://dragalialost.wiki/w/Best_Buds" TargetMode="External"/><Relationship Id="rId35" Type="http://schemas.openxmlformats.org/officeDocument/2006/relationships/hyperlink" Target="https://dragalialost.wiki/w/Xuan_Zang" TargetMode="External"/><Relationship Id="rId77" Type="http://schemas.openxmlformats.org/officeDocument/2006/relationships/hyperlink" Target="https://dragalialost.wiki/w/Finni" TargetMode="External"/><Relationship Id="rId100" Type="http://schemas.openxmlformats.org/officeDocument/2006/relationships/hyperlink" Target="https://dragalialost.wiki/w/Forager_Cleo" TargetMode="External"/><Relationship Id="rId282" Type="http://schemas.openxmlformats.org/officeDocument/2006/relationships/hyperlink" Target="https://dragalialost.wiki/w/Veronica" TargetMode="External"/><Relationship Id="rId338" Type="http://schemas.openxmlformats.org/officeDocument/2006/relationships/hyperlink" Target="https://dragalialost.wiki/w/High_Mercury" TargetMode="External"/><Relationship Id="rId503" Type="http://schemas.openxmlformats.org/officeDocument/2006/relationships/hyperlink" Target="https://dragalialost.wiki/w/Masquerade_Mission" TargetMode="External"/><Relationship Id="rId545" Type="http://schemas.openxmlformats.org/officeDocument/2006/relationships/hyperlink" Target="https://dragalialost.wiki/w/Syndicate_Mask" TargetMode="External"/><Relationship Id="rId587" Type="http://schemas.openxmlformats.org/officeDocument/2006/relationships/hyperlink" Target="https://dragalialost.wiki/w/A_Wonderful_Valentine's" TargetMode="External"/><Relationship Id="rId710" Type="http://schemas.openxmlformats.org/officeDocument/2006/relationships/hyperlink" Target="https://dragalialost.wiki/w/Peaceful_Waterfront" TargetMode="External"/><Relationship Id="rId752" Type="http://schemas.openxmlformats.org/officeDocument/2006/relationships/hyperlink" Target="https://dragalialost.wiki/w/To_the_Extreme!" TargetMode="External"/><Relationship Id="rId8" Type="http://schemas.openxmlformats.org/officeDocument/2006/relationships/hyperlink" Target="https://dragalialost.wiki/w/Karl" TargetMode="External"/><Relationship Id="rId142" Type="http://schemas.openxmlformats.org/officeDocument/2006/relationships/hyperlink" Target="https://dragalialost.wiki/w/Johanna" TargetMode="External"/><Relationship Id="rId184" Type="http://schemas.openxmlformats.org/officeDocument/2006/relationships/hyperlink" Target="https://dragalialost.wiki/w/Beautician_Zardin" TargetMode="External"/><Relationship Id="rId391" Type="http://schemas.openxmlformats.org/officeDocument/2006/relationships/hyperlink" Target="https://dragalialost.wiki/w/Unicorn" TargetMode="External"/><Relationship Id="rId405" Type="http://schemas.openxmlformats.org/officeDocument/2006/relationships/hyperlink" Target="https://dragalialost.wiki/w/Mini_Zodi" TargetMode="External"/><Relationship Id="rId447" Type="http://schemas.openxmlformats.org/officeDocument/2006/relationships/hyperlink" Target="https://dragalialost.wiki/w/Savage_Hawk_(Bow's_Boon)" TargetMode="External"/><Relationship Id="rId612" Type="http://schemas.openxmlformats.org/officeDocument/2006/relationships/hyperlink" Target="https://dragalialost.wiki/w/Nevermelt_Ice" TargetMode="External"/><Relationship Id="rId251" Type="http://schemas.openxmlformats.org/officeDocument/2006/relationships/hyperlink" Target="https://dragalialost.wiki/w/Taro" TargetMode="External"/><Relationship Id="rId489" Type="http://schemas.openxmlformats.org/officeDocument/2006/relationships/hyperlink" Target="https://dragalialost.wiki/w/Hallowed_Mountains" TargetMode="External"/><Relationship Id="rId654" Type="http://schemas.openxmlformats.org/officeDocument/2006/relationships/hyperlink" Target="https://dragalialost.wiki/w/Wily_Warriors:_Metal_&amp;_Quick" TargetMode="External"/><Relationship Id="rId696" Type="http://schemas.openxmlformats.org/officeDocument/2006/relationships/hyperlink" Target="https://dragalialost.wiki/w/The_Queen_of_the_Knife" TargetMode="External"/><Relationship Id="rId46" Type="http://schemas.openxmlformats.org/officeDocument/2006/relationships/hyperlink" Target="https://dragalialost.wiki/w/Sinoa" TargetMode="External"/><Relationship Id="rId293" Type="http://schemas.openxmlformats.org/officeDocument/2006/relationships/hyperlink" Target="https://dragalialost.wiki/w/Summer_Elisanne" TargetMode="External"/><Relationship Id="rId307" Type="http://schemas.openxmlformats.org/officeDocument/2006/relationships/hyperlink" Target="https://dragalialost.wiki/w/Kagutsuchi" TargetMode="External"/><Relationship Id="rId349" Type="http://schemas.openxmlformats.org/officeDocument/2006/relationships/hyperlink" Target="https://dragalialost.wiki/w/Menoetius" TargetMode="External"/><Relationship Id="rId514" Type="http://schemas.openxmlformats.org/officeDocument/2006/relationships/hyperlink" Target="https://dragalialost.wiki/w/Eight-Leaf_Clover" TargetMode="External"/><Relationship Id="rId556" Type="http://schemas.openxmlformats.org/officeDocument/2006/relationships/hyperlink" Target="https://dragalialost.wiki/w/The_Chocolatiers" TargetMode="External"/><Relationship Id="rId721" Type="http://schemas.openxmlformats.org/officeDocument/2006/relationships/hyperlink" Target="https://dragalialost.wiki/w/A_Small_Courage" TargetMode="External"/><Relationship Id="rId763" Type="http://schemas.openxmlformats.org/officeDocument/2006/relationships/hyperlink" Target="https://dragalialost.wiki/w/Study_Rabbits" TargetMode="External"/><Relationship Id="rId88" Type="http://schemas.openxmlformats.org/officeDocument/2006/relationships/hyperlink" Target="https://dragalialost.wiki/w/Gauld" TargetMode="External"/><Relationship Id="rId111" Type="http://schemas.openxmlformats.org/officeDocument/2006/relationships/hyperlink" Target="https://dragalialost.wiki/w/Ricardt" TargetMode="External"/><Relationship Id="rId153" Type="http://schemas.openxmlformats.org/officeDocument/2006/relationships/hyperlink" Target="https://dragalialost.wiki/w/Hawk" TargetMode="External"/><Relationship Id="rId195" Type="http://schemas.openxmlformats.org/officeDocument/2006/relationships/hyperlink" Target="https://dragalialost.wiki/w/Valyx" TargetMode="External"/><Relationship Id="rId209" Type="http://schemas.openxmlformats.org/officeDocument/2006/relationships/hyperlink" Target="https://dragalialost.wiki/w/Ryozen" TargetMode="External"/><Relationship Id="rId360" Type="http://schemas.openxmlformats.org/officeDocument/2006/relationships/hyperlink" Target="https://dragalialost.wiki/w/Pazuzu" TargetMode="External"/><Relationship Id="rId416" Type="http://schemas.openxmlformats.org/officeDocument/2006/relationships/hyperlink" Target="https://dragalialost.wiki/w/High_Zodiark" TargetMode="External"/><Relationship Id="rId598" Type="http://schemas.openxmlformats.org/officeDocument/2006/relationships/hyperlink" Target="https://dragalialost.wiki/w/Dueling_Dancers" TargetMode="External"/><Relationship Id="rId220" Type="http://schemas.openxmlformats.org/officeDocument/2006/relationships/hyperlink" Target="https://dragalialost.wiki/w/Radiant_Xuan_Zang" TargetMode="External"/><Relationship Id="rId458" Type="http://schemas.openxmlformats.org/officeDocument/2006/relationships/hyperlink" Target="https://dragalialost.wiki/w/An_Unfreezing_Flower_(Deer's_Boon)" TargetMode="External"/><Relationship Id="rId623" Type="http://schemas.openxmlformats.org/officeDocument/2006/relationships/hyperlink" Target="https://dragalialost.wiki/w/A_Slice_of_Dragonyule" TargetMode="External"/><Relationship Id="rId665" Type="http://schemas.openxmlformats.org/officeDocument/2006/relationships/hyperlink" Target="https://dragalialost.wiki/w/A_Man_Unchanging" TargetMode="External"/><Relationship Id="rId15" Type="http://schemas.openxmlformats.org/officeDocument/2006/relationships/hyperlink" Target="https://dragalialost.wiki/w/Laxi" TargetMode="External"/><Relationship Id="rId57" Type="http://schemas.openxmlformats.org/officeDocument/2006/relationships/hyperlink" Target="https://dragalialost.wiki/w/Summer_Ieyasu" TargetMode="External"/><Relationship Id="rId262" Type="http://schemas.openxmlformats.org/officeDocument/2006/relationships/hyperlink" Target="https://dragalialost.wiki/w/Summer_Patia" TargetMode="External"/><Relationship Id="rId318" Type="http://schemas.openxmlformats.org/officeDocument/2006/relationships/hyperlink" Target="https://dragalialost.wiki/w/Phoenix" TargetMode="External"/><Relationship Id="rId525" Type="http://schemas.openxmlformats.org/officeDocument/2006/relationships/hyperlink" Target="https://dragalialost.wiki/w/Kicking_Back" TargetMode="External"/><Relationship Id="rId567" Type="http://schemas.openxmlformats.org/officeDocument/2006/relationships/hyperlink" Target="https://dragalialost.wiki/w/Dragon_Dance" TargetMode="External"/><Relationship Id="rId732" Type="http://schemas.openxmlformats.org/officeDocument/2006/relationships/hyperlink" Target="https://dragalialost.wiki/w/Extreme_Teamwork" TargetMode="External"/><Relationship Id="rId99" Type="http://schemas.openxmlformats.org/officeDocument/2006/relationships/hyperlink" Target="https://dragalialost.wiki/w/Gala_Emile" TargetMode="External"/><Relationship Id="rId122" Type="http://schemas.openxmlformats.org/officeDocument/2006/relationships/hyperlink" Target="https://dragalialost.wiki/w/Ku_Hai" TargetMode="External"/><Relationship Id="rId164" Type="http://schemas.openxmlformats.org/officeDocument/2006/relationships/hyperlink" Target="https://dragalialost.wiki/w/Nicolas" TargetMode="External"/><Relationship Id="rId371" Type="http://schemas.openxmlformats.org/officeDocument/2006/relationships/hyperlink" Target="https://dragalialost.wiki/w/Tsumuji" TargetMode="External"/><Relationship Id="rId774" Type="http://schemas.openxmlformats.org/officeDocument/2006/relationships/hyperlink" Target="https://dragalialost.wiki/w/Summer_Cat_S&#236;th" TargetMode="External"/><Relationship Id="rId427" Type="http://schemas.openxmlformats.org/officeDocument/2006/relationships/hyperlink" Target="https://dragalialost.wiki/w/Primal_Zodiark" TargetMode="External"/><Relationship Id="rId469" Type="http://schemas.openxmlformats.org/officeDocument/2006/relationships/hyperlink" Target="https://dragalialost.wiki/w/Flash_of_Genius" TargetMode="External"/><Relationship Id="rId634" Type="http://schemas.openxmlformats.org/officeDocument/2006/relationships/hyperlink" Target="https://dragalialost.wiki/w/Silke_Lends_a_Hand" TargetMode="External"/><Relationship Id="rId676" Type="http://schemas.openxmlformats.org/officeDocument/2006/relationships/hyperlink" Target="https://dragalialost.wiki/w/Showtime!" TargetMode="External"/><Relationship Id="rId26" Type="http://schemas.openxmlformats.org/officeDocument/2006/relationships/hyperlink" Target="https://dragalialost.wiki/w/Halloween_Mym" TargetMode="External"/><Relationship Id="rId231" Type="http://schemas.openxmlformats.org/officeDocument/2006/relationships/hyperlink" Target="https://dragalialost.wiki/w/Halloween_Althemia" TargetMode="External"/><Relationship Id="rId273" Type="http://schemas.openxmlformats.org/officeDocument/2006/relationships/hyperlink" Target="https://dragalialost.wiki/w/Halloween_Sylas" TargetMode="External"/><Relationship Id="rId329" Type="http://schemas.openxmlformats.org/officeDocument/2006/relationships/hyperlink" Target="https://dragalialost.wiki/w/Gaibhne_&amp;_Creidhne" TargetMode="External"/><Relationship Id="rId480" Type="http://schemas.openxmlformats.org/officeDocument/2006/relationships/hyperlink" Target="https://dragalialost.wiki/w/Warlust" TargetMode="External"/><Relationship Id="rId536" Type="http://schemas.openxmlformats.org/officeDocument/2006/relationships/hyperlink" Target="https://dragalialost.wiki/w/Braving_the_Unknown" TargetMode="External"/><Relationship Id="rId701" Type="http://schemas.openxmlformats.org/officeDocument/2006/relationships/hyperlink" Target="https://dragalialost.wiki/w/Delightful_Dancer" TargetMode="External"/><Relationship Id="rId68" Type="http://schemas.openxmlformats.org/officeDocument/2006/relationships/hyperlink" Target="https://dragalialost.wiki/w/Celliera" TargetMode="External"/><Relationship Id="rId133" Type="http://schemas.openxmlformats.org/officeDocument/2006/relationships/hyperlink" Target="https://dragalialost.wiki/w/Summer_Norwin" TargetMode="External"/><Relationship Id="rId175" Type="http://schemas.openxmlformats.org/officeDocument/2006/relationships/hyperlink" Target="https://dragalialost.wiki/w/Pecorine" TargetMode="External"/><Relationship Id="rId340" Type="http://schemas.openxmlformats.org/officeDocument/2006/relationships/hyperlink" Target="https://dragalialost.wiki/w/Vodyanoy" TargetMode="External"/><Relationship Id="rId578" Type="http://schemas.openxmlformats.org/officeDocument/2006/relationships/hyperlink" Target="https://dragalialost.wiki/w/Ironside_Shield" TargetMode="External"/><Relationship Id="rId743" Type="http://schemas.openxmlformats.org/officeDocument/2006/relationships/hyperlink" Target="https://dragalialost.wiki/w/To_My_Dear_Child" TargetMode="External"/><Relationship Id="rId200" Type="http://schemas.openxmlformats.org/officeDocument/2006/relationships/hyperlink" Target="https://dragalialost.wiki/w/Julietta" TargetMode="External"/><Relationship Id="rId382" Type="http://schemas.openxmlformats.org/officeDocument/2006/relationships/hyperlink" Target="https://dragalialost.wiki/w/Liger" TargetMode="External"/><Relationship Id="rId438" Type="http://schemas.openxmlformats.org/officeDocument/2006/relationships/hyperlink" Target="https://dragalialost.wiki/w/Crown_of_Light_(Serpent's_Boon)" TargetMode="External"/><Relationship Id="rId603" Type="http://schemas.openxmlformats.org/officeDocument/2006/relationships/hyperlink" Target="https://dragalialost.wiki/w/Greatwyrm_Zodiark" TargetMode="External"/><Relationship Id="rId645" Type="http://schemas.openxmlformats.org/officeDocument/2006/relationships/hyperlink" Target="https://dragalialost.wiki/w/Elegant_Escort" TargetMode="External"/><Relationship Id="rId687" Type="http://schemas.openxmlformats.org/officeDocument/2006/relationships/hyperlink" Target="https://dragalialost.wiki/w/The_Wyrmclan_Duo" TargetMode="External"/><Relationship Id="rId242" Type="http://schemas.openxmlformats.org/officeDocument/2006/relationships/hyperlink" Target="https://dragalialost.wiki/w/Audric" TargetMode="External"/><Relationship Id="rId284" Type="http://schemas.openxmlformats.org/officeDocument/2006/relationships/hyperlink" Target="https://dragalialost.wiki/w/Althemia" TargetMode="External"/><Relationship Id="rId491" Type="http://schemas.openxmlformats.org/officeDocument/2006/relationships/hyperlink" Target="https://dragalialost.wiki/w/Promises_in_the_Rain" TargetMode="External"/><Relationship Id="rId505" Type="http://schemas.openxmlformats.org/officeDocument/2006/relationships/hyperlink" Target="https://dragalialost.wiki/w/Endless_Waltz" TargetMode="External"/><Relationship Id="rId712" Type="http://schemas.openxmlformats.org/officeDocument/2006/relationships/hyperlink" Target="https://dragalialost.wiki/w/Unconditional_Love" TargetMode="External"/><Relationship Id="rId37" Type="http://schemas.openxmlformats.org/officeDocument/2006/relationships/hyperlink" Target="https://dragalialost.wiki/w/Summer_Alex" TargetMode="External"/><Relationship Id="rId79" Type="http://schemas.openxmlformats.org/officeDocument/2006/relationships/hyperlink" Target="https://dragalialost.wiki/w/Gala_Elisanne" TargetMode="External"/><Relationship Id="rId102" Type="http://schemas.openxmlformats.org/officeDocument/2006/relationships/hyperlink" Target="https://dragalialost.wiki/w/Lily" TargetMode="External"/><Relationship Id="rId144" Type="http://schemas.openxmlformats.org/officeDocument/2006/relationships/hyperlink" Target="https://dragalialost.wiki/w/Izumo" TargetMode="External"/><Relationship Id="rId547" Type="http://schemas.openxmlformats.org/officeDocument/2006/relationships/hyperlink" Target="https://dragalialost.wiki/w/Heavenly_Holiday" TargetMode="External"/><Relationship Id="rId589" Type="http://schemas.openxmlformats.org/officeDocument/2006/relationships/hyperlink" Target="https://dragalialost.wiki/w/Kunoichi_Charisma" TargetMode="External"/><Relationship Id="rId754" Type="http://schemas.openxmlformats.org/officeDocument/2006/relationships/hyperlink" Target="https://dragalialost.wiki/w/Third_Anniversary!" TargetMode="External"/><Relationship Id="rId90" Type="http://schemas.openxmlformats.org/officeDocument/2006/relationships/hyperlink" Target="https://dragalialost.wiki/w/Jakob" TargetMode="External"/><Relationship Id="rId186" Type="http://schemas.openxmlformats.org/officeDocument/2006/relationships/hyperlink" Target="https://dragalialost.wiki/w/Yachiyo" TargetMode="External"/><Relationship Id="rId351" Type="http://schemas.openxmlformats.org/officeDocument/2006/relationships/hyperlink" Target="https://dragalialost.wiki/w/Midgardsormr_Zero" TargetMode="External"/><Relationship Id="rId393" Type="http://schemas.openxmlformats.org/officeDocument/2006/relationships/hyperlink" Target="https://dragalialost.wiki/w/Astral_Imp" TargetMode="External"/><Relationship Id="rId407" Type="http://schemas.openxmlformats.org/officeDocument/2006/relationships/hyperlink" Target="https://dragalialost.wiki/w/Ebisu" TargetMode="External"/><Relationship Id="rId449" Type="http://schemas.openxmlformats.org/officeDocument/2006/relationships/hyperlink" Target="https://dragalialost.wiki/w/Savage_Hawk_(Lance's_Boon)" TargetMode="External"/><Relationship Id="rId614" Type="http://schemas.openxmlformats.org/officeDocument/2006/relationships/hyperlink" Target="https://dragalialost.wiki/w/Volcanic_Queen" TargetMode="External"/><Relationship Id="rId656" Type="http://schemas.openxmlformats.org/officeDocument/2006/relationships/hyperlink" Target="https://dragalialost.wiki/w/Roll_On" TargetMode="External"/><Relationship Id="rId211" Type="http://schemas.openxmlformats.org/officeDocument/2006/relationships/hyperlink" Target="https://dragalialost.wiki/w/Isaac" TargetMode="External"/><Relationship Id="rId253" Type="http://schemas.openxmlformats.org/officeDocument/2006/relationships/hyperlink" Target="https://dragalialost.wiki/w/Joker" TargetMode="External"/><Relationship Id="rId295" Type="http://schemas.openxmlformats.org/officeDocument/2006/relationships/hyperlink" Target="https://dragalialost.wiki/w/Zethia" TargetMode="External"/><Relationship Id="rId309" Type="http://schemas.openxmlformats.org/officeDocument/2006/relationships/hyperlink" Target="https://dragalialost.wiki/w/Arctos" TargetMode="External"/><Relationship Id="rId460" Type="http://schemas.openxmlformats.org/officeDocument/2006/relationships/hyperlink" Target="https://dragalialost.wiki/w/An_Unfreezing_Flower_(Axe's_Boon%22" TargetMode="External"/><Relationship Id="rId516" Type="http://schemas.openxmlformats.org/officeDocument/2006/relationships/hyperlink" Target="https://dragalialost.wiki/w/Scorn_the_Destrier" TargetMode="External"/><Relationship Id="rId698" Type="http://schemas.openxmlformats.org/officeDocument/2006/relationships/hyperlink" Target="https://dragalialost.wiki/w/Beach_Battle" TargetMode="External"/><Relationship Id="rId48" Type="http://schemas.openxmlformats.org/officeDocument/2006/relationships/hyperlink" Target="https://dragalialost.wiki/w/Ayaha_&amp;_Otoha" TargetMode="External"/><Relationship Id="rId113" Type="http://schemas.openxmlformats.org/officeDocument/2006/relationships/hyperlink" Target="https://dragalialost.wiki/w/Yoshitsune" TargetMode="External"/><Relationship Id="rId320" Type="http://schemas.openxmlformats.org/officeDocument/2006/relationships/hyperlink" Target="https://dragalialost.wiki/w/Kindling_Imp" TargetMode="External"/><Relationship Id="rId558" Type="http://schemas.openxmlformats.org/officeDocument/2006/relationships/hyperlink" Target="https://dragalialost.wiki/w/Revolutionary_Magic" TargetMode="External"/><Relationship Id="rId723" Type="http://schemas.openxmlformats.org/officeDocument/2006/relationships/hyperlink" Target="https://dragalialost.wiki/w/Vio_Rhyse_Alberia!" TargetMode="External"/><Relationship Id="rId765" Type="http://schemas.openxmlformats.org/officeDocument/2006/relationships/hyperlink" Target="https://dragalialost.wiki/w/The_Dragon_Smiths" TargetMode="External"/><Relationship Id="rId155" Type="http://schemas.openxmlformats.org/officeDocument/2006/relationships/hyperlink" Target="https://dragalialost.wiki/w/Joachim" TargetMode="External"/><Relationship Id="rId197" Type="http://schemas.openxmlformats.org/officeDocument/2006/relationships/hyperlink" Target="https://dragalialost.wiki/w/Sophie_(Persona)" TargetMode="External"/><Relationship Id="rId362" Type="http://schemas.openxmlformats.org/officeDocument/2006/relationships/hyperlink" Target="https://dragalialost.wiki/w/Garuda" TargetMode="External"/><Relationship Id="rId418" Type="http://schemas.openxmlformats.org/officeDocument/2006/relationships/hyperlink" Target="https://dragalialost.wiki/w/Silver_Fafnir" TargetMode="External"/><Relationship Id="rId625" Type="http://schemas.openxmlformats.org/officeDocument/2006/relationships/hyperlink" Target="https://dragalialost.wiki/w/Spirit_of_the_Season" TargetMode="External"/><Relationship Id="rId222" Type="http://schemas.openxmlformats.org/officeDocument/2006/relationships/hyperlink" Target="https://dragalialost.wiki/w/Lucretia" TargetMode="External"/><Relationship Id="rId264" Type="http://schemas.openxmlformats.org/officeDocument/2006/relationships/hyperlink" Target="https://dragalialost.wiki/w/Sazanka" TargetMode="External"/><Relationship Id="rId471" Type="http://schemas.openxmlformats.org/officeDocument/2006/relationships/hyperlink" Target="https://dragalialost.wiki/w/Worthy_Rivals" TargetMode="External"/><Relationship Id="rId667" Type="http://schemas.openxmlformats.org/officeDocument/2006/relationships/hyperlink" Target="https://dragalialost.wiki/w/Saint_Starfall's_Circus" TargetMode="External"/><Relationship Id="rId17" Type="http://schemas.openxmlformats.org/officeDocument/2006/relationships/hyperlink" Target="https://dragalialost.wiki/w/Sheila" TargetMode="External"/><Relationship Id="rId59" Type="http://schemas.openxmlformats.org/officeDocument/2006/relationships/hyperlink" Target="https://dragalialost.wiki/w/Summer_Celliera" TargetMode="External"/><Relationship Id="rId124" Type="http://schemas.openxmlformats.org/officeDocument/2006/relationships/hyperlink" Target="https://dragalialost.wiki/w/Yukata_Lathna" TargetMode="External"/><Relationship Id="rId527" Type="http://schemas.openxmlformats.org/officeDocument/2006/relationships/hyperlink" Target="https://dragalialost.wiki/w/Castaway's_Journal" TargetMode="External"/><Relationship Id="rId569" Type="http://schemas.openxmlformats.org/officeDocument/2006/relationships/hyperlink" Target="https://dragalialost.wiki/w/Kung_Fu_Masters" TargetMode="External"/><Relationship Id="rId734" Type="http://schemas.openxmlformats.org/officeDocument/2006/relationships/hyperlink" Target="https://dragalialost.wiki/w/Fun_in_the_Sun" TargetMode="External"/><Relationship Id="rId776" Type="http://schemas.openxmlformats.org/officeDocument/2006/relationships/hyperlink" Target="https://dragalialost.wiki/w/Valentine's_Hildegarde" TargetMode="External"/><Relationship Id="rId70" Type="http://schemas.openxmlformats.org/officeDocument/2006/relationships/hyperlink" Target="https://dragalialost.wiki/w/Humanoid_Mercury" TargetMode="External"/><Relationship Id="rId166" Type="http://schemas.openxmlformats.org/officeDocument/2006/relationships/hyperlink" Target="https://dragalialost.wiki/w/Formal_Noelle" TargetMode="External"/><Relationship Id="rId331" Type="http://schemas.openxmlformats.org/officeDocument/2006/relationships/hyperlink" Target="https://dragalialost.wiki/w/Kamuy" TargetMode="External"/><Relationship Id="rId373" Type="http://schemas.openxmlformats.org/officeDocument/2006/relationships/hyperlink" Target="https://dragalialost.wiki/w/Gala_Chronos_Nyx" TargetMode="External"/><Relationship Id="rId429" Type="http://schemas.openxmlformats.org/officeDocument/2006/relationships/hyperlink" Target="https://dragalialost.wiki/w/Primal_Midgardsormr" TargetMode="External"/><Relationship Id="rId580" Type="http://schemas.openxmlformats.org/officeDocument/2006/relationships/hyperlink" Target="https://dragalialost.wiki/w/First-Rate_Hospitality" TargetMode="External"/><Relationship Id="rId636" Type="http://schemas.openxmlformats.org/officeDocument/2006/relationships/hyperlink" Target="https://dragalialost.wiki/w/Witch's_Kitchen" TargetMode="External"/><Relationship Id="rId1" Type="http://schemas.openxmlformats.org/officeDocument/2006/relationships/hyperlink" Target="https://dragalialost.wiki/w/Undercover_Grace" TargetMode="External"/><Relationship Id="rId233" Type="http://schemas.openxmlformats.org/officeDocument/2006/relationships/hyperlink" Target="https://dragalialost.wiki/w/Hope" TargetMode="External"/><Relationship Id="rId440" Type="http://schemas.openxmlformats.org/officeDocument/2006/relationships/hyperlink" Target="https://dragalialost.wiki/w/Her_Beloved_(Sword's_Boon)" TargetMode="External"/><Relationship Id="rId678" Type="http://schemas.openxmlformats.org/officeDocument/2006/relationships/hyperlink" Target="https://dragalialost.wiki/w/Pecorine's_Grand_Adventure" TargetMode="External"/><Relationship Id="rId28" Type="http://schemas.openxmlformats.org/officeDocument/2006/relationships/hyperlink" Target="https://dragalialost.wiki/w/Yue" TargetMode="External"/><Relationship Id="rId275" Type="http://schemas.openxmlformats.org/officeDocument/2006/relationships/hyperlink" Target="https://dragalialost.wiki/w/Chelle" TargetMode="External"/><Relationship Id="rId300" Type="http://schemas.openxmlformats.org/officeDocument/2006/relationships/hyperlink" Target="https://dragalialost.wiki/w/Primal_Brunhilda" TargetMode="External"/><Relationship Id="rId482" Type="http://schemas.openxmlformats.org/officeDocument/2006/relationships/hyperlink" Target="https://dragalialost.wiki/w/The_Bridal_Dragon" TargetMode="External"/><Relationship Id="rId538" Type="http://schemas.openxmlformats.org/officeDocument/2006/relationships/hyperlink" Target="https://dragalialost.wiki/w/The_Halidom's_Picnic" TargetMode="External"/><Relationship Id="rId703" Type="http://schemas.openxmlformats.org/officeDocument/2006/relationships/hyperlink" Target="https://dragalialost.wiki/w/Gale_of_Beauty" TargetMode="External"/><Relationship Id="rId745" Type="http://schemas.openxmlformats.org/officeDocument/2006/relationships/hyperlink" Target="https://dragalialost.wiki/w/Paladyn_Defender" TargetMode="External"/><Relationship Id="rId81" Type="http://schemas.openxmlformats.org/officeDocument/2006/relationships/hyperlink" Target="https://dragalialost.wiki/w/Karina" TargetMode="External"/><Relationship Id="rId135" Type="http://schemas.openxmlformats.org/officeDocument/2006/relationships/hyperlink" Target="https://dragalialost.wiki/w/Su_Fang" TargetMode="External"/><Relationship Id="rId177" Type="http://schemas.openxmlformats.org/officeDocument/2006/relationships/hyperlink" Target="https://dragalialost.wiki/w/Alfonse" TargetMode="External"/><Relationship Id="rId342" Type="http://schemas.openxmlformats.org/officeDocument/2006/relationships/hyperlink" Target="https://dragalialost.wiki/w/Wellspring_Imp" TargetMode="External"/><Relationship Id="rId384" Type="http://schemas.openxmlformats.org/officeDocument/2006/relationships/hyperlink" Target="https://dragalialost.wiki/w/Cupid" TargetMode="External"/><Relationship Id="rId591" Type="http://schemas.openxmlformats.org/officeDocument/2006/relationships/hyperlink" Target="https://dragalialost.wiki/w/A_Halloween_Spectacular!" TargetMode="External"/><Relationship Id="rId605" Type="http://schemas.openxmlformats.org/officeDocument/2006/relationships/hyperlink" Target="https://dragalialost.wiki/w/Chariot_Drift" TargetMode="External"/><Relationship Id="rId202" Type="http://schemas.openxmlformats.org/officeDocument/2006/relationships/hyperlink" Target="https://dragalialost.wiki/w/Linus" TargetMode="External"/><Relationship Id="rId244" Type="http://schemas.openxmlformats.org/officeDocument/2006/relationships/hyperlink" Target="https://dragalialost.wiki/w/Rodrigo" TargetMode="External"/><Relationship Id="rId647" Type="http://schemas.openxmlformats.org/officeDocument/2006/relationships/hyperlink" Target="https://dragalialost.wiki/w/A_Heartfelt_Gift" TargetMode="External"/><Relationship Id="rId689" Type="http://schemas.openxmlformats.org/officeDocument/2006/relationships/hyperlink" Target="https://dragalialost.wiki/w/A_New_Year's_Battle" TargetMode="External"/><Relationship Id="rId39" Type="http://schemas.openxmlformats.org/officeDocument/2006/relationships/hyperlink" Target="https://dragalialost.wiki/w/Gala_Sarisse" TargetMode="External"/><Relationship Id="rId286" Type="http://schemas.openxmlformats.org/officeDocument/2006/relationships/hyperlink" Target="https://dragalialost.wiki/w/Summer_Verica" TargetMode="External"/><Relationship Id="rId451" Type="http://schemas.openxmlformats.org/officeDocument/2006/relationships/hyperlink" Target="https://dragalialost.wiki/w/Recital_Invitation_(Bull's_Boon)" TargetMode="External"/><Relationship Id="rId493" Type="http://schemas.openxmlformats.org/officeDocument/2006/relationships/hyperlink" Target="https://dragalialost.wiki/w/Rogues'_Banquet" TargetMode="External"/><Relationship Id="rId507" Type="http://schemas.openxmlformats.org/officeDocument/2006/relationships/hyperlink" Target="https://dragalialost.wiki/w/Lord_of_the_Skies" TargetMode="External"/><Relationship Id="rId549" Type="http://schemas.openxmlformats.org/officeDocument/2006/relationships/hyperlink" Target="https://dragalialost.wiki/w/The_Maid_Crusade" TargetMode="External"/><Relationship Id="rId714" Type="http://schemas.openxmlformats.org/officeDocument/2006/relationships/hyperlink" Target="https://dragalialost.wiki/w/A_Day_in_Her_Life" TargetMode="External"/><Relationship Id="rId756" Type="http://schemas.openxmlformats.org/officeDocument/2006/relationships/hyperlink" Target="https://dragalialost.wiki/w/Emissaries_of_the_Heavens" TargetMode="External"/><Relationship Id="rId50" Type="http://schemas.openxmlformats.org/officeDocument/2006/relationships/hyperlink" Target="https://dragalialost.wiki/w/Yukata_Cassandra" TargetMode="External"/><Relationship Id="rId104" Type="http://schemas.openxmlformats.org/officeDocument/2006/relationships/hyperlink" Target="https://dragalialost.wiki/w/Summer_Estelle" TargetMode="External"/><Relationship Id="rId146" Type="http://schemas.openxmlformats.org/officeDocument/2006/relationships/hyperlink" Target="https://dragalialost.wiki/w/Halloween_Melsa" TargetMode="External"/><Relationship Id="rId188" Type="http://schemas.openxmlformats.org/officeDocument/2006/relationships/hyperlink" Target="https://dragalialost.wiki/w/Farren" TargetMode="External"/><Relationship Id="rId311" Type="http://schemas.openxmlformats.org/officeDocument/2006/relationships/hyperlink" Target="https://dragalialost.wiki/w/Prometheus" TargetMode="External"/><Relationship Id="rId353" Type="http://schemas.openxmlformats.org/officeDocument/2006/relationships/hyperlink" Target="https://dragalialost.wiki/w/Ariel" TargetMode="External"/><Relationship Id="rId395" Type="http://schemas.openxmlformats.org/officeDocument/2006/relationships/hyperlink" Target="https://dragalialost.wiki/w/Hinata" TargetMode="External"/><Relationship Id="rId409" Type="http://schemas.openxmlformats.org/officeDocument/2006/relationships/hyperlink" Target="https://dragalialost.wiki/w/Chthonius" TargetMode="External"/><Relationship Id="rId560" Type="http://schemas.openxmlformats.org/officeDocument/2006/relationships/hyperlink" Target="https://dragalialost.wiki/w/Fallen_Wings" TargetMode="External"/><Relationship Id="rId92" Type="http://schemas.openxmlformats.org/officeDocument/2006/relationships/hyperlink" Target="https://dragalialost.wiki/w/Housekeeper_Pia" TargetMode="External"/><Relationship Id="rId213" Type="http://schemas.openxmlformats.org/officeDocument/2006/relationships/hyperlink" Target="https://dragalialost.wiki/w/Summer_Cleo" TargetMode="External"/><Relationship Id="rId420" Type="http://schemas.openxmlformats.org/officeDocument/2006/relationships/hyperlink" Target="https://dragalialost.wiki/w/Silke" TargetMode="External"/><Relationship Id="rId616" Type="http://schemas.openxmlformats.org/officeDocument/2006/relationships/hyperlink" Target="https://dragalialost.wiki/w/King_of_the_Skies" TargetMode="External"/><Relationship Id="rId658" Type="http://schemas.openxmlformats.org/officeDocument/2006/relationships/hyperlink" Target="https://dragalialost.wiki/w/Soaring_Terror" TargetMode="External"/><Relationship Id="rId255" Type="http://schemas.openxmlformats.org/officeDocument/2006/relationships/hyperlink" Target="https://dragalialost.wiki/w/Bellina" TargetMode="External"/><Relationship Id="rId297" Type="http://schemas.openxmlformats.org/officeDocument/2006/relationships/hyperlink" Target="https://dragalialost.wiki/w/Tartarus" TargetMode="External"/><Relationship Id="rId462" Type="http://schemas.openxmlformats.org/officeDocument/2006/relationships/hyperlink" Target="https://dragalialost.wiki/w/Apple-licious_Dreams_(Butterfly's_Boon)" TargetMode="External"/><Relationship Id="rId518" Type="http://schemas.openxmlformats.org/officeDocument/2006/relationships/hyperlink" Target="https://dragalialost.wiki/w/Beautiful_Nothingness" TargetMode="External"/><Relationship Id="rId725" Type="http://schemas.openxmlformats.org/officeDocument/2006/relationships/hyperlink" Target="https://dragalialost.wiki/w/Passion_Inherited" TargetMode="External"/><Relationship Id="rId115" Type="http://schemas.openxmlformats.org/officeDocument/2006/relationships/hyperlink" Target="https://dragalialost.wiki/w/Bondforged_Prince" TargetMode="External"/><Relationship Id="rId157" Type="http://schemas.openxmlformats.org/officeDocument/2006/relationships/hyperlink" Target="https://dragalialost.wiki/w/Philia" TargetMode="External"/><Relationship Id="rId322" Type="http://schemas.openxmlformats.org/officeDocument/2006/relationships/hyperlink" Target="https://dragalialost.wiki/w/Homura" TargetMode="External"/><Relationship Id="rId364" Type="http://schemas.openxmlformats.org/officeDocument/2006/relationships/hyperlink" Target="https://dragalialost.wiki/w/High_Midgardsormr" TargetMode="External"/><Relationship Id="rId767" Type="http://schemas.openxmlformats.org/officeDocument/2006/relationships/hyperlink" Target="https://dragalialost.wiki/w/Happy_New_Year!" TargetMode="External"/><Relationship Id="rId61" Type="http://schemas.openxmlformats.org/officeDocument/2006/relationships/hyperlink" Target="https://dragalialost.wiki/w/Halloween_Odetta" TargetMode="External"/><Relationship Id="rId199" Type="http://schemas.openxmlformats.org/officeDocument/2006/relationships/hyperlink" Target="https://dragalialost.wiki/w/Dragonyule_Malora" TargetMode="External"/><Relationship Id="rId571" Type="http://schemas.openxmlformats.org/officeDocument/2006/relationships/hyperlink" Target="https://dragalialost.wiki/w/Prayers_Unto_Him" TargetMode="External"/><Relationship Id="rId627" Type="http://schemas.openxmlformats.org/officeDocument/2006/relationships/hyperlink" Target="https://dragalialost.wiki/w/Free-Spirited_Opera" TargetMode="External"/><Relationship Id="rId669" Type="http://schemas.openxmlformats.org/officeDocument/2006/relationships/hyperlink" Target="https://dragalialost.wiki/w/A_Dragonyule_for_Ilia" TargetMode="External"/><Relationship Id="rId19" Type="http://schemas.openxmlformats.org/officeDocument/2006/relationships/hyperlink" Target="https://dragalialost.wiki/w/Gala_Laxi" TargetMode="External"/><Relationship Id="rId224" Type="http://schemas.openxmlformats.org/officeDocument/2006/relationships/hyperlink" Target="https://dragalialost.wiki/w/Amane" TargetMode="External"/><Relationship Id="rId266" Type="http://schemas.openxmlformats.org/officeDocument/2006/relationships/hyperlink" Target="https://dragalialost.wiki/w/Yukimura" TargetMode="External"/><Relationship Id="rId431" Type="http://schemas.openxmlformats.org/officeDocument/2006/relationships/hyperlink" Target="https://dragalialost.wiki/w/Gala_Beast_Kai_Yan" TargetMode="External"/><Relationship Id="rId473" Type="http://schemas.openxmlformats.org/officeDocument/2006/relationships/hyperlink" Target="https://dragalialost.wiki/w/Dragon_Brethren" TargetMode="External"/><Relationship Id="rId529" Type="http://schemas.openxmlformats.org/officeDocument/2006/relationships/hyperlink" Target="https://dragalialost.wiki/w/Howling_to_the_Heavens" TargetMode="External"/><Relationship Id="rId680" Type="http://schemas.openxmlformats.org/officeDocument/2006/relationships/hyperlink" Target="https://dragalialost.wiki/w/Bloody_Little_Queen" TargetMode="External"/><Relationship Id="rId736" Type="http://schemas.openxmlformats.org/officeDocument/2006/relationships/hyperlink" Target="https://dragalialost.wiki/w/Valentine's_Orion" TargetMode="External"/><Relationship Id="rId30" Type="http://schemas.openxmlformats.org/officeDocument/2006/relationships/hyperlink" Target="https://dragalialost.wiki/w/Panther" TargetMode="External"/><Relationship Id="rId126" Type="http://schemas.openxmlformats.org/officeDocument/2006/relationships/hyperlink" Target="https://dragalialost.wiki/w/Tobias" TargetMode="External"/><Relationship Id="rId168" Type="http://schemas.openxmlformats.org/officeDocument/2006/relationships/hyperlink" Target="https://dragalialost.wiki/w/Wedding_Xania" TargetMode="External"/><Relationship Id="rId333" Type="http://schemas.openxmlformats.org/officeDocument/2006/relationships/hyperlink" Target="https://dragalialost.wiki/w/Simurgh" TargetMode="External"/><Relationship Id="rId540" Type="http://schemas.openxmlformats.org/officeDocument/2006/relationships/hyperlink" Target="https://dragalialost.wiki/w/Trove_of_Knowledge" TargetMode="External"/><Relationship Id="rId778" Type="http://schemas.openxmlformats.org/officeDocument/2006/relationships/hyperlink" Target="https://dragalialost.wiki/w/Valentine's_Addis" TargetMode="External"/><Relationship Id="rId72" Type="http://schemas.openxmlformats.org/officeDocument/2006/relationships/hyperlink" Target="https://dragalialost.wiki/w/Mitsuba" TargetMode="External"/><Relationship Id="rId375" Type="http://schemas.openxmlformats.org/officeDocument/2006/relationships/hyperlink" Target="https://dragalialost.wiki/w/Raphael" TargetMode="External"/><Relationship Id="rId582" Type="http://schemas.openxmlformats.org/officeDocument/2006/relationships/hyperlink" Target="https://dragalialost.wiki/w/The_Fleeting_Girl" TargetMode="External"/><Relationship Id="rId638" Type="http://schemas.openxmlformats.org/officeDocument/2006/relationships/hyperlink" Target="https://dragalialost.wiki/w/Plunder_Pals" TargetMode="External"/><Relationship Id="rId3" Type="http://schemas.openxmlformats.org/officeDocument/2006/relationships/hyperlink" Target="https://dragalialost.wiki/w/Hunter_Berserker" TargetMode="External"/><Relationship Id="rId235" Type="http://schemas.openxmlformats.org/officeDocument/2006/relationships/hyperlink" Target="https://dragalialost.wiki/w/Eirene" TargetMode="External"/><Relationship Id="rId277" Type="http://schemas.openxmlformats.org/officeDocument/2006/relationships/hyperlink" Target="https://dragalialost.wiki/w/Norwin" TargetMode="External"/><Relationship Id="rId400" Type="http://schemas.openxmlformats.org/officeDocument/2006/relationships/hyperlink" Target="https://dragalialost.wiki/w/Ramiel" TargetMode="External"/><Relationship Id="rId442" Type="http://schemas.openxmlformats.org/officeDocument/2006/relationships/hyperlink" Target="https://dragalialost.wiki/w/Her_Beloved_(Crown's_Boon)" TargetMode="External"/><Relationship Id="rId484" Type="http://schemas.openxmlformats.org/officeDocument/2006/relationships/hyperlink" Target="https://dragalialost.wiki/w/The_Shining_Overlord" TargetMode="External"/><Relationship Id="rId705" Type="http://schemas.openxmlformats.org/officeDocument/2006/relationships/hyperlink" Target="https://dragalialost.wiki/w/Fresh_Perspective" TargetMode="External"/><Relationship Id="rId137" Type="http://schemas.openxmlformats.org/officeDocument/2006/relationships/hyperlink" Target="https://dragalialost.wiki/w/Shingen" TargetMode="External"/><Relationship Id="rId302" Type="http://schemas.openxmlformats.org/officeDocument/2006/relationships/hyperlink" Target="https://dragalialost.wiki/w/Gala_Reborn_Agni" TargetMode="External"/><Relationship Id="rId344" Type="http://schemas.openxmlformats.org/officeDocument/2006/relationships/hyperlink" Target="https://dragalialost.wiki/w/Fubuki" TargetMode="External"/><Relationship Id="rId691" Type="http://schemas.openxmlformats.org/officeDocument/2006/relationships/hyperlink" Target="https://dragalialost.wiki/w/Seaside_Princess" TargetMode="External"/><Relationship Id="rId747" Type="http://schemas.openxmlformats.org/officeDocument/2006/relationships/hyperlink" Target="https://dragalialost.wiki/w/Hanetsuki_Rally" TargetMode="External"/><Relationship Id="rId41" Type="http://schemas.openxmlformats.org/officeDocument/2006/relationships/hyperlink" Target="https://dragalialost.wiki/w/Yukata_Cleo" TargetMode="External"/><Relationship Id="rId83" Type="http://schemas.openxmlformats.org/officeDocument/2006/relationships/hyperlink" Target="https://dragalialost.wiki/w/Rex" TargetMode="External"/><Relationship Id="rId179" Type="http://schemas.openxmlformats.org/officeDocument/2006/relationships/hyperlink" Target="https://dragalialost.wiki/w/Odetta" TargetMode="External"/><Relationship Id="rId386" Type="http://schemas.openxmlformats.org/officeDocument/2006/relationships/hyperlink" Target="https://dragalialost.wiki/w/Corsaint_Phoenix" TargetMode="External"/><Relationship Id="rId551" Type="http://schemas.openxmlformats.org/officeDocument/2006/relationships/hyperlink" Target="https://dragalialost.wiki/w/Tracks_of_Hope" TargetMode="External"/><Relationship Id="rId593" Type="http://schemas.openxmlformats.org/officeDocument/2006/relationships/hyperlink" Target="https://dragalialost.wiki/w/Dragonyule_Dreaming" TargetMode="External"/><Relationship Id="rId607" Type="http://schemas.openxmlformats.org/officeDocument/2006/relationships/hyperlink" Target="https://dragalialost.wiki/w/Dance_of_the_Twin_Blossoms" TargetMode="External"/><Relationship Id="rId649" Type="http://schemas.openxmlformats.org/officeDocument/2006/relationships/hyperlink" Target="https://dragalialost.wiki/w/An_Indelible_Date" TargetMode="External"/><Relationship Id="rId190" Type="http://schemas.openxmlformats.org/officeDocument/2006/relationships/hyperlink" Target="https://dragalialost.wiki/w/Wu_Kong" TargetMode="External"/><Relationship Id="rId204" Type="http://schemas.openxmlformats.org/officeDocument/2006/relationships/hyperlink" Target="https://dragalialost.wiki/w/Sharena" TargetMode="External"/><Relationship Id="rId246" Type="http://schemas.openxmlformats.org/officeDocument/2006/relationships/hyperlink" Target="https://dragalialost.wiki/w/Linnea" TargetMode="External"/><Relationship Id="rId288" Type="http://schemas.openxmlformats.org/officeDocument/2006/relationships/hyperlink" Target="https://dragalialost.wiki/w/Cleo" TargetMode="External"/><Relationship Id="rId411" Type="http://schemas.openxmlformats.org/officeDocument/2006/relationships/hyperlink" Target="https://dragalialost.wiki/w/Nyarlathotep" TargetMode="External"/><Relationship Id="rId453" Type="http://schemas.openxmlformats.org/officeDocument/2006/relationships/hyperlink" Target="https://dragalialost.wiki/w/Promised_Piety_(Bow's_Boon)" TargetMode="External"/><Relationship Id="rId509" Type="http://schemas.openxmlformats.org/officeDocument/2006/relationships/hyperlink" Target="https://dragalialost.wiki/w/Proper_Maintenance" TargetMode="External"/><Relationship Id="rId660" Type="http://schemas.openxmlformats.org/officeDocument/2006/relationships/hyperlink" Target="https://dragalialost.wiki/w/A_Suit_of_Midnight" TargetMode="External"/><Relationship Id="rId106" Type="http://schemas.openxmlformats.org/officeDocument/2006/relationships/hyperlink" Target="https://dragalialost.wiki/w/Sandalphon" TargetMode="External"/><Relationship Id="rId313" Type="http://schemas.openxmlformats.org/officeDocument/2006/relationships/hyperlink" Target="https://dragalialost.wiki/w/Cerberus" TargetMode="External"/><Relationship Id="rId495" Type="http://schemas.openxmlformats.org/officeDocument/2006/relationships/hyperlink" Target="https://dragalialost.wiki/w/A_Dog's_Day" TargetMode="External"/><Relationship Id="rId716" Type="http://schemas.openxmlformats.org/officeDocument/2006/relationships/hyperlink" Target="https://dragalialost.wiki/w/Give_Me_Your_Wounded" TargetMode="External"/><Relationship Id="rId758" Type="http://schemas.openxmlformats.org/officeDocument/2006/relationships/hyperlink" Target="https://dragalialost.wiki/w/A_New_Look" TargetMode="External"/><Relationship Id="rId10" Type="http://schemas.openxmlformats.org/officeDocument/2006/relationships/hyperlink" Target="https://dragalialost.wiki/w/Marty" TargetMode="External"/><Relationship Id="rId52" Type="http://schemas.openxmlformats.org/officeDocument/2006/relationships/hyperlink" Target="https://dragalialost.wiki/w/Verica" TargetMode="External"/><Relationship Id="rId94" Type="http://schemas.openxmlformats.org/officeDocument/2006/relationships/hyperlink" Target="https://dragalialost.wiki/w/Hunter_Sarisse" TargetMode="External"/><Relationship Id="rId148" Type="http://schemas.openxmlformats.org/officeDocument/2006/relationships/hyperlink" Target="https://dragalialost.wiki/w/Sylas" TargetMode="External"/><Relationship Id="rId355" Type="http://schemas.openxmlformats.org/officeDocument/2006/relationships/hyperlink" Target="https://dragalialost.wiki/w/Hastur" TargetMode="External"/><Relationship Id="rId397" Type="http://schemas.openxmlformats.org/officeDocument/2006/relationships/hyperlink" Target="https://dragalialost.wiki/w/Gala_Reborn_Nidhogg" TargetMode="External"/><Relationship Id="rId520" Type="http://schemas.openxmlformats.org/officeDocument/2006/relationships/hyperlink" Target="https://dragalialost.wiki/w/In_an_Unending_World" TargetMode="External"/><Relationship Id="rId562" Type="http://schemas.openxmlformats.org/officeDocument/2006/relationships/hyperlink" Target="https://dragalialost.wiki/w/Moonlight_Party" TargetMode="External"/><Relationship Id="rId618" Type="http://schemas.openxmlformats.org/officeDocument/2006/relationships/hyperlink" Target="https://dragalialost.wiki/w/Saintly_Delivery" TargetMode="External"/><Relationship Id="rId215" Type="http://schemas.openxmlformats.org/officeDocument/2006/relationships/hyperlink" Target="https://dragalialost.wiki/w/Rawn" TargetMode="External"/><Relationship Id="rId257" Type="http://schemas.openxmlformats.org/officeDocument/2006/relationships/hyperlink" Target="https://dragalialost.wiki/w/Alex" TargetMode="External"/><Relationship Id="rId422" Type="http://schemas.openxmlformats.org/officeDocument/2006/relationships/hyperlink" Target="https://dragalialost.wiki/w/Zodiark" TargetMode="External"/><Relationship Id="rId464" Type="http://schemas.openxmlformats.org/officeDocument/2006/relationships/hyperlink" Target="https://dragalialost.wiki/w/Ravenous_Fire_(Deer's_Boon)" TargetMode="External"/><Relationship Id="rId299" Type="http://schemas.openxmlformats.org/officeDocument/2006/relationships/hyperlink" Target="https://dragalialost.wiki/w/Volk" TargetMode="External"/><Relationship Id="rId727" Type="http://schemas.openxmlformats.org/officeDocument/2006/relationships/hyperlink" Target="https://dragalialost.wiki/w/Amaterasu_Oblation" TargetMode="External"/><Relationship Id="rId63" Type="http://schemas.openxmlformats.org/officeDocument/2006/relationships/hyperlink" Target="https://dragalialost.wiki/w/Regina" TargetMode="External"/><Relationship Id="rId159" Type="http://schemas.openxmlformats.org/officeDocument/2006/relationships/hyperlink" Target="https://dragalialost.wiki/w/Myriam" TargetMode="External"/><Relationship Id="rId366" Type="http://schemas.openxmlformats.org/officeDocument/2006/relationships/hyperlink" Target="https://dragalialost.wiki/w/Stribog" TargetMode="External"/><Relationship Id="rId573" Type="http://schemas.openxmlformats.org/officeDocument/2006/relationships/hyperlink" Target="https://dragalialost.wiki/w/In_the_Limelight" TargetMode="External"/><Relationship Id="rId780" Type="http://schemas.openxmlformats.org/officeDocument/2006/relationships/printerSettings" Target="../printerSettings/printerSettings47.bin"/><Relationship Id="rId226" Type="http://schemas.openxmlformats.org/officeDocument/2006/relationships/hyperlink" Target="https://dragalialost.wiki/w/Kimono_Notte" TargetMode="External"/><Relationship Id="rId433" Type="http://schemas.openxmlformats.org/officeDocument/2006/relationships/hyperlink" Target="https://dragalialost.wiki/w/Atlas" TargetMode="External"/><Relationship Id="rId640" Type="http://schemas.openxmlformats.org/officeDocument/2006/relationships/hyperlink" Target="https://dragalialost.wiki/w/Seafood_Soup" TargetMode="External"/><Relationship Id="rId738" Type="http://schemas.openxmlformats.org/officeDocument/2006/relationships/hyperlink" Target="https://dragalialost.wiki/w/Welcome,_One_and_All" TargetMode="External"/><Relationship Id="rId74" Type="http://schemas.openxmlformats.org/officeDocument/2006/relationships/hyperlink" Target="https://dragalialost.wiki/w/Renee" TargetMode="External"/><Relationship Id="rId377" Type="http://schemas.openxmlformats.org/officeDocument/2006/relationships/hyperlink" Target="https://dragalialost.wiki/w/Gala_Thor" TargetMode="External"/><Relationship Id="rId500" Type="http://schemas.openxmlformats.org/officeDocument/2006/relationships/hyperlink" Target="https://dragalialost.wiki/w/Twinfold_Bonds" TargetMode="External"/><Relationship Id="rId584" Type="http://schemas.openxmlformats.org/officeDocument/2006/relationships/hyperlink" Target="https://dragalialost.wiki/w/The_Nobles'_Day_Off" TargetMode="External"/><Relationship Id="rId5" Type="http://schemas.openxmlformats.org/officeDocument/2006/relationships/hyperlink" Target="https://dragalialost.wiki/w/Marth" TargetMode="External"/><Relationship Id="rId237" Type="http://schemas.openxmlformats.org/officeDocument/2006/relationships/hyperlink" Target="https://dragalialost.wiki/w/Sharpshooter_Joe" TargetMode="External"/><Relationship Id="rId444" Type="http://schemas.openxmlformats.org/officeDocument/2006/relationships/hyperlink" Target="https://dragalialost.wiki/w/%22A_Knight's_Dream%22_(Axe's_Boon)" TargetMode="External"/><Relationship Id="rId651" Type="http://schemas.openxmlformats.org/officeDocument/2006/relationships/hyperlink" Target="https://dragalialost.wiki/w/Honest_Repose" TargetMode="External"/><Relationship Id="rId749" Type="http://schemas.openxmlformats.org/officeDocument/2006/relationships/hyperlink" Target="https://dragalialost.wiki/w/Slow_and_Steady" TargetMode="External"/><Relationship Id="rId290" Type="http://schemas.openxmlformats.org/officeDocument/2006/relationships/hyperlink" Target="https://dragalialost.wiki/w/Humanoid_Zodiark" TargetMode="External"/><Relationship Id="rId304" Type="http://schemas.openxmlformats.org/officeDocument/2006/relationships/hyperlink" Target="https://dragalialost.wiki/w/Mini_Hildy" TargetMode="External"/><Relationship Id="rId388" Type="http://schemas.openxmlformats.org/officeDocument/2006/relationships/hyperlink" Target="https://dragalialost.wiki/w/Jeanne_dArc" TargetMode="External"/><Relationship Id="rId511" Type="http://schemas.openxmlformats.org/officeDocument/2006/relationships/hyperlink" Target="https://dragalialost.wiki/w/Enchiridion" TargetMode="External"/><Relationship Id="rId609" Type="http://schemas.openxmlformats.org/officeDocument/2006/relationships/hyperlink" Target="https://dragalialost.wiki/w/Winds_of_Saint_Lotier" TargetMode="External"/><Relationship Id="rId85" Type="http://schemas.openxmlformats.org/officeDocument/2006/relationships/hyperlink" Target="https://dragalialost.wiki/w/Catherine" TargetMode="External"/><Relationship Id="rId150" Type="http://schemas.openxmlformats.org/officeDocument/2006/relationships/hyperlink" Target="https://dragalialost.wiki/w/Aeleen" TargetMode="External"/><Relationship Id="rId595" Type="http://schemas.openxmlformats.org/officeDocument/2006/relationships/hyperlink" Target="https://dragalialost.wiki/w/Tiny_Drago&#241;atas" TargetMode="External"/><Relationship Id="rId248" Type="http://schemas.openxmlformats.org/officeDocument/2006/relationships/hyperlink" Target="https://dragalialost.wiki/w/Ieyasu" TargetMode="External"/><Relationship Id="rId455" Type="http://schemas.openxmlformats.org/officeDocument/2006/relationships/hyperlink" Target="https://dragalialost.wiki/w/Promised_Piety_(Staff's_Boon)" TargetMode="External"/><Relationship Id="rId662" Type="http://schemas.openxmlformats.org/officeDocument/2006/relationships/hyperlink" Target="https://dragalialost.wiki/w/Primal_Crisis" TargetMode="External"/><Relationship Id="rId12" Type="http://schemas.openxmlformats.org/officeDocument/2006/relationships/hyperlink" Target="https://dragalialost.wiki/w/Nobunaga" TargetMode="External"/><Relationship Id="rId108" Type="http://schemas.openxmlformats.org/officeDocument/2006/relationships/hyperlink" Target="https://dragalialost.wiki/w/Jiang_Ziya" TargetMode="External"/><Relationship Id="rId315" Type="http://schemas.openxmlformats.org/officeDocument/2006/relationships/hyperlink" Target="https://dragalialost.wiki/w/High_Brunhilda" TargetMode="External"/><Relationship Id="rId522" Type="http://schemas.openxmlformats.org/officeDocument/2006/relationships/hyperlink" Target="https://dragalialost.wiki/w/Cry_of_the_Horn" TargetMode="External"/><Relationship Id="rId96" Type="http://schemas.openxmlformats.org/officeDocument/2006/relationships/hyperlink" Target="https://dragalialost.wiki/w/Dragonyule_Nefaria" TargetMode="External"/><Relationship Id="rId161" Type="http://schemas.openxmlformats.org/officeDocument/2006/relationships/hyperlink" Target="https://dragalialost.wiki/w/Maribelle" TargetMode="External"/><Relationship Id="rId399" Type="http://schemas.openxmlformats.org/officeDocument/2006/relationships/hyperlink" Target="https://dragalialost.wiki/w/Giovanni" TargetMode="External"/><Relationship Id="rId259" Type="http://schemas.openxmlformats.org/officeDocument/2006/relationships/hyperlink" Target="https://dragalialost.wiki/w/Vida" TargetMode="External"/><Relationship Id="rId466" Type="http://schemas.openxmlformats.org/officeDocument/2006/relationships/hyperlink" Target="https://dragalialost.wiki/w/Ravenous_Fire_(Crown's_Boon)" TargetMode="External"/><Relationship Id="rId673" Type="http://schemas.openxmlformats.org/officeDocument/2006/relationships/hyperlink" Target="https://dragalialost.wiki/w/What_Dreams_May_Come" TargetMode="External"/><Relationship Id="rId23" Type="http://schemas.openxmlformats.org/officeDocument/2006/relationships/hyperlink" Target="https://dragalialost.wiki/w/Renelle" TargetMode="External"/><Relationship Id="rId119" Type="http://schemas.openxmlformats.org/officeDocument/2006/relationships/hyperlink" Target="https://dragalialost.wiki/w/Wedding_Elisanne" TargetMode="External"/><Relationship Id="rId326" Type="http://schemas.openxmlformats.org/officeDocument/2006/relationships/hyperlink" Target="https://dragalialost.wiki/w/Gabriel" TargetMode="External"/><Relationship Id="rId533" Type="http://schemas.openxmlformats.org/officeDocument/2006/relationships/hyperlink" Target="https://dragalialost.wiki/w/Hastened_Squall" TargetMode="External"/><Relationship Id="rId740" Type="http://schemas.openxmlformats.org/officeDocument/2006/relationships/hyperlink" Target="https://dragalialost.wiki/w/Amane's_Babysitting_Chronicles" TargetMode="External"/><Relationship Id="rId172" Type="http://schemas.openxmlformats.org/officeDocument/2006/relationships/hyperlink" Target="https://dragalialost.wiki/w/Saiga" TargetMode="External"/><Relationship Id="rId477" Type="http://schemas.openxmlformats.org/officeDocument/2006/relationships/hyperlink" Target="https://dragalialost.wiki/w/Crystalian_Envoy" TargetMode="External"/><Relationship Id="rId600" Type="http://schemas.openxmlformats.org/officeDocument/2006/relationships/hyperlink" Target="https://dragalialost.wiki/w/Greatwyrm_Mercury" TargetMode="External"/><Relationship Id="rId684" Type="http://schemas.openxmlformats.org/officeDocument/2006/relationships/hyperlink" Target="https://dragalialost.wiki/w/Catch_Me_in_the_Sunflowers" TargetMode="External"/><Relationship Id="rId337" Type="http://schemas.openxmlformats.org/officeDocument/2006/relationships/hyperlink" Target="https://dragalialost.wiki/w/Leviathan" TargetMode="External"/><Relationship Id="rId34" Type="http://schemas.openxmlformats.org/officeDocument/2006/relationships/hyperlink" Target="https://dragalialost.wiki/w/Emma" TargetMode="External"/><Relationship Id="rId544" Type="http://schemas.openxmlformats.org/officeDocument/2006/relationships/hyperlink" Target="https://dragalialost.wiki/w/King's_Countenance" TargetMode="External"/><Relationship Id="rId751" Type="http://schemas.openxmlformats.org/officeDocument/2006/relationships/hyperlink" Target="https://dragalialost.wiki/w/A_Maddened_Master" TargetMode="External"/><Relationship Id="rId183" Type="http://schemas.openxmlformats.org/officeDocument/2006/relationships/hyperlink" Target="https://dragalialost.wiki/w/Gala_Luca" TargetMode="External"/><Relationship Id="rId390" Type="http://schemas.openxmlformats.org/officeDocument/2006/relationships/hyperlink" Target="https://dragalialost.wiki/w/Lindworm" TargetMode="External"/><Relationship Id="rId404" Type="http://schemas.openxmlformats.org/officeDocument/2006/relationships/hyperlink" Target="https://dragalialost.wiki/w/Andromeda" TargetMode="External"/><Relationship Id="rId611" Type="http://schemas.openxmlformats.org/officeDocument/2006/relationships/hyperlink" Target="https://dragalialost.wiki/w/Liber_Grimortis" TargetMode="External"/><Relationship Id="rId250" Type="http://schemas.openxmlformats.org/officeDocument/2006/relationships/hyperlink" Target="https://dragalialost.wiki/w/Durant" TargetMode="External"/><Relationship Id="rId488" Type="http://schemas.openxmlformats.org/officeDocument/2006/relationships/hyperlink" Target="https://dragalialost.wiki/w/Sisters_of_the_Anvil" TargetMode="External"/><Relationship Id="rId695" Type="http://schemas.openxmlformats.org/officeDocument/2006/relationships/hyperlink" Target="https://dragalialost.wiki/w/Breakfast_at_Valerio's" TargetMode="External"/><Relationship Id="rId709" Type="http://schemas.openxmlformats.org/officeDocument/2006/relationships/hyperlink" Target="https://dragalialost.wiki/w/An_Undying_Memory" TargetMode="External"/><Relationship Id="rId45" Type="http://schemas.openxmlformats.org/officeDocument/2006/relationships/hyperlink" Target="https://dragalialost.wiki/w/Student_Maribelle" TargetMode="External"/><Relationship Id="rId110" Type="http://schemas.openxmlformats.org/officeDocument/2006/relationships/hyperlink" Target="https://dragalialost.wiki/w/Thaniel" TargetMode="External"/><Relationship Id="rId348" Type="http://schemas.openxmlformats.org/officeDocument/2006/relationships/hyperlink" Target="https://dragalialost.wiki/w/Rose_Queen" TargetMode="External"/><Relationship Id="rId555" Type="http://schemas.openxmlformats.org/officeDocument/2006/relationships/hyperlink" Target="https://dragalialost.wiki/w/The_Davian_Wetlands" TargetMode="External"/><Relationship Id="rId762" Type="http://schemas.openxmlformats.org/officeDocument/2006/relationships/hyperlink" Target="https://dragalialost.wiki/w/Bonds_Between_Worlds" TargetMode="External"/><Relationship Id="rId194" Type="http://schemas.openxmlformats.org/officeDocument/2006/relationships/hyperlink" Target="https://dragalialost.wiki/w/Irfan" TargetMode="External"/><Relationship Id="rId208" Type="http://schemas.openxmlformats.org/officeDocument/2006/relationships/hyperlink" Target="https://dragalialost.wiki/w/Sha_Wujing" TargetMode="External"/><Relationship Id="rId415" Type="http://schemas.openxmlformats.org/officeDocument/2006/relationships/hyperlink" Target="https://dragalialost.wiki/w/Phantom" TargetMode="External"/><Relationship Id="rId622" Type="http://schemas.openxmlformats.org/officeDocument/2006/relationships/hyperlink" Target="https://dragalialost.wiki/w/The_Prince_of_Dragonyule" TargetMode="External"/><Relationship Id="rId261" Type="http://schemas.openxmlformats.org/officeDocument/2006/relationships/hyperlink" Target="https://dragalialost.wiki/w/Dragonyule_Victor" TargetMode="External"/><Relationship Id="rId499" Type="http://schemas.openxmlformats.org/officeDocument/2006/relationships/hyperlink" Target="https://dragalialost.wiki/w/Aromatherapy" TargetMode="External"/><Relationship Id="rId56" Type="http://schemas.openxmlformats.org/officeDocument/2006/relationships/hyperlink" Target="https://dragalialost.wiki/w/Gala_Leonidas" TargetMode="External"/><Relationship Id="rId359" Type="http://schemas.openxmlformats.org/officeDocument/2006/relationships/hyperlink" Target="https://dragalialost.wiki/w/Yulong" TargetMode="External"/><Relationship Id="rId566" Type="http://schemas.openxmlformats.org/officeDocument/2006/relationships/hyperlink" Target="https://dragalialost.wiki/w/Lunar_Festivities" TargetMode="External"/><Relationship Id="rId773" Type="http://schemas.openxmlformats.org/officeDocument/2006/relationships/hyperlink" Target="https://dragalialost.wiki/w/Cleo's_Ruse" TargetMode="External"/><Relationship Id="rId121" Type="http://schemas.openxmlformats.org/officeDocument/2006/relationships/hyperlink" Target="https://dragalialost.wiki/w/Templar_Hope" TargetMode="External"/><Relationship Id="rId219" Type="http://schemas.openxmlformats.org/officeDocument/2006/relationships/hyperlink" Target="https://dragalialost.wiki/w/Summer_Chelle" TargetMode="External"/><Relationship Id="rId426" Type="http://schemas.openxmlformats.org/officeDocument/2006/relationships/hyperlink" Target="https://dragalialost.wiki/w/Primal_Jupiter" TargetMode="External"/><Relationship Id="rId633" Type="http://schemas.openxmlformats.org/officeDocument/2006/relationships/hyperlink" Target="https://dragalialost.wiki/w/Super_Soaking_Androids" TargetMode="External"/><Relationship Id="rId67" Type="http://schemas.openxmlformats.org/officeDocument/2006/relationships/hyperlink" Target="https://dragalialost.wiki/w/Summer_Ranzal" TargetMode="External"/><Relationship Id="rId272" Type="http://schemas.openxmlformats.org/officeDocument/2006/relationships/hyperlink" Target="https://dragalialost.wiki/w/Zace" TargetMode="External"/><Relationship Id="rId577" Type="http://schemas.openxmlformats.org/officeDocument/2006/relationships/hyperlink" Target="https://dragalialost.wiki/w/Halidom_Grooms" TargetMode="External"/><Relationship Id="rId700" Type="http://schemas.openxmlformats.org/officeDocument/2006/relationships/hyperlink" Target="https://dragalialost.wiki/w/A_Solitary_Light" TargetMode="External"/><Relationship Id="rId132" Type="http://schemas.openxmlformats.org/officeDocument/2006/relationships/hyperlink" Target="https://dragalialost.wiki/w/Gala_Notte" TargetMode="External"/><Relationship Id="rId437" Type="http://schemas.openxmlformats.org/officeDocument/2006/relationships/hyperlink" Target="https://dragalialost.wiki/w/Rathalos" TargetMode="External"/><Relationship Id="rId644" Type="http://schemas.openxmlformats.org/officeDocument/2006/relationships/hyperlink" Target="https://dragalialost.wiki/w/Memories_of_Summer's_Dusk" TargetMode="External"/><Relationship Id="rId283" Type="http://schemas.openxmlformats.org/officeDocument/2006/relationships/hyperlink" Target="https://dragalialost.wiki/w/Kleimann" TargetMode="External"/><Relationship Id="rId490" Type="http://schemas.openxmlformats.org/officeDocument/2006/relationships/hyperlink" Target="https://dragalialost.wiki/w/Levin's_Champion" TargetMode="External"/><Relationship Id="rId504" Type="http://schemas.openxmlformats.org/officeDocument/2006/relationships/hyperlink" Target="https://dragalialost.wiki/w/Halo" TargetMode="External"/><Relationship Id="rId711" Type="http://schemas.openxmlformats.org/officeDocument/2006/relationships/hyperlink" Target="https://dragalialost.wiki/w/Soaring_Hope" TargetMode="External"/><Relationship Id="rId78" Type="http://schemas.openxmlformats.org/officeDocument/2006/relationships/hyperlink" Target="https://dragalialost.wiki/w/Lazry" TargetMode="External"/><Relationship Id="rId143" Type="http://schemas.openxmlformats.org/officeDocument/2006/relationships/hyperlink" Target="https://dragalialost.wiki/w/Phares" TargetMode="External"/><Relationship Id="rId350" Type="http://schemas.openxmlformats.org/officeDocument/2006/relationships/hyperlink" Target="https://dragalialost.wiki/w/Gala_Reborn_Zephyr" TargetMode="External"/><Relationship Id="rId588" Type="http://schemas.openxmlformats.org/officeDocument/2006/relationships/hyperlink" Target="https://dragalialost.wiki/w/The_Floofiest_Bed" TargetMode="External"/><Relationship Id="rId9" Type="http://schemas.openxmlformats.org/officeDocument/2006/relationships/hyperlink" Target="https://dragalialost.wiki/w/The_Prince" TargetMode="External"/><Relationship Id="rId210" Type="http://schemas.openxmlformats.org/officeDocument/2006/relationships/hyperlink" Target="https://dragalialost.wiki/w/Malka" TargetMode="External"/><Relationship Id="rId448" Type="http://schemas.openxmlformats.org/officeDocument/2006/relationships/hyperlink" Target="https://dragalialost.wiki/w/Beneath_the_Boughs_(Staff's_Boon)" TargetMode="External"/><Relationship Id="rId655" Type="http://schemas.openxmlformats.org/officeDocument/2006/relationships/hyperlink" Target="https://dragalialost.wiki/w/Wily_Warriors:_Flash_&amp;_Heat" TargetMode="External"/><Relationship Id="rId294" Type="http://schemas.openxmlformats.org/officeDocument/2006/relationships/hyperlink" Target="https://dragalialost.wiki/w/Sarisse" TargetMode="External"/><Relationship Id="rId308" Type="http://schemas.openxmlformats.org/officeDocument/2006/relationships/hyperlink" Target="https://dragalialost.wiki/w/Apollo" TargetMode="External"/><Relationship Id="rId515" Type="http://schemas.openxmlformats.org/officeDocument/2006/relationships/hyperlink" Target="https://dragalialost.wiki/w/The_Fires_of_Hate" TargetMode="External"/><Relationship Id="rId722" Type="http://schemas.openxmlformats.org/officeDocument/2006/relationships/hyperlink" Target="https://dragalialost.wiki/w/Teatime" TargetMode="External"/><Relationship Id="rId89" Type="http://schemas.openxmlformats.org/officeDocument/2006/relationships/hyperlink" Target="https://dragalialost.wiki/w/Elisanne" TargetMode="External"/><Relationship Id="rId154" Type="http://schemas.openxmlformats.org/officeDocument/2006/relationships/hyperlink" Target="https://dragalialost.wiki/w/Louise" TargetMode="External"/><Relationship Id="rId361" Type="http://schemas.openxmlformats.org/officeDocument/2006/relationships/hyperlink" Target="https://dragalialost.wiki/w/Long_Long" TargetMode="External"/><Relationship Id="rId599" Type="http://schemas.openxmlformats.org/officeDocument/2006/relationships/hyperlink" Target="https://dragalialost.wiki/w/Greatwyrm_Midgardsormr" TargetMode="External"/><Relationship Id="rId459" Type="http://schemas.openxmlformats.org/officeDocument/2006/relationships/hyperlink" Target="https://dragalialost.wiki/w/A_King's_Pride_(Staff's_Boon)" TargetMode="External"/><Relationship Id="rId666" Type="http://schemas.openxmlformats.org/officeDocument/2006/relationships/hyperlink" Target="https://dragalialost.wiki/w/A_Gift_from_an_Angel" TargetMode="External"/><Relationship Id="rId16" Type="http://schemas.openxmlformats.org/officeDocument/2006/relationships/hyperlink" Target="https://dragalialost.wiki/w/Aoi" TargetMode="External"/><Relationship Id="rId221" Type="http://schemas.openxmlformats.org/officeDocument/2006/relationships/hyperlink" Target="https://dragalialost.wiki/w/Peony" TargetMode="External"/><Relationship Id="rId319" Type="http://schemas.openxmlformats.org/officeDocument/2006/relationships/hyperlink" Target="https://dragalialost.wiki/w/Brunhilda" TargetMode="External"/><Relationship Id="rId526" Type="http://schemas.openxmlformats.org/officeDocument/2006/relationships/hyperlink" Target="https://dragalialost.wiki/w/Secret_Friend" TargetMode="External"/><Relationship Id="rId733" Type="http://schemas.openxmlformats.org/officeDocument/2006/relationships/hyperlink" Target="https://dragalialost.wiki/w/Blossoms_on_the_Water's_Edge" TargetMode="External"/><Relationship Id="rId165" Type="http://schemas.openxmlformats.org/officeDocument/2006/relationships/hyperlink" Target="https://dragalialost.wiki/w/Nina" TargetMode="External"/><Relationship Id="rId372" Type="http://schemas.openxmlformats.org/officeDocument/2006/relationships/hyperlink" Target="https://dragalialost.wiki/w/Gala_Elysium" TargetMode="External"/><Relationship Id="rId677" Type="http://schemas.openxmlformats.org/officeDocument/2006/relationships/hyperlink" Target="https://dragalialost.wiki/w/Secret_Nightmare" TargetMode="External"/><Relationship Id="rId232" Type="http://schemas.openxmlformats.org/officeDocument/2006/relationships/hyperlink" Target="https://dragalialost.wiki/w/Estelle" TargetMode="External"/><Relationship Id="rId27" Type="http://schemas.openxmlformats.org/officeDocument/2006/relationships/hyperlink" Target="https://dragalialost.wiki/w/Ramona" TargetMode="External"/><Relationship Id="rId537" Type="http://schemas.openxmlformats.org/officeDocument/2006/relationships/hyperlink" Target="https://dragalialost.wiki/w/Howling_Predator" TargetMode="External"/><Relationship Id="rId744" Type="http://schemas.openxmlformats.org/officeDocument/2006/relationships/hyperlink" Target="https://dragalialost.wiki/w/Blessed_Days" TargetMode="External"/><Relationship Id="rId80" Type="http://schemas.openxmlformats.org/officeDocument/2006/relationships/hyperlink" Target="https://dragalialost.wiki/w/Summer_Julietta" TargetMode="External"/><Relationship Id="rId176" Type="http://schemas.openxmlformats.org/officeDocument/2006/relationships/hyperlink" Target="https://dragalialost.wiki/w/Gala_Prince" TargetMode="External"/><Relationship Id="rId383" Type="http://schemas.openxmlformats.org/officeDocument/2006/relationships/hyperlink" Target="https://dragalialost.wiki/w/Shishimai" TargetMode="External"/><Relationship Id="rId590" Type="http://schemas.openxmlformats.org/officeDocument/2006/relationships/hyperlink" Target="https://dragalialost.wiki/w/Initio's_Sentinel" TargetMode="External"/><Relationship Id="rId604" Type="http://schemas.openxmlformats.org/officeDocument/2006/relationships/hyperlink" Target="https://dragalialost.wiki/w/New_World_Escort" TargetMode="External"/><Relationship Id="rId243" Type="http://schemas.openxmlformats.org/officeDocument/2006/relationships/hyperlink" Target="https://dragalialost.wiki/w/Berserker" TargetMode="External"/><Relationship Id="rId450" Type="http://schemas.openxmlformats.org/officeDocument/2006/relationships/hyperlink" Target="https://dragalialost.wiki/w/A_Mercenary's_Pride_(Eagle's_Boon)" TargetMode="External"/><Relationship Id="rId688" Type="http://schemas.openxmlformats.org/officeDocument/2006/relationships/hyperlink" Target="https://dragalialost.wiki/w/Blossoms_in_a_New_Year's_Sky" TargetMode="External"/><Relationship Id="rId38" Type="http://schemas.openxmlformats.org/officeDocument/2006/relationships/hyperlink" Target="https://dragalialost.wiki/w/Chelsea" TargetMode="External"/><Relationship Id="rId103" Type="http://schemas.openxmlformats.org/officeDocument/2006/relationships/hyperlink" Target="https://dragalialost.wiki/w/Pipple" TargetMode="External"/><Relationship Id="rId310" Type="http://schemas.openxmlformats.org/officeDocument/2006/relationships/hyperlink" Target="https://dragalialost.wiki/w/Konohana_Sakuya" TargetMode="External"/><Relationship Id="rId548" Type="http://schemas.openxmlformats.org/officeDocument/2006/relationships/hyperlink" Target="https://dragalialost.wiki/w/Poli&#699;ahu" TargetMode="External"/><Relationship Id="rId755" Type="http://schemas.openxmlformats.org/officeDocument/2006/relationships/hyperlink" Target="https://dragalialost.wiki/w/Bonded_by_a_Dream" TargetMode="External"/><Relationship Id="rId91" Type="http://schemas.openxmlformats.org/officeDocument/2006/relationships/hyperlink" Target="https://dragalialost.wiki/w/Cibella" TargetMode="External"/><Relationship Id="rId187" Type="http://schemas.openxmlformats.org/officeDocument/2006/relationships/hyperlink" Target="https://dragalialost.wiki/w/Halloween_Edward" TargetMode="External"/><Relationship Id="rId394" Type="http://schemas.openxmlformats.org/officeDocument/2006/relationships/hyperlink" Target="https://dragalialost.wiki/w/Moon_Drake" TargetMode="External"/><Relationship Id="rId408" Type="http://schemas.openxmlformats.org/officeDocument/2006/relationships/hyperlink" Target="https://dragalialost.wiki/w/Parallel_Zodiark" TargetMode="External"/><Relationship Id="rId615" Type="http://schemas.openxmlformats.org/officeDocument/2006/relationships/hyperlink" Target="https://dragalialost.wiki/w/Queen_of_the_Blue_Seas" TargetMode="External"/><Relationship Id="rId254" Type="http://schemas.openxmlformats.org/officeDocument/2006/relationships/hyperlink" Target="https://dragalialost.wiki/w/Nevin" TargetMode="External"/><Relationship Id="rId699" Type="http://schemas.openxmlformats.org/officeDocument/2006/relationships/hyperlink" Target="https://dragalialost.wiki/w/Preacher's_Vacation" TargetMode="External"/><Relationship Id="rId49" Type="http://schemas.openxmlformats.org/officeDocument/2006/relationships/hyperlink" Target="https://dragalialost.wiki/w/Kuzunoha" TargetMode="External"/><Relationship Id="rId114" Type="http://schemas.openxmlformats.org/officeDocument/2006/relationships/hyperlink" Target="https://dragalialost.wiki/w/Lapis" TargetMode="External"/><Relationship Id="rId461" Type="http://schemas.openxmlformats.org/officeDocument/2006/relationships/hyperlink" Target="https://dragalialost.wiki/w/A_King's_Pride_(Sword's_Boon)" TargetMode="External"/><Relationship Id="rId559" Type="http://schemas.openxmlformats.org/officeDocument/2006/relationships/hyperlink" Target="https://dragalialost.wiki/w/Samurai_Siesta" TargetMode="External"/><Relationship Id="rId766" Type="http://schemas.openxmlformats.org/officeDocument/2006/relationships/hyperlink" Target="https://dragalialost.wiki/w/United_by_One_Vision" TargetMode="External"/><Relationship Id="rId198" Type="http://schemas.openxmlformats.org/officeDocument/2006/relationships/hyperlink" Target="https://dragalialost.wiki/w/Zhu_Bajie" TargetMode="External"/><Relationship Id="rId321" Type="http://schemas.openxmlformats.org/officeDocument/2006/relationships/hyperlink" Target="https://dragalialost.wiki/w/Cinder_Drake" TargetMode="External"/><Relationship Id="rId419" Type="http://schemas.openxmlformats.org/officeDocument/2006/relationships/hyperlink" Target="https://dragalialost.wiki/w/Bronze_Fafnir" TargetMode="External"/><Relationship Id="rId626" Type="http://schemas.openxmlformats.org/officeDocument/2006/relationships/hyperlink" Target="https://dragalialost.wiki/w/Enter_the_Blue_Rose!" TargetMode="External"/><Relationship Id="rId265" Type="http://schemas.openxmlformats.org/officeDocument/2006/relationships/hyperlink" Target="https://dragalialost.wiki/w/Erik" TargetMode="External"/><Relationship Id="rId472" Type="http://schemas.openxmlformats.org/officeDocument/2006/relationships/hyperlink" Target="https://dragalialost.wiki/w/Auspex's_Prayer" TargetMode="External"/><Relationship Id="rId125" Type="http://schemas.openxmlformats.org/officeDocument/2006/relationships/hyperlink" Target="https://dragalialost.wiki/w/Forager_Mitsuba" TargetMode="External"/><Relationship Id="rId332" Type="http://schemas.openxmlformats.org/officeDocument/2006/relationships/hyperlink" Target="https://dragalialost.wiki/w/Halloween_Maritimus" TargetMode="External"/><Relationship Id="rId777" Type="http://schemas.openxmlformats.org/officeDocument/2006/relationships/hyperlink" Target="https://dragalialost.wiki/w/Valentine's_Melody" TargetMode="External"/><Relationship Id="rId637" Type="http://schemas.openxmlformats.org/officeDocument/2006/relationships/hyperlink" Target="https://dragalialost.wiki/w/Of_Tricks_and_Treats" TargetMode="External"/><Relationship Id="rId276" Type="http://schemas.openxmlformats.org/officeDocument/2006/relationships/hyperlink" Target="https://dragalialost.wiki/w/Nefaria" TargetMode="External"/><Relationship Id="rId483" Type="http://schemas.openxmlformats.org/officeDocument/2006/relationships/hyperlink" Target="https://dragalialost.wiki/w/The_Red_Impulse" TargetMode="External"/><Relationship Id="rId690" Type="http://schemas.openxmlformats.org/officeDocument/2006/relationships/hyperlink" Target="https://dragalialost.wiki/w/A_Game_of_Cat_and_Boar" TargetMode="External"/><Relationship Id="rId704" Type="http://schemas.openxmlformats.org/officeDocument/2006/relationships/hyperlink" Target="https://dragalialost.wiki/w/Louise's_Hobbies" TargetMode="External"/><Relationship Id="rId40" Type="http://schemas.openxmlformats.org/officeDocument/2006/relationships/hyperlink" Target="https://dragalialost.wiki/w/Joe" TargetMode="External"/><Relationship Id="rId136" Type="http://schemas.openxmlformats.org/officeDocument/2006/relationships/hyperlink" Target="https://dragalialost.wiki/w/Francesca" TargetMode="External"/><Relationship Id="rId343" Type="http://schemas.openxmlformats.org/officeDocument/2006/relationships/hyperlink" Target="https://dragalialost.wiki/w/Snow_Drake" TargetMode="External"/><Relationship Id="rId550" Type="http://schemas.openxmlformats.org/officeDocument/2006/relationships/hyperlink" Target="https://dragalialost.wiki/w/Unfulfilled_Visions" TargetMode="External"/><Relationship Id="rId203" Type="http://schemas.openxmlformats.org/officeDocument/2006/relationships/hyperlink" Target="https://dragalialost.wiki/w/Ryszarda" TargetMode="External"/><Relationship Id="rId648" Type="http://schemas.openxmlformats.org/officeDocument/2006/relationships/hyperlink" Target="https://dragalialost.wiki/w/Valentine's_Venture" TargetMode="External"/><Relationship Id="rId287" Type="http://schemas.openxmlformats.org/officeDocument/2006/relationships/hyperlink" Target="https://dragalialost.wiki/w/Heinwald" TargetMode="External"/><Relationship Id="rId410" Type="http://schemas.openxmlformats.org/officeDocument/2006/relationships/hyperlink" Target="https://dragalialost.wiki/w/Shinobi" TargetMode="External"/><Relationship Id="rId494" Type="http://schemas.openxmlformats.org/officeDocument/2006/relationships/hyperlink" Target="https://dragalialost.wiki/w/Partners_in_Truth" TargetMode="External"/><Relationship Id="rId508" Type="http://schemas.openxmlformats.org/officeDocument/2006/relationships/hyperlink" Target="https://dragalialost.wiki/w/Jewels_of_the_Sun" TargetMode="External"/><Relationship Id="rId715" Type="http://schemas.openxmlformats.org/officeDocument/2006/relationships/hyperlink" Target="https://dragalialost.wiki/w/Treasury_of_Knowledge" TargetMode="External"/><Relationship Id="rId147" Type="http://schemas.openxmlformats.org/officeDocument/2006/relationships/hyperlink" Target="https://dragalialost.wiki/w/Kirsty" TargetMode="External"/><Relationship Id="rId354" Type="http://schemas.openxmlformats.org/officeDocument/2006/relationships/hyperlink" Target="https://dragalialost.wiki/w/AC-011_Garland" TargetMode="External"/><Relationship Id="rId51" Type="http://schemas.openxmlformats.org/officeDocument/2006/relationships/hyperlink" Target="https://dragalialost.wiki/w/Halloween_Lowen" TargetMode="External"/><Relationship Id="rId561" Type="http://schemas.openxmlformats.org/officeDocument/2006/relationships/hyperlink" Target="https://dragalialost.wiki/w/Sweet_Surprise" TargetMode="External"/><Relationship Id="rId659" Type="http://schemas.openxmlformats.org/officeDocument/2006/relationships/hyperlink" Target="https://dragalialost.wiki/w/Felyne_Hospitality" TargetMode="External"/><Relationship Id="rId214" Type="http://schemas.openxmlformats.org/officeDocument/2006/relationships/hyperlink" Target="https://dragalialost.wiki/w/Elias" TargetMode="External"/><Relationship Id="rId298" Type="http://schemas.openxmlformats.org/officeDocument/2006/relationships/hyperlink" Target="https://dragalialost.wiki/w/Ciella" TargetMode="External"/><Relationship Id="rId421" Type="http://schemas.openxmlformats.org/officeDocument/2006/relationships/hyperlink" Target="https://dragalialost.wiki/w/Juggernaut" TargetMode="External"/><Relationship Id="rId519" Type="http://schemas.openxmlformats.org/officeDocument/2006/relationships/hyperlink" Target="https://dragalialost.wiki/w/Beautiful_Gunman" TargetMode="External"/><Relationship Id="rId158" Type="http://schemas.openxmlformats.org/officeDocument/2006/relationships/hyperlink" Target="https://dragalialost.wiki/w/Basileus" TargetMode="External"/><Relationship Id="rId726" Type="http://schemas.openxmlformats.org/officeDocument/2006/relationships/hyperlink" Target="https://dragalialost.wiki/w/The_Cutie_Competition" TargetMode="External"/><Relationship Id="rId62" Type="http://schemas.openxmlformats.org/officeDocument/2006/relationships/hyperlink" Target="https://dragalialost.wiki/w/Zardin" TargetMode="External"/><Relationship Id="rId365" Type="http://schemas.openxmlformats.org/officeDocument/2006/relationships/hyperlink" Target="https://dragalialost.wiki/w/Zephyr" TargetMode="External"/><Relationship Id="rId572" Type="http://schemas.openxmlformats.org/officeDocument/2006/relationships/hyperlink" Target="https://dragalialost.wiki/w/Superior_Summer" TargetMode="External"/><Relationship Id="rId225" Type="http://schemas.openxmlformats.org/officeDocument/2006/relationships/hyperlink" Target="https://dragalialost.wiki/w/Xiao_Lei" TargetMode="External"/><Relationship Id="rId432" Type="http://schemas.openxmlformats.org/officeDocument/2006/relationships/hyperlink" Target="https://dragalialost.wiki/w/Gala_Beast_Tartarus" TargetMode="External"/><Relationship Id="rId737" Type="http://schemas.openxmlformats.org/officeDocument/2006/relationships/hyperlink" Target="https://dragalialost.wiki/w/The_Order's_Messenger_Owl" TargetMode="External"/><Relationship Id="rId73" Type="http://schemas.openxmlformats.org/officeDocument/2006/relationships/hyperlink" Target="https://dragalialost.wiki/w/Dragonyule_Cleo" TargetMode="External"/><Relationship Id="rId169" Type="http://schemas.openxmlformats.org/officeDocument/2006/relationships/hyperlink" Target="https://dragalialost.wiki/w/Lowen" TargetMode="External"/><Relationship Id="rId376" Type="http://schemas.openxmlformats.org/officeDocument/2006/relationships/hyperlink" Target="https://dragalialost.wiki/w/Gala_Reborn_Jeanne" TargetMode="External"/><Relationship Id="rId583" Type="http://schemas.openxmlformats.org/officeDocument/2006/relationships/hyperlink" Target="https://dragalialost.wiki/w/Hitting_the_Books" TargetMode="External"/><Relationship Id="rId4" Type="http://schemas.openxmlformats.org/officeDocument/2006/relationships/hyperlink" Target="https://dragalialost.wiki/w/Lea" TargetMode="External"/><Relationship Id="rId236" Type="http://schemas.openxmlformats.org/officeDocument/2006/relationships/hyperlink" Target="https://dragalialost.wiki/w/Ilia" TargetMode="External"/><Relationship Id="rId443" Type="http://schemas.openxmlformats.org/officeDocument/2006/relationships/hyperlink" Target="https://dragalialost.wiki/w/Mask_of_Determination_(Bow's_Boon)" TargetMode="External"/><Relationship Id="rId650" Type="http://schemas.openxmlformats.org/officeDocument/2006/relationships/hyperlink" Target="https://dragalialost.wiki/w/Take_My_Hand" TargetMode="External"/><Relationship Id="rId303" Type="http://schemas.openxmlformats.org/officeDocument/2006/relationships/hyperlink" Target="https://dragalialost.wiki/w/Gozu_Tenno" TargetMode="External"/><Relationship Id="rId748" Type="http://schemas.openxmlformats.org/officeDocument/2006/relationships/hyperlink" Target="https://dragalialost.wiki/w/Luck_of_the_Draw" TargetMode="External"/><Relationship Id="rId84" Type="http://schemas.openxmlformats.org/officeDocument/2006/relationships/hyperlink" Target="https://dragalialost.wiki/w/Faeblessed_Tobias" TargetMode="External"/><Relationship Id="rId387" Type="http://schemas.openxmlformats.org/officeDocument/2006/relationships/hyperlink" Target="https://dragalialost.wiki/w/High_Jupiter" TargetMode="External"/><Relationship Id="rId510" Type="http://schemas.openxmlformats.org/officeDocument/2006/relationships/hyperlink" Target="https://dragalialost.wiki/w/Taiko_Tandem" TargetMode="External"/><Relationship Id="rId594" Type="http://schemas.openxmlformats.org/officeDocument/2006/relationships/hyperlink" Target="https://dragalialost.wiki/w/Egg-Shaped_Dreams" TargetMode="External"/><Relationship Id="rId608" Type="http://schemas.openxmlformats.org/officeDocument/2006/relationships/hyperlink" Target="https://dragalialost.wiki/w/Dragon's_Nest" TargetMode="External"/><Relationship Id="rId247" Type="http://schemas.openxmlformats.org/officeDocument/2006/relationships/hyperlink" Target="https://dragalialost.wiki/w/Natalie" TargetMode="External"/></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48.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0D74A1-162C-4D96-9070-D35F0824FF68}">
  <dimension ref="A1:A43"/>
  <sheetViews>
    <sheetView tabSelected="1" zoomScaleNormal="100" workbookViewId="0">
      <selection activeCell="B1" sqref="B1"/>
    </sheetView>
  </sheetViews>
  <sheetFormatPr defaultRowHeight="14.25" x14ac:dyDescent="0.2"/>
  <cols>
    <col min="1" max="1" width="46.875" bestFit="1" customWidth="1"/>
  </cols>
  <sheetData>
    <row r="1" spans="1:1" x14ac:dyDescent="0.2">
      <c r="A1" s="195" t="s">
        <v>0</v>
      </c>
    </row>
    <row r="2" spans="1:1" x14ac:dyDescent="0.2">
      <c r="A2" s="103" t="s">
        <v>1</v>
      </c>
    </row>
    <row r="3" spans="1:1" x14ac:dyDescent="0.2">
      <c r="A3" s="103" t="s">
        <v>2</v>
      </c>
    </row>
    <row r="4" spans="1:1" x14ac:dyDescent="0.2">
      <c r="A4" s="103" t="s">
        <v>3</v>
      </c>
    </row>
    <row r="5" spans="1:1" x14ac:dyDescent="0.2">
      <c r="A5" s="103" t="s">
        <v>4</v>
      </c>
    </row>
    <row r="6" spans="1:1" x14ac:dyDescent="0.2">
      <c r="A6" s="103" t="s">
        <v>5</v>
      </c>
    </row>
    <row r="7" spans="1:1" x14ac:dyDescent="0.2">
      <c r="A7" s="103" t="s">
        <v>6</v>
      </c>
    </row>
    <row r="8" spans="1:1" x14ac:dyDescent="0.2">
      <c r="A8" s="103" t="s">
        <v>7</v>
      </c>
    </row>
    <row r="9" spans="1:1" x14ac:dyDescent="0.2">
      <c r="A9" s="103" t="s">
        <v>24545</v>
      </c>
    </row>
    <row r="10" spans="1:1" x14ac:dyDescent="0.2">
      <c r="A10" s="103" t="s">
        <v>8</v>
      </c>
    </row>
    <row r="11" spans="1:1" x14ac:dyDescent="0.2">
      <c r="A11" s="103" t="s">
        <v>9</v>
      </c>
    </row>
    <row r="12" spans="1:1" x14ac:dyDescent="0.2">
      <c r="A12" s="103" t="s">
        <v>10</v>
      </c>
    </row>
    <row r="13" spans="1:1" x14ac:dyDescent="0.2">
      <c r="A13" s="103" t="s">
        <v>11</v>
      </c>
    </row>
    <row r="14" spans="1:1" x14ac:dyDescent="0.2">
      <c r="A14" s="103" t="s">
        <v>12</v>
      </c>
    </row>
    <row r="15" spans="1:1" x14ac:dyDescent="0.2">
      <c r="A15" s="103" t="s">
        <v>23960</v>
      </c>
    </row>
    <row r="16" spans="1:1" x14ac:dyDescent="0.2">
      <c r="A16" s="103" t="s">
        <v>23961</v>
      </c>
    </row>
    <row r="17" spans="1:1" x14ac:dyDescent="0.2">
      <c r="A17" s="103" t="s">
        <v>23962</v>
      </c>
    </row>
    <row r="18" spans="1:1" x14ac:dyDescent="0.2">
      <c r="A18" s="103" t="s">
        <v>13</v>
      </c>
    </row>
    <row r="19" spans="1:1" x14ac:dyDescent="0.2">
      <c r="A19" s="103" t="s">
        <v>23963</v>
      </c>
    </row>
    <row r="20" spans="1:1" x14ac:dyDescent="0.2">
      <c r="A20" s="103" t="s">
        <v>23964</v>
      </c>
    </row>
    <row r="21" spans="1:1" x14ac:dyDescent="0.2">
      <c r="A21" s="103" t="s">
        <v>23965</v>
      </c>
    </row>
    <row r="22" spans="1:1" x14ac:dyDescent="0.2">
      <c r="A22" s="103" t="s">
        <v>23966</v>
      </c>
    </row>
    <row r="23" spans="1:1" x14ac:dyDescent="0.2">
      <c r="A23" s="103" t="s">
        <v>23967</v>
      </c>
    </row>
    <row r="24" spans="1:1" x14ac:dyDescent="0.2">
      <c r="A24" s="103" t="s">
        <v>23968</v>
      </c>
    </row>
    <row r="25" spans="1:1" x14ac:dyDescent="0.2">
      <c r="A25" s="103" t="s">
        <v>14</v>
      </c>
    </row>
    <row r="26" spans="1:1" x14ac:dyDescent="0.2">
      <c r="A26" s="103" t="s">
        <v>23975</v>
      </c>
    </row>
    <row r="27" spans="1:1" x14ac:dyDescent="0.2">
      <c r="A27" s="103" t="s">
        <v>23976</v>
      </c>
    </row>
    <row r="28" spans="1:1" x14ac:dyDescent="0.2">
      <c r="A28" s="103" t="s">
        <v>23977</v>
      </c>
    </row>
    <row r="29" spans="1:1" x14ac:dyDescent="0.2">
      <c r="A29" s="103" t="s">
        <v>24544</v>
      </c>
    </row>
    <row r="30" spans="1:1" x14ac:dyDescent="0.2">
      <c r="A30" s="103" t="s">
        <v>17</v>
      </c>
    </row>
    <row r="31" spans="1:1" x14ac:dyDescent="0.2">
      <c r="A31" s="103" t="s">
        <v>23978</v>
      </c>
    </row>
    <row r="32" spans="1:1" x14ac:dyDescent="0.2">
      <c r="A32" s="103" t="s">
        <v>23974</v>
      </c>
    </row>
    <row r="33" spans="1:1" x14ac:dyDescent="0.2">
      <c r="A33" s="103" t="s">
        <v>22</v>
      </c>
    </row>
    <row r="34" spans="1:1" x14ac:dyDescent="0.2">
      <c r="A34" s="103" t="s">
        <v>18</v>
      </c>
    </row>
    <row r="35" spans="1:1" x14ac:dyDescent="0.2">
      <c r="A35" s="103" t="s">
        <v>19</v>
      </c>
    </row>
    <row r="36" spans="1:1" x14ac:dyDescent="0.2">
      <c r="A36" s="103" t="s">
        <v>23970</v>
      </c>
    </row>
    <row r="37" spans="1:1" x14ac:dyDescent="0.2">
      <c r="A37" s="346" t="s">
        <v>23971</v>
      </c>
    </row>
    <row r="38" spans="1:1" x14ac:dyDescent="0.2">
      <c r="A38" s="346" t="s">
        <v>23972</v>
      </c>
    </row>
    <row r="39" spans="1:1" x14ac:dyDescent="0.2">
      <c r="A39" s="103" t="s">
        <v>21</v>
      </c>
    </row>
    <row r="40" spans="1:1" x14ac:dyDescent="0.2">
      <c r="A40" s="103"/>
    </row>
    <row r="41" spans="1:1" x14ac:dyDescent="0.2">
      <c r="A41" s="103" t="s">
        <v>23982</v>
      </c>
    </row>
    <row r="42" spans="1:1" x14ac:dyDescent="0.2">
      <c r="A42" s="103" t="s">
        <v>23969</v>
      </c>
    </row>
    <row r="43" spans="1:1" x14ac:dyDescent="0.2">
      <c r="A43" s="103" t="s">
        <v>23973</v>
      </c>
    </row>
  </sheetData>
  <hyperlinks>
    <hyperlink ref="A2" location="Analysis!A1" display="Adventurer, Dragon, and Wyrmprint Analysis" xr:uid="{06517961-3D54-4EB3-858B-7462A5CBC53D}"/>
    <hyperlink ref="A43" location="'A-Comp'!A1" display="Adventurer Comparison" xr:uid="{85FBF2F4-F03C-4A55-906C-19EA895B6DF5}"/>
    <hyperlink ref="A3" location="'A-PrintURL'!A1" display="Adventurer Printable" xr:uid="{99046640-B39D-40CA-A8EE-8B6A129F042D}"/>
    <hyperlink ref="A4" location="ADV!A1" display="Adventurer Revisions" xr:uid="{5D3AD203-D88D-4253-B49B-7AF9952758C8}"/>
    <hyperlink ref="A5" location="'A-S'!A1" display="Adventurer Skills" xr:uid="{0FE47484-C0EF-4570-B770-DD867F1BB092}"/>
    <hyperlink ref="A6" location="'A-A'!A1" display="Adventurer Abilities" xr:uid="{DE60F192-F83D-4386-A3D2-8545594BD7E4}"/>
    <hyperlink ref="A7" location="'A-CA'!A1" display="Adventurer Co-Abilities" xr:uid="{3169FF1D-0D4A-49C1-9607-31E6D0027501}"/>
    <hyperlink ref="A8" location="'D23'!A1" display="Dragon Printable" xr:uid="{B0BB4448-A6C2-4D21-9174-5F24B703F68A}"/>
    <hyperlink ref="A10" location="DRA!A1" display="Dragon Revisions" xr:uid="{31046E2D-CA03-45EF-BE24-473B61E4AC15}"/>
    <hyperlink ref="A11" location="'D-S'!A1" display="Dragon Skills" xr:uid="{7B9E564A-B241-42EF-AF44-43DF7E0184A0}"/>
    <hyperlink ref="A12" location="'D-A'!A1" display="Dragon Abilities" xr:uid="{574EBA9A-C32D-4D64-B7B2-B87952D666E0}"/>
    <hyperlink ref="A13" location="WPN!A1" display="Weapon Revisions" xr:uid="{56BC30A4-22B1-4822-AC8F-DAC7EEB89DF2}"/>
    <hyperlink ref="A14" location="'W-S'!A1" display="Weapon Skills" xr:uid="{FF18C4FE-5B84-4651-9111-AD7561DD7D7A}"/>
    <hyperlink ref="A15" location="'W-A'!A1" display="Weapon Abilities" xr:uid="{87D7F8D3-B179-4B04-B3F4-023F053ACA69}"/>
    <hyperlink ref="A16" location="'W-U'!A1" display="Weapon Unlockables" xr:uid="{7B7E4B9A-E8E4-47A3-A584-9629BC5F58E5}"/>
    <hyperlink ref="A18" location="WP!A1" display="Wyrmprint Revisions" xr:uid="{10B88D74-9244-4A74-AC41-B7147E6F01E9}"/>
    <hyperlink ref="A25" location="Campaign!A1" display="Campaign Quests" xr:uid="{4378A1C7-4D9F-4F62-96D7-64D299226501}"/>
    <hyperlink ref="A42" location="Unlock!A1" display="Unlockables" xr:uid="{0E04D051-7DD8-466C-8025-8B1F19256097}"/>
    <hyperlink ref="A26" location="Quest!A1" display="Quest Log" xr:uid="{AA757936-16F9-4DE5-9214-38DE511BE524}"/>
    <hyperlink ref="A27" location="QDrop!A1" display="Quest Drops" xr:uid="{0FE1FB7C-C5D4-48F0-8987-94197FD33C90}"/>
    <hyperlink ref="A32" location="Mats!A1" display="Materials - V3" xr:uid="{6DD41C7A-C258-4D69-BA12-A6B6C12B318D}"/>
    <hyperlink ref="A28" location="Endvr!A1" display="Endeavors" xr:uid="{DF126E87-3334-42D7-B4B4-29B28C39FAD1}"/>
    <hyperlink ref="A30" location="RR!A1" display="Royal Regimen Revision" xr:uid="{F5F6A7FD-1C2E-41BE-9B43-1AF7639FAE59}"/>
    <hyperlink ref="A31" location="Facility!A1" display="Facilities" xr:uid="{A61E988F-C607-4A50-8034-FC6F96EE30AC}"/>
    <hyperlink ref="A34" location="MC!A1" display="Mana Circle" xr:uid="{9CBA87EF-BC56-458B-9B87-C2D3329A15E6}"/>
    <hyperlink ref="A35" location="EXP!A1" display="Adventurer EXP" xr:uid="{671019E2-19AA-44CF-BF09-54613A797D34}"/>
    <hyperlink ref="A36" location="EtK!A1" display="Enter the Kaleidoscape" xr:uid="{1BFF24A1-F075-4B6D-95E0-8C649DA6AD1A}"/>
    <hyperlink ref="A41" location="Text!A1" display="Copy Text" xr:uid="{B0892C05-5FC5-48F8-BB65-A80939D18E56}"/>
    <hyperlink ref="A39" location="ATK!A1" display="Attack Combo Revisions" xr:uid="{36E23638-7FF4-4B5D-9432-82D9A590149A}"/>
    <hyperlink ref="A33" location="TT!A1" display="Treasure Trade Revision" xr:uid="{F7E4EE63-34A5-4EB0-952A-229102CD8AA9}"/>
    <hyperlink ref="A17" location="'WP-Print'!A1" display="Wyrmprint Ptintable" xr:uid="{2E96F285-44F7-4A7F-9EC4-31750E9F7F34}"/>
    <hyperlink ref="A19" location="'WP-A'!A1" display="Wyrmprint Abilities" xr:uid="{9D211AFB-168F-4790-AA0E-F4A930BFAC8A}"/>
    <hyperlink ref="A20" location="'WP-AC'!A1" display="Wyrmprint Ability Count" xr:uid="{AD3760D5-215B-423A-87F6-E9AFD97F47D1}"/>
    <hyperlink ref="A21" location="'WP-AF'!A1" display="Wyrmprint Affinity Comparison" xr:uid="{8D87397E-E7A1-45BE-B581-55CF5740C4A0}"/>
    <hyperlink ref="A22" location="'PWP-Print'!A1" display="Portrait Wyrmprint Printable" xr:uid="{6DEDEC5D-3419-4C9B-AF21-A5959B12F90B}"/>
    <hyperlink ref="A23" location="PWP!A1" display="Portrait Wyrmprint List" xr:uid="{FF9B73E3-C2F5-4D51-BEBC-0753FB762D9D}"/>
    <hyperlink ref="A24" location="'PWP-A'!A1" display="Portrait Wyrmprint Abilities" xr:uid="{C23FA67F-751F-41D4-9B6C-2F5767483F87}"/>
    <hyperlink ref="A37" location="'EtK-A'!A1" display="Enter the Kaleidoscape - Ability Costs" xr:uid="{E02F2B98-A153-448A-846E-D8AC02C12538}"/>
    <hyperlink ref="A38" location="'EtK-S'!A1" display="Enter the Kaleidoscape - Shared Skills" xr:uid="{2DB56DD4-EEA7-4C1C-8A51-24CEA350C4B4}"/>
    <hyperlink ref="A29" location="'N-Endvr'!A1" display="Other Rewards List" xr:uid="{5F7F04F7-E1E4-43D1-A7EA-6E0D25D4A3E3}"/>
    <hyperlink ref="A9" location="'DN-Print'!A1" display="New Dragons Printable" xr:uid="{A76FDCB7-ED51-433C-9B44-0F06FAE6C7CC}"/>
  </hyperlinks>
  <pageMargins left="0.7" right="0.7" top="0.5" bottom="0.75" header="0.19791666666666666" footer="0.3"/>
  <pageSetup orientation="portrait" r:id="rId1"/>
  <headerFooter>
    <oddHeader>&amp;L&amp;"-,Bold"&amp;14Dragalia Lost V3 Re;Works - Table of Contents</oddHead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94B428-A32D-4311-9D6B-550B0856008E}">
  <sheetPr>
    <pageSetUpPr fitToPage="1"/>
  </sheetPr>
  <dimension ref="A1:X24"/>
  <sheetViews>
    <sheetView view="pageLayout" zoomScaleNormal="100" workbookViewId="0">
      <selection activeCell="X5" activeCellId="1" sqref="X2:X3 X5"/>
    </sheetView>
  </sheetViews>
  <sheetFormatPr defaultRowHeight="14.25" x14ac:dyDescent="0.2"/>
  <cols>
    <col min="1" max="1" width="3.125" bestFit="1" customWidth="1"/>
    <col min="2" max="2" width="8.625" bestFit="1" customWidth="1"/>
    <col min="3" max="3" width="2.875" bestFit="1" customWidth="1"/>
    <col min="4" max="4" width="2.5" customWidth="1"/>
    <col min="6" max="6" width="11.125" bestFit="1" customWidth="1"/>
    <col min="7" max="7" width="3.875" bestFit="1" customWidth="1"/>
    <col min="8" max="8" width="2.5" customWidth="1"/>
    <col min="9" max="9" width="19.25" bestFit="1" customWidth="1"/>
    <col min="10" max="10" width="2.875" bestFit="1" customWidth="1"/>
    <col min="11" max="11" width="2.5" customWidth="1"/>
    <col min="12" max="12" width="5.875" bestFit="1" customWidth="1"/>
    <col min="13" max="13" width="5.125" bestFit="1" customWidth="1"/>
    <col min="14" max="14" width="11.125" bestFit="1" customWidth="1"/>
    <col min="15" max="15" width="2.5" customWidth="1"/>
    <col min="16" max="17" width="5.25" bestFit="1" customWidth="1"/>
    <col min="18" max="19" width="5.375" bestFit="1" customWidth="1"/>
    <col min="20" max="21" width="5.5" bestFit="1" customWidth="1"/>
    <col min="22" max="22" width="2.5" customWidth="1"/>
    <col min="23" max="23" width="9.75" bestFit="1" customWidth="1"/>
    <col min="24" max="24" width="3.875" bestFit="1" customWidth="1"/>
  </cols>
  <sheetData>
    <row r="1" spans="1:24" s="76" customFormat="1" x14ac:dyDescent="0.2">
      <c r="A1" s="43"/>
      <c r="B1" s="49" t="s">
        <v>23</v>
      </c>
      <c r="C1" s="50" t="s">
        <v>24</v>
      </c>
      <c r="D1"/>
      <c r="E1" s="49" t="s">
        <v>25</v>
      </c>
      <c r="F1" s="51"/>
      <c r="G1" s="50" t="s">
        <v>24</v>
      </c>
      <c r="H1"/>
      <c r="I1" s="49" t="s">
        <v>26</v>
      </c>
      <c r="J1" s="51" t="s">
        <v>24</v>
      </c>
      <c r="K1" s="205"/>
      <c r="L1" s="49" t="s">
        <v>27</v>
      </c>
      <c r="M1" s="51" t="s">
        <v>28</v>
      </c>
      <c r="N1" s="50" t="s">
        <v>29</v>
      </c>
      <c r="P1" s="49" t="s">
        <v>30</v>
      </c>
      <c r="Q1" s="51" t="s">
        <v>31</v>
      </c>
      <c r="R1" s="51" t="s">
        <v>32</v>
      </c>
      <c r="S1" s="51" t="s">
        <v>33</v>
      </c>
      <c r="T1" s="51" t="s">
        <v>34</v>
      </c>
      <c r="U1" s="50" t="s">
        <v>35</v>
      </c>
      <c r="W1" s="49" t="s">
        <v>36</v>
      </c>
      <c r="X1" s="50" t="s">
        <v>24</v>
      </c>
    </row>
    <row r="2" spans="1:24" ht="14.25" customHeight="1" x14ac:dyDescent="0.2">
      <c r="A2" s="350" t="s">
        <v>37</v>
      </c>
      <c r="B2" s="64" t="s">
        <v>38</v>
      </c>
      <c r="C2" s="66">
        <f>+COUNTIF(ADV!J:J,Analysis!B2)</f>
        <v>59</v>
      </c>
      <c r="E2" s="44" t="s">
        <v>38</v>
      </c>
      <c r="F2" t="s">
        <v>39</v>
      </c>
      <c r="G2" s="45">
        <f>+COUNTIFS(ADV!J:J,E2,ADV!AA:AA,"*"&amp;F2&amp;"*")</f>
        <v>26</v>
      </c>
      <c r="I2" s="44" t="s">
        <v>40</v>
      </c>
      <c r="J2">
        <f>+COUNTIFS(ADV!J:J,E2,ADV!AD:AD,"*"&amp;I2&amp;"*")</f>
        <v>8</v>
      </c>
      <c r="K2" s="44"/>
      <c r="L2">
        <f>+COUNTIFS(ADV!J:J,B2,ADV!AD:AD,"*HP Up*")</f>
        <v>7</v>
      </c>
      <c r="M2">
        <f>+COUNTIFS(ADV!J:J,B2,ADV!AD:AD,"*BLEED*")</f>
        <v>6</v>
      </c>
      <c r="N2">
        <f>+COUNTIFS(ADV!J:J,B2,ADV!AD:AD,"*Overdamage*")</f>
        <v>3</v>
      </c>
      <c r="P2">
        <f>+COUNTIFS(ADV!J:J,B2,ADV!AB:AB,"*Strength Amp (Max Lv. = 1)*")</f>
        <v>7</v>
      </c>
      <c r="Q2">
        <f>+COUNTIFS(ADV!J:J,B2,ADV!AB:AB,"*Strength Amp (Max Lv. = 3)*")</f>
        <v>24</v>
      </c>
      <c r="R2">
        <f>+COUNTIFS(ADV!J:J,B2,ADV!AB:AB,"*Defense Amp (Max Lv. = 1)*")</f>
        <v>8</v>
      </c>
      <c r="S2">
        <f>+COUNTIFS(ADV!J:J,B2,ADV!AB:AB,"*Defense Amp (Max Lv. = 3)*")</f>
        <v>15</v>
      </c>
      <c r="T2">
        <f>+COUNTIFS(ADV!J:J,B2,ADV!AB:AB,"*Critical Damage Amp (Max Lv. = 1)*")</f>
        <v>7</v>
      </c>
      <c r="U2">
        <f>+COUNTIFS(ADV!J:J,B2,ADV!AB:AB,"*Critical Damage Amp (Max Lv. = 3)*")</f>
        <v>7</v>
      </c>
      <c r="W2" t="s">
        <v>41</v>
      </c>
      <c r="X2">
        <f>+COUNTIF(ADV!AC:AC,"*Added*")</f>
        <v>207</v>
      </c>
    </row>
    <row r="3" spans="1:24" x14ac:dyDescent="0.2">
      <c r="A3" s="351"/>
      <c r="B3" s="44" t="s">
        <v>42</v>
      </c>
      <c r="C3" s="45">
        <f>+COUNTIF(ADV!J:J,Analysis!B3)</f>
        <v>60</v>
      </c>
      <c r="E3" s="44" t="s">
        <v>38</v>
      </c>
      <c r="F3" t="s">
        <v>43</v>
      </c>
      <c r="G3" s="45">
        <f>+COUNTIFS(ADV!J:J,E3,ADV!AA:AA,"*"&amp;F3&amp;"*")</f>
        <v>24</v>
      </c>
      <c r="I3" s="44" t="s">
        <v>44</v>
      </c>
      <c r="J3" s="45">
        <f>+COUNTIFS(ADV!J:J,E3,ADV!AD:AD,"*"&amp;I3&amp;"*")</f>
        <v>7</v>
      </c>
      <c r="L3">
        <f>+COUNTIFS(ADV!J:J,B3,ADV!AD:AD,"*HP Up*")</f>
        <v>8</v>
      </c>
      <c r="M3">
        <f>+COUNTIFS(ADV!J:J,B3,ADV!AD:AD,"*BLEED*")</f>
        <v>6</v>
      </c>
      <c r="N3">
        <f>+COUNTIFS(ADV!J:J,B3,ADV!AD:AD,"*Overdamage*")</f>
        <v>2</v>
      </c>
      <c r="P3">
        <f>+COUNTIFS(ADV!J:J,B3,ADV!AB:AB,"*Strength Amp (Max Lv. = 1)*")</f>
        <v>7</v>
      </c>
      <c r="Q3">
        <f>+COUNTIFS(ADV!J:J,B3,ADV!AB:AB,"*Strength Amp (Max Lv. = 3)*")</f>
        <v>23</v>
      </c>
      <c r="R3">
        <f>+COUNTIFS(ADV!J:J,B3,ADV!AB:AB,"*Defense Amp (Max Lv. = 1)*")</f>
        <v>8</v>
      </c>
      <c r="S3">
        <f>+COUNTIFS(ADV!J:J,B3,ADV!AB:AB,"*Defense Amp (Max Lv. = 3)*")</f>
        <v>14</v>
      </c>
      <c r="T3">
        <f>+COUNTIFS(ADV!J:J,B3,ADV!AB:AB,"*Critical Damage Amp (Max Lv. = 1)*")</f>
        <v>5</v>
      </c>
      <c r="U3">
        <f>+COUNTIFS(ADV!J:J,B3,ADV!AB:AB,"*Critical Damage Amp (Max Lv. = 3)*")</f>
        <v>8</v>
      </c>
      <c r="W3" t="s">
        <v>45</v>
      </c>
      <c r="X3">
        <f>+COUNTIF(ADV!AC:AC,"*Already*")</f>
        <v>56</v>
      </c>
    </row>
    <row r="4" spans="1:24" x14ac:dyDescent="0.2">
      <c r="A4" s="351"/>
      <c r="B4" s="44" t="s">
        <v>46</v>
      </c>
      <c r="C4" s="45">
        <f>+COUNTIF(ADV!J:J,Analysis!B4)</f>
        <v>63</v>
      </c>
      <c r="E4" s="44" t="s">
        <v>42</v>
      </c>
      <c r="F4" t="s">
        <v>47</v>
      </c>
      <c r="G4" s="45">
        <f>+COUNTIFS(ADV!J:J,E4,ADV!AA:AA,"*"&amp;F4&amp;"*")</f>
        <v>35</v>
      </c>
      <c r="I4" s="44" t="s">
        <v>48</v>
      </c>
      <c r="J4" s="45">
        <f>+COUNTIFS(ADV!J:J,E4,ADV!AD:AD,"*"&amp;I4&amp;"*")</f>
        <v>10</v>
      </c>
      <c r="L4">
        <f>+COUNTIFS(ADV!J:J,B4,ADV!AD:AD,"*HP Up*")</f>
        <v>8</v>
      </c>
      <c r="M4">
        <f>+COUNTIFS(ADV!J:J,B4,ADV!AD:AD,"*BLEED*")</f>
        <v>6</v>
      </c>
      <c r="N4">
        <f>+COUNTIFS(ADV!J:J,B4,ADV!AD:AD,"*Overdamage*")</f>
        <v>2</v>
      </c>
      <c r="P4">
        <f>+COUNTIFS(ADV!J:J,B4,ADV!AB:AB,"*Strength Amp (Max Lv. = 1)*")</f>
        <v>7</v>
      </c>
      <c r="Q4">
        <f>+COUNTIFS(ADV!J:J,B4,ADV!AB:AB,"*Strength Amp (Max Lv. = 3)*")</f>
        <v>25</v>
      </c>
      <c r="R4">
        <f>+COUNTIFS(ADV!J:J,B4,ADV!AB:AB,"*Defense Amp (Max Lv. = 1)*")</f>
        <v>6</v>
      </c>
      <c r="S4">
        <f>+COUNTIFS(ADV!J:J,B4,ADV!AB:AB,"*Defense Amp (Max Lv. = 3)*")</f>
        <v>16</v>
      </c>
      <c r="T4">
        <f>+COUNTIFS(ADV!J:J,B4,ADV!AB:AB,"*Critical Damage Amp (Max Lv. = 1)*")</f>
        <v>5</v>
      </c>
      <c r="U4">
        <f>+COUNTIFS(ADV!J:J,B4,ADV!AB:AB,"*Critical Damage Amp (Max Lv. = 3)*")</f>
        <v>8</v>
      </c>
      <c r="W4" t="s">
        <v>49</v>
      </c>
      <c r="X4">
        <f>+COUNTIF(ADV!AC:AC,"*Omitted*")</f>
        <v>34</v>
      </c>
    </row>
    <row r="5" spans="1:24" x14ac:dyDescent="0.2">
      <c r="A5" s="351"/>
      <c r="B5" s="44" t="s">
        <v>50</v>
      </c>
      <c r="C5" s="45">
        <f>+COUNTIF(ADV!J:J,Analysis!B5)</f>
        <v>66</v>
      </c>
      <c r="E5" s="44" t="s">
        <v>46</v>
      </c>
      <c r="F5" t="s">
        <v>51</v>
      </c>
      <c r="G5" s="45">
        <f>+COUNTIFS(ADV!J:J,E5,ADV!AA:AA,"*"&amp;F5&amp;"*")</f>
        <v>30</v>
      </c>
      <c r="I5" s="44" t="s">
        <v>52</v>
      </c>
      <c r="J5" s="45">
        <f>+COUNTIFS(ADV!J:J,E5,ADV!AD:AD,"*"&amp;I5&amp;"*")</f>
        <v>9</v>
      </c>
      <c r="L5">
        <f>+COUNTIFS(ADV!J:J,B5,ADV!AD:AD,"*HP Up*")</f>
        <v>9</v>
      </c>
      <c r="M5">
        <f>+COUNTIFS(ADV!J:J,B5,ADV!AD:AD,"*BLEED*")</f>
        <v>6</v>
      </c>
      <c r="N5">
        <f>+COUNTIFS(ADV!J:J,B5,ADV!AD:AD,"*Overdamage*")</f>
        <v>2</v>
      </c>
      <c r="P5">
        <f>+COUNTIFS(ADV!J:J,B5,ADV!AB:AB,"*Strength Amp (Max Lv. = 1)*")</f>
        <v>8</v>
      </c>
      <c r="Q5">
        <f>+COUNTIFS(ADV!J:J,B5,ADV!AB:AB,"*Strength Amp (Max Lv. = 3)*")</f>
        <v>24</v>
      </c>
      <c r="R5">
        <f>+COUNTIFS(ADV!J:J,B5,ADV!AB:AB,"*Defense Amp (Max Lv. = 1)*")</f>
        <v>8</v>
      </c>
      <c r="S5">
        <f>+COUNTIFS(ADV!J:J,B5,ADV!AB:AB,"*Defense Amp (Max Lv. = 3)*")</f>
        <v>17</v>
      </c>
      <c r="T5">
        <f>+COUNTIFS(ADV!J:J,B5,ADV!AB:AB,"*Critical Damage Amp (Max Lv. = 1)*")</f>
        <v>8</v>
      </c>
      <c r="U5">
        <f>+COUNTIFS(ADV!J:J,B5,ADV!AB:AB,"*Critical Damage Amp (Max Lv. = 3)*")</f>
        <v>10</v>
      </c>
      <c r="W5" t="s">
        <v>53</v>
      </c>
      <c r="X5">
        <f>+COUNTIF(ADV!AC:AC,"*Transferred*")</f>
        <v>1</v>
      </c>
    </row>
    <row r="6" spans="1:24" x14ac:dyDescent="0.2">
      <c r="A6" s="351"/>
      <c r="B6" s="46" t="s">
        <v>54</v>
      </c>
      <c r="C6" s="48">
        <f>+COUNTIF(ADV!J:J,Analysis!B6)</f>
        <v>57</v>
      </c>
      <c r="E6" s="44" t="s">
        <v>46</v>
      </c>
      <c r="F6" t="s">
        <v>55</v>
      </c>
      <c r="G6" s="45">
        <f>+COUNTIFS(ADV!J:J,E6,ADV!AA:AA,"*"&amp;F6&amp;"*")</f>
        <v>29</v>
      </c>
      <c r="I6" s="44" t="s">
        <v>56</v>
      </c>
      <c r="J6" s="45">
        <f>+COUNTIFS(ADV!J:J,E6,ADV!AD:AD,"*"&amp;I6&amp;"*")</f>
        <v>7</v>
      </c>
      <c r="L6">
        <f>+COUNTIFS(ADV!J:J,B6,ADV!AD:AD,"*HP Up*")</f>
        <v>7</v>
      </c>
      <c r="M6">
        <f>+COUNTIFS(ADV!J:J,B6,ADV!AD:AD,"*BLEED*")</f>
        <v>7</v>
      </c>
      <c r="N6">
        <f>+COUNTIFS(ADV!J:J,B6,ADV!AD:AD,"*Overdamage*")</f>
        <v>2</v>
      </c>
      <c r="P6">
        <f>+COUNTIFS(ADV!J:J,B6,ADV!AB:AB,"*Strength Amp (Max Lv. = 1)*")</f>
        <v>5</v>
      </c>
      <c r="Q6">
        <f>+COUNTIFS(ADV!J:J,B6,ADV!AB:AB,"*Strength Amp (Max Lv. = 3)*")</f>
        <v>23</v>
      </c>
      <c r="R6">
        <f>+COUNTIFS(ADV!J:J,B6,ADV!AB:AB,"*Defense Amp (Max Lv. = 1)*")</f>
        <v>5</v>
      </c>
      <c r="S6">
        <f>+COUNTIFS(ADV!J:J,B6,ADV!AB:AB,"*Defense Amp (Max Lv. = 3)*")</f>
        <v>15</v>
      </c>
      <c r="T6">
        <f>+COUNTIFS(ADV!J:J,B6,ADV!AB:AB,"*Critical Damage Amp (Max Lv. = 1)*")</f>
        <v>6</v>
      </c>
      <c r="U6">
        <f>+COUNTIFS(ADV!J:J,B6,ADV!AB:AB,"*Critical Damage Amp (Max Lv. = 3)*")</f>
        <v>9</v>
      </c>
    </row>
    <row r="7" spans="1:24" x14ac:dyDescent="0.2">
      <c r="A7" s="351"/>
      <c r="E7" s="44" t="s">
        <v>50</v>
      </c>
      <c r="F7" t="s">
        <v>57</v>
      </c>
      <c r="G7" s="45">
        <f>+COUNTIFS(ADV!J:J,E7,ADV!AA:AA,"*"&amp;F7&amp;"*")</f>
        <v>28</v>
      </c>
      <c r="I7" s="44" t="s">
        <v>58</v>
      </c>
      <c r="J7" s="45">
        <f>+COUNTIFS(ADV!J:J,E7,ADV!AD:AD,"*"&amp;I7&amp;"*")</f>
        <v>8</v>
      </c>
    </row>
    <row r="8" spans="1:24" x14ac:dyDescent="0.2">
      <c r="A8" s="351"/>
      <c r="E8" s="44" t="s">
        <v>50</v>
      </c>
      <c r="F8" t="s">
        <v>59</v>
      </c>
      <c r="G8" s="45">
        <f>+COUNTIFS(ADV!J:J,E8,ADV!AA:AA,"*"&amp;F8&amp;"*")</f>
        <v>25</v>
      </c>
      <c r="I8" s="44" t="s">
        <v>60</v>
      </c>
      <c r="J8" s="45">
        <f>+COUNTIFS(ADV!J:J,E8,ADV!AD:AD,"*"&amp;I8&amp;"*")</f>
        <v>7</v>
      </c>
    </row>
    <row r="9" spans="1:24" x14ac:dyDescent="0.2">
      <c r="A9" s="351"/>
      <c r="E9" s="44" t="s">
        <v>54</v>
      </c>
      <c r="F9" t="s">
        <v>51</v>
      </c>
      <c r="G9" s="45">
        <f>+COUNTIFS(ADV!J:J,E9,ADV!AA:AA,"*"&amp;F9&amp;"*")</f>
        <v>22</v>
      </c>
      <c r="I9" s="44" t="s">
        <v>52</v>
      </c>
      <c r="J9" s="45">
        <f>+COUNTIFS(ADV!J:J,E9,ADV!AD:AD,"*"&amp;I9&amp;"*")</f>
        <v>6</v>
      </c>
    </row>
    <row r="10" spans="1:24" x14ac:dyDescent="0.2">
      <c r="A10" s="352"/>
      <c r="E10" s="46" t="s">
        <v>54</v>
      </c>
      <c r="F10" s="47" t="s">
        <v>61</v>
      </c>
      <c r="G10" s="48">
        <f>+COUNTIFS(ADV!J:J,E10,ADV!AA:AA,"*"&amp;F10&amp;"*")</f>
        <v>22</v>
      </c>
      <c r="I10" s="46" t="s">
        <v>62</v>
      </c>
      <c r="J10" s="48">
        <f>+COUNTIFS(ADV!J:J,E10,ADV!AD:AD,"*"&amp;I10&amp;"*")</f>
        <v>5</v>
      </c>
    </row>
    <row r="12" spans="1:24" x14ac:dyDescent="0.2">
      <c r="B12" s="95" t="s">
        <v>63</v>
      </c>
      <c r="C12" s="67"/>
      <c r="D12" s="67"/>
      <c r="E12" s="67"/>
      <c r="F12" s="67"/>
      <c r="G12" s="67">
        <f>SUM(G2:G11)</f>
        <v>241</v>
      </c>
      <c r="H12" s="67"/>
      <c r="I12" s="67"/>
      <c r="J12" s="67">
        <f>SUM(J2:J11)</f>
        <v>67</v>
      </c>
      <c r="K12" s="67"/>
      <c r="L12" s="67">
        <f>SUM(L2:L11)</f>
        <v>39</v>
      </c>
      <c r="M12" s="67">
        <f>SUM(M2:M11)</f>
        <v>31</v>
      </c>
      <c r="N12" s="67">
        <f>SUM(N2:N11)</f>
        <v>11</v>
      </c>
      <c r="O12" s="67"/>
      <c r="P12" s="67">
        <f t="shared" ref="P12:U12" si="0">SUM(P2:P11)</f>
        <v>34</v>
      </c>
      <c r="Q12" s="67">
        <f t="shared" si="0"/>
        <v>119</v>
      </c>
      <c r="R12" s="67">
        <f t="shared" si="0"/>
        <v>35</v>
      </c>
      <c r="S12" s="67">
        <f t="shared" si="0"/>
        <v>77</v>
      </c>
      <c r="T12" s="67">
        <f t="shared" si="0"/>
        <v>31</v>
      </c>
      <c r="U12" s="67">
        <f t="shared" si="0"/>
        <v>42</v>
      </c>
      <c r="V12" s="67"/>
      <c r="W12" s="67"/>
      <c r="X12" s="97">
        <f>SUM(X2:X11)</f>
        <v>298</v>
      </c>
    </row>
    <row r="14" spans="1:24" ht="14.25" customHeight="1" x14ac:dyDescent="0.2">
      <c r="A14" s="353" t="s">
        <v>64</v>
      </c>
      <c r="B14" s="64" t="s">
        <v>38</v>
      </c>
      <c r="C14" s="66">
        <f>+COUNTIF(DRA!D:D,Analysis!B14)</f>
        <v>28</v>
      </c>
      <c r="E14" s="64" t="s">
        <v>38</v>
      </c>
      <c r="F14" s="65" t="s">
        <v>39</v>
      </c>
      <c r="G14" s="66">
        <f>+COUNTIFS('D-S'!D:D,E14,'D-S'!L:L,"*"&amp;F14&amp;"*")</f>
        <v>12</v>
      </c>
    </row>
    <row r="15" spans="1:24" x14ac:dyDescent="0.2">
      <c r="A15" s="354"/>
      <c r="B15" s="44" t="s">
        <v>42</v>
      </c>
      <c r="C15" s="45">
        <f>+COUNTIF(DRA!D:D,Analysis!B15)</f>
        <v>27</v>
      </c>
      <c r="E15" s="44" t="s">
        <v>38</v>
      </c>
      <c r="F15" t="s">
        <v>43</v>
      </c>
      <c r="G15" s="45">
        <f>+COUNTIFS('D-S'!D:D,E15,'D-S'!L:L,"*"&amp;F15&amp;"*")</f>
        <v>12</v>
      </c>
    </row>
    <row r="16" spans="1:24" x14ac:dyDescent="0.2">
      <c r="A16" s="354"/>
      <c r="B16" s="44" t="s">
        <v>46</v>
      </c>
      <c r="C16" s="45">
        <f>+COUNTIF(DRA!D:D,Analysis!B16)</f>
        <v>30</v>
      </c>
      <c r="E16" s="44" t="s">
        <v>42</v>
      </c>
      <c r="F16" t="s">
        <v>47</v>
      </c>
      <c r="G16" s="45">
        <f>+COUNTIFS('D-S'!D:D,E16,'D-S'!L:L,"*"&amp;F16&amp;"*")</f>
        <v>16</v>
      </c>
    </row>
    <row r="17" spans="1:7" x14ac:dyDescent="0.2">
      <c r="A17" s="354"/>
      <c r="B17" s="44" t="s">
        <v>50</v>
      </c>
      <c r="C17" s="45">
        <f>+COUNTIF(DRA!D:D,Analysis!B17)</f>
        <v>30</v>
      </c>
      <c r="E17" s="44" t="s">
        <v>46</v>
      </c>
      <c r="F17" t="s">
        <v>51</v>
      </c>
      <c r="G17" s="45">
        <f>+COUNTIFS('D-S'!D:D,E17,'D-S'!L:L,"*"&amp;F17&amp;"*")</f>
        <v>8</v>
      </c>
    </row>
    <row r="18" spans="1:7" x14ac:dyDescent="0.2">
      <c r="A18" s="354"/>
      <c r="B18" s="46" t="s">
        <v>54</v>
      </c>
      <c r="C18" s="48">
        <f>+COUNTIF(DRA!D:D,Analysis!B18)</f>
        <v>36</v>
      </c>
      <c r="E18" s="44" t="s">
        <v>46</v>
      </c>
      <c r="F18" t="s">
        <v>55</v>
      </c>
      <c r="G18" s="45">
        <f>+COUNTIFS('D-S'!D:D,E18,'D-S'!L:L,"*"&amp;F18&amp;"*")</f>
        <v>9</v>
      </c>
    </row>
    <row r="19" spans="1:7" x14ac:dyDescent="0.2">
      <c r="A19" s="351"/>
      <c r="E19" s="44" t="s">
        <v>50</v>
      </c>
      <c r="F19" t="s">
        <v>57</v>
      </c>
      <c r="G19" s="45">
        <f>+COUNTIFS('D-S'!D:D,E19,'D-S'!L:L,"*"&amp;F19&amp;"*")</f>
        <v>7</v>
      </c>
    </row>
    <row r="20" spans="1:7" x14ac:dyDescent="0.2">
      <c r="A20" s="351"/>
      <c r="E20" s="44" t="s">
        <v>50</v>
      </c>
      <c r="F20" t="s">
        <v>59</v>
      </c>
      <c r="G20" s="45">
        <f>+COUNTIFS('D-S'!D:D,E20,'D-S'!L:L,"*"&amp;F20&amp;"*")</f>
        <v>6</v>
      </c>
    </row>
    <row r="21" spans="1:7" x14ac:dyDescent="0.2">
      <c r="A21" s="351"/>
      <c r="E21" s="44" t="s">
        <v>54</v>
      </c>
      <c r="F21" t="s">
        <v>51</v>
      </c>
      <c r="G21" s="45">
        <f>+COUNTIFS('D-S'!D:D,E21,'D-S'!L:L,"*"&amp;F21&amp;"*")</f>
        <v>9</v>
      </c>
    </row>
    <row r="22" spans="1:7" x14ac:dyDescent="0.2">
      <c r="A22" s="352"/>
      <c r="E22" s="46" t="s">
        <v>54</v>
      </c>
      <c r="F22" s="47" t="s">
        <v>61</v>
      </c>
      <c r="G22" s="48">
        <f>+COUNTIFS('D-S'!D:D,E22,'D-S'!L:L,"*"&amp;F22&amp;"*")</f>
        <v>8</v>
      </c>
    </row>
    <row r="24" spans="1:7" ht="14.25" customHeight="1" x14ac:dyDescent="0.2"/>
  </sheetData>
  <mergeCells count="2">
    <mergeCell ref="A2:A10"/>
    <mergeCell ref="A14:A22"/>
  </mergeCells>
  <pageMargins left="0.2" right="0.2" top="0.5" bottom="0.2" header="0.2" footer="0.3"/>
  <pageSetup scale="88" fitToHeight="0" orientation="landscape" r:id="rId1"/>
  <headerFooter>
    <oddHeader xml:space="preserve">&amp;L&amp;"-,Bold"&amp;14Dragalia Lost V3 Re;Works - Analysis Sheet </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03E001-61FC-48DB-9ECA-013FF8C2E322}">
  <sheetPr>
    <pageSetUpPr fitToPage="1"/>
  </sheetPr>
  <dimension ref="A1:AE22"/>
  <sheetViews>
    <sheetView workbookViewId="0">
      <selection activeCell="H33" sqref="H33"/>
    </sheetView>
  </sheetViews>
  <sheetFormatPr defaultRowHeight="14.25" x14ac:dyDescent="0.2"/>
  <cols>
    <col min="1" max="1" width="3.125" bestFit="1" customWidth="1"/>
    <col min="3" max="3" width="11.125" bestFit="1" customWidth="1"/>
    <col min="4" max="4" width="5.625" customWidth="1"/>
    <col min="5" max="5" width="5.5" bestFit="1" customWidth="1"/>
    <col min="6" max="6" width="2.5" customWidth="1"/>
    <col min="7" max="7" width="19.25" bestFit="1" customWidth="1"/>
    <col min="8" max="8" width="5.5" bestFit="1" customWidth="1"/>
    <col min="9" max="9" width="5.5" customWidth="1"/>
    <col min="10" max="10" width="2.5" customWidth="1"/>
    <col min="11" max="11" width="8.625" bestFit="1" customWidth="1"/>
    <col min="12" max="12" width="2.875" bestFit="1" customWidth="1"/>
    <col min="13" max="13" width="2.5" customWidth="1"/>
    <col min="14" max="14" width="5.875" bestFit="1" customWidth="1"/>
    <col min="15" max="15" width="5.5" bestFit="1" customWidth="1"/>
    <col min="16" max="16" width="2.5" customWidth="1"/>
    <col min="17" max="17" width="5.125" bestFit="1" customWidth="1"/>
    <col min="18" max="18" width="5.5" bestFit="1" customWidth="1"/>
    <col min="19" max="19" width="2.5" customWidth="1"/>
    <col min="20" max="20" width="11.125" bestFit="1" customWidth="1"/>
    <col min="21" max="21" width="5.5" bestFit="1" customWidth="1"/>
    <col min="22" max="22" width="2.5" customWidth="1"/>
    <col min="23" max="24" width="5.25" bestFit="1" customWidth="1"/>
    <col min="25" max="26" width="5.375" bestFit="1" customWidth="1"/>
    <col min="27" max="28" width="5.5" bestFit="1" customWidth="1"/>
    <col min="29" max="29" width="2.5" customWidth="1"/>
    <col min="30" max="30" width="9.75" bestFit="1" customWidth="1"/>
    <col min="31" max="31" width="3.875" bestFit="1" customWidth="1"/>
  </cols>
  <sheetData>
    <row r="1" spans="1:31" s="43" customFormat="1" x14ac:dyDescent="0.2">
      <c r="B1" s="49" t="s">
        <v>25</v>
      </c>
      <c r="C1" s="51"/>
      <c r="D1" s="50" t="s">
        <v>24</v>
      </c>
      <c r="E1" s="43" t="s">
        <v>65</v>
      </c>
      <c r="G1" s="49" t="s">
        <v>26</v>
      </c>
      <c r="H1" s="50" t="s">
        <v>24</v>
      </c>
      <c r="I1" s="43" t="s">
        <v>65</v>
      </c>
      <c r="K1" s="49" t="s">
        <v>23</v>
      </c>
      <c r="L1" s="50" t="s">
        <v>24</v>
      </c>
      <c r="N1" s="43" t="s">
        <v>27</v>
      </c>
      <c r="O1" s="43" t="s">
        <v>65</v>
      </c>
      <c r="Q1" s="43" t="s">
        <v>28</v>
      </c>
      <c r="R1" s="43" t="s">
        <v>65</v>
      </c>
      <c r="T1" s="43" t="s">
        <v>29</v>
      </c>
      <c r="U1" s="43" t="s">
        <v>65</v>
      </c>
      <c r="W1" s="43" t="s">
        <v>30</v>
      </c>
      <c r="X1" s="43" t="s">
        <v>31</v>
      </c>
      <c r="Y1" s="43" t="s">
        <v>32</v>
      </c>
      <c r="Z1" s="43" t="s">
        <v>33</v>
      </c>
      <c r="AA1" s="43" t="s">
        <v>34</v>
      </c>
      <c r="AB1" s="43" t="s">
        <v>35</v>
      </c>
      <c r="AD1" s="43" t="s">
        <v>36</v>
      </c>
      <c r="AE1" s="43" t="s">
        <v>24</v>
      </c>
    </row>
    <row r="2" spans="1:31" ht="14.25" customHeight="1" x14ac:dyDescent="0.2">
      <c r="A2" s="350" t="s">
        <v>37</v>
      </c>
      <c r="B2" s="44" t="s">
        <v>38</v>
      </c>
      <c r="C2" t="s">
        <v>39</v>
      </c>
      <c r="D2" s="45">
        <f>+COUNTIFS(ADV!J:J,'Analysis OLD'!B2,ADV!AA:AA,"*"&amp;'Analysis OLD'!C2&amp;"*")</f>
        <v>26</v>
      </c>
      <c r="E2">
        <v>26</v>
      </c>
      <c r="G2" s="44" t="s">
        <v>40</v>
      </c>
      <c r="H2" s="45">
        <f>+COUNTIFS(ADV!J:J,'Analysis OLD'!B2,ADV!AD:AD,"*"&amp;'Analysis OLD'!G2&amp;"*")</f>
        <v>8</v>
      </c>
      <c r="I2">
        <v>8</v>
      </c>
      <c r="K2" s="44" t="s">
        <v>38</v>
      </c>
      <c r="L2" s="45">
        <f>+COUNTIF(ADV!J:J,'Analysis OLD'!K2)</f>
        <v>59</v>
      </c>
      <c r="N2">
        <f>+COUNTIFS(ADV!J:J,'Analysis OLD'!K2,ADV!AD:AD,"*HP Up*")</f>
        <v>7</v>
      </c>
      <c r="O2">
        <v>7</v>
      </c>
      <c r="Q2">
        <f>+COUNTIFS(ADV!J:J,'Analysis OLD'!K2,ADV!AD:AD,"*BLEED*")</f>
        <v>6</v>
      </c>
      <c r="R2">
        <v>6</v>
      </c>
      <c r="T2">
        <f>+COUNTIFS(ADV!J:J,'Analysis OLD'!K2,ADV!AD:AD,"*Overdamage*")</f>
        <v>3</v>
      </c>
      <c r="U2">
        <v>3</v>
      </c>
      <c r="W2">
        <f>+COUNTIFS(ADV!J:J,'Analysis OLD'!K2,ADV!AB:AB,"*Strength Amp (Max Lv. = 1)*")</f>
        <v>7</v>
      </c>
      <c r="X2">
        <f>+COUNTIFS(ADV!J:J,'Analysis OLD'!K2,ADV!AB:AB,"*Strength Amp (Max Lv. = 3)*")</f>
        <v>24</v>
      </c>
      <c r="Y2">
        <f>+COUNTIFS(ADV!J:J,'Analysis OLD'!K2,ADV!AB:AB,"*Defense Amp (Max Lv. = 1)*")</f>
        <v>8</v>
      </c>
      <c r="Z2">
        <f>+COUNTIFS(ADV!J:J,'Analysis OLD'!K2,ADV!AB:AB,"*Defense Amp (Max Lv. = 3)*")</f>
        <v>15</v>
      </c>
      <c r="AA2">
        <f>+COUNTIFS(ADV!J:J,'Analysis OLD'!K2,ADV!AB:AB,"*Critical Damage Amp (Max Lv. = 1)*")</f>
        <v>7</v>
      </c>
      <c r="AB2">
        <f>+COUNTIFS(ADV!J:J,'Analysis OLD'!K2,ADV!AB:AB,"*Critical Damage Amp (Max Lv. = 3)*")</f>
        <v>7</v>
      </c>
      <c r="AD2" t="s">
        <v>41</v>
      </c>
      <c r="AE2">
        <f>+COUNTIF(ADV!AC:AC,"*Added*")</f>
        <v>207</v>
      </c>
    </row>
    <row r="3" spans="1:31" x14ac:dyDescent="0.2">
      <c r="A3" s="351"/>
      <c r="B3" s="44" t="s">
        <v>38</v>
      </c>
      <c r="C3" t="s">
        <v>43</v>
      </c>
      <c r="D3" s="45">
        <f>+COUNTIFS(ADV!J:J,'Analysis OLD'!B3,ADV!AA:AA,"*"&amp;'Analysis OLD'!C3&amp;"*")</f>
        <v>24</v>
      </c>
      <c r="E3">
        <v>24</v>
      </c>
      <c r="G3" s="44" t="s">
        <v>44</v>
      </c>
      <c r="H3" s="45">
        <f>+COUNTIFS(ADV!J:J,'Analysis OLD'!B3,ADV!AD:AD,"*"&amp;'Analysis OLD'!G3&amp;"*")</f>
        <v>7</v>
      </c>
      <c r="I3">
        <v>7</v>
      </c>
      <c r="K3" s="44" t="s">
        <v>42</v>
      </c>
      <c r="L3" s="45">
        <f>+COUNTIF(ADV!J:J,'Analysis OLD'!K3)</f>
        <v>60</v>
      </c>
      <c r="N3">
        <f>+COUNTIFS(ADV!J:J,'Analysis OLD'!K3,ADV!AD:AD,"*HP Up*")</f>
        <v>8</v>
      </c>
      <c r="O3">
        <v>8</v>
      </c>
      <c r="Q3">
        <f>+COUNTIFS(ADV!J:J,'Analysis OLD'!K3,ADV!AD:AD,"*BLEED*")</f>
        <v>6</v>
      </c>
      <c r="R3">
        <v>6</v>
      </c>
      <c r="T3">
        <f>+COUNTIFS(ADV!J:J,'Analysis OLD'!K3,ADV!AD:AD,"*Overdamage*")</f>
        <v>2</v>
      </c>
      <c r="U3">
        <v>2</v>
      </c>
      <c r="W3">
        <f>+COUNTIFS(ADV!J:J,'Analysis OLD'!K3,ADV!AB:AB,"*Strength Amp (Max Lv. = 1)*")</f>
        <v>7</v>
      </c>
      <c r="X3">
        <f>+COUNTIFS(ADV!J:J,'Analysis OLD'!K3,ADV!AB:AB,"*Strength Amp (Max Lv. = 3)*")</f>
        <v>23</v>
      </c>
      <c r="Y3">
        <f>+COUNTIFS(ADV!J:J,'Analysis OLD'!K3,ADV!AB:AB,"*Defense Amp (Max Lv. = 1)*")</f>
        <v>8</v>
      </c>
      <c r="Z3">
        <f>+COUNTIFS(ADV!J:J,'Analysis OLD'!K3,ADV!AB:AB,"*Defense Amp (Max Lv. = 3)*")</f>
        <v>14</v>
      </c>
      <c r="AA3">
        <f>+COUNTIFS(ADV!J:J,'Analysis OLD'!K3,ADV!AB:AB,"*Critical Damage Amp (Max Lv. = 1)*")</f>
        <v>5</v>
      </c>
      <c r="AB3">
        <f>+COUNTIFS(ADV!J:J,'Analysis OLD'!K3,ADV!AB:AB,"*Critical Damage Amp (Max Lv. = 3)*")</f>
        <v>8</v>
      </c>
      <c r="AD3" t="s">
        <v>45</v>
      </c>
      <c r="AE3">
        <f>+COUNTIF(ADV!AC:AC,"*Already*")</f>
        <v>56</v>
      </c>
    </row>
    <row r="4" spans="1:31" x14ac:dyDescent="0.2">
      <c r="A4" s="351"/>
      <c r="B4" s="44" t="s">
        <v>42</v>
      </c>
      <c r="C4" t="s">
        <v>47</v>
      </c>
      <c r="D4" s="45">
        <f>+COUNTIFS(ADV!J:J,'Analysis OLD'!B4,ADV!AA:AA,"*"&amp;'Analysis OLD'!C4&amp;"*")</f>
        <v>35</v>
      </c>
      <c r="E4">
        <v>35</v>
      </c>
      <c r="G4" s="44" t="s">
        <v>48</v>
      </c>
      <c r="H4" s="45">
        <f>+COUNTIFS(ADV!J:J,'Analysis OLD'!B4,ADV!AD:AD,"*"&amp;'Analysis OLD'!G4&amp;"*")</f>
        <v>10</v>
      </c>
      <c r="I4">
        <v>10</v>
      </c>
      <c r="K4" s="44" t="s">
        <v>46</v>
      </c>
      <c r="L4" s="45">
        <f>+COUNTIF(ADV!J:J,'Analysis OLD'!K4)</f>
        <v>63</v>
      </c>
      <c r="N4">
        <f>+COUNTIFS(ADV!J:J,'Analysis OLD'!K4,ADV!AD:AD,"*HP Up*")</f>
        <v>8</v>
      </c>
      <c r="O4">
        <v>8</v>
      </c>
      <c r="Q4">
        <f>+COUNTIFS(ADV!J:J,'Analysis OLD'!K4,ADV!AD:AD,"*BLEED*")</f>
        <v>6</v>
      </c>
      <c r="R4">
        <v>6</v>
      </c>
      <c r="T4">
        <f>+COUNTIFS(ADV!J:J,'Analysis OLD'!K4,ADV!AD:AD,"*Overdamage*")</f>
        <v>2</v>
      </c>
      <c r="U4">
        <v>2</v>
      </c>
      <c r="W4">
        <f>+COUNTIFS(ADV!J:J,'Analysis OLD'!K4,ADV!AB:AB,"*Strength Amp (Max Lv. = 1)*")</f>
        <v>7</v>
      </c>
      <c r="X4">
        <f>+COUNTIFS(ADV!J:J,'Analysis OLD'!K4,ADV!AB:AB,"*Strength Amp (Max Lv. = 3)*")</f>
        <v>25</v>
      </c>
      <c r="Y4">
        <f>+COUNTIFS(ADV!J:J,'Analysis OLD'!K4,ADV!AB:AB,"*Defense Amp (Max Lv. = 1)*")</f>
        <v>6</v>
      </c>
      <c r="Z4">
        <f>+COUNTIFS(ADV!J:J,'Analysis OLD'!K4,ADV!AB:AB,"*Defense Amp (Max Lv. = 3)*")</f>
        <v>16</v>
      </c>
      <c r="AA4">
        <f>+COUNTIFS(ADV!J:J,'Analysis OLD'!K4,ADV!AB:AB,"*Critical Damage Amp (Max Lv. = 1)*")</f>
        <v>5</v>
      </c>
      <c r="AB4">
        <f>+COUNTIFS(ADV!J:J,'Analysis OLD'!K4,ADV!AB:AB,"*Critical Damage Amp (Max Lv. = 3)*")</f>
        <v>8</v>
      </c>
      <c r="AD4" t="s">
        <v>49</v>
      </c>
      <c r="AE4">
        <f>+COUNTIF(ADV!AC:AC,"*Omitted*")</f>
        <v>34</v>
      </c>
    </row>
    <row r="5" spans="1:31" x14ac:dyDescent="0.2">
      <c r="A5" s="351"/>
      <c r="B5" s="44" t="s">
        <v>46</v>
      </c>
      <c r="C5" t="s">
        <v>51</v>
      </c>
      <c r="D5" s="45">
        <f>+COUNTIFS(ADV!J:J,'Analysis OLD'!B5,ADV!AA:AA,"*"&amp;'Analysis OLD'!C5&amp;"*")</f>
        <v>30</v>
      </c>
      <c r="E5">
        <v>29</v>
      </c>
      <c r="G5" s="44" t="s">
        <v>52</v>
      </c>
      <c r="H5" s="45">
        <f>+COUNTIFS(ADV!J:J,'Analysis OLD'!B5,ADV!AD:AD,"*"&amp;'Analysis OLD'!G5&amp;"*")</f>
        <v>9</v>
      </c>
      <c r="I5">
        <v>9</v>
      </c>
      <c r="K5" s="44" t="s">
        <v>50</v>
      </c>
      <c r="L5" s="45">
        <f>+COUNTIF(ADV!J:J,'Analysis OLD'!K5)</f>
        <v>66</v>
      </c>
      <c r="N5">
        <f>+COUNTIFS(ADV!J:J,'Analysis OLD'!K5,ADV!AD:AD,"*HP Up*")</f>
        <v>9</v>
      </c>
      <c r="O5">
        <v>9</v>
      </c>
      <c r="Q5">
        <f>+COUNTIFS(ADV!J:J,'Analysis OLD'!K5,ADV!AD:AD,"*BLEED*")</f>
        <v>6</v>
      </c>
      <c r="R5">
        <v>6</v>
      </c>
      <c r="T5">
        <f>+COUNTIFS(ADV!J:J,'Analysis OLD'!K5,ADV!AD:AD,"*Overdamage*")</f>
        <v>2</v>
      </c>
      <c r="U5">
        <v>2</v>
      </c>
      <c r="W5">
        <f>+COUNTIFS(ADV!J:J,'Analysis OLD'!K5,ADV!AB:AB,"*Strength Amp (Max Lv. = 1)*")</f>
        <v>8</v>
      </c>
      <c r="X5">
        <f>+COUNTIFS(ADV!J:J,'Analysis OLD'!K5,ADV!AB:AB,"*Strength Amp (Max Lv. = 3)*")</f>
        <v>24</v>
      </c>
      <c r="Y5">
        <f>+COUNTIFS(ADV!J:J,'Analysis OLD'!K5,ADV!AB:AB,"*Defense Amp (Max Lv. = 1)*")</f>
        <v>8</v>
      </c>
      <c r="Z5">
        <f>+COUNTIFS(ADV!J:J,'Analysis OLD'!K5,ADV!AB:AB,"*Defense Amp (Max Lv. = 3)*")</f>
        <v>17</v>
      </c>
      <c r="AA5">
        <f>+COUNTIFS(ADV!J:J,'Analysis OLD'!K5,ADV!AB:AB,"*Critical Damage Amp (Max Lv. = 1)*")</f>
        <v>8</v>
      </c>
      <c r="AB5">
        <f>+COUNTIFS(ADV!J:J,'Analysis OLD'!K5,ADV!AB:AB,"*Critical Damage Amp (Max Lv. = 3)*")</f>
        <v>10</v>
      </c>
      <c r="AD5" t="s">
        <v>53</v>
      </c>
      <c r="AE5">
        <f>+COUNTIF(ADV!AC:AC,"*Transferred*")</f>
        <v>1</v>
      </c>
    </row>
    <row r="6" spans="1:31" x14ac:dyDescent="0.2">
      <c r="A6" s="351"/>
      <c r="B6" s="44" t="s">
        <v>46</v>
      </c>
      <c r="C6" t="s">
        <v>55</v>
      </c>
      <c r="D6" s="45">
        <f>+COUNTIFS(ADV!J:J,'Analysis OLD'!B6,ADV!AA:AA,"*"&amp;'Analysis OLD'!C6&amp;"*")</f>
        <v>29</v>
      </c>
      <c r="E6">
        <v>29</v>
      </c>
      <c r="G6" s="44" t="s">
        <v>56</v>
      </c>
      <c r="H6" s="45">
        <f>+COUNTIFS(ADV!J:J,'Analysis OLD'!B6,ADV!AD:AD,"*"&amp;'Analysis OLD'!G6&amp;"*")</f>
        <v>7</v>
      </c>
      <c r="I6">
        <v>7</v>
      </c>
      <c r="K6" s="46" t="s">
        <v>54</v>
      </c>
      <c r="L6" s="48">
        <f>+COUNTIF(ADV!J:J,'Analysis OLD'!K6)</f>
        <v>57</v>
      </c>
      <c r="N6">
        <f>+COUNTIFS(ADV!J:J,'Analysis OLD'!K6,ADV!AD:AD,"*HP Up*")</f>
        <v>7</v>
      </c>
      <c r="O6">
        <v>7</v>
      </c>
      <c r="Q6">
        <f>+COUNTIFS(ADV!J:J,'Analysis OLD'!K6,ADV!AD:AD,"*BLEED*")</f>
        <v>7</v>
      </c>
      <c r="R6">
        <v>7</v>
      </c>
      <c r="T6">
        <f>+COUNTIFS(ADV!J:J,'Analysis OLD'!K6,ADV!AD:AD,"*Overdamage*")</f>
        <v>2</v>
      </c>
      <c r="U6">
        <v>2</v>
      </c>
      <c r="W6">
        <f>+COUNTIFS(ADV!J:J,'Analysis OLD'!K6,ADV!AB:AB,"*Strength Amp (Max Lv. = 1)*")</f>
        <v>5</v>
      </c>
      <c r="X6">
        <f>+COUNTIFS(ADV!J:J,'Analysis OLD'!K6,ADV!AB:AB,"*Strength Amp (Max Lv. = 3)*")</f>
        <v>23</v>
      </c>
      <c r="Y6">
        <f>+COUNTIFS(ADV!J:J,'Analysis OLD'!K6,ADV!AB:AB,"*Defense Amp (Max Lv. = 1)*")</f>
        <v>5</v>
      </c>
      <c r="Z6">
        <f>+COUNTIFS(ADV!J:J,'Analysis OLD'!K6,ADV!AB:AB,"*Defense Amp (Max Lv. = 3)*")</f>
        <v>15</v>
      </c>
      <c r="AA6">
        <f>+COUNTIFS(ADV!J:J,'Analysis OLD'!K6,ADV!AB:AB,"*Critical Damage Amp (Max Lv. = 1)*")</f>
        <v>6</v>
      </c>
      <c r="AB6">
        <f>+COUNTIFS(ADV!J:J,'Analysis OLD'!K6,ADV!AB:AB,"*Critical Damage Amp (Max Lv. = 3)*")</f>
        <v>9</v>
      </c>
    </row>
    <row r="7" spans="1:31" x14ac:dyDescent="0.2">
      <c r="A7" s="351"/>
      <c r="B7" s="44" t="s">
        <v>50</v>
      </c>
      <c r="C7" t="s">
        <v>57</v>
      </c>
      <c r="D7" s="45">
        <f>+COUNTIFS(ADV!J:J,'Analysis OLD'!B7,ADV!AA:AA,"*"&amp;'Analysis OLD'!C7&amp;"*")</f>
        <v>28</v>
      </c>
      <c r="E7">
        <v>28</v>
      </c>
      <c r="G7" s="44" t="s">
        <v>58</v>
      </c>
      <c r="H7" s="45">
        <f>+COUNTIFS(ADV!J:J,'Analysis OLD'!B7,ADV!AD:AD,"*"&amp;'Analysis OLD'!G7&amp;"*")</f>
        <v>8</v>
      </c>
      <c r="I7">
        <v>8</v>
      </c>
    </row>
    <row r="8" spans="1:31" x14ac:dyDescent="0.2">
      <c r="A8" s="351"/>
      <c r="B8" s="44" t="s">
        <v>50</v>
      </c>
      <c r="C8" t="s">
        <v>59</v>
      </c>
      <c r="D8" s="45">
        <f>+COUNTIFS(ADV!J:J,'Analysis OLD'!B8,ADV!AA:AA,"*"&amp;'Analysis OLD'!C8&amp;"*")</f>
        <v>25</v>
      </c>
      <c r="E8">
        <v>25</v>
      </c>
      <c r="G8" s="44" t="s">
        <v>60</v>
      </c>
      <c r="H8" s="45">
        <f>+COUNTIFS(ADV!J:J,'Analysis OLD'!B8,ADV!AD:AD,"*"&amp;'Analysis OLD'!G8&amp;"*")</f>
        <v>7</v>
      </c>
      <c r="I8">
        <v>7</v>
      </c>
      <c r="N8">
        <f>SUM(N2:N7)</f>
        <v>39</v>
      </c>
      <c r="Q8">
        <f>SUM(Q2:Q7)</f>
        <v>31</v>
      </c>
      <c r="W8" s="6" t="s">
        <v>66</v>
      </c>
      <c r="X8" s="6" t="s">
        <v>67</v>
      </c>
      <c r="Y8" s="6" t="s">
        <v>66</v>
      </c>
      <c r="Z8" s="6" t="s">
        <v>68</v>
      </c>
      <c r="AA8" s="6" t="s">
        <v>66</v>
      </c>
      <c r="AB8" s="6" t="s">
        <v>69</v>
      </c>
      <c r="AE8">
        <f>SUM(AE2:AE6)</f>
        <v>298</v>
      </c>
    </row>
    <row r="9" spans="1:31" x14ac:dyDescent="0.2">
      <c r="A9" s="351"/>
      <c r="B9" s="44" t="s">
        <v>54</v>
      </c>
      <c r="C9" t="s">
        <v>51</v>
      </c>
      <c r="D9" s="45">
        <f>+COUNTIFS(ADV!J:J,'Analysis OLD'!B9,ADV!AA:AA,"*"&amp;'Analysis OLD'!C9&amp;"*")</f>
        <v>22</v>
      </c>
      <c r="E9">
        <v>22</v>
      </c>
      <c r="G9" s="44" t="s">
        <v>52</v>
      </c>
      <c r="H9" s="45">
        <f>+COUNTIFS(ADV!J:J,'Analysis OLD'!B9,ADV!AD:AD,"*"&amp;'Analysis OLD'!G9&amp;"*")</f>
        <v>6</v>
      </c>
      <c r="I9">
        <v>6</v>
      </c>
      <c r="W9" s="355" t="s">
        <v>70</v>
      </c>
      <c r="X9" s="355"/>
      <c r="Y9" s="355"/>
      <c r="Z9" s="355"/>
      <c r="AA9" s="355"/>
      <c r="AB9" s="355"/>
    </row>
    <row r="10" spans="1:31" x14ac:dyDescent="0.2">
      <c r="A10" s="352"/>
      <c r="B10" s="46" t="s">
        <v>54</v>
      </c>
      <c r="C10" s="47" t="s">
        <v>61</v>
      </c>
      <c r="D10" s="48">
        <f>+COUNTIFS(ADV!J:J,'Analysis OLD'!B10,ADV!AA:AA,"*"&amp;'Analysis OLD'!C10&amp;"*")</f>
        <v>22</v>
      </c>
      <c r="E10">
        <v>22</v>
      </c>
      <c r="G10" s="46" t="s">
        <v>62</v>
      </c>
      <c r="H10" s="48">
        <f>+COUNTIFS(ADV!J:J,'Analysis OLD'!B10,ADV!AD:AD,"*"&amp;'Analysis OLD'!G10&amp;"*")</f>
        <v>5</v>
      </c>
      <c r="I10">
        <v>5</v>
      </c>
    </row>
    <row r="12" spans="1:31" ht="14.25" customHeight="1" x14ac:dyDescent="0.2">
      <c r="A12" s="350" t="s">
        <v>64</v>
      </c>
      <c r="B12" s="64" t="s">
        <v>38</v>
      </c>
      <c r="C12" s="65" t="s">
        <v>39</v>
      </c>
      <c r="D12" s="66">
        <f>+COUNTIFS('D-S'!D:D,'Analysis OLD'!B12,'D-S'!L:L,"*"&amp;'Analysis OLD'!C12&amp;"*")</f>
        <v>12</v>
      </c>
      <c r="K12" s="64" t="s">
        <v>38</v>
      </c>
      <c r="L12" s="66">
        <f>+COUNTIF(DRA!D:D,'Analysis OLD'!K12)</f>
        <v>28</v>
      </c>
    </row>
    <row r="13" spans="1:31" x14ac:dyDescent="0.2">
      <c r="A13" s="351"/>
      <c r="B13" s="44" t="s">
        <v>38</v>
      </c>
      <c r="C13" t="s">
        <v>43</v>
      </c>
      <c r="D13" s="45">
        <f>+COUNTIFS('D-S'!D:D,'Analysis OLD'!B13,'D-S'!L:L,"*"&amp;'Analysis OLD'!C13&amp;"*")</f>
        <v>12</v>
      </c>
      <c r="K13" s="44" t="s">
        <v>42</v>
      </c>
      <c r="L13" s="45">
        <f>+COUNTIF(DRA!D:D,'Analysis OLD'!K13)</f>
        <v>27</v>
      </c>
    </row>
    <row r="14" spans="1:31" x14ac:dyDescent="0.2">
      <c r="A14" s="351"/>
      <c r="B14" s="44" t="s">
        <v>42</v>
      </c>
      <c r="C14" t="s">
        <v>47</v>
      </c>
      <c r="D14" s="45">
        <f>+COUNTIFS('D-S'!D:D,'Analysis OLD'!B14,'D-S'!L:L,"*"&amp;'Analysis OLD'!C14&amp;"*")</f>
        <v>16</v>
      </c>
      <c r="K14" s="44" t="s">
        <v>46</v>
      </c>
      <c r="L14" s="45">
        <f>+COUNTIF(DRA!D:D,'Analysis OLD'!K14)</f>
        <v>30</v>
      </c>
    </row>
    <row r="15" spans="1:31" x14ac:dyDescent="0.2">
      <c r="A15" s="351"/>
      <c r="B15" s="44" t="s">
        <v>46</v>
      </c>
      <c r="C15" t="s">
        <v>51</v>
      </c>
      <c r="D15" s="45">
        <f>+COUNTIFS('D-S'!D:D,'Analysis OLD'!B15,'D-S'!L:L,"*"&amp;'Analysis OLD'!C15&amp;"*")</f>
        <v>8</v>
      </c>
      <c r="K15" s="44" t="s">
        <v>50</v>
      </c>
      <c r="L15" s="45">
        <f>+COUNTIF(DRA!D:D,'Analysis OLD'!K15)</f>
        <v>30</v>
      </c>
    </row>
    <row r="16" spans="1:31" x14ac:dyDescent="0.2">
      <c r="A16" s="351"/>
      <c r="B16" s="44" t="s">
        <v>46</v>
      </c>
      <c r="C16" t="s">
        <v>55</v>
      </c>
      <c r="D16" s="45">
        <f>+COUNTIFS('D-S'!D:D,'Analysis OLD'!B16,'D-S'!L:L,"*"&amp;'Analysis OLD'!C16&amp;"*")</f>
        <v>9</v>
      </c>
      <c r="K16" s="46" t="s">
        <v>54</v>
      </c>
      <c r="L16" s="48">
        <f>+COUNTIF(DRA!D:D,'Analysis OLD'!K16)</f>
        <v>36</v>
      </c>
    </row>
    <row r="17" spans="1:4" x14ac:dyDescent="0.2">
      <c r="A17" s="351"/>
      <c r="B17" s="44" t="s">
        <v>50</v>
      </c>
      <c r="C17" t="s">
        <v>57</v>
      </c>
      <c r="D17" s="45">
        <f>+COUNTIFS('D-S'!D:D,'Analysis OLD'!B17,'D-S'!L:L,"*"&amp;'Analysis OLD'!C17&amp;"*")</f>
        <v>7</v>
      </c>
    </row>
    <row r="18" spans="1:4" x14ac:dyDescent="0.2">
      <c r="A18" s="351"/>
      <c r="B18" s="44" t="s">
        <v>50</v>
      </c>
      <c r="C18" t="s">
        <v>59</v>
      </c>
      <c r="D18" s="45">
        <f>+COUNTIFS('D-S'!D:D,'Analysis OLD'!B18,'D-S'!L:L,"*"&amp;'Analysis OLD'!C18&amp;"*")</f>
        <v>6</v>
      </c>
    </row>
    <row r="19" spans="1:4" x14ac:dyDescent="0.2">
      <c r="A19" s="351"/>
      <c r="B19" s="44" t="s">
        <v>54</v>
      </c>
      <c r="C19" t="s">
        <v>51</v>
      </c>
      <c r="D19" s="45">
        <f>+COUNTIFS('D-S'!D:D,'Analysis OLD'!B19,'D-S'!L:L,"*"&amp;'Analysis OLD'!C19&amp;"*")</f>
        <v>9</v>
      </c>
    </row>
    <row r="20" spans="1:4" x14ac:dyDescent="0.2">
      <c r="A20" s="352"/>
      <c r="B20" s="46" t="s">
        <v>54</v>
      </c>
      <c r="C20" s="47" t="s">
        <v>61</v>
      </c>
      <c r="D20" s="48">
        <f>+COUNTIFS('D-S'!D:D,'Analysis OLD'!B20,'D-S'!L:L,"*"&amp;'Analysis OLD'!C20&amp;"*")</f>
        <v>8</v>
      </c>
    </row>
    <row r="22" spans="1:4" ht="14.25" customHeight="1" x14ac:dyDescent="0.2"/>
  </sheetData>
  <mergeCells count="3">
    <mergeCell ref="A2:A10"/>
    <mergeCell ref="W9:AB9"/>
    <mergeCell ref="A12:A20"/>
  </mergeCells>
  <pageMargins left="0.25" right="0.25" top="0.75" bottom="0.75" header="0.3" footer="0.3"/>
  <pageSetup scale="69" fitToHeight="0" orientation="landscape"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AF85FA-CFD2-46E4-9C35-573207EED0D0}">
  <dimension ref="A1:X43"/>
  <sheetViews>
    <sheetView zoomScale="85" zoomScaleNormal="85" workbookViewId="0">
      <selection activeCell="D9" sqref="D9:J13"/>
    </sheetView>
  </sheetViews>
  <sheetFormatPr defaultRowHeight="18" x14ac:dyDescent="0.2"/>
  <cols>
    <col min="1" max="1" width="6.25" style="140" customWidth="1"/>
    <col min="2" max="2" width="13.75" style="140" customWidth="1"/>
    <col min="3" max="3" width="1.25" style="140" customWidth="1"/>
    <col min="4" max="4" width="26.25" style="140" customWidth="1"/>
    <col min="5" max="5" width="1.25" style="140" customWidth="1"/>
    <col min="6" max="6" width="2.5" style="140" customWidth="1"/>
    <col min="7" max="7" width="1.25" style="140" customWidth="1"/>
    <col min="8" max="8" width="2.625" style="140" customWidth="1"/>
    <col min="9" max="9" width="1.25" style="140" customWidth="1"/>
    <col min="10" max="10" width="3.75" style="140" customWidth="1"/>
    <col min="11" max="11" width="1.25" style="140" customWidth="1"/>
    <col min="12" max="12" width="27.375" style="140" customWidth="1"/>
    <col min="13" max="14" width="3.75" style="140" customWidth="1"/>
    <col min="15" max="15" width="1.25" style="140" customWidth="1"/>
    <col min="16" max="16" width="6.25" style="140" customWidth="1"/>
    <col min="17" max="17" width="55" style="140" customWidth="1"/>
    <col min="18" max="18" width="11.25" style="140" customWidth="1"/>
    <col min="19" max="19" width="10" style="140" customWidth="1"/>
    <col min="20" max="20" width="1.25" style="140" customWidth="1"/>
    <col min="21" max="21" width="6.25" style="140" customWidth="1"/>
    <col min="22" max="22" width="55" style="140" customWidth="1"/>
    <col min="23" max="23" width="11.25" style="140" customWidth="1"/>
    <col min="24" max="24" width="10" style="140" customWidth="1"/>
    <col min="25" max="16384" width="9" style="140"/>
  </cols>
  <sheetData>
    <row r="1" spans="1:24" ht="22.5" customHeight="1" x14ac:dyDescent="0.4">
      <c r="A1" s="358" t="s">
        <v>79</v>
      </c>
      <c r="B1" s="359"/>
      <c r="D1" s="360" t="str">
        <f>+INDEX(ADV!$A:$Z,MATCH(A3,ADV!$A:$A,0),MATCH("Name",ADV!$A$1:$AR$1,0))</f>
        <v>Laranoa</v>
      </c>
      <c r="E1" s="361"/>
      <c r="F1" s="361"/>
      <c r="G1" s="361"/>
      <c r="H1" s="361"/>
      <c r="I1" s="361"/>
      <c r="J1" s="362"/>
      <c r="L1" s="363" t="s">
        <v>80</v>
      </c>
      <c r="M1" s="364"/>
      <c r="N1" s="365"/>
      <c r="P1" s="366" t="s">
        <v>72</v>
      </c>
      <c r="Q1" s="367"/>
      <c r="R1" s="367"/>
      <c r="S1" s="367"/>
      <c r="U1" s="366" t="s">
        <v>73</v>
      </c>
      <c r="V1" s="367"/>
      <c r="W1" s="367"/>
      <c r="X1" s="367"/>
    </row>
    <row r="2" spans="1:24" ht="7.5" customHeight="1" x14ac:dyDescent="0.2">
      <c r="A2" s="141"/>
      <c r="B2" s="141"/>
      <c r="C2" s="141"/>
      <c r="D2" s="142"/>
      <c r="E2" s="142"/>
      <c r="F2" s="142"/>
      <c r="G2" s="142"/>
      <c r="H2" s="142"/>
      <c r="I2" s="142"/>
      <c r="J2" s="142"/>
      <c r="L2" s="368" t="str">
        <f>+INDEX(ADV!$A:$Z,MATCH(A3,ADV!$A:$A,0),MATCH("Description",ADV!$A$1:$AR$1,0))</f>
        <v>A sylvan from the west forest, and childhood friend of Luca and Sylas. She was nominated as the next chief of her village on account of her strength, hunting skills, and popularity. Her hunting dog, Rolf, has been with her since birth.</v>
      </c>
      <c r="M2" s="369"/>
      <c r="N2" s="370"/>
      <c r="P2" s="143"/>
      <c r="Q2" s="144"/>
      <c r="R2" s="143"/>
      <c r="S2" s="145"/>
      <c r="U2" s="143"/>
      <c r="V2" s="144"/>
      <c r="W2" s="143"/>
      <c r="X2" s="145"/>
    </row>
    <row r="3" spans="1:24" ht="22.5" customHeight="1" x14ac:dyDescent="0.2">
      <c r="A3" s="358" t="str">
        <f>+INDEX(ADV!$A:$Z,MATCH(A1,ADV!$B:$B,0),MATCH("ID",ADV!$A$1:$AR$1,0))</f>
        <v>110317_01</v>
      </c>
      <c r="B3" s="359"/>
      <c r="C3" s="146"/>
      <c r="D3" s="377" t="str">
        <f>+INDEX(ADV!$A:$Z,MATCH(A3,ADV!$A:$A,0),MATCH("Title",ADV!$A$1:$AR$1,0))</f>
        <v>Lighthearted Leader</v>
      </c>
      <c r="E3" s="378"/>
      <c r="F3" s="378"/>
      <c r="G3" s="378"/>
      <c r="H3" s="378"/>
      <c r="I3" s="378"/>
      <c r="J3" s="379"/>
      <c r="L3" s="371"/>
      <c r="M3" s="372"/>
      <c r="N3" s="373"/>
      <c r="P3" s="380" t="str">
        <f>+INDEX('A-S'!$A:$N,MATCH('A23 Avant'!Q3,'A-S'!$G:$G,0),MATCH("Icon",'A-S'!$1:$1,0))</f>
        <v>016</v>
      </c>
      <c r="Q3" s="381" t="str">
        <f>+INDEX(ADV!$A:$Z,MATCH(A3,ADV!$A:$A,0),MATCH("Skill 1",ADV!$A$1:$AR$1,0))</f>
        <v>Vivid Volley</v>
      </c>
      <c r="R3" s="417" t="str">
        <f>+IF(INDEX('A-S'!$A$1:$N$701,MATCH('A23 Avant'!Q3,'A-S'!$G$1:$G$701,0),MATCH("Shareable",'A-S'!$1:$1,0))="Y","Share Cost: "&amp;INDEX('A-S'!$A$1:$N$701,MATCH('A23 Avant'!Q3,'A-S'!$G$1:$G$701,0),MATCH("Share Cost",'A-S'!$1:$1,0)),"Not Shareable")</f>
        <v>Share Cost: 5</v>
      </c>
      <c r="S3" s="147">
        <f>+INDEX('A-S'!$A:$N,MATCH('A23 Avant'!Q3,'A-S'!$G:$G,0),MATCH("SP Cost",'A-S'!$1:$1,0))</f>
        <v>2567</v>
      </c>
      <c r="U3" s="380" t="str">
        <f>+INDEX('A-S'!$A:$N,MATCH('A23 Avant'!V3,'A-S'!$G:$G,0),MATCH("Icon",'A-S'!$1:$1,0))</f>
        <v>016</v>
      </c>
      <c r="V3" s="381" t="str">
        <f>Q3</f>
        <v>Vivid Volley</v>
      </c>
      <c r="W3" s="417" t="str">
        <f>+IF(INDEX('A-S'!$A$1:$N$701,MATCH('A23 Avant'!V3,'A-S'!$G$1:$G$701,0),MATCH("Shareable",'A-S'!$1:$1,0))="Y","Share Cost: "&amp;INDEX('A-S'!$A$1:$N$701,MATCH('A23 Avant'!V3,'A-S'!$G$1:$G$701,0),MATCH("Share Cost",'A-S'!$1:$1,0)),"Not Shareable")</f>
        <v>Share Cost: 5</v>
      </c>
      <c r="X3" s="147">
        <f>+INDEX('A-S'!$A:$N,MATCH('A23 Avant'!V3,'A-S'!$G:$G,0),MATCH("SP Cost",'A-S'!$1:$1,0))</f>
        <v>2567</v>
      </c>
    </row>
    <row r="4" spans="1:24" ht="7.5" customHeight="1" x14ac:dyDescent="0.2">
      <c r="A4" s="148"/>
      <c r="B4" s="148"/>
      <c r="C4" s="141"/>
      <c r="D4" s="149"/>
      <c r="E4" s="150"/>
      <c r="F4" s="150"/>
      <c r="G4" s="150"/>
      <c r="H4" s="150"/>
      <c r="I4" s="150"/>
      <c r="J4" s="151"/>
      <c r="L4" s="371"/>
      <c r="M4" s="372"/>
      <c r="N4" s="373"/>
      <c r="P4" s="380"/>
      <c r="Q4" s="382"/>
      <c r="R4" s="418"/>
      <c r="S4" s="356">
        <f>+INDEX('A-S'!$A:$N,MATCH('A23 Avant'!Q3,'A-S'!$G:$G,0),MATCH("Share SP",'A-S'!$1:$1,0))</f>
        <v>9754</v>
      </c>
      <c r="U4" s="380"/>
      <c r="V4" s="382"/>
      <c r="W4" s="418"/>
      <c r="X4" s="356">
        <f>+INDEX('A-S'!$A:$N,MATCH('A23 Avant'!V3,'A-S'!$G:$G,0),MATCH("Share SP",'A-S'!$1:$1,0))</f>
        <v>9754</v>
      </c>
    </row>
    <row r="5" spans="1:24" ht="7.5" customHeight="1" x14ac:dyDescent="0.2">
      <c r="A5" s="387" t="str">
        <f>+A3</f>
        <v>110317_01</v>
      </c>
      <c r="B5" s="387"/>
      <c r="C5" s="141"/>
      <c r="D5" s="388" t="str">
        <f>INDEX(ADV!$A:$Z,MATCH(A3,ADV!$A:$A,0),MATCH("Element",ADV!$A$1:$AR$1,0))&amp;" "&amp;INDEX(ADV!$A:$Z,MATCH(A3,ADV!$A:$A,0),MATCH("Weapon",ADV!$A$1:$AR$1,0))</f>
        <v>Water Bow</v>
      </c>
      <c r="E5" s="389"/>
      <c r="F5" s="389"/>
      <c r="G5" s="389"/>
      <c r="H5" s="389"/>
      <c r="I5" s="389"/>
      <c r="J5" s="390"/>
      <c r="L5" s="371"/>
      <c r="M5" s="372"/>
      <c r="N5" s="373"/>
      <c r="P5" s="380"/>
      <c r="Q5" s="383"/>
      <c r="R5" s="419"/>
      <c r="S5" s="357"/>
      <c r="U5" s="380"/>
      <c r="V5" s="383"/>
      <c r="W5" s="419"/>
      <c r="X5" s="357"/>
    </row>
    <row r="6" spans="1:24" ht="15" customHeight="1" x14ac:dyDescent="0.2">
      <c r="A6" s="387"/>
      <c r="B6" s="387"/>
      <c r="C6" s="152"/>
      <c r="D6" s="391"/>
      <c r="E6" s="392"/>
      <c r="F6" s="392"/>
      <c r="G6" s="392"/>
      <c r="H6" s="392"/>
      <c r="I6" s="392"/>
      <c r="J6" s="393"/>
      <c r="L6" s="371"/>
      <c r="M6" s="372"/>
      <c r="N6" s="373"/>
      <c r="P6" s="394" t="str">
        <f>+INDEX('A-S'!$A:$N,MATCH('A23 Avant'!Q3,'A-S'!$G:$G,0),MATCH("Description",'A-S'!$1:$1,0))</f>
        <v>Deals 14 hits of 141% water damage to enemies in a line, and inflicts frostbite for 21 seconds - dealing 41% water damage every 2.9 seconds - with 120% chance.</v>
      </c>
      <c r="Q6" s="395"/>
      <c r="R6" s="395"/>
      <c r="S6" s="396"/>
      <c r="U6" s="394" t="str">
        <f>+INDEX('A-S'!$A:$N,MATCH('A23 Avant'!V3,'A-S'!$G:$G,0),MATCH("Description V3",'A-S'!$1:$1,0))</f>
        <v>Deals 14 hits of 180% water damage to enemies in a line, and inflicts frostbite for 21 seconds - dealing 50% water damage every 2.9 seconds - with 120% chance.</v>
      </c>
      <c r="V6" s="395"/>
      <c r="W6" s="395"/>
      <c r="X6" s="396"/>
    </row>
    <row r="7" spans="1:24" ht="22.5" customHeight="1" x14ac:dyDescent="0.4">
      <c r="A7" s="387"/>
      <c r="B7" s="387"/>
      <c r="C7" s="152"/>
      <c r="D7" s="403" t="str">
        <f>INDEX(ADV!$A:$Z,MATCH(A3,ADV!$A:$A,0),MATCH("Class",ADV!$A$1:$AR$1,0))&amp;" Unit"</f>
        <v>Support Unit</v>
      </c>
      <c r="E7" s="404"/>
      <c r="F7" s="404"/>
      <c r="G7" s="405"/>
      <c r="H7" s="406" t="s">
        <v>81</v>
      </c>
      <c r="I7" s="407"/>
      <c r="J7" s="153">
        <v>10</v>
      </c>
      <c r="L7" s="371"/>
      <c r="M7" s="372"/>
      <c r="N7" s="373"/>
      <c r="P7" s="397"/>
      <c r="Q7" s="398"/>
      <c r="R7" s="398"/>
      <c r="S7" s="399"/>
      <c r="U7" s="397"/>
      <c r="V7" s="398"/>
      <c r="W7" s="398"/>
      <c r="X7" s="399"/>
    </row>
    <row r="8" spans="1:24" ht="22.5" customHeight="1" x14ac:dyDescent="0.4">
      <c r="A8" s="387"/>
      <c r="B8" s="387"/>
      <c r="C8" s="152"/>
      <c r="D8" s="363" t="s">
        <v>82</v>
      </c>
      <c r="E8" s="364"/>
      <c r="F8" s="364"/>
      <c r="G8" s="364"/>
      <c r="H8" s="364"/>
      <c r="I8" s="364"/>
      <c r="J8" s="365"/>
      <c r="L8" s="371"/>
      <c r="M8" s="372"/>
      <c r="N8" s="373"/>
      <c r="P8" s="397"/>
      <c r="Q8" s="398"/>
      <c r="R8" s="398"/>
      <c r="S8" s="399"/>
      <c r="U8" s="397"/>
      <c r="V8" s="398"/>
      <c r="W8" s="398"/>
      <c r="X8" s="399"/>
    </row>
    <row r="9" spans="1:24" ht="22.5" customHeight="1" x14ac:dyDescent="0.2">
      <c r="A9" s="387"/>
      <c r="B9" s="387"/>
      <c r="C9" s="152"/>
      <c r="D9" s="408" t="str">
        <f>+INDEX(ADV!$A:$Z,MATCH(A3,ADV!$A:$A,0),MATCH("Unlock",ADV!$A$1:$AR$1,0))</f>
        <v>Clear Full-Bloom Festivities: Expert
(The Hunt for Harmony)</v>
      </c>
      <c r="E9" s="409"/>
      <c r="F9" s="409"/>
      <c r="G9" s="409"/>
      <c r="H9" s="409"/>
      <c r="I9" s="409"/>
      <c r="J9" s="410"/>
      <c r="L9" s="371"/>
      <c r="M9" s="372"/>
      <c r="N9" s="373"/>
      <c r="P9" s="397"/>
      <c r="Q9" s="398"/>
      <c r="R9" s="398"/>
      <c r="S9" s="399"/>
      <c r="U9" s="397"/>
      <c r="V9" s="398"/>
      <c r="W9" s="398"/>
      <c r="X9" s="399"/>
    </row>
    <row r="10" spans="1:24" ht="7.5" customHeight="1" x14ac:dyDescent="0.2">
      <c r="A10" s="387"/>
      <c r="B10" s="387"/>
      <c r="C10" s="152"/>
      <c r="D10" s="411"/>
      <c r="E10" s="412"/>
      <c r="F10" s="412"/>
      <c r="G10" s="412"/>
      <c r="H10" s="412"/>
      <c r="I10" s="412"/>
      <c r="J10" s="413"/>
      <c r="L10" s="371"/>
      <c r="M10" s="372"/>
      <c r="N10" s="373"/>
      <c r="P10" s="397"/>
      <c r="Q10" s="398"/>
      <c r="R10" s="398"/>
      <c r="S10" s="399"/>
      <c r="U10" s="397"/>
      <c r="V10" s="398"/>
      <c r="W10" s="398"/>
      <c r="X10" s="399"/>
    </row>
    <row r="11" spans="1:24" ht="15" customHeight="1" x14ac:dyDescent="0.2">
      <c r="A11" s="387"/>
      <c r="B11" s="387"/>
      <c r="C11" s="152"/>
      <c r="D11" s="411"/>
      <c r="E11" s="412"/>
      <c r="F11" s="412"/>
      <c r="G11" s="412"/>
      <c r="H11" s="412"/>
      <c r="I11" s="412"/>
      <c r="J11" s="413"/>
      <c r="L11" s="371"/>
      <c r="M11" s="372"/>
      <c r="N11" s="373"/>
      <c r="P11" s="397"/>
      <c r="Q11" s="398"/>
      <c r="R11" s="398"/>
      <c r="S11" s="399"/>
      <c r="U11" s="397"/>
      <c r="V11" s="398"/>
      <c r="W11" s="398"/>
      <c r="X11" s="399"/>
    </row>
    <row r="12" spans="1:24" ht="7.5" customHeight="1" x14ac:dyDescent="0.2">
      <c r="A12" s="387"/>
      <c r="B12" s="387"/>
      <c r="C12" s="152"/>
      <c r="D12" s="411"/>
      <c r="E12" s="412"/>
      <c r="F12" s="412"/>
      <c r="G12" s="412"/>
      <c r="H12" s="412"/>
      <c r="I12" s="412"/>
      <c r="J12" s="413"/>
      <c r="L12" s="371"/>
      <c r="M12" s="372"/>
      <c r="N12" s="373"/>
      <c r="P12" s="397"/>
      <c r="Q12" s="398"/>
      <c r="R12" s="398"/>
      <c r="S12" s="399"/>
      <c r="U12" s="397"/>
      <c r="V12" s="398"/>
      <c r="W12" s="398"/>
      <c r="X12" s="399"/>
    </row>
    <row r="13" spans="1:24" ht="7.5" customHeight="1" x14ac:dyDescent="0.2">
      <c r="A13" s="154"/>
      <c r="B13" s="154"/>
      <c r="C13" s="155"/>
      <c r="D13" s="414"/>
      <c r="E13" s="415"/>
      <c r="F13" s="415"/>
      <c r="G13" s="415"/>
      <c r="H13" s="415"/>
      <c r="I13" s="415"/>
      <c r="J13" s="416"/>
      <c r="L13" s="374"/>
      <c r="M13" s="375"/>
      <c r="N13" s="376"/>
      <c r="P13" s="397"/>
      <c r="Q13" s="398"/>
      <c r="R13" s="398"/>
      <c r="S13" s="399"/>
      <c r="U13" s="397"/>
      <c r="V13" s="398"/>
      <c r="W13" s="398"/>
      <c r="X13" s="399"/>
    </row>
    <row r="14" spans="1:24" ht="105" customHeight="1" x14ac:dyDescent="0.2">
      <c r="A14" s="387" t="str">
        <f>+A3</f>
        <v>110317_01</v>
      </c>
      <c r="B14" s="387"/>
      <c r="C14" s="387"/>
      <c r="D14" s="387"/>
      <c r="E14" s="387"/>
      <c r="F14" s="387"/>
      <c r="G14" s="387"/>
      <c r="H14" s="387"/>
      <c r="I14" s="387"/>
      <c r="J14" s="387"/>
      <c r="K14" s="387"/>
      <c r="L14" s="387"/>
      <c r="M14" s="387"/>
      <c r="N14" s="387"/>
      <c r="P14" s="400"/>
      <c r="Q14" s="401"/>
      <c r="R14" s="401"/>
      <c r="S14" s="402"/>
      <c r="U14" s="400"/>
      <c r="V14" s="401"/>
      <c r="W14" s="401"/>
      <c r="X14" s="402"/>
    </row>
    <row r="15" spans="1:24" ht="7.5" customHeight="1" x14ac:dyDescent="0.2">
      <c r="A15" s="387"/>
      <c r="B15" s="387"/>
      <c r="C15" s="387"/>
      <c r="D15" s="387"/>
      <c r="E15" s="387"/>
      <c r="F15" s="387"/>
      <c r="G15" s="387"/>
      <c r="H15" s="387"/>
      <c r="I15" s="387"/>
      <c r="J15" s="387"/>
      <c r="K15" s="387"/>
      <c r="L15" s="387"/>
      <c r="M15" s="387"/>
      <c r="N15" s="387"/>
    </row>
    <row r="16" spans="1:24" ht="22.5" customHeight="1" x14ac:dyDescent="0.2">
      <c r="A16" s="387"/>
      <c r="B16" s="387"/>
      <c r="C16" s="387"/>
      <c r="D16" s="387"/>
      <c r="E16" s="387"/>
      <c r="F16" s="387"/>
      <c r="G16" s="387"/>
      <c r="H16" s="387"/>
      <c r="I16" s="387"/>
      <c r="J16" s="387"/>
      <c r="K16" s="387"/>
      <c r="L16" s="387"/>
      <c r="M16" s="387"/>
      <c r="N16" s="387"/>
      <c r="O16" s="141"/>
      <c r="P16" s="380" t="str">
        <f>+INDEX('A-S'!$A:$N,MATCH('A23 Avant'!Q16,'A-S'!$G:$G,0),MATCH("Icon",'A-S'!$1:$1,0))</f>
        <v>032</v>
      </c>
      <c r="Q16" s="420" t="str">
        <f>+INDEX(ADV!$A:$Z,MATCH(A3,ADV!$A:$A,0),MATCH("Skill 2",ADV!$A$1:$AR$1,0))</f>
        <v>Hunter's Intuition</v>
      </c>
      <c r="R16" s="417" t="str">
        <f>+IF(INDEX('A-S'!$A$1:$N$701,MATCH('A23 Avant'!Q16,'A-S'!$G$1:$G$701,0),MATCH("Shareable",'A-S'!$1:$1,0))="Y","Share Cost "&amp;INDEX('A-S'!$A$1:$N$701,MATCH('A23 Avant'!Q16,'A-S'!$G$1:$G$701,0),MATCH("Share Cost",'A-S'!$1:$1,0)),"Not Shareable")</f>
        <v>Not Shareable</v>
      </c>
      <c r="S16" s="147">
        <f>+INDEX('A-S'!$A:$N,MATCH('A23 Avant'!Q16,'A-S'!$G:$G,0),MATCH("SP Cost",'A-S'!$1:$1,0))</f>
        <v>8534</v>
      </c>
      <c r="T16" s="141"/>
      <c r="U16" s="380" t="str">
        <f>+INDEX('A-S'!$A:$N,MATCH('A23 Avant'!V16,'A-S'!$G:$G,0),MATCH("Icon",'A-S'!$1:$1,0))</f>
        <v>032</v>
      </c>
      <c r="V16" s="420" t="str">
        <f>+Q16</f>
        <v>Hunter's Intuition</v>
      </c>
      <c r="W16" s="417" t="str">
        <f>+IF(INDEX('A-S'!$A$1:$N$701,MATCH('A23 Avant'!V16,'A-S'!$G$1:$G$701,0),MATCH("Shareable",'A-S'!$1:$1,0))="Y","Share Cost "&amp;INDEX('A-S'!$A$1:$N$701,MATCH('A23 Avant'!V16,'A-S'!$G$1:$G$701,0),MATCH("Share Cost",'A-S'!$1:$1,0)),"Not Shareable")</f>
        <v>Not Shareable</v>
      </c>
      <c r="X16" s="147">
        <f>+INDEX('A-S'!$A:$N,MATCH('A23 Avant'!V16,'A-S'!$G:$G,0),MATCH("SP Cost",'A-S'!$1:$1,0))</f>
        <v>8534</v>
      </c>
    </row>
    <row r="17" spans="1:24" ht="15" customHeight="1" x14ac:dyDescent="0.2">
      <c r="A17" s="387"/>
      <c r="B17" s="387"/>
      <c r="C17" s="387"/>
      <c r="D17" s="387"/>
      <c r="E17" s="387"/>
      <c r="F17" s="387"/>
      <c r="G17" s="387"/>
      <c r="H17" s="387"/>
      <c r="I17" s="387"/>
      <c r="J17" s="387"/>
      <c r="K17" s="387"/>
      <c r="L17" s="387"/>
      <c r="M17" s="387"/>
      <c r="N17" s="387"/>
      <c r="P17" s="380"/>
      <c r="Q17" s="421"/>
      <c r="R17" s="419"/>
      <c r="S17" s="156" t="str">
        <f>+INDEX('A-S'!$A:$N,MATCH('A23 Avant'!Q16,'A-S'!$G:$G,0),MATCH("Share SP",'A-S'!$1:$1,0))</f>
        <v>N/A</v>
      </c>
      <c r="U17" s="380"/>
      <c r="V17" s="421"/>
      <c r="W17" s="419"/>
      <c r="X17" s="156" t="str">
        <f>+INDEX('A-S'!$A:$N,MATCH('A23 Avant'!V16,'A-S'!$G:$G,0),MATCH("Share SP",'A-S'!$1:$1,0))</f>
        <v>N/A</v>
      </c>
    </row>
    <row r="18" spans="1:24" ht="225" customHeight="1" x14ac:dyDescent="0.2">
      <c r="A18" s="387"/>
      <c r="B18" s="387"/>
      <c r="C18" s="387"/>
      <c r="D18" s="387"/>
      <c r="E18" s="387"/>
      <c r="F18" s="387"/>
      <c r="G18" s="387"/>
      <c r="H18" s="387"/>
      <c r="I18" s="387"/>
      <c r="J18" s="387"/>
      <c r="K18" s="387"/>
      <c r="L18" s="387"/>
      <c r="M18" s="387"/>
      <c r="N18" s="387"/>
      <c r="P18" s="384" t="str">
        <f>+INDEX('A-S'!$A:$N,MATCH('A23 Avant'!Q16,'A-S'!$G:$G,0),MATCH("Description",'A-S'!$1:$1,0))</f>
        <v>For 15 seconds, increases the user and nearby allies' strength by 20% and skill gauge fill rate by 25%. Also grants the user the following additional buffs based on the number of adventurers who were buffed by this skill, including the user: One or more adventurers: Increases defense by 10% for 10 seconds. Two or more adventurers: Increases critical rate by 10% for 10 seconds. Three or more adventurers: Immediately readies the user's initial skill, displayed at the top of their skill list, for use.</v>
      </c>
      <c r="Q18" s="385"/>
      <c r="R18" s="385"/>
      <c r="S18" s="386"/>
      <c r="U18" s="384" t="str">
        <f>+INDEX('A-S'!$A:$N,MATCH('A23 Avant'!V16,'A-S'!$G:$G,0),MATCH("Description V3",'A-S'!$1:$1,0))</f>
        <v>Increases the entire team's strength by 20% and defense by 10% and critical rate by 10%, and skill gauge fill rate by 25% for 15 seconds. Also, immediately readies the user's initial skill, displayed at the top of their skill list, for use. In addition, grants the user a defense amp (Team Amp MAX Lv. = 1).</v>
      </c>
      <c r="V18" s="385"/>
      <c r="W18" s="385"/>
      <c r="X18" s="386"/>
    </row>
    <row r="19" spans="1:24" ht="7.5" customHeight="1" x14ac:dyDescent="0.2">
      <c r="A19" s="387"/>
      <c r="B19" s="387"/>
      <c r="C19" s="387"/>
      <c r="D19" s="387"/>
      <c r="E19" s="387"/>
      <c r="F19" s="387"/>
      <c r="G19" s="387"/>
      <c r="H19" s="387"/>
      <c r="I19" s="387"/>
      <c r="J19" s="387"/>
      <c r="K19" s="387"/>
      <c r="L19" s="387"/>
      <c r="M19" s="387"/>
      <c r="N19" s="387"/>
    </row>
    <row r="20" spans="1:24" ht="22.5" customHeight="1" x14ac:dyDescent="0.4">
      <c r="A20" s="387"/>
      <c r="B20" s="387"/>
      <c r="C20" s="387"/>
      <c r="D20" s="387"/>
      <c r="E20" s="387"/>
      <c r="F20" s="387"/>
      <c r="G20" s="387"/>
      <c r="H20" s="387"/>
      <c r="I20" s="387"/>
      <c r="J20" s="387"/>
      <c r="K20" s="387"/>
      <c r="L20" s="387"/>
      <c r="M20" s="387"/>
      <c r="N20" s="387"/>
      <c r="P20" s="366" t="s">
        <v>74</v>
      </c>
      <c r="Q20" s="367"/>
      <c r="R20" s="367"/>
      <c r="S20" s="367"/>
      <c r="T20" s="157"/>
      <c r="U20" s="366" t="s">
        <v>75</v>
      </c>
      <c r="V20" s="367"/>
      <c r="W20" s="367"/>
      <c r="X20" s="367"/>
    </row>
    <row r="21" spans="1:24" ht="7.5" customHeight="1" x14ac:dyDescent="0.2">
      <c r="A21" s="387"/>
      <c r="B21" s="387"/>
      <c r="C21" s="387"/>
      <c r="D21" s="387"/>
      <c r="E21" s="387"/>
      <c r="F21" s="387"/>
      <c r="G21" s="387"/>
      <c r="H21" s="387"/>
      <c r="I21" s="387"/>
      <c r="J21" s="387"/>
      <c r="K21" s="387"/>
      <c r="L21" s="387"/>
      <c r="M21" s="387"/>
      <c r="N21" s="387"/>
    </row>
    <row r="22" spans="1:24" ht="37.5" customHeight="1" x14ac:dyDescent="0.2">
      <c r="A22" s="387"/>
      <c r="B22" s="387"/>
      <c r="C22" s="387"/>
      <c r="D22" s="387"/>
      <c r="E22" s="387"/>
      <c r="F22" s="387"/>
      <c r="G22" s="387"/>
      <c r="H22" s="387"/>
      <c r="I22" s="387"/>
      <c r="J22" s="387"/>
      <c r="K22" s="387"/>
      <c r="L22" s="387"/>
      <c r="M22" s="387"/>
      <c r="N22" s="387"/>
      <c r="P22" s="158">
        <f>+INDEX('A-A'!$A$1:$D$2286,MATCH('A23 Avant'!Q22,'A-A'!$A:$A,0),MATCH("Icon",'A-A'!$A$1:$D$1,0))</f>
        <v>1020011</v>
      </c>
      <c r="Q22" s="422" t="str">
        <f>+INDEX(ADV!$A:$Z,MATCH(A3,ADV!$A:$A,0),MATCH("Ability 1",ADV!$A$1:$AR$1,0))</f>
        <v>15 Hits = Critical Damage +10%</v>
      </c>
      <c r="R22" s="423"/>
      <c r="S22" s="424"/>
      <c r="U22" s="158">
        <f>+INDEX('A-A'!$A$1:$D$2286,MATCH('A23 Avant'!V22,'A-A'!$A:$A,0),MATCH("Icon",'A-A'!$A$1:$D$1,0))</f>
        <v>1020011</v>
      </c>
      <c r="V22" s="422" t="str">
        <f>+INDEX(ADV!$A:$Z,MATCH(A3,ADV!$A:$A,0),MATCH("Ability 1 V3",ADV!$A$1:$AR$1,0))</f>
        <v>Lighthearted Leader (V3)</v>
      </c>
      <c r="W22" s="423"/>
      <c r="X22" s="424"/>
    </row>
    <row r="23" spans="1:24" ht="142.5" customHeight="1" x14ac:dyDescent="0.2">
      <c r="A23" s="387"/>
      <c r="B23" s="387"/>
      <c r="C23" s="387"/>
      <c r="D23" s="387"/>
      <c r="E23" s="387"/>
      <c r="F23" s="387"/>
      <c r="G23" s="387"/>
      <c r="H23" s="387"/>
      <c r="I23" s="387"/>
      <c r="J23" s="387"/>
      <c r="K23" s="387"/>
      <c r="L23" s="387"/>
      <c r="M23" s="387"/>
      <c r="N23" s="387"/>
      <c r="P23" s="394" t="e">
        <f>+INDEX('A-A'!$A$1:$D$2286,MATCH('A23 Avant'!Q22,'A-A'!$A:$A,0),MATCH("Description",'A-A'!$A$1:$D$1,0))</f>
        <v>#N/A</v>
      </c>
      <c r="Q23" s="395"/>
      <c r="R23" s="395"/>
      <c r="S23" s="396"/>
      <c r="U23" s="394" t="e">
        <f>+INDEX('A-A'!$A$1:$D$2286,MATCH('A23 Avant'!V22,'A-A'!$A:$A,0),MATCH("Description",'A-A'!$A$1:$D$1,0))</f>
        <v>#N/A</v>
      </c>
      <c r="V23" s="395"/>
      <c r="W23" s="395"/>
      <c r="X23" s="396"/>
    </row>
    <row r="24" spans="1:24" ht="7.5" customHeight="1" x14ac:dyDescent="0.2">
      <c r="A24" s="159"/>
      <c r="B24" s="159"/>
      <c r="C24" s="159"/>
      <c r="D24" s="159"/>
      <c r="E24" s="159"/>
      <c r="F24" s="159"/>
      <c r="G24" s="159"/>
      <c r="H24" s="159"/>
      <c r="I24" s="159"/>
      <c r="J24" s="159"/>
      <c r="K24" s="159"/>
      <c r="L24" s="159"/>
      <c r="M24" s="159"/>
      <c r="N24" s="159"/>
      <c r="P24" s="397"/>
      <c r="Q24" s="398"/>
      <c r="R24" s="398"/>
      <c r="S24" s="399"/>
      <c r="U24" s="397"/>
      <c r="V24" s="398"/>
      <c r="W24" s="398"/>
      <c r="X24" s="399"/>
    </row>
    <row r="25" spans="1:24" ht="22.5" customHeight="1" x14ac:dyDescent="0.4">
      <c r="A25" s="366" t="s">
        <v>76</v>
      </c>
      <c r="B25" s="367"/>
      <c r="C25" s="367"/>
      <c r="D25" s="367"/>
      <c r="E25" s="160"/>
      <c r="F25" s="367" t="s">
        <v>83</v>
      </c>
      <c r="G25" s="367"/>
      <c r="H25" s="367"/>
      <c r="I25" s="367"/>
      <c r="J25" s="367"/>
      <c r="K25" s="367"/>
      <c r="L25" s="367"/>
      <c r="M25" s="367"/>
      <c r="N25" s="367"/>
      <c r="P25" s="397"/>
      <c r="Q25" s="398"/>
      <c r="R25" s="398"/>
      <c r="S25" s="399"/>
      <c r="U25" s="397"/>
      <c r="V25" s="398"/>
      <c r="W25" s="398"/>
      <c r="X25" s="399"/>
    </row>
    <row r="26" spans="1:24" ht="7.5" customHeight="1" x14ac:dyDescent="0.2">
      <c r="A26" s="161"/>
      <c r="B26" s="161"/>
      <c r="C26" s="161"/>
      <c r="D26" s="161"/>
      <c r="E26" s="161"/>
      <c r="F26" s="161"/>
      <c r="G26" s="161"/>
      <c r="H26" s="161"/>
      <c r="I26" s="161"/>
      <c r="J26" s="161"/>
      <c r="K26" s="161"/>
      <c r="L26" s="161"/>
      <c r="M26" s="161"/>
      <c r="N26" s="161"/>
      <c r="P26" s="397"/>
      <c r="Q26" s="398"/>
      <c r="R26" s="398"/>
      <c r="S26" s="399"/>
      <c r="U26" s="397"/>
      <c r="V26" s="398"/>
      <c r="W26" s="398"/>
      <c r="X26" s="399"/>
    </row>
    <row r="27" spans="1:24" ht="37.5" customHeight="1" x14ac:dyDescent="0.2">
      <c r="A27" s="425" t="str">
        <f>"Affliction: "&amp;INDEX(ADV!$A:$AR,MATCH(A3,ADV!$A:$A,0),MATCH("Affliction",ADV!$A$1:$AR$1,0))&amp;CHAR(10)&amp;"Amps: "&amp;INDEX(ADV!$A:$AR,MATCH(A3,ADV!$A:$A,0),MATCH("Amp",ADV!$A$1:$AR$1,0))&amp;CHAR(10)&amp;"Dispel: "&amp;INDEX(ADV!$A:$AR,MATCH(A3,ADV!$A:$A,0),MATCH("Dispel",ADV!$A$1:$AR$1,0))&amp;CHAR(10)&amp;"Extra: "&amp;INDEX(ADV!$A:$AR,MATCH(A3,ADV!$A:$A,0),MATCH("Extra",ADV!$A$1:$AR$1,0))&amp;CHAR(10)&amp;"Notes: "&amp;INDEX(ADV!$A:$AR,MATCH(A3,ADV!$A:$A,0),MATCH("Notes",ADV!$A$1:$AR$1,0))</f>
        <v>Affliction: Updated Frostbite
Amps: Added Critical Damage Amp (Max Lv. = 1) granted by 15-hit combo &amp; Defense Amp (Max Lv. = 1) granted by Hunter's Intuition
Dispel: Added to combo force strike
Extra: N/A
Notes: Laranoa was a great water adventurer prior to Curse of Nihility content, given her ability to grant several buffs at once, and ability to amass critical damage buffs. However, her usability became limited after regular buffs were rendered useless. This revision simplifies how buffs are applied, grants her a critical damage amp, boosts her critical rate, adds dispel, and also a defense amp for good measure.</v>
      </c>
      <c r="B27" s="426"/>
      <c r="C27" s="426"/>
      <c r="D27" s="427"/>
      <c r="E27" s="161"/>
      <c r="F27" s="434">
        <f>+INDEX('A-CA'!$A$1:$C$2906,MATCH('A23 Avant'!I27,'A-CA'!$A:$A,0),MATCH("Icon",'A-CA'!$A$1:$C$1,0))</f>
        <v>1020004</v>
      </c>
      <c r="G27" s="434"/>
      <c r="H27" s="435"/>
      <c r="I27" s="436" t="str">
        <f>+INDEX(ADV!$A:$Z,MATCH(A3,ADV!$A:$A,0),MATCH("Co-Ability",ADV!$A$1:$AR$1,0))</f>
        <v>Skill Haste +15%</v>
      </c>
      <c r="J27" s="437"/>
      <c r="K27" s="437"/>
      <c r="L27" s="437"/>
      <c r="M27" s="437"/>
      <c r="N27" s="438"/>
      <c r="P27" s="397"/>
      <c r="Q27" s="398"/>
      <c r="R27" s="398"/>
      <c r="S27" s="399"/>
      <c r="U27" s="397"/>
      <c r="V27" s="398"/>
      <c r="W27" s="398"/>
      <c r="X27" s="399"/>
    </row>
    <row r="28" spans="1:24" ht="15" customHeight="1" x14ac:dyDescent="0.2">
      <c r="A28" s="428"/>
      <c r="B28" s="429"/>
      <c r="C28" s="429"/>
      <c r="D28" s="430"/>
      <c r="E28" s="162"/>
      <c r="F28" s="394" t="e">
        <f>+INDEX('A-CA'!$A:$C,MATCH('A23 Avant'!I27,'A-CA'!$A:$A,0),MATCH("Description",'A-CA'!$A$1:$C$1,0))</f>
        <v>#N/A</v>
      </c>
      <c r="G28" s="395"/>
      <c r="H28" s="395"/>
      <c r="I28" s="395"/>
      <c r="J28" s="395"/>
      <c r="K28" s="395"/>
      <c r="L28" s="395"/>
      <c r="M28" s="395"/>
      <c r="N28" s="396"/>
      <c r="P28" s="400"/>
      <c r="Q28" s="401"/>
      <c r="R28" s="401"/>
      <c r="S28" s="402"/>
      <c r="U28" s="400"/>
      <c r="V28" s="401"/>
      <c r="W28" s="401"/>
      <c r="X28" s="402"/>
    </row>
    <row r="29" spans="1:24" ht="7.5" customHeight="1" x14ac:dyDescent="0.2">
      <c r="A29" s="428"/>
      <c r="B29" s="429"/>
      <c r="C29" s="429"/>
      <c r="D29" s="430"/>
      <c r="E29" s="162"/>
      <c r="F29" s="397"/>
      <c r="G29" s="398"/>
      <c r="H29" s="398"/>
      <c r="I29" s="398"/>
      <c r="J29" s="398"/>
      <c r="K29" s="398"/>
      <c r="L29" s="398"/>
      <c r="M29" s="398"/>
      <c r="N29" s="399"/>
    </row>
    <row r="30" spans="1:24" ht="37.5" customHeight="1" x14ac:dyDescent="0.2">
      <c r="A30" s="428"/>
      <c r="B30" s="429"/>
      <c r="C30" s="429"/>
      <c r="D30" s="430"/>
      <c r="E30" s="162"/>
      <c r="F30" s="397"/>
      <c r="G30" s="398"/>
      <c r="H30" s="398"/>
      <c r="I30" s="398"/>
      <c r="J30" s="398"/>
      <c r="K30" s="398"/>
      <c r="L30" s="398"/>
      <c r="M30" s="398"/>
      <c r="N30" s="399"/>
      <c r="P30" s="158">
        <f>+INDEX('A-A'!$A$1:$D$2286,MATCH('A23 Avant'!Q30,'A-A'!$A:$A,0),MATCH("Icon",'A-A'!$A$1:$D$1,0))</f>
        <v>1010002</v>
      </c>
      <c r="Q30" s="422" t="str">
        <f>+INDEX(ADV!$A:$Z,MATCH(A3,ADV!$A:$A,0),MATCH("Ability 3",ADV!$A$1:$AR$1,0))</f>
        <v>Skill Damage +35%</v>
      </c>
      <c r="R30" s="423"/>
      <c r="S30" s="424"/>
      <c r="U30" s="158">
        <f>+INDEX('A-A'!$A$1:$D$2286,MATCH('A23 Avant'!V30,'A-A'!$A:$A,0),MATCH("Icon",'A-A'!$A$1:$D$1,0))</f>
        <v>1010002</v>
      </c>
      <c r="V30" s="422" t="str">
        <f>+INDEX(ADV!$A:$Z,MATCH(A3,ADV!$A:$A,0),MATCH("Ability 3 V3",ADV!$A$1:$AR$1,0))</f>
        <v>Skill Damage +40% (V3)</v>
      </c>
      <c r="W30" s="423"/>
      <c r="X30" s="424"/>
    </row>
    <row r="31" spans="1:24" ht="15" customHeight="1" x14ac:dyDescent="0.2">
      <c r="A31" s="428"/>
      <c r="B31" s="429"/>
      <c r="C31" s="429"/>
      <c r="D31" s="430"/>
      <c r="E31" s="162"/>
      <c r="F31" s="400"/>
      <c r="G31" s="401"/>
      <c r="H31" s="401"/>
      <c r="I31" s="401"/>
      <c r="J31" s="401"/>
      <c r="K31" s="401"/>
      <c r="L31" s="401"/>
      <c r="M31" s="401"/>
      <c r="N31" s="402"/>
      <c r="P31" s="394" t="e">
        <f>+INDEX('A-A'!$A$1:$D$2286,MATCH('A23 Avant'!Q30,'A-A'!$A:$A,0),MATCH("Description",'A-A'!$A$1:$D$1,0))</f>
        <v>#N/A</v>
      </c>
      <c r="Q31" s="395"/>
      <c r="R31" s="395"/>
      <c r="S31" s="396"/>
      <c r="U31" s="394" t="e">
        <f>+INDEX('A-A'!$A$1:$D$2286,MATCH('A23 Avant'!V30,'A-A'!$A:$A,0),MATCH("Description",'A-A'!$A$1:$D$1,0))</f>
        <v>#N/A</v>
      </c>
      <c r="V31" s="395"/>
      <c r="W31" s="395"/>
      <c r="X31" s="396"/>
    </row>
    <row r="32" spans="1:24" ht="7.5" customHeight="1" x14ac:dyDescent="0.2">
      <c r="A32" s="428"/>
      <c r="B32" s="429"/>
      <c r="C32" s="429"/>
      <c r="D32" s="430"/>
      <c r="E32" s="162"/>
      <c r="F32" s="162"/>
      <c r="G32" s="162"/>
      <c r="H32" s="162"/>
      <c r="I32" s="162"/>
      <c r="J32" s="162"/>
      <c r="K32" s="162"/>
      <c r="L32" s="162"/>
      <c r="M32" s="162"/>
      <c r="N32" s="163"/>
      <c r="P32" s="397"/>
      <c r="Q32" s="398"/>
      <c r="R32" s="398"/>
      <c r="S32" s="399"/>
      <c r="U32" s="397"/>
      <c r="V32" s="398"/>
      <c r="W32" s="398"/>
      <c r="X32" s="399"/>
    </row>
    <row r="33" spans="1:24" ht="37.5" customHeight="1" x14ac:dyDescent="0.2">
      <c r="A33" s="428"/>
      <c r="B33" s="429"/>
      <c r="C33" s="429"/>
      <c r="D33" s="430"/>
      <c r="E33" s="162"/>
      <c r="F33" s="434">
        <f>+INDEX('A-CA'!$A$1:$C$2906,MATCH('A23 Avant'!I33,'A-CA'!$A:$A,0),MATCH("Icon",'A-CA'!$A$1:$C$1,0))</f>
        <v>1080001</v>
      </c>
      <c r="G33" s="434"/>
      <c r="H33" s="434"/>
      <c r="I33" s="436" t="str">
        <f>+INDEX(ADV!$A:$Z,MATCH(A3,ADV!$A:$A,0),MATCH("Chain Co-Ability",ADV!$A$1:$AR$1,0))</f>
        <v>(Water) Above 10 Hits = Flame Res +10%</v>
      </c>
      <c r="J33" s="437"/>
      <c r="K33" s="437"/>
      <c r="L33" s="437"/>
      <c r="M33" s="437"/>
      <c r="N33" s="438"/>
      <c r="P33" s="397"/>
      <c r="Q33" s="398"/>
      <c r="R33" s="398"/>
      <c r="S33" s="399"/>
      <c r="U33" s="397"/>
      <c r="V33" s="398"/>
      <c r="W33" s="398"/>
      <c r="X33" s="399"/>
    </row>
    <row r="34" spans="1:24" ht="37.5" customHeight="1" x14ac:dyDescent="0.2">
      <c r="A34" s="428"/>
      <c r="B34" s="429"/>
      <c r="C34" s="429"/>
      <c r="D34" s="430"/>
      <c r="E34" s="160"/>
      <c r="F34" s="394" t="e">
        <f>+INDEX('A-CA'!$A:$C,MATCH('A23 Avant'!I33,'A-CA'!$A:$A,0),MATCH("Description",'A-CA'!$A$1:$C$1,0))</f>
        <v>#N/A</v>
      </c>
      <c r="G34" s="395"/>
      <c r="H34" s="395"/>
      <c r="I34" s="395"/>
      <c r="J34" s="395"/>
      <c r="K34" s="395"/>
      <c r="L34" s="395"/>
      <c r="M34" s="395"/>
      <c r="N34" s="396"/>
      <c r="P34" s="397"/>
      <c r="Q34" s="398"/>
      <c r="R34" s="398"/>
      <c r="S34" s="399"/>
      <c r="U34" s="397"/>
      <c r="V34" s="398"/>
      <c r="W34" s="398"/>
      <c r="X34" s="399"/>
    </row>
    <row r="35" spans="1:24" ht="90" customHeight="1" x14ac:dyDescent="0.2">
      <c r="A35" s="428"/>
      <c r="B35" s="429"/>
      <c r="C35" s="429"/>
      <c r="D35" s="430"/>
      <c r="E35" s="160"/>
      <c r="F35" s="400"/>
      <c r="G35" s="401"/>
      <c r="H35" s="401"/>
      <c r="I35" s="401"/>
      <c r="J35" s="401"/>
      <c r="K35" s="401"/>
      <c r="L35" s="401"/>
      <c r="M35" s="401"/>
      <c r="N35" s="402"/>
      <c r="P35" s="397"/>
      <c r="Q35" s="398"/>
      <c r="R35" s="398"/>
      <c r="S35" s="399"/>
      <c r="U35" s="397"/>
      <c r="V35" s="398"/>
      <c r="W35" s="398"/>
      <c r="X35" s="399"/>
    </row>
    <row r="36" spans="1:24" ht="7.5" customHeight="1" x14ac:dyDescent="0.2">
      <c r="A36" s="428"/>
      <c r="B36" s="429"/>
      <c r="C36" s="429"/>
      <c r="D36" s="430"/>
      <c r="E36" s="160"/>
      <c r="P36" s="397"/>
      <c r="Q36" s="398"/>
      <c r="R36" s="398"/>
      <c r="S36" s="399"/>
      <c r="U36" s="397"/>
      <c r="V36" s="398"/>
      <c r="W36" s="398"/>
      <c r="X36" s="399"/>
    </row>
    <row r="37" spans="1:24" ht="22.5" customHeight="1" x14ac:dyDescent="0.2">
      <c r="A37" s="428"/>
      <c r="B37" s="429"/>
      <c r="C37" s="429"/>
      <c r="D37" s="430"/>
      <c r="E37" s="160"/>
      <c r="F37" s="439" t="s">
        <v>84</v>
      </c>
      <c r="G37" s="439"/>
      <c r="H37" s="439"/>
      <c r="I37" s="439"/>
      <c r="J37" s="439"/>
      <c r="K37" s="439"/>
      <c r="L37" s="439"/>
      <c r="M37" s="439"/>
      <c r="N37" s="439"/>
      <c r="P37" s="397"/>
      <c r="Q37" s="398"/>
      <c r="R37" s="398"/>
      <c r="S37" s="399"/>
      <c r="U37" s="397"/>
      <c r="V37" s="398"/>
      <c r="W37" s="398"/>
      <c r="X37" s="399"/>
    </row>
    <row r="38" spans="1:24" ht="7.5" customHeight="1" x14ac:dyDescent="0.2">
      <c r="A38" s="428"/>
      <c r="B38" s="429"/>
      <c r="C38" s="429"/>
      <c r="D38" s="430"/>
      <c r="E38" s="160"/>
      <c r="P38" s="397"/>
      <c r="Q38" s="398"/>
      <c r="R38" s="398"/>
      <c r="S38" s="399"/>
      <c r="U38" s="397"/>
      <c r="V38" s="398"/>
      <c r="W38" s="398"/>
      <c r="X38" s="399"/>
    </row>
    <row r="39" spans="1:24" ht="7.5" customHeight="1" x14ac:dyDescent="0.2">
      <c r="A39" s="428"/>
      <c r="B39" s="429"/>
      <c r="C39" s="429"/>
      <c r="D39" s="430"/>
      <c r="E39" s="164"/>
      <c r="F39" s="434">
        <f>+INDEX('A-CA'!$A$1:$C$2906,MATCH('A23 Avant'!I39,'A-CA'!$A:$A,0),MATCH("Icon",'A-CA'!$A$1:$C$1,0))</f>
        <v>1020002</v>
      </c>
      <c r="G39" s="434"/>
      <c r="H39" s="434"/>
      <c r="I39" s="440" t="str">
        <f>+INDEX(ADV!$A:$Z,MATCH(A3,ADV!$A:$A,0),MATCH("Chain Co-Ability V3",ADV!$A$1:$AR$1,0))</f>
        <v>Strength +13%</v>
      </c>
      <c r="J39" s="441"/>
      <c r="K39" s="441"/>
      <c r="L39" s="441"/>
      <c r="M39" s="441"/>
      <c r="N39" s="442"/>
      <c r="P39" s="400"/>
      <c r="Q39" s="401"/>
      <c r="R39" s="401"/>
      <c r="S39" s="402"/>
      <c r="U39" s="400"/>
      <c r="V39" s="401"/>
      <c r="W39" s="401"/>
      <c r="X39" s="402"/>
    </row>
    <row r="40" spans="1:24" ht="7.5" customHeight="1" x14ac:dyDescent="0.2">
      <c r="A40" s="428"/>
      <c r="B40" s="429"/>
      <c r="C40" s="429"/>
      <c r="D40" s="430"/>
      <c r="F40" s="434"/>
      <c r="G40" s="434"/>
      <c r="H40" s="434"/>
      <c r="I40" s="443"/>
      <c r="J40" s="444"/>
      <c r="K40" s="444"/>
      <c r="L40" s="444"/>
      <c r="M40" s="444"/>
      <c r="N40" s="445"/>
    </row>
    <row r="41" spans="1:24" ht="22.5" customHeight="1" x14ac:dyDescent="0.2">
      <c r="A41" s="428"/>
      <c r="B41" s="429"/>
      <c r="C41" s="429"/>
      <c r="D41" s="430"/>
      <c r="F41" s="434"/>
      <c r="G41" s="434"/>
      <c r="H41" s="434"/>
      <c r="I41" s="446"/>
      <c r="J41" s="447"/>
      <c r="K41" s="447"/>
      <c r="L41" s="447"/>
      <c r="M41" s="447"/>
      <c r="N41" s="448"/>
      <c r="P41" s="449">
        <f>+INDEX('A-A'!$A$1:$D$2286,MATCH('A23 Avant'!Q41,'A-A'!$A:$A,0),MATCH("Icon",'A-A'!$A$1:$D$1,0))</f>
        <v>1030026</v>
      </c>
      <c r="Q41" s="450" t="str">
        <f>+INDEX(ADV!$A:$Z,MATCH(A3,ADV!$A:$A,0),MATCH("Ability 2",ADV!$A$1:$AR$1,0))</f>
        <v>Potent Stun Res +100%</v>
      </c>
      <c r="R41" s="451"/>
      <c r="S41" s="452"/>
      <c r="U41" s="449">
        <f>+INDEX('A-A'!$A$1:$D$2286,MATCH('A23 Avant'!V41,'A-A'!$A:$A,0),MATCH("Icon",'A-A'!$A$1:$D$1,0))</f>
        <v>1030026</v>
      </c>
      <c r="V41" s="450" t="str">
        <f>+INDEX(ADV!$A:$Z,MATCH(A3,ADV!$A:$A,0),MATCH("Ability 2 V3",ADV!$A$1:$AR$1,0))</f>
        <v>Potent Stun Res +100%</v>
      </c>
      <c r="W41" s="451"/>
      <c r="X41" s="452"/>
    </row>
    <row r="42" spans="1:24" ht="15" customHeight="1" x14ac:dyDescent="0.2">
      <c r="A42" s="428"/>
      <c r="B42" s="429"/>
      <c r="C42" s="429"/>
      <c r="D42" s="430"/>
      <c r="F42" s="394" t="e">
        <f>+INDEX('A-CA'!$A:$C,MATCH('A23 Avant'!I39,'A-CA'!$A:$A,0),MATCH("Description",'A-CA'!$A$1:$C$1,0))</f>
        <v>#N/A</v>
      </c>
      <c r="G42" s="395"/>
      <c r="H42" s="395"/>
      <c r="I42" s="395"/>
      <c r="J42" s="395"/>
      <c r="K42" s="395"/>
      <c r="L42" s="395"/>
      <c r="M42" s="395"/>
      <c r="N42" s="396"/>
      <c r="P42" s="449"/>
      <c r="Q42" s="453"/>
      <c r="R42" s="454"/>
      <c r="S42" s="455"/>
      <c r="U42" s="449"/>
      <c r="V42" s="453"/>
      <c r="W42" s="454"/>
      <c r="X42" s="455"/>
    </row>
    <row r="43" spans="1:24" ht="112.5" customHeight="1" x14ac:dyDescent="0.2">
      <c r="A43" s="431"/>
      <c r="B43" s="432"/>
      <c r="C43" s="432"/>
      <c r="D43" s="433"/>
      <c r="F43" s="400"/>
      <c r="G43" s="401"/>
      <c r="H43" s="401"/>
      <c r="I43" s="401"/>
      <c r="J43" s="401"/>
      <c r="K43" s="401"/>
      <c r="L43" s="401"/>
      <c r="M43" s="401"/>
      <c r="N43" s="402"/>
      <c r="P43" s="384" t="e">
        <f>+INDEX('A-A'!$A$1:$D$2286,MATCH('A23 Avant'!Q41,'A-A'!$A:$A,0),MATCH("Description",'A-A'!$A$1:$D$1,0))</f>
        <v>#N/A</v>
      </c>
      <c r="Q43" s="385"/>
      <c r="R43" s="385"/>
      <c r="S43" s="386"/>
      <c r="U43" s="384" t="e">
        <f>+INDEX('A-A'!$A$1:$D$2286,MATCH('A23 Avant'!V41,'A-A'!$A:$A,0),MATCH("Description",'A-A'!$A$1:$D$1,0))</f>
        <v>#N/A</v>
      </c>
      <c r="V43" s="385"/>
      <c r="W43" s="385"/>
      <c r="X43" s="386"/>
    </row>
  </sheetData>
  <mergeCells count="62">
    <mergeCell ref="U43:X43"/>
    <mergeCell ref="Q30:S30"/>
    <mergeCell ref="V30:X30"/>
    <mergeCell ref="P31:S39"/>
    <mergeCell ref="U31:X39"/>
    <mergeCell ref="P41:P42"/>
    <mergeCell ref="Q41:S42"/>
    <mergeCell ref="U41:U42"/>
    <mergeCell ref="V41:X42"/>
    <mergeCell ref="F42:N43"/>
    <mergeCell ref="P43:S43"/>
    <mergeCell ref="A25:D25"/>
    <mergeCell ref="F25:N25"/>
    <mergeCell ref="A27:D43"/>
    <mergeCell ref="F27:H27"/>
    <mergeCell ref="I27:N27"/>
    <mergeCell ref="F28:N31"/>
    <mergeCell ref="F33:H33"/>
    <mergeCell ref="I33:N33"/>
    <mergeCell ref="F34:N35"/>
    <mergeCell ref="F37:N37"/>
    <mergeCell ref="F39:H41"/>
    <mergeCell ref="I39:N41"/>
    <mergeCell ref="P20:S20"/>
    <mergeCell ref="U20:X20"/>
    <mergeCell ref="Q22:S22"/>
    <mergeCell ref="V22:X22"/>
    <mergeCell ref="P23:S28"/>
    <mergeCell ref="U23:X28"/>
    <mergeCell ref="Q16:Q17"/>
    <mergeCell ref="R16:R17"/>
    <mergeCell ref="U16:U17"/>
    <mergeCell ref="V16:V17"/>
    <mergeCell ref="W16:W17"/>
    <mergeCell ref="P18:S18"/>
    <mergeCell ref="U18:X18"/>
    <mergeCell ref="A5:B12"/>
    <mergeCell ref="D5:J6"/>
    <mergeCell ref="P6:S14"/>
    <mergeCell ref="U6:X14"/>
    <mergeCell ref="D7:G7"/>
    <mergeCell ref="H7:I7"/>
    <mergeCell ref="D8:J8"/>
    <mergeCell ref="D9:J13"/>
    <mergeCell ref="A14:N23"/>
    <mergeCell ref="P16:P17"/>
    <mergeCell ref="R3:R5"/>
    <mergeCell ref="U3:U5"/>
    <mergeCell ref="V3:V5"/>
    <mergeCell ref="W3:W5"/>
    <mergeCell ref="S4:S5"/>
    <mergeCell ref="X4:X5"/>
    <mergeCell ref="A1:B1"/>
    <mergeCell ref="D1:J1"/>
    <mergeCell ref="L1:N1"/>
    <mergeCell ref="P1:S1"/>
    <mergeCell ref="U1:X1"/>
    <mergeCell ref="L2:N13"/>
    <mergeCell ref="A3:B3"/>
    <mergeCell ref="D3:J3"/>
    <mergeCell ref="P3:P5"/>
    <mergeCell ref="Q3:Q5"/>
  </mergeCells>
  <conditionalFormatting sqref="D7">
    <cfRule type="cellIs" dxfId="11" priority="1" operator="equal">
      <formula>"Healing Unit"</formula>
    </cfRule>
    <cfRule type="cellIs" dxfId="10" priority="2" operator="equal">
      <formula>"Support Unit"</formula>
    </cfRule>
    <cfRule type="cellIs" dxfId="9" priority="3" operator="equal">
      <formula>"Defense Unit"</formula>
    </cfRule>
    <cfRule type="cellIs" dxfId="8" priority="4" operator="equal">
      <formula>"Attack Unit"</formula>
    </cfRule>
  </conditionalFormatting>
  <printOptions horizontalCentered="1" verticalCentered="1"/>
  <pageMargins left="0" right="0" top="0" bottom="0" header="0" footer="0"/>
  <pageSetup scale="47" fitToWidth="0" orientation="landscape"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1030CB-A146-4803-9A05-AE557B4A5A83}">
  <dimension ref="A1:X43"/>
  <sheetViews>
    <sheetView zoomScale="70" zoomScaleNormal="70" workbookViewId="0">
      <selection activeCell="P23" sqref="P23:S28"/>
    </sheetView>
  </sheetViews>
  <sheetFormatPr defaultRowHeight="18.75" x14ac:dyDescent="0.2"/>
  <cols>
    <col min="1" max="1" width="6.25" style="8" customWidth="1"/>
    <col min="2" max="2" width="13.75" style="8" customWidth="1"/>
    <col min="3" max="3" width="1.25" style="8" customWidth="1"/>
    <col min="4" max="4" width="26.25" style="8" customWidth="1"/>
    <col min="5" max="5" width="1.25" style="8" customWidth="1"/>
    <col min="6" max="6" width="2.5" style="8" customWidth="1"/>
    <col min="7" max="7" width="1.25" style="8" customWidth="1"/>
    <col min="8" max="8" width="2.625" style="8" customWidth="1"/>
    <col min="9" max="9" width="1.25" style="8" customWidth="1"/>
    <col min="10" max="10" width="3.75" style="8" customWidth="1"/>
    <col min="11" max="11" width="1.25" style="8" customWidth="1"/>
    <col min="12" max="12" width="27.375" style="8" customWidth="1"/>
    <col min="13" max="14" width="3.75" style="8" customWidth="1"/>
    <col min="15" max="15" width="1.25" style="8" customWidth="1"/>
    <col min="16" max="16" width="6.25" style="8" customWidth="1"/>
    <col min="17" max="17" width="55" style="8" customWidth="1"/>
    <col min="18" max="18" width="11.25" style="8" customWidth="1"/>
    <col min="19" max="19" width="10" style="8" customWidth="1"/>
    <col min="20" max="20" width="1.25" style="8" customWidth="1"/>
    <col min="21" max="21" width="6.25" style="8" customWidth="1"/>
    <col min="22" max="22" width="55" style="8" customWidth="1"/>
    <col min="23" max="23" width="11.25" style="8" customWidth="1"/>
    <col min="24" max="24" width="10" style="8" customWidth="1"/>
    <col min="25" max="16384" width="9" style="8"/>
  </cols>
  <sheetData>
    <row r="1" spans="1:24" ht="22.5" customHeight="1" x14ac:dyDescent="0.35">
      <c r="A1" s="467" t="s">
        <v>4543</v>
      </c>
      <c r="B1" s="468"/>
      <c r="D1" s="469" t="str">
        <f>+INDEX(ADV!$A:$Z,MATCH(A3,ADV!$A:$A,0),MATCH("Name",ADV!$A$1:$AR$1,0))</f>
        <v>Gala Chelle</v>
      </c>
      <c r="E1" s="470"/>
      <c r="F1" s="470"/>
      <c r="G1" s="470"/>
      <c r="H1" s="470"/>
      <c r="I1" s="470"/>
      <c r="J1" s="471"/>
      <c r="L1" s="499" t="s">
        <v>80</v>
      </c>
      <c r="M1" s="500"/>
      <c r="N1" s="501"/>
      <c r="P1" s="456" t="s">
        <v>72</v>
      </c>
      <c r="Q1" s="457"/>
      <c r="R1" s="457"/>
      <c r="S1" s="457"/>
      <c r="U1" s="456" t="s">
        <v>73</v>
      </c>
      <c r="V1" s="457"/>
      <c r="W1" s="457"/>
      <c r="X1" s="457"/>
    </row>
    <row r="2" spans="1:24" ht="7.5" customHeight="1" x14ac:dyDescent="0.2">
      <c r="A2" s="345"/>
      <c r="B2" s="9"/>
      <c r="C2" s="9"/>
      <c r="D2" s="10"/>
      <c r="E2" s="10"/>
      <c r="F2" s="10"/>
      <c r="G2" s="10"/>
      <c r="H2" s="10"/>
      <c r="I2" s="10"/>
      <c r="J2" s="10"/>
      <c r="L2" s="458" t="str">
        <f>+INDEX(ADV!$A:$Z,MATCH(A3,ADV!$A:$A,0),MATCH("Description",ADV!$A$1:$AR$1,0))</f>
        <v>The third scion of Alberia has set her sights on an even bigger stage—the world! As a shrewd diplomat, she has many cards to play when negotiating with other nations, including the manacaster development that she leads.</v>
      </c>
      <c r="M2" s="459"/>
      <c r="N2" s="460"/>
      <c r="P2" s="11"/>
      <c r="Q2" s="12"/>
      <c r="R2" s="11"/>
      <c r="S2" s="13"/>
      <c r="U2" s="11"/>
      <c r="V2" s="12"/>
      <c r="W2" s="11"/>
      <c r="X2" s="13"/>
    </row>
    <row r="3" spans="1:24" ht="22.5" customHeight="1" x14ac:dyDescent="0.35">
      <c r="A3" s="467" t="str">
        <f>+INDEX(ADV!$A:$Z,MATCH(A1,ADV!$B:$B,0),MATCH("ID",ADV!$A$1:$AR$1,0))</f>
        <v>100015_05</v>
      </c>
      <c r="B3" s="468"/>
      <c r="C3" s="14"/>
      <c r="D3" s="469" t="str">
        <f>+INDEX(ADV!$A:$Z,MATCH(A3,ADV!$A:$A,0),MATCH("Title",ADV!$A$1:$AR$1,0))</f>
        <v>Passionate Princess</v>
      </c>
      <c r="E3" s="470"/>
      <c r="F3" s="470"/>
      <c r="G3" s="470"/>
      <c r="H3" s="470"/>
      <c r="I3" s="470"/>
      <c r="J3" s="471"/>
      <c r="L3" s="461"/>
      <c r="M3" s="462"/>
      <c r="N3" s="463"/>
      <c r="P3" s="472" t="e" vm="1">
        <f>_xlfn.IMAGE("https://natalie.tf/wp-content/uploads/2023/10/DLV3_Icon_Skill_"&amp;INDEX('A-S'!$A:$N,MATCH('A-PrintURL'!Q3,'A-S'!$G:$G,0),MATCH("Icon",'A-S'!$1:$1,0))&amp;".png")</f>
        <v>#VALUE!</v>
      </c>
      <c r="Q3" s="473" t="str">
        <f>+INDEX(ADV!$A:$Z,MATCH(A3,ADV!$A:$A,0),MATCH("Skill 1",ADV!$A$1:$AR$1,0))</f>
        <v>Splendido Dominio</v>
      </c>
      <c r="R3" s="494" t="str">
        <f>+IF(INDEX('A-S'!$A$1:$N$701,MATCH('A-PrintURL'!Q3,'A-S'!$G$1:$G$701,0),MATCH("Shareable",'A-S'!$1:$1,0))="Y","Share Cost: "&amp;INDEX('A-S'!$A$1:$N$701,MATCH('A-PrintURL'!Q3,'A-S'!$G$1:$G$701,0),MATCH("Share Cost",'A-S'!$1:$1,0)),"Not Shareable")</f>
        <v>Share Cost: 5</v>
      </c>
      <c r="S3" s="16">
        <f>+INDEX('A-S'!$A:$N,MATCH('A-PrintURL'!Q3,'A-S'!$G:$G,0),MATCH("SP Cost",'A-S'!$1:$1,0))</f>
        <v>5670</v>
      </c>
      <c r="U3" s="472" t="e" vm="1">
        <f>_xlfn.IMAGE("https://natalie.tf/wp-content/uploads/2023/10/DLV3_Icon_Skill_"&amp;INDEX('A-S'!$A:$N,MATCH('A-PrintURL'!V3,'A-S'!$G:$G,0),MATCH("Icon",'A-S'!$1:$1,0))&amp;".png")</f>
        <v>#VALUE!</v>
      </c>
      <c r="V3" s="473" t="str">
        <f>Q3</f>
        <v>Splendido Dominio</v>
      </c>
      <c r="W3" s="494" t="str">
        <f>+IF(INDEX('A-S'!$A$1:$N$701,MATCH('A-PrintURL'!V3,'A-S'!$G$1:$G$701,0),MATCH("Shareable",'A-S'!$1:$1,0))="Y","Share Cost: "&amp;INDEX('A-S'!$A$1:$N$701,MATCH('A-PrintURL'!V3,'A-S'!$G$1:$G$701,0),MATCH("Share Cost",'A-S'!$1:$1,0)),"Not Shareable")</f>
        <v>Share Cost: 5</v>
      </c>
      <c r="X3" s="16">
        <f>+INDEX('A-S'!$A:$N,MATCH('A-PrintURL'!V3,'A-S'!$G:$G,0),MATCH("SP Cost",'A-S'!$1:$1,0))</f>
        <v>5670</v>
      </c>
    </row>
    <row r="4" spans="1:24" ht="7.5" customHeight="1" x14ac:dyDescent="0.2">
      <c r="A4" s="37"/>
      <c r="B4" s="37"/>
      <c r="C4" s="9"/>
      <c r="D4" s="38"/>
      <c r="E4" s="39"/>
      <c r="F4" s="39"/>
      <c r="G4" s="39"/>
      <c r="H4" s="39"/>
      <c r="I4" s="39"/>
      <c r="J4" s="40"/>
      <c r="L4" s="461"/>
      <c r="M4" s="462"/>
      <c r="N4" s="463"/>
      <c r="P4" s="472"/>
      <c r="Q4" s="474"/>
      <c r="R4" s="495"/>
      <c r="S4" s="497">
        <f>+INDEX('A-S'!$A:$N,MATCH('A-PrintURL'!Q3,'A-S'!$G:$G,0),MATCH("Share SP",'A-S'!$1:$1,0))</f>
        <v>9072</v>
      </c>
      <c r="U4" s="472"/>
      <c r="V4" s="474"/>
      <c r="W4" s="495"/>
      <c r="X4" s="497">
        <f>+INDEX('A-S'!$A:$N,MATCH('A-PrintURL'!V3,'A-S'!$G:$G,0),MATCH("Share SP",'A-S'!$1:$1,0))</f>
        <v>9072</v>
      </c>
    </row>
    <row r="5" spans="1:24" ht="7.5" customHeight="1" x14ac:dyDescent="0.2">
      <c r="A5" s="478" t="e" vm="2">
        <f>+_xlfn.IMAGE("https://natalie.tf/wp-content/uploads/2023/10/DLV3_Icon_ADV_"&amp;A3&amp;"_r05.png")</f>
        <v>#VALUE!</v>
      </c>
      <c r="B5" s="478"/>
      <c r="C5" s="9"/>
      <c r="D5" s="479" t="str">
        <f>INDEX(ADV!$A:$Z,MATCH(A3,ADV!$A:$A,0),MATCH("Element",ADV!$A$1:$AR$1,0))&amp;" "&amp;INDEX(ADV!$A:$Z,MATCH(A3,ADV!$A:$A,0),MATCH("Weapon",ADV!$A$1:$AR$1,0))</f>
        <v>Shadow Manacaster</v>
      </c>
      <c r="E5" s="480"/>
      <c r="F5" s="480"/>
      <c r="G5" s="480"/>
      <c r="H5" s="480"/>
      <c r="I5" s="480"/>
      <c r="J5" s="481"/>
      <c r="L5" s="461"/>
      <c r="M5" s="462"/>
      <c r="N5" s="463"/>
      <c r="P5" s="472"/>
      <c r="Q5" s="475"/>
      <c r="R5" s="496"/>
      <c r="S5" s="498"/>
      <c r="U5" s="472"/>
      <c r="V5" s="475"/>
      <c r="W5" s="496"/>
      <c r="X5" s="498"/>
    </row>
    <row r="6" spans="1:24" ht="15" customHeight="1" x14ac:dyDescent="0.2">
      <c r="A6" s="478"/>
      <c r="B6" s="478"/>
      <c r="C6" s="17"/>
      <c r="D6" s="482"/>
      <c r="E6" s="483"/>
      <c r="F6" s="483"/>
      <c r="G6" s="483"/>
      <c r="H6" s="483"/>
      <c r="I6" s="483"/>
      <c r="J6" s="484"/>
      <c r="L6" s="461"/>
      <c r="M6" s="462"/>
      <c r="N6" s="463"/>
      <c r="P6" s="485" t="str">
        <f>+INDEX('A-S'!$A:$N,MATCH('A-PrintURL'!Q3,'A-S'!$G:$G,0),MATCH("Description",'A-S'!$1:$1,0))</f>
        <v>Deals 11 hits of 80% and 1 hit of 1175% shadow damage to enemies directly ahead, inflicts shadowblight - dealing 50% shadow damage every 2.9 seconds for 21 seconds - with 120% chance, and fires extra shots equal to the number of buffs the user has with 25% shadow damage each, for a maximum of 15 additional shots.</v>
      </c>
      <c r="Q6" s="486"/>
      <c r="R6" s="486"/>
      <c r="S6" s="487"/>
      <c r="U6" s="485" t="str">
        <f>+INDEX('A-S'!$A:$N,MATCH('A-PrintURL'!V3,'A-S'!$G:$G,0),MATCH("Description V3",'A-S'!$1:$1,0))</f>
        <v>Deals 11 hits of 100% and 1 hit of 1200% shadow damage to enemies directly ahead, inflicts shadowblight - dealing 50% shadow damage every 2.9 seconds for 21 seconds - with 120% chance, and fires extra shots equal to the number of buffs and amps the user has with 25% shadow damage each, for a maximum of 15 additional shots.</v>
      </c>
      <c r="V6" s="486"/>
      <c r="W6" s="486"/>
      <c r="X6" s="487"/>
    </row>
    <row r="7" spans="1:24" ht="22.5" customHeight="1" x14ac:dyDescent="0.35">
      <c r="A7" s="478"/>
      <c r="B7" s="478"/>
      <c r="C7" s="17"/>
      <c r="D7" s="504" t="str">
        <f>INDEX(ADV!$A:$Z,MATCH(A3,ADV!$A:$A,0),MATCH("Class",ADV!$A$1:$AR$1,0))&amp;" Unit"</f>
        <v>Attack Unit</v>
      </c>
      <c r="E7" s="505"/>
      <c r="F7" s="505"/>
      <c r="G7" s="506"/>
      <c r="H7" s="476" t="s">
        <v>81</v>
      </c>
      <c r="I7" s="477"/>
      <c r="J7" s="232">
        <v>10</v>
      </c>
      <c r="L7" s="461"/>
      <c r="M7" s="462"/>
      <c r="N7" s="463"/>
      <c r="P7" s="488"/>
      <c r="Q7" s="489"/>
      <c r="R7" s="489"/>
      <c r="S7" s="490"/>
      <c r="U7" s="488"/>
      <c r="V7" s="489"/>
      <c r="W7" s="489"/>
      <c r="X7" s="490"/>
    </row>
    <row r="8" spans="1:24" ht="22.5" customHeight="1" x14ac:dyDescent="0.35">
      <c r="A8" s="478"/>
      <c r="B8" s="478"/>
      <c r="C8" s="17"/>
      <c r="D8" s="499" t="s">
        <v>82</v>
      </c>
      <c r="E8" s="500"/>
      <c r="F8" s="500"/>
      <c r="G8" s="500"/>
      <c r="H8" s="500"/>
      <c r="I8" s="500"/>
      <c r="J8" s="501"/>
      <c r="L8" s="461"/>
      <c r="M8" s="462"/>
      <c r="N8" s="463"/>
      <c r="P8" s="488"/>
      <c r="Q8" s="489"/>
      <c r="R8" s="489"/>
      <c r="S8" s="490"/>
      <c r="U8" s="488"/>
      <c r="V8" s="489"/>
      <c r="W8" s="489"/>
      <c r="X8" s="490"/>
    </row>
    <row r="9" spans="1:24" ht="22.5" customHeight="1" x14ac:dyDescent="0.2">
      <c r="A9" s="478"/>
      <c r="B9" s="478"/>
      <c r="C9" s="17"/>
      <c r="D9" s="507" t="str">
        <f>+INDEX(ADV!$A:$Z,MATCH(A3,ADV!$A:$A,0),MATCH("Unlock",ADV!$A$1:$AR$1,0))</f>
        <v>Clear Ch. 17 5-4 of the Main Campaign
(Normal)</v>
      </c>
      <c r="E9" s="508"/>
      <c r="F9" s="508"/>
      <c r="G9" s="508"/>
      <c r="H9" s="508"/>
      <c r="I9" s="508"/>
      <c r="J9" s="509"/>
      <c r="L9" s="461"/>
      <c r="M9" s="462"/>
      <c r="N9" s="463"/>
      <c r="P9" s="488"/>
      <c r="Q9" s="489"/>
      <c r="R9" s="489"/>
      <c r="S9" s="490"/>
      <c r="U9" s="488"/>
      <c r="V9" s="489"/>
      <c r="W9" s="489"/>
      <c r="X9" s="490"/>
    </row>
    <row r="10" spans="1:24" ht="7.5" customHeight="1" x14ac:dyDescent="0.2">
      <c r="A10" s="478"/>
      <c r="B10" s="478"/>
      <c r="C10" s="17"/>
      <c r="D10" s="510"/>
      <c r="E10" s="511"/>
      <c r="F10" s="511"/>
      <c r="G10" s="511"/>
      <c r="H10" s="511"/>
      <c r="I10" s="511"/>
      <c r="J10" s="512"/>
      <c r="L10" s="461"/>
      <c r="M10" s="462"/>
      <c r="N10" s="463"/>
      <c r="P10" s="488"/>
      <c r="Q10" s="489"/>
      <c r="R10" s="489"/>
      <c r="S10" s="490"/>
      <c r="U10" s="488"/>
      <c r="V10" s="489"/>
      <c r="W10" s="489"/>
      <c r="X10" s="490"/>
    </row>
    <row r="11" spans="1:24" ht="15" customHeight="1" x14ac:dyDescent="0.2">
      <c r="A11" s="478"/>
      <c r="B11" s="478"/>
      <c r="C11" s="17"/>
      <c r="D11" s="510"/>
      <c r="E11" s="511"/>
      <c r="F11" s="511"/>
      <c r="G11" s="511"/>
      <c r="H11" s="511"/>
      <c r="I11" s="511"/>
      <c r="J11" s="512"/>
      <c r="L11" s="461"/>
      <c r="M11" s="462"/>
      <c r="N11" s="463"/>
      <c r="P11" s="488"/>
      <c r="Q11" s="489"/>
      <c r="R11" s="489"/>
      <c r="S11" s="490"/>
      <c r="U11" s="488"/>
      <c r="V11" s="489"/>
      <c r="W11" s="489"/>
      <c r="X11" s="490"/>
    </row>
    <row r="12" spans="1:24" ht="7.5" customHeight="1" x14ac:dyDescent="0.2">
      <c r="A12" s="478"/>
      <c r="B12" s="478"/>
      <c r="C12" s="17"/>
      <c r="D12" s="510"/>
      <c r="E12" s="511"/>
      <c r="F12" s="511"/>
      <c r="G12" s="511"/>
      <c r="H12" s="511"/>
      <c r="I12" s="511"/>
      <c r="J12" s="512"/>
      <c r="L12" s="461"/>
      <c r="M12" s="462"/>
      <c r="N12" s="463"/>
      <c r="P12" s="488"/>
      <c r="Q12" s="489"/>
      <c r="R12" s="489"/>
      <c r="S12" s="490"/>
      <c r="U12" s="488"/>
      <c r="V12" s="489"/>
      <c r="W12" s="489"/>
      <c r="X12" s="490"/>
    </row>
    <row r="13" spans="1:24" ht="7.5" customHeight="1" x14ac:dyDescent="0.2">
      <c r="A13" s="36"/>
      <c r="B13" s="36"/>
      <c r="C13" s="18"/>
      <c r="D13" s="513"/>
      <c r="E13" s="514"/>
      <c r="F13" s="514"/>
      <c r="G13" s="514"/>
      <c r="H13" s="514"/>
      <c r="I13" s="514"/>
      <c r="J13" s="515"/>
      <c r="L13" s="464"/>
      <c r="M13" s="465"/>
      <c r="N13" s="466"/>
      <c r="P13" s="488"/>
      <c r="Q13" s="489"/>
      <c r="R13" s="489"/>
      <c r="S13" s="490"/>
      <c r="U13" s="488"/>
      <c r="V13" s="489"/>
      <c r="W13" s="489"/>
      <c r="X13" s="490"/>
    </row>
    <row r="14" spans="1:24" ht="105" customHeight="1" x14ac:dyDescent="0.2">
      <c r="A14" s="478" t="e" vm="3">
        <f>+_xlfn.IMAGE("https://natalie.tf/wp-content/uploads/2023/10/DLV3_Portrait_ADV_"&amp;A3&amp;"_r05.png")</f>
        <v>#VALUE!</v>
      </c>
      <c r="B14" s="478"/>
      <c r="C14" s="478"/>
      <c r="D14" s="478"/>
      <c r="E14" s="478"/>
      <c r="F14" s="478"/>
      <c r="G14" s="478"/>
      <c r="H14" s="478"/>
      <c r="I14" s="478"/>
      <c r="J14" s="478"/>
      <c r="K14" s="478"/>
      <c r="L14" s="478"/>
      <c r="M14" s="478"/>
      <c r="N14" s="478"/>
      <c r="P14" s="491"/>
      <c r="Q14" s="492"/>
      <c r="R14" s="492"/>
      <c r="S14" s="493"/>
      <c r="U14" s="491"/>
      <c r="V14" s="492"/>
      <c r="W14" s="492"/>
      <c r="X14" s="493"/>
    </row>
    <row r="15" spans="1:24" ht="7.5" customHeight="1" x14ac:dyDescent="0.2">
      <c r="A15" s="478"/>
      <c r="B15" s="478"/>
      <c r="C15" s="478"/>
      <c r="D15" s="478"/>
      <c r="E15" s="478"/>
      <c r="F15" s="478"/>
      <c r="G15" s="478"/>
      <c r="H15" s="478"/>
      <c r="I15" s="478"/>
      <c r="J15" s="478"/>
      <c r="K15" s="478"/>
      <c r="L15" s="478"/>
      <c r="M15" s="478"/>
      <c r="N15" s="478"/>
    </row>
    <row r="16" spans="1:24" ht="22.5" customHeight="1" x14ac:dyDescent="0.2">
      <c r="A16" s="478"/>
      <c r="B16" s="478"/>
      <c r="C16" s="478"/>
      <c r="D16" s="478"/>
      <c r="E16" s="478"/>
      <c r="F16" s="478"/>
      <c r="G16" s="478"/>
      <c r="H16" s="478"/>
      <c r="I16" s="478"/>
      <c r="J16" s="478"/>
      <c r="K16" s="478"/>
      <c r="L16" s="478"/>
      <c r="M16" s="478"/>
      <c r="N16" s="478"/>
      <c r="O16" s="9"/>
      <c r="P16" s="472" t="e" vm="4">
        <f>_xlfn.IMAGE("https://natalie.tf/wp-content/uploads/2023/10/DLV3_Icon_Skill_"&amp;INDEX('A-S'!$A:$N,MATCH('A-PrintURL'!Q16,'A-S'!$G:$G,0),MATCH("Icon",'A-S'!$1:$1,0))&amp;".png")</f>
        <v>#VALUE!</v>
      </c>
      <c r="Q16" s="502" t="str">
        <f>+INDEX(ADV!$A:$Z,MATCH(A3,ADV!$A:$A,0),MATCH("Skill 2",ADV!$A$1:$AR$1,0))</f>
        <v>Burlone Gatto</v>
      </c>
      <c r="R16" s="494" t="str">
        <f>+IF(INDEX('A-S'!$A$1:$N$701,MATCH('A-PrintURL'!Q16,'A-S'!$G$1:$G$701,0),MATCH("Shareable",'A-S'!$1:$1,0))="Y","Share Cost "&amp;INDEX('A-S'!$A$1:$N$701,MATCH('A-PrintURL'!Q16,'A-S'!$G$1:$G$701,0),MATCH("Share Cost",'A-S'!$1:$1,0)),"Not Shareable")</f>
        <v>Not Shareable</v>
      </c>
      <c r="S16" s="16">
        <f>+INDEX('A-S'!$A:$N,MATCH('A-PrintURL'!Q16,'A-S'!$G:$G,0),MATCH("SP Cost",'A-S'!$1:$1,0))</f>
        <v>15120</v>
      </c>
      <c r="T16" s="9"/>
      <c r="U16" s="472" t="e" vm="4">
        <f>_xlfn.IMAGE("https://natalie.tf/wp-content/uploads/2023/10/DLV3_Icon_Skill_"&amp;INDEX('A-S'!$A:$N,MATCH('A-PrintURL'!V16,'A-S'!$G:$G,0),MATCH("Icon",'A-S'!$1:$1,0))&amp;".png")</f>
        <v>#VALUE!</v>
      </c>
      <c r="V16" s="502" t="str">
        <f>+Q16</f>
        <v>Burlone Gatto</v>
      </c>
      <c r="W16" s="494" t="str">
        <f>+IF(INDEX('A-S'!$A$1:$N$701,MATCH('A-PrintURL'!V16,'A-S'!$G$1:$G$701,0),MATCH("Shareable",'A-S'!$1:$1,0))="Y","Share Cost "&amp;INDEX('A-S'!$A$1:$N$701,MATCH('A-PrintURL'!V16,'A-S'!$G$1:$G$701,0),MATCH("Share Cost",'A-S'!$1:$1,0)),"Not Shareable")</f>
        <v>Not Shareable</v>
      </c>
      <c r="X16" s="16">
        <f>+INDEX('A-S'!$A:$N,MATCH('A-PrintURL'!V16,'A-S'!$G:$G,0),MATCH("SP Cost",'A-S'!$1:$1,0))</f>
        <v>15120</v>
      </c>
    </row>
    <row r="17" spans="1:24" ht="15" customHeight="1" x14ac:dyDescent="0.2">
      <c r="A17" s="478"/>
      <c r="B17" s="478"/>
      <c r="C17" s="478"/>
      <c r="D17" s="478"/>
      <c r="E17" s="478"/>
      <c r="F17" s="478"/>
      <c r="G17" s="478"/>
      <c r="H17" s="478"/>
      <c r="I17" s="478"/>
      <c r="J17" s="478"/>
      <c r="K17" s="478"/>
      <c r="L17" s="478"/>
      <c r="M17" s="478"/>
      <c r="N17" s="478"/>
      <c r="P17" s="472"/>
      <c r="Q17" s="503"/>
      <c r="R17" s="496"/>
      <c r="S17" s="16" t="str">
        <f>+INDEX('A-S'!$A:$N,MATCH('A-PrintURL'!Q16,'A-S'!$G:$G,0),MATCH("Share SP",'A-S'!$1:$1,0))</f>
        <v>N/A</v>
      </c>
      <c r="U17" s="472"/>
      <c r="V17" s="503"/>
      <c r="W17" s="496"/>
      <c r="X17" s="16" t="str">
        <f>+INDEX('A-S'!$A:$N,MATCH('A-PrintURL'!V16,'A-S'!$G:$G,0),MATCH("Share SP",'A-S'!$1:$1,0))</f>
        <v>N/A</v>
      </c>
    </row>
    <row r="18" spans="1:24" ht="225" customHeight="1" x14ac:dyDescent="0.2">
      <c r="A18" s="478"/>
      <c r="B18" s="478"/>
      <c r="C18" s="478"/>
      <c r="D18" s="478"/>
      <c r="E18" s="478"/>
      <c r="F18" s="478"/>
      <c r="G18" s="478"/>
      <c r="H18" s="478"/>
      <c r="I18" s="478"/>
      <c r="J18" s="478"/>
      <c r="K18" s="478"/>
      <c r="L18" s="478"/>
      <c r="M18" s="478"/>
      <c r="N18" s="478"/>
      <c r="P18" s="516" t="str">
        <f>+INDEX('A-S'!$A:$N,MATCH('A-PrintURL'!Q16,'A-S'!$G:$G,0),MATCH("Description",'A-S'!$1:$1,0))</f>
        <v>For 5 seconds, reduces the strength of the target and nearby enemies by 30%, and reduces the strength of enemies in buff zones by 5%.</v>
      </c>
      <c r="Q18" s="517"/>
      <c r="R18" s="517"/>
      <c r="S18" s="518"/>
      <c r="U18" s="516" t="str">
        <f>+INDEX('A-S'!$A:$N,MATCH('A-PrintURL'!V16,'A-S'!$G:$G,0),MATCH("Description V3",'A-S'!$1:$1,0))</f>
        <v>For 10 seconds, reduces the strength of the target and nearby enemies by 30%, and reduces the strength of enemies in buff zones by 5%. Also, grants the user a team critical damage amp (Team Amp MAX Lv. = 3).</v>
      </c>
      <c r="V18" s="517"/>
      <c r="W18" s="517"/>
      <c r="X18" s="518"/>
    </row>
    <row r="19" spans="1:24" ht="7.5" customHeight="1" x14ac:dyDescent="0.2">
      <c r="A19" s="478"/>
      <c r="B19" s="478"/>
      <c r="C19" s="478"/>
      <c r="D19" s="478"/>
      <c r="E19" s="478"/>
      <c r="F19" s="478"/>
      <c r="G19" s="478"/>
      <c r="H19" s="478"/>
      <c r="I19" s="478"/>
      <c r="J19" s="478"/>
      <c r="K19" s="478"/>
      <c r="L19" s="478"/>
      <c r="M19" s="478"/>
      <c r="N19" s="478"/>
    </row>
    <row r="20" spans="1:24" ht="22.5" customHeight="1" x14ac:dyDescent="0.35">
      <c r="A20" s="478"/>
      <c r="B20" s="478"/>
      <c r="C20" s="478"/>
      <c r="D20" s="478"/>
      <c r="E20" s="478"/>
      <c r="F20" s="478"/>
      <c r="G20" s="478"/>
      <c r="H20" s="478"/>
      <c r="I20" s="478"/>
      <c r="J20" s="478"/>
      <c r="K20" s="478"/>
      <c r="L20" s="478"/>
      <c r="M20" s="478"/>
      <c r="N20" s="478"/>
      <c r="P20" s="456" t="s">
        <v>74</v>
      </c>
      <c r="Q20" s="457"/>
      <c r="R20" s="457"/>
      <c r="S20" s="457"/>
      <c r="U20" s="456" t="s">
        <v>75</v>
      </c>
      <c r="V20" s="457"/>
      <c r="W20" s="457"/>
      <c r="X20" s="457"/>
    </row>
    <row r="21" spans="1:24" ht="7.5" customHeight="1" x14ac:dyDescent="0.2">
      <c r="A21" s="478"/>
      <c r="B21" s="478"/>
      <c r="C21" s="478"/>
      <c r="D21" s="478"/>
      <c r="E21" s="478"/>
      <c r="F21" s="478"/>
      <c r="G21" s="478"/>
      <c r="H21" s="478"/>
      <c r="I21" s="478"/>
      <c r="J21" s="478"/>
      <c r="K21" s="478"/>
      <c r="L21" s="478"/>
      <c r="M21" s="478"/>
      <c r="N21" s="478"/>
    </row>
    <row r="22" spans="1:24" ht="37.5" customHeight="1" x14ac:dyDescent="0.2">
      <c r="A22" s="478"/>
      <c r="B22" s="478"/>
      <c r="C22" s="478"/>
      <c r="D22" s="478"/>
      <c r="E22" s="478"/>
      <c r="F22" s="478"/>
      <c r="G22" s="478"/>
      <c r="H22" s="478"/>
      <c r="I22" s="478"/>
      <c r="J22" s="478"/>
      <c r="K22" s="478"/>
      <c r="L22" s="478"/>
      <c r="M22" s="478"/>
      <c r="N22" s="478"/>
      <c r="P22" s="20" t="e" vm="5">
        <f>_xlfn.IMAGE("https://natalie.tf/wp-content/uploads/2023/10/DLV3_Icon_Ability_"&amp;INDEX('A-A'!$A$1:$D$2286,MATCH('A-PrintURL'!Q22,'A-A'!$A:$A,0),MATCH("Icon",'A-A'!$A$1:$D$1,0))&amp;".png")</f>
        <v>#VALUE!</v>
      </c>
      <c r="Q22" s="519" t="str">
        <f>+INDEX(ADV!$A:$Z,MATCH(A3,ADV!$A:$A,0),MATCH("Ability 1",ADV!$A$1:$AR$1,0))</f>
        <v>Radiant Scion II</v>
      </c>
      <c r="R22" s="520"/>
      <c r="S22" s="521"/>
      <c r="U22" s="20" t="e" vm="5">
        <f>_xlfn.IMAGE("https://natalie.tf/wp-content/uploads/2023/10/DLV3_Icon_Ability_"&amp;INDEX('A-A'!$A$1:$D$2286,MATCH('A-PrintURL'!V22,'A-A'!$A:$A,0),MATCH("Icon",'A-A'!$A$1:$D$1,0))&amp;".png")</f>
        <v>#VALUE!</v>
      </c>
      <c r="V22" s="519" t="str">
        <f>+INDEX(ADV!$A:$Z,MATCH(A3,ADV!$A:$A,0),MATCH("Ability 1 V3",ADV!$A$1:$AR$1,0))</f>
        <v>Radiant Scion (V3)</v>
      </c>
      <c r="W22" s="520"/>
      <c r="X22" s="521"/>
    </row>
    <row r="23" spans="1:24" ht="142.5" customHeight="1" x14ac:dyDescent="0.2">
      <c r="A23" s="478"/>
      <c r="B23" s="478"/>
      <c r="C23" s="478"/>
      <c r="D23" s="478"/>
      <c r="E23" s="478"/>
      <c r="F23" s="478"/>
      <c r="G23" s="478"/>
      <c r="H23" s="478"/>
      <c r="I23" s="478"/>
      <c r="J23" s="478"/>
      <c r="K23" s="478"/>
      <c r="L23" s="478"/>
      <c r="M23" s="478"/>
      <c r="N23" s="478"/>
      <c r="P23" s="485" t="str">
        <f>+INDEX('A-A'!$A$1:$H$2286,MATCH('A-PrintURL'!Q22,'A-A'!$A:$A,0),MATCH("Description",'A-A'!$A$1:$H$1,0))</f>
        <v>When shapeshifting, Chelle will transform into Cat Sìth regardless of what dragon she is equipped with. In addition, using Burlone Gatto will grant her the "Royal Pride" effect for the remainder of the quest. Royal Pride can stack up to 10 times, and each stack reduces damage taken by 1%.</v>
      </c>
      <c r="Q23" s="486"/>
      <c r="R23" s="486"/>
      <c r="S23" s="487"/>
      <c r="U23" s="522" t="str">
        <f>+INDEX('A-A'!$A$1:$H$2286,MATCH('A-PrintURL'!V22,'A-A'!$A:$A,0),MATCH("Description",'A-A'!$A$1:$H$1,0))</f>
        <v>When shapeshifting, Chelle will transform into Cat Sìth regardless of what dragon she is equipped with. Also, extends shapeshift time by 10% and adds 10% to the modifier applied to damage when in dragon form. In addition, using Burlone Gatto will grant her the "Royal Pride" effect for the remainder of the quest. Royal Pride can stack up to 10 times, and each stack reduces damage taken by 1%.</v>
      </c>
      <c r="V23" s="523"/>
      <c r="W23" s="523"/>
      <c r="X23" s="524"/>
    </row>
    <row r="24" spans="1:24" ht="7.5" customHeight="1" x14ac:dyDescent="0.2">
      <c r="A24" s="19"/>
      <c r="B24" s="19"/>
      <c r="C24" s="19"/>
      <c r="D24" s="19"/>
      <c r="E24" s="19"/>
      <c r="F24" s="19"/>
      <c r="G24" s="19"/>
      <c r="H24" s="19"/>
      <c r="I24" s="19"/>
      <c r="J24" s="19"/>
      <c r="K24" s="19"/>
      <c r="L24" s="19"/>
      <c r="M24" s="19"/>
      <c r="N24" s="19"/>
      <c r="P24" s="488"/>
      <c r="Q24" s="489"/>
      <c r="R24" s="489"/>
      <c r="S24" s="490"/>
      <c r="U24" s="525"/>
      <c r="V24" s="526"/>
      <c r="W24" s="526"/>
      <c r="X24" s="527"/>
    </row>
    <row r="25" spans="1:24" ht="22.5" customHeight="1" x14ac:dyDescent="0.35">
      <c r="A25" s="456" t="s">
        <v>76</v>
      </c>
      <c r="B25" s="457"/>
      <c r="C25" s="457"/>
      <c r="D25" s="457"/>
      <c r="E25" s="21"/>
      <c r="F25" s="457" t="s">
        <v>83</v>
      </c>
      <c r="G25" s="457"/>
      <c r="H25" s="457"/>
      <c r="I25" s="457"/>
      <c r="J25" s="457"/>
      <c r="K25" s="457"/>
      <c r="L25" s="457"/>
      <c r="M25" s="457"/>
      <c r="N25" s="457"/>
      <c r="P25" s="488"/>
      <c r="Q25" s="489"/>
      <c r="R25" s="489"/>
      <c r="S25" s="490"/>
      <c r="U25" s="525"/>
      <c r="V25" s="526"/>
      <c r="W25" s="526"/>
      <c r="X25" s="527"/>
    </row>
    <row r="26" spans="1:24" ht="7.5" customHeight="1" x14ac:dyDescent="0.2">
      <c r="A26" s="22"/>
      <c r="B26" s="22"/>
      <c r="C26" s="22"/>
      <c r="D26" s="22"/>
      <c r="E26" s="22"/>
      <c r="F26" s="22"/>
      <c r="G26" s="22"/>
      <c r="H26" s="22"/>
      <c r="I26" s="22"/>
      <c r="J26" s="22"/>
      <c r="K26" s="22"/>
      <c r="L26" s="22"/>
      <c r="M26" s="22"/>
      <c r="N26" s="22"/>
      <c r="P26" s="488"/>
      <c r="Q26" s="489"/>
      <c r="R26" s="489"/>
      <c r="S26" s="490"/>
      <c r="U26" s="525"/>
      <c r="V26" s="526"/>
      <c r="W26" s="526"/>
      <c r="X26" s="527"/>
    </row>
    <row r="27" spans="1:24" ht="37.5" customHeight="1" x14ac:dyDescent="0.2">
      <c r="A27" s="547" t="str">
        <f>"Affliction: "&amp;INDEX(ADV!$A:$AR,MATCH(A3,ADV!$A:$A,0),MATCH("Affliction",ADV!$A$1:$AR$1,0))&amp;CHAR(10)&amp;"Amps: "&amp;INDEX(ADV!$A:$AR,MATCH(A3,ADV!$A:$A,0),MATCH("Amp",ADV!$A$1:$AR$1,0))&amp;CHAR(10)&amp;"Dispel: "&amp;INDEX(ADV!$A:$AR,MATCH(A3,ADV!$A:$A,0),MATCH("Dispel",ADV!$A$1:$AR$1,0))&amp;CHAR(10)&amp;"Extra: "&amp;INDEX(ADV!$A:$AR,MATCH(A3,ADV!$A:$A,0),MATCH("Extra",ADV!$A$1:$AR$1,0))&amp;CHAR(10)&amp;"Notes: "&amp;INDEX(ADV!$A:$AR,MATCH(A3,ADV!$A:$A,0),MATCH("Notes",ADV!$A$1:$AR$1,0))</f>
        <v>Affliction: Updated Shadowblight
Amps: Added Team Critical Damage Amp (Max Lv. = 3) granted by Burlone Gatto
Dispel: Omitted due to kit
Extra: Buff Zone &amp; Shadowblight Res Down
Notes: Gala Chelle was an amazing adventurer since her debut and remained a steady staple of the shadow element due to her insane damage output and access to shadowblight. This revision upgrades her slightly, but mostly gives her access to a team critical damage amp and slight upgrade to her shapeshifted form. Not that she would typically use that.</v>
      </c>
      <c r="B27" s="548"/>
      <c r="C27" s="548"/>
      <c r="D27" s="549"/>
      <c r="E27" s="22"/>
      <c r="F27" s="556" t="e" vm="6">
        <f>_xlfn.IMAGE("https://natalie.tf/wp-content/uploads/2023/10/DLV3_Icon_Ability_"&amp;INDEX('A-CA'!$A$1:$C$2906,MATCH('A-PrintURL'!I27,'A-CA'!$A:$A,0),MATCH("Icon",'A-CA'!$A$1:$C$1,0))&amp;".png")</f>
        <v>#VALUE!</v>
      </c>
      <c r="G27" s="556"/>
      <c r="H27" s="557"/>
      <c r="I27" s="558" t="str">
        <f>+INDEX(ADV!$A:$Z,MATCH(A3,ADV!$A:$A,0),MATCH("Co-Ability",ADV!$A$1:$AR$1,0))</f>
        <v>Gauge Accelerator +20%</v>
      </c>
      <c r="J27" s="559"/>
      <c r="K27" s="559"/>
      <c r="L27" s="559"/>
      <c r="M27" s="559"/>
      <c r="N27" s="560"/>
      <c r="P27" s="488"/>
      <c r="Q27" s="489"/>
      <c r="R27" s="489"/>
      <c r="S27" s="490"/>
      <c r="U27" s="525"/>
      <c r="V27" s="526"/>
      <c r="W27" s="526"/>
      <c r="X27" s="527"/>
    </row>
    <row r="28" spans="1:24" ht="15" customHeight="1" x14ac:dyDescent="0.2">
      <c r="A28" s="550"/>
      <c r="B28" s="551"/>
      <c r="C28" s="551"/>
      <c r="D28" s="552"/>
      <c r="E28" s="23"/>
      <c r="F28" s="522" t="str">
        <f>+INDEX('A-CA'!$A:$G,MATCH('A-PrintURL'!I27,'A-CA'!$A:$A,0),MATCH("Description",'A-CA'!$A$1:$G$1,0))</f>
        <v>Speeds the rate the mode gauge decreases by 20%. Benefits your whole team.</v>
      </c>
      <c r="G28" s="523"/>
      <c r="H28" s="523"/>
      <c r="I28" s="523"/>
      <c r="J28" s="523"/>
      <c r="K28" s="523"/>
      <c r="L28" s="523"/>
      <c r="M28" s="523"/>
      <c r="N28" s="524"/>
      <c r="P28" s="491"/>
      <c r="Q28" s="492"/>
      <c r="R28" s="492"/>
      <c r="S28" s="493"/>
      <c r="U28" s="528"/>
      <c r="V28" s="529"/>
      <c r="W28" s="529"/>
      <c r="X28" s="530"/>
    </row>
    <row r="29" spans="1:24" ht="7.5" customHeight="1" x14ac:dyDescent="0.2">
      <c r="A29" s="550"/>
      <c r="B29" s="551"/>
      <c r="C29" s="551"/>
      <c r="D29" s="552"/>
      <c r="E29" s="23"/>
      <c r="F29" s="525"/>
      <c r="G29" s="526"/>
      <c r="H29" s="526"/>
      <c r="I29" s="526"/>
      <c r="J29" s="526"/>
      <c r="K29" s="526"/>
      <c r="L29" s="526"/>
      <c r="M29" s="526"/>
      <c r="N29" s="527"/>
    </row>
    <row r="30" spans="1:24" ht="37.5" customHeight="1" x14ac:dyDescent="0.2">
      <c r="A30" s="550"/>
      <c r="B30" s="551"/>
      <c r="C30" s="551"/>
      <c r="D30" s="552"/>
      <c r="E30" s="23"/>
      <c r="F30" s="525"/>
      <c r="G30" s="526"/>
      <c r="H30" s="526"/>
      <c r="I30" s="526"/>
      <c r="J30" s="526"/>
      <c r="K30" s="526"/>
      <c r="L30" s="526"/>
      <c r="M30" s="526"/>
      <c r="N30" s="527"/>
      <c r="P30" s="20" t="e" vm="7">
        <f>_xlfn.IMAGE("https://natalie.tf/wp-content/uploads/2023/10/DLV3_Icon_Ability_"&amp;INDEX('A-A'!$A$1:$D$2286,MATCH('A-PrintURL'!Q30,'A-A'!$A:$A,0),MATCH("Icon",'A-A'!$A$1:$D$1,0))&amp;".png")</f>
        <v>#VALUE!</v>
      </c>
      <c r="Q30" s="519" t="str">
        <f>+INDEX(ADV!$A:$Z,MATCH(A3,ADV!$A:$A,0),MATCH("Ability 3",ADV!$A$1:$AR$1,0))</f>
        <v>Star of the Dance II</v>
      </c>
      <c r="R30" s="520"/>
      <c r="S30" s="521"/>
      <c r="U30" s="20" t="e" vm="7">
        <f>_xlfn.IMAGE("https://natalie.tf/wp-content/uploads/2023/10/DLV3_Icon_Ability_"&amp;INDEX('A-A'!$A$1:$D$2286,MATCH('A-PrintURL'!V30,'A-A'!$A:$A,0),MATCH("Icon",'A-A'!$A$1:$D$1,0))&amp;".png")</f>
        <v>#VALUE!</v>
      </c>
      <c r="V30" s="519" t="str">
        <f>+INDEX(ADV!$A:$Z,MATCH(A3,ADV!$A:$A,0),MATCH("Ability 3 V3",ADV!$A$1:$AR$1,0))</f>
        <v>Star of the Dance (V3)</v>
      </c>
      <c r="W30" s="520"/>
      <c r="X30" s="521"/>
    </row>
    <row r="31" spans="1:24" ht="15" customHeight="1" x14ac:dyDescent="0.2">
      <c r="A31" s="550"/>
      <c r="B31" s="551"/>
      <c r="C31" s="551"/>
      <c r="D31" s="552"/>
      <c r="E31" s="23"/>
      <c r="F31" s="528"/>
      <c r="G31" s="529"/>
      <c r="H31" s="529"/>
      <c r="I31" s="529"/>
      <c r="J31" s="529"/>
      <c r="K31" s="529"/>
      <c r="L31" s="529"/>
      <c r="M31" s="529"/>
      <c r="N31" s="530"/>
      <c r="P31" s="485" t="str">
        <f>+INDEX('A-A'!$A$1:$H$2286,MATCH('A-PrintURL'!Q30,'A-A'!$A:$A,0),MATCH("Description",'A-A'!$A$1:$H$1,0))</f>
        <v>Increases force strike damage by 45%, increases it by an additional 2% for each buff Chelle has (up to a maximum of 30%), and, when she has five or more Royal Pride stacks, creates a buff zone around her that reduces damage taken by 10%.</v>
      </c>
      <c r="Q31" s="486"/>
      <c r="R31" s="486"/>
      <c r="S31" s="487"/>
      <c r="U31" s="485" t="str">
        <f>+INDEX('A-A'!$A$1:$H$2286,MATCH('A-PrintURL'!V30,'A-A'!$A:$A,0),MATCH("Description",'A-A'!$A$1:$H$1,0))</f>
        <v xml:space="preserve">Increases force strike damage by 50%, increases it by an additional 2% for each buff and amp Chelle has (up to a maximum of 30%), and, when she has five or more Royal Pride stacks, creates a buff zone around her that reduces damage taken by 10% and lowers enemies' shadowblight resistance by 20%. </v>
      </c>
      <c r="V31" s="486"/>
      <c r="W31" s="486"/>
      <c r="X31" s="487"/>
    </row>
    <row r="32" spans="1:24" ht="7.5" customHeight="1" x14ac:dyDescent="0.2">
      <c r="A32" s="550"/>
      <c r="B32" s="551"/>
      <c r="C32" s="551"/>
      <c r="D32" s="552"/>
      <c r="E32" s="23"/>
      <c r="F32" s="23"/>
      <c r="G32" s="23"/>
      <c r="H32" s="23"/>
      <c r="I32" s="23"/>
      <c r="J32" s="23"/>
      <c r="K32" s="23"/>
      <c r="L32" s="23"/>
      <c r="M32" s="23"/>
      <c r="N32" s="41"/>
      <c r="P32" s="488"/>
      <c r="Q32" s="489"/>
      <c r="R32" s="489"/>
      <c r="S32" s="490"/>
      <c r="U32" s="488"/>
      <c r="V32" s="489"/>
      <c r="W32" s="489"/>
      <c r="X32" s="490"/>
    </row>
    <row r="33" spans="1:24" ht="37.5" customHeight="1" x14ac:dyDescent="0.2">
      <c r="A33" s="550"/>
      <c r="B33" s="551"/>
      <c r="C33" s="551"/>
      <c r="D33" s="552"/>
      <c r="E33" s="23"/>
      <c r="F33" s="556" t="e" vm="8">
        <f>_xlfn.IMAGE("https://natalie.tf/wp-content/uploads/2023/10/DLV3_Icon_Ability_"&amp;INDEX('A-CA'!$A$1:$C$2906,MATCH('A-PrintURL'!I33,'A-CA'!$A:$A,0),MATCH("Icon",'A-CA'!$A$1:$C$1,0))&amp;".png")</f>
        <v>#VALUE!</v>
      </c>
      <c r="G33" s="556"/>
      <c r="H33" s="556"/>
      <c r="I33" s="561" t="str">
        <f>+INDEX(ADV!$A:$Z,MATCH(A3,ADV!$A:$A,0),MATCH("Chain Co-Ability",ADV!$A$1:$AR$1,0))</f>
        <v>(Shadow) Poised Shadowblighted Punisher +8%</v>
      </c>
      <c r="J33" s="562"/>
      <c r="K33" s="562"/>
      <c r="L33" s="562"/>
      <c r="M33" s="562"/>
      <c r="N33" s="563"/>
      <c r="P33" s="488"/>
      <c r="Q33" s="489"/>
      <c r="R33" s="489"/>
      <c r="S33" s="490"/>
      <c r="U33" s="488"/>
      <c r="V33" s="489"/>
      <c r="W33" s="489"/>
      <c r="X33" s="490"/>
    </row>
    <row r="34" spans="1:24" ht="37.5" customHeight="1" x14ac:dyDescent="0.2">
      <c r="A34" s="550"/>
      <c r="B34" s="551"/>
      <c r="C34" s="551"/>
      <c r="D34" s="552"/>
      <c r="E34" s="21"/>
      <c r="F34" s="522" t="str">
        <f>+INDEX('A-CA'!$A:$G,MATCH('A-PrintURL'!I33,'A-CA'!$A:$A,0),MATCH("Description",'A-CA'!$A$1:$G$1,0))</f>
        <v>If a team member is attuned to Shadow: increases damage to shadowblighted enemies by 8% when the adventurer is in a buff zone. Benefits your whole team.</v>
      </c>
      <c r="G34" s="523"/>
      <c r="H34" s="523"/>
      <c r="I34" s="523"/>
      <c r="J34" s="523"/>
      <c r="K34" s="523"/>
      <c r="L34" s="523"/>
      <c r="M34" s="523"/>
      <c r="N34" s="524"/>
      <c r="P34" s="488"/>
      <c r="Q34" s="489"/>
      <c r="R34" s="489"/>
      <c r="S34" s="490"/>
      <c r="U34" s="488"/>
      <c r="V34" s="489"/>
      <c r="W34" s="489"/>
      <c r="X34" s="490"/>
    </row>
    <row r="35" spans="1:24" ht="90" customHeight="1" x14ac:dyDescent="0.2">
      <c r="A35" s="550"/>
      <c r="B35" s="551"/>
      <c r="C35" s="551"/>
      <c r="D35" s="552"/>
      <c r="E35" s="21"/>
      <c r="F35" s="528"/>
      <c r="G35" s="529"/>
      <c r="H35" s="529"/>
      <c r="I35" s="529"/>
      <c r="J35" s="529"/>
      <c r="K35" s="529"/>
      <c r="L35" s="529"/>
      <c r="M35" s="529"/>
      <c r="N35" s="530"/>
      <c r="P35" s="488"/>
      <c r="Q35" s="489"/>
      <c r="R35" s="489"/>
      <c r="S35" s="490"/>
      <c r="U35" s="488"/>
      <c r="V35" s="489"/>
      <c r="W35" s="489"/>
      <c r="X35" s="490"/>
    </row>
    <row r="36" spans="1:24" ht="7.5" customHeight="1" x14ac:dyDescent="0.2">
      <c r="A36" s="550"/>
      <c r="B36" s="551"/>
      <c r="C36" s="551"/>
      <c r="D36" s="552"/>
      <c r="E36" s="21"/>
      <c r="P36" s="488"/>
      <c r="Q36" s="489"/>
      <c r="R36" s="489"/>
      <c r="S36" s="490"/>
      <c r="U36" s="488"/>
      <c r="V36" s="489"/>
      <c r="W36" s="489"/>
      <c r="X36" s="490"/>
    </row>
    <row r="37" spans="1:24" ht="22.5" customHeight="1" x14ac:dyDescent="0.35">
      <c r="A37" s="550"/>
      <c r="B37" s="551"/>
      <c r="C37" s="551"/>
      <c r="D37" s="552"/>
      <c r="E37" s="21"/>
      <c r="F37" s="457" t="s">
        <v>84</v>
      </c>
      <c r="G37" s="457"/>
      <c r="H37" s="457"/>
      <c r="I37" s="457"/>
      <c r="J37" s="457"/>
      <c r="K37" s="457"/>
      <c r="L37" s="457"/>
      <c r="M37" s="457"/>
      <c r="N37" s="457"/>
      <c r="P37" s="488"/>
      <c r="Q37" s="489"/>
      <c r="R37" s="489"/>
      <c r="S37" s="490"/>
      <c r="U37" s="488"/>
      <c r="V37" s="489"/>
      <c r="W37" s="489"/>
      <c r="X37" s="490"/>
    </row>
    <row r="38" spans="1:24" ht="7.5" customHeight="1" x14ac:dyDescent="0.2">
      <c r="A38" s="550"/>
      <c r="B38" s="551"/>
      <c r="C38" s="551"/>
      <c r="D38" s="552"/>
      <c r="E38" s="21"/>
      <c r="P38" s="488"/>
      <c r="Q38" s="489"/>
      <c r="R38" s="489"/>
      <c r="S38" s="490"/>
      <c r="U38" s="488"/>
      <c r="V38" s="489"/>
      <c r="W38" s="489"/>
      <c r="X38" s="490"/>
    </row>
    <row r="39" spans="1:24" ht="7.5" customHeight="1" x14ac:dyDescent="0.2">
      <c r="A39" s="550"/>
      <c r="B39" s="551"/>
      <c r="C39" s="551"/>
      <c r="D39" s="552"/>
      <c r="E39" s="24"/>
      <c r="F39" s="556" t="e" vm="8">
        <f>_xlfn.IMAGE("https://natalie.tf/wp-content/uploads/2023/10/DLV3_Icon_Ability_"&amp;INDEX('A-CA'!$A$1:$C$2906,MATCH('A-PrintURL'!I39,'A-CA'!$A:$A,0),MATCH("Icon",'A-CA'!$A$1:$C$1,0))&amp;".png")</f>
        <v>#VALUE!</v>
      </c>
      <c r="G39" s="556"/>
      <c r="H39" s="556"/>
      <c r="I39" s="564" t="str">
        <f>+INDEX(ADV!$A:$Z,MATCH(A3,ADV!$A:$A,0),MATCH("Chain Co-Ability V3",ADV!$A$1:$AR$1,0))</f>
        <v>Shadowblighted Punisher +8%</v>
      </c>
      <c r="J39" s="565"/>
      <c r="K39" s="565"/>
      <c r="L39" s="565"/>
      <c r="M39" s="565"/>
      <c r="N39" s="566"/>
      <c r="P39" s="491"/>
      <c r="Q39" s="492"/>
      <c r="R39" s="492"/>
      <c r="S39" s="493"/>
      <c r="U39" s="491"/>
      <c r="V39" s="492"/>
      <c r="W39" s="492"/>
      <c r="X39" s="493"/>
    </row>
    <row r="40" spans="1:24" ht="7.5" customHeight="1" x14ac:dyDescent="0.2">
      <c r="A40" s="550"/>
      <c r="B40" s="551"/>
      <c r="C40" s="551"/>
      <c r="D40" s="552"/>
      <c r="F40" s="556"/>
      <c r="G40" s="556"/>
      <c r="H40" s="556"/>
      <c r="I40" s="567"/>
      <c r="J40" s="568"/>
      <c r="K40" s="568"/>
      <c r="L40" s="568"/>
      <c r="M40" s="568"/>
      <c r="N40" s="569"/>
    </row>
    <row r="41" spans="1:24" ht="22.5" customHeight="1" x14ac:dyDescent="0.2">
      <c r="A41" s="550"/>
      <c r="B41" s="551"/>
      <c r="C41" s="551"/>
      <c r="D41" s="552"/>
      <c r="F41" s="556"/>
      <c r="G41" s="556"/>
      <c r="H41" s="556"/>
      <c r="I41" s="570"/>
      <c r="J41" s="571"/>
      <c r="K41" s="571"/>
      <c r="L41" s="571"/>
      <c r="M41" s="571"/>
      <c r="N41" s="572"/>
      <c r="P41" s="534" t="e" vm="9">
        <f>_xlfn.IMAGE("https://natalie.tf/wp-content/uploads/2023/10/DLV3_Icon_Ability_"&amp;INDEX('A-A'!$A$1:$D$2286,MATCH('A-PrintURL'!Q41,'A-A'!$A:$A,0),MATCH("Icon",'A-A'!$A$1:$D$1,0))&amp;".png")</f>
        <v>#VALUE!</v>
      </c>
      <c r="Q41" s="535" t="str">
        <f>+INDEX(ADV!$A:$Z,MATCH(A3,ADV!$A:$A,0),MATCH("Ability 2",ADV!$A$1:$AR$1,0))</f>
        <v>Princess's Grace II</v>
      </c>
      <c r="R41" s="536"/>
      <c r="S41" s="537"/>
      <c r="U41" s="534" t="e" vm="10">
        <f>_xlfn.IMAGE("https://natalie.tf/wp-content/uploads/2023/10/DLV3_Icon_Ability_"&amp;INDEX('A-A'!$A$1:$D$2286,MATCH('A-PrintURL'!V41,'A-A'!$A:$A,0),MATCH("Icon",'A-A'!$A$1:$D$1,0))&amp;".png")</f>
        <v>#VALUE!</v>
      </c>
      <c r="V41" s="541" t="str">
        <f>+INDEX(ADV!$A:$Z,MATCH(A3,ADV!$A:$A,0),MATCH("Ability 2 V3",ADV!$A$1:$AR$1,0))</f>
        <v>Potent Blindness &amp; Paralysis Res +100% (V3)</v>
      </c>
      <c r="W41" s="542"/>
      <c r="X41" s="543"/>
    </row>
    <row r="42" spans="1:24" ht="15" customHeight="1" x14ac:dyDescent="0.2">
      <c r="A42" s="550"/>
      <c r="B42" s="551"/>
      <c r="C42" s="551"/>
      <c r="D42" s="552"/>
      <c r="F42" s="485" t="str">
        <f>+INDEX('A-CA'!$A:$G,MATCH('A-PrintURL'!I39,'A-CA'!$A:$A,0),MATCH("Description",'A-CA'!$A$1:$G$1,0))</f>
        <v>Increases damage to shadowblighted enemies by 8%. Benefits your whole team.</v>
      </c>
      <c r="G42" s="486"/>
      <c r="H42" s="486"/>
      <c r="I42" s="486"/>
      <c r="J42" s="486"/>
      <c r="K42" s="486"/>
      <c r="L42" s="486"/>
      <c r="M42" s="486"/>
      <c r="N42" s="487"/>
      <c r="P42" s="534"/>
      <c r="Q42" s="538"/>
      <c r="R42" s="539"/>
      <c r="S42" s="540"/>
      <c r="U42" s="534"/>
      <c r="V42" s="544"/>
      <c r="W42" s="545"/>
      <c r="X42" s="546"/>
    </row>
    <row r="43" spans="1:24" ht="112.5" customHeight="1" x14ac:dyDescent="0.2">
      <c r="A43" s="553"/>
      <c r="B43" s="554"/>
      <c r="C43" s="554"/>
      <c r="D43" s="555"/>
      <c r="F43" s="491"/>
      <c r="G43" s="492"/>
      <c r="H43" s="492"/>
      <c r="I43" s="492"/>
      <c r="J43" s="492"/>
      <c r="K43" s="492"/>
      <c r="L43" s="492"/>
      <c r="M43" s="492"/>
      <c r="N43" s="493"/>
      <c r="P43" s="516" t="str">
        <f>+INDEX('A-A'!$A$1:$H$2286,MATCH('A-PrintURL'!Q41,'A-A'!$A:$A,0),MATCH("Description",'A-A'!$A$1:$H$1,0))</f>
        <v>Reduces susceptibility to blindness and paralysis by 100%.</v>
      </c>
      <c r="Q43" s="517"/>
      <c r="R43" s="517"/>
      <c r="S43" s="518"/>
      <c r="U43" s="531" t="str">
        <f>+INDEX('A-A'!$A$1:$H$2286,MATCH('A-PrintURL'!V41,'A-A'!$A:$A,0),MATCH("Description",'A-A'!$A$1:$H$1,0))</f>
        <v>Reduces susceptibility to blindness and paralysis by 100%. When the user is hit by an attack that would have blinded or paralyzed them, their strength is increased by 15% for 10 seconds. This increase will not stack, and, after activating, this buff cannot be activated again by the same affliction for 15 seconds.</v>
      </c>
      <c r="V43" s="532"/>
      <c r="W43" s="532"/>
      <c r="X43" s="533"/>
    </row>
  </sheetData>
  <mergeCells count="62">
    <mergeCell ref="A27:D43"/>
    <mergeCell ref="F27:H27"/>
    <mergeCell ref="I27:N27"/>
    <mergeCell ref="F28:N31"/>
    <mergeCell ref="F33:H33"/>
    <mergeCell ref="I33:N33"/>
    <mergeCell ref="F34:N35"/>
    <mergeCell ref="F37:N37"/>
    <mergeCell ref="F39:H41"/>
    <mergeCell ref="I39:N41"/>
    <mergeCell ref="F42:N43"/>
    <mergeCell ref="P43:S43"/>
    <mergeCell ref="U43:X43"/>
    <mergeCell ref="Q30:S30"/>
    <mergeCell ref="V30:X30"/>
    <mergeCell ref="P31:S39"/>
    <mergeCell ref="U31:X39"/>
    <mergeCell ref="P41:P42"/>
    <mergeCell ref="Q41:S42"/>
    <mergeCell ref="U41:U42"/>
    <mergeCell ref="V41:X42"/>
    <mergeCell ref="R16:R17"/>
    <mergeCell ref="U16:U17"/>
    <mergeCell ref="V16:V17"/>
    <mergeCell ref="W16:W17"/>
    <mergeCell ref="U3:U5"/>
    <mergeCell ref="V3:V5"/>
    <mergeCell ref="W3:W5"/>
    <mergeCell ref="Q16:Q17"/>
    <mergeCell ref="S4:S5"/>
    <mergeCell ref="U6:X14"/>
    <mergeCell ref="D7:G7"/>
    <mergeCell ref="D8:J8"/>
    <mergeCell ref="D9:J13"/>
    <mergeCell ref="A14:N23"/>
    <mergeCell ref="P16:P17"/>
    <mergeCell ref="P20:S20"/>
    <mergeCell ref="U20:X20"/>
    <mergeCell ref="P18:S18"/>
    <mergeCell ref="U18:X18"/>
    <mergeCell ref="Q22:S22"/>
    <mergeCell ref="V22:X22"/>
    <mergeCell ref="P23:S28"/>
    <mergeCell ref="U23:X28"/>
    <mergeCell ref="A25:D25"/>
    <mergeCell ref="F25:N25"/>
    <mergeCell ref="A1:B1"/>
    <mergeCell ref="D1:J1"/>
    <mergeCell ref="L1:N1"/>
    <mergeCell ref="P1:S1"/>
    <mergeCell ref="U1:X1"/>
    <mergeCell ref="L2:N13"/>
    <mergeCell ref="A3:B3"/>
    <mergeCell ref="D3:J3"/>
    <mergeCell ref="P3:P5"/>
    <mergeCell ref="Q3:Q5"/>
    <mergeCell ref="H7:I7"/>
    <mergeCell ref="A5:B12"/>
    <mergeCell ref="D5:J6"/>
    <mergeCell ref="P6:S14"/>
    <mergeCell ref="R3:R5"/>
    <mergeCell ref="X4:X5"/>
  </mergeCells>
  <conditionalFormatting sqref="D7">
    <cfRule type="cellIs" dxfId="7" priority="1" operator="equal">
      <formula>"Healing Unit"</formula>
    </cfRule>
    <cfRule type="cellIs" dxfId="6" priority="2" operator="equal">
      <formula>"Support Unit"</formula>
    </cfRule>
    <cfRule type="cellIs" dxfId="5" priority="3" operator="equal">
      <formula>"Defense Unit"</formula>
    </cfRule>
    <cfRule type="cellIs" dxfId="4" priority="4" operator="equal">
      <formula>"Attack Unit"</formula>
    </cfRule>
  </conditionalFormatting>
  <printOptions horizontalCentered="1" verticalCentered="1"/>
  <pageMargins left="0" right="0" top="0" bottom="0" header="0" footer="0"/>
  <pageSetup scale="47" fitToWidth="0" orientation="landscape"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00D9D5-3093-4C85-A899-93A3E78F73E4}">
  <dimension ref="A1:X43"/>
  <sheetViews>
    <sheetView zoomScale="55" zoomScaleNormal="55" workbookViewId="0">
      <selection activeCell="A14" sqref="A14:N23"/>
    </sheetView>
  </sheetViews>
  <sheetFormatPr defaultRowHeight="18.75" x14ac:dyDescent="0.2"/>
  <cols>
    <col min="1" max="1" width="6.25" style="8" customWidth="1"/>
    <col min="2" max="2" width="13.75" style="8" customWidth="1"/>
    <col min="3" max="3" width="1.25" style="8" customWidth="1"/>
    <col min="4" max="4" width="26.25" style="8" customWidth="1"/>
    <col min="5" max="5" width="1.25" style="8" customWidth="1"/>
    <col min="6" max="6" width="2.5" style="8" customWidth="1"/>
    <col min="7" max="7" width="1.25" style="8" customWidth="1"/>
    <col min="8" max="8" width="2.625" style="8" customWidth="1"/>
    <col min="9" max="9" width="1.25" style="8" customWidth="1"/>
    <col min="10" max="10" width="3.75" style="8" customWidth="1"/>
    <col min="11" max="11" width="1.25" style="8" customWidth="1"/>
    <col min="12" max="12" width="27.375" style="8" customWidth="1"/>
    <col min="13" max="14" width="3.75" style="8" customWidth="1"/>
    <col min="15" max="15" width="1.25" style="8" customWidth="1"/>
    <col min="16" max="16" width="6.25" style="8" customWidth="1"/>
    <col min="17" max="17" width="55" style="8" customWidth="1"/>
    <col min="18" max="18" width="11.25" style="8" customWidth="1"/>
    <col min="19" max="19" width="10" style="8" customWidth="1"/>
    <col min="20" max="20" width="1.25" style="8" customWidth="1"/>
    <col min="21" max="21" width="6.25" style="8" customWidth="1"/>
    <col min="22" max="22" width="55" style="8" customWidth="1"/>
    <col min="23" max="23" width="11.25" style="8" customWidth="1"/>
    <col min="24" max="24" width="10" style="8" customWidth="1"/>
    <col min="25" max="16384" width="9" style="8"/>
  </cols>
  <sheetData>
    <row r="1" spans="1:24" ht="22.5" customHeight="1" x14ac:dyDescent="0.35">
      <c r="A1" s="467" t="s">
        <v>86</v>
      </c>
      <c r="B1" s="468"/>
      <c r="D1" s="585" t="str">
        <f>+INDEX(ADV!$A:$Z,MATCH(A3,ADV!$A:$A,0),MATCH("Name",ADV!$A$1:$AR$1,0))</f>
        <v>Sinoa</v>
      </c>
      <c r="E1" s="586"/>
      <c r="F1" s="586"/>
      <c r="G1" s="586"/>
      <c r="H1" s="586"/>
      <c r="I1" s="586"/>
      <c r="J1" s="587"/>
      <c r="L1" s="588" t="s">
        <v>80</v>
      </c>
      <c r="M1" s="589"/>
      <c r="N1" s="590"/>
      <c r="P1" s="456" t="s">
        <v>72</v>
      </c>
      <c r="Q1" s="457"/>
      <c r="R1" s="457"/>
      <c r="S1" s="457"/>
      <c r="U1" s="456" t="s">
        <v>73</v>
      </c>
      <c r="V1" s="457"/>
      <c r="W1" s="457"/>
      <c r="X1" s="457"/>
    </row>
    <row r="2" spans="1:24" ht="7.5" customHeight="1" x14ac:dyDescent="0.2">
      <c r="A2" s="9"/>
      <c r="B2" s="9"/>
      <c r="C2" s="9"/>
      <c r="D2" s="10"/>
      <c r="E2" s="10"/>
      <c r="F2" s="10"/>
      <c r="G2" s="10"/>
      <c r="H2" s="10"/>
      <c r="I2" s="10"/>
      <c r="J2" s="10"/>
      <c r="L2" s="591" t="str">
        <f>+INDEX(ADV!$A:$Z,MATCH(A3,ADV!$A:$A,0),MATCH("Description",ADV!$A$1:$AR$1,0))</f>
        <v>A scholar dedicated to science and magic. Explosions always seem to accompany her experiments, which got her expelled from the magic academy. Her work continues at the Halidom, where her hobby is staring at clocks.</v>
      </c>
      <c r="M2" s="592"/>
      <c r="N2" s="593"/>
      <c r="P2" s="11"/>
      <c r="Q2" s="12"/>
      <c r="R2" s="11"/>
      <c r="S2" s="13"/>
      <c r="U2" s="11"/>
      <c r="V2" s="12"/>
      <c r="W2" s="11"/>
      <c r="X2" s="13"/>
    </row>
    <row r="3" spans="1:24" ht="22.5" customHeight="1" x14ac:dyDescent="0.2">
      <c r="A3" s="467" t="str">
        <f>+INDEX(ADV!$A:$Z,MATCH(A1,ADV!$B:$B,0),MATCH("ID",ADV!$A$1:$AR$1,0))</f>
        <v>110009_01</v>
      </c>
      <c r="B3" s="468"/>
      <c r="C3" s="14"/>
      <c r="D3" s="585" t="str">
        <f>+INDEX(ADV!$A:$Z,MATCH(A3,ADV!$A:$A,0),MATCH("Title",ADV!$A$1:$AR$1,0))</f>
        <v>Intrepid Scholar</v>
      </c>
      <c r="E3" s="586"/>
      <c r="F3" s="586"/>
      <c r="G3" s="586"/>
      <c r="H3" s="586"/>
      <c r="I3" s="586"/>
      <c r="J3" s="587"/>
      <c r="L3" s="594"/>
      <c r="M3" s="595"/>
      <c r="N3" s="596"/>
      <c r="P3" s="472" t="str">
        <f>+INDEX('A-S'!$A:$N,MATCH('A-Print'!Q3,'A-S'!$G:$G,0),MATCH("Icon",'A-S'!$1:$1,0))</f>
        <v>032</v>
      </c>
      <c r="Q3" s="582" t="str">
        <f>+INDEX(ADV!$A:$Z,MATCH(A3,ADV!$A:$A,0),MATCH("Skill 1",ADV!$A$1:$AR$1,0))</f>
        <v>Custom Concoction</v>
      </c>
      <c r="R3" s="494" t="str">
        <f>+IF(INDEX('A-S'!$A$1:$N$701,MATCH('A-Print'!Q3,'A-S'!$G$1:$G$701,0),MATCH("Shareable",'A-S'!$1:$1,0))="Y","Share Cost: "&amp;INDEX('A-S'!$A$1:$N$701,MATCH('A-Print'!Q3,'A-S'!$G$1:$G$701,0),MATCH("Share Cost",'A-S'!$1:$1,0)),"Not Shareable")</f>
        <v>Share Cost: 6</v>
      </c>
      <c r="S3" s="15">
        <f>+INDEX('A-S'!$A:$N,MATCH('A-Print'!Q3,'A-S'!$G:$G,0),MATCH("SP Cost",'A-S'!$1:$1,0))</f>
        <v>3817</v>
      </c>
      <c r="U3" s="472" t="str">
        <f>+INDEX('A-S'!$A:$N,MATCH('A-Print'!V3,'A-S'!$G:$G,0),MATCH("Icon",'A-S'!$1:$1,0))</f>
        <v>032</v>
      </c>
      <c r="V3" s="582" t="str">
        <f>Q3</f>
        <v>Custom Concoction</v>
      </c>
      <c r="W3" s="494" t="str">
        <f>+IF(INDEX('A-S'!$A$1:$N$701,MATCH('A-Print'!V3,'A-S'!$G$1:$G$701,0),MATCH("Shareable",'A-S'!$1:$1,0))="Y","Share Cost: "&amp;INDEX('A-S'!$A$1:$N$701,MATCH('A-Print'!V3,'A-S'!$G$1:$G$701,0),MATCH("Share Cost",'A-S'!$1:$1,0)),"Not Shareable")</f>
        <v>Share Cost: 6</v>
      </c>
      <c r="X3" s="15">
        <f>+INDEX('A-S'!$A:$N,MATCH('A-Print'!V3,'A-S'!$G:$G,0),MATCH("SP Cost",'A-S'!$1:$1,0))</f>
        <v>3817</v>
      </c>
    </row>
    <row r="4" spans="1:24" ht="7.5" customHeight="1" x14ac:dyDescent="0.2">
      <c r="A4" s="37"/>
      <c r="B4" s="37"/>
      <c r="C4" s="9"/>
      <c r="D4" s="38"/>
      <c r="E4" s="39"/>
      <c r="F4" s="39"/>
      <c r="G4" s="39"/>
      <c r="H4" s="39"/>
      <c r="I4" s="39"/>
      <c r="J4" s="40"/>
      <c r="L4" s="594"/>
      <c r="M4" s="595"/>
      <c r="N4" s="596"/>
      <c r="P4" s="472"/>
      <c r="Q4" s="583"/>
      <c r="R4" s="495"/>
      <c r="S4" s="497">
        <f>+INDEX('A-S'!$A:$N,MATCH('A-Print'!Q3,'A-S'!$G:$G,0),MATCH("Share SP",'A-S'!$1:$1,0))</f>
        <v>15268</v>
      </c>
      <c r="U4" s="472"/>
      <c r="V4" s="583"/>
      <c r="W4" s="495"/>
      <c r="X4" s="497">
        <f>+INDEX('A-S'!$A:$N,MATCH('A-Print'!V3,'A-S'!$G:$G,0),MATCH("Share SP",'A-S'!$1:$1,0))</f>
        <v>15268</v>
      </c>
    </row>
    <row r="5" spans="1:24" ht="7.5" customHeight="1" x14ac:dyDescent="0.2">
      <c r="A5" s="478" t="str">
        <f>+A3</f>
        <v>110009_01</v>
      </c>
      <c r="B5" s="478"/>
      <c r="C5" s="9"/>
      <c r="D5" s="605" t="str">
        <f>INDEX(ADV!$A:$Z,MATCH(A3,ADV!$A:$A,0),MATCH("Element",ADV!$A$1:$AR$1,0))&amp;" "&amp;INDEX(ADV!$A:$Z,MATCH(A3,ADV!$A:$A,0),MATCH("Weapon",ADV!$A$1:$AR$1,0))</f>
        <v>Flame Wand</v>
      </c>
      <c r="E5" s="606"/>
      <c r="F5" s="606"/>
      <c r="G5" s="606"/>
      <c r="H5" s="606"/>
      <c r="I5" s="606"/>
      <c r="J5" s="607"/>
      <c r="L5" s="594"/>
      <c r="M5" s="595"/>
      <c r="N5" s="596"/>
      <c r="P5" s="472"/>
      <c r="Q5" s="584"/>
      <c r="R5" s="496"/>
      <c r="S5" s="498"/>
      <c r="U5" s="472"/>
      <c r="V5" s="584"/>
      <c r="W5" s="496"/>
      <c r="X5" s="498"/>
    </row>
    <row r="6" spans="1:24" ht="15" customHeight="1" x14ac:dyDescent="0.2">
      <c r="A6" s="478"/>
      <c r="B6" s="478"/>
      <c r="C6" s="17"/>
      <c r="D6" s="608"/>
      <c r="E6" s="609"/>
      <c r="F6" s="609"/>
      <c r="G6" s="609"/>
      <c r="H6" s="609"/>
      <c r="I6" s="609"/>
      <c r="J6" s="610"/>
      <c r="L6" s="594"/>
      <c r="M6" s="595"/>
      <c r="N6" s="596"/>
      <c r="P6" s="573" t="str">
        <f>+INDEX('A-S'!$A:$N,MATCH('A-Print'!Q3,'A-S'!$G:$G,0),MATCH("Description",'A-S'!$1:$1,0))</f>
        <v>Applies one of the following at random to the entire team: Increases strength by 25% for 15 seconds. Increases defense by 25% for 15 seconds. Increases critical rate by 25% for 10 seconds. Increases max HP by 15% for the remainder of the quest. Once HP buffs reach the limit of 30%, an HP recovery effect is granted instead.</v>
      </c>
      <c r="Q6" s="574"/>
      <c r="R6" s="574"/>
      <c r="S6" s="575"/>
      <c r="U6" s="573" t="str">
        <f>+INDEX('A-S'!$A:$N,MATCH('A-Print'!V3,'A-S'!$G:$G,0),MATCH("Description V3",'A-S'!$1:$1,0))</f>
        <v>Increases the entire team's strength, defense, and critical rate by 15% for 15 seconds. Also, increases max HP by 10% for the remainder of the quest. Once HP buffs reach the limit of 30%, an HP recovery effect is granted instead.</v>
      </c>
      <c r="V6" s="574"/>
      <c r="W6" s="574"/>
      <c r="X6" s="575"/>
    </row>
    <row r="7" spans="1:24" ht="22.5" customHeight="1" x14ac:dyDescent="0.2">
      <c r="A7" s="478"/>
      <c r="B7" s="478"/>
      <c r="C7" s="17"/>
      <c r="D7" s="600" t="str">
        <f>INDEX(ADV!$A:$Z,MATCH(A3,ADV!$A:$A,0),MATCH("Class",ADV!$A$1:$AR$1,0))&amp;" Unit"</f>
        <v>Support Unit</v>
      </c>
      <c r="E7" s="601"/>
      <c r="F7" s="601"/>
      <c r="G7" s="602"/>
      <c r="H7" s="603" t="s">
        <v>81</v>
      </c>
      <c r="I7" s="604"/>
      <c r="J7" s="42">
        <v>10</v>
      </c>
      <c r="L7" s="594"/>
      <c r="M7" s="595"/>
      <c r="N7" s="596"/>
      <c r="P7" s="576"/>
      <c r="Q7" s="577"/>
      <c r="R7" s="577"/>
      <c r="S7" s="578"/>
      <c r="U7" s="576"/>
      <c r="V7" s="577"/>
      <c r="W7" s="577"/>
      <c r="X7" s="578"/>
    </row>
    <row r="8" spans="1:24" ht="22.5" customHeight="1" x14ac:dyDescent="0.2">
      <c r="A8" s="478"/>
      <c r="B8" s="478"/>
      <c r="C8" s="17"/>
      <c r="D8" s="588" t="s">
        <v>82</v>
      </c>
      <c r="E8" s="589"/>
      <c r="F8" s="589"/>
      <c r="G8" s="589"/>
      <c r="H8" s="589"/>
      <c r="I8" s="589"/>
      <c r="J8" s="590"/>
      <c r="L8" s="594"/>
      <c r="M8" s="595"/>
      <c r="N8" s="596"/>
      <c r="P8" s="576"/>
      <c r="Q8" s="577"/>
      <c r="R8" s="577"/>
      <c r="S8" s="578"/>
      <c r="U8" s="576"/>
      <c r="V8" s="577"/>
      <c r="W8" s="577"/>
      <c r="X8" s="578"/>
    </row>
    <row r="9" spans="1:24" ht="22.5" customHeight="1" x14ac:dyDescent="0.2">
      <c r="A9" s="478"/>
      <c r="B9" s="478"/>
      <c r="C9" s="17"/>
      <c r="D9" s="611" t="str">
        <f>+INDEX(ADV!$A:$Z,MATCH(A3,ADV!$A:$A,0),MATCH("Unlock",ADV!$A$1:$AR$1,0))</f>
        <v>Clear The Mercurial Gauntlet
(Flame): Lv. 40
(The Mercurial Gauntlet)</v>
      </c>
      <c r="E9" s="612"/>
      <c r="F9" s="612"/>
      <c r="G9" s="612"/>
      <c r="H9" s="612"/>
      <c r="I9" s="612"/>
      <c r="J9" s="613"/>
      <c r="L9" s="594"/>
      <c r="M9" s="595"/>
      <c r="N9" s="596"/>
      <c r="P9" s="576"/>
      <c r="Q9" s="577"/>
      <c r="R9" s="577"/>
      <c r="S9" s="578"/>
      <c r="U9" s="576"/>
      <c r="V9" s="577"/>
      <c r="W9" s="577"/>
      <c r="X9" s="578"/>
    </row>
    <row r="10" spans="1:24" ht="7.5" customHeight="1" x14ac:dyDescent="0.2">
      <c r="A10" s="478"/>
      <c r="B10" s="478"/>
      <c r="C10" s="17"/>
      <c r="D10" s="614"/>
      <c r="E10" s="615"/>
      <c r="F10" s="615"/>
      <c r="G10" s="615"/>
      <c r="H10" s="615"/>
      <c r="I10" s="615"/>
      <c r="J10" s="616"/>
      <c r="L10" s="594"/>
      <c r="M10" s="595"/>
      <c r="N10" s="596"/>
      <c r="P10" s="576"/>
      <c r="Q10" s="577"/>
      <c r="R10" s="577"/>
      <c r="S10" s="578"/>
      <c r="U10" s="576"/>
      <c r="V10" s="577"/>
      <c r="W10" s="577"/>
      <c r="X10" s="578"/>
    </row>
    <row r="11" spans="1:24" ht="15" customHeight="1" x14ac:dyDescent="0.2">
      <c r="A11" s="478"/>
      <c r="B11" s="478"/>
      <c r="C11" s="17"/>
      <c r="D11" s="614"/>
      <c r="E11" s="615"/>
      <c r="F11" s="615"/>
      <c r="G11" s="615"/>
      <c r="H11" s="615"/>
      <c r="I11" s="615"/>
      <c r="J11" s="616"/>
      <c r="L11" s="594"/>
      <c r="M11" s="595"/>
      <c r="N11" s="596"/>
      <c r="P11" s="576"/>
      <c r="Q11" s="577"/>
      <c r="R11" s="577"/>
      <c r="S11" s="578"/>
      <c r="U11" s="576"/>
      <c r="V11" s="577"/>
      <c r="W11" s="577"/>
      <c r="X11" s="578"/>
    </row>
    <row r="12" spans="1:24" ht="7.5" customHeight="1" x14ac:dyDescent="0.2">
      <c r="A12" s="478"/>
      <c r="B12" s="478"/>
      <c r="C12" s="17"/>
      <c r="D12" s="614"/>
      <c r="E12" s="615"/>
      <c r="F12" s="615"/>
      <c r="G12" s="615"/>
      <c r="H12" s="615"/>
      <c r="I12" s="615"/>
      <c r="J12" s="616"/>
      <c r="L12" s="594"/>
      <c r="M12" s="595"/>
      <c r="N12" s="596"/>
      <c r="P12" s="576"/>
      <c r="Q12" s="577"/>
      <c r="R12" s="577"/>
      <c r="S12" s="578"/>
      <c r="U12" s="576"/>
      <c r="V12" s="577"/>
      <c r="W12" s="577"/>
      <c r="X12" s="578"/>
    </row>
    <row r="13" spans="1:24" ht="7.5" customHeight="1" x14ac:dyDescent="0.2">
      <c r="A13" s="36"/>
      <c r="B13" s="36"/>
      <c r="C13" s="18"/>
      <c r="D13" s="617"/>
      <c r="E13" s="618"/>
      <c r="F13" s="618"/>
      <c r="G13" s="618"/>
      <c r="H13" s="618"/>
      <c r="I13" s="618"/>
      <c r="J13" s="619"/>
      <c r="L13" s="597"/>
      <c r="M13" s="598"/>
      <c r="N13" s="599"/>
      <c r="P13" s="576"/>
      <c r="Q13" s="577"/>
      <c r="R13" s="577"/>
      <c r="S13" s="578"/>
      <c r="U13" s="576"/>
      <c r="V13" s="577"/>
      <c r="W13" s="577"/>
      <c r="X13" s="578"/>
    </row>
    <row r="14" spans="1:24" ht="105" customHeight="1" x14ac:dyDescent="0.2">
      <c r="A14" s="478" t="str">
        <f>+A3</f>
        <v>110009_01</v>
      </c>
      <c r="B14" s="478"/>
      <c r="C14" s="478"/>
      <c r="D14" s="478"/>
      <c r="E14" s="478"/>
      <c r="F14" s="478"/>
      <c r="G14" s="478"/>
      <c r="H14" s="478"/>
      <c r="I14" s="478"/>
      <c r="J14" s="478"/>
      <c r="K14" s="478"/>
      <c r="L14" s="478"/>
      <c r="M14" s="478"/>
      <c r="N14" s="478"/>
      <c r="P14" s="579"/>
      <c r="Q14" s="580"/>
      <c r="R14" s="580"/>
      <c r="S14" s="581"/>
      <c r="U14" s="579"/>
      <c r="V14" s="580"/>
      <c r="W14" s="580"/>
      <c r="X14" s="581"/>
    </row>
    <row r="15" spans="1:24" ht="7.5" customHeight="1" x14ac:dyDescent="0.2">
      <c r="A15" s="478"/>
      <c r="B15" s="478"/>
      <c r="C15" s="478"/>
      <c r="D15" s="478"/>
      <c r="E15" s="478"/>
      <c r="F15" s="478"/>
      <c r="G15" s="478"/>
      <c r="H15" s="478"/>
      <c r="I15" s="478"/>
      <c r="J15" s="478"/>
      <c r="K15" s="478"/>
      <c r="L15" s="478"/>
      <c r="M15" s="478"/>
      <c r="N15" s="478"/>
    </row>
    <row r="16" spans="1:24" ht="22.5" customHeight="1" x14ac:dyDescent="0.2">
      <c r="A16" s="478"/>
      <c r="B16" s="478"/>
      <c r="C16" s="478"/>
      <c r="D16" s="478"/>
      <c r="E16" s="478"/>
      <c r="F16" s="478"/>
      <c r="G16" s="478"/>
      <c r="H16" s="478"/>
      <c r="I16" s="478"/>
      <c r="J16" s="478"/>
      <c r="K16" s="478"/>
      <c r="L16" s="478"/>
      <c r="M16" s="478"/>
      <c r="N16" s="478"/>
      <c r="O16" s="9"/>
      <c r="P16" s="472" t="str">
        <f>+INDEX('A-S'!$A:$N,MATCH('A-Print'!Q16,'A-S'!$G:$G,0),MATCH("Icon",'A-S'!$1:$1,0))</f>
        <v>020</v>
      </c>
      <c r="Q16" s="620" t="str">
        <f>+INDEX(ADV!$A:$Z,MATCH(A3,ADV!$A:$A,0),MATCH("Skill 2",ADV!$A$1:$AR$1,0))</f>
        <v>Blundering Bomber</v>
      </c>
      <c r="R16" s="494" t="str">
        <f>+IF(INDEX('A-S'!$A$1:$N$701,MATCH('A-Print'!Q16,'A-S'!$G$1:$G$701,0),MATCH("Shareable",'A-S'!$1:$1,0))="Y","Share Cost "&amp;INDEX('A-S'!$A$1:$N$701,MATCH('A-Print'!Q16,'A-S'!$G$1:$G$701,0),MATCH("Share Cost",'A-S'!$1:$1,0)),"Not Shareable")</f>
        <v>Not Shareable</v>
      </c>
      <c r="S16" s="15">
        <f>+INDEX('A-S'!$A:$N,MATCH('A-Print'!Q16,'A-S'!$G:$G,0),MATCH("SP Cost",'A-S'!$1:$1,0))</f>
        <v>5422</v>
      </c>
      <c r="T16" s="9"/>
      <c r="U16" s="472" t="str">
        <f>+INDEX('A-S'!$A:$N,MATCH('A-Print'!V16,'A-S'!$G:$G,0),MATCH("Icon",'A-S'!$1:$1,0))</f>
        <v>020</v>
      </c>
      <c r="V16" s="620" t="str">
        <f>+Q16</f>
        <v>Blundering Bomber</v>
      </c>
      <c r="W16" s="494" t="str">
        <f>+IF(INDEX('A-S'!$A$1:$N$701,MATCH('A-Print'!V16,'A-S'!$G$1:$G$701,0),MATCH("Shareable",'A-S'!$1:$1,0))="Y","Share Cost "&amp;INDEX('A-S'!$A$1:$N$701,MATCH('A-Print'!V16,'A-S'!$G$1:$G$701,0),MATCH("Share Cost",'A-S'!$1:$1,0)),"Not Shareable")</f>
        <v>Not Shareable</v>
      </c>
      <c r="X16" s="15">
        <f>+INDEX('A-S'!$A:$N,MATCH('A-Print'!V16,'A-S'!$G:$G,0),MATCH("SP Cost",'A-S'!$1:$1,0))</f>
        <v>5422</v>
      </c>
    </row>
    <row r="17" spans="1:24" ht="15" customHeight="1" x14ac:dyDescent="0.2">
      <c r="A17" s="478"/>
      <c r="B17" s="478"/>
      <c r="C17" s="478"/>
      <c r="D17" s="478"/>
      <c r="E17" s="478"/>
      <c r="F17" s="478"/>
      <c r="G17" s="478"/>
      <c r="H17" s="478"/>
      <c r="I17" s="478"/>
      <c r="J17" s="478"/>
      <c r="K17" s="478"/>
      <c r="L17" s="478"/>
      <c r="M17" s="478"/>
      <c r="N17" s="478"/>
      <c r="P17" s="472"/>
      <c r="Q17" s="621"/>
      <c r="R17" s="496"/>
      <c r="S17" s="16" t="str">
        <f>+INDEX('A-S'!$A:$N,MATCH('A-Print'!Q16,'A-S'!$G:$G,0),MATCH("Share SP",'A-S'!$1:$1,0))</f>
        <v>N/A</v>
      </c>
      <c r="U17" s="472"/>
      <c r="V17" s="621"/>
      <c r="W17" s="496"/>
      <c r="X17" s="16" t="str">
        <f>+INDEX('A-S'!$A:$N,MATCH('A-Print'!V16,'A-S'!$G:$G,0),MATCH("Share SP",'A-S'!$1:$1,0))</f>
        <v>N/A</v>
      </c>
    </row>
    <row r="18" spans="1:24" ht="225" customHeight="1" x14ac:dyDescent="0.2">
      <c r="A18" s="478"/>
      <c r="B18" s="478"/>
      <c r="C18" s="478"/>
      <c r="D18" s="478"/>
      <c r="E18" s="478"/>
      <c r="F18" s="478"/>
      <c r="G18" s="478"/>
      <c r="H18" s="478"/>
      <c r="I18" s="478"/>
      <c r="J18" s="478"/>
      <c r="K18" s="478"/>
      <c r="L18" s="478"/>
      <c r="M18" s="478"/>
      <c r="N18" s="478"/>
      <c r="P18" s="622" t="str">
        <f>+INDEX('A-S'!$A:$N,MATCH('A-Print'!Q16,'A-S'!$G:$G,0),MATCH("Description",'A-S'!$1:$1,0))</f>
        <v>Deals 2 hits of 1152% flame damage to the target and nearby enemies.</v>
      </c>
      <c r="Q18" s="623"/>
      <c r="R18" s="623"/>
      <c r="S18" s="624"/>
      <c r="U18" s="622" t="str">
        <f>+INDEX('A-S'!$A:$N,MATCH('A-Print'!V16,'A-S'!$G:$G,0),MATCH("Description V3",'A-S'!$1:$1,0))</f>
        <v>Deals 2 hits of 1300% flame damage to the target and nearby enemies, dispels one buff from each target, and inflicts burn for 21 seconds - dealing 50% flame damage every 2.9 seconds - with 120% base chance.</v>
      </c>
      <c r="V18" s="623"/>
      <c r="W18" s="623"/>
      <c r="X18" s="624"/>
    </row>
    <row r="19" spans="1:24" ht="7.5" customHeight="1" x14ac:dyDescent="0.2">
      <c r="A19" s="478"/>
      <c r="B19" s="478"/>
      <c r="C19" s="478"/>
      <c r="D19" s="478"/>
      <c r="E19" s="478"/>
      <c r="F19" s="478"/>
      <c r="G19" s="478"/>
      <c r="H19" s="478"/>
      <c r="I19" s="478"/>
      <c r="J19" s="478"/>
      <c r="K19" s="478"/>
      <c r="L19" s="478"/>
      <c r="M19" s="478"/>
      <c r="N19" s="478"/>
    </row>
    <row r="20" spans="1:24" ht="22.5" customHeight="1" x14ac:dyDescent="0.35">
      <c r="A20" s="478"/>
      <c r="B20" s="478"/>
      <c r="C20" s="478"/>
      <c r="D20" s="478"/>
      <c r="E20" s="478"/>
      <c r="F20" s="478"/>
      <c r="G20" s="478"/>
      <c r="H20" s="478"/>
      <c r="I20" s="478"/>
      <c r="J20" s="478"/>
      <c r="K20" s="478"/>
      <c r="L20" s="478"/>
      <c r="M20" s="478"/>
      <c r="N20" s="478"/>
      <c r="P20" s="456" t="s">
        <v>74</v>
      </c>
      <c r="Q20" s="457"/>
      <c r="R20" s="457"/>
      <c r="S20" s="457"/>
      <c r="U20" s="456" t="s">
        <v>75</v>
      </c>
      <c r="V20" s="457"/>
      <c r="W20" s="457"/>
      <c r="X20" s="457"/>
    </row>
    <row r="21" spans="1:24" ht="7.5" customHeight="1" x14ac:dyDescent="0.2">
      <c r="A21" s="478"/>
      <c r="B21" s="478"/>
      <c r="C21" s="478"/>
      <c r="D21" s="478"/>
      <c r="E21" s="478"/>
      <c r="F21" s="478"/>
      <c r="G21" s="478"/>
      <c r="H21" s="478"/>
      <c r="I21" s="478"/>
      <c r="J21" s="478"/>
      <c r="K21" s="478"/>
      <c r="L21" s="478"/>
      <c r="M21" s="478"/>
      <c r="N21" s="478"/>
    </row>
    <row r="22" spans="1:24" ht="37.5" customHeight="1" x14ac:dyDescent="0.2">
      <c r="A22" s="478"/>
      <c r="B22" s="478"/>
      <c r="C22" s="478"/>
      <c r="D22" s="478"/>
      <c r="E22" s="478"/>
      <c r="F22" s="478"/>
      <c r="G22" s="478"/>
      <c r="H22" s="478"/>
      <c r="I22" s="478"/>
      <c r="J22" s="478"/>
      <c r="K22" s="478"/>
      <c r="L22" s="478"/>
      <c r="M22" s="478"/>
      <c r="N22" s="478"/>
      <c r="P22" s="20">
        <f>+INDEX('A-A'!$A$1:$D$2286,MATCH('A-Print'!Q22,'A-A'!$A:$A,0),MATCH("Icon",'A-A'!$A$1:$D$1,0))</f>
        <v>1020002</v>
      </c>
      <c r="Q22" s="625" t="str">
        <f>+INDEX(ADV!$A:$Z,MATCH(A3,ADV!$A:$A,0),MATCH("Ability 1",ADV!$A$1:$AR$1,0))</f>
        <v>Full HP = Strength +13%</v>
      </c>
      <c r="R22" s="626"/>
      <c r="S22" s="627"/>
      <c r="U22" s="20">
        <f>+INDEX('A-A'!$A$1:$D$2286,MATCH('A-Print'!V22,'A-A'!$A:$A,0),MATCH("Icon",'A-A'!$A$1:$D$1,0))</f>
        <v>1020002</v>
      </c>
      <c r="V22" s="625" t="str">
        <f>+INDEX(ADV!$A:$Z,MATCH(A3,ADV!$A:$A,0),MATCH("Ability 1 V3",ADV!$A$1:$AR$1,0))</f>
        <v>Strength +20% (V3)</v>
      </c>
      <c r="W22" s="626"/>
      <c r="X22" s="627"/>
    </row>
    <row r="23" spans="1:24" ht="142.5" customHeight="1" x14ac:dyDescent="0.2">
      <c r="A23" s="478"/>
      <c r="B23" s="478"/>
      <c r="C23" s="478"/>
      <c r="D23" s="478"/>
      <c r="E23" s="478"/>
      <c r="F23" s="478"/>
      <c r="G23" s="478"/>
      <c r="H23" s="478"/>
      <c r="I23" s="478"/>
      <c r="J23" s="478"/>
      <c r="K23" s="478"/>
      <c r="L23" s="478"/>
      <c r="M23" s="478"/>
      <c r="N23" s="478"/>
      <c r="P23" s="573" t="str">
        <f>+INDEX('A-A'!$A$1:$H$2286,MATCH('A-Print'!Q22,'A-A'!$A:$A,0),MATCH("Description",'A-A'!$A$1:$H$1,0))</f>
        <v>Increases strength by 13% when HP is full.</v>
      </c>
      <c r="Q23" s="574"/>
      <c r="R23" s="574"/>
      <c r="S23" s="575"/>
      <c r="U23" s="573" t="str">
        <f>+INDEX('A-A'!$A$1:$H$2286,MATCH('A-Print'!V22,'A-A'!$A:$A,0),MATCH("Description",'A-A'!$A$1:$H$1,0))</f>
        <v>Increases strength by 20%.</v>
      </c>
      <c r="V23" s="574"/>
      <c r="W23" s="574"/>
      <c r="X23" s="575"/>
    </row>
    <row r="24" spans="1:24" ht="7.5" customHeight="1" x14ac:dyDescent="0.2">
      <c r="A24" s="19"/>
      <c r="B24" s="19"/>
      <c r="C24" s="19"/>
      <c r="D24" s="19"/>
      <c r="E24" s="19"/>
      <c r="F24" s="19"/>
      <c r="G24" s="19"/>
      <c r="H24" s="19"/>
      <c r="I24" s="19"/>
      <c r="J24" s="19"/>
      <c r="K24" s="19"/>
      <c r="L24" s="19"/>
      <c r="M24" s="19"/>
      <c r="N24" s="19"/>
      <c r="P24" s="576"/>
      <c r="Q24" s="577"/>
      <c r="R24" s="577"/>
      <c r="S24" s="578"/>
      <c r="U24" s="576"/>
      <c r="V24" s="577"/>
      <c r="W24" s="577"/>
      <c r="X24" s="578"/>
    </row>
    <row r="25" spans="1:24" ht="22.5" customHeight="1" x14ac:dyDescent="0.35">
      <c r="A25" s="456" t="s">
        <v>76</v>
      </c>
      <c r="B25" s="457"/>
      <c r="C25" s="457"/>
      <c r="D25" s="457"/>
      <c r="E25" s="21"/>
      <c r="F25" s="457" t="s">
        <v>83</v>
      </c>
      <c r="G25" s="457"/>
      <c r="H25" s="457"/>
      <c r="I25" s="457"/>
      <c r="J25" s="457"/>
      <c r="K25" s="457"/>
      <c r="L25" s="457"/>
      <c r="M25" s="457"/>
      <c r="N25" s="457"/>
      <c r="P25" s="576"/>
      <c r="Q25" s="577"/>
      <c r="R25" s="577"/>
      <c r="S25" s="578"/>
      <c r="U25" s="576"/>
      <c r="V25" s="577"/>
      <c r="W25" s="577"/>
      <c r="X25" s="578"/>
    </row>
    <row r="26" spans="1:24" ht="7.5" customHeight="1" x14ac:dyDescent="0.2">
      <c r="A26" s="22"/>
      <c r="B26" s="22"/>
      <c r="C26" s="22"/>
      <c r="D26" s="22"/>
      <c r="E26" s="22"/>
      <c r="F26" s="22"/>
      <c r="G26" s="22"/>
      <c r="H26" s="22"/>
      <c r="I26" s="22"/>
      <c r="J26" s="22"/>
      <c r="K26" s="22"/>
      <c r="L26" s="22"/>
      <c r="M26" s="22"/>
      <c r="N26" s="22"/>
      <c r="P26" s="576"/>
      <c r="Q26" s="577"/>
      <c r="R26" s="577"/>
      <c r="S26" s="578"/>
      <c r="U26" s="576"/>
      <c r="V26" s="577"/>
      <c r="W26" s="577"/>
      <c r="X26" s="578"/>
    </row>
    <row r="27" spans="1:24" ht="37.5" customHeight="1" x14ac:dyDescent="0.2">
      <c r="A27" s="631" t="str">
        <f>"Affliction: "&amp;INDEX(ADV!$A:$AR,MATCH(A3,ADV!$A:$A,0),MATCH("Affliction",ADV!$A$1:$AR$1,0))&amp;CHAR(10)&amp;"Amps: "&amp;INDEX(ADV!$A:$AR,MATCH(A3,ADV!$A:$A,0),MATCH("Amp",ADV!$A$1:$AR$1,0))&amp;CHAR(10)&amp;"Dispel: "&amp;INDEX(ADV!$A:$AR,MATCH(A3,ADV!$A:$A,0),MATCH("Dispel",ADV!$A$1:$AR$1,0))&amp;CHAR(10)&amp;"Extra: "&amp;INDEX(ADV!$A:$AR,MATCH(A3,ADV!$A:$A,0),MATCH("Extra",ADV!$A$1:$AR$1,0))&amp;CHAR(10)&amp;"Notes: "&amp;INDEX(ADV!$A:$AR,MATCH(A3,ADV!$A:$A,0),MATCH("Notes",ADV!$A$1:$AR$1,0))</f>
        <v>Affliction: Added Burn
Amps: Added Strength Amp (Max Lv. = 1) &amp; Defense Amp (Max Lv. = 1) granted by Custom Concotion
Dispel: Added to Burning Bomber
Extra: HP Up
Notes: Sinoa was mostly useful due to her ability to grant an HP up effect, but had little application beyond this niche, due to her lack of consistent buffs, afflictions, or dispel. This revision changes that, boosts her buff skills and strength, and removes the random elements of her kit.</v>
      </c>
      <c r="B27" s="632"/>
      <c r="C27" s="632"/>
      <c r="D27" s="633"/>
      <c r="E27" s="22"/>
      <c r="F27" s="556">
        <f>+INDEX('A-CA'!$A$1:$C$2906,MATCH('A-Print'!I27,'A-CA'!$A:$A,0),MATCH("Icon",'A-CA'!$A$1:$C$1,0))</f>
        <v>1010002</v>
      </c>
      <c r="G27" s="556"/>
      <c r="H27" s="557"/>
      <c r="I27" s="628" t="str">
        <f>+INDEX(ADV!$A:$Z,MATCH(A3,ADV!$A:$A,0),MATCH("Co-Ability",ADV!$A$1:$AR$1,0))</f>
        <v>Skill Damage +15%</v>
      </c>
      <c r="J27" s="629"/>
      <c r="K27" s="629"/>
      <c r="L27" s="629"/>
      <c r="M27" s="629"/>
      <c r="N27" s="630"/>
      <c r="P27" s="576"/>
      <c r="Q27" s="577"/>
      <c r="R27" s="577"/>
      <c r="S27" s="578"/>
      <c r="U27" s="576"/>
      <c r="V27" s="577"/>
      <c r="W27" s="577"/>
      <c r="X27" s="578"/>
    </row>
    <row r="28" spans="1:24" ht="15" customHeight="1" x14ac:dyDescent="0.2">
      <c r="A28" s="634"/>
      <c r="B28" s="635"/>
      <c r="C28" s="635"/>
      <c r="D28" s="636"/>
      <c r="E28" s="23"/>
      <c r="F28" s="640" t="str">
        <f>+INDEX('A-CA'!$A:$G,MATCH('A-Print'!I27,'A-CA'!$A:$A,0),MATCH("Description",'A-CA'!$A$1:$G$1,0))</f>
        <v>Increases Skill Damage by 15%. Benefits your whole team.</v>
      </c>
      <c r="G28" s="641"/>
      <c r="H28" s="641"/>
      <c r="I28" s="641"/>
      <c r="J28" s="641"/>
      <c r="K28" s="641"/>
      <c r="L28" s="641"/>
      <c r="M28" s="641"/>
      <c r="N28" s="642"/>
      <c r="P28" s="579"/>
      <c r="Q28" s="580"/>
      <c r="R28" s="580"/>
      <c r="S28" s="581"/>
      <c r="U28" s="579"/>
      <c r="V28" s="580"/>
      <c r="W28" s="580"/>
      <c r="X28" s="581"/>
    </row>
    <row r="29" spans="1:24" ht="7.5" customHeight="1" x14ac:dyDescent="0.2">
      <c r="A29" s="634"/>
      <c r="B29" s="635"/>
      <c r="C29" s="635"/>
      <c r="D29" s="636"/>
      <c r="E29" s="23"/>
      <c r="F29" s="643"/>
      <c r="G29" s="644"/>
      <c r="H29" s="644"/>
      <c r="I29" s="644"/>
      <c r="J29" s="644"/>
      <c r="K29" s="644"/>
      <c r="L29" s="644"/>
      <c r="M29" s="644"/>
      <c r="N29" s="645"/>
    </row>
    <row r="30" spans="1:24" ht="37.5" customHeight="1" x14ac:dyDescent="0.2">
      <c r="A30" s="634"/>
      <c r="B30" s="635"/>
      <c r="C30" s="635"/>
      <c r="D30" s="636"/>
      <c r="E30" s="23"/>
      <c r="F30" s="643"/>
      <c r="G30" s="644"/>
      <c r="H30" s="644"/>
      <c r="I30" s="644"/>
      <c r="J30" s="644"/>
      <c r="K30" s="644"/>
      <c r="L30" s="644"/>
      <c r="M30" s="644"/>
      <c r="N30" s="645"/>
      <c r="P30" s="20">
        <f>+INDEX('A-A'!$A$1:$D$2286,MATCH('A-Print'!Q30,'A-A'!$A:$A,0),MATCH("Icon",'A-A'!$A$1:$D$1,0))</f>
        <v>1010006</v>
      </c>
      <c r="Q30" s="625" t="str">
        <f>+INDEX(ADV!$A:$Z,MATCH(A3,ADV!$A:$A,0),MATCH("Ability 3",ADV!$A$1:$AR$1,0))</f>
        <v>Buff Skill Time +20%</v>
      </c>
      <c r="R30" s="626"/>
      <c r="S30" s="627"/>
      <c r="U30" s="20">
        <f>+INDEX('A-A'!$A$1:$D$2286,MATCH('A-Print'!V30,'A-A'!$A:$A,0),MATCH("Icon",'A-A'!$A$1:$D$1,0))</f>
        <v>1010006</v>
      </c>
      <c r="V30" s="625" t="str">
        <f>+INDEX(ADV!$A:$Z,MATCH(A3,ADV!$A:$A,0),MATCH("Ability 3 V3",ADV!$A$1:$AR$1,0))</f>
        <v>Intrepid Scholar (V3)</v>
      </c>
      <c r="W30" s="626"/>
      <c r="X30" s="627"/>
    </row>
    <row r="31" spans="1:24" ht="15" customHeight="1" x14ac:dyDescent="0.2">
      <c r="A31" s="634"/>
      <c r="B31" s="635"/>
      <c r="C31" s="635"/>
      <c r="D31" s="636"/>
      <c r="E31" s="23"/>
      <c r="F31" s="646"/>
      <c r="G31" s="647"/>
      <c r="H31" s="647"/>
      <c r="I31" s="647"/>
      <c r="J31" s="647"/>
      <c r="K31" s="647"/>
      <c r="L31" s="647"/>
      <c r="M31" s="647"/>
      <c r="N31" s="648"/>
      <c r="P31" s="573" t="str">
        <f>+INDEX('A-A'!$A$1:$H$2286,MATCH('A-Print'!Q30,'A-A'!$A:$A,0),MATCH("Description",'A-A'!$A$1:$H$1,0))</f>
        <v>Increases duration of buff skills by 20%.</v>
      </c>
      <c r="Q31" s="574"/>
      <c r="R31" s="574"/>
      <c r="S31" s="575"/>
      <c r="U31" s="573" t="str">
        <f>+INDEX('A-A'!$A$1:$H$2286,MATCH('A-Print'!V30,'A-A'!$A:$A,0),MATCH("Description",'A-A'!$A$1:$H$1,0))</f>
        <v xml:space="preserve">Increases duration of buff skills by 35%. Also, using Custom Concoction will grant Sinoa a strength amp (Team Amp MAX Lv. = 1) and a defense amp (Team Amp MAX Lv. = 1). After these amps are granted, this ability will not grant them again for 8 seconds. </v>
      </c>
      <c r="V31" s="574"/>
      <c r="W31" s="574"/>
      <c r="X31" s="575"/>
    </row>
    <row r="32" spans="1:24" ht="7.5" customHeight="1" x14ac:dyDescent="0.2">
      <c r="A32" s="634"/>
      <c r="B32" s="635"/>
      <c r="C32" s="635"/>
      <c r="D32" s="636"/>
      <c r="E32" s="23"/>
      <c r="F32" s="23"/>
      <c r="G32" s="23"/>
      <c r="H32" s="23"/>
      <c r="I32" s="23"/>
      <c r="J32" s="23"/>
      <c r="K32" s="23"/>
      <c r="L32" s="23"/>
      <c r="M32" s="23"/>
      <c r="N32" s="41"/>
      <c r="P32" s="576"/>
      <c r="Q32" s="577"/>
      <c r="R32" s="577"/>
      <c r="S32" s="578"/>
      <c r="U32" s="576"/>
      <c r="V32" s="577"/>
      <c r="W32" s="577"/>
      <c r="X32" s="578"/>
    </row>
    <row r="33" spans="1:24" ht="37.5" customHeight="1" x14ac:dyDescent="0.2">
      <c r="A33" s="634"/>
      <c r="B33" s="635"/>
      <c r="C33" s="635"/>
      <c r="D33" s="636"/>
      <c r="E33" s="23"/>
      <c r="F33" s="556">
        <f>+INDEX('A-CA'!$A$1:$C$2906,MATCH('A-Print'!I33,'A-CA'!$A:$A,0),MATCH("Icon",'A-CA'!$A$1:$C$1,0))</f>
        <v>1080003</v>
      </c>
      <c r="G33" s="556"/>
      <c r="H33" s="556"/>
      <c r="I33" s="628" t="str">
        <f>+INDEX(ADV!$A:$Z,MATCH(A3,ADV!$A:$A,0),MATCH("Chain Co-Ability",ADV!$A$1:$AR$1,0))</f>
        <v>(Flame) HP 80% = Wind Res +5%</v>
      </c>
      <c r="J33" s="629"/>
      <c r="K33" s="629"/>
      <c r="L33" s="629"/>
      <c r="M33" s="629"/>
      <c r="N33" s="630"/>
      <c r="P33" s="576"/>
      <c r="Q33" s="577"/>
      <c r="R33" s="577"/>
      <c r="S33" s="578"/>
      <c r="U33" s="576"/>
      <c r="V33" s="577"/>
      <c r="W33" s="577"/>
      <c r="X33" s="578"/>
    </row>
    <row r="34" spans="1:24" ht="37.5" customHeight="1" x14ac:dyDescent="0.2">
      <c r="A34" s="634"/>
      <c r="B34" s="635"/>
      <c r="C34" s="635"/>
      <c r="D34" s="636"/>
      <c r="E34" s="21"/>
      <c r="F34" s="640" t="str">
        <f>+INDEX('A-CA'!$A:$G,MATCH('A-Print'!I33,'A-CA'!$A:$A,0),MATCH("Description",'A-CA'!$A$1:$G$1,0))</f>
        <v>If a team member is attuned to Flame: reduces wind damage taken by them by 5% when their HP is 80% or above. Benefits your whole team.</v>
      </c>
      <c r="G34" s="641"/>
      <c r="H34" s="641"/>
      <c r="I34" s="641"/>
      <c r="J34" s="641"/>
      <c r="K34" s="641"/>
      <c r="L34" s="641"/>
      <c r="M34" s="641"/>
      <c r="N34" s="642"/>
      <c r="P34" s="576"/>
      <c r="Q34" s="577"/>
      <c r="R34" s="577"/>
      <c r="S34" s="578"/>
      <c r="U34" s="576"/>
      <c r="V34" s="577"/>
      <c r="W34" s="577"/>
      <c r="X34" s="578"/>
    </row>
    <row r="35" spans="1:24" ht="90" customHeight="1" x14ac:dyDescent="0.2">
      <c r="A35" s="634"/>
      <c r="B35" s="635"/>
      <c r="C35" s="635"/>
      <c r="D35" s="636"/>
      <c r="E35" s="21"/>
      <c r="F35" s="646"/>
      <c r="G35" s="647"/>
      <c r="H35" s="647"/>
      <c r="I35" s="647"/>
      <c r="J35" s="647"/>
      <c r="K35" s="647"/>
      <c r="L35" s="647"/>
      <c r="M35" s="647"/>
      <c r="N35" s="648"/>
      <c r="P35" s="576"/>
      <c r="Q35" s="577"/>
      <c r="R35" s="577"/>
      <c r="S35" s="578"/>
      <c r="U35" s="576"/>
      <c r="V35" s="577"/>
      <c r="W35" s="577"/>
      <c r="X35" s="578"/>
    </row>
    <row r="36" spans="1:24" ht="7.5" customHeight="1" x14ac:dyDescent="0.2">
      <c r="A36" s="634"/>
      <c r="B36" s="635"/>
      <c r="C36" s="635"/>
      <c r="D36" s="636"/>
      <c r="E36" s="21"/>
      <c r="P36" s="576"/>
      <c r="Q36" s="577"/>
      <c r="R36" s="577"/>
      <c r="S36" s="578"/>
      <c r="U36" s="576"/>
      <c r="V36" s="577"/>
      <c r="W36" s="577"/>
      <c r="X36" s="578"/>
    </row>
    <row r="37" spans="1:24" ht="22.5" customHeight="1" x14ac:dyDescent="0.35">
      <c r="A37" s="634"/>
      <c r="B37" s="635"/>
      <c r="C37" s="635"/>
      <c r="D37" s="636"/>
      <c r="E37" s="21"/>
      <c r="F37" s="457" t="s">
        <v>84</v>
      </c>
      <c r="G37" s="457"/>
      <c r="H37" s="457"/>
      <c r="I37" s="457"/>
      <c r="J37" s="457"/>
      <c r="K37" s="457"/>
      <c r="L37" s="457"/>
      <c r="M37" s="457"/>
      <c r="N37" s="457"/>
      <c r="P37" s="576"/>
      <c r="Q37" s="577"/>
      <c r="R37" s="577"/>
      <c r="S37" s="578"/>
      <c r="U37" s="576"/>
      <c r="V37" s="577"/>
      <c r="W37" s="577"/>
      <c r="X37" s="578"/>
    </row>
    <row r="38" spans="1:24" ht="7.5" customHeight="1" x14ac:dyDescent="0.2">
      <c r="A38" s="634"/>
      <c r="B38" s="635"/>
      <c r="C38" s="635"/>
      <c r="D38" s="636"/>
      <c r="E38" s="21"/>
      <c r="P38" s="576"/>
      <c r="Q38" s="577"/>
      <c r="R38" s="577"/>
      <c r="S38" s="578"/>
      <c r="U38" s="576"/>
      <c r="V38" s="577"/>
      <c r="W38" s="577"/>
      <c r="X38" s="578"/>
    </row>
    <row r="39" spans="1:24" ht="7.5" customHeight="1" x14ac:dyDescent="0.2">
      <c r="A39" s="634"/>
      <c r="B39" s="635"/>
      <c r="C39" s="635"/>
      <c r="D39" s="636"/>
      <c r="E39" s="24"/>
      <c r="F39" s="556">
        <f>+INDEX('A-CA'!$A$1:$C$2906,MATCH('A-Print'!I39,'A-CA'!$A:$A,0),MATCH("Icon",'A-CA'!$A$1:$C$1,0))</f>
        <v>1080003</v>
      </c>
      <c r="G39" s="556"/>
      <c r="H39" s="556"/>
      <c r="I39" s="649" t="str">
        <f>+INDEX(ADV!$A:$Z,MATCH(A3,ADV!$A:$A,0),MATCH("Chain Co-Ability V3",ADV!$A$1:$AR$1,0))</f>
        <v>Wind Res +10%</v>
      </c>
      <c r="J39" s="650"/>
      <c r="K39" s="650"/>
      <c r="L39" s="650"/>
      <c r="M39" s="650"/>
      <c r="N39" s="651"/>
      <c r="P39" s="579"/>
      <c r="Q39" s="580"/>
      <c r="R39" s="580"/>
      <c r="S39" s="581"/>
      <c r="U39" s="579"/>
      <c r="V39" s="580"/>
      <c r="W39" s="580"/>
      <c r="X39" s="581"/>
    </row>
    <row r="40" spans="1:24" ht="7.5" customHeight="1" x14ac:dyDescent="0.2">
      <c r="A40" s="634"/>
      <c r="B40" s="635"/>
      <c r="C40" s="635"/>
      <c r="D40" s="636"/>
      <c r="F40" s="556"/>
      <c r="G40" s="556"/>
      <c r="H40" s="556"/>
      <c r="I40" s="652"/>
      <c r="J40" s="653"/>
      <c r="K40" s="653"/>
      <c r="L40" s="653"/>
      <c r="M40" s="653"/>
      <c r="N40" s="654"/>
    </row>
    <row r="41" spans="1:24" ht="22.5" customHeight="1" x14ac:dyDescent="0.2">
      <c r="A41" s="634"/>
      <c r="B41" s="635"/>
      <c r="C41" s="635"/>
      <c r="D41" s="636"/>
      <c r="F41" s="556"/>
      <c r="G41" s="556"/>
      <c r="H41" s="556"/>
      <c r="I41" s="655"/>
      <c r="J41" s="656"/>
      <c r="K41" s="656"/>
      <c r="L41" s="656"/>
      <c r="M41" s="656"/>
      <c r="N41" s="657"/>
      <c r="P41" s="534">
        <f>+INDEX('A-A'!$A$1:$D$2286,MATCH('A-Print'!Q41,'A-A'!$A:$A,0),MATCH("Icon",'A-A'!$A$1:$D$1,0))</f>
        <v>1030010</v>
      </c>
      <c r="Q41" s="541" t="str">
        <f>+INDEX(ADV!$A:$Z,MATCH(A3,ADV!$A:$A,0),MATCH("Ability 2",ADV!$A$1:$AR$1,0))</f>
        <v>Sleep Res +100%</v>
      </c>
      <c r="R41" s="542"/>
      <c r="S41" s="543"/>
      <c r="U41" s="534">
        <f>+INDEX('A-A'!$A$1:$D$2286,MATCH('A-Print'!V41,'A-A'!$A:$A,0),MATCH("Icon",'A-A'!$A$1:$D$1,0))</f>
        <v>1030027</v>
      </c>
      <c r="V41" s="541" t="str">
        <f>+INDEX(ADV!$A:$Z,MATCH(A3,ADV!$A:$A,0),MATCH("Ability 2 V3",ADV!$A$1:$AR$1,0))</f>
        <v>Potent Sleep Res +100%</v>
      </c>
      <c r="W41" s="542"/>
      <c r="X41" s="543"/>
    </row>
    <row r="42" spans="1:24" ht="15" customHeight="1" x14ac:dyDescent="0.2">
      <c r="A42" s="634"/>
      <c r="B42" s="635"/>
      <c r="C42" s="635"/>
      <c r="D42" s="636"/>
      <c r="F42" s="640" t="str">
        <f>+INDEX('A-CA'!$A:$G,MATCH('A-Print'!I39,'A-CA'!$A:$A,0),MATCH("Description",'A-CA'!$A$1:$G$1,0))</f>
        <v>Increases wind resistance by 10%. Benefits your whole team.</v>
      </c>
      <c r="G42" s="641"/>
      <c r="H42" s="641"/>
      <c r="I42" s="641"/>
      <c r="J42" s="641"/>
      <c r="K42" s="641"/>
      <c r="L42" s="641"/>
      <c r="M42" s="641"/>
      <c r="N42" s="642"/>
      <c r="P42" s="534"/>
      <c r="Q42" s="544"/>
      <c r="R42" s="545"/>
      <c r="S42" s="546"/>
      <c r="U42" s="534"/>
      <c r="V42" s="544"/>
      <c r="W42" s="545"/>
      <c r="X42" s="546"/>
    </row>
    <row r="43" spans="1:24" ht="112.5" customHeight="1" x14ac:dyDescent="0.2">
      <c r="A43" s="637"/>
      <c r="B43" s="638"/>
      <c r="C43" s="638"/>
      <c r="D43" s="639"/>
      <c r="F43" s="646"/>
      <c r="G43" s="647"/>
      <c r="H43" s="647"/>
      <c r="I43" s="647"/>
      <c r="J43" s="647"/>
      <c r="K43" s="647"/>
      <c r="L43" s="647"/>
      <c r="M43" s="647"/>
      <c r="N43" s="648"/>
      <c r="P43" s="622" t="str">
        <f>+INDEX('A-A'!$A$1:$H$2286,MATCH('A-Print'!Q41,'A-A'!$A:$A,0),MATCH("Description",'A-A'!$A$1:$H$1,0))</f>
        <v>Reduces susceptibility to sleep by 100%.</v>
      </c>
      <c r="Q43" s="623"/>
      <c r="R43" s="623"/>
      <c r="S43" s="624"/>
      <c r="U43" s="622" t="str">
        <f>+INDEX('A-A'!$A$1:$H$2286,MATCH('A-Print'!V41,'A-A'!$A:$A,0),MATCH("Description",'A-A'!$A$1:$H$1,0))</f>
        <v>Reduces susceptibility to sleep by 100%. When the user is hit by an attack that would have put them to sleep, their strength is increased by 15% for 10 seconds. After activating, this buff will not activate again for 15 seconds.</v>
      </c>
      <c r="V43" s="623"/>
      <c r="W43" s="623"/>
      <c r="X43" s="624"/>
    </row>
  </sheetData>
  <mergeCells count="62">
    <mergeCell ref="I39:N41"/>
    <mergeCell ref="U43:X43"/>
    <mergeCell ref="Q30:S30"/>
    <mergeCell ref="V30:X30"/>
    <mergeCell ref="P31:S39"/>
    <mergeCell ref="U31:X39"/>
    <mergeCell ref="U41:U42"/>
    <mergeCell ref="V41:X42"/>
    <mergeCell ref="U23:X28"/>
    <mergeCell ref="A25:D25"/>
    <mergeCell ref="F25:N25"/>
    <mergeCell ref="P41:P42"/>
    <mergeCell ref="Q41:S42"/>
    <mergeCell ref="I27:N27"/>
    <mergeCell ref="I33:N33"/>
    <mergeCell ref="A27:D43"/>
    <mergeCell ref="F39:H41"/>
    <mergeCell ref="F27:H27"/>
    <mergeCell ref="F28:N31"/>
    <mergeCell ref="F42:N43"/>
    <mergeCell ref="F37:N37"/>
    <mergeCell ref="F33:H33"/>
    <mergeCell ref="P43:S43"/>
    <mergeCell ref="F34:N35"/>
    <mergeCell ref="U18:X18"/>
    <mergeCell ref="P20:S20"/>
    <mergeCell ref="U20:X20"/>
    <mergeCell ref="Q22:S22"/>
    <mergeCell ref="V22:X22"/>
    <mergeCell ref="P18:S18"/>
    <mergeCell ref="X4:X5"/>
    <mergeCell ref="R16:R17"/>
    <mergeCell ref="U16:U17"/>
    <mergeCell ref="V16:V17"/>
    <mergeCell ref="W16:W17"/>
    <mergeCell ref="U1:X1"/>
    <mergeCell ref="A5:B12"/>
    <mergeCell ref="D5:J6"/>
    <mergeCell ref="P6:S14"/>
    <mergeCell ref="U6:X14"/>
    <mergeCell ref="D8:J8"/>
    <mergeCell ref="D9:J13"/>
    <mergeCell ref="A14:N23"/>
    <mergeCell ref="P16:P17"/>
    <mergeCell ref="Q16:Q17"/>
    <mergeCell ref="R3:R5"/>
    <mergeCell ref="U3:U5"/>
    <mergeCell ref="V3:V5"/>
    <mergeCell ref="W3:W5"/>
    <mergeCell ref="S4:S5"/>
    <mergeCell ref="P3:P5"/>
    <mergeCell ref="P23:S28"/>
    <mergeCell ref="Q3:Q5"/>
    <mergeCell ref="A1:B1"/>
    <mergeCell ref="D1:J1"/>
    <mergeCell ref="L1:N1"/>
    <mergeCell ref="P1:S1"/>
    <mergeCell ref="L2:N13"/>
    <mergeCell ref="A3:B3"/>
    <mergeCell ref="D3:J3"/>
    <mergeCell ref="D7:G7"/>
    <mergeCell ref="H7:I7"/>
  </mergeCells>
  <conditionalFormatting sqref="D7">
    <cfRule type="cellIs" dxfId="3" priority="1" operator="equal">
      <formula>"Healing Unit"</formula>
    </cfRule>
    <cfRule type="cellIs" dxfId="2" priority="2" operator="equal">
      <formula>"Support Unit"</formula>
    </cfRule>
    <cfRule type="cellIs" dxfId="1" priority="3" operator="equal">
      <formula>"Defense Unit"</formula>
    </cfRule>
    <cfRule type="cellIs" dxfId="0" priority="4" operator="equal">
      <formula>"Attack Unit"</formula>
    </cfRule>
  </conditionalFormatting>
  <printOptions horizontalCentered="1" verticalCentered="1"/>
  <pageMargins left="0" right="0" top="0" bottom="0" header="0" footer="0"/>
  <pageSetup scale="47" fitToWidth="0" orientation="landscape"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46A6A4-4861-40E4-927B-C20700558112}">
  <sheetPr codeName="Sheet4"/>
  <dimension ref="A1:AF307"/>
  <sheetViews>
    <sheetView workbookViewId="0">
      <pane xSplit="3" ySplit="1" topLeftCell="D2" activePane="bottomRight" state="frozen"/>
      <selection pane="topRight" activeCell="D1" sqref="D1"/>
      <selection pane="bottomLeft" activeCell="A2" sqref="A2"/>
      <selection pane="bottomRight"/>
    </sheetView>
  </sheetViews>
  <sheetFormatPr defaultRowHeight="14.25" customHeight="1" outlineLevelCol="1" x14ac:dyDescent="0.2"/>
  <cols>
    <col min="1" max="1" width="9.375" bestFit="1" customWidth="1"/>
    <col min="2" max="2" width="6.625" bestFit="1" customWidth="1"/>
    <col min="3" max="3" width="15" customWidth="1"/>
    <col min="4" max="4" width="18.875" customWidth="1"/>
    <col min="5" max="6" width="10" customWidth="1"/>
    <col min="7" max="7" width="11" bestFit="1" customWidth="1"/>
    <col min="8" max="8" width="12.125" customWidth="1"/>
    <col min="9" max="9" width="7.125" bestFit="1" customWidth="1"/>
    <col min="10" max="10" width="7" bestFit="1" customWidth="1"/>
    <col min="11" max="11" width="9.75" bestFit="1" customWidth="1"/>
    <col min="12" max="12" width="5.125" customWidth="1" outlineLevel="1"/>
    <col min="13" max="13" width="5.75" customWidth="1" outlineLevel="1"/>
    <col min="14" max="14" width="5.125" customWidth="1" outlineLevel="1"/>
    <col min="15" max="15" width="5.75" customWidth="1" outlineLevel="1"/>
    <col min="16" max="16" width="27.5" customWidth="1" outlineLevel="1"/>
    <col min="17" max="17" width="24.25" customWidth="1" outlineLevel="1"/>
    <col min="18" max="18" width="35.875" customWidth="1" outlineLevel="1"/>
    <col min="19" max="19" width="42.875" customWidth="1" outlineLevel="1"/>
    <col min="20" max="20" width="35" customWidth="1" outlineLevel="1"/>
    <col min="21" max="21" width="34.25" customWidth="1" outlineLevel="1"/>
    <col min="22" max="22" width="23" customWidth="1" outlineLevel="1"/>
    <col min="23" max="23" width="40" customWidth="1" outlineLevel="1"/>
    <col min="24" max="24" width="34.25" customWidth="1"/>
    <col min="25" max="25" width="23" customWidth="1"/>
    <col min="26" max="26" width="35.75" customWidth="1"/>
    <col min="27" max="27" width="21.5" customWidth="1"/>
    <col min="28" max="28" width="69.875" customWidth="1"/>
    <col min="29" max="29" width="26.125" customWidth="1"/>
    <col min="30" max="30" width="18.5" customWidth="1"/>
  </cols>
  <sheetData>
    <row r="1" spans="1:32" s="1" customFormat="1" ht="14.25" customHeight="1" x14ac:dyDescent="0.2">
      <c r="A1" s="2" t="s">
        <v>87</v>
      </c>
      <c r="B1" s="2" t="s">
        <v>88</v>
      </c>
      <c r="C1" s="2" t="s">
        <v>89</v>
      </c>
      <c r="D1" s="2" t="s">
        <v>90</v>
      </c>
      <c r="E1" s="2" t="s">
        <v>91</v>
      </c>
      <c r="F1" s="2" t="s">
        <v>80</v>
      </c>
      <c r="G1" s="2" t="s">
        <v>92</v>
      </c>
      <c r="H1" s="2" t="s">
        <v>93</v>
      </c>
      <c r="I1" s="2" t="s">
        <v>94</v>
      </c>
      <c r="J1" s="2" t="s">
        <v>23</v>
      </c>
      <c r="K1" s="2" t="s">
        <v>95</v>
      </c>
      <c r="L1" s="2" t="s">
        <v>96</v>
      </c>
      <c r="M1" s="2" t="s">
        <v>97</v>
      </c>
      <c r="N1" s="2" t="s">
        <v>98</v>
      </c>
      <c r="O1" s="2" t="s">
        <v>99</v>
      </c>
      <c r="P1" s="2" t="s">
        <v>100</v>
      </c>
      <c r="Q1" s="2" t="s">
        <v>101</v>
      </c>
      <c r="R1" s="2" t="s">
        <v>77</v>
      </c>
      <c r="S1" s="2" t="s">
        <v>102</v>
      </c>
      <c r="T1" s="2" t="s">
        <v>103</v>
      </c>
      <c r="U1" s="2" t="s">
        <v>104</v>
      </c>
      <c r="V1" s="2" t="s">
        <v>105</v>
      </c>
      <c r="W1" s="2" t="s">
        <v>106</v>
      </c>
      <c r="X1" s="2" t="s">
        <v>107</v>
      </c>
      <c r="Y1" s="2" t="s">
        <v>108</v>
      </c>
      <c r="Z1" s="2" t="s">
        <v>109</v>
      </c>
      <c r="AA1" s="2" t="s">
        <v>110</v>
      </c>
      <c r="AB1" s="2" t="s">
        <v>111</v>
      </c>
      <c r="AC1" s="2" t="s">
        <v>36</v>
      </c>
      <c r="AD1" s="2" t="s">
        <v>112</v>
      </c>
      <c r="AE1" s="2" t="s">
        <v>113</v>
      </c>
    </row>
    <row r="2" spans="1:32" ht="14.25" customHeight="1" x14ac:dyDescent="0.2">
      <c r="A2" t="s">
        <v>114</v>
      </c>
      <c r="B2" t="s">
        <v>115</v>
      </c>
      <c r="C2" t="s">
        <v>116</v>
      </c>
      <c r="D2" t="s">
        <v>117</v>
      </c>
      <c r="E2" s="4" t="s">
        <v>118</v>
      </c>
      <c r="F2" t="s">
        <v>119</v>
      </c>
      <c r="G2" s="5">
        <v>44452</v>
      </c>
      <c r="H2" t="s">
        <v>120</v>
      </c>
      <c r="I2" t="s">
        <v>121</v>
      </c>
      <c r="J2" t="s">
        <v>122</v>
      </c>
      <c r="K2" t="s">
        <v>123</v>
      </c>
      <c r="L2">
        <v>754</v>
      </c>
      <c r="M2">
        <v>505</v>
      </c>
      <c r="N2">
        <v>1100</v>
      </c>
      <c r="O2">
        <v>725</v>
      </c>
      <c r="P2" t="s">
        <v>124</v>
      </c>
      <c r="Q2" t="s">
        <v>125</v>
      </c>
      <c r="R2" t="s">
        <v>126</v>
      </c>
      <c r="S2" t="s">
        <v>127</v>
      </c>
      <c r="T2" t="s">
        <v>128</v>
      </c>
      <c r="U2" t="s">
        <v>129</v>
      </c>
      <c r="V2" t="s">
        <v>130</v>
      </c>
      <c r="W2" t="s">
        <v>131</v>
      </c>
      <c r="X2" t="s">
        <v>129</v>
      </c>
      <c r="Y2" t="s">
        <v>132</v>
      </c>
      <c r="Z2" t="s">
        <v>133</v>
      </c>
      <c r="AA2" t="s">
        <v>134</v>
      </c>
      <c r="AB2" t="s">
        <v>135</v>
      </c>
      <c r="AC2" t="s">
        <v>136</v>
      </c>
      <c r="AD2" t="s">
        <v>137</v>
      </c>
      <c r="AE2" t="s">
        <v>138</v>
      </c>
    </row>
    <row r="3" spans="1:32" ht="14.25" customHeight="1" x14ac:dyDescent="0.2">
      <c r="A3" t="s">
        <v>139</v>
      </c>
      <c r="B3" t="s">
        <v>140</v>
      </c>
      <c r="C3" t="s">
        <v>141</v>
      </c>
      <c r="D3" t="s">
        <v>142</v>
      </c>
      <c r="E3" s="4" t="s">
        <v>143</v>
      </c>
      <c r="F3" t="s">
        <v>144</v>
      </c>
      <c r="G3" s="5">
        <v>43951</v>
      </c>
      <c r="H3" t="s">
        <v>145</v>
      </c>
      <c r="I3" t="s">
        <v>121</v>
      </c>
      <c r="J3" t="s">
        <v>122</v>
      </c>
      <c r="K3" t="s">
        <v>123</v>
      </c>
      <c r="L3">
        <v>754</v>
      </c>
      <c r="M3">
        <v>505</v>
      </c>
      <c r="N3">
        <v>1100</v>
      </c>
      <c r="O3">
        <v>725</v>
      </c>
      <c r="P3" t="s">
        <v>146</v>
      </c>
      <c r="Q3" t="s">
        <v>147</v>
      </c>
      <c r="R3" t="s">
        <v>148</v>
      </c>
      <c r="S3" t="s">
        <v>149</v>
      </c>
      <c r="T3" t="s">
        <v>150</v>
      </c>
      <c r="U3" t="s">
        <v>151</v>
      </c>
      <c r="V3" t="s">
        <v>152</v>
      </c>
      <c r="W3" t="s">
        <v>153</v>
      </c>
      <c r="X3" t="s">
        <v>154</v>
      </c>
      <c r="Y3" t="s">
        <v>155</v>
      </c>
      <c r="Z3" t="s">
        <v>156</v>
      </c>
      <c r="AA3" t="s">
        <v>134</v>
      </c>
      <c r="AB3" t="s">
        <v>157</v>
      </c>
      <c r="AC3" t="s">
        <v>158</v>
      </c>
      <c r="AD3" t="s">
        <v>137</v>
      </c>
      <c r="AE3" t="s">
        <v>159</v>
      </c>
    </row>
    <row r="4" spans="1:32" ht="14.25" customHeight="1" x14ac:dyDescent="0.2">
      <c r="A4" t="s">
        <v>160</v>
      </c>
      <c r="B4" t="s">
        <v>161</v>
      </c>
      <c r="C4" t="s">
        <v>162</v>
      </c>
      <c r="D4" t="s">
        <v>163</v>
      </c>
      <c r="E4" s="4" t="s">
        <v>164</v>
      </c>
      <c r="F4" t="s">
        <v>165</v>
      </c>
      <c r="G4" s="5">
        <v>43859</v>
      </c>
      <c r="H4" t="s">
        <v>166</v>
      </c>
      <c r="I4" t="s">
        <v>121</v>
      </c>
      <c r="J4" t="s">
        <v>122</v>
      </c>
      <c r="K4" t="s">
        <v>123</v>
      </c>
      <c r="L4">
        <v>754</v>
      </c>
      <c r="M4">
        <v>505</v>
      </c>
      <c r="N4">
        <v>1100</v>
      </c>
      <c r="O4">
        <v>725</v>
      </c>
      <c r="P4" t="s">
        <v>167</v>
      </c>
      <c r="Q4" t="s">
        <v>168</v>
      </c>
      <c r="R4" t="s">
        <v>126</v>
      </c>
      <c r="S4" t="s">
        <v>169</v>
      </c>
      <c r="T4" t="s">
        <v>170</v>
      </c>
      <c r="U4" t="s">
        <v>171</v>
      </c>
      <c r="V4" t="s">
        <v>152</v>
      </c>
      <c r="W4" t="s">
        <v>172</v>
      </c>
      <c r="X4" t="s">
        <v>173</v>
      </c>
      <c r="Y4" t="s">
        <v>155</v>
      </c>
      <c r="Z4" t="s">
        <v>174</v>
      </c>
      <c r="AA4" s="7" t="s">
        <v>175</v>
      </c>
      <c r="AB4" t="s">
        <v>176</v>
      </c>
      <c r="AC4" t="s">
        <v>177</v>
      </c>
      <c r="AD4" t="s">
        <v>178</v>
      </c>
      <c r="AE4" t="s">
        <v>179</v>
      </c>
    </row>
    <row r="5" spans="1:32" ht="14.25" customHeight="1" x14ac:dyDescent="0.2">
      <c r="A5" t="s">
        <v>180</v>
      </c>
      <c r="B5" t="s">
        <v>181</v>
      </c>
      <c r="C5" t="s">
        <v>182</v>
      </c>
      <c r="D5" t="s">
        <v>183</v>
      </c>
      <c r="E5" s="4" t="s">
        <v>184</v>
      </c>
      <c r="F5" t="s">
        <v>185</v>
      </c>
      <c r="G5" s="5">
        <v>43720</v>
      </c>
      <c r="H5" t="s">
        <v>186</v>
      </c>
      <c r="I5" t="s">
        <v>121</v>
      </c>
      <c r="J5" t="s">
        <v>122</v>
      </c>
      <c r="K5" t="s">
        <v>123</v>
      </c>
      <c r="L5">
        <v>904</v>
      </c>
      <c r="M5">
        <v>605</v>
      </c>
      <c r="N5">
        <v>1100</v>
      </c>
      <c r="O5">
        <v>725</v>
      </c>
      <c r="P5" t="s">
        <v>187</v>
      </c>
      <c r="Q5" t="s">
        <v>188</v>
      </c>
      <c r="R5" t="s">
        <v>126</v>
      </c>
      <c r="S5" t="s">
        <v>189</v>
      </c>
      <c r="T5" t="s">
        <v>190</v>
      </c>
      <c r="U5" t="s">
        <v>191</v>
      </c>
      <c r="V5" t="s">
        <v>132</v>
      </c>
      <c r="W5" t="s">
        <v>192</v>
      </c>
      <c r="X5" t="s">
        <v>193</v>
      </c>
      <c r="Y5" t="s">
        <v>132</v>
      </c>
      <c r="Z5" t="s">
        <v>194</v>
      </c>
      <c r="AA5" t="s">
        <v>195</v>
      </c>
      <c r="AB5" t="s">
        <v>196</v>
      </c>
      <c r="AC5" t="s">
        <v>197</v>
      </c>
      <c r="AD5" t="s">
        <v>137</v>
      </c>
      <c r="AE5" t="s">
        <v>198</v>
      </c>
    </row>
    <row r="6" spans="1:32" ht="14.25" customHeight="1" x14ac:dyDescent="0.2">
      <c r="A6" t="s">
        <v>199</v>
      </c>
      <c r="B6" t="s">
        <v>200</v>
      </c>
      <c r="C6" t="s">
        <v>201</v>
      </c>
      <c r="D6" t="s">
        <v>202</v>
      </c>
      <c r="E6" s="4" t="s">
        <v>203</v>
      </c>
      <c r="F6" t="s">
        <v>204</v>
      </c>
      <c r="G6" s="5">
        <v>43581</v>
      </c>
      <c r="H6" t="s">
        <v>205</v>
      </c>
      <c r="I6" t="s">
        <v>121</v>
      </c>
      <c r="J6" t="s">
        <v>122</v>
      </c>
      <c r="K6" t="s">
        <v>123</v>
      </c>
      <c r="L6">
        <v>904</v>
      </c>
      <c r="M6">
        <v>605</v>
      </c>
      <c r="N6">
        <v>1100</v>
      </c>
      <c r="O6">
        <v>725</v>
      </c>
      <c r="P6" t="s">
        <v>206</v>
      </c>
      <c r="Q6" t="s">
        <v>207</v>
      </c>
      <c r="R6" t="s">
        <v>126</v>
      </c>
      <c r="S6" t="s">
        <v>208</v>
      </c>
      <c r="T6" t="s">
        <v>128</v>
      </c>
      <c r="U6" t="s">
        <v>209</v>
      </c>
      <c r="V6" t="s">
        <v>132</v>
      </c>
      <c r="W6" t="s">
        <v>210</v>
      </c>
      <c r="X6" t="s">
        <v>211</v>
      </c>
      <c r="Y6" t="s">
        <v>132</v>
      </c>
      <c r="Z6" t="s">
        <v>212</v>
      </c>
      <c r="AA6" t="s">
        <v>213</v>
      </c>
      <c r="AB6" t="s">
        <v>214</v>
      </c>
      <c r="AC6" t="s">
        <v>215</v>
      </c>
      <c r="AD6" t="s">
        <v>137</v>
      </c>
      <c r="AE6" t="s">
        <v>216</v>
      </c>
    </row>
    <row r="7" spans="1:32" ht="14.25" customHeight="1" x14ac:dyDescent="0.2">
      <c r="A7" t="s">
        <v>217</v>
      </c>
      <c r="B7" t="s">
        <v>218</v>
      </c>
      <c r="C7" t="s">
        <v>219</v>
      </c>
      <c r="D7" t="s">
        <v>220</v>
      </c>
      <c r="E7" s="4" t="s">
        <v>221</v>
      </c>
      <c r="F7" t="s">
        <v>222</v>
      </c>
      <c r="G7" s="5">
        <v>43404</v>
      </c>
      <c r="H7" t="s">
        <v>223</v>
      </c>
      <c r="I7" t="s">
        <v>121</v>
      </c>
      <c r="J7" t="s">
        <v>122</v>
      </c>
      <c r="K7" t="s">
        <v>123</v>
      </c>
      <c r="L7">
        <v>904</v>
      </c>
      <c r="M7">
        <v>605</v>
      </c>
      <c r="N7">
        <v>1100</v>
      </c>
      <c r="O7">
        <v>725</v>
      </c>
      <c r="P7" t="s">
        <v>224</v>
      </c>
      <c r="Q7" t="s">
        <v>225</v>
      </c>
      <c r="R7" t="s">
        <v>126</v>
      </c>
      <c r="S7" t="s">
        <v>226</v>
      </c>
      <c r="T7" t="s">
        <v>128</v>
      </c>
      <c r="U7" t="s">
        <v>227</v>
      </c>
      <c r="V7" t="s">
        <v>155</v>
      </c>
      <c r="W7" t="s">
        <v>228</v>
      </c>
      <c r="X7" t="s">
        <v>229</v>
      </c>
      <c r="Y7" t="s">
        <v>155</v>
      </c>
      <c r="Z7" t="s">
        <v>230</v>
      </c>
      <c r="AA7" t="s">
        <v>134</v>
      </c>
      <c r="AB7" t="s">
        <v>231</v>
      </c>
      <c r="AC7" t="s">
        <v>232</v>
      </c>
      <c r="AD7" t="s">
        <v>137</v>
      </c>
      <c r="AE7" t="s">
        <v>233</v>
      </c>
    </row>
    <row r="8" spans="1:32" ht="14.25" customHeight="1" x14ac:dyDescent="0.2">
      <c r="A8" t="s">
        <v>234</v>
      </c>
      <c r="B8" t="s">
        <v>235</v>
      </c>
      <c r="C8" t="s">
        <v>236</v>
      </c>
      <c r="D8" t="s">
        <v>237</v>
      </c>
      <c r="E8" s="4" t="s">
        <v>238</v>
      </c>
      <c r="F8" t="s">
        <v>239</v>
      </c>
      <c r="G8" s="5">
        <v>43616</v>
      </c>
      <c r="H8" t="s">
        <v>240</v>
      </c>
      <c r="I8" t="s">
        <v>241</v>
      </c>
      <c r="J8" t="s">
        <v>122</v>
      </c>
      <c r="K8" t="s">
        <v>123</v>
      </c>
      <c r="L8">
        <v>968</v>
      </c>
      <c r="M8">
        <v>531</v>
      </c>
      <c r="N8">
        <v>1100</v>
      </c>
      <c r="O8">
        <v>725</v>
      </c>
      <c r="P8" t="s">
        <v>242</v>
      </c>
      <c r="Q8" t="s">
        <v>243</v>
      </c>
      <c r="R8" t="s">
        <v>126</v>
      </c>
      <c r="S8" t="s">
        <v>244</v>
      </c>
      <c r="T8" t="s">
        <v>245</v>
      </c>
      <c r="U8" t="s">
        <v>246</v>
      </c>
      <c r="V8" t="s">
        <v>132</v>
      </c>
      <c r="W8" t="s">
        <v>247</v>
      </c>
      <c r="X8" t="s">
        <v>248</v>
      </c>
      <c r="Y8" t="s">
        <v>132</v>
      </c>
      <c r="Z8" t="s">
        <v>249</v>
      </c>
      <c r="AA8" t="s">
        <v>134</v>
      </c>
      <c r="AB8" t="s">
        <v>250</v>
      </c>
      <c r="AC8" t="s">
        <v>251</v>
      </c>
      <c r="AD8" t="s">
        <v>28</v>
      </c>
      <c r="AE8" t="s">
        <v>252</v>
      </c>
    </row>
    <row r="9" spans="1:32" ht="14.25" customHeight="1" x14ac:dyDescent="0.2">
      <c r="A9" t="s">
        <v>253</v>
      </c>
      <c r="B9" t="s">
        <v>254</v>
      </c>
      <c r="C9" t="s">
        <v>255</v>
      </c>
      <c r="D9" t="s">
        <v>256</v>
      </c>
      <c r="E9" s="4" t="s">
        <v>257</v>
      </c>
      <c r="F9" t="s">
        <v>258</v>
      </c>
      <c r="G9" s="5">
        <v>43370</v>
      </c>
      <c r="H9" t="s">
        <v>259</v>
      </c>
      <c r="I9" t="s">
        <v>260</v>
      </c>
      <c r="J9" t="s">
        <v>122</v>
      </c>
      <c r="K9" t="s">
        <v>123</v>
      </c>
      <c r="L9">
        <v>922</v>
      </c>
      <c r="M9">
        <v>558</v>
      </c>
      <c r="N9">
        <v>1100</v>
      </c>
      <c r="O9">
        <v>725</v>
      </c>
      <c r="P9" t="s">
        <v>261</v>
      </c>
      <c r="Q9" t="s">
        <v>262</v>
      </c>
      <c r="R9" t="s">
        <v>126</v>
      </c>
      <c r="S9" t="s">
        <v>263</v>
      </c>
      <c r="T9" t="s">
        <v>128</v>
      </c>
      <c r="U9" t="s">
        <v>227</v>
      </c>
      <c r="V9" t="s">
        <v>155</v>
      </c>
      <c r="W9" t="s">
        <v>264</v>
      </c>
      <c r="X9" t="s">
        <v>229</v>
      </c>
      <c r="Y9" t="s">
        <v>155</v>
      </c>
      <c r="Z9" t="s">
        <v>265</v>
      </c>
      <c r="AA9" t="s">
        <v>266</v>
      </c>
      <c r="AB9" t="s">
        <v>267</v>
      </c>
      <c r="AC9" t="s">
        <v>268</v>
      </c>
      <c r="AD9" t="s">
        <v>40</v>
      </c>
      <c r="AE9" t="s">
        <v>269</v>
      </c>
    </row>
    <row r="10" spans="1:32" ht="14.25" customHeight="1" x14ac:dyDescent="0.2">
      <c r="A10" t="s">
        <v>270</v>
      </c>
      <c r="B10" t="s">
        <v>271</v>
      </c>
      <c r="C10" t="s">
        <v>272</v>
      </c>
      <c r="D10" t="s">
        <v>273</v>
      </c>
      <c r="E10" s="4" t="s">
        <v>274</v>
      </c>
      <c r="F10" t="s">
        <v>275</v>
      </c>
      <c r="G10" s="5">
        <v>43370</v>
      </c>
      <c r="H10" t="s">
        <v>276</v>
      </c>
      <c r="I10" t="s">
        <v>121</v>
      </c>
      <c r="J10" t="s">
        <v>122</v>
      </c>
      <c r="K10" t="s">
        <v>123</v>
      </c>
      <c r="L10">
        <v>858</v>
      </c>
      <c r="M10">
        <v>575</v>
      </c>
      <c r="N10">
        <v>1100</v>
      </c>
      <c r="O10">
        <v>725</v>
      </c>
      <c r="P10" t="s">
        <v>277</v>
      </c>
      <c r="Q10" t="s">
        <v>278</v>
      </c>
      <c r="R10" t="s">
        <v>126</v>
      </c>
      <c r="S10" t="s">
        <v>279</v>
      </c>
      <c r="T10" t="s">
        <v>280</v>
      </c>
      <c r="U10" t="s">
        <v>281</v>
      </c>
      <c r="V10" t="s">
        <v>132</v>
      </c>
      <c r="W10" t="s">
        <v>282</v>
      </c>
      <c r="X10" t="s">
        <v>283</v>
      </c>
      <c r="Y10" t="s">
        <v>132</v>
      </c>
      <c r="Z10" t="s">
        <v>284</v>
      </c>
      <c r="AA10" t="s">
        <v>213</v>
      </c>
      <c r="AB10" t="s">
        <v>285</v>
      </c>
      <c r="AC10" t="s">
        <v>286</v>
      </c>
      <c r="AD10" t="s">
        <v>137</v>
      </c>
      <c r="AE10" t="s">
        <v>287</v>
      </c>
    </row>
    <row r="11" spans="1:32" ht="14.25" customHeight="1" x14ac:dyDescent="0.2">
      <c r="A11" t="s">
        <v>288</v>
      </c>
      <c r="B11" t="s">
        <v>289</v>
      </c>
      <c r="C11" t="s">
        <v>290</v>
      </c>
      <c r="D11" t="s">
        <v>291</v>
      </c>
      <c r="E11" s="4" t="s">
        <v>292</v>
      </c>
      <c r="F11" t="s">
        <v>293</v>
      </c>
      <c r="G11" s="5">
        <v>43510</v>
      </c>
      <c r="H11" t="s">
        <v>294</v>
      </c>
      <c r="I11" t="s">
        <v>260</v>
      </c>
      <c r="J11" t="s">
        <v>122</v>
      </c>
      <c r="K11" t="s">
        <v>123</v>
      </c>
      <c r="L11">
        <v>933</v>
      </c>
      <c r="M11">
        <v>564</v>
      </c>
      <c r="N11">
        <v>1100</v>
      </c>
      <c r="O11">
        <v>725</v>
      </c>
      <c r="P11" t="s">
        <v>295</v>
      </c>
      <c r="Q11" t="s">
        <v>296</v>
      </c>
      <c r="R11" t="s">
        <v>126</v>
      </c>
      <c r="S11" t="s">
        <v>297</v>
      </c>
      <c r="T11" t="s">
        <v>128</v>
      </c>
      <c r="U11" t="s">
        <v>298</v>
      </c>
      <c r="V11" t="s">
        <v>299</v>
      </c>
      <c r="W11" t="s">
        <v>300</v>
      </c>
      <c r="X11" t="s">
        <v>301</v>
      </c>
      <c r="Y11" t="s">
        <v>155</v>
      </c>
      <c r="Z11" t="s">
        <v>302</v>
      </c>
      <c r="AA11" t="s">
        <v>213</v>
      </c>
      <c r="AB11" s="7" t="s">
        <v>157</v>
      </c>
      <c r="AC11" s="7" t="s">
        <v>303</v>
      </c>
      <c r="AD11" t="s">
        <v>178</v>
      </c>
      <c r="AE11" s="7" t="s">
        <v>304</v>
      </c>
      <c r="AF11" s="7"/>
    </row>
    <row r="12" spans="1:32" ht="14.25" customHeight="1" x14ac:dyDescent="0.2">
      <c r="A12" t="s">
        <v>305</v>
      </c>
      <c r="B12" t="s">
        <v>306</v>
      </c>
      <c r="C12" t="s">
        <v>307</v>
      </c>
      <c r="D12" t="s">
        <v>308</v>
      </c>
      <c r="E12" s="4" t="s">
        <v>309</v>
      </c>
      <c r="F12" t="s">
        <v>310</v>
      </c>
      <c r="G12" s="5">
        <v>43480</v>
      </c>
      <c r="H12" t="s">
        <v>311</v>
      </c>
      <c r="I12" t="s">
        <v>241</v>
      </c>
      <c r="J12" t="s">
        <v>122</v>
      </c>
      <c r="K12" t="s">
        <v>123</v>
      </c>
      <c r="L12">
        <v>948</v>
      </c>
      <c r="M12">
        <v>520</v>
      </c>
      <c r="N12">
        <v>1100</v>
      </c>
      <c r="O12">
        <v>725</v>
      </c>
      <c r="P12" t="s">
        <v>312</v>
      </c>
      <c r="Q12" t="s">
        <v>313</v>
      </c>
      <c r="R12" t="s">
        <v>126</v>
      </c>
      <c r="S12" t="s">
        <v>314</v>
      </c>
      <c r="T12" t="s">
        <v>315</v>
      </c>
      <c r="U12" t="s">
        <v>316</v>
      </c>
      <c r="V12" t="s">
        <v>317</v>
      </c>
      <c r="W12" t="s">
        <v>318</v>
      </c>
      <c r="X12" t="s">
        <v>319</v>
      </c>
      <c r="Y12" t="s">
        <v>132</v>
      </c>
      <c r="Z12" t="s">
        <v>320</v>
      </c>
      <c r="AA12" t="s">
        <v>213</v>
      </c>
      <c r="AB12" s="7" t="s">
        <v>157</v>
      </c>
      <c r="AC12" s="7" t="s">
        <v>321</v>
      </c>
      <c r="AD12" t="s">
        <v>137</v>
      </c>
      <c r="AE12" s="7" t="s">
        <v>322</v>
      </c>
      <c r="AF12" s="7"/>
    </row>
    <row r="13" spans="1:32" ht="14.25" customHeight="1" x14ac:dyDescent="0.2">
      <c r="A13" t="s">
        <v>323</v>
      </c>
      <c r="B13" t="s">
        <v>324</v>
      </c>
      <c r="C13" t="s">
        <v>325</v>
      </c>
      <c r="D13" t="s">
        <v>326</v>
      </c>
      <c r="E13" s="4" t="s">
        <v>327</v>
      </c>
      <c r="F13" t="s">
        <v>328</v>
      </c>
      <c r="G13" s="5">
        <v>44329</v>
      </c>
      <c r="H13" t="s">
        <v>329</v>
      </c>
      <c r="I13" t="s">
        <v>121</v>
      </c>
      <c r="J13" t="s">
        <v>122</v>
      </c>
      <c r="K13" t="s">
        <v>330</v>
      </c>
      <c r="L13">
        <v>740</v>
      </c>
      <c r="M13">
        <v>520</v>
      </c>
      <c r="N13">
        <v>1100</v>
      </c>
      <c r="O13">
        <v>725</v>
      </c>
      <c r="P13" t="s">
        <v>331</v>
      </c>
      <c r="Q13" t="s">
        <v>332</v>
      </c>
      <c r="R13" t="s">
        <v>333</v>
      </c>
      <c r="S13" t="s">
        <v>334</v>
      </c>
      <c r="T13" t="s">
        <v>150</v>
      </c>
      <c r="U13" t="s">
        <v>335</v>
      </c>
      <c r="V13" t="s">
        <v>130</v>
      </c>
      <c r="W13" t="s">
        <v>336</v>
      </c>
      <c r="X13" t="s">
        <v>335</v>
      </c>
      <c r="Y13" t="s">
        <v>132</v>
      </c>
      <c r="Z13" t="s">
        <v>337</v>
      </c>
      <c r="AA13" t="s">
        <v>338</v>
      </c>
      <c r="AB13" t="s">
        <v>339</v>
      </c>
      <c r="AC13" s="7" t="s">
        <v>340</v>
      </c>
      <c r="AD13" t="s">
        <v>341</v>
      </c>
      <c r="AE13" s="7" t="s">
        <v>342</v>
      </c>
      <c r="AF13" s="7"/>
    </row>
    <row r="14" spans="1:32" ht="14.25" customHeight="1" x14ac:dyDescent="0.2">
      <c r="A14" t="s">
        <v>343</v>
      </c>
      <c r="B14" t="s">
        <v>344</v>
      </c>
      <c r="C14" t="s">
        <v>345</v>
      </c>
      <c r="D14" t="s">
        <v>346</v>
      </c>
      <c r="E14" s="4" t="s">
        <v>347</v>
      </c>
      <c r="F14" t="s">
        <v>348</v>
      </c>
      <c r="G14" s="5">
        <v>43830</v>
      </c>
      <c r="H14" t="s">
        <v>349</v>
      </c>
      <c r="I14" t="s">
        <v>121</v>
      </c>
      <c r="J14" t="s">
        <v>122</v>
      </c>
      <c r="K14" t="s">
        <v>330</v>
      </c>
      <c r="L14">
        <v>740</v>
      </c>
      <c r="M14">
        <v>520</v>
      </c>
      <c r="N14">
        <v>1100</v>
      </c>
      <c r="O14">
        <v>725</v>
      </c>
      <c r="P14" t="s">
        <v>350</v>
      </c>
      <c r="Q14" t="s">
        <v>351</v>
      </c>
      <c r="R14" t="s">
        <v>333</v>
      </c>
      <c r="S14" t="s">
        <v>352</v>
      </c>
      <c r="T14" t="s">
        <v>353</v>
      </c>
      <c r="U14" t="s">
        <v>354</v>
      </c>
      <c r="V14" t="s">
        <v>152</v>
      </c>
      <c r="W14" t="s">
        <v>355</v>
      </c>
      <c r="X14" t="s">
        <v>229</v>
      </c>
      <c r="Y14" t="s">
        <v>155</v>
      </c>
      <c r="Z14" t="s">
        <v>356</v>
      </c>
      <c r="AA14" t="s">
        <v>134</v>
      </c>
      <c r="AB14" t="s">
        <v>357</v>
      </c>
      <c r="AC14" s="7" t="s">
        <v>340</v>
      </c>
      <c r="AD14" t="s">
        <v>137</v>
      </c>
      <c r="AE14" s="7" t="s">
        <v>358</v>
      </c>
      <c r="AF14" s="7"/>
    </row>
    <row r="15" spans="1:32" ht="14.25" customHeight="1" x14ac:dyDescent="0.2">
      <c r="A15" t="s">
        <v>359</v>
      </c>
      <c r="B15" t="s">
        <v>360</v>
      </c>
      <c r="C15" t="s">
        <v>361</v>
      </c>
      <c r="D15" t="s">
        <v>362</v>
      </c>
      <c r="E15" s="4" t="s">
        <v>363</v>
      </c>
      <c r="F15" t="s">
        <v>364</v>
      </c>
      <c r="G15" s="5">
        <v>43657</v>
      </c>
      <c r="H15" t="s">
        <v>365</v>
      </c>
      <c r="I15" t="s">
        <v>241</v>
      </c>
      <c r="J15" t="s">
        <v>122</v>
      </c>
      <c r="K15" t="s">
        <v>330</v>
      </c>
      <c r="L15">
        <v>818</v>
      </c>
      <c r="M15">
        <v>471</v>
      </c>
      <c r="N15">
        <v>1100</v>
      </c>
      <c r="O15">
        <v>725</v>
      </c>
      <c r="P15" t="s">
        <v>366</v>
      </c>
      <c r="Q15" t="s">
        <v>367</v>
      </c>
      <c r="R15" t="s">
        <v>333</v>
      </c>
      <c r="S15" t="s">
        <v>149</v>
      </c>
      <c r="T15" t="s">
        <v>150</v>
      </c>
      <c r="U15" t="s">
        <v>368</v>
      </c>
      <c r="V15" t="s">
        <v>152</v>
      </c>
      <c r="W15" t="s">
        <v>369</v>
      </c>
      <c r="X15" t="s">
        <v>370</v>
      </c>
      <c r="Y15" t="s">
        <v>155</v>
      </c>
      <c r="Z15" t="s">
        <v>371</v>
      </c>
      <c r="AA15" t="s">
        <v>213</v>
      </c>
      <c r="AB15" s="7" t="s">
        <v>372</v>
      </c>
      <c r="AC15" s="7" t="s">
        <v>373</v>
      </c>
      <c r="AD15" t="s">
        <v>137</v>
      </c>
      <c r="AE15" s="7" t="s">
        <v>374</v>
      </c>
      <c r="AF15" s="7"/>
    </row>
    <row r="16" spans="1:32" ht="14.25" customHeight="1" x14ac:dyDescent="0.2">
      <c r="A16" t="s">
        <v>375</v>
      </c>
      <c r="B16" t="s">
        <v>376</v>
      </c>
      <c r="C16" t="s">
        <v>377</v>
      </c>
      <c r="D16" t="s">
        <v>378</v>
      </c>
      <c r="E16" s="4" t="s">
        <v>379</v>
      </c>
      <c r="F16" t="s">
        <v>380</v>
      </c>
      <c r="G16" s="5">
        <v>43370</v>
      </c>
      <c r="H16" t="s">
        <v>381</v>
      </c>
      <c r="I16" t="s">
        <v>121</v>
      </c>
      <c r="J16" t="s">
        <v>122</v>
      </c>
      <c r="K16" t="s">
        <v>330</v>
      </c>
      <c r="L16">
        <v>887</v>
      </c>
      <c r="M16">
        <v>623</v>
      </c>
      <c r="N16">
        <v>1100</v>
      </c>
      <c r="O16">
        <v>725</v>
      </c>
      <c r="P16" t="s">
        <v>382</v>
      </c>
      <c r="Q16" t="s">
        <v>383</v>
      </c>
      <c r="R16" t="s">
        <v>333</v>
      </c>
      <c r="S16" t="s">
        <v>384</v>
      </c>
      <c r="T16" t="s">
        <v>150</v>
      </c>
      <c r="U16" t="s">
        <v>378</v>
      </c>
      <c r="V16" t="s">
        <v>132</v>
      </c>
      <c r="W16" t="s">
        <v>385</v>
      </c>
      <c r="X16" t="s">
        <v>386</v>
      </c>
      <c r="Y16" t="s">
        <v>132</v>
      </c>
      <c r="Z16" t="s">
        <v>249</v>
      </c>
      <c r="AA16" s="7" t="s">
        <v>387</v>
      </c>
      <c r="AB16" t="s">
        <v>388</v>
      </c>
      <c r="AC16" s="7" t="s">
        <v>389</v>
      </c>
      <c r="AD16" t="s">
        <v>28</v>
      </c>
      <c r="AE16" s="7" t="s">
        <v>390</v>
      </c>
      <c r="AF16" s="7"/>
    </row>
    <row r="17" spans="1:32" ht="14.25" customHeight="1" x14ac:dyDescent="0.2">
      <c r="A17" t="s">
        <v>391</v>
      </c>
      <c r="B17" t="s">
        <v>392</v>
      </c>
      <c r="C17" t="s">
        <v>393</v>
      </c>
      <c r="D17" t="s">
        <v>394</v>
      </c>
      <c r="E17" s="4" t="s">
        <v>395</v>
      </c>
      <c r="F17" t="s">
        <v>396</v>
      </c>
      <c r="G17" s="5">
        <v>43815</v>
      </c>
      <c r="H17" t="s">
        <v>397</v>
      </c>
      <c r="I17" t="s">
        <v>121</v>
      </c>
      <c r="J17" t="s">
        <v>122</v>
      </c>
      <c r="K17" t="s">
        <v>330</v>
      </c>
      <c r="L17">
        <v>703</v>
      </c>
      <c r="M17">
        <v>494</v>
      </c>
      <c r="N17">
        <v>1100</v>
      </c>
      <c r="O17">
        <v>725</v>
      </c>
      <c r="P17" t="s">
        <v>398</v>
      </c>
      <c r="Q17" t="s">
        <v>399</v>
      </c>
      <c r="R17" t="s">
        <v>333</v>
      </c>
      <c r="S17" t="s">
        <v>400</v>
      </c>
      <c r="T17" t="s">
        <v>150</v>
      </c>
      <c r="U17" t="s">
        <v>401</v>
      </c>
      <c r="V17" t="s">
        <v>152</v>
      </c>
      <c r="W17" t="s">
        <v>402</v>
      </c>
      <c r="X17" t="s">
        <v>403</v>
      </c>
      <c r="Y17" t="s">
        <v>155</v>
      </c>
      <c r="Z17" t="s">
        <v>404</v>
      </c>
      <c r="AA17" t="s">
        <v>134</v>
      </c>
      <c r="AB17" s="7" t="s">
        <v>405</v>
      </c>
      <c r="AC17" s="7" t="s">
        <v>406</v>
      </c>
      <c r="AD17" t="s">
        <v>137</v>
      </c>
      <c r="AE17" s="7" t="s">
        <v>407</v>
      </c>
      <c r="AF17" s="7"/>
    </row>
    <row r="18" spans="1:32" ht="14.25" customHeight="1" x14ac:dyDescent="0.2">
      <c r="A18" t="s">
        <v>408</v>
      </c>
      <c r="B18" t="s">
        <v>409</v>
      </c>
      <c r="C18" t="s">
        <v>410</v>
      </c>
      <c r="D18" t="s">
        <v>411</v>
      </c>
      <c r="E18" s="4" t="s">
        <v>412</v>
      </c>
      <c r="F18" t="s">
        <v>413</v>
      </c>
      <c r="G18" s="5">
        <v>43370</v>
      </c>
      <c r="H18" t="s">
        <v>276</v>
      </c>
      <c r="I18" t="s">
        <v>121</v>
      </c>
      <c r="J18" t="s">
        <v>122</v>
      </c>
      <c r="K18" t="s">
        <v>330</v>
      </c>
      <c r="L18">
        <v>843</v>
      </c>
      <c r="M18">
        <v>592</v>
      </c>
      <c r="N18">
        <v>1100</v>
      </c>
      <c r="O18">
        <v>725</v>
      </c>
      <c r="P18" t="s">
        <v>414</v>
      </c>
      <c r="Q18" t="s">
        <v>415</v>
      </c>
      <c r="R18" t="s">
        <v>333</v>
      </c>
      <c r="S18" t="s">
        <v>416</v>
      </c>
      <c r="T18" t="s">
        <v>150</v>
      </c>
      <c r="U18" t="s">
        <v>417</v>
      </c>
      <c r="V18" t="s">
        <v>299</v>
      </c>
      <c r="W18" t="s">
        <v>300</v>
      </c>
      <c r="X18" t="s">
        <v>417</v>
      </c>
      <c r="Y18" t="s">
        <v>155</v>
      </c>
      <c r="Z18" t="s">
        <v>418</v>
      </c>
      <c r="AA18" t="s">
        <v>213</v>
      </c>
      <c r="AB18" s="7" t="s">
        <v>419</v>
      </c>
      <c r="AC18" t="s">
        <v>420</v>
      </c>
      <c r="AD18" s="7" t="s">
        <v>40</v>
      </c>
      <c r="AE18" s="7" t="s">
        <v>421</v>
      </c>
    </row>
    <row r="19" spans="1:32" ht="14.25" customHeight="1" x14ac:dyDescent="0.2">
      <c r="A19" t="s">
        <v>422</v>
      </c>
      <c r="B19" t="s">
        <v>423</v>
      </c>
      <c r="C19" t="s">
        <v>424</v>
      </c>
      <c r="D19" t="s">
        <v>425</v>
      </c>
      <c r="E19" s="4" t="s">
        <v>426</v>
      </c>
      <c r="F19" t="s">
        <v>427</v>
      </c>
      <c r="G19" s="5">
        <v>44634</v>
      </c>
      <c r="H19" t="s">
        <v>428</v>
      </c>
      <c r="I19" t="s">
        <v>121</v>
      </c>
      <c r="J19" t="s">
        <v>122</v>
      </c>
      <c r="K19" t="s">
        <v>429</v>
      </c>
      <c r="L19">
        <v>758</v>
      </c>
      <c r="M19">
        <v>500</v>
      </c>
      <c r="N19">
        <v>1100</v>
      </c>
      <c r="O19">
        <v>725</v>
      </c>
      <c r="P19" t="s">
        <v>430</v>
      </c>
      <c r="Q19" t="s">
        <v>431</v>
      </c>
      <c r="R19" t="s">
        <v>385</v>
      </c>
      <c r="S19" t="s">
        <v>432</v>
      </c>
      <c r="T19" t="s">
        <v>433</v>
      </c>
      <c r="U19" t="s">
        <v>434</v>
      </c>
      <c r="V19" t="s">
        <v>435</v>
      </c>
      <c r="W19" t="s">
        <v>436</v>
      </c>
      <c r="X19" t="s">
        <v>434</v>
      </c>
      <c r="Y19" t="s">
        <v>437</v>
      </c>
      <c r="Z19" t="s">
        <v>436</v>
      </c>
      <c r="AA19" t="s">
        <v>195</v>
      </c>
      <c r="AB19" t="s">
        <v>438</v>
      </c>
      <c r="AC19" s="7" t="s">
        <v>439</v>
      </c>
      <c r="AD19" t="s">
        <v>137</v>
      </c>
      <c r="AE19" s="7" t="s">
        <v>440</v>
      </c>
    </row>
    <row r="20" spans="1:32" ht="14.25" customHeight="1" x14ac:dyDescent="0.2">
      <c r="A20" t="s">
        <v>441</v>
      </c>
      <c r="B20" t="s">
        <v>442</v>
      </c>
      <c r="C20" t="s">
        <v>443</v>
      </c>
      <c r="D20" t="s">
        <v>444</v>
      </c>
      <c r="E20" s="4" t="s">
        <v>445</v>
      </c>
      <c r="F20" t="s">
        <v>446</v>
      </c>
      <c r="G20" s="5">
        <v>44392</v>
      </c>
      <c r="H20" t="s">
        <v>447</v>
      </c>
      <c r="I20" t="s">
        <v>121</v>
      </c>
      <c r="J20" t="s">
        <v>122</v>
      </c>
      <c r="K20" t="s">
        <v>429</v>
      </c>
      <c r="L20">
        <v>758</v>
      </c>
      <c r="M20">
        <v>500</v>
      </c>
      <c r="N20">
        <v>1100</v>
      </c>
      <c r="O20">
        <v>725</v>
      </c>
      <c r="P20" t="s">
        <v>448</v>
      </c>
      <c r="Q20" t="s">
        <v>449</v>
      </c>
      <c r="R20" t="s">
        <v>385</v>
      </c>
      <c r="S20" t="s">
        <v>450</v>
      </c>
      <c r="T20" t="s">
        <v>150</v>
      </c>
      <c r="U20" t="s">
        <v>451</v>
      </c>
      <c r="V20" t="s">
        <v>152</v>
      </c>
      <c r="W20" t="s">
        <v>452</v>
      </c>
      <c r="X20" t="s">
        <v>453</v>
      </c>
      <c r="Y20" t="s">
        <v>155</v>
      </c>
      <c r="Z20" t="s">
        <v>454</v>
      </c>
      <c r="AA20" t="s">
        <v>338</v>
      </c>
      <c r="AB20" t="s">
        <v>455</v>
      </c>
      <c r="AC20" s="7" t="s">
        <v>389</v>
      </c>
      <c r="AD20" s="7" t="s">
        <v>44</v>
      </c>
      <c r="AE20" s="7" t="s">
        <v>456</v>
      </c>
    </row>
    <row r="21" spans="1:32" ht="14.25" customHeight="1" x14ac:dyDescent="0.2">
      <c r="A21" t="s">
        <v>457</v>
      </c>
      <c r="B21" t="s">
        <v>458</v>
      </c>
      <c r="C21" t="s">
        <v>459</v>
      </c>
      <c r="D21" t="s">
        <v>460</v>
      </c>
      <c r="E21" s="4" t="s">
        <v>461</v>
      </c>
      <c r="F21" t="s">
        <v>462</v>
      </c>
      <c r="G21" s="5">
        <v>44042</v>
      </c>
      <c r="H21" t="s">
        <v>463</v>
      </c>
      <c r="I21" t="s">
        <v>121</v>
      </c>
      <c r="J21" t="s">
        <v>122</v>
      </c>
      <c r="K21" t="s">
        <v>429</v>
      </c>
      <c r="L21">
        <v>908</v>
      </c>
      <c r="M21">
        <v>599</v>
      </c>
      <c r="N21">
        <v>1100</v>
      </c>
      <c r="O21">
        <v>725</v>
      </c>
      <c r="P21" t="s">
        <v>464</v>
      </c>
      <c r="Q21" t="s">
        <v>465</v>
      </c>
      <c r="R21" t="s">
        <v>466</v>
      </c>
      <c r="S21" t="s">
        <v>450</v>
      </c>
      <c r="T21" t="s">
        <v>150</v>
      </c>
      <c r="U21" t="s">
        <v>467</v>
      </c>
      <c r="V21" t="s">
        <v>468</v>
      </c>
      <c r="W21" t="s">
        <v>469</v>
      </c>
      <c r="X21" t="s">
        <v>470</v>
      </c>
      <c r="Y21" t="s">
        <v>437</v>
      </c>
      <c r="Z21" t="s">
        <v>471</v>
      </c>
      <c r="AA21" t="s">
        <v>195</v>
      </c>
      <c r="AB21" t="s">
        <v>472</v>
      </c>
      <c r="AC21" t="s">
        <v>473</v>
      </c>
      <c r="AD21" t="s">
        <v>137</v>
      </c>
      <c r="AE21" s="7" t="s">
        <v>474</v>
      </c>
    </row>
    <row r="22" spans="1:32" ht="14.25" customHeight="1" x14ac:dyDescent="0.2">
      <c r="A22" t="s">
        <v>475</v>
      </c>
      <c r="B22" t="s">
        <v>476</v>
      </c>
      <c r="C22" t="s">
        <v>477</v>
      </c>
      <c r="D22" t="s">
        <v>478</v>
      </c>
      <c r="E22" s="4" t="s">
        <v>479</v>
      </c>
      <c r="F22" t="s">
        <v>480</v>
      </c>
      <c r="G22" s="5">
        <v>43370</v>
      </c>
      <c r="H22" t="s">
        <v>481</v>
      </c>
      <c r="I22" t="s">
        <v>260</v>
      </c>
      <c r="J22" t="s">
        <v>122</v>
      </c>
      <c r="K22" t="s">
        <v>429</v>
      </c>
      <c r="L22">
        <v>957</v>
      </c>
      <c r="M22">
        <v>571</v>
      </c>
      <c r="N22">
        <v>1100</v>
      </c>
      <c r="O22">
        <v>725</v>
      </c>
      <c r="P22" t="s">
        <v>482</v>
      </c>
      <c r="Q22" t="s">
        <v>483</v>
      </c>
      <c r="R22" t="s">
        <v>385</v>
      </c>
      <c r="S22" t="s">
        <v>352</v>
      </c>
      <c r="T22" t="s">
        <v>353</v>
      </c>
      <c r="U22" t="s">
        <v>484</v>
      </c>
      <c r="V22" t="s">
        <v>155</v>
      </c>
      <c r="W22" t="s">
        <v>485</v>
      </c>
      <c r="X22" t="s">
        <v>486</v>
      </c>
      <c r="Y22" t="s">
        <v>155</v>
      </c>
      <c r="Z22" t="s">
        <v>485</v>
      </c>
      <c r="AA22" t="s">
        <v>134</v>
      </c>
      <c r="AB22" s="7" t="s">
        <v>487</v>
      </c>
      <c r="AC22" s="7" t="s">
        <v>389</v>
      </c>
      <c r="AD22" t="s">
        <v>137</v>
      </c>
      <c r="AE22" t="s">
        <v>488</v>
      </c>
    </row>
    <row r="23" spans="1:32" ht="14.25" customHeight="1" x14ac:dyDescent="0.2">
      <c r="A23" t="s">
        <v>489</v>
      </c>
      <c r="B23" t="s">
        <v>490</v>
      </c>
      <c r="C23" t="s">
        <v>491</v>
      </c>
      <c r="D23" t="s">
        <v>492</v>
      </c>
      <c r="E23" s="4" t="s">
        <v>493</v>
      </c>
      <c r="F23" t="s">
        <v>494</v>
      </c>
      <c r="G23" s="5">
        <v>43782</v>
      </c>
      <c r="H23" t="s">
        <v>495</v>
      </c>
      <c r="I23" t="s">
        <v>260</v>
      </c>
      <c r="J23" t="s">
        <v>122</v>
      </c>
      <c r="K23" t="s">
        <v>429</v>
      </c>
      <c r="L23">
        <v>928</v>
      </c>
      <c r="M23">
        <v>553</v>
      </c>
      <c r="N23">
        <v>1100</v>
      </c>
      <c r="O23">
        <v>725</v>
      </c>
      <c r="P23" t="s">
        <v>496</v>
      </c>
      <c r="Q23" t="s">
        <v>497</v>
      </c>
      <c r="R23" t="s">
        <v>385</v>
      </c>
      <c r="S23" t="s">
        <v>498</v>
      </c>
      <c r="T23" t="s">
        <v>280</v>
      </c>
      <c r="U23" t="s">
        <v>499</v>
      </c>
      <c r="V23" t="s">
        <v>132</v>
      </c>
      <c r="W23" t="s">
        <v>500</v>
      </c>
      <c r="X23" t="s">
        <v>501</v>
      </c>
      <c r="Y23" t="s">
        <v>132</v>
      </c>
      <c r="Z23" t="s">
        <v>502</v>
      </c>
      <c r="AA23" t="s">
        <v>266</v>
      </c>
      <c r="AB23" s="7" t="s">
        <v>503</v>
      </c>
      <c r="AC23" s="7" t="s">
        <v>504</v>
      </c>
      <c r="AD23" t="s">
        <v>137</v>
      </c>
      <c r="AE23" s="7" t="s">
        <v>505</v>
      </c>
    </row>
    <row r="24" spans="1:32" ht="14.25" customHeight="1" x14ac:dyDescent="0.2">
      <c r="A24" t="s">
        <v>506</v>
      </c>
      <c r="B24" t="s">
        <v>507</v>
      </c>
      <c r="C24" t="s">
        <v>508</v>
      </c>
      <c r="D24" t="s">
        <v>509</v>
      </c>
      <c r="E24" s="4" t="s">
        <v>510</v>
      </c>
      <c r="F24" t="s">
        <v>511</v>
      </c>
      <c r="G24" s="5">
        <v>43404</v>
      </c>
      <c r="H24" t="s">
        <v>512</v>
      </c>
      <c r="I24" t="s">
        <v>260</v>
      </c>
      <c r="J24" t="s">
        <v>122</v>
      </c>
      <c r="K24" t="s">
        <v>429</v>
      </c>
      <c r="L24">
        <v>758</v>
      </c>
      <c r="M24">
        <v>452</v>
      </c>
      <c r="N24">
        <v>1100</v>
      </c>
      <c r="O24">
        <v>725</v>
      </c>
      <c r="P24" t="s">
        <v>513</v>
      </c>
      <c r="Q24" t="s">
        <v>514</v>
      </c>
      <c r="R24" t="s">
        <v>385</v>
      </c>
      <c r="S24" t="s">
        <v>515</v>
      </c>
      <c r="T24" t="s">
        <v>150</v>
      </c>
      <c r="U24" t="s">
        <v>516</v>
      </c>
      <c r="V24" t="s">
        <v>300</v>
      </c>
      <c r="W24" t="s">
        <v>517</v>
      </c>
      <c r="X24" t="s">
        <v>518</v>
      </c>
      <c r="Y24" t="s">
        <v>155</v>
      </c>
      <c r="Z24" t="s">
        <v>519</v>
      </c>
      <c r="AA24" s="7" t="s">
        <v>213</v>
      </c>
      <c r="AB24" t="s">
        <v>520</v>
      </c>
      <c r="AC24" s="7" t="s">
        <v>521</v>
      </c>
      <c r="AD24" t="s">
        <v>28</v>
      </c>
      <c r="AE24" s="7" t="s">
        <v>522</v>
      </c>
    </row>
    <row r="25" spans="1:32" ht="14.25" customHeight="1" x14ac:dyDescent="0.2">
      <c r="A25" t="s">
        <v>523</v>
      </c>
      <c r="B25" t="s">
        <v>524</v>
      </c>
      <c r="C25" t="s">
        <v>525</v>
      </c>
      <c r="D25" t="s">
        <v>526</v>
      </c>
      <c r="E25" s="4" t="s">
        <v>527</v>
      </c>
      <c r="F25" t="s">
        <v>528</v>
      </c>
      <c r="G25" s="5">
        <v>43370</v>
      </c>
      <c r="H25" t="s">
        <v>529</v>
      </c>
      <c r="I25" t="s">
        <v>260</v>
      </c>
      <c r="J25" t="s">
        <v>122</v>
      </c>
      <c r="K25" t="s">
        <v>429</v>
      </c>
      <c r="L25">
        <v>908</v>
      </c>
      <c r="M25">
        <v>542</v>
      </c>
      <c r="N25">
        <v>1100</v>
      </c>
      <c r="O25">
        <v>725</v>
      </c>
      <c r="P25" t="s">
        <v>530</v>
      </c>
      <c r="Q25" t="s">
        <v>531</v>
      </c>
      <c r="R25" t="s">
        <v>385</v>
      </c>
      <c r="S25" t="s">
        <v>532</v>
      </c>
      <c r="T25" t="s">
        <v>150</v>
      </c>
      <c r="U25" t="s">
        <v>533</v>
      </c>
      <c r="V25" t="s">
        <v>317</v>
      </c>
      <c r="W25" t="s">
        <v>318</v>
      </c>
      <c r="X25" t="s">
        <v>519</v>
      </c>
      <c r="Y25" t="s">
        <v>132</v>
      </c>
      <c r="Z25" t="s">
        <v>534</v>
      </c>
      <c r="AA25" t="s">
        <v>213</v>
      </c>
      <c r="AB25" s="7" t="s">
        <v>419</v>
      </c>
      <c r="AC25" t="s">
        <v>268</v>
      </c>
      <c r="AD25" s="7" t="s">
        <v>40</v>
      </c>
      <c r="AE25" s="7" t="s">
        <v>535</v>
      </c>
    </row>
    <row r="26" spans="1:32" ht="14.25" customHeight="1" x14ac:dyDescent="0.2">
      <c r="A26" t="s">
        <v>536</v>
      </c>
      <c r="B26" t="s">
        <v>537</v>
      </c>
      <c r="C26" t="s">
        <v>538</v>
      </c>
      <c r="D26" t="s">
        <v>539</v>
      </c>
      <c r="E26" s="4" t="s">
        <v>540</v>
      </c>
      <c r="F26" t="s">
        <v>541</v>
      </c>
      <c r="G26" s="5">
        <v>44529</v>
      </c>
      <c r="H26" t="s">
        <v>542</v>
      </c>
      <c r="I26" t="s">
        <v>121</v>
      </c>
      <c r="J26" t="s">
        <v>122</v>
      </c>
      <c r="K26" t="s">
        <v>543</v>
      </c>
      <c r="L26">
        <v>742</v>
      </c>
      <c r="M26">
        <v>518</v>
      </c>
      <c r="N26">
        <v>1100</v>
      </c>
      <c r="O26">
        <v>725</v>
      </c>
      <c r="P26" t="s">
        <v>544</v>
      </c>
      <c r="Q26" t="s">
        <v>545</v>
      </c>
      <c r="R26" t="s">
        <v>148</v>
      </c>
      <c r="S26" t="s">
        <v>546</v>
      </c>
      <c r="T26" t="s">
        <v>128</v>
      </c>
      <c r="U26" t="s">
        <v>547</v>
      </c>
      <c r="V26" t="s">
        <v>548</v>
      </c>
      <c r="W26" t="s">
        <v>549</v>
      </c>
      <c r="X26" t="s">
        <v>547</v>
      </c>
      <c r="Y26" t="s">
        <v>437</v>
      </c>
      <c r="Z26" t="s">
        <v>550</v>
      </c>
      <c r="AA26" t="s">
        <v>338</v>
      </c>
      <c r="AB26" t="s">
        <v>551</v>
      </c>
      <c r="AC26" s="7" t="s">
        <v>552</v>
      </c>
      <c r="AD26" s="7" t="s">
        <v>137</v>
      </c>
      <c r="AE26" s="7" t="s">
        <v>553</v>
      </c>
    </row>
    <row r="27" spans="1:32" ht="14.25" customHeight="1" x14ac:dyDescent="0.2">
      <c r="A27" t="s">
        <v>554</v>
      </c>
      <c r="B27" t="s">
        <v>555</v>
      </c>
      <c r="C27" t="s">
        <v>556</v>
      </c>
      <c r="D27" t="s">
        <v>557</v>
      </c>
      <c r="E27" s="4" t="s">
        <v>558</v>
      </c>
      <c r="F27" t="s">
        <v>559</v>
      </c>
      <c r="G27" s="5">
        <v>44301</v>
      </c>
      <c r="H27" t="s">
        <v>560</v>
      </c>
      <c r="I27" t="s">
        <v>121</v>
      </c>
      <c r="J27" t="s">
        <v>122</v>
      </c>
      <c r="K27" t="s">
        <v>543</v>
      </c>
      <c r="L27">
        <v>742</v>
      </c>
      <c r="M27">
        <v>518</v>
      </c>
      <c r="N27">
        <v>1100</v>
      </c>
      <c r="O27">
        <v>725</v>
      </c>
      <c r="P27" t="s">
        <v>561</v>
      </c>
      <c r="Q27" t="s">
        <v>562</v>
      </c>
      <c r="R27" t="s">
        <v>563</v>
      </c>
      <c r="S27" t="s">
        <v>564</v>
      </c>
      <c r="T27" t="s">
        <v>128</v>
      </c>
      <c r="U27" t="s">
        <v>565</v>
      </c>
      <c r="V27" t="s">
        <v>130</v>
      </c>
      <c r="W27" t="s">
        <v>566</v>
      </c>
      <c r="X27" t="s">
        <v>567</v>
      </c>
      <c r="Y27" t="s">
        <v>132</v>
      </c>
      <c r="Z27" t="s">
        <v>568</v>
      </c>
      <c r="AA27" t="s">
        <v>338</v>
      </c>
      <c r="AB27" t="s">
        <v>569</v>
      </c>
      <c r="AC27" s="7" t="s">
        <v>570</v>
      </c>
      <c r="AD27" s="7" t="s">
        <v>137</v>
      </c>
      <c r="AE27" s="7" t="s">
        <v>571</v>
      </c>
    </row>
    <row r="28" spans="1:32" ht="14.25" customHeight="1" x14ac:dyDescent="0.2">
      <c r="A28" t="s">
        <v>572</v>
      </c>
      <c r="B28" t="s">
        <v>573</v>
      </c>
      <c r="C28" t="s">
        <v>574</v>
      </c>
      <c r="D28" t="s">
        <v>575</v>
      </c>
      <c r="E28" s="4" t="s">
        <v>576</v>
      </c>
      <c r="F28" t="s">
        <v>577</v>
      </c>
      <c r="G28" s="5">
        <v>43756</v>
      </c>
      <c r="H28" t="s">
        <v>578</v>
      </c>
      <c r="I28" t="s">
        <v>260</v>
      </c>
      <c r="J28" t="s">
        <v>122</v>
      </c>
      <c r="K28" t="s">
        <v>543</v>
      </c>
      <c r="L28">
        <v>781</v>
      </c>
      <c r="M28">
        <v>493</v>
      </c>
      <c r="N28">
        <v>1100</v>
      </c>
      <c r="O28">
        <v>725</v>
      </c>
      <c r="P28" t="s">
        <v>579</v>
      </c>
      <c r="Q28" t="s">
        <v>580</v>
      </c>
      <c r="R28" t="s">
        <v>581</v>
      </c>
      <c r="S28" t="s">
        <v>582</v>
      </c>
      <c r="T28" t="s">
        <v>280</v>
      </c>
      <c r="U28" t="s">
        <v>583</v>
      </c>
      <c r="V28" t="s">
        <v>130</v>
      </c>
      <c r="W28" t="s">
        <v>584</v>
      </c>
      <c r="X28" t="s">
        <v>585</v>
      </c>
      <c r="Y28" t="s">
        <v>132</v>
      </c>
      <c r="Z28" t="s">
        <v>586</v>
      </c>
      <c r="AA28" t="s">
        <v>266</v>
      </c>
      <c r="AB28" t="s">
        <v>587</v>
      </c>
      <c r="AC28" t="s">
        <v>588</v>
      </c>
      <c r="AD28" s="7" t="s">
        <v>137</v>
      </c>
      <c r="AE28" s="7" t="s">
        <v>589</v>
      </c>
    </row>
    <row r="29" spans="1:32" ht="14.25" customHeight="1" x14ac:dyDescent="0.2">
      <c r="A29" t="s">
        <v>590</v>
      </c>
      <c r="B29" t="s">
        <v>591</v>
      </c>
      <c r="C29" t="s">
        <v>592</v>
      </c>
      <c r="D29" t="s">
        <v>593</v>
      </c>
      <c r="E29" s="4" t="s">
        <v>594</v>
      </c>
      <c r="F29" t="s">
        <v>595</v>
      </c>
      <c r="G29" s="5">
        <v>43657</v>
      </c>
      <c r="H29" t="s">
        <v>596</v>
      </c>
      <c r="I29" t="s">
        <v>121</v>
      </c>
      <c r="J29" t="s">
        <v>122</v>
      </c>
      <c r="K29" t="s">
        <v>543</v>
      </c>
      <c r="L29">
        <v>742</v>
      </c>
      <c r="M29">
        <v>518</v>
      </c>
      <c r="N29">
        <v>1100</v>
      </c>
      <c r="O29">
        <v>725</v>
      </c>
      <c r="P29" t="s">
        <v>597</v>
      </c>
      <c r="Q29" t="s">
        <v>598</v>
      </c>
      <c r="R29" t="s">
        <v>563</v>
      </c>
      <c r="S29" t="s">
        <v>226</v>
      </c>
      <c r="T29" t="s">
        <v>128</v>
      </c>
      <c r="U29" t="s">
        <v>599</v>
      </c>
      <c r="V29" t="s">
        <v>152</v>
      </c>
      <c r="W29" t="s">
        <v>600</v>
      </c>
      <c r="X29" t="s">
        <v>601</v>
      </c>
      <c r="Y29" t="s">
        <v>155</v>
      </c>
      <c r="Z29" t="s">
        <v>602</v>
      </c>
      <c r="AA29" t="s">
        <v>266</v>
      </c>
      <c r="AB29" s="7" t="s">
        <v>603</v>
      </c>
      <c r="AC29" t="s">
        <v>604</v>
      </c>
      <c r="AD29" s="7" t="s">
        <v>137</v>
      </c>
      <c r="AE29" s="7" t="s">
        <v>605</v>
      </c>
    </row>
    <row r="30" spans="1:32" ht="14.25" customHeight="1" x14ac:dyDescent="0.2">
      <c r="A30" t="s">
        <v>606</v>
      </c>
      <c r="B30" t="s">
        <v>607</v>
      </c>
      <c r="C30" t="s">
        <v>608</v>
      </c>
      <c r="D30" t="s">
        <v>609</v>
      </c>
      <c r="E30" s="4" t="s">
        <v>610</v>
      </c>
      <c r="F30" t="s">
        <v>611</v>
      </c>
      <c r="G30" s="5">
        <v>43573</v>
      </c>
      <c r="H30" t="s">
        <v>612</v>
      </c>
      <c r="I30" t="s">
        <v>241</v>
      </c>
      <c r="J30" t="s">
        <v>122</v>
      </c>
      <c r="K30" t="s">
        <v>543</v>
      </c>
      <c r="L30">
        <v>796</v>
      </c>
      <c r="M30">
        <v>454</v>
      </c>
      <c r="N30">
        <v>1100</v>
      </c>
      <c r="O30">
        <v>725</v>
      </c>
      <c r="P30" t="s">
        <v>613</v>
      </c>
      <c r="Q30" t="s">
        <v>614</v>
      </c>
      <c r="R30" t="s">
        <v>563</v>
      </c>
      <c r="S30" t="s">
        <v>615</v>
      </c>
      <c r="T30" t="s">
        <v>128</v>
      </c>
      <c r="U30" t="s">
        <v>616</v>
      </c>
      <c r="V30" t="s">
        <v>152</v>
      </c>
      <c r="W30" t="s">
        <v>617</v>
      </c>
      <c r="X30" t="s">
        <v>618</v>
      </c>
      <c r="Y30" t="s">
        <v>155</v>
      </c>
      <c r="Z30" t="s">
        <v>619</v>
      </c>
      <c r="AA30" t="s">
        <v>134</v>
      </c>
      <c r="AB30" t="s">
        <v>620</v>
      </c>
      <c r="AC30" t="s">
        <v>621</v>
      </c>
      <c r="AD30" t="s">
        <v>178</v>
      </c>
      <c r="AE30" s="7" t="s">
        <v>622</v>
      </c>
    </row>
    <row r="31" spans="1:32" ht="14.25" customHeight="1" x14ac:dyDescent="0.2">
      <c r="A31" t="s">
        <v>623</v>
      </c>
      <c r="B31" t="s">
        <v>624</v>
      </c>
      <c r="C31" t="s">
        <v>625</v>
      </c>
      <c r="D31" t="s">
        <v>626</v>
      </c>
      <c r="E31" s="4" t="s">
        <v>627</v>
      </c>
      <c r="F31" t="s">
        <v>628</v>
      </c>
      <c r="G31" s="5">
        <v>43370</v>
      </c>
      <c r="H31" t="s">
        <v>629</v>
      </c>
      <c r="I31" t="s">
        <v>121</v>
      </c>
      <c r="J31" t="s">
        <v>122</v>
      </c>
      <c r="K31" t="s">
        <v>543</v>
      </c>
      <c r="L31">
        <v>863</v>
      </c>
      <c r="M31">
        <v>601</v>
      </c>
      <c r="N31">
        <v>1100</v>
      </c>
      <c r="O31">
        <v>725</v>
      </c>
      <c r="P31" t="s">
        <v>630</v>
      </c>
      <c r="Q31" t="s">
        <v>631</v>
      </c>
      <c r="R31" t="s">
        <v>563</v>
      </c>
      <c r="S31" t="s">
        <v>632</v>
      </c>
      <c r="T31" t="s">
        <v>128</v>
      </c>
      <c r="U31" t="s">
        <v>633</v>
      </c>
      <c r="V31" t="s">
        <v>132</v>
      </c>
      <c r="W31" t="s">
        <v>634</v>
      </c>
      <c r="X31" t="s">
        <v>635</v>
      </c>
      <c r="Y31" t="s">
        <v>132</v>
      </c>
      <c r="Z31" t="s">
        <v>154</v>
      </c>
      <c r="AA31" t="s">
        <v>266</v>
      </c>
      <c r="AB31" s="7" t="s">
        <v>419</v>
      </c>
      <c r="AC31" t="s">
        <v>636</v>
      </c>
      <c r="AD31" s="7" t="s">
        <v>341</v>
      </c>
      <c r="AE31" s="7" t="s">
        <v>637</v>
      </c>
    </row>
    <row r="32" spans="1:32" ht="14.25" customHeight="1" x14ac:dyDescent="0.2">
      <c r="A32" t="s">
        <v>638</v>
      </c>
      <c r="B32" t="s">
        <v>639</v>
      </c>
      <c r="C32" t="s">
        <v>640</v>
      </c>
      <c r="D32" t="s">
        <v>641</v>
      </c>
      <c r="E32" s="4" t="s">
        <v>642</v>
      </c>
      <c r="F32" t="s">
        <v>643</v>
      </c>
      <c r="G32" s="5">
        <v>44233</v>
      </c>
      <c r="H32" t="s">
        <v>644</v>
      </c>
      <c r="I32" t="s">
        <v>121</v>
      </c>
      <c r="J32" t="s">
        <v>122</v>
      </c>
      <c r="K32" t="s">
        <v>645</v>
      </c>
      <c r="L32">
        <v>749</v>
      </c>
      <c r="M32">
        <v>510</v>
      </c>
      <c r="N32">
        <v>1100</v>
      </c>
      <c r="O32">
        <v>725</v>
      </c>
      <c r="P32" t="s">
        <v>646</v>
      </c>
      <c r="Q32" t="s">
        <v>647</v>
      </c>
      <c r="R32" t="s">
        <v>648</v>
      </c>
      <c r="S32" t="s">
        <v>649</v>
      </c>
      <c r="T32" t="s">
        <v>650</v>
      </c>
      <c r="U32" t="s">
        <v>651</v>
      </c>
      <c r="V32" t="s">
        <v>152</v>
      </c>
      <c r="W32" t="s">
        <v>652</v>
      </c>
      <c r="X32" t="s">
        <v>653</v>
      </c>
      <c r="Y32" t="s">
        <v>155</v>
      </c>
      <c r="Z32" t="s">
        <v>652</v>
      </c>
      <c r="AA32" t="s">
        <v>338</v>
      </c>
      <c r="AB32" s="7" t="s">
        <v>419</v>
      </c>
      <c r="AC32" t="s">
        <v>654</v>
      </c>
      <c r="AD32" s="7" t="s">
        <v>44</v>
      </c>
      <c r="AE32" s="7" t="s">
        <v>655</v>
      </c>
    </row>
    <row r="33" spans="1:31" ht="14.25" customHeight="1" x14ac:dyDescent="0.2">
      <c r="A33" t="s">
        <v>656</v>
      </c>
      <c r="B33" t="s">
        <v>657</v>
      </c>
      <c r="C33" t="s">
        <v>658</v>
      </c>
      <c r="D33" t="s">
        <v>659</v>
      </c>
      <c r="E33" s="4" t="s">
        <v>660</v>
      </c>
      <c r="F33" t="s">
        <v>661</v>
      </c>
      <c r="G33" s="5">
        <v>44210</v>
      </c>
      <c r="H33" t="s">
        <v>662</v>
      </c>
      <c r="I33" t="s">
        <v>260</v>
      </c>
      <c r="J33" t="s">
        <v>122</v>
      </c>
      <c r="K33" t="s">
        <v>645</v>
      </c>
      <c r="L33">
        <v>789</v>
      </c>
      <c r="M33">
        <v>486</v>
      </c>
      <c r="N33">
        <v>1100</v>
      </c>
      <c r="O33">
        <v>725</v>
      </c>
      <c r="P33" t="s">
        <v>663</v>
      </c>
      <c r="Q33" t="s">
        <v>664</v>
      </c>
      <c r="R33" t="s">
        <v>665</v>
      </c>
      <c r="S33" t="s">
        <v>666</v>
      </c>
      <c r="T33" t="s">
        <v>245</v>
      </c>
      <c r="U33" t="s">
        <v>667</v>
      </c>
      <c r="V33" t="s">
        <v>152</v>
      </c>
      <c r="W33" t="s">
        <v>668</v>
      </c>
      <c r="X33" t="s">
        <v>669</v>
      </c>
      <c r="Y33" t="s">
        <v>155</v>
      </c>
      <c r="Z33" t="s">
        <v>670</v>
      </c>
      <c r="AA33" t="s">
        <v>338</v>
      </c>
      <c r="AB33" s="7" t="s">
        <v>671</v>
      </c>
      <c r="AC33" t="s">
        <v>268</v>
      </c>
      <c r="AD33" s="7" t="s">
        <v>44</v>
      </c>
      <c r="AE33" s="7" t="s">
        <v>672</v>
      </c>
    </row>
    <row r="34" spans="1:31" ht="14.25" customHeight="1" x14ac:dyDescent="0.2">
      <c r="A34" t="s">
        <v>673</v>
      </c>
      <c r="B34" t="s">
        <v>674</v>
      </c>
      <c r="C34" t="s">
        <v>675</v>
      </c>
      <c r="D34" t="s">
        <v>676</v>
      </c>
      <c r="E34" s="4" t="s">
        <v>677</v>
      </c>
      <c r="F34" t="s">
        <v>678</v>
      </c>
      <c r="G34" s="5">
        <v>43994</v>
      </c>
      <c r="H34" t="s">
        <v>679</v>
      </c>
      <c r="I34" t="s">
        <v>121</v>
      </c>
      <c r="J34" t="s">
        <v>122</v>
      </c>
      <c r="K34" t="s">
        <v>645</v>
      </c>
      <c r="L34">
        <v>749</v>
      </c>
      <c r="M34">
        <v>510</v>
      </c>
      <c r="N34">
        <v>1100</v>
      </c>
      <c r="O34">
        <v>725</v>
      </c>
      <c r="P34" t="s">
        <v>680</v>
      </c>
      <c r="Q34" t="s">
        <v>681</v>
      </c>
      <c r="R34" t="s">
        <v>682</v>
      </c>
      <c r="S34" t="s">
        <v>683</v>
      </c>
      <c r="T34" t="s">
        <v>128</v>
      </c>
      <c r="U34" t="s">
        <v>684</v>
      </c>
      <c r="V34" t="s">
        <v>130</v>
      </c>
      <c r="W34" t="s">
        <v>685</v>
      </c>
      <c r="X34" t="s">
        <v>686</v>
      </c>
      <c r="Y34" t="s">
        <v>132</v>
      </c>
      <c r="Z34" t="s">
        <v>154</v>
      </c>
      <c r="AA34" t="s">
        <v>213</v>
      </c>
      <c r="AB34" s="7" t="s">
        <v>687</v>
      </c>
      <c r="AC34" s="7" t="s">
        <v>688</v>
      </c>
      <c r="AD34" s="7" t="s">
        <v>689</v>
      </c>
      <c r="AE34" s="7" t="s">
        <v>690</v>
      </c>
    </row>
    <row r="35" spans="1:31" ht="14.25" customHeight="1" x14ac:dyDescent="0.2">
      <c r="A35" t="s">
        <v>691</v>
      </c>
      <c r="B35" t="s">
        <v>692</v>
      </c>
      <c r="C35" t="s">
        <v>693</v>
      </c>
      <c r="D35" t="s">
        <v>694</v>
      </c>
      <c r="E35" s="4" t="s">
        <v>695</v>
      </c>
      <c r="F35" t="s">
        <v>696</v>
      </c>
      <c r="G35" s="5">
        <v>43612</v>
      </c>
      <c r="H35" t="s">
        <v>697</v>
      </c>
      <c r="I35" t="s">
        <v>121</v>
      </c>
      <c r="J35" t="s">
        <v>122</v>
      </c>
      <c r="K35" t="s">
        <v>645</v>
      </c>
      <c r="L35">
        <v>898</v>
      </c>
      <c r="M35">
        <v>612</v>
      </c>
      <c r="N35">
        <v>1100</v>
      </c>
      <c r="O35">
        <v>725</v>
      </c>
      <c r="P35" t="s">
        <v>698</v>
      </c>
      <c r="Q35" t="s">
        <v>699</v>
      </c>
      <c r="R35" t="s">
        <v>682</v>
      </c>
      <c r="S35" t="s">
        <v>700</v>
      </c>
      <c r="T35" t="s">
        <v>283</v>
      </c>
      <c r="U35" t="s">
        <v>701</v>
      </c>
      <c r="V35" t="s">
        <v>702</v>
      </c>
      <c r="W35" t="s">
        <v>703</v>
      </c>
      <c r="X35" t="s">
        <v>704</v>
      </c>
      <c r="Y35" t="s">
        <v>705</v>
      </c>
      <c r="Z35" t="s">
        <v>703</v>
      </c>
      <c r="AA35" t="s">
        <v>213</v>
      </c>
      <c r="AB35" s="7" t="s">
        <v>706</v>
      </c>
      <c r="AC35" s="7" t="s">
        <v>707</v>
      </c>
      <c r="AD35" s="7" t="s">
        <v>137</v>
      </c>
      <c r="AE35" s="7" t="s">
        <v>708</v>
      </c>
    </row>
    <row r="36" spans="1:31" ht="14.25" customHeight="1" x14ac:dyDescent="0.2">
      <c r="A36" t="s">
        <v>709</v>
      </c>
      <c r="B36" t="s">
        <v>710</v>
      </c>
      <c r="C36" t="s">
        <v>711</v>
      </c>
      <c r="D36" t="s">
        <v>712</v>
      </c>
      <c r="E36" s="4" t="s">
        <v>713</v>
      </c>
      <c r="F36" t="s">
        <v>714</v>
      </c>
      <c r="G36" s="5">
        <v>43720</v>
      </c>
      <c r="H36" t="s">
        <v>715</v>
      </c>
      <c r="I36" t="s">
        <v>260</v>
      </c>
      <c r="J36" t="s">
        <v>122</v>
      </c>
      <c r="K36" t="s">
        <v>645</v>
      </c>
      <c r="L36">
        <v>765</v>
      </c>
      <c r="M36">
        <v>471</v>
      </c>
      <c r="N36">
        <v>1100</v>
      </c>
      <c r="O36">
        <v>725</v>
      </c>
      <c r="P36" t="s">
        <v>716</v>
      </c>
      <c r="Q36" t="s">
        <v>717</v>
      </c>
      <c r="R36" t="s">
        <v>682</v>
      </c>
      <c r="S36" t="s">
        <v>615</v>
      </c>
      <c r="T36" t="s">
        <v>128</v>
      </c>
      <c r="U36" t="s">
        <v>718</v>
      </c>
      <c r="V36" t="s">
        <v>152</v>
      </c>
      <c r="W36" t="s">
        <v>719</v>
      </c>
      <c r="X36" t="s">
        <v>720</v>
      </c>
      <c r="Y36" t="s">
        <v>155</v>
      </c>
      <c r="Z36" t="s">
        <v>601</v>
      </c>
      <c r="AA36" s="7" t="s">
        <v>175</v>
      </c>
      <c r="AB36" t="s">
        <v>721</v>
      </c>
      <c r="AC36" s="7" t="s">
        <v>389</v>
      </c>
      <c r="AD36" s="7" t="s">
        <v>722</v>
      </c>
      <c r="AE36" s="7" t="s">
        <v>723</v>
      </c>
    </row>
    <row r="37" spans="1:31" ht="14.25" customHeight="1" x14ac:dyDescent="0.2">
      <c r="A37" t="s">
        <v>724</v>
      </c>
      <c r="B37" t="s">
        <v>725</v>
      </c>
      <c r="C37" t="s">
        <v>726</v>
      </c>
      <c r="D37" t="s">
        <v>727</v>
      </c>
      <c r="E37" s="4" t="s">
        <v>728</v>
      </c>
      <c r="F37" t="s">
        <v>729</v>
      </c>
      <c r="G37" s="5">
        <v>43616</v>
      </c>
      <c r="H37" t="s">
        <v>730</v>
      </c>
      <c r="I37" t="s">
        <v>260</v>
      </c>
      <c r="J37" t="s">
        <v>122</v>
      </c>
      <c r="K37" t="s">
        <v>645</v>
      </c>
      <c r="L37">
        <v>749</v>
      </c>
      <c r="M37">
        <v>461</v>
      </c>
      <c r="N37">
        <v>1100</v>
      </c>
      <c r="O37">
        <v>725</v>
      </c>
      <c r="P37" t="s">
        <v>731</v>
      </c>
      <c r="Q37" t="s">
        <v>732</v>
      </c>
      <c r="R37" t="s">
        <v>682</v>
      </c>
      <c r="S37" t="s">
        <v>632</v>
      </c>
      <c r="T37" t="s">
        <v>128</v>
      </c>
      <c r="U37" t="s">
        <v>733</v>
      </c>
      <c r="V37" t="s">
        <v>318</v>
      </c>
      <c r="W37" t="s">
        <v>734</v>
      </c>
      <c r="X37" t="s">
        <v>518</v>
      </c>
      <c r="Y37" t="s">
        <v>132</v>
      </c>
      <c r="Z37" t="s">
        <v>735</v>
      </c>
      <c r="AA37" s="7" t="s">
        <v>387</v>
      </c>
      <c r="AB37" t="s">
        <v>587</v>
      </c>
      <c r="AC37" s="7" t="s">
        <v>736</v>
      </c>
      <c r="AD37" s="7" t="s">
        <v>28</v>
      </c>
      <c r="AE37" s="7" t="s">
        <v>737</v>
      </c>
    </row>
    <row r="38" spans="1:31" ht="14.25" customHeight="1" x14ac:dyDescent="0.2">
      <c r="A38" t="s">
        <v>738</v>
      </c>
      <c r="B38" t="s">
        <v>739</v>
      </c>
      <c r="C38" t="s">
        <v>740</v>
      </c>
      <c r="D38" t="s">
        <v>741</v>
      </c>
      <c r="E38" s="4" t="s">
        <v>742</v>
      </c>
      <c r="F38" t="s">
        <v>743</v>
      </c>
      <c r="G38" s="5">
        <v>43370</v>
      </c>
      <c r="H38" t="s">
        <v>744</v>
      </c>
      <c r="I38" t="s">
        <v>241</v>
      </c>
      <c r="J38" t="s">
        <v>122</v>
      </c>
      <c r="K38" t="s">
        <v>645</v>
      </c>
      <c r="L38">
        <v>943</v>
      </c>
      <c r="M38">
        <v>525</v>
      </c>
      <c r="N38">
        <v>1100</v>
      </c>
      <c r="O38">
        <v>725</v>
      </c>
      <c r="P38" t="s">
        <v>745</v>
      </c>
      <c r="Q38" t="s">
        <v>746</v>
      </c>
      <c r="R38" t="s">
        <v>682</v>
      </c>
      <c r="S38" t="s">
        <v>747</v>
      </c>
      <c r="T38" t="s">
        <v>128</v>
      </c>
      <c r="U38" t="s">
        <v>748</v>
      </c>
      <c r="V38" t="s">
        <v>317</v>
      </c>
      <c r="W38" t="s">
        <v>318</v>
      </c>
      <c r="X38" t="s">
        <v>618</v>
      </c>
      <c r="Y38" t="s">
        <v>132</v>
      </c>
      <c r="Z38" t="s">
        <v>749</v>
      </c>
      <c r="AA38" t="s">
        <v>213</v>
      </c>
      <c r="AB38" s="7" t="s">
        <v>157</v>
      </c>
      <c r="AC38" t="s">
        <v>750</v>
      </c>
      <c r="AD38" s="7" t="s">
        <v>40</v>
      </c>
      <c r="AE38" s="7" t="s">
        <v>751</v>
      </c>
    </row>
    <row r="39" spans="1:31" ht="14.25" customHeight="1" x14ac:dyDescent="0.2">
      <c r="A39" t="s">
        <v>752</v>
      </c>
      <c r="B39" t="s">
        <v>753</v>
      </c>
      <c r="C39" t="s">
        <v>754</v>
      </c>
      <c r="D39" t="s">
        <v>755</v>
      </c>
      <c r="E39" s="4" t="s">
        <v>756</v>
      </c>
      <c r="F39" t="s">
        <v>757</v>
      </c>
      <c r="G39" s="5">
        <v>44377</v>
      </c>
      <c r="H39" t="s">
        <v>758</v>
      </c>
      <c r="I39" t="s">
        <v>260</v>
      </c>
      <c r="J39" t="s">
        <v>122</v>
      </c>
      <c r="K39" t="s">
        <v>759</v>
      </c>
      <c r="L39">
        <v>803</v>
      </c>
      <c r="M39">
        <v>471</v>
      </c>
      <c r="N39">
        <v>1100</v>
      </c>
      <c r="O39">
        <v>725</v>
      </c>
      <c r="P39" t="s">
        <v>760</v>
      </c>
      <c r="Q39" t="s">
        <v>761</v>
      </c>
      <c r="R39" t="s">
        <v>762</v>
      </c>
      <c r="S39" t="s">
        <v>352</v>
      </c>
      <c r="T39" t="s">
        <v>353</v>
      </c>
      <c r="U39" t="s">
        <v>763</v>
      </c>
      <c r="V39" t="s">
        <v>152</v>
      </c>
      <c r="W39" t="s">
        <v>764</v>
      </c>
      <c r="X39" t="s">
        <v>765</v>
      </c>
      <c r="Y39" t="s">
        <v>155</v>
      </c>
      <c r="Z39" t="s">
        <v>454</v>
      </c>
      <c r="AA39" s="7" t="s">
        <v>338</v>
      </c>
      <c r="AB39" s="7" t="s">
        <v>766</v>
      </c>
      <c r="AC39" s="7" t="s">
        <v>767</v>
      </c>
      <c r="AD39" s="7" t="s">
        <v>44</v>
      </c>
      <c r="AE39" s="7" t="s">
        <v>768</v>
      </c>
    </row>
    <row r="40" spans="1:31" ht="14.25" customHeight="1" x14ac:dyDescent="0.2">
      <c r="A40" t="s">
        <v>769</v>
      </c>
      <c r="B40" t="s">
        <v>770</v>
      </c>
      <c r="C40" t="s">
        <v>771</v>
      </c>
      <c r="D40" t="s">
        <v>772</v>
      </c>
      <c r="E40" s="4" t="s">
        <v>773</v>
      </c>
      <c r="F40" t="s">
        <v>774</v>
      </c>
      <c r="G40" s="5">
        <v>43782</v>
      </c>
      <c r="H40" t="s">
        <v>775</v>
      </c>
      <c r="I40" t="s">
        <v>121</v>
      </c>
      <c r="J40" t="s">
        <v>122</v>
      </c>
      <c r="K40" t="s">
        <v>759</v>
      </c>
      <c r="L40">
        <v>763</v>
      </c>
      <c r="M40">
        <v>495</v>
      </c>
      <c r="N40">
        <v>1100</v>
      </c>
      <c r="O40">
        <v>725</v>
      </c>
      <c r="P40" t="s">
        <v>776</v>
      </c>
      <c r="Q40" t="s">
        <v>777</v>
      </c>
      <c r="R40" t="s">
        <v>762</v>
      </c>
      <c r="S40" t="s">
        <v>778</v>
      </c>
      <c r="T40" t="s">
        <v>779</v>
      </c>
      <c r="U40" t="s">
        <v>780</v>
      </c>
      <c r="V40" t="s">
        <v>130</v>
      </c>
      <c r="W40" t="s">
        <v>781</v>
      </c>
      <c r="X40" t="s">
        <v>154</v>
      </c>
      <c r="Y40" t="s">
        <v>132</v>
      </c>
      <c r="Z40" t="s">
        <v>782</v>
      </c>
      <c r="AA40" s="7" t="s">
        <v>387</v>
      </c>
      <c r="AB40" s="7" t="s">
        <v>419</v>
      </c>
      <c r="AC40" s="7" t="s">
        <v>783</v>
      </c>
      <c r="AD40" s="7" t="s">
        <v>28</v>
      </c>
      <c r="AE40" s="7" t="s">
        <v>784</v>
      </c>
    </row>
    <row r="41" spans="1:31" ht="14.25" customHeight="1" x14ac:dyDescent="0.2">
      <c r="A41" t="s">
        <v>785</v>
      </c>
      <c r="B41" t="s">
        <v>786</v>
      </c>
      <c r="C41" t="s">
        <v>787</v>
      </c>
      <c r="D41" t="s">
        <v>788</v>
      </c>
      <c r="E41" s="4" t="s">
        <v>789</v>
      </c>
      <c r="F41" t="s">
        <v>790</v>
      </c>
      <c r="G41" s="5">
        <v>43475</v>
      </c>
      <c r="H41" t="s">
        <v>791</v>
      </c>
      <c r="I41" t="s">
        <v>260</v>
      </c>
      <c r="J41" t="s">
        <v>122</v>
      </c>
      <c r="K41" t="s">
        <v>759</v>
      </c>
      <c r="L41">
        <v>1011</v>
      </c>
      <c r="M41">
        <v>582</v>
      </c>
      <c r="N41">
        <v>1100</v>
      </c>
      <c r="O41">
        <v>725</v>
      </c>
      <c r="P41" t="s">
        <v>792</v>
      </c>
      <c r="Q41" t="s">
        <v>793</v>
      </c>
      <c r="R41" t="s">
        <v>762</v>
      </c>
      <c r="S41" t="s">
        <v>794</v>
      </c>
      <c r="T41" t="s">
        <v>795</v>
      </c>
      <c r="U41" t="s">
        <v>796</v>
      </c>
      <c r="V41" t="s">
        <v>797</v>
      </c>
      <c r="W41" t="s">
        <v>788</v>
      </c>
      <c r="X41" t="s">
        <v>798</v>
      </c>
      <c r="Y41" t="s">
        <v>437</v>
      </c>
      <c r="Z41" t="s">
        <v>788</v>
      </c>
      <c r="AA41" s="7" t="s">
        <v>213</v>
      </c>
      <c r="AB41" s="7" t="s">
        <v>799</v>
      </c>
      <c r="AC41" s="7" t="s">
        <v>800</v>
      </c>
      <c r="AD41" s="7" t="s">
        <v>137</v>
      </c>
      <c r="AE41" s="7" t="s">
        <v>801</v>
      </c>
    </row>
    <row r="42" spans="1:31" ht="14.25" customHeight="1" x14ac:dyDescent="0.2">
      <c r="A42" t="s">
        <v>802</v>
      </c>
      <c r="B42" t="s">
        <v>803</v>
      </c>
      <c r="C42" t="s">
        <v>804</v>
      </c>
      <c r="D42" t="s">
        <v>805</v>
      </c>
      <c r="E42" s="4" t="s">
        <v>806</v>
      </c>
      <c r="F42" t="s">
        <v>807</v>
      </c>
      <c r="G42" s="5">
        <v>43510</v>
      </c>
      <c r="H42" t="s">
        <v>808</v>
      </c>
      <c r="I42" t="s">
        <v>260</v>
      </c>
      <c r="J42" t="s">
        <v>122</v>
      </c>
      <c r="K42" t="s">
        <v>759</v>
      </c>
      <c r="L42">
        <v>787</v>
      </c>
      <c r="M42">
        <v>462</v>
      </c>
      <c r="N42">
        <v>1100</v>
      </c>
      <c r="O42">
        <v>725</v>
      </c>
      <c r="P42" t="s">
        <v>809</v>
      </c>
      <c r="Q42" t="s">
        <v>810</v>
      </c>
      <c r="R42" t="s">
        <v>762</v>
      </c>
      <c r="S42" t="s">
        <v>811</v>
      </c>
      <c r="T42" t="s">
        <v>150</v>
      </c>
      <c r="U42" t="s">
        <v>812</v>
      </c>
      <c r="V42" t="s">
        <v>130</v>
      </c>
      <c r="W42" t="s">
        <v>813</v>
      </c>
      <c r="X42" t="s">
        <v>814</v>
      </c>
      <c r="Y42" t="s">
        <v>132</v>
      </c>
      <c r="Z42" t="s">
        <v>485</v>
      </c>
      <c r="AA42" s="7" t="s">
        <v>213</v>
      </c>
      <c r="AB42" s="7" t="s">
        <v>157</v>
      </c>
      <c r="AC42" s="7" t="s">
        <v>815</v>
      </c>
      <c r="AD42" s="7" t="s">
        <v>137</v>
      </c>
      <c r="AE42" s="7" t="s">
        <v>816</v>
      </c>
    </row>
    <row r="43" spans="1:31" ht="14.25" customHeight="1" x14ac:dyDescent="0.2">
      <c r="A43" t="s">
        <v>817</v>
      </c>
      <c r="B43" t="s">
        <v>818</v>
      </c>
      <c r="C43" t="s">
        <v>819</v>
      </c>
      <c r="D43" t="s">
        <v>820</v>
      </c>
      <c r="E43" s="4" t="s">
        <v>821</v>
      </c>
      <c r="F43" t="s">
        <v>822</v>
      </c>
      <c r="G43" s="5">
        <v>43370</v>
      </c>
      <c r="H43" t="s">
        <v>276</v>
      </c>
      <c r="I43" t="s">
        <v>121</v>
      </c>
      <c r="J43" t="s">
        <v>122</v>
      </c>
      <c r="K43" t="s">
        <v>759</v>
      </c>
      <c r="L43">
        <v>868</v>
      </c>
      <c r="M43">
        <v>563</v>
      </c>
      <c r="N43">
        <v>1100</v>
      </c>
      <c r="O43">
        <v>725</v>
      </c>
      <c r="P43" t="s">
        <v>823</v>
      </c>
      <c r="Q43" t="s">
        <v>824</v>
      </c>
      <c r="R43" t="s">
        <v>762</v>
      </c>
      <c r="S43" t="s">
        <v>825</v>
      </c>
      <c r="T43" t="s">
        <v>826</v>
      </c>
      <c r="U43" t="s">
        <v>827</v>
      </c>
      <c r="V43" t="s">
        <v>317</v>
      </c>
      <c r="W43" t="s">
        <v>318</v>
      </c>
      <c r="X43" t="s">
        <v>828</v>
      </c>
      <c r="Y43" t="s">
        <v>132</v>
      </c>
      <c r="Z43" t="s">
        <v>829</v>
      </c>
      <c r="AA43" s="7" t="s">
        <v>213</v>
      </c>
      <c r="AB43" s="7" t="s">
        <v>419</v>
      </c>
      <c r="AC43" t="s">
        <v>830</v>
      </c>
      <c r="AD43" s="7" t="s">
        <v>40</v>
      </c>
      <c r="AE43" s="7" t="s">
        <v>831</v>
      </c>
    </row>
    <row r="44" spans="1:31" ht="14.25" customHeight="1" x14ac:dyDescent="0.2">
      <c r="A44" t="s">
        <v>832</v>
      </c>
      <c r="B44" t="s">
        <v>833</v>
      </c>
      <c r="C44" t="s">
        <v>834</v>
      </c>
      <c r="D44" t="s">
        <v>835</v>
      </c>
      <c r="E44" s="4" t="s">
        <v>836</v>
      </c>
      <c r="F44" t="s">
        <v>837</v>
      </c>
      <c r="G44" s="5">
        <v>44421</v>
      </c>
      <c r="H44" t="s">
        <v>838</v>
      </c>
      <c r="I44" t="s">
        <v>260</v>
      </c>
      <c r="J44" t="s">
        <v>122</v>
      </c>
      <c r="K44" t="s">
        <v>839</v>
      </c>
      <c r="L44">
        <v>786</v>
      </c>
      <c r="M44">
        <v>488</v>
      </c>
      <c r="N44">
        <v>1100</v>
      </c>
      <c r="O44">
        <v>725</v>
      </c>
      <c r="P44" t="s">
        <v>840</v>
      </c>
      <c r="Q44" t="s">
        <v>841</v>
      </c>
      <c r="R44" t="s">
        <v>842</v>
      </c>
      <c r="S44" t="s">
        <v>384</v>
      </c>
      <c r="T44" t="s">
        <v>150</v>
      </c>
      <c r="U44" t="s">
        <v>843</v>
      </c>
      <c r="V44" t="s">
        <v>152</v>
      </c>
      <c r="W44" t="s">
        <v>844</v>
      </c>
      <c r="X44" t="s">
        <v>845</v>
      </c>
      <c r="Y44" t="s">
        <v>155</v>
      </c>
      <c r="Z44" t="s">
        <v>846</v>
      </c>
      <c r="AA44" s="7" t="s">
        <v>175</v>
      </c>
      <c r="AB44" s="7" t="s">
        <v>847</v>
      </c>
      <c r="AC44" s="7" t="s">
        <v>848</v>
      </c>
      <c r="AD44" s="7" t="s">
        <v>849</v>
      </c>
      <c r="AE44" s="7" t="s">
        <v>850</v>
      </c>
    </row>
    <row r="45" spans="1:31" ht="14.25" customHeight="1" x14ac:dyDescent="0.2">
      <c r="A45" t="s">
        <v>851</v>
      </c>
      <c r="B45" t="s">
        <v>852</v>
      </c>
      <c r="C45" t="s">
        <v>853</v>
      </c>
      <c r="D45" t="s">
        <v>854</v>
      </c>
      <c r="E45" s="4" t="s">
        <v>855</v>
      </c>
      <c r="F45" t="s">
        <v>856</v>
      </c>
      <c r="G45" s="5">
        <v>44196</v>
      </c>
      <c r="H45" t="s">
        <v>857</v>
      </c>
      <c r="I45" t="s">
        <v>121</v>
      </c>
      <c r="J45" t="s">
        <v>122</v>
      </c>
      <c r="K45" t="s">
        <v>839</v>
      </c>
      <c r="L45">
        <v>747</v>
      </c>
      <c r="M45">
        <v>513</v>
      </c>
      <c r="N45">
        <v>1100</v>
      </c>
      <c r="O45">
        <v>725</v>
      </c>
      <c r="P45" t="s">
        <v>858</v>
      </c>
      <c r="Q45" t="s">
        <v>859</v>
      </c>
      <c r="R45" t="s">
        <v>860</v>
      </c>
      <c r="S45" t="s">
        <v>861</v>
      </c>
      <c r="T45" t="s">
        <v>862</v>
      </c>
      <c r="U45" t="s">
        <v>863</v>
      </c>
      <c r="V45" t="s">
        <v>130</v>
      </c>
      <c r="W45" t="s">
        <v>864</v>
      </c>
      <c r="X45" t="s">
        <v>863</v>
      </c>
      <c r="Y45" t="s">
        <v>132</v>
      </c>
      <c r="Z45" t="s">
        <v>865</v>
      </c>
      <c r="AA45" s="7" t="s">
        <v>338</v>
      </c>
      <c r="AB45" t="s">
        <v>587</v>
      </c>
      <c r="AC45" s="7" t="s">
        <v>866</v>
      </c>
      <c r="AD45" s="7" t="s">
        <v>137</v>
      </c>
      <c r="AE45" s="7" t="s">
        <v>867</v>
      </c>
    </row>
    <row r="46" spans="1:31" ht="14.25" customHeight="1" x14ac:dyDescent="0.2">
      <c r="A46" t="s">
        <v>868</v>
      </c>
      <c r="B46" t="s">
        <v>869</v>
      </c>
      <c r="C46" t="s">
        <v>870</v>
      </c>
      <c r="D46" t="s">
        <v>871</v>
      </c>
      <c r="E46" s="4" t="s">
        <v>872</v>
      </c>
      <c r="F46" t="s">
        <v>873</v>
      </c>
      <c r="G46" s="5">
        <v>44086</v>
      </c>
      <c r="H46" t="s">
        <v>874</v>
      </c>
      <c r="I46" t="s">
        <v>121</v>
      </c>
      <c r="J46" t="s">
        <v>122</v>
      </c>
      <c r="K46" t="s">
        <v>839</v>
      </c>
      <c r="L46">
        <v>747</v>
      </c>
      <c r="M46">
        <v>513</v>
      </c>
      <c r="N46">
        <v>1100</v>
      </c>
      <c r="O46">
        <v>725</v>
      </c>
      <c r="P46" t="s">
        <v>875</v>
      </c>
      <c r="Q46" t="s">
        <v>876</v>
      </c>
      <c r="R46" t="s">
        <v>842</v>
      </c>
      <c r="S46" t="s">
        <v>384</v>
      </c>
      <c r="T46" t="s">
        <v>150</v>
      </c>
      <c r="U46" t="s">
        <v>877</v>
      </c>
      <c r="V46" t="s">
        <v>152</v>
      </c>
      <c r="W46" t="s">
        <v>878</v>
      </c>
      <c r="X46" t="s">
        <v>879</v>
      </c>
      <c r="Y46" t="s">
        <v>155</v>
      </c>
      <c r="Z46" t="s">
        <v>880</v>
      </c>
      <c r="AA46" t="s">
        <v>134</v>
      </c>
      <c r="AB46" t="s">
        <v>881</v>
      </c>
      <c r="AC46" s="7" t="s">
        <v>882</v>
      </c>
      <c r="AD46" s="7" t="s">
        <v>137</v>
      </c>
      <c r="AE46" s="7" t="s">
        <v>883</v>
      </c>
    </row>
    <row r="47" spans="1:31" ht="14.25" customHeight="1" x14ac:dyDescent="0.2">
      <c r="A47" t="s">
        <v>884</v>
      </c>
      <c r="B47" t="s">
        <v>885</v>
      </c>
      <c r="C47" t="s">
        <v>886</v>
      </c>
      <c r="D47" t="s">
        <v>887</v>
      </c>
      <c r="E47" s="4" t="s">
        <v>888</v>
      </c>
      <c r="F47" t="s">
        <v>889</v>
      </c>
      <c r="G47" s="5">
        <v>43798</v>
      </c>
      <c r="H47" t="s">
        <v>890</v>
      </c>
      <c r="I47" t="s">
        <v>121</v>
      </c>
      <c r="J47" t="s">
        <v>122</v>
      </c>
      <c r="K47" t="s">
        <v>839</v>
      </c>
      <c r="L47">
        <v>688</v>
      </c>
      <c r="M47">
        <v>472</v>
      </c>
      <c r="N47">
        <v>1100</v>
      </c>
      <c r="O47">
        <v>725</v>
      </c>
      <c r="P47" t="s">
        <v>891</v>
      </c>
      <c r="Q47" t="s">
        <v>892</v>
      </c>
      <c r="R47" t="s">
        <v>860</v>
      </c>
      <c r="S47" t="s">
        <v>384</v>
      </c>
      <c r="T47" t="s">
        <v>150</v>
      </c>
      <c r="U47" t="s">
        <v>893</v>
      </c>
      <c r="V47" t="s">
        <v>130</v>
      </c>
      <c r="W47" t="s">
        <v>894</v>
      </c>
      <c r="X47" t="s">
        <v>895</v>
      </c>
      <c r="Y47" t="s">
        <v>132</v>
      </c>
      <c r="Z47" t="s">
        <v>896</v>
      </c>
      <c r="AA47" s="7" t="s">
        <v>387</v>
      </c>
      <c r="AB47" t="s">
        <v>897</v>
      </c>
      <c r="AC47" s="7" t="s">
        <v>389</v>
      </c>
      <c r="AD47" s="7" t="s">
        <v>28</v>
      </c>
      <c r="AE47" s="7" t="s">
        <v>898</v>
      </c>
    </row>
    <row r="48" spans="1:31" ht="14.25" customHeight="1" x14ac:dyDescent="0.2">
      <c r="A48" t="s">
        <v>899</v>
      </c>
      <c r="B48" t="s">
        <v>900</v>
      </c>
      <c r="C48" t="s">
        <v>901</v>
      </c>
      <c r="D48" t="s">
        <v>902</v>
      </c>
      <c r="E48" s="4" t="s">
        <v>903</v>
      </c>
      <c r="F48" t="s">
        <v>904</v>
      </c>
      <c r="G48" s="5">
        <v>43616</v>
      </c>
      <c r="H48" t="s">
        <v>905</v>
      </c>
      <c r="I48" t="s">
        <v>121</v>
      </c>
      <c r="J48" t="s">
        <v>122</v>
      </c>
      <c r="K48" t="s">
        <v>839</v>
      </c>
      <c r="L48">
        <v>747</v>
      </c>
      <c r="M48">
        <v>513</v>
      </c>
      <c r="N48">
        <v>1100</v>
      </c>
      <c r="O48">
        <v>725</v>
      </c>
      <c r="P48" t="s">
        <v>906</v>
      </c>
      <c r="Q48" t="s">
        <v>907</v>
      </c>
      <c r="R48" t="s">
        <v>842</v>
      </c>
      <c r="S48" t="s">
        <v>384</v>
      </c>
      <c r="T48" t="s">
        <v>150</v>
      </c>
      <c r="U48" t="s">
        <v>908</v>
      </c>
      <c r="V48" t="s">
        <v>130</v>
      </c>
      <c r="W48" t="s">
        <v>909</v>
      </c>
      <c r="X48" t="s">
        <v>910</v>
      </c>
      <c r="Y48" t="s">
        <v>132</v>
      </c>
      <c r="Z48" t="s">
        <v>485</v>
      </c>
      <c r="AA48" s="7" t="s">
        <v>134</v>
      </c>
      <c r="AB48" s="7" t="s">
        <v>911</v>
      </c>
      <c r="AC48" s="7" t="s">
        <v>912</v>
      </c>
      <c r="AD48" s="7" t="s">
        <v>44</v>
      </c>
      <c r="AE48" s="7" t="s">
        <v>913</v>
      </c>
    </row>
    <row r="49" spans="1:31" ht="14.25" customHeight="1" x14ac:dyDescent="0.2">
      <c r="A49" t="s">
        <v>914</v>
      </c>
      <c r="B49" t="s">
        <v>86</v>
      </c>
      <c r="C49" t="s">
        <v>915</v>
      </c>
      <c r="D49" t="s">
        <v>916</v>
      </c>
      <c r="E49" s="4" t="s">
        <v>917</v>
      </c>
      <c r="F49" t="s">
        <v>918</v>
      </c>
      <c r="G49" s="5">
        <v>43404</v>
      </c>
      <c r="H49" t="s">
        <v>919</v>
      </c>
      <c r="I49" t="s">
        <v>260</v>
      </c>
      <c r="J49" t="s">
        <v>122</v>
      </c>
      <c r="K49" t="s">
        <v>839</v>
      </c>
      <c r="L49">
        <v>762</v>
      </c>
      <c r="M49">
        <v>473</v>
      </c>
      <c r="N49">
        <v>1100</v>
      </c>
      <c r="O49">
        <v>725</v>
      </c>
      <c r="P49" t="s">
        <v>920</v>
      </c>
      <c r="Q49" t="s">
        <v>921</v>
      </c>
      <c r="R49" t="s">
        <v>842</v>
      </c>
      <c r="S49" t="s">
        <v>922</v>
      </c>
      <c r="T49" t="s">
        <v>150</v>
      </c>
      <c r="U49" t="s">
        <v>923</v>
      </c>
      <c r="V49" t="s">
        <v>152</v>
      </c>
      <c r="W49" t="s">
        <v>924</v>
      </c>
      <c r="X49" t="s">
        <v>154</v>
      </c>
      <c r="Y49" t="s">
        <v>155</v>
      </c>
      <c r="Z49" t="s">
        <v>925</v>
      </c>
      <c r="AA49" s="7" t="s">
        <v>266</v>
      </c>
      <c r="AB49" s="7" t="s">
        <v>926</v>
      </c>
      <c r="AC49" s="7" t="s">
        <v>927</v>
      </c>
      <c r="AD49" s="7" t="s">
        <v>178</v>
      </c>
      <c r="AE49" s="7" t="s">
        <v>928</v>
      </c>
    </row>
    <row r="50" spans="1:31" ht="14.25" customHeight="1" x14ac:dyDescent="0.2">
      <c r="A50" t="s">
        <v>929</v>
      </c>
      <c r="B50" t="s">
        <v>930</v>
      </c>
      <c r="C50" t="s">
        <v>931</v>
      </c>
      <c r="D50" t="s">
        <v>932</v>
      </c>
      <c r="E50" s="4" t="s">
        <v>933</v>
      </c>
      <c r="F50" t="s">
        <v>934</v>
      </c>
      <c r="G50" s="5">
        <v>43370</v>
      </c>
      <c r="H50" t="s">
        <v>935</v>
      </c>
      <c r="I50" t="s">
        <v>121</v>
      </c>
      <c r="J50" t="s">
        <v>122</v>
      </c>
      <c r="K50" t="s">
        <v>839</v>
      </c>
      <c r="L50">
        <v>850</v>
      </c>
      <c r="M50">
        <v>584</v>
      </c>
      <c r="N50">
        <v>1100</v>
      </c>
      <c r="O50">
        <v>725</v>
      </c>
      <c r="P50" t="s">
        <v>936</v>
      </c>
      <c r="Q50" t="s">
        <v>937</v>
      </c>
      <c r="R50" t="s">
        <v>842</v>
      </c>
      <c r="S50" t="s">
        <v>416</v>
      </c>
      <c r="T50" t="s">
        <v>150</v>
      </c>
      <c r="U50" t="s">
        <v>938</v>
      </c>
      <c r="V50" t="s">
        <v>317</v>
      </c>
      <c r="W50" t="s">
        <v>318</v>
      </c>
      <c r="X50" t="s">
        <v>910</v>
      </c>
      <c r="Y50" t="s">
        <v>132</v>
      </c>
      <c r="Z50" t="s">
        <v>939</v>
      </c>
      <c r="AA50" s="7" t="s">
        <v>213</v>
      </c>
      <c r="AB50" s="7" t="s">
        <v>419</v>
      </c>
      <c r="AC50" t="s">
        <v>940</v>
      </c>
      <c r="AD50" s="7" t="s">
        <v>40</v>
      </c>
      <c r="AE50" s="7" t="s">
        <v>941</v>
      </c>
    </row>
    <row r="51" spans="1:31" ht="14.25" customHeight="1" x14ac:dyDescent="0.2">
      <c r="A51" t="s">
        <v>942</v>
      </c>
      <c r="B51" t="s">
        <v>943</v>
      </c>
      <c r="C51" t="s">
        <v>944</v>
      </c>
      <c r="D51" t="s">
        <v>945</v>
      </c>
      <c r="E51" s="4" t="s">
        <v>946</v>
      </c>
      <c r="F51" t="s">
        <v>947</v>
      </c>
      <c r="G51" s="5">
        <v>44545</v>
      </c>
      <c r="H51" t="s">
        <v>948</v>
      </c>
      <c r="I51" t="s">
        <v>121</v>
      </c>
      <c r="J51" t="s">
        <v>122</v>
      </c>
      <c r="K51" t="s">
        <v>949</v>
      </c>
      <c r="L51">
        <v>765</v>
      </c>
      <c r="M51">
        <v>492</v>
      </c>
      <c r="N51">
        <v>1100</v>
      </c>
      <c r="O51">
        <v>725</v>
      </c>
      <c r="P51" t="s">
        <v>950</v>
      </c>
      <c r="Q51" t="s">
        <v>951</v>
      </c>
      <c r="R51" t="s">
        <v>952</v>
      </c>
      <c r="S51" t="s">
        <v>861</v>
      </c>
      <c r="T51" t="s">
        <v>862</v>
      </c>
      <c r="U51" t="s">
        <v>953</v>
      </c>
      <c r="V51" t="s">
        <v>954</v>
      </c>
      <c r="W51" t="s">
        <v>955</v>
      </c>
      <c r="X51" t="s">
        <v>953</v>
      </c>
      <c r="Y51" t="s">
        <v>954</v>
      </c>
      <c r="Z51" t="s">
        <v>955</v>
      </c>
      <c r="AA51" t="s">
        <v>956</v>
      </c>
      <c r="AB51" s="7" t="s">
        <v>957</v>
      </c>
      <c r="AC51" t="s">
        <v>268</v>
      </c>
      <c r="AD51" s="7" t="s">
        <v>958</v>
      </c>
      <c r="AE51" s="7" t="s">
        <v>959</v>
      </c>
    </row>
    <row r="52" spans="1:31" ht="14.25" customHeight="1" x14ac:dyDescent="0.2">
      <c r="A52" t="s">
        <v>960</v>
      </c>
      <c r="B52" t="s">
        <v>961</v>
      </c>
      <c r="C52" t="s">
        <v>962</v>
      </c>
      <c r="D52" t="s">
        <v>963</v>
      </c>
      <c r="E52" s="4" t="s">
        <v>964</v>
      </c>
      <c r="F52" t="s">
        <v>965</v>
      </c>
      <c r="G52" s="5">
        <v>44196</v>
      </c>
      <c r="H52" t="s">
        <v>966</v>
      </c>
      <c r="I52" t="s">
        <v>967</v>
      </c>
      <c r="J52" t="s">
        <v>122</v>
      </c>
      <c r="K52" t="s">
        <v>949</v>
      </c>
      <c r="L52">
        <v>805</v>
      </c>
      <c r="M52">
        <v>469</v>
      </c>
      <c r="N52">
        <v>1100</v>
      </c>
      <c r="O52">
        <v>725</v>
      </c>
      <c r="P52" t="s">
        <v>968</v>
      </c>
      <c r="Q52" t="s">
        <v>969</v>
      </c>
      <c r="R52" t="s">
        <v>970</v>
      </c>
      <c r="S52" t="s">
        <v>971</v>
      </c>
      <c r="T52" t="s">
        <v>353</v>
      </c>
      <c r="U52" t="s">
        <v>972</v>
      </c>
      <c r="V52" t="s">
        <v>130</v>
      </c>
      <c r="W52" t="s">
        <v>973</v>
      </c>
      <c r="X52" t="s">
        <v>618</v>
      </c>
      <c r="Y52" t="s">
        <v>132</v>
      </c>
      <c r="Z52" t="s">
        <v>154</v>
      </c>
      <c r="AA52" s="7" t="s">
        <v>974</v>
      </c>
      <c r="AB52" s="7" t="s">
        <v>975</v>
      </c>
      <c r="AC52" t="s">
        <v>268</v>
      </c>
      <c r="AD52" s="7" t="s">
        <v>29</v>
      </c>
      <c r="AE52" s="7" t="s">
        <v>976</v>
      </c>
    </row>
    <row r="53" spans="1:31" ht="14.25" customHeight="1" x14ac:dyDescent="0.2">
      <c r="A53" t="s">
        <v>977</v>
      </c>
      <c r="B53" t="s">
        <v>978</v>
      </c>
      <c r="C53" t="s">
        <v>979</v>
      </c>
      <c r="D53" t="s">
        <v>980</v>
      </c>
      <c r="E53" s="4" t="s">
        <v>981</v>
      </c>
      <c r="F53" t="s">
        <v>982</v>
      </c>
      <c r="G53" s="5">
        <v>44057</v>
      </c>
      <c r="H53" t="s">
        <v>983</v>
      </c>
      <c r="I53" t="s">
        <v>967</v>
      </c>
      <c r="J53" t="s">
        <v>122</v>
      </c>
      <c r="K53" t="s">
        <v>949</v>
      </c>
      <c r="L53">
        <v>965</v>
      </c>
      <c r="M53">
        <v>562</v>
      </c>
      <c r="N53">
        <v>1100</v>
      </c>
      <c r="O53">
        <v>725</v>
      </c>
      <c r="P53" t="s">
        <v>984</v>
      </c>
      <c r="Q53" t="s">
        <v>985</v>
      </c>
      <c r="R53" t="s">
        <v>970</v>
      </c>
      <c r="S53" t="s">
        <v>986</v>
      </c>
      <c r="T53" t="s">
        <v>128</v>
      </c>
      <c r="U53" t="s">
        <v>980</v>
      </c>
      <c r="V53" t="s">
        <v>132</v>
      </c>
      <c r="W53" t="s">
        <v>987</v>
      </c>
      <c r="X53" t="s">
        <v>988</v>
      </c>
      <c r="Y53" t="s">
        <v>132</v>
      </c>
      <c r="Z53" t="s">
        <v>987</v>
      </c>
      <c r="AA53" s="7" t="s">
        <v>974</v>
      </c>
      <c r="AB53" s="7" t="s">
        <v>989</v>
      </c>
      <c r="AC53" t="s">
        <v>268</v>
      </c>
      <c r="AD53" s="7" t="s">
        <v>29</v>
      </c>
      <c r="AE53" s="7" t="s">
        <v>990</v>
      </c>
    </row>
    <row r="54" spans="1:31" ht="14.25" customHeight="1" x14ac:dyDescent="0.2">
      <c r="A54" t="s">
        <v>991</v>
      </c>
      <c r="B54" t="s">
        <v>992</v>
      </c>
      <c r="C54" t="s">
        <v>993</v>
      </c>
      <c r="D54" t="s">
        <v>994</v>
      </c>
      <c r="E54" s="4" t="s">
        <v>995</v>
      </c>
      <c r="F54" t="s">
        <v>996</v>
      </c>
      <c r="G54" s="5">
        <v>43510</v>
      </c>
      <c r="H54" t="s">
        <v>997</v>
      </c>
      <c r="I54" t="s">
        <v>967</v>
      </c>
      <c r="J54" t="s">
        <v>122</v>
      </c>
      <c r="K54" t="s">
        <v>949</v>
      </c>
      <c r="L54">
        <v>965</v>
      </c>
      <c r="M54">
        <v>562</v>
      </c>
      <c r="N54">
        <v>1100</v>
      </c>
      <c r="O54">
        <v>725</v>
      </c>
      <c r="P54" t="s">
        <v>998</v>
      </c>
      <c r="Q54" t="s">
        <v>999</v>
      </c>
      <c r="R54" t="s">
        <v>970</v>
      </c>
      <c r="S54" t="s">
        <v>127</v>
      </c>
      <c r="T54" t="s">
        <v>128</v>
      </c>
      <c r="U54" t="s">
        <v>994</v>
      </c>
      <c r="V54" t="s">
        <v>132</v>
      </c>
      <c r="W54" t="s">
        <v>670</v>
      </c>
      <c r="X54" t="s">
        <v>1000</v>
      </c>
      <c r="Y54" t="s">
        <v>132</v>
      </c>
      <c r="Z54" t="s">
        <v>670</v>
      </c>
      <c r="AA54" s="7" t="s">
        <v>974</v>
      </c>
      <c r="AB54" s="7" t="s">
        <v>1001</v>
      </c>
      <c r="AC54" t="s">
        <v>1002</v>
      </c>
      <c r="AD54" s="7" t="s">
        <v>137</v>
      </c>
      <c r="AE54" s="7" t="s">
        <v>1003</v>
      </c>
    </row>
    <row r="55" spans="1:31" ht="14.25" customHeight="1" x14ac:dyDescent="0.2">
      <c r="A55" t="s">
        <v>1004</v>
      </c>
      <c r="B55" t="s">
        <v>1005</v>
      </c>
      <c r="C55" t="s">
        <v>1006</v>
      </c>
      <c r="D55" t="s">
        <v>1007</v>
      </c>
      <c r="E55" s="4" t="s">
        <v>1008</v>
      </c>
      <c r="F55" t="s">
        <v>1009</v>
      </c>
      <c r="G55" s="5">
        <v>43756</v>
      </c>
      <c r="H55" t="s">
        <v>1010</v>
      </c>
      <c r="I55" t="s">
        <v>967</v>
      </c>
      <c r="J55" t="s">
        <v>122</v>
      </c>
      <c r="K55" t="s">
        <v>949</v>
      </c>
      <c r="L55">
        <v>781</v>
      </c>
      <c r="M55">
        <v>454</v>
      </c>
      <c r="N55">
        <v>1100</v>
      </c>
      <c r="O55">
        <v>725</v>
      </c>
      <c r="P55" t="s">
        <v>1011</v>
      </c>
      <c r="Q55" t="s">
        <v>1012</v>
      </c>
      <c r="R55" t="s">
        <v>970</v>
      </c>
      <c r="S55" t="s">
        <v>632</v>
      </c>
      <c r="T55" t="s">
        <v>128</v>
      </c>
      <c r="U55" t="s">
        <v>1013</v>
      </c>
      <c r="V55" t="s">
        <v>152</v>
      </c>
      <c r="W55" t="s">
        <v>1014</v>
      </c>
      <c r="X55" t="s">
        <v>670</v>
      </c>
      <c r="Y55" t="s">
        <v>155</v>
      </c>
      <c r="Z55" t="s">
        <v>1015</v>
      </c>
      <c r="AA55" s="7" t="s">
        <v>974</v>
      </c>
      <c r="AB55" s="7" t="s">
        <v>1016</v>
      </c>
      <c r="AC55" t="s">
        <v>1017</v>
      </c>
      <c r="AD55" s="7" t="s">
        <v>178</v>
      </c>
      <c r="AE55" s="7" t="s">
        <v>1018</v>
      </c>
    </row>
    <row r="56" spans="1:31" ht="14.25" customHeight="1" x14ac:dyDescent="0.2">
      <c r="A56" t="s">
        <v>1019</v>
      </c>
      <c r="B56" t="s">
        <v>1020</v>
      </c>
      <c r="C56" t="s">
        <v>1021</v>
      </c>
      <c r="D56" t="s">
        <v>1022</v>
      </c>
      <c r="E56" s="4" t="s">
        <v>1023</v>
      </c>
      <c r="F56" t="s">
        <v>1024</v>
      </c>
      <c r="G56" s="5">
        <v>43370</v>
      </c>
      <c r="H56" t="s">
        <v>1025</v>
      </c>
      <c r="I56" t="s">
        <v>967</v>
      </c>
      <c r="J56" t="s">
        <v>122</v>
      </c>
      <c r="K56" t="s">
        <v>949</v>
      </c>
      <c r="L56">
        <v>781</v>
      </c>
      <c r="M56">
        <v>454</v>
      </c>
      <c r="N56">
        <v>1100</v>
      </c>
      <c r="O56">
        <v>725</v>
      </c>
      <c r="P56" t="s">
        <v>1026</v>
      </c>
      <c r="Q56" t="s">
        <v>1027</v>
      </c>
      <c r="R56" t="s">
        <v>970</v>
      </c>
      <c r="S56" t="s">
        <v>1028</v>
      </c>
      <c r="T56" t="s">
        <v>283</v>
      </c>
      <c r="U56" t="s">
        <v>1029</v>
      </c>
      <c r="V56" t="s">
        <v>130</v>
      </c>
      <c r="W56" t="s">
        <v>617</v>
      </c>
      <c r="X56" t="s">
        <v>1030</v>
      </c>
      <c r="Y56" t="s">
        <v>132</v>
      </c>
      <c r="Z56" t="s">
        <v>1031</v>
      </c>
      <c r="AA56" s="7" t="s">
        <v>974</v>
      </c>
      <c r="AB56" s="7" t="s">
        <v>1032</v>
      </c>
      <c r="AC56" t="s">
        <v>1017</v>
      </c>
      <c r="AD56" s="7" t="s">
        <v>1033</v>
      </c>
      <c r="AE56" s="7" t="s">
        <v>1034</v>
      </c>
    </row>
    <row r="57" spans="1:31" ht="14.25" customHeight="1" x14ac:dyDescent="0.2">
      <c r="A57" t="s">
        <v>1035</v>
      </c>
      <c r="B57" t="s">
        <v>1036</v>
      </c>
      <c r="C57" t="s">
        <v>1037</v>
      </c>
      <c r="D57" t="s">
        <v>1038</v>
      </c>
      <c r="E57" s="4" t="s">
        <v>1039</v>
      </c>
      <c r="F57" t="s">
        <v>1040</v>
      </c>
      <c r="G57" s="5">
        <v>43370</v>
      </c>
      <c r="H57" t="s">
        <v>276</v>
      </c>
      <c r="I57" t="s">
        <v>967</v>
      </c>
      <c r="J57" t="s">
        <v>122</v>
      </c>
      <c r="K57" t="s">
        <v>949</v>
      </c>
      <c r="L57">
        <v>917</v>
      </c>
      <c r="M57">
        <v>533</v>
      </c>
      <c r="N57">
        <v>1100</v>
      </c>
      <c r="O57">
        <v>725</v>
      </c>
      <c r="P57" t="s">
        <v>1041</v>
      </c>
      <c r="Q57" t="s">
        <v>1042</v>
      </c>
      <c r="R57" t="s">
        <v>970</v>
      </c>
      <c r="S57" t="s">
        <v>1043</v>
      </c>
      <c r="T57" t="s">
        <v>245</v>
      </c>
      <c r="U57" t="s">
        <v>1044</v>
      </c>
      <c r="V57" t="s">
        <v>299</v>
      </c>
      <c r="W57" t="s">
        <v>300</v>
      </c>
      <c r="X57" t="s">
        <v>910</v>
      </c>
      <c r="Y57" t="s">
        <v>155</v>
      </c>
      <c r="Z57" t="s">
        <v>828</v>
      </c>
      <c r="AA57" s="7" t="s">
        <v>213</v>
      </c>
      <c r="AB57" s="7" t="s">
        <v>1045</v>
      </c>
      <c r="AC57" t="s">
        <v>268</v>
      </c>
      <c r="AD57" s="7" t="s">
        <v>40</v>
      </c>
      <c r="AE57" s="7" t="s">
        <v>1046</v>
      </c>
    </row>
    <row r="58" spans="1:31" ht="14.25" customHeight="1" x14ac:dyDescent="0.2">
      <c r="A58" t="s">
        <v>1047</v>
      </c>
      <c r="B58" t="s">
        <v>1048</v>
      </c>
      <c r="C58" t="s">
        <v>1049</v>
      </c>
      <c r="D58" t="s">
        <v>1050</v>
      </c>
      <c r="E58" s="4" t="s">
        <v>1051</v>
      </c>
      <c r="F58" t="s">
        <v>1052</v>
      </c>
      <c r="G58" s="5">
        <v>44533</v>
      </c>
      <c r="H58" t="s">
        <v>1053</v>
      </c>
      <c r="I58" t="s">
        <v>121</v>
      </c>
      <c r="J58" t="s">
        <v>122</v>
      </c>
      <c r="K58" t="s">
        <v>1054</v>
      </c>
      <c r="L58">
        <v>754</v>
      </c>
      <c r="M58">
        <v>505</v>
      </c>
      <c r="N58">
        <v>1100</v>
      </c>
      <c r="O58">
        <v>725</v>
      </c>
      <c r="P58" t="s">
        <v>1055</v>
      </c>
      <c r="Q58" t="s">
        <v>1056</v>
      </c>
      <c r="R58" t="s">
        <v>1057</v>
      </c>
      <c r="S58" t="s">
        <v>450</v>
      </c>
      <c r="T58" t="s">
        <v>150</v>
      </c>
      <c r="U58" t="s">
        <v>1058</v>
      </c>
      <c r="V58" t="s">
        <v>130</v>
      </c>
      <c r="W58" t="s">
        <v>1059</v>
      </c>
      <c r="X58" t="s">
        <v>1058</v>
      </c>
      <c r="Y58" t="s">
        <v>132</v>
      </c>
      <c r="Z58" t="s">
        <v>1059</v>
      </c>
      <c r="AA58" s="7" t="s">
        <v>175</v>
      </c>
      <c r="AB58" s="7" t="s">
        <v>1060</v>
      </c>
      <c r="AC58" t="s">
        <v>1061</v>
      </c>
      <c r="AD58" s="7" t="s">
        <v>137</v>
      </c>
      <c r="AE58" s="7" t="s">
        <v>1062</v>
      </c>
    </row>
    <row r="59" spans="1:31" ht="14.25" customHeight="1" x14ac:dyDescent="0.2">
      <c r="A59" t="s">
        <v>1063</v>
      </c>
      <c r="B59" t="s">
        <v>1064</v>
      </c>
      <c r="C59" t="s">
        <v>1065</v>
      </c>
      <c r="D59" t="s">
        <v>1066</v>
      </c>
      <c r="E59" s="4" t="s">
        <v>1067</v>
      </c>
      <c r="F59" t="s">
        <v>1068</v>
      </c>
      <c r="G59" s="5">
        <v>44258</v>
      </c>
      <c r="H59" t="s">
        <v>1069</v>
      </c>
      <c r="I59" t="s">
        <v>121</v>
      </c>
      <c r="J59" t="s">
        <v>122</v>
      </c>
      <c r="K59" t="s">
        <v>1054</v>
      </c>
      <c r="L59">
        <v>754</v>
      </c>
      <c r="M59">
        <v>505</v>
      </c>
      <c r="N59">
        <v>1100</v>
      </c>
      <c r="O59">
        <v>725</v>
      </c>
      <c r="P59" t="s">
        <v>1070</v>
      </c>
      <c r="Q59" t="s">
        <v>1071</v>
      </c>
      <c r="R59" t="s">
        <v>1057</v>
      </c>
      <c r="S59" t="s">
        <v>384</v>
      </c>
      <c r="T59" t="s">
        <v>150</v>
      </c>
      <c r="U59" t="s">
        <v>1072</v>
      </c>
      <c r="V59" t="s">
        <v>152</v>
      </c>
      <c r="W59" t="s">
        <v>1073</v>
      </c>
      <c r="X59" t="s">
        <v>1074</v>
      </c>
      <c r="Y59" t="s">
        <v>155</v>
      </c>
      <c r="Z59" t="s">
        <v>1075</v>
      </c>
      <c r="AA59" s="7" t="s">
        <v>134</v>
      </c>
      <c r="AB59" s="7" t="s">
        <v>157</v>
      </c>
      <c r="AC59" t="s">
        <v>1076</v>
      </c>
      <c r="AD59" s="7" t="s">
        <v>44</v>
      </c>
      <c r="AE59" s="7" t="s">
        <v>1077</v>
      </c>
    </row>
    <row r="60" spans="1:31" ht="14.25" customHeight="1" x14ac:dyDescent="0.2">
      <c r="A60" t="s">
        <v>1078</v>
      </c>
      <c r="B60" t="s">
        <v>1079</v>
      </c>
      <c r="C60" t="s">
        <v>1080</v>
      </c>
      <c r="D60" t="s">
        <v>1081</v>
      </c>
      <c r="E60" s="4" t="s">
        <v>1082</v>
      </c>
      <c r="F60" t="s">
        <v>1083</v>
      </c>
      <c r="G60" s="5">
        <v>44162</v>
      </c>
      <c r="H60" t="s">
        <v>1084</v>
      </c>
      <c r="I60" t="s">
        <v>121</v>
      </c>
      <c r="J60" t="s">
        <v>122</v>
      </c>
      <c r="K60" t="s">
        <v>1054</v>
      </c>
      <c r="L60">
        <v>754</v>
      </c>
      <c r="M60">
        <v>505</v>
      </c>
      <c r="N60">
        <v>1100</v>
      </c>
      <c r="O60">
        <v>725</v>
      </c>
      <c r="P60" t="s">
        <v>1085</v>
      </c>
      <c r="Q60" t="s">
        <v>1086</v>
      </c>
      <c r="R60" t="s">
        <v>1057</v>
      </c>
      <c r="S60" t="s">
        <v>1087</v>
      </c>
      <c r="T60" t="s">
        <v>1088</v>
      </c>
      <c r="U60" t="s">
        <v>1089</v>
      </c>
      <c r="V60" t="s">
        <v>1090</v>
      </c>
      <c r="W60" t="s">
        <v>1091</v>
      </c>
      <c r="X60" t="s">
        <v>1092</v>
      </c>
      <c r="Y60" t="s">
        <v>437</v>
      </c>
      <c r="Z60" t="s">
        <v>1093</v>
      </c>
      <c r="AA60" s="7" t="s">
        <v>338</v>
      </c>
      <c r="AB60" s="7" t="s">
        <v>357</v>
      </c>
      <c r="AC60" t="s">
        <v>1094</v>
      </c>
      <c r="AD60" s="7" t="s">
        <v>137</v>
      </c>
      <c r="AE60" s="7" t="s">
        <v>1095</v>
      </c>
    </row>
    <row r="61" spans="1:31" ht="14.25" customHeight="1" x14ac:dyDescent="0.2">
      <c r="A61" t="s">
        <v>1096</v>
      </c>
      <c r="B61" t="s">
        <v>1097</v>
      </c>
      <c r="C61" t="s">
        <v>1098</v>
      </c>
      <c r="D61" t="s">
        <v>1099</v>
      </c>
      <c r="E61" s="4" t="s">
        <v>1100</v>
      </c>
      <c r="F61" t="s">
        <v>1101</v>
      </c>
      <c r="G61" s="5">
        <v>44392</v>
      </c>
      <c r="H61" t="s">
        <v>1102</v>
      </c>
      <c r="I61" t="s">
        <v>121</v>
      </c>
      <c r="J61" t="s">
        <v>1103</v>
      </c>
      <c r="K61" t="s">
        <v>123</v>
      </c>
      <c r="L61">
        <v>757</v>
      </c>
      <c r="M61">
        <v>503</v>
      </c>
      <c r="N61">
        <v>1100</v>
      </c>
      <c r="O61">
        <v>725</v>
      </c>
      <c r="P61" t="s">
        <v>1104</v>
      </c>
      <c r="Q61" t="s">
        <v>1105</v>
      </c>
      <c r="R61" t="s">
        <v>126</v>
      </c>
      <c r="S61" t="s">
        <v>1106</v>
      </c>
      <c r="T61" t="s">
        <v>128</v>
      </c>
      <c r="U61" t="s">
        <v>1107</v>
      </c>
      <c r="V61" t="s">
        <v>130</v>
      </c>
      <c r="W61" t="s">
        <v>1108</v>
      </c>
      <c r="X61" t="s">
        <v>249</v>
      </c>
      <c r="Y61" t="s">
        <v>132</v>
      </c>
      <c r="Z61" t="s">
        <v>581</v>
      </c>
      <c r="AA61" s="7" t="s">
        <v>1109</v>
      </c>
      <c r="AB61" s="7" t="s">
        <v>1110</v>
      </c>
      <c r="AC61" t="s">
        <v>1111</v>
      </c>
      <c r="AD61" s="7" t="s">
        <v>28</v>
      </c>
      <c r="AE61" s="7" t="s">
        <v>1112</v>
      </c>
    </row>
    <row r="62" spans="1:31" ht="14.25" customHeight="1" x14ac:dyDescent="0.2">
      <c r="A62" t="s">
        <v>1113</v>
      </c>
      <c r="B62" t="s">
        <v>1114</v>
      </c>
      <c r="C62" t="s">
        <v>1115</v>
      </c>
      <c r="D62" t="s">
        <v>1116</v>
      </c>
      <c r="E62" s="4" t="s">
        <v>1117</v>
      </c>
      <c r="F62" t="s">
        <v>1118</v>
      </c>
      <c r="G62" s="5">
        <v>44011</v>
      </c>
      <c r="H62" t="s">
        <v>1119</v>
      </c>
      <c r="I62" t="s">
        <v>260</v>
      </c>
      <c r="J62" t="s">
        <v>1103</v>
      </c>
      <c r="K62" t="s">
        <v>123</v>
      </c>
      <c r="L62">
        <v>797</v>
      </c>
      <c r="M62">
        <v>479</v>
      </c>
      <c r="N62">
        <v>1100</v>
      </c>
      <c r="O62">
        <v>725</v>
      </c>
      <c r="P62" t="s">
        <v>1120</v>
      </c>
      <c r="Q62" t="s">
        <v>1121</v>
      </c>
      <c r="R62" t="s">
        <v>126</v>
      </c>
      <c r="S62" t="s">
        <v>1122</v>
      </c>
      <c r="T62" t="s">
        <v>283</v>
      </c>
      <c r="U62" t="s">
        <v>1123</v>
      </c>
      <c r="V62" t="s">
        <v>130</v>
      </c>
      <c r="W62" t="s">
        <v>1124</v>
      </c>
      <c r="X62" t="s">
        <v>1125</v>
      </c>
      <c r="Y62" t="s">
        <v>132</v>
      </c>
      <c r="Z62" t="s">
        <v>618</v>
      </c>
      <c r="AA62" s="7" t="s">
        <v>1126</v>
      </c>
      <c r="AB62" t="s">
        <v>388</v>
      </c>
      <c r="AC62" t="s">
        <v>1127</v>
      </c>
      <c r="AD62" s="7" t="s">
        <v>1128</v>
      </c>
      <c r="AE62" s="7" t="s">
        <v>1129</v>
      </c>
    </row>
    <row r="63" spans="1:31" ht="14.25" customHeight="1" x14ac:dyDescent="0.2">
      <c r="A63" t="s">
        <v>1130</v>
      </c>
      <c r="B63" t="s">
        <v>1131</v>
      </c>
      <c r="C63" t="s">
        <v>1132</v>
      </c>
      <c r="D63" t="s">
        <v>1133</v>
      </c>
      <c r="E63" s="4" t="s">
        <v>1134</v>
      </c>
      <c r="F63" t="s">
        <v>1135</v>
      </c>
      <c r="G63" s="5">
        <v>43677</v>
      </c>
      <c r="H63" t="s">
        <v>1136</v>
      </c>
      <c r="I63" t="s">
        <v>260</v>
      </c>
      <c r="J63" t="s">
        <v>1103</v>
      </c>
      <c r="K63" t="s">
        <v>123</v>
      </c>
      <c r="L63">
        <v>956</v>
      </c>
      <c r="M63">
        <v>574</v>
      </c>
      <c r="N63">
        <v>1100</v>
      </c>
      <c r="O63">
        <v>725</v>
      </c>
      <c r="P63" t="s">
        <v>1137</v>
      </c>
      <c r="Q63" t="s">
        <v>1138</v>
      </c>
      <c r="R63" t="s">
        <v>126</v>
      </c>
      <c r="S63" t="s">
        <v>1122</v>
      </c>
      <c r="T63" t="s">
        <v>283</v>
      </c>
      <c r="U63" t="s">
        <v>298</v>
      </c>
      <c r="V63" t="s">
        <v>1139</v>
      </c>
      <c r="W63" t="s">
        <v>1140</v>
      </c>
      <c r="X63" t="s">
        <v>301</v>
      </c>
      <c r="Y63" t="s">
        <v>1139</v>
      </c>
      <c r="Z63" t="s">
        <v>1140</v>
      </c>
      <c r="AA63" s="7" t="s">
        <v>1126</v>
      </c>
      <c r="AB63" t="s">
        <v>1141</v>
      </c>
      <c r="AC63" t="s">
        <v>1142</v>
      </c>
      <c r="AD63" s="7" t="s">
        <v>137</v>
      </c>
      <c r="AE63" s="7" t="s">
        <v>1143</v>
      </c>
    </row>
    <row r="64" spans="1:31" ht="14.25" customHeight="1" x14ac:dyDescent="0.2">
      <c r="A64" t="s">
        <v>1144</v>
      </c>
      <c r="B64" t="s">
        <v>1145</v>
      </c>
      <c r="C64" t="s">
        <v>1146</v>
      </c>
      <c r="D64" t="s">
        <v>1147</v>
      </c>
      <c r="E64" s="4" t="s">
        <v>1148</v>
      </c>
      <c r="F64" t="s">
        <v>1149</v>
      </c>
      <c r="G64" s="5">
        <v>43370</v>
      </c>
      <c r="H64" t="s">
        <v>1150</v>
      </c>
      <c r="I64" t="s">
        <v>121</v>
      </c>
      <c r="J64" t="s">
        <v>1103</v>
      </c>
      <c r="K64" t="s">
        <v>123</v>
      </c>
      <c r="L64">
        <v>907</v>
      </c>
      <c r="M64">
        <v>603</v>
      </c>
      <c r="N64">
        <v>1100</v>
      </c>
      <c r="O64">
        <v>725</v>
      </c>
      <c r="P64" t="s">
        <v>1151</v>
      </c>
      <c r="Q64" t="s">
        <v>1152</v>
      </c>
      <c r="R64" t="s">
        <v>126</v>
      </c>
      <c r="S64" t="s">
        <v>1153</v>
      </c>
      <c r="T64" t="s">
        <v>128</v>
      </c>
      <c r="U64" t="s">
        <v>1147</v>
      </c>
      <c r="V64" t="s">
        <v>132</v>
      </c>
      <c r="W64" t="s">
        <v>337</v>
      </c>
      <c r="X64" t="s">
        <v>1154</v>
      </c>
      <c r="Y64" t="s">
        <v>132</v>
      </c>
      <c r="Z64" t="s">
        <v>1155</v>
      </c>
      <c r="AA64" s="7" t="s">
        <v>1109</v>
      </c>
      <c r="AB64" s="7" t="s">
        <v>419</v>
      </c>
      <c r="AC64" t="s">
        <v>1156</v>
      </c>
      <c r="AD64" s="7" t="s">
        <v>48</v>
      </c>
      <c r="AE64" s="7" t="s">
        <v>1157</v>
      </c>
    </row>
    <row r="65" spans="1:31" ht="14.25" customHeight="1" x14ac:dyDescent="0.2">
      <c r="A65" t="s">
        <v>1158</v>
      </c>
      <c r="B65" t="s">
        <v>1159</v>
      </c>
      <c r="C65" t="s">
        <v>1160</v>
      </c>
      <c r="D65" t="s">
        <v>1161</v>
      </c>
      <c r="E65" s="4" t="s">
        <v>1162</v>
      </c>
      <c r="F65" t="s">
        <v>1163</v>
      </c>
      <c r="G65" s="5">
        <v>43756</v>
      </c>
      <c r="H65" t="s">
        <v>1164</v>
      </c>
      <c r="I65" t="s">
        <v>260</v>
      </c>
      <c r="J65" t="s">
        <v>1103</v>
      </c>
      <c r="K65" t="s">
        <v>123</v>
      </c>
      <c r="L65">
        <v>927</v>
      </c>
      <c r="M65">
        <v>556</v>
      </c>
      <c r="N65">
        <v>1100</v>
      </c>
      <c r="O65">
        <v>725</v>
      </c>
      <c r="P65" t="s">
        <v>1165</v>
      </c>
      <c r="Q65" t="s">
        <v>1166</v>
      </c>
      <c r="R65" t="s">
        <v>126</v>
      </c>
      <c r="S65" t="s">
        <v>1167</v>
      </c>
      <c r="T65" t="s">
        <v>128</v>
      </c>
      <c r="U65" t="s">
        <v>368</v>
      </c>
      <c r="V65" t="s">
        <v>132</v>
      </c>
      <c r="W65" t="s">
        <v>1140</v>
      </c>
      <c r="X65" t="s">
        <v>370</v>
      </c>
      <c r="Y65" t="s">
        <v>132</v>
      </c>
      <c r="Z65" t="s">
        <v>1140</v>
      </c>
      <c r="AA65" s="7" t="s">
        <v>1126</v>
      </c>
      <c r="AB65" t="s">
        <v>1168</v>
      </c>
      <c r="AC65" t="s">
        <v>268</v>
      </c>
      <c r="AD65" s="7" t="s">
        <v>178</v>
      </c>
      <c r="AE65" s="7" t="s">
        <v>1169</v>
      </c>
    </row>
    <row r="66" spans="1:31" ht="14.25" customHeight="1" x14ac:dyDescent="0.2">
      <c r="A66" t="s">
        <v>1170</v>
      </c>
      <c r="B66" t="s">
        <v>1171</v>
      </c>
      <c r="C66" t="s">
        <v>1172</v>
      </c>
      <c r="D66" t="s">
        <v>1173</v>
      </c>
      <c r="E66" s="4" t="s">
        <v>1174</v>
      </c>
      <c r="F66" t="s">
        <v>1175</v>
      </c>
      <c r="G66" s="5">
        <v>43370</v>
      </c>
      <c r="H66" t="s">
        <v>276</v>
      </c>
      <c r="I66" t="s">
        <v>241</v>
      </c>
      <c r="J66" t="s">
        <v>1103</v>
      </c>
      <c r="K66" t="s">
        <v>123</v>
      </c>
      <c r="L66">
        <v>952</v>
      </c>
      <c r="M66">
        <v>517</v>
      </c>
      <c r="N66">
        <v>1100</v>
      </c>
      <c r="O66">
        <v>725</v>
      </c>
      <c r="P66" t="s">
        <v>1176</v>
      </c>
      <c r="Q66" t="s">
        <v>1177</v>
      </c>
      <c r="R66" t="s">
        <v>126</v>
      </c>
      <c r="S66" t="s">
        <v>1178</v>
      </c>
      <c r="T66" t="s">
        <v>128</v>
      </c>
      <c r="U66" t="s">
        <v>973</v>
      </c>
      <c r="V66" t="s">
        <v>1179</v>
      </c>
      <c r="W66" t="s">
        <v>1180</v>
      </c>
      <c r="X66" t="s">
        <v>154</v>
      </c>
      <c r="Y66" t="s">
        <v>1139</v>
      </c>
      <c r="Z66" t="s">
        <v>1181</v>
      </c>
      <c r="AA66" s="7" t="s">
        <v>1109</v>
      </c>
      <c r="AB66" s="7" t="s">
        <v>419</v>
      </c>
      <c r="AC66" t="s">
        <v>1182</v>
      </c>
      <c r="AD66" s="7" t="s">
        <v>48</v>
      </c>
      <c r="AE66" t="s">
        <v>1183</v>
      </c>
    </row>
    <row r="67" spans="1:31" ht="14.25" customHeight="1" x14ac:dyDescent="0.2">
      <c r="A67" t="s">
        <v>1184</v>
      </c>
      <c r="B67" t="s">
        <v>1185</v>
      </c>
      <c r="C67" t="s">
        <v>1186</v>
      </c>
      <c r="D67" t="s">
        <v>1187</v>
      </c>
      <c r="E67" s="4" t="s">
        <v>1188</v>
      </c>
      <c r="F67" t="s">
        <v>1189</v>
      </c>
      <c r="G67" s="5">
        <v>44474</v>
      </c>
      <c r="H67" s="181" t="s">
        <v>1190</v>
      </c>
      <c r="I67" t="s">
        <v>121</v>
      </c>
      <c r="J67" t="s">
        <v>1103</v>
      </c>
      <c r="K67" t="s">
        <v>330</v>
      </c>
      <c r="L67">
        <v>743</v>
      </c>
      <c r="M67">
        <v>518</v>
      </c>
      <c r="N67">
        <v>1100</v>
      </c>
      <c r="O67">
        <v>725</v>
      </c>
      <c r="P67" t="s">
        <v>1191</v>
      </c>
      <c r="Q67" t="s">
        <v>1192</v>
      </c>
      <c r="R67" t="s">
        <v>333</v>
      </c>
      <c r="S67" t="s">
        <v>1193</v>
      </c>
      <c r="T67" t="s">
        <v>1194</v>
      </c>
      <c r="U67" t="s">
        <v>1195</v>
      </c>
      <c r="V67" t="s">
        <v>130</v>
      </c>
      <c r="W67" t="s">
        <v>1196</v>
      </c>
      <c r="X67" t="s">
        <v>1197</v>
      </c>
      <c r="Y67" t="s">
        <v>132</v>
      </c>
      <c r="Z67" t="s">
        <v>1196</v>
      </c>
      <c r="AA67" s="7" t="s">
        <v>1198</v>
      </c>
      <c r="AB67" s="7" t="s">
        <v>1199</v>
      </c>
      <c r="AC67" t="s">
        <v>1200</v>
      </c>
      <c r="AD67" s="7" t="s">
        <v>137</v>
      </c>
      <c r="AE67" s="7" t="s">
        <v>1201</v>
      </c>
    </row>
    <row r="68" spans="1:31" ht="14.25" customHeight="1" x14ac:dyDescent="0.2">
      <c r="A68" t="s">
        <v>1202</v>
      </c>
      <c r="B68" t="s">
        <v>1203</v>
      </c>
      <c r="C68" t="s">
        <v>1204</v>
      </c>
      <c r="D68" t="s">
        <v>1205</v>
      </c>
      <c r="E68" s="4" t="s">
        <v>1206</v>
      </c>
      <c r="F68" t="s">
        <v>1207</v>
      </c>
      <c r="G68" s="5">
        <v>44344</v>
      </c>
      <c r="H68" t="s">
        <v>1208</v>
      </c>
      <c r="I68" t="s">
        <v>121</v>
      </c>
      <c r="J68" t="s">
        <v>1103</v>
      </c>
      <c r="K68" t="s">
        <v>330</v>
      </c>
      <c r="L68">
        <v>743</v>
      </c>
      <c r="M68">
        <v>518</v>
      </c>
      <c r="N68">
        <v>1100</v>
      </c>
      <c r="O68">
        <v>725</v>
      </c>
      <c r="P68" t="s">
        <v>1209</v>
      </c>
      <c r="Q68" t="s">
        <v>1210</v>
      </c>
      <c r="R68" t="s">
        <v>333</v>
      </c>
      <c r="S68" t="s">
        <v>1211</v>
      </c>
      <c r="T68" t="s">
        <v>862</v>
      </c>
      <c r="U68" t="s">
        <v>1212</v>
      </c>
      <c r="V68" t="s">
        <v>1213</v>
      </c>
      <c r="W68" t="s">
        <v>1214</v>
      </c>
      <c r="X68" t="s">
        <v>1215</v>
      </c>
      <c r="Y68" t="s">
        <v>1216</v>
      </c>
      <c r="Z68" t="s">
        <v>471</v>
      </c>
      <c r="AA68" s="7" t="s">
        <v>387</v>
      </c>
      <c r="AB68" s="7" t="s">
        <v>1217</v>
      </c>
      <c r="AC68" t="s">
        <v>1218</v>
      </c>
      <c r="AD68" s="7" t="s">
        <v>28</v>
      </c>
      <c r="AE68" s="7" t="s">
        <v>1219</v>
      </c>
    </row>
    <row r="69" spans="1:31" ht="14.25" customHeight="1" x14ac:dyDescent="0.2">
      <c r="A69" t="s">
        <v>1220</v>
      </c>
      <c r="B69" t="s">
        <v>1221</v>
      </c>
      <c r="C69" t="s">
        <v>1222</v>
      </c>
      <c r="D69" t="s">
        <v>1223</v>
      </c>
      <c r="E69" s="4" t="s">
        <v>1224</v>
      </c>
      <c r="F69" t="s">
        <v>1225</v>
      </c>
      <c r="G69" s="5">
        <v>44120</v>
      </c>
      <c r="H69" t="s">
        <v>1226</v>
      </c>
      <c r="I69" t="s">
        <v>121</v>
      </c>
      <c r="J69" t="s">
        <v>1103</v>
      </c>
      <c r="K69" t="s">
        <v>330</v>
      </c>
      <c r="L69">
        <v>743</v>
      </c>
      <c r="M69">
        <v>518</v>
      </c>
      <c r="N69">
        <v>1100</v>
      </c>
      <c r="O69">
        <v>725</v>
      </c>
      <c r="P69" t="s">
        <v>1227</v>
      </c>
      <c r="Q69" t="s">
        <v>1228</v>
      </c>
      <c r="R69" t="s">
        <v>333</v>
      </c>
      <c r="S69" t="s">
        <v>1193</v>
      </c>
      <c r="T69" t="s">
        <v>1194</v>
      </c>
      <c r="U69" t="s">
        <v>1229</v>
      </c>
      <c r="V69" t="s">
        <v>130</v>
      </c>
      <c r="W69" t="s">
        <v>1230</v>
      </c>
      <c r="X69" t="s">
        <v>1231</v>
      </c>
      <c r="Y69" t="s">
        <v>132</v>
      </c>
      <c r="Z69" t="s">
        <v>1232</v>
      </c>
      <c r="AA69" s="7" t="s">
        <v>387</v>
      </c>
      <c r="AB69" s="7" t="s">
        <v>1233</v>
      </c>
      <c r="AC69" t="s">
        <v>1234</v>
      </c>
      <c r="AD69" s="7" t="s">
        <v>28</v>
      </c>
      <c r="AE69" s="7" t="s">
        <v>1235</v>
      </c>
    </row>
    <row r="70" spans="1:31" ht="14.25" customHeight="1" x14ac:dyDescent="0.2">
      <c r="A70" t="s">
        <v>1236</v>
      </c>
      <c r="B70" t="s">
        <v>1237</v>
      </c>
      <c r="C70" t="s">
        <v>1238</v>
      </c>
      <c r="D70" t="s">
        <v>1239</v>
      </c>
      <c r="E70" s="4" t="s">
        <v>1240</v>
      </c>
      <c r="F70" t="s">
        <v>1241</v>
      </c>
      <c r="G70" s="5">
        <v>43889</v>
      </c>
      <c r="H70" t="s">
        <v>1242</v>
      </c>
      <c r="I70" t="s">
        <v>121</v>
      </c>
      <c r="J70" t="s">
        <v>1103</v>
      </c>
      <c r="K70" t="s">
        <v>330</v>
      </c>
      <c r="L70">
        <v>891</v>
      </c>
      <c r="M70">
        <v>621</v>
      </c>
      <c r="N70">
        <v>1100</v>
      </c>
      <c r="O70">
        <v>725</v>
      </c>
      <c r="P70" t="s">
        <v>1243</v>
      </c>
      <c r="Q70" t="s">
        <v>1244</v>
      </c>
      <c r="R70" t="s">
        <v>333</v>
      </c>
      <c r="S70" t="s">
        <v>1245</v>
      </c>
      <c r="T70" t="s">
        <v>128</v>
      </c>
      <c r="U70" t="s">
        <v>1239</v>
      </c>
      <c r="V70" t="s">
        <v>1139</v>
      </c>
      <c r="W70" t="s">
        <v>1246</v>
      </c>
      <c r="X70" t="s">
        <v>1239</v>
      </c>
      <c r="Y70" t="s">
        <v>1139</v>
      </c>
      <c r="Z70" t="s">
        <v>1246</v>
      </c>
      <c r="AA70" s="7" t="s">
        <v>1109</v>
      </c>
      <c r="AB70" s="7" t="s">
        <v>1247</v>
      </c>
      <c r="AC70" t="s">
        <v>1248</v>
      </c>
      <c r="AD70" s="7" t="s">
        <v>137</v>
      </c>
      <c r="AE70" s="7" t="s">
        <v>1249</v>
      </c>
    </row>
    <row r="71" spans="1:31" ht="14.25" customHeight="1" x14ac:dyDescent="0.2">
      <c r="A71" t="s">
        <v>1250</v>
      </c>
      <c r="B71" t="s">
        <v>1251</v>
      </c>
      <c r="C71" t="s">
        <v>1252</v>
      </c>
      <c r="D71" t="s">
        <v>1253</v>
      </c>
      <c r="E71" s="4" t="s">
        <v>1254</v>
      </c>
      <c r="F71" t="s">
        <v>1255</v>
      </c>
      <c r="G71" s="5">
        <v>43677</v>
      </c>
      <c r="H71" t="s">
        <v>1256</v>
      </c>
      <c r="I71" t="s">
        <v>241</v>
      </c>
      <c r="J71" t="s">
        <v>1103</v>
      </c>
      <c r="K71" t="s">
        <v>330</v>
      </c>
      <c r="L71">
        <v>796</v>
      </c>
      <c r="M71">
        <v>454</v>
      </c>
      <c r="N71">
        <v>1100</v>
      </c>
      <c r="O71">
        <v>725</v>
      </c>
      <c r="P71" t="s">
        <v>1257</v>
      </c>
      <c r="Q71" t="s">
        <v>1258</v>
      </c>
      <c r="R71" t="s">
        <v>333</v>
      </c>
      <c r="S71" t="s">
        <v>1259</v>
      </c>
      <c r="T71" t="s">
        <v>315</v>
      </c>
      <c r="U71" t="s">
        <v>1260</v>
      </c>
      <c r="V71" t="s">
        <v>130</v>
      </c>
      <c r="W71" t="s">
        <v>1261</v>
      </c>
      <c r="X71" t="s">
        <v>154</v>
      </c>
      <c r="Y71" t="s">
        <v>132</v>
      </c>
      <c r="Z71" t="s">
        <v>370</v>
      </c>
      <c r="AA71" s="7" t="s">
        <v>1126</v>
      </c>
      <c r="AB71" t="s">
        <v>1262</v>
      </c>
      <c r="AC71" t="s">
        <v>1263</v>
      </c>
      <c r="AD71" s="7" t="s">
        <v>137</v>
      </c>
      <c r="AE71" s="7" t="s">
        <v>1264</v>
      </c>
    </row>
    <row r="72" spans="1:31" ht="14.25" customHeight="1" x14ac:dyDescent="0.2">
      <c r="A72" t="s">
        <v>1265</v>
      </c>
      <c r="B72" t="s">
        <v>1266</v>
      </c>
      <c r="C72" t="s">
        <v>1267</v>
      </c>
      <c r="D72" t="s">
        <v>1268</v>
      </c>
      <c r="E72" s="4" t="s">
        <v>1269</v>
      </c>
      <c r="F72" t="s">
        <v>1270</v>
      </c>
      <c r="G72" s="5">
        <v>43377</v>
      </c>
      <c r="H72" t="s">
        <v>1271</v>
      </c>
      <c r="I72" t="s">
        <v>121</v>
      </c>
      <c r="J72" t="s">
        <v>1103</v>
      </c>
      <c r="K72" t="s">
        <v>330</v>
      </c>
      <c r="L72">
        <v>846</v>
      </c>
      <c r="M72">
        <v>589</v>
      </c>
      <c r="N72">
        <v>1100</v>
      </c>
      <c r="O72">
        <v>725</v>
      </c>
      <c r="P72" t="s">
        <v>1272</v>
      </c>
      <c r="Q72" t="s">
        <v>1273</v>
      </c>
      <c r="R72" t="s">
        <v>333</v>
      </c>
      <c r="S72" t="s">
        <v>1274</v>
      </c>
      <c r="T72" t="s">
        <v>1194</v>
      </c>
      <c r="U72" t="s">
        <v>1275</v>
      </c>
      <c r="V72" t="s">
        <v>1139</v>
      </c>
      <c r="W72" t="s">
        <v>634</v>
      </c>
      <c r="X72" t="s">
        <v>518</v>
      </c>
      <c r="Y72" t="s">
        <v>1139</v>
      </c>
      <c r="Z72" t="s">
        <v>154</v>
      </c>
      <c r="AA72" s="7" t="s">
        <v>1109</v>
      </c>
      <c r="AB72" s="7" t="s">
        <v>1276</v>
      </c>
      <c r="AC72" t="s">
        <v>1017</v>
      </c>
      <c r="AD72" s="7" t="s">
        <v>137</v>
      </c>
      <c r="AE72" s="7" t="s">
        <v>1277</v>
      </c>
    </row>
    <row r="73" spans="1:31" ht="14.25" customHeight="1" x14ac:dyDescent="0.2">
      <c r="A73" t="s">
        <v>1278</v>
      </c>
      <c r="B73" t="s">
        <v>1279</v>
      </c>
      <c r="C73" t="s">
        <v>1280</v>
      </c>
      <c r="D73" t="s">
        <v>1281</v>
      </c>
      <c r="E73" s="4" t="s">
        <v>1282</v>
      </c>
      <c r="F73" t="s">
        <v>1283</v>
      </c>
      <c r="G73" s="5">
        <v>43370</v>
      </c>
      <c r="H73" t="s">
        <v>276</v>
      </c>
      <c r="I73" t="s">
        <v>121</v>
      </c>
      <c r="J73" t="s">
        <v>1103</v>
      </c>
      <c r="K73" t="s">
        <v>330</v>
      </c>
      <c r="L73">
        <v>706</v>
      </c>
      <c r="M73">
        <v>492</v>
      </c>
      <c r="N73">
        <v>1100</v>
      </c>
      <c r="O73">
        <v>725</v>
      </c>
      <c r="P73" t="s">
        <v>1284</v>
      </c>
      <c r="Q73" t="s">
        <v>1285</v>
      </c>
      <c r="R73" t="s">
        <v>333</v>
      </c>
      <c r="S73" t="s">
        <v>1286</v>
      </c>
      <c r="T73" t="s">
        <v>1194</v>
      </c>
      <c r="U73" t="s">
        <v>813</v>
      </c>
      <c r="V73" t="s">
        <v>318</v>
      </c>
      <c r="W73" t="s">
        <v>1287</v>
      </c>
      <c r="X73" t="s">
        <v>485</v>
      </c>
      <c r="Y73" t="s">
        <v>132</v>
      </c>
      <c r="Z73" t="s">
        <v>896</v>
      </c>
      <c r="AA73" s="7" t="s">
        <v>1109</v>
      </c>
      <c r="AB73" s="7" t="s">
        <v>1288</v>
      </c>
      <c r="AC73" t="s">
        <v>1289</v>
      </c>
      <c r="AD73" s="7" t="s">
        <v>48</v>
      </c>
      <c r="AE73" s="7" t="s">
        <v>1290</v>
      </c>
    </row>
    <row r="74" spans="1:31" ht="14.25" customHeight="1" x14ac:dyDescent="0.2">
      <c r="A74" t="s">
        <v>1291</v>
      </c>
      <c r="B74" t="s">
        <v>1292</v>
      </c>
      <c r="C74" t="s">
        <v>1293</v>
      </c>
      <c r="D74" t="s">
        <v>1294</v>
      </c>
      <c r="E74" s="4" t="s">
        <v>1295</v>
      </c>
      <c r="F74" t="s">
        <v>1296</v>
      </c>
      <c r="G74" s="5">
        <v>44301</v>
      </c>
      <c r="H74" t="s">
        <v>1297</v>
      </c>
      <c r="I74" t="s">
        <v>121</v>
      </c>
      <c r="J74" t="s">
        <v>1103</v>
      </c>
      <c r="K74" t="s">
        <v>429</v>
      </c>
      <c r="L74">
        <v>761</v>
      </c>
      <c r="M74">
        <v>498</v>
      </c>
      <c r="N74">
        <v>1100</v>
      </c>
      <c r="O74">
        <v>725</v>
      </c>
      <c r="P74" t="s">
        <v>1298</v>
      </c>
      <c r="Q74" t="s">
        <v>1299</v>
      </c>
      <c r="R74" t="s">
        <v>385</v>
      </c>
      <c r="S74" t="s">
        <v>1300</v>
      </c>
      <c r="T74" t="s">
        <v>1301</v>
      </c>
      <c r="U74" t="s">
        <v>1302</v>
      </c>
      <c r="V74" t="s">
        <v>130</v>
      </c>
      <c r="W74" t="s">
        <v>1303</v>
      </c>
      <c r="X74" t="s">
        <v>1304</v>
      </c>
      <c r="Y74" t="s">
        <v>132</v>
      </c>
      <c r="Z74" t="s">
        <v>1305</v>
      </c>
      <c r="AA74" s="7" t="s">
        <v>1109</v>
      </c>
      <c r="AB74" s="7" t="s">
        <v>1306</v>
      </c>
      <c r="AC74" t="s">
        <v>1307</v>
      </c>
      <c r="AD74" s="7" t="s">
        <v>137</v>
      </c>
      <c r="AE74" s="7" t="s">
        <v>1308</v>
      </c>
    </row>
    <row r="75" spans="1:31" ht="14.25" customHeight="1" x14ac:dyDescent="0.2">
      <c r="A75" t="s">
        <v>1309</v>
      </c>
      <c r="B75" t="s">
        <v>1310</v>
      </c>
      <c r="C75" t="s">
        <v>1311</v>
      </c>
      <c r="D75" t="s">
        <v>1312</v>
      </c>
      <c r="E75" s="4" t="s">
        <v>1313</v>
      </c>
      <c r="F75" t="s">
        <v>1314</v>
      </c>
      <c r="G75" s="5">
        <v>43955</v>
      </c>
      <c r="H75" t="s">
        <v>1315</v>
      </c>
      <c r="I75" t="s">
        <v>121</v>
      </c>
      <c r="J75" t="s">
        <v>1103</v>
      </c>
      <c r="K75" t="s">
        <v>429</v>
      </c>
      <c r="L75">
        <v>761</v>
      </c>
      <c r="M75">
        <v>498</v>
      </c>
      <c r="N75">
        <v>1100</v>
      </c>
      <c r="O75">
        <v>725</v>
      </c>
      <c r="P75" t="s">
        <v>1316</v>
      </c>
      <c r="Q75" t="s">
        <v>1317</v>
      </c>
      <c r="R75" t="s">
        <v>466</v>
      </c>
      <c r="S75" t="s">
        <v>1318</v>
      </c>
      <c r="T75" t="s">
        <v>280</v>
      </c>
      <c r="U75" t="s">
        <v>1319</v>
      </c>
      <c r="V75" t="s">
        <v>1320</v>
      </c>
      <c r="W75" t="s">
        <v>1321</v>
      </c>
      <c r="X75" t="s">
        <v>1322</v>
      </c>
      <c r="Y75" t="s">
        <v>1139</v>
      </c>
      <c r="Z75" t="s">
        <v>1321</v>
      </c>
      <c r="AA75" s="7" t="s">
        <v>1109</v>
      </c>
      <c r="AB75" s="7" t="s">
        <v>157</v>
      </c>
      <c r="AC75" t="s">
        <v>1323</v>
      </c>
      <c r="AD75" s="7" t="s">
        <v>137</v>
      </c>
      <c r="AE75" s="7" t="s">
        <v>1324</v>
      </c>
    </row>
    <row r="76" spans="1:31" ht="14.25" customHeight="1" x14ac:dyDescent="0.2">
      <c r="A76" t="s">
        <v>1325</v>
      </c>
      <c r="B76" t="s">
        <v>1326</v>
      </c>
      <c r="C76" t="s">
        <v>1327</v>
      </c>
      <c r="D76" t="s">
        <v>1328</v>
      </c>
      <c r="E76" s="4" t="s">
        <v>1329</v>
      </c>
      <c r="F76" t="s">
        <v>1330</v>
      </c>
      <c r="G76" s="5">
        <v>43893</v>
      </c>
      <c r="H76" t="s">
        <v>1331</v>
      </c>
      <c r="I76" t="s">
        <v>260</v>
      </c>
      <c r="J76" t="s">
        <v>1103</v>
      </c>
      <c r="K76" t="s">
        <v>429</v>
      </c>
      <c r="L76">
        <v>801</v>
      </c>
      <c r="M76">
        <v>474</v>
      </c>
      <c r="N76">
        <v>1100</v>
      </c>
      <c r="O76">
        <v>725</v>
      </c>
      <c r="P76" t="s">
        <v>1332</v>
      </c>
      <c r="Q76" t="s">
        <v>1333</v>
      </c>
      <c r="R76" t="s">
        <v>385</v>
      </c>
      <c r="S76" t="s">
        <v>1334</v>
      </c>
      <c r="T76" t="s">
        <v>1194</v>
      </c>
      <c r="U76" t="s">
        <v>354</v>
      </c>
      <c r="V76" t="s">
        <v>1320</v>
      </c>
      <c r="W76" t="s">
        <v>1335</v>
      </c>
      <c r="X76" t="s">
        <v>229</v>
      </c>
      <c r="Y76" t="s">
        <v>1139</v>
      </c>
      <c r="Z76" t="s">
        <v>1246</v>
      </c>
      <c r="AA76" s="7" t="s">
        <v>1109</v>
      </c>
      <c r="AB76" t="s">
        <v>1336</v>
      </c>
      <c r="AC76" t="s">
        <v>1337</v>
      </c>
      <c r="AD76" s="7" t="s">
        <v>137</v>
      </c>
      <c r="AE76" s="7" t="s">
        <v>1338</v>
      </c>
    </row>
    <row r="77" spans="1:31" ht="14.25" customHeight="1" x14ac:dyDescent="0.2">
      <c r="A77" t="s">
        <v>1339</v>
      </c>
      <c r="B77" t="s">
        <v>1340</v>
      </c>
      <c r="C77" t="s">
        <v>1341</v>
      </c>
      <c r="D77" t="s">
        <v>1342</v>
      </c>
      <c r="E77" s="4" t="s">
        <v>1343</v>
      </c>
      <c r="F77" t="s">
        <v>1344</v>
      </c>
      <c r="G77" s="5">
        <v>43451</v>
      </c>
      <c r="H77" t="s">
        <v>1345</v>
      </c>
      <c r="I77" t="s">
        <v>260</v>
      </c>
      <c r="J77" t="s">
        <v>1103</v>
      </c>
      <c r="K77" t="s">
        <v>429</v>
      </c>
      <c r="L77">
        <v>961</v>
      </c>
      <c r="M77">
        <v>568</v>
      </c>
      <c r="N77">
        <v>1100</v>
      </c>
      <c r="O77">
        <v>725</v>
      </c>
      <c r="P77" t="s">
        <v>1346</v>
      </c>
      <c r="Q77" t="s">
        <v>1347</v>
      </c>
      <c r="R77" t="s">
        <v>385</v>
      </c>
      <c r="S77" t="s">
        <v>1348</v>
      </c>
      <c r="T77" t="s">
        <v>353</v>
      </c>
      <c r="U77" t="s">
        <v>1342</v>
      </c>
      <c r="V77" t="s">
        <v>132</v>
      </c>
      <c r="W77" t="s">
        <v>1349</v>
      </c>
      <c r="X77" t="s">
        <v>1350</v>
      </c>
      <c r="Y77" t="s">
        <v>132</v>
      </c>
      <c r="Z77" t="s">
        <v>1349</v>
      </c>
      <c r="AA77" s="7" t="s">
        <v>1351</v>
      </c>
      <c r="AB77" s="7" t="s">
        <v>1352</v>
      </c>
      <c r="AC77" t="s">
        <v>1353</v>
      </c>
      <c r="AD77" s="7" t="s">
        <v>137</v>
      </c>
      <c r="AE77" s="7" t="s">
        <v>1354</v>
      </c>
    </row>
    <row r="78" spans="1:31" ht="14.25" customHeight="1" x14ac:dyDescent="0.2">
      <c r="A78" t="s">
        <v>1355</v>
      </c>
      <c r="B78" t="s">
        <v>1356</v>
      </c>
      <c r="C78" t="s">
        <v>1357</v>
      </c>
      <c r="D78" t="s">
        <v>1358</v>
      </c>
      <c r="E78" s="4" t="s">
        <v>1359</v>
      </c>
      <c r="F78" t="s">
        <v>1360</v>
      </c>
      <c r="G78" s="5">
        <v>43657</v>
      </c>
      <c r="H78" t="s">
        <v>1361</v>
      </c>
      <c r="I78" t="s">
        <v>260</v>
      </c>
      <c r="J78" t="s">
        <v>1103</v>
      </c>
      <c r="K78" t="s">
        <v>429</v>
      </c>
      <c r="L78">
        <v>932</v>
      </c>
      <c r="M78">
        <v>550</v>
      </c>
      <c r="N78">
        <v>1100</v>
      </c>
      <c r="O78">
        <v>725</v>
      </c>
      <c r="P78" t="s">
        <v>1362</v>
      </c>
      <c r="Q78" t="s">
        <v>1363</v>
      </c>
      <c r="R78" t="s">
        <v>385</v>
      </c>
      <c r="S78" t="s">
        <v>1364</v>
      </c>
      <c r="T78" t="s">
        <v>862</v>
      </c>
      <c r="U78" t="s">
        <v>500</v>
      </c>
      <c r="V78" t="s">
        <v>132</v>
      </c>
      <c r="W78" t="s">
        <v>1365</v>
      </c>
      <c r="X78" t="s">
        <v>502</v>
      </c>
      <c r="Y78" t="s">
        <v>132</v>
      </c>
      <c r="Z78" t="s">
        <v>1366</v>
      </c>
      <c r="AA78" s="7" t="s">
        <v>1351</v>
      </c>
      <c r="AB78" t="s">
        <v>1367</v>
      </c>
      <c r="AC78" t="s">
        <v>1368</v>
      </c>
      <c r="AD78" s="7" t="s">
        <v>137</v>
      </c>
      <c r="AE78" s="7" t="s">
        <v>1369</v>
      </c>
    </row>
    <row r="79" spans="1:31" ht="14.25" customHeight="1" x14ac:dyDescent="0.2">
      <c r="A79" t="s">
        <v>1370</v>
      </c>
      <c r="B79" t="s">
        <v>1371</v>
      </c>
      <c r="C79" t="s">
        <v>1372</v>
      </c>
      <c r="D79" t="s">
        <v>1373</v>
      </c>
      <c r="E79" s="4" t="s">
        <v>1374</v>
      </c>
      <c r="F79" t="s">
        <v>1375</v>
      </c>
      <c r="G79" s="5">
        <v>43377</v>
      </c>
      <c r="H79" t="s">
        <v>1376</v>
      </c>
      <c r="I79" t="s">
        <v>121</v>
      </c>
      <c r="J79" t="s">
        <v>1103</v>
      </c>
      <c r="K79" t="s">
        <v>429</v>
      </c>
      <c r="L79">
        <v>738</v>
      </c>
      <c r="M79">
        <v>482</v>
      </c>
      <c r="N79">
        <v>1100</v>
      </c>
      <c r="O79">
        <v>725</v>
      </c>
      <c r="P79" t="s">
        <v>1377</v>
      </c>
      <c r="Q79" t="s">
        <v>1378</v>
      </c>
      <c r="R79" t="s">
        <v>385</v>
      </c>
      <c r="S79" t="s">
        <v>1379</v>
      </c>
      <c r="T79" t="s">
        <v>1194</v>
      </c>
      <c r="U79" t="s">
        <v>1380</v>
      </c>
      <c r="V79" t="s">
        <v>1320</v>
      </c>
      <c r="W79" t="s">
        <v>734</v>
      </c>
      <c r="X79" t="s">
        <v>519</v>
      </c>
      <c r="Y79" t="s">
        <v>1139</v>
      </c>
      <c r="Z79" t="s">
        <v>249</v>
      </c>
      <c r="AA79" s="7" t="s">
        <v>1109</v>
      </c>
      <c r="AB79" t="s">
        <v>1381</v>
      </c>
      <c r="AC79" t="s">
        <v>1382</v>
      </c>
      <c r="AD79" s="7" t="s">
        <v>137</v>
      </c>
      <c r="AE79" s="7" t="s">
        <v>1383</v>
      </c>
    </row>
    <row r="80" spans="1:31" ht="14.25" customHeight="1" x14ac:dyDescent="0.2">
      <c r="A80" t="s">
        <v>1384</v>
      </c>
      <c r="B80" t="s">
        <v>1385</v>
      </c>
      <c r="C80" t="s">
        <v>1386</v>
      </c>
      <c r="D80" t="s">
        <v>1387</v>
      </c>
      <c r="E80" s="4" t="s">
        <v>1388</v>
      </c>
      <c r="F80" t="s">
        <v>1389</v>
      </c>
      <c r="G80" s="5">
        <v>43370</v>
      </c>
      <c r="H80" t="s">
        <v>1390</v>
      </c>
      <c r="I80" t="s">
        <v>260</v>
      </c>
      <c r="J80" t="s">
        <v>1103</v>
      </c>
      <c r="K80" t="s">
        <v>429</v>
      </c>
      <c r="L80">
        <v>932</v>
      </c>
      <c r="M80">
        <v>550</v>
      </c>
      <c r="N80">
        <v>1100</v>
      </c>
      <c r="O80">
        <v>725</v>
      </c>
      <c r="P80" t="s">
        <v>1391</v>
      </c>
      <c r="Q80" t="s">
        <v>1392</v>
      </c>
      <c r="R80" t="s">
        <v>385</v>
      </c>
      <c r="S80" t="s">
        <v>1379</v>
      </c>
      <c r="T80" t="s">
        <v>1194</v>
      </c>
      <c r="U80" t="s">
        <v>533</v>
      </c>
      <c r="V80" t="s">
        <v>132</v>
      </c>
      <c r="W80" t="s">
        <v>1387</v>
      </c>
      <c r="X80" t="s">
        <v>519</v>
      </c>
      <c r="Y80" t="s">
        <v>132</v>
      </c>
      <c r="Z80" t="s">
        <v>1393</v>
      </c>
      <c r="AA80" s="7" t="s">
        <v>1109</v>
      </c>
      <c r="AB80" s="7" t="s">
        <v>1394</v>
      </c>
      <c r="AC80" t="s">
        <v>268</v>
      </c>
      <c r="AD80" s="7" t="s">
        <v>48</v>
      </c>
      <c r="AE80" s="7" t="s">
        <v>1395</v>
      </c>
    </row>
    <row r="81" spans="1:31" ht="14.25" customHeight="1" x14ac:dyDescent="0.2">
      <c r="A81" t="s">
        <v>1396</v>
      </c>
      <c r="B81" t="s">
        <v>1397</v>
      </c>
      <c r="C81" t="s">
        <v>1398</v>
      </c>
      <c r="D81" t="s">
        <v>1399</v>
      </c>
      <c r="E81" s="4" t="s">
        <v>1400</v>
      </c>
      <c r="F81" t="s">
        <v>1401</v>
      </c>
      <c r="G81" s="5">
        <v>44267</v>
      </c>
      <c r="H81" t="s">
        <v>1402</v>
      </c>
      <c r="I81" t="s">
        <v>121</v>
      </c>
      <c r="J81" t="s">
        <v>1103</v>
      </c>
      <c r="K81" t="s">
        <v>543</v>
      </c>
      <c r="L81">
        <v>745</v>
      </c>
      <c r="M81">
        <v>516</v>
      </c>
      <c r="N81">
        <v>1100</v>
      </c>
      <c r="O81">
        <v>725</v>
      </c>
      <c r="P81" t="s">
        <v>1403</v>
      </c>
      <c r="Q81" t="s">
        <v>1404</v>
      </c>
      <c r="R81" t="s">
        <v>563</v>
      </c>
      <c r="S81" t="s">
        <v>1405</v>
      </c>
      <c r="T81" t="s">
        <v>128</v>
      </c>
      <c r="U81" t="s">
        <v>1406</v>
      </c>
      <c r="V81" t="s">
        <v>130</v>
      </c>
      <c r="W81" t="s">
        <v>1407</v>
      </c>
      <c r="X81" t="s">
        <v>1408</v>
      </c>
      <c r="Y81" t="s">
        <v>132</v>
      </c>
      <c r="Z81" t="s">
        <v>1409</v>
      </c>
      <c r="AA81" s="7" t="s">
        <v>387</v>
      </c>
      <c r="AB81" t="s">
        <v>1410</v>
      </c>
      <c r="AC81" t="s">
        <v>1411</v>
      </c>
      <c r="AD81" s="7" t="s">
        <v>28</v>
      </c>
      <c r="AE81" s="7" t="s">
        <v>1412</v>
      </c>
    </row>
    <row r="82" spans="1:31" ht="14.25" customHeight="1" x14ac:dyDescent="0.2">
      <c r="A82" t="s">
        <v>1413</v>
      </c>
      <c r="B82" t="s">
        <v>85</v>
      </c>
      <c r="C82" t="s">
        <v>1414</v>
      </c>
      <c r="D82" t="s">
        <v>1415</v>
      </c>
      <c r="E82" s="4" t="s">
        <v>1416</v>
      </c>
      <c r="F82" t="s">
        <v>1417</v>
      </c>
      <c r="G82" s="5">
        <v>43934</v>
      </c>
      <c r="H82" s="181" t="s">
        <v>23999</v>
      </c>
      <c r="I82" t="s">
        <v>121</v>
      </c>
      <c r="J82" t="s">
        <v>1103</v>
      </c>
      <c r="K82" t="s">
        <v>543</v>
      </c>
      <c r="L82">
        <v>893</v>
      </c>
      <c r="M82">
        <v>618</v>
      </c>
      <c r="N82">
        <v>1100</v>
      </c>
      <c r="O82">
        <v>725</v>
      </c>
      <c r="P82" t="s">
        <v>1418</v>
      </c>
      <c r="Q82" t="s">
        <v>1419</v>
      </c>
      <c r="R82" t="s">
        <v>563</v>
      </c>
      <c r="S82" t="s">
        <v>1106</v>
      </c>
      <c r="T82" t="s">
        <v>128</v>
      </c>
      <c r="U82" t="s">
        <v>1415</v>
      </c>
      <c r="V82" t="s">
        <v>1139</v>
      </c>
      <c r="W82" t="s">
        <v>1420</v>
      </c>
      <c r="X82" t="s">
        <v>1421</v>
      </c>
      <c r="Y82" t="s">
        <v>1139</v>
      </c>
      <c r="Z82" t="s">
        <v>1422</v>
      </c>
      <c r="AA82" s="7" t="s">
        <v>1109</v>
      </c>
      <c r="AB82" s="7" t="s">
        <v>706</v>
      </c>
      <c r="AC82" t="s">
        <v>1423</v>
      </c>
      <c r="AD82" s="7" t="s">
        <v>178</v>
      </c>
      <c r="AE82" s="7" t="s">
        <v>1424</v>
      </c>
    </row>
    <row r="83" spans="1:31" ht="14.25" customHeight="1" x14ac:dyDescent="0.2">
      <c r="A83" t="s">
        <v>1425</v>
      </c>
      <c r="B83" t="s">
        <v>1426</v>
      </c>
      <c r="C83" t="s">
        <v>1427</v>
      </c>
      <c r="D83" t="s">
        <v>1428</v>
      </c>
      <c r="E83" s="4" t="s">
        <v>1429</v>
      </c>
      <c r="F83" t="s">
        <v>1430</v>
      </c>
      <c r="G83" s="5">
        <v>43797</v>
      </c>
      <c r="H83" t="s">
        <v>1431</v>
      </c>
      <c r="I83" t="s">
        <v>121</v>
      </c>
      <c r="J83" t="s">
        <v>1103</v>
      </c>
      <c r="K83" t="s">
        <v>543</v>
      </c>
      <c r="L83">
        <v>893</v>
      </c>
      <c r="M83">
        <v>618</v>
      </c>
      <c r="N83">
        <v>1100</v>
      </c>
      <c r="O83">
        <v>725</v>
      </c>
      <c r="P83" t="s">
        <v>1432</v>
      </c>
      <c r="Q83" t="s">
        <v>1433</v>
      </c>
      <c r="R83" t="s">
        <v>563</v>
      </c>
      <c r="S83" t="s">
        <v>1348</v>
      </c>
      <c r="T83" t="s">
        <v>353</v>
      </c>
      <c r="U83" t="s">
        <v>1434</v>
      </c>
      <c r="V83" t="s">
        <v>1435</v>
      </c>
      <c r="W83" t="s">
        <v>1436</v>
      </c>
      <c r="X83" t="s">
        <v>1437</v>
      </c>
      <c r="Y83" t="s">
        <v>1216</v>
      </c>
      <c r="Z83" t="s">
        <v>1436</v>
      </c>
      <c r="AA83" s="7" t="s">
        <v>1126</v>
      </c>
      <c r="AB83" s="7" t="s">
        <v>1438</v>
      </c>
      <c r="AC83" t="s">
        <v>1439</v>
      </c>
      <c r="AD83" s="7" t="s">
        <v>137</v>
      </c>
      <c r="AE83" s="7" t="s">
        <v>1440</v>
      </c>
    </row>
    <row r="84" spans="1:31" ht="14.25" customHeight="1" x14ac:dyDescent="0.2">
      <c r="A84" t="s">
        <v>1441</v>
      </c>
      <c r="B84" t="s">
        <v>1442</v>
      </c>
      <c r="C84" t="s">
        <v>1443</v>
      </c>
      <c r="D84" t="s">
        <v>1444</v>
      </c>
      <c r="E84" s="4" t="s">
        <v>1445</v>
      </c>
      <c r="F84" t="s">
        <v>1446</v>
      </c>
      <c r="G84" s="5">
        <v>43677</v>
      </c>
      <c r="H84" t="s">
        <v>1447</v>
      </c>
      <c r="I84" t="s">
        <v>121</v>
      </c>
      <c r="J84" t="s">
        <v>1103</v>
      </c>
      <c r="K84" t="s">
        <v>543</v>
      </c>
      <c r="L84">
        <v>893</v>
      </c>
      <c r="M84">
        <v>618</v>
      </c>
      <c r="N84">
        <v>1100</v>
      </c>
      <c r="O84">
        <v>725</v>
      </c>
      <c r="P84" t="s">
        <v>1448</v>
      </c>
      <c r="Q84" t="s">
        <v>1449</v>
      </c>
      <c r="R84" t="s">
        <v>563</v>
      </c>
      <c r="S84" t="s">
        <v>1405</v>
      </c>
      <c r="T84" t="s">
        <v>128</v>
      </c>
      <c r="U84" t="s">
        <v>1450</v>
      </c>
      <c r="V84" t="s">
        <v>132</v>
      </c>
      <c r="W84" t="s">
        <v>1436</v>
      </c>
      <c r="X84" t="s">
        <v>1451</v>
      </c>
      <c r="Y84" t="s">
        <v>132</v>
      </c>
      <c r="Z84" t="s">
        <v>601</v>
      </c>
      <c r="AA84" s="7" t="s">
        <v>1126</v>
      </c>
      <c r="AB84" t="s">
        <v>1452</v>
      </c>
      <c r="AC84" t="s">
        <v>1453</v>
      </c>
      <c r="AD84" s="7" t="s">
        <v>178</v>
      </c>
      <c r="AE84" s="7" t="s">
        <v>1454</v>
      </c>
    </row>
    <row r="85" spans="1:31" ht="14.25" customHeight="1" x14ac:dyDescent="0.2">
      <c r="A85" t="s">
        <v>1455</v>
      </c>
      <c r="B85" t="s">
        <v>1456</v>
      </c>
      <c r="C85" t="s">
        <v>1457</v>
      </c>
      <c r="D85" t="s">
        <v>1458</v>
      </c>
      <c r="E85" s="4" t="s">
        <v>1459</v>
      </c>
      <c r="F85" t="s">
        <v>1460</v>
      </c>
      <c r="G85" s="5">
        <v>43370</v>
      </c>
      <c r="H85" t="s">
        <v>1461</v>
      </c>
      <c r="I85" t="s">
        <v>241</v>
      </c>
      <c r="J85" t="s">
        <v>1103</v>
      </c>
      <c r="K85" t="s">
        <v>543</v>
      </c>
      <c r="L85">
        <v>958</v>
      </c>
      <c r="M85">
        <v>542</v>
      </c>
      <c r="N85">
        <v>1100</v>
      </c>
      <c r="O85">
        <v>725</v>
      </c>
      <c r="P85" t="s">
        <v>1462</v>
      </c>
      <c r="Q85" t="s">
        <v>1463</v>
      </c>
      <c r="R85" t="s">
        <v>563</v>
      </c>
      <c r="S85" t="s">
        <v>1464</v>
      </c>
      <c r="T85" t="s">
        <v>128</v>
      </c>
      <c r="U85" t="s">
        <v>1465</v>
      </c>
      <c r="V85" t="s">
        <v>132</v>
      </c>
      <c r="W85" t="s">
        <v>670</v>
      </c>
      <c r="X85" t="s">
        <v>371</v>
      </c>
      <c r="Y85" t="s">
        <v>132</v>
      </c>
      <c r="Z85" t="s">
        <v>1466</v>
      </c>
      <c r="AA85" s="7" t="s">
        <v>1109</v>
      </c>
      <c r="AB85" t="s">
        <v>1467</v>
      </c>
      <c r="AC85" t="s">
        <v>1468</v>
      </c>
      <c r="AD85" s="7" t="s">
        <v>137</v>
      </c>
      <c r="AE85" s="7" t="s">
        <v>1469</v>
      </c>
    </row>
    <row r="86" spans="1:31" ht="14.25" customHeight="1" x14ac:dyDescent="0.2">
      <c r="A86" t="s">
        <v>1470</v>
      </c>
      <c r="B86" t="s">
        <v>1471</v>
      </c>
      <c r="C86" t="s">
        <v>1472</v>
      </c>
      <c r="D86" t="s">
        <v>1473</v>
      </c>
      <c r="E86" s="4" t="s">
        <v>1474</v>
      </c>
      <c r="F86" t="s">
        <v>1475</v>
      </c>
      <c r="G86" s="5">
        <v>43419</v>
      </c>
      <c r="H86" t="s">
        <v>1476</v>
      </c>
      <c r="I86" t="s">
        <v>241</v>
      </c>
      <c r="J86" t="s">
        <v>1103</v>
      </c>
      <c r="K86" t="s">
        <v>543</v>
      </c>
      <c r="L86">
        <v>782</v>
      </c>
      <c r="M86">
        <v>443</v>
      </c>
      <c r="N86">
        <v>1100</v>
      </c>
      <c r="O86">
        <v>725</v>
      </c>
      <c r="P86" t="s">
        <v>1477</v>
      </c>
      <c r="Q86" t="s">
        <v>1478</v>
      </c>
      <c r="R86" t="s">
        <v>563</v>
      </c>
      <c r="S86" t="s">
        <v>1479</v>
      </c>
      <c r="T86" t="s">
        <v>280</v>
      </c>
      <c r="U86" t="s">
        <v>1480</v>
      </c>
      <c r="V86" t="s">
        <v>1481</v>
      </c>
      <c r="W86" t="s">
        <v>1482</v>
      </c>
      <c r="X86" t="s">
        <v>581</v>
      </c>
      <c r="Y86" t="s">
        <v>1483</v>
      </c>
      <c r="Z86" t="s">
        <v>1216</v>
      </c>
      <c r="AA86" s="7" t="s">
        <v>387</v>
      </c>
      <c r="AB86" s="7" t="s">
        <v>1484</v>
      </c>
      <c r="AC86" t="s">
        <v>1485</v>
      </c>
      <c r="AD86" s="7" t="s">
        <v>28</v>
      </c>
      <c r="AE86" s="7" t="s">
        <v>23953</v>
      </c>
    </row>
    <row r="87" spans="1:31" ht="14.25" customHeight="1" x14ac:dyDescent="0.2">
      <c r="A87" t="s">
        <v>1486</v>
      </c>
      <c r="B87" t="s">
        <v>1487</v>
      </c>
      <c r="C87" t="s">
        <v>1488</v>
      </c>
      <c r="D87" t="s">
        <v>1489</v>
      </c>
      <c r="E87" s="4" t="s">
        <v>1490</v>
      </c>
      <c r="F87" t="s">
        <v>1491</v>
      </c>
      <c r="G87" s="5">
        <v>43370</v>
      </c>
      <c r="H87" t="s">
        <v>1492</v>
      </c>
      <c r="I87" t="s">
        <v>121</v>
      </c>
      <c r="J87" t="s">
        <v>1103</v>
      </c>
      <c r="K87" t="s">
        <v>543</v>
      </c>
      <c r="L87">
        <v>708</v>
      </c>
      <c r="M87">
        <v>490</v>
      </c>
      <c r="N87">
        <v>1100</v>
      </c>
      <c r="O87">
        <v>725</v>
      </c>
      <c r="P87" t="s">
        <v>1493</v>
      </c>
      <c r="Q87" t="s">
        <v>1494</v>
      </c>
      <c r="R87" t="s">
        <v>563</v>
      </c>
      <c r="S87" t="s">
        <v>1178</v>
      </c>
      <c r="T87" t="s">
        <v>128</v>
      </c>
      <c r="U87" t="s">
        <v>1495</v>
      </c>
      <c r="V87" t="s">
        <v>1180</v>
      </c>
      <c r="W87" t="s">
        <v>1496</v>
      </c>
      <c r="X87" t="s">
        <v>1497</v>
      </c>
      <c r="Y87" t="s">
        <v>1139</v>
      </c>
      <c r="Z87" t="s">
        <v>229</v>
      </c>
      <c r="AA87" s="7" t="s">
        <v>1109</v>
      </c>
      <c r="AB87" s="7" t="s">
        <v>157</v>
      </c>
      <c r="AC87" t="s">
        <v>1498</v>
      </c>
      <c r="AD87" s="7" t="s">
        <v>48</v>
      </c>
      <c r="AE87" t="s">
        <v>1499</v>
      </c>
    </row>
    <row r="88" spans="1:31" ht="14.25" customHeight="1" x14ac:dyDescent="0.2">
      <c r="A88" t="s">
        <v>1500</v>
      </c>
      <c r="B88" t="s">
        <v>1501</v>
      </c>
      <c r="C88" t="s">
        <v>1502</v>
      </c>
      <c r="D88" t="s">
        <v>1503</v>
      </c>
      <c r="E88" s="4" t="s">
        <v>1504</v>
      </c>
      <c r="F88" t="s">
        <v>1505</v>
      </c>
      <c r="G88" s="5">
        <v>44362</v>
      </c>
      <c r="H88" t="s">
        <v>1506</v>
      </c>
      <c r="I88" t="s">
        <v>121</v>
      </c>
      <c r="J88" t="s">
        <v>1103</v>
      </c>
      <c r="K88" t="s">
        <v>645</v>
      </c>
      <c r="L88">
        <v>752</v>
      </c>
      <c r="M88">
        <v>508</v>
      </c>
      <c r="N88">
        <v>1100</v>
      </c>
      <c r="O88">
        <v>725</v>
      </c>
      <c r="P88" t="s">
        <v>1507</v>
      </c>
      <c r="Q88" t="s">
        <v>1508</v>
      </c>
      <c r="R88" t="s">
        <v>682</v>
      </c>
      <c r="S88" t="s">
        <v>1509</v>
      </c>
      <c r="T88" t="s">
        <v>245</v>
      </c>
      <c r="U88" t="s">
        <v>1510</v>
      </c>
      <c r="V88" t="s">
        <v>130</v>
      </c>
      <c r="W88" t="s">
        <v>1511</v>
      </c>
      <c r="X88" t="s">
        <v>519</v>
      </c>
      <c r="Y88" t="s">
        <v>132</v>
      </c>
      <c r="Z88" t="s">
        <v>417</v>
      </c>
      <c r="AA88" s="7" t="s">
        <v>1109</v>
      </c>
      <c r="AB88" t="s">
        <v>1512</v>
      </c>
      <c r="AC88" t="s">
        <v>1513</v>
      </c>
      <c r="AD88" s="7" t="s">
        <v>137</v>
      </c>
      <c r="AE88" s="7" t="s">
        <v>1514</v>
      </c>
    </row>
    <row r="89" spans="1:31" ht="14.25" customHeight="1" x14ac:dyDescent="0.2">
      <c r="A89" t="s">
        <v>1515</v>
      </c>
      <c r="B89" t="s">
        <v>1516</v>
      </c>
      <c r="C89" t="s">
        <v>1517</v>
      </c>
      <c r="D89" t="s">
        <v>1518</v>
      </c>
      <c r="E89" s="4" t="s">
        <v>1519</v>
      </c>
      <c r="F89" t="s">
        <v>1520</v>
      </c>
      <c r="G89" s="5">
        <v>44011</v>
      </c>
      <c r="H89" t="s">
        <v>1521</v>
      </c>
      <c r="I89" t="s">
        <v>121</v>
      </c>
      <c r="J89" t="s">
        <v>1103</v>
      </c>
      <c r="K89" t="s">
        <v>645</v>
      </c>
      <c r="L89">
        <v>902</v>
      </c>
      <c r="M89">
        <v>608</v>
      </c>
      <c r="N89">
        <v>1100</v>
      </c>
      <c r="O89">
        <v>725</v>
      </c>
      <c r="P89" t="s">
        <v>1522</v>
      </c>
      <c r="Q89" t="s">
        <v>1523</v>
      </c>
      <c r="R89" t="s">
        <v>682</v>
      </c>
      <c r="S89" t="s">
        <v>1153</v>
      </c>
      <c r="T89" t="s">
        <v>128</v>
      </c>
      <c r="U89" t="s">
        <v>1524</v>
      </c>
      <c r="V89" t="s">
        <v>132</v>
      </c>
      <c r="W89" t="s">
        <v>938</v>
      </c>
      <c r="X89" t="s">
        <v>1525</v>
      </c>
      <c r="Y89" t="s">
        <v>132</v>
      </c>
      <c r="Z89" t="s">
        <v>910</v>
      </c>
      <c r="AA89" s="7" t="s">
        <v>1126</v>
      </c>
      <c r="AB89" s="7" t="s">
        <v>1526</v>
      </c>
      <c r="AC89" t="s">
        <v>1527</v>
      </c>
      <c r="AD89" s="7" t="s">
        <v>137</v>
      </c>
      <c r="AE89" s="7" t="s">
        <v>1528</v>
      </c>
    </row>
    <row r="90" spans="1:31" ht="14.25" customHeight="1" x14ac:dyDescent="0.2">
      <c r="A90" t="s">
        <v>1529</v>
      </c>
      <c r="B90" t="s">
        <v>1530</v>
      </c>
      <c r="C90" t="s">
        <v>1531</v>
      </c>
      <c r="D90" t="s">
        <v>1532</v>
      </c>
      <c r="E90" s="4" t="s">
        <v>1533</v>
      </c>
      <c r="F90" t="s">
        <v>1534</v>
      </c>
      <c r="G90" s="5">
        <v>43581</v>
      </c>
      <c r="H90" t="s">
        <v>1535</v>
      </c>
      <c r="I90" t="s">
        <v>121</v>
      </c>
      <c r="J90" t="s">
        <v>1103</v>
      </c>
      <c r="K90" t="s">
        <v>645</v>
      </c>
      <c r="L90">
        <v>902</v>
      </c>
      <c r="M90">
        <v>608</v>
      </c>
      <c r="N90">
        <v>1100</v>
      </c>
      <c r="O90">
        <v>725</v>
      </c>
      <c r="P90" t="s">
        <v>1536</v>
      </c>
      <c r="Q90" t="s">
        <v>1537</v>
      </c>
      <c r="R90" t="s">
        <v>682</v>
      </c>
      <c r="S90" t="s">
        <v>1106</v>
      </c>
      <c r="T90" t="s">
        <v>128</v>
      </c>
      <c r="U90" t="s">
        <v>1538</v>
      </c>
      <c r="V90" t="s">
        <v>1139</v>
      </c>
      <c r="W90" t="s">
        <v>670</v>
      </c>
      <c r="X90" t="s">
        <v>1539</v>
      </c>
      <c r="Y90" t="s">
        <v>1139</v>
      </c>
      <c r="Z90" t="s">
        <v>670</v>
      </c>
      <c r="AA90" s="7" t="s">
        <v>1109</v>
      </c>
      <c r="AB90" t="s">
        <v>357</v>
      </c>
      <c r="AC90" t="s">
        <v>1540</v>
      </c>
      <c r="AD90" s="7" t="s">
        <v>137</v>
      </c>
      <c r="AE90" s="7" t="s">
        <v>1541</v>
      </c>
    </row>
    <row r="91" spans="1:31" ht="14.25" customHeight="1" x14ac:dyDescent="0.2">
      <c r="A91" t="s">
        <v>1542</v>
      </c>
      <c r="B91" t="s">
        <v>1543</v>
      </c>
      <c r="C91" t="s">
        <v>1544</v>
      </c>
      <c r="D91" t="s">
        <v>1545</v>
      </c>
      <c r="E91" s="4" t="s">
        <v>1546</v>
      </c>
      <c r="F91" t="s">
        <v>1547</v>
      </c>
      <c r="G91" s="5">
        <v>43370</v>
      </c>
      <c r="H91" t="s">
        <v>1548</v>
      </c>
      <c r="I91" t="s">
        <v>260</v>
      </c>
      <c r="J91" t="s">
        <v>1103</v>
      </c>
      <c r="K91" t="s">
        <v>645</v>
      </c>
      <c r="L91">
        <v>949</v>
      </c>
      <c r="M91">
        <v>580</v>
      </c>
      <c r="N91">
        <v>1100</v>
      </c>
      <c r="O91">
        <v>725</v>
      </c>
      <c r="P91" t="s">
        <v>1549</v>
      </c>
      <c r="Q91" t="s">
        <v>1550</v>
      </c>
      <c r="R91" t="s">
        <v>682</v>
      </c>
      <c r="S91" t="s">
        <v>1122</v>
      </c>
      <c r="T91" t="s">
        <v>283</v>
      </c>
      <c r="U91" t="s">
        <v>281</v>
      </c>
      <c r="V91" t="s">
        <v>1139</v>
      </c>
      <c r="W91" t="s">
        <v>703</v>
      </c>
      <c r="X91" t="s">
        <v>283</v>
      </c>
      <c r="Y91" t="s">
        <v>1139</v>
      </c>
      <c r="Z91" t="s">
        <v>703</v>
      </c>
      <c r="AA91" s="7" t="s">
        <v>1109</v>
      </c>
      <c r="AB91" s="7" t="s">
        <v>1551</v>
      </c>
      <c r="AC91" t="s">
        <v>1552</v>
      </c>
      <c r="AD91" s="7" t="s">
        <v>137</v>
      </c>
      <c r="AE91" s="7" t="s">
        <v>1553</v>
      </c>
    </row>
    <row r="92" spans="1:31" ht="14.25" customHeight="1" x14ac:dyDescent="0.2">
      <c r="A92" t="s">
        <v>1554</v>
      </c>
      <c r="B92" t="s">
        <v>1555</v>
      </c>
      <c r="C92" t="s">
        <v>1556</v>
      </c>
      <c r="D92" t="s">
        <v>1557</v>
      </c>
      <c r="E92" s="4" t="s">
        <v>1558</v>
      </c>
      <c r="F92" t="s">
        <v>1559</v>
      </c>
      <c r="G92" s="5">
        <v>43934</v>
      </c>
      <c r="H92" t="s">
        <v>1560</v>
      </c>
      <c r="I92" t="s">
        <v>121</v>
      </c>
      <c r="J92" t="s">
        <v>1103</v>
      </c>
      <c r="K92" t="s">
        <v>645</v>
      </c>
      <c r="L92">
        <v>729</v>
      </c>
      <c r="M92">
        <v>492</v>
      </c>
      <c r="N92">
        <v>1100</v>
      </c>
      <c r="O92">
        <v>725</v>
      </c>
      <c r="P92" t="s">
        <v>1561</v>
      </c>
      <c r="Q92" t="s">
        <v>1562</v>
      </c>
      <c r="R92" t="s">
        <v>682</v>
      </c>
      <c r="S92" t="s">
        <v>1167</v>
      </c>
      <c r="T92" t="s">
        <v>128</v>
      </c>
      <c r="U92" t="s">
        <v>1563</v>
      </c>
      <c r="V92" t="s">
        <v>130</v>
      </c>
      <c r="W92" t="s">
        <v>1564</v>
      </c>
      <c r="X92" t="s">
        <v>154</v>
      </c>
      <c r="Y92" t="s">
        <v>132</v>
      </c>
      <c r="Z92" t="s">
        <v>1565</v>
      </c>
      <c r="AA92" s="7" t="s">
        <v>1109</v>
      </c>
      <c r="AB92" s="7" t="s">
        <v>1566</v>
      </c>
      <c r="AC92" t="s">
        <v>1017</v>
      </c>
      <c r="AD92" s="7" t="s">
        <v>48</v>
      </c>
      <c r="AE92" s="7" t="s">
        <v>1567</v>
      </c>
    </row>
    <row r="93" spans="1:31" ht="14.25" customHeight="1" x14ac:dyDescent="0.2">
      <c r="A93" t="s">
        <v>1568</v>
      </c>
      <c r="B93" t="s">
        <v>1569</v>
      </c>
      <c r="C93" t="s">
        <v>1570</v>
      </c>
      <c r="D93" t="s">
        <v>1571</v>
      </c>
      <c r="E93" s="4" t="s">
        <v>1572</v>
      </c>
      <c r="F93" t="s">
        <v>1573</v>
      </c>
      <c r="G93" s="5">
        <v>43370</v>
      </c>
      <c r="H93" t="s">
        <v>1574</v>
      </c>
      <c r="I93" t="s">
        <v>260</v>
      </c>
      <c r="J93" t="s">
        <v>1103</v>
      </c>
      <c r="K93" t="s">
        <v>645</v>
      </c>
      <c r="L93">
        <v>902</v>
      </c>
      <c r="M93">
        <v>551</v>
      </c>
      <c r="N93">
        <v>1100</v>
      </c>
      <c r="O93">
        <v>725</v>
      </c>
      <c r="P93" t="s">
        <v>1575</v>
      </c>
      <c r="Q93" t="s">
        <v>1576</v>
      </c>
      <c r="R93" t="s">
        <v>682</v>
      </c>
      <c r="S93" t="s">
        <v>1577</v>
      </c>
      <c r="T93" t="s">
        <v>128</v>
      </c>
      <c r="U93" t="s">
        <v>1140</v>
      </c>
      <c r="V93" t="s">
        <v>1139</v>
      </c>
      <c r="W93" t="s">
        <v>130</v>
      </c>
      <c r="X93" t="s">
        <v>1140</v>
      </c>
      <c r="Y93" t="s">
        <v>1216</v>
      </c>
      <c r="Z93" t="s">
        <v>670</v>
      </c>
      <c r="AA93" s="7" t="s">
        <v>387</v>
      </c>
      <c r="AB93" t="s">
        <v>1578</v>
      </c>
      <c r="AC93" t="s">
        <v>1579</v>
      </c>
      <c r="AD93" s="7" t="s">
        <v>28</v>
      </c>
      <c r="AE93" s="7" t="s">
        <v>1580</v>
      </c>
    </row>
    <row r="94" spans="1:31" ht="14.25" customHeight="1" x14ac:dyDescent="0.2">
      <c r="A94" t="s">
        <v>1581</v>
      </c>
      <c r="B94" t="s">
        <v>1582</v>
      </c>
      <c r="C94" t="s">
        <v>1583</v>
      </c>
      <c r="D94" t="s">
        <v>1584</v>
      </c>
      <c r="E94" s="4" t="s">
        <v>1585</v>
      </c>
      <c r="F94" t="s">
        <v>1586</v>
      </c>
      <c r="G94" s="5">
        <v>43524</v>
      </c>
      <c r="H94" t="s">
        <v>1587</v>
      </c>
      <c r="I94" t="s">
        <v>241</v>
      </c>
      <c r="J94" t="s">
        <v>1103</v>
      </c>
      <c r="K94" t="s">
        <v>645</v>
      </c>
      <c r="L94">
        <v>790</v>
      </c>
      <c r="M94">
        <v>437</v>
      </c>
      <c r="N94">
        <v>1100</v>
      </c>
      <c r="O94">
        <v>725</v>
      </c>
      <c r="P94" t="s">
        <v>1588</v>
      </c>
      <c r="Q94" t="s">
        <v>1589</v>
      </c>
      <c r="R94" t="s">
        <v>682</v>
      </c>
      <c r="S94" t="s">
        <v>1590</v>
      </c>
      <c r="T94" t="s">
        <v>128</v>
      </c>
      <c r="U94" t="s">
        <v>1591</v>
      </c>
      <c r="V94" t="s">
        <v>1180</v>
      </c>
      <c r="W94" t="s">
        <v>1496</v>
      </c>
      <c r="X94" t="s">
        <v>670</v>
      </c>
      <c r="Y94" t="s">
        <v>1139</v>
      </c>
      <c r="Z94" t="s">
        <v>229</v>
      </c>
      <c r="AA94" s="7" t="s">
        <v>1351</v>
      </c>
      <c r="AB94" t="s">
        <v>1592</v>
      </c>
      <c r="AC94" t="s">
        <v>1593</v>
      </c>
      <c r="AD94" s="7" t="s">
        <v>48</v>
      </c>
      <c r="AE94" s="7" t="s">
        <v>23957</v>
      </c>
    </row>
    <row r="95" spans="1:31" ht="14.25" customHeight="1" x14ac:dyDescent="0.2">
      <c r="A95" t="s">
        <v>1594</v>
      </c>
      <c r="B95" t="s">
        <v>1595</v>
      </c>
      <c r="C95" t="s">
        <v>1596</v>
      </c>
      <c r="D95" t="s">
        <v>1597</v>
      </c>
      <c r="E95" s="4" t="s">
        <v>1598</v>
      </c>
      <c r="F95" t="s">
        <v>1599</v>
      </c>
      <c r="G95" s="5">
        <v>43370</v>
      </c>
      <c r="H95" t="s">
        <v>1600</v>
      </c>
      <c r="I95" t="s">
        <v>241</v>
      </c>
      <c r="J95" t="s">
        <v>1103</v>
      </c>
      <c r="K95" t="s">
        <v>645</v>
      </c>
      <c r="L95">
        <v>790</v>
      </c>
      <c r="M95">
        <v>437</v>
      </c>
      <c r="N95">
        <v>1100</v>
      </c>
      <c r="O95">
        <v>725</v>
      </c>
      <c r="P95" t="s">
        <v>1601</v>
      </c>
      <c r="Q95" t="s">
        <v>1602</v>
      </c>
      <c r="R95" t="s">
        <v>682</v>
      </c>
      <c r="S95" t="s">
        <v>1603</v>
      </c>
      <c r="T95" t="s">
        <v>862</v>
      </c>
      <c r="U95" t="s">
        <v>1604</v>
      </c>
      <c r="V95" t="s">
        <v>318</v>
      </c>
      <c r="W95" t="s">
        <v>1287</v>
      </c>
      <c r="X95" t="s">
        <v>1605</v>
      </c>
      <c r="Y95" t="s">
        <v>132</v>
      </c>
      <c r="Z95" t="s">
        <v>370</v>
      </c>
      <c r="AA95" s="7" t="s">
        <v>1351</v>
      </c>
      <c r="AB95" t="s">
        <v>1606</v>
      </c>
      <c r="AC95" t="s">
        <v>1607</v>
      </c>
      <c r="AD95" s="7" t="s">
        <v>137</v>
      </c>
      <c r="AE95" s="7" t="s">
        <v>1608</v>
      </c>
    </row>
    <row r="96" spans="1:31" ht="14.25" customHeight="1" x14ac:dyDescent="0.2">
      <c r="A96" t="s">
        <v>1609</v>
      </c>
      <c r="B96" t="s">
        <v>1610</v>
      </c>
      <c r="C96" t="s">
        <v>1611</v>
      </c>
      <c r="D96" t="s">
        <v>1612</v>
      </c>
      <c r="E96" s="4" t="s">
        <v>1613</v>
      </c>
      <c r="F96" t="s">
        <v>1614</v>
      </c>
      <c r="G96" s="5">
        <v>44624</v>
      </c>
      <c r="H96" t="s">
        <v>1615</v>
      </c>
      <c r="I96" t="s">
        <v>241</v>
      </c>
      <c r="J96" t="s">
        <v>1103</v>
      </c>
      <c r="K96" t="s">
        <v>759</v>
      </c>
      <c r="L96">
        <v>847</v>
      </c>
      <c r="M96">
        <v>446</v>
      </c>
      <c r="N96">
        <v>1100</v>
      </c>
      <c r="O96">
        <v>725</v>
      </c>
      <c r="P96" t="s">
        <v>1616</v>
      </c>
      <c r="Q96" t="s">
        <v>1617</v>
      </c>
      <c r="R96" t="s">
        <v>762</v>
      </c>
      <c r="S96" t="s">
        <v>1618</v>
      </c>
      <c r="T96" t="s">
        <v>1194</v>
      </c>
      <c r="U96" t="s">
        <v>618</v>
      </c>
      <c r="V96" t="s">
        <v>130</v>
      </c>
      <c r="W96" t="s">
        <v>1619</v>
      </c>
      <c r="X96" t="s">
        <v>618</v>
      </c>
      <c r="Y96" t="s">
        <v>132</v>
      </c>
      <c r="Z96" t="s">
        <v>1620</v>
      </c>
      <c r="AA96" s="7" t="s">
        <v>1109</v>
      </c>
      <c r="AB96" s="7" t="s">
        <v>1621</v>
      </c>
      <c r="AC96" t="s">
        <v>1622</v>
      </c>
      <c r="AD96" s="7" t="s">
        <v>48</v>
      </c>
      <c r="AE96" s="7" t="s">
        <v>1623</v>
      </c>
    </row>
    <row r="97" spans="1:31" ht="14.25" customHeight="1" x14ac:dyDescent="0.2">
      <c r="A97" t="s">
        <v>1624</v>
      </c>
      <c r="B97" t="s">
        <v>1625</v>
      </c>
      <c r="C97" t="s">
        <v>1626</v>
      </c>
      <c r="D97" t="s">
        <v>1627</v>
      </c>
      <c r="E97" s="4" t="s">
        <v>1628</v>
      </c>
      <c r="F97" t="s">
        <v>1629</v>
      </c>
      <c r="G97" s="5">
        <v>44072</v>
      </c>
      <c r="H97" t="s">
        <v>1630</v>
      </c>
      <c r="I97" t="s">
        <v>121</v>
      </c>
      <c r="J97" t="s">
        <v>1103</v>
      </c>
      <c r="K97" t="s">
        <v>759</v>
      </c>
      <c r="L97">
        <v>766</v>
      </c>
      <c r="M97">
        <v>493</v>
      </c>
      <c r="N97">
        <v>1100</v>
      </c>
      <c r="O97">
        <v>725</v>
      </c>
      <c r="P97" t="s">
        <v>1631</v>
      </c>
      <c r="Q97" t="s">
        <v>1632</v>
      </c>
      <c r="R97" t="s">
        <v>762</v>
      </c>
      <c r="S97" t="s">
        <v>1193</v>
      </c>
      <c r="T97" t="s">
        <v>1194</v>
      </c>
      <c r="U97" t="s">
        <v>1633</v>
      </c>
      <c r="V97" t="s">
        <v>1320</v>
      </c>
      <c r="W97" t="s">
        <v>1634</v>
      </c>
      <c r="X97" t="s">
        <v>1635</v>
      </c>
      <c r="Y97" t="s">
        <v>1139</v>
      </c>
      <c r="Z97" t="s">
        <v>568</v>
      </c>
      <c r="AA97" s="7" t="s">
        <v>1109</v>
      </c>
      <c r="AB97" s="7" t="s">
        <v>1636</v>
      </c>
      <c r="AC97" t="s">
        <v>1637</v>
      </c>
      <c r="AD97" s="7" t="s">
        <v>137</v>
      </c>
      <c r="AE97" s="7" t="s">
        <v>1638</v>
      </c>
    </row>
    <row r="98" spans="1:31" ht="14.25" customHeight="1" x14ac:dyDescent="0.2">
      <c r="A98" t="s">
        <v>1639</v>
      </c>
      <c r="B98" t="s">
        <v>1640</v>
      </c>
      <c r="C98" t="s">
        <v>1641</v>
      </c>
      <c r="D98" t="s">
        <v>1642</v>
      </c>
      <c r="E98" s="4" t="s">
        <v>1643</v>
      </c>
      <c r="F98" t="s">
        <v>1644</v>
      </c>
      <c r="G98" s="5">
        <v>43865</v>
      </c>
      <c r="H98" t="s">
        <v>1645</v>
      </c>
      <c r="I98" t="s">
        <v>121</v>
      </c>
      <c r="J98" t="s">
        <v>1103</v>
      </c>
      <c r="K98" t="s">
        <v>759</v>
      </c>
      <c r="L98">
        <v>766</v>
      </c>
      <c r="M98">
        <v>493</v>
      </c>
      <c r="N98">
        <v>1100</v>
      </c>
      <c r="O98">
        <v>725</v>
      </c>
      <c r="P98" t="s">
        <v>1646</v>
      </c>
      <c r="Q98" t="s">
        <v>1647</v>
      </c>
      <c r="R98" t="s">
        <v>762</v>
      </c>
      <c r="S98" t="s">
        <v>1648</v>
      </c>
      <c r="T98" t="s">
        <v>795</v>
      </c>
      <c r="U98" t="s">
        <v>1649</v>
      </c>
      <c r="V98" t="s">
        <v>1320</v>
      </c>
      <c r="W98" t="s">
        <v>1650</v>
      </c>
      <c r="X98" t="s">
        <v>1651</v>
      </c>
      <c r="Y98" t="s">
        <v>1139</v>
      </c>
      <c r="Z98" t="s">
        <v>1652</v>
      </c>
      <c r="AA98" s="7" t="s">
        <v>1126</v>
      </c>
      <c r="AB98" s="7" t="s">
        <v>1653</v>
      </c>
      <c r="AC98" t="s">
        <v>177</v>
      </c>
      <c r="AD98" s="7" t="s">
        <v>341</v>
      </c>
      <c r="AE98" s="7" t="s">
        <v>1654</v>
      </c>
    </row>
    <row r="99" spans="1:31" ht="14.25" customHeight="1" x14ac:dyDescent="0.2">
      <c r="A99" t="s">
        <v>1655</v>
      </c>
      <c r="B99" t="s">
        <v>79</v>
      </c>
      <c r="C99" t="s">
        <v>1656</v>
      </c>
      <c r="D99" t="s">
        <v>1657</v>
      </c>
      <c r="E99" s="4" t="s">
        <v>1658</v>
      </c>
      <c r="F99" t="s">
        <v>1659</v>
      </c>
      <c r="G99" s="5">
        <v>43555</v>
      </c>
      <c r="H99" t="s">
        <v>1660</v>
      </c>
      <c r="I99" t="s">
        <v>260</v>
      </c>
      <c r="J99" t="s">
        <v>1103</v>
      </c>
      <c r="K99" t="s">
        <v>759</v>
      </c>
      <c r="L99">
        <v>966</v>
      </c>
      <c r="M99">
        <v>562</v>
      </c>
      <c r="N99">
        <v>1100</v>
      </c>
      <c r="O99">
        <v>725</v>
      </c>
      <c r="P99" t="s">
        <v>1661</v>
      </c>
      <c r="Q99" t="s">
        <v>1662</v>
      </c>
      <c r="R99" t="s">
        <v>762</v>
      </c>
      <c r="S99" t="s">
        <v>1245</v>
      </c>
      <c r="T99" t="s">
        <v>128</v>
      </c>
      <c r="U99" t="s">
        <v>1663</v>
      </c>
      <c r="V99" t="s">
        <v>132</v>
      </c>
      <c r="W99" t="s">
        <v>938</v>
      </c>
      <c r="X99" t="s">
        <v>1664</v>
      </c>
      <c r="Y99" t="s">
        <v>132</v>
      </c>
      <c r="Z99" t="s">
        <v>910</v>
      </c>
      <c r="AA99" s="7" t="s">
        <v>1109</v>
      </c>
      <c r="AB99" t="s">
        <v>1665</v>
      </c>
      <c r="AC99" s="7" t="s">
        <v>1666</v>
      </c>
      <c r="AD99" s="7" t="s">
        <v>137</v>
      </c>
      <c r="AE99" s="7" t="s">
        <v>23959</v>
      </c>
    </row>
    <row r="100" spans="1:31" ht="14.25" customHeight="1" x14ac:dyDescent="0.2">
      <c r="A100" t="s">
        <v>1667</v>
      </c>
      <c r="B100" t="s">
        <v>1668</v>
      </c>
      <c r="C100" t="s">
        <v>1669</v>
      </c>
      <c r="D100" t="s">
        <v>1670</v>
      </c>
      <c r="E100" s="4" t="s">
        <v>1671</v>
      </c>
      <c r="F100" t="s">
        <v>1672</v>
      </c>
      <c r="G100" s="5">
        <v>43451</v>
      </c>
      <c r="H100" t="s">
        <v>1673</v>
      </c>
      <c r="I100" t="s">
        <v>260</v>
      </c>
      <c r="J100" t="s">
        <v>1103</v>
      </c>
      <c r="K100" t="s">
        <v>759</v>
      </c>
      <c r="L100">
        <v>957</v>
      </c>
      <c r="M100">
        <v>557</v>
      </c>
      <c r="N100">
        <v>1100</v>
      </c>
      <c r="O100">
        <v>725</v>
      </c>
      <c r="P100" t="s">
        <v>1674</v>
      </c>
      <c r="Q100" t="s">
        <v>1675</v>
      </c>
      <c r="R100" t="s">
        <v>762</v>
      </c>
      <c r="S100" t="s">
        <v>1676</v>
      </c>
      <c r="T100" t="s">
        <v>1194</v>
      </c>
      <c r="U100" t="s">
        <v>938</v>
      </c>
      <c r="V100" t="s">
        <v>1139</v>
      </c>
      <c r="W100" t="s">
        <v>1670</v>
      </c>
      <c r="X100" t="s">
        <v>910</v>
      </c>
      <c r="Y100" t="s">
        <v>1139</v>
      </c>
      <c r="Z100" t="s">
        <v>1677</v>
      </c>
      <c r="AA100" s="7" t="s">
        <v>1109</v>
      </c>
      <c r="AB100" t="s">
        <v>1678</v>
      </c>
      <c r="AC100" t="s">
        <v>268</v>
      </c>
      <c r="AD100" s="7" t="s">
        <v>178</v>
      </c>
      <c r="AE100" s="7" t="s">
        <v>1679</v>
      </c>
    </row>
    <row r="101" spans="1:31" ht="14.25" customHeight="1" x14ac:dyDescent="0.2">
      <c r="A101" t="s">
        <v>1680</v>
      </c>
      <c r="B101" t="s">
        <v>1681</v>
      </c>
      <c r="C101" t="s">
        <v>1682</v>
      </c>
      <c r="D101" t="s">
        <v>1683</v>
      </c>
      <c r="E101" s="4" t="s">
        <v>1684</v>
      </c>
      <c r="F101" t="s">
        <v>1685</v>
      </c>
      <c r="G101" s="5">
        <v>43370</v>
      </c>
      <c r="H101" t="s">
        <v>276</v>
      </c>
      <c r="I101" t="s">
        <v>260</v>
      </c>
      <c r="J101" t="s">
        <v>1103</v>
      </c>
      <c r="K101" t="s">
        <v>759</v>
      </c>
      <c r="L101">
        <v>766</v>
      </c>
      <c r="M101">
        <v>446</v>
      </c>
      <c r="N101">
        <v>1100</v>
      </c>
      <c r="O101">
        <v>725</v>
      </c>
      <c r="P101" t="s">
        <v>1686</v>
      </c>
      <c r="Q101" t="s">
        <v>1687</v>
      </c>
      <c r="R101" t="s">
        <v>762</v>
      </c>
      <c r="S101" t="s">
        <v>1688</v>
      </c>
      <c r="T101" t="s">
        <v>128</v>
      </c>
      <c r="U101" t="s">
        <v>1689</v>
      </c>
      <c r="V101" t="s">
        <v>1180</v>
      </c>
      <c r="W101" t="s">
        <v>1496</v>
      </c>
      <c r="X101" t="s">
        <v>1690</v>
      </c>
      <c r="Y101" t="s">
        <v>1139</v>
      </c>
      <c r="Z101" t="s">
        <v>229</v>
      </c>
      <c r="AA101" s="7" t="s">
        <v>1109</v>
      </c>
      <c r="AB101" s="7" t="s">
        <v>1691</v>
      </c>
      <c r="AC101" t="s">
        <v>1692</v>
      </c>
      <c r="AD101" s="7" t="s">
        <v>48</v>
      </c>
      <c r="AE101" s="7" t="s">
        <v>1693</v>
      </c>
    </row>
    <row r="102" spans="1:31" ht="14.25" customHeight="1" x14ac:dyDescent="0.2">
      <c r="A102" t="s">
        <v>1694</v>
      </c>
      <c r="B102" t="s">
        <v>1695</v>
      </c>
      <c r="C102" t="s">
        <v>1696</v>
      </c>
      <c r="D102" t="s">
        <v>1697</v>
      </c>
      <c r="E102" s="4" t="s">
        <v>1698</v>
      </c>
      <c r="F102" t="s">
        <v>1699</v>
      </c>
      <c r="G102" s="5">
        <v>44650</v>
      </c>
      <c r="H102" t="s">
        <v>1700</v>
      </c>
      <c r="I102" t="s">
        <v>121</v>
      </c>
      <c r="J102" t="s">
        <v>1103</v>
      </c>
      <c r="K102" t="s">
        <v>839</v>
      </c>
      <c r="L102">
        <v>750</v>
      </c>
      <c r="M102">
        <v>511</v>
      </c>
      <c r="N102">
        <v>1100</v>
      </c>
      <c r="O102">
        <v>725</v>
      </c>
      <c r="P102" t="s">
        <v>1701</v>
      </c>
      <c r="Q102" t="s">
        <v>1702</v>
      </c>
      <c r="R102" t="s">
        <v>466</v>
      </c>
      <c r="S102" t="s">
        <v>1193</v>
      </c>
      <c r="T102" t="s">
        <v>1194</v>
      </c>
      <c r="U102" t="s">
        <v>1703</v>
      </c>
      <c r="V102" t="s">
        <v>1704</v>
      </c>
      <c r="W102" t="s">
        <v>1196</v>
      </c>
      <c r="X102" t="s">
        <v>1705</v>
      </c>
      <c r="Y102" t="s">
        <v>1704</v>
      </c>
      <c r="Z102" t="s">
        <v>1196</v>
      </c>
      <c r="AA102" s="7" t="s">
        <v>1109</v>
      </c>
      <c r="AB102" s="7" t="s">
        <v>1706</v>
      </c>
      <c r="AC102" t="s">
        <v>268</v>
      </c>
      <c r="AD102" s="7" t="s">
        <v>137</v>
      </c>
      <c r="AE102" s="7" t="s">
        <v>1707</v>
      </c>
    </row>
    <row r="103" spans="1:31" ht="14.25" customHeight="1" x14ac:dyDescent="0.2">
      <c r="A103" t="s">
        <v>1708</v>
      </c>
      <c r="B103" t="s">
        <v>1709</v>
      </c>
      <c r="C103" t="s">
        <v>1710</v>
      </c>
      <c r="D103" t="s">
        <v>1711</v>
      </c>
      <c r="E103" s="4" t="s">
        <v>1712</v>
      </c>
      <c r="F103" t="s">
        <v>1713</v>
      </c>
      <c r="G103" s="5">
        <v>44592</v>
      </c>
      <c r="H103" t="s">
        <v>1714</v>
      </c>
      <c r="I103" t="s">
        <v>260</v>
      </c>
      <c r="J103" t="s">
        <v>1103</v>
      </c>
      <c r="K103" t="s">
        <v>839</v>
      </c>
      <c r="L103">
        <v>789</v>
      </c>
      <c r="M103">
        <v>486</v>
      </c>
      <c r="N103">
        <v>1100</v>
      </c>
      <c r="O103">
        <v>725</v>
      </c>
      <c r="P103" t="s">
        <v>1715</v>
      </c>
      <c r="Q103" t="s">
        <v>1716</v>
      </c>
      <c r="R103" t="s">
        <v>842</v>
      </c>
      <c r="S103" t="s">
        <v>1717</v>
      </c>
      <c r="T103" t="s">
        <v>1718</v>
      </c>
      <c r="U103" t="s">
        <v>1719</v>
      </c>
      <c r="V103" t="s">
        <v>1720</v>
      </c>
      <c r="W103" t="s">
        <v>1721</v>
      </c>
      <c r="X103" t="s">
        <v>1719</v>
      </c>
      <c r="Y103" t="s">
        <v>1216</v>
      </c>
      <c r="Z103" t="s">
        <v>1722</v>
      </c>
      <c r="AA103" s="7" t="s">
        <v>1109</v>
      </c>
      <c r="AB103" s="7" t="s">
        <v>1723</v>
      </c>
      <c r="AC103" t="s">
        <v>268</v>
      </c>
      <c r="AD103" s="7" t="s">
        <v>137</v>
      </c>
      <c r="AE103" s="7" t="s">
        <v>1724</v>
      </c>
    </row>
    <row r="104" spans="1:31" ht="14.25" customHeight="1" x14ac:dyDescent="0.2">
      <c r="A104" t="s">
        <v>1725</v>
      </c>
      <c r="B104" t="s">
        <v>1726</v>
      </c>
      <c r="C104" t="s">
        <v>1727</v>
      </c>
      <c r="D104" t="s">
        <v>1728</v>
      </c>
      <c r="E104" s="4" t="s">
        <v>1729</v>
      </c>
      <c r="F104" t="s">
        <v>1730</v>
      </c>
      <c r="G104" s="5">
        <v>44165</v>
      </c>
      <c r="H104" t="s">
        <v>1731</v>
      </c>
      <c r="I104" t="s">
        <v>121</v>
      </c>
      <c r="J104" t="s">
        <v>1103</v>
      </c>
      <c r="K104" t="s">
        <v>839</v>
      </c>
      <c r="L104">
        <v>712</v>
      </c>
      <c r="M104">
        <v>485</v>
      </c>
      <c r="N104">
        <v>1100</v>
      </c>
      <c r="O104">
        <v>725</v>
      </c>
      <c r="P104" t="s">
        <v>1732</v>
      </c>
      <c r="Q104" t="s">
        <v>1733</v>
      </c>
      <c r="R104" t="s">
        <v>842</v>
      </c>
      <c r="S104" t="s">
        <v>1193</v>
      </c>
      <c r="T104" t="s">
        <v>1194</v>
      </c>
      <c r="U104" t="s">
        <v>1734</v>
      </c>
      <c r="V104" t="s">
        <v>130</v>
      </c>
      <c r="W104" t="s">
        <v>1735</v>
      </c>
      <c r="X104" t="s">
        <v>1736</v>
      </c>
      <c r="Y104" t="s">
        <v>132</v>
      </c>
      <c r="Z104" t="s">
        <v>174</v>
      </c>
      <c r="AA104" s="7" t="s">
        <v>1126</v>
      </c>
      <c r="AB104" s="7" t="s">
        <v>1737</v>
      </c>
      <c r="AC104" t="s">
        <v>1738</v>
      </c>
      <c r="AD104" s="7" t="s">
        <v>137</v>
      </c>
      <c r="AE104" s="7" t="s">
        <v>1739</v>
      </c>
    </row>
    <row r="105" spans="1:31" ht="14.25" customHeight="1" x14ac:dyDescent="0.2">
      <c r="A105" t="s">
        <v>1740</v>
      </c>
      <c r="B105" t="s">
        <v>1741</v>
      </c>
      <c r="C105" t="s">
        <v>1742</v>
      </c>
      <c r="D105" t="s">
        <v>1743</v>
      </c>
      <c r="E105" s="4" t="s">
        <v>1744</v>
      </c>
      <c r="F105" t="s">
        <v>1745</v>
      </c>
      <c r="G105" s="5">
        <v>43963</v>
      </c>
      <c r="H105" t="s">
        <v>1746</v>
      </c>
      <c r="I105" t="s">
        <v>121</v>
      </c>
      <c r="J105" t="s">
        <v>1103</v>
      </c>
      <c r="K105" t="s">
        <v>839</v>
      </c>
      <c r="L105">
        <v>750</v>
      </c>
      <c r="M105">
        <v>511</v>
      </c>
      <c r="N105">
        <v>1100</v>
      </c>
      <c r="O105">
        <v>725</v>
      </c>
      <c r="P105" t="s">
        <v>1747</v>
      </c>
      <c r="Q105" t="s">
        <v>1748</v>
      </c>
      <c r="R105" t="s">
        <v>842</v>
      </c>
      <c r="S105" t="s">
        <v>1318</v>
      </c>
      <c r="T105" t="s">
        <v>280</v>
      </c>
      <c r="U105" t="s">
        <v>1749</v>
      </c>
      <c r="V105" t="s">
        <v>1320</v>
      </c>
      <c r="W105" t="s">
        <v>668</v>
      </c>
      <c r="X105" t="s">
        <v>1750</v>
      </c>
      <c r="Y105" t="s">
        <v>1139</v>
      </c>
      <c r="Z105" t="s">
        <v>670</v>
      </c>
      <c r="AA105" s="7" t="s">
        <v>1109</v>
      </c>
      <c r="AB105" s="7" t="s">
        <v>357</v>
      </c>
      <c r="AC105" t="s">
        <v>1751</v>
      </c>
      <c r="AD105" s="7" t="s">
        <v>48</v>
      </c>
      <c r="AE105" s="7" t="s">
        <v>1752</v>
      </c>
    </row>
    <row r="106" spans="1:31" ht="14.25" customHeight="1" x14ac:dyDescent="0.2">
      <c r="A106" t="s">
        <v>1753</v>
      </c>
      <c r="B106" t="s">
        <v>1754</v>
      </c>
      <c r="C106" t="s">
        <v>1755</v>
      </c>
      <c r="D106" t="s">
        <v>1756</v>
      </c>
      <c r="E106" s="4" t="s">
        <v>1757</v>
      </c>
      <c r="F106" t="s">
        <v>1758</v>
      </c>
      <c r="G106" s="5">
        <v>43377</v>
      </c>
      <c r="H106" t="s">
        <v>1759</v>
      </c>
      <c r="I106" t="s">
        <v>121</v>
      </c>
      <c r="J106" t="s">
        <v>1103</v>
      </c>
      <c r="K106" t="s">
        <v>839</v>
      </c>
      <c r="L106">
        <v>899</v>
      </c>
      <c r="M106">
        <v>613</v>
      </c>
      <c r="N106">
        <v>1100</v>
      </c>
      <c r="O106">
        <v>725</v>
      </c>
      <c r="P106" t="s">
        <v>1760</v>
      </c>
      <c r="Q106" t="s">
        <v>1761</v>
      </c>
      <c r="R106" t="s">
        <v>842</v>
      </c>
      <c r="S106" t="s">
        <v>1193</v>
      </c>
      <c r="T106" t="s">
        <v>1194</v>
      </c>
      <c r="U106" t="s">
        <v>973</v>
      </c>
      <c r="V106" t="s">
        <v>1139</v>
      </c>
      <c r="W106" t="s">
        <v>670</v>
      </c>
      <c r="X106" t="s">
        <v>1762</v>
      </c>
      <c r="Y106" t="s">
        <v>1139</v>
      </c>
      <c r="Z106" t="s">
        <v>670</v>
      </c>
      <c r="AA106" s="7" t="s">
        <v>1109</v>
      </c>
      <c r="AB106" s="7" t="s">
        <v>1763</v>
      </c>
      <c r="AC106" t="s">
        <v>1764</v>
      </c>
      <c r="AD106" s="7" t="s">
        <v>137</v>
      </c>
      <c r="AE106" s="7" t="s">
        <v>1765</v>
      </c>
    </row>
    <row r="107" spans="1:31" ht="14.25" customHeight="1" x14ac:dyDescent="0.2">
      <c r="A107" t="s">
        <v>1766</v>
      </c>
      <c r="B107" t="s">
        <v>1767</v>
      </c>
      <c r="C107" t="s">
        <v>1768</v>
      </c>
      <c r="D107" t="s">
        <v>1769</v>
      </c>
      <c r="E107" s="4" t="s">
        <v>1770</v>
      </c>
      <c r="F107" t="s">
        <v>1771</v>
      </c>
      <c r="G107" s="5">
        <v>43889</v>
      </c>
      <c r="H107" t="s">
        <v>1772</v>
      </c>
      <c r="I107" t="s">
        <v>260</v>
      </c>
      <c r="J107" t="s">
        <v>1103</v>
      </c>
      <c r="K107" t="s">
        <v>839</v>
      </c>
      <c r="L107">
        <v>766</v>
      </c>
      <c r="M107">
        <v>471</v>
      </c>
      <c r="N107">
        <v>1100</v>
      </c>
      <c r="O107">
        <v>725</v>
      </c>
      <c r="P107" t="s">
        <v>1773</v>
      </c>
      <c r="Q107" t="s">
        <v>1774</v>
      </c>
      <c r="R107" t="s">
        <v>842</v>
      </c>
      <c r="S107" t="s">
        <v>1775</v>
      </c>
      <c r="T107" t="s">
        <v>280</v>
      </c>
      <c r="U107" t="s">
        <v>1776</v>
      </c>
      <c r="V107" t="s">
        <v>1320</v>
      </c>
      <c r="W107" t="s">
        <v>1777</v>
      </c>
      <c r="X107" t="s">
        <v>1778</v>
      </c>
      <c r="Y107" t="s">
        <v>1139</v>
      </c>
      <c r="Z107" t="s">
        <v>1779</v>
      </c>
      <c r="AA107" s="7" t="s">
        <v>1126</v>
      </c>
      <c r="AB107" t="s">
        <v>1780</v>
      </c>
      <c r="AC107" s="7" t="s">
        <v>1666</v>
      </c>
      <c r="AD107" s="7" t="s">
        <v>137</v>
      </c>
      <c r="AE107" s="7" t="s">
        <v>1781</v>
      </c>
    </row>
    <row r="108" spans="1:31" ht="14.25" customHeight="1" x14ac:dyDescent="0.2">
      <c r="A108" t="s">
        <v>1782</v>
      </c>
      <c r="B108" t="s">
        <v>1783</v>
      </c>
      <c r="C108" t="s">
        <v>1784</v>
      </c>
      <c r="D108" t="s">
        <v>1785</v>
      </c>
      <c r="E108" s="4" t="s">
        <v>1786</v>
      </c>
      <c r="F108" t="s">
        <v>1787</v>
      </c>
      <c r="G108" s="5">
        <v>43677</v>
      </c>
      <c r="H108" t="s">
        <v>1788</v>
      </c>
      <c r="I108" t="s">
        <v>260</v>
      </c>
      <c r="J108" t="s">
        <v>1103</v>
      </c>
      <c r="K108" t="s">
        <v>839</v>
      </c>
      <c r="L108">
        <v>766</v>
      </c>
      <c r="M108">
        <v>471</v>
      </c>
      <c r="N108">
        <v>1100</v>
      </c>
      <c r="O108">
        <v>725</v>
      </c>
      <c r="P108" t="s">
        <v>1789</v>
      </c>
      <c r="Q108" t="s">
        <v>1790</v>
      </c>
      <c r="R108" t="s">
        <v>842</v>
      </c>
      <c r="S108" t="s">
        <v>1364</v>
      </c>
      <c r="T108" t="s">
        <v>862</v>
      </c>
      <c r="U108" t="s">
        <v>733</v>
      </c>
      <c r="V108" t="s">
        <v>318</v>
      </c>
      <c r="W108" t="s">
        <v>924</v>
      </c>
      <c r="X108" t="s">
        <v>518</v>
      </c>
      <c r="Y108" t="s">
        <v>132</v>
      </c>
      <c r="Z108" t="s">
        <v>1140</v>
      </c>
      <c r="AA108" s="7" t="s">
        <v>1126</v>
      </c>
      <c r="AB108" s="7" t="s">
        <v>1791</v>
      </c>
      <c r="AC108" s="7" t="s">
        <v>1792</v>
      </c>
      <c r="AD108" s="7" t="s">
        <v>178</v>
      </c>
      <c r="AE108" s="7" t="s">
        <v>1793</v>
      </c>
    </row>
    <row r="109" spans="1:31" ht="14.25" customHeight="1" x14ac:dyDescent="0.2">
      <c r="A109" t="s">
        <v>1794</v>
      </c>
      <c r="B109" t="s">
        <v>1795</v>
      </c>
      <c r="C109" t="s">
        <v>1796</v>
      </c>
      <c r="D109" t="s">
        <v>1797</v>
      </c>
      <c r="E109" s="4" t="s">
        <v>1798</v>
      </c>
      <c r="F109" t="s">
        <v>1799</v>
      </c>
      <c r="G109" s="5">
        <v>43451</v>
      </c>
      <c r="H109" t="s">
        <v>1800</v>
      </c>
      <c r="I109" t="s">
        <v>121</v>
      </c>
      <c r="J109" t="s">
        <v>1103</v>
      </c>
      <c r="K109" t="s">
        <v>839</v>
      </c>
      <c r="L109">
        <v>742</v>
      </c>
      <c r="M109">
        <v>505</v>
      </c>
      <c r="N109">
        <v>1100</v>
      </c>
      <c r="O109">
        <v>725</v>
      </c>
      <c r="P109" t="s">
        <v>1801</v>
      </c>
      <c r="Q109" t="s">
        <v>1802</v>
      </c>
      <c r="R109" t="s">
        <v>842</v>
      </c>
      <c r="S109" t="s">
        <v>1676</v>
      </c>
      <c r="T109" t="s">
        <v>1194</v>
      </c>
      <c r="U109" t="s">
        <v>1803</v>
      </c>
      <c r="V109" t="s">
        <v>130</v>
      </c>
      <c r="W109" t="s">
        <v>1804</v>
      </c>
      <c r="X109" t="s">
        <v>1805</v>
      </c>
      <c r="Y109" t="s">
        <v>132</v>
      </c>
      <c r="Z109" t="s">
        <v>319</v>
      </c>
      <c r="AA109" s="7" t="s">
        <v>1351</v>
      </c>
      <c r="AB109" s="7" t="s">
        <v>1806</v>
      </c>
      <c r="AC109" t="s">
        <v>1807</v>
      </c>
      <c r="AD109" s="7" t="s">
        <v>137</v>
      </c>
      <c r="AE109" s="7" t="s">
        <v>1808</v>
      </c>
    </row>
    <row r="110" spans="1:31" ht="14.25" customHeight="1" x14ac:dyDescent="0.2">
      <c r="A110" t="s">
        <v>1809</v>
      </c>
      <c r="B110" t="s">
        <v>1810</v>
      </c>
      <c r="C110" t="s">
        <v>1811</v>
      </c>
      <c r="D110" t="s">
        <v>1812</v>
      </c>
      <c r="E110" s="4" t="s">
        <v>1813</v>
      </c>
      <c r="F110" t="s">
        <v>1814</v>
      </c>
      <c r="G110" s="5">
        <v>44484</v>
      </c>
      <c r="H110" s="181" t="s">
        <v>1815</v>
      </c>
      <c r="I110" t="s">
        <v>967</v>
      </c>
      <c r="J110" t="s">
        <v>1103</v>
      </c>
      <c r="K110" t="s">
        <v>949</v>
      </c>
      <c r="L110">
        <v>809</v>
      </c>
      <c r="M110">
        <v>467</v>
      </c>
      <c r="N110">
        <v>1100</v>
      </c>
      <c r="O110">
        <v>725</v>
      </c>
      <c r="P110" t="s">
        <v>1816</v>
      </c>
      <c r="Q110" t="s">
        <v>1817</v>
      </c>
      <c r="R110" t="s">
        <v>970</v>
      </c>
      <c r="S110" t="s">
        <v>1818</v>
      </c>
      <c r="T110" t="s">
        <v>1819</v>
      </c>
      <c r="U110" t="s">
        <v>1820</v>
      </c>
      <c r="V110" t="s">
        <v>130</v>
      </c>
      <c r="W110" t="s">
        <v>1821</v>
      </c>
      <c r="X110" t="s">
        <v>1822</v>
      </c>
      <c r="Y110" t="s">
        <v>132</v>
      </c>
      <c r="Z110" t="s">
        <v>1821</v>
      </c>
      <c r="AA110" s="7" t="s">
        <v>1198</v>
      </c>
      <c r="AB110" s="7" t="s">
        <v>1763</v>
      </c>
      <c r="AC110" t="s">
        <v>268</v>
      </c>
      <c r="AD110" s="7" t="s">
        <v>1823</v>
      </c>
      <c r="AE110" s="7" t="s">
        <v>1824</v>
      </c>
    </row>
    <row r="111" spans="1:31" ht="14.25" customHeight="1" x14ac:dyDescent="0.2">
      <c r="A111" t="s">
        <v>1825</v>
      </c>
      <c r="B111" t="s">
        <v>1826</v>
      </c>
      <c r="C111" t="s">
        <v>1827</v>
      </c>
      <c r="D111" t="s">
        <v>1828</v>
      </c>
      <c r="E111" s="4" t="s">
        <v>1829</v>
      </c>
      <c r="F111" t="s">
        <v>1830</v>
      </c>
      <c r="G111" s="5">
        <v>44180</v>
      </c>
      <c r="H111" t="s">
        <v>1831</v>
      </c>
      <c r="I111" t="s">
        <v>967</v>
      </c>
      <c r="J111" t="s">
        <v>1103</v>
      </c>
      <c r="K111" t="s">
        <v>949</v>
      </c>
      <c r="L111">
        <v>809</v>
      </c>
      <c r="M111">
        <v>467</v>
      </c>
      <c r="N111">
        <v>1100</v>
      </c>
      <c r="O111">
        <v>725</v>
      </c>
      <c r="P111" t="s">
        <v>1832</v>
      </c>
      <c r="Q111" t="s">
        <v>1833</v>
      </c>
      <c r="R111" t="s">
        <v>970</v>
      </c>
      <c r="S111" t="s">
        <v>1834</v>
      </c>
      <c r="T111" t="s">
        <v>128</v>
      </c>
      <c r="U111" t="s">
        <v>1835</v>
      </c>
      <c r="V111" t="s">
        <v>1836</v>
      </c>
      <c r="W111" t="s">
        <v>973</v>
      </c>
      <c r="X111" t="s">
        <v>1837</v>
      </c>
      <c r="Y111" t="s">
        <v>1216</v>
      </c>
      <c r="Z111" t="s">
        <v>154</v>
      </c>
      <c r="AA111" s="7" t="s">
        <v>974</v>
      </c>
      <c r="AB111" s="7" t="s">
        <v>1838</v>
      </c>
      <c r="AC111" t="s">
        <v>268</v>
      </c>
      <c r="AD111" s="7" t="s">
        <v>1823</v>
      </c>
      <c r="AE111" s="7" t="s">
        <v>1839</v>
      </c>
    </row>
    <row r="112" spans="1:31" ht="14.25" customHeight="1" x14ac:dyDescent="0.2">
      <c r="A112" t="s">
        <v>1840</v>
      </c>
      <c r="B112" t="s">
        <v>1841</v>
      </c>
      <c r="C112" t="s">
        <v>1842</v>
      </c>
      <c r="D112" t="s">
        <v>1843</v>
      </c>
      <c r="E112" s="4" t="s">
        <v>1844</v>
      </c>
      <c r="F112" t="s">
        <v>1845</v>
      </c>
      <c r="G112" s="5">
        <v>43801</v>
      </c>
      <c r="H112" t="s">
        <v>1846</v>
      </c>
      <c r="I112" t="s">
        <v>967</v>
      </c>
      <c r="J112" t="s">
        <v>1103</v>
      </c>
      <c r="K112" t="s">
        <v>949</v>
      </c>
      <c r="L112">
        <v>809</v>
      </c>
      <c r="M112">
        <v>467</v>
      </c>
      <c r="N112">
        <v>1100</v>
      </c>
      <c r="O112">
        <v>725</v>
      </c>
      <c r="P112" t="s">
        <v>1847</v>
      </c>
      <c r="Q112" t="s">
        <v>1848</v>
      </c>
      <c r="R112" t="s">
        <v>970</v>
      </c>
      <c r="S112" t="s">
        <v>1849</v>
      </c>
      <c r="T112" t="s">
        <v>190</v>
      </c>
      <c r="U112" t="s">
        <v>668</v>
      </c>
      <c r="V112" t="s">
        <v>1320</v>
      </c>
      <c r="W112" t="s">
        <v>1850</v>
      </c>
      <c r="X112" t="s">
        <v>1851</v>
      </c>
      <c r="Y112" t="s">
        <v>1139</v>
      </c>
      <c r="Z112" t="s">
        <v>1031</v>
      </c>
      <c r="AA112" s="7" t="s">
        <v>974</v>
      </c>
      <c r="AB112" s="7" t="s">
        <v>1852</v>
      </c>
      <c r="AC112" t="s">
        <v>1017</v>
      </c>
      <c r="AD112" s="7" t="s">
        <v>137</v>
      </c>
      <c r="AE112" s="7" t="s">
        <v>1853</v>
      </c>
    </row>
    <row r="113" spans="1:31" ht="14.25" customHeight="1" x14ac:dyDescent="0.2">
      <c r="A113" t="s">
        <v>1854</v>
      </c>
      <c r="B113" t="s">
        <v>1855</v>
      </c>
      <c r="C113" t="s">
        <v>1856</v>
      </c>
      <c r="D113" t="s">
        <v>1857</v>
      </c>
      <c r="E113" s="4" t="s">
        <v>1858</v>
      </c>
      <c r="F113" t="s">
        <v>1859</v>
      </c>
      <c r="G113" s="5">
        <v>43616</v>
      </c>
      <c r="H113" t="s">
        <v>1860</v>
      </c>
      <c r="I113" t="s">
        <v>967</v>
      </c>
      <c r="J113" t="s">
        <v>1103</v>
      </c>
      <c r="K113" t="s">
        <v>949</v>
      </c>
      <c r="L113">
        <v>940</v>
      </c>
      <c r="M113">
        <v>542</v>
      </c>
      <c r="N113">
        <v>1100</v>
      </c>
      <c r="O113">
        <v>725</v>
      </c>
      <c r="P113" t="s">
        <v>1861</v>
      </c>
      <c r="Q113" t="s">
        <v>1862</v>
      </c>
      <c r="R113" t="s">
        <v>970</v>
      </c>
      <c r="S113" t="s">
        <v>1775</v>
      </c>
      <c r="T113" t="s">
        <v>280</v>
      </c>
      <c r="U113" t="s">
        <v>1857</v>
      </c>
      <c r="V113" t="s">
        <v>132</v>
      </c>
      <c r="W113" t="s">
        <v>1863</v>
      </c>
      <c r="X113" t="s">
        <v>1864</v>
      </c>
      <c r="Y113" t="s">
        <v>132</v>
      </c>
      <c r="Z113" t="s">
        <v>319</v>
      </c>
      <c r="AA113" s="7" t="s">
        <v>974</v>
      </c>
      <c r="AB113" s="7" t="s">
        <v>1865</v>
      </c>
      <c r="AC113" t="s">
        <v>268</v>
      </c>
      <c r="AD113" s="7" t="s">
        <v>178</v>
      </c>
      <c r="AE113" s="7" t="s">
        <v>1866</v>
      </c>
    </row>
    <row r="114" spans="1:31" ht="14.25" customHeight="1" x14ac:dyDescent="0.2">
      <c r="A114" t="s">
        <v>1867</v>
      </c>
      <c r="B114" t="s">
        <v>1868</v>
      </c>
      <c r="C114" t="s">
        <v>1869</v>
      </c>
      <c r="D114" t="s">
        <v>1870</v>
      </c>
      <c r="E114" s="4" t="s">
        <v>1871</v>
      </c>
      <c r="F114" t="s">
        <v>1872</v>
      </c>
      <c r="G114" s="5">
        <v>43370</v>
      </c>
      <c r="H114" s="181" t="s">
        <v>1873</v>
      </c>
      <c r="I114" t="s">
        <v>967</v>
      </c>
      <c r="J114" t="s">
        <v>1103</v>
      </c>
      <c r="K114" t="s">
        <v>949</v>
      </c>
      <c r="L114">
        <v>784</v>
      </c>
      <c r="M114">
        <v>452</v>
      </c>
      <c r="N114">
        <v>1100</v>
      </c>
      <c r="O114">
        <v>725</v>
      </c>
      <c r="P114" t="s">
        <v>1874</v>
      </c>
      <c r="Q114" t="s">
        <v>1875</v>
      </c>
      <c r="R114" t="s">
        <v>970</v>
      </c>
      <c r="S114" t="s">
        <v>1876</v>
      </c>
      <c r="T114" t="s">
        <v>128</v>
      </c>
      <c r="U114" t="s">
        <v>1877</v>
      </c>
      <c r="V114" t="s">
        <v>1320</v>
      </c>
      <c r="W114" t="s">
        <v>617</v>
      </c>
      <c r="X114" t="s">
        <v>1878</v>
      </c>
      <c r="Y114" t="s">
        <v>1139</v>
      </c>
      <c r="Z114" t="s">
        <v>1031</v>
      </c>
      <c r="AA114" s="7" t="s">
        <v>974</v>
      </c>
      <c r="AB114" s="7" t="s">
        <v>357</v>
      </c>
      <c r="AC114" t="s">
        <v>1017</v>
      </c>
      <c r="AD114" s="7" t="s">
        <v>137</v>
      </c>
      <c r="AE114" s="7" t="s">
        <v>1879</v>
      </c>
    </row>
    <row r="115" spans="1:31" ht="14.25" customHeight="1" x14ac:dyDescent="0.2">
      <c r="A115" t="s">
        <v>1880</v>
      </c>
      <c r="B115" t="s">
        <v>1881</v>
      </c>
      <c r="C115" t="s">
        <v>1882</v>
      </c>
      <c r="D115" t="s">
        <v>1883</v>
      </c>
      <c r="E115" s="4" t="s">
        <v>1884</v>
      </c>
      <c r="F115" t="s">
        <v>1885</v>
      </c>
      <c r="G115" s="5">
        <v>43370</v>
      </c>
      <c r="H115" t="s">
        <v>276</v>
      </c>
      <c r="I115" t="s">
        <v>967</v>
      </c>
      <c r="J115" t="s">
        <v>1103</v>
      </c>
      <c r="K115" t="s">
        <v>949</v>
      </c>
      <c r="L115">
        <v>921</v>
      </c>
      <c r="M115">
        <v>532</v>
      </c>
      <c r="N115">
        <v>1100</v>
      </c>
      <c r="O115">
        <v>725</v>
      </c>
      <c r="P115" t="s">
        <v>1886</v>
      </c>
      <c r="Q115" t="s">
        <v>1887</v>
      </c>
      <c r="R115" t="s">
        <v>970</v>
      </c>
      <c r="S115" t="s">
        <v>1888</v>
      </c>
      <c r="T115" t="s">
        <v>315</v>
      </c>
      <c r="U115" t="s">
        <v>1889</v>
      </c>
      <c r="V115" t="s">
        <v>317</v>
      </c>
      <c r="W115" t="s">
        <v>318</v>
      </c>
      <c r="X115" t="s">
        <v>1890</v>
      </c>
      <c r="Y115" t="s">
        <v>132</v>
      </c>
      <c r="Z115" t="s">
        <v>1366</v>
      </c>
      <c r="AA115" s="7" t="s">
        <v>974</v>
      </c>
      <c r="AB115" s="7" t="s">
        <v>1891</v>
      </c>
      <c r="AC115" t="s">
        <v>268</v>
      </c>
      <c r="AD115" s="7" t="s">
        <v>1892</v>
      </c>
      <c r="AE115" s="7" t="s">
        <v>1893</v>
      </c>
    </row>
    <row r="116" spans="1:31" ht="14.25" customHeight="1" x14ac:dyDescent="0.2">
      <c r="A116" t="s">
        <v>1894</v>
      </c>
      <c r="B116" t="s">
        <v>1895</v>
      </c>
      <c r="C116" t="s">
        <v>1896</v>
      </c>
      <c r="D116" t="s">
        <v>1897</v>
      </c>
      <c r="E116" s="4" t="s">
        <v>1898</v>
      </c>
      <c r="F116" t="s">
        <v>1899</v>
      </c>
      <c r="G116" s="5">
        <v>44344</v>
      </c>
      <c r="H116" t="s">
        <v>1900</v>
      </c>
      <c r="I116" t="s">
        <v>121</v>
      </c>
      <c r="J116" t="s">
        <v>1103</v>
      </c>
      <c r="K116" t="s">
        <v>1054</v>
      </c>
      <c r="L116">
        <v>757</v>
      </c>
      <c r="M116">
        <v>503</v>
      </c>
      <c r="N116">
        <v>1100</v>
      </c>
      <c r="O116">
        <v>725</v>
      </c>
      <c r="P116" t="s">
        <v>1901</v>
      </c>
      <c r="Q116" t="s">
        <v>1902</v>
      </c>
      <c r="R116" t="s">
        <v>1057</v>
      </c>
      <c r="S116" t="s">
        <v>1648</v>
      </c>
      <c r="T116" t="s">
        <v>795</v>
      </c>
      <c r="U116" t="s">
        <v>1903</v>
      </c>
      <c r="V116" t="s">
        <v>130</v>
      </c>
      <c r="W116" t="s">
        <v>1904</v>
      </c>
      <c r="X116" t="s">
        <v>1905</v>
      </c>
      <c r="Y116" t="s">
        <v>132</v>
      </c>
      <c r="Z116" t="s">
        <v>1605</v>
      </c>
      <c r="AA116" s="7" t="s">
        <v>1109</v>
      </c>
      <c r="AB116" s="7" t="s">
        <v>1906</v>
      </c>
      <c r="AC116" t="s">
        <v>1907</v>
      </c>
      <c r="AD116" s="7" t="s">
        <v>137</v>
      </c>
      <c r="AE116" s="7" t="s">
        <v>1908</v>
      </c>
    </row>
    <row r="117" spans="1:31" ht="14.25" customHeight="1" x14ac:dyDescent="0.2">
      <c r="A117" t="s">
        <v>1909</v>
      </c>
      <c r="B117" t="s">
        <v>1910</v>
      </c>
      <c r="C117" t="s">
        <v>1911</v>
      </c>
      <c r="D117" t="s">
        <v>1912</v>
      </c>
      <c r="E117" s="4" t="s">
        <v>1913</v>
      </c>
      <c r="F117" t="s">
        <v>1914</v>
      </c>
      <c r="G117" s="5">
        <v>44203</v>
      </c>
      <c r="H117" t="s">
        <v>1915</v>
      </c>
      <c r="I117" t="s">
        <v>121</v>
      </c>
      <c r="J117" t="s">
        <v>1103</v>
      </c>
      <c r="K117" t="s">
        <v>1054</v>
      </c>
      <c r="L117">
        <v>757</v>
      </c>
      <c r="M117">
        <v>503</v>
      </c>
      <c r="N117">
        <v>1100</v>
      </c>
      <c r="O117">
        <v>725</v>
      </c>
      <c r="P117" t="s">
        <v>1916</v>
      </c>
      <c r="Q117" t="s">
        <v>1917</v>
      </c>
      <c r="R117" t="s">
        <v>1057</v>
      </c>
      <c r="S117" t="s">
        <v>1918</v>
      </c>
      <c r="T117" t="s">
        <v>128</v>
      </c>
      <c r="U117" t="s">
        <v>1919</v>
      </c>
      <c r="V117" t="s">
        <v>130</v>
      </c>
      <c r="W117" t="s">
        <v>354</v>
      </c>
      <c r="X117" t="s">
        <v>1920</v>
      </c>
      <c r="Y117" t="s">
        <v>132</v>
      </c>
      <c r="Z117" t="s">
        <v>229</v>
      </c>
      <c r="AA117" s="7" t="s">
        <v>1126</v>
      </c>
      <c r="AB117" s="7" t="s">
        <v>1921</v>
      </c>
      <c r="AC117" t="s">
        <v>1922</v>
      </c>
      <c r="AD117" s="7" t="s">
        <v>137</v>
      </c>
      <c r="AE117" s="7" t="s">
        <v>1923</v>
      </c>
    </row>
    <row r="118" spans="1:31" ht="14.25" customHeight="1" x14ac:dyDescent="0.2">
      <c r="A118" t="s">
        <v>1924</v>
      </c>
      <c r="B118" t="s">
        <v>1925</v>
      </c>
      <c r="C118" t="s">
        <v>1926</v>
      </c>
      <c r="D118" t="s">
        <v>1927</v>
      </c>
      <c r="E118" s="4" t="s">
        <v>1928</v>
      </c>
      <c r="F118" t="s">
        <v>1929</v>
      </c>
      <c r="G118" s="5">
        <v>44134</v>
      </c>
      <c r="H118" t="s">
        <v>1930</v>
      </c>
      <c r="I118" t="s">
        <v>121</v>
      </c>
      <c r="J118" t="s">
        <v>1103</v>
      </c>
      <c r="K118" t="s">
        <v>1054</v>
      </c>
      <c r="L118">
        <v>757</v>
      </c>
      <c r="M118">
        <v>503</v>
      </c>
      <c r="N118">
        <v>1100</v>
      </c>
      <c r="O118">
        <v>725</v>
      </c>
      <c r="P118" t="s">
        <v>1931</v>
      </c>
      <c r="Q118" t="s">
        <v>1932</v>
      </c>
      <c r="R118" t="s">
        <v>1057</v>
      </c>
      <c r="S118" t="s">
        <v>1245</v>
      </c>
      <c r="T118" t="s">
        <v>128</v>
      </c>
      <c r="U118" t="s">
        <v>1933</v>
      </c>
      <c r="V118" t="s">
        <v>130</v>
      </c>
      <c r="W118" t="s">
        <v>1934</v>
      </c>
      <c r="X118" t="s">
        <v>1935</v>
      </c>
      <c r="Y118" t="s">
        <v>132</v>
      </c>
      <c r="Z118" t="s">
        <v>1936</v>
      </c>
      <c r="AA118" s="7" t="s">
        <v>1126</v>
      </c>
      <c r="AB118" s="7" t="s">
        <v>1937</v>
      </c>
      <c r="AC118" t="s">
        <v>1938</v>
      </c>
      <c r="AD118" s="7" t="s">
        <v>137</v>
      </c>
      <c r="AE118" s="7" t="s">
        <v>1939</v>
      </c>
    </row>
    <row r="119" spans="1:31" ht="14.25" customHeight="1" x14ac:dyDescent="0.2">
      <c r="A119" t="s">
        <v>1940</v>
      </c>
      <c r="B119" t="s">
        <v>1941</v>
      </c>
      <c r="C119" t="s">
        <v>1942</v>
      </c>
      <c r="D119" t="s">
        <v>1943</v>
      </c>
      <c r="E119" s="4" t="s">
        <v>1944</v>
      </c>
      <c r="F119" t="s">
        <v>1945</v>
      </c>
      <c r="G119" s="5">
        <v>44651</v>
      </c>
      <c r="H119" t="s">
        <v>1946</v>
      </c>
      <c r="I119" t="s">
        <v>121</v>
      </c>
      <c r="J119" t="s">
        <v>1947</v>
      </c>
      <c r="K119" t="s">
        <v>123</v>
      </c>
      <c r="L119">
        <v>755</v>
      </c>
      <c r="M119">
        <v>504</v>
      </c>
      <c r="N119">
        <v>1100</v>
      </c>
      <c r="O119">
        <v>725</v>
      </c>
      <c r="P119" t="s">
        <v>1948</v>
      </c>
      <c r="Q119" t="s">
        <v>1949</v>
      </c>
      <c r="R119" t="s">
        <v>1950</v>
      </c>
      <c r="S119" t="s">
        <v>1951</v>
      </c>
      <c r="T119" t="s">
        <v>280</v>
      </c>
      <c r="U119" t="s">
        <v>1952</v>
      </c>
      <c r="V119" t="s">
        <v>1953</v>
      </c>
      <c r="W119" t="s">
        <v>1954</v>
      </c>
      <c r="X119" t="s">
        <v>1952</v>
      </c>
      <c r="Y119" t="s">
        <v>1955</v>
      </c>
      <c r="Z119" t="s">
        <v>1954</v>
      </c>
      <c r="AA119" s="7" t="s">
        <v>1956</v>
      </c>
      <c r="AB119" s="7" t="s">
        <v>1957</v>
      </c>
      <c r="AC119" t="s">
        <v>286</v>
      </c>
      <c r="AD119" s="7" t="s">
        <v>137</v>
      </c>
      <c r="AE119" s="7" t="s">
        <v>1958</v>
      </c>
    </row>
    <row r="120" spans="1:31" ht="14.25" customHeight="1" x14ac:dyDescent="0.2">
      <c r="A120" t="s">
        <v>1959</v>
      </c>
      <c r="B120" t="s">
        <v>1960</v>
      </c>
      <c r="C120" t="s">
        <v>1961</v>
      </c>
      <c r="D120" t="s">
        <v>1962</v>
      </c>
      <c r="E120" s="4" t="s">
        <v>1963</v>
      </c>
      <c r="F120" t="s">
        <v>1964</v>
      </c>
      <c r="G120" s="5">
        <v>44362</v>
      </c>
      <c r="H120" t="s">
        <v>1965</v>
      </c>
      <c r="I120" t="s">
        <v>121</v>
      </c>
      <c r="J120" t="s">
        <v>1947</v>
      </c>
      <c r="K120" t="s">
        <v>123</v>
      </c>
      <c r="L120">
        <v>755</v>
      </c>
      <c r="M120">
        <v>504</v>
      </c>
      <c r="N120">
        <v>1100</v>
      </c>
      <c r="O120">
        <v>725</v>
      </c>
      <c r="P120" t="s">
        <v>1966</v>
      </c>
      <c r="Q120" t="s">
        <v>1967</v>
      </c>
      <c r="R120" t="s">
        <v>126</v>
      </c>
      <c r="S120" t="s">
        <v>1968</v>
      </c>
      <c r="T120" t="s">
        <v>245</v>
      </c>
      <c r="U120" t="s">
        <v>1969</v>
      </c>
      <c r="V120" t="s">
        <v>1970</v>
      </c>
      <c r="W120" t="s">
        <v>1510</v>
      </c>
      <c r="X120" t="s">
        <v>1971</v>
      </c>
      <c r="Y120" t="s">
        <v>1972</v>
      </c>
      <c r="Z120" t="s">
        <v>519</v>
      </c>
      <c r="AA120" s="7" t="s">
        <v>1973</v>
      </c>
      <c r="AB120" s="7" t="s">
        <v>1678</v>
      </c>
      <c r="AC120" t="s">
        <v>1974</v>
      </c>
      <c r="AD120" s="7" t="s">
        <v>137</v>
      </c>
      <c r="AE120" s="7" t="s">
        <v>1975</v>
      </c>
    </row>
    <row r="121" spans="1:31" ht="14.25" customHeight="1" x14ac:dyDescent="0.2">
      <c r="A121" t="s">
        <v>1976</v>
      </c>
      <c r="B121" t="s">
        <v>1977</v>
      </c>
      <c r="C121" t="s">
        <v>1978</v>
      </c>
      <c r="D121" t="s">
        <v>1979</v>
      </c>
      <c r="E121" s="4" t="s">
        <v>1980</v>
      </c>
      <c r="F121" t="s">
        <v>1981</v>
      </c>
      <c r="G121" s="5">
        <v>44227</v>
      </c>
      <c r="H121" t="s">
        <v>1982</v>
      </c>
      <c r="I121" t="s">
        <v>121</v>
      </c>
      <c r="J121" t="s">
        <v>1947</v>
      </c>
      <c r="K121" t="s">
        <v>123</v>
      </c>
      <c r="L121">
        <v>755</v>
      </c>
      <c r="M121">
        <v>504</v>
      </c>
      <c r="N121">
        <v>1100</v>
      </c>
      <c r="O121">
        <v>725</v>
      </c>
      <c r="P121" t="s">
        <v>1983</v>
      </c>
      <c r="Q121" t="s">
        <v>1984</v>
      </c>
      <c r="R121" t="s">
        <v>1985</v>
      </c>
      <c r="S121" t="s">
        <v>1986</v>
      </c>
      <c r="T121" t="s">
        <v>1987</v>
      </c>
      <c r="U121" t="s">
        <v>1988</v>
      </c>
      <c r="V121" t="s">
        <v>1970</v>
      </c>
      <c r="W121" t="s">
        <v>1108</v>
      </c>
      <c r="X121" t="s">
        <v>1989</v>
      </c>
      <c r="Y121" t="s">
        <v>1972</v>
      </c>
      <c r="Z121" t="s">
        <v>581</v>
      </c>
      <c r="AA121" s="7" t="s">
        <v>1973</v>
      </c>
      <c r="AB121" s="7" t="s">
        <v>419</v>
      </c>
      <c r="AC121" t="s">
        <v>1990</v>
      </c>
      <c r="AD121" s="7" t="s">
        <v>137</v>
      </c>
      <c r="AE121" s="7" t="s">
        <v>1991</v>
      </c>
    </row>
    <row r="122" spans="1:31" ht="14.25" customHeight="1" x14ac:dyDescent="0.2">
      <c r="A122" t="s">
        <v>1992</v>
      </c>
      <c r="B122" t="s">
        <v>1993</v>
      </c>
      <c r="C122" t="s">
        <v>1994</v>
      </c>
      <c r="D122" t="s">
        <v>1995</v>
      </c>
      <c r="E122" s="4" t="s">
        <v>1996</v>
      </c>
      <c r="F122" t="s">
        <v>1997</v>
      </c>
      <c r="G122" s="5">
        <v>43980</v>
      </c>
      <c r="H122" t="s">
        <v>1998</v>
      </c>
      <c r="I122" t="s">
        <v>241</v>
      </c>
      <c r="J122" t="s">
        <v>1947</v>
      </c>
      <c r="K122" t="s">
        <v>123</v>
      </c>
      <c r="L122">
        <v>1002</v>
      </c>
      <c r="M122">
        <v>546</v>
      </c>
      <c r="N122">
        <v>1100</v>
      </c>
      <c r="O122">
        <v>725</v>
      </c>
      <c r="P122" t="s">
        <v>1999</v>
      </c>
      <c r="Q122" t="s">
        <v>2000</v>
      </c>
      <c r="R122" t="s">
        <v>2001</v>
      </c>
      <c r="S122" t="s">
        <v>2002</v>
      </c>
      <c r="T122" t="s">
        <v>128</v>
      </c>
      <c r="U122" t="s">
        <v>1995</v>
      </c>
      <c r="V122" t="s">
        <v>2003</v>
      </c>
      <c r="W122" t="s">
        <v>2004</v>
      </c>
      <c r="X122" t="s">
        <v>2005</v>
      </c>
      <c r="Y122" t="s">
        <v>1955</v>
      </c>
      <c r="Z122" t="s">
        <v>2004</v>
      </c>
      <c r="AA122" s="7" t="s">
        <v>2006</v>
      </c>
      <c r="AB122" s="7" t="s">
        <v>706</v>
      </c>
      <c r="AC122" t="s">
        <v>2007</v>
      </c>
      <c r="AD122" s="7" t="s">
        <v>178</v>
      </c>
      <c r="AE122" s="7" t="s">
        <v>2008</v>
      </c>
    </row>
    <row r="123" spans="1:31" ht="14.25" customHeight="1" x14ac:dyDescent="0.2">
      <c r="A123" t="s">
        <v>2009</v>
      </c>
      <c r="B123" t="s">
        <v>2010</v>
      </c>
      <c r="C123" t="s">
        <v>2011</v>
      </c>
      <c r="D123" t="s">
        <v>2012</v>
      </c>
      <c r="E123" s="4" t="s">
        <v>2013</v>
      </c>
      <c r="F123" t="s">
        <v>2014</v>
      </c>
      <c r="G123" s="5">
        <v>43636</v>
      </c>
      <c r="H123" t="s">
        <v>2015</v>
      </c>
      <c r="I123" t="s">
        <v>260</v>
      </c>
      <c r="J123" t="s">
        <v>1947</v>
      </c>
      <c r="K123" t="s">
        <v>123</v>
      </c>
      <c r="L123">
        <v>795</v>
      </c>
      <c r="M123">
        <v>480</v>
      </c>
      <c r="N123">
        <v>1100</v>
      </c>
      <c r="O123">
        <v>725</v>
      </c>
      <c r="P123" t="s">
        <v>2016</v>
      </c>
      <c r="Q123" t="s">
        <v>2017</v>
      </c>
      <c r="R123" t="s">
        <v>126</v>
      </c>
      <c r="S123" t="s">
        <v>2018</v>
      </c>
      <c r="T123" t="s">
        <v>128</v>
      </c>
      <c r="U123" t="s">
        <v>2019</v>
      </c>
      <c r="V123" t="s">
        <v>2020</v>
      </c>
      <c r="W123" t="s">
        <v>600</v>
      </c>
      <c r="X123" t="s">
        <v>2021</v>
      </c>
      <c r="Y123" t="s">
        <v>2022</v>
      </c>
      <c r="Z123" t="s">
        <v>301</v>
      </c>
      <c r="AA123" s="7" t="s">
        <v>175</v>
      </c>
      <c r="AB123" s="7" t="s">
        <v>2023</v>
      </c>
      <c r="AC123" t="s">
        <v>2024</v>
      </c>
      <c r="AD123" s="7" t="s">
        <v>56</v>
      </c>
      <c r="AE123" s="7" t="s">
        <v>2025</v>
      </c>
    </row>
    <row r="124" spans="1:31" ht="14.25" customHeight="1" x14ac:dyDescent="0.2">
      <c r="A124" t="s">
        <v>2026</v>
      </c>
      <c r="B124" t="s">
        <v>2027</v>
      </c>
      <c r="C124" t="s">
        <v>2028</v>
      </c>
      <c r="D124" t="s">
        <v>2029</v>
      </c>
      <c r="E124" s="4" t="s">
        <v>2030</v>
      </c>
      <c r="F124" t="s">
        <v>2031</v>
      </c>
      <c r="G124" s="5">
        <v>43551</v>
      </c>
      <c r="H124" t="s">
        <v>2032</v>
      </c>
      <c r="I124" t="s">
        <v>121</v>
      </c>
      <c r="J124" t="s">
        <v>1947</v>
      </c>
      <c r="K124" t="s">
        <v>123</v>
      </c>
      <c r="L124">
        <v>905</v>
      </c>
      <c r="M124">
        <v>604</v>
      </c>
      <c r="N124">
        <v>1100</v>
      </c>
      <c r="O124">
        <v>725</v>
      </c>
      <c r="P124" t="s">
        <v>2033</v>
      </c>
      <c r="Q124" t="s">
        <v>2034</v>
      </c>
      <c r="R124" t="s">
        <v>126</v>
      </c>
      <c r="S124" t="s">
        <v>2035</v>
      </c>
      <c r="T124" t="s">
        <v>245</v>
      </c>
      <c r="U124" t="s">
        <v>2036</v>
      </c>
      <c r="V124" t="s">
        <v>2037</v>
      </c>
      <c r="W124" t="s">
        <v>938</v>
      </c>
      <c r="X124" t="s">
        <v>2038</v>
      </c>
      <c r="Y124" t="s">
        <v>1955</v>
      </c>
      <c r="Z124" t="s">
        <v>910</v>
      </c>
      <c r="AA124" s="7" t="s">
        <v>2039</v>
      </c>
      <c r="AB124" s="7" t="s">
        <v>2040</v>
      </c>
      <c r="AC124" t="s">
        <v>2041</v>
      </c>
      <c r="AD124" s="7" t="s">
        <v>137</v>
      </c>
      <c r="AE124" s="7" t="s">
        <v>2042</v>
      </c>
    </row>
    <row r="125" spans="1:31" ht="14.25" customHeight="1" x14ac:dyDescent="0.2">
      <c r="A125" t="s">
        <v>2043</v>
      </c>
      <c r="B125" t="s">
        <v>2044</v>
      </c>
      <c r="C125" t="s">
        <v>2045</v>
      </c>
      <c r="D125" t="s">
        <v>2046</v>
      </c>
      <c r="E125" s="4" t="s">
        <v>2047</v>
      </c>
      <c r="F125" t="s">
        <v>2048</v>
      </c>
      <c r="G125" s="5">
        <v>43902</v>
      </c>
      <c r="H125" t="s">
        <v>2049</v>
      </c>
      <c r="I125" t="s">
        <v>241</v>
      </c>
      <c r="J125" t="s">
        <v>1947</v>
      </c>
      <c r="K125" t="s">
        <v>123</v>
      </c>
      <c r="L125">
        <v>810</v>
      </c>
      <c r="M125">
        <v>442</v>
      </c>
      <c r="N125">
        <v>1100</v>
      </c>
      <c r="O125">
        <v>725</v>
      </c>
      <c r="P125" t="s">
        <v>2050</v>
      </c>
      <c r="Q125" t="s">
        <v>2051</v>
      </c>
      <c r="R125" t="s">
        <v>126</v>
      </c>
      <c r="S125" t="s">
        <v>2052</v>
      </c>
      <c r="T125" t="s">
        <v>128</v>
      </c>
      <c r="U125" t="s">
        <v>1970</v>
      </c>
      <c r="V125" t="s">
        <v>2020</v>
      </c>
      <c r="W125" t="s">
        <v>2053</v>
      </c>
      <c r="X125" t="s">
        <v>1972</v>
      </c>
      <c r="Y125" t="s">
        <v>2022</v>
      </c>
      <c r="Z125" t="s">
        <v>1366</v>
      </c>
      <c r="AA125" s="7" t="s">
        <v>1973</v>
      </c>
      <c r="AB125" s="7" t="s">
        <v>2054</v>
      </c>
      <c r="AC125" t="s">
        <v>2055</v>
      </c>
      <c r="AD125" s="7" t="s">
        <v>1892</v>
      </c>
      <c r="AE125" s="7" t="s">
        <v>2056</v>
      </c>
    </row>
    <row r="126" spans="1:31" ht="14.25" customHeight="1" x14ac:dyDescent="0.2">
      <c r="A126" t="s">
        <v>2057</v>
      </c>
      <c r="B126" t="s">
        <v>2058</v>
      </c>
      <c r="C126" t="s">
        <v>2059</v>
      </c>
      <c r="D126" t="s">
        <v>2060</v>
      </c>
      <c r="E126" s="4" t="s">
        <v>2061</v>
      </c>
      <c r="F126" t="s">
        <v>2062</v>
      </c>
      <c r="G126" s="5">
        <v>43496</v>
      </c>
      <c r="H126" t="s">
        <v>2063</v>
      </c>
      <c r="I126" t="s">
        <v>121</v>
      </c>
      <c r="J126" t="s">
        <v>1947</v>
      </c>
      <c r="K126" t="s">
        <v>123</v>
      </c>
      <c r="L126">
        <v>732</v>
      </c>
      <c r="M126">
        <v>488</v>
      </c>
      <c r="N126">
        <v>1100</v>
      </c>
      <c r="O126">
        <v>725</v>
      </c>
      <c r="P126" t="s">
        <v>2064</v>
      </c>
      <c r="Q126" t="s">
        <v>2065</v>
      </c>
      <c r="R126" t="s">
        <v>126</v>
      </c>
      <c r="S126" t="s">
        <v>2066</v>
      </c>
      <c r="T126" t="s">
        <v>128</v>
      </c>
      <c r="U126" t="s">
        <v>2067</v>
      </c>
      <c r="V126" t="s">
        <v>2020</v>
      </c>
      <c r="W126" t="s">
        <v>2068</v>
      </c>
      <c r="X126" t="s">
        <v>581</v>
      </c>
      <c r="Y126" t="s">
        <v>2022</v>
      </c>
      <c r="Z126" t="s">
        <v>249</v>
      </c>
      <c r="AA126" s="7" t="s">
        <v>1973</v>
      </c>
      <c r="AB126" s="7" t="s">
        <v>2069</v>
      </c>
      <c r="AC126" t="s">
        <v>2070</v>
      </c>
      <c r="AD126" s="7" t="s">
        <v>28</v>
      </c>
      <c r="AE126" s="7" t="s">
        <v>2071</v>
      </c>
    </row>
    <row r="127" spans="1:31" ht="14.25" customHeight="1" x14ac:dyDescent="0.2">
      <c r="A127" t="s">
        <v>2072</v>
      </c>
      <c r="B127" t="s">
        <v>2073</v>
      </c>
      <c r="C127" t="s">
        <v>2074</v>
      </c>
      <c r="D127" t="s">
        <v>2075</v>
      </c>
      <c r="E127" s="4" t="s">
        <v>2076</v>
      </c>
      <c r="F127" t="s">
        <v>2077</v>
      </c>
      <c r="G127" s="5">
        <v>44469</v>
      </c>
      <c r="H127" s="181" t="s">
        <v>2078</v>
      </c>
      <c r="I127" t="s">
        <v>260</v>
      </c>
      <c r="J127" t="s">
        <v>1947</v>
      </c>
      <c r="K127" t="s">
        <v>330</v>
      </c>
      <c r="L127">
        <v>741</v>
      </c>
      <c r="M127">
        <v>470</v>
      </c>
      <c r="N127">
        <v>1100</v>
      </c>
      <c r="O127">
        <v>725</v>
      </c>
      <c r="P127" t="s">
        <v>2079</v>
      </c>
      <c r="Q127" t="s">
        <v>2080</v>
      </c>
      <c r="R127" t="s">
        <v>333</v>
      </c>
      <c r="S127" t="s">
        <v>2081</v>
      </c>
      <c r="T127" t="s">
        <v>1987</v>
      </c>
      <c r="U127" t="s">
        <v>2082</v>
      </c>
      <c r="V127" t="s">
        <v>1970</v>
      </c>
      <c r="W127" t="s">
        <v>2083</v>
      </c>
      <c r="X127" t="s">
        <v>518</v>
      </c>
      <c r="Y127" t="s">
        <v>1972</v>
      </c>
      <c r="Z127" t="s">
        <v>2083</v>
      </c>
      <c r="AA127" s="7" t="s">
        <v>1973</v>
      </c>
      <c r="AB127" s="7" t="s">
        <v>2084</v>
      </c>
      <c r="AC127" t="s">
        <v>2085</v>
      </c>
      <c r="AD127" s="7" t="s">
        <v>137</v>
      </c>
      <c r="AE127" s="7" t="s">
        <v>2086</v>
      </c>
    </row>
    <row r="128" spans="1:31" ht="14.25" customHeight="1" x14ac:dyDescent="0.2">
      <c r="A128" t="s">
        <v>2087</v>
      </c>
      <c r="B128" t="s">
        <v>2088</v>
      </c>
      <c r="C128" t="s">
        <v>2089</v>
      </c>
      <c r="D128" t="s">
        <v>2090</v>
      </c>
      <c r="E128" s="4" t="s">
        <v>2091</v>
      </c>
      <c r="F128" t="s">
        <v>2092</v>
      </c>
      <c r="G128" s="5">
        <v>44421</v>
      </c>
      <c r="H128" t="s">
        <v>2093</v>
      </c>
      <c r="I128" t="s">
        <v>121</v>
      </c>
      <c r="J128" t="s">
        <v>1947</v>
      </c>
      <c r="K128" t="s">
        <v>330</v>
      </c>
      <c r="L128">
        <v>742</v>
      </c>
      <c r="M128">
        <v>519</v>
      </c>
      <c r="N128">
        <v>1100</v>
      </c>
      <c r="O128">
        <v>725</v>
      </c>
      <c r="P128" t="s">
        <v>2094</v>
      </c>
      <c r="Q128" t="s">
        <v>2095</v>
      </c>
      <c r="R128" t="s">
        <v>333</v>
      </c>
      <c r="S128" t="s">
        <v>1951</v>
      </c>
      <c r="T128" t="s">
        <v>280</v>
      </c>
      <c r="U128" t="s">
        <v>2096</v>
      </c>
      <c r="V128" t="s">
        <v>1970</v>
      </c>
      <c r="W128" t="s">
        <v>878</v>
      </c>
      <c r="X128" t="s">
        <v>2097</v>
      </c>
      <c r="Y128" t="s">
        <v>1972</v>
      </c>
      <c r="Z128" t="s">
        <v>910</v>
      </c>
      <c r="AA128" s="7" t="s">
        <v>387</v>
      </c>
      <c r="AB128" s="7" t="s">
        <v>2098</v>
      </c>
      <c r="AC128" t="s">
        <v>2099</v>
      </c>
      <c r="AD128" s="7" t="s">
        <v>28</v>
      </c>
      <c r="AE128" s="7" t="s">
        <v>2100</v>
      </c>
    </row>
    <row r="129" spans="1:31" ht="14.25" customHeight="1" x14ac:dyDescent="0.2">
      <c r="A129" t="s">
        <v>2101</v>
      </c>
      <c r="B129" t="s">
        <v>2102</v>
      </c>
      <c r="C129" t="s">
        <v>2103</v>
      </c>
      <c r="D129" t="s">
        <v>2104</v>
      </c>
      <c r="E129" s="4" t="s">
        <v>2105</v>
      </c>
      <c r="F129" t="s">
        <v>2106</v>
      </c>
      <c r="G129" s="5">
        <v>44165</v>
      </c>
      <c r="H129" t="s">
        <v>2107</v>
      </c>
      <c r="I129" t="s">
        <v>260</v>
      </c>
      <c r="J129" t="s">
        <v>1947</v>
      </c>
      <c r="K129" t="s">
        <v>330</v>
      </c>
      <c r="L129">
        <v>781</v>
      </c>
      <c r="M129">
        <v>494</v>
      </c>
      <c r="N129">
        <v>1100</v>
      </c>
      <c r="O129">
        <v>725</v>
      </c>
      <c r="P129" t="s">
        <v>2108</v>
      </c>
      <c r="Q129" t="s">
        <v>2109</v>
      </c>
      <c r="R129" t="s">
        <v>333</v>
      </c>
      <c r="S129" t="s">
        <v>2081</v>
      </c>
      <c r="T129" t="s">
        <v>1987</v>
      </c>
      <c r="U129" t="s">
        <v>2110</v>
      </c>
      <c r="V129" t="s">
        <v>1970</v>
      </c>
      <c r="W129" t="s">
        <v>2111</v>
      </c>
      <c r="X129" t="s">
        <v>1231</v>
      </c>
      <c r="Y129" t="s">
        <v>1972</v>
      </c>
      <c r="Z129" t="s">
        <v>2112</v>
      </c>
      <c r="AA129" s="7" t="s">
        <v>2006</v>
      </c>
      <c r="AB129" s="7" t="s">
        <v>2113</v>
      </c>
      <c r="AC129" t="s">
        <v>1666</v>
      </c>
      <c r="AD129" s="7" t="s">
        <v>28</v>
      </c>
      <c r="AE129" s="7" t="s">
        <v>2114</v>
      </c>
    </row>
    <row r="130" spans="1:31" ht="14.25" customHeight="1" x14ac:dyDescent="0.2">
      <c r="A130" t="s">
        <v>2115</v>
      </c>
      <c r="B130" t="s">
        <v>2116</v>
      </c>
      <c r="C130" t="s">
        <v>2117</v>
      </c>
      <c r="D130" t="s">
        <v>2118</v>
      </c>
      <c r="E130" s="4" t="s">
        <v>2119</v>
      </c>
      <c r="F130" t="s">
        <v>2120</v>
      </c>
      <c r="G130" s="5">
        <v>43902</v>
      </c>
      <c r="H130" t="s">
        <v>2121</v>
      </c>
      <c r="I130" t="s">
        <v>260</v>
      </c>
      <c r="J130" t="s">
        <v>1947</v>
      </c>
      <c r="K130" t="s">
        <v>330</v>
      </c>
      <c r="L130">
        <v>781</v>
      </c>
      <c r="M130">
        <v>494</v>
      </c>
      <c r="N130">
        <v>1100</v>
      </c>
      <c r="O130">
        <v>725</v>
      </c>
      <c r="P130" t="s">
        <v>2122</v>
      </c>
      <c r="Q130" t="s">
        <v>2123</v>
      </c>
      <c r="R130" t="s">
        <v>2124</v>
      </c>
      <c r="S130" t="s">
        <v>2125</v>
      </c>
      <c r="T130" t="s">
        <v>1987</v>
      </c>
      <c r="U130" t="s">
        <v>718</v>
      </c>
      <c r="V130" t="s">
        <v>2020</v>
      </c>
      <c r="W130" t="s">
        <v>2126</v>
      </c>
      <c r="X130" t="s">
        <v>2127</v>
      </c>
      <c r="Y130" t="s">
        <v>2022</v>
      </c>
      <c r="Z130" t="s">
        <v>2126</v>
      </c>
      <c r="AA130" s="7" t="s">
        <v>2006</v>
      </c>
      <c r="AB130" s="7" t="s">
        <v>2128</v>
      </c>
      <c r="AC130" t="s">
        <v>1666</v>
      </c>
      <c r="AD130" s="7" t="s">
        <v>137</v>
      </c>
      <c r="AE130" s="7" t="s">
        <v>2129</v>
      </c>
    </row>
    <row r="131" spans="1:31" ht="14.25" customHeight="1" x14ac:dyDescent="0.2">
      <c r="A131" t="s">
        <v>2130</v>
      </c>
      <c r="B131" t="s">
        <v>2131</v>
      </c>
      <c r="C131" t="s">
        <v>2132</v>
      </c>
      <c r="D131" t="s">
        <v>2133</v>
      </c>
      <c r="E131" s="4" t="s">
        <v>2134</v>
      </c>
      <c r="F131" t="s">
        <v>2135</v>
      </c>
      <c r="G131" s="5">
        <v>43708</v>
      </c>
      <c r="H131" t="s">
        <v>2136</v>
      </c>
      <c r="I131" t="s">
        <v>260</v>
      </c>
      <c r="J131" t="s">
        <v>1947</v>
      </c>
      <c r="K131" t="s">
        <v>330</v>
      </c>
      <c r="L131">
        <v>936</v>
      </c>
      <c r="M131">
        <v>592</v>
      </c>
      <c r="N131">
        <v>1100</v>
      </c>
      <c r="O131">
        <v>725</v>
      </c>
      <c r="P131" t="s">
        <v>2137</v>
      </c>
      <c r="Q131" t="s">
        <v>2138</v>
      </c>
      <c r="R131" t="s">
        <v>333</v>
      </c>
      <c r="S131" t="s">
        <v>2139</v>
      </c>
      <c r="T131" t="s">
        <v>24234</v>
      </c>
      <c r="U131" t="s">
        <v>2133</v>
      </c>
      <c r="V131" t="s">
        <v>2022</v>
      </c>
      <c r="W131" t="s">
        <v>1140</v>
      </c>
      <c r="X131" t="s">
        <v>2141</v>
      </c>
      <c r="Y131" t="s">
        <v>2022</v>
      </c>
      <c r="Z131" t="s">
        <v>1140</v>
      </c>
      <c r="AA131" s="7" t="s">
        <v>1956</v>
      </c>
      <c r="AB131" s="7" t="s">
        <v>2142</v>
      </c>
      <c r="AC131" t="s">
        <v>2143</v>
      </c>
      <c r="AD131" s="7" t="s">
        <v>2144</v>
      </c>
      <c r="AE131" s="7" t="s">
        <v>2145</v>
      </c>
    </row>
    <row r="132" spans="1:31" ht="14.25" customHeight="1" x14ac:dyDescent="0.2">
      <c r="A132" t="s">
        <v>2146</v>
      </c>
      <c r="B132" t="s">
        <v>2147</v>
      </c>
      <c r="C132" t="s">
        <v>2148</v>
      </c>
      <c r="D132" t="s">
        <v>2149</v>
      </c>
      <c r="E132" s="4" t="s">
        <v>2150</v>
      </c>
      <c r="F132" t="s">
        <v>2151</v>
      </c>
      <c r="G132" s="5">
        <v>43465</v>
      </c>
      <c r="H132" t="s">
        <v>2152</v>
      </c>
      <c r="I132" t="s">
        <v>121</v>
      </c>
      <c r="J132" t="s">
        <v>1947</v>
      </c>
      <c r="K132" t="s">
        <v>330</v>
      </c>
      <c r="L132">
        <v>727</v>
      </c>
      <c r="M132">
        <v>509</v>
      </c>
      <c r="N132">
        <v>1100</v>
      </c>
      <c r="O132">
        <v>725</v>
      </c>
      <c r="P132" t="s">
        <v>2153</v>
      </c>
      <c r="Q132" t="s">
        <v>2154</v>
      </c>
      <c r="R132" t="s">
        <v>333</v>
      </c>
      <c r="S132" t="s">
        <v>2155</v>
      </c>
      <c r="T132" t="s">
        <v>1987</v>
      </c>
      <c r="U132" t="s">
        <v>2156</v>
      </c>
      <c r="V132" t="s">
        <v>1970</v>
      </c>
      <c r="W132" t="s">
        <v>813</v>
      </c>
      <c r="X132" t="s">
        <v>1231</v>
      </c>
      <c r="Y132" t="s">
        <v>1972</v>
      </c>
      <c r="Z132" t="s">
        <v>485</v>
      </c>
      <c r="AA132" s="7" t="s">
        <v>2006</v>
      </c>
      <c r="AB132" s="7" t="s">
        <v>2157</v>
      </c>
      <c r="AC132" t="s">
        <v>2158</v>
      </c>
      <c r="AD132" s="7" t="s">
        <v>28</v>
      </c>
      <c r="AE132" s="7" t="s">
        <v>2159</v>
      </c>
    </row>
    <row r="133" spans="1:31" ht="14.25" customHeight="1" x14ac:dyDescent="0.2">
      <c r="A133" t="s">
        <v>2160</v>
      </c>
      <c r="B133" t="s">
        <v>2161</v>
      </c>
      <c r="C133" t="s">
        <v>2162</v>
      </c>
      <c r="D133" t="s">
        <v>2163</v>
      </c>
      <c r="E133" s="4" t="s">
        <v>2164</v>
      </c>
      <c r="F133" t="s">
        <v>2165</v>
      </c>
      <c r="G133" s="5">
        <v>43370</v>
      </c>
      <c r="H133" t="s">
        <v>2166</v>
      </c>
      <c r="I133" t="s">
        <v>121</v>
      </c>
      <c r="J133" t="s">
        <v>1947</v>
      </c>
      <c r="K133" t="s">
        <v>330</v>
      </c>
      <c r="L133">
        <v>719</v>
      </c>
      <c r="M133">
        <v>503</v>
      </c>
      <c r="N133">
        <v>1100</v>
      </c>
      <c r="O133">
        <v>725</v>
      </c>
      <c r="P133" t="s">
        <v>2167</v>
      </c>
      <c r="Q133" t="s">
        <v>2168</v>
      </c>
      <c r="R133" t="s">
        <v>333</v>
      </c>
      <c r="S133" t="s">
        <v>2169</v>
      </c>
      <c r="T133" t="s">
        <v>1987</v>
      </c>
      <c r="U133" t="s">
        <v>1260</v>
      </c>
      <c r="V133" t="s">
        <v>2020</v>
      </c>
      <c r="W133" t="s">
        <v>2170</v>
      </c>
      <c r="X133" t="s">
        <v>154</v>
      </c>
      <c r="Y133" t="s">
        <v>2022</v>
      </c>
      <c r="Z133" t="s">
        <v>417</v>
      </c>
      <c r="AA133" s="7" t="s">
        <v>2006</v>
      </c>
      <c r="AB133" s="7" t="s">
        <v>2171</v>
      </c>
      <c r="AC133" t="s">
        <v>2172</v>
      </c>
      <c r="AD133" s="7" t="s">
        <v>178</v>
      </c>
      <c r="AE133" s="7" t="s">
        <v>2173</v>
      </c>
    </row>
    <row r="134" spans="1:31" ht="14.25" customHeight="1" x14ac:dyDescent="0.2">
      <c r="A134" t="s">
        <v>2174</v>
      </c>
      <c r="B134" t="s">
        <v>2175</v>
      </c>
      <c r="C134" t="s">
        <v>2176</v>
      </c>
      <c r="D134" t="s">
        <v>2177</v>
      </c>
      <c r="E134" s="4" t="s">
        <v>2178</v>
      </c>
      <c r="F134" t="s">
        <v>2179</v>
      </c>
      <c r="G134" s="5">
        <v>43370</v>
      </c>
      <c r="H134" t="s">
        <v>276</v>
      </c>
      <c r="I134" t="s">
        <v>260</v>
      </c>
      <c r="J134" t="s">
        <v>1947</v>
      </c>
      <c r="K134" t="s">
        <v>330</v>
      </c>
      <c r="L134">
        <v>888</v>
      </c>
      <c r="M134">
        <v>563</v>
      </c>
      <c r="N134">
        <v>1100</v>
      </c>
      <c r="O134">
        <v>725</v>
      </c>
      <c r="P134" t="s">
        <v>2180</v>
      </c>
      <c r="Q134" t="s">
        <v>2181</v>
      </c>
      <c r="R134" t="s">
        <v>333</v>
      </c>
      <c r="S134" t="s">
        <v>2182</v>
      </c>
      <c r="T134" t="s">
        <v>1987</v>
      </c>
      <c r="U134" t="s">
        <v>2183</v>
      </c>
      <c r="V134" t="s">
        <v>2184</v>
      </c>
      <c r="W134" t="s">
        <v>2185</v>
      </c>
      <c r="X134" t="s">
        <v>249</v>
      </c>
      <c r="Y134" t="s">
        <v>1972</v>
      </c>
      <c r="Z134" t="s">
        <v>2186</v>
      </c>
      <c r="AA134" s="7" t="s">
        <v>2006</v>
      </c>
      <c r="AB134" s="7" t="s">
        <v>2187</v>
      </c>
      <c r="AC134" t="s">
        <v>2188</v>
      </c>
      <c r="AD134" s="7" t="s">
        <v>52</v>
      </c>
      <c r="AE134" s="7" t="s">
        <v>2189</v>
      </c>
    </row>
    <row r="135" spans="1:31" ht="14.25" customHeight="1" x14ac:dyDescent="0.2">
      <c r="A135" t="s">
        <v>2190</v>
      </c>
      <c r="B135" t="s">
        <v>2191</v>
      </c>
      <c r="C135" t="s">
        <v>2192</v>
      </c>
      <c r="D135" t="s">
        <v>2193</v>
      </c>
      <c r="E135" s="4" t="s">
        <v>2194</v>
      </c>
      <c r="F135" t="s">
        <v>2195</v>
      </c>
      <c r="G135" s="5">
        <v>44529</v>
      </c>
      <c r="H135" t="s">
        <v>2196</v>
      </c>
      <c r="I135" t="s">
        <v>121</v>
      </c>
      <c r="J135" t="s">
        <v>1947</v>
      </c>
      <c r="K135" t="s">
        <v>429</v>
      </c>
      <c r="L135">
        <v>760</v>
      </c>
      <c r="M135">
        <v>499</v>
      </c>
      <c r="N135">
        <v>1100</v>
      </c>
      <c r="O135">
        <v>725</v>
      </c>
      <c r="P135" t="s">
        <v>2197</v>
      </c>
      <c r="Q135" t="s">
        <v>2198</v>
      </c>
      <c r="R135" t="s">
        <v>385</v>
      </c>
      <c r="S135" t="s">
        <v>2199</v>
      </c>
      <c r="T135" t="s">
        <v>1987</v>
      </c>
      <c r="U135" t="s">
        <v>2200</v>
      </c>
      <c r="V135" t="s">
        <v>2020</v>
      </c>
      <c r="W135" t="s">
        <v>2201</v>
      </c>
      <c r="X135" t="s">
        <v>2202</v>
      </c>
      <c r="Y135" t="s">
        <v>2022</v>
      </c>
      <c r="Z135" t="s">
        <v>2203</v>
      </c>
      <c r="AA135" s="7" t="s">
        <v>1956</v>
      </c>
      <c r="AB135" s="7" t="s">
        <v>2204</v>
      </c>
      <c r="AC135" t="s">
        <v>2205</v>
      </c>
      <c r="AD135" s="7" t="s">
        <v>56</v>
      </c>
      <c r="AE135" s="7" t="s">
        <v>2206</v>
      </c>
    </row>
    <row r="136" spans="1:31" ht="14.25" customHeight="1" x14ac:dyDescent="0.2">
      <c r="A136" t="s">
        <v>2207</v>
      </c>
      <c r="B136" t="s">
        <v>2208</v>
      </c>
      <c r="C136" t="s">
        <v>2209</v>
      </c>
      <c r="D136" t="s">
        <v>2210</v>
      </c>
      <c r="E136" s="4" t="s">
        <v>2211</v>
      </c>
      <c r="F136" t="s">
        <v>2212</v>
      </c>
      <c r="G136" s="5">
        <v>44282</v>
      </c>
      <c r="H136" t="s">
        <v>2213</v>
      </c>
      <c r="I136" t="s">
        <v>121</v>
      </c>
      <c r="J136" t="s">
        <v>1947</v>
      </c>
      <c r="K136" t="s">
        <v>429</v>
      </c>
      <c r="L136">
        <v>760</v>
      </c>
      <c r="M136">
        <v>499</v>
      </c>
      <c r="N136">
        <v>1100</v>
      </c>
      <c r="O136">
        <v>725</v>
      </c>
      <c r="P136" t="s">
        <v>2214</v>
      </c>
      <c r="Q136" t="s">
        <v>2215</v>
      </c>
      <c r="R136" t="s">
        <v>385</v>
      </c>
      <c r="S136" t="s">
        <v>2216</v>
      </c>
      <c r="T136" t="s">
        <v>1088</v>
      </c>
      <c r="U136" t="s">
        <v>2217</v>
      </c>
      <c r="V136" t="s">
        <v>2218</v>
      </c>
      <c r="W136" t="s">
        <v>354</v>
      </c>
      <c r="X136" t="s">
        <v>2219</v>
      </c>
      <c r="Y136" t="s">
        <v>1955</v>
      </c>
      <c r="Z136" t="s">
        <v>229</v>
      </c>
      <c r="AA136" s="7" t="s">
        <v>1956</v>
      </c>
      <c r="AB136" s="7" t="s">
        <v>2220</v>
      </c>
      <c r="AC136" t="s">
        <v>2221</v>
      </c>
      <c r="AD136" s="7" t="s">
        <v>56</v>
      </c>
      <c r="AE136" s="7" t="s">
        <v>2222</v>
      </c>
    </row>
    <row r="137" spans="1:31" ht="14.25" customHeight="1" x14ac:dyDescent="0.2">
      <c r="A137" t="s">
        <v>2223</v>
      </c>
      <c r="B137" t="s">
        <v>2224</v>
      </c>
      <c r="C137" t="s">
        <v>2225</v>
      </c>
      <c r="D137" t="s">
        <v>2226</v>
      </c>
      <c r="E137" s="4" t="s">
        <v>2227</v>
      </c>
      <c r="F137" t="s">
        <v>2228</v>
      </c>
      <c r="G137" s="5">
        <v>44042</v>
      </c>
      <c r="H137" t="s">
        <v>2229</v>
      </c>
      <c r="I137" t="s">
        <v>121</v>
      </c>
      <c r="J137" t="s">
        <v>1947</v>
      </c>
      <c r="K137" t="s">
        <v>429</v>
      </c>
      <c r="L137">
        <v>760</v>
      </c>
      <c r="M137">
        <v>499</v>
      </c>
      <c r="N137">
        <v>1100</v>
      </c>
      <c r="O137">
        <v>725</v>
      </c>
      <c r="P137" t="s">
        <v>2230</v>
      </c>
      <c r="Q137" t="s">
        <v>2231</v>
      </c>
      <c r="R137" t="s">
        <v>385</v>
      </c>
      <c r="S137" t="s">
        <v>2232</v>
      </c>
      <c r="T137" t="s">
        <v>2233</v>
      </c>
      <c r="U137" t="s">
        <v>2234</v>
      </c>
      <c r="V137" t="s">
        <v>1970</v>
      </c>
      <c r="W137" t="s">
        <v>2126</v>
      </c>
      <c r="X137" t="s">
        <v>2235</v>
      </c>
      <c r="Y137" t="s">
        <v>1972</v>
      </c>
      <c r="Z137" t="s">
        <v>2126</v>
      </c>
      <c r="AA137" s="7" t="s">
        <v>2006</v>
      </c>
      <c r="AB137" s="7" t="s">
        <v>2236</v>
      </c>
      <c r="AC137" t="s">
        <v>2237</v>
      </c>
      <c r="AD137" s="7" t="s">
        <v>137</v>
      </c>
      <c r="AE137" s="7" t="s">
        <v>2238</v>
      </c>
    </row>
    <row r="138" spans="1:31" ht="14.25" customHeight="1" x14ac:dyDescent="0.2">
      <c r="A138" t="s">
        <v>2239</v>
      </c>
      <c r="B138" t="s">
        <v>2240</v>
      </c>
      <c r="C138" t="s">
        <v>2241</v>
      </c>
      <c r="D138" t="s">
        <v>2242</v>
      </c>
      <c r="E138" s="4" t="s">
        <v>2243</v>
      </c>
      <c r="F138" t="s">
        <v>2244</v>
      </c>
      <c r="G138" s="5">
        <v>43636</v>
      </c>
      <c r="H138" t="s">
        <v>2245</v>
      </c>
      <c r="I138" t="s">
        <v>260</v>
      </c>
      <c r="J138" t="s">
        <v>1947</v>
      </c>
      <c r="K138" t="s">
        <v>429</v>
      </c>
      <c r="L138">
        <v>960</v>
      </c>
      <c r="M138">
        <v>569</v>
      </c>
      <c r="N138">
        <v>1100</v>
      </c>
      <c r="O138">
        <v>725</v>
      </c>
      <c r="P138" t="s">
        <v>2246</v>
      </c>
      <c r="Q138" t="s">
        <v>2247</v>
      </c>
      <c r="R138" t="s">
        <v>385</v>
      </c>
      <c r="S138" t="s">
        <v>2125</v>
      </c>
      <c r="T138" t="s">
        <v>1987</v>
      </c>
      <c r="U138" t="s">
        <v>2242</v>
      </c>
      <c r="V138" t="s">
        <v>1972</v>
      </c>
      <c r="W138" t="s">
        <v>192</v>
      </c>
      <c r="X138" t="s">
        <v>2248</v>
      </c>
      <c r="Y138" t="s">
        <v>1972</v>
      </c>
      <c r="Z138" t="s">
        <v>194</v>
      </c>
      <c r="AA138" s="7" t="s">
        <v>1956</v>
      </c>
      <c r="AB138" s="7" t="s">
        <v>2249</v>
      </c>
      <c r="AC138" t="s">
        <v>2250</v>
      </c>
      <c r="AD138" s="7" t="s">
        <v>178</v>
      </c>
      <c r="AE138" s="7" t="s">
        <v>2251</v>
      </c>
    </row>
    <row r="139" spans="1:31" ht="14.25" customHeight="1" x14ac:dyDescent="0.2">
      <c r="A139" t="s">
        <v>2252</v>
      </c>
      <c r="B139" t="s">
        <v>2253</v>
      </c>
      <c r="C139" t="s">
        <v>2254</v>
      </c>
      <c r="D139" t="s">
        <v>2255</v>
      </c>
      <c r="E139" s="4" t="s">
        <v>2256</v>
      </c>
      <c r="F139" t="s">
        <v>2257</v>
      </c>
      <c r="G139" s="5">
        <v>43496</v>
      </c>
      <c r="H139" t="s">
        <v>2258</v>
      </c>
      <c r="I139" t="s">
        <v>121</v>
      </c>
      <c r="J139" t="s">
        <v>1947</v>
      </c>
      <c r="K139" t="s">
        <v>429</v>
      </c>
      <c r="L139">
        <v>866</v>
      </c>
      <c r="M139">
        <v>568</v>
      </c>
      <c r="N139">
        <v>1100</v>
      </c>
      <c r="O139">
        <v>725</v>
      </c>
      <c r="P139" t="s">
        <v>2259</v>
      </c>
      <c r="Q139" t="s">
        <v>2260</v>
      </c>
      <c r="R139" t="s">
        <v>385</v>
      </c>
      <c r="S139" t="s">
        <v>2169</v>
      </c>
      <c r="T139" t="s">
        <v>1987</v>
      </c>
      <c r="U139" t="s">
        <v>2261</v>
      </c>
      <c r="V139" t="s">
        <v>2022</v>
      </c>
      <c r="W139" t="s">
        <v>938</v>
      </c>
      <c r="X139" t="s">
        <v>518</v>
      </c>
      <c r="Y139" t="s">
        <v>2022</v>
      </c>
      <c r="Z139" t="s">
        <v>910</v>
      </c>
      <c r="AA139" s="7" t="s">
        <v>2006</v>
      </c>
      <c r="AB139" s="7" t="s">
        <v>2262</v>
      </c>
      <c r="AC139" t="s">
        <v>2263</v>
      </c>
      <c r="AD139" s="7" t="s">
        <v>137</v>
      </c>
      <c r="AE139" s="7" t="s">
        <v>2264</v>
      </c>
    </row>
    <row r="140" spans="1:31" ht="14.25" customHeight="1" x14ac:dyDescent="0.2">
      <c r="A140" t="s">
        <v>2265</v>
      </c>
      <c r="B140" t="s">
        <v>2266</v>
      </c>
      <c r="C140" t="s">
        <v>2267</v>
      </c>
      <c r="D140" t="s">
        <v>2268</v>
      </c>
      <c r="E140" s="4" t="s">
        <v>2269</v>
      </c>
      <c r="F140" t="s">
        <v>2270</v>
      </c>
      <c r="G140" s="5">
        <v>43370</v>
      </c>
      <c r="H140" t="s">
        <v>276</v>
      </c>
      <c r="I140" t="s">
        <v>260</v>
      </c>
      <c r="J140" t="s">
        <v>1947</v>
      </c>
      <c r="K140" t="s">
        <v>429</v>
      </c>
      <c r="L140">
        <v>760</v>
      </c>
      <c r="M140">
        <v>451</v>
      </c>
      <c r="N140">
        <v>1100</v>
      </c>
      <c r="O140">
        <v>725</v>
      </c>
      <c r="P140" t="s">
        <v>2271</v>
      </c>
      <c r="Q140" t="s">
        <v>2272</v>
      </c>
      <c r="R140" t="s">
        <v>385</v>
      </c>
      <c r="S140" t="s">
        <v>2273</v>
      </c>
      <c r="T140" t="s">
        <v>1987</v>
      </c>
      <c r="U140" t="s">
        <v>2274</v>
      </c>
      <c r="V140" t="s">
        <v>2275</v>
      </c>
      <c r="W140" t="s">
        <v>2276</v>
      </c>
      <c r="X140" t="s">
        <v>2277</v>
      </c>
      <c r="Y140" t="s">
        <v>2022</v>
      </c>
      <c r="Z140" t="s">
        <v>519</v>
      </c>
      <c r="AA140" s="7" t="s">
        <v>2006</v>
      </c>
      <c r="AB140" s="7" t="s">
        <v>2278</v>
      </c>
      <c r="AC140" t="s">
        <v>2279</v>
      </c>
      <c r="AD140" s="7" t="s">
        <v>52</v>
      </c>
      <c r="AE140" s="7" t="s">
        <v>2280</v>
      </c>
    </row>
    <row r="141" spans="1:31" ht="14.25" customHeight="1" x14ac:dyDescent="0.2">
      <c r="A141" t="s">
        <v>2281</v>
      </c>
      <c r="B141" t="s">
        <v>2282</v>
      </c>
      <c r="C141" t="s">
        <v>2283</v>
      </c>
      <c r="D141" t="s">
        <v>2284</v>
      </c>
      <c r="E141" s="4" t="s">
        <v>2285</v>
      </c>
      <c r="F141" t="s">
        <v>2286</v>
      </c>
      <c r="G141" s="5">
        <v>44561</v>
      </c>
      <c r="H141" t="s">
        <v>2287</v>
      </c>
      <c r="I141" t="s">
        <v>241</v>
      </c>
      <c r="J141" t="s">
        <v>1947</v>
      </c>
      <c r="K141" t="s">
        <v>543</v>
      </c>
      <c r="L141">
        <v>822</v>
      </c>
      <c r="M141">
        <v>467</v>
      </c>
      <c r="N141">
        <v>1100</v>
      </c>
      <c r="O141">
        <v>725</v>
      </c>
      <c r="P141" t="s">
        <v>2288</v>
      </c>
      <c r="Q141" t="s">
        <v>2289</v>
      </c>
      <c r="R141" t="s">
        <v>563</v>
      </c>
      <c r="S141" t="s">
        <v>2290</v>
      </c>
      <c r="T141" t="s">
        <v>2291</v>
      </c>
      <c r="U141" t="s">
        <v>2292</v>
      </c>
      <c r="V141" t="s">
        <v>1970</v>
      </c>
      <c r="W141" t="s">
        <v>2293</v>
      </c>
      <c r="X141" t="s">
        <v>2292</v>
      </c>
      <c r="Y141" t="s">
        <v>1972</v>
      </c>
      <c r="Z141" t="s">
        <v>2293</v>
      </c>
      <c r="AA141" s="7" t="s">
        <v>2294</v>
      </c>
      <c r="AB141" s="7" t="s">
        <v>2295</v>
      </c>
      <c r="AC141" t="s">
        <v>268</v>
      </c>
      <c r="AD141" s="7" t="s">
        <v>178</v>
      </c>
      <c r="AE141" s="7" t="s">
        <v>2296</v>
      </c>
    </row>
    <row r="142" spans="1:31" ht="14.25" customHeight="1" x14ac:dyDescent="0.2">
      <c r="A142" t="s">
        <v>2297</v>
      </c>
      <c r="B142" t="s">
        <v>2298</v>
      </c>
      <c r="C142" t="s">
        <v>2299</v>
      </c>
      <c r="D142" t="s">
        <v>2300</v>
      </c>
      <c r="E142" s="4" t="s">
        <v>2301</v>
      </c>
      <c r="F142" t="s">
        <v>2302</v>
      </c>
      <c r="G142" s="5">
        <v>44210</v>
      </c>
      <c r="H142" t="s">
        <v>2303</v>
      </c>
      <c r="I142" t="s">
        <v>260</v>
      </c>
      <c r="J142" t="s">
        <v>1947</v>
      </c>
      <c r="K142" t="s">
        <v>543</v>
      </c>
      <c r="L142">
        <v>783</v>
      </c>
      <c r="M142">
        <v>492</v>
      </c>
      <c r="N142">
        <v>1100</v>
      </c>
      <c r="O142">
        <v>725</v>
      </c>
      <c r="P142" t="s">
        <v>2304</v>
      </c>
      <c r="Q142" t="s">
        <v>2305</v>
      </c>
      <c r="R142" t="s">
        <v>563</v>
      </c>
      <c r="S142" t="s">
        <v>2125</v>
      </c>
      <c r="T142" t="s">
        <v>1987</v>
      </c>
      <c r="U142" t="s">
        <v>2306</v>
      </c>
      <c r="V142" t="s">
        <v>1970</v>
      </c>
      <c r="W142" t="s">
        <v>2307</v>
      </c>
      <c r="X142" t="s">
        <v>2308</v>
      </c>
      <c r="Y142" t="s">
        <v>1972</v>
      </c>
      <c r="Z142" t="s">
        <v>2309</v>
      </c>
      <c r="AA142" s="7" t="s">
        <v>175</v>
      </c>
      <c r="AB142" s="7" t="s">
        <v>2310</v>
      </c>
      <c r="AC142" t="s">
        <v>2311</v>
      </c>
      <c r="AD142" s="7" t="s">
        <v>137</v>
      </c>
      <c r="AE142" s="7" t="s">
        <v>2312</v>
      </c>
    </row>
    <row r="143" spans="1:31" ht="14.25" customHeight="1" x14ac:dyDescent="0.2">
      <c r="A143" t="s">
        <v>2313</v>
      </c>
      <c r="B143" t="s">
        <v>2314</v>
      </c>
      <c r="C143" t="s">
        <v>2315</v>
      </c>
      <c r="D143" t="s">
        <v>2316</v>
      </c>
      <c r="E143" s="4" t="s">
        <v>2317</v>
      </c>
      <c r="F143" t="s">
        <v>2318</v>
      </c>
      <c r="G143" s="5">
        <v>44040</v>
      </c>
      <c r="H143" t="s">
        <v>2319</v>
      </c>
      <c r="I143" t="s">
        <v>967</v>
      </c>
      <c r="J143" t="s">
        <v>1947</v>
      </c>
      <c r="K143" t="s">
        <v>543</v>
      </c>
      <c r="L143">
        <v>744</v>
      </c>
      <c r="M143">
        <v>467</v>
      </c>
      <c r="N143">
        <v>1100</v>
      </c>
      <c r="O143">
        <v>725</v>
      </c>
      <c r="P143" t="s">
        <v>2320</v>
      </c>
      <c r="Q143" t="s">
        <v>2321</v>
      </c>
      <c r="R143" t="s">
        <v>563</v>
      </c>
      <c r="S143" t="s">
        <v>2018</v>
      </c>
      <c r="T143" t="s">
        <v>128</v>
      </c>
      <c r="U143" t="s">
        <v>733</v>
      </c>
      <c r="V143" t="s">
        <v>1970</v>
      </c>
      <c r="W143" t="s">
        <v>2322</v>
      </c>
      <c r="X143" t="s">
        <v>518</v>
      </c>
      <c r="Y143" t="s">
        <v>1972</v>
      </c>
      <c r="Z143" t="s">
        <v>1031</v>
      </c>
      <c r="AA143" s="7" t="s">
        <v>974</v>
      </c>
      <c r="AB143" s="7" t="s">
        <v>2323</v>
      </c>
      <c r="AC143" t="s">
        <v>268</v>
      </c>
      <c r="AD143" s="7" t="s">
        <v>137</v>
      </c>
      <c r="AE143" s="7" t="s">
        <v>2324</v>
      </c>
    </row>
    <row r="144" spans="1:31" ht="14.25" customHeight="1" x14ac:dyDescent="0.2">
      <c r="A144" t="s">
        <v>2325</v>
      </c>
      <c r="B144" t="s">
        <v>2326</v>
      </c>
      <c r="C144" t="s">
        <v>2327</v>
      </c>
      <c r="D144" t="s">
        <v>2328</v>
      </c>
      <c r="E144" s="4" t="s">
        <v>2329</v>
      </c>
      <c r="F144" t="s">
        <v>2330</v>
      </c>
      <c r="G144" s="5">
        <v>43875</v>
      </c>
      <c r="H144" t="s">
        <v>2331</v>
      </c>
      <c r="I144" t="s">
        <v>260</v>
      </c>
      <c r="J144" t="s">
        <v>1947</v>
      </c>
      <c r="K144" t="s">
        <v>543</v>
      </c>
      <c r="L144">
        <v>783</v>
      </c>
      <c r="M144">
        <v>492</v>
      </c>
      <c r="N144">
        <v>1100</v>
      </c>
      <c r="O144">
        <v>725</v>
      </c>
      <c r="P144" t="s">
        <v>2332</v>
      </c>
      <c r="Q144" t="s">
        <v>2333</v>
      </c>
      <c r="R144" t="s">
        <v>581</v>
      </c>
      <c r="S144" t="s">
        <v>2081</v>
      </c>
      <c r="T144" t="s">
        <v>1987</v>
      </c>
      <c r="U144" t="s">
        <v>2334</v>
      </c>
      <c r="V144" t="s">
        <v>2020</v>
      </c>
      <c r="W144" t="s">
        <v>2126</v>
      </c>
      <c r="X144" t="s">
        <v>2004</v>
      </c>
      <c r="Y144" t="s">
        <v>2022</v>
      </c>
      <c r="Z144" t="s">
        <v>2126</v>
      </c>
      <c r="AA144" s="7" t="s">
        <v>2006</v>
      </c>
      <c r="AB144" s="7" t="s">
        <v>2335</v>
      </c>
      <c r="AC144" t="s">
        <v>268</v>
      </c>
      <c r="AD144" s="7" t="s">
        <v>2336</v>
      </c>
      <c r="AE144" s="7" t="s">
        <v>2337</v>
      </c>
    </row>
    <row r="145" spans="1:31" ht="14.25" customHeight="1" x14ac:dyDescent="0.2">
      <c r="A145" t="s">
        <v>2338</v>
      </c>
      <c r="B145" t="s">
        <v>2339</v>
      </c>
      <c r="C145" t="s">
        <v>2340</v>
      </c>
      <c r="D145" t="s">
        <v>2341</v>
      </c>
      <c r="E145" s="4" t="s">
        <v>2342</v>
      </c>
      <c r="F145" t="s">
        <v>2343</v>
      </c>
      <c r="G145" s="5">
        <v>43496</v>
      </c>
      <c r="H145" t="s">
        <v>2344</v>
      </c>
      <c r="I145" t="s">
        <v>121</v>
      </c>
      <c r="J145" t="s">
        <v>1947</v>
      </c>
      <c r="K145" t="s">
        <v>543</v>
      </c>
      <c r="L145">
        <v>892</v>
      </c>
      <c r="M145">
        <v>619</v>
      </c>
      <c r="N145">
        <v>1100</v>
      </c>
      <c r="O145">
        <v>725</v>
      </c>
      <c r="P145" t="s">
        <v>2345</v>
      </c>
      <c r="Q145" t="s">
        <v>2346</v>
      </c>
      <c r="R145" t="s">
        <v>563</v>
      </c>
      <c r="S145" t="s">
        <v>2347</v>
      </c>
      <c r="T145" t="s">
        <v>128</v>
      </c>
      <c r="U145" t="s">
        <v>2348</v>
      </c>
      <c r="V145" t="s">
        <v>2022</v>
      </c>
      <c r="W145" t="s">
        <v>2349</v>
      </c>
      <c r="X145" t="s">
        <v>2350</v>
      </c>
      <c r="Y145" t="s">
        <v>2022</v>
      </c>
      <c r="Z145" t="s">
        <v>319</v>
      </c>
      <c r="AA145" s="7" t="s">
        <v>1973</v>
      </c>
      <c r="AB145" s="7" t="s">
        <v>2220</v>
      </c>
      <c r="AC145" t="s">
        <v>2205</v>
      </c>
      <c r="AD145" s="7" t="s">
        <v>137</v>
      </c>
      <c r="AE145" s="7" t="s">
        <v>2351</v>
      </c>
    </row>
    <row r="146" spans="1:31" ht="14.25" customHeight="1" x14ac:dyDescent="0.2">
      <c r="A146" t="s">
        <v>2352</v>
      </c>
      <c r="B146" t="s">
        <v>2353</v>
      </c>
      <c r="C146" t="s">
        <v>2354</v>
      </c>
      <c r="D146" t="s">
        <v>2355</v>
      </c>
      <c r="E146" s="4" t="s">
        <v>2356</v>
      </c>
      <c r="F146" t="s">
        <v>2357</v>
      </c>
      <c r="G146" s="5">
        <v>43370</v>
      </c>
      <c r="H146" t="s">
        <v>2358</v>
      </c>
      <c r="I146" t="s">
        <v>241</v>
      </c>
      <c r="J146" t="s">
        <v>1947</v>
      </c>
      <c r="K146" t="s">
        <v>543</v>
      </c>
      <c r="L146">
        <v>936</v>
      </c>
      <c r="M146">
        <v>532</v>
      </c>
      <c r="N146">
        <v>1100</v>
      </c>
      <c r="O146">
        <v>725</v>
      </c>
      <c r="P146" t="s">
        <v>2359</v>
      </c>
      <c r="Q146" t="s">
        <v>2360</v>
      </c>
      <c r="R146" t="s">
        <v>563</v>
      </c>
      <c r="S146" t="s">
        <v>1577</v>
      </c>
      <c r="T146" t="s">
        <v>128</v>
      </c>
      <c r="U146" t="s">
        <v>227</v>
      </c>
      <c r="V146" t="s">
        <v>2022</v>
      </c>
      <c r="W146" t="s">
        <v>2361</v>
      </c>
      <c r="X146" t="s">
        <v>229</v>
      </c>
      <c r="Y146" t="s">
        <v>2022</v>
      </c>
      <c r="Z146" t="s">
        <v>618</v>
      </c>
      <c r="AA146" s="7" t="s">
        <v>2006</v>
      </c>
      <c r="AB146" s="7" t="s">
        <v>2362</v>
      </c>
      <c r="AC146" t="s">
        <v>2363</v>
      </c>
      <c r="AD146" s="7" t="s">
        <v>2364</v>
      </c>
      <c r="AE146" s="7" t="s">
        <v>2365</v>
      </c>
    </row>
    <row r="147" spans="1:31" ht="14.25" customHeight="1" x14ac:dyDescent="0.2">
      <c r="A147" t="s">
        <v>2366</v>
      </c>
      <c r="B147" t="s">
        <v>2367</v>
      </c>
      <c r="C147" t="s">
        <v>2368</v>
      </c>
      <c r="D147" t="s">
        <v>2369</v>
      </c>
      <c r="E147" s="4" t="s">
        <v>2370</v>
      </c>
      <c r="F147" t="s">
        <v>2371</v>
      </c>
      <c r="G147" s="5">
        <v>43370</v>
      </c>
      <c r="H147" t="s">
        <v>2372</v>
      </c>
      <c r="I147" t="s">
        <v>241</v>
      </c>
      <c r="J147" t="s">
        <v>1947</v>
      </c>
      <c r="K147" t="s">
        <v>543</v>
      </c>
      <c r="L147">
        <v>781</v>
      </c>
      <c r="M147">
        <v>444</v>
      </c>
      <c r="N147">
        <v>1100</v>
      </c>
      <c r="O147">
        <v>725</v>
      </c>
      <c r="P147" t="s">
        <v>2373</v>
      </c>
      <c r="Q147" t="s">
        <v>2374</v>
      </c>
      <c r="R147" t="s">
        <v>563</v>
      </c>
      <c r="S147" t="s">
        <v>2375</v>
      </c>
      <c r="T147" t="s">
        <v>128</v>
      </c>
      <c r="U147" t="s">
        <v>2376</v>
      </c>
      <c r="V147" t="s">
        <v>2185</v>
      </c>
      <c r="W147" t="s">
        <v>2377</v>
      </c>
      <c r="X147" t="s">
        <v>229</v>
      </c>
      <c r="Y147" t="s">
        <v>1972</v>
      </c>
      <c r="Z147" t="s">
        <v>2126</v>
      </c>
      <c r="AA147" s="7" t="s">
        <v>2006</v>
      </c>
      <c r="AB147" s="7" t="s">
        <v>2378</v>
      </c>
      <c r="AC147" t="s">
        <v>2379</v>
      </c>
      <c r="AD147" s="7" t="s">
        <v>52</v>
      </c>
      <c r="AE147" s="7" t="s">
        <v>2380</v>
      </c>
    </row>
    <row r="148" spans="1:31" ht="14.25" customHeight="1" x14ac:dyDescent="0.2">
      <c r="A148" t="s">
        <v>2381</v>
      </c>
      <c r="B148" t="s">
        <v>2382</v>
      </c>
      <c r="C148" t="s">
        <v>2383</v>
      </c>
      <c r="D148" t="s">
        <v>2384</v>
      </c>
      <c r="E148" s="4" t="s">
        <v>2385</v>
      </c>
      <c r="F148" t="s">
        <v>2386</v>
      </c>
      <c r="G148" s="5">
        <v>44596</v>
      </c>
      <c r="H148" t="s">
        <v>2387</v>
      </c>
      <c r="I148" t="s">
        <v>260</v>
      </c>
      <c r="J148" t="s">
        <v>1947</v>
      </c>
      <c r="K148" t="s">
        <v>645</v>
      </c>
      <c r="L148">
        <v>790</v>
      </c>
      <c r="M148">
        <v>485</v>
      </c>
      <c r="N148">
        <v>1100</v>
      </c>
      <c r="O148">
        <v>725</v>
      </c>
      <c r="P148" t="s">
        <v>2388</v>
      </c>
      <c r="Q148" t="s">
        <v>2389</v>
      </c>
      <c r="R148" t="s">
        <v>682</v>
      </c>
      <c r="S148" t="s">
        <v>2390</v>
      </c>
      <c r="T148" t="s">
        <v>128</v>
      </c>
      <c r="U148" t="s">
        <v>2391</v>
      </c>
      <c r="V148" t="s">
        <v>1970</v>
      </c>
      <c r="W148" t="s">
        <v>2392</v>
      </c>
      <c r="X148" t="s">
        <v>2391</v>
      </c>
      <c r="Y148" t="s">
        <v>1972</v>
      </c>
      <c r="Z148" t="s">
        <v>2392</v>
      </c>
      <c r="AA148" s="7" t="s">
        <v>2393</v>
      </c>
      <c r="AB148" s="7" t="s">
        <v>2394</v>
      </c>
      <c r="AC148" t="s">
        <v>2395</v>
      </c>
      <c r="AD148" s="7" t="s">
        <v>137</v>
      </c>
      <c r="AE148" s="7" t="s">
        <v>2396</v>
      </c>
    </row>
    <row r="149" spans="1:31" ht="14.25" customHeight="1" x14ac:dyDescent="0.2">
      <c r="A149" t="s">
        <v>2397</v>
      </c>
      <c r="B149" t="s">
        <v>2398</v>
      </c>
      <c r="C149" t="s">
        <v>2399</v>
      </c>
      <c r="D149" t="s">
        <v>2400</v>
      </c>
      <c r="E149" s="4" t="s">
        <v>2401</v>
      </c>
      <c r="F149" t="s">
        <v>2402</v>
      </c>
      <c r="G149" s="5">
        <v>44561</v>
      </c>
      <c r="H149" t="s">
        <v>2403</v>
      </c>
      <c r="I149" t="s">
        <v>260</v>
      </c>
      <c r="J149" t="s">
        <v>1947</v>
      </c>
      <c r="K149" t="s">
        <v>645</v>
      </c>
      <c r="L149">
        <v>750</v>
      </c>
      <c r="M149">
        <v>461</v>
      </c>
      <c r="N149">
        <v>1100</v>
      </c>
      <c r="O149">
        <v>725</v>
      </c>
      <c r="P149" t="s">
        <v>2404</v>
      </c>
      <c r="Q149" t="s">
        <v>2405</v>
      </c>
      <c r="R149" t="s">
        <v>682</v>
      </c>
      <c r="S149" t="s">
        <v>2406</v>
      </c>
      <c r="T149" t="s">
        <v>128</v>
      </c>
      <c r="U149" t="s">
        <v>2407</v>
      </c>
      <c r="V149" t="s">
        <v>1970</v>
      </c>
      <c r="W149" t="s">
        <v>1124</v>
      </c>
      <c r="X149" t="s">
        <v>2408</v>
      </c>
      <c r="Y149" t="s">
        <v>1972</v>
      </c>
      <c r="Z149" t="s">
        <v>618</v>
      </c>
      <c r="AA149" s="7" t="s">
        <v>2393</v>
      </c>
      <c r="AB149" s="7" t="s">
        <v>157</v>
      </c>
      <c r="AC149" t="s">
        <v>268</v>
      </c>
      <c r="AD149" s="7" t="s">
        <v>28</v>
      </c>
      <c r="AE149" s="7" t="s">
        <v>2409</v>
      </c>
    </row>
    <row r="150" spans="1:31" ht="14.25" customHeight="1" x14ac:dyDescent="0.2">
      <c r="A150" t="s">
        <v>2410</v>
      </c>
      <c r="B150" t="s">
        <v>2411</v>
      </c>
      <c r="C150" t="s">
        <v>2412</v>
      </c>
      <c r="D150" t="s">
        <v>2413</v>
      </c>
      <c r="E150" s="4" t="s">
        <v>2414</v>
      </c>
      <c r="F150" t="s">
        <v>2415</v>
      </c>
      <c r="G150" s="5">
        <v>44319</v>
      </c>
      <c r="H150" t="s">
        <v>2416</v>
      </c>
      <c r="I150" t="s">
        <v>121</v>
      </c>
      <c r="J150" t="s">
        <v>1947</v>
      </c>
      <c r="K150" t="s">
        <v>645</v>
      </c>
      <c r="L150">
        <v>751</v>
      </c>
      <c r="M150">
        <v>509</v>
      </c>
      <c r="N150">
        <v>1100</v>
      </c>
      <c r="O150">
        <v>725</v>
      </c>
      <c r="P150" t="s">
        <v>2417</v>
      </c>
      <c r="Q150" t="s">
        <v>2418</v>
      </c>
      <c r="R150" t="s">
        <v>682</v>
      </c>
      <c r="S150" t="s">
        <v>2419</v>
      </c>
      <c r="T150" t="s">
        <v>353</v>
      </c>
      <c r="U150" t="s">
        <v>2420</v>
      </c>
      <c r="V150" t="s">
        <v>1970</v>
      </c>
      <c r="W150" t="s">
        <v>2421</v>
      </c>
      <c r="X150" t="s">
        <v>2422</v>
      </c>
      <c r="Y150" t="s">
        <v>1972</v>
      </c>
      <c r="Z150" t="s">
        <v>2423</v>
      </c>
      <c r="AA150" s="7" t="s">
        <v>1956</v>
      </c>
      <c r="AB150" s="7" t="s">
        <v>1678</v>
      </c>
      <c r="AC150" t="s">
        <v>1666</v>
      </c>
      <c r="AD150" s="7" t="s">
        <v>56</v>
      </c>
      <c r="AE150" s="7" t="s">
        <v>2424</v>
      </c>
    </row>
    <row r="151" spans="1:31" ht="14.25" customHeight="1" x14ac:dyDescent="0.2">
      <c r="A151" t="s">
        <v>2425</v>
      </c>
      <c r="B151" t="s">
        <v>2426</v>
      </c>
      <c r="C151" t="s">
        <v>2427</v>
      </c>
      <c r="D151" t="s">
        <v>2428</v>
      </c>
      <c r="E151" s="4" t="s">
        <v>2429</v>
      </c>
      <c r="F151" t="s">
        <v>2430</v>
      </c>
      <c r="G151" s="5">
        <v>44120</v>
      </c>
      <c r="H151" t="s">
        <v>2431</v>
      </c>
      <c r="I151" t="s">
        <v>260</v>
      </c>
      <c r="J151" t="s">
        <v>1947</v>
      </c>
      <c r="K151" t="s">
        <v>645</v>
      </c>
      <c r="L151">
        <v>790</v>
      </c>
      <c r="M151">
        <v>485</v>
      </c>
      <c r="N151">
        <v>1100</v>
      </c>
      <c r="O151">
        <v>725</v>
      </c>
      <c r="P151" t="s">
        <v>2432</v>
      </c>
      <c r="Q151" t="s">
        <v>2433</v>
      </c>
      <c r="R151" t="s">
        <v>682</v>
      </c>
      <c r="S151" t="s">
        <v>2018</v>
      </c>
      <c r="T151" t="s">
        <v>128</v>
      </c>
      <c r="U151" t="s">
        <v>2434</v>
      </c>
      <c r="V151" t="s">
        <v>1970</v>
      </c>
      <c r="W151" t="s">
        <v>2334</v>
      </c>
      <c r="X151" t="s">
        <v>2435</v>
      </c>
      <c r="Y151" t="s">
        <v>1972</v>
      </c>
      <c r="Z151" t="s">
        <v>2004</v>
      </c>
      <c r="AA151" s="7" t="s">
        <v>2006</v>
      </c>
      <c r="AB151" s="7" t="s">
        <v>2436</v>
      </c>
      <c r="AC151" t="s">
        <v>268</v>
      </c>
      <c r="AD151" s="7" t="s">
        <v>52</v>
      </c>
      <c r="AE151" s="7" t="s">
        <v>2437</v>
      </c>
    </row>
    <row r="152" spans="1:31" ht="14.25" customHeight="1" x14ac:dyDescent="0.2">
      <c r="A152" t="s">
        <v>2438</v>
      </c>
      <c r="B152" t="s">
        <v>2439</v>
      </c>
      <c r="C152" t="s">
        <v>2440</v>
      </c>
      <c r="D152" t="s">
        <v>2441</v>
      </c>
      <c r="E152" s="4" t="s">
        <v>2442</v>
      </c>
      <c r="F152" t="s">
        <v>2443</v>
      </c>
      <c r="G152" s="5">
        <v>43844</v>
      </c>
      <c r="H152" t="s">
        <v>2444</v>
      </c>
      <c r="I152" t="s">
        <v>121</v>
      </c>
      <c r="J152" t="s">
        <v>1947</v>
      </c>
      <c r="K152" t="s">
        <v>645</v>
      </c>
      <c r="L152">
        <v>900</v>
      </c>
      <c r="M152">
        <v>610</v>
      </c>
      <c r="N152">
        <v>1100</v>
      </c>
      <c r="O152">
        <v>725</v>
      </c>
      <c r="P152" t="s">
        <v>2445</v>
      </c>
      <c r="Q152" t="s">
        <v>2446</v>
      </c>
      <c r="R152" t="s">
        <v>682</v>
      </c>
      <c r="S152" t="s">
        <v>2447</v>
      </c>
      <c r="T152" t="s">
        <v>245</v>
      </c>
      <c r="U152" t="s">
        <v>2441</v>
      </c>
      <c r="V152" t="s">
        <v>2022</v>
      </c>
      <c r="W152" t="s">
        <v>2448</v>
      </c>
      <c r="X152" t="s">
        <v>2449</v>
      </c>
      <c r="Y152" t="s">
        <v>2022</v>
      </c>
      <c r="Z152" t="s">
        <v>2126</v>
      </c>
      <c r="AA152" s="7" t="s">
        <v>2006</v>
      </c>
      <c r="AB152" s="7" t="s">
        <v>2450</v>
      </c>
      <c r="AC152" t="s">
        <v>2451</v>
      </c>
      <c r="AD152" s="7" t="s">
        <v>341</v>
      </c>
      <c r="AE152" s="7" t="s">
        <v>2452</v>
      </c>
    </row>
    <row r="153" spans="1:31" ht="14.25" customHeight="1" x14ac:dyDescent="0.2">
      <c r="A153" t="s">
        <v>2453</v>
      </c>
      <c r="B153" t="s">
        <v>2454</v>
      </c>
      <c r="C153" t="s">
        <v>2455</v>
      </c>
      <c r="D153" t="s">
        <v>2456</v>
      </c>
      <c r="E153" s="4" t="s">
        <v>2457</v>
      </c>
      <c r="F153" t="s">
        <v>2458</v>
      </c>
      <c r="G153" s="5">
        <v>43573</v>
      </c>
      <c r="H153" t="s">
        <v>2459</v>
      </c>
      <c r="I153" t="s">
        <v>260</v>
      </c>
      <c r="J153" t="s">
        <v>1947</v>
      </c>
      <c r="K153" t="s">
        <v>645</v>
      </c>
      <c r="L153">
        <v>947</v>
      </c>
      <c r="M153">
        <v>582</v>
      </c>
      <c r="N153">
        <v>1100</v>
      </c>
      <c r="O153">
        <v>725</v>
      </c>
      <c r="P153" t="s">
        <v>2460</v>
      </c>
      <c r="Q153" t="s">
        <v>2461</v>
      </c>
      <c r="R153" t="s">
        <v>682</v>
      </c>
      <c r="S153" t="s">
        <v>2406</v>
      </c>
      <c r="T153" t="s">
        <v>128</v>
      </c>
      <c r="U153" t="s">
        <v>2462</v>
      </c>
      <c r="V153" t="s">
        <v>1972</v>
      </c>
      <c r="W153" t="s">
        <v>264</v>
      </c>
      <c r="X153" t="s">
        <v>1605</v>
      </c>
      <c r="Y153" t="s">
        <v>1972</v>
      </c>
      <c r="Z153" t="s">
        <v>154</v>
      </c>
      <c r="AA153" s="7" t="s">
        <v>2006</v>
      </c>
      <c r="AB153" s="7" t="s">
        <v>2463</v>
      </c>
      <c r="AC153" t="s">
        <v>268</v>
      </c>
      <c r="AD153" s="7" t="s">
        <v>178</v>
      </c>
      <c r="AE153" s="7" t="s">
        <v>2464</v>
      </c>
    </row>
    <row r="154" spans="1:31" ht="14.25" customHeight="1" x14ac:dyDescent="0.2">
      <c r="A154" t="s">
        <v>2465</v>
      </c>
      <c r="B154" t="s">
        <v>2466</v>
      </c>
      <c r="C154" t="s">
        <v>2467</v>
      </c>
      <c r="D154" t="s">
        <v>2468</v>
      </c>
      <c r="E154" s="4" t="s">
        <v>2469</v>
      </c>
      <c r="F154" t="s">
        <v>2470</v>
      </c>
      <c r="G154" s="5">
        <v>43434</v>
      </c>
      <c r="H154" t="s">
        <v>2471</v>
      </c>
      <c r="I154" t="s">
        <v>241</v>
      </c>
      <c r="J154" t="s">
        <v>1947</v>
      </c>
      <c r="K154" t="s">
        <v>645</v>
      </c>
      <c r="L154">
        <v>805</v>
      </c>
      <c r="M154">
        <v>446</v>
      </c>
      <c r="N154">
        <v>1100</v>
      </c>
      <c r="O154">
        <v>725</v>
      </c>
      <c r="P154" t="s">
        <v>2472</v>
      </c>
      <c r="Q154" t="s">
        <v>2473</v>
      </c>
      <c r="R154" t="s">
        <v>682</v>
      </c>
      <c r="S154" t="s">
        <v>2474</v>
      </c>
      <c r="T154" t="s">
        <v>128</v>
      </c>
      <c r="U154" t="s">
        <v>2475</v>
      </c>
      <c r="V154" t="s">
        <v>2020</v>
      </c>
      <c r="W154" t="s">
        <v>2476</v>
      </c>
      <c r="X154" t="s">
        <v>618</v>
      </c>
      <c r="Y154" t="s">
        <v>2022</v>
      </c>
      <c r="Z154" t="s">
        <v>2477</v>
      </c>
      <c r="AA154" s="7" t="s">
        <v>1973</v>
      </c>
      <c r="AB154" s="7" t="s">
        <v>2478</v>
      </c>
      <c r="AC154" t="s">
        <v>2479</v>
      </c>
      <c r="AD154" s="7" t="s">
        <v>137</v>
      </c>
      <c r="AE154" s="7" t="s">
        <v>2480</v>
      </c>
    </row>
    <row r="155" spans="1:31" ht="14.25" customHeight="1" x14ac:dyDescent="0.2">
      <c r="A155" t="s">
        <v>2481</v>
      </c>
      <c r="B155" t="s">
        <v>2482</v>
      </c>
      <c r="C155" t="s">
        <v>2483</v>
      </c>
      <c r="D155" t="s">
        <v>2484</v>
      </c>
      <c r="E155" s="4" t="s">
        <v>2485</v>
      </c>
      <c r="F155" t="s">
        <v>2486</v>
      </c>
      <c r="G155" s="5">
        <v>43370</v>
      </c>
      <c r="H155" t="s">
        <v>2487</v>
      </c>
      <c r="I155" t="s">
        <v>260</v>
      </c>
      <c r="J155" t="s">
        <v>1947</v>
      </c>
      <c r="K155" t="s">
        <v>645</v>
      </c>
      <c r="L155">
        <v>766</v>
      </c>
      <c r="M155">
        <v>470</v>
      </c>
      <c r="N155">
        <v>1100</v>
      </c>
      <c r="O155">
        <v>725</v>
      </c>
      <c r="P155" t="s">
        <v>2488</v>
      </c>
      <c r="Q155" t="s">
        <v>2489</v>
      </c>
      <c r="R155" t="s">
        <v>682</v>
      </c>
      <c r="S155" t="s">
        <v>2474</v>
      </c>
      <c r="T155" t="s">
        <v>128</v>
      </c>
      <c r="U155" t="s">
        <v>718</v>
      </c>
      <c r="V155" t="s">
        <v>1970</v>
      </c>
      <c r="W155" t="s">
        <v>2376</v>
      </c>
      <c r="X155" t="s">
        <v>1140</v>
      </c>
      <c r="Y155" t="s">
        <v>1972</v>
      </c>
      <c r="Z155" t="s">
        <v>229</v>
      </c>
      <c r="AA155" s="7" t="s">
        <v>1973</v>
      </c>
      <c r="AB155" s="7" t="s">
        <v>2490</v>
      </c>
      <c r="AC155" t="s">
        <v>2491</v>
      </c>
      <c r="AD155" s="7" t="s">
        <v>137</v>
      </c>
      <c r="AE155" s="7" t="s">
        <v>2492</v>
      </c>
    </row>
    <row r="156" spans="1:31" ht="14.25" customHeight="1" x14ac:dyDescent="0.2">
      <c r="A156" t="s">
        <v>2493</v>
      </c>
      <c r="B156" t="s">
        <v>2494</v>
      </c>
      <c r="C156" t="s">
        <v>2495</v>
      </c>
      <c r="D156" t="s">
        <v>2496</v>
      </c>
      <c r="E156" s="4" t="s">
        <v>2497</v>
      </c>
      <c r="F156" t="s">
        <v>2498</v>
      </c>
      <c r="G156" s="5">
        <v>44282</v>
      </c>
      <c r="H156" t="s">
        <v>2499</v>
      </c>
      <c r="I156" t="s">
        <v>121</v>
      </c>
      <c r="J156" t="s">
        <v>1947</v>
      </c>
      <c r="K156" t="s">
        <v>759</v>
      </c>
      <c r="L156">
        <v>726</v>
      </c>
      <c r="M156">
        <v>469</v>
      </c>
      <c r="N156">
        <v>1100</v>
      </c>
      <c r="O156">
        <v>725</v>
      </c>
      <c r="P156" t="s">
        <v>2500</v>
      </c>
      <c r="Q156" t="s">
        <v>2501</v>
      </c>
      <c r="R156" t="s">
        <v>762</v>
      </c>
      <c r="S156" t="s">
        <v>1951</v>
      </c>
      <c r="T156" t="s">
        <v>280</v>
      </c>
      <c r="U156" t="s">
        <v>2502</v>
      </c>
      <c r="V156" t="s">
        <v>2020</v>
      </c>
      <c r="W156" t="s">
        <v>2503</v>
      </c>
      <c r="X156" t="s">
        <v>2504</v>
      </c>
      <c r="Y156" t="s">
        <v>2022</v>
      </c>
      <c r="Z156" t="s">
        <v>2505</v>
      </c>
      <c r="AA156" s="7" t="s">
        <v>1956</v>
      </c>
      <c r="AB156" s="7" t="s">
        <v>419</v>
      </c>
      <c r="AC156" t="s">
        <v>2506</v>
      </c>
      <c r="AD156" s="7" t="s">
        <v>137</v>
      </c>
      <c r="AE156" s="7" t="s">
        <v>2507</v>
      </c>
    </row>
    <row r="157" spans="1:31" ht="14.25" customHeight="1" x14ac:dyDescent="0.2">
      <c r="A157" t="s">
        <v>2508</v>
      </c>
      <c r="B157" t="s">
        <v>2509</v>
      </c>
      <c r="C157" t="s">
        <v>2510</v>
      </c>
      <c r="D157" t="s">
        <v>2511</v>
      </c>
      <c r="E157" s="4" t="s">
        <v>2512</v>
      </c>
      <c r="F157" t="s">
        <v>2513</v>
      </c>
      <c r="G157" s="5">
        <v>44239</v>
      </c>
      <c r="H157" t="s">
        <v>2514</v>
      </c>
      <c r="I157" t="s">
        <v>121</v>
      </c>
      <c r="J157" t="s">
        <v>1947</v>
      </c>
      <c r="K157" t="s">
        <v>759</v>
      </c>
      <c r="L157">
        <v>764</v>
      </c>
      <c r="M157">
        <v>494</v>
      </c>
      <c r="N157">
        <v>1100</v>
      </c>
      <c r="O157">
        <v>725</v>
      </c>
      <c r="P157" t="s">
        <v>2515</v>
      </c>
      <c r="Q157" t="s">
        <v>2516</v>
      </c>
      <c r="R157" t="s">
        <v>762</v>
      </c>
      <c r="S157" t="s">
        <v>2517</v>
      </c>
      <c r="T157" t="s">
        <v>1819</v>
      </c>
      <c r="U157" t="s">
        <v>2518</v>
      </c>
      <c r="V157" t="s">
        <v>2519</v>
      </c>
      <c r="W157" t="s">
        <v>2520</v>
      </c>
      <c r="X157" t="s">
        <v>2518</v>
      </c>
      <c r="Y157" t="s">
        <v>2519</v>
      </c>
      <c r="Z157" t="s">
        <v>2520</v>
      </c>
      <c r="AA157" s="7" t="s">
        <v>1956</v>
      </c>
      <c r="AB157" s="7" t="s">
        <v>2521</v>
      </c>
      <c r="AC157" t="s">
        <v>2522</v>
      </c>
      <c r="AD157" s="7" t="s">
        <v>137</v>
      </c>
      <c r="AE157" s="7" t="s">
        <v>2523</v>
      </c>
    </row>
    <row r="158" spans="1:31" ht="14.25" customHeight="1" x14ac:dyDescent="0.2">
      <c r="A158" t="s">
        <v>2524</v>
      </c>
      <c r="B158" t="s">
        <v>2525</v>
      </c>
      <c r="C158" t="s">
        <v>2526</v>
      </c>
      <c r="D158" t="s">
        <v>2527</v>
      </c>
      <c r="E158" s="4" t="s">
        <v>2528</v>
      </c>
      <c r="F158" t="s">
        <v>2529</v>
      </c>
      <c r="G158" s="5">
        <v>44104</v>
      </c>
      <c r="H158" t="s">
        <v>2530</v>
      </c>
      <c r="I158" t="s">
        <v>260</v>
      </c>
      <c r="J158" t="s">
        <v>1947</v>
      </c>
      <c r="K158" t="s">
        <v>759</v>
      </c>
      <c r="L158">
        <v>805</v>
      </c>
      <c r="M158">
        <v>470</v>
      </c>
      <c r="N158">
        <v>1100</v>
      </c>
      <c r="O158">
        <v>725</v>
      </c>
      <c r="P158" t="s">
        <v>2531</v>
      </c>
      <c r="Q158" t="s">
        <v>2532</v>
      </c>
      <c r="R158" t="s">
        <v>762</v>
      </c>
      <c r="S158" t="s">
        <v>2419</v>
      </c>
      <c r="T158" t="s">
        <v>353</v>
      </c>
      <c r="U158" t="s">
        <v>2533</v>
      </c>
      <c r="V158" t="s">
        <v>2020</v>
      </c>
      <c r="W158" t="s">
        <v>1510</v>
      </c>
      <c r="X158" t="s">
        <v>2534</v>
      </c>
      <c r="Y158" t="s">
        <v>2022</v>
      </c>
      <c r="Z158" t="s">
        <v>249</v>
      </c>
      <c r="AA158" s="7" t="s">
        <v>2535</v>
      </c>
      <c r="AB158" s="7" t="s">
        <v>157</v>
      </c>
      <c r="AC158" t="s">
        <v>2536</v>
      </c>
      <c r="AD158" s="7" t="s">
        <v>137</v>
      </c>
      <c r="AE158" s="7" t="s">
        <v>2537</v>
      </c>
    </row>
    <row r="159" spans="1:31" ht="14.25" customHeight="1" x14ac:dyDescent="0.2">
      <c r="A159" t="s">
        <v>2538</v>
      </c>
      <c r="B159" t="s">
        <v>2539</v>
      </c>
      <c r="C159" t="s">
        <v>2540</v>
      </c>
      <c r="D159" t="s">
        <v>2541</v>
      </c>
      <c r="E159" s="4" t="s">
        <v>2542</v>
      </c>
      <c r="F159" t="s">
        <v>2543</v>
      </c>
      <c r="G159" s="5">
        <v>43370</v>
      </c>
      <c r="H159" t="s">
        <v>2544</v>
      </c>
      <c r="I159" t="s">
        <v>121</v>
      </c>
      <c r="J159" t="s">
        <v>1947</v>
      </c>
      <c r="K159" t="s">
        <v>759</v>
      </c>
      <c r="L159">
        <v>916</v>
      </c>
      <c r="M159">
        <v>592</v>
      </c>
      <c r="N159">
        <v>1100</v>
      </c>
      <c r="O159">
        <v>725</v>
      </c>
      <c r="P159" t="s">
        <v>2545</v>
      </c>
      <c r="Q159" t="s">
        <v>2546</v>
      </c>
      <c r="R159" t="s">
        <v>762</v>
      </c>
      <c r="S159" t="s">
        <v>2139</v>
      </c>
      <c r="T159" t="s">
        <v>24234</v>
      </c>
      <c r="U159" t="s">
        <v>2547</v>
      </c>
      <c r="V159" t="s">
        <v>1972</v>
      </c>
      <c r="W159" t="s">
        <v>2548</v>
      </c>
      <c r="X159" t="s">
        <v>2004</v>
      </c>
      <c r="Y159" t="s">
        <v>1972</v>
      </c>
      <c r="Z159" t="s">
        <v>2549</v>
      </c>
      <c r="AA159" s="7" t="s">
        <v>2006</v>
      </c>
      <c r="AB159" s="7" t="s">
        <v>419</v>
      </c>
      <c r="AC159" t="s">
        <v>2205</v>
      </c>
      <c r="AD159" s="7" t="s">
        <v>137</v>
      </c>
      <c r="AE159" s="7" t="s">
        <v>2550</v>
      </c>
    </row>
    <row r="160" spans="1:31" ht="14.25" customHeight="1" x14ac:dyDescent="0.2">
      <c r="A160" t="s">
        <v>2551</v>
      </c>
      <c r="B160" t="s">
        <v>2552</v>
      </c>
      <c r="C160" t="s">
        <v>2553</v>
      </c>
      <c r="D160" t="s">
        <v>2554</v>
      </c>
      <c r="E160" s="4" t="s">
        <v>2555</v>
      </c>
      <c r="F160" t="s">
        <v>2556</v>
      </c>
      <c r="G160" s="5">
        <v>43419</v>
      </c>
      <c r="H160" t="s">
        <v>2557</v>
      </c>
      <c r="I160" t="s">
        <v>260</v>
      </c>
      <c r="J160" t="s">
        <v>1947</v>
      </c>
      <c r="K160" t="s">
        <v>759</v>
      </c>
      <c r="L160">
        <v>965</v>
      </c>
      <c r="M160">
        <v>563</v>
      </c>
      <c r="N160">
        <v>1100</v>
      </c>
      <c r="O160">
        <v>725</v>
      </c>
      <c r="P160" t="s">
        <v>2558</v>
      </c>
      <c r="Q160" t="s">
        <v>2559</v>
      </c>
      <c r="R160" t="s">
        <v>762</v>
      </c>
      <c r="S160" t="s">
        <v>2560</v>
      </c>
      <c r="T160" t="s">
        <v>1987</v>
      </c>
      <c r="U160" t="s">
        <v>417</v>
      </c>
      <c r="V160" t="s">
        <v>2022</v>
      </c>
      <c r="W160" t="s">
        <v>298</v>
      </c>
      <c r="X160" t="s">
        <v>417</v>
      </c>
      <c r="Y160" t="s">
        <v>2022</v>
      </c>
      <c r="Z160" t="s">
        <v>301</v>
      </c>
      <c r="AA160" s="7" t="s">
        <v>2006</v>
      </c>
      <c r="AB160" s="7" t="s">
        <v>2561</v>
      </c>
      <c r="AC160" t="s">
        <v>2562</v>
      </c>
      <c r="AD160" s="7" t="s">
        <v>137</v>
      </c>
      <c r="AE160" s="7" t="s">
        <v>2563</v>
      </c>
    </row>
    <row r="161" spans="1:31" ht="14.25" customHeight="1" x14ac:dyDescent="0.2">
      <c r="A161" t="s">
        <v>2564</v>
      </c>
      <c r="B161" t="s">
        <v>2565</v>
      </c>
      <c r="C161" t="s">
        <v>2566</v>
      </c>
      <c r="D161" t="s">
        <v>2567</v>
      </c>
      <c r="E161" s="4" t="s">
        <v>2568</v>
      </c>
      <c r="F161" t="s">
        <v>2569</v>
      </c>
      <c r="G161" s="5">
        <v>43844</v>
      </c>
      <c r="H161" t="s">
        <v>2570</v>
      </c>
      <c r="I161" t="s">
        <v>121</v>
      </c>
      <c r="J161" t="s">
        <v>1947</v>
      </c>
      <c r="K161" t="s">
        <v>759</v>
      </c>
      <c r="L161">
        <v>741</v>
      </c>
      <c r="M161">
        <v>478</v>
      </c>
      <c r="N161">
        <v>1100</v>
      </c>
      <c r="O161">
        <v>725</v>
      </c>
      <c r="P161" t="s">
        <v>2571</v>
      </c>
      <c r="Q161" t="s">
        <v>2572</v>
      </c>
      <c r="R161" t="s">
        <v>762</v>
      </c>
      <c r="S161" t="s">
        <v>2169</v>
      </c>
      <c r="T161" t="s">
        <v>1987</v>
      </c>
      <c r="U161" t="s">
        <v>1563</v>
      </c>
      <c r="V161" t="s">
        <v>2020</v>
      </c>
      <c r="W161" t="s">
        <v>2573</v>
      </c>
      <c r="X161" t="s">
        <v>154</v>
      </c>
      <c r="Y161" t="s">
        <v>2022</v>
      </c>
      <c r="Z161" t="s">
        <v>2126</v>
      </c>
      <c r="AA161" s="7" t="s">
        <v>2006</v>
      </c>
      <c r="AB161" s="7" t="s">
        <v>2574</v>
      </c>
      <c r="AC161" t="s">
        <v>2575</v>
      </c>
      <c r="AD161" s="7" t="s">
        <v>341</v>
      </c>
      <c r="AE161" s="7" t="s">
        <v>2576</v>
      </c>
    </row>
    <row r="162" spans="1:31" ht="14.25" customHeight="1" x14ac:dyDescent="0.2">
      <c r="A162" t="s">
        <v>2577</v>
      </c>
      <c r="B162" t="s">
        <v>2578</v>
      </c>
      <c r="C162" t="s">
        <v>2579</v>
      </c>
      <c r="D162" t="s">
        <v>2580</v>
      </c>
      <c r="E162" s="4" t="s">
        <v>2581</v>
      </c>
      <c r="F162" t="s">
        <v>2582</v>
      </c>
      <c r="G162" s="5">
        <v>43370</v>
      </c>
      <c r="H162" t="s">
        <v>2583</v>
      </c>
      <c r="I162" t="s">
        <v>121</v>
      </c>
      <c r="J162" t="s">
        <v>1947</v>
      </c>
      <c r="K162" t="s">
        <v>759</v>
      </c>
      <c r="L162">
        <v>741</v>
      </c>
      <c r="M162">
        <v>478</v>
      </c>
      <c r="N162">
        <v>1100</v>
      </c>
      <c r="O162">
        <v>725</v>
      </c>
      <c r="P162" t="s">
        <v>2584</v>
      </c>
      <c r="Q162" t="s">
        <v>2585</v>
      </c>
      <c r="R162" t="s">
        <v>762</v>
      </c>
      <c r="S162" t="s">
        <v>2586</v>
      </c>
      <c r="T162" t="s">
        <v>2587</v>
      </c>
      <c r="U162" t="s">
        <v>2588</v>
      </c>
      <c r="V162" t="s">
        <v>2020</v>
      </c>
      <c r="W162" t="s">
        <v>1591</v>
      </c>
      <c r="X162" t="s">
        <v>2004</v>
      </c>
      <c r="Y162" t="s">
        <v>2022</v>
      </c>
      <c r="Z162" t="s">
        <v>670</v>
      </c>
      <c r="AA162" s="7" t="s">
        <v>2006</v>
      </c>
      <c r="AB162" s="7" t="s">
        <v>2589</v>
      </c>
      <c r="AC162" t="s">
        <v>2590</v>
      </c>
      <c r="AD162" s="7" t="s">
        <v>52</v>
      </c>
      <c r="AE162" s="7" t="s">
        <v>2591</v>
      </c>
    </row>
    <row r="163" spans="1:31" ht="14.25" customHeight="1" x14ac:dyDescent="0.2">
      <c r="A163" t="s">
        <v>2592</v>
      </c>
      <c r="B163" t="s">
        <v>2593</v>
      </c>
      <c r="C163" t="s">
        <v>2594</v>
      </c>
      <c r="D163" t="s">
        <v>2595</v>
      </c>
      <c r="E163" s="4" t="s">
        <v>2596</v>
      </c>
      <c r="F163" t="s">
        <v>2597</v>
      </c>
      <c r="G163" s="5">
        <v>43370</v>
      </c>
      <c r="H163" t="s">
        <v>2598</v>
      </c>
      <c r="I163" t="s">
        <v>121</v>
      </c>
      <c r="J163" t="s">
        <v>1947</v>
      </c>
      <c r="K163" t="s">
        <v>759</v>
      </c>
      <c r="L163">
        <v>726</v>
      </c>
      <c r="M163">
        <v>469</v>
      </c>
      <c r="N163">
        <v>1100</v>
      </c>
      <c r="O163">
        <v>725</v>
      </c>
      <c r="P163" t="s">
        <v>2599</v>
      </c>
      <c r="Q163" t="s">
        <v>2600</v>
      </c>
      <c r="R163" t="s">
        <v>762</v>
      </c>
      <c r="S163" t="s">
        <v>2182</v>
      </c>
      <c r="T163" t="s">
        <v>1987</v>
      </c>
      <c r="U163" t="s">
        <v>2601</v>
      </c>
      <c r="V163" t="s">
        <v>2602</v>
      </c>
      <c r="W163" t="s">
        <v>2603</v>
      </c>
      <c r="X163" t="s">
        <v>154</v>
      </c>
      <c r="Y163" t="s">
        <v>2604</v>
      </c>
      <c r="Z163" t="s">
        <v>2605</v>
      </c>
      <c r="AA163" s="7" t="s">
        <v>2606</v>
      </c>
      <c r="AB163" s="7" t="s">
        <v>2607</v>
      </c>
      <c r="AC163" t="s">
        <v>2608</v>
      </c>
      <c r="AD163" s="7" t="s">
        <v>58</v>
      </c>
      <c r="AE163" s="7" t="s">
        <v>2609</v>
      </c>
    </row>
    <row r="164" spans="1:31" ht="14.25" customHeight="1" x14ac:dyDescent="0.2">
      <c r="A164" t="s">
        <v>2610</v>
      </c>
      <c r="B164" t="s">
        <v>2611</v>
      </c>
      <c r="C164" t="s">
        <v>2612</v>
      </c>
      <c r="D164" t="s">
        <v>2613</v>
      </c>
      <c r="E164" s="4" t="s">
        <v>2614</v>
      </c>
      <c r="F164" t="s">
        <v>2615</v>
      </c>
      <c r="G164" s="5">
        <v>44484</v>
      </c>
      <c r="H164" s="181" t="s">
        <v>2616</v>
      </c>
      <c r="I164" t="s">
        <v>121</v>
      </c>
      <c r="J164" t="s">
        <v>1947</v>
      </c>
      <c r="K164" t="s">
        <v>839</v>
      </c>
      <c r="L164">
        <v>748</v>
      </c>
      <c r="M164">
        <v>512</v>
      </c>
      <c r="N164">
        <v>1100</v>
      </c>
      <c r="O164">
        <v>725</v>
      </c>
      <c r="P164" t="s">
        <v>2617</v>
      </c>
      <c r="Q164" t="s">
        <v>2618</v>
      </c>
      <c r="R164" t="s">
        <v>842</v>
      </c>
      <c r="S164" t="s">
        <v>2125</v>
      </c>
      <c r="T164" t="s">
        <v>1987</v>
      </c>
      <c r="U164" t="s">
        <v>2619</v>
      </c>
      <c r="V164" t="s">
        <v>2020</v>
      </c>
      <c r="W164" t="s">
        <v>2620</v>
      </c>
      <c r="X164" t="s">
        <v>2621</v>
      </c>
      <c r="Y164" t="s">
        <v>2022</v>
      </c>
      <c r="Z164" t="s">
        <v>2622</v>
      </c>
      <c r="AA164" s="7" t="s">
        <v>1956</v>
      </c>
      <c r="AB164" s="7" t="s">
        <v>2623</v>
      </c>
      <c r="AC164" t="s">
        <v>2624</v>
      </c>
      <c r="AD164" s="7" t="s">
        <v>137</v>
      </c>
      <c r="AE164" s="7" t="s">
        <v>2625</v>
      </c>
    </row>
    <row r="165" spans="1:31" ht="14.25" customHeight="1" x14ac:dyDescent="0.2">
      <c r="A165" t="s">
        <v>2626</v>
      </c>
      <c r="B165" t="s">
        <v>2627</v>
      </c>
      <c r="C165" t="s">
        <v>2628</v>
      </c>
      <c r="D165" t="s">
        <v>2629</v>
      </c>
      <c r="E165" s="4" t="s">
        <v>2630</v>
      </c>
      <c r="F165" t="s">
        <v>2631</v>
      </c>
      <c r="G165" s="5">
        <v>44282</v>
      </c>
      <c r="H165" t="s">
        <v>2632</v>
      </c>
      <c r="I165" t="s">
        <v>260</v>
      </c>
      <c r="J165" t="s">
        <v>1947</v>
      </c>
      <c r="K165" t="s">
        <v>839</v>
      </c>
      <c r="L165">
        <v>788</v>
      </c>
      <c r="M165">
        <v>487</v>
      </c>
      <c r="N165">
        <v>1100</v>
      </c>
      <c r="O165">
        <v>725</v>
      </c>
      <c r="P165" t="s">
        <v>2633</v>
      </c>
      <c r="Q165" t="s">
        <v>2634</v>
      </c>
      <c r="R165" t="s">
        <v>842</v>
      </c>
      <c r="S165" t="s">
        <v>2635</v>
      </c>
      <c r="T165" t="s">
        <v>1987</v>
      </c>
      <c r="U165" t="s">
        <v>2636</v>
      </c>
      <c r="V165" t="s">
        <v>1970</v>
      </c>
      <c r="W165" t="s">
        <v>2637</v>
      </c>
      <c r="X165" t="s">
        <v>2638</v>
      </c>
      <c r="Y165" t="s">
        <v>1972</v>
      </c>
      <c r="Z165" t="s">
        <v>319</v>
      </c>
      <c r="AA165" s="7" t="s">
        <v>1973</v>
      </c>
      <c r="AB165" s="7" t="s">
        <v>2639</v>
      </c>
      <c r="AC165" t="s">
        <v>2640</v>
      </c>
      <c r="AD165" s="7" t="s">
        <v>56</v>
      </c>
      <c r="AE165" s="7" t="s">
        <v>2641</v>
      </c>
    </row>
    <row r="166" spans="1:31" ht="14.25" customHeight="1" x14ac:dyDescent="0.2">
      <c r="A166" t="s">
        <v>2642</v>
      </c>
      <c r="B166" t="s">
        <v>2643</v>
      </c>
      <c r="C166" t="s">
        <v>2644</v>
      </c>
      <c r="D166" t="s">
        <v>2645</v>
      </c>
      <c r="E166" s="4" t="s">
        <v>2646</v>
      </c>
      <c r="F166" t="s">
        <v>2647</v>
      </c>
      <c r="G166" s="5">
        <v>44042</v>
      </c>
      <c r="H166" t="s">
        <v>2648</v>
      </c>
      <c r="I166" t="s">
        <v>260</v>
      </c>
      <c r="J166" t="s">
        <v>1947</v>
      </c>
      <c r="K166" t="s">
        <v>839</v>
      </c>
      <c r="L166">
        <v>788</v>
      </c>
      <c r="M166">
        <v>487</v>
      </c>
      <c r="N166">
        <v>1100</v>
      </c>
      <c r="O166">
        <v>725</v>
      </c>
      <c r="P166" t="s">
        <v>2649</v>
      </c>
      <c r="Q166" t="s">
        <v>2650</v>
      </c>
      <c r="R166" t="s">
        <v>842</v>
      </c>
      <c r="S166" t="s">
        <v>2560</v>
      </c>
      <c r="T166" t="s">
        <v>1987</v>
      </c>
      <c r="U166" t="s">
        <v>2651</v>
      </c>
      <c r="V166" t="s">
        <v>1970</v>
      </c>
      <c r="W166" t="s">
        <v>878</v>
      </c>
      <c r="X166" t="s">
        <v>519</v>
      </c>
      <c r="Y166" t="s">
        <v>1972</v>
      </c>
      <c r="Z166" t="s">
        <v>910</v>
      </c>
      <c r="AA166" s="7" t="s">
        <v>2006</v>
      </c>
      <c r="AB166" s="7" t="s">
        <v>2652</v>
      </c>
      <c r="AC166" t="s">
        <v>2653</v>
      </c>
      <c r="AD166" s="7" t="s">
        <v>137</v>
      </c>
      <c r="AE166" s="7" t="s">
        <v>2654</v>
      </c>
    </row>
    <row r="167" spans="1:31" ht="14.25" customHeight="1" x14ac:dyDescent="0.2">
      <c r="A167" t="s">
        <v>2655</v>
      </c>
      <c r="B167" t="s">
        <v>2656</v>
      </c>
      <c r="C167" t="s">
        <v>2657</v>
      </c>
      <c r="D167" t="s">
        <v>2658</v>
      </c>
      <c r="E167" s="4" t="s">
        <v>2659</v>
      </c>
      <c r="F167" t="s">
        <v>2660</v>
      </c>
      <c r="G167" s="5">
        <v>43370</v>
      </c>
      <c r="H167" t="s">
        <v>2661</v>
      </c>
      <c r="I167" t="s">
        <v>121</v>
      </c>
      <c r="J167" t="s">
        <v>1947</v>
      </c>
      <c r="K167" t="s">
        <v>839</v>
      </c>
      <c r="L167">
        <v>897</v>
      </c>
      <c r="M167">
        <v>614</v>
      </c>
      <c r="N167">
        <v>1100</v>
      </c>
      <c r="O167">
        <v>725</v>
      </c>
      <c r="P167" t="s">
        <v>2662</v>
      </c>
      <c r="Q167" t="s">
        <v>2663</v>
      </c>
      <c r="R167" t="s">
        <v>842</v>
      </c>
      <c r="S167" t="s">
        <v>2081</v>
      </c>
      <c r="T167" t="s">
        <v>1987</v>
      </c>
      <c r="U167" t="s">
        <v>2664</v>
      </c>
      <c r="V167" t="s">
        <v>2022</v>
      </c>
      <c r="W167" t="s">
        <v>670</v>
      </c>
      <c r="X167" t="s">
        <v>910</v>
      </c>
      <c r="Y167" t="s">
        <v>2022</v>
      </c>
      <c r="Z167" t="s">
        <v>670</v>
      </c>
      <c r="AA167" s="7" t="s">
        <v>1973</v>
      </c>
      <c r="AB167" s="7" t="s">
        <v>2665</v>
      </c>
      <c r="AC167" t="s">
        <v>2666</v>
      </c>
      <c r="AD167" s="7" t="s">
        <v>137</v>
      </c>
      <c r="AE167" s="7" t="s">
        <v>2667</v>
      </c>
    </row>
    <row r="168" spans="1:31" ht="14.25" customHeight="1" x14ac:dyDescent="0.2">
      <c r="A168" t="s">
        <v>2668</v>
      </c>
      <c r="B168" t="s">
        <v>2669</v>
      </c>
      <c r="C168" t="s">
        <v>2670</v>
      </c>
      <c r="D168" t="s">
        <v>2671</v>
      </c>
      <c r="E168" s="4" t="s">
        <v>2672</v>
      </c>
      <c r="F168" t="s">
        <v>2673</v>
      </c>
      <c r="G168" s="5">
        <v>43811</v>
      </c>
      <c r="H168" t="s">
        <v>2674</v>
      </c>
      <c r="I168" t="s">
        <v>260</v>
      </c>
      <c r="J168" t="s">
        <v>1947</v>
      </c>
      <c r="K168" t="s">
        <v>839</v>
      </c>
      <c r="L168">
        <v>916</v>
      </c>
      <c r="M168">
        <v>565</v>
      </c>
      <c r="N168">
        <v>1100</v>
      </c>
      <c r="O168">
        <v>725</v>
      </c>
      <c r="P168" t="s">
        <v>2675</v>
      </c>
      <c r="Q168" t="s">
        <v>2676</v>
      </c>
      <c r="R168" t="s">
        <v>842</v>
      </c>
      <c r="S168" t="s">
        <v>2677</v>
      </c>
      <c r="T168" t="s">
        <v>283</v>
      </c>
      <c r="U168" t="s">
        <v>1436</v>
      </c>
      <c r="V168" t="s">
        <v>2022</v>
      </c>
      <c r="W168" t="s">
        <v>281</v>
      </c>
      <c r="X168" t="s">
        <v>601</v>
      </c>
      <c r="Y168" t="s">
        <v>2022</v>
      </c>
      <c r="Z168" t="s">
        <v>283</v>
      </c>
      <c r="AA168" s="7" t="s">
        <v>1973</v>
      </c>
      <c r="AB168" s="7" t="s">
        <v>2678</v>
      </c>
      <c r="AC168" t="s">
        <v>2679</v>
      </c>
      <c r="AD168" s="7" t="s">
        <v>137</v>
      </c>
      <c r="AE168" s="7" t="s">
        <v>2680</v>
      </c>
    </row>
    <row r="169" spans="1:31" ht="14.25" customHeight="1" x14ac:dyDescent="0.2">
      <c r="A169" t="s">
        <v>2681</v>
      </c>
      <c r="B169" t="s">
        <v>2682</v>
      </c>
      <c r="C169" t="s">
        <v>2683</v>
      </c>
      <c r="D169" t="s">
        <v>2684</v>
      </c>
      <c r="E169" s="4" t="s">
        <v>2685</v>
      </c>
      <c r="F169" t="s">
        <v>2686</v>
      </c>
      <c r="G169" s="5">
        <v>43708</v>
      </c>
      <c r="H169" t="s">
        <v>2687</v>
      </c>
      <c r="I169" t="s">
        <v>260</v>
      </c>
      <c r="J169" t="s">
        <v>1947</v>
      </c>
      <c r="K169" t="s">
        <v>839</v>
      </c>
      <c r="L169">
        <v>764</v>
      </c>
      <c r="M169">
        <v>472</v>
      </c>
      <c r="N169">
        <v>1100</v>
      </c>
      <c r="O169">
        <v>725</v>
      </c>
      <c r="P169" t="s">
        <v>2688</v>
      </c>
      <c r="Q169" t="s">
        <v>2689</v>
      </c>
      <c r="R169" t="s">
        <v>842</v>
      </c>
      <c r="S169" t="s">
        <v>2690</v>
      </c>
      <c r="T169" t="s">
        <v>1987</v>
      </c>
      <c r="U169" t="s">
        <v>718</v>
      </c>
      <c r="V169" t="s">
        <v>2020</v>
      </c>
      <c r="W169" t="s">
        <v>1261</v>
      </c>
      <c r="X169" t="s">
        <v>1140</v>
      </c>
      <c r="Y169" t="s">
        <v>2022</v>
      </c>
      <c r="Z169" t="s">
        <v>370</v>
      </c>
      <c r="AA169" s="7" t="s">
        <v>2039</v>
      </c>
      <c r="AB169" s="7" t="s">
        <v>2691</v>
      </c>
      <c r="AC169" t="s">
        <v>2692</v>
      </c>
      <c r="AD169" s="7" t="s">
        <v>137</v>
      </c>
      <c r="AE169" s="7" t="s">
        <v>2693</v>
      </c>
    </row>
    <row r="170" spans="1:31" ht="14.25" customHeight="1" x14ac:dyDescent="0.2">
      <c r="A170" t="s">
        <v>2694</v>
      </c>
      <c r="B170" t="s">
        <v>2695</v>
      </c>
      <c r="C170" t="s">
        <v>2696</v>
      </c>
      <c r="D170" t="s">
        <v>2697</v>
      </c>
      <c r="E170" s="4" t="s">
        <v>2698</v>
      </c>
      <c r="F170" t="s">
        <v>2699</v>
      </c>
      <c r="G170" s="5">
        <v>43370</v>
      </c>
      <c r="H170" t="s">
        <v>276</v>
      </c>
      <c r="I170" t="s">
        <v>121</v>
      </c>
      <c r="J170" t="s">
        <v>1947</v>
      </c>
      <c r="K170" t="s">
        <v>839</v>
      </c>
      <c r="L170">
        <v>711</v>
      </c>
      <c r="M170">
        <v>486</v>
      </c>
      <c r="N170">
        <v>1100</v>
      </c>
      <c r="O170">
        <v>725</v>
      </c>
      <c r="P170" t="s">
        <v>2700</v>
      </c>
      <c r="Q170" t="s">
        <v>2701</v>
      </c>
      <c r="R170" t="s">
        <v>842</v>
      </c>
      <c r="S170" t="s">
        <v>2702</v>
      </c>
      <c r="T170" t="s">
        <v>1987</v>
      </c>
      <c r="U170" t="s">
        <v>2703</v>
      </c>
      <c r="V170" t="s">
        <v>2185</v>
      </c>
      <c r="W170" t="s">
        <v>2704</v>
      </c>
      <c r="X170" t="s">
        <v>371</v>
      </c>
      <c r="Y170" t="s">
        <v>1972</v>
      </c>
      <c r="Z170" t="s">
        <v>2203</v>
      </c>
      <c r="AA170" s="7" t="s">
        <v>1973</v>
      </c>
      <c r="AB170" s="7" t="s">
        <v>2705</v>
      </c>
      <c r="AC170" t="s">
        <v>268</v>
      </c>
      <c r="AD170" s="7" t="s">
        <v>56</v>
      </c>
      <c r="AE170" s="7" t="s">
        <v>2706</v>
      </c>
    </row>
    <row r="171" spans="1:31" ht="14.25" customHeight="1" x14ac:dyDescent="0.2">
      <c r="A171" t="s">
        <v>2707</v>
      </c>
      <c r="B171" t="s">
        <v>2708</v>
      </c>
      <c r="C171" t="s">
        <v>2709</v>
      </c>
      <c r="D171" t="s">
        <v>2710</v>
      </c>
      <c r="E171" s="4" t="s">
        <v>2711</v>
      </c>
      <c r="F171" t="s">
        <v>2712</v>
      </c>
      <c r="G171" s="5">
        <v>44606</v>
      </c>
      <c r="H171" t="s">
        <v>2713</v>
      </c>
      <c r="I171" t="s">
        <v>967</v>
      </c>
      <c r="J171" t="s">
        <v>1947</v>
      </c>
      <c r="K171" t="s">
        <v>949</v>
      </c>
      <c r="L171">
        <v>807</v>
      </c>
      <c r="M171">
        <v>468</v>
      </c>
      <c r="N171">
        <v>1100</v>
      </c>
      <c r="O171">
        <v>725</v>
      </c>
      <c r="P171" t="s">
        <v>2714</v>
      </c>
      <c r="Q171" t="s">
        <v>2715</v>
      </c>
      <c r="R171" t="s">
        <v>970</v>
      </c>
      <c r="S171" t="s">
        <v>2716</v>
      </c>
      <c r="T171" t="s">
        <v>2717</v>
      </c>
      <c r="U171" t="s">
        <v>2718</v>
      </c>
      <c r="V171" t="s">
        <v>1970</v>
      </c>
      <c r="W171" t="s">
        <v>2719</v>
      </c>
      <c r="X171" t="s">
        <v>2718</v>
      </c>
      <c r="Y171" t="s">
        <v>1972</v>
      </c>
      <c r="Z171" t="s">
        <v>2719</v>
      </c>
      <c r="AA171" s="7" t="s">
        <v>974</v>
      </c>
      <c r="AB171" s="7" t="s">
        <v>2720</v>
      </c>
      <c r="AC171" t="s">
        <v>268</v>
      </c>
      <c r="AD171" s="7" t="s">
        <v>137</v>
      </c>
      <c r="AE171" s="7" t="s">
        <v>2721</v>
      </c>
    </row>
    <row r="172" spans="1:31" ht="14.25" customHeight="1" x14ac:dyDescent="0.2">
      <c r="A172" t="s">
        <v>2722</v>
      </c>
      <c r="B172" t="s">
        <v>2723</v>
      </c>
      <c r="C172" t="s">
        <v>2724</v>
      </c>
      <c r="D172" t="s">
        <v>2725</v>
      </c>
      <c r="E172" s="4" t="s">
        <v>2726</v>
      </c>
      <c r="F172" t="s">
        <v>2727</v>
      </c>
      <c r="G172" s="5">
        <v>44148</v>
      </c>
      <c r="H172" t="s">
        <v>2728</v>
      </c>
      <c r="I172" t="s">
        <v>967</v>
      </c>
      <c r="J172" t="s">
        <v>1947</v>
      </c>
      <c r="K172" t="s">
        <v>949</v>
      </c>
      <c r="L172">
        <v>807</v>
      </c>
      <c r="M172">
        <v>468</v>
      </c>
      <c r="N172">
        <v>1100</v>
      </c>
      <c r="O172">
        <v>725</v>
      </c>
      <c r="P172" t="s">
        <v>2729</v>
      </c>
      <c r="Q172" t="s">
        <v>2730</v>
      </c>
      <c r="R172" t="s">
        <v>970</v>
      </c>
      <c r="S172" t="s">
        <v>2406</v>
      </c>
      <c r="T172" t="s">
        <v>128</v>
      </c>
      <c r="U172" t="s">
        <v>2731</v>
      </c>
      <c r="V172" t="s">
        <v>1970</v>
      </c>
      <c r="W172" t="s">
        <v>2126</v>
      </c>
      <c r="X172" t="s">
        <v>2731</v>
      </c>
      <c r="Y172" t="s">
        <v>1972</v>
      </c>
      <c r="Z172" t="s">
        <v>2126</v>
      </c>
      <c r="AA172" s="7" t="s">
        <v>2039</v>
      </c>
      <c r="AB172" s="7" t="s">
        <v>2732</v>
      </c>
      <c r="AC172" t="s">
        <v>2733</v>
      </c>
      <c r="AD172" s="7" t="s">
        <v>2734</v>
      </c>
      <c r="AE172" s="7" t="s">
        <v>2735</v>
      </c>
    </row>
    <row r="173" spans="1:31" ht="14.25" customHeight="1" x14ac:dyDescent="0.2">
      <c r="A173" t="s">
        <v>2736</v>
      </c>
      <c r="B173" t="s">
        <v>2737</v>
      </c>
      <c r="C173" t="s">
        <v>2738</v>
      </c>
      <c r="D173" t="s">
        <v>2739</v>
      </c>
      <c r="E173" s="4" t="s">
        <v>2740</v>
      </c>
      <c r="F173" t="s">
        <v>2741</v>
      </c>
      <c r="G173" s="5">
        <v>43773</v>
      </c>
      <c r="H173" t="s">
        <v>2742</v>
      </c>
      <c r="I173" t="s">
        <v>967</v>
      </c>
      <c r="J173" t="s">
        <v>1947</v>
      </c>
      <c r="K173" t="s">
        <v>949</v>
      </c>
      <c r="L173">
        <v>967</v>
      </c>
      <c r="M173">
        <v>561</v>
      </c>
      <c r="N173">
        <v>1100</v>
      </c>
      <c r="O173">
        <v>725</v>
      </c>
      <c r="P173" t="s">
        <v>2743</v>
      </c>
      <c r="Q173" t="s">
        <v>2744</v>
      </c>
      <c r="R173" t="s">
        <v>970</v>
      </c>
      <c r="S173" t="s">
        <v>2745</v>
      </c>
      <c r="T173" t="s">
        <v>245</v>
      </c>
      <c r="U173" t="s">
        <v>2739</v>
      </c>
      <c r="V173" t="s">
        <v>2022</v>
      </c>
      <c r="W173" t="s">
        <v>2746</v>
      </c>
      <c r="X173" t="s">
        <v>2747</v>
      </c>
      <c r="Y173" t="s">
        <v>2022</v>
      </c>
      <c r="Z173" t="s">
        <v>1031</v>
      </c>
      <c r="AA173" s="7" t="s">
        <v>1956</v>
      </c>
      <c r="AB173" s="7" t="s">
        <v>706</v>
      </c>
      <c r="AC173" t="s">
        <v>2748</v>
      </c>
      <c r="AD173" s="7" t="s">
        <v>29</v>
      </c>
      <c r="AE173" s="7" t="s">
        <v>2749</v>
      </c>
    </row>
    <row r="174" spans="1:31" ht="14.25" customHeight="1" x14ac:dyDescent="0.2">
      <c r="A174" t="s">
        <v>2750</v>
      </c>
      <c r="B174" t="s">
        <v>2751</v>
      </c>
      <c r="C174" t="s">
        <v>2752</v>
      </c>
      <c r="D174" t="s">
        <v>2753</v>
      </c>
      <c r="E174" s="4" t="s">
        <v>2754</v>
      </c>
      <c r="F174" t="s">
        <v>2755</v>
      </c>
      <c r="G174" s="5">
        <v>43636</v>
      </c>
      <c r="H174" t="s">
        <v>2756</v>
      </c>
      <c r="I174" t="s">
        <v>967</v>
      </c>
      <c r="J174" t="s">
        <v>1947</v>
      </c>
      <c r="K174" t="s">
        <v>949</v>
      </c>
      <c r="L174">
        <v>783</v>
      </c>
      <c r="M174">
        <v>453</v>
      </c>
      <c r="N174">
        <v>1100</v>
      </c>
      <c r="O174">
        <v>725</v>
      </c>
      <c r="P174" t="s">
        <v>2757</v>
      </c>
      <c r="Q174" t="s">
        <v>2758</v>
      </c>
      <c r="R174" t="s">
        <v>970</v>
      </c>
      <c r="S174" t="s">
        <v>2759</v>
      </c>
      <c r="T174" t="s">
        <v>245</v>
      </c>
      <c r="U174" t="s">
        <v>1029</v>
      </c>
      <c r="V174" t="s">
        <v>1970</v>
      </c>
      <c r="W174" t="s">
        <v>1591</v>
      </c>
      <c r="X174" t="s">
        <v>1031</v>
      </c>
      <c r="Y174" t="s">
        <v>1972</v>
      </c>
      <c r="Z174" t="s">
        <v>1851</v>
      </c>
      <c r="AA174" s="7" t="s">
        <v>974</v>
      </c>
      <c r="AB174" s="7" t="s">
        <v>2760</v>
      </c>
      <c r="AC174" t="s">
        <v>1017</v>
      </c>
      <c r="AD174" s="7" t="s">
        <v>29</v>
      </c>
      <c r="AE174" s="7" t="s">
        <v>2761</v>
      </c>
    </row>
    <row r="175" spans="1:31" ht="14.25" customHeight="1" x14ac:dyDescent="0.2">
      <c r="A175" t="s">
        <v>2762</v>
      </c>
      <c r="B175" t="s">
        <v>2763</v>
      </c>
      <c r="C175" t="s">
        <v>2764</v>
      </c>
      <c r="D175" t="s">
        <v>2765</v>
      </c>
      <c r="E175" s="4" t="s">
        <v>2766</v>
      </c>
      <c r="F175" t="s">
        <v>2767</v>
      </c>
      <c r="G175" s="5">
        <v>43419</v>
      </c>
      <c r="H175" t="s">
        <v>2768</v>
      </c>
      <c r="I175" t="s">
        <v>967</v>
      </c>
      <c r="J175" t="s">
        <v>1947</v>
      </c>
      <c r="K175" t="s">
        <v>949</v>
      </c>
      <c r="L175">
        <v>938</v>
      </c>
      <c r="M175">
        <v>543</v>
      </c>
      <c r="N175">
        <v>1100</v>
      </c>
      <c r="O175">
        <v>725</v>
      </c>
      <c r="P175" t="s">
        <v>2769</v>
      </c>
      <c r="Q175" t="s">
        <v>2770</v>
      </c>
      <c r="R175" t="s">
        <v>970</v>
      </c>
      <c r="S175" t="s">
        <v>2771</v>
      </c>
      <c r="T175" t="s">
        <v>245</v>
      </c>
      <c r="U175" t="s">
        <v>2772</v>
      </c>
      <c r="V175" t="s">
        <v>2022</v>
      </c>
      <c r="W175" t="s">
        <v>2322</v>
      </c>
      <c r="X175" t="s">
        <v>1851</v>
      </c>
      <c r="Y175" t="s">
        <v>2022</v>
      </c>
      <c r="Z175" t="s">
        <v>1031</v>
      </c>
      <c r="AA175" s="7" t="s">
        <v>974</v>
      </c>
      <c r="AB175" s="7" t="s">
        <v>2773</v>
      </c>
      <c r="AC175" t="s">
        <v>2774</v>
      </c>
      <c r="AD175" s="7" t="s">
        <v>178</v>
      </c>
      <c r="AE175" s="7" t="s">
        <v>2775</v>
      </c>
    </row>
    <row r="176" spans="1:31" ht="14.25" customHeight="1" x14ac:dyDescent="0.2">
      <c r="A176" t="s">
        <v>2776</v>
      </c>
      <c r="B176" t="s">
        <v>2777</v>
      </c>
      <c r="C176" t="s">
        <v>2778</v>
      </c>
      <c r="D176" t="s">
        <v>2779</v>
      </c>
      <c r="E176" s="4" t="s">
        <v>2780</v>
      </c>
      <c r="F176" t="s">
        <v>2781</v>
      </c>
      <c r="G176" s="5">
        <v>43370</v>
      </c>
      <c r="H176" t="s">
        <v>276</v>
      </c>
      <c r="I176" t="s">
        <v>967</v>
      </c>
      <c r="J176" t="s">
        <v>1947</v>
      </c>
      <c r="K176" t="s">
        <v>949</v>
      </c>
      <c r="L176">
        <v>918</v>
      </c>
      <c r="M176">
        <v>533</v>
      </c>
      <c r="N176">
        <v>1100</v>
      </c>
      <c r="O176">
        <v>725</v>
      </c>
      <c r="P176" t="s">
        <v>2782</v>
      </c>
      <c r="Q176" t="s">
        <v>2783</v>
      </c>
      <c r="R176" t="s">
        <v>970</v>
      </c>
      <c r="S176" t="s">
        <v>2784</v>
      </c>
      <c r="T176" t="s">
        <v>245</v>
      </c>
      <c r="U176" t="s">
        <v>2322</v>
      </c>
      <c r="V176" t="s">
        <v>2184</v>
      </c>
      <c r="W176" t="s">
        <v>2185</v>
      </c>
      <c r="X176" t="s">
        <v>1031</v>
      </c>
      <c r="Y176" t="s">
        <v>1972</v>
      </c>
      <c r="Z176" t="s">
        <v>2004</v>
      </c>
      <c r="AA176" s="7" t="s">
        <v>2006</v>
      </c>
      <c r="AB176" s="7" t="s">
        <v>2785</v>
      </c>
      <c r="AC176" t="s">
        <v>268</v>
      </c>
      <c r="AD176" s="7" t="s">
        <v>52</v>
      </c>
      <c r="AE176" s="7" t="s">
        <v>2786</v>
      </c>
    </row>
    <row r="177" spans="1:31" ht="14.25" customHeight="1" x14ac:dyDescent="0.2">
      <c r="A177" t="s">
        <v>2787</v>
      </c>
      <c r="B177" t="s">
        <v>2788</v>
      </c>
      <c r="C177" t="s">
        <v>2789</v>
      </c>
      <c r="D177" t="s">
        <v>2790</v>
      </c>
      <c r="E177" s="4" t="s">
        <v>2791</v>
      </c>
      <c r="F177" t="s">
        <v>2792</v>
      </c>
      <c r="G177" s="5">
        <v>44442</v>
      </c>
      <c r="H177" t="s">
        <v>2793</v>
      </c>
      <c r="I177" t="s">
        <v>121</v>
      </c>
      <c r="J177" t="s">
        <v>1947</v>
      </c>
      <c r="K177" t="s">
        <v>1054</v>
      </c>
      <c r="L177">
        <v>755</v>
      </c>
      <c r="M177">
        <v>504</v>
      </c>
      <c r="N177">
        <v>1100</v>
      </c>
      <c r="O177">
        <v>725</v>
      </c>
      <c r="P177" t="s">
        <v>2794</v>
      </c>
      <c r="Q177" t="s">
        <v>2795</v>
      </c>
      <c r="R177" t="s">
        <v>1057</v>
      </c>
      <c r="S177" t="s">
        <v>2199</v>
      </c>
      <c r="T177" t="s">
        <v>1987</v>
      </c>
      <c r="U177" t="s">
        <v>2796</v>
      </c>
      <c r="V177" t="s">
        <v>2020</v>
      </c>
      <c r="W177" t="s">
        <v>2797</v>
      </c>
      <c r="X177" t="s">
        <v>2798</v>
      </c>
      <c r="Y177" t="s">
        <v>2022</v>
      </c>
      <c r="Z177" t="s">
        <v>2799</v>
      </c>
      <c r="AA177" s="7" t="s">
        <v>2393</v>
      </c>
      <c r="AB177" s="7" t="s">
        <v>2800</v>
      </c>
      <c r="AC177" t="s">
        <v>2801</v>
      </c>
      <c r="AD177" s="7" t="s">
        <v>137</v>
      </c>
      <c r="AE177" s="7" t="s">
        <v>2802</v>
      </c>
    </row>
    <row r="178" spans="1:31" ht="14.25" customHeight="1" x14ac:dyDescent="0.2">
      <c r="A178" t="s">
        <v>2803</v>
      </c>
      <c r="B178" t="s">
        <v>2804</v>
      </c>
      <c r="C178" t="s">
        <v>2805</v>
      </c>
      <c r="D178" t="s">
        <v>2806</v>
      </c>
      <c r="E178" s="4" t="s">
        <v>2807</v>
      </c>
      <c r="F178" t="s">
        <v>2808</v>
      </c>
      <c r="G178" s="5">
        <v>44329</v>
      </c>
      <c r="H178" t="s">
        <v>2809</v>
      </c>
      <c r="I178" t="s">
        <v>121</v>
      </c>
      <c r="J178" t="s">
        <v>1947</v>
      </c>
      <c r="K178" t="s">
        <v>1054</v>
      </c>
      <c r="L178">
        <v>755</v>
      </c>
      <c r="M178">
        <v>504</v>
      </c>
      <c r="N178">
        <v>1100</v>
      </c>
      <c r="O178">
        <v>725</v>
      </c>
      <c r="P178" t="s">
        <v>2810</v>
      </c>
      <c r="Q178" t="s">
        <v>2811</v>
      </c>
      <c r="R178" t="s">
        <v>1057</v>
      </c>
      <c r="S178" t="s">
        <v>2125</v>
      </c>
      <c r="T178" t="s">
        <v>1987</v>
      </c>
      <c r="U178" t="s">
        <v>2812</v>
      </c>
      <c r="V178" t="s">
        <v>1970</v>
      </c>
      <c r="W178" t="s">
        <v>2813</v>
      </c>
      <c r="X178" t="s">
        <v>2814</v>
      </c>
      <c r="Y178" t="s">
        <v>1972</v>
      </c>
      <c r="Z178" t="s">
        <v>154</v>
      </c>
      <c r="AA178" s="7" t="s">
        <v>1956</v>
      </c>
      <c r="AB178" s="7" t="s">
        <v>2815</v>
      </c>
      <c r="AC178" t="s">
        <v>2816</v>
      </c>
      <c r="AD178" s="7" t="s">
        <v>56</v>
      </c>
      <c r="AE178" s="7" t="s">
        <v>2817</v>
      </c>
    </row>
    <row r="179" spans="1:31" ht="14.25" customHeight="1" x14ac:dyDescent="0.2">
      <c r="A179" t="s">
        <v>2818</v>
      </c>
      <c r="B179" t="s">
        <v>2819</v>
      </c>
      <c r="C179" t="s">
        <v>2820</v>
      </c>
      <c r="D179" t="s">
        <v>2821</v>
      </c>
      <c r="E179" s="4" t="s">
        <v>2822</v>
      </c>
      <c r="F179" t="s">
        <v>2823</v>
      </c>
      <c r="G179" s="5">
        <v>44148</v>
      </c>
      <c r="H179" t="s">
        <v>2824</v>
      </c>
      <c r="I179" t="s">
        <v>121</v>
      </c>
      <c r="J179" t="s">
        <v>1947</v>
      </c>
      <c r="K179" t="s">
        <v>1054</v>
      </c>
      <c r="L179">
        <v>755</v>
      </c>
      <c r="M179">
        <v>504</v>
      </c>
      <c r="N179">
        <v>1100</v>
      </c>
      <c r="O179">
        <v>725</v>
      </c>
      <c r="P179" t="s">
        <v>2825</v>
      </c>
      <c r="Q179" t="s">
        <v>2826</v>
      </c>
      <c r="R179" t="s">
        <v>1057</v>
      </c>
      <c r="S179" t="s">
        <v>2199</v>
      </c>
      <c r="T179" t="s">
        <v>1987</v>
      </c>
      <c r="U179" t="s">
        <v>2520</v>
      </c>
      <c r="V179" t="s">
        <v>1970</v>
      </c>
      <c r="W179" t="s">
        <v>2126</v>
      </c>
      <c r="X179" t="s">
        <v>2520</v>
      </c>
      <c r="Y179" t="s">
        <v>1972</v>
      </c>
      <c r="Z179" t="s">
        <v>2126</v>
      </c>
      <c r="AA179" s="7" t="s">
        <v>2393</v>
      </c>
      <c r="AB179" s="7" t="s">
        <v>2827</v>
      </c>
      <c r="AC179" t="s">
        <v>2828</v>
      </c>
      <c r="AD179" s="7" t="s">
        <v>52</v>
      </c>
      <c r="AE179" s="7" t="s">
        <v>2829</v>
      </c>
    </row>
    <row r="180" spans="1:31" ht="14.25" customHeight="1" x14ac:dyDescent="0.2">
      <c r="A180" t="s">
        <v>2830</v>
      </c>
      <c r="B180" t="s">
        <v>2831</v>
      </c>
      <c r="C180" t="s">
        <v>2832</v>
      </c>
      <c r="D180" t="s">
        <v>2833</v>
      </c>
      <c r="E180" s="4" t="s">
        <v>2834</v>
      </c>
      <c r="F180" t="s">
        <v>2835</v>
      </c>
      <c r="G180" s="5">
        <v>44442</v>
      </c>
      <c r="H180" t="s">
        <v>2836</v>
      </c>
      <c r="I180" t="s">
        <v>121</v>
      </c>
      <c r="J180" t="s">
        <v>2837</v>
      </c>
      <c r="K180" t="s">
        <v>123</v>
      </c>
      <c r="L180">
        <v>758</v>
      </c>
      <c r="M180">
        <v>502</v>
      </c>
      <c r="N180">
        <v>1100</v>
      </c>
      <c r="O180">
        <v>725</v>
      </c>
      <c r="P180" t="s">
        <v>2838</v>
      </c>
      <c r="Q180" t="s">
        <v>2839</v>
      </c>
      <c r="R180" t="s">
        <v>126</v>
      </c>
      <c r="S180" t="s">
        <v>2840</v>
      </c>
      <c r="T180" t="s">
        <v>779</v>
      </c>
      <c r="U180" t="s">
        <v>2841</v>
      </c>
      <c r="V180" t="s">
        <v>2842</v>
      </c>
      <c r="W180" t="s">
        <v>1903</v>
      </c>
      <c r="X180" t="s">
        <v>2843</v>
      </c>
      <c r="Y180" t="s">
        <v>2844</v>
      </c>
      <c r="Z180" t="s">
        <v>1903</v>
      </c>
      <c r="AA180" s="7" t="s">
        <v>2845</v>
      </c>
      <c r="AB180" s="7" t="s">
        <v>2846</v>
      </c>
      <c r="AC180" t="s">
        <v>2847</v>
      </c>
      <c r="AD180" s="7" t="s">
        <v>28</v>
      </c>
      <c r="AE180" s="7" t="s">
        <v>2848</v>
      </c>
    </row>
    <row r="181" spans="1:31" ht="14.25" customHeight="1" x14ac:dyDescent="0.2">
      <c r="A181" t="s">
        <v>2849</v>
      </c>
      <c r="B181" t="s">
        <v>2850</v>
      </c>
      <c r="C181" t="s">
        <v>2851</v>
      </c>
      <c r="D181" t="s">
        <v>2852</v>
      </c>
      <c r="E181" s="4" t="s">
        <v>2853</v>
      </c>
      <c r="F181" t="s">
        <v>2854</v>
      </c>
      <c r="G181" s="5">
        <v>44165</v>
      </c>
      <c r="H181" t="s">
        <v>2855</v>
      </c>
      <c r="I181" t="s">
        <v>121</v>
      </c>
      <c r="J181" t="s">
        <v>2837</v>
      </c>
      <c r="K181" t="s">
        <v>123</v>
      </c>
      <c r="L181">
        <v>758</v>
      </c>
      <c r="M181">
        <v>502</v>
      </c>
      <c r="N181">
        <v>1100</v>
      </c>
      <c r="O181">
        <v>725</v>
      </c>
      <c r="P181" t="s">
        <v>2856</v>
      </c>
      <c r="Q181" t="s">
        <v>2857</v>
      </c>
      <c r="R181" t="s">
        <v>126</v>
      </c>
      <c r="S181" t="s">
        <v>2858</v>
      </c>
      <c r="T181" t="s">
        <v>128</v>
      </c>
      <c r="U181" t="s">
        <v>2859</v>
      </c>
      <c r="V181" t="s">
        <v>2860</v>
      </c>
      <c r="W181" t="s">
        <v>2861</v>
      </c>
      <c r="X181" t="s">
        <v>2859</v>
      </c>
      <c r="Y181" t="s">
        <v>2862</v>
      </c>
      <c r="Z181" t="s">
        <v>154</v>
      </c>
      <c r="AA181" s="7" t="s">
        <v>175</v>
      </c>
      <c r="AB181" s="7" t="s">
        <v>2863</v>
      </c>
      <c r="AC181" t="s">
        <v>2864</v>
      </c>
      <c r="AD181" s="7" t="s">
        <v>178</v>
      </c>
      <c r="AE181" s="7" t="s">
        <v>2865</v>
      </c>
    </row>
    <row r="182" spans="1:31" ht="14.25" customHeight="1" x14ac:dyDescent="0.2">
      <c r="A182" t="s">
        <v>2866</v>
      </c>
      <c r="B182" t="s">
        <v>2867</v>
      </c>
      <c r="C182" t="s">
        <v>2868</v>
      </c>
      <c r="D182" t="s">
        <v>2869</v>
      </c>
      <c r="E182" s="4" t="s">
        <v>2870</v>
      </c>
      <c r="F182" t="s">
        <v>2871</v>
      </c>
      <c r="G182" s="5">
        <v>43735</v>
      </c>
      <c r="H182" t="s">
        <v>2872</v>
      </c>
      <c r="I182" t="s">
        <v>121</v>
      </c>
      <c r="J182" t="s">
        <v>2837</v>
      </c>
      <c r="K182" t="s">
        <v>123</v>
      </c>
      <c r="L182">
        <v>908</v>
      </c>
      <c r="M182">
        <v>602</v>
      </c>
      <c r="N182">
        <v>1100</v>
      </c>
      <c r="O182">
        <v>725</v>
      </c>
      <c r="P182" t="s">
        <v>2873</v>
      </c>
      <c r="Q182" t="s">
        <v>2874</v>
      </c>
      <c r="R182" t="s">
        <v>1950</v>
      </c>
      <c r="S182" t="s">
        <v>2875</v>
      </c>
      <c r="T182" t="s">
        <v>2876</v>
      </c>
      <c r="U182" t="s">
        <v>2877</v>
      </c>
      <c r="V182" t="s">
        <v>2878</v>
      </c>
      <c r="W182" t="s">
        <v>2879</v>
      </c>
      <c r="X182" t="s">
        <v>2880</v>
      </c>
      <c r="Y182" t="s">
        <v>2881</v>
      </c>
      <c r="Z182" t="s">
        <v>2879</v>
      </c>
      <c r="AA182" s="7" t="s">
        <v>2882</v>
      </c>
      <c r="AB182" s="7" t="s">
        <v>2883</v>
      </c>
      <c r="AC182" t="s">
        <v>2884</v>
      </c>
      <c r="AD182" s="7" t="s">
        <v>1128</v>
      </c>
      <c r="AE182" s="7" t="s">
        <v>2885</v>
      </c>
    </row>
    <row r="183" spans="1:31" ht="14.25" customHeight="1" x14ac:dyDescent="0.2">
      <c r="A183" t="s">
        <v>2886</v>
      </c>
      <c r="B183" t="s">
        <v>2887</v>
      </c>
      <c r="C183" t="s">
        <v>2888</v>
      </c>
      <c r="D183" t="s">
        <v>2889</v>
      </c>
      <c r="E183" s="4" t="s">
        <v>2890</v>
      </c>
      <c r="F183" t="s">
        <v>2891</v>
      </c>
      <c r="G183" s="5">
        <v>43581</v>
      </c>
      <c r="H183" t="s">
        <v>2892</v>
      </c>
      <c r="I183" t="s">
        <v>121</v>
      </c>
      <c r="J183" t="s">
        <v>2837</v>
      </c>
      <c r="K183" t="s">
        <v>123</v>
      </c>
      <c r="L183">
        <v>883</v>
      </c>
      <c r="M183">
        <v>584</v>
      </c>
      <c r="N183">
        <v>1100</v>
      </c>
      <c r="O183">
        <v>725</v>
      </c>
      <c r="P183" t="s">
        <v>2893</v>
      </c>
      <c r="Q183" t="s">
        <v>2894</v>
      </c>
      <c r="R183" t="s">
        <v>126</v>
      </c>
      <c r="S183" t="s">
        <v>2858</v>
      </c>
      <c r="T183" t="s">
        <v>128</v>
      </c>
      <c r="U183" t="s">
        <v>2895</v>
      </c>
      <c r="V183" t="s">
        <v>2862</v>
      </c>
      <c r="W183" t="s">
        <v>316</v>
      </c>
      <c r="X183" t="s">
        <v>154</v>
      </c>
      <c r="Y183" t="s">
        <v>2862</v>
      </c>
      <c r="Z183" t="s">
        <v>319</v>
      </c>
      <c r="AA183" s="7" t="s">
        <v>2845</v>
      </c>
      <c r="AB183" s="7" t="s">
        <v>2896</v>
      </c>
      <c r="AC183" t="s">
        <v>2897</v>
      </c>
      <c r="AD183" s="7" t="s">
        <v>137</v>
      </c>
      <c r="AE183" s="7" t="s">
        <v>2898</v>
      </c>
    </row>
    <row r="184" spans="1:31" ht="14.25" customHeight="1" x14ac:dyDescent="0.2">
      <c r="A184" t="s">
        <v>2899</v>
      </c>
      <c r="B184" t="s">
        <v>2900</v>
      </c>
      <c r="C184" t="s">
        <v>2901</v>
      </c>
      <c r="D184" t="s">
        <v>2902</v>
      </c>
      <c r="E184" s="4" t="s">
        <v>2903</v>
      </c>
      <c r="F184" t="s">
        <v>2904</v>
      </c>
      <c r="G184" s="5">
        <v>43524</v>
      </c>
      <c r="H184" t="s">
        <v>2905</v>
      </c>
      <c r="I184" t="s">
        <v>121</v>
      </c>
      <c r="J184" t="s">
        <v>2837</v>
      </c>
      <c r="K184" t="s">
        <v>123</v>
      </c>
      <c r="L184">
        <v>908</v>
      </c>
      <c r="M184">
        <v>602</v>
      </c>
      <c r="N184">
        <v>1100</v>
      </c>
      <c r="O184">
        <v>725</v>
      </c>
      <c r="P184" t="s">
        <v>2906</v>
      </c>
      <c r="Q184" t="s">
        <v>2907</v>
      </c>
      <c r="R184" t="s">
        <v>126</v>
      </c>
      <c r="S184" t="s">
        <v>2908</v>
      </c>
      <c r="T184" t="s">
        <v>245</v>
      </c>
      <c r="U184" t="s">
        <v>2909</v>
      </c>
      <c r="V184" t="s">
        <v>2844</v>
      </c>
      <c r="W184" t="s">
        <v>2910</v>
      </c>
      <c r="X184" t="s">
        <v>2911</v>
      </c>
      <c r="Y184" t="s">
        <v>2844</v>
      </c>
      <c r="Z184" t="s">
        <v>2912</v>
      </c>
      <c r="AA184" s="7" t="s">
        <v>2845</v>
      </c>
      <c r="AB184" s="7" t="s">
        <v>419</v>
      </c>
      <c r="AC184" t="s">
        <v>2913</v>
      </c>
      <c r="AD184" s="7" t="s">
        <v>58</v>
      </c>
      <c r="AE184" s="7" t="s">
        <v>2914</v>
      </c>
    </row>
    <row r="185" spans="1:31" ht="14.25" customHeight="1" x14ac:dyDescent="0.2">
      <c r="A185" t="s">
        <v>2915</v>
      </c>
      <c r="B185" t="s">
        <v>2916</v>
      </c>
      <c r="C185" t="s">
        <v>2917</v>
      </c>
      <c r="D185" t="s">
        <v>2918</v>
      </c>
      <c r="E185" s="4" t="s">
        <v>2919</v>
      </c>
      <c r="F185" t="s">
        <v>2920</v>
      </c>
      <c r="G185" s="5">
        <v>43524</v>
      </c>
      <c r="H185" t="s">
        <v>2921</v>
      </c>
      <c r="I185" t="s">
        <v>121</v>
      </c>
      <c r="J185" t="s">
        <v>2837</v>
      </c>
      <c r="K185" t="s">
        <v>123</v>
      </c>
      <c r="L185">
        <v>735</v>
      </c>
      <c r="M185">
        <v>486</v>
      </c>
      <c r="N185">
        <v>1100</v>
      </c>
      <c r="O185">
        <v>725</v>
      </c>
      <c r="P185" t="s">
        <v>2922</v>
      </c>
      <c r="Q185" t="s">
        <v>2923</v>
      </c>
      <c r="R185" t="s">
        <v>126</v>
      </c>
      <c r="S185" t="s">
        <v>2924</v>
      </c>
      <c r="T185" t="s">
        <v>128</v>
      </c>
      <c r="U185" t="s">
        <v>1563</v>
      </c>
      <c r="V185" t="s">
        <v>2842</v>
      </c>
      <c r="W185" t="s">
        <v>924</v>
      </c>
      <c r="X185" t="s">
        <v>154</v>
      </c>
      <c r="Y185" t="s">
        <v>2844</v>
      </c>
      <c r="Z185" t="s">
        <v>1140</v>
      </c>
      <c r="AA185" s="7" t="s">
        <v>2925</v>
      </c>
      <c r="AB185" s="7" t="s">
        <v>2926</v>
      </c>
      <c r="AC185" t="s">
        <v>2927</v>
      </c>
      <c r="AD185" s="7" t="s">
        <v>137</v>
      </c>
      <c r="AE185" s="7" t="s">
        <v>2928</v>
      </c>
    </row>
    <row r="186" spans="1:31" ht="14.25" customHeight="1" x14ac:dyDescent="0.2">
      <c r="A186" t="s">
        <v>2929</v>
      </c>
      <c r="B186" t="s">
        <v>2930</v>
      </c>
      <c r="C186" t="s">
        <v>2931</v>
      </c>
      <c r="D186" t="s">
        <v>2932</v>
      </c>
      <c r="E186" s="4" t="s">
        <v>2933</v>
      </c>
      <c r="F186" t="s">
        <v>2934</v>
      </c>
      <c r="G186" s="5">
        <v>43370</v>
      </c>
      <c r="H186" t="s">
        <v>2935</v>
      </c>
      <c r="I186" t="s">
        <v>121</v>
      </c>
      <c r="J186" t="s">
        <v>2837</v>
      </c>
      <c r="K186" t="s">
        <v>123</v>
      </c>
      <c r="L186">
        <v>720</v>
      </c>
      <c r="M186">
        <v>477</v>
      </c>
      <c r="N186">
        <v>1100</v>
      </c>
      <c r="O186">
        <v>725</v>
      </c>
      <c r="P186" t="s">
        <v>2936</v>
      </c>
      <c r="Q186" t="s">
        <v>2937</v>
      </c>
      <c r="R186" t="s">
        <v>126</v>
      </c>
      <c r="S186" t="s">
        <v>2938</v>
      </c>
      <c r="T186" t="s">
        <v>128</v>
      </c>
      <c r="U186" t="s">
        <v>2939</v>
      </c>
      <c r="V186" t="s">
        <v>2940</v>
      </c>
      <c r="W186" t="s">
        <v>2377</v>
      </c>
      <c r="X186" t="s">
        <v>618</v>
      </c>
      <c r="Y186" t="s">
        <v>2844</v>
      </c>
      <c r="Z186" t="s">
        <v>2941</v>
      </c>
      <c r="AA186" s="7" t="s">
        <v>2925</v>
      </c>
      <c r="AB186" s="7" t="s">
        <v>2942</v>
      </c>
      <c r="AC186" t="s">
        <v>2943</v>
      </c>
      <c r="AD186" s="7" t="s">
        <v>60</v>
      </c>
      <c r="AE186" s="7" t="s">
        <v>2944</v>
      </c>
    </row>
    <row r="187" spans="1:31" ht="14.25" customHeight="1" x14ac:dyDescent="0.2">
      <c r="A187" t="s">
        <v>2945</v>
      </c>
      <c r="B187" t="s">
        <v>2946</v>
      </c>
      <c r="C187" t="s">
        <v>2947</v>
      </c>
      <c r="D187" t="s">
        <v>2948</v>
      </c>
      <c r="E187" s="4" t="s">
        <v>2949</v>
      </c>
      <c r="F187" t="s">
        <v>2950</v>
      </c>
      <c r="G187" s="5">
        <v>44512</v>
      </c>
      <c r="H187" t="s">
        <v>2951</v>
      </c>
      <c r="I187" t="s">
        <v>121</v>
      </c>
      <c r="J187" t="s">
        <v>2837</v>
      </c>
      <c r="K187" t="s">
        <v>330</v>
      </c>
      <c r="L187">
        <v>745</v>
      </c>
      <c r="M187">
        <v>517</v>
      </c>
      <c r="N187">
        <v>1100</v>
      </c>
      <c r="O187">
        <v>725</v>
      </c>
      <c r="P187" t="s">
        <v>2952</v>
      </c>
      <c r="Q187" t="s">
        <v>2953</v>
      </c>
      <c r="R187" t="s">
        <v>333</v>
      </c>
      <c r="S187" t="s">
        <v>2954</v>
      </c>
      <c r="T187" t="s">
        <v>2955</v>
      </c>
      <c r="U187" t="s">
        <v>2956</v>
      </c>
      <c r="V187" t="s">
        <v>2842</v>
      </c>
      <c r="W187" t="s">
        <v>2957</v>
      </c>
      <c r="X187" t="s">
        <v>2958</v>
      </c>
      <c r="Y187" t="s">
        <v>2844</v>
      </c>
      <c r="Z187" t="s">
        <v>2957</v>
      </c>
      <c r="AA187" s="7" t="s">
        <v>2959</v>
      </c>
      <c r="AB187" s="7" t="s">
        <v>2960</v>
      </c>
      <c r="AC187" t="s">
        <v>2961</v>
      </c>
      <c r="AD187" s="7" t="s">
        <v>137</v>
      </c>
      <c r="AE187" s="7" t="s">
        <v>2962</v>
      </c>
    </row>
    <row r="188" spans="1:31" ht="14.25" customHeight="1" x14ac:dyDescent="0.2">
      <c r="A188" t="s">
        <v>2963</v>
      </c>
      <c r="B188" t="s">
        <v>2964</v>
      </c>
      <c r="C188" t="s">
        <v>2965</v>
      </c>
      <c r="D188" t="s">
        <v>2966</v>
      </c>
      <c r="E188" s="4" t="s">
        <v>2967</v>
      </c>
      <c r="F188" t="s">
        <v>2968</v>
      </c>
      <c r="G188" s="5">
        <v>44104</v>
      </c>
      <c r="H188" t="s">
        <v>2969</v>
      </c>
      <c r="I188" t="s">
        <v>241</v>
      </c>
      <c r="J188" t="s">
        <v>2837</v>
      </c>
      <c r="K188" t="s">
        <v>330</v>
      </c>
      <c r="L188">
        <v>782</v>
      </c>
      <c r="M188">
        <v>444</v>
      </c>
      <c r="N188">
        <v>1100</v>
      </c>
      <c r="O188">
        <v>725</v>
      </c>
      <c r="P188" t="s">
        <v>2970</v>
      </c>
      <c r="Q188" t="s">
        <v>2971</v>
      </c>
      <c r="R188" t="s">
        <v>333</v>
      </c>
      <c r="S188" t="s">
        <v>2972</v>
      </c>
      <c r="T188" t="s">
        <v>2973</v>
      </c>
      <c r="U188" t="s">
        <v>2974</v>
      </c>
      <c r="V188" t="s">
        <v>2860</v>
      </c>
      <c r="W188" t="s">
        <v>2975</v>
      </c>
      <c r="X188" t="s">
        <v>2976</v>
      </c>
      <c r="Y188" t="s">
        <v>2862</v>
      </c>
      <c r="Z188" t="s">
        <v>2977</v>
      </c>
      <c r="AA188" s="7" t="s">
        <v>2925</v>
      </c>
      <c r="AB188" s="7" t="s">
        <v>2978</v>
      </c>
      <c r="AC188" t="s">
        <v>2979</v>
      </c>
      <c r="AD188" s="7" t="s">
        <v>137</v>
      </c>
      <c r="AE188" s="7" t="s">
        <v>2980</v>
      </c>
    </row>
    <row r="189" spans="1:31" ht="14.25" customHeight="1" x14ac:dyDescent="0.2">
      <c r="A189" t="s">
        <v>2981</v>
      </c>
      <c r="B189" t="s">
        <v>2982</v>
      </c>
      <c r="C189" t="s">
        <v>2983</v>
      </c>
      <c r="D189" t="s">
        <v>2984</v>
      </c>
      <c r="E189" s="4" t="s">
        <v>2985</v>
      </c>
      <c r="F189" t="s">
        <v>2986</v>
      </c>
      <c r="G189" s="5">
        <v>43853</v>
      </c>
      <c r="H189" t="s">
        <v>2987</v>
      </c>
      <c r="I189" t="s">
        <v>121</v>
      </c>
      <c r="J189" t="s">
        <v>2837</v>
      </c>
      <c r="K189" t="s">
        <v>330</v>
      </c>
      <c r="L189">
        <v>893</v>
      </c>
      <c r="M189">
        <v>619</v>
      </c>
      <c r="N189">
        <v>1100</v>
      </c>
      <c r="O189">
        <v>725</v>
      </c>
      <c r="P189" t="s">
        <v>2988</v>
      </c>
      <c r="Q189" t="s">
        <v>2989</v>
      </c>
      <c r="R189" t="s">
        <v>333</v>
      </c>
      <c r="S189" t="s">
        <v>2990</v>
      </c>
      <c r="T189" t="s">
        <v>2973</v>
      </c>
      <c r="U189" t="s">
        <v>2991</v>
      </c>
      <c r="V189" t="s">
        <v>2992</v>
      </c>
      <c r="W189" t="s">
        <v>245</v>
      </c>
      <c r="X189" t="s">
        <v>2991</v>
      </c>
      <c r="Y189" t="s">
        <v>2992</v>
      </c>
      <c r="Z189" t="s">
        <v>249</v>
      </c>
      <c r="AA189" s="7" t="s">
        <v>387</v>
      </c>
      <c r="AB189" s="7" t="s">
        <v>2993</v>
      </c>
      <c r="AC189" t="s">
        <v>2994</v>
      </c>
      <c r="AD189" s="7" t="s">
        <v>28</v>
      </c>
      <c r="AE189" s="7" t="s">
        <v>2995</v>
      </c>
    </row>
    <row r="190" spans="1:31" ht="14.25" customHeight="1" x14ac:dyDescent="0.2">
      <c r="A190" t="s">
        <v>2996</v>
      </c>
      <c r="B190" t="s">
        <v>2997</v>
      </c>
      <c r="C190" t="s">
        <v>2998</v>
      </c>
      <c r="D190" t="s">
        <v>2999</v>
      </c>
      <c r="E190" s="4" t="s">
        <v>3000</v>
      </c>
      <c r="F190" t="s">
        <v>3001</v>
      </c>
      <c r="G190" s="5">
        <v>43599</v>
      </c>
      <c r="H190" t="s">
        <v>3002</v>
      </c>
      <c r="I190" t="s">
        <v>121</v>
      </c>
      <c r="J190" t="s">
        <v>2837</v>
      </c>
      <c r="K190" t="s">
        <v>330</v>
      </c>
      <c r="L190">
        <v>745</v>
      </c>
      <c r="M190">
        <v>517</v>
      </c>
      <c r="N190">
        <v>1100</v>
      </c>
      <c r="O190">
        <v>725</v>
      </c>
      <c r="P190" t="s">
        <v>3003</v>
      </c>
      <c r="Q190" t="s">
        <v>3004</v>
      </c>
      <c r="R190" t="s">
        <v>333</v>
      </c>
      <c r="S190" t="s">
        <v>3005</v>
      </c>
      <c r="T190" t="s">
        <v>2973</v>
      </c>
      <c r="U190" t="s">
        <v>3006</v>
      </c>
      <c r="V190" t="s">
        <v>2842</v>
      </c>
      <c r="W190" t="s">
        <v>3007</v>
      </c>
      <c r="X190" t="s">
        <v>3008</v>
      </c>
      <c r="Y190" t="s">
        <v>2844</v>
      </c>
      <c r="Z190" t="s">
        <v>910</v>
      </c>
      <c r="AA190" s="7" t="s">
        <v>2925</v>
      </c>
      <c r="AB190" s="7" t="s">
        <v>3009</v>
      </c>
      <c r="AC190" t="s">
        <v>3010</v>
      </c>
      <c r="AD190" s="7" t="s">
        <v>689</v>
      </c>
      <c r="AE190" s="7" t="s">
        <v>3011</v>
      </c>
    </row>
    <row r="191" spans="1:31" ht="14.25" customHeight="1" x14ac:dyDescent="0.2">
      <c r="A191" t="s">
        <v>3012</v>
      </c>
      <c r="B191" t="s">
        <v>3013</v>
      </c>
      <c r="C191" t="s">
        <v>3014</v>
      </c>
      <c r="D191" t="s">
        <v>3015</v>
      </c>
      <c r="E191" s="4" t="s">
        <v>3016</v>
      </c>
      <c r="F191" t="s">
        <v>3017</v>
      </c>
      <c r="G191" s="5">
        <v>43830</v>
      </c>
      <c r="H191" t="s">
        <v>3018</v>
      </c>
      <c r="I191" t="s">
        <v>260</v>
      </c>
      <c r="J191" t="s">
        <v>2837</v>
      </c>
      <c r="K191" t="s">
        <v>330</v>
      </c>
      <c r="L191">
        <v>744</v>
      </c>
      <c r="M191">
        <v>468</v>
      </c>
      <c r="N191">
        <v>1100</v>
      </c>
      <c r="O191">
        <v>725</v>
      </c>
      <c r="P191" t="s">
        <v>3019</v>
      </c>
      <c r="Q191" t="s">
        <v>3020</v>
      </c>
      <c r="R191" t="s">
        <v>333</v>
      </c>
      <c r="S191" t="s">
        <v>3021</v>
      </c>
      <c r="T191" t="s">
        <v>24234</v>
      </c>
      <c r="U191" t="s">
        <v>3022</v>
      </c>
      <c r="V191" t="s">
        <v>3023</v>
      </c>
      <c r="W191" t="s">
        <v>3024</v>
      </c>
      <c r="X191" t="s">
        <v>518</v>
      </c>
      <c r="Y191" t="s">
        <v>2862</v>
      </c>
      <c r="Z191" t="s">
        <v>1140</v>
      </c>
      <c r="AA191" s="7" t="s">
        <v>2925</v>
      </c>
      <c r="AB191" s="7" t="s">
        <v>3025</v>
      </c>
      <c r="AC191" t="s">
        <v>3026</v>
      </c>
      <c r="AD191" s="7" t="s">
        <v>178</v>
      </c>
      <c r="AE191" s="7" t="s">
        <v>3027</v>
      </c>
    </row>
    <row r="192" spans="1:31" ht="14.25" customHeight="1" x14ac:dyDescent="0.2">
      <c r="A192" t="s">
        <v>3028</v>
      </c>
      <c r="B192" t="s">
        <v>3029</v>
      </c>
      <c r="C192" t="s">
        <v>3030</v>
      </c>
      <c r="D192" t="s">
        <v>3031</v>
      </c>
      <c r="E192" s="4" t="s">
        <v>3032</v>
      </c>
      <c r="F192" t="s">
        <v>3033</v>
      </c>
      <c r="G192" s="5">
        <v>43599</v>
      </c>
      <c r="H192" t="s">
        <v>3034</v>
      </c>
      <c r="I192" t="s">
        <v>121</v>
      </c>
      <c r="J192" t="s">
        <v>2837</v>
      </c>
      <c r="K192" t="s">
        <v>330</v>
      </c>
      <c r="L192">
        <v>722</v>
      </c>
      <c r="M192">
        <v>501</v>
      </c>
      <c r="N192">
        <v>1100</v>
      </c>
      <c r="O192">
        <v>725</v>
      </c>
      <c r="P192" t="s">
        <v>3035</v>
      </c>
      <c r="Q192" t="s">
        <v>3036</v>
      </c>
      <c r="R192" t="s">
        <v>333</v>
      </c>
      <c r="S192" t="s">
        <v>3037</v>
      </c>
      <c r="T192" t="s">
        <v>2973</v>
      </c>
      <c r="U192" t="s">
        <v>3038</v>
      </c>
      <c r="V192" t="s">
        <v>2860</v>
      </c>
      <c r="W192" t="s">
        <v>3039</v>
      </c>
      <c r="X192" t="s">
        <v>154</v>
      </c>
      <c r="Y192" t="s">
        <v>2862</v>
      </c>
      <c r="Z192" t="s">
        <v>2605</v>
      </c>
      <c r="AA192" s="7" t="s">
        <v>2845</v>
      </c>
      <c r="AB192" s="7" t="s">
        <v>3040</v>
      </c>
      <c r="AC192" t="s">
        <v>3041</v>
      </c>
      <c r="AD192" s="7" t="s">
        <v>58</v>
      </c>
      <c r="AE192" s="7" t="s">
        <v>3042</v>
      </c>
    </row>
    <row r="193" spans="1:31" ht="14.25" customHeight="1" x14ac:dyDescent="0.2">
      <c r="A193" t="s">
        <v>3043</v>
      </c>
      <c r="B193" t="s">
        <v>3044</v>
      </c>
      <c r="C193" t="s">
        <v>3045</v>
      </c>
      <c r="D193" t="s">
        <v>3046</v>
      </c>
      <c r="E193" s="4" t="s">
        <v>3047</v>
      </c>
      <c r="F193" t="s">
        <v>3048</v>
      </c>
      <c r="G193" s="5">
        <v>43390</v>
      </c>
      <c r="H193" t="s">
        <v>3049</v>
      </c>
      <c r="I193" t="s">
        <v>121</v>
      </c>
      <c r="J193" t="s">
        <v>2837</v>
      </c>
      <c r="K193" t="s">
        <v>330</v>
      </c>
      <c r="L193">
        <v>847</v>
      </c>
      <c r="M193">
        <v>588</v>
      </c>
      <c r="N193">
        <v>1100</v>
      </c>
      <c r="O193">
        <v>725</v>
      </c>
      <c r="P193" t="s">
        <v>3050</v>
      </c>
      <c r="Q193" t="s">
        <v>3051</v>
      </c>
      <c r="R193" t="s">
        <v>333</v>
      </c>
      <c r="S193" t="s">
        <v>3052</v>
      </c>
      <c r="T193" t="s">
        <v>190</v>
      </c>
      <c r="U193" t="s">
        <v>973</v>
      </c>
      <c r="V193" t="s">
        <v>3053</v>
      </c>
      <c r="W193" t="s">
        <v>3023</v>
      </c>
      <c r="X193" t="s">
        <v>154</v>
      </c>
      <c r="Y193" t="s">
        <v>2862</v>
      </c>
      <c r="Z193" t="s">
        <v>1231</v>
      </c>
      <c r="AA193" s="7" t="s">
        <v>2925</v>
      </c>
      <c r="AB193" s="7" t="s">
        <v>3054</v>
      </c>
      <c r="AC193" t="s">
        <v>3055</v>
      </c>
      <c r="AD193" s="7" t="s">
        <v>28</v>
      </c>
      <c r="AE193" s="7" t="s">
        <v>3056</v>
      </c>
    </row>
    <row r="194" spans="1:31" ht="14.25" customHeight="1" x14ac:dyDescent="0.2">
      <c r="A194" t="s">
        <v>3057</v>
      </c>
      <c r="B194" t="s">
        <v>3058</v>
      </c>
      <c r="C194" t="s">
        <v>3059</v>
      </c>
      <c r="D194" t="s">
        <v>3060</v>
      </c>
      <c r="E194" s="4" t="s">
        <v>3061</v>
      </c>
      <c r="F194" t="s">
        <v>3062</v>
      </c>
      <c r="G194" s="5">
        <v>44452</v>
      </c>
      <c r="H194" t="s">
        <v>3063</v>
      </c>
      <c r="I194" t="s">
        <v>121</v>
      </c>
      <c r="J194" t="s">
        <v>2837</v>
      </c>
      <c r="K194" t="s">
        <v>429</v>
      </c>
      <c r="L194">
        <v>763</v>
      </c>
      <c r="M194">
        <v>497</v>
      </c>
      <c r="N194">
        <v>1100</v>
      </c>
      <c r="O194">
        <v>725</v>
      </c>
      <c r="P194" t="s">
        <v>3064</v>
      </c>
      <c r="Q194" t="s">
        <v>3065</v>
      </c>
      <c r="R194" t="s">
        <v>385</v>
      </c>
      <c r="S194" t="s">
        <v>2972</v>
      </c>
      <c r="T194" t="s">
        <v>2973</v>
      </c>
      <c r="U194" t="s">
        <v>3066</v>
      </c>
      <c r="V194" t="s">
        <v>2860</v>
      </c>
      <c r="W194" t="s">
        <v>3067</v>
      </c>
      <c r="X194" t="s">
        <v>3068</v>
      </c>
      <c r="Y194" t="s">
        <v>2862</v>
      </c>
      <c r="Z194" t="s">
        <v>3069</v>
      </c>
      <c r="AA194" s="7" t="s">
        <v>2925</v>
      </c>
      <c r="AB194" s="7" t="s">
        <v>3070</v>
      </c>
      <c r="AC194" t="s">
        <v>3071</v>
      </c>
      <c r="AD194" s="7" t="s">
        <v>3072</v>
      </c>
      <c r="AE194" s="7" t="s">
        <v>3073</v>
      </c>
    </row>
    <row r="195" spans="1:31" ht="14.25" customHeight="1" x14ac:dyDescent="0.2">
      <c r="A195" t="s">
        <v>3074</v>
      </c>
      <c r="B195" t="s">
        <v>3075</v>
      </c>
      <c r="C195" t="s">
        <v>3076</v>
      </c>
      <c r="D195" t="s">
        <v>3077</v>
      </c>
      <c r="E195" s="4" t="s">
        <v>3078</v>
      </c>
      <c r="F195" t="s">
        <v>3079</v>
      </c>
      <c r="G195" s="5">
        <v>44057</v>
      </c>
      <c r="H195" t="s">
        <v>3080</v>
      </c>
      <c r="I195" t="s">
        <v>121</v>
      </c>
      <c r="J195" t="s">
        <v>2837</v>
      </c>
      <c r="K195" t="s">
        <v>429</v>
      </c>
      <c r="L195">
        <v>763</v>
      </c>
      <c r="M195">
        <v>497</v>
      </c>
      <c r="N195">
        <v>1100</v>
      </c>
      <c r="O195">
        <v>725</v>
      </c>
      <c r="P195" t="s">
        <v>3081</v>
      </c>
      <c r="Q195" t="s">
        <v>3082</v>
      </c>
      <c r="R195" t="s">
        <v>385</v>
      </c>
      <c r="S195" t="s">
        <v>3005</v>
      </c>
      <c r="T195" t="s">
        <v>2973</v>
      </c>
      <c r="U195" t="s">
        <v>3083</v>
      </c>
      <c r="V195" t="s">
        <v>2842</v>
      </c>
      <c r="W195" t="s">
        <v>3084</v>
      </c>
      <c r="X195" t="s">
        <v>3085</v>
      </c>
      <c r="Y195" t="s">
        <v>2844</v>
      </c>
      <c r="Z195" t="s">
        <v>1779</v>
      </c>
      <c r="AA195" s="7" t="s">
        <v>2845</v>
      </c>
      <c r="AB195" s="7" t="s">
        <v>3086</v>
      </c>
      <c r="AC195" t="s">
        <v>3087</v>
      </c>
      <c r="AD195" s="7" t="s">
        <v>137</v>
      </c>
      <c r="AE195" s="7" t="s">
        <v>3088</v>
      </c>
    </row>
    <row r="196" spans="1:31" ht="14.25" customHeight="1" x14ac:dyDescent="0.2">
      <c r="A196" t="s">
        <v>3089</v>
      </c>
      <c r="B196" t="s">
        <v>3090</v>
      </c>
      <c r="C196" t="s">
        <v>3091</v>
      </c>
      <c r="D196" t="s">
        <v>3092</v>
      </c>
      <c r="E196" s="4" t="s">
        <v>3093</v>
      </c>
      <c r="F196" t="s">
        <v>3094</v>
      </c>
      <c r="G196" s="5">
        <v>43978</v>
      </c>
      <c r="H196" t="s">
        <v>3095</v>
      </c>
      <c r="I196" t="s">
        <v>121</v>
      </c>
      <c r="J196" t="s">
        <v>2837</v>
      </c>
      <c r="K196" t="s">
        <v>429</v>
      </c>
      <c r="L196">
        <v>724</v>
      </c>
      <c r="M196">
        <v>472</v>
      </c>
      <c r="N196">
        <v>1100</v>
      </c>
      <c r="O196">
        <v>725</v>
      </c>
      <c r="P196" t="s">
        <v>3096</v>
      </c>
      <c r="Q196" t="s">
        <v>3097</v>
      </c>
      <c r="R196" t="s">
        <v>385</v>
      </c>
      <c r="S196" t="s">
        <v>2990</v>
      </c>
      <c r="T196" t="s">
        <v>2973</v>
      </c>
      <c r="U196" t="s">
        <v>733</v>
      </c>
      <c r="V196" t="s">
        <v>2842</v>
      </c>
      <c r="W196" t="s">
        <v>2605</v>
      </c>
      <c r="X196" t="s">
        <v>518</v>
      </c>
      <c r="Y196" t="s">
        <v>2844</v>
      </c>
      <c r="Z196" t="s">
        <v>2605</v>
      </c>
      <c r="AA196" s="7" t="s">
        <v>2845</v>
      </c>
      <c r="AB196" s="7" t="s">
        <v>3098</v>
      </c>
      <c r="AC196" t="s">
        <v>3099</v>
      </c>
      <c r="AD196" s="7" t="s">
        <v>58</v>
      </c>
      <c r="AE196" s="7" t="s">
        <v>3100</v>
      </c>
    </row>
    <row r="197" spans="1:31" ht="14.25" customHeight="1" x14ac:dyDescent="0.2">
      <c r="A197" t="s">
        <v>3101</v>
      </c>
      <c r="B197" t="s">
        <v>3102</v>
      </c>
      <c r="C197" t="s">
        <v>3103</v>
      </c>
      <c r="D197" t="s">
        <v>3104</v>
      </c>
      <c r="E197" s="4" t="s">
        <v>3105</v>
      </c>
      <c r="F197" t="s">
        <v>3106</v>
      </c>
      <c r="G197" s="5">
        <v>43830</v>
      </c>
      <c r="H197" t="s">
        <v>3107</v>
      </c>
      <c r="I197" t="s">
        <v>121</v>
      </c>
      <c r="J197" t="s">
        <v>2837</v>
      </c>
      <c r="K197" t="s">
        <v>429</v>
      </c>
      <c r="L197">
        <v>763</v>
      </c>
      <c r="M197">
        <v>497</v>
      </c>
      <c r="N197">
        <v>1100</v>
      </c>
      <c r="O197">
        <v>725</v>
      </c>
      <c r="P197" t="s">
        <v>3108</v>
      </c>
      <c r="Q197" t="s">
        <v>3109</v>
      </c>
      <c r="R197" t="s">
        <v>385</v>
      </c>
      <c r="S197" t="s">
        <v>3110</v>
      </c>
      <c r="T197" t="s">
        <v>353</v>
      </c>
      <c r="U197" t="s">
        <v>354</v>
      </c>
      <c r="V197" t="s">
        <v>2860</v>
      </c>
      <c r="W197" t="s">
        <v>2605</v>
      </c>
      <c r="X197" t="s">
        <v>229</v>
      </c>
      <c r="Y197" t="s">
        <v>2862</v>
      </c>
      <c r="Z197" t="s">
        <v>2605</v>
      </c>
      <c r="AA197" s="7" t="s">
        <v>2845</v>
      </c>
      <c r="AB197" s="7" t="s">
        <v>3111</v>
      </c>
      <c r="AC197" t="s">
        <v>3112</v>
      </c>
      <c r="AD197" s="7" t="s">
        <v>137</v>
      </c>
      <c r="AE197" s="7" t="s">
        <v>3113</v>
      </c>
    </row>
    <row r="198" spans="1:31" ht="14.25" customHeight="1" x14ac:dyDescent="0.2">
      <c r="A198" t="s">
        <v>3114</v>
      </c>
      <c r="B198" t="s">
        <v>3115</v>
      </c>
      <c r="C198" t="s">
        <v>3116</v>
      </c>
      <c r="D198" t="s">
        <v>3117</v>
      </c>
      <c r="E198" s="4" t="s">
        <v>3118</v>
      </c>
      <c r="F198" t="s">
        <v>3119</v>
      </c>
      <c r="G198" s="5">
        <v>43555</v>
      </c>
      <c r="H198" t="s">
        <v>3120</v>
      </c>
      <c r="I198" t="s">
        <v>121</v>
      </c>
      <c r="J198" t="s">
        <v>2837</v>
      </c>
      <c r="K198" t="s">
        <v>429</v>
      </c>
      <c r="L198">
        <v>740</v>
      </c>
      <c r="M198">
        <v>481</v>
      </c>
      <c r="N198">
        <v>1100</v>
      </c>
      <c r="O198">
        <v>725</v>
      </c>
      <c r="P198" t="s">
        <v>3121</v>
      </c>
      <c r="Q198" t="s">
        <v>3122</v>
      </c>
      <c r="R198" t="s">
        <v>385</v>
      </c>
      <c r="S198" t="s">
        <v>3037</v>
      </c>
      <c r="T198" t="s">
        <v>2973</v>
      </c>
      <c r="U198" t="s">
        <v>3123</v>
      </c>
      <c r="V198" t="s">
        <v>2860</v>
      </c>
      <c r="W198" t="s">
        <v>3039</v>
      </c>
      <c r="X198" t="s">
        <v>319</v>
      </c>
      <c r="Y198" t="s">
        <v>2862</v>
      </c>
      <c r="Z198" t="s">
        <v>2605</v>
      </c>
      <c r="AA198" s="7" t="s">
        <v>2845</v>
      </c>
      <c r="AB198" s="7" t="s">
        <v>3124</v>
      </c>
      <c r="AC198" t="s">
        <v>3125</v>
      </c>
      <c r="AD198" s="7" t="s">
        <v>137</v>
      </c>
      <c r="AE198" s="7" t="s">
        <v>3126</v>
      </c>
    </row>
    <row r="199" spans="1:31" ht="14.25" customHeight="1" x14ac:dyDescent="0.2">
      <c r="A199" t="s">
        <v>3127</v>
      </c>
      <c r="B199" t="s">
        <v>3128</v>
      </c>
      <c r="C199" t="s">
        <v>3129</v>
      </c>
      <c r="D199" t="s">
        <v>3130</v>
      </c>
      <c r="E199" s="4" t="s">
        <v>3131</v>
      </c>
      <c r="F199" t="s">
        <v>3132</v>
      </c>
      <c r="G199" s="5">
        <v>43480</v>
      </c>
      <c r="H199" t="s">
        <v>3133</v>
      </c>
      <c r="I199" t="s">
        <v>260</v>
      </c>
      <c r="J199" t="s">
        <v>2837</v>
      </c>
      <c r="K199" t="s">
        <v>429</v>
      </c>
      <c r="L199">
        <v>779</v>
      </c>
      <c r="M199">
        <v>459</v>
      </c>
      <c r="N199">
        <v>1100</v>
      </c>
      <c r="O199">
        <v>725</v>
      </c>
      <c r="P199" t="s">
        <v>3134</v>
      </c>
      <c r="Q199" t="s">
        <v>3135</v>
      </c>
      <c r="R199" t="s">
        <v>385</v>
      </c>
      <c r="S199" t="s">
        <v>3136</v>
      </c>
      <c r="T199" t="s">
        <v>353</v>
      </c>
      <c r="U199" t="s">
        <v>3137</v>
      </c>
      <c r="V199" t="s">
        <v>2842</v>
      </c>
      <c r="W199" t="s">
        <v>3138</v>
      </c>
      <c r="X199" t="s">
        <v>910</v>
      </c>
      <c r="Y199" t="s">
        <v>2844</v>
      </c>
      <c r="Z199" t="s">
        <v>301</v>
      </c>
      <c r="AA199" s="7" t="s">
        <v>3139</v>
      </c>
      <c r="AB199" s="7" t="s">
        <v>3140</v>
      </c>
      <c r="AC199" t="s">
        <v>3141</v>
      </c>
      <c r="AD199" s="7" t="s">
        <v>137</v>
      </c>
      <c r="AE199" s="7" t="s">
        <v>3142</v>
      </c>
    </row>
    <row r="200" spans="1:31" ht="14.25" customHeight="1" x14ac:dyDescent="0.2">
      <c r="A200" t="s">
        <v>3143</v>
      </c>
      <c r="B200" t="s">
        <v>3144</v>
      </c>
      <c r="C200" t="s">
        <v>3145</v>
      </c>
      <c r="D200" t="s">
        <v>3146</v>
      </c>
      <c r="E200" s="4" t="s">
        <v>3147</v>
      </c>
      <c r="F200" t="s">
        <v>3148</v>
      </c>
      <c r="G200" s="5">
        <v>43370</v>
      </c>
      <c r="H200" s="3" t="s">
        <v>3149</v>
      </c>
      <c r="I200" t="s">
        <v>260</v>
      </c>
      <c r="J200" t="s">
        <v>2837</v>
      </c>
      <c r="K200" t="s">
        <v>429</v>
      </c>
      <c r="L200">
        <v>763</v>
      </c>
      <c r="M200">
        <v>450</v>
      </c>
      <c r="N200">
        <v>1100</v>
      </c>
      <c r="O200">
        <v>725</v>
      </c>
      <c r="P200" t="s">
        <v>3150</v>
      </c>
      <c r="Q200" t="s">
        <v>3151</v>
      </c>
      <c r="R200" t="s">
        <v>385</v>
      </c>
      <c r="S200" t="s">
        <v>3152</v>
      </c>
      <c r="T200" t="s">
        <v>2973</v>
      </c>
      <c r="U200" t="s">
        <v>3138</v>
      </c>
      <c r="V200" t="s">
        <v>3023</v>
      </c>
      <c r="W200" t="s">
        <v>3153</v>
      </c>
      <c r="X200" t="s">
        <v>301</v>
      </c>
      <c r="Y200" t="s">
        <v>2862</v>
      </c>
      <c r="Z200" t="s">
        <v>2097</v>
      </c>
      <c r="AA200" s="7" t="s">
        <v>387</v>
      </c>
      <c r="AB200" s="7" t="s">
        <v>3154</v>
      </c>
      <c r="AC200" t="s">
        <v>3155</v>
      </c>
      <c r="AD200" s="7" t="s">
        <v>28</v>
      </c>
      <c r="AE200" s="7" t="s">
        <v>3156</v>
      </c>
    </row>
    <row r="201" spans="1:31" ht="14.25" customHeight="1" x14ac:dyDescent="0.2">
      <c r="A201" t="s">
        <v>3157</v>
      </c>
      <c r="B201" t="s">
        <v>3158</v>
      </c>
      <c r="C201" t="s">
        <v>3159</v>
      </c>
      <c r="D201" t="s">
        <v>3160</v>
      </c>
      <c r="E201" s="4" t="s">
        <v>3161</v>
      </c>
      <c r="F201" t="s">
        <v>3162</v>
      </c>
      <c r="G201" s="5">
        <v>44596</v>
      </c>
      <c r="H201" t="s">
        <v>3163</v>
      </c>
      <c r="I201" t="s">
        <v>121</v>
      </c>
      <c r="J201" t="s">
        <v>2837</v>
      </c>
      <c r="K201" t="s">
        <v>543</v>
      </c>
      <c r="L201">
        <v>747</v>
      </c>
      <c r="M201">
        <v>515</v>
      </c>
      <c r="N201">
        <v>1100</v>
      </c>
      <c r="O201">
        <v>725</v>
      </c>
      <c r="P201" t="s">
        <v>3164</v>
      </c>
      <c r="Q201" t="s">
        <v>3165</v>
      </c>
      <c r="R201" t="s">
        <v>563</v>
      </c>
      <c r="S201" t="s">
        <v>3166</v>
      </c>
      <c r="T201" t="s">
        <v>3167</v>
      </c>
      <c r="U201" t="s">
        <v>3168</v>
      </c>
      <c r="V201" t="s">
        <v>3169</v>
      </c>
      <c r="W201" t="s">
        <v>3170</v>
      </c>
      <c r="X201" t="s">
        <v>3168</v>
      </c>
      <c r="Y201" t="s">
        <v>2881</v>
      </c>
      <c r="Z201" t="s">
        <v>3171</v>
      </c>
      <c r="AA201" s="7" t="s">
        <v>3172</v>
      </c>
      <c r="AB201" s="7" t="s">
        <v>3173</v>
      </c>
      <c r="AC201" t="s">
        <v>3174</v>
      </c>
      <c r="AD201" s="7" t="s">
        <v>137</v>
      </c>
      <c r="AE201" s="7" t="s">
        <v>3175</v>
      </c>
    </row>
    <row r="202" spans="1:31" ht="14.25" customHeight="1" x14ac:dyDescent="0.2">
      <c r="A202" t="s">
        <v>3176</v>
      </c>
      <c r="B202" t="s">
        <v>3177</v>
      </c>
      <c r="C202" t="s">
        <v>3178</v>
      </c>
      <c r="D202" t="s">
        <v>3179</v>
      </c>
      <c r="E202" s="4" t="s">
        <v>3180</v>
      </c>
      <c r="F202" t="s">
        <v>3181</v>
      </c>
      <c r="G202" s="5">
        <v>44407</v>
      </c>
      <c r="H202" t="s">
        <v>3182</v>
      </c>
      <c r="I202" t="s">
        <v>121</v>
      </c>
      <c r="J202" t="s">
        <v>2837</v>
      </c>
      <c r="K202" t="s">
        <v>543</v>
      </c>
      <c r="L202">
        <v>747</v>
      </c>
      <c r="M202">
        <v>515</v>
      </c>
      <c r="N202">
        <v>1100</v>
      </c>
      <c r="O202">
        <v>725</v>
      </c>
      <c r="P202" t="s">
        <v>3183</v>
      </c>
      <c r="Q202" t="s">
        <v>3184</v>
      </c>
      <c r="R202" t="s">
        <v>581</v>
      </c>
      <c r="S202" t="s">
        <v>3185</v>
      </c>
      <c r="T202" t="s">
        <v>24234</v>
      </c>
      <c r="U202" t="s">
        <v>3186</v>
      </c>
      <c r="V202" t="s">
        <v>3187</v>
      </c>
      <c r="W202" t="s">
        <v>894</v>
      </c>
      <c r="X202" t="s">
        <v>3188</v>
      </c>
      <c r="Y202" t="s">
        <v>2881</v>
      </c>
      <c r="Z202" t="s">
        <v>896</v>
      </c>
      <c r="AA202" s="7" t="s">
        <v>2959</v>
      </c>
      <c r="AB202" s="7" t="s">
        <v>1763</v>
      </c>
      <c r="AC202" t="s">
        <v>3189</v>
      </c>
      <c r="AD202" s="7" t="s">
        <v>60</v>
      </c>
      <c r="AE202" s="7" t="s">
        <v>3190</v>
      </c>
    </row>
    <row r="203" spans="1:31" ht="14.25" customHeight="1" x14ac:dyDescent="0.2">
      <c r="A203" t="s">
        <v>3191</v>
      </c>
      <c r="B203" t="s">
        <v>3192</v>
      </c>
      <c r="C203" t="s">
        <v>3193</v>
      </c>
      <c r="D203" t="s">
        <v>3194</v>
      </c>
      <c r="E203" s="4" t="s">
        <v>3195</v>
      </c>
      <c r="F203" t="s">
        <v>3196</v>
      </c>
      <c r="G203" s="5">
        <v>44227</v>
      </c>
      <c r="H203" t="s">
        <v>3197</v>
      </c>
      <c r="I203" t="s">
        <v>121</v>
      </c>
      <c r="J203" t="s">
        <v>2837</v>
      </c>
      <c r="K203" t="s">
        <v>543</v>
      </c>
      <c r="L203">
        <v>709</v>
      </c>
      <c r="M203">
        <v>489</v>
      </c>
      <c r="N203">
        <v>1100</v>
      </c>
      <c r="O203">
        <v>725</v>
      </c>
      <c r="P203" t="s">
        <v>3198</v>
      </c>
      <c r="Q203" t="s">
        <v>3199</v>
      </c>
      <c r="R203" t="s">
        <v>3200</v>
      </c>
      <c r="S203" t="s">
        <v>3201</v>
      </c>
      <c r="T203" t="s">
        <v>970</v>
      </c>
      <c r="U203" t="s">
        <v>3202</v>
      </c>
      <c r="V203" t="s">
        <v>2860</v>
      </c>
      <c r="W203" t="s">
        <v>3203</v>
      </c>
      <c r="X203" t="s">
        <v>3204</v>
      </c>
      <c r="Y203" t="s">
        <v>2862</v>
      </c>
      <c r="Z203" t="s">
        <v>249</v>
      </c>
      <c r="AA203" s="7" t="s">
        <v>2925</v>
      </c>
      <c r="AB203" s="7" t="s">
        <v>3205</v>
      </c>
      <c r="AC203" t="s">
        <v>3206</v>
      </c>
      <c r="AD203" s="7" t="s">
        <v>137</v>
      </c>
      <c r="AE203" s="7" t="s">
        <v>3207</v>
      </c>
    </row>
    <row r="204" spans="1:31" ht="14.25" customHeight="1" x14ac:dyDescent="0.2">
      <c r="A204" t="s">
        <v>3208</v>
      </c>
      <c r="B204" t="s">
        <v>3209</v>
      </c>
      <c r="C204" t="s">
        <v>3210</v>
      </c>
      <c r="D204" t="s">
        <v>3211</v>
      </c>
      <c r="E204" s="4" t="s">
        <v>3212</v>
      </c>
      <c r="F204" t="s">
        <v>3213</v>
      </c>
      <c r="G204" s="5">
        <v>43980</v>
      </c>
      <c r="H204" t="s">
        <v>3214</v>
      </c>
      <c r="I204" t="s">
        <v>121</v>
      </c>
      <c r="J204" t="s">
        <v>2837</v>
      </c>
      <c r="K204" t="s">
        <v>543</v>
      </c>
      <c r="L204">
        <v>747</v>
      </c>
      <c r="M204">
        <v>515</v>
      </c>
      <c r="N204">
        <v>1100</v>
      </c>
      <c r="O204">
        <v>725</v>
      </c>
      <c r="P204" t="s">
        <v>3215</v>
      </c>
      <c r="Q204" t="s">
        <v>3216</v>
      </c>
      <c r="R204" t="s">
        <v>563</v>
      </c>
      <c r="S204" t="s">
        <v>2990</v>
      </c>
      <c r="T204" t="s">
        <v>2973</v>
      </c>
      <c r="U204" t="s">
        <v>3217</v>
      </c>
      <c r="V204" t="s">
        <v>2860</v>
      </c>
      <c r="W204" t="s">
        <v>3218</v>
      </c>
      <c r="X204" t="s">
        <v>3219</v>
      </c>
      <c r="Y204" t="s">
        <v>2862</v>
      </c>
      <c r="Z204" t="s">
        <v>154</v>
      </c>
      <c r="AA204" s="7" t="s">
        <v>3139</v>
      </c>
      <c r="AB204" s="7" t="s">
        <v>3220</v>
      </c>
      <c r="AC204" t="s">
        <v>177</v>
      </c>
      <c r="AD204" s="7" t="s">
        <v>178</v>
      </c>
      <c r="AE204" s="7" t="s">
        <v>3221</v>
      </c>
    </row>
    <row r="205" spans="1:31" ht="14.25" customHeight="1" x14ac:dyDescent="0.2">
      <c r="A205" t="s">
        <v>3222</v>
      </c>
      <c r="B205" t="s">
        <v>3223</v>
      </c>
      <c r="C205" t="s">
        <v>3224</v>
      </c>
      <c r="D205" t="s">
        <v>3225</v>
      </c>
      <c r="E205" s="4" t="s">
        <v>3226</v>
      </c>
      <c r="F205" t="s">
        <v>3227</v>
      </c>
      <c r="G205" s="5">
        <v>43811</v>
      </c>
      <c r="H205" t="s">
        <v>3228</v>
      </c>
      <c r="I205" t="s">
        <v>121</v>
      </c>
      <c r="J205" t="s">
        <v>2837</v>
      </c>
      <c r="K205" t="s">
        <v>543</v>
      </c>
      <c r="L205">
        <v>747</v>
      </c>
      <c r="M205">
        <v>515</v>
      </c>
      <c r="N205">
        <v>1100</v>
      </c>
      <c r="O205">
        <v>725</v>
      </c>
      <c r="P205" t="s">
        <v>3229</v>
      </c>
      <c r="Q205" t="s">
        <v>3230</v>
      </c>
      <c r="R205" t="s">
        <v>563</v>
      </c>
      <c r="S205" t="s">
        <v>3231</v>
      </c>
      <c r="T205" t="s">
        <v>128</v>
      </c>
      <c r="U205" t="s">
        <v>1511</v>
      </c>
      <c r="V205" t="s">
        <v>2860</v>
      </c>
      <c r="W205" t="s">
        <v>3232</v>
      </c>
      <c r="X205" t="s">
        <v>417</v>
      </c>
      <c r="Y205" t="s">
        <v>2862</v>
      </c>
      <c r="Z205" t="s">
        <v>2097</v>
      </c>
      <c r="AA205" s="7" t="s">
        <v>175</v>
      </c>
      <c r="AB205" s="7" t="s">
        <v>3233</v>
      </c>
      <c r="AC205" t="s">
        <v>3234</v>
      </c>
      <c r="AD205" s="7" t="s">
        <v>137</v>
      </c>
      <c r="AE205" s="7" t="s">
        <v>3235</v>
      </c>
    </row>
    <row r="206" spans="1:31" ht="14.25" customHeight="1" x14ac:dyDescent="0.2">
      <c r="A206" t="s">
        <v>3236</v>
      </c>
      <c r="B206" t="s">
        <v>3237</v>
      </c>
      <c r="C206" t="s">
        <v>3238</v>
      </c>
      <c r="D206" t="s">
        <v>3239</v>
      </c>
      <c r="E206" s="4" t="s">
        <v>3240</v>
      </c>
      <c r="F206" t="s">
        <v>3241</v>
      </c>
      <c r="G206" s="5">
        <v>43370</v>
      </c>
      <c r="H206" t="s">
        <v>3242</v>
      </c>
      <c r="I206" t="s">
        <v>241</v>
      </c>
      <c r="J206" t="s">
        <v>2837</v>
      </c>
      <c r="K206" t="s">
        <v>543</v>
      </c>
      <c r="L206">
        <v>989</v>
      </c>
      <c r="M206">
        <v>558</v>
      </c>
      <c r="N206">
        <v>1100</v>
      </c>
      <c r="O206">
        <v>725</v>
      </c>
      <c r="P206" t="s">
        <v>3243</v>
      </c>
      <c r="Q206" t="s">
        <v>3244</v>
      </c>
      <c r="R206" t="s">
        <v>563</v>
      </c>
      <c r="S206" t="s">
        <v>2972</v>
      </c>
      <c r="T206" t="s">
        <v>2973</v>
      </c>
      <c r="U206" t="s">
        <v>3245</v>
      </c>
      <c r="V206" t="s">
        <v>2844</v>
      </c>
      <c r="W206" t="s">
        <v>2462</v>
      </c>
      <c r="X206" t="s">
        <v>3245</v>
      </c>
      <c r="Y206" t="s">
        <v>2844</v>
      </c>
      <c r="Z206" t="s">
        <v>1605</v>
      </c>
      <c r="AA206" s="7" t="s">
        <v>387</v>
      </c>
      <c r="AB206" s="7" t="s">
        <v>3246</v>
      </c>
      <c r="AC206" t="s">
        <v>3247</v>
      </c>
      <c r="AD206" s="7" t="s">
        <v>28</v>
      </c>
      <c r="AE206" s="7" t="s">
        <v>3248</v>
      </c>
    </row>
    <row r="207" spans="1:31" ht="14.25" customHeight="1" x14ac:dyDescent="0.2">
      <c r="A207" t="s">
        <v>3249</v>
      </c>
      <c r="B207" t="s">
        <v>3250</v>
      </c>
      <c r="C207" t="s">
        <v>3251</v>
      </c>
      <c r="D207" t="s">
        <v>3252</v>
      </c>
      <c r="E207" s="4" t="s">
        <v>3253</v>
      </c>
      <c r="F207" t="s">
        <v>3254</v>
      </c>
      <c r="G207" s="5">
        <v>43690</v>
      </c>
      <c r="H207" t="s">
        <v>3255</v>
      </c>
      <c r="I207" t="s">
        <v>121</v>
      </c>
      <c r="J207" t="s">
        <v>2837</v>
      </c>
      <c r="K207" t="s">
        <v>543</v>
      </c>
      <c r="L207">
        <v>724</v>
      </c>
      <c r="M207">
        <v>498</v>
      </c>
      <c r="N207">
        <v>1100</v>
      </c>
      <c r="O207">
        <v>725</v>
      </c>
      <c r="P207" t="s">
        <v>3256</v>
      </c>
      <c r="Q207" t="s">
        <v>3257</v>
      </c>
      <c r="R207" t="s">
        <v>563</v>
      </c>
      <c r="S207" t="s">
        <v>3258</v>
      </c>
      <c r="T207" t="s">
        <v>128</v>
      </c>
      <c r="U207" t="s">
        <v>1563</v>
      </c>
      <c r="V207" t="s">
        <v>2860</v>
      </c>
      <c r="W207" t="s">
        <v>3259</v>
      </c>
      <c r="X207" t="s">
        <v>154</v>
      </c>
      <c r="Y207" t="s">
        <v>2862</v>
      </c>
      <c r="Z207" t="s">
        <v>686</v>
      </c>
      <c r="AA207" s="7" t="s">
        <v>2925</v>
      </c>
      <c r="AB207" s="7" t="s">
        <v>3260</v>
      </c>
      <c r="AC207" t="s">
        <v>3261</v>
      </c>
      <c r="AD207" s="7" t="s">
        <v>689</v>
      </c>
      <c r="AE207" s="7" t="s">
        <v>3262</v>
      </c>
    </row>
    <row r="208" spans="1:31" ht="14.25" customHeight="1" x14ac:dyDescent="0.2">
      <c r="A208" t="s">
        <v>3263</v>
      </c>
      <c r="B208" t="s">
        <v>3264</v>
      </c>
      <c r="C208" t="s">
        <v>3265</v>
      </c>
      <c r="D208" t="s">
        <v>3266</v>
      </c>
      <c r="E208" s="4" t="s">
        <v>3267</v>
      </c>
      <c r="F208" t="s">
        <v>3268</v>
      </c>
      <c r="G208" s="5">
        <v>43370</v>
      </c>
      <c r="H208" t="s">
        <v>276</v>
      </c>
      <c r="I208" t="s">
        <v>241</v>
      </c>
      <c r="J208" t="s">
        <v>2837</v>
      </c>
      <c r="K208" t="s">
        <v>543</v>
      </c>
      <c r="L208">
        <v>784</v>
      </c>
      <c r="M208">
        <v>442</v>
      </c>
      <c r="N208">
        <v>1100</v>
      </c>
      <c r="O208">
        <v>725</v>
      </c>
      <c r="P208" t="s">
        <v>3269</v>
      </c>
      <c r="Q208" t="s">
        <v>3270</v>
      </c>
      <c r="R208" t="s">
        <v>563</v>
      </c>
      <c r="S208" t="s">
        <v>3271</v>
      </c>
      <c r="T208" t="s">
        <v>128</v>
      </c>
      <c r="U208" t="s">
        <v>3272</v>
      </c>
      <c r="V208" t="s">
        <v>3023</v>
      </c>
      <c r="W208" t="s">
        <v>3153</v>
      </c>
      <c r="X208" t="s">
        <v>618</v>
      </c>
      <c r="Y208" t="s">
        <v>2862</v>
      </c>
      <c r="Z208" t="s">
        <v>3273</v>
      </c>
      <c r="AA208" s="7" t="s">
        <v>3139</v>
      </c>
      <c r="AB208" s="7" t="s">
        <v>3274</v>
      </c>
      <c r="AC208" t="s">
        <v>3275</v>
      </c>
      <c r="AD208" s="7" t="s">
        <v>58</v>
      </c>
      <c r="AE208" s="7" t="s">
        <v>3276</v>
      </c>
    </row>
    <row r="209" spans="1:31" ht="14.25" customHeight="1" x14ac:dyDescent="0.2">
      <c r="A209" t="s">
        <v>3277</v>
      </c>
      <c r="B209" t="s">
        <v>3278</v>
      </c>
      <c r="C209" t="s">
        <v>3279</v>
      </c>
      <c r="D209" t="s">
        <v>3280</v>
      </c>
      <c r="E209" s="4" t="s">
        <v>3281</v>
      </c>
      <c r="F209" t="s">
        <v>3282</v>
      </c>
      <c r="G209" s="5">
        <v>44253</v>
      </c>
      <c r="H209" t="s">
        <v>3283</v>
      </c>
      <c r="I209" t="s">
        <v>241</v>
      </c>
      <c r="J209" t="s">
        <v>2837</v>
      </c>
      <c r="K209" t="s">
        <v>645</v>
      </c>
      <c r="L209">
        <v>833</v>
      </c>
      <c r="M209">
        <v>459</v>
      </c>
      <c r="N209">
        <v>1100</v>
      </c>
      <c r="O209">
        <v>725</v>
      </c>
      <c r="P209" t="s">
        <v>3284</v>
      </c>
      <c r="Q209" t="s">
        <v>3285</v>
      </c>
      <c r="R209" t="s">
        <v>682</v>
      </c>
      <c r="S209" t="s">
        <v>3286</v>
      </c>
      <c r="T209" t="s">
        <v>128</v>
      </c>
      <c r="U209" t="s">
        <v>3287</v>
      </c>
      <c r="V209" t="s">
        <v>2860</v>
      </c>
      <c r="W209" t="s">
        <v>3288</v>
      </c>
      <c r="X209" t="s">
        <v>3289</v>
      </c>
      <c r="Y209" t="s">
        <v>2862</v>
      </c>
      <c r="Z209" t="s">
        <v>3290</v>
      </c>
      <c r="AA209" s="7" t="s">
        <v>2959</v>
      </c>
      <c r="AB209" s="7" t="s">
        <v>157</v>
      </c>
      <c r="AC209" t="s">
        <v>3291</v>
      </c>
      <c r="AD209" s="7" t="s">
        <v>178</v>
      </c>
      <c r="AE209" s="7" t="s">
        <v>3292</v>
      </c>
    </row>
    <row r="210" spans="1:31" ht="14.25" customHeight="1" x14ac:dyDescent="0.2">
      <c r="A210" t="s">
        <v>3293</v>
      </c>
      <c r="B210" t="s">
        <v>3294</v>
      </c>
      <c r="C210" t="s">
        <v>3295</v>
      </c>
      <c r="D210" t="s">
        <v>3296</v>
      </c>
      <c r="E210" s="4" t="s">
        <v>3297</v>
      </c>
      <c r="F210" t="s">
        <v>3298</v>
      </c>
      <c r="G210" s="5">
        <v>43951</v>
      </c>
      <c r="H210" t="s">
        <v>3299</v>
      </c>
      <c r="I210" t="s">
        <v>241</v>
      </c>
      <c r="J210" t="s">
        <v>2837</v>
      </c>
      <c r="K210" t="s">
        <v>645</v>
      </c>
      <c r="L210">
        <v>833</v>
      </c>
      <c r="M210">
        <v>459</v>
      </c>
      <c r="N210">
        <v>1100</v>
      </c>
      <c r="O210">
        <v>725</v>
      </c>
      <c r="P210" t="s">
        <v>3300</v>
      </c>
      <c r="Q210" t="s">
        <v>3301</v>
      </c>
      <c r="R210" t="s">
        <v>3302</v>
      </c>
      <c r="S210" t="s">
        <v>3231</v>
      </c>
      <c r="T210" t="s">
        <v>128</v>
      </c>
      <c r="U210" t="s">
        <v>3303</v>
      </c>
      <c r="V210" t="s">
        <v>2860</v>
      </c>
      <c r="W210" t="s">
        <v>2605</v>
      </c>
      <c r="X210" t="s">
        <v>519</v>
      </c>
      <c r="Y210" t="s">
        <v>2862</v>
      </c>
      <c r="Z210" t="s">
        <v>2605</v>
      </c>
      <c r="AA210" s="7" t="s">
        <v>2845</v>
      </c>
      <c r="AB210" s="7" t="s">
        <v>3304</v>
      </c>
      <c r="AC210" t="s">
        <v>3305</v>
      </c>
      <c r="AD210" s="7" t="s">
        <v>58</v>
      </c>
      <c r="AE210" s="7" t="s">
        <v>3306</v>
      </c>
    </row>
    <row r="211" spans="1:31" ht="14.25" customHeight="1" x14ac:dyDescent="0.2">
      <c r="A211" t="s">
        <v>3307</v>
      </c>
      <c r="B211" t="s">
        <v>3308</v>
      </c>
      <c r="C211" t="s">
        <v>3309</v>
      </c>
      <c r="D211" t="s">
        <v>3310</v>
      </c>
      <c r="E211" s="4" t="s">
        <v>3311</v>
      </c>
      <c r="F211" t="s">
        <v>3312</v>
      </c>
      <c r="G211" s="5">
        <v>43859</v>
      </c>
      <c r="H211" t="s">
        <v>3313</v>
      </c>
      <c r="I211" t="s">
        <v>121</v>
      </c>
      <c r="J211" t="s">
        <v>2837</v>
      </c>
      <c r="K211" t="s">
        <v>645</v>
      </c>
      <c r="L211">
        <v>754</v>
      </c>
      <c r="M211">
        <v>507</v>
      </c>
      <c r="N211">
        <v>1100</v>
      </c>
      <c r="O211">
        <v>725</v>
      </c>
      <c r="P211" t="s">
        <v>3314</v>
      </c>
      <c r="Q211" t="s">
        <v>3315</v>
      </c>
      <c r="R211" t="s">
        <v>682</v>
      </c>
      <c r="S211" t="s">
        <v>2908</v>
      </c>
      <c r="T211" t="s">
        <v>245</v>
      </c>
      <c r="U211" t="s">
        <v>3316</v>
      </c>
      <c r="V211" t="s">
        <v>2860</v>
      </c>
      <c r="W211" t="s">
        <v>172</v>
      </c>
      <c r="X211" t="s">
        <v>3317</v>
      </c>
      <c r="Y211" t="s">
        <v>2862</v>
      </c>
      <c r="Z211" t="s">
        <v>174</v>
      </c>
      <c r="AA211" s="7" t="s">
        <v>2845</v>
      </c>
      <c r="AB211" s="7" t="s">
        <v>3318</v>
      </c>
      <c r="AC211" t="s">
        <v>177</v>
      </c>
      <c r="AD211" s="7" t="s">
        <v>137</v>
      </c>
      <c r="AE211" s="7" t="s">
        <v>3319</v>
      </c>
    </row>
    <row r="212" spans="1:31" ht="14.25" customHeight="1" x14ac:dyDescent="0.2">
      <c r="A212" t="s">
        <v>3320</v>
      </c>
      <c r="B212" t="s">
        <v>3321</v>
      </c>
      <c r="C212" t="s">
        <v>3322</v>
      </c>
      <c r="D212" t="s">
        <v>3323</v>
      </c>
      <c r="E212" s="4" t="s">
        <v>3324</v>
      </c>
      <c r="F212" t="s">
        <v>3325</v>
      </c>
      <c r="G212" s="5">
        <v>43390</v>
      </c>
      <c r="H212" t="s">
        <v>3326</v>
      </c>
      <c r="I212" t="s">
        <v>260</v>
      </c>
      <c r="J212" t="s">
        <v>2837</v>
      </c>
      <c r="K212" t="s">
        <v>645</v>
      </c>
      <c r="L212">
        <v>951</v>
      </c>
      <c r="M212">
        <v>578</v>
      </c>
      <c r="N212">
        <v>1100</v>
      </c>
      <c r="O212">
        <v>725</v>
      </c>
      <c r="P212" t="s">
        <v>3327</v>
      </c>
      <c r="Q212" t="s">
        <v>3328</v>
      </c>
      <c r="R212" t="s">
        <v>682</v>
      </c>
      <c r="S212" t="s">
        <v>3329</v>
      </c>
      <c r="T212" t="s">
        <v>128</v>
      </c>
      <c r="U212" t="s">
        <v>938</v>
      </c>
      <c r="V212" t="s">
        <v>2862</v>
      </c>
      <c r="W212" t="s">
        <v>896</v>
      </c>
      <c r="X212" t="s">
        <v>910</v>
      </c>
      <c r="Y212" t="s">
        <v>2862</v>
      </c>
      <c r="Z212" t="s">
        <v>896</v>
      </c>
      <c r="AA212" s="7" t="s">
        <v>2845</v>
      </c>
      <c r="AB212" s="7" t="s">
        <v>3330</v>
      </c>
      <c r="AC212" t="s">
        <v>3331</v>
      </c>
      <c r="AD212" s="7" t="s">
        <v>137</v>
      </c>
      <c r="AE212" s="7" t="s">
        <v>3332</v>
      </c>
    </row>
    <row r="213" spans="1:31" ht="14.25" customHeight="1" x14ac:dyDescent="0.2">
      <c r="A213" t="s">
        <v>3333</v>
      </c>
      <c r="B213" t="s">
        <v>3334</v>
      </c>
      <c r="C213" t="s">
        <v>3335</v>
      </c>
      <c r="D213" t="s">
        <v>3336</v>
      </c>
      <c r="E213" s="4" t="s">
        <v>3337</v>
      </c>
      <c r="F213" t="s">
        <v>3338</v>
      </c>
      <c r="G213" s="5">
        <v>43480</v>
      </c>
      <c r="H213" t="s">
        <v>3339</v>
      </c>
      <c r="I213" t="s">
        <v>260</v>
      </c>
      <c r="J213" t="s">
        <v>2837</v>
      </c>
      <c r="K213" t="s">
        <v>645</v>
      </c>
      <c r="L213">
        <v>951</v>
      </c>
      <c r="M213">
        <v>578</v>
      </c>
      <c r="N213">
        <v>1100</v>
      </c>
      <c r="O213">
        <v>725</v>
      </c>
      <c r="P213" t="s">
        <v>3340</v>
      </c>
      <c r="Q213" t="s">
        <v>3341</v>
      </c>
      <c r="R213" t="s">
        <v>682</v>
      </c>
      <c r="S213" t="s">
        <v>3342</v>
      </c>
      <c r="T213" t="s">
        <v>128</v>
      </c>
      <c r="U213" t="s">
        <v>3336</v>
      </c>
      <c r="V213" t="s">
        <v>2844</v>
      </c>
      <c r="W213" t="s">
        <v>3343</v>
      </c>
      <c r="X213" t="s">
        <v>3344</v>
      </c>
      <c r="Y213" t="s">
        <v>2844</v>
      </c>
      <c r="Z213" t="s">
        <v>3343</v>
      </c>
      <c r="AA213" s="7" t="s">
        <v>2845</v>
      </c>
      <c r="AB213" s="7" t="s">
        <v>3345</v>
      </c>
      <c r="AC213" t="s">
        <v>3346</v>
      </c>
      <c r="AD213" s="7" t="s">
        <v>689</v>
      </c>
      <c r="AE213" s="7" t="s">
        <v>3347</v>
      </c>
    </row>
    <row r="214" spans="1:31" ht="14.25" customHeight="1" x14ac:dyDescent="0.2">
      <c r="A214" t="s">
        <v>3348</v>
      </c>
      <c r="B214" t="s">
        <v>3349</v>
      </c>
      <c r="C214" t="s">
        <v>3350</v>
      </c>
      <c r="D214" t="s">
        <v>3351</v>
      </c>
      <c r="E214" s="4" t="s">
        <v>3352</v>
      </c>
      <c r="F214" t="s">
        <v>3353</v>
      </c>
      <c r="G214" s="5">
        <v>43980</v>
      </c>
      <c r="H214" t="s">
        <v>3354</v>
      </c>
      <c r="I214" t="s">
        <v>121</v>
      </c>
      <c r="J214" t="s">
        <v>2837</v>
      </c>
      <c r="K214" t="s">
        <v>645</v>
      </c>
      <c r="L214">
        <v>731</v>
      </c>
      <c r="M214">
        <v>491</v>
      </c>
      <c r="N214">
        <v>1100</v>
      </c>
      <c r="O214">
        <v>725</v>
      </c>
      <c r="P214" t="s">
        <v>3355</v>
      </c>
      <c r="Q214" t="s">
        <v>3356</v>
      </c>
      <c r="R214" t="s">
        <v>682</v>
      </c>
      <c r="S214" t="s">
        <v>3357</v>
      </c>
      <c r="T214" t="s">
        <v>315</v>
      </c>
      <c r="U214" t="s">
        <v>3358</v>
      </c>
      <c r="V214" t="s">
        <v>2860</v>
      </c>
      <c r="W214" t="s">
        <v>3359</v>
      </c>
      <c r="X214" t="s">
        <v>910</v>
      </c>
      <c r="Y214" t="s">
        <v>2862</v>
      </c>
      <c r="Z214" t="s">
        <v>154</v>
      </c>
      <c r="AA214" s="7" t="s">
        <v>175</v>
      </c>
      <c r="AB214" s="7" t="s">
        <v>3360</v>
      </c>
      <c r="AC214" t="s">
        <v>3361</v>
      </c>
      <c r="AD214" s="7" t="s">
        <v>849</v>
      </c>
      <c r="AE214" s="7" t="s">
        <v>3362</v>
      </c>
    </row>
    <row r="215" spans="1:31" ht="14.25" customHeight="1" x14ac:dyDescent="0.2">
      <c r="A215" t="s">
        <v>3363</v>
      </c>
      <c r="B215" t="s">
        <v>3364</v>
      </c>
      <c r="C215" t="s">
        <v>3365</v>
      </c>
      <c r="D215" t="s">
        <v>3366</v>
      </c>
      <c r="E215" s="4" t="s">
        <v>3367</v>
      </c>
      <c r="F215" t="s">
        <v>3368</v>
      </c>
      <c r="G215" s="5">
        <v>43370</v>
      </c>
      <c r="H215" t="s">
        <v>3369</v>
      </c>
      <c r="I215" t="s">
        <v>241</v>
      </c>
      <c r="J215" t="s">
        <v>2837</v>
      </c>
      <c r="K215" t="s">
        <v>645</v>
      </c>
      <c r="L215">
        <v>808</v>
      </c>
      <c r="M215">
        <v>444</v>
      </c>
      <c r="N215">
        <v>1100</v>
      </c>
      <c r="O215">
        <v>725</v>
      </c>
      <c r="P215" t="s">
        <v>3370</v>
      </c>
      <c r="Q215" t="s">
        <v>3371</v>
      </c>
      <c r="R215" t="s">
        <v>682</v>
      </c>
      <c r="S215" t="s">
        <v>2924</v>
      </c>
      <c r="T215" t="s">
        <v>128</v>
      </c>
      <c r="U215" t="s">
        <v>3372</v>
      </c>
      <c r="V215" t="s">
        <v>2860</v>
      </c>
      <c r="W215" t="s">
        <v>2170</v>
      </c>
      <c r="X215" t="s">
        <v>1366</v>
      </c>
      <c r="Y215" t="s">
        <v>2862</v>
      </c>
      <c r="Z215" t="s">
        <v>417</v>
      </c>
      <c r="AA215" s="7" t="s">
        <v>2925</v>
      </c>
      <c r="AB215" s="7" t="s">
        <v>3373</v>
      </c>
      <c r="AC215" t="s">
        <v>3374</v>
      </c>
      <c r="AD215" s="7" t="s">
        <v>1892</v>
      </c>
      <c r="AE215" s="7" t="s">
        <v>3375</v>
      </c>
    </row>
    <row r="216" spans="1:31" ht="14.25" customHeight="1" x14ac:dyDescent="0.2">
      <c r="A216" t="s">
        <v>3376</v>
      </c>
      <c r="B216" t="s">
        <v>3377</v>
      </c>
      <c r="C216" t="s">
        <v>3378</v>
      </c>
      <c r="D216" t="s">
        <v>3379</v>
      </c>
      <c r="E216" s="4" t="s">
        <v>3380</v>
      </c>
      <c r="F216" t="s">
        <v>3381</v>
      </c>
      <c r="G216" s="5">
        <v>43370</v>
      </c>
      <c r="H216" t="s">
        <v>276</v>
      </c>
      <c r="I216" t="s">
        <v>260</v>
      </c>
      <c r="J216" t="s">
        <v>2837</v>
      </c>
      <c r="K216" t="s">
        <v>645</v>
      </c>
      <c r="L216">
        <v>753</v>
      </c>
      <c r="M216">
        <v>459</v>
      </c>
      <c r="N216">
        <v>1100</v>
      </c>
      <c r="O216">
        <v>725</v>
      </c>
      <c r="P216" t="s">
        <v>3382</v>
      </c>
      <c r="Q216" t="s">
        <v>3383</v>
      </c>
      <c r="R216" t="s">
        <v>682</v>
      </c>
      <c r="S216" t="s">
        <v>3384</v>
      </c>
      <c r="T216" t="s">
        <v>24234</v>
      </c>
      <c r="U216" t="s">
        <v>3385</v>
      </c>
      <c r="V216" t="s">
        <v>2940</v>
      </c>
      <c r="W216" t="s">
        <v>2377</v>
      </c>
      <c r="X216" t="s">
        <v>618</v>
      </c>
      <c r="Y216" t="s">
        <v>2844</v>
      </c>
      <c r="Z216" t="s">
        <v>229</v>
      </c>
      <c r="AA216" s="7" t="s">
        <v>2845</v>
      </c>
      <c r="AB216" s="7" t="s">
        <v>3386</v>
      </c>
      <c r="AC216" t="s">
        <v>3387</v>
      </c>
      <c r="AD216" s="7" t="s">
        <v>137</v>
      </c>
      <c r="AE216" s="7" t="s">
        <v>3388</v>
      </c>
    </row>
    <row r="217" spans="1:31" ht="14.25" customHeight="1" x14ac:dyDescent="0.2">
      <c r="A217" t="s">
        <v>3389</v>
      </c>
      <c r="B217" t="s">
        <v>3390</v>
      </c>
      <c r="C217" t="s">
        <v>3391</v>
      </c>
      <c r="D217" t="s">
        <v>3392</v>
      </c>
      <c r="E217" s="4" t="s">
        <v>3393</v>
      </c>
      <c r="F217" t="s">
        <v>3394</v>
      </c>
      <c r="G217" s="5">
        <v>44350</v>
      </c>
      <c r="H217" t="s">
        <v>3395</v>
      </c>
      <c r="I217" t="s">
        <v>260</v>
      </c>
      <c r="J217" t="s">
        <v>2837</v>
      </c>
      <c r="K217" t="s">
        <v>759</v>
      </c>
      <c r="L217">
        <v>808</v>
      </c>
      <c r="M217">
        <v>469</v>
      </c>
      <c r="N217">
        <v>1100</v>
      </c>
      <c r="O217">
        <v>725</v>
      </c>
      <c r="P217" t="s">
        <v>3396</v>
      </c>
      <c r="Q217" t="s">
        <v>3397</v>
      </c>
      <c r="R217" t="s">
        <v>762</v>
      </c>
      <c r="S217" t="s">
        <v>3398</v>
      </c>
      <c r="T217" t="s">
        <v>2973</v>
      </c>
      <c r="U217" t="s">
        <v>3399</v>
      </c>
      <c r="V217" t="s">
        <v>2842</v>
      </c>
      <c r="W217" t="s">
        <v>3400</v>
      </c>
      <c r="X217" t="s">
        <v>3401</v>
      </c>
      <c r="Y217" t="s">
        <v>2844</v>
      </c>
      <c r="Z217" t="s">
        <v>154</v>
      </c>
      <c r="AA217" s="7" t="s">
        <v>3139</v>
      </c>
      <c r="AB217" s="7" t="s">
        <v>3402</v>
      </c>
      <c r="AC217" t="s">
        <v>3403</v>
      </c>
      <c r="AD217" s="7" t="s">
        <v>1128</v>
      </c>
      <c r="AE217" s="7" t="s">
        <v>3404</v>
      </c>
    </row>
    <row r="218" spans="1:31" ht="14.25" customHeight="1" x14ac:dyDescent="0.2">
      <c r="A218" t="s">
        <v>3405</v>
      </c>
      <c r="B218" t="s">
        <v>3406</v>
      </c>
      <c r="C218" t="s">
        <v>3407</v>
      </c>
      <c r="D218" t="s">
        <v>3408</v>
      </c>
      <c r="E218" s="4" t="s">
        <v>3409</v>
      </c>
      <c r="F218" t="s">
        <v>3410</v>
      </c>
      <c r="G218" s="5">
        <v>44027</v>
      </c>
      <c r="H218" t="s">
        <v>3411</v>
      </c>
      <c r="I218" t="s">
        <v>121</v>
      </c>
      <c r="J218" t="s">
        <v>2837</v>
      </c>
      <c r="K218" t="s">
        <v>759</v>
      </c>
      <c r="L218">
        <v>767</v>
      </c>
      <c r="M218">
        <v>492</v>
      </c>
      <c r="N218">
        <v>1100</v>
      </c>
      <c r="O218">
        <v>725</v>
      </c>
      <c r="P218" t="s">
        <v>3412</v>
      </c>
      <c r="Q218" t="s">
        <v>3413</v>
      </c>
      <c r="R218" t="s">
        <v>762</v>
      </c>
      <c r="S218" t="s">
        <v>3414</v>
      </c>
      <c r="T218" t="s">
        <v>2973</v>
      </c>
      <c r="U218" t="s">
        <v>3415</v>
      </c>
      <c r="V218" t="s">
        <v>2860</v>
      </c>
      <c r="W218" t="s">
        <v>3416</v>
      </c>
      <c r="X218" t="s">
        <v>618</v>
      </c>
      <c r="Y218" t="s">
        <v>2862</v>
      </c>
      <c r="Z218" t="s">
        <v>3417</v>
      </c>
      <c r="AA218" s="7" t="s">
        <v>2845</v>
      </c>
      <c r="AB218" s="7" t="s">
        <v>3418</v>
      </c>
      <c r="AC218" t="s">
        <v>3419</v>
      </c>
      <c r="AD218" s="7" t="s">
        <v>137</v>
      </c>
      <c r="AE218" s="7" t="s">
        <v>3420</v>
      </c>
    </row>
    <row r="219" spans="1:31" ht="14.25" customHeight="1" x14ac:dyDescent="0.2">
      <c r="A219" t="s">
        <v>3421</v>
      </c>
      <c r="B219" t="s">
        <v>3422</v>
      </c>
      <c r="C219" t="s">
        <v>3423</v>
      </c>
      <c r="D219" t="s">
        <v>3424</v>
      </c>
      <c r="E219" s="4" t="s">
        <v>3425</v>
      </c>
      <c r="F219" t="s">
        <v>3426</v>
      </c>
      <c r="G219" s="5">
        <v>43690</v>
      </c>
      <c r="H219" t="s">
        <v>3427</v>
      </c>
      <c r="I219" t="s">
        <v>260</v>
      </c>
      <c r="J219" t="s">
        <v>2837</v>
      </c>
      <c r="K219" t="s">
        <v>759</v>
      </c>
      <c r="L219">
        <v>968</v>
      </c>
      <c r="M219">
        <v>562</v>
      </c>
      <c r="N219">
        <v>1100</v>
      </c>
      <c r="O219">
        <v>725</v>
      </c>
      <c r="P219" t="s">
        <v>3428</v>
      </c>
      <c r="Q219" t="s">
        <v>3429</v>
      </c>
      <c r="R219" t="s">
        <v>762</v>
      </c>
      <c r="S219" t="s">
        <v>2990</v>
      </c>
      <c r="T219" t="s">
        <v>2973</v>
      </c>
      <c r="U219" t="s">
        <v>3430</v>
      </c>
      <c r="V219" t="s">
        <v>2862</v>
      </c>
      <c r="W219" t="s">
        <v>3431</v>
      </c>
      <c r="X219" t="s">
        <v>3432</v>
      </c>
      <c r="Y219" t="s">
        <v>2862</v>
      </c>
      <c r="Z219" t="s">
        <v>2605</v>
      </c>
      <c r="AA219" s="7" t="s">
        <v>2845</v>
      </c>
      <c r="AB219" s="7" t="s">
        <v>3433</v>
      </c>
      <c r="AC219" t="s">
        <v>3434</v>
      </c>
      <c r="AD219" s="7" t="s">
        <v>137</v>
      </c>
      <c r="AE219" s="7" t="s">
        <v>3435</v>
      </c>
    </row>
    <row r="220" spans="1:31" ht="14.25" customHeight="1" x14ac:dyDescent="0.2">
      <c r="A220" t="s">
        <v>3436</v>
      </c>
      <c r="B220" t="s">
        <v>3437</v>
      </c>
      <c r="C220" t="s">
        <v>3438</v>
      </c>
      <c r="D220" t="s">
        <v>3439</v>
      </c>
      <c r="E220" s="4" t="s">
        <v>3440</v>
      </c>
      <c r="F220" t="s">
        <v>3441</v>
      </c>
      <c r="G220" s="5">
        <v>43434</v>
      </c>
      <c r="H220" t="s">
        <v>3442</v>
      </c>
      <c r="I220" t="s">
        <v>241</v>
      </c>
      <c r="J220" t="s">
        <v>2837</v>
      </c>
      <c r="K220" t="s">
        <v>759</v>
      </c>
      <c r="L220">
        <v>806</v>
      </c>
      <c r="M220">
        <v>423</v>
      </c>
      <c r="N220">
        <v>1100</v>
      </c>
      <c r="O220">
        <v>725</v>
      </c>
      <c r="P220" t="s">
        <v>3443</v>
      </c>
      <c r="Q220" t="s">
        <v>3444</v>
      </c>
      <c r="R220" t="s">
        <v>762</v>
      </c>
      <c r="S220" t="s">
        <v>3445</v>
      </c>
      <c r="T220" t="s">
        <v>2973</v>
      </c>
      <c r="U220" t="s">
        <v>3446</v>
      </c>
      <c r="V220" t="s">
        <v>3023</v>
      </c>
      <c r="W220" t="s">
        <v>3447</v>
      </c>
      <c r="X220" t="s">
        <v>518</v>
      </c>
      <c r="Y220" t="s">
        <v>2862</v>
      </c>
      <c r="Z220" t="s">
        <v>154</v>
      </c>
      <c r="AA220" s="7" t="s">
        <v>2925</v>
      </c>
      <c r="AB220" s="7" t="s">
        <v>3448</v>
      </c>
      <c r="AC220" t="s">
        <v>3449</v>
      </c>
      <c r="AD220" s="7" t="s">
        <v>178</v>
      </c>
      <c r="AE220" s="7" t="s">
        <v>3450</v>
      </c>
    </row>
    <row r="221" spans="1:31" ht="14.25" customHeight="1" x14ac:dyDescent="0.2">
      <c r="A221" t="s">
        <v>3451</v>
      </c>
      <c r="B221" t="s">
        <v>3452</v>
      </c>
      <c r="C221" t="s">
        <v>3453</v>
      </c>
      <c r="D221" t="s">
        <v>3454</v>
      </c>
      <c r="E221" s="4" t="s">
        <v>3455</v>
      </c>
      <c r="F221" t="s">
        <v>3456</v>
      </c>
      <c r="G221" s="5">
        <v>43370</v>
      </c>
      <c r="H221" t="s">
        <v>3457</v>
      </c>
      <c r="I221" t="s">
        <v>260</v>
      </c>
      <c r="J221" t="s">
        <v>2837</v>
      </c>
      <c r="K221" t="s">
        <v>759</v>
      </c>
      <c r="L221">
        <v>783</v>
      </c>
      <c r="M221">
        <v>454</v>
      </c>
      <c r="N221">
        <v>1100</v>
      </c>
      <c r="O221">
        <v>725</v>
      </c>
      <c r="P221" t="s">
        <v>3458</v>
      </c>
      <c r="Q221" t="s">
        <v>3459</v>
      </c>
      <c r="R221" t="s">
        <v>762</v>
      </c>
      <c r="S221" t="s">
        <v>3460</v>
      </c>
      <c r="T221" t="s">
        <v>2973</v>
      </c>
      <c r="U221" t="s">
        <v>3461</v>
      </c>
      <c r="V221" t="s">
        <v>2842</v>
      </c>
      <c r="W221" t="s">
        <v>3462</v>
      </c>
      <c r="X221" t="s">
        <v>3463</v>
      </c>
      <c r="Y221" t="s">
        <v>2844</v>
      </c>
      <c r="Z221" t="s">
        <v>2941</v>
      </c>
      <c r="AA221" s="7" t="s">
        <v>2925</v>
      </c>
      <c r="AB221" s="7" t="s">
        <v>3464</v>
      </c>
      <c r="AC221" t="s">
        <v>3465</v>
      </c>
      <c r="AD221" s="7" t="s">
        <v>60</v>
      </c>
      <c r="AE221" s="7" t="s">
        <v>3466</v>
      </c>
    </row>
    <row r="222" spans="1:31" ht="14.25" customHeight="1" x14ac:dyDescent="0.2">
      <c r="A222" t="s">
        <v>3467</v>
      </c>
      <c r="B222" t="s">
        <v>3468</v>
      </c>
      <c r="C222" t="s">
        <v>3469</v>
      </c>
      <c r="D222" t="s">
        <v>3470</v>
      </c>
      <c r="E222" s="4" t="s">
        <v>3471</v>
      </c>
      <c r="F222" t="s">
        <v>3472</v>
      </c>
      <c r="G222" s="5">
        <v>43370</v>
      </c>
      <c r="H222" t="s">
        <v>3473</v>
      </c>
      <c r="I222" t="s">
        <v>260</v>
      </c>
      <c r="J222" t="s">
        <v>2837</v>
      </c>
      <c r="K222" t="s">
        <v>759</v>
      </c>
      <c r="L222">
        <v>920</v>
      </c>
      <c r="M222">
        <v>533</v>
      </c>
      <c r="N222">
        <v>1100</v>
      </c>
      <c r="O222">
        <v>725</v>
      </c>
      <c r="P222" t="s">
        <v>3474</v>
      </c>
      <c r="Q222" t="s">
        <v>3475</v>
      </c>
      <c r="R222" t="s">
        <v>762</v>
      </c>
      <c r="S222" t="s">
        <v>3476</v>
      </c>
      <c r="T222" t="s">
        <v>24234</v>
      </c>
      <c r="U222" t="s">
        <v>3477</v>
      </c>
      <c r="V222" t="s">
        <v>2862</v>
      </c>
      <c r="W222" t="s">
        <v>2842</v>
      </c>
      <c r="X222" t="s">
        <v>3273</v>
      </c>
      <c r="Y222" t="s">
        <v>2862</v>
      </c>
      <c r="Z222" t="s">
        <v>2844</v>
      </c>
      <c r="AA222" s="7" t="s">
        <v>2845</v>
      </c>
      <c r="AB222" s="7" t="s">
        <v>3478</v>
      </c>
      <c r="AC222" t="s">
        <v>3479</v>
      </c>
      <c r="AD222" s="7" t="s">
        <v>58</v>
      </c>
      <c r="AE222" s="7" t="s">
        <v>3480</v>
      </c>
    </row>
    <row r="223" spans="1:31" ht="14.25" customHeight="1" x14ac:dyDescent="0.2">
      <c r="A223" t="s">
        <v>3481</v>
      </c>
      <c r="B223" t="s">
        <v>3482</v>
      </c>
      <c r="C223" t="s">
        <v>3483</v>
      </c>
      <c r="D223" t="s">
        <v>3484</v>
      </c>
      <c r="E223" s="4" t="s">
        <v>3485</v>
      </c>
      <c r="F223" t="s">
        <v>3486</v>
      </c>
      <c r="G223" s="5">
        <v>43370</v>
      </c>
      <c r="H223" t="s">
        <v>3487</v>
      </c>
      <c r="I223" t="s">
        <v>260</v>
      </c>
      <c r="J223" t="s">
        <v>2837</v>
      </c>
      <c r="K223" t="s">
        <v>759</v>
      </c>
      <c r="L223">
        <v>767</v>
      </c>
      <c r="M223">
        <v>445</v>
      </c>
      <c r="N223">
        <v>1100</v>
      </c>
      <c r="O223">
        <v>725</v>
      </c>
      <c r="P223" t="s">
        <v>3488</v>
      </c>
      <c r="Q223" t="s">
        <v>3489</v>
      </c>
      <c r="R223" t="s">
        <v>762</v>
      </c>
      <c r="S223" t="s">
        <v>3490</v>
      </c>
      <c r="T223" t="s">
        <v>3491</v>
      </c>
      <c r="U223" t="s">
        <v>813</v>
      </c>
      <c r="V223" t="s">
        <v>3023</v>
      </c>
      <c r="W223" t="s">
        <v>3153</v>
      </c>
      <c r="X223" t="s">
        <v>485</v>
      </c>
      <c r="Y223" t="s">
        <v>2862</v>
      </c>
      <c r="Z223" t="s">
        <v>2605</v>
      </c>
      <c r="AA223" s="7" t="s">
        <v>2845</v>
      </c>
      <c r="AB223" s="7" t="s">
        <v>3492</v>
      </c>
      <c r="AC223" t="s">
        <v>3493</v>
      </c>
      <c r="AD223" s="7" t="s">
        <v>58</v>
      </c>
      <c r="AE223" s="7" t="s">
        <v>3494</v>
      </c>
    </row>
    <row r="224" spans="1:31" ht="14.25" customHeight="1" x14ac:dyDescent="0.2">
      <c r="A224" t="s">
        <v>3495</v>
      </c>
      <c r="B224" t="s">
        <v>3496</v>
      </c>
      <c r="C224" t="s">
        <v>3497</v>
      </c>
      <c r="D224" t="s">
        <v>3498</v>
      </c>
      <c r="E224" s="4" t="s">
        <v>3499</v>
      </c>
      <c r="F224" t="s">
        <v>3500</v>
      </c>
      <c r="G224" s="5">
        <v>44651</v>
      </c>
      <c r="H224" t="s">
        <v>3501</v>
      </c>
      <c r="I224" t="s">
        <v>121</v>
      </c>
      <c r="J224" t="s">
        <v>2837</v>
      </c>
      <c r="K224" t="s">
        <v>839</v>
      </c>
      <c r="L224">
        <v>751</v>
      </c>
      <c r="M224">
        <v>510</v>
      </c>
      <c r="N224">
        <v>1100</v>
      </c>
      <c r="O224">
        <v>725</v>
      </c>
      <c r="P224" t="s">
        <v>3502</v>
      </c>
      <c r="Q224" t="s">
        <v>3503</v>
      </c>
      <c r="R224" t="s">
        <v>842</v>
      </c>
      <c r="S224" t="s">
        <v>2972</v>
      </c>
      <c r="T224" t="s">
        <v>2973</v>
      </c>
      <c r="U224" t="s">
        <v>3504</v>
      </c>
      <c r="V224" t="s">
        <v>3505</v>
      </c>
      <c r="W224" t="s">
        <v>3506</v>
      </c>
      <c r="X224" t="s">
        <v>3507</v>
      </c>
      <c r="Y224" t="s">
        <v>2881</v>
      </c>
      <c r="Z224" t="s">
        <v>3506</v>
      </c>
      <c r="AA224" s="7" t="s">
        <v>2959</v>
      </c>
      <c r="AB224" s="7" t="s">
        <v>3508</v>
      </c>
      <c r="AC224" t="s">
        <v>3509</v>
      </c>
      <c r="AD224" s="7" t="s">
        <v>137</v>
      </c>
      <c r="AE224" s="7" t="s">
        <v>3510</v>
      </c>
    </row>
    <row r="225" spans="1:31" ht="14.25" customHeight="1" x14ac:dyDescent="0.2">
      <c r="A225" t="s">
        <v>3511</v>
      </c>
      <c r="B225" t="s">
        <v>3512</v>
      </c>
      <c r="C225" t="s">
        <v>3513</v>
      </c>
      <c r="D225" t="s">
        <v>3514</v>
      </c>
      <c r="E225" s="4" t="s">
        <v>3515</v>
      </c>
      <c r="F225" t="s">
        <v>3516</v>
      </c>
      <c r="G225" s="5">
        <v>44412</v>
      </c>
      <c r="H225" t="s">
        <v>3517</v>
      </c>
      <c r="I225" t="s">
        <v>121</v>
      </c>
      <c r="J225" t="s">
        <v>2837</v>
      </c>
      <c r="K225" t="s">
        <v>839</v>
      </c>
      <c r="L225">
        <v>751</v>
      </c>
      <c r="M225">
        <v>510</v>
      </c>
      <c r="N225">
        <v>1100</v>
      </c>
      <c r="O225">
        <v>725</v>
      </c>
      <c r="P225" t="s">
        <v>3518</v>
      </c>
      <c r="Q225" t="s">
        <v>3519</v>
      </c>
      <c r="R225" t="s">
        <v>842</v>
      </c>
      <c r="S225" t="s">
        <v>3520</v>
      </c>
      <c r="T225" t="s">
        <v>2973</v>
      </c>
      <c r="U225" t="s">
        <v>3521</v>
      </c>
      <c r="V225" t="s">
        <v>2860</v>
      </c>
      <c r="W225" t="s">
        <v>3522</v>
      </c>
      <c r="X225" t="s">
        <v>3523</v>
      </c>
      <c r="Y225" t="s">
        <v>2862</v>
      </c>
      <c r="Z225" t="s">
        <v>3524</v>
      </c>
      <c r="AA225" s="7" t="s">
        <v>2959</v>
      </c>
      <c r="AB225" s="7" t="s">
        <v>3525</v>
      </c>
      <c r="AC225" t="s">
        <v>268</v>
      </c>
      <c r="AD225" s="7" t="s">
        <v>60</v>
      </c>
      <c r="AE225" s="7" t="s">
        <v>3526</v>
      </c>
    </row>
    <row r="226" spans="1:31" ht="14.25" customHeight="1" x14ac:dyDescent="0.2">
      <c r="A226" t="s">
        <v>3527</v>
      </c>
      <c r="B226" t="s">
        <v>3528</v>
      </c>
      <c r="C226" t="s">
        <v>3529</v>
      </c>
      <c r="D226" t="s">
        <v>3530</v>
      </c>
      <c r="E226" s="4" t="s">
        <v>3531</v>
      </c>
      <c r="F226" t="s">
        <v>3532</v>
      </c>
      <c r="G226" s="5">
        <v>43980</v>
      </c>
      <c r="H226" t="s">
        <v>3533</v>
      </c>
      <c r="I226" t="s">
        <v>260</v>
      </c>
      <c r="J226" t="s">
        <v>2837</v>
      </c>
      <c r="K226" t="s">
        <v>839</v>
      </c>
      <c r="L226">
        <v>791</v>
      </c>
      <c r="M226">
        <v>485</v>
      </c>
      <c r="N226">
        <v>1100</v>
      </c>
      <c r="O226">
        <v>725</v>
      </c>
      <c r="P226" t="s">
        <v>3534</v>
      </c>
      <c r="Q226" t="s">
        <v>3535</v>
      </c>
      <c r="R226" t="s">
        <v>842</v>
      </c>
      <c r="S226" t="s">
        <v>2972</v>
      </c>
      <c r="T226" t="s">
        <v>2973</v>
      </c>
      <c r="U226" t="s">
        <v>3536</v>
      </c>
      <c r="V226" t="s">
        <v>2842</v>
      </c>
      <c r="W226" t="s">
        <v>1903</v>
      </c>
      <c r="X226" t="s">
        <v>3537</v>
      </c>
      <c r="Y226" t="s">
        <v>2844</v>
      </c>
      <c r="Z226" t="s">
        <v>1903</v>
      </c>
      <c r="AA226" s="7" t="s">
        <v>2845</v>
      </c>
      <c r="AB226" s="7" t="s">
        <v>3538</v>
      </c>
      <c r="AC226" t="s">
        <v>3539</v>
      </c>
      <c r="AD226" s="7" t="s">
        <v>58</v>
      </c>
      <c r="AE226" s="7" t="s">
        <v>3540</v>
      </c>
    </row>
    <row r="227" spans="1:31" ht="14.25" customHeight="1" x14ac:dyDescent="0.2">
      <c r="A227" t="s">
        <v>3541</v>
      </c>
      <c r="B227" t="s">
        <v>3542</v>
      </c>
      <c r="C227" t="s">
        <v>3543</v>
      </c>
      <c r="D227" t="s">
        <v>3544</v>
      </c>
      <c r="E227" s="4" t="s">
        <v>3545</v>
      </c>
      <c r="F227" t="s">
        <v>3546</v>
      </c>
      <c r="G227" s="5">
        <v>43951</v>
      </c>
      <c r="H227" t="s">
        <v>3547</v>
      </c>
      <c r="I227" t="s">
        <v>260</v>
      </c>
      <c r="J227" t="s">
        <v>2837</v>
      </c>
      <c r="K227" t="s">
        <v>839</v>
      </c>
      <c r="L227">
        <v>791</v>
      </c>
      <c r="M227">
        <v>485</v>
      </c>
      <c r="N227">
        <v>1100</v>
      </c>
      <c r="O227">
        <v>725</v>
      </c>
      <c r="P227" t="s">
        <v>3548</v>
      </c>
      <c r="Q227" t="s">
        <v>3549</v>
      </c>
      <c r="R227" t="s">
        <v>3550</v>
      </c>
      <c r="S227" t="s">
        <v>3185</v>
      </c>
      <c r="T227" t="s">
        <v>24234</v>
      </c>
      <c r="U227" t="s">
        <v>3551</v>
      </c>
      <c r="V227" t="s">
        <v>2860</v>
      </c>
      <c r="W227" t="s">
        <v>2605</v>
      </c>
      <c r="X227" t="s">
        <v>3552</v>
      </c>
      <c r="Y227" t="s">
        <v>2862</v>
      </c>
      <c r="Z227" t="s">
        <v>2605</v>
      </c>
      <c r="AA227" s="7" t="s">
        <v>2845</v>
      </c>
      <c r="AB227" s="7" t="s">
        <v>3553</v>
      </c>
      <c r="AC227" t="s">
        <v>3554</v>
      </c>
      <c r="AD227" s="7" t="s">
        <v>137</v>
      </c>
      <c r="AE227" s="7" t="s">
        <v>3555</v>
      </c>
    </row>
    <row r="228" spans="1:31" ht="14.25" customHeight="1" x14ac:dyDescent="0.2">
      <c r="A228" t="s">
        <v>3556</v>
      </c>
      <c r="B228" t="s">
        <v>3557</v>
      </c>
      <c r="C228" t="s">
        <v>3558</v>
      </c>
      <c r="D228" t="s">
        <v>3559</v>
      </c>
      <c r="E228" s="4" t="s">
        <v>3560</v>
      </c>
      <c r="F228" t="s">
        <v>3561</v>
      </c>
      <c r="G228" s="5">
        <v>43434</v>
      </c>
      <c r="H228" t="s">
        <v>3562</v>
      </c>
      <c r="I228" t="s">
        <v>121</v>
      </c>
      <c r="J228" t="s">
        <v>2837</v>
      </c>
      <c r="K228" t="s">
        <v>839</v>
      </c>
      <c r="L228">
        <v>900</v>
      </c>
      <c r="M228">
        <v>612</v>
      </c>
      <c r="N228">
        <v>1100</v>
      </c>
      <c r="O228">
        <v>725</v>
      </c>
      <c r="P228" t="s">
        <v>3563</v>
      </c>
      <c r="Q228" t="s">
        <v>3564</v>
      </c>
      <c r="R228" t="s">
        <v>842</v>
      </c>
      <c r="S228" t="s">
        <v>3565</v>
      </c>
      <c r="T228" t="s">
        <v>3566</v>
      </c>
      <c r="U228" t="s">
        <v>3343</v>
      </c>
      <c r="V228" t="s">
        <v>2862</v>
      </c>
      <c r="W228" t="s">
        <v>485</v>
      </c>
      <c r="X228" t="s">
        <v>3567</v>
      </c>
      <c r="Y228" t="s">
        <v>2862</v>
      </c>
      <c r="Z228" t="s">
        <v>485</v>
      </c>
      <c r="AA228" s="7" t="s">
        <v>2925</v>
      </c>
      <c r="AB228" s="7" t="s">
        <v>3568</v>
      </c>
      <c r="AC228" t="s">
        <v>268</v>
      </c>
      <c r="AD228" s="7" t="s">
        <v>137</v>
      </c>
      <c r="AE228" s="7" t="s">
        <v>3569</v>
      </c>
    </row>
    <row r="229" spans="1:31" ht="14.25" customHeight="1" x14ac:dyDescent="0.2">
      <c r="A229" t="s">
        <v>3570</v>
      </c>
      <c r="B229" t="s">
        <v>3571</v>
      </c>
      <c r="C229" t="s">
        <v>3572</v>
      </c>
      <c r="D229" t="s">
        <v>3573</v>
      </c>
      <c r="E229" s="4" t="s">
        <v>3574</v>
      </c>
      <c r="F229" t="s">
        <v>3575</v>
      </c>
      <c r="G229" s="5">
        <v>43830</v>
      </c>
      <c r="H229" t="s">
        <v>3576</v>
      </c>
      <c r="I229" t="s">
        <v>241</v>
      </c>
      <c r="J229" t="s">
        <v>2837</v>
      </c>
      <c r="K229" t="s">
        <v>839</v>
      </c>
      <c r="L229">
        <v>805</v>
      </c>
      <c r="M229">
        <v>447</v>
      </c>
      <c r="N229">
        <v>1100</v>
      </c>
      <c r="O229">
        <v>725</v>
      </c>
      <c r="P229" t="s">
        <v>3577</v>
      </c>
      <c r="Q229" t="s">
        <v>3578</v>
      </c>
      <c r="R229" t="s">
        <v>842</v>
      </c>
      <c r="S229" t="s">
        <v>3021</v>
      </c>
      <c r="T229" t="s">
        <v>24234</v>
      </c>
      <c r="U229" t="s">
        <v>3579</v>
      </c>
      <c r="V229" t="s">
        <v>2860</v>
      </c>
      <c r="W229" t="s">
        <v>3580</v>
      </c>
      <c r="X229" t="s">
        <v>1851</v>
      </c>
      <c r="Y229" t="s">
        <v>2862</v>
      </c>
      <c r="Z229" t="s">
        <v>618</v>
      </c>
      <c r="AA229" s="7" t="s">
        <v>175</v>
      </c>
      <c r="AB229" s="7" t="s">
        <v>3581</v>
      </c>
      <c r="AC229" t="s">
        <v>1017</v>
      </c>
      <c r="AD229" s="7" t="s">
        <v>137</v>
      </c>
      <c r="AE229" s="7" t="s">
        <v>3582</v>
      </c>
    </row>
    <row r="230" spans="1:31" ht="14.25" customHeight="1" x14ac:dyDescent="0.2">
      <c r="A230" t="s">
        <v>3583</v>
      </c>
      <c r="B230" t="s">
        <v>3584</v>
      </c>
      <c r="C230" t="s">
        <v>3585</v>
      </c>
      <c r="D230" t="s">
        <v>3586</v>
      </c>
      <c r="E230" s="4" t="s">
        <v>3587</v>
      </c>
      <c r="F230" t="s">
        <v>3588</v>
      </c>
      <c r="G230" s="5">
        <v>43370</v>
      </c>
      <c r="H230" t="s">
        <v>3589</v>
      </c>
      <c r="I230" t="s">
        <v>121</v>
      </c>
      <c r="J230" t="s">
        <v>2837</v>
      </c>
      <c r="K230" t="s">
        <v>839</v>
      </c>
      <c r="L230">
        <v>874</v>
      </c>
      <c r="M230">
        <v>592</v>
      </c>
      <c r="N230">
        <v>1100</v>
      </c>
      <c r="O230">
        <v>725</v>
      </c>
      <c r="P230" t="s">
        <v>3590</v>
      </c>
      <c r="Q230" t="s">
        <v>3591</v>
      </c>
      <c r="R230" t="s">
        <v>842</v>
      </c>
      <c r="S230" t="s">
        <v>3592</v>
      </c>
      <c r="T230" t="s">
        <v>2973</v>
      </c>
      <c r="U230" t="s">
        <v>670</v>
      </c>
      <c r="V230" t="s">
        <v>2862</v>
      </c>
      <c r="W230" t="s">
        <v>485</v>
      </c>
      <c r="X230" t="s">
        <v>670</v>
      </c>
      <c r="Y230" t="s">
        <v>2862</v>
      </c>
      <c r="Z230" t="s">
        <v>485</v>
      </c>
      <c r="AA230" s="7" t="s">
        <v>2845</v>
      </c>
      <c r="AB230" s="7" t="s">
        <v>3593</v>
      </c>
      <c r="AC230" t="s">
        <v>3594</v>
      </c>
      <c r="AD230" s="7" t="s">
        <v>178</v>
      </c>
      <c r="AE230" s="7" t="s">
        <v>3595</v>
      </c>
    </row>
    <row r="231" spans="1:31" ht="14.25" customHeight="1" x14ac:dyDescent="0.2">
      <c r="A231" t="s">
        <v>3596</v>
      </c>
      <c r="B231" t="s">
        <v>3597</v>
      </c>
      <c r="C231" t="s">
        <v>3598</v>
      </c>
      <c r="D231" t="s">
        <v>3599</v>
      </c>
      <c r="E231" s="4" t="s">
        <v>3600</v>
      </c>
      <c r="F231" t="s">
        <v>3601</v>
      </c>
      <c r="G231" s="5">
        <v>43496</v>
      </c>
      <c r="H231" t="s">
        <v>3602</v>
      </c>
      <c r="I231" t="s">
        <v>260</v>
      </c>
      <c r="J231" t="s">
        <v>2837</v>
      </c>
      <c r="K231" t="s">
        <v>839</v>
      </c>
      <c r="L231">
        <v>751</v>
      </c>
      <c r="M231">
        <v>461</v>
      </c>
      <c r="N231">
        <v>1100</v>
      </c>
      <c r="O231">
        <v>725</v>
      </c>
      <c r="P231" t="s">
        <v>3603</v>
      </c>
      <c r="Q231" t="s">
        <v>3604</v>
      </c>
      <c r="R231" t="s">
        <v>842</v>
      </c>
      <c r="S231" t="s">
        <v>3152</v>
      </c>
      <c r="T231" t="s">
        <v>2973</v>
      </c>
      <c r="U231" t="s">
        <v>3605</v>
      </c>
      <c r="V231" t="s">
        <v>2940</v>
      </c>
      <c r="W231" t="s">
        <v>2377</v>
      </c>
      <c r="X231" t="s">
        <v>910</v>
      </c>
      <c r="Y231" t="s">
        <v>2844</v>
      </c>
      <c r="Z231" t="s">
        <v>519</v>
      </c>
      <c r="AA231" s="7" t="s">
        <v>2845</v>
      </c>
      <c r="AB231" s="7" t="s">
        <v>3606</v>
      </c>
      <c r="AC231" t="s">
        <v>3607</v>
      </c>
      <c r="AD231" s="7" t="s">
        <v>137</v>
      </c>
      <c r="AE231" s="7" t="s">
        <v>3608</v>
      </c>
    </row>
    <row r="232" spans="1:31" ht="14.25" customHeight="1" x14ac:dyDescent="0.2">
      <c r="A232" t="s">
        <v>3609</v>
      </c>
      <c r="B232" t="s">
        <v>3610</v>
      </c>
      <c r="C232" t="s">
        <v>3611</v>
      </c>
      <c r="D232" t="s">
        <v>3612</v>
      </c>
      <c r="E232" s="4" t="s">
        <v>3613</v>
      </c>
      <c r="F232" t="s">
        <v>3614</v>
      </c>
      <c r="G232" s="5">
        <v>44574</v>
      </c>
      <c r="H232" t="s">
        <v>3615</v>
      </c>
      <c r="I232" t="s">
        <v>967</v>
      </c>
      <c r="J232" t="s">
        <v>2837</v>
      </c>
      <c r="K232" t="s">
        <v>949</v>
      </c>
      <c r="L232">
        <v>810</v>
      </c>
      <c r="M232">
        <v>466</v>
      </c>
      <c r="N232">
        <v>1100</v>
      </c>
      <c r="O232">
        <v>725</v>
      </c>
      <c r="P232" t="s">
        <v>3616</v>
      </c>
      <c r="Q232" t="s">
        <v>3617</v>
      </c>
      <c r="R232" t="s">
        <v>970</v>
      </c>
      <c r="S232" t="s">
        <v>3618</v>
      </c>
      <c r="T232" t="s">
        <v>1088</v>
      </c>
      <c r="U232" t="s">
        <v>3619</v>
      </c>
      <c r="V232" t="s">
        <v>2842</v>
      </c>
      <c r="W232" t="s">
        <v>668</v>
      </c>
      <c r="X232" t="s">
        <v>3620</v>
      </c>
      <c r="Y232" t="s">
        <v>2844</v>
      </c>
      <c r="Z232" t="s">
        <v>670</v>
      </c>
      <c r="AA232" s="7" t="s">
        <v>2959</v>
      </c>
      <c r="AB232" s="7" t="s">
        <v>3621</v>
      </c>
      <c r="AC232" t="s">
        <v>3622</v>
      </c>
      <c r="AD232" s="7" t="s">
        <v>178</v>
      </c>
      <c r="AE232" s="7" t="s">
        <v>3623</v>
      </c>
    </row>
    <row r="233" spans="1:31" ht="14.25" customHeight="1" x14ac:dyDescent="0.2">
      <c r="A233" t="s">
        <v>3624</v>
      </c>
      <c r="B233" t="s">
        <v>3625</v>
      </c>
      <c r="C233" t="s">
        <v>3626</v>
      </c>
      <c r="D233" t="s">
        <v>3627</v>
      </c>
      <c r="E233" s="4" t="s">
        <v>3628</v>
      </c>
      <c r="F233" t="s">
        <v>3629</v>
      </c>
      <c r="G233" s="5">
        <v>44104</v>
      </c>
      <c r="H233" t="s">
        <v>3630</v>
      </c>
      <c r="I233" t="s">
        <v>121</v>
      </c>
      <c r="J233" t="s">
        <v>2837</v>
      </c>
      <c r="K233" t="s">
        <v>949</v>
      </c>
      <c r="L233">
        <v>923</v>
      </c>
      <c r="M233">
        <v>586</v>
      </c>
      <c r="N233">
        <v>1100</v>
      </c>
      <c r="O233">
        <v>725</v>
      </c>
      <c r="P233" t="s">
        <v>3631</v>
      </c>
      <c r="Q233" t="s">
        <v>3632</v>
      </c>
      <c r="R233" t="s">
        <v>970</v>
      </c>
      <c r="S233" t="s">
        <v>3633</v>
      </c>
      <c r="T233" t="s">
        <v>245</v>
      </c>
      <c r="U233" t="s">
        <v>3634</v>
      </c>
      <c r="V233" t="s">
        <v>2878</v>
      </c>
      <c r="W233" t="s">
        <v>3635</v>
      </c>
      <c r="X233" t="s">
        <v>3636</v>
      </c>
      <c r="Y233" t="s">
        <v>2881</v>
      </c>
      <c r="Z233" t="s">
        <v>3635</v>
      </c>
      <c r="AA233" s="7" t="s">
        <v>974</v>
      </c>
      <c r="AB233" s="7" t="s">
        <v>3637</v>
      </c>
      <c r="AC233" t="s">
        <v>177</v>
      </c>
      <c r="AD233" s="7" t="s">
        <v>29</v>
      </c>
      <c r="AE233" s="7" t="s">
        <v>3638</v>
      </c>
    </row>
    <row r="234" spans="1:31" ht="14.25" customHeight="1" x14ac:dyDescent="0.2">
      <c r="A234" t="s">
        <v>3639</v>
      </c>
      <c r="B234" t="s">
        <v>3640</v>
      </c>
      <c r="C234" t="s">
        <v>3641</v>
      </c>
      <c r="D234" t="s">
        <v>3642</v>
      </c>
      <c r="E234" s="4" t="s">
        <v>3643</v>
      </c>
      <c r="F234" t="s">
        <v>3644</v>
      </c>
      <c r="G234" s="5">
        <v>43370</v>
      </c>
      <c r="H234" t="s">
        <v>3645</v>
      </c>
      <c r="I234" t="s">
        <v>967</v>
      </c>
      <c r="J234" t="s">
        <v>2837</v>
      </c>
      <c r="K234" t="s">
        <v>949</v>
      </c>
      <c r="L234">
        <v>972</v>
      </c>
      <c r="M234">
        <v>558</v>
      </c>
      <c r="N234">
        <v>1100</v>
      </c>
      <c r="O234">
        <v>725</v>
      </c>
      <c r="P234" t="s">
        <v>3646</v>
      </c>
      <c r="Q234" t="s">
        <v>3647</v>
      </c>
      <c r="R234" t="s">
        <v>970</v>
      </c>
      <c r="S234" t="s">
        <v>2858</v>
      </c>
      <c r="T234" t="s">
        <v>128</v>
      </c>
      <c r="U234" t="s">
        <v>670</v>
      </c>
      <c r="V234" t="s">
        <v>2862</v>
      </c>
      <c r="W234" t="s">
        <v>3642</v>
      </c>
      <c r="X234" t="s">
        <v>670</v>
      </c>
      <c r="Y234" t="s">
        <v>2862</v>
      </c>
      <c r="Z234" t="s">
        <v>3648</v>
      </c>
      <c r="AA234" s="7" t="s">
        <v>974</v>
      </c>
      <c r="AB234" s="7" t="s">
        <v>157</v>
      </c>
      <c r="AC234" t="s">
        <v>268</v>
      </c>
      <c r="AD234" s="7" t="s">
        <v>137</v>
      </c>
      <c r="AE234" s="7" t="s">
        <v>3649</v>
      </c>
    </row>
    <row r="235" spans="1:31" ht="14.25" customHeight="1" x14ac:dyDescent="0.2">
      <c r="A235" t="s">
        <v>3650</v>
      </c>
      <c r="B235" t="s">
        <v>3651</v>
      </c>
      <c r="C235" t="s">
        <v>3652</v>
      </c>
      <c r="D235" t="s">
        <v>3653</v>
      </c>
      <c r="E235" s="4" t="s">
        <v>3654</v>
      </c>
      <c r="F235" t="s">
        <v>3655</v>
      </c>
      <c r="G235" s="5">
        <v>43524</v>
      </c>
      <c r="H235" t="s">
        <v>3656</v>
      </c>
      <c r="I235" t="s">
        <v>967</v>
      </c>
      <c r="J235" t="s">
        <v>2837</v>
      </c>
      <c r="K235" t="s">
        <v>949</v>
      </c>
      <c r="L235">
        <v>769</v>
      </c>
      <c r="M235">
        <v>443</v>
      </c>
      <c r="N235">
        <v>1100</v>
      </c>
      <c r="O235">
        <v>725</v>
      </c>
      <c r="P235" t="s">
        <v>3657</v>
      </c>
      <c r="Q235" t="s">
        <v>3658</v>
      </c>
      <c r="R235" t="s">
        <v>970</v>
      </c>
      <c r="S235" t="s">
        <v>3021</v>
      </c>
      <c r="T235" t="s">
        <v>24234</v>
      </c>
      <c r="U235" t="s">
        <v>3659</v>
      </c>
      <c r="V235" t="s">
        <v>2940</v>
      </c>
      <c r="W235" t="s">
        <v>1591</v>
      </c>
      <c r="X235" t="s">
        <v>618</v>
      </c>
      <c r="Y235" t="s">
        <v>2844</v>
      </c>
      <c r="Z235" t="s">
        <v>1851</v>
      </c>
      <c r="AA235" s="7" t="s">
        <v>974</v>
      </c>
      <c r="AB235" s="7" t="s">
        <v>157</v>
      </c>
      <c r="AC235" t="s">
        <v>1017</v>
      </c>
      <c r="AD235" s="7" t="s">
        <v>178</v>
      </c>
      <c r="AE235" s="7" t="s">
        <v>3660</v>
      </c>
    </row>
    <row r="236" spans="1:31" ht="14.25" customHeight="1" x14ac:dyDescent="0.2">
      <c r="A236" t="s">
        <v>3661</v>
      </c>
      <c r="B236" t="s">
        <v>3662</v>
      </c>
      <c r="C236" t="s">
        <v>3663</v>
      </c>
      <c r="D236" t="s">
        <v>3664</v>
      </c>
      <c r="E236" s="4" t="s">
        <v>3665</v>
      </c>
      <c r="F236" t="s">
        <v>3666</v>
      </c>
      <c r="G236" s="5">
        <v>43434</v>
      </c>
      <c r="H236" t="s">
        <v>3667</v>
      </c>
      <c r="I236" t="s">
        <v>967</v>
      </c>
      <c r="J236" t="s">
        <v>2837</v>
      </c>
      <c r="K236" t="s">
        <v>949</v>
      </c>
      <c r="L236">
        <v>943</v>
      </c>
      <c r="M236">
        <v>542</v>
      </c>
      <c r="N236">
        <v>1100</v>
      </c>
      <c r="O236">
        <v>725</v>
      </c>
      <c r="P236" t="s">
        <v>3668</v>
      </c>
      <c r="Q236" t="s">
        <v>3669</v>
      </c>
      <c r="R236" t="s">
        <v>970</v>
      </c>
      <c r="S236" t="s">
        <v>3258</v>
      </c>
      <c r="T236" t="s">
        <v>128</v>
      </c>
      <c r="U236" t="s">
        <v>3670</v>
      </c>
      <c r="V236" t="s">
        <v>3671</v>
      </c>
      <c r="W236" t="s">
        <v>670</v>
      </c>
      <c r="X236" t="s">
        <v>3672</v>
      </c>
      <c r="Y236" t="s">
        <v>3671</v>
      </c>
      <c r="Z236" t="s">
        <v>670</v>
      </c>
      <c r="AA236" s="7" t="s">
        <v>974</v>
      </c>
      <c r="AB236" s="7" t="s">
        <v>3673</v>
      </c>
      <c r="AC236" t="s">
        <v>2774</v>
      </c>
      <c r="AD236" s="7" t="s">
        <v>29</v>
      </c>
      <c r="AE236" s="7" t="s">
        <v>3674</v>
      </c>
    </row>
    <row r="237" spans="1:31" ht="14.25" customHeight="1" x14ac:dyDescent="0.2">
      <c r="A237" t="s">
        <v>3675</v>
      </c>
      <c r="B237" t="s">
        <v>3676</v>
      </c>
      <c r="C237" t="s">
        <v>3677</v>
      </c>
      <c r="D237" t="s">
        <v>3678</v>
      </c>
      <c r="E237" s="4" t="s">
        <v>3679</v>
      </c>
      <c r="F237" t="s">
        <v>3680</v>
      </c>
      <c r="G237" s="5">
        <v>43390</v>
      </c>
      <c r="H237" t="s">
        <v>3681</v>
      </c>
      <c r="I237" t="s">
        <v>967</v>
      </c>
      <c r="J237" t="s">
        <v>2837</v>
      </c>
      <c r="K237" t="s">
        <v>949</v>
      </c>
      <c r="L237">
        <v>943</v>
      </c>
      <c r="M237">
        <v>542</v>
      </c>
      <c r="N237">
        <v>1100</v>
      </c>
      <c r="O237">
        <v>725</v>
      </c>
      <c r="P237" t="s">
        <v>3682</v>
      </c>
      <c r="Q237" t="s">
        <v>3683</v>
      </c>
      <c r="R237" t="s">
        <v>970</v>
      </c>
      <c r="S237" t="s">
        <v>3684</v>
      </c>
      <c r="T237" t="s">
        <v>245</v>
      </c>
      <c r="U237" t="s">
        <v>670</v>
      </c>
      <c r="V237" t="s">
        <v>2862</v>
      </c>
      <c r="W237" t="s">
        <v>973</v>
      </c>
      <c r="X237" t="s">
        <v>1851</v>
      </c>
      <c r="Y237" t="s">
        <v>2862</v>
      </c>
      <c r="Z237" t="s">
        <v>154</v>
      </c>
      <c r="AA237" s="7" t="s">
        <v>2925</v>
      </c>
      <c r="AB237" s="7" t="s">
        <v>3685</v>
      </c>
      <c r="AC237" t="s">
        <v>1017</v>
      </c>
      <c r="AD237" s="7" t="s">
        <v>60</v>
      </c>
      <c r="AE237" s="7" t="s">
        <v>3686</v>
      </c>
    </row>
    <row r="238" spans="1:31" ht="14.25" customHeight="1" x14ac:dyDescent="0.2">
      <c r="A238" t="s">
        <v>3687</v>
      </c>
      <c r="B238" t="s">
        <v>3688</v>
      </c>
      <c r="C238" t="s">
        <v>3689</v>
      </c>
      <c r="D238" t="s">
        <v>3690</v>
      </c>
      <c r="E238" s="4" t="s">
        <v>3691</v>
      </c>
      <c r="F238" t="s">
        <v>3692</v>
      </c>
      <c r="G238" s="5">
        <v>43370</v>
      </c>
      <c r="H238" t="s">
        <v>3693</v>
      </c>
      <c r="I238" t="s">
        <v>967</v>
      </c>
      <c r="J238" t="s">
        <v>2837</v>
      </c>
      <c r="K238" t="s">
        <v>949</v>
      </c>
      <c r="L238">
        <v>922</v>
      </c>
      <c r="M238">
        <v>531</v>
      </c>
      <c r="N238">
        <v>1100</v>
      </c>
      <c r="O238">
        <v>725</v>
      </c>
      <c r="P238" t="s">
        <v>3694</v>
      </c>
      <c r="Q238" t="s">
        <v>3695</v>
      </c>
      <c r="R238" t="s">
        <v>970</v>
      </c>
      <c r="S238" t="s">
        <v>3696</v>
      </c>
      <c r="T238" t="s">
        <v>315</v>
      </c>
      <c r="U238" t="s">
        <v>3697</v>
      </c>
      <c r="V238" t="s">
        <v>3053</v>
      </c>
      <c r="W238" t="s">
        <v>3023</v>
      </c>
      <c r="X238" t="s">
        <v>3698</v>
      </c>
      <c r="Y238" t="s">
        <v>2862</v>
      </c>
      <c r="Z238" t="s">
        <v>194</v>
      </c>
      <c r="AA238" s="7" t="s">
        <v>974</v>
      </c>
      <c r="AB238" s="7" t="s">
        <v>3699</v>
      </c>
      <c r="AC238" t="s">
        <v>268</v>
      </c>
      <c r="AD238" s="7" t="s">
        <v>178</v>
      </c>
      <c r="AE238" s="7" t="s">
        <v>3700</v>
      </c>
    </row>
    <row r="239" spans="1:31" ht="14.25" customHeight="1" x14ac:dyDescent="0.2">
      <c r="A239" t="s">
        <v>3701</v>
      </c>
      <c r="B239" t="s">
        <v>3702</v>
      </c>
      <c r="C239" t="s">
        <v>3703</v>
      </c>
      <c r="D239" t="s">
        <v>3704</v>
      </c>
      <c r="E239" s="4" t="s">
        <v>3705</v>
      </c>
      <c r="F239" t="s">
        <v>3706</v>
      </c>
      <c r="G239" s="5">
        <v>43370</v>
      </c>
      <c r="H239" t="s">
        <v>276</v>
      </c>
      <c r="I239" t="s">
        <v>967</v>
      </c>
      <c r="J239" t="s">
        <v>2837</v>
      </c>
      <c r="K239" t="s">
        <v>949</v>
      </c>
      <c r="L239">
        <v>769</v>
      </c>
      <c r="M239">
        <v>443</v>
      </c>
      <c r="N239">
        <v>1100</v>
      </c>
      <c r="O239">
        <v>725</v>
      </c>
      <c r="P239" t="s">
        <v>3707</v>
      </c>
      <c r="Q239" t="s">
        <v>3708</v>
      </c>
      <c r="R239" t="s">
        <v>970</v>
      </c>
      <c r="S239" t="s">
        <v>3709</v>
      </c>
      <c r="T239" t="s">
        <v>245</v>
      </c>
      <c r="U239" t="s">
        <v>3710</v>
      </c>
      <c r="V239" t="s">
        <v>2940</v>
      </c>
      <c r="W239" t="s">
        <v>2377</v>
      </c>
      <c r="X239" t="s">
        <v>1031</v>
      </c>
      <c r="Y239" t="s">
        <v>2844</v>
      </c>
      <c r="Z239" t="s">
        <v>1851</v>
      </c>
      <c r="AA239" s="7" t="s">
        <v>974</v>
      </c>
      <c r="AB239" s="7" t="s">
        <v>3711</v>
      </c>
      <c r="AC239" t="s">
        <v>1017</v>
      </c>
      <c r="AD239" s="7" t="s">
        <v>137</v>
      </c>
      <c r="AE239" s="7" t="s">
        <v>3712</v>
      </c>
    </row>
    <row r="240" spans="1:31" ht="14.25" customHeight="1" x14ac:dyDescent="0.2">
      <c r="A240" t="s">
        <v>3713</v>
      </c>
      <c r="B240" t="s">
        <v>3714</v>
      </c>
      <c r="C240" t="s">
        <v>3715</v>
      </c>
      <c r="D240" t="s">
        <v>3716</v>
      </c>
      <c r="E240" s="4" t="s">
        <v>3717</v>
      </c>
      <c r="F240" t="s">
        <v>3718</v>
      </c>
      <c r="G240" s="5">
        <v>44498</v>
      </c>
      <c r="H240" t="s">
        <v>3719</v>
      </c>
      <c r="I240" t="s">
        <v>121</v>
      </c>
      <c r="J240" t="s">
        <v>2837</v>
      </c>
      <c r="K240" t="s">
        <v>1054</v>
      </c>
      <c r="L240">
        <v>758</v>
      </c>
      <c r="M240">
        <v>502</v>
      </c>
      <c r="N240">
        <v>1100</v>
      </c>
      <c r="O240">
        <v>725</v>
      </c>
      <c r="P240" t="s">
        <v>3720</v>
      </c>
      <c r="Q240" t="s">
        <v>3721</v>
      </c>
      <c r="R240" t="s">
        <v>1057</v>
      </c>
      <c r="S240" t="s">
        <v>3722</v>
      </c>
      <c r="T240" t="s">
        <v>245</v>
      </c>
      <c r="U240" t="s">
        <v>3723</v>
      </c>
      <c r="V240" t="s">
        <v>2860</v>
      </c>
      <c r="W240" t="s">
        <v>3724</v>
      </c>
      <c r="X240" t="s">
        <v>3725</v>
      </c>
      <c r="Y240" t="s">
        <v>2862</v>
      </c>
      <c r="Z240" t="s">
        <v>3726</v>
      </c>
      <c r="AA240" s="7" t="s">
        <v>2959</v>
      </c>
      <c r="AB240" s="7" t="s">
        <v>3727</v>
      </c>
      <c r="AC240" t="s">
        <v>3728</v>
      </c>
      <c r="AD240" s="7" t="s">
        <v>60</v>
      </c>
      <c r="AE240" s="7" t="s">
        <v>3729</v>
      </c>
    </row>
    <row r="241" spans="1:31" ht="14.25" customHeight="1" x14ac:dyDescent="0.2">
      <c r="A241" t="s">
        <v>3730</v>
      </c>
      <c r="B241" t="s">
        <v>3731</v>
      </c>
      <c r="C241" t="s">
        <v>3732</v>
      </c>
      <c r="D241" t="s">
        <v>3733</v>
      </c>
      <c r="E241" s="4" t="s">
        <v>3734</v>
      </c>
      <c r="F241" t="s">
        <v>3735</v>
      </c>
      <c r="G241" s="5">
        <v>44267</v>
      </c>
      <c r="H241" t="s">
        <v>3736</v>
      </c>
      <c r="I241" t="s">
        <v>241</v>
      </c>
      <c r="J241" t="s">
        <v>2837</v>
      </c>
      <c r="K241" t="s">
        <v>1054</v>
      </c>
      <c r="L241">
        <v>838</v>
      </c>
      <c r="M241">
        <v>454</v>
      </c>
      <c r="N241">
        <v>1100</v>
      </c>
      <c r="O241">
        <v>725</v>
      </c>
      <c r="P241" t="s">
        <v>3737</v>
      </c>
      <c r="Q241" t="s">
        <v>3738</v>
      </c>
      <c r="R241" t="s">
        <v>1057</v>
      </c>
      <c r="S241" t="s">
        <v>2840</v>
      </c>
      <c r="T241" t="s">
        <v>779</v>
      </c>
      <c r="U241" t="s">
        <v>3739</v>
      </c>
      <c r="V241" t="s">
        <v>2842</v>
      </c>
      <c r="W241" t="s">
        <v>3740</v>
      </c>
      <c r="X241" t="s">
        <v>3741</v>
      </c>
      <c r="Y241" t="s">
        <v>2844</v>
      </c>
      <c r="Z241" t="s">
        <v>1409</v>
      </c>
      <c r="AA241" s="7" t="s">
        <v>2959</v>
      </c>
      <c r="AB241" t="s">
        <v>3742</v>
      </c>
      <c r="AC241" t="s">
        <v>3743</v>
      </c>
      <c r="AD241" s="7" t="s">
        <v>137</v>
      </c>
      <c r="AE241" s="7" t="s">
        <v>3744</v>
      </c>
    </row>
    <row r="242" spans="1:31" ht="14.25" customHeight="1" x14ac:dyDescent="0.2">
      <c r="A242" t="s">
        <v>3745</v>
      </c>
      <c r="B242" t="s">
        <v>3746</v>
      </c>
      <c r="C242" t="s">
        <v>3747</v>
      </c>
      <c r="D242" t="s">
        <v>3748</v>
      </c>
      <c r="E242" s="4" t="s">
        <v>3749</v>
      </c>
      <c r="F242" t="s">
        <v>3750</v>
      </c>
      <c r="G242" s="5">
        <v>44109</v>
      </c>
      <c r="H242" t="s">
        <v>3751</v>
      </c>
      <c r="I242" t="s">
        <v>121</v>
      </c>
      <c r="J242" t="s">
        <v>2837</v>
      </c>
      <c r="K242" t="s">
        <v>1054</v>
      </c>
      <c r="L242">
        <v>758</v>
      </c>
      <c r="M242">
        <v>502</v>
      </c>
      <c r="N242">
        <v>1100</v>
      </c>
      <c r="O242">
        <v>725</v>
      </c>
      <c r="P242" t="s">
        <v>3752</v>
      </c>
      <c r="Q242" t="s">
        <v>3753</v>
      </c>
      <c r="R242" t="s">
        <v>1057</v>
      </c>
      <c r="S242" t="s">
        <v>2990</v>
      </c>
      <c r="T242" t="s">
        <v>2973</v>
      </c>
      <c r="U242" t="s">
        <v>3754</v>
      </c>
      <c r="V242" t="s">
        <v>3755</v>
      </c>
      <c r="W242" t="s">
        <v>3756</v>
      </c>
      <c r="X242" t="s">
        <v>3754</v>
      </c>
      <c r="Y242" t="s">
        <v>2881</v>
      </c>
      <c r="Z242" t="s">
        <v>3757</v>
      </c>
      <c r="AA242" s="7" t="s">
        <v>2959</v>
      </c>
      <c r="AB242" t="s">
        <v>357</v>
      </c>
      <c r="AC242" t="s">
        <v>3758</v>
      </c>
      <c r="AD242" s="7" t="s">
        <v>137</v>
      </c>
      <c r="AE242" s="7" t="s">
        <v>3759</v>
      </c>
    </row>
    <row r="243" spans="1:31" ht="14.25" customHeight="1" x14ac:dyDescent="0.2">
      <c r="A243" t="s">
        <v>3760</v>
      </c>
      <c r="B243" t="s">
        <v>3761</v>
      </c>
      <c r="C243" t="s">
        <v>3762</v>
      </c>
      <c r="D243" t="s">
        <v>3763</v>
      </c>
      <c r="E243" s="4" t="s">
        <v>3764</v>
      </c>
      <c r="F243" t="s">
        <v>3765</v>
      </c>
      <c r="G243" s="5">
        <v>44099</v>
      </c>
      <c r="H243" t="s">
        <v>276</v>
      </c>
      <c r="I243" t="s">
        <v>121</v>
      </c>
      <c r="J243" t="s">
        <v>2837</v>
      </c>
      <c r="K243" t="s">
        <v>1054</v>
      </c>
      <c r="L243">
        <v>720</v>
      </c>
      <c r="M243">
        <v>477</v>
      </c>
      <c r="N243">
        <v>1100</v>
      </c>
      <c r="O243">
        <v>725</v>
      </c>
      <c r="P243" t="s">
        <v>3766</v>
      </c>
      <c r="Q243" t="s">
        <v>3767</v>
      </c>
      <c r="R243" t="s">
        <v>1057</v>
      </c>
      <c r="S243" t="s">
        <v>3271</v>
      </c>
      <c r="T243" t="s">
        <v>128</v>
      </c>
      <c r="U243" t="s">
        <v>3768</v>
      </c>
      <c r="V243" t="s">
        <v>2940</v>
      </c>
      <c r="W243" t="s">
        <v>2377</v>
      </c>
      <c r="X243" t="s">
        <v>519</v>
      </c>
      <c r="Y243" t="s">
        <v>2844</v>
      </c>
      <c r="Z243" t="s">
        <v>581</v>
      </c>
      <c r="AA243" s="7" t="s">
        <v>2845</v>
      </c>
      <c r="AB243" t="s">
        <v>3769</v>
      </c>
      <c r="AC243" t="s">
        <v>3770</v>
      </c>
      <c r="AD243" s="7" t="s">
        <v>28</v>
      </c>
      <c r="AE243" s="7" t="s">
        <v>3771</v>
      </c>
    </row>
    <row r="244" spans="1:31" ht="14.25" customHeight="1" x14ac:dyDescent="0.2">
      <c r="A244" t="s">
        <v>3772</v>
      </c>
      <c r="B244" t="s">
        <v>3773</v>
      </c>
      <c r="C244" t="s">
        <v>3774</v>
      </c>
      <c r="D244" t="s">
        <v>3775</v>
      </c>
      <c r="E244" s="4" t="s">
        <v>3776</v>
      </c>
      <c r="F244" t="s">
        <v>3777</v>
      </c>
      <c r="G244" s="5">
        <v>44647</v>
      </c>
      <c r="H244" t="s">
        <v>3778</v>
      </c>
      <c r="I244" t="s">
        <v>121</v>
      </c>
      <c r="J244" t="s">
        <v>3779</v>
      </c>
      <c r="K244" t="s">
        <v>123</v>
      </c>
      <c r="L244">
        <v>752</v>
      </c>
      <c r="M244">
        <v>506</v>
      </c>
      <c r="N244">
        <v>1100</v>
      </c>
      <c r="O244">
        <v>725</v>
      </c>
      <c r="P244" t="s">
        <v>3780</v>
      </c>
      <c r="Q244" t="s">
        <v>3781</v>
      </c>
      <c r="R244" t="s">
        <v>126</v>
      </c>
      <c r="S244" t="s">
        <v>3782</v>
      </c>
      <c r="T244" t="s">
        <v>128</v>
      </c>
      <c r="U244" t="s">
        <v>3783</v>
      </c>
      <c r="V244" t="s">
        <v>3784</v>
      </c>
      <c r="W244" t="s">
        <v>3785</v>
      </c>
      <c r="X244" t="s">
        <v>3783</v>
      </c>
      <c r="Y244" t="s">
        <v>3786</v>
      </c>
      <c r="Z244" t="s">
        <v>3785</v>
      </c>
      <c r="AA244" s="7" t="s">
        <v>3787</v>
      </c>
      <c r="AB244" t="s">
        <v>3788</v>
      </c>
      <c r="AC244" t="s">
        <v>3789</v>
      </c>
      <c r="AD244" s="7" t="s">
        <v>137</v>
      </c>
      <c r="AE244" s="7" t="s">
        <v>3790</v>
      </c>
    </row>
    <row r="245" spans="1:31" ht="14.25" customHeight="1" x14ac:dyDescent="0.2">
      <c r="A245" t="s">
        <v>3791</v>
      </c>
      <c r="B245" t="s">
        <v>3792</v>
      </c>
      <c r="C245" t="s">
        <v>3793</v>
      </c>
      <c r="D245" t="s">
        <v>3794</v>
      </c>
      <c r="E245" s="4" t="s">
        <v>3795</v>
      </c>
      <c r="F245" t="s">
        <v>3796</v>
      </c>
      <c r="G245" s="5">
        <v>44288</v>
      </c>
      <c r="H245" t="s">
        <v>3797</v>
      </c>
      <c r="I245" t="s">
        <v>121</v>
      </c>
      <c r="J245" t="s">
        <v>3779</v>
      </c>
      <c r="K245" t="s">
        <v>123</v>
      </c>
      <c r="L245">
        <v>752</v>
      </c>
      <c r="M245">
        <v>506</v>
      </c>
      <c r="N245">
        <v>1100</v>
      </c>
      <c r="O245">
        <v>725</v>
      </c>
      <c r="P245" t="s">
        <v>3798</v>
      </c>
      <c r="Q245" t="s">
        <v>3799</v>
      </c>
      <c r="R245" t="s">
        <v>126</v>
      </c>
      <c r="S245" t="s">
        <v>3782</v>
      </c>
      <c r="T245" t="s">
        <v>128</v>
      </c>
      <c r="U245" t="s">
        <v>2505</v>
      </c>
      <c r="V245" t="s">
        <v>3800</v>
      </c>
      <c r="W245" t="s">
        <v>3801</v>
      </c>
      <c r="X245" t="s">
        <v>2505</v>
      </c>
      <c r="Y245" t="s">
        <v>1483</v>
      </c>
      <c r="Z245" t="s">
        <v>3801</v>
      </c>
      <c r="AA245" s="7" t="s">
        <v>3787</v>
      </c>
      <c r="AB245" t="s">
        <v>3802</v>
      </c>
      <c r="AC245" t="s">
        <v>2221</v>
      </c>
      <c r="AD245" s="7" t="s">
        <v>137</v>
      </c>
      <c r="AE245" s="7" t="s">
        <v>3803</v>
      </c>
    </row>
    <row r="246" spans="1:31" ht="14.25" customHeight="1" x14ac:dyDescent="0.2">
      <c r="A246" t="s">
        <v>3804</v>
      </c>
      <c r="B246" t="s">
        <v>3805</v>
      </c>
      <c r="C246" t="s">
        <v>3806</v>
      </c>
      <c r="D246" t="s">
        <v>3807</v>
      </c>
      <c r="E246" s="4" t="s">
        <v>3808</v>
      </c>
      <c r="F246" t="s">
        <v>3809</v>
      </c>
      <c r="G246" s="5">
        <v>43917</v>
      </c>
      <c r="H246" t="s">
        <v>3810</v>
      </c>
      <c r="I246" t="s">
        <v>121</v>
      </c>
      <c r="J246" t="s">
        <v>3779</v>
      </c>
      <c r="K246" t="s">
        <v>123</v>
      </c>
      <c r="L246">
        <v>902</v>
      </c>
      <c r="M246">
        <v>606</v>
      </c>
      <c r="N246">
        <v>1100</v>
      </c>
      <c r="O246">
        <v>725</v>
      </c>
      <c r="P246" t="s">
        <v>3811</v>
      </c>
      <c r="Q246" t="s">
        <v>3812</v>
      </c>
      <c r="R246" t="s">
        <v>126</v>
      </c>
      <c r="S246" t="s">
        <v>3813</v>
      </c>
      <c r="T246" t="s">
        <v>128</v>
      </c>
      <c r="U246" t="s">
        <v>3807</v>
      </c>
      <c r="V246" t="s">
        <v>3814</v>
      </c>
      <c r="W246" t="s">
        <v>3815</v>
      </c>
      <c r="X246" t="s">
        <v>3816</v>
      </c>
      <c r="Y246" t="s">
        <v>3786</v>
      </c>
      <c r="Z246" t="s">
        <v>3815</v>
      </c>
      <c r="AA246" s="7" t="s">
        <v>2006</v>
      </c>
      <c r="AB246" t="s">
        <v>706</v>
      </c>
      <c r="AC246" t="s">
        <v>2221</v>
      </c>
      <c r="AD246" s="7" t="s">
        <v>137</v>
      </c>
      <c r="AE246" s="7" t="s">
        <v>3817</v>
      </c>
    </row>
    <row r="247" spans="1:31" ht="14.25" customHeight="1" x14ac:dyDescent="0.2">
      <c r="A247" t="s">
        <v>3818</v>
      </c>
      <c r="B247" t="s">
        <v>3819</v>
      </c>
      <c r="C247" t="s">
        <v>3820</v>
      </c>
      <c r="D247" t="s">
        <v>3821</v>
      </c>
      <c r="E247" s="4" t="s">
        <v>3822</v>
      </c>
      <c r="F247" t="s">
        <v>3823</v>
      </c>
      <c r="G247" s="5">
        <v>43646</v>
      </c>
      <c r="H247" t="s">
        <v>3824</v>
      </c>
      <c r="I247" t="s">
        <v>121</v>
      </c>
      <c r="J247" t="s">
        <v>3779</v>
      </c>
      <c r="K247" t="s">
        <v>123</v>
      </c>
      <c r="L247">
        <v>902</v>
      </c>
      <c r="M247">
        <v>606</v>
      </c>
      <c r="N247">
        <v>1100</v>
      </c>
      <c r="O247">
        <v>725</v>
      </c>
      <c r="P247" t="s">
        <v>3825</v>
      </c>
      <c r="Q247" t="s">
        <v>3826</v>
      </c>
      <c r="R247" t="s">
        <v>126</v>
      </c>
      <c r="S247" t="s">
        <v>3827</v>
      </c>
      <c r="T247" t="s">
        <v>128</v>
      </c>
      <c r="U247" t="s">
        <v>3821</v>
      </c>
      <c r="V247" t="s">
        <v>2604</v>
      </c>
      <c r="W247" t="s">
        <v>3828</v>
      </c>
      <c r="X247" t="s">
        <v>3829</v>
      </c>
      <c r="Y247" t="s">
        <v>2604</v>
      </c>
      <c r="Z247" t="s">
        <v>3828</v>
      </c>
      <c r="AA247" s="7" t="s">
        <v>3787</v>
      </c>
      <c r="AB247" t="s">
        <v>3830</v>
      </c>
      <c r="AC247" t="s">
        <v>3831</v>
      </c>
      <c r="AD247" s="7" t="s">
        <v>137</v>
      </c>
      <c r="AE247" s="7" t="s">
        <v>3832</v>
      </c>
    </row>
    <row r="248" spans="1:31" ht="14.25" customHeight="1" x14ac:dyDescent="0.2">
      <c r="A248" t="s">
        <v>3833</v>
      </c>
      <c r="B248" t="s">
        <v>3834</v>
      </c>
      <c r="C248" t="s">
        <v>3835</v>
      </c>
      <c r="D248" t="s">
        <v>3836</v>
      </c>
      <c r="E248" s="4" t="s">
        <v>3837</v>
      </c>
      <c r="F248" t="s">
        <v>3838</v>
      </c>
      <c r="G248" s="5">
        <v>43738</v>
      </c>
      <c r="H248" t="s">
        <v>3839</v>
      </c>
      <c r="I248" t="s">
        <v>121</v>
      </c>
      <c r="J248" t="s">
        <v>3779</v>
      </c>
      <c r="K248" t="s">
        <v>123</v>
      </c>
      <c r="L248">
        <v>714</v>
      </c>
      <c r="M248">
        <v>481</v>
      </c>
      <c r="N248">
        <v>1100</v>
      </c>
      <c r="O248">
        <v>725</v>
      </c>
      <c r="P248" t="s">
        <v>3840</v>
      </c>
      <c r="Q248" t="s">
        <v>3841</v>
      </c>
      <c r="R248" t="s">
        <v>126</v>
      </c>
      <c r="S248" t="s">
        <v>3842</v>
      </c>
      <c r="T248" t="s">
        <v>280</v>
      </c>
      <c r="U248" t="s">
        <v>2503</v>
      </c>
      <c r="V248" t="s">
        <v>2602</v>
      </c>
      <c r="W248" t="s">
        <v>3843</v>
      </c>
      <c r="X248" t="s">
        <v>2505</v>
      </c>
      <c r="Y248" t="s">
        <v>2604</v>
      </c>
      <c r="Z248" t="s">
        <v>3844</v>
      </c>
      <c r="AA248" s="7" t="s">
        <v>2006</v>
      </c>
      <c r="AB248" t="s">
        <v>357</v>
      </c>
      <c r="AC248" t="s">
        <v>588</v>
      </c>
      <c r="AD248" s="7" t="s">
        <v>52</v>
      </c>
      <c r="AE248" s="7" t="s">
        <v>3845</v>
      </c>
    </row>
    <row r="249" spans="1:31" ht="14.25" customHeight="1" x14ac:dyDescent="0.2">
      <c r="A249" t="s">
        <v>3846</v>
      </c>
      <c r="B249" t="s">
        <v>3847</v>
      </c>
      <c r="C249" t="s">
        <v>3848</v>
      </c>
      <c r="D249" t="s">
        <v>3849</v>
      </c>
      <c r="E249" s="4" t="s">
        <v>3850</v>
      </c>
      <c r="F249" t="s">
        <v>3851</v>
      </c>
      <c r="G249" s="5">
        <v>43370</v>
      </c>
      <c r="H249" t="s">
        <v>3852</v>
      </c>
      <c r="I249" t="s">
        <v>241</v>
      </c>
      <c r="J249" t="s">
        <v>3779</v>
      </c>
      <c r="K249" t="s">
        <v>123</v>
      </c>
      <c r="L249">
        <v>806</v>
      </c>
      <c r="M249">
        <v>444</v>
      </c>
      <c r="N249">
        <v>1100</v>
      </c>
      <c r="O249">
        <v>725</v>
      </c>
      <c r="P249" t="s">
        <v>3853</v>
      </c>
      <c r="Q249" t="s">
        <v>3854</v>
      </c>
      <c r="R249" t="s">
        <v>126</v>
      </c>
      <c r="S249" t="s">
        <v>3855</v>
      </c>
      <c r="T249" t="s">
        <v>128</v>
      </c>
      <c r="U249" t="s">
        <v>3137</v>
      </c>
      <c r="V249" t="s">
        <v>3800</v>
      </c>
      <c r="W249" t="s">
        <v>3447</v>
      </c>
      <c r="X249" t="s">
        <v>910</v>
      </c>
      <c r="Y249" t="s">
        <v>1483</v>
      </c>
      <c r="Z249" t="s">
        <v>154</v>
      </c>
      <c r="AA249" s="7" t="s">
        <v>387</v>
      </c>
      <c r="AB249" s="7" t="s">
        <v>3856</v>
      </c>
      <c r="AC249" t="s">
        <v>3857</v>
      </c>
      <c r="AD249" s="7" t="s">
        <v>3858</v>
      </c>
      <c r="AE249" s="7" t="s">
        <v>3859</v>
      </c>
    </row>
    <row r="250" spans="1:31" ht="14.25" customHeight="1" x14ac:dyDescent="0.2">
      <c r="A250" t="s">
        <v>3860</v>
      </c>
      <c r="B250" t="s">
        <v>3861</v>
      </c>
      <c r="C250" t="s">
        <v>3862</v>
      </c>
      <c r="D250" t="s">
        <v>3863</v>
      </c>
      <c r="E250" s="4" t="s">
        <v>3864</v>
      </c>
      <c r="F250" t="s">
        <v>3865</v>
      </c>
      <c r="G250" s="5">
        <v>43370</v>
      </c>
      <c r="H250" t="s">
        <v>3866</v>
      </c>
      <c r="I250" t="s">
        <v>121</v>
      </c>
      <c r="J250" t="s">
        <v>3779</v>
      </c>
      <c r="K250" t="s">
        <v>123</v>
      </c>
      <c r="L250">
        <v>856</v>
      </c>
      <c r="M250">
        <v>576</v>
      </c>
      <c r="N250">
        <v>1100</v>
      </c>
      <c r="O250">
        <v>725</v>
      </c>
      <c r="P250" t="s">
        <v>3867</v>
      </c>
      <c r="Q250" t="s">
        <v>3868</v>
      </c>
      <c r="R250" t="s">
        <v>126</v>
      </c>
      <c r="S250" t="s">
        <v>3869</v>
      </c>
      <c r="T250" t="s">
        <v>128</v>
      </c>
      <c r="U250" t="s">
        <v>264</v>
      </c>
      <c r="V250" t="s">
        <v>3870</v>
      </c>
      <c r="W250" t="s">
        <v>2602</v>
      </c>
      <c r="X250" t="s">
        <v>154</v>
      </c>
      <c r="Y250" t="s">
        <v>2604</v>
      </c>
      <c r="Z250" t="s">
        <v>2004</v>
      </c>
      <c r="AA250" s="7" t="s">
        <v>2006</v>
      </c>
      <c r="AB250" s="7" t="s">
        <v>3871</v>
      </c>
      <c r="AC250" t="s">
        <v>3872</v>
      </c>
      <c r="AD250" s="7" t="s">
        <v>52</v>
      </c>
      <c r="AE250" s="7" t="s">
        <v>3873</v>
      </c>
    </row>
    <row r="251" spans="1:31" ht="14.25" customHeight="1" x14ac:dyDescent="0.2">
      <c r="A251" t="s">
        <v>3874</v>
      </c>
      <c r="B251" t="s">
        <v>3875</v>
      </c>
      <c r="C251" t="s">
        <v>3876</v>
      </c>
      <c r="D251" t="s">
        <v>3877</v>
      </c>
      <c r="E251" s="4" t="s">
        <v>3878</v>
      </c>
      <c r="F251" t="s">
        <v>3879</v>
      </c>
      <c r="G251" s="5">
        <v>44469</v>
      </c>
      <c r="H251" t="s">
        <v>3880</v>
      </c>
      <c r="I251" t="s">
        <v>121</v>
      </c>
      <c r="J251" t="s">
        <v>3779</v>
      </c>
      <c r="K251" t="s">
        <v>330</v>
      </c>
      <c r="L251">
        <v>739</v>
      </c>
      <c r="M251">
        <v>521</v>
      </c>
      <c r="N251">
        <v>1100</v>
      </c>
      <c r="O251">
        <v>725</v>
      </c>
      <c r="P251" t="s">
        <v>3881</v>
      </c>
      <c r="Q251" t="s">
        <v>137</v>
      </c>
      <c r="R251" t="s">
        <v>333</v>
      </c>
      <c r="S251" t="s">
        <v>3882</v>
      </c>
      <c r="T251" t="s">
        <v>3883</v>
      </c>
      <c r="U251" t="s">
        <v>3884</v>
      </c>
      <c r="V251" t="s">
        <v>3784</v>
      </c>
      <c r="W251" t="s">
        <v>3885</v>
      </c>
      <c r="X251" t="s">
        <v>3886</v>
      </c>
      <c r="Y251" t="s">
        <v>3786</v>
      </c>
      <c r="Z251" t="s">
        <v>3885</v>
      </c>
      <c r="AA251" s="7" t="s">
        <v>175</v>
      </c>
      <c r="AB251" t="s">
        <v>3887</v>
      </c>
      <c r="AC251" t="s">
        <v>3888</v>
      </c>
      <c r="AD251" s="7" t="s">
        <v>137</v>
      </c>
      <c r="AE251" s="7" t="s">
        <v>3889</v>
      </c>
    </row>
    <row r="252" spans="1:31" ht="14.25" customHeight="1" x14ac:dyDescent="0.2">
      <c r="A252" t="s">
        <v>3890</v>
      </c>
      <c r="B252" t="s">
        <v>3891</v>
      </c>
      <c r="C252" t="s">
        <v>3892</v>
      </c>
      <c r="D252" t="s">
        <v>3893</v>
      </c>
      <c r="E252" s="4" t="s">
        <v>3894</v>
      </c>
      <c r="F252" t="s">
        <v>3895</v>
      </c>
      <c r="G252" s="5">
        <v>43994</v>
      </c>
      <c r="H252" t="s">
        <v>3896</v>
      </c>
      <c r="I252" t="s">
        <v>121</v>
      </c>
      <c r="J252" t="s">
        <v>3779</v>
      </c>
      <c r="K252" t="s">
        <v>330</v>
      </c>
      <c r="L252">
        <v>739</v>
      </c>
      <c r="M252">
        <v>521</v>
      </c>
      <c r="N252">
        <v>1100</v>
      </c>
      <c r="O252">
        <v>725</v>
      </c>
      <c r="P252" t="s">
        <v>3897</v>
      </c>
      <c r="Q252" t="s">
        <v>3898</v>
      </c>
      <c r="R252" t="s">
        <v>333</v>
      </c>
      <c r="S252" t="s">
        <v>3899</v>
      </c>
      <c r="T252" t="s">
        <v>3883</v>
      </c>
      <c r="U252" t="s">
        <v>3900</v>
      </c>
      <c r="V252" t="s">
        <v>3800</v>
      </c>
      <c r="W252" t="s">
        <v>336</v>
      </c>
      <c r="X252" t="s">
        <v>3900</v>
      </c>
      <c r="Y252" t="s">
        <v>1483</v>
      </c>
      <c r="Z252" t="s">
        <v>337</v>
      </c>
      <c r="AA252" s="7" t="s">
        <v>2039</v>
      </c>
      <c r="AB252" s="7" t="s">
        <v>3901</v>
      </c>
      <c r="AC252" t="s">
        <v>3902</v>
      </c>
      <c r="AD252" s="7" t="s">
        <v>137</v>
      </c>
      <c r="AE252" s="7" t="s">
        <v>3903</v>
      </c>
    </row>
    <row r="253" spans="1:31" ht="14.25" customHeight="1" x14ac:dyDescent="0.2">
      <c r="A253" t="s">
        <v>3904</v>
      </c>
      <c r="B253" t="s">
        <v>3905</v>
      </c>
      <c r="C253" t="s">
        <v>3906</v>
      </c>
      <c r="D253" t="s">
        <v>3907</v>
      </c>
      <c r="E253" s="4" t="s">
        <v>3908</v>
      </c>
      <c r="F253" t="s">
        <v>3909</v>
      </c>
      <c r="G253" s="5">
        <v>43646</v>
      </c>
      <c r="H253" t="s">
        <v>3910</v>
      </c>
      <c r="I253" t="s">
        <v>121</v>
      </c>
      <c r="J253" t="s">
        <v>3779</v>
      </c>
      <c r="K253" t="s">
        <v>330</v>
      </c>
      <c r="L253">
        <v>739</v>
      </c>
      <c r="M253">
        <v>521</v>
      </c>
      <c r="N253">
        <v>1100</v>
      </c>
      <c r="O253">
        <v>725</v>
      </c>
      <c r="P253" t="s">
        <v>3911</v>
      </c>
      <c r="Q253" t="s">
        <v>3912</v>
      </c>
      <c r="R253" t="s">
        <v>333</v>
      </c>
      <c r="S253" t="s">
        <v>3913</v>
      </c>
      <c r="T253" t="s">
        <v>3883</v>
      </c>
      <c r="U253" t="s">
        <v>684</v>
      </c>
      <c r="V253" t="s">
        <v>3914</v>
      </c>
      <c r="W253" t="s">
        <v>780</v>
      </c>
      <c r="X253" t="s">
        <v>686</v>
      </c>
      <c r="Y253" t="s">
        <v>2604</v>
      </c>
      <c r="Z253" t="s">
        <v>154</v>
      </c>
      <c r="AA253" s="7" t="s">
        <v>175</v>
      </c>
      <c r="AB253" t="s">
        <v>3915</v>
      </c>
      <c r="AC253" t="s">
        <v>3916</v>
      </c>
      <c r="AD253" s="7" t="s">
        <v>689</v>
      </c>
      <c r="AE253" s="7" t="s">
        <v>3917</v>
      </c>
    </row>
    <row r="254" spans="1:31" ht="14.25" customHeight="1" x14ac:dyDescent="0.2">
      <c r="A254" t="s">
        <v>3918</v>
      </c>
      <c r="B254" t="s">
        <v>3919</v>
      </c>
      <c r="C254" t="s">
        <v>3920</v>
      </c>
      <c r="D254" t="s">
        <v>3921</v>
      </c>
      <c r="E254" s="4" t="s">
        <v>3922</v>
      </c>
      <c r="F254" t="s">
        <v>3923</v>
      </c>
      <c r="G254" s="5">
        <v>43465</v>
      </c>
      <c r="H254" t="s">
        <v>3924</v>
      </c>
      <c r="I254" t="s">
        <v>121</v>
      </c>
      <c r="J254" t="s">
        <v>3779</v>
      </c>
      <c r="K254" t="s">
        <v>330</v>
      </c>
      <c r="L254">
        <v>886</v>
      </c>
      <c r="M254">
        <v>624</v>
      </c>
      <c r="N254">
        <v>1100</v>
      </c>
      <c r="O254">
        <v>725</v>
      </c>
      <c r="P254" t="s">
        <v>3925</v>
      </c>
      <c r="Q254" t="s">
        <v>3926</v>
      </c>
      <c r="R254" t="s">
        <v>333</v>
      </c>
      <c r="S254" t="s">
        <v>3927</v>
      </c>
      <c r="T254" t="s">
        <v>280</v>
      </c>
      <c r="U254" t="s">
        <v>3928</v>
      </c>
      <c r="V254" t="s">
        <v>2604</v>
      </c>
      <c r="W254" t="s">
        <v>581</v>
      </c>
      <c r="X254" t="s">
        <v>249</v>
      </c>
      <c r="Y254" t="s">
        <v>2604</v>
      </c>
      <c r="Z254" t="s">
        <v>581</v>
      </c>
      <c r="AA254" s="7" t="s">
        <v>387</v>
      </c>
      <c r="AB254" t="s">
        <v>3929</v>
      </c>
      <c r="AC254" t="s">
        <v>3930</v>
      </c>
      <c r="AD254" s="7" t="s">
        <v>28</v>
      </c>
      <c r="AE254" s="7" t="s">
        <v>3931</v>
      </c>
    </row>
    <row r="255" spans="1:31" ht="14.25" customHeight="1" x14ac:dyDescent="0.2">
      <c r="A255" t="s">
        <v>3932</v>
      </c>
      <c r="B255" t="s">
        <v>3933</v>
      </c>
      <c r="C255" t="s">
        <v>3934</v>
      </c>
      <c r="D255" t="s">
        <v>3935</v>
      </c>
      <c r="E255" s="4" t="s">
        <v>3936</v>
      </c>
      <c r="F255" t="s">
        <v>3937</v>
      </c>
      <c r="G255" s="5">
        <v>43921</v>
      </c>
      <c r="H255" t="s">
        <v>3938</v>
      </c>
      <c r="I255" t="s">
        <v>121</v>
      </c>
      <c r="J255" t="s">
        <v>3779</v>
      </c>
      <c r="K255" t="s">
        <v>330</v>
      </c>
      <c r="L255">
        <v>701</v>
      </c>
      <c r="M255">
        <v>495</v>
      </c>
      <c r="N255">
        <v>1100</v>
      </c>
      <c r="O255">
        <v>725</v>
      </c>
      <c r="P255" t="s">
        <v>3939</v>
      </c>
      <c r="Q255" t="s">
        <v>3940</v>
      </c>
      <c r="R255" t="s">
        <v>333</v>
      </c>
      <c r="S255" t="s">
        <v>3941</v>
      </c>
      <c r="T255" t="s">
        <v>3883</v>
      </c>
      <c r="U255" t="s">
        <v>3942</v>
      </c>
      <c r="V255" t="s">
        <v>1481</v>
      </c>
      <c r="W255" t="s">
        <v>3943</v>
      </c>
      <c r="X255" t="s">
        <v>3944</v>
      </c>
      <c r="Y255" t="s">
        <v>1483</v>
      </c>
      <c r="Z255" t="s">
        <v>618</v>
      </c>
      <c r="AA255" s="7" t="s">
        <v>3945</v>
      </c>
      <c r="AB255" t="s">
        <v>157</v>
      </c>
      <c r="AC255" t="s">
        <v>3946</v>
      </c>
      <c r="AD255" s="7" t="s">
        <v>3947</v>
      </c>
      <c r="AE255" s="7" t="s">
        <v>3948</v>
      </c>
    </row>
    <row r="256" spans="1:31" ht="14.25" customHeight="1" x14ac:dyDescent="0.2">
      <c r="A256" t="s">
        <v>3949</v>
      </c>
      <c r="B256" t="s">
        <v>3950</v>
      </c>
      <c r="C256" t="s">
        <v>3951</v>
      </c>
      <c r="D256" t="s">
        <v>3952</v>
      </c>
      <c r="E256" s="4" t="s">
        <v>3953</v>
      </c>
      <c r="F256" t="s">
        <v>3954</v>
      </c>
      <c r="G256" s="5">
        <v>43801</v>
      </c>
      <c r="H256" t="s">
        <v>3955</v>
      </c>
      <c r="I256" t="s">
        <v>121</v>
      </c>
      <c r="J256" t="s">
        <v>3779</v>
      </c>
      <c r="K256" t="s">
        <v>330</v>
      </c>
      <c r="L256">
        <v>716</v>
      </c>
      <c r="M256">
        <v>505</v>
      </c>
      <c r="N256">
        <v>1100</v>
      </c>
      <c r="O256">
        <v>725</v>
      </c>
      <c r="P256" t="s">
        <v>3956</v>
      </c>
      <c r="Q256" t="s">
        <v>3957</v>
      </c>
      <c r="R256" t="s">
        <v>333</v>
      </c>
      <c r="S256" t="s">
        <v>3958</v>
      </c>
      <c r="T256" t="s">
        <v>3883</v>
      </c>
      <c r="U256" t="s">
        <v>923</v>
      </c>
      <c r="V256" t="s">
        <v>3914</v>
      </c>
      <c r="W256" t="s">
        <v>3959</v>
      </c>
      <c r="X256" t="s">
        <v>3960</v>
      </c>
      <c r="Y256" t="s">
        <v>2604</v>
      </c>
      <c r="Z256" t="s">
        <v>581</v>
      </c>
      <c r="AA256" s="7" t="s">
        <v>175</v>
      </c>
      <c r="AB256" t="s">
        <v>3961</v>
      </c>
      <c r="AC256" t="s">
        <v>1666</v>
      </c>
      <c r="AD256" s="7" t="s">
        <v>137</v>
      </c>
      <c r="AE256" s="7" t="s">
        <v>3962</v>
      </c>
    </row>
    <row r="257" spans="1:31" ht="14.25" customHeight="1" x14ac:dyDescent="0.2">
      <c r="A257" t="s">
        <v>3963</v>
      </c>
      <c r="B257" t="s">
        <v>3964</v>
      </c>
      <c r="C257" t="s">
        <v>3965</v>
      </c>
      <c r="D257" t="s">
        <v>3966</v>
      </c>
      <c r="E257" s="4" t="s">
        <v>3967</v>
      </c>
      <c r="F257" t="s">
        <v>3968</v>
      </c>
      <c r="G257" s="5">
        <v>43370</v>
      </c>
      <c r="H257" t="s">
        <v>3969</v>
      </c>
      <c r="I257" t="s">
        <v>121</v>
      </c>
      <c r="J257" t="s">
        <v>3779</v>
      </c>
      <c r="K257" t="s">
        <v>330</v>
      </c>
      <c r="L257">
        <v>701</v>
      </c>
      <c r="M257">
        <v>495</v>
      </c>
      <c r="N257">
        <v>1100</v>
      </c>
      <c r="O257">
        <v>725</v>
      </c>
      <c r="P257" t="s">
        <v>3970</v>
      </c>
      <c r="Q257" t="s">
        <v>3971</v>
      </c>
      <c r="R257" t="s">
        <v>333</v>
      </c>
      <c r="S257" t="s">
        <v>3972</v>
      </c>
      <c r="T257" t="s">
        <v>315</v>
      </c>
      <c r="U257" t="s">
        <v>2939</v>
      </c>
      <c r="V257" t="s">
        <v>2602</v>
      </c>
      <c r="W257" t="s">
        <v>2603</v>
      </c>
      <c r="X257" t="s">
        <v>618</v>
      </c>
      <c r="Y257" t="s">
        <v>2604</v>
      </c>
      <c r="Z257" t="s">
        <v>3973</v>
      </c>
      <c r="AA257" s="7" t="s">
        <v>3945</v>
      </c>
      <c r="AB257" t="s">
        <v>3974</v>
      </c>
      <c r="AC257" t="s">
        <v>3975</v>
      </c>
      <c r="AD257" s="7" t="s">
        <v>28</v>
      </c>
      <c r="AE257" s="7" t="s">
        <v>3976</v>
      </c>
    </row>
    <row r="258" spans="1:31" ht="14.25" customHeight="1" x14ac:dyDescent="0.2">
      <c r="A258" t="s">
        <v>3977</v>
      </c>
      <c r="B258" t="s">
        <v>3978</v>
      </c>
      <c r="C258" t="s">
        <v>3979</v>
      </c>
      <c r="D258" t="s">
        <v>3980</v>
      </c>
      <c r="E258" s="4" t="s">
        <v>3981</v>
      </c>
      <c r="F258" t="s">
        <v>3982</v>
      </c>
      <c r="G258" s="5">
        <v>44406</v>
      </c>
      <c r="H258" t="s">
        <v>3983</v>
      </c>
      <c r="I258" t="s">
        <v>121</v>
      </c>
      <c r="J258" t="s">
        <v>3779</v>
      </c>
      <c r="K258" t="s">
        <v>429</v>
      </c>
      <c r="L258">
        <v>719</v>
      </c>
      <c r="M258">
        <v>476</v>
      </c>
      <c r="N258">
        <v>1100</v>
      </c>
      <c r="O258">
        <v>725</v>
      </c>
      <c r="P258" t="s">
        <v>3984</v>
      </c>
      <c r="Q258" t="s">
        <v>3985</v>
      </c>
      <c r="R258" t="s">
        <v>385</v>
      </c>
      <c r="S258" t="s">
        <v>3927</v>
      </c>
      <c r="T258" t="s">
        <v>280</v>
      </c>
      <c r="U258" t="s">
        <v>3986</v>
      </c>
      <c r="V258" t="s">
        <v>3914</v>
      </c>
      <c r="W258" t="s">
        <v>3987</v>
      </c>
      <c r="X258" t="s">
        <v>283</v>
      </c>
      <c r="Y258" t="s">
        <v>2604</v>
      </c>
      <c r="Z258" t="s">
        <v>284</v>
      </c>
      <c r="AA258" s="7" t="s">
        <v>3787</v>
      </c>
      <c r="AB258" t="s">
        <v>285</v>
      </c>
      <c r="AC258" t="s">
        <v>588</v>
      </c>
      <c r="AD258" s="7" t="s">
        <v>62</v>
      </c>
      <c r="AE258" s="7" t="s">
        <v>3988</v>
      </c>
    </row>
    <row r="259" spans="1:31" ht="14.25" customHeight="1" x14ac:dyDescent="0.2">
      <c r="A259" t="s">
        <v>3989</v>
      </c>
      <c r="B259" t="s">
        <v>3990</v>
      </c>
      <c r="C259" t="s">
        <v>3991</v>
      </c>
      <c r="D259" t="s">
        <v>3992</v>
      </c>
      <c r="E259" s="4" t="s">
        <v>3993</v>
      </c>
      <c r="F259" t="s">
        <v>3994</v>
      </c>
      <c r="G259" s="5">
        <v>44227</v>
      </c>
      <c r="H259" t="s">
        <v>3995</v>
      </c>
      <c r="I259" t="s">
        <v>121</v>
      </c>
      <c r="J259" t="s">
        <v>3779</v>
      </c>
      <c r="K259" t="s">
        <v>429</v>
      </c>
      <c r="L259">
        <v>757</v>
      </c>
      <c r="M259">
        <v>501</v>
      </c>
      <c r="N259">
        <v>1100</v>
      </c>
      <c r="O259">
        <v>725</v>
      </c>
      <c r="P259" t="s">
        <v>3996</v>
      </c>
      <c r="Q259" t="s">
        <v>3997</v>
      </c>
      <c r="R259" t="s">
        <v>3998</v>
      </c>
      <c r="S259" t="s">
        <v>3999</v>
      </c>
      <c r="T259" t="s">
        <v>3883</v>
      </c>
      <c r="U259" t="s">
        <v>4000</v>
      </c>
      <c r="V259" t="s">
        <v>3800</v>
      </c>
      <c r="W259" t="s">
        <v>4001</v>
      </c>
      <c r="X259" t="s">
        <v>4002</v>
      </c>
      <c r="Y259" t="s">
        <v>1483</v>
      </c>
      <c r="Z259" t="s">
        <v>2097</v>
      </c>
      <c r="AA259" s="7" t="s">
        <v>175</v>
      </c>
      <c r="AB259" t="s">
        <v>587</v>
      </c>
      <c r="AC259" t="s">
        <v>4003</v>
      </c>
      <c r="AD259" s="7" t="s">
        <v>137</v>
      </c>
      <c r="AE259" s="7" t="s">
        <v>4004</v>
      </c>
    </row>
    <row r="260" spans="1:31" ht="14.25" customHeight="1" x14ac:dyDescent="0.2">
      <c r="A260" t="s">
        <v>4005</v>
      </c>
      <c r="B260" t="s">
        <v>4006</v>
      </c>
      <c r="C260" t="s">
        <v>4007</v>
      </c>
      <c r="D260" t="s">
        <v>4008</v>
      </c>
      <c r="E260" s="4" t="s">
        <v>4009</v>
      </c>
      <c r="F260" t="s">
        <v>4010</v>
      </c>
      <c r="G260" s="5">
        <v>44072</v>
      </c>
      <c r="H260" t="s">
        <v>4011</v>
      </c>
      <c r="I260" t="s">
        <v>260</v>
      </c>
      <c r="J260" t="s">
        <v>3779</v>
      </c>
      <c r="K260" t="s">
        <v>429</v>
      </c>
      <c r="L260">
        <v>797</v>
      </c>
      <c r="M260">
        <v>477</v>
      </c>
      <c r="N260">
        <v>1100</v>
      </c>
      <c r="O260">
        <v>725</v>
      </c>
      <c r="P260" t="s">
        <v>4012</v>
      </c>
      <c r="Q260" t="s">
        <v>4013</v>
      </c>
      <c r="R260" t="s">
        <v>385</v>
      </c>
      <c r="S260" t="s">
        <v>3999</v>
      </c>
      <c r="T260" t="s">
        <v>3883</v>
      </c>
      <c r="U260" t="s">
        <v>4014</v>
      </c>
      <c r="V260" t="s">
        <v>3800</v>
      </c>
      <c r="W260" t="s">
        <v>1108</v>
      </c>
      <c r="X260" t="s">
        <v>4015</v>
      </c>
      <c r="Y260" t="s">
        <v>1483</v>
      </c>
      <c r="Z260" t="s">
        <v>581</v>
      </c>
      <c r="AA260" s="7" t="s">
        <v>3945</v>
      </c>
      <c r="AB260" t="s">
        <v>4016</v>
      </c>
      <c r="AC260" t="s">
        <v>4017</v>
      </c>
      <c r="AD260" s="7" t="s">
        <v>1128</v>
      </c>
      <c r="AE260" s="7" t="s">
        <v>4018</v>
      </c>
    </row>
    <row r="261" spans="1:31" ht="14.25" customHeight="1" x14ac:dyDescent="0.2">
      <c r="A261" t="s">
        <v>4019</v>
      </c>
      <c r="B261" t="s">
        <v>4020</v>
      </c>
      <c r="C261" t="s">
        <v>4021</v>
      </c>
      <c r="D261" t="s">
        <v>4022</v>
      </c>
      <c r="E261" s="4" t="s">
        <v>4023</v>
      </c>
      <c r="F261" t="s">
        <v>4024</v>
      </c>
      <c r="G261" s="5">
        <v>43923</v>
      </c>
      <c r="H261" t="s">
        <v>4025</v>
      </c>
      <c r="I261" t="s">
        <v>121</v>
      </c>
      <c r="J261" t="s">
        <v>3779</v>
      </c>
      <c r="K261" t="s">
        <v>429</v>
      </c>
      <c r="L261">
        <v>757</v>
      </c>
      <c r="M261">
        <v>501</v>
      </c>
      <c r="N261">
        <v>1100</v>
      </c>
      <c r="O261">
        <v>725</v>
      </c>
      <c r="P261" t="s">
        <v>4026</v>
      </c>
      <c r="Q261" t="s">
        <v>4027</v>
      </c>
      <c r="R261" t="s">
        <v>385</v>
      </c>
      <c r="S261" t="s">
        <v>3913</v>
      </c>
      <c r="T261" t="s">
        <v>3883</v>
      </c>
      <c r="U261" t="s">
        <v>4028</v>
      </c>
      <c r="V261" t="s">
        <v>3800</v>
      </c>
      <c r="W261" t="s">
        <v>780</v>
      </c>
      <c r="X261" t="s">
        <v>4029</v>
      </c>
      <c r="Y261" t="s">
        <v>1483</v>
      </c>
      <c r="Z261" t="s">
        <v>154</v>
      </c>
      <c r="AA261" s="7" t="s">
        <v>3945</v>
      </c>
      <c r="AB261" s="7" t="s">
        <v>419</v>
      </c>
      <c r="AC261" t="s">
        <v>4030</v>
      </c>
      <c r="AD261" s="7" t="s">
        <v>3947</v>
      </c>
      <c r="AE261" s="7" t="s">
        <v>4031</v>
      </c>
    </row>
    <row r="262" spans="1:31" ht="14.25" customHeight="1" x14ac:dyDescent="0.2">
      <c r="A262" t="s">
        <v>4032</v>
      </c>
      <c r="B262" t="s">
        <v>4033</v>
      </c>
      <c r="C262" t="s">
        <v>4034</v>
      </c>
      <c r="D262" t="s">
        <v>4035</v>
      </c>
      <c r="E262" s="4" t="s">
        <v>4036</v>
      </c>
      <c r="F262" t="s">
        <v>4037</v>
      </c>
      <c r="G262" s="5">
        <v>43742</v>
      </c>
      <c r="H262" t="s">
        <v>4038</v>
      </c>
      <c r="I262" t="s">
        <v>260</v>
      </c>
      <c r="J262" t="s">
        <v>3779</v>
      </c>
      <c r="K262" t="s">
        <v>429</v>
      </c>
      <c r="L262">
        <v>956</v>
      </c>
      <c r="M262">
        <v>572</v>
      </c>
      <c r="N262">
        <v>1100</v>
      </c>
      <c r="O262">
        <v>725</v>
      </c>
      <c r="P262" t="s">
        <v>4039</v>
      </c>
      <c r="Q262" t="s">
        <v>4040</v>
      </c>
      <c r="R262" t="s">
        <v>385</v>
      </c>
      <c r="S262" t="s">
        <v>4041</v>
      </c>
      <c r="T262" t="s">
        <v>2587</v>
      </c>
      <c r="U262" t="s">
        <v>4042</v>
      </c>
      <c r="V262" t="s">
        <v>2604</v>
      </c>
      <c r="W262" t="s">
        <v>4043</v>
      </c>
      <c r="X262" t="s">
        <v>4044</v>
      </c>
      <c r="Y262" t="s">
        <v>2604</v>
      </c>
      <c r="Z262" t="s">
        <v>2004</v>
      </c>
      <c r="AA262" s="7" t="s">
        <v>2006</v>
      </c>
      <c r="AB262" s="7" t="s">
        <v>419</v>
      </c>
      <c r="AC262" t="s">
        <v>4045</v>
      </c>
      <c r="AD262" s="7" t="s">
        <v>52</v>
      </c>
      <c r="AE262" s="7" t="s">
        <v>4046</v>
      </c>
    </row>
    <row r="263" spans="1:31" ht="14.25" customHeight="1" x14ac:dyDescent="0.2">
      <c r="A263" t="s">
        <v>4047</v>
      </c>
      <c r="B263" t="s">
        <v>4048</v>
      </c>
      <c r="C263" t="s">
        <v>4049</v>
      </c>
      <c r="D263" t="s">
        <v>4050</v>
      </c>
      <c r="E263" s="4" t="s">
        <v>4051</v>
      </c>
      <c r="F263" t="s">
        <v>4052</v>
      </c>
      <c r="G263" s="5">
        <v>43573</v>
      </c>
      <c r="H263" t="s">
        <v>4053</v>
      </c>
      <c r="I263" t="s">
        <v>121</v>
      </c>
      <c r="J263" t="s">
        <v>3779</v>
      </c>
      <c r="K263" t="s">
        <v>429</v>
      </c>
      <c r="L263">
        <v>719</v>
      </c>
      <c r="M263">
        <v>476</v>
      </c>
      <c r="N263">
        <v>1100</v>
      </c>
      <c r="O263">
        <v>725</v>
      </c>
      <c r="P263" t="s">
        <v>4054</v>
      </c>
      <c r="Q263" t="s">
        <v>4055</v>
      </c>
      <c r="R263" t="s">
        <v>385</v>
      </c>
      <c r="S263" t="s">
        <v>4056</v>
      </c>
      <c r="T263" t="s">
        <v>3883</v>
      </c>
      <c r="U263" t="s">
        <v>4057</v>
      </c>
      <c r="V263" t="s">
        <v>3800</v>
      </c>
      <c r="W263" t="s">
        <v>1804</v>
      </c>
      <c r="X263" t="s">
        <v>910</v>
      </c>
      <c r="Y263" t="s">
        <v>1483</v>
      </c>
      <c r="Z263" t="s">
        <v>319</v>
      </c>
      <c r="AA263" s="7" t="s">
        <v>2006</v>
      </c>
      <c r="AB263" t="s">
        <v>4058</v>
      </c>
      <c r="AC263" t="s">
        <v>4059</v>
      </c>
      <c r="AD263" s="7" t="s">
        <v>137</v>
      </c>
      <c r="AE263" s="7" t="s">
        <v>4060</v>
      </c>
    </row>
    <row r="264" spans="1:31" ht="14.25" customHeight="1" x14ac:dyDescent="0.2">
      <c r="A264" t="s">
        <v>4061</v>
      </c>
      <c r="B264" t="s">
        <v>4062</v>
      </c>
      <c r="C264" t="s">
        <v>4063</v>
      </c>
      <c r="D264" t="s">
        <v>4064</v>
      </c>
      <c r="E264" s="4" t="s">
        <v>4065</v>
      </c>
      <c r="F264" t="s">
        <v>4066</v>
      </c>
      <c r="G264" s="5">
        <v>43370</v>
      </c>
      <c r="H264" t="s">
        <v>4067</v>
      </c>
      <c r="I264" t="s">
        <v>260</v>
      </c>
      <c r="J264" t="s">
        <v>3779</v>
      </c>
      <c r="K264" t="s">
        <v>429</v>
      </c>
      <c r="L264">
        <v>773</v>
      </c>
      <c r="M264">
        <v>462</v>
      </c>
      <c r="N264">
        <v>1100</v>
      </c>
      <c r="O264">
        <v>725</v>
      </c>
      <c r="P264" t="s">
        <v>4068</v>
      </c>
      <c r="Q264" t="s">
        <v>4069</v>
      </c>
      <c r="R264" t="s">
        <v>385</v>
      </c>
      <c r="S264" t="s">
        <v>4070</v>
      </c>
      <c r="T264" t="s">
        <v>3883</v>
      </c>
      <c r="U264" t="s">
        <v>1380</v>
      </c>
      <c r="V264" t="s">
        <v>3914</v>
      </c>
      <c r="W264" t="s">
        <v>1591</v>
      </c>
      <c r="X264" t="s">
        <v>519</v>
      </c>
      <c r="Y264" t="s">
        <v>2604</v>
      </c>
      <c r="Z264" t="s">
        <v>670</v>
      </c>
      <c r="AA264" s="7" t="s">
        <v>3945</v>
      </c>
      <c r="AB264" t="s">
        <v>4071</v>
      </c>
      <c r="AC264" t="s">
        <v>4072</v>
      </c>
      <c r="AD264" s="7" t="s">
        <v>62</v>
      </c>
      <c r="AE264" s="7" t="s">
        <v>4073</v>
      </c>
    </row>
    <row r="265" spans="1:31" ht="14.25" customHeight="1" x14ac:dyDescent="0.2">
      <c r="A265" t="s">
        <v>4074</v>
      </c>
      <c r="B265" t="s">
        <v>4075</v>
      </c>
      <c r="C265" t="s">
        <v>4076</v>
      </c>
      <c r="D265" t="s">
        <v>4077</v>
      </c>
      <c r="E265" s="4" t="s">
        <v>4078</v>
      </c>
      <c r="F265" t="s">
        <v>4079</v>
      </c>
      <c r="G265" s="5">
        <v>43404</v>
      </c>
      <c r="H265" t="s">
        <v>276</v>
      </c>
      <c r="I265" t="s">
        <v>260</v>
      </c>
      <c r="J265" t="s">
        <v>3779</v>
      </c>
      <c r="K265" t="s">
        <v>429</v>
      </c>
      <c r="L265">
        <v>757</v>
      </c>
      <c r="M265">
        <v>453</v>
      </c>
      <c r="N265">
        <v>1100</v>
      </c>
      <c r="O265">
        <v>725</v>
      </c>
      <c r="P265" t="s">
        <v>4080</v>
      </c>
      <c r="Q265" t="s">
        <v>4081</v>
      </c>
      <c r="R265" t="s">
        <v>385</v>
      </c>
      <c r="S265" t="s">
        <v>4082</v>
      </c>
      <c r="T265" t="s">
        <v>3883</v>
      </c>
      <c r="U265" t="s">
        <v>2274</v>
      </c>
      <c r="V265" t="s">
        <v>318</v>
      </c>
      <c r="W265" t="s">
        <v>1287</v>
      </c>
      <c r="X265" t="s">
        <v>337</v>
      </c>
      <c r="Y265" t="s">
        <v>132</v>
      </c>
      <c r="Z265" t="s">
        <v>4083</v>
      </c>
      <c r="AA265" s="7" t="s">
        <v>3945</v>
      </c>
      <c r="AB265" s="7" t="s">
        <v>419</v>
      </c>
      <c r="AC265" t="s">
        <v>1666</v>
      </c>
      <c r="AD265" s="7" t="s">
        <v>137</v>
      </c>
      <c r="AE265" s="7" t="s">
        <v>4084</v>
      </c>
    </row>
    <row r="266" spans="1:31" ht="14.25" customHeight="1" x14ac:dyDescent="0.2">
      <c r="A266" t="s">
        <v>4085</v>
      </c>
      <c r="B266" t="s">
        <v>4086</v>
      </c>
      <c r="C266" t="s">
        <v>4087</v>
      </c>
      <c r="D266" t="s">
        <v>4088</v>
      </c>
      <c r="E266" s="4" t="s">
        <v>4089</v>
      </c>
      <c r="F266" t="s">
        <v>4090</v>
      </c>
      <c r="G266" s="5">
        <v>43370</v>
      </c>
      <c r="H266" t="s">
        <v>4091</v>
      </c>
      <c r="I266" t="s">
        <v>260</v>
      </c>
      <c r="J266" t="s">
        <v>3779</v>
      </c>
      <c r="K266" t="s">
        <v>429</v>
      </c>
      <c r="L266">
        <v>907</v>
      </c>
      <c r="M266">
        <v>543</v>
      </c>
      <c r="N266">
        <v>1100</v>
      </c>
      <c r="O266">
        <v>725</v>
      </c>
      <c r="P266" t="s">
        <v>4092</v>
      </c>
      <c r="Q266" t="s">
        <v>4093</v>
      </c>
      <c r="R266" t="s">
        <v>385</v>
      </c>
      <c r="S266" t="s">
        <v>4082</v>
      </c>
      <c r="T266" t="s">
        <v>3883</v>
      </c>
      <c r="U266" t="s">
        <v>485</v>
      </c>
      <c r="V266" t="s">
        <v>4094</v>
      </c>
      <c r="W266" t="s">
        <v>1481</v>
      </c>
      <c r="X266" t="s">
        <v>485</v>
      </c>
      <c r="Y266" t="s">
        <v>1483</v>
      </c>
      <c r="Z266" t="s">
        <v>2004</v>
      </c>
      <c r="AA266" s="7" t="s">
        <v>2006</v>
      </c>
      <c r="AB266" s="7" t="s">
        <v>4095</v>
      </c>
      <c r="AC266" t="s">
        <v>4096</v>
      </c>
      <c r="AD266" s="7" t="s">
        <v>52</v>
      </c>
      <c r="AE266" s="7" t="s">
        <v>4097</v>
      </c>
    </row>
    <row r="267" spans="1:31" ht="14.25" customHeight="1" x14ac:dyDescent="0.2">
      <c r="A267" t="s">
        <v>4098</v>
      </c>
      <c r="B267" t="s">
        <v>4099</v>
      </c>
      <c r="C267" t="s">
        <v>4100</v>
      </c>
      <c r="D267" t="s">
        <v>4101</v>
      </c>
      <c r="E267" s="4" t="s">
        <v>4102</v>
      </c>
      <c r="F267" t="s">
        <v>4103</v>
      </c>
      <c r="G267" s="5">
        <v>44180</v>
      </c>
      <c r="H267" t="s">
        <v>4104</v>
      </c>
      <c r="I267" t="s">
        <v>121</v>
      </c>
      <c r="J267" t="s">
        <v>3779</v>
      </c>
      <c r="K267" t="s">
        <v>543</v>
      </c>
      <c r="L267">
        <v>741</v>
      </c>
      <c r="M267">
        <v>519</v>
      </c>
      <c r="N267">
        <v>1100</v>
      </c>
      <c r="O267">
        <v>725</v>
      </c>
      <c r="P267" t="s">
        <v>4105</v>
      </c>
      <c r="Q267" t="s">
        <v>4106</v>
      </c>
      <c r="R267" t="s">
        <v>563</v>
      </c>
      <c r="S267" t="s">
        <v>4107</v>
      </c>
      <c r="T267" t="s">
        <v>128</v>
      </c>
      <c r="U267" t="s">
        <v>4108</v>
      </c>
      <c r="V267" t="s">
        <v>3800</v>
      </c>
      <c r="W267" t="s">
        <v>4109</v>
      </c>
      <c r="X267" t="s">
        <v>4110</v>
      </c>
      <c r="Y267" t="s">
        <v>1483</v>
      </c>
      <c r="Z267" t="s">
        <v>4111</v>
      </c>
      <c r="AA267" s="7" t="s">
        <v>175</v>
      </c>
      <c r="AB267" t="s">
        <v>4112</v>
      </c>
      <c r="AC267" t="s">
        <v>4113</v>
      </c>
      <c r="AD267" s="7" t="s">
        <v>1128</v>
      </c>
      <c r="AE267" s="7" t="s">
        <v>4114</v>
      </c>
    </row>
    <row r="268" spans="1:31" ht="14.25" customHeight="1" x14ac:dyDescent="0.2">
      <c r="A268" t="s">
        <v>4115</v>
      </c>
      <c r="B268" t="s">
        <v>4116</v>
      </c>
      <c r="C268" t="s">
        <v>4117</v>
      </c>
      <c r="D268" t="s">
        <v>4118</v>
      </c>
      <c r="E268" s="4" t="s">
        <v>4119</v>
      </c>
      <c r="F268" t="s">
        <v>4120</v>
      </c>
      <c r="G268" s="5">
        <v>44027</v>
      </c>
      <c r="H268" t="s">
        <v>4121</v>
      </c>
      <c r="I268" t="s">
        <v>121</v>
      </c>
      <c r="J268" t="s">
        <v>3779</v>
      </c>
      <c r="K268" t="s">
        <v>543</v>
      </c>
      <c r="L268">
        <v>741</v>
      </c>
      <c r="M268">
        <v>519</v>
      </c>
      <c r="N268">
        <v>1100</v>
      </c>
      <c r="O268">
        <v>725</v>
      </c>
      <c r="P268" t="s">
        <v>4122</v>
      </c>
      <c r="Q268" t="s">
        <v>4123</v>
      </c>
      <c r="R268" t="s">
        <v>563</v>
      </c>
      <c r="S268" t="s">
        <v>4124</v>
      </c>
      <c r="T268" t="s">
        <v>128</v>
      </c>
      <c r="U268" t="s">
        <v>4125</v>
      </c>
      <c r="V268" t="s">
        <v>3914</v>
      </c>
      <c r="W268" t="s">
        <v>4126</v>
      </c>
      <c r="X268" t="s">
        <v>4127</v>
      </c>
      <c r="Y268" t="s">
        <v>2604</v>
      </c>
      <c r="Z268" t="s">
        <v>2004</v>
      </c>
      <c r="AA268" s="7" t="s">
        <v>2006</v>
      </c>
      <c r="AB268" t="s">
        <v>4128</v>
      </c>
      <c r="AC268" t="s">
        <v>4129</v>
      </c>
      <c r="AD268" s="7" t="s">
        <v>52</v>
      </c>
      <c r="AE268" s="7" t="s">
        <v>4130</v>
      </c>
    </row>
    <row r="269" spans="1:31" ht="14.25" customHeight="1" x14ac:dyDescent="0.2">
      <c r="A269" t="s">
        <v>4131</v>
      </c>
      <c r="B269" t="s">
        <v>4132</v>
      </c>
      <c r="C269" t="s">
        <v>4133</v>
      </c>
      <c r="D269" t="s">
        <v>4134</v>
      </c>
      <c r="E269" s="4" t="s">
        <v>4135</v>
      </c>
      <c r="F269" t="s">
        <v>4136</v>
      </c>
      <c r="G269" s="5">
        <v>43536</v>
      </c>
      <c r="H269" t="s">
        <v>4137</v>
      </c>
      <c r="I269" t="s">
        <v>121</v>
      </c>
      <c r="J269" t="s">
        <v>3779</v>
      </c>
      <c r="K269" t="s">
        <v>543</v>
      </c>
      <c r="L269">
        <v>888</v>
      </c>
      <c r="M269">
        <v>622</v>
      </c>
      <c r="N269">
        <v>1100</v>
      </c>
      <c r="O269">
        <v>725</v>
      </c>
      <c r="P269" t="s">
        <v>4138</v>
      </c>
      <c r="Q269" t="s">
        <v>4139</v>
      </c>
      <c r="R269" t="s">
        <v>563</v>
      </c>
      <c r="S269" t="s">
        <v>4124</v>
      </c>
      <c r="T269" t="s">
        <v>128</v>
      </c>
      <c r="U269" t="s">
        <v>417</v>
      </c>
      <c r="V269" t="s">
        <v>2604</v>
      </c>
      <c r="W269" t="s">
        <v>634</v>
      </c>
      <c r="X269" t="s">
        <v>417</v>
      </c>
      <c r="Y269" t="s">
        <v>2604</v>
      </c>
      <c r="Z269" t="s">
        <v>154</v>
      </c>
      <c r="AA269" s="7" t="s">
        <v>2039</v>
      </c>
      <c r="AB269" s="7" t="s">
        <v>4140</v>
      </c>
      <c r="AC269" t="s">
        <v>4141</v>
      </c>
      <c r="AD269" s="7" t="s">
        <v>137</v>
      </c>
      <c r="AE269" s="7" t="s">
        <v>4142</v>
      </c>
    </row>
    <row r="270" spans="1:31" ht="14.25" customHeight="1" x14ac:dyDescent="0.2">
      <c r="A270" t="s">
        <v>4143</v>
      </c>
      <c r="B270" t="s">
        <v>4144</v>
      </c>
      <c r="C270" t="s">
        <v>4145</v>
      </c>
      <c r="D270" t="s">
        <v>4146</v>
      </c>
      <c r="E270" s="4" t="s">
        <v>4147</v>
      </c>
      <c r="F270" t="s">
        <v>4148</v>
      </c>
      <c r="G270" s="5">
        <v>43465</v>
      </c>
      <c r="H270" t="s">
        <v>4149</v>
      </c>
      <c r="I270" t="s">
        <v>241</v>
      </c>
      <c r="J270" t="s">
        <v>3779</v>
      </c>
      <c r="K270" t="s">
        <v>543</v>
      </c>
      <c r="L270">
        <v>962</v>
      </c>
      <c r="M270">
        <v>552</v>
      </c>
      <c r="N270">
        <v>1100</v>
      </c>
      <c r="O270">
        <v>725</v>
      </c>
      <c r="P270" t="s">
        <v>4150</v>
      </c>
      <c r="Q270" t="s">
        <v>4151</v>
      </c>
      <c r="R270" t="s">
        <v>563</v>
      </c>
      <c r="S270" t="s">
        <v>4152</v>
      </c>
      <c r="T270" t="s">
        <v>315</v>
      </c>
      <c r="U270" t="s">
        <v>4146</v>
      </c>
      <c r="V270" t="s">
        <v>2604</v>
      </c>
      <c r="W270" t="s">
        <v>4153</v>
      </c>
      <c r="X270" t="s">
        <v>4154</v>
      </c>
      <c r="Y270" t="s">
        <v>2604</v>
      </c>
      <c r="Z270" t="s">
        <v>4153</v>
      </c>
      <c r="AA270" s="7" t="s">
        <v>3787</v>
      </c>
      <c r="AB270" s="7" t="s">
        <v>4155</v>
      </c>
      <c r="AC270" t="s">
        <v>4156</v>
      </c>
      <c r="AD270" s="7" t="s">
        <v>3858</v>
      </c>
      <c r="AE270" s="7" t="s">
        <v>4157</v>
      </c>
    </row>
    <row r="271" spans="1:31" ht="14.25" customHeight="1" x14ac:dyDescent="0.2">
      <c r="A271" t="s">
        <v>4158</v>
      </c>
      <c r="B271" t="s">
        <v>4159</v>
      </c>
      <c r="C271" t="s">
        <v>4160</v>
      </c>
      <c r="D271" t="s">
        <v>4161</v>
      </c>
      <c r="E271" s="4" t="s">
        <v>4162</v>
      </c>
      <c r="F271" t="s">
        <v>4163</v>
      </c>
      <c r="G271" s="5">
        <v>43370</v>
      </c>
      <c r="H271" t="s">
        <v>276</v>
      </c>
      <c r="I271" t="s">
        <v>121</v>
      </c>
      <c r="J271" t="s">
        <v>3779</v>
      </c>
      <c r="K271" t="s">
        <v>543</v>
      </c>
      <c r="L271">
        <v>844</v>
      </c>
      <c r="M271">
        <v>590</v>
      </c>
      <c r="N271">
        <v>1100</v>
      </c>
      <c r="O271">
        <v>725</v>
      </c>
      <c r="P271" t="s">
        <v>4164</v>
      </c>
      <c r="Q271" t="s">
        <v>4165</v>
      </c>
      <c r="R271" t="s">
        <v>563</v>
      </c>
      <c r="S271" t="s">
        <v>4166</v>
      </c>
      <c r="T271" t="s">
        <v>128</v>
      </c>
      <c r="U271" t="s">
        <v>4167</v>
      </c>
      <c r="V271" t="s">
        <v>4094</v>
      </c>
      <c r="W271" t="s">
        <v>1481</v>
      </c>
      <c r="X271" t="s">
        <v>4168</v>
      </c>
      <c r="Y271" t="s">
        <v>1483</v>
      </c>
      <c r="Z271" t="s">
        <v>1231</v>
      </c>
      <c r="AA271" s="7" t="s">
        <v>2039</v>
      </c>
      <c r="AB271" t="s">
        <v>157</v>
      </c>
      <c r="AC271" t="s">
        <v>2774</v>
      </c>
      <c r="AD271" s="7" t="s">
        <v>28</v>
      </c>
      <c r="AE271" s="7" t="s">
        <v>4169</v>
      </c>
    </row>
    <row r="272" spans="1:31" ht="14.25" customHeight="1" x14ac:dyDescent="0.2">
      <c r="A272" t="s">
        <v>4170</v>
      </c>
      <c r="B272" t="s">
        <v>4171</v>
      </c>
      <c r="C272" t="s">
        <v>4172</v>
      </c>
      <c r="D272" t="s">
        <v>4173</v>
      </c>
      <c r="E272" s="4" t="s">
        <v>4174</v>
      </c>
      <c r="F272" t="s">
        <v>4175</v>
      </c>
      <c r="G272" s="5">
        <v>44561</v>
      </c>
      <c r="H272" t="s">
        <v>4176</v>
      </c>
      <c r="I272" t="s">
        <v>121</v>
      </c>
      <c r="J272" t="s">
        <v>3779</v>
      </c>
      <c r="K272" t="s">
        <v>645</v>
      </c>
      <c r="L272">
        <v>748</v>
      </c>
      <c r="M272">
        <v>511</v>
      </c>
      <c r="N272">
        <v>1100</v>
      </c>
      <c r="O272">
        <v>725</v>
      </c>
      <c r="P272" t="s">
        <v>4177</v>
      </c>
      <c r="Q272" t="s">
        <v>4178</v>
      </c>
      <c r="R272" t="s">
        <v>682</v>
      </c>
      <c r="S272" t="s">
        <v>4179</v>
      </c>
      <c r="T272" t="s">
        <v>353</v>
      </c>
      <c r="U272" t="s">
        <v>4180</v>
      </c>
      <c r="V272" t="s">
        <v>3914</v>
      </c>
      <c r="W272" t="s">
        <v>354</v>
      </c>
      <c r="X272" t="s">
        <v>4181</v>
      </c>
      <c r="Y272" t="s">
        <v>2604</v>
      </c>
      <c r="Z272" t="s">
        <v>229</v>
      </c>
      <c r="AA272" s="7" t="s">
        <v>4182</v>
      </c>
      <c r="AB272" s="7" t="s">
        <v>357</v>
      </c>
      <c r="AC272" t="s">
        <v>268</v>
      </c>
      <c r="AD272" s="7" t="s">
        <v>137</v>
      </c>
      <c r="AE272" s="7" t="s">
        <v>4183</v>
      </c>
    </row>
    <row r="273" spans="1:31" ht="14.25" customHeight="1" x14ac:dyDescent="0.2">
      <c r="A273" t="s">
        <v>4184</v>
      </c>
      <c r="B273" t="s">
        <v>4185</v>
      </c>
      <c r="C273" t="s">
        <v>4186</v>
      </c>
      <c r="D273" t="s">
        <v>4187</v>
      </c>
      <c r="E273" s="4" t="s">
        <v>4188</v>
      </c>
      <c r="F273" t="s">
        <v>4189</v>
      </c>
      <c r="G273" s="5">
        <v>44407</v>
      </c>
      <c r="H273" t="s">
        <v>4190</v>
      </c>
      <c r="I273" t="s">
        <v>121</v>
      </c>
      <c r="J273" t="s">
        <v>3779</v>
      </c>
      <c r="K273" t="s">
        <v>645</v>
      </c>
      <c r="L273">
        <v>748</v>
      </c>
      <c r="M273">
        <v>511</v>
      </c>
      <c r="N273">
        <v>1100</v>
      </c>
      <c r="O273">
        <v>725</v>
      </c>
      <c r="P273" t="s">
        <v>4191</v>
      </c>
      <c r="Q273" t="s">
        <v>4192</v>
      </c>
      <c r="R273" t="s">
        <v>682</v>
      </c>
      <c r="S273" t="s">
        <v>4193</v>
      </c>
      <c r="T273" t="s">
        <v>128</v>
      </c>
      <c r="U273" t="s">
        <v>4194</v>
      </c>
      <c r="V273" t="s">
        <v>3800</v>
      </c>
      <c r="W273" t="s">
        <v>4195</v>
      </c>
      <c r="X273" t="s">
        <v>4194</v>
      </c>
      <c r="Y273" t="s">
        <v>1483</v>
      </c>
      <c r="Z273" t="s">
        <v>4196</v>
      </c>
      <c r="AA273" s="7" t="s">
        <v>3787</v>
      </c>
      <c r="AB273" s="7" t="s">
        <v>4197</v>
      </c>
      <c r="AC273" t="s">
        <v>4198</v>
      </c>
      <c r="AD273" s="7" t="s">
        <v>62</v>
      </c>
      <c r="AE273" s="7" t="s">
        <v>4199</v>
      </c>
    </row>
    <row r="274" spans="1:31" ht="14.25" customHeight="1" x14ac:dyDescent="0.2">
      <c r="A274" t="s">
        <v>4200</v>
      </c>
      <c r="B274" t="s">
        <v>4201</v>
      </c>
      <c r="C274" t="s">
        <v>4202</v>
      </c>
      <c r="D274" t="s">
        <v>4203</v>
      </c>
      <c r="E274" s="4" t="s">
        <v>4204</v>
      </c>
      <c r="F274" t="s">
        <v>4205</v>
      </c>
      <c r="G274" s="5">
        <v>43769</v>
      </c>
      <c r="H274" t="s">
        <v>4206</v>
      </c>
      <c r="I274" t="s">
        <v>121</v>
      </c>
      <c r="J274" t="s">
        <v>3779</v>
      </c>
      <c r="K274" t="s">
        <v>645</v>
      </c>
      <c r="L274">
        <v>897</v>
      </c>
      <c r="M274">
        <v>613</v>
      </c>
      <c r="N274">
        <v>1100</v>
      </c>
      <c r="O274">
        <v>725</v>
      </c>
      <c r="P274" t="s">
        <v>4207</v>
      </c>
      <c r="Q274" t="s">
        <v>4208</v>
      </c>
      <c r="R274" t="s">
        <v>682</v>
      </c>
      <c r="S274" t="s">
        <v>3927</v>
      </c>
      <c r="T274" t="s">
        <v>280</v>
      </c>
      <c r="U274" t="s">
        <v>4209</v>
      </c>
      <c r="V274" t="s">
        <v>2604</v>
      </c>
      <c r="W274" t="s">
        <v>703</v>
      </c>
      <c r="X274" t="s">
        <v>4209</v>
      </c>
      <c r="Y274" t="s">
        <v>2604</v>
      </c>
      <c r="Z274" t="s">
        <v>703</v>
      </c>
      <c r="AA274" s="7" t="s">
        <v>2039</v>
      </c>
      <c r="AB274" s="7" t="s">
        <v>4210</v>
      </c>
      <c r="AC274" t="s">
        <v>4211</v>
      </c>
      <c r="AD274" s="7" t="s">
        <v>137</v>
      </c>
      <c r="AE274" s="7" t="s">
        <v>4212</v>
      </c>
    </row>
    <row r="275" spans="1:31" ht="14.25" customHeight="1" x14ac:dyDescent="0.2">
      <c r="A275" t="s">
        <v>4213</v>
      </c>
      <c r="B275" t="s">
        <v>4214</v>
      </c>
      <c r="C275" t="s">
        <v>4215</v>
      </c>
      <c r="D275" t="s">
        <v>4216</v>
      </c>
      <c r="E275" s="4" t="s">
        <v>4217</v>
      </c>
      <c r="F275" t="s">
        <v>4218</v>
      </c>
      <c r="G275" s="5">
        <v>43963</v>
      </c>
      <c r="H275" t="s">
        <v>4219</v>
      </c>
      <c r="I275" t="s">
        <v>121</v>
      </c>
      <c r="J275" t="s">
        <v>3779</v>
      </c>
      <c r="K275" t="s">
        <v>645</v>
      </c>
      <c r="L275">
        <v>748</v>
      </c>
      <c r="M275">
        <v>511</v>
      </c>
      <c r="N275">
        <v>1100</v>
      </c>
      <c r="O275">
        <v>725</v>
      </c>
      <c r="P275" t="s">
        <v>4220</v>
      </c>
      <c r="Q275" t="s">
        <v>4221</v>
      </c>
      <c r="R275" t="s">
        <v>682</v>
      </c>
      <c r="S275" t="s">
        <v>4222</v>
      </c>
      <c r="T275" t="s">
        <v>283</v>
      </c>
      <c r="U275" t="s">
        <v>4223</v>
      </c>
      <c r="V275" t="s">
        <v>3914</v>
      </c>
      <c r="W275" t="s">
        <v>2126</v>
      </c>
      <c r="X275" t="s">
        <v>4224</v>
      </c>
      <c r="Y275" t="s">
        <v>2604</v>
      </c>
      <c r="Z275" t="s">
        <v>2126</v>
      </c>
      <c r="AA275" s="7" t="s">
        <v>2039</v>
      </c>
      <c r="AB275" s="7" t="s">
        <v>4225</v>
      </c>
      <c r="AC275" t="s">
        <v>4226</v>
      </c>
      <c r="AD275" s="7" t="s">
        <v>137</v>
      </c>
      <c r="AE275" s="7" t="s">
        <v>4227</v>
      </c>
    </row>
    <row r="276" spans="1:31" ht="14.25" customHeight="1" x14ac:dyDescent="0.2">
      <c r="A276" t="s">
        <v>4228</v>
      </c>
      <c r="B276" t="s">
        <v>4229</v>
      </c>
      <c r="C276" t="s">
        <v>4230</v>
      </c>
      <c r="D276" t="s">
        <v>4231</v>
      </c>
      <c r="E276" s="4" t="s">
        <v>4232</v>
      </c>
      <c r="F276" t="s">
        <v>4233</v>
      </c>
      <c r="G276" s="5">
        <v>43742</v>
      </c>
      <c r="H276" t="s">
        <v>4234</v>
      </c>
      <c r="I276" t="s">
        <v>241</v>
      </c>
      <c r="J276" t="s">
        <v>3779</v>
      </c>
      <c r="K276" t="s">
        <v>645</v>
      </c>
      <c r="L276">
        <v>961</v>
      </c>
      <c r="M276">
        <v>537</v>
      </c>
      <c r="N276">
        <v>1100</v>
      </c>
      <c r="O276">
        <v>725</v>
      </c>
      <c r="P276" t="s">
        <v>4235</v>
      </c>
      <c r="Q276" t="s">
        <v>4236</v>
      </c>
      <c r="R276" t="s">
        <v>682</v>
      </c>
      <c r="S276" t="s">
        <v>4237</v>
      </c>
      <c r="T276" t="s">
        <v>128</v>
      </c>
      <c r="U276" t="s">
        <v>1140</v>
      </c>
      <c r="V276" t="s">
        <v>2604</v>
      </c>
      <c r="W276" t="s">
        <v>500</v>
      </c>
      <c r="X276" t="s">
        <v>4238</v>
      </c>
      <c r="Y276" t="s">
        <v>2604</v>
      </c>
      <c r="Z276" t="s">
        <v>502</v>
      </c>
      <c r="AA276" s="7" t="s">
        <v>387</v>
      </c>
      <c r="AB276" t="s">
        <v>4239</v>
      </c>
      <c r="AC276" t="s">
        <v>4240</v>
      </c>
      <c r="AD276" s="7" t="s">
        <v>4241</v>
      </c>
      <c r="AE276" s="7" t="s">
        <v>4242</v>
      </c>
    </row>
    <row r="277" spans="1:31" ht="14.25" customHeight="1" x14ac:dyDescent="0.2">
      <c r="A277" t="s">
        <v>4243</v>
      </c>
      <c r="B277" t="s">
        <v>4244</v>
      </c>
      <c r="C277" t="s">
        <v>4245</v>
      </c>
      <c r="D277" t="s">
        <v>4246</v>
      </c>
      <c r="E277" s="4" t="s">
        <v>4247</v>
      </c>
      <c r="F277" t="s">
        <v>4248</v>
      </c>
      <c r="G277" s="5">
        <v>43465</v>
      </c>
      <c r="H277" t="s">
        <v>4249</v>
      </c>
      <c r="I277" t="s">
        <v>241</v>
      </c>
      <c r="J277" t="s">
        <v>3779</v>
      </c>
      <c r="K277" t="s">
        <v>645</v>
      </c>
      <c r="L277">
        <v>942</v>
      </c>
      <c r="M277">
        <v>526</v>
      </c>
      <c r="N277">
        <v>1100</v>
      </c>
      <c r="O277">
        <v>725</v>
      </c>
      <c r="P277" t="s">
        <v>4250</v>
      </c>
      <c r="Q277" t="s">
        <v>4251</v>
      </c>
      <c r="R277" t="s">
        <v>682</v>
      </c>
      <c r="S277" t="s">
        <v>4252</v>
      </c>
      <c r="T277" t="s">
        <v>24234</v>
      </c>
      <c r="U277" t="s">
        <v>1275</v>
      </c>
      <c r="V277" t="s">
        <v>2604</v>
      </c>
      <c r="W277" t="s">
        <v>670</v>
      </c>
      <c r="X277" t="s">
        <v>518</v>
      </c>
      <c r="Y277" t="s">
        <v>2604</v>
      </c>
      <c r="Z277" t="s">
        <v>670</v>
      </c>
      <c r="AA277" s="7" t="s">
        <v>387</v>
      </c>
      <c r="AB277" t="s">
        <v>4253</v>
      </c>
      <c r="AC277" t="s">
        <v>4254</v>
      </c>
      <c r="AD277" s="7" t="s">
        <v>28</v>
      </c>
      <c r="AE277" s="7" t="s">
        <v>4255</v>
      </c>
    </row>
    <row r="278" spans="1:31" ht="14.25" customHeight="1" x14ac:dyDescent="0.2">
      <c r="A278" t="s">
        <v>4256</v>
      </c>
      <c r="B278" t="s">
        <v>4257</v>
      </c>
      <c r="C278" t="s">
        <v>4258</v>
      </c>
      <c r="D278" t="s">
        <v>4259</v>
      </c>
      <c r="E278" s="4" t="s">
        <v>4260</v>
      </c>
      <c r="F278" t="s">
        <v>4261</v>
      </c>
      <c r="G278" s="5">
        <v>43377</v>
      </c>
      <c r="H278" t="s">
        <v>276</v>
      </c>
      <c r="I278" t="s">
        <v>121</v>
      </c>
      <c r="J278" t="s">
        <v>3779</v>
      </c>
      <c r="K278" t="s">
        <v>645</v>
      </c>
      <c r="L278">
        <v>710</v>
      </c>
      <c r="M278">
        <v>486</v>
      </c>
      <c r="N278">
        <v>1100</v>
      </c>
      <c r="O278">
        <v>725</v>
      </c>
      <c r="P278" t="s">
        <v>4262</v>
      </c>
      <c r="Q278" t="s">
        <v>4263</v>
      </c>
      <c r="R278" t="s">
        <v>682</v>
      </c>
      <c r="S278" t="s">
        <v>4166</v>
      </c>
      <c r="T278" t="s">
        <v>128</v>
      </c>
      <c r="U278" t="s">
        <v>3605</v>
      </c>
      <c r="V278" t="s">
        <v>2602</v>
      </c>
      <c r="W278" t="s">
        <v>2603</v>
      </c>
      <c r="X278" t="s">
        <v>910</v>
      </c>
      <c r="Y278" t="s">
        <v>2604</v>
      </c>
      <c r="Z278" t="s">
        <v>4196</v>
      </c>
      <c r="AA278" s="7" t="s">
        <v>3945</v>
      </c>
      <c r="AB278" s="7" t="s">
        <v>4264</v>
      </c>
      <c r="AC278" t="s">
        <v>4265</v>
      </c>
      <c r="AD278" s="7" t="s">
        <v>62</v>
      </c>
      <c r="AE278" s="7" t="s">
        <v>4266</v>
      </c>
    </row>
    <row r="279" spans="1:31" ht="14.25" customHeight="1" x14ac:dyDescent="0.2">
      <c r="A279" t="s">
        <v>4267</v>
      </c>
      <c r="B279" t="s">
        <v>4268</v>
      </c>
      <c r="C279" t="s">
        <v>4269</v>
      </c>
      <c r="D279" t="s">
        <v>4270</v>
      </c>
      <c r="E279" s="4" t="s">
        <v>4271</v>
      </c>
      <c r="F279" t="s">
        <v>4272</v>
      </c>
      <c r="G279" s="5">
        <v>44498</v>
      </c>
      <c r="H279" t="s">
        <v>4273</v>
      </c>
      <c r="I279" t="s">
        <v>260</v>
      </c>
      <c r="J279" t="s">
        <v>3779</v>
      </c>
      <c r="K279" t="s">
        <v>759</v>
      </c>
      <c r="L279">
        <v>801</v>
      </c>
      <c r="M279">
        <v>472</v>
      </c>
      <c r="N279">
        <v>1100</v>
      </c>
      <c r="O279">
        <v>725</v>
      </c>
      <c r="P279" t="s">
        <v>4274</v>
      </c>
      <c r="Q279" t="s">
        <v>4275</v>
      </c>
      <c r="R279" t="s">
        <v>762</v>
      </c>
      <c r="S279" t="s">
        <v>4276</v>
      </c>
      <c r="T279" t="s">
        <v>190</v>
      </c>
      <c r="U279" t="s">
        <v>4277</v>
      </c>
      <c r="V279" t="s">
        <v>3800</v>
      </c>
      <c r="W279" t="s">
        <v>4278</v>
      </c>
      <c r="X279" t="s">
        <v>4279</v>
      </c>
      <c r="Y279" t="s">
        <v>1483</v>
      </c>
      <c r="Z279" t="s">
        <v>4280</v>
      </c>
      <c r="AA279" s="7" t="s">
        <v>4281</v>
      </c>
      <c r="AB279" t="s">
        <v>4282</v>
      </c>
      <c r="AC279" t="s">
        <v>4283</v>
      </c>
      <c r="AD279" s="7" t="s">
        <v>178</v>
      </c>
      <c r="AE279" s="7" t="s">
        <v>4284</v>
      </c>
    </row>
    <row r="280" spans="1:31" ht="14.25" customHeight="1" x14ac:dyDescent="0.2">
      <c r="A280" t="s">
        <v>4285</v>
      </c>
      <c r="B280" t="s">
        <v>4286</v>
      </c>
      <c r="C280" t="s">
        <v>4287</v>
      </c>
      <c r="D280" t="s">
        <v>4288</v>
      </c>
      <c r="E280" s="4" t="s">
        <v>4289</v>
      </c>
      <c r="F280" t="s">
        <v>4290</v>
      </c>
      <c r="G280" s="5">
        <v>44139</v>
      </c>
      <c r="H280" t="s">
        <v>4291</v>
      </c>
      <c r="I280" t="s">
        <v>260</v>
      </c>
      <c r="J280" t="s">
        <v>3779</v>
      </c>
      <c r="K280" t="s">
        <v>759</v>
      </c>
      <c r="L280">
        <v>801</v>
      </c>
      <c r="M280">
        <v>472</v>
      </c>
      <c r="N280">
        <v>1100</v>
      </c>
      <c r="O280">
        <v>725</v>
      </c>
      <c r="P280" t="s">
        <v>4292</v>
      </c>
      <c r="Q280" t="s">
        <v>4293</v>
      </c>
      <c r="R280" t="s">
        <v>762</v>
      </c>
      <c r="S280" t="s">
        <v>4294</v>
      </c>
      <c r="T280" t="s">
        <v>3883</v>
      </c>
      <c r="U280" t="s">
        <v>3973</v>
      </c>
      <c r="V280" t="s">
        <v>3914</v>
      </c>
      <c r="W280" t="s">
        <v>4295</v>
      </c>
      <c r="X280" t="s">
        <v>4296</v>
      </c>
      <c r="Y280" t="s">
        <v>2604</v>
      </c>
      <c r="Z280" t="s">
        <v>581</v>
      </c>
      <c r="AA280" s="7" t="s">
        <v>3787</v>
      </c>
      <c r="AB280" s="7" t="s">
        <v>4297</v>
      </c>
      <c r="AC280" t="s">
        <v>4298</v>
      </c>
      <c r="AD280" s="7" t="s">
        <v>1128</v>
      </c>
      <c r="AE280" s="7" t="s">
        <v>4299</v>
      </c>
    </row>
    <row r="281" spans="1:31" ht="14.25" customHeight="1" x14ac:dyDescent="0.2">
      <c r="A281" t="s">
        <v>4300</v>
      </c>
      <c r="B281" t="s">
        <v>4301</v>
      </c>
      <c r="C281" t="s">
        <v>4302</v>
      </c>
      <c r="D281" t="s">
        <v>4303</v>
      </c>
      <c r="E281" s="4" t="s">
        <v>4304</v>
      </c>
      <c r="F281" t="s">
        <v>4305</v>
      </c>
      <c r="G281" s="5">
        <v>44126</v>
      </c>
      <c r="H281" t="s">
        <v>4306</v>
      </c>
      <c r="I281" t="s">
        <v>260</v>
      </c>
      <c r="J281" t="s">
        <v>3779</v>
      </c>
      <c r="K281" t="s">
        <v>759</v>
      </c>
      <c r="L281">
        <v>801</v>
      </c>
      <c r="M281">
        <v>472</v>
      </c>
      <c r="N281">
        <v>1100</v>
      </c>
      <c r="O281">
        <v>725</v>
      </c>
      <c r="P281" t="s">
        <v>4307</v>
      </c>
      <c r="Q281" t="s">
        <v>4308</v>
      </c>
      <c r="R281" t="s">
        <v>762</v>
      </c>
      <c r="S281" t="s">
        <v>3899</v>
      </c>
      <c r="T281" t="s">
        <v>3883</v>
      </c>
      <c r="U281" t="s">
        <v>4309</v>
      </c>
      <c r="V281" t="s">
        <v>3800</v>
      </c>
      <c r="W281" t="s">
        <v>4310</v>
      </c>
      <c r="X281" t="s">
        <v>4311</v>
      </c>
      <c r="Y281" t="s">
        <v>1483</v>
      </c>
      <c r="Z281" t="s">
        <v>249</v>
      </c>
      <c r="AA281" s="7" t="s">
        <v>2039</v>
      </c>
      <c r="AB281" t="s">
        <v>4312</v>
      </c>
      <c r="AC281" t="s">
        <v>4313</v>
      </c>
      <c r="AD281" s="7" t="s">
        <v>137</v>
      </c>
      <c r="AE281" s="7" t="s">
        <v>4314</v>
      </c>
    </row>
    <row r="282" spans="1:31" ht="14.25" customHeight="1" x14ac:dyDescent="0.2">
      <c r="A282" t="s">
        <v>4315</v>
      </c>
      <c r="B282" t="s">
        <v>4316</v>
      </c>
      <c r="C282" t="s">
        <v>4317</v>
      </c>
      <c r="D282" t="s">
        <v>4318</v>
      </c>
      <c r="E282" s="4" t="s">
        <v>4319</v>
      </c>
      <c r="F282" t="s">
        <v>4320</v>
      </c>
      <c r="G282" s="5">
        <v>43875</v>
      </c>
      <c r="H282" t="s">
        <v>4321</v>
      </c>
      <c r="I282" t="s">
        <v>121</v>
      </c>
      <c r="J282" t="s">
        <v>3779</v>
      </c>
      <c r="K282" t="s">
        <v>759</v>
      </c>
      <c r="L282">
        <v>761</v>
      </c>
      <c r="M282">
        <v>496</v>
      </c>
      <c r="N282">
        <v>1100</v>
      </c>
      <c r="O282">
        <v>725</v>
      </c>
      <c r="P282" t="s">
        <v>4322</v>
      </c>
      <c r="Q282" t="s">
        <v>4323</v>
      </c>
      <c r="R282" t="s">
        <v>762</v>
      </c>
      <c r="S282" t="s">
        <v>3913</v>
      </c>
      <c r="T282" t="s">
        <v>3883</v>
      </c>
      <c r="U282" t="s">
        <v>2126</v>
      </c>
      <c r="V282" t="s">
        <v>3914</v>
      </c>
      <c r="W282" t="s">
        <v>780</v>
      </c>
      <c r="X282" t="s">
        <v>2126</v>
      </c>
      <c r="Y282" t="s">
        <v>2604</v>
      </c>
      <c r="Z282" t="s">
        <v>154</v>
      </c>
      <c r="AA282" s="7" t="s">
        <v>2006</v>
      </c>
      <c r="AB282" t="s">
        <v>4324</v>
      </c>
      <c r="AC282" t="s">
        <v>4325</v>
      </c>
      <c r="AD282" s="7" t="s">
        <v>27</v>
      </c>
      <c r="AE282" s="7" t="s">
        <v>4326</v>
      </c>
    </row>
    <row r="283" spans="1:31" ht="14.25" customHeight="1" x14ac:dyDescent="0.2">
      <c r="A283" t="s">
        <v>4327</v>
      </c>
      <c r="B283" t="s">
        <v>4328</v>
      </c>
      <c r="C283" t="s">
        <v>4329</v>
      </c>
      <c r="D283" t="s">
        <v>4330</v>
      </c>
      <c r="E283" s="4" t="s">
        <v>4331</v>
      </c>
      <c r="F283" t="s">
        <v>4332</v>
      </c>
      <c r="G283" s="5">
        <v>43370</v>
      </c>
      <c r="H283" t="s">
        <v>4333</v>
      </c>
      <c r="I283" t="s">
        <v>260</v>
      </c>
      <c r="J283" t="s">
        <v>3779</v>
      </c>
      <c r="K283" t="s">
        <v>759</v>
      </c>
      <c r="L283">
        <v>961</v>
      </c>
      <c r="M283">
        <v>565</v>
      </c>
      <c r="N283">
        <v>1100</v>
      </c>
      <c r="O283">
        <v>725</v>
      </c>
      <c r="P283" t="s">
        <v>4334</v>
      </c>
      <c r="Q283" t="s">
        <v>4335</v>
      </c>
      <c r="R283" t="s">
        <v>762</v>
      </c>
      <c r="S283" t="s">
        <v>4336</v>
      </c>
      <c r="T283" t="s">
        <v>3883</v>
      </c>
      <c r="U283" t="s">
        <v>4337</v>
      </c>
      <c r="V283" t="s">
        <v>2604</v>
      </c>
      <c r="W283" t="s">
        <v>4338</v>
      </c>
      <c r="X283" t="s">
        <v>2004</v>
      </c>
      <c r="Y283" t="s">
        <v>2604</v>
      </c>
      <c r="Z283" t="s">
        <v>4338</v>
      </c>
      <c r="AA283" s="7" t="s">
        <v>4339</v>
      </c>
      <c r="AB283" s="7" t="s">
        <v>4340</v>
      </c>
      <c r="AC283" t="s">
        <v>4341</v>
      </c>
      <c r="AD283" s="7" t="s">
        <v>137</v>
      </c>
      <c r="AE283" s="7" t="s">
        <v>4342</v>
      </c>
    </row>
    <row r="284" spans="1:31" ht="14.25" customHeight="1" x14ac:dyDescent="0.2">
      <c r="A284" t="s">
        <v>4343</v>
      </c>
      <c r="B284" t="s">
        <v>4344</v>
      </c>
      <c r="C284" t="s">
        <v>4345</v>
      </c>
      <c r="D284" t="s">
        <v>4346</v>
      </c>
      <c r="E284" s="4" t="s">
        <v>4347</v>
      </c>
      <c r="F284" t="s">
        <v>4348</v>
      </c>
      <c r="G284" s="5">
        <v>43599</v>
      </c>
      <c r="H284" t="s">
        <v>4349</v>
      </c>
      <c r="I284" t="s">
        <v>121</v>
      </c>
      <c r="J284" t="s">
        <v>3779</v>
      </c>
      <c r="K284" t="s">
        <v>759</v>
      </c>
      <c r="L284">
        <v>738</v>
      </c>
      <c r="M284">
        <v>480</v>
      </c>
      <c r="N284">
        <v>1100</v>
      </c>
      <c r="O284">
        <v>725</v>
      </c>
      <c r="P284" t="s">
        <v>4350</v>
      </c>
      <c r="Q284" t="s">
        <v>4351</v>
      </c>
      <c r="R284" t="s">
        <v>762</v>
      </c>
      <c r="S284" t="s">
        <v>4070</v>
      </c>
      <c r="T284" t="s">
        <v>3883</v>
      </c>
      <c r="U284" t="s">
        <v>4352</v>
      </c>
      <c r="V284" t="s">
        <v>3800</v>
      </c>
      <c r="W284" t="s">
        <v>4353</v>
      </c>
      <c r="X284" t="s">
        <v>3973</v>
      </c>
      <c r="Y284" t="s">
        <v>1483</v>
      </c>
      <c r="Z284" t="s">
        <v>4338</v>
      </c>
      <c r="AA284" s="7" t="s">
        <v>4354</v>
      </c>
      <c r="AB284" s="7" t="s">
        <v>4355</v>
      </c>
      <c r="AC284" t="s">
        <v>4356</v>
      </c>
      <c r="AD284" s="7" t="s">
        <v>137</v>
      </c>
      <c r="AE284" s="7" t="s">
        <v>4357</v>
      </c>
    </row>
    <row r="285" spans="1:31" ht="14.25" customHeight="1" x14ac:dyDescent="0.2">
      <c r="A285" t="s">
        <v>4358</v>
      </c>
      <c r="B285" t="s">
        <v>4359</v>
      </c>
      <c r="C285" t="s">
        <v>4360</v>
      </c>
      <c r="D285" t="s">
        <v>4361</v>
      </c>
      <c r="E285" s="4" t="s">
        <v>4362</v>
      </c>
      <c r="F285" t="s">
        <v>4363</v>
      </c>
      <c r="G285" s="5">
        <v>44314</v>
      </c>
      <c r="H285" t="s">
        <v>4364</v>
      </c>
      <c r="I285" t="s">
        <v>121</v>
      </c>
      <c r="J285" t="s">
        <v>3779</v>
      </c>
      <c r="K285" t="s">
        <v>839</v>
      </c>
      <c r="L285">
        <v>745</v>
      </c>
      <c r="M285">
        <v>514</v>
      </c>
      <c r="N285">
        <v>1100</v>
      </c>
      <c r="O285">
        <v>725</v>
      </c>
      <c r="P285" t="s">
        <v>4365</v>
      </c>
      <c r="Q285" t="s">
        <v>4366</v>
      </c>
      <c r="R285" t="s">
        <v>842</v>
      </c>
      <c r="S285" t="s">
        <v>4367</v>
      </c>
      <c r="T285" t="s">
        <v>245</v>
      </c>
      <c r="U285" t="s">
        <v>4368</v>
      </c>
      <c r="V285" t="s">
        <v>3800</v>
      </c>
      <c r="W285" t="s">
        <v>3123</v>
      </c>
      <c r="X285" t="s">
        <v>4369</v>
      </c>
      <c r="Y285" t="s">
        <v>1483</v>
      </c>
      <c r="Z285" t="s">
        <v>319</v>
      </c>
      <c r="AA285" s="7" t="s">
        <v>175</v>
      </c>
      <c r="AB285" s="7" t="s">
        <v>4370</v>
      </c>
      <c r="AC285" t="s">
        <v>4371</v>
      </c>
      <c r="AD285" s="7" t="s">
        <v>178</v>
      </c>
      <c r="AE285" s="7" t="s">
        <v>4372</v>
      </c>
    </row>
    <row r="286" spans="1:31" ht="14.25" customHeight="1" x14ac:dyDescent="0.2">
      <c r="A286" t="s">
        <v>4373</v>
      </c>
      <c r="B286" t="s">
        <v>4374</v>
      </c>
      <c r="C286" t="s">
        <v>4375</v>
      </c>
      <c r="D286" t="s">
        <v>4376</v>
      </c>
      <c r="E286" s="4" t="s">
        <v>4377</v>
      </c>
      <c r="F286" t="s">
        <v>4378</v>
      </c>
      <c r="G286" s="5">
        <v>44004</v>
      </c>
      <c r="H286" t="s">
        <v>4379</v>
      </c>
      <c r="I286" t="s">
        <v>121</v>
      </c>
      <c r="J286" t="s">
        <v>3779</v>
      </c>
      <c r="K286" t="s">
        <v>839</v>
      </c>
      <c r="L286">
        <v>745</v>
      </c>
      <c r="M286">
        <v>514</v>
      </c>
      <c r="N286">
        <v>1100</v>
      </c>
      <c r="O286">
        <v>725</v>
      </c>
      <c r="P286" t="s">
        <v>4380</v>
      </c>
      <c r="Q286" t="s">
        <v>4381</v>
      </c>
      <c r="R286" t="s">
        <v>842</v>
      </c>
      <c r="S286" t="s">
        <v>4276</v>
      </c>
      <c r="T286" t="s">
        <v>190</v>
      </c>
      <c r="U286" t="s">
        <v>4382</v>
      </c>
      <c r="V286" t="s">
        <v>3800</v>
      </c>
      <c r="W286" t="s">
        <v>668</v>
      </c>
      <c r="X286" t="s">
        <v>4383</v>
      </c>
      <c r="Y286" t="s">
        <v>1483</v>
      </c>
      <c r="Z286" t="s">
        <v>670</v>
      </c>
      <c r="AA286" s="7" t="s">
        <v>3945</v>
      </c>
      <c r="AB286" s="7" t="s">
        <v>4384</v>
      </c>
      <c r="AC286" t="s">
        <v>4385</v>
      </c>
      <c r="AD286" s="7" t="s">
        <v>29</v>
      </c>
      <c r="AE286" s="7" t="s">
        <v>4386</v>
      </c>
    </row>
    <row r="287" spans="1:31" ht="14.25" customHeight="1" x14ac:dyDescent="0.2">
      <c r="A287" t="s">
        <v>4387</v>
      </c>
      <c r="B287" t="s">
        <v>4388</v>
      </c>
      <c r="C287" t="s">
        <v>4389</v>
      </c>
      <c r="D287" t="s">
        <v>4390</v>
      </c>
      <c r="E287" s="4" t="s">
        <v>4391</v>
      </c>
      <c r="F287" t="s">
        <v>4392</v>
      </c>
      <c r="G287" s="5">
        <v>43742</v>
      </c>
      <c r="H287" t="s">
        <v>4393</v>
      </c>
      <c r="I287" t="s">
        <v>121</v>
      </c>
      <c r="J287" t="s">
        <v>3779</v>
      </c>
      <c r="K287" t="s">
        <v>839</v>
      </c>
      <c r="L287">
        <v>893</v>
      </c>
      <c r="M287">
        <v>616</v>
      </c>
      <c r="N287">
        <v>1100</v>
      </c>
      <c r="O287">
        <v>725</v>
      </c>
      <c r="P287" t="s">
        <v>4394</v>
      </c>
      <c r="Q287" t="s">
        <v>4395</v>
      </c>
      <c r="R287" t="s">
        <v>842</v>
      </c>
      <c r="S287" t="s">
        <v>4336</v>
      </c>
      <c r="T287" t="s">
        <v>3883</v>
      </c>
      <c r="U287" t="s">
        <v>670</v>
      </c>
      <c r="V287" t="s">
        <v>2604</v>
      </c>
      <c r="W287" t="s">
        <v>4396</v>
      </c>
      <c r="X287" t="s">
        <v>670</v>
      </c>
      <c r="Y287" t="s">
        <v>2604</v>
      </c>
      <c r="Z287" t="s">
        <v>154</v>
      </c>
      <c r="AA287" s="7" t="s">
        <v>2006</v>
      </c>
      <c r="AB287" s="7" t="s">
        <v>4397</v>
      </c>
      <c r="AC287" t="s">
        <v>4398</v>
      </c>
      <c r="AD287" s="7" t="s">
        <v>178</v>
      </c>
      <c r="AE287" s="7" t="s">
        <v>4399</v>
      </c>
    </row>
    <row r="288" spans="1:31" ht="14.25" customHeight="1" x14ac:dyDescent="0.2">
      <c r="A288" t="s">
        <v>4400</v>
      </c>
      <c r="B288" t="s">
        <v>4401</v>
      </c>
      <c r="C288" t="s">
        <v>4402</v>
      </c>
      <c r="D288" t="s">
        <v>4403</v>
      </c>
      <c r="E288" s="4" t="s">
        <v>4404</v>
      </c>
      <c r="F288" t="s">
        <v>4405</v>
      </c>
      <c r="G288" s="5">
        <v>43672</v>
      </c>
      <c r="H288" t="s">
        <v>4406</v>
      </c>
      <c r="I288" t="s">
        <v>260</v>
      </c>
      <c r="J288" t="s">
        <v>3779</v>
      </c>
      <c r="K288" t="s">
        <v>839</v>
      </c>
      <c r="L288">
        <v>942</v>
      </c>
      <c r="M288">
        <v>586</v>
      </c>
      <c r="N288">
        <v>1100</v>
      </c>
      <c r="O288">
        <v>725</v>
      </c>
      <c r="P288" t="s">
        <v>4407</v>
      </c>
      <c r="Q288" t="s">
        <v>4408</v>
      </c>
      <c r="R288" t="s">
        <v>842</v>
      </c>
      <c r="S288" t="s">
        <v>3899</v>
      </c>
      <c r="T288" t="s">
        <v>3883</v>
      </c>
      <c r="U288" t="s">
        <v>4409</v>
      </c>
      <c r="V288" t="s">
        <v>4410</v>
      </c>
      <c r="W288" t="s">
        <v>4411</v>
      </c>
      <c r="X288" t="s">
        <v>4412</v>
      </c>
      <c r="Y288" t="s">
        <v>3786</v>
      </c>
      <c r="Z288" t="s">
        <v>4411</v>
      </c>
      <c r="AA288" s="7" t="s">
        <v>175</v>
      </c>
      <c r="AB288" s="7" t="s">
        <v>4413</v>
      </c>
      <c r="AC288" t="s">
        <v>4414</v>
      </c>
      <c r="AD288" s="7" t="s">
        <v>1128</v>
      </c>
      <c r="AE288" s="7" t="s">
        <v>4415</v>
      </c>
    </row>
    <row r="289" spans="1:31" ht="14.25" customHeight="1" x14ac:dyDescent="0.2">
      <c r="A289" t="s">
        <v>4416</v>
      </c>
      <c r="B289" t="s">
        <v>4417</v>
      </c>
      <c r="C289" t="s">
        <v>4418</v>
      </c>
      <c r="D289" t="s">
        <v>4419</v>
      </c>
      <c r="E289" s="4" t="s">
        <v>4420</v>
      </c>
      <c r="F289" t="s">
        <v>4421</v>
      </c>
      <c r="G289" s="5">
        <v>43581</v>
      </c>
      <c r="H289" t="s">
        <v>4422</v>
      </c>
      <c r="I289" t="s">
        <v>121</v>
      </c>
      <c r="J289" t="s">
        <v>3779</v>
      </c>
      <c r="K289" t="s">
        <v>839</v>
      </c>
      <c r="L289">
        <v>893</v>
      </c>
      <c r="M289">
        <v>616</v>
      </c>
      <c r="N289">
        <v>1100</v>
      </c>
      <c r="O289">
        <v>725</v>
      </c>
      <c r="P289" t="s">
        <v>4423</v>
      </c>
      <c r="Q289" t="s">
        <v>4424</v>
      </c>
      <c r="R289" t="s">
        <v>842</v>
      </c>
      <c r="S289" t="s">
        <v>3913</v>
      </c>
      <c r="T289" t="s">
        <v>3883</v>
      </c>
      <c r="U289" t="s">
        <v>4425</v>
      </c>
      <c r="V289" t="s">
        <v>2604</v>
      </c>
      <c r="W289" t="s">
        <v>670</v>
      </c>
      <c r="X289" t="s">
        <v>910</v>
      </c>
      <c r="Y289" t="s">
        <v>2604</v>
      </c>
      <c r="Z289" t="s">
        <v>670</v>
      </c>
      <c r="AA289" s="7" t="s">
        <v>2039</v>
      </c>
      <c r="AB289" s="7" t="s">
        <v>4426</v>
      </c>
      <c r="AC289" t="s">
        <v>4427</v>
      </c>
      <c r="AD289" s="7" t="s">
        <v>137</v>
      </c>
      <c r="AE289" s="7" t="s">
        <v>4428</v>
      </c>
    </row>
    <row r="290" spans="1:31" ht="14.25" customHeight="1" x14ac:dyDescent="0.2">
      <c r="A290" t="s">
        <v>4429</v>
      </c>
      <c r="B290" t="s">
        <v>4430</v>
      </c>
      <c r="C290" t="s">
        <v>4431</v>
      </c>
      <c r="D290" t="s">
        <v>4432</v>
      </c>
      <c r="E290" s="4" t="s">
        <v>4433</v>
      </c>
      <c r="F290" t="s">
        <v>4434</v>
      </c>
      <c r="G290" s="5">
        <v>43370</v>
      </c>
      <c r="H290" t="s">
        <v>4435</v>
      </c>
      <c r="I290" t="s">
        <v>260</v>
      </c>
      <c r="J290" t="s">
        <v>3779</v>
      </c>
      <c r="K290" t="s">
        <v>839</v>
      </c>
      <c r="L290">
        <v>913</v>
      </c>
      <c r="M290">
        <v>568</v>
      </c>
      <c r="N290">
        <v>1100</v>
      </c>
      <c r="O290">
        <v>725</v>
      </c>
      <c r="P290" t="s">
        <v>4436</v>
      </c>
      <c r="Q290" t="s">
        <v>4437</v>
      </c>
      <c r="R290" t="s">
        <v>842</v>
      </c>
      <c r="S290" t="s">
        <v>3941</v>
      </c>
      <c r="T290" t="s">
        <v>3883</v>
      </c>
      <c r="U290" t="s">
        <v>4438</v>
      </c>
      <c r="V290" t="s">
        <v>1483</v>
      </c>
      <c r="W290" t="s">
        <v>938</v>
      </c>
      <c r="X290" t="s">
        <v>4439</v>
      </c>
      <c r="Y290" t="s">
        <v>1483</v>
      </c>
      <c r="Z290" t="s">
        <v>910</v>
      </c>
      <c r="AA290" s="7" t="s">
        <v>2006</v>
      </c>
      <c r="AB290" s="7" t="s">
        <v>419</v>
      </c>
      <c r="AC290" t="s">
        <v>2205</v>
      </c>
      <c r="AD290" s="7" t="s">
        <v>52</v>
      </c>
      <c r="AE290" s="7" t="s">
        <v>4440</v>
      </c>
    </row>
    <row r="291" spans="1:31" ht="14.25" customHeight="1" x14ac:dyDescent="0.2">
      <c r="A291" t="s">
        <v>4441</v>
      </c>
      <c r="B291" t="s">
        <v>4442</v>
      </c>
      <c r="C291" t="s">
        <v>4443</v>
      </c>
      <c r="D291" t="s">
        <v>4444</v>
      </c>
      <c r="E291" s="4" t="s">
        <v>4445</v>
      </c>
      <c r="F291" t="s">
        <v>4446</v>
      </c>
      <c r="G291" s="5">
        <v>43370</v>
      </c>
      <c r="H291" t="s">
        <v>4447</v>
      </c>
      <c r="I291" t="s">
        <v>260</v>
      </c>
      <c r="J291" t="s">
        <v>3779</v>
      </c>
      <c r="K291" t="s">
        <v>839</v>
      </c>
      <c r="L291">
        <v>893</v>
      </c>
      <c r="M291">
        <v>557</v>
      </c>
      <c r="N291">
        <v>1100</v>
      </c>
      <c r="O291">
        <v>725</v>
      </c>
      <c r="P291" t="s">
        <v>4448</v>
      </c>
      <c r="Q291" t="s">
        <v>4449</v>
      </c>
      <c r="R291" t="s">
        <v>842</v>
      </c>
      <c r="S291" t="s">
        <v>4450</v>
      </c>
      <c r="T291" t="s">
        <v>3883</v>
      </c>
      <c r="U291" t="s">
        <v>2664</v>
      </c>
      <c r="V291" t="s">
        <v>3870</v>
      </c>
      <c r="W291" t="s">
        <v>2602</v>
      </c>
      <c r="X291" t="s">
        <v>910</v>
      </c>
      <c r="Y291" t="s">
        <v>2604</v>
      </c>
      <c r="Z291" t="s">
        <v>2126</v>
      </c>
      <c r="AA291" s="7" t="s">
        <v>2006</v>
      </c>
      <c r="AB291" s="7" t="s">
        <v>4451</v>
      </c>
      <c r="AC291" t="s">
        <v>4452</v>
      </c>
      <c r="AD291" s="7" t="s">
        <v>137</v>
      </c>
      <c r="AE291" s="7" t="s">
        <v>4453</v>
      </c>
    </row>
    <row r="292" spans="1:31" ht="14.25" customHeight="1" x14ac:dyDescent="0.2">
      <c r="A292" t="s">
        <v>4454</v>
      </c>
      <c r="B292" t="s">
        <v>71</v>
      </c>
      <c r="C292" t="s">
        <v>4455</v>
      </c>
      <c r="D292" t="s">
        <v>4456</v>
      </c>
      <c r="E292" s="4" t="s">
        <v>4457</v>
      </c>
      <c r="F292" t="s">
        <v>4458</v>
      </c>
      <c r="G292" s="5">
        <v>43927</v>
      </c>
      <c r="H292" t="s">
        <v>4459</v>
      </c>
      <c r="I292" t="s">
        <v>967</v>
      </c>
      <c r="J292" t="s">
        <v>3779</v>
      </c>
      <c r="K292" t="s">
        <v>949</v>
      </c>
      <c r="L292">
        <v>804</v>
      </c>
      <c r="M292">
        <v>470</v>
      </c>
      <c r="N292">
        <v>1100</v>
      </c>
      <c r="O292">
        <v>725</v>
      </c>
      <c r="P292" t="s">
        <v>4460</v>
      </c>
      <c r="Q292" t="s">
        <v>4461</v>
      </c>
      <c r="R292" t="s">
        <v>170</v>
      </c>
      <c r="S292" t="s">
        <v>4462</v>
      </c>
      <c r="T292" t="s">
        <v>779</v>
      </c>
      <c r="U292" t="s">
        <v>4463</v>
      </c>
      <c r="V292" t="s">
        <v>3800</v>
      </c>
      <c r="W292" t="s">
        <v>369</v>
      </c>
      <c r="X292" t="s">
        <v>4464</v>
      </c>
      <c r="Y292" t="s">
        <v>1483</v>
      </c>
      <c r="Z292" t="s">
        <v>1366</v>
      </c>
      <c r="AA292" s="7" t="s">
        <v>974</v>
      </c>
      <c r="AB292" s="7" t="s">
        <v>4465</v>
      </c>
      <c r="AC292" t="s">
        <v>4003</v>
      </c>
      <c r="AD292" s="7" t="s">
        <v>4466</v>
      </c>
      <c r="AE292" s="7" t="s">
        <v>4467</v>
      </c>
    </row>
    <row r="293" spans="1:31" ht="14.25" customHeight="1" x14ac:dyDescent="0.2">
      <c r="A293" t="s">
        <v>4468</v>
      </c>
      <c r="B293" t="s">
        <v>4469</v>
      </c>
      <c r="C293" t="s">
        <v>4470</v>
      </c>
      <c r="D293" t="s">
        <v>4471</v>
      </c>
      <c r="E293" s="4" t="s">
        <v>4472</v>
      </c>
      <c r="F293" t="s">
        <v>4473</v>
      </c>
      <c r="G293" s="5">
        <v>43690</v>
      </c>
      <c r="H293" t="s">
        <v>4474</v>
      </c>
      <c r="I293" t="s">
        <v>967</v>
      </c>
      <c r="J293" t="s">
        <v>3779</v>
      </c>
      <c r="K293" t="s">
        <v>949</v>
      </c>
      <c r="L293">
        <v>964</v>
      </c>
      <c r="M293">
        <v>563</v>
      </c>
      <c r="N293">
        <v>1100</v>
      </c>
      <c r="O293">
        <v>725</v>
      </c>
      <c r="P293" t="s">
        <v>4475</v>
      </c>
      <c r="Q293" t="s">
        <v>4476</v>
      </c>
      <c r="R293" t="s">
        <v>970</v>
      </c>
      <c r="S293" t="s">
        <v>3827</v>
      </c>
      <c r="T293" t="s">
        <v>128</v>
      </c>
      <c r="U293" t="s">
        <v>4471</v>
      </c>
      <c r="V293" t="s">
        <v>1483</v>
      </c>
      <c r="W293" t="s">
        <v>2322</v>
      </c>
      <c r="X293" t="s">
        <v>4471</v>
      </c>
      <c r="Y293" t="s">
        <v>1483</v>
      </c>
      <c r="Z293" t="s">
        <v>1031</v>
      </c>
      <c r="AA293" s="7" t="s">
        <v>974</v>
      </c>
      <c r="AB293" s="7" t="s">
        <v>4477</v>
      </c>
      <c r="AC293" t="s">
        <v>268</v>
      </c>
      <c r="AD293" s="7" t="s">
        <v>29</v>
      </c>
      <c r="AE293" s="7" t="s">
        <v>4478</v>
      </c>
    </row>
    <row r="294" spans="1:31" ht="14.25" customHeight="1" x14ac:dyDescent="0.2">
      <c r="A294" t="s">
        <v>4479</v>
      </c>
      <c r="B294" t="s">
        <v>4480</v>
      </c>
      <c r="C294" t="s">
        <v>4481</v>
      </c>
      <c r="D294" t="s">
        <v>1748</v>
      </c>
      <c r="E294" s="4" t="s">
        <v>4482</v>
      </c>
      <c r="F294" t="s">
        <v>4483</v>
      </c>
      <c r="G294" s="5">
        <v>43536</v>
      </c>
      <c r="H294" t="s">
        <v>4484</v>
      </c>
      <c r="I294" t="s">
        <v>967</v>
      </c>
      <c r="J294" t="s">
        <v>3779</v>
      </c>
      <c r="K294" t="s">
        <v>949</v>
      </c>
      <c r="L294">
        <v>964</v>
      </c>
      <c r="M294">
        <v>563</v>
      </c>
      <c r="N294">
        <v>1100</v>
      </c>
      <c r="O294">
        <v>725</v>
      </c>
      <c r="P294" t="s">
        <v>4485</v>
      </c>
      <c r="Q294" t="s">
        <v>4486</v>
      </c>
      <c r="R294" t="s">
        <v>970</v>
      </c>
      <c r="S294" t="s">
        <v>3813</v>
      </c>
      <c r="T294" t="s">
        <v>128</v>
      </c>
      <c r="U294" t="s">
        <v>1044</v>
      </c>
      <c r="V294" t="s">
        <v>2604</v>
      </c>
      <c r="W294" t="s">
        <v>670</v>
      </c>
      <c r="X294" t="s">
        <v>910</v>
      </c>
      <c r="Y294" t="s">
        <v>2604</v>
      </c>
      <c r="Z294" t="s">
        <v>670</v>
      </c>
      <c r="AA294" s="7" t="s">
        <v>2039</v>
      </c>
      <c r="AB294" s="7" t="s">
        <v>4487</v>
      </c>
      <c r="AC294" t="s">
        <v>268</v>
      </c>
      <c r="AD294" s="7" t="s">
        <v>178</v>
      </c>
      <c r="AE294" s="7" t="s">
        <v>4488</v>
      </c>
    </row>
    <row r="295" spans="1:31" ht="14.25" customHeight="1" x14ac:dyDescent="0.2">
      <c r="A295" t="s">
        <v>4489</v>
      </c>
      <c r="B295" t="s">
        <v>4490</v>
      </c>
      <c r="C295" t="s">
        <v>4491</v>
      </c>
      <c r="D295" t="s">
        <v>4492</v>
      </c>
      <c r="E295" s="4" t="s">
        <v>4493</v>
      </c>
      <c r="F295" t="s">
        <v>4494</v>
      </c>
      <c r="G295" s="5">
        <v>43370</v>
      </c>
      <c r="H295" t="s">
        <v>4495</v>
      </c>
      <c r="I295" t="s">
        <v>967</v>
      </c>
      <c r="J295" t="s">
        <v>3779</v>
      </c>
      <c r="K295" t="s">
        <v>949</v>
      </c>
      <c r="L295">
        <v>915</v>
      </c>
      <c r="M295">
        <v>535</v>
      </c>
      <c r="N295">
        <v>1100</v>
      </c>
      <c r="O295">
        <v>725</v>
      </c>
      <c r="P295" t="s">
        <v>4496</v>
      </c>
      <c r="Q295" t="s">
        <v>4497</v>
      </c>
      <c r="R295" t="s">
        <v>970</v>
      </c>
      <c r="S295" t="s">
        <v>3986</v>
      </c>
      <c r="T295" t="s">
        <v>283</v>
      </c>
      <c r="U295" t="s">
        <v>4498</v>
      </c>
      <c r="V295" t="s">
        <v>2604</v>
      </c>
      <c r="W295" t="s">
        <v>4499</v>
      </c>
      <c r="X295" t="s">
        <v>1851</v>
      </c>
      <c r="Y295" t="s">
        <v>2604</v>
      </c>
      <c r="Z295" t="s">
        <v>618</v>
      </c>
      <c r="AA295" s="7" t="s">
        <v>974</v>
      </c>
      <c r="AB295" s="7" t="s">
        <v>4500</v>
      </c>
      <c r="AC295" t="s">
        <v>2774</v>
      </c>
      <c r="AD295" s="7" t="s">
        <v>137</v>
      </c>
      <c r="AE295" s="7" t="s">
        <v>4501</v>
      </c>
    </row>
    <row r="296" spans="1:31" ht="14.25" customHeight="1" x14ac:dyDescent="0.2">
      <c r="A296" t="s">
        <v>4502</v>
      </c>
      <c r="B296" t="s">
        <v>4503</v>
      </c>
      <c r="C296" t="s">
        <v>4504</v>
      </c>
      <c r="D296" t="s">
        <v>4505</v>
      </c>
      <c r="E296" s="4" t="s">
        <v>4506</v>
      </c>
      <c r="F296" t="s">
        <v>4507</v>
      </c>
      <c r="G296" s="5">
        <v>43370</v>
      </c>
      <c r="H296" t="s">
        <v>276</v>
      </c>
      <c r="I296" t="s">
        <v>967</v>
      </c>
      <c r="J296" t="s">
        <v>3779</v>
      </c>
      <c r="K296" t="s">
        <v>949</v>
      </c>
      <c r="L296">
        <v>763</v>
      </c>
      <c r="M296">
        <v>446</v>
      </c>
      <c r="N296">
        <v>1100</v>
      </c>
      <c r="O296">
        <v>725</v>
      </c>
      <c r="P296" t="s">
        <v>4508</v>
      </c>
      <c r="Q296" t="s">
        <v>4509</v>
      </c>
      <c r="R296" t="s">
        <v>970</v>
      </c>
      <c r="S296" t="s">
        <v>3869</v>
      </c>
      <c r="T296" t="s">
        <v>128</v>
      </c>
      <c r="U296" t="s">
        <v>3710</v>
      </c>
      <c r="V296" t="s">
        <v>1481</v>
      </c>
      <c r="W296" t="s">
        <v>1482</v>
      </c>
      <c r="X296" t="s">
        <v>1031</v>
      </c>
      <c r="Y296" t="s">
        <v>1483</v>
      </c>
      <c r="Z296" t="s">
        <v>670</v>
      </c>
      <c r="AA296" s="7" t="s">
        <v>974</v>
      </c>
      <c r="AB296" s="7" t="s">
        <v>4510</v>
      </c>
      <c r="AC296" t="s">
        <v>268</v>
      </c>
      <c r="AD296" s="7" t="s">
        <v>4511</v>
      </c>
      <c r="AE296" s="7" t="s">
        <v>4512</v>
      </c>
    </row>
    <row r="297" spans="1:31" ht="14.25" customHeight="1" x14ac:dyDescent="0.2">
      <c r="A297" t="s">
        <v>4513</v>
      </c>
      <c r="B297" t="s">
        <v>4514</v>
      </c>
      <c r="C297" t="s">
        <v>4515</v>
      </c>
      <c r="D297" t="s">
        <v>4516</v>
      </c>
      <c r="E297" s="4" t="s">
        <v>4517</v>
      </c>
      <c r="F297" t="s">
        <v>4518</v>
      </c>
      <c r="G297" s="5">
        <v>44620</v>
      </c>
      <c r="H297" t="s">
        <v>4519</v>
      </c>
      <c r="I297" t="s">
        <v>121</v>
      </c>
      <c r="J297" t="s">
        <v>3779</v>
      </c>
      <c r="K297" t="s">
        <v>1054</v>
      </c>
      <c r="L297">
        <v>752</v>
      </c>
      <c r="M297">
        <v>506</v>
      </c>
      <c r="N297">
        <v>1100</v>
      </c>
      <c r="O297">
        <v>725</v>
      </c>
      <c r="P297" t="s">
        <v>4520</v>
      </c>
      <c r="Q297" t="s">
        <v>4521</v>
      </c>
      <c r="R297" t="s">
        <v>1057</v>
      </c>
      <c r="S297" t="s">
        <v>4522</v>
      </c>
      <c r="T297" t="s">
        <v>4523</v>
      </c>
      <c r="U297" t="s">
        <v>4524</v>
      </c>
      <c r="V297" t="s">
        <v>3914</v>
      </c>
      <c r="W297" t="s">
        <v>4525</v>
      </c>
      <c r="X297" t="s">
        <v>4526</v>
      </c>
      <c r="Y297" t="s">
        <v>2604</v>
      </c>
      <c r="Z297" t="s">
        <v>4525</v>
      </c>
      <c r="AA297" s="7" t="s">
        <v>3787</v>
      </c>
      <c r="AB297" s="7" t="s">
        <v>4527</v>
      </c>
      <c r="AC297" t="s">
        <v>3291</v>
      </c>
      <c r="AD297" s="7" t="s">
        <v>137</v>
      </c>
      <c r="AE297" s="7" t="s">
        <v>4528</v>
      </c>
    </row>
    <row r="298" spans="1:31" ht="14.25" customHeight="1" x14ac:dyDescent="0.2">
      <c r="A298" t="s">
        <v>4529</v>
      </c>
      <c r="B298" t="s">
        <v>4530</v>
      </c>
      <c r="C298" t="s">
        <v>4531</v>
      </c>
      <c r="D298" t="s">
        <v>4532</v>
      </c>
      <c r="E298" s="4" t="s">
        <v>4533</v>
      </c>
      <c r="F298" t="s">
        <v>4534</v>
      </c>
      <c r="G298" s="5">
        <v>44382</v>
      </c>
      <c r="H298" t="s">
        <v>4535</v>
      </c>
      <c r="I298" t="s">
        <v>121</v>
      </c>
      <c r="J298" t="s">
        <v>3779</v>
      </c>
      <c r="K298" t="s">
        <v>1054</v>
      </c>
      <c r="L298">
        <v>752</v>
      </c>
      <c r="M298">
        <v>506</v>
      </c>
      <c r="N298">
        <v>1100</v>
      </c>
      <c r="O298">
        <v>725</v>
      </c>
      <c r="P298" t="s">
        <v>4536</v>
      </c>
      <c r="Q298" t="s">
        <v>4537</v>
      </c>
      <c r="R298" t="s">
        <v>1057</v>
      </c>
      <c r="S298" t="s">
        <v>3927</v>
      </c>
      <c r="T298" t="s">
        <v>280</v>
      </c>
      <c r="U298" t="s">
        <v>4538</v>
      </c>
      <c r="V298" t="s">
        <v>3914</v>
      </c>
      <c r="W298" t="s">
        <v>668</v>
      </c>
      <c r="X298" t="s">
        <v>4538</v>
      </c>
      <c r="Y298" t="s">
        <v>2604</v>
      </c>
      <c r="Z298" t="s">
        <v>670</v>
      </c>
      <c r="AA298" s="7" t="s">
        <v>3787</v>
      </c>
      <c r="AB298" s="7" t="s">
        <v>4539</v>
      </c>
      <c r="AC298" t="s">
        <v>4540</v>
      </c>
      <c r="AD298" s="7" t="s">
        <v>3947</v>
      </c>
      <c r="AE298" s="7" t="s">
        <v>4541</v>
      </c>
    </row>
    <row r="299" spans="1:31" ht="14.25" customHeight="1" x14ac:dyDescent="0.2">
      <c r="A299" t="s">
        <v>4542</v>
      </c>
      <c r="B299" t="s">
        <v>4543</v>
      </c>
      <c r="C299" t="s">
        <v>4544</v>
      </c>
      <c r="D299" t="s">
        <v>4545</v>
      </c>
      <c r="E299" s="4" t="s">
        <v>4546</v>
      </c>
      <c r="F299" t="s">
        <v>4547</v>
      </c>
      <c r="G299" s="5">
        <v>44223</v>
      </c>
      <c r="H299" t="s">
        <v>4548</v>
      </c>
      <c r="I299" t="s">
        <v>121</v>
      </c>
      <c r="J299" t="s">
        <v>3779</v>
      </c>
      <c r="K299" t="s">
        <v>1054</v>
      </c>
      <c r="L299">
        <v>752</v>
      </c>
      <c r="M299">
        <v>506</v>
      </c>
      <c r="N299">
        <v>1100</v>
      </c>
      <c r="O299">
        <v>725</v>
      </c>
      <c r="P299" t="s">
        <v>4549</v>
      </c>
      <c r="Q299" t="s">
        <v>4550</v>
      </c>
      <c r="R299" t="s">
        <v>1057</v>
      </c>
      <c r="S299" t="s">
        <v>4551</v>
      </c>
      <c r="T299" t="s">
        <v>4552</v>
      </c>
      <c r="U299" t="s">
        <v>4553</v>
      </c>
      <c r="V299" t="s">
        <v>4554</v>
      </c>
      <c r="W299" t="s">
        <v>4555</v>
      </c>
      <c r="X299" t="s">
        <v>4556</v>
      </c>
      <c r="Y299" t="s">
        <v>3786</v>
      </c>
      <c r="Z299" t="s">
        <v>4557</v>
      </c>
      <c r="AA299" s="7" t="s">
        <v>3787</v>
      </c>
      <c r="AB299" s="7" t="s">
        <v>4558</v>
      </c>
      <c r="AC299" t="s">
        <v>268</v>
      </c>
      <c r="AD299" s="7" t="s">
        <v>4559</v>
      </c>
      <c r="AE299" s="7" t="s">
        <v>4560</v>
      </c>
    </row>
    <row r="300" spans="1:31" ht="14.25" customHeight="1" x14ac:dyDescent="0.2">
      <c r="E300" s="4"/>
      <c r="G300" s="5"/>
      <c r="AA300" s="7"/>
      <c r="AB300" s="7"/>
      <c r="AD300" s="7"/>
      <c r="AE300" s="7"/>
    </row>
    <row r="301" spans="1:31" ht="14.25" customHeight="1" x14ac:dyDescent="0.2">
      <c r="A301" t="s">
        <v>4561</v>
      </c>
      <c r="B301" t="s">
        <v>4562</v>
      </c>
      <c r="C301" t="s">
        <v>4563</v>
      </c>
      <c r="D301" t="s">
        <v>4564</v>
      </c>
      <c r="H301" t="s">
        <v>4565</v>
      </c>
      <c r="J301" t="s">
        <v>2837</v>
      </c>
      <c r="K301" t="s">
        <v>949</v>
      </c>
    </row>
    <row r="302" spans="1:31" ht="14.25" customHeight="1" x14ac:dyDescent="0.2">
      <c r="A302" t="s">
        <v>4566</v>
      </c>
      <c r="B302" t="s">
        <v>4567</v>
      </c>
      <c r="C302" t="s">
        <v>4568</v>
      </c>
      <c r="D302" t="s">
        <v>4569</v>
      </c>
      <c r="H302" t="s">
        <v>4570</v>
      </c>
      <c r="J302" t="s">
        <v>1103</v>
      </c>
      <c r="K302" t="s">
        <v>1054</v>
      </c>
    </row>
    <row r="303" spans="1:31" ht="14.25" customHeight="1" x14ac:dyDescent="0.2">
      <c r="A303" t="s">
        <v>4571</v>
      </c>
      <c r="B303" t="s">
        <v>4572</v>
      </c>
      <c r="C303" t="s">
        <v>4573</v>
      </c>
      <c r="D303" t="s">
        <v>4574</v>
      </c>
      <c r="H303" t="s">
        <v>4575</v>
      </c>
      <c r="J303" t="s">
        <v>1947</v>
      </c>
      <c r="K303" t="s">
        <v>759</v>
      </c>
    </row>
    <row r="304" spans="1:31" ht="14.25" customHeight="1" x14ac:dyDescent="0.2">
      <c r="A304" t="s">
        <v>4576</v>
      </c>
      <c r="B304" t="s">
        <v>4577</v>
      </c>
      <c r="C304" t="s">
        <v>4578</v>
      </c>
      <c r="D304" t="s">
        <v>4579</v>
      </c>
      <c r="H304" t="s">
        <v>4580</v>
      </c>
      <c r="J304" t="s">
        <v>1947</v>
      </c>
      <c r="K304" t="s">
        <v>645</v>
      </c>
    </row>
    <row r="305" spans="1:11" ht="14.25" customHeight="1" x14ac:dyDescent="0.2">
      <c r="A305" t="s">
        <v>4581</v>
      </c>
      <c r="B305" t="s">
        <v>4582</v>
      </c>
      <c r="C305" t="s">
        <v>4583</v>
      </c>
      <c r="D305" t="s">
        <v>4584</v>
      </c>
      <c r="H305" t="s">
        <v>4585</v>
      </c>
      <c r="J305" t="s">
        <v>2837</v>
      </c>
      <c r="K305" t="s">
        <v>543</v>
      </c>
    </row>
    <row r="306" spans="1:11" ht="14.25" customHeight="1" x14ac:dyDescent="0.2">
      <c r="A306" t="s">
        <v>4586</v>
      </c>
      <c r="B306" t="s">
        <v>4587</v>
      </c>
      <c r="C306" t="s">
        <v>4588</v>
      </c>
      <c r="D306" t="s">
        <v>4589</v>
      </c>
      <c r="H306" t="s">
        <v>4590</v>
      </c>
      <c r="J306" t="s">
        <v>1103</v>
      </c>
      <c r="K306" t="s">
        <v>759</v>
      </c>
    </row>
    <row r="307" spans="1:11" ht="14.25" customHeight="1" x14ac:dyDescent="0.2">
      <c r="A307" t="s">
        <v>4591</v>
      </c>
      <c r="B307" t="s">
        <v>4592</v>
      </c>
      <c r="C307" t="s">
        <v>4593</v>
      </c>
      <c r="D307" t="s">
        <v>4594</v>
      </c>
      <c r="H307" t="s">
        <v>4595</v>
      </c>
      <c r="J307" t="s">
        <v>3779</v>
      </c>
      <c r="K307" t="s">
        <v>330</v>
      </c>
    </row>
  </sheetData>
  <autoFilter ref="A1:AE299" xr:uid="{4746A6A4-4861-40E4-927B-C20700558112}">
    <sortState xmlns:xlrd2="http://schemas.microsoft.com/office/spreadsheetml/2017/richdata2" ref="A2:AE299">
      <sortCondition ref="B1:B299"/>
    </sortState>
  </autoFilter>
  <phoneticPr fontId="26" type="noConversion"/>
  <hyperlinks>
    <hyperlink ref="E2" r:id="rId1" xr:uid="{A0FB15C1-8B69-438C-BD9D-3ED66206551C}"/>
    <hyperlink ref="E3" r:id="rId2" xr:uid="{E0BA92C9-CC2E-430E-9E14-89849BE34D6E}"/>
    <hyperlink ref="E4" r:id="rId3" xr:uid="{AD0A0647-9F14-4E2D-899C-41E2099ED7CE}"/>
    <hyperlink ref="E5" r:id="rId4" xr:uid="{241D677C-8CF0-4005-B938-DD914DD83101}"/>
    <hyperlink ref="E6" r:id="rId5" xr:uid="{D24F6288-4834-40CF-B0AF-FDAD04080676}"/>
    <hyperlink ref="E7" r:id="rId6" xr:uid="{664A5BFF-0EDE-43AD-B815-676482E61317}"/>
    <hyperlink ref="E8" r:id="rId7" xr:uid="{539AC5B3-317B-440C-87AE-2D61064F03FB}"/>
    <hyperlink ref="E9" r:id="rId8" xr:uid="{F900A52F-8257-4DD6-B6C9-320284893604}"/>
    <hyperlink ref="E10" r:id="rId9" xr:uid="{E3D80125-29EE-44FA-9D8F-0C187787EB3F}"/>
    <hyperlink ref="E11" r:id="rId10" xr:uid="{E3D8AECA-FEA8-474A-9DEC-3BCD513EFCD6}"/>
    <hyperlink ref="E12" r:id="rId11" xr:uid="{E426F16B-92C2-4246-B8A9-92268DBAF0C8}"/>
    <hyperlink ref="E13" r:id="rId12" xr:uid="{BEF97629-C22A-46AA-9CDA-DBCA264A4818}"/>
    <hyperlink ref="E14" r:id="rId13" xr:uid="{E6EBE9B3-EB3A-4255-B046-6E83B2253A65}"/>
    <hyperlink ref="E15" r:id="rId14" xr:uid="{672AE3BF-D0D6-4F70-8EAC-B1CA21B4B963}"/>
    <hyperlink ref="E16" r:id="rId15" xr:uid="{F2AF1942-F154-4FEE-AF0E-39F2316DDECE}"/>
    <hyperlink ref="E17" r:id="rId16" xr:uid="{9E1C3101-7FC2-4932-918C-A15E1C0D710B}"/>
    <hyperlink ref="E18" r:id="rId17" xr:uid="{4AFEE06A-01BB-424F-918B-191FE98BA7D7}"/>
    <hyperlink ref="E19" r:id="rId18" xr:uid="{6EC53028-784F-432D-B36A-5495B853B416}"/>
    <hyperlink ref="E20" r:id="rId19" xr:uid="{D46B5F55-93DC-4C51-B863-9DCB4AB06E77}"/>
    <hyperlink ref="E21" r:id="rId20" xr:uid="{64EA35B2-8148-4A2C-BE46-17151926E523}"/>
    <hyperlink ref="E22" r:id="rId21" xr:uid="{3F63655D-9625-4388-91E2-7F47270B1905}"/>
    <hyperlink ref="E23" r:id="rId22" xr:uid="{8D9C5203-AE20-4D37-A2F0-0481E3ED5CD7}"/>
    <hyperlink ref="E24" r:id="rId23" xr:uid="{4F919C2D-E60F-40B2-926C-0C5B0D63D447}"/>
    <hyperlink ref="E25" r:id="rId24" xr:uid="{823FBF01-9C8D-407B-9381-6FED19B09426}"/>
    <hyperlink ref="E26" r:id="rId25" xr:uid="{63DA312F-C7D7-44CE-B564-77F960216586}"/>
    <hyperlink ref="E27" r:id="rId26" xr:uid="{0B4A86D9-EDEF-4B01-AF14-C7E3ADEF3F37}"/>
    <hyperlink ref="E28" r:id="rId27" xr:uid="{1C863AAE-325F-4BAC-A408-82BFF16DAED0}"/>
    <hyperlink ref="E29" r:id="rId28" xr:uid="{F4B2DE42-E067-4C91-AA4F-B15AA0AD8B5A}"/>
    <hyperlink ref="E30" r:id="rId29" xr:uid="{3616EE89-E8B3-4C33-9D6B-55022AE58D77}"/>
    <hyperlink ref="E31" r:id="rId30" xr:uid="{422139B1-DBC9-4AAE-9FDC-A1A68D9876EB}"/>
    <hyperlink ref="E32" r:id="rId31" xr:uid="{348A5AA8-53F5-4299-8FD5-A6A091BDE830}"/>
    <hyperlink ref="E33" r:id="rId32" xr:uid="{2D1FD200-3C7B-4CC0-A325-9A4E1DB8033F}"/>
    <hyperlink ref="E34" r:id="rId33" xr:uid="{7B6FDBA2-C407-4345-8A7E-CDE6792FDD12}"/>
    <hyperlink ref="E35" r:id="rId34" xr:uid="{376C8AED-4347-4178-897D-3569365192AC}"/>
    <hyperlink ref="E36" r:id="rId35" xr:uid="{12AC62EA-53D9-42BD-8932-C034E3FAAB2B}"/>
    <hyperlink ref="E37" r:id="rId36" xr:uid="{4B647DC1-5B2E-4B14-8560-16CA25AF0265}"/>
    <hyperlink ref="E38" r:id="rId37" xr:uid="{369B3F5C-B728-48FC-86A8-E9C0167A53F3}"/>
    <hyperlink ref="E39" r:id="rId38" xr:uid="{CCD8ED78-0EAA-4343-9C1B-0E296CA48365}"/>
    <hyperlink ref="E40" r:id="rId39" xr:uid="{071E7337-837F-44FA-A36B-9D3576CC8943}"/>
    <hyperlink ref="E41" r:id="rId40" xr:uid="{4F651668-A893-48B3-B0FC-69FB48A21FFF}"/>
    <hyperlink ref="E42" r:id="rId41" xr:uid="{C367DA35-107A-4F6C-BFA3-4D0BD93AF439}"/>
    <hyperlink ref="E43" r:id="rId42" xr:uid="{0010D3A3-AB16-455B-A267-301409BB22F2}"/>
    <hyperlink ref="E44" r:id="rId43" xr:uid="{7474B008-AB3F-48A4-AC72-1787DC512733}"/>
    <hyperlink ref="E45" r:id="rId44" xr:uid="{8A3E6F10-8F6B-4862-A2AC-687A2F5B00C9}"/>
    <hyperlink ref="E46" r:id="rId45" xr:uid="{DF6CDBDB-2F28-42C6-B703-01A55239BF5B}"/>
    <hyperlink ref="E47" r:id="rId46" xr:uid="{EE874A8C-6773-4DEF-93CD-0261C163E24E}"/>
    <hyperlink ref="E48" r:id="rId47" xr:uid="{68FA6700-DC14-4877-B67B-E9DF8594B375}"/>
    <hyperlink ref="E49" r:id="rId48" xr:uid="{DC583C7B-7CCC-464F-AF04-C6A136933067}"/>
    <hyperlink ref="E50" r:id="rId49" xr:uid="{4773D453-A473-48C2-A1B5-993A981D68D4}"/>
    <hyperlink ref="E51" r:id="rId50" xr:uid="{CC62CE68-5E8B-4992-8606-3CB881504636}"/>
    <hyperlink ref="E52" r:id="rId51" xr:uid="{DB492B94-CE3A-4503-9A9C-72BFA07B22A5}"/>
    <hyperlink ref="E53" r:id="rId52" xr:uid="{8F981A65-92FD-419C-93F2-0EF962C4E85E}"/>
    <hyperlink ref="E54" r:id="rId53" xr:uid="{C7AB77EA-EE3C-4F51-9EE9-82CF88BF980D}"/>
    <hyperlink ref="E55" r:id="rId54" xr:uid="{166D019E-5FD3-4C32-B471-1F01D2AF3697}"/>
    <hyperlink ref="E56" r:id="rId55" xr:uid="{D30A9948-5950-4859-BDA2-E1BE869E26E7}"/>
    <hyperlink ref="E57" r:id="rId56" xr:uid="{4D78C1B5-E6FE-43AD-8DFD-2B360734AFDD}"/>
    <hyperlink ref="E58" r:id="rId57" xr:uid="{BBA9CA11-9A86-4EFF-8D9B-25729ED06723}"/>
    <hyperlink ref="E59" r:id="rId58" xr:uid="{4EF35F58-7967-43C3-847C-863D24BDA4B3}"/>
    <hyperlink ref="E60" r:id="rId59" xr:uid="{58810DA0-3BC0-451D-A10F-18EC6AADBB00}"/>
    <hyperlink ref="E61" r:id="rId60" xr:uid="{4F51A9AC-71CD-48A9-866B-C8E69BD06C72}"/>
    <hyperlink ref="E62" r:id="rId61" xr:uid="{ADD7942C-1F57-4E41-8F01-357236F7A470}"/>
    <hyperlink ref="E63" r:id="rId62" xr:uid="{C520648B-A8CF-45B9-8223-66F8A751EC2A}"/>
    <hyperlink ref="E64" r:id="rId63" xr:uid="{A94427E9-A78F-4884-A062-6AC3A7590A68}"/>
    <hyperlink ref="E65" r:id="rId64" xr:uid="{E39B64DC-D322-400D-9076-BA1F5148A90F}"/>
    <hyperlink ref="E66" r:id="rId65" xr:uid="{DACFAEDB-E036-46D0-87E0-2118ACC806B1}"/>
    <hyperlink ref="E67" r:id="rId66" xr:uid="{9F42003E-BFE3-48D3-B6E8-45D8D54D4FC1}"/>
    <hyperlink ref="E68" r:id="rId67" xr:uid="{4546ABF7-1D65-4B10-A355-17031C4C332A}"/>
    <hyperlink ref="E69" r:id="rId68" xr:uid="{B12CCC95-BD67-45CA-870C-DF82784A51AB}"/>
    <hyperlink ref="E70" r:id="rId69" xr:uid="{73D3E131-009F-44B6-AE87-2251321EF30D}"/>
    <hyperlink ref="E71" r:id="rId70" xr:uid="{B71A1497-10E2-4409-817D-CF7BF4F254E6}"/>
    <hyperlink ref="E72" r:id="rId71" xr:uid="{B021326D-DC7B-4873-99F4-EB4F144A4EF6}"/>
    <hyperlink ref="E73" r:id="rId72" xr:uid="{2AF5F98A-F199-4FEC-A0D8-8DA5EED600CC}"/>
    <hyperlink ref="E74" r:id="rId73" xr:uid="{E245B6E0-0859-4F72-ABDD-0EB14EDAD553}"/>
    <hyperlink ref="E75" r:id="rId74" xr:uid="{CA7B638C-3475-44D4-B804-F0CC239CB3EE}"/>
    <hyperlink ref="E76" r:id="rId75" xr:uid="{58B7CCAE-817E-4EA0-AB76-BDAF38ADE9E7}"/>
    <hyperlink ref="E77" r:id="rId76" xr:uid="{DA259638-8E4E-4A41-84E0-7ED3CE0A55BB}"/>
    <hyperlink ref="E78" r:id="rId77" xr:uid="{49E8F646-642B-4C31-89B0-7C69355CA601}"/>
    <hyperlink ref="E79" r:id="rId78" xr:uid="{CCCC40A1-77D5-43FE-AFF6-48E8C9B99094}"/>
    <hyperlink ref="E80" r:id="rId79" xr:uid="{FBDE172F-DB0F-4DC2-9E4F-7A19226485D0}"/>
    <hyperlink ref="E81" r:id="rId80" xr:uid="{FF6015EA-54A4-4F19-BE17-095509A66F7B}"/>
    <hyperlink ref="E82" r:id="rId81" xr:uid="{5DC4C87A-61AD-49E6-B0B8-F9A4C6575EB9}"/>
    <hyperlink ref="E83" r:id="rId82" xr:uid="{8CA82593-AFF6-4A92-B16D-647643CD95FA}"/>
    <hyperlink ref="E84" r:id="rId83" xr:uid="{42AFF6B3-B6D1-45CF-B8DD-A8A1C4C7B5AC}"/>
    <hyperlink ref="E85" r:id="rId84" xr:uid="{DFF013B7-271F-462E-BB76-AF3AE1926838}"/>
    <hyperlink ref="E86" r:id="rId85" xr:uid="{6E292E3F-5021-4E75-BE36-D015BE0A7568}"/>
    <hyperlink ref="E87" r:id="rId86" xr:uid="{A6A246DE-3C62-46D7-BE76-9CFFA3F66E5E}"/>
    <hyperlink ref="E88" r:id="rId87" xr:uid="{9E01C102-561F-4582-91CD-8D121461125E}"/>
    <hyperlink ref="E89" r:id="rId88" xr:uid="{599FE434-7273-4A0A-AB7F-3C8EF8EF5860}"/>
    <hyperlink ref="E90" r:id="rId89" xr:uid="{AB650443-9F4B-4726-9DE4-87086329C162}"/>
    <hyperlink ref="E91" r:id="rId90" xr:uid="{8B69ABF0-14A8-4C02-A3CA-42373E7B3D23}"/>
    <hyperlink ref="E92" r:id="rId91" xr:uid="{7BC1D5B1-275B-49C3-9214-0FA438E9C1C4}"/>
    <hyperlink ref="E93" r:id="rId92" xr:uid="{C8FE9780-9152-4B55-B674-DEF0B008A340}"/>
    <hyperlink ref="E94" r:id="rId93" xr:uid="{100692BF-7D60-4830-8E54-3A7CE2272A2D}"/>
    <hyperlink ref="E95" r:id="rId94" xr:uid="{E4914290-00DF-4DF6-865A-BB22F06B5F48}"/>
    <hyperlink ref="E96" r:id="rId95" xr:uid="{6742AF0C-DB07-4C31-851A-12DA27B8E56B}"/>
    <hyperlink ref="E97" r:id="rId96" xr:uid="{8EDCDA83-2500-48D5-9068-51B3FD6C76BE}"/>
    <hyperlink ref="E98" r:id="rId97" xr:uid="{1C476467-CB4F-4A11-99BB-B79078699CE2}"/>
    <hyperlink ref="E99" r:id="rId98" xr:uid="{488136CB-CCC0-4626-9964-A2AC5F3E4615}"/>
    <hyperlink ref="E100" r:id="rId99" xr:uid="{17CE1FFF-8FC3-43E4-83C2-8535A8CBC564}"/>
    <hyperlink ref="E101" r:id="rId100" xr:uid="{990EC0AF-985A-4DEA-A4F6-F804895F5321}"/>
    <hyperlink ref="E102" r:id="rId101" xr:uid="{B6FF188D-F105-4D23-93B6-AAC5776DE8D8}"/>
    <hyperlink ref="E103" r:id="rId102" xr:uid="{F75D15A3-2082-4D8B-AB01-E6F36E2C08DC}"/>
    <hyperlink ref="E104" r:id="rId103" xr:uid="{22CD53F0-855F-4779-869C-7AE52A869D87}"/>
    <hyperlink ref="E105" r:id="rId104" xr:uid="{9CB7DB5C-2FB5-4CCE-BE91-B750C4431E6D}"/>
    <hyperlink ref="E106" r:id="rId105" xr:uid="{45CE000C-9E64-4590-97A3-944E0E10FA7C}"/>
    <hyperlink ref="E107" r:id="rId106" xr:uid="{1BD5D5CB-A653-4F55-9645-8284BEA29C7D}"/>
    <hyperlink ref="E108" r:id="rId107" xr:uid="{9BEBE53B-B5BB-4614-A525-3B369012ACED}"/>
    <hyperlink ref="E109" r:id="rId108" xr:uid="{88DE9324-2EEA-4F36-95B2-9B2B78975828}"/>
    <hyperlink ref="E110" r:id="rId109" xr:uid="{1DCA55FA-D920-4A60-B813-35CA862139F3}"/>
    <hyperlink ref="E111" r:id="rId110" xr:uid="{26959B9A-59E9-4E41-8BBE-26CF0A2200EF}"/>
    <hyperlink ref="E112" r:id="rId111" xr:uid="{FD3AD628-9FC9-4316-93DE-1CD048AD0E7B}"/>
    <hyperlink ref="E113" r:id="rId112" xr:uid="{F631CE9F-C3D6-4372-9F92-EE0E9592A333}"/>
    <hyperlink ref="E114" r:id="rId113" xr:uid="{8081F135-9B3F-45E0-80C6-1C120D7CAED6}"/>
    <hyperlink ref="E115" r:id="rId114" xr:uid="{A4C07BFF-5C58-4F03-B1F3-9A4D22D6645E}"/>
    <hyperlink ref="E116" r:id="rId115" xr:uid="{AAEA4ABE-0C60-45FD-8F10-ECC96F52AEA1}"/>
    <hyperlink ref="E117" r:id="rId116" xr:uid="{FB800EB9-C729-45F1-A276-A157DC77580D}"/>
    <hyperlink ref="E118" r:id="rId117" xr:uid="{006C1955-65B2-4FF0-9422-DE96EFE89A8C}"/>
    <hyperlink ref="E119" r:id="rId118" xr:uid="{740F302E-E2A2-423A-928E-4032E4295A81}"/>
    <hyperlink ref="E120" r:id="rId119" xr:uid="{F6C013AF-9D73-430C-9917-664BAADB482A}"/>
    <hyperlink ref="E121" r:id="rId120" xr:uid="{EB2BDB62-79F9-4064-A93A-432DC7274DBB}"/>
    <hyperlink ref="E122" r:id="rId121" xr:uid="{15AC3CE3-CD92-43E7-BB01-AA05093AB3B3}"/>
    <hyperlink ref="E123" r:id="rId122" xr:uid="{5A99BDAB-44C6-473C-9F65-771AE0D51CF9}"/>
    <hyperlink ref="E124" r:id="rId123" xr:uid="{3B8A559B-A3A7-4BD8-BD2E-5B46140EE18D}"/>
    <hyperlink ref="E125" r:id="rId124" xr:uid="{3D6A821F-C712-480A-B796-A8E851E20A92}"/>
    <hyperlink ref="E126" r:id="rId125" xr:uid="{E63D1324-99D2-484F-BC06-6488D1753947}"/>
    <hyperlink ref="E127" r:id="rId126" xr:uid="{78AB0AFA-5369-4A21-83D5-9CAABEA2C821}"/>
    <hyperlink ref="E128" r:id="rId127" xr:uid="{F3C7C8BB-A34A-4473-A676-B925A3406A0D}"/>
    <hyperlink ref="E129" r:id="rId128" xr:uid="{9AAC257F-40AE-47E9-9504-808E42ACEF3B}"/>
    <hyperlink ref="E130" r:id="rId129" xr:uid="{919EF8CD-2589-4578-BD10-A5CA4749A29C}"/>
    <hyperlink ref="E131" r:id="rId130" xr:uid="{C6306538-03EC-45B0-B89E-4FB5C203E922}"/>
    <hyperlink ref="E132" r:id="rId131" xr:uid="{66E48A9E-446C-4963-96FC-14F4A6EFC0E4}"/>
    <hyperlink ref="E133" r:id="rId132" xr:uid="{3819A42F-5BF4-49CC-97CA-0261B1D2E77F}"/>
    <hyperlink ref="E134" r:id="rId133" xr:uid="{23183E35-C0CC-4D50-8F3F-7755309E9E3C}"/>
    <hyperlink ref="E135" r:id="rId134" xr:uid="{CC46349B-3FE4-4B9E-B0DB-C336A3B8345D}"/>
    <hyperlink ref="E136" r:id="rId135" xr:uid="{8E4EB7FF-23AA-44C8-8DC6-066BF0934D91}"/>
    <hyperlink ref="E137" r:id="rId136" xr:uid="{21AFCE14-BAC6-47E1-A4DC-D6675D60325A}"/>
    <hyperlink ref="E138" r:id="rId137" xr:uid="{3F22DB00-3767-4BC1-B9F9-94AF47145D4A}"/>
    <hyperlink ref="E139" r:id="rId138" xr:uid="{7EE734F7-E2E3-4C4D-BBA6-5A7A48B154C6}"/>
    <hyperlink ref="E140" r:id="rId139" xr:uid="{8C23A240-A26B-4BCC-85A2-33FF257820A6}"/>
    <hyperlink ref="E141" r:id="rId140" xr:uid="{1E730759-62D3-4F95-9549-D95650A4BD61}"/>
    <hyperlink ref="E142" r:id="rId141" xr:uid="{F5E2E81C-202F-4739-9291-30BE557494FE}"/>
    <hyperlink ref="E143" r:id="rId142" xr:uid="{270188DB-B6D5-48D6-95B8-6F41D0E45CB0}"/>
    <hyperlink ref="E144" r:id="rId143" xr:uid="{69765BB7-8258-4F52-9DEC-3D2C7C838BCA}"/>
    <hyperlink ref="E145" r:id="rId144" xr:uid="{AD5F208D-3264-431E-BF0A-F97CECAE973E}"/>
    <hyperlink ref="E146" r:id="rId145" xr:uid="{454ED6F6-21DF-403E-BE61-603BDF06C293}"/>
    <hyperlink ref="E147" r:id="rId146" xr:uid="{FEF210EC-C927-4E2F-8E5D-E60F86A936BC}"/>
    <hyperlink ref="E148" r:id="rId147" xr:uid="{88084EBF-CF90-479D-A53A-9D649743CCE1}"/>
    <hyperlink ref="E149" r:id="rId148" xr:uid="{000AAA43-1706-4C43-AD1D-B91C36CE4C55}"/>
    <hyperlink ref="E150" r:id="rId149" xr:uid="{6854DA24-60AC-40B1-8B83-E16A8D16CBD1}"/>
    <hyperlink ref="E151" r:id="rId150" xr:uid="{A26B2EB6-EEC0-4C2D-80C8-1A1DDF43E7BC}"/>
    <hyperlink ref="E152" r:id="rId151" xr:uid="{B081DDCC-BED2-4FB0-9E70-BD481E376712}"/>
    <hyperlink ref="E153" r:id="rId152" xr:uid="{CC7A5512-2AA7-4A27-ACAA-C11AB37DC2B3}"/>
    <hyperlink ref="E154" r:id="rId153" xr:uid="{C016447F-0FEB-4CBB-9DF6-95C5A155C080}"/>
    <hyperlink ref="E155" r:id="rId154" xr:uid="{7C4EA4C0-C959-4577-86F0-5771C0CFFE77}"/>
    <hyperlink ref="E156" r:id="rId155" xr:uid="{08E820D1-701B-4E79-9F37-081CFEC90F00}"/>
    <hyperlink ref="E157" r:id="rId156" xr:uid="{54967855-72E8-4B03-AC2A-C4024B651FB7}"/>
    <hyperlink ref="E158" r:id="rId157" xr:uid="{18AEB7B9-9BB9-43BB-9BB5-52420C63E9AA}"/>
    <hyperlink ref="E159" r:id="rId158" xr:uid="{FDFCB6C8-1AC8-44EE-B7DD-9E381B1F5BC5}"/>
    <hyperlink ref="E160" r:id="rId159" xr:uid="{64225331-1E74-43F4-9691-4F659A9E362C}"/>
    <hyperlink ref="E161" r:id="rId160" xr:uid="{2D9AD329-F133-4317-A1DE-B3A57D82D96C}"/>
    <hyperlink ref="E162" r:id="rId161" xr:uid="{8EFA7616-0125-40AE-BAEA-A9748BC0D5B8}"/>
    <hyperlink ref="E163" r:id="rId162" xr:uid="{B6FC7242-040A-485A-9C58-E5EB167ADDB5}"/>
    <hyperlink ref="E164" r:id="rId163" xr:uid="{97C68D20-6DA4-4FF6-BE08-257C71107C1E}"/>
    <hyperlink ref="E165" r:id="rId164" xr:uid="{06AE3382-F525-40AE-B05F-139D8D7BECC8}"/>
    <hyperlink ref="E166" r:id="rId165" xr:uid="{9269ED59-A5DB-4C8B-A304-4E3B5E6086C5}"/>
    <hyperlink ref="E167" r:id="rId166" xr:uid="{E57326C0-3934-4A7A-AAB3-8F3235818E4C}"/>
    <hyperlink ref="E168" r:id="rId167" xr:uid="{DDEE1AD0-6636-4046-966A-8CD7851463A1}"/>
    <hyperlink ref="E169" r:id="rId168" xr:uid="{B9FAA4E0-4EF3-4555-ABF6-CAE706805884}"/>
    <hyperlink ref="E170" r:id="rId169" xr:uid="{BE5EB7D9-A8D4-4939-8488-9A3772FC2969}"/>
    <hyperlink ref="E171" r:id="rId170" xr:uid="{38A992F8-FE1A-4642-8870-83BBB470B42F}"/>
    <hyperlink ref="E172" r:id="rId171" xr:uid="{042683FC-F08A-4D5B-A73C-E2F2066ED5A3}"/>
    <hyperlink ref="E173" r:id="rId172" xr:uid="{4328D1C6-8957-416E-A2A2-C6E0B32FC5D8}"/>
    <hyperlink ref="E174" r:id="rId173" xr:uid="{A5FFDFEF-4B31-44AC-A9FC-F76FC1CAA399}"/>
    <hyperlink ref="E175" r:id="rId174" xr:uid="{CA3BB12B-FF99-42D0-864F-F9F5976E8E44}"/>
    <hyperlink ref="E176" r:id="rId175" xr:uid="{D066396B-8ACF-42C9-9DBC-49E4A0FF822D}"/>
    <hyperlink ref="E177" r:id="rId176" xr:uid="{C9059BDC-B873-4E44-A54A-662CA2750B12}"/>
    <hyperlink ref="E178" r:id="rId177" xr:uid="{E837F74E-CC66-4061-A1C4-B99C5DCE95A1}"/>
    <hyperlink ref="E179" r:id="rId178" xr:uid="{E848DB69-75F6-4F3D-A0C1-04920ED6A146}"/>
    <hyperlink ref="E180" r:id="rId179" xr:uid="{C5045F28-0680-4B58-A37C-819A76B2D09D}"/>
    <hyperlink ref="E181" r:id="rId180" xr:uid="{DD633F7D-C998-47CB-9621-67E5F65B5423}"/>
    <hyperlink ref="E182" r:id="rId181" xr:uid="{055BE306-50AA-45C1-B73C-6C905DA7DA11}"/>
    <hyperlink ref="E183" r:id="rId182" xr:uid="{41CCFC57-01F3-4D6C-92E5-77CEDFB646C0}"/>
    <hyperlink ref="E185" r:id="rId183" xr:uid="{E1AD02D3-24B8-4F2A-BE28-36FD547C8922}"/>
    <hyperlink ref="E186" r:id="rId184" xr:uid="{010B4EF5-4112-4ACF-9771-5FD8B3141F5A}"/>
    <hyperlink ref="E187" r:id="rId185" xr:uid="{DB6C099E-2DA9-44FC-B37F-2C5F3268419D}"/>
    <hyperlink ref="E188" r:id="rId186" xr:uid="{55A57213-1D80-4C6A-AF50-E5ABC63757C5}"/>
    <hyperlink ref="E189" r:id="rId187" xr:uid="{E9C8300D-9E6F-45E5-A2B7-6A7BC97FC64A}"/>
    <hyperlink ref="E190" r:id="rId188" xr:uid="{EA232C0F-D124-4898-B649-B6C0917902A9}"/>
    <hyperlink ref="E191" r:id="rId189" xr:uid="{06B6B761-2E91-4D59-B980-789C29986A19}"/>
    <hyperlink ref="E192" r:id="rId190" xr:uid="{040F680D-F42A-46B5-BFFF-0D901EA21FB5}"/>
    <hyperlink ref="E193" r:id="rId191" xr:uid="{EC3AB33A-6016-479C-888A-E0941CD2E8F7}"/>
    <hyperlink ref="E194" r:id="rId192" xr:uid="{379CF67F-33DB-4646-A248-D5A534AE12F1}"/>
    <hyperlink ref="E195" r:id="rId193" xr:uid="{36B4D408-B05E-4CD5-B949-3E94C8C0A6E8}"/>
    <hyperlink ref="E196" r:id="rId194" xr:uid="{64B14847-F35E-4D21-BF59-D3C47863EB27}"/>
    <hyperlink ref="E197" r:id="rId195" xr:uid="{4EF0D118-ADB6-4D2E-ADCA-308948D59FE2}"/>
    <hyperlink ref="E198" r:id="rId196" xr:uid="{DEE089F5-ECD9-47DC-88D1-FCDFA10E2FB3}"/>
    <hyperlink ref="E199" r:id="rId197" xr:uid="{915CF6D8-025C-46CD-9177-DA73F03D1B0D}"/>
    <hyperlink ref="E200" r:id="rId198" xr:uid="{4B28E526-F248-460C-A337-8DC8C9D8B16E}"/>
    <hyperlink ref="E201" r:id="rId199" xr:uid="{C810DA10-CD84-4FDE-9F6C-1A4D2DBBAF3D}"/>
    <hyperlink ref="E202" r:id="rId200" xr:uid="{959128A9-D3D6-4D2D-9454-0E2366048C74}"/>
    <hyperlink ref="E203" r:id="rId201" xr:uid="{1CCF2BEC-7A63-461A-A3FB-4993B8D48985}"/>
    <hyperlink ref="E204" r:id="rId202" xr:uid="{66EB3BD4-F6BE-4ED9-A54A-262532DE5BCA}"/>
    <hyperlink ref="E205" r:id="rId203" xr:uid="{85629BEA-CEF9-433E-B725-AF1843B262FF}"/>
    <hyperlink ref="E206" r:id="rId204" xr:uid="{62B1689C-D31F-4714-BBAF-B09ECB19D697}"/>
    <hyperlink ref="E207" r:id="rId205" xr:uid="{EDF0B5A8-9EEE-4B80-9C2B-D8E3A0DA7082}"/>
    <hyperlink ref="E208" r:id="rId206" xr:uid="{36648FEF-3398-4BE2-9861-8A1C715F7502}"/>
    <hyperlink ref="E210" r:id="rId207" xr:uid="{B8B9FB1E-BC82-467C-80AF-D2CB6C3C73FC}"/>
    <hyperlink ref="E211" r:id="rId208" xr:uid="{86FFEA85-C1A9-4EC9-8C5E-C0431257D01F}"/>
    <hyperlink ref="E212" r:id="rId209" xr:uid="{E5443708-9033-4DA8-8F79-4E61A7FA6A83}"/>
    <hyperlink ref="E213" r:id="rId210" xr:uid="{B0607188-263D-46D6-B2BE-07FE39A75474}"/>
    <hyperlink ref="E214" r:id="rId211" xr:uid="{E2EE6CE7-E09B-4FEF-A2EB-E79B4E05ACDA}"/>
    <hyperlink ref="E216" r:id="rId212" xr:uid="{096D7650-6A24-4F4C-B6AC-BDCE1812AEBD}"/>
    <hyperlink ref="E217" r:id="rId213" xr:uid="{61E06F47-FA8F-4A7D-93D4-7E58DC3A4150}"/>
    <hyperlink ref="E218" r:id="rId214" xr:uid="{7A448AFC-D832-4180-971F-E3FD72809057}"/>
    <hyperlink ref="E219" r:id="rId215" xr:uid="{8E7F3072-C0D4-422E-B00E-A513F5D744B5}"/>
    <hyperlink ref="E220" r:id="rId216" xr:uid="{F02FD0B9-5480-4675-AAE0-04C5D425DA07}"/>
    <hyperlink ref="E221" r:id="rId217" xr:uid="{23795C89-6ADD-498D-8BD7-9C19B983C501}"/>
    <hyperlink ref="E222" r:id="rId218" xr:uid="{581EAF5E-68DD-484B-AFC6-818546F747E1}"/>
    <hyperlink ref="E223" r:id="rId219" xr:uid="{CCF46688-5A5E-4E0A-AA25-59E2EF6100CC}"/>
    <hyperlink ref="E224" r:id="rId220" xr:uid="{69DF6006-BEA2-4A99-8603-3CC8C6882DBD}"/>
    <hyperlink ref="E225" r:id="rId221" xr:uid="{83982850-F0FB-4BFC-8D4C-9E23A647CFF0}"/>
    <hyperlink ref="E227" r:id="rId222" xr:uid="{49418175-0C18-44CE-9D67-97D8FE7151F1}"/>
    <hyperlink ref="E228" r:id="rId223" xr:uid="{D60AAA00-793E-4752-80C1-9C2A9E52DE80}"/>
    <hyperlink ref="E229" r:id="rId224" xr:uid="{7898C64B-5E49-46D3-9937-82ACAD0C2C9B}"/>
    <hyperlink ref="E209" r:id="rId225" xr:uid="{28571C8D-C540-42C1-BE81-7AF190227854}"/>
    <hyperlink ref="E215" r:id="rId226" xr:uid="{336D3E55-D5D0-4DC6-B18C-BD4A8DFBFFE4}"/>
    <hyperlink ref="E226" r:id="rId227" xr:uid="{7D41DA7F-9F84-4D01-B95B-94A1CAECAA4B}"/>
    <hyperlink ref="E184" r:id="rId228" xr:uid="{E2EB6AA8-3D22-439B-B079-8F698F8B3D8A}"/>
    <hyperlink ref="E230" r:id="rId229" xr:uid="{2245690E-F75B-4824-8194-81DADDB6AB7C}"/>
    <hyperlink ref="E231" r:id="rId230" xr:uid="{62EFE8D0-C558-4F78-B634-1348B7AC1911}"/>
    <hyperlink ref="E232" r:id="rId231" xr:uid="{9355BF9B-2C59-416A-A5BD-095CDC81FB3F}"/>
    <hyperlink ref="E233" r:id="rId232" xr:uid="{5CD8BE69-587D-43BA-BCF8-A9418ED2D0D8}"/>
    <hyperlink ref="E234" r:id="rId233" xr:uid="{CD4CACFB-C919-45B8-A59A-BEE8A61D2B8E}"/>
    <hyperlink ref="E235" r:id="rId234" xr:uid="{656075E2-6BF3-4A3D-B7EC-31A24580761B}"/>
    <hyperlink ref="E236" r:id="rId235" xr:uid="{C164F5B6-4845-46A9-91CE-D4889B68C2DB}"/>
    <hyperlink ref="E237" r:id="rId236" xr:uid="{7839FDE3-F156-46E8-A1F7-1471E8B43A5D}"/>
    <hyperlink ref="E238" r:id="rId237" xr:uid="{B2B95F0B-DFEB-4948-BA4A-2D7BC0D3913B}"/>
    <hyperlink ref="E239" r:id="rId238" xr:uid="{CEAB1F1A-F23D-4D2C-8801-DEAB01E66072}"/>
    <hyperlink ref="E240" r:id="rId239" xr:uid="{8C7DA56B-700E-49EB-89C0-6ECFF1DE28E0}"/>
    <hyperlink ref="E241" r:id="rId240" xr:uid="{07D190B7-B171-4A20-B8E3-BBFB54E2D712}"/>
    <hyperlink ref="E242" r:id="rId241" xr:uid="{FD21AB0D-A222-46DE-A60A-08E7915E491D}"/>
    <hyperlink ref="E243" r:id="rId242" xr:uid="{0DF3A980-0C44-44AE-895B-A5D94F77F806}"/>
    <hyperlink ref="E244" r:id="rId243" xr:uid="{509FD40C-A838-4F24-8BA7-86E03C585C09}"/>
    <hyperlink ref="E245" r:id="rId244" xr:uid="{9753D68C-884B-4189-8C4B-F719FD16FBAC}"/>
    <hyperlink ref="E246" r:id="rId245" xr:uid="{C5641F10-5536-4257-B7DB-89DE14163E6D}"/>
    <hyperlink ref="E247" r:id="rId246" xr:uid="{6F4AEC1D-092B-4DC6-B393-7EED923CFD20}"/>
    <hyperlink ref="E248" r:id="rId247" xr:uid="{99ABDB9C-939F-4901-9DBB-8B93165F5FCF}"/>
    <hyperlink ref="E249" r:id="rId248" xr:uid="{791A8BC8-63C2-4152-8590-DA6011802B11}"/>
    <hyperlink ref="E250" r:id="rId249" xr:uid="{7F2033F9-8E72-4EB0-AB87-87959B434805}"/>
    <hyperlink ref="E251" r:id="rId250" xr:uid="{77E9C2E4-DFB5-416B-B930-B4D20166BDCD}"/>
    <hyperlink ref="E252" r:id="rId251" xr:uid="{3D24B2F4-17E7-4A38-9031-941F0D56B4E3}"/>
    <hyperlink ref="E253" r:id="rId252" xr:uid="{B8EB1000-6007-4E26-AD14-34560BF63311}"/>
    <hyperlink ref="E254" r:id="rId253" xr:uid="{99CC9521-ACCB-4170-A33C-976E68B90483}"/>
    <hyperlink ref="E255" r:id="rId254" xr:uid="{E2E7198F-3F24-4C5E-ACD8-C787577820AE}"/>
    <hyperlink ref="E256" r:id="rId255" xr:uid="{67DFF15B-25CA-40FE-8A5D-BDECAA6143BB}"/>
    <hyperlink ref="E257" r:id="rId256" xr:uid="{511CF747-D87C-4C2E-ABFF-37D4EE0E3EB4}"/>
    <hyperlink ref="E258" r:id="rId257" xr:uid="{ED1BE5FC-EA42-4230-AE2C-ED97E034A36A}"/>
    <hyperlink ref="E259" r:id="rId258" xr:uid="{DAF74501-294B-4C89-9916-4148A67FD571}"/>
    <hyperlink ref="E260" r:id="rId259" xr:uid="{BDB189C6-4B8C-4F0C-8535-7FEA1FFFF43D}"/>
    <hyperlink ref="E261" r:id="rId260" xr:uid="{E229CC0D-FD3C-46EE-BF3D-9CD1DC0C2A7F}"/>
    <hyperlink ref="E262" r:id="rId261" xr:uid="{DDC93432-A307-433D-9C32-5A60D954D815}"/>
    <hyperlink ref="E263" r:id="rId262" xr:uid="{EC662AD4-AAC3-4CFE-A90F-F571B3F8F08F}"/>
    <hyperlink ref="E264" r:id="rId263" xr:uid="{E977FCBD-CCC6-4CCA-9334-35FBA8A7F6FC}"/>
    <hyperlink ref="E265" r:id="rId264" xr:uid="{58C15A55-FD03-4466-8E86-08F3C97BA200}"/>
    <hyperlink ref="E266" r:id="rId265" xr:uid="{35E56516-AD29-4216-83B1-E8BD431412AE}"/>
    <hyperlink ref="E267" r:id="rId266" xr:uid="{0DF1ED90-8004-4B49-96ED-88E03AE7B1C0}"/>
    <hyperlink ref="E268" r:id="rId267" xr:uid="{63B3825A-6A12-48B8-9E33-15DAD8CD4D4E}"/>
    <hyperlink ref="E269" r:id="rId268" xr:uid="{A723F084-B77D-43A5-B8F9-259B3484CEFB}"/>
    <hyperlink ref="E270" r:id="rId269" xr:uid="{C233831C-1A6B-4C79-B0D8-F079AEB0FF20}"/>
    <hyperlink ref="E271" r:id="rId270" xr:uid="{69CDF0E2-117A-4D53-BDC3-574D7A7D6B18}"/>
    <hyperlink ref="E272" r:id="rId271" xr:uid="{1E7A2A3E-81FF-4E8F-B810-9CD357B3500D}"/>
    <hyperlink ref="E273" r:id="rId272" xr:uid="{EB7FC0DE-698B-4D71-AC4A-CEBA1E2736BE}"/>
    <hyperlink ref="E274" r:id="rId273" xr:uid="{72994B56-B3C2-49D2-AFD2-AEA48B2A110F}"/>
    <hyperlink ref="E275" r:id="rId274" xr:uid="{3D5AD4BE-FD89-4481-B0E0-03CF44599EF8}"/>
    <hyperlink ref="E276" r:id="rId275" xr:uid="{06DA3711-E68F-4CAD-8978-78DDF98AFFA6}"/>
    <hyperlink ref="E277" r:id="rId276" xr:uid="{683F07BB-565D-4E37-9C4F-FE05C0E63EAF}"/>
    <hyperlink ref="E278" r:id="rId277" xr:uid="{9A750DA0-F168-47DF-B9FB-D3EDF3B520EA}"/>
    <hyperlink ref="E279" r:id="rId278" xr:uid="{FF976A9B-9B0A-4D2C-9686-8F6ED2ED4465}"/>
    <hyperlink ref="E280" r:id="rId279" xr:uid="{0BE00C72-23E5-4AEC-BEF4-3865A22CC7A6}"/>
    <hyperlink ref="E281" r:id="rId280" xr:uid="{15FA0F9E-9118-46A5-B666-5A7A4FFCAC01}"/>
    <hyperlink ref="E282" r:id="rId281" xr:uid="{C4212BE0-8A88-43C9-9F75-D0174F8F21FA}"/>
    <hyperlink ref="E283" r:id="rId282" xr:uid="{96B7151A-7442-453A-AAFD-583A93B69B95}"/>
    <hyperlink ref="E284" r:id="rId283" xr:uid="{23EACC38-CD98-4D56-A108-1EA0FED3829A}"/>
    <hyperlink ref="E285" r:id="rId284" xr:uid="{7D5EB864-3084-4781-8A11-EF39C6CE654C}"/>
    <hyperlink ref="E286" r:id="rId285" xr:uid="{42A102BF-37D6-41EA-B3C1-3FEA55836F65}"/>
    <hyperlink ref="E287" r:id="rId286" xr:uid="{BAC09109-3085-4058-A3A8-A01F033F624D}"/>
    <hyperlink ref="E288" r:id="rId287" xr:uid="{B9599B0A-7FA9-4C71-8FE2-F8ABD3DBBA08}"/>
    <hyperlink ref="E289" r:id="rId288" xr:uid="{FBF48431-453A-4826-8D83-DC38B2E74F66}"/>
    <hyperlink ref="E290" r:id="rId289" xr:uid="{19000BD4-7C86-4A6E-8D76-0B8E277D156E}"/>
    <hyperlink ref="E291" r:id="rId290" xr:uid="{9B74A446-8BF8-4288-B5F9-D706D6E0B51C}"/>
    <hyperlink ref="E292" r:id="rId291" xr:uid="{28513499-AA3F-408E-85AA-E0D6BA180AC8}"/>
    <hyperlink ref="E293" r:id="rId292" xr:uid="{4EE62E68-85EC-4917-A6BE-7C2FCB51FAE7}"/>
    <hyperlink ref="E294" r:id="rId293" xr:uid="{EBA9A3C6-1F6A-4275-BD59-054E10123BAD}"/>
    <hyperlink ref="E295" r:id="rId294" xr:uid="{F3CDAEC9-095E-4779-B8F3-CF70C87AD359}"/>
    <hyperlink ref="E296" r:id="rId295" xr:uid="{C81BC0EC-070C-4780-A77D-40E0F6CD4AF4}"/>
    <hyperlink ref="E297" r:id="rId296" xr:uid="{0748393B-04E6-4819-8E09-1EA13371BE63}"/>
    <hyperlink ref="E298" r:id="rId297" xr:uid="{7DE2A7D8-AB77-4DE4-9B6A-1E6D6E5DBD68}"/>
    <hyperlink ref="E299" r:id="rId298" xr:uid="{FEA2E830-7329-4086-821F-0E90E85FB511}"/>
  </hyperlinks>
  <pageMargins left="0.7" right="0.7" top="0.75" bottom="0.75" header="0.3" footer="0.3"/>
  <pageSetup orientation="portrait" r:id="rId299"/>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501A22-B843-4716-B0A4-9DAC979031D5}">
  <sheetPr codeName="Sheet5"/>
  <dimension ref="A1:P599"/>
  <sheetViews>
    <sheetView workbookViewId="0"/>
  </sheetViews>
  <sheetFormatPr defaultRowHeight="14.25" customHeight="1" x14ac:dyDescent="0.2"/>
  <cols>
    <col min="1" max="1" width="10.625" bestFit="1" customWidth="1"/>
    <col min="2" max="2" width="6.625" bestFit="1" customWidth="1"/>
    <col min="3" max="3" width="19.75" bestFit="1" customWidth="1"/>
    <col min="4" max="4" width="9.75" bestFit="1" customWidth="1"/>
    <col min="5" max="5" width="6.125" bestFit="1" customWidth="1"/>
    <col min="6" max="6" width="7.875" bestFit="1" customWidth="1"/>
    <col min="7" max="7" width="27.5" bestFit="1" customWidth="1"/>
    <col min="8" max="8" width="8.625" style="59" bestFit="1" customWidth="1"/>
    <col min="9" max="9" width="12.875" bestFit="1" customWidth="1"/>
    <col min="10" max="10" width="38.375" style="7" customWidth="1"/>
    <col min="11" max="11" width="16" style="7" customWidth="1"/>
    <col min="12" max="12" width="9.25" customWidth="1"/>
    <col min="13" max="13" width="9" style="59" customWidth="1"/>
    <col min="14" max="14" width="9.625" style="59" customWidth="1"/>
    <col min="15" max="15" width="8" bestFit="1" customWidth="1"/>
    <col min="16" max="16" width="14" bestFit="1" customWidth="1"/>
  </cols>
  <sheetData>
    <row r="1" spans="1:16" s="1" customFormat="1" ht="14.25" customHeight="1" x14ac:dyDescent="0.2">
      <c r="A1" s="2" t="s">
        <v>87</v>
      </c>
      <c r="B1" s="2" t="s">
        <v>88</v>
      </c>
      <c r="C1" s="2" t="s">
        <v>4596</v>
      </c>
      <c r="D1" s="2" t="s">
        <v>95</v>
      </c>
      <c r="E1" s="2" t="s">
        <v>4597</v>
      </c>
      <c r="F1" s="2" t="s">
        <v>4598</v>
      </c>
      <c r="G1" s="2" t="s">
        <v>89</v>
      </c>
      <c r="H1" s="2" t="s">
        <v>4599</v>
      </c>
      <c r="I1" s="2" t="s">
        <v>4600</v>
      </c>
      <c r="J1" s="58" t="s">
        <v>80</v>
      </c>
      <c r="K1" s="58" t="s">
        <v>4601</v>
      </c>
      <c r="L1" s="2" t="s">
        <v>4602</v>
      </c>
      <c r="M1" s="2" t="s">
        <v>4603</v>
      </c>
      <c r="N1" s="2" t="s">
        <v>4604</v>
      </c>
      <c r="O1" s="2" t="s">
        <v>4605</v>
      </c>
      <c r="P1" s="2" t="s">
        <v>4606</v>
      </c>
    </row>
    <row r="2" spans="1:16" ht="14.25" customHeight="1" x14ac:dyDescent="0.2">
      <c r="A2" t="s">
        <v>114</v>
      </c>
      <c r="B2" t="s">
        <v>115</v>
      </c>
      <c r="C2" t="s">
        <v>116</v>
      </c>
      <c r="D2" t="s">
        <v>123</v>
      </c>
      <c r="E2" s="6" t="s">
        <v>4607</v>
      </c>
      <c r="F2" s="6">
        <v>1</v>
      </c>
      <c r="G2" t="s">
        <v>124</v>
      </c>
      <c r="H2" s="59">
        <v>3000</v>
      </c>
      <c r="I2" t="s">
        <v>4608</v>
      </c>
      <c r="J2" s="63" t="s">
        <v>4609</v>
      </c>
      <c r="K2" s="52" t="s">
        <v>4610</v>
      </c>
      <c r="L2">
        <v>5</v>
      </c>
      <c r="M2" s="59">
        <v>7350</v>
      </c>
      <c r="N2" s="59" t="s">
        <v>4611</v>
      </c>
      <c r="O2">
        <v>2500</v>
      </c>
      <c r="P2" s="60">
        <f t="shared" ref="P2:P65" si="0">IFERROR(O2/H2*10," ")</f>
        <v>8.3333333333333339</v>
      </c>
    </row>
    <row r="3" spans="1:16" ht="14.25" customHeight="1" x14ac:dyDescent="0.2">
      <c r="A3" t="s">
        <v>114</v>
      </c>
      <c r="B3" t="s">
        <v>115</v>
      </c>
      <c r="C3" t="s">
        <v>116</v>
      </c>
      <c r="D3" t="s">
        <v>123</v>
      </c>
      <c r="E3" s="6" t="s">
        <v>4612</v>
      </c>
      <c r="F3" s="6">
        <v>2</v>
      </c>
      <c r="G3" t="s">
        <v>125</v>
      </c>
      <c r="H3" s="59">
        <v>6000</v>
      </c>
      <c r="I3" t="s">
        <v>4613</v>
      </c>
      <c r="J3" s="63" t="s">
        <v>4614</v>
      </c>
      <c r="K3" s="52" t="s">
        <v>4615</v>
      </c>
      <c r="L3" t="s">
        <v>137</v>
      </c>
      <c r="M3" s="59" t="s">
        <v>137</v>
      </c>
      <c r="N3" s="59" t="s">
        <v>4616</v>
      </c>
      <c r="O3">
        <v>5000</v>
      </c>
      <c r="P3" s="60">
        <f t="shared" si="0"/>
        <v>8.3333333333333339</v>
      </c>
    </row>
    <row r="4" spans="1:16" ht="14.25" customHeight="1" x14ac:dyDescent="0.2">
      <c r="A4" t="s">
        <v>139</v>
      </c>
      <c r="B4" t="s">
        <v>140</v>
      </c>
      <c r="C4" t="s">
        <v>141</v>
      </c>
      <c r="D4" t="s">
        <v>123</v>
      </c>
      <c r="E4" s="6" t="s">
        <v>4617</v>
      </c>
      <c r="F4" s="6">
        <v>1</v>
      </c>
      <c r="G4" t="s">
        <v>146</v>
      </c>
      <c r="H4" s="59">
        <v>2304</v>
      </c>
      <c r="I4" t="s">
        <v>4618</v>
      </c>
      <c r="J4" s="63" t="s">
        <v>4619</v>
      </c>
      <c r="K4" s="52" t="s">
        <v>4620</v>
      </c>
      <c r="L4" t="s">
        <v>137</v>
      </c>
      <c r="M4" s="59" t="s">
        <v>137</v>
      </c>
      <c r="N4" s="59" t="s">
        <v>4616</v>
      </c>
      <c r="O4">
        <v>700</v>
      </c>
      <c r="P4" s="60">
        <f t="shared" si="0"/>
        <v>3.0381944444444442</v>
      </c>
    </row>
    <row r="5" spans="1:16" ht="14.25" customHeight="1" x14ac:dyDescent="0.2">
      <c r="A5" t="s">
        <v>139</v>
      </c>
      <c r="B5" t="s">
        <v>140</v>
      </c>
      <c r="C5" t="s">
        <v>141</v>
      </c>
      <c r="D5" t="s">
        <v>123</v>
      </c>
      <c r="E5" s="6" t="s">
        <v>4621</v>
      </c>
      <c r="F5" s="6">
        <v>2</v>
      </c>
      <c r="G5" t="s">
        <v>147</v>
      </c>
      <c r="H5" s="59">
        <v>2650</v>
      </c>
      <c r="I5" t="s">
        <v>4622</v>
      </c>
      <c r="J5" s="63" t="s">
        <v>4623</v>
      </c>
      <c r="K5" s="61" t="s">
        <v>4624</v>
      </c>
      <c r="L5" t="s">
        <v>137</v>
      </c>
      <c r="M5" s="59" t="s">
        <v>137</v>
      </c>
      <c r="N5" s="59" t="s">
        <v>4616</v>
      </c>
      <c r="O5">
        <v>7200</v>
      </c>
      <c r="P5" s="62">
        <f t="shared" si="0"/>
        <v>27.169811320754715</v>
      </c>
    </row>
    <row r="6" spans="1:16" ht="14.25" customHeight="1" x14ac:dyDescent="0.2">
      <c r="A6" t="s">
        <v>160</v>
      </c>
      <c r="B6" t="s">
        <v>161</v>
      </c>
      <c r="C6" t="s">
        <v>162</v>
      </c>
      <c r="D6" t="s">
        <v>123</v>
      </c>
      <c r="E6" s="6" t="s">
        <v>4625</v>
      </c>
      <c r="F6" s="6">
        <v>1</v>
      </c>
      <c r="G6" t="s">
        <v>167</v>
      </c>
      <c r="H6" s="59">
        <v>2630</v>
      </c>
      <c r="I6" t="s">
        <v>4608</v>
      </c>
      <c r="J6" s="63" t="s">
        <v>4626</v>
      </c>
      <c r="K6" s="52" t="s">
        <v>4627</v>
      </c>
      <c r="L6">
        <v>4</v>
      </c>
      <c r="M6" s="59">
        <v>8416</v>
      </c>
      <c r="N6" s="59" t="s">
        <v>4611</v>
      </c>
      <c r="O6">
        <v>1600</v>
      </c>
      <c r="P6" s="60">
        <f t="shared" si="0"/>
        <v>6.083650190114068</v>
      </c>
    </row>
    <row r="7" spans="1:16" ht="14.25" customHeight="1" x14ac:dyDescent="0.2">
      <c r="A7" t="s">
        <v>160</v>
      </c>
      <c r="B7" t="s">
        <v>161</v>
      </c>
      <c r="C7" t="s">
        <v>162</v>
      </c>
      <c r="D7" t="s">
        <v>123</v>
      </c>
      <c r="E7" s="6" t="s">
        <v>4628</v>
      </c>
      <c r="F7" s="6">
        <v>2</v>
      </c>
      <c r="G7" t="s">
        <v>168</v>
      </c>
      <c r="H7" s="59">
        <v>5600</v>
      </c>
      <c r="I7" t="s">
        <v>4629</v>
      </c>
      <c r="J7" s="63" t="s">
        <v>4630</v>
      </c>
      <c r="K7" s="52" t="s">
        <v>4631</v>
      </c>
      <c r="L7" t="s">
        <v>137</v>
      </c>
      <c r="M7" s="59" t="s">
        <v>137</v>
      </c>
      <c r="N7" s="59" t="s">
        <v>4616</v>
      </c>
      <c r="O7" t="s">
        <v>4632</v>
      </c>
      <c r="P7" s="60" t="str">
        <f t="shared" si="0"/>
        <v xml:space="preserve"> </v>
      </c>
    </row>
    <row r="8" spans="1:16" ht="14.25" customHeight="1" x14ac:dyDescent="0.2">
      <c r="A8" t="s">
        <v>180</v>
      </c>
      <c r="B8" t="s">
        <v>181</v>
      </c>
      <c r="C8" t="s">
        <v>182</v>
      </c>
      <c r="D8" t="s">
        <v>123</v>
      </c>
      <c r="E8" s="6" t="s">
        <v>4633</v>
      </c>
      <c r="F8" s="6">
        <v>1</v>
      </c>
      <c r="G8" t="s">
        <v>187</v>
      </c>
      <c r="H8" s="59">
        <v>2325</v>
      </c>
      <c r="I8" t="s">
        <v>4608</v>
      </c>
      <c r="J8" s="63" t="s">
        <v>4634</v>
      </c>
      <c r="K8" s="52" t="s">
        <v>4635</v>
      </c>
      <c r="L8">
        <v>6</v>
      </c>
      <c r="M8" s="59">
        <v>11392</v>
      </c>
      <c r="N8" s="59" t="s">
        <v>4611</v>
      </c>
      <c r="O8">
        <v>2500</v>
      </c>
      <c r="P8" s="62">
        <f t="shared" si="0"/>
        <v>10.75268817204301</v>
      </c>
    </row>
    <row r="9" spans="1:16" ht="14.25" customHeight="1" x14ac:dyDescent="0.2">
      <c r="A9" t="s">
        <v>180</v>
      </c>
      <c r="B9" t="s">
        <v>181</v>
      </c>
      <c r="C9" t="s">
        <v>182</v>
      </c>
      <c r="D9" t="s">
        <v>123</v>
      </c>
      <c r="E9" s="6" t="s">
        <v>4636</v>
      </c>
      <c r="F9" s="6">
        <v>2</v>
      </c>
      <c r="G9" t="s">
        <v>188</v>
      </c>
      <c r="H9" s="59">
        <v>4730</v>
      </c>
      <c r="I9" t="s">
        <v>4637</v>
      </c>
      <c r="J9" s="63" t="s">
        <v>4638</v>
      </c>
      <c r="K9" s="52" t="s">
        <v>4639</v>
      </c>
      <c r="L9" t="s">
        <v>137</v>
      </c>
      <c r="M9" s="59" t="s">
        <v>137</v>
      </c>
      <c r="N9" s="59" t="s">
        <v>4616</v>
      </c>
      <c r="O9">
        <v>1700</v>
      </c>
      <c r="P9" s="60">
        <f t="shared" si="0"/>
        <v>3.5940803382663851</v>
      </c>
    </row>
    <row r="10" spans="1:16" ht="14.25" customHeight="1" x14ac:dyDescent="0.2">
      <c r="A10" t="s">
        <v>199</v>
      </c>
      <c r="B10" t="s">
        <v>200</v>
      </c>
      <c r="C10" t="s">
        <v>201</v>
      </c>
      <c r="D10" t="s">
        <v>123</v>
      </c>
      <c r="E10" s="6" t="s">
        <v>4640</v>
      </c>
      <c r="F10" s="6">
        <v>1</v>
      </c>
      <c r="G10" t="s">
        <v>206</v>
      </c>
      <c r="H10" s="59">
        <v>2875</v>
      </c>
      <c r="I10" t="s">
        <v>4641</v>
      </c>
      <c r="J10" s="63" t="s">
        <v>4642</v>
      </c>
      <c r="K10" s="52" t="s">
        <v>4643</v>
      </c>
      <c r="L10">
        <v>5</v>
      </c>
      <c r="M10" s="59">
        <v>7187</v>
      </c>
      <c r="N10" s="59" t="s">
        <v>4611</v>
      </c>
      <c r="O10">
        <v>1600</v>
      </c>
      <c r="P10" s="60">
        <f t="shared" si="0"/>
        <v>5.5652173913043477</v>
      </c>
    </row>
    <row r="11" spans="1:16" ht="14.25" customHeight="1" x14ac:dyDescent="0.2">
      <c r="A11" t="s">
        <v>199</v>
      </c>
      <c r="B11" t="s">
        <v>200</v>
      </c>
      <c r="C11" t="s">
        <v>201</v>
      </c>
      <c r="D11" t="s">
        <v>123</v>
      </c>
      <c r="E11" s="6" t="s">
        <v>4644</v>
      </c>
      <c r="F11" s="6">
        <v>2</v>
      </c>
      <c r="G11" t="s">
        <v>207</v>
      </c>
      <c r="H11" s="59">
        <v>5700</v>
      </c>
      <c r="I11" t="s">
        <v>4645</v>
      </c>
      <c r="J11" s="63" t="s">
        <v>4646</v>
      </c>
      <c r="K11" s="52" t="s">
        <v>4647</v>
      </c>
      <c r="L11" t="s">
        <v>137</v>
      </c>
      <c r="M11" s="59" t="s">
        <v>137</v>
      </c>
      <c r="N11" s="59" t="s">
        <v>4616</v>
      </c>
      <c r="O11">
        <v>2000</v>
      </c>
      <c r="P11" s="60">
        <f t="shared" si="0"/>
        <v>3.5087719298245612</v>
      </c>
    </row>
    <row r="12" spans="1:16" ht="14.25" customHeight="1" x14ac:dyDescent="0.2">
      <c r="A12" t="s">
        <v>217</v>
      </c>
      <c r="B12" t="s">
        <v>218</v>
      </c>
      <c r="C12" t="s">
        <v>219</v>
      </c>
      <c r="D12" t="s">
        <v>123</v>
      </c>
      <c r="E12" s="6" t="s">
        <v>4648</v>
      </c>
      <c r="F12" s="6">
        <v>1</v>
      </c>
      <c r="G12" t="s">
        <v>224</v>
      </c>
      <c r="H12" s="59">
        <v>2590</v>
      </c>
      <c r="I12" t="s">
        <v>4649</v>
      </c>
      <c r="J12" s="63" t="s">
        <v>4650</v>
      </c>
      <c r="K12" s="52" t="s">
        <v>4651</v>
      </c>
      <c r="L12">
        <v>5</v>
      </c>
      <c r="M12" s="59">
        <v>9065</v>
      </c>
      <c r="N12" s="59" t="s">
        <v>4611</v>
      </c>
      <c r="O12">
        <v>1600</v>
      </c>
      <c r="P12" s="60">
        <f t="shared" si="0"/>
        <v>6.1776061776061777</v>
      </c>
    </row>
    <row r="13" spans="1:16" ht="14.25" customHeight="1" x14ac:dyDescent="0.2">
      <c r="A13" t="s">
        <v>217</v>
      </c>
      <c r="B13" t="s">
        <v>218</v>
      </c>
      <c r="C13" t="s">
        <v>219</v>
      </c>
      <c r="D13" t="s">
        <v>123</v>
      </c>
      <c r="E13" s="6" t="s">
        <v>4652</v>
      </c>
      <c r="F13" s="6">
        <v>2</v>
      </c>
      <c r="G13" t="s">
        <v>225</v>
      </c>
      <c r="H13" s="59">
        <v>3544</v>
      </c>
      <c r="I13" t="s">
        <v>4622</v>
      </c>
      <c r="J13" s="63" t="s">
        <v>4653</v>
      </c>
      <c r="K13" s="52" t="s">
        <v>4653</v>
      </c>
      <c r="L13" t="s">
        <v>137</v>
      </c>
      <c r="M13" s="59" t="s">
        <v>137</v>
      </c>
      <c r="N13" s="59" t="s">
        <v>4616</v>
      </c>
      <c r="O13" t="s">
        <v>4632</v>
      </c>
      <c r="P13" s="60" t="str">
        <f t="shared" si="0"/>
        <v xml:space="preserve"> </v>
      </c>
    </row>
    <row r="14" spans="1:16" ht="14.25" customHeight="1" x14ac:dyDescent="0.2">
      <c r="A14" t="s">
        <v>234</v>
      </c>
      <c r="B14" t="s">
        <v>235</v>
      </c>
      <c r="C14" t="s">
        <v>236</v>
      </c>
      <c r="D14" t="s">
        <v>123</v>
      </c>
      <c r="E14" s="6" t="s">
        <v>4654</v>
      </c>
      <c r="F14" s="6">
        <v>1</v>
      </c>
      <c r="G14" t="s">
        <v>242</v>
      </c>
      <c r="H14" s="59">
        <v>2500</v>
      </c>
      <c r="I14" t="s">
        <v>4622</v>
      </c>
      <c r="J14" s="63" t="s">
        <v>4655</v>
      </c>
      <c r="K14" s="52" t="s">
        <v>4656</v>
      </c>
      <c r="L14" t="s">
        <v>137</v>
      </c>
      <c r="M14" s="59" t="s">
        <v>137</v>
      </c>
      <c r="N14" s="59" t="s">
        <v>4616</v>
      </c>
      <c r="O14">
        <v>1500</v>
      </c>
      <c r="P14" s="60">
        <f t="shared" si="0"/>
        <v>6</v>
      </c>
    </row>
    <row r="15" spans="1:16" ht="14.25" customHeight="1" x14ac:dyDescent="0.2">
      <c r="A15" t="s">
        <v>234</v>
      </c>
      <c r="B15" t="s">
        <v>235</v>
      </c>
      <c r="C15" t="s">
        <v>236</v>
      </c>
      <c r="D15" t="s">
        <v>123</v>
      </c>
      <c r="E15" s="6" t="s">
        <v>4633</v>
      </c>
      <c r="F15" s="6">
        <v>2</v>
      </c>
      <c r="G15" t="s">
        <v>243</v>
      </c>
      <c r="H15" s="59">
        <v>4593</v>
      </c>
      <c r="I15" t="s">
        <v>4629</v>
      </c>
      <c r="J15" s="63" t="s">
        <v>4657</v>
      </c>
      <c r="K15" s="52" t="s">
        <v>4658</v>
      </c>
      <c r="L15">
        <v>3</v>
      </c>
      <c r="M15" s="59">
        <v>9277</v>
      </c>
      <c r="N15" s="59" t="s">
        <v>4611</v>
      </c>
      <c r="O15">
        <v>1800</v>
      </c>
      <c r="P15" s="60">
        <f t="shared" si="0"/>
        <v>3.9190071848465058</v>
      </c>
    </row>
    <row r="16" spans="1:16" ht="14.25" customHeight="1" x14ac:dyDescent="0.2">
      <c r="A16" t="s">
        <v>253</v>
      </c>
      <c r="B16" t="s">
        <v>254</v>
      </c>
      <c r="C16" t="s">
        <v>255</v>
      </c>
      <c r="D16" t="s">
        <v>123</v>
      </c>
      <c r="E16" s="6" t="s">
        <v>4659</v>
      </c>
      <c r="F16" s="6">
        <v>1</v>
      </c>
      <c r="G16" t="s">
        <v>261</v>
      </c>
      <c r="H16" s="59">
        <v>2376</v>
      </c>
      <c r="I16" t="s">
        <v>4660</v>
      </c>
      <c r="J16" s="63" t="s">
        <v>4661</v>
      </c>
      <c r="K16" s="52" t="s">
        <v>4662</v>
      </c>
      <c r="L16" t="s">
        <v>137</v>
      </c>
      <c r="M16" s="59" t="s">
        <v>137</v>
      </c>
      <c r="N16" s="59" t="s">
        <v>4616</v>
      </c>
      <c r="O16">
        <v>1600</v>
      </c>
      <c r="P16" s="60">
        <f t="shared" si="0"/>
        <v>6.7340067340067344</v>
      </c>
    </row>
    <row r="17" spans="1:16" ht="14.25" customHeight="1" x14ac:dyDescent="0.2">
      <c r="A17" t="s">
        <v>253</v>
      </c>
      <c r="B17" t="s">
        <v>254</v>
      </c>
      <c r="C17" t="s">
        <v>255</v>
      </c>
      <c r="D17" t="s">
        <v>123</v>
      </c>
      <c r="E17" s="6" t="s">
        <v>4628</v>
      </c>
      <c r="F17" s="6">
        <v>2</v>
      </c>
      <c r="G17" t="s">
        <v>262</v>
      </c>
      <c r="H17" s="59">
        <v>6610</v>
      </c>
      <c r="I17" t="s">
        <v>4629</v>
      </c>
      <c r="J17" s="63" t="s">
        <v>4663</v>
      </c>
      <c r="K17" s="52" t="s">
        <v>4664</v>
      </c>
      <c r="L17">
        <v>6</v>
      </c>
      <c r="M17" s="59">
        <v>11898</v>
      </c>
      <c r="N17" s="59" t="s">
        <v>4611</v>
      </c>
      <c r="O17" t="s">
        <v>4632</v>
      </c>
      <c r="P17" s="60" t="str">
        <f t="shared" si="0"/>
        <v xml:space="preserve"> </v>
      </c>
    </row>
    <row r="18" spans="1:16" ht="14.25" customHeight="1" x14ac:dyDescent="0.2">
      <c r="A18" t="s">
        <v>270</v>
      </c>
      <c r="B18" t="s">
        <v>271</v>
      </c>
      <c r="C18" t="s">
        <v>272</v>
      </c>
      <c r="D18" t="s">
        <v>123</v>
      </c>
      <c r="E18" s="6" t="s">
        <v>4659</v>
      </c>
      <c r="F18" s="6">
        <v>1</v>
      </c>
      <c r="G18" t="s">
        <v>277</v>
      </c>
      <c r="H18" s="59">
        <v>2376</v>
      </c>
      <c r="I18" t="s">
        <v>4660</v>
      </c>
      <c r="J18" s="63" t="s">
        <v>4665</v>
      </c>
      <c r="K18" s="52" t="s">
        <v>4666</v>
      </c>
      <c r="L18">
        <v>3</v>
      </c>
      <c r="M18" s="59">
        <v>11404</v>
      </c>
      <c r="N18" s="59" t="s">
        <v>4611</v>
      </c>
      <c r="O18">
        <v>1800</v>
      </c>
      <c r="P18" s="60">
        <f t="shared" si="0"/>
        <v>7.5757575757575761</v>
      </c>
    </row>
    <row r="19" spans="1:16" ht="14.25" customHeight="1" x14ac:dyDescent="0.2">
      <c r="A19" t="s">
        <v>270</v>
      </c>
      <c r="B19" t="s">
        <v>271</v>
      </c>
      <c r="C19" t="s">
        <v>272</v>
      </c>
      <c r="D19" t="s">
        <v>123</v>
      </c>
      <c r="E19" s="6" t="s">
        <v>4667</v>
      </c>
      <c r="F19" s="6">
        <v>2</v>
      </c>
      <c r="G19" t="s">
        <v>278</v>
      </c>
      <c r="H19" s="59">
        <v>4880</v>
      </c>
      <c r="I19" t="s">
        <v>4668</v>
      </c>
      <c r="J19" s="63" t="s">
        <v>4669</v>
      </c>
      <c r="K19" s="52" t="s">
        <v>4670</v>
      </c>
      <c r="L19" t="s">
        <v>137</v>
      </c>
      <c r="M19" s="59" t="s">
        <v>137</v>
      </c>
      <c r="N19" s="59" t="s">
        <v>4616</v>
      </c>
      <c r="O19">
        <v>1600</v>
      </c>
      <c r="P19" s="60">
        <f t="shared" si="0"/>
        <v>3.2786885245901636</v>
      </c>
    </row>
    <row r="20" spans="1:16" ht="14.25" customHeight="1" x14ac:dyDescent="0.2">
      <c r="A20" t="s">
        <v>288</v>
      </c>
      <c r="B20" t="s">
        <v>289</v>
      </c>
      <c r="C20" t="s">
        <v>290</v>
      </c>
      <c r="D20" t="s">
        <v>123</v>
      </c>
      <c r="E20" s="6" t="s">
        <v>4659</v>
      </c>
      <c r="F20" s="6">
        <v>1</v>
      </c>
      <c r="G20" t="s">
        <v>295</v>
      </c>
      <c r="H20" s="59">
        <v>2409</v>
      </c>
      <c r="I20" t="s">
        <v>4622</v>
      </c>
      <c r="J20" s="63" t="s">
        <v>4671</v>
      </c>
      <c r="K20" s="52" t="s">
        <v>4672</v>
      </c>
      <c r="L20" t="s">
        <v>137</v>
      </c>
      <c r="M20" s="59" t="s">
        <v>137</v>
      </c>
      <c r="N20" s="59" t="s">
        <v>4616</v>
      </c>
      <c r="O20">
        <v>1600</v>
      </c>
      <c r="P20" s="60">
        <f t="shared" si="0"/>
        <v>6.6417600664176</v>
      </c>
    </row>
    <row r="21" spans="1:16" ht="14.25" customHeight="1" x14ac:dyDescent="0.2">
      <c r="A21" t="s">
        <v>288</v>
      </c>
      <c r="B21" t="s">
        <v>289</v>
      </c>
      <c r="C21" t="s">
        <v>290</v>
      </c>
      <c r="D21" t="s">
        <v>123</v>
      </c>
      <c r="E21" s="6" t="s">
        <v>4673</v>
      </c>
      <c r="F21" s="6">
        <v>2</v>
      </c>
      <c r="G21" t="s">
        <v>296</v>
      </c>
      <c r="H21" s="59">
        <v>7633</v>
      </c>
      <c r="I21" t="s">
        <v>4629</v>
      </c>
      <c r="J21" s="63" t="s">
        <v>4674</v>
      </c>
      <c r="K21" s="52" t="s">
        <v>4675</v>
      </c>
      <c r="L21">
        <v>3</v>
      </c>
      <c r="M21" s="59">
        <v>17174</v>
      </c>
      <c r="N21" s="59" t="s">
        <v>4611</v>
      </c>
      <c r="O21" t="s">
        <v>4632</v>
      </c>
      <c r="P21" s="60" t="str">
        <f t="shared" si="0"/>
        <v xml:space="preserve"> </v>
      </c>
    </row>
    <row r="22" spans="1:16" ht="14.25" customHeight="1" x14ac:dyDescent="0.2">
      <c r="A22" t="s">
        <v>305</v>
      </c>
      <c r="B22" t="s">
        <v>306</v>
      </c>
      <c r="C22" t="s">
        <v>307</v>
      </c>
      <c r="D22" t="s">
        <v>123</v>
      </c>
      <c r="E22" s="6" t="s">
        <v>4659</v>
      </c>
      <c r="F22" s="6">
        <v>1</v>
      </c>
      <c r="G22" t="s">
        <v>312</v>
      </c>
      <c r="H22" s="59">
        <v>2409</v>
      </c>
      <c r="I22" t="s">
        <v>4622</v>
      </c>
      <c r="J22" s="63" t="s">
        <v>4676</v>
      </c>
      <c r="K22" s="52" t="s">
        <v>4677</v>
      </c>
      <c r="L22" t="s">
        <v>137</v>
      </c>
      <c r="M22" s="59" t="s">
        <v>137</v>
      </c>
      <c r="N22" s="59" t="s">
        <v>4616</v>
      </c>
      <c r="O22">
        <v>1600</v>
      </c>
      <c r="P22" s="60">
        <f t="shared" si="0"/>
        <v>6.6417600664176</v>
      </c>
    </row>
    <row r="23" spans="1:16" ht="14.25" customHeight="1" x14ac:dyDescent="0.2">
      <c r="A23" t="s">
        <v>305</v>
      </c>
      <c r="B23" t="s">
        <v>306</v>
      </c>
      <c r="C23" t="s">
        <v>307</v>
      </c>
      <c r="D23" t="s">
        <v>123</v>
      </c>
      <c r="E23" s="6" t="s">
        <v>4678</v>
      </c>
      <c r="F23" s="6">
        <v>2</v>
      </c>
      <c r="G23" t="s">
        <v>313</v>
      </c>
      <c r="H23" s="59">
        <v>5840</v>
      </c>
      <c r="I23" t="s">
        <v>4629</v>
      </c>
      <c r="J23" s="63" t="s">
        <v>4679</v>
      </c>
      <c r="K23" s="52" t="s">
        <v>4680</v>
      </c>
      <c r="L23">
        <v>3</v>
      </c>
      <c r="M23" s="59">
        <v>20148</v>
      </c>
      <c r="N23" s="59" t="s">
        <v>4611</v>
      </c>
      <c r="O23" t="s">
        <v>4632</v>
      </c>
      <c r="P23" s="60" t="str">
        <f t="shared" si="0"/>
        <v xml:space="preserve"> </v>
      </c>
    </row>
    <row r="24" spans="1:16" ht="14.25" customHeight="1" x14ac:dyDescent="0.2">
      <c r="A24" t="s">
        <v>323</v>
      </c>
      <c r="B24" t="s">
        <v>324</v>
      </c>
      <c r="C24" t="s">
        <v>325</v>
      </c>
      <c r="D24" t="s">
        <v>330</v>
      </c>
      <c r="E24" s="6" t="s">
        <v>4628</v>
      </c>
      <c r="F24" s="6">
        <v>1</v>
      </c>
      <c r="G24" t="s">
        <v>331</v>
      </c>
      <c r="H24" s="59">
        <v>2710</v>
      </c>
      <c r="I24" t="s">
        <v>4641</v>
      </c>
      <c r="J24" s="63" t="s">
        <v>4681</v>
      </c>
      <c r="K24" s="52" t="s">
        <v>4682</v>
      </c>
      <c r="L24" t="s">
        <v>137</v>
      </c>
      <c r="M24" s="59" t="s">
        <v>137</v>
      </c>
      <c r="N24" s="59" t="s">
        <v>4616</v>
      </c>
      <c r="O24" t="s">
        <v>4632</v>
      </c>
      <c r="P24" s="60" t="str">
        <f t="shared" si="0"/>
        <v xml:space="preserve"> </v>
      </c>
    </row>
    <row r="25" spans="1:16" ht="14.25" customHeight="1" x14ac:dyDescent="0.2">
      <c r="A25" t="s">
        <v>323</v>
      </c>
      <c r="B25" t="s">
        <v>324</v>
      </c>
      <c r="C25" t="s">
        <v>325</v>
      </c>
      <c r="D25" t="s">
        <v>330</v>
      </c>
      <c r="E25" s="6" t="s">
        <v>4683</v>
      </c>
      <c r="F25" s="6">
        <v>2</v>
      </c>
      <c r="G25" t="s">
        <v>332</v>
      </c>
      <c r="H25" s="59">
        <v>5460</v>
      </c>
      <c r="I25" t="s">
        <v>4618</v>
      </c>
      <c r="J25" s="63" t="s">
        <v>4684</v>
      </c>
      <c r="K25" s="52" t="s">
        <v>4685</v>
      </c>
      <c r="L25">
        <v>5</v>
      </c>
      <c r="M25" s="59">
        <v>10101</v>
      </c>
      <c r="N25" s="59" t="s">
        <v>4611</v>
      </c>
      <c r="O25">
        <f>200*6+600+3*300</f>
        <v>2700</v>
      </c>
      <c r="P25" s="60">
        <f t="shared" si="0"/>
        <v>4.9450549450549453</v>
      </c>
    </row>
    <row r="26" spans="1:16" ht="14.25" customHeight="1" x14ac:dyDescent="0.2">
      <c r="A26" t="s">
        <v>343</v>
      </c>
      <c r="B26" t="s">
        <v>344</v>
      </c>
      <c r="C26" t="s">
        <v>345</v>
      </c>
      <c r="D26" t="s">
        <v>330</v>
      </c>
      <c r="E26" s="6" t="s">
        <v>4686</v>
      </c>
      <c r="F26" s="6">
        <v>1</v>
      </c>
      <c r="G26" t="s">
        <v>350</v>
      </c>
      <c r="H26" s="59">
        <v>3300</v>
      </c>
      <c r="I26" t="s">
        <v>4687</v>
      </c>
      <c r="J26" s="63" t="s">
        <v>4688</v>
      </c>
      <c r="K26" s="52" t="s">
        <v>4689</v>
      </c>
      <c r="L26">
        <v>6</v>
      </c>
      <c r="M26" s="59">
        <v>8910</v>
      </c>
      <c r="N26" s="59" t="s">
        <v>4611</v>
      </c>
      <c r="O26">
        <v>2700</v>
      </c>
      <c r="P26" s="60">
        <f t="shared" si="0"/>
        <v>8.1818181818181817</v>
      </c>
    </row>
    <row r="27" spans="1:16" ht="14.25" customHeight="1" x14ac:dyDescent="0.2">
      <c r="A27" t="s">
        <v>343</v>
      </c>
      <c r="B27" t="s">
        <v>344</v>
      </c>
      <c r="C27" t="s">
        <v>345</v>
      </c>
      <c r="D27" t="s">
        <v>330</v>
      </c>
      <c r="E27" s="6" t="s">
        <v>4659</v>
      </c>
      <c r="F27" s="6">
        <v>2</v>
      </c>
      <c r="G27" t="s">
        <v>351</v>
      </c>
      <c r="H27" s="59">
        <v>7500</v>
      </c>
      <c r="I27" t="s">
        <v>4618</v>
      </c>
      <c r="J27" s="63" t="s">
        <v>4690</v>
      </c>
      <c r="K27" s="52" t="s">
        <v>4691</v>
      </c>
      <c r="L27" t="s">
        <v>137</v>
      </c>
      <c r="M27" s="59" t="s">
        <v>137</v>
      </c>
      <c r="N27" s="59" t="s">
        <v>4616</v>
      </c>
      <c r="O27">
        <v>2300</v>
      </c>
      <c r="P27" s="60">
        <f t="shared" si="0"/>
        <v>3.0666666666666664</v>
      </c>
    </row>
    <row r="28" spans="1:16" ht="14.25" customHeight="1" x14ac:dyDescent="0.2">
      <c r="A28" t="s">
        <v>359</v>
      </c>
      <c r="B28" t="s">
        <v>360</v>
      </c>
      <c r="C28" t="s">
        <v>361</v>
      </c>
      <c r="D28" t="s">
        <v>330</v>
      </c>
      <c r="E28" s="6" t="s">
        <v>4692</v>
      </c>
      <c r="F28" s="6">
        <v>1</v>
      </c>
      <c r="G28" t="s">
        <v>366</v>
      </c>
      <c r="H28" s="59">
        <v>3303</v>
      </c>
      <c r="I28" t="s">
        <v>4693</v>
      </c>
      <c r="J28" s="63" t="s">
        <v>4694</v>
      </c>
      <c r="K28" s="52" t="s">
        <v>4695</v>
      </c>
      <c r="L28">
        <v>5</v>
      </c>
      <c r="M28" s="59">
        <v>10569</v>
      </c>
      <c r="N28" s="59" t="s">
        <v>4611</v>
      </c>
      <c r="O28">
        <v>2800</v>
      </c>
      <c r="P28" s="60">
        <f t="shared" si="0"/>
        <v>8.4771419921283684</v>
      </c>
    </row>
    <row r="29" spans="1:16" ht="14.25" customHeight="1" x14ac:dyDescent="0.2">
      <c r="A29" t="s">
        <v>359</v>
      </c>
      <c r="B29" t="s">
        <v>360</v>
      </c>
      <c r="C29" t="s">
        <v>361</v>
      </c>
      <c r="D29" t="s">
        <v>330</v>
      </c>
      <c r="E29" s="6" t="s">
        <v>4696</v>
      </c>
      <c r="F29" s="6">
        <v>2</v>
      </c>
      <c r="G29" t="s">
        <v>367</v>
      </c>
      <c r="H29" s="59">
        <v>6582</v>
      </c>
      <c r="I29" t="s">
        <v>4629</v>
      </c>
      <c r="J29" s="63" t="s">
        <v>4697</v>
      </c>
      <c r="K29" s="52" t="s">
        <v>4698</v>
      </c>
      <c r="L29" t="s">
        <v>137</v>
      </c>
      <c r="M29" s="59" t="s">
        <v>137</v>
      </c>
      <c r="N29" s="59" t="s">
        <v>4616</v>
      </c>
      <c r="O29" t="s">
        <v>4632</v>
      </c>
      <c r="P29" s="60" t="str">
        <f t="shared" si="0"/>
        <v xml:space="preserve"> </v>
      </c>
    </row>
    <row r="30" spans="1:16" ht="14.25" customHeight="1" x14ac:dyDescent="0.2">
      <c r="A30" t="s">
        <v>375</v>
      </c>
      <c r="B30" t="s">
        <v>376</v>
      </c>
      <c r="C30" t="s">
        <v>377</v>
      </c>
      <c r="D30" t="s">
        <v>330</v>
      </c>
      <c r="E30" s="6" t="s">
        <v>4699</v>
      </c>
      <c r="F30" s="6">
        <v>1</v>
      </c>
      <c r="G30" t="s">
        <v>382</v>
      </c>
      <c r="H30" s="59">
        <v>4500</v>
      </c>
      <c r="I30" t="s">
        <v>4700</v>
      </c>
      <c r="J30" s="63" t="s">
        <v>4701</v>
      </c>
      <c r="K30" s="52" t="s">
        <v>4702</v>
      </c>
      <c r="L30" t="s">
        <v>137</v>
      </c>
      <c r="M30" s="59" t="s">
        <v>137</v>
      </c>
      <c r="N30" s="59" t="s">
        <v>4616</v>
      </c>
      <c r="O30">
        <f>600*3+900</f>
        <v>2700</v>
      </c>
      <c r="P30" s="60">
        <f t="shared" si="0"/>
        <v>6</v>
      </c>
    </row>
    <row r="31" spans="1:16" ht="14.25" customHeight="1" x14ac:dyDescent="0.2">
      <c r="A31" t="s">
        <v>375</v>
      </c>
      <c r="B31" t="s">
        <v>376</v>
      </c>
      <c r="C31" t="s">
        <v>377</v>
      </c>
      <c r="D31" t="s">
        <v>330</v>
      </c>
      <c r="E31" s="6" t="s">
        <v>4696</v>
      </c>
      <c r="F31" s="6">
        <v>2</v>
      </c>
      <c r="G31" t="s">
        <v>383</v>
      </c>
      <c r="H31" s="59">
        <v>4500</v>
      </c>
      <c r="I31" t="s">
        <v>4629</v>
      </c>
      <c r="J31" s="63" t="s">
        <v>4703</v>
      </c>
      <c r="K31" s="52" t="s">
        <v>4703</v>
      </c>
      <c r="L31">
        <v>5</v>
      </c>
      <c r="M31" s="59">
        <v>9285</v>
      </c>
      <c r="N31" s="59" t="s">
        <v>4611</v>
      </c>
      <c r="O31" t="s">
        <v>4632</v>
      </c>
      <c r="P31" s="60" t="str">
        <f t="shared" si="0"/>
        <v xml:space="preserve"> </v>
      </c>
    </row>
    <row r="32" spans="1:16" ht="14.25" customHeight="1" x14ac:dyDescent="0.2">
      <c r="A32" t="s">
        <v>391</v>
      </c>
      <c r="B32" t="s">
        <v>392</v>
      </c>
      <c r="C32" t="s">
        <v>393</v>
      </c>
      <c r="D32" t="s">
        <v>330</v>
      </c>
      <c r="E32" s="6" t="s">
        <v>4648</v>
      </c>
      <c r="F32" s="6">
        <v>1</v>
      </c>
      <c r="G32" t="s">
        <v>398</v>
      </c>
      <c r="H32" s="59">
        <v>2537</v>
      </c>
      <c r="I32" t="s">
        <v>4618</v>
      </c>
      <c r="J32" s="63" t="s">
        <v>4704</v>
      </c>
      <c r="K32" s="52" t="s">
        <v>4705</v>
      </c>
      <c r="L32">
        <v>3</v>
      </c>
      <c r="M32" s="59">
        <v>5835</v>
      </c>
      <c r="N32" s="59" t="s">
        <v>4611</v>
      </c>
      <c r="O32">
        <v>3200</v>
      </c>
      <c r="P32" s="60">
        <f t="shared" si="0"/>
        <v>12.61332282223098</v>
      </c>
    </row>
    <row r="33" spans="1:16" ht="14.25" customHeight="1" x14ac:dyDescent="0.2">
      <c r="A33" t="s">
        <v>391</v>
      </c>
      <c r="B33" t="s">
        <v>392</v>
      </c>
      <c r="C33" t="s">
        <v>393</v>
      </c>
      <c r="D33" t="s">
        <v>330</v>
      </c>
      <c r="E33" s="6" t="s">
        <v>4628</v>
      </c>
      <c r="F33" s="6">
        <v>2</v>
      </c>
      <c r="G33" t="s">
        <v>399</v>
      </c>
      <c r="H33" s="59">
        <v>4877</v>
      </c>
      <c r="I33" t="s">
        <v>4629</v>
      </c>
      <c r="J33" s="63" t="s">
        <v>4706</v>
      </c>
      <c r="K33" s="52" t="s">
        <v>4707</v>
      </c>
      <c r="L33" t="s">
        <v>137</v>
      </c>
      <c r="M33" s="59" t="s">
        <v>137</v>
      </c>
      <c r="N33" s="59" t="s">
        <v>4616</v>
      </c>
      <c r="O33" t="s">
        <v>4632</v>
      </c>
      <c r="P33" s="60" t="str">
        <f t="shared" si="0"/>
        <v xml:space="preserve"> </v>
      </c>
    </row>
    <row r="34" spans="1:16" ht="14.25" customHeight="1" x14ac:dyDescent="0.2">
      <c r="A34" t="s">
        <v>408</v>
      </c>
      <c r="B34" t="s">
        <v>409</v>
      </c>
      <c r="C34" t="s">
        <v>410</v>
      </c>
      <c r="D34" t="s">
        <v>330</v>
      </c>
      <c r="E34" s="6" t="s">
        <v>4659</v>
      </c>
      <c r="F34" s="6">
        <v>1</v>
      </c>
      <c r="G34" t="s">
        <v>414</v>
      </c>
      <c r="H34" s="59">
        <v>2630</v>
      </c>
      <c r="I34" t="s">
        <v>4708</v>
      </c>
      <c r="J34" s="63" t="s">
        <v>4709</v>
      </c>
      <c r="K34" s="52" t="s">
        <v>4710</v>
      </c>
      <c r="L34">
        <v>5</v>
      </c>
      <c r="M34" s="59">
        <v>6838</v>
      </c>
      <c r="N34" s="59" t="s">
        <v>4611</v>
      </c>
      <c r="O34">
        <v>2100</v>
      </c>
      <c r="P34" s="60">
        <f t="shared" si="0"/>
        <v>7.9847908745247151</v>
      </c>
    </row>
    <row r="35" spans="1:16" ht="14.25" customHeight="1" x14ac:dyDescent="0.2">
      <c r="A35" t="s">
        <v>408</v>
      </c>
      <c r="B35" t="s">
        <v>409</v>
      </c>
      <c r="C35" t="s">
        <v>410</v>
      </c>
      <c r="D35" t="s">
        <v>330</v>
      </c>
      <c r="E35" s="6" t="s">
        <v>4711</v>
      </c>
      <c r="F35" s="6">
        <v>2</v>
      </c>
      <c r="G35" t="s">
        <v>415</v>
      </c>
      <c r="H35" s="59">
        <v>5280</v>
      </c>
      <c r="I35" t="s">
        <v>4712</v>
      </c>
      <c r="J35" s="63" t="s">
        <v>4713</v>
      </c>
      <c r="K35" s="52" t="s">
        <v>4714</v>
      </c>
      <c r="L35" t="s">
        <v>137</v>
      </c>
      <c r="M35" s="59" t="s">
        <v>137</v>
      </c>
      <c r="N35" s="59" t="s">
        <v>4616</v>
      </c>
      <c r="O35">
        <v>2000</v>
      </c>
      <c r="P35" s="60">
        <f t="shared" si="0"/>
        <v>3.7878787878787881</v>
      </c>
    </row>
    <row r="36" spans="1:16" ht="14.25" customHeight="1" x14ac:dyDescent="0.2">
      <c r="A36" t="s">
        <v>422</v>
      </c>
      <c r="B36" t="s">
        <v>423</v>
      </c>
      <c r="C36" t="s">
        <v>424</v>
      </c>
      <c r="D36" t="s">
        <v>429</v>
      </c>
      <c r="E36" s="6" t="s">
        <v>4715</v>
      </c>
      <c r="F36" s="6">
        <v>1</v>
      </c>
      <c r="G36" t="s">
        <v>430</v>
      </c>
      <c r="H36" s="59">
        <v>4480</v>
      </c>
      <c r="I36" t="s">
        <v>4716</v>
      </c>
      <c r="J36" s="63" t="s">
        <v>4717</v>
      </c>
      <c r="K36" s="52" t="s">
        <v>4718</v>
      </c>
      <c r="L36" t="s">
        <v>137</v>
      </c>
      <c r="M36" s="59" t="s">
        <v>137</v>
      </c>
      <c r="N36" s="59" t="s">
        <v>4616</v>
      </c>
      <c r="O36">
        <f>400+1200</f>
        <v>1600</v>
      </c>
      <c r="P36" s="60">
        <f t="shared" si="0"/>
        <v>3.5714285714285716</v>
      </c>
    </row>
    <row r="37" spans="1:16" ht="14.25" customHeight="1" x14ac:dyDescent="0.2">
      <c r="A37" t="s">
        <v>422</v>
      </c>
      <c r="B37" t="s">
        <v>423</v>
      </c>
      <c r="C37" t="s">
        <v>424</v>
      </c>
      <c r="D37" t="s">
        <v>429</v>
      </c>
      <c r="E37" s="6" t="s">
        <v>4719</v>
      </c>
      <c r="F37" s="6">
        <v>2</v>
      </c>
      <c r="G37" t="s">
        <v>431</v>
      </c>
      <c r="H37" s="59">
        <v>4480</v>
      </c>
      <c r="I37" t="s">
        <v>4618</v>
      </c>
      <c r="J37" s="63" t="s">
        <v>4720</v>
      </c>
      <c r="K37" s="52" t="s">
        <v>4721</v>
      </c>
      <c r="L37">
        <v>5</v>
      </c>
      <c r="M37" s="59">
        <v>10528</v>
      </c>
      <c r="N37" s="59" t="s">
        <v>4611</v>
      </c>
      <c r="O37">
        <v>1400</v>
      </c>
      <c r="P37" s="60">
        <f t="shared" si="0"/>
        <v>3.125</v>
      </c>
    </row>
    <row r="38" spans="1:16" ht="14.25" customHeight="1" x14ac:dyDescent="0.2">
      <c r="A38" t="s">
        <v>441</v>
      </c>
      <c r="B38" t="s">
        <v>442</v>
      </c>
      <c r="C38" t="s">
        <v>443</v>
      </c>
      <c r="D38" t="s">
        <v>429</v>
      </c>
      <c r="E38" s="6" t="s">
        <v>4722</v>
      </c>
      <c r="F38" s="6">
        <v>1</v>
      </c>
      <c r="G38" t="s">
        <v>448</v>
      </c>
      <c r="H38" s="59">
        <v>2720</v>
      </c>
      <c r="I38" t="s">
        <v>4723</v>
      </c>
      <c r="J38" s="63" t="s">
        <v>4724</v>
      </c>
      <c r="K38" s="52" t="s">
        <v>4725</v>
      </c>
      <c r="L38">
        <v>5</v>
      </c>
      <c r="M38" s="59">
        <v>5521</v>
      </c>
      <c r="N38" s="59" t="s">
        <v>4611</v>
      </c>
      <c r="O38">
        <v>2400</v>
      </c>
      <c r="P38" s="60">
        <f t="shared" si="0"/>
        <v>8.8235294117647065</v>
      </c>
    </row>
    <row r="39" spans="1:16" ht="14.25" customHeight="1" x14ac:dyDescent="0.2">
      <c r="A39" t="s">
        <v>441</v>
      </c>
      <c r="B39" t="s">
        <v>442</v>
      </c>
      <c r="C39" t="s">
        <v>443</v>
      </c>
      <c r="D39" t="s">
        <v>429</v>
      </c>
      <c r="E39" s="6" t="s">
        <v>4726</v>
      </c>
      <c r="F39" s="6">
        <v>2</v>
      </c>
      <c r="G39" t="s">
        <v>449</v>
      </c>
      <c r="H39" s="59">
        <v>5280</v>
      </c>
      <c r="I39" t="s">
        <v>4629</v>
      </c>
      <c r="J39" s="63" t="s">
        <v>4727</v>
      </c>
      <c r="K39" s="52" t="s">
        <v>4728</v>
      </c>
      <c r="L39" t="s">
        <v>137</v>
      </c>
      <c r="M39" s="59" t="s">
        <v>137</v>
      </c>
      <c r="N39" s="59" t="s">
        <v>4616</v>
      </c>
      <c r="O39" t="s">
        <v>4632</v>
      </c>
      <c r="P39" s="60" t="str">
        <f t="shared" si="0"/>
        <v xml:space="preserve"> </v>
      </c>
    </row>
    <row r="40" spans="1:16" ht="14.25" customHeight="1" x14ac:dyDescent="0.2">
      <c r="A40" t="s">
        <v>457</v>
      </c>
      <c r="B40" t="s">
        <v>458</v>
      </c>
      <c r="C40" t="s">
        <v>459</v>
      </c>
      <c r="D40" t="s">
        <v>429</v>
      </c>
      <c r="E40" s="6" t="s">
        <v>4729</v>
      </c>
      <c r="F40" s="6">
        <v>1</v>
      </c>
      <c r="G40" t="s">
        <v>464</v>
      </c>
      <c r="H40" s="59">
        <v>2476</v>
      </c>
      <c r="I40" t="s">
        <v>4730</v>
      </c>
      <c r="J40" s="63" t="s">
        <v>4731</v>
      </c>
      <c r="K40" s="52" t="s">
        <v>4732</v>
      </c>
      <c r="L40">
        <v>5</v>
      </c>
      <c r="M40" s="59">
        <v>5571</v>
      </c>
      <c r="N40" s="59" t="s">
        <v>4611</v>
      </c>
      <c r="O40">
        <v>1500</v>
      </c>
      <c r="P40" s="60">
        <f t="shared" si="0"/>
        <v>6.0581583198707589</v>
      </c>
    </row>
    <row r="41" spans="1:16" ht="14.25" customHeight="1" x14ac:dyDescent="0.2">
      <c r="A41" t="s">
        <v>457</v>
      </c>
      <c r="B41" t="s">
        <v>458</v>
      </c>
      <c r="C41" t="s">
        <v>459</v>
      </c>
      <c r="D41" t="s">
        <v>429</v>
      </c>
      <c r="E41" s="6" t="s">
        <v>4733</v>
      </c>
      <c r="F41" s="6">
        <v>2</v>
      </c>
      <c r="G41" t="s">
        <v>465</v>
      </c>
      <c r="H41" s="59">
        <v>7732</v>
      </c>
      <c r="I41" t="s">
        <v>4629</v>
      </c>
      <c r="J41" s="63" t="s">
        <v>4734</v>
      </c>
      <c r="K41" s="52" t="s">
        <v>4735</v>
      </c>
      <c r="L41" t="s">
        <v>137</v>
      </c>
      <c r="M41" s="59" t="s">
        <v>137</v>
      </c>
      <c r="N41" s="59" t="s">
        <v>4616</v>
      </c>
      <c r="O41">
        <f>650*3+700</f>
        <v>2650</v>
      </c>
      <c r="P41" s="60">
        <f t="shared" si="0"/>
        <v>3.4273150543197102</v>
      </c>
    </row>
    <row r="42" spans="1:16" ht="14.25" customHeight="1" x14ac:dyDescent="0.2">
      <c r="A42" t="s">
        <v>475</v>
      </c>
      <c r="B42" t="s">
        <v>476</v>
      </c>
      <c r="C42" t="s">
        <v>477</v>
      </c>
      <c r="D42" t="s">
        <v>429</v>
      </c>
      <c r="E42" s="6" t="s">
        <v>4648</v>
      </c>
      <c r="F42" s="6">
        <v>1</v>
      </c>
      <c r="G42" t="s">
        <v>482</v>
      </c>
      <c r="H42" s="59">
        <v>2400</v>
      </c>
      <c r="I42" t="s">
        <v>4613</v>
      </c>
      <c r="J42" s="63" t="s">
        <v>4736</v>
      </c>
      <c r="K42" s="52" t="s">
        <v>4737</v>
      </c>
      <c r="L42">
        <v>5</v>
      </c>
      <c r="M42" s="59">
        <v>4800</v>
      </c>
      <c r="N42" s="59" t="s">
        <v>4611</v>
      </c>
      <c r="O42">
        <v>1700</v>
      </c>
      <c r="P42" s="60">
        <f t="shared" si="0"/>
        <v>7.0833333333333339</v>
      </c>
    </row>
    <row r="43" spans="1:16" ht="14.25" customHeight="1" x14ac:dyDescent="0.2">
      <c r="A43" t="s">
        <v>475</v>
      </c>
      <c r="B43" t="s">
        <v>476</v>
      </c>
      <c r="C43" t="s">
        <v>477</v>
      </c>
      <c r="D43" t="s">
        <v>429</v>
      </c>
      <c r="E43" s="6" t="s">
        <v>4696</v>
      </c>
      <c r="F43" s="6">
        <v>2</v>
      </c>
      <c r="G43" t="s">
        <v>483</v>
      </c>
      <c r="H43" s="59">
        <v>8940</v>
      </c>
      <c r="I43" t="s">
        <v>4708</v>
      </c>
      <c r="J43" s="63" t="s">
        <v>4738</v>
      </c>
      <c r="K43" s="52" t="s">
        <v>4739</v>
      </c>
      <c r="L43" t="s">
        <v>137</v>
      </c>
      <c r="M43" s="59" t="s">
        <v>137</v>
      </c>
      <c r="N43" s="59" t="s">
        <v>4616</v>
      </c>
      <c r="O43" t="s">
        <v>4632</v>
      </c>
      <c r="P43" s="60" t="str">
        <f t="shared" si="0"/>
        <v xml:space="preserve"> </v>
      </c>
    </row>
    <row r="44" spans="1:16" ht="14.25" customHeight="1" x14ac:dyDescent="0.2">
      <c r="A44" t="s">
        <v>489</v>
      </c>
      <c r="B44" t="s">
        <v>490</v>
      </c>
      <c r="C44" t="s">
        <v>491</v>
      </c>
      <c r="D44" t="s">
        <v>429</v>
      </c>
      <c r="E44" s="6" t="s">
        <v>4740</v>
      </c>
      <c r="F44" s="6">
        <v>1</v>
      </c>
      <c r="G44" t="s">
        <v>496</v>
      </c>
      <c r="H44" s="59">
        <v>4192</v>
      </c>
      <c r="I44" t="s">
        <v>4613</v>
      </c>
      <c r="J44" s="63" t="s">
        <v>4741</v>
      </c>
      <c r="K44" s="52" t="s">
        <v>4742</v>
      </c>
      <c r="L44" t="s">
        <v>137</v>
      </c>
      <c r="M44" s="59" t="s">
        <v>137</v>
      </c>
      <c r="N44" s="59" t="s">
        <v>4616</v>
      </c>
      <c r="O44">
        <f>8*250+800</f>
        <v>2800</v>
      </c>
      <c r="P44" s="60">
        <f t="shared" si="0"/>
        <v>6.6793893129770989</v>
      </c>
    </row>
    <row r="45" spans="1:16" ht="14.25" customHeight="1" x14ac:dyDescent="0.2">
      <c r="A45" t="s">
        <v>489</v>
      </c>
      <c r="B45" t="s">
        <v>490</v>
      </c>
      <c r="C45" t="s">
        <v>491</v>
      </c>
      <c r="D45" t="s">
        <v>429</v>
      </c>
      <c r="E45" s="6" t="s">
        <v>4673</v>
      </c>
      <c r="F45" s="6">
        <v>2</v>
      </c>
      <c r="G45" t="s">
        <v>497</v>
      </c>
      <c r="H45" s="59">
        <v>10894</v>
      </c>
      <c r="I45" t="s">
        <v>4629</v>
      </c>
      <c r="J45" s="63" t="s">
        <v>4743</v>
      </c>
      <c r="K45" s="52" t="s">
        <v>4744</v>
      </c>
      <c r="L45">
        <v>4</v>
      </c>
      <c r="M45" s="59">
        <v>18846</v>
      </c>
      <c r="N45" s="59" t="s">
        <v>4611</v>
      </c>
      <c r="O45" t="s">
        <v>4632</v>
      </c>
      <c r="P45" s="60" t="str">
        <f t="shared" si="0"/>
        <v xml:space="preserve"> </v>
      </c>
    </row>
    <row r="46" spans="1:16" ht="14.25" customHeight="1" x14ac:dyDescent="0.2">
      <c r="A46" t="s">
        <v>506</v>
      </c>
      <c r="B46" t="s">
        <v>507</v>
      </c>
      <c r="C46" t="s">
        <v>508</v>
      </c>
      <c r="D46" t="s">
        <v>429</v>
      </c>
      <c r="E46" s="6" t="s">
        <v>4648</v>
      </c>
      <c r="F46" s="6">
        <v>1</v>
      </c>
      <c r="G46" t="s">
        <v>513</v>
      </c>
      <c r="H46" s="59">
        <v>2311</v>
      </c>
      <c r="I46" t="s">
        <v>4629</v>
      </c>
      <c r="J46" s="63" t="s">
        <v>4745</v>
      </c>
      <c r="K46" s="52" t="s">
        <v>4746</v>
      </c>
      <c r="L46" t="s">
        <v>137</v>
      </c>
      <c r="M46" s="59" t="s">
        <v>137</v>
      </c>
      <c r="N46" s="59" t="s">
        <v>4616</v>
      </c>
      <c r="O46">
        <f>6*360</f>
        <v>2160</v>
      </c>
      <c r="P46" s="60">
        <f t="shared" si="0"/>
        <v>9.3466032020770236</v>
      </c>
    </row>
    <row r="47" spans="1:16" ht="14.25" customHeight="1" x14ac:dyDescent="0.2">
      <c r="A47" t="s">
        <v>506</v>
      </c>
      <c r="B47" t="s">
        <v>507</v>
      </c>
      <c r="C47" t="s">
        <v>508</v>
      </c>
      <c r="D47" t="s">
        <v>429</v>
      </c>
      <c r="E47" s="6" t="s">
        <v>4659</v>
      </c>
      <c r="F47" s="6">
        <v>2</v>
      </c>
      <c r="G47" t="s">
        <v>514</v>
      </c>
      <c r="H47" s="59">
        <v>4685</v>
      </c>
      <c r="I47" t="s">
        <v>4629</v>
      </c>
      <c r="J47" s="63" t="s">
        <v>4747</v>
      </c>
      <c r="K47" s="52" t="s">
        <v>4748</v>
      </c>
      <c r="L47" t="s">
        <v>137</v>
      </c>
      <c r="M47" s="59" t="s">
        <v>137</v>
      </c>
      <c r="N47" s="59" t="s">
        <v>4616</v>
      </c>
      <c r="O47">
        <v>1800</v>
      </c>
      <c r="P47" s="60">
        <f t="shared" si="0"/>
        <v>3.8420490928495199</v>
      </c>
    </row>
    <row r="48" spans="1:16" ht="14.25" customHeight="1" x14ac:dyDescent="0.2">
      <c r="A48" t="s">
        <v>523</v>
      </c>
      <c r="B48" t="s">
        <v>524</v>
      </c>
      <c r="C48" t="s">
        <v>525</v>
      </c>
      <c r="D48" t="s">
        <v>429</v>
      </c>
      <c r="E48" s="6" t="s">
        <v>4659</v>
      </c>
      <c r="F48" s="6">
        <v>1</v>
      </c>
      <c r="G48" t="s">
        <v>530</v>
      </c>
      <c r="H48" s="59">
        <v>2318</v>
      </c>
      <c r="I48" t="s">
        <v>4700</v>
      </c>
      <c r="J48" s="63" t="s">
        <v>4749</v>
      </c>
      <c r="K48" s="52" t="s">
        <v>4750</v>
      </c>
      <c r="L48">
        <v>5</v>
      </c>
      <c r="M48" s="59">
        <v>4636</v>
      </c>
      <c r="N48" s="59" t="s">
        <v>4611</v>
      </c>
      <c r="O48">
        <v>1800</v>
      </c>
      <c r="P48" s="60">
        <f t="shared" si="0"/>
        <v>7.7653149266609143</v>
      </c>
    </row>
    <row r="49" spans="1:16" ht="14.25" customHeight="1" x14ac:dyDescent="0.2">
      <c r="A49" t="s">
        <v>523</v>
      </c>
      <c r="B49" t="s">
        <v>524</v>
      </c>
      <c r="C49" t="s">
        <v>525</v>
      </c>
      <c r="D49" t="s">
        <v>429</v>
      </c>
      <c r="E49" s="6" t="s">
        <v>4699</v>
      </c>
      <c r="F49" s="6">
        <v>2</v>
      </c>
      <c r="G49" t="s">
        <v>531</v>
      </c>
      <c r="H49" s="59">
        <v>4892</v>
      </c>
      <c r="I49" t="s">
        <v>4751</v>
      </c>
      <c r="J49" s="63" t="s">
        <v>4752</v>
      </c>
      <c r="K49" s="52" t="s">
        <v>4753</v>
      </c>
      <c r="L49" t="s">
        <v>137</v>
      </c>
      <c r="M49" s="59" t="s">
        <v>137</v>
      </c>
      <c r="N49" s="59" t="s">
        <v>4616</v>
      </c>
      <c r="O49">
        <v>1400</v>
      </c>
      <c r="P49" s="60">
        <f t="shared" si="0"/>
        <v>2.8618152085036797</v>
      </c>
    </row>
    <row r="50" spans="1:16" ht="14.25" customHeight="1" x14ac:dyDescent="0.2">
      <c r="A50" t="s">
        <v>536</v>
      </c>
      <c r="B50" t="s">
        <v>537</v>
      </c>
      <c r="C50" t="s">
        <v>538</v>
      </c>
      <c r="D50" t="s">
        <v>543</v>
      </c>
      <c r="E50" s="6" t="s">
        <v>4754</v>
      </c>
      <c r="F50" s="6">
        <v>1</v>
      </c>
      <c r="G50" t="s">
        <v>544</v>
      </c>
      <c r="H50" s="59">
        <v>10450</v>
      </c>
      <c r="I50" t="s">
        <v>4618</v>
      </c>
      <c r="J50" s="63" t="s">
        <v>4755</v>
      </c>
      <c r="K50" s="52" t="s">
        <v>4756</v>
      </c>
      <c r="L50" t="s">
        <v>137</v>
      </c>
      <c r="M50" s="59" t="s">
        <v>137</v>
      </c>
      <c r="N50" s="59" t="s">
        <v>4616</v>
      </c>
      <c r="O50">
        <v>2400</v>
      </c>
      <c r="P50" s="60">
        <f t="shared" si="0"/>
        <v>2.2966507177033493</v>
      </c>
    </row>
    <row r="51" spans="1:16" ht="14.25" customHeight="1" x14ac:dyDescent="0.2">
      <c r="A51" t="s">
        <v>536</v>
      </c>
      <c r="B51" t="s">
        <v>537</v>
      </c>
      <c r="C51" t="s">
        <v>538</v>
      </c>
      <c r="D51" t="s">
        <v>543</v>
      </c>
      <c r="E51" s="6" t="s">
        <v>4757</v>
      </c>
      <c r="F51" s="6">
        <v>2</v>
      </c>
      <c r="G51" t="s">
        <v>545</v>
      </c>
      <c r="H51" s="59">
        <v>3120</v>
      </c>
      <c r="I51" t="s">
        <v>4618</v>
      </c>
      <c r="J51" s="63" t="s">
        <v>4758</v>
      </c>
      <c r="K51" s="52" t="s">
        <v>4759</v>
      </c>
      <c r="L51">
        <v>6</v>
      </c>
      <c r="M51" s="59">
        <v>12544</v>
      </c>
      <c r="N51" s="59" t="s">
        <v>4611</v>
      </c>
      <c r="O51">
        <f>8*430</f>
        <v>3440</v>
      </c>
      <c r="P51" s="60">
        <f t="shared" si="0"/>
        <v>11.025641025641026</v>
      </c>
    </row>
    <row r="52" spans="1:16" ht="14.25" customHeight="1" x14ac:dyDescent="0.2">
      <c r="A52" t="s">
        <v>554</v>
      </c>
      <c r="B52" t="s">
        <v>555</v>
      </c>
      <c r="C52" t="s">
        <v>556</v>
      </c>
      <c r="D52" t="s">
        <v>543</v>
      </c>
      <c r="E52" s="6" t="s">
        <v>4760</v>
      </c>
      <c r="F52" s="6">
        <v>1</v>
      </c>
      <c r="G52" t="s">
        <v>561</v>
      </c>
      <c r="H52" s="59">
        <v>3230</v>
      </c>
      <c r="I52" t="s">
        <v>4618</v>
      </c>
      <c r="J52" s="63" t="s">
        <v>4761</v>
      </c>
      <c r="K52" s="52" t="s">
        <v>4762</v>
      </c>
      <c r="L52">
        <v>4</v>
      </c>
      <c r="M52" s="59">
        <v>8559</v>
      </c>
      <c r="N52" s="59" t="s">
        <v>4611</v>
      </c>
      <c r="O52">
        <v>2000</v>
      </c>
      <c r="P52" s="60">
        <f t="shared" si="0"/>
        <v>6.1919504643962853</v>
      </c>
    </row>
    <row r="53" spans="1:16" ht="14.25" customHeight="1" x14ac:dyDescent="0.2">
      <c r="A53" t="s">
        <v>554</v>
      </c>
      <c r="B53" t="s">
        <v>555</v>
      </c>
      <c r="C53" t="s">
        <v>556</v>
      </c>
      <c r="D53" t="s">
        <v>543</v>
      </c>
      <c r="E53" s="6" t="s">
        <v>4763</v>
      </c>
      <c r="F53" s="6">
        <v>2</v>
      </c>
      <c r="G53" t="s">
        <v>562</v>
      </c>
      <c r="H53" s="59">
        <v>7583</v>
      </c>
      <c r="I53" t="s">
        <v>4618</v>
      </c>
      <c r="J53" s="63" t="s">
        <v>4764</v>
      </c>
      <c r="K53" s="52" t="s">
        <v>4765</v>
      </c>
      <c r="L53" t="s">
        <v>137</v>
      </c>
      <c r="M53" s="59" t="s">
        <v>137</v>
      </c>
      <c r="N53" s="59" t="s">
        <v>4616</v>
      </c>
      <c r="O53" t="s">
        <v>4632</v>
      </c>
      <c r="P53" s="60" t="str">
        <f t="shared" si="0"/>
        <v xml:space="preserve"> </v>
      </c>
    </row>
    <row r="54" spans="1:16" ht="14.25" customHeight="1" x14ac:dyDescent="0.2">
      <c r="A54" t="s">
        <v>572</v>
      </c>
      <c r="B54" t="s">
        <v>573</v>
      </c>
      <c r="C54" t="s">
        <v>574</v>
      </c>
      <c r="D54" t="s">
        <v>543</v>
      </c>
      <c r="E54" s="6" t="s">
        <v>4766</v>
      </c>
      <c r="F54" s="6">
        <v>1</v>
      </c>
      <c r="G54" t="s">
        <v>579</v>
      </c>
      <c r="H54" s="59">
        <v>3849</v>
      </c>
      <c r="I54" t="s">
        <v>4608</v>
      </c>
      <c r="J54" s="63" t="s">
        <v>4767</v>
      </c>
      <c r="K54" s="52" t="s">
        <v>4768</v>
      </c>
      <c r="L54" t="s">
        <v>137</v>
      </c>
      <c r="M54" s="59" t="s">
        <v>137</v>
      </c>
      <c r="N54" s="59" t="s">
        <v>4616</v>
      </c>
      <c r="O54">
        <v>1000</v>
      </c>
      <c r="P54" s="60">
        <f t="shared" si="0"/>
        <v>2.5980774227071968</v>
      </c>
    </row>
    <row r="55" spans="1:16" ht="14.25" customHeight="1" x14ac:dyDescent="0.2">
      <c r="A55" t="s">
        <v>572</v>
      </c>
      <c r="B55" t="s">
        <v>573</v>
      </c>
      <c r="C55" t="s">
        <v>574</v>
      </c>
      <c r="D55" t="s">
        <v>543</v>
      </c>
      <c r="E55" s="6" t="s">
        <v>4769</v>
      </c>
      <c r="F55" s="6">
        <v>2</v>
      </c>
      <c r="G55" t="s">
        <v>580</v>
      </c>
      <c r="H55" s="59">
        <v>8534</v>
      </c>
      <c r="I55" t="s">
        <v>4629</v>
      </c>
      <c r="J55" s="63" t="s">
        <v>4770</v>
      </c>
      <c r="K55" s="52" t="s">
        <v>4771</v>
      </c>
      <c r="L55">
        <v>6</v>
      </c>
      <c r="M55" s="59">
        <v>14934</v>
      </c>
      <c r="N55" s="59" t="s">
        <v>4611</v>
      </c>
      <c r="O55" t="s">
        <v>4632</v>
      </c>
      <c r="P55" s="60" t="str">
        <f t="shared" si="0"/>
        <v xml:space="preserve"> </v>
      </c>
    </row>
    <row r="56" spans="1:16" ht="14.25" customHeight="1" x14ac:dyDescent="0.2">
      <c r="A56" t="s">
        <v>590</v>
      </c>
      <c r="B56" t="s">
        <v>591</v>
      </c>
      <c r="C56" t="s">
        <v>592</v>
      </c>
      <c r="D56" t="s">
        <v>543</v>
      </c>
      <c r="E56" s="6" t="s">
        <v>4633</v>
      </c>
      <c r="F56" s="6">
        <v>1</v>
      </c>
      <c r="G56" t="s">
        <v>597</v>
      </c>
      <c r="H56" s="59">
        <v>3033</v>
      </c>
      <c r="I56" t="s">
        <v>4608</v>
      </c>
      <c r="J56" s="63" t="s">
        <v>4772</v>
      </c>
      <c r="K56" s="52" t="s">
        <v>4773</v>
      </c>
      <c r="L56" t="s">
        <v>137</v>
      </c>
      <c r="M56" s="59" t="s">
        <v>137</v>
      </c>
      <c r="N56" s="59" t="s">
        <v>4616</v>
      </c>
      <c r="O56">
        <f>550+420*9</f>
        <v>4330</v>
      </c>
      <c r="P56" s="60">
        <f t="shared" si="0"/>
        <v>14.276294098252556</v>
      </c>
    </row>
    <row r="57" spans="1:16" ht="14.25" customHeight="1" x14ac:dyDescent="0.2">
      <c r="A57" t="s">
        <v>590</v>
      </c>
      <c r="B57" t="s">
        <v>591</v>
      </c>
      <c r="C57" t="s">
        <v>592</v>
      </c>
      <c r="D57" t="s">
        <v>543</v>
      </c>
      <c r="E57" s="6" t="s">
        <v>4673</v>
      </c>
      <c r="F57" s="6">
        <v>2</v>
      </c>
      <c r="G57" t="s">
        <v>598</v>
      </c>
      <c r="H57" s="59">
        <v>9154</v>
      </c>
      <c r="I57" t="s">
        <v>4629</v>
      </c>
      <c r="J57" s="63" t="s">
        <v>4774</v>
      </c>
      <c r="K57" s="52" t="s">
        <v>4775</v>
      </c>
      <c r="L57">
        <v>4</v>
      </c>
      <c r="M57" s="59">
        <v>13273</v>
      </c>
      <c r="N57" s="59" t="s">
        <v>4611</v>
      </c>
      <c r="O57" t="s">
        <v>4632</v>
      </c>
      <c r="P57" s="60" t="str">
        <f t="shared" si="0"/>
        <v xml:space="preserve"> </v>
      </c>
    </row>
    <row r="58" spans="1:16" ht="14.25" customHeight="1" x14ac:dyDescent="0.2">
      <c r="A58" t="s">
        <v>606</v>
      </c>
      <c r="B58" t="s">
        <v>607</v>
      </c>
      <c r="C58" t="s">
        <v>608</v>
      </c>
      <c r="D58" t="s">
        <v>543</v>
      </c>
      <c r="E58" s="6" t="s">
        <v>4633</v>
      </c>
      <c r="F58" s="6">
        <v>1</v>
      </c>
      <c r="G58" t="s">
        <v>613</v>
      </c>
      <c r="H58" s="59">
        <v>3033</v>
      </c>
      <c r="I58" t="s">
        <v>4776</v>
      </c>
      <c r="J58" s="63" t="s">
        <v>4777</v>
      </c>
      <c r="K58" s="52" t="s">
        <v>4778</v>
      </c>
      <c r="L58" t="s">
        <v>137</v>
      </c>
      <c r="M58" s="59" t="s">
        <v>137</v>
      </c>
      <c r="N58" s="59" t="s">
        <v>4616</v>
      </c>
      <c r="O58">
        <v>2600</v>
      </c>
      <c r="P58" s="60">
        <f t="shared" si="0"/>
        <v>8.5723705901747458</v>
      </c>
    </row>
    <row r="59" spans="1:16" ht="14.25" customHeight="1" x14ac:dyDescent="0.2">
      <c r="A59" t="s">
        <v>606</v>
      </c>
      <c r="B59" t="s">
        <v>607</v>
      </c>
      <c r="C59" t="s">
        <v>608</v>
      </c>
      <c r="D59" t="s">
        <v>543</v>
      </c>
      <c r="E59" s="6" t="s">
        <v>4696</v>
      </c>
      <c r="F59" s="6">
        <v>2</v>
      </c>
      <c r="G59" t="s">
        <v>614</v>
      </c>
      <c r="H59" s="59">
        <v>8000</v>
      </c>
      <c r="I59" t="s">
        <v>4629</v>
      </c>
      <c r="J59" s="63" t="s">
        <v>4779</v>
      </c>
      <c r="K59" s="52" t="s">
        <v>4780</v>
      </c>
      <c r="L59">
        <v>5</v>
      </c>
      <c r="M59" s="59">
        <v>11200</v>
      </c>
      <c r="N59" s="59" t="s">
        <v>4611</v>
      </c>
      <c r="O59" t="s">
        <v>4632</v>
      </c>
      <c r="P59" s="60" t="str">
        <f t="shared" si="0"/>
        <v xml:space="preserve"> </v>
      </c>
    </row>
    <row r="60" spans="1:16" ht="14.25" customHeight="1" x14ac:dyDescent="0.2">
      <c r="A60" t="s">
        <v>623</v>
      </c>
      <c r="B60" t="s">
        <v>624</v>
      </c>
      <c r="C60" t="s">
        <v>625</v>
      </c>
      <c r="D60" t="s">
        <v>543</v>
      </c>
      <c r="E60" s="6" t="s">
        <v>4633</v>
      </c>
      <c r="F60" s="6">
        <v>1</v>
      </c>
      <c r="G60" t="s">
        <v>630</v>
      </c>
      <c r="H60" s="59">
        <v>3033</v>
      </c>
      <c r="I60" t="s">
        <v>4776</v>
      </c>
      <c r="J60" s="63" t="s">
        <v>4781</v>
      </c>
      <c r="K60" s="52" t="s">
        <v>4782</v>
      </c>
      <c r="L60">
        <v>5</v>
      </c>
      <c r="M60" s="59">
        <v>8492</v>
      </c>
      <c r="N60" s="59" t="s">
        <v>4611</v>
      </c>
      <c r="O60">
        <v>2000</v>
      </c>
      <c r="P60" s="60">
        <f t="shared" si="0"/>
        <v>6.5941312232113418</v>
      </c>
    </row>
    <row r="61" spans="1:16" ht="14.25" customHeight="1" x14ac:dyDescent="0.2">
      <c r="A61" t="s">
        <v>623</v>
      </c>
      <c r="B61" t="s">
        <v>624</v>
      </c>
      <c r="C61" t="s">
        <v>625</v>
      </c>
      <c r="D61" t="s">
        <v>543</v>
      </c>
      <c r="E61" s="6" t="s">
        <v>4699</v>
      </c>
      <c r="F61" s="6">
        <v>2</v>
      </c>
      <c r="G61" t="s">
        <v>631</v>
      </c>
      <c r="H61" s="59">
        <v>6016</v>
      </c>
      <c r="I61" t="s">
        <v>4629</v>
      </c>
      <c r="J61" s="63" t="s">
        <v>4783</v>
      </c>
      <c r="K61" s="52" t="s">
        <v>4784</v>
      </c>
      <c r="L61" t="s">
        <v>137</v>
      </c>
      <c r="M61" s="59" t="s">
        <v>137</v>
      </c>
      <c r="N61" s="59" t="s">
        <v>4616</v>
      </c>
      <c r="O61">
        <v>2000</v>
      </c>
      <c r="P61" s="60">
        <f t="shared" si="0"/>
        <v>3.3244680851063828</v>
      </c>
    </row>
    <row r="62" spans="1:16" ht="14.25" customHeight="1" x14ac:dyDescent="0.2">
      <c r="A62" t="s">
        <v>638</v>
      </c>
      <c r="B62" t="s">
        <v>639</v>
      </c>
      <c r="C62" t="s">
        <v>640</v>
      </c>
      <c r="D62" t="s">
        <v>645</v>
      </c>
      <c r="E62" s="6" t="s">
        <v>4785</v>
      </c>
      <c r="F62" s="6">
        <v>1</v>
      </c>
      <c r="G62" t="s">
        <v>646</v>
      </c>
      <c r="H62" s="59">
        <v>5920</v>
      </c>
      <c r="I62" t="s">
        <v>4629</v>
      </c>
      <c r="J62" s="63" t="s">
        <v>4786</v>
      </c>
      <c r="K62" s="52" t="s">
        <v>4787</v>
      </c>
      <c r="L62" t="s">
        <v>137</v>
      </c>
      <c r="M62" s="59" t="s">
        <v>137</v>
      </c>
      <c r="N62" s="59" t="s">
        <v>4616</v>
      </c>
      <c r="O62" t="s">
        <v>4632</v>
      </c>
      <c r="P62" s="60" t="str">
        <f t="shared" si="0"/>
        <v xml:space="preserve"> </v>
      </c>
    </row>
    <row r="63" spans="1:16" ht="14.25" customHeight="1" x14ac:dyDescent="0.2">
      <c r="A63" t="s">
        <v>638</v>
      </c>
      <c r="B63" t="s">
        <v>639</v>
      </c>
      <c r="C63" t="s">
        <v>640</v>
      </c>
      <c r="D63" t="s">
        <v>645</v>
      </c>
      <c r="E63" s="6" t="s">
        <v>4659</v>
      </c>
      <c r="F63" s="6">
        <v>2</v>
      </c>
      <c r="G63" t="s">
        <v>647</v>
      </c>
      <c r="H63" s="59">
        <v>11840</v>
      </c>
      <c r="I63" t="s">
        <v>4730</v>
      </c>
      <c r="J63" s="63" t="s">
        <v>4788</v>
      </c>
      <c r="K63" s="52" t="s">
        <v>4789</v>
      </c>
      <c r="L63">
        <v>4</v>
      </c>
      <c r="M63" s="59">
        <v>10656</v>
      </c>
      <c r="N63" s="59" t="s">
        <v>4611</v>
      </c>
      <c r="O63">
        <f>650*3</f>
        <v>1950</v>
      </c>
      <c r="P63" s="60">
        <f t="shared" si="0"/>
        <v>1.6469594594594594</v>
      </c>
    </row>
    <row r="64" spans="1:16" ht="14.25" customHeight="1" x14ac:dyDescent="0.2">
      <c r="A64" t="s">
        <v>656</v>
      </c>
      <c r="B64" t="s">
        <v>657</v>
      </c>
      <c r="C64" t="s">
        <v>658</v>
      </c>
      <c r="D64" t="s">
        <v>645</v>
      </c>
      <c r="E64" s="6" t="s">
        <v>4790</v>
      </c>
      <c r="F64" s="6">
        <v>1</v>
      </c>
      <c r="G64" t="s">
        <v>663</v>
      </c>
      <c r="H64" s="59">
        <v>13874</v>
      </c>
      <c r="I64" t="s">
        <v>4618</v>
      </c>
      <c r="J64" s="63" t="s">
        <v>4791</v>
      </c>
      <c r="K64" s="52" t="s">
        <v>4792</v>
      </c>
      <c r="L64" t="s">
        <v>137</v>
      </c>
      <c r="M64" s="59" t="s">
        <v>137</v>
      </c>
      <c r="N64" s="59" t="s">
        <v>4616</v>
      </c>
      <c r="O64" t="s">
        <v>4632</v>
      </c>
      <c r="P64" s="60" t="str">
        <f t="shared" si="0"/>
        <v xml:space="preserve"> </v>
      </c>
    </row>
    <row r="65" spans="1:16" ht="14.25" customHeight="1" x14ac:dyDescent="0.2">
      <c r="A65" t="s">
        <v>656</v>
      </c>
      <c r="B65" t="s">
        <v>657</v>
      </c>
      <c r="C65" t="s">
        <v>658</v>
      </c>
      <c r="D65" t="s">
        <v>645</v>
      </c>
      <c r="E65" s="6" t="s">
        <v>4793</v>
      </c>
      <c r="F65" s="6">
        <v>2</v>
      </c>
      <c r="G65" t="s">
        <v>664</v>
      </c>
      <c r="H65" s="59">
        <v>9194</v>
      </c>
      <c r="I65" t="s">
        <v>4629</v>
      </c>
      <c r="J65" s="63" t="s">
        <v>4794</v>
      </c>
      <c r="K65" s="52" t="s">
        <v>4795</v>
      </c>
      <c r="L65">
        <v>6</v>
      </c>
      <c r="M65" s="59">
        <v>13791</v>
      </c>
      <c r="N65" s="59" t="s">
        <v>4611</v>
      </c>
      <c r="O65">
        <v>700</v>
      </c>
      <c r="P65" s="60">
        <f t="shared" si="0"/>
        <v>0.76136610833152052</v>
      </c>
    </row>
    <row r="66" spans="1:16" ht="14.25" customHeight="1" x14ac:dyDescent="0.2">
      <c r="A66" t="s">
        <v>673</v>
      </c>
      <c r="B66" t="s">
        <v>674</v>
      </c>
      <c r="C66" t="s">
        <v>675</v>
      </c>
      <c r="D66" t="s">
        <v>645</v>
      </c>
      <c r="E66" s="6" t="s">
        <v>4796</v>
      </c>
      <c r="F66" s="6">
        <v>1</v>
      </c>
      <c r="G66" t="s">
        <v>680</v>
      </c>
      <c r="H66" s="59">
        <v>3036</v>
      </c>
      <c r="I66" t="s">
        <v>4629</v>
      </c>
      <c r="J66" s="63" t="s">
        <v>4797</v>
      </c>
      <c r="K66" s="52" t="s">
        <v>4798</v>
      </c>
      <c r="L66">
        <v>7</v>
      </c>
      <c r="M66" s="59">
        <v>9411</v>
      </c>
      <c r="N66" s="59" t="s">
        <v>4611</v>
      </c>
      <c r="O66">
        <v>2200</v>
      </c>
      <c r="P66" s="60">
        <f t="shared" ref="P66:P129" si="1">IFERROR(O66/H66*10," ")</f>
        <v>7.2463768115942031</v>
      </c>
    </row>
    <row r="67" spans="1:16" ht="14.25" customHeight="1" x14ac:dyDescent="0.2">
      <c r="A67" t="s">
        <v>673</v>
      </c>
      <c r="B67" t="s">
        <v>674</v>
      </c>
      <c r="C67" t="s">
        <v>675</v>
      </c>
      <c r="D67" t="s">
        <v>645</v>
      </c>
      <c r="E67" s="6" t="s">
        <v>4628</v>
      </c>
      <c r="F67" s="6">
        <v>2</v>
      </c>
      <c r="G67" t="s">
        <v>681</v>
      </c>
      <c r="H67" s="59">
        <v>5054</v>
      </c>
      <c r="I67" t="s">
        <v>4629</v>
      </c>
      <c r="J67" s="63" t="s">
        <v>4799</v>
      </c>
      <c r="K67" s="52" t="s">
        <v>4800</v>
      </c>
      <c r="L67" t="s">
        <v>137</v>
      </c>
      <c r="M67" s="59" t="s">
        <v>137</v>
      </c>
      <c r="N67" s="59" t="s">
        <v>4616</v>
      </c>
      <c r="O67" t="s">
        <v>4632</v>
      </c>
      <c r="P67" s="60" t="str">
        <f t="shared" si="1"/>
        <v xml:space="preserve"> </v>
      </c>
    </row>
    <row r="68" spans="1:16" ht="14.25" customHeight="1" x14ac:dyDescent="0.2">
      <c r="A68" t="s">
        <v>691</v>
      </c>
      <c r="B68" t="s">
        <v>692</v>
      </c>
      <c r="C68" t="s">
        <v>693</v>
      </c>
      <c r="D68" t="s">
        <v>645</v>
      </c>
      <c r="E68" s="6" t="s">
        <v>4648</v>
      </c>
      <c r="F68" s="6">
        <v>1</v>
      </c>
      <c r="G68" t="s">
        <v>698</v>
      </c>
      <c r="H68" s="59">
        <v>2914</v>
      </c>
      <c r="I68" t="s">
        <v>4801</v>
      </c>
      <c r="J68" s="63" t="s">
        <v>4802</v>
      </c>
      <c r="K68" s="52" t="s">
        <v>4803</v>
      </c>
      <c r="L68">
        <v>4</v>
      </c>
      <c r="M68" s="59">
        <v>12821</v>
      </c>
      <c r="N68" s="59" t="s">
        <v>4611</v>
      </c>
      <c r="O68">
        <f>3*850</f>
        <v>2550</v>
      </c>
      <c r="P68" s="60">
        <f t="shared" si="1"/>
        <v>8.75085792724777</v>
      </c>
    </row>
    <row r="69" spans="1:16" ht="14.25" customHeight="1" x14ac:dyDescent="0.2">
      <c r="A69" t="s">
        <v>691</v>
      </c>
      <c r="B69" t="s">
        <v>692</v>
      </c>
      <c r="C69" t="s">
        <v>693</v>
      </c>
      <c r="D69" t="s">
        <v>645</v>
      </c>
      <c r="E69" s="6" t="s">
        <v>4692</v>
      </c>
      <c r="F69" s="6">
        <v>2</v>
      </c>
      <c r="G69" t="s">
        <v>699</v>
      </c>
      <c r="H69" s="59">
        <v>5736</v>
      </c>
      <c r="I69" t="s">
        <v>4804</v>
      </c>
      <c r="J69" s="63" t="s">
        <v>4805</v>
      </c>
      <c r="K69" s="52" t="s">
        <v>4806</v>
      </c>
      <c r="L69" t="s">
        <v>137</v>
      </c>
      <c r="M69" s="59" t="s">
        <v>137</v>
      </c>
      <c r="N69" s="59" t="s">
        <v>4616</v>
      </c>
      <c r="O69">
        <v>2240</v>
      </c>
      <c r="P69" s="60">
        <f t="shared" si="1"/>
        <v>3.9051603905160395</v>
      </c>
    </row>
    <row r="70" spans="1:16" ht="14.25" customHeight="1" x14ac:dyDescent="0.2">
      <c r="A70" t="s">
        <v>709</v>
      </c>
      <c r="B70" t="s">
        <v>710</v>
      </c>
      <c r="C70" t="s">
        <v>711</v>
      </c>
      <c r="D70" t="s">
        <v>645</v>
      </c>
      <c r="E70" s="6" t="s">
        <v>4628</v>
      </c>
      <c r="F70" s="6">
        <v>1</v>
      </c>
      <c r="G70" t="s">
        <v>716</v>
      </c>
      <c r="H70" s="59">
        <v>3817</v>
      </c>
      <c r="I70" t="s">
        <v>4608</v>
      </c>
      <c r="J70" s="63" t="s">
        <v>4807</v>
      </c>
      <c r="K70" s="52" t="s">
        <v>4808</v>
      </c>
      <c r="L70">
        <v>6</v>
      </c>
      <c r="M70" s="59">
        <v>14122</v>
      </c>
      <c r="N70" s="59" t="s">
        <v>4611</v>
      </c>
      <c r="O70" t="s">
        <v>4632</v>
      </c>
      <c r="P70" s="60" t="str">
        <f t="shared" si="1"/>
        <v xml:space="preserve"> </v>
      </c>
    </row>
    <row r="71" spans="1:16" ht="14.25" customHeight="1" x14ac:dyDescent="0.2">
      <c r="A71" t="s">
        <v>709</v>
      </c>
      <c r="B71" t="s">
        <v>710</v>
      </c>
      <c r="C71" t="s">
        <v>711</v>
      </c>
      <c r="D71" t="s">
        <v>645</v>
      </c>
      <c r="E71" s="6" t="s">
        <v>4673</v>
      </c>
      <c r="F71" s="6">
        <v>2</v>
      </c>
      <c r="G71" t="s">
        <v>717</v>
      </c>
      <c r="H71" s="59">
        <v>9154</v>
      </c>
      <c r="I71" t="s">
        <v>4608</v>
      </c>
      <c r="J71" s="63" t="s">
        <v>4809</v>
      </c>
      <c r="K71" s="52" t="s">
        <v>4810</v>
      </c>
      <c r="L71" t="s">
        <v>137</v>
      </c>
      <c r="M71" s="59" t="s">
        <v>137</v>
      </c>
      <c r="N71" s="59" t="s">
        <v>4616</v>
      </c>
      <c r="O71" t="s">
        <v>4632</v>
      </c>
      <c r="P71" s="60" t="str">
        <f t="shared" si="1"/>
        <v xml:space="preserve"> </v>
      </c>
    </row>
    <row r="72" spans="1:16" ht="14.25" customHeight="1" x14ac:dyDescent="0.2">
      <c r="A72" t="s">
        <v>724</v>
      </c>
      <c r="B72" t="s">
        <v>725</v>
      </c>
      <c r="C72" t="s">
        <v>726</v>
      </c>
      <c r="D72" t="s">
        <v>645</v>
      </c>
      <c r="E72" s="6" t="s">
        <v>4811</v>
      </c>
      <c r="F72" s="6">
        <v>1</v>
      </c>
      <c r="G72" t="s">
        <v>731</v>
      </c>
      <c r="H72" s="59">
        <v>2707</v>
      </c>
      <c r="I72" t="s">
        <v>4801</v>
      </c>
      <c r="J72" s="63" t="s">
        <v>4812</v>
      </c>
      <c r="K72" s="52" t="s">
        <v>4813</v>
      </c>
      <c r="L72" t="s">
        <v>137</v>
      </c>
      <c r="M72" s="59" t="s">
        <v>137</v>
      </c>
      <c r="N72" s="59" t="s">
        <v>4616</v>
      </c>
      <c r="O72">
        <f>3*700</f>
        <v>2100</v>
      </c>
      <c r="P72" s="60">
        <f t="shared" si="1"/>
        <v>7.7576653121536756</v>
      </c>
    </row>
    <row r="73" spans="1:16" ht="14.25" customHeight="1" x14ac:dyDescent="0.2">
      <c r="A73" t="s">
        <v>724</v>
      </c>
      <c r="B73" t="s">
        <v>725</v>
      </c>
      <c r="C73" t="s">
        <v>726</v>
      </c>
      <c r="D73" t="s">
        <v>645</v>
      </c>
      <c r="E73" s="6" t="s">
        <v>4814</v>
      </c>
      <c r="F73" s="6">
        <v>2</v>
      </c>
      <c r="G73" t="s">
        <v>732</v>
      </c>
      <c r="H73" s="59">
        <v>6000</v>
      </c>
      <c r="I73" t="s">
        <v>4629</v>
      </c>
      <c r="J73" s="63" t="s">
        <v>4815</v>
      </c>
      <c r="K73" s="52" t="s">
        <v>4816</v>
      </c>
      <c r="L73" t="s">
        <v>137</v>
      </c>
      <c r="M73" s="59" t="s">
        <v>137</v>
      </c>
      <c r="N73" s="59" t="s">
        <v>4616</v>
      </c>
      <c r="O73" t="s">
        <v>4632</v>
      </c>
      <c r="P73" s="60" t="str">
        <f t="shared" si="1"/>
        <v xml:space="preserve"> </v>
      </c>
    </row>
    <row r="74" spans="1:16" ht="14.25" customHeight="1" x14ac:dyDescent="0.2">
      <c r="A74" t="s">
        <v>738</v>
      </c>
      <c r="B74" t="s">
        <v>739</v>
      </c>
      <c r="C74" t="s">
        <v>740</v>
      </c>
      <c r="D74" t="s">
        <v>645</v>
      </c>
      <c r="E74" s="6" t="s">
        <v>4811</v>
      </c>
      <c r="F74" s="6">
        <v>1</v>
      </c>
      <c r="G74" t="s">
        <v>745</v>
      </c>
      <c r="H74" s="59">
        <v>2581</v>
      </c>
      <c r="I74" t="s">
        <v>4668</v>
      </c>
      <c r="J74" s="63" t="s">
        <v>4817</v>
      </c>
      <c r="K74" s="52" t="s">
        <v>4818</v>
      </c>
      <c r="L74">
        <v>5</v>
      </c>
      <c r="M74" s="59">
        <v>6323</v>
      </c>
      <c r="N74" s="59" t="s">
        <v>4611</v>
      </c>
      <c r="O74">
        <v>2400</v>
      </c>
      <c r="P74" s="60">
        <f t="shared" si="1"/>
        <v>9.2987214258039526</v>
      </c>
    </row>
    <row r="75" spans="1:16" ht="14.25" customHeight="1" x14ac:dyDescent="0.2">
      <c r="A75" t="s">
        <v>738</v>
      </c>
      <c r="B75" t="s">
        <v>739</v>
      </c>
      <c r="C75" t="s">
        <v>740</v>
      </c>
      <c r="D75" t="s">
        <v>645</v>
      </c>
      <c r="E75" s="6" t="s">
        <v>4659</v>
      </c>
      <c r="F75" s="6">
        <v>2</v>
      </c>
      <c r="G75" t="s">
        <v>746</v>
      </c>
      <c r="H75" s="59">
        <v>5112</v>
      </c>
      <c r="I75" t="s">
        <v>4668</v>
      </c>
      <c r="J75" s="63" t="s">
        <v>4819</v>
      </c>
      <c r="K75" s="52" t="s">
        <v>4820</v>
      </c>
      <c r="L75" t="s">
        <v>137</v>
      </c>
      <c r="M75" s="59" t="s">
        <v>137</v>
      </c>
      <c r="N75" s="59" t="s">
        <v>4616</v>
      </c>
      <c r="O75">
        <v>2200</v>
      </c>
      <c r="P75" s="60">
        <f t="shared" si="1"/>
        <v>4.3035993740219087</v>
      </c>
    </row>
    <row r="76" spans="1:16" ht="14.25" customHeight="1" x14ac:dyDescent="0.2">
      <c r="A76" t="s">
        <v>752</v>
      </c>
      <c r="B76" t="s">
        <v>753</v>
      </c>
      <c r="C76" t="s">
        <v>754</v>
      </c>
      <c r="D76" t="s">
        <v>759</v>
      </c>
      <c r="E76" s="6" t="s">
        <v>4821</v>
      </c>
      <c r="F76" s="6">
        <v>1</v>
      </c>
      <c r="G76" t="s">
        <v>760</v>
      </c>
      <c r="H76" s="59">
        <v>2560</v>
      </c>
      <c r="I76" t="s">
        <v>4622</v>
      </c>
      <c r="J76" s="63" t="s">
        <v>4822</v>
      </c>
      <c r="K76" s="52" t="s">
        <v>4823</v>
      </c>
      <c r="L76">
        <v>7</v>
      </c>
      <c r="M76" s="59">
        <v>18430</v>
      </c>
      <c r="N76" s="59" t="s">
        <v>4611</v>
      </c>
      <c r="O76">
        <v>2500</v>
      </c>
      <c r="P76" s="60">
        <f t="shared" si="1"/>
        <v>9.765625</v>
      </c>
    </row>
    <row r="77" spans="1:16" ht="14.25" customHeight="1" x14ac:dyDescent="0.2">
      <c r="A77" t="s">
        <v>752</v>
      </c>
      <c r="B77" t="s">
        <v>753</v>
      </c>
      <c r="C77" t="s">
        <v>754</v>
      </c>
      <c r="D77" t="s">
        <v>759</v>
      </c>
      <c r="E77" s="6" t="s">
        <v>4824</v>
      </c>
      <c r="F77" s="6">
        <v>2</v>
      </c>
      <c r="G77" t="s">
        <v>761</v>
      </c>
      <c r="H77" s="59">
        <v>7140</v>
      </c>
      <c r="I77" t="s">
        <v>4825</v>
      </c>
      <c r="J77" s="63" t="s">
        <v>4826</v>
      </c>
      <c r="K77" s="52" t="s">
        <v>4827</v>
      </c>
      <c r="L77" t="s">
        <v>137</v>
      </c>
      <c r="M77" s="59" t="s">
        <v>137</v>
      </c>
      <c r="N77" s="59" t="s">
        <v>4616</v>
      </c>
      <c r="O77">
        <v>2500</v>
      </c>
      <c r="P77" s="60">
        <f t="shared" si="1"/>
        <v>3.5014005602240896</v>
      </c>
    </row>
    <row r="78" spans="1:16" ht="14.25" customHeight="1" x14ac:dyDescent="0.2">
      <c r="A78" t="s">
        <v>769</v>
      </c>
      <c r="B78" t="s">
        <v>770</v>
      </c>
      <c r="C78" t="s">
        <v>771</v>
      </c>
      <c r="D78" t="s">
        <v>759</v>
      </c>
      <c r="E78" s="6" t="s">
        <v>4828</v>
      </c>
      <c r="F78" s="6">
        <v>1</v>
      </c>
      <c r="G78" t="s">
        <v>776</v>
      </c>
      <c r="H78" s="59">
        <v>2910</v>
      </c>
      <c r="I78" t="s">
        <v>4618</v>
      </c>
      <c r="J78" s="63" t="s">
        <v>4829</v>
      </c>
      <c r="K78" s="52" t="s">
        <v>4830</v>
      </c>
      <c r="L78">
        <v>4</v>
      </c>
      <c r="M78" s="59">
        <v>5820</v>
      </c>
      <c r="N78" s="59" t="s">
        <v>4611</v>
      </c>
      <c r="O78">
        <v>1400</v>
      </c>
      <c r="P78" s="60">
        <f t="shared" si="1"/>
        <v>4.8109965635738829</v>
      </c>
    </row>
    <row r="79" spans="1:16" ht="14.25" customHeight="1" x14ac:dyDescent="0.2">
      <c r="A79" t="s">
        <v>769</v>
      </c>
      <c r="B79" t="s">
        <v>770</v>
      </c>
      <c r="C79" t="s">
        <v>771</v>
      </c>
      <c r="D79" t="s">
        <v>759</v>
      </c>
      <c r="E79" s="6" t="s">
        <v>4628</v>
      </c>
      <c r="F79" s="6">
        <v>2</v>
      </c>
      <c r="G79" t="s">
        <v>777</v>
      </c>
      <c r="H79" s="59">
        <v>7000</v>
      </c>
      <c r="I79" t="s">
        <v>4629</v>
      </c>
      <c r="J79" s="63" t="s">
        <v>4831</v>
      </c>
      <c r="K79" s="52" t="s">
        <v>4832</v>
      </c>
      <c r="L79" t="s">
        <v>137</v>
      </c>
      <c r="M79" s="59" t="s">
        <v>137</v>
      </c>
      <c r="N79" s="59" t="s">
        <v>4616</v>
      </c>
      <c r="O79" t="s">
        <v>4632</v>
      </c>
      <c r="P79" s="60" t="str">
        <f t="shared" si="1"/>
        <v xml:space="preserve"> </v>
      </c>
    </row>
    <row r="80" spans="1:16" ht="14.25" customHeight="1" x14ac:dyDescent="0.2">
      <c r="A80" t="s">
        <v>785</v>
      </c>
      <c r="B80" t="s">
        <v>786</v>
      </c>
      <c r="C80" t="s">
        <v>787</v>
      </c>
      <c r="D80" t="s">
        <v>759</v>
      </c>
      <c r="E80" s="6" t="s">
        <v>4833</v>
      </c>
      <c r="F80" s="6">
        <v>1</v>
      </c>
      <c r="G80" t="s">
        <v>792</v>
      </c>
      <c r="H80" s="59">
        <v>2803</v>
      </c>
      <c r="I80" t="s">
        <v>4613</v>
      </c>
      <c r="J80" s="63" t="s">
        <v>4834</v>
      </c>
      <c r="K80" s="52" t="s">
        <v>4835</v>
      </c>
      <c r="L80">
        <v>6</v>
      </c>
      <c r="M80" s="59">
        <v>8969</v>
      </c>
      <c r="N80" s="59" t="s">
        <v>4611</v>
      </c>
      <c r="O80">
        <v>2000</v>
      </c>
      <c r="P80" s="60">
        <f t="shared" si="1"/>
        <v>7.1352122725651093</v>
      </c>
    </row>
    <row r="81" spans="1:16" ht="14.25" customHeight="1" x14ac:dyDescent="0.2">
      <c r="A81" t="s">
        <v>785</v>
      </c>
      <c r="B81" t="s">
        <v>786</v>
      </c>
      <c r="C81" t="s">
        <v>787</v>
      </c>
      <c r="D81" t="s">
        <v>759</v>
      </c>
      <c r="E81" s="6" t="s">
        <v>4628</v>
      </c>
      <c r="F81" s="6">
        <v>2</v>
      </c>
      <c r="G81" t="s">
        <v>793</v>
      </c>
      <c r="H81" s="59">
        <v>8534</v>
      </c>
      <c r="I81" t="s">
        <v>4629</v>
      </c>
      <c r="J81" s="63" t="s">
        <v>4836</v>
      </c>
      <c r="K81" s="52" t="s">
        <v>4837</v>
      </c>
      <c r="L81" t="s">
        <v>137</v>
      </c>
      <c r="M81" s="59" t="s">
        <v>137</v>
      </c>
      <c r="N81" s="59" t="s">
        <v>4616</v>
      </c>
      <c r="O81" t="s">
        <v>4632</v>
      </c>
      <c r="P81" s="60" t="str">
        <f t="shared" si="1"/>
        <v xml:space="preserve"> </v>
      </c>
    </row>
    <row r="82" spans="1:16" ht="14.25" customHeight="1" x14ac:dyDescent="0.2">
      <c r="A82" t="s">
        <v>802</v>
      </c>
      <c r="B82" t="s">
        <v>803</v>
      </c>
      <c r="C82" t="s">
        <v>804</v>
      </c>
      <c r="D82" t="s">
        <v>759</v>
      </c>
      <c r="E82" s="6" t="s">
        <v>4838</v>
      </c>
      <c r="F82" s="6">
        <v>1</v>
      </c>
      <c r="G82" t="s">
        <v>809</v>
      </c>
      <c r="H82" s="59">
        <v>2708</v>
      </c>
      <c r="I82" t="s">
        <v>4730</v>
      </c>
      <c r="J82" s="63" t="s">
        <v>4839</v>
      </c>
      <c r="K82" s="52" t="s">
        <v>4840</v>
      </c>
      <c r="L82">
        <v>5</v>
      </c>
      <c r="M82" s="59">
        <v>8394</v>
      </c>
      <c r="N82" s="59" t="s">
        <v>4611</v>
      </c>
      <c r="O82">
        <f>8*250</f>
        <v>2000</v>
      </c>
      <c r="P82" s="60">
        <f t="shared" si="1"/>
        <v>7.3855243722304289</v>
      </c>
    </row>
    <row r="83" spans="1:16" ht="14.25" customHeight="1" x14ac:dyDescent="0.2">
      <c r="A83" t="s">
        <v>802</v>
      </c>
      <c r="B83" t="s">
        <v>803</v>
      </c>
      <c r="C83" t="s">
        <v>804</v>
      </c>
      <c r="D83" t="s">
        <v>759</v>
      </c>
      <c r="E83" s="6" t="s">
        <v>4841</v>
      </c>
      <c r="F83" s="6">
        <v>2</v>
      </c>
      <c r="G83" t="s">
        <v>810</v>
      </c>
      <c r="H83" s="59">
        <v>5115</v>
      </c>
      <c r="I83" t="s">
        <v>4842</v>
      </c>
      <c r="J83" s="63" t="s">
        <v>4843</v>
      </c>
      <c r="K83" s="52" t="s">
        <v>4844</v>
      </c>
      <c r="L83" t="s">
        <v>137</v>
      </c>
      <c r="M83" s="59" t="s">
        <v>137</v>
      </c>
      <c r="N83" s="59" t="s">
        <v>4616</v>
      </c>
      <c r="O83">
        <v>2000</v>
      </c>
      <c r="P83" s="60">
        <f t="shared" si="1"/>
        <v>3.9100684261974585</v>
      </c>
    </row>
    <row r="84" spans="1:16" ht="14.25" customHeight="1" x14ac:dyDescent="0.2">
      <c r="A84" t="s">
        <v>817</v>
      </c>
      <c r="B84" t="s">
        <v>818</v>
      </c>
      <c r="C84" t="s">
        <v>819</v>
      </c>
      <c r="D84" t="s">
        <v>759</v>
      </c>
      <c r="E84" s="6" t="s">
        <v>4845</v>
      </c>
      <c r="F84" s="6">
        <v>1</v>
      </c>
      <c r="G84" t="s">
        <v>823</v>
      </c>
      <c r="H84" s="59">
        <v>2395</v>
      </c>
      <c r="I84" t="s">
        <v>4842</v>
      </c>
      <c r="J84" s="63" t="s">
        <v>4846</v>
      </c>
      <c r="K84" s="52" t="s">
        <v>4847</v>
      </c>
      <c r="L84">
        <v>6</v>
      </c>
      <c r="M84" s="59">
        <v>5987</v>
      </c>
      <c r="N84" s="59" t="s">
        <v>4611</v>
      </c>
      <c r="O84">
        <v>2400</v>
      </c>
      <c r="P84" s="60">
        <f t="shared" si="1"/>
        <v>10.020876826722338</v>
      </c>
    </row>
    <row r="85" spans="1:16" ht="14.25" customHeight="1" x14ac:dyDescent="0.2">
      <c r="A85" t="s">
        <v>817</v>
      </c>
      <c r="B85" t="s">
        <v>818</v>
      </c>
      <c r="C85" t="s">
        <v>819</v>
      </c>
      <c r="D85" t="s">
        <v>759</v>
      </c>
      <c r="E85" s="6" t="s">
        <v>4841</v>
      </c>
      <c r="F85" s="6">
        <v>2</v>
      </c>
      <c r="G85" t="s">
        <v>824</v>
      </c>
      <c r="H85" s="59">
        <v>5051</v>
      </c>
      <c r="I85" t="s">
        <v>4660</v>
      </c>
      <c r="J85" s="63" t="s">
        <v>4848</v>
      </c>
      <c r="K85" s="52" t="s">
        <v>4849</v>
      </c>
      <c r="L85" t="s">
        <v>137</v>
      </c>
      <c r="M85" s="59" t="s">
        <v>137</v>
      </c>
      <c r="N85" s="59" t="s">
        <v>4616</v>
      </c>
      <c r="O85">
        <v>2000</v>
      </c>
      <c r="P85" s="60">
        <f t="shared" si="1"/>
        <v>3.9596119580281131</v>
      </c>
    </row>
    <row r="86" spans="1:16" ht="14.25" customHeight="1" x14ac:dyDescent="0.2">
      <c r="A86" t="s">
        <v>832</v>
      </c>
      <c r="B86" t="s">
        <v>833</v>
      </c>
      <c r="C86" t="s">
        <v>834</v>
      </c>
      <c r="D86" t="s">
        <v>839</v>
      </c>
      <c r="E86" s="6" t="s">
        <v>4766</v>
      </c>
      <c r="F86" s="6">
        <v>1</v>
      </c>
      <c r="G86" t="s">
        <v>840</v>
      </c>
      <c r="H86" s="59">
        <v>2648</v>
      </c>
      <c r="I86" t="s">
        <v>4825</v>
      </c>
      <c r="J86" s="63" t="s">
        <v>4850</v>
      </c>
      <c r="K86" s="52" t="s">
        <v>4851</v>
      </c>
      <c r="L86">
        <v>5</v>
      </c>
      <c r="M86" s="59">
        <v>7414</v>
      </c>
      <c r="N86" s="59" t="s">
        <v>4611</v>
      </c>
      <c r="O86">
        <v>2000</v>
      </c>
      <c r="P86" s="60">
        <f t="shared" si="1"/>
        <v>7.5528700906344417</v>
      </c>
    </row>
    <row r="87" spans="1:16" ht="14.25" customHeight="1" x14ac:dyDescent="0.2">
      <c r="A87" t="s">
        <v>832</v>
      </c>
      <c r="B87" t="s">
        <v>833</v>
      </c>
      <c r="C87" t="s">
        <v>834</v>
      </c>
      <c r="D87" t="s">
        <v>839</v>
      </c>
      <c r="E87" s="6" t="s">
        <v>4852</v>
      </c>
      <c r="F87" s="6">
        <v>2</v>
      </c>
      <c r="G87" t="s">
        <v>841</v>
      </c>
      <c r="H87" s="59">
        <v>4400</v>
      </c>
      <c r="I87" t="s">
        <v>4730</v>
      </c>
      <c r="J87" s="63" t="s">
        <v>4853</v>
      </c>
      <c r="K87" s="52" t="s">
        <v>4854</v>
      </c>
      <c r="L87" t="s">
        <v>137</v>
      </c>
      <c r="M87" s="59" t="s">
        <v>137</v>
      </c>
      <c r="N87" s="59" t="s">
        <v>4616</v>
      </c>
      <c r="O87">
        <v>2000</v>
      </c>
      <c r="P87" s="60">
        <f t="shared" si="1"/>
        <v>4.545454545454545</v>
      </c>
    </row>
    <row r="88" spans="1:16" ht="14.25" customHeight="1" x14ac:dyDescent="0.2">
      <c r="A88" t="s">
        <v>851</v>
      </c>
      <c r="B88" t="s">
        <v>852</v>
      </c>
      <c r="C88" t="s">
        <v>853</v>
      </c>
      <c r="D88" t="s">
        <v>839</v>
      </c>
      <c r="E88" s="6" t="s">
        <v>4855</v>
      </c>
      <c r="F88" s="6">
        <v>1</v>
      </c>
      <c r="G88" t="s">
        <v>858</v>
      </c>
      <c r="H88" s="59">
        <v>2649</v>
      </c>
      <c r="I88" t="s">
        <v>4842</v>
      </c>
      <c r="J88" s="63" t="s">
        <v>4856</v>
      </c>
      <c r="K88" s="52" t="s">
        <v>4857</v>
      </c>
      <c r="L88" t="s">
        <v>137</v>
      </c>
      <c r="M88" s="59" t="s">
        <v>137</v>
      </c>
      <c r="N88" s="59" t="s">
        <v>4616</v>
      </c>
      <c r="O88">
        <v>6000</v>
      </c>
      <c r="P88" s="60">
        <f t="shared" si="1"/>
        <v>22.650056625141563</v>
      </c>
    </row>
    <row r="89" spans="1:16" ht="14.25" customHeight="1" x14ac:dyDescent="0.2">
      <c r="A89" t="s">
        <v>851</v>
      </c>
      <c r="B89" t="s">
        <v>852</v>
      </c>
      <c r="C89" t="s">
        <v>853</v>
      </c>
      <c r="D89" t="s">
        <v>839</v>
      </c>
      <c r="E89" s="6" t="s">
        <v>4858</v>
      </c>
      <c r="F89" s="6">
        <v>2</v>
      </c>
      <c r="G89" t="s">
        <v>859</v>
      </c>
      <c r="H89" s="59">
        <v>7000</v>
      </c>
      <c r="I89" t="s">
        <v>4859</v>
      </c>
      <c r="J89" s="63" t="s">
        <v>4860</v>
      </c>
      <c r="K89" s="52" t="s">
        <v>4861</v>
      </c>
      <c r="L89">
        <v>6</v>
      </c>
      <c r="M89" s="59">
        <v>16683</v>
      </c>
      <c r="N89" s="59" t="s">
        <v>4611</v>
      </c>
      <c r="O89">
        <v>2000</v>
      </c>
      <c r="P89" s="60">
        <f t="shared" si="1"/>
        <v>2.8571428571428568</v>
      </c>
    </row>
    <row r="90" spans="1:16" ht="14.25" customHeight="1" x14ac:dyDescent="0.2">
      <c r="A90" t="s">
        <v>868</v>
      </c>
      <c r="B90" t="s">
        <v>869</v>
      </c>
      <c r="C90" t="s">
        <v>870</v>
      </c>
      <c r="D90" t="s">
        <v>839</v>
      </c>
      <c r="E90" s="6" t="s">
        <v>4862</v>
      </c>
      <c r="F90" s="6">
        <v>1</v>
      </c>
      <c r="G90" t="s">
        <v>875</v>
      </c>
      <c r="H90" s="59">
        <v>2648</v>
      </c>
      <c r="I90" t="s">
        <v>4825</v>
      </c>
      <c r="J90" s="63" t="s">
        <v>4863</v>
      </c>
      <c r="K90" s="52" t="s">
        <v>4864</v>
      </c>
      <c r="L90">
        <v>7</v>
      </c>
      <c r="M90" s="59">
        <v>9135</v>
      </c>
      <c r="N90" s="59" t="s">
        <v>4611</v>
      </c>
      <c r="O90">
        <v>200</v>
      </c>
      <c r="P90" s="60">
        <f t="shared" si="1"/>
        <v>0.75528700906344404</v>
      </c>
    </row>
    <row r="91" spans="1:16" ht="14.25" customHeight="1" x14ac:dyDescent="0.2">
      <c r="A91" t="s">
        <v>868</v>
      </c>
      <c r="B91" t="s">
        <v>869</v>
      </c>
      <c r="C91" t="s">
        <v>870</v>
      </c>
      <c r="D91" t="s">
        <v>839</v>
      </c>
      <c r="E91" s="6" t="s">
        <v>4865</v>
      </c>
      <c r="F91" s="6">
        <v>2</v>
      </c>
      <c r="G91" t="s">
        <v>876</v>
      </c>
      <c r="H91" s="59">
        <v>5838</v>
      </c>
      <c r="I91" t="s">
        <v>4730</v>
      </c>
      <c r="J91" s="63" t="s">
        <v>4866</v>
      </c>
      <c r="K91" s="52" t="s">
        <v>4867</v>
      </c>
      <c r="L91" t="s">
        <v>137</v>
      </c>
      <c r="M91" s="59" t="s">
        <v>137</v>
      </c>
      <c r="N91" s="59" t="s">
        <v>4616</v>
      </c>
      <c r="O91" t="s">
        <v>4632</v>
      </c>
      <c r="P91" s="60" t="str">
        <f t="shared" si="1"/>
        <v xml:space="preserve"> </v>
      </c>
    </row>
    <row r="92" spans="1:16" ht="14.25" customHeight="1" x14ac:dyDescent="0.2">
      <c r="A92" t="s">
        <v>884</v>
      </c>
      <c r="B92" t="s">
        <v>885</v>
      </c>
      <c r="C92" t="s">
        <v>886</v>
      </c>
      <c r="D92" t="s">
        <v>839</v>
      </c>
      <c r="E92" s="6" t="s">
        <v>4868</v>
      </c>
      <c r="F92" s="6">
        <v>1</v>
      </c>
      <c r="G92" t="s">
        <v>891</v>
      </c>
      <c r="H92" s="59">
        <v>0</v>
      </c>
      <c r="I92" t="s">
        <v>4869</v>
      </c>
      <c r="J92" s="63" t="s">
        <v>4870</v>
      </c>
      <c r="K92" s="52" t="s">
        <v>4871</v>
      </c>
      <c r="L92" t="s">
        <v>137</v>
      </c>
      <c r="M92" s="59" t="s">
        <v>137</v>
      </c>
      <c r="N92" s="59" t="s">
        <v>4616</v>
      </c>
      <c r="O92">
        <v>200</v>
      </c>
      <c r="P92" s="60" t="str">
        <f t="shared" si="1"/>
        <v xml:space="preserve"> </v>
      </c>
    </row>
    <row r="93" spans="1:16" ht="14.25" customHeight="1" x14ac:dyDescent="0.2">
      <c r="A93" t="s">
        <v>884</v>
      </c>
      <c r="B93" t="s">
        <v>885</v>
      </c>
      <c r="C93" t="s">
        <v>886</v>
      </c>
      <c r="D93" t="s">
        <v>839</v>
      </c>
      <c r="E93" s="6" t="s">
        <v>4872</v>
      </c>
      <c r="F93" s="6">
        <v>2</v>
      </c>
      <c r="G93" t="s">
        <v>892</v>
      </c>
      <c r="H93" s="59">
        <v>0</v>
      </c>
      <c r="I93" t="s">
        <v>4869</v>
      </c>
      <c r="J93" s="63" t="s">
        <v>4873</v>
      </c>
      <c r="K93" s="52" t="s">
        <v>4874</v>
      </c>
      <c r="L93" t="s">
        <v>137</v>
      </c>
      <c r="M93" s="59" t="s">
        <v>137</v>
      </c>
      <c r="N93" s="59" t="s">
        <v>4616</v>
      </c>
      <c r="O93">
        <f>250*32</f>
        <v>8000</v>
      </c>
      <c r="P93" s="60" t="str">
        <f t="shared" si="1"/>
        <v xml:space="preserve"> </v>
      </c>
    </row>
    <row r="94" spans="1:16" ht="14.25" customHeight="1" x14ac:dyDescent="0.2">
      <c r="A94" t="s">
        <v>899</v>
      </c>
      <c r="B94" t="s">
        <v>900</v>
      </c>
      <c r="C94" t="s">
        <v>901</v>
      </c>
      <c r="D94" t="s">
        <v>839</v>
      </c>
      <c r="E94" s="6" t="s">
        <v>4833</v>
      </c>
      <c r="F94" s="6">
        <v>1</v>
      </c>
      <c r="G94" t="s">
        <v>906</v>
      </c>
      <c r="H94" s="59">
        <v>2649</v>
      </c>
      <c r="I94" t="s">
        <v>4825</v>
      </c>
      <c r="J94" s="63" t="s">
        <v>4875</v>
      </c>
      <c r="K94" s="52" t="s">
        <v>4876</v>
      </c>
      <c r="L94">
        <v>5</v>
      </c>
      <c r="M94" s="59">
        <v>9006</v>
      </c>
      <c r="N94" s="59" t="s">
        <v>4611</v>
      </c>
      <c r="O94">
        <f>12*160</f>
        <v>1920</v>
      </c>
      <c r="P94" s="60">
        <f t="shared" si="1"/>
        <v>7.2480181200453</v>
      </c>
    </row>
    <row r="95" spans="1:16" ht="14.25" customHeight="1" x14ac:dyDescent="0.2">
      <c r="A95" t="s">
        <v>899</v>
      </c>
      <c r="B95" t="s">
        <v>900</v>
      </c>
      <c r="C95" t="s">
        <v>901</v>
      </c>
      <c r="D95" t="s">
        <v>839</v>
      </c>
      <c r="E95" s="6" t="s">
        <v>4877</v>
      </c>
      <c r="F95" s="6">
        <v>2</v>
      </c>
      <c r="G95" t="s">
        <v>907</v>
      </c>
      <c r="H95" s="59">
        <v>8300</v>
      </c>
      <c r="I95" t="s">
        <v>4618</v>
      </c>
      <c r="J95" s="63" t="s">
        <v>4878</v>
      </c>
      <c r="K95" s="52" t="s">
        <v>4879</v>
      </c>
      <c r="L95" t="s">
        <v>137</v>
      </c>
      <c r="M95" s="59" t="s">
        <v>137</v>
      </c>
      <c r="N95" s="59" t="s">
        <v>4616</v>
      </c>
      <c r="O95">
        <v>2600</v>
      </c>
      <c r="P95" s="60">
        <f t="shared" si="1"/>
        <v>3.1325301204819276</v>
      </c>
    </row>
    <row r="96" spans="1:16" ht="14.25" customHeight="1" x14ac:dyDescent="0.2">
      <c r="A96" t="s">
        <v>914</v>
      </c>
      <c r="B96" t="s">
        <v>86</v>
      </c>
      <c r="C96" t="s">
        <v>915</v>
      </c>
      <c r="D96" t="s">
        <v>839</v>
      </c>
      <c r="E96" s="6" t="s">
        <v>4696</v>
      </c>
      <c r="F96" s="6">
        <v>1</v>
      </c>
      <c r="G96" t="s">
        <v>920</v>
      </c>
      <c r="H96" s="59">
        <v>3817</v>
      </c>
      <c r="I96" t="s">
        <v>4629</v>
      </c>
      <c r="J96" s="63" t="s">
        <v>4880</v>
      </c>
      <c r="K96" s="52" t="s">
        <v>4881</v>
      </c>
      <c r="L96">
        <v>6</v>
      </c>
      <c r="M96" s="59">
        <v>15268</v>
      </c>
      <c r="N96" s="59" t="s">
        <v>4611</v>
      </c>
      <c r="O96" t="s">
        <v>4632</v>
      </c>
      <c r="P96" s="60" t="str">
        <f t="shared" si="1"/>
        <v xml:space="preserve"> </v>
      </c>
    </row>
    <row r="97" spans="1:16" ht="14.25" customHeight="1" x14ac:dyDescent="0.2">
      <c r="A97" t="s">
        <v>914</v>
      </c>
      <c r="B97" t="s">
        <v>86</v>
      </c>
      <c r="C97" t="s">
        <v>915</v>
      </c>
      <c r="D97" t="s">
        <v>839</v>
      </c>
      <c r="E97" s="6" t="s">
        <v>4852</v>
      </c>
      <c r="F97" s="6">
        <v>2</v>
      </c>
      <c r="G97" t="s">
        <v>921</v>
      </c>
      <c r="H97" s="59">
        <v>5422</v>
      </c>
      <c r="I97" t="s">
        <v>4869</v>
      </c>
      <c r="J97" s="63" t="s">
        <v>4882</v>
      </c>
      <c r="K97" s="52" t="s">
        <v>4883</v>
      </c>
      <c r="L97" t="s">
        <v>137</v>
      </c>
      <c r="M97" s="59" t="s">
        <v>137</v>
      </c>
      <c r="N97" s="59" t="s">
        <v>4616</v>
      </c>
      <c r="O97">
        <v>2600</v>
      </c>
      <c r="P97" s="60">
        <f t="shared" si="1"/>
        <v>4.7952784950202876</v>
      </c>
    </row>
    <row r="98" spans="1:16" ht="14.25" customHeight="1" x14ac:dyDescent="0.2">
      <c r="A98" t="s">
        <v>929</v>
      </c>
      <c r="B98" t="s">
        <v>930</v>
      </c>
      <c r="C98" t="s">
        <v>931</v>
      </c>
      <c r="D98" t="s">
        <v>839</v>
      </c>
      <c r="E98" s="6" t="s">
        <v>4833</v>
      </c>
      <c r="F98" s="6">
        <v>1</v>
      </c>
      <c r="G98" t="s">
        <v>936</v>
      </c>
      <c r="H98" s="59">
        <v>2759</v>
      </c>
      <c r="I98" t="s">
        <v>4660</v>
      </c>
      <c r="J98" s="63" t="s">
        <v>4884</v>
      </c>
      <c r="K98" s="52" t="s">
        <v>4885</v>
      </c>
      <c r="L98">
        <v>5</v>
      </c>
      <c r="M98" s="59">
        <v>6621</v>
      </c>
      <c r="N98" s="59" t="s">
        <v>4611</v>
      </c>
      <c r="O98">
        <v>2000</v>
      </c>
      <c r="P98" s="60">
        <f t="shared" si="1"/>
        <v>7.2490032620514677</v>
      </c>
    </row>
    <row r="99" spans="1:16" ht="14.25" customHeight="1" x14ac:dyDescent="0.2">
      <c r="A99" t="s">
        <v>929</v>
      </c>
      <c r="B99" t="s">
        <v>930</v>
      </c>
      <c r="C99" t="s">
        <v>931</v>
      </c>
      <c r="D99" t="s">
        <v>839</v>
      </c>
      <c r="E99" s="6" t="s">
        <v>4852</v>
      </c>
      <c r="F99" s="6">
        <v>2</v>
      </c>
      <c r="G99" t="s">
        <v>937</v>
      </c>
      <c r="H99" s="59">
        <v>5570</v>
      </c>
      <c r="I99" t="s">
        <v>4869</v>
      </c>
      <c r="J99" s="63" t="s">
        <v>4886</v>
      </c>
      <c r="K99" s="52" t="s">
        <v>4887</v>
      </c>
      <c r="L99" t="s">
        <v>137</v>
      </c>
      <c r="M99" s="59" t="s">
        <v>137</v>
      </c>
      <c r="N99" s="59" t="s">
        <v>4616</v>
      </c>
      <c r="O99">
        <v>2000</v>
      </c>
      <c r="P99" s="60">
        <f t="shared" si="1"/>
        <v>3.5906642728904847</v>
      </c>
    </row>
    <row r="100" spans="1:16" ht="14.25" customHeight="1" x14ac:dyDescent="0.2">
      <c r="A100" t="s">
        <v>942</v>
      </c>
      <c r="B100" t="s">
        <v>943</v>
      </c>
      <c r="C100" t="s">
        <v>944</v>
      </c>
      <c r="D100" t="s">
        <v>949</v>
      </c>
      <c r="E100" s="6" t="s">
        <v>4888</v>
      </c>
      <c r="F100" s="6">
        <v>1</v>
      </c>
      <c r="G100" t="s">
        <v>950</v>
      </c>
      <c r="H100" s="59">
        <v>8364</v>
      </c>
      <c r="I100" t="s">
        <v>4618</v>
      </c>
      <c r="J100" s="63" t="s">
        <v>4889</v>
      </c>
      <c r="K100" s="52" t="s">
        <v>4890</v>
      </c>
      <c r="L100" t="s">
        <v>137</v>
      </c>
      <c r="M100" s="59" t="s">
        <v>137</v>
      </c>
      <c r="N100" s="59" t="s">
        <v>4616</v>
      </c>
      <c r="O100">
        <f>14*85</f>
        <v>1190</v>
      </c>
      <c r="P100" s="60">
        <f t="shared" si="1"/>
        <v>1.4227642276422765</v>
      </c>
    </row>
    <row r="101" spans="1:16" ht="14.25" customHeight="1" x14ac:dyDescent="0.2">
      <c r="A101" t="s">
        <v>942</v>
      </c>
      <c r="B101" t="s">
        <v>943</v>
      </c>
      <c r="C101" t="s">
        <v>944</v>
      </c>
      <c r="D101" t="s">
        <v>949</v>
      </c>
      <c r="E101" s="6" t="s">
        <v>4891</v>
      </c>
      <c r="F101" s="6">
        <v>2</v>
      </c>
      <c r="G101" t="s">
        <v>951</v>
      </c>
      <c r="H101" s="59">
        <v>4132</v>
      </c>
      <c r="I101" t="s">
        <v>4730</v>
      </c>
      <c r="J101" s="63" t="s">
        <v>4892</v>
      </c>
      <c r="K101" s="52" t="s">
        <v>4893</v>
      </c>
      <c r="L101">
        <v>6</v>
      </c>
      <c r="M101" s="59">
        <v>16395</v>
      </c>
      <c r="N101" s="59" t="s">
        <v>4611</v>
      </c>
      <c r="O101">
        <v>1400</v>
      </c>
      <c r="P101" s="60">
        <f t="shared" si="1"/>
        <v>3.3881897386253628</v>
      </c>
    </row>
    <row r="102" spans="1:16" ht="14.25" customHeight="1" x14ac:dyDescent="0.2">
      <c r="A102" t="s">
        <v>960</v>
      </c>
      <c r="B102" t="s">
        <v>961</v>
      </c>
      <c r="C102" t="s">
        <v>962</v>
      </c>
      <c r="D102" t="s">
        <v>949</v>
      </c>
      <c r="E102" s="6" t="s">
        <v>4894</v>
      </c>
      <c r="F102" s="6">
        <v>1</v>
      </c>
      <c r="G102" t="s">
        <v>968</v>
      </c>
      <c r="H102" s="59">
        <v>7734</v>
      </c>
      <c r="I102" t="s">
        <v>4629</v>
      </c>
      <c r="J102" s="63" t="s">
        <v>4895</v>
      </c>
      <c r="K102" s="52" t="s">
        <v>4896</v>
      </c>
      <c r="L102" t="s">
        <v>137</v>
      </c>
      <c r="M102" s="59" t="s">
        <v>137</v>
      </c>
      <c r="N102" s="59" t="s">
        <v>4616</v>
      </c>
      <c r="O102" t="s">
        <v>4632</v>
      </c>
      <c r="P102" s="60" t="str">
        <f t="shared" si="1"/>
        <v xml:space="preserve"> </v>
      </c>
    </row>
    <row r="103" spans="1:16" ht="14.25" customHeight="1" x14ac:dyDescent="0.2">
      <c r="A103" t="s">
        <v>960</v>
      </c>
      <c r="B103" t="s">
        <v>961</v>
      </c>
      <c r="C103" t="s">
        <v>962</v>
      </c>
      <c r="D103" t="s">
        <v>949</v>
      </c>
      <c r="E103" s="6" t="s">
        <v>4897</v>
      </c>
      <c r="F103" s="6">
        <v>2</v>
      </c>
      <c r="G103" t="s">
        <v>969</v>
      </c>
      <c r="H103" s="59">
        <v>11832</v>
      </c>
      <c r="I103" t="s">
        <v>4629</v>
      </c>
      <c r="J103" s="63" t="s">
        <v>4898</v>
      </c>
      <c r="K103" s="52" t="s">
        <v>4899</v>
      </c>
      <c r="L103" t="s">
        <v>137</v>
      </c>
      <c r="M103" s="59" t="s">
        <v>137</v>
      </c>
      <c r="N103" s="59" t="s">
        <v>4616</v>
      </c>
      <c r="O103" t="s">
        <v>4632</v>
      </c>
      <c r="P103" s="60" t="str">
        <f t="shared" si="1"/>
        <v xml:space="preserve"> </v>
      </c>
    </row>
    <row r="104" spans="1:16" ht="14.25" customHeight="1" x14ac:dyDescent="0.2">
      <c r="A104" t="s">
        <v>977</v>
      </c>
      <c r="B104" t="s">
        <v>978</v>
      </c>
      <c r="C104" t="s">
        <v>979</v>
      </c>
      <c r="D104" t="s">
        <v>949</v>
      </c>
      <c r="E104" s="6" t="s">
        <v>4900</v>
      </c>
      <c r="F104" s="6">
        <v>1</v>
      </c>
      <c r="G104" t="s">
        <v>984</v>
      </c>
      <c r="H104" s="59">
        <v>7734</v>
      </c>
      <c r="I104" t="s">
        <v>4842</v>
      </c>
      <c r="J104" s="63" t="s">
        <v>4901</v>
      </c>
      <c r="K104" s="52" t="s">
        <v>4902</v>
      </c>
      <c r="L104">
        <v>6</v>
      </c>
      <c r="M104" s="59">
        <v>17014</v>
      </c>
      <c r="N104" s="59" t="s">
        <v>4611</v>
      </c>
      <c r="O104" t="s">
        <v>4632</v>
      </c>
      <c r="P104" s="60" t="str">
        <f t="shared" si="1"/>
        <v xml:space="preserve"> </v>
      </c>
    </row>
    <row r="105" spans="1:16" ht="14.25" customHeight="1" x14ac:dyDescent="0.2">
      <c r="A105" t="s">
        <v>977</v>
      </c>
      <c r="B105" t="s">
        <v>978</v>
      </c>
      <c r="C105" t="s">
        <v>979</v>
      </c>
      <c r="D105" t="s">
        <v>949</v>
      </c>
      <c r="E105" s="6" t="s">
        <v>4897</v>
      </c>
      <c r="F105" s="6">
        <v>2</v>
      </c>
      <c r="G105" t="s">
        <v>985</v>
      </c>
      <c r="H105" s="59">
        <v>13188</v>
      </c>
      <c r="I105" t="s">
        <v>4629</v>
      </c>
      <c r="J105" s="63" t="s">
        <v>4903</v>
      </c>
      <c r="K105" s="52" t="s">
        <v>4904</v>
      </c>
      <c r="L105" t="s">
        <v>137</v>
      </c>
      <c r="M105" s="59" t="s">
        <v>137</v>
      </c>
      <c r="N105" s="59" t="s">
        <v>4616</v>
      </c>
      <c r="O105" t="s">
        <v>4632</v>
      </c>
      <c r="P105" s="60" t="str">
        <f t="shared" si="1"/>
        <v xml:space="preserve"> </v>
      </c>
    </row>
    <row r="106" spans="1:16" ht="14.25" customHeight="1" x14ac:dyDescent="0.2">
      <c r="A106" t="s">
        <v>991</v>
      </c>
      <c r="B106" t="s">
        <v>992</v>
      </c>
      <c r="C106" t="s">
        <v>993</v>
      </c>
      <c r="D106" t="s">
        <v>949</v>
      </c>
      <c r="E106" s="6" t="s">
        <v>4905</v>
      </c>
      <c r="F106" s="6">
        <v>1</v>
      </c>
      <c r="G106" t="s">
        <v>998</v>
      </c>
      <c r="H106" s="59">
        <v>7734</v>
      </c>
      <c r="I106" t="s">
        <v>4842</v>
      </c>
      <c r="J106" s="63" t="s">
        <v>4906</v>
      </c>
      <c r="K106" s="52" t="s">
        <v>4907</v>
      </c>
      <c r="L106">
        <v>6</v>
      </c>
      <c r="M106" s="59">
        <v>18561</v>
      </c>
      <c r="N106" s="59" t="s">
        <v>4611</v>
      </c>
      <c r="O106" t="s">
        <v>4632</v>
      </c>
      <c r="P106" s="60" t="str">
        <f t="shared" si="1"/>
        <v xml:space="preserve"> </v>
      </c>
    </row>
    <row r="107" spans="1:16" ht="14.25" customHeight="1" x14ac:dyDescent="0.2">
      <c r="A107" t="s">
        <v>991</v>
      </c>
      <c r="B107" t="s">
        <v>992</v>
      </c>
      <c r="C107" t="s">
        <v>993</v>
      </c>
      <c r="D107" t="s">
        <v>949</v>
      </c>
      <c r="E107" s="6" t="s">
        <v>4908</v>
      </c>
      <c r="F107" s="6">
        <v>2</v>
      </c>
      <c r="G107" t="s">
        <v>999</v>
      </c>
      <c r="H107" s="59">
        <v>13188</v>
      </c>
      <c r="I107" t="s">
        <v>4629</v>
      </c>
      <c r="J107" s="63" t="s">
        <v>4909</v>
      </c>
      <c r="K107" s="52" t="s">
        <v>4910</v>
      </c>
      <c r="L107" t="s">
        <v>137</v>
      </c>
      <c r="M107" s="59" t="s">
        <v>137</v>
      </c>
      <c r="N107" s="59" t="s">
        <v>4616</v>
      </c>
      <c r="O107" t="s">
        <v>4632</v>
      </c>
      <c r="P107" s="60" t="str">
        <f t="shared" si="1"/>
        <v xml:space="preserve"> </v>
      </c>
    </row>
    <row r="108" spans="1:16" ht="14.25" customHeight="1" x14ac:dyDescent="0.2">
      <c r="A108" t="s">
        <v>1004</v>
      </c>
      <c r="B108" t="s">
        <v>1005</v>
      </c>
      <c r="C108" t="s">
        <v>1006</v>
      </c>
      <c r="D108" t="s">
        <v>949</v>
      </c>
      <c r="E108" s="6" t="s">
        <v>4897</v>
      </c>
      <c r="F108" s="6">
        <v>1</v>
      </c>
      <c r="G108" t="s">
        <v>1011</v>
      </c>
      <c r="H108" s="59">
        <v>5916</v>
      </c>
      <c r="I108" t="s">
        <v>4776</v>
      </c>
      <c r="J108" s="63" t="s">
        <v>4911</v>
      </c>
      <c r="K108" s="52" t="s">
        <v>4912</v>
      </c>
      <c r="L108">
        <v>5</v>
      </c>
      <c r="M108" s="59">
        <v>16269</v>
      </c>
      <c r="N108" s="59" t="s">
        <v>4611</v>
      </c>
      <c r="O108" t="s">
        <v>4632</v>
      </c>
      <c r="P108" s="60" t="str">
        <f t="shared" si="1"/>
        <v xml:space="preserve"> </v>
      </c>
    </row>
    <row r="109" spans="1:16" ht="14.25" customHeight="1" x14ac:dyDescent="0.2">
      <c r="A109" t="s">
        <v>1004</v>
      </c>
      <c r="B109" t="s">
        <v>1005</v>
      </c>
      <c r="C109" t="s">
        <v>1006</v>
      </c>
      <c r="D109" t="s">
        <v>949</v>
      </c>
      <c r="E109" s="6" t="s">
        <v>4897</v>
      </c>
      <c r="F109" s="6">
        <v>2</v>
      </c>
      <c r="G109" t="s">
        <v>1012</v>
      </c>
      <c r="H109" s="59">
        <v>11832</v>
      </c>
      <c r="I109" t="s">
        <v>4776</v>
      </c>
      <c r="J109" s="63" t="s">
        <v>4913</v>
      </c>
      <c r="K109" s="52" t="s">
        <v>4914</v>
      </c>
      <c r="L109" t="s">
        <v>137</v>
      </c>
      <c r="M109" s="59" t="s">
        <v>137</v>
      </c>
      <c r="N109" s="59" t="s">
        <v>4616</v>
      </c>
      <c r="O109" t="s">
        <v>4632</v>
      </c>
      <c r="P109" s="60" t="str">
        <f t="shared" si="1"/>
        <v xml:space="preserve"> </v>
      </c>
    </row>
    <row r="110" spans="1:16" ht="14.25" customHeight="1" x14ac:dyDescent="0.2">
      <c r="A110" t="s">
        <v>1019</v>
      </c>
      <c r="B110" t="s">
        <v>1020</v>
      </c>
      <c r="C110" t="s">
        <v>1021</v>
      </c>
      <c r="D110" t="s">
        <v>949</v>
      </c>
      <c r="E110" s="6" t="s">
        <v>4897</v>
      </c>
      <c r="F110" s="6">
        <v>1</v>
      </c>
      <c r="G110" t="s">
        <v>1026</v>
      </c>
      <c r="H110" s="59">
        <v>5916</v>
      </c>
      <c r="I110" t="s">
        <v>4776</v>
      </c>
      <c r="J110" s="63" t="s">
        <v>4915</v>
      </c>
      <c r="K110" s="52" t="s">
        <v>4916</v>
      </c>
      <c r="L110">
        <v>5</v>
      </c>
      <c r="M110" s="59">
        <v>15381</v>
      </c>
      <c r="N110" s="59" t="s">
        <v>4611</v>
      </c>
      <c r="O110" t="s">
        <v>4632</v>
      </c>
      <c r="P110" s="60" t="str">
        <f t="shared" si="1"/>
        <v xml:space="preserve"> </v>
      </c>
    </row>
    <row r="111" spans="1:16" ht="14.25" customHeight="1" x14ac:dyDescent="0.2">
      <c r="A111" t="s">
        <v>1019</v>
      </c>
      <c r="B111" t="s">
        <v>1020</v>
      </c>
      <c r="C111" t="s">
        <v>1021</v>
      </c>
      <c r="D111" t="s">
        <v>949</v>
      </c>
      <c r="E111" s="6" t="s">
        <v>4897</v>
      </c>
      <c r="F111" s="6">
        <v>2</v>
      </c>
      <c r="G111" t="s">
        <v>1027</v>
      </c>
      <c r="H111" s="59">
        <v>11832</v>
      </c>
      <c r="I111" t="s">
        <v>4776</v>
      </c>
      <c r="J111" s="63" t="s">
        <v>4917</v>
      </c>
      <c r="K111" s="52" t="s">
        <v>4918</v>
      </c>
      <c r="L111" t="s">
        <v>137</v>
      </c>
      <c r="M111" s="59" t="s">
        <v>137</v>
      </c>
      <c r="N111" s="59" t="s">
        <v>4616</v>
      </c>
      <c r="O111" t="s">
        <v>4632</v>
      </c>
      <c r="P111" s="60" t="str">
        <f t="shared" si="1"/>
        <v xml:space="preserve"> </v>
      </c>
    </row>
    <row r="112" spans="1:16" ht="14.25" customHeight="1" x14ac:dyDescent="0.2">
      <c r="A112" t="s">
        <v>1035</v>
      </c>
      <c r="B112" t="s">
        <v>1036</v>
      </c>
      <c r="C112" t="s">
        <v>1037</v>
      </c>
      <c r="D112" t="s">
        <v>949</v>
      </c>
      <c r="E112" s="6" t="s">
        <v>4897</v>
      </c>
      <c r="F112" s="6">
        <v>1</v>
      </c>
      <c r="G112" t="s">
        <v>1041</v>
      </c>
      <c r="H112" s="59">
        <v>5916</v>
      </c>
      <c r="I112" t="s">
        <v>4776</v>
      </c>
      <c r="J112" s="63" t="s">
        <v>4919</v>
      </c>
      <c r="K112" s="52" t="s">
        <v>4920</v>
      </c>
      <c r="L112">
        <v>4</v>
      </c>
      <c r="M112" s="59">
        <v>13606</v>
      </c>
      <c r="N112" s="59" t="s">
        <v>4611</v>
      </c>
      <c r="O112" t="s">
        <v>4632</v>
      </c>
      <c r="P112" s="60" t="str">
        <f t="shared" si="1"/>
        <v xml:space="preserve"> </v>
      </c>
    </row>
    <row r="113" spans="1:16" ht="14.25" customHeight="1" x14ac:dyDescent="0.2">
      <c r="A113" t="s">
        <v>1035</v>
      </c>
      <c r="B113" t="s">
        <v>1036</v>
      </c>
      <c r="C113" t="s">
        <v>1037</v>
      </c>
      <c r="D113" t="s">
        <v>949</v>
      </c>
      <c r="E113" s="6" t="s">
        <v>4877</v>
      </c>
      <c r="F113" s="6">
        <v>2</v>
      </c>
      <c r="G113" t="s">
        <v>1042</v>
      </c>
      <c r="H113" s="59">
        <v>9214</v>
      </c>
      <c r="I113" t="s">
        <v>4776</v>
      </c>
      <c r="J113" s="63" t="s">
        <v>4921</v>
      </c>
      <c r="K113" s="52" t="s">
        <v>4922</v>
      </c>
      <c r="L113" t="s">
        <v>137</v>
      </c>
      <c r="M113" s="59" t="s">
        <v>137</v>
      </c>
      <c r="N113" s="59" t="s">
        <v>4616</v>
      </c>
      <c r="O113">
        <v>2000</v>
      </c>
      <c r="P113" s="60">
        <f t="shared" si="1"/>
        <v>2.1706099413935314</v>
      </c>
    </row>
    <row r="114" spans="1:16" ht="14.25" customHeight="1" x14ac:dyDescent="0.2">
      <c r="A114" t="s">
        <v>1047</v>
      </c>
      <c r="B114" t="s">
        <v>1048</v>
      </c>
      <c r="C114" t="s">
        <v>1049</v>
      </c>
      <c r="D114" t="s">
        <v>1054</v>
      </c>
      <c r="E114" s="6" t="s">
        <v>4923</v>
      </c>
      <c r="F114" s="6">
        <v>1</v>
      </c>
      <c r="G114" t="s">
        <v>1055</v>
      </c>
      <c r="H114" s="59">
        <v>3810</v>
      </c>
      <c r="I114" t="s">
        <v>4618</v>
      </c>
      <c r="J114" s="63" t="s">
        <v>4924</v>
      </c>
      <c r="K114" s="52" t="s">
        <v>4925</v>
      </c>
      <c r="L114">
        <v>5</v>
      </c>
      <c r="M114" s="59">
        <v>8115</v>
      </c>
      <c r="N114" s="59" t="s">
        <v>4611</v>
      </c>
      <c r="O114" t="s">
        <v>4632</v>
      </c>
      <c r="P114" s="60" t="str">
        <f t="shared" si="1"/>
        <v xml:space="preserve"> </v>
      </c>
    </row>
    <row r="115" spans="1:16" ht="14.25" customHeight="1" x14ac:dyDescent="0.2">
      <c r="A115" t="s">
        <v>1047</v>
      </c>
      <c r="B115" t="s">
        <v>1048</v>
      </c>
      <c r="C115" t="s">
        <v>1049</v>
      </c>
      <c r="D115" t="s">
        <v>1054</v>
      </c>
      <c r="E115" s="6" t="s">
        <v>4696</v>
      </c>
      <c r="F115" s="6">
        <v>2</v>
      </c>
      <c r="G115" t="s">
        <v>1056</v>
      </c>
      <c r="H115" s="59">
        <v>18000</v>
      </c>
      <c r="I115" t="s">
        <v>4629</v>
      </c>
      <c r="J115" s="63" t="s">
        <v>4926</v>
      </c>
      <c r="K115" s="52" t="s">
        <v>4926</v>
      </c>
      <c r="L115" t="s">
        <v>137</v>
      </c>
      <c r="M115" s="59" t="s">
        <v>137</v>
      </c>
      <c r="N115" s="59" t="s">
        <v>4616</v>
      </c>
      <c r="O115" t="s">
        <v>4632</v>
      </c>
      <c r="P115" s="60" t="str">
        <f t="shared" si="1"/>
        <v xml:space="preserve"> </v>
      </c>
    </row>
    <row r="116" spans="1:16" ht="14.25" customHeight="1" x14ac:dyDescent="0.2">
      <c r="A116" t="s">
        <v>1063</v>
      </c>
      <c r="B116" t="s">
        <v>1064</v>
      </c>
      <c r="C116" t="s">
        <v>1065</v>
      </c>
      <c r="D116" t="s">
        <v>1054</v>
      </c>
      <c r="E116" s="6" t="s">
        <v>4927</v>
      </c>
      <c r="F116" s="6">
        <v>1</v>
      </c>
      <c r="G116" t="s">
        <v>1070</v>
      </c>
      <c r="H116" s="59">
        <v>3810</v>
      </c>
      <c r="I116" t="s">
        <v>4618</v>
      </c>
      <c r="J116" s="63" t="s">
        <v>4928</v>
      </c>
      <c r="K116" s="52" t="s">
        <v>4929</v>
      </c>
      <c r="L116">
        <v>6</v>
      </c>
      <c r="M116" s="59">
        <v>13144</v>
      </c>
      <c r="N116" s="59" t="s">
        <v>4611</v>
      </c>
      <c r="O116">
        <v>3000</v>
      </c>
      <c r="P116" s="60">
        <f t="shared" si="1"/>
        <v>7.8740157480314963</v>
      </c>
    </row>
    <row r="117" spans="1:16" ht="14.25" customHeight="1" x14ac:dyDescent="0.2">
      <c r="A117" t="s">
        <v>1063</v>
      </c>
      <c r="B117" t="s">
        <v>1064</v>
      </c>
      <c r="C117" t="s">
        <v>1065</v>
      </c>
      <c r="D117" t="s">
        <v>1054</v>
      </c>
      <c r="E117" s="6" t="s">
        <v>4696</v>
      </c>
      <c r="F117" s="6">
        <v>2</v>
      </c>
      <c r="G117" t="s">
        <v>1071</v>
      </c>
      <c r="H117" s="59">
        <v>7560</v>
      </c>
      <c r="I117" t="s">
        <v>4629</v>
      </c>
      <c r="J117" s="63" t="s">
        <v>4930</v>
      </c>
      <c r="K117" s="52" t="s">
        <v>4930</v>
      </c>
      <c r="L117" t="s">
        <v>137</v>
      </c>
      <c r="M117" s="59" t="s">
        <v>137</v>
      </c>
      <c r="N117" s="59" t="s">
        <v>4616</v>
      </c>
      <c r="O117" t="s">
        <v>4632</v>
      </c>
      <c r="P117" s="60" t="str">
        <f t="shared" si="1"/>
        <v xml:space="preserve"> </v>
      </c>
    </row>
    <row r="118" spans="1:16" ht="14.25" customHeight="1" x14ac:dyDescent="0.2">
      <c r="A118" t="s">
        <v>1078</v>
      </c>
      <c r="B118" t="s">
        <v>1079</v>
      </c>
      <c r="C118" t="s">
        <v>1080</v>
      </c>
      <c r="D118" t="s">
        <v>1054</v>
      </c>
      <c r="E118" s="6" t="s">
        <v>4931</v>
      </c>
      <c r="F118" s="6">
        <v>1</v>
      </c>
      <c r="G118" t="s">
        <v>1085</v>
      </c>
      <c r="H118" s="59">
        <v>3780</v>
      </c>
      <c r="I118" t="s">
        <v>4618</v>
      </c>
      <c r="J118" s="63" t="s">
        <v>4932</v>
      </c>
      <c r="K118" s="52" t="s">
        <v>4933</v>
      </c>
      <c r="L118">
        <v>5</v>
      </c>
      <c r="M118" s="59">
        <v>7975</v>
      </c>
      <c r="N118" s="59" t="s">
        <v>4611</v>
      </c>
      <c r="O118">
        <f>18*110</f>
        <v>1980</v>
      </c>
      <c r="P118" s="60">
        <f t="shared" si="1"/>
        <v>5.2380952380952381</v>
      </c>
    </row>
    <row r="119" spans="1:16" ht="14.25" customHeight="1" x14ac:dyDescent="0.2">
      <c r="A119" t="s">
        <v>1078</v>
      </c>
      <c r="B119" t="s">
        <v>1079</v>
      </c>
      <c r="C119" t="s">
        <v>1080</v>
      </c>
      <c r="D119" t="s">
        <v>1054</v>
      </c>
      <c r="E119" s="6" t="s">
        <v>4934</v>
      </c>
      <c r="F119" s="6">
        <v>2</v>
      </c>
      <c r="G119" t="s">
        <v>1086</v>
      </c>
      <c r="H119" s="59">
        <v>7560</v>
      </c>
      <c r="I119" t="s">
        <v>4608</v>
      </c>
      <c r="J119" s="63" t="s">
        <v>4935</v>
      </c>
      <c r="K119" s="52" t="s">
        <v>4936</v>
      </c>
      <c r="L119" t="s">
        <v>137</v>
      </c>
      <c r="M119" s="59" t="s">
        <v>137</v>
      </c>
      <c r="N119" s="59" t="s">
        <v>4616</v>
      </c>
      <c r="O119">
        <f>330*7</f>
        <v>2310</v>
      </c>
      <c r="P119" s="60">
        <f t="shared" si="1"/>
        <v>3.0555555555555558</v>
      </c>
    </row>
    <row r="120" spans="1:16" ht="14.25" customHeight="1" x14ac:dyDescent="0.2">
      <c r="A120" t="s">
        <v>1096</v>
      </c>
      <c r="B120" t="s">
        <v>1097</v>
      </c>
      <c r="C120" t="s">
        <v>1098</v>
      </c>
      <c r="D120" t="s">
        <v>123</v>
      </c>
      <c r="E120" s="6" t="s">
        <v>4659</v>
      </c>
      <c r="F120" s="6">
        <v>1</v>
      </c>
      <c r="G120" t="s">
        <v>1104</v>
      </c>
      <c r="H120" s="59">
        <v>2714</v>
      </c>
      <c r="I120" t="s">
        <v>4629</v>
      </c>
      <c r="J120" s="63" t="s">
        <v>4937</v>
      </c>
      <c r="K120" s="52" t="s">
        <v>4938</v>
      </c>
      <c r="L120">
        <v>7</v>
      </c>
      <c r="M120" s="59">
        <v>8494</v>
      </c>
      <c r="N120" s="59" t="s">
        <v>4611</v>
      </c>
      <c r="O120">
        <v>1200</v>
      </c>
      <c r="P120" s="60">
        <f t="shared" si="1"/>
        <v>4.421518054532056</v>
      </c>
    </row>
    <row r="121" spans="1:16" ht="14.25" customHeight="1" x14ac:dyDescent="0.2">
      <c r="A121" t="s">
        <v>1096</v>
      </c>
      <c r="B121" t="s">
        <v>1097</v>
      </c>
      <c r="C121" t="s">
        <v>1098</v>
      </c>
      <c r="D121" t="s">
        <v>123</v>
      </c>
      <c r="E121" s="6" t="s">
        <v>4711</v>
      </c>
      <c r="F121" s="6">
        <v>2</v>
      </c>
      <c r="G121" t="s">
        <v>1105</v>
      </c>
      <c r="H121" s="59">
        <v>3372</v>
      </c>
      <c r="I121" t="s">
        <v>4869</v>
      </c>
      <c r="J121" s="63" t="s">
        <v>4939</v>
      </c>
      <c r="K121" s="52" t="s">
        <v>4940</v>
      </c>
      <c r="L121" t="s">
        <v>137</v>
      </c>
      <c r="M121" s="59" t="s">
        <v>137</v>
      </c>
      <c r="N121" s="59" t="s">
        <v>4616</v>
      </c>
      <c r="O121">
        <v>2500</v>
      </c>
      <c r="P121" s="60">
        <f t="shared" si="1"/>
        <v>7.41399762752076</v>
      </c>
    </row>
    <row r="122" spans="1:16" ht="14.25" customHeight="1" x14ac:dyDescent="0.2">
      <c r="A122" t="s">
        <v>1113</v>
      </c>
      <c r="B122" t="s">
        <v>1114</v>
      </c>
      <c r="C122" t="s">
        <v>1115</v>
      </c>
      <c r="D122" t="s">
        <v>123</v>
      </c>
      <c r="E122" s="6" t="s">
        <v>4941</v>
      </c>
      <c r="F122" s="6">
        <v>1</v>
      </c>
      <c r="G122" t="s">
        <v>1120</v>
      </c>
      <c r="H122" s="59">
        <v>3456</v>
      </c>
      <c r="I122" t="s">
        <v>4942</v>
      </c>
      <c r="J122" s="63" t="s">
        <v>4943</v>
      </c>
      <c r="K122" s="52" t="s">
        <v>4944</v>
      </c>
      <c r="L122" t="s">
        <v>137</v>
      </c>
      <c r="M122" s="59" t="s">
        <v>137</v>
      </c>
      <c r="N122" s="59" t="s">
        <v>4616</v>
      </c>
      <c r="O122" t="s">
        <v>4632</v>
      </c>
      <c r="P122" s="60" t="str">
        <f t="shared" si="1"/>
        <v xml:space="preserve"> </v>
      </c>
    </row>
    <row r="123" spans="1:16" ht="14.25" customHeight="1" x14ac:dyDescent="0.2">
      <c r="A123" t="s">
        <v>1113</v>
      </c>
      <c r="B123" t="s">
        <v>1114</v>
      </c>
      <c r="C123" t="s">
        <v>1115</v>
      </c>
      <c r="D123" t="s">
        <v>123</v>
      </c>
      <c r="E123" s="6" t="s">
        <v>4945</v>
      </c>
      <c r="F123" s="6">
        <v>2</v>
      </c>
      <c r="G123" t="s">
        <v>1121</v>
      </c>
      <c r="H123" s="59">
        <v>0</v>
      </c>
      <c r="I123" t="s">
        <v>4629</v>
      </c>
      <c r="J123" s="63" t="s">
        <v>4946</v>
      </c>
      <c r="K123" s="52" t="s">
        <v>4947</v>
      </c>
      <c r="L123">
        <v>4</v>
      </c>
      <c r="M123" s="59">
        <v>15759</v>
      </c>
      <c r="N123" s="59" t="s">
        <v>4611</v>
      </c>
      <c r="O123">
        <v>3000</v>
      </c>
      <c r="P123" s="62" t="str">
        <f t="shared" si="1"/>
        <v xml:space="preserve"> </v>
      </c>
    </row>
    <row r="124" spans="1:16" ht="14.25" customHeight="1" x14ac:dyDescent="0.2">
      <c r="A124" t="s">
        <v>1130</v>
      </c>
      <c r="B124" t="s">
        <v>1131</v>
      </c>
      <c r="C124" t="s">
        <v>1132</v>
      </c>
      <c r="D124" t="s">
        <v>123</v>
      </c>
      <c r="E124" s="6" t="s">
        <v>4948</v>
      </c>
      <c r="F124" s="6">
        <v>1</v>
      </c>
      <c r="G124" t="s">
        <v>1137</v>
      </c>
      <c r="H124" s="59">
        <v>2649</v>
      </c>
      <c r="I124" t="s">
        <v>4618</v>
      </c>
      <c r="J124" s="63" t="s">
        <v>4949</v>
      </c>
      <c r="K124" s="52" t="s">
        <v>4950</v>
      </c>
      <c r="L124">
        <v>3</v>
      </c>
      <c r="M124" s="59">
        <v>7682</v>
      </c>
      <c r="N124" s="59" t="s">
        <v>4611</v>
      </c>
      <c r="O124">
        <v>2400</v>
      </c>
      <c r="P124" s="62">
        <f t="shared" si="1"/>
        <v>9.0600226500566254</v>
      </c>
    </row>
    <row r="125" spans="1:16" ht="14.25" customHeight="1" x14ac:dyDescent="0.2">
      <c r="A125" t="s">
        <v>1130</v>
      </c>
      <c r="B125" t="s">
        <v>1131</v>
      </c>
      <c r="C125" t="s">
        <v>1132</v>
      </c>
      <c r="D125" t="s">
        <v>123</v>
      </c>
      <c r="E125" s="6" t="s">
        <v>4951</v>
      </c>
      <c r="F125" s="6">
        <v>2</v>
      </c>
      <c r="G125" t="s">
        <v>1138</v>
      </c>
      <c r="H125" s="59">
        <v>7641</v>
      </c>
      <c r="I125" t="s">
        <v>4629</v>
      </c>
      <c r="J125" s="63" t="s">
        <v>4952</v>
      </c>
      <c r="K125" s="52" t="s">
        <v>4953</v>
      </c>
      <c r="L125" t="s">
        <v>137</v>
      </c>
      <c r="M125" s="59" t="s">
        <v>137</v>
      </c>
      <c r="N125" s="59" t="s">
        <v>4616</v>
      </c>
      <c r="O125">
        <v>1800</v>
      </c>
      <c r="P125" s="60">
        <f t="shared" si="1"/>
        <v>2.3557126030624262</v>
      </c>
    </row>
    <row r="126" spans="1:16" ht="14.25" customHeight="1" x14ac:dyDescent="0.2">
      <c r="A126" t="s">
        <v>1144</v>
      </c>
      <c r="B126" t="s">
        <v>1145</v>
      </c>
      <c r="C126" t="s">
        <v>1146</v>
      </c>
      <c r="D126" t="s">
        <v>123</v>
      </c>
      <c r="E126" s="6" t="s">
        <v>4711</v>
      </c>
      <c r="F126" s="6">
        <v>1</v>
      </c>
      <c r="G126" t="s">
        <v>1151</v>
      </c>
      <c r="H126" s="59">
        <v>2714</v>
      </c>
      <c r="I126" t="s">
        <v>4660</v>
      </c>
      <c r="J126" s="63" t="s">
        <v>4954</v>
      </c>
      <c r="K126" s="52" t="s">
        <v>4955</v>
      </c>
      <c r="L126">
        <v>4</v>
      </c>
      <c r="M126" s="59">
        <v>8549</v>
      </c>
      <c r="N126" s="59" t="s">
        <v>4611</v>
      </c>
      <c r="O126">
        <v>1800</v>
      </c>
      <c r="P126" s="60">
        <f t="shared" si="1"/>
        <v>6.6322770817980832</v>
      </c>
    </row>
    <row r="127" spans="1:16" ht="14.25" customHeight="1" x14ac:dyDescent="0.2">
      <c r="A127" t="s">
        <v>1144</v>
      </c>
      <c r="B127" t="s">
        <v>1145</v>
      </c>
      <c r="C127" t="s">
        <v>1146</v>
      </c>
      <c r="D127" t="s">
        <v>123</v>
      </c>
      <c r="E127" s="6" t="s">
        <v>4659</v>
      </c>
      <c r="F127" s="6">
        <v>2</v>
      </c>
      <c r="G127" t="s">
        <v>1152</v>
      </c>
      <c r="H127" s="59">
        <v>4817</v>
      </c>
      <c r="I127" t="s">
        <v>4641</v>
      </c>
      <c r="J127" s="63" t="s">
        <v>4956</v>
      </c>
      <c r="K127" s="52" t="s">
        <v>4957</v>
      </c>
      <c r="L127" t="s">
        <v>137</v>
      </c>
      <c r="M127" s="59" t="s">
        <v>137</v>
      </c>
      <c r="N127" s="59" t="s">
        <v>4616</v>
      </c>
      <c r="O127">
        <f>650*3</f>
        <v>1950</v>
      </c>
      <c r="P127" s="60">
        <f t="shared" si="1"/>
        <v>4.0481627569026362</v>
      </c>
    </row>
    <row r="128" spans="1:16" ht="14.25" customHeight="1" x14ac:dyDescent="0.2">
      <c r="A128" t="s">
        <v>1158</v>
      </c>
      <c r="B128" t="s">
        <v>1159</v>
      </c>
      <c r="C128" t="s">
        <v>1160</v>
      </c>
      <c r="D128" t="s">
        <v>123</v>
      </c>
      <c r="E128" s="6" t="s">
        <v>4958</v>
      </c>
      <c r="F128" s="6">
        <v>1</v>
      </c>
      <c r="G128" t="s">
        <v>1165</v>
      </c>
      <c r="H128" s="59">
        <v>2503</v>
      </c>
      <c r="I128" t="s">
        <v>4629</v>
      </c>
      <c r="J128" s="63" t="s">
        <v>4959</v>
      </c>
      <c r="K128" s="52" t="s">
        <v>4960</v>
      </c>
      <c r="L128" t="s">
        <v>137</v>
      </c>
      <c r="M128" s="59" t="s">
        <v>137</v>
      </c>
      <c r="N128" s="59" t="s">
        <v>4616</v>
      </c>
      <c r="O128">
        <v>1200</v>
      </c>
      <c r="P128" s="60">
        <f t="shared" si="1"/>
        <v>4.7942469037155409</v>
      </c>
    </row>
    <row r="129" spans="1:16" ht="14.25" customHeight="1" x14ac:dyDescent="0.2">
      <c r="A129" t="s">
        <v>1158</v>
      </c>
      <c r="B129" t="s">
        <v>1159</v>
      </c>
      <c r="C129" t="s">
        <v>1160</v>
      </c>
      <c r="D129" t="s">
        <v>123</v>
      </c>
      <c r="E129" s="6" t="s">
        <v>4628</v>
      </c>
      <c r="F129" s="6">
        <v>2</v>
      </c>
      <c r="G129" t="s">
        <v>1166</v>
      </c>
      <c r="H129" s="59">
        <v>6424</v>
      </c>
      <c r="I129" t="s">
        <v>4629</v>
      </c>
      <c r="J129" s="63" t="s">
        <v>4961</v>
      </c>
      <c r="K129" s="52" t="s">
        <v>4962</v>
      </c>
      <c r="L129">
        <v>6</v>
      </c>
      <c r="M129" s="59">
        <v>17344</v>
      </c>
      <c r="N129" s="59" t="s">
        <v>4611</v>
      </c>
      <c r="O129" t="s">
        <v>4632</v>
      </c>
      <c r="P129" s="60" t="str">
        <f t="shared" si="1"/>
        <v xml:space="preserve"> </v>
      </c>
    </row>
    <row r="130" spans="1:16" ht="14.25" customHeight="1" x14ac:dyDescent="0.2">
      <c r="A130" t="s">
        <v>1170</v>
      </c>
      <c r="B130" t="s">
        <v>1171</v>
      </c>
      <c r="C130" t="s">
        <v>1172</v>
      </c>
      <c r="D130" t="s">
        <v>123</v>
      </c>
      <c r="E130" s="6" t="s">
        <v>4633</v>
      </c>
      <c r="F130" s="6">
        <v>1</v>
      </c>
      <c r="G130" t="s">
        <v>1176</v>
      </c>
      <c r="H130" s="59">
        <v>2443</v>
      </c>
      <c r="I130" t="s">
        <v>4700</v>
      </c>
      <c r="J130" s="63" t="s">
        <v>4963</v>
      </c>
      <c r="K130" s="52" t="s">
        <v>4964</v>
      </c>
      <c r="L130">
        <v>3</v>
      </c>
      <c r="M130" s="59">
        <v>7329</v>
      </c>
      <c r="N130" s="59" t="s">
        <v>4611</v>
      </c>
      <c r="O130">
        <v>1800</v>
      </c>
      <c r="P130" s="60">
        <f t="shared" ref="P130:P193" si="2">IFERROR(O130/H130*10," ")</f>
        <v>7.3679901760130981</v>
      </c>
    </row>
    <row r="131" spans="1:16" ht="14.25" customHeight="1" x14ac:dyDescent="0.2">
      <c r="A131" t="s">
        <v>1170</v>
      </c>
      <c r="B131" t="s">
        <v>1171</v>
      </c>
      <c r="C131" t="s">
        <v>1172</v>
      </c>
      <c r="D131" t="s">
        <v>123</v>
      </c>
      <c r="E131" s="6" t="s">
        <v>4833</v>
      </c>
      <c r="F131" s="6">
        <v>2</v>
      </c>
      <c r="G131" t="s">
        <v>1177</v>
      </c>
      <c r="H131" s="59">
        <v>5225</v>
      </c>
      <c r="I131" t="s">
        <v>4965</v>
      </c>
      <c r="J131" s="63" t="s">
        <v>4966</v>
      </c>
      <c r="K131" s="52" t="s">
        <v>4967</v>
      </c>
      <c r="L131" t="s">
        <v>137</v>
      </c>
      <c r="M131" s="59" t="s">
        <v>137</v>
      </c>
      <c r="N131" s="59" t="s">
        <v>4616</v>
      </c>
      <c r="O131">
        <v>1800</v>
      </c>
      <c r="P131" s="60">
        <f t="shared" si="2"/>
        <v>3.4449760765550241</v>
      </c>
    </row>
    <row r="132" spans="1:16" ht="14.25" customHeight="1" x14ac:dyDescent="0.2">
      <c r="A132" t="s">
        <v>1184</v>
      </c>
      <c r="B132" t="s">
        <v>1185</v>
      </c>
      <c r="C132" t="s">
        <v>1186</v>
      </c>
      <c r="D132" t="s">
        <v>330</v>
      </c>
      <c r="E132" s="6" t="s">
        <v>4968</v>
      </c>
      <c r="F132" s="6">
        <v>1</v>
      </c>
      <c r="G132" t="s">
        <v>1191</v>
      </c>
      <c r="H132" s="59">
        <v>2640</v>
      </c>
      <c r="I132" t="s">
        <v>4608</v>
      </c>
      <c r="J132" s="63" t="s">
        <v>4969</v>
      </c>
      <c r="K132" s="52" t="s">
        <v>4970</v>
      </c>
      <c r="L132" t="s">
        <v>137</v>
      </c>
      <c r="M132" s="59" t="s">
        <v>137</v>
      </c>
      <c r="N132" s="59" t="s">
        <v>4616</v>
      </c>
      <c r="O132">
        <v>2500</v>
      </c>
      <c r="P132" s="60">
        <f t="shared" si="2"/>
        <v>9.4696969696969706</v>
      </c>
    </row>
    <row r="133" spans="1:16" ht="14.25" customHeight="1" x14ac:dyDescent="0.2">
      <c r="A133" t="s">
        <v>1184</v>
      </c>
      <c r="B133" t="s">
        <v>1185</v>
      </c>
      <c r="C133" t="s">
        <v>1186</v>
      </c>
      <c r="D133" t="s">
        <v>330</v>
      </c>
      <c r="E133" s="6" t="s">
        <v>4971</v>
      </c>
      <c r="F133" s="6">
        <v>2</v>
      </c>
      <c r="G133" t="s">
        <v>1192</v>
      </c>
      <c r="H133" s="59">
        <v>5280</v>
      </c>
      <c r="I133" t="s">
        <v>4608</v>
      </c>
      <c r="J133" s="63" t="s">
        <v>4972</v>
      </c>
      <c r="K133" s="52" t="s">
        <v>4973</v>
      </c>
      <c r="L133">
        <v>6</v>
      </c>
      <c r="M133" s="59">
        <v>11431</v>
      </c>
      <c r="N133" s="59" t="s">
        <v>4611</v>
      </c>
      <c r="O133">
        <f>330*7</f>
        <v>2310</v>
      </c>
      <c r="P133" s="60">
        <f t="shared" si="2"/>
        <v>4.375</v>
      </c>
    </row>
    <row r="134" spans="1:16" ht="14.25" customHeight="1" x14ac:dyDescent="0.2">
      <c r="A134" t="s">
        <v>1202</v>
      </c>
      <c r="B134" t="s">
        <v>1203</v>
      </c>
      <c r="C134" t="s">
        <v>1204</v>
      </c>
      <c r="D134" t="s">
        <v>330</v>
      </c>
      <c r="E134" s="6" t="s">
        <v>4678</v>
      </c>
      <c r="F134" s="6">
        <v>1</v>
      </c>
      <c r="G134" t="s">
        <v>1209</v>
      </c>
      <c r="H134" s="59">
        <v>3840</v>
      </c>
      <c r="I134" t="s">
        <v>4629</v>
      </c>
      <c r="J134" s="63" t="s">
        <v>4974</v>
      </c>
      <c r="K134" s="52" t="s">
        <v>4975</v>
      </c>
      <c r="L134" t="s">
        <v>137</v>
      </c>
      <c r="M134" s="59" t="s">
        <v>137</v>
      </c>
      <c r="N134" s="59" t="s">
        <v>4616</v>
      </c>
      <c r="O134" t="s">
        <v>4632</v>
      </c>
      <c r="P134" s="60" t="str">
        <f t="shared" si="2"/>
        <v xml:space="preserve"> </v>
      </c>
    </row>
    <row r="135" spans="1:16" ht="14.25" customHeight="1" x14ac:dyDescent="0.2">
      <c r="A135" t="s">
        <v>1202</v>
      </c>
      <c r="B135" t="s">
        <v>1203</v>
      </c>
      <c r="C135" t="s">
        <v>1204</v>
      </c>
      <c r="D135" t="s">
        <v>330</v>
      </c>
      <c r="E135" s="6" t="s">
        <v>4976</v>
      </c>
      <c r="F135" s="6">
        <v>2</v>
      </c>
      <c r="G135" t="s">
        <v>1210</v>
      </c>
      <c r="H135" s="59">
        <v>5570</v>
      </c>
      <c r="I135" t="s">
        <v>4629</v>
      </c>
      <c r="J135" s="63" t="s">
        <v>4977</v>
      </c>
      <c r="K135" s="52" t="s">
        <v>4978</v>
      </c>
      <c r="L135">
        <v>6</v>
      </c>
      <c r="M135" s="59">
        <v>16668</v>
      </c>
      <c r="N135" s="59" t="s">
        <v>4611</v>
      </c>
      <c r="O135">
        <f>6*550</f>
        <v>3300</v>
      </c>
      <c r="P135" s="60">
        <f t="shared" si="2"/>
        <v>5.9245960502692991</v>
      </c>
    </row>
    <row r="136" spans="1:16" ht="14.25" customHeight="1" x14ac:dyDescent="0.2">
      <c r="A136" t="s">
        <v>1220</v>
      </c>
      <c r="B136" t="s">
        <v>1221</v>
      </c>
      <c r="C136" t="s">
        <v>1222</v>
      </c>
      <c r="D136" t="s">
        <v>330</v>
      </c>
      <c r="E136" s="6" t="s">
        <v>4979</v>
      </c>
      <c r="F136" s="6">
        <v>1</v>
      </c>
      <c r="G136" t="s">
        <v>1227</v>
      </c>
      <c r="H136" s="59">
        <v>2640</v>
      </c>
      <c r="I136" t="s">
        <v>4618</v>
      </c>
      <c r="J136" s="63" t="s">
        <v>4980</v>
      </c>
      <c r="K136" s="52" t="s">
        <v>4981</v>
      </c>
      <c r="L136">
        <v>6</v>
      </c>
      <c r="M136" s="59">
        <v>7656</v>
      </c>
      <c r="N136" s="59" t="s">
        <v>4611</v>
      </c>
      <c r="O136">
        <v>2500</v>
      </c>
      <c r="P136" s="60">
        <f t="shared" si="2"/>
        <v>9.4696969696969706</v>
      </c>
    </row>
    <row r="137" spans="1:16" ht="14.25" customHeight="1" x14ac:dyDescent="0.2">
      <c r="A137" t="s">
        <v>1220</v>
      </c>
      <c r="B137" t="s">
        <v>1221</v>
      </c>
      <c r="C137" t="s">
        <v>1222</v>
      </c>
      <c r="D137" t="s">
        <v>330</v>
      </c>
      <c r="E137" s="6" t="s">
        <v>4982</v>
      </c>
      <c r="F137" s="6">
        <v>2</v>
      </c>
      <c r="G137" t="s">
        <v>1228</v>
      </c>
      <c r="H137" s="59">
        <v>5280</v>
      </c>
      <c r="I137" t="s">
        <v>4608</v>
      </c>
      <c r="J137" s="63" t="s">
        <v>4983</v>
      </c>
      <c r="K137" s="52" t="s">
        <v>4984</v>
      </c>
      <c r="L137" t="s">
        <v>137</v>
      </c>
      <c r="M137" s="59" t="s">
        <v>137</v>
      </c>
      <c r="N137" s="59" t="s">
        <v>4616</v>
      </c>
      <c r="O137">
        <v>3000</v>
      </c>
      <c r="P137" s="60">
        <f t="shared" si="2"/>
        <v>5.6818181818181825</v>
      </c>
    </row>
    <row r="138" spans="1:16" ht="14.25" customHeight="1" x14ac:dyDescent="0.2">
      <c r="A138" t="s">
        <v>1236</v>
      </c>
      <c r="B138" t="s">
        <v>1237</v>
      </c>
      <c r="C138" t="s">
        <v>1238</v>
      </c>
      <c r="D138" t="s">
        <v>330</v>
      </c>
      <c r="E138" s="6" t="s">
        <v>4985</v>
      </c>
      <c r="F138" s="6">
        <v>1</v>
      </c>
      <c r="G138" t="s">
        <v>1243</v>
      </c>
      <c r="H138" s="59">
        <v>2640</v>
      </c>
      <c r="I138" t="s">
        <v>4986</v>
      </c>
      <c r="J138" s="63" t="s">
        <v>4987</v>
      </c>
      <c r="K138" s="52" t="s">
        <v>4988</v>
      </c>
      <c r="L138" t="s">
        <v>137</v>
      </c>
      <c r="M138" s="59" t="s">
        <v>137</v>
      </c>
      <c r="N138" s="59" t="s">
        <v>4616</v>
      </c>
      <c r="O138">
        <f>6*300</f>
        <v>1800</v>
      </c>
      <c r="P138" s="60">
        <f t="shared" si="2"/>
        <v>6.8181818181818175</v>
      </c>
    </row>
    <row r="139" spans="1:16" ht="14.25" customHeight="1" x14ac:dyDescent="0.2">
      <c r="A139" t="s">
        <v>1236</v>
      </c>
      <c r="B139" t="s">
        <v>1237</v>
      </c>
      <c r="C139" t="s">
        <v>1238</v>
      </c>
      <c r="D139" t="s">
        <v>330</v>
      </c>
      <c r="E139" s="6" t="s">
        <v>4989</v>
      </c>
      <c r="F139" s="6">
        <v>2</v>
      </c>
      <c r="G139" t="s">
        <v>1244</v>
      </c>
      <c r="H139" s="59">
        <v>10595</v>
      </c>
      <c r="I139" t="s">
        <v>4629</v>
      </c>
      <c r="J139" s="63" t="s">
        <v>4990</v>
      </c>
      <c r="K139" s="52" t="s">
        <v>4991</v>
      </c>
      <c r="L139" t="s">
        <v>137</v>
      </c>
      <c r="M139" s="59" t="s">
        <v>137</v>
      </c>
      <c r="N139" s="59" t="s">
        <v>4616</v>
      </c>
      <c r="O139" t="s">
        <v>4632</v>
      </c>
      <c r="P139" s="60" t="str">
        <f t="shared" si="2"/>
        <v xml:space="preserve"> </v>
      </c>
    </row>
    <row r="140" spans="1:16" ht="14.25" customHeight="1" x14ac:dyDescent="0.2">
      <c r="A140" t="s">
        <v>1250</v>
      </c>
      <c r="B140" t="s">
        <v>1251</v>
      </c>
      <c r="C140" t="s">
        <v>1252</v>
      </c>
      <c r="D140" t="s">
        <v>330</v>
      </c>
      <c r="E140" s="6" t="s">
        <v>4740</v>
      </c>
      <c r="F140" s="6">
        <v>1</v>
      </c>
      <c r="G140" t="s">
        <v>1257</v>
      </c>
      <c r="H140" s="59">
        <v>2489</v>
      </c>
      <c r="I140" t="s">
        <v>4608</v>
      </c>
      <c r="J140" s="63" t="s">
        <v>4992</v>
      </c>
      <c r="K140" s="52" t="s">
        <v>4993</v>
      </c>
      <c r="L140" t="s">
        <v>137</v>
      </c>
      <c r="M140" s="59" t="s">
        <v>137</v>
      </c>
      <c r="N140" s="59" t="s">
        <v>4616</v>
      </c>
      <c r="O140">
        <v>3400</v>
      </c>
      <c r="P140" s="60">
        <f t="shared" si="2"/>
        <v>13.660104459622337</v>
      </c>
    </row>
    <row r="141" spans="1:16" ht="14.25" customHeight="1" x14ac:dyDescent="0.2">
      <c r="A141" t="s">
        <v>1250</v>
      </c>
      <c r="B141" t="s">
        <v>1251</v>
      </c>
      <c r="C141" t="s">
        <v>1252</v>
      </c>
      <c r="D141" t="s">
        <v>330</v>
      </c>
      <c r="E141" s="6" t="s">
        <v>4897</v>
      </c>
      <c r="F141" s="6">
        <v>2</v>
      </c>
      <c r="G141" t="s">
        <v>1258</v>
      </c>
      <c r="H141" s="59">
        <v>7383</v>
      </c>
      <c r="I141" t="s">
        <v>4618</v>
      </c>
      <c r="J141" s="63" t="s">
        <v>4994</v>
      </c>
      <c r="K141" s="52" t="s">
        <v>4995</v>
      </c>
      <c r="L141">
        <v>6</v>
      </c>
      <c r="M141" s="59">
        <v>16611</v>
      </c>
      <c r="N141" s="59" t="s">
        <v>4611</v>
      </c>
      <c r="O141" t="s">
        <v>4632</v>
      </c>
      <c r="P141" s="60" t="str">
        <f t="shared" si="2"/>
        <v xml:space="preserve"> </v>
      </c>
    </row>
    <row r="142" spans="1:16" ht="14.25" customHeight="1" x14ac:dyDescent="0.2">
      <c r="A142" t="s">
        <v>1265</v>
      </c>
      <c r="B142" t="s">
        <v>1266</v>
      </c>
      <c r="C142" t="s">
        <v>1267</v>
      </c>
      <c r="D142" t="s">
        <v>330</v>
      </c>
      <c r="E142" s="6" t="s">
        <v>4648</v>
      </c>
      <c r="F142" s="6">
        <v>1</v>
      </c>
      <c r="G142" t="s">
        <v>1272</v>
      </c>
      <c r="H142" s="59">
        <v>2537</v>
      </c>
      <c r="I142" t="s">
        <v>4629</v>
      </c>
      <c r="J142" s="63" t="s">
        <v>4996</v>
      </c>
      <c r="K142" s="52" t="s">
        <v>4997</v>
      </c>
      <c r="L142" t="s">
        <v>137</v>
      </c>
      <c r="M142" s="59" t="s">
        <v>137</v>
      </c>
      <c r="N142" s="59" t="s">
        <v>4616</v>
      </c>
      <c r="O142">
        <f>4*650</f>
        <v>2600</v>
      </c>
      <c r="P142" s="60">
        <f t="shared" si="2"/>
        <v>10.248324793062674</v>
      </c>
    </row>
    <row r="143" spans="1:16" ht="14.25" customHeight="1" x14ac:dyDescent="0.2">
      <c r="A143" t="s">
        <v>1265</v>
      </c>
      <c r="B143" t="s">
        <v>1266</v>
      </c>
      <c r="C143" t="s">
        <v>1267</v>
      </c>
      <c r="D143" t="s">
        <v>330</v>
      </c>
      <c r="E143" s="6" t="s">
        <v>4628</v>
      </c>
      <c r="F143" s="6">
        <v>2</v>
      </c>
      <c r="G143" t="s">
        <v>1273</v>
      </c>
      <c r="H143" s="59">
        <v>4877</v>
      </c>
      <c r="I143" t="s">
        <v>4629</v>
      </c>
      <c r="J143" s="63" t="s">
        <v>4998</v>
      </c>
      <c r="K143" s="52" t="s">
        <v>4999</v>
      </c>
      <c r="L143" t="s">
        <v>137</v>
      </c>
      <c r="M143" s="59" t="s">
        <v>137</v>
      </c>
      <c r="N143" s="59" t="s">
        <v>4616</v>
      </c>
      <c r="O143" t="s">
        <v>4632</v>
      </c>
      <c r="P143" s="60" t="str">
        <f t="shared" si="2"/>
        <v xml:space="preserve"> </v>
      </c>
    </row>
    <row r="144" spans="1:16" ht="14.25" customHeight="1" x14ac:dyDescent="0.2">
      <c r="A144" t="s">
        <v>1278</v>
      </c>
      <c r="B144" t="s">
        <v>1279</v>
      </c>
      <c r="C144" t="s">
        <v>1280</v>
      </c>
      <c r="D144" t="s">
        <v>330</v>
      </c>
      <c r="E144" s="6" t="s">
        <v>4711</v>
      </c>
      <c r="F144" s="6">
        <v>1</v>
      </c>
      <c r="G144" t="s">
        <v>1284</v>
      </c>
      <c r="H144" s="59">
        <v>2640</v>
      </c>
      <c r="I144" t="s">
        <v>4712</v>
      </c>
      <c r="J144" s="63" t="s">
        <v>5000</v>
      </c>
      <c r="K144" s="52" t="s">
        <v>5001</v>
      </c>
      <c r="L144">
        <v>6</v>
      </c>
      <c r="M144" s="59">
        <v>6072</v>
      </c>
      <c r="N144" s="59" t="s">
        <v>4611</v>
      </c>
      <c r="O144">
        <v>2500</v>
      </c>
      <c r="P144" s="60">
        <f t="shared" si="2"/>
        <v>9.4696969696969706</v>
      </c>
    </row>
    <row r="145" spans="1:16" ht="14.25" customHeight="1" x14ac:dyDescent="0.2">
      <c r="A145" t="s">
        <v>1278</v>
      </c>
      <c r="B145" t="s">
        <v>1279</v>
      </c>
      <c r="C145" t="s">
        <v>1280</v>
      </c>
      <c r="D145" t="s">
        <v>330</v>
      </c>
      <c r="E145" s="6" t="s">
        <v>4628</v>
      </c>
      <c r="F145" s="6">
        <v>2</v>
      </c>
      <c r="G145" t="s">
        <v>1285</v>
      </c>
      <c r="H145" s="59">
        <v>4101</v>
      </c>
      <c r="I145" t="s">
        <v>4629</v>
      </c>
      <c r="J145" s="63" t="s">
        <v>5002</v>
      </c>
      <c r="K145" s="52" t="s">
        <v>5003</v>
      </c>
      <c r="L145" t="s">
        <v>137</v>
      </c>
      <c r="M145" s="59" t="s">
        <v>137</v>
      </c>
      <c r="N145" s="59" t="s">
        <v>4616</v>
      </c>
      <c r="O145" t="s">
        <v>4632</v>
      </c>
      <c r="P145" s="60" t="str">
        <f t="shared" si="2"/>
        <v xml:space="preserve"> </v>
      </c>
    </row>
    <row r="146" spans="1:16" ht="14.25" customHeight="1" x14ac:dyDescent="0.2">
      <c r="A146" t="s">
        <v>1291</v>
      </c>
      <c r="B146" t="s">
        <v>1292</v>
      </c>
      <c r="C146" t="s">
        <v>1293</v>
      </c>
      <c r="D146" t="s">
        <v>429</v>
      </c>
      <c r="E146" s="6" t="s">
        <v>5004</v>
      </c>
      <c r="F146" s="6">
        <v>1</v>
      </c>
      <c r="G146" t="s">
        <v>1298</v>
      </c>
      <c r="H146" s="59">
        <v>2800</v>
      </c>
      <c r="I146" t="s">
        <v>4668</v>
      </c>
      <c r="J146" s="63" t="s">
        <v>5005</v>
      </c>
      <c r="K146" s="52" t="s">
        <v>5006</v>
      </c>
      <c r="L146">
        <v>6</v>
      </c>
      <c r="M146" s="59">
        <v>9940</v>
      </c>
      <c r="N146" s="59" t="s">
        <v>4611</v>
      </c>
      <c r="O146">
        <v>2800</v>
      </c>
      <c r="P146" s="60">
        <f t="shared" si="2"/>
        <v>10</v>
      </c>
    </row>
    <row r="147" spans="1:16" ht="14.25" customHeight="1" x14ac:dyDescent="0.2">
      <c r="A147" t="s">
        <v>1291</v>
      </c>
      <c r="B147" t="s">
        <v>1292</v>
      </c>
      <c r="C147" t="s">
        <v>1293</v>
      </c>
      <c r="D147" t="s">
        <v>429</v>
      </c>
      <c r="E147" s="6" t="s">
        <v>5007</v>
      </c>
      <c r="F147" s="6">
        <v>2</v>
      </c>
      <c r="G147" t="s">
        <v>1299</v>
      </c>
      <c r="H147" s="59">
        <v>8000</v>
      </c>
      <c r="I147" t="s">
        <v>4942</v>
      </c>
      <c r="J147" s="63" t="s">
        <v>5008</v>
      </c>
      <c r="K147" s="52" t="s">
        <v>5009</v>
      </c>
      <c r="L147" t="s">
        <v>137</v>
      </c>
      <c r="M147" s="59" t="s">
        <v>137</v>
      </c>
      <c r="N147" s="59" t="s">
        <v>4616</v>
      </c>
      <c r="O147">
        <v>3600</v>
      </c>
      <c r="P147" s="60">
        <f t="shared" si="2"/>
        <v>4.5</v>
      </c>
    </row>
    <row r="148" spans="1:16" ht="14.25" customHeight="1" x14ac:dyDescent="0.2">
      <c r="A148" t="s">
        <v>1309</v>
      </c>
      <c r="B148" t="s">
        <v>1310</v>
      </c>
      <c r="C148" t="s">
        <v>1311</v>
      </c>
      <c r="D148" t="s">
        <v>429</v>
      </c>
      <c r="E148" s="6" t="s">
        <v>5010</v>
      </c>
      <c r="F148" s="6">
        <v>1</v>
      </c>
      <c r="G148" t="s">
        <v>1316</v>
      </c>
      <c r="H148" s="59">
        <v>2248</v>
      </c>
      <c r="I148" t="s">
        <v>4629</v>
      </c>
      <c r="J148" s="63" t="s">
        <v>5011</v>
      </c>
      <c r="K148" s="61" t="s">
        <v>5012</v>
      </c>
      <c r="L148" t="s">
        <v>137</v>
      </c>
      <c r="M148" s="59" t="s">
        <v>137</v>
      </c>
      <c r="N148" s="59" t="s">
        <v>4616</v>
      </c>
      <c r="O148">
        <v>2400</v>
      </c>
      <c r="P148" s="60">
        <f t="shared" si="2"/>
        <v>10.676156583629892</v>
      </c>
    </row>
    <row r="149" spans="1:16" ht="14.25" customHeight="1" x14ac:dyDescent="0.2">
      <c r="A149" t="s">
        <v>1309</v>
      </c>
      <c r="B149" t="s">
        <v>1310</v>
      </c>
      <c r="C149" t="s">
        <v>1311</v>
      </c>
      <c r="D149" t="s">
        <v>429</v>
      </c>
      <c r="E149" s="6" t="s">
        <v>5013</v>
      </c>
      <c r="F149" s="6">
        <v>2</v>
      </c>
      <c r="G149" t="s">
        <v>1317</v>
      </c>
      <c r="H149" s="59">
        <v>7868</v>
      </c>
      <c r="I149" t="s">
        <v>4629</v>
      </c>
      <c r="J149" s="63" t="s">
        <v>5014</v>
      </c>
      <c r="K149" s="52" t="s">
        <v>5015</v>
      </c>
      <c r="L149" t="s">
        <v>137</v>
      </c>
      <c r="M149" s="59" t="s">
        <v>137</v>
      </c>
      <c r="N149" s="59" t="s">
        <v>4616</v>
      </c>
      <c r="O149">
        <v>3000</v>
      </c>
      <c r="P149" s="60">
        <f t="shared" si="2"/>
        <v>3.8129130655821046</v>
      </c>
    </row>
    <row r="150" spans="1:16" ht="14.25" customHeight="1" x14ac:dyDescent="0.2">
      <c r="A150" t="s">
        <v>1325</v>
      </c>
      <c r="B150" t="s">
        <v>1326</v>
      </c>
      <c r="C150" t="s">
        <v>1327</v>
      </c>
      <c r="D150" t="s">
        <v>429</v>
      </c>
      <c r="E150" s="6" t="s">
        <v>5016</v>
      </c>
      <c r="F150" s="6">
        <v>1</v>
      </c>
      <c r="G150" t="s">
        <v>1332</v>
      </c>
      <c r="H150" s="59">
        <v>2275</v>
      </c>
      <c r="I150" t="s">
        <v>4986</v>
      </c>
      <c r="J150" s="63" t="s">
        <v>5017</v>
      </c>
      <c r="K150" s="52" t="s">
        <v>5018</v>
      </c>
      <c r="L150" t="s">
        <v>137</v>
      </c>
      <c r="M150" s="59" t="s">
        <v>137</v>
      </c>
      <c r="N150" s="59" t="s">
        <v>4616</v>
      </c>
      <c r="O150">
        <f>270*8</f>
        <v>2160</v>
      </c>
      <c r="P150" s="60">
        <f t="shared" si="2"/>
        <v>9.4945054945054945</v>
      </c>
    </row>
    <row r="151" spans="1:16" ht="14.25" customHeight="1" x14ac:dyDescent="0.2">
      <c r="A151" t="s">
        <v>1325</v>
      </c>
      <c r="B151" t="s">
        <v>1326</v>
      </c>
      <c r="C151" t="s">
        <v>1327</v>
      </c>
      <c r="D151" t="s">
        <v>429</v>
      </c>
      <c r="E151" s="6" t="s">
        <v>5019</v>
      </c>
      <c r="F151" s="6">
        <v>2</v>
      </c>
      <c r="G151" t="s">
        <v>1333</v>
      </c>
      <c r="H151" s="59">
        <v>10595</v>
      </c>
      <c r="I151" t="s">
        <v>4629</v>
      </c>
      <c r="J151" s="63" t="s">
        <v>5020</v>
      </c>
      <c r="K151" s="52" t="s">
        <v>5021</v>
      </c>
      <c r="L151" t="s">
        <v>137</v>
      </c>
      <c r="M151" s="59" t="s">
        <v>137</v>
      </c>
      <c r="N151" s="59" t="s">
        <v>4616</v>
      </c>
      <c r="O151" t="s">
        <v>4632</v>
      </c>
      <c r="P151" s="60" t="str">
        <f t="shared" si="2"/>
        <v xml:space="preserve"> </v>
      </c>
    </row>
    <row r="152" spans="1:16" ht="14.25" customHeight="1" x14ac:dyDescent="0.2">
      <c r="A152" t="s">
        <v>1339</v>
      </c>
      <c r="B152" t="s">
        <v>1340</v>
      </c>
      <c r="C152" t="s">
        <v>1341</v>
      </c>
      <c r="D152" t="s">
        <v>429</v>
      </c>
      <c r="E152" s="6" t="s">
        <v>5022</v>
      </c>
      <c r="F152" s="6">
        <v>1</v>
      </c>
      <c r="G152" t="s">
        <v>1346</v>
      </c>
      <c r="H152" s="59">
        <v>3136</v>
      </c>
      <c r="I152" t="s">
        <v>4608</v>
      </c>
      <c r="J152" s="63" t="s">
        <v>5023</v>
      </c>
      <c r="K152" s="52" t="s">
        <v>5024</v>
      </c>
      <c r="L152">
        <v>3</v>
      </c>
      <c r="M152" s="59">
        <v>12230</v>
      </c>
      <c r="N152" s="59" t="s">
        <v>4611</v>
      </c>
      <c r="O152">
        <f>220*11</f>
        <v>2420</v>
      </c>
      <c r="P152" s="60">
        <f t="shared" si="2"/>
        <v>7.7168367346938771</v>
      </c>
    </row>
    <row r="153" spans="1:16" ht="14.25" customHeight="1" x14ac:dyDescent="0.2">
      <c r="A153" t="s">
        <v>1339</v>
      </c>
      <c r="B153" t="s">
        <v>1340</v>
      </c>
      <c r="C153" t="s">
        <v>1341</v>
      </c>
      <c r="D153" t="s">
        <v>429</v>
      </c>
      <c r="E153" s="6" t="s">
        <v>4648</v>
      </c>
      <c r="F153" s="6">
        <v>2</v>
      </c>
      <c r="G153" t="s">
        <v>1347</v>
      </c>
      <c r="H153" s="59">
        <v>4882</v>
      </c>
      <c r="I153" t="s">
        <v>4629</v>
      </c>
      <c r="J153" s="63" t="s">
        <v>5025</v>
      </c>
      <c r="K153" s="52" t="s">
        <v>5026</v>
      </c>
      <c r="L153" t="s">
        <v>137</v>
      </c>
      <c r="M153" s="59" t="s">
        <v>137</v>
      </c>
      <c r="N153" s="59" t="s">
        <v>4616</v>
      </c>
      <c r="O153">
        <v>2500</v>
      </c>
      <c r="P153" s="60">
        <f t="shared" si="2"/>
        <v>5.1208521097910698</v>
      </c>
    </row>
    <row r="154" spans="1:16" ht="14.25" customHeight="1" x14ac:dyDescent="0.2">
      <c r="A154" t="s">
        <v>1355</v>
      </c>
      <c r="B154" t="s">
        <v>1356</v>
      </c>
      <c r="C154" t="s">
        <v>1357</v>
      </c>
      <c r="D154" t="s">
        <v>429</v>
      </c>
      <c r="E154" s="6" t="s">
        <v>4648</v>
      </c>
      <c r="F154" s="6">
        <v>1</v>
      </c>
      <c r="G154" t="s">
        <v>1362</v>
      </c>
      <c r="H154" s="59">
        <v>2311</v>
      </c>
      <c r="I154" t="s">
        <v>4622</v>
      </c>
      <c r="J154" s="63" t="s">
        <v>5027</v>
      </c>
      <c r="K154" s="52" t="s">
        <v>5028</v>
      </c>
      <c r="L154">
        <v>3</v>
      </c>
      <c r="M154" s="59">
        <v>12479</v>
      </c>
      <c r="N154" s="59" t="s">
        <v>4611</v>
      </c>
      <c r="O154">
        <f>6*350</f>
        <v>2100</v>
      </c>
      <c r="P154" s="60">
        <f t="shared" si="2"/>
        <v>9.0869753353526619</v>
      </c>
    </row>
    <row r="155" spans="1:16" ht="14.25" customHeight="1" x14ac:dyDescent="0.2">
      <c r="A155" t="s">
        <v>1355</v>
      </c>
      <c r="B155" t="s">
        <v>1356</v>
      </c>
      <c r="C155" t="s">
        <v>1357</v>
      </c>
      <c r="D155" t="s">
        <v>429</v>
      </c>
      <c r="E155" s="6" t="s">
        <v>4659</v>
      </c>
      <c r="F155" s="6">
        <v>2</v>
      </c>
      <c r="G155" t="s">
        <v>1363</v>
      </c>
      <c r="H155" s="59">
        <v>5846</v>
      </c>
      <c r="I155" t="s">
        <v>4622</v>
      </c>
      <c r="J155" s="63" t="s">
        <v>5029</v>
      </c>
      <c r="K155" s="52" t="s">
        <v>5030</v>
      </c>
      <c r="L155" t="s">
        <v>137</v>
      </c>
      <c r="M155" s="59" t="s">
        <v>137</v>
      </c>
      <c r="N155" s="59" t="s">
        <v>4616</v>
      </c>
      <c r="O155">
        <v>2000</v>
      </c>
      <c r="P155" s="60">
        <f t="shared" si="2"/>
        <v>3.4211426616489908</v>
      </c>
    </row>
    <row r="156" spans="1:16" ht="14.25" customHeight="1" x14ac:dyDescent="0.2">
      <c r="A156" t="s">
        <v>1370</v>
      </c>
      <c r="B156" t="s">
        <v>1371</v>
      </c>
      <c r="C156" t="s">
        <v>1372</v>
      </c>
      <c r="D156" t="s">
        <v>429</v>
      </c>
      <c r="E156" s="6" t="s">
        <v>4633</v>
      </c>
      <c r="F156" s="6">
        <v>1</v>
      </c>
      <c r="G156" t="s">
        <v>1377</v>
      </c>
      <c r="H156" s="59">
        <v>2311</v>
      </c>
      <c r="I156" t="s">
        <v>4629</v>
      </c>
      <c r="J156" s="63" t="s">
        <v>5031</v>
      </c>
      <c r="K156" s="52" t="s">
        <v>5032</v>
      </c>
      <c r="L156">
        <v>4</v>
      </c>
      <c r="M156" s="59">
        <v>7857</v>
      </c>
      <c r="N156" s="59" t="s">
        <v>4611</v>
      </c>
      <c r="O156">
        <f>350*6</f>
        <v>2100</v>
      </c>
      <c r="P156" s="60">
        <f t="shared" si="2"/>
        <v>9.0869753353526619</v>
      </c>
    </row>
    <row r="157" spans="1:16" ht="14.25" customHeight="1" x14ac:dyDescent="0.2">
      <c r="A157" t="s">
        <v>1370</v>
      </c>
      <c r="B157" t="s">
        <v>1371</v>
      </c>
      <c r="C157" t="s">
        <v>1372</v>
      </c>
      <c r="D157" t="s">
        <v>429</v>
      </c>
      <c r="E157" s="6" t="s">
        <v>4659</v>
      </c>
      <c r="F157" s="6">
        <v>2</v>
      </c>
      <c r="G157" t="s">
        <v>1378</v>
      </c>
      <c r="H157" s="59">
        <v>4685</v>
      </c>
      <c r="I157" t="s">
        <v>4629</v>
      </c>
      <c r="J157" s="63" t="s">
        <v>5033</v>
      </c>
      <c r="K157" s="52" t="s">
        <v>5034</v>
      </c>
      <c r="L157" t="s">
        <v>137</v>
      </c>
      <c r="M157" s="59" t="s">
        <v>137</v>
      </c>
      <c r="N157" s="59" t="s">
        <v>4616</v>
      </c>
      <c r="O157">
        <v>2000</v>
      </c>
      <c r="P157" s="60">
        <f t="shared" si="2"/>
        <v>4.2689434364994669</v>
      </c>
    </row>
    <row r="158" spans="1:16" ht="14.25" customHeight="1" x14ac:dyDescent="0.2">
      <c r="A158" t="s">
        <v>1384</v>
      </c>
      <c r="B158" t="s">
        <v>1385</v>
      </c>
      <c r="C158" t="s">
        <v>1386</v>
      </c>
      <c r="D158" t="s">
        <v>429</v>
      </c>
      <c r="E158" s="6" t="s">
        <v>4659</v>
      </c>
      <c r="F158" s="6">
        <v>1</v>
      </c>
      <c r="G158" t="s">
        <v>1391</v>
      </c>
      <c r="H158" s="59">
        <v>2343</v>
      </c>
      <c r="I158" t="s">
        <v>4776</v>
      </c>
      <c r="J158" s="63" t="s">
        <v>5035</v>
      </c>
      <c r="K158" s="52" t="s">
        <v>5036</v>
      </c>
      <c r="L158">
        <v>3</v>
      </c>
      <c r="M158" s="59">
        <v>12652</v>
      </c>
      <c r="N158" s="59" t="s">
        <v>4611</v>
      </c>
      <c r="O158">
        <f>4*550</f>
        <v>2200</v>
      </c>
      <c r="P158" s="60">
        <f t="shared" si="2"/>
        <v>9.3896713615023479</v>
      </c>
    </row>
    <row r="159" spans="1:16" ht="14.25" customHeight="1" x14ac:dyDescent="0.2">
      <c r="A159" t="s">
        <v>1384</v>
      </c>
      <c r="B159" t="s">
        <v>1385</v>
      </c>
      <c r="C159" t="s">
        <v>1386</v>
      </c>
      <c r="D159" t="s">
        <v>429</v>
      </c>
      <c r="E159" s="6" t="s">
        <v>4648</v>
      </c>
      <c r="F159" s="6">
        <v>2</v>
      </c>
      <c r="G159" t="s">
        <v>1392</v>
      </c>
      <c r="H159" s="59">
        <v>4904</v>
      </c>
      <c r="I159" t="s">
        <v>4660</v>
      </c>
      <c r="J159" s="63" t="s">
        <v>5037</v>
      </c>
      <c r="K159" s="52" t="s">
        <v>5038</v>
      </c>
      <c r="L159" t="s">
        <v>137</v>
      </c>
      <c r="M159" s="59" t="s">
        <v>137</v>
      </c>
      <c r="N159" s="59" t="s">
        <v>4616</v>
      </c>
      <c r="O159">
        <v>1800</v>
      </c>
      <c r="P159" s="60">
        <f t="shared" si="2"/>
        <v>3.6704730831973897</v>
      </c>
    </row>
    <row r="160" spans="1:16" ht="14.25" customHeight="1" x14ac:dyDescent="0.2">
      <c r="A160" t="s">
        <v>1396</v>
      </c>
      <c r="B160" t="s">
        <v>1397</v>
      </c>
      <c r="C160" t="s">
        <v>1398</v>
      </c>
      <c r="D160" t="s">
        <v>543</v>
      </c>
      <c r="E160" s="6" t="s">
        <v>5039</v>
      </c>
      <c r="F160" s="6">
        <v>1</v>
      </c>
      <c r="G160" t="s">
        <v>1403</v>
      </c>
      <c r="H160" s="59">
        <v>999999</v>
      </c>
      <c r="I160" t="s">
        <v>4618</v>
      </c>
      <c r="J160" s="63" t="s">
        <v>5040</v>
      </c>
      <c r="K160" s="52" t="s">
        <v>5041</v>
      </c>
      <c r="L160">
        <v>5</v>
      </c>
      <c r="M160" s="59">
        <v>11600</v>
      </c>
      <c r="N160" s="59" t="s">
        <v>4611</v>
      </c>
      <c r="O160">
        <v>3000</v>
      </c>
      <c r="P160" s="62">
        <f t="shared" si="2"/>
        <v>3.0000030000030001E-2</v>
      </c>
    </row>
    <row r="161" spans="1:16" ht="14.25" customHeight="1" x14ac:dyDescent="0.2">
      <c r="A161" t="s">
        <v>1396</v>
      </c>
      <c r="B161" t="s">
        <v>1397</v>
      </c>
      <c r="C161" t="s">
        <v>1398</v>
      </c>
      <c r="D161" t="s">
        <v>543</v>
      </c>
      <c r="E161" s="6" t="s">
        <v>5042</v>
      </c>
      <c r="F161" s="6">
        <v>2</v>
      </c>
      <c r="G161" t="s">
        <v>1404</v>
      </c>
      <c r="H161" s="59">
        <v>999999</v>
      </c>
      <c r="I161" t="s">
        <v>4629</v>
      </c>
      <c r="J161" s="63" t="s">
        <v>5043</v>
      </c>
      <c r="K161" s="52" t="s">
        <v>5044</v>
      </c>
      <c r="L161" t="s">
        <v>137</v>
      </c>
      <c r="M161" s="59" t="s">
        <v>137</v>
      </c>
      <c r="N161" s="59" t="s">
        <v>4616</v>
      </c>
      <c r="O161">
        <v>2800</v>
      </c>
      <c r="P161" s="62">
        <f t="shared" si="2"/>
        <v>2.8000028000027998E-2</v>
      </c>
    </row>
    <row r="162" spans="1:16" ht="14.25" customHeight="1" x14ac:dyDescent="0.2">
      <c r="A162" t="s">
        <v>1413</v>
      </c>
      <c r="B162" t="s">
        <v>85</v>
      </c>
      <c r="C162" t="s">
        <v>1414</v>
      </c>
      <c r="D162" t="s">
        <v>543</v>
      </c>
      <c r="E162" s="6" t="s">
        <v>4633</v>
      </c>
      <c r="F162" s="6">
        <v>1</v>
      </c>
      <c r="G162" t="s">
        <v>1418</v>
      </c>
      <c r="H162" s="59">
        <v>3194</v>
      </c>
      <c r="I162" t="s">
        <v>4986</v>
      </c>
      <c r="J162" s="63" t="s">
        <v>5045</v>
      </c>
      <c r="K162" s="52" t="s">
        <v>5046</v>
      </c>
      <c r="L162" t="s">
        <v>137</v>
      </c>
      <c r="M162" s="59" t="s">
        <v>137</v>
      </c>
      <c r="N162" s="59" t="s">
        <v>4616</v>
      </c>
      <c r="O162">
        <v>2040</v>
      </c>
      <c r="P162" s="60">
        <f t="shared" si="2"/>
        <v>6.3869755792110201</v>
      </c>
    </row>
    <row r="163" spans="1:16" ht="14.25" customHeight="1" x14ac:dyDescent="0.2">
      <c r="A163" t="s">
        <v>1413</v>
      </c>
      <c r="B163" t="s">
        <v>85</v>
      </c>
      <c r="C163" t="s">
        <v>1414</v>
      </c>
      <c r="D163" t="s">
        <v>543</v>
      </c>
      <c r="E163" s="6" t="s">
        <v>4696</v>
      </c>
      <c r="F163" s="6">
        <v>2</v>
      </c>
      <c r="G163" t="s">
        <v>1419</v>
      </c>
      <c r="H163" s="59">
        <v>7475</v>
      </c>
      <c r="I163" t="s">
        <v>4629</v>
      </c>
      <c r="J163" s="63" t="s">
        <v>5047</v>
      </c>
      <c r="K163" s="52" t="s">
        <v>5048</v>
      </c>
      <c r="L163" t="s">
        <v>137</v>
      </c>
      <c r="M163" s="59" t="s">
        <v>137</v>
      </c>
      <c r="N163" s="59" t="s">
        <v>4616</v>
      </c>
      <c r="O163">
        <v>2500</v>
      </c>
      <c r="P163" s="60">
        <f t="shared" si="2"/>
        <v>3.3444816053511706</v>
      </c>
    </row>
    <row r="164" spans="1:16" ht="14.25" customHeight="1" x14ac:dyDescent="0.2">
      <c r="A164" t="s">
        <v>1425</v>
      </c>
      <c r="B164" t="s">
        <v>1426</v>
      </c>
      <c r="C164" t="s">
        <v>1427</v>
      </c>
      <c r="D164" t="s">
        <v>543</v>
      </c>
      <c r="E164" s="6" t="s">
        <v>4628</v>
      </c>
      <c r="F164" s="6">
        <v>1</v>
      </c>
      <c r="G164" t="s">
        <v>1432</v>
      </c>
      <c r="H164" s="59">
        <v>4377</v>
      </c>
      <c r="I164" t="s">
        <v>4629</v>
      </c>
      <c r="J164" s="63" t="s">
        <v>5049</v>
      </c>
      <c r="K164" s="52" t="s">
        <v>5050</v>
      </c>
      <c r="L164">
        <v>6</v>
      </c>
      <c r="M164" s="59">
        <v>19477</v>
      </c>
      <c r="N164" s="59" t="s">
        <v>4611</v>
      </c>
      <c r="O164" t="s">
        <v>4632</v>
      </c>
      <c r="P164" s="60" t="str">
        <f t="shared" si="2"/>
        <v xml:space="preserve"> </v>
      </c>
    </row>
    <row r="165" spans="1:16" ht="14.25" customHeight="1" x14ac:dyDescent="0.2">
      <c r="A165" t="s">
        <v>1425</v>
      </c>
      <c r="B165" t="s">
        <v>1426</v>
      </c>
      <c r="C165" t="s">
        <v>1427</v>
      </c>
      <c r="D165" t="s">
        <v>543</v>
      </c>
      <c r="E165" s="6" t="s">
        <v>4633</v>
      </c>
      <c r="F165" s="6">
        <v>2</v>
      </c>
      <c r="G165" t="s">
        <v>1433</v>
      </c>
      <c r="H165" s="59">
        <v>38400</v>
      </c>
      <c r="I165" t="s">
        <v>4730</v>
      </c>
      <c r="J165" s="63" t="s">
        <v>5051</v>
      </c>
      <c r="K165" s="52" t="s">
        <v>23952</v>
      </c>
      <c r="L165" t="s">
        <v>137</v>
      </c>
      <c r="M165" s="59" t="s">
        <v>137</v>
      </c>
      <c r="N165" s="59" t="s">
        <v>4616</v>
      </c>
      <c r="O165">
        <v>4500</v>
      </c>
      <c r="P165" s="60">
        <f t="shared" si="2"/>
        <v>1.171875</v>
      </c>
    </row>
    <row r="166" spans="1:16" ht="14.25" customHeight="1" x14ac:dyDescent="0.2">
      <c r="A166" t="s">
        <v>1441</v>
      </c>
      <c r="B166" t="s">
        <v>1442</v>
      </c>
      <c r="C166" t="s">
        <v>1443</v>
      </c>
      <c r="D166" t="s">
        <v>543</v>
      </c>
      <c r="E166" s="6" t="s">
        <v>5052</v>
      </c>
      <c r="F166" s="6">
        <v>1</v>
      </c>
      <c r="G166" t="s">
        <v>1448</v>
      </c>
      <c r="H166" s="59">
        <v>3194</v>
      </c>
      <c r="I166" t="s">
        <v>4608</v>
      </c>
      <c r="J166" s="63" t="s">
        <v>5053</v>
      </c>
      <c r="K166" s="52" t="s">
        <v>5054</v>
      </c>
      <c r="L166">
        <v>5</v>
      </c>
      <c r="M166" s="59">
        <v>7346</v>
      </c>
      <c r="N166" s="59" t="s">
        <v>4611</v>
      </c>
      <c r="O166">
        <v>3200</v>
      </c>
      <c r="P166" s="60">
        <f t="shared" si="2"/>
        <v>10.018785222291797</v>
      </c>
    </row>
    <row r="167" spans="1:16" ht="14.25" customHeight="1" x14ac:dyDescent="0.2">
      <c r="A167" t="s">
        <v>1441</v>
      </c>
      <c r="B167" t="s">
        <v>1442</v>
      </c>
      <c r="C167" t="s">
        <v>1443</v>
      </c>
      <c r="D167" t="s">
        <v>543</v>
      </c>
      <c r="E167" s="6" t="s">
        <v>4696</v>
      </c>
      <c r="F167" s="6">
        <v>2</v>
      </c>
      <c r="G167" t="s">
        <v>1449</v>
      </c>
      <c r="H167" s="59">
        <v>7475</v>
      </c>
      <c r="I167" t="s">
        <v>4629</v>
      </c>
      <c r="J167" s="63" t="s">
        <v>5055</v>
      </c>
      <c r="K167" s="52" t="s">
        <v>5056</v>
      </c>
      <c r="L167" t="s">
        <v>137</v>
      </c>
      <c r="M167" s="59" t="s">
        <v>137</v>
      </c>
      <c r="N167" s="59" t="s">
        <v>4616</v>
      </c>
      <c r="O167" t="s">
        <v>4632</v>
      </c>
      <c r="P167" s="60" t="str">
        <f t="shared" si="2"/>
        <v xml:space="preserve"> </v>
      </c>
    </row>
    <row r="168" spans="1:16" ht="14.25" customHeight="1" x14ac:dyDescent="0.2">
      <c r="A168" t="s">
        <v>1455</v>
      </c>
      <c r="B168" t="s">
        <v>1456</v>
      </c>
      <c r="C168" t="s">
        <v>1457</v>
      </c>
      <c r="D168" t="s">
        <v>543</v>
      </c>
      <c r="E168" s="6" t="s">
        <v>4633</v>
      </c>
      <c r="F168" s="6">
        <v>1</v>
      </c>
      <c r="G168" t="s">
        <v>1462</v>
      </c>
      <c r="H168" s="59">
        <v>3033</v>
      </c>
      <c r="I168" t="s">
        <v>4776</v>
      </c>
      <c r="J168" s="63" t="s">
        <v>5057</v>
      </c>
      <c r="K168" s="52" t="s">
        <v>5058</v>
      </c>
      <c r="L168">
        <v>5</v>
      </c>
      <c r="M168" s="59">
        <v>9402</v>
      </c>
      <c r="N168" s="59" t="s">
        <v>4611</v>
      </c>
      <c r="O168">
        <v>2000</v>
      </c>
      <c r="P168" s="60">
        <f t="shared" si="2"/>
        <v>6.5941312232113418</v>
      </c>
    </row>
    <row r="169" spans="1:16" ht="14.25" customHeight="1" x14ac:dyDescent="0.2">
      <c r="A169" t="s">
        <v>1455</v>
      </c>
      <c r="B169" t="s">
        <v>1456</v>
      </c>
      <c r="C169" t="s">
        <v>1457</v>
      </c>
      <c r="D169" t="s">
        <v>543</v>
      </c>
      <c r="E169" s="6" t="s">
        <v>4659</v>
      </c>
      <c r="F169" s="6">
        <v>2</v>
      </c>
      <c r="G169" t="s">
        <v>1463</v>
      </c>
      <c r="H169" s="59">
        <v>5610</v>
      </c>
      <c r="I169" t="s">
        <v>4730</v>
      </c>
      <c r="J169" s="63" t="s">
        <v>5059</v>
      </c>
      <c r="K169" s="52" t="s">
        <v>5060</v>
      </c>
      <c r="L169" t="s">
        <v>137</v>
      </c>
      <c r="M169" s="59" t="s">
        <v>137</v>
      </c>
      <c r="N169" s="59" t="s">
        <v>4616</v>
      </c>
      <c r="O169">
        <v>2400</v>
      </c>
      <c r="P169" s="60">
        <f t="shared" si="2"/>
        <v>4.2780748663101607</v>
      </c>
    </row>
    <row r="170" spans="1:16" ht="14.25" customHeight="1" x14ac:dyDescent="0.2">
      <c r="A170" t="s">
        <v>1470</v>
      </c>
      <c r="B170" t="s">
        <v>1471</v>
      </c>
      <c r="C170" t="s">
        <v>1472</v>
      </c>
      <c r="D170" t="s">
        <v>543</v>
      </c>
      <c r="E170" s="6" t="s">
        <v>4659</v>
      </c>
      <c r="F170" s="6">
        <v>1</v>
      </c>
      <c r="G170" t="s">
        <v>1477</v>
      </c>
      <c r="H170" s="59">
        <v>2868</v>
      </c>
      <c r="I170" t="s">
        <v>4629</v>
      </c>
      <c r="J170" s="63" t="s">
        <v>5061</v>
      </c>
      <c r="K170" s="52" t="s">
        <v>5062</v>
      </c>
      <c r="L170">
        <v>5</v>
      </c>
      <c r="M170" s="59">
        <v>7600</v>
      </c>
      <c r="N170" s="59" t="s">
        <v>4611</v>
      </c>
      <c r="O170">
        <v>3000</v>
      </c>
      <c r="P170" s="60">
        <f t="shared" si="2"/>
        <v>10.460251046025103</v>
      </c>
    </row>
    <row r="171" spans="1:16" ht="14.25" customHeight="1" x14ac:dyDescent="0.2">
      <c r="A171" t="s">
        <v>1470</v>
      </c>
      <c r="B171" t="s">
        <v>1471</v>
      </c>
      <c r="C171" t="s">
        <v>1472</v>
      </c>
      <c r="D171" t="s">
        <v>543</v>
      </c>
      <c r="E171" s="6" t="s">
        <v>4678</v>
      </c>
      <c r="F171" s="6">
        <v>2</v>
      </c>
      <c r="G171" t="s">
        <v>1478</v>
      </c>
      <c r="H171" s="59">
        <v>5840</v>
      </c>
      <c r="I171" t="s">
        <v>4629</v>
      </c>
      <c r="J171" s="63" t="s">
        <v>5063</v>
      </c>
      <c r="K171" s="52" t="s">
        <v>5064</v>
      </c>
      <c r="L171" t="s">
        <v>137</v>
      </c>
      <c r="M171" s="59" t="s">
        <v>137</v>
      </c>
      <c r="N171" s="59" t="s">
        <v>4616</v>
      </c>
      <c r="O171" t="s">
        <v>4632</v>
      </c>
      <c r="P171" s="60" t="str">
        <f t="shared" si="2"/>
        <v xml:space="preserve"> </v>
      </c>
    </row>
    <row r="172" spans="1:16" ht="14.25" customHeight="1" x14ac:dyDescent="0.2">
      <c r="A172" t="s">
        <v>1486</v>
      </c>
      <c r="B172" t="s">
        <v>1487</v>
      </c>
      <c r="C172" t="s">
        <v>1488</v>
      </c>
      <c r="D172" t="s">
        <v>543</v>
      </c>
      <c r="E172" s="6" t="s">
        <v>4633</v>
      </c>
      <c r="F172" s="6">
        <v>1</v>
      </c>
      <c r="G172" t="s">
        <v>1493</v>
      </c>
      <c r="H172" s="59">
        <v>2942</v>
      </c>
      <c r="I172" t="s">
        <v>4660</v>
      </c>
      <c r="J172" s="63" t="s">
        <v>5065</v>
      </c>
      <c r="K172" s="52" t="s">
        <v>5066</v>
      </c>
      <c r="L172">
        <v>5</v>
      </c>
      <c r="M172" s="59">
        <v>9708</v>
      </c>
      <c r="N172" s="59" t="s">
        <v>4611</v>
      </c>
      <c r="O172">
        <v>2500</v>
      </c>
      <c r="P172" s="60">
        <f t="shared" si="2"/>
        <v>8.4976206662134608</v>
      </c>
    </row>
    <row r="173" spans="1:16" ht="14.25" customHeight="1" x14ac:dyDescent="0.2">
      <c r="A173" t="s">
        <v>1486</v>
      </c>
      <c r="B173" t="s">
        <v>1487</v>
      </c>
      <c r="C173" t="s">
        <v>1488</v>
      </c>
      <c r="D173" t="s">
        <v>543</v>
      </c>
      <c r="E173" s="6" t="s">
        <v>5067</v>
      </c>
      <c r="F173" s="6">
        <v>2</v>
      </c>
      <c r="G173" t="s">
        <v>1494</v>
      </c>
      <c r="H173" s="59">
        <v>5807</v>
      </c>
      <c r="I173" t="s">
        <v>4712</v>
      </c>
      <c r="J173" s="63" t="s">
        <v>5068</v>
      </c>
      <c r="K173" s="52" t="s">
        <v>5069</v>
      </c>
      <c r="L173" t="s">
        <v>137</v>
      </c>
      <c r="M173" s="59" t="s">
        <v>137</v>
      </c>
      <c r="N173" s="59" t="s">
        <v>4616</v>
      </c>
      <c r="O173">
        <v>2500</v>
      </c>
      <c r="P173" s="60">
        <f t="shared" si="2"/>
        <v>4.3051489581539517</v>
      </c>
    </row>
    <row r="174" spans="1:16" ht="14.25" customHeight="1" x14ac:dyDescent="0.2">
      <c r="A174" t="s">
        <v>1500</v>
      </c>
      <c r="B174" t="s">
        <v>1501</v>
      </c>
      <c r="C174" t="s">
        <v>1502</v>
      </c>
      <c r="D174" t="s">
        <v>645</v>
      </c>
      <c r="E174" s="6" t="s">
        <v>5070</v>
      </c>
      <c r="F174" s="6">
        <v>1</v>
      </c>
      <c r="G174" t="s">
        <v>1507</v>
      </c>
      <c r="H174" s="59">
        <v>2738</v>
      </c>
      <c r="I174" t="s">
        <v>4716</v>
      </c>
      <c r="J174" s="63" t="s">
        <v>5071</v>
      </c>
      <c r="K174" s="52" t="s">
        <v>5072</v>
      </c>
      <c r="L174">
        <v>5</v>
      </c>
      <c r="M174" s="59">
        <v>11321</v>
      </c>
      <c r="N174" s="59" t="s">
        <v>4611</v>
      </c>
      <c r="O174">
        <v>2400</v>
      </c>
      <c r="P174" s="60">
        <f t="shared" si="2"/>
        <v>8.7655222790357925</v>
      </c>
    </row>
    <row r="175" spans="1:16" ht="14.25" customHeight="1" x14ac:dyDescent="0.2">
      <c r="A175" t="s">
        <v>1500</v>
      </c>
      <c r="B175" t="s">
        <v>1501</v>
      </c>
      <c r="C175" t="s">
        <v>1502</v>
      </c>
      <c r="D175" t="s">
        <v>645</v>
      </c>
      <c r="E175" s="6" t="s">
        <v>5073</v>
      </c>
      <c r="F175" s="6">
        <v>2</v>
      </c>
      <c r="G175" t="s">
        <v>1508</v>
      </c>
      <c r="H175" s="59">
        <v>20000</v>
      </c>
      <c r="I175" t="s">
        <v>4629</v>
      </c>
      <c r="J175" s="63" t="s">
        <v>5074</v>
      </c>
      <c r="K175" s="52" t="s">
        <v>5075</v>
      </c>
      <c r="L175" t="s">
        <v>137</v>
      </c>
      <c r="M175" s="59" t="s">
        <v>137</v>
      </c>
      <c r="N175" s="59" t="s">
        <v>4616</v>
      </c>
      <c r="O175">
        <v>4000</v>
      </c>
      <c r="P175" s="60">
        <f t="shared" si="2"/>
        <v>2</v>
      </c>
    </row>
    <row r="176" spans="1:16" ht="14.25" customHeight="1" x14ac:dyDescent="0.2">
      <c r="A176" t="s">
        <v>1515</v>
      </c>
      <c r="B176" t="s">
        <v>1516</v>
      </c>
      <c r="C176" t="s">
        <v>1517</v>
      </c>
      <c r="D176" t="s">
        <v>645</v>
      </c>
      <c r="E176" s="6" t="s">
        <v>5076</v>
      </c>
      <c r="F176" s="6">
        <v>1</v>
      </c>
      <c r="G176" t="s">
        <v>1522</v>
      </c>
      <c r="H176" s="59">
        <v>7200</v>
      </c>
      <c r="I176" t="s">
        <v>4629</v>
      </c>
      <c r="J176" s="63" t="s">
        <v>5077</v>
      </c>
      <c r="K176" s="52" t="s">
        <v>5078</v>
      </c>
      <c r="L176" t="s">
        <v>137</v>
      </c>
      <c r="M176" s="59" t="s">
        <v>137</v>
      </c>
      <c r="N176" s="59" t="s">
        <v>4616</v>
      </c>
      <c r="O176" t="s">
        <v>4632</v>
      </c>
      <c r="P176" s="60" t="str">
        <f t="shared" si="2"/>
        <v xml:space="preserve"> </v>
      </c>
    </row>
    <row r="177" spans="1:16" ht="14.25" customHeight="1" x14ac:dyDescent="0.2">
      <c r="A177" t="s">
        <v>1515</v>
      </c>
      <c r="B177" t="s">
        <v>1516</v>
      </c>
      <c r="C177" t="s">
        <v>1517</v>
      </c>
      <c r="D177" t="s">
        <v>645</v>
      </c>
      <c r="E177" s="6" t="s">
        <v>5079</v>
      </c>
      <c r="F177" s="6">
        <v>2</v>
      </c>
      <c r="G177" t="s">
        <v>1523</v>
      </c>
      <c r="H177" s="59">
        <v>23400</v>
      </c>
      <c r="I177" t="s">
        <v>5080</v>
      </c>
      <c r="J177" s="63" t="s">
        <v>5081</v>
      </c>
      <c r="K177" s="52" t="s">
        <v>5082</v>
      </c>
      <c r="L177">
        <v>6</v>
      </c>
      <c r="M177" s="59">
        <v>5616</v>
      </c>
      <c r="N177" s="59" t="s">
        <v>4611</v>
      </c>
      <c r="O177">
        <f>37*60+130*37</f>
        <v>7030</v>
      </c>
      <c r="P177" s="60">
        <f t="shared" si="2"/>
        <v>3.0042735042735043</v>
      </c>
    </row>
    <row r="178" spans="1:16" ht="14.25" customHeight="1" x14ac:dyDescent="0.2">
      <c r="A178" t="s">
        <v>1529</v>
      </c>
      <c r="B178" t="s">
        <v>1530</v>
      </c>
      <c r="C178" t="s">
        <v>1531</v>
      </c>
      <c r="D178" t="s">
        <v>645</v>
      </c>
      <c r="E178" s="6" t="s">
        <v>5083</v>
      </c>
      <c r="F178" s="6">
        <v>1</v>
      </c>
      <c r="G178" t="s">
        <v>1536</v>
      </c>
      <c r="H178" s="59">
        <v>2738</v>
      </c>
      <c r="I178" t="s">
        <v>5084</v>
      </c>
      <c r="J178" s="63" t="s">
        <v>5085</v>
      </c>
      <c r="K178" s="52" t="s">
        <v>5086</v>
      </c>
      <c r="L178">
        <v>6</v>
      </c>
      <c r="M178" s="59">
        <v>8761</v>
      </c>
      <c r="N178" s="59" t="s">
        <v>4611</v>
      </c>
      <c r="O178">
        <v>3200</v>
      </c>
      <c r="P178" s="60">
        <f t="shared" si="2"/>
        <v>11.687363038714389</v>
      </c>
    </row>
    <row r="179" spans="1:16" ht="14.25" customHeight="1" x14ac:dyDescent="0.2">
      <c r="A179" t="s">
        <v>1529</v>
      </c>
      <c r="B179" t="s">
        <v>1530</v>
      </c>
      <c r="C179" t="s">
        <v>1531</v>
      </c>
      <c r="D179" t="s">
        <v>645</v>
      </c>
      <c r="E179" s="6" t="s">
        <v>5087</v>
      </c>
      <c r="F179" s="6">
        <v>2</v>
      </c>
      <c r="G179" t="s">
        <v>1537</v>
      </c>
      <c r="H179" s="59">
        <v>4548</v>
      </c>
      <c r="I179" t="s">
        <v>5084</v>
      </c>
      <c r="J179" s="63" t="s">
        <v>5088</v>
      </c>
      <c r="K179" s="52" t="s">
        <v>5089</v>
      </c>
      <c r="L179" t="s">
        <v>137</v>
      </c>
      <c r="M179" s="59" t="s">
        <v>137</v>
      </c>
      <c r="N179" s="59" t="s">
        <v>4616</v>
      </c>
      <c r="O179">
        <v>2700</v>
      </c>
      <c r="P179" s="60">
        <f t="shared" si="2"/>
        <v>5.9366754617414248</v>
      </c>
    </row>
    <row r="180" spans="1:16" ht="14.25" customHeight="1" x14ac:dyDescent="0.2">
      <c r="A180" t="s">
        <v>1542</v>
      </c>
      <c r="B180" t="s">
        <v>1543</v>
      </c>
      <c r="C180" t="s">
        <v>1544</v>
      </c>
      <c r="D180" t="s">
        <v>645</v>
      </c>
      <c r="E180" s="6" t="s">
        <v>4659</v>
      </c>
      <c r="F180" s="6">
        <v>1</v>
      </c>
      <c r="G180" t="s">
        <v>1549</v>
      </c>
      <c r="H180" s="59">
        <v>2450</v>
      </c>
      <c r="I180" t="s">
        <v>5090</v>
      </c>
      <c r="J180" s="63" t="s">
        <v>5091</v>
      </c>
      <c r="K180" s="52" t="s">
        <v>5092</v>
      </c>
      <c r="L180">
        <v>6</v>
      </c>
      <c r="M180" s="59">
        <v>8085</v>
      </c>
      <c r="N180" s="59" t="s">
        <v>4611</v>
      </c>
      <c r="O180">
        <v>3000</v>
      </c>
      <c r="P180" s="60">
        <f t="shared" si="2"/>
        <v>12.244897959183675</v>
      </c>
    </row>
    <row r="181" spans="1:16" ht="14.25" customHeight="1" x14ac:dyDescent="0.2">
      <c r="A181" t="s">
        <v>1542</v>
      </c>
      <c r="B181" t="s">
        <v>1543</v>
      </c>
      <c r="C181" t="s">
        <v>1544</v>
      </c>
      <c r="D181" t="s">
        <v>645</v>
      </c>
      <c r="E181" s="6" t="s">
        <v>4628</v>
      </c>
      <c r="F181" s="6">
        <v>2</v>
      </c>
      <c r="G181" t="s">
        <v>1550</v>
      </c>
      <c r="H181" s="59">
        <v>8534</v>
      </c>
      <c r="I181" t="s">
        <v>4629</v>
      </c>
      <c r="J181" s="63" t="s">
        <v>5093</v>
      </c>
      <c r="K181" s="52" t="s">
        <v>5094</v>
      </c>
      <c r="L181" t="s">
        <v>137</v>
      </c>
      <c r="M181" s="59" t="s">
        <v>137</v>
      </c>
      <c r="N181" s="59" t="s">
        <v>4616</v>
      </c>
      <c r="O181">
        <f>3*850</f>
        <v>2550</v>
      </c>
      <c r="P181" s="60">
        <f t="shared" si="2"/>
        <v>2.9880478087649402</v>
      </c>
    </row>
    <row r="182" spans="1:16" ht="14.25" customHeight="1" x14ac:dyDescent="0.2">
      <c r="A182" t="s">
        <v>1554</v>
      </c>
      <c r="B182" t="s">
        <v>1555</v>
      </c>
      <c r="C182" t="s">
        <v>1556</v>
      </c>
      <c r="D182" t="s">
        <v>645</v>
      </c>
      <c r="E182" s="6" t="s">
        <v>5095</v>
      </c>
      <c r="F182" s="6">
        <v>1</v>
      </c>
      <c r="G182" t="s">
        <v>1561</v>
      </c>
      <c r="H182" s="59">
        <v>3051</v>
      </c>
      <c r="I182" t="s">
        <v>4622</v>
      </c>
      <c r="J182" s="63" t="s">
        <v>5096</v>
      </c>
      <c r="K182" s="52" t="s">
        <v>5097</v>
      </c>
      <c r="L182">
        <v>3</v>
      </c>
      <c r="M182" s="59">
        <v>8237</v>
      </c>
      <c r="N182" s="59" t="s">
        <v>4611</v>
      </c>
      <c r="O182">
        <v>1600</v>
      </c>
      <c r="P182" s="60">
        <f t="shared" si="2"/>
        <v>5.2441822353326781</v>
      </c>
    </row>
    <row r="183" spans="1:16" ht="14.25" customHeight="1" x14ac:dyDescent="0.2">
      <c r="A183" t="s">
        <v>1554</v>
      </c>
      <c r="B183" t="s">
        <v>1555</v>
      </c>
      <c r="C183" t="s">
        <v>1556</v>
      </c>
      <c r="D183" t="s">
        <v>645</v>
      </c>
      <c r="E183" s="6" t="s">
        <v>4696</v>
      </c>
      <c r="F183" s="6">
        <v>2</v>
      </c>
      <c r="G183" t="s">
        <v>1562</v>
      </c>
      <c r="H183" s="59">
        <v>5158</v>
      </c>
      <c r="I183" t="s">
        <v>4629</v>
      </c>
      <c r="J183" s="63" t="s">
        <v>5098</v>
      </c>
      <c r="K183" s="52" t="s">
        <v>5099</v>
      </c>
      <c r="L183" t="s">
        <v>137</v>
      </c>
      <c r="M183" s="59" t="s">
        <v>137</v>
      </c>
      <c r="N183" s="59" t="s">
        <v>4616</v>
      </c>
      <c r="O183" t="s">
        <v>4632</v>
      </c>
      <c r="P183" s="60" t="str">
        <f t="shared" si="2"/>
        <v xml:space="preserve"> </v>
      </c>
    </row>
    <row r="184" spans="1:16" ht="14.25" customHeight="1" x14ac:dyDescent="0.2">
      <c r="A184" t="s">
        <v>1568</v>
      </c>
      <c r="B184" t="s">
        <v>1569</v>
      </c>
      <c r="C184" t="s">
        <v>1570</v>
      </c>
      <c r="D184" t="s">
        <v>645</v>
      </c>
      <c r="E184" s="6" t="s">
        <v>4628</v>
      </c>
      <c r="F184" s="6">
        <v>1</v>
      </c>
      <c r="G184" t="s">
        <v>1575</v>
      </c>
      <c r="H184" s="59">
        <v>3817</v>
      </c>
      <c r="I184" t="s">
        <v>4629</v>
      </c>
      <c r="J184" s="63" t="s">
        <v>5100</v>
      </c>
      <c r="K184" s="52" t="s">
        <v>5101</v>
      </c>
      <c r="L184">
        <v>6</v>
      </c>
      <c r="M184" s="59">
        <v>17558</v>
      </c>
      <c r="N184" s="59" t="s">
        <v>4611</v>
      </c>
      <c r="O184">
        <v>1500</v>
      </c>
      <c r="P184" s="60">
        <f t="shared" si="2"/>
        <v>3.9297877914592609</v>
      </c>
    </row>
    <row r="185" spans="1:16" ht="14.25" customHeight="1" x14ac:dyDescent="0.2">
      <c r="A185" t="s">
        <v>1568</v>
      </c>
      <c r="B185" t="s">
        <v>1569</v>
      </c>
      <c r="C185" t="s">
        <v>1570</v>
      </c>
      <c r="D185" t="s">
        <v>645</v>
      </c>
      <c r="E185" s="6" t="s">
        <v>5070</v>
      </c>
      <c r="F185" s="6">
        <v>2</v>
      </c>
      <c r="G185" t="s">
        <v>1576</v>
      </c>
      <c r="H185" s="59">
        <v>5158</v>
      </c>
      <c r="I185" t="s">
        <v>4869</v>
      </c>
      <c r="J185" s="63" t="s">
        <v>5102</v>
      </c>
      <c r="K185" s="52" t="s">
        <v>5103</v>
      </c>
      <c r="L185" t="s">
        <v>137</v>
      </c>
      <c r="M185" s="59" t="s">
        <v>137</v>
      </c>
      <c r="N185" s="59" t="s">
        <v>4616</v>
      </c>
      <c r="O185">
        <v>1700</v>
      </c>
      <c r="P185" s="60">
        <f t="shared" si="2"/>
        <v>3.2958511050794881</v>
      </c>
    </row>
    <row r="186" spans="1:16" ht="14.25" customHeight="1" x14ac:dyDescent="0.2">
      <c r="A186" t="s">
        <v>1581</v>
      </c>
      <c r="B186" t="s">
        <v>1582</v>
      </c>
      <c r="C186" t="s">
        <v>1583</v>
      </c>
      <c r="D186" t="s">
        <v>645</v>
      </c>
      <c r="E186" s="6" t="s">
        <v>4811</v>
      </c>
      <c r="F186" s="6">
        <v>1</v>
      </c>
      <c r="G186" t="s">
        <v>1588</v>
      </c>
      <c r="H186" s="59">
        <v>2581</v>
      </c>
      <c r="I186" t="s">
        <v>4668</v>
      </c>
      <c r="J186" s="63" t="s">
        <v>5104</v>
      </c>
      <c r="K186" s="52" t="s">
        <v>5105</v>
      </c>
      <c r="L186" t="s">
        <v>137</v>
      </c>
      <c r="M186" s="59" t="s">
        <v>137</v>
      </c>
      <c r="N186" s="59" t="s">
        <v>4616</v>
      </c>
      <c r="O186">
        <v>2400</v>
      </c>
      <c r="P186" s="60">
        <f t="shared" si="2"/>
        <v>9.2987214258039526</v>
      </c>
    </row>
    <row r="187" spans="1:16" ht="14.25" customHeight="1" x14ac:dyDescent="0.2">
      <c r="A187" t="s">
        <v>1581</v>
      </c>
      <c r="B187" t="s">
        <v>1582</v>
      </c>
      <c r="C187" t="s">
        <v>1583</v>
      </c>
      <c r="D187" t="s">
        <v>645</v>
      </c>
      <c r="E187" s="6" t="s">
        <v>4673</v>
      </c>
      <c r="F187" s="6">
        <v>2</v>
      </c>
      <c r="G187" t="s">
        <v>1589</v>
      </c>
      <c r="H187" s="59">
        <v>7633</v>
      </c>
      <c r="I187" t="s">
        <v>4629</v>
      </c>
      <c r="J187" s="63" t="s">
        <v>5106</v>
      </c>
      <c r="K187" s="52" t="s">
        <v>5107</v>
      </c>
      <c r="L187">
        <v>3</v>
      </c>
      <c r="M187" s="59">
        <v>20227</v>
      </c>
      <c r="N187" s="59" t="s">
        <v>4611</v>
      </c>
      <c r="O187" t="s">
        <v>4632</v>
      </c>
      <c r="P187" s="60" t="str">
        <f t="shared" si="2"/>
        <v xml:space="preserve"> </v>
      </c>
    </row>
    <row r="188" spans="1:16" ht="14.25" customHeight="1" x14ac:dyDescent="0.2">
      <c r="A188" t="s">
        <v>1594</v>
      </c>
      <c r="B188" t="s">
        <v>1595</v>
      </c>
      <c r="C188" t="s">
        <v>1596</v>
      </c>
      <c r="D188" t="s">
        <v>645</v>
      </c>
      <c r="E188" s="6" t="s">
        <v>4678</v>
      </c>
      <c r="F188" s="6">
        <v>1</v>
      </c>
      <c r="G188" t="s">
        <v>1601</v>
      </c>
      <c r="H188" s="59">
        <v>2920</v>
      </c>
      <c r="I188" t="s">
        <v>4668</v>
      </c>
      <c r="J188" s="63" t="s">
        <v>5108</v>
      </c>
      <c r="K188" s="52" t="s">
        <v>5109</v>
      </c>
      <c r="L188">
        <v>3</v>
      </c>
      <c r="M188" s="59">
        <v>13724</v>
      </c>
      <c r="N188" s="59" t="s">
        <v>4611</v>
      </c>
      <c r="O188" t="s">
        <v>4632</v>
      </c>
      <c r="P188" s="60" t="str">
        <f t="shared" si="2"/>
        <v xml:space="preserve"> </v>
      </c>
    </row>
    <row r="189" spans="1:16" ht="14.25" customHeight="1" x14ac:dyDescent="0.2">
      <c r="A189" t="s">
        <v>1594</v>
      </c>
      <c r="B189" t="s">
        <v>1595</v>
      </c>
      <c r="C189" t="s">
        <v>1596</v>
      </c>
      <c r="D189" t="s">
        <v>645</v>
      </c>
      <c r="E189" s="6" t="s">
        <v>4659</v>
      </c>
      <c r="F189" s="6">
        <v>2</v>
      </c>
      <c r="G189" t="s">
        <v>1602</v>
      </c>
      <c r="H189" s="59">
        <v>5000</v>
      </c>
      <c r="I189" t="s">
        <v>4629</v>
      </c>
      <c r="J189" s="63" t="s">
        <v>5110</v>
      </c>
      <c r="K189" s="52" t="s">
        <v>5111</v>
      </c>
      <c r="L189" t="s">
        <v>137</v>
      </c>
      <c r="M189" s="59" t="s">
        <v>137</v>
      </c>
      <c r="N189" s="59" t="s">
        <v>4616</v>
      </c>
      <c r="O189">
        <v>4000</v>
      </c>
      <c r="P189" s="60">
        <f t="shared" si="2"/>
        <v>8</v>
      </c>
    </row>
    <row r="190" spans="1:16" ht="14.25" customHeight="1" x14ac:dyDescent="0.2">
      <c r="A190" t="s">
        <v>1609</v>
      </c>
      <c r="B190" t="s">
        <v>1610</v>
      </c>
      <c r="C190" t="s">
        <v>1611</v>
      </c>
      <c r="D190" t="s">
        <v>759</v>
      </c>
      <c r="E190" s="6" t="s">
        <v>5112</v>
      </c>
      <c r="F190" s="6">
        <v>1</v>
      </c>
      <c r="G190" t="s">
        <v>1616</v>
      </c>
      <c r="H190" s="59">
        <v>2560</v>
      </c>
      <c r="I190" t="s">
        <v>4622</v>
      </c>
      <c r="J190" s="63" t="s">
        <v>5113</v>
      </c>
      <c r="K190" s="52" t="s">
        <v>5114</v>
      </c>
      <c r="L190">
        <v>7</v>
      </c>
      <c r="M190" s="59">
        <v>14563</v>
      </c>
      <c r="N190" s="59" t="s">
        <v>4611</v>
      </c>
      <c r="O190">
        <v>3000</v>
      </c>
      <c r="P190" s="60">
        <f t="shared" si="2"/>
        <v>11.71875</v>
      </c>
    </row>
    <row r="191" spans="1:16" ht="14.25" customHeight="1" x14ac:dyDescent="0.2">
      <c r="A191" t="s">
        <v>1609</v>
      </c>
      <c r="B191" t="s">
        <v>1610</v>
      </c>
      <c r="C191" t="s">
        <v>1611</v>
      </c>
      <c r="D191" t="s">
        <v>759</v>
      </c>
      <c r="E191" s="6" t="s">
        <v>5115</v>
      </c>
      <c r="F191" s="6">
        <v>2</v>
      </c>
      <c r="G191" t="s">
        <v>1617</v>
      </c>
      <c r="H191" s="59">
        <v>5500</v>
      </c>
      <c r="I191" t="s">
        <v>4629</v>
      </c>
      <c r="J191" s="63" t="s">
        <v>5116</v>
      </c>
      <c r="K191" s="52" t="s">
        <v>5117</v>
      </c>
      <c r="L191" t="s">
        <v>137</v>
      </c>
      <c r="M191" s="59" t="s">
        <v>137</v>
      </c>
      <c r="N191" s="59" t="s">
        <v>4616</v>
      </c>
      <c r="O191">
        <v>5000</v>
      </c>
      <c r="P191" s="60">
        <f t="shared" si="2"/>
        <v>9.0909090909090899</v>
      </c>
    </row>
    <row r="192" spans="1:16" ht="14.25" customHeight="1" x14ac:dyDescent="0.2">
      <c r="A192" t="s">
        <v>1624</v>
      </c>
      <c r="B192" t="s">
        <v>1625</v>
      </c>
      <c r="C192" t="s">
        <v>1626</v>
      </c>
      <c r="D192" t="s">
        <v>759</v>
      </c>
      <c r="E192" s="6" t="s">
        <v>5118</v>
      </c>
      <c r="F192" s="6">
        <v>1</v>
      </c>
      <c r="G192" t="s">
        <v>1631</v>
      </c>
      <c r="H192" s="59">
        <v>3350</v>
      </c>
      <c r="I192" t="s">
        <v>4693</v>
      </c>
      <c r="J192" s="63" t="s">
        <v>5119</v>
      </c>
      <c r="K192" s="52" t="s">
        <v>5120</v>
      </c>
      <c r="L192">
        <v>5</v>
      </c>
      <c r="M192" s="59">
        <v>7035</v>
      </c>
      <c r="N192" s="59" t="s">
        <v>4611</v>
      </c>
      <c r="O192">
        <v>2000</v>
      </c>
      <c r="P192" s="60">
        <f t="shared" si="2"/>
        <v>5.9701492537313428</v>
      </c>
    </row>
    <row r="193" spans="1:16" ht="14.25" customHeight="1" x14ac:dyDescent="0.2">
      <c r="A193" t="s">
        <v>1624</v>
      </c>
      <c r="B193" t="s">
        <v>1625</v>
      </c>
      <c r="C193" t="s">
        <v>1626</v>
      </c>
      <c r="D193" t="s">
        <v>759</v>
      </c>
      <c r="E193" s="6" t="s">
        <v>4696</v>
      </c>
      <c r="F193" s="6">
        <v>2</v>
      </c>
      <c r="G193" t="s">
        <v>1632</v>
      </c>
      <c r="H193" s="59">
        <v>8534</v>
      </c>
      <c r="I193" t="s">
        <v>4629</v>
      </c>
      <c r="J193" s="63" t="s">
        <v>5121</v>
      </c>
      <c r="K193" s="52" t="s">
        <v>5122</v>
      </c>
      <c r="L193" t="s">
        <v>137</v>
      </c>
      <c r="M193" s="59" t="s">
        <v>137</v>
      </c>
      <c r="N193" s="59" t="s">
        <v>4616</v>
      </c>
      <c r="O193" t="s">
        <v>4632</v>
      </c>
      <c r="P193" s="60" t="str">
        <f t="shared" si="2"/>
        <v xml:space="preserve"> </v>
      </c>
    </row>
    <row r="194" spans="1:16" ht="14.25" customHeight="1" x14ac:dyDescent="0.2">
      <c r="A194" t="s">
        <v>1639</v>
      </c>
      <c r="B194" t="s">
        <v>1640</v>
      </c>
      <c r="C194" t="s">
        <v>1641</v>
      </c>
      <c r="D194" t="s">
        <v>759</v>
      </c>
      <c r="E194" s="6" t="s">
        <v>5123</v>
      </c>
      <c r="F194" s="6">
        <v>1</v>
      </c>
      <c r="G194" t="s">
        <v>1646</v>
      </c>
      <c r="H194" s="59">
        <v>3933</v>
      </c>
      <c r="I194" t="s">
        <v>4622</v>
      </c>
      <c r="J194" s="63" t="s">
        <v>5124</v>
      </c>
      <c r="K194" s="52" t="s">
        <v>5125</v>
      </c>
      <c r="L194">
        <v>3</v>
      </c>
      <c r="M194" s="59">
        <v>11405</v>
      </c>
      <c r="N194" s="59" t="s">
        <v>4611</v>
      </c>
      <c r="O194">
        <v>3000</v>
      </c>
      <c r="P194" s="60">
        <f t="shared" ref="P194:P257" si="3">IFERROR(O194/H194*10," ")</f>
        <v>7.6277650648360034</v>
      </c>
    </row>
    <row r="195" spans="1:16" ht="14.25" customHeight="1" x14ac:dyDescent="0.2">
      <c r="A195" t="s">
        <v>1639</v>
      </c>
      <c r="B195" t="s">
        <v>1640</v>
      </c>
      <c r="C195" t="s">
        <v>1641</v>
      </c>
      <c r="D195" t="s">
        <v>759</v>
      </c>
      <c r="E195" s="6" t="s">
        <v>4696</v>
      </c>
      <c r="F195" s="6">
        <v>2</v>
      </c>
      <c r="G195" t="s">
        <v>1647</v>
      </c>
      <c r="H195" s="59">
        <v>10000</v>
      </c>
      <c r="I195" t="s">
        <v>4629</v>
      </c>
      <c r="J195" s="63" t="s">
        <v>5126</v>
      </c>
      <c r="K195" s="52" t="s">
        <v>5127</v>
      </c>
      <c r="L195" t="s">
        <v>137</v>
      </c>
      <c r="M195" s="59" t="s">
        <v>137</v>
      </c>
      <c r="N195" s="59" t="s">
        <v>4616</v>
      </c>
      <c r="O195" t="s">
        <v>4632</v>
      </c>
      <c r="P195" s="60" t="str">
        <f t="shared" si="3"/>
        <v xml:space="preserve"> </v>
      </c>
    </row>
    <row r="196" spans="1:16" ht="14.25" customHeight="1" x14ac:dyDescent="0.2">
      <c r="A196" t="s">
        <v>1655</v>
      </c>
      <c r="B196" t="s">
        <v>79</v>
      </c>
      <c r="C196" t="s">
        <v>1656</v>
      </c>
      <c r="D196" t="s">
        <v>759</v>
      </c>
      <c r="E196" s="6" t="s">
        <v>4838</v>
      </c>
      <c r="F196" s="6">
        <v>1</v>
      </c>
      <c r="G196" t="s">
        <v>1661</v>
      </c>
      <c r="H196" s="59">
        <v>2567</v>
      </c>
      <c r="I196" t="s">
        <v>4693</v>
      </c>
      <c r="J196" s="63" t="s">
        <v>5128</v>
      </c>
      <c r="K196" s="52" t="s">
        <v>5129</v>
      </c>
      <c r="L196">
        <v>5</v>
      </c>
      <c r="M196" s="59">
        <v>9754</v>
      </c>
      <c r="N196" s="59" t="s">
        <v>4611</v>
      </c>
      <c r="O196">
        <f>14*180</f>
        <v>2520</v>
      </c>
      <c r="P196" s="60">
        <f t="shared" si="3"/>
        <v>9.8169068952084153</v>
      </c>
    </row>
    <row r="197" spans="1:16" ht="14.25" customHeight="1" x14ac:dyDescent="0.2">
      <c r="A197" t="s">
        <v>1655</v>
      </c>
      <c r="B197" t="s">
        <v>79</v>
      </c>
      <c r="C197" t="s">
        <v>1656</v>
      </c>
      <c r="D197" t="s">
        <v>759</v>
      </c>
      <c r="E197" s="6" t="s">
        <v>4696</v>
      </c>
      <c r="F197" s="6">
        <v>2</v>
      </c>
      <c r="G197" t="s">
        <v>1662</v>
      </c>
      <c r="H197" s="59">
        <v>8534</v>
      </c>
      <c r="I197" t="s">
        <v>4629</v>
      </c>
      <c r="J197" s="63" t="s">
        <v>5130</v>
      </c>
      <c r="K197" s="52" t="s">
        <v>5131</v>
      </c>
      <c r="L197" t="s">
        <v>137</v>
      </c>
      <c r="M197" s="59" t="s">
        <v>137</v>
      </c>
      <c r="N197" s="59" t="s">
        <v>4616</v>
      </c>
      <c r="O197" t="s">
        <v>4632</v>
      </c>
      <c r="P197" s="60" t="str">
        <f t="shared" si="3"/>
        <v xml:space="preserve"> </v>
      </c>
    </row>
    <row r="198" spans="1:16" ht="14.25" customHeight="1" x14ac:dyDescent="0.2">
      <c r="A198" t="s">
        <v>1667</v>
      </c>
      <c r="B198" t="s">
        <v>1668</v>
      </c>
      <c r="C198" t="s">
        <v>1669</v>
      </c>
      <c r="D198" t="s">
        <v>759</v>
      </c>
      <c r="E198" s="6" t="s">
        <v>4845</v>
      </c>
      <c r="F198" s="6">
        <v>1</v>
      </c>
      <c r="G198" t="s">
        <v>1674</v>
      </c>
      <c r="H198" s="59">
        <v>2359</v>
      </c>
      <c r="I198" t="s">
        <v>4608</v>
      </c>
      <c r="J198" s="63" t="s">
        <v>5132</v>
      </c>
      <c r="K198" s="52" t="s">
        <v>5133</v>
      </c>
      <c r="L198">
        <v>5</v>
      </c>
      <c r="M198" s="59">
        <v>9907</v>
      </c>
      <c r="N198" s="59" t="s">
        <v>4611</v>
      </c>
      <c r="O198">
        <v>2700</v>
      </c>
      <c r="P198" s="60">
        <f t="shared" si="3"/>
        <v>11.445527766002543</v>
      </c>
    </row>
    <row r="199" spans="1:16" ht="14.25" customHeight="1" x14ac:dyDescent="0.2">
      <c r="A199" t="s">
        <v>1667</v>
      </c>
      <c r="B199" t="s">
        <v>1668</v>
      </c>
      <c r="C199" t="s">
        <v>1669</v>
      </c>
      <c r="D199" t="s">
        <v>759</v>
      </c>
      <c r="E199" s="6" t="s">
        <v>4908</v>
      </c>
      <c r="F199" s="6">
        <v>2</v>
      </c>
      <c r="G199" t="s">
        <v>1675</v>
      </c>
      <c r="H199" s="59">
        <v>9476</v>
      </c>
      <c r="I199" t="s">
        <v>4629</v>
      </c>
      <c r="J199" s="63" t="s">
        <v>5134</v>
      </c>
      <c r="K199" s="52" t="s">
        <v>5135</v>
      </c>
      <c r="L199" t="s">
        <v>137</v>
      </c>
      <c r="M199" s="59" t="s">
        <v>137</v>
      </c>
      <c r="N199" s="59" t="s">
        <v>4616</v>
      </c>
      <c r="O199" t="s">
        <v>4632</v>
      </c>
      <c r="P199" s="60" t="str">
        <f t="shared" si="3"/>
        <v xml:space="preserve"> </v>
      </c>
    </row>
    <row r="200" spans="1:16" ht="14.25" customHeight="1" x14ac:dyDescent="0.2">
      <c r="A200" t="s">
        <v>1680</v>
      </c>
      <c r="B200" t="s">
        <v>1681</v>
      </c>
      <c r="C200" t="s">
        <v>1682</v>
      </c>
      <c r="D200" t="s">
        <v>759</v>
      </c>
      <c r="E200" s="6" t="s">
        <v>4845</v>
      </c>
      <c r="F200" s="6">
        <v>1</v>
      </c>
      <c r="G200" t="s">
        <v>1686</v>
      </c>
      <c r="H200" s="59">
        <v>2395</v>
      </c>
      <c r="I200" t="s">
        <v>4842</v>
      </c>
      <c r="J200" s="63" t="s">
        <v>5136</v>
      </c>
      <c r="K200" s="52" t="s">
        <v>5137</v>
      </c>
      <c r="L200">
        <v>4</v>
      </c>
      <c r="M200" s="59">
        <v>8861</v>
      </c>
      <c r="N200" s="59" t="s">
        <v>4611</v>
      </c>
      <c r="O200">
        <v>2400</v>
      </c>
      <c r="P200" s="60">
        <f t="shared" si="3"/>
        <v>10.020876826722338</v>
      </c>
    </row>
    <row r="201" spans="1:16" ht="14.25" customHeight="1" x14ac:dyDescent="0.2">
      <c r="A201" t="s">
        <v>1680</v>
      </c>
      <c r="B201" t="s">
        <v>1681</v>
      </c>
      <c r="C201" t="s">
        <v>1682</v>
      </c>
      <c r="D201" t="s">
        <v>759</v>
      </c>
      <c r="E201" s="6" t="s">
        <v>5138</v>
      </c>
      <c r="F201" s="6">
        <v>2</v>
      </c>
      <c r="G201" t="s">
        <v>1687</v>
      </c>
      <c r="H201" s="59">
        <v>4989</v>
      </c>
      <c r="I201" t="s">
        <v>5139</v>
      </c>
      <c r="J201" s="63" t="s">
        <v>5140</v>
      </c>
      <c r="K201" s="52" t="s">
        <v>5141</v>
      </c>
      <c r="L201" t="s">
        <v>137</v>
      </c>
      <c r="M201" s="59" t="s">
        <v>137</v>
      </c>
      <c r="N201" s="59" t="s">
        <v>4616</v>
      </c>
      <c r="O201">
        <v>2400</v>
      </c>
      <c r="P201" s="60">
        <f t="shared" si="3"/>
        <v>4.8105832832230906</v>
      </c>
    </row>
    <row r="202" spans="1:16" ht="14.25" customHeight="1" x14ac:dyDescent="0.2">
      <c r="A202" t="s">
        <v>1694</v>
      </c>
      <c r="B202" t="s">
        <v>1695</v>
      </c>
      <c r="C202" t="s">
        <v>1696</v>
      </c>
      <c r="D202" t="s">
        <v>839</v>
      </c>
      <c r="E202" s="6" t="s">
        <v>4877</v>
      </c>
      <c r="F202" s="6">
        <v>1</v>
      </c>
      <c r="G202" t="s">
        <v>1701</v>
      </c>
      <c r="H202" s="59">
        <v>3750</v>
      </c>
      <c r="I202" t="s">
        <v>4608</v>
      </c>
      <c r="J202" s="63" t="s">
        <v>5142</v>
      </c>
      <c r="K202" s="52" t="s">
        <v>5143</v>
      </c>
      <c r="L202" t="s">
        <v>137</v>
      </c>
      <c r="M202" s="59" t="s">
        <v>137</v>
      </c>
      <c r="N202" s="59" t="s">
        <v>4616</v>
      </c>
      <c r="O202">
        <v>1200</v>
      </c>
      <c r="P202" s="60">
        <f t="shared" si="3"/>
        <v>3.2</v>
      </c>
    </row>
    <row r="203" spans="1:16" ht="14.25" customHeight="1" x14ac:dyDescent="0.2">
      <c r="A203" t="s">
        <v>1694</v>
      </c>
      <c r="B203" t="s">
        <v>1695</v>
      </c>
      <c r="C203" t="s">
        <v>1696</v>
      </c>
      <c r="D203" t="s">
        <v>839</v>
      </c>
      <c r="E203" s="6" t="s">
        <v>4696</v>
      </c>
      <c r="F203" s="6">
        <v>2</v>
      </c>
      <c r="G203" t="s">
        <v>1702</v>
      </c>
      <c r="H203" s="59">
        <v>4000</v>
      </c>
      <c r="I203" t="s">
        <v>4608</v>
      </c>
      <c r="J203" s="63" t="s">
        <v>5144</v>
      </c>
      <c r="K203" s="52" t="s">
        <v>5145</v>
      </c>
      <c r="L203" t="s">
        <v>137</v>
      </c>
      <c r="M203" s="59" t="s">
        <v>137</v>
      </c>
      <c r="N203" s="59" t="s">
        <v>4616</v>
      </c>
      <c r="O203">
        <v>2000</v>
      </c>
      <c r="P203" s="60">
        <f t="shared" si="3"/>
        <v>5</v>
      </c>
    </row>
    <row r="204" spans="1:16" ht="14.25" customHeight="1" x14ac:dyDescent="0.2">
      <c r="A204" t="s">
        <v>1708</v>
      </c>
      <c r="B204" t="s">
        <v>1709</v>
      </c>
      <c r="C204" t="s">
        <v>1710</v>
      </c>
      <c r="D204" t="s">
        <v>839</v>
      </c>
      <c r="E204" s="6" t="s">
        <v>5146</v>
      </c>
      <c r="F204" s="6">
        <v>1</v>
      </c>
      <c r="G204" t="s">
        <v>1715</v>
      </c>
      <c r="H204" s="59">
        <v>4980</v>
      </c>
      <c r="I204" t="s">
        <v>4649</v>
      </c>
      <c r="J204" s="63" t="s">
        <v>5147</v>
      </c>
      <c r="K204" s="52" t="s">
        <v>5148</v>
      </c>
      <c r="L204" t="s">
        <v>137</v>
      </c>
      <c r="M204" s="59" t="s">
        <v>137</v>
      </c>
      <c r="N204" s="59" t="s">
        <v>4616</v>
      </c>
      <c r="O204" t="s">
        <v>4632</v>
      </c>
      <c r="P204" s="60" t="str">
        <f t="shared" si="3"/>
        <v xml:space="preserve"> </v>
      </c>
    </row>
    <row r="205" spans="1:16" ht="14.25" customHeight="1" x14ac:dyDescent="0.2">
      <c r="A205" t="s">
        <v>1708</v>
      </c>
      <c r="B205" t="s">
        <v>1709</v>
      </c>
      <c r="C205" t="s">
        <v>1710</v>
      </c>
      <c r="D205" t="s">
        <v>839</v>
      </c>
      <c r="E205" s="6" t="s">
        <v>5149</v>
      </c>
      <c r="F205" s="6">
        <v>2</v>
      </c>
      <c r="G205" t="s">
        <v>1716</v>
      </c>
      <c r="H205" s="59">
        <v>4980</v>
      </c>
      <c r="I205" t="s">
        <v>4608</v>
      </c>
      <c r="J205" s="63" t="s">
        <v>5150</v>
      </c>
      <c r="K205" s="52" t="s">
        <v>5151</v>
      </c>
      <c r="L205" t="s">
        <v>137</v>
      </c>
      <c r="M205" s="59" t="s">
        <v>137</v>
      </c>
      <c r="N205" s="59" t="s">
        <v>4616</v>
      </c>
      <c r="O205" t="s">
        <v>4632</v>
      </c>
      <c r="P205" s="60" t="str">
        <f t="shared" si="3"/>
        <v xml:space="preserve"> </v>
      </c>
    </row>
    <row r="206" spans="1:16" ht="14.25" customHeight="1" x14ac:dyDescent="0.2">
      <c r="A206" t="s">
        <v>1725</v>
      </c>
      <c r="B206" t="s">
        <v>1726</v>
      </c>
      <c r="C206" t="s">
        <v>1727</v>
      </c>
      <c r="D206" t="s">
        <v>839</v>
      </c>
      <c r="E206" s="6" t="s">
        <v>5152</v>
      </c>
      <c r="F206" s="6">
        <v>1</v>
      </c>
      <c r="G206" t="s">
        <v>1732</v>
      </c>
      <c r="H206" s="59">
        <v>2490</v>
      </c>
      <c r="I206" t="s">
        <v>4649</v>
      </c>
      <c r="J206" s="63" t="s">
        <v>5153</v>
      </c>
      <c r="K206" s="52" t="s">
        <v>5154</v>
      </c>
      <c r="L206" t="s">
        <v>137</v>
      </c>
      <c r="M206" s="59" t="s">
        <v>137</v>
      </c>
      <c r="N206" s="59" t="s">
        <v>4616</v>
      </c>
      <c r="O206">
        <v>1500</v>
      </c>
      <c r="P206" s="60">
        <f t="shared" si="3"/>
        <v>6.024096385542169</v>
      </c>
    </row>
    <row r="207" spans="1:16" ht="14.25" customHeight="1" x14ac:dyDescent="0.2">
      <c r="A207" t="s">
        <v>1725</v>
      </c>
      <c r="B207" t="s">
        <v>1726</v>
      </c>
      <c r="C207" t="s">
        <v>1727</v>
      </c>
      <c r="D207" t="s">
        <v>839</v>
      </c>
      <c r="E207" s="6" t="s">
        <v>4766</v>
      </c>
      <c r="F207" s="6">
        <v>2</v>
      </c>
      <c r="G207" t="s">
        <v>1733</v>
      </c>
      <c r="H207" s="59">
        <v>5909</v>
      </c>
      <c r="I207" t="s">
        <v>4608</v>
      </c>
      <c r="J207" s="63" t="s">
        <v>5155</v>
      </c>
      <c r="K207" s="52" t="s">
        <v>5156</v>
      </c>
      <c r="L207" t="s">
        <v>137</v>
      </c>
      <c r="M207" s="59" t="s">
        <v>137</v>
      </c>
      <c r="N207" s="59" t="s">
        <v>4616</v>
      </c>
      <c r="O207">
        <v>2000</v>
      </c>
      <c r="P207" s="60">
        <f t="shared" si="3"/>
        <v>3.3846674564224069</v>
      </c>
    </row>
    <row r="208" spans="1:16" ht="14.25" customHeight="1" x14ac:dyDescent="0.2">
      <c r="A208" t="s">
        <v>1740</v>
      </c>
      <c r="B208" t="s">
        <v>1741</v>
      </c>
      <c r="C208" t="s">
        <v>1742</v>
      </c>
      <c r="D208" t="s">
        <v>839</v>
      </c>
      <c r="E208" s="6" t="s">
        <v>4852</v>
      </c>
      <c r="F208" s="6">
        <v>1</v>
      </c>
      <c r="G208" t="s">
        <v>1747</v>
      </c>
      <c r="H208" s="59">
        <v>2711</v>
      </c>
      <c r="I208" t="s">
        <v>4629</v>
      </c>
      <c r="J208" s="63" t="s">
        <v>5157</v>
      </c>
      <c r="K208" s="52" t="s">
        <v>5158</v>
      </c>
      <c r="L208" t="s">
        <v>137</v>
      </c>
      <c r="M208" s="59" t="s">
        <v>137</v>
      </c>
      <c r="N208" s="59" t="s">
        <v>4616</v>
      </c>
      <c r="O208">
        <f>650*4</f>
        <v>2600</v>
      </c>
      <c r="P208" s="60">
        <f t="shared" si="3"/>
        <v>9.5905569900405752</v>
      </c>
    </row>
    <row r="209" spans="1:16" ht="14.25" customHeight="1" x14ac:dyDescent="0.2">
      <c r="A209" t="s">
        <v>1740</v>
      </c>
      <c r="B209" t="s">
        <v>1741</v>
      </c>
      <c r="C209" t="s">
        <v>1742</v>
      </c>
      <c r="D209" t="s">
        <v>839</v>
      </c>
      <c r="E209" s="6" t="s">
        <v>5095</v>
      </c>
      <c r="F209" s="6">
        <v>2</v>
      </c>
      <c r="G209" t="s">
        <v>1748</v>
      </c>
      <c r="H209" s="59">
        <v>6400</v>
      </c>
      <c r="I209" t="s">
        <v>4629</v>
      </c>
      <c r="J209" s="63" t="s">
        <v>5159</v>
      </c>
      <c r="K209" s="52" t="s">
        <v>5160</v>
      </c>
      <c r="L209" t="s">
        <v>137</v>
      </c>
      <c r="M209" s="59" t="s">
        <v>137</v>
      </c>
      <c r="N209" s="59" t="s">
        <v>4616</v>
      </c>
      <c r="O209">
        <v>3200</v>
      </c>
      <c r="P209" s="60">
        <f t="shared" si="3"/>
        <v>5</v>
      </c>
    </row>
    <row r="210" spans="1:16" ht="14.25" customHeight="1" x14ac:dyDescent="0.2">
      <c r="A210" t="s">
        <v>1753</v>
      </c>
      <c r="B210" t="s">
        <v>1754</v>
      </c>
      <c r="C210" t="s">
        <v>1755</v>
      </c>
      <c r="D210" t="s">
        <v>839</v>
      </c>
      <c r="E210" s="6" t="s">
        <v>5070</v>
      </c>
      <c r="F210" s="6">
        <v>1</v>
      </c>
      <c r="G210" t="s">
        <v>1760</v>
      </c>
      <c r="H210" s="59">
        <v>2490</v>
      </c>
      <c r="I210" t="s">
        <v>4730</v>
      </c>
      <c r="J210" s="63" t="s">
        <v>5161</v>
      </c>
      <c r="K210" s="52" t="s">
        <v>5162</v>
      </c>
      <c r="L210">
        <v>5</v>
      </c>
      <c r="M210" s="59">
        <v>8341</v>
      </c>
      <c r="N210" s="59" t="s">
        <v>4611</v>
      </c>
      <c r="O210">
        <v>2200</v>
      </c>
      <c r="P210" s="60">
        <f t="shared" si="3"/>
        <v>8.8353413654618471</v>
      </c>
    </row>
    <row r="211" spans="1:16" ht="14.25" customHeight="1" x14ac:dyDescent="0.2">
      <c r="A211" t="s">
        <v>1753</v>
      </c>
      <c r="B211" t="s">
        <v>1754</v>
      </c>
      <c r="C211" t="s">
        <v>1755</v>
      </c>
      <c r="D211" t="s">
        <v>839</v>
      </c>
      <c r="E211" s="6" t="s">
        <v>4877</v>
      </c>
      <c r="F211" s="6">
        <v>2</v>
      </c>
      <c r="G211" t="s">
        <v>1761</v>
      </c>
      <c r="H211" s="59">
        <v>5909</v>
      </c>
      <c r="I211" t="s">
        <v>4622</v>
      </c>
      <c r="J211" s="63" t="s">
        <v>5163</v>
      </c>
      <c r="K211" s="52" t="s">
        <v>5164</v>
      </c>
      <c r="L211" t="s">
        <v>137</v>
      </c>
      <c r="M211" s="59" t="s">
        <v>137</v>
      </c>
      <c r="N211" s="59" t="s">
        <v>4616</v>
      </c>
      <c r="O211">
        <v>2500</v>
      </c>
      <c r="P211" s="60">
        <f t="shared" si="3"/>
        <v>4.2308343205280083</v>
      </c>
    </row>
    <row r="212" spans="1:16" ht="14.25" customHeight="1" x14ac:dyDescent="0.2">
      <c r="A212" t="s">
        <v>1766</v>
      </c>
      <c r="B212" t="s">
        <v>1767</v>
      </c>
      <c r="C212" t="s">
        <v>1768</v>
      </c>
      <c r="D212" t="s">
        <v>839</v>
      </c>
      <c r="E212" s="6" t="s">
        <v>4673</v>
      </c>
      <c r="F212" s="6">
        <v>1</v>
      </c>
      <c r="G212" t="s">
        <v>1773</v>
      </c>
      <c r="H212" s="59">
        <v>4800</v>
      </c>
      <c r="I212" t="s">
        <v>4629</v>
      </c>
      <c r="J212" s="63" t="s">
        <v>5165</v>
      </c>
      <c r="K212" s="52" t="s">
        <v>5166</v>
      </c>
      <c r="L212">
        <v>5</v>
      </c>
      <c r="M212" s="59">
        <v>15840</v>
      </c>
      <c r="N212" s="59" t="s">
        <v>4611</v>
      </c>
      <c r="O212" t="s">
        <v>4632</v>
      </c>
      <c r="P212" s="60" t="str">
        <f t="shared" si="3"/>
        <v xml:space="preserve"> </v>
      </c>
    </row>
    <row r="213" spans="1:16" ht="14.25" customHeight="1" x14ac:dyDescent="0.2">
      <c r="A213" t="s">
        <v>1766</v>
      </c>
      <c r="B213" t="s">
        <v>1767</v>
      </c>
      <c r="C213" t="s">
        <v>1768</v>
      </c>
      <c r="D213" t="s">
        <v>839</v>
      </c>
      <c r="E213" s="6" t="s">
        <v>5167</v>
      </c>
      <c r="F213" s="6">
        <v>2</v>
      </c>
      <c r="G213" t="s">
        <v>1774</v>
      </c>
      <c r="H213" s="59">
        <v>5100</v>
      </c>
      <c r="I213" t="s">
        <v>4629</v>
      </c>
      <c r="J213" s="63" t="s">
        <v>5168</v>
      </c>
      <c r="K213" s="52" t="s">
        <v>5169</v>
      </c>
      <c r="L213" t="s">
        <v>137</v>
      </c>
      <c r="M213" s="59" t="s">
        <v>137</v>
      </c>
      <c r="N213" s="59" t="s">
        <v>4616</v>
      </c>
      <c r="O213" t="s">
        <v>4632</v>
      </c>
      <c r="P213" s="60" t="str">
        <f t="shared" si="3"/>
        <v xml:space="preserve"> </v>
      </c>
    </row>
    <row r="214" spans="1:16" ht="14.25" customHeight="1" x14ac:dyDescent="0.2">
      <c r="A214" t="s">
        <v>1782</v>
      </c>
      <c r="B214" t="s">
        <v>1783</v>
      </c>
      <c r="C214" t="s">
        <v>1784</v>
      </c>
      <c r="D214" t="s">
        <v>839</v>
      </c>
      <c r="E214" s="6" t="s">
        <v>4852</v>
      </c>
      <c r="F214" s="6">
        <v>1</v>
      </c>
      <c r="G214" t="s">
        <v>1789</v>
      </c>
      <c r="H214" s="59">
        <v>2711</v>
      </c>
      <c r="I214" t="s">
        <v>4629</v>
      </c>
      <c r="J214" s="63" t="s">
        <v>5170</v>
      </c>
      <c r="K214" s="52" t="s">
        <v>5171</v>
      </c>
      <c r="L214" t="s">
        <v>137</v>
      </c>
      <c r="M214" s="59" t="s">
        <v>137</v>
      </c>
      <c r="N214" s="59" t="s">
        <v>4616</v>
      </c>
      <c r="O214">
        <v>2000</v>
      </c>
      <c r="P214" s="60">
        <f t="shared" si="3"/>
        <v>7.3773515308004427</v>
      </c>
    </row>
    <row r="215" spans="1:16" ht="14.25" customHeight="1" x14ac:dyDescent="0.2">
      <c r="A215" t="s">
        <v>1782</v>
      </c>
      <c r="B215" t="s">
        <v>1783</v>
      </c>
      <c r="C215" t="s">
        <v>1784</v>
      </c>
      <c r="D215" t="s">
        <v>839</v>
      </c>
      <c r="E215" s="6" t="s">
        <v>4628</v>
      </c>
      <c r="F215" s="6">
        <v>2</v>
      </c>
      <c r="G215" t="s">
        <v>1790</v>
      </c>
      <c r="H215" s="59">
        <v>7634</v>
      </c>
      <c r="I215" t="s">
        <v>4629</v>
      </c>
      <c r="J215" s="63" t="s">
        <v>5172</v>
      </c>
      <c r="K215" s="52" t="s">
        <v>5173</v>
      </c>
      <c r="L215" t="s">
        <v>137</v>
      </c>
      <c r="M215" s="59" t="s">
        <v>137</v>
      </c>
      <c r="N215" s="59" t="s">
        <v>4616</v>
      </c>
      <c r="O215" t="s">
        <v>4632</v>
      </c>
      <c r="P215" s="60" t="str">
        <f t="shared" si="3"/>
        <v xml:space="preserve"> </v>
      </c>
    </row>
    <row r="216" spans="1:16" ht="14.25" customHeight="1" x14ac:dyDescent="0.2">
      <c r="A216" t="s">
        <v>1794</v>
      </c>
      <c r="B216" t="s">
        <v>1795</v>
      </c>
      <c r="C216" t="s">
        <v>1796</v>
      </c>
      <c r="D216" t="s">
        <v>839</v>
      </c>
      <c r="E216" s="6" t="s">
        <v>4852</v>
      </c>
      <c r="F216" s="6">
        <v>1</v>
      </c>
      <c r="G216" t="s">
        <v>1801</v>
      </c>
      <c r="H216" s="59">
        <v>2563</v>
      </c>
      <c r="I216" t="s">
        <v>4629</v>
      </c>
      <c r="J216" s="63" t="s">
        <v>5174</v>
      </c>
      <c r="K216" s="52" t="s">
        <v>5175</v>
      </c>
      <c r="L216">
        <v>5</v>
      </c>
      <c r="M216" s="59">
        <v>8970</v>
      </c>
      <c r="N216" s="59" t="s">
        <v>4611</v>
      </c>
      <c r="O216">
        <v>2400</v>
      </c>
      <c r="P216" s="60">
        <f t="shared" si="3"/>
        <v>9.3640265314085056</v>
      </c>
    </row>
    <row r="217" spans="1:16" ht="14.25" customHeight="1" x14ac:dyDescent="0.2">
      <c r="A217" t="s">
        <v>1794</v>
      </c>
      <c r="B217" t="s">
        <v>1795</v>
      </c>
      <c r="C217" t="s">
        <v>1796</v>
      </c>
      <c r="D217" t="s">
        <v>839</v>
      </c>
      <c r="E217" s="6" t="s">
        <v>5176</v>
      </c>
      <c r="F217" s="6">
        <v>2</v>
      </c>
      <c r="G217" t="s">
        <v>1802</v>
      </c>
      <c r="H217" s="59">
        <v>9609</v>
      </c>
      <c r="I217" t="s">
        <v>4776</v>
      </c>
      <c r="J217" s="63" t="s">
        <v>5177</v>
      </c>
      <c r="K217" s="52" t="s">
        <v>5178</v>
      </c>
      <c r="L217" t="s">
        <v>137</v>
      </c>
      <c r="M217" s="59" t="s">
        <v>137</v>
      </c>
      <c r="N217" s="59" t="s">
        <v>4616</v>
      </c>
      <c r="O217" t="s">
        <v>4632</v>
      </c>
      <c r="P217" s="60" t="str">
        <f t="shared" si="3"/>
        <v xml:space="preserve"> </v>
      </c>
    </row>
    <row r="218" spans="1:16" ht="14.25" customHeight="1" x14ac:dyDescent="0.2">
      <c r="A218" t="s">
        <v>1809</v>
      </c>
      <c r="B218" t="s">
        <v>1810</v>
      </c>
      <c r="C218" t="s">
        <v>1811</v>
      </c>
      <c r="D218" t="s">
        <v>949</v>
      </c>
      <c r="E218" s="6" t="s">
        <v>5179</v>
      </c>
      <c r="F218" s="6">
        <v>1</v>
      </c>
      <c r="G218" t="s">
        <v>1816</v>
      </c>
      <c r="H218" s="59">
        <v>3450</v>
      </c>
      <c r="I218" t="s">
        <v>4608</v>
      </c>
      <c r="J218" s="63" t="s">
        <v>5180</v>
      </c>
      <c r="K218" s="52" t="s">
        <v>5181</v>
      </c>
      <c r="L218">
        <v>6</v>
      </c>
      <c r="M218" s="59">
        <v>15352</v>
      </c>
      <c r="N218" s="59" t="s">
        <v>4611</v>
      </c>
      <c r="O218">
        <v>3000</v>
      </c>
      <c r="P218" s="60">
        <f t="shared" si="3"/>
        <v>8.695652173913043</v>
      </c>
    </row>
    <row r="219" spans="1:16" ht="14.25" customHeight="1" x14ac:dyDescent="0.2">
      <c r="A219" t="s">
        <v>1809</v>
      </c>
      <c r="B219" t="s">
        <v>1810</v>
      </c>
      <c r="C219" t="s">
        <v>1811</v>
      </c>
      <c r="D219" t="s">
        <v>949</v>
      </c>
      <c r="E219" s="6" t="s">
        <v>5182</v>
      </c>
      <c r="F219" s="6">
        <v>2</v>
      </c>
      <c r="G219" t="s">
        <v>1817</v>
      </c>
      <c r="H219" s="59">
        <v>3450</v>
      </c>
      <c r="I219" t="s">
        <v>4629</v>
      </c>
      <c r="J219" s="63" t="s">
        <v>5183</v>
      </c>
      <c r="K219" s="52" t="s">
        <v>5184</v>
      </c>
      <c r="L219" t="s">
        <v>137</v>
      </c>
      <c r="M219" s="59" t="s">
        <v>137</v>
      </c>
      <c r="N219" s="59" t="s">
        <v>4616</v>
      </c>
      <c r="O219">
        <f>7*350</f>
        <v>2450</v>
      </c>
      <c r="P219" s="60">
        <f t="shared" si="3"/>
        <v>7.1014492753623193</v>
      </c>
    </row>
    <row r="220" spans="1:16" ht="14.25" customHeight="1" x14ac:dyDescent="0.2">
      <c r="A220" t="s">
        <v>1825</v>
      </c>
      <c r="B220" t="s">
        <v>1826</v>
      </c>
      <c r="C220" t="s">
        <v>1827</v>
      </c>
      <c r="D220" t="s">
        <v>949</v>
      </c>
      <c r="E220" s="6" t="s">
        <v>5185</v>
      </c>
      <c r="F220" s="6">
        <v>1</v>
      </c>
      <c r="G220" t="s">
        <v>1832</v>
      </c>
      <c r="H220" s="59">
        <v>7734</v>
      </c>
      <c r="I220" t="s">
        <v>4608</v>
      </c>
      <c r="J220" s="63" t="s">
        <v>5186</v>
      </c>
      <c r="K220" s="52" t="s">
        <v>5187</v>
      </c>
      <c r="L220">
        <v>6</v>
      </c>
      <c r="M220" s="59">
        <v>17324</v>
      </c>
      <c r="N220" s="59" t="s">
        <v>4611</v>
      </c>
      <c r="O220" t="s">
        <v>4632</v>
      </c>
      <c r="P220" s="60" t="str">
        <f t="shared" si="3"/>
        <v xml:space="preserve"> </v>
      </c>
    </row>
    <row r="221" spans="1:16" ht="14.25" customHeight="1" x14ac:dyDescent="0.2">
      <c r="A221" t="s">
        <v>1825</v>
      </c>
      <c r="B221" t="s">
        <v>1826</v>
      </c>
      <c r="C221" t="s">
        <v>1827</v>
      </c>
      <c r="D221" t="s">
        <v>949</v>
      </c>
      <c r="E221" s="6" t="s">
        <v>5188</v>
      </c>
      <c r="F221" s="6">
        <v>2</v>
      </c>
      <c r="G221" t="s">
        <v>1833</v>
      </c>
      <c r="H221" s="59">
        <v>11832</v>
      </c>
      <c r="I221" t="s">
        <v>4629</v>
      </c>
      <c r="J221" s="63" t="s">
        <v>5189</v>
      </c>
      <c r="K221" s="52" t="s">
        <v>5190</v>
      </c>
      <c r="L221" t="s">
        <v>137</v>
      </c>
      <c r="M221" s="59" t="s">
        <v>137</v>
      </c>
      <c r="N221" s="59" t="s">
        <v>4616</v>
      </c>
      <c r="O221" t="s">
        <v>4632</v>
      </c>
      <c r="P221" s="60" t="str">
        <f t="shared" si="3"/>
        <v xml:space="preserve"> </v>
      </c>
    </row>
    <row r="222" spans="1:16" ht="14.25" customHeight="1" x14ac:dyDescent="0.2">
      <c r="A222" t="s">
        <v>1840</v>
      </c>
      <c r="B222" t="s">
        <v>1841</v>
      </c>
      <c r="C222" t="s">
        <v>1842</v>
      </c>
      <c r="D222" t="s">
        <v>949</v>
      </c>
      <c r="E222" s="6" t="s">
        <v>4897</v>
      </c>
      <c r="F222" s="6">
        <v>1</v>
      </c>
      <c r="G222" t="s">
        <v>1847</v>
      </c>
      <c r="H222" s="59">
        <v>5916</v>
      </c>
      <c r="I222" t="s">
        <v>4608</v>
      </c>
      <c r="J222" s="63" t="s">
        <v>5191</v>
      </c>
      <c r="K222" s="52" t="s">
        <v>5192</v>
      </c>
      <c r="L222">
        <v>6</v>
      </c>
      <c r="M222" s="59">
        <v>14198</v>
      </c>
      <c r="N222" s="59" t="s">
        <v>4611</v>
      </c>
      <c r="O222" t="s">
        <v>4632</v>
      </c>
      <c r="P222" s="60" t="str">
        <f t="shared" si="3"/>
        <v xml:space="preserve"> </v>
      </c>
    </row>
    <row r="223" spans="1:16" ht="14.25" customHeight="1" x14ac:dyDescent="0.2">
      <c r="A223" t="s">
        <v>1840</v>
      </c>
      <c r="B223" t="s">
        <v>1841</v>
      </c>
      <c r="C223" t="s">
        <v>1842</v>
      </c>
      <c r="D223" t="s">
        <v>949</v>
      </c>
      <c r="E223" s="6" t="s">
        <v>4673</v>
      </c>
      <c r="F223" s="6">
        <v>2</v>
      </c>
      <c r="G223" t="s">
        <v>1848</v>
      </c>
      <c r="H223" s="59">
        <v>11832</v>
      </c>
      <c r="I223" t="s">
        <v>4629</v>
      </c>
      <c r="J223" s="63" t="s">
        <v>5193</v>
      </c>
      <c r="K223" s="52" t="s">
        <v>5194</v>
      </c>
      <c r="L223" t="s">
        <v>137</v>
      </c>
      <c r="M223" s="59" t="s">
        <v>137</v>
      </c>
      <c r="N223" s="59" t="s">
        <v>4616</v>
      </c>
      <c r="O223" t="s">
        <v>4632</v>
      </c>
      <c r="P223" s="60" t="str">
        <f t="shared" si="3"/>
        <v xml:space="preserve"> </v>
      </c>
    </row>
    <row r="224" spans="1:16" ht="14.25" customHeight="1" x14ac:dyDescent="0.2">
      <c r="A224" t="s">
        <v>1854</v>
      </c>
      <c r="B224" t="s">
        <v>1855</v>
      </c>
      <c r="C224" t="s">
        <v>1856</v>
      </c>
      <c r="D224" t="s">
        <v>949</v>
      </c>
      <c r="E224" s="6" t="s">
        <v>4897</v>
      </c>
      <c r="F224" s="6">
        <v>1</v>
      </c>
      <c r="G224" t="s">
        <v>1861</v>
      </c>
      <c r="H224" s="59">
        <v>7888</v>
      </c>
      <c r="I224" t="s">
        <v>4776</v>
      </c>
      <c r="J224" s="63" t="s">
        <v>5195</v>
      </c>
      <c r="K224" s="52" t="s">
        <v>5196</v>
      </c>
      <c r="L224" t="s">
        <v>137</v>
      </c>
      <c r="M224" s="59" t="s">
        <v>137</v>
      </c>
      <c r="N224" s="59" t="s">
        <v>4616</v>
      </c>
      <c r="O224" t="s">
        <v>4632</v>
      </c>
      <c r="P224" s="60" t="str">
        <f t="shared" si="3"/>
        <v xml:space="preserve"> </v>
      </c>
    </row>
    <row r="225" spans="1:16" ht="14.25" customHeight="1" x14ac:dyDescent="0.2">
      <c r="A225" t="s">
        <v>1854</v>
      </c>
      <c r="B225" t="s">
        <v>1855</v>
      </c>
      <c r="C225" t="s">
        <v>1856</v>
      </c>
      <c r="D225" t="s">
        <v>949</v>
      </c>
      <c r="E225" s="6" t="s">
        <v>4897</v>
      </c>
      <c r="F225" s="6">
        <v>2</v>
      </c>
      <c r="G225" t="s">
        <v>1862</v>
      </c>
      <c r="H225" s="59">
        <v>11832</v>
      </c>
      <c r="I225" t="s">
        <v>4776</v>
      </c>
      <c r="J225" s="63" t="s">
        <v>5197</v>
      </c>
      <c r="K225" s="52" t="s">
        <v>5198</v>
      </c>
      <c r="L225">
        <v>5</v>
      </c>
      <c r="M225" s="59">
        <v>10293</v>
      </c>
      <c r="N225" s="59" t="s">
        <v>4611</v>
      </c>
      <c r="O225" t="s">
        <v>4632</v>
      </c>
      <c r="P225" s="60" t="str">
        <f t="shared" si="3"/>
        <v xml:space="preserve"> </v>
      </c>
    </row>
    <row r="226" spans="1:16" ht="14.25" customHeight="1" x14ac:dyDescent="0.2">
      <c r="A226" t="s">
        <v>1867</v>
      </c>
      <c r="B226" t="s">
        <v>1868</v>
      </c>
      <c r="C226" t="s">
        <v>1869</v>
      </c>
      <c r="D226" t="s">
        <v>949</v>
      </c>
      <c r="E226" s="6" t="s">
        <v>4897</v>
      </c>
      <c r="F226" s="6">
        <v>1</v>
      </c>
      <c r="G226" t="s">
        <v>1874</v>
      </c>
      <c r="H226" s="59">
        <v>5916</v>
      </c>
      <c r="I226" t="s">
        <v>4776</v>
      </c>
      <c r="J226" s="63" t="s">
        <v>5191</v>
      </c>
      <c r="K226" s="52" t="s">
        <v>5192</v>
      </c>
      <c r="L226">
        <v>5</v>
      </c>
      <c r="M226" s="59">
        <v>13606</v>
      </c>
      <c r="N226" s="59" t="s">
        <v>4611</v>
      </c>
      <c r="O226" t="s">
        <v>4632</v>
      </c>
      <c r="P226" s="60" t="str">
        <f t="shared" si="3"/>
        <v xml:space="preserve"> </v>
      </c>
    </row>
    <row r="227" spans="1:16" ht="14.25" customHeight="1" x14ac:dyDescent="0.2">
      <c r="A227" t="s">
        <v>1867</v>
      </c>
      <c r="B227" t="s">
        <v>1868</v>
      </c>
      <c r="C227" t="s">
        <v>1869</v>
      </c>
      <c r="D227" t="s">
        <v>949</v>
      </c>
      <c r="E227" s="6" t="s">
        <v>4673</v>
      </c>
      <c r="F227" s="6">
        <v>2</v>
      </c>
      <c r="G227" t="s">
        <v>1875</v>
      </c>
      <c r="H227" s="59">
        <v>8534</v>
      </c>
      <c r="I227" t="s">
        <v>4629</v>
      </c>
      <c r="J227" s="63" t="s">
        <v>5199</v>
      </c>
      <c r="K227" s="52" t="s">
        <v>5200</v>
      </c>
      <c r="L227" t="s">
        <v>137</v>
      </c>
      <c r="M227" s="59" t="s">
        <v>137</v>
      </c>
      <c r="N227" s="59" t="s">
        <v>4616</v>
      </c>
      <c r="O227" t="s">
        <v>4632</v>
      </c>
      <c r="P227" s="60" t="str">
        <f t="shared" si="3"/>
        <v xml:space="preserve"> </v>
      </c>
    </row>
    <row r="228" spans="1:16" ht="14.25" customHeight="1" x14ac:dyDescent="0.2">
      <c r="A228" t="s">
        <v>1880</v>
      </c>
      <c r="B228" t="s">
        <v>1881</v>
      </c>
      <c r="C228" t="s">
        <v>1882</v>
      </c>
      <c r="D228" t="s">
        <v>949</v>
      </c>
      <c r="E228" s="6" t="s">
        <v>4897</v>
      </c>
      <c r="F228" s="6">
        <v>1</v>
      </c>
      <c r="G228" t="s">
        <v>1886</v>
      </c>
      <c r="H228" s="59">
        <v>7888</v>
      </c>
      <c r="I228" t="s">
        <v>4776</v>
      </c>
      <c r="J228" s="63" t="s">
        <v>5192</v>
      </c>
      <c r="K228" s="52" t="s">
        <v>23956</v>
      </c>
      <c r="L228">
        <v>4</v>
      </c>
      <c r="M228" s="59">
        <v>16564</v>
      </c>
      <c r="N228" s="59" t="s">
        <v>4611</v>
      </c>
      <c r="O228" t="s">
        <v>4632</v>
      </c>
      <c r="P228" s="60" t="str">
        <f t="shared" si="3"/>
        <v xml:space="preserve"> </v>
      </c>
    </row>
    <row r="229" spans="1:16" ht="14.25" customHeight="1" x14ac:dyDescent="0.2">
      <c r="A229" t="s">
        <v>1880</v>
      </c>
      <c r="B229" t="s">
        <v>1881</v>
      </c>
      <c r="C229" t="s">
        <v>1882</v>
      </c>
      <c r="D229" t="s">
        <v>949</v>
      </c>
      <c r="E229" s="6" t="s">
        <v>4897</v>
      </c>
      <c r="F229" s="6">
        <v>2</v>
      </c>
      <c r="G229" t="s">
        <v>1887</v>
      </c>
      <c r="H229" s="59">
        <v>11832</v>
      </c>
      <c r="I229" t="s">
        <v>4776</v>
      </c>
      <c r="J229" s="63" t="s">
        <v>5201</v>
      </c>
      <c r="K229" s="52" t="s">
        <v>23955</v>
      </c>
      <c r="L229" t="s">
        <v>137</v>
      </c>
      <c r="M229" s="59" t="s">
        <v>137</v>
      </c>
      <c r="N229" s="59" t="s">
        <v>4616</v>
      </c>
      <c r="O229" t="s">
        <v>4632</v>
      </c>
      <c r="P229" s="60" t="str">
        <f t="shared" si="3"/>
        <v xml:space="preserve"> </v>
      </c>
    </row>
    <row r="230" spans="1:16" ht="14.25" customHeight="1" x14ac:dyDescent="0.2">
      <c r="A230" t="s">
        <v>1894</v>
      </c>
      <c r="B230" t="s">
        <v>1895</v>
      </c>
      <c r="C230" t="s">
        <v>1896</v>
      </c>
      <c r="D230" t="s">
        <v>1054</v>
      </c>
      <c r="E230" s="6" t="s">
        <v>5202</v>
      </c>
      <c r="F230" s="6">
        <v>1</v>
      </c>
      <c r="G230" t="s">
        <v>1901</v>
      </c>
      <c r="H230" s="59">
        <v>4215</v>
      </c>
      <c r="I230" t="s">
        <v>4842</v>
      </c>
      <c r="J230" s="63" t="s">
        <v>5203</v>
      </c>
      <c r="K230" s="52" t="s">
        <v>5204</v>
      </c>
      <c r="L230" t="s">
        <v>137</v>
      </c>
      <c r="M230" s="59" t="s">
        <v>137</v>
      </c>
      <c r="N230" s="59" t="s">
        <v>4616</v>
      </c>
      <c r="O230">
        <f>25*50</f>
        <v>1250</v>
      </c>
      <c r="P230" s="60">
        <f t="shared" si="3"/>
        <v>2.9655990510083035</v>
      </c>
    </row>
    <row r="231" spans="1:16" ht="14.25" customHeight="1" x14ac:dyDescent="0.2">
      <c r="A231" t="s">
        <v>1894</v>
      </c>
      <c r="B231" t="s">
        <v>1895</v>
      </c>
      <c r="C231" t="s">
        <v>1896</v>
      </c>
      <c r="D231" t="s">
        <v>1054</v>
      </c>
      <c r="E231" s="6" t="s">
        <v>5205</v>
      </c>
      <c r="F231" s="6">
        <v>2</v>
      </c>
      <c r="G231" t="s">
        <v>1902</v>
      </c>
      <c r="H231" s="59">
        <v>6520</v>
      </c>
      <c r="I231" t="s">
        <v>4618</v>
      </c>
      <c r="J231" s="63" t="s">
        <v>5206</v>
      </c>
      <c r="K231" s="52" t="s">
        <v>5207</v>
      </c>
      <c r="L231">
        <v>4</v>
      </c>
      <c r="M231" s="59">
        <v>8280</v>
      </c>
      <c r="N231" s="59" t="s">
        <v>4611</v>
      </c>
      <c r="O231">
        <v>1300</v>
      </c>
      <c r="P231" s="60">
        <f t="shared" si="3"/>
        <v>1.9938650306748464</v>
      </c>
    </row>
    <row r="232" spans="1:16" ht="14.25" customHeight="1" x14ac:dyDescent="0.2">
      <c r="A232" t="s">
        <v>1909</v>
      </c>
      <c r="B232" t="s">
        <v>1910</v>
      </c>
      <c r="C232" t="s">
        <v>1911</v>
      </c>
      <c r="D232" t="s">
        <v>1054</v>
      </c>
      <c r="E232" s="6" t="s">
        <v>5208</v>
      </c>
      <c r="F232" s="6">
        <v>1</v>
      </c>
      <c r="G232" t="s">
        <v>1916</v>
      </c>
      <c r="H232" s="59">
        <v>3819</v>
      </c>
      <c r="I232" t="s">
        <v>4629</v>
      </c>
      <c r="J232" s="63" t="s">
        <v>5209</v>
      </c>
      <c r="K232" s="52" t="s">
        <v>5210</v>
      </c>
      <c r="L232" t="s">
        <v>137</v>
      </c>
      <c r="M232" s="59" t="s">
        <v>137</v>
      </c>
      <c r="N232" s="59" t="s">
        <v>4616</v>
      </c>
      <c r="O232">
        <v>2010</v>
      </c>
      <c r="P232" s="60">
        <f t="shared" si="3"/>
        <v>5.2631578947368416</v>
      </c>
    </row>
    <row r="233" spans="1:16" ht="14.25" customHeight="1" x14ac:dyDescent="0.2">
      <c r="A233" t="s">
        <v>1909</v>
      </c>
      <c r="B233" t="s">
        <v>1910</v>
      </c>
      <c r="C233" t="s">
        <v>1911</v>
      </c>
      <c r="D233" t="s">
        <v>1054</v>
      </c>
      <c r="E233" s="6" t="s">
        <v>5211</v>
      </c>
      <c r="F233" s="6">
        <v>2</v>
      </c>
      <c r="G233" t="s">
        <v>1917</v>
      </c>
      <c r="H233" s="59">
        <v>7051</v>
      </c>
      <c r="I233" t="s">
        <v>4608</v>
      </c>
      <c r="J233" s="63" t="s">
        <v>5212</v>
      </c>
      <c r="K233" s="52" t="s">
        <v>5213</v>
      </c>
      <c r="L233">
        <v>4</v>
      </c>
      <c r="M233" s="59">
        <v>9166</v>
      </c>
      <c r="N233" s="59" t="s">
        <v>4611</v>
      </c>
      <c r="O233">
        <f>8*200+500</f>
        <v>2100</v>
      </c>
      <c r="P233" s="60">
        <f t="shared" si="3"/>
        <v>2.9783009502198272</v>
      </c>
    </row>
    <row r="234" spans="1:16" ht="14.25" customHeight="1" x14ac:dyDescent="0.2">
      <c r="A234" t="s">
        <v>1924</v>
      </c>
      <c r="B234" t="s">
        <v>1925</v>
      </c>
      <c r="C234" t="s">
        <v>1926</v>
      </c>
      <c r="D234" t="s">
        <v>1054</v>
      </c>
      <c r="E234" s="6" t="s">
        <v>5214</v>
      </c>
      <c r="F234" s="6">
        <v>1</v>
      </c>
      <c r="G234" t="s">
        <v>1931</v>
      </c>
      <c r="H234" s="59">
        <v>2500</v>
      </c>
      <c r="I234" t="s">
        <v>4641</v>
      </c>
      <c r="J234" s="63" t="s">
        <v>5215</v>
      </c>
      <c r="K234" s="52" t="s">
        <v>5216</v>
      </c>
      <c r="L234">
        <v>5</v>
      </c>
      <c r="M234" s="59">
        <v>5750</v>
      </c>
      <c r="N234" s="59" t="s">
        <v>4611</v>
      </c>
      <c r="O234">
        <v>1500</v>
      </c>
      <c r="P234" s="60">
        <f t="shared" si="3"/>
        <v>6</v>
      </c>
    </row>
    <row r="235" spans="1:16" ht="14.25" customHeight="1" x14ac:dyDescent="0.2">
      <c r="A235" t="s">
        <v>1924</v>
      </c>
      <c r="B235" t="s">
        <v>1925</v>
      </c>
      <c r="C235" t="s">
        <v>1926</v>
      </c>
      <c r="D235" t="s">
        <v>1054</v>
      </c>
      <c r="E235" s="6" t="s">
        <v>5217</v>
      </c>
      <c r="F235" s="6">
        <v>2</v>
      </c>
      <c r="G235" t="s">
        <v>1932</v>
      </c>
      <c r="H235" s="59">
        <v>7185</v>
      </c>
      <c r="I235" t="s">
        <v>4629</v>
      </c>
      <c r="J235" s="63" t="s">
        <v>5218</v>
      </c>
      <c r="K235" s="52" t="s">
        <v>5219</v>
      </c>
      <c r="L235" t="s">
        <v>137</v>
      </c>
      <c r="M235" s="59" t="s">
        <v>137</v>
      </c>
      <c r="N235" s="59" t="s">
        <v>4616</v>
      </c>
      <c r="O235">
        <v>3600</v>
      </c>
      <c r="P235" s="60">
        <f t="shared" si="3"/>
        <v>5.010438413361169</v>
      </c>
    </row>
    <row r="236" spans="1:16" ht="14.25" customHeight="1" x14ac:dyDescent="0.2">
      <c r="A236" t="s">
        <v>1940</v>
      </c>
      <c r="B236" t="s">
        <v>1941</v>
      </c>
      <c r="C236" t="s">
        <v>1942</v>
      </c>
      <c r="D236" t="s">
        <v>123</v>
      </c>
      <c r="E236" s="6" t="s">
        <v>5220</v>
      </c>
      <c r="F236" s="6">
        <v>1</v>
      </c>
      <c r="G236" t="s">
        <v>1948</v>
      </c>
      <c r="H236" s="59">
        <v>3050</v>
      </c>
      <c r="I236" t="s">
        <v>4622</v>
      </c>
      <c r="J236" s="63" t="s">
        <v>5221</v>
      </c>
      <c r="K236" s="52" t="s">
        <v>5222</v>
      </c>
      <c r="L236" t="s">
        <v>137</v>
      </c>
      <c r="M236" s="59" t="s">
        <v>137</v>
      </c>
      <c r="N236" s="59" t="s">
        <v>4616</v>
      </c>
      <c r="O236">
        <f>5*250+1100</f>
        <v>2350</v>
      </c>
      <c r="P236" s="60">
        <f t="shared" si="3"/>
        <v>7.7049180327868854</v>
      </c>
    </row>
    <row r="237" spans="1:16" ht="14.25" customHeight="1" x14ac:dyDescent="0.2">
      <c r="A237" t="s">
        <v>1940</v>
      </c>
      <c r="B237" t="s">
        <v>1941</v>
      </c>
      <c r="C237" t="s">
        <v>1942</v>
      </c>
      <c r="D237" t="s">
        <v>123</v>
      </c>
      <c r="E237" s="6" t="s">
        <v>5223</v>
      </c>
      <c r="F237" s="6">
        <v>2</v>
      </c>
      <c r="G237" t="s">
        <v>1949</v>
      </c>
      <c r="H237" s="59">
        <v>7200</v>
      </c>
      <c r="I237" t="s">
        <v>4608</v>
      </c>
      <c r="J237" s="63" t="s">
        <v>5224</v>
      </c>
      <c r="K237" s="52" t="s">
        <v>5225</v>
      </c>
      <c r="L237" t="s">
        <v>137</v>
      </c>
      <c r="M237" s="59" t="s">
        <v>137</v>
      </c>
      <c r="N237" s="59" t="s">
        <v>4616</v>
      </c>
      <c r="O237">
        <f>280*8+2100</f>
        <v>4340</v>
      </c>
      <c r="P237" s="60">
        <f t="shared" si="3"/>
        <v>6.0277777777777777</v>
      </c>
    </row>
    <row r="238" spans="1:16" ht="14.25" customHeight="1" x14ac:dyDescent="0.2">
      <c r="A238" t="s">
        <v>1959</v>
      </c>
      <c r="B238" t="s">
        <v>1960</v>
      </c>
      <c r="C238" t="s">
        <v>1961</v>
      </c>
      <c r="D238" t="s">
        <v>123</v>
      </c>
      <c r="E238" s="6" t="s">
        <v>4833</v>
      </c>
      <c r="F238" s="6">
        <v>1</v>
      </c>
      <c r="G238" t="s">
        <v>1966</v>
      </c>
      <c r="H238" s="59">
        <v>2714</v>
      </c>
      <c r="I238" t="s">
        <v>4622</v>
      </c>
      <c r="J238" s="63" t="s">
        <v>5226</v>
      </c>
      <c r="K238" s="52" t="s">
        <v>5227</v>
      </c>
      <c r="L238" t="s">
        <v>137</v>
      </c>
      <c r="M238" s="59" t="s">
        <v>137</v>
      </c>
      <c r="N238" s="59" t="s">
        <v>4616</v>
      </c>
      <c r="O238">
        <v>1500</v>
      </c>
      <c r="P238" s="60">
        <f t="shared" si="3"/>
        <v>5.5268975681650705</v>
      </c>
    </row>
    <row r="239" spans="1:16" ht="14.25" customHeight="1" x14ac:dyDescent="0.2">
      <c r="A239" t="s">
        <v>1959</v>
      </c>
      <c r="B239" t="s">
        <v>1960</v>
      </c>
      <c r="C239" t="s">
        <v>1961</v>
      </c>
      <c r="D239" t="s">
        <v>123</v>
      </c>
      <c r="E239" s="6" t="s">
        <v>4852</v>
      </c>
      <c r="F239" s="6">
        <v>2</v>
      </c>
      <c r="G239" t="s">
        <v>1967</v>
      </c>
      <c r="H239" s="59">
        <v>8415</v>
      </c>
      <c r="I239" t="s">
        <v>4622</v>
      </c>
      <c r="J239" s="63" t="s">
        <v>5228</v>
      </c>
      <c r="K239" s="52" t="s">
        <v>5229</v>
      </c>
      <c r="L239" t="s">
        <v>137</v>
      </c>
      <c r="M239" s="59" t="s">
        <v>137</v>
      </c>
      <c r="N239" s="59" t="s">
        <v>4616</v>
      </c>
      <c r="O239">
        <v>2400</v>
      </c>
      <c r="P239" s="60">
        <f t="shared" si="3"/>
        <v>2.8520499108734403</v>
      </c>
    </row>
    <row r="240" spans="1:16" ht="14.25" customHeight="1" x14ac:dyDescent="0.2">
      <c r="A240" t="s">
        <v>1976</v>
      </c>
      <c r="B240" t="s">
        <v>1977</v>
      </c>
      <c r="C240" t="s">
        <v>1978</v>
      </c>
      <c r="D240" t="s">
        <v>123</v>
      </c>
      <c r="E240" s="6" t="s">
        <v>5230</v>
      </c>
      <c r="F240" s="6">
        <v>1</v>
      </c>
      <c r="G240" t="s">
        <v>1983</v>
      </c>
      <c r="H240" s="59">
        <v>2715</v>
      </c>
      <c r="I240" t="s">
        <v>4608</v>
      </c>
      <c r="J240" s="63" t="s">
        <v>5231</v>
      </c>
      <c r="K240" s="52" t="s">
        <v>5232</v>
      </c>
      <c r="L240" t="s">
        <v>137</v>
      </c>
      <c r="M240" s="59" t="s">
        <v>137</v>
      </c>
      <c r="N240" s="59" t="s">
        <v>4616</v>
      </c>
      <c r="O240">
        <v>2400</v>
      </c>
      <c r="P240" s="62">
        <f t="shared" si="3"/>
        <v>8.8397790055248606</v>
      </c>
    </row>
    <row r="241" spans="1:16" ht="14.25" customHeight="1" x14ac:dyDescent="0.2">
      <c r="A241" t="s">
        <v>1976</v>
      </c>
      <c r="B241" t="s">
        <v>1977</v>
      </c>
      <c r="C241" t="s">
        <v>1978</v>
      </c>
      <c r="D241" t="s">
        <v>123</v>
      </c>
      <c r="E241" s="6" t="s">
        <v>4877</v>
      </c>
      <c r="F241" s="6">
        <v>2</v>
      </c>
      <c r="G241" t="s">
        <v>1984</v>
      </c>
      <c r="H241" s="59">
        <v>5450</v>
      </c>
      <c r="I241" t="s">
        <v>4608</v>
      </c>
      <c r="J241" s="63" t="s">
        <v>5233</v>
      </c>
      <c r="K241" s="52" t="s">
        <v>5234</v>
      </c>
      <c r="L241">
        <v>5</v>
      </c>
      <c r="M241" s="59">
        <v>8447</v>
      </c>
      <c r="N241" s="59" t="s">
        <v>4611</v>
      </c>
      <c r="O241">
        <v>2400</v>
      </c>
      <c r="P241" s="60">
        <f t="shared" si="3"/>
        <v>4.4036697247706424</v>
      </c>
    </row>
    <row r="242" spans="1:16" ht="14.25" customHeight="1" x14ac:dyDescent="0.2">
      <c r="A242" t="s">
        <v>1992</v>
      </c>
      <c r="B242" t="s">
        <v>1993</v>
      </c>
      <c r="C242" t="s">
        <v>1994</v>
      </c>
      <c r="D242" t="s">
        <v>123</v>
      </c>
      <c r="E242" s="6" t="s">
        <v>5235</v>
      </c>
      <c r="F242" s="6">
        <v>1</v>
      </c>
      <c r="G242" t="s">
        <v>1999</v>
      </c>
      <c r="H242" s="59">
        <v>3456</v>
      </c>
      <c r="I242" t="s">
        <v>4629</v>
      </c>
      <c r="J242" s="63" t="s">
        <v>5236</v>
      </c>
      <c r="K242" s="52" t="s">
        <v>5237</v>
      </c>
      <c r="L242" t="s">
        <v>137</v>
      </c>
      <c r="M242" s="59" t="s">
        <v>137</v>
      </c>
      <c r="N242" s="59" t="s">
        <v>4616</v>
      </c>
      <c r="O242">
        <v>1100</v>
      </c>
      <c r="P242" s="60">
        <f t="shared" si="3"/>
        <v>3.1828703703703702</v>
      </c>
    </row>
    <row r="243" spans="1:16" ht="14.25" customHeight="1" x14ac:dyDescent="0.2">
      <c r="A243" t="s">
        <v>1992</v>
      </c>
      <c r="B243" t="s">
        <v>1993</v>
      </c>
      <c r="C243" t="s">
        <v>1994</v>
      </c>
      <c r="D243" t="s">
        <v>123</v>
      </c>
      <c r="E243" s="6" t="s">
        <v>5238</v>
      </c>
      <c r="F243" s="6">
        <v>2</v>
      </c>
      <c r="G243" t="s">
        <v>2000</v>
      </c>
      <c r="H243" s="59">
        <v>8640</v>
      </c>
      <c r="I243" t="s">
        <v>4629</v>
      </c>
      <c r="J243" s="63" t="s">
        <v>5239</v>
      </c>
      <c r="K243" s="52" t="s">
        <v>5240</v>
      </c>
      <c r="L243" t="s">
        <v>137</v>
      </c>
      <c r="M243" s="59" t="s">
        <v>137</v>
      </c>
      <c r="N243" s="59" t="s">
        <v>4616</v>
      </c>
      <c r="O243">
        <v>3000</v>
      </c>
      <c r="P243" s="60">
        <f t="shared" si="3"/>
        <v>3.4722222222222223</v>
      </c>
    </row>
    <row r="244" spans="1:16" ht="14.25" customHeight="1" x14ac:dyDescent="0.2">
      <c r="A244" t="s">
        <v>2009</v>
      </c>
      <c r="B244" t="s">
        <v>2010</v>
      </c>
      <c r="C244" t="s">
        <v>2011</v>
      </c>
      <c r="D244" t="s">
        <v>123</v>
      </c>
      <c r="E244" s="6" t="s">
        <v>4941</v>
      </c>
      <c r="F244" s="6">
        <v>1</v>
      </c>
      <c r="G244" t="s">
        <v>2016</v>
      </c>
      <c r="H244" s="59">
        <v>2902</v>
      </c>
      <c r="I244" t="s">
        <v>5241</v>
      </c>
      <c r="J244" s="63" t="s">
        <v>5242</v>
      </c>
      <c r="K244" s="52" t="s">
        <v>5243</v>
      </c>
      <c r="L244">
        <v>5</v>
      </c>
      <c r="M244" s="59">
        <v>7255</v>
      </c>
      <c r="N244" s="59" t="s">
        <v>4611</v>
      </c>
      <c r="O244">
        <v>2000</v>
      </c>
      <c r="P244" s="60">
        <f t="shared" si="3"/>
        <v>6.8917987594762229</v>
      </c>
    </row>
    <row r="245" spans="1:16" ht="14.25" customHeight="1" x14ac:dyDescent="0.2">
      <c r="A245" t="s">
        <v>2009</v>
      </c>
      <c r="B245" t="s">
        <v>2010</v>
      </c>
      <c r="C245" t="s">
        <v>2011</v>
      </c>
      <c r="D245" t="s">
        <v>123</v>
      </c>
      <c r="E245" s="6" t="s">
        <v>4766</v>
      </c>
      <c r="F245" s="6">
        <v>2</v>
      </c>
      <c r="G245" t="s">
        <v>2017</v>
      </c>
      <c r="H245" s="59">
        <v>6243</v>
      </c>
      <c r="I245" t="s">
        <v>5241</v>
      </c>
      <c r="J245" s="63" t="s">
        <v>5244</v>
      </c>
      <c r="K245" s="52" t="s">
        <v>5245</v>
      </c>
      <c r="L245" t="s">
        <v>137</v>
      </c>
      <c r="M245" s="59" t="s">
        <v>137</v>
      </c>
      <c r="N245" s="59" t="s">
        <v>4616</v>
      </c>
      <c r="O245">
        <v>1500</v>
      </c>
      <c r="P245" s="60">
        <f t="shared" si="3"/>
        <v>2.4026910139356077</v>
      </c>
    </row>
    <row r="246" spans="1:16" ht="14.25" customHeight="1" x14ac:dyDescent="0.2">
      <c r="A246" t="s">
        <v>2026</v>
      </c>
      <c r="B246" t="s">
        <v>2027</v>
      </c>
      <c r="C246" t="s">
        <v>2028</v>
      </c>
      <c r="D246" t="s">
        <v>123</v>
      </c>
      <c r="E246" s="6" t="s">
        <v>4852</v>
      </c>
      <c r="F246" s="6">
        <v>1</v>
      </c>
      <c r="G246" t="s">
        <v>2033</v>
      </c>
      <c r="H246" s="59">
        <v>2661</v>
      </c>
      <c r="I246" t="s">
        <v>4613</v>
      </c>
      <c r="J246" s="63" t="s">
        <v>5246</v>
      </c>
      <c r="K246" s="52" t="s">
        <v>5247</v>
      </c>
      <c r="L246">
        <v>4</v>
      </c>
      <c r="M246" s="59">
        <v>8914</v>
      </c>
      <c r="N246" s="59" t="s">
        <v>4611</v>
      </c>
      <c r="O246">
        <f>6*350</f>
        <v>2100</v>
      </c>
      <c r="P246" s="60">
        <f t="shared" si="3"/>
        <v>7.8917700112739571</v>
      </c>
    </row>
    <row r="247" spans="1:16" ht="14.25" customHeight="1" x14ac:dyDescent="0.2">
      <c r="A247" t="s">
        <v>2026</v>
      </c>
      <c r="B247" t="s">
        <v>2027</v>
      </c>
      <c r="C247" t="s">
        <v>2028</v>
      </c>
      <c r="D247" t="s">
        <v>123</v>
      </c>
      <c r="E247" s="6" t="s">
        <v>5248</v>
      </c>
      <c r="F247" s="6">
        <v>2</v>
      </c>
      <c r="G247" t="s">
        <v>2034</v>
      </c>
      <c r="H247" s="59">
        <v>5800</v>
      </c>
      <c r="I247" t="s">
        <v>4629</v>
      </c>
      <c r="J247" s="63" t="s">
        <v>5249</v>
      </c>
      <c r="K247" s="52" t="s">
        <v>5250</v>
      </c>
      <c r="L247" t="s">
        <v>137</v>
      </c>
      <c r="M247" s="59" t="s">
        <v>137</v>
      </c>
      <c r="N247" s="59" t="s">
        <v>4616</v>
      </c>
      <c r="O247" t="s">
        <v>4632</v>
      </c>
      <c r="P247" s="60" t="str">
        <f t="shared" si="3"/>
        <v xml:space="preserve"> </v>
      </c>
    </row>
    <row r="248" spans="1:16" ht="14.25" customHeight="1" x14ac:dyDescent="0.2">
      <c r="A248" t="s">
        <v>2043</v>
      </c>
      <c r="B248" t="s">
        <v>2044</v>
      </c>
      <c r="C248" t="s">
        <v>2045</v>
      </c>
      <c r="D248" t="s">
        <v>123</v>
      </c>
      <c r="E248" s="6" t="s">
        <v>4673</v>
      </c>
      <c r="F248" s="6">
        <v>1</v>
      </c>
      <c r="G248" t="s">
        <v>2050</v>
      </c>
      <c r="H248" s="59">
        <v>3756</v>
      </c>
      <c r="I248" t="s">
        <v>4629</v>
      </c>
      <c r="J248" s="63" t="s">
        <v>5251</v>
      </c>
      <c r="K248" s="52" t="s">
        <v>5252</v>
      </c>
      <c r="L248">
        <v>4</v>
      </c>
      <c r="M248" s="59">
        <v>18028</v>
      </c>
      <c r="N248" s="59" t="s">
        <v>4611</v>
      </c>
      <c r="O248" t="s">
        <v>4632</v>
      </c>
      <c r="P248" s="60" t="str">
        <f t="shared" si="3"/>
        <v xml:space="preserve"> </v>
      </c>
    </row>
    <row r="249" spans="1:16" ht="14.25" customHeight="1" x14ac:dyDescent="0.2">
      <c r="A249" t="s">
        <v>2043</v>
      </c>
      <c r="B249" t="s">
        <v>2044</v>
      </c>
      <c r="C249" t="s">
        <v>2045</v>
      </c>
      <c r="D249" t="s">
        <v>123</v>
      </c>
      <c r="E249" s="6" t="s">
        <v>4659</v>
      </c>
      <c r="F249" s="6">
        <v>2</v>
      </c>
      <c r="G249" t="s">
        <v>2051</v>
      </c>
      <c r="H249" s="59">
        <v>4608</v>
      </c>
      <c r="I249" t="s">
        <v>4660</v>
      </c>
      <c r="J249" s="63" t="s">
        <v>5253</v>
      </c>
      <c r="K249" s="52" t="s">
        <v>5254</v>
      </c>
      <c r="L249" t="s">
        <v>137</v>
      </c>
      <c r="M249" s="59" t="s">
        <v>137</v>
      </c>
      <c r="N249" s="59" t="s">
        <v>4616</v>
      </c>
      <c r="O249">
        <v>3200</v>
      </c>
      <c r="P249" s="60">
        <f t="shared" si="3"/>
        <v>6.9444444444444446</v>
      </c>
    </row>
    <row r="250" spans="1:16" ht="14.25" customHeight="1" x14ac:dyDescent="0.2">
      <c r="A250" t="s">
        <v>2057</v>
      </c>
      <c r="B250" t="s">
        <v>2058</v>
      </c>
      <c r="C250" t="s">
        <v>2059</v>
      </c>
      <c r="D250" t="s">
        <v>123</v>
      </c>
      <c r="E250" s="6" t="s">
        <v>4633</v>
      </c>
      <c r="F250" s="6">
        <v>1</v>
      </c>
      <c r="G250" t="s">
        <v>2064</v>
      </c>
      <c r="H250" s="59">
        <v>2296</v>
      </c>
      <c r="I250" t="s">
        <v>4842</v>
      </c>
      <c r="J250" s="63" t="s">
        <v>5255</v>
      </c>
      <c r="K250" s="52" t="s">
        <v>5256</v>
      </c>
      <c r="L250">
        <v>4</v>
      </c>
      <c r="M250" s="59">
        <v>7576</v>
      </c>
      <c r="N250" s="59" t="s">
        <v>4611</v>
      </c>
      <c r="O250">
        <v>1800</v>
      </c>
      <c r="P250" s="62">
        <f t="shared" si="3"/>
        <v>7.8397212543554007</v>
      </c>
    </row>
    <row r="251" spans="1:16" ht="14.25" customHeight="1" x14ac:dyDescent="0.2">
      <c r="A251" t="s">
        <v>2057</v>
      </c>
      <c r="B251" t="s">
        <v>2058</v>
      </c>
      <c r="C251" t="s">
        <v>2059</v>
      </c>
      <c r="D251" t="s">
        <v>123</v>
      </c>
      <c r="E251" s="6" t="s">
        <v>4628</v>
      </c>
      <c r="F251" s="6">
        <v>2</v>
      </c>
      <c r="G251" t="s">
        <v>2065</v>
      </c>
      <c r="H251" s="59">
        <v>2913</v>
      </c>
      <c r="I251" t="s">
        <v>4629</v>
      </c>
      <c r="J251" s="63" t="s">
        <v>5257</v>
      </c>
      <c r="K251" s="52" t="s">
        <v>5258</v>
      </c>
      <c r="L251" t="s">
        <v>137</v>
      </c>
      <c r="M251" s="59" t="s">
        <v>137</v>
      </c>
      <c r="N251" s="59" t="s">
        <v>4616</v>
      </c>
      <c r="O251" t="s">
        <v>4632</v>
      </c>
      <c r="P251" s="60" t="str">
        <f t="shared" si="3"/>
        <v xml:space="preserve"> </v>
      </c>
    </row>
    <row r="252" spans="1:16" ht="14.25" customHeight="1" x14ac:dyDescent="0.2">
      <c r="A252" t="s">
        <v>2072</v>
      </c>
      <c r="B252" t="s">
        <v>2073</v>
      </c>
      <c r="C252" t="s">
        <v>2074</v>
      </c>
      <c r="D252" t="s">
        <v>330</v>
      </c>
      <c r="E252" s="6" t="s">
        <v>4648</v>
      </c>
      <c r="F252" s="6">
        <v>1</v>
      </c>
      <c r="G252" t="s">
        <v>2079</v>
      </c>
      <c r="H252" s="59">
        <v>2640</v>
      </c>
      <c r="I252" t="s">
        <v>4629</v>
      </c>
      <c r="J252" s="63" t="s">
        <v>5259</v>
      </c>
      <c r="K252" s="52" t="s">
        <v>5260</v>
      </c>
      <c r="L252" t="s">
        <v>137</v>
      </c>
      <c r="M252" s="59" t="s">
        <v>137</v>
      </c>
      <c r="N252" s="59" t="s">
        <v>4616</v>
      </c>
      <c r="O252">
        <v>2000</v>
      </c>
      <c r="P252" s="60">
        <f t="shared" si="3"/>
        <v>7.5757575757575761</v>
      </c>
    </row>
    <row r="253" spans="1:16" ht="14.25" customHeight="1" x14ac:dyDescent="0.2">
      <c r="A253" t="s">
        <v>2072</v>
      </c>
      <c r="B253" t="s">
        <v>2073</v>
      </c>
      <c r="C253" t="s">
        <v>2074</v>
      </c>
      <c r="D253" t="s">
        <v>330</v>
      </c>
      <c r="E253" s="6" t="s">
        <v>4696</v>
      </c>
      <c r="F253" s="6">
        <v>2</v>
      </c>
      <c r="G253" t="s">
        <v>2080</v>
      </c>
      <c r="H253" s="59">
        <v>5000</v>
      </c>
      <c r="I253" t="s">
        <v>4842</v>
      </c>
      <c r="J253" s="63" t="s">
        <v>5261</v>
      </c>
      <c r="K253" s="52" t="s">
        <v>5262</v>
      </c>
      <c r="L253" t="s">
        <v>137</v>
      </c>
      <c r="M253" s="59" t="s">
        <v>137</v>
      </c>
      <c r="N253" s="59" t="s">
        <v>4616</v>
      </c>
      <c r="O253" t="s">
        <v>4632</v>
      </c>
      <c r="P253" s="60" t="str">
        <f t="shared" si="3"/>
        <v xml:space="preserve"> </v>
      </c>
    </row>
    <row r="254" spans="1:16" ht="14.25" customHeight="1" x14ac:dyDescent="0.2">
      <c r="A254" t="s">
        <v>2087</v>
      </c>
      <c r="B254" t="s">
        <v>2088</v>
      </c>
      <c r="C254" t="s">
        <v>2089</v>
      </c>
      <c r="D254" t="s">
        <v>330</v>
      </c>
      <c r="E254" s="6" t="s">
        <v>5263</v>
      </c>
      <c r="F254" s="6">
        <v>1</v>
      </c>
      <c r="G254" t="s">
        <v>2094</v>
      </c>
      <c r="H254" s="59">
        <v>2640</v>
      </c>
      <c r="I254" t="s">
        <v>4641</v>
      </c>
      <c r="J254" s="63" t="s">
        <v>5264</v>
      </c>
      <c r="K254" s="52" t="s">
        <v>5265</v>
      </c>
      <c r="L254" t="s">
        <v>137</v>
      </c>
      <c r="M254" s="59" t="s">
        <v>137</v>
      </c>
      <c r="N254" s="59" t="s">
        <v>4616</v>
      </c>
      <c r="O254">
        <v>1800</v>
      </c>
      <c r="P254" s="60">
        <f t="shared" si="3"/>
        <v>6.8181818181818175</v>
      </c>
    </row>
    <row r="255" spans="1:16" ht="14.25" customHeight="1" x14ac:dyDescent="0.2">
      <c r="A255" t="s">
        <v>2087</v>
      </c>
      <c r="B255" t="s">
        <v>2088</v>
      </c>
      <c r="C255" t="s">
        <v>2089</v>
      </c>
      <c r="D255" t="s">
        <v>330</v>
      </c>
      <c r="E255" s="6" t="s">
        <v>5266</v>
      </c>
      <c r="F255" s="6">
        <v>2</v>
      </c>
      <c r="G255" t="s">
        <v>2095</v>
      </c>
      <c r="H255" s="59">
        <v>6000</v>
      </c>
      <c r="I255" t="s">
        <v>4842</v>
      </c>
      <c r="J255" s="63" t="s">
        <v>5267</v>
      </c>
      <c r="K255" s="52" t="s">
        <v>5268</v>
      </c>
      <c r="L255">
        <v>7</v>
      </c>
      <c r="M255" s="59">
        <v>15180</v>
      </c>
      <c r="N255" s="59" t="s">
        <v>4611</v>
      </c>
      <c r="O255">
        <v>2000</v>
      </c>
      <c r="P255" s="60">
        <f t="shared" si="3"/>
        <v>3.333333333333333</v>
      </c>
    </row>
    <row r="256" spans="1:16" ht="14.25" customHeight="1" x14ac:dyDescent="0.2">
      <c r="A256" t="s">
        <v>2101</v>
      </c>
      <c r="B256" t="s">
        <v>2102</v>
      </c>
      <c r="C256" t="s">
        <v>2103</v>
      </c>
      <c r="D256" t="s">
        <v>330</v>
      </c>
      <c r="E256" s="6" t="s">
        <v>5269</v>
      </c>
      <c r="F256" s="6">
        <v>1</v>
      </c>
      <c r="G256" t="s">
        <v>2108</v>
      </c>
      <c r="H256" s="59">
        <v>2838</v>
      </c>
      <c r="I256" t="s">
        <v>4608</v>
      </c>
      <c r="J256" s="63" t="s">
        <v>5270</v>
      </c>
      <c r="K256" s="52" t="s">
        <v>5271</v>
      </c>
      <c r="L256">
        <v>6</v>
      </c>
      <c r="M256" s="59">
        <v>9081</v>
      </c>
      <c r="N256" s="59" t="s">
        <v>4611</v>
      </c>
      <c r="O256">
        <v>1600</v>
      </c>
      <c r="P256" s="60">
        <f t="shared" si="3"/>
        <v>5.6377730796335443</v>
      </c>
    </row>
    <row r="257" spans="1:16" ht="14.25" customHeight="1" x14ac:dyDescent="0.2">
      <c r="A257" t="s">
        <v>2101</v>
      </c>
      <c r="B257" t="s">
        <v>2102</v>
      </c>
      <c r="C257" t="s">
        <v>2103</v>
      </c>
      <c r="D257" t="s">
        <v>330</v>
      </c>
      <c r="E257" s="6" t="s">
        <v>4941</v>
      </c>
      <c r="F257" s="6">
        <v>2</v>
      </c>
      <c r="G257" t="s">
        <v>2109</v>
      </c>
      <c r="H257" s="59">
        <v>10000</v>
      </c>
      <c r="I257" t="s">
        <v>4842</v>
      </c>
      <c r="J257" s="63" t="s">
        <v>5272</v>
      </c>
      <c r="K257" s="52" t="s">
        <v>5273</v>
      </c>
      <c r="L257" t="s">
        <v>137</v>
      </c>
      <c r="M257" s="59" t="s">
        <v>137</v>
      </c>
      <c r="N257" s="59" t="s">
        <v>4616</v>
      </c>
      <c r="O257" t="s">
        <v>4632</v>
      </c>
      <c r="P257" s="60" t="str">
        <f t="shared" si="3"/>
        <v xml:space="preserve"> </v>
      </c>
    </row>
    <row r="258" spans="1:16" ht="14.25" customHeight="1" x14ac:dyDescent="0.2">
      <c r="A258" t="s">
        <v>2115</v>
      </c>
      <c r="B258" t="s">
        <v>2116</v>
      </c>
      <c r="C258" t="s">
        <v>2117</v>
      </c>
      <c r="D258" t="s">
        <v>330</v>
      </c>
      <c r="E258" s="6" t="s">
        <v>4628</v>
      </c>
      <c r="F258" s="6">
        <v>1</v>
      </c>
      <c r="G258" t="s">
        <v>2122</v>
      </c>
      <c r="H258" s="59">
        <v>3840</v>
      </c>
      <c r="I258" t="s">
        <v>4629</v>
      </c>
      <c r="J258" s="63" t="s">
        <v>5274</v>
      </c>
      <c r="K258" s="52" t="s">
        <v>5275</v>
      </c>
      <c r="L258">
        <v>6</v>
      </c>
      <c r="M258" s="59">
        <v>15360</v>
      </c>
      <c r="N258" s="59" t="s">
        <v>4611</v>
      </c>
      <c r="O258" t="s">
        <v>4632</v>
      </c>
      <c r="P258" s="60" t="str">
        <f t="shared" ref="P258:P321" si="4">IFERROR(O258/H258*10," ")</f>
        <v xml:space="preserve"> </v>
      </c>
    </row>
    <row r="259" spans="1:16" ht="14.25" customHeight="1" x14ac:dyDescent="0.2">
      <c r="A259" t="s">
        <v>2115</v>
      </c>
      <c r="B259" t="s">
        <v>2116</v>
      </c>
      <c r="C259" t="s">
        <v>2117</v>
      </c>
      <c r="D259" t="s">
        <v>330</v>
      </c>
      <c r="E259" s="6" t="s">
        <v>5276</v>
      </c>
      <c r="F259" s="6">
        <v>2</v>
      </c>
      <c r="G259" t="s">
        <v>2123</v>
      </c>
      <c r="H259" s="59">
        <v>1</v>
      </c>
      <c r="I259" t="s">
        <v>4629</v>
      </c>
      <c r="J259" s="63" t="s">
        <v>5277</v>
      </c>
      <c r="K259" s="52" t="s">
        <v>5278</v>
      </c>
      <c r="L259" t="s">
        <v>137</v>
      </c>
      <c r="M259" s="59" t="s">
        <v>137</v>
      </c>
      <c r="N259" s="59" t="s">
        <v>4616</v>
      </c>
      <c r="O259">
        <v>400</v>
      </c>
      <c r="P259" s="60">
        <f t="shared" si="4"/>
        <v>4000</v>
      </c>
    </row>
    <row r="260" spans="1:16" ht="14.25" customHeight="1" x14ac:dyDescent="0.2">
      <c r="A260" t="s">
        <v>2130</v>
      </c>
      <c r="B260" t="s">
        <v>2131</v>
      </c>
      <c r="C260" t="s">
        <v>2132</v>
      </c>
      <c r="D260" t="s">
        <v>330</v>
      </c>
      <c r="E260" s="6" t="s">
        <v>5279</v>
      </c>
      <c r="F260" s="6">
        <v>1</v>
      </c>
      <c r="G260" t="s">
        <v>2137</v>
      </c>
      <c r="H260" s="59">
        <v>2838</v>
      </c>
      <c r="I260" t="s">
        <v>4613</v>
      </c>
      <c r="J260" s="63" t="s">
        <v>5280</v>
      </c>
      <c r="K260" s="52" t="s">
        <v>5281</v>
      </c>
      <c r="L260">
        <v>7</v>
      </c>
      <c r="M260" s="59">
        <v>11068</v>
      </c>
      <c r="N260" s="59" t="s">
        <v>4611</v>
      </c>
      <c r="O260">
        <v>2000</v>
      </c>
      <c r="P260" s="60">
        <f t="shared" si="4"/>
        <v>7.0472163495419302</v>
      </c>
    </row>
    <row r="261" spans="1:16" ht="14.25" customHeight="1" x14ac:dyDescent="0.2">
      <c r="A261" t="s">
        <v>2130</v>
      </c>
      <c r="B261" t="s">
        <v>2131</v>
      </c>
      <c r="C261" t="s">
        <v>2132</v>
      </c>
      <c r="D261" t="s">
        <v>330</v>
      </c>
      <c r="E261" s="6" t="s">
        <v>5282</v>
      </c>
      <c r="F261" s="6">
        <v>2</v>
      </c>
      <c r="G261" t="s">
        <v>2138</v>
      </c>
      <c r="H261" s="59">
        <v>7500</v>
      </c>
      <c r="I261" t="s">
        <v>4618</v>
      </c>
      <c r="J261" s="63" t="s">
        <v>5283</v>
      </c>
      <c r="K261" s="52" t="s">
        <v>5284</v>
      </c>
      <c r="L261" t="s">
        <v>137</v>
      </c>
      <c r="M261" s="59" t="s">
        <v>137</v>
      </c>
      <c r="N261" s="59" t="s">
        <v>4616</v>
      </c>
      <c r="O261">
        <v>2300</v>
      </c>
      <c r="P261" s="60">
        <f t="shared" si="4"/>
        <v>3.0666666666666664</v>
      </c>
    </row>
    <row r="262" spans="1:16" ht="14.25" customHeight="1" x14ac:dyDescent="0.2">
      <c r="A262" t="s">
        <v>2146</v>
      </c>
      <c r="B262" t="s">
        <v>2147</v>
      </c>
      <c r="C262" t="s">
        <v>2148</v>
      </c>
      <c r="D262" t="s">
        <v>330</v>
      </c>
      <c r="E262" s="6" t="s">
        <v>4648</v>
      </c>
      <c r="F262" s="6">
        <v>1</v>
      </c>
      <c r="G262" t="s">
        <v>2153</v>
      </c>
      <c r="H262" s="59">
        <v>2537</v>
      </c>
      <c r="I262" t="s">
        <v>4629</v>
      </c>
      <c r="J262" s="63" t="s">
        <v>5285</v>
      </c>
      <c r="K262" s="52" t="s">
        <v>5286</v>
      </c>
      <c r="L262">
        <v>6</v>
      </c>
      <c r="M262" s="59">
        <v>5708</v>
      </c>
      <c r="N262" s="59" t="s">
        <v>4611</v>
      </c>
      <c r="O262">
        <v>2000</v>
      </c>
      <c r="P262" s="60">
        <f t="shared" si="4"/>
        <v>7.883326763894364</v>
      </c>
    </row>
    <row r="263" spans="1:16" ht="14.25" customHeight="1" x14ac:dyDescent="0.2">
      <c r="A263" t="s">
        <v>2146</v>
      </c>
      <c r="B263" t="s">
        <v>2147</v>
      </c>
      <c r="C263" t="s">
        <v>2148</v>
      </c>
      <c r="D263" t="s">
        <v>330</v>
      </c>
      <c r="E263" s="6" t="s">
        <v>5287</v>
      </c>
      <c r="F263" s="6">
        <v>2</v>
      </c>
      <c r="G263" t="s">
        <v>2154</v>
      </c>
      <c r="H263" s="59">
        <v>4877</v>
      </c>
      <c r="I263" t="s">
        <v>4629</v>
      </c>
      <c r="J263" s="63" t="s">
        <v>5288</v>
      </c>
      <c r="K263" s="52" t="s">
        <v>5289</v>
      </c>
      <c r="L263" t="s">
        <v>137</v>
      </c>
      <c r="M263" s="59" t="s">
        <v>137</v>
      </c>
      <c r="N263" s="59" t="s">
        <v>4616</v>
      </c>
      <c r="O263" t="s">
        <v>4632</v>
      </c>
      <c r="P263" s="60" t="str">
        <f t="shared" si="4"/>
        <v xml:space="preserve"> </v>
      </c>
    </row>
    <row r="264" spans="1:16" ht="14.25" customHeight="1" x14ac:dyDescent="0.2">
      <c r="A264" t="s">
        <v>2160</v>
      </c>
      <c r="B264" t="s">
        <v>2161</v>
      </c>
      <c r="C264" t="s">
        <v>2162</v>
      </c>
      <c r="D264" t="s">
        <v>330</v>
      </c>
      <c r="E264" s="6" t="s">
        <v>4958</v>
      </c>
      <c r="F264" s="6">
        <v>1</v>
      </c>
      <c r="G264" t="s">
        <v>2167</v>
      </c>
      <c r="H264" s="59">
        <v>2567</v>
      </c>
      <c r="I264" t="s">
        <v>4712</v>
      </c>
      <c r="J264" s="63" t="s">
        <v>5290</v>
      </c>
      <c r="K264" s="52" t="s">
        <v>5291</v>
      </c>
      <c r="L264">
        <v>6</v>
      </c>
      <c r="M264" s="59">
        <v>5904</v>
      </c>
      <c r="N264" s="59" t="s">
        <v>4611</v>
      </c>
      <c r="O264">
        <v>2000</v>
      </c>
      <c r="P264" s="60">
        <f t="shared" si="4"/>
        <v>7.7911959485781068</v>
      </c>
    </row>
    <row r="265" spans="1:16" ht="14.25" customHeight="1" x14ac:dyDescent="0.2">
      <c r="A265" t="s">
        <v>2160</v>
      </c>
      <c r="B265" t="s">
        <v>2161</v>
      </c>
      <c r="C265" t="s">
        <v>2162</v>
      </c>
      <c r="D265" t="s">
        <v>330</v>
      </c>
      <c r="E265" s="6" t="s">
        <v>4628</v>
      </c>
      <c r="F265" s="6">
        <v>2</v>
      </c>
      <c r="G265" t="s">
        <v>2168</v>
      </c>
      <c r="H265" s="59">
        <v>4430</v>
      </c>
      <c r="I265" t="s">
        <v>4629</v>
      </c>
      <c r="J265" s="63" t="s">
        <v>5292</v>
      </c>
      <c r="K265" s="52" t="s">
        <v>5293</v>
      </c>
      <c r="L265" t="s">
        <v>137</v>
      </c>
      <c r="M265" s="59" t="s">
        <v>137</v>
      </c>
      <c r="N265" s="59" t="s">
        <v>4616</v>
      </c>
      <c r="O265" t="s">
        <v>4632</v>
      </c>
      <c r="P265" s="60" t="str">
        <f t="shared" si="4"/>
        <v xml:space="preserve"> </v>
      </c>
    </row>
    <row r="266" spans="1:16" ht="14.25" customHeight="1" x14ac:dyDescent="0.2">
      <c r="A266" t="s">
        <v>2174</v>
      </c>
      <c r="B266" t="s">
        <v>2175</v>
      </c>
      <c r="C266" t="s">
        <v>2176</v>
      </c>
      <c r="D266" t="s">
        <v>330</v>
      </c>
      <c r="E266" s="6" t="s">
        <v>4628</v>
      </c>
      <c r="F266" s="6">
        <v>1</v>
      </c>
      <c r="G266" t="s">
        <v>2180</v>
      </c>
      <c r="H266" s="59">
        <v>2987</v>
      </c>
      <c r="I266" t="s">
        <v>4629</v>
      </c>
      <c r="J266" s="63" t="s">
        <v>5294</v>
      </c>
      <c r="K266" s="52" t="s">
        <v>5295</v>
      </c>
      <c r="L266" t="s">
        <v>137</v>
      </c>
      <c r="M266" s="59" t="s">
        <v>137</v>
      </c>
      <c r="N266" s="59" t="s">
        <v>4616</v>
      </c>
      <c r="O266" t="s">
        <v>4632</v>
      </c>
      <c r="P266" s="60" t="str">
        <f t="shared" si="4"/>
        <v xml:space="preserve"> </v>
      </c>
    </row>
    <row r="267" spans="1:16" ht="14.25" customHeight="1" x14ac:dyDescent="0.2">
      <c r="A267" t="s">
        <v>2174</v>
      </c>
      <c r="B267" t="s">
        <v>2175</v>
      </c>
      <c r="C267" t="s">
        <v>2176</v>
      </c>
      <c r="D267" t="s">
        <v>330</v>
      </c>
      <c r="E267" s="6" t="s">
        <v>4648</v>
      </c>
      <c r="F267" s="6">
        <v>2</v>
      </c>
      <c r="G267" t="s">
        <v>2181</v>
      </c>
      <c r="H267" s="59">
        <v>4784</v>
      </c>
      <c r="I267" t="s">
        <v>4660</v>
      </c>
      <c r="J267" s="63" t="s">
        <v>5296</v>
      </c>
      <c r="K267" s="52" t="s">
        <v>5297</v>
      </c>
      <c r="L267">
        <v>3</v>
      </c>
      <c r="M267" s="59">
        <v>9568</v>
      </c>
      <c r="N267" s="59" t="s">
        <v>4611</v>
      </c>
      <c r="O267">
        <v>1800</v>
      </c>
      <c r="P267" s="60">
        <f t="shared" si="4"/>
        <v>3.7625418060200673</v>
      </c>
    </row>
    <row r="268" spans="1:16" ht="14.25" customHeight="1" x14ac:dyDescent="0.2">
      <c r="A268" t="s">
        <v>2190</v>
      </c>
      <c r="B268" t="s">
        <v>2191</v>
      </c>
      <c r="C268" t="s">
        <v>2192</v>
      </c>
      <c r="D268" t="s">
        <v>429</v>
      </c>
      <c r="E268" s="6" t="s">
        <v>5298</v>
      </c>
      <c r="F268" s="6">
        <v>1</v>
      </c>
      <c r="G268" t="s">
        <v>2197</v>
      </c>
      <c r="H268" s="59">
        <v>5200</v>
      </c>
      <c r="I268" t="s">
        <v>4629</v>
      </c>
      <c r="J268" s="63" t="s">
        <v>5299</v>
      </c>
      <c r="K268" s="52" t="s">
        <v>5299</v>
      </c>
      <c r="L268" t="s">
        <v>137</v>
      </c>
      <c r="M268" s="59" t="s">
        <v>137</v>
      </c>
      <c r="N268" s="59" t="s">
        <v>4616</v>
      </c>
      <c r="O268" t="s">
        <v>4632</v>
      </c>
      <c r="P268" s="60" t="str">
        <f t="shared" si="4"/>
        <v xml:space="preserve"> </v>
      </c>
    </row>
    <row r="269" spans="1:16" ht="14.25" customHeight="1" x14ac:dyDescent="0.2">
      <c r="A269" t="s">
        <v>2190</v>
      </c>
      <c r="B269" t="s">
        <v>2191</v>
      </c>
      <c r="C269" t="s">
        <v>2192</v>
      </c>
      <c r="D269" t="s">
        <v>429</v>
      </c>
      <c r="E269" s="6" t="s">
        <v>5300</v>
      </c>
      <c r="F269" s="6">
        <v>2</v>
      </c>
      <c r="G269" t="s">
        <v>2198</v>
      </c>
      <c r="H269" s="59">
        <v>7500</v>
      </c>
      <c r="I269" t="s">
        <v>4629</v>
      </c>
      <c r="J269" s="63" t="s">
        <v>5301</v>
      </c>
      <c r="K269" s="52" t="s">
        <v>5302</v>
      </c>
      <c r="L269">
        <v>4</v>
      </c>
      <c r="M269" s="59">
        <v>7500</v>
      </c>
      <c r="N269" s="59" t="s">
        <v>4611</v>
      </c>
      <c r="O269">
        <v>2300</v>
      </c>
      <c r="P269" s="60">
        <f t="shared" si="4"/>
        <v>3.0666666666666664</v>
      </c>
    </row>
    <row r="270" spans="1:16" ht="14.25" customHeight="1" x14ac:dyDescent="0.2">
      <c r="A270" t="s">
        <v>2207</v>
      </c>
      <c r="B270" t="s">
        <v>2208</v>
      </c>
      <c r="C270" t="s">
        <v>2209</v>
      </c>
      <c r="D270" t="s">
        <v>429</v>
      </c>
      <c r="E270" s="6" t="s">
        <v>5303</v>
      </c>
      <c r="F270" s="6">
        <v>1</v>
      </c>
      <c r="G270" t="s">
        <v>2214</v>
      </c>
      <c r="H270" s="59">
        <v>2620</v>
      </c>
      <c r="I270" t="s">
        <v>4608</v>
      </c>
      <c r="J270" s="63" t="s">
        <v>5304</v>
      </c>
      <c r="K270" s="52" t="s">
        <v>5305</v>
      </c>
      <c r="L270" t="s">
        <v>137</v>
      </c>
      <c r="M270" s="59" t="s">
        <v>137</v>
      </c>
      <c r="N270" s="59" t="s">
        <v>4616</v>
      </c>
      <c r="O270">
        <f>16*120</f>
        <v>1920</v>
      </c>
      <c r="P270" s="60">
        <f t="shared" si="4"/>
        <v>7.3282442748091601</v>
      </c>
    </row>
    <row r="271" spans="1:16" ht="14.25" customHeight="1" x14ac:dyDescent="0.2">
      <c r="A271" t="s">
        <v>2207</v>
      </c>
      <c r="B271" t="s">
        <v>2208</v>
      </c>
      <c r="C271" t="s">
        <v>2209</v>
      </c>
      <c r="D271" t="s">
        <v>429</v>
      </c>
      <c r="E271" s="6" t="s">
        <v>5306</v>
      </c>
      <c r="F271" s="6">
        <v>2</v>
      </c>
      <c r="G271" t="s">
        <v>2215</v>
      </c>
      <c r="H271" s="59">
        <v>5240</v>
      </c>
      <c r="I271" t="s">
        <v>4618</v>
      </c>
      <c r="J271" s="63" t="s">
        <v>5307</v>
      </c>
      <c r="K271" s="52" t="s">
        <v>5308</v>
      </c>
      <c r="L271">
        <v>6</v>
      </c>
      <c r="M271" s="59">
        <v>8279</v>
      </c>
      <c r="N271" s="59" t="s">
        <v>4611</v>
      </c>
      <c r="O271">
        <f>30*90</f>
        <v>2700</v>
      </c>
      <c r="P271" s="60">
        <f t="shared" si="4"/>
        <v>5.1526717557251906</v>
      </c>
    </row>
    <row r="272" spans="1:16" ht="14.25" customHeight="1" x14ac:dyDescent="0.2">
      <c r="A272" t="s">
        <v>2223</v>
      </c>
      <c r="B272" t="s">
        <v>2224</v>
      </c>
      <c r="C272" t="s">
        <v>2225</v>
      </c>
      <c r="D272" t="s">
        <v>429</v>
      </c>
      <c r="E272" s="6" t="s">
        <v>5309</v>
      </c>
      <c r="F272" s="6">
        <v>1</v>
      </c>
      <c r="G272" t="s">
        <v>2230</v>
      </c>
      <c r="H272" s="59">
        <v>4512</v>
      </c>
      <c r="I272" t="s">
        <v>4608</v>
      </c>
      <c r="J272" s="63" t="s">
        <v>5310</v>
      </c>
      <c r="K272" s="52" t="s">
        <v>5311</v>
      </c>
      <c r="L272">
        <v>7</v>
      </c>
      <c r="M272" s="59">
        <v>17145</v>
      </c>
      <c r="N272" s="59" t="s">
        <v>4611</v>
      </c>
      <c r="O272">
        <f>750+950</f>
        <v>1700</v>
      </c>
      <c r="P272" s="60">
        <f t="shared" si="4"/>
        <v>3.7677304964539005</v>
      </c>
    </row>
    <row r="273" spans="1:16" ht="14.25" customHeight="1" x14ac:dyDescent="0.2">
      <c r="A273" t="s">
        <v>2223</v>
      </c>
      <c r="B273" t="s">
        <v>2224</v>
      </c>
      <c r="C273" t="s">
        <v>2225</v>
      </c>
      <c r="D273" t="s">
        <v>429</v>
      </c>
      <c r="E273" s="6" t="s">
        <v>5309</v>
      </c>
      <c r="F273" s="6">
        <v>2</v>
      </c>
      <c r="G273" t="s">
        <v>2231</v>
      </c>
      <c r="H273" s="59">
        <v>4512</v>
      </c>
      <c r="I273" t="s">
        <v>4608</v>
      </c>
      <c r="J273" s="63" t="s">
        <v>5312</v>
      </c>
      <c r="K273" s="52" t="s">
        <v>5313</v>
      </c>
      <c r="L273" t="s">
        <v>137</v>
      </c>
      <c r="M273" s="59" t="s">
        <v>137</v>
      </c>
      <c r="N273" s="59" t="s">
        <v>4616</v>
      </c>
      <c r="O273">
        <v>2500</v>
      </c>
      <c r="P273" s="60">
        <f t="shared" si="4"/>
        <v>5.5407801418439719</v>
      </c>
    </row>
    <row r="274" spans="1:16" ht="14.25" customHeight="1" x14ac:dyDescent="0.2">
      <c r="A274" t="s">
        <v>2239</v>
      </c>
      <c r="B274" t="s">
        <v>2240</v>
      </c>
      <c r="C274" t="s">
        <v>2241</v>
      </c>
      <c r="D274" t="s">
        <v>429</v>
      </c>
      <c r="E274" s="6" t="s">
        <v>5314</v>
      </c>
      <c r="F274" s="6">
        <v>1</v>
      </c>
      <c r="G274" t="s">
        <v>2246</v>
      </c>
      <c r="H274" s="59">
        <v>2401</v>
      </c>
      <c r="I274" t="s">
        <v>4730</v>
      </c>
      <c r="J274" s="63" t="s">
        <v>5315</v>
      </c>
      <c r="K274" s="52" t="s">
        <v>5316</v>
      </c>
      <c r="L274">
        <v>5</v>
      </c>
      <c r="M274" s="59">
        <v>10324</v>
      </c>
      <c r="N274" s="59" t="s">
        <v>4611</v>
      </c>
      <c r="O274">
        <f>350*4+1300</f>
        <v>2700</v>
      </c>
      <c r="P274" s="60">
        <f t="shared" si="4"/>
        <v>11.245314452311536</v>
      </c>
    </row>
    <row r="275" spans="1:16" ht="14.25" customHeight="1" x14ac:dyDescent="0.2">
      <c r="A275" t="s">
        <v>2239</v>
      </c>
      <c r="B275" t="s">
        <v>2240</v>
      </c>
      <c r="C275" t="s">
        <v>2241</v>
      </c>
      <c r="D275" t="s">
        <v>429</v>
      </c>
      <c r="E275" s="6" t="s">
        <v>4659</v>
      </c>
      <c r="F275" s="6">
        <v>2</v>
      </c>
      <c r="G275" t="s">
        <v>2247</v>
      </c>
      <c r="H275" s="59">
        <v>4400</v>
      </c>
      <c r="I275" t="s">
        <v>4751</v>
      </c>
      <c r="J275" s="63" t="s">
        <v>5317</v>
      </c>
      <c r="K275" s="52" t="s">
        <v>5318</v>
      </c>
      <c r="L275" t="s">
        <v>137</v>
      </c>
      <c r="M275" s="59" t="s">
        <v>137</v>
      </c>
      <c r="N275" s="59" t="s">
        <v>4616</v>
      </c>
      <c r="O275">
        <f>5*750</f>
        <v>3750</v>
      </c>
      <c r="P275" s="60">
        <f t="shared" si="4"/>
        <v>8.5227272727272734</v>
      </c>
    </row>
    <row r="276" spans="1:16" ht="14.25" customHeight="1" x14ac:dyDescent="0.2">
      <c r="A276" t="s">
        <v>2252</v>
      </c>
      <c r="B276" t="s">
        <v>2253</v>
      </c>
      <c r="C276" t="s">
        <v>2254</v>
      </c>
      <c r="D276" t="s">
        <v>429</v>
      </c>
      <c r="E276" s="6" t="s">
        <v>4852</v>
      </c>
      <c r="F276" s="6">
        <v>1</v>
      </c>
      <c r="G276" t="s">
        <v>2259</v>
      </c>
      <c r="H276" s="59">
        <v>2462</v>
      </c>
      <c r="I276" t="s">
        <v>4986</v>
      </c>
      <c r="J276" s="63" t="s">
        <v>5319</v>
      </c>
      <c r="K276" s="52" t="s">
        <v>5320</v>
      </c>
      <c r="L276" t="s">
        <v>137</v>
      </c>
      <c r="M276" s="59" t="s">
        <v>137</v>
      </c>
      <c r="N276" s="59" t="s">
        <v>4616</v>
      </c>
      <c r="O276">
        <f>400*2+200+350+350*2</f>
        <v>2050</v>
      </c>
      <c r="P276" s="60">
        <f t="shared" si="4"/>
        <v>8.3265637692932568</v>
      </c>
    </row>
    <row r="277" spans="1:16" ht="14.25" customHeight="1" x14ac:dyDescent="0.2">
      <c r="A277" t="s">
        <v>2252</v>
      </c>
      <c r="B277" t="s">
        <v>2253</v>
      </c>
      <c r="C277" t="s">
        <v>2254</v>
      </c>
      <c r="D277" t="s">
        <v>429</v>
      </c>
      <c r="E277" s="6" t="s">
        <v>4628</v>
      </c>
      <c r="F277" s="6">
        <v>2</v>
      </c>
      <c r="G277" t="s">
        <v>2260</v>
      </c>
      <c r="H277" s="59">
        <v>4877</v>
      </c>
      <c r="I277" t="s">
        <v>4660</v>
      </c>
      <c r="J277" s="63" t="s">
        <v>5321</v>
      </c>
      <c r="K277" s="52" t="s">
        <v>5322</v>
      </c>
      <c r="L277" t="s">
        <v>137</v>
      </c>
      <c r="M277" s="59" t="s">
        <v>137</v>
      </c>
      <c r="N277" s="59" t="s">
        <v>4616</v>
      </c>
      <c r="O277" t="s">
        <v>4632</v>
      </c>
      <c r="P277" s="60" t="str">
        <f t="shared" si="4"/>
        <v xml:space="preserve"> </v>
      </c>
    </row>
    <row r="278" spans="1:16" ht="14.25" customHeight="1" x14ac:dyDescent="0.2">
      <c r="A278" t="s">
        <v>2265</v>
      </c>
      <c r="B278" t="s">
        <v>2266</v>
      </c>
      <c r="C278" t="s">
        <v>2267</v>
      </c>
      <c r="D278" t="s">
        <v>429</v>
      </c>
      <c r="E278" s="6" t="s">
        <v>4648</v>
      </c>
      <c r="F278" s="6">
        <v>1</v>
      </c>
      <c r="G278" t="s">
        <v>2271</v>
      </c>
      <c r="H278" s="59">
        <v>2257</v>
      </c>
      <c r="I278" t="s">
        <v>4629</v>
      </c>
      <c r="J278" s="63" t="s">
        <v>5323</v>
      </c>
      <c r="K278" s="52" t="s">
        <v>5324</v>
      </c>
      <c r="L278">
        <v>3</v>
      </c>
      <c r="M278" s="59">
        <v>6319</v>
      </c>
      <c r="N278" s="59" t="s">
        <v>4611</v>
      </c>
      <c r="O278">
        <v>2000</v>
      </c>
      <c r="P278" s="60">
        <f t="shared" si="4"/>
        <v>8.8613203367301736</v>
      </c>
    </row>
    <row r="279" spans="1:16" ht="14.25" customHeight="1" x14ac:dyDescent="0.2">
      <c r="A279" t="s">
        <v>2265</v>
      </c>
      <c r="B279" t="s">
        <v>2266</v>
      </c>
      <c r="C279" t="s">
        <v>2267</v>
      </c>
      <c r="D279" t="s">
        <v>429</v>
      </c>
      <c r="E279" s="6" t="s">
        <v>4699</v>
      </c>
      <c r="F279" s="6">
        <v>2</v>
      </c>
      <c r="G279" t="s">
        <v>2272</v>
      </c>
      <c r="H279" s="59">
        <v>4892</v>
      </c>
      <c r="I279" t="s">
        <v>4751</v>
      </c>
      <c r="J279" s="63" t="s">
        <v>5325</v>
      </c>
      <c r="K279" s="52" t="s">
        <v>5326</v>
      </c>
      <c r="L279" t="s">
        <v>137</v>
      </c>
      <c r="M279" s="59" t="s">
        <v>137</v>
      </c>
      <c r="N279" s="59" t="s">
        <v>4616</v>
      </c>
      <c r="O279">
        <v>1500</v>
      </c>
      <c r="P279" s="60">
        <f t="shared" si="4"/>
        <v>3.0662305805396568</v>
      </c>
    </row>
    <row r="280" spans="1:16" ht="14.25" customHeight="1" x14ac:dyDescent="0.2">
      <c r="A280" t="s">
        <v>2281</v>
      </c>
      <c r="B280" t="s">
        <v>2282</v>
      </c>
      <c r="C280" t="s">
        <v>2283</v>
      </c>
      <c r="D280" t="s">
        <v>543</v>
      </c>
      <c r="E280" s="6" t="s">
        <v>5327</v>
      </c>
      <c r="F280" s="6">
        <v>1</v>
      </c>
      <c r="G280" t="s">
        <v>2288</v>
      </c>
      <c r="H280" s="59">
        <v>2040</v>
      </c>
      <c r="I280" t="s">
        <v>4608</v>
      </c>
      <c r="J280" s="63" t="s">
        <v>5328</v>
      </c>
      <c r="K280" s="52" t="s">
        <v>5329</v>
      </c>
      <c r="L280">
        <v>7</v>
      </c>
      <c r="M280" s="59">
        <v>15026</v>
      </c>
      <c r="N280" s="59" t="s">
        <v>4611</v>
      </c>
      <c r="O280">
        <v>3200</v>
      </c>
      <c r="P280" s="60">
        <f t="shared" si="4"/>
        <v>15.686274509803921</v>
      </c>
    </row>
    <row r="281" spans="1:16" ht="14.25" customHeight="1" x14ac:dyDescent="0.2">
      <c r="A281" t="s">
        <v>2281</v>
      </c>
      <c r="B281" t="s">
        <v>2282</v>
      </c>
      <c r="C281" t="s">
        <v>2283</v>
      </c>
      <c r="D281" t="s">
        <v>543</v>
      </c>
      <c r="E281" s="6" t="s">
        <v>4696</v>
      </c>
      <c r="F281" s="6">
        <v>2</v>
      </c>
      <c r="G281" t="s">
        <v>2289</v>
      </c>
      <c r="H281" s="59">
        <v>7500</v>
      </c>
      <c r="I281" t="s">
        <v>4608</v>
      </c>
      <c r="J281" s="63" t="s">
        <v>5330</v>
      </c>
      <c r="K281" s="52" t="s">
        <v>5331</v>
      </c>
      <c r="L281" t="s">
        <v>137</v>
      </c>
      <c r="M281" s="59" t="s">
        <v>137</v>
      </c>
      <c r="N281" s="59" t="s">
        <v>4616</v>
      </c>
      <c r="O281" t="s">
        <v>4632</v>
      </c>
      <c r="P281" s="60" t="str">
        <f t="shared" si="4"/>
        <v xml:space="preserve"> </v>
      </c>
    </row>
    <row r="282" spans="1:16" ht="14.25" customHeight="1" x14ac:dyDescent="0.2">
      <c r="A282" t="s">
        <v>2297</v>
      </c>
      <c r="B282" t="s">
        <v>2298</v>
      </c>
      <c r="C282" t="s">
        <v>2299</v>
      </c>
      <c r="D282" t="s">
        <v>543</v>
      </c>
      <c r="E282" s="6" t="s">
        <v>5332</v>
      </c>
      <c r="F282" s="6">
        <v>1</v>
      </c>
      <c r="G282" t="s">
        <v>2304</v>
      </c>
      <c r="H282" s="59">
        <v>2380</v>
      </c>
      <c r="I282" t="s">
        <v>4608</v>
      </c>
      <c r="J282" s="63" t="s">
        <v>5333</v>
      </c>
      <c r="K282" s="52" t="s">
        <v>5334</v>
      </c>
      <c r="L282">
        <v>6</v>
      </c>
      <c r="M282" s="59">
        <v>19406</v>
      </c>
      <c r="N282" s="59" t="s">
        <v>4611</v>
      </c>
      <c r="O282">
        <f>9*600</f>
        <v>5400</v>
      </c>
      <c r="P282" s="60">
        <f t="shared" si="4"/>
        <v>22.689075630252098</v>
      </c>
    </row>
    <row r="283" spans="1:16" ht="14.25" customHeight="1" x14ac:dyDescent="0.2">
      <c r="A283" t="s">
        <v>2297</v>
      </c>
      <c r="B283" t="s">
        <v>2298</v>
      </c>
      <c r="C283" t="s">
        <v>2299</v>
      </c>
      <c r="D283" t="s">
        <v>543</v>
      </c>
      <c r="E283" s="6" t="s">
        <v>5335</v>
      </c>
      <c r="F283" s="6">
        <v>2</v>
      </c>
      <c r="G283" t="s">
        <v>2305</v>
      </c>
      <c r="H283" s="59">
        <v>6878</v>
      </c>
      <c r="I283" t="s">
        <v>4608</v>
      </c>
      <c r="J283" s="63" t="s">
        <v>5336</v>
      </c>
      <c r="K283" s="52" t="s">
        <v>5337</v>
      </c>
      <c r="L283" t="s">
        <v>137</v>
      </c>
      <c r="M283" s="59" t="s">
        <v>137</v>
      </c>
      <c r="N283" s="59" t="s">
        <v>4616</v>
      </c>
      <c r="O283" t="s">
        <v>4632</v>
      </c>
      <c r="P283" s="60" t="str">
        <f t="shared" si="4"/>
        <v xml:space="preserve"> </v>
      </c>
    </row>
    <row r="284" spans="1:16" ht="14.25" customHeight="1" x14ac:dyDescent="0.2">
      <c r="A284" t="s">
        <v>2313</v>
      </c>
      <c r="B284" t="s">
        <v>2314</v>
      </c>
      <c r="C284" t="s">
        <v>2315</v>
      </c>
      <c r="D284" t="s">
        <v>543</v>
      </c>
      <c r="E284" s="6" t="s">
        <v>4897</v>
      </c>
      <c r="F284" s="6">
        <v>1</v>
      </c>
      <c r="G284" t="s">
        <v>2320</v>
      </c>
      <c r="H284" s="59">
        <v>3849</v>
      </c>
      <c r="I284" t="s">
        <v>4618</v>
      </c>
      <c r="J284" s="63" t="s">
        <v>5338</v>
      </c>
      <c r="K284" s="52" t="s">
        <v>5339</v>
      </c>
      <c r="L284" t="s">
        <v>137</v>
      </c>
      <c r="M284" s="59" t="s">
        <v>137</v>
      </c>
      <c r="N284" s="59" t="s">
        <v>4616</v>
      </c>
      <c r="O284" t="s">
        <v>4632</v>
      </c>
      <c r="P284" s="60" t="str">
        <f t="shared" si="4"/>
        <v xml:space="preserve"> </v>
      </c>
    </row>
    <row r="285" spans="1:16" ht="14.25" customHeight="1" x14ac:dyDescent="0.2">
      <c r="A285" t="s">
        <v>2313</v>
      </c>
      <c r="B285" t="s">
        <v>2314</v>
      </c>
      <c r="C285" t="s">
        <v>2315</v>
      </c>
      <c r="D285" t="s">
        <v>543</v>
      </c>
      <c r="E285" s="6" t="s">
        <v>4696</v>
      </c>
      <c r="F285" s="6">
        <v>2</v>
      </c>
      <c r="G285" t="s">
        <v>2321</v>
      </c>
      <c r="H285" s="59">
        <v>5217</v>
      </c>
      <c r="I285" t="s">
        <v>4629</v>
      </c>
      <c r="J285" s="63" t="s">
        <v>5340</v>
      </c>
      <c r="K285" s="52" t="s">
        <v>5341</v>
      </c>
      <c r="L285" t="s">
        <v>137</v>
      </c>
      <c r="M285" s="59" t="s">
        <v>137</v>
      </c>
      <c r="N285" s="59" t="s">
        <v>4616</v>
      </c>
      <c r="O285" t="s">
        <v>4632</v>
      </c>
      <c r="P285" s="60" t="str">
        <f t="shared" si="4"/>
        <v xml:space="preserve"> </v>
      </c>
    </row>
    <row r="286" spans="1:16" ht="14.25" customHeight="1" x14ac:dyDescent="0.2">
      <c r="A286" t="s">
        <v>2325</v>
      </c>
      <c r="B286" t="s">
        <v>2326</v>
      </c>
      <c r="C286" t="s">
        <v>2327</v>
      </c>
      <c r="D286" t="s">
        <v>543</v>
      </c>
      <c r="E286" s="6" t="s">
        <v>4766</v>
      </c>
      <c r="F286" s="6">
        <v>1</v>
      </c>
      <c r="G286" t="s">
        <v>2332</v>
      </c>
      <c r="H286" s="59">
        <v>3849</v>
      </c>
      <c r="I286" t="s">
        <v>4613</v>
      </c>
      <c r="J286" s="63" t="s">
        <v>5342</v>
      </c>
      <c r="K286" s="52" t="s">
        <v>5343</v>
      </c>
      <c r="L286" t="s">
        <v>137</v>
      </c>
      <c r="M286" s="59" t="s">
        <v>137</v>
      </c>
      <c r="N286" s="59" t="s">
        <v>4616</v>
      </c>
      <c r="O286">
        <f>6*250</f>
        <v>1500</v>
      </c>
      <c r="P286" s="60">
        <f t="shared" si="4"/>
        <v>3.8971161340607949</v>
      </c>
    </row>
    <row r="287" spans="1:16" ht="14.25" customHeight="1" x14ac:dyDescent="0.2">
      <c r="A287" t="s">
        <v>2325</v>
      </c>
      <c r="B287" t="s">
        <v>2326</v>
      </c>
      <c r="C287" t="s">
        <v>2327</v>
      </c>
      <c r="D287" t="s">
        <v>543</v>
      </c>
      <c r="E287" s="6" t="s">
        <v>4692</v>
      </c>
      <c r="F287" s="6">
        <v>2</v>
      </c>
      <c r="G287" t="s">
        <v>2333</v>
      </c>
      <c r="H287" s="59">
        <v>5217</v>
      </c>
      <c r="I287" t="s">
        <v>4608</v>
      </c>
      <c r="J287" s="63" t="s">
        <v>5344</v>
      </c>
      <c r="K287" s="52" t="s">
        <v>24288</v>
      </c>
      <c r="L287">
        <v>6</v>
      </c>
      <c r="M287" s="59">
        <v>5217</v>
      </c>
      <c r="N287" s="59" t="s">
        <v>4611</v>
      </c>
      <c r="O287">
        <v>1600</v>
      </c>
      <c r="P287" s="60">
        <f t="shared" si="4"/>
        <v>3.0668966839179608</v>
      </c>
    </row>
    <row r="288" spans="1:16" ht="14.25" customHeight="1" x14ac:dyDescent="0.2">
      <c r="A288" t="s">
        <v>2338</v>
      </c>
      <c r="B288" t="s">
        <v>2339</v>
      </c>
      <c r="C288" t="s">
        <v>2340</v>
      </c>
      <c r="D288" t="s">
        <v>543</v>
      </c>
      <c r="E288" s="6" t="s">
        <v>4659</v>
      </c>
      <c r="F288" s="6">
        <v>1</v>
      </c>
      <c r="G288" t="s">
        <v>2345</v>
      </c>
      <c r="H288" s="59">
        <v>2969</v>
      </c>
      <c r="I288" t="s">
        <v>4842</v>
      </c>
      <c r="J288" s="63" t="s">
        <v>5345</v>
      </c>
      <c r="K288" s="52" t="s">
        <v>5346</v>
      </c>
      <c r="L288" t="s">
        <v>137</v>
      </c>
      <c r="M288" s="59" t="s">
        <v>137</v>
      </c>
      <c r="N288" s="59" t="s">
        <v>4616</v>
      </c>
      <c r="O288">
        <v>2100</v>
      </c>
      <c r="P288" s="60">
        <f t="shared" si="4"/>
        <v>7.0730885820141465</v>
      </c>
    </row>
    <row r="289" spans="1:16" ht="14.25" customHeight="1" x14ac:dyDescent="0.2">
      <c r="A289" t="s">
        <v>2338</v>
      </c>
      <c r="B289" t="s">
        <v>2339</v>
      </c>
      <c r="C289" t="s">
        <v>2340</v>
      </c>
      <c r="D289" t="s">
        <v>543</v>
      </c>
      <c r="E289" s="6" t="s">
        <v>4696</v>
      </c>
      <c r="F289" s="6">
        <v>2</v>
      </c>
      <c r="G289" t="s">
        <v>2346</v>
      </c>
      <c r="H289" s="59">
        <v>8014</v>
      </c>
      <c r="I289" t="s">
        <v>4629</v>
      </c>
      <c r="J289" s="63" t="s">
        <v>5347</v>
      </c>
      <c r="K289" s="52" t="s">
        <v>5348</v>
      </c>
      <c r="L289" t="s">
        <v>137</v>
      </c>
      <c r="M289" s="59" t="s">
        <v>137</v>
      </c>
      <c r="N289" s="59" t="s">
        <v>4616</v>
      </c>
      <c r="O289" t="s">
        <v>4632</v>
      </c>
      <c r="P289" s="60" t="str">
        <f t="shared" si="4"/>
        <v xml:space="preserve"> </v>
      </c>
    </row>
    <row r="290" spans="1:16" ht="14.25" customHeight="1" x14ac:dyDescent="0.2">
      <c r="A290" t="s">
        <v>2352</v>
      </c>
      <c r="B290" t="s">
        <v>2353</v>
      </c>
      <c r="C290" t="s">
        <v>2354</v>
      </c>
      <c r="D290" t="s">
        <v>543</v>
      </c>
      <c r="E290" s="6" t="s">
        <v>4659</v>
      </c>
      <c r="F290" s="6">
        <v>1</v>
      </c>
      <c r="G290" t="s">
        <v>2359</v>
      </c>
      <c r="H290" s="59">
        <v>2805</v>
      </c>
      <c r="I290" t="s">
        <v>4730</v>
      </c>
      <c r="J290" s="63" t="s">
        <v>5349</v>
      </c>
      <c r="K290" s="52" t="s">
        <v>5350</v>
      </c>
      <c r="L290">
        <v>3</v>
      </c>
      <c r="M290" s="59">
        <v>13464</v>
      </c>
      <c r="N290" s="59" t="s">
        <v>4611</v>
      </c>
      <c r="O290">
        <v>3000</v>
      </c>
      <c r="P290" s="60">
        <f t="shared" si="4"/>
        <v>10.695187165775401</v>
      </c>
    </row>
    <row r="291" spans="1:16" ht="14.25" customHeight="1" x14ac:dyDescent="0.2">
      <c r="A291" t="s">
        <v>2352</v>
      </c>
      <c r="B291" t="s">
        <v>2353</v>
      </c>
      <c r="C291" t="s">
        <v>2354</v>
      </c>
      <c r="D291" t="s">
        <v>543</v>
      </c>
      <c r="E291" s="6" t="s">
        <v>4678</v>
      </c>
      <c r="F291" s="6">
        <v>2</v>
      </c>
      <c r="G291" t="s">
        <v>2360</v>
      </c>
      <c r="H291" s="59">
        <v>7288</v>
      </c>
      <c r="I291" t="s">
        <v>4776</v>
      </c>
      <c r="J291" s="63" t="s">
        <v>5351</v>
      </c>
      <c r="K291" s="52" t="s">
        <v>5352</v>
      </c>
      <c r="L291" t="s">
        <v>137</v>
      </c>
      <c r="M291" s="59" t="s">
        <v>137</v>
      </c>
      <c r="N291" s="59" t="s">
        <v>4616</v>
      </c>
      <c r="O291" t="s">
        <v>4632</v>
      </c>
      <c r="P291" s="60" t="str">
        <f t="shared" si="4"/>
        <v xml:space="preserve"> </v>
      </c>
    </row>
    <row r="292" spans="1:16" ht="14.25" customHeight="1" x14ac:dyDescent="0.2">
      <c r="A292" t="s">
        <v>2366</v>
      </c>
      <c r="B292" t="s">
        <v>2367</v>
      </c>
      <c r="C292" t="s">
        <v>2368</v>
      </c>
      <c r="D292" t="s">
        <v>543</v>
      </c>
      <c r="E292" s="6" t="s">
        <v>5067</v>
      </c>
      <c r="F292" s="6">
        <v>1</v>
      </c>
      <c r="G292" t="s">
        <v>2373</v>
      </c>
      <c r="H292" s="59">
        <v>2904</v>
      </c>
      <c r="I292" t="s">
        <v>4751</v>
      </c>
      <c r="J292" s="63" t="s">
        <v>5353</v>
      </c>
      <c r="K292" s="52" t="s">
        <v>5354</v>
      </c>
      <c r="L292">
        <v>5</v>
      </c>
      <c r="M292" s="59">
        <v>12777</v>
      </c>
      <c r="N292" s="59" t="s">
        <v>4611</v>
      </c>
      <c r="O292">
        <v>2000</v>
      </c>
      <c r="P292" s="60">
        <f t="shared" si="4"/>
        <v>6.887052341597796</v>
      </c>
    </row>
    <row r="293" spans="1:16" ht="14.25" customHeight="1" x14ac:dyDescent="0.2">
      <c r="A293" t="s">
        <v>2366</v>
      </c>
      <c r="B293" t="s">
        <v>2367</v>
      </c>
      <c r="C293" t="s">
        <v>2368</v>
      </c>
      <c r="D293" t="s">
        <v>543</v>
      </c>
      <c r="E293" s="6" t="s">
        <v>4659</v>
      </c>
      <c r="F293" s="6">
        <v>2</v>
      </c>
      <c r="G293" t="s">
        <v>2374</v>
      </c>
      <c r="H293" s="59">
        <v>5735</v>
      </c>
      <c r="I293" t="s">
        <v>4660</v>
      </c>
      <c r="J293" s="63" t="s">
        <v>5355</v>
      </c>
      <c r="K293" s="52" t="s">
        <v>5356</v>
      </c>
      <c r="L293" t="s">
        <v>137</v>
      </c>
      <c r="M293" s="59" t="s">
        <v>137</v>
      </c>
      <c r="N293" s="59" t="s">
        <v>4616</v>
      </c>
      <c r="O293">
        <v>2000</v>
      </c>
      <c r="P293" s="60">
        <f t="shared" si="4"/>
        <v>3.4873583260680037</v>
      </c>
    </row>
    <row r="294" spans="1:16" ht="14.25" customHeight="1" x14ac:dyDescent="0.2">
      <c r="A294" t="s">
        <v>2381</v>
      </c>
      <c r="B294" t="s">
        <v>2382</v>
      </c>
      <c r="C294" t="s">
        <v>2383</v>
      </c>
      <c r="D294" t="s">
        <v>645</v>
      </c>
      <c r="E294" s="6" t="s">
        <v>4696</v>
      </c>
      <c r="F294" s="6">
        <v>1</v>
      </c>
      <c r="G294" t="s">
        <v>2388</v>
      </c>
      <c r="H294" s="59">
        <v>3650</v>
      </c>
      <c r="I294" t="s">
        <v>4629</v>
      </c>
      <c r="J294" s="63" t="s">
        <v>5357</v>
      </c>
      <c r="K294" s="52" t="s">
        <v>5358</v>
      </c>
      <c r="L294" t="s">
        <v>137</v>
      </c>
      <c r="M294" s="59" t="s">
        <v>137</v>
      </c>
      <c r="N294" s="59" t="s">
        <v>4616</v>
      </c>
      <c r="O294">
        <v>2100</v>
      </c>
      <c r="P294" s="60">
        <f t="shared" si="4"/>
        <v>5.7534246575342465</v>
      </c>
    </row>
    <row r="295" spans="1:16" ht="14.25" customHeight="1" x14ac:dyDescent="0.2">
      <c r="A295" t="s">
        <v>2381</v>
      </c>
      <c r="B295" t="s">
        <v>2382</v>
      </c>
      <c r="C295" t="s">
        <v>2383</v>
      </c>
      <c r="D295" t="s">
        <v>645</v>
      </c>
      <c r="E295" s="6" t="s">
        <v>5359</v>
      </c>
      <c r="F295" s="6">
        <v>2</v>
      </c>
      <c r="G295" t="s">
        <v>2389</v>
      </c>
      <c r="H295" s="59">
        <v>7490</v>
      </c>
      <c r="I295" t="s">
        <v>4608</v>
      </c>
      <c r="J295" s="63" t="s">
        <v>5360</v>
      </c>
      <c r="K295" s="52" t="s">
        <v>5361</v>
      </c>
      <c r="L295" t="s">
        <v>137</v>
      </c>
      <c r="M295" s="59" t="s">
        <v>137</v>
      </c>
      <c r="N295" s="59" t="s">
        <v>4616</v>
      </c>
      <c r="O295">
        <v>2400</v>
      </c>
      <c r="P295" s="60">
        <f t="shared" si="4"/>
        <v>3.2042723631508681</v>
      </c>
    </row>
    <row r="296" spans="1:16" ht="14.25" customHeight="1" x14ac:dyDescent="0.2">
      <c r="A296" t="s">
        <v>2397</v>
      </c>
      <c r="B296" t="s">
        <v>2398</v>
      </c>
      <c r="C296" t="s">
        <v>2399</v>
      </c>
      <c r="D296" t="s">
        <v>645</v>
      </c>
      <c r="E296" s="6" t="s">
        <v>4811</v>
      </c>
      <c r="F296" s="6">
        <v>1</v>
      </c>
      <c r="G296" t="s">
        <v>2404</v>
      </c>
      <c r="H296" s="59">
        <v>3380</v>
      </c>
      <c r="I296" t="s">
        <v>4629</v>
      </c>
      <c r="J296" s="63" t="s">
        <v>5362</v>
      </c>
      <c r="K296" s="52" t="s">
        <v>5363</v>
      </c>
      <c r="L296" t="s">
        <v>137</v>
      </c>
      <c r="M296" s="59" t="s">
        <v>137</v>
      </c>
      <c r="N296" s="59" t="s">
        <v>4616</v>
      </c>
      <c r="O296">
        <v>1800</v>
      </c>
      <c r="P296" s="60">
        <f t="shared" si="4"/>
        <v>5.3254437869822491</v>
      </c>
    </row>
    <row r="297" spans="1:16" ht="14.25" customHeight="1" x14ac:dyDescent="0.2">
      <c r="A297" t="s">
        <v>2397</v>
      </c>
      <c r="B297" t="s">
        <v>2398</v>
      </c>
      <c r="C297" t="s">
        <v>2399</v>
      </c>
      <c r="D297" t="s">
        <v>645</v>
      </c>
      <c r="E297" s="6" t="s">
        <v>4659</v>
      </c>
      <c r="F297" s="6">
        <v>2</v>
      </c>
      <c r="G297" t="s">
        <v>2405</v>
      </c>
      <c r="H297" s="59">
        <v>6710</v>
      </c>
      <c r="I297" t="s">
        <v>4608</v>
      </c>
      <c r="J297" s="63" t="s">
        <v>5364</v>
      </c>
      <c r="K297" s="52" t="s">
        <v>24289</v>
      </c>
      <c r="L297" t="s">
        <v>137</v>
      </c>
      <c r="M297" s="59" t="s">
        <v>137</v>
      </c>
      <c r="N297" s="59" t="s">
        <v>4616</v>
      </c>
      <c r="O297">
        <v>1600</v>
      </c>
      <c r="P297" s="60">
        <f t="shared" si="4"/>
        <v>2.3845007451564828</v>
      </c>
    </row>
    <row r="298" spans="1:16" ht="14.25" customHeight="1" x14ac:dyDescent="0.2">
      <c r="A298" t="s">
        <v>2410</v>
      </c>
      <c r="B298" t="s">
        <v>2411</v>
      </c>
      <c r="C298" t="s">
        <v>2412</v>
      </c>
      <c r="D298" t="s">
        <v>645</v>
      </c>
      <c r="E298" s="6" t="s">
        <v>5365</v>
      </c>
      <c r="F298" s="6">
        <v>1</v>
      </c>
      <c r="G298" t="s">
        <v>2417</v>
      </c>
      <c r="H298" s="59">
        <v>2940</v>
      </c>
      <c r="I298" t="s">
        <v>4618</v>
      </c>
      <c r="J298" s="63" t="s">
        <v>5366</v>
      </c>
      <c r="K298" s="52" t="s">
        <v>5367</v>
      </c>
      <c r="L298" t="s">
        <v>137</v>
      </c>
      <c r="M298" s="59" t="s">
        <v>137</v>
      </c>
      <c r="N298" s="59" t="s">
        <v>4616</v>
      </c>
      <c r="O298">
        <v>2050</v>
      </c>
      <c r="P298" s="60">
        <f t="shared" si="4"/>
        <v>6.9727891156462585</v>
      </c>
    </row>
    <row r="299" spans="1:16" ht="14.25" customHeight="1" x14ac:dyDescent="0.2">
      <c r="A299" t="s">
        <v>2410</v>
      </c>
      <c r="B299" t="s">
        <v>2411</v>
      </c>
      <c r="C299" t="s">
        <v>2412</v>
      </c>
      <c r="D299" t="s">
        <v>645</v>
      </c>
      <c r="E299" s="6" t="s">
        <v>5368</v>
      </c>
      <c r="F299" s="6">
        <v>2</v>
      </c>
      <c r="G299" t="s">
        <v>2418</v>
      </c>
      <c r="H299" s="59">
        <v>8640</v>
      </c>
      <c r="I299" t="s">
        <v>4730</v>
      </c>
      <c r="J299" s="63" t="s">
        <v>5369</v>
      </c>
      <c r="K299" s="52" t="s">
        <v>5370</v>
      </c>
      <c r="L299">
        <v>4</v>
      </c>
      <c r="M299" s="59">
        <v>14688</v>
      </c>
      <c r="N299" s="59" t="s">
        <v>4611</v>
      </c>
      <c r="O299">
        <f>330*9</f>
        <v>2970</v>
      </c>
      <c r="P299" s="60">
        <f t="shared" si="4"/>
        <v>3.4375</v>
      </c>
    </row>
    <row r="300" spans="1:16" ht="14.25" customHeight="1" x14ac:dyDescent="0.2">
      <c r="A300" t="s">
        <v>2425</v>
      </c>
      <c r="B300" t="s">
        <v>2426</v>
      </c>
      <c r="C300" t="s">
        <v>2427</v>
      </c>
      <c r="D300" t="s">
        <v>645</v>
      </c>
      <c r="E300" s="6" t="s">
        <v>5371</v>
      </c>
      <c r="F300" s="6">
        <v>1</v>
      </c>
      <c r="G300" t="s">
        <v>2432</v>
      </c>
      <c r="H300" s="59">
        <v>4770</v>
      </c>
      <c r="I300" t="s">
        <v>4629</v>
      </c>
      <c r="J300" s="63" t="s">
        <v>5372</v>
      </c>
      <c r="K300" s="52" t="s">
        <v>5373</v>
      </c>
      <c r="L300" t="s">
        <v>137</v>
      </c>
      <c r="M300" s="59" t="s">
        <v>137</v>
      </c>
      <c r="N300" s="59" t="s">
        <v>4616</v>
      </c>
      <c r="O300" t="s">
        <v>4632</v>
      </c>
      <c r="P300" s="60" t="str">
        <f t="shared" si="4"/>
        <v xml:space="preserve"> </v>
      </c>
    </row>
    <row r="301" spans="1:16" ht="14.25" customHeight="1" x14ac:dyDescent="0.2">
      <c r="A301" t="s">
        <v>2425</v>
      </c>
      <c r="B301" t="s">
        <v>2426</v>
      </c>
      <c r="C301" t="s">
        <v>2427</v>
      </c>
      <c r="D301" t="s">
        <v>645</v>
      </c>
      <c r="E301" s="6" t="s">
        <v>5374</v>
      </c>
      <c r="F301" s="6">
        <v>2</v>
      </c>
      <c r="G301" t="s">
        <v>2433</v>
      </c>
      <c r="H301" s="59">
        <v>6800</v>
      </c>
      <c r="I301" t="s">
        <v>4608</v>
      </c>
      <c r="J301" s="63" t="s">
        <v>5375</v>
      </c>
      <c r="K301" s="52" t="s">
        <v>5376</v>
      </c>
      <c r="L301">
        <v>6</v>
      </c>
      <c r="M301" s="59">
        <v>14280</v>
      </c>
      <c r="N301" s="59" t="s">
        <v>4611</v>
      </c>
      <c r="O301">
        <f>3*700</f>
        <v>2100</v>
      </c>
      <c r="P301" s="60">
        <f t="shared" si="4"/>
        <v>3.0882352941176472</v>
      </c>
    </row>
    <row r="302" spans="1:16" ht="14.25" customHeight="1" x14ac:dyDescent="0.2">
      <c r="A302" t="s">
        <v>2438</v>
      </c>
      <c r="B302" t="s">
        <v>2439</v>
      </c>
      <c r="C302" t="s">
        <v>2440</v>
      </c>
      <c r="D302" t="s">
        <v>645</v>
      </c>
      <c r="E302" s="6" t="s">
        <v>5377</v>
      </c>
      <c r="F302" s="6">
        <v>1</v>
      </c>
      <c r="G302" t="s">
        <v>2445</v>
      </c>
      <c r="H302" s="59">
        <v>2930</v>
      </c>
      <c r="I302" t="s">
        <v>4942</v>
      </c>
      <c r="J302" s="63" t="s">
        <v>5378</v>
      </c>
      <c r="K302" s="52" t="s">
        <v>5379</v>
      </c>
      <c r="L302" t="s">
        <v>137</v>
      </c>
      <c r="M302" s="59" t="s">
        <v>137</v>
      </c>
      <c r="N302" s="59" t="s">
        <v>4616</v>
      </c>
      <c r="O302">
        <v>1000</v>
      </c>
      <c r="P302" s="60">
        <f t="shared" si="4"/>
        <v>3.4129692832764507</v>
      </c>
    </row>
    <row r="303" spans="1:16" ht="14.25" customHeight="1" x14ac:dyDescent="0.2">
      <c r="A303" t="s">
        <v>2438</v>
      </c>
      <c r="B303" t="s">
        <v>2439</v>
      </c>
      <c r="C303" t="s">
        <v>2440</v>
      </c>
      <c r="D303" t="s">
        <v>645</v>
      </c>
      <c r="E303" s="6" t="s">
        <v>4628</v>
      </c>
      <c r="F303" s="6">
        <v>2</v>
      </c>
      <c r="G303" t="s">
        <v>2446</v>
      </c>
      <c r="H303" s="59">
        <v>8534</v>
      </c>
      <c r="I303" t="s">
        <v>4629</v>
      </c>
      <c r="J303" s="63" t="s">
        <v>5380</v>
      </c>
      <c r="K303" s="52" t="s">
        <v>5381</v>
      </c>
      <c r="L303">
        <v>6</v>
      </c>
      <c r="M303" s="59">
        <v>13654</v>
      </c>
      <c r="N303" s="59" t="s">
        <v>4611</v>
      </c>
      <c r="O303" t="s">
        <v>4632</v>
      </c>
      <c r="P303" s="60" t="str">
        <f t="shared" si="4"/>
        <v xml:space="preserve"> </v>
      </c>
    </row>
    <row r="304" spans="1:16" ht="14.25" customHeight="1" x14ac:dyDescent="0.2">
      <c r="A304" t="s">
        <v>2453</v>
      </c>
      <c r="B304" t="s">
        <v>2454</v>
      </c>
      <c r="C304" t="s">
        <v>2455</v>
      </c>
      <c r="D304" t="s">
        <v>645</v>
      </c>
      <c r="E304" s="6" t="s">
        <v>4740</v>
      </c>
      <c r="F304" s="6">
        <v>1</v>
      </c>
      <c r="G304" t="s">
        <v>2460</v>
      </c>
      <c r="H304" s="59">
        <v>3120</v>
      </c>
      <c r="I304" t="s">
        <v>5382</v>
      </c>
      <c r="J304" s="63" t="s">
        <v>5383</v>
      </c>
      <c r="K304" s="52" t="s">
        <v>5384</v>
      </c>
      <c r="L304">
        <v>6</v>
      </c>
      <c r="M304" s="59">
        <v>8112</v>
      </c>
      <c r="N304" s="59" t="s">
        <v>4611</v>
      </c>
      <c r="O304">
        <v>2000</v>
      </c>
      <c r="P304" s="60">
        <f t="shared" si="4"/>
        <v>6.4102564102564106</v>
      </c>
    </row>
    <row r="305" spans="1:16" ht="14.25" customHeight="1" x14ac:dyDescent="0.2">
      <c r="A305" t="s">
        <v>2453</v>
      </c>
      <c r="B305" t="s">
        <v>2454</v>
      </c>
      <c r="C305" t="s">
        <v>2455</v>
      </c>
      <c r="D305" t="s">
        <v>645</v>
      </c>
      <c r="E305" s="6" t="s">
        <v>4696</v>
      </c>
      <c r="F305" s="6">
        <v>2</v>
      </c>
      <c r="G305" t="s">
        <v>2461</v>
      </c>
      <c r="H305" s="59">
        <v>12000</v>
      </c>
      <c r="I305" t="s">
        <v>4629</v>
      </c>
      <c r="J305" s="63" t="s">
        <v>5385</v>
      </c>
      <c r="K305" s="52" t="s">
        <v>5386</v>
      </c>
      <c r="L305" t="s">
        <v>137</v>
      </c>
      <c r="M305" s="59" t="s">
        <v>137</v>
      </c>
      <c r="N305" s="59" t="s">
        <v>4616</v>
      </c>
      <c r="O305" t="s">
        <v>4632</v>
      </c>
      <c r="P305" s="60" t="str">
        <f t="shared" si="4"/>
        <v xml:space="preserve"> </v>
      </c>
    </row>
    <row r="306" spans="1:16" ht="14.25" customHeight="1" x14ac:dyDescent="0.2">
      <c r="A306" t="s">
        <v>2465</v>
      </c>
      <c r="B306" t="s">
        <v>2466</v>
      </c>
      <c r="C306" t="s">
        <v>2467</v>
      </c>
      <c r="D306" t="s">
        <v>645</v>
      </c>
      <c r="E306" s="6" t="s">
        <v>5070</v>
      </c>
      <c r="F306" s="6">
        <v>1</v>
      </c>
      <c r="G306" t="s">
        <v>2472</v>
      </c>
      <c r="H306" s="59">
        <v>2579</v>
      </c>
      <c r="I306" t="s">
        <v>4869</v>
      </c>
      <c r="J306" s="63" t="s">
        <v>5387</v>
      </c>
      <c r="K306" s="52" t="s">
        <v>5388</v>
      </c>
      <c r="L306" t="s">
        <v>137</v>
      </c>
      <c r="M306" s="59" t="s">
        <v>137</v>
      </c>
      <c r="N306" s="59" t="s">
        <v>4616</v>
      </c>
      <c r="O306">
        <v>2500</v>
      </c>
      <c r="P306" s="60">
        <f t="shared" si="4"/>
        <v>9.6936797208220238</v>
      </c>
    </row>
    <row r="307" spans="1:16" ht="14.25" customHeight="1" x14ac:dyDescent="0.2">
      <c r="A307" t="s">
        <v>2465</v>
      </c>
      <c r="B307" t="s">
        <v>2466</v>
      </c>
      <c r="C307" t="s">
        <v>2467</v>
      </c>
      <c r="D307" t="s">
        <v>645</v>
      </c>
      <c r="E307" s="6" t="s">
        <v>5389</v>
      </c>
      <c r="F307" s="6">
        <v>2</v>
      </c>
      <c r="G307" t="s">
        <v>2473</v>
      </c>
      <c r="H307" s="59">
        <v>4000</v>
      </c>
      <c r="I307" t="s">
        <v>4629</v>
      </c>
      <c r="J307" s="63" t="s">
        <v>5390</v>
      </c>
      <c r="K307" s="52" t="s">
        <v>5391</v>
      </c>
      <c r="L307">
        <v>5</v>
      </c>
      <c r="M307" s="59">
        <v>22179</v>
      </c>
      <c r="N307" s="59" t="s">
        <v>4611</v>
      </c>
      <c r="O307" t="s">
        <v>4632</v>
      </c>
      <c r="P307" s="60" t="str">
        <f t="shared" si="4"/>
        <v xml:space="preserve"> </v>
      </c>
    </row>
    <row r="308" spans="1:16" ht="14.25" customHeight="1" x14ac:dyDescent="0.2">
      <c r="A308" t="s">
        <v>2481</v>
      </c>
      <c r="B308" t="s">
        <v>2482</v>
      </c>
      <c r="C308" t="s">
        <v>2483</v>
      </c>
      <c r="D308" t="s">
        <v>645</v>
      </c>
      <c r="E308" s="6" t="s">
        <v>5070</v>
      </c>
      <c r="F308" s="6">
        <v>1</v>
      </c>
      <c r="G308" t="s">
        <v>2488</v>
      </c>
      <c r="H308" s="59">
        <v>2579</v>
      </c>
      <c r="I308" t="s">
        <v>4869</v>
      </c>
      <c r="J308" s="63" t="s">
        <v>5392</v>
      </c>
      <c r="K308" s="52" t="s">
        <v>5393</v>
      </c>
      <c r="L308" t="s">
        <v>137</v>
      </c>
      <c r="M308" s="59" t="s">
        <v>137</v>
      </c>
      <c r="N308" s="59" t="s">
        <v>4616</v>
      </c>
      <c r="O308">
        <v>2000</v>
      </c>
      <c r="P308" s="60">
        <f t="shared" si="4"/>
        <v>7.754943776657619</v>
      </c>
    </row>
    <row r="309" spans="1:16" ht="14.25" customHeight="1" x14ac:dyDescent="0.2">
      <c r="A309" t="s">
        <v>2481</v>
      </c>
      <c r="B309" t="s">
        <v>2482</v>
      </c>
      <c r="C309" t="s">
        <v>2483</v>
      </c>
      <c r="D309" t="s">
        <v>645</v>
      </c>
      <c r="E309" s="6" t="s">
        <v>4673</v>
      </c>
      <c r="F309" s="6">
        <v>2</v>
      </c>
      <c r="G309" t="s">
        <v>2489</v>
      </c>
      <c r="H309" s="59">
        <v>8534</v>
      </c>
      <c r="I309" t="s">
        <v>4629</v>
      </c>
      <c r="J309" s="63" t="s">
        <v>5394</v>
      </c>
      <c r="K309" s="52" t="s">
        <v>5395</v>
      </c>
      <c r="L309">
        <v>3</v>
      </c>
      <c r="M309" s="59">
        <v>22188</v>
      </c>
      <c r="N309" s="59" t="s">
        <v>4611</v>
      </c>
      <c r="O309" t="s">
        <v>4632</v>
      </c>
      <c r="P309" s="60" t="str">
        <f t="shared" si="4"/>
        <v xml:space="preserve"> </v>
      </c>
    </row>
    <row r="310" spans="1:16" ht="14.25" customHeight="1" x14ac:dyDescent="0.2">
      <c r="A310" t="s">
        <v>2493</v>
      </c>
      <c r="B310" t="s">
        <v>2494</v>
      </c>
      <c r="C310" t="s">
        <v>2495</v>
      </c>
      <c r="D310" t="s">
        <v>759</v>
      </c>
      <c r="E310" s="6" t="s">
        <v>5138</v>
      </c>
      <c r="F310" s="6">
        <v>1</v>
      </c>
      <c r="G310" t="s">
        <v>2500</v>
      </c>
      <c r="H310" s="59">
        <v>2896</v>
      </c>
      <c r="I310" t="s">
        <v>4629</v>
      </c>
      <c r="J310" s="63" t="s">
        <v>5396</v>
      </c>
      <c r="K310" s="52" t="s">
        <v>5397</v>
      </c>
      <c r="L310" t="s">
        <v>137</v>
      </c>
      <c r="M310" s="59" t="s">
        <v>137</v>
      </c>
      <c r="N310" s="59" t="s">
        <v>4616</v>
      </c>
      <c r="O310">
        <v>2500</v>
      </c>
      <c r="P310" s="60">
        <f t="shared" si="4"/>
        <v>8.6325966850828735</v>
      </c>
    </row>
    <row r="311" spans="1:16" ht="14.25" customHeight="1" x14ac:dyDescent="0.2">
      <c r="A311" t="s">
        <v>2493</v>
      </c>
      <c r="B311" t="s">
        <v>2494</v>
      </c>
      <c r="C311" t="s">
        <v>2495</v>
      </c>
      <c r="D311" t="s">
        <v>759</v>
      </c>
      <c r="E311" s="6" t="s">
        <v>5398</v>
      </c>
      <c r="F311" s="6">
        <v>2</v>
      </c>
      <c r="G311" t="s">
        <v>2501</v>
      </c>
      <c r="H311" s="59">
        <v>5001</v>
      </c>
      <c r="I311" t="s">
        <v>5399</v>
      </c>
      <c r="J311" s="63" t="s">
        <v>5400</v>
      </c>
      <c r="K311" s="52" t="s">
        <v>5401</v>
      </c>
      <c r="L311" t="s">
        <v>137</v>
      </c>
      <c r="M311" s="59" t="s">
        <v>137</v>
      </c>
      <c r="N311" s="59" t="s">
        <v>4616</v>
      </c>
      <c r="O311">
        <v>3200</v>
      </c>
      <c r="P311" s="60">
        <f t="shared" si="4"/>
        <v>6.3987202559488097</v>
      </c>
    </row>
    <row r="312" spans="1:16" ht="14.25" customHeight="1" x14ac:dyDescent="0.2">
      <c r="A312" t="s">
        <v>2508</v>
      </c>
      <c r="B312" t="s">
        <v>2509</v>
      </c>
      <c r="C312" t="s">
        <v>2510</v>
      </c>
      <c r="D312" t="s">
        <v>759</v>
      </c>
      <c r="E312" s="6" t="s">
        <v>5402</v>
      </c>
      <c r="F312" s="6">
        <v>1</v>
      </c>
      <c r="G312" t="s">
        <v>2515</v>
      </c>
      <c r="H312" s="59">
        <v>2910</v>
      </c>
      <c r="I312" t="s">
        <v>4618</v>
      </c>
      <c r="J312" s="63" t="s">
        <v>5403</v>
      </c>
      <c r="K312" s="52" t="s">
        <v>5404</v>
      </c>
      <c r="L312">
        <v>6</v>
      </c>
      <c r="M312" s="59">
        <v>12658</v>
      </c>
      <c r="N312" s="59" t="s">
        <v>4611</v>
      </c>
      <c r="O312">
        <v>3200</v>
      </c>
      <c r="P312" s="60">
        <f t="shared" si="4"/>
        <v>10.996563573883162</v>
      </c>
    </row>
    <row r="313" spans="1:16" ht="14.25" customHeight="1" x14ac:dyDescent="0.2">
      <c r="A313" t="s">
        <v>2508</v>
      </c>
      <c r="B313" t="s">
        <v>2509</v>
      </c>
      <c r="C313" t="s">
        <v>2510</v>
      </c>
      <c r="D313" t="s">
        <v>759</v>
      </c>
      <c r="E313" s="6" t="s">
        <v>5405</v>
      </c>
      <c r="F313" s="6">
        <v>2</v>
      </c>
      <c r="G313" t="s">
        <v>2516</v>
      </c>
      <c r="H313" s="59">
        <v>11640</v>
      </c>
      <c r="I313" t="s">
        <v>4608</v>
      </c>
      <c r="J313" s="63" t="s">
        <v>5406</v>
      </c>
      <c r="K313" s="52" t="s">
        <v>5407</v>
      </c>
      <c r="L313" t="s">
        <v>137</v>
      </c>
      <c r="M313" s="59" t="s">
        <v>137</v>
      </c>
      <c r="N313" s="59" t="s">
        <v>4616</v>
      </c>
      <c r="O313" t="s">
        <v>4632</v>
      </c>
      <c r="P313" s="60" t="str">
        <f t="shared" si="4"/>
        <v xml:space="preserve"> </v>
      </c>
    </row>
    <row r="314" spans="1:16" ht="14.25" customHeight="1" x14ac:dyDescent="0.2">
      <c r="A314" t="s">
        <v>2524</v>
      </c>
      <c r="B314" t="s">
        <v>2525</v>
      </c>
      <c r="C314" t="s">
        <v>2526</v>
      </c>
      <c r="D314" t="s">
        <v>759</v>
      </c>
      <c r="E314" s="6" t="s">
        <v>5408</v>
      </c>
      <c r="F314" s="6">
        <v>1</v>
      </c>
      <c r="G314" t="s">
        <v>2531</v>
      </c>
      <c r="H314" s="59">
        <v>4140</v>
      </c>
      <c r="I314" t="s">
        <v>4618</v>
      </c>
      <c r="J314" s="63" t="s">
        <v>5409</v>
      </c>
      <c r="K314" s="52" t="s">
        <v>5410</v>
      </c>
      <c r="L314">
        <v>3</v>
      </c>
      <c r="M314" s="59">
        <v>7917</v>
      </c>
      <c r="N314" s="59" t="s">
        <v>4611</v>
      </c>
      <c r="O314">
        <v>1600</v>
      </c>
      <c r="P314" s="60">
        <f t="shared" si="4"/>
        <v>3.8647342995169081</v>
      </c>
    </row>
    <row r="315" spans="1:16" ht="14.25" customHeight="1" x14ac:dyDescent="0.2">
      <c r="A315" t="s">
        <v>2524</v>
      </c>
      <c r="B315" t="s">
        <v>2525</v>
      </c>
      <c r="C315" t="s">
        <v>2526</v>
      </c>
      <c r="D315" t="s">
        <v>759</v>
      </c>
      <c r="E315" s="6" t="s">
        <v>5411</v>
      </c>
      <c r="F315" s="6">
        <v>2</v>
      </c>
      <c r="G315" t="s">
        <v>2532</v>
      </c>
      <c r="H315" s="59">
        <v>6900</v>
      </c>
      <c r="I315" t="s">
        <v>4618</v>
      </c>
      <c r="J315" s="63" t="s">
        <v>5412</v>
      </c>
      <c r="K315" s="52" t="s">
        <v>5413</v>
      </c>
      <c r="L315" t="s">
        <v>137</v>
      </c>
      <c r="M315" s="59" t="s">
        <v>137</v>
      </c>
      <c r="N315" s="59" t="s">
        <v>4616</v>
      </c>
      <c r="O315">
        <v>1100</v>
      </c>
      <c r="P315" s="60">
        <f t="shared" si="4"/>
        <v>1.5942028985507246</v>
      </c>
    </row>
    <row r="316" spans="1:16" ht="14.25" customHeight="1" x14ac:dyDescent="0.2">
      <c r="A316" t="s">
        <v>2538</v>
      </c>
      <c r="B316" t="s">
        <v>2539</v>
      </c>
      <c r="C316" t="s">
        <v>2540</v>
      </c>
      <c r="D316" t="s">
        <v>759</v>
      </c>
      <c r="E316" s="6" t="s">
        <v>5138</v>
      </c>
      <c r="F316" s="6">
        <v>1</v>
      </c>
      <c r="G316" t="s">
        <v>2545</v>
      </c>
      <c r="H316" s="59">
        <v>2723</v>
      </c>
      <c r="I316" t="s">
        <v>4618</v>
      </c>
      <c r="J316" s="63" t="s">
        <v>5414</v>
      </c>
      <c r="K316" s="52" t="s">
        <v>5415</v>
      </c>
      <c r="L316">
        <v>7</v>
      </c>
      <c r="M316" s="59">
        <v>7624</v>
      </c>
      <c r="N316" s="59" t="s">
        <v>4611</v>
      </c>
      <c r="O316">
        <v>2100</v>
      </c>
      <c r="P316" s="60">
        <f t="shared" si="4"/>
        <v>7.7120822622107967</v>
      </c>
    </row>
    <row r="317" spans="1:16" ht="14.25" customHeight="1" x14ac:dyDescent="0.2">
      <c r="A317" t="s">
        <v>2538</v>
      </c>
      <c r="B317" t="s">
        <v>2539</v>
      </c>
      <c r="C317" t="s">
        <v>2540</v>
      </c>
      <c r="D317" t="s">
        <v>759</v>
      </c>
      <c r="E317" s="6" t="s">
        <v>4628</v>
      </c>
      <c r="F317" s="6">
        <v>2</v>
      </c>
      <c r="G317" t="s">
        <v>2546</v>
      </c>
      <c r="H317" s="59">
        <v>5315</v>
      </c>
      <c r="I317" t="s">
        <v>4629</v>
      </c>
      <c r="J317" s="63" t="s">
        <v>5416</v>
      </c>
      <c r="K317" s="52" t="s">
        <v>5417</v>
      </c>
      <c r="L317" t="s">
        <v>137</v>
      </c>
      <c r="M317" s="59" t="s">
        <v>137</v>
      </c>
      <c r="N317" s="59" t="s">
        <v>4616</v>
      </c>
      <c r="O317">
        <v>1650</v>
      </c>
      <c r="P317" s="60">
        <f t="shared" si="4"/>
        <v>3.104421448730009</v>
      </c>
    </row>
    <row r="318" spans="1:16" ht="14.25" customHeight="1" x14ac:dyDescent="0.2">
      <c r="A318" t="s">
        <v>2551</v>
      </c>
      <c r="B318" t="s">
        <v>2552</v>
      </c>
      <c r="C318" t="s">
        <v>2553</v>
      </c>
      <c r="D318" t="s">
        <v>759</v>
      </c>
      <c r="E318" s="6" t="s">
        <v>4841</v>
      </c>
      <c r="F318" s="6">
        <v>1</v>
      </c>
      <c r="G318" t="s">
        <v>2558</v>
      </c>
      <c r="H318" s="59">
        <v>2896</v>
      </c>
      <c r="I318" t="s">
        <v>4618</v>
      </c>
      <c r="J318" s="63" t="s">
        <v>5418</v>
      </c>
      <c r="K318" s="52" t="s">
        <v>5419</v>
      </c>
      <c r="L318">
        <v>5</v>
      </c>
      <c r="M318" s="59">
        <v>15638</v>
      </c>
      <c r="N318" s="59" t="s">
        <v>4611</v>
      </c>
      <c r="O318">
        <v>2400</v>
      </c>
      <c r="P318" s="60">
        <f t="shared" si="4"/>
        <v>8.2872928176795586</v>
      </c>
    </row>
    <row r="319" spans="1:16" ht="14.25" customHeight="1" x14ac:dyDescent="0.2">
      <c r="A319" t="s">
        <v>2551</v>
      </c>
      <c r="B319" t="s">
        <v>2552</v>
      </c>
      <c r="C319" t="s">
        <v>2553</v>
      </c>
      <c r="D319" t="s">
        <v>759</v>
      </c>
      <c r="E319" s="6" t="s">
        <v>4845</v>
      </c>
      <c r="F319" s="6">
        <v>2</v>
      </c>
      <c r="G319" t="s">
        <v>2559</v>
      </c>
      <c r="H319" s="59">
        <v>5001</v>
      </c>
      <c r="I319" t="s">
        <v>4618</v>
      </c>
      <c r="J319" s="63" t="s">
        <v>5420</v>
      </c>
      <c r="K319" s="52" t="s">
        <v>5421</v>
      </c>
      <c r="L319" t="s">
        <v>137</v>
      </c>
      <c r="M319" s="59" t="s">
        <v>137</v>
      </c>
      <c r="N319" s="59" t="s">
        <v>4616</v>
      </c>
      <c r="O319">
        <v>3300</v>
      </c>
      <c r="P319" s="60">
        <f t="shared" si="4"/>
        <v>6.5986802639472106</v>
      </c>
    </row>
    <row r="320" spans="1:16" ht="14.25" customHeight="1" x14ac:dyDescent="0.2">
      <c r="A320" t="s">
        <v>2564</v>
      </c>
      <c r="B320" t="s">
        <v>2565</v>
      </c>
      <c r="C320" t="s">
        <v>2566</v>
      </c>
      <c r="D320" t="s">
        <v>759</v>
      </c>
      <c r="E320" s="6" t="s">
        <v>5138</v>
      </c>
      <c r="F320" s="6">
        <v>1</v>
      </c>
      <c r="G320" t="s">
        <v>2571</v>
      </c>
      <c r="H320" s="59">
        <v>2803</v>
      </c>
      <c r="I320" t="s">
        <v>4629</v>
      </c>
      <c r="J320" s="63" t="s">
        <v>5422</v>
      </c>
      <c r="K320" s="52" t="s">
        <v>5423</v>
      </c>
      <c r="L320">
        <v>6</v>
      </c>
      <c r="M320" s="59">
        <v>10651</v>
      </c>
      <c r="N320" s="59" t="s">
        <v>4611</v>
      </c>
      <c r="O320">
        <v>1200</v>
      </c>
      <c r="P320" s="60">
        <f t="shared" si="4"/>
        <v>4.2811273635390652</v>
      </c>
    </row>
    <row r="321" spans="1:16" ht="14.25" customHeight="1" x14ac:dyDescent="0.2">
      <c r="A321" t="s">
        <v>2564</v>
      </c>
      <c r="B321" t="s">
        <v>2565</v>
      </c>
      <c r="C321" t="s">
        <v>2566</v>
      </c>
      <c r="D321" t="s">
        <v>759</v>
      </c>
      <c r="E321" s="6" t="s">
        <v>4696</v>
      </c>
      <c r="F321" s="6">
        <v>2</v>
      </c>
      <c r="G321" t="s">
        <v>2572</v>
      </c>
      <c r="H321" s="59">
        <v>5599</v>
      </c>
      <c r="I321" t="s">
        <v>4629</v>
      </c>
      <c r="J321" s="63" t="s">
        <v>5424</v>
      </c>
      <c r="K321" s="52" t="s">
        <v>5425</v>
      </c>
      <c r="L321" t="s">
        <v>137</v>
      </c>
      <c r="M321" s="59" t="s">
        <v>137</v>
      </c>
      <c r="N321" s="59" t="s">
        <v>4616</v>
      </c>
      <c r="O321" t="s">
        <v>4632</v>
      </c>
      <c r="P321" s="60" t="str">
        <f t="shared" si="4"/>
        <v xml:space="preserve"> </v>
      </c>
    </row>
    <row r="322" spans="1:16" ht="14.25" customHeight="1" x14ac:dyDescent="0.2">
      <c r="A322" t="s">
        <v>2577</v>
      </c>
      <c r="B322" t="s">
        <v>2578</v>
      </c>
      <c r="C322" t="s">
        <v>2579</v>
      </c>
      <c r="D322" t="s">
        <v>759</v>
      </c>
      <c r="E322" s="6" t="s">
        <v>5138</v>
      </c>
      <c r="F322" s="6">
        <v>1</v>
      </c>
      <c r="G322" t="s">
        <v>2584</v>
      </c>
      <c r="H322" s="59">
        <v>2504</v>
      </c>
      <c r="I322" t="s">
        <v>4723</v>
      </c>
      <c r="J322" s="63" t="s">
        <v>5426</v>
      </c>
      <c r="K322" s="52" t="s">
        <v>5427</v>
      </c>
      <c r="L322">
        <v>5</v>
      </c>
      <c r="M322" s="59">
        <v>7512</v>
      </c>
      <c r="N322" s="59" t="s">
        <v>4611</v>
      </c>
      <c r="O322">
        <v>2500</v>
      </c>
      <c r="P322" s="60">
        <f t="shared" ref="P322:P385" si="5">IFERROR(O322/H322*10," ")</f>
        <v>9.9840255591054312</v>
      </c>
    </row>
    <row r="323" spans="1:16" ht="14.25" customHeight="1" x14ac:dyDescent="0.2">
      <c r="A323" t="s">
        <v>2577</v>
      </c>
      <c r="B323" t="s">
        <v>2578</v>
      </c>
      <c r="C323" t="s">
        <v>2579</v>
      </c>
      <c r="D323" t="s">
        <v>759</v>
      </c>
      <c r="E323" s="6" t="s">
        <v>4841</v>
      </c>
      <c r="F323" s="6">
        <v>2</v>
      </c>
      <c r="G323" t="s">
        <v>2585</v>
      </c>
      <c r="H323" s="59">
        <v>5115</v>
      </c>
      <c r="I323" t="s">
        <v>4842</v>
      </c>
      <c r="J323" s="63" t="s">
        <v>5428</v>
      </c>
      <c r="K323" s="52" t="s">
        <v>5429</v>
      </c>
      <c r="L323" t="s">
        <v>137</v>
      </c>
      <c r="M323" s="59" t="s">
        <v>137</v>
      </c>
      <c r="N323" s="59" t="s">
        <v>4616</v>
      </c>
      <c r="O323">
        <v>2500</v>
      </c>
      <c r="P323" s="60">
        <f t="shared" si="5"/>
        <v>4.8875855327468232</v>
      </c>
    </row>
    <row r="324" spans="1:16" ht="14.25" customHeight="1" x14ac:dyDescent="0.2">
      <c r="A324" t="s">
        <v>2592</v>
      </c>
      <c r="B324" t="s">
        <v>2593</v>
      </c>
      <c r="C324" t="s">
        <v>2594</v>
      </c>
      <c r="D324" t="s">
        <v>759</v>
      </c>
      <c r="E324" s="6" t="s">
        <v>4845</v>
      </c>
      <c r="F324" s="6">
        <v>1</v>
      </c>
      <c r="G324" t="s">
        <v>2599</v>
      </c>
      <c r="H324" s="59">
        <v>2395</v>
      </c>
      <c r="I324" t="s">
        <v>4842</v>
      </c>
      <c r="J324" s="63" t="s">
        <v>5430</v>
      </c>
      <c r="K324" s="52" t="s">
        <v>5431</v>
      </c>
      <c r="L324">
        <v>4</v>
      </c>
      <c r="M324" s="59">
        <v>11496</v>
      </c>
      <c r="N324" s="59" t="s">
        <v>4611</v>
      </c>
      <c r="O324">
        <f>3*700</f>
        <v>2100</v>
      </c>
      <c r="P324" s="60">
        <f t="shared" si="5"/>
        <v>8.7682672233820451</v>
      </c>
    </row>
    <row r="325" spans="1:16" ht="14.25" customHeight="1" x14ac:dyDescent="0.2">
      <c r="A325" t="s">
        <v>2592</v>
      </c>
      <c r="B325" t="s">
        <v>2593</v>
      </c>
      <c r="C325" t="s">
        <v>2594</v>
      </c>
      <c r="D325" t="s">
        <v>759</v>
      </c>
      <c r="E325" s="6" t="s">
        <v>4841</v>
      </c>
      <c r="F325" s="6">
        <v>2</v>
      </c>
      <c r="G325" t="s">
        <v>2600</v>
      </c>
      <c r="H325" s="59">
        <v>5051</v>
      </c>
      <c r="I325" t="s">
        <v>4660</v>
      </c>
      <c r="J325" s="63" t="s">
        <v>5432</v>
      </c>
      <c r="K325" s="52" t="s">
        <v>5433</v>
      </c>
      <c r="L325" t="s">
        <v>137</v>
      </c>
      <c r="M325" s="59" t="s">
        <v>137</v>
      </c>
      <c r="N325" s="59" t="s">
        <v>4616</v>
      </c>
      <c r="O325">
        <v>2500</v>
      </c>
      <c r="P325" s="60">
        <f t="shared" si="5"/>
        <v>4.9495149475351417</v>
      </c>
    </row>
    <row r="326" spans="1:16" ht="14.25" customHeight="1" x14ac:dyDescent="0.2">
      <c r="A326" t="s">
        <v>2610</v>
      </c>
      <c r="B326" t="s">
        <v>2611</v>
      </c>
      <c r="C326" t="s">
        <v>2612</v>
      </c>
      <c r="D326" t="s">
        <v>839</v>
      </c>
      <c r="E326" s="6" t="s">
        <v>4877</v>
      </c>
      <c r="F326" s="6">
        <v>1</v>
      </c>
      <c r="G326" t="s">
        <v>2617</v>
      </c>
      <c r="H326" s="59">
        <v>3148</v>
      </c>
      <c r="I326" t="s">
        <v>4730</v>
      </c>
      <c r="J326" s="63" t="s">
        <v>5434</v>
      </c>
      <c r="K326" s="52" t="s">
        <v>5435</v>
      </c>
      <c r="L326" t="s">
        <v>137</v>
      </c>
      <c r="M326" s="59" t="s">
        <v>137</v>
      </c>
      <c r="N326" s="59" t="s">
        <v>4616</v>
      </c>
      <c r="O326">
        <f>7*350</f>
        <v>2450</v>
      </c>
      <c r="P326" s="60">
        <f t="shared" si="5"/>
        <v>7.7827191867852612</v>
      </c>
    </row>
    <row r="327" spans="1:16" ht="14.25" customHeight="1" x14ac:dyDescent="0.2">
      <c r="A327" t="s">
        <v>2610</v>
      </c>
      <c r="B327" t="s">
        <v>2611</v>
      </c>
      <c r="C327" t="s">
        <v>2612</v>
      </c>
      <c r="D327" t="s">
        <v>839</v>
      </c>
      <c r="E327" s="6" t="s">
        <v>4692</v>
      </c>
      <c r="F327" s="6">
        <v>2</v>
      </c>
      <c r="G327" t="s">
        <v>2618</v>
      </c>
      <c r="H327" s="59">
        <v>5520</v>
      </c>
      <c r="I327" t="s">
        <v>4730</v>
      </c>
      <c r="J327" s="63" t="s">
        <v>5436</v>
      </c>
      <c r="K327" s="52" t="s">
        <v>5437</v>
      </c>
      <c r="L327">
        <v>6</v>
      </c>
      <c r="M327" s="59">
        <v>13413</v>
      </c>
      <c r="N327" s="59" t="s">
        <v>4611</v>
      </c>
      <c r="O327">
        <v>2500</v>
      </c>
      <c r="P327" s="60">
        <f t="shared" si="5"/>
        <v>4.5289855072463769</v>
      </c>
    </row>
    <row r="328" spans="1:16" ht="14.25" customHeight="1" x14ac:dyDescent="0.2">
      <c r="A328" t="s">
        <v>2626</v>
      </c>
      <c r="B328" t="s">
        <v>2627</v>
      </c>
      <c r="C328" t="s">
        <v>2628</v>
      </c>
      <c r="D328" t="s">
        <v>839</v>
      </c>
      <c r="E328" s="6" t="s">
        <v>4763</v>
      </c>
      <c r="F328" s="6">
        <v>1</v>
      </c>
      <c r="G328" t="s">
        <v>2633</v>
      </c>
      <c r="H328" s="59">
        <v>3731</v>
      </c>
      <c r="I328" t="s">
        <v>4730</v>
      </c>
      <c r="J328" s="63" t="s">
        <v>5438</v>
      </c>
      <c r="K328" s="52" t="s">
        <v>5439</v>
      </c>
      <c r="L328" t="s">
        <v>137</v>
      </c>
      <c r="M328" s="59" t="s">
        <v>137</v>
      </c>
      <c r="N328" s="59" t="s">
        <v>4616</v>
      </c>
      <c r="O328" t="s">
        <v>4632</v>
      </c>
      <c r="P328" s="60" t="str">
        <f t="shared" si="5"/>
        <v xml:space="preserve"> </v>
      </c>
    </row>
    <row r="329" spans="1:16" ht="14.25" customHeight="1" x14ac:dyDescent="0.2">
      <c r="A329" t="s">
        <v>2626</v>
      </c>
      <c r="B329" t="s">
        <v>2627</v>
      </c>
      <c r="C329" t="s">
        <v>2628</v>
      </c>
      <c r="D329" t="s">
        <v>839</v>
      </c>
      <c r="E329" s="6" t="s">
        <v>4852</v>
      </c>
      <c r="F329" s="6">
        <v>2</v>
      </c>
      <c r="G329" t="s">
        <v>2634</v>
      </c>
      <c r="H329" s="59">
        <v>7500</v>
      </c>
      <c r="I329" t="s">
        <v>5440</v>
      </c>
      <c r="J329" s="63" t="s">
        <v>5441</v>
      </c>
      <c r="K329" s="52" t="s">
        <v>5442</v>
      </c>
      <c r="L329">
        <v>6</v>
      </c>
      <c r="M329" s="59">
        <v>14100</v>
      </c>
      <c r="N329" s="59" t="s">
        <v>4611</v>
      </c>
      <c r="O329">
        <f>11*350</f>
        <v>3850</v>
      </c>
      <c r="P329" s="60">
        <f t="shared" si="5"/>
        <v>5.1333333333333329</v>
      </c>
    </row>
    <row r="330" spans="1:16" ht="14.25" customHeight="1" x14ac:dyDescent="0.2">
      <c r="A330" t="s">
        <v>2642</v>
      </c>
      <c r="B330" t="s">
        <v>2643</v>
      </c>
      <c r="C330" t="s">
        <v>2644</v>
      </c>
      <c r="D330" t="s">
        <v>839</v>
      </c>
      <c r="E330" s="6" t="s">
        <v>5443</v>
      </c>
      <c r="F330" s="6">
        <v>1</v>
      </c>
      <c r="G330" t="s">
        <v>2649</v>
      </c>
      <c r="H330" s="59">
        <v>1986</v>
      </c>
      <c r="I330" t="s">
        <v>4608</v>
      </c>
      <c r="J330" s="63" t="s">
        <v>5444</v>
      </c>
      <c r="K330" s="52" t="s">
        <v>5445</v>
      </c>
      <c r="L330">
        <v>6</v>
      </c>
      <c r="M330" s="59">
        <v>14614</v>
      </c>
      <c r="N330" s="59" t="s">
        <v>4611</v>
      </c>
      <c r="O330">
        <v>3000</v>
      </c>
      <c r="P330" s="60">
        <f t="shared" si="5"/>
        <v>15.105740181268883</v>
      </c>
    </row>
    <row r="331" spans="1:16" ht="14.25" customHeight="1" x14ac:dyDescent="0.2">
      <c r="A331" t="s">
        <v>2642</v>
      </c>
      <c r="B331" t="s">
        <v>2643</v>
      </c>
      <c r="C331" t="s">
        <v>2644</v>
      </c>
      <c r="D331" t="s">
        <v>839</v>
      </c>
      <c r="E331" s="6" t="s">
        <v>5446</v>
      </c>
      <c r="F331" s="6">
        <v>2</v>
      </c>
      <c r="G331" t="s">
        <v>2650</v>
      </c>
      <c r="H331" s="59">
        <v>3812</v>
      </c>
      <c r="I331" t="s">
        <v>4629</v>
      </c>
      <c r="J331" s="63" t="s">
        <v>5447</v>
      </c>
      <c r="K331" s="52" t="s">
        <v>5448</v>
      </c>
      <c r="L331" t="s">
        <v>137</v>
      </c>
      <c r="M331" s="59" t="s">
        <v>137</v>
      </c>
      <c r="N331" s="59" t="s">
        <v>4616</v>
      </c>
      <c r="O331" t="s">
        <v>4632</v>
      </c>
      <c r="P331" s="60" t="str">
        <f t="shared" si="5"/>
        <v xml:space="preserve"> </v>
      </c>
    </row>
    <row r="332" spans="1:16" ht="14.25" customHeight="1" x14ac:dyDescent="0.2">
      <c r="A332" t="s">
        <v>2655</v>
      </c>
      <c r="B332" t="s">
        <v>2656</v>
      </c>
      <c r="C332" t="s">
        <v>2657</v>
      </c>
      <c r="D332" t="s">
        <v>839</v>
      </c>
      <c r="E332" s="6" t="s">
        <v>4852</v>
      </c>
      <c r="F332" s="6">
        <v>1</v>
      </c>
      <c r="G332" t="s">
        <v>2662</v>
      </c>
      <c r="H332" s="59">
        <v>2648</v>
      </c>
      <c r="I332" t="s">
        <v>4730</v>
      </c>
      <c r="J332" s="63" t="s">
        <v>5449</v>
      </c>
      <c r="K332" s="52" t="s">
        <v>5450</v>
      </c>
      <c r="L332">
        <v>5</v>
      </c>
      <c r="M332" s="59">
        <v>8208</v>
      </c>
      <c r="N332" s="59" t="s">
        <v>4611</v>
      </c>
      <c r="O332">
        <f>6*300</f>
        <v>1800</v>
      </c>
      <c r="P332" s="60">
        <f t="shared" si="5"/>
        <v>6.7975830815709966</v>
      </c>
    </row>
    <row r="333" spans="1:16" ht="14.25" customHeight="1" x14ac:dyDescent="0.2">
      <c r="A333" t="s">
        <v>2655</v>
      </c>
      <c r="B333" t="s">
        <v>2656</v>
      </c>
      <c r="C333" t="s">
        <v>2657</v>
      </c>
      <c r="D333" t="s">
        <v>839</v>
      </c>
      <c r="E333" s="6" t="s">
        <v>4692</v>
      </c>
      <c r="F333" s="6">
        <v>2</v>
      </c>
      <c r="G333" t="s">
        <v>2663</v>
      </c>
      <c r="H333" s="59">
        <v>5838</v>
      </c>
      <c r="I333" t="s">
        <v>4660</v>
      </c>
      <c r="J333" s="63" t="s">
        <v>5451</v>
      </c>
      <c r="K333" s="52" t="s">
        <v>5452</v>
      </c>
      <c r="L333" t="s">
        <v>137</v>
      </c>
      <c r="M333" s="59" t="s">
        <v>137</v>
      </c>
      <c r="N333" s="59" t="s">
        <v>4616</v>
      </c>
      <c r="O333">
        <v>2200</v>
      </c>
      <c r="P333" s="60">
        <f t="shared" si="5"/>
        <v>3.7684138403562861</v>
      </c>
    </row>
    <row r="334" spans="1:16" ht="14.25" customHeight="1" x14ac:dyDescent="0.2">
      <c r="A334" t="s">
        <v>2668</v>
      </c>
      <c r="B334" t="s">
        <v>2669</v>
      </c>
      <c r="C334" t="s">
        <v>2670</v>
      </c>
      <c r="D334" t="s">
        <v>839</v>
      </c>
      <c r="E334" s="6" t="s">
        <v>4696</v>
      </c>
      <c r="F334" s="6">
        <v>1</v>
      </c>
      <c r="G334" t="s">
        <v>2675</v>
      </c>
      <c r="H334" s="59">
        <v>3817</v>
      </c>
      <c r="I334" t="s">
        <v>4629</v>
      </c>
      <c r="J334" s="63" t="s">
        <v>5453</v>
      </c>
      <c r="K334" s="52" t="s">
        <v>5454</v>
      </c>
      <c r="L334">
        <v>6</v>
      </c>
      <c r="M334" s="59">
        <v>11832</v>
      </c>
      <c r="N334" s="59" t="s">
        <v>4611</v>
      </c>
      <c r="O334" t="s">
        <v>4632</v>
      </c>
      <c r="P334" s="60" t="str">
        <f t="shared" si="5"/>
        <v xml:space="preserve"> </v>
      </c>
    </row>
    <row r="335" spans="1:16" ht="14.25" customHeight="1" x14ac:dyDescent="0.2">
      <c r="A335" t="s">
        <v>2668</v>
      </c>
      <c r="B335" t="s">
        <v>2669</v>
      </c>
      <c r="C335" t="s">
        <v>2670</v>
      </c>
      <c r="D335" t="s">
        <v>839</v>
      </c>
      <c r="E335" s="6" t="s">
        <v>5095</v>
      </c>
      <c r="F335" s="6">
        <v>2</v>
      </c>
      <c r="G335" t="s">
        <v>2676</v>
      </c>
      <c r="H335" s="59">
        <v>7634</v>
      </c>
      <c r="I335" t="s">
        <v>4660</v>
      </c>
      <c r="J335" s="63" t="s">
        <v>5455</v>
      </c>
      <c r="K335" s="52" t="s">
        <v>5456</v>
      </c>
      <c r="L335" t="s">
        <v>137</v>
      </c>
      <c r="M335" s="59" t="s">
        <v>137</v>
      </c>
      <c r="N335" s="59" t="s">
        <v>4616</v>
      </c>
      <c r="O335">
        <v>1000</v>
      </c>
      <c r="P335" s="60">
        <f t="shared" si="5"/>
        <v>1.3099292638197537</v>
      </c>
    </row>
    <row r="336" spans="1:16" ht="14.25" customHeight="1" x14ac:dyDescent="0.2">
      <c r="A336" t="s">
        <v>2681</v>
      </c>
      <c r="B336" t="s">
        <v>2682</v>
      </c>
      <c r="C336" t="s">
        <v>2683</v>
      </c>
      <c r="D336" t="s">
        <v>839</v>
      </c>
      <c r="E336" s="6" t="s">
        <v>4628</v>
      </c>
      <c r="F336" s="6">
        <v>1</v>
      </c>
      <c r="G336" t="s">
        <v>2688</v>
      </c>
      <c r="H336" s="59">
        <v>3817</v>
      </c>
      <c r="I336" t="s">
        <v>4629</v>
      </c>
      <c r="J336" s="63" t="s">
        <v>5457</v>
      </c>
      <c r="K336" s="52" t="s">
        <v>5458</v>
      </c>
      <c r="L336">
        <v>6</v>
      </c>
      <c r="M336" s="59">
        <v>14122</v>
      </c>
      <c r="N336" s="59" t="s">
        <v>4611</v>
      </c>
      <c r="O336" t="s">
        <v>4632</v>
      </c>
      <c r="P336" s="60" t="str">
        <f t="shared" si="5"/>
        <v xml:space="preserve"> </v>
      </c>
    </row>
    <row r="337" spans="1:16" ht="14.25" customHeight="1" x14ac:dyDescent="0.2">
      <c r="A337" t="s">
        <v>2681</v>
      </c>
      <c r="B337" t="s">
        <v>2682</v>
      </c>
      <c r="C337" t="s">
        <v>2683</v>
      </c>
      <c r="D337" t="s">
        <v>839</v>
      </c>
      <c r="E337" s="6" t="s">
        <v>4833</v>
      </c>
      <c r="F337" s="6">
        <v>2</v>
      </c>
      <c r="G337" t="s">
        <v>2689</v>
      </c>
      <c r="H337" s="59">
        <v>6237</v>
      </c>
      <c r="I337" t="s">
        <v>4618</v>
      </c>
      <c r="J337" s="63" t="s">
        <v>5459</v>
      </c>
      <c r="K337" s="52" t="s">
        <v>5460</v>
      </c>
      <c r="L337" t="s">
        <v>137</v>
      </c>
      <c r="M337" s="59" t="s">
        <v>137</v>
      </c>
      <c r="N337" s="59" t="s">
        <v>4616</v>
      </c>
      <c r="O337">
        <v>1800</v>
      </c>
      <c r="P337" s="60">
        <f t="shared" si="5"/>
        <v>2.8860028860028857</v>
      </c>
    </row>
    <row r="338" spans="1:16" ht="14.25" customHeight="1" x14ac:dyDescent="0.2">
      <c r="A338" t="s">
        <v>2694</v>
      </c>
      <c r="B338" t="s">
        <v>2695</v>
      </c>
      <c r="C338" t="s">
        <v>2696</v>
      </c>
      <c r="D338" t="s">
        <v>839</v>
      </c>
      <c r="E338" s="6" t="s">
        <v>4852</v>
      </c>
      <c r="F338" s="6">
        <v>1</v>
      </c>
      <c r="G338" t="s">
        <v>2700</v>
      </c>
      <c r="H338" s="59">
        <v>2785</v>
      </c>
      <c r="I338" t="s">
        <v>4869</v>
      </c>
      <c r="J338" s="63" t="s">
        <v>5461</v>
      </c>
      <c r="K338" s="52" t="s">
        <v>5462</v>
      </c>
      <c r="L338">
        <v>4</v>
      </c>
      <c r="M338" s="59">
        <v>8633</v>
      </c>
      <c r="N338" s="59" t="s">
        <v>4611</v>
      </c>
      <c r="O338">
        <v>2100</v>
      </c>
      <c r="P338" s="60">
        <f t="shared" si="5"/>
        <v>7.5403949730700184</v>
      </c>
    </row>
    <row r="339" spans="1:16" ht="14.25" customHeight="1" x14ac:dyDescent="0.2">
      <c r="A339" t="s">
        <v>2694</v>
      </c>
      <c r="B339" t="s">
        <v>2695</v>
      </c>
      <c r="C339" t="s">
        <v>2696</v>
      </c>
      <c r="D339" t="s">
        <v>839</v>
      </c>
      <c r="E339" s="6" t="s">
        <v>4833</v>
      </c>
      <c r="F339" s="6">
        <v>2</v>
      </c>
      <c r="G339" t="s">
        <v>2701</v>
      </c>
      <c r="H339" s="59">
        <v>5518</v>
      </c>
      <c r="I339" t="s">
        <v>4660</v>
      </c>
      <c r="J339" s="63" t="s">
        <v>5463</v>
      </c>
      <c r="K339" s="52" t="s">
        <v>5464</v>
      </c>
      <c r="L339" t="s">
        <v>137</v>
      </c>
      <c r="M339" s="59" t="s">
        <v>137</v>
      </c>
      <c r="N339" s="59" t="s">
        <v>4616</v>
      </c>
      <c r="O339">
        <v>2000</v>
      </c>
      <c r="P339" s="60">
        <f t="shared" si="5"/>
        <v>3.6245016310257339</v>
      </c>
    </row>
    <row r="340" spans="1:16" ht="14.25" customHeight="1" x14ac:dyDescent="0.2">
      <c r="A340" t="s">
        <v>2707</v>
      </c>
      <c r="B340" t="s">
        <v>2708</v>
      </c>
      <c r="C340" t="s">
        <v>2709</v>
      </c>
      <c r="D340" t="s">
        <v>949</v>
      </c>
      <c r="E340" s="6" t="s">
        <v>5465</v>
      </c>
      <c r="F340" s="6">
        <v>1</v>
      </c>
      <c r="G340" t="s">
        <v>2714</v>
      </c>
      <c r="H340" s="59">
        <v>5916</v>
      </c>
      <c r="I340" t="s">
        <v>4608</v>
      </c>
      <c r="J340" s="63" t="s">
        <v>5466</v>
      </c>
      <c r="K340" s="52" t="s">
        <v>5466</v>
      </c>
      <c r="L340">
        <v>6</v>
      </c>
      <c r="M340" s="59">
        <v>9169</v>
      </c>
      <c r="N340" s="59" t="s">
        <v>4611</v>
      </c>
      <c r="O340" t="s">
        <v>4632</v>
      </c>
      <c r="P340" s="60" t="str">
        <f t="shared" si="5"/>
        <v xml:space="preserve"> </v>
      </c>
    </row>
    <row r="341" spans="1:16" ht="14.25" customHeight="1" x14ac:dyDescent="0.2">
      <c r="A341" t="s">
        <v>2707</v>
      </c>
      <c r="B341" t="s">
        <v>2708</v>
      </c>
      <c r="C341" t="s">
        <v>2709</v>
      </c>
      <c r="D341" t="s">
        <v>949</v>
      </c>
      <c r="E341" s="6" t="s">
        <v>5467</v>
      </c>
      <c r="F341" s="6">
        <v>2</v>
      </c>
      <c r="G341" t="s">
        <v>2715</v>
      </c>
      <c r="H341" s="59">
        <v>8352</v>
      </c>
      <c r="I341" t="s">
        <v>4608</v>
      </c>
      <c r="J341" s="63" t="s">
        <v>5468</v>
      </c>
      <c r="K341" s="52" t="s">
        <v>5468</v>
      </c>
      <c r="L341" t="s">
        <v>137</v>
      </c>
      <c r="M341" s="59" t="s">
        <v>137</v>
      </c>
      <c r="N341" s="59" t="s">
        <v>4616</v>
      </c>
      <c r="O341" t="s">
        <v>4632</v>
      </c>
      <c r="P341" s="60" t="str">
        <f t="shared" si="5"/>
        <v xml:space="preserve"> </v>
      </c>
    </row>
    <row r="342" spans="1:16" ht="14.25" customHeight="1" x14ac:dyDescent="0.2">
      <c r="A342" t="s">
        <v>2722</v>
      </c>
      <c r="B342" t="s">
        <v>2723</v>
      </c>
      <c r="C342" t="s">
        <v>2724</v>
      </c>
      <c r="D342" t="s">
        <v>949</v>
      </c>
      <c r="E342" s="6" t="s">
        <v>4897</v>
      </c>
      <c r="F342" s="6">
        <v>1</v>
      </c>
      <c r="G342" t="s">
        <v>2729</v>
      </c>
      <c r="H342" s="59">
        <v>5916</v>
      </c>
      <c r="I342" t="s">
        <v>4629</v>
      </c>
      <c r="J342" s="63" t="s">
        <v>5469</v>
      </c>
      <c r="K342" s="52" t="s">
        <v>5470</v>
      </c>
      <c r="L342" t="s">
        <v>137</v>
      </c>
      <c r="M342" s="59" t="s">
        <v>137</v>
      </c>
      <c r="N342" s="59" t="s">
        <v>4616</v>
      </c>
      <c r="O342" t="s">
        <v>4632</v>
      </c>
      <c r="P342" s="60" t="str">
        <f t="shared" si="5"/>
        <v xml:space="preserve"> </v>
      </c>
    </row>
    <row r="343" spans="1:16" ht="14.25" customHeight="1" x14ac:dyDescent="0.2">
      <c r="A343" t="s">
        <v>2722</v>
      </c>
      <c r="B343" t="s">
        <v>2723</v>
      </c>
      <c r="C343" t="s">
        <v>2724</v>
      </c>
      <c r="D343" t="s">
        <v>949</v>
      </c>
      <c r="E343" s="6" t="s">
        <v>5471</v>
      </c>
      <c r="F343" s="6">
        <v>2</v>
      </c>
      <c r="G343" t="s">
        <v>2730</v>
      </c>
      <c r="H343" s="59">
        <v>8352</v>
      </c>
      <c r="I343" t="s">
        <v>4608</v>
      </c>
      <c r="J343" s="63" t="s">
        <v>5472</v>
      </c>
      <c r="K343" s="52" t="s">
        <v>5473</v>
      </c>
      <c r="L343">
        <v>6</v>
      </c>
      <c r="M343" s="59">
        <v>16075</v>
      </c>
      <c r="N343" s="59" t="s">
        <v>4611</v>
      </c>
      <c r="O343">
        <v>2000</v>
      </c>
      <c r="P343" s="60">
        <f t="shared" si="5"/>
        <v>2.3946360153256703</v>
      </c>
    </row>
    <row r="344" spans="1:16" ht="14.25" customHeight="1" x14ac:dyDescent="0.2">
      <c r="A344" t="s">
        <v>2736</v>
      </c>
      <c r="B344" t="s">
        <v>2737</v>
      </c>
      <c r="C344" t="s">
        <v>2738</v>
      </c>
      <c r="D344" t="s">
        <v>949</v>
      </c>
      <c r="E344" s="6" t="s">
        <v>4897</v>
      </c>
      <c r="F344" s="6">
        <v>1</v>
      </c>
      <c r="G344" t="s">
        <v>2743</v>
      </c>
      <c r="H344" s="59">
        <v>5916</v>
      </c>
      <c r="I344" t="s">
        <v>4776</v>
      </c>
      <c r="J344" s="63" t="s">
        <v>5474</v>
      </c>
      <c r="K344" s="52" t="s">
        <v>5475</v>
      </c>
      <c r="L344">
        <v>6</v>
      </c>
      <c r="M344" s="59">
        <v>17748</v>
      </c>
      <c r="N344" s="59" t="s">
        <v>4611</v>
      </c>
      <c r="O344" t="s">
        <v>4632</v>
      </c>
      <c r="P344" s="60" t="str">
        <f t="shared" si="5"/>
        <v xml:space="preserve"> </v>
      </c>
    </row>
    <row r="345" spans="1:16" ht="14.25" customHeight="1" x14ac:dyDescent="0.2">
      <c r="A345" t="s">
        <v>2736</v>
      </c>
      <c r="B345" t="s">
        <v>2737</v>
      </c>
      <c r="C345" t="s">
        <v>2738</v>
      </c>
      <c r="D345" t="s">
        <v>949</v>
      </c>
      <c r="E345" s="6" t="s">
        <v>4941</v>
      </c>
      <c r="F345" s="6">
        <v>2</v>
      </c>
      <c r="G345" t="s">
        <v>2744</v>
      </c>
      <c r="H345" s="59">
        <v>20000</v>
      </c>
      <c r="I345" t="s">
        <v>4629</v>
      </c>
      <c r="J345" s="63" t="s">
        <v>5476</v>
      </c>
      <c r="K345" s="52" t="s">
        <v>5477</v>
      </c>
      <c r="L345" t="s">
        <v>137</v>
      </c>
      <c r="M345" s="59" t="s">
        <v>137</v>
      </c>
      <c r="N345" s="59" t="s">
        <v>4616</v>
      </c>
      <c r="O345" t="s">
        <v>4632</v>
      </c>
      <c r="P345" s="60" t="str">
        <f t="shared" si="5"/>
        <v xml:space="preserve"> </v>
      </c>
    </row>
    <row r="346" spans="1:16" ht="14.25" customHeight="1" x14ac:dyDescent="0.2">
      <c r="A346" t="s">
        <v>2750</v>
      </c>
      <c r="B346" t="s">
        <v>2751</v>
      </c>
      <c r="C346" t="s">
        <v>2752</v>
      </c>
      <c r="D346" t="s">
        <v>949</v>
      </c>
      <c r="E346" s="6" t="s">
        <v>4897</v>
      </c>
      <c r="F346" s="6">
        <v>1</v>
      </c>
      <c r="G346" t="s">
        <v>2757</v>
      </c>
      <c r="H346" s="59">
        <v>7888</v>
      </c>
      <c r="I346" t="s">
        <v>4629</v>
      </c>
      <c r="J346" s="63" t="s">
        <v>5478</v>
      </c>
      <c r="K346" s="52" t="s">
        <v>5479</v>
      </c>
      <c r="L346">
        <v>5</v>
      </c>
      <c r="M346" s="59">
        <v>13409</v>
      </c>
      <c r="N346" s="59" t="s">
        <v>4611</v>
      </c>
      <c r="O346" t="s">
        <v>4632</v>
      </c>
      <c r="P346" s="60" t="str">
        <f t="shared" si="5"/>
        <v xml:space="preserve"> </v>
      </c>
    </row>
    <row r="347" spans="1:16" ht="14.25" customHeight="1" x14ac:dyDescent="0.2">
      <c r="A347" t="s">
        <v>2750</v>
      </c>
      <c r="B347" t="s">
        <v>2751</v>
      </c>
      <c r="C347" t="s">
        <v>2752</v>
      </c>
      <c r="D347" t="s">
        <v>949</v>
      </c>
      <c r="E347" s="6" t="s">
        <v>4673</v>
      </c>
      <c r="F347" s="6">
        <v>2</v>
      </c>
      <c r="G347" t="s">
        <v>2758</v>
      </c>
      <c r="H347" s="59">
        <v>13804</v>
      </c>
      <c r="I347" t="s">
        <v>4629</v>
      </c>
      <c r="J347" s="63" t="s">
        <v>5480</v>
      </c>
      <c r="K347" s="52" t="s">
        <v>5481</v>
      </c>
      <c r="L347" t="s">
        <v>137</v>
      </c>
      <c r="M347" s="59" t="s">
        <v>137</v>
      </c>
      <c r="N347" s="59" t="s">
        <v>4616</v>
      </c>
      <c r="O347" t="s">
        <v>4632</v>
      </c>
      <c r="P347" s="60" t="str">
        <f t="shared" si="5"/>
        <v xml:space="preserve"> </v>
      </c>
    </row>
    <row r="348" spans="1:16" ht="14.25" customHeight="1" x14ac:dyDescent="0.2">
      <c r="A348" t="s">
        <v>2762</v>
      </c>
      <c r="B348" t="s">
        <v>2763</v>
      </c>
      <c r="C348" t="s">
        <v>2764</v>
      </c>
      <c r="D348" t="s">
        <v>949</v>
      </c>
      <c r="E348" s="6" t="s">
        <v>4897</v>
      </c>
      <c r="F348" s="6">
        <v>1</v>
      </c>
      <c r="G348" t="s">
        <v>2769</v>
      </c>
      <c r="H348" s="59">
        <v>5916</v>
      </c>
      <c r="I348" t="s">
        <v>4776</v>
      </c>
      <c r="J348" s="63" t="s">
        <v>5482</v>
      </c>
      <c r="K348" s="52" t="s">
        <v>5482</v>
      </c>
      <c r="L348">
        <v>5</v>
      </c>
      <c r="M348" s="59">
        <v>14198</v>
      </c>
      <c r="N348" s="59" t="s">
        <v>4611</v>
      </c>
      <c r="O348" t="s">
        <v>4632</v>
      </c>
      <c r="P348" s="60" t="str">
        <f t="shared" si="5"/>
        <v xml:space="preserve"> </v>
      </c>
    </row>
    <row r="349" spans="1:16" ht="14.25" customHeight="1" x14ac:dyDescent="0.2">
      <c r="A349" t="s">
        <v>2762</v>
      </c>
      <c r="B349" t="s">
        <v>2763</v>
      </c>
      <c r="C349" t="s">
        <v>2764</v>
      </c>
      <c r="D349" t="s">
        <v>949</v>
      </c>
      <c r="E349" s="6" t="s">
        <v>4673</v>
      </c>
      <c r="F349" s="6">
        <v>2</v>
      </c>
      <c r="G349" t="s">
        <v>2770</v>
      </c>
      <c r="H349" s="59">
        <v>11449</v>
      </c>
      <c r="I349" t="s">
        <v>4629</v>
      </c>
      <c r="J349" s="63" t="s">
        <v>5483</v>
      </c>
      <c r="K349" s="52" t="s">
        <v>5484</v>
      </c>
      <c r="L349" t="s">
        <v>137</v>
      </c>
      <c r="M349" s="59" t="s">
        <v>137</v>
      </c>
      <c r="N349" s="59" t="s">
        <v>4616</v>
      </c>
      <c r="O349" t="s">
        <v>4632</v>
      </c>
      <c r="P349" s="60" t="str">
        <f t="shared" si="5"/>
        <v xml:space="preserve"> </v>
      </c>
    </row>
    <row r="350" spans="1:16" ht="14.25" customHeight="1" x14ac:dyDescent="0.2">
      <c r="A350" t="s">
        <v>2776</v>
      </c>
      <c r="B350" t="s">
        <v>2777</v>
      </c>
      <c r="C350" t="s">
        <v>2778</v>
      </c>
      <c r="D350" t="s">
        <v>949</v>
      </c>
      <c r="E350" s="6" t="s">
        <v>4897</v>
      </c>
      <c r="F350" s="6">
        <v>1</v>
      </c>
      <c r="G350" t="s">
        <v>2782</v>
      </c>
      <c r="H350" s="59">
        <v>5916</v>
      </c>
      <c r="I350" t="s">
        <v>4776</v>
      </c>
      <c r="J350" s="63" t="s">
        <v>4919</v>
      </c>
      <c r="K350" s="52" t="s">
        <v>5485</v>
      </c>
      <c r="L350">
        <v>4</v>
      </c>
      <c r="M350" s="59">
        <v>13606</v>
      </c>
      <c r="N350" s="59" t="s">
        <v>4611</v>
      </c>
      <c r="O350" t="s">
        <v>4632</v>
      </c>
      <c r="P350" s="60" t="str">
        <f t="shared" si="5"/>
        <v xml:space="preserve"> </v>
      </c>
    </row>
    <row r="351" spans="1:16" ht="14.25" customHeight="1" x14ac:dyDescent="0.2">
      <c r="A351" t="s">
        <v>2776</v>
      </c>
      <c r="B351" t="s">
        <v>2777</v>
      </c>
      <c r="C351" t="s">
        <v>2778</v>
      </c>
      <c r="D351" t="s">
        <v>949</v>
      </c>
      <c r="E351" s="6" t="s">
        <v>4877</v>
      </c>
      <c r="F351" s="6">
        <v>2</v>
      </c>
      <c r="G351" t="s">
        <v>2783</v>
      </c>
      <c r="H351" s="59">
        <v>9214</v>
      </c>
      <c r="I351" t="s">
        <v>4776</v>
      </c>
      <c r="J351" s="63" t="s">
        <v>5486</v>
      </c>
      <c r="K351" s="52" t="s">
        <v>5487</v>
      </c>
      <c r="L351" t="s">
        <v>137</v>
      </c>
      <c r="M351" s="59" t="s">
        <v>137</v>
      </c>
      <c r="N351" s="59" t="s">
        <v>4616</v>
      </c>
      <c r="O351">
        <v>2000</v>
      </c>
      <c r="P351" s="60">
        <f t="shared" si="5"/>
        <v>2.1706099413935314</v>
      </c>
    </row>
    <row r="352" spans="1:16" ht="14.25" customHeight="1" x14ac:dyDescent="0.2">
      <c r="A352" t="s">
        <v>2787</v>
      </c>
      <c r="B352" t="s">
        <v>2788</v>
      </c>
      <c r="C352" t="s">
        <v>2789</v>
      </c>
      <c r="D352" t="s">
        <v>1054</v>
      </c>
      <c r="E352" s="6" t="s">
        <v>5488</v>
      </c>
      <c r="F352" s="6">
        <v>1</v>
      </c>
      <c r="G352" t="s">
        <v>2794</v>
      </c>
      <c r="H352" s="59">
        <v>6200</v>
      </c>
      <c r="I352" t="s">
        <v>4629</v>
      </c>
      <c r="J352" s="63" t="s">
        <v>5489</v>
      </c>
      <c r="K352" s="52" t="s">
        <v>5490</v>
      </c>
      <c r="L352">
        <v>6</v>
      </c>
      <c r="M352" s="59">
        <v>8494</v>
      </c>
      <c r="N352" s="59" t="s">
        <v>4611</v>
      </c>
      <c r="O352">
        <v>2700</v>
      </c>
      <c r="P352" s="60">
        <f t="shared" si="5"/>
        <v>4.354838709677419</v>
      </c>
    </row>
    <row r="353" spans="1:16" ht="14.25" customHeight="1" x14ac:dyDescent="0.2">
      <c r="A353" t="s">
        <v>2787</v>
      </c>
      <c r="B353" t="s">
        <v>2788</v>
      </c>
      <c r="C353" t="s">
        <v>2789</v>
      </c>
      <c r="D353" t="s">
        <v>1054</v>
      </c>
      <c r="E353" s="6" t="s">
        <v>5488</v>
      </c>
      <c r="F353" s="6">
        <v>2</v>
      </c>
      <c r="G353" t="s">
        <v>2795</v>
      </c>
      <c r="H353" s="59">
        <v>6200</v>
      </c>
      <c r="I353" t="s">
        <v>4629</v>
      </c>
      <c r="J353" s="63" t="s">
        <v>5491</v>
      </c>
      <c r="K353" s="52" t="s">
        <v>5492</v>
      </c>
      <c r="L353" t="s">
        <v>137</v>
      </c>
      <c r="M353" s="59" t="s">
        <v>137</v>
      </c>
      <c r="N353" s="59" t="s">
        <v>4616</v>
      </c>
      <c r="O353">
        <v>2500</v>
      </c>
      <c r="P353" s="60">
        <f t="shared" si="5"/>
        <v>4.032258064516129</v>
      </c>
    </row>
    <row r="354" spans="1:16" ht="14.25" customHeight="1" x14ac:dyDescent="0.2">
      <c r="A354" t="s">
        <v>2803</v>
      </c>
      <c r="B354" t="s">
        <v>2804</v>
      </c>
      <c r="C354" t="s">
        <v>2805</v>
      </c>
      <c r="D354" t="s">
        <v>1054</v>
      </c>
      <c r="E354" s="6" t="s">
        <v>5202</v>
      </c>
      <c r="F354" s="6">
        <v>1</v>
      </c>
      <c r="G354" t="s">
        <v>2810</v>
      </c>
      <c r="H354" s="59">
        <v>4080</v>
      </c>
      <c r="I354" t="s">
        <v>4730</v>
      </c>
      <c r="J354" s="63" t="s">
        <v>5493</v>
      </c>
      <c r="K354" s="52" t="s">
        <v>5494</v>
      </c>
      <c r="L354">
        <v>7</v>
      </c>
      <c r="M354" s="59">
        <v>5100</v>
      </c>
      <c r="N354" s="59" t="s">
        <v>4611</v>
      </c>
      <c r="O354">
        <f>5*550</f>
        <v>2750</v>
      </c>
      <c r="P354" s="60">
        <f t="shared" si="5"/>
        <v>6.7401960784313726</v>
      </c>
    </row>
    <row r="355" spans="1:16" ht="14.25" customHeight="1" x14ac:dyDescent="0.2">
      <c r="A355" t="s">
        <v>2803</v>
      </c>
      <c r="B355" t="s">
        <v>2804</v>
      </c>
      <c r="C355" t="s">
        <v>2805</v>
      </c>
      <c r="D355" t="s">
        <v>1054</v>
      </c>
      <c r="E355" s="6" t="s">
        <v>5495</v>
      </c>
      <c r="F355" s="6">
        <v>2</v>
      </c>
      <c r="G355" t="s">
        <v>2811</v>
      </c>
      <c r="H355" s="59">
        <v>4860</v>
      </c>
      <c r="I355" t="s">
        <v>4608</v>
      </c>
      <c r="J355" s="63" t="s">
        <v>5496</v>
      </c>
      <c r="K355" s="52" t="s">
        <v>5497</v>
      </c>
      <c r="L355" t="s">
        <v>137</v>
      </c>
      <c r="M355" s="59" t="s">
        <v>137</v>
      </c>
      <c r="N355" s="59" t="s">
        <v>4616</v>
      </c>
      <c r="O355" t="s">
        <v>4632</v>
      </c>
      <c r="P355" s="60" t="str">
        <f t="shared" si="5"/>
        <v xml:space="preserve"> </v>
      </c>
    </row>
    <row r="356" spans="1:16" ht="14.25" customHeight="1" x14ac:dyDescent="0.2">
      <c r="A356" t="s">
        <v>2818</v>
      </c>
      <c r="B356" t="s">
        <v>2819</v>
      </c>
      <c r="C356" t="s">
        <v>2820</v>
      </c>
      <c r="D356" t="s">
        <v>1054</v>
      </c>
      <c r="E356" s="6" t="s">
        <v>5217</v>
      </c>
      <c r="F356" s="6">
        <v>1</v>
      </c>
      <c r="G356" t="s">
        <v>2825</v>
      </c>
      <c r="H356" s="59">
        <v>3060</v>
      </c>
      <c r="I356" t="s">
        <v>4776</v>
      </c>
      <c r="J356" s="63" t="s">
        <v>5498</v>
      </c>
      <c r="K356" s="52" t="s">
        <v>5499</v>
      </c>
      <c r="L356">
        <v>6</v>
      </c>
      <c r="M356" s="59">
        <v>9298</v>
      </c>
      <c r="N356" s="59" t="s">
        <v>4611</v>
      </c>
      <c r="O356">
        <v>2500</v>
      </c>
      <c r="P356" s="60">
        <f t="shared" si="5"/>
        <v>8.1699346405228752</v>
      </c>
    </row>
    <row r="357" spans="1:16" ht="14.25" customHeight="1" x14ac:dyDescent="0.2">
      <c r="A357" t="s">
        <v>2818</v>
      </c>
      <c r="B357" t="s">
        <v>2819</v>
      </c>
      <c r="C357" t="s">
        <v>2820</v>
      </c>
      <c r="D357" t="s">
        <v>1054</v>
      </c>
      <c r="E357" s="6" t="s">
        <v>5500</v>
      </c>
      <c r="F357" s="6">
        <v>2</v>
      </c>
      <c r="G357" t="s">
        <v>2826</v>
      </c>
      <c r="H357" s="59">
        <v>6120</v>
      </c>
      <c r="I357" t="s">
        <v>4613</v>
      </c>
      <c r="J357" s="63" t="s">
        <v>5501</v>
      </c>
      <c r="K357" s="52" t="s">
        <v>5502</v>
      </c>
      <c r="L357" t="s">
        <v>137</v>
      </c>
      <c r="M357" s="59" t="s">
        <v>137</v>
      </c>
      <c r="N357" s="59" t="s">
        <v>4616</v>
      </c>
      <c r="O357" t="s">
        <v>4632</v>
      </c>
      <c r="P357" s="60" t="str">
        <f t="shared" si="5"/>
        <v xml:space="preserve"> </v>
      </c>
    </row>
    <row r="358" spans="1:16" ht="14.25" customHeight="1" x14ac:dyDescent="0.2">
      <c r="A358" t="s">
        <v>2830</v>
      </c>
      <c r="B358" t="s">
        <v>2831</v>
      </c>
      <c r="C358" t="s">
        <v>2832</v>
      </c>
      <c r="D358" t="s">
        <v>123</v>
      </c>
      <c r="E358" s="6" t="s">
        <v>4633</v>
      </c>
      <c r="F358" s="6">
        <v>1</v>
      </c>
      <c r="G358" t="s">
        <v>2838</v>
      </c>
      <c r="H358" s="59">
        <v>3150</v>
      </c>
      <c r="I358" t="s">
        <v>4618</v>
      </c>
      <c r="J358" s="63" t="s">
        <v>5503</v>
      </c>
      <c r="K358" s="52" t="s">
        <v>5504</v>
      </c>
      <c r="L358">
        <v>6</v>
      </c>
      <c r="M358" s="59">
        <v>7654</v>
      </c>
      <c r="N358" s="59" t="s">
        <v>4611</v>
      </c>
      <c r="O358">
        <v>2000</v>
      </c>
      <c r="P358" s="60">
        <f t="shared" si="5"/>
        <v>6.3492063492063489</v>
      </c>
    </row>
    <row r="359" spans="1:16" ht="14.25" customHeight="1" x14ac:dyDescent="0.2">
      <c r="A359" t="s">
        <v>2830</v>
      </c>
      <c r="B359" t="s">
        <v>2831</v>
      </c>
      <c r="C359" t="s">
        <v>2832</v>
      </c>
      <c r="D359" t="s">
        <v>123</v>
      </c>
      <c r="E359" s="6" t="s">
        <v>4659</v>
      </c>
      <c r="F359" s="6">
        <v>2</v>
      </c>
      <c r="G359" t="s">
        <v>2839</v>
      </c>
      <c r="H359" s="59">
        <v>6880</v>
      </c>
      <c r="I359" t="s">
        <v>4618</v>
      </c>
      <c r="J359" s="63" t="s">
        <v>5505</v>
      </c>
      <c r="K359" s="52" t="s">
        <v>5506</v>
      </c>
      <c r="L359" t="s">
        <v>137</v>
      </c>
      <c r="M359" s="59" t="s">
        <v>137</v>
      </c>
      <c r="N359" s="59" t="s">
        <v>4616</v>
      </c>
      <c r="O359">
        <v>2800</v>
      </c>
      <c r="P359" s="60">
        <f t="shared" si="5"/>
        <v>4.0697674418604652</v>
      </c>
    </row>
    <row r="360" spans="1:16" ht="14.25" customHeight="1" x14ac:dyDescent="0.2">
      <c r="A360" t="s">
        <v>2849</v>
      </c>
      <c r="B360" t="s">
        <v>2850</v>
      </c>
      <c r="C360" t="s">
        <v>2851</v>
      </c>
      <c r="D360" t="s">
        <v>123</v>
      </c>
      <c r="E360" s="6" t="s">
        <v>5507</v>
      </c>
      <c r="F360" s="6">
        <v>1</v>
      </c>
      <c r="G360" t="s">
        <v>2856</v>
      </c>
      <c r="H360" s="59">
        <v>2800</v>
      </c>
      <c r="I360" t="s">
        <v>5508</v>
      </c>
      <c r="J360" s="63" t="s">
        <v>5509</v>
      </c>
      <c r="K360" s="52" t="s">
        <v>5510</v>
      </c>
      <c r="L360">
        <v>5</v>
      </c>
      <c r="M360" s="59">
        <v>7280</v>
      </c>
      <c r="N360" s="59" t="s">
        <v>4611</v>
      </c>
      <c r="O360">
        <f>3*700</f>
        <v>2100</v>
      </c>
      <c r="P360" s="60">
        <f t="shared" si="5"/>
        <v>7.5</v>
      </c>
    </row>
    <row r="361" spans="1:16" ht="14.25" customHeight="1" x14ac:dyDescent="0.2">
      <c r="A361" t="s">
        <v>2849</v>
      </c>
      <c r="B361" t="s">
        <v>2850</v>
      </c>
      <c r="C361" t="s">
        <v>2851</v>
      </c>
      <c r="D361" t="s">
        <v>123</v>
      </c>
      <c r="E361" s="6" t="s">
        <v>5511</v>
      </c>
      <c r="F361" s="6">
        <v>2</v>
      </c>
      <c r="G361" t="s">
        <v>2857</v>
      </c>
      <c r="H361" s="59">
        <v>3800</v>
      </c>
      <c r="I361" t="s">
        <v>4618</v>
      </c>
      <c r="J361" s="63" t="s">
        <v>5512</v>
      </c>
      <c r="K361" s="52" t="s">
        <v>5513</v>
      </c>
      <c r="L361" t="s">
        <v>137</v>
      </c>
      <c r="M361" s="59" t="s">
        <v>137</v>
      </c>
      <c r="N361" s="59" t="s">
        <v>4616</v>
      </c>
      <c r="O361" t="s">
        <v>4632</v>
      </c>
      <c r="P361" s="60" t="str">
        <f t="shared" si="5"/>
        <v xml:space="preserve"> </v>
      </c>
    </row>
    <row r="362" spans="1:16" ht="14.25" customHeight="1" x14ac:dyDescent="0.2">
      <c r="A362" t="s">
        <v>2866</v>
      </c>
      <c r="B362" t="s">
        <v>2867</v>
      </c>
      <c r="C362" t="s">
        <v>2868</v>
      </c>
      <c r="D362" t="s">
        <v>123</v>
      </c>
      <c r="E362" s="6" t="s">
        <v>4941</v>
      </c>
      <c r="F362" s="6">
        <v>1</v>
      </c>
      <c r="G362" t="s">
        <v>2873</v>
      </c>
      <c r="H362" s="59">
        <v>3817</v>
      </c>
      <c r="I362" t="s">
        <v>4608</v>
      </c>
      <c r="J362" s="63" t="s">
        <v>5514</v>
      </c>
      <c r="K362" s="52" t="s">
        <v>5515</v>
      </c>
      <c r="L362">
        <v>7</v>
      </c>
      <c r="M362" s="59">
        <v>16794</v>
      </c>
      <c r="N362" s="59" t="s">
        <v>4611</v>
      </c>
      <c r="O362">
        <v>2000</v>
      </c>
      <c r="P362" s="60">
        <f t="shared" si="5"/>
        <v>5.2397170552790149</v>
      </c>
    </row>
    <row r="363" spans="1:16" ht="14.25" customHeight="1" x14ac:dyDescent="0.2">
      <c r="A363" t="s">
        <v>2866</v>
      </c>
      <c r="B363" t="s">
        <v>2867</v>
      </c>
      <c r="C363" t="s">
        <v>2868</v>
      </c>
      <c r="D363" t="s">
        <v>123</v>
      </c>
      <c r="E363" s="6" t="s">
        <v>5516</v>
      </c>
      <c r="F363" s="6">
        <v>2</v>
      </c>
      <c r="G363" t="s">
        <v>2874</v>
      </c>
      <c r="H363" s="59">
        <v>999999</v>
      </c>
      <c r="I363" t="s">
        <v>4693</v>
      </c>
      <c r="J363" s="63" t="s">
        <v>5517</v>
      </c>
      <c r="K363" s="52" t="s">
        <v>5518</v>
      </c>
      <c r="L363" t="s">
        <v>137</v>
      </c>
      <c r="M363" s="59" t="s">
        <v>137</v>
      </c>
      <c r="N363" s="59" t="s">
        <v>4616</v>
      </c>
      <c r="O363">
        <f>5000+450</f>
        <v>5450</v>
      </c>
      <c r="P363" s="62">
        <f t="shared" si="5"/>
        <v>5.4500054500054504E-2</v>
      </c>
    </row>
    <row r="364" spans="1:16" ht="14.25" customHeight="1" x14ac:dyDescent="0.2">
      <c r="A364" t="s">
        <v>2886</v>
      </c>
      <c r="B364" t="s">
        <v>2887</v>
      </c>
      <c r="C364" t="s">
        <v>2888</v>
      </c>
      <c r="D364" t="s">
        <v>123</v>
      </c>
      <c r="E364" s="6" t="s">
        <v>5519</v>
      </c>
      <c r="F364" s="6">
        <v>1</v>
      </c>
      <c r="G364" t="s">
        <v>2893</v>
      </c>
      <c r="H364" s="59">
        <v>3500</v>
      </c>
      <c r="I364" t="s">
        <v>4608</v>
      </c>
      <c r="J364" s="63" t="s">
        <v>5520</v>
      </c>
      <c r="K364" s="52" t="s">
        <v>5521</v>
      </c>
      <c r="L364" t="s">
        <v>137</v>
      </c>
      <c r="M364" s="59" t="s">
        <v>137</v>
      </c>
      <c r="N364" s="59" t="s">
        <v>4616</v>
      </c>
      <c r="O364">
        <v>1500</v>
      </c>
      <c r="P364" s="60">
        <f t="shared" si="5"/>
        <v>4.2857142857142856</v>
      </c>
    </row>
    <row r="365" spans="1:16" ht="14.25" customHeight="1" x14ac:dyDescent="0.2">
      <c r="A365" t="s">
        <v>2886</v>
      </c>
      <c r="B365" t="s">
        <v>2887</v>
      </c>
      <c r="C365" t="s">
        <v>2888</v>
      </c>
      <c r="D365" t="s">
        <v>123</v>
      </c>
      <c r="E365" s="6" t="s">
        <v>5522</v>
      </c>
      <c r="F365" s="6">
        <v>2</v>
      </c>
      <c r="G365" t="s">
        <v>2894</v>
      </c>
      <c r="H365" s="59">
        <v>4983</v>
      </c>
      <c r="I365" t="s">
        <v>4641</v>
      </c>
      <c r="J365" s="63" t="s">
        <v>5523</v>
      </c>
      <c r="K365" s="52" t="s">
        <v>5524</v>
      </c>
      <c r="L365" t="s">
        <v>137</v>
      </c>
      <c r="M365" s="59" t="s">
        <v>137</v>
      </c>
      <c r="N365" s="59" t="s">
        <v>4616</v>
      </c>
      <c r="O365">
        <v>3000</v>
      </c>
      <c r="P365" s="60">
        <f t="shared" si="5"/>
        <v>6.0204695966285371</v>
      </c>
    </row>
    <row r="366" spans="1:16" ht="14.25" customHeight="1" x14ac:dyDescent="0.2">
      <c r="A366" t="s">
        <v>2899</v>
      </c>
      <c r="B366" t="s">
        <v>2900</v>
      </c>
      <c r="C366" t="s">
        <v>2901</v>
      </c>
      <c r="D366" t="s">
        <v>123</v>
      </c>
      <c r="E366" s="6" t="s">
        <v>4633</v>
      </c>
      <c r="F366" s="6">
        <v>1</v>
      </c>
      <c r="G366" t="s">
        <v>2906</v>
      </c>
      <c r="H366" s="59">
        <v>2351</v>
      </c>
      <c r="I366" t="s">
        <v>4668</v>
      </c>
      <c r="J366" s="63" t="s">
        <v>5525</v>
      </c>
      <c r="K366" s="52" t="s">
        <v>5526</v>
      </c>
      <c r="L366">
        <v>5</v>
      </c>
      <c r="M366" s="59">
        <v>4702</v>
      </c>
      <c r="N366" s="59" t="s">
        <v>4611</v>
      </c>
      <c r="O366">
        <v>2000</v>
      </c>
      <c r="P366" s="62">
        <f t="shared" si="5"/>
        <v>8.5070182900893236</v>
      </c>
    </row>
    <row r="367" spans="1:16" ht="14.25" customHeight="1" x14ac:dyDescent="0.2">
      <c r="A367" t="s">
        <v>2899</v>
      </c>
      <c r="B367" t="s">
        <v>2900</v>
      </c>
      <c r="C367" t="s">
        <v>2901</v>
      </c>
      <c r="D367" t="s">
        <v>123</v>
      </c>
      <c r="E367" s="6" t="s">
        <v>4628</v>
      </c>
      <c r="F367" s="6">
        <v>2</v>
      </c>
      <c r="G367" t="s">
        <v>2907</v>
      </c>
      <c r="H367" s="59">
        <v>160000</v>
      </c>
      <c r="I367" t="s">
        <v>4629</v>
      </c>
      <c r="J367" s="63" t="s">
        <v>5527</v>
      </c>
      <c r="K367" s="52" t="s">
        <v>5527</v>
      </c>
      <c r="L367" t="s">
        <v>137</v>
      </c>
      <c r="M367" s="59" t="s">
        <v>137</v>
      </c>
      <c r="N367" s="59" t="s">
        <v>4616</v>
      </c>
      <c r="O367" t="s">
        <v>4632</v>
      </c>
      <c r="P367" s="60" t="str">
        <f t="shared" si="5"/>
        <v xml:space="preserve"> </v>
      </c>
    </row>
    <row r="368" spans="1:16" ht="14.25" customHeight="1" x14ac:dyDescent="0.2">
      <c r="A368" t="s">
        <v>2915</v>
      </c>
      <c r="B368" t="s">
        <v>2916</v>
      </c>
      <c r="C368" t="s">
        <v>2917</v>
      </c>
      <c r="D368" t="s">
        <v>123</v>
      </c>
      <c r="E368" s="6" t="s">
        <v>4958</v>
      </c>
      <c r="F368" s="6">
        <v>1</v>
      </c>
      <c r="G368" t="s">
        <v>2922</v>
      </c>
      <c r="H368" s="59">
        <v>2503</v>
      </c>
      <c r="I368" t="s">
        <v>4660</v>
      </c>
      <c r="J368" s="63" t="s">
        <v>5528</v>
      </c>
      <c r="K368" s="52" t="s">
        <v>5529</v>
      </c>
      <c r="L368" t="s">
        <v>137</v>
      </c>
      <c r="M368" s="59" t="s">
        <v>137</v>
      </c>
      <c r="N368" s="59" t="s">
        <v>4616</v>
      </c>
      <c r="O368">
        <v>2000</v>
      </c>
      <c r="P368" s="60">
        <f t="shared" si="5"/>
        <v>7.9904115061925687</v>
      </c>
    </row>
    <row r="369" spans="1:16" ht="14.25" customHeight="1" x14ac:dyDescent="0.2">
      <c r="A369" t="s">
        <v>2915</v>
      </c>
      <c r="B369" t="s">
        <v>2916</v>
      </c>
      <c r="C369" t="s">
        <v>2917</v>
      </c>
      <c r="D369" t="s">
        <v>123</v>
      </c>
      <c r="E369" s="6" t="s">
        <v>4897</v>
      </c>
      <c r="F369" s="6">
        <v>2</v>
      </c>
      <c r="G369" t="s">
        <v>2923</v>
      </c>
      <c r="H369" s="59">
        <v>6424</v>
      </c>
      <c r="I369" t="s">
        <v>4629</v>
      </c>
      <c r="J369" s="63" t="s">
        <v>5530</v>
      </c>
      <c r="K369" s="52" t="s">
        <v>5531</v>
      </c>
      <c r="L369">
        <v>5</v>
      </c>
      <c r="M369" s="59">
        <v>11563</v>
      </c>
      <c r="N369" s="59" t="s">
        <v>4611</v>
      </c>
      <c r="O369" t="s">
        <v>4632</v>
      </c>
      <c r="P369" s="60" t="str">
        <f t="shared" si="5"/>
        <v xml:space="preserve"> </v>
      </c>
    </row>
    <row r="370" spans="1:16" ht="14.25" customHeight="1" x14ac:dyDescent="0.2">
      <c r="A370" t="s">
        <v>2929</v>
      </c>
      <c r="B370" t="s">
        <v>2930</v>
      </c>
      <c r="C370" t="s">
        <v>2931</v>
      </c>
      <c r="D370" t="s">
        <v>123</v>
      </c>
      <c r="E370" s="6" t="s">
        <v>4633</v>
      </c>
      <c r="F370" s="6">
        <v>1</v>
      </c>
      <c r="G370" t="s">
        <v>2936</v>
      </c>
      <c r="H370" s="59">
        <v>2443</v>
      </c>
      <c r="I370" t="s">
        <v>4700</v>
      </c>
      <c r="J370" s="63" t="s">
        <v>5532</v>
      </c>
      <c r="K370" s="52" t="s">
        <v>5533</v>
      </c>
      <c r="L370">
        <v>3</v>
      </c>
      <c r="M370" s="59">
        <v>6840</v>
      </c>
      <c r="N370" s="59" t="s">
        <v>4611</v>
      </c>
      <c r="O370">
        <v>1800</v>
      </c>
      <c r="P370" s="60">
        <f t="shared" si="5"/>
        <v>7.3679901760130981</v>
      </c>
    </row>
    <row r="371" spans="1:16" ht="14.25" customHeight="1" x14ac:dyDescent="0.2">
      <c r="A371" t="s">
        <v>2929</v>
      </c>
      <c r="B371" t="s">
        <v>2930</v>
      </c>
      <c r="C371" t="s">
        <v>2931</v>
      </c>
      <c r="D371" t="s">
        <v>123</v>
      </c>
      <c r="E371" s="6" t="s">
        <v>4659</v>
      </c>
      <c r="F371" s="6">
        <v>2</v>
      </c>
      <c r="G371" t="s">
        <v>2937</v>
      </c>
      <c r="H371" s="59">
        <v>4817</v>
      </c>
      <c r="I371" t="s">
        <v>4660</v>
      </c>
      <c r="J371" s="63" t="s">
        <v>5534</v>
      </c>
      <c r="K371" s="52" t="s">
        <v>5535</v>
      </c>
      <c r="L371" t="s">
        <v>137</v>
      </c>
      <c r="M371" s="59" t="s">
        <v>137</v>
      </c>
      <c r="N371" s="59" t="s">
        <v>4616</v>
      </c>
      <c r="O371">
        <v>2000</v>
      </c>
      <c r="P371" s="60">
        <f t="shared" si="5"/>
        <v>4.1519618019514217</v>
      </c>
    </row>
    <row r="372" spans="1:16" ht="14.25" customHeight="1" x14ac:dyDescent="0.2">
      <c r="A372" t="s">
        <v>2945</v>
      </c>
      <c r="B372" t="s">
        <v>2946</v>
      </c>
      <c r="C372" t="s">
        <v>2947</v>
      </c>
      <c r="D372" t="s">
        <v>330</v>
      </c>
      <c r="E372" s="6" t="s">
        <v>4692</v>
      </c>
      <c r="F372" s="6">
        <v>1</v>
      </c>
      <c r="G372" t="s">
        <v>2952</v>
      </c>
      <c r="H372" s="59">
        <v>2640</v>
      </c>
      <c r="I372" t="s">
        <v>4723</v>
      </c>
      <c r="J372" s="63" t="s">
        <v>5536</v>
      </c>
      <c r="K372" s="52" t="s">
        <v>5537</v>
      </c>
      <c r="L372" t="s">
        <v>137</v>
      </c>
      <c r="M372" s="59" t="s">
        <v>137</v>
      </c>
      <c r="N372" s="59" t="s">
        <v>4616</v>
      </c>
      <c r="O372">
        <v>1500</v>
      </c>
      <c r="P372" s="60">
        <f t="shared" si="5"/>
        <v>5.6818181818181825</v>
      </c>
    </row>
    <row r="373" spans="1:16" ht="14.25" customHeight="1" x14ac:dyDescent="0.2">
      <c r="A373" t="s">
        <v>2945</v>
      </c>
      <c r="B373" t="s">
        <v>2946</v>
      </c>
      <c r="C373" t="s">
        <v>2947</v>
      </c>
      <c r="D373" t="s">
        <v>330</v>
      </c>
      <c r="E373" s="6" t="s">
        <v>4814</v>
      </c>
      <c r="F373" s="6">
        <v>2</v>
      </c>
      <c r="G373" t="s">
        <v>2953</v>
      </c>
      <c r="H373" s="59">
        <v>10560</v>
      </c>
      <c r="I373" t="s">
        <v>4842</v>
      </c>
      <c r="J373" s="63" t="s">
        <v>5538</v>
      </c>
      <c r="K373" s="52" t="s">
        <v>5538</v>
      </c>
      <c r="L373" t="s">
        <v>137</v>
      </c>
      <c r="M373" s="59" t="s">
        <v>137</v>
      </c>
      <c r="N373" s="59" t="s">
        <v>4616</v>
      </c>
      <c r="O373" t="s">
        <v>4632</v>
      </c>
      <c r="P373" s="60" t="str">
        <f t="shared" si="5"/>
        <v xml:space="preserve"> </v>
      </c>
    </row>
    <row r="374" spans="1:16" ht="14.25" customHeight="1" x14ac:dyDescent="0.2">
      <c r="A374" t="s">
        <v>2963</v>
      </c>
      <c r="B374" t="s">
        <v>2964</v>
      </c>
      <c r="C374" t="s">
        <v>2965</v>
      </c>
      <c r="D374" t="s">
        <v>330</v>
      </c>
      <c r="E374" s="6" t="s">
        <v>5539</v>
      </c>
      <c r="F374" s="6">
        <v>1</v>
      </c>
      <c r="G374" t="s">
        <v>2970</v>
      </c>
      <c r="H374" s="59">
        <v>2392</v>
      </c>
      <c r="I374" t="s">
        <v>4618</v>
      </c>
      <c r="J374" s="63" t="s">
        <v>5540</v>
      </c>
      <c r="K374" s="52" t="s">
        <v>5541</v>
      </c>
      <c r="L374" t="s">
        <v>137</v>
      </c>
      <c r="M374" s="59" t="s">
        <v>137</v>
      </c>
      <c r="N374" s="59" t="s">
        <v>4616</v>
      </c>
      <c r="O374">
        <v>2200</v>
      </c>
      <c r="P374" s="60">
        <f t="shared" si="5"/>
        <v>9.1973244147157196</v>
      </c>
    </row>
    <row r="375" spans="1:16" ht="14.25" customHeight="1" x14ac:dyDescent="0.2">
      <c r="A375" t="s">
        <v>2963</v>
      </c>
      <c r="B375" t="s">
        <v>2964</v>
      </c>
      <c r="C375" t="s">
        <v>2965</v>
      </c>
      <c r="D375" t="s">
        <v>330</v>
      </c>
      <c r="E375" s="6" t="s">
        <v>4729</v>
      </c>
      <c r="F375" s="6">
        <v>2</v>
      </c>
      <c r="G375" t="s">
        <v>2971</v>
      </c>
      <c r="H375" s="59">
        <v>5346</v>
      </c>
      <c r="I375" t="s">
        <v>4716</v>
      </c>
      <c r="J375" s="63" t="s">
        <v>5542</v>
      </c>
      <c r="K375" s="52" t="s">
        <v>5543</v>
      </c>
      <c r="L375" t="s">
        <v>137</v>
      </c>
      <c r="M375" s="59" t="s">
        <v>137</v>
      </c>
      <c r="N375" s="59" t="s">
        <v>4616</v>
      </c>
      <c r="O375">
        <v>3600</v>
      </c>
      <c r="P375" s="60">
        <f t="shared" si="5"/>
        <v>6.7340067340067344</v>
      </c>
    </row>
    <row r="376" spans="1:16" ht="14.25" customHeight="1" x14ac:dyDescent="0.2">
      <c r="A376" t="s">
        <v>2981</v>
      </c>
      <c r="B376" t="s">
        <v>2982</v>
      </c>
      <c r="C376" t="s">
        <v>2983</v>
      </c>
      <c r="D376" t="s">
        <v>330</v>
      </c>
      <c r="E376" s="6" t="s">
        <v>5544</v>
      </c>
      <c r="F376" s="6">
        <v>1</v>
      </c>
      <c r="G376" t="s">
        <v>2988</v>
      </c>
      <c r="H376" s="59">
        <v>2870</v>
      </c>
      <c r="I376" t="s">
        <v>4618</v>
      </c>
      <c r="J376" s="63" t="s">
        <v>5545</v>
      </c>
      <c r="K376" s="52" t="s">
        <v>5546</v>
      </c>
      <c r="L376">
        <v>6</v>
      </c>
      <c r="M376" s="59">
        <v>11193</v>
      </c>
      <c r="N376" s="59" t="s">
        <v>4611</v>
      </c>
      <c r="O376">
        <v>2200</v>
      </c>
      <c r="P376" s="60">
        <f t="shared" si="5"/>
        <v>7.6655052264808363</v>
      </c>
    </row>
    <row r="377" spans="1:16" ht="14.25" customHeight="1" x14ac:dyDescent="0.2">
      <c r="A377" t="s">
        <v>2981</v>
      </c>
      <c r="B377" t="s">
        <v>2982</v>
      </c>
      <c r="C377" t="s">
        <v>2983</v>
      </c>
      <c r="D377" t="s">
        <v>330</v>
      </c>
      <c r="E377" s="6" t="s">
        <v>4696</v>
      </c>
      <c r="F377" s="6">
        <v>2</v>
      </c>
      <c r="G377" t="s">
        <v>2989</v>
      </c>
      <c r="H377" s="59">
        <v>3899</v>
      </c>
      <c r="I377" t="s">
        <v>4629</v>
      </c>
      <c r="J377" s="63" t="s">
        <v>5547</v>
      </c>
      <c r="K377" s="52" t="s">
        <v>5548</v>
      </c>
      <c r="L377" t="s">
        <v>137</v>
      </c>
      <c r="M377" s="59" t="s">
        <v>137</v>
      </c>
      <c r="N377" s="59" t="s">
        <v>4616</v>
      </c>
      <c r="O377" t="s">
        <v>4632</v>
      </c>
      <c r="P377" s="60" t="str">
        <f t="shared" si="5"/>
        <v xml:space="preserve"> </v>
      </c>
    </row>
    <row r="378" spans="1:16" ht="14.25" customHeight="1" x14ac:dyDescent="0.2">
      <c r="A378" t="s">
        <v>2996</v>
      </c>
      <c r="B378" t="s">
        <v>2997</v>
      </c>
      <c r="C378" t="s">
        <v>2998</v>
      </c>
      <c r="D378" t="s">
        <v>330</v>
      </c>
      <c r="E378" s="6" t="s">
        <v>5549</v>
      </c>
      <c r="F378" s="6">
        <v>1</v>
      </c>
      <c r="G378" t="s">
        <v>3003</v>
      </c>
      <c r="H378" s="59">
        <v>3080</v>
      </c>
      <c r="I378" t="s">
        <v>5550</v>
      </c>
      <c r="J378" s="63" t="s">
        <v>5551</v>
      </c>
      <c r="K378" s="52" t="s">
        <v>5552</v>
      </c>
      <c r="L378">
        <v>4</v>
      </c>
      <c r="M378" s="59">
        <v>8932</v>
      </c>
      <c r="N378" s="59" t="s">
        <v>4611</v>
      </c>
      <c r="O378">
        <v>1800</v>
      </c>
      <c r="P378" s="60">
        <f t="shared" si="5"/>
        <v>5.8441558441558437</v>
      </c>
    </row>
    <row r="379" spans="1:16" ht="14.25" customHeight="1" x14ac:dyDescent="0.2">
      <c r="A379" t="s">
        <v>2996</v>
      </c>
      <c r="B379" t="s">
        <v>2997</v>
      </c>
      <c r="C379" t="s">
        <v>2998</v>
      </c>
      <c r="D379" t="s">
        <v>330</v>
      </c>
      <c r="E379" s="6" t="s">
        <v>5389</v>
      </c>
      <c r="F379" s="6">
        <v>2</v>
      </c>
      <c r="G379" t="s">
        <v>3004</v>
      </c>
      <c r="H379" s="59">
        <v>5000</v>
      </c>
      <c r="I379" t="s">
        <v>4629</v>
      </c>
      <c r="J379" s="63" t="s">
        <v>5553</v>
      </c>
      <c r="K379" s="52" t="s">
        <v>5554</v>
      </c>
      <c r="L379" t="s">
        <v>137</v>
      </c>
      <c r="M379" s="59" t="s">
        <v>137</v>
      </c>
      <c r="N379" s="59" t="s">
        <v>4616</v>
      </c>
      <c r="O379" t="s">
        <v>4632</v>
      </c>
      <c r="P379" s="60" t="str">
        <f t="shared" si="5"/>
        <v xml:space="preserve"> </v>
      </c>
    </row>
    <row r="380" spans="1:16" ht="14.25" customHeight="1" x14ac:dyDescent="0.2">
      <c r="A380" t="s">
        <v>3012</v>
      </c>
      <c r="B380" t="s">
        <v>3013</v>
      </c>
      <c r="C380" t="s">
        <v>3014</v>
      </c>
      <c r="D380" t="s">
        <v>330</v>
      </c>
      <c r="E380" s="6" t="s">
        <v>4659</v>
      </c>
      <c r="F380" s="6">
        <v>1</v>
      </c>
      <c r="G380" t="s">
        <v>3019</v>
      </c>
      <c r="H380" s="59">
        <v>2840</v>
      </c>
      <c r="I380" t="s">
        <v>4608</v>
      </c>
      <c r="J380" s="63" t="s">
        <v>5555</v>
      </c>
      <c r="K380" s="52" t="s">
        <v>5556</v>
      </c>
      <c r="L380" t="s">
        <v>137</v>
      </c>
      <c r="M380" s="59" t="s">
        <v>137</v>
      </c>
      <c r="N380" s="59" t="s">
        <v>4616</v>
      </c>
      <c r="O380">
        <v>2000</v>
      </c>
      <c r="P380" s="60">
        <f t="shared" si="5"/>
        <v>7.0422535211267601</v>
      </c>
    </row>
    <row r="381" spans="1:16" ht="14.25" customHeight="1" x14ac:dyDescent="0.2">
      <c r="A381" t="s">
        <v>3012</v>
      </c>
      <c r="B381" t="s">
        <v>3013</v>
      </c>
      <c r="C381" t="s">
        <v>3014</v>
      </c>
      <c r="D381" t="s">
        <v>330</v>
      </c>
      <c r="E381" s="6" t="s">
        <v>4628</v>
      </c>
      <c r="F381" s="6">
        <v>2</v>
      </c>
      <c r="G381" t="s">
        <v>3020</v>
      </c>
      <c r="H381" s="59">
        <v>7634</v>
      </c>
      <c r="I381" t="s">
        <v>4629</v>
      </c>
      <c r="J381" s="63" t="s">
        <v>4663</v>
      </c>
      <c r="K381" s="52" t="s">
        <v>5557</v>
      </c>
      <c r="L381" t="s">
        <v>137</v>
      </c>
      <c r="M381" s="59" t="s">
        <v>137</v>
      </c>
      <c r="N381" s="59" t="s">
        <v>4616</v>
      </c>
      <c r="O381" t="s">
        <v>4632</v>
      </c>
      <c r="P381" s="60" t="str">
        <f t="shared" si="5"/>
        <v xml:space="preserve"> </v>
      </c>
    </row>
    <row r="382" spans="1:16" ht="14.25" customHeight="1" x14ac:dyDescent="0.2">
      <c r="A382" t="s">
        <v>3028</v>
      </c>
      <c r="B382" t="s">
        <v>3029</v>
      </c>
      <c r="C382" t="s">
        <v>3030</v>
      </c>
      <c r="D382" t="s">
        <v>330</v>
      </c>
      <c r="E382" s="6" t="s">
        <v>4958</v>
      </c>
      <c r="F382" s="6">
        <v>1</v>
      </c>
      <c r="G382" t="s">
        <v>3035</v>
      </c>
      <c r="H382" s="59">
        <v>2567</v>
      </c>
      <c r="I382" t="s">
        <v>5084</v>
      </c>
      <c r="J382" s="63" t="s">
        <v>5558</v>
      </c>
      <c r="K382" s="52" t="s">
        <v>5559</v>
      </c>
      <c r="L382">
        <v>5</v>
      </c>
      <c r="M382" s="59">
        <v>6417</v>
      </c>
      <c r="N382" s="59" t="s">
        <v>4611</v>
      </c>
      <c r="O382">
        <v>2000</v>
      </c>
      <c r="P382" s="60">
        <f t="shared" si="5"/>
        <v>7.7911959485781068</v>
      </c>
    </row>
    <row r="383" spans="1:16" ht="14.25" customHeight="1" x14ac:dyDescent="0.2">
      <c r="A383" t="s">
        <v>3028</v>
      </c>
      <c r="B383" t="s">
        <v>3029</v>
      </c>
      <c r="C383" t="s">
        <v>3030</v>
      </c>
      <c r="D383" t="s">
        <v>330</v>
      </c>
      <c r="E383" s="6" t="s">
        <v>4628</v>
      </c>
      <c r="F383" s="6">
        <v>2</v>
      </c>
      <c r="G383" t="s">
        <v>3036</v>
      </c>
      <c r="H383" s="59">
        <v>4139</v>
      </c>
      <c r="I383" t="s">
        <v>4629</v>
      </c>
      <c r="J383" s="63" t="s">
        <v>5560</v>
      </c>
      <c r="K383" s="52" t="s">
        <v>5561</v>
      </c>
      <c r="L383" t="s">
        <v>137</v>
      </c>
      <c r="M383" s="59" t="s">
        <v>137</v>
      </c>
      <c r="N383" s="59" t="s">
        <v>4616</v>
      </c>
      <c r="O383" t="s">
        <v>4632</v>
      </c>
      <c r="P383" s="60" t="str">
        <f t="shared" si="5"/>
        <v xml:space="preserve"> </v>
      </c>
    </row>
    <row r="384" spans="1:16" ht="14.25" customHeight="1" x14ac:dyDescent="0.2">
      <c r="A384" t="s">
        <v>3043</v>
      </c>
      <c r="B384" t="s">
        <v>3044</v>
      </c>
      <c r="C384" t="s">
        <v>3045</v>
      </c>
      <c r="D384" t="s">
        <v>330</v>
      </c>
      <c r="E384" s="6" t="s">
        <v>4648</v>
      </c>
      <c r="F384" s="6">
        <v>1</v>
      </c>
      <c r="G384" t="s">
        <v>3050</v>
      </c>
      <c r="H384" s="59">
        <v>2392</v>
      </c>
      <c r="I384" t="s">
        <v>4660</v>
      </c>
      <c r="J384" s="63" t="s">
        <v>5562</v>
      </c>
      <c r="K384" s="52" t="s">
        <v>5563</v>
      </c>
      <c r="L384">
        <v>5</v>
      </c>
      <c r="M384" s="59">
        <v>6458</v>
      </c>
      <c r="N384" s="59" t="s">
        <v>4611</v>
      </c>
      <c r="O384">
        <f>3*700</f>
        <v>2100</v>
      </c>
      <c r="P384" s="60">
        <f t="shared" si="5"/>
        <v>8.7792642140468224</v>
      </c>
    </row>
    <row r="385" spans="1:16" ht="14.25" customHeight="1" x14ac:dyDescent="0.2">
      <c r="A385" t="s">
        <v>3043</v>
      </c>
      <c r="B385" t="s">
        <v>3044</v>
      </c>
      <c r="C385" t="s">
        <v>3045</v>
      </c>
      <c r="D385" t="s">
        <v>330</v>
      </c>
      <c r="E385" s="6" t="s">
        <v>5564</v>
      </c>
      <c r="F385" s="6">
        <v>2</v>
      </c>
      <c r="G385" t="s">
        <v>3051</v>
      </c>
      <c r="H385" s="59">
        <v>5346</v>
      </c>
      <c r="I385" t="s">
        <v>4629</v>
      </c>
      <c r="J385" s="63" t="s">
        <v>5565</v>
      </c>
      <c r="K385" s="52" t="s">
        <v>5566</v>
      </c>
      <c r="L385" t="s">
        <v>137</v>
      </c>
      <c r="M385" s="59" t="s">
        <v>137</v>
      </c>
      <c r="N385" s="59" t="s">
        <v>4616</v>
      </c>
      <c r="O385">
        <v>2000</v>
      </c>
      <c r="P385" s="60">
        <f t="shared" si="5"/>
        <v>3.7411148522259636</v>
      </c>
    </row>
    <row r="386" spans="1:16" ht="14.25" customHeight="1" x14ac:dyDescent="0.2">
      <c r="A386" t="s">
        <v>3057</v>
      </c>
      <c r="B386" t="s">
        <v>3058</v>
      </c>
      <c r="C386" t="s">
        <v>3059</v>
      </c>
      <c r="D386" t="s">
        <v>429</v>
      </c>
      <c r="E386" s="6" t="s">
        <v>4648</v>
      </c>
      <c r="F386" s="6">
        <v>1</v>
      </c>
      <c r="G386" t="s">
        <v>3064</v>
      </c>
      <c r="H386" s="59">
        <v>2860</v>
      </c>
      <c r="I386" t="s">
        <v>4608</v>
      </c>
      <c r="J386" s="63" t="s">
        <v>5567</v>
      </c>
      <c r="K386" s="52" t="s">
        <v>5568</v>
      </c>
      <c r="L386" t="s">
        <v>137</v>
      </c>
      <c r="M386" s="59" t="s">
        <v>137</v>
      </c>
      <c r="N386" s="59" t="s">
        <v>4616</v>
      </c>
      <c r="O386">
        <f>5*450</f>
        <v>2250</v>
      </c>
      <c r="P386" s="60">
        <f t="shared" ref="P386:P449" si="6">IFERROR(O386/H386*10," ")</f>
        <v>7.8671328671328666</v>
      </c>
    </row>
    <row r="387" spans="1:16" ht="14.25" customHeight="1" x14ac:dyDescent="0.2">
      <c r="A387" t="s">
        <v>3057</v>
      </c>
      <c r="B387" t="s">
        <v>3058</v>
      </c>
      <c r="C387" t="s">
        <v>3059</v>
      </c>
      <c r="D387" t="s">
        <v>429</v>
      </c>
      <c r="E387" s="6" t="s">
        <v>4897</v>
      </c>
      <c r="F387" s="6">
        <v>2</v>
      </c>
      <c r="G387" t="s">
        <v>3065</v>
      </c>
      <c r="H387" s="59">
        <v>10725</v>
      </c>
      <c r="I387" t="s">
        <v>4629</v>
      </c>
      <c r="J387" s="63" t="s">
        <v>5569</v>
      </c>
      <c r="K387" s="52" t="s">
        <v>5570</v>
      </c>
      <c r="L387" t="s">
        <v>137</v>
      </c>
      <c r="M387" s="59" t="s">
        <v>137</v>
      </c>
      <c r="N387" s="59" t="s">
        <v>4616</v>
      </c>
      <c r="O387">
        <v>4000</v>
      </c>
      <c r="P387" s="60">
        <f t="shared" si="6"/>
        <v>3.7296037296037299</v>
      </c>
    </row>
    <row r="388" spans="1:16" ht="14.25" customHeight="1" x14ac:dyDescent="0.2">
      <c r="A388" t="s">
        <v>3074</v>
      </c>
      <c r="B388" t="s">
        <v>3075</v>
      </c>
      <c r="C388" t="s">
        <v>3076</v>
      </c>
      <c r="D388" t="s">
        <v>429</v>
      </c>
      <c r="E388" s="6" t="s">
        <v>5571</v>
      </c>
      <c r="F388" s="6">
        <v>1</v>
      </c>
      <c r="G388" t="s">
        <v>3081</v>
      </c>
      <c r="H388" s="59">
        <v>4512</v>
      </c>
      <c r="I388" t="s">
        <v>4629</v>
      </c>
      <c r="J388" s="63" t="s">
        <v>5572</v>
      </c>
      <c r="K388" s="52" t="s">
        <v>5573</v>
      </c>
      <c r="L388">
        <v>4</v>
      </c>
      <c r="M388" s="59">
        <v>5865</v>
      </c>
      <c r="N388" s="59" t="s">
        <v>4611</v>
      </c>
      <c r="O388" t="s">
        <v>4632</v>
      </c>
      <c r="P388" s="60" t="str">
        <f t="shared" si="6"/>
        <v xml:space="preserve"> </v>
      </c>
    </row>
    <row r="389" spans="1:16" ht="14.25" customHeight="1" x14ac:dyDescent="0.2">
      <c r="A389" t="s">
        <v>3074</v>
      </c>
      <c r="B389" t="s">
        <v>3075</v>
      </c>
      <c r="C389" t="s">
        <v>3076</v>
      </c>
      <c r="D389" t="s">
        <v>429</v>
      </c>
      <c r="E389" s="6" t="s">
        <v>5574</v>
      </c>
      <c r="F389" s="6">
        <v>2</v>
      </c>
      <c r="G389" t="s">
        <v>3082</v>
      </c>
      <c r="H389" s="59">
        <v>7896</v>
      </c>
      <c r="I389" t="s">
        <v>4629</v>
      </c>
      <c r="J389" s="63" t="s">
        <v>5575</v>
      </c>
      <c r="K389" s="52" t="s">
        <v>5576</v>
      </c>
      <c r="L389" t="s">
        <v>137</v>
      </c>
      <c r="M389" s="59" t="s">
        <v>137</v>
      </c>
      <c r="N389" s="59" t="s">
        <v>4616</v>
      </c>
      <c r="O389">
        <v>3600</v>
      </c>
      <c r="P389" s="60">
        <f t="shared" si="6"/>
        <v>4.5592705167173255</v>
      </c>
    </row>
    <row r="390" spans="1:16" ht="14.25" customHeight="1" x14ac:dyDescent="0.2">
      <c r="A390" t="s">
        <v>3089</v>
      </c>
      <c r="B390" t="s">
        <v>3090</v>
      </c>
      <c r="C390" t="s">
        <v>3091</v>
      </c>
      <c r="D390" t="s">
        <v>429</v>
      </c>
      <c r="E390" s="6" t="s">
        <v>5577</v>
      </c>
      <c r="F390" s="6">
        <v>1</v>
      </c>
      <c r="G390" t="s">
        <v>3096</v>
      </c>
      <c r="H390" s="59">
        <v>2256</v>
      </c>
      <c r="I390" t="s">
        <v>4629</v>
      </c>
      <c r="J390" s="63" t="s">
        <v>5578</v>
      </c>
      <c r="K390" s="52" t="s">
        <v>5579</v>
      </c>
      <c r="L390" t="s">
        <v>137</v>
      </c>
      <c r="M390" s="59" t="s">
        <v>137</v>
      </c>
      <c r="N390" s="59" t="s">
        <v>4616</v>
      </c>
      <c r="O390">
        <v>1700</v>
      </c>
      <c r="P390" s="60">
        <f t="shared" si="6"/>
        <v>7.5354609929078009</v>
      </c>
    </row>
    <row r="391" spans="1:16" ht="14.25" customHeight="1" x14ac:dyDescent="0.2">
      <c r="A391" t="s">
        <v>3089</v>
      </c>
      <c r="B391" t="s">
        <v>3090</v>
      </c>
      <c r="C391" t="s">
        <v>3091</v>
      </c>
      <c r="D391" t="s">
        <v>429</v>
      </c>
      <c r="E391" s="6" t="s">
        <v>4648</v>
      </c>
      <c r="F391" s="6">
        <v>2</v>
      </c>
      <c r="G391" t="s">
        <v>3097</v>
      </c>
      <c r="H391" s="59">
        <v>4904</v>
      </c>
      <c r="I391" t="s">
        <v>4608</v>
      </c>
      <c r="J391" s="63" t="s">
        <v>5580</v>
      </c>
      <c r="K391" s="52" t="s">
        <v>5581</v>
      </c>
      <c r="L391" t="s">
        <v>137</v>
      </c>
      <c r="M391" s="59" t="s">
        <v>137</v>
      </c>
      <c r="N391" s="59" t="s">
        <v>4616</v>
      </c>
      <c r="O391">
        <f>1500+600</f>
        <v>2100</v>
      </c>
      <c r="P391" s="60">
        <f t="shared" si="6"/>
        <v>4.282218597063622</v>
      </c>
    </row>
    <row r="392" spans="1:16" ht="14.25" customHeight="1" x14ac:dyDescent="0.2">
      <c r="A392" t="s">
        <v>3101</v>
      </c>
      <c r="B392" t="s">
        <v>3102</v>
      </c>
      <c r="C392" t="s">
        <v>3103</v>
      </c>
      <c r="D392" t="s">
        <v>429</v>
      </c>
      <c r="E392" s="6" t="s">
        <v>5582</v>
      </c>
      <c r="F392" s="6">
        <v>1</v>
      </c>
      <c r="G392" t="s">
        <v>3108</v>
      </c>
      <c r="H392" s="59">
        <v>2641</v>
      </c>
      <c r="I392" t="s">
        <v>5583</v>
      </c>
      <c r="J392" s="63" t="s">
        <v>5584</v>
      </c>
      <c r="K392" s="52" t="s">
        <v>5585</v>
      </c>
      <c r="L392">
        <v>5</v>
      </c>
      <c r="M392" s="59">
        <v>6338</v>
      </c>
      <c r="N392" s="59" t="s">
        <v>4611</v>
      </c>
      <c r="O392">
        <f>12*140</f>
        <v>1680</v>
      </c>
      <c r="P392" s="60">
        <f t="shared" si="6"/>
        <v>6.3612268080272631</v>
      </c>
    </row>
    <row r="393" spans="1:16" ht="14.25" customHeight="1" x14ac:dyDescent="0.2">
      <c r="A393" t="s">
        <v>3101</v>
      </c>
      <c r="B393" t="s">
        <v>3102</v>
      </c>
      <c r="C393" t="s">
        <v>3103</v>
      </c>
      <c r="D393" t="s">
        <v>429</v>
      </c>
      <c r="E393" s="6" t="s">
        <v>4852</v>
      </c>
      <c r="F393" s="6">
        <v>2</v>
      </c>
      <c r="G393" t="s">
        <v>3109</v>
      </c>
      <c r="H393" s="59">
        <v>5280</v>
      </c>
      <c r="I393" t="s">
        <v>4645</v>
      </c>
      <c r="J393" s="63" t="s">
        <v>5586</v>
      </c>
      <c r="K393" s="52" t="s">
        <v>5587</v>
      </c>
      <c r="L393" t="s">
        <v>137</v>
      </c>
      <c r="M393" s="59" t="s">
        <v>137</v>
      </c>
      <c r="N393" s="59" t="s">
        <v>4616</v>
      </c>
      <c r="O393">
        <v>2300</v>
      </c>
      <c r="P393" s="60">
        <f t="shared" si="6"/>
        <v>4.3560606060606064</v>
      </c>
    </row>
    <row r="394" spans="1:16" ht="14.25" customHeight="1" x14ac:dyDescent="0.2">
      <c r="A394" t="s">
        <v>3114</v>
      </c>
      <c r="B394" t="s">
        <v>3115</v>
      </c>
      <c r="C394" t="s">
        <v>3116</v>
      </c>
      <c r="D394" t="s">
        <v>429</v>
      </c>
      <c r="E394" s="6" t="s">
        <v>4852</v>
      </c>
      <c r="F394" s="6">
        <v>1</v>
      </c>
      <c r="G394" t="s">
        <v>3121</v>
      </c>
      <c r="H394" s="59">
        <v>3478</v>
      </c>
      <c r="I394" t="s">
        <v>5084</v>
      </c>
      <c r="J394" s="63" t="s">
        <v>5588</v>
      </c>
      <c r="K394" s="52" t="s">
        <v>5589</v>
      </c>
      <c r="L394">
        <v>6</v>
      </c>
      <c r="M394" s="59">
        <v>12868</v>
      </c>
      <c r="N394" s="59" t="s">
        <v>4611</v>
      </c>
      <c r="O394">
        <v>1800</v>
      </c>
      <c r="P394" s="60">
        <f t="shared" si="6"/>
        <v>5.1753881541115589</v>
      </c>
    </row>
    <row r="395" spans="1:16" ht="14.25" customHeight="1" x14ac:dyDescent="0.2">
      <c r="A395" t="s">
        <v>3114</v>
      </c>
      <c r="B395" t="s">
        <v>3115</v>
      </c>
      <c r="C395" t="s">
        <v>3116</v>
      </c>
      <c r="D395" t="s">
        <v>429</v>
      </c>
      <c r="E395" s="6" t="s">
        <v>4696</v>
      </c>
      <c r="F395" s="6">
        <v>2</v>
      </c>
      <c r="G395" t="s">
        <v>3122</v>
      </c>
      <c r="H395" s="59">
        <v>5934</v>
      </c>
      <c r="I395" t="s">
        <v>4629</v>
      </c>
      <c r="J395" s="63" t="s">
        <v>5590</v>
      </c>
      <c r="K395" s="52" t="s">
        <v>5591</v>
      </c>
      <c r="L395" t="s">
        <v>137</v>
      </c>
      <c r="M395" s="59" t="s">
        <v>137</v>
      </c>
      <c r="N395" s="59" t="s">
        <v>4616</v>
      </c>
      <c r="O395" t="s">
        <v>4632</v>
      </c>
      <c r="P395" s="60" t="str">
        <f t="shared" si="6"/>
        <v xml:space="preserve"> </v>
      </c>
    </row>
    <row r="396" spans="1:16" ht="14.25" customHeight="1" x14ac:dyDescent="0.2">
      <c r="A396" t="s">
        <v>3127</v>
      </c>
      <c r="B396" t="s">
        <v>3128</v>
      </c>
      <c r="C396" t="s">
        <v>3129</v>
      </c>
      <c r="D396" t="s">
        <v>429</v>
      </c>
      <c r="E396" s="6" t="s">
        <v>4648</v>
      </c>
      <c r="F396" s="6">
        <v>1</v>
      </c>
      <c r="G396" t="s">
        <v>3134</v>
      </c>
      <c r="H396" s="59">
        <v>2452</v>
      </c>
      <c r="I396" t="s">
        <v>4629</v>
      </c>
      <c r="J396" s="63" t="s">
        <v>5592</v>
      </c>
      <c r="K396" s="52" t="s">
        <v>5593</v>
      </c>
      <c r="L396">
        <v>3</v>
      </c>
      <c r="M396" s="59">
        <v>11279</v>
      </c>
      <c r="N396" s="59" t="s">
        <v>4611</v>
      </c>
      <c r="O396">
        <v>2200</v>
      </c>
      <c r="P396" s="60">
        <f t="shared" si="6"/>
        <v>8.9722675367047309</v>
      </c>
    </row>
    <row r="397" spans="1:16" ht="14.25" customHeight="1" x14ac:dyDescent="0.2">
      <c r="A397" t="s">
        <v>3127</v>
      </c>
      <c r="B397" t="s">
        <v>3128</v>
      </c>
      <c r="C397" t="s">
        <v>3129</v>
      </c>
      <c r="D397" t="s">
        <v>429</v>
      </c>
      <c r="E397" s="6" t="s">
        <v>4628</v>
      </c>
      <c r="F397" s="6">
        <v>2</v>
      </c>
      <c r="G397" t="s">
        <v>3135</v>
      </c>
      <c r="H397" s="59">
        <v>5315</v>
      </c>
      <c r="I397" t="s">
        <v>4629</v>
      </c>
      <c r="J397" s="63" t="s">
        <v>5594</v>
      </c>
      <c r="K397" s="52" t="s">
        <v>5595</v>
      </c>
      <c r="L397" t="s">
        <v>137</v>
      </c>
      <c r="M397" s="59" t="s">
        <v>137</v>
      </c>
      <c r="N397" s="59" t="s">
        <v>4616</v>
      </c>
      <c r="O397" t="s">
        <v>4632</v>
      </c>
      <c r="P397" s="60" t="str">
        <f t="shared" si="6"/>
        <v xml:space="preserve"> </v>
      </c>
    </row>
    <row r="398" spans="1:16" ht="14.25" customHeight="1" x14ac:dyDescent="0.2">
      <c r="A398" t="s">
        <v>3143</v>
      </c>
      <c r="B398" t="s">
        <v>3144</v>
      </c>
      <c r="C398" t="s">
        <v>3145</v>
      </c>
      <c r="D398" t="s">
        <v>429</v>
      </c>
      <c r="E398" s="6" t="s">
        <v>4659</v>
      </c>
      <c r="F398" s="6">
        <v>1</v>
      </c>
      <c r="G398" t="s">
        <v>3150</v>
      </c>
      <c r="H398" s="59">
        <v>2318</v>
      </c>
      <c r="I398" t="s">
        <v>4700</v>
      </c>
      <c r="J398" s="63" t="s">
        <v>5596</v>
      </c>
      <c r="K398" s="52" t="s">
        <v>5597</v>
      </c>
      <c r="L398">
        <v>3</v>
      </c>
      <c r="M398" s="59">
        <v>9040</v>
      </c>
      <c r="N398" s="59" t="s">
        <v>4611</v>
      </c>
      <c r="O398">
        <f>3*700</f>
        <v>2100</v>
      </c>
      <c r="P398" s="60">
        <f t="shared" si="6"/>
        <v>9.0595340811044007</v>
      </c>
    </row>
    <row r="399" spans="1:16" ht="14.25" customHeight="1" x14ac:dyDescent="0.2">
      <c r="A399" t="s">
        <v>3143</v>
      </c>
      <c r="B399" t="s">
        <v>3144</v>
      </c>
      <c r="C399" t="s">
        <v>3145</v>
      </c>
      <c r="D399" t="s">
        <v>429</v>
      </c>
      <c r="E399" s="6" t="s">
        <v>4699</v>
      </c>
      <c r="F399" s="6">
        <v>2</v>
      </c>
      <c r="G399" t="s">
        <v>3151</v>
      </c>
      <c r="H399" s="59">
        <v>4892</v>
      </c>
      <c r="I399" t="s">
        <v>4751</v>
      </c>
      <c r="J399" s="63" t="s">
        <v>5598</v>
      </c>
      <c r="K399" s="52" t="s">
        <v>5599</v>
      </c>
      <c r="L399" t="s">
        <v>137</v>
      </c>
      <c r="M399" s="59" t="s">
        <v>137</v>
      </c>
      <c r="N399" s="59" t="s">
        <v>4616</v>
      </c>
      <c r="O399">
        <v>2000</v>
      </c>
      <c r="P399" s="60">
        <f t="shared" si="6"/>
        <v>4.0883074407195421</v>
      </c>
    </row>
    <row r="400" spans="1:16" ht="14.25" customHeight="1" x14ac:dyDescent="0.2">
      <c r="A400" t="s">
        <v>3157</v>
      </c>
      <c r="B400" t="s">
        <v>3158</v>
      </c>
      <c r="C400" t="s">
        <v>3159</v>
      </c>
      <c r="D400" t="s">
        <v>543</v>
      </c>
      <c r="E400" s="6" t="s">
        <v>5600</v>
      </c>
      <c r="F400" s="6">
        <v>1</v>
      </c>
      <c r="G400" t="s">
        <v>3164</v>
      </c>
      <c r="H400" s="59">
        <v>3849</v>
      </c>
      <c r="I400" t="s">
        <v>4608</v>
      </c>
      <c r="J400" s="63" t="s">
        <v>5601</v>
      </c>
      <c r="K400" s="52" t="s">
        <v>5602</v>
      </c>
      <c r="L400">
        <v>5</v>
      </c>
      <c r="M400" s="59">
        <v>11461</v>
      </c>
      <c r="N400" s="59" t="s">
        <v>4611</v>
      </c>
      <c r="O400">
        <v>2100</v>
      </c>
      <c r="P400" s="60">
        <f t="shared" si="6"/>
        <v>5.4559625876851126</v>
      </c>
    </row>
    <row r="401" spans="1:16" ht="14.25" customHeight="1" x14ac:dyDescent="0.2">
      <c r="A401" t="s">
        <v>3157</v>
      </c>
      <c r="B401" t="s">
        <v>3158</v>
      </c>
      <c r="C401" t="s">
        <v>3159</v>
      </c>
      <c r="D401" t="s">
        <v>543</v>
      </c>
      <c r="E401" s="6" t="s">
        <v>5603</v>
      </c>
      <c r="F401" s="6">
        <v>2</v>
      </c>
      <c r="G401" t="s">
        <v>3165</v>
      </c>
      <c r="H401" s="59">
        <v>6296</v>
      </c>
      <c r="I401" t="s">
        <v>4629</v>
      </c>
      <c r="J401" s="63" t="s">
        <v>5604</v>
      </c>
      <c r="K401" s="52" t="s">
        <v>5604</v>
      </c>
      <c r="L401" t="s">
        <v>137</v>
      </c>
      <c r="M401" s="59" t="s">
        <v>137</v>
      </c>
      <c r="N401" s="59" t="s">
        <v>4616</v>
      </c>
      <c r="O401">
        <f>600*3+1700</f>
        <v>3500</v>
      </c>
      <c r="P401" s="60">
        <f t="shared" si="6"/>
        <v>5.5590851334180433</v>
      </c>
    </row>
    <row r="402" spans="1:16" ht="14.25" customHeight="1" x14ac:dyDescent="0.2">
      <c r="A402" t="s">
        <v>3176</v>
      </c>
      <c r="B402" t="s">
        <v>3177</v>
      </c>
      <c r="C402" t="s">
        <v>3178</v>
      </c>
      <c r="D402" t="s">
        <v>543</v>
      </c>
      <c r="E402" s="6" t="s">
        <v>5605</v>
      </c>
      <c r="F402" s="6">
        <v>1</v>
      </c>
      <c r="G402" t="s">
        <v>3183</v>
      </c>
      <c r="H402" s="59">
        <v>1129</v>
      </c>
      <c r="I402" t="s">
        <v>4618</v>
      </c>
      <c r="J402" s="63" t="s">
        <v>5606</v>
      </c>
      <c r="K402" s="52" t="s">
        <v>5607</v>
      </c>
      <c r="L402" t="s">
        <v>137</v>
      </c>
      <c r="M402" s="59" t="s">
        <v>137</v>
      </c>
      <c r="N402" s="59" t="s">
        <v>4616</v>
      </c>
      <c r="O402">
        <v>1500</v>
      </c>
      <c r="P402" s="60">
        <f t="shared" si="6"/>
        <v>13.28609388839681</v>
      </c>
    </row>
    <row r="403" spans="1:16" ht="14.25" customHeight="1" x14ac:dyDescent="0.2">
      <c r="A403" t="s">
        <v>3176</v>
      </c>
      <c r="B403" t="s">
        <v>3177</v>
      </c>
      <c r="C403" t="s">
        <v>3178</v>
      </c>
      <c r="D403" t="s">
        <v>543</v>
      </c>
      <c r="E403" s="6" t="s">
        <v>5608</v>
      </c>
      <c r="F403" s="6">
        <v>2</v>
      </c>
      <c r="G403" t="s">
        <v>3184</v>
      </c>
      <c r="H403" s="59">
        <v>1129</v>
      </c>
      <c r="I403" t="s">
        <v>4618</v>
      </c>
      <c r="J403" s="63" t="s">
        <v>5609</v>
      </c>
      <c r="K403" s="52" t="s">
        <v>5610</v>
      </c>
      <c r="L403" t="s">
        <v>137</v>
      </c>
      <c r="M403" s="59" t="s">
        <v>137</v>
      </c>
      <c r="N403" s="59" t="s">
        <v>4616</v>
      </c>
      <c r="O403">
        <v>2000</v>
      </c>
      <c r="P403" s="60">
        <f t="shared" si="6"/>
        <v>17.714791851195749</v>
      </c>
    </row>
    <row r="404" spans="1:16" ht="14.25" customHeight="1" x14ac:dyDescent="0.2">
      <c r="A404" t="s">
        <v>3191</v>
      </c>
      <c r="B404" t="s">
        <v>3192</v>
      </c>
      <c r="C404" t="s">
        <v>3193</v>
      </c>
      <c r="D404" t="s">
        <v>543</v>
      </c>
      <c r="E404" s="6" t="s">
        <v>5611</v>
      </c>
      <c r="F404" s="6">
        <v>1</v>
      </c>
      <c r="G404" t="s">
        <v>3198</v>
      </c>
      <c r="H404" s="59">
        <v>3178</v>
      </c>
      <c r="I404" t="s">
        <v>4660</v>
      </c>
      <c r="J404" s="63" t="s">
        <v>5612</v>
      </c>
      <c r="K404" s="52" t="s">
        <v>5613</v>
      </c>
      <c r="L404" t="s">
        <v>137</v>
      </c>
      <c r="M404" s="59" t="s">
        <v>137</v>
      </c>
      <c r="N404" s="59" t="s">
        <v>4616</v>
      </c>
      <c r="O404">
        <v>2000</v>
      </c>
      <c r="P404" s="60">
        <f t="shared" si="6"/>
        <v>6.293266205160478</v>
      </c>
    </row>
    <row r="405" spans="1:16" ht="14.25" customHeight="1" x14ac:dyDescent="0.2">
      <c r="A405" t="s">
        <v>3191</v>
      </c>
      <c r="B405" t="s">
        <v>3192</v>
      </c>
      <c r="C405" t="s">
        <v>3193</v>
      </c>
      <c r="D405" t="s">
        <v>543</v>
      </c>
      <c r="E405" s="6" t="s">
        <v>4696</v>
      </c>
      <c r="F405" s="6">
        <v>2</v>
      </c>
      <c r="G405" t="s">
        <v>3199</v>
      </c>
      <c r="H405" s="59">
        <v>6356</v>
      </c>
      <c r="I405" t="s">
        <v>4629</v>
      </c>
      <c r="J405" s="63" t="s">
        <v>5614</v>
      </c>
      <c r="K405" s="52" t="s">
        <v>5615</v>
      </c>
      <c r="L405" t="s">
        <v>137</v>
      </c>
      <c r="M405" s="59" t="s">
        <v>137</v>
      </c>
      <c r="N405" s="59" t="s">
        <v>4616</v>
      </c>
      <c r="O405" t="s">
        <v>4632</v>
      </c>
      <c r="P405" s="60" t="str">
        <f t="shared" si="6"/>
        <v xml:space="preserve"> </v>
      </c>
    </row>
    <row r="406" spans="1:16" ht="14.25" customHeight="1" x14ac:dyDescent="0.2">
      <c r="A406" t="s">
        <v>3208</v>
      </c>
      <c r="B406" t="s">
        <v>3209</v>
      </c>
      <c r="C406" t="s">
        <v>3210</v>
      </c>
      <c r="D406" t="s">
        <v>543</v>
      </c>
      <c r="E406" s="6" t="s">
        <v>5616</v>
      </c>
      <c r="F406" s="6">
        <v>1</v>
      </c>
      <c r="G406" t="s">
        <v>3215</v>
      </c>
      <c r="H406" s="59">
        <v>2800</v>
      </c>
      <c r="I406" t="s">
        <v>4660</v>
      </c>
      <c r="J406" s="63" t="s">
        <v>5617</v>
      </c>
      <c r="K406" s="52" t="s">
        <v>5618</v>
      </c>
      <c r="L406">
        <v>5</v>
      </c>
      <c r="M406" s="59">
        <v>8120</v>
      </c>
      <c r="N406" s="59" t="s">
        <v>4611</v>
      </c>
      <c r="O406">
        <v>2500</v>
      </c>
      <c r="P406" s="60">
        <f t="shared" si="6"/>
        <v>8.9285714285714288</v>
      </c>
    </row>
    <row r="407" spans="1:16" ht="14.25" customHeight="1" x14ac:dyDescent="0.2">
      <c r="A407" t="s">
        <v>3208</v>
      </c>
      <c r="B407" t="s">
        <v>3209</v>
      </c>
      <c r="C407" t="s">
        <v>3210</v>
      </c>
      <c r="D407" t="s">
        <v>543</v>
      </c>
      <c r="E407" s="6" t="s">
        <v>4678</v>
      </c>
      <c r="F407" s="6">
        <v>2</v>
      </c>
      <c r="G407" t="s">
        <v>3216</v>
      </c>
      <c r="H407" s="59">
        <v>5600</v>
      </c>
      <c r="I407" t="s">
        <v>4629</v>
      </c>
      <c r="J407" s="63" t="s">
        <v>5619</v>
      </c>
      <c r="K407" s="52" t="s">
        <v>5620</v>
      </c>
      <c r="L407" t="s">
        <v>137</v>
      </c>
      <c r="M407" s="59" t="s">
        <v>137</v>
      </c>
      <c r="N407" s="59" t="s">
        <v>4616</v>
      </c>
      <c r="O407" t="s">
        <v>4632</v>
      </c>
      <c r="P407" s="60" t="str">
        <f t="shared" si="6"/>
        <v xml:space="preserve"> </v>
      </c>
    </row>
    <row r="408" spans="1:16" ht="14.25" customHeight="1" x14ac:dyDescent="0.2">
      <c r="A408" t="s">
        <v>3222</v>
      </c>
      <c r="B408" t="s">
        <v>3223</v>
      </c>
      <c r="C408" t="s">
        <v>3224</v>
      </c>
      <c r="D408" t="s">
        <v>543</v>
      </c>
      <c r="E408" s="6" t="s">
        <v>5095</v>
      </c>
      <c r="F408" s="6">
        <v>1</v>
      </c>
      <c r="G408" t="s">
        <v>3229</v>
      </c>
      <c r="H408" s="59">
        <v>3849</v>
      </c>
      <c r="I408" t="s">
        <v>4608</v>
      </c>
      <c r="J408" s="63" t="s">
        <v>5621</v>
      </c>
      <c r="K408" s="52" t="s">
        <v>5622</v>
      </c>
      <c r="L408" t="s">
        <v>137</v>
      </c>
      <c r="M408" s="59" t="s">
        <v>137</v>
      </c>
      <c r="N408" s="59" t="s">
        <v>4616</v>
      </c>
      <c r="O408">
        <v>1800</v>
      </c>
      <c r="P408" s="60">
        <f t="shared" si="6"/>
        <v>4.6765393608729537</v>
      </c>
    </row>
    <row r="409" spans="1:16" ht="14.25" customHeight="1" x14ac:dyDescent="0.2">
      <c r="A409" t="s">
        <v>3222</v>
      </c>
      <c r="B409" t="s">
        <v>3223</v>
      </c>
      <c r="C409" t="s">
        <v>3224</v>
      </c>
      <c r="D409" t="s">
        <v>543</v>
      </c>
      <c r="E409" s="6" t="s">
        <v>4633</v>
      </c>
      <c r="F409" s="6">
        <v>2</v>
      </c>
      <c r="G409" t="s">
        <v>3230</v>
      </c>
      <c r="H409" s="59">
        <v>6296</v>
      </c>
      <c r="I409" t="s">
        <v>4618</v>
      </c>
      <c r="J409" s="63" t="s">
        <v>5623</v>
      </c>
      <c r="K409" s="52" t="s">
        <v>5624</v>
      </c>
      <c r="L409">
        <v>6</v>
      </c>
      <c r="M409" s="59">
        <v>10703</v>
      </c>
      <c r="N409" s="59" t="s">
        <v>4611</v>
      </c>
      <c r="O409">
        <f>3*850</f>
        <v>2550</v>
      </c>
      <c r="P409" s="60">
        <f t="shared" si="6"/>
        <v>4.0501905972045744</v>
      </c>
    </row>
    <row r="410" spans="1:16" ht="14.25" customHeight="1" x14ac:dyDescent="0.2">
      <c r="A410" t="s">
        <v>3236</v>
      </c>
      <c r="B410" t="s">
        <v>3237</v>
      </c>
      <c r="C410" t="s">
        <v>3238</v>
      </c>
      <c r="D410" t="s">
        <v>543</v>
      </c>
      <c r="E410" s="6" t="s">
        <v>4633</v>
      </c>
      <c r="F410" s="6">
        <v>1</v>
      </c>
      <c r="G410" t="s">
        <v>3243</v>
      </c>
      <c r="H410" s="59">
        <v>3130</v>
      </c>
      <c r="I410" t="s">
        <v>4712</v>
      </c>
      <c r="J410" s="63" t="s">
        <v>5625</v>
      </c>
      <c r="K410" s="52" t="s">
        <v>5626</v>
      </c>
      <c r="L410">
        <v>5</v>
      </c>
      <c r="M410" s="59">
        <v>14398</v>
      </c>
      <c r="N410" s="59" t="s">
        <v>4611</v>
      </c>
      <c r="O410">
        <v>3500</v>
      </c>
      <c r="P410" s="60">
        <f t="shared" si="6"/>
        <v>11.182108626198083</v>
      </c>
    </row>
    <row r="411" spans="1:16" ht="14.25" customHeight="1" x14ac:dyDescent="0.2">
      <c r="A411" t="s">
        <v>3236</v>
      </c>
      <c r="B411" t="s">
        <v>3237</v>
      </c>
      <c r="C411" t="s">
        <v>3238</v>
      </c>
      <c r="D411" t="s">
        <v>543</v>
      </c>
      <c r="E411" s="6" t="s">
        <v>4673</v>
      </c>
      <c r="F411" s="6">
        <v>2</v>
      </c>
      <c r="G411" t="s">
        <v>3244</v>
      </c>
      <c r="H411" s="59">
        <v>6296</v>
      </c>
      <c r="I411" t="s">
        <v>4629</v>
      </c>
      <c r="J411" s="63" t="s">
        <v>5627</v>
      </c>
      <c r="K411" s="52" t="s">
        <v>5628</v>
      </c>
      <c r="L411" t="s">
        <v>137</v>
      </c>
      <c r="M411" s="59" t="s">
        <v>137</v>
      </c>
      <c r="N411" s="59" t="s">
        <v>4616</v>
      </c>
      <c r="O411" t="s">
        <v>4632</v>
      </c>
      <c r="P411" s="60" t="str">
        <f t="shared" si="6"/>
        <v xml:space="preserve"> </v>
      </c>
    </row>
    <row r="412" spans="1:16" ht="14.25" customHeight="1" x14ac:dyDescent="0.2">
      <c r="A412" t="s">
        <v>3249</v>
      </c>
      <c r="B412" t="s">
        <v>3250</v>
      </c>
      <c r="C412" t="s">
        <v>3251</v>
      </c>
      <c r="D412" t="s">
        <v>543</v>
      </c>
      <c r="E412" s="6" t="s">
        <v>4740</v>
      </c>
      <c r="F412" s="6">
        <v>1</v>
      </c>
      <c r="G412" t="s">
        <v>3256</v>
      </c>
      <c r="H412" s="59">
        <v>3072</v>
      </c>
      <c r="I412" t="s">
        <v>4618</v>
      </c>
      <c r="J412" s="63" t="s">
        <v>5629</v>
      </c>
      <c r="K412" s="52" t="s">
        <v>5630</v>
      </c>
      <c r="L412" t="s">
        <v>137</v>
      </c>
      <c r="M412" s="59" t="s">
        <v>137</v>
      </c>
      <c r="N412" s="59" t="s">
        <v>4616</v>
      </c>
      <c r="O412">
        <v>2400</v>
      </c>
      <c r="P412" s="60">
        <f t="shared" si="6"/>
        <v>7.8125</v>
      </c>
    </row>
    <row r="413" spans="1:16" ht="14.25" customHeight="1" x14ac:dyDescent="0.2">
      <c r="A413" t="s">
        <v>3249</v>
      </c>
      <c r="B413" t="s">
        <v>3250</v>
      </c>
      <c r="C413" t="s">
        <v>3251</v>
      </c>
      <c r="D413" t="s">
        <v>543</v>
      </c>
      <c r="E413" s="6" t="s">
        <v>5389</v>
      </c>
      <c r="F413" s="6">
        <v>2</v>
      </c>
      <c r="G413" t="s">
        <v>3257</v>
      </c>
      <c r="H413" s="59">
        <v>4638</v>
      </c>
      <c r="I413" t="s">
        <v>4629</v>
      </c>
      <c r="J413" s="63" t="s">
        <v>5631</v>
      </c>
      <c r="K413" s="52" t="s">
        <v>5632</v>
      </c>
      <c r="L413">
        <v>5</v>
      </c>
      <c r="M413" s="59">
        <v>11595</v>
      </c>
      <c r="N413" s="59" t="s">
        <v>4611</v>
      </c>
      <c r="O413" t="s">
        <v>4632</v>
      </c>
      <c r="P413" s="60" t="str">
        <f t="shared" si="6"/>
        <v xml:space="preserve"> </v>
      </c>
    </row>
    <row r="414" spans="1:16" ht="14.25" customHeight="1" x14ac:dyDescent="0.2">
      <c r="A414" t="s">
        <v>3263</v>
      </c>
      <c r="B414" t="s">
        <v>3264</v>
      </c>
      <c r="C414" t="s">
        <v>3265</v>
      </c>
      <c r="D414" t="s">
        <v>543</v>
      </c>
      <c r="E414" s="6" t="s">
        <v>4633</v>
      </c>
      <c r="F414" s="6">
        <v>1</v>
      </c>
      <c r="G414" t="s">
        <v>3269</v>
      </c>
      <c r="H414" s="59">
        <v>2942</v>
      </c>
      <c r="I414" t="s">
        <v>4660</v>
      </c>
      <c r="J414" s="63" t="s">
        <v>5633</v>
      </c>
      <c r="K414" s="52" t="s">
        <v>5634</v>
      </c>
      <c r="L414">
        <v>5</v>
      </c>
      <c r="M414" s="59">
        <v>5884</v>
      </c>
      <c r="N414" s="59" t="s">
        <v>4611</v>
      </c>
      <c r="O414">
        <v>2000</v>
      </c>
      <c r="P414" s="60">
        <f t="shared" si="6"/>
        <v>6.7980965329707672</v>
      </c>
    </row>
    <row r="415" spans="1:16" ht="14.25" customHeight="1" x14ac:dyDescent="0.2">
      <c r="A415" t="s">
        <v>3263</v>
      </c>
      <c r="B415" t="s">
        <v>3264</v>
      </c>
      <c r="C415" t="s">
        <v>3265</v>
      </c>
      <c r="D415" t="s">
        <v>543</v>
      </c>
      <c r="E415" s="6" t="s">
        <v>4659</v>
      </c>
      <c r="F415" s="6">
        <v>2</v>
      </c>
      <c r="G415" t="s">
        <v>3270</v>
      </c>
      <c r="H415" s="59">
        <v>5735</v>
      </c>
      <c r="I415" t="s">
        <v>4660</v>
      </c>
      <c r="J415" s="63" t="s">
        <v>5635</v>
      </c>
      <c r="K415" s="52" t="s">
        <v>5636</v>
      </c>
      <c r="L415" t="s">
        <v>137</v>
      </c>
      <c r="M415" s="59" t="s">
        <v>137</v>
      </c>
      <c r="N415" s="59" t="s">
        <v>4616</v>
      </c>
      <c r="O415">
        <v>2000</v>
      </c>
      <c r="P415" s="60">
        <f t="shared" si="6"/>
        <v>3.4873583260680037</v>
      </c>
    </row>
    <row r="416" spans="1:16" ht="14.25" customHeight="1" x14ac:dyDescent="0.2">
      <c r="A416" t="s">
        <v>3277</v>
      </c>
      <c r="B416" t="s">
        <v>3278</v>
      </c>
      <c r="C416" t="s">
        <v>3279</v>
      </c>
      <c r="D416" t="s">
        <v>645</v>
      </c>
      <c r="E416" s="6" t="s">
        <v>5637</v>
      </c>
      <c r="F416" s="6">
        <v>1</v>
      </c>
      <c r="G416" t="s">
        <v>3284</v>
      </c>
      <c r="H416" s="59">
        <v>2412</v>
      </c>
      <c r="I416" t="s">
        <v>4618</v>
      </c>
      <c r="J416" s="63" t="s">
        <v>5638</v>
      </c>
      <c r="K416" s="52" t="s">
        <v>5639</v>
      </c>
      <c r="L416">
        <v>5</v>
      </c>
      <c r="M416" s="59">
        <v>9678</v>
      </c>
      <c r="N416" s="59" t="s">
        <v>4611</v>
      </c>
      <c r="O416">
        <f>3*850</f>
        <v>2550</v>
      </c>
      <c r="P416" s="60">
        <f t="shared" si="6"/>
        <v>10.572139303482587</v>
      </c>
    </row>
    <row r="417" spans="1:16" ht="14.25" customHeight="1" x14ac:dyDescent="0.2">
      <c r="A417" t="s">
        <v>3277</v>
      </c>
      <c r="B417" t="s">
        <v>3278</v>
      </c>
      <c r="C417" t="s">
        <v>3279</v>
      </c>
      <c r="D417" t="s">
        <v>645</v>
      </c>
      <c r="E417" s="6" t="s">
        <v>4696</v>
      </c>
      <c r="F417" s="6">
        <v>2</v>
      </c>
      <c r="G417" t="s">
        <v>3285</v>
      </c>
      <c r="H417" s="59">
        <v>9360</v>
      </c>
      <c r="I417" t="s">
        <v>4629</v>
      </c>
      <c r="J417" s="63" t="s">
        <v>5640</v>
      </c>
      <c r="K417" s="52" t="s">
        <v>5641</v>
      </c>
      <c r="L417" t="s">
        <v>137</v>
      </c>
      <c r="M417" s="59" t="s">
        <v>137</v>
      </c>
      <c r="N417" s="59" t="s">
        <v>4616</v>
      </c>
      <c r="O417" t="s">
        <v>4632</v>
      </c>
      <c r="P417" s="60" t="str">
        <f t="shared" si="6"/>
        <v xml:space="preserve"> </v>
      </c>
    </row>
    <row r="418" spans="1:16" ht="14.25" customHeight="1" x14ac:dyDescent="0.2">
      <c r="A418" t="s">
        <v>3293</v>
      </c>
      <c r="B418" t="s">
        <v>3294</v>
      </c>
      <c r="C418" t="s">
        <v>3295</v>
      </c>
      <c r="D418" t="s">
        <v>645</v>
      </c>
      <c r="E418" s="6" t="s">
        <v>5642</v>
      </c>
      <c r="F418" s="6">
        <v>1</v>
      </c>
      <c r="G418" t="s">
        <v>3300</v>
      </c>
      <c r="H418" s="59">
        <v>2412</v>
      </c>
      <c r="I418" t="s">
        <v>4668</v>
      </c>
      <c r="J418" s="63" t="s">
        <v>5643</v>
      </c>
      <c r="K418" s="52" t="s">
        <v>5644</v>
      </c>
      <c r="L418">
        <v>4</v>
      </c>
      <c r="M418" s="59">
        <v>4824</v>
      </c>
      <c r="N418" s="59" t="s">
        <v>4611</v>
      </c>
      <c r="O418">
        <v>1500</v>
      </c>
      <c r="P418" s="60">
        <f t="shared" si="6"/>
        <v>6.2189054726368154</v>
      </c>
    </row>
    <row r="419" spans="1:16" ht="14.25" customHeight="1" x14ac:dyDescent="0.2">
      <c r="A419" t="s">
        <v>3293</v>
      </c>
      <c r="B419" t="s">
        <v>3294</v>
      </c>
      <c r="C419" t="s">
        <v>3295</v>
      </c>
      <c r="D419" t="s">
        <v>645</v>
      </c>
      <c r="E419" s="6" t="s">
        <v>5645</v>
      </c>
      <c r="F419" s="6">
        <v>2</v>
      </c>
      <c r="G419" t="s">
        <v>3301</v>
      </c>
      <c r="H419" s="59">
        <v>4850</v>
      </c>
      <c r="I419" t="s">
        <v>4660</v>
      </c>
      <c r="J419" s="63" t="s">
        <v>5646</v>
      </c>
      <c r="K419" s="52" t="s">
        <v>5647</v>
      </c>
      <c r="L419" t="s">
        <v>137</v>
      </c>
      <c r="M419" s="59" t="s">
        <v>137</v>
      </c>
      <c r="N419" s="59" t="s">
        <v>4616</v>
      </c>
      <c r="O419">
        <v>2200</v>
      </c>
      <c r="P419" s="60">
        <f t="shared" si="6"/>
        <v>4.536082474226804</v>
      </c>
    </row>
    <row r="420" spans="1:16" ht="14.25" customHeight="1" x14ac:dyDescent="0.2">
      <c r="A420" t="s">
        <v>3307</v>
      </c>
      <c r="B420" t="s">
        <v>3308</v>
      </c>
      <c r="C420" t="s">
        <v>3309</v>
      </c>
      <c r="D420" t="s">
        <v>645</v>
      </c>
      <c r="E420" s="6" t="s">
        <v>5648</v>
      </c>
      <c r="F420" s="6">
        <v>1</v>
      </c>
      <c r="G420" t="s">
        <v>3314</v>
      </c>
      <c r="H420" s="59">
        <v>2786</v>
      </c>
      <c r="I420" t="s">
        <v>4618</v>
      </c>
      <c r="J420" s="63" t="s">
        <v>5649</v>
      </c>
      <c r="K420" s="52" t="s">
        <v>5650</v>
      </c>
      <c r="L420">
        <v>5</v>
      </c>
      <c r="M420" s="59">
        <v>6965</v>
      </c>
      <c r="N420" s="59" t="s">
        <v>4611</v>
      </c>
      <c r="O420">
        <v>2100</v>
      </c>
      <c r="P420" s="60">
        <f t="shared" si="6"/>
        <v>7.5376884422110555</v>
      </c>
    </row>
    <row r="421" spans="1:16" ht="14.25" customHeight="1" x14ac:dyDescent="0.2">
      <c r="A421" t="s">
        <v>3307</v>
      </c>
      <c r="B421" t="s">
        <v>3308</v>
      </c>
      <c r="C421" t="s">
        <v>3309</v>
      </c>
      <c r="D421" t="s">
        <v>645</v>
      </c>
      <c r="E421" s="6" t="s">
        <v>4696</v>
      </c>
      <c r="F421" s="6">
        <v>2</v>
      </c>
      <c r="G421" t="s">
        <v>3315</v>
      </c>
      <c r="H421" s="59">
        <v>14000</v>
      </c>
      <c r="I421" t="s">
        <v>4629</v>
      </c>
      <c r="J421" s="63" t="s">
        <v>5651</v>
      </c>
      <c r="K421" s="52" t="s">
        <v>5652</v>
      </c>
      <c r="L421" t="s">
        <v>137</v>
      </c>
      <c r="M421" s="59" t="s">
        <v>137</v>
      </c>
      <c r="N421" s="59" t="s">
        <v>4616</v>
      </c>
      <c r="O421" t="s">
        <v>4632</v>
      </c>
      <c r="P421" s="60" t="str">
        <f t="shared" si="6"/>
        <v xml:space="preserve"> </v>
      </c>
    </row>
    <row r="422" spans="1:16" ht="14.25" customHeight="1" x14ac:dyDescent="0.2">
      <c r="A422" t="s">
        <v>3320</v>
      </c>
      <c r="B422" t="s">
        <v>3321</v>
      </c>
      <c r="C422" t="s">
        <v>3322</v>
      </c>
      <c r="D422" t="s">
        <v>645</v>
      </c>
      <c r="E422" s="6" t="s">
        <v>5653</v>
      </c>
      <c r="F422" s="6">
        <v>1</v>
      </c>
      <c r="G422" t="s">
        <v>3327</v>
      </c>
      <c r="H422" s="59">
        <v>2450</v>
      </c>
      <c r="I422" t="s">
        <v>5508</v>
      </c>
      <c r="J422" s="63" t="s">
        <v>5654</v>
      </c>
      <c r="K422" s="52" t="s">
        <v>5655</v>
      </c>
      <c r="L422">
        <v>4</v>
      </c>
      <c r="M422" s="59">
        <v>15055</v>
      </c>
      <c r="N422" s="59" t="s">
        <v>4611</v>
      </c>
      <c r="O422">
        <f>7*250</f>
        <v>1750</v>
      </c>
      <c r="P422" s="60">
        <f t="shared" si="6"/>
        <v>7.1428571428571432</v>
      </c>
    </row>
    <row r="423" spans="1:16" ht="14.25" customHeight="1" x14ac:dyDescent="0.2">
      <c r="A423" t="s">
        <v>3320</v>
      </c>
      <c r="B423" t="s">
        <v>3321</v>
      </c>
      <c r="C423" t="s">
        <v>3322</v>
      </c>
      <c r="D423" t="s">
        <v>645</v>
      </c>
      <c r="E423" s="6" t="s">
        <v>4811</v>
      </c>
      <c r="F423" s="6">
        <v>2</v>
      </c>
      <c r="G423" t="s">
        <v>3328</v>
      </c>
      <c r="H423" s="59">
        <v>5252</v>
      </c>
      <c r="I423" t="s">
        <v>4629</v>
      </c>
      <c r="J423" s="63" t="s">
        <v>5656</v>
      </c>
      <c r="K423" s="52" t="s">
        <v>5657</v>
      </c>
      <c r="L423" t="s">
        <v>137</v>
      </c>
      <c r="M423" s="59" t="s">
        <v>137</v>
      </c>
      <c r="N423" s="59" t="s">
        <v>4616</v>
      </c>
      <c r="O423">
        <v>1700</v>
      </c>
      <c r="P423" s="60">
        <f t="shared" si="6"/>
        <v>3.2368621477532367</v>
      </c>
    </row>
    <row r="424" spans="1:16" ht="14.25" customHeight="1" x14ac:dyDescent="0.2">
      <c r="A424" t="s">
        <v>3333</v>
      </c>
      <c r="B424" t="s">
        <v>3334</v>
      </c>
      <c r="C424" t="s">
        <v>3335</v>
      </c>
      <c r="D424" t="s">
        <v>645</v>
      </c>
      <c r="E424" s="6" t="s">
        <v>5658</v>
      </c>
      <c r="F424" s="6">
        <v>1</v>
      </c>
      <c r="G424" t="s">
        <v>3340</v>
      </c>
      <c r="H424" s="59">
        <v>3051</v>
      </c>
      <c r="I424" t="s">
        <v>4622</v>
      </c>
      <c r="J424" s="63" t="s">
        <v>5659</v>
      </c>
      <c r="K424" s="52" t="s">
        <v>24290</v>
      </c>
      <c r="L424">
        <v>3</v>
      </c>
      <c r="M424" s="59">
        <v>11288</v>
      </c>
      <c r="N424" s="59" t="s">
        <v>4611</v>
      </c>
      <c r="O424">
        <v>2490</v>
      </c>
      <c r="P424" s="60">
        <f t="shared" si="6"/>
        <v>8.1612586037364796</v>
      </c>
    </row>
    <row r="425" spans="1:16" ht="14.25" customHeight="1" x14ac:dyDescent="0.2">
      <c r="A425" t="s">
        <v>3333</v>
      </c>
      <c r="B425" t="s">
        <v>3334</v>
      </c>
      <c r="C425" t="s">
        <v>3335</v>
      </c>
      <c r="D425" t="s">
        <v>645</v>
      </c>
      <c r="E425" s="6" t="s">
        <v>5660</v>
      </c>
      <c r="F425" s="6">
        <v>2</v>
      </c>
      <c r="G425" t="s">
        <v>3341</v>
      </c>
      <c r="H425" s="59">
        <v>10206</v>
      </c>
      <c r="I425" t="s">
        <v>5508</v>
      </c>
      <c r="J425" s="63" t="s">
        <v>5661</v>
      </c>
      <c r="K425" s="52" t="s">
        <v>5662</v>
      </c>
      <c r="L425" t="s">
        <v>137</v>
      </c>
      <c r="M425" s="59" t="s">
        <v>137</v>
      </c>
      <c r="N425" s="59" t="s">
        <v>4616</v>
      </c>
      <c r="O425">
        <v>2100</v>
      </c>
      <c r="P425" s="60">
        <f t="shared" si="6"/>
        <v>2.0576131687242798</v>
      </c>
    </row>
    <row r="426" spans="1:16" ht="14.25" customHeight="1" x14ac:dyDescent="0.2">
      <c r="A426" t="s">
        <v>3348</v>
      </c>
      <c r="B426" t="s">
        <v>3349</v>
      </c>
      <c r="C426" t="s">
        <v>3350</v>
      </c>
      <c r="D426" t="s">
        <v>645</v>
      </c>
      <c r="E426" s="6" t="s">
        <v>4833</v>
      </c>
      <c r="F426" s="6">
        <v>1</v>
      </c>
      <c r="G426" t="s">
        <v>3355</v>
      </c>
      <c r="H426" s="59">
        <v>3051</v>
      </c>
      <c r="I426" t="s">
        <v>4668</v>
      </c>
      <c r="J426" s="63" t="s">
        <v>5663</v>
      </c>
      <c r="K426" s="52" t="s">
        <v>5664</v>
      </c>
      <c r="L426" t="s">
        <v>137</v>
      </c>
      <c r="M426" s="59" t="s">
        <v>137</v>
      </c>
      <c r="N426" s="59" t="s">
        <v>4616</v>
      </c>
      <c r="O426">
        <v>1600</v>
      </c>
      <c r="P426" s="60">
        <f t="shared" si="6"/>
        <v>5.2441822353326781</v>
      </c>
    </row>
    <row r="427" spans="1:16" ht="14.25" customHeight="1" x14ac:dyDescent="0.2">
      <c r="A427" t="s">
        <v>3348</v>
      </c>
      <c r="B427" t="s">
        <v>3349</v>
      </c>
      <c r="C427" t="s">
        <v>3350</v>
      </c>
      <c r="D427" t="s">
        <v>645</v>
      </c>
      <c r="E427" s="6" t="s">
        <v>4766</v>
      </c>
      <c r="F427" s="6">
        <v>2</v>
      </c>
      <c r="G427" t="s">
        <v>3356</v>
      </c>
      <c r="H427" s="59">
        <v>8424</v>
      </c>
      <c r="I427" t="s">
        <v>4693</v>
      </c>
      <c r="J427" s="63" t="s">
        <v>5665</v>
      </c>
      <c r="K427" s="52" t="s">
        <v>5666</v>
      </c>
      <c r="L427">
        <v>6</v>
      </c>
      <c r="M427" s="59">
        <v>13478</v>
      </c>
      <c r="N427" s="59" t="s">
        <v>4611</v>
      </c>
      <c r="O427" t="s">
        <v>4632</v>
      </c>
      <c r="P427" s="60" t="str">
        <f t="shared" si="6"/>
        <v xml:space="preserve"> </v>
      </c>
    </row>
    <row r="428" spans="1:16" ht="14.25" customHeight="1" x14ac:dyDescent="0.2">
      <c r="A428" t="s">
        <v>3363</v>
      </c>
      <c r="B428" t="s">
        <v>3364</v>
      </c>
      <c r="C428" t="s">
        <v>3365</v>
      </c>
      <c r="D428" t="s">
        <v>645</v>
      </c>
      <c r="E428" s="6" t="s">
        <v>4673</v>
      </c>
      <c r="F428" s="6">
        <v>1</v>
      </c>
      <c r="G428" t="s">
        <v>3370</v>
      </c>
      <c r="H428" s="59">
        <v>4367</v>
      </c>
      <c r="I428" t="s">
        <v>4629</v>
      </c>
      <c r="J428" s="63" t="s">
        <v>4774</v>
      </c>
      <c r="K428" s="52" t="s">
        <v>5667</v>
      </c>
      <c r="L428">
        <v>4</v>
      </c>
      <c r="M428" s="59">
        <v>13232</v>
      </c>
      <c r="N428" s="59" t="s">
        <v>4611</v>
      </c>
      <c r="O428" t="s">
        <v>4632</v>
      </c>
      <c r="P428" s="60" t="str">
        <f t="shared" si="6"/>
        <v xml:space="preserve"> </v>
      </c>
    </row>
    <row r="429" spans="1:16" ht="14.25" customHeight="1" x14ac:dyDescent="0.2">
      <c r="A429" t="s">
        <v>3363</v>
      </c>
      <c r="B429" t="s">
        <v>3364</v>
      </c>
      <c r="C429" t="s">
        <v>3365</v>
      </c>
      <c r="D429" t="s">
        <v>645</v>
      </c>
      <c r="E429" s="6" t="s">
        <v>4811</v>
      </c>
      <c r="F429" s="6">
        <v>2</v>
      </c>
      <c r="G429" t="s">
        <v>3371</v>
      </c>
      <c r="H429" s="59">
        <v>4855</v>
      </c>
      <c r="I429" t="s">
        <v>4622</v>
      </c>
      <c r="J429" s="63" t="s">
        <v>5668</v>
      </c>
      <c r="K429" s="52" t="s">
        <v>5669</v>
      </c>
      <c r="L429" t="s">
        <v>137</v>
      </c>
      <c r="M429" s="59" t="s">
        <v>137</v>
      </c>
      <c r="N429" s="59" t="s">
        <v>4616</v>
      </c>
      <c r="O429">
        <v>2500</v>
      </c>
      <c r="P429" s="60">
        <f t="shared" si="6"/>
        <v>5.1493305870236874</v>
      </c>
    </row>
    <row r="430" spans="1:16" ht="14.25" customHeight="1" x14ac:dyDescent="0.2">
      <c r="A430" t="s">
        <v>3376</v>
      </c>
      <c r="B430" t="s">
        <v>3377</v>
      </c>
      <c r="C430" t="s">
        <v>3378</v>
      </c>
      <c r="D430" t="s">
        <v>645</v>
      </c>
      <c r="E430" s="6" t="s">
        <v>4659</v>
      </c>
      <c r="F430" s="6">
        <v>1</v>
      </c>
      <c r="G430" t="s">
        <v>3382</v>
      </c>
      <c r="H430" s="59">
        <v>2556</v>
      </c>
      <c r="I430" t="s">
        <v>4668</v>
      </c>
      <c r="J430" s="63" t="s">
        <v>5670</v>
      </c>
      <c r="K430" s="52" t="s">
        <v>5671</v>
      </c>
      <c r="L430" t="s">
        <v>137</v>
      </c>
      <c r="M430" s="59" t="s">
        <v>137</v>
      </c>
      <c r="N430" s="59" t="s">
        <v>4616</v>
      </c>
      <c r="O430">
        <v>1600</v>
      </c>
      <c r="P430" s="60">
        <f t="shared" si="6"/>
        <v>6.2597809076682323</v>
      </c>
    </row>
    <row r="431" spans="1:16" ht="14.25" customHeight="1" x14ac:dyDescent="0.2">
      <c r="A431" t="s">
        <v>3376</v>
      </c>
      <c r="B431" t="s">
        <v>3377</v>
      </c>
      <c r="C431" t="s">
        <v>3378</v>
      </c>
      <c r="D431" t="s">
        <v>645</v>
      </c>
      <c r="E431" s="6" t="s">
        <v>4628</v>
      </c>
      <c r="F431" s="6">
        <v>2</v>
      </c>
      <c r="G431" t="s">
        <v>3383</v>
      </c>
      <c r="H431" s="59">
        <v>6610</v>
      </c>
      <c r="I431" t="s">
        <v>4629</v>
      </c>
      <c r="J431" s="63" t="s">
        <v>5672</v>
      </c>
      <c r="K431" s="52" t="s">
        <v>5673</v>
      </c>
      <c r="L431">
        <v>5</v>
      </c>
      <c r="M431" s="59">
        <v>13881</v>
      </c>
      <c r="N431" s="59" t="s">
        <v>4611</v>
      </c>
      <c r="O431" t="s">
        <v>4632</v>
      </c>
      <c r="P431" s="60" t="str">
        <f t="shared" si="6"/>
        <v xml:space="preserve"> </v>
      </c>
    </row>
    <row r="432" spans="1:16" ht="14.25" customHeight="1" x14ac:dyDescent="0.2">
      <c r="A432" t="s">
        <v>3389</v>
      </c>
      <c r="B432" t="s">
        <v>3390</v>
      </c>
      <c r="C432" t="s">
        <v>3391</v>
      </c>
      <c r="D432" t="s">
        <v>759</v>
      </c>
      <c r="E432" s="6" t="s">
        <v>5674</v>
      </c>
      <c r="F432" s="6">
        <v>1</v>
      </c>
      <c r="G432" t="s">
        <v>3396</v>
      </c>
      <c r="H432" s="59">
        <v>2835</v>
      </c>
      <c r="I432" t="s">
        <v>4842</v>
      </c>
      <c r="J432" s="63" t="s">
        <v>5675</v>
      </c>
      <c r="K432" s="52" t="s">
        <v>5676</v>
      </c>
      <c r="L432">
        <v>6</v>
      </c>
      <c r="M432" s="59">
        <v>13267</v>
      </c>
      <c r="N432" s="59" t="s">
        <v>4611</v>
      </c>
      <c r="O432">
        <v>1200</v>
      </c>
      <c r="P432" s="60">
        <f t="shared" si="6"/>
        <v>4.2328042328042326</v>
      </c>
    </row>
    <row r="433" spans="1:16" ht="14.25" customHeight="1" x14ac:dyDescent="0.2">
      <c r="A433" t="s">
        <v>3389</v>
      </c>
      <c r="B433" t="s">
        <v>3390</v>
      </c>
      <c r="C433" t="s">
        <v>3391</v>
      </c>
      <c r="D433" t="s">
        <v>759</v>
      </c>
      <c r="E433" s="6" t="s">
        <v>5138</v>
      </c>
      <c r="F433" s="6">
        <v>2</v>
      </c>
      <c r="G433" t="s">
        <v>3397</v>
      </c>
      <c r="H433" s="59">
        <v>7475</v>
      </c>
      <c r="I433" t="s">
        <v>4723</v>
      </c>
      <c r="J433" s="63" t="s">
        <v>5677</v>
      </c>
      <c r="K433" s="52" t="s">
        <v>5678</v>
      </c>
      <c r="L433" t="s">
        <v>137</v>
      </c>
      <c r="M433" s="59" t="s">
        <v>137</v>
      </c>
      <c r="N433" s="59" t="s">
        <v>4616</v>
      </c>
      <c r="O433">
        <v>2000</v>
      </c>
      <c r="P433" s="60">
        <f t="shared" si="6"/>
        <v>2.6755852842809364</v>
      </c>
    </row>
    <row r="434" spans="1:16" ht="14.25" customHeight="1" x14ac:dyDescent="0.2">
      <c r="A434" t="s">
        <v>3405</v>
      </c>
      <c r="B434" t="s">
        <v>3406</v>
      </c>
      <c r="C434" t="s">
        <v>3407</v>
      </c>
      <c r="D434" t="s">
        <v>759</v>
      </c>
      <c r="E434" s="6" t="s">
        <v>5138</v>
      </c>
      <c r="F434" s="6">
        <v>1</v>
      </c>
      <c r="G434" t="s">
        <v>3412</v>
      </c>
      <c r="H434" s="59">
        <v>2600</v>
      </c>
      <c r="I434" t="s">
        <v>4618</v>
      </c>
      <c r="J434" s="63" t="s">
        <v>5679</v>
      </c>
      <c r="K434" s="52" t="s">
        <v>5680</v>
      </c>
      <c r="L434">
        <v>7</v>
      </c>
      <c r="M434" s="59">
        <v>10400</v>
      </c>
      <c r="N434" s="59" t="s">
        <v>4611</v>
      </c>
      <c r="O434">
        <f>800+1800</f>
        <v>2600</v>
      </c>
      <c r="P434" s="60">
        <f t="shared" si="6"/>
        <v>10</v>
      </c>
    </row>
    <row r="435" spans="1:16" ht="14.25" customHeight="1" x14ac:dyDescent="0.2">
      <c r="A435" t="s">
        <v>3405</v>
      </c>
      <c r="B435" t="s">
        <v>3406</v>
      </c>
      <c r="C435" t="s">
        <v>3407</v>
      </c>
      <c r="D435" t="s">
        <v>759</v>
      </c>
      <c r="E435" s="6" t="s">
        <v>4628</v>
      </c>
      <c r="F435" s="6">
        <v>2</v>
      </c>
      <c r="G435" t="s">
        <v>3413</v>
      </c>
      <c r="H435" s="59">
        <v>8600</v>
      </c>
      <c r="I435" t="s">
        <v>4629</v>
      </c>
      <c r="J435" s="63" t="s">
        <v>5681</v>
      </c>
      <c r="K435" s="52" t="s">
        <v>5682</v>
      </c>
      <c r="L435" t="s">
        <v>137</v>
      </c>
      <c r="M435" s="59" t="s">
        <v>137</v>
      </c>
      <c r="N435" s="59" t="s">
        <v>4616</v>
      </c>
      <c r="O435" t="s">
        <v>4632</v>
      </c>
      <c r="P435" s="60" t="str">
        <f t="shared" si="6"/>
        <v xml:space="preserve"> </v>
      </c>
    </row>
    <row r="436" spans="1:16" ht="14.25" customHeight="1" x14ac:dyDescent="0.2">
      <c r="A436" t="s">
        <v>3421</v>
      </c>
      <c r="B436" t="s">
        <v>3422</v>
      </c>
      <c r="C436" t="s">
        <v>3423</v>
      </c>
      <c r="D436" t="s">
        <v>759</v>
      </c>
      <c r="E436" s="6" t="s">
        <v>5683</v>
      </c>
      <c r="F436" s="6">
        <v>1</v>
      </c>
      <c r="G436" t="s">
        <v>3428</v>
      </c>
      <c r="H436" s="59">
        <v>2841</v>
      </c>
      <c r="I436" t="s">
        <v>4618</v>
      </c>
      <c r="J436" s="63" t="s">
        <v>5684</v>
      </c>
      <c r="K436" s="52" t="s">
        <v>5685</v>
      </c>
      <c r="L436" t="s">
        <v>137</v>
      </c>
      <c r="M436" s="59" t="s">
        <v>137</v>
      </c>
      <c r="N436" s="59" t="s">
        <v>4616</v>
      </c>
      <c r="O436">
        <f>3*150+700+5*150</f>
        <v>1900</v>
      </c>
      <c r="P436" s="60">
        <f t="shared" si="6"/>
        <v>6.6877859908482931</v>
      </c>
    </row>
    <row r="437" spans="1:16" ht="14.25" customHeight="1" x14ac:dyDescent="0.2">
      <c r="A437" t="s">
        <v>3421</v>
      </c>
      <c r="B437" t="s">
        <v>3422</v>
      </c>
      <c r="C437" t="s">
        <v>3423</v>
      </c>
      <c r="D437" t="s">
        <v>759</v>
      </c>
      <c r="E437" s="6" t="s">
        <v>4696</v>
      </c>
      <c r="F437" s="6">
        <v>2</v>
      </c>
      <c r="G437" t="s">
        <v>3429</v>
      </c>
      <c r="H437" s="59">
        <v>6737</v>
      </c>
      <c r="I437" t="s">
        <v>4618</v>
      </c>
      <c r="J437" s="63" t="s">
        <v>5686</v>
      </c>
      <c r="K437" s="52" t="s">
        <v>5687</v>
      </c>
      <c r="L437">
        <v>5</v>
      </c>
      <c r="M437" s="59">
        <v>14147</v>
      </c>
      <c r="N437" s="59" t="s">
        <v>4611</v>
      </c>
      <c r="O437" t="s">
        <v>4632</v>
      </c>
      <c r="P437" s="60" t="str">
        <f t="shared" si="6"/>
        <v xml:space="preserve"> </v>
      </c>
    </row>
    <row r="438" spans="1:16" ht="14.25" customHeight="1" x14ac:dyDescent="0.2">
      <c r="A438" t="s">
        <v>3436</v>
      </c>
      <c r="B438" t="s">
        <v>3437</v>
      </c>
      <c r="C438" t="s">
        <v>3438</v>
      </c>
      <c r="D438" t="s">
        <v>759</v>
      </c>
      <c r="E438" s="6" t="s">
        <v>4841</v>
      </c>
      <c r="F438" s="6">
        <v>1</v>
      </c>
      <c r="G438" t="s">
        <v>3443</v>
      </c>
      <c r="H438" s="59">
        <v>2558</v>
      </c>
      <c r="I438" t="s">
        <v>4842</v>
      </c>
      <c r="J438" s="63" t="s">
        <v>5688</v>
      </c>
      <c r="K438" s="52" t="s">
        <v>5689</v>
      </c>
      <c r="L438" t="s">
        <v>137</v>
      </c>
      <c r="M438" s="59" t="s">
        <v>137</v>
      </c>
      <c r="N438" s="59" t="s">
        <v>4616</v>
      </c>
      <c r="O438">
        <v>2600</v>
      </c>
      <c r="P438" s="60">
        <f t="shared" si="6"/>
        <v>10.164190774042222</v>
      </c>
    </row>
    <row r="439" spans="1:16" ht="14.25" customHeight="1" x14ac:dyDescent="0.2">
      <c r="A439" t="s">
        <v>3436</v>
      </c>
      <c r="B439" t="s">
        <v>3437</v>
      </c>
      <c r="C439" t="s">
        <v>3438</v>
      </c>
      <c r="D439" t="s">
        <v>759</v>
      </c>
      <c r="E439" s="6" t="s">
        <v>5389</v>
      </c>
      <c r="F439" s="6">
        <v>2</v>
      </c>
      <c r="G439" t="s">
        <v>3444</v>
      </c>
      <c r="H439" s="59">
        <v>4000</v>
      </c>
      <c r="I439" t="s">
        <v>4629</v>
      </c>
      <c r="J439" s="63" t="s">
        <v>5690</v>
      </c>
      <c r="K439" s="52" t="s">
        <v>5691</v>
      </c>
      <c r="L439" t="s">
        <v>137</v>
      </c>
      <c r="M439" s="59" t="s">
        <v>137</v>
      </c>
      <c r="N439" s="59" t="s">
        <v>4616</v>
      </c>
      <c r="O439" t="s">
        <v>4632</v>
      </c>
      <c r="P439" s="60" t="str">
        <f t="shared" si="6"/>
        <v xml:space="preserve"> </v>
      </c>
    </row>
    <row r="440" spans="1:16" ht="14.25" customHeight="1" x14ac:dyDescent="0.2">
      <c r="A440" t="s">
        <v>3451</v>
      </c>
      <c r="B440" t="s">
        <v>3452</v>
      </c>
      <c r="C440" t="s">
        <v>3453</v>
      </c>
      <c r="D440" t="s">
        <v>759</v>
      </c>
      <c r="E440" s="6" t="s">
        <v>4841</v>
      </c>
      <c r="F440" s="6">
        <v>1</v>
      </c>
      <c r="G440" t="s">
        <v>3458</v>
      </c>
      <c r="H440" s="59">
        <v>2558</v>
      </c>
      <c r="I440" t="s">
        <v>4842</v>
      </c>
      <c r="J440" s="63" t="s">
        <v>5692</v>
      </c>
      <c r="K440" s="52" t="s">
        <v>5693</v>
      </c>
      <c r="L440">
        <v>4</v>
      </c>
      <c r="M440" s="59">
        <v>8953</v>
      </c>
      <c r="N440" s="59" t="s">
        <v>4611</v>
      </c>
      <c r="O440">
        <v>2000</v>
      </c>
      <c r="P440" s="60">
        <f t="shared" si="6"/>
        <v>7.8186082877247856</v>
      </c>
    </row>
    <row r="441" spans="1:16" ht="14.25" customHeight="1" x14ac:dyDescent="0.2">
      <c r="A441" t="s">
        <v>3451</v>
      </c>
      <c r="B441" t="s">
        <v>3452</v>
      </c>
      <c r="C441" t="s">
        <v>3453</v>
      </c>
      <c r="D441" t="s">
        <v>759</v>
      </c>
      <c r="E441" s="6" t="s">
        <v>5138</v>
      </c>
      <c r="F441" s="6">
        <v>2</v>
      </c>
      <c r="G441" t="s">
        <v>3459</v>
      </c>
      <c r="H441" s="59">
        <v>5008</v>
      </c>
      <c r="I441" t="s">
        <v>4723</v>
      </c>
      <c r="J441" s="63" t="s">
        <v>5694</v>
      </c>
      <c r="K441" s="52" t="s">
        <v>5695</v>
      </c>
      <c r="L441" t="s">
        <v>137</v>
      </c>
      <c r="M441" s="59" t="s">
        <v>137</v>
      </c>
      <c r="N441" s="59" t="s">
        <v>4616</v>
      </c>
      <c r="O441">
        <v>2000</v>
      </c>
      <c r="P441" s="60">
        <f t="shared" si="6"/>
        <v>3.9936102236421727</v>
      </c>
    </row>
    <row r="442" spans="1:16" ht="14.25" customHeight="1" x14ac:dyDescent="0.2">
      <c r="A442" t="s">
        <v>3467</v>
      </c>
      <c r="B442" t="s">
        <v>3468</v>
      </c>
      <c r="C442" t="s">
        <v>3469</v>
      </c>
      <c r="D442" t="s">
        <v>759</v>
      </c>
      <c r="E442" s="6" t="s">
        <v>5138</v>
      </c>
      <c r="F442" s="6">
        <v>1</v>
      </c>
      <c r="G442" t="s">
        <v>3474</v>
      </c>
      <c r="H442" s="59">
        <v>2504</v>
      </c>
      <c r="I442" t="s">
        <v>4723</v>
      </c>
      <c r="J442" s="63" t="s">
        <v>5696</v>
      </c>
      <c r="K442" s="52" t="s">
        <v>5697</v>
      </c>
      <c r="L442">
        <v>5</v>
      </c>
      <c r="M442" s="59">
        <v>9515</v>
      </c>
      <c r="N442" s="59" t="s">
        <v>4611</v>
      </c>
      <c r="O442">
        <v>2200</v>
      </c>
      <c r="P442" s="60">
        <f t="shared" si="6"/>
        <v>8.7859424920127793</v>
      </c>
    </row>
    <row r="443" spans="1:16" ht="14.25" customHeight="1" x14ac:dyDescent="0.2">
      <c r="A443" t="s">
        <v>3467</v>
      </c>
      <c r="B443" t="s">
        <v>3468</v>
      </c>
      <c r="C443" t="s">
        <v>3469</v>
      </c>
      <c r="D443" t="s">
        <v>759</v>
      </c>
      <c r="E443" s="6" t="s">
        <v>4841</v>
      </c>
      <c r="F443" s="6">
        <v>2</v>
      </c>
      <c r="G443" t="s">
        <v>3475</v>
      </c>
      <c r="H443" s="59">
        <v>5115</v>
      </c>
      <c r="I443" t="s">
        <v>4842</v>
      </c>
      <c r="J443" s="63" t="s">
        <v>5698</v>
      </c>
      <c r="K443" s="52" t="s">
        <v>5699</v>
      </c>
      <c r="L443" t="s">
        <v>137</v>
      </c>
      <c r="M443" s="59" t="s">
        <v>137</v>
      </c>
      <c r="N443" s="59" t="s">
        <v>4616</v>
      </c>
      <c r="O443">
        <v>2200</v>
      </c>
      <c r="P443" s="60">
        <f t="shared" si="6"/>
        <v>4.301075268817204</v>
      </c>
    </row>
    <row r="444" spans="1:16" ht="14.25" customHeight="1" x14ac:dyDescent="0.2">
      <c r="A444" t="s">
        <v>3481</v>
      </c>
      <c r="B444" t="s">
        <v>3482</v>
      </c>
      <c r="C444" t="s">
        <v>3483</v>
      </c>
      <c r="D444" t="s">
        <v>759</v>
      </c>
      <c r="E444" s="6" t="s">
        <v>4845</v>
      </c>
      <c r="F444" s="6">
        <v>1</v>
      </c>
      <c r="G444" t="s">
        <v>3488</v>
      </c>
      <c r="H444" s="59">
        <v>2395</v>
      </c>
      <c r="I444" t="s">
        <v>4842</v>
      </c>
      <c r="J444" s="63" t="s">
        <v>5700</v>
      </c>
      <c r="K444" s="52" t="s">
        <v>5701</v>
      </c>
      <c r="L444">
        <v>4</v>
      </c>
      <c r="M444" s="59">
        <v>10298</v>
      </c>
      <c r="N444" s="59" t="s">
        <v>4611</v>
      </c>
      <c r="O444">
        <f>3*700</f>
        <v>2100</v>
      </c>
      <c r="P444" s="60">
        <f t="shared" si="6"/>
        <v>8.7682672233820451</v>
      </c>
    </row>
    <row r="445" spans="1:16" ht="14.25" customHeight="1" x14ac:dyDescent="0.2">
      <c r="A445" t="s">
        <v>3481</v>
      </c>
      <c r="B445" t="s">
        <v>3482</v>
      </c>
      <c r="C445" t="s">
        <v>3483</v>
      </c>
      <c r="D445" t="s">
        <v>759</v>
      </c>
      <c r="E445" s="6" t="s">
        <v>4841</v>
      </c>
      <c r="F445" s="6">
        <v>2</v>
      </c>
      <c r="G445" t="s">
        <v>3489</v>
      </c>
      <c r="H445" s="59">
        <v>5051</v>
      </c>
      <c r="I445" t="s">
        <v>4660</v>
      </c>
      <c r="J445" s="63" t="s">
        <v>5702</v>
      </c>
      <c r="K445" s="52" t="s">
        <v>5703</v>
      </c>
      <c r="L445" t="s">
        <v>137</v>
      </c>
      <c r="M445" s="59" t="s">
        <v>137</v>
      </c>
      <c r="N445" s="59" t="s">
        <v>4616</v>
      </c>
      <c r="O445">
        <v>2000</v>
      </c>
      <c r="P445" s="60">
        <f t="shared" si="6"/>
        <v>3.9596119580281131</v>
      </c>
    </row>
    <row r="446" spans="1:16" ht="14.25" customHeight="1" x14ac:dyDescent="0.2">
      <c r="A446" t="s">
        <v>3495</v>
      </c>
      <c r="B446" t="s">
        <v>3496</v>
      </c>
      <c r="C446" t="s">
        <v>3497</v>
      </c>
      <c r="D446" t="s">
        <v>839</v>
      </c>
      <c r="E446" s="6" t="s">
        <v>5704</v>
      </c>
      <c r="F446" s="6">
        <v>1</v>
      </c>
      <c r="G446" t="s">
        <v>3502</v>
      </c>
      <c r="H446" s="59">
        <v>2800</v>
      </c>
      <c r="I446" t="s">
        <v>4842</v>
      </c>
      <c r="J446" s="63" t="s">
        <v>5705</v>
      </c>
      <c r="K446" s="52" t="s">
        <v>5706</v>
      </c>
      <c r="L446">
        <v>5</v>
      </c>
      <c r="M446" s="59">
        <v>7980</v>
      </c>
      <c r="N446" s="59" t="s">
        <v>4611</v>
      </c>
      <c r="O446">
        <v>2400</v>
      </c>
      <c r="P446" s="60">
        <f t="shared" si="6"/>
        <v>8.5714285714285712</v>
      </c>
    </row>
    <row r="447" spans="1:16" ht="14.25" customHeight="1" x14ac:dyDescent="0.2">
      <c r="A447" t="s">
        <v>3495</v>
      </c>
      <c r="B447" t="s">
        <v>3496</v>
      </c>
      <c r="C447" t="s">
        <v>3497</v>
      </c>
      <c r="D447" t="s">
        <v>839</v>
      </c>
      <c r="E447" s="6" t="s">
        <v>5707</v>
      </c>
      <c r="F447" s="6">
        <v>2</v>
      </c>
      <c r="G447" t="s">
        <v>3503</v>
      </c>
      <c r="H447" s="59">
        <v>4200</v>
      </c>
      <c r="I447" t="s">
        <v>4629</v>
      </c>
      <c r="J447" s="63" t="s">
        <v>5708</v>
      </c>
      <c r="K447" s="52" t="s">
        <v>5708</v>
      </c>
      <c r="L447" t="s">
        <v>137</v>
      </c>
      <c r="M447" s="59" t="s">
        <v>137</v>
      </c>
      <c r="N447" s="59" t="s">
        <v>4616</v>
      </c>
      <c r="O447" t="s">
        <v>4632</v>
      </c>
      <c r="P447" s="60" t="str">
        <f t="shared" si="6"/>
        <v xml:space="preserve"> </v>
      </c>
    </row>
    <row r="448" spans="1:16" ht="14.25" customHeight="1" x14ac:dyDescent="0.2">
      <c r="A448" t="s">
        <v>3511</v>
      </c>
      <c r="B448" t="s">
        <v>3512</v>
      </c>
      <c r="C448" t="s">
        <v>3513</v>
      </c>
      <c r="D448" t="s">
        <v>839</v>
      </c>
      <c r="E448" s="6" t="s">
        <v>5709</v>
      </c>
      <c r="F448" s="6">
        <v>1</v>
      </c>
      <c r="G448" t="s">
        <v>3518</v>
      </c>
      <c r="H448" s="59">
        <v>2950</v>
      </c>
      <c r="I448" t="s">
        <v>4842</v>
      </c>
      <c r="J448" s="63" t="s">
        <v>5710</v>
      </c>
      <c r="K448" s="52" t="s">
        <v>5711</v>
      </c>
      <c r="L448">
        <v>7</v>
      </c>
      <c r="M448" s="59">
        <v>19175</v>
      </c>
      <c r="N448" s="59" t="s">
        <v>4611</v>
      </c>
      <c r="O448">
        <v>3000</v>
      </c>
      <c r="P448" s="60">
        <f t="shared" si="6"/>
        <v>10.169491525423728</v>
      </c>
    </row>
    <row r="449" spans="1:16" ht="14.25" customHeight="1" x14ac:dyDescent="0.2">
      <c r="A449" t="s">
        <v>3511</v>
      </c>
      <c r="B449" t="s">
        <v>3512</v>
      </c>
      <c r="C449" t="s">
        <v>3513</v>
      </c>
      <c r="D449" t="s">
        <v>839</v>
      </c>
      <c r="E449" s="6" t="s">
        <v>5712</v>
      </c>
      <c r="F449" s="6">
        <v>2</v>
      </c>
      <c r="G449" t="s">
        <v>3519</v>
      </c>
      <c r="H449" s="59">
        <v>6300</v>
      </c>
      <c r="I449" t="s">
        <v>4629</v>
      </c>
      <c r="J449" s="63" t="s">
        <v>5713</v>
      </c>
      <c r="K449" s="52" t="s">
        <v>5714</v>
      </c>
      <c r="L449" t="s">
        <v>137</v>
      </c>
      <c r="M449" s="59" t="s">
        <v>137</v>
      </c>
      <c r="N449" s="59" t="s">
        <v>4616</v>
      </c>
      <c r="O449" t="s">
        <v>4632</v>
      </c>
      <c r="P449" s="60" t="str">
        <f t="shared" si="6"/>
        <v xml:space="preserve"> </v>
      </c>
    </row>
    <row r="450" spans="1:16" ht="14.25" customHeight="1" x14ac:dyDescent="0.2">
      <c r="A450" t="s">
        <v>3527</v>
      </c>
      <c r="B450" t="s">
        <v>3528</v>
      </c>
      <c r="C450" t="s">
        <v>3529</v>
      </c>
      <c r="D450" t="s">
        <v>839</v>
      </c>
      <c r="E450" s="6" t="s">
        <v>5715</v>
      </c>
      <c r="F450" s="6">
        <v>1</v>
      </c>
      <c r="G450" t="s">
        <v>3534</v>
      </c>
      <c r="H450" s="59">
        <v>3000</v>
      </c>
      <c r="I450" t="s">
        <v>4668</v>
      </c>
      <c r="J450" s="63" t="s">
        <v>5716</v>
      </c>
      <c r="K450" s="52" t="s">
        <v>5717</v>
      </c>
      <c r="L450" t="s">
        <v>137</v>
      </c>
      <c r="M450" s="59" t="s">
        <v>137</v>
      </c>
      <c r="N450" s="59" t="s">
        <v>4616</v>
      </c>
      <c r="O450">
        <v>2000</v>
      </c>
      <c r="P450" s="60">
        <f t="shared" ref="P450:P514" si="7">IFERROR(O450/H450*10," ")</f>
        <v>6.6666666666666661</v>
      </c>
    </row>
    <row r="451" spans="1:16" ht="14.25" customHeight="1" x14ac:dyDescent="0.2">
      <c r="A451" t="s">
        <v>3527</v>
      </c>
      <c r="B451" t="s">
        <v>3528</v>
      </c>
      <c r="C451" t="s">
        <v>3529</v>
      </c>
      <c r="D451" t="s">
        <v>839</v>
      </c>
      <c r="E451" s="6" t="s">
        <v>5718</v>
      </c>
      <c r="F451" s="6">
        <v>2</v>
      </c>
      <c r="G451" t="s">
        <v>3535</v>
      </c>
      <c r="H451" s="59">
        <v>4500</v>
      </c>
      <c r="I451" t="s">
        <v>4629</v>
      </c>
      <c r="J451" s="63" t="s">
        <v>5719</v>
      </c>
      <c r="K451" s="52" t="s">
        <v>5720</v>
      </c>
      <c r="L451" t="s">
        <v>137</v>
      </c>
      <c r="M451" s="59" t="s">
        <v>137</v>
      </c>
      <c r="N451" s="59" t="s">
        <v>4616</v>
      </c>
      <c r="O451" t="s">
        <v>4632</v>
      </c>
      <c r="P451" s="60" t="str">
        <f t="shared" si="7"/>
        <v xml:space="preserve"> </v>
      </c>
    </row>
    <row r="452" spans="1:16" ht="14.25" customHeight="1" x14ac:dyDescent="0.2">
      <c r="A452" t="s">
        <v>3541</v>
      </c>
      <c r="B452" t="s">
        <v>3542</v>
      </c>
      <c r="C452" t="s">
        <v>3543</v>
      </c>
      <c r="D452" t="s">
        <v>839</v>
      </c>
      <c r="E452" s="6" t="s">
        <v>5721</v>
      </c>
      <c r="F452" s="6">
        <v>1</v>
      </c>
      <c r="G452" t="s">
        <v>3548</v>
      </c>
      <c r="H452" s="59">
        <v>2810</v>
      </c>
      <c r="I452" t="s">
        <v>4622</v>
      </c>
      <c r="J452" s="63" t="s">
        <v>5722</v>
      </c>
      <c r="K452" s="52" t="s">
        <v>5723</v>
      </c>
      <c r="L452" t="s">
        <v>137</v>
      </c>
      <c r="M452" s="59" t="s">
        <v>137</v>
      </c>
      <c r="N452" s="59" t="s">
        <v>4616</v>
      </c>
      <c r="O452">
        <v>1000</v>
      </c>
      <c r="P452" s="60">
        <f t="shared" si="7"/>
        <v>3.5587188612099645</v>
      </c>
    </row>
    <row r="453" spans="1:16" ht="14.25" customHeight="1" x14ac:dyDescent="0.2">
      <c r="A453" t="s">
        <v>3541</v>
      </c>
      <c r="B453" t="s">
        <v>3542</v>
      </c>
      <c r="C453" t="s">
        <v>3543</v>
      </c>
      <c r="D453" t="s">
        <v>839</v>
      </c>
      <c r="E453" s="6" t="s">
        <v>5724</v>
      </c>
      <c r="F453" s="6">
        <v>2</v>
      </c>
      <c r="G453" t="s">
        <v>3549</v>
      </c>
      <c r="H453" s="59">
        <v>6500</v>
      </c>
      <c r="I453" t="s">
        <v>4608</v>
      </c>
      <c r="J453" s="63" t="s">
        <v>5725</v>
      </c>
      <c r="K453" s="52" t="s">
        <v>5726</v>
      </c>
      <c r="L453">
        <v>7</v>
      </c>
      <c r="M453" s="59">
        <v>18200</v>
      </c>
      <c r="N453" s="59" t="s">
        <v>4611</v>
      </c>
      <c r="O453">
        <f>1500+600</f>
        <v>2100</v>
      </c>
      <c r="P453" s="60">
        <f t="shared" si="7"/>
        <v>3.2307692307692308</v>
      </c>
    </row>
    <row r="454" spans="1:16" ht="14.25" customHeight="1" x14ac:dyDescent="0.2">
      <c r="A454" t="s">
        <v>3556</v>
      </c>
      <c r="B454" t="s">
        <v>3557</v>
      </c>
      <c r="C454" t="s">
        <v>3558</v>
      </c>
      <c r="D454" t="s">
        <v>839</v>
      </c>
      <c r="E454" s="6" t="s">
        <v>5549</v>
      </c>
      <c r="F454" s="6">
        <v>1</v>
      </c>
      <c r="G454" t="s">
        <v>3563</v>
      </c>
      <c r="H454" s="59">
        <v>3530</v>
      </c>
      <c r="I454" t="s">
        <v>5508</v>
      </c>
      <c r="J454" s="63" t="s">
        <v>5727</v>
      </c>
      <c r="K454" s="52" t="s">
        <v>5728</v>
      </c>
      <c r="L454">
        <v>3</v>
      </c>
      <c r="M454" s="59">
        <v>12355</v>
      </c>
      <c r="N454" s="59" t="s">
        <v>4611</v>
      </c>
      <c r="O454">
        <f>3*750</f>
        <v>2250</v>
      </c>
      <c r="P454" s="60">
        <f t="shared" si="7"/>
        <v>6.3739376770538243</v>
      </c>
    </row>
    <row r="455" spans="1:16" ht="14.25" customHeight="1" x14ac:dyDescent="0.2">
      <c r="A455" t="s">
        <v>3556</v>
      </c>
      <c r="B455" t="s">
        <v>3557</v>
      </c>
      <c r="C455" t="s">
        <v>3558</v>
      </c>
      <c r="D455" t="s">
        <v>839</v>
      </c>
      <c r="E455" s="6" t="s">
        <v>5176</v>
      </c>
      <c r="F455" s="6">
        <v>2</v>
      </c>
      <c r="G455" t="s">
        <v>3564</v>
      </c>
      <c r="H455" s="59">
        <v>4553</v>
      </c>
      <c r="I455" t="s">
        <v>4629</v>
      </c>
      <c r="J455" s="63" t="s">
        <v>5729</v>
      </c>
      <c r="K455" s="52" t="s">
        <v>5730</v>
      </c>
      <c r="L455" t="s">
        <v>137</v>
      </c>
      <c r="M455" s="59" t="s">
        <v>137</v>
      </c>
      <c r="N455" s="59" t="s">
        <v>4616</v>
      </c>
      <c r="O455" t="s">
        <v>4632</v>
      </c>
      <c r="P455" s="60" t="str">
        <f t="shared" si="7"/>
        <v xml:space="preserve"> </v>
      </c>
    </row>
    <row r="456" spans="1:16" ht="14.25" customHeight="1" x14ac:dyDescent="0.2">
      <c r="A456" t="s">
        <v>3570</v>
      </c>
      <c r="B456" t="s">
        <v>3571</v>
      </c>
      <c r="C456" t="s">
        <v>3572</v>
      </c>
      <c r="D456" t="s">
        <v>839</v>
      </c>
      <c r="E456" s="6" t="s">
        <v>4628</v>
      </c>
      <c r="F456" s="6">
        <v>1</v>
      </c>
      <c r="G456" t="s">
        <v>3577</v>
      </c>
      <c r="H456" s="59">
        <v>3817</v>
      </c>
      <c r="I456" t="s">
        <v>4629</v>
      </c>
      <c r="J456" s="63" t="s">
        <v>5731</v>
      </c>
      <c r="K456" s="52" t="s">
        <v>5732</v>
      </c>
      <c r="L456">
        <v>6</v>
      </c>
      <c r="M456" s="59">
        <v>14122</v>
      </c>
      <c r="N456" s="59" t="s">
        <v>4611</v>
      </c>
      <c r="O456" t="s">
        <v>4632</v>
      </c>
      <c r="P456" s="60" t="str">
        <f t="shared" si="7"/>
        <v xml:space="preserve"> </v>
      </c>
    </row>
    <row r="457" spans="1:16" ht="14.25" customHeight="1" x14ac:dyDescent="0.2">
      <c r="A457" t="s">
        <v>3570</v>
      </c>
      <c r="B457" t="s">
        <v>3571</v>
      </c>
      <c r="C457" t="s">
        <v>3572</v>
      </c>
      <c r="D457" t="s">
        <v>839</v>
      </c>
      <c r="E457" s="6" t="s">
        <v>4678</v>
      </c>
      <c r="F457" s="6">
        <v>2</v>
      </c>
      <c r="G457" t="s">
        <v>3578</v>
      </c>
      <c r="H457" s="59">
        <v>7288</v>
      </c>
      <c r="I457" t="s">
        <v>4629</v>
      </c>
      <c r="J457" s="63" t="s">
        <v>5733</v>
      </c>
      <c r="K457" s="52" t="s">
        <v>5734</v>
      </c>
      <c r="L457" t="s">
        <v>137</v>
      </c>
      <c r="M457" s="59" t="s">
        <v>137</v>
      </c>
      <c r="N457" s="59" t="s">
        <v>4616</v>
      </c>
      <c r="O457" t="s">
        <v>4632</v>
      </c>
      <c r="P457" s="60" t="str">
        <f t="shared" si="7"/>
        <v xml:space="preserve"> </v>
      </c>
    </row>
    <row r="458" spans="1:16" ht="14.25" customHeight="1" x14ac:dyDescent="0.2">
      <c r="A458" t="s">
        <v>3583</v>
      </c>
      <c r="B458" t="s">
        <v>3584</v>
      </c>
      <c r="C458" t="s">
        <v>3585</v>
      </c>
      <c r="D458" t="s">
        <v>839</v>
      </c>
      <c r="E458" s="6" t="s">
        <v>4852</v>
      </c>
      <c r="F458" s="6">
        <v>1</v>
      </c>
      <c r="G458" t="s">
        <v>3590</v>
      </c>
      <c r="H458" s="59">
        <v>2711</v>
      </c>
      <c r="I458" t="s">
        <v>4629</v>
      </c>
      <c r="J458" s="63" t="s">
        <v>5735</v>
      </c>
      <c r="K458" s="52" t="s">
        <v>5736</v>
      </c>
      <c r="L458">
        <v>5</v>
      </c>
      <c r="M458" s="59">
        <v>9488</v>
      </c>
      <c r="N458" s="59" t="s">
        <v>4611</v>
      </c>
      <c r="O458">
        <v>2400</v>
      </c>
      <c r="P458" s="60">
        <f t="shared" si="7"/>
        <v>8.8528218369605316</v>
      </c>
    </row>
    <row r="459" spans="1:16" ht="14.25" customHeight="1" x14ac:dyDescent="0.2">
      <c r="A459" t="s">
        <v>3583</v>
      </c>
      <c r="B459" t="s">
        <v>3584</v>
      </c>
      <c r="C459" t="s">
        <v>3585</v>
      </c>
      <c r="D459" t="s">
        <v>839</v>
      </c>
      <c r="E459" s="6" t="s">
        <v>4628</v>
      </c>
      <c r="F459" s="6">
        <v>2</v>
      </c>
      <c r="G459" t="s">
        <v>3591</v>
      </c>
      <c r="H459" s="59">
        <v>11449</v>
      </c>
      <c r="I459" t="s">
        <v>4629</v>
      </c>
      <c r="J459" s="63" t="s">
        <v>5737</v>
      </c>
      <c r="K459" s="52" t="s">
        <v>5738</v>
      </c>
      <c r="L459" t="s">
        <v>137</v>
      </c>
      <c r="M459" s="59" t="s">
        <v>137</v>
      </c>
      <c r="N459" s="59" t="s">
        <v>4616</v>
      </c>
      <c r="O459" t="s">
        <v>4632</v>
      </c>
      <c r="P459" s="60" t="str">
        <f t="shared" si="7"/>
        <v xml:space="preserve"> </v>
      </c>
    </row>
    <row r="460" spans="1:16" ht="14.25" customHeight="1" x14ac:dyDescent="0.2">
      <c r="A460" t="s">
        <v>3596</v>
      </c>
      <c r="B460" t="s">
        <v>3597</v>
      </c>
      <c r="C460" t="s">
        <v>3598</v>
      </c>
      <c r="D460" t="s">
        <v>839</v>
      </c>
      <c r="E460" s="6" t="s">
        <v>4852</v>
      </c>
      <c r="F460" s="6">
        <v>1</v>
      </c>
      <c r="G460" t="s">
        <v>3603</v>
      </c>
      <c r="H460" s="59">
        <v>2785</v>
      </c>
      <c r="I460" t="s">
        <v>4869</v>
      </c>
      <c r="J460" s="63" t="s">
        <v>5739</v>
      </c>
      <c r="K460" s="52" t="s">
        <v>5740</v>
      </c>
      <c r="L460">
        <v>4</v>
      </c>
      <c r="M460" s="59">
        <v>8912</v>
      </c>
      <c r="N460" s="59" t="s">
        <v>4611</v>
      </c>
      <c r="O460">
        <v>2000</v>
      </c>
      <c r="P460" s="60">
        <f t="shared" si="7"/>
        <v>7.1813285457809695</v>
      </c>
    </row>
    <row r="461" spans="1:16" ht="14.25" customHeight="1" x14ac:dyDescent="0.2">
      <c r="A461" t="s">
        <v>3596</v>
      </c>
      <c r="B461" t="s">
        <v>3597</v>
      </c>
      <c r="C461" t="s">
        <v>3598</v>
      </c>
      <c r="D461" t="s">
        <v>839</v>
      </c>
      <c r="E461" s="6" t="s">
        <v>4696</v>
      </c>
      <c r="F461" s="6">
        <v>2</v>
      </c>
      <c r="G461" t="s">
        <v>3604</v>
      </c>
      <c r="H461" s="59">
        <v>3909</v>
      </c>
      <c r="I461" t="s">
        <v>4629</v>
      </c>
      <c r="J461" s="63" t="s">
        <v>5741</v>
      </c>
      <c r="K461" s="52" t="s">
        <v>5742</v>
      </c>
      <c r="L461" t="s">
        <v>137</v>
      </c>
      <c r="M461" s="59" t="s">
        <v>137</v>
      </c>
      <c r="N461" s="59" t="s">
        <v>4616</v>
      </c>
      <c r="O461" t="s">
        <v>4632</v>
      </c>
      <c r="P461" s="60" t="str">
        <f t="shared" si="7"/>
        <v xml:space="preserve"> </v>
      </c>
    </row>
    <row r="462" spans="1:16" ht="14.25" customHeight="1" x14ac:dyDescent="0.2">
      <c r="A462" t="s">
        <v>3609</v>
      </c>
      <c r="B462" t="s">
        <v>3610</v>
      </c>
      <c r="C462" t="s">
        <v>3611</v>
      </c>
      <c r="D462" t="s">
        <v>949</v>
      </c>
      <c r="E462" s="6" t="s">
        <v>4897</v>
      </c>
      <c r="F462" s="6">
        <v>1</v>
      </c>
      <c r="G462" t="s">
        <v>3616</v>
      </c>
      <c r="H462" s="59">
        <v>6255</v>
      </c>
      <c r="I462" t="s">
        <v>4842</v>
      </c>
      <c r="J462" s="63" t="s">
        <v>5743</v>
      </c>
      <c r="K462" s="52" t="s">
        <v>5744</v>
      </c>
      <c r="L462">
        <v>6</v>
      </c>
      <c r="M462" s="59">
        <v>16982</v>
      </c>
      <c r="N462" s="59" t="s">
        <v>4611</v>
      </c>
      <c r="O462">
        <v>2000</v>
      </c>
      <c r="P462" s="60">
        <f t="shared" si="7"/>
        <v>3.1974420463629096</v>
      </c>
    </row>
    <row r="463" spans="1:16" ht="14.25" customHeight="1" x14ac:dyDescent="0.2">
      <c r="A463" t="s">
        <v>3609</v>
      </c>
      <c r="B463" t="s">
        <v>3610</v>
      </c>
      <c r="C463" t="s">
        <v>3611</v>
      </c>
      <c r="D463" t="s">
        <v>949</v>
      </c>
      <c r="E463" s="6" t="s">
        <v>5446</v>
      </c>
      <c r="F463" s="6">
        <v>2</v>
      </c>
      <c r="G463" t="s">
        <v>3617</v>
      </c>
      <c r="H463" s="59">
        <v>8940</v>
      </c>
      <c r="I463" t="s">
        <v>4629</v>
      </c>
      <c r="J463" s="63" t="s">
        <v>5745</v>
      </c>
      <c r="K463" s="52" t="s">
        <v>5746</v>
      </c>
      <c r="L463" t="s">
        <v>137</v>
      </c>
      <c r="M463" s="59" t="s">
        <v>137</v>
      </c>
      <c r="N463" s="59" t="s">
        <v>4616</v>
      </c>
      <c r="O463">
        <f>1200+30*75</f>
        <v>3450</v>
      </c>
      <c r="P463" s="60">
        <f t="shared" si="7"/>
        <v>3.8590604026845639</v>
      </c>
    </row>
    <row r="464" spans="1:16" ht="14.25" customHeight="1" x14ac:dyDescent="0.2">
      <c r="A464" t="s">
        <v>3624</v>
      </c>
      <c r="B464" t="s">
        <v>3625</v>
      </c>
      <c r="C464" t="s">
        <v>3626</v>
      </c>
      <c r="D464" t="s">
        <v>949</v>
      </c>
      <c r="E464" s="6" t="s">
        <v>5747</v>
      </c>
      <c r="F464" s="6">
        <v>1</v>
      </c>
      <c r="G464" t="s">
        <v>3631</v>
      </c>
      <c r="H464" s="59">
        <v>5850</v>
      </c>
      <c r="I464" t="s">
        <v>4842</v>
      </c>
      <c r="J464" s="63" t="s">
        <v>5748</v>
      </c>
      <c r="K464" s="52" t="s">
        <v>5749</v>
      </c>
      <c r="L464">
        <v>5</v>
      </c>
      <c r="M464" s="59">
        <v>17550</v>
      </c>
      <c r="N464" s="59" t="s">
        <v>4611</v>
      </c>
      <c r="O464" t="s">
        <v>4632</v>
      </c>
      <c r="P464" s="60" t="str">
        <f t="shared" si="7"/>
        <v xml:space="preserve"> </v>
      </c>
    </row>
    <row r="465" spans="1:16" ht="14.25" customHeight="1" x14ac:dyDescent="0.2">
      <c r="A465" t="s">
        <v>3624</v>
      </c>
      <c r="B465" t="s">
        <v>3625</v>
      </c>
      <c r="C465" t="s">
        <v>3626</v>
      </c>
      <c r="D465" t="s">
        <v>949</v>
      </c>
      <c r="E465" s="6" t="s">
        <v>5750</v>
      </c>
      <c r="F465" s="6">
        <v>2</v>
      </c>
      <c r="G465" t="s">
        <v>3632</v>
      </c>
      <c r="H465" s="59">
        <v>8775</v>
      </c>
      <c r="I465" t="s">
        <v>4825</v>
      </c>
      <c r="J465" s="63" t="s">
        <v>5751</v>
      </c>
      <c r="K465" s="52" t="s">
        <v>5752</v>
      </c>
      <c r="L465" t="s">
        <v>137</v>
      </c>
      <c r="M465" s="59" t="s">
        <v>137</v>
      </c>
      <c r="N465" s="59" t="s">
        <v>4616</v>
      </c>
      <c r="O465">
        <v>2500</v>
      </c>
      <c r="P465" s="60">
        <f t="shared" si="7"/>
        <v>2.8490028490028489</v>
      </c>
    </row>
    <row r="466" spans="1:16" ht="14.25" customHeight="1" x14ac:dyDescent="0.2">
      <c r="A466" t="s">
        <v>3639</v>
      </c>
      <c r="B466" t="s">
        <v>3640</v>
      </c>
      <c r="C466" t="s">
        <v>3641</v>
      </c>
      <c r="D466" t="s">
        <v>949</v>
      </c>
      <c r="E466" s="6" t="s">
        <v>4897</v>
      </c>
      <c r="F466" s="6">
        <v>1</v>
      </c>
      <c r="G466" t="s">
        <v>3646</v>
      </c>
      <c r="H466" s="59">
        <v>5916</v>
      </c>
      <c r="I466" t="s">
        <v>4842</v>
      </c>
      <c r="J466" s="63" t="s">
        <v>5753</v>
      </c>
      <c r="K466" s="52" t="s">
        <v>5754</v>
      </c>
      <c r="L466">
        <v>6</v>
      </c>
      <c r="M466" s="59">
        <v>14494</v>
      </c>
      <c r="N466" s="59" t="s">
        <v>4611</v>
      </c>
      <c r="O466" t="s">
        <v>4632</v>
      </c>
      <c r="P466" s="60" t="str">
        <f t="shared" si="7"/>
        <v xml:space="preserve"> </v>
      </c>
    </row>
    <row r="467" spans="1:16" ht="14.25" customHeight="1" x14ac:dyDescent="0.2">
      <c r="A467" t="s">
        <v>3639</v>
      </c>
      <c r="B467" t="s">
        <v>3640</v>
      </c>
      <c r="C467" t="s">
        <v>3641</v>
      </c>
      <c r="D467" t="s">
        <v>949</v>
      </c>
      <c r="E467" s="6" t="s">
        <v>4678</v>
      </c>
      <c r="F467" s="6">
        <v>2</v>
      </c>
      <c r="G467" t="s">
        <v>3647</v>
      </c>
      <c r="H467" s="59">
        <v>11832</v>
      </c>
      <c r="I467" t="s">
        <v>4629</v>
      </c>
      <c r="J467" s="63" t="s">
        <v>5755</v>
      </c>
      <c r="K467" s="52" t="s">
        <v>5756</v>
      </c>
      <c r="L467" t="s">
        <v>137</v>
      </c>
      <c r="M467" s="59" t="s">
        <v>137</v>
      </c>
      <c r="N467" s="59" t="s">
        <v>4616</v>
      </c>
      <c r="O467" t="s">
        <v>4632</v>
      </c>
      <c r="P467" s="60" t="str">
        <f t="shared" si="7"/>
        <v xml:space="preserve"> </v>
      </c>
    </row>
    <row r="468" spans="1:16" ht="14.25" customHeight="1" x14ac:dyDescent="0.2">
      <c r="A468" t="s">
        <v>3650</v>
      </c>
      <c r="B468" t="s">
        <v>3651</v>
      </c>
      <c r="C468" t="s">
        <v>3652</v>
      </c>
      <c r="D468" t="s">
        <v>949</v>
      </c>
      <c r="E468" s="6" t="s">
        <v>4897</v>
      </c>
      <c r="F468" s="6">
        <v>1</v>
      </c>
      <c r="G468" t="s">
        <v>3657</v>
      </c>
      <c r="H468" s="59">
        <v>5916</v>
      </c>
      <c r="I468" t="s">
        <v>4776</v>
      </c>
      <c r="J468" s="63" t="s">
        <v>5757</v>
      </c>
      <c r="K468" s="52" t="s">
        <v>4919</v>
      </c>
      <c r="L468" t="s">
        <v>137</v>
      </c>
      <c r="M468" s="59" t="s">
        <v>137</v>
      </c>
      <c r="N468" s="59" t="s">
        <v>4616</v>
      </c>
      <c r="O468" t="s">
        <v>4632</v>
      </c>
      <c r="P468" s="60" t="str">
        <f t="shared" si="7"/>
        <v xml:space="preserve"> </v>
      </c>
    </row>
    <row r="469" spans="1:16" ht="14.25" customHeight="1" x14ac:dyDescent="0.2">
      <c r="A469" t="s">
        <v>3650</v>
      </c>
      <c r="B469" t="s">
        <v>3651</v>
      </c>
      <c r="C469" t="s">
        <v>3652</v>
      </c>
      <c r="D469" t="s">
        <v>949</v>
      </c>
      <c r="E469" s="6" t="s">
        <v>4678</v>
      </c>
      <c r="F469" s="6">
        <v>2</v>
      </c>
      <c r="G469" t="s">
        <v>3658</v>
      </c>
      <c r="H469" s="59">
        <v>7288</v>
      </c>
      <c r="I469" t="s">
        <v>4842</v>
      </c>
      <c r="J469" s="63" t="s">
        <v>5758</v>
      </c>
      <c r="K469" s="52" t="s">
        <v>5759</v>
      </c>
      <c r="L469" t="s">
        <v>137</v>
      </c>
      <c r="M469" s="59" t="s">
        <v>137</v>
      </c>
      <c r="N469" s="59" t="s">
        <v>4616</v>
      </c>
      <c r="O469" t="s">
        <v>4632</v>
      </c>
      <c r="P469" s="60" t="str">
        <f t="shared" si="7"/>
        <v xml:space="preserve"> </v>
      </c>
    </row>
    <row r="470" spans="1:16" ht="14.25" customHeight="1" x14ac:dyDescent="0.2">
      <c r="A470" t="s">
        <v>3661</v>
      </c>
      <c r="B470" t="s">
        <v>3662</v>
      </c>
      <c r="C470" t="s">
        <v>3663</v>
      </c>
      <c r="D470" t="s">
        <v>949</v>
      </c>
      <c r="E470" s="6" t="s">
        <v>4897</v>
      </c>
      <c r="F470" s="6">
        <v>1</v>
      </c>
      <c r="G470" t="s">
        <v>3668</v>
      </c>
      <c r="H470" s="59">
        <v>5916</v>
      </c>
      <c r="I470" t="s">
        <v>4776</v>
      </c>
      <c r="J470" s="63" t="s">
        <v>5760</v>
      </c>
      <c r="K470" s="52" t="s">
        <v>5761</v>
      </c>
      <c r="L470">
        <v>5</v>
      </c>
      <c r="M470" s="59">
        <v>14790</v>
      </c>
      <c r="N470" s="59" t="s">
        <v>4611</v>
      </c>
      <c r="O470" t="s">
        <v>4632</v>
      </c>
      <c r="P470" s="60" t="str">
        <f t="shared" si="7"/>
        <v xml:space="preserve"> </v>
      </c>
    </row>
    <row r="471" spans="1:16" ht="14.25" customHeight="1" x14ac:dyDescent="0.2">
      <c r="A471" t="s">
        <v>3661</v>
      </c>
      <c r="B471" t="s">
        <v>3662</v>
      </c>
      <c r="C471" t="s">
        <v>3663</v>
      </c>
      <c r="D471" t="s">
        <v>949</v>
      </c>
      <c r="E471" s="6" t="s">
        <v>5389</v>
      </c>
      <c r="F471" s="6">
        <v>2</v>
      </c>
      <c r="G471" t="s">
        <v>3669</v>
      </c>
      <c r="H471" s="59">
        <v>4819</v>
      </c>
      <c r="I471" t="s">
        <v>4842</v>
      </c>
      <c r="J471" s="63" t="s">
        <v>5762</v>
      </c>
      <c r="K471" s="52" t="s">
        <v>5763</v>
      </c>
      <c r="L471" t="s">
        <v>137</v>
      </c>
      <c r="M471" s="59" t="s">
        <v>137</v>
      </c>
      <c r="N471" s="59" t="s">
        <v>4616</v>
      </c>
      <c r="O471" t="s">
        <v>4632</v>
      </c>
      <c r="P471" s="60" t="str">
        <f t="shared" si="7"/>
        <v xml:space="preserve"> </v>
      </c>
    </row>
    <row r="472" spans="1:16" ht="14.25" customHeight="1" x14ac:dyDescent="0.2">
      <c r="A472" t="s">
        <v>3675</v>
      </c>
      <c r="B472" t="s">
        <v>3676</v>
      </c>
      <c r="C472" t="s">
        <v>3677</v>
      </c>
      <c r="D472" t="s">
        <v>949</v>
      </c>
      <c r="E472" s="6" t="s">
        <v>4897</v>
      </c>
      <c r="F472" s="6">
        <v>1</v>
      </c>
      <c r="G472" t="s">
        <v>3682</v>
      </c>
      <c r="H472" s="59">
        <v>5916</v>
      </c>
      <c r="I472" t="s">
        <v>4776</v>
      </c>
      <c r="J472" s="63" t="s">
        <v>5764</v>
      </c>
      <c r="K472" s="52" t="s">
        <v>5765</v>
      </c>
      <c r="L472">
        <v>5</v>
      </c>
      <c r="M472" s="59">
        <v>14198</v>
      </c>
      <c r="N472" s="59" t="s">
        <v>4611</v>
      </c>
      <c r="O472" t="s">
        <v>4632</v>
      </c>
      <c r="P472" s="60" t="str">
        <f t="shared" si="7"/>
        <v xml:space="preserve"> </v>
      </c>
    </row>
    <row r="473" spans="1:16" ht="14.25" customHeight="1" x14ac:dyDescent="0.2">
      <c r="A473" t="s">
        <v>3675</v>
      </c>
      <c r="B473" t="s">
        <v>3676</v>
      </c>
      <c r="C473" t="s">
        <v>3677</v>
      </c>
      <c r="D473" t="s">
        <v>949</v>
      </c>
      <c r="E473" s="6" t="s">
        <v>5766</v>
      </c>
      <c r="F473" s="6">
        <v>2</v>
      </c>
      <c r="G473" t="s">
        <v>3683</v>
      </c>
      <c r="H473" s="59">
        <v>9662</v>
      </c>
      <c r="I473" t="s">
        <v>4629</v>
      </c>
      <c r="J473" s="63" t="s">
        <v>5767</v>
      </c>
      <c r="K473" s="52" t="s">
        <v>5768</v>
      </c>
      <c r="L473" t="s">
        <v>137</v>
      </c>
      <c r="M473" s="59" t="s">
        <v>137</v>
      </c>
      <c r="N473" s="59" t="s">
        <v>4616</v>
      </c>
      <c r="O473">
        <v>2000</v>
      </c>
      <c r="P473" s="60">
        <f t="shared" si="7"/>
        <v>2.0699648105982198</v>
      </c>
    </row>
    <row r="474" spans="1:16" ht="14.25" customHeight="1" x14ac:dyDescent="0.2">
      <c r="A474" t="s">
        <v>3687</v>
      </c>
      <c r="B474" t="s">
        <v>3688</v>
      </c>
      <c r="C474" t="s">
        <v>3689</v>
      </c>
      <c r="D474" t="s">
        <v>949</v>
      </c>
      <c r="E474" s="6" t="s">
        <v>4897</v>
      </c>
      <c r="F474" s="6">
        <v>1</v>
      </c>
      <c r="G474" t="s">
        <v>3694</v>
      </c>
      <c r="H474" s="59">
        <v>4930</v>
      </c>
      <c r="I474" t="s">
        <v>4776</v>
      </c>
      <c r="J474" s="63" t="s">
        <v>5769</v>
      </c>
      <c r="K474" s="52" t="s">
        <v>5770</v>
      </c>
      <c r="L474" t="s">
        <v>137</v>
      </c>
      <c r="M474" s="59" t="s">
        <v>137</v>
      </c>
      <c r="N474" s="59" t="s">
        <v>4616</v>
      </c>
      <c r="O474" t="s">
        <v>4632</v>
      </c>
      <c r="P474" s="60" t="str">
        <f t="shared" si="7"/>
        <v xml:space="preserve"> </v>
      </c>
    </row>
    <row r="475" spans="1:16" ht="14.25" customHeight="1" x14ac:dyDescent="0.2">
      <c r="A475" t="s">
        <v>3687</v>
      </c>
      <c r="B475" t="s">
        <v>3688</v>
      </c>
      <c r="C475" t="s">
        <v>3689</v>
      </c>
      <c r="D475" t="s">
        <v>949</v>
      </c>
      <c r="E475" s="6" t="s">
        <v>4897</v>
      </c>
      <c r="F475" s="6">
        <v>2</v>
      </c>
      <c r="G475" t="s">
        <v>3695</v>
      </c>
      <c r="H475" s="59">
        <v>11832</v>
      </c>
      <c r="I475" t="s">
        <v>4629</v>
      </c>
      <c r="J475" s="63" t="s">
        <v>5771</v>
      </c>
      <c r="K475" s="52" t="s">
        <v>5772</v>
      </c>
      <c r="L475">
        <v>5</v>
      </c>
      <c r="M475" s="59">
        <v>9465</v>
      </c>
      <c r="N475" s="59" t="s">
        <v>4611</v>
      </c>
      <c r="O475" t="s">
        <v>4632</v>
      </c>
      <c r="P475" s="60" t="str">
        <f t="shared" si="7"/>
        <v xml:space="preserve"> </v>
      </c>
    </row>
    <row r="476" spans="1:16" ht="14.25" customHeight="1" x14ac:dyDescent="0.2">
      <c r="A476" t="s">
        <v>3701</v>
      </c>
      <c r="B476" t="s">
        <v>3702</v>
      </c>
      <c r="C476" t="s">
        <v>3703</v>
      </c>
      <c r="D476" t="s">
        <v>949</v>
      </c>
      <c r="E476" s="6" t="s">
        <v>4897</v>
      </c>
      <c r="F476" s="6">
        <v>1</v>
      </c>
      <c r="G476" t="s">
        <v>3707</v>
      </c>
      <c r="H476" s="59">
        <v>5916</v>
      </c>
      <c r="I476" t="s">
        <v>4776</v>
      </c>
      <c r="J476" s="63" t="s">
        <v>5757</v>
      </c>
      <c r="K476" s="52" t="s">
        <v>4919</v>
      </c>
      <c r="L476" t="s">
        <v>137</v>
      </c>
      <c r="M476" s="59" t="s">
        <v>137</v>
      </c>
      <c r="N476" s="59" t="s">
        <v>4616</v>
      </c>
      <c r="O476" t="s">
        <v>4632</v>
      </c>
      <c r="P476" s="60" t="str">
        <f t="shared" si="7"/>
        <v xml:space="preserve"> </v>
      </c>
    </row>
    <row r="477" spans="1:16" ht="14.25" customHeight="1" x14ac:dyDescent="0.2">
      <c r="A477" t="s">
        <v>3701</v>
      </c>
      <c r="B477" t="s">
        <v>3702</v>
      </c>
      <c r="C477" t="s">
        <v>3703</v>
      </c>
      <c r="D477" t="s">
        <v>949</v>
      </c>
      <c r="E477" s="6" t="s">
        <v>4673</v>
      </c>
      <c r="F477" s="6">
        <v>2</v>
      </c>
      <c r="G477" t="s">
        <v>3708</v>
      </c>
      <c r="H477" s="59">
        <v>7633</v>
      </c>
      <c r="I477" t="s">
        <v>4629</v>
      </c>
      <c r="J477" s="63" t="s">
        <v>5773</v>
      </c>
      <c r="K477" s="52" t="s">
        <v>5194</v>
      </c>
      <c r="L477">
        <v>3</v>
      </c>
      <c r="M477" s="59">
        <v>10686</v>
      </c>
      <c r="N477" s="59" t="s">
        <v>4611</v>
      </c>
      <c r="O477" t="s">
        <v>4632</v>
      </c>
      <c r="P477" s="60" t="str">
        <f t="shared" si="7"/>
        <v xml:space="preserve"> </v>
      </c>
    </row>
    <row r="478" spans="1:16" ht="14.25" customHeight="1" x14ac:dyDescent="0.2">
      <c r="A478" t="s">
        <v>3713</v>
      </c>
      <c r="B478" t="s">
        <v>3714</v>
      </c>
      <c r="C478" t="s">
        <v>3715</v>
      </c>
      <c r="D478" t="s">
        <v>1054</v>
      </c>
      <c r="E478" s="6" t="s">
        <v>5774</v>
      </c>
      <c r="F478" s="6">
        <v>1</v>
      </c>
      <c r="G478" t="s">
        <v>3720</v>
      </c>
      <c r="H478" s="59">
        <v>4480</v>
      </c>
      <c r="I478" t="s">
        <v>4641</v>
      </c>
      <c r="J478" s="63" t="s">
        <v>5775</v>
      </c>
      <c r="K478" s="52" t="s">
        <v>5776</v>
      </c>
      <c r="L478">
        <v>5</v>
      </c>
      <c r="M478" s="59">
        <v>7481</v>
      </c>
      <c r="N478" s="59" t="s">
        <v>4611</v>
      </c>
      <c r="O478">
        <f>12*150</f>
        <v>1800</v>
      </c>
      <c r="P478" s="60">
        <f t="shared" si="7"/>
        <v>4.0178571428571432</v>
      </c>
    </row>
    <row r="479" spans="1:16" ht="14.25" customHeight="1" x14ac:dyDescent="0.2">
      <c r="A479" t="s">
        <v>3713</v>
      </c>
      <c r="B479" t="s">
        <v>3714</v>
      </c>
      <c r="C479" t="s">
        <v>3715</v>
      </c>
      <c r="D479" t="s">
        <v>1054</v>
      </c>
      <c r="E479" s="6" t="s">
        <v>5777</v>
      </c>
      <c r="F479" s="6">
        <v>2</v>
      </c>
      <c r="G479" t="s">
        <v>3721</v>
      </c>
      <c r="H479" s="59">
        <v>8450</v>
      </c>
      <c r="I479" t="s">
        <v>4618</v>
      </c>
      <c r="J479" s="63" t="s">
        <v>5778</v>
      </c>
      <c r="K479" s="52" t="s">
        <v>5779</v>
      </c>
      <c r="L479" t="s">
        <v>137</v>
      </c>
      <c r="M479" s="59" t="s">
        <v>137</v>
      </c>
      <c r="N479" s="59" t="s">
        <v>4616</v>
      </c>
      <c r="O479">
        <v>1800</v>
      </c>
      <c r="P479" s="60">
        <f t="shared" si="7"/>
        <v>2.1301775147928996</v>
      </c>
    </row>
    <row r="480" spans="1:16" ht="14.25" customHeight="1" x14ac:dyDescent="0.2">
      <c r="A480" t="s">
        <v>3730</v>
      </c>
      <c r="B480" t="s">
        <v>3731</v>
      </c>
      <c r="C480" t="s">
        <v>3732</v>
      </c>
      <c r="D480" t="s">
        <v>1054</v>
      </c>
      <c r="E480" s="6" t="s">
        <v>5780</v>
      </c>
      <c r="F480" s="6">
        <v>1</v>
      </c>
      <c r="G480" t="s">
        <v>3737</v>
      </c>
      <c r="H480" s="59">
        <v>999999</v>
      </c>
      <c r="I480" t="s">
        <v>4613</v>
      </c>
      <c r="J480" s="63" t="s">
        <v>5781</v>
      </c>
      <c r="K480" s="52" t="s">
        <v>5782</v>
      </c>
      <c r="L480">
        <v>4</v>
      </c>
      <c r="M480" s="59">
        <v>9452</v>
      </c>
      <c r="N480" s="59" t="s">
        <v>4611</v>
      </c>
      <c r="O480">
        <f>220*9</f>
        <v>1980</v>
      </c>
      <c r="P480" s="60">
        <f t="shared" si="7"/>
        <v>1.9800019800019802E-2</v>
      </c>
    </row>
    <row r="481" spans="1:16" ht="14.25" customHeight="1" x14ac:dyDescent="0.2">
      <c r="A481" t="s">
        <v>3730</v>
      </c>
      <c r="B481" t="s">
        <v>3731</v>
      </c>
      <c r="C481" t="s">
        <v>3732</v>
      </c>
      <c r="D481" t="s">
        <v>1054</v>
      </c>
      <c r="E481" s="6" t="s">
        <v>5783</v>
      </c>
      <c r="F481" s="6">
        <v>2</v>
      </c>
      <c r="G481" t="s">
        <v>3738</v>
      </c>
      <c r="H481" s="59">
        <v>999999</v>
      </c>
      <c r="I481" t="s">
        <v>4629</v>
      </c>
      <c r="J481" s="63" t="s">
        <v>5784</v>
      </c>
      <c r="K481" s="52" t="s">
        <v>5785</v>
      </c>
      <c r="L481" t="s">
        <v>137</v>
      </c>
      <c r="M481" s="59" t="s">
        <v>137</v>
      </c>
      <c r="N481" s="59" t="s">
        <v>4616</v>
      </c>
      <c r="O481" t="s">
        <v>4632</v>
      </c>
      <c r="P481" s="60" t="str">
        <f t="shared" si="7"/>
        <v xml:space="preserve"> </v>
      </c>
    </row>
    <row r="482" spans="1:16" ht="14.25" customHeight="1" x14ac:dyDescent="0.2">
      <c r="A482" t="s">
        <v>3745</v>
      </c>
      <c r="B482" t="s">
        <v>3746</v>
      </c>
      <c r="C482" t="s">
        <v>3747</v>
      </c>
      <c r="D482" t="s">
        <v>1054</v>
      </c>
      <c r="E482" s="6" t="s">
        <v>4931</v>
      </c>
      <c r="F482" s="6">
        <v>1</v>
      </c>
      <c r="G482" t="s">
        <v>3752</v>
      </c>
      <c r="H482" s="59">
        <v>3060</v>
      </c>
      <c r="I482" t="s">
        <v>4825</v>
      </c>
      <c r="J482" s="63" t="s">
        <v>5786</v>
      </c>
      <c r="K482" s="52" t="s">
        <v>5787</v>
      </c>
      <c r="L482">
        <v>6</v>
      </c>
      <c r="M482" s="59">
        <v>7650</v>
      </c>
      <c r="N482" s="59" t="s">
        <v>4611</v>
      </c>
      <c r="O482">
        <v>2000</v>
      </c>
      <c r="P482" s="60">
        <f t="shared" si="7"/>
        <v>6.5359477124183005</v>
      </c>
    </row>
    <row r="483" spans="1:16" ht="14.25" customHeight="1" x14ac:dyDescent="0.2">
      <c r="A483" t="s">
        <v>3745</v>
      </c>
      <c r="B483" t="s">
        <v>3746</v>
      </c>
      <c r="C483" t="s">
        <v>3747</v>
      </c>
      <c r="D483" t="s">
        <v>1054</v>
      </c>
      <c r="E483" s="6" t="s">
        <v>4696</v>
      </c>
      <c r="F483" s="6">
        <v>2</v>
      </c>
      <c r="G483" t="s">
        <v>3753</v>
      </c>
      <c r="H483" s="59">
        <v>6120</v>
      </c>
      <c r="I483" t="s">
        <v>4629</v>
      </c>
      <c r="J483" s="63" t="s">
        <v>5788</v>
      </c>
      <c r="K483" s="52" t="s">
        <v>5789</v>
      </c>
      <c r="L483" t="s">
        <v>137</v>
      </c>
      <c r="M483" s="59" t="s">
        <v>137</v>
      </c>
      <c r="N483" s="59" t="s">
        <v>4616</v>
      </c>
      <c r="O483">
        <v>3000</v>
      </c>
      <c r="P483" s="60">
        <f t="shared" si="7"/>
        <v>4.901960784313725</v>
      </c>
    </row>
    <row r="484" spans="1:16" ht="14.25" customHeight="1" x14ac:dyDescent="0.2">
      <c r="A484" t="s">
        <v>3760</v>
      </c>
      <c r="B484" t="s">
        <v>3761</v>
      </c>
      <c r="C484" t="s">
        <v>3762</v>
      </c>
      <c r="D484" t="s">
        <v>1054</v>
      </c>
      <c r="E484" s="6" t="s">
        <v>5217</v>
      </c>
      <c r="F484" s="6">
        <v>1</v>
      </c>
      <c r="G484" t="s">
        <v>3766</v>
      </c>
      <c r="H484" s="59">
        <v>3060</v>
      </c>
      <c r="I484" t="s">
        <v>4842</v>
      </c>
      <c r="J484" s="63" t="s">
        <v>5790</v>
      </c>
      <c r="K484" s="52" t="s">
        <v>5791</v>
      </c>
      <c r="L484">
        <v>4</v>
      </c>
      <c r="M484" s="59">
        <v>7650</v>
      </c>
      <c r="N484" s="59" t="s">
        <v>4611</v>
      </c>
      <c r="O484">
        <v>1800</v>
      </c>
      <c r="P484" s="60">
        <f t="shared" si="7"/>
        <v>5.882352941176471</v>
      </c>
    </row>
    <row r="485" spans="1:16" ht="14.25" customHeight="1" x14ac:dyDescent="0.2">
      <c r="A485" t="s">
        <v>3760</v>
      </c>
      <c r="B485" t="s">
        <v>3761</v>
      </c>
      <c r="C485" t="s">
        <v>3762</v>
      </c>
      <c r="D485" t="s">
        <v>1054</v>
      </c>
      <c r="E485" s="6" t="s">
        <v>4696</v>
      </c>
      <c r="F485" s="6">
        <v>2</v>
      </c>
      <c r="G485" t="s">
        <v>3767</v>
      </c>
      <c r="H485" s="59">
        <v>6120</v>
      </c>
      <c r="I485" t="s">
        <v>4629</v>
      </c>
      <c r="J485" s="63" t="s">
        <v>5792</v>
      </c>
      <c r="K485" s="52" t="s">
        <v>5793</v>
      </c>
      <c r="L485" t="s">
        <v>137</v>
      </c>
      <c r="M485" s="59" t="s">
        <v>137</v>
      </c>
      <c r="N485" s="59" t="s">
        <v>4616</v>
      </c>
      <c r="O485" t="s">
        <v>4632</v>
      </c>
      <c r="P485" s="60" t="str">
        <f t="shared" si="7"/>
        <v xml:space="preserve"> </v>
      </c>
    </row>
    <row r="486" spans="1:16" ht="14.25" customHeight="1" x14ac:dyDescent="0.2">
      <c r="A486" t="s">
        <v>3772</v>
      </c>
      <c r="B486" t="s">
        <v>3773</v>
      </c>
      <c r="C486" t="s">
        <v>3774</v>
      </c>
      <c r="D486" t="s">
        <v>123</v>
      </c>
      <c r="E486" s="6" t="s">
        <v>5794</v>
      </c>
      <c r="F486" s="6">
        <v>1</v>
      </c>
      <c r="G486" t="s">
        <v>3780</v>
      </c>
      <c r="H486" s="59">
        <v>2376</v>
      </c>
      <c r="I486" t="s">
        <v>4618</v>
      </c>
      <c r="J486" s="63" t="s">
        <v>5795</v>
      </c>
      <c r="K486" s="52" t="s">
        <v>5795</v>
      </c>
      <c r="L486">
        <v>5</v>
      </c>
      <c r="M486" s="59">
        <v>9005</v>
      </c>
      <c r="N486" s="59" t="s">
        <v>4611</v>
      </c>
      <c r="O486">
        <v>3200</v>
      </c>
      <c r="P486" s="62">
        <f t="shared" si="7"/>
        <v>13.468013468013469</v>
      </c>
    </row>
    <row r="487" spans="1:16" ht="14.25" customHeight="1" x14ac:dyDescent="0.2">
      <c r="A487" t="s">
        <v>3772</v>
      </c>
      <c r="B487" t="s">
        <v>3773</v>
      </c>
      <c r="C487" t="s">
        <v>3774</v>
      </c>
      <c r="D487" t="s">
        <v>123</v>
      </c>
      <c r="E487" s="6" t="s">
        <v>5796</v>
      </c>
      <c r="F487" s="6">
        <v>2</v>
      </c>
      <c r="G487" t="s">
        <v>3781</v>
      </c>
      <c r="H487" s="59">
        <v>1</v>
      </c>
      <c r="I487" t="s">
        <v>4629</v>
      </c>
      <c r="J487" s="63" t="s">
        <v>5797</v>
      </c>
      <c r="K487" s="52" t="s">
        <v>5798</v>
      </c>
      <c r="L487" t="s">
        <v>137</v>
      </c>
      <c r="M487" s="59" t="s">
        <v>137</v>
      </c>
      <c r="N487" s="59" t="s">
        <v>4616</v>
      </c>
      <c r="O487">
        <v>4200</v>
      </c>
      <c r="P487" s="62">
        <f t="shared" si="7"/>
        <v>42000</v>
      </c>
    </row>
    <row r="488" spans="1:16" ht="14.25" customHeight="1" x14ac:dyDescent="0.2">
      <c r="A488" t="s">
        <v>3791</v>
      </c>
      <c r="B488" t="s">
        <v>3792</v>
      </c>
      <c r="C488" t="s">
        <v>3793</v>
      </c>
      <c r="D488" t="s">
        <v>123</v>
      </c>
      <c r="E488" s="6" t="s">
        <v>5799</v>
      </c>
      <c r="F488" s="6">
        <v>1</v>
      </c>
      <c r="G488" t="s">
        <v>3798</v>
      </c>
      <c r="H488" s="59">
        <v>3360</v>
      </c>
      <c r="I488" t="s">
        <v>4660</v>
      </c>
      <c r="J488" s="63" t="s">
        <v>5800</v>
      </c>
      <c r="K488" s="52" t="s">
        <v>5801</v>
      </c>
      <c r="L488" t="s">
        <v>137</v>
      </c>
      <c r="M488" s="59" t="s">
        <v>137</v>
      </c>
      <c r="N488" s="59" t="s">
        <v>4616</v>
      </c>
      <c r="O488">
        <f>1200+200+1100</f>
        <v>2500</v>
      </c>
      <c r="P488" s="60">
        <f t="shared" si="7"/>
        <v>7.4404761904761907</v>
      </c>
    </row>
    <row r="489" spans="1:16" ht="14.25" customHeight="1" x14ac:dyDescent="0.2">
      <c r="A489" t="s">
        <v>3791</v>
      </c>
      <c r="B489" t="s">
        <v>3792</v>
      </c>
      <c r="C489" t="s">
        <v>3793</v>
      </c>
      <c r="D489" t="s">
        <v>123</v>
      </c>
      <c r="E489" s="6" t="s">
        <v>5802</v>
      </c>
      <c r="F489" s="6">
        <v>2</v>
      </c>
      <c r="G489" t="s">
        <v>3799</v>
      </c>
      <c r="H489" s="59">
        <v>5045</v>
      </c>
      <c r="I489" t="s">
        <v>4649</v>
      </c>
      <c r="J489" s="63" t="s">
        <v>5803</v>
      </c>
      <c r="K489" s="52" t="s">
        <v>5804</v>
      </c>
      <c r="L489" t="s">
        <v>137</v>
      </c>
      <c r="M489" s="59" t="s">
        <v>137</v>
      </c>
      <c r="N489" s="59" t="s">
        <v>4616</v>
      </c>
      <c r="O489">
        <v>2400</v>
      </c>
      <c r="P489" s="60">
        <f t="shared" si="7"/>
        <v>4.7571853320118933</v>
      </c>
    </row>
    <row r="490" spans="1:16" ht="14.25" customHeight="1" x14ac:dyDescent="0.2">
      <c r="A490" t="s">
        <v>3804</v>
      </c>
      <c r="B490" t="s">
        <v>3805</v>
      </c>
      <c r="C490" t="s">
        <v>3806</v>
      </c>
      <c r="D490" t="s">
        <v>123</v>
      </c>
      <c r="E490" s="6" t="s">
        <v>5805</v>
      </c>
      <c r="F490" s="6">
        <v>1</v>
      </c>
      <c r="G490" t="s">
        <v>3811</v>
      </c>
      <c r="H490" s="59">
        <v>1129</v>
      </c>
      <c r="I490" t="s">
        <v>4622</v>
      </c>
      <c r="J490" s="63" t="s">
        <v>5806</v>
      </c>
      <c r="K490" s="52" t="s">
        <v>5807</v>
      </c>
      <c r="L490" t="s">
        <v>137</v>
      </c>
      <c r="M490" s="59" t="s">
        <v>137</v>
      </c>
      <c r="N490" s="59" t="s">
        <v>4616</v>
      </c>
      <c r="O490">
        <f>230*3+540</f>
        <v>1230</v>
      </c>
      <c r="P490" s="62">
        <f t="shared" si="7"/>
        <v>10.894596988485386</v>
      </c>
    </row>
    <row r="491" spans="1:16" ht="14.25" customHeight="1" x14ac:dyDescent="0.2">
      <c r="A491" t="s">
        <v>3804</v>
      </c>
      <c r="B491" t="s">
        <v>3805</v>
      </c>
      <c r="C491" t="s">
        <v>3806</v>
      </c>
      <c r="D491" t="s">
        <v>123</v>
      </c>
      <c r="E491" s="6" t="s">
        <v>5808</v>
      </c>
      <c r="F491" s="6">
        <v>2</v>
      </c>
      <c r="G491" t="s">
        <v>3812</v>
      </c>
      <c r="H491" s="59">
        <v>1129</v>
      </c>
      <c r="I491" t="s">
        <v>4622</v>
      </c>
      <c r="J491" s="63" t="s">
        <v>5809</v>
      </c>
      <c r="K491" s="52" t="s">
        <v>5810</v>
      </c>
      <c r="L491" t="s">
        <v>137</v>
      </c>
      <c r="M491" s="59" t="s">
        <v>137</v>
      </c>
      <c r="N491" s="59" t="s">
        <v>4616</v>
      </c>
      <c r="O491">
        <v>1150</v>
      </c>
      <c r="P491" s="62">
        <f t="shared" si="7"/>
        <v>10.186005314437557</v>
      </c>
    </row>
    <row r="492" spans="1:16" ht="14.25" customHeight="1" x14ac:dyDescent="0.2">
      <c r="A492" t="s">
        <v>3818</v>
      </c>
      <c r="B492" t="s">
        <v>3819</v>
      </c>
      <c r="C492" t="s">
        <v>3820</v>
      </c>
      <c r="D492" t="s">
        <v>123</v>
      </c>
      <c r="E492" s="6" t="s">
        <v>5811</v>
      </c>
      <c r="F492" s="6">
        <v>1</v>
      </c>
      <c r="G492" t="s">
        <v>3825</v>
      </c>
      <c r="H492" s="59">
        <v>2818</v>
      </c>
      <c r="I492" t="s">
        <v>4608</v>
      </c>
      <c r="J492" s="63" t="s">
        <v>5812</v>
      </c>
      <c r="K492" s="52" t="s">
        <v>5813</v>
      </c>
      <c r="L492" t="s">
        <v>137</v>
      </c>
      <c r="M492" s="59" t="s">
        <v>137</v>
      </c>
      <c r="N492" s="59" t="s">
        <v>4616</v>
      </c>
      <c r="O492">
        <v>2000</v>
      </c>
      <c r="P492" s="60">
        <f t="shared" si="7"/>
        <v>7.0972320794890003</v>
      </c>
    </row>
    <row r="493" spans="1:16" ht="14.25" customHeight="1" x14ac:dyDescent="0.2">
      <c r="A493" t="s">
        <v>3818</v>
      </c>
      <c r="B493" t="s">
        <v>3819</v>
      </c>
      <c r="C493" t="s">
        <v>3820</v>
      </c>
      <c r="D493" t="s">
        <v>123</v>
      </c>
      <c r="E493" s="6" t="s">
        <v>5814</v>
      </c>
      <c r="F493" s="6">
        <v>2</v>
      </c>
      <c r="G493" t="s">
        <v>3826</v>
      </c>
      <c r="H493" s="59">
        <v>3636</v>
      </c>
      <c r="I493" t="s">
        <v>4629</v>
      </c>
      <c r="J493" s="63" t="s">
        <v>5815</v>
      </c>
      <c r="K493" s="52" t="s">
        <v>5815</v>
      </c>
      <c r="L493">
        <v>6</v>
      </c>
      <c r="M493" s="59">
        <v>12726</v>
      </c>
      <c r="N493" s="59" t="s">
        <v>4611</v>
      </c>
      <c r="O493" t="s">
        <v>4632</v>
      </c>
      <c r="P493" s="60" t="str">
        <f t="shared" si="7"/>
        <v xml:space="preserve"> </v>
      </c>
    </row>
    <row r="494" spans="1:16" ht="14.25" customHeight="1" x14ac:dyDescent="0.2">
      <c r="A494" t="s">
        <v>3833</v>
      </c>
      <c r="B494" t="s">
        <v>3834</v>
      </c>
      <c r="C494" t="s">
        <v>3835</v>
      </c>
      <c r="D494" t="s">
        <v>123</v>
      </c>
      <c r="E494" s="6" t="s">
        <v>4654</v>
      </c>
      <c r="F494" s="6">
        <v>1</v>
      </c>
      <c r="G494" t="s">
        <v>3840</v>
      </c>
      <c r="H494" s="59">
        <v>2503</v>
      </c>
      <c r="I494" t="s">
        <v>4660</v>
      </c>
      <c r="J494" s="63" t="s">
        <v>5816</v>
      </c>
      <c r="K494" s="52" t="s">
        <v>5817</v>
      </c>
      <c r="L494" t="s">
        <v>137</v>
      </c>
      <c r="M494" s="59" t="s">
        <v>137</v>
      </c>
      <c r="N494" s="59" t="s">
        <v>4616</v>
      </c>
      <c r="O494">
        <v>1800</v>
      </c>
      <c r="P494" s="60">
        <f t="shared" si="7"/>
        <v>7.1913703555733122</v>
      </c>
    </row>
    <row r="495" spans="1:16" ht="14.25" customHeight="1" x14ac:dyDescent="0.2">
      <c r="A495" t="s">
        <v>3833</v>
      </c>
      <c r="B495" t="s">
        <v>3834</v>
      </c>
      <c r="C495" t="s">
        <v>3835</v>
      </c>
      <c r="D495" t="s">
        <v>123</v>
      </c>
      <c r="E495" s="6" t="s">
        <v>4633</v>
      </c>
      <c r="F495" s="6">
        <v>2</v>
      </c>
      <c r="G495" t="s">
        <v>3841</v>
      </c>
      <c r="H495" s="59">
        <v>4593</v>
      </c>
      <c r="I495" t="s">
        <v>4629</v>
      </c>
      <c r="J495" s="63" t="s">
        <v>5818</v>
      </c>
      <c r="K495" s="52" t="s">
        <v>5819</v>
      </c>
      <c r="L495" t="s">
        <v>137</v>
      </c>
      <c r="M495" s="59" t="s">
        <v>137</v>
      </c>
      <c r="N495" s="59" t="s">
        <v>4616</v>
      </c>
      <c r="O495">
        <v>2400</v>
      </c>
      <c r="P495" s="60">
        <f t="shared" si="7"/>
        <v>5.2253429131286744</v>
      </c>
    </row>
    <row r="496" spans="1:16" ht="14.25" customHeight="1" x14ac:dyDescent="0.2">
      <c r="A496" t="s">
        <v>3846</v>
      </c>
      <c r="B496" t="s">
        <v>3847</v>
      </c>
      <c r="C496" t="s">
        <v>3848</v>
      </c>
      <c r="D496" t="s">
        <v>123</v>
      </c>
      <c r="E496" s="6" t="s">
        <v>4659</v>
      </c>
      <c r="F496" s="6">
        <v>1</v>
      </c>
      <c r="G496" t="s">
        <v>3853</v>
      </c>
      <c r="H496" s="59">
        <v>2376</v>
      </c>
      <c r="I496" t="s">
        <v>4660</v>
      </c>
      <c r="J496" s="63" t="s">
        <v>5820</v>
      </c>
      <c r="K496" s="52" t="s">
        <v>5821</v>
      </c>
      <c r="L496">
        <v>3</v>
      </c>
      <c r="M496" s="59">
        <v>8078</v>
      </c>
      <c r="N496" s="59" t="s">
        <v>4611</v>
      </c>
      <c r="O496">
        <v>1800</v>
      </c>
      <c r="P496" s="60">
        <f t="shared" si="7"/>
        <v>7.5757575757575761</v>
      </c>
    </row>
    <row r="497" spans="1:16" ht="14.25" customHeight="1" x14ac:dyDescent="0.2">
      <c r="A497" t="s">
        <v>3846</v>
      </c>
      <c r="B497" t="s">
        <v>3847</v>
      </c>
      <c r="C497" t="s">
        <v>3848</v>
      </c>
      <c r="D497" t="s">
        <v>123</v>
      </c>
      <c r="E497" s="6" t="s">
        <v>4696</v>
      </c>
      <c r="F497" s="6">
        <v>2</v>
      </c>
      <c r="G497" t="s">
        <v>3854</v>
      </c>
      <c r="H497" s="59">
        <v>5750</v>
      </c>
      <c r="I497" t="s">
        <v>4629</v>
      </c>
      <c r="J497" s="63" t="s">
        <v>5822</v>
      </c>
      <c r="K497" s="52" t="s">
        <v>5823</v>
      </c>
      <c r="L497" t="s">
        <v>137</v>
      </c>
      <c r="M497" s="59" t="s">
        <v>137</v>
      </c>
      <c r="N497" s="59" t="s">
        <v>4616</v>
      </c>
      <c r="O497" t="s">
        <v>4632</v>
      </c>
      <c r="P497" s="60" t="str">
        <f t="shared" si="7"/>
        <v xml:space="preserve"> </v>
      </c>
    </row>
    <row r="498" spans="1:16" ht="14.25" customHeight="1" x14ac:dyDescent="0.2">
      <c r="A498" t="s">
        <v>3860</v>
      </c>
      <c r="B498" t="s">
        <v>3861</v>
      </c>
      <c r="C498" t="s">
        <v>3862</v>
      </c>
      <c r="D498" t="s">
        <v>123</v>
      </c>
      <c r="E498" s="6" t="s">
        <v>4833</v>
      </c>
      <c r="F498" s="6">
        <v>1</v>
      </c>
      <c r="G498" t="s">
        <v>3867</v>
      </c>
      <c r="H498" s="59">
        <v>2613</v>
      </c>
      <c r="I498" t="s">
        <v>4965</v>
      </c>
      <c r="J498" s="63" t="s">
        <v>5824</v>
      </c>
      <c r="K498" s="52" t="s">
        <v>5825</v>
      </c>
      <c r="L498">
        <v>6</v>
      </c>
      <c r="M498" s="59">
        <v>6009</v>
      </c>
      <c r="N498" s="59" t="s">
        <v>4611</v>
      </c>
      <c r="O498">
        <v>1800</v>
      </c>
      <c r="P498" s="60">
        <f t="shared" si="7"/>
        <v>6.8886337543053964</v>
      </c>
    </row>
    <row r="499" spans="1:16" ht="14.25" customHeight="1" x14ac:dyDescent="0.2">
      <c r="A499" t="s">
        <v>3860</v>
      </c>
      <c r="B499" t="s">
        <v>3861</v>
      </c>
      <c r="C499" t="s">
        <v>3862</v>
      </c>
      <c r="D499" t="s">
        <v>123</v>
      </c>
      <c r="E499" s="6" t="s">
        <v>4633</v>
      </c>
      <c r="F499" s="6">
        <v>2</v>
      </c>
      <c r="G499" t="s">
        <v>3868</v>
      </c>
      <c r="H499" s="59">
        <v>4886</v>
      </c>
      <c r="I499" t="s">
        <v>4700</v>
      </c>
      <c r="J499" s="63" t="s">
        <v>5826</v>
      </c>
      <c r="K499" s="52" t="s">
        <v>5827</v>
      </c>
      <c r="L499" t="s">
        <v>137</v>
      </c>
      <c r="M499" s="59" t="s">
        <v>137</v>
      </c>
      <c r="N499" s="59" t="s">
        <v>4616</v>
      </c>
      <c r="O499">
        <v>2000</v>
      </c>
      <c r="P499" s="60">
        <f t="shared" si="7"/>
        <v>4.0933278755628324</v>
      </c>
    </row>
    <row r="500" spans="1:16" ht="14.25" customHeight="1" x14ac:dyDescent="0.2">
      <c r="A500" t="s">
        <v>3874</v>
      </c>
      <c r="B500" t="s">
        <v>3875</v>
      </c>
      <c r="C500" t="s">
        <v>3876</v>
      </c>
      <c r="D500" t="s">
        <v>330</v>
      </c>
      <c r="E500" s="6" t="s">
        <v>5828</v>
      </c>
      <c r="F500" s="6">
        <v>1</v>
      </c>
      <c r="G500" t="s">
        <v>3881</v>
      </c>
      <c r="H500" s="59">
        <v>999999</v>
      </c>
      <c r="I500" t="s">
        <v>4618</v>
      </c>
      <c r="J500" s="63" t="s">
        <v>5829</v>
      </c>
      <c r="K500" s="52" t="s">
        <v>5830</v>
      </c>
      <c r="L500">
        <v>4</v>
      </c>
      <c r="M500" s="59">
        <v>6240</v>
      </c>
      <c r="N500" s="59" t="s">
        <v>4611</v>
      </c>
      <c r="O500">
        <v>2000</v>
      </c>
      <c r="P500" s="62">
        <f t="shared" si="7"/>
        <v>2.0000020000019998E-2</v>
      </c>
    </row>
    <row r="501" spans="1:16" ht="14.25" customHeight="1" x14ac:dyDescent="0.2">
      <c r="A501" t="s">
        <v>3874</v>
      </c>
      <c r="B501" t="s">
        <v>3875</v>
      </c>
      <c r="C501" t="s">
        <v>3876</v>
      </c>
      <c r="D501" t="s">
        <v>330</v>
      </c>
      <c r="E501" s="6" t="s">
        <v>5831</v>
      </c>
      <c r="F501" s="6">
        <v>2</v>
      </c>
      <c r="G501" t="s">
        <v>137</v>
      </c>
      <c r="H501" s="59">
        <v>0</v>
      </c>
      <c r="I501" t="s">
        <v>5832</v>
      </c>
      <c r="J501" s="63" t="s">
        <v>5833</v>
      </c>
      <c r="K501" s="52" t="s">
        <v>5833</v>
      </c>
      <c r="P501" s="62"/>
    </row>
    <row r="502" spans="1:16" ht="14.25" customHeight="1" x14ac:dyDescent="0.2">
      <c r="A502" t="s">
        <v>3890</v>
      </c>
      <c r="B502" t="s">
        <v>3891</v>
      </c>
      <c r="C502" t="s">
        <v>3892</v>
      </c>
      <c r="D502" t="s">
        <v>330</v>
      </c>
      <c r="E502" s="6" t="s">
        <v>5834</v>
      </c>
      <c r="F502" s="6">
        <v>1</v>
      </c>
      <c r="G502" t="s">
        <v>3897</v>
      </c>
      <c r="H502" s="59">
        <v>3000</v>
      </c>
      <c r="I502" t="s">
        <v>4629</v>
      </c>
      <c r="J502" s="63" t="s">
        <v>5835</v>
      </c>
      <c r="K502" s="52" t="s">
        <v>5836</v>
      </c>
      <c r="L502" t="s">
        <v>137</v>
      </c>
      <c r="M502" s="59" t="s">
        <v>137</v>
      </c>
      <c r="N502" s="59" t="s">
        <v>4616</v>
      </c>
      <c r="O502">
        <v>1800</v>
      </c>
      <c r="P502" s="60">
        <f t="shared" si="7"/>
        <v>6</v>
      </c>
    </row>
    <row r="503" spans="1:16" ht="14.25" customHeight="1" x14ac:dyDescent="0.2">
      <c r="A503" t="s">
        <v>3890</v>
      </c>
      <c r="B503" t="s">
        <v>3891</v>
      </c>
      <c r="C503" t="s">
        <v>3892</v>
      </c>
      <c r="D503" t="s">
        <v>330</v>
      </c>
      <c r="E503" s="6" t="s">
        <v>4696</v>
      </c>
      <c r="F503" s="6">
        <v>2</v>
      </c>
      <c r="G503" t="s">
        <v>3898</v>
      </c>
      <c r="H503" s="59">
        <v>5259</v>
      </c>
      <c r="I503" t="s">
        <v>4629</v>
      </c>
      <c r="J503" s="63" t="s">
        <v>5837</v>
      </c>
      <c r="K503" s="52" t="s">
        <v>5838</v>
      </c>
      <c r="L503" t="s">
        <v>137</v>
      </c>
      <c r="M503" s="59" t="s">
        <v>137</v>
      </c>
      <c r="N503" s="59" t="s">
        <v>4616</v>
      </c>
      <c r="O503">
        <v>2000</v>
      </c>
      <c r="P503" s="60">
        <f t="shared" si="7"/>
        <v>3.8030043734550296</v>
      </c>
    </row>
    <row r="504" spans="1:16" ht="14.25" customHeight="1" x14ac:dyDescent="0.2">
      <c r="A504" t="s">
        <v>3904</v>
      </c>
      <c r="B504" t="s">
        <v>3905</v>
      </c>
      <c r="C504" t="s">
        <v>3906</v>
      </c>
      <c r="D504" t="s">
        <v>330</v>
      </c>
      <c r="E504" s="6" t="s">
        <v>5839</v>
      </c>
      <c r="F504" s="6">
        <v>1</v>
      </c>
      <c r="G504" t="s">
        <v>3911</v>
      </c>
      <c r="H504" s="59">
        <v>3247</v>
      </c>
      <c r="I504" t="s">
        <v>5840</v>
      </c>
      <c r="J504" s="63" t="s">
        <v>5841</v>
      </c>
      <c r="K504" s="52" t="s">
        <v>5842</v>
      </c>
      <c r="L504">
        <v>7</v>
      </c>
      <c r="M504" s="59">
        <v>11364</v>
      </c>
      <c r="N504" s="59" t="s">
        <v>4611</v>
      </c>
      <c r="O504">
        <v>3600</v>
      </c>
      <c r="P504" s="60">
        <f t="shared" si="7"/>
        <v>11.087157376039421</v>
      </c>
    </row>
    <row r="505" spans="1:16" ht="14.25" customHeight="1" x14ac:dyDescent="0.2">
      <c r="A505" t="s">
        <v>3904</v>
      </c>
      <c r="B505" t="s">
        <v>3905</v>
      </c>
      <c r="C505" t="s">
        <v>3906</v>
      </c>
      <c r="D505" t="s">
        <v>330</v>
      </c>
      <c r="E505" s="6" t="s">
        <v>5446</v>
      </c>
      <c r="F505" s="6">
        <v>2</v>
      </c>
      <c r="G505" t="s">
        <v>3912</v>
      </c>
      <c r="H505" s="59">
        <v>6000</v>
      </c>
      <c r="I505" t="s">
        <v>4629</v>
      </c>
      <c r="J505" s="63" t="s">
        <v>5843</v>
      </c>
      <c r="K505" s="52" t="s">
        <v>5844</v>
      </c>
      <c r="L505" t="s">
        <v>137</v>
      </c>
      <c r="M505" s="59" t="s">
        <v>137</v>
      </c>
      <c r="N505" s="59" t="s">
        <v>4616</v>
      </c>
      <c r="O505" t="s">
        <v>4632</v>
      </c>
      <c r="P505" s="60" t="str">
        <f t="shared" si="7"/>
        <v xml:space="preserve"> </v>
      </c>
    </row>
    <row r="506" spans="1:16" ht="14.25" customHeight="1" x14ac:dyDescent="0.2">
      <c r="A506" t="s">
        <v>3918</v>
      </c>
      <c r="B506" t="s">
        <v>3919</v>
      </c>
      <c r="C506" t="s">
        <v>3920</v>
      </c>
      <c r="D506" t="s">
        <v>330</v>
      </c>
      <c r="E506" s="6" t="s">
        <v>5845</v>
      </c>
      <c r="F506" s="6">
        <v>1</v>
      </c>
      <c r="G506" t="s">
        <v>3925</v>
      </c>
      <c r="H506" s="59">
        <v>2467</v>
      </c>
      <c r="I506" t="s">
        <v>4608</v>
      </c>
      <c r="J506" s="63" t="s">
        <v>5846</v>
      </c>
      <c r="K506" s="52" t="s">
        <v>5847</v>
      </c>
      <c r="L506">
        <v>7</v>
      </c>
      <c r="M506" s="59">
        <v>8141</v>
      </c>
      <c r="N506" s="59" t="s">
        <v>4611</v>
      </c>
      <c r="O506">
        <f>8*220</f>
        <v>1760</v>
      </c>
      <c r="P506" s="60">
        <f t="shared" si="7"/>
        <v>7.1341710579651396</v>
      </c>
    </row>
    <row r="507" spans="1:16" ht="14.25" customHeight="1" x14ac:dyDescent="0.2">
      <c r="A507" t="s">
        <v>3918</v>
      </c>
      <c r="B507" t="s">
        <v>3919</v>
      </c>
      <c r="C507" t="s">
        <v>3920</v>
      </c>
      <c r="D507" t="s">
        <v>330</v>
      </c>
      <c r="E507" s="6" t="s">
        <v>4696</v>
      </c>
      <c r="F507" s="6">
        <v>2</v>
      </c>
      <c r="G507" t="s">
        <v>3926</v>
      </c>
      <c r="H507" s="59">
        <v>7913</v>
      </c>
      <c r="I507" t="s">
        <v>4629</v>
      </c>
      <c r="J507" s="63" t="s">
        <v>5848</v>
      </c>
      <c r="K507" s="52" t="s">
        <v>5849</v>
      </c>
      <c r="L507" t="s">
        <v>137</v>
      </c>
      <c r="M507" s="59" t="s">
        <v>137</v>
      </c>
      <c r="N507" s="59" t="s">
        <v>4616</v>
      </c>
      <c r="O507" t="s">
        <v>4632</v>
      </c>
      <c r="P507" s="60" t="str">
        <f t="shared" si="7"/>
        <v xml:space="preserve"> </v>
      </c>
    </row>
    <row r="508" spans="1:16" ht="14.25" customHeight="1" x14ac:dyDescent="0.2">
      <c r="A508" t="s">
        <v>3932</v>
      </c>
      <c r="B508" t="s">
        <v>3933</v>
      </c>
      <c r="C508" t="s">
        <v>3934</v>
      </c>
      <c r="D508" t="s">
        <v>330</v>
      </c>
      <c r="E508" s="6" t="s">
        <v>4648</v>
      </c>
      <c r="F508" s="6">
        <v>1</v>
      </c>
      <c r="G508" t="s">
        <v>3939</v>
      </c>
      <c r="H508" s="59">
        <v>2537</v>
      </c>
      <c r="I508" t="s">
        <v>4660</v>
      </c>
      <c r="J508" s="63" t="s">
        <v>5850</v>
      </c>
      <c r="K508" s="52" t="s">
        <v>5851</v>
      </c>
      <c r="L508" t="s">
        <v>137</v>
      </c>
      <c r="M508" s="59" t="s">
        <v>137</v>
      </c>
      <c r="N508" s="59" t="s">
        <v>4616</v>
      </c>
      <c r="O508">
        <v>2000</v>
      </c>
      <c r="P508" s="60">
        <f t="shared" si="7"/>
        <v>7.883326763894364</v>
      </c>
    </row>
    <row r="509" spans="1:16" ht="14.25" customHeight="1" x14ac:dyDescent="0.2">
      <c r="A509" t="s">
        <v>3932</v>
      </c>
      <c r="B509" t="s">
        <v>3933</v>
      </c>
      <c r="C509" t="s">
        <v>3934</v>
      </c>
      <c r="D509" t="s">
        <v>330</v>
      </c>
      <c r="E509" s="6" t="s">
        <v>4696</v>
      </c>
      <c r="F509" s="6">
        <v>2</v>
      </c>
      <c r="G509" t="s">
        <v>3940</v>
      </c>
      <c r="H509" s="59">
        <v>7338</v>
      </c>
      <c r="I509" t="s">
        <v>4708</v>
      </c>
      <c r="J509" s="63" t="s">
        <v>5852</v>
      </c>
      <c r="K509" s="52" t="s">
        <v>5853</v>
      </c>
      <c r="L509" t="s">
        <v>137</v>
      </c>
      <c r="M509" s="59" t="s">
        <v>137</v>
      </c>
      <c r="N509" s="59" t="s">
        <v>4616</v>
      </c>
      <c r="O509" t="s">
        <v>4632</v>
      </c>
      <c r="P509" s="60" t="str">
        <f t="shared" si="7"/>
        <v xml:space="preserve"> </v>
      </c>
    </row>
    <row r="510" spans="1:16" ht="14.25" customHeight="1" x14ac:dyDescent="0.2">
      <c r="A510" t="s">
        <v>3949</v>
      </c>
      <c r="B510" t="s">
        <v>3950</v>
      </c>
      <c r="C510" t="s">
        <v>3951</v>
      </c>
      <c r="D510" t="s">
        <v>330</v>
      </c>
      <c r="E510" s="6" t="s">
        <v>4628</v>
      </c>
      <c r="F510" s="6">
        <v>1</v>
      </c>
      <c r="G510" t="s">
        <v>3956</v>
      </c>
      <c r="H510" s="59">
        <v>2987</v>
      </c>
      <c r="I510" t="s">
        <v>4629</v>
      </c>
      <c r="J510" s="63" t="s">
        <v>5854</v>
      </c>
      <c r="K510" s="52" t="s">
        <v>5855</v>
      </c>
      <c r="L510">
        <v>6</v>
      </c>
      <c r="M510" s="59">
        <v>16129</v>
      </c>
      <c r="N510" s="59" t="s">
        <v>4611</v>
      </c>
      <c r="O510" t="s">
        <v>4632</v>
      </c>
      <c r="P510" s="60" t="str">
        <f t="shared" si="7"/>
        <v xml:space="preserve"> </v>
      </c>
    </row>
    <row r="511" spans="1:16" ht="14.25" customHeight="1" x14ac:dyDescent="0.2">
      <c r="A511" t="s">
        <v>3949</v>
      </c>
      <c r="B511" t="s">
        <v>3950</v>
      </c>
      <c r="C511" t="s">
        <v>3951</v>
      </c>
      <c r="D511" t="s">
        <v>330</v>
      </c>
      <c r="E511" s="6" t="s">
        <v>4696</v>
      </c>
      <c r="F511" s="6">
        <v>2</v>
      </c>
      <c r="G511" t="s">
        <v>3957</v>
      </c>
      <c r="H511" s="59">
        <v>4139</v>
      </c>
      <c r="I511" t="s">
        <v>4629</v>
      </c>
      <c r="J511" s="63" t="s">
        <v>5856</v>
      </c>
      <c r="K511" s="52" t="s">
        <v>5857</v>
      </c>
      <c r="L511" t="s">
        <v>137</v>
      </c>
      <c r="M511" s="59" t="s">
        <v>137</v>
      </c>
      <c r="N511" s="59" t="s">
        <v>4616</v>
      </c>
      <c r="O511" t="s">
        <v>4632</v>
      </c>
      <c r="P511" s="60" t="str">
        <f t="shared" si="7"/>
        <v xml:space="preserve"> </v>
      </c>
    </row>
    <row r="512" spans="1:16" ht="14.25" customHeight="1" x14ac:dyDescent="0.2">
      <c r="A512" t="s">
        <v>3963</v>
      </c>
      <c r="B512" t="s">
        <v>3964</v>
      </c>
      <c r="C512" t="s">
        <v>3965</v>
      </c>
      <c r="D512" t="s">
        <v>330</v>
      </c>
      <c r="E512" s="6" t="s">
        <v>4648</v>
      </c>
      <c r="F512" s="6">
        <v>1</v>
      </c>
      <c r="G512" t="s">
        <v>3970</v>
      </c>
      <c r="H512" s="59">
        <v>2392</v>
      </c>
      <c r="I512" t="s">
        <v>4660</v>
      </c>
      <c r="J512" s="63" t="s">
        <v>5858</v>
      </c>
      <c r="K512" s="52" t="s">
        <v>5859</v>
      </c>
      <c r="L512">
        <v>5</v>
      </c>
      <c r="M512" s="59">
        <v>4784</v>
      </c>
      <c r="N512" s="59" t="s">
        <v>4611</v>
      </c>
      <c r="O512">
        <f>3*700</f>
        <v>2100</v>
      </c>
      <c r="P512" s="60">
        <f t="shared" si="7"/>
        <v>8.7792642140468224</v>
      </c>
    </row>
    <row r="513" spans="1:16" ht="14.25" customHeight="1" x14ac:dyDescent="0.2">
      <c r="A513" t="s">
        <v>3963</v>
      </c>
      <c r="B513" t="s">
        <v>3964</v>
      </c>
      <c r="C513" t="s">
        <v>3965</v>
      </c>
      <c r="D513" t="s">
        <v>330</v>
      </c>
      <c r="E513" s="6" t="s">
        <v>4659</v>
      </c>
      <c r="F513" s="6">
        <v>2</v>
      </c>
      <c r="G513" t="s">
        <v>3971</v>
      </c>
      <c r="H513" s="59">
        <v>5259</v>
      </c>
      <c r="I513" t="s">
        <v>4708</v>
      </c>
      <c r="J513" s="63" t="s">
        <v>5860</v>
      </c>
      <c r="K513" s="52" t="s">
        <v>5861</v>
      </c>
      <c r="L513" t="s">
        <v>137</v>
      </c>
      <c r="M513" s="59" t="s">
        <v>137</v>
      </c>
      <c r="N513" s="59" t="s">
        <v>4616</v>
      </c>
      <c r="O513">
        <v>2000</v>
      </c>
      <c r="P513" s="60">
        <f t="shared" si="7"/>
        <v>3.8030043734550296</v>
      </c>
    </row>
    <row r="514" spans="1:16" ht="14.25" customHeight="1" x14ac:dyDescent="0.2">
      <c r="A514" t="s">
        <v>3977</v>
      </c>
      <c r="B514" t="s">
        <v>3978</v>
      </c>
      <c r="C514" t="s">
        <v>3979</v>
      </c>
      <c r="D514" t="s">
        <v>429</v>
      </c>
      <c r="E514" s="6" t="s">
        <v>4648</v>
      </c>
      <c r="F514" s="6">
        <v>1</v>
      </c>
      <c r="G514" t="s">
        <v>3984</v>
      </c>
      <c r="H514" s="59">
        <v>2640</v>
      </c>
      <c r="I514" t="s">
        <v>4608</v>
      </c>
      <c r="J514" s="63" t="s">
        <v>5862</v>
      </c>
      <c r="K514" s="52" t="s">
        <v>5863</v>
      </c>
      <c r="L514" t="s">
        <v>137</v>
      </c>
      <c r="M514" s="59" t="s">
        <v>137</v>
      </c>
      <c r="N514" s="59" t="s">
        <v>4616</v>
      </c>
      <c r="O514">
        <f>270*7+500</f>
        <v>2390</v>
      </c>
      <c r="P514" s="60">
        <f t="shared" si="7"/>
        <v>9.0530303030303028</v>
      </c>
    </row>
    <row r="515" spans="1:16" ht="14.25" customHeight="1" x14ac:dyDescent="0.2">
      <c r="A515" t="s">
        <v>3977</v>
      </c>
      <c r="B515" t="s">
        <v>3978</v>
      </c>
      <c r="C515" t="s">
        <v>3979</v>
      </c>
      <c r="D515" t="s">
        <v>429</v>
      </c>
      <c r="E515" s="6" t="s">
        <v>4659</v>
      </c>
      <c r="F515" s="6">
        <v>2</v>
      </c>
      <c r="G515" t="s">
        <v>3985</v>
      </c>
      <c r="H515" s="59">
        <v>3960</v>
      </c>
      <c r="I515" t="s">
        <v>4629</v>
      </c>
      <c r="J515" s="63" t="s">
        <v>5864</v>
      </c>
      <c r="K515" s="52" t="s">
        <v>5865</v>
      </c>
      <c r="L515" t="s">
        <v>137</v>
      </c>
      <c r="M515" s="59" t="s">
        <v>137</v>
      </c>
      <c r="N515" s="59" t="s">
        <v>4616</v>
      </c>
      <c r="O515">
        <v>2000</v>
      </c>
      <c r="P515" s="60">
        <f t="shared" ref="P515:P578" si="8">IFERROR(O515/H515*10," ")</f>
        <v>5.0505050505050511</v>
      </c>
    </row>
    <row r="516" spans="1:16" ht="14.25" customHeight="1" x14ac:dyDescent="0.2">
      <c r="A516" t="s">
        <v>3989</v>
      </c>
      <c r="B516" t="s">
        <v>3990</v>
      </c>
      <c r="C516" t="s">
        <v>3991</v>
      </c>
      <c r="D516" t="s">
        <v>429</v>
      </c>
      <c r="E516" s="6" t="s">
        <v>5866</v>
      </c>
      <c r="F516" s="6">
        <v>1</v>
      </c>
      <c r="G516" t="s">
        <v>3996</v>
      </c>
      <c r="H516" s="59">
        <v>3120</v>
      </c>
      <c r="I516" t="s">
        <v>4693</v>
      </c>
      <c r="J516" s="63" t="s">
        <v>5867</v>
      </c>
      <c r="K516" s="52" t="s">
        <v>5868</v>
      </c>
      <c r="L516" t="s">
        <v>137</v>
      </c>
      <c r="M516" s="59" t="s">
        <v>137</v>
      </c>
      <c r="N516" s="59" t="s">
        <v>4616</v>
      </c>
      <c r="O516">
        <f>7*380</f>
        <v>2660</v>
      </c>
      <c r="P516" s="60">
        <f t="shared" si="8"/>
        <v>8.5256410256410255</v>
      </c>
    </row>
    <row r="517" spans="1:16" ht="14.25" customHeight="1" x14ac:dyDescent="0.2">
      <c r="A517" t="s">
        <v>3989</v>
      </c>
      <c r="B517" t="s">
        <v>3990</v>
      </c>
      <c r="C517" t="s">
        <v>3991</v>
      </c>
      <c r="D517" t="s">
        <v>429</v>
      </c>
      <c r="E517" s="6" t="s">
        <v>5202</v>
      </c>
      <c r="F517" s="6">
        <v>2</v>
      </c>
      <c r="G517" t="s">
        <v>3997</v>
      </c>
      <c r="H517" s="59">
        <v>5450</v>
      </c>
      <c r="I517" t="s">
        <v>4608</v>
      </c>
      <c r="J517" s="63" t="s">
        <v>5869</v>
      </c>
      <c r="K517" s="52" t="s">
        <v>5870</v>
      </c>
      <c r="L517">
        <v>5</v>
      </c>
      <c r="M517" s="59">
        <v>9537</v>
      </c>
      <c r="N517" s="59" t="s">
        <v>4611</v>
      </c>
      <c r="O517">
        <f>4*480+3*350</f>
        <v>2970</v>
      </c>
      <c r="P517" s="60">
        <f t="shared" si="8"/>
        <v>5.4495412844036695</v>
      </c>
    </row>
    <row r="518" spans="1:16" ht="14.25" customHeight="1" x14ac:dyDescent="0.2">
      <c r="A518" t="s">
        <v>4005</v>
      </c>
      <c r="B518" t="s">
        <v>4006</v>
      </c>
      <c r="C518" t="s">
        <v>4007</v>
      </c>
      <c r="D518" t="s">
        <v>429</v>
      </c>
      <c r="E518" s="6" t="s">
        <v>4941</v>
      </c>
      <c r="F518" s="6">
        <v>1</v>
      </c>
      <c r="G518" t="s">
        <v>4012</v>
      </c>
      <c r="H518" s="59">
        <v>3000</v>
      </c>
      <c r="I518" t="s">
        <v>4629</v>
      </c>
      <c r="J518" s="63" t="s">
        <v>5871</v>
      </c>
      <c r="K518" s="52" t="s">
        <v>5872</v>
      </c>
      <c r="L518" t="s">
        <v>137</v>
      </c>
      <c r="M518" s="59" t="s">
        <v>137</v>
      </c>
      <c r="N518" s="59" t="s">
        <v>4616</v>
      </c>
      <c r="O518" t="s">
        <v>4632</v>
      </c>
      <c r="P518" s="60" t="str">
        <f t="shared" si="8"/>
        <v xml:space="preserve"> </v>
      </c>
    </row>
    <row r="519" spans="1:16" ht="14.25" customHeight="1" x14ac:dyDescent="0.2">
      <c r="A519" t="s">
        <v>4005</v>
      </c>
      <c r="B519" t="s">
        <v>4006</v>
      </c>
      <c r="C519" t="s">
        <v>4007</v>
      </c>
      <c r="D519" t="s">
        <v>429</v>
      </c>
      <c r="E519" s="6" t="s">
        <v>5873</v>
      </c>
      <c r="F519" s="6">
        <v>2</v>
      </c>
      <c r="G519" t="s">
        <v>4013</v>
      </c>
      <c r="H519" s="59">
        <v>7500</v>
      </c>
      <c r="I519" t="s">
        <v>4629</v>
      </c>
      <c r="J519" s="63" t="s">
        <v>5874</v>
      </c>
      <c r="K519" s="52" t="s">
        <v>5875</v>
      </c>
      <c r="L519">
        <v>6</v>
      </c>
      <c r="M519" s="59">
        <v>5850</v>
      </c>
      <c r="N519" s="59" t="s">
        <v>4611</v>
      </c>
      <c r="O519">
        <v>2000</v>
      </c>
      <c r="P519" s="60">
        <f t="shared" si="8"/>
        <v>2.6666666666666665</v>
      </c>
    </row>
    <row r="520" spans="1:16" ht="14.25" customHeight="1" x14ac:dyDescent="0.2">
      <c r="A520" t="s">
        <v>4019</v>
      </c>
      <c r="B520" t="s">
        <v>4020</v>
      </c>
      <c r="C520" t="s">
        <v>4021</v>
      </c>
      <c r="D520" t="s">
        <v>429</v>
      </c>
      <c r="E520" s="6" t="s">
        <v>5070</v>
      </c>
      <c r="F520" s="6">
        <v>1</v>
      </c>
      <c r="G520" t="s">
        <v>4026</v>
      </c>
      <c r="H520" s="59">
        <v>2719</v>
      </c>
      <c r="I520" t="s">
        <v>4618</v>
      </c>
      <c r="J520" s="63" t="s">
        <v>5876</v>
      </c>
      <c r="K520" s="52" t="s">
        <v>5877</v>
      </c>
      <c r="L520" t="s">
        <v>137</v>
      </c>
      <c r="M520" s="59" t="s">
        <v>137</v>
      </c>
      <c r="N520" s="59" t="s">
        <v>4616</v>
      </c>
      <c r="O520">
        <v>1200</v>
      </c>
      <c r="P520" s="60">
        <f t="shared" si="8"/>
        <v>4.413387274733358</v>
      </c>
    </row>
    <row r="521" spans="1:16" ht="14.25" customHeight="1" x14ac:dyDescent="0.2">
      <c r="A521" t="s">
        <v>4019</v>
      </c>
      <c r="B521" t="s">
        <v>4020</v>
      </c>
      <c r="C521" t="s">
        <v>4021</v>
      </c>
      <c r="D521" t="s">
        <v>429</v>
      </c>
      <c r="E521" s="6" t="s">
        <v>4696</v>
      </c>
      <c r="F521" s="6">
        <v>2</v>
      </c>
      <c r="G521" t="s">
        <v>4027</v>
      </c>
      <c r="H521" s="59">
        <v>7338</v>
      </c>
      <c r="I521" t="s">
        <v>4629</v>
      </c>
      <c r="J521" s="63" t="s">
        <v>5878</v>
      </c>
      <c r="K521" s="52" t="s">
        <v>5879</v>
      </c>
      <c r="L521" t="s">
        <v>137</v>
      </c>
      <c r="M521" s="59" t="s">
        <v>137</v>
      </c>
      <c r="N521" s="59" t="s">
        <v>4616</v>
      </c>
      <c r="O521">
        <v>4000</v>
      </c>
      <c r="P521" s="60">
        <f t="shared" si="8"/>
        <v>5.4510765876260558</v>
      </c>
    </row>
    <row r="522" spans="1:16" ht="14.25" customHeight="1" x14ac:dyDescent="0.2">
      <c r="A522" t="s">
        <v>4032</v>
      </c>
      <c r="B522" t="s">
        <v>4033</v>
      </c>
      <c r="C522" t="s">
        <v>4034</v>
      </c>
      <c r="D522" t="s">
        <v>429</v>
      </c>
      <c r="E522" s="6" t="s">
        <v>4766</v>
      </c>
      <c r="F522" s="6">
        <v>1</v>
      </c>
      <c r="G522" t="s">
        <v>4039</v>
      </c>
      <c r="H522" s="59">
        <v>999999</v>
      </c>
      <c r="I522" t="s">
        <v>4608</v>
      </c>
      <c r="J522" s="63" t="s">
        <v>5880</v>
      </c>
      <c r="K522" s="52" t="s">
        <v>5881</v>
      </c>
      <c r="L522" t="s">
        <v>137</v>
      </c>
      <c r="M522" s="59" t="s">
        <v>137</v>
      </c>
      <c r="N522" s="59" t="s">
        <v>4616</v>
      </c>
      <c r="O522">
        <v>500</v>
      </c>
      <c r="P522" s="62">
        <f t="shared" si="8"/>
        <v>5.0000050000049995E-3</v>
      </c>
    </row>
    <row r="523" spans="1:16" ht="14.25" customHeight="1" x14ac:dyDescent="0.2">
      <c r="A523" t="s">
        <v>4032</v>
      </c>
      <c r="B523" t="s">
        <v>4033</v>
      </c>
      <c r="C523" t="s">
        <v>4034</v>
      </c>
      <c r="D523" t="s">
        <v>429</v>
      </c>
      <c r="E523" s="6" t="s">
        <v>5882</v>
      </c>
      <c r="F523" s="6">
        <v>2</v>
      </c>
      <c r="G523" t="s">
        <v>4040</v>
      </c>
      <c r="H523" s="59">
        <v>999999</v>
      </c>
      <c r="I523" t="s">
        <v>5883</v>
      </c>
      <c r="J523" s="63" t="s">
        <v>5884</v>
      </c>
      <c r="K523" s="52" t="s">
        <v>5885</v>
      </c>
      <c r="L523" t="s">
        <v>137</v>
      </c>
      <c r="M523" s="59" t="s">
        <v>137</v>
      </c>
      <c r="N523" s="59" t="s">
        <v>4616</v>
      </c>
      <c r="O523">
        <v>800</v>
      </c>
      <c r="P523" s="62">
        <f t="shared" si="8"/>
        <v>8.000008000008E-3</v>
      </c>
    </row>
    <row r="524" spans="1:16" ht="14.25" customHeight="1" x14ac:dyDescent="0.2">
      <c r="A524" t="s">
        <v>4047</v>
      </c>
      <c r="B524" t="s">
        <v>4048</v>
      </c>
      <c r="C524" t="s">
        <v>4049</v>
      </c>
      <c r="D524" t="s">
        <v>429</v>
      </c>
      <c r="E524" s="6" t="s">
        <v>4659</v>
      </c>
      <c r="F524" s="6">
        <v>1</v>
      </c>
      <c r="G524" t="s">
        <v>4054</v>
      </c>
      <c r="H524" s="59">
        <v>2243</v>
      </c>
      <c r="I524" t="s">
        <v>4668</v>
      </c>
      <c r="J524" s="63" t="s">
        <v>5886</v>
      </c>
      <c r="K524" s="52" t="s">
        <v>5887</v>
      </c>
      <c r="L524">
        <v>5</v>
      </c>
      <c r="M524" s="59">
        <v>10093</v>
      </c>
      <c r="N524" s="59" t="s">
        <v>4611</v>
      </c>
      <c r="O524">
        <v>1800</v>
      </c>
      <c r="P524" s="60">
        <f t="shared" si="8"/>
        <v>8.024966562639321</v>
      </c>
    </row>
    <row r="525" spans="1:16" ht="14.25" customHeight="1" x14ac:dyDescent="0.2">
      <c r="A525" t="s">
        <v>4047</v>
      </c>
      <c r="B525" t="s">
        <v>4048</v>
      </c>
      <c r="C525" t="s">
        <v>4049</v>
      </c>
      <c r="D525" t="s">
        <v>429</v>
      </c>
      <c r="E525" s="6" t="s">
        <v>4852</v>
      </c>
      <c r="F525" s="6">
        <v>2</v>
      </c>
      <c r="G525" t="s">
        <v>4055</v>
      </c>
      <c r="H525" s="59">
        <v>4925</v>
      </c>
      <c r="I525" t="s">
        <v>5888</v>
      </c>
      <c r="J525" s="63" t="s">
        <v>5889</v>
      </c>
      <c r="K525" s="52" t="s">
        <v>5890</v>
      </c>
      <c r="L525" t="s">
        <v>137</v>
      </c>
      <c r="M525" s="59" t="s">
        <v>137</v>
      </c>
      <c r="N525" s="59" t="s">
        <v>4616</v>
      </c>
      <c r="O525">
        <v>1900</v>
      </c>
      <c r="P525" s="60">
        <f t="shared" si="8"/>
        <v>3.8578680203045685</v>
      </c>
    </row>
    <row r="526" spans="1:16" ht="14.25" customHeight="1" x14ac:dyDescent="0.2">
      <c r="A526" t="s">
        <v>4061</v>
      </c>
      <c r="B526" t="s">
        <v>4062</v>
      </c>
      <c r="C526" t="s">
        <v>4063</v>
      </c>
      <c r="D526" t="s">
        <v>429</v>
      </c>
      <c r="E526" s="6" t="s">
        <v>4659</v>
      </c>
      <c r="F526" s="6">
        <v>1</v>
      </c>
      <c r="G526" t="s">
        <v>4068</v>
      </c>
      <c r="H526" s="59">
        <v>2213</v>
      </c>
      <c r="I526" t="s">
        <v>4668</v>
      </c>
      <c r="J526" s="63" t="s">
        <v>5891</v>
      </c>
      <c r="K526" s="52" t="s">
        <v>5892</v>
      </c>
      <c r="L526">
        <v>4</v>
      </c>
      <c r="M526" s="59">
        <v>9958</v>
      </c>
      <c r="N526" s="59" t="s">
        <v>4611</v>
      </c>
      <c r="O526">
        <v>2000</v>
      </c>
      <c r="P526" s="60">
        <f t="shared" si="8"/>
        <v>9.0375056484410301</v>
      </c>
    </row>
    <row r="527" spans="1:16" ht="14.25" customHeight="1" x14ac:dyDescent="0.2">
      <c r="A527" t="s">
        <v>4061</v>
      </c>
      <c r="B527" t="s">
        <v>4062</v>
      </c>
      <c r="C527" t="s">
        <v>4063</v>
      </c>
      <c r="D527" t="s">
        <v>429</v>
      </c>
      <c r="E527" s="6" t="s">
        <v>4648</v>
      </c>
      <c r="F527" s="6">
        <v>2</v>
      </c>
      <c r="G527" t="s">
        <v>4069</v>
      </c>
      <c r="H527" s="59">
        <v>4904</v>
      </c>
      <c r="I527" t="s">
        <v>4660</v>
      </c>
      <c r="J527" s="63" t="s">
        <v>5893</v>
      </c>
      <c r="K527" s="52" t="s">
        <v>5894</v>
      </c>
      <c r="L527" t="s">
        <v>137</v>
      </c>
      <c r="M527" s="59" t="s">
        <v>137</v>
      </c>
      <c r="N527" s="59" t="s">
        <v>4616</v>
      </c>
      <c r="O527">
        <v>2000</v>
      </c>
      <c r="P527" s="60">
        <f t="shared" si="8"/>
        <v>4.0783034257748776</v>
      </c>
    </row>
    <row r="528" spans="1:16" ht="14.25" customHeight="1" x14ac:dyDescent="0.2">
      <c r="A528" t="s">
        <v>4074</v>
      </c>
      <c r="B528" t="s">
        <v>4075</v>
      </c>
      <c r="C528" t="s">
        <v>4076</v>
      </c>
      <c r="D528" t="s">
        <v>429</v>
      </c>
      <c r="E528" s="6" t="s">
        <v>4699</v>
      </c>
      <c r="F528" s="6">
        <v>1</v>
      </c>
      <c r="G528" t="s">
        <v>4080</v>
      </c>
      <c r="H528" s="59">
        <v>2446</v>
      </c>
      <c r="I528" t="s">
        <v>4751</v>
      </c>
      <c r="J528" s="63" t="s">
        <v>5895</v>
      </c>
      <c r="K528" s="52" t="s">
        <v>5896</v>
      </c>
      <c r="L528">
        <v>3</v>
      </c>
      <c r="M528" s="59">
        <v>10640</v>
      </c>
      <c r="N528" s="59" t="s">
        <v>4611</v>
      </c>
      <c r="O528">
        <v>2000</v>
      </c>
      <c r="P528" s="60">
        <f t="shared" si="8"/>
        <v>8.1766148814390842</v>
      </c>
    </row>
    <row r="529" spans="1:16" ht="14.25" customHeight="1" x14ac:dyDescent="0.2">
      <c r="A529" t="s">
        <v>4074</v>
      </c>
      <c r="B529" t="s">
        <v>4075</v>
      </c>
      <c r="C529" t="s">
        <v>4076</v>
      </c>
      <c r="D529" t="s">
        <v>429</v>
      </c>
      <c r="E529" s="6" t="s">
        <v>4628</v>
      </c>
      <c r="F529" s="6">
        <v>2</v>
      </c>
      <c r="G529" t="s">
        <v>4081</v>
      </c>
      <c r="H529" s="59">
        <v>5315</v>
      </c>
      <c r="I529" t="s">
        <v>4629</v>
      </c>
      <c r="J529" s="63" t="s">
        <v>5897</v>
      </c>
      <c r="K529" s="52" t="s">
        <v>5898</v>
      </c>
      <c r="L529" t="s">
        <v>137</v>
      </c>
      <c r="M529" s="59" t="s">
        <v>137</v>
      </c>
      <c r="N529" s="59" t="s">
        <v>4616</v>
      </c>
      <c r="O529" t="s">
        <v>4632</v>
      </c>
      <c r="P529" s="60" t="str">
        <f t="shared" si="8"/>
        <v xml:space="preserve"> </v>
      </c>
    </row>
    <row r="530" spans="1:16" ht="14.25" customHeight="1" x14ac:dyDescent="0.2">
      <c r="A530" t="s">
        <v>4085</v>
      </c>
      <c r="B530" t="s">
        <v>4086</v>
      </c>
      <c r="C530" t="s">
        <v>4087</v>
      </c>
      <c r="D530" t="s">
        <v>429</v>
      </c>
      <c r="E530" s="6" t="s">
        <v>4648</v>
      </c>
      <c r="F530" s="6">
        <v>1</v>
      </c>
      <c r="G530" t="s">
        <v>4092</v>
      </c>
      <c r="H530" s="59">
        <v>2257</v>
      </c>
      <c r="I530" t="s">
        <v>4629</v>
      </c>
      <c r="J530" s="63" t="s">
        <v>5899</v>
      </c>
      <c r="K530" s="52" t="s">
        <v>5900</v>
      </c>
      <c r="L530">
        <v>7</v>
      </c>
      <c r="M530" s="59">
        <v>8125</v>
      </c>
      <c r="N530" s="59" t="s">
        <v>4611</v>
      </c>
      <c r="O530">
        <f>495*3+531</f>
        <v>2016</v>
      </c>
      <c r="P530" s="60">
        <f t="shared" si="8"/>
        <v>8.9322108994240139</v>
      </c>
    </row>
    <row r="531" spans="1:16" ht="14.25" customHeight="1" x14ac:dyDescent="0.2">
      <c r="A531" t="s">
        <v>4085</v>
      </c>
      <c r="B531" t="s">
        <v>4086</v>
      </c>
      <c r="C531" t="s">
        <v>4087</v>
      </c>
      <c r="D531" t="s">
        <v>429</v>
      </c>
      <c r="E531" s="6" t="s">
        <v>4699</v>
      </c>
      <c r="F531" s="6">
        <v>2</v>
      </c>
      <c r="G531" t="s">
        <v>4093</v>
      </c>
      <c r="H531" s="59">
        <v>4892</v>
      </c>
      <c r="I531" t="s">
        <v>4751</v>
      </c>
      <c r="J531" s="63" t="s">
        <v>5901</v>
      </c>
      <c r="K531" s="52" t="s">
        <v>5902</v>
      </c>
      <c r="L531" t="s">
        <v>137</v>
      </c>
      <c r="M531" s="59" t="s">
        <v>137</v>
      </c>
      <c r="N531" s="59" t="s">
        <v>4616</v>
      </c>
      <c r="O531">
        <f>1297.5+1218</f>
        <v>2515.5</v>
      </c>
      <c r="P531" s="60">
        <f t="shared" si="8"/>
        <v>5.1420686835650038</v>
      </c>
    </row>
    <row r="532" spans="1:16" ht="14.25" customHeight="1" x14ac:dyDescent="0.2">
      <c r="A532" t="s">
        <v>4098</v>
      </c>
      <c r="B532" t="s">
        <v>4099</v>
      </c>
      <c r="C532" t="s">
        <v>4100</v>
      </c>
      <c r="D532" t="s">
        <v>543</v>
      </c>
      <c r="E532" s="6" t="s">
        <v>5903</v>
      </c>
      <c r="F532" s="6">
        <v>1</v>
      </c>
      <c r="G532" t="s">
        <v>4105</v>
      </c>
      <c r="H532" s="59">
        <v>3540</v>
      </c>
      <c r="I532" t="s">
        <v>4716</v>
      </c>
      <c r="J532" s="63" t="s">
        <v>5904</v>
      </c>
      <c r="K532" s="52" t="s">
        <v>5905</v>
      </c>
      <c r="L532">
        <v>5</v>
      </c>
      <c r="M532" s="59">
        <v>8673</v>
      </c>
      <c r="N532" s="59" t="s">
        <v>4611</v>
      </c>
      <c r="O532">
        <v>2500</v>
      </c>
      <c r="P532" s="60">
        <f t="shared" si="8"/>
        <v>7.0621468926553677</v>
      </c>
    </row>
    <row r="533" spans="1:16" ht="14.25" customHeight="1" x14ac:dyDescent="0.2">
      <c r="A533" t="s">
        <v>4098</v>
      </c>
      <c r="B533" t="s">
        <v>4099</v>
      </c>
      <c r="C533" t="s">
        <v>4100</v>
      </c>
      <c r="D533" t="s">
        <v>543</v>
      </c>
      <c r="E533" s="6" t="s">
        <v>5906</v>
      </c>
      <c r="F533" s="6">
        <v>2</v>
      </c>
      <c r="G533" t="s">
        <v>4106</v>
      </c>
      <c r="H533" s="59">
        <v>6017</v>
      </c>
      <c r="I533" t="s">
        <v>4608</v>
      </c>
      <c r="J533" s="63" t="s">
        <v>5907</v>
      </c>
      <c r="K533" s="52" t="s">
        <v>5908</v>
      </c>
      <c r="L533" t="s">
        <v>137</v>
      </c>
      <c r="M533" s="59" t="s">
        <v>137</v>
      </c>
      <c r="N533" s="59" t="s">
        <v>4616</v>
      </c>
      <c r="O533">
        <v>3000</v>
      </c>
      <c r="P533" s="60">
        <f t="shared" si="8"/>
        <v>4.9858733588166864</v>
      </c>
    </row>
    <row r="534" spans="1:16" ht="14.25" customHeight="1" x14ac:dyDescent="0.2">
      <c r="A534" t="s">
        <v>4115</v>
      </c>
      <c r="B534" t="s">
        <v>4116</v>
      </c>
      <c r="C534" t="s">
        <v>4117</v>
      </c>
      <c r="D534" t="s">
        <v>543</v>
      </c>
      <c r="E534" s="6" t="s">
        <v>5909</v>
      </c>
      <c r="F534" s="6">
        <v>1</v>
      </c>
      <c r="G534" t="s">
        <v>4122</v>
      </c>
      <c r="H534" s="59">
        <v>2800</v>
      </c>
      <c r="I534" t="s">
        <v>4608</v>
      </c>
      <c r="J534" s="63" t="s">
        <v>5910</v>
      </c>
      <c r="K534" s="52" t="s">
        <v>5911</v>
      </c>
      <c r="L534" t="s">
        <v>137</v>
      </c>
      <c r="M534" s="59" t="s">
        <v>137</v>
      </c>
      <c r="N534" s="59" t="s">
        <v>4616</v>
      </c>
      <c r="O534">
        <v>2000</v>
      </c>
      <c r="P534" s="60">
        <f t="shared" si="8"/>
        <v>7.1428571428571432</v>
      </c>
    </row>
    <row r="535" spans="1:16" ht="14.25" customHeight="1" x14ac:dyDescent="0.2">
      <c r="A535" t="s">
        <v>4115</v>
      </c>
      <c r="B535" t="s">
        <v>4116</v>
      </c>
      <c r="C535" t="s">
        <v>4117</v>
      </c>
      <c r="D535" t="s">
        <v>543</v>
      </c>
      <c r="E535" s="6" t="s">
        <v>5912</v>
      </c>
      <c r="F535" s="6">
        <v>2</v>
      </c>
      <c r="G535" t="s">
        <v>4123</v>
      </c>
      <c r="H535" s="59">
        <v>5600</v>
      </c>
      <c r="I535" t="s">
        <v>4986</v>
      </c>
      <c r="J535" s="63" t="s">
        <v>5913</v>
      </c>
      <c r="K535" s="52" t="s">
        <v>5914</v>
      </c>
      <c r="L535">
        <v>7</v>
      </c>
      <c r="M535" s="59">
        <v>10080</v>
      </c>
      <c r="N535" s="59" t="s">
        <v>4611</v>
      </c>
      <c r="O535">
        <v>2600</v>
      </c>
      <c r="P535" s="60">
        <f t="shared" si="8"/>
        <v>4.6428571428571432</v>
      </c>
    </row>
    <row r="536" spans="1:16" ht="14.25" customHeight="1" x14ac:dyDescent="0.2">
      <c r="A536" t="s">
        <v>4131</v>
      </c>
      <c r="B536" t="s">
        <v>4132</v>
      </c>
      <c r="C536" t="s">
        <v>4133</v>
      </c>
      <c r="D536" t="s">
        <v>543</v>
      </c>
      <c r="E536" s="6" t="s">
        <v>5070</v>
      </c>
      <c r="F536" s="6">
        <v>1</v>
      </c>
      <c r="G536" t="s">
        <v>4138</v>
      </c>
      <c r="H536" s="59">
        <v>3083</v>
      </c>
      <c r="I536" t="s">
        <v>5084</v>
      </c>
      <c r="J536" s="63" t="s">
        <v>5915</v>
      </c>
      <c r="K536" s="52" t="s">
        <v>5916</v>
      </c>
      <c r="L536">
        <v>7</v>
      </c>
      <c r="M536" s="59">
        <v>8015</v>
      </c>
      <c r="N536" s="59" t="s">
        <v>4611</v>
      </c>
      <c r="O536">
        <f>450*3+1300</f>
        <v>2650</v>
      </c>
      <c r="P536" s="60">
        <f t="shared" si="8"/>
        <v>8.5955238404151793</v>
      </c>
    </row>
    <row r="537" spans="1:16" ht="14.25" customHeight="1" x14ac:dyDescent="0.2">
      <c r="A537" t="s">
        <v>4131</v>
      </c>
      <c r="B537" t="s">
        <v>4132</v>
      </c>
      <c r="C537" t="s">
        <v>4133</v>
      </c>
      <c r="D537" t="s">
        <v>543</v>
      </c>
      <c r="E537" s="6" t="s">
        <v>4633</v>
      </c>
      <c r="F537" s="6">
        <v>2</v>
      </c>
      <c r="G537" t="s">
        <v>4139</v>
      </c>
      <c r="H537" s="59">
        <v>6017</v>
      </c>
      <c r="I537" t="s">
        <v>4608</v>
      </c>
      <c r="J537" s="63" t="s">
        <v>5917</v>
      </c>
      <c r="K537" s="52" t="s">
        <v>5918</v>
      </c>
      <c r="L537" t="s">
        <v>137</v>
      </c>
      <c r="M537" s="59" t="s">
        <v>137</v>
      </c>
      <c r="N537" s="59" t="s">
        <v>4616</v>
      </c>
      <c r="O537">
        <v>2700</v>
      </c>
      <c r="P537" s="60">
        <f t="shared" si="8"/>
        <v>4.4872860229350175</v>
      </c>
    </row>
    <row r="538" spans="1:16" ht="14.25" customHeight="1" x14ac:dyDescent="0.2">
      <c r="A538" t="s">
        <v>4143</v>
      </c>
      <c r="B538" t="s">
        <v>4144</v>
      </c>
      <c r="C538" t="s">
        <v>4145</v>
      </c>
      <c r="D538" t="s">
        <v>543</v>
      </c>
      <c r="E538" s="6" t="s">
        <v>5919</v>
      </c>
      <c r="F538" s="6">
        <v>1</v>
      </c>
      <c r="G538" t="s">
        <v>4150</v>
      </c>
      <c r="H538" s="59">
        <v>2805</v>
      </c>
      <c r="I538" t="s">
        <v>4730</v>
      </c>
      <c r="J538" s="63" t="s">
        <v>5920</v>
      </c>
      <c r="K538" s="52" t="s">
        <v>5921</v>
      </c>
      <c r="L538">
        <v>7</v>
      </c>
      <c r="M538" s="59">
        <v>8005</v>
      </c>
      <c r="N538" s="59" t="s">
        <v>4611</v>
      </c>
      <c r="O538">
        <v>2000</v>
      </c>
      <c r="P538" s="60">
        <f t="shared" si="8"/>
        <v>7.1301247771836005</v>
      </c>
    </row>
    <row r="539" spans="1:16" ht="14.25" customHeight="1" x14ac:dyDescent="0.2">
      <c r="A539" t="s">
        <v>4143</v>
      </c>
      <c r="B539" t="s">
        <v>4144</v>
      </c>
      <c r="C539" t="s">
        <v>4145</v>
      </c>
      <c r="D539" t="s">
        <v>543</v>
      </c>
      <c r="E539" s="6" t="s">
        <v>4628</v>
      </c>
      <c r="F539" s="6">
        <v>2</v>
      </c>
      <c r="G539" t="s">
        <v>4151</v>
      </c>
      <c r="H539" s="59">
        <v>6400</v>
      </c>
      <c r="I539" t="s">
        <v>4776</v>
      </c>
      <c r="J539" s="63" t="s">
        <v>5922</v>
      </c>
      <c r="K539" s="52" t="s">
        <v>5923</v>
      </c>
      <c r="L539" t="s">
        <v>137</v>
      </c>
      <c r="M539" s="59" t="s">
        <v>137</v>
      </c>
      <c r="N539" s="59" t="s">
        <v>4616</v>
      </c>
      <c r="O539" t="s">
        <v>4632</v>
      </c>
      <c r="P539" s="60" t="str">
        <f t="shared" si="8"/>
        <v xml:space="preserve"> </v>
      </c>
    </row>
    <row r="540" spans="1:16" ht="14.25" customHeight="1" x14ac:dyDescent="0.2">
      <c r="A540" t="s">
        <v>4158</v>
      </c>
      <c r="B540" t="s">
        <v>4159</v>
      </c>
      <c r="C540" t="s">
        <v>4160</v>
      </c>
      <c r="D540" t="s">
        <v>543</v>
      </c>
      <c r="E540" s="6" t="s">
        <v>4659</v>
      </c>
      <c r="F540" s="6">
        <v>1</v>
      </c>
      <c r="G540" t="s">
        <v>4164</v>
      </c>
      <c r="H540" s="59">
        <v>2868</v>
      </c>
      <c r="I540" t="s">
        <v>4660</v>
      </c>
      <c r="J540" s="63" t="s">
        <v>5924</v>
      </c>
      <c r="K540" s="52" t="s">
        <v>5925</v>
      </c>
      <c r="L540">
        <v>7</v>
      </c>
      <c r="M540" s="59">
        <v>6883</v>
      </c>
      <c r="N540" s="59" t="s">
        <v>4611</v>
      </c>
      <c r="O540">
        <v>2500</v>
      </c>
      <c r="P540" s="60">
        <f t="shared" si="8"/>
        <v>8.7168758716875878</v>
      </c>
    </row>
    <row r="541" spans="1:16" ht="14.25" customHeight="1" x14ac:dyDescent="0.2">
      <c r="A541" t="s">
        <v>4158</v>
      </c>
      <c r="B541" t="s">
        <v>4159</v>
      </c>
      <c r="C541" t="s">
        <v>4160</v>
      </c>
      <c r="D541" t="s">
        <v>543</v>
      </c>
      <c r="E541" s="6" t="s">
        <v>4633</v>
      </c>
      <c r="F541" s="6">
        <v>2</v>
      </c>
      <c r="G541" t="s">
        <v>4165</v>
      </c>
      <c r="H541" s="59">
        <v>5883</v>
      </c>
      <c r="I541" t="s">
        <v>4660</v>
      </c>
      <c r="J541" s="63" t="s">
        <v>5926</v>
      </c>
      <c r="K541" s="52" t="s">
        <v>5927</v>
      </c>
      <c r="L541" t="s">
        <v>137</v>
      </c>
      <c r="M541" s="59" t="s">
        <v>137</v>
      </c>
      <c r="N541" s="59" t="s">
        <v>4616</v>
      </c>
      <c r="O541">
        <v>2600</v>
      </c>
      <c r="P541" s="60">
        <f t="shared" si="8"/>
        <v>4.4195138534761176</v>
      </c>
    </row>
    <row r="542" spans="1:16" ht="14.25" customHeight="1" x14ac:dyDescent="0.2">
      <c r="A542" t="s">
        <v>4170</v>
      </c>
      <c r="B542" t="s">
        <v>4171</v>
      </c>
      <c r="C542" t="s">
        <v>4172</v>
      </c>
      <c r="D542" t="s">
        <v>645</v>
      </c>
      <c r="E542" s="6" t="s">
        <v>4877</v>
      </c>
      <c r="F542" s="6">
        <v>1</v>
      </c>
      <c r="G542" t="s">
        <v>4177</v>
      </c>
      <c r="H542" s="59">
        <v>7800</v>
      </c>
      <c r="I542" t="s">
        <v>4608</v>
      </c>
      <c r="J542" s="63" t="s">
        <v>5928</v>
      </c>
      <c r="K542" s="52" t="s">
        <v>5929</v>
      </c>
      <c r="L542" t="s">
        <v>137</v>
      </c>
      <c r="M542" s="59" t="s">
        <v>137</v>
      </c>
      <c r="N542" s="59" t="s">
        <v>4616</v>
      </c>
      <c r="O542">
        <v>1800</v>
      </c>
      <c r="P542" s="60">
        <f t="shared" si="8"/>
        <v>2.3076923076923079</v>
      </c>
    </row>
    <row r="543" spans="1:16" ht="14.25" customHeight="1" x14ac:dyDescent="0.2">
      <c r="A543" t="s">
        <v>4170</v>
      </c>
      <c r="B543" t="s">
        <v>4171</v>
      </c>
      <c r="C543" t="s">
        <v>4172</v>
      </c>
      <c r="D543" t="s">
        <v>645</v>
      </c>
      <c r="E543" s="6" t="s">
        <v>5070</v>
      </c>
      <c r="F543" s="6">
        <v>2</v>
      </c>
      <c r="G543" t="s">
        <v>4178</v>
      </c>
      <c r="H543" s="59">
        <v>5120</v>
      </c>
      <c r="I543" t="s">
        <v>4629</v>
      </c>
      <c r="J543" s="63" t="s">
        <v>5930</v>
      </c>
      <c r="K543" s="52" t="s">
        <v>5931</v>
      </c>
      <c r="L543">
        <v>6</v>
      </c>
      <c r="M543" s="59">
        <v>13770</v>
      </c>
      <c r="N543" s="59" t="s">
        <v>4611</v>
      </c>
      <c r="O543">
        <v>1400</v>
      </c>
      <c r="P543" s="60">
        <f t="shared" si="8"/>
        <v>2.734375</v>
      </c>
    </row>
    <row r="544" spans="1:16" ht="14.25" customHeight="1" x14ac:dyDescent="0.2">
      <c r="A544" t="s">
        <v>4184</v>
      </c>
      <c r="B544" t="s">
        <v>4185</v>
      </c>
      <c r="C544" t="s">
        <v>4186</v>
      </c>
      <c r="D544" t="s">
        <v>645</v>
      </c>
      <c r="E544" s="6" t="s">
        <v>5932</v>
      </c>
      <c r="F544" s="6">
        <v>1</v>
      </c>
      <c r="G544" t="s">
        <v>4191</v>
      </c>
      <c r="H544" s="59">
        <v>2285</v>
      </c>
      <c r="I544" t="s">
        <v>4660</v>
      </c>
      <c r="J544" s="63" t="s">
        <v>5933</v>
      </c>
      <c r="K544" s="52" t="s">
        <v>5934</v>
      </c>
      <c r="L544" t="s">
        <v>137</v>
      </c>
      <c r="M544" s="59" t="s">
        <v>137</v>
      </c>
      <c r="N544" s="59" t="s">
        <v>4616</v>
      </c>
      <c r="O544">
        <v>2000</v>
      </c>
      <c r="P544" s="60">
        <f t="shared" si="8"/>
        <v>8.7527352297592991</v>
      </c>
    </row>
    <row r="545" spans="1:16" ht="14.25" customHeight="1" x14ac:dyDescent="0.2">
      <c r="A545" t="s">
        <v>4184</v>
      </c>
      <c r="B545" t="s">
        <v>4185</v>
      </c>
      <c r="C545" t="s">
        <v>4186</v>
      </c>
      <c r="D545" t="s">
        <v>645</v>
      </c>
      <c r="E545" s="6" t="s">
        <v>5070</v>
      </c>
      <c r="F545" s="6">
        <v>2</v>
      </c>
      <c r="G545" t="s">
        <v>4192</v>
      </c>
      <c r="H545" s="59">
        <v>4960</v>
      </c>
      <c r="I545" t="s">
        <v>4869</v>
      </c>
      <c r="J545" s="63" t="s">
        <v>5935</v>
      </c>
      <c r="K545" s="52" t="s">
        <v>5936</v>
      </c>
      <c r="L545" t="s">
        <v>137</v>
      </c>
      <c r="M545" s="59" t="s">
        <v>137</v>
      </c>
      <c r="N545" s="59" t="s">
        <v>4616</v>
      </c>
      <c r="O545">
        <v>2000</v>
      </c>
      <c r="P545" s="60">
        <f t="shared" si="8"/>
        <v>4.032258064516129</v>
      </c>
    </row>
    <row r="546" spans="1:16" ht="14.25" customHeight="1" x14ac:dyDescent="0.2">
      <c r="A546" t="s">
        <v>4200</v>
      </c>
      <c r="B546" t="s">
        <v>4201</v>
      </c>
      <c r="C546" t="s">
        <v>4202</v>
      </c>
      <c r="D546" t="s">
        <v>645</v>
      </c>
      <c r="E546" s="6" t="s">
        <v>5937</v>
      </c>
      <c r="F546" s="6">
        <v>1</v>
      </c>
      <c r="G546" t="s">
        <v>4207</v>
      </c>
      <c r="H546" s="59">
        <v>2854</v>
      </c>
      <c r="I546" t="s">
        <v>5938</v>
      </c>
      <c r="J546" s="63" t="s">
        <v>5939</v>
      </c>
      <c r="K546" s="52" t="s">
        <v>5940</v>
      </c>
      <c r="L546">
        <v>7</v>
      </c>
      <c r="M546" s="59">
        <v>9989</v>
      </c>
      <c r="N546" s="59" t="s">
        <v>4611</v>
      </c>
      <c r="O546">
        <f>7*600</f>
        <v>4200</v>
      </c>
      <c r="P546" s="60">
        <f t="shared" si="8"/>
        <v>14.716187806587246</v>
      </c>
    </row>
    <row r="547" spans="1:16" ht="14.25" customHeight="1" x14ac:dyDescent="0.2">
      <c r="A547" t="s">
        <v>4200</v>
      </c>
      <c r="B547" t="s">
        <v>4201</v>
      </c>
      <c r="C547" t="s">
        <v>4202</v>
      </c>
      <c r="D547" t="s">
        <v>645</v>
      </c>
      <c r="E547" s="6" t="s">
        <v>5941</v>
      </c>
      <c r="F547" s="6">
        <v>2</v>
      </c>
      <c r="G547" t="s">
        <v>4208</v>
      </c>
      <c r="H547" s="59">
        <v>5499</v>
      </c>
      <c r="I547" t="s">
        <v>4842</v>
      </c>
      <c r="J547" s="63" t="s">
        <v>5942</v>
      </c>
      <c r="K547" s="52" t="s">
        <v>5943</v>
      </c>
      <c r="L547" t="s">
        <v>137</v>
      </c>
      <c r="M547" s="59" t="s">
        <v>137</v>
      </c>
      <c r="N547" s="59" t="s">
        <v>4616</v>
      </c>
      <c r="O547">
        <v>3500</v>
      </c>
      <c r="P547" s="60">
        <f t="shared" si="8"/>
        <v>6.364793598836151</v>
      </c>
    </row>
    <row r="548" spans="1:16" ht="14.25" customHeight="1" x14ac:dyDescent="0.2">
      <c r="A548" t="s">
        <v>4213</v>
      </c>
      <c r="B548" t="s">
        <v>4214</v>
      </c>
      <c r="C548" t="s">
        <v>4215</v>
      </c>
      <c r="D548" t="s">
        <v>645</v>
      </c>
      <c r="E548" s="6" t="s">
        <v>5944</v>
      </c>
      <c r="F548" s="6">
        <v>1</v>
      </c>
      <c r="G548" t="s">
        <v>4220</v>
      </c>
      <c r="H548" s="59">
        <v>2352</v>
      </c>
      <c r="I548" t="s">
        <v>4629</v>
      </c>
      <c r="J548" s="63" t="s">
        <v>5945</v>
      </c>
      <c r="K548" s="52" t="s">
        <v>5946</v>
      </c>
      <c r="L548">
        <v>7</v>
      </c>
      <c r="M548" s="59">
        <v>4704</v>
      </c>
      <c r="N548" s="59" t="s">
        <v>4611</v>
      </c>
      <c r="O548">
        <v>2000</v>
      </c>
      <c r="P548" s="60">
        <f t="shared" si="8"/>
        <v>8.5034013605442169</v>
      </c>
    </row>
    <row r="549" spans="1:16" ht="14.25" customHeight="1" x14ac:dyDescent="0.2">
      <c r="A549" t="s">
        <v>4213</v>
      </c>
      <c r="B549" t="s">
        <v>4214</v>
      </c>
      <c r="C549" t="s">
        <v>4215</v>
      </c>
      <c r="D549" t="s">
        <v>645</v>
      </c>
      <c r="E549" s="6" t="s">
        <v>5947</v>
      </c>
      <c r="F549" s="6">
        <v>2</v>
      </c>
      <c r="G549" t="s">
        <v>4221</v>
      </c>
      <c r="H549" s="59">
        <v>5161</v>
      </c>
      <c r="I549" t="s">
        <v>4660</v>
      </c>
      <c r="J549" s="63" t="s">
        <v>5948</v>
      </c>
      <c r="K549" s="52" t="s">
        <v>5949</v>
      </c>
      <c r="L549" t="s">
        <v>137</v>
      </c>
      <c r="M549" s="59" t="s">
        <v>137</v>
      </c>
      <c r="N549" s="59" t="s">
        <v>4616</v>
      </c>
      <c r="O549">
        <v>2800</v>
      </c>
      <c r="P549" s="60">
        <f t="shared" si="8"/>
        <v>5.4253051734160049</v>
      </c>
    </row>
    <row r="550" spans="1:16" ht="14.25" customHeight="1" x14ac:dyDescent="0.2">
      <c r="A550" t="s">
        <v>4228</v>
      </c>
      <c r="B550" t="s">
        <v>4229</v>
      </c>
      <c r="C550" t="s">
        <v>4230</v>
      </c>
      <c r="D550" t="s">
        <v>645</v>
      </c>
      <c r="E550" s="6" t="s">
        <v>4673</v>
      </c>
      <c r="F550" s="6">
        <v>1</v>
      </c>
      <c r="G550" t="s">
        <v>4235</v>
      </c>
      <c r="H550" s="59">
        <v>4367</v>
      </c>
      <c r="I550" t="s">
        <v>4629</v>
      </c>
      <c r="J550" s="63" t="s">
        <v>4775</v>
      </c>
      <c r="K550" s="52" t="s">
        <v>5950</v>
      </c>
      <c r="L550">
        <v>5</v>
      </c>
      <c r="M550" s="59">
        <v>13232</v>
      </c>
      <c r="N550" s="59" t="s">
        <v>4611</v>
      </c>
      <c r="O550" t="s">
        <v>4632</v>
      </c>
      <c r="P550" s="60" t="str">
        <f t="shared" si="8"/>
        <v xml:space="preserve"> </v>
      </c>
    </row>
    <row r="551" spans="1:16" ht="14.25" customHeight="1" x14ac:dyDescent="0.2">
      <c r="A551" t="s">
        <v>4228</v>
      </c>
      <c r="B551" t="s">
        <v>4229</v>
      </c>
      <c r="C551" t="s">
        <v>4230</v>
      </c>
      <c r="D551" t="s">
        <v>645</v>
      </c>
      <c r="E551" s="6" t="s">
        <v>5951</v>
      </c>
      <c r="F551" s="6">
        <v>2</v>
      </c>
      <c r="G551" t="s">
        <v>4236</v>
      </c>
      <c r="H551" s="59">
        <v>5157</v>
      </c>
      <c r="I551" t="s">
        <v>4622</v>
      </c>
      <c r="J551" s="63" t="s">
        <v>5952</v>
      </c>
      <c r="K551" s="52" t="s">
        <v>5953</v>
      </c>
      <c r="L551" t="s">
        <v>137</v>
      </c>
      <c r="M551" s="59" t="s">
        <v>137</v>
      </c>
      <c r="N551" s="59" t="s">
        <v>4616</v>
      </c>
      <c r="O551">
        <v>2000</v>
      </c>
      <c r="P551" s="60">
        <f t="shared" si="8"/>
        <v>3.8782237735117313</v>
      </c>
    </row>
    <row r="552" spans="1:16" ht="14.25" customHeight="1" x14ac:dyDescent="0.2">
      <c r="A552" t="s">
        <v>4243</v>
      </c>
      <c r="B552" t="s">
        <v>4244</v>
      </c>
      <c r="C552" t="s">
        <v>4245</v>
      </c>
      <c r="D552" t="s">
        <v>645</v>
      </c>
      <c r="E552" s="6" t="s">
        <v>5954</v>
      </c>
      <c r="F552" s="6">
        <v>1</v>
      </c>
      <c r="G552" t="s">
        <v>4250</v>
      </c>
      <c r="H552" s="59">
        <v>2427</v>
      </c>
      <c r="I552" t="s">
        <v>4622</v>
      </c>
      <c r="J552" s="63" t="s">
        <v>5955</v>
      </c>
      <c r="K552" s="52" t="s">
        <v>5956</v>
      </c>
      <c r="L552" t="s">
        <v>137</v>
      </c>
      <c r="M552" s="59" t="s">
        <v>137</v>
      </c>
      <c r="N552" s="59" t="s">
        <v>4616</v>
      </c>
      <c r="O552">
        <f>5*350</f>
        <v>1750</v>
      </c>
      <c r="P552" s="60">
        <f t="shared" si="8"/>
        <v>7.2105480016481245</v>
      </c>
    </row>
    <row r="553" spans="1:16" ht="14.25" customHeight="1" x14ac:dyDescent="0.2">
      <c r="A553" t="s">
        <v>4243</v>
      </c>
      <c r="B553" t="s">
        <v>4244</v>
      </c>
      <c r="C553" t="s">
        <v>4245</v>
      </c>
      <c r="D553" t="s">
        <v>645</v>
      </c>
      <c r="E553" s="6" t="s">
        <v>4628</v>
      </c>
      <c r="F553" s="6">
        <v>2</v>
      </c>
      <c r="G553" t="s">
        <v>4251</v>
      </c>
      <c r="H553" s="59">
        <v>7634</v>
      </c>
      <c r="I553" t="s">
        <v>4622</v>
      </c>
      <c r="J553" s="63" t="s">
        <v>5957</v>
      </c>
      <c r="K553" s="52" t="s">
        <v>5958</v>
      </c>
      <c r="L553" t="s">
        <v>137</v>
      </c>
      <c r="M553" s="59" t="s">
        <v>137</v>
      </c>
      <c r="N553" s="59" t="s">
        <v>4616</v>
      </c>
      <c r="O553" t="s">
        <v>4632</v>
      </c>
      <c r="P553" s="60" t="str">
        <f t="shared" si="8"/>
        <v xml:space="preserve"> </v>
      </c>
    </row>
    <row r="554" spans="1:16" ht="14.25" customHeight="1" x14ac:dyDescent="0.2">
      <c r="A554" t="s">
        <v>4256</v>
      </c>
      <c r="B554" t="s">
        <v>4257</v>
      </c>
      <c r="C554" t="s">
        <v>4258</v>
      </c>
      <c r="D554" t="s">
        <v>645</v>
      </c>
      <c r="E554" s="6" t="s">
        <v>5070</v>
      </c>
      <c r="F554" s="6">
        <v>1</v>
      </c>
      <c r="G554" t="s">
        <v>4262</v>
      </c>
      <c r="H554" s="59">
        <v>2352</v>
      </c>
      <c r="I554" t="s">
        <v>4622</v>
      </c>
      <c r="J554" s="63" t="s">
        <v>5959</v>
      </c>
      <c r="K554" s="52" t="s">
        <v>5960</v>
      </c>
      <c r="L554">
        <v>3</v>
      </c>
      <c r="M554" s="59">
        <v>7291</v>
      </c>
      <c r="N554" s="59" t="s">
        <v>4611</v>
      </c>
      <c r="O554">
        <v>2000</v>
      </c>
      <c r="P554" s="60">
        <f t="shared" si="8"/>
        <v>8.5034013605442169</v>
      </c>
    </row>
    <row r="555" spans="1:16" ht="14.25" customHeight="1" x14ac:dyDescent="0.2">
      <c r="A555" t="s">
        <v>4256</v>
      </c>
      <c r="B555" t="s">
        <v>4257</v>
      </c>
      <c r="C555" t="s">
        <v>4258</v>
      </c>
      <c r="D555" t="s">
        <v>645</v>
      </c>
      <c r="E555" s="6" t="s">
        <v>4811</v>
      </c>
      <c r="F555" s="6">
        <v>2</v>
      </c>
      <c r="G555" t="s">
        <v>4263</v>
      </c>
      <c r="H555" s="59">
        <v>5161</v>
      </c>
      <c r="I555" t="s">
        <v>4622</v>
      </c>
      <c r="J555" s="63" t="s">
        <v>5961</v>
      </c>
      <c r="K555" s="52" t="s">
        <v>5962</v>
      </c>
      <c r="L555" t="s">
        <v>137</v>
      </c>
      <c r="M555" s="59" t="s">
        <v>137</v>
      </c>
      <c r="N555" s="59" t="s">
        <v>4616</v>
      </c>
      <c r="O555">
        <v>1800</v>
      </c>
      <c r="P555" s="60">
        <f t="shared" si="8"/>
        <v>3.4876961829102888</v>
      </c>
    </row>
    <row r="556" spans="1:16" ht="14.25" customHeight="1" x14ac:dyDescent="0.2">
      <c r="A556" t="s">
        <v>4267</v>
      </c>
      <c r="B556" t="s">
        <v>4268</v>
      </c>
      <c r="C556" t="s">
        <v>4269</v>
      </c>
      <c r="D556" t="s">
        <v>759</v>
      </c>
      <c r="E556" s="6" t="s">
        <v>5963</v>
      </c>
      <c r="F556" s="6">
        <v>1</v>
      </c>
      <c r="G556" t="s">
        <v>4274</v>
      </c>
      <c r="H556" s="59">
        <v>2520</v>
      </c>
      <c r="I556" t="s">
        <v>4629</v>
      </c>
      <c r="J556" s="63" t="s">
        <v>5964</v>
      </c>
      <c r="K556" s="52" t="s">
        <v>5965</v>
      </c>
      <c r="L556">
        <v>7</v>
      </c>
      <c r="M556" s="59">
        <v>13255</v>
      </c>
      <c r="N556" s="59" t="s">
        <v>4611</v>
      </c>
      <c r="O556">
        <v>2000</v>
      </c>
      <c r="P556" s="60">
        <f t="shared" si="8"/>
        <v>7.9365079365079358</v>
      </c>
    </row>
    <row r="557" spans="1:16" ht="14.25" customHeight="1" x14ac:dyDescent="0.2">
      <c r="A557" t="s">
        <v>4267</v>
      </c>
      <c r="B557" t="s">
        <v>4268</v>
      </c>
      <c r="C557" t="s">
        <v>4269</v>
      </c>
      <c r="D557" t="s">
        <v>759</v>
      </c>
      <c r="E557" s="6" t="s">
        <v>4696</v>
      </c>
      <c r="F557" s="6">
        <v>2</v>
      </c>
      <c r="G557" t="s">
        <v>4275</v>
      </c>
      <c r="H557" s="59">
        <v>6000</v>
      </c>
      <c r="I557" t="s">
        <v>4608</v>
      </c>
      <c r="J557" s="63" t="s">
        <v>5966</v>
      </c>
      <c r="K557" s="52" t="s">
        <v>5967</v>
      </c>
      <c r="L557" t="s">
        <v>137</v>
      </c>
      <c r="M557" s="59" t="s">
        <v>137</v>
      </c>
      <c r="N557" s="59" t="s">
        <v>4616</v>
      </c>
      <c r="O557" t="s">
        <v>4632</v>
      </c>
      <c r="P557" s="60" t="str">
        <f t="shared" si="8"/>
        <v xml:space="preserve"> </v>
      </c>
    </row>
    <row r="558" spans="1:16" ht="14.25" customHeight="1" x14ac:dyDescent="0.2">
      <c r="A558" t="s">
        <v>4285</v>
      </c>
      <c r="B558" t="s">
        <v>4286</v>
      </c>
      <c r="C558" t="s">
        <v>4287</v>
      </c>
      <c r="D558" t="s">
        <v>759</v>
      </c>
      <c r="E558" s="6" t="s">
        <v>5968</v>
      </c>
      <c r="F558" s="6">
        <v>1</v>
      </c>
      <c r="G558" t="s">
        <v>4292</v>
      </c>
      <c r="H558" s="59">
        <v>3444</v>
      </c>
      <c r="I558" t="s">
        <v>5969</v>
      </c>
      <c r="J558" s="63" t="s">
        <v>5970</v>
      </c>
      <c r="K558" s="52" t="s">
        <v>5971</v>
      </c>
      <c r="L558">
        <v>6</v>
      </c>
      <c r="M558" s="59">
        <v>11365</v>
      </c>
      <c r="N558" s="59" t="s">
        <v>4611</v>
      </c>
      <c r="O558">
        <f>13*350</f>
        <v>4550</v>
      </c>
      <c r="P558" s="60">
        <f t="shared" si="8"/>
        <v>13.211382113821138</v>
      </c>
    </row>
    <row r="559" spans="1:16" ht="14.25" customHeight="1" x14ac:dyDescent="0.2">
      <c r="A559" t="s">
        <v>4285</v>
      </c>
      <c r="B559" t="s">
        <v>4286</v>
      </c>
      <c r="C559" t="s">
        <v>4287</v>
      </c>
      <c r="D559" t="s">
        <v>759</v>
      </c>
      <c r="E559" s="6" t="s">
        <v>4941</v>
      </c>
      <c r="F559" s="6">
        <v>2</v>
      </c>
      <c r="G559" t="s">
        <v>4293</v>
      </c>
      <c r="H559" s="59">
        <v>8610</v>
      </c>
      <c r="I559" t="s">
        <v>4608</v>
      </c>
      <c r="J559" s="63" t="s">
        <v>5972</v>
      </c>
      <c r="K559" s="52" t="s">
        <v>5973</v>
      </c>
      <c r="L559" t="s">
        <v>137</v>
      </c>
      <c r="M559" s="59" t="s">
        <v>137</v>
      </c>
      <c r="N559" s="59" t="s">
        <v>4616</v>
      </c>
      <c r="O559" t="s">
        <v>4632</v>
      </c>
      <c r="P559" s="60" t="str">
        <f t="shared" si="8"/>
        <v xml:space="preserve"> </v>
      </c>
    </row>
    <row r="560" spans="1:16" ht="14.25" customHeight="1" x14ac:dyDescent="0.2">
      <c r="A560" t="s">
        <v>4300</v>
      </c>
      <c r="B560" t="s">
        <v>4301</v>
      </c>
      <c r="C560" t="s">
        <v>4302</v>
      </c>
      <c r="D560" t="s">
        <v>759</v>
      </c>
      <c r="E560" s="6" t="s">
        <v>4696</v>
      </c>
      <c r="F560" s="6">
        <v>1</v>
      </c>
      <c r="G560" t="s">
        <v>4307</v>
      </c>
      <c r="H560" s="59">
        <v>3217</v>
      </c>
      <c r="I560" t="s">
        <v>4618</v>
      </c>
      <c r="J560" s="63" t="s">
        <v>5974</v>
      </c>
      <c r="K560" s="52" t="s">
        <v>5975</v>
      </c>
      <c r="L560">
        <v>6</v>
      </c>
      <c r="M560" s="59">
        <v>15441</v>
      </c>
      <c r="N560" s="59" t="s">
        <v>4611</v>
      </c>
      <c r="O560" t="s">
        <v>4632</v>
      </c>
      <c r="P560" s="60" t="str">
        <f t="shared" si="8"/>
        <v xml:space="preserve"> </v>
      </c>
    </row>
    <row r="561" spans="1:16" ht="14.25" customHeight="1" x14ac:dyDescent="0.2">
      <c r="A561" t="s">
        <v>4300</v>
      </c>
      <c r="B561" t="s">
        <v>4301</v>
      </c>
      <c r="C561" t="s">
        <v>4302</v>
      </c>
      <c r="D561" t="s">
        <v>759</v>
      </c>
      <c r="E561" s="6" t="s">
        <v>4833</v>
      </c>
      <c r="F561" s="6">
        <v>2</v>
      </c>
      <c r="G561" t="s">
        <v>4308</v>
      </c>
      <c r="H561" s="59">
        <v>6434</v>
      </c>
      <c r="I561" t="s">
        <v>4613</v>
      </c>
      <c r="J561" s="63" t="s">
        <v>5976</v>
      </c>
      <c r="K561" s="52" t="s">
        <v>5977</v>
      </c>
      <c r="L561" t="s">
        <v>137</v>
      </c>
      <c r="M561" s="59" t="s">
        <v>137</v>
      </c>
      <c r="N561" s="59" t="s">
        <v>4616</v>
      </c>
      <c r="O561">
        <v>2000</v>
      </c>
      <c r="P561" s="60">
        <f t="shared" si="8"/>
        <v>3.1084861672365562</v>
      </c>
    </row>
    <row r="562" spans="1:16" ht="14.25" customHeight="1" x14ac:dyDescent="0.2">
      <c r="A562" t="s">
        <v>4315</v>
      </c>
      <c r="B562" t="s">
        <v>4316</v>
      </c>
      <c r="C562" t="s">
        <v>4317</v>
      </c>
      <c r="D562" t="s">
        <v>759</v>
      </c>
      <c r="E562" s="6" t="s">
        <v>5138</v>
      </c>
      <c r="F562" s="6">
        <v>1</v>
      </c>
      <c r="G562" t="s">
        <v>4322</v>
      </c>
      <c r="H562" s="59">
        <v>2603</v>
      </c>
      <c r="I562" t="s">
        <v>4618</v>
      </c>
      <c r="J562" s="63" t="s">
        <v>5978</v>
      </c>
      <c r="K562" s="52" t="s">
        <v>5979</v>
      </c>
      <c r="L562">
        <v>6</v>
      </c>
      <c r="M562" s="59">
        <v>9631</v>
      </c>
      <c r="N562" s="59" t="s">
        <v>4611</v>
      </c>
      <c r="O562">
        <f>800+1600</f>
        <v>2400</v>
      </c>
      <c r="P562" s="60">
        <f t="shared" si="8"/>
        <v>9.2201306185170964</v>
      </c>
    </row>
    <row r="563" spans="1:16" ht="14.25" customHeight="1" x14ac:dyDescent="0.2">
      <c r="A563" t="s">
        <v>4315</v>
      </c>
      <c r="B563" t="s">
        <v>4316</v>
      </c>
      <c r="C563" t="s">
        <v>4317</v>
      </c>
      <c r="D563" t="s">
        <v>759</v>
      </c>
      <c r="E563" s="6" t="s">
        <v>4678</v>
      </c>
      <c r="F563" s="6">
        <v>2</v>
      </c>
      <c r="G563" t="s">
        <v>4323</v>
      </c>
      <c r="H563" s="59">
        <v>6200</v>
      </c>
      <c r="I563" t="s">
        <v>4629</v>
      </c>
      <c r="J563" s="63" t="s">
        <v>5980</v>
      </c>
      <c r="K563" s="52" t="s">
        <v>5981</v>
      </c>
      <c r="L563" t="s">
        <v>137</v>
      </c>
      <c r="M563" s="59" t="s">
        <v>137</v>
      </c>
      <c r="N563" s="59" t="s">
        <v>4616</v>
      </c>
      <c r="O563" t="s">
        <v>4632</v>
      </c>
      <c r="P563" s="60" t="str">
        <f t="shared" si="8"/>
        <v xml:space="preserve"> </v>
      </c>
    </row>
    <row r="564" spans="1:16" ht="14.25" customHeight="1" x14ac:dyDescent="0.2">
      <c r="A564" t="s">
        <v>4327</v>
      </c>
      <c r="B564" t="s">
        <v>4328</v>
      </c>
      <c r="C564" t="s">
        <v>4329</v>
      </c>
      <c r="D564" t="s">
        <v>759</v>
      </c>
      <c r="E564" s="6" t="s">
        <v>4838</v>
      </c>
      <c r="F564" s="6">
        <v>1</v>
      </c>
      <c r="G564" t="s">
        <v>4334</v>
      </c>
      <c r="H564" s="59">
        <v>2713</v>
      </c>
      <c r="I564" t="s">
        <v>4986</v>
      </c>
      <c r="J564" s="63" t="s">
        <v>5982</v>
      </c>
      <c r="K564" s="52" t="s">
        <v>5983</v>
      </c>
      <c r="L564">
        <v>7</v>
      </c>
      <c r="M564" s="59">
        <v>7596</v>
      </c>
      <c r="N564" s="59" t="s">
        <v>4611</v>
      </c>
      <c r="O564">
        <f>8*250</f>
        <v>2000</v>
      </c>
      <c r="P564" s="60">
        <f t="shared" si="8"/>
        <v>7.3719130114264653</v>
      </c>
    </row>
    <row r="565" spans="1:16" ht="14.25" customHeight="1" x14ac:dyDescent="0.2">
      <c r="A565" t="s">
        <v>4327</v>
      </c>
      <c r="B565" t="s">
        <v>4328</v>
      </c>
      <c r="C565" t="s">
        <v>4329</v>
      </c>
      <c r="D565" t="s">
        <v>759</v>
      </c>
      <c r="E565" s="6" t="s">
        <v>4628</v>
      </c>
      <c r="F565" s="6">
        <v>2</v>
      </c>
      <c r="G565" t="s">
        <v>4335</v>
      </c>
      <c r="H565" s="59">
        <v>5599</v>
      </c>
      <c r="I565" t="s">
        <v>4629</v>
      </c>
      <c r="J565" s="63" t="s">
        <v>5984</v>
      </c>
      <c r="K565" s="52" t="s">
        <v>5985</v>
      </c>
      <c r="L565" t="s">
        <v>137</v>
      </c>
      <c r="M565" s="59" t="s">
        <v>137</v>
      </c>
      <c r="N565" s="59" t="s">
        <v>4616</v>
      </c>
      <c r="O565" t="s">
        <v>4632</v>
      </c>
      <c r="P565" s="60" t="str">
        <f t="shared" si="8"/>
        <v xml:space="preserve"> </v>
      </c>
    </row>
    <row r="566" spans="1:16" ht="14.25" customHeight="1" x14ac:dyDescent="0.2">
      <c r="A566" t="s">
        <v>4343</v>
      </c>
      <c r="B566" t="s">
        <v>4344</v>
      </c>
      <c r="C566" t="s">
        <v>4345</v>
      </c>
      <c r="D566" t="s">
        <v>759</v>
      </c>
      <c r="E566" s="6" t="s">
        <v>5138</v>
      </c>
      <c r="F566" s="6">
        <v>1</v>
      </c>
      <c r="G566" t="s">
        <v>4350</v>
      </c>
      <c r="H566" s="59">
        <v>2503</v>
      </c>
      <c r="I566" t="s">
        <v>4804</v>
      </c>
      <c r="J566" s="63" t="s">
        <v>5986</v>
      </c>
      <c r="K566" s="52" t="s">
        <v>5987</v>
      </c>
      <c r="L566">
        <v>4</v>
      </c>
      <c r="M566" s="59">
        <v>14517</v>
      </c>
      <c r="N566" s="59" t="s">
        <v>4611</v>
      </c>
      <c r="O566">
        <v>2000</v>
      </c>
      <c r="P566" s="60">
        <f t="shared" si="8"/>
        <v>7.9904115061925687</v>
      </c>
    </row>
    <row r="567" spans="1:16" ht="14.25" customHeight="1" x14ac:dyDescent="0.2">
      <c r="A567" t="s">
        <v>4343</v>
      </c>
      <c r="B567" t="s">
        <v>4344</v>
      </c>
      <c r="C567" t="s">
        <v>4345</v>
      </c>
      <c r="D567" t="s">
        <v>759</v>
      </c>
      <c r="E567" s="6" t="s">
        <v>4845</v>
      </c>
      <c r="F567" s="6">
        <v>2</v>
      </c>
      <c r="G567" t="s">
        <v>4351</v>
      </c>
      <c r="H567" s="59">
        <v>4716</v>
      </c>
      <c r="I567" t="s">
        <v>5084</v>
      </c>
      <c r="J567" s="63" t="s">
        <v>5988</v>
      </c>
      <c r="K567" s="52" t="s">
        <v>5989</v>
      </c>
      <c r="L567" t="s">
        <v>137</v>
      </c>
      <c r="M567" s="59" t="s">
        <v>137</v>
      </c>
      <c r="N567" s="59" t="s">
        <v>4616</v>
      </c>
      <c r="O567">
        <f>3*700</f>
        <v>2100</v>
      </c>
      <c r="P567" s="60">
        <f t="shared" si="8"/>
        <v>4.452926208651399</v>
      </c>
    </row>
    <row r="568" spans="1:16" ht="14.25" customHeight="1" x14ac:dyDescent="0.2">
      <c r="A568" t="s">
        <v>4358</v>
      </c>
      <c r="B568" t="s">
        <v>4359</v>
      </c>
      <c r="C568" t="s">
        <v>4360</v>
      </c>
      <c r="D568" t="s">
        <v>839</v>
      </c>
      <c r="E568" s="6" t="s">
        <v>5990</v>
      </c>
      <c r="F568" s="6">
        <v>1</v>
      </c>
      <c r="G568" t="s">
        <v>4365</v>
      </c>
      <c r="H568" s="59">
        <v>3525</v>
      </c>
      <c r="I568" t="s">
        <v>4629</v>
      </c>
      <c r="J568" s="63" t="s">
        <v>5991</v>
      </c>
      <c r="K568" s="52" t="s">
        <v>5992</v>
      </c>
      <c r="L568">
        <v>5</v>
      </c>
      <c r="M568" s="59">
        <v>12690</v>
      </c>
      <c r="N568" s="59" t="s">
        <v>4611</v>
      </c>
      <c r="O568">
        <f>600*3+700</f>
        <v>2500</v>
      </c>
      <c r="P568" s="60">
        <f t="shared" si="8"/>
        <v>7.0921985815602842</v>
      </c>
    </row>
    <row r="569" spans="1:16" ht="14.25" customHeight="1" x14ac:dyDescent="0.2">
      <c r="A569" t="s">
        <v>4358</v>
      </c>
      <c r="B569" t="s">
        <v>4359</v>
      </c>
      <c r="C569" t="s">
        <v>4360</v>
      </c>
      <c r="D569" t="s">
        <v>839</v>
      </c>
      <c r="E569" s="6" t="s">
        <v>4763</v>
      </c>
      <c r="F569" s="6">
        <v>2</v>
      </c>
      <c r="G569" t="s">
        <v>4366</v>
      </c>
      <c r="H569" s="59">
        <v>7100</v>
      </c>
      <c r="I569" t="s">
        <v>4629</v>
      </c>
      <c r="J569" s="63" t="s">
        <v>5993</v>
      </c>
      <c r="K569" s="52" t="s">
        <v>5994</v>
      </c>
      <c r="L569" t="s">
        <v>137</v>
      </c>
      <c r="M569" s="59" t="s">
        <v>137</v>
      </c>
      <c r="N569" s="59" t="s">
        <v>4616</v>
      </c>
      <c r="O569" t="s">
        <v>4632</v>
      </c>
      <c r="P569" s="60" t="str">
        <f t="shared" si="8"/>
        <v xml:space="preserve"> </v>
      </c>
    </row>
    <row r="570" spans="1:16" ht="14.25" customHeight="1" x14ac:dyDescent="0.2">
      <c r="A570" t="s">
        <v>4373</v>
      </c>
      <c r="B570" t="s">
        <v>4374</v>
      </c>
      <c r="C570" t="s">
        <v>4375</v>
      </c>
      <c r="D570" t="s">
        <v>839</v>
      </c>
      <c r="E570" s="6" t="s">
        <v>4852</v>
      </c>
      <c r="F570" s="6">
        <v>1</v>
      </c>
      <c r="G570" t="s">
        <v>4380</v>
      </c>
      <c r="H570" s="59">
        <v>2759</v>
      </c>
      <c r="I570" t="s">
        <v>4629</v>
      </c>
      <c r="J570" s="63" t="s">
        <v>5995</v>
      </c>
      <c r="K570" s="52" t="s">
        <v>5996</v>
      </c>
      <c r="L570">
        <v>3</v>
      </c>
      <c r="M570" s="59">
        <v>5655</v>
      </c>
      <c r="N570" s="59" t="s">
        <v>4611</v>
      </c>
      <c r="O570">
        <v>1300</v>
      </c>
      <c r="P570" s="60">
        <f t="shared" si="8"/>
        <v>4.7118521203334538</v>
      </c>
    </row>
    <row r="571" spans="1:16" ht="14.25" customHeight="1" x14ac:dyDescent="0.2">
      <c r="A571" t="s">
        <v>4373</v>
      </c>
      <c r="B571" t="s">
        <v>4374</v>
      </c>
      <c r="C571" t="s">
        <v>4375</v>
      </c>
      <c r="D571" t="s">
        <v>839</v>
      </c>
      <c r="E571" s="6" t="s">
        <v>5997</v>
      </c>
      <c r="F571" s="6">
        <v>2</v>
      </c>
      <c r="G571" t="s">
        <v>4381</v>
      </c>
      <c r="H571" s="59">
        <v>5570</v>
      </c>
      <c r="I571" t="s">
        <v>4629</v>
      </c>
      <c r="J571" s="63" t="s">
        <v>5998</v>
      </c>
      <c r="K571" s="52" t="s">
        <v>5999</v>
      </c>
      <c r="L571" t="s">
        <v>137</v>
      </c>
      <c r="M571" s="59" t="s">
        <v>137</v>
      </c>
      <c r="N571" s="59" t="s">
        <v>4616</v>
      </c>
      <c r="O571">
        <v>700</v>
      </c>
      <c r="P571" s="60">
        <f t="shared" si="8"/>
        <v>1.2567324955116697</v>
      </c>
    </row>
    <row r="572" spans="1:16" ht="14.25" customHeight="1" x14ac:dyDescent="0.2">
      <c r="A572" t="s">
        <v>4387</v>
      </c>
      <c r="B572" t="s">
        <v>4388</v>
      </c>
      <c r="C572" t="s">
        <v>4389</v>
      </c>
      <c r="D572" t="s">
        <v>839</v>
      </c>
      <c r="E572" s="6" t="s">
        <v>6000</v>
      </c>
      <c r="F572" s="6">
        <v>1</v>
      </c>
      <c r="G572" t="s">
        <v>4394</v>
      </c>
      <c r="H572" s="59">
        <v>2919</v>
      </c>
      <c r="I572" t="s">
        <v>4660</v>
      </c>
      <c r="J572" s="63" t="s">
        <v>6001</v>
      </c>
      <c r="K572" s="52" t="s">
        <v>6002</v>
      </c>
      <c r="L572">
        <v>6</v>
      </c>
      <c r="M572" s="59">
        <v>7881</v>
      </c>
      <c r="N572" s="59" t="s">
        <v>4611</v>
      </c>
      <c r="O572">
        <v>2000</v>
      </c>
      <c r="P572" s="60">
        <f t="shared" si="8"/>
        <v>6.8516615279205206</v>
      </c>
    </row>
    <row r="573" spans="1:16" ht="14.25" customHeight="1" x14ac:dyDescent="0.2">
      <c r="A573" t="s">
        <v>4387</v>
      </c>
      <c r="B573" t="s">
        <v>4388</v>
      </c>
      <c r="C573" t="s">
        <v>4389</v>
      </c>
      <c r="D573" t="s">
        <v>839</v>
      </c>
      <c r="E573" s="6" t="s">
        <v>6003</v>
      </c>
      <c r="F573" s="6">
        <v>2</v>
      </c>
      <c r="G573" t="s">
        <v>4395</v>
      </c>
      <c r="H573" s="59">
        <v>4935</v>
      </c>
      <c r="I573" t="s">
        <v>5883</v>
      </c>
      <c r="J573" s="63" t="s">
        <v>6004</v>
      </c>
      <c r="K573" s="52" t="s">
        <v>6005</v>
      </c>
      <c r="L573" t="s">
        <v>137</v>
      </c>
      <c r="M573" s="59" t="s">
        <v>137</v>
      </c>
      <c r="N573" s="59" t="s">
        <v>4616</v>
      </c>
      <c r="O573">
        <v>3600</v>
      </c>
      <c r="P573" s="60">
        <f t="shared" si="8"/>
        <v>7.2948328267477205</v>
      </c>
    </row>
    <row r="574" spans="1:16" ht="14.25" customHeight="1" x14ac:dyDescent="0.2">
      <c r="A574" t="s">
        <v>4400</v>
      </c>
      <c r="B574" t="s">
        <v>4401</v>
      </c>
      <c r="C574" t="s">
        <v>4402</v>
      </c>
      <c r="D574" t="s">
        <v>839</v>
      </c>
      <c r="E574" s="6" t="s">
        <v>6006</v>
      </c>
      <c r="F574" s="6">
        <v>1</v>
      </c>
      <c r="G574" t="s">
        <v>4407</v>
      </c>
      <c r="H574" s="59">
        <v>2814</v>
      </c>
      <c r="I574" t="s">
        <v>4723</v>
      </c>
      <c r="J574" s="63" t="s">
        <v>6007</v>
      </c>
      <c r="K574" s="52" t="s">
        <v>6008</v>
      </c>
      <c r="L574">
        <v>5</v>
      </c>
      <c r="M574" s="59">
        <v>7316</v>
      </c>
      <c r="N574" s="59" t="s">
        <v>4611</v>
      </c>
      <c r="O574">
        <v>2000</v>
      </c>
      <c r="P574" s="60">
        <f t="shared" si="8"/>
        <v>7.1073205401563611</v>
      </c>
    </row>
    <row r="575" spans="1:16" ht="14.25" customHeight="1" x14ac:dyDescent="0.2">
      <c r="A575" t="s">
        <v>4400</v>
      </c>
      <c r="B575" t="s">
        <v>4401</v>
      </c>
      <c r="C575" t="s">
        <v>4402</v>
      </c>
      <c r="D575" t="s">
        <v>839</v>
      </c>
      <c r="E575" s="6" t="s">
        <v>4814</v>
      </c>
      <c r="F575" s="6">
        <v>2</v>
      </c>
      <c r="G575" t="s">
        <v>4408</v>
      </c>
      <c r="H575" s="59">
        <v>6000</v>
      </c>
      <c r="I575" t="s">
        <v>4776</v>
      </c>
      <c r="J575" s="63" t="s">
        <v>6009</v>
      </c>
      <c r="K575" s="52" t="s">
        <v>6010</v>
      </c>
      <c r="L575" t="s">
        <v>137</v>
      </c>
      <c r="M575" s="59" t="s">
        <v>137</v>
      </c>
      <c r="N575" s="59" t="s">
        <v>4616</v>
      </c>
      <c r="O575">
        <v>1000</v>
      </c>
      <c r="P575" s="60">
        <f t="shared" si="8"/>
        <v>1.6666666666666665</v>
      </c>
    </row>
    <row r="576" spans="1:16" ht="14.25" customHeight="1" x14ac:dyDescent="0.2">
      <c r="A576" t="s">
        <v>4416</v>
      </c>
      <c r="B576" t="s">
        <v>4417</v>
      </c>
      <c r="C576" t="s">
        <v>4418</v>
      </c>
      <c r="D576" t="s">
        <v>839</v>
      </c>
      <c r="E576" s="6" t="s">
        <v>6011</v>
      </c>
      <c r="F576" s="6">
        <v>1</v>
      </c>
      <c r="G576" t="s">
        <v>4423</v>
      </c>
      <c r="H576" s="59">
        <v>3291</v>
      </c>
      <c r="I576" t="s">
        <v>6012</v>
      </c>
      <c r="J576" s="63" t="s">
        <v>6013</v>
      </c>
      <c r="K576" s="52" t="s">
        <v>6014</v>
      </c>
      <c r="L576">
        <v>7</v>
      </c>
      <c r="M576" s="59">
        <v>11518</v>
      </c>
      <c r="N576" s="59" t="s">
        <v>4611</v>
      </c>
      <c r="O576">
        <f>3*1100+1300</f>
        <v>4600</v>
      </c>
      <c r="P576" s="60">
        <f t="shared" si="8"/>
        <v>13.977514433302947</v>
      </c>
    </row>
    <row r="577" spans="1:16" ht="14.25" customHeight="1" x14ac:dyDescent="0.2">
      <c r="A577" t="s">
        <v>4416</v>
      </c>
      <c r="B577" t="s">
        <v>4417</v>
      </c>
      <c r="C577" t="s">
        <v>4418</v>
      </c>
      <c r="D577" t="s">
        <v>839</v>
      </c>
      <c r="E577" s="6" t="s">
        <v>6015</v>
      </c>
      <c r="F577" s="6">
        <v>2</v>
      </c>
      <c r="G577" t="s">
        <v>4424</v>
      </c>
      <c r="H577" s="59">
        <v>6186</v>
      </c>
      <c r="I577" t="s">
        <v>4618</v>
      </c>
      <c r="J577" s="63" t="s">
        <v>6016</v>
      </c>
      <c r="K577" s="52" t="s">
        <v>6017</v>
      </c>
      <c r="L577" t="s">
        <v>137</v>
      </c>
      <c r="M577" s="59" t="s">
        <v>137</v>
      </c>
      <c r="N577" s="59" t="s">
        <v>4616</v>
      </c>
      <c r="O577">
        <v>1800</v>
      </c>
      <c r="P577" s="60">
        <f t="shared" si="8"/>
        <v>2.9097963142580019</v>
      </c>
    </row>
    <row r="578" spans="1:16" ht="14.25" customHeight="1" x14ac:dyDescent="0.2">
      <c r="A578" t="s">
        <v>4429</v>
      </c>
      <c r="B578" t="s">
        <v>4430</v>
      </c>
      <c r="C578" t="s">
        <v>4431</v>
      </c>
      <c r="D578" t="s">
        <v>839</v>
      </c>
      <c r="E578" s="6" t="s">
        <v>5095</v>
      </c>
      <c r="F578" s="6">
        <v>1</v>
      </c>
      <c r="G578" t="s">
        <v>4436</v>
      </c>
      <c r="H578" s="59">
        <v>2854</v>
      </c>
      <c r="I578" t="s">
        <v>4660</v>
      </c>
      <c r="J578" s="63" t="s">
        <v>6018</v>
      </c>
      <c r="K578" s="52" t="s">
        <v>6019</v>
      </c>
      <c r="L578">
        <v>7</v>
      </c>
      <c r="M578" s="59">
        <v>6564</v>
      </c>
      <c r="N578" s="59" t="s">
        <v>4611</v>
      </c>
      <c r="O578">
        <v>2000</v>
      </c>
      <c r="P578" s="60">
        <f t="shared" si="8"/>
        <v>7.0077084793272606</v>
      </c>
    </row>
    <row r="579" spans="1:16" ht="14.25" customHeight="1" x14ac:dyDescent="0.2">
      <c r="A579" t="s">
        <v>4429</v>
      </c>
      <c r="B579" t="s">
        <v>4430</v>
      </c>
      <c r="C579" t="s">
        <v>4431</v>
      </c>
      <c r="D579" t="s">
        <v>839</v>
      </c>
      <c r="E579" s="6" t="s">
        <v>4852</v>
      </c>
      <c r="F579" s="6">
        <v>2</v>
      </c>
      <c r="G579" t="s">
        <v>4437</v>
      </c>
      <c r="H579" s="59">
        <v>7090</v>
      </c>
      <c r="I579" t="s">
        <v>4629</v>
      </c>
      <c r="J579" s="63" t="s">
        <v>6020</v>
      </c>
      <c r="K579" s="52" t="s">
        <v>6021</v>
      </c>
      <c r="L579" t="s">
        <v>137</v>
      </c>
      <c r="M579" s="59" t="s">
        <v>137</v>
      </c>
      <c r="N579" s="59" t="s">
        <v>4616</v>
      </c>
      <c r="O579">
        <v>2000</v>
      </c>
      <c r="P579" s="60">
        <f t="shared" ref="P579:P597" si="9">IFERROR(O579/H579*10," ")</f>
        <v>2.8208744710860367</v>
      </c>
    </row>
    <row r="580" spans="1:16" ht="14.25" customHeight="1" x14ac:dyDescent="0.2">
      <c r="A580" t="s">
        <v>4441</v>
      </c>
      <c r="B580" t="s">
        <v>4442</v>
      </c>
      <c r="C580" t="s">
        <v>4443</v>
      </c>
      <c r="D580" t="s">
        <v>839</v>
      </c>
      <c r="E580" s="6" t="s">
        <v>4833</v>
      </c>
      <c r="F580" s="6">
        <v>1</v>
      </c>
      <c r="G580" t="s">
        <v>4448</v>
      </c>
      <c r="H580" s="59">
        <v>2759</v>
      </c>
      <c r="I580" t="s">
        <v>4869</v>
      </c>
      <c r="J580" s="63" t="s">
        <v>6022</v>
      </c>
      <c r="K580" s="52" t="s">
        <v>6023</v>
      </c>
      <c r="L580">
        <v>7</v>
      </c>
      <c r="M580" s="59">
        <v>5518</v>
      </c>
      <c r="N580" s="59" t="s">
        <v>4611</v>
      </c>
      <c r="O580">
        <v>1600</v>
      </c>
      <c r="P580" s="60">
        <f t="shared" si="9"/>
        <v>5.7992026096411742</v>
      </c>
    </row>
    <row r="581" spans="1:16" ht="14.25" customHeight="1" x14ac:dyDescent="0.2">
      <c r="A581" t="s">
        <v>4441</v>
      </c>
      <c r="B581" t="s">
        <v>4442</v>
      </c>
      <c r="C581" t="s">
        <v>4443</v>
      </c>
      <c r="D581" t="s">
        <v>839</v>
      </c>
      <c r="E581" s="6" t="s">
        <v>4852</v>
      </c>
      <c r="F581" s="6">
        <v>2</v>
      </c>
      <c r="G581" t="s">
        <v>4449</v>
      </c>
      <c r="H581" s="59">
        <v>5570</v>
      </c>
      <c r="I581" t="s">
        <v>4660</v>
      </c>
      <c r="J581" s="63" t="s">
        <v>6024</v>
      </c>
      <c r="K581" s="52" t="s">
        <v>6025</v>
      </c>
      <c r="L581" t="s">
        <v>137</v>
      </c>
      <c r="M581" s="59" t="s">
        <v>137</v>
      </c>
      <c r="N581" s="59" t="s">
        <v>4616</v>
      </c>
      <c r="O581">
        <v>2300</v>
      </c>
      <c r="P581" s="60">
        <f t="shared" si="9"/>
        <v>4.1292639138240572</v>
      </c>
    </row>
    <row r="582" spans="1:16" ht="14.25" customHeight="1" x14ac:dyDescent="0.2">
      <c r="A582" t="s">
        <v>4454</v>
      </c>
      <c r="B582" t="s">
        <v>71</v>
      </c>
      <c r="C582" t="s">
        <v>4455</v>
      </c>
      <c r="D582" t="s">
        <v>949</v>
      </c>
      <c r="E582" s="6" t="s">
        <v>6026</v>
      </c>
      <c r="F582" s="6">
        <v>1</v>
      </c>
      <c r="G582" t="s">
        <v>4460</v>
      </c>
      <c r="H582" s="59">
        <v>5916</v>
      </c>
      <c r="I582" t="s">
        <v>4629</v>
      </c>
      <c r="J582" s="63" t="s">
        <v>6027</v>
      </c>
      <c r="K582" s="52" t="s">
        <v>6028</v>
      </c>
      <c r="L582" t="s">
        <v>137</v>
      </c>
      <c r="M582" s="59" t="s">
        <v>137</v>
      </c>
      <c r="N582" s="59" t="s">
        <v>4616</v>
      </c>
      <c r="O582" t="s">
        <v>4632</v>
      </c>
      <c r="P582" s="60" t="str">
        <f t="shared" si="9"/>
        <v xml:space="preserve"> </v>
      </c>
    </row>
    <row r="583" spans="1:16" ht="14.25" customHeight="1" x14ac:dyDescent="0.2">
      <c r="A583" t="s">
        <v>4454</v>
      </c>
      <c r="B583" t="s">
        <v>71</v>
      </c>
      <c r="C583" t="s">
        <v>4455</v>
      </c>
      <c r="D583" t="s">
        <v>949</v>
      </c>
      <c r="E583" s="6" t="s">
        <v>4673</v>
      </c>
      <c r="F583" s="6">
        <v>2</v>
      </c>
      <c r="G583" t="s">
        <v>4461</v>
      </c>
      <c r="H583" s="59">
        <v>8534</v>
      </c>
      <c r="I583" t="s">
        <v>4629</v>
      </c>
      <c r="J583" s="63" t="s">
        <v>6029</v>
      </c>
      <c r="K583" s="52" t="s">
        <v>6030</v>
      </c>
      <c r="L583" t="s">
        <v>137</v>
      </c>
      <c r="M583" s="59" t="s">
        <v>137</v>
      </c>
      <c r="N583" s="59" t="s">
        <v>4616</v>
      </c>
      <c r="O583" t="s">
        <v>4632</v>
      </c>
      <c r="P583" s="60" t="str">
        <f t="shared" si="9"/>
        <v xml:space="preserve"> </v>
      </c>
    </row>
    <row r="584" spans="1:16" ht="14.25" customHeight="1" x14ac:dyDescent="0.2">
      <c r="A584" t="s">
        <v>4468</v>
      </c>
      <c r="B584" t="s">
        <v>4469</v>
      </c>
      <c r="C584" t="s">
        <v>4470</v>
      </c>
      <c r="D584" t="s">
        <v>949</v>
      </c>
      <c r="E584" s="6" t="s">
        <v>4897</v>
      </c>
      <c r="F584" s="6">
        <v>1</v>
      </c>
      <c r="G584" t="s">
        <v>4475</v>
      </c>
      <c r="H584" s="59">
        <v>5916</v>
      </c>
      <c r="I584" t="s">
        <v>4629</v>
      </c>
      <c r="J584" s="63" t="s">
        <v>6031</v>
      </c>
      <c r="K584" s="52" t="s">
        <v>6032</v>
      </c>
      <c r="L584">
        <v>6</v>
      </c>
      <c r="M584" s="59">
        <v>18753</v>
      </c>
      <c r="N584" s="59" t="s">
        <v>4611</v>
      </c>
      <c r="O584" t="s">
        <v>4632</v>
      </c>
      <c r="P584" s="60" t="str">
        <f t="shared" si="9"/>
        <v xml:space="preserve"> </v>
      </c>
    </row>
    <row r="585" spans="1:16" ht="14.25" customHeight="1" x14ac:dyDescent="0.2">
      <c r="A585" t="s">
        <v>4468</v>
      </c>
      <c r="B585" t="s">
        <v>4469</v>
      </c>
      <c r="C585" t="s">
        <v>4470</v>
      </c>
      <c r="D585" t="s">
        <v>949</v>
      </c>
      <c r="E585" s="6" t="s">
        <v>6033</v>
      </c>
      <c r="F585" s="6">
        <v>2</v>
      </c>
      <c r="G585" t="s">
        <v>4476</v>
      </c>
      <c r="H585" s="59">
        <v>63104</v>
      </c>
      <c r="I585" t="s">
        <v>4629</v>
      </c>
      <c r="J585" s="63" t="s">
        <v>6034</v>
      </c>
      <c r="K585" s="52" t="s">
        <v>6035</v>
      </c>
      <c r="L585" t="s">
        <v>137</v>
      </c>
      <c r="M585" s="59" t="s">
        <v>137</v>
      </c>
      <c r="N585" s="59" t="s">
        <v>4616</v>
      </c>
      <c r="O585" t="s">
        <v>4632</v>
      </c>
      <c r="P585" s="60" t="str">
        <f t="shared" si="9"/>
        <v xml:space="preserve"> </v>
      </c>
    </row>
    <row r="586" spans="1:16" ht="14.25" customHeight="1" x14ac:dyDescent="0.2">
      <c r="A586" t="s">
        <v>4479</v>
      </c>
      <c r="B586" t="s">
        <v>4480</v>
      </c>
      <c r="C586" t="s">
        <v>4481</v>
      </c>
      <c r="D586" t="s">
        <v>949</v>
      </c>
      <c r="E586" s="6" t="s">
        <v>6036</v>
      </c>
      <c r="F586" s="6">
        <v>1</v>
      </c>
      <c r="G586" t="s">
        <v>4485</v>
      </c>
      <c r="H586" s="59">
        <v>3352</v>
      </c>
      <c r="I586" t="s">
        <v>4842</v>
      </c>
      <c r="J586" s="63" t="s">
        <v>6037</v>
      </c>
      <c r="K586" s="52" t="s">
        <v>6038</v>
      </c>
      <c r="L586">
        <v>4</v>
      </c>
      <c r="M586" s="59">
        <v>9385</v>
      </c>
      <c r="N586" s="59" t="s">
        <v>4611</v>
      </c>
      <c r="O586">
        <v>1600</v>
      </c>
      <c r="P586" s="60">
        <f t="shared" si="9"/>
        <v>4.7732696897374698</v>
      </c>
    </row>
    <row r="587" spans="1:16" ht="14.25" customHeight="1" x14ac:dyDescent="0.2">
      <c r="A587" t="s">
        <v>4479</v>
      </c>
      <c r="B587" t="s">
        <v>4480</v>
      </c>
      <c r="C587" t="s">
        <v>4481</v>
      </c>
      <c r="D587" t="s">
        <v>949</v>
      </c>
      <c r="E587" s="6" t="s">
        <v>4628</v>
      </c>
      <c r="F587" s="6">
        <v>2</v>
      </c>
      <c r="G587" t="s">
        <v>4486</v>
      </c>
      <c r="H587" s="59">
        <v>4202</v>
      </c>
      <c r="I587" t="s">
        <v>4629</v>
      </c>
      <c r="J587" s="63" t="s">
        <v>6039</v>
      </c>
      <c r="K587" s="52" t="s">
        <v>6040</v>
      </c>
      <c r="L587" t="s">
        <v>137</v>
      </c>
      <c r="M587" s="59" t="s">
        <v>137</v>
      </c>
      <c r="N587" s="59" t="s">
        <v>4616</v>
      </c>
      <c r="O587" t="s">
        <v>4632</v>
      </c>
      <c r="P587" s="60" t="str">
        <f t="shared" si="9"/>
        <v xml:space="preserve"> </v>
      </c>
    </row>
    <row r="588" spans="1:16" ht="14.25" customHeight="1" x14ac:dyDescent="0.2">
      <c r="A588" t="s">
        <v>4489</v>
      </c>
      <c r="B588" t="s">
        <v>4490</v>
      </c>
      <c r="C588" t="s">
        <v>4491</v>
      </c>
      <c r="D588" t="s">
        <v>949</v>
      </c>
      <c r="E588" s="6" t="s">
        <v>4897</v>
      </c>
      <c r="F588" s="6">
        <v>1</v>
      </c>
      <c r="G588" t="s">
        <v>4496</v>
      </c>
      <c r="H588" s="59">
        <v>5916</v>
      </c>
      <c r="I588" t="s">
        <v>4776</v>
      </c>
      <c r="J588" s="63" t="s">
        <v>6041</v>
      </c>
      <c r="K588" s="52" t="s">
        <v>6041</v>
      </c>
      <c r="L588">
        <v>3</v>
      </c>
      <c r="M588" s="59">
        <v>14198</v>
      </c>
      <c r="N588" s="59" t="s">
        <v>4611</v>
      </c>
      <c r="O588" t="s">
        <v>4632</v>
      </c>
      <c r="P588" s="60" t="str">
        <f t="shared" si="9"/>
        <v xml:space="preserve"> </v>
      </c>
    </row>
    <row r="589" spans="1:16" ht="14.25" customHeight="1" x14ac:dyDescent="0.2">
      <c r="A589" t="s">
        <v>4489</v>
      </c>
      <c r="B589" t="s">
        <v>4490</v>
      </c>
      <c r="C589" t="s">
        <v>4491</v>
      </c>
      <c r="D589" t="s">
        <v>949</v>
      </c>
      <c r="E589" s="6" t="s">
        <v>4673</v>
      </c>
      <c r="F589" s="6">
        <v>2</v>
      </c>
      <c r="G589" t="s">
        <v>4497</v>
      </c>
      <c r="H589" s="59">
        <v>8534</v>
      </c>
      <c r="I589" t="s">
        <v>4629</v>
      </c>
      <c r="J589" s="63" t="s">
        <v>6042</v>
      </c>
      <c r="K589" s="52" t="s">
        <v>6043</v>
      </c>
      <c r="L589" t="s">
        <v>137</v>
      </c>
      <c r="M589" s="59" t="s">
        <v>137</v>
      </c>
      <c r="N589" s="59" t="s">
        <v>4616</v>
      </c>
      <c r="O589" t="s">
        <v>4632</v>
      </c>
      <c r="P589" s="60" t="str">
        <f t="shared" si="9"/>
        <v xml:space="preserve"> </v>
      </c>
    </row>
    <row r="590" spans="1:16" ht="14.25" customHeight="1" x14ac:dyDescent="0.2">
      <c r="A590" t="s">
        <v>4502</v>
      </c>
      <c r="B590" t="s">
        <v>4503</v>
      </c>
      <c r="C590" t="s">
        <v>4504</v>
      </c>
      <c r="D590" t="s">
        <v>949</v>
      </c>
      <c r="E590" s="6" t="s">
        <v>4897</v>
      </c>
      <c r="F590" s="6">
        <v>1</v>
      </c>
      <c r="G590" t="s">
        <v>4508</v>
      </c>
      <c r="H590" s="59">
        <v>5916</v>
      </c>
      <c r="I590" t="s">
        <v>4776</v>
      </c>
      <c r="J590" s="63" t="s">
        <v>5757</v>
      </c>
      <c r="K590" s="52" t="s">
        <v>6044</v>
      </c>
      <c r="L590">
        <v>4</v>
      </c>
      <c r="M590" s="59">
        <v>13606</v>
      </c>
      <c r="N590" s="59" t="s">
        <v>4611</v>
      </c>
      <c r="O590" t="s">
        <v>4632</v>
      </c>
      <c r="P590" s="60" t="str">
        <f t="shared" si="9"/>
        <v xml:space="preserve"> </v>
      </c>
    </row>
    <row r="591" spans="1:16" ht="14.25" customHeight="1" x14ac:dyDescent="0.2">
      <c r="A591" t="s">
        <v>4502</v>
      </c>
      <c r="B591" t="s">
        <v>4503</v>
      </c>
      <c r="C591" t="s">
        <v>4504</v>
      </c>
      <c r="D591" t="s">
        <v>949</v>
      </c>
      <c r="E591" s="6" t="s">
        <v>4678</v>
      </c>
      <c r="F591" s="6">
        <v>2</v>
      </c>
      <c r="G591" t="s">
        <v>4509</v>
      </c>
      <c r="H591" s="59">
        <v>5840</v>
      </c>
      <c r="I591" t="s">
        <v>4629</v>
      </c>
      <c r="J591" s="63" t="s">
        <v>6045</v>
      </c>
      <c r="K591" s="52" t="s">
        <v>6046</v>
      </c>
      <c r="L591" t="s">
        <v>137</v>
      </c>
      <c r="M591" s="59" t="s">
        <v>137</v>
      </c>
      <c r="N591" s="59" t="s">
        <v>4616</v>
      </c>
      <c r="O591" t="s">
        <v>4632</v>
      </c>
      <c r="P591" s="60" t="str">
        <f t="shared" si="9"/>
        <v xml:space="preserve"> </v>
      </c>
    </row>
    <row r="592" spans="1:16" ht="14.25" customHeight="1" x14ac:dyDescent="0.2">
      <c r="A592" t="s">
        <v>4513</v>
      </c>
      <c r="B592" t="s">
        <v>4514</v>
      </c>
      <c r="C592" t="s">
        <v>4515</v>
      </c>
      <c r="D592" t="s">
        <v>1054</v>
      </c>
      <c r="E592" s="6" t="s">
        <v>6047</v>
      </c>
      <c r="F592" s="6">
        <v>1</v>
      </c>
      <c r="G592" t="s">
        <v>4520</v>
      </c>
      <c r="H592" s="59">
        <v>4329</v>
      </c>
      <c r="I592" t="s">
        <v>4608</v>
      </c>
      <c r="J592" s="63" t="s">
        <v>6048</v>
      </c>
      <c r="K592" s="52" t="s">
        <v>6048</v>
      </c>
      <c r="L592" t="s">
        <v>137</v>
      </c>
      <c r="M592" s="59" t="s">
        <v>137</v>
      </c>
      <c r="N592" s="59" t="s">
        <v>4616</v>
      </c>
      <c r="O592" t="s">
        <v>4632</v>
      </c>
      <c r="P592" s="60" t="str">
        <f t="shared" si="9"/>
        <v xml:space="preserve"> </v>
      </c>
    </row>
    <row r="593" spans="1:16" ht="14.25" customHeight="1" x14ac:dyDescent="0.2">
      <c r="A593" t="s">
        <v>4513</v>
      </c>
      <c r="B593" t="s">
        <v>4514</v>
      </c>
      <c r="C593" t="s">
        <v>4515</v>
      </c>
      <c r="D593" t="s">
        <v>1054</v>
      </c>
      <c r="E593" s="6" t="s">
        <v>6049</v>
      </c>
      <c r="F593" s="6">
        <v>2</v>
      </c>
      <c r="G593" t="s">
        <v>4521</v>
      </c>
      <c r="H593" s="59">
        <v>9072</v>
      </c>
      <c r="I593" t="s">
        <v>4608</v>
      </c>
      <c r="J593" s="63" t="s">
        <v>6050</v>
      </c>
      <c r="K593" s="52" t="s">
        <v>6051</v>
      </c>
      <c r="L593">
        <v>4</v>
      </c>
      <c r="M593" s="59">
        <v>7348</v>
      </c>
      <c r="N593" s="59" t="s">
        <v>4611</v>
      </c>
      <c r="O593">
        <v>3000</v>
      </c>
      <c r="P593" s="60">
        <f t="shared" si="9"/>
        <v>3.306878306878307</v>
      </c>
    </row>
    <row r="594" spans="1:16" ht="14.25" customHeight="1" x14ac:dyDescent="0.2">
      <c r="A594" t="s">
        <v>4529</v>
      </c>
      <c r="B594" t="s">
        <v>4530</v>
      </c>
      <c r="C594" t="s">
        <v>4531</v>
      </c>
      <c r="D594" t="s">
        <v>1054</v>
      </c>
      <c r="E594" s="6" t="s">
        <v>6052</v>
      </c>
      <c r="F594" s="6">
        <v>1</v>
      </c>
      <c r="G594" t="s">
        <v>4536</v>
      </c>
      <c r="H594" s="59">
        <v>3950</v>
      </c>
      <c r="I594" t="s">
        <v>4608</v>
      </c>
      <c r="J594" s="63" t="s">
        <v>6053</v>
      </c>
      <c r="K594" s="52" t="s">
        <v>6054</v>
      </c>
      <c r="L594" t="s">
        <v>137</v>
      </c>
      <c r="M594" s="59" t="s">
        <v>137</v>
      </c>
      <c r="N594" s="59" t="s">
        <v>4616</v>
      </c>
      <c r="O594">
        <v>1500</v>
      </c>
      <c r="P594" s="60">
        <f t="shared" si="9"/>
        <v>3.79746835443038</v>
      </c>
    </row>
    <row r="595" spans="1:16" ht="14.25" customHeight="1" x14ac:dyDescent="0.2">
      <c r="A595" t="s">
        <v>4529</v>
      </c>
      <c r="B595" t="s">
        <v>4530</v>
      </c>
      <c r="C595" t="s">
        <v>4531</v>
      </c>
      <c r="D595" t="s">
        <v>1054</v>
      </c>
      <c r="E595" s="6" t="s">
        <v>6055</v>
      </c>
      <c r="F595" s="6">
        <v>2</v>
      </c>
      <c r="G595" t="s">
        <v>4537</v>
      </c>
      <c r="H595" s="59">
        <v>9855</v>
      </c>
      <c r="I595" t="s">
        <v>4618</v>
      </c>
      <c r="J595" s="63" t="s">
        <v>6056</v>
      </c>
      <c r="K595" s="52" t="s">
        <v>6057</v>
      </c>
      <c r="L595" t="s">
        <v>137</v>
      </c>
      <c r="M595" s="59" t="s">
        <v>137</v>
      </c>
      <c r="N595" s="59" t="s">
        <v>4616</v>
      </c>
      <c r="O595">
        <v>2000</v>
      </c>
      <c r="P595" s="60">
        <f t="shared" si="9"/>
        <v>2.0294266869609334</v>
      </c>
    </row>
    <row r="596" spans="1:16" ht="14.25" customHeight="1" x14ac:dyDescent="0.2">
      <c r="A596" t="s">
        <v>4542</v>
      </c>
      <c r="B596" t="s">
        <v>4543</v>
      </c>
      <c r="C596" t="s">
        <v>4544</v>
      </c>
      <c r="D596" t="s">
        <v>1054</v>
      </c>
      <c r="E596" s="6" t="s">
        <v>4931</v>
      </c>
      <c r="F596" s="6">
        <v>1</v>
      </c>
      <c r="G596" t="s">
        <v>4549</v>
      </c>
      <c r="H596" s="59">
        <v>5670</v>
      </c>
      <c r="I596" t="s">
        <v>4608</v>
      </c>
      <c r="J596" s="63" t="s">
        <v>6058</v>
      </c>
      <c r="K596" s="52" t="s">
        <v>6059</v>
      </c>
      <c r="L596">
        <v>5</v>
      </c>
      <c r="M596" s="59">
        <v>9072</v>
      </c>
      <c r="N596" s="59" t="s">
        <v>4611</v>
      </c>
      <c r="O596">
        <f>1100+1200</f>
        <v>2300</v>
      </c>
      <c r="P596" s="60">
        <f t="shared" si="9"/>
        <v>4.0564373897707231</v>
      </c>
    </row>
    <row r="597" spans="1:16" ht="14.25" customHeight="1" x14ac:dyDescent="0.2">
      <c r="A597" t="s">
        <v>4542</v>
      </c>
      <c r="B597" t="s">
        <v>4543</v>
      </c>
      <c r="C597" t="s">
        <v>4544</v>
      </c>
      <c r="D597" t="s">
        <v>1054</v>
      </c>
      <c r="E597" s="6" t="s">
        <v>6060</v>
      </c>
      <c r="F597" s="6">
        <v>2</v>
      </c>
      <c r="G597" t="s">
        <v>4550</v>
      </c>
      <c r="H597" s="59">
        <v>15120</v>
      </c>
      <c r="I597" t="s">
        <v>4608</v>
      </c>
      <c r="J597" s="63" t="s">
        <v>6061</v>
      </c>
      <c r="K597" s="52" t="s">
        <v>6062</v>
      </c>
      <c r="L597" t="s">
        <v>137</v>
      </c>
      <c r="M597" s="59" t="s">
        <v>137</v>
      </c>
      <c r="N597" s="59" t="s">
        <v>4616</v>
      </c>
      <c r="O597" t="s">
        <v>4632</v>
      </c>
      <c r="P597" s="60" t="str">
        <f t="shared" si="9"/>
        <v xml:space="preserve"> </v>
      </c>
    </row>
    <row r="598" spans="1:16" ht="14.25" customHeight="1" x14ac:dyDescent="0.2">
      <c r="F598" s="6"/>
    </row>
    <row r="599" spans="1:16" ht="14.25" customHeight="1" x14ac:dyDescent="0.2">
      <c r="F599" s="6"/>
    </row>
  </sheetData>
  <autoFilter ref="A1:P597" xr:uid="{D2501A22-B843-4716-B0A4-9DAC979031D5}">
    <sortState xmlns:xlrd2="http://schemas.microsoft.com/office/spreadsheetml/2017/richdata2" ref="A2:P597">
      <sortCondition ref="B1:B597"/>
    </sortState>
  </autoFilter>
  <sortState xmlns:xlrd2="http://schemas.microsoft.com/office/spreadsheetml/2017/richdata2" ref="A2:O599">
    <sortCondition descending="1" ref="O1:O599"/>
  </sortState>
  <pageMargins left="0.7" right="0.7" top="0.75" bottom="0.75" header="0.3" footer="0.3"/>
  <pageSetup orientation="portrait" r:id="rId1"/>
  <ignoredErrors>
    <ignoredError sqref="E601:E1048576" numberStoredAsText="1"/>
  </ignoredError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A2B9D9-1EBD-4A93-87DB-EB5A859EAE88}">
  <sheetPr codeName="Sheet6"/>
  <dimension ref="A1:J727"/>
  <sheetViews>
    <sheetView workbookViewId="0">
      <pane ySplit="1" topLeftCell="A2" activePane="bottomLeft" state="frozen"/>
      <selection pane="bottomLeft"/>
    </sheetView>
  </sheetViews>
  <sheetFormatPr defaultRowHeight="14.25" outlineLevelCol="1" x14ac:dyDescent="0.2"/>
  <cols>
    <col min="1" max="1" width="46.5" bestFit="1" customWidth="1"/>
    <col min="2" max="2" width="42.75" hidden="1" customWidth="1" outlineLevel="1"/>
    <col min="3" max="3" width="7.875" bestFit="1" customWidth="1" collapsed="1"/>
    <col min="4" max="5" width="4.875" bestFit="1" customWidth="1"/>
    <col min="6" max="6" width="6" bestFit="1" customWidth="1"/>
    <col min="7" max="7" width="4.875" bestFit="1" customWidth="1"/>
    <col min="8" max="8" width="100.625" customWidth="1"/>
  </cols>
  <sheetData>
    <row r="1" spans="1:10" x14ac:dyDescent="0.2">
      <c r="A1" s="2" t="s">
        <v>89</v>
      </c>
      <c r="B1" s="2" t="s">
        <v>6063</v>
      </c>
      <c r="C1" s="2" t="s">
        <v>4597</v>
      </c>
      <c r="D1" s="2" t="s">
        <v>6064</v>
      </c>
      <c r="E1" s="2" t="s">
        <v>6065</v>
      </c>
      <c r="F1" s="2" t="s">
        <v>6066</v>
      </c>
      <c r="G1" s="2" t="s">
        <v>6067</v>
      </c>
      <c r="H1" s="2" t="s">
        <v>80</v>
      </c>
    </row>
    <row r="2" spans="1:10" s="1" customFormat="1" x14ac:dyDescent="0.2">
      <c r="A2" t="s">
        <v>1663</v>
      </c>
      <c r="B2"/>
      <c r="C2">
        <v>1020011</v>
      </c>
      <c r="D2" t="s">
        <v>6068</v>
      </c>
      <c r="E2">
        <f t="shared" ref="E2:E65" si="0">+LEN(H2)</f>
        <v>90</v>
      </c>
      <c r="F2">
        <f>+COUNTIF(ADV!U:W,A2)</f>
        <v>1</v>
      </c>
      <c r="G2">
        <f>+COUNTIF(ADV!Z:Z,A2)+COUNTIF(ADV!X:X,A2)+COUNTIF(ADV!Y:Y,A2)</f>
        <v>0</v>
      </c>
      <c r="H2" t="s">
        <v>6069</v>
      </c>
      <c r="J2"/>
    </row>
    <row r="3" spans="1:10" x14ac:dyDescent="0.2">
      <c r="A3" t="s">
        <v>2620</v>
      </c>
      <c r="C3">
        <v>1010150</v>
      </c>
      <c r="D3" t="s">
        <v>6068</v>
      </c>
      <c r="E3">
        <f t="shared" si="0"/>
        <v>152</v>
      </c>
      <c r="F3">
        <f>+COUNTIF(ADV!U:W,A3)</f>
        <v>1</v>
      </c>
      <c r="G3">
        <f>+COUNTIF(ADV!Z:Z,A3)+COUNTIF(ADV!X:X,A3)+COUNTIF(ADV!Y:Y,A3)</f>
        <v>0</v>
      </c>
      <c r="H3" t="s">
        <v>6070</v>
      </c>
    </row>
    <row r="4" spans="1:10" x14ac:dyDescent="0.2">
      <c r="A4" t="s">
        <v>1349</v>
      </c>
      <c r="C4">
        <v>1010012</v>
      </c>
      <c r="D4" t="s">
        <v>6068</v>
      </c>
      <c r="E4">
        <f t="shared" si="0"/>
        <v>70</v>
      </c>
      <c r="F4">
        <f>+COUNTIF(ADV!U:W,A4)</f>
        <v>1</v>
      </c>
      <c r="G4">
        <f>+COUNTIF(ADV!Z:Z,A4)+COUNTIF(ADV!X:X,A4)+COUNTIF(ADV!Y:Y,A4)</f>
        <v>1</v>
      </c>
      <c r="H4" t="s">
        <v>6071</v>
      </c>
    </row>
    <row r="5" spans="1:10" x14ac:dyDescent="0.2">
      <c r="A5" t="s">
        <v>4001</v>
      </c>
      <c r="C5">
        <v>1010012</v>
      </c>
      <c r="D5" t="s">
        <v>6068</v>
      </c>
      <c r="E5">
        <f t="shared" si="0"/>
        <v>70</v>
      </c>
      <c r="F5">
        <f>+COUNTIF(ADV!U:W,A5)</f>
        <v>1</v>
      </c>
      <c r="G5">
        <f>+COUNTIF(ADV!Z:Z,A5)+COUNTIF(ADV!X:X,A5)+COUNTIF(ADV!Y:Y,A5)</f>
        <v>0</v>
      </c>
      <c r="H5" t="s">
        <v>6072</v>
      </c>
    </row>
    <row r="6" spans="1:10" x14ac:dyDescent="0.2">
      <c r="A6" t="s">
        <v>812</v>
      </c>
      <c r="C6">
        <v>1010012</v>
      </c>
      <c r="D6" t="s">
        <v>6068</v>
      </c>
      <c r="E6">
        <f t="shared" si="0"/>
        <v>70</v>
      </c>
      <c r="F6">
        <f>+COUNTIF(ADV!U:W,A6)</f>
        <v>1</v>
      </c>
      <c r="G6">
        <f>+COUNTIF(ADV!Z:Z,A6)+COUNTIF(ADV!X:X,A6)+COUNTIF(ADV!Y:Y,A6)</f>
        <v>0</v>
      </c>
      <c r="H6" t="s">
        <v>6073</v>
      </c>
    </row>
    <row r="7" spans="1:10" x14ac:dyDescent="0.2">
      <c r="A7" t="s">
        <v>1749</v>
      </c>
      <c r="C7">
        <v>1010050</v>
      </c>
      <c r="D7" t="s">
        <v>6068</v>
      </c>
      <c r="E7">
        <f t="shared" si="0"/>
        <v>261</v>
      </c>
      <c r="F7">
        <f>+COUNTIF(ADV!U:W,A7)</f>
        <v>1</v>
      </c>
      <c r="G7">
        <f>+COUNTIF(ADV!Z:Z,A7)+COUNTIF(ADV!X:X,A7)+COUNTIF(ADV!Y:Y,A7)</f>
        <v>0</v>
      </c>
      <c r="H7" t="s">
        <v>6074</v>
      </c>
    </row>
    <row r="8" spans="1:10" x14ac:dyDescent="0.2">
      <c r="A8" t="s">
        <v>1212</v>
      </c>
      <c r="C8">
        <v>1010013</v>
      </c>
      <c r="D8" t="s">
        <v>6068</v>
      </c>
      <c r="E8">
        <f t="shared" si="0"/>
        <v>786</v>
      </c>
      <c r="F8">
        <f>+COUNTIF(ADV!U:W,A8)</f>
        <v>1</v>
      </c>
      <c r="G8">
        <f>+COUNTIF(ADV!Z:Z,A8)+COUNTIF(ADV!X:X,A8)+COUNTIF(ADV!Y:Y,A8)</f>
        <v>0</v>
      </c>
      <c r="H8" t="s">
        <v>6075</v>
      </c>
    </row>
    <row r="9" spans="1:10" x14ac:dyDescent="0.2">
      <c r="A9" t="s">
        <v>1196</v>
      </c>
      <c r="C9">
        <v>1070022</v>
      </c>
      <c r="D9" t="s">
        <v>6068</v>
      </c>
      <c r="E9">
        <f t="shared" si="0"/>
        <v>254</v>
      </c>
      <c r="F9">
        <f>+COUNTIF(ADV!U:W,A9)</f>
        <v>2</v>
      </c>
      <c r="G9">
        <f>+COUNTIF(ADV!Z:Z,A9)+COUNTIF(ADV!X:X,A9)+COUNTIF(ADV!Y:Y,A9)</f>
        <v>2</v>
      </c>
      <c r="H9" t="s">
        <v>6076</v>
      </c>
    </row>
    <row r="10" spans="1:10" x14ac:dyDescent="0.2">
      <c r="A10" t="s">
        <v>3551</v>
      </c>
      <c r="C10">
        <v>1010042</v>
      </c>
      <c r="D10" t="s">
        <v>6068</v>
      </c>
      <c r="E10">
        <f t="shared" si="0"/>
        <v>879</v>
      </c>
      <c r="F10">
        <f>+COUNTIF(ADV!U:W,A10)</f>
        <v>1</v>
      </c>
      <c r="G10">
        <f>+COUNTIF(ADV!Z:Z,A10)+COUNTIF(ADV!X:X,A10)+COUNTIF(ADV!Y:Y,A10)</f>
        <v>0</v>
      </c>
      <c r="H10" t="s">
        <v>6077</v>
      </c>
    </row>
    <row r="11" spans="1:10" x14ac:dyDescent="0.2">
      <c r="A11" t="s">
        <v>1058</v>
      </c>
      <c r="C11">
        <v>1010169</v>
      </c>
      <c r="D11" t="s">
        <v>6068</v>
      </c>
      <c r="E11">
        <f t="shared" si="0"/>
        <v>350</v>
      </c>
      <c r="F11">
        <f>+COUNTIF(ADV!U:W,A11)</f>
        <v>1</v>
      </c>
      <c r="G11">
        <f>+COUNTIF(ADV!Z:Z,A11)+COUNTIF(ADV!X:X,A11)+COUNTIF(ADV!Y:Y,A11)</f>
        <v>1</v>
      </c>
      <c r="H11" t="s">
        <v>6078</v>
      </c>
    </row>
    <row r="12" spans="1:10" x14ac:dyDescent="0.2">
      <c r="A12" t="s">
        <v>2957</v>
      </c>
      <c r="C12">
        <v>1020024</v>
      </c>
      <c r="D12" t="s">
        <v>6068</v>
      </c>
      <c r="E12">
        <f t="shared" si="0"/>
        <v>168</v>
      </c>
      <c r="F12">
        <f>+COUNTIF(ADV!U:W,A12)</f>
        <v>1</v>
      </c>
      <c r="G12">
        <f>+COUNTIF(ADV!Z:Z,A12)+COUNTIF(ADV!X:X,A12)+COUNTIF(ADV!Y:Y,A12)</f>
        <v>1</v>
      </c>
      <c r="H12" t="s">
        <v>6079</v>
      </c>
    </row>
    <row r="13" spans="1:10" x14ac:dyDescent="0.2">
      <c r="A13" t="s">
        <v>3358</v>
      </c>
      <c r="C13">
        <v>1010002</v>
      </c>
      <c r="D13" t="s">
        <v>6068</v>
      </c>
      <c r="E13">
        <f t="shared" si="0"/>
        <v>123</v>
      </c>
      <c r="F13">
        <f>+COUNTIF(ADV!U:W,A13)</f>
        <v>1</v>
      </c>
      <c r="G13">
        <f>+COUNTIF(ADV!Z:Z,A13)+COUNTIF(ADV!X:X,A13)+COUNTIF(ADV!Y:Y,A13)</f>
        <v>0</v>
      </c>
      <c r="H13" t="s">
        <v>6080</v>
      </c>
    </row>
    <row r="14" spans="1:10" x14ac:dyDescent="0.2">
      <c r="A14" t="s">
        <v>3359</v>
      </c>
      <c r="C14">
        <v>1020002</v>
      </c>
      <c r="D14" t="s">
        <v>6068</v>
      </c>
      <c r="E14">
        <f t="shared" si="0"/>
        <v>83</v>
      </c>
      <c r="F14">
        <f>+COUNTIF(ADV!U:W,A14)</f>
        <v>1</v>
      </c>
      <c r="G14">
        <f>+COUNTIF(ADV!Z:Z,A14)+COUNTIF(ADV!X:X,A14)+COUNTIF(ADV!Y:Y,A14)</f>
        <v>0</v>
      </c>
      <c r="H14" t="s">
        <v>6081</v>
      </c>
    </row>
    <row r="15" spans="1:10" x14ac:dyDescent="0.2">
      <c r="A15" t="s">
        <v>3635</v>
      </c>
      <c r="C15">
        <v>1020002</v>
      </c>
      <c r="D15" t="s">
        <v>6068</v>
      </c>
      <c r="E15">
        <f t="shared" si="0"/>
        <v>258</v>
      </c>
      <c r="F15">
        <f>+COUNTIF(ADV!U:W,A15)</f>
        <v>1</v>
      </c>
      <c r="G15">
        <f>+COUNTIF(ADV!Z:Z,A15)+COUNTIF(ADV!X:X,A15)+COUNTIF(ADV!Y:Y,A15)</f>
        <v>1</v>
      </c>
      <c r="H15" t="s">
        <v>6082</v>
      </c>
    </row>
    <row r="16" spans="1:10" x14ac:dyDescent="0.2">
      <c r="A16" t="s">
        <v>247</v>
      </c>
      <c r="C16">
        <v>1020010</v>
      </c>
      <c r="D16" t="s">
        <v>6068</v>
      </c>
      <c r="E16">
        <f t="shared" si="0"/>
        <v>83</v>
      </c>
      <c r="F16">
        <f>+COUNTIF(ADV!U:W,A16)</f>
        <v>1</v>
      </c>
      <c r="G16">
        <f>+COUNTIF(ADV!Z:Z,A16)+COUNTIF(ADV!X:X,A16)+COUNTIF(ADV!Y:Y,A16)</f>
        <v>0</v>
      </c>
      <c r="H16" t="s">
        <v>6083</v>
      </c>
    </row>
    <row r="17" spans="1:8" x14ac:dyDescent="0.2">
      <c r="A17" t="s">
        <v>246</v>
      </c>
      <c r="C17">
        <v>1020011</v>
      </c>
      <c r="D17" t="s">
        <v>6068</v>
      </c>
      <c r="E17">
        <f t="shared" si="0"/>
        <v>104</v>
      </c>
      <c r="F17">
        <f>+COUNTIF(ADV!U:W,A17)</f>
        <v>1</v>
      </c>
      <c r="G17">
        <f>+COUNTIF(ADV!Z:Z,A17)+COUNTIF(ADV!X:X,A17)+COUNTIF(ADV!Y:Y,A17)</f>
        <v>0</v>
      </c>
      <c r="H17" t="s">
        <v>6084</v>
      </c>
    </row>
    <row r="18" spans="1:8" x14ac:dyDescent="0.2">
      <c r="A18" t="s">
        <v>1857</v>
      </c>
      <c r="C18">
        <v>1010007</v>
      </c>
      <c r="D18" t="s">
        <v>6068</v>
      </c>
      <c r="E18">
        <f t="shared" si="0"/>
        <v>369</v>
      </c>
      <c r="F18">
        <f>+COUNTIF(ADV!U:W,A18)</f>
        <v>1</v>
      </c>
      <c r="G18">
        <f>+COUNTIF(ADV!Z:Z,A18)+COUNTIF(ADV!X:X,A18)+COUNTIF(ADV!Y:Y,A18)</f>
        <v>0</v>
      </c>
      <c r="H18" t="s">
        <v>6085</v>
      </c>
    </row>
    <row r="19" spans="1:8" x14ac:dyDescent="0.2">
      <c r="A19" t="s">
        <v>4471</v>
      </c>
      <c r="C19">
        <v>1010125</v>
      </c>
      <c r="D19" t="s">
        <v>6068</v>
      </c>
      <c r="E19">
        <f t="shared" si="0"/>
        <v>141</v>
      </c>
      <c r="F19">
        <f>+COUNTIF(ADV!U:W,A19)</f>
        <v>1</v>
      </c>
      <c r="G19">
        <f>+COUNTIF(ADV!Z:Z,A19)+COUNTIF(ADV!X:X,A19)+COUNTIF(ADV!Y:Y,A19)</f>
        <v>1</v>
      </c>
      <c r="H19" t="s">
        <v>6086</v>
      </c>
    </row>
    <row r="20" spans="1:8" x14ac:dyDescent="0.2">
      <c r="A20" t="s">
        <v>2407</v>
      </c>
      <c r="C20">
        <v>1010175</v>
      </c>
      <c r="D20" t="s">
        <v>6068</v>
      </c>
      <c r="E20">
        <f t="shared" si="0"/>
        <v>342</v>
      </c>
      <c r="F20">
        <f>+COUNTIF(ADV!U:W,A20)</f>
        <v>1</v>
      </c>
      <c r="G20">
        <f>+COUNTIF(ADV!Z:Z,A20)+COUNTIF(ADV!X:X,A20)+COUNTIF(ADV!Y:Y,A20)</f>
        <v>0</v>
      </c>
      <c r="H20" t="s">
        <v>6087</v>
      </c>
    </row>
    <row r="21" spans="1:8" x14ac:dyDescent="0.2">
      <c r="A21" t="s">
        <v>1342</v>
      </c>
      <c r="C21">
        <v>1010039</v>
      </c>
      <c r="D21" t="s">
        <v>6068</v>
      </c>
      <c r="E21">
        <f t="shared" si="0"/>
        <v>62</v>
      </c>
      <c r="F21">
        <f>+COUNTIF(ADV!U:W,A21)</f>
        <v>1</v>
      </c>
      <c r="G21">
        <f>+COUNTIF(ADV!Z:Z,A21)+COUNTIF(ADV!X:X,A21)+COUNTIF(ADV!Y:Y,A21)</f>
        <v>0</v>
      </c>
      <c r="H21" t="s">
        <v>6088</v>
      </c>
    </row>
    <row r="22" spans="1:8" x14ac:dyDescent="0.2">
      <c r="A22" t="s">
        <v>1230</v>
      </c>
      <c r="C22">
        <v>1010011</v>
      </c>
      <c r="D22" t="s">
        <v>6068</v>
      </c>
      <c r="E22">
        <f t="shared" si="0"/>
        <v>174</v>
      </c>
      <c r="F22">
        <f>+COUNTIF(ADV!U:W,A22)</f>
        <v>1</v>
      </c>
      <c r="G22">
        <f>+COUNTIF(ADV!Z:Z,A22)+COUNTIF(ADV!X:X,A22)+COUNTIF(ADV!Y:Y,A22)</f>
        <v>0</v>
      </c>
      <c r="H22" t="s">
        <v>6089</v>
      </c>
    </row>
    <row r="23" spans="1:8" x14ac:dyDescent="0.2">
      <c r="A23" t="s">
        <v>2110</v>
      </c>
      <c r="C23">
        <v>1020002</v>
      </c>
      <c r="D23" t="s">
        <v>6068</v>
      </c>
      <c r="E23">
        <f t="shared" si="0"/>
        <v>173</v>
      </c>
      <c r="F23">
        <f>+COUNTIF(ADV!U:W,A23)</f>
        <v>1</v>
      </c>
      <c r="G23">
        <f>+COUNTIF(ADV!Z:Z,A23)+COUNTIF(ADV!X:X,A23)+COUNTIF(ADV!Y:Y,A23)</f>
        <v>0</v>
      </c>
      <c r="H23" t="s">
        <v>6090</v>
      </c>
    </row>
    <row r="24" spans="1:8" x14ac:dyDescent="0.2">
      <c r="A24" t="s">
        <v>1107</v>
      </c>
      <c r="C24">
        <v>1020010</v>
      </c>
      <c r="D24" t="s">
        <v>6068</v>
      </c>
      <c r="E24">
        <f t="shared" si="0"/>
        <v>56</v>
      </c>
      <c r="F24">
        <f>+COUNTIF(ADV!U:W,A24)</f>
        <v>1</v>
      </c>
      <c r="G24">
        <f>+COUNTIF(ADV!Z:Z,A24)+COUNTIF(ADV!X:X,A24)+COUNTIF(ADV!Y:Y,A24)</f>
        <v>0</v>
      </c>
      <c r="H24" t="s">
        <v>6091</v>
      </c>
    </row>
    <row r="25" spans="1:8" x14ac:dyDescent="0.2">
      <c r="A25" t="s">
        <v>2156</v>
      </c>
      <c r="C25">
        <v>1130001</v>
      </c>
      <c r="D25" t="s">
        <v>6068</v>
      </c>
      <c r="E25">
        <f t="shared" si="0"/>
        <v>43</v>
      </c>
      <c r="F25">
        <f>+COUNTIF(ADV!U:W,A25)</f>
        <v>1</v>
      </c>
      <c r="G25">
        <f>+COUNTIF(ADV!Z:Z,A25)+COUNTIF(ADV!X:X,A25)+COUNTIF(ADV!Y:Y,A25)</f>
        <v>0</v>
      </c>
      <c r="H25" t="s">
        <v>6092</v>
      </c>
    </row>
    <row r="26" spans="1:8" x14ac:dyDescent="0.2">
      <c r="A26" t="s">
        <v>1969</v>
      </c>
      <c r="C26">
        <v>1010124</v>
      </c>
      <c r="D26" t="s">
        <v>6068</v>
      </c>
      <c r="E26">
        <f t="shared" si="0"/>
        <v>401</v>
      </c>
      <c r="F26">
        <f>+COUNTIF(ADV!U:W,A26)</f>
        <v>1</v>
      </c>
      <c r="G26">
        <f>+COUNTIF(ADV!Z:Z,A26)+COUNTIF(ADV!X:X,A26)+COUNTIF(ADV!Y:Y,A26)</f>
        <v>0</v>
      </c>
      <c r="H26" t="s">
        <v>6093</v>
      </c>
    </row>
    <row r="27" spans="1:8" x14ac:dyDescent="0.2">
      <c r="A27" t="s">
        <v>3784</v>
      </c>
      <c r="C27">
        <v>1030019</v>
      </c>
      <c r="D27" t="s">
        <v>6068</v>
      </c>
      <c r="E27">
        <f t="shared" si="0"/>
        <v>58</v>
      </c>
      <c r="F27">
        <f>+COUNTIF(ADV!U:W,A27)</f>
        <v>2</v>
      </c>
      <c r="G27">
        <f>+COUNTIF(ADV!Z:Z,A27)+COUNTIF(ADV!X:X,A27)+COUNTIF(ADV!Y:Y,A27)</f>
        <v>0</v>
      </c>
      <c r="H27" t="s">
        <v>6094</v>
      </c>
    </row>
    <row r="28" spans="1:8" x14ac:dyDescent="0.2">
      <c r="A28" t="s">
        <v>4353</v>
      </c>
      <c r="C28">
        <v>1070005</v>
      </c>
      <c r="D28" t="s">
        <v>6068</v>
      </c>
      <c r="E28">
        <f t="shared" si="0"/>
        <v>43</v>
      </c>
      <c r="F28">
        <f>+COUNTIF(ADV!U:W,A28)</f>
        <v>1</v>
      </c>
      <c r="G28">
        <f>+COUNTIF(ADV!Z:Z,A28)+COUNTIF(ADV!X:X,A28)+COUNTIF(ADV!Y:Y,A28)</f>
        <v>0</v>
      </c>
      <c r="H28" t="s">
        <v>6095</v>
      </c>
    </row>
    <row r="29" spans="1:8" x14ac:dyDescent="0.2">
      <c r="A29" t="s">
        <v>4352</v>
      </c>
      <c r="C29">
        <v>1020002</v>
      </c>
      <c r="D29" t="s">
        <v>6068</v>
      </c>
      <c r="E29">
        <f t="shared" si="0"/>
        <v>164</v>
      </c>
      <c r="F29">
        <f>+COUNTIF(ADV!U:W,A29)</f>
        <v>1</v>
      </c>
      <c r="G29">
        <f>+COUNTIF(ADV!Z:Z,A29)+COUNTIF(ADV!X:X,A29)+COUNTIF(ADV!Y:Y,A29)</f>
        <v>0</v>
      </c>
      <c r="H29" t="s">
        <v>6096</v>
      </c>
    </row>
    <row r="30" spans="1:8" x14ac:dyDescent="0.2">
      <c r="A30" t="s">
        <v>3800</v>
      </c>
      <c r="C30">
        <v>1030005</v>
      </c>
      <c r="D30" t="s">
        <v>6068</v>
      </c>
      <c r="E30">
        <f t="shared" si="0"/>
        <v>44</v>
      </c>
      <c r="F30">
        <f>+COUNTIF(ADV!U:W,A30)</f>
        <v>15</v>
      </c>
      <c r="G30">
        <f>+COUNTIF(ADV!Z:Z,A30)+COUNTIF(ADV!X:X,A30)+COUNTIF(ADV!Y:Y,A30)</f>
        <v>0</v>
      </c>
      <c r="H30" t="s">
        <v>6097</v>
      </c>
    </row>
    <row r="31" spans="1:8" x14ac:dyDescent="0.2">
      <c r="A31" t="s">
        <v>1482</v>
      </c>
      <c r="C31">
        <v>1030005</v>
      </c>
      <c r="D31" t="s">
        <v>6068</v>
      </c>
      <c r="E31">
        <f t="shared" si="0"/>
        <v>43</v>
      </c>
      <c r="F31">
        <f>+COUNTIF(ADV!U:W,A31)</f>
        <v>2</v>
      </c>
      <c r="G31">
        <f>+COUNTIF(ADV!Z:Z,A31)+COUNTIF(ADV!X:X,A31)+COUNTIF(ADV!Y:Y,A31)</f>
        <v>0</v>
      </c>
      <c r="H31" t="s">
        <v>6098</v>
      </c>
    </row>
    <row r="32" spans="1:8" x14ac:dyDescent="0.2">
      <c r="A32" t="s">
        <v>1481</v>
      </c>
      <c r="C32">
        <v>1030005</v>
      </c>
      <c r="D32" t="s">
        <v>6068</v>
      </c>
      <c r="E32">
        <f t="shared" si="0"/>
        <v>43</v>
      </c>
      <c r="F32">
        <f>+COUNTIF(ADV!U:W,A32)</f>
        <v>5</v>
      </c>
      <c r="G32">
        <f>+COUNTIF(ADV!Z:Z,A32)+COUNTIF(ADV!X:X,A32)+COUNTIF(ADV!Y:Y,A32)</f>
        <v>0</v>
      </c>
      <c r="H32" t="s">
        <v>6099</v>
      </c>
    </row>
    <row r="33" spans="1:8" x14ac:dyDescent="0.2">
      <c r="A33" t="s">
        <v>3900</v>
      </c>
      <c r="C33">
        <v>1010007</v>
      </c>
      <c r="D33" t="s">
        <v>6068</v>
      </c>
      <c r="E33">
        <f t="shared" si="0"/>
        <v>191</v>
      </c>
      <c r="F33">
        <f>+COUNTIF(ADV!U:W,A33)</f>
        <v>1</v>
      </c>
      <c r="G33">
        <f>+COUNTIF(ADV!Z:Z,A33)+COUNTIF(ADV!X:X,A33)+COUNTIF(ADV!Y:Y,A33)</f>
        <v>1</v>
      </c>
      <c r="H33" t="s">
        <v>6100</v>
      </c>
    </row>
    <row r="34" spans="1:8" x14ac:dyDescent="0.2">
      <c r="A34" t="s">
        <v>2519</v>
      </c>
      <c r="C34">
        <v>1010100</v>
      </c>
      <c r="D34" t="s">
        <v>6068</v>
      </c>
      <c r="E34">
        <f t="shared" si="0"/>
        <v>424</v>
      </c>
      <c r="F34">
        <f>+COUNTIF(ADV!U:W,A34)</f>
        <v>1</v>
      </c>
      <c r="G34">
        <f>+COUNTIF(ADV!Z:Z,A34)+COUNTIF(ADV!X:X,A34)+COUNTIF(ADV!Y:Y,A34)</f>
        <v>1</v>
      </c>
      <c r="H34" t="s">
        <v>6101</v>
      </c>
    </row>
    <row r="35" spans="1:8" x14ac:dyDescent="0.2">
      <c r="A35" t="s">
        <v>1934</v>
      </c>
      <c r="C35">
        <v>1020011</v>
      </c>
      <c r="D35" t="s">
        <v>6068</v>
      </c>
      <c r="E35">
        <f t="shared" si="0"/>
        <v>232</v>
      </c>
      <c r="F35">
        <f>+COUNTIF(ADV!U:W,A35)</f>
        <v>1</v>
      </c>
      <c r="G35">
        <f>+COUNTIF(ADV!Z:Z,A35)+COUNTIF(ADV!X:X,A35)+COUNTIF(ADV!Y:Y,A35)</f>
        <v>0</v>
      </c>
      <c r="H35" t="s">
        <v>6102</v>
      </c>
    </row>
    <row r="36" spans="1:8" x14ac:dyDescent="0.2">
      <c r="A36" t="s">
        <v>1450</v>
      </c>
      <c r="C36">
        <v>1020002</v>
      </c>
      <c r="D36" t="s">
        <v>6068</v>
      </c>
      <c r="E36">
        <f t="shared" si="0"/>
        <v>175</v>
      </c>
      <c r="F36">
        <f>+COUNTIF(ADV!U:W,A36)</f>
        <v>1</v>
      </c>
      <c r="G36">
        <f>+COUNTIF(ADV!Z:Z,A36)+COUNTIF(ADV!X:X,A36)+COUNTIF(ADV!Y:Y,A36)</f>
        <v>0</v>
      </c>
      <c r="H36" t="s">
        <v>6103</v>
      </c>
    </row>
    <row r="37" spans="1:8" x14ac:dyDescent="0.2">
      <c r="A37" t="s">
        <v>2020</v>
      </c>
      <c r="C37">
        <v>1030009</v>
      </c>
      <c r="D37" t="s">
        <v>6068</v>
      </c>
      <c r="E37">
        <f t="shared" si="0"/>
        <v>38</v>
      </c>
      <c r="F37">
        <f>+COUNTIF(ADV!U:W,A37)</f>
        <v>15</v>
      </c>
      <c r="G37">
        <f>+COUNTIF(ADV!Z:Z,A37)+COUNTIF(ADV!X:X,A37)+COUNTIF(ADV!Y:Y,A37)</f>
        <v>0</v>
      </c>
      <c r="H37" t="s">
        <v>6104</v>
      </c>
    </row>
    <row r="38" spans="1:8" x14ac:dyDescent="0.2">
      <c r="A38" t="s">
        <v>2276</v>
      </c>
      <c r="C38">
        <v>1030009</v>
      </c>
      <c r="D38" t="s">
        <v>6068</v>
      </c>
      <c r="E38">
        <f t="shared" si="0"/>
        <v>37</v>
      </c>
      <c r="F38">
        <f>+COUNTIF(ADV!U:W,A38)</f>
        <v>1</v>
      </c>
      <c r="G38">
        <f>+COUNTIF(ADV!Z:Z,A38)+COUNTIF(ADV!X:X,A38)+COUNTIF(ADV!Y:Y,A38)</f>
        <v>0</v>
      </c>
      <c r="H38" t="s">
        <v>6105</v>
      </c>
    </row>
    <row r="39" spans="1:8" x14ac:dyDescent="0.2">
      <c r="A39" t="s">
        <v>2275</v>
      </c>
      <c r="C39">
        <v>1030009</v>
      </c>
      <c r="D39" t="s">
        <v>6068</v>
      </c>
      <c r="E39">
        <f t="shared" si="0"/>
        <v>37</v>
      </c>
      <c r="F39">
        <f>+COUNTIF(ADV!U:W,A39)</f>
        <v>1</v>
      </c>
      <c r="G39">
        <f>+COUNTIF(ADV!Z:Z,A39)+COUNTIF(ADV!X:X,A39)+COUNTIF(ADV!Y:Y,A39)</f>
        <v>0</v>
      </c>
      <c r="H39" t="s">
        <v>6106</v>
      </c>
    </row>
    <row r="40" spans="1:8" x14ac:dyDescent="0.2">
      <c r="A40" t="s">
        <v>3504</v>
      </c>
      <c r="C40">
        <v>1010103</v>
      </c>
      <c r="D40" t="s">
        <v>6068</v>
      </c>
      <c r="E40">
        <f t="shared" si="0"/>
        <v>434</v>
      </c>
      <c r="F40">
        <f>+COUNTIF(ADV!U:W,A40)</f>
        <v>1</v>
      </c>
      <c r="G40">
        <f>+COUNTIF(ADV!Z:Z,A40)+COUNTIF(ADV!X:X,A40)+COUNTIF(ADV!Y:Y,A40)</f>
        <v>0</v>
      </c>
      <c r="H40" t="s">
        <v>6107</v>
      </c>
    </row>
    <row r="41" spans="1:8" x14ac:dyDescent="0.2">
      <c r="A41" t="s">
        <v>3506</v>
      </c>
      <c r="C41">
        <v>1010002</v>
      </c>
      <c r="D41" t="s">
        <v>6068</v>
      </c>
      <c r="E41">
        <f t="shared" si="0"/>
        <v>124</v>
      </c>
      <c r="F41">
        <f>+COUNTIF(ADV!U:W,A41)</f>
        <v>1</v>
      </c>
      <c r="G41">
        <f>+COUNTIF(ADV!Z:Z,A41)+COUNTIF(ADV!X:X,A41)+COUNTIF(ADV!Y:Y,A41)</f>
        <v>1</v>
      </c>
      <c r="H41" t="s">
        <v>6108</v>
      </c>
    </row>
    <row r="42" spans="1:8" x14ac:dyDescent="0.2">
      <c r="A42" t="s">
        <v>1147</v>
      </c>
      <c r="C42">
        <v>1020002</v>
      </c>
      <c r="D42" t="s">
        <v>6068</v>
      </c>
      <c r="E42">
        <f t="shared" si="0"/>
        <v>190</v>
      </c>
      <c r="F42">
        <f>+COUNTIF(ADV!U:W,A42)</f>
        <v>1</v>
      </c>
      <c r="G42">
        <f>+COUNTIF(ADV!Z:Z,A42)+COUNTIF(ADV!X:X,A42)+COUNTIF(ADV!Y:Y,A42)</f>
        <v>0</v>
      </c>
      <c r="H42" t="s">
        <v>6109</v>
      </c>
    </row>
    <row r="43" spans="1:8" x14ac:dyDescent="0.2">
      <c r="A43" t="s">
        <v>1649</v>
      </c>
      <c r="C43">
        <v>1020035</v>
      </c>
      <c r="D43" t="s">
        <v>6068</v>
      </c>
      <c r="E43">
        <f t="shared" si="0"/>
        <v>279</v>
      </c>
      <c r="F43">
        <f>+COUNTIF(ADV!U:W,A43)</f>
        <v>1</v>
      </c>
      <c r="G43">
        <f>+COUNTIF(ADV!Z:Z,A43)+COUNTIF(ADV!X:X,A43)+COUNTIF(ADV!Y:Y,A43)</f>
        <v>0</v>
      </c>
      <c r="H43" t="s">
        <v>6110</v>
      </c>
    </row>
    <row r="44" spans="1:8" x14ac:dyDescent="0.2">
      <c r="A44" t="s">
        <v>813</v>
      </c>
      <c r="C44">
        <v>1010009</v>
      </c>
      <c r="D44" t="s">
        <v>6068</v>
      </c>
      <c r="E44">
        <f t="shared" si="0"/>
        <v>50</v>
      </c>
      <c r="F44">
        <f>+COUNTIF(ADV!U:W,A44)</f>
        <v>4</v>
      </c>
      <c r="G44">
        <f>+COUNTIF(ADV!Z:Z,A44)+COUNTIF(ADV!X:X,A44)+COUNTIF(ADV!Y:Y,A44)</f>
        <v>0</v>
      </c>
      <c r="H44" t="s">
        <v>6111</v>
      </c>
    </row>
    <row r="45" spans="1:8" x14ac:dyDescent="0.2">
      <c r="A45" t="s">
        <v>909</v>
      </c>
      <c r="C45">
        <v>1010009</v>
      </c>
      <c r="D45" t="s">
        <v>6068</v>
      </c>
      <c r="E45">
        <f t="shared" si="0"/>
        <v>50</v>
      </c>
      <c r="F45">
        <f>+COUNTIF(ADV!U:W,A45)</f>
        <v>1</v>
      </c>
      <c r="G45">
        <f>+COUNTIF(ADV!Z:Z,A45)+COUNTIF(ADV!X:X,A45)+COUNTIF(ADV!Y:Y,A45)</f>
        <v>0</v>
      </c>
      <c r="H45" t="s">
        <v>6112</v>
      </c>
    </row>
    <row r="46" spans="1:8" x14ac:dyDescent="0.2">
      <c r="A46" t="s">
        <v>485</v>
      </c>
      <c r="C46">
        <v>1010009</v>
      </c>
      <c r="D46" t="s">
        <v>6068</v>
      </c>
      <c r="E46">
        <f t="shared" si="0"/>
        <v>50</v>
      </c>
      <c r="F46">
        <f>+COUNTIF(ADV!U:W,A46)</f>
        <v>4</v>
      </c>
      <c r="G46">
        <f>+COUNTIF(ADV!Z:Z,A46)+COUNTIF(ADV!X:X,A46)+COUNTIF(ADV!Y:Y,A46)</f>
        <v>9</v>
      </c>
      <c r="H46" t="s">
        <v>6113</v>
      </c>
    </row>
    <row r="47" spans="1:8" x14ac:dyDescent="0.2">
      <c r="A47" t="s">
        <v>1303</v>
      </c>
      <c r="C47">
        <v>1020022</v>
      </c>
      <c r="D47" t="s">
        <v>6068</v>
      </c>
      <c r="E47">
        <f t="shared" si="0"/>
        <v>532</v>
      </c>
      <c r="F47">
        <f>+COUNTIF(ADV!U:W,A47)</f>
        <v>1</v>
      </c>
      <c r="G47">
        <f>+COUNTIF(ADV!Z:Z,A47)+COUNTIF(ADV!X:X,A47)+COUNTIF(ADV!Y:Y,A47)</f>
        <v>0</v>
      </c>
      <c r="H47" t="s">
        <v>6114</v>
      </c>
    </row>
    <row r="48" spans="1:8" x14ac:dyDescent="0.2">
      <c r="A48" t="s">
        <v>924</v>
      </c>
      <c r="C48">
        <v>1010006</v>
      </c>
      <c r="D48" t="s">
        <v>6068</v>
      </c>
      <c r="E48">
        <f t="shared" si="0"/>
        <v>41</v>
      </c>
      <c r="F48">
        <f>+COUNTIF(ADV!U:W,A48)</f>
        <v>3</v>
      </c>
      <c r="G48">
        <f>+COUNTIF(ADV!Z:Z,A48)+COUNTIF(ADV!X:X,A48)+COUNTIF(ADV!Y:Y,A48)</f>
        <v>0</v>
      </c>
      <c r="H48" t="s">
        <v>6115</v>
      </c>
    </row>
    <row r="49" spans="1:8" x14ac:dyDescent="0.2">
      <c r="A49" t="s">
        <v>718</v>
      </c>
      <c r="C49">
        <v>1010006</v>
      </c>
      <c r="D49" t="s">
        <v>6068</v>
      </c>
      <c r="E49">
        <f t="shared" si="0"/>
        <v>41</v>
      </c>
      <c r="F49">
        <f>+COUNTIF(ADV!U:W,A49)</f>
        <v>4</v>
      </c>
      <c r="G49">
        <f>+COUNTIF(ADV!Z:Z,A49)+COUNTIF(ADV!X:X,A49)+COUNTIF(ADV!Y:Y,A49)</f>
        <v>0</v>
      </c>
      <c r="H49" t="s">
        <v>6116</v>
      </c>
    </row>
    <row r="50" spans="1:8" x14ac:dyDescent="0.2">
      <c r="A50" t="s">
        <v>1140</v>
      </c>
      <c r="C50">
        <v>1010006</v>
      </c>
      <c r="D50" t="s">
        <v>6068</v>
      </c>
      <c r="E50">
        <f t="shared" si="0"/>
        <v>41</v>
      </c>
      <c r="F50">
        <f>+COUNTIF(ADV!U:W,A50)</f>
        <v>5</v>
      </c>
      <c r="G50">
        <f>+COUNTIF(ADV!Z:Z,A50)+COUNTIF(ADV!X:X,A50)+COUNTIF(ADV!Y:Y,A50)</f>
        <v>9</v>
      </c>
      <c r="H50" t="s">
        <v>6117</v>
      </c>
    </row>
    <row r="51" spans="1:8" x14ac:dyDescent="0.2">
      <c r="A51" t="s">
        <v>1320</v>
      </c>
      <c r="C51">
        <v>1030002</v>
      </c>
      <c r="D51" t="s">
        <v>6068</v>
      </c>
      <c r="E51">
        <f t="shared" si="0"/>
        <v>42</v>
      </c>
      <c r="F51">
        <f>+COUNTIF(ADV!U:W,A51)</f>
        <v>9</v>
      </c>
      <c r="G51">
        <f>+COUNTIF(ADV!Z:Z,A51)+COUNTIF(ADV!X:X,A51)+COUNTIF(ADV!Y:Y,A51)</f>
        <v>0</v>
      </c>
      <c r="H51" t="s">
        <v>6118</v>
      </c>
    </row>
    <row r="52" spans="1:8" x14ac:dyDescent="0.2">
      <c r="A52" t="s">
        <v>1496</v>
      </c>
      <c r="C52">
        <v>1030002</v>
      </c>
      <c r="D52" t="s">
        <v>6068</v>
      </c>
      <c r="E52">
        <f t="shared" si="0"/>
        <v>41</v>
      </c>
      <c r="F52">
        <f>+COUNTIF(ADV!U:W,A52)</f>
        <v>3</v>
      </c>
      <c r="G52">
        <f>+COUNTIF(ADV!Z:Z,A52)+COUNTIF(ADV!X:X,A52)+COUNTIF(ADV!Y:Y,A52)</f>
        <v>0</v>
      </c>
      <c r="H52" t="s">
        <v>6119</v>
      </c>
    </row>
    <row r="53" spans="1:8" x14ac:dyDescent="0.2">
      <c r="A53" t="s">
        <v>1180</v>
      </c>
      <c r="C53">
        <v>1030002</v>
      </c>
      <c r="D53" t="s">
        <v>6068</v>
      </c>
      <c r="E53">
        <f t="shared" si="0"/>
        <v>41</v>
      </c>
      <c r="F53">
        <f>+COUNTIF(ADV!U:W,A53)</f>
        <v>4</v>
      </c>
      <c r="G53">
        <f>+COUNTIF(ADV!Z:Z,A53)+COUNTIF(ADV!X:X,A53)+COUNTIF(ADV!Y:Y,A53)</f>
        <v>0</v>
      </c>
      <c r="H53" t="s">
        <v>6120</v>
      </c>
    </row>
    <row r="54" spans="1:8" x14ac:dyDescent="0.2">
      <c r="A54" t="s">
        <v>2719</v>
      </c>
      <c r="C54">
        <v>1010188</v>
      </c>
      <c r="D54" t="s">
        <v>6068</v>
      </c>
      <c r="E54">
        <f t="shared" si="0"/>
        <v>457</v>
      </c>
      <c r="F54">
        <f>+COUNTIF(ADV!U:W,A54)</f>
        <v>1</v>
      </c>
      <c r="G54">
        <f>+COUNTIF(ADV!Z:Z,A54)+COUNTIF(ADV!X:X,A54)+COUNTIF(ADV!Y:Y,A54)</f>
        <v>1</v>
      </c>
      <c r="H54" t="s">
        <v>6121</v>
      </c>
    </row>
    <row r="55" spans="1:8" x14ac:dyDescent="0.2">
      <c r="A55" t="s">
        <v>2111</v>
      </c>
      <c r="C55">
        <v>1010084</v>
      </c>
      <c r="D55" t="s">
        <v>6068</v>
      </c>
      <c r="E55">
        <f t="shared" si="0"/>
        <v>259</v>
      </c>
      <c r="F55">
        <f>+COUNTIF(ADV!U:W,A55)</f>
        <v>1</v>
      </c>
      <c r="G55">
        <f>+COUNTIF(ADV!Z:Z,A55)+COUNTIF(ADV!X:X,A55)+COUNTIF(ADV!Y:Y,A55)</f>
        <v>0</v>
      </c>
      <c r="H55" t="s">
        <v>6122</v>
      </c>
    </row>
    <row r="56" spans="1:8" x14ac:dyDescent="0.2">
      <c r="A56" t="s">
        <v>499</v>
      </c>
      <c r="C56">
        <v>1010025</v>
      </c>
      <c r="D56" t="s">
        <v>6068</v>
      </c>
      <c r="E56">
        <f t="shared" si="0"/>
        <v>405</v>
      </c>
      <c r="F56">
        <f>+COUNTIF(ADV!U:W,A56)</f>
        <v>1</v>
      </c>
      <c r="G56">
        <f>+COUNTIF(ADV!Z:Z,A56)+COUNTIF(ADV!X:X,A56)+COUNTIF(ADV!Y:Y,A56)</f>
        <v>0</v>
      </c>
      <c r="H56" t="s">
        <v>6123</v>
      </c>
    </row>
    <row r="57" spans="1:8" x14ac:dyDescent="0.2">
      <c r="A57" t="s">
        <v>3723</v>
      </c>
      <c r="C57">
        <v>1010156</v>
      </c>
      <c r="D57" t="s">
        <v>6068</v>
      </c>
      <c r="E57">
        <f t="shared" si="0"/>
        <v>621</v>
      </c>
      <c r="F57">
        <f>+COUNTIF(ADV!U:W,A57)</f>
        <v>1</v>
      </c>
      <c r="G57">
        <f>+COUNTIF(ADV!Z:Z,A57)+COUNTIF(ADV!X:X,A57)+COUNTIF(ADV!Y:Y,A57)</f>
        <v>0</v>
      </c>
      <c r="H57" t="s">
        <v>6124</v>
      </c>
    </row>
    <row r="58" spans="1:8" x14ac:dyDescent="0.2">
      <c r="A58" t="s">
        <v>1821</v>
      </c>
      <c r="C58">
        <v>1010008</v>
      </c>
      <c r="D58" t="s">
        <v>6068</v>
      </c>
      <c r="E58">
        <f t="shared" si="0"/>
        <v>149</v>
      </c>
      <c r="F58">
        <f>+COUNTIF(ADV!U:W,A58)</f>
        <v>1</v>
      </c>
      <c r="G58">
        <f>+COUNTIF(ADV!Z:Z,A58)+COUNTIF(ADV!X:X,A58)+COUNTIF(ADV!Y:Y,A58)</f>
        <v>1</v>
      </c>
      <c r="H58" t="s">
        <v>6125</v>
      </c>
    </row>
    <row r="59" spans="1:8" x14ac:dyDescent="0.2">
      <c r="A59" t="s">
        <v>1335</v>
      </c>
      <c r="C59">
        <v>1020036</v>
      </c>
      <c r="D59" t="s">
        <v>6068</v>
      </c>
      <c r="E59">
        <f t="shared" si="0"/>
        <v>89</v>
      </c>
      <c r="F59">
        <f>+COUNTIF(ADV!U:W,A59)</f>
        <v>1</v>
      </c>
      <c r="G59">
        <f>+COUNTIF(ADV!Z:Z,A59)+COUNTIF(ADV!X:X,A59)+COUNTIF(ADV!Y:Y,A59)</f>
        <v>0</v>
      </c>
      <c r="H59" t="s">
        <v>6126</v>
      </c>
    </row>
    <row r="60" spans="1:8" x14ac:dyDescent="0.2">
      <c r="A60" t="s">
        <v>1246</v>
      </c>
      <c r="C60">
        <v>1020036</v>
      </c>
      <c r="D60" t="s">
        <v>6068</v>
      </c>
      <c r="E60">
        <f t="shared" si="0"/>
        <v>89</v>
      </c>
      <c r="F60">
        <f>+COUNTIF(ADV!U:W,A60)</f>
        <v>1</v>
      </c>
      <c r="G60">
        <f>+COUNTIF(ADV!Z:Z,A60)+COUNTIF(ADV!X:X,A60)+COUNTIF(ADV!Y:Y,A60)</f>
        <v>2</v>
      </c>
      <c r="H60" t="s">
        <v>6127</v>
      </c>
    </row>
    <row r="61" spans="1:8" x14ac:dyDescent="0.2">
      <c r="A61" t="s">
        <v>2991</v>
      </c>
      <c r="C61">
        <v>1010032</v>
      </c>
      <c r="D61" t="s">
        <v>6068</v>
      </c>
      <c r="E61">
        <f t="shared" si="0"/>
        <v>471</v>
      </c>
      <c r="F61">
        <f>+COUNTIF(ADV!U:W,A61)</f>
        <v>1</v>
      </c>
      <c r="G61">
        <f>+COUNTIF(ADV!Z:Z,A61)+COUNTIF(ADV!X:X,A61)+COUNTIF(ADV!Y:Y,A61)</f>
        <v>1</v>
      </c>
      <c r="H61" t="s">
        <v>6128</v>
      </c>
    </row>
    <row r="62" spans="1:8" x14ac:dyDescent="0.2">
      <c r="A62" t="s">
        <v>1089</v>
      </c>
      <c r="C62">
        <v>1010085</v>
      </c>
      <c r="D62" t="s">
        <v>6068</v>
      </c>
      <c r="E62">
        <f t="shared" si="0"/>
        <v>399</v>
      </c>
      <c r="F62">
        <f>+COUNTIF(ADV!U:W,A62)</f>
        <v>1</v>
      </c>
      <c r="G62">
        <f>+COUNTIF(ADV!Z:Z,A62)+COUNTIF(ADV!X:X,A62)+COUNTIF(ADV!Y:Y,A62)</f>
        <v>0</v>
      </c>
      <c r="H62" t="s">
        <v>6129</v>
      </c>
    </row>
    <row r="63" spans="1:8" x14ac:dyDescent="0.2">
      <c r="A63" t="s">
        <v>1090</v>
      </c>
      <c r="C63">
        <v>1030011</v>
      </c>
      <c r="D63" t="s">
        <v>6068</v>
      </c>
      <c r="E63">
        <f t="shared" si="0"/>
        <v>49</v>
      </c>
      <c r="F63">
        <f>+COUNTIF(ADV!U:W,A63)</f>
        <v>1</v>
      </c>
      <c r="G63">
        <f>+COUNTIF(ADV!Z:Z,A63)+COUNTIF(ADV!X:X,A63)+COUNTIF(ADV!Y:Y,A63)</f>
        <v>0</v>
      </c>
      <c r="H63" t="s">
        <v>6130</v>
      </c>
    </row>
    <row r="64" spans="1:8" x14ac:dyDescent="0.2">
      <c r="A64" t="s">
        <v>191</v>
      </c>
      <c r="C64">
        <v>1010001</v>
      </c>
      <c r="D64" t="s">
        <v>6068</v>
      </c>
      <c r="E64">
        <f t="shared" si="0"/>
        <v>462</v>
      </c>
      <c r="F64">
        <f>+COUNTIF(ADV!U:W,A64)</f>
        <v>1</v>
      </c>
      <c r="G64">
        <f>+COUNTIF(ADV!Z:Z,A64)+COUNTIF(ADV!X:X,A64)+COUNTIF(ADV!Y:Y,A64)</f>
        <v>0</v>
      </c>
      <c r="H64" t="s">
        <v>6131</v>
      </c>
    </row>
    <row r="65" spans="1:8" x14ac:dyDescent="0.2">
      <c r="A65" t="s">
        <v>1480</v>
      </c>
      <c r="C65">
        <v>1020011</v>
      </c>
      <c r="D65" t="s">
        <v>6068</v>
      </c>
      <c r="E65">
        <f t="shared" si="0"/>
        <v>52</v>
      </c>
      <c r="F65">
        <f>+COUNTIF(ADV!U:W,A65)</f>
        <v>1</v>
      </c>
      <c r="G65">
        <f>+COUNTIF(ADV!Z:Z,A65)+COUNTIF(ADV!X:X,A65)+COUNTIF(ADV!Y:Y,A65)</f>
        <v>0</v>
      </c>
      <c r="H65" t="s">
        <v>6132</v>
      </c>
    </row>
    <row r="66" spans="1:8" x14ac:dyDescent="0.2">
      <c r="A66" t="s">
        <v>2067</v>
      </c>
      <c r="C66">
        <v>1020011</v>
      </c>
      <c r="D66" t="s">
        <v>6068</v>
      </c>
      <c r="E66">
        <f t="shared" ref="E66:E129" si="1">+LEN(H66)</f>
        <v>52</v>
      </c>
      <c r="F66">
        <f>+COUNTIF(ADV!U:W,A66)</f>
        <v>1</v>
      </c>
      <c r="G66">
        <f>+COUNTIF(ADV!Z:Z,A66)+COUNTIF(ADV!X:X,A66)+COUNTIF(ADV!Y:Y,A66)</f>
        <v>0</v>
      </c>
      <c r="H66" t="s">
        <v>6133</v>
      </c>
    </row>
    <row r="67" spans="1:8" x14ac:dyDescent="0.2">
      <c r="A67" t="s">
        <v>1108</v>
      </c>
      <c r="C67">
        <v>1020011</v>
      </c>
      <c r="D67" t="s">
        <v>6068</v>
      </c>
      <c r="E67">
        <f t="shared" si="1"/>
        <v>52</v>
      </c>
      <c r="F67">
        <f>+COUNTIF(ADV!U:W,A67)</f>
        <v>3</v>
      </c>
      <c r="G67">
        <f>+COUNTIF(ADV!Z:Z,A67)+COUNTIF(ADV!X:X,A67)+COUNTIF(ADV!Y:Y,A67)</f>
        <v>0</v>
      </c>
      <c r="H67" t="s">
        <v>6134</v>
      </c>
    </row>
    <row r="68" spans="1:8" x14ac:dyDescent="0.2">
      <c r="A68" t="s">
        <v>581</v>
      </c>
      <c r="C68">
        <v>1020011</v>
      </c>
      <c r="D68" t="s">
        <v>6068</v>
      </c>
      <c r="E68">
        <f t="shared" si="1"/>
        <v>52</v>
      </c>
      <c r="F68">
        <f>+COUNTIF(ADV!U:W,A68)</f>
        <v>1</v>
      </c>
      <c r="G68">
        <f>+COUNTIF(ADV!Z:Z,A68)+COUNTIF(ADV!X:X,A68)+COUNTIF(ADV!Y:Y,A68)</f>
        <v>9</v>
      </c>
      <c r="H68" t="s">
        <v>6135</v>
      </c>
    </row>
    <row r="69" spans="1:8" x14ac:dyDescent="0.2">
      <c r="A69" t="s">
        <v>1214</v>
      </c>
      <c r="C69">
        <v>1010058</v>
      </c>
      <c r="D69" t="s">
        <v>6068</v>
      </c>
      <c r="E69">
        <f t="shared" si="1"/>
        <v>363</v>
      </c>
      <c r="F69">
        <f>+COUNTIF(ADV!U:W,A69)</f>
        <v>1</v>
      </c>
      <c r="G69">
        <f>+COUNTIF(ADV!Z:Z,A69)+COUNTIF(ADV!X:X,A69)+COUNTIF(ADV!Y:Y,A69)</f>
        <v>0</v>
      </c>
      <c r="H69" t="s">
        <v>6136</v>
      </c>
    </row>
    <row r="70" spans="1:8" x14ac:dyDescent="0.2">
      <c r="A70" t="s">
        <v>469</v>
      </c>
      <c r="C70">
        <v>1010058</v>
      </c>
      <c r="D70" t="s">
        <v>6068</v>
      </c>
      <c r="E70">
        <f t="shared" si="1"/>
        <v>527</v>
      </c>
      <c r="F70">
        <f>+COUNTIF(ADV!U:W,A70)</f>
        <v>1</v>
      </c>
      <c r="G70">
        <f>+COUNTIF(ADV!Z:Z,A70)+COUNTIF(ADV!X:X,A70)+COUNTIF(ADV!Y:Y,A70)</f>
        <v>0</v>
      </c>
      <c r="H70" t="s">
        <v>6137</v>
      </c>
    </row>
    <row r="71" spans="1:8" x14ac:dyDescent="0.2">
      <c r="A71" t="s">
        <v>877</v>
      </c>
      <c r="C71">
        <v>1020011</v>
      </c>
      <c r="D71" t="s">
        <v>6068</v>
      </c>
      <c r="E71">
        <f t="shared" si="1"/>
        <v>195</v>
      </c>
      <c r="F71">
        <f>+COUNTIF(ADV!U:W,A71)</f>
        <v>1</v>
      </c>
      <c r="G71">
        <f>+COUNTIF(ADV!Z:Z,A71)+COUNTIF(ADV!X:X,A71)+COUNTIF(ADV!Y:Y,A71)</f>
        <v>0</v>
      </c>
      <c r="H71" t="s">
        <v>6138</v>
      </c>
    </row>
    <row r="72" spans="1:8" x14ac:dyDescent="0.2">
      <c r="A72" t="s">
        <v>1123</v>
      </c>
      <c r="C72">
        <v>1010055</v>
      </c>
      <c r="D72" t="s">
        <v>6068</v>
      </c>
      <c r="E72">
        <f t="shared" si="1"/>
        <v>177</v>
      </c>
      <c r="F72">
        <f>+COUNTIF(ADV!U:W,A72)</f>
        <v>1</v>
      </c>
      <c r="G72">
        <f>+COUNTIF(ADV!Z:Z,A72)+COUNTIF(ADV!X:X,A72)+COUNTIF(ADV!Y:Y,A72)</f>
        <v>0</v>
      </c>
      <c r="H72" t="s">
        <v>6139</v>
      </c>
    </row>
    <row r="73" spans="1:8" x14ac:dyDescent="0.2">
      <c r="A73" t="s">
        <v>3756</v>
      </c>
      <c r="C73">
        <v>1020010</v>
      </c>
      <c r="D73" t="s">
        <v>6068</v>
      </c>
      <c r="E73">
        <f t="shared" si="1"/>
        <v>134</v>
      </c>
      <c r="F73">
        <f>+COUNTIF(ADV!U:W,A73)</f>
        <v>1</v>
      </c>
      <c r="G73">
        <f>+COUNTIF(ADV!Z:Z,A73)+COUNTIF(ADV!X:X,A73)+COUNTIF(ADV!Y:Y,A73)</f>
        <v>0</v>
      </c>
      <c r="H73" t="s">
        <v>6140</v>
      </c>
    </row>
    <row r="74" spans="1:8" x14ac:dyDescent="0.2">
      <c r="A74" t="s">
        <v>385</v>
      </c>
      <c r="C74">
        <v>1020010</v>
      </c>
      <c r="D74" t="s">
        <v>6068</v>
      </c>
      <c r="E74">
        <f t="shared" si="1"/>
        <v>31</v>
      </c>
      <c r="F74">
        <f>+COUNTIF(ADV!U:W,A74)</f>
        <v>1</v>
      </c>
      <c r="G74">
        <f>+COUNTIF(ADV!Z:Z,A74)+COUNTIF(ADV!X:X,A74)+COUNTIF(ADV!Y:Y,A74)</f>
        <v>0</v>
      </c>
      <c r="H74" t="s">
        <v>6141</v>
      </c>
    </row>
    <row r="75" spans="1:8" x14ac:dyDescent="0.2">
      <c r="A75" t="s">
        <v>245</v>
      </c>
      <c r="C75">
        <v>1020010</v>
      </c>
      <c r="D75" t="s">
        <v>6068</v>
      </c>
      <c r="E75">
        <f t="shared" si="1"/>
        <v>31</v>
      </c>
      <c r="F75">
        <f>+COUNTIF(ADV!U:W,A75)</f>
        <v>1</v>
      </c>
      <c r="G75">
        <f>+COUNTIF(ADV!Z:Z,A75)+COUNTIF(ADV!X:X,A75)+COUNTIF(ADV!Y:Y,A75)</f>
        <v>0</v>
      </c>
      <c r="H75" t="s">
        <v>6142</v>
      </c>
    </row>
    <row r="76" spans="1:8" x14ac:dyDescent="0.2">
      <c r="A76" t="s">
        <v>1836</v>
      </c>
      <c r="C76">
        <v>1030023</v>
      </c>
      <c r="D76" t="s">
        <v>6068</v>
      </c>
      <c r="E76">
        <f t="shared" si="1"/>
        <v>51</v>
      </c>
      <c r="F76">
        <f>+COUNTIF(ADV!U:W,A76)</f>
        <v>1</v>
      </c>
      <c r="G76">
        <f>+COUNTIF(ADV!Z:Z,A76)+COUNTIF(ADV!X:X,A76)+COUNTIF(ADV!Y:Y,A76)</f>
        <v>0</v>
      </c>
      <c r="H76" t="s">
        <v>6143</v>
      </c>
    </row>
    <row r="77" spans="1:8" x14ac:dyDescent="0.2">
      <c r="A77" t="s">
        <v>4146</v>
      </c>
      <c r="C77">
        <v>1020013</v>
      </c>
      <c r="D77" t="s">
        <v>6068</v>
      </c>
      <c r="E77">
        <f t="shared" si="1"/>
        <v>215</v>
      </c>
      <c r="F77">
        <f>+COUNTIF(ADV!U:W,A77)</f>
        <v>1</v>
      </c>
      <c r="G77">
        <f>+COUNTIF(ADV!Z:Z,A77)+COUNTIF(ADV!X:X,A77)+COUNTIF(ADV!Y:Y,A77)</f>
        <v>0</v>
      </c>
      <c r="H77" t="s">
        <v>6144</v>
      </c>
    </row>
    <row r="78" spans="1:8" x14ac:dyDescent="0.2">
      <c r="A78" t="s">
        <v>2860</v>
      </c>
      <c r="C78">
        <v>1030007</v>
      </c>
      <c r="D78" t="s">
        <v>6068</v>
      </c>
      <c r="E78">
        <f t="shared" si="1"/>
        <v>41</v>
      </c>
      <c r="F78">
        <f>+COUNTIF(ADV!U:W,A78)</f>
        <v>20</v>
      </c>
      <c r="G78">
        <f>+COUNTIF(ADV!Z:Z,A78)+COUNTIF(ADV!X:X,A78)+COUNTIF(ADV!Y:Y,A78)</f>
        <v>0</v>
      </c>
      <c r="H78" t="s">
        <v>6145</v>
      </c>
    </row>
    <row r="79" spans="1:8" x14ac:dyDescent="0.2">
      <c r="A79" t="s">
        <v>3153</v>
      </c>
      <c r="C79">
        <v>1030007</v>
      </c>
      <c r="D79" t="s">
        <v>6068</v>
      </c>
      <c r="E79">
        <f t="shared" si="1"/>
        <v>40</v>
      </c>
      <c r="F79">
        <f>+COUNTIF(ADV!U:W,A79)</f>
        <v>3</v>
      </c>
      <c r="G79">
        <f>+COUNTIF(ADV!Z:Z,A79)+COUNTIF(ADV!X:X,A79)+COUNTIF(ADV!Y:Y,A79)</f>
        <v>0</v>
      </c>
      <c r="H79" t="s">
        <v>6146</v>
      </c>
    </row>
    <row r="80" spans="1:8" x14ac:dyDescent="0.2">
      <c r="A80" t="s">
        <v>3023</v>
      </c>
      <c r="C80">
        <v>1030007</v>
      </c>
      <c r="D80" t="s">
        <v>6068</v>
      </c>
      <c r="E80">
        <f t="shared" si="1"/>
        <v>40</v>
      </c>
      <c r="F80">
        <f>+COUNTIF(ADV!U:W,A80)</f>
        <v>7</v>
      </c>
      <c r="G80">
        <f>+COUNTIF(ADV!Z:Z,A80)+COUNTIF(ADV!X:X,A80)+COUNTIF(ADV!Y:Y,A80)</f>
        <v>0</v>
      </c>
      <c r="H80" t="s">
        <v>6147</v>
      </c>
    </row>
    <row r="81" spans="1:8" x14ac:dyDescent="0.2">
      <c r="A81" t="s">
        <v>3843</v>
      </c>
      <c r="C81">
        <v>1010021</v>
      </c>
      <c r="D81" t="s">
        <v>6068</v>
      </c>
      <c r="E81">
        <f t="shared" si="1"/>
        <v>79</v>
      </c>
      <c r="F81">
        <f>+COUNTIF(ADV!U:W,A81)</f>
        <v>1</v>
      </c>
      <c r="G81">
        <f>+COUNTIF(ADV!Z:Z,A81)+COUNTIF(ADV!X:X,A81)+COUNTIF(ADV!Y:Y,A81)</f>
        <v>0</v>
      </c>
      <c r="H81" t="s">
        <v>6148</v>
      </c>
    </row>
    <row r="82" spans="1:8" x14ac:dyDescent="0.2">
      <c r="A82" t="s">
        <v>651</v>
      </c>
      <c r="C82">
        <v>1010093</v>
      </c>
      <c r="D82" t="s">
        <v>6068</v>
      </c>
      <c r="E82">
        <f t="shared" si="1"/>
        <v>323</v>
      </c>
      <c r="F82">
        <f>+COUNTIF(ADV!U:W,A82)</f>
        <v>1</v>
      </c>
      <c r="G82">
        <f>+COUNTIF(ADV!Z:Z,A82)+COUNTIF(ADV!X:X,A82)+COUNTIF(ADV!Y:Y,A82)</f>
        <v>0</v>
      </c>
      <c r="H82" t="s">
        <v>6149</v>
      </c>
    </row>
    <row r="83" spans="1:8" x14ac:dyDescent="0.2">
      <c r="A83" t="s">
        <v>4277</v>
      </c>
      <c r="C83">
        <v>1010155</v>
      </c>
      <c r="D83" t="s">
        <v>6068</v>
      </c>
      <c r="E83">
        <f t="shared" si="1"/>
        <v>805</v>
      </c>
      <c r="F83">
        <f>+COUNTIF(ADV!U:W,A83)</f>
        <v>1</v>
      </c>
      <c r="G83">
        <f>+COUNTIF(ADV!Z:Z,A83)+COUNTIF(ADV!X:X,A83)+COUNTIF(ADV!Y:Y,A83)</f>
        <v>0</v>
      </c>
      <c r="H83" t="s">
        <v>6150</v>
      </c>
    </row>
    <row r="84" spans="1:8" x14ac:dyDescent="0.2">
      <c r="A84" t="s">
        <v>1903</v>
      </c>
      <c r="C84">
        <v>1010051</v>
      </c>
      <c r="D84" t="s">
        <v>6068</v>
      </c>
      <c r="E84">
        <f t="shared" si="1"/>
        <v>47</v>
      </c>
      <c r="F84">
        <f>+COUNTIF(ADV!U:W,A84)</f>
        <v>3</v>
      </c>
      <c r="G84">
        <f>+COUNTIF(ADV!Z:Z,A84)+COUNTIF(ADV!X:X,A84)+COUNTIF(ADV!Y:Y,A84)</f>
        <v>2</v>
      </c>
      <c r="H84" t="s">
        <v>6151</v>
      </c>
    </row>
    <row r="85" spans="1:8" x14ac:dyDescent="0.2">
      <c r="A85" t="s">
        <v>1619</v>
      </c>
      <c r="C85">
        <v>1020003</v>
      </c>
      <c r="D85" t="s">
        <v>6068</v>
      </c>
      <c r="E85">
        <f t="shared" si="1"/>
        <v>167</v>
      </c>
      <c r="F85">
        <f>+COUNTIF(ADV!U:W,A85)</f>
        <v>1</v>
      </c>
      <c r="G85">
        <f>+COUNTIF(ADV!Z:Z,A85)+COUNTIF(ADV!X:X,A85)+COUNTIF(ADV!Y:Y,A85)</f>
        <v>0</v>
      </c>
      <c r="H85" t="s">
        <v>6152</v>
      </c>
    </row>
    <row r="86" spans="1:8" x14ac:dyDescent="0.2">
      <c r="A86" t="s">
        <v>618</v>
      </c>
      <c r="C86">
        <v>1020003</v>
      </c>
      <c r="D86" t="s">
        <v>6068</v>
      </c>
      <c r="E86">
        <f t="shared" si="1"/>
        <v>25</v>
      </c>
      <c r="F86">
        <f>+COUNTIF(ADV!U:W,A86)</f>
        <v>1</v>
      </c>
      <c r="G86">
        <f>+COUNTIF(ADV!Z:Z,A86)+COUNTIF(ADV!X:X,A86)+COUNTIF(ADV!Y:Y,A86)</f>
        <v>17</v>
      </c>
      <c r="H86" t="s">
        <v>6153</v>
      </c>
    </row>
    <row r="87" spans="1:8" x14ac:dyDescent="0.2">
      <c r="A87" t="s">
        <v>1229</v>
      </c>
      <c r="C87">
        <v>1010073</v>
      </c>
      <c r="D87" t="s">
        <v>6068</v>
      </c>
      <c r="E87">
        <f t="shared" si="1"/>
        <v>187</v>
      </c>
      <c r="F87">
        <f>+COUNTIF(ADV!U:W,A87)</f>
        <v>1</v>
      </c>
      <c r="G87">
        <f>+COUNTIF(ADV!Z:Z,A87)+COUNTIF(ADV!X:X,A87)+COUNTIF(ADV!Y:Y,A87)</f>
        <v>0</v>
      </c>
      <c r="H87" t="s">
        <v>6154</v>
      </c>
    </row>
    <row r="88" spans="1:8" x14ac:dyDescent="0.2">
      <c r="A88" t="s">
        <v>3232</v>
      </c>
      <c r="C88">
        <v>1020022</v>
      </c>
      <c r="D88" t="s">
        <v>6068</v>
      </c>
      <c r="E88">
        <f t="shared" si="1"/>
        <v>253</v>
      </c>
      <c r="F88">
        <f>+COUNTIF(ADV!U:W,A88)</f>
        <v>1</v>
      </c>
      <c r="G88">
        <f>+COUNTIF(ADV!Z:Z,A88)+COUNTIF(ADV!X:X,A88)+COUNTIF(ADV!Y:Y,A88)</f>
        <v>0</v>
      </c>
      <c r="H88" t="s">
        <v>6155</v>
      </c>
    </row>
    <row r="89" spans="1:8" x14ac:dyDescent="0.2">
      <c r="A89" t="s">
        <v>3580</v>
      </c>
      <c r="C89">
        <v>1010030</v>
      </c>
      <c r="D89" t="s">
        <v>6068</v>
      </c>
      <c r="E89">
        <f t="shared" si="1"/>
        <v>91</v>
      </c>
      <c r="F89">
        <f>+COUNTIF(ADV!U:W,A89)</f>
        <v>1</v>
      </c>
      <c r="G89">
        <f>+COUNTIF(ADV!Z:Z,A89)+COUNTIF(ADV!X:X,A89)+COUNTIF(ADV!Y:Y,A89)</f>
        <v>0</v>
      </c>
      <c r="H89" t="s">
        <v>6156</v>
      </c>
    </row>
    <row r="90" spans="1:8" x14ac:dyDescent="0.2">
      <c r="A90" t="s">
        <v>733</v>
      </c>
      <c r="C90">
        <v>1060003</v>
      </c>
      <c r="D90" t="s">
        <v>6068</v>
      </c>
      <c r="E90">
        <f t="shared" si="1"/>
        <v>38</v>
      </c>
      <c r="F90">
        <f>+COUNTIF(ADV!U:W,A90)</f>
        <v>4</v>
      </c>
      <c r="G90">
        <f>+COUNTIF(ADV!Z:Z,A90)+COUNTIF(ADV!X:X,A90)+COUNTIF(ADV!Y:Y,A90)</f>
        <v>0</v>
      </c>
      <c r="H90" t="s">
        <v>6157</v>
      </c>
    </row>
    <row r="91" spans="1:8" x14ac:dyDescent="0.2">
      <c r="A91" t="s">
        <v>3446</v>
      </c>
      <c r="C91">
        <v>1060006</v>
      </c>
      <c r="D91" t="s">
        <v>6068</v>
      </c>
      <c r="E91">
        <f t="shared" si="1"/>
        <v>34</v>
      </c>
      <c r="F91">
        <f>+COUNTIF(ADV!U:W,A91)</f>
        <v>1</v>
      </c>
      <c r="G91">
        <f>+COUNTIF(ADV!Z:Z,A91)+COUNTIF(ADV!X:X,A91)+COUNTIF(ADV!Y:Y,A91)</f>
        <v>0</v>
      </c>
      <c r="H91" t="s">
        <v>6158</v>
      </c>
    </row>
    <row r="92" spans="1:8" x14ac:dyDescent="0.2">
      <c r="A92" t="s">
        <v>2082</v>
      </c>
      <c r="C92">
        <v>1060006</v>
      </c>
      <c r="D92" t="s">
        <v>6068</v>
      </c>
      <c r="E92">
        <f t="shared" si="1"/>
        <v>34</v>
      </c>
      <c r="F92">
        <f>+COUNTIF(ADV!U:W,A92)</f>
        <v>1</v>
      </c>
      <c r="G92">
        <f>+COUNTIF(ADV!Z:Z,A92)+COUNTIF(ADV!X:X,A92)+COUNTIF(ADV!Y:Y,A92)</f>
        <v>0</v>
      </c>
      <c r="H92" t="s">
        <v>6159</v>
      </c>
    </row>
    <row r="93" spans="1:8" x14ac:dyDescent="0.2">
      <c r="A93" t="s">
        <v>2651</v>
      </c>
      <c r="C93">
        <v>1010060</v>
      </c>
      <c r="D93" t="s">
        <v>6068</v>
      </c>
      <c r="E93">
        <f t="shared" si="1"/>
        <v>199</v>
      </c>
      <c r="F93">
        <f>+COUNTIF(ADV!U:W,A93)</f>
        <v>1</v>
      </c>
      <c r="G93">
        <f>+COUNTIF(ADV!Z:Z,A93)+COUNTIF(ADV!X:X,A93)+COUNTIF(ADV!Y:Y,A93)</f>
        <v>0</v>
      </c>
      <c r="H93" t="s">
        <v>6160</v>
      </c>
    </row>
    <row r="94" spans="1:8" x14ac:dyDescent="0.2">
      <c r="A94" t="s">
        <v>3642</v>
      </c>
      <c r="C94">
        <v>1010064</v>
      </c>
      <c r="D94" t="s">
        <v>6068</v>
      </c>
      <c r="E94">
        <f t="shared" si="1"/>
        <v>274</v>
      </c>
      <c r="F94">
        <f>+COUNTIF(ADV!U:W,A94)</f>
        <v>1</v>
      </c>
      <c r="G94">
        <f>+COUNTIF(ADV!Z:Z,A94)+COUNTIF(ADV!X:X,A94)+COUNTIF(ADV!Y:Y,A94)</f>
        <v>0</v>
      </c>
      <c r="H94" t="s">
        <v>6161</v>
      </c>
    </row>
    <row r="95" spans="1:8" x14ac:dyDescent="0.2">
      <c r="A95" t="s">
        <v>4382</v>
      </c>
      <c r="C95">
        <v>1010049</v>
      </c>
      <c r="D95" t="s">
        <v>6068</v>
      </c>
      <c r="E95">
        <f t="shared" si="1"/>
        <v>451</v>
      </c>
      <c r="F95">
        <f>+COUNTIF(ADV!U:W,A95)</f>
        <v>1</v>
      </c>
      <c r="G95">
        <f>+COUNTIF(ADV!Z:Z,A95)+COUNTIF(ADV!X:X,A95)+COUNTIF(ADV!Y:Y,A95)</f>
        <v>0</v>
      </c>
      <c r="H95" t="s">
        <v>6162</v>
      </c>
    </row>
    <row r="96" spans="1:8" x14ac:dyDescent="0.2">
      <c r="A96" t="s">
        <v>1434</v>
      </c>
      <c r="C96">
        <v>1010026</v>
      </c>
      <c r="D96" t="s">
        <v>6068</v>
      </c>
      <c r="E96">
        <f t="shared" si="1"/>
        <v>373</v>
      </c>
      <c r="F96">
        <f>+COUNTIF(ADV!U:W,A96)</f>
        <v>1</v>
      </c>
      <c r="G96">
        <f>+COUNTIF(ADV!Z:Z,A96)+COUNTIF(ADV!X:X,A96)+COUNTIF(ADV!Y:Y,A96)</f>
        <v>0</v>
      </c>
      <c r="H96" t="s">
        <v>6163</v>
      </c>
    </row>
    <row r="97" spans="1:8" x14ac:dyDescent="0.2">
      <c r="A97" t="s">
        <v>2797</v>
      </c>
      <c r="C97">
        <v>1010007</v>
      </c>
      <c r="D97" t="s">
        <v>6068</v>
      </c>
      <c r="E97">
        <f t="shared" si="1"/>
        <v>171</v>
      </c>
      <c r="F97">
        <f>+COUNTIF(ADV!U:W,A97)</f>
        <v>1</v>
      </c>
      <c r="G97">
        <f>+COUNTIF(ADV!Z:Z,A97)+COUNTIF(ADV!X:X,A97)+COUNTIF(ADV!Y:Y,A97)</f>
        <v>0</v>
      </c>
      <c r="H97" t="s">
        <v>6164</v>
      </c>
    </row>
    <row r="98" spans="1:8" x14ac:dyDescent="0.2">
      <c r="A98" t="s">
        <v>129</v>
      </c>
      <c r="C98">
        <v>1010144</v>
      </c>
      <c r="D98" t="s">
        <v>6068</v>
      </c>
      <c r="E98">
        <f t="shared" si="1"/>
        <v>637</v>
      </c>
      <c r="F98">
        <f>+COUNTIF(ADV!U:W,A98)</f>
        <v>1</v>
      </c>
      <c r="G98">
        <f>+COUNTIF(ADV!Z:Z,A98)+COUNTIF(ADV!X:X,A98)+COUNTIF(ADV!Y:Y,A98)</f>
        <v>1</v>
      </c>
      <c r="H98" t="s">
        <v>6165</v>
      </c>
    </row>
    <row r="99" spans="1:8" x14ac:dyDescent="0.2">
      <c r="A99" t="s">
        <v>2879</v>
      </c>
      <c r="C99">
        <v>1010008</v>
      </c>
      <c r="D99" t="s">
        <v>6068</v>
      </c>
      <c r="E99">
        <f t="shared" si="1"/>
        <v>81</v>
      </c>
      <c r="F99">
        <f>+COUNTIF(ADV!U:W,A99)</f>
        <v>1</v>
      </c>
      <c r="G99">
        <f>+COUNTIF(ADV!Z:Z,A99)+COUNTIF(ADV!X:X,A99)+COUNTIF(ADV!Y:Y,A99)</f>
        <v>1</v>
      </c>
      <c r="H99" t="s">
        <v>6166</v>
      </c>
    </row>
    <row r="100" spans="1:8" x14ac:dyDescent="0.2">
      <c r="A100" t="s">
        <v>584</v>
      </c>
      <c r="C100">
        <v>1020002</v>
      </c>
      <c r="D100" t="s">
        <v>6068</v>
      </c>
      <c r="E100">
        <f t="shared" si="1"/>
        <v>150</v>
      </c>
      <c r="F100">
        <f>+COUNTIF(ADV!U:W,A100)</f>
        <v>1</v>
      </c>
      <c r="G100">
        <f>+COUNTIF(ADV!Z:Z,A100)+COUNTIF(ADV!X:X,A100)+COUNTIF(ADV!Y:Y,A100)</f>
        <v>0</v>
      </c>
      <c r="H100" t="s">
        <v>6167</v>
      </c>
    </row>
    <row r="101" spans="1:8" x14ac:dyDescent="0.2">
      <c r="A101" t="s">
        <v>1319</v>
      </c>
      <c r="C101">
        <v>1010044</v>
      </c>
      <c r="D101" t="s">
        <v>6068</v>
      </c>
      <c r="E101">
        <f t="shared" si="1"/>
        <v>374</v>
      </c>
      <c r="F101">
        <f>+COUNTIF(ADV!U:W,A101)</f>
        <v>1</v>
      </c>
      <c r="G101">
        <f>+COUNTIF(ADV!Z:Z,A101)+COUNTIF(ADV!X:X,A101)+COUNTIF(ADV!Y:Y,A101)</f>
        <v>0</v>
      </c>
      <c r="H101" t="s">
        <v>6168</v>
      </c>
    </row>
    <row r="102" spans="1:8" x14ac:dyDescent="0.2">
      <c r="A102" t="s">
        <v>703</v>
      </c>
      <c r="C102">
        <v>1010003</v>
      </c>
      <c r="D102" t="s">
        <v>6068</v>
      </c>
      <c r="E102">
        <f t="shared" si="1"/>
        <v>31</v>
      </c>
      <c r="F102">
        <f>+COUNTIF(ADV!U:W,A102)</f>
        <v>3</v>
      </c>
      <c r="G102">
        <f>+COUNTIF(ADV!Z:Z,A102)+COUNTIF(ADV!X:X,A102)+COUNTIF(ADV!Y:Y,A102)</f>
        <v>3</v>
      </c>
      <c r="H102" t="s">
        <v>6169</v>
      </c>
    </row>
    <row r="103" spans="1:8" x14ac:dyDescent="0.2">
      <c r="A103" t="s">
        <v>2877</v>
      </c>
      <c r="C103">
        <v>1020031</v>
      </c>
      <c r="D103" t="s">
        <v>6068</v>
      </c>
      <c r="E103">
        <f t="shared" si="1"/>
        <v>100</v>
      </c>
      <c r="F103">
        <f>+COUNTIF(ADV!U:W,A103)</f>
        <v>1</v>
      </c>
      <c r="G103">
        <f>+COUNTIF(ADV!Z:Z,A103)+COUNTIF(ADV!X:X,A103)+COUNTIF(ADV!Y:Y,A103)</f>
        <v>0</v>
      </c>
      <c r="H103" t="s">
        <v>6170</v>
      </c>
    </row>
    <row r="104" spans="1:8" x14ac:dyDescent="0.2">
      <c r="A104" t="s">
        <v>3986</v>
      </c>
      <c r="C104">
        <v>1020002</v>
      </c>
      <c r="D104" t="s">
        <v>6068</v>
      </c>
      <c r="E104">
        <f t="shared" si="1"/>
        <v>273</v>
      </c>
      <c r="F104">
        <f>+COUNTIF(ADV!U:W,A104)</f>
        <v>1</v>
      </c>
      <c r="G104">
        <f>+COUNTIF(ADV!Z:Z,A104)+COUNTIF(ADV!X:X,A104)+COUNTIF(ADV!Y:Y,A104)</f>
        <v>0</v>
      </c>
      <c r="H104" t="s">
        <v>6171</v>
      </c>
    </row>
    <row r="105" spans="1:8" x14ac:dyDescent="0.2">
      <c r="A105" t="s">
        <v>281</v>
      </c>
      <c r="C105">
        <v>1020002</v>
      </c>
      <c r="D105" t="s">
        <v>6068</v>
      </c>
      <c r="E105">
        <f t="shared" si="1"/>
        <v>270</v>
      </c>
      <c r="F105">
        <f>+COUNTIF(ADV!U:W,A105)</f>
        <v>3</v>
      </c>
      <c r="G105">
        <f>+COUNTIF(ADV!Z:Z,A105)+COUNTIF(ADV!X:X,A105)+COUNTIF(ADV!Y:Y,A105)</f>
        <v>0</v>
      </c>
      <c r="H105" t="s">
        <v>6172</v>
      </c>
    </row>
    <row r="106" spans="1:8" x14ac:dyDescent="0.2">
      <c r="A106" t="s">
        <v>282</v>
      </c>
      <c r="C106">
        <v>1010003</v>
      </c>
      <c r="D106" t="s">
        <v>6068</v>
      </c>
      <c r="E106">
        <f t="shared" si="1"/>
        <v>211</v>
      </c>
      <c r="F106">
        <f>+COUNTIF(ADV!U:W,A106)</f>
        <v>1</v>
      </c>
      <c r="G106">
        <f>+COUNTIF(ADV!Z:Z,A106)+COUNTIF(ADV!X:X,A106)+COUNTIF(ADV!Y:Y,A106)</f>
        <v>0</v>
      </c>
      <c r="H106" t="s">
        <v>6173</v>
      </c>
    </row>
    <row r="107" spans="1:8" x14ac:dyDescent="0.2">
      <c r="A107" t="s">
        <v>3801</v>
      </c>
      <c r="C107">
        <v>1010031</v>
      </c>
      <c r="D107" t="s">
        <v>6068</v>
      </c>
      <c r="E107">
        <f t="shared" si="1"/>
        <v>155</v>
      </c>
      <c r="F107">
        <f>+COUNTIF(ADV!U:W,A107)</f>
        <v>1</v>
      </c>
      <c r="G107">
        <f>+COUNTIF(ADV!Z:Z,A107)+COUNTIF(ADV!X:X,A107)+COUNTIF(ADV!Y:Y,A107)</f>
        <v>1</v>
      </c>
      <c r="H107" t="s">
        <v>6174</v>
      </c>
    </row>
    <row r="108" spans="1:8" x14ac:dyDescent="0.2">
      <c r="A108" t="s">
        <v>547</v>
      </c>
      <c r="C108">
        <v>1010162</v>
      </c>
      <c r="D108" t="s">
        <v>6068</v>
      </c>
      <c r="E108">
        <f t="shared" si="1"/>
        <v>753</v>
      </c>
      <c r="F108">
        <f>+COUNTIF(ADV!U:W,A108)</f>
        <v>1</v>
      </c>
      <c r="G108">
        <f>+COUNTIF(ADV!Z:Z,A108)+COUNTIF(ADV!X:X,A108)+COUNTIF(ADV!Y:Y,A108)</f>
        <v>1</v>
      </c>
      <c r="H108" t="s">
        <v>6175</v>
      </c>
    </row>
    <row r="109" spans="1:8" x14ac:dyDescent="0.2">
      <c r="A109" t="s">
        <v>1239</v>
      </c>
      <c r="C109">
        <v>1020014</v>
      </c>
      <c r="D109" t="s">
        <v>6068</v>
      </c>
      <c r="E109">
        <f t="shared" si="1"/>
        <v>334</v>
      </c>
      <c r="F109">
        <f>+COUNTIF(ADV!U:W,A109)</f>
        <v>1</v>
      </c>
      <c r="G109">
        <f>+COUNTIF(ADV!Z:Z,A109)+COUNTIF(ADV!X:X,A109)+COUNTIF(ADV!Y:Y,A109)</f>
        <v>1</v>
      </c>
      <c r="H109" t="s">
        <v>6176</v>
      </c>
    </row>
    <row r="110" spans="1:8" x14ac:dyDescent="0.2">
      <c r="A110" t="s">
        <v>844</v>
      </c>
      <c r="C110">
        <v>1010007</v>
      </c>
      <c r="D110" t="s">
        <v>6068</v>
      </c>
      <c r="E110">
        <f t="shared" si="1"/>
        <v>65</v>
      </c>
      <c r="F110">
        <f>+COUNTIF(ADV!U:W,A110)</f>
        <v>1</v>
      </c>
      <c r="G110">
        <f>+COUNTIF(ADV!Z:Z,A110)+COUNTIF(ADV!X:X,A110)+COUNTIF(ADV!Y:Y,A110)</f>
        <v>0</v>
      </c>
      <c r="H110" t="s">
        <v>6177</v>
      </c>
    </row>
    <row r="111" spans="1:8" x14ac:dyDescent="0.2">
      <c r="A111" t="s">
        <v>2910</v>
      </c>
      <c r="C111">
        <v>1020024</v>
      </c>
      <c r="D111" t="s">
        <v>6068</v>
      </c>
      <c r="E111">
        <f t="shared" si="1"/>
        <v>66</v>
      </c>
      <c r="F111">
        <f>+COUNTIF(ADV!U:W,A111)</f>
        <v>1</v>
      </c>
      <c r="G111">
        <f>+COUNTIF(ADV!Z:Z,A111)+COUNTIF(ADV!X:X,A111)+COUNTIF(ADV!Y:Y,A111)</f>
        <v>0</v>
      </c>
      <c r="H111" t="s">
        <v>6178</v>
      </c>
    </row>
    <row r="112" spans="1:8" x14ac:dyDescent="0.2">
      <c r="A112" t="s">
        <v>2974</v>
      </c>
      <c r="B112" s="1"/>
      <c r="C112">
        <v>1010075</v>
      </c>
      <c r="D112" t="s">
        <v>6068</v>
      </c>
      <c r="E112">
        <f t="shared" si="1"/>
        <v>52</v>
      </c>
      <c r="F112">
        <f>+COUNTIF(ADV!U:W,A112)</f>
        <v>1</v>
      </c>
      <c r="G112">
        <f>+COUNTIF(ADV!Z:Z,A112)+COUNTIF(ADV!X:X,A112)+COUNTIF(ADV!Y:Y,A112)</f>
        <v>0</v>
      </c>
      <c r="H112" t="s">
        <v>6179</v>
      </c>
    </row>
    <row r="113" spans="1:8" x14ac:dyDescent="0.2">
      <c r="A113" t="s">
        <v>3740</v>
      </c>
      <c r="C113">
        <v>1010103</v>
      </c>
      <c r="D113" t="s">
        <v>6068</v>
      </c>
      <c r="E113">
        <f t="shared" si="1"/>
        <v>243</v>
      </c>
      <c r="F113">
        <f>+COUNTIF(ADV!U:W,A113)</f>
        <v>1</v>
      </c>
      <c r="G113">
        <f>+COUNTIF(ADV!Z:Z,A113)+COUNTIF(ADV!X:X,A113)+COUNTIF(ADV!Y:Y,A113)</f>
        <v>0</v>
      </c>
      <c r="H113" t="s">
        <v>6180</v>
      </c>
    </row>
    <row r="114" spans="1:8" x14ac:dyDescent="0.2">
      <c r="A114" t="s">
        <v>401</v>
      </c>
      <c r="C114">
        <v>1010011</v>
      </c>
      <c r="D114" t="s">
        <v>6068</v>
      </c>
      <c r="E114">
        <f t="shared" si="1"/>
        <v>274</v>
      </c>
      <c r="F114">
        <f>+COUNTIF(ADV!U:W,A114)</f>
        <v>1</v>
      </c>
      <c r="G114">
        <f>+COUNTIF(ADV!Z:Z,A114)+COUNTIF(ADV!X:X,A114)+COUNTIF(ADV!Y:Y,A114)</f>
        <v>0</v>
      </c>
      <c r="H114" t="s">
        <v>6181</v>
      </c>
    </row>
    <row r="115" spans="1:8" x14ac:dyDescent="0.2">
      <c r="A115" t="s">
        <v>2434</v>
      </c>
      <c r="C115">
        <v>1010078</v>
      </c>
      <c r="D115" t="s">
        <v>6068</v>
      </c>
      <c r="E115">
        <f t="shared" si="1"/>
        <v>73</v>
      </c>
      <c r="F115">
        <f>+COUNTIF(ADV!U:W,A115)</f>
        <v>1</v>
      </c>
      <c r="G115">
        <f>+COUNTIF(ADV!Z:Z,A115)+COUNTIF(ADV!X:X,A115)+COUNTIF(ADV!Y:Y,A115)</f>
        <v>0</v>
      </c>
      <c r="H115" t="s">
        <v>6182</v>
      </c>
    </row>
    <row r="116" spans="1:8" x14ac:dyDescent="0.2">
      <c r="A116" t="s">
        <v>3785</v>
      </c>
      <c r="C116">
        <v>1010195</v>
      </c>
      <c r="D116" t="s">
        <v>6068</v>
      </c>
      <c r="E116">
        <f t="shared" si="1"/>
        <v>144</v>
      </c>
      <c r="F116">
        <f>+COUNTIF(ADV!U:W,A116)</f>
        <v>1</v>
      </c>
      <c r="G116">
        <f>+COUNTIF(ADV!Z:Z,A116)+COUNTIF(ADV!X:X,A116)+COUNTIF(ADV!Y:Y,A116)</f>
        <v>1</v>
      </c>
      <c r="H116" t="s">
        <v>6183</v>
      </c>
    </row>
    <row r="117" spans="1:8" x14ac:dyDescent="0.2">
      <c r="A117" t="s">
        <v>685</v>
      </c>
      <c r="C117">
        <v>1020002</v>
      </c>
      <c r="D117" t="s">
        <v>6068</v>
      </c>
      <c r="E117">
        <f t="shared" si="1"/>
        <v>73</v>
      </c>
      <c r="F117">
        <f>+COUNTIF(ADV!U:W,A117)</f>
        <v>1</v>
      </c>
      <c r="G117">
        <f>+COUNTIF(ADV!Z:Z,A117)+COUNTIF(ADV!X:X,A117)+COUNTIF(ADV!Y:Y,A117)</f>
        <v>0</v>
      </c>
      <c r="H117" t="s">
        <v>6184</v>
      </c>
    </row>
    <row r="118" spans="1:8" x14ac:dyDescent="0.2">
      <c r="A118" t="s">
        <v>3343</v>
      </c>
      <c r="C118">
        <v>1020002</v>
      </c>
      <c r="D118" t="s">
        <v>6068</v>
      </c>
      <c r="E118">
        <f t="shared" si="1"/>
        <v>73</v>
      </c>
      <c r="F118">
        <f>+COUNTIF(ADV!U:W,A118)</f>
        <v>2</v>
      </c>
      <c r="G118">
        <f>+COUNTIF(ADV!Z:Z,A118)+COUNTIF(ADV!X:X,A118)+COUNTIF(ADV!Y:Y,A118)</f>
        <v>1</v>
      </c>
      <c r="H118" t="s">
        <v>6185</v>
      </c>
    </row>
    <row r="119" spans="1:8" x14ac:dyDescent="0.2">
      <c r="A119" t="s">
        <v>2234</v>
      </c>
      <c r="C119">
        <v>1020004</v>
      </c>
      <c r="D119" t="s">
        <v>6068</v>
      </c>
      <c r="E119">
        <f t="shared" si="1"/>
        <v>161</v>
      </c>
      <c r="F119">
        <f>+COUNTIF(ADV!U:W,A119)</f>
        <v>1</v>
      </c>
      <c r="G119">
        <f>+COUNTIF(ADV!Z:Z,A119)+COUNTIF(ADV!X:X,A119)+COUNTIF(ADV!Y:Y,A119)</f>
        <v>0</v>
      </c>
      <c r="H119" t="s">
        <v>6186</v>
      </c>
    </row>
    <row r="120" spans="1:8" x14ac:dyDescent="0.2">
      <c r="A120" t="s">
        <v>3084</v>
      </c>
      <c r="C120">
        <v>1020029</v>
      </c>
      <c r="D120" t="s">
        <v>6068</v>
      </c>
      <c r="E120">
        <f t="shared" si="1"/>
        <v>173</v>
      </c>
      <c r="F120">
        <f>+COUNTIF(ADV!U:W,A120)</f>
        <v>1</v>
      </c>
      <c r="G120">
        <f>+COUNTIF(ADV!Z:Z,A120)+COUNTIF(ADV!X:X,A120)+COUNTIF(ADV!Y:Y,A120)</f>
        <v>0</v>
      </c>
      <c r="H120" t="s">
        <v>6187</v>
      </c>
    </row>
    <row r="121" spans="1:8" x14ac:dyDescent="0.2">
      <c r="A121" t="s">
        <v>1777</v>
      </c>
      <c r="C121">
        <v>1020029</v>
      </c>
      <c r="D121" t="s">
        <v>6068</v>
      </c>
      <c r="E121">
        <f t="shared" si="1"/>
        <v>174</v>
      </c>
      <c r="F121">
        <f>+COUNTIF(ADV!U:W,A121)</f>
        <v>1</v>
      </c>
      <c r="G121">
        <f>+COUNTIF(ADV!Z:Z,A121)+COUNTIF(ADV!X:X,A121)+COUNTIF(ADV!Y:Y,A121)</f>
        <v>0</v>
      </c>
      <c r="H121" t="s">
        <v>6188</v>
      </c>
    </row>
    <row r="122" spans="1:8" x14ac:dyDescent="0.2">
      <c r="A122" t="s">
        <v>2476</v>
      </c>
      <c r="C122">
        <v>1010012</v>
      </c>
      <c r="D122" t="s">
        <v>6068</v>
      </c>
      <c r="E122">
        <f t="shared" si="1"/>
        <v>76</v>
      </c>
      <c r="F122">
        <f>+COUNTIF(ADV!U:W,A122)</f>
        <v>1</v>
      </c>
      <c r="G122">
        <f>+COUNTIF(ADV!Z:Z,A122)+COUNTIF(ADV!X:X,A122)+COUNTIF(ADV!Y:Y,A122)</f>
        <v>0</v>
      </c>
      <c r="H122" t="s">
        <v>6189</v>
      </c>
    </row>
    <row r="123" spans="1:8" x14ac:dyDescent="0.2">
      <c r="A123" t="s">
        <v>2361</v>
      </c>
      <c r="C123">
        <v>1020003</v>
      </c>
      <c r="D123" t="s">
        <v>6068</v>
      </c>
      <c r="E123">
        <f t="shared" si="1"/>
        <v>149</v>
      </c>
      <c r="F123">
        <f>+COUNTIF(ADV!U:W,A123)</f>
        <v>1</v>
      </c>
      <c r="G123">
        <f>+COUNTIF(ADV!Z:Z,A123)+COUNTIF(ADV!X:X,A123)+COUNTIF(ADV!Y:Y,A123)</f>
        <v>0</v>
      </c>
      <c r="H123" t="s">
        <v>6190</v>
      </c>
    </row>
    <row r="124" spans="1:8" x14ac:dyDescent="0.2">
      <c r="A124" t="s">
        <v>3754</v>
      </c>
      <c r="C124">
        <v>1010072</v>
      </c>
      <c r="D124" t="s">
        <v>6068</v>
      </c>
      <c r="E124">
        <f t="shared" si="1"/>
        <v>142</v>
      </c>
      <c r="F124">
        <f>+COUNTIF(ADV!U:W,A124)</f>
        <v>1</v>
      </c>
      <c r="G124">
        <f>+COUNTIF(ADV!Z:Z,A124)+COUNTIF(ADV!X:X,A124)+COUNTIF(ADV!Y:Y,A124)</f>
        <v>1</v>
      </c>
      <c r="H124" t="s">
        <v>6191</v>
      </c>
    </row>
    <row r="125" spans="1:8" x14ac:dyDescent="0.2">
      <c r="A125" t="s">
        <v>3755</v>
      </c>
      <c r="C125">
        <v>1030022</v>
      </c>
      <c r="D125" t="s">
        <v>6068</v>
      </c>
      <c r="E125">
        <f t="shared" si="1"/>
        <v>52</v>
      </c>
      <c r="F125">
        <f>+COUNTIF(ADV!U:W,A125)</f>
        <v>1</v>
      </c>
      <c r="G125">
        <f>+COUNTIF(ADV!Z:Z,A125)+COUNTIF(ADV!X:X,A125)+COUNTIF(ADV!Y:Y,A125)</f>
        <v>0</v>
      </c>
      <c r="H125" t="s">
        <v>6192</v>
      </c>
    </row>
    <row r="126" spans="1:8" x14ac:dyDescent="0.2">
      <c r="A126" t="s">
        <v>3768</v>
      </c>
      <c r="C126">
        <v>1020010</v>
      </c>
      <c r="D126" t="s">
        <v>6068</v>
      </c>
      <c r="E126">
        <f t="shared" si="1"/>
        <v>203</v>
      </c>
      <c r="F126">
        <f>+COUNTIF(ADV!U:W,A126)</f>
        <v>1</v>
      </c>
      <c r="G126">
        <f>+COUNTIF(ADV!Z:Z,A126)+COUNTIF(ADV!X:X,A126)+COUNTIF(ADV!Y:Y,A126)</f>
        <v>0</v>
      </c>
      <c r="H126" t="s">
        <v>6193</v>
      </c>
    </row>
    <row r="127" spans="1:8" x14ac:dyDescent="0.2">
      <c r="A127" t="s">
        <v>2036</v>
      </c>
      <c r="C127">
        <v>1010013</v>
      </c>
      <c r="D127" t="s">
        <v>6068</v>
      </c>
      <c r="E127">
        <f t="shared" si="1"/>
        <v>472</v>
      </c>
      <c r="F127">
        <f>+COUNTIF(ADV!U:W,A127)</f>
        <v>1</v>
      </c>
      <c r="G127">
        <f>+COUNTIF(ADV!Z:Z,A127)+COUNTIF(ADV!X:X,A127)+COUNTIF(ADV!Y:Y,A127)</f>
        <v>0</v>
      </c>
      <c r="H127" t="s">
        <v>6194</v>
      </c>
    </row>
    <row r="128" spans="1:8" x14ac:dyDescent="0.2">
      <c r="A128" t="s">
        <v>3259</v>
      </c>
      <c r="C128">
        <v>1010012</v>
      </c>
      <c r="D128" t="s">
        <v>6068</v>
      </c>
      <c r="E128">
        <f t="shared" si="1"/>
        <v>105</v>
      </c>
      <c r="F128">
        <f>+COUNTIF(ADV!U:W,A128)</f>
        <v>1</v>
      </c>
      <c r="G128">
        <f>+COUNTIF(ADV!Z:Z,A128)+COUNTIF(ADV!X:X,A128)+COUNTIF(ADV!Y:Y,A128)</f>
        <v>0</v>
      </c>
      <c r="H128" t="s">
        <v>6195</v>
      </c>
    </row>
    <row r="129" spans="1:8" x14ac:dyDescent="0.2">
      <c r="A129" t="s">
        <v>684</v>
      </c>
      <c r="C129">
        <v>1010012</v>
      </c>
      <c r="D129" t="s">
        <v>6068</v>
      </c>
      <c r="E129">
        <f t="shared" si="1"/>
        <v>106</v>
      </c>
      <c r="F129">
        <f>+COUNTIF(ADV!U:W,A129)</f>
        <v>2</v>
      </c>
      <c r="G129">
        <f>+COUNTIF(ADV!Z:Z,A129)+COUNTIF(ADV!X:X,A129)+COUNTIF(ADV!Y:Y,A129)</f>
        <v>0</v>
      </c>
      <c r="H129" t="s">
        <v>6196</v>
      </c>
    </row>
    <row r="130" spans="1:8" x14ac:dyDescent="0.2">
      <c r="A130" t="s">
        <v>2218</v>
      </c>
      <c r="C130">
        <v>1030016</v>
      </c>
      <c r="D130" t="s">
        <v>6068</v>
      </c>
      <c r="E130">
        <f t="shared" ref="E130:E193" si="2">+LEN(H130)</f>
        <v>49</v>
      </c>
      <c r="F130">
        <f>+COUNTIF(ADV!U:W,A130)</f>
        <v>1</v>
      </c>
      <c r="G130">
        <f>+COUNTIF(ADV!Z:Z,A130)+COUNTIF(ADV!X:X,A130)+COUNTIF(ADV!Y:Y,A130)</f>
        <v>0</v>
      </c>
      <c r="H130" t="s">
        <v>6197</v>
      </c>
    </row>
    <row r="131" spans="1:8" x14ac:dyDescent="0.2">
      <c r="A131" t="s">
        <v>843</v>
      </c>
      <c r="C131">
        <v>1010137</v>
      </c>
      <c r="D131" t="s">
        <v>6068</v>
      </c>
      <c r="E131">
        <f t="shared" si="2"/>
        <v>160</v>
      </c>
      <c r="F131">
        <f>+COUNTIF(ADV!U:W,A131)</f>
        <v>1</v>
      </c>
      <c r="G131">
        <f>+COUNTIF(ADV!Z:Z,A131)+COUNTIF(ADV!X:X,A131)+COUNTIF(ADV!Y:Y,A131)</f>
        <v>0</v>
      </c>
      <c r="H131" t="s">
        <v>6198</v>
      </c>
    </row>
    <row r="132" spans="1:8" x14ac:dyDescent="0.2">
      <c r="A132" t="s">
        <v>228</v>
      </c>
      <c r="C132">
        <v>1010029</v>
      </c>
      <c r="D132" t="s">
        <v>6068</v>
      </c>
      <c r="E132">
        <f t="shared" si="2"/>
        <v>125</v>
      </c>
      <c r="F132">
        <f>+COUNTIF(ADV!U:W,A132)</f>
        <v>1</v>
      </c>
      <c r="G132">
        <f>+COUNTIF(ADV!Z:Z,A132)+COUNTIF(ADV!X:X,A132)+COUNTIF(ADV!Y:Y,A132)</f>
        <v>0</v>
      </c>
      <c r="H132" t="s">
        <v>6199</v>
      </c>
    </row>
    <row r="133" spans="1:8" x14ac:dyDescent="0.2">
      <c r="A133" t="s">
        <v>702</v>
      </c>
      <c r="C133">
        <v>1030017</v>
      </c>
      <c r="D133" t="s">
        <v>6068</v>
      </c>
      <c r="E133">
        <f t="shared" si="2"/>
        <v>364</v>
      </c>
      <c r="F133">
        <f>+COUNTIF(ADV!U:W,A133)</f>
        <v>1</v>
      </c>
      <c r="G133">
        <f>+COUNTIF(ADV!Z:Z,A133)+COUNTIF(ADV!X:X,A133)+COUNTIF(ADV!Y:Y,A133)</f>
        <v>0</v>
      </c>
      <c r="H133" t="s">
        <v>6200</v>
      </c>
    </row>
    <row r="134" spans="1:8" x14ac:dyDescent="0.2">
      <c r="A134" t="s">
        <v>701</v>
      </c>
      <c r="C134">
        <v>1010014</v>
      </c>
      <c r="D134" t="s">
        <v>6068</v>
      </c>
      <c r="E134">
        <f t="shared" si="2"/>
        <v>817</v>
      </c>
      <c r="F134">
        <f>+COUNTIF(ADV!U:W,A134)</f>
        <v>1</v>
      </c>
      <c r="G134">
        <f>+COUNTIF(ADV!Z:Z,A134)+COUNTIF(ADV!X:X,A134)+COUNTIF(ADV!Y:Y,A134)</f>
        <v>0</v>
      </c>
      <c r="H134" t="s">
        <v>6201</v>
      </c>
    </row>
    <row r="135" spans="1:8" x14ac:dyDescent="0.2">
      <c r="A135" t="s">
        <v>583</v>
      </c>
      <c r="C135">
        <v>1010022</v>
      </c>
      <c r="D135" t="s">
        <v>6068</v>
      </c>
      <c r="E135">
        <f t="shared" si="2"/>
        <v>205</v>
      </c>
      <c r="F135">
        <f>+COUNTIF(ADV!U:W,A135)</f>
        <v>1</v>
      </c>
      <c r="G135">
        <f>+COUNTIF(ADV!Z:Z,A135)+COUNTIF(ADV!X:X,A135)+COUNTIF(ADV!Y:Y,A135)</f>
        <v>0</v>
      </c>
      <c r="H135" t="s">
        <v>6202</v>
      </c>
    </row>
    <row r="136" spans="1:8" x14ac:dyDescent="0.2">
      <c r="A136" t="s">
        <v>484</v>
      </c>
      <c r="C136">
        <v>1010028</v>
      </c>
      <c r="D136" t="s">
        <v>6068</v>
      </c>
      <c r="E136">
        <f t="shared" si="2"/>
        <v>213</v>
      </c>
      <c r="F136">
        <f>+COUNTIF(ADV!U:W,A136)</f>
        <v>1</v>
      </c>
      <c r="G136">
        <f>+COUNTIF(ADV!Z:Z,A136)+COUNTIF(ADV!X:X,A136)+COUNTIF(ADV!Y:Y,A136)</f>
        <v>0</v>
      </c>
      <c r="H136" t="s">
        <v>6203</v>
      </c>
    </row>
    <row r="137" spans="1:8" x14ac:dyDescent="0.2">
      <c r="A137" t="s">
        <v>3724</v>
      </c>
      <c r="C137">
        <v>1010157</v>
      </c>
      <c r="D137" t="s">
        <v>6068</v>
      </c>
      <c r="E137">
        <f t="shared" si="2"/>
        <v>461</v>
      </c>
      <c r="F137">
        <f>+COUNTIF(ADV!U:W,A137)</f>
        <v>1</v>
      </c>
      <c r="G137">
        <f>+COUNTIF(ADV!Z:Z,A137)+COUNTIF(ADV!X:X,A137)+COUNTIF(ADV!Y:Y,A137)</f>
        <v>0</v>
      </c>
      <c r="H137" t="s">
        <v>6204</v>
      </c>
    </row>
    <row r="138" spans="1:8" x14ac:dyDescent="0.2">
      <c r="A138" t="s">
        <v>3245</v>
      </c>
      <c r="C138">
        <v>1010039</v>
      </c>
      <c r="D138" t="s">
        <v>6068</v>
      </c>
      <c r="E138">
        <f t="shared" si="2"/>
        <v>117</v>
      </c>
      <c r="F138">
        <f>+COUNTIF(ADV!U:W,A138)</f>
        <v>1</v>
      </c>
      <c r="G138">
        <f>+COUNTIF(ADV!Z:Z,A138)+COUNTIF(ADV!X:X,A138)+COUNTIF(ADV!Y:Y,A138)</f>
        <v>1</v>
      </c>
      <c r="H138" t="s">
        <v>6205</v>
      </c>
    </row>
    <row r="139" spans="1:8" x14ac:dyDescent="0.2">
      <c r="A139" t="s">
        <v>1380</v>
      </c>
      <c r="C139">
        <v>1020010</v>
      </c>
      <c r="D139" t="s">
        <v>6068</v>
      </c>
      <c r="E139">
        <f t="shared" si="2"/>
        <v>68</v>
      </c>
      <c r="F139">
        <f>+COUNTIF(ADV!U:W,A139)</f>
        <v>2</v>
      </c>
      <c r="G139">
        <f>+COUNTIF(ADV!Z:Z,A139)+COUNTIF(ADV!X:X,A139)+COUNTIF(ADV!Y:Y,A139)</f>
        <v>0</v>
      </c>
      <c r="H139" t="s">
        <v>6206</v>
      </c>
    </row>
    <row r="140" spans="1:8" x14ac:dyDescent="0.2">
      <c r="A140" t="s">
        <v>1510</v>
      </c>
      <c r="C140">
        <v>1020010</v>
      </c>
      <c r="D140" t="s">
        <v>6068</v>
      </c>
      <c r="E140">
        <f t="shared" si="2"/>
        <v>68</v>
      </c>
      <c r="F140">
        <f>+COUNTIF(ADV!U:W,A140)</f>
        <v>3</v>
      </c>
      <c r="G140">
        <f>+COUNTIF(ADV!Z:Z,A140)+COUNTIF(ADV!X:X,A140)+COUNTIF(ADV!Y:Y,A140)</f>
        <v>0</v>
      </c>
      <c r="H140" t="s">
        <v>6207</v>
      </c>
    </row>
    <row r="141" spans="1:8" x14ac:dyDescent="0.2">
      <c r="A141" t="s">
        <v>533</v>
      </c>
      <c r="C141">
        <v>1020010</v>
      </c>
      <c r="D141" t="s">
        <v>6068</v>
      </c>
      <c r="E141">
        <f t="shared" si="2"/>
        <v>68</v>
      </c>
      <c r="F141">
        <f>+COUNTIF(ADV!U:W,A141)</f>
        <v>2</v>
      </c>
      <c r="G141">
        <f>+COUNTIF(ADV!Z:Z,A141)+COUNTIF(ADV!X:X,A141)+COUNTIF(ADV!Y:Y,A141)</f>
        <v>0</v>
      </c>
      <c r="H141" t="s">
        <v>6208</v>
      </c>
    </row>
    <row r="142" spans="1:8" x14ac:dyDescent="0.2">
      <c r="A142" t="s">
        <v>517</v>
      </c>
      <c r="C142">
        <v>1020010</v>
      </c>
      <c r="D142" t="s">
        <v>6068</v>
      </c>
      <c r="E142">
        <f t="shared" si="2"/>
        <v>67</v>
      </c>
      <c r="F142">
        <f>+COUNTIF(ADV!U:W,A142)</f>
        <v>1</v>
      </c>
      <c r="G142">
        <f>+COUNTIF(ADV!Z:Z,A142)+COUNTIF(ADV!X:X,A142)+COUNTIF(ADV!Y:Y,A142)</f>
        <v>0</v>
      </c>
      <c r="H142" t="s">
        <v>6209</v>
      </c>
    </row>
    <row r="143" spans="1:8" x14ac:dyDescent="0.2">
      <c r="A143" t="s">
        <v>4043</v>
      </c>
      <c r="C143">
        <v>1040001</v>
      </c>
      <c r="D143" t="s">
        <v>6068</v>
      </c>
      <c r="E143">
        <f t="shared" si="2"/>
        <v>83</v>
      </c>
      <c r="F143">
        <f>+COUNTIF(ADV!U:W,A143)</f>
        <v>1</v>
      </c>
      <c r="G143">
        <f>+COUNTIF(ADV!Z:Z,A143)+COUNTIF(ADV!X:X,A143)+COUNTIF(ADV!Y:Y,A143)</f>
        <v>0</v>
      </c>
      <c r="H143" t="s">
        <v>6210</v>
      </c>
    </row>
    <row r="144" spans="1:8" x14ac:dyDescent="0.2">
      <c r="A144" t="s">
        <v>763</v>
      </c>
      <c r="C144">
        <v>1010094</v>
      </c>
      <c r="D144" t="s">
        <v>6068</v>
      </c>
      <c r="E144">
        <f t="shared" si="2"/>
        <v>116</v>
      </c>
      <c r="F144">
        <f>+COUNTIF(ADV!U:W,A144)</f>
        <v>1</v>
      </c>
      <c r="G144">
        <f>+COUNTIF(ADV!Z:Z,A144)+COUNTIF(ADV!X:X,A144)+COUNTIF(ADV!Y:Y,A144)</f>
        <v>0</v>
      </c>
      <c r="H144" t="s">
        <v>6211</v>
      </c>
    </row>
    <row r="145" spans="1:8" x14ac:dyDescent="0.2">
      <c r="A145" t="s">
        <v>452</v>
      </c>
      <c r="C145">
        <v>1070019</v>
      </c>
      <c r="D145" t="s">
        <v>6068</v>
      </c>
      <c r="E145">
        <f t="shared" si="2"/>
        <v>83</v>
      </c>
      <c r="F145">
        <f>+COUNTIF(ADV!U:W,A145)</f>
        <v>1</v>
      </c>
      <c r="G145">
        <f>+COUNTIF(ADV!Z:Z,A145)+COUNTIF(ADV!X:X,A145)+COUNTIF(ADV!Y:Y,A145)</f>
        <v>0</v>
      </c>
      <c r="H145" t="s">
        <v>6212</v>
      </c>
    </row>
    <row r="146" spans="1:8" x14ac:dyDescent="0.2">
      <c r="A146" t="s">
        <v>2004</v>
      </c>
      <c r="C146">
        <v>1010161</v>
      </c>
      <c r="D146" t="s">
        <v>6068</v>
      </c>
      <c r="E146">
        <f t="shared" si="2"/>
        <v>161</v>
      </c>
      <c r="F146">
        <f>+COUNTIF(ADV!U:W,A146)</f>
        <v>1</v>
      </c>
      <c r="G146">
        <f>+COUNTIF(ADV!Z:Z,A146)+COUNTIF(ADV!X:X,A146)+COUNTIF(ADV!Y:Y,A146)</f>
        <v>11</v>
      </c>
      <c r="H146" t="s">
        <v>6213</v>
      </c>
    </row>
    <row r="147" spans="1:8" x14ac:dyDescent="0.2">
      <c r="A147" t="s">
        <v>354</v>
      </c>
      <c r="C147">
        <v>1020002</v>
      </c>
      <c r="D147" t="s">
        <v>6068</v>
      </c>
      <c r="E147">
        <f t="shared" si="2"/>
        <v>63</v>
      </c>
      <c r="F147">
        <f>+COUNTIF(ADV!U:W,A147)</f>
        <v>6</v>
      </c>
      <c r="G147">
        <f>+COUNTIF(ADV!Z:Z,A147)+COUNTIF(ADV!X:X,A147)+COUNTIF(ADV!Y:Y,A147)</f>
        <v>0</v>
      </c>
      <c r="H147" t="s">
        <v>6214</v>
      </c>
    </row>
    <row r="148" spans="1:8" x14ac:dyDescent="0.2">
      <c r="A148" t="s">
        <v>2861</v>
      </c>
      <c r="C148">
        <v>1010080</v>
      </c>
      <c r="D148" t="s">
        <v>6068</v>
      </c>
      <c r="E148">
        <f t="shared" si="2"/>
        <v>152</v>
      </c>
      <c r="F148">
        <f>+COUNTIF(ADV!U:W,A148)</f>
        <v>1</v>
      </c>
      <c r="G148">
        <f>+COUNTIF(ADV!Z:Z,A148)+COUNTIF(ADV!X:X,A148)+COUNTIF(ADV!Y:Y,A148)</f>
        <v>0</v>
      </c>
      <c r="H148" t="s">
        <v>6215</v>
      </c>
    </row>
    <row r="149" spans="1:8" x14ac:dyDescent="0.2">
      <c r="A149" t="s">
        <v>2420</v>
      </c>
      <c r="C149">
        <v>1010122</v>
      </c>
      <c r="D149" t="s">
        <v>6068</v>
      </c>
      <c r="E149">
        <f t="shared" si="2"/>
        <v>560</v>
      </c>
      <c r="F149">
        <f>+COUNTIF(ADV!U:W,A149)</f>
        <v>1</v>
      </c>
      <c r="G149">
        <f>+COUNTIF(ADV!Z:Z,A149)+COUNTIF(ADV!X:X,A149)+COUNTIF(ADV!Y:Y,A149)</f>
        <v>0</v>
      </c>
      <c r="H149" t="s">
        <v>6216</v>
      </c>
    </row>
    <row r="150" spans="1:8" x14ac:dyDescent="0.2">
      <c r="A150" t="s">
        <v>4278</v>
      </c>
      <c r="C150">
        <v>1010013</v>
      </c>
      <c r="D150" t="s">
        <v>6068</v>
      </c>
      <c r="E150">
        <f t="shared" si="2"/>
        <v>685</v>
      </c>
      <c r="F150">
        <f>+COUNTIF(ADV!U:W,A150)</f>
        <v>1</v>
      </c>
      <c r="G150">
        <f>+COUNTIF(ADV!Z:Z,A150)+COUNTIF(ADV!X:X,A150)+COUNTIF(ADV!Y:Y,A150)</f>
        <v>0</v>
      </c>
      <c r="H150" t="s">
        <v>6217</v>
      </c>
    </row>
    <row r="151" spans="1:8" x14ac:dyDescent="0.2">
      <c r="A151" t="s">
        <v>1014</v>
      </c>
      <c r="C151">
        <v>1010007</v>
      </c>
      <c r="D151" t="s">
        <v>6068</v>
      </c>
      <c r="E151">
        <f t="shared" si="2"/>
        <v>94</v>
      </c>
      <c r="F151">
        <f>+COUNTIF(ADV!U:W,A151)</f>
        <v>1</v>
      </c>
      <c r="G151">
        <f>+COUNTIF(ADV!Z:Z,A151)+COUNTIF(ADV!X:X,A151)+COUNTIF(ADV!Y:Y,A151)</f>
        <v>0</v>
      </c>
      <c r="H151" t="s">
        <v>6218</v>
      </c>
    </row>
    <row r="152" spans="1:8" x14ac:dyDescent="0.2">
      <c r="A152" t="s">
        <v>2274</v>
      </c>
      <c r="C152">
        <v>1010001</v>
      </c>
      <c r="D152" t="s">
        <v>6068</v>
      </c>
      <c r="E152">
        <f t="shared" si="2"/>
        <v>37</v>
      </c>
      <c r="F152">
        <f>+COUNTIF(ADV!U:W,A152)</f>
        <v>2</v>
      </c>
      <c r="G152">
        <f>+COUNTIF(ADV!Z:Z,A152)+COUNTIF(ADV!X:X,A152)+COUNTIF(ADV!Y:Y,A152)</f>
        <v>0</v>
      </c>
      <c r="H152" t="s">
        <v>6219</v>
      </c>
    </row>
    <row r="153" spans="1:8" x14ac:dyDescent="0.2">
      <c r="A153" t="s">
        <v>336</v>
      </c>
      <c r="C153">
        <v>1010001</v>
      </c>
      <c r="D153" t="s">
        <v>6068</v>
      </c>
      <c r="E153">
        <f t="shared" si="2"/>
        <v>37</v>
      </c>
      <c r="F153">
        <f>+COUNTIF(ADV!U:W,A153)</f>
        <v>2</v>
      </c>
      <c r="G153">
        <f>+COUNTIF(ADV!Z:Z,A153)+COUNTIF(ADV!X:X,A153)+COUNTIF(ADV!Y:Y,A153)</f>
        <v>0</v>
      </c>
      <c r="H153" t="s">
        <v>6220</v>
      </c>
    </row>
    <row r="154" spans="1:8" x14ac:dyDescent="0.2">
      <c r="A154" t="s">
        <v>337</v>
      </c>
      <c r="C154">
        <v>1010001</v>
      </c>
      <c r="D154" t="s">
        <v>6068</v>
      </c>
      <c r="E154">
        <f t="shared" si="2"/>
        <v>37</v>
      </c>
      <c r="F154">
        <f>+COUNTIF(ADV!U:W,A154)</f>
        <v>1</v>
      </c>
      <c r="G154">
        <f>+COUNTIF(ADV!Z:Z,A154)+COUNTIF(ADV!X:X,A154)+COUNTIF(ADV!Y:Y,A154)</f>
        <v>3</v>
      </c>
      <c r="H154" t="s">
        <v>6221</v>
      </c>
    </row>
    <row r="155" spans="1:8" x14ac:dyDescent="0.2">
      <c r="A155" t="s">
        <v>2307</v>
      </c>
      <c r="C155">
        <v>1010092</v>
      </c>
      <c r="D155" t="s">
        <v>6068</v>
      </c>
      <c r="E155">
        <f t="shared" si="2"/>
        <v>92</v>
      </c>
      <c r="F155">
        <f>+COUNTIF(ADV!U:W,A155)</f>
        <v>1</v>
      </c>
      <c r="G155">
        <f>+COUNTIF(ADV!Z:Z,A155)+COUNTIF(ADV!X:X,A155)+COUNTIF(ADV!Y:Y,A155)</f>
        <v>0</v>
      </c>
      <c r="H155" t="s">
        <v>6222</v>
      </c>
    </row>
    <row r="156" spans="1:8" x14ac:dyDescent="0.2">
      <c r="A156" t="s">
        <v>1650</v>
      </c>
      <c r="C156">
        <v>1010001</v>
      </c>
      <c r="D156" t="s">
        <v>6068</v>
      </c>
      <c r="E156">
        <f t="shared" si="2"/>
        <v>60</v>
      </c>
      <c r="F156">
        <f>+COUNTIF(ADV!U:W,A156)</f>
        <v>1</v>
      </c>
      <c r="G156">
        <f>+COUNTIF(ADV!Z:Z,A156)+COUNTIF(ADV!X:X,A156)+COUNTIF(ADV!Y:Y,A156)</f>
        <v>0</v>
      </c>
      <c r="H156" t="s">
        <v>6223</v>
      </c>
    </row>
    <row r="157" spans="1:8" x14ac:dyDescent="0.2">
      <c r="A157" t="s">
        <v>1970</v>
      </c>
      <c r="C157">
        <v>1030003</v>
      </c>
      <c r="D157" t="s">
        <v>6068</v>
      </c>
      <c r="E157">
        <f t="shared" si="2"/>
        <v>43</v>
      </c>
      <c r="F157">
        <f>+COUNTIF(ADV!U:W,A157)</f>
        <v>23</v>
      </c>
      <c r="G157">
        <f>+COUNTIF(ADV!Z:Z,A157)+COUNTIF(ADV!X:X,A157)+COUNTIF(ADV!Y:Y,A157)</f>
        <v>0</v>
      </c>
      <c r="H157" t="s">
        <v>6224</v>
      </c>
    </row>
    <row r="158" spans="1:8" x14ac:dyDescent="0.2">
      <c r="A158" t="s">
        <v>2704</v>
      </c>
      <c r="C158">
        <v>1030003</v>
      </c>
      <c r="D158" t="s">
        <v>6068</v>
      </c>
      <c r="E158">
        <f t="shared" si="2"/>
        <v>42</v>
      </c>
      <c r="F158">
        <f>+COUNTIF(ADV!U:W,A158)</f>
        <v>1</v>
      </c>
      <c r="G158">
        <f>+COUNTIF(ADV!Z:Z,A158)+COUNTIF(ADV!X:X,A158)+COUNTIF(ADV!Y:Y,A158)</f>
        <v>0</v>
      </c>
      <c r="H158" t="s">
        <v>6225</v>
      </c>
    </row>
    <row r="159" spans="1:8" x14ac:dyDescent="0.2">
      <c r="A159" t="s">
        <v>2185</v>
      </c>
      <c r="C159">
        <v>1030003</v>
      </c>
      <c r="D159" t="s">
        <v>6068</v>
      </c>
      <c r="E159">
        <f t="shared" si="2"/>
        <v>42</v>
      </c>
      <c r="F159">
        <f>+COUNTIF(ADV!U:W,A159)</f>
        <v>4</v>
      </c>
      <c r="G159">
        <f>+COUNTIF(ADV!Z:Z,A159)+COUNTIF(ADV!X:X,A159)+COUNTIF(ADV!Y:Y,A159)</f>
        <v>0</v>
      </c>
      <c r="H159" t="s">
        <v>6226</v>
      </c>
    </row>
    <row r="160" spans="1:8" x14ac:dyDescent="0.2">
      <c r="A160" t="s">
        <v>3024</v>
      </c>
      <c r="C160">
        <v>1010006</v>
      </c>
      <c r="D160" t="s">
        <v>6068</v>
      </c>
      <c r="E160">
        <f t="shared" si="2"/>
        <v>126</v>
      </c>
      <c r="F160">
        <f>+COUNTIF(ADV!U:W,A160)</f>
        <v>1</v>
      </c>
      <c r="G160">
        <f>+COUNTIF(ADV!Z:Z,A160)+COUNTIF(ADV!X:X,A160)+COUNTIF(ADV!Y:Y,A160)</f>
        <v>0</v>
      </c>
      <c r="H160" t="s">
        <v>6227</v>
      </c>
    </row>
    <row r="161" spans="1:8" x14ac:dyDescent="0.2">
      <c r="A161" t="s">
        <v>1564</v>
      </c>
      <c r="C161">
        <v>1070013</v>
      </c>
      <c r="D161" t="s">
        <v>6068</v>
      </c>
      <c r="E161">
        <f t="shared" si="2"/>
        <v>47</v>
      </c>
      <c r="F161">
        <f>+COUNTIF(ADV!U:W,A161)</f>
        <v>1</v>
      </c>
      <c r="G161">
        <f>+COUNTIF(ADV!Z:Z,A161)+COUNTIF(ADV!X:X,A161)+COUNTIF(ADV!Y:Y,A161)</f>
        <v>0</v>
      </c>
      <c r="H161" t="s">
        <v>6228</v>
      </c>
    </row>
    <row r="162" spans="1:8" x14ac:dyDescent="0.2">
      <c r="A162" t="s">
        <v>1321</v>
      </c>
      <c r="C162">
        <v>1070013</v>
      </c>
      <c r="D162" t="s">
        <v>6068</v>
      </c>
      <c r="E162">
        <f t="shared" si="2"/>
        <v>47</v>
      </c>
      <c r="F162">
        <f>+COUNTIF(ADV!U:W,A162)</f>
        <v>1</v>
      </c>
      <c r="G162">
        <f>+COUNTIF(ADV!Z:Z,A162)+COUNTIF(ADV!X:X,A162)+COUNTIF(ADV!Y:Y,A162)</f>
        <v>1</v>
      </c>
      <c r="H162" t="s">
        <v>6229</v>
      </c>
    </row>
    <row r="163" spans="1:8" x14ac:dyDescent="0.2">
      <c r="A163" t="s">
        <v>1689</v>
      </c>
      <c r="C163">
        <v>1040009</v>
      </c>
      <c r="D163" t="s">
        <v>6068</v>
      </c>
      <c r="E163">
        <f t="shared" si="2"/>
        <v>63</v>
      </c>
      <c r="F163">
        <f>+COUNTIF(ADV!U:W,A163)</f>
        <v>1</v>
      </c>
      <c r="G163">
        <f>+COUNTIF(ADV!Z:Z,A163)+COUNTIF(ADV!X:X,A163)+COUNTIF(ADV!Y:Y,A163)</f>
        <v>0</v>
      </c>
      <c r="H163" t="s">
        <v>6230</v>
      </c>
    </row>
    <row r="164" spans="1:8" x14ac:dyDescent="0.2">
      <c r="A164" t="s">
        <v>827</v>
      </c>
      <c r="C164">
        <v>1040002</v>
      </c>
      <c r="D164" t="s">
        <v>6068</v>
      </c>
      <c r="E164">
        <f t="shared" si="2"/>
        <v>64</v>
      </c>
      <c r="F164">
        <f>+COUNTIF(ADV!U:W,A164)</f>
        <v>1</v>
      </c>
      <c r="G164">
        <f>+COUNTIF(ADV!Z:Z,A164)+COUNTIF(ADV!X:X,A164)+COUNTIF(ADV!Y:Y,A164)</f>
        <v>0</v>
      </c>
      <c r="H164" t="s">
        <v>6231</v>
      </c>
    </row>
    <row r="165" spans="1:8" x14ac:dyDescent="0.2">
      <c r="A165" t="s">
        <v>3959</v>
      </c>
      <c r="C165">
        <v>1020011</v>
      </c>
      <c r="D165" t="s">
        <v>6068</v>
      </c>
      <c r="E165">
        <f t="shared" si="2"/>
        <v>68</v>
      </c>
      <c r="F165">
        <f>+COUNTIF(ADV!U:W,A165)</f>
        <v>1</v>
      </c>
      <c r="G165">
        <f>+COUNTIF(ADV!Z:Z,A165)+COUNTIF(ADV!X:X,A165)+COUNTIF(ADV!Y:Y,A165)</f>
        <v>0</v>
      </c>
      <c r="H165" t="s">
        <v>6232</v>
      </c>
    </row>
    <row r="166" spans="1:8" x14ac:dyDescent="0.2">
      <c r="A166" t="s">
        <v>4310</v>
      </c>
      <c r="C166">
        <v>1020010</v>
      </c>
      <c r="D166" t="s">
        <v>6068</v>
      </c>
      <c r="E166">
        <f t="shared" si="2"/>
        <v>47</v>
      </c>
      <c r="F166">
        <f>+COUNTIF(ADV!U:W,A166)</f>
        <v>1</v>
      </c>
      <c r="G166">
        <f>+COUNTIF(ADV!Z:Z,A166)+COUNTIF(ADV!X:X,A166)+COUNTIF(ADV!Y:Y,A166)</f>
        <v>0</v>
      </c>
      <c r="H166" t="s">
        <v>6233</v>
      </c>
    </row>
    <row r="167" spans="1:8" x14ac:dyDescent="0.2">
      <c r="A167" t="s">
        <v>2183</v>
      </c>
      <c r="C167">
        <v>1020010</v>
      </c>
      <c r="D167" t="s">
        <v>6068</v>
      </c>
      <c r="E167">
        <f t="shared" si="2"/>
        <v>47</v>
      </c>
      <c r="F167">
        <f>+COUNTIF(ADV!U:W,A167)</f>
        <v>1</v>
      </c>
      <c r="G167">
        <f>+COUNTIF(ADV!Z:Z,A167)+COUNTIF(ADV!X:X,A167)+COUNTIF(ADV!Y:Y,A167)</f>
        <v>0</v>
      </c>
      <c r="H167" t="s">
        <v>6234</v>
      </c>
    </row>
    <row r="168" spans="1:8" x14ac:dyDescent="0.2">
      <c r="A168" t="s">
        <v>1889</v>
      </c>
      <c r="C168">
        <v>1010033</v>
      </c>
      <c r="D168" t="s">
        <v>6068</v>
      </c>
      <c r="E168">
        <f t="shared" si="2"/>
        <v>93</v>
      </c>
      <c r="F168">
        <f>+COUNTIF(ADV!U:W,A168)</f>
        <v>1</v>
      </c>
      <c r="G168">
        <f>+COUNTIF(ADV!Z:Z,A168)+COUNTIF(ADV!X:X,A168)+COUNTIF(ADV!Y:Y,A168)</f>
        <v>0</v>
      </c>
      <c r="H168" t="s">
        <v>6235</v>
      </c>
    </row>
    <row r="169" spans="1:8" x14ac:dyDescent="0.2">
      <c r="A169" t="s">
        <v>3385</v>
      </c>
      <c r="C169">
        <v>1020003</v>
      </c>
      <c r="D169" t="s">
        <v>6068</v>
      </c>
      <c r="E169">
        <f t="shared" si="2"/>
        <v>41</v>
      </c>
      <c r="F169">
        <f>+COUNTIF(ADV!U:W,A169)</f>
        <v>1</v>
      </c>
      <c r="G169">
        <f>+COUNTIF(ADV!Z:Z,A169)+COUNTIF(ADV!X:X,A169)+COUNTIF(ADV!Y:Y,A169)</f>
        <v>0</v>
      </c>
      <c r="H169" t="s">
        <v>6236</v>
      </c>
    </row>
    <row r="170" spans="1:8" x14ac:dyDescent="0.2">
      <c r="A170" t="s">
        <v>3710</v>
      </c>
      <c r="C170">
        <v>1020009</v>
      </c>
      <c r="D170" t="s">
        <v>6068</v>
      </c>
      <c r="E170">
        <f t="shared" si="2"/>
        <v>64</v>
      </c>
      <c r="F170">
        <f>+COUNTIF(ADV!U:W,A170)</f>
        <v>2</v>
      </c>
      <c r="G170">
        <f>+COUNTIF(ADV!Z:Z,A170)+COUNTIF(ADV!X:X,A170)+COUNTIF(ADV!Y:Y,A170)</f>
        <v>0</v>
      </c>
      <c r="H170" t="s">
        <v>6237</v>
      </c>
    </row>
    <row r="171" spans="1:8" x14ac:dyDescent="0.2">
      <c r="A171" t="s">
        <v>1029</v>
      </c>
      <c r="C171">
        <v>1020009</v>
      </c>
      <c r="D171" t="s">
        <v>6068</v>
      </c>
      <c r="E171">
        <f t="shared" si="2"/>
        <v>64</v>
      </c>
      <c r="F171">
        <f>+COUNTIF(ADV!U:W,A171)</f>
        <v>2</v>
      </c>
      <c r="G171">
        <f>+COUNTIF(ADV!Z:Z,A171)+COUNTIF(ADV!X:X,A171)+COUNTIF(ADV!Y:Y,A171)</f>
        <v>0</v>
      </c>
      <c r="H171" t="s">
        <v>6238</v>
      </c>
    </row>
    <row r="172" spans="1:8" x14ac:dyDescent="0.2">
      <c r="A172" t="s">
        <v>4337</v>
      </c>
      <c r="C172">
        <v>1040012</v>
      </c>
      <c r="D172" t="s">
        <v>6068</v>
      </c>
      <c r="E172">
        <f t="shared" si="2"/>
        <v>80</v>
      </c>
      <c r="F172">
        <f>+COUNTIF(ADV!U:W,A172)</f>
        <v>1</v>
      </c>
      <c r="G172">
        <f>+COUNTIF(ADV!Z:Z,A172)+COUNTIF(ADV!X:X,A172)+COUNTIF(ADV!Y:Y,A172)</f>
        <v>0</v>
      </c>
      <c r="H172" t="s">
        <v>6239</v>
      </c>
    </row>
    <row r="173" spans="1:8" x14ac:dyDescent="0.2">
      <c r="A173" t="s">
        <v>2588</v>
      </c>
      <c r="C173">
        <v>1040001</v>
      </c>
      <c r="D173" t="s">
        <v>6068</v>
      </c>
      <c r="E173">
        <f t="shared" si="2"/>
        <v>66</v>
      </c>
      <c r="F173">
        <f>+COUNTIF(ADV!U:W,A173)</f>
        <v>1</v>
      </c>
      <c r="G173">
        <f>+COUNTIF(ADV!Z:Z,A173)+COUNTIF(ADV!X:X,A173)+COUNTIF(ADV!Y:Y,A173)</f>
        <v>0</v>
      </c>
      <c r="H173" t="s">
        <v>6240</v>
      </c>
    </row>
    <row r="174" spans="1:8" x14ac:dyDescent="0.2">
      <c r="A174" t="s">
        <v>4057</v>
      </c>
      <c r="C174">
        <v>1010002</v>
      </c>
      <c r="D174" t="s">
        <v>6068</v>
      </c>
      <c r="E174">
        <f t="shared" si="2"/>
        <v>53</v>
      </c>
      <c r="F174">
        <f>+COUNTIF(ADV!U:W,A174)</f>
        <v>1</v>
      </c>
      <c r="G174">
        <f>+COUNTIF(ADV!Z:Z,A174)+COUNTIF(ADV!X:X,A174)+COUNTIF(ADV!Y:Y,A174)</f>
        <v>0</v>
      </c>
      <c r="H174" t="s">
        <v>6241</v>
      </c>
    </row>
    <row r="175" spans="1:8" x14ac:dyDescent="0.2">
      <c r="A175" t="s">
        <v>908</v>
      </c>
      <c r="C175">
        <v>1010002</v>
      </c>
      <c r="D175" t="s">
        <v>6068</v>
      </c>
      <c r="E175">
        <f t="shared" si="2"/>
        <v>53</v>
      </c>
      <c r="F175">
        <f>+COUNTIF(ADV!U:W,A175)</f>
        <v>1</v>
      </c>
      <c r="G175">
        <f>+COUNTIF(ADV!Z:Z,A175)+COUNTIF(ADV!X:X,A175)+COUNTIF(ADV!Y:Y,A175)</f>
        <v>0</v>
      </c>
      <c r="H175" t="s">
        <v>6242</v>
      </c>
    </row>
    <row r="176" spans="1:8" x14ac:dyDescent="0.2">
      <c r="A176" t="s">
        <v>2664</v>
      </c>
      <c r="C176">
        <v>1010002</v>
      </c>
      <c r="D176" t="s">
        <v>6068</v>
      </c>
      <c r="E176">
        <f t="shared" si="2"/>
        <v>53</v>
      </c>
      <c r="F176">
        <f>+COUNTIF(ADV!U:W,A176)</f>
        <v>2</v>
      </c>
      <c r="G176">
        <f>+COUNTIF(ADV!Z:Z,A176)+COUNTIF(ADV!X:X,A176)+COUNTIF(ADV!Y:Y,A176)</f>
        <v>0</v>
      </c>
      <c r="H176" t="s">
        <v>6243</v>
      </c>
    </row>
    <row r="177" spans="1:8" x14ac:dyDescent="0.2">
      <c r="A177" t="s">
        <v>3477</v>
      </c>
      <c r="C177">
        <v>1010069</v>
      </c>
      <c r="D177" t="s">
        <v>6068</v>
      </c>
      <c r="E177">
        <f t="shared" si="2"/>
        <v>89</v>
      </c>
      <c r="F177">
        <f>+COUNTIF(ADV!U:W,A177)</f>
        <v>1</v>
      </c>
      <c r="G177">
        <f>+COUNTIF(ADV!Z:Z,A177)+COUNTIF(ADV!X:X,A177)+COUNTIF(ADV!Y:Y,A177)</f>
        <v>0</v>
      </c>
      <c r="H177" t="s">
        <v>6244</v>
      </c>
    </row>
    <row r="178" spans="1:8" x14ac:dyDescent="0.2">
      <c r="A178" t="s">
        <v>2601</v>
      </c>
      <c r="C178">
        <v>1020002</v>
      </c>
      <c r="D178" t="s">
        <v>6068</v>
      </c>
      <c r="E178">
        <f t="shared" si="2"/>
        <v>42</v>
      </c>
      <c r="F178">
        <f>+COUNTIF(ADV!U:W,A178)</f>
        <v>1</v>
      </c>
      <c r="G178">
        <f>+COUNTIF(ADV!Z:Z,A178)+COUNTIF(ADV!X:X,A178)+COUNTIF(ADV!Y:Y,A178)</f>
        <v>0</v>
      </c>
      <c r="H178" t="s">
        <v>6245</v>
      </c>
    </row>
    <row r="179" spans="1:8" x14ac:dyDescent="0.2">
      <c r="A179" t="s">
        <v>923</v>
      </c>
      <c r="C179">
        <v>1020002</v>
      </c>
      <c r="D179" t="s">
        <v>6068</v>
      </c>
      <c r="E179">
        <f t="shared" si="2"/>
        <v>42</v>
      </c>
      <c r="F179">
        <f>+COUNTIF(ADV!U:W,A179)</f>
        <v>2</v>
      </c>
      <c r="G179">
        <f>+COUNTIF(ADV!Z:Z,A179)+COUNTIF(ADV!X:X,A179)+COUNTIF(ADV!Y:Y,A179)</f>
        <v>0</v>
      </c>
      <c r="H179" t="s">
        <v>6246</v>
      </c>
    </row>
    <row r="180" spans="1:8" x14ac:dyDescent="0.2">
      <c r="A180" t="s">
        <v>151</v>
      </c>
      <c r="C180">
        <v>1020002</v>
      </c>
      <c r="D180" t="s">
        <v>6068</v>
      </c>
      <c r="E180">
        <f t="shared" si="2"/>
        <v>42</v>
      </c>
      <c r="F180">
        <f>+COUNTIF(ADV!U:W,A180)</f>
        <v>1</v>
      </c>
      <c r="G180">
        <f>+COUNTIF(ADV!Z:Z,A180)+COUNTIF(ADV!X:X,A180)+COUNTIF(ADV!Y:Y,A180)</f>
        <v>0</v>
      </c>
      <c r="H180" t="s">
        <v>6247</v>
      </c>
    </row>
    <row r="181" spans="1:8" x14ac:dyDescent="0.2">
      <c r="A181" t="s">
        <v>973</v>
      </c>
      <c r="C181">
        <v>1020002</v>
      </c>
      <c r="D181" t="s">
        <v>6068</v>
      </c>
      <c r="E181">
        <f t="shared" si="2"/>
        <v>42</v>
      </c>
      <c r="F181">
        <f>+COUNTIF(ADV!U:W,A181)</f>
        <v>6</v>
      </c>
      <c r="G181">
        <f>+COUNTIF(ADV!Z:Z,A181)+COUNTIF(ADV!X:X,A181)+COUNTIF(ADV!Y:Y,A181)</f>
        <v>0</v>
      </c>
      <c r="H181" t="s">
        <v>6248</v>
      </c>
    </row>
    <row r="182" spans="1:8" x14ac:dyDescent="0.2">
      <c r="A182" t="s">
        <v>1633</v>
      </c>
      <c r="C182">
        <v>1010066</v>
      </c>
      <c r="D182" t="s">
        <v>6068</v>
      </c>
      <c r="E182">
        <f t="shared" si="2"/>
        <v>1000</v>
      </c>
      <c r="F182">
        <f>+COUNTIF(ADV!U:W,A182)</f>
        <v>1</v>
      </c>
      <c r="G182">
        <f>+COUNTIF(ADV!Z:Z,A182)+COUNTIF(ADV!X:X,A182)+COUNTIF(ADV!Y:Y,A182)</f>
        <v>0</v>
      </c>
      <c r="H182" t="s">
        <v>6249</v>
      </c>
    </row>
    <row r="183" spans="1:8" x14ac:dyDescent="0.2">
      <c r="A183" t="s">
        <v>894</v>
      </c>
      <c r="C183">
        <v>1020013</v>
      </c>
      <c r="D183" t="s">
        <v>6068</v>
      </c>
      <c r="E183">
        <f t="shared" si="2"/>
        <v>48</v>
      </c>
      <c r="F183">
        <f>+COUNTIF(ADV!U:W,A183)</f>
        <v>2</v>
      </c>
      <c r="G183">
        <f>+COUNTIF(ADV!Z:Z,A183)+COUNTIF(ADV!X:X,A183)+COUNTIF(ADV!Y:Y,A183)</f>
        <v>0</v>
      </c>
      <c r="H183" t="s">
        <v>6250</v>
      </c>
    </row>
    <row r="184" spans="1:8" x14ac:dyDescent="0.2">
      <c r="A184" t="s">
        <v>896</v>
      </c>
      <c r="C184">
        <v>1020013</v>
      </c>
      <c r="D184" t="s">
        <v>6068</v>
      </c>
      <c r="E184">
        <f t="shared" si="2"/>
        <v>48</v>
      </c>
      <c r="F184">
        <f>+COUNTIF(ADV!U:W,A184)</f>
        <v>1</v>
      </c>
      <c r="G184">
        <f>+COUNTIF(ADV!Z:Z,A184)+COUNTIF(ADV!X:X,A184)+COUNTIF(ADV!Y:Y,A184)</f>
        <v>4</v>
      </c>
      <c r="H184" t="s">
        <v>6251</v>
      </c>
    </row>
    <row r="185" spans="1:8" x14ac:dyDescent="0.2">
      <c r="A185" t="s">
        <v>1495</v>
      </c>
      <c r="C185">
        <v>1020013</v>
      </c>
      <c r="D185" t="s">
        <v>6068</v>
      </c>
      <c r="E185">
        <f t="shared" si="2"/>
        <v>47</v>
      </c>
      <c r="F185">
        <f>+COUNTIF(ADV!U:W,A185)</f>
        <v>1</v>
      </c>
      <c r="G185">
        <f>+COUNTIF(ADV!Z:Z,A185)+COUNTIF(ADV!X:X,A185)+COUNTIF(ADV!Y:Y,A185)</f>
        <v>0</v>
      </c>
      <c r="H185" t="s">
        <v>6252</v>
      </c>
    </row>
    <row r="186" spans="1:8" x14ac:dyDescent="0.2">
      <c r="A186" t="s">
        <v>1877</v>
      </c>
      <c r="C186">
        <v>1020013</v>
      </c>
      <c r="D186" t="s">
        <v>6068</v>
      </c>
      <c r="E186">
        <f t="shared" si="2"/>
        <v>47</v>
      </c>
      <c r="F186">
        <f>+COUNTIF(ADV!U:W,A186)</f>
        <v>1</v>
      </c>
      <c r="G186">
        <f>+COUNTIF(ADV!Z:Z,A186)+COUNTIF(ADV!X:X,A186)+COUNTIF(ADV!Y:Y,A186)</f>
        <v>0</v>
      </c>
      <c r="H186" t="s">
        <v>6253</v>
      </c>
    </row>
    <row r="187" spans="1:8" x14ac:dyDescent="0.2">
      <c r="A187" t="s">
        <v>3884</v>
      </c>
      <c r="C187">
        <v>1010147</v>
      </c>
      <c r="D187" t="s">
        <v>6068</v>
      </c>
      <c r="E187">
        <f t="shared" si="2"/>
        <v>957</v>
      </c>
      <c r="F187">
        <f>+COUNTIF(ADV!U:W,A187)</f>
        <v>1</v>
      </c>
      <c r="G187">
        <f>+COUNTIF(ADV!Z:Z,A187)+COUNTIF(ADV!X:X,A187)+COUNTIF(ADV!Y:Y,A187)</f>
        <v>0</v>
      </c>
      <c r="H187" t="s">
        <v>6254</v>
      </c>
    </row>
    <row r="188" spans="1:8" x14ac:dyDescent="0.2">
      <c r="A188" t="s">
        <v>667</v>
      </c>
      <c r="C188">
        <v>1020004</v>
      </c>
      <c r="D188" t="s">
        <v>6068</v>
      </c>
      <c r="E188">
        <f t="shared" si="2"/>
        <v>391</v>
      </c>
      <c r="F188">
        <f>+COUNTIF(ADV!U:W,A188)</f>
        <v>1</v>
      </c>
      <c r="G188">
        <f>+COUNTIF(ADV!Z:Z,A188)+COUNTIF(ADV!X:X,A188)+COUNTIF(ADV!Y:Y,A188)</f>
        <v>0</v>
      </c>
      <c r="H188" t="s">
        <v>6255</v>
      </c>
    </row>
    <row r="189" spans="1:8" x14ac:dyDescent="0.2">
      <c r="A189" t="s">
        <v>171</v>
      </c>
      <c r="C189">
        <v>1020033</v>
      </c>
      <c r="D189" t="s">
        <v>6068</v>
      </c>
      <c r="E189">
        <f t="shared" si="2"/>
        <v>275</v>
      </c>
      <c r="F189">
        <f>+COUNTIF(ADV!U:W,A189)</f>
        <v>1</v>
      </c>
      <c r="G189">
        <f>+COUNTIF(ADV!Z:Z,A189)+COUNTIF(ADV!X:X,A189)+COUNTIF(ADV!Y:Y,A189)</f>
        <v>0</v>
      </c>
      <c r="H189" t="s">
        <v>6256</v>
      </c>
    </row>
    <row r="190" spans="1:8" x14ac:dyDescent="0.2">
      <c r="A190" t="s">
        <v>3814</v>
      </c>
      <c r="C190">
        <v>1030041</v>
      </c>
      <c r="D190" t="s">
        <v>6068</v>
      </c>
      <c r="E190">
        <f t="shared" si="2"/>
        <v>307</v>
      </c>
      <c r="F190">
        <f>+COUNTIF(ADV!U:W,A190)</f>
        <v>1</v>
      </c>
      <c r="G190">
        <f>+COUNTIF(ADV!Z:Z,A190)+COUNTIF(ADV!X:X,A190)+COUNTIF(ADV!Y:Y,A190)</f>
        <v>0</v>
      </c>
      <c r="H190" t="s">
        <v>6257</v>
      </c>
    </row>
    <row r="191" spans="1:8" x14ac:dyDescent="0.2">
      <c r="A191" t="s">
        <v>3399</v>
      </c>
      <c r="C191">
        <v>1020002</v>
      </c>
      <c r="D191" t="s">
        <v>6068</v>
      </c>
      <c r="E191">
        <f t="shared" si="2"/>
        <v>154</v>
      </c>
      <c r="F191">
        <f>+COUNTIF(ADV!U:W,A191)</f>
        <v>1</v>
      </c>
      <c r="G191">
        <f>+COUNTIF(ADV!Z:Z,A191)+COUNTIF(ADV!X:X,A191)+COUNTIF(ADV!Y:Y,A191)</f>
        <v>0</v>
      </c>
      <c r="H191" t="s">
        <v>6258</v>
      </c>
    </row>
    <row r="192" spans="1:8" x14ac:dyDescent="0.2">
      <c r="A192" t="s">
        <v>1988</v>
      </c>
      <c r="C192">
        <v>1010097</v>
      </c>
      <c r="D192" t="s">
        <v>6068</v>
      </c>
      <c r="E192">
        <f t="shared" si="2"/>
        <v>627</v>
      </c>
      <c r="F192">
        <f>+COUNTIF(ADV!U:W,A192)</f>
        <v>1</v>
      </c>
      <c r="G192">
        <f>+COUNTIF(ADV!Z:Z,A192)+COUNTIF(ADV!X:X,A192)+COUNTIF(ADV!Y:Y,A192)</f>
        <v>0</v>
      </c>
      <c r="H192" t="s">
        <v>6259</v>
      </c>
    </row>
    <row r="193" spans="1:8" x14ac:dyDescent="0.2">
      <c r="A193" t="s">
        <v>3634</v>
      </c>
      <c r="C193">
        <v>1010007</v>
      </c>
      <c r="D193" t="s">
        <v>6068</v>
      </c>
      <c r="E193">
        <f t="shared" si="2"/>
        <v>528</v>
      </c>
      <c r="F193">
        <f>+COUNTIF(ADV!U:W,A193)</f>
        <v>1</v>
      </c>
      <c r="G193">
        <f>+COUNTIF(ADV!Z:Z,A193)+COUNTIF(ADV!X:X,A193)+COUNTIF(ADV!Y:Y,A193)</f>
        <v>0</v>
      </c>
      <c r="H193" t="s">
        <v>6260</v>
      </c>
    </row>
    <row r="194" spans="1:8" x14ac:dyDescent="0.2">
      <c r="A194" t="s">
        <v>2053</v>
      </c>
      <c r="C194">
        <v>1010011</v>
      </c>
      <c r="D194" t="s">
        <v>6068</v>
      </c>
      <c r="E194">
        <f t="shared" ref="E194:E257" si="3">+LEN(H194)</f>
        <v>138</v>
      </c>
      <c r="F194">
        <f>+COUNTIF(ADV!U:W,A194)</f>
        <v>1</v>
      </c>
      <c r="G194">
        <f>+COUNTIF(ADV!Z:Z,A194)+COUNTIF(ADV!X:X,A194)+COUNTIF(ADV!Y:Y,A194)</f>
        <v>0</v>
      </c>
      <c r="H194" t="s">
        <v>6261</v>
      </c>
    </row>
    <row r="195" spans="1:8" x14ac:dyDescent="0.2">
      <c r="A195" t="s">
        <v>2703</v>
      </c>
      <c r="C195">
        <v>1010011</v>
      </c>
      <c r="D195" t="s">
        <v>6068</v>
      </c>
      <c r="E195">
        <f t="shared" si="3"/>
        <v>123</v>
      </c>
      <c r="F195">
        <f>+COUNTIF(ADV!U:W,A195)</f>
        <v>1</v>
      </c>
      <c r="G195">
        <f>+COUNTIF(ADV!Z:Z,A195)+COUNTIF(ADV!X:X,A195)+COUNTIF(ADV!Y:Y,A195)</f>
        <v>0</v>
      </c>
      <c r="H195" t="s">
        <v>6262</v>
      </c>
    </row>
    <row r="196" spans="1:8" x14ac:dyDescent="0.2">
      <c r="A196" t="s">
        <v>1365</v>
      </c>
      <c r="C196">
        <v>1010011</v>
      </c>
      <c r="D196" t="s">
        <v>6068</v>
      </c>
      <c r="E196">
        <f t="shared" si="3"/>
        <v>140</v>
      </c>
      <c r="F196">
        <f>+COUNTIF(ADV!U:W,A196)</f>
        <v>1</v>
      </c>
      <c r="G196">
        <f>+COUNTIF(ADV!Z:Z,A196)+COUNTIF(ADV!X:X,A196)+COUNTIF(ADV!Y:Y,A196)</f>
        <v>0</v>
      </c>
      <c r="H196" t="s">
        <v>6263</v>
      </c>
    </row>
    <row r="197" spans="1:8" x14ac:dyDescent="0.2">
      <c r="A197" t="s">
        <v>3372</v>
      </c>
      <c r="C197">
        <v>1010011</v>
      </c>
      <c r="D197" t="s">
        <v>6068</v>
      </c>
      <c r="E197">
        <f t="shared" si="3"/>
        <v>123</v>
      </c>
      <c r="F197">
        <f>+COUNTIF(ADV!U:W,A197)</f>
        <v>1</v>
      </c>
      <c r="G197">
        <f>+COUNTIF(ADV!Z:Z,A197)+COUNTIF(ADV!X:X,A197)+COUNTIF(ADV!Y:Y,A197)</f>
        <v>0</v>
      </c>
      <c r="H197" t="s">
        <v>6264</v>
      </c>
    </row>
    <row r="198" spans="1:8" x14ac:dyDescent="0.2">
      <c r="A198" t="s">
        <v>369</v>
      </c>
      <c r="C198">
        <v>1010011</v>
      </c>
      <c r="D198" t="s">
        <v>6068</v>
      </c>
      <c r="E198">
        <f t="shared" si="3"/>
        <v>123</v>
      </c>
      <c r="F198">
        <f>+COUNTIF(ADV!U:W,A198)</f>
        <v>2</v>
      </c>
      <c r="G198">
        <f>+COUNTIF(ADV!Z:Z,A198)+COUNTIF(ADV!X:X,A198)+COUNTIF(ADV!Y:Y,A198)</f>
        <v>0</v>
      </c>
      <c r="H198" t="s">
        <v>6265</v>
      </c>
    </row>
    <row r="199" spans="1:8" x14ac:dyDescent="0.2">
      <c r="A199" t="s">
        <v>1465</v>
      </c>
      <c r="C199">
        <v>1010011</v>
      </c>
      <c r="D199" t="s">
        <v>6068</v>
      </c>
      <c r="E199">
        <f t="shared" si="3"/>
        <v>123</v>
      </c>
      <c r="F199">
        <f>+COUNTIF(ADV!U:W,A199)</f>
        <v>1</v>
      </c>
      <c r="G199">
        <f>+COUNTIF(ADV!Z:Z,A199)+COUNTIF(ADV!X:X,A199)+COUNTIF(ADV!Y:Y,A199)</f>
        <v>0</v>
      </c>
      <c r="H199" t="s">
        <v>6266</v>
      </c>
    </row>
    <row r="200" spans="1:8" x14ac:dyDescent="0.2">
      <c r="A200" t="s">
        <v>1820</v>
      </c>
      <c r="C200">
        <v>1010151</v>
      </c>
      <c r="D200" t="s">
        <v>6068</v>
      </c>
      <c r="E200">
        <f t="shared" si="3"/>
        <v>1154</v>
      </c>
      <c r="F200">
        <f>+COUNTIF(ADV!U:W,A200)</f>
        <v>1</v>
      </c>
      <c r="G200">
        <f>+COUNTIF(ADV!Z:Z,A200)+COUNTIF(ADV!X:X,A200)+COUNTIF(ADV!Y:Y,A200)</f>
        <v>0</v>
      </c>
      <c r="H200" t="s">
        <v>6267</v>
      </c>
    </row>
    <row r="201" spans="1:8" x14ac:dyDescent="0.2">
      <c r="A201" t="s">
        <v>1435</v>
      </c>
      <c r="C201">
        <v>1030039</v>
      </c>
      <c r="D201" t="s">
        <v>6068</v>
      </c>
      <c r="E201">
        <f t="shared" si="3"/>
        <v>319</v>
      </c>
      <c r="F201">
        <f>+COUNTIF(ADV!U:W,A201)</f>
        <v>1</v>
      </c>
      <c r="G201">
        <f>+COUNTIF(ADV!Z:Z,A201)+COUNTIF(ADV!X:X,A201)+COUNTIF(ADV!Y:Y,A201)</f>
        <v>0</v>
      </c>
      <c r="H201" t="s">
        <v>6268</v>
      </c>
    </row>
    <row r="202" spans="1:8" x14ac:dyDescent="0.2">
      <c r="A202" t="s">
        <v>4109</v>
      </c>
      <c r="C202">
        <v>1010011</v>
      </c>
      <c r="D202" t="s">
        <v>6068</v>
      </c>
      <c r="E202">
        <f t="shared" si="3"/>
        <v>90</v>
      </c>
      <c r="F202">
        <f>+COUNTIF(ADV!U:W,A202)</f>
        <v>1</v>
      </c>
      <c r="G202">
        <f>+COUNTIF(ADV!Z:Z,A202)+COUNTIF(ADV!X:X,A202)+COUNTIF(ADV!Y:Y,A202)</f>
        <v>0</v>
      </c>
      <c r="H202" t="s">
        <v>6269</v>
      </c>
    </row>
    <row r="203" spans="1:8" x14ac:dyDescent="0.2">
      <c r="A203" t="s">
        <v>1634</v>
      </c>
      <c r="C203">
        <v>1020014</v>
      </c>
      <c r="D203" t="s">
        <v>6068</v>
      </c>
      <c r="E203">
        <f t="shared" si="3"/>
        <v>72</v>
      </c>
      <c r="F203">
        <f>+COUNTIF(ADV!U:W,A203)</f>
        <v>1</v>
      </c>
      <c r="G203">
        <f>+COUNTIF(ADV!Z:Z,A203)+COUNTIF(ADV!X:X,A203)+COUNTIF(ADV!Y:Y,A203)</f>
        <v>0</v>
      </c>
      <c r="H203" t="s">
        <v>6270</v>
      </c>
    </row>
    <row r="204" spans="1:8" x14ac:dyDescent="0.2">
      <c r="A204" t="s">
        <v>2068</v>
      </c>
      <c r="C204">
        <v>1020011</v>
      </c>
      <c r="D204" t="s">
        <v>6068</v>
      </c>
      <c r="E204">
        <f t="shared" si="3"/>
        <v>76</v>
      </c>
      <c r="F204">
        <f>+COUNTIF(ADV!U:W,A204)</f>
        <v>1</v>
      </c>
      <c r="G204">
        <f>+COUNTIF(ADV!Z:Z,A204)+COUNTIF(ADV!X:X,A204)+COUNTIF(ADV!Y:Y,A204)</f>
        <v>0</v>
      </c>
      <c r="H204" t="s">
        <v>6271</v>
      </c>
    </row>
    <row r="205" spans="1:8" x14ac:dyDescent="0.2">
      <c r="A205" t="s">
        <v>3203</v>
      </c>
      <c r="C205">
        <v>1020010</v>
      </c>
      <c r="D205" t="s">
        <v>6068</v>
      </c>
      <c r="E205">
        <f t="shared" si="3"/>
        <v>55</v>
      </c>
      <c r="F205">
        <f>+COUNTIF(ADV!U:W,A205)</f>
        <v>1</v>
      </c>
      <c r="G205">
        <f>+COUNTIF(ADV!Z:Z,A205)+COUNTIF(ADV!X:X,A205)+COUNTIF(ADV!Y:Y,A205)</f>
        <v>0</v>
      </c>
      <c r="H205" t="s">
        <v>6272</v>
      </c>
    </row>
    <row r="206" spans="1:8" x14ac:dyDescent="0.2">
      <c r="A206" t="s">
        <v>3928</v>
      </c>
      <c r="C206">
        <v>1020010</v>
      </c>
      <c r="D206" t="s">
        <v>6068</v>
      </c>
      <c r="E206">
        <f t="shared" si="3"/>
        <v>55</v>
      </c>
      <c r="F206">
        <f>+COUNTIF(ADV!U:W,A206)</f>
        <v>1</v>
      </c>
      <c r="G206">
        <f>+COUNTIF(ADV!Z:Z,A206)+COUNTIF(ADV!X:X,A206)+COUNTIF(ADV!Y:Y,A206)</f>
        <v>0</v>
      </c>
      <c r="H206" t="s">
        <v>6273</v>
      </c>
    </row>
    <row r="207" spans="1:8" x14ac:dyDescent="0.2">
      <c r="A207" t="s">
        <v>734</v>
      </c>
      <c r="C207">
        <v>1020010</v>
      </c>
      <c r="D207" t="s">
        <v>6068</v>
      </c>
      <c r="E207">
        <f t="shared" si="3"/>
        <v>54</v>
      </c>
      <c r="F207">
        <f>+COUNTIF(ADV!U:W,A207)</f>
        <v>2</v>
      </c>
      <c r="G207">
        <f>+COUNTIF(ADV!Z:Z,A207)+COUNTIF(ADV!X:X,A207)+COUNTIF(ADV!Y:Y,A207)</f>
        <v>0</v>
      </c>
      <c r="H207" t="s">
        <v>6274</v>
      </c>
    </row>
    <row r="208" spans="1:8" x14ac:dyDescent="0.2">
      <c r="A208" t="s">
        <v>2475</v>
      </c>
      <c r="C208">
        <v>1020003</v>
      </c>
      <c r="D208" t="s">
        <v>6068</v>
      </c>
      <c r="E208">
        <f t="shared" si="3"/>
        <v>49</v>
      </c>
      <c r="F208">
        <f>+COUNTIF(ADV!U:W,A208)</f>
        <v>1</v>
      </c>
      <c r="G208">
        <f>+COUNTIF(ADV!Z:Z,A208)+COUNTIF(ADV!X:X,A208)+COUNTIF(ADV!Y:Y,A208)</f>
        <v>0</v>
      </c>
      <c r="H208" t="s">
        <v>6275</v>
      </c>
    </row>
    <row r="209" spans="1:8" x14ac:dyDescent="0.2">
      <c r="A209" t="s">
        <v>1124</v>
      </c>
      <c r="C209">
        <v>1020003</v>
      </c>
      <c r="D209" t="s">
        <v>6068</v>
      </c>
      <c r="E209">
        <f t="shared" si="3"/>
        <v>49</v>
      </c>
      <c r="F209">
        <f>+COUNTIF(ADV!U:W,A209)</f>
        <v>2</v>
      </c>
      <c r="G209">
        <f>+COUNTIF(ADV!Z:Z,A209)+COUNTIF(ADV!X:X,A209)+COUNTIF(ADV!Y:Y,A209)</f>
        <v>0</v>
      </c>
      <c r="H209" t="s">
        <v>6276</v>
      </c>
    </row>
    <row r="210" spans="1:8" x14ac:dyDescent="0.2">
      <c r="A210" t="s">
        <v>4499</v>
      </c>
      <c r="C210">
        <v>1020003</v>
      </c>
      <c r="D210" t="s">
        <v>6068</v>
      </c>
      <c r="E210">
        <f t="shared" si="3"/>
        <v>49</v>
      </c>
      <c r="F210">
        <f>+COUNTIF(ADV!U:W,A210)</f>
        <v>1</v>
      </c>
      <c r="G210">
        <f>+COUNTIF(ADV!Z:Z,A210)+COUNTIF(ADV!X:X,A210)+COUNTIF(ADV!Y:Y,A210)</f>
        <v>0</v>
      </c>
      <c r="H210" t="s">
        <v>6277</v>
      </c>
    </row>
    <row r="211" spans="1:8" x14ac:dyDescent="0.2">
      <c r="A211" t="s">
        <v>3272</v>
      </c>
      <c r="C211">
        <v>1020003</v>
      </c>
      <c r="D211" t="s">
        <v>6068</v>
      </c>
      <c r="E211">
        <f t="shared" si="3"/>
        <v>48</v>
      </c>
      <c r="F211">
        <f>+COUNTIF(ADV!U:W,A211)</f>
        <v>1</v>
      </c>
      <c r="G211">
        <f>+COUNTIF(ADV!Z:Z,A211)+COUNTIF(ADV!X:X,A211)+COUNTIF(ADV!Y:Y,A211)</f>
        <v>0</v>
      </c>
      <c r="H211" t="s">
        <v>6278</v>
      </c>
    </row>
    <row r="212" spans="1:8" x14ac:dyDescent="0.2">
      <c r="A212" t="s">
        <v>3522</v>
      </c>
      <c r="C212">
        <v>1010136</v>
      </c>
      <c r="D212" t="s">
        <v>6068</v>
      </c>
      <c r="E212">
        <f t="shared" si="3"/>
        <v>99</v>
      </c>
      <c r="F212">
        <f>+COUNTIF(ADV!U:W,A212)</f>
        <v>1</v>
      </c>
      <c r="G212">
        <f>+COUNTIF(ADV!Z:Z,A212)+COUNTIF(ADV!X:X,A212)+COUNTIF(ADV!Y:Y,A212)</f>
        <v>0</v>
      </c>
      <c r="H212" t="s">
        <v>6279</v>
      </c>
    </row>
    <row r="213" spans="1:8" x14ac:dyDescent="0.2">
      <c r="A213" t="s">
        <v>1850</v>
      </c>
      <c r="C213">
        <v>1020009</v>
      </c>
      <c r="D213" t="s">
        <v>6068</v>
      </c>
      <c r="E213">
        <f t="shared" si="3"/>
        <v>72</v>
      </c>
      <c r="F213">
        <f>+COUNTIF(ADV!U:W,A213)</f>
        <v>1</v>
      </c>
      <c r="G213">
        <f>+COUNTIF(ADV!Z:Z,A213)+COUNTIF(ADV!X:X,A213)+COUNTIF(ADV!Y:Y,A213)</f>
        <v>0</v>
      </c>
      <c r="H213" t="s">
        <v>6280</v>
      </c>
    </row>
    <row r="214" spans="1:8" x14ac:dyDescent="0.2">
      <c r="A214" t="s">
        <v>2746</v>
      </c>
      <c r="C214">
        <v>1020009</v>
      </c>
      <c r="D214" t="s">
        <v>6068</v>
      </c>
      <c r="E214">
        <f t="shared" si="3"/>
        <v>72</v>
      </c>
      <c r="F214">
        <f>+COUNTIF(ADV!U:W,A214)</f>
        <v>1</v>
      </c>
      <c r="G214">
        <f>+COUNTIF(ADV!Z:Z,A214)+COUNTIF(ADV!X:X,A214)+COUNTIF(ADV!Y:Y,A214)</f>
        <v>0</v>
      </c>
      <c r="H214" t="s">
        <v>6281</v>
      </c>
    </row>
    <row r="215" spans="1:8" x14ac:dyDescent="0.2">
      <c r="A215" t="s">
        <v>1420</v>
      </c>
      <c r="C215">
        <v>1010139</v>
      </c>
      <c r="D215" t="s">
        <v>6068</v>
      </c>
      <c r="E215">
        <f t="shared" si="3"/>
        <v>95</v>
      </c>
      <c r="F215">
        <f>+COUNTIF(ADV!U:W,A215)</f>
        <v>1</v>
      </c>
      <c r="G215">
        <f>+COUNTIF(ADV!Z:Z,A215)+COUNTIF(ADV!X:X,A215)+COUNTIF(ADV!Y:Y,A215)</f>
        <v>0</v>
      </c>
      <c r="H215" t="s">
        <v>6282</v>
      </c>
    </row>
    <row r="216" spans="1:8" x14ac:dyDescent="0.2">
      <c r="A216" t="s">
        <v>3007</v>
      </c>
      <c r="C216">
        <v>1010002</v>
      </c>
      <c r="D216" t="s">
        <v>6068</v>
      </c>
      <c r="E216">
        <f t="shared" si="3"/>
        <v>61</v>
      </c>
      <c r="F216">
        <f>+COUNTIF(ADV!U:W,A216)</f>
        <v>1</v>
      </c>
      <c r="G216">
        <f>+COUNTIF(ADV!Z:Z,A216)+COUNTIF(ADV!X:X,A216)+COUNTIF(ADV!Y:Y,A216)</f>
        <v>0</v>
      </c>
      <c r="H216" t="s">
        <v>6283</v>
      </c>
    </row>
    <row r="217" spans="1:8" x14ac:dyDescent="0.2">
      <c r="A217" t="s">
        <v>1044</v>
      </c>
      <c r="C217">
        <v>1010002</v>
      </c>
      <c r="D217" t="s">
        <v>6068</v>
      </c>
      <c r="E217">
        <f t="shared" si="3"/>
        <v>61</v>
      </c>
      <c r="F217">
        <f>+COUNTIF(ADV!U:W,A217)</f>
        <v>2</v>
      </c>
      <c r="G217">
        <f>+COUNTIF(ADV!Z:Z,A217)+COUNTIF(ADV!X:X,A217)+COUNTIF(ADV!Y:Y,A217)</f>
        <v>0</v>
      </c>
      <c r="H217" t="s">
        <v>6284</v>
      </c>
    </row>
    <row r="218" spans="1:8" x14ac:dyDescent="0.2">
      <c r="A218" t="s">
        <v>3123</v>
      </c>
      <c r="C218">
        <v>1020004</v>
      </c>
      <c r="D218" t="s">
        <v>6068</v>
      </c>
      <c r="E218">
        <f t="shared" si="3"/>
        <v>62</v>
      </c>
      <c r="F218">
        <f>+COUNTIF(ADV!U:W,A218)</f>
        <v>2</v>
      </c>
      <c r="G218">
        <f>+COUNTIF(ADV!Z:Z,A218)+COUNTIF(ADV!X:X,A218)+COUNTIF(ADV!Y:Y,A218)</f>
        <v>0</v>
      </c>
      <c r="H218" t="s">
        <v>6285</v>
      </c>
    </row>
    <row r="219" spans="1:8" x14ac:dyDescent="0.2">
      <c r="A219" t="s">
        <v>1563</v>
      </c>
      <c r="C219">
        <v>1020002</v>
      </c>
      <c r="D219" t="s">
        <v>6068</v>
      </c>
      <c r="E219">
        <f t="shared" si="3"/>
        <v>50</v>
      </c>
      <c r="F219">
        <f>+COUNTIF(ADV!U:W,A219)</f>
        <v>4</v>
      </c>
      <c r="G219">
        <f>+COUNTIF(ADV!Z:Z,A219)+COUNTIF(ADV!X:X,A219)+COUNTIF(ADV!Y:Y,A219)</f>
        <v>0</v>
      </c>
      <c r="H219" t="s">
        <v>6286</v>
      </c>
    </row>
    <row r="220" spans="1:8" x14ac:dyDescent="0.2">
      <c r="A220" t="s">
        <v>2813</v>
      </c>
      <c r="C220">
        <v>1020002</v>
      </c>
      <c r="D220" t="s">
        <v>6068</v>
      </c>
      <c r="E220">
        <f t="shared" si="3"/>
        <v>50</v>
      </c>
      <c r="F220">
        <f>+COUNTIF(ADV!U:W,A220)</f>
        <v>1</v>
      </c>
      <c r="G220">
        <f>+COUNTIF(ADV!Z:Z,A220)+COUNTIF(ADV!X:X,A220)+COUNTIF(ADV!Y:Y,A220)</f>
        <v>0</v>
      </c>
      <c r="H220" t="s">
        <v>6287</v>
      </c>
    </row>
    <row r="221" spans="1:8" x14ac:dyDescent="0.2">
      <c r="A221" t="s">
        <v>264</v>
      </c>
      <c r="C221">
        <v>1020002</v>
      </c>
      <c r="D221" t="s">
        <v>6068</v>
      </c>
      <c r="E221">
        <f t="shared" si="3"/>
        <v>50</v>
      </c>
      <c r="F221">
        <f>+COUNTIF(ADV!U:W,A221)</f>
        <v>3</v>
      </c>
      <c r="G221">
        <f>+COUNTIF(ADV!Z:Z,A221)+COUNTIF(ADV!X:X,A221)+COUNTIF(ADV!Y:Y,A221)</f>
        <v>0</v>
      </c>
      <c r="H221" t="s">
        <v>6288</v>
      </c>
    </row>
    <row r="222" spans="1:8" x14ac:dyDescent="0.2">
      <c r="A222" t="s">
        <v>780</v>
      </c>
      <c r="C222">
        <v>1020030</v>
      </c>
      <c r="D222" t="s">
        <v>6068</v>
      </c>
      <c r="E222">
        <f t="shared" si="3"/>
        <v>73</v>
      </c>
      <c r="F222">
        <f>+COUNTIF(ADV!U:W,A222)</f>
        <v>4</v>
      </c>
      <c r="G222">
        <f>+COUNTIF(ADV!Z:Z,A222)+COUNTIF(ADV!X:X,A222)+COUNTIF(ADV!Y:Y,A222)</f>
        <v>0</v>
      </c>
      <c r="H222" t="s">
        <v>6289</v>
      </c>
    </row>
    <row r="223" spans="1:8" x14ac:dyDescent="0.2">
      <c r="A223" t="s">
        <v>3202</v>
      </c>
      <c r="C223">
        <v>1010098</v>
      </c>
      <c r="D223" t="s">
        <v>6068</v>
      </c>
      <c r="E223">
        <f t="shared" si="3"/>
        <v>426</v>
      </c>
      <c r="F223">
        <f>+COUNTIF(ADV!U:W,A223)</f>
        <v>1</v>
      </c>
      <c r="G223">
        <f>+COUNTIF(ADV!Z:Z,A223)+COUNTIF(ADV!X:X,A223)+COUNTIF(ADV!Y:Y,A223)</f>
        <v>0</v>
      </c>
      <c r="H223" t="s">
        <v>6290</v>
      </c>
    </row>
    <row r="224" spans="1:8" x14ac:dyDescent="0.2">
      <c r="A224" t="s">
        <v>2975</v>
      </c>
      <c r="C224">
        <v>1020022</v>
      </c>
      <c r="D224" t="s">
        <v>6068</v>
      </c>
      <c r="E224">
        <f t="shared" si="3"/>
        <v>185</v>
      </c>
      <c r="F224">
        <f>+COUNTIF(ADV!U:W,A224)</f>
        <v>1</v>
      </c>
      <c r="G224">
        <f>+COUNTIF(ADV!Z:Z,A224)+COUNTIF(ADV!X:X,A224)+COUNTIF(ADV!Y:Y,A224)</f>
        <v>0</v>
      </c>
      <c r="H224" t="s">
        <v>6291</v>
      </c>
    </row>
    <row r="225" spans="1:8" x14ac:dyDescent="0.2">
      <c r="A225" t="s">
        <v>1720</v>
      </c>
      <c r="C225">
        <v>1030023</v>
      </c>
      <c r="D225" t="s">
        <v>6068</v>
      </c>
      <c r="E225">
        <f t="shared" si="3"/>
        <v>51</v>
      </c>
      <c r="F225">
        <f>+COUNTIF(ADV!U:W,A225)</f>
        <v>1</v>
      </c>
      <c r="G225">
        <f>+COUNTIF(ADV!Z:Z,A225)+COUNTIF(ADV!X:X,A225)+COUNTIF(ADV!Y:Y,A225)</f>
        <v>0</v>
      </c>
      <c r="H225" t="s">
        <v>6143</v>
      </c>
    </row>
    <row r="226" spans="1:8" x14ac:dyDescent="0.2">
      <c r="A226" t="s">
        <v>2909</v>
      </c>
      <c r="C226">
        <v>1010001</v>
      </c>
      <c r="D226" t="s">
        <v>6068</v>
      </c>
      <c r="E226">
        <f t="shared" si="3"/>
        <v>341</v>
      </c>
      <c r="F226">
        <f>+COUNTIF(ADV!U:W,A226)</f>
        <v>1</v>
      </c>
      <c r="G226">
        <f>+COUNTIF(ADV!Z:Z,A226)+COUNTIF(ADV!X:X,A226)+COUNTIF(ADV!Y:Y,A226)</f>
        <v>0</v>
      </c>
      <c r="H226" t="s">
        <v>6292</v>
      </c>
    </row>
    <row r="227" spans="1:8" x14ac:dyDescent="0.2">
      <c r="A227" t="s">
        <v>3187</v>
      </c>
      <c r="C227">
        <v>1030022</v>
      </c>
      <c r="D227" t="s">
        <v>6068</v>
      </c>
      <c r="E227">
        <f t="shared" si="3"/>
        <v>52</v>
      </c>
      <c r="F227">
        <f>+COUNTIF(ADV!U:W,A227)</f>
        <v>1</v>
      </c>
      <c r="G227">
        <f>+COUNTIF(ADV!Z:Z,A227)+COUNTIF(ADV!X:X,A227)+COUNTIF(ADV!Y:Y,A227)</f>
        <v>0</v>
      </c>
      <c r="H227" t="s">
        <v>6192</v>
      </c>
    </row>
    <row r="228" spans="1:8" x14ac:dyDescent="0.2">
      <c r="A228" t="s">
        <v>2812</v>
      </c>
      <c r="C228">
        <v>1010120</v>
      </c>
      <c r="D228" t="s">
        <v>6068</v>
      </c>
      <c r="E228">
        <f t="shared" si="3"/>
        <v>394</v>
      </c>
      <c r="F228">
        <f>+COUNTIF(ADV!U:W,A228)</f>
        <v>1</v>
      </c>
      <c r="G228">
        <f>+COUNTIF(ADV!Z:Z,A228)+COUNTIF(ADV!X:X,A228)+COUNTIF(ADV!Y:Y,A228)</f>
        <v>0</v>
      </c>
      <c r="H228" t="s">
        <v>6293</v>
      </c>
    </row>
    <row r="229" spans="1:8" x14ac:dyDescent="0.2">
      <c r="A229" t="s">
        <v>2348</v>
      </c>
      <c r="C229">
        <v>1020010</v>
      </c>
      <c r="D229" t="s">
        <v>6068</v>
      </c>
      <c r="E229">
        <f t="shared" si="3"/>
        <v>210</v>
      </c>
      <c r="F229">
        <f>+COUNTIF(ADV!U:W,A229)</f>
        <v>1</v>
      </c>
      <c r="G229">
        <f>+COUNTIF(ADV!Z:Z,A229)+COUNTIF(ADV!X:X,A229)+COUNTIF(ADV!Y:Y,A229)</f>
        <v>0</v>
      </c>
      <c r="H229" t="s">
        <v>6294</v>
      </c>
    </row>
    <row r="230" spans="1:8" x14ac:dyDescent="0.2">
      <c r="A230" t="s">
        <v>893</v>
      </c>
      <c r="C230">
        <v>1010027</v>
      </c>
      <c r="D230" t="s">
        <v>6068</v>
      </c>
      <c r="E230">
        <f t="shared" si="3"/>
        <v>176</v>
      </c>
      <c r="F230">
        <f>+COUNTIF(ADV!U:W,A230)</f>
        <v>1</v>
      </c>
      <c r="G230">
        <f>+COUNTIF(ADV!Z:Z,A230)+COUNTIF(ADV!X:X,A230)+COUNTIF(ADV!Y:Y,A230)</f>
        <v>0</v>
      </c>
      <c r="H230" t="s">
        <v>6295</v>
      </c>
    </row>
    <row r="231" spans="1:8" x14ac:dyDescent="0.2">
      <c r="A231" t="s">
        <v>3316</v>
      </c>
      <c r="C231">
        <v>1020034</v>
      </c>
      <c r="D231" t="s">
        <v>6068</v>
      </c>
      <c r="E231">
        <f t="shared" si="3"/>
        <v>458</v>
      </c>
      <c r="F231">
        <f>+COUNTIF(ADV!U:W,A231)</f>
        <v>1</v>
      </c>
      <c r="G231">
        <f>+COUNTIF(ADV!Z:Z,A231)+COUNTIF(ADV!X:X,A231)+COUNTIF(ADV!Y:Y,A231)</f>
        <v>0</v>
      </c>
      <c r="H231" t="s">
        <v>6296</v>
      </c>
    </row>
    <row r="232" spans="1:8" x14ac:dyDescent="0.2">
      <c r="A232" t="s">
        <v>209</v>
      </c>
      <c r="C232">
        <v>1020026</v>
      </c>
      <c r="D232" t="s">
        <v>6068</v>
      </c>
      <c r="E232">
        <f t="shared" si="3"/>
        <v>214</v>
      </c>
      <c r="F232">
        <f>+COUNTIF(ADV!U:W,A232)</f>
        <v>1</v>
      </c>
      <c r="G232">
        <f>+COUNTIF(ADV!Z:Z,A232)+COUNTIF(ADV!X:X,A232)+COUNTIF(ADV!Y:Y,A232)</f>
        <v>0</v>
      </c>
      <c r="H232" t="s">
        <v>6297</v>
      </c>
    </row>
    <row r="233" spans="1:8" x14ac:dyDescent="0.2">
      <c r="A233" t="s">
        <v>1538</v>
      </c>
      <c r="C233">
        <v>1020027</v>
      </c>
      <c r="D233" t="s">
        <v>6068</v>
      </c>
      <c r="E233">
        <f t="shared" si="3"/>
        <v>199</v>
      </c>
      <c r="F233">
        <f>+COUNTIF(ADV!U:W,A233)</f>
        <v>1</v>
      </c>
      <c r="G233">
        <f>+COUNTIF(ADV!Z:Z,A233)+COUNTIF(ADV!X:X,A233)+COUNTIF(ADV!Y:Y,A233)</f>
        <v>0</v>
      </c>
      <c r="H233" t="s">
        <v>6298</v>
      </c>
    </row>
    <row r="234" spans="1:8" x14ac:dyDescent="0.2">
      <c r="A234" t="s">
        <v>2895</v>
      </c>
      <c r="C234">
        <v>1020025</v>
      </c>
      <c r="D234" t="s">
        <v>6068</v>
      </c>
      <c r="E234">
        <f t="shared" si="3"/>
        <v>151</v>
      </c>
      <c r="F234">
        <f>+COUNTIF(ADV!U:W,A234)</f>
        <v>1</v>
      </c>
      <c r="G234">
        <f>+COUNTIF(ADV!Z:Z,A234)+COUNTIF(ADV!X:X,A234)+COUNTIF(ADV!Y:Y,A234)</f>
        <v>0</v>
      </c>
      <c r="H234" t="s">
        <v>6299</v>
      </c>
    </row>
    <row r="235" spans="1:8" x14ac:dyDescent="0.2">
      <c r="A235" t="s">
        <v>748</v>
      </c>
      <c r="C235">
        <v>1020003</v>
      </c>
      <c r="D235" t="s">
        <v>6068</v>
      </c>
      <c r="E235">
        <f t="shared" si="3"/>
        <v>75</v>
      </c>
      <c r="F235">
        <f>+COUNTIF(ADV!U:W,A235)</f>
        <v>1</v>
      </c>
      <c r="G235">
        <f>+COUNTIF(ADV!Z:Z,A235)+COUNTIF(ADV!X:X,A235)+COUNTIF(ADV!Y:Y,A235)</f>
        <v>0</v>
      </c>
      <c r="H235" t="s">
        <v>6300</v>
      </c>
    </row>
    <row r="236" spans="1:8" x14ac:dyDescent="0.2">
      <c r="A236" t="s">
        <v>2939</v>
      </c>
      <c r="C236">
        <v>1020003</v>
      </c>
      <c r="D236" t="s">
        <v>6068</v>
      </c>
      <c r="E236">
        <f t="shared" si="3"/>
        <v>74</v>
      </c>
      <c r="F236">
        <f>+COUNTIF(ADV!U:W,A236)</f>
        <v>2</v>
      </c>
      <c r="G236">
        <f>+COUNTIF(ADV!Z:Z,A236)+COUNTIF(ADV!X:X,A236)+COUNTIF(ADV!Y:Y,A236)</f>
        <v>0</v>
      </c>
      <c r="H236" t="s">
        <v>6301</v>
      </c>
    </row>
    <row r="237" spans="1:8" x14ac:dyDescent="0.2">
      <c r="A237" t="s">
        <v>616</v>
      </c>
      <c r="C237">
        <v>1020003</v>
      </c>
      <c r="D237" t="s">
        <v>6068</v>
      </c>
      <c r="E237">
        <f t="shared" si="3"/>
        <v>74</v>
      </c>
      <c r="F237">
        <f>+COUNTIF(ADV!U:W,A237)</f>
        <v>1</v>
      </c>
      <c r="G237">
        <f>+COUNTIF(ADV!Z:Z,A237)+COUNTIF(ADV!X:X,A237)+COUNTIF(ADV!Y:Y,A237)</f>
        <v>0</v>
      </c>
      <c r="H237" t="s">
        <v>6302</v>
      </c>
    </row>
    <row r="238" spans="1:8" x14ac:dyDescent="0.2">
      <c r="A238" t="s">
        <v>4425</v>
      </c>
      <c r="C238">
        <v>1020028</v>
      </c>
      <c r="D238" t="s">
        <v>6068</v>
      </c>
      <c r="E238">
        <f t="shared" si="3"/>
        <v>194</v>
      </c>
      <c r="F238">
        <f>+COUNTIF(ADV!U:W,A238)</f>
        <v>1</v>
      </c>
      <c r="G238">
        <f>+COUNTIF(ADV!Z:Z,A238)+COUNTIF(ADV!X:X,A238)+COUNTIF(ADV!Y:Y,A238)</f>
        <v>0</v>
      </c>
      <c r="H238" t="s">
        <v>6303</v>
      </c>
    </row>
    <row r="239" spans="1:8" x14ac:dyDescent="0.2">
      <c r="A239" t="s">
        <v>3447</v>
      </c>
      <c r="C239">
        <v>1020002</v>
      </c>
      <c r="D239" t="s">
        <v>6068</v>
      </c>
      <c r="E239">
        <f t="shared" si="3"/>
        <v>75</v>
      </c>
      <c r="F239">
        <f>+COUNTIF(ADV!U:W,A239)</f>
        <v>2</v>
      </c>
      <c r="G239">
        <f>+COUNTIF(ADV!Z:Z,A239)+COUNTIF(ADV!X:X,A239)+COUNTIF(ADV!Y:Y,A239)</f>
        <v>0</v>
      </c>
      <c r="H239" t="s">
        <v>6304</v>
      </c>
    </row>
    <row r="240" spans="1:8" x14ac:dyDescent="0.2">
      <c r="A240" t="s">
        <v>1260</v>
      </c>
      <c r="C240">
        <v>1020002</v>
      </c>
      <c r="D240" t="s">
        <v>6068</v>
      </c>
      <c r="E240">
        <f t="shared" si="3"/>
        <v>75</v>
      </c>
      <c r="F240">
        <f>+COUNTIF(ADV!U:W,A240)</f>
        <v>2</v>
      </c>
      <c r="G240">
        <f>+COUNTIF(ADV!Z:Z,A240)+COUNTIF(ADV!X:X,A240)+COUNTIF(ADV!Y:Y,A240)</f>
        <v>0</v>
      </c>
      <c r="H240" t="s">
        <v>6305</v>
      </c>
    </row>
    <row r="241" spans="1:8" x14ac:dyDescent="0.2">
      <c r="A241" t="s">
        <v>634</v>
      </c>
      <c r="C241">
        <v>1020002</v>
      </c>
      <c r="D241" t="s">
        <v>6068</v>
      </c>
      <c r="E241">
        <f t="shared" si="3"/>
        <v>75</v>
      </c>
      <c r="F241">
        <f>+COUNTIF(ADV!U:W,A241)</f>
        <v>3</v>
      </c>
      <c r="G241">
        <f>+COUNTIF(ADV!Z:Z,A241)+COUNTIF(ADV!X:X,A241)+COUNTIF(ADV!Y:Y,A241)</f>
        <v>0</v>
      </c>
      <c r="H241" t="s">
        <v>6306</v>
      </c>
    </row>
    <row r="242" spans="1:8" x14ac:dyDescent="0.2">
      <c r="A242" t="s">
        <v>1604</v>
      </c>
      <c r="C242">
        <v>1010011</v>
      </c>
      <c r="D242" t="s">
        <v>6068</v>
      </c>
      <c r="E242">
        <f t="shared" si="3"/>
        <v>122</v>
      </c>
      <c r="F242">
        <f>+COUNTIF(ADV!U:W,A242)</f>
        <v>1</v>
      </c>
      <c r="G242">
        <f>+COUNTIF(ADV!Z:Z,A242)+COUNTIF(ADV!X:X,A242)+COUNTIF(ADV!Y:Y,A242)</f>
        <v>0</v>
      </c>
      <c r="H242" t="s">
        <v>6307</v>
      </c>
    </row>
    <row r="243" spans="1:8" x14ac:dyDescent="0.2">
      <c r="A243" t="s">
        <v>1904</v>
      </c>
      <c r="C243">
        <v>1010011</v>
      </c>
      <c r="D243" t="s">
        <v>6068</v>
      </c>
      <c r="E243">
        <f t="shared" si="3"/>
        <v>122</v>
      </c>
      <c r="F243">
        <f>+COUNTIF(ADV!U:W,A243)</f>
        <v>1</v>
      </c>
      <c r="G243">
        <f>+COUNTIF(ADV!Z:Z,A243)+COUNTIF(ADV!X:X,A243)+COUNTIF(ADV!Y:Y,A243)</f>
        <v>0</v>
      </c>
      <c r="H243" t="s">
        <v>6308</v>
      </c>
    </row>
    <row r="244" spans="1:8" x14ac:dyDescent="0.2">
      <c r="A244" t="s">
        <v>2462</v>
      </c>
      <c r="C244">
        <v>1010011</v>
      </c>
      <c r="D244" t="s">
        <v>6068</v>
      </c>
      <c r="E244">
        <f t="shared" si="3"/>
        <v>197</v>
      </c>
      <c r="F244">
        <f>+COUNTIF(ADV!U:W,A244)</f>
        <v>2</v>
      </c>
      <c r="G244">
        <f>+COUNTIF(ADV!Z:Z,A244)+COUNTIF(ADV!X:X,A244)+COUNTIF(ADV!Y:Y,A244)</f>
        <v>0</v>
      </c>
      <c r="H244" t="s">
        <v>6309</v>
      </c>
    </row>
    <row r="245" spans="1:8" x14ac:dyDescent="0.2">
      <c r="A245" t="s">
        <v>3807</v>
      </c>
      <c r="C245">
        <v>1070015</v>
      </c>
      <c r="D245" t="s">
        <v>6068</v>
      </c>
      <c r="E245">
        <f t="shared" si="3"/>
        <v>224</v>
      </c>
      <c r="F245">
        <f>+COUNTIF(ADV!U:W,A245)</f>
        <v>1</v>
      </c>
      <c r="G245">
        <f>+COUNTIF(ADV!Z:Z,A245)+COUNTIF(ADV!X:X,A245)+COUNTIF(ADV!Y:Y,A245)</f>
        <v>0</v>
      </c>
      <c r="H245" t="s">
        <v>6310</v>
      </c>
    </row>
    <row r="246" spans="1:8" x14ac:dyDescent="0.2">
      <c r="A246" t="s">
        <v>2956</v>
      </c>
      <c r="C246">
        <v>1010159</v>
      </c>
      <c r="D246" t="s">
        <v>6068</v>
      </c>
      <c r="E246">
        <f t="shared" si="3"/>
        <v>463</v>
      </c>
      <c r="F246">
        <f>+COUNTIF(ADV!U:W,A246)</f>
        <v>1</v>
      </c>
      <c r="G246">
        <f>+COUNTIF(ADV!Z:Z,A246)+COUNTIF(ADV!X:X,A246)+COUNTIF(ADV!Y:Y,A246)</f>
        <v>0</v>
      </c>
      <c r="H246" t="s">
        <v>6311</v>
      </c>
    </row>
    <row r="247" spans="1:8" x14ac:dyDescent="0.2">
      <c r="A247" t="s">
        <v>3579</v>
      </c>
      <c r="C247">
        <v>1020022</v>
      </c>
      <c r="D247" t="s">
        <v>6068</v>
      </c>
      <c r="E247">
        <f t="shared" si="3"/>
        <v>159</v>
      </c>
      <c r="F247">
        <f>+COUNTIF(ADV!U:W,A247)</f>
        <v>1</v>
      </c>
      <c r="G247">
        <f>+COUNTIF(ADV!Z:Z,A247)+COUNTIF(ADV!X:X,A247)+COUNTIF(ADV!Y:Y,A247)</f>
        <v>0</v>
      </c>
      <c r="H247" t="s">
        <v>6312</v>
      </c>
    </row>
    <row r="248" spans="1:8" x14ac:dyDescent="0.2">
      <c r="A248" t="s">
        <v>2518</v>
      </c>
      <c r="C248">
        <v>1010099</v>
      </c>
      <c r="D248" t="s">
        <v>6068</v>
      </c>
      <c r="E248">
        <f t="shared" si="3"/>
        <v>564</v>
      </c>
      <c r="F248">
        <f>+COUNTIF(ADV!U:W,A248)</f>
        <v>1</v>
      </c>
      <c r="G248">
        <f>+COUNTIF(ADV!Z:Z,A248)+COUNTIF(ADV!X:X,A248)+COUNTIF(ADV!Y:Y,A248)</f>
        <v>1</v>
      </c>
      <c r="H248" t="s">
        <v>6313</v>
      </c>
    </row>
    <row r="249" spans="1:8" x14ac:dyDescent="0.2">
      <c r="A249" t="s">
        <v>4438</v>
      </c>
      <c r="C249">
        <v>1010047</v>
      </c>
      <c r="D249" t="s">
        <v>6068</v>
      </c>
      <c r="E249">
        <f t="shared" si="3"/>
        <v>487</v>
      </c>
      <c r="F249">
        <f>+COUNTIF(ADV!U:W,A249)</f>
        <v>1</v>
      </c>
      <c r="G249">
        <f>+COUNTIF(ADV!Z:Z,A249)+COUNTIF(ADV!X:X,A249)+COUNTIF(ADV!Y:Y,A249)</f>
        <v>0</v>
      </c>
      <c r="H249" t="s">
        <v>6314</v>
      </c>
    </row>
    <row r="250" spans="1:8" x14ac:dyDescent="0.2">
      <c r="A250" t="s">
        <v>4409</v>
      </c>
      <c r="C250">
        <v>1010015</v>
      </c>
      <c r="D250" t="s">
        <v>6068</v>
      </c>
      <c r="E250">
        <f t="shared" si="3"/>
        <v>442</v>
      </c>
      <c r="F250">
        <f>+COUNTIF(ADV!U:W,A250)</f>
        <v>1</v>
      </c>
      <c r="G250">
        <f>+COUNTIF(ADV!Z:Z,A250)+COUNTIF(ADV!X:X,A250)+COUNTIF(ADV!Y:Y,A250)</f>
        <v>0</v>
      </c>
      <c r="H250" t="s">
        <v>6315</v>
      </c>
    </row>
    <row r="251" spans="1:8" x14ac:dyDescent="0.2">
      <c r="A251" t="s">
        <v>4498</v>
      </c>
      <c r="C251">
        <v>1010034</v>
      </c>
      <c r="D251" t="s">
        <v>6068</v>
      </c>
      <c r="E251">
        <f t="shared" si="3"/>
        <v>251</v>
      </c>
      <c r="F251">
        <f>+COUNTIF(ADV!U:W,A251)</f>
        <v>1</v>
      </c>
      <c r="G251">
        <f>+COUNTIF(ADV!Z:Z,A251)+COUNTIF(ADV!X:X,A251)+COUNTIF(ADV!Y:Y,A251)</f>
        <v>0</v>
      </c>
      <c r="H251" t="s">
        <v>6316</v>
      </c>
    </row>
    <row r="252" spans="1:8" x14ac:dyDescent="0.2">
      <c r="A252" t="s">
        <v>468</v>
      </c>
      <c r="C252">
        <v>1030042</v>
      </c>
      <c r="D252" t="s">
        <v>6068</v>
      </c>
      <c r="E252">
        <f t="shared" si="3"/>
        <v>301</v>
      </c>
      <c r="F252">
        <f>+COUNTIF(ADV!U:W,A252)</f>
        <v>1</v>
      </c>
      <c r="G252">
        <f>+COUNTIF(ADV!Z:Z,A252)+COUNTIF(ADV!X:X,A252)+COUNTIF(ADV!Y:Y,A252)</f>
        <v>0</v>
      </c>
      <c r="H252" t="s">
        <v>6317</v>
      </c>
    </row>
    <row r="253" spans="1:8" x14ac:dyDescent="0.2">
      <c r="A253" t="s">
        <v>1213</v>
      </c>
      <c r="C253">
        <v>1030023</v>
      </c>
      <c r="D253" t="s">
        <v>6068</v>
      </c>
      <c r="E253">
        <f t="shared" si="3"/>
        <v>51</v>
      </c>
      <c r="F253">
        <f>+COUNTIF(ADV!U:W,A253)</f>
        <v>1</v>
      </c>
      <c r="G253">
        <f>+COUNTIF(ADV!Z:Z,A253)+COUNTIF(ADV!X:X,A253)+COUNTIF(ADV!Y:Y,A253)</f>
        <v>0</v>
      </c>
      <c r="H253" t="s">
        <v>6143</v>
      </c>
    </row>
    <row r="254" spans="1:8" x14ac:dyDescent="0.2">
      <c r="A254" t="s">
        <v>3739</v>
      </c>
      <c r="C254">
        <v>1010102</v>
      </c>
      <c r="D254" t="s">
        <v>6068</v>
      </c>
      <c r="E254">
        <f t="shared" si="3"/>
        <v>245</v>
      </c>
      <c r="F254">
        <f>+COUNTIF(ADV!U:W,A254)</f>
        <v>1</v>
      </c>
      <c r="G254">
        <f>+COUNTIF(ADV!Z:Z,A254)+COUNTIF(ADV!X:X,A254)+COUNTIF(ADV!Y:Y,A254)</f>
        <v>0</v>
      </c>
      <c r="H254" t="s">
        <v>6318</v>
      </c>
    </row>
    <row r="255" spans="1:8" x14ac:dyDescent="0.2">
      <c r="A255" t="s">
        <v>1406</v>
      </c>
      <c r="C255">
        <v>1010102</v>
      </c>
      <c r="D255" t="s">
        <v>6068</v>
      </c>
      <c r="E255">
        <f t="shared" si="3"/>
        <v>244</v>
      </c>
      <c r="F255">
        <f>+COUNTIF(ADV!U:W,A255)</f>
        <v>1</v>
      </c>
      <c r="G255">
        <f>+COUNTIF(ADV!Z:Z,A255)+COUNTIF(ADV!X:X,A255)+COUNTIF(ADV!Y:Y,A255)</f>
        <v>0</v>
      </c>
      <c r="H255" t="s">
        <v>6319</v>
      </c>
    </row>
    <row r="256" spans="1:8" x14ac:dyDescent="0.2">
      <c r="A256" t="s">
        <v>863</v>
      </c>
      <c r="C256">
        <v>1010013</v>
      </c>
      <c r="D256" t="s">
        <v>6068</v>
      </c>
      <c r="E256">
        <f t="shared" si="3"/>
        <v>139</v>
      </c>
      <c r="F256">
        <f>+COUNTIF(ADV!U:W,A256)</f>
        <v>1</v>
      </c>
      <c r="G256">
        <f>+COUNTIF(ADV!Z:Z,A256)+COUNTIF(ADV!X:X,A256)+COUNTIF(ADV!Y:Y,A256)</f>
        <v>1</v>
      </c>
      <c r="H256" t="s">
        <v>6320</v>
      </c>
    </row>
    <row r="257" spans="1:8" x14ac:dyDescent="0.2">
      <c r="A257" t="s">
        <v>1415</v>
      </c>
      <c r="C257">
        <v>1070013</v>
      </c>
      <c r="D257" t="s">
        <v>6068</v>
      </c>
      <c r="E257">
        <f t="shared" si="3"/>
        <v>213</v>
      </c>
      <c r="F257">
        <f>+COUNTIF(ADV!U:W,A257)</f>
        <v>1</v>
      </c>
      <c r="G257">
        <f>+COUNTIF(ADV!Z:Z,A257)+COUNTIF(ADV!X:X,A257)+COUNTIF(ADV!Y:Y,A257)</f>
        <v>0</v>
      </c>
      <c r="H257" t="s">
        <v>6321</v>
      </c>
    </row>
    <row r="258" spans="1:8" x14ac:dyDescent="0.2">
      <c r="A258" t="s">
        <v>2217</v>
      </c>
      <c r="C258">
        <v>1010104</v>
      </c>
      <c r="D258" t="s">
        <v>6068</v>
      </c>
      <c r="E258">
        <f t="shared" ref="E258:E321" si="4">+LEN(H258)</f>
        <v>526</v>
      </c>
      <c r="F258">
        <f>+COUNTIF(ADV!U:W,A258)</f>
        <v>1</v>
      </c>
      <c r="G258">
        <f>+COUNTIF(ADV!Z:Z,A258)+COUNTIF(ADV!X:X,A258)+COUNTIF(ADV!Y:Y,A258)</f>
        <v>0</v>
      </c>
      <c r="H258" t="s">
        <v>6322</v>
      </c>
    </row>
    <row r="259" spans="1:8" x14ac:dyDescent="0.2">
      <c r="A259" t="s">
        <v>2619</v>
      </c>
      <c r="C259">
        <v>1010066</v>
      </c>
      <c r="D259" t="s">
        <v>6068</v>
      </c>
      <c r="E259">
        <f t="shared" si="4"/>
        <v>1352</v>
      </c>
      <c r="F259">
        <f>+COUNTIF(ADV!U:W,A259)</f>
        <v>1</v>
      </c>
      <c r="G259">
        <f>+COUNTIF(ADV!Z:Z,A259)+COUNTIF(ADV!X:X,A259)+COUNTIF(ADV!Y:Y,A259)</f>
        <v>0</v>
      </c>
      <c r="H259" t="s">
        <v>6323</v>
      </c>
    </row>
    <row r="260" spans="1:8" x14ac:dyDescent="0.2">
      <c r="A260" t="s">
        <v>4180</v>
      </c>
      <c r="C260">
        <v>1010174</v>
      </c>
      <c r="D260" t="s">
        <v>6068</v>
      </c>
      <c r="E260">
        <f t="shared" si="4"/>
        <v>673</v>
      </c>
      <c r="F260">
        <f>+COUNTIF(ADV!U:W,A260)</f>
        <v>1</v>
      </c>
      <c r="G260">
        <f>+COUNTIF(ADV!Z:Z,A260)+COUNTIF(ADV!X:X,A260)+COUNTIF(ADV!Y:Y,A260)</f>
        <v>0</v>
      </c>
      <c r="H260" t="s">
        <v>6324</v>
      </c>
    </row>
    <row r="261" spans="1:8" x14ac:dyDescent="0.2">
      <c r="A261" t="s">
        <v>3670</v>
      </c>
      <c r="C261">
        <v>1010131</v>
      </c>
      <c r="D261" t="s">
        <v>6068</v>
      </c>
      <c r="E261">
        <f t="shared" si="4"/>
        <v>418</v>
      </c>
      <c r="F261">
        <f>+COUNTIF(ADV!U:W,A261)</f>
        <v>1</v>
      </c>
      <c r="G261">
        <f>+COUNTIF(ADV!Z:Z,A261)+COUNTIF(ADV!X:X,A261)+COUNTIF(ADV!Y:Y,A261)</f>
        <v>0</v>
      </c>
      <c r="H261" t="s">
        <v>6325</v>
      </c>
    </row>
    <row r="262" spans="1:8" x14ac:dyDescent="0.2">
      <c r="A262" t="s">
        <v>1933</v>
      </c>
      <c r="C262">
        <v>1010079</v>
      </c>
      <c r="D262" t="s">
        <v>6068</v>
      </c>
      <c r="E262">
        <f t="shared" si="4"/>
        <v>188</v>
      </c>
      <c r="F262">
        <f>+COUNTIF(ADV!U:W,A262)</f>
        <v>1</v>
      </c>
      <c r="G262">
        <f>+COUNTIF(ADV!Z:Z,A262)+COUNTIF(ADV!X:X,A262)+COUNTIF(ADV!Y:Y,A262)</f>
        <v>0</v>
      </c>
      <c r="H262" t="s">
        <v>6326</v>
      </c>
    </row>
    <row r="263" spans="1:8" x14ac:dyDescent="0.2">
      <c r="A263" t="s">
        <v>4463</v>
      </c>
      <c r="C263">
        <v>1010038</v>
      </c>
      <c r="D263" t="s">
        <v>6068</v>
      </c>
      <c r="E263">
        <f t="shared" si="4"/>
        <v>237</v>
      </c>
      <c r="F263">
        <f>+COUNTIF(ADV!U:W,A263)</f>
        <v>1</v>
      </c>
      <c r="G263">
        <f>+COUNTIF(ADV!Z:Z,A263)+COUNTIF(ADV!X:X,A263)+COUNTIF(ADV!Y:Y,A263)</f>
        <v>0</v>
      </c>
      <c r="H263" t="s">
        <v>6327</v>
      </c>
    </row>
    <row r="264" spans="1:8" x14ac:dyDescent="0.2">
      <c r="A264" t="s">
        <v>3083</v>
      </c>
      <c r="C264">
        <v>1010012</v>
      </c>
      <c r="D264" t="s">
        <v>6068</v>
      </c>
      <c r="E264">
        <f t="shared" si="4"/>
        <v>100</v>
      </c>
      <c r="F264">
        <f>+COUNTIF(ADV!U:W,A264)</f>
        <v>1</v>
      </c>
      <c r="G264">
        <f>+COUNTIF(ADV!Z:Z,A264)+COUNTIF(ADV!X:X,A264)+COUNTIF(ADV!Y:Y,A264)</f>
        <v>0</v>
      </c>
      <c r="H264" t="s">
        <v>6328</v>
      </c>
    </row>
    <row r="265" spans="1:8" x14ac:dyDescent="0.2">
      <c r="A265" t="s">
        <v>378</v>
      </c>
      <c r="C265">
        <v>1020038</v>
      </c>
      <c r="D265" t="s">
        <v>6068</v>
      </c>
      <c r="E265">
        <f t="shared" si="4"/>
        <v>313</v>
      </c>
      <c r="F265">
        <f>+COUNTIF(ADV!U:W,A265)</f>
        <v>1</v>
      </c>
      <c r="G265">
        <f>+COUNTIF(ADV!Z:Z,A265)+COUNTIF(ADV!X:X,A265)+COUNTIF(ADV!Y:Y,A265)</f>
        <v>0</v>
      </c>
      <c r="H265" t="s">
        <v>6329</v>
      </c>
    </row>
    <row r="266" spans="1:8" x14ac:dyDescent="0.2">
      <c r="A266" t="s">
        <v>3619</v>
      </c>
      <c r="C266">
        <v>1010176</v>
      </c>
      <c r="D266" t="s">
        <v>6068</v>
      </c>
      <c r="E266">
        <f t="shared" si="4"/>
        <v>1157</v>
      </c>
      <c r="F266">
        <f>+COUNTIF(ADV!U:W,A266)</f>
        <v>1</v>
      </c>
      <c r="G266">
        <f>+COUNTIF(ADV!Z:Z,A266)+COUNTIF(ADV!X:X,A266)+COUNTIF(ADV!Y:Y,A266)</f>
        <v>0</v>
      </c>
      <c r="H266" t="s">
        <v>6330</v>
      </c>
    </row>
    <row r="267" spans="1:8" x14ac:dyDescent="0.2">
      <c r="A267" t="s">
        <v>1919</v>
      </c>
      <c r="C267">
        <v>1020040</v>
      </c>
      <c r="D267" t="s">
        <v>6068</v>
      </c>
      <c r="E267">
        <f t="shared" si="4"/>
        <v>349</v>
      </c>
      <c r="F267">
        <f>+COUNTIF(ADV!U:W,A267)</f>
        <v>1</v>
      </c>
      <c r="G267">
        <f>+COUNTIF(ADV!Z:Z,A267)+COUNTIF(ADV!X:X,A267)+COUNTIF(ADV!Y:Y,A267)</f>
        <v>0</v>
      </c>
      <c r="H267" t="s">
        <v>6331</v>
      </c>
    </row>
    <row r="268" spans="1:8" x14ac:dyDescent="0.2">
      <c r="A268" t="s">
        <v>2242</v>
      </c>
      <c r="C268">
        <v>1010154</v>
      </c>
      <c r="D268" t="s">
        <v>6068</v>
      </c>
      <c r="E268">
        <f t="shared" si="4"/>
        <v>443</v>
      </c>
      <c r="F268">
        <f>+COUNTIF(ADV!U:W,A268)</f>
        <v>1</v>
      </c>
      <c r="G268">
        <f>+COUNTIF(ADV!Z:Z,A268)+COUNTIF(ADV!X:X,A268)+COUNTIF(ADV!Y:Y,A268)</f>
        <v>0</v>
      </c>
      <c r="H268" t="s">
        <v>6332</v>
      </c>
    </row>
    <row r="269" spans="1:8" x14ac:dyDescent="0.2">
      <c r="A269" t="s">
        <v>3783</v>
      </c>
      <c r="C269">
        <v>1010149</v>
      </c>
      <c r="D269" t="s">
        <v>6068</v>
      </c>
      <c r="E269">
        <f t="shared" si="4"/>
        <v>1073</v>
      </c>
      <c r="F269">
        <f>+COUNTIF(ADV!U:W,A269)</f>
        <v>1</v>
      </c>
      <c r="G269">
        <f>+COUNTIF(ADV!Z:Z,A269)+COUNTIF(ADV!X:X,A269)+COUNTIF(ADV!Y:Y,A269)</f>
        <v>1</v>
      </c>
      <c r="H269" t="s">
        <v>6333</v>
      </c>
    </row>
    <row r="270" spans="1:8" x14ac:dyDescent="0.2">
      <c r="A270" t="s">
        <v>781</v>
      </c>
      <c r="C270">
        <v>1010024</v>
      </c>
      <c r="D270" t="s">
        <v>6068</v>
      </c>
      <c r="E270">
        <f t="shared" si="4"/>
        <v>95</v>
      </c>
      <c r="F270">
        <f>+COUNTIF(ADV!U:W,A270)</f>
        <v>1</v>
      </c>
      <c r="G270">
        <f>+COUNTIF(ADV!Z:Z,A270)+COUNTIF(ADV!X:X,A270)+COUNTIF(ADV!Y:Y,A270)</f>
        <v>0</v>
      </c>
      <c r="H270" t="s">
        <v>6334</v>
      </c>
    </row>
    <row r="271" spans="1:8" x14ac:dyDescent="0.2">
      <c r="A271" t="s">
        <v>1511</v>
      </c>
      <c r="C271">
        <v>1010010</v>
      </c>
      <c r="D271" t="s">
        <v>6068</v>
      </c>
      <c r="E271">
        <f t="shared" si="4"/>
        <v>54</v>
      </c>
      <c r="F271">
        <f>+COUNTIF(ADV!U:W,A271)</f>
        <v>2</v>
      </c>
      <c r="G271">
        <f>+COUNTIF(ADV!Z:Z,A271)+COUNTIF(ADV!X:X,A271)+COUNTIF(ADV!Y:Y,A271)</f>
        <v>0</v>
      </c>
      <c r="H271" t="s">
        <v>6335</v>
      </c>
    </row>
    <row r="272" spans="1:8" x14ac:dyDescent="0.2">
      <c r="A272" t="s">
        <v>417</v>
      </c>
      <c r="C272">
        <v>1010010</v>
      </c>
      <c r="D272" t="s">
        <v>6068</v>
      </c>
      <c r="E272">
        <f t="shared" si="4"/>
        <v>54</v>
      </c>
      <c r="F272">
        <f>+COUNTIF(ADV!U:W,A272)</f>
        <v>3</v>
      </c>
      <c r="G272">
        <f>+COUNTIF(ADV!Z:Z,A272)+COUNTIF(ADV!X:X,A272)+COUNTIF(ADV!Y:Y,A272)</f>
        <v>7</v>
      </c>
      <c r="H272" t="s">
        <v>6336</v>
      </c>
    </row>
    <row r="273" spans="1:8" x14ac:dyDescent="0.2">
      <c r="A273" t="s">
        <v>2170</v>
      </c>
      <c r="C273">
        <v>1010010</v>
      </c>
      <c r="D273" t="s">
        <v>6068</v>
      </c>
      <c r="E273">
        <f t="shared" si="4"/>
        <v>53</v>
      </c>
      <c r="F273">
        <f>+COUNTIF(ADV!U:W,A273)</f>
        <v>2</v>
      </c>
      <c r="G273">
        <f>+COUNTIF(ADV!Z:Z,A273)+COUNTIF(ADV!X:X,A273)+COUNTIF(ADV!Y:Y,A273)</f>
        <v>0</v>
      </c>
      <c r="H273" t="s">
        <v>6337</v>
      </c>
    </row>
    <row r="274" spans="1:8" x14ac:dyDescent="0.2">
      <c r="A274" t="s">
        <v>3430</v>
      </c>
      <c r="C274">
        <v>1020004</v>
      </c>
      <c r="D274" t="s">
        <v>6068</v>
      </c>
      <c r="E274">
        <f t="shared" si="4"/>
        <v>165</v>
      </c>
      <c r="F274">
        <f>+COUNTIF(ADV!U:W,A274)</f>
        <v>1</v>
      </c>
      <c r="G274">
        <f>+COUNTIF(ADV!Z:Z,A274)+COUNTIF(ADV!X:X,A274)+COUNTIF(ADV!Y:Y,A274)</f>
        <v>0</v>
      </c>
      <c r="H274" t="s">
        <v>6338</v>
      </c>
    </row>
    <row r="275" spans="1:8" x14ac:dyDescent="0.2">
      <c r="A275" t="s">
        <v>3038</v>
      </c>
      <c r="C275">
        <v>1020002</v>
      </c>
      <c r="D275" t="s">
        <v>6068</v>
      </c>
      <c r="E275">
        <f t="shared" si="4"/>
        <v>159</v>
      </c>
      <c r="F275">
        <f>+COUNTIF(ADV!U:W,A275)</f>
        <v>1</v>
      </c>
      <c r="G275">
        <f>+COUNTIF(ADV!Z:Z,A275)+COUNTIF(ADV!X:X,A275)+COUNTIF(ADV!Y:Y,A275)</f>
        <v>0</v>
      </c>
      <c r="H275" t="s">
        <v>6339</v>
      </c>
    </row>
    <row r="276" spans="1:8" x14ac:dyDescent="0.2">
      <c r="A276" t="s">
        <v>3914</v>
      </c>
      <c r="C276">
        <v>1030004</v>
      </c>
      <c r="D276" t="s">
        <v>6068</v>
      </c>
      <c r="E276">
        <f t="shared" si="4"/>
        <v>44</v>
      </c>
      <c r="F276">
        <f>+COUNTIF(ADV!U:W,A276)</f>
        <v>11</v>
      </c>
      <c r="G276">
        <f>+COUNTIF(ADV!Z:Z,A276)+COUNTIF(ADV!X:X,A276)+COUNTIF(ADV!Y:Y,A276)</f>
        <v>0</v>
      </c>
      <c r="H276" t="s">
        <v>6340</v>
      </c>
    </row>
    <row r="277" spans="1:8" x14ac:dyDescent="0.2">
      <c r="A277" t="s">
        <v>2603</v>
      </c>
      <c r="C277">
        <v>1030004</v>
      </c>
      <c r="D277" t="s">
        <v>6068</v>
      </c>
      <c r="E277">
        <f t="shared" si="4"/>
        <v>43</v>
      </c>
      <c r="F277">
        <f>+COUNTIF(ADV!U:W,A277)</f>
        <v>3</v>
      </c>
      <c r="G277">
        <f>+COUNTIF(ADV!Z:Z,A277)+COUNTIF(ADV!X:X,A277)+COUNTIF(ADV!Y:Y,A277)</f>
        <v>0</v>
      </c>
      <c r="H277" t="s">
        <v>6341</v>
      </c>
    </row>
    <row r="278" spans="1:8" x14ac:dyDescent="0.2">
      <c r="A278" t="s">
        <v>2602</v>
      </c>
      <c r="C278">
        <v>1030004</v>
      </c>
      <c r="D278" t="s">
        <v>6068</v>
      </c>
      <c r="E278">
        <f t="shared" si="4"/>
        <v>43</v>
      </c>
      <c r="F278">
        <f>+COUNTIF(ADV!U:W,A278)</f>
        <v>6</v>
      </c>
      <c r="G278">
        <f>+COUNTIF(ADV!Z:Z,A278)+COUNTIF(ADV!X:X,A278)+COUNTIF(ADV!Y:Y,A278)</f>
        <v>0</v>
      </c>
      <c r="H278" t="s">
        <v>6342</v>
      </c>
    </row>
    <row r="279" spans="1:8" x14ac:dyDescent="0.2">
      <c r="A279" t="s">
        <v>3039</v>
      </c>
      <c r="C279">
        <v>1070004</v>
      </c>
      <c r="D279" t="s">
        <v>6068</v>
      </c>
      <c r="E279">
        <f t="shared" si="4"/>
        <v>45</v>
      </c>
      <c r="F279">
        <f>+COUNTIF(ADV!U:W,A279)</f>
        <v>2</v>
      </c>
      <c r="G279">
        <f>+COUNTIF(ADV!Z:Z,A279)+COUNTIF(ADV!X:X,A279)+COUNTIF(ADV!Y:Y,A279)</f>
        <v>0</v>
      </c>
      <c r="H279" t="s">
        <v>6343</v>
      </c>
    </row>
    <row r="280" spans="1:8" x14ac:dyDescent="0.2">
      <c r="A280" t="s">
        <v>2605</v>
      </c>
      <c r="C280">
        <v>1070004</v>
      </c>
      <c r="D280" t="s">
        <v>6068</v>
      </c>
      <c r="E280">
        <f t="shared" si="4"/>
        <v>45</v>
      </c>
      <c r="F280">
        <f>+COUNTIF(ADV!U:W,A280)</f>
        <v>4</v>
      </c>
      <c r="G280">
        <f>+COUNTIF(ADV!Z:Z,A280)+COUNTIF(ADV!X:X,A280)+COUNTIF(ADV!Y:Y,A280)</f>
        <v>9</v>
      </c>
      <c r="H280" t="s">
        <v>6344</v>
      </c>
    </row>
    <row r="281" spans="1:8" x14ac:dyDescent="0.2">
      <c r="A281" t="s">
        <v>3431</v>
      </c>
      <c r="C281">
        <v>1070004</v>
      </c>
      <c r="D281" t="s">
        <v>6068</v>
      </c>
      <c r="E281">
        <f t="shared" si="4"/>
        <v>45</v>
      </c>
      <c r="F281">
        <f>+COUNTIF(ADV!U:W,A281)</f>
        <v>1</v>
      </c>
      <c r="G281">
        <f>+COUNTIF(ADV!Z:Z,A281)+COUNTIF(ADV!X:X,A281)+COUNTIF(ADV!Y:Y,A281)</f>
        <v>0</v>
      </c>
      <c r="H281" t="s">
        <v>6345</v>
      </c>
    </row>
    <row r="282" spans="1:8" x14ac:dyDescent="0.2">
      <c r="A282" t="s">
        <v>3416</v>
      </c>
      <c r="C282">
        <v>1010058</v>
      </c>
      <c r="D282" t="s">
        <v>6068</v>
      </c>
      <c r="E282">
        <f t="shared" si="4"/>
        <v>113</v>
      </c>
      <c r="F282">
        <f>+COUNTIF(ADV!U:W,A282)</f>
        <v>1</v>
      </c>
      <c r="G282">
        <f>+COUNTIF(ADV!Z:Z,A282)+COUNTIF(ADV!X:X,A282)+COUNTIF(ADV!Y:Y,A282)</f>
        <v>0</v>
      </c>
      <c r="H282" t="s">
        <v>6346</v>
      </c>
    </row>
    <row r="283" spans="1:8" x14ac:dyDescent="0.2">
      <c r="A283" t="s">
        <v>1387</v>
      </c>
      <c r="C283">
        <v>1010059</v>
      </c>
      <c r="D283" t="s">
        <v>6068</v>
      </c>
      <c r="E283">
        <f t="shared" si="4"/>
        <v>487</v>
      </c>
      <c r="F283">
        <f>+COUNTIF(ADV!U:W,A283)</f>
        <v>1</v>
      </c>
      <c r="G283">
        <f>+COUNTIF(ADV!Z:Z,A283)+COUNTIF(ADV!X:X,A283)+COUNTIF(ADV!Y:Y,A283)</f>
        <v>0</v>
      </c>
      <c r="H283" t="s">
        <v>6347</v>
      </c>
    </row>
    <row r="284" spans="1:8" x14ac:dyDescent="0.2">
      <c r="A284" t="s">
        <v>1524</v>
      </c>
      <c r="C284">
        <v>1010056</v>
      </c>
      <c r="D284" t="s">
        <v>6068</v>
      </c>
      <c r="E284">
        <f t="shared" si="4"/>
        <v>513</v>
      </c>
      <c r="F284">
        <f>+COUNTIF(ADV!U:W,A284)</f>
        <v>1</v>
      </c>
      <c r="G284">
        <f>+COUNTIF(ADV!Z:Z,A284)+COUNTIF(ADV!X:X,A284)+COUNTIF(ADV!Y:Y,A284)</f>
        <v>0</v>
      </c>
      <c r="H284" t="s">
        <v>6348</v>
      </c>
    </row>
    <row r="285" spans="1:8" x14ac:dyDescent="0.2">
      <c r="A285" t="s">
        <v>4410</v>
      </c>
      <c r="C285">
        <v>1030041</v>
      </c>
      <c r="D285" t="s">
        <v>6068</v>
      </c>
      <c r="E285">
        <f t="shared" si="4"/>
        <v>307</v>
      </c>
      <c r="F285">
        <f>+COUNTIF(ADV!U:W,A285)</f>
        <v>1</v>
      </c>
      <c r="G285">
        <f>+COUNTIF(ADV!Z:Z,A285)+COUNTIF(ADV!X:X,A285)+COUNTIF(ADV!Y:Y,A285)</f>
        <v>0</v>
      </c>
      <c r="H285" t="s">
        <v>6349</v>
      </c>
    </row>
    <row r="286" spans="1:8" x14ac:dyDescent="0.2">
      <c r="A286" t="s">
        <v>2859</v>
      </c>
      <c r="C286">
        <v>1010082</v>
      </c>
      <c r="D286" t="s">
        <v>6068</v>
      </c>
      <c r="E286">
        <f t="shared" si="4"/>
        <v>477</v>
      </c>
      <c r="F286">
        <f>+COUNTIF(ADV!U:W,A286)</f>
        <v>1</v>
      </c>
      <c r="G286">
        <f>+COUNTIF(ADV!Z:Z,A286)+COUNTIF(ADV!X:X,A286)+COUNTIF(ADV!Y:Y,A286)</f>
        <v>1</v>
      </c>
      <c r="H286" t="s">
        <v>6350</v>
      </c>
    </row>
    <row r="287" spans="1:8" x14ac:dyDescent="0.2">
      <c r="A287" t="s">
        <v>516</v>
      </c>
      <c r="C287">
        <v>1060002</v>
      </c>
      <c r="D287" t="s">
        <v>6068</v>
      </c>
      <c r="E287">
        <f t="shared" si="4"/>
        <v>36</v>
      </c>
      <c r="F287">
        <f>+COUNTIF(ADV!U:W,A287)</f>
        <v>1</v>
      </c>
      <c r="G287">
        <f>+COUNTIF(ADV!Z:Z,A287)+COUNTIF(ADV!X:X,A287)+COUNTIF(ADV!Y:Y,A287)</f>
        <v>0</v>
      </c>
      <c r="H287" t="s">
        <v>6351</v>
      </c>
    </row>
    <row r="288" spans="1:8" x14ac:dyDescent="0.2">
      <c r="A288" t="s">
        <v>3987</v>
      </c>
      <c r="C288">
        <v>1010003</v>
      </c>
      <c r="D288" t="s">
        <v>6068</v>
      </c>
      <c r="E288">
        <f t="shared" si="4"/>
        <v>148</v>
      </c>
      <c r="F288">
        <f>+COUNTIF(ADV!U:W,A288)</f>
        <v>1</v>
      </c>
      <c r="G288">
        <f>+COUNTIF(ADV!Z:Z,A288)+COUNTIF(ADV!X:X,A288)+COUNTIF(ADV!Y:Y,A288)</f>
        <v>0</v>
      </c>
      <c r="H288" t="s">
        <v>6352</v>
      </c>
    </row>
    <row r="289" spans="1:8" x14ac:dyDescent="0.2">
      <c r="A289" t="s">
        <v>2841</v>
      </c>
      <c r="C289">
        <v>1010052</v>
      </c>
      <c r="D289" t="s">
        <v>6068</v>
      </c>
      <c r="E289">
        <f t="shared" si="4"/>
        <v>253</v>
      </c>
      <c r="F289">
        <f>+COUNTIF(ADV!U:W,A289)</f>
        <v>1</v>
      </c>
      <c r="G289">
        <f>+COUNTIF(ADV!Z:Z,A289)+COUNTIF(ADV!X:X,A289)+COUNTIF(ADV!Y:Y,A289)</f>
        <v>0</v>
      </c>
      <c r="H289" t="s">
        <v>6353</v>
      </c>
    </row>
    <row r="290" spans="1:8" x14ac:dyDescent="0.2">
      <c r="A290" t="s">
        <v>4295</v>
      </c>
      <c r="C290">
        <v>1020011</v>
      </c>
      <c r="D290" t="s">
        <v>6068</v>
      </c>
      <c r="E290">
        <f t="shared" si="4"/>
        <v>84</v>
      </c>
      <c r="F290">
        <f>+COUNTIF(ADV!U:W,A290)</f>
        <v>1</v>
      </c>
      <c r="G290">
        <f>+COUNTIF(ADV!Z:Z,A290)+COUNTIF(ADV!X:X,A290)+COUNTIF(ADV!Y:Y,A290)</f>
        <v>0</v>
      </c>
      <c r="H290" t="s">
        <v>6354</v>
      </c>
    </row>
    <row r="291" spans="1:8" x14ac:dyDescent="0.2">
      <c r="A291" t="s">
        <v>3400</v>
      </c>
      <c r="C291">
        <v>1020002</v>
      </c>
      <c r="D291" t="s">
        <v>6068</v>
      </c>
      <c r="E291">
        <f t="shared" si="4"/>
        <v>58</v>
      </c>
      <c r="F291">
        <f>+COUNTIF(ADV!U:W,A291)</f>
        <v>1</v>
      </c>
      <c r="G291">
        <f>+COUNTIF(ADV!Z:Z,A291)+COUNTIF(ADV!X:X,A291)+COUNTIF(ADV!Y:Y,A291)</f>
        <v>0</v>
      </c>
      <c r="H291" t="s">
        <v>6355</v>
      </c>
    </row>
    <row r="292" spans="1:8" x14ac:dyDescent="0.2">
      <c r="A292" t="s">
        <v>2547</v>
      </c>
      <c r="C292">
        <v>1040013</v>
      </c>
      <c r="D292" t="s">
        <v>6068</v>
      </c>
      <c r="E292">
        <f t="shared" si="4"/>
        <v>59</v>
      </c>
      <c r="F292">
        <f>+COUNTIF(ADV!U:W,A292)</f>
        <v>1</v>
      </c>
      <c r="G292">
        <f>+COUNTIF(ADV!Z:Z,A292)+COUNTIF(ADV!X:X,A292)+COUNTIF(ADV!Y:Y,A292)</f>
        <v>0</v>
      </c>
      <c r="H292" t="s">
        <v>6356</v>
      </c>
    </row>
    <row r="293" spans="1:8" x14ac:dyDescent="0.2">
      <c r="A293" t="s">
        <v>2334</v>
      </c>
      <c r="C293">
        <v>1020002</v>
      </c>
      <c r="D293" t="s">
        <v>6068</v>
      </c>
      <c r="E293">
        <f t="shared" si="4"/>
        <v>165</v>
      </c>
      <c r="F293">
        <f>+COUNTIF(ADV!U:W,A293)</f>
        <v>2</v>
      </c>
      <c r="G293">
        <f>+COUNTIF(ADV!Z:Z,A293)+COUNTIF(ADV!X:X,A293)+COUNTIF(ADV!Y:Y,A293)</f>
        <v>0</v>
      </c>
      <c r="H293" t="s">
        <v>6357</v>
      </c>
    </row>
    <row r="294" spans="1:8" x14ac:dyDescent="0.2">
      <c r="A294" t="s">
        <v>4126</v>
      </c>
      <c r="C294">
        <v>1010054</v>
      </c>
      <c r="D294" t="s">
        <v>6068</v>
      </c>
      <c r="E294">
        <f t="shared" si="4"/>
        <v>296</v>
      </c>
      <c r="F294">
        <f>+COUNTIF(ADV!U:W,A294)</f>
        <v>1</v>
      </c>
      <c r="G294">
        <f>+COUNTIF(ADV!Z:Z,A294)+COUNTIF(ADV!X:X,A294)+COUNTIF(ADV!Y:Y,A294)</f>
        <v>0</v>
      </c>
      <c r="H294" t="s">
        <v>6358</v>
      </c>
    </row>
    <row r="295" spans="1:8" x14ac:dyDescent="0.2">
      <c r="A295" t="s">
        <v>2842</v>
      </c>
      <c r="C295">
        <v>1030001</v>
      </c>
      <c r="D295" t="s">
        <v>6068</v>
      </c>
      <c r="E295">
        <f t="shared" si="4"/>
        <v>41</v>
      </c>
      <c r="F295">
        <f>+COUNTIF(ADV!U:W,A295)</f>
        <v>13</v>
      </c>
      <c r="G295">
        <f>+COUNTIF(ADV!Z:Z,A295)+COUNTIF(ADV!X:X,A295)+COUNTIF(ADV!Y:Y,A295)</f>
        <v>0</v>
      </c>
      <c r="H295" t="s">
        <v>6359</v>
      </c>
    </row>
    <row r="296" spans="1:8" x14ac:dyDescent="0.2">
      <c r="A296" t="s">
        <v>2377</v>
      </c>
      <c r="C296">
        <v>1030001</v>
      </c>
      <c r="D296" t="s">
        <v>6068</v>
      </c>
      <c r="E296">
        <f t="shared" si="4"/>
        <v>40</v>
      </c>
      <c r="F296">
        <f>+COUNTIF(ADV!U:W,A296)</f>
        <v>6</v>
      </c>
      <c r="G296">
        <f>+COUNTIF(ADV!Z:Z,A296)+COUNTIF(ADV!X:X,A296)+COUNTIF(ADV!Y:Y,A296)</f>
        <v>0</v>
      </c>
      <c r="H296" t="s">
        <v>6360</v>
      </c>
    </row>
    <row r="297" spans="1:8" x14ac:dyDescent="0.2">
      <c r="A297" t="s">
        <v>2940</v>
      </c>
      <c r="C297">
        <v>1030001</v>
      </c>
      <c r="D297" t="s">
        <v>6068</v>
      </c>
      <c r="E297">
        <f t="shared" si="4"/>
        <v>40</v>
      </c>
      <c r="F297">
        <f>+COUNTIF(ADV!U:W,A297)</f>
        <v>6</v>
      </c>
      <c r="G297">
        <f>+COUNTIF(ADV!Z:Z,A297)+COUNTIF(ADV!X:X,A297)+COUNTIF(ADV!Y:Y,A297)</f>
        <v>0</v>
      </c>
      <c r="H297" t="s">
        <v>6361</v>
      </c>
    </row>
    <row r="298" spans="1:8" x14ac:dyDescent="0.2">
      <c r="A298" t="s">
        <v>4338</v>
      </c>
      <c r="C298">
        <v>1070012</v>
      </c>
      <c r="D298" t="s">
        <v>6068</v>
      </c>
      <c r="E298">
        <f t="shared" si="4"/>
        <v>71</v>
      </c>
      <c r="F298">
        <f>+COUNTIF(ADV!U:W,A298)</f>
        <v>1</v>
      </c>
      <c r="G298">
        <f>+COUNTIF(ADV!Z:Z,A298)+COUNTIF(ADV!X:X,A298)+COUNTIF(ADV!Y:Y,A298)</f>
        <v>2</v>
      </c>
      <c r="H298" t="s">
        <v>6362</v>
      </c>
    </row>
    <row r="299" spans="1:8" x14ac:dyDescent="0.2">
      <c r="A299" t="s">
        <v>2548</v>
      </c>
      <c r="C299">
        <v>1070014</v>
      </c>
      <c r="D299" t="s">
        <v>6068</v>
      </c>
      <c r="E299">
        <f t="shared" si="4"/>
        <v>71</v>
      </c>
      <c r="F299">
        <f>+COUNTIF(ADV!U:W,A299)</f>
        <v>1</v>
      </c>
      <c r="G299">
        <f>+COUNTIF(ADV!Z:Z,A299)+COUNTIF(ADV!X:X,A299)+COUNTIF(ADV!Y:Y,A299)</f>
        <v>0</v>
      </c>
      <c r="H299" t="s">
        <v>6363</v>
      </c>
    </row>
    <row r="300" spans="1:8" x14ac:dyDescent="0.2">
      <c r="A300" t="s">
        <v>2448</v>
      </c>
      <c r="C300">
        <v>1020042</v>
      </c>
      <c r="D300" t="s">
        <v>6068</v>
      </c>
      <c r="E300">
        <f t="shared" si="4"/>
        <v>226</v>
      </c>
      <c r="F300">
        <f>+COUNTIF(ADV!U:W,A300)</f>
        <v>1</v>
      </c>
      <c r="G300">
        <f>+COUNTIF(ADV!Z:Z,A300)+COUNTIF(ADV!X:X,A300)+COUNTIF(ADV!Y:Y,A300)</f>
        <v>0</v>
      </c>
      <c r="H300" t="s">
        <v>6364</v>
      </c>
    </row>
    <row r="301" spans="1:8" x14ac:dyDescent="0.2">
      <c r="A301" t="s">
        <v>3815</v>
      </c>
      <c r="C301">
        <v>1040015</v>
      </c>
      <c r="D301" t="s">
        <v>6068</v>
      </c>
      <c r="E301">
        <f t="shared" si="4"/>
        <v>99</v>
      </c>
      <c r="F301">
        <f>+COUNTIF(ADV!U:W,A301)</f>
        <v>1</v>
      </c>
      <c r="G301">
        <f>+COUNTIF(ADV!Z:Z,A301)+COUNTIF(ADV!X:X,A301)+COUNTIF(ADV!Y:Y,A301)</f>
        <v>1</v>
      </c>
      <c r="H301" t="s">
        <v>6365</v>
      </c>
    </row>
    <row r="302" spans="1:8" x14ac:dyDescent="0.2">
      <c r="A302" t="s">
        <v>2573</v>
      </c>
      <c r="C302">
        <v>1070001</v>
      </c>
      <c r="D302" t="s">
        <v>6068</v>
      </c>
      <c r="E302">
        <f t="shared" si="4"/>
        <v>44</v>
      </c>
      <c r="F302">
        <f>+COUNTIF(ADV!U:W,A302)</f>
        <v>1</v>
      </c>
      <c r="G302">
        <f>+COUNTIF(ADV!Z:Z,A302)+COUNTIF(ADV!X:X,A302)+COUNTIF(ADV!Y:Y,A302)</f>
        <v>0</v>
      </c>
      <c r="H302" t="s">
        <v>6366</v>
      </c>
    </row>
    <row r="303" spans="1:8" x14ac:dyDescent="0.2">
      <c r="A303" t="s">
        <v>2126</v>
      </c>
      <c r="C303">
        <v>1070001</v>
      </c>
      <c r="D303" t="s">
        <v>6068</v>
      </c>
      <c r="E303">
        <f t="shared" si="4"/>
        <v>44</v>
      </c>
      <c r="F303">
        <f>+COUNTIF(ADV!U:W,A303)</f>
        <v>7</v>
      </c>
      <c r="G303">
        <f>+COUNTIF(ADV!Z:Z,A303)+COUNTIF(ADV!X:X,A303)+COUNTIF(ADV!Y:Y,A303)</f>
        <v>11</v>
      </c>
      <c r="H303" t="s">
        <v>6367</v>
      </c>
    </row>
    <row r="304" spans="1:8" x14ac:dyDescent="0.2">
      <c r="A304" t="s">
        <v>4042</v>
      </c>
      <c r="C304">
        <v>1010020</v>
      </c>
      <c r="D304" t="s">
        <v>6068</v>
      </c>
      <c r="E304">
        <f t="shared" si="4"/>
        <v>549</v>
      </c>
      <c r="F304">
        <f>+COUNTIF(ADV!U:W,A304)</f>
        <v>1</v>
      </c>
      <c r="G304">
        <f>+COUNTIF(ADV!Z:Z,A304)+COUNTIF(ADV!X:X,A304)+COUNTIF(ADV!Y:Y,A304)</f>
        <v>0</v>
      </c>
      <c r="H304" t="s">
        <v>6368</v>
      </c>
    </row>
    <row r="305" spans="1:8" x14ac:dyDescent="0.2">
      <c r="A305" t="s">
        <v>1483</v>
      </c>
      <c r="C305">
        <v>1030035</v>
      </c>
      <c r="D305" t="s">
        <v>6068</v>
      </c>
      <c r="E305">
        <f t="shared" si="4"/>
        <v>227</v>
      </c>
      <c r="F305">
        <f>+COUNTIF(ADV!U:W,A305)</f>
        <v>2</v>
      </c>
      <c r="G305">
        <f>+COUNTIF(ADV!Z:Z,A305)+COUNTIF(ADV!X:X,A305)+COUNTIF(ADV!Y:Y,A305)</f>
        <v>22</v>
      </c>
      <c r="H305" t="s">
        <v>6369</v>
      </c>
    </row>
    <row r="306" spans="1:8" x14ac:dyDescent="0.2">
      <c r="A306" t="s">
        <v>4094</v>
      </c>
      <c r="C306">
        <v>1030035</v>
      </c>
      <c r="D306" t="s">
        <v>6068</v>
      </c>
      <c r="E306">
        <f t="shared" si="4"/>
        <v>226</v>
      </c>
      <c r="F306">
        <f>+COUNTIF(ADV!U:W,A306)</f>
        <v>2</v>
      </c>
      <c r="G306">
        <f>+COUNTIF(ADV!Z:Z,A306)+COUNTIF(ADV!X:X,A306)+COUNTIF(ADV!Y:Y,A306)</f>
        <v>0</v>
      </c>
      <c r="H306" t="s">
        <v>6370</v>
      </c>
    </row>
    <row r="307" spans="1:8" x14ac:dyDescent="0.2">
      <c r="A307" t="s">
        <v>2022</v>
      </c>
      <c r="C307">
        <v>1030031</v>
      </c>
      <c r="D307" t="s">
        <v>6068</v>
      </c>
      <c r="E307">
        <f t="shared" si="4"/>
        <v>230</v>
      </c>
      <c r="F307">
        <f>+COUNTIF(ADV!U:W,A307)</f>
        <v>10</v>
      </c>
      <c r="G307">
        <f>+COUNTIF(ADV!Z:Z,A307)+COUNTIF(ADV!X:X,A307)+COUNTIF(ADV!Y:Y,A307)</f>
        <v>26</v>
      </c>
      <c r="H307" t="s">
        <v>6371</v>
      </c>
    </row>
    <row r="308" spans="1:8" x14ac:dyDescent="0.2">
      <c r="A308" t="s">
        <v>1139</v>
      </c>
      <c r="C308">
        <v>1030033</v>
      </c>
      <c r="D308" t="s">
        <v>6068</v>
      </c>
      <c r="E308">
        <f t="shared" si="4"/>
        <v>238</v>
      </c>
      <c r="F308">
        <f>+COUNTIF(ADV!U:W,A308)</f>
        <v>9</v>
      </c>
      <c r="G308">
        <f>+COUNTIF(ADV!Z:Z,A308)+COUNTIF(ADV!X:X,A308)+COUNTIF(ADV!Y:Y,A308)</f>
        <v>21</v>
      </c>
      <c r="H308" t="s">
        <v>6372</v>
      </c>
    </row>
    <row r="309" spans="1:8" x14ac:dyDescent="0.2">
      <c r="A309" t="s">
        <v>1179</v>
      </c>
      <c r="C309">
        <v>1030033</v>
      </c>
      <c r="D309" t="s">
        <v>6068</v>
      </c>
      <c r="E309">
        <f t="shared" si="4"/>
        <v>237</v>
      </c>
      <c r="F309">
        <f>+COUNTIF(ADV!U:W,A309)</f>
        <v>1</v>
      </c>
      <c r="G309">
        <f>+COUNTIF(ADV!Z:Z,A309)+COUNTIF(ADV!X:X,A309)+COUNTIF(ADV!Y:Y,A309)</f>
        <v>0</v>
      </c>
      <c r="H309" t="s">
        <v>6373</v>
      </c>
    </row>
    <row r="310" spans="1:8" x14ac:dyDescent="0.2">
      <c r="A310" t="s">
        <v>2862</v>
      </c>
      <c r="C310">
        <v>1030029</v>
      </c>
      <c r="D310" t="s">
        <v>6068</v>
      </c>
      <c r="E310">
        <f t="shared" si="4"/>
        <v>223</v>
      </c>
      <c r="F310">
        <f>+COUNTIF(ADV!U:W,A310)</f>
        <v>8</v>
      </c>
      <c r="G310">
        <f>+COUNTIF(ADV!Z:Z,A310)+COUNTIF(ADV!X:X,A310)+COUNTIF(ADV!Y:Y,A310)</f>
        <v>35</v>
      </c>
      <c r="H310" t="s">
        <v>6374</v>
      </c>
    </row>
    <row r="311" spans="1:8" x14ac:dyDescent="0.2">
      <c r="A311" t="s">
        <v>3053</v>
      </c>
      <c r="C311">
        <v>1030029</v>
      </c>
      <c r="D311" t="s">
        <v>6068</v>
      </c>
      <c r="E311">
        <f t="shared" si="4"/>
        <v>222</v>
      </c>
      <c r="F311">
        <f>+COUNTIF(ADV!U:W,A311)</f>
        <v>2</v>
      </c>
      <c r="G311">
        <f>+COUNTIF(ADV!Z:Z,A311)+COUNTIF(ADV!X:X,A311)+COUNTIF(ADV!Y:Y,A311)</f>
        <v>0</v>
      </c>
      <c r="H311" t="s">
        <v>6375</v>
      </c>
    </row>
    <row r="312" spans="1:8" x14ac:dyDescent="0.2">
      <c r="A312" t="s">
        <v>1972</v>
      </c>
      <c r="C312">
        <v>1030032</v>
      </c>
      <c r="D312" t="s">
        <v>6068</v>
      </c>
      <c r="E312">
        <f t="shared" si="4"/>
        <v>236</v>
      </c>
      <c r="F312">
        <f>+COUNTIF(ADV!U:W,A312)</f>
        <v>3</v>
      </c>
      <c r="G312">
        <f>+COUNTIF(ADV!Z:Z,A312)+COUNTIF(ADV!X:X,A312)+COUNTIF(ADV!Y:Y,A312)</f>
        <v>30</v>
      </c>
      <c r="H312" t="s">
        <v>6376</v>
      </c>
    </row>
    <row r="313" spans="1:8" x14ac:dyDescent="0.2">
      <c r="A313" t="s">
        <v>2184</v>
      </c>
      <c r="C313">
        <v>1030032</v>
      </c>
      <c r="D313" t="s">
        <v>6068</v>
      </c>
      <c r="E313">
        <f t="shared" si="4"/>
        <v>235</v>
      </c>
      <c r="F313">
        <f>+COUNTIF(ADV!U:W,A313)</f>
        <v>2</v>
      </c>
      <c r="G313">
        <f>+COUNTIF(ADV!Z:Z,A313)+COUNTIF(ADV!X:X,A313)+COUNTIF(ADV!Y:Y,A313)</f>
        <v>0</v>
      </c>
      <c r="H313" t="s">
        <v>6377</v>
      </c>
    </row>
    <row r="314" spans="1:8" x14ac:dyDescent="0.2">
      <c r="A314" t="s">
        <v>2604</v>
      </c>
      <c r="C314">
        <v>1030028</v>
      </c>
      <c r="D314" t="s">
        <v>6068</v>
      </c>
      <c r="E314">
        <f t="shared" si="4"/>
        <v>229</v>
      </c>
      <c r="F314">
        <f>+COUNTIF(ADV!U:W,A314)</f>
        <v>13</v>
      </c>
      <c r="G314">
        <f>+COUNTIF(ADV!Z:Z,A314)+COUNTIF(ADV!X:X,A314)+COUNTIF(ADV!Y:Y,A314)</f>
        <v>30</v>
      </c>
      <c r="H314" t="s">
        <v>6378</v>
      </c>
    </row>
    <row r="315" spans="1:8" x14ac:dyDescent="0.2">
      <c r="A315" t="s">
        <v>3870</v>
      </c>
      <c r="C315">
        <v>1030028</v>
      </c>
      <c r="D315" t="s">
        <v>6068</v>
      </c>
      <c r="E315">
        <f t="shared" si="4"/>
        <v>228</v>
      </c>
      <c r="F315">
        <f>+COUNTIF(ADV!U:W,A315)</f>
        <v>2</v>
      </c>
      <c r="G315">
        <f>+COUNTIF(ADV!Z:Z,A315)+COUNTIF(ADV!X:X,A315)+COUNTIF(ADV!Y:Y,A315)</f>
        <v>0</v>
      </c>
      <c r="H315" t="s">
        <v>6379</v>
      </c>
    </row>
    <row r="316" spans="1:8" x14ac:dyDescent="0.2">
      <c r="A316" t="s">
        <v>2796</v>
      </c>
      <c r="C316">
        <v>1010141</v>
      </c>
      <c r="D316" t="s">
        <v>6068</v>
      </c>
      <c r="E316">
        <f t="shared" si="4"/>
        <v>684</v>
      </c>
      <c r="F316">
        <f>+COUNTIF(ADV!U:W,A316)</f>
        <v>1</v>
      </c>
      <c r="G316">
        <f>+COUNTIF(ADV!Z:Z,A316)+COUNTIF(ADV!X:X,A316)+COUNTIF(ADV!Y:Y,A316)</f>
        <v>0</v>
      </c>
      <c r="H316" t="s">
        <v>6380</v>
      </c>
    </row>
    <row r="317" spans="1:8" x14ac:dyDescent="0.2">
      <c r="A317" t="s">
        <v>2844</v>
      </c>
      <c r="C317">
        <v>1030037</v>
      </c>
      <c r="D317" t="s">
        <v>6068</v>
      </c>
      <c r="E317">
        <f t="shared" si="4"/>
        <v>225</v>
      </c>
      <c r="F317">
        <f>+COUNTIF(ADV!U:W,A317)</f>
        <v>3</v>
      </c>
      <c r="G317">
        <f>+COUNTIF(ADV!Z:Z,A317)+COUNTIF(ADV!X:X,A317)+COUNTIF(ADV!Y:Y,A317)</f>
        <v>22</v>
      </c>
      <c r="H317" t="s">
        <v>6381</v>
      </c>
    </row>
    <row r="318" spans="1:8" x14ac:dyDescent="0.2">
      <c r="A318" t="s">
        <v>155</v>
      </c>
      <c r="C318">
        <v>1030027</v>
      </c>
      <c r="D318" t="s">
        <v>6068</v>
      </c>
      <c r="E318">
        <f t="shared" si="4"/>
        <v>228</v>
      </c>
      <c r="F318">
        <f>+COUNTIF(ADV!U:W,A318)</f>
        <v>3</v>
      </c>
      <c r="G318">
        <f>+COUNTIF(ADV!Z:Z,A318)+COUNTIF(ADV!X:X,A318)+COUNTIF(ADV!Y:Y,A318)</f>
        <v>24</v>
      </c>
      <c r="H318" t="s">
        <v>6382</v>
      </c>
    </row>
    <row r="319" spans="1:8" x14ac:dyDescent="0.2">
      <c r="A319" t="s">
        <v>299</v>
      </c>
      <c r="C319">
        <v>1030027</v>
      </c>
      <c r="D319" t="s">
        <v>6068</v>
      </c>
      <c r="E319">
        <f t="shared" si="4"/>
        <v>227</v>
      </c>
      <c r="F319">
        <f>+COUNTIF(ADV!U:W,A319)</f>
        <v>3</v>
      </c>
      <c r="G319">
        <f>+COUNTIF(ADV!Z:Z,A319)+COUNTIF(ADV!X:X,A319)+COUNTIF(ADV!Y:Y,A319)</f>
        <v>0</v>
      </c>
      <c r="H319" t="s">
        <v>6383</v>
      </c>
    </row>
    <row r="320" spans="1:8" x14ac:dyDescent="0.2">
      <c r="A320" t="s">
        <v>132</v>
      </c>
      <c r="C320">
        <v>1030026</v>
      </c>
      <c r="D320" t="s">
        <v>6068</v>
      </c>
      <c r="E320">
        <f t="shared" si="4"/>
        <v>222</v>
      </c>
      <c r="F320">
        <f>+COUNTIF(ADV!U:W,A320)</f>
        <v>19</v>
      </c>
      <c r="G320">
        <f>+COUNTIF(ADV!Z:Z,A320)+COUNTIF(ADV!X:X,A320)+COUNTIF(ADV!Y:Y,A320)</f>
        <v>59</v>
      </c>
      <c r="H320" t="s">
        <v>6384</v>
      </c>
    </row>
    <row r="321" spans="1:8" x14ac:dyDescent="0.2">
      <c r="A321" t="s">
        <v>317</v>
      </c>
      <c r="C321">
        <v>1030026</v>
      </c>
      <c r="D321" t="s">
        <v>6068</v>
      </c>
      <c r="E321">
        <f t="shared" si="4"/>
        <v>221</v>
      </c>
      <c r="F321">
        <f>+COUNTIF(ADV!U:W,A321)</f>
        <v>6</v>
      </c>
      <c r="G321">
        <f>+COUNTIF(ADV!Z:Z,A321)+COUNTIF(ADV!X:X,A321)+COUNTIF(ADV!Y:Y,A321)</f>
        <v>0</v>
      </c>
      <c r="H321" t="s">
        <v>6385</v>
      </c>
    </row>
    <row r="322" spans="1:8" x14ac:dyDescent="0.2">
      <c r="A322" t="s">
        <v>2306</v>
      </c>
      <c r="C322">
        <v>1010091</v>
      </c>
      <c r="D322" t="s">
        <v>6068</v>
      </c>
      <c r="E322">
        <f t="shared" ref="E322:E385" si="5">+LEN(H322)</f>
        <v>457</v>
      </c>
      <c r="F322">
        <f>+COUNTIF(ADV!U:W,A322)</f>
        <v>1</v>
      </c>
      <c r="G322">
        <f>+COUNTIF(ADV!Z:Z,A322)+COUNTIF(ADV!X:X,A322)+COUNTIF(ADV!Y:Y,A322)</f>
        <v>0</v>
      </c>
      <c r="H322" t="s">
        <v>6386</v>
      </c>
    </row>
    <row r="323" spans="1:8" x14ac:dyDescent="0.2">
      <c r="A323" t="s">
        <v>565</v>
      </c>
      <c r="C323">
        <v>1020011</v>
      </c>
      <c r="D323" t="s">
        <v>6068</v>
      </c>
      <c r="E323">
        <f t="shared" si="5"/>
        <v>389</v>
      </c>
      <c r="F323">
        <f>+COUNTIF(ADV!U:W,A323)</f>
        <v>1</v>
      </c>
      <c r="G323">
        <f>+COUNTIF(ADV!Z:Z,A323)+COUNTIF(ADV!X:X,A323)+COUNTIF(ADV!Y:Y,A323)</f>
        <v>0</v>
      </c>
      <c r="H323" t="s">
        <v>6387</v>
      </c>
    </row>
    <row r="324" spans="1:8" x14ac:dyDescent="0.2">
      <c r="A324" t="s">
        <v>368</v>
      </c>
      <c r="C324">
        <v>1020003</v>
      </c>
      <c r="D324" t="s">
        <v>6068</v>
      </c>
      <c r="E324">
        <f t="shared" si="5"/>
        <v>263</v>
      </c>
      <c r="F324">
        <f>+COUNTIF(ADV!U:W,A324)</f>
        <v>2</v>
      </c>
      <c r="G324">
        <f>+COUNTIF(ADV!Z:Z,A324)+COUNTIF(ADV!X:X,A324)+COUNTIF(ADV!Y:Y,A324)</f>
        <v>0</v>
      </c>
      <c r="H324" t="s">
        <v>6388</v>
      </c>
    </row>
    <row r="325" spans="1:8" x14ac:dyDescent="0.2">
      <c r="A325" t="s">
        <v>1261</v>
      </c>
      <c r="C325">
        <v>1020003</v>
      </c>
      <c r="D325" t="s">
        <v>6068</v>
      </c>
      <c r="E325">
        <f t="shared" si="5"/>
        <v>262</v>
      </c>
      <c r="F325">
        <f>+COUNTIF(ADV!U:W,A325)</f>
        <v>2</v>
      </c>
      <c r="G325">
        <f>+COUNTIF(ADV!Z:Z,A325)+COUNTIF(ADV!X:X,A325)+COUNTIF(ADV!Y:Y,A325)</f>
        <v>0</v>
      </c>
      <c r="H325" t="s">
        <v>6389</v>
      </c>
    </row>
    <row r="326" spans="1:8" x14ac:dyDescent="0.2">
      <c r="A326" t="s">
        <v>500</v>
      </c>
      <c r="C326">
        <v>1020010</v>
      </c>
      <c r="D326" t="s">
        <v>6068</v>
      </c>
      <c r="E326">
        <f t="shared" si="5"/>
        <v>268</v>
      </c>
      <c r="F326">
        <f>+COUNTIF(ADV!U:W,A326)</f>
        <v>3</v>
      </c>
      <c r="G326">
        <f>+COUNTIF(ADV!Z:Z,A326)+COUNTIF(ADV!X:X,A326)+COUNTIF(ADV!Y:Y,A326)</f>
        <v>0</v>
      </c>
      <c r="H326" t="s">
        <v>6390</v>
      </c>
    </row>
    <row r="327" spans="1:8" x14ac:dyDescent="0.2">
      <c r="A327" t="s">
        <v>599</v>
      </c>
      <c r="C327">
        <v>1020002</v>
      </c>
      <c r="D327" t="s">
        <v>6068</v>
      </c>
      <c r="E327">
        <f t="shared" si="5"/>
        <v>264</v>
      </c>
      <c r="F327">
        <f>+COUNTIF(ADV!U:W,A327)</f>
        <v>1</v>
      </c>
      <c r="G327">
        <f>+COUNTIF(ADV!Z:Z,A327)+COUNTIF(ADV!X:X,A327)+COUNTIF(ADV!Y:Y,A327)</f>
        <v>0</v>
      </c>
      <c r="H327" t="s">
        <v>6391</v>
      </c>
    </row>
    <row r="328" spans="1:8" x14ac:dyDescent="0.2">
      <c r="A328" t="s">
        <v>1436</v>
      </c>
      <c r="C328">
        <v>1020002</v>
      </c>
      <c r="D328" t="s">
        <v>6068</v>
      </c>
      <c r="E328">
        <f t="shared" si="5"/>
        <v>264</v>
      </c>
      <c r="F328">
        <f>+COUNTIF(ADV!U:W,A328)</f>
        <v>3</v>
      </c>
      <c r="G328">
        <f>+COUNTIF(ADV!Z:Z,A328)+COUNTIF(ADV!X:X,A328)+COUNTIF(ADV!Y:Y,A328)</f>
        <v>1</v>
      </c>
      <c r="H328" t="s">
        <v>6392</v>
      </c>
    </row>
    <row r="329" spans="1:8" x14ac:dyDescent="0.2">
      <c r="A329" t="s">
        <v>719</v>
      </c>
      <c r="C329">
        <v>1020002</v>
      </c>
      <c r="D329" t="s">
        <v>6068</v>
      </c>
      <c r="E329">
        <f t="shared" si="5"/>
        <v>263</v>
      </c>
      <c r="F329">
        <f>+COUNTIF(ADV!U:W,A329)</f>
        <v>1</v>
      </c>
      <c r="G329">
        <f>+COUNTIF(ADV!Z:Z,A329)+COUNTIF(ADV!X:X,A329)+COUNTIF(ADV!Y:Y,A329)</f>
        <v>0</v>
      </c>
      <c r="H329" t="s">
        <v>6393</v>
      </c>
    </row>
    <row r="330" spans="1:8" x14ac:dyDescent="0.2">
      <c r="A330" t="s">
        <v>4554</v>
      </c>
      <c r="C330">
        <v>1030019</v>
      </c>
      <c r="D330" t="s">
        <v>6068</v>
      </c>
      <c r="E330">
        <f t="shared" si="5"/>
        <v>58</v>
      </c>
      <c r="F330">
        <f>+COUNTIF(ADV!U:W,A330)</f>
        <v>1</v>
      </c>
      <c r="G330">
        <f>+COUNTIF(ADV!Z:Z,A330)+COUNTIF(ADV!X:X,A330)+COUNTIF(ADV!Y:Y,A330)</f>
        <v>0</v>
      </c>
      <c r="H330" t="s">
        <v>6094</v>
      </c>
    </row>
    <row r="331" spans="1:8" x14ac:dyDescent="0.2">
      <c r="A331" t="s">
        <v>3885</v>
      </c>
      <c r="C331">
        <v>1010148</v>
      </c>
      <c r="D331" t="s">
        <v>6068</v>
      </c>
      <c r="E331">
        <f t="shared" si="5"/>
        <v>117</v>
      </c>
      <c r="F331">
        <f>+COUNTIF(ADV!U:W,A331)</f>
        <v>1</v>
      </c>
      <c r="G331">
        <f>+COUNTIF(ADV!Z:Z,A331)+COUNTIF(ADV!X:X,A331)+COUNTIF(ADV!Y:Y,A331)</f>
        <v>1</v>
      </c>
      <c r="H331" t="s">
        <v>6394</v>
      </c>
    </row>
    <row r="332" spans="1:8" x14ac:dyDescent="0.2">
      <c r="A332" t="s">
        <v>2772</v>
      </c>
      <c r="C332">
        <v>1010034</v>
      </c>
      <c r="D332" t="s">
        <v>6068</v>
      </c>
      <c r="E332">
        <f t="shared" si="5"/>
        <v>258</v>
      </c>
      <c r="F332">
        <f>+COUNTIF(ADV!U:W,A332)</f>
        <v>1</v>
      </c>
      <c r="G332">
        <f>+COUNTIF(ADV!Z:Z,A332)+COUNTIF(ADV!X:X,A332)+COUNTIF(ADV!Y:Y,A332)</f>
        <v>0</v>
      </c>
      <c r="H332" t="s">
        <v>6395</v>
      </c>
    </row>
    <row r="333" spans="1:8" x14ac:dyDescent="0.2">
      <c r="A333" t="s">
        <v>2739</v>
      </c>
      <c r="C333">
        <v>1010007</v>
      </c>
      <c r="D333" t="s">
        <v>6068</v>
      </c>
      <c r="E333">
        <f t="shared" si="5"/>
        <v>216</v>
      </c>
      <c r="F333">
        <f>+COUNTIF(ADV!U:W,A333)</f>
        <v>1</v>
      </c>
      <c r="G333">
        <f>+COUNTIF(ADV!Z:Z,A333)+COUNTIF(ADV!X:X,A333)+COUNTIF(ADV!Y:Y,A333)</f>
        <v>0</v>
      </c>
      <c r="H333" t="s">
        <v>6396</v>
      </c>
    </row>
    <row r="334" spans="1:8" x14ac:dyDescent="0.2">
      <c r="A334" t="s">
        <v>1670</v>
      </c>
      <c r="C334">
        <v>1010090</v>
      </c>
      <c r="D334" t="s">
        <v>6068</v>
      </c>
      <c r="E334">
        <f t="shared" si="5"/>
        <v>175</v>
      </c>
      <c r="F334">
        <f>+COUNTIF(ADV!U:W,A334)</f>
        <v>1</v>
      </c>
      <c r="G334">
        <f>+COUNTIF(ADV!Z:Z,A334)+COUNTIF(ADV!X:X,A334)+COUNTIF(ADV!Y:Y,A334)</f>
        <v>0</v>
      </c>
      <c r="H334" t="s">
        <v>6397</v>
      </c>
    </row>
    <row r="335" spans="1:8" x14ac:dyDescent="0.2">
      <c r="A335" t="s">
        <v>2533</v>
      </c>
      <c r="C335">
        <v>1010062</v>
      </c>
      <c r="D335" t="s">
        <v>6068</v>
      </c>
      <c r="E335">
        <f t="shared" si="5"/>
        <v>204</v>
      </c>
      <c r="F335">
        <f>+COUNTIF(ADV!U:W,A335)</f>
        <v>1</v>
      </c>
      <c r="G335">
        <f>+COUNTIF(ADV!Z:Z,A335)+COUNTIF(ADV!X:X,A335)+COUNTIF(ADV!Y:Y,A335)</f>
        <v>0</v>
      </c>
      <c r="H335" t="s">
        <v>6398</v>
      </c>
    </row>
    <row r="336" spans="1:8" x14ac:dyDescent="0.2">
      <c r="A336" t="s">
        <v>4553</v>
      </c>
      <c r="C336">
        <v>1010063</v>
      </c>
      <c r="D336" t="s">
        <v>6068</v>
      </c>
      <c r="E336">
        <f t="shared" si="5"/>
        <v>289</v>
      </c>
      <c r="F336">
        <f>+COUNTIF(ADV!U:W,A336)</f>
        <v>1</v>
      </c>
      <c r="G336">
        <f>+COUNTIF(ADV!Z:Z,A336)+COUNTIF(ADV!X:X,A336)+COUNTIF(ADV!Y:Y,A336)</f>
        <v>0</v>
      </c>
      <c r="H336" t="s">
        <v>6399</v>
      </c>
    </row>
    <row r="337" spans="1:8" x14ac:dyDescent="0.2">
      <c r="A337" t="s">
        <v>4014</v>
      </c>
      <c r="C337">
        <v>1010066</v>
      </c>
      <c r="D337" t="s">
        <v>6068</v>
      </c>
      <c r="E337">
        <f t="shared" si="5"/>
        <v>781</v>
      </c>
      <c r="F337">
        <f>+COUNTIF(ADV!U:W,A337)</f>
        <v>1</v>
      </c>
      <c r="G337">
        <f>+COUNTIF(ADV!Z:Z,A337)+COUNTIF(ADV!X:X,A337)+COUNTIF(ADV!Y:Y,A337)</f>
        <v>0</v>
      </c>
      <c r="H337" t="s">
        <v>6400</v>
      </c>
    </row>
    <row r="338" spans="1:8" x14ac:dyDescent="0.2">
      <c r="A338" t="s">
        <v>2200</v>
      </c>
      <c r="C338">
        <v>1010168</v>
      </c>
      <c r="D338" t="s">
        <v>6068</v>
      </c>
      <c r="E338">
        <f t="shared" si="5"/>
        <v>1221</v>
      </c>
      <c r="F338">
        <f>+COUNTIF(ADV!U:W,A338)</f>
        <v>1</v>
      </c>
      <c r="G338">
        <f>+COUNTIF(ADV!Z:Z,A338)+COUNTIF(ADV!X:X,A338)+COUNTIF(ADV!Y:Y,A338)</f>
        <v>0</v>
      </c>
      <c r="H338" t="s">
        <v>6401</v>
      </c>
    </row>
    <row r="339" spans="1:8" x14ac:dyDescent="0.2">
      <c r="A339" t="s">
        <v>3217</v>
      </c>
      <c r="C339">
        <v>1010052</v>
      </c>
      <c r="D339" t="s">
        <v>6068</v>
      </c>
      <c r="E339">
        <f t="shared" si="5"/>
        <v>213</v>
      </c>
      <c r="F339">
        <f>+COUNTIF(ADV!U:W,A339)</f>
        <v>1</v>
      </c>
      <c r="G339">
        <f>+COUNTIF(ADV!Z:Z,A339)+COUNTIF(ADV!X:X,A339)+COUNTIF(ADV!Y:Y,A339)</f>
        <v>0</v>
      </c>
      <c r="H339" t="s">
        <v>6402</v>
      </c>
    </row>
    <row r="340" spans="1:8" x14ac:dyDescent="0.2">
      <c r="A340" t="s">
        <v>3287</v>
      </c>
      <c r="C340">
        <v>1010066</v>
      </c>
      <c r="D340" t="s">
        <v>6068</v>
      </c>
      <c r="E340">
        <f t="shared" si="5"/>
        <v>998</v>
      </c>
      <c r="F340">
        <f>+COUNTIF(ADV!U:W,A340)</f>
        <v>1</v>
      </c>
      <c r="G340">
        <f>+COUNTIF(ADV!Z:Z,A340)+COUNTIF(ADV!X:X,A340)+COUNTIF(ADV!Y:Y,A340)</f>
        <v>0</v>
      </c>
      <c r="H340" t="s">
        <v>6403</v>
      </c>
    </row>
    <row r="341" spans="1:8" x14ac:dyDescent="0.2">
      <c r="A341" t="s">
        <v>3288</v>
      </c>
      <c r="C341">
        <v>1020037</v>
      </c>
      <c r="D341" t="s">
        <v>6068</v>
      </c>
      <c r="E341">
        <f t="shared" si="5"/>
        <v>218</v>
      </c>
      <c r="F341">
        <f>+COUNTIF(ADV!U:W,A341)</f>
        <v>1</v>
      </c>
      <c r="G341">
        <f>+COUNTIF(ADV!Z:Z,A341)+COUNTIF(ADV!X:X,A341)+COUNTIF(ADV!Y:Y,A341)</f>
        <v>0</v>
      </c>
      <c r="H341" t="s">
        <v>6404</v>
      </c>
    </row>
    <row r="342" spans="1:8" x14ac:dyDescent="0.2">
      <c r="A342" t="s">
        <v>2083</v>
      </c>
      <c r="C342">
        <v>1010005</v>
      </c>
      <c r="D342" t="s">
        <v>6068</v>
      </c>
      <c r="E342">
        <f t="shared" si="5"/>
        <v>240</v>
      </c>
      <c r="F342">
        <f>+COUNTIF(ADV!U:W,A342)</f>
        <v>1</v>
      </c>
      <c r="G342">
        <f>+COUNTIF(ADV!Z:Z,A342)+COUNTIF(ADV!X:X,A342)+COUNTIF(ADV!Y:Y,A342)</f>
        <v>1</v>
      </c>
      <c r="H342" t="s">
        <v>6405</v>
      </c>
    </row>
    <row r="343" spans="1:8" x14ac:dyDescent="0.2">
      <c r="A343" t="s">
        <v>2441</v>
      </c>
      <c r="C343">
        <v>1010146</v>
      </c>
      <c r="D343" t="s">
        <v>6068</v>
      </c>
      <c r="E343">
        <f t="shared" si="5"/>
        <v>496</v>
      </c>
      <c r="F343">
        <f>+COUNTIF(ADV!U:W,A343)</f>
        <v>1</v>
      </c>
      <c r="G343">
        <f>+COUNTIF(ADV!Z:Z,A343)+COUNTIF(ADV!X:X,A343)+COUNTIF(ADV!Y:Y,A343)</f>
        <v>0</v>
      </c>
      <c r="H343" t="s">
        <v>6406</v>
      </c>
    </row>
    <row r="344" spans="1:8" x14ac:dyDescent="0.2">
      <c r="A344" t="s">
        <v>2322</v>
      </c>
      <c r="C344">
        <v>1020009</v>
      </c>
      <c r="D344" t="s">
        <v>6068</v>
      </c>
      <c r="E344">
        <f t="shared" si="5"/>
        <v>48</v>
      </c>
      <c r="F344">
        <f>+COUNTIF(ADV!U:W,A344)</f>
        <v>4</v>
      </c>
      <c r="G344">
        <f>+COUNTIF(ADV!Z:Z,A344)+COUNTIF(ADV!X:X,A344)+COUNTIF(ADV!Y:Y,A344)</f>
        <v>0</v>
      </c>
      <c r="H344" t="s">
        <v>6407</v>
      </c>
    </row>
    <row r="345" spans="1:8" x14ac:dyDescent="0.2">
      <c r="A345" t="s">
        <v>617</v>
      </c>
      <c r="C345">
        <v>1020009</v>
      </c>
      <c r="D345" t="s">
        <v>6068</v>
      </c>
      <c r="E345">
        <f t="shared" si="5"/>
        <v>47</v>
      </c>
      <c r="F345">
        <f>+COUNTIF(ADV!U:W,A345)</f>
        <v>3</v>
      </c>
      <c r="G345">
        <f>+COUNTIF(ADV!Z:Z,A345)+COUNTIF(ADV!X:X,A345)+COUNTIF(ADV!Y:Y,A345)</f>
        <v>0</v>
      </c>
      <c r="H345" t="s">
        <v>6408</v>
      </c>
    </row>
    <row r="346" spans="1:8" x14ac:dyDescent="0.2">
      <c r="A346" t="s">
        <v>172</v>
      </c>
      <c r="C346">
        <v>1020010</v>
      </c>
      <c r="D346" t="s">
        <v>6068</v>
      </c>
      <c r="E346">
        <f t="shared" si="5"/>
        <v>68</v>
      </c>
      <c r="F346">
        <f>+COUNTIF(ADV!U:W,A346)</f>
        <v>2</v>
      </c>
      <c r="G346">
        <f>+COUNTIF(ADV!Z:Z,A346)+COUNTIF(ADV!X:X,A346)+COUNTIF(ADV!Y:Y,A346)</f>
        <v>0</v>
      </c>
      <c r="H346" t="s">
        <v>6409</v>
      </c>
    </row>
    <row r="347" spans="1:8" x14ac:dyDescent="0.2">
      <c r="A347" t="s">
        <v>1735</v>
      </c>
      <c r="C347">
        <v>1070015</v>
      </c>
      <c r="D347" t="s">
        <v>6068</v>
      </c>
      <c r="E347">
        <f t="shared" si="5"/>
        <v>56</v>
      </c>
      <c r="F347">
        <f>+COUNTIF(ADV!U:W,A347)</f>
        <v>1</v>
      </c>
      <c r="G347">
        <f>+COUNTIF(ADV!Z:Z,A347)+COUNTIF(ADV!X:X,A347)+COUNTIF(ADV!Y:Y,A347)</f>
        <v>0</v>
      </c>
      <c r="H347" t="s">
        <v>6410</v>
      </c>
    </row>
    <row r="348" spans="1:8" x14ac:dyDescent="0.2">
      <c r="A348" t="s">
        <v>2096</v>
      </c>
      <c r="C348">
        <v>1070021</v>
      </c>
      <c r="D348" t="s">
        <v>6068</v>
      </c>
      <c r="E348">
        <f t="shared" si="5"/>
        <v>57</v>
      </c>
      <c r="F348">
        <f>+COUNTIF(ADV!U:W,A348)</f>
        <v>1</v>
      </c>
      <c r="G348">
        <f>+COUNTIF(ADV!Z:Z,A348)+COUNTIF(ADV!X:X,A348)+COUNTIF(ADV!Y:Y,A348)</f>
        <v>0</v>
      </c>
      <c r="H348" t="s">
        <v>6411</v>
      </c>
    </row>
    <row r="349" spans="1:8" x14ac:dyDescent="0.2">
      <c r="A349" t="s">
        <v>2037</v>
      </c>
      <c r="C349">
        <v>1030040</v>
      </c>
      <c r="D349" t="s">
        <v>6068</v>
      </c>
      <c r="E349">
        <f t="shared" si="5"/>
        <v>306</v>
      </c>
      <c r="F349">
        <f>+COUNTIF(ADV!U:W,A349)</f>
        <v>1</v>
      </c>
      <c r="G349">
        <f>+COUNTIF(ADV!Z:Z,A349)+COUNTIF(ADV!X:X,A349)+COUNTIF(ADV!Y:Y,A349)</f>
        <v>0</v>
      </c>
      <c r="H349" t="s">
        <v>6412</v>
      </c>
    </row>
    <row r="350" spans="1:8" x14ac:dyDescent="0.2">
      <c r="A350" t="s">
        <v>4028</v>
      </c>
      <c r="C350">
        <v>1010037</v>
      </c>
      <c r="D350" t="s">
        <v>6068</v>
      </c>
      <c r="E350">
        <f t="shared" si="5"/>
        <v>478</v>
      </c>
      <c r="F350">
        <f>+COUNTIF(ADV!U:W,A350)</f>
        <v>1</v>
      </c>
      <c r="G350">
        <f>+COUNTIF(ADV!Z:Z,A350)+COUNTIF(ADV!X:X,A350)+COUNTIF(ADV!Y:Y,A350)</f>
        <v>0</v>
      </c>
      <c r="H350" t="s">
        <v>6413</v>
      </c>
    </row>
    <row r="351" spans="1:8" x14ac:dyDescent="0.2">
      <c r="A351" t="s">
        <v>3218</v>
      </c>
      <c r="C351">
        <v>1020002</v>
      </c>
      <c r="D351" t="s">
        <v>6068</v>
      </c>
      <c r="E351">
        <f t="shared" si="5"/>
        <v>113</v>
      </c>
      <c r="F351">
        <f>+COUNTIF(ADV!U:W,A351)</f>
        <v>1</v>
      </c>
      <c r="G351">
        <f>+COUNTIF(ADV!Z:Z,A351)+COUNTIF(ADV!X:X,A351)+COUNTIF(ADV!Y:Y,A351)</f>
        <v>0</v>
      </c>
      <c r="H351" t="s">
        <v>6414</v>
      </c>
    </row>
    <row r="352" spans="1:8" x14ac:dyDescent="0.2">
      <c r="A352" t="s">
        <v>4396</v>
      </c>
      <c r="C352">
        <v>1020002</v>
      </c>
      <c r="D352" t="s">
        <v>6068</v>
      </c>
      <c r="E352">
        <f t="shared" si="5"/>
        <v>113</v>
      </c>
      <c r="F352">
        <f>+COUNTIF(ADV!U:W,A352)</f>
        <v>1</v>
      </c>
      <c r="G352">
        <f>+COUNTIF(ADV!Z:Z,A352)+COUNTIF(ADV!X:X,A352)+COUNTIF(ADV!Y:Y,A352)</f>
        <v>0</v>
      </c>
      <c r="H352" t="s">
        <v>6415</v>
      </c>
    </row>
    <row r="353" spans="1:8" x14ac:dyDescent="0.2">
      <c r="A353" t="s">
        <v>2731</v>
      </c>
      <c r="C353">
        <v>1010011</v>
      </c>
      <c r="D353" t="s">
        <v>6068</v>
      </c>
      <c r="E353">
        <f t="shared" si="5"/>
        <v>336</v>
      </c>
      <c r="F353">
        <f>+COUNTIF(ADV!U:W,A353)</f>
        <v>1</v>
      </c>
      <c r="G353">
        <f>+COUNTIF(ADV!Z:Z,A353)+COUNTIF(ADV!X:X,A353)+COUNTIF(ADV!Y:Y,A353)</f>
        <v>1</v>
      </c>
      <c r="H353" t="s">
        <v>6416</v>
      </c>
    </row>
    <row r="354" spans="1:8" x14ac:dyDescent="0.2">
      <c r="A354" t="s">
        <v>467</v>
      </c>
      <c r="C354">
        <v>1010013</v>
      </c>
      <c r="D354" t="s">
        <v>6068</v>
      </c>
      <c r="E354">
        <f t="shared" si="5"/>
        <v>505</v>
      </c>
      <c r="F354">
        <f>+COUNTIF(ADV!U:W,A354)</f>
        <v>1</v>
      </c>
      <c r="G354">
        <f>+COUNTIF(ADV!Z:Z,A354)+COUNTIF(ADV!X:X,A354)+COUNTIF(ADV!Y:Y,A354)</f>
        <v>0</v>
      </c>
      <c r="H354" t="s">
        <v>6417</v>
      </c>
    </row>
    <row r="355" spans="1:8" x14ac:dyDescent="0.2">
      <c r="A355" t="s">
        <v>4309</v>
      </c>
      <c r="C355">
        <v>1010063</v>
      </c>
      <c r="D355" t="s">
        <v>6068</v>
      </c>
      <c r="E355">
        <f t="shared" si="5"/>
        <v>171</v>
      </c>
      <c r="F355">
        <f>+COUNTIF(ADV!U:W,A355)</f>
        <v>1</v>
      </c>
      <c r="G355">
        <f>+COUNTIF(ADV!Z:Z,A355)+COUNTIF(ADV!X:X,A355)+COUNTIF(ADV!Y:Y,A355)</f>
        <v>0</v>
      </c>
      <c r="H355" t="s">
        <v>6418</v>
      </c>
    </row>
    <row r="356" spans="1:8" x14ac:dyDescent="0.2">
      <c r="A356" t="s">
        <v>3067</v>
      </c>
      <c r="C356">
        <v>1010145</v>
      </c>
      <c r="D356" t="s">
        <v>6068</v>
      </c>
      <c r="E356">
        <f t="shared" si="5"/>
        <v>100</v>
      </c>
      <c r="F356">
        <f>+COUNTIF(ADV!U:W,A356)</f>
        <v>1</v>
      </c>
      <c r="G356">
        <f>+COUNTIF(ADV!Z:Z,A356)+COUNTIF(ADV!X:X,A356)+COUNTIF(ADV!Y:Y,A356)</f>
        <v>0</v>
      </c>
      <c r="H356" t="s">
        <v>6419</v>
      </c>
    </row>
    <row r="357" spans="1:8" x14ac:dyDescent="0.2">
      <c r="A357" t="s">
        <v>153</v>
      </c>
      <c r="C357">
        <v>1010040</v>
      </c>
      <c r="D357" t="s">
        <v>6068</v>
      </c>
      <c r="E357">
        <f t="shared" si="5"/>
        <v>287</v>
      </c>
      <c r="F357">
        <f>+COUNTIF(ADV!U:W,A357)</f>
        <v>1</v>
      </c>
      <c r="G357">
        <f>+COUNTIF(ADV!Z:Z,A357)+COUNTIF(ADV!X:X,A357)+COUNTIF(ADV!Y:Y,A357)</f>
        <v>0</v>
      </c>
      <c r="H357" t="s">
        <v>6420</v>
      </c>
    </row>
    <row r="358" spans="1:8" x14ac:dyDescent="0.2">
      <c r="A358" t="s">
        <v>994</v>
      </c>
      <c r="C358">
        <v>1010086</v>
      </c>
      <c r="D358" t="s">
        <v>6068</v>
      </c>
      <c r="E358">
        <f t="shared" si="5"/>
        <v>213</v>
      </c>
      <c r="F358">
        <f>+COUNTIF(ADV!U:W,A358)</f>
        <v>1</v>
      </c>
      <c r="G358">
        <f>+COUNTIF(ADV!Z:Z,A358)+COUNTIF(ADV!X:X,A358)+COUNTIF(ADV!Y:Y,A358)</f>
        <v>0</v>
      </c>
      <c r="H358" t="s">
        <v>6421</v>
      </c>
    </row>
    <row r="359" spans="1:8" x14ac:dyDescent="0.2">
      <c r="A359" t="s">
        <v>549</v>
      </c>
      <c r="C359">
        <v>1010163</v>
      </c>
      <c r="D359" t="s">
        <v>6068</v>
      </c>
      <c r="E359">
        <f t="shared" si="5"/>
        <v>407</v>
      </c>
      <c r="F359">
        <f>+COUNTIF(ADV!U:W,A359)</f>
        <v>1</v>
      </c>
      <c r="G359">
        <f>+COUNTIF(ADV!Z:Z,A359)+COUNTIF(ADV!X:X,A359)+COUNTIF(ADV!Y:Y,A359)</f>
        <v>0</v>
      </c>
      <c r="H359" t="s">
        <v>6422</v>
      </c>
    </row>
    <row r="360" spans="1:8" x14ac:dyDescent="0.2">
      <c r="A360" t="s">
        <v>3170</v>
      </c>
      <c r="C360">
        <v>1020022</v>
      </c>
      <c r="D360" t="s">
        <v>6068</v>
      </c>
      <c r="E360">
        <f t="shared" si="5"/>
        <v>293</v>
      </c>
      <c r="F360">
        <f>+COUNTIF(ADV!U:W,A360)</f>
        <v>1</v>
      </c>
      <c r="G360">
        <f>+COUNTIF(ADV!Z:Z,A360)+COUNTIF(ADV!X:X,A360)+COUNTIF(ADV!Y:Y,A360)</f>
        <v>0</v>
      </c>
      <c r="H360" t="s">
        <v>6423</v>
      </c>
    </row>
    <row r="361" spans="1:8" x14ac:dyDescent="0.2">
      <c r="A361" t="s">
        <v>436</v>
      </c>
      <c r="C361">
        <v>1010191</v>
      </c>
      <c r="D361" t="s">
        <v>6068</v>
      </c>
      <c r="E361">
        <f t="shared" si="5"/>
        <v>331</v>
      </c>
      <c r="F361">
        <f>+COUNTIF(ADV!U:W,A361)</f>
        <v>1</v>
      </c>
      <c r="G361">
        <f>+COUNTIF(ADV!Z:Z,A361)+COUNTIF(ADV!X:X,A361)+COUNTIF(ADV!Y:Y,A361)</f>
        <v>1</v>
      </c>
      <c r="H361" t="s">
        <v>6424</v>
      </c>
    </row>
    <row r="362" spans="1:8" x14ac:dyDescent="0.2">
      <c r="A362" t="s">
        <v>1091</v>
      </c>
      <c r="C362">
        <v>1020031</v>
      </c>
      <c r="D362" t="s">
        <v>6068</v>
      </c>
      <c r="E362">
        <f t="shared" si="5"/>
        <v>94</v>
      </c>
      <c r="F362">
        <f>+COUNTIF(ADV!U:W,A362)</f>
        <v>1</v>
      </c>
      <c r="G362">
        <f>+COUNTIF(ADV!Z:Z,A362)+COUNTIF(ADV!X:X,A362)+COUNTIF(ADV!Y:Y,A362)</f>
        <v>0</v>
      </c>
      <c r="H362" t="s">
        <v>6425</v>
      </c>
    </row>
    <row r="363" spans="1:8" x14ac:dyDescent="0.2">
      <c r="A363" t="s">
        <v>2878</v>
      </c>
      <c r="C363">
        <v>1030038</v>
      </c>
      <c r="D363" t="s">
        <v>6068</v>
      </c>
      <c r="E363">
        <f t="shared" si="5"/>
        <v>306</v>
      </c>
      <c r="F363">
        <f>+COUNTIF(ADV!U:W,A363)</f>
        <v>2</v>
      </c>
      <c r="G363">
        <f>+COUNTIF(ADV!Z:Z,A363)+COUNTIF(ADV!X:X,A363)+COUNTIF(ADV!Y:Y,A363)</f>
        <v>0</v>
      </c>
      <c r="H363" t="s">
        <v>6426</v>
      </c>
    </row>
    <row r="364" spans="1:8" x14ac:dyDescent="0.2">
      <c r="A364" t="s">
        <v>1835</v>
      </c>
      <c r="C364">
        <v>1010088</v>
      </c>
      <c r="D364" t="s">
        <v>6068</v>
      </c>
      <c r="E364">
        <f t="shared" si="5"/>
        <v>394</v>
      </c>
      <c r="F364">
        <f>+COUNTIF(ADV!U:W,A364)</f>
        <v>1</v>
      </c>
      <c r="G364">
        <f>+COUNTIF(ADV!Z:Z,A364)+COUNTIF(ADV!X:X,A364)+COUNTIF(ADV!Y:Y,A364)</f>
        <v>0</v>
      </c>
      <c r="H364" t="s">
        <v>6427</v>
      </c>
    </row>
    <row r="365" spans="1:8" x14ac:dyDescent="0.2">
      <c r="A365" t="s">
        <v>1195</v>
      </c>
      <c r="C365">
        <v>1010066</v>
      </c>
      <c r="D365" t="s">
        <v>6068</v>
      </c>
      <c r="E365">
        <f t="shared" si="5"/>
        <v>779</v>
      </c>
      <c r="F365">
        <f>+COUNTIF(ADV!U:W,A365)</f>
        <v>1</v>
      </c>
      <c r="G365">
        <f>+COUNTIF(ADV!Z:Z,A365)+COUNTIF(ADV!X:X,A365)+COUNTIF(ADV!Y:Y,A365)</f>
        <v>0</v>
      </c>
      <c r="H365" t="s">
        <v>6428</v>
      </c>
    </row>
    <row r="366" spans="1:8" x14ac:dyDescent="0.2">
      <c r="A366" t="s">
        <v>1703</v>
      </c>
      <c r="C366">
        <v>1010197</v>
      </c>
      <c r="D366" t="s">
        <v>6068</v>
      </c>
      <c r="E366">
        <f t="shared" si="5"/>
        <v>998</v>
      </c>
      <c r="F366">
        <f>+COUNTIF(ADV!U:W,A366)</f>
        <v>1</v>
      </c>
      <c r="G366">
        <f>+COUNTIF(ADV!Z:Z,A366)+COUNTIF(ADV!X:X,A366)+COUNTIF(ADV!Y:Y,A366)</f>
        <v>0</v>
      </c>
      <c r="H366" t="s">
        <v>6429</v>
      </c>
    </row>
    <row r="367" spans="1:8" x14ac:dyDescent="0.2">
      <c r="A367" t="s">
        <v>633</v>
      </c>
      <c r="C367">
        <v>1010070</v>
      </c>
      <c r="D367" t="s">
        <v>6068</v>
      </c>
      <c r="E367">
        <f t="shared" si="5"/>
        <v>332</v>
      </c>
      <c r="F367">
        <f>+COUNTIF(ADV!U:W,A367)</f>
        <v>1</v>
      </c>
      <c r="G367">
        <f>+COUNTIF(ADV!Z:Z,A367)+COUNTIF(ADV!X:X,A367)+COUNTIF(ADV!Y:Y,A367)</f>
        <v>0</v>
      </c>
      <c r="H367" t="s">
        <v>6430</v>
      </c>
    </row>
    <row r="368" spans="1:8" x14ac:dyDescent="0.2">
      <c r="A368" t="s">
        <v>652</v>
      </c>
      <c r="C368">
        <v>1090001</v>
      </c>
      <c r="D368" t="s">
        <v>6068</v>
      </c>
      <c r="E368">
        <f t="shared" si="5"/>
        <v>243</v>
      </c>
      <c r="F368">
        <f>+COUNTIF(ADV!U:W,A368)</f>
        <v>1</v>
      </c>
      <c r="G368">
        <f>+COUNTIF(ADV!Z:Z,A368)+COUNTIF(ADV!X:X,A368)+COUNTIF(ADV!Y:Y,A368)</f>
        <v>1</v>
      </c>
      <c r="H368" t="s">
        <v>6431</v>
      </c>
    </row>
    <row r="369" spans="1:8" x14ac:dyDescent="0.2">
      <c r="A369" t="s">
        <v>4195</v>
      </c>
      <c r="C369">
        <v>1040017</v>
      </c>
      <c r="D369" t="s">
        <v>6068</v>
      </c>
      <c r="E369">
        <f t="shared" si="5"/>
        <v>56</v>
      </c>
      <c r="F369">
        <f>+COUNTIF(ADV!U:W,A369)</f>
        <v>1</v>
      </c>
      <c r="G369">
        <f>+COUNTIF(ADV!Z:Z,A369)+COUNTIF(ADV!X:X,A369)+COUNTIF(ADV!Y:Y,A369)</f>
        <v>0</v>
      </c>
      <c r="H369" t="s">
        <v>6432</v>
      </c>
    </row>
    <row r="370" spans="1:8" x14ac:dyDescent="0.2">
      <c r="A370" t="s">
        <v>3973</v>
      </c>
      <c r="C370">
        <v>1070017</v>
      </c>
      <c r="D370" t="s">
        <v>6068</v>
      </c>
      <c r="E370">
        <f t="shared" si="5"/>
        <v>50</v>
      </c>
      <c r="F370">
        <f>+COUNTIF(ADV!U:W,A370)</f>
        <v>1</v>
      </c>
      <c r="G370">
        <f>+COUNTIF(ADV!Z:Z,A370)+COUNTIF(ADV!X:X,A370)+COUNTIF(ADV!Y:Y,A370)</f>
        <v>2</v>
      </c>
      <c r="H370" t="s">
        <v>6433</v>
      </c>
    </row>
    <row r="371" spans="1:8" x14ac:dyDescent="0.2">
      <c r="A371" t="s">
        <v>4524</v>
      </c>
      <c r="C371">
        <v>1010193</v>
      </c>
      <c r="D371" t="s">
        <v>6068</v>
      </c>
      <c r="E371">
        <f t="shared" si="5"/>
        <v>390</v>
      </c>
      <c r="F371">
        <f>+COUNTIF(ADV!U:W,A371)</f>
        <v>1</v>
      </c>
      <c r="G371">
        <f>+COUNTIF(ADV!Z:Z,A371)+COUNTIF(ADV!X:X,A371)+COUNTIF(ADV!Y:Y,A371)</f>
        <v>0</v>
      </c>
      <c r="H371" t="s">
        <v>6434</v>
      </c>
    </row>
    <row r="372" spans="1:8" x14ac:dyDescent="0.2">
      <c r="A372" t="s">
        <v>2505</v>
      </c>
      <c r="C372">
        <v>1010117</v>
      </c>
      <c r="D372" t="s">
        <v>6068</v>
      </c>
      <c r="E372">
        <f t="shared" si="5"/>
        <v>103</v>
      </c>
      <c r="F372">
        <f>+COUNTIF(ADV!U:W,A372)</f>
        <v>1</v>
      </c>
      <c r="G372">
        <f>+COUNTIF(ADV!Z:Z,A372)+COUNTIF(ADV!X:X,A372)+COUNTIF(ADV!Y:Y,A372)</f>
        <v>3</v>
      </c>
      <c r="H372" t="s">
        <v>6435</v>
      </c>
    </row>
    <row r="373" spans="1:8" x14ac:dyDescent="0.2">
      <c r="A373" t="s">
        <v>2503</v>
      </c>
      <c r="C373">
        <v>1010008</v>
      </c>
      <c r="D373" t="s">
        <v>6068</v>
      </c>
      <c r="E373">
        <f t="shared" si="5"/>
        <v>53</v>
      </c>
      <c r="F373">
        <f>+COUNTIF(ADV!U:W,A373)</f>
        <v>2</v>
      </c>
      <c r="G373">
        <f>+COUNTIF(ADV!Z:Z,A373)+COUNTIF(ADV!X:X,A373)+COUNTIF(ADV!Y:Y,A373)</f>
        <v>0</v>
      </c>
      <c r="H373" t="s">
        <v>6436</v>
      </c>
    </row>
    <row r="374" spans="1:8" x14ac:dyDescent="0.2">
      <c r="A374" t="s">
        <v>2718</v>
      </c>
      <c r="C374">
        <v>1010187</v>
      </c>
      <c r="D374" t="s">
        <v>6068</v>
      </c>
      <c r="E374">
        <f t="shared" si="5"/>
        <v>360</v>
      </c>
      <c r="F374">
        <f>+COUNTIF(ADV!U:W,A374)</f>
        <v>1</v>
      </c>
      <c r="G374">
        <f>+COUNTIF(ADV!Z:Z,A374)+COUNTIF(ADV!X:X,A374)+COUNTIF(ADV!Y:Y,A374)</f>
        <v>1</v>
      </c>
      <c r="H374" t="s">
        <v>6437</v>
      </c>
    </row>
    <row r="375" spans="1:8" x14ac:dyDescent="0.2">
      <c r="A375" t="s">
        <v>864</v>
      </c>
      <c r="C375">
        <v>1010013</v>
      </c>
      <c r="D375" t="s">
        <v>6068</v>
      </c>
      <c r="E375">
        <f t="shared" si="5"/>
        <v>74</v>
      </c>
      <c r="F375">
        <f>+COUNTIF(ADV!U:W,A375)</f>
        <v>1</v>
      </c>
      <c r="G375">
        <f>+COUNTIF(ADV!Z:Z,A375)+COUNTIF(ADV!X:X,A375)+COUNTIF(ADV!Y:Y,A375)</f>
        <v>0</v>
      </c>
      <c r="H375" t="s">
        <v>6438</v>
      </c>
    </row>
    <row r="376" spans="1:8" x14ac:dyDescent="0.2">
      <c r="A376" t="s">
        <v>987</v>
      </c>
      <c r="C376">
        <v>1020002</v>
      </c>
      <c r="D376" t="s">
        <v>6068</v>
      </c>
      <c r="E376">
        <f t="shared" si="5"/>
        <v>83</v>
      </c>
      <c r="F376">
        <f>+COUNTIF(ADV!U:W,A376)</f>
        <v>1</v>
      </c>
      <c r="G376">
        <f>+COUNTIF(ADV!Z:Z,A376)+COUNTIF(ADV!X:X,A376)+COUNTIF(ADV!Y:Y,A376)</f>
        <v>1</v>
      </c>
      <c r="H376" t="s">
        <v>6439</v>
      </c>
    </row>
    <row r="377" spans="1:8" x14ac:dyDescent="0.2">
      <c r="A377" t="s">
        <v>3605</v>
      </c>
      <c r="C377">
        <v>1010002</v>
      </c>
      <c r="D377" t="s">
        <v>6068</v>
      </c>
      <c r="E377">
        <f t="shared" si="5"/>
        <v>37</v>
      </c>
      <c r="F377">
        <f>+COUNTIF(ADV!U:W,A377)</f>
        <v>2</v>
      </c>
      <c r="G377">
        <f>+COUNTIF(ADV!Z:Z,A377)+COUNTIF(ADV!X:X,A377)+COUNTIF(ADV!Y:Y,A377)</f>
        <v>0</v>
      </c>
      <c r="H377" t="s">
        <v>6440</v>
      </c>
    </row>
    <row r="378" spans="1:8" x14ac:dyDescent="0.2">
      <c r="A378" t="s">
        <v>878</v>
      </c>
      <c r="C378">
        <v>1010002</v>
      </c>
      <c r="D378" t="s">
        <v>6068</v>
      </c>
      <c r="E378">
        <f t="shared" si="5"/>
        <v>37</v>
      </c>
      <c r="F378">
        <f>+COUNTIF(ADV!U:W,A378)</f>
        <v>3</v>
      </c>
      <c r="G378">
        <f>+COUNTIF(ADV!Z:Z,A378)+COUNTIF(ADV!X:X,A378)+COUNTIF(ADV!Y:Y,A378)</f>
        <v>0</v>
      </c>
      <c r="H378" t="s">
        <v>6441</v>
      </c>
    </row>
    <row r="379" spans="1:8" x14ac:dyDescent="0.2">
      <c r="A379" t="s">
        <v>938</v>
      </c>
      <c r="C379">
        <v>1010002</v>
      </c>
      <c r="D379" t="s">
        <v>6068</v>
      </c>
      <c r="E379">
        <f t="shared" si="5"/>
        <v>37</v>
      </c>
      <c r="F379">
        <f>+COUNTIF(ADV!U:W,A379)</f>
        <v>8</v>
      </c>
      <c r="G379">
        <f>+COUNTIF(ADV!Z:Z,A379)+COUNTIF(ADV!X:X,A379)+COUNTIF(ADV!Y:Y,A379)</f>
        <v>0</v>
      </c>
      <c r="H379" t="s">
        <v>6442</v>
      </c>
    </row>
    <row r="380" spans="1:8" x14ac:dyDescent="0.2">
      <c r="A380" t="s">
        <v>2349</v>
      </c>
      <c r="C380">
        <v>1010036</v>
      </c>
      <c r="D380" t="s">
        <v>6068</v>
      </c>
      <c r="E380">
        <f t="shared" si="5"/>
        <v>132</v>
      </c>
      <c r="F380">
        <f>+COUNTIF(ADV!U:W,A380)</f>
        <v>1</v>
      </c>
      <c r="G380">
        <f>+COUNTIF(ADV!Z:Z,A380)+COUNTIF(ADV!X:X,A380)+COUNTIF(ADV!Y:Y,A380)</f>
        <v>0</v>
      </c>
      <c r="H380" t="s">
        <v>6443</v>
      </c>
    </row>
    <row r="381" spans="1:8" x14ac:dyDescent="0.2">
      <c r="A381" t="s">
        <v>316</v>
      </c>
      <c r="C381">
        <v>1020004</v>
      </c>
      <c r="D381" t="s">
        <v>6068</v>
      </c>
      <c r="E381">
        <f t="shared" si="5"/>
        <v>39</v>
      </c>
      <c r="F381">
        <f>+COUNTIF(ADV!U:W,A381)</f>
        <v>2</v>
      </c>
      <c r="G381">
        <f>+COUNTIF(ADV!Z:Z,A381)+COUNTIF(ADV!X:X,A381)+COUNTIF(ADV!Y:Y,A381)</f>
        <v>0</v>
      </c>
      <c r="H381" t="s">
        <v>6444</v>
      </c>
    </row>
    <row r="382" spans="1:8" x14ac:dyDescent="0.2">
      <c r="A382" t="s">
        <v>1804</v>
      </c>
      <c r="C382">
        <v>1020004</v>
      </c>
      <c r="D382" t="s">
        <v>6068</v>
      </c>
      <c r="E382">
        <f t="shared" si="5"/>
        <v>38</v>
      </c>
      <c r="F382">
        <f>+COUNTIF(ADV!U:W,A382)</f>
        <v>2</v>
      </c>
      <c r="G382">
        <f>+COUNTIF(ADV!Z:Z,A382)+COUNTIF(ADV!X:X,A382)+COUNTIF(ADV!Y:Y,A382)</f>
        <v>0</v>
      </c>
      <c r="H382" t="s">
        <v>6445</v>
      </c>
    </row>
    <row r="383" spans="1:8" x14ac:dyDescent="0.2">
      <c r="A383" t="s">
        <v>2019</v>
      </c>
      <c r="C383">
        <v>1020004</v>
      </c>
      <c r="D383" t="s">
        <v>6068</v>
      </c>
      <c r="E383">
        <f t="shared" si="5"/>
        <v>38</v>
      </c>
      <c r="F383">
        <f>+COUNTIF(ADV!U:W,A383)</f>
        <v>1</v>
      </c>
      <c r="G383">
        <f>+COUNTIF(ADV!Z:Z,A383)+COUNTIF(ADV!X:X,A383)+COUNTIF(ADV!Y:Y,A383)</f>
        <v>0</v>
      </c>
      <c r="H383" t="s">
        <v>6446</v>
      </c>
    </row>
    <row r="384" spans="1:8" x14ac:dyDescent="0.2">
      <c r="A384" t="s">
        <v>668</v>
      </c>
      <c r="C384">
        <v>1010007</v>
      </c>
      <c r="D384" t="s">
        <v>6068</v>
      </c>
      <c r="E384">
        <f t="shared" si="5"/>
        <v>50</v>
      </c>
      <c r="F384">
        <f>+COUNTIF(ADV!U:W,A384)</f>
        <v>6</v>
      </c>
      <c r="G384">
        <f>+COUNTIF(ADV!Z:Z,A384)+COUNTIF(ADV!X:X,A384)+COUNTIF(ADV!Y:Y,A384)</f>
        <v>0</v>
      </c>
      <c r="H384" t="s">
        <v>6447</v>
      </c>
    </row>
    <row r="385" spans="1:8" x14ac:dyDescent="0.2">
      <c r="A385" t="s">
        <v>3828</v>
      </c>
      <c r="C385">
        <v>1010138</v>
      </c>
      <c r="D385" t="s">
        <v>6068</v>
      </c>
      <c r="E385">
        <f t="shared" si="5"/>
        <v>127</v>
      </c>
      <c r="F385">
        <f>+COUNTIF(ADV!U:W,A385)</f>
        <v>1</v>
      </c>
      <c r="G385">
        <f>+COUNTIF(ADV!Z:Z,A385)+COUNTIF(ADV!X:X,A385)+COUNTIF(ADV!Y:Y,A385)</f>
        <v>1</v>
      </c>
      <c r="H385" t="s">
        <v>6448</v>
      </c>
    </row>
    <row r="386" spans="1:8" x14ac:dyDescent="0.2">
      <c r="A386" t="s">
        <v>4411</v>
      </c>
      <c r="C386">
        <v>1010132</v>
      </c>
      <c r="D386" t="s">
        <v>6068</v>
      </c>
      <c r="E386">
        <f t="shared" ref="E386:E449" si="6">+LEN(H386)</f>
        <v>102</v>
      </c>
      <c r="F386">
        <f>+COUNTIF(ADV!U:W,A386)</f>
        <v>1</v>
      </c>
      <c r="G386">
        <f>+COUNTIF(ADV!Z:Z,A386)+COUNTIF(ADV!X:X,A386)+COUNTIF(ADV!Y:Y,A386)</f>
        <v>1</v>
      </c>
      <c r="H386" t="s">
        <v>6449</v>
      </c>
    </row>
    <row r="387" spans="1:8" x14ac:dyDescent="0.2">
      <c r="A387" t="s">
        <v>670</v>
      </c>
      <c r="C387">
        <v>1010007</v>
      </c>
      <c r="D387" t="s">
        <v>6068</v>
      </c>
      <c r="E387">
        <f t="shared" si="6"/>
        <v>90</v>
      </c>
      <c r="F387">
        <f>+COUNTIF(ADV!U:W,A387)</f>
        <v>13</v>
      </c>
      <c r="G387">
        <f>+COUNTIF(ADV!Z:Z,A387)+COUNTIF(ADV!X:X,A387)+COUNTIF(ADV!Y:Y,A387)</f>
        <v>22</v>
      </c>
      <c r="H387" t="s">
        <v>6450</v>
      </c>
    </row>
    <row r="388" spans="1:8" x14ac:dyDescent="0.2">
      <c r="A388" t="s">
        <v>1591</v>
      </c>
      <c r="C388">
        <v>1010007</v>
      </c>
      <c r="D388" t="s">
        <v>6068</v>
      </c>
      <c r="E388">
        <f t="shared" si="6"/>
        <v>49</v>
      </c>
      <c r="F388">
        <f>+COUNTIF(ADV!U:W,A388)</f>
        <v>5</v>
      </c>
      <c r="G388">
        <f>+COUNTIF(ADV!Z:Z,A388)+COUNTIF(ADV!X:X,A388)+COUNTIF(ADV!Y:Y,A388)</f>
        <v>0</v>
      </c>
      <c r="H388" t="s">
        <v>6451</v>
      </c>
    </row>
    <row r="389" spans="1:8" x14ac:dyDescent="0.2">
      <c r="A389" t="s">
        <v>1013</v>
      </c>
      <c r="C389">
        <v>1010007</v>
      </c>
      <c r="D389" t="s">
        <v>6068</v>
      </c>
      <c r="E389">
        <f t="shared" si="6"/>
        <v>49</v>
      </c>
      <c r="F389">
        <f>+COUNTIF(ADV!U:W,A389)</f>
        <v>1</v>
      </c>
      <c r="G389">
        <f>+COUNTIF(ADV!Z:Z,A389)+COUNTIF(ADV!X:X,A389)+COUNTIF(ADV!Y:Y,A389)</f>
        <v>0</v>
      </c>
      <c r="H389" t="s">
        <v>6452</v>
      </c>
    </row>
    <row r="390" spans="1:8" x14ac:dyDescent="0.2">
      <c r="A390" t="s">
        <v>4223</v>
      </c>
      <c r="C390">
        <v>1020005</v>
      </c>
      <c r="D390" t="s">
        <v>6068</v>
      </c>
      <c r="E390">
        <f t="shared" si="6"/>
        <v>144</v>
      </c>
      <c r="F390">
        <f>+COUNTIF(ADV!U:W,A390)</f>
        <v>1</v>
      </c>
      <c r="G390">
        <f>+COUNTIF(ADV!Z:Z,A390)+COUNTIF(ADV!X:X,A390)+COUNTIF(ADV!Y:Y,A390)</f>
        <v>0</v>
      </c>
      <c r="H390" t="s">
        <v>6453</v>
      </c>
    </row>
    <row r="391" spans="1:8" x14ac:dyDescent="0.2">
      <c r="A391" t="s">
        <v>227</v>
      </c>
      <c r="C391">
        <v>1020002</v>
      </c>
      <c r="D391" t="s">
        <v>6068</v>
      </c>
      <c r="E391">
        <f t="shared" si="6"/>
        <v>153</v>
      </c>
      <c r="F391">
        <f>+COUNTIF(ADV!U:W,A391)</f>
        <v>3</v>
      </c>
      <c r="G391">
        <f>+COUNTIF(ADV!Z:Z,A391)+COUNTIF(ADV!X:X,A391)+COUNTIF(ADV!Y:Y,A391)</f>
        <v>0</v>
      </c>
      <c r="H391" t="s">
        <v>6454</v>
      </c>
    </row>
    <row r="392" spans="1:8" x14ac:dyDescent="0.2">
      <c r="A392" t="s">
        <v>2376</v>
      </c>
      <c r="C392">
        <v>1020002</v>
      </c>
      <c r="D392" t="s">
        <v>6068</v>
      </c>
      <c r="E392">
        <f t="shared" si="6"/>
        <v>86</v>
      </c>
      <c r="F392">
        <f>+COUNTIF(ADV!U:W,A392)</f>
        <v>2</v>
      </c>
      <c r="G392">
        <f>+COUNTIF(ADV!Z:Z,A392)+COUNTIF(ADV!X:X,A392)+COUNTIF(ADV!Y:Y,A392)</f>
        <v>0</v>
      </c>
      <c r="H392" t="s">
        <v>6455</v>
      </c>
    </row>
    <row r="393" spans="1:8" x14ac:dyDescent="0.2">
      <c r="A393" t="s">
        <v>152</v>
      </c>
      <c r="C393">
        <v>1030010</v>
      </c>
      <c r="D393" t="s">
        <v>6068</v>
      </c>
      <c r="E393">
        <f t="shared" si="6"/>
        <v>40</v>
      </c>
      <c r="F393">
        <f>+COUNTIF(ADV!U:W,A393)</f>
        <v>17</v>
      </c>
      <c r="G393">
        <f>+COUNTIF(ADV!Z:Z,A393)+COUNTIF(ADV!X:X,A393)+COUNTIF(ADV!Y:Y,A393)</f>
        <v>0</v>
      </c>
      <c r="H393" t="s">
        <v>6456</v>
      </c>
    </row>
    <row r="394" spans="1:8" x14ac:dyDescent="0.2">
      <c r="A394" t="s">
        <v>300</v>
      </c>
      <c r="C394">
        <v>1030010</v>
      </c>
      <c r="D394" t="s">
        <v>6068</v>
      </c>
      <c r="E394">
        <f t="shared" si="6"/>
        <v>39</v>
      </c>
      <c r="F394">
        <f>+COUNTIF(ADV!U:W,A394)</f>
        <v>4</v>
      </c>
      <c r="G394">
        <f>+COUNTIF(ADV!Z:Z,A394)+COUNTIF(ADV!X:X,A394)+COUNTIF(ADV!Y:Y,A394)</f>
        <v>0</v>
      </c>
      <c r="H394" t="s">
        <v>6457</v>
      </c>
    </row>
    <row r="395" spans="1:8" x14ac:dyDescent="0.2">
      <c r="A395" t="s">
        <v>4153</v>
      </c>
      <c r="C395">
        <v>1010183</v>
      </c>
      <c r="D395" t="s">
        <v>6068</v>
      </c>
      <c r="E395">
        <f t="shared" si="6"/>
        <v>104</v>
      </c>
      <c r="F395">
        <f>+COUNTIF(ADV!U:W,A395)</f>
        <v>1</v>
      </c>
      <c r="G395">
        <f>+COUNTIF(ADV!Z:Z,A395)+COUNTIF(ADV!X:X,A395)+COUNTIF(ADV!Y:Y,A395)</f>
        <v>1</v>
      </c>
      <c r="H395" t="s">
        <v>6458</v>
      </c>
    </row>
    <row r="396" spans="1:8" x14ac:dyDescent="0.2">
      <c r="A396" t="s">
        <v>4125</v>
      </c>
      <c r="C396">
        <v>1010065</v>
      </c>
      <c r="D396" t="s">
        <v>6068</v>
      </c>
      <c r="E396">
        <f t="shared" si="6"/>
        <v>436</v>
      </c>
      <c r="F396">
        <f>+COUNTIF(ADV!U:W,A396)</f>
        <v>1</v>
      </c>
      <c r="G396">
        <f>+COUNTIF(ADV!Z:Z,A396)+COUNTIF(ADV!X:X,A396)+COUNTIF(ADV!Y:Y,A396)</f>
        <v>0</v>
      </c>
      <c r="H396" t="s">
        <v>6459</v>
      </c>
    </row>
    <row r="397" spans="1:8" x14ac:dyDescent="0.2">
      <c r="A397" t="s">
        <v>4525</v>
      </c>
      <c r="C397">
        <v>1010194</v>
      </c>
      <c r="D397" t="s">
        <v>6068</v>
      </c>
      <c r="E397">
        <f t="shared" si="6"/>
        <v>379</v>
      </c>
      <c r="F397">
        <f>+COUNTIF(ADV!U:W,A397)</f>
        <v>1</v>
      </c>
      <c r="G397">
        <f>+COUNTIF(ADV!Z:Z,A397)+COUNTIF(ADV!X:X,A397)+COUNTIF(ADV!Y:Y,A397)</f>
        <v>1</v>
      </c>
      <c r="H397" t="s">
        <v>6460</v>
      </c>
    </row>
    <row r="398" spans="1:8" x14ac:dyDescent="0.2">
      <c r="A398" t="s">
        <v>451</v>
      </c>
      <c r="C398">
        <v>1010129</v>
      </c>
      <c r="D398" t="s">
        <v>6068</v>
      </c>
      <c r="E398">
        <f t="shared" si="6"/>
        <v>279</v>
      </c>
      <c r="F398">
        <f>+COUNTIF(ADV!U:W,A398)</f>
        <v>1</v>
      </c>
      <c r="G398">
        <f>+COUNTIF(ADV!Z:Z,A398)+COUNTIF(ADV!X:X,A398)+COUNTIF(ADV!Y:Y,A398)</f>
        <v>0</v>
      </c>
      <c r="H398" t="s">
        <v>6461</v>
      </c>
    </row>
    <row r="399" spans="1:8" x14ac:dyDescent="0.2">
      <c r="A399" t="s">
        <v>3168</v>
      </c>
      <c r="C399">
        <v>1010186</v>
      </c>
      <c r="D399" t="s">
        <v>6068</v>
      </c>
      <c r="E399">
        <f t="shared" si="6"/>
        <v>857</v>
      </c>
      <c r="F399">
        <f>+COUNTIF(ADV!U:W,A399)</f>
        <v>1</v>
      </c>
      <c r="G399">
        <f>+COUNTIF(ADV!Z:Z,A399)+COUNTIF(ADV!X:X,A399)+COUNTIF(ADV!Y:Y,A399)</f>
        <v>1</v>
      </c>
      <c r="H399" t="s">
        <v>6462</v>
      </c>
    </row>
    <row r="400" spans="1:8" x14ac:dyDescent="0.2">
      <c r="A400" t="s">
        <v>1776</v>
      </c>
      <c r="C400">
        <v>1020002</v>
      </c>
      <c r="D400" t="s">
        <v>6068</v>
      </c>
      <c r="E400">
        <f t="shared" si="6"/>
        <v>40</v>
      </c>
      <c r="F400">
        <f>+COUNTIF(ADV!U:W,A400)</f>
        <v>1</v>
      </c>
      <c r="G400">
        <f>+COUNTIF(ADV!Z:Z,A400)+COUNTIF(ADV!X:X,A400)+COUNTIF(ADV!Y:Y,A400)</f>
        <v>0</v>
      </c>
      <c r="H400" t="s">
        <v>6463</v>
      </c>
    </row>
    <row r="401" spans="1:8" x14ac:dyDescent="0.2">
      <c r="A401" t="s">
        <v>4555</v>
      </c>
      <c r="C401">
        <v>1010001</v>
      </c>
      <c r="D401" t="s">
        <v>6068</v>
      </c>
      <c r="E401">
        <f t="shared" si="6"/>
        <v>237</v>
      </c>
      <c r="F401">
        <f>+COUNTIF(ADV!U:W,A401)</f>
        <v>1</v>
      </c>
      <c r="G401">
        <f>+COUNTIF(ADV!Z:Z,A401)+COUNTIF(ADV!X:X,A401)+COUNTIF(ADV!Y:Y,A401)</f>
        <v>0</v>
      </c>
      <c r="H401" t="s">
        <v>6464</v>
      </c>
    </row>
    <row r="402" spans="1:8" x14ac:dyDescent="0.2">
      <c r="A402" t="s">
        <v>1059</v>
      </c>
      <c r="C402">
        <v>1020029</v>
      </c>
      <c r="D402" t="s">
        <v>6068</v>
      </c>
      <c r="E402">
        <f t="shared" si="6"/>
        <v>211</v>
      </c>
      <c r="F402">
        <f>+COUNTIF(ADV!U:W,A402)</f>
        <v>1</v>
      </c>
      <c r="G402">
        <f>+COUNTIF(ADV!Z:Z,A402)+COUNTIF(ADV!X:X,A402)+COUNTIF(ADV!Y:Y,A402)</f>
        <v>1</v>
      </c>
      <c r="H402" t="s">
        <v>6465</v>
      </c>
    </row>
    <row r="403" spans="1:8" x14ac:dyDescent="0.2">
      <c r="A403" t="s">
        <v>1734</v>
      </c>
      <c r="C403">
        <v>1010083</v>
      </c>
      <c r="D403" t="s">
        <v>6068</v>
      </c>
      <c r="E403">
        <f t="shared" si="6"/>
        <v>328</v>
      </c>
      <c r="F403">
        <f>+COUNTIF(ADV!U:W,A403)</f>
        <v>1</v>
      </c>
      <c r="G403">
        <f>+COUNTIF(ADV!Z:Z,A403)+COUNTIF(ADV!X:X,A403)+COUNTIF(ADV!Y:Y,A403)</f>
        <v>0</v>
      </c>
      <c r="H403" t="s">
        <v>6466</v>
      </c>
    </row>
    <row r="404" spans="1:8" x14ac:dyDescent="0.2">
      <c r="A404" t="s">
        <v>2201</v>
      </c>
      <c r="C404">
        <v>1010167</v>
      </c>
      <c r="D404" t="s">
        <v>6068</v>
      </c>
      <c r="E404">
        <f t="shared" si="6"/>
        <v>49</v>
      </c>
      <c r="F404">
        <f>+COUNTIF(ADV!U:W,A404)</f>
        <v>1</v>
      </c>
      <c r="G404">
        <f>+COUNTIF(ADV!Z:Z,A404)+COUNTIF(ADV!X:X,A404)+COUNTIF(ADV!Y:Y,A404)</f>
        <v>0</v>
      </c>
      <c r="H404" t="s">
        <v>6467</v>
      </c>
    </row>
    <row r="405" spans="1:8" x14ac:dyDescent="0.2">
      <c r="A405" t="s">
        <v>2520</v>
      </c>
      <c r="C405">
        <v>1070018</v>
      </c>
      <c r="D405" t="s">
        <v>6068</v>
      </c>
      <c r="E405">
        <f t="shared" si="6"/>
        <v>47</v>
      </c>
      <c r="F405">
        <f>+COUNTIF(ADV!U:W,A405)</f>
        <v>2</v>
      </c>
      <c r="G405">
        <f>+COUNTIF(ADV!Z:Z,A405)+COUNTIF(ADV!X:X,A405)+COUNTIF(ADV!Y:Y,A405)</f>
        <v>2</v>
      </c>
      <c r="H405" t="s">
        <v>6468</v>
      </c>
    </row>
    <row r="406" spans="1:8" x14ac:dyDescent="0.2">
      <c r="A406" t="s">
        <v>566</v>
      </c>
      <c r="C406">
        <v>1020014</v>
      </c>
      <c r="D406" t="s">
        <v>6068</v>
      </c>
      <c r="E406">
        <f t="shared" si="6"/>
        <v>61</v>
      </c>
      <c r="F406">
        <f>+COUNTIF(ADV!U:W,A406)</f>
        <v>1</v>
      </c>
      <c r="G406">
        <f>+COUNTIF(ADV!Z:Z,A406)+COUNTIF(ADV!X:X,A406)+COUNTIF(ADV!Y:Y,A406)</f>
        <v>0</v>
      </c>
      <c r="H406" t="s">
        <v>6469</v>
      </c>
    </row>
    <row r="407" spans="1:8" x14ac:dyDescent="0.2">
      <c r="A407" t="s">
        <v>764</v>
      </c>
      <c r="C407">
        <v>1010094</v>
      </c>
      <c r="D407" t="s">
        <v>6068</v>
      </c>
      <c r="E407">
        <f t="shared" si="6"/>
        <v>112</v>
      </c>
      <c r="F407">
        <f>+COUNTIF(ADV!U:W,A407)</f>
        <v>1</v>
      </c>
      <c r="G407">
        <f>+COUNTIF(ADV!Z:Z,A407)+COUNTIF(ADV!X:X,A407)+COUNTIF(ADV!Y:Y,A407)</f>
        <v>0</v>
      </c>
      <c r="H407" t="s">
        <v>6470</v>
      </c>
    </row>
    <row r="408" spans="1:8" x14ac:dyDescent="0.2">
      <c r="A408" t="s">
        <v>600</v>
      </c>
      <c r="C408">
        <v>1020002</v>
      </c>
      <c r="D408" t="s">
        <v>6068</v>
      </c>
      <c r="E408">
        <f t="shared" si="6"/>
        <v>81</v>
      </c>
      <c r="F408">
        <f>+COUNTIF(ADV!U:W,A408)</f>
        <v>2</v>
      </c>
      <c r="G408">
        <f>+COUNTIF(ADV!Z:Z,A408)+COUNTIF(ADV!X:X,A408)+COUNTIF(ADV!Y:Y,A408)</f>
        <v>0</v>
      </c>
      <c r="H408" t="s">
        <v>6471</v>
      </c>
    </row>
    <row r="409" spans="1:8" x14ac:dyDescent="0.2">
      <c r="A409" t="s">
        <v>298</v>
      </c>
      <c r="C409">
        <v>1020002</v>
      </c>
      <c r="D409" t="s">
        <v>6068</v>
      </c>
      <c r="E409">
        <f t="shared" si="6"/>
        <v>81</v>
      </c>
      <c r="F409">
        <f>+COUNTIF(ADV!U:W,A409)</f>
        <v>3</v>
      </c>
      <c r="G409">
        <f>+COUNTIF(ADV!Z:Z,A409)+COUNTIF(ADV!X:X,A409)+COUNTIF(ADV!Y:Y,A409)</f>
        <v>0</v>
      </c>
      <c r="H409" t="s">
        <v>6472</v>
      </c>
    </row>
    <row r="410" spans="1:8" x14ac:dyDescent="0.2">
      <c r="A410" t="s">
        <v>3138</v>
      </c>
      <c r="C410">
        <v>1020002</v>
      </c>
      <c r="D410" t="s">
        <v>6068</v>
      </c>
      <c r="E410">
        <f t="shared" si="6"/>
        <v>80</v>
      </c>
      <c r="F410">
        <f>+COUNTIF(ADV!U:W,A410)</f>
        <v>2</v>
      </c>
      <c r="G410">
        <f>+COUNTIF(ADV!Z:Z,A410)+COUNTIF(ADV!X:X,A410)+COUNTIF(ADV!Y:Y,A410)</f>
        <v>0</v>
      </c>
      <c r="H410" t="s">
        <v>6473</v>
      </c>
    </row>
    <row r="411" spans="1:8" x14ac:dyDescent="0.2">
      <c r="A411" t="s">
        <v>1803</v>
      </c>
      <c r="C411">
        <v>1010012</v>
      </c>
      <c r="D411" t="s">
        <v>6068</v>
      </c>
      <c r="E411">
        <f t="shared" si="6"/>
        <v>118</v>
      </c>
      <c r="F411">
        <f>+COUNTIF(ADV!U:W,A411)</f>
        <v>1</v>
      </c>
      <c r="G411">
        <f>+COUNTIF(ADV!Z:Z,A411)+COUNTIF(ADV!X:X,A411)+COUNTIF(ADV!Y:Y,A411)</f>
        <v>0</v>
      </c>
      <c r="H411" t="s">
        <v>6474</v>
      </c>
    </row>
    <row r="412" spans="1:8" x14ac:dyDescent="0.2">
      <c r="A412" t="s">
        <v>3006</v>
      </c>
      <c r="C412">
        <v>1010012</v>
      </c>
      <c r="D412" t="s">
        <v>6068</v>
      </c>
      <c r="E412">
        <f t="shared" si="6"/>
        <v>91</v>
      </c>
      <c r="F412">
        <f>+COUNTIF(ADV!U:W,A412)</f>
        <v>1</v>
      </c>
      <c r="G412">
        <f>+COUNTIF(ADV!Z:Z,A412)+COUNTIF(ADV!X:X,A412)+COUNTIF(ADV!Y:Y,A412)</f>
        <v>0</v>
      </c>
      <c r="H412" t="s">
        <v>6475</v>
      </c>
    </row>
    <row r="413" spans="1:8" x14ac:dyDescent="0.2">
      <c r="A413" t="s">
        <v>3137</v>
      </c>
      <c r="C413">
        <v>1010002</v>
      </c>
      <c r="D413" t="s">
        <v>6068</v>
      </c>
      <c r="E413">
        <f t="shared" si="6"/>
        <v>110</v>
      </c>
      <c r="F413">
        <f>+COUNTIF(ADV!U:W,A413)</f>
        <v>2</v>
      </c>
      <c r="G413">
        <f>+COUNTIF(ADV!Z:Z,A413)+COUNTIF(ADV!X:X,A413)+COUNTIF(ADV!Y:Y,A413)</f>
        <v>0</v>
      </c>
      <c r="H413" t="s">
        <v>6476</v>
      </c>
    </row>
    <row r="414" spans="1:8" x14ac:dyDescent="0.2">
      <c r="A414" t="s">
        <v>3461</v>
      </c>
      <c r="C414">
        <v>1020002</v>
      </c>
      <c r="D414" t="s">
        <v>6068</v>
      </c>
      <c r="E414">
        <f t="shared" si="6"/>
        <v>106</v>
      </c>
      <c r="F414">
        <f>+COUNTIF(ADV!U:W,A414)</f>
        <v>1</v>
      </c>
      <c r="G414">
        <f>+COUNTIF(ADV!Z:Z,A414)+COUNTIF(ADV!X:X,A414)+COUNTIF(ADV!Y:Y,A414)</f>
        <v>0</v>
      </c>
      <c r="H414" t="s">
        <v>6477</v>
      </c>
    </row>
    <row r="415" spans="1:8" x14ac:dyDescent="0.2">
      <c r="A415" t="s">
        <v>192</v>
      </c>
      <c r="C415">
        <v>1020004</v>
      </c>
      <c r="D415" t="s">
        <v>6068</v>
      </c>
      <c r="E415">
        <f t="shared" si="6"/>
        <v>77</v>
      </c>
      <c r="F415">
        <f>+COUNTIF(ADV!U:W,A415)</f>
        <v>2</v>
      </c>
      <c r="G415">
        <f>+COUNTIF(ADV!Z:Z,A415)+COUNTIF(ADV!X:X,A415)+COUNTIF(ADV!Y:Y,A415)</f>
        <v>0</v>
      </c>
      <c r="H415" t="s">
        <v>6478</v>
      </c>
    </row>
    <row r="416" spans="1:8" x14ac:dyDescent="0.2">
      <c r="A416" t="s">
        <v>130</v>
      </c>
      <c r="C416">
        <v>1030006</v>
      </c>
      <c r="D416" t="s">
        <v>6068</v>
      </c>
      <c r="E416">
        <f t="shared" si="6"/>
        <v>39</v>
      </c>
      <c r="F416">
        <f>+COUNTIF(ADV!U:W,A416)</f>
        <v>30</v>
      </c>
      <c r="G416">
        <f>+COUNTIF(ADV!Z:Z,A416)+COUNTIF(ADV!X:X,A416)+COUNTIF(ADV!Y:Y,A416)</f>
        <v>0</v>
      </c>
      <c r="H416" t="s">
        <v>6479</v>
      </c>
    </row>
    <row r="417" spans="1:8" x14ac:dyDescent="0.2">
      <c r="A417" t="s">
        <v>1287</v>
      </c>
      <c r="C417">
        <v>1030006</v>
      </c>
      <c r="D417" t="s">
        <v>6068</v>
      </c>
      <c r="E417">
        <f t="shared" si="6"/>
        <v>38</v>
      </c>
      <c r="F417">
        <f>+COUNTIF(ADV!U:W,A417)</f>
        <v>3</v>
      </c>
      <c r="G417">
        <f>+COUNTIF(ADV!Z:Z,A417)+COUNTIF(ADV!X:X,A417)+COUNTIF(ADV!Y:Y,A417)</f>
        <v>0</v>
      </c>
      <c r="H417" t="s">
        <v>6480</v>
      </c>
    </row>
    <row r="418" spans="1:8" x14ac:dyDescent="0.2">
      <c r="A418" t="s">
        <v>318</v>
      </c>
      <c r="C418">
        <v>1030006</v>
      </c>
      <c r="D418" t="s">
        <v>6068</v>
      </c>
      <c r="E418">
        <f t="shared" si="6"/>
        <v>38</v>
      </c>
      <c r="F418">
        <f>+COUNTIF(ADV!U:W,A418)</f>
        <v>11</v>
      </c>
      <c r="G418">
        <f>+COUNTIF(ADV!Z:Z,A418)+COUNTIF(ADV!X:X,A418)+COUNTIF(ADV!Y:Y,A418)</f>
        <v>0</v>
      </c>
      <c r="H418" t="s">
        <v>6481</v>
      </c>
    </row>
    <row r="419" spans="1:8" x14ac:dyDescent="0.2">
      <c r="A419" t="s">
        <v>3462</v>
      </c>
      <c r="C419">
        <v>1070006</v>
      </c>
      <c r="D419" t="s">
        <v>6068</v>
      </c>
      <c r="E419">
        <f t="shared" si="6"/>
        <v>43</v>
      </c>
      <c r="F419">
        <f>+COUNTIF(ADV!U:W,A419)</f>
        <v>1</v>
      </c>
      <c r="G419">
        <f>+COUNTIF(ADV!Z:Z,A419)+COUNTIF(ADV!X:X,A419)+COUNTIF(ADV!Y:Y,A419)</f>
        <v>0</v>
      </c>
      <c r="H419" t="s">
        <v>6482</v>
      </c>
    </row>
    <row r="420" spans="1:8" x14ac:dyDescent="0.2">
      <c r="A420" t="s">
        <v>3521</v>
      </c>
      <c r="C420">
        <v>1010134</v>
      </c>
      <c r="D420" t="s">
        <v>6068</v>
      </c>
      <c r="E420">
        <f t="shared" si="6"/>
        <v>656</v>
      </c>
      <c r="F420">
        <f>+COUNTIF(ADV!U:W,A420)</f>
        <v>1</v>
      </c>
      <c r="G420">
        <f>+COUNTIF(ADV!Z:Z,A420)+COUNTIF(ADV!X:X,A420)+COUNTIF(ADV!Y:Y,A420)</f>
        <v>0</v>
      </c>
      <c r="H420" t="s">
        <v>6483</v>
      </c>
    </row>
    <row r="421" spans="1:8" x14ac:dyDescent="0.2">
      <c r="A421" t="s">
        <v>4194</v>
      </c>
      <c r="C421">
        <v>1010133</v>
      </c>
      <c r="D421" t="s">
        <v>6068</v>
      </c>
      <c r="E421">
        <f t="shared" si="6"/>
        <v>386</v>
      </c>
      <c r="F421">
        <f>+COUNTIF(ADV!U:W,A421)</f>
        <v>1</v>
      </c>
      <c r="G421">
        <f>+COUNTIF(ADV!Z:Z,A421)+COUNTIF(ADV!X:X,A421)+COUNTIF(ADV!Y:Y,A421)</f>
        <v>1</v>
      </c>
      <c r="H421" t="s">
        <v>6484</v>
      </c>
    </row>
    <row r="422" spans="1:8" x14ac:dyDescent="0.2">
      <c r="A422" t="s">
        <v>980</v>
      </c>
      <c r="C422">
        <v>1010123</v>
      </c>
      <c r="D422" t="s">
        <v>6068</v>
      </c>
      <c r="E422">
        <f t="shared" si="6"/>
        <v>97</v>
      </c>
      <c r="F422">
        <f>+COUNTIF(ADV!U:W,A422)</f>
        <v>1</v>
      </c>
      <c r="G422">
        <f>+COUNTIF(ADV!Z:Z,A422)+COUNTIF(ADV!X:X,A422)+COUNTIF(ADV!Y:Y,A422)</f>
        <v>0</v>
      </c>
      <c r="H422" t="s">
        <v>6485</v>
      </c>
    </row>
    <row r="423" spans="1:8" x14ac:dyDescent="0.2">
      <c r="A423" t="s">
        <v>4538</v>
      </c>
      <c r="C423">
        <v>1010128</v>
      </c>
      <c r="D423" t="s">
        <v>6068</v>
      </c>
      <c r="E423">
        <f t="shared" si="6"/>
        <v>324</v>
      </c>
      <c r="F423">
        <f>+COUNTIF(ADV!U:W,A423)</f>
        <v>1</v>
      </c>
      <c r="G423">
        <f>+COUNTIF(ADV!Z:Z,A423)+COUNTIF(ADV!X:X,A423)+COUNTIF(ADV!Y:Y,A423)</f>
        <v>1</v>
      </c>
      <c r="H423" t="s">
        <v>6486</v>
      </c>
    </row>
    <row r="424" spans="1:8" x14ac:dyDescent="0.2">
      <c r="A424" t="s">
        <v>3415</v>
      </c>
      <c r="C424">
        <v>1010057</v>
      </c>
      <c r="D424" t="s">
        <v>6068</v>
      </c>
      <c r="E424">
        <f t="shared" si="6"/>
        <v>944</v>
      </c>
      <c r="F424">
        <f>+COUNTIF(ADV!U:W,A424)</f>
        <v>1</v>
      </c>
      <c r="G424">
        <f>+COUNTIF(ADV!Z:Z,A424)+COUNTIF(ADV!X:X,A424)+COUNTIF(ADV!Y:Y,A424)</f>
        <v>0</v>
      </c>
      <c r="H424" t="s">
        <v>6487</v>
      </c>
    </row>
    <row r="425" spans="1:8" x14ac:dyDescent="0.2">
      <c r="A425" t="s">
        <v>3303</v>
      </c>
      <c r="C425">
        <v>1010046</v>
      </c>
      <c r="D425" t="s">
        <v>6068</v>
      </c>
      <c r="E425">
        <f t="shared" si="6"/>
        <v>85</v>
      </c>
      <c r="F425">
        <f>+COUNTIF(ADV!U:W,A425)</f>
        <v>1</v>
      </c>
      <c r="G425">
        <f>+COUNTIF(ADV!Z:Z,A425)+COUNTIF(ADV!X:X,A425)+COUNTIF(ADV!Y:Y,A425)</f>
        <v>0</v>
      </c>
      <c r="H425" t="s">
        <v>6488</v>
      </c>
    </row>
    <row r="426" spans="1:8" x14ac:dyDescent="0.2">
      <c r="A426" t="s">
        <v>796</v>
      </c>
      <c r="C426">
        <v>1010013</v>
      </c>
      <c r="D426" t="s">
        <v>6068</v>
      </c>
      <c r="E426">
        <f t="shared" si="6"/>
        <v>309</v>
      </c>
      <c r="F426">
        <f>+COUNTIF(ADV!U:W,A426)</f>
        <v>1</v>
      </c>
      <c r="G426">
        <f>+COUNTIF(ADV!Z:Z,A426)+COUNTIF(ADV!X:X,A426)+COUNTIF(ADV!Y:Y,A426)</f>
        <v>0</v>
      </c>
      <c r="H426" t="s">
        <v>6489</v>
      </c>
    </row>
    <row r="427" spans="1:8" x14ac:dyDescent="0.2">
      <c r="A427" t="s">
        <v>402</v>
      </c>
      <c r="C427">
        <v>1010024</v>
      </c>
      <c r="D427" t="s">
        <v>6068</v>
      </c>
      <c r="E427">
        <f t="shared" si="6"/>
        <v>79</v>
      </c>
      <c r="F427">
        <f>+COUNTIF(ADV!U:W,A427)</f>
        <v>1</v>
      </c>
      <c r="G427">
        <f>+COUNTIF(ADV!Z:Z,A427)+COUNTIF(ADV!X:X,A427)+COUNTIF(ADV!Y:Y,A427)</f>
        <v>0</v>
      </c>
      <c r="H427" t="s">
        <v>6490</v>
      </c>
    </row>
    <row r="428" spans="1:8" x14ac:dyDescent="0.2">
      <c r="A428" t="s">
        <v>131</v>
      </c>
      <c r="C428">
        <v>1010011</v>
      </c>
      <c r="D428" t="s">
        <v>6068</v>
      </c>
      <c r="E428">
        <f t="shared" si="6"/>
        <v>110</v>
      </c>
      <c r="F428">
        <f>+COUNTIF(ADV!U:W,A428)</f>
        <v>1</v>
      </c>
      <c r="G428">
        <f>+COUNTIF(ADV!Z:Z,A428)+COUNTIF(ADV!X:X,A428)+COUNTIF(ADV!Y:Y,A428)</f>
        <v>0</v>
      </c>
      <c r="H428" t="s">
        <v>6491</v>
      </c>
    </row>
    <row r="429" spans="1:8" x14ac:dyDescent="0.2">
      <c r="A429" t="s">
        <v>2636</v>
      </c>
      <c r="C429">
        <v>1020041</v>
      </c>
      <c r="D429" t="s">
        <v>6068</v>
      </c>
      <c r="E429">
        <f t="shared" si="6"/>
        <v>126</v>
      </c>
      <c r="F429">
        <f>+COUNTIF(ADV!U:W,A429)</f>
        <v>1</v>
      </c>
      <c r="G429">
        <f>+COUNTIF(ADV!Z:Z,A429)+COUNTIF(ADV!X:X,A429)+COUNTIF(ADV!Y:Y,A429)</f>
        <v>0</v>
      </c>
      <c r="H429" t="s">
        <v>6492</v>
      </c>
    </row>
    <row r="430" spans="1:8" x14ac:dyDescent="0.2">
      <c r="A430" t="s">
        <v>2637</v>
      </c>
      <c r="C430">
        <v>1020004</v>
      </c>
      <c r="D430" t="s">
        <v>6068</v>
      </c>
      <c r="E430">
        <f t="shared" si="6"/>
        <v>85</v>
      </c>
      <c r="F430">
        <f>+COUNTIF(ADV!U:W,A430)</f>
        <v>1</v>
      </c>
      <c r="G430">
        <f>+COUNTIF(ADV!Z:Z,A430)+COUNTIF(ADV!X:X,A430)+COUNTIF(ADV!Y:Y,A430)</f>
        <v>0</v>
      </c>
      <c r="H430" t="s">
        <v>6493</v>
      </c>
    </row>
    <row r="431" spans="1:8" x14ac:dyDescent="0.2">
      <c r="A431" t="s">
        <v>1954</v>
      </c>
      <c r="C431">
        <v>1010008</v>
      </c>
      <c r="D431" t="s">
        <v>6068</v>
      </c>
      <c r="E431">
        <f t="shared" si="6"/>
        <v>131</v>
      </c>
      <c r="F431">
        <f>+COUNTIF(ADV!U:W,A431)</f>
        <v>1</v>
      </c>
      <c r="G431">
        <f>+COUNTIF(ADV!Z:Z,A431)+COUNTIF(ADV!X:X,A431)+COUNTIF(ADV!Y:Y,A431)</f>
        <v>1</v>
      </c>
      <c r="H431" t="s">
        <v>6494</v>
      </c>
    </row>
    <row r="432" spans="1:8" x14ac:dyDescent="0.2">
      <c r="A432" t="s">
        <v>1275</v>
      </c>
      <c r="C432">
        <v>1060001</v>
      </c>
      <c r="D432" t="s">
        <v>6068</v>
      </c>
      <c r="E432">
        <f t="shared" si="6"/>
        <v>37</v>
      </c>
      <c r="F432">
        <f>+COUNTIF(ADV!U:W,A432)</f>
        <v>2</v>
      </c>
      <c r="G432">
        <f>+COUNTIF(ADV!Z:Z,A432)+COUNTIF(ADV!X:X,A432)+COUNTIF(ADV!Y:Y,A432)</f>
        <v>0</v>
      </c>
      <c r="H432" t="s">
        <v>6495</v>
      </c>
    </row>
    <row r="433" spans="1:8" x14ac:dyDescent="0.2">
      <c r="A433" t="s">
        <v>3943</v>
      </c>
      <c r="C433">
        <v>1010039</v>
      </c>
      <c r="D433" t="s">
        <v>6068</v>
      </c>
      <c r="E433">
        <f t="shared" si="6"/>
        <v>101</v>
      </c>
      <c r="F433">
        <f>+COUNTIF(ADV!U:W,A433)</f>
        <v>1</v>
      </c>
      <c r="G433">
        <f>+COUNTIF(ADV!Z:Z,A433)+COUNTIF(ADV!X:X,A433)+COUNTIF(ADV!Y:Y,A433)</f>
        <v>0</v>
      </c>
      <c r="H433" t="s">
        <v>6496</v>
      </c>
    </row>
    <row r="434" spans="1:8" x14ac:dyDescent="0.2">
      <c r="A434" t="s">
        <v>788</v>
      </c>
      <c r="C434">
        <v>1010185</v>
      </c>
      <c r="D434" t="s">
        <v>6068</v>
      </c>
      <c r="E434">
        <f t="shared" si="6"/>
        <v>268</v>
      </c>
      <c r="F434">
        <f>+COUNTIF(ADV!U:W,A434)</f>
        <v>1</v>
      </c>
      <c r="G434">
        <f>+COUNTIF(ADV!Z:Z,A434)+COUNTIF(ADV!X:X,A434)+COUNTIF(ADV!Y:Y,A434)</f>
        <v>1</v>
      </c>
      <c r="H434" t="s">
        <v>6497</v>
      </c>
    </row>
    <row r="435" spans="1:8" x14ac:dyDescent="0.2">
      <c r="A435" t="s">
        <v>1704</v>
      </c>
      <c r="C435">
        <v>1030012</v>
      </c>
      <c r="D435" t="s">
        <v>6068</v>
      </c>
      <c r="E435">
        <f t="shared" si="6"/>
        <v>67</v>
      </c>
      <c r="F435">
        <f>+COUNTIF(ADV!U:W,A435)</f>
        <v>1</v>
      </c>
      <c r="G435">
        <f>+COUNTIF(ADV!Z:Z,A435)+COUNTIF(ADV!X:X,A435)+COUNTIF(ADV!Y:Y,A435)</f>
        <v>1</v>
      </c>
      <c r="H435" t="s">
        <v>6498</v>
      </c>
    </row>
    <row r="436" spans="1:8" x14ac:dyDescent="0.2">
      <c r="A436" t="s">
        <v>4209</v>
      </c>
      <c r="C436">
        <v>1010023</v>
      </c>
      <c r="D436" t="s">
        <v>6068</v>
      </c>
      <c r="E436">
        <f t="shared" si="6"/>
        <v>427</v>
      </c>
      <c r="F436">
        <f>+COUNTIF(ADV!U:W,A436)</f>
        <v>1</v>
      </c>
      <c r="G436">
        <f>+COUNTIF(ADV!Z:Z,A436)+COUNTIF(ADV!X:X,A436)+COUNTIF(ADV!Y:Y,A436)</f>
        <v>1</v>
      </c>
      <c r="H436" t="s">
        <v>6499</v>
      </c>
    </row>
    <row r="437" spans="1:8" x14ac:dyDescent="0.2">
      <c r="A437" t="s">
        <v>1721</v>
      </c>
      <c r="C437">
        <v>1010002</v>
      </c>
      <c r="D437" t="s">
        <v>6068</v>
      </c>
      <c r="E437">
        <f t="shared" si="6"/>
        <v>187</v>
      </c>
      <c r="F437">
        <f>+COUNTIF(ADV!U:W,A437)</f>
        <v>1</v>
      </c>
      <c r="G437">
        <f>+COUNTIF(ADV!Z:Z,A437)+COUNTIF(ADV!X:X,A437)+COUNTIF(ADV!Y:Y,A437)</f>
        <v>0</v>
      </c>
      <c r="H437" t="s">
        <v>6500</v>
      </c>
    </row>
    <row r="438" spans="1:8" x14ac:dyDescent="0.2">
      <c r="A438" t="s">
        <v>3697</v>
      </c>
      <c r="C438">
        <v>1010068</v>
      </c>
      <c r="D438" t="s">
        <v>6068</v>
      </c>
      <c r="E438">
        <f t="shared" si="6"/>
        <v>232</v>
      </c>
      <c r="F438">
        <f>+COUNTIF(ADV!U:W,A438)</f>
        <v>1</v>
      </c>
      <c r="G438">
        <f>+COUNTIF(ADV!Z:Z,A438)+COUNTIF(ADV!X:X,A438)+COUNTIF(ADV!Y:Y,A438)</f>
        <v>0</v>
      </c>
      <c r="H438" t="s">
        <v>6501</v>
      </c>
    </row>
    <row r="439" spans="1:8" x14ac:dyDescent="0.2">
      <c r="A439" t="s">
        <v>3336</v>
      </c>
      <c r="C439">
        <v>1010177</v>
      </c>
      <c r="D439" t="s">
        <v>6068</v>
      </c>
      <c r="E439">
        <f t="shared" si="6"/>
        <v>278</v>
      </c>
      <c r="F439">
        <f>+COUNTIF(ADV!U:W,A439)</f>
        <v>1</v>
      </c>
      <c r="G439">
        <f>+COUNTIF(ADV!Z:Z,A439)+COUNTIF(ADV!X:X,A439)+COUNTIF(ADV!Y:Y,A439)</f>
        <v>0</v>
      </c>
      <c r="H439" t="s">
        <v>6502</v>
      </c>
    </row>
    <row r="440" spans="1:8" x14ac:dyDescent="0.2">
      <c r="A440" t="s">
        <v>434</v>
      </c>
      <c r="C440">
        <v>1010190</v>
      </c>
      <c r="D440" t="s">
        <v>6068</v>
      </c>
      <c r="E440">
        <f t="shared" si="6"/>
        <v>945</v>
      </c>
      <c r="F440">
        <f>+COUNTIF(ADV!U:W,A440)</f>
        <v>1</v>
      </c>
      <c r="G440">
        <f>+COUNTIF(ADV!Z:Z,A440)+COUNTIF(ADV!X:X,A440)+COUNTIF(ADV!Y:Y,A440)</f>
        <v>1</v>
      </c>
      <c r="H440" t="s">
        <v>6503</v>
      </c>
    </row>
    <row r="441" spans="1:8" x14ac:dyDescent="0.2">
      <c r="A441" t="s">
        <v>3022</v>
      </c>
      <c r="C441">
        <v>1060004</v>
      </c>
      <c r="D441" t="s">
        <v>6068</v>
      </c>
      <c r="E441">
        <f t="shared" si="6"/>
        <v>36</v>
      </c>
      <c r="F441">
        <f>+COUNTIF(ADV!U:W,A441)</f>
        <v>1</v>
      </c>
      <c r="G441">
        <f>+COUNTIF(ADV!Z:Z,A441)+COUNTIF(ADV!X:X,A441)+COUNTIF(ADV!Y:Y,A441)</f>
        <v>0</v>
      </c>
      <c r="H441" t="s">
        <v>6504</v>
      </c>
    </row>
    <row r="442" spans="1:8" x14ac:dyDescent="0.2">
      <c r="A442" t="s">
        <v>2261</v>
      </c>
      <c r="C442">
        <v>1060004</v>
      </c>
      <c r="D442" t="s">
        <v>6068</v>
      </c>
      <c r="E442">
        <f t="shared" si="6"/>
        <v>36</v>
      </c>
      <c r="F442">
        <f>+COUNTIF(ADV!U:W,A442)</f>
        <v>1</v>
      </c>
      <c r="G442">
        <f>+COUNTIF(ADV!Z:Z,A442)+COUNTIF(ADV!X:X,A442)+COUNTIF(ADV!Y:Y,A442)</f>
        <v>0</v>
      </c>
      <c r="H442" t="s">
        <v>6505</v>
      </c>
    </row>
    <row r="443" spans="1:8" x14ac:dyDescent="0.2">
      <c r="A443" t="s">
        <v>2392</v>
      </c>
      <c r="C443">
        <v>1010013</v>
      </c>
      <c r="D443" t="s">
        <v>6068</v>
      </c>
      <c r="E443">
        <f t="shared" si="6"/>
        <v>830</v>
      </c>
      <c r="F443">
        <f>+COUNTIF(ADV!U:W,A443)</f>
        <v>1</v>
      </c>
      <c r="G443">
        <f>+COUNTIF(ADV!Z:Z,A443)+COUNTIF(ADV!X:X,A443)+COUNTIF(ADV!Y:Y,A443)</f>
        <v>1</v>
      </c>
      <c r="H443" t="s">
        <v>6506</v>
      </c>
    </row>
    <row r="444" spans="1:8" x14ac:dyDescent="0.2">
      <c r="A444" t="s">
        <v>2293</v>
      </c>
      <c r="C444">
        <v>1010181</v>
      </c>
      <c r="D444" t="s">
        <v>6068</v>
      </c>
      <c r="E444">
        <f t="shared" si="6"/>
        <v>120</v>
      </c>
      <c r="F444">
        <f>+COUNTIF(ADV!U:W,A444)</f>
        <v>1</v>
      </c>
      <c r="G444">
        <f>+COUNTIF(ADV!Z:Z,A444)+COUNTIF(ADV!X:X,A444)+COUNTIF(ADV!Y:Y,A444)</f>
        <v>1</v>
      </c>
      <c r="H444" t="s">
        <v>6507</v>
      </c>
    </row>
    <row r="445" spans="1:8" x14ac:dyDescent="0.2">
      <c r="A445" t="s">
        <v>2292</v>
      </c>
      <c r="C445">
        <v>1010180</v>
      </c>
      <c r="D445" t="s">
        <v>6068</v>
      </c>
      <c r="E445">
        <f t="shared" si="6"/>
        <v>779</v>
      </c>
      <c r="F445">
        <f>+COUNTIF(ADV!U:W,A445)</f>
        <v>1</v>
      </c>
      <c r="G445">
        <f>+COUNTIF(ADV!Z:Z,A445)+COUNTIF(ADV!X:X,A445)+COUNTIF(ADV!Y:Y,A445)</f>
        <v>1</v>
      </c>
      <c r="H445" t="s">
        <v>6508</v>
      </c>
    </row>
    <row r="446" spans="1:8" x14ac:dyDescent="0.2">
      <c r="A446" t="s">
        <v>955</v>
      </c>
      <c r="C446">
        <v>1010166</v>
      </c>
      <c r="D446" t="s">
        <v>6068</v>
      </c>
      <c r="E446">
        <f t="shared" si="6"/>
        <v>409</v>
      </c>
      <c r="F446">
        <f>+COUNTIF(ADV!U:W,A446)</f>
        <v>1</v>
      </c>
      <c r="G446">
        <f>+COUNTIF(ADV!Z:Z,A446)+COUNTIF(ADV!X:X,A446)+COUNTIF(ADV!Y:Y,A446)</f>
        <v>1</v>
      </c>
      <c r="H446" t="s">
        <v>6509</v>
      </c>
    </row>
    <row r="447" spans="1:8" x14ac:dyDescent="0.2">
      <c r="A447" t="s">
        <v>1407</v>
      </c>
      <c r="C447">
        <v>1010013</v>
      </c>
      <c r="D447" t="s">
        <v>6068</v>
      </c>
      <c r="E447">
        <f t="shared" si="6"/>
        <v>109</v>
      </c>
      <c r="F447">
        <f>+COUNTIF(ADV!U:W,A447)</f>
        <v>1</v>
      </c>
      <c r="G447">
        <f>+COUNTIF(ADV!Z:Z,A447)+COUNTIF(ADV!X:X,A447)+COUNTIF(ADV!Y:Y,A447)</f>
        <v>0</v>
      </c>
      <c r="H447" t="s">
        <v>6510</v>
      </c>
    </row>
    <row r="448" spans="1:8" x14ac:dyDescent="0.2">
      <c r="A448" t="s">
        <v>548</v>
      </c>
      <c r="C448">
        <v>1030011</v>
      </c>
      <c r="D448" t="s">
        <v>6068</v>
      </c>
      <c r="E448">
        <f t="shared" si="6"/>
        <v>49</v>
      </c>
      <c r="F448">
        <f>+COUNTIF(ADV!U:W,A448)</f>
        <v>1</v>
      </c>
      <c r="G448">
        <f>+COUNTIF(ADV!Z:Z,A448)+COUNTIF(ADV!X:X,A448)+COUNTIF(ADV!Y:Y,A448)</f>
        <v>0</v>
      </c>
      <c r="H448" t="s">
        <v>6130</v>
      </c>
    </row>
    <row r="449" spans="1:8" x14ac:dyDescent="0.2">
      <c r="A449" t="s">
        <v>3505</v>
      </c>
      <c r="C449">
        <v>1030022</v>
      </c>
      <c r="D449" t="s">
        <v>6068</v>
      </c>
      <c r="E449">
        <f t="shared" si="6"/>
        <v>52</v>
      </c>
      <c r="F449">
        <f>+COUNTIF(ADV!U:W,A449)</f>
        <v>1</v>
      </c>
      <c r="G449">
        <f>+COUNTIF(ADV!Z:Z,A449)+COUNTIF(ADV!X:X,A449)+COUNTIF(ADV!Y:Y,A449)</f>
        <v>0</v>
      </c>
      <c r="H449" t="s">
        <v>6192</v>
      </c>
    </row>
    <row r="450" spans="1:8" x14ac:dyDescent="0.2">
      <c r="A450" t="s">
        <v>1953</v>
      </c>
      <c r="C450">
        <v>1030016</v>
      </c>
      <c r="D450" t="s">
        <v>6068</v>
      </c>
      <c r="E450">
        <f t="shared" ref="E450:E484" si="7">+LEN(H450)</f>
        <v>49</v>
      </c>
      <c r="F450">
        <f>+COUNTIF(ADV!U:W,A450)</f>
        <v>1</v>
      </c>
      <c r="G450">
        <f>+COUNTIF(ADV!Z:Z,A450)+COUNTIF(ADV!X:X,A450)+COUNTIF(ADV!Y:Y,A450)</f>
        <v>0</v>
      </c>
      <c r="H450" t="s">
        <v>6197</v>
      </c>
    </row>
    <row r="451" spans="1:8" x14ac:dyDescent="0.2">
      <c r="A451" t="s">
        <v>2421</v>
      </c>
      <c r="C451">
        <v>1020036</v>
      </c>
      <c r="D451" t="s">
        <v>6068</v>
      </c>
      <c r="E451">
        <f t="shared" si="7"/>
        <v>254</v>
      </c>
      <c r="F451">
        <f>+COUNTIF(ADV!U:W,A451)</f>
        <v>1</v>
      </c>
      <c r="G451">
        <f>+COUNTIF(ADV!Z:Z,A451)+COUNTIF(ADV!X:X,A451)+COUNTIF(ADV!Y:Y,A451)</f>
        <v>0</v>
      </c>
      <c r="H451" t="s">
        <v>6511</v>
      </c>
    </row>
    <row r="452" spans="1:8" x14ac:dyDescent="0.2">
      <c r="A452" t="s">
        <v>3169</v>
      </c>
      <c r="C452">
        <v>1030022</v>
      </c>
      <c r="D452" t="s">
        <v>6068</v>
      </c>
      <c r="E452">
        <f t="shared" si="7"/>
        <v>52</v>
      </c>
      <c r="F452">
        <f>+COUNTIF(ADV!U:W,A452)</f>
        <v>1</v>
      </c>
      <c r="G452">
        <f>+COUNTIF(ADV!Z:Z,A452)+COUNTIF(ADV!X:X,A452)+COUNTIF(ADV!Y:Y,A452)</f>
        <v>0</v>
      </c>
      <c r="H452" t="s">
        <v>6192</v>
      </c>
    </row>
    <row r="453" spans="1:8" x14ac:dyDescent="0.2">
      <c r="A453" t="s">
        <v>3659</v>
      </c>
      <c r="C453">
        <v>1050005</v>
      </c>
      <c r="D453" t="s">
        <v>6068</v>
      </c>
      <c r="E453">
        <f t="shared" si="7"/>
        <v>36</v>
      </c>
      <c r="F453">
        <f>+COUNTIF(ADV!U:W,A453)</f>
        <v>1</v>
      </c>
      <c r="G453">
        <f>+COUNTIF(ADV!Z:Z,A453)+COUNTIF(ADV!X:X,A453)+COUNTIF(ADV!Y:Y,A453)</f>
        <v>0</v>
      </c>
      <c r="H453" t="s">
        <v>6512</v>
      </c>
    </row>
    <row r="454" spans="1:8" x14ac:dyDescent="0.2">
      <c r="A454" t="s">
        <v>3186</v>
      </c>
      <c r="C454">
        <v>1010130</v>
      </c>
      <c r="D454" t="s">
        <v>6068</v>
      </c>
      <c r="E454">
        <f t="shared" si="7"/>
        <v>405</v>
      </c>
      <c r="F454">
        <f>+COUNTIF(ADV!U:W,A454)</f>
        <v>1</v>
      </c>
      <c r="G454">
        <f>+COUNTIF(ADV!Z:Z,A454)+COUNTIF(ADV!X:X,A454)+COUNTIF(ADV!Y:Y,A454)</f>
        <v>0</v>
      </c>
      <c r="H454" t="s">
        <v>6513</v>
      </c>
    </row>
    <row r="455" spans="1:8" x14ac:dyDescent="0.2">
      <c r="A455" t="s">
        <v>2992</v>
      </c>
      <c r="C455">
        <v>1030043</v>
      </c>
      <c r="D455" t="s">
        <v>6068</v>
      </c>
      <c r="E455">
        <f t="shared" si="7"/>
        <v>311</v>
      </c>
      <c r="F455">
        <f>+COUNTIF(ADV!U:W,A455)</f>
        <v>1</v>
      </c>
      <c r="G455">
        <f>+COUNTIF(ADV!Z:Z,A455)+COUNTIF(ADV!X:X,A455)+COUNTIF(ADV!Y:Y,A455)</f>
        <v>1</v>
      </c>
      <c r="H455" t="s">
        <v>6514</v>
      </c>
    </row>
    <row r="456" spans="1:8" x14ac:dyDescent="0.2">
      <c r="A456" t="s">
        <v>953</v>
      </c>
      <c r="C456">
        <v>1010164</v>
      </c>
      <c r="D456" t="s">
        <v>6068</v>
      </c>
      <c r="E456">
        <f t="shared" si="7"/>
        <v>852</v>
      </c>
      <c r="F456">
        <f>+COUNTIF(ADV!U:W,A456)</f>
        <v>1</v>
      </c>
      <c r="G456">
        <f>+COUNTIF(ADV!Z:Z,A456)+COUNTIF(ADV!X:X,A456)+COUNTIF(ADV!Y:Y,A456)</f>
        <v>1</v>
      </c>
      <c r="H456" t="s">
        <v>6515</v>
      </c>
    </row>
    <row r="457" spans="1:8" x14ac:dyDescent="0.2">
      <c r="A457" t="s">
        <v>1863</v>
      </c>
      <c r="C457">
        <v>1020004</v>
      </c>
      <c r="D457" t="s">
        <v>6068</v>
      </c>
      <c r="E457">
        <f t="shared" si="7"/>
        <v>108</v>
      </c>
      <c r="F457">
        <f>+COUNTIF(ADV!U:W,A457)</f>
        <v>1</v>
      </c>
      <c r="G457">
        <f>+COUNTIF(ADV!Z:Z,A457)+COUNTIF(ADV!X:X,A457)+COUNTIF(ADV!Y:Y,A457)</f>
        <v>0</v>
      </c>
      <c r="H457" t="s">
        <v>6516</v>
      </c>
    </row>
    <row r="458" spans="1:8" x14ac:dyDescent="0.2">
      <c r="A458" t="s">
        <v>335</v>
      </c>
      <c r="C458">
        <v>1010121</v>
      </c>
      <c r="D458" t="s">
        <v>6068</v>
      </c>
      <c r="E458">
        <f t="shared" si="7"/>
        <v>436</v>
      </c>
      <c r="F458">
        <f>+COUNTIF(ADV!U:W,A458)</f>
        <v>1</v>
      </c>
      <c r="G458">
        <f>+COUNTIF(ADV!Z:Z,A458)+COUNTIF(ADV!X:X,A458)+COUNTIF(ADV!Y:Y,A458)</f>
        <v>1</v>
      </c>
      <c r="H458" t="s">
        <v>6517</v>
      </c>
    </row>
    <row r="459" spans="1:8" x14ac:dyDescent="0.2">
      <c r="A459" t="s">
        <v>435</v>
      </c>
      <c r="C459">
        <v>1030011</v>
      </c>
      <c r="D459" t="s">
        <v>6068</v>
      </c>
      <c r="E459">
        <f t="shared" si="7"/>
        <v>51</v>
      </c>
      <c r="F459">
        <f>+COUNTIF(ADV!U:W,A459)</f>
        <v>1</v>
      </c>
      <c r="G459">
        <f>+COUNTIF(ADV!Z:Z,A459)+COUNTIF(ADV!X:X,A459)+COUNTIF(ADV!Y:Y,A459)</f>
        <v>0</v>
      </c>
      <c r="H459" t="s">
        <v>6143</v>
      </c>
    </row>
    <row r="460" spans="1:8" x14ac:dyDescent="0.2">
      <c r="A460" t="s">
        <v>2391</v>
      </c>
      <c r="C460">
        <v>1010184</v>
      </c>
      <c r="D460" t="s">
        <v>6068</v>
      </c>
      <c r="E460">
        <f t="shared" si="7"/>
        <v>955</v>
      </c>
      <c r="F460">
        <f>+COUNTIF(ADV!U:W,A460)</f>
        <v>1</v>
      </c>
      <c r="G460">
        <f>+COUNTIF(ADV!Z:Z,A460)+COUNTIF(ADV!X:X,A460)+COUNTIF(ADV!Y:Y,A460)</f>
        <v>1</v>
      </c>
      <c r="H460" t="s">
        <v>6518</v>
      </c>
    </row>
    <row r="461" spans="1:8" x14ac:dyDescent="0.2">
      <c r="A461" t="s">
        <v>1072</v>
      </c>
      <c r="C461">
        <v>1010066</v>
      </c>
      <c r="D461" t="s">
        <v>6068</v>
      </c>
      <c r="E461">
        <f t="shared" si="7"/>
        <v>999</v>
      </c>
      <c r="F461">
        <f>+COUNTIF(ADV!U:W,A461)</f>
        <v>1</v>
      </c>
      <c r="G461">
        <f>+COUNTIF(ADV!Z:Z,A461)+COUNTIF(ADV!X:X,A461)+COUNTIF(ADV!Y:Y,A461)</f>
        <v>0</v>
      </c>
      <c r="H461" t="s">
        <v>6519</v>
      </c>
    </row>
    <row r="462" spans="1:8" x14ac:dyDescent="0.2">
      <c r="A462" t="s">
        <v>1073</v>
      </c>
      <c r="C462">
        <v>1010005</v>
      </c>
      <c r="D462" t="s">
        <v>6068</v>
      </c>
      <c r="E462">
        <f t="shared" si="7"/>
        <v>172</v>
      </c>
      <c r="F462">
        <f>+COUNTIF(ADV!U:W,A462)</f>
        <v>1</v>
      </c>
      <c r="G462">
        <f>+COUNTIF(ADV!Z:Z,A462)+COUNTIF(ADV!X:X,A462)+COUNTIF(ADV!Y:Y,A462)</f>
        <v>0</v>
      </c>
      <c r="H462" t="s">
        <v>6520</v>
      </c>
    </row>
    <row r="463" spans="1:8" x14ac:dyDescent="0.2">
      <c r="A463" t="s">
        <v>4368</v>
      </c>
      <c r="C463">
        <v>1010119</v>
      </c>
      <c r="D463" t="s">
        <v>6068</v>
      </c>
      <c r="E463">
        <f t="shared" si="7"/>
        <v>289</v>
      </c>
      <c r="F463">
        <f>+COUNTIF(ADV!U:W,A463)</f>
        <v>1</v>
      </c>
      <c r="G463">
        <f>+COUNTIF(ADV!Z:Z,A463)+COUNTIF(ADV!X:X,A463)+COUNTIF(ADV!Y:Y,A463)</f>
        <v>0</v>
      </c>
      <c r="H463" t="s">
        <v>6521</v>
      </c>
    </row>
    <row r="464" spans="1:8" x14ac:dyDescent="0.2">
      <c r="A464" t="s">
        <v>2133</v>
      </c>
      <c r="C464">
        <v>1020002</v>
      </c>
      <c r="D464" t="s">
        <v>6068</v>
      </c>
      <c r="E464">
        <f t="shared" si="7"/>
        <v>217</v>
      </c>
      <c r="F464">
        <f>+COUNTIF(ADV!U:W,A464)</f>
        <v>1</v>
      </c>
      <c r="G464">
        <f>+COUNTIF(ADV!Z:Z,A464)+COUNTIF(ADV!X:X,A464)+COUNTIF(ADV!Y:Y,A464)</f>
        <v>0</v>
      </c>
      <c r="H464" t="s">
        <v>6522</v>
      </c>
    </row>
    <row r="465" spans="1:8" x14ac:dyDescent="0.2">
      <c r="A465" t="s">
        <v>3671</v>
      </c>
      <c r="C465">
        <v>1030044</v>
      </c>
      <c r="D465" t="s">
        <v>6068</v>
      </c>
      <c r="E465">
        <f t="shared" si="7"/>
        <v>316</v>
      </c>
      <c r="F465">
        <f>+COUNTIF(ADV!U:W,A465)</f>
        <v>1</v>
      </c>
      <c r="G465">
        <f>+COUNTIF(ADV!Z:Z,A465)+COUNTIF(ADV!X:X,A465)+COUNTIF(ADV!Y:Y,A465)</f>
        <v>1</v>
      </c>
      <c r="H465" t="s">
        <v>6523</v>
      </c>
    </row>
    <row r="466" spans="1:8" x14ac:dyDescent="0.2">
      <c r="A466" t="s">
        <v>3821</v>
      </c>
      <c r="C466">
        <v>1020029</v>
      </c>
      <c r="D466" t="s">
        <v>6068</v>
      </c>
      <c r="E466">
        <f t="shared" si="7"/>
        <v>417</v>
      </c>
      <c r="F466">
        <f>+COUNTIF(ADV!U:W,A466)</f>
        <v>1</v>
      </c>
      <c r="G466">
        <f>+COUNTIF(ADV!Z:Z,A466)+COUNTIF(ADV!X:X,A466)+COUNTIF(ADV!Y:Y,A466)</f>
        <v>0</v>
      </c>
      <c r="H466" t="s">
        <v>6524</v>
      </c>
    </row>
    <row r="467" spans="1:8" x14ac:dyDescent="0.2">
      <c r="A467" t="s">
        <v>954</v>
      </c>
      <c r="C467">
        <v>1010165</v>
      </c>
      <c r="D467" t="s">
        <v>6068</v>
      </c>
      <c r="E467">
        <f t="shared" si="7"/>
        <v>338</v>
      </c>
      <c r="F467">
        <f>+COUNTIF(ADV!U:W,A467)</f>
        <v>1</v>
      </c>
      <c r="G467">
        <f>+COUNTIF(ADV!Z:Z,A467)+COUNTIF(ADV!X:X,A467)+COUNTIF(ADV!Y:Y,A467)</f>
        <v>1</v>
      </c>
      <c r="H467" t="s">
        <v>6525</v>
      </c>
    </row>
    <row r="468" spans="1:8" x14ac:dyDescent="0.2">
      <c r="A468" t="s">
        <v>1719</v>
      </c>
      <c r="C468">
        <v>1010118</v>
      </c>
      <c r="D468" t="s">
        <v>6068</v>
      </c>
      <c r="E468">
        <f t="shared" si="7"/>
        <v>632</v>
      </c>
      <c r="F468">
        <f>+COUNTIF(ADV!U:W,A468)</f>
        <v>1</v>
      </c>
      <c r="G468">
        <f>+COUNTIF(ADV!Z:Z,A468)+COUNTIF(ADV!X:X,A468)+COUNTIF(ADV!Y:Y,A468)</f>
        <v>1</v>
      </c>
      <c r="H468" t="s">
        <v>6526</v>
      </c>
    </row>
    <row r="469" spans="1:8" x14ac:dyDescent="0.2">
      <c r="A469" t="s">
        <v>1302</v>
      </c>
      <c r="C469">
        <v>1010118</v>
      </c>
      <c r="D469" t="s">
        <v>6068</v>
      </c>
      <c r="E469">
        <f t="shared" si="7"/>
        <v>304</v>
      </c>
      <c r="F469">
        <f>+COUNTIF(ADV!U:W,A469)</f>
        <v>1</v>
      </c>
      <c r="G469">
        <f>+COUNTIF(ADV!Z:Z,A469)+COUNTIF(ADV!X:X,A469)+COUNTIF(ADV!Y:Y,A469)</f>
        <v>0</v>
      </c>
      <c r="H469" t="s">
        <v>6527</v>
      </c>
    </row>
    <row r="470" spans="1:8" x14ac:dyDescent="0.2">
      <c r="A470" t="s">
        <v>210</v>
      </c>
      <c r="C470">
        <v>1020010</v>
      </c>
      <c r="D470" t="s">
        <v>6068</v>
      </c>
      <c r="E470">
        <f t="shared" si="7"/>
        <v>68</v>
      </c>
      <c r="F470">
        <f>+COUNTIF(ADV!U:W,A470)</f>
        <v>1</v>
      </c>
      <c r="G470">
        <f>+COUNTIF(ADV!Z:Z,A470)+COUNTIF(ADV!X:X,A470)+COUNTIF(ADV!Y:Y,A470)</f>
        <v>0</v>
      </c>
      <c r="H470" t="s">
        <v>6528</v>
      </c>
    </row>
    <row r="471" spans="1:8" x14ac:dyDescent="0.2">
      <c r="A471" t="s">
        <v>1995</v>
      </c>
      <c r="C471">
        <v>1010160</v>
      </c>
      <c r="D471" t="s">
        <v>6068</v>
      </c>
      <c r="E471">
        <f t="shared" si="7"/>
        <v>267</v>
      </c>
      <c r="F471">
        <f>+COUNTIF(ADV!U:W,A471)</f>
        <v>1</v>
      </c>
      <c r="G471">
        <f>+COUNTIF(ADV!Z:Z,A471)+COUNTIF(ADV!X:X,A471)+COUNTIF(ADV!Y:Y,A471)</f>
        <v>0</v>
      </c>
      <c r="H471" t="s">
        <v>6529</v>
      </c>
    </row>
    <row r="472" spans="1:8" x14ac:dyDescent="0.2">
      <c r="A472" t="s">
        <v>4167</v>
      </c>
      <c r="C472">
        <v>1010048</v>
      </c>
      <c r="D472" t="s">
        <v>6068</v>
      </c>
      <c r="E472">
        <f t="shared" si="7"/>
        <v>239</v>
      </c>
      <c r="F472">
        <f>+COUNTIF(ADV!U:W,A472)</f>
        <v>1</v>
      </c>
      <c r="G472">
        <f>+COUNTIF(ADV!Z:Z,A472)+COUNTIF(ADV!X:X,A472)+COUNTIF(ADV!Y:Y,A472)</f>
        <v>0</v>
      </c>
      <c r="H472" t="s">
        <v>6530</v>
      </c>
    </row>
    <row r="473" spans="1:8" x14ac:dyDescent="0.2">
      <c r="A473" t="s">
        <v>4000</v>
      </c>
      <c r="C473">
        <v>1010096</v>
      </c>
      <c r="D473" t="s">
        <v>6068</v>
      </c>
      <c r="E473">
        <f t="shared" si="7"/>
        <v>454</v>
      </c>
      <c r="F473">
        <f>+COUNTIF(ADV!U:W,A473)</f>
        <v>1</v>
      </c>
      <c r="G473">
        <f>+COUNTIF(ADV!Z:Z,A473)+COUNTIF(ADV!X:X,A473)+COUNTIF(ADV!Y:Y,A473)</f>
        <v>0</v>
      </c>
      <c r="H473" t="s">
        <v>6531</v>
      </c>
    </row>
    <row r="474" spans="1:8" x14ac:dyDescent="0.2">
      <c r="A474" t="s">
        <v>972</v>
      </c>
      <c r="C474">
        <v>1080003</v>
      </c>
      <c r="D474" t="s">
        <v>6068</v>
      </c>
      <c r="E474">
        <f t="shared" si="7"/>
        <v>33</v>
      </c>
      <c r="F474">
        <f>+COUNTIF(ADV!U:W,A474)</f>
        <v>1</v>
      </c>
      <c r="G474">
        <f>+COUNTIF(ADV!Z:Z,A474)+COUNTIF(ADV!X:X,A474)+COUNTIF(ADV!Y:Y,A474)</f>
        <v>0</v>
      </c>
      <c r="H474" t="s">
        <v>6532</v>
      </c>
    </row>
    <row r="475" spans="1:8" x14ac:dyDescent="0.2">
      <c r="A475" t="s">
        <v>1952</v>
      </c>
      <c r="C475">
        <v>1010198</v>
      </c>
      <c r="D475" t="s">
        <v>6068</v>
      </c>
      <c r="E475">
        <f t="shared" si="7"/>
        <v>954</v>
      </c>
      <c r="F475">
        <f>+COUNTIF(ADV!U:W,A475)</f>
        <v>1</v>
      </c>
      <c r="G475">
        <f>+COUNTIF(ADV!Z:Z,A475)+COUNTIF(ADV!X:X,A475)+COUNTIF(ADV!Y:Y,A475)</f>
        <v>1</v>
      </c>
      <c r="H475" t="s">
        <v>6533</v>
      </c>
    </row>
    <row r="476" spans="1:8" x14ac:dyDescent="0.2">
      <c r="A476" t="s">
        <v>2502</v>
      </c>
      <c r="C476">
        <v>1010116</v>
      </c>
      <c r="D476" t="s">
        <v>6068</v>
      </c>
      <c r="E476">
        <f t="shared" si="7"/>
        <v>180</v>
      </c>
      <c r="F476">
        <f>+COUNTIF(ADV!U:W,A476)</f>
        <v>1</v>
      </c>
      <c r="G476">
        <f>+COUNTIF(ADV!Z:Z,A476)+COUNTIF(ADV!X:X,A476)+COUNTIF(ADV!Y:Y,A476)</f>
        <v>0</v>
      </c>
      <c r="H476" t="s">
        <v>6534</v>
      </c>
    </row>
    <row r="477" spans="1:8" x14ac:dyDescent="0.2">
      <c r="A477" t="s">
        <v>797</v>
      </c>
      <c r="C477">
        <v>1030011</v>
      </c>
      <c r="D477" t="s">
        <v>6068</v>
      </c>
      <c r="E477">
        <f t="shared" si="7"/>
        <v>304</v>
      </c>
      <c r="F477">
        <f>+COUNTIF(ADV!U:W,A477)</f>
        <v>1</v>
      </c>
      <c r="G477">
        <f>+COUNTIF(ADV!Z:Z,A477)+COUNTIF(ADV!X:X,A477)+COUNTIF(ADV!Y:Y,A477)</f>
        <v>0</v>
      </c>
      <c r="H477" t="s">
        <v>6535</v>
      </c>
    </row>
    <row r="478" spans="1:8" x14ac:dyDescent="0.2">
      <c r="A478" t="s">
        <v>355</v>
      </c>
      <c r="C478">
        <v>1010031</v>
      </c>
      <c r="D478" t="s">
        <v>6068</v>
      </c>
      <c r="E478">
        <f t="shared" si="7"/>
        <v>106</v>
      </c>
      <c r="F478">
        <f>+COUNTIF(ADV!U:W,A478)</f>
        <v>1</v>
      </c>
      <c r="G478">
        <f>+COUNTIF(ADV!Z:Z,A478)+COUNTIF(ADV!X:X,A478)+COUNTIF(ADV!Y:Y,A478)</f>
        <v>0</v>
      </c>
      <c r="H478" t="s">
        <v>6536</v>
      </c>
    </row>
    <row r="479" spans="1:8" x14ac:dyDescent="0.2">
      <c r="A479" t="s">
        <v>3942</v>
      </c>
      <c r="C479">
        <v>1010037</v>
      </c>
      <c r="D479" t="s">
        <v>6068</v>
      </c>
      <c r="E479">
        <f t="shared" si="7"/>
        <v>311</v>
      </c>
      <c r="F479">
        <f>+COUNTIF(ADV!U:W,A479)</f>
        <v>1</v>
      </c>
      <c r="G479">
        <f>+COUNTIF(ADV!Z:Z,A479)+COUNTIF(ADV!X:X,A479)+COUNTIF(ADV!Y:Y,A479)</f>
        <v>0</v>
      </c>
      <c r="H479" t="s">
        <v>6537</v>
      </c>
    </row>
    <row r="480" spans="1:8" x14ac:dyDescent="0.2">
      <c r="A480" t="s">
        <v>3066</v>
      </c>
      <c r="C480">
        <v>1010037</v>
      </c>
      <c r="D480" t="s">
        <v>6068</v>
      </c>
      <c r="E480">
        <f t="shared" si="7"/>
        <v>400</v>
      </c>
      <c r="F480">
        <f>+COUNTIF(ADV!U:W,A480)</f>
        <v>1</v>
      </c>
      <c r="G480">
        <f>+COUNTIF(ADV!Z:Z,A480)+COUNTIF(ADV!X:X,A480)+COUNTIF(ADV!Y:Y,A480)</f>
        <v>0</v>
      </c>
      <c r="H480" t="s">
        <v>6538</v>
      </c>
    </row>
    <row r="481" spans="1:8" x14ac:dyDescent="0.2">
      <c r="A481" t="s">
        <v>3536</v>
      </c>
      <c r="C481">
        <v>1010053</v>
      </c>
      <c r="D481" t="s">
        <v>6068</v>
      </c>
      <c r="E481">
        <f t="shared" si="7"/>
        <v>624</v>
      </c>
      <c r="F481">
        <f>+COUNTIF(ADV!U:W,A481)</f>
        <v>1</v>
      </c>
      <c r="G481">
        <f>+COUNTIF(ADV!Z:Z,A481)+COUNTIF(ADV!X:X,A481)+COUNTIF(ADV!Y:Y,A481)</f>
        <v>0</v>
      </c>
      <c r="H481" t="s">
        <v>6539</v>
      </c>
    </row>
    <row r="482" spans="1:8" x14ac:dyDescent="0.2">
      <c r="A482" t="s">
        <v>4108</v>
      </c>
      <c r="C482">
        <v>1010089</v>
      </c>
      <c r="D482" t="s">
        <v>6068</v>
      </c>
      <c r="E482">
        <f t="shared" si="7"/>
        <v>299</v>
      </c>
      <c r="F482">
        <f>+COUNTIF(ADV!U:W,A482)</f>
        <v>1</v>
      </c>
      <c r="G482">
        <f>+COUNTIF(ADV!Z:Z,A482)+COUNTIF(ADV!X:X,A482)+COUNTIF(ADV!Y:Y,A482)</f>
        <v>0</v>
      </c>
      <c r="H482" t="s">
        <v>6540</v>
      </c>
    </row>
    <row r="483" spans="1:8" x14ac:dyDescent="0.2">
      <c r="A483" t="s">
        <v>2003</v>
      </c>
      <c r="C483">
        <v>1030040</v>
      </c>
      <c r="D483" t="s">
        <v>6068</v>
      </c>
      <c r="E483">
        <f t="shared" si="7"/>
        <v>304</v>
      </c>
      <c r="F483">
        <f>+COUNTIF(ADV!U:W,A483)</f>
        <v>1</v>
      </c>
      <c r="G483">
        <f>+COUNTIF(ADV!Z:Z,A483)+COUNTIF(ADV!X:X,A483)+COUNTIF(ADV!Y:Y,A483)</f>
        <v>0</v>
      </c>
      <c r="H483" t="s">
        <v>6541</v>
      </c>
    </row>
    <row r="484" spans="1:8" x14ac:dyDescent="0.2">
      <c r="A484" t="s">
        <v>2622</v>
      </c>
      <c r="B484" t="s">
        <v>6542</v>
      </c>
      <c r="C484">
        <v>1010150</v>
      </c>
      <c r="D484" t="s">
        <v>6064</v>
      </c>
      <c r="E484">
        <f t="shared" si="7"/>
        <v>152</v>
      </c>
      <c r="F484">
        <f>+COUNTIF(ADV!U:W,A484)</f>
        <v>0</v>
      </c>
      <c r="G484">
        <f>+COUNTIF(ADV!Z:Z,A484)+COUNTIF(ADV!X:X,A484)+COUNTIF(ADV!Y:Y,A484)</f>
        <v>1</v>
      </c>
      <c r="H484" t="s">
        <v>6543</v>
      </c>
    </row>
    <row r="485" spans="1:8" x14ac:dyDescent="0.2">
      <c r="A485" t="s">
        <v>1750</v>
      </c>
      <c r="B485" t="s">
        <v>6544</v>
      </c>
      <c r="C485">
        <v>1010050</v>
      </c>
      <c r="D485" t="s">
        <v>6064</v>
      </c>
      <c r="E485">
        <f t="shared" ref="E485:E548" si="8">+LEN(H485)</f>
        <v>492</v>
      </c>
      <c r="F485">
        <f>+COUNTIF(ADV!U:W,A485)</f>
        <v>0</v>
      </c>
      <c r="G485">
        <f>+COUNTIF(ADV!Z:Z,A485)+COUNTIF(ADV!X:X,A485)+COUNTIF(ADV!Y:Y,A485)</f>
        <v>1</v>
      </c>
      <c r="H485" t="s">
        <v>6545</v>
      </c>
    </row>
    <row r="486" spans="1:8" x14ac:dyDescent="0.2">
      <c r="A486" t="s">
        <v>1215</v>
      </c>
      <c r="B486" t="s">
        <v>6546</v>
      </c>
      <c r="C486">
        <v>1010013</v>
      </c>
      <c r="D486" t="s">
        <v>6064</v>
      </c>
      <c r="E486">
        <f t="shared" si="8"/>
        <v>586</v>
      </c>
      <c r="F486">
        <f>+COUNTIF(ADV!U:W,A486)</f>
        <v>0</v>
      </c>
      <c r="G486">
        <f>+COUNTIF(ADV!Z:Z,A486)+COUNTIF(ADV!X:X,A486)+COUNTIF(ADV!Y:Y,A486)</f>
        <v>1</v>
      </c>
      <c r="H486" t="s">
        <v>6547</v>
      </c>
    </row>
    <row r="487" spans="1:8" x14ac:dyDescent="0.2">
      <c r="A487" t="s">
        <v>3552</v>
      </c>
      <c r="B487" t="s">
        <v>6548</v>
      </c>
      <c r="C487">
        <v>1010042</v>
      </c>
      <c r="D487" t="s">
        <v>6064</v>
      </c>
      <c r="E487">
        <f t="shared" si="8"/>
        <v>615</v>
      </c>
      <c r="F487">
        <f>+COUNTIF(ADV!U:W,A487)</f>
        <v>0</v>
      </c>
      <c r="G487">
        <f>+COUNTIF(ADV!Z:Z,A487)+COUNTIF(ADV!X:X,A487)+COUNTIF(ADV!Y:Y,A487)</f>
        <v>1</v>
      </c>
      <c r="H487" t="s">
        <v>6549</v>
      </c>
    </row>
    <row r="488" spans="1:8" x14ac:dyDescent="0.2">
      <c r="A488" t="s">
        <v>212</v>
      </c>
      <c r="B488" t="s">
        <v>202</v>
      </c>
      <c r="C488">
        <v>1020010</v>
      </c>
      <c r="D488" t="s">
        <v>6064</v>
      </c>
      <c r="E488">
        <f t="shared" si="8"/>
        <v>192</v>
      </c>
      <c r="F488">
        <f>+COUNTIF(ADV!U:W,A488)</f>
        <v>0</v>
      </c>
      <c r="G488">
        <f>+COUNTIF(ADV!Z:Z,A488)+COUNTIF(ADV!X:X,A488)+COUNTIF(ADV!Y:Y,A488)</f>
        <v>1</v>
      </c>
      <c r="H488" t="s">
        <v>6550</v>
      </c>
    </row>
    <row r="489" spans="1:8" x14ac:dyDescent="0.2">
      <c r="A489" t="s">
        <v>3844</v>
      </c>
      <c r="B489" t="s">
        <v>3836</v>
      </c>
      <c r="C489">
        <v>1010021</v>
      </c>
      <c r="D489" t="s">
        <v>6064</v>
      </c>
      <c r="E489">
        <f t="shared" si="8"/>
        <v>286</v>
      </c>
      <c r="F489">
        <f>+COUNTIF(ADV!U:W,A489)</f>
        <v>0</v>
      </c>
      <c r="G489">
        <f>+COUNTIF(ADV!Z:Z,A489)+COUNTIF(ADV!X:X,A489)+COUNTIF(ADV!Y:Y,A489)</f>
        <v>1</v>
      </c>
      <c r="H489" t="s">
        <v>6551</v>
      </c>
    </row>
    <row r="490" spans="1:8" x14ac:dyDescent="0.2">
      <c r="A490" t="s">
        <v>568</v>
      </c>
      <c r="B490" t="s">
        <v>6552</v>
      </c>
      <c r="C490">
        <v>1020014</v>
      </c>
      <c r="D490" t="s">
        <v>6064</v>
      </c>
      <c r="E490">
        <f t="shared" si="8"/>
        <v>35</v>
      </c>
      <c r="F490">
        <f>+COUNTIF(ADV!U:W,A490)</f>
        <v>0</v>
      </c>
      <c r="G490">
        <f>+COUNTIF(ADV!Z:Z,A490)+COUNTIF(ADV!X:X,A490)+COUNTIF(ADV!Y:Y,A490)</f>
        <v>2</v>
      </c>
      <c r="H490" t="s">
        <v>6553</v>
      </c>
    </row>
    <row r="491" spans="1:8" x14ac:dyDescent="0.2">
      <c r="A491" t="s">
        <v>1864</v>
      </c>
      <c r="B491" t="s">
        <v>6554</v>
      </c>
      <c r="C491">
        <v>1010007</v>
      </c>
      <c r="D491" t="s">
        <v>6064</v>
      </c>
      <c r="E491">
        <f t="shared" si="8"/>
        <v>428</v>
      </c>
      <c r="F491">
        <f>+COUNTIF(ADV!U:W,A491)</f>
        <v>0</v>
      </c>
      <c r="G491">
        <f>+COUNTIF(ADV!Z:Z,A491)+COUNTIF(ADV!X:X,A491)+COUNTIF(ADV!Y:Y,A491)</f>
        <v>1</v>
      </c>
      <c r="H491" t="s">
        <v>6555</v>
      </c>
    </row>
    <row r="492" spans="1:8" x14ac:dyDescent="0.2">
      <c r="A492" t="s">
        <v>2021</v>
      </c>
      <c r="B492" t="s">
        <v>2012</v>
      </c>
      <c r="C492">
        <v>1020004</v>
      </c>
      <c r="D492" t="s">
        <v>6064</v>
      </c>
      <c r="E492">
        <f t="shared" si="8"/>
        <v>199</v>
      </c>
      <c r="F492">
        <f>+COUNTIF(ADV!U:W,A492)</f>
        <v>0</v>
      </c>
      <c r="G492">
        <f>+COUNTIF(ADV!Z:Z,A492)+COUNTIF(ADV!X:X,A492)+COUNTIF(ADV!Y:Y,A492)</f>
        <v>1</v>
      </c>
      <c r="H492" t="s">
        <v>6556</v>
      </c>
    </row>
    <row r="493" spans="1:8" x14ac:dyDescent="0.2">
      <c r="A493" t="s">
        <v>3432</v>
      </c>
      <c r="B493" t="s">
        <v>3424</v>
      </c>
      <c r="C493">
        <v>1020004</v>
      </c>
      <c r="D493" t="s">
        <v>6064</v>
      </c>
      <c r="E493">
        <f t="shared" si="8"/>
        <v>223</v>
      </c>
      <c r="F493">
        <f>+COUNTIF(ADV!U:W,A493)</f>
        <v>0</v>
      </c>
      <c r="G493">
        <f>+COUNTIF(ADV!Z:Z,A493)+COUNTIF(ADV!X:X,A493)+COUNTIF(ADV!Y:Y,A493)</f>
        <v>1</v>
      </c>
      <c r="H493" t="s">
        <v>6557</v>
      </c>
    </row>
    <row r="494" spans="1:8" x14ac:dyDescent="0.2">
      <c r="A494" t="s">
        <v>2408</v>
      </c>
      <c r="B494" t="s">
        <v>6558</v>
      </c>
      <c r="C494">
        <v>1010175</v>
      </c>
      <c r="D494" t="s">
        <v>6064</v>
      </c>
      <c r="E494">
        <f t="shared" si="8"/>
        <v>537</v>
      </c>
      <c r="F494">
        <f>+COUNTIF(ADV!U:W,A494)</f>
        <v>0</v>
      </c>
      <c r="G494">
        <f>+COUNTIF(ADV!Z:Z,A494)+COUNTIF(ADV!X:X,A494)+COUNTIF(ADV!Y:Y,A494)</f>
        <v>1</v>
      </c>
      <c r="H494" t="s">
        <v>6559</v>
      </c>
    </row>
    <row r="495" spans="1:8" x14ac:dyDescent="0.2">
      <c r="A495" t="s">
        <v>1350</v>
      </c>
      <c r="B495" t="s">
        <v>6560</v>
      </c>
      <c r="C495">
        <v>1010039</v>
      </c>
      <c r="D495" t="s">
        <v>6064</v>
      </c>
      <c r="E495">
        <f t="shared" si="8"/>
        <v>99</v>
      </c>
      <c r="F495">
        <f>+COUNTIF(ADV!U:W,A495)</f>
        <v>0</v>
      </c>
      <c r="G495">
        <f>+COUNTIF(ADV!Z:Z,A495)+COUNTIF(ADV!X:X,A495)+COUNTIF(ADV!Y:Y,A495)</f>
        <v>1</v>
      </c>
      <c r="H495" t="s">
        <v>6561</v>
      </c>
    </row>
    <row r="496" spans="1:8" x14ac:dyDescent="0.2">
      <c r="A496" t="s">
        <v>1231</v>
      </c>
      <c r="B496" t="s">
        <v>6562</v>
      </c>
      <c r="C496">
        <v>1130001</v>
      </c>
      <c r="D496" t="s">
        <v>6064</v>
      </c>
      <c r="E496">
        <f t="shared" si="8"/>
        <v>44</v>
      </c>
      <c r="F496">
        <f>+COUNTIF(ADV!U:W,A496)</f>
        <v>0</v>
      </c>
      <c r="G496">
        <f>+COUNTIF(ADV!Z:Z,A496)+COUNTIF(ADV!X:X,A496)+COUNTIF(ADV!Y:Y,A496)</f>
        <v>5</v>
      </c>
      <c r="H496" t="s">
        <v>6563</v>
      </c>
    </row>
    <row r="497" spans="1:8" x14ac:dyDescent="0.2">
      <c r="A497" t="s">
        <v>1971</v>
      </c>
      <c r="B497" t="s">
        <v>6564</v>
      </c>
      <c r="C497">
        <v>1010124</v>
      </c>
      <c r="D497" t="s">
        <v>6064</v>
      </c>
      <c r="E497">
        <f t="shared" si="8"/>
        <v>572</v>
      </c>
      <c r="F497">
        <f>+COUNTIF(ADV!U:W,A497)</f>
        <v>0</v>
      </c>
      <c r="G497">
        <f>+COUNTIF(ADV!Z:Z,A497)+COUNTIF(ADV!X:X,A497)+COUNTIF(ADV!Y:Y,A497)</f>
        <v>1</v>
      </c>
      <c r="H497" t="s">
        <v>6565</v>
      </c>
    </row>
    <row r="498" spans="1:8" x14ac:dyDescent="0.2">
      <c r="A498" t="s">
        <v>3960</v>
      </c>
      <c r="B498" t="s">
        <v>3952</v>
      </c>
      <c r="C498">
        <v>1020002</v>
      </c>
      <c r="D498" t="s">
        <v>6064</v>
      </c>
      <c r="E498">
        <f t="shared" si="8"/>
        <v>136</v>
      </c>
      <c r="F498">
        <f>+COUNTIF(ADV!U:W,A498)</f>
        <v>0</v>
      </c>
      <c r="G498">
        <f>+COUNTIF(ADV!Z:Z,A498)+COUNTIF(ADV!X:X,A498)+COUNTIF(ADV!Y:Y,A498)</f>
        <v>1</v>
      </c>
      <c r="H498" t="s">
        <v>6566</v>
      </c>
    </row>
    <row r="499" spans="1:8" x14ac:dyDescent="0.2">
      <c r="A499" t="s">
        <v>1565</v>
      </c>
      <c r="B499" t="s">
        <v>1557</v>
      </c>
      <c r="C499">
        <v>1070013</v>
      </c>
      <c r="D499" t="s">
        <v>6064</v>
      </c>
      <c r="E499">
        <f t="shared" si="8"/>
        <v>364</v>
      </c>
      <c r="F499">
        <f>+COUNTIF(ADV!U:W,A499)</f>
        <v>0</v>
      </c>
      <c r="G499">
        <f>+COUNTIF(ADV!Z:Z,A499)+COUNTIF(ADV!X:X,A499)+COUNTIF(ADV!Y:Y,A499)</f>
        <v>1</v>
      </c>
      <c r="H499" t="s">
        <v>6567</v>
      </c>
    </row>
    <row r="500" spans="1:8" x14ac:dyDescent="0.2">
      <c r="A500" t="s">
        <v>1232</v>
      </c>
      <c r="B500" t="s">
        <v>1223</v>
      </c>
      <c r="C500">
        <v>1010011</v>
      </c>
      <c r="D500" t="s">
        <v>6064</v>
      </c>
      <c r="E500">
        <f t="shared" si="8"/>
        <v>357</v>
      </c>
      <c r="F500">
        <f>+COUNTIF(ADV!U:W,A500)</f>
        <v>0</v>
      </c>
      <c r="G500">
        <f>+COUNTIF(ADV!Z:Z,A500)+COUNTIF(ADV!X:X,A500)+COUNTIF(ADV!Y:Y,A500)</f>
        <v>1</v>
      </c>
      <c r="H500" t="s">
        <v>6568</v>
      </c>
    </row>
    <row r="501" spans="1:8" x14ac:dyDescent="0.2">
      <c r="A501" t="s">
        <v>1936</v>
      </c>
      <c r="B501" t="s">
        <v>6569</v>
      </c>
      <c r="C501">
        <v>1020011</v>
      </c>
      <c r="D501" t="s">
        <v>6064</v>
      </c>
      <c r="E501">
        <f t="shared" si="8"/>
        <v>455</v>
      </c>
      <c r="F501">
        <f>+COUNTIF(ADV!U:W,A501)</f>
        <v>0</v>
      </c>
      <c r="G501">
        <f>+COUNTIF(ADV!Z:Z,A501)+COUNTIF(ADV!X:X,A501)+COUNTIF(ADV!Y:Y,A501)</f>
        <v>1</v>
      </c>
      <c r="H501" t="s">
        <v>6570</v>
      </c>
    </row>
    <row r="502" spans="1:8" x14ac:dyDescent="0.2">
      <c r="A502" t="s">
        <v>3507</v>
      </c>
      <c r="B502" t="s">
        <v>6571</v>
      </c>
      <c r="C502">
        <v>1010103</v>
      </c>
      <c r="D502" t="s">
        <v>6064</v>
      </c>
      <c r="E502">
        <f t="shared" si="8"/>
        <v>434</v>
      </c>
      <c r="F502">
        <f>+COUNTIF(ADV!U:W,A502)</f>
        <v>0</v>
      </c>
      <c r="G502">
        <f>+COUNTIF(ADV!Z:Z,A502)+COUNTIF(ADV!X:X,A502)+COUNTIF(ADV!Y:Y,A502)</f>
        <v>1</v>
      </c>
      <c r="H502" t="s">
        <v>6572</v>
      </c>
    </row>
    <row r="503" spans="1:8" x14ac:dyDescent="0.2">
      <c r="A503" t="s">
        <v>1154</v>
      </c>
      <c r="B503" t="s">
        <v>6573</v>
      </c>
      <c r="C503">
        <v>1020002</v>
      </c>
      <c r="D503" t="s">
        <v>6064</v>
      </c>
      <c r="E503">
        <f t="shared" si="8"/>
        <v>329</v>
      </c>
      <c r="F503">
        <f>+COUNTIF(ADV!U:W,A503)</f>
        <v>0</v>
      </c>
      <c r="G503">
        <f>+COUNTIF(ADV!Z:Z,A503)+COUNTIF(ADV!X:X,A503)+COUNTIF(ADV!Y:Y,A503)</f>
        <v>1</v>
      </c>
      <c r="H503" t="s">
        <v>6574</v>
      </c>
    </row>
    <row r="504" spans="1:8" x14ac:dyDescent="0.2">
      <c r="A504" t="s">
        <v>1651</v>
      </c>
      <c r="B504" t="s">
        <v>6575</v>
      </c>
      <c r="C504">
        <v>1020035</v>
      </c>
      <c r="D504" t="s">
        <v>6064</v>
      </c>
      <c r="E504">
        <f t="shared" si="8"/>
        <v>514</v>
      </c>
      <c r="F504">
        <f>+COUNTIF(ADV!U:W,A504)</f>
        <v>0</v>
      </c>
      <c r="G504">
        <f>+COUNTIF(ADV!Z:Z,A504)+COUNTIF(ADV!X:X,A504)+COUNTIF(ADV!Y:Y,A504)</f>
        <v>1</v>
      </c>
      <c r="H504" t="s">
        <v>6576</v>
      </c>
    </row>
    <row r="505" spans="1:8" x14ac:dyDescent="0.2">
      <c r="A505" t="s">
        <v>3008</v>
      </c>
      <c r="B505" t="s">
        <v>2999</v>
      </c>
      <c r="C505">
        <v>1010012</v>
      </c>
      <c r="D505" t="s">
        <v>6064</v>
      </c>
      <c r="E505">
        <f t="shared" si="8"/>
        <v>469</v>
      </c>
      <c r="F505">
        <f>+COUNTIF(ADV!U:W,A505)</f>
        <v>0</v>
      </c>
      <c r="G505">
        <f>+COUNTIF(ADV!Z:Z,A505)+COUNTIF(ADV!X:X,A505)+COUNTIF(ADV!Y:Y,A505)</f>
        <v>1</v>
      </c>
      <c r="H505" t="s">
        <v>6577</v>
      </c>
    </row>
    <row r="506" spans="1:8" x14ac:dyDescent="0.2">
      <c r="A506" t="s">
        <v>1305</v>
      </c>
      <c r="B506" t="s">
        <v>6578</v>
      </c>
      <c r="C506">
        <v>1020022</v>
      </c>
      <c r="D506" t="s">
        <v>6064</v>
      </c>
      <c r="E506">
        <f t="shared" si="8"/>
        <v>531</v>
      </c>
      <c r="F506">
        <f>+COUNTIF(ADV!U:W,A506)</f>
        <v>0</v>
      </c>
      <c r="G506">
        <f>+COUNTIF(ADV!Z:Z,A506)+COUNTIF(ADV!X:X,A506)+COUNTIF(ADV!Y:Y,A506)</f>
        <v>1</v>
      </c>
      <c r="H506" t="s">
        <v>6579</v>
      </c>
    </row>
    <row r="507" spans="1:8" x14ac:dyDescent="0.2">
      <c r="A507" t="s">
        <v>2477</v>
      </c>
      <c r="B507" t="s">
        <v>2468</v>
      </c>
      <c r="C507">
        <v>1010012</v>
      </c>
      <c r="D507" t="s">
        <v>6064</v>
      </c>
      <c r="E507">
        <f t="shared" si="8"/>
        <v>361</v>
      </c>
      <c r="F507">
        <f>+COUNTIF(ADV!U:W,A507)</f>
        <v>0</v>
      </c>
      <c r="G507">
        <f>+COUNTIF(ADV!Z:Z,A507)+COUNTIF(ADV!X:X,A507)+COUNTIF(ADV!Y:Y,A507)</f>
        <v>1</v>
      </c>
      <c r="H507" t="s">
        <v>6580</v>
      </c>
    </row>
    <row r="508" spans="1:8" x14ac:dyDescent="0.2">
      <c r="A508" t="s">
        <v>265</v>
      </c>
      <c r="B508" t="s">
        <v>6581</v>
      </c>
      <c r="C508">
        <v>1020002</v>
      </c>
      <c r="D508" t="s">
        <v>6064</v>
      </c>
      <c r="E508">
        <f t="shared" si="8"/>
        <v>187</v>
      </c>
      <c r="F508">
        <f>+COUNTIF(ADV!U:W,A508)</f>
        <v>0</v>
      </c>
      <c r="G508">
        <f>+COUNTIF(ADV!Z:Z,A508)+COUNTIF(ADV!X:X,A508)+COUNTIF(ADV!Y:Y,A508)</f>
        <v>1</v>
      </c>
      <c r="H508" t="s">
        <v>6582</v>
      </c>
    </row>
    <row r="509" spans="1:8" x14ac:dyDescent="0.2">
      <c r="A509" t="s">
        <v>749</v>
      </c>
      <c r="B509" t="s">
        <v>741</v>
      </c>
      <c r="C509">
        <v>1070002</v>
      </c>
      <c r="D509" t="s">
        <v>6064</v>
      </c>
      <c r="E509">
        <f t="shared" si="8"/>
        <v>206</v>
      </c>
      <c r="F509">
        <f>+COUNTIF(ADV!U:W,A509)</f>
        <v>0</v>
      </c>
      <c r="G509">
        <f>+COUNTIF(ADV!Z:Z,A509)+COUNTIF(ADV!X:X,A509)+COUNTIF(ADV!Y:Y,A509)</f>
        <v>1</v>
      </c>
      <c r="H509" t="s">
        <v>6583</v>
      </c>
    </row>
    <row r="510" spans="1:8" x14ac:dyDescent="0.2">
      <c r="A510" t="s">
        <v>1497</v>
      </c>
      <c r="B510" t="s">
        <v>1489</v>
      </c>
      <c r="C510">
        <v>1070013</v>
      </c>
      <c r="D510" t="s">
        <v>6064</v>
      </c>
      <c r="E510">
        <f t="shared" si="8"/>
        <v>205</v>
      </c>
      <c r="F510">
        <f>+COUNTIF(ADV!U:W,A510)</f>
        <v>0</v>
      </c>
      <c r="G510">
        <f>+COUNTIF(ADV!Z:Z,A510)+COUNTIF(ADV!X:X,A510)+COUNTIF(ADV!Y:Y,A510)</f>
        <v>1</v>
      </c>
      <c r="H510" t="s">
        <v>23954</v>
      </c>
    </row>
    <row r="511" spans="1:8" x14ac:dyDescent="0.2">
      <c r="A511" t="s">
        <v>2277</v>
      </c>
      <c r="B511" t="s">
        <v>2268</v>
      </c>
      <c r="C511">
        <v>1010001</v>
      </c>
      <c r="D511" t="s">
        <v>6064</v>
      </c>
      <c r="E511">
        <f t="shared" si="8"/>
        <v>306</v>
      </c>
      <c r="F511">
        <f>+COUNTIF(ADV!U:W,A511)</f>
        <v>0</v>
      </c>
      <c r="G511">
        <f>+COUNTIF(ADV!Z:Z,A511)+COUNTIF(ADV!X:X,A511)+COUNTIF(ADV!Y:Y,A511)</f>
        <v>1</v>
      </c>
      <c r="H511" t="s">
        <v>6585</v>
      </c>
    </row>
    <row r="512" spans="1:8" x14ac:dyDescent="0.2">
      <c r="A512" t="s">
        <v>2112</v>
      </c>
      <c r="B512" t="s">
        <v>6586</v>
      </c>
      <c r="C512">
        <v>1010084</v>
      </c>
      <c r="D512" t="s">
        <v>6064</v>
      </c>
      <c r="E512">
        <f t="shared" si="8"/>
        <v>149</v>
      </c>
      <c r="F512">
        <f>+COUNTIF(ADV!U:W,A512)</f>
        <v>0</v>
      </c>
      <c r="G512">
        <f>+COUNTIF(ADV!Z:Z,A512)+COUNTIF(ADV!X:X,A512)+COUNTIF(ADV!Y:Y,A512)</f>
        <v>1</v>
      </c>
      <c r="H512" t="s">
        <v>6587</v>
      </c>
    </row>
    <row r="513" spans="1:8" x14ac:dyDescent="0.2">
      <c r="A513" t="s">
        <v>501</v>
      </c>
      <c r="B513" t="s">
        <v>6588</v>
      </c>
      <c r="C513">
        <v>1010025</v>
      </c>
      <c r="D513" t="s">
        <v>6064</v>
      </c>
      <c r="E513">
        <f t="shared" si="8"/>
        <v>561</v>
      </c>
      <c r="F513">
        <f>+COUNTIF(ADV!U:W,A513)</f>
        <v>0</v>
      </c>
      <c r="G513">
        <f>+COUNTIF(ADV!Z:Z,A513)+COUNTIF(ADV!X:X,A513)+COUNTIF(ADV!Y:Y,A513)</f>
        <v>1</v>
      </c>
      <c r="H513" t="s">
        <v>6589</v>
      </c>
    </row>
    <row r="514" spans="1:8" x14ac:dyDescent="0.2">
      <c r="A514" t="s">
        <v>3725</v>
      </c>
      <c r="B514" t="s">
        <v>6590</v>
      </c>
      <c r="C514">
        <v>1010156</v>
      </c>
      <c r="D514" t="s">
        <v>6064</v>
      </c>
      <c r="E514">
        <f t="shared" si="8"/>
        <v>621</v>
      </c>
      <c r="F514">
        <f>+COUNTIF(ADV!U:W,A514)</f>
        <v>0</v>
      </c>
      <c r="G514">
        <f>+COUNTIF(ADV!Z:Z,A514)+COUNTIF(ADV!X:X,A514)+COUNTIF(ADV!Y:Y,A514)</f>
        <v>1</v>
      </c>
      <c r="H514" t="s">
        <v>6124</v>
      </c>
    </row>
    <row r="515" spans="1:8" x14ac:dyDescent="0.2">
      <c r="A515" t="s">
        <v>1092</v>
      </c>
      <c r="B515" t="s">
        <v>6591</v>
      </c>
      <c r="C515">
        <v>1010085</v>
      </c>
      <c r="D515" t="s">
        <v>6064</v>
      </c>
      <c r="E515">
        <f t="shared" si="8"/>
        <v>362</v>
      </c>
      <c r="F515">
        <f>+COUNTIF(ADV!U:W,A515)</f>
        <v>0</v>
      </c>
      <c r="G515">
        <f>+COUNTIF(ADV!Z:Z,A515)+COUNTIF(ADV!X:X,A515)+COUNTIF(ADV!Y:Y,A515)</f>
        <v>1</v>
      </c>
      <c r="H515" t="s">
        <v>6592</v>
      </c>
    </row>
    <row r="516" spans="1:8" x14ac:dyDescent="0.2">
      <c r="A516" t="s">
        <v>193</v>
      </c>
      <c r="B516" t="s">
        <v>6593</v>
      </c>
      <c r="C516">
        <v>1010001</v>
      </c>
      <c r="D516" t="s">
        <v>6064</v>
      </c>
      <c r="E516">
        <f t="shared" si="8"/>
        <v>462</v>
      </c>
      <c r="F516">
        <f>+COUNTIF(ADV!U:W,A516)</f>
        <v>0</v>
      </c>
      <c r="G516">
        <f>+COUNTIF(ADV!Z:Z,A516)+COUNTIF(ADV!X:X,A516)+COUNTIF(ADV!Y:Y,A516)</f>
        <v>1</v>
      </c>
      <c r="H516" t="s">
        <v>6594</v>
      </c>
    </row>
    <row r="517" spans="1:8" x14ac:dyDescent="0.2">
      <c r="A517" t="s">
        <v>471</v>
      </c>
      <c r="B517" t="s">
        <v>6595</v>
      </c>
      <c r="C517">
        <v>1010058</v>
      </c>
      <c r="D517" t="s">
        <v>6064</v>
      </c>
      <c r="E517">
        <f t="shared" si="8"/>
        <v>527</v>
      </c>
      <c r="F517">
        <f>+COUNTIF(ADV!U:W,A517)</f>
        <v>0</v>
      </c>
      <c r="G517">
        <f>+COUNTIF(ADV!Z:Z,A517)+COUNTIF(ADV!X:X,A517)+COUNTIF(ADV!Y:Y,A517)</f>
        <v>2</v>
      </c>
      <c r="H517" t="s">
        <v>6596</v>
      </c>
    </row>
    <row r="518" spans="1:8" x14ac:dyDescent="0.2">
      <c r="A518" t="s">
        <v>879</v>
      </c>
      <c r="B518" t="s">
        <v>6597</v>
      </c>
      <c r="C518">
        <v>1020011</v>
      </c>
      <c r="D518" t="s">
        <v>6064</v>
      </c>
      <c r="E518">
        <f t="shared" si="8"/>
        <v>195</v>
      </c>
      <c r="F518">
        <f>+COUNTIF(ADV!U:W,A518)</f>
        <v>0</v>
      </c>
      <c r="G518">
        <f>+COUNTIF(ADV!Z:Z,A518)+COUNTIF(ADV!X:X,A518)+COUNTIF(ADV!Y:Y,A518)</f>
        <v>1</v>
      </c>
      <c r="H518" t="s">
        <v>6598</v>
      </c>
    </row>
    <row r="519" spans="1:8" x14ac:dyDescent="0.2">
      <c r="A519" t="s">
        <v>3757</v>
      </c>
      <c r="B519" t="s">
        <v>6599</v>
      </c>
      <c r="C519">
        <v>1020010</v>
      </c>
      <c r="D519" t="s">
        <v>6064</v>
      </c>
      <c r="E519">
        <f t="shared" si="8"/>
        <v>302</v>
      </c>
      <c r="F519">
        <f>+COUNTIF(ADV!U:W,A519)</f>
        <v>0</v>
      </c>
      <c r="G519">
        <f>+COUNTIF(ADV!Z:Z,A519)+COUNTIF(ADV!X:X,A519)+COUNTIF(ADV!Y:Y,A519)</f>
        <v>1</v>
      </c>
      <c r="H519" t="s">
        <v>6600</v>
      </c>
    </row>
    <row r="520" spans="1:8" x14ac:dyDescent="0.2">
      <c r="A520" t="s">
        <v>249</v>
      </c>
      <c r="B520" t="s">
        <v>6601</v>
      </c>
      <c r="C520">
        <v>1020010</v>
      </c>
      <c r="D520" t="s">
        <v>6064</v>
      </c>
      <c r="E520">
        <f t="shared" si="8"/>
        <v>31</v>
      </c>
      <c r="F520">
        <f>+COUNTIF(ADV!U:W,A520)</f>
        <v>0</v>
      </c>
      <c r="G520">
        <f>+COUNTIF(ADV!Z:Z,A520)+COUNTIF(ADV!X:X,A520)+COUNTIF(ADV!Y:Y,A520)</f>
        <v>11</v>
      </c>
      <c r="H520" t="s">
        <v>6602</v>
      </c>
    </row>
    <row r="521" spans="1:8" x14ac:dyDescent="0.2">
      <c r="A521" t="s">
        <v>1762</v>
      </c>
      <c r="B521" t="s">
        <v>1756</v>
      </c>
      <c r="C521">
        <v>1020002</v>
      </c>
      <c r="D521" t="s">
        <v>6064</v>
      </c>
      <c r="E521">
        <f t="shared" si="8"/>
        <v>186</v>
      </c>
      <c r="F521">
        <f>+COUNTIF(ADV!U:W,A521)</f>
        <v>0</v>
      </c>
      <c r="G521">
        <f>+COUNTIF(ADV!Z:Z,A521)+COUNTIF(ADV!X:X,A521)+COUNTIF(ADV!Y:Y,A521)</f>
        <v>1</v>
      </c>
      <c r="H521" t="s">
        <v>6603</v>
      </c>
    </row>
    <row r="522" spans="1:8" x14ac:dyDescent="0.2">
      <c r="A522" t="s">
        <v>4154</v>
      </c>
      <c r="B522" t="s">
        <v>6604</v>
      </c>
      <c r="C522">
        <v>1020013</v>
      </c>
      <c r="D522" t="s">
        <v>6064</v>
      </c>
      <c r="E522">
        <f t="shared" si="8"/>
        <v>215</v>
      </c>
      <c r="F522">
        <f>+COUNTIF(ADV!U:W,A522)</f>
        <v>0</v>
      </c>
      <c r="G522">
        <f>+COUNTIF(ADV!Z:Z,A522)+COUNTIF(ADV!X:X,A522)+COUNTIF(ADV!Y:Y,A522)</f>
        <v>1</v>
      </c>
      <c r="H522" t="s">
        <v>6605</v>
      </c>
    </row>
    <row r="523" spans="1:8" x14ac:dyDescent="0.2">
      <c r="A523" t="s">
        <v>653</v>
      </c>
      <c r="B523" t="s">
        <v>6606</v>
      </c>
      <c r="C523">
        <v>1010093</v>
      </c>
      <c r="D523" t="s">
        <v>6064</v>
      </c>
      <c r="E523">
        <f t="shared" si="8"/>
        <v>485</v>
      </c>
      <c r="F523">
        <f>+COUNTIF(ADV!U:W,A523)</f>
        <v>0</v>
      </c>
      <c r="G523">
        <f>+COUNTIF(ADV!Z:Z,A523)+COUNTIF(ADV!X:X,A523)+COUNTIF(ADV!Y:Y,A523)</f>
        <v>1</v>
      </c>
      <c r="H523" t="s">
        <v>6607</v>
      </c>
    </row>
    <row r="524" spans="1:8" x14ac:dyDescent="0.2">
      <c r="A524" t="s">
        <v>4279</v>
      </c>
      <c r="B524" t="s">
        <v>6608</v>
      </c>
      <c r="C524">
        <v>1010155</v>
      </c>
      <c r="D524" t="s">
        <v>6064</v>
      </c>
      <c r="E524">
        <f t="shared" si="8"/>
        <v>775</v>
      </c>
      <c r="F524">
        <f>+COUNTIF(ADV!U:W,A524)</f>
        <v>0</v>
      </c>
      <c r="G524">
        <f>+COUNTIF(ADV!Z:Z,A524)+COUNTIF(ADV!X:X,A524)+COUNTIF(ADV!Y:Y,A524)</f>
        <v>1</v>
      </c>
      <c r="H524" t="s">
        <v>6609</v>
      </c>
    </row>
    <row r="525" spans="1:8" x14ac:dyDescent="0.2">
      <c r="A525" t="s">
        <v>1620</v>
      </c>
      <c r="B525" t="s">
        <v>6610</v>
      </c>
      <c r="C525">
        <v>1020003</v>
      </c>
      <c r="D525" t="s">
        <v>6064</v>
      </c>
      <c r="E525">
        <f t="shared" si="8"/>
        <v>222</v>
      </c>
      <c r="F525">
        <f>+COUNTIF(ADV!U:W,A525)</f>
        <v>0</v>
      </c>
      <c r="G525">
        <f>+COUNTIF(ADV!Z:Z,A525)+COUNTIF(ADV!X:X,A525)+COUNTIF(ADV!Y:Y,A525)</f>
        <v>1</v>
      </c>
      <c r="H525" t="s">
        <v>23958</v>
      </c>
    </row>
    <row r="526" spans="1:8" x14ac:dyDescent="0.2">
      <c r="A526" t="s">
        <v>3648</v>
      </c>
      <c r="B526" t="s">
        <v>6612</v>
      </c>
      <c r="C526">
        <v>1010064</v>
      </c>
      <c r="D526" t="s">
        <v>6064</v>
      </c>
      <c r="E526">
        <f t="shared" si="8"/>
        <v>418</v>
      </c>
      <c r="F526">
        <f>+COUNTIF(ADV!U:W,A526)</f>
        <v>0</v>
      </c>
      <c r="G526">
        <f>+COUNTIF(ADV!Z:Z,A526)+COUNTIF(ADV!X:X,A526)+COUNTIF(ADV!Y:Y,A526)</f>
        <v>1</v>
      </c>
      <c r="H526" t="s">
        <v>6613</v>
      </c>
    </row>
    <row r="527" spans="1:8" x14ac:dyDescent="0.2">
      <c r="A527" t="s">
        <v>404</v>
      </c>
      <c r="B527" t="s">
        <v>6614</v>
      </c>
      <c r="C527">
        <v>1020002</v>
      </c>
      <c r="D527" t="s">
        <v>6064</v>
      </c>
      <c r="E527">
        <f t="shared" si="8"/>
        <v>199</v>
      </c>
      <c r="F527">
        <f>+COUNTIF(ADV!U:W,A527)</f>
        <v>0</v>
      </c>
      <c r="G527">
        <f>+COUNTIF(ADV!Z:Z,A527)+COUNTIF(ADV!X:X,A527)+COUNTIF(ADV!Y:Y,A527)</f>
        <v>1</v>
      </c>
      <c r="H527" t="s">
        <v>6615</v>
      </c>
    </row>
    <row r="528" spans="1:8" x14ac:dyDescent="0.2">
      <c r="A528" t="s">
        <v>4383</v>
      </c>
      <c r="B528" t="s">
        <v>6616</v>
      </c>
      <c r="C528">
        <v>1010049</v>
      </c>
      <c r="D528" t="s">
        <v>6064</v>
      </c>
      <c r="E528">
        <f t="shared" si="8"/>
        <v>569</v>
      </c>
      <c r="F528">
        <f>+COUNTIF(ADV!U:W,A528)</f>
        <v>0</v>
      </c>
      <c r="G528">
        <f>+COUNTIF(ADV!Z:Z,A528)+COUNTIF(ADV!X:X,A528)+COUNTIF(ADV!Y:Y,A528)</f>
        <v>1</v>
      </c>
      <c r="H528" t="s">
        <v>6617</v>
      </c>
    </row>
    <row r="529" spans="1:8" x14ac:dyDescent="0.2">
      <c r="A529" t="s">
        <v>1437</v>
      </c>
      <c r="B529" t="s">
        <v>6618</v>
      </c>
      <c r="C529">
        <v>1010026</v>
      </c>
      <c r="D529" t="s">
        <v>6064</v>
      </c>
      <c r="E529">
        <f t="shared" si="8"/>
        <v>321</v>
      </c>
      <c r="F529">
        <f>+COUNTIF(ADV!U:W,A529)</f>
        <v>0</v>
      </c>
      <c r="G529">
        <f>+COUNTIF(ADV!Z:Z,A529)+COUNTIF(ADV!X:X,A529)+COUNTIF(ADV!Y:Y,A529)</f>
        <v>1</v>
      </c>
      <c r="H529" t="s">
        <v>6619</v>
      </c>
    </row>
    <row r="530" spans="1:8" x14ac:dyDescent="0.2">
      <c r="A530" t="s">
        <v>2799</v>
      </c>
      <c r="B530" t="s">
        <v>6620</v>
      </c>
      <c r="C530">
        <v>1010007</v>
      </c>
      <c r="D530" t="s">
        <v>6064</v>
      </c>
      <c r="E530">
        <f t="shared" si="8"/>
        <v>171</v>
      </c>
      <c r="F530">
        <f>+COUNTIF(ADV!U:W,A530)</f>
        <v>0</v>
      </c>
      <c r="G530">
        <f>+COUNTIF(ADV!Z:Z,A530)+COUNTIF(ADV!X:X,A530)+COUNTIF(ADV!Y:Y,A530)</f>
        <v>1</v>
      </c>
      <c r="H530" t="s">
        <v>6621</v>
      </c>
    </row>
    <row r="531" spans="1:8" x14ac:dyDescent="0.2">
      <c r="A531" t="s">
        <v>1366</v>
      </c>
      <c r="B531" t="s">
        <v>6622</v>
      </c>
      <c r="C531">
        <v>1010011</v>
      </c>
      <c r="D531" t="s">
        <v>6064</v>
      </c>
      <c r="E531">
        <f t="shared" si="8"/>
        <v>262</v>
      </c>
      <c r="F531">
        <f>+COUNTIF(ADV!U:W,A531)</f>
        <v>0</v>
      </c>
      <c r="G531">
        <f>+COUNTIF(ADV!Z:Z,A531)+COUNTIF(ADV!X:X,A531)+COUNTIF(ADV!Y:Y,A531)</f>
        <v>5</v>
      </c>
      <c r="H531" t="s">
        <v>6623</v>
      </c>
    </row>
    <row r="532" spans="1:8" x14ac:dyDescent="0.2">
      <c r="A532" t="s">
        <v>371</v>
      </c>
      <c r="B532" t="s">
        <v>6624</v>
      </c>
      <c r="C532">
        <v>1010011</v>
      </c>
      <c r="D532" t="s">
        <v>6064</v>
      </c>
      <c r="E532">
        <f t="shared" si="8"/>
        <v>247</v>
      </c>
      <c r="F532">
        <f>+COUNTIF(ADV!U:W,A532)</f>
        <v>0</v>
      </c>
      <c r="G532">
        <f>+COUNTIF(ADV!Z:Z,A532)+COUNTIF(ADV!X:X,A532)+COUNTIF(ADV!Y:Y,A532)</f>
        <v>3</v>
      </c>
      <c r="H532" t="s">
        <v>6625</v>
      </c>
    </row>
    <row r="533" spans="1:8" x14ac:dyDescent="0.2">
      <c r="A533" t="s">
        <v>301</v>
      </c>
      <c r="B533" t="s">
        <v>6626</v>
      </c>
      <c r="C533">
        <v>1020002</v>
      </c>
      <c r="D533" t="s">
        <v>6064</v>
      </c>
      <c r="E533">
        <f t="shared" si="8"/>
        <v>159</v>
      </c>
      <c r="F533">
        <f>+COUNTIF(ADV!U:W,A533)</f>
        <v>0</v>
      </c>
      <c r="G533">
        <f>+COUNTIF(ADV!Z:Z,A533)+COUNTIF(ADV!X:X,A533)+COUNTIF(ADV!Y:Y,A533)</f>
        <v>6</v>
      </c>
      <c r="H533" t="s">
        <v>6627</v>
      </c>
    </row>
    <row r="534" spans="1:8" x14ac:dyDescent="0.2">
      <c r="A534" t="s">
        <v>586</v>
      </c>
      <c r="B534" t="s">
        <v>6628</v>
      </c>
      <c r="C534">
        <v>1020002</v>
      </c>
      <c r="D534" t="s">
        <v>6064</v>
      </c>
      <c r="E534">
        <f t="shared" si="8"/>
        <v>250</v>
      </c>
      <c r="F534">
        <f>+COUNTIF(ADV!U:W,A534)</f>
        <v>0</v>
      </c>
      <c r="G534">
        <f>+COUNTIF(ADV!Z:Z,A534)+COUNTIF(ADV!X:X,A534)+COUNTIF(ADV!Y:Y,A534)</f>
        <v>1</v>
      </c>
      <c r="H534" t="s">
        <v>6629</v>
      </c>
    </row>
    <row r="535" spans="1:8" x14ac:dyDescent="0.2">
      <c r="A535" t="s">
        <v>1322</v>
      </c>
      <c r="B535" t="s">
        <v>6630</v>
      </c>
      <c r="C535">
        <v>1010044</v>
      </c>
      <c r="D535" t="s">
        <v>6064</v>
      </c>
      <c r="E535">
        <f t="shared" si="8"/>
        <v>528</v>
      </c>
      <c r="F535">
        <f>+COUNTIF(ADV!U:W,A535)</f>
        <v>0</v>
      </c>
      <c r="G535">
        <f>+COUNTIF(ADV!Z:Z,A535)+COUNTIF(ADV!X:X,A535)+COUNTIF(ADV!Y:Y,A535)</f>
        <v>1</v>
      </c>
      <c r="H535" t="s">
        <v>6631</v>
      </c>
    </row>
    <row r="536" spans="1:8" x14ac:dyDescent="0.2">
      <c r="A536" t="s">
        <v>2880</v>
      </c>
      <c r="B536" t="s">
        <v>6632</v>
      </c>
      <c r="C536">
        <v>1020031</v>
      </c>
      <c r="D536" t="s">
        <v>6064</v>
      </c>
      <c r="E536">
        <f t="shared" si="8"/>
        <v>190</v>
      </c>
      <c r="F536">
        <f>+COUNTIF(ADV!U:W,A536)</f>
        <v>0</v>
      </c>
      <c r="G536">
        <f>+COUNTIF(ADV!Z:Z,A536)+COUNTIF(ADV!X:X,A536)+COUNTIF(ADV!Y:Y,A536)</f>
        <v>1</v>
      </c>
      <c r="H536" t="s">
        <v>6633</v>
      </c>
    </row>
    <row r="537" spans="1:8" x14ac:dyDescent="0.2">
      <c r="A537" t="s">
        <v>283</v>
      </c>
      <c r="B537" t="s">
        <v>6634</v>
      </c>
      <c r="C537">
        <v>1020002</v>
      </c>
      <c r="D537" t="s">
        <v>6064</v>
      </c>
      <c r="E537">
        <f t="shared" si="8"/>
        <v>340</v>
      </c>
      <c r="F537">
        <f>+COUNTIF(ADV!U:W,A537)</f>
        <v>0</v>
      </c>
      <c r="G537">
        <f>+COUNTIF(ADV!Z:Z,A537)+COUNTIF(ADV!X:X,A537)+COUNTIF(ADV!Y:Y,A537)</f>
        <v>4</v>
      </c>
      <c r="H537" t="s">
        <v>6635</v>
      </c>
    </row>
    <row r="538" spans="1:8" x14ac:dyDescent="0.2">
      <c r="A538" t="s">
        <v>284</v>
      </c>
      <c r="B538" t="s">
        <v>6636</v>
      </c>
      <c r="C538">
        <v>1010003</v>
      </c>
      <c r="D538" t="s">
        <v>6064</v>
      </c>
      <c r="E538">
        <f t="shared" si="8"/>
        <v>241</v>
      </c>
      <c r="F538">
        <f>+COUNTIF(ADV!U:W,A538)</f>
        <v>0</v>
      </c>
      <c r="G538">
        <f>+COUNTIF(ADV!Z:Z,A538)+COUNTIF(ADV!X:X,A538)+COUNTIF(ADV!Y:Y,A538)</f>
        <v>2</v>
      </c>
      <c r="H538" t="s">
        <v>6637</v>
      </c>
    </row>
    <row r="539" spans="1:8" x14ac:dyDescent="0.2">
      <c r="A539" t="s">
        <v>846</v>
      </c>
      <c r="B539" t="s">
        <v>6638</v>
      </c>
      <c r="C539">
        <v>1010007</v>
      </c>
      <c r="D539" t="s">
        <v>6064</v>
      </c>
      <c r="E539">
        <f t="shared" si="8"/>
        <v>158</v>
      </c>
      <c r="F539">
        <f>+COUNTIF(ADV!U:W,A539)</f>
        <v>0</v>
      </c>
      <c r="G539">
        <f>+COUNTIF(ADV!Z:Z,A539)+COUNTIF(ADV!X:X,A539)+COUNTIF(ADV!Y:Y,A539)</f>
        <v>1</v>
      </c>
      <c r="H539" t="s">
        <v>6639</v>
      </c>
    </row>
    <row r="540" spans="1:8" x14ac:dyDescent="0.2">
      <c r="A540" t="s">
        <v>2912</v>
      </c>
      <c r="B540" t="s">
        <v>6640</v>
      </c>
      <c r="C540">
        <v>1020024</v>
      </c>
      <c r="D540" t="s">
        <v>6064</v>
      </c>
      <c r="E540">
        <f t="shared" si="8"/>
        <v>304</v>
      </c>
      <c r="F540">
        <f>+COUNTIF(ADV!U:W,A540)</f>
        <v>0</v>
      </c>
      <c r="G540">
        <f>+COUNTIF(ADV!Z:Z,A540)+COUNTIF(ADV!X:X,A540)+COUNTIF(ADV!Y:Y,A540)</f>
        <v>1</v>
      </c>
      <c r="H540" t="s">
        <v>6641</v>
      </c>
    </row>
    <row r="541" spans="1:8" x14ac:dyDescent="0.2">
      <c r="A541" t="s">
        <v>2976</v>
      </c>
      <c r="B541" t="s">
        <v>6642</v>
      </c>
      <c r="C541">
        <v>1010075</v>
      </c>
      <c r="D541" t="s">
        <v>6064</v>
      </c>
      <c r="E541">
        <f t="shared" si="8"/>
        <v>52</v>
      </c>
      <c r="F541">
        <f>+COUNTIF(ADV!U:W,A541)</f>
        <v>0</v>
      </c>
      <c r="G541">
        <f>+COUNTIF(ADV!Z:Z,A541)+COUNTIF(ADV!X:X,A541)+COUNTIF(ADV!Y:Y,A541)</f>
        <v>1</v>
      </c>
      <c r="H541" t="s">
        <v>6643</v>
      </c>
    </row>
    <row r="542" spans="1:8" x14ac:dyDescent="0.2">
      <c r="A542" t="s">
        <v>403</v>
      </c>
      <c r="B542" t="s">
        <v>6644</v>
      </c>
      <c r="C542">
        <v>1010011</v>
      </c>
      <c r="D542" t="s">
        <v>6064</v>
      </c>
      <c r="E542">
        <f t="shared" si="8"/>
        <v>318</v>
      </c>
      <c r="F542">
        <f>+COUNTIF(ADV!U:W,A542)</f>
        <v>0</v>
      </c>
      <c r="G542">
        <f>+COUNTIF(ADV!Z:Z,A542)+COUNTIF(ADV!X:X,A542)+COUNTIF(ADV!Y:Y,A542)</f>
        <v>1</v>
      </c>
      <c r="H542" t="s">
        <v>6645</v>
      </c>
    </row>
    <row r="543" spans="1:8" x14ac:dyDescent="0.2">
      <c r="A543" t="s">
        <v>720</v>
      </c>
      <c r="B543" t="s">
        <v>712</v>
      </c>
      <c r="C543">
        <v>1010006</v>
      </c>
      <c r="D543" t="s">
        <v>6064</v>
      </c>
      <c r="E543">
        <f t="shared" si="8"/>
        <v>174</v>
      </c>
      <c r="F543">
        <f>+COUNTIF(ADV!U:W,A543)</f>
        <v>0</v>
      </c>
      <c r="G543">
        <f>+COUNTIF(ADV!Z:Z,A543)+COUNTIF(ADV!X:X,A543)+COUNTIF(ADV!Y:Y,A543)</f>
        <v>1</v>
      </c>
      <c r="H543" t="s">
        <v>6646</v>
      </c>
    </row>
    <row r="544" spans="1:8" x14ac:dyDescent="0.2">
      <c r="A544" t="s">
        <v>2435</v>
      </c>
      <c r="B544" t="s">
        <v>6647</v>
      </c>
      <c r="C544">
        <v>1010078</v>
      </c>
      <c r="D544" t="s">
        <v>6064</v>
      </c>
      <c r="E544">
        <f t="shared" si="8"/>
        <v>56</v>
      </c>
      <c r="F544">
        <f>+COUNTIF(ADV!U:W,A544)</f>
        <v>0</v>
      </c>
      <c r="G544">
        <f>+COUNTIF(ADV!Z:Z,A544)+COUNTIF(ADV!X:X,A544)+COUNTIF(ADV!Y:Y,A544)</f>
        <v>1</v>
      </c>
      <c r="H544" t="s">
        <v>6648</v>
      </c>
    </row>
    <row r="545" spans="1:8" x14ac:dyDescent="0.2">
      <c r="A545" t="s">
        <v>1779</v>
      </c>
      <c r="B545" t="s">
        <v>6649</v>
      </c>
      <c r="C545">
        <v>1020029</v>
      </c>
      <c r="D545" t="s">
        <v>6064</v>
      </c>
      <c r="E545">
        <f t="shared" si="8"/>
        <v>238</v>
      </c>
      <c r="F545">
        <f>+COUNTIF(ADV!U:W,A545)</f>
        <v>0</v>
      </c>
      <c r="G545">
        <f>+COUNTIF(ADV!Z:Z,A545)+COUNTIF(ADV!X:X,A545)+COUNTIF(ADV!Y:Y,A545)</f>
        <v>2</v>
      </c>
      <c r="H545" t="s">
        <v>6650</v>
      </c>
    </row>
    <row r="546" spans="1:8" x14ac:dyDescent="0.2">
      <c r="A546" t="s">
        <v>735</v>
      </c>
      <c r="B546" t="s">
        <v>727</v>
      </c>
      <c r="C546">
        <v>1020010</v>
      </c>
      <c r="D546" t="s">
        <v>6064</v>
      </c>
      <c r="E546">
        <f t="shared" si="8"/>
        <v>238</v>
      </c>
      <c r="F546">
        <f>+COUNTIF(ADV!U:W,A546)</f>
        <v>0</v>
      </c>
      <c r="G546">
        <f>+COUNTIF(ADV!Z:Z,A546)+COUNTIF(ADV!X:X,A546)+COUNTIF(ADV!Y:Y,A546)</f>
        <v>1</v>
      </c>
      <c r="H546" t="s">
        <v>6651</v>
      </c>
    </row>
    <row r="547" spans="1:8" x14ac:dyDescent="0.2">
      <c r="A547" t="s">
        <v>2038</v>
      </c>
      <c r="B547" t="s">
        <v>6652</v>
      </c>
      <c r="C547">
        <v>1010013</v>
      </c>
      <c r="D547" t="s">
        <v>6064</v>
      </c>
      <c r="E547">
        <f t="shared" si="8"/>
        <v>472</v>
      </c>
      <c r="F547">
        <f>+COUNTIF(ADV!U:W,A547)</f>
        <v>0</v>
      </c>
      <c r="G547">
        <f>+COUNTIF(ADV!Z:Z,A547)+COUNTIF(ADV!X:X,A547)+COUNTIF(ADV!Y:Y,A547)</f>
        <v>1</v>
      </c>
      <c r="H547" t="s">
        <v>6653</v>
      </c>
    </row>
    <row r="548" spans="1:8" x14ac:dyDescent="0.2">
      <c r="A548" t="s">
        <v>686</v>
      </c>
      <c r="B548" t="s">
        <v>6654</v>
      </c>
      <c r="C548">
        <v>1010012</v>
      </c>
      <c r="D548" t="s">
        <v>6064</v>
      </c>
      <c r="E548">
        <f t="shared" si="8"/>
        <v>138</v>
      </c>
      <c r="F548">
        <f>+COUNTIF(ADV!U:W,A548)</f>
        <v>0</v>
      </c>
      <c r="G548">
        <f>+COUNTIF(ADV!Z:Z,A548)+COUNTIF(ADV!X:X,A548)+COUNTIF(ADV!Y:Y,A548)</f>
        <v>3</v>
      </c>
      <c r="H548" t="s">
        <v>6655</v>
      </c>
    </row>
    <row r="549" spans="1:8" x14ac:dyDescent="0.2">
      <c r="A549" t="s">
        <v>2127</v>
      </c>
      <c r="B549" t="s">
        <v>2118</v>
      </c>
      <c r="C549">
        <v>1010006</v>
      </c>
      <c r="D549" t="s">
        <v>6064</v>
      </c>
      <c r="E549">
        <f t="shared" ref="E549:E612" si="9">+LEN(H549)</f>
        <v>152</v>
      </c>
      <c r="F549">
        <f>+COUNTIF(ADV!U:W,A549)</f>
        <v>0</v>
      </c>
      <c r="G549">
        <f>+COUNTIF(ADV!Z:Z,A549)+COUNTIF(ADV!X:X,A549)+COUNTIF(ADV!Y:Y,A549)</f>
        <v>1</v>
      </c>
      <c r="H549" t="s">
        <v>6656</v>
      </c>
    </row>
    <row r="550" spans="1:8" x14ac:dyDescent="0.2">
      <c r="A550" t="s">
        <v>845</v>
      </c>
      <c r="B550" t="s">
        <v>6657</v>
      </c>
      <c r="C550">
        <v>1010137</v>
      </c>
      <c r="D550" t="s">
        <v>6064</v>
      </c>
      <c r="E550">
        <f t="shared" si="9"/>
        <v>160</v>
      </c>
      <c r="F550">
        <f>+COUNTIF(ADV!U:W,A550)</f>
        <v>0</v>
      </c>
      <c r="G550">
        <f>+COUNTIF(ADV!Z:Z,A550)+COUNTIF(ADV!X:X,A550)+COUNTIF(ADV!Y:Y,A550)</f>
        <v>1</v>
      </c>
      <c r="H550" t="s">
        <v>6658</v>
      </c>
    </row>
    <row r="551" spans="1:8" x14ac:dyDescent="0.2">
      <c r="A551" t="s">
        <v>3085</v>
      </c>
      <c r="B551" t="s">
        <v>3077</v>
      </c>
      <c r="C551">
        <v>1010012</v>
      </c>
      <c r="D551" t="s">
        <v>6064</v>
      </c>
      <c r="E551">
        <f t="shared" si="9"/>
        <v>164</v>
      </c>
      <c r="F551">
        <f>+COUNTIF(ADV!U:W,A551)</f>
        <v>0</v>
      </c>
      <c r="G551">
        <f>+COUNTIF(ADV!Z:Z,A551)+COUNTIF(ADV!X:X,A551)+COUNTIF(ADV!Y:Y,A551)</f>
        <v>1</v>
      </c>
      <c r="H551" t="s">
        <v>6659</v>
      </c>
    </row>
    <row r="552" spans="1:8" x14ac:dyDescent="0.2">
      <c r="A552" t="s">
        <v>418</v>
      </c>
      <c r="B552" t="s">
        <v>6660</v>
      </c>
      <c r="C552">
        <v>1070002</v>
      </c>
      <c r="D552" t="s">
        <v>6064</v>
      </c>
      <c r="E552">
        <f t="shared" si="9"/>
        <v>207</v>
      </c>
      <c r="F552">
        <f>+COUNTIF(ADV!U:W,A552)</f>
        <v>0</v>
      </c>
      <c r="G552">
        <f>+COUNTIF(ADV!Z:Z,A552)+COUNTIF(ADV!X:X,A552)+COUNTIF(ADV!Y:Y,A552)</f>
        <v>1</v>
      </c>
      <c r="H552" t="s">
        <v>6661</v>
      </c>
    </row>
    <row r="553" spans="1:8" x14ac:dyDescent="0.2">
      <c r="A553" t="s">
        <v>829</v>
      </c>
      <c r="B553" t="s">
        <v>820</v>
      </c>
      <c r="C553">
        <v>1070002</v>
      </c>
      <c r="D553" t="s">
        <v>6064</v>
      </c>
      <c r="E553">
        <f t="shared" si="9"/>
        <v>207</v>
      </c>
      <c r="F553">
        <f>+COUNTIF(ADV!U:W,A553)</f>
        <v>0</v>
      </c>
      <c r="G553">
        <f>+COUNTIF(ADV!Z:Z,A553)+COUNTIF(ADV!X:X,A553)+COUNTIF(ADV!Y:Y,A553)</f>
        <v>1</v>
      </c>
      <c r="H553" t="s">
        <v>6661</v>
      </c>
    </row>
    <row r="554" spans="1:8" x14ac:dyDescent="0.2">
      <c r="A554" t="s">
        <v>230</v>
      </c>
      <c r="B554" t="s">
        <v>6662</v>
      </c>
      <c r="C554">
        <v>1010029</v>
      </c>
      <c r="D554" t="s">
        <v>6064</v>
      </c>
      <c r="E554">
        <f t="shared" si="9"/>
        <v>298</v>
      </c>
      <c r="F554">
        <f>+COUNTIF(ADV!U:W,A554)</f>
        <v>0</v>
      </c>
      <c r="G554">
        <f>+COUNTIF(ADV!Z:Z,A554)+COUNTIF(ADV!X:X,A554)+COUNTIF(ADV!Y:Y,A554)</f>
        <v>1</v>
      </c>
      <c r="H554" t="s">
        <v>6663</v>
      </c>
    </row>
    <row r="555" spans="1:8" x14ac:dyDescent="0.2">
      <c r="A555" t="s">
        <v>705</v>
      </c>
      <c r="B555" t="s">
        <v>6664</v>
      </c>
      <c r="C555">
        <v>1030017</v>
      </c>
      <c r="D555" t="s">
        <v>6064</v>
      </c>
      <c r="E555">
        <f t="shared" si="9"/>
        <v>364</v>
      </c>
      <c r="F555">
        <f>+COUNTIF(ADV!U:W,A555)</f>
        <v>0</v>
      </c>
      <c r="G555">
        <f>+COUNTIF(ADV!Z:Z,A555)+COUNTIF(ADV!X:X,A555)+COUNTIF(ADV!Y:Y,A555)</f>
        <v>1</v>
      </c>
      <c r="H555" t="s">
        <v>6665</v>
      </c>
    </row>
    <row r="556" spans="1:8" x14ac:dyDescent="0.2">
      <c r="A556" t="s">
        <v>704</v>
      </c>
      <c r="B556" t="s">
        <v>6666</v>
      </c>
      <c r="C556">
        <v>1010014</v>
      </c>
      <c r="D556" t="s">
        <v>6064</v>
      </c>
      <c r="E556">
        <f t="shared" si="9"/>
        <v>817</v>
      </c>
      <c r="F556">
        <f>+COUNTIF(ADV!U:W,A556)</f>
        <v>0</v>
      </c>
      <c r="G556">
        <f>+COUNTIF(ADV!Z:Z,A556)+COUNTIF(ADV!X:X,A556)+COUNTIF(ADV!Y:Y,A556)</f>
        <v>1</v>
      </c>
      <c r="H556" t="s">
        <v>6667</v>
      </c>
    </row>
    <row r="557" spans="1:8" x14ac:dyDescent="0.2">
      <c r="A557" t="s">
        <v>585</v>
      </c>
      <c r="B557" t="s">
        <v>6668</v>
      </c>
      <c r="C557">
        <v>1010022</v>
      </c>
      <c r="D557" t="s">
        <v>6064</v>
      </c>
      <c r="E557">
        <f t="shared" si="9"/>
        <v>373</v>
      </c>
      <c r="F557">
        <f>+COUNTIF(ADV!U:W,A557)</f>
        <v>0</v>
      </c>
      <c r="G557">
        <f>+COUNTIF(ADV!Z:Z,A557)+COUNTIF(ADV!X:X,A557)+COUNTIF(ADV!Y:Y,A557)</f>
        <v>1</v>
      </c>
      <c r="H557" t="s">
        <v>6669</v>
      </c>
    </row>
    <row r="558" spans="1:8" x14ac:dyDescent="0.2">
      <c r="A558" t="s">
        <v>486</v>
      </c>
      <c r="B558" t="s">
        <v>6670</v>
      </c>
      <c r="C558">
        <v>1010028</v>
      </c>
      <c r="D558" t="s">
        <v>6064</v>
      </c>
      <c r="E558">
        <f t="shared" si="9"/>
        <v>454</v>
      </c>
      <c r="F558">
        <f>+COUNTIF(ADV!U:W,A558)</f>
        <v>0</v>
      </c>
      <c r="G558">
        <f>+COUNTIF(ADV!Z:Z,A558)+COUNTIF(ADV!X:X,A558)+COUNTIF(ADV!Y:Y,A558)</f>
        <v>1</v>
      </c>
      <c r="H558" t="s">
        <v>6671</v>
      </c>
    </row>
    <row r="559" spans="1:8" x14ac:dyDescent="0.2">
      <c r="A559" t="s">
        <v>3726</v>
      </c>
      <c r="B559" t="s">
        <v>6672</v>
      </c>
      <c r="C559">
        <v>1010157</v>
      </c>
      <c r="D559" t="s">
        <v>6064</v>
      </c>
      <c r="E559">
        <f t="shared" si="9"/>
        <v>461</v>
      </c>
      <c r="F559">
        <f>+COUNTIF(ADV!U:W,A559)</f>
        <v>0</v>
      </c>
      <c r="G559">
        <f>+COUNTIF(ADV!Z:Z,A559)+COUNTIF(ADV!X:X,A559)+COUNTIF(ADV!Y:Y,A559)</f>
        <v>1</v>
      </c>
      <c r="H559" t="s">
        <v>6673</v>
      </c>
    </row>
    <row r="560" spans="1:8" x14ac:dyDescent="0.2">
      <c r="A560" t="s">
        <v>3524</v>
      </c>
      <c r="B560" t="s">
        <v>6674</v>
      </c>
      <c r="C560">
        <v>1010136</v>
      </c>
      <c r="D560" t="s">
        <v>6064</v>
      </c>
      <c r="E560">
        <f t="shared" si="9"/>
        <v>64</v>
      </c>
      <c r="F560">
        <f>+COUNTIF(ADV!U:W,A560)</f>
        <v>0</v>
      </c>
      <c r="G560">
        <f>+COUNTIF(ADV!Z:Z,A560)+COUNTIF(ADV!X:X,A560)+COUNTIF(ADV!Y:Y,A560)</f>
        <v>1</v>
      </c>
      <c r="H560" t="s">
        <v>6675</v>
      </c>
    </row>
    <row r="561" spans="1:8" x14ac:dyDescent="0.2">
      <c r="A561" t="s">
        <v>2941</v>
      </c>
      <c r="B561" t="s">
        <v>6676</v>
      </c>
      <c r="C561">
        <v>1070020</v>
      </c>
      <c r="D561" t="s">
        <v>6064</v>
      </c>
      <c r="E561">
        <f t="shared" si="9"/>
        <v>47</v>
      </c>
      <c r="F561">
        <f>+COUNTIF(ADV!U:W,A561)</f>
        <v>0</v>
      </c>
      <c r="G561">
        <f>+COUNTIF(ADV!Z:Z,A561)+COUNTIF(ADV!X:X,A561)+COUNTIF(ADV!Y:Y,A561)</f>
        <v>2</v>
      </c>
      <c r="H561" t="s">
        <v>6677</v>
      </c>
    </row>
    <row r="562" spans="1:8" x14ac:dyDescent="0.2">
      <c r="A562" t="s">
        <v>519</v>
      </c>
      <c r="B562" t="s">
        <v>6678</v>
      </c>
      <c r="C562">
        <v>1020010</v>
      </c>
      <c r="D562" t="s">
        <v>6064</v>
      </c>
      <c r="E562">
        <f t="shared" si="9"/>
        <v>158</v>
      </c>
      <c r="F562">
        <f>+COUNTIF(ADV!U:W,A562)</f>
        <v>0</v>
      </c>
      <c r="G562">
        <f>+COUNTIF(ADV!Z:Z,A562)+COUNTIF(ADV!X:X,A562)+COUNTIF(ADV!Y:Y,A562)</f>
        <v>12</v>
      </c>
      <c r="H562" t="s">
        <v>6679</v>
      </c>
    </row>
    <row r="563" spans="1:8" x14ac:dyDescent="0.2">
      <c r="A563" t="s">
        <v>229</v>
      </c>
      <c r="B563" t="s">
        <v>6680</v>
      </c>
      <c r="C563">
        <v>1020002</v>
      </c>
      <c r="D563" t="s">
        <v>6064</v>
      </c>
      <c r="E563">
        <f t="shared" si="9"/>
        <v>148</v>
      </c>
      <c r="F563">
        <f>+COUNTIF(ADV!U:W,A563)</f>
        <v>0</v>
      </c>
      <c r="G563">
        <f>+COUNTIF(ADV!Z:Z,A563)+COUNTIF(ADV!X:X,A563)+COUNTIF(ADV!Y:Y,A563)</f>
        <v>15</v>
      </c>
      <c r="H563" t="s">
        <v>6681</v>
      </c>
    </row>
    <row r="564" spans="1:8" x14ac:dyDescent="0.2">
      <c r="A564" t="s">
        <v>828</v>
      </c>
      <c r="B564" t="s">
        <v>6682</v>
      </c>
      <c r="C564">
        <v>1040002</v>
      </c>
      <c r="D564" t="s">
        <v>6064</v>
      </c>
      <c r="E564">
        <f t="shared" si="9"/>
        <v>157</v>
      </c>
      <c r="F564">
        <f>+COUNTIF(ADV!U:W,A564)</f>
        <v>0</v>
      </c>
      <c r="G564">
        <f>+COUNTIF(ADV!Z:Z,A564)+COUNTIF(ADV!X:X,A564)+COUNTIF(ADV!Y:Y,A564)</f>
        <v>2</v>
      </c>
      <c r="H564" t="s">
        <v>6683</v>
      </c>
    </row>
    <row r="565" spans="1:8" x14ac:dyDescent="0.2">
      <c r="A565" t="s">
        <v>3273</v>
      </c>
      <c r="B565" t="s">
        <v>6684</v>
      </c>
      <c r="C565">
        <v>1010069</v>
      </c>
      <c r="D565" t="s">
        <v>6064</v>
      </c>
      <c r="E565">
        <f t="shared" si="9"/>
        <v>167</v>
      </c>
      <c r="F565">
        <f>+COUNTIF(ADV!U:W,A565)</f>
        <v>0</v>
      </c>
      <c r="G565">
        <f>+COUNTIF(ADV!Z:Z,A565)+COUNTIF(ADV!X:X,A565)+COUNTIF(ADV!Y:Y,A565)</f>
        <v>2</v>
      </c>
      <c r="H565" t="s">
        <v>6685</v>
      </c>
    </row>
    <row r="566" spans="1:8" x14ac:dyDescent="0.2">
      <c r="A566" t="s">
        <v>765</v>
      </c>
      <c r="B566" t="s">
        <v>6686</v>
      </c>
      <c r="C566">
        <v>1010094</v>
      </c>
      <c r="D566" t="s">
        <v>6064</v>
      </c>
      <c r="E566">
        <f t="shared" si="9"/>
        <v>169</v>
      </c>
      <c r="F566">
        <f>+COUNTIF(ADV!U:W,A566)</f>
        <v>0</v>
      </c>
      <c r="G566">
        <f>+COUNTIF(ADV!Z:Z,A566)+COUNTIF(ADV!X:X,A566)+COUNTIF(ADV!Y:Y,A566)</f>
        <v>1</v>
      </c>
      <c r="H566" t="s">
        <v>6687</v>
      </c>
    </row>
    <row r="567" spans="1:8" x14ac:dyDescent="0.2">
      <c r="A567" t="s">
        <v>4196</v>
      </c>
      <c r="B567" t="s">
        <v>6688</v>
      </c>
      <c r="C567">
        <v>1040017</v>
      </c>
      <c r="D567" t="s">
        <v>6064</v>
      </c>
      <c r="E567">
        <f t="shared" si="9"/>
        <v>173</v>
      </c>
      <c r="F567">
        <f>+COUNTIF(ADV!U:W,A567)</f>
        <v>0</v>
      </c>
      <c r="G567">
        <f>+COUNTIF(ADV!Z:Z,A567)+COUNTIF(ADV!X:X,A567)+COUNTIF(ADV!Y:Y,A567)</f>
        <v>2</v>
      </c>
      <c r="H567" t="s">
        <v>6689</v>
      </c>
    </row>
    <row r="568" spans="1:8" x14ac:dyDescent="0.2">
      <c r="A568" t="s">
        <v>2203</v>
      </c>
      <c r="B568" t="s">
        <v>6690</v>
      </c>
      <c r="C568">
        <v>1010167</v>
      </c>
      <c r="D568" t="s">
        <v>6064</v>
      </c>
      <c r="E568">
        <f t="shared" si="9"/>
        <v>167</v>
      </c>
      <c r="F568">
        <f>+COUNTIF(ADV!U:W,A568)</f>
        <v>0</v>
      </c>
      <c r="G568">
        <f>+COUNTIF(ADV!Z:Z,A568)+COUNTIF(ADV!X:X,A568)+COUNTIF(ADV!Y:Y,A568)</f>
        <v>2</v>
      </c>
      <c r="H568" t="s">
        <v>6691</v>
      </c>
    </row>
    <row r="569" spans="1:8" x14ac:dyDescent="0.2">
      <c r="A569" t="s">
        <v>3463</v>
      </c>
      <c r="B569" t="s">
        <v>6692</v>
      </c>
      <c r="C569">
        <v>1020002</v>
      </c>
      <c r="D569" t="s">
        <v>6064</v>
      </c>
      <c r="E569">
        <f t="shared" si="9"/>
        <v>175</v>
      </c>
      <c r="F569">
        <f>+COUNTIF(ADV!U:W,A569)</f>
        <v>0</v>
      </c>
      <c r="G569">
        <f>+COUNTIF(ADV!Z:Z,A569)+COUNTIF(ADV!X:X,A569)+COUNTIF(ADV!Y:Y,A569)</f>
        <v>1</v>
      </c>
      <c r="H569" t="s">
        <v>6693</v>
      </c>
    </row>
    <row r="570" spans="1:8" x14ac:dyDescent="0.2">
      <c r="A570" t="s">
        <v>2422</v>
      </c>
      <c r="B570" t="s">
        <v>6694</v>
      </c>
      <c r="C570">
        <v>1010122</v>
      </c>
      <c r="D570" t="s">
        <v>6064</v>
      </c>
      <c r="E570">
        <f t="shared" si="9"/>
        <v>561</v>
      </c>
      <c r="F570">
        <f>+COUNTIF(ADV!U:W,A570)</f>
        <v>0</v>
      </c>
      <c r="G570">
        <f>+COUNTIF(ADV!Z:Z,A570)+COUNTIF(ADV!X:X,A570)+COUNTIF(ADV!Y:Y,A570)</f>
        <v>1</v>
      </c>
      <c r="H570" t="s">
        <v>6695</v>
      </c>
    </row>
    <row r="571" spans="1:8" x14ac:dyDescent="0.2">
      <c r="A571" t="s">
        <v>4280</v>
      </c>
      <c r="B571" t="s">
        <v>6696</v>
      </c>
      <c r="C571">
        <v>1010013</v>
      </c>
      <c r="D571" t="s">
        <v>6064</v>
      </c>
      <c r="E571">
        <f t="shared" si="9"/>
        <v>621</v>
      </c>
      <c r="F571">
        <f>+COUNTIF(ADV!U:W,A571)</f>
        <v>0</v>
      </c>
      <c r="G571">
        <f>+COUNTIF(ADV!Z:Z,A571)+COUNTIF(ADV!X:X,A571)+COUNTIF(ADV!Y:Y,A571)</f>
        <v>1</v>
      </c>
      <c r="H571" t="s">
        <v>6697</v>
      </c>
    </row>
    <row r="572" spans="1:8" x14ac:dyDescent="0.2">
      <c r="A572" t="s">
        <v>2309</v>
      </c>
      <c r="B572" t="s">
        <v>6698</v>
      </c>
      <c r="C572">
        <v>1010092</v>
      </c>
      <c r="D572" t="s">
        <v>6064</v>
      </c>
      <c r="E572">
        <f t="shared" si="9"/>
        <v>92</v>
      </c>
      <c r="F572">
        <f>+COUNTIF(ADV!U:W,A572)</f>
        <v>0</v>
      </c>
      <c r="G572">
        <f>+COUNTIF(ADV!Z:Z,A572)+COUNTIF(ADV!X:X,A572)+COUNTIF(ADV!Y:Y,A572)</f>
        <v>1</v>
      </c>
      <c r="H572" t="s">
        <v>6699</v>
      </c>
    </row>
    <row r="573" spans="1:8" x14ac:dyDescent="0.2">
      <c r="A573" t="s">
        <v>1652</v>
      </c>
      <c r="B573" t="s">
        <v>6700</v>
      </c>
      <c r="C573">
        <v>1010001</v>
      </c>
      <c r="D573" t="s">
        <v>6064</v>
      </c>
      <c r="E573">
        <f t="shared" si="9"/>
        <v>60</v>
      </c>
      <c r="F573">
        <f>+COUNTIF(ADV!U:W,A573)</f>
        <v>0</v>
      </c>
      <c r="G573">
        <f>+COUNTIF(ADV!Z:Z,A573)+COUNTIF(ADV!X:X,A573)+COUNTIF(ADV!Y:Y,A573)</f>
        <v>1</v>
      </c>
      <c r="H573" t="s">
        <v>6701</v>
      </c>
    </row>
    <row r="574" spans="1:8" x14ac:dyDescent="0.2">
      <c r="A574" t="s">
        <v>1466</v>
      </c>
      <c r="B574" t="s">
        <v>1458</v>
      </c>
      <c r="C574">
        <v>1010007</v>
      </c>
      <c r="D574" t="s">
        <v>6064</v>
      </c>
      <c r="E574">
        <f t="shared" si="9"/>
        <v>259</v>
      </c>
      <c r="F574">
        <f>+COUNTIF(ADV!U:W,A574)</f>
        <v>0</v>
      </c>
      <c r="G574">
        <f>+COUNTIF(ADV!Z:Z,A574)+COUNTIF(ADV!X:X,A574)+COUNTIF(ADV!Y:Y,A574)</f>
        <v>1</v>
      </c>
      <c r="H574" t="s">
        <v>6702</v>
      </c>
    </row>
    <row r="575" spans="1:8" x14ac:dyDescent="0.2">
      <c r="A575" t="s">
        <v>1635</v>
      </c>
      <c r="B575" t="s">
        <v>6703</v>
      </c>
      <c r="C575">
        <v>1010066</v>
      </c>
      <c r="D575" t="s">
        <v>6064</v>
      </c>
      <c r="E575">
        <f t="shared" si="9"/>
        <v>1148</v>
      </c>
      <c r="F575">
        <f>+COUNTIF(ADV!U:W,A575)</f>
        <v>0</v>
      </c>
      <c r="G575">
        <f>+COUNTIF(ADV!Z:Z,A575)+COUNTIF(ADV!X:X,A575)+COUNTIF(ADV!Y:Y,A575)</f>
        <v>1</v>
      </c>
      <c r="H575" t="s">
        <v>6704</v>
      </c>
    </row>
    <row r="576" spans="1:8" x14ac:dyDescent="0.2">
      <c r="A576" t="s">
        <v>3886</v>
      </c>
      <c r="B576" t="s">
        <v>6705</v>
      </c>
      <c r="C576">
        <v>1010147</v>
      </c>
      <c r="D576" t="s">
        <v>6064</v>
      </c>
      <c r="E576">
        <f t="shared" si="9"/>
        <v>994</v>
      </c>
      <c r="F576">
        <f>+COUNTIF(ADV!U:W,A576)</f>
        <v>0</v>
      </c>
      <c r="G576">
        <f>+COUNTIF(ADV!Z:Z,A576)+COUNTIF(ADV!X:X,A576)+COUNTIF(ADV!Y:Y,A576)</f>
        <v>1</v>
      </c>
      <c r="H576" t="s">
        <v>6706</v>
      </c>
    </row>
    <row r="577" spans="1:8" x14ac:dyDescent="0.2">
      <c r="A577" t="s">
        <v>669</v>
      </c>
      <c r="B577" t="s">
        <v>6707</v>
      </c>
      <c r="C577">
        <v>1020004</v>
      </c>
      <c r="D577" t="s">
        <v>6064</v>
      </c>
      <c r="E577">
        <f t="shared" si="9"/>
        <v>540</v>
      </c>
      <c r="F577">
        <f>+COUNTIF(ADV!U:W,A577)</f>
        <v>0</v>
      </c>
      <c r="G577">
        <f>+COUNTIF(ADV!Z:Z,A577)+COUNTIF(ADV!X:X,A577)+COUNTIF(ADV!Y:Y,A577)</f>
        <v>1</v>
      </c>
      <c r="H577" t="s">
        <v>6708</v>
      </c>
    </row>
    <row r="578" spans="1:8" x14ac:dyDescent="0.2">
      <c r="A578" t="s">
        <v>173</v>
      </c>
      <c r="B578" t="s">
        <v>6709</v>
      </c>
      <c r="C578">
        <v>1020033</v>
      </c>
      <c r="D578" t="s">
        <v>6064</v>
      </c>
      <c r="E578">
        <f t="shared" si="9"/>
        <v>418</v>
      </c>
      <c r="F578">
        <f>+COUNTIF(ADV!U:W,A578)</f>
        <v>0</v>
      </c>
      <c r="G578">
        <f>+COUNTIF(ADV!Z:Z,A578)+COUNTIF(ADV!X:X,A578)+COUNTIF(ADV!Y:Y,A578)</f>
        <v>1</v>
      </c>
      <c r="H578" t="s">
        <v>6710</v>
      </c>
    </row>
    <row r="579" spans="1:8" x14ac:dyDescent="0.2">
      <c r="A579" t="s">
        <v>3401</v>
      </c>
      <c r="B579" t="s">
        <v>6711</v>
      </c>
      <c r="C579">
        <v>1020002</v>
      </c>
      <c r="D579" t="s">
        <v>6064</v>
      </c>
      <c r="E579">
        <f t="shared" si="9"/>
        <v>157</v>
      </c>
      <c r="F579">
        <f>+COUNTIF(ADV!U:W,A579)</f>
        <v>0</v>
      </c>
      <c r="G579">
        <f>+COUNTIF(ADV!Z:Z,A579)+COUNTIF(ADV!X:X,A579)+COUNTIF(ADV!Y:Y,A579)</f>
        <v>1</v>
      </c>
      <c r="H579" t="s">
        <v>6712</v>
      </c>
    </row>
    <row r="580" spans="1:8" x14ac:dyDescent="0.2">
      <c r="A580" t="s">
        <v>1989</v>
      </c>
      <c r="B580" t="s">
        <v>6713</v>
      </c>
      <c r="C580">
        <v>1010097</v>
      </c>
      <c r="D580" t="s">
        <v>6064</v>
      </c>
      <c r="E580">
        <f t="shared" si="9"/>
        <v>791</v>
      </c>
      <c r="F580">
        <f>+COUNTIF(ADV!U:W,A580)</f>
        <v>0</v>
      </c>
      <c r="G580">
        <f>+COUNTIF(ADV!Z:Z,A580)+COUNTIF(ADV!X:X,A580)+COUNTIF(ADV!Y:Y,A580)</f>
        <v>1</v>
      </c>
      <c r="H580" t="s">
        <v>6714</v>
      </c>
    </row>
    <row r="581" spans="1:8" x14ac:dyDescent="0.2">
      <c r="A581" t="s">
        <v>1030</v>
      </c>
      <c r="B581" t="s">
        <v>1022</v>
      </c>
      <c r="C581">
        <v>1020009</v>
      </c>
      <c r="D581" t="s">
        <v>6064</v>
      </c>
      <c r="E581">
        <f t="shared" si="9"/>
        <v>256</v>
      </c>
      <c r="F581">
        <f>+COUNTIF(ADV!U:W,A581)</f>
        <v>0</v>
      </c>
      <c r="G581">
        <f>+COUNTIF(ADV!Z:Z,A581)+COUNTIF(ADV!X:X,A581)+COUNTIF(ADV!Y:Y,A581)</f>
        <v>1</v>
      </c>
      <c r="H581" t="s">
        <v>6715</v>
      </c>
    </row>
    <row r="582" spans="1:8" x14ac:dyDescent="0.2">
      <c r="A582" t="s">
        <v>3636</v>
      </c>
      <c r="B582" t="s">
        <v>6716</v>
      </c>
      <c r="C582">
        <v>1010007</v>
      </c>
      <c r="D582" t="s">
        <v>6064</v>
      </c>
      <c r="E582">
        <f t="shared" si="9"/>
        <v>605</v>
      </c>
      <c r="F582">
        <f>+COUNTIF(ADV!U:W,A582)</f>
        <v>0</v>
      </c>
      <c r="G582">
        <f>+COUNTIF(ADV!Z:Z,A582)+COUNTIF(ADV!X:X,A582)+COUNTIF(ADV!Y:Y,A582)</f>
        <v>1</v>
      </c>
      <c r="H582" t="s">
        <v>6717</v>
      </c>
    </row>
    <row r="583" spans="1:8" x14ac:dyDescent="0.2">
      <c r="A583" t="s">
        <v>1015</v>
      </c>
      <c r="B583" t="s">
        <v>1007</v>
      </c>
      <c r="C583">
        <v>1010007</v>
      </c>
      <c r="D583" t="s">
        <v>6064</v>
      </c>
      <c r="E583">
        <f t="shared" si="9"/>
        <v>472</v>
      </c>
      <c r="F583">
        <f>+COUNTIF(ADV!U:W,A583)</f>
        <v>0</v>
      </c>
      <c r="G583">
        <f>+COUNTIF(ADV!Z:Z,A583)+COUNTIF(ADV!X:X,A583)+COUNTIF(ADV!Y:Y,A583)</f>
        <v>1</v>
      </c>
      <c r="H583" t="s">
        <v>6718</v>
      </c>
    </row>
    <row r="584" spans="1:8" x14ac:dyDescent="0.2">
      <c r="A584" t="s">
        <v>1822</v>
      </c>
      <c r="B584" t="s">
        <v>6719</v>
      </c>
      <c r="C584">
        <v>1010151</v>
      </c>
      <c r="D584" t="s">
        <v>6064</v>
      </c>
      <c r="E584">
        <f t="shared" si="9"/>
        <v>859</v>
      </c>
      <c r="F584">
        <f>+COUNTIF(ADV!U:W,A584)</f>
        <v>0</v>
      </c>
      <c r="G584">
        <f>+COUNTIF(ADV!Z:Z,A584)+COUNTIF(ADV!X:X,A584)+COUNTIF(ADV!Y:Y,A584)</f>
        <v>1</v>
      </c>
      <c r="H584" t="s">
        <v>6720</v>
      </c>
    </row>
    <row r="585" spans="1:8" x14ac:dyDescent="0.2">
      <c r="A585" t="s">
        <v>4111</v>
      </c>
      <c r="B585" t="s">
        <v>6721</v>
      </c>
      <c r="C585">
        <v>1010011</v>
      </c>
      <c r="D585" t="s">
        <v>6064</v>
      </c>
      <c r="E585">
        <f t="shared" si="9"/>
        <v>257</v>
      </c>
      <c r="F585">
        <f>+COUNTIF(ADV!U:W,A585)</f>
        <v>0</v>
      </c>
      <c r="G585">
        <f>+COUNTIF(ADV!Z:Z,A585)+COUNTIF(ADV!X:X,A585)+COUNTIF(ADV!Y:Y,A585)</f>
        <v>1</v>
      </c>
      <c r="H585" t="s">
        <v>6722</v>
      </c>
    </row>
    <row r="586" spans="1:8" x14ac:dyDescent="0.2">
      <c r="A586" t="s">
        <v>534</v>
      </c>
      <c r="B586" t="s">
        <v>526</v>
      </c>
      <c r="C586">
        <v>1070002</v>
      </c>
      <c r="D586" t="s">
        <v>6064</v>
      </c>
      <c r="E586">
        <f t="shared" si="9"/>
        <v>207</v>
      </c>
      <c r="F586">
        <f>+COUNTIF(ADV!U:W,A586)</f>
        <v>0</v>
      </c>
      <c r="G586">
        <f>+COUNTIF(ADV!Z:Z,A586)+COUNTIF(ADV!X:X,A586)+COUNTIF(ADV!Y:Y,A586)</f>
        <v>1</v>
      </c>
      <c r="H586" t="s">
        <v>6661</v>
      </c>
    </row>
    <row r="587" spans="1:8" x14ac:dyDescent="0.2">
      <c r="A587" t="s">
        <v>1181</v>
      </c>
      <c r="B587" t="s">
        <v>1173</v>
      </c>
      <c r="C587">
        <v>1070013</v>
      </c>
      <c r="D587" t="s">
        <v>6064</v>
      </c>
      <c r="E587">
        <f t="shared" si="9"/>
        <v>213</v>
      </c>
      <c r="F587">
        <f>+COUNTIF(ADV!U:W,A587)</f>
        <v>0</v>
      </c>
      <c r="G587">
        <f>+COUNTIF(ADV!Z:Z,A587)+COUNTIF(ADV!X:X,A587)+COUNTIF(ADV!Y:Y,A587)</f>
        <v>1</v>
      </c>
      <c r="H587" t="s">
        <v>6723</v>
      </c>
    </row>
    <row r="588" spans="1:8" x14ac:dyDescent="0.2">
      <c r="A588" t="s">
        <v>3204</v>
      </c>
      <c r="B588" t="s">
        <v>6724</v>
      </c>
      <c r="C588">
        <v>1010098</v>
      </c>
      <c r="D588" t="s">
        <v>6064</v>
      </c>
      <c r="E588">
        <f t="shared" si="9"/>
        <v>428</v>
      </c>
      <c r="F588">
        <f>+COUNTIF(ADV!U:W,A588)</f>
        <v>0</v>
      </c>
      <c r="G588">
        <f>+COUNTIF(ADV!Z:Z,A588)+COUNTIF(ADV!X:X,A588)+COUNTIF(ADV!Y:Y,A588)</f>
        <v>1</v>
      </c>
      <c r="H588" t="s">
        <v>6725</v>
      </c>
    </row>
    <row r="589" spans="1:8" x14ac:dyDescent="0.2">
      <c r="A589" t="s">
        <v>619</v>
      </c>
      <c r="B589" t="s">
        <v>609</v>
      </c>
      <c r="C589">
        <v>1020009</v>
      </c>
      <c r="D589" t="s">
        <v>6064</v>
      </c>
      <c r="E589">
        <f t="shared" si="9"/>
        <v>198</v>
      </c>
      <c r="F589">
        <f>+COUNTIF(ADV!U:W,A589)</f>
        <v>0</v>
      </c>
      <c r="G589">
        <f>+COUNTIF(ADV!Z:Z,A589)+COUNTIF(ADV!X:X,A589)+COUNTIF(ADV!Y:Y,A589)</f>
        <v>1</v>
      </c>
      <c r="H589" t="s">
        <v>6726</v>
      </c>
    </row>
    <row r="590" spans="1:8" x14ac:dyDescent="0.2">
      <c r="A590" t="s">
        <v>2977</v>
      </c>
      <c r="B590" t="s">
        <v>6727</v>
      </c>
      <c r="C590">
        <v>1020022</v>
      </c>
      <c r="D590" t="s">
        <v>6064</v>
      </c>
      <c r="E590">
        <f t="shared" si="9"/>
        <v>370</v>
      </c>
      <c r="F590">
        <f>+COUNTIF(ADV!U:W,A590)</f>
        <v>0</v>
      </c>
      <c r="G590">
        <f>+COUNTIF(ADV!Z:Z,A590)+COUNTIF(ADV!X:X,A590)+COUNTIF(ADV!Y:Y,A590)</f>
        <v>1</v>
      </c>
      <c r="H590" t="s">
        <v>6728</v>
      </c>
    </row>
    <row r="591" spans="1:8" x14ac:dyDescent="0.2">
      <c r="A591" t="s">
        <v>602</v>
      </c>
      <c r="B591" t="s">
        <v>593</v>
      </c>
      <c r="C591">
        <v>1020002</v>
      </c>
      <c r="D591" t="s">
        <v>6064</v>
      </c>
      <c r="E591">
        <f t="shared" si="9"/>
        <v>325</v>
      </c>
      <c r="F591">
        <f>+COUNTIF(ADV!U:W,A591)</f>
        <v>0</v>
      </c>
      <c r="G591">
        <f>+COUNTIF(ADV!Z:Z,A591)+COUNTIF(ADV!X:X,A591)+COUNTIF(ADV!Y:Y,A591)</f>
        <v>1</v>
      </c>
      <c r="H591" t="s">
        <v>6729</v>
      </c>
    </row>
    <row r="592" spans="1:8" x14ac:dyDescent="0.2">
      <c r="A592" t="s">
        <v>2911</v>
      </c>
      <c r="B592" t="s">
        <v>6730</v>
      </c>
      <c r="C592">
        <v>1010001</v>
      </c>
      <c r="D592" t="s">
        <v>6064</v>
      </c>
      <c r="E592">
        <f t="shared" si="9"/>
        <v>319</v>
      </c>
      <c r="F592">
        <f>+COUNTIF(ADV!U:W,A592)</f>
        <v>0</v>
      </c>
      <c r="G592">
        <f>+COUNTIF(ADV!Z:Z,A592)+COUNTIF(ADV!X:X,A592)+COUNTIF(ADV!Y:Y,A592)</f>
        <v>1</v>
      </c>
      <c r="H592" t="s">
        <v>6731</v>
      </c>
    </row>
    <row r="593" spans="1:8" x14ac:dyDescent="0.2">
      <c r="A593" t="s">
        <v>925</v>
      </c>
      <c r="B593" t="s">
        <v>916</v>
      </c>
      <c r="C593">
        <v>1010006</v>
      </c>
      <c r="D593" t="s">
        <v>6064</v>
      </c>
      <c r="E593">
        <f t="shared" si="9"/>
        <v>253</v>
      </c>
      <c r="F593">
        <f>+COUNTIF(ADV!U:W,A593)</f>
        <v>0</v>
      </c>
      <c r="G593">
        <f>+COUNTIF(ADV!Z:Z,A593)+COUNTIF(ADV!X:X,A593)+COUNTIF(ADV!Y:Y,A593)</f>
        <v>1</v>
      </c>
      <c r="H593" t="s">
        <v>6732</v>
      </c>
    </row>
    <row r="594" spans="1:8" x14ac:dyDescent="0.2">
      <c r="A594" t="s">
        <v>1890</v>
      </c>
      <c r="B594" t="s">
        <v>1883</v>
      </c>
      <c r="C594">
        <v>1010033</v>
      </c>
      <c r="D594" t="s">
        <v>6064</v>
      </c>
      <c r="E594">
        <f t="shared" si="9"/>
        <v>77</v>
      </c>
      <c r="F594">
        <f>+COUNTIF(ADV!U:W,A594)</f>
        <v>0</v>
      </c>
      <c r="G594">
        <f>+COUNTIF(ADV!Z:Z,A594)+COUNTIF(ADV!X:X,A594)+COUNTIF(ADV!Y:Y,A594)</f>
        <v>1</v>
      </c>
      <c r="H594" t="s">
        <v>6733</v>
      </c>
    </row>
    <row r="595" spans="1:8" x14ac:dyDescent="0.2">
      <c r="A595" t="s">
        <v>1155</v>
      </c>
      <c r="B595" t="s">
        <v>6734</v>
      </c>
      <c r="C595">
        <v>1010001</v>
      </c>
      <c r="D595" t="s">
        <v>6064</v>
      </c>
      <c r="E595">
        <f t="shared" si="9"/>
        <v>290</v>
      </c>
      <c r="F595">
        <f>+COUNTIF(ADV!U:W,A595)</f>
        <v>0</v>
      </c>
      <c r="G595">
        <f>+COUNTIF(ADV!Z:Z,A595)+COUNTIF(ADV!X:X,A595)+COUNTIF(ADV!Y:Y,A595)</f>
        <v>1</v>
      </c>
      <c r="H595" t="s">
        <v>6735</v>
      </c>
    </row>
    <row r="596" spans="1:8" x14ac:dyDescent="0.2">
      <c r="A596" t="s">
        <v>1805</v>
      </c>
      <c r="B596" t="s">
        <v>1797</v>
      </c>
      <c r="C596">
        <v>1010012</v>
      </c>
      <c r="D596" t="s">
        <v>6064</v>
      </c>
      <c r="E596">
        <f t="shared" si="9"/>
        <v>285</v>
      </c>
      <c r="F596">
        <f>+COUNTIF(ADV!U:W,A596)</f>
        <v>0</v>
      </c>
      <c r="G596">
        <f>+COUNTIF(ADV!Z:Z,A596)+COUNTIF(ADV!X:X,A596)+COUNTIF(ADV!Y:Y,A596)</f>
        <v>1</v>
      </c>
      <c r="H596" t="s">
        <v>6736</v>
      </c>
    </row>
    <row r="597" spans="1:8" x14ac:dyDescent="0.2">
      <c r="A597" t="s">
        <v>4083</v>
      </c>
      <c r="B597" t="s">
        <v>4077</v>
      </c>
      <c r="C597">
        <v>1070017</v>
      </c>
      <c r="D597" t="s">
        <v>6064</v>
      </c>
      <c r="E597">
        <f t="shared" si="9"/>
        <v>323</v>
      </c>
      <c r="F597">
        <f>+COUNTIF(ADV!U:W,A597)</f>
        <v>0</v>
      </c>
      <c r="G597">
        <f>+COUNTIF(ADV!Z:Z,A597)+COUNTIF(ADV!X:X,A597)+COUNTIF(ADV!Y:Y,A597)</f>
        <v>1</v>
      </c>
      <c r="H597" t="s">
        <v>6737</v>
      </c>
    </row>
    <row r="598" spans="1:8" x14ac:dyDescent="0.2">
      <c r="A598" t="s">
        <v>2814</v>
      </c>
      <c r="B598" t="s">
        <v>6738</v>
      </c>
      <c r="C598">
        <v>1010120</v>
      </c>
      <c r="D598" t="s">
        <v>6064</v>
      </c>
      <c r="E598">
        <f t="shared" si="9"/>
        <v>292</v>
      </c>
      <c r="F598">
        <f>+COUNTIF(ADV!U:W,A598)</f>
        <v>0</v>
      </c>
      <c r="G598">
        <f>+COUNTIF(ADV!Z:Z,A598)+COUNTIF(ADV!X:X,A598)+COUNTIF(ADV!Y:Y,A598)</f>
        <v>1</v>
      </c>
      <c r="H598" t="s">
        <v>6739</v>
      </c>
    </row>
    <row r="599" spans="1:8" x14ac:dyDescent="0.2">
      <c r="A599" t="s">
        <v>2350</v>
      </c>
      <c r="B599" t="s">
        <v>6740</v>
      </c>
      <c r="C599">
        <v>1020010</v>
      </c>
      <c r="D599" t="s">
        <v>6064</v>
      </c>
      <c r="E599">
        <f t="shared" si="9"/>
        <v>375</v>
      </c>
      <c r="F599">
        <f>+COUNTIF(ADV!U:W,A599)</f>
        <v>0</v>
      </c>
      <c r="G599">
        <f>+COUNTIF(ADV!Z:Z,A599)+COUNTIF(ADV!X:X,A599)+COUNTIF(ADV!Y:Y,A599)</f>
        <v>1</v>
      </c>
      <c r="H599" t="s">
        <v>6741</v>
      </c>
    </row>
    <row r="600" spans="1:8" x14ac:dyDescent="0.2">
      <c r="A600" t="s">
        <v>895</v>
      </c>
      <c r="B600" t="s">
        <v>6742</v>
      </c>
      <c r="C600">
        <v>1010027</v>
      </c>
      <c r="D600" t="s">
        <v>6064</v>
      </c>
      <c r="E600">
        <f t="shared" si="9"/>
        <v>525</v>
      </c>
      <c r="F600">
        <f>+COUNTIF(ADV!U:W,A600)</f>
        <v>0</v>
      </c>
      <c r="G600">
        <f>+COUNTIF(ADV!Z:Z,A600)+COUNTIF(ADV!X:X,A600)+COUNTIF(ADV!Y:Y,A600)</f>
        <v>1</v>
      </c>
      <c r="H600" t="s">
        <v>6743</v>
      </c>
    </row>
    <row r="601" spans="1:8" x14ac:dyDescent="0.2">
      <c r="A601" t="s">
        <v>3317</v>
      </c>
      <c r="B601" t="s">
        <v>6744</v>
      </c>
      <c r="C601">
        <v>1020034</v>
      </c>
      <c r="D601" t="s">
        <v>6064</v>
      </c>
      <c r="E601">
        <f t="shared" si="9"/>
        <v>496</v>
      </c>
      <c r="F601">
        <f>+COUNTIF(ADV!U:W,A601)</f>
        <v>0</v>
      </c>
      <c r="G601">
        <f>+COUNTIF(ADV!Z:Z,A601)+COUNTIF(ADV!X:X,A601)+COUNTIF(ADV!Y:Y,A601)</f>
        <v>1</v>
      </c>
      <c r="H601" t="s">
        <v>6745</v>
      </c>
    </row>
    <row r="602" spans="1:8" x14ac:dyDescent="0.2">
      <c r="A602" t="s">
        <v>211</v>
      </c>
      <c r="B602" t="s">
        <v>6746</v>
      </c>
      <c r="C602">
        <v>1020026</v>
      </c>
      <c r="D602" t="s">
        <v>6064</v>
      </c>
      <c r="E602">
        <f t="shared" si="9"/>
        <v>300</v>
      </c>
      <c r="F602">
        <f>+COUNTIF(ADV!U:W,A602)</f>
        <v>0</v>
      </c>
      <c r="G602">
        <f>+COUNTIF(ADV!Z:Z,A602)+COUNTIF(ADV!X:X,A602)+COUNTIF(ADV!Y:Y,A602)</f>
        <v>1</v>
      </c>
      <c r="H602" t="s">
        <v>6747</v>
      </c>
    </row>
    <row r="603" spans="1:8" x14ac:dyDescent="0.2">
      <c r="A603" t="s">
        <v>1539</v>
      </c>
      <c r="B603" t="s">
        <v>6748</v>
      </c>
      <c r="C603">
        <v>1020027</v>
      </c>
      <c r="D603" t="s">
        <v>6064</v>
      </c>
      <c r="E603">
        <f t="shared" si="9"/>
        <v>345</v>
      </c>
      <c r="F603">
        <f>+COUNTIF(ADV!U:W,A603)</f>
        <v>0</v>
      </c>
      <c r="G603">
        <f>+COUNTIF(ADV!Z:Z,A603)+COUNTIF(ADV!X:X,A603)+COUNTIF(ADV!Y:Y,A603)</f>
        <v>1</v>
      </c>
      <c r="H603" t="s">
        <v>6749</v>
      </c>
    </row>
    <row r="604" spans="1:8" x14ac:dyDescent="0.2">
      <c r="A604" t="s">
        <v>1605</v>
      </c>
      <c r="B604" t="s">
        <v>6750</v>
      </c>
      <c r="C604">
        <v>1010011</v>
      </c>
      <c r="D604" t="s">
        <v>6064</v>
      </c>
      <c r="E604">
        <f t="shared" si="9"/>
        <v>185</v>
      </c>
      <c r="F604">
        <f>+COUNTIF(ADV!U:W,A604)</f>
        <v>0</v>
      </c>
      <c r="G604">
        <f>+COUNTIF(ADV!Z:Z,A604)+COUNTIF(ADV!X:X,A604)+COUNTIF(ADV!Y:Y,A604)</f>
        <v>4</v>
      </c>
      <c r="H604" t="s">
        <v>6751</v>
      </c>
    </row>
    <row r="605" spans="1:8" x14ac:dyDescent="0.2">
      <c r="A605" t="s">
        <v>3816</v>
      </c>
      <c r="B605" t="s">
        <v>6752</v>
      </c>
      <c r="C605">
        <v>1070015</v>
      </c>
      <c r="D605" t="s">
        <v>6064</v>
      </c>
      <c r="E605">
        <f t="shared" si="9"/>
        <v>217</v>
      </c>
      <c r="F605">
        <f>+COUNTIF(ADV!U:W,A605)</f>
        <v>0</v>
      </c>
      <c r="G605">
        <f>+COUNTIF(ADV!Z:Z,A605)+COUNTIF(ADV!X:X,A605)+COUNTIF(ADV!Y:Y,A605)</f>
        <v>1</v>
      </c>
      <c r="H605" t="s">
        <v>6753</v>
      </c>
    </row>
    <row r="606" spans="1:8" x14ac:dyDescent="0.2">
      <c r="A606" t="s">
        <v>1664</v>
      </c>
      <c r="B606" t="s">
        <v>1657</v>
      </c>
      <c r="C606">
        <v>1020011</v>
      </c>
      <c r="D606" t="s">
        <v>6064</v>
      </c>
      <c r="E606">
        <f t="shared" si="9"/>
        <v>329</v>
      </c>
      <c r="F606">
        <f>+COUNTIF(ADV!U:W,A606)</f>
        <v>0</v>
      </c>
      <c r="G606">
        <f>+COUNTIF(ADV!Z:Z,A606)+COUNTIF(ADV!X:X,A606)+COUNTIF(ADV!Y:Y,A606)</f>
        <v>1</v>
      </c>
      <c r="H606" t="s">
        <v>6754</v>
      </c>
    </row>
    <row r="607" spans="1:8" x14ac:dyDescent="0.2">
      <c r="A607" t="s">
        <v>2958</v>
      </c>
      <c r="B607" t="s">
        <v>6755</v>
      </c>
      <c r="C607">
        <v>1010159</v>
      </c>
      <c r="D607" t="s">
        <v>6064</v>
      </c>
      <c r="E607">
        <f t="shared" si="9"/>
        <v>736</v>
      </c>
      <c r="F607">
        <f>+COUNTIF(ADV!U:W,A607)</f>
        <v>0</v>
      </c>
      <c r="G607">
        <f>+COUNTIF(ADV!Z:Z,A607)+COUNTIF(ADV!X:X,A607)+COUNTIF(ADV!Y:Y,A607)</f>
        <v>1</v>
      </c>
      <c r="H607" t="s">
        <v>6756</v>
      </c>
    </row>
    <row r="608" spans="1:8" x14ac:dyDescent="0.2">
      <c r="A608" t="s">
        <v>4439</v>
      </c>
      <c r="B608" t="s">
        <v>6757</v>
      </c>
      <c r="C608">
        <v>1020004</v>
      </c>
      <c r="D608" t="s">
        <v>6064</v>
      </c>
      <c r="E608">
        <f t="shared" si="9"/>
        <v>482</v>
      </c>
      <c r="F608">
        <f>+COUNTIF(ADV!U:W,A608)</f>
        <v>0</v>
      </c>
      <c r="G608">
        <f>+COUNTIF(ADV!Z:Z,A608)+COUNTIF(ADV!X:X,A608)+COUNTIF(ADV!Y:Y,A608)</f>
        <v>1</v>
      </c>
      <c r="H608" t="s">
        <v>6758</v>
      </c>
    </row>
    <row r="609" spans="1:8" x14ac:dyDescent="0.2">
      <c r="A609" t="s">
        <v>4412</v>
      </c>
      <c r="B609" t="s">
        <v>6759</v>
      </c>
      <c r="C609">
        <v>1010015</v>
      </c>
      <c r="D609" t="s">
        <v>6064</v>
      </c>
      <c r="E609">
        <f t="shared" si="9"/>
        <v>528</v>
      </c>
      <c r="F609">
        <f>+COUNTIF(ADV!U:W,A609)</f>
        <v>0</v>
      </c>
      <c r="G609">
        <f>+COUNTIF(ADV!Z:Z,A609)+COUNTIF(ADV!X:X,A609)+COUNTIF(ADV!Y:Y,A609)</f>
        <v>1</v>
      </c>
      <c r="H609" t="s">
        <v>6760</v>
      </c>
    </row>
    <row r="610" spans="1:8" x14ac:dyDescent="0.2">
      <c r="A610" t="s">
        <v>1851</v>
      </c>
      <c r="B610" t="s">
        <v>6761</v>
      </c>
      <c r="C610">
        <v>1010034</v>
      </c>
      <c r="D610" t="s">
        <v>6064</v>
      </c>
      <c r="E610">
        <f t="shared" si="9"/>
        <v>301</v>
      </c>
      <c r="F610">
        <f>+COUNTIF(ADV!U:W,A610)</f>
        <v>0</v>
      </c>
      <c r="G610">
        <f>+COUNTIF(ADV!Z:Z,A610)+COUNTIF(ADV!X:X,A610)+COUNTIF(ADV!Y:Y,A610)</f>
        <v>8</v>
      </c>
      <c r="H610" t="s">
        <v>6762</v>
      </c>
    </row>
    <row r="611" spans="1:8" x14ac:dyDescent="0.2">
      <c r="A611" t="s">
        <v>3741</v>
      </c>
      <c r="B611" t="s">
        <v>6763</v>
      </c>
      <c r="C611">
        <v>1010102</v>
      </c>
      <c r="D611" t="s">
        <v>6064</v>
      </c>
      <c r="E611">
        <f t="shared" si="9"/>
        <v>245</v>
      </c>
      <c r="F611">
        <f>+COUNTIF(ADV!U:W,A611)</f>
        <v>0</v>
      </c>
      <c r="G611">
        <f>+COUNTIF(ADV!Z:Z,A611)+COUNTIF(ADV!X:X,A611)+COUNTIF(ADV!Y:Y,A611)</f>
        <v>1</v>
      </c>
      <c r="H611" t="s">
        <v>6764</v>
      </c>
    </row>
    <row r="612" spans="1:8" x14ac:dyDescent="0.2">
      <c r="A612" t="s">
        <v>1408</v>
      </c>
      <c r="B612" t="s">
        <v>6765</v>
      </c>
      <c r="C612">
        <v>1010102</v>
      </c>
      <c r="D612" t="s">
        <v>6064</v>
      </c>
      <c r="E612">
        <f t="shared" si="9"/>
        <v>245</v>
      </c>
      <c r="F612">
        <f>+COUNTIF(ADV!U:W,A612)</f>
        <v>0</v>
      </c>
      <c r="G612">
        <f>+COUNTIF(ADV!Z:Z,A612)+COUNTIF(ADV!X:X,A612)+COUNTIF(ADV!Y:Y,A612)</f>
        <v>1</v>
      </c>
      <c r="H612" t="s">
        <v>6318</v>
      </c>
    </row>
    <row r="613" spans="1:8" x14ac:dyDescent="0.2">
      <c r="A613" t="s">
        <v>6766</v>
      </c>
      <c r="B613" t="s">
        <v>6767</v>
      </c>
      <c r="C613">
        <v>1010013</v>
      </c>
      <c r="D613" t="s">
        <v>6064</v>
      </c>
      <c r="E613">
        <f t="shared" ref="E613:E676" si="10">+LEN(H613)</f>
        <v>139</v>
      </c>
      <c r="F613">
        <f>+COUNTIF(ADV!U:W,A613)</f>
        <v>0</v>
      </c>
      <c r="G613">
        <f>+COUNTIF(ADV!Z:Z,A613)+COUNTIF(ADV!X:X,A613)+COUNTIF(ADV!Y:Y,A613)</f>
        <v>0</v>
      </c>
      <c r="H613" t="s">
        <v>6320</v>
      </c>
    </row>
    <row r="614" spans="1:8" x14ac:dyDescent="0.2">
      <c r="A614" t="s">
        <v>939</v>
      </c>
      <c r="B614" t="s">
        <v>932</v>
      </c>
      <c r="C614">
        <v>1070002</v>
      </c>
      <c r="D614" t="s">
        <v>6064</v>
      </c>
      <c r="E614">
        <f t="shared" si="10"/>
        <v>207</v>
      </c>
      <c r="F614">
        <f>+COUNTIF(ADV!U:W,A614)</f>
        <v>0</v>
      </c>
      <c r="G614">
        <f>+COUNTIF(ADV!Z:Z,A614)+COUNTIF(ADV!X:X,A614)+COUNTIF(ADV!Y:Y,A614)</f>
        <v>1</v>
      </c>
      <c r="H614" t="s">
        <v>6661</v>
      </c>
    </row>
    <row r="615" spans="1:8" x14ac:dyDescent="0.2">
      <c r="A615" t="s">
        <v>1421</v>
      </c>
      <c r="B615" t="s">
        <v>6768</v>
      </c>
      <c r="C615">
        <v>1070013</v>
      </c>
      <c r="D615" t="s">
        <v>6064</v>
      </c>
      <c r="E615">
        <f t="shared" si="10"/>
        <v>213</v>
      </c>
      <c r="F615">
        <f>+COUNTIF(ADV!U:W,A615)</f>
        <v>0</v>
      </c>
      <c r="G615">
        <f>+COUNTIF(ADV!Z:Z,A615)+COUNTIF(ADV!X:X,A615)+COUNTIF(ADV!Y:Y,A615)</f>
        <v>1</v>
      </c>
      <c r="H615" t="s">
        <v>6723</v>
      </c>
    </row>
    <row r="616" spans="1:8" x14ac:dyDescent="0.2">
      <c r="A616" t="s">
        <v>2186</v>
      </c>
      <c r="B616" t="s">
        <v>2177</v>
      </c>
      <c r="C616">
        <v>1010001</v>
      </c>
      <c r="D616" t="s">
        <v>6064</v>
      </c>
      <c r="E616">
        <f t="shared" si="10"/>
        <v>73</v>
      </c>
      <c r="F616">
        <f>+COUNTIF(ADV!U:W,A616)</f>
        <v>0</v>
      </c>
      <c r="G616">
        <f>+COUNTIF(ADV!Z:Z,A616)+COUNTIF(ADV!X:X,A616)+COUNTIF(ADV!Y:Y,A616)</f>
        <v>1</v>
      </c>
      <c r="H616" t="s">
        <v>6769</v>
      </c>
    </row>
    <row r="617" spans="1:8" x14ac:dyDescent="0.2">
      <c r="A617" t="s">
        <v>2219</v>
      </c>
      <c r="B617" t="s">
        <v>6770</v>
      </c>
      <c r="C617">
        <v>1010104</v>
      </c>
      <c r="D617" t="s">
        <v>6064</v>
      </c>
      <c r="E617">
        <f t="shared" si="10"/>
        <v>697</v>
      </c>
      <c r="F617">
        <f>+COUNTIF(ADV!U:W,A617)</f>
        <v>0</v>
      </c>
      <c r="G617">
        <f>+COUNTIF(ADV!Z:Z,A617)+COUNTIF(ADV!X:X,A617)+COUNTIF(ADV!Y:Y,A617)</f>
        <v>1</v>
      </c>
      <c r="H617" t="s">
        <v>6771</v>
      </c>
    </row>
    <row r="618" spans="1:8" x14ac:dyDescent="0.2">
      <c r="A618" t="s">
        <v>2621</v>
      </c>
      <c r="B618" t="s">
        <v>6772</v>
      </c>
      <c r="C618">
        <v>1010066</v>
      </c>
      <c r="D618" t="s">
        <v>6064</v>
      </c>
      <c r="E618">
        <f t="shared" si="10"/>
        <v>1156</v>
      </c>
      <c r="F618">
        <f>+COUNTIF(ADV!U:W,A618)</f>
        <v>0</v>
      </c>
      <c r="G618">
        <f>+COUNTIF(ADV!Z:Z,A618)+COUNTIF(ADV!X:X,A618)+COUNTIF(ADV!Y:Y,A618)</f>
        <v>1</v>
      </c>
      <c r="H618" t="s">
        <v>6773</v>
      </c>
    </row>
    <row r="619" spans="1:8" x14ac:dyDescent="0.2">
      <c r="A619" t="s">
        <v>4181</v>
      </c>
      <c r="B619" t="s">
        <v>6774</v>
      </c>
      <c r="C619">
        <v>1010174</v>
      </c>
      <c r="D619" t="s">
        <v>6064</v>
      </c>
      <c r="E619">
        <f t="shared" si="10"/>
        <v>848</v>
      </c>
      <c r="F619">
        <f>+COUNTIF(ADV!U:W,A619)</f>
        <v>0</v>
      </c>
      <c r="G619">
        <f>+COUNTIF(ADV!Z:Z,A619)+COUNTIF(ADV!X:X,A619)+COUNTIF(ADV!Y:Y,A619)</f>
        <v>1</v>
      </c>
      <c r="H619" t="s">
        <v>6775</v>
      </c>
    </row>
    <row r="620" spans="1:8" x14ac:dyDescent="0.2">
      <c r="A620" t="s">
        <v>3672</v>
      </c>
      <c r="B620" t="s">
        <v>6776</v>
      </c>
      <c r="C620">
        <v>1010131</v>
      </c>
      <c r="D620" t="s">
        <v>6064</v>
      </c>
      <c r="E620">
        <f t="shared" si="10"/>
        <v>418</v>
      </c>
      <c r="F620">
        <f>+COUNTIF(ADV!U:W,A620)</f>
        <v>0</v>
      </c>
      <c r="G620">
        <f>+COUNTIF(ADV!Z:Z,A620)+COUNTIF(ADV!X:X,A620)+COUNTIF(ADV!Y:Y,A620)</f>
        <v>1</v>
      </c>
      <c r="H620" t="s">
        <v>6777</v>
      </c>
    </row>
    <row r="621" spans="1:8" x14ac:dyDescent="0.2">
      <c r="A621" t="s">
        <v>518</v>
      </c>
      <c r="B621" t="s">
        <v>6778</v>
      </c>
      <c r="C621">
        <v>1100001</v>
      </c>
      <c r="D621" t="s">
        <v>6064</v>
      </c>
      <c r="E621">
        <f t="shared" si="10"/>
        <v>81</v>
      </c>
      <c r="F621">
        <f>+COUNTIF(ADV!U:W,A621)</f>
        <v>0</v>
      </c>
      <c r="G621">
        <f>+COUNTIF(ADV!Z:Z,A621)+COUNTIF(ADV!X:X,A621)+COUNTIF(ADV!Y:Y,A621)</f>
        <v>11</v>
      </c>
      <c r="H621" t="s">
        <v>6779</v>
      </c>
    </row>
    <row r="622" spans="1:8" x14ac:dyDescent="0.2">
      <c r="A622" t="s">
        <v>1935</v>
      </c>
      <c r="B622" t="s">
        <v>6780</v>
      </c>
      <c r="C622">
        <v>1010079</v>
      </c>
      <c r="D622" t="s">
        <v>6064</v>
      </c>
      <c r="E622">
        <f t="shared" si="10"/>
        <v>189</v>
      </c>
      <c r="F622">
        <f>+COUNTIF(ADV!U:W,A622)</f>
        <v>0</v>
      </c>
      <c r="G622">
        <f>+COUNTIF(ADV!Z:Z,A622)+COUNTIF(ADV!X:X,A622)+COUNTIF(ADV!Y:Y,A622)</f>
        <v>1</v>
      </c>
      <c r="H622" t="s">
        <v>6781</v>
      </c>
    </row>
    <row r="623" spans="1:8" x14ac:dyDescent="0.2">
      <c r="A623" t="s">
        <v>4464</v>
      </c>
      <c r="B623" t="s">
        <v>6782</v>
      </c>
      <c r="C623">
        <v>1010038</v>
      </c>
      <c r="D623" t="s">
        <v>6064</v>
      </c>
      <c r="E623">
        <f t="shared" si="10"/>
        <v>250</v>
      </c>
      <c r="F623">
        <f>+COUNTIF(ADV!U:W,A623)</f>
        <v>0</v>
      </c>
      <c r="G623">
        <f>+COUNTIF(ADV!Z:Z,A623)+COUNTIF(ADV!X:X,A623)+COUNTIF(ADV!Y:Y,A623)</f>
        <v>1</v>
      </c>
      <c r="H623" t="s">
        <v>6783</v>
      </c>
    </row>
    <row r="624" spans="1:8" x14ac:dyDescent="0.2">
      <c r="A624" t="s">
        <v>386</v>
      </c>
      <c r="B624" t="s">
        <v>6784</v>
      </c>
      <c r="C624">
        <v>1020038</v>
      </c>
      <c r="D624" t="s">
        <v>6064</v>
      </c>
      <c r="E624">
        <f t="shared" si="10"/>
        <v>603</v>
      </c>
      <c r="F624">
        <f>+COUNTIF(ADV!U:W,A624)</f>
        <v>0</v>
      </c>
      <c r="G624">
        <f>+COUNTIF(ADV!Z:Z,A624)+COUNTIF(ADV!X:X,A624)+COUNTIF(ADV!Y:Y,A624)</f>
        <v>1</v>
      </c>
      <c r="H624" t="s">
        <v>6785</v>
      </c>
    </row>
    <row r="625" spans="1:8" x14ac:dyDescent="0.2">
      <c r="A625" t="s">
        <v>3620</v>
      </c>
      <c r="B625" t="s">
        <v>6786</v>
      </c>
      <c r="C625">
        <v>1010176</v>
      </c>
      <c r="D625" t="s">
        <v>6064</v>
      </c>
      <c r="E625">
        <f t="shared" si="10"/>
        <v>1157</v>
      </c>
      <c r="F625">
        <f>+COUNTIF(ADV!U:W,A625)</f>
        <v>0</v>
      </c>
      <c r="G625">
        <f>+COUNTIF(ADV!Z:Z,A625)+COUNTIF(ADV!X:X,A625)+COUNTIF(ADV!Y:Y,A625)</f>
        <v>1</v>
      </c>
      <c r="H625" t="s">
        <v>6787</v>
      </c>
    </row>
    <row r="626" spans="1:8" x14ac:dyDescent="0.2">
      <c r="A626" t="s">
        <v>1920</v>
      </c>
      <c r="B626" t="s">
        <v>6788</v>
      </c>
      <c r="C626">
        <v>1020040</v>
      </c>
      <c r="D626" t="s">
        <v>6064</v>
      </c>
      <c r="E626">
        <f t="shared" si="10"/>
        <v>599</v>
      </c>
      <c r="F626">
        <f>+COUNTIF(ADV!U:W,A626)</f>
        <v>0</v>
      </c>
      <c r="G626">
        <f>+COUNTIF(ADV!Z:Z,A626)+COUNTIF(ADV!X:X,A626)+COUNTIF(ADV!Y:Y,A626)</f>
        <v>1</v>
      </c>
      <c r="H626" t="s">
        <v>6789</v>
      </c>
    </row>
    <row r="627" spans="1:8" x14ac:dyDescent="0.2">
      <c r="A627" t="s">
        <v>2248</v>
      </c>
      <c r="B627" t="s">
        <v>6790</v>
      </c>
      <c r="C627">
        <v>1010154</v>
      </c>
      <c r="D627" t="s">
        <v>6064</v>
      </c>
      <c r="E627">
        <f t="shared" si="10"/>
        <v>443</v>
      </c>
      <c r="F627">
        <f>+COUNTIF(ADV!U:W,A627)</f>
        <v>0</v>
      </c>
      <c r="G627">
        <f>+COUNTIF(ADV!Z:Z,A627)+COUNTIF(ADV!X:X,A627)+COUNTIF(ADV!Y:Y,A627)</f>
        <v>1</v>
      </c>
      <c r="H627" t="s">
        <v>6791</v>
      </c>
    </row>
    <row r="628" spans="1:8" x14ac:dyDescent="0.2">
      <c r="A628" t="s">
        <v>1690</v>
      </c>
      <c r="B628" t="s">
        <v>1683</v>
      </c>
      <c r="C628">
        <v>1040009</v>
      </c>
      <c r="D628" t="s">
        <v>6064</v>
      </c>
      <c r="E628">
        <f t="shared" si="10"/>
        <v>256</v>
      </c>
      <c r="F628">
        <f>+COUNTIF(ADV!U:W,A628)</f>
        <v>0</v>
      </c>
      <c r="G628">
        <f>+COUNTIF(ADV!Z:Z,A628)+COUNTIF(ADV!X:X,A628)+COUNTIF(ADV!Y:Y,A628)</f>
        <v>1</v>
      </c>
      <c r="H628" t="s">
        <v>6792</v>
      </c>
    </row>
    <row r="629" spans="1:8" x14ac:dyDescent="0.2">
      <c r="A629" t="s">
        <v>782</v>
      </c>
      <c r="B629" t="s">
        <v>6793</v>
      </c>
      <c r="C629">
        <v>1010024</v>
      </c>
      <c r="D629" t="s">
        <v>6064</v>
      </c>
      <c r="E629">
        <f t="shared" si="10"/>
        <v>304</v>
      </c>
      <c r="F629">
        <f>+COUNTIF(ADV!U:W,A629)</f>
        <v>0</v>
      </c>
      <c r="G629">
        <f>+COUNTIF(ADV!Z:Z,A629)+COUNTIF(ADV!X:X,A629)+COUNTIF(ADV!Y:Y,A629)</f>
        <v>1</v>
      </c>
      <c r="H629" t="s">
        <v>6794</v>
      </c>
    </row>
    <row r="630" spans="1:8" x14ac:dyDescent="0.2">
      <c r="A630" t="s">
        <v>1451</v>
      </c>
      <c r="B630" t="s">
        <v>1444</v>
      </c>
      <c r="C630">
        <v>1020002</v>
      </c>
      <c r="D630" t="s">
        <v>6064</v>
      </c>
      <c r="E630">
        <f t="shared" si="10"/>
        <v>205</v>
      </c>
      <c r="F630">
        <f>+COUNTIF(ADV!U:W,A630)</f>
        <v>0</v>
      </c>
      <c r="G630">
        <f>+COUNTIF(ADV!Z:Z,A630)+COUNTIF(ADV!X:X,A630)+COUNTIF(ADV!Y:Y,A630)</f>
        <v>1</v>
      </c>
      <c r="H630" t="s">
        <v>6795</v>
      </c>
    </row>
    <row r="631" spans="1:8" x14ac:dyDescent="0.2">
      <c r="A631" t="s">
        <v>3417</v>
      </c>
      <c r="B631" t="s">
        <v>6796</v>
      </c>
      <c r="C631">
        <v>1010058</v>
      </c>
      <c r="D631" t="s">
        <v>6064</v>
      </c>
      <c r="E631">
        <f t="shared" si="10"/>
        <v>113</v>
      </c>
      <c r="F631">
        <f>+COUNTIF(ADV!U:W,A631)</f>
        <v>0</v>
      </c>
      <c r="G631">
        <f>+COUNTIF(ADV!Z:Z,A631)+COUNTIF(ADV!X:X,A631)+COUNTIF(ADV!Y:Y,A631)</f>
        <v>1</v>
      </c>
      <c r="H631" t="s">
        <v>6797</v>
      </c>
    </row>
    <row r="632" spans="1:8" x14ac:dyDescent="0.2">
      <c r="A632" t="s">
        <v>1393</v>
      </c>
      <c r="B632" t="s">
        <v>6798</v>
      </c>
      <c r="C632">
        <v>1010059</v>
      </c>
      <c r="D632" t="s">
        <v>6064</v>
      </c>
      <c r="E632">
        <f t="shared" si="10"/>
        <v>556</v>
      </c>
      <c r="F632">
        <f>+COUNTIF(ADV!U:W,A632)</f>
        <v>0</v>
      </c>
      <c r="G632">
        <f>+COUNTIF(ADV!Z:Z,A632)+COUNTIF(ADV!X:X,A632)+COUNTIF(ADV!Y:Y,A632)</f>
        <v>1</v>
      </c>
      <c r="H632" t="s">
        <v>6799</v>
      </c>
    </row>
    <row r="633" spans="1:8" x14ac:dyDescent="0.2">
      <c r="A633" t="s">
        <v>1525</v>
      </c>
      <c r="B633" t="s">
        <v>6800</v>
      </c>
      <c r="C633">
        <v>1010056</v>
      </c>
      <c r="D633" t="s">
        <v>6064</v>
      </c>
      <c r="E633">
        <f t="shared" si="10"/>
        <v>513</v>
      </c>
      <c r="F633">
        <f>+COUNTIF(ADV!U:W,A633)</f>
        <v>0</v>
      </c>
      <c r="G633">
        <f>+COUNTIF(ADV!Z:Z,A633)+COUNTIF(ADV!X:X,A633)+COUNTIF(ADV!Y:Y,A633)</f>
        <v>1</v>
      </c>
      <c r="H633" t="s">
        <v>6801</v>
      </c>
    </row>
    <row r="634" spans="1:8" x14ac:dyDescent="0.2">
      <c r="A634" t="s">
        <v>4296</v>
      </c>
      <c r="B634" t="s">
        <v>4288</v>
      </c>
      <c r="C634">
        <v>1070017</v>
      </c>
      <c r="D634" t="s">
        <v>6064</v>
      </c>
      <c r="E634">
        <f t="shared" si="10"/>
        <v>201</v>
      </c>
      <c r="F634">
        <f>+COUNTIF(ADV!U:W,A634)</f>
        <v>0</v>
      </c>
      <c r="G634">
        <f>+COUNTIF(ADV!Z:Z,A634)+COUNTIF(ADV!X:X,A634)+COUNTIF(ADV!Y:Y,A634)</f>
        <v>1</v>
      </c>
      <c r="H634" t="s">
        <v>6802</v>
      </c>
    </row>
    <row r="635" spans="1:8" x14ac:dyDescent="0.2">
      <c r="A635" t="s">
        <v>2843</v>
      </c>
      <c r="B635" t="s">
        <v>6803</v>
      </c>
      <c r="C635">
        <v>1010052</v>
      </c>
      <c r="D635" t="s">
        <v>6064</v>
      </c>
      <c r="E635">
        <f t="shared" si="10"/>
        <v>373</v>
      </c>
      <c r="F635">
        <f>+COUNTIF(ADV!U:W,A635)</f>
        <v>0</v>
      </c>
      <c r="G635">
        <f>+COUNTIF(ADV!Z:Z,A635)+COUNTIF(ADV!X:X,A635)+COUNTIF(ADV!Y:Y,A635)</f>
        <v>1</v>
      </c>
      <c r="H635" t="s">
        <v>6804</v>
      </c>
    </row>
    <row r="636" spans="1:8" x14ac:dyDescent="0.2">
      <c r="A636" t="s">
        <v>4044</v>
      </c>
      <c r="B636" t="s">
        <v>6805</v>
      </c>
      <c r="C636">
        <v>1010020</v>
      </c>
      <c r="D636" t="s">
        <v>6064</v>
      </c>
      <c r="E636">
        <f t="shared" si="10"/>
        <v>746</v>
      </c>
      <c r="F636">
        <f>+COUNTIF(ADV!U:W,A636)</f>
        <v>0</v>
      </c>
      <c r="G636">
        <f>+COUNTIF(ADV!Z:Z,A636)+COUNTIF(ADV!X:X,A636)+COUNTIF(ADV!Y:Y,A636)</f>
        <v>1</v>
      </c>
      <c r="H636" t="s">
        <v>6806</v>
      </c>
    </row>
    <row r="637" spans="1:8" x14ac:dyDescent="0.2">
      <c r="A637" t="s">
        <v>3786</v>
      </c>
      <c r="B637" t="s">
        <v>6807</v>
      </c>
      <c r="C637">
        <v>1030041</v>
      </c>
      <c r="D637" t="s">
        <v>6064</v>
      </c>
      <c r="E637">
        <f t="shared" si="10"/>
        <v>314</v>
      </c>
      <c r="F637">
        <f>+COUNTIF(ADV!U:W,A637)</f>
        <v>0</v>
      </c>
      <c r="G637">
        <f>+COUNTIF(ADV!Z:Z,A637)+COUNTIF(ADV!X:X,A637)+COUNTIF(ADV!Y:Y,A637)</f>
        <v>5</v>
      </c>
      <c r="H637" t="s">
        <v>6808</v>
      </c>
    </row>
    <row r="638" spans="1:8" x14ac:dyDescent="0.2">
      <c r="A638" t="s">
        <v>1216</v>
      </c>
      <c r="B638" t="s">
        <v>6809</v>
      </c>
      <c r="C638">
        <v>1030039</v>
      </c>
      <c r="D638" t="s">
        <v>6064</v>
      </c>
      <c r="E638">
        <f t="shared" si="10"/>
        <v>323</v>
      </c>
      <c r="F638">
        <f>+COUNTIF(ADV!U:W,A638)</f>
        <v>0</v>
      </c>
      <c r="G638">
        <f>+COUNTIF(ADV!Z:Z,A638)+COUNTIF(ADV!X:X,A638)+COUNTIF(ADV!Y:Y,A638)</f>
        <v>6</v>
      </c>
      <c r="H638" t="s">
        <v>6810</v>
      </c>
    </row>
    <row r="639" spans="1:8" x14ac:dyDescent="0.2">
      <c r="A639" t="s">
        <v>1955</v>
      </c>
      <c r="B639" t="s">
        <v>6811</v>
      </c>
      <c r="C639">
        <v>1030040</v>
      </c>
      <c r="D639" t="s">
        <v>6064</v>
      </c>
      <c r="E639">
        <f t="shared" si="10"/>
        <v>311</v>
      </c>
      <c r="F639">
        <f>+COUNTIF(ADV!U:W,A639)</f>
        <v>0</v>
      </c>
      <c r="G639">
        <f>+COUNTIF(ADV!Z:Z,A639)+COUNTIF(ADV!X:X,A639)+COUNTIF(ADV!Y:Y,A639)</f>
        <v>4</v>
      </c>
      <c r="H639" t="s">
        <v>6812</v>
      </c>
    </row>
    <row r="640" spans="1:8" x14ac:dyDescent="0.2">
      <c r="A640" t="s">
        <v>2798</v>
      </c>
      <c r="B640" t="s">
        <v>6813</v>
      </c>
      <c r="C640">
        <v>1010141</v>
      </c>
      <c r="D640" t="s">
        <v>6064</v>
      </c>
      <c r="E640">
        <f t="shared" si="10"/>
        <v>727</v>
      </c>
      <c r="F640">
        <f>+COUNTIF(ADV!U:W,A640)</f>
        <v>0</v>
      </c>
      <c r="G640">
        <f>+COUNTIF(ADV!Z:Z,A640)+COUNTIF(ADV!X:X,A640)+COUNTIF(ADV!Y:Y,A640)</f>
        <v>1</v>
      </c>
      <c r="H640" t="s">
        <v>6814</v>
      </c>
    </row>
    <row r="641" spans="1:8" x14ac:dyDescent="0.2">
      <c r="A641" t="s">
        <v>2881</v>
      </c>
      <c r="B641" t="s">
        <v>6815</v>
      </c>
      <c r="C641">
        <v>1030038</v>
      </c>
      <c r="D641" t="s">
        <v>6064</v>
      </c>
      <c r="E641">
        <f t="shared" si="10"/>
        <v>305</v>
      </c>
      <c r="F641">
        <f>+COUNTIF(ADV!U:W,A641)</f>
        <v>0</v>
      </c>
      <c r="G641">
        <f>+COUNTIF(ADV!Z:Z,A641)+COUNTIF(ADV!X:X,A641)+COUNTIF(ADV!Y:Y,A641)</f>
        <v>6</v>
      </c>
      <c r="H641" t="s">
        <v>6816</v>
      </c>
    </row>
    <row r="642" spans="1:8" x14ac:dyDescent="0.2">
      <c r="A642" t="s">
        <v>437</v>
      </c>
      <c r="B642" t="s">
        <v>6817</v>
      </c>
      <c r="C642">
        <v>1030042</v>
      </c>
      <c r="D642" t="s">
        <v>6064</v>
      </c>
      <c r="E642">
        <f t="shared" si="10"/>
        <v>308</v>
      </c>
      <c r="F642">
        <f>+COUNTIF(ADV!U:W,A642)</f>
        <v>0</v>
      </c>
      <c r="G642">
        <f>+COUNTIF(ADV!Z:Z,A642)+COUNTIF(ADV!X:X,A642)+COUNTIF(ADV!Y:Y,A642)</f>
        <v>5</v>
      </c>
      <c r="H642" t="s">
        <v>6818</v>
      </c>
    </row>
    <row r="643" spans="1:8" x14ac:dyDescent="0.2">
      <c r="A643" t="s">
        <v>2308</v>
      </c>
      <c r="B643" t="s">
        <v>6819</v>
      </c>
      <c r="C643">
        <v>1010091</v>
      </c>
      <c r="D643" t="s">
        <v>6064</v>
      </c>
      <c r="E643">
        <f t="shared" si="10"/>
        <v>400</v>
      </c>
      <c r="F643">
        <f>+COUNTIF(ADV!U:W,A643)</f>
        <v>0</v>
      </c>
      <c r="G643">
        <f>+COUNTIF(ADV!Z:Z,A643)+COUNTIF(ADV!X:X,A643)+COUNTIF(ADV!Y:Y,A643)</f>
        <v>1</v>
      </c>
      <c r="H643" t="s">
        <v>6820</v>
      </c>
    </row>
    <row r="644" spans="1:8" x14ac:dyDescent="0.2">
      <c r="A644" t="s">
        <v>567</v>
      </c>
      <c r="B644" t="s">
        <v>6821</v>
      </c>
      <c r="C644">
        <v>1020011</v>
      </c>
      <c r="D644" t="s">
        <v>6064</v>
      </c>
      <c r="E644">
        <f t="shared" si="10"/>
        <v>389</v>
      </c>
      <c r="F644">
        <f>+COUNTIF(ADV!U:W,A644)</f>
        <v>0</v>
      </c>
      <c r="G644">
        <f>+COUNTIF(ADV!Z:Z,A644)+COUNTIF(ADV!X:X,A644)+COUNTIF(ADV!Y:Y,A644)</f>
        <v>1</v>
      </c>
      <c r="H644" t="s">
        <v>6822</v>
      </c>
    </row>
    <row r="645" spans="1:8" x14ac:dyDescent="0.2">
      <c r="A645" t="s">
        <v>370</v>
      </c>
      <c r="B645" t="s">
        <v>6823</v>
      </c>
      <c r="C645">
        <v>1020003</v>
      </c>
      <c r="D645" t="s">
        <v>6064</v>
      </c>
      <c r="E645">
        <f t="shared" si="10"/>
        <v>422</v>
      </c>
      <c r="F645">
        <f>+COUNTIF(ADV!U:W,A645)</f>
        <v>0</v>
      </c>
      <c r="G645">
        <f>+COUNTIF(ADV!Z:Z,A645)+COUNTIF(ADV!X:X,A645)+COUNTIF(ADV!Y:Y,A645)</f>
        <v>5</v>
      </c>
      <c r="H645" t="s">
        <v>6824</v>
      </c>
    </row>
    <row r="646" spans="1:8" x14ac:dyDescent="0.2">
      <c r="A646" t="s">
        <v>502</v>
      </c>
      <c r="B646" t="s">
        <v>6825</v>
      </c>
      <c r="C646">
        <v>1020010</v>
      </c>
      <c r="D646" t="s">
        <v>6064</v>
      </c>
      <c r="E646">
        <f t="shared" si="10"/>
        <v>525</v>
      </c>
      <c r="F646">
        <f>+COUNTIF(ADV!U:W,A646)</f>
        <v>0</v>
      </c>
      <c r="G646">
        <f>+COUNTIF(ADV!Z:Z,A646)+COUNTIF(ADV!X:X,A646)+COUNTIF(ADV!Y:Y,A646)</f>
        <v>3</v>
      </c>
      <c r="H646" t="s">
        <v>6826</v>
      </c>
    </row>
    <row r="647" spans="1:8" x14ac:dyDescent="0.2">
      <c r="A647" t="s">
        <v>601</v>
      </c>
      <c r="B647" t="s">
        <v>6827</v>
      </c>
      <c r="C647">
        <v>1020002</v>
      </c>
      <c r="D647" t="s">
        <v>6064</v>
      </c>
      <c r="E647">
        <f t="shared" si="10"/>
        <v>424</v>
      </c>
      <c r="F647">
        <f>+COUNTIF(ADV!U:W,A647)</f>
        <v>0</v>
      </c>
      <c r="G647">
        <f>+COUNTIF(ADV!Z:Z,A647)+COUNTIF(ADV!X:X,A647)+COUNTIF(ADV!Y:Y,A647)</f>
        <v>4</v>
      </c>
      <c r="H647" t="s">
        <v>6828</v>
      </c>
    </row>
    <row r="648" spans="1:8" x14ac:dyDescent="0.2">
      <c r="A648" t="s">
        <v>248</v>
      </c>
      <c r="B648" t="s">
        <v>6829</v>
      </c>
      <c r="C648">
        <v>1020011</v>
      </c>
      <c r="D648" t="s">
        <v>6064</v>
      </c>
      <c r="E648">
        <f t="shared" si="10"/>
        <v>379</v>
      </c>
      <c r="F648">
        <f>+COUNTIF(ADV!U:W,A648)</f>
        <v>0</v>
      </c>
      <c r="G648">
        <f>+COUNTIF(ADV!Z:Z,A648)+COUNTIF(ADV!X:X,A648)+COUNTIF(ADV!Y:Y,A648)</f>
        <v>1</v>
      </c>
      <c r="H648" t="s">
        <v>6830</v>
      </c>
    </row>
    <row r="649" spans="1:8" x14ac:dyDescent="0.2">
      <c r="A649" t="s">
        <v>2747</v>
      </c>
      <c r="B649" t="s">
        <v>6831</v>
      </c>
      <c r="C649">
        <v>1010007</v>
      </c>
      <c r="D649" t="s">
        <v>6064</v>
      </c>
      <c r="E649">
        <f t="shared" si="10"/>
        <v>256</v>
      </c>
      <c r="F649">
        <f>+COUNTIF(ADV!U:W,A649)</f>
        <v>0</v>
      </c>
      <c r="G649">
        <f>+COUNTIF(ADV!Z:Z,A649)+COUNTIF(ADV!X:X,A649)+COUNTIF(ADV!Y:Y,A649)</f>
        <v>1</v>
      </c>
      <c r="H649" t="s">
        <v>6832</v>
      </c>
    </row>
    <row r="650" spans="1:8" x14ac:dyDescent="0.2">
      <c r="A650" t="s">
        <v>1677</v>
      </c>
      <c r="B650" t="s">
        <v>6833</v>
      </c>
      <c r="C650">
        <v>1010090</v>
      </c>
      <c r="D650" t="s">
        <v>6064</v>
      </c>
      <c r="E650">
        <f t="shared" si="10"/>
        <v>364</v>
      </c>
      <c r="F650">
        <f>+COUNTIF(ADV!U:W,A650)</f>
        <v>0</v>
      </c>
      <c r="G650">
        <f>+COUNTIF(ADV!Z:Z,A650)+COUNTIF(ADV!X:X,A650)+COUNTIF(ADV!Y:Y,A650)</f>
        <v>1</v>
      </c>
      <c r="H650" t="s">
        <v>6834</v>
      </c>
    </row>
    <row r="651" spans="1:8" x14ac:dyDescent="0.2">
      <c r="A651" t="s">
        <v>2534</v>
      </c>
      <c r="B651" t="s">
        <v>6835</v>
      </c>
      <c r="C651">
        <v>1010062</v>
      </c>
      <c r="D651" t="s">
        <v>6064</v>
      </c>
      <c r="E651">
        <f t="shared" si="10"/>
        <v>525</v>
      </c>
      <c r="F651">
        <f>+COUNTIF(ADV!U:W,A651)</f>
        <v>0</v>
      </c>
      <c r="G651">
        <f>+COUNTIF(ADV!Z:Z,A651)+COUNTIF(ADV!X:X,A651)+COUNTIF(ADV!Y:Y,A651)</f>
        <v>1</v>
      </c>
      <c r="H651" t="s">
        <v>6836</v>
      </c>
    </row>
    <row r="652" spans="1:8" x14ac:dyDescent="0.2">
      <c r="A652" t="s">
        <v>4556</v>
      </c>
      <c r="B652" t="s">
        <v>6837</v>
      </c>
      <c r="C652">
        <v>1010063</v>
      </c>
      <c r="D652" t="s">
        <v>6064</v>
      </c>
      <c r="E652">
        <f t="shared" si="10"/>
        <v>394</v>
      </c>
      <c r="F652">
        <f>+COUNTIF(ADV!U:W,A652)</f>
        <v>0</v>
      </c>
      <c r="G652">
        <f>+COUNTIF(ADV!Z:Z,A652)+COUNTIF(ADV!X:X,A652)+COUNTIF(ADV!Y:Y,A652)</f>
        <v>1</v>
      </c>
      <c r="H652" t="s">
        <v>6838</v>
      </c>
    </row>
    <row r="653" spans="1:8" x14ac:dyDescent="0.2">
      <c r="A653" t="s">
        <v>4015</v>
      </c>
      <c r="B653" t="s">
        <v>6839</v>
      </c>
      <c r="C653">
        <v>1010066</v>
      </c>
      <c r="D653" t="s">
        <v>6064</v>
      </c>
      <c r="E653">
        <f t="shared" si="10"/>
        <v>953</v>
      </c>
      <c r="F653">
        <f>+COUNTIF(ADV!U:W,A653)</f>
        <v>0</v>
      </c>
      <c r="G653">
        <f>+COUNTIF(ADV!Z:Z,A653)+COUNTIF(ADV!X:X,A653)+COUNTIF(ADV!Y:Y,A653)</f>
        <v>1</v>
      </c>
      <c r="H653" t="s">
        <v>6840</v>
      </c>
    </row>
    <row r="654" spans="1:8" x14ac:dyDescent="0.2">
      <c r="A654" t="s">
        <v>2202</v>
      </c>
      <c r="B654" t="s">
        <v>6841</v>
      </c>
      <c r="C654">
        <v>1010168</v>
      </c>
      <c r="D654" t="s">
        <v>6064</v>
      </c>
      <c r="E654">
        <f t="shared" si="10"/>
        <v>1256</v>
      </c>
      <c r="F654">
        <f>+COUNTIF(ADV!U:W,A654)</f>
        <v>0</v>
      </c>
      <c r="G654">
        <f>+COUNTIF(ADV!Z:Z,A654)+COUNTIF(ADV!X:X,A654)+COUNTIF(ADV!Y:Y,A654)</f>
        <v>1</v>
      </c>
      <c r="H654" t="s">
        <v>6842</v>
      </c>
    </row>
    <row r="655" spans="1:8" x14ac:dyDescent="0.2">
      <c r="A655" t="s">
        <v>3219</v>
      </c>
      <c r="B655" t="s">
        <v>6843</v>
      </c>
      <c r="C655">
        <v>1010052</v>
      </c>
      <c r="D655" t="s">
        <v>6064</v>
      </c>
      <c r="E655">
        <f t="shared" si="10"/>
        <v>271</v>
      </c>
      <c r="F655">
        <f>+COUNTIF(ADV!U:W,A655)</f>
        <v>0</v>
      </c>
      <c r="G655">
        <f>+COUNTIF(ADV!Z:Z,A655)+COUNTIF(ADV!X:X,A655)+COUNTIF(ADV!Y:Y,A655)</f>
        <v>1</v>
      </c>
      <c r="H655" t="s">
        <v>6844</v>
      </c>
    </row>
    <row r="656" spans="1:8" x14ac:dyDescent="0.2">
      <c r="A656" t="s">
        <v>3289</v>
      </c>
      <c r="B656" t="s">
        <v>6845</v>
      </c>
      <c r="C656">
        <v>1010066</v>
      </c>
      <c r="D656" t="s">
        <v>6064</v>
      </c>
      <c r="E656">
        <f t="shared" si="10"/>
        <v>998</v>
      </c>
      <c r="F656">
        <f>+COUNTIF(ADV!U:W,A656)</f>
        <v>0</v>
      </c>
      <c r="G656">
        <f>+COUNTIF(ADV!Z:Z,A656)+COUNTIF(ADV!X:X,A656)+COUNTIF(ADV!Y:Y,A656)</f>
        <v>1</v>
      </c>
      <c r="H656" t="s">
        <v>6846</v>
      </c>
    </row>
    <row r="657" spans="1:8" x14ac:dyDescent="0.2">
      <c r="A657" t="s">
        <v>3290</v>
      </c>
      <c r="B657" t="s">
        <v>6847</v>
      </c>
      <c r="C657">
        <v>1020037</v>
      </c>
      <c r="D657" t="s">
        <v>6064</v>
      </c>
      <c r="E657">
        <f t="shared" si="10"/>
        <v>622</v>
      </c>
      <c r="F657">
        <f>+COUNTIF(ADV!U:W,A657)</f>
        <v>0</v>
      </c>
      <c r="G657">
        <f>+COUNTIF(ADV!Z:Z,A657)+COUNTIF(ADV!X:X,A657)+COUNTIF(ADV!Y:Y,A657)</f>
        <v>1</v>
      </c>
      <c r="H657" t="s">
        <v>6848</v>
      </c>
    </row>
    <row r="658" spans="1:8" x14ac:dyDescent="0.2">
      <c r="A658" t="s">
        <v>2449</v>
      </c>
      <c r="B658" t="s">
        <v>6849</v>
      </c>
      <c r="C658">
        <v>1010146</v>
      </c>
      <c r="D658" t="s">
        <v>6064</v>
      </c>
      <c r="E658">
        <f t="shared" si="10"/>
        <v>550</v>
      </c>
      <c r="F658">
        <f>+COUNTIF(ADV!U:W,A658)</f>
        <v>0</v>
      </c>
      <c r="G658">
        <f>+COUNTIF(ADV!Z:Z,A658)+COUNTIF(ADV!X:X,A658)+COUNTIF(ADV!Y:Y,A658)</f>
        <v>1</v>
      </c>
      <c r="H658" t="s">
        <v>6850</v>
      </c>
    </row>
    <row r="659" spans="1:8" x14ac:dyDescent="0.2">
      <c r="A659" t="s">
        <v>1031</v>
      </c>
      <c r="B659" t="s">
        <v>6851</v>
      </c>
      <c r="C659">
        <v>1020009</v>
      </c>
      <c r="D659" t="s">
        <v>6064</v>
      </c>
      <c r="E659">
        <f t="shared" si="10"/>
        <v>48</v>
      </c>
      <c r="F659">
        <f>+COUNTIF(ADV!U:W,A659)</f>
        <v>0</v>
      </c>
      <c r="G659">
        <f>+COUNTIF(ADV!Z:Z,A659)+COUNTIF(ADV!X:X,A659)+COUNTIF(ADV!Y:Y,A659)</f>
        <v>11</v>
      </c>
      <c r="H659" t="s">
        <v>6852</v>
      </c>
    </row>
    <row r="660" spans="1:8" x14ac:dyDescent="0.2">
      <c r="A660" t="s">
        <v>174</v>
      </c>
      <c r="B660" t="s">
        <v>6853</v>
      </c>
      <c r="C660">
        <v>1070016</v>
      </c>
      <c r="D660" t="s">
        <v>6064</v>
      </c>
      <c r="E660">
        <f t="shared" si="10"/>
        <v>80</v>
      </c>
      <c r="F660">
        <f>+COUNTIF(ADV!U:W,A660)</f>
        <v>0</v>
      </c>
      <c r="G660">
        <f>+COUNTIF(ADV!Z:Z,A660)+COUNTIF(ADV!X:X,A660)+COUNTIF(ADV!Y:Y,A660)</f>
        <v>3</v>
      </c>
      <c r="H660" t="s">
        <v>6854</v>
      </c>
    </row>
    <row r="661" spans="1:8" x14ac:dyDescent="0.2">
      <c r="A661" t="s">
        <v>2097</v>
      </c>
      <c r="B661" t="s">
        <v>6855</v>
      </c>
      <c r="C661">
        <v>1070021</v>
      </c>
      <c r="D661" t="s">
        <v>6064</v>
      </c>
      <c r="E661">
        <f t="shared" si="10"/>
        <v>68</v>
      </c>
      <c r="F661">
        <f>+COUNTIF(ADV!U:W,A661)</f>
        <v>0</v>
      </c>
      <c r="G661">
        <f>+COUNTIF(ADV!Z:Z,A661)+COUNTIF(ADV!X:X,A661)+COUNTIF(ADV!Y:Y,A661)</f>
        <v>4</v>
      </c>
      <c r="H661" t="s">
        <v>6856</v>
      </c>
    </row>
    <row r="662" spans="1:8" x14ac:dyDescent="0.2">
      <c r="A662" t="s">
        <v>4029</v>
      </c>
      <c r="B662" t="s">
        <v>6857</v>
      </c>
      <c r="C662">
        <v>1010037</v>
      </c>
      <c r="D662" t="s">
        <v>6064</v>
      </c>
      <c r="E662">
        <f t="shared" si="10"/>
        <v>624</v>
      </c>
      <c r="F662">
        <f>+COUNTIF(ADV!U:W,A662)</f>
        <v>0</v>
      </c>
      <c r="G662">
        <f>+COUNTIF(ADV!Z:Z,A662)+COUNTIF(ADV!X:X,A662)+COUNTIF(ADV!Y:Y,A662)</f>
        <v>1</v>
      </c>
      <c r="H662" t="s">
        <v>6858</v>
      </c>
    </row>
    <row r="663" spans="1:8" x14ac:dyDescent="0.2">
      <c r="A663" t="s">
        <v>470</v>
      </c>
      <c r="B663" t="s">
        <v>6859</v>
      </c>
      <c r="C663">
        <v>1010013</v>
      </c>
      <c r="D663" t="s">
        <v>6064</v>
      </c>
      <c r="E663">
        <f t="shared" si="10"/>
        <v>505</v>
      </c>
      <c r="F663">
        <f>+COUNTIF(ADV!U:W,A663)</f>
        <v>0</v>
      </c>
      <c r="G663">
        <f>+COUNTIF(ADV!Z:Z,A663)+COUNTIF(ADV!X:X,A663)+COUNTIF(ADV!Y:Y,A663)</f>
        <v>1</v>
      </c>
      <c r="H663" t="s">
        <v>6860</v>
      </c>
    </row>
    <row r="664" spans="1:8" x14ac:dyDescent="0.2">
      <c r="A664" t="s">
        <v>4311</v>
      </c>
      <c r="B664" t="s">
        <v>6861</v>
      </c>
      <c r="C664">
        <v>1010063</v>
      </c>
      <c r="D664" t="s">
        <v>6064</v>
      </c>
      <c r="E664">
        <f t="shared" si="10"/>
        <v>219</v>
      </c>
      <c r="F664">
        <f>+COUNTIF(ADV!U:W,A664)</f>
        <v>0</v>
      </c>
      <c r="G664">
        <f>+COUNTIF(ADV!Z:Z,A664)+COUNTIF(ADV!X:X,A664)+COUNTIF(ADV!Y:Y,A664)</f>
        <v>1</v>
      </c>
      <c r="H664" t="s">
        <v>6862</v>
      </c>
    </row>
    <row r="665" spans="1:8" x14ac:dyDescent="0.2">
      <c r="A665" t="s">
        <v>3069</v>
      </c>
      <c r="B665" t="s">
        <v>6863</v>
      </c>
      <c r="C665">
        <v>1010145</v>
      </c>
      <c r="D665" t="s">
        <v>6064</v>
      </c>
      <c r="E665">
        <f t="shared" si="10"/>
        <v>98</v>
      </c>
      <c r="F665">
        <f>+COUNTIF(ADV!U:W,A665)</f>
        <v>0</v>
      </c>
      <c r="G665">
        <f>+COUNTIF(ADV!Z:Z,A665)+COUNTIF(ADV!X:X,A665)+COUNTIF(ADV!Y:Y,A665)</f>
        <v>1</v>
      </c>
      <c r="H665" t="s">
        <v>6864</v>
      </c>
    </row>
    <row r="666" spans="1:8" x14ac:dyDescent="0.2">
      <c r="A666" t="s">
        <v>156</v>
      </c>
      <c r="B666" t="s">
        <v>6865</v>
      </c>
      <c r="C666">
        <v>1010040</v>
      </c>
      <c r="D666" t="s">
        <v>6064</v>
      </c>
      <c r="E666">
        <f t="shared" si="10"/>
        <v>509</v>
      </c>
      <c r="F666">
        <f>+COUNTIF(ADV!U:W,A666)</f>
        <v>0</v>
      </c>
      <c r="G666">
        <f>+COUNTIF(ADV!Z:Z,A666)+COUNTIF(ADV!X:X,A666)+COUNTIF(ADV!Y:Y,A666)</f>
        <v>1</v>
      </c>
      <c r="H666" t="s">
        <v>6866</v>
      </c>
    </row>
    <row r="667" spans="1:8" x14ac:dyDescent="0.2">
      <c r="A667" t="s">
        <v>1000</v>
      </c>
      <c r="B667" t="s">
        <v>6867</v>
      </c>
      <c r="C667">
        <v>1010086</v>
      </c>
      <c r="D667" t="s">
        <v>6064</v>
      </c>
      <c r="E667">
        <f t="shared" si="10"/>
        <v>278</v>
      </c>
      <c r="F667">
        <f>+COUNTIF(ADV!U:W,A667)</f>
        <v>0</v>
      </c>
      <c r="G667">
        <f>+COUNTIF(ADV!Z:Z,A667)+COUNTIF(ADV!X:X,A667)+COUNTIF(ADV!Y:Y,A667)</f>
        <v>1</v>
      </c>
      <c r="H667" t="s">
        <v>6868</v>
      </c>
    </row>
    <row r="668" spans="1:8" x14ac:dyDescent="0.2">
      <c r="A668" t="s">
        <v>550</v>
      </c>
      <c r="B668" t="s">
        <v>6869</v>
      </c>
      <c r="C668">
        <v>1010163</v>
      </c>
      <c r="D668" t="s">
        <v>6064</v>
      </c>
      <c r="E668">
        <f t="shared" si="10"/>
        <v>407</v>
      </c>
      <c r="F668">
        <f>+COUNTIF(ADV!U:W,A668)</f>
        <v>0</v>
      </c>
      <c r="G668">
        <f>+COUNTIF(ADV!Z:Z,A668)+COUNTIF(ADV!X:X,A668)+COUNTIF(ADV!Y:Y,A668)</f>
        <v>1</v>
      </c>
      <c r="H668" t="s">
        <v>6870</v>
      </c>
    </row>
    <row r="669" spans="1:8" x14ac:dyDescent="0.2">
      <c r="A669" t="s">
        <v>3171</v>
      </c>
      <c r="B669" t="s">
        <v>6871</v>
      </c>
      <c r="C669">
        <v>1020022</v>
      </c>
      <c r="D669" t="s">
        <v>6064</v>
      </c>
      <c r="E669">
        <f t="shared" si="10"/>
        <v>207</v>
      </c>
      <c r="F669">
        <f>+COUNTIF(ADV!U:W,A669)</f>
        <v>0</v>
      </c>
      <c r="G669">
        <f>+COUNTIF(ADV!Z:Z,A669)+COUNTIF(ADV!X:X,A669)+COUNTIF(ADV!Y:Y,A669)</f>
        <v>1</v>
      </c>
      <c r="H669" t="s">
        <v>6872</v>
      </c>
    </row>
    <row r="670" spans="1:8" x14ac:dyDescent="0.2">
      <c r="A670" t="s">
        <v>1093</v>
      </c>
      <c r="B670" t="s">
        <v>6873</v>
      </c>
      <c r="C670">
        <v>1020031</v>
      </c>
      <c r="D670" t="s">
        <v>6064</v>
      </c>
      <c r="E670">
        <f t="shared" si="10"/>
        <v>94</v>
      </c>
      <c r="F670">
        <f>+COUNTIF(ADV!U:W,A670)</f>
        <v>0</v>
      </c>
      <c r="G670">
        <f>+COUNTIF(ADV!Z:Z,A670)+COUNTIF(ADV!X:X,A670)+COUNTIF(ADV!Y:Y,A670)</f>
        <v>1</v>
      </c>
      <c r="H670" t="s">
        <v>6874</v>
      </c>
    </row>
    <row r="671" spans="1:8" x14ac:dyDescent="0.2">
      <c r="A671" t="s">
        <v>1837</v>
      </c>
      <c r="B671" t="s">
        <v>6875</v>
      </c>
      <c r="C671">
        <v>1010088</v>
      </c>
      <c r="D671" t="s">
        <v>6064</v>
      </c>
      <c r="E671">
        <f t="shared" si="10"/>
        <v>409</v>
      </c>
      <c r="F671">
        <f>+COUNTIF(ADV!U:W,A671)</f>
        <v>0</v>
      </c>
      <c r="G671">
        <f>+COUNTIF(ADV!Z:Z,A671)+COUNTIF(ADV!X:X,A671)+COUNTIF(ADV!Y:Y,A671)</f>
        <v>1</v>
      </c>
      <c r="H671" t="s">
        <v>6876</v>
      </c>
    </row>
    <row r="672" spans="1:8" x14ac:dyDescent="0.2">
      <c r="A672" t="s">
        <v>1197</v>
      </c>
      <c r="B672" t="s">
        <v>6877</v>
      </c>
      <c r="C672">
        <v>1010066</v>
      </c>
      <c r="D672" t="s">
        <v>6064</v>
      </c>
      <c r="E672">
        <f t="shared" si="10"/>
        <v>1042</v>
      </c>
      <c r="F672">
        <f>+COUNTIF(ADV!U:W,A672)</f>
        <v>0</v>
      </c>
      <c r="G672">
        <f>+COUNTIF(ADV!Z:Z,A672)+COUNTIF(ADV!X:X,A672)+COUNTIF(ADV!Y:Y,A672)</f>
        <v>1</v>
      </c>
      <c r="H672" t="s">
        <v>6878</v>
      </c>
    </row>
    <row r="673" spans="1:8" x14ac:dyDescent="0.2">
      <c r="A673" t="s">
        <v>1705</v>
      </c>
      <c r="B673" t="s">
        <v>6879</v>
      </c>
      <c r="C673">
        <v>1010197</v>
      </c>
      <c r="D673" t="s">
        <v>6064</v>
      </c>
      <c r="E673">
        <f t="shared" si="10"/>
        <v>1166</v>
      </c>
      <c r="F673">
        <f>+COUNTIF(ADV!U:W,A673)</f>
        <v>0</v>
      </c>
      <c r="G673">
        <f>+COUNTIF(ADV!Z:Z,A673)+COUNTIF(ADV!X:X,A673)+COUNTIF(ADV!Y:Y,A673)</f>
        <v>1</v>
      </c>
      <c r="H673" t="s">
        <v>6880</v>
      </c>
    </row>
    <row r="674" spans="1:8" x14ac:dyDescent="0.2">
      <c r="A674" t="s">
        <v>635</v>
      </c>
      <c r="B674" t="s">
        <v>6881</v>
      </c>
      <c r="C674">
        <v>1010070</v>
      </c>
      <c r="D674" t="s">
        <v>6064</v>
      </c>
      <c r="E674">
        <f t="shared" si="10"/>
        <v>460</v>
      </c>
      <c r="F674">
        <f>+COUNTIF(ADV!U:W,A674)</f>
        <v>0</v>
      </c>
      <c r="G674">
        <f>+COUNTIF(ADV!Z:Z,A674)+COUNTIF(ADV!X:X,A674)+COUNTIF(ADV!Y:Y,A674)</f>
        <v>1</v>
      </c>
      <c r="H674" t="s">
        <v>6882</v>
      </c>
    </row>
    <row r="675" spans="1:8" x14ac:dyDescent="0.2">
      <c r="A675" t="s">
        <v>454</v>
      </c>
      <c r="B675" t="s">
        <v>6883</v>
      </c>
      <c r="C675">
        <v>1070019</v>
      </c>
      <c r="D675" t="s">
        <v>6064</v>
      </c>
      <c r="E675">
        <f t="shared" si="10"/>
        <v>46</v>
      </c>
      <c r="F675">
        <f>+COUNTIF(ADV!U:W,A675)</f>
        <v>0</v>
      </c>
      <c r="G675">
        <f>+COUNTIF(ADV!Z:Z,A675)+COUNTIF(ADV!X:X,A675)+COUNTIF(ADV!Y:Y,A675)</f>
        <v>2</v>
      </c>
      <c r="H675" t="s">
        <v>6884</v>
      </c>
    </row>
    <row r="676" spans="1:8" x14ac:dyDescent="0.2">
      <c r="A676" t="s">
        <v>1778</v>
      </c>
      <c r="B676" t="s">
        <v>1769</v>
      </c>
      <c r="C676">
        <v>1020002</v>
      </c>
      <c r="D676" t="s">
        <v>6064</v>
      </c>
      <c r="E676">
        <f t="shared" si="10"/>
        <v>150</v>
      </c>
      <c r="F676">
        <f>+COUNTIF(ADV!U:W,A676)</f>
        <v>0</v>
      </c>
      <c r="G676">
        <f>+COUNTIF(ADV!Z:Z,A676)+COUNTIF(ADV!X:X,A676)+COUNTIF(ADV!Y:Y,A676)</f>
        <v>1</v>
      </c>
      <c r="H676" t="s">
        <v>6885</v>
      </c>
    </row>
    <row r="677" spans="1:8" x14ac:dyDescent="0.2">
      <c r="A677" t="s">
        <v>4526</v>
      </c>
      <c r="B677" t="s">
        <v>6886</v>
      </c>
      <c r="C677">
        <v>1010193</v>
      </c>
      <c r="D677" t="s">
        <v>6064</v>
      </c>
      <c r="E677">
        <f t="shared" ref="E677:E725" si="11">+LEN(H677)</f>
        <v>658</v>
      </c>
      <c r="F677">
        <f>+COUNTIF(ADV!U:W,A677)</f>
        <v>0</v>
      </c>
      <c r="G677">
        <f>+COUNTIF(ADV!Z:Z,A677)+COUNTIF(ADV!X:X,A677)+COUNTIF(ADV!Y:Y,A677)</f>
        <v>1</v>
      </c>
      <c r="H677" t="s">
        <v>6887</v>
      </c>
    </row>
    <row r="678" spans="1:8" x14ac:dyDescent="0.2">
      <c r="A678" t="s">
        <v>1878</v>
      </c>
      <c r="B678" t="s">
        <v>1870</v>
      </c>
      <c r="C678">
        <v>1020013</v>
      </c>
      <c r="D678" t="s">
        <v>6064</v>
      </c>
      <c r="E678">
        <f t="shared" si="11"/>
        <v>448</v>
      </c>
      <c r="F678">
        <f>+COUNTIF(ADV!U:W,A678)</f>
        <v>0</v>
      </c>
      <c r="G678">
        <f>+COUNTIF(ADV!Z:Z,A678)+COUNTIF(ADV!X:X,A678)+COUNTIF(ADV!Y:Y,A678)</f>
        <v>1</v>
      </c>
      <c r="H678" t="s">
        <v>6888</v>
      </c>
    </row>
    <row r="679" spans="1:8" x14ac:dyDescent="0.2">
      <c r="A679" t="s">
        <v>865</v>
      </c>
      <c r="B679" t="s">
        <v>6889</v>
      </c>
      <c r="C679">
        <v>1010013</v>
      </c>
      <c r="D679" t="s">
        <v>6064</v>
      </c>
      <c r="E679">
        <f t="shared" si="11"/>
        <v>242</v>
      </c>
      <c r="F679">
        <f>+COUNTIF(ADV!U:W,A679)</f>
        <v>0</v>
      </c>
      <c r="G679">
        <f>+COUNTIF(ADV!Z:Z,A679)+COUNTIF(ADV!X:X,A679)+COUNTIF(ADV!Y:Y,A679)</f>
        <v>1</v>
      </c>
      <c r="H679" t="s">
        <v>6890</v>
      </c>
    </row>
    <row r="680" spans="1:8" x14ac:dyDescent="0.2">
      <c r="A680" t="s">
        <v>1422</v>
      </c>
      <c r="B680" t="s">
        <v>6891</v>
      </c>
      <c r="C680">
        <v>1010139</v>
      </c>
      <c r="D680" t="s">
        <v>6064</v>
      </c>
      <c r="E680">
        <f t="shared" si="11"/>
        <v>70</v>
      </c>
      <c r="F680">
        <f>+COUNTIF(ADV!U:W,A680)</f>
        <v>0</v>
      </c>
      <c r="G680">
        <f>+COUNTIF(ADV!Z:Z,A680)+COUNTIF(ADV!X:X,A680)+COUNTIF(ADV!Y:Y,A680)</f>
        <v>1</v>
      </c>
      <c r="H680" t="s">
        <v>6892</v>
      </c>
    </row>
    <row r="681" spans="1:8" x14ac:dyDescent="0.2">
      <c r="A681" t="s">
        <v>910</v>
      </c>
      <c r="B681" t="s">
        <v>6893</v>
      </c>
      <c r="C681">
        <v>1010002</v>
      </c>
      <c r="D681" t="s">
        <v>6064</v>
      </c>
      <c r="E681">
        <f t="shared" si="11"/>
        <v>37</v>
      </c>
      <c r="F681">
        <f>+COUNTIF(ADV!U:W,A681)</f>
        <v>0</v>
      </c>
      <c r="G681">
        <f>+COUNTIF(ADV!Z:Z,A681)+COUNTIF(ADV!X:X,A681)+COUNTIF(ADV!Y:Y,A681)</f>
        <v>23</v>
      </c>
      <c r="H681" t="s">
        <v>6894</v>
      </c>
    </row>
    <row r="682" spans="1:8" x14ac:dyDescent="0.2">
      <c r="A682" t="s">
        <v>319</v>
      </c>
      <c r="B682" t="s">
        <v>6895</v>
      </c>
      <c r="C682">
        <v>1010036</v>
      </c>
      <c r="D682" t="s">
        <v>6064</v>
      </c>
      <c r="E682">
        <f t="shared" si="11"/>
        <v>135</v>
      </c>
      <c r="F682">
        <f>+COUNTIF(ADV!U:W,A682)</f>
        <v>0</v>
      </c>
      <c r="G682">
        <f>+COUNTIF(ADV!Z:Z,A682)+COUNTIF(ADV!X:X,A682)+COUNTIF(ADV!Y:Y,A682)</f>
        <v>9</v>
      </c>
      <c r="H682" t="s">
        <v>6896</v>
      </c>
    </row>
    <row r="683" spans="1:8" x14ac:dyDescent="0.2">
      <c r="A683" t="s">
        <v>194</v>
      </c>
      <c r="B683" t="s">
        <v>6897</v>
      </c>
      <c r="C683">
        <v>1010153</v>
      </c>
      <c r="D683" t="s">
        <v>6064</v>
      </c>
      <c r="E683">
        <f t="shared" si="11"/>
        <v>131</v>
      </c>
      <c r="F683">
        <f>+COUNTIF(ADV!U:W,A683)</f>
        <v>0</v>
      </c>
      <c r="G683">
        <f>+COUNTIF(ADV!Z:Z,A683)+COUNTIF(ADV!X:X,A683)+COUNTIF(ADV!Y:Y,A683)</f>
        <v>3</v>
      </c>
      <c r="H683" t="s">
        <v>6898</v>
      </c>
    </row>
    <row r="684" spans="1:8" x14ac:dyDescent="0.2">
      <c r="A684" t="s">
        <v>4224</v>
      </c>
      <c r="B684" t="s">
        <v>6899</v>
      </c>
      <c r="C684">
        <v>1020005</v>
      </c>
      <c r="D684" t="s">
        <v>6064</v>
      </c>
      <c r="E684">
        <f t="shared" si="11"/>
        <v>167</v>
      </c>
      <c r="F684">
        <f>+COUNTIF(ADV!U:W,A684)</f>
        <v>0</v>
      </c>
      <c r="G684">
        <f>+COUNTIF(ADV!Z:Z,A684)+COUNTIF(ADV!X:X,A684)+COUNTIF(ADV!Y:Y,A684)</f>
        <v>1</v>
      </c>
      <c r="H684" t="s">
        <v>6900</v>
      </c>
    </row>
    <row r="685" spans="1:8" x14ac:dyDescent="0.2">
      <c r="A685" t="s">
        <v>3567</v>
      </c>
      <c r="B685" t="s">
        <v>3559</v>
      </c>
      <c r="C685">
        <v>1020002</v>
      </c>
      <c r="D685" t="s">
        <v>6064</v>
      </c>
      <c r="E685">
        <f t="shared" si="11"/>
        <v>321</v>
      </c>
      <c r="F685">
        <f>+COUNTIF(ADV!U:W,A685)</f>
        <v>0</v>
      </c>
      <c r="G685">
        <f>+COUNTIF(ADV!Z:Z,A685)+COUNTIF(ADV!X:X,A685)+COUNTIF(ADV!Y:Y,A685)</f>
        <v>1</v>
      </c>
      <c r="H685" t="s">
        <v>6901</v>
      </c>
    </row>
    <row r="686" spans="1:8" x14ac:dyDescent="0.2">
      <c r="A686" t="s">
        <v>4127</v>
      </c>
      <c r="B686" t="s">
        <v>6902</v>
      </c>
      <c r="C686">
        <v>1010065</v>
      </c>
      <c r="D686" t="s">
        <v>6064</v>
      </c>
      <c r="E686">
        <f t="shared" si="11"/>
        <v>639</v>
      </c>
      <c r="F686">
        <f>+COUNTIF(ADV!U:W,A686)</f>
        <v>0</v>
      </c>
      <c r="G686">
        <f>+COUNTIF(ADV!Z:Z,A686)+COUNTIF(ADV!X:X,A686)+COUNTIF(ADV!Y:Y,A686)</f>
        <v>1</v>
      </c>
      <c r="H686" t="s">
        <v>6903</v>
      </c>
    </row>
    <row r="687" spans="1:8" x14ac:dyDescent="0.2">
      <c r="A687" t="s">
        <v>4238</v>
      </c>
      <c r="B687" t="s">
        <v>4231</v>
      </c>
      <c r="C687">
        <v>1010006</v>
      </c>
      <c r="D687" t="s">
        <v>6064</v>
      </c>
      <c r="E687">
        <f t="shared" si="11"/>
        <v>307</v>
      </c>
      <c r="F687">
        <f>+COUNTIF(ADV!U:W,A687)</f>
        <v>0</v>
      </c>
      <c r="G687">
        <f>+COUNTIF(ADV!Z:Z,A687)+COUNTIF(ADV!X:X,A687)+COUNTIF(ADV!Y:Y,A687)</f>
        <v>1</v>
      </c>
      <c r="H687" t="s">
        <v>6904</v>
      </c>
    </row>
    <row r="688" spans="1:8" x14ac:dyDescent="0.2">
      <c r="A688" t="s">
        <v>453</v>
      </c>
      <c r="B688" t="s">
        <v>6905</v>
      </c>
      <c r="C688">
        <v>1010129</v>
      </c>
      <c r="D688" t="s">
        <v>6064</v>
      </c>
      <c r="E688">
        <f t="shared" si="11"/>
        <v>399</v>
      </c>
      <c r="F688">
        <f>+COUNTIF(ADV!U:W,A688)</f>
        <v>0</v>
      </c>
      <c r="G688">
        <f>+COUNTIF(ADV!Z:Z,A688)+COUNTIF(ADV!X:X,A688)+COUNTIF(ADV!Y:Y,A688)</f>
        <v>1</v>
      </c>
      <c r="H688" t="s">
        <v>6906</v>
      </c>
    </row>
    <row r="689" spans="1:8" x14ac:dyDescent="0.2">
      <c r="A689" t="s">
        <v>4557</v>
      </c>
      <c r="B689" t="s">
        <v>6907</v>
      </c>
      <c r="C689">
        <v>1010001</v>
      </c>
      <c r="D689" t="s">
        <v>6064</v>
      </c>
      <c r="E689">
        <f t="shared" si="11"/>
        <v>297</v>
      </c>
      <c r="F689">
        <f>+COUNTIF(ADV!U:W,A689)</f>
        <v>0</v>
      </c>
      <c r="G689">
        <f>+COUNTIF(ADV!Z:Z,A689)+COUNTIF(ADV!X:X,A689)+COUNTIF(ADV!Y:Y,A689)</f>
        <v>1</v>
      </c>
      <c r="H689" t="s">
        <v>6908</v>
      </c>
    </row>
    <row r="690" spans="1:8" x14ac:dyDescent="0.2">
      <c r="A690" t="s">
        <v>1736</v>
      </c>
      <c r="B690" t="s">
        <v>6909</v>
      </c>
      <c r="C690">
        <v>1010083</v>
      </c>
      <c r="D690" t="s">
        <v>6064</v>
      </c>
      <c r="E690">
        <f t="shared" si="11"/>
        <v>392</v>
      </c>
      <c r="F690">
        <f>+COUNTIF(ADV!U:W,A690)</f>
        <v>0</v>
      </c>
      <c r="G690">
        <f>+COUNTIF(ADV!Z:Z,A690)+COUNTIF(ADV!X:X,A690)+COUNTIF(ADV!Y:Y,A690)</f>
        <v>1</v>
      </c>
      <c r="H690" t="s">
        <v>6910</v>
      </c>
    </row>
    <row r="691" spans="1:8" x14ac:dyDescent="0.2">
      <c r="A691" t="s">
        <v>154</v>
      </c>
      <c r="B691" t="s">
        <v>6911</v>
      </c>
      <c r="C691">
        <v>1020002</v>
      </c>
      <c r="D691" t="s">
        <v>6064</v>
      </c>
      <c r="E691">
        <f t="shared" si="11"/>
        <v>26</v>
      </c>
      <c r="F691">
        <f>+COUNTIF(ADV!U:W,A691)</f>
        <v>0</v>
      </c>
      <c r="G691">
        <f>+COUNTIF(ADV!Z:Z,A691)+COUNTIF(ADV!X:X,A691)+COUNTIF(ADV!Y:Y,A691)</f>
        <v>34</v>
      </c>
      <c r="H691" t="s">
        <v>6912</v>
      </c>
    </row>
    <row r="692" spans="1:8" x14ac:dyDescent="0.2">
      <c r="A692" t="s">
        <v>3523</v>
      </c>
      <c r="B692" t="s">
        <v>6913</v>
      </c>
      <c r="C692">
        <v>1010134</v>
      </c>
      <c r="D692" t="s">
        <v>6064</v>
      </c>
      <c r="E692">
        <f t="shared" si="11"/>
        <v>482</v>
      </c>
      <c r="F692">
        <f>+COUNTIF(ADV!U:W,A692)</f>
        <v>0</v>
      </c>
      <c r="G692">
        <f>+COUNTIF(ADV!Z:Z,A692)+COUNTIF(ADV!X:X,A692)+COUNTIF(ADV!Y:Y,A692)</f>
        <v>1</v>
      </c>
      <c r="H692" t="s">
        <v>6914</v>
      </c>
    </row>
    <row r="693" spans="1:8" x14ac:dyDescent="0.2">
      <c r="A693" t="s">
        <v>814</v>
      </c>
      <c r="B693" t="s">
        <v>805</v>
      </c>
      <c r="C693">
        <v>1010012</v>
      </c>
      <c r="D693" t="s">
        <v>6064</v>
      </c>
      <c r="E693">
        <f t="shared" si="11"/>
        <v>273</v>
      </c>
      <c r="F693">
        <f>+COUNTIF(ADV!U:W,A693)</f>
        <v>0</v>
      </c>
      <c r="G693">
        <f>+COUNTIF(ADV!Z:Z,A693)+COUNTIF(ADV!X:X,A693)+COUNTIF(ADV!Y:Y,A693)</f>
        <v>1</v>
      </c>
      <c r="H693" t="s">
        <v>6915</v>
      </c>
    </row>
    <row r="694" spans="1:8" x14ac:dyDescent="0.2">
      <c r="A694" t="s">
        <v>1125</v>
      </c>
      <c r="B694" t="s">
        <v>1116</v>
      </c>
      <c r="C694">
        <v>1010055</v>
      </c>
      <c r="D694" t="s">
        <v>6064</v>
      </c>
      <c r="E694">
        <f t="shared" si="11"/>
        <v>342</v>
      </c>
      <c r="F694">
        <f>+COUNTIF(ADV!U:W,A694)</f>
        <v>0</v>
      </c>
      <c r="G694">
        <f>+COUNTIF(ADV!Z:Z,A694)+COUNTIF(ADV!X:X,A694)+COUNTIF(ADV!Y:Y,A694)</f>
        <v>1</v>
      </c>
      <c r="H694" t="s">
        <v>6916</v>
      </c>
    </row>
    <row r="695" spans="1:8" x14ac:dyDescent="0.2">
      <c r="A695" t="s">
        <v>2235</v>
      </c>
      <c r="B695" t="s">
        <v>2226</v>
      </c>
      <c r="C695">
        <v>1010036</v>
      </c>
      <c r="D695" t="s">
        <v>6064</v>
      </c>
      <c r="E695">
        <f t="shared" si="11"/>
        <v>302</v>
      </c>
      <c r="F695">
        <f>+COUNTIF(ADV!U:W,A695)</f>
        <v>0</v>
      </c>
      <c r="G695">
        <f>+COUNTIF(ADV!Z:Z,A695)+COUNTIF(ADV!X:X,A695)+COUNTIF(ADV!Y:Y,A695)</f>
        <v>1</v>
      </c>
      <c r="H695" t="s">
        <v>6917</v>
      </c>
    </row>
    <row r="696" spans="1:8" x14ac:dyDescent="0.2">
      <c r="A696" t="s">
        <v>988</v>
      </c>
      <c r="B696" t="s">
        <v>6918</v>
      </c>
      <c r="C696">
        <v>1010123</v>
      </c>
      <c r="D696" t="s">
        <v>6064</v>
      </c>
      <c r="E696">
        <f t="shared" si="11"/>
        <v>81</v>
      </c>
      <c r="F696">
        <f>+COUNTIF(ADV!U:W,A696)</f>
        <v>0</v>
      </c>
      <c r="G696">
        <f>+COUNTIF(ADV!Z:Z,A696)+COUNTIF(ADV!X:X,A696)+COUNTIF(ADV!Y:Y,A696)</f>
        <v>1</v>
      </c>
      <c r="H696" t="s">
        <v>6919</v>
      </c>
    </row>
    <row r="697" spans="1:8" x14ac:dyDescent="0.2">
      <c r="A697" t="s">
        <v>1905</v>
      </c>
      <c r="B697" t="s">
        <v>1897</v>
      </c>
      <c r="C697">
        <v>1010051</v>
      </c>
      <c r="D697" t="s">
        <v>6064</v>
      </c>
      <c r="E697">
        <f t="shared" si="11"/>
        <v>274</v>
      </c>
      <c r="F697">
        <f>+COUNTIF(ADV!U:W,A697)</f>
        <v>0</v>
      </c>
      <c r="G697">
        <f>+COUNTIF(ADV!Z:Z,A697)+COUNTIF(ADV!X:X,A697)+COUNTIF(ADV!Y:Y,A697)</f>
        <v>1</v>
      </c>
      <c r="H697" t="s">
        <v>6920</v>
      </c>
    </row>
    <row r="698" spans="1:8" x14ac:dyDescent="0.2">
      <c r="A698" t="s">
        <v>798</v>
      </c>
      <c r="B698" t="s">
        <v>6921</v>
      </c>
      <c r="C698">
        <v>1010013</v>
      </c>
      <c r="D698" t="s">
        <v>6064</v>
      </c>
      <c r="E698">
        <f t="shared" si="11"/>
        <v>309</v>
      </c>
      <c r="F698">
        <f>+COUNTIF(ADV!U:W,A698)</f>
        <v>0</v>
      </c>
      <c r="G698">
        <f>+COUNTIF(ADV!Z:Z,A698)+COUNTIF(ADV!X:X,A698)+COUNTIF(ADV!Y:Y,A698)</f>
        <v>1</v>
      </c>
      <c r="H698" t="s">
        <v>6922</v>
      </c>
    </row>
    <row r="699" spans="1:8" x14ac:dyDescent="0.2">
      <c r="A699" t="s">
        <v>133</v>
      </c>
      <c r="B699" t="s">
        <v>6923</v>
      </c>
      <c r="C699">
        <v>1010011</v>
      </c>
      <c r="D699" t="s">
        <v>6064</v>
      </c>
      <c r="E699">
        <f t="shared" si="11"/>
        <v>112</v>
      </c>
      <c r="F699">
        <f>+COUNTIF(ADV!U:W,A699)</f>
        <v>0</v>
      </c>
      <c r="G699">
        <f>+COUNTIF(ADV!Z:Z,A699)+COUNTIF(ADV!X:X,A699)+COUNTIF(ADV!Y:Y,A699)</f>
        <v>1</v>
      </c>
      <c r="H699" t="s">
        <v>6924</v>
      </c>
    </row>
    <row r="700" spans="1:8" x14ac:dyDescent="0.2">
      <c r="A700" t="s">
        <v>2638</v>
      </c>
      <c r="B700" t="s">
        <v>6925</v>
      </c>
      <c r="C700">
        <v>1020041</v>
      </c>
      <c r="D700" t="s">
        <v>6064</v>
      </c>
      <c r="E700">
        <f t="shared" si="11"/>
        <v>527</v>
      </c>
      <c r="F700">
        <f>+COUNTIF(ADV!U:W,A700)</f>
        <v>0</v>
      </c>
      <c r="G700">
        <f>+COUNTIF(ADV!Z:Z,A700)+COUNTIF(ADV!X:X,A700)+COUNTIF(ADV!Y:Y,A700)</f>
        <v>1</v>
      </c>
      <c r="H700" t="s">
        <v>6926</v>
      </c>
    </row>
    <row r="701" spans="1:8" x14ac:dyDescent="0.2">
      <c r="A701" t="s">
        <v>1722</v>
      </c>
      <c r="B701" t="s">
        <v>6927</v>
      </c>
      <c r="C701">
        <v>1010002</v>
      </c>
      <c r="D701" t="s">
        <v>6064</v>
      </c>
      <c r="E701">
        <f t="shared" si="11"/>
        <v>187</v>
      </c>
      <c r="F701">
        <f>+COUNTIF(ADV!U:W,A701)</f>
        <v>0</v>
      </c>
      <c r="G701">
        <f>+COUNTIF(ADV!Z:Z,A701)+COUNTIF(ADV!X:X,A701)+COUNTIF(ADV!Y:Y,A701)</f>
        <v>1</v>
      </c>
      <c r="H701" t="s">
        <v>6928</v>
      </c>
    </row>
    <row r="702" spans="1:8" x14ac:dyDescent="0.2">
      <c r="A702" t="s">
        <v>3698</v>
      </c>
      <c r="B702" t="s">
        <v>6929</v>
      </c>
      <c r="C702">
        <v>1010068</v>
      </c>
      <c r="D702" t="s">
        <v>6064</v>
      </c>
      <c r="E702">
        <f t="shared" si="11"/>
        <v>233</v>
      </c>
      <c r="F702">
        <f>+COUNTIF(ADV!U:W,A702)</f>
        <v>0</v>
      </c>
      <c r="G702">
        <f>+COUNTIF(ADV!Z:Z,A702)+COUNTIF(ADV!X:X,A702)+COUNTIF(ADV!Y:Y,A702)</f>
        <v>1</v>
      </c>
      <c r="H702" t="s">
        <v>6930</v>
      </c>
    </row>
    <row r="703" spans="1:8" x14ac:dyDescent="0.2">
      <c r="A703" t="s">
        <v>3344</v>
      </c>
      <c r="B703" t="s">
        <v>6931</v>
      </c>
      <c r="C703">
        <v>1010177</v>
      </c>
      <c r="D703" t="s">
        <v>6064</v>
      </c>
      <c r="E703">
        <f t="shared" si="11"/>
        <v>317</v>
      </c>
      <c r="F703">
        <f>+COUNTIF(ADV!U:W,A703)</f>
        <v>0</v>
      </c>
      <c r="G703">
        <f>+COUNTIF(ADV!Z:Z,A703)+COUNTIF(ADV!X:X,A703)+COUNTIF(ADV!Y:Y,A703)</f>
        <v>1</v>
      </c>
      <c r="H703" t="s">
        <v>6932</v>
      </c>
    </row>
    <row r="704" spans="1:8" x14ac:dyDescent="0.2">
      <c r="A704" t="s">
        <v>320</v>
      </c>
      <c r="B704" t="s">
        <v>6933</v>
      </c>
      <c r="C704">
        <v>1070002</v>
      </c>
      <c r="D704" t="s">
        <v>6064</v>
      </c>
      <c r="E704">
        <f t="shared" si="11"/>
        <v>206</v>
      </c>
      <c r="F704">
        <f>+COUNTIF(ADV!U:W,A704)</f>
        <v>0</v>
      </c>
      <c r="G704">
        <f>+COUNTIF(ADV!Z:Z,A704)+COUNTIF(ADV!X:X,A704)+COUNTIF(ADV!Y:Y,A704)</f>
        <v>1</v>
      </c>
      <c r="H704" t="s">
        <v>6583</v>
      </c>
    </row>
    <row r="705" spans="1:8" x14ac:dyDescent="0.2">
      <c r="A705" t="s">
        <v>1409</v>
      </c>
      <c r="B705" t="s">
        <v>6934</v>
      </c>
      <c r="C705">
        <v>1010013</v>
      </c>
      <c r="D705" t="s">
        <v>6064</v>
      </c>
      <c r="E705">
        <f t="shared" si="11"/>
        <v>293</v>
      </c>
      <c r="F705">
        <f>+COUNTIF(ADV!U:W,A705)</f>
        <v>0</v>
      </c>
      <c r="G705">
        <f>+COUNTIF(ADV!Z:Z,A705)+COUNTIF(ADV!X:X,A705)+COUNTIF(ADV!Y:Y,A705)</f>
        <v>2</v>
      </c>
      <c r="H705" t="s">
        <v>6935</v>
      </c>
    </row>
    <row r="706" spans="1:8" x14ac:dyDescent="0.2">
      <c r="A706" t="s">
        <v>2549</v>
      </c>
      <c r="B706" t="s">
        <v>2541</v>
      </c>
      <c r="C706">
        <v>1070014</v>
      </c>
      <c r="D706" t="s">
        <v>6064</v>
      </c>
      <c r="E706">
        <f t="shared" si="11"/>
        <v>288</v>
      </c>
      <c r="F706">
        <f>+COUNTIF(ADV!U:W,A706)</f>
        <v>0</v>
      </c>
      <c r="G706">
        <f>+COUNTIF(ADV!Z:Z,A706)+COUNTIF(ADV!X:X,A706)+COUNTIF(ADV!Y:Y,A706)</f>
        <v>1</v>
      </c>
      <c r="H706" t="s">
        <v>6936</v>
      </c>
    </row>
    <row r="707" spans="1:8" x14ac:dyDescent="0.2">
      <c r="A707" t="s">
        <v>2423</v>
      </c>
      <c r="B707" t="s">
        <v>6937</v>
      </c>
      <c r="C707">
        <v>1020036</v>
      </c>
      <c r="D707" t="s">
        <v>6064</v>
      </c>
      <c r="E707">
        <f t="shared" si="11"/>
        <v>533</v>
      </c>
      <c r="F707">
        <f>+COUNTIF(ADV!U:W,A707)</f>
        <v>0</v>
      </c>
      <c r="G707">
        <f>+COUNTIF(ADV!Z:Z,A707)+COUNTIF(ADV!X:X,A707)+COUNTIF(ADV!Y:Y,A707)</f>
        <v>1</v>
      </c>
      <c r="H707" t="s">
        <v>6938</v>
      </c>
    </row>
    <row r="708" spans="1:8" x14ac:dyDescent="0.2">
      <c r="A708" t="s">
        <v>3188</v>
      </c>
      <c r="B708" t="s">
        <v>6939</v>
      </c>
      <c r="C708">
        <v>1010130</v>
      </c>
      <c r="D708" t="s">
        <v>6064</v>
      </c>
      <c r="E708">
        <f t="shared" si="11"/>
        <v>400</v>
      </c>
      <c r="F708">
        <f>+COUNTIF(ADV!U:W,A708)</f>
        <v>0</v>
      </c>
      <c r="G708">
        <f>+COUNTIF(ADV!Z:Z,A708)+COUNTIF(ADV!X:X,A708)+COUNTIF(ADV!Y:Y,A708)</f>
        <v>1</v>
      </c>
      <c r="H708" t="s">
        <v>6940</v>
      </c>
    </row>
    <row r="709" spans="1:8" x14ac:dyDescent="0.2">
      <c r="A709" t="s">
        <v>1074</v>
      </c>
      <c r="B709" t="s">
        <v>6941</v>
      </c>
      <c r="C709">
        <v>1010066</v>
      </c>
      <c r="D709" t="s">
        <v>6064</v>
      </c>
      <c r="E709">
        <f t="shared" si="11"/>
        <v>1037</v>
      </c>
      <c r="F709">
        <f>+COUNTIF(ADV!U:W,A709)</f>
        <v>0</v>
      </c>
      <c r="G709">
        <f>+COUNTIF(ADV!Z:Z,A709)+COUNTIF(ADV!X:X,A709)+COUNTIF(ADV!Y:Y,A709)</f>
        <v>1</v>
      </c>
      <c r="H709" t="s">
        <v>6942</v>
      </c>
    </row>
    <row r="710" spans="1:8" x14ac:dyDescent="0.2">
      <c r="A710" t="s">
        <v>1075</v>
      </c>
      <c r="B710" t="s">
        <v>6943</v>
      </c>
      <c r="C710">
        <v>1010005</v>
      </c>
      <c r="D710" t="s">
        <v>6064</v>
      </c>
      <c r="E710">
        <f t="shared" si="11"/>
        <v>506</v>
      </c>
      <c r="F710">
        <f>+COUNTIF(ADV!U:W,A710)</f>
        <v>0</v>
      </c>
      <c r="G710">
        <f>+COUNTIF(ADV!Z:Z,A710)+COUNTIF(ADV!X:X,A710)+COUNTIF(ADV!Y:Y,A710)</f>
        <v>1</v>
      </c>
      <c r="H710" t="s">
        <v>6944</v>
      </c>
    </row>
    <row r="711" spans="1:8" x14ac:dyDescent="0.2">
      <c r="A711" t="s">
        <v>302</v>
      </c>
      <c r="B711" t="s">
        <v>6945</v>
      </c>
      <c r="C711">
        <v>1070002</v>
      </c>
      <c r="D711" t="s">
        <v>6064</v>
      </c>
      <c r="E711">
        <f t="shared" si="11"/>
        <v>206</v>
      </c>
      <c r="F711">
        <f>+COUNTIF(ADV!U:W,A711)</f>
        <v>0</v>
      </c>
      <c r="G711">
        <f>+COUNTIF(ADV!Z:Z,A711)+COUNTIF(ADV!X:X,A711)+COUNTIF(ADV!Y:Y,A711)</f>
        <v>1</v>
      </c>
      <c r="H711" t="s">
        <v>6583</v>
      </c>
    </row>
    <row r="712" spans="1:8" x14ac:dyDescent="0.2">
      <c r="A712" t="s">
        <v>4369</v>
      </c>
      <c r="B712" t="s">
        <v>6946</v>
      </c>
      <c r="C712">
        <v>1010119</v>
      </c>
      <c r="D712" t="s">
        <v>6064</v>
      </c>
      <c r="E712">
        <f t="shared" si="11"/>
        <v>325</v>
      </c>
      <c r="F712">
        <f>+COUNTIF(ADV!U:W,A712)</f>
        <v>0</v>
      </c>
      <c r="G712">
        <f>+COUNTIF(ADV!Z:Z,A712)+COUNTIF(ADV!X:X,A712)+COUNTIF(ADV!Y:Y,A712)</f>
        <v>1</v>
      </c>
      <c r="H712" t="s">
        <v>6947</v>
      </c>
    </row>
    <row r="713" spans="1:8" x14ac:dyDescent="0.2">
      <c r="A713" t="s">
        <v>2141</v>
      </c>
      <c r="B713" t="s">
        <v>6948</v>
      </c>
      <c r="C713">
        <v>1020002</v>
      </c>
      <c r="D713" t="s">
        <v>6064</v>
      </c>
      <c r="E713">
        <f t="shared" si="11"/>
        <v>193</v>
      </c>
      <c r="F713">
        <f>+COUNTIF(ADV!U:W,A713)</f>
        <v>0</v>
      </c>
      <c r="G713">
        <f>+COUNTIF(ADV!Z:Z,A713)+COUNTIF(ADV!X:X,A713)+COUNTIF(ADV!Y:Y,A713)</f>
        <v>1</v>
      </c>
      <c r="H713" t="s">
        <v>6949</v>
      </c>
    </row>
    <row r="714" spans="1:8" x14ac:dyDescent="0.2">
      <c r="A714" t="s">
        <v>3829</v>
      </c>
      <c r="B714" t="s">
        <v>6950</v>
      </c>
      <c r="C714">
        <v>1020029</v>
      </c>
      <c r="D714" t="s">
        <v>6064</v>
      </c>
      <c r="E714">
        <f t="shared" si="11"/>
        <v>488</v>
      </c>
      <c r="F714">
        <f>+COUNTIF(ADV!U:W,A714)</f>
        <v>0</v>
      </c>
      <c r="G714">
        <f>+COUNTIF(ADV!Z:Z,A714)+COUNTIF(ADV!X:X,A714)+COUNTIF(ADV!Y:Y,A714)</f>
        <v>1</v>
      </c>
      <c r="H714" t="s">
        <v>6951</v>
      </c>
    </row>
    <row r="715" spans="1:8" x14ac:dyDescent="0.2">
      <c r="A715" t="s">
        <v>1304</v>
      </c>
      <c r="B715" t="s">
        <v>6952</v>
      </c>
      <c r="C715">
        <v>1010118</v>
      </c>
      <c r="D715" t="s">
        <v>6064</v>
      </c>
      <c r="E715">
        <f t="shared" si="11"/>
        <v>505</v>
      </c>
      <c r="F715">
        <f>+COUNTIF(ADV!U:W,A715)</f>
        <v>0</v>
      </c>
      <c r="G715">
        <f>+COUNTIF(ADV!Z:Z,A715)+COUNTIF(ADV!X:X,A715)+COUNTIF(ADV!Y:Y,A715)</f>
        <v>1</v>
      </c>
      <c r="H715" t="s">
        <v>6953</v>
      </c>
    </row>
    <row r="716" spans="1:8" x14ac:dyDescent="0.2">
      <c r="A716" t="s">
        <v>2005</v>
      </c>
      <c r="B716" t="s">
        <v>6954</v>
      </c>
      <c r="C716">
        <v>1010160</v>
      </c>
      <c r="D716" t="s">
        <v>6064</v>
      </c>
      <c r="E716">
        <f t="shared" si="11"/>
        <v>267</v>
      </c>
      <c r="F716">
        <f>+COUNTIF(ADV!U:W,A716)</f>
        <v>0</v>
      </c>
      <c r="G716">
        <f>+COUNTIF(ADV!Z:Z,A716)+COUNTIF(ADV!X:X,A716)+COUNTIF(ADV!Y:Y,A716)</f>
        <v>1</v>
      </c>
      <c r="H716" t="s">
        <v>6955</v>
      </c>
    </row>
    <row r="717" spans="1:8" x14ac:dyDescent="0.2">
      <c r="A717" t="s">
        <v>4168</v>
      </c>
      <c r="B717" t="s">
        <v>6956</v>
      </c>
      <c r="C717">
        <v>1010048</v>
      </c>
      <c r="D717" t="s">
        <v>6064</v>
      </c>
      <c r="E717">
        <f t="shared" si="11"/>
        <v>407</v>
      </c>
      <c r="F717">
        <f>+COUNTIF(ADV!U:W,A717)</f>
        <v>0</v>
      </c>
      <c r="G717">
        <f>+COUNTIF(ADV!Z:Z,A717)+COUNTIF(ADV!X:X,A717)+COUNTIF(ADV!Y:Y,A717)</f>
        <v>1</v>
      </c>
      <c r="H717" t="s">
        <v>6957</v>
      </c>
    </row>
    <row r="718" spans="1:8" x14ac:dyDescent="0.2">
      <c r="A718" t="s">
        <v>4002</v>
      </c>
      <c r="B718" t="s">
        <v>6958</v>
      </c>
      <c r="C718">
        <v>1010096</v>
      </c>
      <c r="D718" t="s">
        <v>6064</v>
      </c>
      <c r="E718">
        <f t="shared" si="11"/>
        <v>623</v>
      </c>
      <c r="F718">
        <f>+COUNTIF(ADV!U:W,A718)</f>
        <v>0</v>
      </c>
      <c r="G718">
        <f>+COUNTIF(ADV!Z:Z,A718)+COUNTIF(ADV!X:X,A718)+COUNTIF(ADV!Y:Y,A718)</f>
        <v>1</v>
      </c>
      <c r="H718" t="s">
        <v>6959</v>
      </c>
    </row>
    <row r="719" spans="1:8" x14ac:dyDescent="0.2">
      <c r="A719" t="s">
        <v>2504</v>
      </c>
      <c r="B719" t="s">
        <v>6960</v>
      </c>
      <c r="C719">
        <v>1010116</v>
      </c>
      <c r="D719" t="s">
        <v>6064</v>
      </c>
      <c r="E719">
        <f t="shared" si="11"/>
        <v>592</v>
      </c>
      <c r="F719">
        <f>+COUNTIF(ADV!U:W,A719)</f>
        <v>0</v>
      </c>
      <c r="G719">
        <f>+COUNTIF(ADV!Z:Z,A719)+COUNTIF(ADV!X:X,A719)+COUNTIF(ADV!Y:Y,A719)</f>
        <v>1</v>
      </c>
      <c r="H719" t="s">
        <v>6961</v>
      </c>
    </row>
    <row r="720" spans="1:8" x14ac:dyDescent="0.2">
      <c r="A720" t="s">
        <v>356</v>
      </c>
      <c r="B720" t="s">
        <v>6962</v>
      </c>
      <c r="C720">
        <v>1010031</v>
      </c>
      <c r="D720" t="s">
        <v>6064</v>
      </c>
      <c r="E720">
        <f t="shared" si="11"/>
        <v>323</v>
      </c>
      <c r="F720">
        <f>+COUNTIF(ADV!U:W,A720)</f>
        <v>0</v>
      </c>
      <c r="G720">
        <f>+COUNTIF(ADV!Z:Z,A720)+COUNTIF(ADV!X:X,A720)+COUNTIF(ADV!Y:Y,A720)</f>
        <v>1</v>
      </c>
      <c r="H720" t="s">
        <v>6963</v>
      </c>
    </row>
    <row r="721" spans="1:8" x14ac:dyDescent="0.2">
      <c r="A721" t="s">
        <v>3944</v>
      </c>
      <c r="B721" t="s">
        <v>6964</v>
      </c>
      <c r="C721">
        <v>1010037</v>
      </c>
      <c r="D721" t="s">
        <v>6064</v>
      </c>
      <c r="E721">
        <f t="shared" si="11"/>
        <v>478</v>
      </c>
      <c r="F721">
        <f>+COUNTIF(ADV!U:W,A721)</f>
        <v>0</v>
      </c>
      <c r="G721">
        <f>+COUNTIF(ADV!Z:Z,A721)+COUNTIF(ADV!X:X,A721)+COUNTIF(ADV!Y:Y,A721)</f>
        <v>1</v>
      </c>
      <c r="H721" t="s">
        <v>6965</v>
      </c>
    </row>
    <row r="722" spans="1:8" x14ac:dyDescent="0.2">
      <c r="A722" t="s">
        <v>3068</v>
      </c>
      <c r="B722" t="s">
        <v>6966</v>
      </c>
      <c r="C722">
        <v>1010037</v>
      </c>
      <c r="D722" t="s">
        <v>6064</v>
      </c>
      <c r="E722">
        <f t="shared" si="11"/>
        <v>405</v>
      </c>
      <c r="F722">
        <f>+COUNTIF(ADV!U:W,A722)</f>
        <v>0</v>
      </c>
      <c r="G722">
        <f>+COUNTIF(ADV!Z:Z,A722)+COUNTIF(ADV!X:X,A722)+COUNTIF(ADV!Y:Y,A722)</f>
        <v>1</v>
      </c>
      <c r="H722" t="s">
        <v>6967</v>
      </c>
    </row>
    <row r="723" spans="1:8" x14ac:dyDescent="0.2">
      <c r="A723" t="s">
        <v>3537</v>
      </c>
      <c r="B723" t="s">
        <v>6968</v>
      </c>
      <c r="C723">
        <v>1010053</v>
      </c>
      <c r="D723" t="s">
        <v>6064</v>
      </c>
      <c r="E723">
        <f t="shared" si="11"/>
        <v>648</v>
      </c>
      <c r="F723">
        <f>+COUNTIF(ADV!U:W,A723)</f>
        <v>0</v>
      </c>
      <c r="G723">
        <f>+COUNTIF(ADV!Z:Z,A723)+COUNTIF(ADV!X:X,A723)+COUNTIF(ADV!Y:Y,A723)</f>
        <v>1</v>
      </c>
      <c r="H723" t="s">
        <v>6969</v>
      </c>
    </row>
    <row r="724" spans="1:8" x14ac:dyDescent="0.2">
      <c r="A724" t="s">
        <v>880</v>
      </c>
      <c r="B724" t="s">
        <v>871</v>
      </c>
      <c r="C724">
        <v>1010002</v>
      </c>
      <c r="D724" t="s">
        <v>6064</v>
      </c>
      <c r="E724">
        <f t="shared" si="11"/>
        <v>211</v>
      </c>
      <c r="F724">
        <f>+COUNTIF(ADV!U:W,A724)</f>
        <v>0</v>
      </c>
      <c r="G724">
        <f>+COUNTIF(ADV!Z:Z,A724)+COUNTIF(ADV!X:X,A724)+COUNTIF(ADV!Y:Y,A724)</f>
        <v>1</v>
      </c>
      <c r="H724" t="s">
        <v>6970</v>
      </c>
    </row>
    <row r="725" spans="1:8" x14ac:dyDescent="0.2">
      <c r="A725" t="s">
        <v>4110</v>
      </c>
      <c r="B725" t="s">
        <v>6971</v>
      </c>
      <c r="C725">
        <v>1010089</v>
      </c>
      <c r="D725" t="s">
        <v>6064</v>
      </c>
      <c r="E725">
        <f t="shared" si="11"/>
        <v>533</v>
      </c>
      <c r="F725">
        <f>+COUNTIF(ADV!U:W,A725)</f>
        <v>0</v>
      </c>
      <c r="G725">
        <f>+COUNTIF(ADV!Z:Z,A725)+COUNTIF(ADV!X:X,A725)+COUNTIF(ADV!Y:Y,A725)</f>
        <v>1</v>
      </c>
      <c r="H725" t="s">
        <v>6972</v>
      </c>
    </row>
    <row r="727" spans="1:8" x14ac:dyDescent="0.2">
      <c r="A727" s="67" t="s">
        <v>6973</v>
      </c>
      <c r="B727" s="67"/>
      <c r="C727" s="67"/>
      <c r="D727" s="67"/>
      <c r="E727" s="67"/>
      <c r="F727" s="67">
        <f>SUM(F1:F726)</f>
        <v>894</v>
      </c>
      <c r="G727" s="67">
        <f>SUM(G1:G726)</f>
        <v>894</v>
      </c>
    </row>
  </sheetData>
  <sortState xmlns:xlrd2="http://schemas.microsoft.com/office/spreadsheetml/2017/richdata2" ref="A485:H725">
    <sortCondition ref="A484:A725"/>
  </sortState>
  <pageMargins left="0.7" right="0.7" top="0.75" bottom="0.75" header="0.3" footer="0.3"/>
  <pageSetup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78EFB1-B4D9-40E1-8BB7-6931124BCCAD}">
  <dimension ref="A1:I1438"/>
  <sheetViews>
    <sheetView topLeftCell="A147" workbookViewId="0">
      <selection activeCell="A174" sqref="A174"/>
    </sheetView>
  </sheetViews>
  <sheetFormatPr defaultRowHeight="14.25" x14ac:dyDescent="0.2"/>
  <cols>
    <col min="1" max="1" width="41.75" customWidth="1"/>
    <col min="2" max="2" width="7.875" bestFit="1" customWidth="1"/>
    <col min="3" max="3" width="53.75" customWidth="1"/>
    <col min="4" max="4" width="5.375" bestFit="1" customWidth="1"/>
    <col min="5" max="5" width="4.875" bestFit="1" customWidth="1"/>
    <col min="6" max="6" width="10.25" bestFit="1" customWidth="1"/>
    <col min="7" max="7" width="11.625" bestFit="1" customWidth="1"/>
  </cols>
  <sheetData>
    <row r="1" spans="1:9" x14ac:dyDescent="0.2">
      <c r="A1" s="2" t="s">
        <v>89</v>
      </c>
      <c r="B1" s="2" t="s">
        <v>4597</v>
      </c>
      <c r="C1" s="2" t="s">
        <v>80</v>
      </c>
      <c r="D1" s="2" t="s">
        <v>6974</v>
      </c>
      <c r="E1" s="2" t="s">
        <v>6065</v>
      </c>
      <c r="F1" s="2" t="s">
        <v>6975</v>
      </c>
      <c r="G1" s="2" t="s">
        <v>6063</v>
      </c>
    </row>
    <row r="2" spans="1:9" s="1" customFormat="1" x14ac:dyDescent="0.2">
      <c r="A2" t="s">
        <v>1663</v>
      </c>
      <c r="B2">
        <v>1020011</v>
      </c>
      <c r="C2" t="s">
        <v>6069</v>
      </c>
      <c r="D2" t="s">
        <v>6068</v>
      </c>
      <c r="E2">
        <f t="shared" ref="E2:E65" si="0">+LEN(C2)</f>
        <v>90</v>
      </c>
      <c r="F2">
        <f>+COUNTIF(ADV!Z:Z,A2)+COUNTIF(ADV!X:X,A2)+COUNTIF(ADV!Y:Y,A2)</f>
        <v>0</v>
      </c>
      <c r="I2"/>
    </row>
    <row r="3" spans="1:9" x14ac:dyDescent="0.2">
      <c r="A3" t="s">
        <v>2620</v>
      </c>
      <c r="B3">
        <v>1010150</v>
      </c>
      <c r="C3" t="s">
        <v>6070</v>
      </c>
      <c r="D3" t="s">
        <v>6068</v>
      </c>
      <c r="E3">
        <f t="shared" si="0"/>
        <v>152</v>
      </c>
      <c r="F3">
        <f>+COUNTIF(ADV!Z:Z,A3)+COUNTIF(ADV!X:X,A3)+COUNTIF(ADV!Y:Y,A3)</f>
        <v>0</v>
      </c>
    </row>
    <row r="4" spans="1:9" x14ac:dyDescent="0.2">
      <c r="A4" t="s">
        <v>6976</v>
      </c>
      <c r="B4">
        <v>1020011</v>
      </c>
      <c r="C4" t="s">
        <v>6977</v>
      </c>
      <c r="D4" t="s">
        <v>6068</v>
      </c>
      <c r="E4">
        <f t="shared" si="0"/>
        <v>90</v>
      </c>
      <c r="F4">
        <f>+COUNTIF(ADV!Z:Z,A4)+COUNTIF(ADV!X:X,A4)+COUNTIF(ADV!Y:Y,A4)</f>
        <v>0</v>
      </c>
    </row>
    <row r="5" spans="1:9" x14ac:dyDescent="0.2">
      <c r="A5" t="s">
        <v>1349</v>
      </c>
      <c r="B5">
        <v>1010012</v>
      </c>
      <c r="C5" t="s">
        <v>6071</v>
      </c>
      <c r="D5" t="s">
        <v>6068</v>
      </c>
      <c r="E5">
        <f t="shared" si="0"/>
        <v>70</v>
      </c>
      <c r="F5">
        <f>+COUNTIF(ADV!Z:Z,A5)+COUNTIF(ADV!X:X,A5)+COUNTIF(ADV!Y:Y,A5)</f>
        <v>1</v>
      </c>
    </row>
    <row r="6" spans="1:9" x14ac:dyDescent="0.2">
      <c r="A6" t="s">
        <v>6978</v>
      </c>
      <c r="B6">
        <v>1010150</v>
      </c>
      <c r="C6" t="s">
        <v>6979</v>
      </c>
      <c r="D6" t="s">
        <v>6068</v>
      </c>
      <c r="E6">
        <f t="shared" si="0"/>
        <v>152</v>
      </c>
      <c r="F6">
        <f>+COUNTIF(ADV!Z:Z,A6)+COUNTIF(ADV!X:X,A6)+COUNTIF(ADV!Y:Y,A6)</f>
        <v>0</v>
      </c>
    </row>
    <row r="7" spans="1:9" x14ac:dyDescent="0.2">
      <c r="A7" t="s">
        <v>6980</v>
      </c>
      <c r="B7">
        <v>1020011</v>
      </c>
      <c r="C7" t="s">
        <v>6981</v>
      </c>
      <c r="D7" t="s">
        <v>6068</v>
      </c>
      <c r="E7">
        <f t="shared" si="0"/>
        <v>90</v>
      </c>
      <c r="F7">
        <f>+COUNTIF(ADV!Z:Z,A7)+COUNTIF(ADV!X:X,A7)+COUNTIF(ADV!Y:Y,A7)</f>
        <v>0</v>
      </c>
    </row>
    <row r="8" spans="1:9" x14ac:dyDescent="0.2">
      <c r="A8" t="s">
        <v>4001</v>
      </c>
      <c r="B8">
        <v>1010012</v>
      </c>
      <c r="C8" t="s">
        <v>6072</v>
      </c>
      <c r="D8" t="s">
        <v>6068</v>
      </c>
      <c r="E8">
        <f t="shared" si="0"/>
        <v>70</v>
      </c>
      <c r="F8">
        <f>+COUNTIF(ADV!Z:Z,A8)+COUNTIF(ADV!X:X,A8)+COUNTIF(ADV!Y:Y,A8)</f>
        <v>0</v>
      </c>
    </row>
    <row r="9" spans="1:9" x14ac:dyDescent="0.2">
      <c r="A9" t="s">
        <v>812</v>
      </c>
      <c r="B9">
        <v>1010012</v>
      </c>
      <c r="C9" t="s">
        <v>6073</v>
      </c>
      <c r="D9" t="s">
        <v>6068</v>
      </c>
      <c r="E9">
        <f t="shared" si="0"/>
        <v>70</v>
      </c>
      <c r="F9">
        <f>+COUNTIF(ADV!Z:Z,A9)+COUNTIF(ADV!X:X,A9)+COUNTIF(ADV!Y:Y,A9)</f>
        <v>0</v>
      </c>
    </row>
    <row r="10" spans="1:9" x14ac:dyDescent="0.2">
      <c r="A10" t="s">
        <v>6982</v>
      </c>
      <c r="B10">
        <v>1010012</v>
      </c>
      <c r="C10" t="s">
        <v>6983</v>
      </c>
      <c r="D10" t="s">
        <v>6068</v>
      </c>
      <c r="E10">
        <f t="shared" si="0"/>
        <v>70</v>
      </c>
      <c r="F10">
        <f>+COUNTIF(ADV!Z:Z,A10)+COUNTIF(ADV!X:X,A10)+COUNTIF(ADV!Y:Y,A10)</f>
        <v>0</v>
      </c>
    </row>
    <row r="11" spans="1:9" x14ac:dyDescent="0.2">
      <c r="A11" t="s">
        <v>6984</v>
      </c>
      <c r="B11">
        <v>1010050</v>
      </c>
      <c r="C11" t="s">
        <v>6985</v>
      </c>
      <c r="D11" t="s">
        <v>6068</v>
      </c>
      <c r="E11">
        <f t="shared" si="0"/>
        <v>261</v>
      </c>
      <c r="F11">
        <f>+COUNTIF(ADV!Z:Z,A11)+COUNTIF(ADV!X:X,A11)+COUNTIF(ADV!Y:Y,A11)</f>
        <v>0</v>
      </c>
    </row>
    <row r="12" spans="1:9" x14ac:dyDescent="0.2">
      <c r="A12" t="s">
        <v>1749</v>
      </c>
      <c r="B12">
        <v>1010050</v>
      </c>
      <c r="C12" t="s">
        <v>6074</v>
      </c>
      <c r="D12" t="s">
        <v>6068</v>
      </c>
      <c r="E12">
        <f t="shared" si="0"/>
        <v>261</v>
      </c>
      <c r="F12">
        <f>+COUNTIF(ADV!Z:Z,A12)+COUNTIF(ADV!X:X,A12)+COUNTIF(ADV!Y:Y,A12)</f>
        <v>0</v>
      </c>
    </row>
    <row r="13" spans="1:9" x14ac:dyDescent="0.2">
      <c r="A13" t="s">
        <v>6986</v>
      </c>
      <c r="B13">
        <v>1010013</v>
      </c>
      <c r="C13" t="s">
        <v>6987</v>
      </c>
      <c r="D13" t="s">
        <v>6068</v>
      </c>
      <c r="E13">
        <f t="shared" si="0"/>
        <v>795</v>
      </c>
      <c r="F13">
        <f>+COUNTIF(ADV!Z:Z,A13)+COUNTIF(ADV!X:X,A13)+COUNTIF(ADV!Y:Y,A13)</f>
        <v>0</v>
      </c>
    </row>
    <row r="14" spans="1:9" x14ac:dyDescent="0.2">
      <c r="A14" t="s">
        <v>1212</v>
      </c>
      <c r="B14">
        <v>1010013</v>
      </c>
      <c r="C14" t="s">
        <v>6988</v>
      </c>
      <c r="D14" t="s">
        <v>6068</v>
      </c>
      <c r="E14">
        <f t="shared" si="0"/>
        <v>786</v>
      </c>
      <c r="F14">
        <f>+COUNTIF(ADV!Z:Z,A14)+COUNTIF(ADV!X:X,A14)+COUNTIF(ADV!Y:Y,A14)</f>
        <v>0</v>
      </c>
    </row>
    <row r="15" spans="1:9" x14ac:dyDescent="0.2">
      <c r="A15" t="s">
        <v>6989</v>
      </c>
      <c r="B15">
        <v>1070022</v>
      </c>
      <c r="C15" t="s">
        <v>6990</v>
      </c>
      <c r="D15" t="s">
        <v>6068</v>
      </c>
      <c r="E15">
        <f t="shared" si="0"/>
        <v>254</v>
      </c>
      <c r="F15">
        <f>+COUNTIF(ADV!Z:Z,A15)+COUNTIF(ADV!X:X,A15)+COUNTIF(ADV!Y:Y,A15)</f>
        <v>0</v>
      </c>
    </row>
    <row r="16" spans="1:9" x14ac:dyDescent="0.2">
      <c r="A16" t="s">
        <v>1196</v>
      </c>
      <c r="B16">
        <v>1070022</v>
      </c>
      <c r="C16" t="s">
        <v>6076</v>
      </c>
      <c r="D16" t="s">
        <v>6068</v>
      </c>
      <c r="E16">
        <f t="shared" si="0"/>
        <v>254</v>
      </c>
      <c r="F16">
        <f>+COUNTIF(ADV!Z:Z,A16)+COUNTIF(ADV!X:X,A16)+COUNTIF(ADV!Y:Y,A16)</f>
        <v>2</v>
      </c>
    </row>
    <row r="17" spans="1:6" x14ac:dyDescent="0.2">
      <c r="A17" t="s">
        <v>6991</v>
      </c>
      <c r="B17">
        <v>1010042</v>
      </c>
      <c r="C17" t="s">
        <v>6992</v>
      </c>
      <c r="D17" t="s">
        <v>6068</v>
      </c>
      <c r="E17">
        <f t="shared" si="0"/>
        <v>888</v>
      </c>
      <c r="F17">
        <f>+COUNTIF(ADV!Z:Z,A17)+COUNTIF(ADV!X:X,A17)+COUNTIF(ADV!Y:Y,A17)</f>
        <v>0</v>
      </c>
    </row>
    <row r="18" spans="1:6" x14ac:dyDescent="0.2">
      <c r="A18" t="s">
        <v>3551</v>
      </c>
      <c r="B18">
        <v>1010042</v>
      </c>
      <c r="C18" t="s">
        <v>6077</v>
      </c>
      <c r="D18" t="s">
        <v>6068</v>
      </c>
      <c r="E18">
        <f t="shared" si="0"/>
        <v>879</v>
      </c>
      <c r="F18">
        <f>+COUNTIF(ADV!Z:Z,A18)+COUNTIF(ADV!X:X,A18)+COUNTIF(ADV!Y:Y,A18)</f>
        <v>0</v>
      </c>
    </row>
    <row r="19" spans="1:6" x14ac:dyDescent="0.2">
      <c r="A19" t="s">
        <v>6993</v>
      </c>
      <c r="B19">
        <v>1010169</v>
      </c>
      <c r="C19" t="s">
        <v>6994</v>
      </c>
      <c r="D19" t="s">
        <v>6068</v>
      </c>
      <c r="E19">
        <f t="shared" si="0"/>
        <v>349</v>
      </c>
      <c r="F19">
        <f>+COUNTIF(ADV!Z:Z,A19)+COUNTIF(ADV!X:X,A19)+COUNTIF(ADV!Y:Y,A19)</f>
        <v>0</v>
      </c>
    </row>
    <row r="20" spans="1:6" x14ac:dyDescent="0.2">
      <c r="A20" t="s">
        <v>1058</v>
      </c>
      <c r="B20">
        <v>1010169</v>
      </c>
      <c r="C20" t="s">
        <v>6078</v>
      </c>
      <c r="D20" t="s">
        <v>6068</v>
      </c>
      <c r="E20">
        <f t="shared" si="0"/>
        <v>350</v>
      </c>
      <c r="F20">
        <f>+COUNTIF(ADV!Z:Z,A20)+COUNTIF(ADV!X:X,A20)+COUNTIF(ADV!Y:Y,A20)</f>
        <v>1</v>
      </c>
    </row>
    <row r="21" spans="1:6" x14ac:dyDescent="0.2">
      <c r="A21" t="s">
        <v>6995</v>
      </c>
      <c r="B21">
        <v>1010149</v>
      </c>
      <c r="C21" t="s">
        <v>6996</v>
      </c>
      <c r="D21" t="s">
        <v>6068</v>
      </c>
      <c r="E21">
        <f t="shared" si="0"/>
        <v>541</v>
      </c>
      <c r="F21">
        <f>+COUNTIF(ADV!Z:Z,A21)+COUNTIF(ADV!X:X,A21)+COUNTIF(ADV!Y:Y,A21)</f>
        <v>0</v>
      </c>
    </row>
    <row r="22" spans="1:6" x14ac:dyDescent="0.2">
      <c r="A22" t="s">
        <v>6997</v>
      </c>
      <c r="B22">
        <v>1010149</v>
      </c>
      <c r="C22" t="s">
        <v>6998</v>
      </c>
      <c r="D22" t="s">
        <v>6068</v>
      </c>
      <c r="E22">
        <f t="shared" si="0"/>
        <v>542</v>
      </c>
      <c r="F22">
        <f>+COUNTIF(ADV!Z:Z,A22)+COUNTIF(ADV!X:X,A22)+COUNTIF(ADV!Y:Y,A22)</f>
        <v>0</v>
      </c>
    </row>
    <row r="23" spans="1:6" x14ac:dyDescent="0.2">
      <c r="A23" t="s">
        <v>6999</v>
      </c>
      <c r="B23">
        <v>1020024</v>
      </c>
      <c r="C23" t="s">
        <v>7000</v>
      </c>
      <c r="D23" t="s">
        <v>6068</v>
      </c>
      <c r="E23">
        <f t="shared" si="0"/>
        <v>134</v>
      </c>
      <c r="F23">
        <f>+COUNTIF(ADV!Z:Z,A23)+COUNTIF(ADV!X:X,A23)+COUNTIF(ADV!Y:Y,A23)</f>
        <v>0</v>
      </c>
    </row>
    <row r="24" spans="1:6" x14ac:dyDescent="0.2">
      <c r="A24" t="s">
        <v>2957</v>
      </c>
      <c r="B24">
        <v>1020024</v>
      </c>
      <c r="C24" t="s">
        <v>6079</v>
      </c>
      <c r="D24" t="s">
        <v>6068</v>
      </c>
      <c r="E24">
        <f t="shared" si="0"/>
        <v>168</v>
      </c>
      <c r="F24">
        <f>+COUNTIF(ADV!Z:Z,A24)+COUNTIF(ADV!X:X,A24)+COUNTIF(ADV!Y:Y,A24)</f>
        <v>1</v>
      </c>
    </row>
    <row r="25" spans="1:6" x14ac:dyDescent="0.2">
      <c r="A25" t="s">
        <v>7001</v>
      </c>
      <c r="B25">
        <v>1010002</v>
      </c>
      <c r="C25" t="s">
        <v>7002</v>
      </c>
      <c r="D25" t="s">
        <v>6068</v>
      </c>
      <c r="E25">
        <f t="shared" si="0"/>
        <v>123</v>
      </c>
      <c r="F25">
        <f>+COUNTIF(ADV!Z:Z,A25)+COUNTIF(ADV!X:X,A25)+COUNTIF(ADV!Y:Y,A25)</f>
        <v>0</v>
      </c>
    </row>
    <row r="26" spans="1:6" x14ac:dyDescent="0.2">
      <c r="A26" t="s">
        <v>3358</v>
      </c>
      <c r="B26">
        <v>1010002</v>
      </c>
      <c r="C26" t="s">
        <v>6080</v>
      </c>
      <c r="D26" t="s">
        <v>6068</v>
      </c>
      <c r="E26">
        <f t="shared" si="0"/>
        <v>123</v>
      </c>
      <c r="F26">
        <f>+COUNTIF(ADV!Z:Z,A26)+COUNTIF(ADV!X:X,A26)+COUNTIF(ADV!Y:Y,A26)</f>
        <v>0</v>
      </c>
    </row>
    <row r="27" spans="1:6" x14ac:dyDescent="0.2">
      <c r="A27" t="s">
        <v>3359</v>
      </c>
      <c r="B27">
        <v>1020002</v>
      </c>
      <c r="C27" t="s">
        <v>6081</v>
      </c>
      <c r="D27" t="s">
        <v>6068</v>
      </c>
      <c r="E27">
        <f t="shared" si="0"/>
        <v>83</v>
      </c>
      <c r="F27">
        <f>+COUNTIF(ADV!Z:Z,A27)+COUNTIF(ADV!X:X,A27)+COUNTIF(ADV!Y:Y,A27)</f>
        <v>0</v>
      </c>
    </row>
    <row r="28" spans="1:6" x14ac:dyDescent="0.2">
      <c r="A28" t="s">
        <v>7003</v>
      </c>
      <c r="B28">
        <v>1010002</v>
      </c>
      <c r="C28" t="s">
        <v>7004</v>
      </c>
      <c r="D28" t="s">
        <v>6068</v>
      </c>
      <c r="E28">
        <f t="shared" si="0"/>
        <v>37</v>
      </c>
      <c r="F28">
        <f>+COUNTIF(ADV!Z:Z,A28)+COUNTIF(ADV!X:X,A28)+COUNTIF(ADV!Y:Y,A28)</f>
        <v>0</v>
      </c>
    </row>
    <row r="29" spans="1:6" x14ac:dyDescent="0.2">
      <c r="A29" t="s">
        <v>7005</v>
      </c>
      <c r="B29">
        <v>1010002</v>
      </c>
      <c r="C29" t="s">
        <v>7006</v>
      </c>
      <c r="D29" t="s">
        <v>6068</v>
      </c>
      <c r="E29">
        <f t="shared" si="0"/>
        <v>37</v>
      </c>
      <c r="F29">
        <f>+COUNTIF(ADV!Z:Z,A29)+COUNTIF(ADV!X:X,A29)+COUNTIF(ADV!Y:Y,A29)</f>
        <v>0</v>
      </c>
    </row>
    <row r="30" spans="1:6" x14ac:dyDescent="0.2">
      <c r="A30" t="s">
        <v>7007</v>
      </c>
      <c r="B30">
        <v>1010002</v>
      </c>
      <c r="C30" t="s">
        <v>7008</v>
      </c>
      <c r="D30" t="s">
        <v>6068</v>
      </c>
      <c r="E30">
        <f t="shared" si="0"/>
        <v>37</v>
      </c>
      <c r="F30">
        <f>+COUNTIF(ADV!Z:Z,A30)+COUNTIF(ADV!X:X,A30)+COUNTIF(ADV!Y:Y,A30)</f>
        <v>0</v>
      </c>
    </row>
    <row r="31" spans="1:6" x14ac:dyDescent="0.2">
      <c r="A31" t="s">
        <v>7009</v>
      </c>
      <c r="B31">
        <v>1010002</v>
      </c>
      <c r="C31" t="s">
        <v>7010</v>
      </c>
      <c r="D31" t="s">
        <v>6068</v>
      </c>
      <c r="E31">
        <f t="shared" si="0"/>
        <v>37</v>
      </c>
      <c r="F31">
        <f>+COUNTIF(ADV!Z:Z,A31)+COUNTIF(ADV!X:X,A31)+COUNTIF(ADV!Y:Y,A31)</f>
        <v>0</v>
      </c>
    </row>
    <row r="32" spans="1:6" x14ac:dyDescent="0.2">
      <c r="A32" t="s">
        <v>7011</v>
      </c>
      <c r="B32">
        <v>1010002</v>
      </c>
      <c r="C32" t="s">
        <v>7012</v>
      </c>
      <c r="D32" t="s">
        <v>6068</v>
      </c>
      <c r="E32">
        <f t="shared" si="0"/>
        <v>37</v>
      </c>
      <c r="F32">
        <f>+COUNTIF(ADV!Z:Z,A32)+COUNTIF(ADV!X:X,A32)+COUNTIF(ADV!Y:Y,A32)</f>
        <v>0</v>
      </c>
    </row>
    <row r="33" spans="1:6" x14ac:dyDescent="0.2">
      <c r="A33" t="s">
        <v>7013</v>
      </c>
      <c r="B33">
        <v>1040011</v>
      </c>
      <c r="C33" t="s">
        <v>7014</v>
      </c>
      <c r="D33" t="s">
        <v>6068</v>
      </c>
      <c r="E33">
        <f t="shared" si="0"/>
        <v>137</v>
      </c>
      <c r="F33">
        <f>+COUNTIF(ADV!Z:Z,A33)+COUNTIF(ADV!X:X,A33)+COUNTIF(ADV!Y:Y,A33)</f>
        <v>0</v>
      </c>
    </row>
    <row r="34" spans="1:6" x14ac:dyDescent="0.2">
      <c r="A34" t="s">
        <v>7015</v>
      </c>
      <c r="B34">
        <v>1020002</v>
      </c>
      <c r="C34" t="s">
        <v>7016</v>
      </c>
      <c r="D34" t="s">
        <v>6068</v>
      </c>
      <c r="E34">
        <f t="shared" si="0"/>
        <v>226</v>
      </c>
      <c r="F34">
        <f>+COUNTIF(ADV!Z:Z,A34)+COUNTIF(ADV!X:X,A34)+COUNTIF(ADV!Y:Y,A34)</f>
        <v>0</v>
      </c>
    </row>
    <row r="35" spans="1:6" x14ac:dyDescent="0.2">
      <c r="A35" t="s">
        <v>7017</v>
      </c>
      <c r="B35">
        <v>1020002</v>
      </c>
      <c r="C35" t="s">
        <v>7018</v>
      </c>
      <c r="D35" t="s">
        <v>6068</v>
      </c>
      <c r="E35">
        <f t="shared" si="0"/>
        <v>228</v>
      </c>
      <c r="F35">
        <f>+COUNTIF(ADV!Z:Z,A35)+COUNTIF(ADV!X:X,A35)+COUNTIF(ADV!Y:Y,A35)</f>
        <v>0</v>
      </c>
    </row>
    <row r="36" spans="1:6" x14ac:dyDescent="0.2">
      <c r="A36" t="s">
        <v>3635</v>
      </c>
      <c r="B36">
        <v>1020002</v>
      </c>
      <c r="C36" t="s">
        <v>6082</v>
      </c>
      <c r="D36" t="s">
        <v>6068</v>
      </c>
      <c r="E36">
        <f t="shared" si="0"/>
        <v>258</v>
      </c>
      <c r="F36">
        <f>+COUNTIF(ADV!Z:Z,A36)+COUNTIF(ADV!X:X,A36)+COUNTIF(ADV!Y:Y,A36)</f>
        <v>1</v>
      </c>
    </row>
    <row r="37" spans="1:6" x14ac:dyDescent="0.2">
      <c r="A37" t="s">
        <v>7019</v>
      </c>
      <c r="B37">
        <v>1020010</v>
      </c>
      <c r="C37" t="s">
        <v>7020</v>
      </c>
      <c r="D37" t="s">
        <v>6068</v>
      </c>
      <c r="E37">
        <f t="shared" si="0"/>
        <v>83</v>
      </c>
      <c r="F37">
        <f>+COUNTIF(ADV!Z:Z,A37)+COUNTIF(ADV!X:X,A37)+COUNTIF(ADV!Y:Y,A37)</f>
        <v>0</v>
      </c>
    </row>
    <row r="38" spans="1:6" x14ac:dyDescent="0.2">
      <c r="A38" t="s">
        <v>247</v>
      </c>
      <c r="B38">
        <v>1020010</v>
      </c>
      <c r="C38" t="s">
        <v>6083</v>
      </c>
      <c r="D38" t="s">
        <v>6068</v>
      </c>
      <c r="E38">
        <f t="shared" si="0"/>
        <v>83</v>
      </c>
      <c r="F38">
        <f>+COUNTIF(ADV!Z:Z,A38)+COUNTIF(ADV!X:X,A38)+COUNTIF(ADV!Y:Y,A38)</f>
        <v>0</v>
      </c>
    </row>
    <row r="39" spans="1:6" x14ac:dyDescent="0.2">
      <c r="A39" t="s">
        <v>7021</v>
      </c>
      <c r="B39">
        <v>1020011</v>
      </c>
      <c r="C39" t="s">
        <v>7022</v>
      </c>
      <c r="D39" t="s">
        <v>6068</v>
      </c>
      <c r="E39">
        <f t="shared" si="0"/>
        <v>104</v>
      </c>
      <c r="F39">
        <f>+COUNTIF(ADV!Z:Z,A39)+COUNTIF(ADV!X:X,A39)+COUNTIF(ADV!Y:Y,A39)</f>
        <v>0</v>
      </c>
    </row>
    <row r="40" spans="1:6" x14ac:dyDescent="0.2">
      <c r="A40" t="s">
        <v>7023</v>
      </c>
      <c r="B40">
        <v>1020011</v>
      </c>
      <c r="C40" t="s">
        <v>7024</v>
      </c>
      <c r="D40" t="s">
        <v>6068</v>
      </c>
      <c r="E40">
        <f t="shared" si="0"/>
        <v>104</v>
      </c>
      <c r="F40">
        <f>+COUNTIF(ADV!Z:Z,A40)+COUNTIF(ADV!X:X,A40)+COUNTIF(ADV!Y:Y,A40)</f>
        <v>0</v>
      </c>
    </row>
    <row r="41" spans="1:6" x14ac:dyDescent="0.2">
      <c r="A41" t="s">
        <v>246</v>
      </c>
      <c r="B41">
        <v>1020011</v>
      </c>
      <c r="C41" t="s">
        <v>6084</v>
      </c>
      <c r="D41" t="s">
        <v>6068</v>
      </c>
      <c r="E41">
        <f t="shared" si="0"/>
        <v>104</v>
      </c>
      <c r="F41">
        <f>+COUNTIF(ADV!Z:Z,A41)+COUNTIF(ADV!X:X,A41)+COUNTIF(ADV!Y:Y,A41)</f>
        <v>0</v>
      </c>
    </row>
    <row r="42" spans="1:6" x14ac:dyDescent="0.2">
      <c r="A42" t="s">
        <v>1857</v>
      </c>
      <c r="B42">
        <v>1010007</v>
      </c>
      <c r="C42" t="s">
        <v>6085</v>
      </c>
      <c r="D42" t="s">
        <v>6068</v>
      </c>
      <c r="E42">
        <f t="shared" si="0"/>
        <v>369</v>
      </c>
      <c r="F42">
        <f>+COUNTIF(ADV!Z:Z,A42)+COUNTIF(ADV!X:X,A42)+COUNTIF(ADV!Y:Y,A42)</f>
        <v>0</v>
      </c>
    </row>
    <row r="43" spans="1:6" x14ac:dyDescent="0.2">
      <c r="A43" t="s">
        <v>4471</v>
      </c>
      <c r="B43">
        <v>1010125</v>
      </c>
      <c r="C43" t="s">
        <v>6086</v>
      </c>
      <c r="D43" t="s">
        <v>6068</v>
      </c>
      <c r="E43">
        <f t="shared" si="0"/>
        <v>141</v>
      </c>
      <c r="F43">
        <f>+COUNTIF(ADV!Z:Z,A43)+COUNTIF(ADV!X:X,A43)+COUNTIF(ADV!Y:Y,A43)</f>
        <v>1</v>
      </c>
    </row>
    <row r="44" spans="1:6" x14ac:dyDescent="0.2">
      <c r="A44" t="s">
        <v>7025</v>
      </c>
      <c r="B44">
        <v>1010175</v>
      </c>
      <c r="C44" t="s">
        <v>7026</v>
      </c>
      <c r="D44" t="s">
        <v>6068</v>
      </c>
      <c r="E44">
        <f t="shared" si="0"/>
        <v>342</v>
      </c>
      <c r="F44">
        <f>+COUNTIF(ADV!Z:Z,A44)+COUNTIF(ADV!X:X,A44)+COUNTIF(ADV!Y:Y,A44)</f>
        <v>0</v>
      </c>
    </row>
    <row r="45" spans="1:6" x14ac:dyDescent="0.2">
      <c r="A45" t="s">
        <v>2407</v>
      </c>
      <c r="B45">
        <v>1010175</v>
      </c>
      <c r="C45" t="s">
        <v>6087</v>
      </c>
      <c r="D45" t="s">
        <v>6068</v>
      </c>
      <c r="E45">
        <f t="shared" si="0"/>
        <v>342</v>
      </c>
      <c r="F45">
        <f>+COUNTIF(ADV!Z:Z,A45)+COUNTIF(ADV!X:X,A45)+COUNTIF(ADV!Y:Y,A45)</f>
        <v>0</v>
      </c>
    </row>
    <row r="46" spans="1:6" x14ac:dyDescent="0.2">
      <c r="A46" t="s">
        <v>1342</v>
      </c>
      <c r="B46">
        <v>1010039</v>
      </c>
      <c r="C46" t="s">
        <v>6088</v>
      </c>
      <c r="D46" t="s">
        <v>6068</v>
      </c>
      <c r="E46">
        <f t="shared" si="0"/>
        <v>62</v>
      </c>
      <c r="F46">
        <f>+COUNTIF(ADV!Z:Z,A46)+COUNTIF(ADV!X:X,A46)+COUNTIF(ADV!Y:Y,A46)</f>
        <v>0</v>
      </c>
    </row>
    <row r="47" spans="1:6" x14ac:dyDescent="0.2">
      <c r="A47" t="s">
        <v>7027</v>
      </c>
      <c r="B47">
        <v>1010011</v>
      </c>
      <c r="C47" t="s">
        <v>7028</v>
      </c>
      <c r="D47" t="s">
        <v>6068</v>
      </c>
      <c r="E47">
        <f t="shared" si="0"/>
        <v>174</v>
      </c>
      <c r="F47">
        <f>+COUNTIF(ADV!Z:Z,A47)+COUNTIF(ADV!X:X,A47)+COUNTIF(ADV!Y:Y,A47)</f>
        <v>0</v>
      </c>
    </row>
    <row r="48" spans="1:6" x14ac:dyDescent="0.2">
      <c r="A48" t="s">
        <v>1230</v>
      </c>
      <c r="B48">
        <v>1010011</v>
      </c>
      <c r="C48" t="s">
        <v>6089</v>
      </c>
      <c r="D48" t="s">
        <v>6068</v>
      </c>
      <c r="E48">
        <f t="shared" si="0"/>
        <v>174</v>
      </c>
      <c r="F48">
        <f>+COUNTIF(ADV!Z:Z,A48)+COUNTIF(ADV!X:X,A48)+COUNTIF(ADV!Y:Y,A48)</f>
        <v>0</v>
      </c>
    </row>
    <row r="49" spans="1:6" x14ac:dyDescent="0.2">
      <c r="A49" t="s">
        <v>2110</v>
      </c>
      <c r="B49">
        <v>1020002</v>
      </c>
      <c r="C49" t="s">
        <v>6090</v>
      </c>
      <c r="D49" t="s">
        <v>6068</v>
      </c>
      <c r="E49">
        <f t="shared" si="0"/>
        <v>173</v>
      </c>
      <c r="F49">
        <f>+COUNTIF(ADV!Z:Z,A49)+COUNTIF(ADV!X:X,A49)+COUNTIF(ADV!Y:Y,A49)</f>
        <v>0</v>
      </c>
    </row>
    <row r="50" spans="1:6" x14ac:dyDescent="0.2">
      <c r="A50" t="s">
        <v>7029</v>
      </c>
      <c r="B50">
        <v>1020002</v>
      </c>
      <c r="C50" t="s">
        <v>7030</v>
      </c>
      <c r="D50" t="s">
        <v>6068</v>
      </c>
      <c r="E50">
        <f t="shared" si="0"/>
        <v>172</v>
      </c>
      <c r="F50">
        <f>+COUNTIF(ADV!Z:Z,A50)+COUNTIF(ADV!X:X,A50)+COUNTIF(ADV!Y:Y,A50)</f>
        <v>0</v>
      </c>
    </row>
    <row r="51" spans="1:6" x14ac:dyDescent="0.2">
      <c r="A51" t="s">
        <v>7031</v>
      </c>
      <c r="B51">
        <v>1020010</v>
      </c>
      <c r="C51" t="s">
        <v>7032</v>
      </c>
      <c r="D51" t="s">
        <v>6068</v>
      </c>
      <c r="E51">
        <f t="shared" si="0"/>
        <v>56</v>
      </c>
      <c r="F51">
        <f>+COUNTIF(ADV!Z:Z,A51)+COUNTIF(ADV!X:X,A51)+COUNTIF(ADV!Y:Y,A51)</f>
        <v>0</v>
      </c>
    </row>
    <row r="52" spans="1:6" x14ac:dyDescent="0.2">
      <c r="A52" t="s">
        <v>1107</v>
      </c>
      <c r="B52">
        <v>1020010</v>
      </c>
      <c r="C52" t="s">
        <v>6091</v>
      </c>
      <c r="D52" t="s">
        <v>6068</v>
      </c>
      <c r="E52">
        <f t="shared" si="0"/>
        <v>56</v>
      </c>
      <c r="F52">
        <f>+COUNTIF(ADV!Z:Z,A52)+COUNTIF(ADV!X:X,A52)+COUNTIF(ADV!Y:Y,A52)</f>
        <v>0</v>
      </c>
    </row>
    <row r="53" spans="1:6" x14ac:dyDescent="0.2">
      <c r="A53" t="s">
        <v>2156</v>
      </c>
      <c r="B53">
        <v>1130001</v>
      </c>
      <c r="C53" t="s">
        <v>6092</v>
      </c>
      <c r="D53" t="s">
        <v>6068</v>
      </c>
      <c r="E53">
        <f t="shared" si="0"/>
        <v>43</v>
      </c>
      <c r="F53">
        <f>+COUNTIF(ADV!Z:Z,A53)+COUNTIF(ADV!X:X,A53)+COUNTIF(ADV!Y:Y,A53)</f>
        <v>0</v>
      </c>
    </row>
    <row r="54" spans="1:6" x14ac:dyDescent="0.2">
      <c r="A54" t="s">
        <v>7033</v>
      </c>
      <c r="B54">
        <v>1010124</v>
      </c>
      <c r="C54" t="s">
        <v>7034</v>
      </c>
      <c r="D54" t="s">
        <v>6068</v>
      </c>
      <c r="E54">
        <f t="shared" si="0"/>
        <v>409</v>
      </c>
      <c r="F54">
        <f>+COUNTIF(ADV!Z:Z,A54)+COUNTIF(ADV!X:X,A54)+COUNTIF(ADV!Y:Y,A54)</f>
        <v>0</v>
      </c>
    </row>
    <row r="55" spans="1:6" x14ac:dyDescent="0.2">
      <c r="A55" t="s">
        <v>1969</v>
      </c>
      <c r="B55">
        <v>1010124</v>
      </c>
      <c r="C55" t="s">
        <v>7035</v>
      </c>
      <c r="D55" t="s">
        <v>6068</v>
      </c>
      <c r="E55">
        <f t="shared" si="0"/>
        <v>409</v>
      </c>
      <c r="F55">
        <f>+COUNTIF(ADV!Z:Z,A55)+COUNTIF(ADV!X:X,A55)+COUNTIF(ADV!Y:Y,A55)</f>
        <v>0</v>
      </c>
    </row>
    <row r="56" spans="1:6" x14ac:dyDescent="0.2">
      <c r="A56" t="s">
        <v>7036</v>
      </c>
      <c r="B56">
        <v>1030019</v>
      </c>
      <c r="C56" t="s">
        <v>7037</v>
      </c>
      <c r="D56" t="s">
        <v>6068</v>
      </c>
      <c r="E56">
        <f t="shared" si="0"/>
        <v>57</v>
      </c>
      <c r="F56">
        <f>+COUNTIF(ADV!Z:Z,A56)+COUNTIF(ADV!X:X,A56)+COUNTIF(ADV!Y:Y,A56)</f>
        <v>0</v>
      </c>
    </row>
    <row r="57" spans="1:6" x14ac:dyDescent="0.2">
      <c r="A57" t="s">
        <v>3784</v>
      </c>
      <c r="B57">
        <v>1030019</v>
      </c>
      <c r="C57" t="s">
        <v>6094</v>
      </c>
      <c r="D57" t="s">
        <v>6068</v>
      </c>
      <c r="E57">
        <f t="shared" si="0"/>
        <v>58</v>
      </c>
      <c r="F57">
        <f>+COUNTIF(ADV!Z:Z,A57)+COUNTIF(ADV!X:X,A57)+COUNTIF(ADV!Y:Y,A57)</f>
        <v>0</v>
      </c>
    </row>
    <row r="58" spans="1:6" x14ac:dyDescent="0.2">
      <c r="A58" t="s">
        <v>7038</v>
      </c>
      <c r="B58">
        <v>1070005</v>
      </c>
      <c r="C58" t="s">
        <v>7039</v>
      </c>
      <c r="D58" t="s">
        <v>6068</v>
      </c>
      <c r="E58">
        <f t="shared" si="0"/>
        <v>43</v>
      </c>
      <c r="F58">
        <f>+COUNTIF(ADV!Z:Z,A58)+COUNTIF(ADV!X:X,A58)+COUNTIF(ADV!Y:Y,A58)</f>
        <v>0</v>
      </c>
    </row>
    <row r="59" spans="1:6" x14ac:dyDescent="0.2">
      <c r="A59" t="s">
        <v>4353</v>
      </c>
      <c r="B59">
        <v>1070005</v>
      </c>
      <c r="C59" t="s">
        <v>6095</v>
      </c>
      <c r="D59" t="s">
        <v>6068</v>
      </c>
      <c r="E59">
        <f t="shared" si="0"/>
        <v>43</v>
      </c>
      <c r="F59">
        <f>+COUNTIF(ADV!Z:Z,A59)+COUNTIF(ADV!X:X,A59)+COUNTIF(ADV!Y:Y,A59)</f>
        <v>0</v>
      </c>
    </row>
    <row r="60" spans="1:6" x14ac:dyDescent="0.2">
      <c r="A60" t="s">
        <v>7040</v>
      </c>
      <c r="B60">
        <v>1070005</v>
      </c>
      <c r="C60" t="s">
        <v>7041</v>
      </c>
      <c r="D60" t="s">
        <v>6068</v>
      </c>
      <c r="E60">
        <f t="shared" si="0"/>
        <v>43</v>
      </c>
      <c r="F60">
        <f>+COUNTIF(ADV!Z:Z,A60)+COUNTIF(ADV!X:X,A60)+COUNTIF(ADV!Y:Y,A60)</f>
        <v>0</v>
      </c>
    </row>
    <row r="61" spans="1:6" x14ac:dyDescent="0.2">
      <c r="A61" t="s">
        <v>7042</v>
      </c>
      <c r="B61">
        <v>1070005</v>
      </c>
      <c r="C61" t="s">
        <v>7043</v>
      </c>
      <c r="D61" t="s">
        <v>6068</v>
      </c>
      <c r="E61">
        <f t="shared" si="0"/>
        <v>43</v>
      </c>
      <c r="F61">
        <f>+COUNTIF(ADV!Z:Z,A61)+COUNTIF(ADV!X:X,A61)+COUNTIF(ADV!Y:Y,A61)</f>
        <v>0</v>
      </c>
    </row>
    <row r="62" spans="1:6" x14ac:dyDescent="0.2">
      <c r="A62" t="s">
        <v>4352</v>
      </c>
      <c r="B62">
        <v>1020002</v>
      </c>
      <c r="C62" t="s">
        <v>6096</v>
      </c>
      <c r="D62" t="s">
        <v>6068</v>
      </c>
      <c r="E62">
        <f t="shared" si="0"/>
        <v>164</v>
      </c>
      <c r="F62">
        <f>+COUNTIF(ADV!Z:Z,A62)+COUNTIF(ADV!X:X,A62)+COUNTIF(ADV!Y:Y,A62)</f>
        <v>0</v>
      </c>
    </row>
    <row r="63" spans="1:6" x14ac:dyDescent="0.2">
      <c r="A63" t="s">
        <v>7044</v>
      </c>
      <c r="B63">
        <v>1020002</v>
      </c>
      <c r="C63" t="s">
        <v>7045</v>
      </c>
      <c r="D63" t="s">
        <v>6068</v>
      </c>
      <c r="E63">
        <f t="shared" si="0"/>
        <v>163</v>
      </c>
      <c r="F63">
        <f>+COUNTIF(ADV!Z:Z,A63)+COUNTIF(ADV!X:X,A63)+COUNTIF(ADV!Y:Y,A63)</f>
        <v>0</v>
      </c>
    </row>
    <row r="64" spans="1:6" x14ac:dyDescent="0.2">
      <c r="A64" t="s">
        <v>3800</v>
      </c>
      <c r="B64">
        <v>1030005</v>
      </c>
      <c r="C64" t="s">
        <v>6097</v>
      </c>
      <c r="D64" t="s">
        <v>6068</v>
      </c>
      <c r="E64">
        <f t="shared" si="0"/>
        <v>44</v>
      </c>
      <c r="F64">
        <f>+COUNTIF(ADV!Z:Z,A64)+COUNTIF(ADV!X:X,A64)+COUNTIF(ADV!Y:Y,A64)</f>
        <v>0</v>
      </c>
    </row>
    <row r="65" spans="1:6" x14ac:dyDescent="0.2">
      <c r="A65" t="s">
        <v>7046</v>
      </c>
      <c r="B65">
        <v>1030005</v>
      </c>
      <c r="C65" t="s">
        <v>7047</v>
      </c>
      <c r="D65" t="s">
        <v>6068</v>
      </c>
      <c r="E65">
        <f t="shared" si="0"/>
        <v>43</v>
      </c>
      <c r="F65">
        <f>+COUNTIF(ADV!Z:Z,A65)+COUNTIF(ADV!X:X,A65)+COUNTIF(ADV!Y:Y,A65)</f>
        <v>0</v>
      </c>
    </row>
    <row r="66" spans="1:6" x14ac:dyDescent="0.2">
      <c r="A66" t="s">
        <v>7048</v>
      </c>
      <c r="B66">
        <v>1030005</v>
      </c>
      <c r="C66" t="s">
        <v>7049</v>
      </c>
      <c r="D66" t="s">
        <v>6068</v>
      </c>
      <c r="E66">
        <f t="shared" ref="E66:E129" si="1">+LEN(C66)</f>
        <v>43</v>
      </c>
      <c r="F66">
        <f>+COUNTIF(ADV!Z:Z,A66)+COUNTIF(ADV!X:X,A66)+COUNTIF(ADV!Y:Y,A66)</f>
        <v>0</v>
      </c>
    </row>
    <row r="67" spans="1:6" x14ac:dyDescent="0.2">
      <c r="A67" t="s">
        <v>1482</v>
      </c>
      <c r="B67">
        <v>1030005</v>
      </c>
      <c r="C67" t="s">
        <v>6098</v>
      </c>
      <c r="D67" t="s">
        <v>6068</v>
      </c>
      <c r="E67">
        <f t="shared" si="1"/>
        <v>43</v>
      </c>
      <c r="F67">
        <f>+COUNTIF(ADV!Z:Z,A67)+COUNTIF(ADV!X:X,A67)+COUNTIF(ADV!Y:Y,A67)</f>
        <v>0</v>
      </c>
    </row>
    <row r="68" spans="1:6" x14ac:dyDescent="0.2">
      <c r="A68" t="s">
        <v>1481</v>
      </c>
      <c r="B68">
        <v>1030005</v>
      </c>
      <c r="C68" t="s">
        <v>6099</v>
      </c>
      <c r="D68" t="s">
        <v>6068</v>
      </c>
      <c r="E68">
        <f t="shared" si="1"/>
        <v>43</v>
      </c>
      <c r="F68">
        <f>+COUNTIF(ADV!Z:Z,A68)+COUNTIF(ADV!X:X,A68)+COUNTIF(ADV!Y:Y,A68)</f>
        <v>0</v>
      </c>
    </row>
    <row r="69" spans="1:6" x14ac:dyDescent="0.2">
      <c r="A69" t="s">
        <v>7050</v>
      </c>
      <c r="B69">
        <v>1010007</v>
      </c>
      <c r="C69" t="s">
        <v>7051</v>
      </c>
      <c r="D69" t="s">
        <v>6068</v>
      </c>
      <c r="E69">
        <f t="shared" si="1"/>
        <v>191</v>
      </c>
      <c r="F69">
        <f>+COUNTIF(ADV!Z:Z,A69)+COUNTIF(ADV!X:X,A69)+COUNTIF(ADV!Y:Y,A69)</f>
        <v>0</v>
      </c>
    </row>
    <row r="70" spans="1:6" x14ac:dyDescent="0.2">
      <c r="A70" t="s">
        <v>3900</v>
      </c>
      <c r="B70">
        <v>1010007</v>
      </c>
      <c r="C70" t="s">
        <v>6100</v>
      </c>
      <c r="D70" t="s">
        <v>6068</v>
      </c>
      <c r="E70">
        <f t="shared" si="1"/>
        <v>191</v>
      </c>
      <c r="F70">
        <f>+COUNTIF(ADV!Z:Z,A70)+COUNTIF(ADV!X:X,A70)+COUNTIF(ADV!Y:Y,A70)</f>
        <v>1</v>
      </c>
    </row>
    <row r="71" spans="1:6" x14ac:dyDescent="0.2">
      <c r="A71" t="s">
        <v>7052</v>
      </c>
      <c r="B71">
        <v>1010100</v>
      </c>
      <c r="C71" t="s">
        <v>7053</v>
      </c>
      <c r="D71" t="s">
        <v>6068</v>
      </c>
      <c r="E71">
        <f t="shared" si="1"/>
        <v>424</v>
      </c>
      <c r="F71">
        <f>+COUNTIF(ADV!Z:Z,A71)+COUNTIF(ADV!X:X,A71)+COUNTIF(ADV!Y:Y,A71)</f>
        <v>0</v>
      </c>
    </row>
    <row r="72" spans="1:6" x14ac:dyDescent="0.2">
      <c r="A72" t="s">
        <v>2519</v>
      </c>
      <c r="B72">
        <v>1010100</v>
      </c>
      <c r="C72" t="s">
        <v>6101</v>
      </c>
      <c r="D72" t="s">
        <v>6068</v>
      </c>
      <c r="E72">
        <f t="shared" si="1"/>
        <v>424</v>
      </c>
      <c r="F72">
        <f>+COUNTIF(ADV!Z:Z,A72)+COUNTIF(ADV!X:X,A72)+COUNTIF(ADV!Y:Y,A72)</f>
        <v>1</v>
      </c>
    </row>
    <row r="73" spans="1:6" x14ac:dyDescent="0.2">
      <c r="A73" t="s">
        <v>7054</v>
      </c>
      <c r="B73">
        <v>1020011</v>
      </c>
      <c r="C73" t="s">
        <v>7055</v>
      </c>
      <c r="D73" t="s">
        <v>6068</v>
      </c>
      <c r="E73">
        <f t="shared" si="1"/>
        <v>232</v>
      </c>
      <c r="F73">
        <f>+COUNTIF(ADV!Z:Z,A73)+COUNTIF(ADV!X:X,A73)+COUNTIF(ADV!Y:Y,A73)</f>
        <v>0</v>
      </c>
    </row>
    <row r="74" spans="1:6" x14ac:dyDescent="0.2">
      <c r="A74" t="s">
        <v>1934</v>
      </c>
      <c r="B74">
        <v>1020011</v>
      </c>
      <c r="C74" t="s">
        <v>6102</v>
      </c>
      <c r="D74" t="s">
        <v>6068</v>
      </c>
      <c r="E74">
        <f t="shared" si="1"/>
        <v>232</v>
      </c>
      <c r="F74">
        <f>+COUNTIF(ADV!Z:Z,A74)+COUNTIF(ADV!X:X,A74)+COUNTIF(ADV!Y:Y,A74)</f>
        <v>0</v>
      </c>
    </row>
    <row r="75" spans="1:6" x14ac:dyDescent="0.2">
      <c r="A75" t="s">
        <v>7056</v>
      </c>
      <c r="B75">
        <v>1020002</v>
      </c>
      <c r="C75" t="s">
        <v>7057</v>
      </c>
      <c r="D75" t="s">
        <v>6068</v>
      </c>
      <c r="E75">
        <f t="shared" si="1"/>
        <v>175</v>
      </c>
      <c r="F75">
        <f>+COUNTIF(ADV!Z:Z,A75)+COUNTIF(ADV!X:X,A75)+COUNTIF(ADV!Y:Y,A75)</f>
        <v>0</v>
      </c>
    </row>
    <row r="76" spans="1:6" x14ac:dyDescent="0.2">
      <c r="A76" t="s">
        <v>1450</v>
      </c>
      <c r="B76">
        <v>1020002</v>
      </c>
      <c r="C76" t="s">
        <v>6103</v>
      </c>
      <c r="D76" t="s">
        <v>6068</v>
      </c>
      <c r="E76">
        <f t="shared" si="1"/>
        <v>175</v>
      </c>
      <c r="F76">
        <f>+COUNTIF(ADV!Z:Z,A76)+COUNTIF(ADV!X:X,A76)+COUNTIF(ADV!Y:Y,A76)</f>
        <v>0</v>
      </c>
    </row>
    <row r="77" spans="1:6" x14ac:dyDescent="0.2">
      <c r="A77" t="s">
        <v>7058</v>
      </c>
      <c r="B77">
        <v>1020002</v>
      </c>
      <c r="C77" t="s">
        <v>7059</v>
      </c>
      <c r="D77" t="s">
        <v>6068</v>
      </c>
      <c r="E77">
        <f t="shared" si="1"/>
        <v>174</v>
      </c>
      <c r="F77">
        <f>+COUNTIF(ADV!Z:Z,A77)+COUNTIF(ADV!X:X,A77)+COUNTIF(ADV!Y:Y,A77)</f>
        <v>0</v>
      </c>
    </row>
    <row r="78" spans="1:6" x14ac:dyDescent="0.2">
      <c r="A78" t="s">
        <v>2020</v>
      </c>
      <c r="B78">
        <v>1030009</v>
      </c>
      <c r="C78" t="s">
        <v>6104</v>
      </c>
      <c r="D78" t="s">
        <v>6068</v>
      </c>
      <c r="E78">
        <f t="shared" si="1"/>
        <v>38</v>
      </c>
      <c r="F78">
        <f>+COUNTIF(ADV!Z:Z,A78)+COUNTIF(ADV!X:X,A78)+COUNTIF(ADV!Y:Y,A78)</f>
        <v>0</v>
      </c>
    </row>
    <row r="79" spans="1:6" x14ac:dyDescent="0.2">
      <c r="A79" t="s">
        <v>7060</v>
      </c>
      <c r="B79">
        <v>1030009</v>
      </c>
      <c r="C79" t="s">
        <v>7061</v>
      </c>
      <c r="D79" t="s">
        <v>6068</v>
      </c>
      <c r="E79">
        <f t="shared" si="1"/>
        <v>37</v>
      </c>
      <c r="F79">
        <f>+COUNTIF(ADV!Z:Z,A79)+COUNTIF(ADV!X:X,A79)+COUNTIF(ADV!Y:Y,A79)</f>
        <v>0</v>
      </c>
    </row>
    <row r="80" spans="1:6" x14ac:dyDescent="0.2">
      <c r="A80" t="s">
        <v>7062</v>
      </c>
      <c r="B80">
        <v>1030009</v>
      </c>
      <c r="C80" t="s">
        <v>7063</v>
      </c>
      <c r="D80" t="s">
        <v>6068</v>
      </c>
      <c r="E80">
        <f t="shared" si="1"/>
        <v>37</v>
      </c>
      <c r="F80">
        <f>+COUNTIF(ADV!Z:Z,A80)+COUNTIF(ADV!X:X,A80)+COUNTIF(ADV!Y:Y,A80)</f>
        <v>0</v>
      </c>
    </row>
    <row r="81" spans="1:6" x14ac:dyDescent="0.2">
      <c r="A81" t="s">
        <v>2276</v>
      </c>
      <c r="B81">
        <v>1030009</v>
      </c>
      <c r="C81" t="s">
        <v>6105</v>
      </c>
      <c r="D81" t="s">
        <v>6068</v>
      </c>
      <c r="E81">
        <f t="shared" si="1"/>
        <v>37</v>
      </c>
      <c r="F81">
        <f>+COUNTIF(ADV!Z:Z,A81)+COUNTIF(ADV!X:X,A81)+COUNTIF(ADV!Y:Y,A81)</f>
        <v>0</v>
      </c>
    </row>
    <row r="82" spans="1:6" x14ac:dyDescent="0.2">
      <c r="A82" t="s">
        <v>7064</v>
      </c>
      <c r="B82">
        <v>1030009</v>
      </c>
      <c r="C82" t="s">
        <v>7065</v>
      </c>
      <c r="D82" t="s">
        <v>6068</v>
      </c>
      <c r="E82">
        <f t="shared" si="1"/>
        <v>37</v>
      </c>
      <c r="F82">
        <f>+COUNTIF(ADV!Z:Z,A82)+COUNTIF(ADV!X:X,A82)+COUNTIF(ADV!Y:Y,A82)</f>
        <v>0</v>
      </c>
    </row>
    <row r="83" spans="1:6" x14ac:dyDescent="0.2">
      <c r="A83" t="s">
        <v>2275</v>
      </c>
      <c r="B83">
        <v>1030009</v>
      </c>
      <c r="C83" t="s">
        <v>6106</v>
      </c>
      <c r="D83" t="s">
        <v>6068</v>
      </c>
      <c r="E83">
        <f t="shared" si="1"/>
        <v>37</v>
      </c>
      <c r="F83">
        <f>+COUNTIF(ADV!Z:Z,A83)+COUNTIF(ADV!X:X,A83)+COUNTIF(ADV!Y:Y,A83)</f>
        <v>0</v>
      </c>
    </row>
    <row r="84" spans="1:6" x14ac:dyDescent="0.2">
      <c r="A84" t="s">
        <v>7066</v>
      </c>
      <c r="B84">
        <v>1030009</v>
      </c>
      <c r="C84" t="s">
        <v>7067</v>
      </c>
      <c r="D84" t="s">
        <v>6068</v>
      </c>
      <c r="E84">
        <f t="shared" si="1"/>
        <v>37</v>
      </c>
      <c r="F84">
        <f>+COUNTIF(ADV!Z:Z,A84)+COUNTIF(ADV!X:X,A84)+COUNTIF(ADV!Y:Y,A84)</f>
        <v>0</v>
      </c>
    </row>
    <row r="85" spans="1:6" x14ac:dyDescent="0.2">
      <c r="A85" t="s">
        <v>7068</v>
      </c>
      <c r="B85">
        <v>1030009</v>
      </c>
      <c r="C85" t="s">
        <v>7069</v>
      </c>
      <c r="D85" t="s">
        <v>6068</v>
      </c>
      <c r="E85">
        <f t="shared" si="1"/>
        <v>37</v>
      </c>
      <c r="F85">
        <f>+COUNTIF(ADV!Z:Z,A85)+COUNTIF(ADV!X:X,A85)+COUNTIF(ADV!Y:Y,A85)</f>
        <v>0</v>
      </c>
    </row>
    <row r="86" spans="1:6" x14ac:dyDescent="0.2">
      <c r="A86" t="s">
        <v>7070</v>
      </c>
      <c r="B86">
        <v>1030009</v>
      </c>
      <c r="C86" t="s">
        <v>7071</v>
      </c>
      <c r="D86" t="s">
        <v>6068</v>
      </c>
      <c r="E86">
        <f t="shared" si="1"/>
        <v>37</v>
      </c>
      <c r="F86">
        <f>+COUNTIF(ADV!Z:Z,A86)+COUNTIF(ADV!X:X,A86)+COUNTIF(ADV!Y:Y,A86)</f>
        <v>0</v>
      </c>
    </row>
    <row r="87" spans="1:6" x14ac:dyDescent="0.2">
      <c r="A87" t="s">
        <v>7072</v>
      </c>
      <c r="B87">
        <v>1010103</v>
      </c>
      <c r="C87" t="s">
        <v>7073</v>
      </c>
      <c r="D87" t="s">
        <v>6068</v>
      </c>
      <c r="E87">
        <f t="shared" si="1"/>
        <v>260</v>
      </c>
      <c r="F87">
        <f>+COUNTIF(ADV!Z:Z,A87)+COUNTIF(ADV!X:X,A87)+COUNTIF(ADV!Y:Y,A87)</f>
        <v>0</v>
      </c>
    </row>
    <row r="88" spans="1:6" x14ac:dyDescent="0.2">
      <c r="A88" t="s">
        <v>3504</v>
      </c>
      <c r="B88">
        <v>1010103</v>
      </c>
      <c r="C88" t="s">
        <v>6107</v>
      </c>
      <c r="D88" t="s">
        <v>6068</v>
      </c>
      <c r="E88">
        <f t="shared" si="1"/>
        <v>434</v>
      </c>
      <c r="F88">
        <f>+COUNTIF(ADV!Z:Z,A88)+COUNTIF(ADV!X:X,A88)+COUNTIF(ADV!Y:Y,A88)</f>
        <v>0</v>
      </c>
    </row>
    <row r="89" spans="1:6" x14ac:dyDescent="0.2">
      <c r="A89" t="s">
        <v>7074</v>
      </c>
      <c r="B89">
        <v>1010002</v>
      </c>
      <c r="C89" t="s">
        <v>7075</v>
      </c>
      <c r="D89" t="s">
        <v>6068</v>
      </c>
      <c r="E89">
        <f t="shared" si="1"/>
        <v>124</v>
      </c>
      <c r="F89">
        <f>+COUNTIF(ADV!Z:Z,A89)+COUNTIF(ADV!X:X,A89)+COUNTIF(ADV!Y:Y,A89)</f>
        <v>0</v>
      </c>
    </row>
    <row r="90" spans="1:6" x14ac:dyDescent="0.2">
      <c r="A90" t="s">
        <v>3506</v>
      </c>
      <c r="B90">
        <v>1010002</v>
      </c>
      <c r="C90" t="s">
        <v>6108</v>
      </c>
      <c r="D90" t="s">
        <v>6068</v>
      </c>
      <c r="E90">
        <f t="shared" si="1"/>
        <v>124</v>
      </c>
      <c r="F90">
        <f>+COUNTIF(ADV!Z:Z,A90)+COUNTIF(ADV!X:X,A90)+COUNTIF(ADV!Y:Y,A90)</f>
        <v>1</v>
      </c>
    </row>
    <row r="91" spans="1:6" x14ac:dyDescent="0.2">
      <c r="A91" t="s">
        <v>1147</v>
      </c>
      <c r="B91">
        <v>1020002</v>
      </c>
      <c r="C91" t="s">
        <v>6109</v>
      </c>
      <c r="D91" t="s">
        <v>6068</v>
      </c>
      <c r="E91">
        <f t="shared" si="1"/>
        <v>190</v>
      </c>
      <c r="F91">
        <f>+COUNTIF(ADV!Z:Z,A91)+COUNTIF(ADV!X:X,A91)+COUNTIF(ADV!Y:Y,A91)</f>
        <v>0</v>
      </c>
    </row>
    <row r="92" spans="1:6" x14ac:dyDescent="0.2">
      <c r="A92" t="s">
        <v>7076</v>
      </c>
      <c r="B92">
        <v>1020035</v>
      </c>
      <c r="C92" t="s">
        <v>7077</v>
      </c>
      <c r="D92" t="s">
        <v>6068</v>
      </c>
      <c r="E92">
        <f t="shared" si="1"/>
        <v>279</v>
      </c>
      <c r="F92">
        <f>+COUNTIF(ADV!Z:Z,A92)+COUNTIF(ADV!X:X,A92)+COUNTIF(ADV!Y:Y,A92)</f>
        <v>0</v>
      </c>
    </row>
    <row r="93" spans="1:6" x14ac:dyDescent="0.2">
      <c r="A93" t="s">
        <v>1649</v>
      </c>
      <c r="B93">
        <v>1020035</v>
      </c>
      <c r="C93" t="s">
        <v>6110</v>
      </c>
      <c r="D93" t="s">
        <v>6068</v>
      </c>
      <c r="E93">
        <f t="shared" si="1"/>
        <v>279</v>
      </c>
      <c r="F93">
        <f>+COUNTIF(ADV!Z:Z,A93)+COUNTIF(ADV!X:X,A93)+COUNTIF(ADV!Y:Y,A93)</f>
        <v>0</v>
      </c>
    </row>
    <row r="94" spans="1:6" x14ac:dyDescent="0.2">
      <c r="A94" t="s">
        <v>7078</v>
      </c>
      <c r="B94">
        <v>1010108</v>
      </c>
      <c r="C94" t="s">
        <v>7079</v>
      </c>
      <c r="D94" t="s">
        <v>6068</v>
      </c>
      <c r="E94">
        <f t="shared" si="1"/>
        <v>185</v>
      </c>
      <c r="F94">
        <f>+COUNTIF(ADV!Z:Z,A94)+COUNTIF(ADV!X:X,A94)+COUNTIF(ADV!Y:Y,A94)</f>
        <v>0</v>
      </c>
    </row>
    <row r="95" spans="1:6" x14ac:dyDescent="0.2">
      <c r="A95" t="s">
        <v>7080</v>
      </c>
      <c r="B95">
        <v>1010108</v>
      </c>
      <c r="C95" t="s">
        <v>7081</v>
      </c>
      <c r="D95" t="s">
        <v>6068</v>
      </c>
      <c r="E95">
        <f t="shared" si="1"/>
        <v>185</v>
      </c>
      <c r="F95">
        <f>+COUNTIF(ADV!Z:Z,A95)+COUNTIF(ADV!X:X,A95)+COUNTIF(ADV!Y:Y,A95)</f>
        <v>0</v>
      </c>
    </row>
    <row r="96" spans="1:6" x14ac:dyDescent="0.2">
      <c r="A96" t="s">
        <v>7082</v>
      </c>
      <c r="B96">
        <v>1010108</v>
      </c>
      <c r="C96" t="s">
        <v>7083</v>
      </c>
      <c r="D96" t="s">
        <v>6068</v>
      </c>
      <c r="E96">
        <f t="shared" si="1"/>
        <v>187</v>
      </c>
      <c r="F96">
        <f>+COUNTIF(ADV!Z:Z,A96)+COUNTIF(ADV!X:X,A96)+COUNTIF(ADV!Y:Y,A96)</f>
        <v>0</v>
      </c>
    </row>
    <row r="97" spans="1:6" x14ac:dyDescent="0.2">
      <c r="A97" t="s">
        <v>7084</v>
      </c>
      <c r="B97">
        <v>1010009</v>
      </c>
      <c r="C97" t="s">
        <v>7085</v>
      </c>
      <c r="D97" t="s">
        <v>6068</v>
      </c>
      <c r="E97">
        <f t="shared" si="1"/>
        <v>50</v>
      </c>
      <c r="F97">
        <f>+COUNTIF(ADV!Z:Z,A97)+COUNTIF(ADV!X:X,A97)+COUNTIF(ADV!Y:Y,A97)</f>
        <v>0</v>
      </c>
    </row>
    <row r="98" spans="1:6" x14ac:dyDescent="0.2">
      <c r="A98" t="s">
        <v>7086</v>
      </c>
      <c r="B98">
        <v>1010009</v>
      </c>
      <c r="C98" t="s">
        <v>7087</v>
      </c>
      <c r="D98" t="s">
        <v>6068</v>
      </c>
      <c r="E98">
        <f t="shared" si="1"/>
        <v>50</v>
      </c>
      <c r="F98">
        <f>+COUNTIF(ADV!Z:Z,A98)+COUNTIF(ADV!X:X,A98)+COUNTIF(ADV!Y:Y,A98)</f>
        <v>0</v>
      </c>
    </row>
    <row r="99" spans="1:6" x14ac:dyDescent="0.2">
      <c r="A99" t="s">
        <v>813</v>
      </c>
      <c r="B99">
        <v>1010009</v>
      </c>
      <c r="C99" t="s">
        <v>6111</v>
      </c>
      <c r="D99" t="s">
        <v>6068</v>
      </c>
      <c r="E99">
        <f t="shared" si="1"/>
        <v>50</v>
      </c>
      <c r="F99">
        <f>+COUNTIF(ADV!Z:Z,A99)+COUNTIF(ADV!X:X,A99)+COUNTIF(ADV!Y:Y,A99)</f>
        <v>0</v>
      </c>
    </row>
    <row r="100" spans="1:6" x14ac:dyDescent="0.2">
      <c r="A100" t="s">
        <v>7088</v>
      </c>
      <c r="B100">
        <v>1010009</v>
      </c>
      <c r="C100" t="s">
        <v>7089</v>
      </c>
      <c r="D100" t="s">
        <v>6068</v>
      </c>
      <c r="E100">
        <f t="shared" si="1"/>
        <v>50</v>
      </c>
      <c r="F100">
        <f>+COUNTIF(ADV!Z:Z,A100)+COUNTIF(ADV!X:X,A100)+COUNTIF(ADV!Y:Y,A100)</f>
        <v>0</v>
      </c>
    </row>
    <row r="101" spans="1:6" x14ac:dyDescent="0.2">
      <c r="A101" t="s">
        <v>909</v>
      </c>
      <c r="B101">
        <v>1010009</v>
      </c>
      <c r="C101" t="s">
        <v>6112</v>
      </c>
      <c r="D101" t="s">
        <v>6068</v>
      </c>
      <c r="E101">
        <f t="shared" si="1"/>
        <v>50</v>
      </c>
      <c r="F101">
        <f>+COUNTIF(ADV!Z:Z,A101)+COUNTIF(ADV!X:X,A101)+COUNTIF(ADV!Y:Y,A101)</f>
        <v>0</v>
      </c>
    </row>
    <row r="102" spans="1:6" x14ac:dyDescent="0.2">
      <c r="A102" t="s">
        <v>485</v>
      </c>
      <c r="B102">
        <v>1010009</v>
      </c>
      <c r="C102" t="s">
        <v>6113</v>
      </c>
      <c r="D102" t="s">
        <v>6068</v>
      </c>
      <c r="E102">
        <f t="shared" si="1"/>
        <v>50</v>
      </c>
      <c r="F102">
        <f>+COUNTIF(ADV!Z:Z,A102)+COUNTIF(ADV!X:X,A102)+COUNTIF(ADV!Y:Y,A102)</f>
        <v>9</v>
      </c>
    </row>
    <row r="103" spans="1:6" x14ac:dyDescent="0.2">
      <c r="A103" t="s">
        <v>7090</v>
      </c>
      <c r="B103">
        <v>1100002</v>
      </c>
      <c r="C103" t="s">
        <v>7091</v>
      </c>
      <c r="D103" t="s">
        <v>6068</v>
      </c>
      <c r="E103">
        <f t="shared" si="1"/>
        <v>43</v>
      </c>
      <c r="F103">
        <f>+COUNTIF(ADV!Z:Z,A103)+COUNTIF(ADV!X:X,A103)+COUNTIF(ADV!Y:Y,A103)</f>
        <v>0</v>
      </c>
    </row>
    <row r="104" spans="1:6" x14ac:dyDescent="0.2">
      <c r="A104" t="s">
        <v>7092</v>
      </c>
      <c r="B104">
        <v>1100002</v>
      </c>
      <c r="C104" t="s">
        <v>7093</v>
      </c>
      <c r="D104" t="s">
        <v>6068</v>
      </c>
      <c r="E104">
        <f t="shared" si="1"/>
        <v>43</v>
      </c>
      <c r="F104">
        <f>+COUNTIF(ADV!Z:Z,A104)+COUNTIF(ADV!X:X,A104)+COUNTIF(ADV!Y:Y,A104)</f>
        <v>0</v>
      </c>
    </row>
    <row r="105" spans="1:6" x14ac:dyDescent="0.2">
      <c r="A105" t="s">
        <v>7094</v>
      </c>
      <c r="B105">
        <v>1100002</v>
      </c>
      <c r="C105" t="s">
        <v>7095</v>
      </c>
      <c r="D105" t="s">
        <v>6068</v>
      </c>
      <c r="E105">
        <f t="shared" si="1"/>
        <v>43</v>
      </c>
      <c r="F105">
        <f>+COUNTIF(ADV!Z:Z,A105)+COUNTIF(ADV!X:X,A105)+COUNTIF(ADV!Y:Y,A105)</f>
        <v>0</v>
      </c>
    </row>
    <row r="106" spans="1:6" x14ac:dyDescent="0.2">
      <c r="A106" t="s">
        <v>7096</v>
      </c>
      <c r="B106">
        <v>1020022</v>
      </c>
      <c r="C106" t="s">
        <v>7097</v>
      </c>
      <c r="D106" t="s">
        <v>6068</v>
      </c>
      <c r="E106">
        <f t="shared" si="1"/>
        <v>532</v>
      </c>
      <c r="F106">
        <f>+COUNTIF(ADV!Z:Z,A106)+COUNTIF(ADV!X:X,A106)+COUNTIF(ADV!Y:Y,A106)</f>
        <v>0</v>
      </c>
    </row>
    <row r="107" spans="1:6" x14ac:dyDescent="0.2">
      <c r="A107" t="s">
        <v>1303</v>
      </c>
      <c r="B107">
        <v>1020022</v>
      </c>
      <c r="C107" t="s">
        <v>6114</v>
      </c>
      <c r="D107" t="s">
        <v>6068</v>
      </c>
      <c r="E107">
        <f t="shared" si="1"/>
        <v>532</v>
      </c>
      <c r="F107">
        <f>+COUNTIF(ADV!Z:Z,A107)+COUNTIF(ADV!X:X,A107)+COUNTIF(ADV!Y:Y,A107)</f>
        <v>0</v>
      </c>
    </row>
    <row r="108" spans="1:6" x14ac:dyDescent="0.2">
      <c r="A108" t="s">
        <v>7098</v>
      </c>
      <c r="B108">
        <v>1010006</v>
      </c>
      <c r="C108" t="s">
        <v>7099</v>
      </c>
      <c r="D108" t="s">
        <v>6068</v>
      </c>
      <c r="E108">
        <f t="shared" si="1"/>
        <v>41</v>
      </c>
      <c r="F108">
        <f>+COUNTIF(ADV!Z:Z,A108)+COUNTIF(ADV!X:X,A108)+COUNTIF(ADV!Y:Y,A108)</f>
        <v>0</v>
      </c>
    </row>
    <row r="109" spans="1:6" x14ac:dyDescent="0.2">
      <c r="A109" t="s">
        <v>862</v>
      </c>
      <c r="B109">
        <v>1010006</v>
      </c>
      <c r="C109" t="s">
        <v>7100</v>
      </c>
      <c r="D109" t="s">
        <v>6068</v>
      </c>
      <c r="E109">
        <f t="shared" si="1"/>
        <v>41</v>
      </c>
      <c r="F109">
        <f>+COUNTIF(ADV!Z:Z,A109)+COUNTIF(ADV!X:X,A109)+COUNTIF(ADV!Y:Y,A109)</f>
        <v>0</v>
      </c>
    </row>
    <row r="110" spans="1:6" x14ac:dyDescent="0.2">
      <c r="A110" t="s">
        <v>924</v>
      </c>
      <c r="B110">
        <v>1010006</v>
      </c>
      <c r="C110" t="s">
        <v>6115</v>
      </c>
      <c r="D110" t="s">
        <v>6068</v>
      </c>
      <c r="E110">
        <f t="shared" si="1"/>
        <v>41</v>
      </c>
      <c r="F110">
        <f>+COUNTIF(ADV!Z:Z,A110)+COUNTIF(ADV!X:X,A110)+COUNTIF(ADV!Y:Y,A110)</f>
        <v>0</v>
      </c>
    </row>
    <row r="111" spans="1:6" x14ac:dyDescent="0.2">
      <c r="A111" t="s">
        <v>718</v>
      </c>
      <c r="B111">
        <v>1010006</v>
      </c>
      <c r="C111" t="s">
        <v>6116</v>
      </c>
      <c r="D111" t="s">
        <v>6068</v>
      </c>
      <c r="E111">
        <f t="shared" si="1"/>
        <v>41</v>
      </c>
      <c r="F111">
        <f>+COUNTIF(ADV!Z:Z,A111)+COUNTIF(ADV!X:X,A111)+COUNTIF(ADV!Y:Y,A111)</f>
        <v>0</v>
      </c>
    </row>
    <row r="112" spans="1:6" x14ac:dyDescent="0.2">
      <c r="A112" t="s">
        <v>7101</v>
      </c>
      <c r="B112">
        <v>1010006</v>
      </c>
      <c r="C112" t="s">
        <v>7102</v>
      </c>
      <c r="D112" t="s">
        <v>6068</v>
      </c>
      <c r="E112">
        <f t="shared" si="1"/>
        <v>41</v>
      </c>
      <c r="F112">
        <f>+COUNTIF(ADV!Z:Z,A112)+COUNTIF(ADV!X:X,A112)+COUNTIF(ADV!Y:Y,A112)</f>
        <v>0</v>
      </c>
    </row>
    <row r="113" spans="1:6" x14ac:dyDescent="0.2">
      <c r="A113" t="s">
        <v>1140</v>
      </c>
      <c r="B113">
        <v>1010006</v>
      </c>
      <c r="C113" t="s">
        <v>6117</v>
      </c>
      <c r="D113" t="s">
        <v>6068</v>
      </c>
      <c r="E113">
        <f t="shared" si="1"/>
        <v>41</v>
      </c>
      <c r="F113">
        <f>+COUNTIF(ADV!Z:Z,A113)+COUNTIF(ADV!X:X,A113)+COUNTIF(ADV!Y:Y,A113)</f>
        <v>9</v>
      </c>
    </row>
    <row r="114" spans="1:6" x14ac:dyDescent="0.2">
      <c r="A114" t="s">
        <v>7103</v>
      </c>
      <c r="B114">
        <v>1010006</v>
      </c>
      <c r="C114" t="s">
        <v>7104</v>
      </c>
      <c r="D114" t="s">
        <v>6068</v>
      </c>
      <c r="E114">
        <f t="shared" si="1"/>
        <v>40</v>
      </c>
      <c r="F114">
        <f>+COUNTIF(ADV!Z:Z,A114)+COUNTIF(ADV!X:X,A114)+COUNTIF(ADV!Y:Y,A114)</f>
        <v>0</v>
      </c>
    </row>
    <row r="115" spans="1:6" x14ac:dyDescent="0.2">
      <c r="A115" t="s">
        <v>7105</v>
      </c>
      <c r="B115">
        <v>1010006</v>
      </c>
      <c r="C115" t="s">
        <v>7106</v>
      </c>
      <c r="D115" t="s">
        <v>6068</v>
      </c>
      <c r="E115">
        <f t="shared" si="1"/>
        <v>40</v>
      </c>
      <c r="F115">
        <f>+COUNTIF(ADV!Z:Z,A115)+COUNTIF(ADV!X:X,A115)+COUNTIF(ADV!Y:Y,A115)</f>
        <v>0</v>
      </c>
    </row>
    <row r="116" spans="1:6" x14ac:dyDescent="0.2">
      <c r="A116" t="s">
        <v>1320</v>
      </c>
      <c r="B116">
        <v>1030002</v>
      </c>
      <c r="C116" t="s">
        <v>6118</v>
      </c>
      <c r="D116" t="s">
        <v>6068</v>
      </c>
      <c r="E116">
        <f t="shared" si="1"/>
        <v>42</v>
      </c>
      <c r="F116">
        <f>+COUNTIF(ADV!Z:Z,A116)+COUNTIF(ADV!X:X,A116)+COUNTIF(ADV!Y:Y,A116)</f>
        <v>0</v>
      </c>
    </row>
    <row r="117" spans="1:6" x14ac:dyDescent="0.2">
      <c r="A117" t="s">
        <v>7107</v>
      </c>
      <c r="B117">
        <v>1030002</v>
      </c>
      <c r="C117" t="s">
        <v>7108</v>
      </c>
      <c r="D117" t="s">
        <v>6068</v>
      </c>
      <c r="E117">
        <f t="shared" si="1"/>
        <v>41</v>
      </c>
      <c r="F117">
        <f>+COUNTIF(ADV!Z:Z,A117)+COUNTIF(ADV!X:X,A117)+COUNTIF(ADV!Y:Y,A117)</f>
        <v>0</v>
      </c>
    </row>
    <row r="118" spans="1:6" x14ac:dyDescent="0.2">
      <c r="A118" t="s">
        <v>7109</v>
      </c>
      <c r="B118">
        <v>1030002</v>
      </c>
      <c r="C118" t="s">
        <v>7110</v>
      </c>
      <c r="D118" t="s">
        <v>6068</v>
      </c>
      <c r="E118">
        <f t="shared" si="1"/>
        <v>41</v>
      </c>
      <c r="F118">
        <f>+COUNTIF(ADV!Z:Z,A118)+COUNTIF(ADV!X:X,A118)+COUNTIF(ADV!Y:Y,A118)</f>
        <v>0</v>
      </c>
    </row>
    <row r="119" spans="1:6" x14ac:dyDescent="0.2">
      <c r="A119" t="s">
        <v>1496</v>
      </c>
      <c r="B119">
        <v>1030002</v>
      </c>
      <c r="C119" t="s">
        <v>6119</v>
      </c>
      <c r="D119" t="s">
        <v>6068</v>
      </c>
      <c r="E119">
        <f t="shared" si="1"/>
        <v>41</v>
      </c>
      <c r="F119">
        <f>+COUNTIF(ADV!Z:Z,A119)+COUNTIF(ADV!X:X,A119)+COUNTIF(ADV!Y:Y,A119)</f>
        <v>0</v>
      </c>
    </row>
    <row r="120" spans="1:6" x14ac:dyDescent="0.2">
      <c r="A120" t="s">
        <v>1180</v>
      </c>
      <c r="B120">
        <v>1030002</v>
      </c>
      <c r="C120" t="s">
        <v>6120</v>
      </c>
      <c r="D120" t="s">
        <v>6068</v>
      </c>
      <c r="E120">
        <f t="shared" si="1"/>
        <v>41</v>
      </c>
      <c r="F120">
        <f>+COUNTIF(ADV!Z:Z,A120)+COUNTIF(ADV!X:X,A120)+COUNTIF(ADV!Y:Y,A120)</f>
        <v>0</v>
      </c>
    </row>
    <row r="121" spans="1:6" x14ac:dyDescent="0.2">
      <c r="A121" t="s">
        <v>7111</v>
      </c>
      <c r="B121">
        <v>1070002</v>
      </c>
      <c r="C121" t="s">
        <v>7112</v>
      </c>
      <c r="D121" t="s">
        <v>6068</v>
      </c>
      <c r="E121">
        <f t="shared" si="1"/>
        <v>43</v>
      </c>
      <c r="F121">
        <f>+COUNTIF(ADV!Z:Z,A121)+COUNTIF(ADV!X:X,A121)+COUNTIF(ADV!Y:Y,A121)</f>
        <v>0</v>
      </c>
    </row>
    <row r="122" spans="1:6" x14ac:dyDescent="0.2">
      <c r="A122" t="s">
        <v>7113</v>
      </c>
      <c r="B122">
        <v>1070002</v>
      </c>
      <c r="C122" t="s">
        <v>7114</v>
      </c>
      <c r="D122" t="s">
        <v>6068</v>
      </c>
      <c r="E122">
        <f t="shared" si="1"/>
        <v>43</v>
      </c>
      <c r="F122">
        <f>+COUNTIF(ADV!Z:Z,A122)+COUNTIF(ADV!X:X,A122)+COUNTIF(ADV!Y:Y,A122)</f>
        <v>0</v>
      </c>
    </row>
    <row r="123" spans="1:6" x14ac:dyDescent="0.2">
      <c r="A123" t="s">
        <v>7115</v>
      </c>
      <c r="B123">
        <v>1070002</v>
      </c>
      <c r="C123" t="s">
        <v>7116</v>
      </c>
      <c r="D123" t="s">
        <v>6068</v>
      </c>
      <c r="E123">
        <f t="shared" si="1"/>
        <v>43</v>
      </c>
      <c r="F123">
        <f>+COUNTIF(ADV!Z:Z,A123)+COUNTIF(ADV!X:X,A123)+COUNTIF(ADV!Y:Y,A123)</f>
        <v>0</v>
      </c>
    </row>
    <row r="124" spans="1:6" x14ac:dyDescent="0.2">
      <c r="A124" t="s">
        <v>7117</v>
      </c>
      <c r="B124">
        <v>1010188</v>
      </c>
      <c r="C124" t="s">
        <v>7118</v>
      </c>
      <c r="D124" t="s">
        <v>6068</v>
      </c>
      <c r="E124">
        <f t="shared" si="1"/>
        <v>255</v>
      </c>
      <c r="F124">
        <f>+COUNTIF(ADV!Z:Z,A124)+COUNTIF(ADV!X:X,A124)+COUNTIF(ADV!Y:Y,A124)</f>
        <v>0</v>
      </c>
    </row>
    <row r="125" spans="1:6" x14ac:dyDescent="0.2">
      <c r="A125" t="s">
        <v>2719</v>
      </c>
      <c r="B125">
        <v>1010188</v>
      </c>
      <c r="C125" t="s">
        <v>6121</v>
      </c>
      <c r="D125" t="s">
        <v>6068</v>
      </c>
      <c r="E125">
        <f t="shared" si="1"/>
        <v>457</v>
      </c>
      <c r="F125">
        <f>+COUNTIF(ADV!Z:Z,A125)+COUNTIF(ADV!X:X,A125)+COUNTIF(ADV!Y:Y,A125)</f>
        <v>1</v>
      </c>
    </row>
    <row r="126" spans="1:6" x14ac:dyDescent="0.2">
      <c r="A126" t="s">
        <v>7119</v>
      </c>
      <c r="B126">
        <v>1010084</v>
      </c>
      <c r="C126" t="s">
        <v>7120</v>
      </c>
      <c r="D126" t="s">
        <v>6068</v>
      </c>
      <c r="E126">
        <f t="shared" si="1"/>
        <v>259</v>
      </c>
      <c r="F126">
        <f>+COUNTIF(ADV!Z:Z,A126)+COUNTIF(ADV!X:X,A126)+COUNTIF(ADV!Y:Y,A126)</f>
        <v>0</v>
      </c>
    </row>
    <row r="127" spans="1:6" x14ac:dyDescent="0.2">
      <c r="A127" t="s">
        <v>2111</v>
      </c>
      <c r="B127">
        <v>1010084</v>
      </c>
      <c r="C127" t="s">
        <v>6122</v>
      </c>
      <c r="D127" t="s">
        <v>6068</v>
      </c>
      <c r="E127">
        <f t="shared" si="1"/>
        <v>259</v>
      </c>
      <c r="F127">
        <f>+COUNTIF(ADV!Z:Z,A127)+COUNTIF(ADV!X:X,A127)+COUNTIF(ADV!Y:Y,A127)</f>
        <v>0</v>
      </c>
    </row>
    <row r="128" spans="1:6" x14ac:dyDescent="0.2">
      <c r="A128" t="s">
        <v>7121</v>
      </c>
      <c r="B128">
        <v>1010025</v>
      </c>
      <c r="C128" t="s">
        <v>7122</v>
      </c>
      <c r="D128" t="s">
        <v>6068</v>
      </c>
      <c r="E128">
        <f t="shared" si="1"/>
        <v>106</v>
      </c>
      <c r="F128">
        <f>+COUNTIF(ADV!Z:Z,A128)+COUNTIF(ADV!X:X,A128)+COUNTIF(ADV!Y:Y,A128)</f>
        <v>0</v>
      </c>
    </row>
    <row r="129" spans="1:6" x14ac:dyDescent="0.2">
      <c r="A129" t="s">
        <v>7123</v>
      </c>
      <c r="B129">
        <v>1010025</v>
      </c>
      <c r="C129" t="s">
        <v>7124</v>
      </c>
      <c r="D129" t="s">
        <v>6068</v>
      </c>
      <c r="E129">
        <f t="shared" si="1"/>
        <v>106</v>
      </c>
      <c r="F129">
        <f>+COUNTIF(ADV!Z:Z,A129)+COUNTIF(ADV!X:X,A129)+COUNTIF(ADV!Y:Y,A129)</f>
        <v>0</v>
      </c>
    </row>
    <row r="130" spans="1:6" x14ac:dyDescent="0.2">
      <c r="A130" t="s">
        <v>499</v>
      </c>
      <c r="B130">
        <v>1010025</v>
      </c>
      <c r="C130" t="s">
        <v>6123</v>
      </c>
      <c r="D130" t="s">
        <v>6068</v>
      </c>
      <c r="E130">
        <f t="shared" ref="E130:E193" si="2">+LEN(C130)</f>
        <v>405</v>
      </c>
      <c r="F130">
        <f>+COUNTIF(ADV!Z:Z,A130)+COUNTIF(ADV!X:X,A130)+COUNTIF(ADV!Y:Y,A130)</f>
        <v>0</v>
      </c>
    </row>
    <row r="131" spans="1:6" x14ac:dyDescent="0.2">
      <c r="A131" t="s">
        <v>7125</v>
      </c>
      <c r="B131">
        <v>1010156</v>
      </c>
      <c r="C131" t="s">
        <v>7126</v>
      </c>
      <c r="D131" t="s">
        <v>6068</v>
      </c>
      <c r="E131">
        <f t="shared" si="2"/>
        <v>634</v>
      </c>
      <c r="F131">
        <f>+COUNTIF(ADV!Z:Z,A131)+COUNTIF(ADV!X:X,A131)+COUNTIF(ADV!Y:Y,A131)</f>
        <v>0</v>
      </c>
    </row>
    <row r="132" spans="1:6" x14ac:dyDescent="0.2">
      <c r="A132" t="s">
        <v>3723</v>
      </c>
      <c r="B132">
        <v>1010156</v>
      </c>
      <c r="C132" t="s">
        <v>6124</v>
      </c>
      <c r="D132" t="s">
        <v>6068</v>
      </c>
      <c r="E132">
        <f t="shared" si="2"/>
        <v>621</v>
      </c>
      <c r="F132">
        <f>+COUNTIF(ADV!Z:Z,A132)+COUNTIF(ADV!X:X,A132)+COUNTIF(ADV!Y:Y,A132)</f>
        <v>0</v>
      </c>
    </row>
    <row r="133" spans="1:6" x14ac:dyDescent="0.2">
      <c r="A133" t="s">
        <v>7127</v>
      </c>
      <c r="B133">
        <v>1010008</v>
      </c>
      <c r="C133" t="s">
        <v>7128</v>
      </c>
      <c r="D133" t="s">
        <v>6068</v>
      </c>
      <c r="E133">
        <f t="shared" si="2"/>
        <v>149</v>
      </c>
      <c r="F133">
        <f>+COUNTIF(ADV!Z:Z,A133)+COUNTIF(ADV!X:X,A133)+COUNTIF(ADV!Y:Y,A133)</f>
        <v>0</v>
      </c>
    </row>
    <row r="134" spans="1:6" x14ac:dyDescent="0.2">
      <c r="A134" t="s">
        <v>1821</v>
      </c>
      <c r="B134">
        <v>1010008</v>
      </c>
      <c r="C134" t="s">
        <v>6125</v>
      </c>
      <c r="D134" t="s">
        <v>6068</v>
      </c>
      <c r="E134">
        <f t="shared" si="2"/>
        <v>149</v>
      </c>
      <c r="F134">
        <f>+COUNTIF(ADV!Z:Z,A134)+COUNTIF(ADV!X:X,A134)+COUNTIF(ADV!Y:Y,A134)</f>
        <v>1</v>
      </c>
    </row>
    <row r="135" spans="1:6" x14ac:dyDescent="0.2">
      <c r="A135" t="s">
        <v>7129</v>
      </c>
      <c r="B135">
        <v>1020036</v>
      </c>
      <c r="C135" t="s">
        <v>7130</v>
      </c>
      <c r="D135" t="s">
        <v>6068</v>
      </c>
      <c r="E135">
        <f t="shared" si="2"/>
        <v>91</v>
      </c>
      <c r="F135">
        <f>+COUNTIF(ADV!Z:Z,A135)+COUNTIF(ADV!X:X,A135)+COUNTIF(ADV!Y:Y,A135)</f>
        <v>0</v>
      </c>
    </row>
    <row r="136" spans="1:6" x14ac:dyDescent="0.2">
      <c r="A136" t="s">
        <v>1335</v>
      </c>
      <c r="B136">
        <v>1020036</v>
      </c>
      <c r="C136" t="s">
        <v>6126</v>
      </c>
      <c r="D136" t="s">
        <v>6068</v>
      </c>
      <c r="E136">
        <f t="shared" si="2"/>
        <v>89</v>
      </c>
      <c r="F136">
        <f>+COUNTIF(ADV!Z:Z,A136)+COUNTIF(ADV!X:X,A136)+COUNTIF(ADV!Y:Y,A136)</f>
        <v>0</v>
      </c>
    </row>
    <row r="137" spans="1:6" x14ac:dyDescent="0.2">
      <c r="A137" t="s">
        <v>1246</v>
      </c>
      <c r="B137">
        <v>1020036</v>
      </c>
      <c r="C137" t="s">
        <v>6127</v>
      </c>
      <c r="D137" t="s">
        <v>6068</v>
      </c>
      <c r="E137">
        <f t="shared" si="2"/>
        <v>89</v>
      </c>
      <c r="F137">
        <f>+COUNTIF(ADV!Z:Z,A137)+COUNTIF(ADV!X:X,A137)+COUNTIF(ADV!Y:Y,A137)</f>
        <v>2</v>
      </c>
    </row>
    <row r="138" spans="1:6" x14ac:dyDescent="0.2">
      <c r="A138" t="s">
        <v>7131</v>
      </c>
      <c r="B138">
        <v>1010032</v>
      </c>
      <c r="C138" t="s">
        <v>7132</v>
      </c>
      <c r="D138" t="s">
        <v>6068</v>
      </c>
      <c r="E138">
        <f t="shared" si="2"/>
        <v>471</v>
      </c>
      <c r="F138">
        <f>+COUNTIF(ADV!Z:Z,A138)+COUNTIF(ADV!X:X,A138)+COUNTIF(ADV!Y:Y,A138)</f>
        <v>0</v>
      </c>
    </row>
    <row r="139" spans="1:6" x14ac:dyDescent="0.2">
      <c r="A139" t="s">
        <v>7133</v>
      </c>
      <c r="B139">
        <v>1010032</v>
      </c>
      <c r="C139" t="s">
        <v>7134</v>
      </c>
      <c r="D139" t="s">
        <v>6068</v>
      </c>
      <c r="E139">
        <f t="shared" si="2"/>
        <v>471</v>
      </c>
      <c r="F139">
        <f>+COUNTIF(ADV!Z:Z,A139)+COUNTIF(ADV!X:X,A139)+COUNTIF(ADV!Y:Y,A139)</f>
        <v>0</v>
      </c>
    </row>
    <row r="140" spans="1:6" x14ac:dyDescent="0.2">
      <c r="A140" t="s">
        <v>2991</v>
      </c>
      <c r="B140">
        <v>1010032</v>
      </c>
      <c r="C140" t="s">
        <v>6128</v>
      </c>
      <c r="D140" t="s">
        <v>6068</v>
      </c>
      <c r="E140">
        <f t="shared" si="2"/>
        <v>471</v>
      </c>
      <c r="F140">
        <f>+COUNTIF(ADV!Z:Z,A140)+COUNTIF(ADV!X:X,A140)+COUNTIF(ADV!Y:Y,A140)</f>
        <v>1</v>
      </c>
    </row>
    <row r="141" spans="1:6" x14ac:dyDescent="0.2">
      <c r="A141" t="s">
        <v>7135</v>
      </c>
      <c r="B141">
        <v>1010085</v>
      </c>
      <c r="C141" t="s">
        <v>7136</v>
      </c>
      <c r="D141" t="s">
        <v>6068</v>
      </c>
      <c r="E141">
        <f t="shared" si="2"/>
        <v>100</v>
      </c>
      <c r="F141">
        <f>+COUNTIF(ADV!Z:Z,A141)+COUNTIF(ADV!X:X,A141)+COUNTIF(ADV!Y:Y,A141)</f>
        <v>0</v>
      </c>
    </row>
    <row r="142" spans="1:6" x14ac:dyDescent="0.2">
      <c r="A142" t="s">
        <v>1089</v>
      </c>
      <c r="B142">
        <v>1010085</v>
      </c>
      <c r="C142" t="s">
        <v>6129</v>
      </c>
      <c r="D142" t="s">
        <v>6068</v>
      </c>
      <c r="E142">
        <f t="shared" si="2"/>
        <v>399</v>
      </c>
      <c r="F142">
        <f>+COUNTIF(ADV!Z:Z,A142)+COUNTIF(ADV!X:X,A142)+COUNTIF(ADV!Y:Y,A142)</f>
        <v>0</v>
      </c>
    </row>
    <row r="143" spans="1:6" x14ac:dyDescent="0.2">
      <c r="A143" t="s">
        <v>7137</v>
      </c>
      <c r="B143">
        <v>1030011</v>
      </c>
      <c r="C143" t="s">
        <v>7138</v>
      </c>
      <c r="D143" t="s">
        <v>6068</v>
      </c>
      <c r="E143">
        <f t="shared" si="2"/>
        <v>48</v>
      </c>
      <c r="F143">
        <f>+COUNTIF(ADV!Z:Z,A143)+COUNTIF(ADV!X:X,A143)+COUNTIF(ADV!Y:Y,A143)</f>
        <v>0</v>
      </c>
    </row>
    <row r="144" spans="1:6" x14ac:dyDescent="0.2">
      <c r="A144" t="s">
        <v>1090</v>
      </c>
      <c r="B144">
        <v>1030011</v>
      </c>
      <c r="C144" t="s">
        <v>6130</v>
      </c>
      <c r="D144" t="s">
        <v>6068</v>
      </c>
      <c r="E144">
        <f t="shared" si="2"/>
        <v>49</v>
      </c>
      <c r="F144">
        <f>+COUNTIF(ADV!Z:Z,A144)+COUNTIF(ADV!X:X,A144)+COUNTIF(ADV!Y:Y,A144)</f>
        <v>0</v>
      </c>
    </row>
    <row r="145" spans="1:6" x14ac:dyDescent="0.2">
      <c r="A145" t="s">
        <v>191</v>
      </c>
      <c r="B145">
        <v>1010001</v>
      </c>
      <c r="C145" t="s">
        <v>6131</v>
      </c>
      <c r="D145" t="s">
        <v>6068</v>
      </c>
      <c r="E145">
        <f t="shared" si="2"/>
        <v>462</v>
      </c>
      <c r="F145">
        <f>+COUNTIF(ADV!Z:Z,A145)+COUNTIF(ADV!X:X,A145)+COUNTIF(ADV!Y:Y,A145)</f>
        <v>0</v>
      </c>
    </row>
    <row r="146" spans="1:6" x14ac:dyDescent="0.2">
      <c r="A146" t="s">
        <v>7139</v>
      </c>
      <c r="B146">
        <v>1020011</v>
      </c>
      <c r="C146" t="s">
        <v>7140</v>
      </c>
      <c r="D146" t="s">
        <v>6068</v>
      </c>
      <c r="E146">
        <f t="shared" si="2"/>
        <v>52</v>
      </c>
      <c r="F146">
        <f>+COUNTIF(ADV!Z:Z,A146)+COUNTIF(ADV!X:X,A146)+COUNTIF(ADV!Y:Y,A146)</f>
        <v>0</v>
      </c>
    </row>
    <row r="147" spans="1:6" x14ac:dyDescent="0.2">
      <c r="A147" t="s">
        <v>1480</v>
      </c>
      <c r="B147">
        <v>1020011</v>
      </c>
      <c r="C147" t="s">
        <v>6132</v>
      </c>
      <c r="D147" t="s">
        <v>6068</v>
      </c>
      <c r="E147">
        <f t="shared" si="2"/>
        <v>52</v>
      </c>
      <c r="F147">
        <f>+COUNTIF(ADV!Z:Z,A147)+COUNTIF(ADV!X:X,A147)+COUNTIF(ADV!Y:Y,A147)</f>
        <v>0</v>
      </c>
    </row>
    <row r="148" spans="1:6" x14ac:dyDescent="0.2">
      <c r="A148" t="s">
        <v>2067</v>
      </c>
      <c r="B148">
        <v>1020011</v>
      </c>
      <c r="C148" t="s">
        <v>6133</v>
      </c>
      <c r="D148" t="s">
        <v>6068</v>
      </c>
      <c r="E148">
        <f t="shared" si="2"/>
        <v>52</v>
      </c>
      <c r="F148">
        <f>+COUNTIF(ADV!Z:Z,A148)+COUNTIF(ADV!X:X,A148)+COUNTIF(ADV!Y:Y,A148)</f>
        <v>0</v>
      </c>
    </row>
    <row r="149" spans="1:6" x14ac:dyDescent="0.2">
      <c r="A149" t="s">
        <v>1108</v>
      </c>
      <c r="B149">
        <v>1020011</v>
      </c>
      <c r="C149" t="s">
        <v>6134</v>
      </c>
      <c r="D149" t="s">
        <v>6068</v>
      </c>
      <c r="E149">
        <f t="shared" si="2"/>
        <v>52</v>
      </c>
      <c r="F149">
        <f>+COUNTIF(ADV!Z:Z,A149)+COUNTIF(ADV!X:X,A149)+COUNTIF(ADV!Y:Y,A149)</f>
        <v>0</v>
      </c>
    </row>
    <row r="150" spans="1:6" x14ac:dyDescent="0.2">
      <c r="A150" t="s">
        <v>581</v>
      </c>
      <c r="B150">
        <v>1020011</v>
      </c>
      <c r="C150" t="s">
        <v>6135</v>
      </c>
      <c r="D150" t="s">
        <v>6068</v>
      </c>
      <c r="E150">
        <f t="shared" si="2"/>
        <v>52</v>
      </c>
      <c r="F150">
        <f>+COUNTIF(ADV!Z:Z,A150)+COUNTIF(ADV!X:X,A150)+COUNTIF(ADV!Y:Y,A150)</f>
        <v>9</v>
      </c>
    </row>
    <row r="151" spans="1:6" x14ac:dyDescent="0.2">
      <c r="A151" t="s">
        <v>7141</v>
      </c>
      <c r="B151">
        <v>1020011</v>
      </c>
      <c r="C151" t="s">
        <v>7142</v>
      </c>
      <c r="D151" t="s">
        <v>6068</v>
      </c>
      <c r="E151">
        <f t="shared" si="2"/>
        <v>51</v>
      </c>
      <c r="F151">
        <f>+COUNTIF(ADV!Z:Z,A151)+COUNTIF(ADV!X:X,A151)+COUNTIF(ADV!Y:Y,A151)</f>
        <v>0</v>
      </c>
    </row>
    <row r="152" spans="1:6" x14ac:dyDescent="0.2">
      <c r="A152" t="s">
        <v>7143</v>
      </c>
      <c r="B152">
        <v>1020011</v>
      </c>
      <c r="C152" t="s">
        <v>7144</v>
      </c>
      <c r="D152" t="s">
        <v>6068</v>
      </c>
      <c r="E152">
        <f t="shared" si="2"/>
        <v>107</v>
      </c>
      <c r="F152">
        <f>+COUNTIF(ADV!Z:Z,A152)+COUNTIF(ADV!X:X,A152)+COUNTIF(ADV!Y:Y,A152)</f>
        <v>0</v>
      </c>
    </row>
    <row r="153" spans="1:6" x14ac:dyDescent="0.2">
      <c r="A153" t="s">
        <v>7145</v>
      </c>
      <c r="B153">
        <v>1020011</v>
      </c>
      <c r="C153" t="s">
        <v>7146</v>
      </c>
      <c r="D153" t="s">
        <v>6068</v>
      </c>
      <c r="E153">
        <f t="shared" si="2"/>
        <v>107</v>
      </c>
      <c r="F153">
        <f>+COUNTIF(ADV!Z:Z,A153)+COUNTIF(ADV!X:X,A153)+COUNTIF(ADV!Y:Y,A153)</f>
        <v>0</v>
      </c>
    </row>
    <row r="154" spans="1:6" x14ac:dyDescent="0.2">
      <c r="A154" t="s">
        <v>7147</v>
      </c>
      <c r="B154">
        <v>1020011</v>
      </c>
      <c r="C154" t="s">
        <v>7148</v>
      </c>
      <c r="D154" t="s">
        <v>6068</v>
      </c>
      <c r="E154">
        <f t="shared" si="2"/>
        <v>106</v>
      </c>
      <c r="F154">
        <f>+COUNTIF(ADV!Z:Z,A154)+COUNTIF(ADV!X:X,A154)+COUNTIF(ADV!Y:Y,A154)</f>
        <v>0</v>
      </c>
    </row>
    <row r="155" spans="1:6" x14ac:dyDescent="0.2">
      <c r="A155" t="s">
        <v>7149</v>
      </c>
      <c r="B155">
        <v>1010058</v>
      </c>
      <c r="C155" t="s">
        <v>7150</v>
      </c>
      <c r="D155" t="s">
        <v>6068</v>
      </c>
      <c r="E155">
        <f t="shared" si="2"/>
        <v>363</v>
      </c>
      <c r="F155">
        <f>+COUNTIF(ADV!Z:Z,A155)+COUNTIF(ADV!X:X,A155)+COUNTIF(ADV!Y:Y,A155)</f>
        <v>0</v>
      </c>
    </row>
    <row r="156" spans="1:6" x14ac:dyDescent="0.2">
      <c r="A156" t="s">
        <v>1214</v>
      </c>
      <c r="B156">
        <v>1010058</v>
      </c>
      <c r="C156" t="s">
        <v>6136</v>
      </c>
      <c r="D156" t="s">
        <v>6068</v>
      </c>
      <c r="E156">
        <f t="shared" si="2"/>
        <v>363</v>
      </c>
      <c r="F156">
        <f>+COUNTIF(ADV!Z:Z,A156)+COUNTIF(ADV!X:X,A156)+COUNTIF(ADV!Y:Y,A156)</f>
        <v>0</v>
      </c>
    </row>
    <row r="157" spans="1:6" x14ac:dyDescent="0.2">
      <c r="A157" t="s">
        <v>469</v>
      </c>
      <c r="B157">
        <v>1010058</v>
      </c>
      <c r="C157" t="s">
        <v>6137</v>
      </c>
      <c r="D157" t="s">
        <v>6068</v>
      </c>
      <c r="E157">
        <f t="shared" si="2"/>
        <v>527</v>
      </c>
      <c r="F157">
        <f>+COUNTIF(ADV!Z:Z,A157)+COUNTIF(ADV!X:X,A157)+COUNTIF(ADV!Y:Y,A157)</f>
        <v>0</v>
      </c>
    </row>
    <row r="158" spans="1:6" x14ac:dyDescent="0.2">
      <c r="A158" t="s">
        <v>7151</v>
      </c>
      <c r="B158">
        <v>1020014</v>
      </c>
      <c r="C158" t="s">
        <v>7152</v>
      </c>
      <c r="D158" t="s">
        <v>6068</v>
      </c>
      <c r="E158">
        <f t="shared" si="2"/>
        <v>169</v>
      </c>
      <c r="F158">
        <f>+COUNTIF(ADV!Z:Z,A158)+COUNTIF(ADV!X:X,A158)+COUNTIF(ADV!Y:Y,A158)</f>
        <v>0</v>
      </c>
    </row>
    <row r="159" spans="1:6" x14ac:dyDescent="0.2">
      <c r="A159" t="s">
        <v>7153</v>
      </c>
      <c r="B159">
        <v>1020014</v>
      </c>
      <c r="C159" t="s">
        <v>7154</v>
      </c>
      <c r="D159" t="s">
        <v>6068</v>
      </c>
      <c r="E159">
        <f t="shared" si="2"/>
        <v>169</v>
      </c>
      <c r="F159">
        <f>+COUNTIF(ADV!Z:Z,A159)+COUNTIF(ADV!X:X,A159)+COUNTIF(ADV!Y:Y,A159)</f>
        <v>0</v>
      </c>
    </row>
    <row r="160" spans="1:6" x14ac:dyDescent="0.2">
      <c r="A160" t="s">
        <v>7155</v>
      </c>
      <c r="B160">
        <v>1020011</v>
      </c>
      <c r="C160" t="s">
        <v>7156</v>
      </c>
      <c r="D160" t="s">
        <v>6068</v>
      </c>
      <c r="E160">
        <f t="shared" si="2"/>
        <v>195</v>
      </c>
      <c r="F160">
        <f>+COUNTIF(ADV!Z:Z,A160)+COUNTIF(ADV!X:X,A160)+COUNTIF(ADV!Y:Y,A160)</f>
        <v>0</v>
      </c>
    </row>
    <row r="161" spans="1:6" x14ac:dyDescent="0.2">
      <c r="A161" t="s">
        <v>877</v>
      </c>
      <c r="B161">
        <v>1020011</v>
      </c>
      <c r="C161" t="s">
        <v>6138</v>
      </c>
      <c r="D161" t="s">
        <v>6068</v>
      </c>
      <c r="E161">
        <f t="shared" si="2"/>
        <v>195</v>
      </c>
      <c r="F161">
        <f>+COUNTIF(ADV!Z:Z,A161)+COUNTIF(ADV!X:X,A161)+COUNTIF(ADV!Y:Y,A161)</f>
        <v>0</v>
      </c>
    </row>
    <row r="162" spans="1:6" x14ac:dyDescent="0.2">
      <c r="A162" t="s">
        <v>7157</v>
      </c>
      <c r="B162">
        <v>1010055</v>
      </c>
      <c r="C162" t="s">
        <v>7158</v>
      </c>
      <c r="D162" t="s">
        <v>6068</v>
      </c>
      <c r="E162">
        <f t="shared" si="2"/>
        <v>177</v>
      </c>
      <c r="F162">
        <f>+COUNTIF(ADV!Z:Z,A162)+COUNTIF(ADV!X:X,A162)+COUNTIF(ADV!Y:Y,A162)</f>
        <v>0</v>
      </c>
    </row>
    <row r="163" spans="1:6" x14ac:dyDescent="0.2">
      <c r="A163" t="s">
        <v>1123</v>
      </c>
      <c r="B163">
        <v>1010055</v>
      </c>
      <c r="C163" t="s">
        <v>6139</v>
      </c>
      <c r="D163" t="s">
        <v>6068</v>
      </c>
      <c r="E163">
        <f t="shared" si="2"/>
        <v>177</v>
      </c>
      <c r="F163">
        <f>+COUNTIF(ADV!Z:Z,A163)+COUNTIF(ADV!X:X,A163)+COUNTIF(ADV!Y:Y,A163)</f>
        <v>0</v>
      </c>
    </row>
    <row r="164" spans="1:6" x14ac:dyDescent="0.2">
      <c r="A164" t="s">
        <v>7159</v>
      </c>
      <c r="B164">
        <v>1020010</v>
      </c>
      <c r="C164" t="s">
        <v>7160</v>
      </c>
      <c r="D164" t="s">
        <v>6068</v>
      </c>
      <c r="E164">
        <f t="shared" si="2"/>
        <v>134</v>
      </c>
      <c r="F164">
        <f>+COUNTIF(ADV!Z:Z,A164)+COUNTIF(ADV!X:X,A164)+COUNTIF(ADV!Y:Y,A164)</f>
        <v>0</v>
      </c>
    </row>
    <row r="165" spans="1:6" x14ac:dyDescent="0.2">
      <c r="A165" t="s">
        <v>3756</v>
      </c>
      <c r="B165">
        <v>1020010</v>
      </c>
      <c r="C165" t="s">
        <v>6140</v>
      </c>
      <c r="D165" t="s">
        <v>6068</v>
      </c>
      <c r="E165">
        <f t="shared" si="2"/>
        <v>134</v>
      </c>
      <c r="F165">
        <f>+COUNTIF(ADV!Z:Z,A165)+COUNTIF(ADV!X:X,A165)+COUNTIF(ADV!Y:Y,A165)</f>
        <v>0</v>
      </c>
    </row>
    <row r="166" spans="1:6" x14ac:dyDescent="0.2">
      <c r="A166" t="s">
        <v>385</v>
      </c>
      <c r="B166">
        <v>1020010</v>
      </c>
      <c r="C166" t="s">
        <v>6141</v>
      </c>
      <c r="D166" t="s">
        <v>6068</v>
      </c>
      <c r="E166">
        <f t="shared" si="2"/>
        <v>31</v>
      </c>
      <c r="F166">
        <f>+COUNTIF(ADV!Z:Z,A166)+COUNTIF(ADV!X:X,A166)+COUNTIF(ADV!Y:Y,A166)</f>
        <v>0</v>
      </c>
    </row>
    <row r="167" spans="1:6" x14ac:dyDescent="0.2">
      <c r="A167" t="s">
        <v>245</v>
      </c>
      <c r="B167">
        <v>1020010</v>
      </c>
      <c r="C167" t="s">
        <v>6142</v>
      </c>
      <c r="D167" t="s">
        <v>6068</v>
      </c>
      <c r="E167">
        <f t="shared" si="2"/>
        <v>31</v>
      </c>
      <c r="F167">
        <f>+COUNTIF(ADV!Z:Z,A167)+COUNTIF(ADV!X:X,A167)+COUNTIF(ADV!Y:Y,A167)</f>
        <v>0</v>
      </c>
    </row>
    <row r="168" spans="1:6" x14ac:dyDescent="0.2">
      <c r="A168" t="s">
        <v>7161</v>
      </c>
      <c r="B168">
        <v>1020010</v>
      </c>
      <c r="C168" t="s">
        <v>7162</v>
      </c>
      <c r="D168" t="s">
        <v>6068</v>
      </c>
      <c r="E168">
        <f t="shared" si="2"/>
        <v>30</v>
      </c>
      <c r="F168">
        <f>+COUNTIF(ADV!Z:Z,A168)+COUNTIF(ADV!X:X,A168)+COUNTIF(ADV!Y:Y,A168)</f>
        <v>0</v>
      </c>
    </row>
    <row r="169" spans="1:6" x14ac:dyDescent="0.2">
      <c r="A169" t="s">
        <v>7163</v>
      </c>
      <c r="B169">
        <v>1020010</v>
      </c>
      <c r="C169" t="s">
        <v>7164</v>
      </c>
      <c r="D169" t="s">
        <v>6068</v>
      </c>
      <c r="E169">
        <f t="shared" si="2"/>
        <v>30</v>
      </c>
      <c r="F169">
        <f>+COUNTIF(ADV!Z:Z,A169)+COUNTIF(ADV!X:X,A169)+COUNTIF(ADV!Y:Y,A169)</f>
        <v>0</v>
      </c>
    </row>
    <row r="170" spans="1:6" x14ac:dyDescent="0.2">
      <c r="A170" t="s">
        <v>7165</v>
      </c>
      <c r="B170">
        <v>1020010</v>
      </c>
      <c r="C170" t="s">
        <v>7166</v>
      </c>
      <c r="D170" t="s">
        <v>6068</v>
      </c>
      <c r="E170">
        <f t="shared" si="2"/>
        <v>30</v>
      </c>
      <c r="F170">
        <f>+COUNTIF(ADV!Z:Z,A170)+COUNTIF(ADV!X:X,A170)+COUNTIF(ADV!Y:Y,A170)</f>
        <v>0</v>
      </c>
    </row>
    <row r="171" spans="1:6" x14ac:dyDescent="0.2">
      <c r="A171" t="s">
        <v>7167</v>
      </c>
      <c r="B171">
        <v>1020010</v>
      </c>
      <c r="C171" t="s">
        <v>7168</v>
      </c>
      <c r="D171" t="s">
        <v>6068</v>
      </c>
      <c r="E171">
        <f t="shared" si="2"/>
        <v>30</v>
      </c>
      <c r="F171">
        <f>+COUNTIF(ADV!Z:Z,A171)+COUNTIF(ADV!X:X,A171)+COUNTIF(ADV!Y:Y,A171)</f>
        <v>0</v>
      </c>
    </row>
    <row r="172" spans="1:6" x14ac:dyDescent="0.2">
      <c r="A172" t="s">
        <v>7169</v>
      </c>
      <c r="B172">
        <v>1020010</v>
      </c>
      <c r="C172" t="s">
        <v>7170</v>
      </c>
      <c r="D172" t="s">
        <v>6068</v>
      </c>
      <c r="E172">
        <f t="shared" si="2"/>
        <v>30</v>
      </c>
      <c r="F172">
        <f>+COUNTIF(ADV!Z:Z,A172)+COUNTIF(ADV!X:X,A172)+COUNTIF(ADV!Y:Y,A172)</f>
        <v>0</v>
      </c>
    </row>
    <row r="173" spans="1:6" x14ac:dyDescent="0.2">
      <c r="A173" t="s">
        <v>7171</v>
      </c>
      <c r="B173">
        <v>1020010</v>
      </c>
      <c r="C173" t="s">
        <v>7172</v>
      </c>
      <c r="D173" t="s">
        <v>6068</v>
      </c>
      <c r="E173">
        <f t="shared" si="2"/>
        <v>30</v>
      </c>
      <c r="F173">
        <f>+COUNTIF(ADV!Z:Z,A173)+COUNTIF(ADV!X:X,A173)+COUNTIF(ADV!Y:Y,A173)</f>
        <v>0</v>
      </c>
    </row>
    <row r="174" spans="1:6" x14ac:dyDescent="0.2">
      <c r="A174" t="s">
        <v>7173</v>
      </c>
      <c r="B174">
        <v>1030023</v>
      </c>
      <c r="C174" t="s">
        <v>7174</v>
      </c>
      <c r="D174" t="s">
        <v>6068</v>
      </c>
      <c r="E174">
        <f t="shared" si="2"/>
        <v>50</v>
      </c>
      <c r="F174">
        <f>+COUNTIF(ADV!Z:Z,A174)+COUNTIF(ADV!X:X,A174)+COUNTIF(ADV!Y:Y,A174)</f>
        <v>0</v>
      </c>
    </row>
    <row r="175" spans="1:6" x14ac:dyDescent="0.2">
      <c r="A175" t="s">
        <v>1836</v>
      </c>
      <c r="B175">
        <v>1030023</v>
      </c>
      <c r="C175" t="s">
        <v>6143</v>
      </c>
      <c r="D175" t="s">
        <v>6068</v>
      </c>
      <c r="E175">
        <f t="shared" si="2"/>
        <v>51</v>
      </c>
      <c r="F175">
        <f>+COUNTIF(ADV!Z:Z,A175)+COUNTIF(ADV!X:X,A175)+COUNTIF(ADV!Y:Y,A175)</f>
        <v>0</v>
      </c>
    </row>
    <row r="176" spans="1:6" x14ac:dyDescent="0.2">
      <c r="A176" t="s">
        <v>4146</v>
      </c>
      <c r="B176">
        <v>1020013</v>
      </c>
      <c r="C176" t="s">
        <v>6144</v>
      </c>
      <c r="D176" t="s">
        <v>6068</v>
      </c>
      <c r="E176">
        <f t="shared" si="2"/>
        <v>215</v>
      </c>
      <c r="F176">
        <f>+COUNTIF(ADV!Z:Z,A176)+COUNTIF(ADV!X:X,A176)+COUNTIF(ADV!Y:Y,A176)</f>
        <v>0</v>
      </c>
    </row>
    <row r="177" spans="1:6" x14ac:dyDescent="0.2">
      <c r="A177" t="s">
        <v>7175</v>
      </c>
      <c r="B177">
        <v>1010002</v>
      </c>
      <c r="C177" t="s">
        <v>7176</v>
      </c>
      <c r="D177" t="s">
        <v>6068</v>
      </c>
      <c r="E177">
        <f t="shared" si="2"/>
        <v>117</v>
      </c>
      <c r="F177">
        <f>+COUNTIF(ADV!Z:Z,A177)+COUNTIF(ADV!X:X,A177)+COUNTIF(ADV!Y:Y,A177)</f>
        <v>0</v>
      </c>
    </row>
    <row r="178" spans="1:6" x14ac:dyDescent="0.2">
      <c r="A178" t="s">
        <v>7177</v>
      </c>
      <c r="B178">
        <v>1010002</v>
      </c>
      <c r="C178" t="s">
        <v>7178</v>
      </c>
      <c r="D178" t="s">
        <v>6068</v>
      </c>
      <c r="E178">
        <f t="shared" si="2"/>
        <v>117</v>
      </c>
      <c r="F178">
        <f>+COUNTIF(ADV!Z:Z,A178)+COUNTIF(ADV!X:X,A178)+COUNTIF(ADV!Y:Y,A178)</f>
        <v>0</v>
      </c>
    </row>
    <row r="179" spans="1:6" x14ac:dyDescent="0.2">
      <c r="A179" t="s">
        <v>7179</v>
      </c>
      <c r="B179">
        <v>1010002</v>
      </c>
      <c r="C179" t="s">
        <v>7180</v>
      </c>
      <c r="D179" t="s">
        <v>6068</v>
      </c>
      <c r="E179">
        <f t="shared" si="2"/>
        <v>117</v>
      </c>
      <c r="F179">
        <f>+COUNTIF(ADV!Z:Z,A179)+COUNTIF(ADV!X:X,A179)+COUNTIF(ADV!Y:Y,A179)</f>
        <v>0</v>
      </c>
    </row>
    <row r="180" spans="1:6" x14ac:dyDescent="0.2">
      <c r="A180" t="s">
        <v>7181</v>
      </c>
      <c r="B180">
        <v>1010002</v>
      </c>
      <c r="C180" t="s">
        <v>7182</v>
      </c>
      <c r="D180" t="s">
        <v>6068</v>
      </c>
      <c r="E180">
        <f t="shared" si="2"/>
        <v>117</v>
      </c>
      <c r="F180">
        <f>+COUNTIF(ADV!Z:Z,A180)+COUNTIF(ADV!X:X,A180)+COUNTIF(ADV!Y:Y,A180)</f>
        <v>0</v>
      </c>
    </row>
    <row r="181" spans="1:6" x14ac:dyDescent="0.2">
      <c r="A181" t="s">
        <v>7183</v>
      </c>
      <c r="B181">
        <v>1010002</v>
      </c>
      <c r="C181" t="s">
        <v>7184</v>
      </c>
      <c r="D181" t="s">
        <v>6068</v>
      </c>
      <c r="E181">
        <f t="shared" si="2"/>
        <v>117</v>
      </c>
      <c r="F181">
        <f>+COUNTIF(ADV!Z:Z,A181)+COUNTIF(ADV!X:X,A181)+COUNTIF(ADV!Y:Y,A181)</f>
        <v>0</v>
      </c>
    </row>
    <row r="182" spans="1:6" x14ac:dyDescent="0.2">
      <c r="A182" t="s">
        <v>2860</v>
      </c>
      <c r="B182">
        <v>1030007</v>
      </c>
      <c r="C182" t="s">
        <v>6145</v>
      </c>
      <c r="D182" t="s">
        <v>6068</v>
      </c>
      <c r="E182">
        <f t="shared" si="2"/>
        <v>41</v>
      </c>
      <c r="F182">
        <f>+COUNTIF(ADV!Z:Z,A182)+COUNTIF(ADV!X:X,A182)+COUNTIF(ADV!Y:Y,A182)</f>
        <v>0</v>
      </c>
    </row>
    <row r="183" spans="1:6" x14ac:dyDescent="0.2">
      <c r="A183" t="s">
        <v>7185</v>
      </c>
      <c r="B183">
        <v>1030007</v>
      </c>
      <c r="C183" t="s">
        <v>7186</v>
      </c>
      <c r="D183" t="s">
        <v>6068</v>
      </c>
      <c r="E183">
        <f t="shared" si="2"/>
        <v>40</v>
      </c>
      <c r="F183">
        <f>+COUNTIF(ADV!Z:Z,A183)+COUNTIF(ADV!X:X,A183)+COUNTIF(ADV!Y:Y,A183)</f>
        <v>0</v>
      </c>
    </row>
    <row r="184" spans="1:6" x14ac:dyDescent="0.2">
      <c r="A184" t="s">
        <v>7187</v>
      </c>
      <c r="B184">
        <v>1030007</v>
      </c>
      <c r="C184" t="s">
        <v>7188</v>
      </c>
      <c r="D184" t="s">
        <v>6068</v>
      </c>
      <c r="E184">
        <f t="shared" si="2"/>
        <v>40</v>
      </c>
      <c r="F184">
        <f>+COUNTIF(ADV!Z:Z,A184)+COUNTIF(ADV!X:X,A184)+COUNTIF(ADV!Y:Y,A184)</f>
        <v>0</v>
      </c>
    </row>
    <row r="185" spans="1:6" x14ac:dyDescent="0.2">
      <c r="A185" t="s">
        <v>3153</v>
      </c>
      <c r="B185">
        <v>1030007</v>
      </c>
      <c r="C185" t="s">
        <v>6146</v>
      </c>
      <c r="D185" t="s">
        <v>6068</v>
      </c>
      <c r="E185">
        <f t="shared" si="2"/>
        <v>40</v>
      </c>
      <c r="F185">
        <f>+COUNTIF(ADV!Z:Z,A185)+COUNTIF(ADV!X:X,A185)+COUNTIF(ADV!Y:Y,A185)</f>
        <v>0</v>
      </c>
    </row>
    <row r="186" spans="1:6" x14ac:dyDescent="0.2">
      <c r="A186" t="s">
        <v>3023</v>
      </c>
      <c r="B186">
        <v>1030007</v>
      </c>
      <c r="C186" t="s">
        <v>6147</v>
      </c>
      <c r="D186" t="s">
        <v>6068</v>
      </c>
      <c r="E186">
        <f t="shared" si="2"/>
        <v>40</v>
      </c>
      <c r="F186">
        <f>+COUNTIF(ADV!Z:Z,A186)+COUNTIF(ADV!X:X,A186)+COUNTIF(ADV!Y:Y,A186)</f>
        <v>0</v>
      </c>
    </row>
    <row r="187" spans="1:6" x14ac:dyDescent="0.2">
      <c r="A187" t="s">
        <v>7189</v>
      </c>
      <c r="B187">
        <v>1030007</v>
      </c>
      <c r="C187" t="s">
        <v>7190</v>
      </c>
      <c r="D187" t="s">
        <v>6068</v>
      </c>
      <c r="E187">
        <f t="shared" si="2"/>
        <v>40</v>
      </c>
      <c r="F187">
        <f>+COUNTIF(ADV!Z:Z,A187)+COUNTIF(ADV!X:X,A187)+COUNTIF(ADV!Y:Y,A187)</f>
        <v>0</v>
      </c>
    </row>
    <row r="188" spans="1:6" x14ac:dyDescent="0.2">
      <c r="A188" t="s">
        <v>7191</v>
      </c>
      <c r="B188">
        <v>1030007</v>
      </c>
      <c r="C188" t="s">
        <v>7192</v>
      </c>
      <c r="D188" t="s">
        <v>6068</v>
      </c>
      <c r="E188">
        <f t="shared" si="2"/>
        <v>40</v>
      </c>
      <c r="F188">
        <f>+COUNTIF(ADV!Z:Z,A188)+COUNTIF(ADV!X:X,A188)+COUNTIF(ADV!Y:Y,A188)</f>
        <v>0</v>
      </c>
    </row>
    <row r="189" spans="1:6" x14ac:dyDescent="0.2">
      <c r="A189" t="s">
        <v>3843</v>
      </c>
      <c r="B189">
        <v>1010021</v>
      </c>
      <c r="C189" t="s">
        <v>6148</v>
      </c>
      <c r="D189" t="s">
        <v>6068</v>
      </c>
      <c r="E189">
        <f t="shared" si="2"/>
        <v>79</v>
      </c>
      <c r="F189">
        <f>+COUNTIF(ADV!Z:Z,A189)+COUNTIF(ADV!X:X,A189)+COUNTIF(ADV!Y:Y,A189)</f>
        <v>0</v>
      </c>
    </row>
    <row r="190" spans="1:6" x14ac:dyDescent="0.2">
      <c r="A190" t="s">
        <v>7193</v>
      </c>
      <c r="B190">
        <v>1010093</v>
      </c>
      <c r="C190" t="s">
        <v>7194</v>
      </c>
      <c r="D190" t="s">
        <v>6068</v>
      </c>
      <c r="E190">
        <f t="shared" si="2"/>
        <v>326</v>
      </c>
      <c r="F190">
        <f>+COUNTIF(ADV!Z:Z,A190)+COUNTIF(ADV!X:X,A190)+COUNTIF(ADV!Y:Y,A190)</f>
        <v>0</v>
      </c>
    </row>
    <row r="191" spans="1:6" x14ac:dyDescent="0.2">
      <c r="A191" t="s">
        <v>651</v>
      </c>
      <c r="B191">
        <v>1010093</v>
      </c>
      <c r="C191" t="s">
        <v>7195</v>
      </c>
      <c r="D191" t="s">
        <v>6068</v>
      </c>
      <c r="E191">
        <f t="shared" si="2"/>
        <v>323</v>
      </c>
      <c r="F191">
        <f>+COUNTIF(ADV!Z:Z,A191)+COUNTIF(ADV!X:X,A191)+COUNTIF(ADV!Y:Y,A191)</f>
        <v>0</v>
      </c>
    </row>
    <row r="192" spans="1:6" x14ac:dyDescent="0.2">
      <c r="A192" t="s">
        <v>7196</v>
      </c>
      <c r="B192">
        <v>1010155</v>
      </c>
      <c r="C192" t="s">
        <v>7197</v>
      </c>
      <c r="D192" t="s">
        <v>6068</v>
      </c>
      <c r="E192">
        <f t="shared" si="2"/>
        <v>730</v>
      </c>
      <c r="F192">
        <f>+COUNTIF(ADV!Z:Z,A192)+COUNTIF(ADV!X:X,A192)+COUNTIF(ADV!Y:Y,A192)</f>
        <v>0</v>
      </c>
    </row>
    <row r="193" spans="1:6" x14ac:dyDescent="0.2">
      <c r="A193" t="s">
        <v>4277</v>
      </c>
      <c r="B193">
        <v>1010155</v>
      </c>
      <c r="C193" t="s">
        <v>6150</v>
      </c>
      <c r="D193" t="s">
        <v>6068</v>
      </c>
      <c r="E193">
        <f t="shared" si="2"/>
        <v>805</v>
      </c>
      <c r="F193">
        <f>+COUNTIF(ADV!Z:Z,A193)+COUNTIF(ADV!X:X,A193)+COUNTIF(ADV!Y:Y,A193)</f>
        <v>0</v>
      </c>
    </row>
    <row r="194" spans="1:6" x14ac:dyDescent="0.2">
      <c r="A194" t="s">
        <v>7198</v>
      </c>
      <c r="B194">
        <v>1020002</v>
      </c>
      <c r="C194" t="s">
        <v>7199</v>
      </c>
      <c r="D194" t="s">
        <v>6068</v>
      </c>
      <c r="E194">
        <f t="shared" ref="E194:E257" si="3">+LEN(C194)</f>
        <v>205</v>
      </c>
      <c r="F194">
        <f>+COUNTIF(ADV!Z:Z,A194)+COUNTIF(ADV!X:X,A194)+COUNTIF(ADV!Y:Y,A194)</f>
        <v>0</v>
      </c>
    </row>
    <row r="195" spans="1:6" x14ac:dyDescent="0.2">
      <c r="A195" t="s">
        <v>7200</v>
      </c>
      <c r="B195">
        <v>1020002</v>
      </c>
      <c r="C195" t="s">
        <v>7201</v>
      </c>
      <c r="D195" t="s">
        <v>6068</v>
      </c>
      <c r="E195">
        <f t="shared" si="3"/>
        <v>205</v>
      </c>
      <c r="F195">
        <f>+COUNTIF(ADV!Z:Z,A195)+COUNTIF(ADV!X:X,A195)+COUNTIF(ADV!Y:Y,A195)</f>
        <v>0</v>
      </c>
    </row>
    <row r="196" spans="1:6" x14ac:dyDescent="0.2">
      <c r="A196" t="s">
        <v>7202</v>
      </c>
      <c r="B196">
        <v>1010051</v>
      </c>
      <c r="C196" t="s">
        <v>7203</v>
      </c>
      <c r="D196" t="s">
        <v>6068</v>
      </c>
      <c r="E196">
        <f t="shared" si="3"/>
        <v>43</v>
      </c>
      <c r="F196">
        <f>+COUNTIF(ADV!Z:Z,A196)+COUNTIF(ADV!X:X,A196)+COUNTIF(ADV!Y:Y,A196)</f>
        <v>0</v>
      </c>
    </row>
    <row r="197" spans="1:6" x14ac:dyDescent="0.2">
      <c r="A197" t="s">
        <v>7204</v>
      </c>
      <c r="B197">
        <v>1010051</v>
      </c>
      <c r="C197" t="s">
        <v>7205</v>
      </c>
      <c r="D197" t="s">
        <v>6068</v>
      </c>
      <c r="E197">
        <f t="shared" si="3"/>
        <v>43</v>
      </c>
      <c r="F197">
        <f>+COUNTIF(ADV!Z:Z,A197)+COUNTIF(ADV!X:X,A197)+COUNTIF(ADV!Y:Y,A197)</f>
        <v>0</v>
      </c>
    </row>
    <row r="198" spans="1:6" x14ac:dyDescent="0.2">
      <c r="A198" t="s">
        <v>7206</v>
      </c>
      <c r="B198">
        <v>1010051</v>
      </c>
      <c r="C198" t="s">
        <v>7207</v>
      </c>
      <c r="D198" t="s">
        <v>6068</v>
      </c>
      <c r="E198">
        <f t="shared" si="3"/>
        <v>43</v>
      </c>
      <c r="F198">
        <f>+COUNTIF(ADV!Z:Z,A198)+COUNTIF(ADV!X:X,A198)+COUNTIF(ADV!Y:Y,A198)</f>
        <v>0</v>
      </c>
    </row>
    <row r="199" spans="1:6" x14ac:dyDescent="0.2">
      <c r="A199" t="s">
        <v>7208</v>
      </c>
      <c r="B199">
        <v>1010051</v>
      </c>
      <c r="C199" t="s">
        <v>7209</v>
      </c>
      <c r="D199" t="s">
        <v>6068</v>
      </c>
      <c r="E199">
        <f t="shared" si="3"/>
        <v>43</v>
      </c>
      <c r="F199">
        <f>+COUNTIF(ADV!Z:Z,A199)+COUNTIF(ADV!X:X,A199)+COUNTIF(ADV!Y:Y,A199)</f>
        <v>0</v>
      </c>
    </row>
    <row r="200" spans="1:6" x14ac:dyDescent="0.2">
      <c r="A200" t="s">
        <v>1903</v>
      </c>
      <c r="B200">
        <v>1010051</v>
      </c>
      <c r="C200" t="s">
        <v>6151</v>
      </c>
      <c r="D200" t="s">
        <v>6068</v>
      </c>
      <c r="E200">
        <f t="shared" si="3"/>
        <v>47</v>
      </c>
      <c r="F200">
        <f>+COUNTIF(ADV!Z:Z,A200)+COUNTIF(ADV!X:X,A200)+COUNTIF(ADV!Y:Y,A200)</f>
        <v>2</v>
      </c>
    </row>
    <row r="201" spans="1:6" x14ac:dyDescent="0.2">
      <c r="A201" t="s">
        <v>7210</v>
      </c>
      <c r="B201">
        <v>1020003</v>
      </c>
      <c r="C201" t="s">
        <v>6152</v>
      </c>
      <c r="D201" t="s">
        <v>6068</v>
      </c>
      <c r="E201">
        <f t="shared" si="3"/>
        <v>167</v>
      </c>
      <c r="F201">
        <f>+COUNTIF(ADV!Z:Z,A201)+COUNTIF(ADV!X:X,A201)+COUNTIF(ADV!Y:Y,A201)</f>
        <v>0</v>
      </c>
    </row>
    <row r="202" spans="1:6" x14ac:dyDescent="0.2">
      <c r="A202" t="s">
        <v>1619</v>
      </c>
      <c r="B202">
        <v>1020003</v>
      </c>
      <c r="C202" t="s">
        <v>6152</v>
      </c>
      <c r="D202" t="s">
        <v>6068</v>
      </c>
      <c r="E202">
        <f t="shared" si="3"/>
        <v>167</v>
      </c>
      <c r="F202">
        <f>+COUNTIF(ADV!Z:Z,A202)+COUNTIF(ADV!X:X,A202)+COUNTIF(ADV!Y:Y,A202)</f>
        <v>0</v>
      </c>
    </row>
    <row r="203" spans="1:6" x14ac:dyDescent="0.2">
      <c r="A203" t="s">
        <v>7211</v>
      </c>
      <c r="B203">
        <v>1020003</v>
      </c>
      <c r="C203" t="s">
        <v>7212</v>
      </c>
      <c r="D203" t="s">
        <v>6068</v>
      </c>
      <c r="E203">
        <f t="shared" si="3"/>
        <v>25</v>
      </c>
      <c r="F203">
        <f>+COUNTIF(ADV!Z:Z,A203)+COUNTIF(ADV!X:X,A203)+COUNTIF(ADV!Y:Y,A203)</f>
        <v>0</v>
      </c>
    </row>
    <row r="204" spans="1:6" x14ac:dyDescent="0.2">
      <c r="A204" t="s">
        <v>563</v>
      </c>
      <c r="B204">
        <v>1020003</v>
      </c>
      <c r="C204" t="s">
        <v>7213</v>
      </c>
      <c r="D204" t="s">
        <v>6068</v>
      </c>
      <c r="E204">
        <f t="shared" si="3"/>
        <v>25</v>
      </c>
      <c r="F204">
        <f>+COUNTIF(ADV!Z:Z,A204)+COUNTIF(ADV!X:X,A204)+COUNTIF(ADV!Y:Y,A204)</f>
        <v>0</v>
      </c>
    </row>
    <row r="205" spans="1:6" x14ac:dyDescent="0.2">
      <c r="A205" t="s">
        <v>618</v>
      </c>
      <c r="B205">
        <v>1020003</v>
      </c>
      <c r="C205" t="s">
        <v>6153</v>
      </c>
      <c r="D205" t="s">
        <v>6068</v>
      </c>
      <c r="E205">
        <f t="shared" si="3"/>
        <v>25</v>
      </c>
      <c r="F205">
        <f>+COUNTIF(ADV!Z:Z,A205)+COUNTIF(ADV!X:X,A205)+COUNTIF(ADV!Y:Y,A205)</f>
        <v>17</v>
      </c>
    </row>
    <row r="206" spans="1:6" x14ac:dyDescent="0.2">
      <c r="A206" t="s">
        <v>7214</v>
      </c>
      <c r="B206">
        <v>1020003</v>
      </c>
      <c r="C206" t="s">
        <v>7215</v>
      </c>
      <c r="D206" t="s">
        <v>6068</v>
      </c>
      <c r="E206">
        <f t="shared" si="3"/>
        <v>25</v>
      </c>
      <c r="F206">
        <f>+COUNTIF(ADV!Z:Z,A206)+COUNTIF(ADV!X:X,A206)+COUNTIF(ADV!Y:Y,A206)</f>
        <v>0</v>
      </c>
    </row>
    <row r="207" spans="1:6" x14ac:dyDescent="0.2">
      <c r="A207" t="s">
        <v>7216</v>
      </c>
      <c r="B207">
        <v>1020003</v>
      </c>
      <c r="C207" t="s">
        <v>7217</v>
      </c>
      <c r="D207" t="s">
        <v>6068</v>
      </c>
      <c r="E207">
        <f t="shared" si="3"/>
        <v>25</v>
      </c>
      <c r="F207">
        <f>+COUNTIF(ADV!Z:Z,A207)+COUNTIF(ADV!X:X,A207)+COUNTIF(ADV!Y:Y,A207)</f>
        <v>0</v>
      </c>
    </row>
    <row r="208" spans="1:6" x14ac:dyDescent="0.2">
      <c r="A208" t="s">
        <v>7218</v>
      </c>
      <c r="B208">
        <v>1010073</v>
      </c>
      <c r="C208" t="s">
        <v>7219</v>
      </c>
      <c r="D208" t="s">
        <v>6068</v>
      </c>
      <c r="E208">
        <f t="shared" si="3"/>
        <v>187</v>
      </c>
      <c r="F208">
        <f>+COUNTIF(ADV!Z:Z,A208)+COUNTIF(ADV!X:X,A208)+COUNTIF(ADV!Y:Y,A208)</f>
        <v>0</v>
      </c>
    </row>
    <row r="209" spans="1:6" x14ac:dyDescent="0.2">
      <c r="A209" t="s">
        <v>1229</v>
      </c>
      <c r="B209">
        <v>1010073</v>
      </c>
      <c r="C209" t="s">
        <v>6154</v>
      </c>
      <c r="D209" t="s">
        <v>6068</v>
      </c>
      <c r="E209">
        <f t="shared" si="3"/>
        <v>187</v>
      </c>
      <c r="F209">
        <f>+COUNTIF(ADV!Z:Z,A209)+COUNTIF(ADV!X:X,A209)+COUNTIF(ADV!Y:Y,A209)</f>
        <v>0</v>
      </c>
    </row>
    <row r="210" spans="1:6" x14ac:dyDescent="0.2">
      <c r="A210" t="s">
        <v>7220</v>
      </c>
      <c r="B210">
        <v>1020022</v>
      </c>
      <c r="C210" t="s">
        <v>7221</v>
      </c>
      <c r="D210" t="s">
        <v>6068</v>
      </c>
      <c r="E210">
        <f t="shared" si="3"/>
        <v>253</v>
      </c>
      <c r="F210">
        <f>+COUNTIF(ADV!Z:Z,A210)+COUNTIF(ADV!X:X,A210)+COUNTIF(ADV!Y:Y,A210)</f>
        <v>0</v>
      </c>
    </row>
    <row r="211" spans="1:6" x14ac:dyDescent="0.2">
      <c r="A211" t="s">
        <v>3232</v>
      </c>
      <c r="B211">
        <v>1020022</v>
      </c>
      <c r="C211" t="s">
        <v>6155</v>
      </c>
      <c r="D211" t="s">
        <v>6068</v>
      </c>
      <c r="E211">
        <f t="shared" si="3"/>
        <v>253</v>
      </c>
      <c r="F211">
        <f>+COUNTIF(ADV!Z:Z,A211)+COUNTIF(ADV!X:X,A211)+COUNTIF(ADV!Y:Y,A211)</f>
        <v>0</v>
      </c>
    </row>
    <row r="212" spans="1:6" x14ac:dyDescent="0.2">
      <c r="A212" t="s">
        <v>3580</v>
      </c>
      <c r="B212">
        <v>1010030</v>
      </c>
      <c r="C212" t="s">
        <v>6156</v>
      </c>
      <c r="D212" t="s">
        <v>6068</v>
      </c>
      <c r="E212">
        <f t="shared" si="3"/>
        <v>91</v>
      </c>
      <c r="F212">
        <f>+COUNTIF(ADV!Z:Z,A212)+COUNTIF(ADV!X:X,A212)+COUNTIF(ADV!Y:Y,A212)</f>
        <v>0</v>
      </c>
    </row>
    <row r="213" spans="1:6" x14ac:dyDescent="0.2">
      <c r="A213" t="s">
        <v>7222</v>
      </c>
      <c r="B213">
        <v>1060003</v>
      </c>
      <c r="C213" t="s">
        <v>7223</v>
      </c>
      <c r="D213" t="s">
        <v>6068</v>
      </c>
      <c r="E213">
        <f t="shared" si="3"/>
        <v>38</v>
      </c>
      <c r="F213">
        <f>+COUNTIF(ADV!Z:Z,A213)+COUNTIF(ADV!X:X,A213)+COUNTIF(ADV!Y:Y,A213)</f>
        <v>0</v>
      </c>
    </row>
    <row r="214" spans="1:6" x14ac:dyDescent="0.2">
      <c r="A214" t="s">
        <v>733</v>
      </c>
      <c r="B214">
        <v>1060003</v>
      </c>
      <c r="C214" t="s">
        <v>6157</v>
      </c>
      <c r="D214" t="s">
        <v>6068</v>
      </c>
      <c r="E214">
        <f t="shared" si="3"/>
        <v>38</v>
      </c>
      <c r="F214">
        <f>+COUNTIF(ADV!Z:Z,A214)+COUNTIF(ADV!X:X,A214)+COUNTIF(ADV!Y:Y,A214)</f>
        <v>0</v>
      </c>
    </row>
    <row r="215" spans="1:6" x14ac:dyDescent="0.2">
      <c r="A215" t="s">
        <v>7224</v>
      </c>
      <c r="B215">
        <v>1060006</v>
      </c>
      <c r="C215" t="s">
        <v>7225</v>
      </c>
      <c r="D215" t="s">
        <v>6068</v>
      </c>
      <c r="E215">
        <f t="shared" si="3"/>
        <v>34</v>
      </c>
      <c r="F215">
        <f>+COUNTIF(ADV!Z:Z,A215)+COUNTIF(ADV!X:X,A215)+COUNTIF(ADV!Y:Y,A215)</f>
        <v>0</v>
      </c>
    </row>
    <row r="216" spans="1:6" x14ac:dyDescent="0.2">
      <c r="A216" t="s">
        <v>3446</v>
      </c>
      <c r="B216">
        <v>1060006</v>
      </c>
      <c r="C216" t="s">
        <v>6158</v>
      </c>
      <c r="D216" t="s">
        <v>6068</v>
      </c>
      <c r="E216">
        <f t="shared" si="3"/>
        <v>34</v>
      </c>
      <c r="F216">
        <f>+COUNTIF(ADV!Z:Z,A216)+COUNTIF(ADV!X:X,A216)+COUNTIF(ADV!Y:Y,A216)</f>
        <v>0</v>
      </c>
    </row>
    <row r="217" spans="1:6" x14ac:dyDescent="0.2">
      <c r="A217" t="s">
        <v>2082</v>
      </c>
      <c r="B217">
        <v>1060006</v>
      </c>
      <c r="C217" t="s">
        <v>6159</v>
      </c>
      <c r="D217" t="s">
        <v>6068</v>
      </c>
      <c r="E217">
        <f t="shared" si="3"/>
        <v>34</v>
      </c>
      <c r="F217">
        <f>+COUNTIF(ADV!Z:Z,A217)+COUNTIF(ADV!X:X,A217)+COUNTIF(ADV!Y:Y,A217)</f>
        <v>0</v>
      </c>
    </row>
    <row r="218" spans="1:6" x14ac:dyDescent="0.2">
      <c r="A218" t="s">
        <v>7226</v>
      </c>
      <c r="B218">
        <v>1010060</v>
      </c>
      <c r="C218" t="s">
        <v>7227</v>
      </c>
      <c r="D218" t="s">
        <v>6068</v>
      </c>
      <c r="E218">
        <f t="shared" si="3"/>
        <v>199</v>
      </c>
      <c r="F218">
        <f>+COUNTIF(ADV!Z:Z,A218)+COUNTIF(ADV!X:X,A218)+COUNTIF(ADV!Y:Y,A218)</f>
        <v>0</v>
      </c>
    </row>
    <row r="219" spans="1:6" x14ac:dyDescent="0.2">
      <c r="A219" t="s">
        <v>2651</v>
      </c>
      <c r="B219">
        <v>1010060</v>
      </c>
      <c r="C219" t="s">
        <v>6160</v>
      </c>
      <c r="D219" t="s">
        <v>6068</v>
      </c>
      <c r="E219">
        <f t="shared" si="3"/>
        <v>199</v>
      </c>
      <c r="F219">
        <f>+COUNTIF(ADV!Z:Z,A219)+COUNTIF(ADV!X:X,A219)+COUNTIF(ADV!Y:Y,A219)</f>
        <v>0</v>
      </c>
    </row>
    <row r="220" spans="1:6" x14ac:dyDescent="0.2">
      <c r="A220" t="s">
        <v>3642</v>
      </c>
      <c r="B220">
        <v>1010064</v>
      </c>
      <c r="C220" t="s">
        <v>6161</v>
      </c>
      <c r="D220" t="s">
        <v>6068</v>
      </c>
      <c r="E220">
        <f t="shared" si="3"/>
        <v>274</v>
      </c>
      <c r="F220">
        <f>+COUNTIF(ADV!Z:Z,A220)+COUNTIF(ADV!X:X,A220)+COUNTIF(ADV!Y:Y,A220)</f>
        <v>0</v>
      </c>
    </row>
    <row r="221" spans="1:6" x14ac:dyDescent="0.2">
      <c r="A221" t="s">
        <v>7228</v>
      </c>
      <c r="B221">
        <v>1010049</v>
      </c>
      <c r="C221" t="s">
        <v>7229</v>
      </c>
      <c r="D221" t="s">
        <v>6068</v>
      </c>
      <c r="E221">
        <f t="shared" si="3"/>
        <v>454</v>
      </c>
      <c r="F221">
        <f>+COUNTIF(ADV!Z:Z,A221)+COUNTIF(ADV!X:X,A221)+COUNTIF(ADV!Y:Y,A221)</f>
        <v>0</v>
      </c>
    </row>
    <row r="222" spans="1:6" x14ac:dyDescent="0.2">
      <c r="A222" t="s">
        <v>4382</v>
      </c>
      <c r="B222">
        <v>1010049</v>
      </c>
      <c r="C222" t="s">
        <v>6162</v>
      </c>
      <c r="D222" t="s">
        <v>6068</v>
      </c>
      <c r="E222">
        <f t="shared" si="3"/>
        <v>451</v>
      </c>
      <c r="F222">
        <f>+COUNTIF(ADV!Z:Z,A222)+COUNTIF(ADV!X:X,A222)+COUNTIF(ADV!Y:Y,A222)</f>
        <v>0</v>
      </c>
    </row>
    <row r="223" spans="1:6" x14ac:dyDescent="0.2">
      <c r="A223" t="s">
        <v>7230</v>
      </c>
      <c r="B223">
        <v>1010026</v>
      </c>
      <c r="C223" t="s">
        <v>7231</v>
      </c>
      <c r="D223" t="s">
        <v>6068</v>
      </c>
      <c r="E223">
        <f t="shared" si="3"/>
        <v>259</v>
      </c>
      <c r="F223">
        <f>+COUNTIF(ADV!Z:Z,A223)+COUNTIF(ADV!X:X,A223)+COUNTIF(ADV!Y:Y,A223)</f>
        <v>0</v>
      </c>
    </row>
    <row r="224" spans="1:6" x14ac:dyDescent="0.2">
      <c r="A224" t="s">
        <v>7232</v>
      </c>
      <c r="B224">
        <v>1010026</v>
      </c>
      <c r="C224" t="s">
        <v>7233</v>
      </c>
      <c r="D224" t="s">
        <v>6068</v>
      </c>
      <c r="E224">
        <f t="shared" si="3"/>
        <v>259</v>
      </c>
      <c r="F224">
        <f>+COUNTIF(ADV!Z:Z,A224)+COUNTIF(ADV!X:X,A224)+COUNTIF(ADV!Y:Y,A224)</f>
        <v>0</v>
      </c>
    </row>
    <row r="225" spans="1:6" x14ac:dyDescent="0.2">
      <c r="A225" t="s">
        <v>1434</v>
      </c>
      <c r="B225">
        <v>1010026</v>
      </c>
      <c r="C225" t="s">
        <v>6163</v>
      </c>
      <c r="D225" t="s">
        <v>6068</v>
      </c>
      <c r="E225">
        <f t="shared" si="3"/>
        <v>373</v>
      </c>
      <c r="F225">
        <f>+COUNTIF(ADV!Z:Z,A225)+COUNTIF(ADV!X:X,A225)+COUNTIF(ADV!Y:Y,A225)</f>
        <v>0</v>
      </c>
    </row>
    <row r="226" spans="1:6" x14ac:dyDescent="0.2">
      <c r="A226" t="s">
        <v>7234</v>
      </c>
      <c r="B226">
        <v>1010007</v>
      </c>
      <c r="C226" t="s">
        <v>7235</v>
      </c>
      <c r="D226" t="s">
        <v>6068</v>
      </c>
      <c r="E226">
        <f t="shared" si="3"/>
        <v>171</v>
      </c>
      <c r="F226">
        <f>+COUNTIF(ADV!Z:Z,A226)+COUNTIF(ADV!X:X,A226)+COUNTIF(ADV!Y:Y,A226)</f>
        <v>0</v>
      </c>
    </row>
    <row r="227" spans="1:6" x14ac:dyDescent="0.2">
      <c r="A227" t="s">
        <v>2797</v>
      </c>
      <c r="B227">
        <v>1010007</v>
      </c>
      <c r="C227" t="s">
        <v>6164</v>
      </c>
      <c r="D227" t="s">
        <v>6068</v>
      </c>
      <c r="E227">
        <f t="shared" si="3"/>
        <v>171</v>
      </c>
      <c r="F227">
        <f>+COUNTIF(ADV!Z:Z,A227)+COUNTIF(ADV!X:X,A227)+COUNTIF(ADV!Y:Y,A227)</f>
        <v>0</v>
      </c>
    </row>
    <row r="228" spans="1:6" x14ac:dyDescent="0.2">
      <c r="A228" t="s">
        <v>7236</v>
      </c>
      <c r="B228">
        <v>1010144</v>
      </c>
      <c r="C228" t="s">
        <v>7237</v>
      </c>
      <c r="D228" t="s">
        <v>6068</v>
      </c>
      <c r="E228">
        <f t="shared" si="3"/>
        <v>628</v>
      </c>
      <c r="F228">
        <f>+COUNTIF(ADV!Z:Z,A228)+COUNTIF(ADV!X:X,A228)+COUNTIF(ADV!Y:Y,A228)</f>
        <v>0</v>
      </c>
    </row>
    <row r="229" spans="1:6" x14ac:dyDescent="0.2">
      <c r="A229" t="s">
        <v>129</v>
      </c>
      <c r="B229">
        <v>1010144</v>
      </c>
      <c r="C229" t="s">
        <v>6165</v>
      </c>
      <c r="D229" t="s">
        <v>6068</v>
      </c>
      <c r="E229">
        <f t="shared" si="3"/>
        <v>637</v>
      </c>
      <c r="F229">
        <f>+COUNTIF(ADV!Z:Z,A229)+COUNTIF(ADV!X:X,A229)+COUNTIF(ADV!Y:Y,A229)</f>
        <v>1</v>
      </c>
    </row>
    <row r="230" spans="1:6" x14ac:dyDescent="0.2">
      <c r="A230" t="s">
        <v>7238</v>
      </c>
      <c r="B230">
        <v>1010008</v>
      </c>
      <c r="C230" t="s">
        <v>7239</v>
      </c>
      <c r="D230" t="s">
        <v>6068</v>
      </c>
      <c r="E230">
        <f t="shared" si="3"/>
        <v>81</v>
      </c>
      <c r="F230">
        <f>+COUNTIF(ADV!Z:Z,A230)+COUNTIF(ADV!X:X,A230)+COUNTIF(ADV!Y:Y,A230)</f>
        <v>0</v>
      </c>
    </row>
    <row r="231" spans="1:6" x14ac:dyDescent="0.2">
      <c r="A231" t="s">
        <v>7240</v>
      </c>
      <c r="B231">
        <v>1010008</v>
      </c>
      <c r="C231" t="s">
        <v>7241</v>
      </c>
      <c r="D231" t="s">
        <v>6068</v>
      </c>
      <c r="E231">
        <f t="shared" si="3"/>
        <v>81</v>
      </c>
      <c r="F231">
        <f>+COUNTIF(ADV!Z:Z,A231)+COUNTIF(ADV!X:X,A231)+COUNTIF(ADV!Y:Y,A231)</f>
        <v>0</v>
      </c>
    </row>
    <row r="232" spans="1:6" x14ac:dyDescent="0.2">
      <c r="A232" t="s">
        <v>2879</v>
      </c>
      <c r="B232">
        <v>1010008</v>
      </c>
      <c r="C232" t="s">
        <v>6166</v>
      </c>
      <c r="D232" t="s">
        <v>6068</v>
      </c>
      <c r="E232">
        <f t="shared" si="3"/>
        <v>81</v>
      </c>
      <c r="F232">
        <f>+COUNTIF(ADV!Z:Z,A232)+COUNTIF(ADV!X:X,A232)+COUNTIF(ADV!Y:Y,A232)</f>
        <v>1</v>
      </c>
    </row>
    <row r="233" spans="1:6" x14ac:dyDescent="0.2">
      <c r="A233" t="s">
        <v>7242</v>
      </c>
      <c r="B233">
        <v>1020002</v>
      </c>
      <c r="C233" t="s">
        <v>7243</v>
      </c>
      <c r="D233" t="s">
        <v>6068</v>
      </c>
      <c r="E233">
        <f t="shared" si="3"/>
        <v>149</v>
      </c>
      <c r="F233">
        <f>+COUNTIF(ADV!Z:Z,A233)+COUNTIF(ADV!X:X,A233)+COUNTIF(ADV!Y:Y,A233)</f>
        <v>0</v>
      </c>
    </row>
    <row r="234" spans="1:6" x14ac:dyDescent="0.2">
      <c r="A234" t="s">
        <v>584</v>
      </c>
      <c r="B234">
        <v>1020002</v>
      </c>
      <c r="C234" t="s">
        <v>6167</v>
      </c>
      <c r="D234" t="s">
        <v>6068</v>
      </c>
      <c r="E234">
        <f t="shared" si="3"/>
        <v>150</v>
      </c>
      <c r="F234">
        <f>+COUNTIF(ADV!Z:Z,A234)+COUNTIF(ADV!X:X,A234)+COUNTIF(ADV!Y:Y,A234)</f>
        <v>0</v>
      </c>
    </row>
    <row r="235" spans="1:6" x14ac:dyDescent="0.2">
      <c r="A235" t="s">
        <v>7244</v>
      </c>
      <c r="B235">
        <v>1010126</v>
      </c>
      <c r="C235" t="s">
        <v>7245</v>
      </c>
      <c r="D235" t="s">
        <v>6068</v>
      </c>
      <c r="E235">
        <f t="shared" si="3"/>
        <v>290</v>
      </c>
      <c r="F235">
        <f>+COUNTIF(ADV!Z:Z,A235)+COUNTIF(ADV!X:X,A235)+COUNTIF(ADV!Y:Y,A235)</f>
        <v>0</v>
      </c>
    </row>
    <row r="236" spans="1:6" x14ac:dyDescent="0.2">
      <c r="A236" t="s">
        <v>7246</v>
      </c>
      <c r="B236">
        <v>1010126</v>
      </c>
      <c r="C236" t="s">
        <v>7247</v>
      </c>
      <c r="D236" t="s">
        <v>6068</v>
      </c>
      <c r="E236">
        <f t="shared" si="3"/>
        <v>290</v>
      </c>
      <c r="F236">
        <f>+COUNTIF(ADV!Z:Z,A236)+COUNTIF(ADV!X:X,A236)+COUNTIF(ADV!Y:Y,A236)</f>
        <v>0</v>
      </c>
    </row>
    <row r="237" spans="1:6" x14ac:dyDescent="0.2">
      <c r="A237" t="s">
        <v>7248</v>
      </c>
      <c r="B237">
        <v>1010126</v>
      </c>
      <c r="C237" t="s">
        <v>7249</v>
      </c>
      <c r="D237" t="s">
        <v>6068</v>
      </c>
      <c r="E237">
        <f t="shared" si="3"/>
        <v>290</v>
      </c>
      <c r="F237">
        <f>+COUNTIF(ADV!Z:Z,A237)+COUNTIF(ADV!X:X,A237)+COUNTIF(ADV!Y:Y,A237)</f>
        <v>0</v>
      </c>
    </row>
    <row r="238" spans="1:6" x14ac:dyDescent="0.2">
      <c r="A238" t="s">
        <v>7250</v>
      </c>
      <c r="B238">
        <v>1020002</v>
      </c>
      <c r="C238" t="s">
        <v>7251</v>
      </c>
      <c r="D238" t="s">
        <v>6068</v>
      </c>
      <c r="E238">
        <f t="shared" si="3"/>
        <v>63</v>
      </c>
      <c r="F238">
        <f>+COUNTIF(ADV!Z:Z,A238)+COUNTIF(ADV!X:X,A238)+COUNTIF(ADV!Y:Y,A238)</f>
        <v>0</v>
      </c>
    </row>
    <row r="239" spans="1:6" x14ac:dyDescent="0.2">
      <c r="A239" t="s">
        <v>7252</v>
      </c>
      <c r="B239">
        <v>1020002</v>
      </c>
      <c r="C239" t="s">
        <v>7253</v>
      </c>
      <c r="D239" t="s">
        <v>6068</v>
      </c>
      <c r="E239">
        <f t="shared" si="3"/>
        <v>63</v>
      </c>
      <c r="F239">
        <f>+COUNTIF(ADV!Z:Z,A239)+COUNTIF(ADV!X:X,A239)+COUNTIF(ADV!Y:Y,A239)</f>
        <v>0</v>
      </c>
    </row>
    <row r="240" spans="1:6" x14ac:dyDescent="0.2">
      <c r="A240" t="s">
        <v>7254</v>
      </c>
      <c r="B240">
        <v>1020002</v>
      </c>
      <c r="C240" t="s">
        <v>7255</v>
      </c>
      <c r="D240" t="s">
        <v>6068</v>
      </c>
      <c r="E240">
        <f t="shared" si="3"/>
        <v>63</v>
      </c>
      <c r="F240">
        <f>+COUNTIF(ADV!Z:Z,A240)+COUNTIF(ADV!X:X,A240)+COUNTIF(ADV!Y:Y,A240)</f>
        <v>0</v>
      </c>
    </row>
    <row r="241" spans="1:6" x14ac:dyDescent="0.2">
      <c r="A241" t="s">
        <v>7256</v>
      </c>
      <c r="B241">
        <v>1020002</v>
      </c>
      <c r="C241" t="s">
        <v>7257</v>
      </c>
      <c r="D241" t="s">
        <v>6068</v>
      </c>
      <c r="E241">
        <f t="shared" si="3"/>
        <v>63</v>
      </c>
      <c r="F241">
        <f>+COUNTIF(ADV!Z:Z,A241)+COUNTIF(ADV!X:X,A241)+COUNTIF(ADV!Y:Y,A241)</f>
        <v>0</v>
      </c>
    </row>
    <row r="242" spans="1:6" x14ac:dyDescent="0.2">
      <c r="A242" t="s">
        <v>7258</v>
      </c>
      <c r="B242">
        <v>1020002</v>
      </c>
      <c r="C242" t="s">
        <v>7259</v>
      </c>
      <c r="D242" t="s">
        <v>6068</v>
      </c>
      <c r="E242">
        <f t="shared" si="3"/>
        <v>62</v>
      </c>
      <c r="F242">
        <f>+COUNTIF(ADV!Z:Z,A242)+COUNTIF(ADV!X:X,A242)+COUNTIF(ADV!Y:Y,A242)</f>
        <v>0</v>
      </c>
    </row>
    <row r="243" spans="1:6" x14ac:dyDescent="0.2">
      <c r="A243" t="s">
        <v>7260</v>
      </c>
      <c r="B243">
        <v>1020002</v>
      </c>
      <c r="C243" t="s">
        <v>7261</v>
      </c>
      <c r="D243" t="s">
        <v>6068</v>
      </c>
      <c r="E243">
        <f t="shared" si="3"/>
        <v>62</v>
      </c>
      <c r="F243">
        <f>+COUNTIF(ADV!Z:Z,A243)+COUNTIF(ADV!X:X,A243)+COUNTIF(ADV!Y:Y,A243)</f>
        <v>0</v>
      </c>
    </row>
    <row r="244" spans="1:6" x14ac:dyDescent="0.2">
      <c r="A244" t="s">
        <v>7262</v>
      </c>
      <c r="B244">
        <v>1020002</v>
      </c>
      <c r="C244" t="s">
        <v>7263</v>
      </c>
      <c r="D244" t="s">
        <v>6068</v>
      </c>
      <c r="E244">
        <f t="shared" si="3"/>
        <v>62</v>
      </c>
      <c r="F244">
        <f>+COUNTIF(ADV!Z:Z,A244)+COUNTIF(ADV!X:X,A244)+COUNTIF(ADV!Y:Y,A244)</f>
        <v>0</v>
      </c>
    </row>
    <row r="245" spans="1:6" x14ac:dyDescent="0.2">
      <c r="A245" t="s">
        <v>7264</v>
      </c>
      <c r="B245">
        <v>1020005</v>
      </c>
      <c r="C245" t="s">
        <v>7265</v>
      </c>
      <c r="D245" t="s">
        <v>6068</v>
      </c>
      <c r="E245">
        <f t="shared" si="3"/>
        <v>39</v>
      </c>
      <c r="F245">
        <f>+COUNTIF(ADV!Z:Z,A245)+COUNTIF(ADV!X:X,A245)+COUNTIF(ADV!Y:Y,A245)</f>
        <v>0</v>
      </c>
    </row>
    <row r="246" spans="1:6" x14ac:dyDescent="0.2">
      <c r="A246" t="s">
        <v>7266</v>
      </c>
      <c r="B246">
        <v>1020005</v>
      </c>
      <c r="C246" t="s">
        <v>7267</v>
      </c>
      <c r="D246" t="s">
        <v>6068</v>
      </c>
      <c r="E246">
        <f t="shared" si="3"/>
        <v>39</v>
      </c>
      <c r="F246">
        <f>+COUNTIF(ADV!Z:Z,A246)+COUNTIF(ADV!X:X,A246)+COUNTIF(ADV!Y:Y,A246)</f>
        <v>0</v>
      </c>
    </row>
    <row r="247" spans="1:6" x14ac:dyDescent="0.2">
      <c r="A247" t="s">
        <v>7268</v>
      </c>
      <c r="B247">
        <v>1020005</v>
      </c>
      <c r="C247" t="s">
        <v>7269</v>
      </c>
      <c r="D247" t="s">
        <v>6068</v>
      </c>
      <c r="E247">
        <f t="shared" si="3"/>
        <v>39</v>
      </c>
      <c r="F247">
        <f>+COUNTIF(ADV!Z:Z,A247)+COUNTIF(ADV!X:X,A247)+COUNTIF(ADV!Y:Y,A247)</f>
        <v>0</v>
      </c>
    </row>
    <row r="248" spans="1:6" x14ac:dyDescent="0.2">
      <c r="A248" t="s">
        <v>7270</v>
      </c>
      <c r="B248">
        <v>1010044</v>
      </c>
      <c r="C248" t="s">
        <v>7271</v>
      </c>
      <c r="D248" t="s">
        <v>6068</v>
      </c>
      <c r="E248">
        <f t="shared" si="3"/>
        <v>374</v>
      </c>
      <c r="F248">
        <f>+COUNTIF(ADV!Z:Z,A248)+COUNTIF(ADV!X:X,A248)+COUNTIF(ADV!Y:Y,A248)</f>
        <v>0</v>
      </c>
    </row>
    <row r="249" spans="1:6" x14ac:dyDescent="0.2">
      <c r="A249" t="s">
        <v>1319</v>
      </c>
      <c r="B249">
        <v>1010044</v>
      </c>
      <c r="C249" t="s">
        <v>6168</v>
      </c>
      <c r="D249" t="s">
        <v>6068</v>
      </c>
      <c r="E249">
        <f t="shared" si="3"/>
        <v>374</v>
      </c>
      <c r="F249">
        <f>+COUNTIF(ADV!Z:Z,A249)+COUNTIF(ADV!X:X,A249)+COUNTIF(ADV!Y:Y,A249)</f>
        <v>0</v>
      </c>
    </row>
    <row r="250" spans="1:6" x14ac:dyDescent="0.2">
      <c r="A250" t="s">
        <v>7272</v>
      </c>
      <c r="B250">
        <v>1010003</v>
      </c>
      <c r="C250" t="s">
        <v>7273</v>
      </c>
      <c r="D250" t="s">
        <v>6068</v>
      </c>
      <c r="E250">
        <f t="shared" si="3"/>
        <v>31</v>
      </c>
      <c r="F250">
        <f>+COUNTIF(ADV!Z:Z,A250)+COUNTIF(ADV!X:X,A250)+COUNTIF(ADV!Y:Y,A250)</f>
        <v>0</v>
      </c>
    </row>
    <row r="251" spans="1:6" x14ac:dyDescent="0.2">
      <c r="A251" t="s">
        <v>7274</v>
      </c>
      <c r="B251">
        <v>1010003</v>
      </c>
      <c r="C251" t="s">
        <v>7275</v>
      </c>
      <c r="D251" t="s">
        <v>6068</v>
      </c>
      <c r="E251">
        <f t="shared" si="3"/>
        <v>31</v>
      </c>
      <c r="F251">
        <f>+COUNTIF(ADV!Z:Z,A251)+COUNTIF(ADV!X:X,A251)+COUNTIF(ADV!Y:Y,A251)</f>
        <v>0</v>
      </c>
    </row>
    <row r="252" spans="1:6" x14ac:dyDescent="0.2">
      <c r="A252" t="s">
        <v>650</v>
      </c>
      <c r="B252">
        <v>1010003</v>
      </c>
      <c r="C252" t="s">
        <v>7276</v>
      </c>
      <c r="D252" t="s">
        <v>6068</v>
      </c>
      <c r="E252">
        <f t="shared" si="3"/>
        <v>31</v>
      </c>
      <c r="F252">
        <f>+COUNTIF(ADV!Z:Z,A252)+COUNTIF(ADV!X:X,A252)+COUNTIF(ADV!Y:Y,A252)</f>
        <v>0</v>
      </c>
    </row>
    <row r="253" spans="1:6" x14ac:dyDescent="0.2">
      <c r="A253" t="s">
        <v>7277</v>
      </c>
      <c r="B253">
        <v>1010152</v>
      </c>
      <c r="C253" t="s">
        <v>7278</v>
      </c>
      <c r="D253" t="s">
        <v>6068</v>
      </c>
      <c r="E253">
        <f t="shared" si="3"/>
        <v>291</v>
      </c>
      <c r="F253">
        <f>+COUNTIF(ADV!Z:Z,A253)+COUNTIF(ADV!X:X,A253)+COUNTIF(ADV!Y:Y,A253)</f>
        <v>0</v>
      </c>
    </row>
    <row r="254" spans="1:6" x14ac:dyDescent="0.2">
      <c r="A254" t="s">
        <v>703</v>
      </c>
      <c r="B254">
        <v>1010003</v>
      </c>
      <c r="C254" t="s">
        <v>6169</v>
      </c>
      <c r="D254" t="s">
        <v>6068</v>
      </c>
      <c r="E254">
        <f t="shared" si="3"/>
        <v>31</v>
      </c>
      <c r="F254">
        <f>+COUNTIF(ADV!Z:Z,A254)+COUNTIF(ADV!X:X,A254)+COUNTIF(ADV!Y:Y,A254)</f>
        <v>3</v>
      </c>
    </row>
    <row r="255" spans="1:6" x14ac:dyDescent="0.2">
      <c r="A255" t="s">
        <v>7279</v>
      </c>
      <c r="B255">
        <v>1010003</v>
      </c>
      <c r="C255" t="s">
        <v>7280</v>
      </c>
      <c r="D255" t="s">
        <v>6068</v>
      </c>
      <c r="E255">
        <f t="shared" si="3"/>
        <v>30</v>
      </c>
      <c r="F255">
        <f>+COUNTIF(ADV!Z:Z,A255)+COUNTIF(ADV!X:X,A255)+COUNTIF(ADV!Y:Y,A255)</f>
        <v>0</v>
      </c>
    </row>
    <row r="256" spans="1:6" x14ac:dyDescent="0.2">
      <c r="A256" t="s">
        <v>7281</v>
      </c>
      <c r="B256">
        <v>1010003</v>
      </c>
      <c r="C256" t="s">
        <v>7282</v>
      </c>
      <c r="D256" t="s">
        <v>6068</v>
      </c>
      <c r="E256">
        <f t="shared" si="3"/>
        <v>30</v>
      </c>
      <c r="F256">
        <f>+COUNTIF(ADV!Z:Z,A256)+COUNTIF(ADV!X:X,A256)+COUNTIF(ADV!Y:Y,A256)</f>
        <v>0</v>
      </c>
    </row>
    <row r="257" spans="1:6" x14ac:dyDescent="0.2">
      <c r="A257" t="s">
        <v>7283</v>
      </c>
      <c r="B257">
        <v>1020031</v>
      </c>
      <c r="C257" t="s">
        <v>7284</v>
      </c>
      <c r="D257" t="s">
        <v>6068</v>
      </c>
      <c r="E257">
        <f t="shared" si="3"/>
        <v>100</v>
      </c>
      <c r="F257">
        <f>+COUNTIF(ADV!Z:Z,A257)+COUNTIF(ADV!X:X,A257)+COUNTIF(ADV!Y:Y,A257)</f>
        <v>0</v>
      </c>
    </row>
    <row r="258" spans="1:6" x14ac:dyDescent="0.2">
      <c r="A258" t="s">
        <v>7285</v>
      </c>
      <c r="B258">
        <v>1020031</v>
      </c>
      <c r="C258" t="s">
        <v>7286</v>
      </c>
      <c r="D258" t="s">
        <v>6068</v>
      </c>
      <c r="E258">
        <f t="shared" ref="E258:E321" si="4">+LEN(C258)</f>
        <v>100</v>
      </c>
      <c r="F258">
        <f>+COUNTIF(ADV!Z:Z,A258)+COUNTIF(ADV!X:X,A258)+COUNTIF(ADV!Y:Y,A258)</f>
        <v>0</v>
      </c>
    </row>
    <row r="259" spans="1:6" x14ac:dyDescent="0.2">
      <c r="A259" t="s">
        <v>2877</v>
      </c>
      <c r="B259">
        <v>1020031</v>
      </c>
      <c r="C259" t="s">
        <v>6170</v>
      </c>
      <c r="D259" t="s">
        <v>6068</v>
      </c>
      <c r="E259">
        <f t="shared" si="4"/>
        <v>100</v>
      </c>
      <c r="F259">
        <f>+COUNTIF(ADV!Z:Z,A259)+COUNTIF(ADV!X:X,A259)+COUNTIF(ADV!Y:Y,A259)</f>
        <v>0</v>
      </c>
    </row>
    <row r="260" spans="1:6" x14ac:dyDescent="0.2">
      <c r="A260" t="s">
        <v>7287</v>
      </c>
      <c r="B260">
        <v>1020002</v>
      </c>
      <c r="C260" t="s">
        <v>7288</v>
      </c>
      <c r="D260" t="s">
        <v>6068</v>
      </c>
      <c r="E260">
        <f t="shared" si="4"/>
        <v>273</v>
      </c>
      <c r="F260">
        <f>+COUNTIF(ADV!Z:Z,A260)+COUNTIF(ADV!X:X,A260)+COUNTIF(ADV!Y:Y,A260)</f>
        <v>0</v>
      </c>
    </row>
    <row r="261" spans="1:6" x14ac:dyDescent="0.2">
      <c r="A261" t="s">
        <v>7289</v>
      </c>
      <c r="B261">
        <v>1020002</v>
      </c>
      <c r="C261" t="s">
        <v>7290</v>
      </c>
      <c r="D261" t="s">
        <v>6068</v>
      </c>
      <c r="E261">
        <f t="shared" si="4"/>
        <v>273</v>
      </c>
      <c r="F261">
        <f>+COUNTIF(ADV!Z:Z,A261)+COUNTIF(ADV!X:X,A261)+COUNTIF(ADV!Y:Y,A261)</f>
        <v>0</v>
      </c>
    </row>
    <row r="262" spans="1:6" x14ac:dyDescent="0.2">
      <c r="A262" t="s">
        <v>3986</v>
      </c>
      <c r="B262">
        <v>1020002</v>
      </c>
      <c r="C262" t="s">
        <v>6171</v>
      </c>
      <c r="D262" t="s">
        <v>6068</v>
      </c>
      <c r="E262">
        <f t="shared" si="4"/>
        <v>273</v>
      </c>
      <c r="F262">
        <f>+COUNTIF(ADV!Z:Z,A262)+COUNTIF(ADV!X:X,A262)+COUNTIF(ADV!Y:Y,A262)</f>
        <v>0</v>
      </c>
    </row>
    <row r="263" spans="1:6" x14ac:dyDescent="0.2">
      <c r="A263" t="s">
        <v>281</v>
      </c>
      <c r="B263">
        <v>1020002</v>
      </c>
      <c r="C263" t="s">
        <v>6172</v>
      </c>
      <c r="D263" t="s">
        <v>6068</v>
      </c>
      <c r="E263">
        <f t="shared" si="4"/>
        <v>270</v>
      </c>
      <c r="F263">
        <f>+COUNTIF(ADV!Z:Z,A263)+COUNTIF(ADV!X:X,A263)+COUNTIF(ADV!Y:Y,A263)</f>
        <v>0</v>
      </c>
    </row>
    <row r="264" spans="1:6" x14ac:dyDescent="0.2">
      <c r="A264" t="s">
        <v>282</v>
      </c>
      <c r="B264">
        <v>1010003</v>
      </c>
      <c r="C264" t="s">
        <v>6173</v>
      </c>
      <c r="D264" t="s">
        <v>6068</v>
      </c>
      <c r="E264">
        <f t="shared" si="4"/>
        <v>211</v>
      </c>
      <c r="F264">
        <f>+COUNTIF(ADV!Z:Z,A264)+COUNTIF(ADV!X:X,A264)+COUNTIF(ADV!Y:Y,A264)</f>
        <v>0</v>
      </c>
    </row>
    <row r="265" spans="1:6" x14ac:dyDescent="0.2">
      <c r="A265" t="s">
        <v>7291</v>
      </c>
      <c r="B265">
        <v>1010031</v>
      </c>
      <c r="C265" t="s">
        <v>7292</v>
      </c>
      <c r="D265" t="s">
        <v>6068</v>
      </c>
      <c r="E265">
        <f t="shared" si="4"/>
        <v>92</v>
      </c>
      <c r="F265">
        <f>+COUNTIF(ADV!Z:Z,A265)+COUNTIF(ADV!X:X,A265)+COUNTIF(ADV!Y:Y,A265)</f>
        <v>0</v>
      </c>
    </row>
    <row r="266" spans="1:6" x14ac:dyDescent="0.2">
      <c r="A266" t="s">
        <v>3801</v>
      </c>
      <c r="B266">
        <v>1010031</v>
      </c>
      <c r="C266" t="s">
        <v>6174</v>
      </c>
      <c r="D266" t="s">
        <v>6068</v>
      </c>
      <c r="E266">
        <f t="shared" si="4"/>
        <v>155</v>
      </c>
      <c r="F266">
        <f>+COUNTIF(ADV!Z:Z,A266)+COUNTIF(ADV!X:X,A266)+COUNTIF(ADV!Y:Y,A266)</f>
        <v>1</v>
      </c>
    </row>
    <row r="267" spans="1:6" x14ac:dyDescent="0.2">
      <c r="A267" t="s">
        <v>7293</v>
      </c>
      <c r="B267">
        <v>1020003</v>
      </c>
      <c r="C267" t="s">
        <v>7294</v>
      </c>
      <c r="D267" t="s">
        <v>6068</v>
      </c>
      <c r="E267">
        <f t="shared" si="4"/>
        <v>268</v>
      </c>
      <c r="F267">
        <f>+COUNTIF(ADV!Z:Z,A267)+COUNTIF(ADV!X:X,A267)+COUNTIF(ADV!Y:Y,A267)</f>
        <v>0</v>
      </c>
    </row>
    <row r="268" spans="1:6" x14ac:dyDescent="0.2">
      <c r="A268" t="s">
        <v>7295</v>
      </c>
      <c r="B268">
        <v>1020003</v>
      </c>
      <c r="C268" t="s">
        <v>7296</v>
      </c>
      <c r="D268" t="s">
        <v>6068</v>
      </c>
      <c r="E268">
        <f t="shared" si="4"/>
        <v>269</v>
      </c>
      <c r="F268">
        <f>+COUNTIF(ADV!Z:Z,A268)+COUNTIF(ADV!X:X,A268)+COUNTIF(ADV!Y:Y,A268)</f>
        <v>0</v>
      </c>
    </row>
    <row r="269" spans="1:6" x14ac:dyDescent="0.2">
      <c r="A269" t="s">
        <v>7297</v>
      </c>
      <c r="B269">
        <v>1020003</v>
      </c>
      <c r="C269" t="s">
        <v>7298</v>
      </c>
      <c r="D269" t="s">
        <v>6068</v>
      </c>
      <c r="E269">
        <f t="shared" si="4"/>
        <v>270</v>
      </c>
      <c r="F269">
        <f>+COUNTIF(ADV!Z:Z,A269)+COUNTIF(ADV!X:X,A269)+COUNTIF(ADV!Y:Y,A269)</f>
        <v>0</v>
      </c>
    </row>
    <row r="270" spans="1:6" x14ac:dyDescent="0.2">
      <c r="A270" t="s">
        <v>7299</v>
      </c>
      <c r="B270">
        <v>1010002</v>
      </c>
      <c r="C270" t="s">
        <v>7300</v>
      </c>
      <c r="D270" t="s">
        <v>6068</v>
      </c>
      <c r="E270">
        <f t="shared" si="4"/>
        <v>82</v>
      </c>
      <c r="F270">
        <f>+COUNTIF(ADV!Z:Z,A270)+COUNTIF(ADV!X:X,A270)+COUNTIF(ADV!Y:Y,A270)</f>
        <v>0</v>
      </c>
    </row>
    <row r="271" spans="1:6" x14ac:dyDescent="0.2">
      <c r="A271" t="s">
        <v>7301</v>
      </c>
      <c r="B271">
        <v>1010002</v>
      </c>
      <c r="C271" t="s">
        <v>7302</v>
      </c>
      <c r="D271" t="s">
        <v>6068</v>
      </c>
      <c r="E271">
        <f t="shared" si="4"/>
        <v>82</v>
      </c>
      <c r="F271">
        <f>+COUNTIF(ADV!Z:Z,A271)+COUNTIF(ADV!X:X,A271)+COUNTIF(ADV!Y:Y,A271)</f>
        <v>0</v>
      </c>
    </row>
    <row r="272" spans="1:6" x14ac:dyDescent="0.2">
      <c r="A272" t="s">
        <v>7303</v>
      </c>
      <c r="B272">
        <v>1010002</v>
      </c>
      <c r="C272" t="s">
        <v>7304</v>
      </c>
      <c r="D272" t="s">
        <v>6068</v>
      </c>
      <c r="E272">
        <f t="shared" si="4"/>
        <v>82</v>
      </c>
      <c r="F272">
        <f>+COUNTIF(ADV!Z:Z,A272)+COUNTIF(ADV!X:X,A272)+COUNTIF(ADV!Y:Y,A272)</f>
        <v>0</v>
      </c>
    </row>
    <row r="273" spans="1:6" x14ac:dyDescent="0.2">
      <c r="A273" t="s">
        <v>7305</v>
      </c>
      <c r="B273">
        <v>1020029</v>
      </c>
      <c r="C273" t="s">
        <v>7306</v>
      </c>
      <c r="D273" t="s">
        <v>6068</v>
      </c>
      <c r="E273">
        <f t="shared" si="4"/>
        <v>84</v>
      </c>
      <c r="F273">
        <f>+COUNTIF(ADV!Z:Z,A273)+COUNTIF(ADV!X:X,A273)+COUNTIF(ADV!Y:Y,A273)</f>
        <v>0</v>
      </c>
    </row>
    <row r="274" spans="1:6" x14ac:dyDescent="0.2">
      <c r="A274" t="s">
        <v>7305</v>
      </c>
      <c r="B274">
        <v>1020029</v>
      </c>
      <c r="C274" t="s">
        <v>7307</v>
      </c>
      <c r="D274" t="s">
        <v>6068</v>
      </c>
      <c r="E274">
        <f t="shared" si="4"/>
        <v>85</v>
      </c>
      <c r="F274">
        <f>+COUNTIF(ADV!Z:Z,A274)+COUNTIF(ADV!X:X,A274)+COUNTIF(ADV!Y:Y,A274)</f>
        <v>0</v>
      </c>
    </row>
    <row r="275" spans="1:6" x14ac:dyDescent="0.2">
      <c r="A275" t="s">
        <v>7308</v>
      </c>
      <c r="B275">
        <v>1020029</v>
      </c>
      <c r="C275" t="s">
        <v>7309</v>
      </c>
      <c r="D275" t="s">
        <v>6068</v>
      </c>
      <c r="E275">
        <f t="shared" si="4"/>
        <v>84</v>
      </c>
      <c r="F275">
        <f>+COUNTIF(ADV!Z:Z,A275)+COUNTIF(ADV!X:X,A275)+COUNTIF(ADV!Y:Y,A275)</f>
        <v>0</v>
      </c>
    </row>
    <row r="276" spans="1:6" x14ac:dyDescent="0.2">
      <c r="A276" t="s">
        <v>7308</v>
      </c>
      <c r="B276">
        <v>1020029</v>
      </c>
      <c r="C276" t="s">
        <v>7310</v>
      </c>
      <c r="D276" t="s">
        <v>6068</v>
      </c>
      <c r="E276">
        <f t="shared" si="4"/>
        <v>85</v>
      </c>
      <c r="F276">
        <f>+COUNTIF(ADV!Z:Z,A276)+COUNTIF(ADV!X:X,A276)+COUNTIF(ADV!Y:Y,A276)</f>
        <v>0</v>
      </c>
    </row>
    <row r="277" spans="1:6" x14ac:dyDescent="0.2">
      <c r="A277" t="s">
        <v>7311</v>
      </c>
      <c r="B277">
        <v>1020029</v>
      </c>
      <c r="C277" t="s">
        <v>7312</v>
      </c>
      <c r="D277" t="s">
        <v>6068</v>
      </c>
      <c r="E277">
        <f t="shared" si="4"/>
        <v>85</v>
      </c>
      <c r="F277">
        <f>+COUNTIF(ADV!Z:Z,A277)+COUNTIF(ADV!X:X,A277)+COUNTIF(ADV!Y:Y,A277)</f>
        <v>0</v>
      </c>
    </row>
    <row r="278" spans="1:6" x14ac:dyDescent="0.2">
      <c r="A278" t="s">
        <v>7313</v>
      </c>
      <c r="B278">
        <v>1020029</v>
      </c>
      <c r="C278" t="s">
        <v>7314</v>
      </c>
      <c r="D278" t="s">
        <v>6068</v>
      </c>
      <c r="E278">
        <f t="shared" si="4"/>
        <v>85</v>
      </c>
      <c r="F278">
        <f>+COUNTIF(ADV!Z:Z,A278)+COUNTIF(ADV!X:X,A278)+COUNTIF(ADV!Y:Y,A278)</f>
        <v>0</v>
      </c>
    </row>
    <row r="279" spans="1:6" x14ac:dyDescent="0.2">
      <c r="A279" t="s">
        <v>7315</v>
      </c>
      <c r="B279">
        <v>1020029</v>
      </c>
      <c r="C279" t="s">
        <v>7316</v>
      </c>
      <c r="D279" t="s">
        <v>6068</v>
      </c>
      <c r="E279">
        <f t="shared" si="4"/>
        <v>85</v>
      </c>
      <c r="F279">
        <f>+COUNTIF(ADV!Z:Z,A279)+COUNTIF(ADV!X:X,A279)+COUNTIF(ADV!Y:Y,A279)</f>
        <v>0</v>
      </c>
    </row>
    <row r="280" spans="1:6" x14ac:dyDescent="0.2">
      <c r="A280" t="s">
        <v>7317</v>
      </c>
      <c r="B280">
        <v>1010162</v>
      </c>
      <c r="C280" t="s">
        <v>7318</v>
      </c>
      <c r="D280" t="s">
        <v>6068</v>
      </c>
      <c r="E280">
        <f t="shared" si="4"/>
        <v>684</v>
      </c>
      <c r="F280">
        <f>+COUNTIF(ADV!Z:Z,A280)+COUNTIF(ADV!X:X,A280)+COUNTIF(ADV!Y:Y,A280)</f>
        <v>0</v>
      </c>
    </row>
    <row r="281" spans="1:6" x14ac:dyDescent="0.2">
      <c r="A281" t="s">
        <v>547</v>
      </c>
      <c r="B281">
        <v>1010162</v>
      </c>
      <c r="C281" t="s">
        <v>6175</v>
      </c>
      <c r="D281" t="s">
        <v>6068</v>
      </c>
      <c r="E281">
        <f t="shared" si="4"/>
        <v>753</v>
      </c>
      <c r="F281">
        <f>+COUNTIF(ADV!Z:Z,A281)+COUNTIF(ADV!X:X,A281)+COUNTIF(ADV!Y:Y,A281)</f>
        <v>1</v>
      </c>
    </row>
    <row r="282" spans="1:6" x14ac:dyDescent="0.2">
      <c r="A282" t="s">
        <v>1239</v>
      </c>
      <c r="B282">
        <v>1020014</v>
      </c>
      <c r="C282" t="s">
        <v>6176</v>
      </c>
      <c r="D282" t="s">
        <v>6068</v>
      </c>
      <c r="E282">
        <f t="shared" si="4"/>
        <v>334</v>
      </c>
      <c r="F282">
        <f>+COUNTIF(ADV!Z:Z,A282)+COUNTIF(ADV!X:X,A282)+COUNTIF(ADV!Y:Y,A282)</f>
        <v>1</v>
      </c>
    </row>
    <row r="283" spans="1:6" x14ac:dyDescent="0.2">
      <c r="A283" t="s">
        <v>7319</v>
      </c>
      <c r="B283">
        <v>1010007</v>
      </c>
      <c r="C283" t="s">
        <v>7320</v>
      </c>
      <c r="D283" t="s">
        <v>6068</v>
      </c>
      <c r="E283">
        <f t="shared" si="4"/>
        <v>64</v>
      </c>
      <c r="F283">
        <f>+COUNTIF(ADV!Z:Z,A283)+COUNTIF(ADV!X:X,A283)+COUNTIF(ADV!Y:Y,A283)</f>
        <v>0</v>
      </c>
    </row>
    <row r="284" spans="1:6" x14ac:dyDescent="0.2">
      <c r="A284" t="s">
        <v>844</v>
      </c>
      <c r="B284">
        <v>1010007</v>
      </c>
      <c r="C284" t="s">
        <v>6177</v>
      </c>
      <c r="D284" t="s">
        <v>6068</v>
      </c>
      <c r="E284">
        <f t="shared" si="4"/>
        <v>65</v>
      </c>
      <c r="F284">
        <f>+COUNTIF(ADV!Z:Z,A284)+COUNTIF(ADV!X:X,A284)+COUNTIF(ADV!Y:Y,A284)</f>
        <v>0</v>
      </c>
    </row>
    <row r="285" spans="1:6" x14ac:dyDescent="0.2">
      <c r="A285" t="s">
        <v>7321</v>
      </c>
      <c r="B285">
        <v>1020024</v>
      </c>
      <c r="C285" t="s">
        <v>7322</v>
      </c>
      <c r="D285" t="s">
        <v>6068</v>
      </c>
      <c r="E285">
        <f t="shared" si="4"/>
        <v>43</v>
      </c>
      <c r="F285">
        <f>+COUNTIF(ADV!Z:Z,A285)+COUNTIF(ADV!X:X,A285)+COUNTIF(ADV!Y:Y,A285)</f>
        <v>0</v>
      </c>
    </row>
    <row r="286" spans="1:6" x14ac:dyDescent="0.2">
      <c r="A286" t="s">
        <v>7323</v>
      </c>
      <c r="B286">
        <v>1020024</v>
      </c>
      <c r="C286" t="s">
        <v>7324</v>
      </c>
      <c r="D286" t="s">
        <v>6068</v>
      </c>
      <c r="E286">
        <f t="shared" si="4"/>
        <v>43</v>
      </c>
      <c r="F286">
        <f>+COUNTIF(ADV!Z:Z,A286)+COUNTIF(ADV!X:X,A286)+COUNTIF(ADV!Y:Y,A286)</f>
        <v>0</v>
      </c>
    </row>
    <row r="287" spans="1:6" x14ac:dyDescent="0.2">
      <c r="A287" t="s">
        <v>2910</v>
      </c>
      <c r="B287">
        <v>1020024</v>
      </c>
      <c r="C287" t="s">
        <v>6178</v>
      </c>
      <c r="D287" t="s">
        <v>6068</v>
      </c>
      <c r="E287">
        <f t="shared" si="4"/>
        <v>66</v>
      </c>
      <c r="F287">
        <f>+COUNTIF(ADV!Z:Z,A287)+COUNTIF(ADV!X:X,A287)+COUNTIF(ADV!Y:Y,A287)</f>
        <v>0</v>
      </c>
    </row>
    <row r="288" spans="1:6" x14ac:dyDescent="0.2">
      <c r="A288" t="s">
        <v>7325</v>
      </c>
      <c r="B288">
        <v>1010075</v>
      </c>
      <c r="C288" t="s">
        <v>7326</v>
      </c>
      <c r="D288" t="s">
        <v>6068</v>
      </c>
      <c r="E288">
        <f t="shared" si="4"/>
        <v>52</v>
      </c>
      <c r="F288">
        <f>+COUNTIF(ADV!Z:Z,A288)+COUNTIF(ADV!X:X,A288)+COUNTIF(ADV!Y:Y,A288)</f>
        <v>0</v>
      </c>
    </row>
    <row r="289" spans="1:6" x14ac:dyDescent="0.2">
      <c r="A289" t="s">
        <v>2974</v>
      </c>
      <c r="B289">
        <v>1010075</v>
      </c>
      <c r="C289" t="s">
        <v>6179</v>
      </c>
      <c r="D289" t="s">
        <v>6068</v>
      </c>
      <c r="E289">
        <f t="shared" si="4"/>
        <v>52</v>
      </c>
      <c r="F289">
        <f>+COUNTIF(ADV!Z:Z,A289)+COUNTIF(ADV!X:X,A289)+COUNTIF(ADV!Y:Y,A289)</f>
        <v>0</v>
      </c>
    </row>
    <row r="290" spans="1:6" x14ac:dyDescent="0.2">
      <c r="A290" t="s">
        <v>7327</v>
      </c>
      <c r="B290">
        <v>1010103</v>
      </c>
      <c r="C290" t="s">
        <v>7328</v>
      </c>
      <c r="D290" t="s">
        <v>6068</v>
      </c>
      <c r="E290">
        <f t="shared" si="4"/>
        <v>244</v>
      </c>
      <c r="F290">
        <f>+COUNTIF(ADV!Z:Z,A290)+COUNTIF(ADV!X:X,A290)+COUNTIF(ADV!Y:Y,A290)</f>
        <v>0</v>
      </c>
    </row>
    <row r="291" spans="1:6" x14ac:dyDescent="0.2">
      <c r="A291" t="s">
        <v>3740</v>
      </c>
      <c r="B291">
        <v>1010103</v>
      </c>
      <c r="C291" t="s">
        <v>6180</v>
      </c>
      <c r="D291" t="s">
        <v>6068</v>
      </c>
      <c r="E291">
        <f t="shared" si="4"/>
        <v>243</v>
      </c>
      <c r="F291">
        <f>+COUNTIF(ADV!Z:Z,A291)+COUNTIF(ADV!X:X,A291)+COUNTIF(ADV!Y:Y,A291)</f>
        <v>0</v>
      </c>
    </row>
    <row r="292" spans="1:6" x14ac:dyDescent="0.2">
      <c r="A292" t="s">
        <v>7329</v>
      </c>
      <c r="B292">
        <v>1010011</v>
      </c>
      <c r="C292" t="s">
        <v>7330</v>
      </c>
      <c r="D292" t="s">
        <v>6068</v>
      </c>
      <c r="E292">
        <f t="shared" si="4"/>
        <v>274</v>
      </c>
      <c r="F292">
        <f>+COUNTIF(ADV!Z:Z,A292)+COUNTIF(ADV!X:X,A292)+COUNTIF(ADV!Y:Y,A292)</f>
        <v>0</v>
      </c>
    </row>
    <row r="293" spans="1:6" x14ac:dyDescent="0.2">
      <c r="A293" t="s">
        <v>401</v>
      </c>
      <c r="B293">
        <v>1010011</v>
      </c>
      <c r="C293" t="s">
        <v>6181</v>
      </c>
      <c r="D293" t="s">
        <v>6068</v>
      </c>
      <c r="E293">
        <f t="shared" si="4"/>
        <v>274</v>
      </c>
      <c r="F293">
        <f>+COUNTIF(ADV!Z:Z,A293)+COUNTIF(ADV!X:X,A293)+COUNTIF(ADV!Y:Y,A293)</f>
        <v>0</v>
      </c>
    </row>
    <row r="294" spans="1:6" x14ac:dyDescent="0.2">
      <c r="A294" t="s">
        <v>7331</v>
      </c>
      <c r="B294">
        <v>1010078</v>
      </c>
      <c r="C294" t="s">
        <v>7332</v>
      </c>
      <c r="D294" t="s">
        <v>6068</v>
      </c>
      <c r="E294">
        <f t="shared" si="4"/>
        <v>73</v>
      </c>
      <c r="F294">
        <f>+COUNTIF(ADV!Z:Z,A294)+COUNTIF(ADV!X:X,A294)+COUNTIF(ADV!Y:Y,A294)</f>
        <v>0</v>
      </c>
    </row>
    <row r="295" spans="1:6" x14ac:dyDescent="0.2">
      <c r="A295" t="s">
        <v>2434</v>
      </c>
      <c r="B295">
        <v>1010078</v>
      </c>
      <c r="C295" t="s">
        <v>6182</v>
      </c>
      <c r="D295" t="s">
        <v>6068</v>
      </c>
      <c r="E295">
        <f t="shared" si="4"/>
        <v>73</v>
      </c>
      <c r="F295">
        <f>+COUNTIF(ADV!Z:Z,A295)+COUNTIF(ADV!X:X,A295)+COUNTIF(ADV!Y:Y,A295)</f>
        <v>0</v>
      </c>
    </row>
    <row r="296" spans="1:6" x14ac:dyDescent="0.2">
      <c r="A296" t="s">
        <v>7333</v>
      </c>
      <c r="B296">
        <v>1010195</v>
      </c>
      <c r="C296" t="s">
        <v>7334</v>
      </c>
      <c r="D296" t="s">
        <v>6068</v>
      </c>
      <c r="E296">
        <f t="shared" si="4"/>
        <v>150</v>
      </c>
      <c r="F296">
        <f>+COUNTIF(ADV!Z:Z,A296)+COUNTIF(ADV!X:X,A296)+COUNTIF(ADV!Y:Y,A296)</f>
        <v>0</v>
      </c>
    </row>
    <row r="297" spans="1:6" x14ac:dyDescent="0.2">
      <c r="A297" t="s">
        <v>3785</v>
      </c>
      <c r="B297">
        <v>1010195</v>
      </c>
      <c r="C297" t="s">
        <v>6183</v>
      </c>
      <c r="D297" t="s">
        <v>6068</v>
      </c>
      <c r="E297">
        <f t="shared" si="4"/>
        <v>144</v>
      </c>
      <c r="F297">
        <f>+COUNTIF(ADV!Z:Z,A297)+COUNTIF(ADV!X:X,A297)+COUNTIF(ADV!Y:Y,A297)</f>
        <v>1</v>
      </c>
    </row>
    <row r="298" spans="1:6" x14ac:dyDescent="0.2">
      <c r="A298" t="s">
        <v>7335</v>
      </c>
      <c r="B298">
        <v>1020043</v>
      </c>
      <c r="C298" t="s">
        <v>7336</v>
      </c>
      <c r="D298" t="s">
        <v>6068</v>
      </c>
      <c r="E298">
        <f t="shared" si="4"/>
        <v>99</v>
      </c>
      <c r="F298">
        <f>+COUNTIF(ADV!Z:Z,A298)+COUNTIF(ADV!X:X,A298)+COUNTIF(ADV!Y:Y,A298)</f>
        <v>0</v>
      </c>
    </row>
    <row r="299" spans="1:6" x14ac:dyDescent="0.2">
      <c r="A299" t="s">
        <v>7337</v>
      </c>
      <c r="B299">
        <v>1020043</v>
      </c>
      <c r="C299" t="s">
        <v>7338</v>
      </c>
      <c r="D299" t="s">
        <v>6068</v>
      </c>
      <c r="E299">
        <f t="shared" si="4"/>
        <v>99</v>
      </c>
      <c r="F299">
        <f>+COUNTIF(ADV!Z:Z,A299)+COUNTIF(ADV!X:X,A299)+COUNTIF(ADV!Y:Y,A299)</f>
        <v>0</v>
      </c>
    </row>
    <row r="300" spans="1:6" x14ac:dyDescent="0.2">
      <c r="A300" t="s">
        <v>7339</v>
      </c>
      <c r="B300">
        <v>1020043</v>
      </c>
      <c r="C300" t="s">
        <v>7340</v>
      </c>
      <c r="D300" t="s">
        <v>6068</v>
      </c>
      <c r="E300">
        <f t="shared" si="4"/>
        <v>99</v>
      </c>
      <c r="F300">
        <f>+COUNTIF(ADV!Z:Z,A300)+COUNTIF(ADV!X:X,A300)+COUNTIF(ADV!Y:Y,A300)</f>
        <v>0</v>
      </c>
    </row>
    <row r="301" spans="1:6" x14ac:dyDescent="0.2">
      <c r="A301" t="s">
        <v>7341</v>
      </c>
      <c r="B301">
        <v>1020002</v>
      </c>
      <c r="C301" t="s">
        <v>7342</v>
      </c>
      <c r="D301" t="s">
        <v>6068</v>
      </c>
      <c r="E301">
        <f t="shared" si="4"/>
        <v>73</v>
      </c>
      <c r="F301">
        <f>+COUNTIF(ADV!Z:Z,A301)+COUNTIF(ADV!X:X,A301)+COUNTIF(ADV!Y:Y,A301)</f>
        <v>0</v>
      </c>
    </row>
    <row r="302" spans="1:6" x14ac:dyDescent="0.2">
      <c r="A302" t="s">
        <v>685</v>
      </c>
      <c r="B302">
        <v>1020002</v>
      </c>
      <c r="C302" t="s">
        <v>6184</v>
      </c>
      <c r="D302" t="s">
        <v>6068</v>
      </c>
      <c r="E302">
        <f t="shared" si="4"/>
        <v>73</v>
      </c>
      <c r="F302">
        <f>+COUNTIF(ADV!Z:Z,A302)+COUNTIF(ADV!X:X,A302)+COUNTIF(ADV!Y:Y,A302)</f>
        <v>0</v>
      </c>
    </row>
    <row r="303" spans="1:6" x14ac:dyDescent="0.2">
      <c r="A303" t="s">
        <v>3343</v>
      </c>
      <c r="B303">
        <v>1020002</v>
      </c>
      <c r="C303" t="s">
        <v>6185</v>
      </c>
      <c r="D303" t="s">
        <v>6068</v>
      </c>
      <c r="E303">
        <f t="shared" si="4"/>
        <v>73</v>
      </c>
      <c r="F303">
        <f>+COUNTIF(ADV!Z:Z,A303)+COUNTIF(ADV!X:X,A303)+COUNTIF(ADV!Y:Y,A303)</f>
        <v>1</v>
      </c>
    </row>
    <row r="304" spans="1:6" x14ac:dyDescent="0.2">
      <c r="A304" t="s">
        <v>7343</v>
      </c>
      <c r="B304">
        <v>1020004</v>
      </c>
      <c r="C304" t="s">
        <v>7344</v>
      </c>
      <c r="D304" t="s">
        <v>6068</v>
      </c>
      <c r="E304">
        <f t="shared" si="4"/>
        <v>161</v>
      </c>
      <c r="F304">
        <f>+COUNTIF(ADV!Z:Z,A304)+COUNTIF(ADV!X:X,A304)+COUNTIF(ADV!Y:Y,A304)</f>
        <v>0</v>
      </c>
    </row>
    <row r="305" spans="1:6" x14ac:dyDescent="0.2">
      <c r="A305" t="s">
        <v>2234</v>
      </c>
      <c r="B305">
        <v>1020004</v>
      </c>
      <c r="C305" t="s">
        <v>6186</v>
      </c>
      <c r="D305" t="s">
        <v>6068</v>
      </c>
      <c r="E305">
        <f t="shared" si="4"/>
        <v>161</v>
      </c>
      <c r="F305">
        <f>+COUNTIF(ADV!Z:Z,A305)+COUNTIF(ADV!X:X,A305)+COUNTIF(ADV!Y:Y,A305)</f>
        <v>0</v>
      </c>
    </row>
    <row r="306" spans="1:6" x14ac:dyDescent="0.2">
      <c r="A306" t="s">
        <v>7345</v>
      </c>
      <c r="B306">
        <v>1020029</v>
      </c>
      <c r="C306" t="s">
        <v>7346</v>
      </c>
      <c r="D306" t="s">
        <v>6068</v>
      </c>
      <c r="E306">
        <f t="shared" si="4"/>
        <v>173</v>
      </c>
      <c r="F306">
        <f>+COUNTIF(ADV!Z:Z,A306)+COUNTIF(ADV!X:X,A306)+COUNTIF(ADV!Y:Y,A306)</f>
        <v>0</v>
      </c>
    </row>
    <row r="307" spans="1:6" x14ac:dyDescent="0.2">
      <c r="A307" t="s">
        <v>3084</v>
      </c>
      <c r="B307">
        <v>1020029</v>
      </c>
      <c r="C307" t="s">
        <v>6187</v>
      </c>
      <c r="D307" t="s">
        <v>6068</v>
      </c>
      <c r="E307">
        <f t="shared" si="4"/>
        <v>173</v>
      </c>
      <c r="F307">
        <f>+COUNTIF(ADV!Z:Z,A307)+COUNTIF(ADV!X:X,A307)+COUNTIF(ADV!Y:Y,A307)</f>
        <v>0</v>
      </c>
    </row>
    <row r="308" spans="1:6" x14ac:dyDescent="0.2">
      <c r="A308" t="s">
        <v>1777</v>
      </c>
      <c r="B308">
        <v>1020029</v>
      </c>
      <c r="C308" t="s">
        <v>6188</v>
      </c>
      <c r="D308" t="s">
        <v>6068</v>
      </c>
      <c r="E308">
        <f t="shared" si="4"/>
        <v>174</v>
      </c>
      <c r="F308">
        <f>+COUNTIF(ADV!Z:Z,A308)+COUNTIF(ADV!X:X,A308)+COUNTIF(ADV!Y:Y,A308)</f>
        <v>0</v>
      </c>
    </row>
    <row r="309" spans="1:6" x14ac:dyDescent="0.2">
      <c r="A309" t="s">
        <v>2476</v>
      </c>
      <c r="B309">
        <v>1010012</v>
      </c>
      <c r="C309" t="s">
        <v>6189</v>
      </c>
      <c r="D309" t="s">
        <v>6068</v>
      </c>
      <c r="E309">
        <f t="shared" si="4"/>
        <v>76</v>
      </c>
      <c r="F309">
        <f>+COUNTIF(ADV!Z:Z,A309)+COUNTIF(ADV!X:X,A309)+COUNTIF(ADV!Y:Y,A309)</f>
        <v>0</v>
      </c>
    </row>
    <row r="310" spans="1:6" x14ac:dyDescent="0.2">
      <c r="A310" t="s">
        <v>7347</v>
      </c>
      <c r="B310">
        <v>1010012</v>
      </c>
      <c r="C310" t="s">
        <v>7348</v>
      </c>
      <c r="D310" t="s">
        <v>6068</v>
      </c>
      <c r="E310">
        <f t="shared" si="4"/>
        <v>70</v>
      </c>
      <c r="F310">
        <f>+COUNTIF(ADV!Z:Z,A310)+COUNTIF(ADV!X:X,A310)+COUNTIF(ADV!Y:Y,A310)</f>
        <v>0</v>
      </c>
    </row>
    <row r="311" spans="1:6" x14ac:dyDescent="0.2">
      <c r="A311" t="s">
        <v>7349</v>
      </c>
      <c r="B311">
        <v>1010012</v>
      </c>
      <c r="C311" t="s">
        <v>7350</v>
      </c>
      <c r="D311" t="s">
        <v>6068</v>
      </c>
      <c r="E311">
        <f t="shared" si="4"/>
        <v>73</v>
      </c>
      <c r="F311">
        <f>+COUNTIF(ADV!Z:Z,A311)+COUNTIF(ADV!X:X,A311)+COUNTIF(ADV!Y:Y,A311)</f>
        <v>0</v>
      </c>
    </row>
    <row r="312" spans="1:6" x14ac:dyDescent="0.2">
      <c r="A312" t="s">
        <v>7351</v>
      </c>
      <c r="B312">
        <v>1010012</v>
      </c>
      <c r="C312" t="s">
        <v>7352</v>
      </c>
      <c r="D312" t="s">
        <v>6068</v>
      </c>
      <c r="E312">
        <f t="shared" si="4"/>
        <v>42</v>
      </c>
      <c r="F312">
        <f>+COUNTIF(ADV!Z:Z,A312)+COUNTIF(ADV!X:X,A312)+COUNTIF(ADV!Y:Y,A312)</f>
        <v>0</v>
      </c>
    </row>
    <row r="313" spans="1:6" x14ac:dyDescent="0.2">
      <c r="A313" t="s">
        <v>2361</v>
      </c>
      <c r="B313">
        <v>1020003</v>
      </c>
      <c r="C313" t="s">
        <v>6190</v>
      </c>
      <c r="D313" t="s">
        <v>6068</v>
      </c>
      <c r="E313">
        <f t="shared" si="4"/>
        <v>149</v>
      </c>
      <c r="F313">
        <f>+COUNTIF(ADV!Z:Z,A313)+COUNTIF(ADV!X:X,A313)+COUNTIF(ADV!Y:Y,A313)</f>
        <v>0</v>
      </c>
    </row>
    <row r="314" spans="1:6" x14ac:dyDescent="0.2">
      <c r="A314" t="s">
        <v>7353</v>
      </c>
      <c r="B314">
        <v>1010072</v>
      </c>
      <c r="C314" t="s">
        <v>7354</v>
      </c>
      <c r="D314" t="s">
        <v>6068</v>
      </c>
      <c r="E314">
        <f t="shared" si="4"/>
        <v>141</v>
      </c>
      <c r="F314">
        <f>+COUNTIF(ADV!Z:Z,A314)+COUNTIF(ADV!X:X,A314)+COUNTIF(ADV!Y:Y,A314)</f>
        <v>0</v>
      </c>
    </row>
    <row r="315" spans="1:6" x14ac:dyDescent="0.2">
      <c r="A315" t="s">
        <v>3754</v>
      </c>
      <c r="B315">
        <v>1010072</v>
      </c>
      <c r="C315" t="s">
        <v>6191</v>
      </c>
      <c r="D315" t="s">
        <v>6068</v>
      </c>
      <c r="E315">
        <f t="shared" si="4"/>
        <v>142</v>
      </c>
      <c r="F315">
        <f>+COUNTIF(ADV!Z:Z,A315)+COUNTIF(ADV!X:X,A315)+COUNTIF(ADV!Y:Y,A315)</f>
        <v>1</v>
      </c>
    </row>
    <row r="316" spans="1:6" x14ac:dyDescent="0.2">
      <c r="A316" t="s">
        <v>7355</v>
      </c>
      <c r="B316">
        <v>1030022</v>
      </c>
      <c r="C316" t="s">
        <v>7356</v>
      </c>
      <c r="D316" t="s">
        <v>6068</v>
      </c>
      <c r="E316">
        <f t="shared" si="4"/>
        <v>51</v>
      </c>
      <c r="F316">
        <f>+COUNTIF(ADV!Z:Z,A316)+COUNTIF(ADV!X:X,A316)+COUNTIF(ADV!Y:Y,A316)</f>
        <v>0</v>
      </c>
    </row>
    <row r="317" spans="1:6" x14ac:dyDescent="0.2">
      <c r="A317" t="s">
        <v>3755</v>
      </c>
      <c r="B317">
        <v>1030022</v>
      </c>
      <c r="C317" t="s">
        <v>6192</v>
      </c>
      <c r="D317" t="s">
        <v>6068</v>
      </c>
      <c r="E317">
        <f t="shared" si="4"/>
        <v>52</v>
      </c>
      <c r="F317">
        <f>+COUNTIF(ADV!Z:Z,A317)+COUNTIF(ADV!X:X,A317)+COUNTIF(ADV!Y:Y,A317)</f>
        <v>0</v>
      </c>
    </row>
    <row r="318" spans="1:6" x14ac:dyDescent="0.2">
      <c r="A318" t="s">
        <v>7357</v>
      </c>
      <c r="B318">
        <v>1020010</v>
      </c>
      <c r="C318" t="s">
        <v>7358</v>
      </c>
      <c r="D318" t="s">
        <v>6068</v>
      </c>
      <c r="E318">
        <f t="shared" si="4"/>
        <v>203</v>
      </c>
      <c r="F318">
        <f>+COUNTIF(ADV!Z:Z,A318)+COUNTIF(ADV!X:X,A318)+COUNTIF(ADV!Y:Y,A318)</f>
        <v>0</v>
      </c>
    </row>
    <row r="319" spans="1:6" x14ac:dyDescent="0.2">
      <c r="A319" t="s">
        <v>3768</v>
      </c>
      <c r="B319">
        <v>1020010</v>
      </c>
      <c r="C319" t="s">
        <v>6193</v>
      </c>
      <c r="D319" t="s">
        <v>6068</v>
      </c>
      <c r="E319">
        <f t="shared" si="4"/>
        <v>203</v>
      </c>
      <c r="F319">
        <f>+COUNTIF(ADV!Z:Z,A319)+COUNTIF(ADV!X:X,A319)+COUNTIF(ADV!Y:Y,A319)</f>
        <v>0</v>
      </c>
    </row>
    <row r="320" spans="1:6" x14ac:dyDescent="0.2">
      <c r="A320" t="s">
        <v>7359</v>
      </c>
      <c r="B320">
        <v>1010003</v>
      </c>
      <c r="C320" t="s">
        <v>7360</v>
      </c>
      <c r="D320" t="s">
        <v>6068</v>
      </c>
      <c r="E320">
        <f t="shared" si="4"/>
        <v>189</v>
      </c>
      <c r="F320">
        <f>+COUNTIF(ADV!Z:Z,A320)+COUNTIF(ADV!X:X,A320)+COUNTIF(ADV!Y:Y,A320)</f>
        <v>0</v>
      </c>
    </row>
    <row r="321" spans="1:6" x14ac:dyDescent="0.2">
      <c r="A321" t="s">
        <v>7361</v>
      </c>
      <c r="B321">
        <v>1010013</v>
      </c>
      <c r="C321" t="s">
        <v>7362</v>
      </c>
      <c r="D321" t="s">
        <v>6068</v>
      </c>
      <c r="E321">
        <f t="shared" si="4"/>
        <v>472</v>
      </c>
      <c r="F321">
        <f>+COUNTIF(ADV!Z:Z,A321)+COUNTIF(ADV!X:X,A321)+COUNTIF(ADV!Y:Y,A321)</f>
        <v>0</v>
      </c>
    </row>
    <row r="322" spans="1:6" x14ac:dyDescent="0.2">
      <c r="A322" t="s">
        <v>7363</v>
      </c>
      <c r="B322">
        <v>1010013</v>
      </c>
      <c r="C322" t="s">
        <v>7364</v>
      </c>
      <c r="D322" t="s">
        <v>6068</v>
      </c>
      <c r="E322">
        <f t="shared" ref="E322:E385" si="5">+LEN(C322)</f>
        <v>473</v>
      </c>
      <c r="F322">
        <f>+COUNTIF(ADV!Z:Z,A322)+COUNTIF(ADV!X:X,A322)+COUNTIF(ADV!Y:Y,A322)</f>
        <v>0</v>
      </c>
    </row>
    <row r="323" spans="1:6" x14ac:dyDescent="0.2">
      <c r="A323" t="s">
        <v>2036</v>
      </c>
      <c r="B323">
        <v>1010013</v>
      </c>
      <c r="C323" t="s">
        <v>6194</v>
      </c>
      <c r="D323" t="s">
        <v>6068</v>
      </c>
      <c r="E323">
        <f t="shared" si="5"/>
        <v>472</v>
      </c>
      <c r="F323">
        <f>+COUNTIF(ADV!Z:Z,A323)+COUNTIF(ADV!X:X,A323)+COUNTIF(ADV!Y:Y,A323)</f>
        <v>0</v>
      </c>
    </row>
    <row r="324" spans="1:6" x14ac:dyDescent="0.2">
      <c r="A324" t="s">
        <v>3259</v>
      </c>
      <c r="B324">
        <v>1010012</v>
      </c>
      <c r="C324" t="s">
        <v>6195</v>
      </c>
      <c r="D324" t="s">
        <v>6068</v>
      </c>
      <c r="E324">
        <f t="shared" si="5"/>
        <v>105</v>
      </c>
      <c r="F324">
        <f>+COUNTIF(ADV!Z:Z,A324)+COUNTIF(ADV!X:X,A324)+COUNTIF(ADV!Y:Y,A324)</f>
        <v>0</v>
      </c>
    </row>
    <row r="325" spans="1:6" x14ac:dyDescent="0.2">
      <c r="A325" t="s">
        <v>7365</v>
      </c>
      <c r="B325">
        <v>1010012</v>
      </c>
      <c r="C325" t="s">
        <v>7366</v>
      </c>
      <c r="D325" t="s">
        <v>6068</v>
      </c>
      <c r="E325">
        <f t="shared" si="5"/>
        <v>105</v>
      </c>
      <c r="F325">
        <f>+COUNTIF(ADV!Z:Z,A325)+COUNTIF(ADV!X:X,A325)+COUNTIF(ADV!Y:Y,A325)</f>
        <v>0</v>
      </c>
    </row>
    <row r="326" spans="1:6" x14ac:dyDescent="0.2">
      <c r="A326" t="s">
        <v>684</v>
      </c>
      <c r="B326">
        <v>1010012</v>
      </c>
      <c r="C326" t="s">
        <v>6196</v>
      </c>
      <c r="D326" t="s">
        <v>6068</v>
      </c>
      <c r="E326">
        <f t="shared" si="5"/>
        <v>106</v>
      </c>
      <c r="F326">
        <f>+COUNTIF(ADV!Z:Z,A326)+COUNTIF(ADV!X:X,A326)+COUNTIF(ADV!Y:Y,A326)</f>
        <v>0</v>
      </c>
    </row>
    <row r="327" spans="1:6" x14ac:dyDescent="0.2">
      <c r="A327" t="s">
        <v>7367</v>
      </c>
      <c r="B327">
        <v>1030016</v>
      </c>
      <c r="C327" t="s">
        <v>7368</v>
      </c>
      <c r="D327" t="s">
        <v>6068</v>
      </c>
      <c r="E327">
        <f t="shared" si="5"/>
        <v>48</v>
      </c>
      <c r="F327">
        <f>+COUNTIF(ADV!Z:Z,A327)+COUNTIF(ADV!X:X,A327)+COUNTIF(ADV!Y:Y,A327)</f>
        <v>0</v>
      </c>
    </row>
    <row r="328" spans="1:6" x14ac:dyDescent="0.2">
      <c r="A328" t="s">
        <v>2218</v>
      </c>
      <c r="B328">
        <v>1030016</v>
      </c>
      <c r="C328" t="s">
        <v>6197</v>
      </c>
      <c r="D328" t="s">
        <v>6068</v>
      </c>
      <c r="E328">
        <f t="shared" si="5"/>
        <v>49</v>
      </c>
      <c r="F328">
        <f>+COUNTIF(ADV!Z:Z,A328)+COUNTIF(ADV!X:X,A328)+COUNTIF(ADV!Y:Y,A328)</f>
        <v>0</v>
      </c>
    </row>
    <row r="329" spans="1:6" x14ac:dyDescent="0.2">
      <c r="A329" t="s">
        <v>7369</v>
      </c>
      <c r="B329">
        <v>1010137</v>
      </c>
      <c r="C329" t="s">
        <v>7370</v>
      </c>
      <c r="D329" t="s">
        <v>6068</v>
      </c>
      <c r="E329">
        <f t="shared" si="5"/>
        <v>163</v>
      </c>
      <c r="F329">
        <f>+COUNTIF(ADV!Z:Z,A329)+COUNTIF(ADV!X:X,A329)+COUNTIF(ADV!Y:Y,A329)</f>
        <v>0</v>
      </c>
    </row>
    <row r="330" spans="1:6" x14ac:dyDescent="0.2">
      <c r="A330" t="s">
        <v>843</v>
      </c>
      <c r="B330">
        <v>1010137</v>
      </c>
      <c r="C330" t="s">
        <v>7371</v>
      </c>
      <c r="D330" t="s">
        <v>6068</v>
      </c>
      <c r="E330">
        <f t="shared" si="5"/>
        <v>164</v>
      </c>
      <c r="F330">
        <f>+COUNTIF(ADV!Z:Z,A330)+COUNTIF(ADV!X:X,A330)+COUNTIF(ADV!Y:Y,A330)</f>
        <v>0</v>
      </c>
    </row>
    <row r="331" spans="1:6" x14ac:dyDescent="0.2">
      <c r="A331" t="s">
        <v>228</v>
      </c>
      <c r="B331">
        <v>1010029</v>
      </c>
      <c r="C331" t="s">
        <v>6199</v>
      </c>
      <c r="D331" t="s">
        <v>6068</v>
      </c>
      <c r="E331">
        <f t="shared" si="5"/>
        <v>125</v>
      </c>
      <c r="F331">
        <f>+COUNTIF(ADV!Z:Z,A331)+COUNTIF(ADV!X:X,A331)+COUNTIF(ADV!Y:Y,A331)</f>
        <v>0</v>
      </c>
    </row>
    <row r="332" spans="1:6" x14ac:dyDescent="0.2">
      <c r="A332" t="s">
        <v>6662</v>
      </c>
      <c r="B332">
        <v>1010029</v>
      </c>
      <c r="C332" t="s">
        <v>6663</v>
      </c>
      <c r="D332" t="s">
        <v>6068</v>
      </c>
      <c r="E332">
        <f t="shared" si="5"/>
        <v>298</v>
      </c>
      <c r="F332">
        <f>+COUNTIF(ADV!Z:Z,A332)+COUNTIF(ADV!X:X,A332)+COUNTIF(ADV!Y:Y,A332)</f>
        <v>0</v>
      </c>
    </row>
    <row r="333" spans="1:6" x14ac:dyDescent="0.2">
      <c r="A333" t="s">
        <v>1194</v>
      </c>
      <c r="B333">
        <v>1080001</v>
      </c>
      <c r="C333" t="s">
        <v>7372</v>
      </c>
      <c r="D333" t="s">
        <v>6068</v>
      </c>
      <c r="E333">
        <f t="shared" si="5"/>
        <v>34</v>
      </c>
      <c r="F333">
        <f>+COUNTIF(ADV!Z:Z,A333)+COUNTIF(ADV!X:X,A333)+COUNTIF(ADV!Y:Y,A333)</f>
        <v>0</v>
      </c>
    </row>
    <row r="334" spans="1:6" x14ac:dyDescent="0.2">
      <c r="A334" t="s">
        <v>7373</v>
      </c>
      <c r="B334">
        <v>1080001</v>
      </c>
      <c r="C334" t="s">
        <v>7374</v>
      </c>
      <c r="D334" t="s">
        <v>6068</v>
      </c>
      <c r="E334">
        <f t="shared" si="5"/>
        <v>33</v>
      </c>
      <c r="F334">
        <f>+COUNTIF(ADV!Z:Z,A334)+COUNTIF(ADV!X:X,A334)+COUNTIF(ADV!Y:Y,A334)</f>
        <v>0</v>
      </c>
    </row>
    <row r="335" spans="1:6" x14ac:dyDescent="0.2">
      <c r="A335" t="s">
        <v>7375</v>
      </c>
      <c r="B335">
        <v>1080001</v>
      </c>
      <c r="C335" t="s">
        <v>7376</v>
      </c>
      <c r="D335" t="s">
        <v>6068</v>
      </c>
      <c r="E335">
        <f t="shared" si="5"/>
        <v>33</v>
      </c>
      <c r="F335">
        <f>+COUNTIF(ADV!Z:Z,A335)+COUNTIF(ADV!X:X,A335)+COUNTIF(ADV!Y:Y,A335)</f>
        <v>0</v>
      </c>
    </row>
    <row r="336" spans="1:6" x14ac:dyDescent="0.2">
      <c r="A336" t="s">
        <v>7377</v>
      </c>
      <c r="B336">
        <v>1080001</v>
      </c>
      <c r="C336" t="s">
        <v>7378</v>
      </c>
      <c r="D336" t="s">
        <v>6068</v>
      </c>
      <c r="E336">
        <f t="shared" si="5"/>
        <v>33</v>
      </c>
      <c r="F336">
        <f>+COUNTIF(ADV!Z:Z,A336)+COUNTIF(ADV!X:X,A336)+COUNTIF(ADV!Y:Y,A336)</f>
        <v>0</v>
      </c>
    </row>
    <row r="337" spans="1:6" x14ac:dyDescent="0.2">
      <c r="A337" t="s">
        <v>7379</v>
      </c>
      <c r="B337">
        <v>1080001</v>
      </c>
      <c r="C337" t="s">
        <v>7380</v>
      </c>
      <c r="D337" t="s">
        <v>6068</v>
      </c>
      <c r="E337">
        <f t="shared" si="5"/>
        <v>33</v>
      </c>
      <c r="F337">
        <f>+COUNTIF(ADV!Z:Z,A337)+COUNTIF(ADV!X:X,A337)+COUNTIF(ADV!Y:Y,A337)</f>
        <v>0</v>
      </c>
    </row>
    <row r="338" spans="1:6" x14ac:dyDescent="0.2">
      <c r="A338" t="s">
        <v>7381</v>
      </c>
      <c r="B338">
        <v>1030017</v>
      </c>
      <c r="C338" t="s">
        <v>7382</v>
      </c>
      <c r="D338" t="s">
        <v>6068</v>
      </c>
      <c r="E338">
        <f t="shared" si="5"/>
        <v>236</v>
      </c>
      <c r="F338">
        <f>+COUNTIF(ADV!Z:Z,A338)+COUNTIF(ADV!X:X,A338)+COUNTIF(ADV!Y:Y,A338)</f>
        <v>0</v>
      </c>
    </row>
    <row r="339" spans="1:6" x14ac:dyDescent="0.2">
      <c r="A339" t="s">
        <v>7383</v>
      </c>
      <c r="B339">
        <v>1030017</v>
      </c>
      <c r="C339" t="s">
        <v>7384</v>
      </c>
      <c r="D339" t="s">
        <v>6068</v>
      </c>
      <c r="E339">
        <f t="shared" si="5"/>
        <v>237</v>
      </c>
      <c r="F339">
        <f>+COUNTIF(ADV!Z:Z,A339)+COUNTIF(ADV!X:X,A339)+COUNTIF(ADV!Y:Y,A339)</f>
        <v>0</v>
      </c>
    </row>
    <row r="340" spans="1:6" x14ac:dyDescent="0.2">
      <c r="A340" t="s">
        <v>702</v>
      </c>
      <c r="B340">
        <v>1030017</v>
      </c>
      <c r="C340" t="s">
        <v>6200</v>
      </c>
      <c r="D340" t="s">
        <v>6068</v>
      </c>
      <c r="E340">
        <f t="shared" si="5"/>
        <v>364</v>
      </c>
      <c r="F340">
        <f>+COUNTIF(ADV!Z:Z,A340)+COUNTIF(ADV!X:X,A340)+COUNTIF(ADV!Y:Y,A340)</f>
        <v>0</v>
      </c>
    </row>
    <row r="341" spans="1:6" x14ac:dyDescent="0.2">
      <c r="A341" t="s">
        <v>7385</v>
      </c>
      <c r="B341">
        <v>1010014</v>
      </c>
      <c r="C341" t="s">
        <v>7386</v>
      </c>
      <c r="D341" t="s">
        <v>6068</v>
      </c>
      <c r="E341">
        <f t="shared" si="5"/>
        <v>422</v>
      </c>
      <c r="F341">
        <f>+COUNTIF(ADV!Z:Z,A341)+COUNTIF(ADV!X:X,A341)+COUNTIF(ADV!Y:Y,A341)</f>
        <v>0</v>
      </c>
    </row>
    <row r="342" spans="1:6" x14ac:dyDescent="0.2">
      <c r="A342" t="s">
        <v>7387</v>
      </c>
      <c r="B342">
        <v>1010014</v>
      </c>
      <c r="C342" t="s">
        <v>7388</v>
      </c>
      <c r="D342" t="s">
        <v>6068</v>
      </c>
      <c r="E342">
        <f t="shared" si="5"/>
        <v>463</v>
      </c>
      <c r="F342">
        <f>+COUNTIF(ADV!Z:Z,A342)+COUNTIF(ADV!X:X,A342)+COUNTIF(ADV!Y:Y,A342)</f>
        <v>0</v>
      </c>
    </row>
    <row r="343" spans="1:6" x14ac:dyDescent="0.2">
      <c r="A343" t="s">
        <v>701</v>
      </c>
      <c r="B343">
        <v>1010014</v>
      </c>
      <c r="C343" t="s">
        <v>7389</v>
      </c>
      <c r="D343" t="s">
        <v>6068</v>
      </c>
      <c r="E343">
        <f t="shared" si="5"/>
        <v>817</v>
      </c>
      <c r="F343">
        <f>+COUNTIF(ADV!Z:Z,A343)+COUNTIF(ADV!X:X,A343)+COUNTIF(ADV!Y:Y,A343)</f>
        <v>0</v>
      </c>
    </row>
    <row r="344" spans="1:6" x14ac:dyDescent="0.2">
      <c r="A344" t="s">
        <v>7390</v>
      </c>
      <c r="B344">
        <v>1010022</v>
      </c>
      <c r="C344" t="s">
        <v>7391</v>
      </c>
      <c r="D344" t="s">
        <v>6068</v>
      </c>
      <c r="E344">
        <f t="shared" si="5"/>
        <v>205</v>
      </c>
      <c r="F344">
        <f>+COUNTIF(ADV!Z:Z,A344)+COUNTIF(ADV!X:X,A344)+COUNTIF(ADV!Y:Y,A344)</f>
        <v>0</v>
      </c>
    </row>
    <row r="345" spans="1:6" x14ac:dyDescent="0.2">
      <c r="A345" t="s">
        <v>583</v>
      </c>
      <c r="B345">
        <v>1010022</v>
      </c>
      <c r="C345" t="s">
        <v>6202</v>
      </c>
      <c r="D345" t="s">
        <v>6068</v>
      </c>
      <c r="E345">
        <f t="shared" si="5"/>
        <v>205</v>
      </c>
      <c r="F345">
        <f>+COUNTIF(ADV!Z:Z,A345)+COUNTIF(ADV!X:X,A345)+COUNTIF(ADV!Y:Y,A345)</f>
        <v>0</v>
      </c>
    </row>
    <row r="346" spans="1:6" x14ac:dyDescent="0.2">
      <c r="A346" t="s">
        <v>7392</v>
      </c>
      <c r="B346">
        <v>1010002</v>
      </c>
      <c r="C346" t="s">
        <v>7393</v>
      </c>
      <c r="D346" t="s">
        <v>6068</v>
      </c>
      <c r="E346">
        <f t="shared" si="5"/>
        <v>216</v>
      </c>
      <c r="F346">
        <f>+COUNTIF(ADV!Z:Z,A346)+COUNTIF(ADV!X:X,A346)+COUNTIF(ADV!Y:Y,A346)</f>
        <v>0</v>
      </c>
    </row>
    <row r="347" spans="1:6" x14ac:dyDescent="0.2">
      <c r="A347" t="s">
        <v>7394</v>
      </c>
      <c r="B347">
        <v>1010002</v>
      </c>
      <c r="C347" t="s">
        <v>7395</v>
      </c>
      <c r="D347" t="s">
        <v>6068</v>
      </c>
      <c r="E347">
        <f t="shared" si="5"/>
        <v>216</v>
      </c>
      <c r="F347">
        <f>+COUNTIF(ADV!Z:Z,A347)+COUNTIF(ADV!X:X,A347)+COUNTIF(ADV!Y:Y,A347)</f>
        <v>0</v>
      </c>
    </row>
    <row r="348" spans="1:6" x14ac:dyDescent="0.2">
      <c r="A348" t="s">
        <v>7396</v>
      </c>
      <c r="B348">
        <v>1010002</v>
      </c>
      <c r="C348" t="s">
        <v>7397</v>
      </c>
      <c r="D348" t="s">
        <v>6068</v>
      </c>
      <c r="E348">
        <f t="shared" si="5"/>
        <v>216</v>
      </c>
      <c r="F348">
        <f>+COUNTIF(ADV!Z:Z,A348)+COUNTIF(ADV!X:X,A348)+COUNTIF(ADV!Y:Y,A348)</f>
        <v>0</v>
      </c>
    </row>
    <row r="349" spans="1:6" x14ac:dyDescent="0.2">
      <c r="A349" t="s">
        <v>484</v>
      </c>
      <c r="B349">
        <v>1010028</v>
      </c>
      <c r="C349" t="s">
        <v>6203</v>
      </c>
      <c r="D349" t="s">
        <v>6068</v>
      </c>
      <c r="E349">
        <f t="shared" si="5"/>
        <v>213</v>
      </c>
      <c r="F349">
        <f>+COUNTIF(ADV!Z:Z,A349)+COUNTIF(ADV!X:X,A349)+COUNTIF(ADV!Y:Y,A349)</f>
        <v>0</v>
      </c>
    </row>
    <row r="350" spans="1:6" x14ac:dyDescent="0.2">
      <c r="A350" t="s">
        <v>7398</v>
      </c>
      <c r="B350">
        <v>1010157</v>
      </c>
      <c r="C350" t="s">
        <v>7399</v>
      </c>
      <c r="D350" t="s">
        <v>6068</v>
      </c>
      <c r="E350">
        <f t="shared" si="5"/>
        <v>464</v>
      </c>
      <c r="F350">
        <f>+COUNTIF(ADV!Z:Z,A350)+COUNTIF(ADV!X:X,A350)+COUNTIF(ADV!Y:Y,A350)</f>
        <v>0</v>
      </c>
    </row>
    <row r="351" spans="1:6" x14ac:dyDescent="0.2">
      <c r="A351" t="s">
        <v>3724</v>
      </c>
      <c r="B351">
        <v>1010157</v>
      </c>
      <c r="C351" t="s">
        <v>6204</v>
      </c>
      <c r="D351" t="s">
        <v>6068</v>
      </c>
      <c r="E351">
        <f t="shared" si="5"/>
        <v>461</v>
      </c>
      <c r="F351">
        <f>+COUNTIF(ADV!Z:Z,A351)+COUNTIF(ADV!X:X,A351)+COUNTIF(ADV!Y:Y,A351)</f>
        <v>0</v>
      </c>
    </row>
    <row r="352" spans="1:6" x14ac:dyDescent="0.2">
      <c r="A352" t="s">
        <v>7400</v>
      </c>
      <c r="B352">
        <v>1070020</v>
      </c>
      <c r="C352" t="s">
        <v>7401</v>
      </c>
      <c r="D352" t="s">
        <v>6068</v>
      </c>
      <c r="E352">
        <f t="shared" si="5"/>
        <v>47</v>
      </c>
      <c r="F352">
        <f>+COUNTIF(ADV!Z:Z,A352)+COUNTIF(ADV!X:X,A352)+COUNTIF(ADV!Y:Y,A352)</f>
        <v>0</v>
      </c>
    </row>
    <row r="353" spans="1:6" x14ac:dyDescent="0.2">
      <c r="A353" t="s">
        <v>7402</v>
      </c>
      <c r="B353">
        <v>1070020</v>
      </c>
      <c r="C353" t="s">
        <v>7403</v>
      </c>
      <c r="D353" t="s">
        <v>6068</v>
      </c>
      <c r="E353">
        <f t="shared" si="5"/>
        <v>47</v>
      </c>
      <c r="F353">
        <f>+COUNTIF(ADV!Z:Z,A353)+COUNTIF(ADV!X:X,A353)+COUNTIF(ADV!Y:Y,A353)</f>
        <v>0</v>
      </c>
    </row>
    <row r="354" spans="1:6" x14ac:dyDescent="0.2">
      <c r="A354" t="s">
        <v>7404</v>
      </c>
      <c r="B354">
        <v>1070020</v>
      </c>
      <c r="C354" t="s">
        <v>7405</v>
      </c>
      <c r="D354" t="s">
        <v>6068</v>
      </c>
      <c r="E354">
        <f t="shared" si="5"/>
        <v>47</v>
      </c>
      <c r="F354">
        <f>+COUNTIF(ADV!Z:Z,A354)+COUNTIF(ADV!X:X,A354)+COUNTIF(ADV!Y:Y,A354)</f>
        <v>0</v>
      </c>
    </row>
    <row r="355" spans="1:6" x14ac:dyDescent="0.2">
      <c r="A355" t="s">
        <v>3245</v>
      </c>
      <c r="B355">
        <v>1010039</v>
      </c>
      <c r="C355" t="s">
        <v>6205</v>
      </c>
      <c r="D355" t="s">
        <v>6068</v>
      </c>
      <c r="E355">
        <f t="shared" si="5"/>
        <v>117</v>
      </c>
      <c r="F355">
        <f>+COUNTIF(ADV!Z:Z,A355)+COUNTIF(ADV!X:X,A355)+COUNTIF(ADV!Y:Y,A355)</f>
        <v>1</v>
      </c>
    </row>
    <row r="356" spans="1:6" x14ac:dyDescent="0.2">
      <c r="A356" t="s">
        <v>7406</v>
      </c>
      <c r="B356">
        <v>1020002</v>
      </c>
      <c r="C356" t="s">
        <v>7407</v>
      </c>
      <c r="D356" t="s">
        <v>6068</v>
      </c>
      <c r="E356">
        <f t="shared" si="5"/>
        <v>88</v>
      </c>
      <c r="F356">
        <f>+COUNTIF(ADV!Z:Z,A356)+COUNTIF(ADV!X:X,A356)+COUNTIF(ADV!Y:Y,A356)</f>
        <v>0</v>
      </c>
    </row>
    <row r="357" spans="1:6" x14ac:dyDescent="0.2">
      <c r="A357" t="s">
        <v>7408</v>
      </c>
      <c r="B357">
        <v>1020002</v>
      </c>
      <c r="C357" t="s">
        <v>7409</v>
      </c>
      <c r="D357" t="s">
        <v>6068</v>
      </c>
      <c r="E357">
        <f t="shared" si="5"/>
        <v>88</v>
      </c>
      <c r="F357">
        <f>+COUNTIF(ADV!Z:Z,A357)+COUNTIF(ADV!X:X,A357)+COUNTIF(ADV!Y:Y,A357)</f>
        <v>0</v>
      </c>
    </row>
    <row r="358" spans="1:6" x14ac:dyDescent="0.2">
      <c r="A358" t="s">
        <v>1380</v>
      </c>
      <c r="B358">
        <v>1020010</v>
      </c>
      <c r="C358" t="s">
        <v>6206</v>
      </c>
      <c r="D358" t="s">
        <v>6068</v>
      </c>
      <c r="E358">
        <f t="shared" si="5"/>
        <v>68</v>
      </c>
      <c r="F358">
        <f>+COUNTIF(ADV!Z:Z,A358)+COUNTIF(ADV!X:X,A358)+COUNTIF(ADV!Y:Y,A358)</f>
        <v>0</v>
      </c>
    </row>
    <row r="359" spans="1:6" x14ac:dyDescent="0.2">
      <c r="A359" t="s">
        <v>1510</v>
      </c>
      <c r="B359">
        <v>1020010</v>
      </c>
      <c r="C359" t="s">
        <v>6207</v>
      </c>
      <c r="D359" t="s">
        <v>6068</v>
      </c>
      <c r="E359">
        <f t="shared" si="5"/>
        <v>68</v>
      </c>
      <c r="F359">
        <f>+COUNTIF(ADV!Z:Z,A359)+COUNTIF(ADV!X:X,A359)+COUNTIF(ADV!Y:Y,A359)</f>
        <v>0</v>
      </c>
    </row>
    <row r="360" spans="1:6" x14ac:dyDescent="0.2">
      <c r="A360" t="s">
        <v>533</v>
      </c>
      <c r="B360">
        <v>1020010</v>
      </c>
      <c r="C360" t="s">
        <v>6208</v>
      </c>
      <c r="D360" t="s">
        <v>6068</v>
      </c>
      <c r="E360">
        <f t="shared" si="5"/>
        <v>68</v>
      </c>
      <c r="F360">
        <f>+COUNTIF(ADV!Z:Z,A360)+COUNTIF(ADV!X:X,A360)+COUNTIF(ADV!Y:Y,A360)</f>
        <v>0</v>
      </c>
    </row>
    <row r="361" spans="1:6" x14ac:dyDescent="0.2">
      <c r="A361" t="s">
        <v>7410</v>
      </c>
      <c r="B361">
        <v>1020010</v>
      </c>
      <c r="C361" t="s">
        <v>7411</v>
      </c>
      <c r="D361" t="s">
        <v>6068</v>
      </c>
      <c r="E361">
        <f t="shared" si="5"/>
        <v>67</v>
      </c>
      <c r="F361">
        <f>+COUNTIF(ADV!Z:Z,A361)+COUNTIF(ADV!X:X,A361)+COUNTIF(ADV!Y:Y,A361)</f>
        <v>0</v>
      </c>
    </row>
    <row r="362" spans="1:6" x14ac:dyDescent="0.2">
      <c r="A362" t="s">
        <v>517</v>
      </c>
      <c r="B362">
        <v>1020010</v>
      </c>
      <c r="C362" t="s">
        <v>6209</v>
      </c>
      <c r="D362" t="s">
        <v>6068</v>
      </c>
      <c r="E362">
        <f t="shared" si="5"/>
        <v>67</v>
      </c>
      <c r="F362">
        <f>+COUNTIF(ADV!Z:Z,A362)+COUNTIF(ADV!X:X,A362)+COUNTIF(ADV!Y:Y,A362)</f>
        <v>0</v>
      </c>
    </row>
    <row r="363" spans="1:6" x14ac:dyDescent="0.2">
      <c r="A363" t="s">
        <v>7412</v>
      </c>
      <c r="B363">
        <v>1020002</v>
      </c>
      <c r="C363" t="s">
        <v>7413</v>
      </c>
      <c r="D363" t="s">
        <v>6068</v>
      </c>
      <c r="E363">
        <f t="shared" si="5"/>
        <v>123</v>
      </c>
      <c r="F363">
        <f>+COUNTIF(ADV!Z:Z,A363)+COUNTIF(ADV!X:X,A363)+COUNTIF(ADV!Y:Y,A363)</f>
        <v>0</v>
      </c>
    </row>
    <row r="364" spans="1:6" x14ac:dyDescent="0.2">
      <c r="A364" t="s">
        <v>7414</v>
      </c>
      <c r="B364">
        <v>1040001</v>
      </c>
      <c r="C364" t="s">
        <v>7415</v>
      </c>
      <c r="D364" t="s">
        <v>6068</v>
      </c>
      <c r="E364">
        <f t="shared" si="5"/>
        <v>83</v>
      </c>
      <c r="F364">
        <f>+COUNTIF(ADV!Z:Z,A364)+COUNTIF(ADV!X:X,A364)+COUNTIF(ADV!Y:Y,A364)</f>
        <v>0</v>
      </c>
    </row>
    <row r="365" spans="1:6" x14ac:dyDescent="0.2">
      <c r="A365" t="s">
        <v>7416</v>
      </c>
      <c r="B365">
        <v>1040001</v>
      </c>
      <c r="C365" t="s">
        <v>7417</v>
      </c>
      <c r="D365" t="s">
        <v>6068</v>
      </c>
      <c r="E365">
        <f t="shared" si="5"/>
        <v>83</v>
      </c>
      <c r="F365">
        <f>+COUNTIF(ADV!Z:Z,A365)+COUNTIF(ADV!X:X,A365)+COUNTIF(ADV!Y:Y,A365)</f>
        <v>0</v>
      </c>
    </row>
    <row r="366" spans="1:6" x14ac:dyDescent="0.2">
      <c r="A366" t="s">
        <v>4043</v>
      </c>
      <c r="B366">
        <v>1040001</v>
      </c>
      <c r="C366" t="s">
        <v>6210</v>
      </c>
      <c r="D366" t="s">
        <v>6068</v>
      </c>
      <c r="E366">
        <f t="shared" si="5"/>
        <v>83</v>
      </c>
      <c r="F366">
        <f>+COUNTIF(ADV!Z:Z,A366)+COUNTIF(ADV!X:X,A366)+COUNTIF(ADV!Y:Y,A366)</f>
        <v>0</v>
      </c>
    </row>
    <row r="367" spans="1:6" x14ac:dyDescent="0.2">
      <c r="A367" t="s">
        <v>7418</v>
      </c>
      <c r="B367">
        <v>1010094</v>
      </c>
      <c r="C367" t="s">
        <v>7419</v>
      </c>
      <c r="D367" t="s">
        <v>6068</v>
      </c>
      <c r="E367">
        <f t="shared" si="5"/>
        <v>116</v>
      </c>
      <c r="F367">
        <f>+COUNTIF(ADV!Z:Z,A367)+COUNTIF(ADV!X:X,A367)+COUNTIF(ADV!Y:Y,A367)</f>
        <v>0</v>
      </c>
    </row>
    <row r="368" spans="1:6" x14ac:dyDescent="0.2">
      <c r="A368" t="s">
        <v>763</v>
      </c>
      <c r="B368">
        <v>1010094</v>
      </c>
      <c r="C368" t="s">
        <v>6211</v>
      </c>
      <c r="D368" t="s">
        <v>6068</v>
      </c>
      <c r="E368">
        <f t="shared" si="5"/>
        <v>116</v>
      </c>
      <c r="F368">
        <f>+COUNTIF(ADV!Z:Z,A368)+COUNTIF(ADV!X:X,A368)+COUNTIF(ADV!Y:Y,A368)</f>
        <v>0</v>
      </c>
    </row>
    <row r="369" spans="1:6" x14ac:dyDescent="0.2">
      <c r="A369" t="s">
        <v>7420</v>
      </c>
      <c r="B369">
        <v>1070019</v>
      </c>
      <c r="C369" t="s">
        <v>7421</v>
      </c>
      <c r="D369" t="s">
        <v>6068</v>
      </c>
      <c r="E369">
        <f t="shared" si="5"/>
        <v>83</v>
      </c>
      <c r="F369">
        <f>+COUNTIF(ADV!Z:Z,A369)+COUNTIF(ADV!X:X,A369)+COUNTIF(ADV!Y:Y,A369)</f>
        <v>0</v>
      </c>
    </row>
    <row r="370" spans="1:6" x14ac:dyDescent="0.2">
      <c r="A370" t="s">
        <v>452</v>
      </c>
      <c r="B370">
        <v>1070019</v>
      </c>
      <c r="C370" t="s">
        <v>6212</v>
      </c>
      <c r="D370" t="s">
        <v>6068</v>
      </c>
      <c r="E370">
        <f t="shared" si="5"/>
        <v>83</v>
      </c>
      <c r="F370">
        <f>+COUNTIF(ADV!Z:Z,A370)+COUNTIF(ADV!X:X,A370)+COUNTIF(ADV!Y:Y,A370)</f>
        <v>0</v>
      </c>
    </row>
    <row r="371" spans="1:6" x14ac:dyDescent="0.2">
      <c r="A371" t="s">
        <v>7422</v>
      </c>
      <c r="B371">
        <v>1020002</v>
      </c>
      <c r="C371" t="s">
        <v>7423</v>
      </c>
      <c r="D371" t="s">
        <v>6068</v>
      </c>
      <c r="E371">
        <f t="shared" si="5"/>
        <v>147</v>
      </c>
      <c r="F371">
        <f>+COUNTIF(ADV!Z:Z,A371)+COUNTIF(ADV!X:X,A371)+COUNTIF(ADV!Y:Y,A371)</f>
        <v>0</v>
      </c>
    </row>
    <row r="372" spans="1:6" x14ac:dyDescent="0.2">
      <c r="A372" t="s">
        <v>2004</v>
      </c>
      <c r="B372">
        <v>1010161</v>
      </c>
      <c r="C372" t="s">
        <v>6213</v>
      </c>
      <c r="D372" t="s">
        <v>6068</v>
      </c>
      <c r="E372">
        <f t="shared" si="5"/>
        <v>161</v>
      </c>
      <c r="F372">
        <f>+COUNTIF(ADV!Z:Z,A372)+COUNTIF(ADV!X:X,A372)+COUNTIF(ADV!Y:Y,A372)</f>
        <v>11</v>
      </c>
    </row>
    <row r="373" spans="1:6" x14ac:dyDescent="0.2">
      <c r="A373" t="s">
        <v>7424</v>
      </c>
      <c r="B373">
        <v>1020002</v>
      </c>
      <c r="C373" t="s">
        <v>7425</v>
      </c>
      <c r="D373" t="s">
        <v>6068</v>
      </c>
      <c r="E373">
        <f t="shared" si="5"/>
        <v>63</v>
      </c>
      <c r="F373">
        <f>+COUNTIF(ADV!Z:Z,A373)+COUNTIF(ADV!X:X,A373)+COUNTIF(ADV!Y:Y,A373)</f>
        <v>0</v>
      </c>
    </row>
    <row r="374" spans="1:6" x14ac:dyDescent="0.2">
      <c r="A374" t="s">
        <v>7426</v>
      </c>
      <c r="B374">
        <v>1020002</v>
      </c>
      <c r="C374" t="s">
        <v>7427</v>
      </c>
      <c r="D374" t="s">
        <v>6068</v>
      </c>
      <c r="E374">
        <f t="shared" si="5"/>
        <v>63</v>
      </c>
      <c r="F374">
        <f>+COUNTIF(ADV!Z:Z,A374)+COUNTIF(ADV!X:X,A374)+COUNTIF(ADV!Y:Y,A374)</f>
        <v>0</v>
      </c>
    </row>
    <row r="375" spans="1:6" x14ac:dyDescent="0.2">
      <c r="A375" t="s">
        <v>7428</v>
      </c>
      <c r="B375">
        <v>1020002</v>
      </c>
      <c r="C375" t="s">
        <v>7429</v>
      </c>
      <c r="D375" t="s">
        <v>6068</v>
      </c>
      <c r="E375">
        <f t="shared" si="5"/>
        <v>63</v>
      </c>
      <c r="F375">
        <f>+COUNTIF(ADV!Z:Z,A375)+COUNTIF(ADV!X:X,A375)+COUNTIF(ADV!Y:Y,A375)</f>
        <v>0</v>
      </c>
    </row>
    <row r="376" spans="1:6" x14ac:dyDescent="0.2">
      <c r="A376" t="s">
        <v>354</v>
      </c>
      <c r="B376">
        <v>1020002</v>
      </c>
      <c r="C376" t="s">
        <v>6214</v>
      </c>
      <c r="D376" t="s">
        <v>6068</v>
      </c>
      <c r="E376">
        <f t="shared" si="5"/>
        <v>63</v>
      </c>
      <c r="F376">
        <f>+COUNTIF(ADV!Z:Z,A376)+COUNTIF(ADV!X:X,A376)+COUNTIF(ADV!Y:Y,A376)</f>
        <v>0</v>
      </c>
    </row>
    <row r="377" spans="1:6" x14ac:dyDescent="0.2">
      <c r="A377" t="s">
        <v>7430</v>
      </c>
      <c r="B377">
        <v>1010080</v>
      </c>
      <c r="C377" t="s">
        <v>7431</v>
      </c>
      <c r="D377" t="s">
        <v>6068</v>
      </c>
      <c r="E377">
        <f t="shared" si="5"/>
        <v>152</v>
      </c>
      <c r="F377">
        <f>+COUNTIF(ADV!Z:Z,A377)+COUNTIF(ADV!X:X,A377)+COUNTIF(ADV!Y:Y,A377)</f>
        <v>0</v>
      </c>
    </row>
    <row r="378" spans="1:6" x14ac:dyDescent="0.2">
      <c r="A378" t="s">
        <v>2861</v>
      </c>
      <c r="B378">
        <v>1010080</v>
      </c>
      <c r="C378" t="s">
        <v>6215</v>
      </c>
      <c r="D378" t="s">
        <v>6068</v>
      </c>
      <c r="E378">
        <f t="shared" si="5"/>
        <v>152</v>
      </c>
      <c r="F378">
        <f>+COUNTIF(ADV!Z:Z,A378)+COUNTIF(ADV!X:X,A378)+COUNTIF(ADV!Y:Y,A378)</f>
        <v>0</v>
      </c>
    </row>
    <row r="379" spans="1:6" x14ac:dyDescent="0.2">
      <c r="A379" t="s">
        <v>7432</v>
      </c>
      <c r="B379">
        <v>1020006</v>
      </c>
      <c r="C379" t="s">
        <v>7433</v>
      </c>
      <c r="D379" t="s">
        <v>6068</v>
      </c>
      <c r="E379">
        <f t="shared" si="5"/>
        <v>276</v>
      </c>
      <c r="F379">
        <f>+COUNTIF(ADV!Z:Z,A379)+COUNTIF(ADV!X:X,A379)+COUNTIF(ADV!Y:Y,A379)</f>
        <v>0</v>
      </c>
    </row>
    <row r="380" spans="1:6" x14ac:dyDescent="0.2">
      <c r="A380" t="s">
        <v>7434</v>
      </c>
      <c r="B380">
        <v>1020006</v>
      </c>
      <c r="C380" t="s">
        <v>7435</v>
      </c>
      <c r="D380" t="s">
        <v>6068</v>
      </c>
      <c r="E380">
        <f t="shared" si="5"/>
        <v>307</v>
      </c>
      <c r="F380">
        <f>+COUNTIF(ADV!Z:Z,A380)+COUNTIF(ADV!X:X,A380)+COUNTIF(ADV!Y:Y,A380)</f>
        <v>0</v>
      </c>
    </row>
    <row r="381" spans="1:6" x14ac:dyDescent="0.2">
      <c r="A381" t="s">
        <v>7436</v>
      </c>
      <c r="B381">
        <v>1020006</v>
      </c>
      <c r="C381" t="s">
        <v>7437</v>
      </c>
      <c r="D381" t="s">
        <v>6068</v>
      </c>
      <c r="E381">
        <f t="shared" si="5"/>
        <v>314</v>
      </c>
      <c r="F381">
        <f>+COUNTIF(ADV!Z:Z,A381)+COUNTIF(ADV!X:X,A381)+COUNTIF(ADV!Y:Y,A381)</f>
        <v>0</v>
      </c>
    </row>
    <row r="382" spans="1:6" x14ac:dyDescent="0.2">
      <c r="A382" t="s">
        <v>7438</v>
      </c>
      <c r="B382">
        <v>1010122</v>
      </c>
      <c r="C382" t="s">
        <v>7439</v>
      </c>
      <c r="D382" t="s">
        <v>6068</v>
      </c>
      <c r="E382">
        <f t="shared" si="5"/>
        <v>565</v>
      </c>
      <c r="F382">
        <f>+COUNTIF(ADV!Z:Z,A382)+COUNTIF(ADV!X:X,A382)+COUNTIF(ADV!Y:Y,A382)</f>
        <v>0</v>
      </c>
    </row>
    <row r="383" spans="1:6" x14ac:dyDescent="0.2">
      <c r="A383" t="s">
        <v>2420</v>
      </c>
      <c r="B383">
        <v>1010122</v>
      </c>
      <c r="C383" t="s">
        <v>6216</v>
      </c>
      <c r="D383" t="s">
        <v>6068</v>
      </c>
      <c r="E383">
        <f t="shared" si="5"/>
        <v>560</v>
      </c>
      <c r="F383">
        <f>+COUNTIF(ADV!Z:Z,A383)+COUNTIF(ADV!X:X,A383)+COUNTIF(ADV!Y:Y,A383)</f>
        <v>0</v>
      </c>
    </row>
    <row r="384" spans="1:6" x14ac:dyDescent="0.2">
      <c r="A384" t="s">
        <v>7440</v>
      </c>
      <c r="B384">
        <v>1010013</v>
      </c>
      <c r="C384" t="s">
        <v>7441</v>
      </c>
      <c r="D384" t="s">
        <v>6068</v>
      </c>
      <c r="E384">
        <f t="shared" si="5"/>
        <v>694</v>
      </c>
      <c r="F384">
        <f>+COUNTIF(ADV!Z:Z,A384)+COUNTIF(ADV!X:X,A384)+COUNTIF(ADV!Y:Y,A384)</f>
        <v>0</v>
      </c>
    </row>
    <row r="385" spans="1:6" x14ac:dyDescent="0.2">
      <c r="A385" t="s">
        <v>4278</v>
      </c>
      <c r="B385">
        <v>1010013</v>
      </c>
      <c r="C385" t="s">
        <v>6217</v>
      </c>
      <c r="D385" t="s">
        <v>6068</v>
      </c>
      <c r="E385">
        <f t="shared" si="5"/>
        <v>685</v>
      </c>
      <c r="F385">
        <f>+COUNTIF(ADV!Z:Z,A385)+COUNTIF(ADV!X:X,A385)+COUNTIF(ADV!Y:Y,A385)</f>
        <v>0</v>
      </c>
    </row>
    <row r="386" spans="1:6" x14ac:dyDescent="0.2">
      <c r="A386" t="s">
        <v>7442</v>
      </c>
      <c r="B386">
        <v>1010007</v>
      </c>
      <c r="C386" t="s">
        <v>7443</v>
      </c>
      <c r="D386" t="s">
        <v>6068</v>
      </c>
      <c r="E386">
        <f t="shared" ref="E386:E449" si="6">+LEN(C386)</f>
        <v>81</v>
      </c>
      <c r="F386">
        <f>+COUNTIF(ADV!Z:Z,A386)+COUNTIF(ADV!X:X,A386)+COUNTIF(ADV!Y:Y,A386)</f>
        <v>0</v>
      </c>
    </row>
    <row r="387" spans="1:6" x14ac:dyDescent="0.2">
      <c r="A387" t="s">
        <v>7444</v>
      </c>
      <c r="B387">
        <v>1010007</v>
      </c>
      <c r="C387" t="s">
        <v>7445</v>
      </c>
      <c r="D387" t="s">
        <v>6068</v>
      </c>
      <c r="E387">
        <f t="shared" si="6"/>
        <v>88</v>
      </c>
      <c r="F387">
        <f>+COUNTIF(ADV!Z:Z,A387)+COUNTIF(ADV!X:X,A387)+COUNTIF(ADV!Y:Y,A387)</f>
        <v>0</v>
      </c>
    </row>
    <row r="388" spans="1:6" x14ac:dyDescent="0.2">
      <c r="A388" t="s">
        <v>1014</v>
      </c>
      <c r="B388">
        <v>1010007</v>
      </c>
      <c r="C388" t="s">
        <v>6218</v>
      </c>
      <c r="D388" t="s">
        <v>6068</v>
      </c>
      <c r="E388">
        <f t="shared" si="6"/>
        <v>94</v>
      </c>
      <c r="F388">
        <f>+COUNTIF(ADV!Z:Z,A388)+COUNTIF(ADV!X:X,A388)+COUNTIF(ADV!Y:Y,A388)</f>
        <v>0</v>
      </c>
    </row>
    <row r="389" spans="1:6" x14ac:dyDescent="0.2">
      <c r="A389" t="s">
        <v>7446</v>
      </c>
      <c r="B389">
        <v>1010001</v>
      </c>
      <c r="C389" t="s">
        <v>7447</v>
      </c>
      <c r="D389" t="s">
        <v>6068</v>
      </c>
      <c r="E389">
        <f t="shared" si="6"/>
        <v>37</v>
      </c>
      <c r="F389">
        <f>+COUNTIF(ADV!Z:Z,A389)+COUNTIF(ADV!X:X,A389)+COUNTIF(ADV!Y:Y,A389)</f>
        <v>0</v>
      </c>
    </row>
    <row r="390" spans="1:6" x14ac:dyDescent="0.2">
      <c r="A390" t="s">
        <v>7448</v>
      </c>
      <c r="B390">
        <v>1010001</v>
      </c>
      <c r="C390" t="s">
        <v>7449</v>
      </c>
      <c r="D390" t="s">
        <v>6068</v>
      </c>
      <c r="E390">
        <f t="shared" si="6"/>
        <v>37</v>
      </c>
      <c r="F390">
        <f>+COUNTIF(ADV!Z:Z,A390)+COUNTIF(ADV!X:X,A390)+COUNTIF(ADV!Y:Y,A390)</f>
        <v>0</v>
      </c>
    </row>
    <row r="391" spans="1:6" x14ac:dyDescent="0.2">
      <c r="A391" t="s">
        <v>170</v>
      </c>
      <c r="B391">
        <v>1010001</v>
      </c>
      <c r="C391" t="s">
        <v>7450</v>
      </c>
      <c r="D391" t="s">
        <v>6068</v>
      </c>
      <c r="E391">
        <f t="shared" si="6"/>
        <v>37</v>
      </c>
      <c r="F391">
        <f>+COUNTIF(ADV!Z:Z,A391)+COUNTIF(ADV!X:X,A391)+COUNTIF(ADV!Y:Y,A391)</f>
        <v>0</v>
      </c>
    </row>
    <row r="392" spans="1:6" x14ac:dyDescent="0.2">
      <c r="A392" t="s">
        <v>2274</v>
      </c>
      <c r="B392">
        <v>1010001</v>
      </c>
      <c r="C392" t="s">
        <v>6219</v>
      </c>
      <c r="D392" t="s">
        <v>6068</v>
      </c>
      <c r="E392">
        <f t="shared" si="6"/>
        <v>37</v>
      </c>
      <c r="F392">
        <f>+COUNTIF(ADV!Z:Z,A392)+COUNTIF(ADV!X:X,A392)+COUNTIF(ADV!Y:Y,A392)</f>
        <v>0</v>
      </c>
    </row>
    <row r="393" spans="1:6" x14ac:dyDescent="0.2">
      <c r="A393" t="s">
        <v>7451</v>
      </c>
      <c r="B393">
        <v>1010001</v>
      </c>
      <c r="C393" t="s">
        <v>7452</v>
      </c>
      <c r="D393" t="s">
        <v>6068</v>
      </c>
      <c r="E393">
        <f t="shared" si="6"/>
        <v>37</v>
      </c>
      <c r="F393">
        <f>+COUNTIF(ADV!Z:Z,A393)+COUNTIF(ADV!X:X,A393)+COUNTIF(ADV!Y:Y,A393)</f>
        <v>0</v>
      </c>
    </row>
    <row r="394" spans="1:6" x14ac:dyDescent="0.2">
      <c r="A394" t="s">
        <v>7453</v>
      </c>
      <c r="B394">
        <v>1010001</v>
      </c>
      <c r="C394" t="s">
        <v>7454</v>
      </c>
      <c r="D394" t="s">
        <v>6068</v>
      </c>
      <c r="E394">
        <f t="shared" si="6"/>
        <v>36</v>
      </c>
      <c r="F394">
        <f>+COUNTIF(ADV!Z:Z,A394)+COUNTIF(ADV!X:X,A394)+COUNTIF(ADV!Y:Y,A394)</f>
        <v>0</v>
      </c>
    </row>
    <row r="395" spans="1:6" x14ac:dyDescent="0.2">
      <c r="A395" t="s">
        <v>336</v>
      </c>
      <c r="B395">
        <v>1010001</v>
      </c>
      <c r="C395" t="s">
        <v>6220</v>
      </c>
      <c r="D395" t="s">
        <v>6068</v>
      </c>
      <c r="E395">
        <f t="shared" si="6"/>
        <v>37</v>
      </c>
      <c r="F395">
        <f>+COUNTIF(ADV!Z:Z,A395)+COUNTIF(ADV!X:X,A395)+COUNTIF(ADV!Y:Y,A395)</f>
        <v>0</v>
      </c>
    </row>
    <row r="396" spans="1:6" x14ac:dyDescent="0.2">
      <c r="A396" t="s">
        <v>337</v>
      </c>
      <c r="B396">
        <v>1010001</v>
      </c>
      <c r="C396" t="s">
        <v>6221</v>
      </c>
      <c r="D396" t="s">
        <v>6068</v>
      </c>
      <c r="E396">
        <f t="shared" si="6"/>
        <v>37</v>
      </c>
      <c r="F396">
        <f>+COUNTIF(ADV!Z:Z,A396)+COUNTIF(ADV!X:X,A396)+COUNTIF(ADV!Y:Y,A396)</f>
        <v>3</v>
      </c>
    </row>
    <row r="397" spans="1:6" x14ac:dyDescent="0.2">
      <c r="A397" t="s">
        <v>7455</v>
      </c>
      <c r="B397">
        <v>1010001</v>
      </c>
      <c r="C397" t="s">
        <v>7456</v>
      </c>
      <c r="D397" t="s">
        <v>6068</v>
      </c>
      <c r="E397">
        <f t="shared" si="6"/>
        <v>36</v>
      </c>
      <c r="F397">
        <f>+COUNTIF(ADV!Z:Z,A397)+COUNTIF(ADV!X:X,A397)+COUNTIF(ADV!Y:Y,A397)</f>
        <v>0</v>
      </c>
    </row>
    <row r="398" spans="1:6" x14ac:dyDescent="0.2">
      <c r="A398" t="s">
        <v>7457</v>
      </c>
      <c r="B398">
        <v>1010092</v>
      </c>
      <c r="C398" t="s">
        <v>7458</v>
      </c>
      <c r="D398" t="s">
        <v>6068</v>
      </c>
      <c r="E398">
        <f t="shared" si="6"/>
        <v>92</v>
      </c>
      <c r="F398">
        <f>+COUNTIF(ADV!Z:Z,A398)+COUNTIF(ADV!X:X,A398)+COUNTIF(ADV!Y:Y,A398)</f>
        <v>0</v>
      </c>
    </row>
    <row r="399" spans="1:6" x14ac:dyDescent="0.2">
      <c r="A399" t="s">
        <v>2307</v>
      </c>
      <c r="B399">
        <v>1010092</v>
      </c>
      <c r="C399" t="s">
        <v>6222</v>
      </c>
      <c r="D399" t="s">
        <v>6068</v>
      </c>
      <c r="E399">
        <f t="shared" si="6"/>
        <v>92</v>
      </c>
      <c r="F399">
        <f>+COUNTIF(ADV!Z:Z,A399)+COUNTIF(ADV!X:X,A399)+COUNTIF(ADV!Y:Y,A399)</f>
        <v>0</v>
      </c>
    </row>
    <row r="400" spans="1:6" x14ac:dyDescent="0.2">
      <c r="A400" t="s">
        <v>7459</v>
      </c>
      <c r="B400">
        <v>1010001</v>
      </c>
      <c r="C400" t="s">
        <v>7460</v>
      </c>
      <c r="D400" t="s">
        <v>6068</v>
      </c>
      <c r="E400">
        <f t="shared" si="6"/>
        <v>60</v>
      </c>
      <c r="F400">
        <f>+COUNTIF(ADV!Z:Z,A400)+COUNTIF(ADV!X:X,A400)+COUNTIF(ADV!Y:Y,A400)</f>
        <v>0</v>
      </c>
    </row>
    <row r="401" spans="1:6" x14ac:dyDescent="0.2">
      <c r="A401" t="s">
        <v>1650</v>
      </c>
      <c r="B401">
        <v>1010001</v>
      </c>
      <c r="C401" t="s">
        <v>6223</v>
      </c>
      <c r="D401" t="s">
        <v>6068</v>
      </c>
      <c r="E401">
        <f t="shared" si="6"/>
        <v>60</v>
      </c>
      <c r="F401">
        <f>+COUNTIF(ADV!Z:Z,A401)+COUNTIF(ADV!X:X,A401)+COUNTIF(ADV!Y:Y,A401)</f>
        <v>0</v>
      </c>
    </row>
    <row r="402" spans="1:6" x14ac:dyDescent="0.2">
      <c r="A402" t="s">
        <v>1970</v>
      </c>
      <c r="B402">
        <v>1030003</v>
      </c>
      <c r="C402" t="s">
        <v>6224</v>
      </c>
      <c r="D402" t="s">
        <v>6068</v>
      </c>
      <c r="E402">
        <f t="shared" si="6"/>
        <v>43</v>
      </c>
      <c r="F402">
        <f>+COUNTIF(ADV!Z:Z,A402)+COUNTIF(ADV!X:X,A402)+COUNTIF(ADV!Y:Y,A402)</f>
        <v>0</v>
      </c>
    </row>
    <row r="403" spans="1:6" x14ac:dyDescent="0.2">
      <c r="A403" t="s">
        <v>7461</v>
      </c>
      <c r="B403">
        <v>1030003</v>
      </c>
      <c r="C403" t="s">
        <v>7462</v>
      </c>
      <c r="D403" t="s">
        <v>6068</v>
      </c>
      <c r="E403">
        <f t="shared" si="6"/>
        <v>42</v>
      </c>
      <c r="F403">
        <f>+COUNTIF(ADV!Z:Z,A403)+COUNTIF(ADV!X:X,A403)+COUNTIF(ADV!Y:Y,A403)</f>
        <v>0</v>
      </c>
    </row>
    <row r="404" spans="1:6" x14ac:dyDescent="0.2">
      <c r="A404" t="s">
        <v>7463</v>
      </c>
      <c r="B404">
        <v>1030003</v>
      </c>
      <c r="C404" t="s">
        <v>7464</v>
      </c>
      <c r="D404" t="s">
        <v>6068</v>
      </c>
      <c r="E404">
        <f t="shared" si="6"/>
        <v>42</v>
      </c>
      <c r="F404">
        <f>+COUNTIF(ADV!Z:Z,A404)+COUNTIF(ADV!X:X,A404)+COUNTIF(ADV!Y:Y,A404)</f>
        <v>0</v>
      </c>
    </row>
    <row r="405" spans="1:6" x14ac:dyDescent="0.2">
      <c r="A405" t="s">
        <v>2704</v>
      </c>
      <c r="B405">
        <v>1030003</v>
      </c>
      <c r="C405" t="s">
        <v>6225</v>
      </c>
      <c r="D405" t="s">
        <v>6068</v>
      </c>
      <c r="E405">
        <f t="shared" si="6"/>
        <v>42</v>
      </c>
      <c r="F405">
        <f>+COUNTIF(ADV!Z:Z,A405)+COUNTIF(ADV!X:X,A405)+COUNTIF(ADV!Y:Y,A405)</f>
        <v>0</v>
      </c>
    </row>
    <row r="406" spans="1:6" x14ac:dyDescent="0.2">
      <c r="A406" t="s">
        <v>7465</v>
      </c>
      <c r="B406">
        <v>1030003</v>
      </c>
      <c r="C406" t="s">
        <v>7466</v>
      </c>
      <c r="D406" t="s">
        <v>6068</v>
      </c>
      <c r="E406">
        <f t="shared" si="6"/>
        <v>42</v>
      </c>
      <c r="F406">
        <f>+COUNTIF(ADV!Z:Z,A406)+COUNTIF(ADV!X:X,A406)+COUNTIF(ADV!Y:Y,A406)</f>
        <v>0</v>
      </c>
    </row>
    <row r="407" spans="1:6" x14ac:dyDescent="0.2">
      <c r="A407" t="s">
        <v>2185</v>
      </c>
      <c r="B407">
        <v>1030003</v>
      </c>
      <c r="C407" t="s">
        <v>6226</v>
      </c>
      <c r="D407" t="s">
        <v>6068</v>
      </c>
      <c r="E407">
        <f t="shared" si="6"/>
        <v>42</v>
      </c>
      <c r="F407">
        <f>+COUNTIF(ADV!Z:Z,A407)+COUNTIF(ADV!X:X,A407)+COUNTIF(ADV!Y:Y,A407)</f>
        <v>0</v>
      </c>
    </row>
    <row r="408" spans="1:6" x14ac:dyDescent="0.2">
      <c r="A408" t="s">
        <v>7467</v>
      </c>
      <c r="B408">
        <v>1030003</v>
      </c>
      <c r="C408" t="s">
        <v>7468</v>
      </c>
      <c r="D408" t="s">
        <v>6068</v>
      </c>
      <c r="E408">
        <f t="shared" si="6"/>
        <v>42</v>
      </c>
      <c r="F408">
        <f>+COUNTIF(ADV!Z:Z,A408)+COUNTIF(ADV!X:X,A408)+COUNTIF(ADV!Y:Y,A408)</f>
        <v>0</v>
      </c>
    </row>
    <row r="409" spans="1:6" x14ac:dyDescent="0.2">
      <c r="A409" t="s">
        <v>3024</v>
      </c>
      <c r="B409">
        <v>1010006</v>
      </c>
      <c r="C409" t="s">
        <v>6227</v>
      </c>
      <c r="D409" t="s">
        <v>6068</v>
      </c>
      <c r="E409">
        <f t="shared" si="6"/>
        <v>126</v>
      </c>
      <c r="F409">
        <f>+COUNTIF(ADV!Z:Z,A409)+COUNTIF(ADV!X:X,A409)+COUNTIF(ADV!Y:Y,A409)</f>
        <v>0</v>
      </c>
    </row>
    <row r="410" spans="1:6" x14ac:dyDescent="0.2">
      <c r="A410" t="s">
        <v>7469</v>
      </c>
      <c r="B410">
        <v>1070013</v>
      </c>
      <c r="C410" t="s">
        <v>7470</v>
      </c>
      <c r="D410" t="s">
        <v>6068</v>
      </c>
      <c r="E410">
        <f t="shared" si="6"/>
        <v>47</v>
      </c>
      <c r="F410">
        <f>+COUNTIF(ADV!Z:Z,A410)+COUNTIF(ADV!X:X,A410)+COUNTIF(ADV!Y:Y,A410)</f>
        <v>0</v>
      </c>
    </row>
    <row r="411" spans="1:6" x14ac:dyDescent="0.2">
      <c r="A411" t="s">
        <v>7471</v>
      </c>
      <c r="B411">
        <v>1070013</v>
      </c>
      <c r="C411" t="s">
        <v>7472</v>
      </c>
      <c r="D411" t="s">
        <v>6068</v>
      </c>
      <c r="E411">
        <f t="shared" si="6"/>
        <v>47</v>
      </c>
      <c r="F411">
        <f>+COUNTIF(ADV!Z:Z,A411)+COUNTIF(ADV!X:X,A411)+COUNTIF(ADV!Y:Y,A411)</f>
        <v>0</v>
      </c>
    </row>
    <row r="412" spans="1:6" x14ac:dyDescent="0.2">
      <c r="A412" t="s">
        <v>1564</v>
      </c>
      <c r="B412">
        <v>1070013</v>
      </c>
      <c r="C412" t="s">
        <v>6228</v>
      </c>
      <c r="D412" t="s">
        <v>6068</v>
      </c>
      <c r="E412">
        <f t="shared" si="6"/>
        <v>47</v>
      </c>
      <c r="F412">
        <f>+COUNTIF(ADV!Z:Z,A412)+COUNTIF(ADV!X:X,A412)+COUNTIF(ADV!Y:Y,A412)</f>
        <v>0</v>
      </c>
    </row>
    <row r="413" spans="1:6" x14ac:dyDescent="0.2">
      <c r="A413" t="s">
        <v>7473</v>
      </c>
      <c r="B413">
        <v>1070013</v>
      </c>
      <c r="C413" t="s">
        <v>7474</v>
      </c>
      <c r="D413" t="s">
        <v>6068</v>
      </c>
      <c r="E413">
        <f t="shared" si="6"/>
        <v>47</v>
      </c>
      <c r="F413">
        <f>+COUNTIF(ADV!Z:Z,A413)+COUNTIF(ADV!X:X,A413)+COUNTIF(ADV!Y:Y,A413)</f>
        <v>0</v>
      </c>
    </row>
    <row r="414" spans="1:6" x14ac:dyDescent="0.2">
      <c r="A414" t="s">
        <v>1321</v>
      </c>
      <c r="B414">
        <v>1070013</v>
      </c>
      <c r="C414" t="s">
        <v>6229</v>
      </c>
      <c r="D414" t="s">
        <v>6068</v>
      </c>
      <c r="E414">
        <f t="shared" si="6"/>
        <v>47</v>
      </c>
      <c r="F414">
        <f>+COUNTIF(ADV!Z:Z,A414)+COUNTIF(ADV!X:X,A414)+COUNTIF(ADV!Y:Y,A414)</f>
        <v>1</v>
      </c>
    </row>
    <row r="415" spans="1:6" x14ac:dyDescent="0.2">
      <c r="A415" t="s">
        <v>7475</v>
      </c>
      <c r="B415">
        <v>1040005</v>
      </c>
      <c r="C415" t="s">
        <v>7476</v>
      </c>
      <c r="D415" t="s">
        <v>6068</v>
      </c>
      <c r="E415">
        <f t="shared" si="6"/>
        <v>69</v>
      </c>
      <c r="F415">
        <f>+COUNTIF(ADV!Z:Z,A415)+COUNTIF(ADV!X:X,A415)+COUNTIF(ADV!Y:Y,A415)</f>
        <v>0</v>
      </c>
    </row>
    <row r="416" spans="1:6" x14ac:dyDescent="0.2">
      <c r="A416" t="s">
        <v>7477</v>
      </c>
      <c r="B416">
        <v>1040005</v>
      </c>
      <c r="C416" t="s">
        <v>7478</v>
      </c>
      <c r="D416" t="s">
        <v>6068</v>
      </c>
      <c r="E416">
        <f t="shared" si="6"/>
        <v>69</v>
      </c>
      <c r="F416">
        <f>+COUNTIF(ADV!Z:Z,A416)+COUNTIF(ADV!X:X,A416)+COUNTIF(ADV!Y:Y,A416)</f>
        <v>0</v>
      </c>
    </row>
    <row r="417" spans="1:6" x14ac:dyDescent="0.2">
      <c r="A417" t="s">
        <v>7479</v>
      </c>
      <c r="B417">
        <v>1040009</v>
      </c>
      <c r="C417" t="s">
        <v>7480</v>
      </c>
      <c r="D417" t="s">
        <v>6068</v>
      </c>
      <c r="E417">
        <f t="shared" si="6"/>
        <v>63</v>
      </c>
      <c r="F417">
        <f>+COUNTIF(ADV!Z:Z,A417)+COUNTIF(ADV!X:X,A417)+COUNTIF(ADV!Y:Y,A417)</f>
        <v>0</v>
      </c>
    </row>
    <row r="418" spans="1:6" x14ac:dyDescent="0.2">
      <c r="A418" t="s">
        <v>1689</v>
      </c>
      <c r="B418">
        <v>1040009</v>
      </c>
      <c r="C418" t="s">
        <v>6230</v>
      </c>
      <c r="D418" t="s">
        <v>6068</v>
      </c>
      <c r="E418">
        <f t="shared" si="6"/>
        <v>63</v>
      </c>
      <c r="F418">
        <f>+COUNTIF(ADV!Z:Z,A418)+COUNTIF(ADV!X:X,A418)+COUNTIF(ADV!Y:Y,A418)</f>
        <v>0</v>
      </c>
    </row>
    <row r="419" spans="1:6" x14ac:dyDescent="0.2">
      <c r="A419" t="s">
        <v>7481</v>
      </c>
      <c r="B419">
        <v>1040002</v>
      </c>
      <c r="C419" t="s">
        <v>7482</v>
      </c>
      <c r="D419" t="s">
        <v>6068</v>
      </c>
      <c r="E419">
        <f t="shared" si="6"/>
        <v>64</v>
      </c>
      <c r="F419">
        <f>+COUNTIF(ADV!Z:Z,A419)+COUNTIF(ADV!X:X,A419)+COUNTIF(ADV!Y:Y,A419)</f>
        <v>0</v>
      </c>
    </row>
    <row r="420" spans="1:6" x14ac:dyDescent="0.2">
      <c r="A420" t="s">
        <v>7483</v>
      </c>
      <c r="B420">
        <v>1040002</v>
      </c>
      <c r="C420" t="s">
        <v>7484</v>
      </c>
      <c r="D420" t="s">
        <v>6068</v>
      </c>
      <c r="E420">
        <f t="shared" si="6"/>
        <v>64</v>
      </c>
      <c r="F420">
        <f>+COUNTIF(ADV!Z:Z,A420)+COUNTIF(ADV!X:X,A420)+COUNTIF(ADV!Y:Y,A420)</f>
        <v>0</v>
      </c>
    </row>
    <row r="421" spans="1:6" x14ac:dyDescent="0.2">
      <c r="A421" t="s">
        <v>827</v>
      </c>
      <c r="B421">
        <v>1040002</v>
      </c>
      <c r="C421" t="s">
        <v>6231</v>
      </c>
      <c r="D421" t="s">
        <v>6068</v>
      </c>
      <c r="E421">
        <f t="shared" si="6"/>
        <v>64</v>
      </c>
      <c r="F421">
        <f>+COUNTIF(ADV!Z:Z,A421)+COUNTIF(ADV!X:X,A421)+COUNTIF(ADV!Y:Y,A421)</f>
        <v>0</v>
      </c>
    </row>
    <row r="422" spans="1:6" x14ac:dyDescent="0.2">
      <c r="A422" t="s">
        <v>7485</v>
      </c>
      <c r="B422">
        <v>1020011</v>
      </c>
      <c r="C422" t="s">
        <v>7486</v>
      </c>
      <c r="D422" t="s">
        <v>6068</v>
      </c>
      <c r="E422">
        <f t="shared" si="6"/>
        <v>68</v>
      </c>
      <c r="F422">
        <f>+COUNTIF(ADV!Z:Z,A422)+COUNTIF(ADV!X:X,A422)+COUNTIF(ADV!Y:Y,A422)</f>
        <v>0</v>
      </c>
    </row>
    <row r="423" spans="1:6" x14ac:dyDescent="0.2">
      <c r="A423" t="s">
        <v>3959</v>
      </c>
      <c r="B423">
        <v>1020011</v>
      </c>
      <c r="C423" t="s">
        <v>6232</v>
      </c>
      <c r="D423" t="s">
        <v>6068</v>
      </c>
      <c r="E423">
        <f t="shared" si="6"/>
        <v>68</v>
      </c>
      <c r="F423">
        <f>+COUNTIF(ADV!Z:Z,A423)+COUNTIF(ADV!X:X,A423)+COUNTIF(ADV!Y:Y,A423)</f>
        <v>0</v>
      </c>
    </row>
    <row r="424" spans="1:6" x14ac:dyDescent="0.2">
      <c r="A424" t="s">
        <v>7487</v>
      </c>
      <c r="B424">
        <v>1020011</v>
      </c>
      <c r="C424" t="s">
        <v>7488</v>
      </c>
      <c r="D424" t="s">
        <v>6068</v>
      </c>
      <c r="E424">
        <f t="shared" si="6"/>
        <v>68</v>
      </c>
      <c r="F424">
        <f>+COUNTIF(ADV!Z:Z,A424)+COUNTIF(ADV!X:X,A424)+COUNTIF(ADV!Y:Y,A424)</f>
        <v>0</v>
      </c>
    </row>
    <row r="425" spans="1:6" x14ac:dyDescent="0.2">
      <c r="A425" t="s">
        <v>7489</v>
      </c>
      <c r="B425">
        <v>1020010</v>
      </c>
      <c r="C425" t="s">
        <v>7490</v>
      </c>
      <c r="D425" t="s">
        <v>6068</v>
      </c>
      <c r="E425">
        <f t="shared" si="6"/>
        <v>47</v>
      </c>
      <c r="F425">
        <f>+COUNTIF(ADV!Z:Z,A425)+COUNTIF(ADV!X:X,A425)+COUNTIF(ADV!Y:Y,A425)</f>
        <v>0</v>
      </c>
    </row>
    <row r="426" spans="1:6" x14ac:dyDescent="0.2">
      <c r="A426" t="s">
        <v>4310</v>
      </c>
      <c r="B426">
        <v>1020010</v>
      </c>
      <c r="C426" t="s">
        <v>6233</v>
      </c>
      <c r="D426" t="s">
        <v>6068</v>
      </c>
      <c r="E426">
        <f t="shared" si="6"/>
        <v>47</v>
      </c>
      <c r="F426">
        <f>+COUNTIF(ADV!Z:Z,A426)+COUNTIF(ADV!X:X,A426)+COUNTIF(ADV!Y:Y,A426)</f>
        <v>0</v>
      </c>
    </row>
    <row r="427" spans="1:6" x14ac:dyDescent="0.2">
      <c r="A427" t="s">
        <v>2183</v>
      </c>
      <c r="B427">
        <v>1020010</v>
      </c>
      <c r="C427" t="s">
        <v>6234</v>
      </c>
      <c r="D427" t="s">
        <v>6068</v>
      </c>
      <c r="E427">
        <f t="shared" si="6"/>
        <v>47</v>
      </c>
      <c r="F427">
        <f>+COUNTIF(ADV!Z:Z,A427)+COUNTIF(ADV!X:X,A427)+COUNTIF(ADV!Y:Y,A427)</f>
        <v>0</v>
      </c>
    </row>
    <row r="428" spans="1:6" x14ac:dyDescent="0.2">
      <c r="A428" t="s">
        <v>7491</v>
      </c>
      <c r="B428">
        <v>1020010</v>
      </c>
      <c r="C428" t="s">
        <v>7492</v>
      </c>
      <c r="D428" t="s">
        <v>6068</v>
      </c>
      <c r="E428">
        <f t="shared" si="6"/>
        <v>46</v>
      </c>
      <c r="F428">
        <f>+COUNTIF(ADV!Z:Z,A428)+COUNTIF(ADV!X:X,A428)+COUNTIF(ADV!Y:Y,A428)</f>
        <v>0</v>
      </c>
    </row>
    <row r="429" spans="1:6" x14ac:dyDescent="0.2">
      <c r="A429" t="s">
        <v>7493</v>
      </c>
      <c r="B429">
        <v>1020010</v>
      </c>
      <c r="C429" t="s">
        <v>7494</v>
      </c>
      <c r="D429" t="s">
        <v>6068</v>
      </c>
      <c r="E429">
        <f t="shared" si="6"/>
        <v>46</v>
      </c>
      <c r="F429">
        <f>+COUNTIF(ADV!Z:Z,A429)+COUNTIF(ADV!X:X,A429)+COUNTIF(ADV!Y:Y,A429)</f>
        <v>0</v>
      </c>
    </row>
    <row r="430" spans="1:6" x14ac:dyDescent="0.2">
      <c r="A430" t="s">
        <v>7495</v>
      </c>
      <c r="B430">
        <v>1020010</v>
      </c>
      <c r="C430" t="s">
        <v>7496</v>
      </c>
      <c r="D430" t="s">
        <v>6068</v>
      </c>
      <c r="E430">
        <f t="shared" si="6"/>
        <v>46</v>
      </c>
      <c r="F430">
        <f>+COUNTIF(ADV!Z:Z,A430)+COUNTIF(ADV!X:X,A430)+COUNTIF(ADV!Y:Y,A430)</f>
        <v>0</v>
      </c>
    </row>
    <row r="431" spans="1:6" x14ac:dyDescent="0.2">
      <c r="A431" t="s">
        <v>1889</v>
      </c>
      <c r="B431">
        <v>1010033</v>
      </c>
      <c r="C431" t="s">
        <v>6235</v>
      </c>
      <c r="D431" t="s">
        <v>6068</v>
      </c>
      <c r="E431">
        <f t="shared" si="6"/>
        <v>93</v>
      </c>
      <c r="F431">
        <f>+COUNTIF(ADV!Z:Z,A431)+COUNTIF(ADV!X:X,A431)+COUNTIF(ADV!Y:Y,A431)</f>
        <v>0</v>
      </c>
    </row>
    <row r="432" spans="1:6" x14ac:dyDescent="0.2">
      <c r="A432" t="s">
        <v>7497</v>
      </c>
      <c r="B432">
        <v>1020003</v>
      </c>
      <c r="C432" t="s">
        <v>7498</v>
      </c>
      <c r="D432" t="s">
        <v>6068</v>
      </c>
      <c r="E432">
        <f t="shared" si="6"/>
        <v>41</v>
      </c>
      <c r="F432">
        <f>+COUNTIF(ADV!Z:Z,A432)+COUNTIF(ADV!X:X,A432)+COUNTIF(ADV!Y:Y,A432)</f>
        <v>0</v>
      </c>
    </row>
    <row r="433" spans="1:6" x14ac:dyDescent="0.2">
      <c r="A433" t="s">
        <v>7499</v>
      </c>
      <c r="B433">
        <v>1020003</v>
      </c>
      <c r="C433" t="s">
        <v>7500</v>
      </c>
      <c r="D433" t="s">
        <v>6068</v>
      </c>
      <c r="E433">
        <f t="shared" si="6"/>
        <v>41</v>
      </c>
      <c r="F433">
        <f>+COUNTIF(ADV!Z:Z,A433)+COUNTIF(ADV!X:X,A433)+COUNTIF(ADV!Y:Y,A433)</f>
        <v>0</v>
      </c>
    </row>
    <row r="434" spans="1:6" x14ac:dyDescent="0.2">
      <c r="A434" t="s">
        <v>7501</v>
      </c>
      <c r="B434">
        <v>1020003</v>
      </c>
      <c r="C434" t="s">
        <v>7502</v>
      </c>
      <c r="D434" t="s">
        <v>6068</v>
      </c>
      <c r="E434">
        <f t="shared" si="6"/>
        <v>41</v>
      </c>
      <c r="F434">
        <f>+COUNTIF(ADV!Z:Z,A434)+COUNTIF(ADV!X:X,A434)+COUNTIF(ADV!Y:Y,A434)</f>
        <v>0</v>
      </c>
    </row>
    <row r="435" spans="1:6" x14ac:dyDescent="0.2">
      <c r="A435" t="s">
        <v>3385</v>
      </c>
      <c r="B435">
        <v>1020003</v>
      </c>
      <c r="C435" t="s">
        <v>6236</v>
      </c>
      <c r="D435" t="s">
        <v>6068</v>
      </c>
      <c r="E435">
        <f t="shared" si="6"/>
        <v>41</v>
      </c>
      <c r="F435">
        <f>+COUNTIF(ADV!Z:Z,A435)+COUNTIF(ADV!X:X,A435)+COUNTIF(ADV!Y:Y,A435)</f>
        <v>0</v>
      </c>
    </row>
    <row r="436" spans="1:6" x14ac:dyDescent="0.2">
      <c r="A436" t="s">
        <v>7503</v>
      </c>
      <c r="B436">
        <v>1020009</v>
      </c>
      <c r="C436" t="s">
        <v>7504</v>
      </c>
      <c r="D436" t="s">
        <v>6068</v>
      </c>
      <c r="E436">
        <f t="shared" si="6"/>
        <v>64</v>
      </c>
      <c r="F436">
        <f>+COUNTIF(ADV!Z:Z,A436)+COUNTIF(ADV!X:X,A436)+COUNTIF(ADV!Y:Y,A436)</f>
        <v>0</v>
      </c>
    </row>
    <row r="437" spans="1:6" x14ac:dyDescent="0.2">
      <c r="A437" t="s">
        <v>3710</v>
      </c>
      <c r="B437">
        <v>1020009</v>
      </c>
      <c r="C437" t="s">
        <v>6237</v>
      </c>
      <c r="D437" t="s">
        <v>6068</v>
      </c>
      <c r="E437">
        <f t="shared" si="6"/>
        <v>64</v>
      </c>
      <c r="F437">
        <f>+COUNTIF(ADV!Z:Z,A437)+COUNTIF(ADV!X:X,A437)+COUNTIF(ADV!Y:Y,A437)</f>
        <v>0</v>
      </c>
    </row>
    <row r="438" spans="1:6" x14ac:dyDescent="0.2">
      <c r="A438" t="s">
        <v>1029</v>
      </c>
      <c r="B438">
        <v>1020009</v>
      </c>
      <c r="C438" t="s">
        <v>6238</v>
      </c>
      <c r="D438" t="s">
        <v>6068</v>
      </c>
      <c r="E438">
        <f t="shared" si="6"/>
        <v>64</v>
      </c>
      <c r="F438">
        <f>+COUNTIF(ADV!Z:Z,A438)+COUNTIF(ADV!X:X,A438)+COUNTIF(ADV!Y:Y,A438)</f>
        <v>0</v>
      </c>
    </row>
    <row r="439" spans="1:6" x14ac:dyDescent="0.2">
      <c r="A439" t="s">
        <v>7505</v>
      </c>
      <c r="B439">
        <v>1020009</v>
      </c>
      <c r="C439" t="s">
        <v>7506</v>
      </c>
      <c r="D439" t="s">
        <v>6068</v>
      </c>
      <c r="E439">
        <f t="shared" si="6"/>
        <v>64</v>
      </c>
      <c r="F439">
        <f>+COUNTIF(ADV!Z:Z,A439)+COUNTIF(ADV!X:X,A439)+COUNTIF(ADV!Y:Y,A439)</f>
        <v>0</v>
      </c>
    </row>
    <row r="440" spans="1:6" x14ac:dyDescent="0.2">
      <c r="A440" t="s">
        <v>4337</v>
      </c>
      <c r="B440">
        <v>1040012</v>
      </c>
      <c r="C440" t="s">
        <v>6239</v>
      </c>
      <c r="D440" t="s">
        <v>6068</v>
      </c>
      <c r="E440">
        <f t="shared" si="6"/>
        <v>80</v>
      </c>
      <c r="F440">
        <f>+COUNTIF(ADV!Z:Z,A440)+COUNTIF(ADV!X:X,A440)+COUNTIF(ADV!Y:Y,A440)</f>
        <v>0</v>
      </c>
    </row>
    <row r="441" spans="1:6" x14ac:dyDescent="0.2">
      <c r="A441" t="s">
        <v>7507</v>
      </c>
      <c r="B441">
        <v>1040001</v>
      </c>
      <c r="C441" t="s">
        <v>7508</v>
      </c>
      <c r="D441" t="s">
        <v>6068</v>
      </c>
      <c r="E441">
        <f t="shared" si="6"/>
        <v>66</v>
      </c>
      <c r="F441">
        <f>+COUNTIF(ADV!Z:Z,A441)+COUNTIF(ADV!X:X,A441)+COUNTIF(ADV!Y:Y,A441)</f>
        <v>0</v>
      </c>
    </row>
    <row r="442" spans="1:6" x14ac:dyDescent="0.2">
      <c r="A442" t="s">
        <v>2588</v>
      </c>
      <c r="B442">
        <v>1040001</v>
      </c>
      <c r="C442" t="s">
        <v>6240</v>
      </c>
      <c r="D442" t="s">
        <v>6068</v>
      </c>
      <c r="E442">
        <f t="shared" si="6"/>
        <v>66</v>
      </c>
      <c r="F442">
        <f>+COUNTIF(ADV!Z:Z,A442)+COUNTIF(ADV!X:X,A442)+COUNTIF(ADV!Y:Y,A442)</f>
        <v>0</v>
      </c>
    </row>
    <row r="443" spans="1:6" x14ac:dyDescent="0.2">
      <c r="A443" t="s">
        <v>7509</v>
      </c>
      <c r="B443">
        <v>1010002</v>
      </c>
      <c r="C443" t="s">
        <v>7510</v>
      </c>
      <c r="D443" t="s">
        <v>6068</v>
      </c>
      <c r="E443">
        <f t="shared" si="6"/>
        <v>53</v>
      </c>
      <c r="F443">
        <f>+COUNTIF(ADV!Z:Z,A443)+COUNTIF(ADV!X:X,A443)+COUNTIF(ADV!Y:Y,A443)</f>
        <v>0</v>
      </c>
    </row>
    <row r="444" spans="1:6" x14ac:dyDescent="0.2">
      <c r="A444" t="s">
        <v>7511</v>
      </c>
      <c r="B444">
        <v>1010002</v>
      </c>
      <c r="C444" t="s">
        <v>7512</v>
      </c>
      <c r="D444" t="s">
        <v>6068</v>
      </c>
      <c r="E444">
        <f t="shared" si="6"/>
        <v>53</v>
      </c>
      <c r="F444">
        <f>+COUNTIF(ADV!Z:Z,A444)+COUNTIF(ADV!X:X,A444)+COUNTIF(ADV!Y:Y,A444)</f>
        <v>0</v>
      </c>
    </row>
    <row r="445" spans="1:6" x14ac:dyDescent="0.2">
      <c r="A445" t="s">
        <v>4057</v>
      </c>
      <c r="B445">
        <v>1010002</v>
      </c>
      <c r="C445" t="s">
        <v>6241</v>
      </c>
      <c r="D445" t="s">
        <v>6068</v>
      </c>
      <c r="E445">
        <f t="shared" si="6"/>
        <v>53</v>
      </c>
      <c r="F445">
        <f>+COUNTIF(ADV!Z:Z,A445)+COUNTIF(ADV!X:X,A445)+COUNTIF(ADV!Y:Y,A445)</f>
        <v>0</v>
      </c>
    </row>
    <row r="446" spans="1:6" x14ac:dyDescent="0.2">
      <c r="A446" t="s">
        <v>908</v>
      </c>
      <c r="B446">
        <v>1010002</v>
      </c>
      <c r="C446" t="s">
        <v>6242</v>
      </c>
      <c r="D446" t="s">
        <v>6068</v>
      </c>
      <c r="E446">
        <f t="shared" si="6"/>
        <v>53</v>
      </c>
      <c r="F446">
        <f>+COUNTIF(ADV!Z:Z,A446)+COUNTIF(ADV!X:X,A446)+COUNTIF(ADV!Y:Y,A446)</f>
        <v>0</v>
      </c>
    </row>
    <row r="447" spans="1:6" x14ac:dyDescent="0.2">
      <c r="A447" t="s">
        <v>2664</v>
      </c>
      <c r="B447">
        <v>1010002</v>
      </c>
      <c r="C447" t="s">
        <v>6243</v>
      </c>
      <c r="D447" t="s">
        <v>6068</v>
      </c>
      <c r="E447">
        <f t="shared" si="6"/>
        <v>53</v>
      </c>
      <c r="F447">
        <f>+COUNTIF(ADV!Z:Z,A447)+COUNTIF(ADV!X:X,A447)+COUNTIF(ADV!Y:Y,A447)</f>
        <v>0</v>
      </c>
    </row>
    <row r="448" spans="1:6" x14ac:dyDescent="0.2">
      <c r="A448" t="s">
        <v>3477</v>
      </c>
      <c r="B448">
        <v>1010069</v>
      </c>
      <c r="C448" t="s">
        <v>6244</v>
      </c>
      <c r="D448" t="s">
        <v>6068</v>
      </c>
      <c r="E448">
        <f t="shared" si="6"/>
        <v>89</v>
      </c>
      <c r="F448">
        <f>+COUNTIF(ADV!Z:Z,A448)+COUNTIF(ADV!X:X,A448)+COUNTIF(ADV!Y:Y,A448)</f>
        <v>0</v>
      </c>
    </row>
    <row r="449" spans="1:6" x14ac:dyDescent="0.2">
      <c r="A449" t="s">
        <v>2601</v>
      </c>
      <c r="B449">
        <v>1020002</v>
      </c>
      <c r="C449" t="s">
        <v>6245</v>
      </c>
      <c r="D449" t="s">
        <v>6068</v>
      </c>
      <c r="E449">
        <f t="shared" si="6"/>
        <v>42</v>
      </c>
      <c r="F449">
        <f>+COUNTIF(ADV!Z:Z,A449)+COUNTIF(ADV!X:X,A449)+COUNTIF(ADV!Y:Y,A449)</f>
        <v>0</v>
      </c>
    </row>
    <row r="450" spans="1:6" x14ac:dyDescent="0.2">
      <c r="A450" t="s">
        <v>923</v>
      </c>
      <c r="B450">
        <v>1020002</v>
      </c>
      <c r="C450" t="s">
        <v>6246</v>
      </c>
      <c r="D450" t="s">
        <v>6068</v>
      </c>
      <c r="E450">
        <f t="shared" ref="E450:E513" si="7">+LEN(C450)</f>
        <v>42</v>
      </c>
      <c r="F450">
        <f>+COUNTIF(ADV!Z:Z,A450)+COUNTIF(ADV!X:X,A450)+COUNTIF(ADV!Y:Y,A450)</f>
        <v>0</v>
      </c>
    </row>
    <row r="451" spans="1:6" x14ac:dyDescent="0.2">
      <c r="A451" t="s">
        <v>151</v>
      </c>
      <c r="B451">
        <v>1020002</v>
      </c>
      <c r="C451" t="s">
        <v>6247</v>
      </c>
      <c r="D451" t="s">
        <v>6068</v>
      </c>
      <c r="E451">
        <f t="shared" si="7"/>
        <v>42</v>
      </c>
      <c r="F451">
        <f>+COUNTIF(ADV!Z:Z,A451)+COUNTIF(ADV!X:X,A451)+COUNTIF(ADV!Y:Y,A451)</f>
        <v>0</v>
      </c>
    </row>
    <row r="452" spans="1:6" x14ac:dyDescent="0.2">
      <c r="A452" t="s">
        <v>973</v>
      </c>
      <c r="B452">
        <v>1020002</v>
      </c>
      <c r="C452" t="s">
        <v>6248</v>
      </c>
      <c r="D452" t="s">
        <v>6068</v>
      </c>
      <c r="E452">
        <f t="shared" si="7"/>
        <v>42</v>
      </c>
      <c r="F452">
        <f>+COUNTIF(ADV!Z:Z,A452)+COUNTIF(ADV!X:X,A452)+COUNTIF(ADV!Y:Y,A452)</f>
        <v>0</v>
      </c>
    </row>
    <row r="453" spans="1:6" x14ac:dyDescent="0.2">
      <c r="A453" t="s">
        <v>7513</v>
      </c>
      <c r="B453">
        <v>1020002</v>
      </c>
      <c r="C453" t="s">
        <v>7514</v>
      </c>
      <c r="D453" t="s">
        <v>6068</v>
      </c>
      <c r="E453">
        <f t="shared" si="7"/>
        <v>41</v>
      </c>
      <c r="F453">
        <f>+COUNTIF(ADV!Z:Z,A453)+COUNTIF(ADV!X:X,A453)+COUNTIF(ADV!Y:Y,A453)</f>
        <v>0</v>
      </c>
    </row>
    <row r="454" spans="1:6" x14ac:dyDescent="0.2">
      <c r="A454" t="s">
        <v>7515</v>
      </c>
      <c r="B454">
        <v>1020002</v>
      </c>
      <c r="C454" t="s">
        <v>7516</v>
      </c>
      <c r="D454" t="s">
        <v>6068</v>
      </c>
      <c r="E454">
        <f t="shared" si="7"/>
        <v>41</v>
      </c>
      <c r="F454">
        <f>+COUNTIF(ADV!Z:Z,A454)+COUNTIF(ADV!X:X,A454)+COUNTIF(ADV!Y:Y,A454)</f>
        <v>0</v>
      </c>
    </row>
    <row r="455" spans="1:6" x14ac:dyDescent="0.2">
      <c r="A455" t="s">
        <v>7517</v>
      </c>
      <c r="B455">
        <v>1040006</v>
      </c>
      <c r="C455" t="s">
        <v>7518</v>
      </c>
      <c r="D455" t="s">
        <v>6068</v>
      </c>
      <c r="E455">
        <f t="shared" si="7"/>
        <v>64</v>
      </c>
      <c r="F455">
        <f>+COUNTIF(ADV!Z:Z,A455)+COUNTIF(ADV!X:X,A455)+COUNTIF(ADV!Y:Y,A455)</f>
        <v>0</v>
      </c>
    </row>
    <row r="456" spans="1:6" x14ac:dyDescent="0.2">
      <c r="A456" t="s">
        <v>7519</v>
      </c>
      <c r="B456">
        <v>1040006</v>
      </c>
      <c r="C456" t="s">
        <v>7520</v>
      </c>
      <c r="D456" t="s">
        <v>6068</v>
      </c>
      <c r="E456">
        <f t="shared" si="7"/>
        <v>64</v>
      </c>
      <c r="F456">
        <f>+COUNTIF(ADV!Z:Z,A456)+COUNTIF(ADV!X:X,A456)+COUNTIF(ADV!Y:Y,A456)</f>
        <v>0</v>
      </c>
    </row>
    <row r="457" spans="1:6" x14ac:dyDescent="0.2">
      <c r="A457" t="s">
        <v>7521</v>
      </c>
      <c r="B457">
        <v>1010066</v>
      </c>
      <c r="C457" t="s">
        <v>7522</v>
      </c>
      <c r="D457" t="s">
        <v>6068</v>
      </c>
      <c r="E457">
        <f t="shared" si="7"/>
        <v>1002</v>
      </c>
      <c r="F457">
        <f>+COUNTIF(ADV!Z:Z,A457)+COUNTIF(ADV!X:X,A457)+COUNTIF(ADV!Y:Y,A457)</f>
        <v>0</v>
      </c>
    </row>
    <row r="458" spans="1:6" x14ac:dyDescent="0.2">
      <c r="A458" t="s">
        <v>1633</v>
      </c>
      <c r="B458">
        <v>1010066</v>
      </c>
      <c r="C458" t="s">
        <v>6249</v>
      </c>
      <c r="D458" t="s">
        <v>6068</v>
      </c>
      <c r="E458">
        <f t="shared" si="7"/>
        <v>1000</v>
      </c>
      <c r="F458">
        <f>+COUNTIF(ADV!Z:Z,A458)+COUNTIF(ADV!X:X,A458)+COUNTIF(ADV!Y:Y,A458)</f>
        <v>0</v>
      </c>
    </row>
    <row r="459" spans="1:6" x14ac:dyDescent="0.2">
      <c r="A459" t="s">
        <v>7523</v>
      </c>
      <c r="B459">
        <v>1020013</v>
      </c>
      <c r="C459" t="s">
        <v>7524</v>
      </c>
      <c r="D459" t="s">
        <v>6068</v>
      </c>
      <c r="E459">
        <f t="shared" si="7"/>
        <v>48</v>
      </c>
      <c r="F459">
        <f>+COUNTIF(ADV!Z:Z,A459)+COUNTIF(ADV!X:X,A459)+COUNTIF(ADV!Y:Y,A459)</f>
        <v>0</v>
      </c>
    </row>
    <row r="460" spans="1:6" x14ac:dyDescent="0.2">
      <c r="A460" t="s">
        <v>1057</v>
      </c>
      <c r="B460">
        <v>1020013</v>
      </c>
      <c r="C460" t="s">
        <v>7525</v>
      </c>
      <c r="D460" t="s">
        <v>6068</v>
      </c>
      <c r="E460">
        <f t="shared" si="7"/>
        <v>48</v>
      </c>
      <c r="F460">
        <f>+COUNTIF(ADV!Z:Z,A460)+COUNTIF(ADV!X:X,A460)+COUNTIF(ADV!Y:Y,A460)</f>
        <v>0</v>
      </c>
    </row>
    <row r="461" spans="1:6" x14ac:dyDescent="0.2">
      <c r="A461" t="s">
        <v>7526</v>
      </c>
      <c r="B461">
        <v>1020013</v>
      </c>
      <c r="C461" t="s">
        <v>7527</v>
      </c>
      <c r="D461" t="s">
        <v>6068</v>
      </c>
      <c r="E461">
        <f t="shared" si="7"/>
        <v>48</v>
      </c>
      <c r="F461">
        <f>+COUNTIF(ADV!Z:Z,A461)+COUNTIF(ADV!X:X,A461)+COUNTIF(ADV!Y:Y,A461)</f>
        <v>0</v>
      </c>
    </row>
    <row r="462" spans="1:6" x14ac:dyDescent="0.2">
      <c r="A462" t="s">
        <v>7528</v>
      </c>
      <c r="B462">
        <v>1020013</v>
      </c>
      <c r="C462" t="s">
        <v>7529</v>
      </c>
      <c r="D462" t="s">
        <v>6068</v>
      </c>
      <c r="E462">
        <f t="shared" si="7"/>
        <v>48</v>
      </c>
      <c r="F462">
        <f>+COUNTIF(ADV!Z:Z,A462)+COUNTIF(ADV!X:X,A462)+COUNTIF(ADV!Y:Y,A462)</f>
        <v>0</v>
      </c>
    </row>
    <row r="463" spans="1:6" x14ac:dyDescent="0.2">
      <c r="A463" t="s">
        <v>894</v>
      </c>
      <c r="B463">
        <v>1020013</v>
      </c>
      <c r="C463" t="s">
        <v>6250</v>
      </c>
      <c r="D463" t="s">
        <v>6068</v>
      </c>
      <c r="E463">
        <f t="shared" si="7"/>
        <v>48</v>
      </c>
      <c r="F463">
        <f>+COUNTIF(ADV!Z:Z,A463)+COUNTIF(ADV!X:X,A463)+COUNTIF(ADV!Y:Y,A463)</f>
        <v>0</v>
      </c>
    </row>
    <row r="464" spans="1:6" x14ac:dyDescent="0.2">
      <c r="A464" t="s">
        <v>896</v>
      </c>
      <c r="B464">
        <v>1020013</v>
      </c>
      <c r="C464" t="s">
        <v>6251</v>
      </c>
      <c r="D464" t="s">
        <v>6068</v>
      </c>
      <c r="E464">
        <f t="shared" si="7"/>
        <v>48</v>
      </c>
      <c r="F464">
        <f>+COUNTIF(ADV!Z:Z,A464)+COUNTIF(ADV!X:X,A464)+COUNTIF(ADV!Y:Y,A464)</f>
        <v>4</v>
      </c>
    </row>
    <row r="465" spans="1:6" x14ac:dyDescent="0.2">
      <c r="A465" t="s">
        <v>7530</v>
      </c>
      <c r="B465">
        <v>1020013</v>
      </c>
      <c r="C465" t="s">
        <v>7531</v>
      </c>
      <c r="D465" t="s">
        <v>6068</v>
      </c>
      <c r="E465">
        <f t="shared" si="7"/>
        <v>47</v>
      </c>
      <c r="F465">
        <f>+COUNTIF(ADV!Z:Z,A465)+COUNTIF(ADV!X:X,A465)+COUNTIF(ADV!Y:Y,A465)</f>
        <v>0</v>
      </c>
    </row>
    <row r="466" spans="1:6" x14ac:dyDescent="0.2">
      <c r="A466" t="s">
        <v>7532</v>
      </c>
      <c r="B466">
        <v>1020013</v>
      </c>
      <c r="C466" t="s">
        <v>7533</v>
      </c>
      <c r="D466" t="s">
        <v>6068</v>
      </c>
      <c r="E466">
        <f t="shared" si="7"/>
        <v>47</v>
      </c>
      <c r="F466">
        <f>+COUNTIF(ADV!Z:Z,A466)+COUNTIF(ADV!X:X,A466)+COUNTIF(ADV!Y:Y,A466)</f>
        <v>0</v>
      </c>
    </row>
    <row r="467" spans="1:6" x14ac:dyDescent="0.2">
      <c r="A467" t="s">
        <v>1495</v>
      </c>
      <c r="B467">
        <v>1020013</v>
      </c>
      <c r="C467" t="s">
        <v>6252</v>
      </c>
      <c r="D467" t="s">
        <v>6068</v>
      </c>
      <c r="E467">
        <f t="shared" si="7"/>
        <v>47</v>
      </c>
      <c r="F467">
        <f>+COUNTIF(ADV!Z:Z,A467)+COUNTIF(ADV!X:X,A467)+COUNTIF(ADV!Y:Y,A467)</f>
        <v>0</v>
      </c>
    </row>
    <row r="468" spans="1:6" x14ac:dyDescent="0.2">
      <c r="A468" t="s">
        <v>1877</v>
      </c>
      <c r="B468">
        <v>1020013</v>
      </c>
      <c r="C468" t="s">
        <v>6253</v>
      </c>
      <c r="D468" t="s">
        <v>6068</v>
      </c>
      <c r="E468">
        <f t="shared" si="7"/>
        <v>47</v>
      </c>
      <c r="F468">
        <f>+COUNTIF(ADV!Z:Z,A468)+COUNTIF(ADV!X:X,A468)+COUNTIF(ADV!Y:Y,A468)</f>
        <v>0</v>
      </c>
    </row>
    <row r="469" spans="1:6" x14ac:dyDescent="0.2">
      <c r="A469" t="s">
        <v>7534</v>
      </c>
      <c r="B469">
        <v>1010147</v>
      </c>
      <c r="C469" t="s">
        <v>7535</v>
      </c>
      <c r="D469" t="s">
        <v>6068</v>
      </c>
      <c r="E469">
        <f t="shared" si="7"/>
        <v>808</v>
      </c>
      <c r="F469">
        <f>+COUNTIF(ADV!Z:Z,A469)+COUNTIF(ADV!X:X,A469)+COUNTIF(ADV!Y:Y,A469)</f>
        <v>0</v>
      </c>
    </row>
    <row r="470" spans="1:6" x14ac:dyDescent="0.2">
      <c r="A470" t="s">
        <v>3884</v>
      </c>
      <c r="B470">
        <v>1010147</v>
      </c>
      <c r="C470" t="s">
        <v>6254</v>
      </c>
      <c r="D470" t="s">
        <v>6068</v>
      </c>
      <c r="E470">
        <f t="shared" si="7"/>
        <v>957</v>
      </c>
      <c r="F470">
        <f>+COUNTIF(ADV!Z:Z,A470)+COUNTIF(ADV!X:X,A470)+COUNTIF(ADV!Y:Y,A470)</f>
        <v>0</v>
      </c>
    </row>
    <row r="471" spans="1:6" x14ac:dyDescent="0.2">
      <c r="A471" t="s">
        <v>7536</v>
      </c>
      <c r="B471">
        <v>1020004</v>
      </c>
      <c r="C471" t="s">
        <v>7537</v>
      </c>
      <c r="D471" t="s">
        <v>6068</v>
      </c>
      <c r="E471">
        <f t="shared" si="7"/>
        <v>230</v>
      </c>
      <c r="F471">
        <f>+COUNTIF(ADV!Z:Z,A471)+COUNTIF(ADV!X:X,A471)+COUNTIF(ADV!Y:Y,A471)</f>
        <v>0</v>
      </c>
    </row>
    <row r="472" spans="1:6" x14ac:dyDescent="0.2">
      <c r="A472" t="s">
        <v>667</v>
      </c>
      <c r="B472">
        <v>1020004</v>
      </c>
      <c r="C472" t="s">
        <v>6255</v>
      </c>
      <c r="D472" t="s">
        <v>6068</v>
      </c>
      <c r="E472">
        <f t="shared" si="7"/>
        <v>391</v>
      </c>
      <c r="F472">
        <f>+COUNTIF(ADV!Z:Z,A472)+COUNTIF(ADV!X:X,A472)+COUNTIF(ADV!Y:Y,A472)</f>
        <v>0</v>
      </c>
    </row>
    <row r="473" spans="1:6" x14ac:dyDescent="0.2">
      <c r="A473" t="s">
        <v>7538</v>
      </c>
      <c r="B473">
        <v>1020033</v>
      </c>
      <c r="C473" t="s">
        <v>7539</v>
      </c>
      <c r="D473" t="s">
        <v>6068</v>
      </c>
      <c r="E473">
        <f t="shared" si="7"/>
        <v>275</v>
      </c>
      <c r="F473">
        <f>+COUNTIF(ADV!Z:Z,A473)+COUNTIF(ADV!X:X,A473)+COUNTIF(ADV!Y:Y,A473)</f>
        <v>0</v>
      </c>
    </row>
    <row r="474" spans="1:6" x14ac:dyDescent="0.2">
      <c r="A474" t="s">
        <v>171</v>
      </c>
      <c r="B474">
        <v>1020033</v>
      </c>
      <c r="C474" t="s">
        <v>6256</v>
      </c>
      <c r="D474" t="s">
        <v>6068</v>
      </c>
      <c r="E474">
        <f t="shared" si="7"/>
        <v>275</v>
      </c>
      <c r="F474">
        <f>+COUNTIF(ADV!Z:Z,A474)+COUNTIF(ADV!X:X,A474)+COUNTIF(ADV!Y:Y,A474)</f>
        <v>0</v>
      </c>
    </row>
    <row r="475" spans="1:6" x14ac:dyDescent="0.2">
      <c r="A475" t="s">
        <v>7540</v>
      </c>
      <c r="B475">
        <v>1030019</v>
      </c>
      <c r="C475" t="s">
        <v>7037</v>
      </c>
      <c r="D475" t="s">
        <v>6068</v>
      </c>
      <c r="E475">
        <f t="shared" si="7"/>
        <v>57</v>
      </c>
      <c r="F475">
        <f>+COUNTIF(ADV!Z:Z,A475)+COUNTIF(ADV!X:X,A475)+COUNTIF(ADV!Y:Y,A475)</f>
        <v>0</v>
      </c>
    </row>
    <row r="476" spans="1:6" x14ac:dyDescent="0.2">
      <c r="A476" t="s">
        <v>7541</v>
      </c>
      <c r="B476">
        <v>1030019</v>
      </c>
      <c r="C476" t="s">
        <v>6094</v>
      </c>
      <c r="D476" t="s">
        <v>6068</v>
      </c>
      <c r="E476">
        <f t="shared" si="7"/>
        <v>58</v>
      </c>
      <c r="F476">
        <f>+COUNTIF(ADV!Z:Z,A476)+COUNTIF(ADV!X:X,A476)+COUNTIF(ADV!Y:Y,A476)</f>
        <v>0</v>
      </c>
    </row>
    <row r="477" spans="1:6" x14ac:dyDescent="0.2">
      <c r="A477" t="s">
        <v>3814</v>
      </c>
      <c r="B477">
        <v>1030041</v>
      </c>
      <c r="C477" t="s">
        <v>6257</v>
      </c>
      <c r="D477" t="s">
        <v>6068</v>
      </c>
      <c r="E477">
        <f t="shared" si="7"/>
        <v>307</v>
      </c>
      <c r="F477">
        <f>+COUNTIF(ADV!Z:Z,A477)+COUNTIF(ADV!X:X,A477)+COUNTIF(ADV!Y:Y,A477)</f>
        <v>0</v>
      </c>
    </row>
    <row r="478" spans="1:6" x14ac:dyDescent="0.2">
      <c r="A478" t="s">
        <v>7542</v>
      </c>
      <c r="B478">
        <v>1020002</v>
      </c>
      <c r="C478" t="s">
        <v>7543</v>
      </c>
      <c r="D478" t="s">
        <v>6068</v>
      </c>
      <c r="E478">
        <f t="shared" si="7"/>
        <v>70</v>
      </c>
      <c r="F478">
        <f>+COUNTIF(ADV!Z:Z,A478)+COUNTIF(ADV!X:X,A478)+COUNTIF(ADV!Y:Y,A478)</f>
        <v>0</v>
      </c>
    </row>
    <row r="479" spans="1:6" x14ac:dyDescent="0.2">
      <c r="A479" t="s">
        <v>3399</v>
      </c>
      <c r="B479">
        <v>1020002</v>
      </c>
      <c r="C479" t="s">
        <v>6258</v>
      </c>
      <c r="D479" t="s">
        <v>6068</v>
      </c>
      <c r="E479">
        <f t="shared" si="7"/>
        <v>154</v>
      </c>
      <c r="F479">
        <f>+COUNTIF(ADV!Z:Z,A479)+COUNTIF(ADV!X:X,A479)+COUNTIF(ADV!Y:Y,A479)</f>
        <v>0</v>
      </c>
    </row>
    <row r="480" spans="1:6" x14ac:dyDescent="0.2">
      <c r="A480" t="s">
        <v>7544</v>
      </c>
      <c r="B480">
        <v>1010097</v>
      </c>
      <c r="C480" t="s">
        <v>7545</v>
      </c>
      <c r="D480" t="s">
        <v>6068</v>
      </c>
      <c r="E480">
        <f t="shared" si="7"/>
        <v>633</v>
      </c>
      <c r="F480">
        <f>+COUNTIF(ADV!Z:Z,A480)+COUNTIF(ADV!X:X,A480)+COUNTIF(ADV!Y:Y,A480)</f>
        <v>0</v>
      </c>
    </row>
    <row r="481" spans="1:6" x14ac:dyDescent="0.2">
      <c r="A481" t="s">
        <v>1988</v>
      </c>
      <c r="B481">
        <v>1010097</v>
      </c>
      <c r="C481" t="s">
        <v>6259</v>
      </c>
      <c r="D481" t="s">
        <v>6068</v>
      </c>
      <c r="E481">
        <f t="shared" si="7"/>
        <v>627</v>
      </c>
      <c r="F481">
        <f>+COUNTIF(ADV!Z:Z,A481)+COUNTIF(ADV!X:X,A481)+COUNTIF(ADV!Y:Y,A481)</f>
        <v>0</v>
      </c>
    </row>
    <row r="482" spans="1:6" x14ac:dyDescent="0.2">
      <c r="A482" t="s">
        <v>7546</v>
      </c>
      <c r="B482">
        <v>1010007</v>
      </c>
      <c r="C482" t="s">
        <v>7547</v>
      </c>
      <c r="D482" t="s">
        <v>6068</v>
      </c>
      <c r="E482">
        <f t="shared" si="7"/>
        <v>359</v>
      </c>
      <c r="F482">
        <f>+COUNTIF(ADV!Z:Z,A482)+COUNTIF(ADV!X:X,A482)+COUNTIF(ADV!Y:Y,A482)</f>
        <v>0</v>
      </c>
    </row>
    <row r="483" spans="1:6" x14ac:dyDescent="0.2">
      <c r="A483" t="s">
        <v>7548</v>
      </c>
      <c r="B483">
        <v>1010007</v>
      </c>
      <c r="C483" t="s">
        <v>7547</v>
      </c>
      <c r="D483" t="s">
        <v>6068</v>
      </c>
      <c r="E483">
        <f t="shared" si="7"/>
        <v>359</v>
      </c>
      <c r="F483">
        <f>+COUNTIF(ADV!Z:Z,A483)+COUNTIF(ADV!X:X,A483)+COUNTIF(ADV!Y:Y,A483)</f>
        <v>0</v>
      </c>
    </row>
    <row r="484" spans="1:6" x14ac:dyDescent="0.2">
      <c r="A484" t="s">
        <v>3634</v>
      </c>
      <c r="B484">
        <v>1010007</v>
      </c>
      <c r="C484" t="s">
        <v>6260</v>
      </c>
      <c r="D484" t="s">
        <v>6068</v>
      </c>
      <c r="E484">
        <f t="shared" si="7"/>
        <v>528</v>
      </c>
      <c r="F484">
        <f>+COUNTIF(ADV!Z:Z,A484)+COUNTIF(ADV!X:X,A484)+COUNTIF(ADV!Y:Y,A484)</f>
        <v>0</v>
      </c>
    </row>
    <row r="485" spans="1:6" x14ac:dyDescent="0.2">
      <c r="A485" t="s">
        <v>7549</v>
      </c>
      <c r="B485">
        <v>1010003</v>
      </c>
      <c r="C485" t="s">
        <v>7550</v>
      </c>
      <c r="D485" t="s">
        <v>6068</v>
      </c>
      <c r="E485">
        <f t="shared" si="7"/>
        <v>148</v>
      </c>
      <c r="F485">
        <f>+COUNTIF(ADV!Z:Z,A485)+COUNTIF(ADV!X:X,A485)+COUNTIF(ADV!Y:Y,A485)</f>
        <v>0</v>
      </c>
    </row>
    <row r="486" spans="1:6" x14ac:dyDescent="0.2">
      <c r="A486" t="s">
        <v>2053</v>
      </c>
      <c r="B486">
        <v>1010011</v>
      </c>
      <c r="C486" t="s">
        <v>6261</v>
      </c>
      <c r="D486" t="s">
        <v>6068</v>
      </c>
      <c r="E486">
        <f t="shared" si="7"/>
        <v>138</v>
      </c>
      <c r="F486">
        <f>+COUNTIF(ADV!Z:Z,A486)+COUNTIF(ADV!X:X,A486)+COUNTIF(ADV!Y:Y,A486)</f>
        <v>0</v>
      </c>
    </row>
    <row r="487" spans="1:6" x14ac:dyDescent="0.2">
      <c r="A487" t="s">
        <v>7551</v>
      </c>
      <c r="B487">
        <v>1010011</v>
      </c>
      <c r="C487" t="s">
        <v>7552</v>
      </c>
      <c r="D487" t="s">
        <v>6068</v>
      </c>
      <c r="E487">
        <f t="shared" si="7"/>
        <v>123</v>
      </c>
      <c r="F487">
        <f>+COUNTIF(ADV!Z:Z,A487)+COUNTIF(ADV!X:X,A487)+COUNTIF(ADV!Y:Y,A487)</f>
        <v>0</v>
      </c>
    </row>
    <row r="488" spans="1:6" x14ac:dyDescent="0.2">
      <c r="A488" t="s">
        <v>2703</v>
      </c>
      <c r="B488">
        <v>1010011</v>
      </c>
      <c r="C488" t="s">
        <v>6262</v>
      </c>
      <c r="D488" t="s">
        <v>6068</v>
      </c>
      <c r="E488">
        <f t="shared" si="7"/>
        <v>123</v>
      </c>
      <c r="F488">
        <f>+COUNTIF(ADV!Z:Z,A488)+COUNTIF(ADV!X:X,A488)+COUNTIF(ADV!Y:Y,A488)</f>
        <v>0</v>
      </c>
    </row>
    <row r="489" spans="1:6" x14ac:dyDescent="0.2">
      <c r="A489" t="s">
        <v>1365</v>
      </c>
      <c r="B489">
        <v>1010011</v>
      </c>
      <c r="C489" t="s">
        <v>6263</v>
      </c>
      <c r="D489" t="s">
        <v>6068</v>
      </c>
      <c r="E489">
        <f t="shared" si="7"/>
        <v>140</v>
      </c>
      <c r="F489">
        <f>+COUNTIF(ADV!Z:Z,A489)+COUNTIF(ADV!X:X,A489)+COUNTIF(ADV!Y:Y,A489)</f>
        <v>0</v>
      </c>
    </row>
    <row r="490" spans="1:6" x14ac:dyDescent="0.2">
      <c r="A490" t="s">
        <v>3372</v>
      </c>
      <c r="B490">
        <v>1010011</v>
      </c>
      <c r="C490" t="s">
        <v>6264</v>
      </c>
      <c r="D490" t="s">
        <v>6068</v>
      </c>
      <c r="E490">
        <f t="shared" si="7"/>
        <v>123</v>
      </c>
      <c r="F490">
        <f>+COUNTIF(ADV!Z:Z,A490)+COUNTIF(ADV!X:X,A490)+COUNTIF(ADV!Y:Y,A490)</f>
        <v>0</v>
      </c>
    </row>
    <row r="491" spans="1:6" x14ac:dyDescent="0.2">
      <c r="A491" t="s">
        <v>369</v>
      </c>
      <c r="B491">
        <v>1010011</v>
      </c>
      <c r="C491" t="s">
        <v>6265</v>
      </c>
      <c r="D491" t="s">
        <v>6068</v>
      </c>
      <c r="E491">
        <f t="shared" si="7"/>
        <v>123</v>
      </c>
      <c r="F491">
        <f>+COUNTIF(ADV!Z:Z,A491)+COUNTIF(ADV!X:X,A491)+COUNTIF(ADV!Y:Y,A491)</f>
        <v>0</v>
      </c>
    </row>
    <row r="492" spans="1:6" x14ac:dyDescent="0.2">
      <c r="A492" t="s">
        <v>1465</v>
      </c>
      <c r="B492">
        <v>1010011</v>
      </c>
      <c r="C492" t="s">
        <v>6266</v>
      </c>
      <c r="D492" t="s">
        <v>6068</v>
      </c>
      <c r="E492">
        <f t="shared" si="7"/>
        <v>123</v>
      </c>
      <c r="F492">
        <f>+COUNTIF(ADV!Z:Z,A492)+COUNTIF(ADV!X:X,A492)+COUNTIF(ADV!Y:Y,A492)</f>
        <v>0</v>
      </c>
    </row>
    <row r="493" spans="1:6" x14ac:dyDescent="0.2">
      <c r="A493" t="s">
        <v>7553</v>
      </c>
      <c r="B493">
        <v>1010151</v>
      </c>
      <c r="C493" t="s">
        <v>7554</v>
      </c>
      <c r="D493" t="s">
        <v>6068</v>
      </c>
      <c r="E493">
        <f t="shared" si="7"/>
        <v>1154</v>
      </c>
      <c r="F493">
        <f>+COUNTIF(ADV!Z:Z,A493)+COUNTIF(ADV!X:X,A493)+COUNTIF(ADV!Y:Y,A493)</f>
        <v>0</v>
      </c>
    </row>
    <row r="494" spans="1:6" x14ac:dyDescent="0.2">
      <c r="A494" t="s">
        <v>1820</v>
      </c>
      <c r="B494">
        <v>1010151</v>
      </c>
      <c r="C494" t="s">
        <v>6267</v>
      </c>
      <c r="D494" t="s">
        <v>6068</v>
      </c>
      <c r="E494">
        <f t="shared" si="7"/>
        <v>1154</v>
      </c>
      <c r="F494">
        <f>+COUNTIF(ADV!Z:Z,A494)+COUNTIF(ADV!X:X,A494)+COUNTIF(ADV!Y:Y,A494)</f>
        <v>0</v>
      </c>
    </row>
    <row r="495" spans="1:6" x14ac:dyDescent="0.2">
      <c r="A495" t="s">
        <v>7555</v>
      </c>
      <c r="B495">
        <v>1030023</v>
      </c>
      <c r="C495" t="s">
        <v>7174</v>
      </c>
      <c r="D495" t="s">
        <v>6068</v>
      </c>
      <c r="E495">
        <f t="shared" si="7"/>
        <v>50</v>
      </c>
      <c r="F495">
        <f>+COUNTIF(ADV!Z:Z,A495)+COUNTIF(ADV!X:X,A495)+COUNTIF(ADV!Y:Y,A495)</f>
        <v>0</v>
      </c>
    </row>
    <row r="496" spans="1:6" x14ac:dyDescent="0.2">
      <c r="A496" t="s">
        <v>7556</v>
      </c>
      <c r="B496">
        <v>1030023</v>
      </c>
      <c r="C496" t="s">
        <v>6143</v>
      </c>
      <c r="D496" t="s">
        <v>6068</v>
      </c>
      <c r="E496">
        <f t="shared" si="7"/>
        <v>51</v>
      </c>
      <c r="F496">
        <f>+COUNTIF(ADV!Z:Z,A496)+COUNTIF(ADV!X:X,A496)+COUNTIF(ADV!Y:Y,A496)</f>
        <v>0</v>
      </c>
    </row>
    <row r="497" spans="1:6" x14ac:dyDescent="0.2">
      <c r="A497" t="s">
        <v>1435</v>
      </c>
      <c r="B497">
        <v>1030039</v>
      </c>
      <c r="C497" t="s">
        <v>6268</v>
      </c>
      <c r="D497" t="s">
        <v>6068</v>
      </c>
      <c r="E497">
        <f t="shared" si="7"/>
        <v>319</v>
      </c>
      <c r="F497">
        <f>+COUNTIF(ADV!Z:Z,A497)+COUNTIF(ADV!X:X,A497)+COUNTIF(ADV!Y:Y,A497)</f>
        <v>0</v>
      </c>
    </row>
    <row r="498" spans="1:6" x14ac:dyDescent="0.2">
      <c r="A498" t="s">
        <v>7557</v>
      </c>
      <c r="B498">
        <v>1100002</v>
      </c>
      <c r="C498" t="s">
        <v>7558</v>
      </c>
      <c r="D498" t="s">
        <v>6068</v>
      </c>
      <c r="E498">
        <f t="shared" si="7"/>
        <v>48</v>
      </c>
      <c r="F498">
        <f>+COUNTIF(ADV!Z:Z,A498)+COUNTIF(ADV!X:X,A498)+COUNTIF(ADV!Y:Y,A498)</f>
        <v>0</v>
      </c>
    </row>
    <row r="499" spans="1:6" x14ac:dyDescent="0.2">
      <c r="A499" t="s">
        <v>7559</v>
      </c>
      <c r="B499">
        <v>1100002</v>
      </c>
      <c r="C499" t="s">
        <v>7560</v>
      </c>
      <c r="D499" t="s">
        <v>6068</v>
      </c>
      <c r="E499">
        <f t="shared" si="7"/>
        <v>48</v>
      </c>
      <c r="F499">
        <f>+COUNTIF(ADV!Z:Z,A499)+COUNTIF(ADV!X:X,A499)+COUNTIF(ADV!Y:Y,A499)</f>
        <v>0</v>
      </c>
    </row>
    <row r="500" spans="1:6" x14ac:dyDescent="0.2">
      <c r="A500" t="s">
        <v>7561</v>
      </c>
      <c r="B500">
        <v>1100002</v>
      </c>
      <c r="C500" t="s">
        <v>7562</v>
      </c>
      <c r="D500" t="s">
        <v>6068</v>
      </c>
      <c r="E500">
        <f t="shared" si="7"/>
        <v>48</v>
      </c>
      <c r="F500">
        <f>+COUNTIF(ADV!Z:Z,A500)+COUNTIF(ADV!X:X,A500)+COUNTIF(ADV!Y:Y,A500)</f>
        <v>0</v>
      </c>
    </row>
    <row r="501" spans="1:6" x14ac:dyDescent="0.2">
      <c r="A501" t="s">
        <v>7563</v>
      </c>
      <c r="B501">
        <v>1100002</v>
      </c>
      <c r="C501" t="s">
        <v>7564</v>
      </c>
      <c r="D501" t="s">
        <v>6068</v>
      </c>
      <c r="E501">
        <f t="shared" si="7"/>
        <v>46</v>
      </c>
      <c r="F501">
        <f>+COUNTIF(ADV!Z:Z,A501)+COUNTIF(ADV!X:X,A501)+COUNTIF(ADV!Y:Y,A501)</f>
        <v>0</v>
      </c>
    </row>
    <row r="502" spans="1:6" x14ac:dyDescent="0.2">
      <c r="A502" t="s">
        <v>7565</v>
      </c>
      <c r="B502">
        <v>1100002</v>
      </c>
      <c r="C502" t="s">
        <v>7566</v>
      </c>
      <c r="D502" t="s">
        <v>6068</v>
      </c>
      <c r="E502">
        <f t="shared" si="7"/>
        <v>46</v>
      </c>
      <c r="F502">
        <f>+COUNTIF(ADV!Z:Z,A502)+COUNTIF(ADV!X:X,A502)+COUNTIF(ADV!Y:Y,A502)</f>
        <v>0</v>
      </c>
    </row>
    <row r="503" spans="1:6" x14ac:dyDescent="0.2">
      <c r="A503" t="s">
        <v>7567</v>
      </c>
      <c r="B503">
        <v>1100002</v>
      </c>
      <c r="C503" t="s">
        <v>7568</v>
      </c>
      <c r="D503" t="s">
        <v>6068</v>
      </c>
      <c r="E503">
        <f t="shared" si="7"/>
        <v>46</v>
      </c>
      <c r="F503">
        <f>+COUNTIF(ADV!Z:Z,A503)+COUNTIF(ADV!X:X,A503)+COUNTIF(ADV!Y:Y,A503)</f>
        <v>0</v>
      </c>
    </row>
    <row r="504" spans="1:6" x14ac:dyDescent="0.2">
      <c r="A504" t="s">
        <v>7569</v>
      </c>
      <c r="B504">
        <v>1100002</v>
      </c>
      <c r="C504" t="s">
        <v>7570</v>
      </c>
      <c r="D504" t="s">
        <v>6068</v>
      </c>
      <c r="E504">
        <f t="shared" si="7"/>
        <v>46</v>
      </c>
      <c r="F504">
        <f>+COUNTIF(ADV!Z:Z,A504)+COUNTIF(ADV!X:X,A504)+COUNTIF(ADV!Y:Y,A504)</f>
        <v>0</v>
      </c>
    </row>
    <row r="505" spans="1:6" x14ac:dyDescent="0.2">
      <c r="A505" t="s">
        <v>7571</v>
      </c>
      <c r="B505">
        <v>1100002</v>
      </c>
      <c r="C505" t="s">
        <v>7572</v>
      </c>
      <c r="D505" t="s">
        <v>6068</v>
      </c>
      <c r="E505">
        <f t="shared" si="7"/>
        <v>46</v>
      </c>
      <c r="F505">
        <f>+COUNTIF(ADV!Z:Z,A505)+COUNTIF(ADV!X:X,A505)+COUNTIF(ADV!Y:Y,A505)</f>
        <v>0</v>
      </c>
    </row>
    <row r="506" spans="1:6" x14ac:dyDescent="0.2">
      <c r="A506" t="s">
        <v>7573</v>
      </c>
      <c r="B506">
        <v>1100002</v>
      </c>
      <c r="C506" t="s">
        <v>7574</v>
      </c>
      <c r="D506" t="s">
        <v>6068</v>
      </c>
      <c r="E506">
        <f t="shared" si="7"/>
        <v>46</v>
      </c>
      <c r="F506">
        <f>+COUNTIF(ADV!Z:Z,A506)+COUNTIF(ADV!X:X,A506)+COUNTIF(ADV!Y:Y,A506)</f>
        <v>0</v>
      </c>
    </row>
    <row r="507" spans="1:6" x14ac:dyDescent="0.2">
      <c r="A507" t="s">
        <v>7575</v>
      </c>
      <c r="B507">
        <v>1100002</v>
      </c>
      <c r="C507" t="s">
        <v>7576</v>
      </c>
      <c r="D507" t="s">
        <v>6068</v>
      </c>
      <c r="E507">
        <f t="shared" si="7"/>
        <v>51</v>
      </c>
      <c r="F507">
        <f>+COUNTIF(ADV!Z:Z,A507)+COUNTIF(ADV!X:X,A507)+COUNTIF(ADV!Y:Y,A507)</f>
        <v>0</v>
      </c>
    </row>
    <row r="508" spans="1:6" x14ac:dyDescent="0.2">
      <c r="A508" t="s">
        <v>7577</v>
      </c>
      <c r="B508">
        <v>1100002</v>
      </c>
      <c r="C508" t="s">
        <v>7578</v>
      </c>
      <c r="D508" t="s">
        <v>6068</v>
      </c>
      <c r="E508">
        <f t="shared" si="7"/>
        <v>51</v>
      </c>
      <c r="F508">
        <f>+COUNTIF(ADV!Z:Z,A508)+COUNTIF(ADV!X:X,A508)+COUNTIF(ADV!Y:Y,A508)</f>
        <v>0</v>
      </c>
    </row>
    <row r="509" spans="1:6" x14ac:dyDescent="0.2">
      <c r="A509" t="s">
        <v>7579</v>
      </c>
      <c r="B509">
        <v>1100002</v>
      </c>
      <c r="C509" t="s">
        <v>7580</v>
      </c>
      <c r="D509" t="s">
        <v>6068</v>
      </c>
      <c r="E509">
        <f t="shared" si="7"/>
        <v>51</v>
      </c>
      <c r="F509">
        <f>+COUNTIF(ADV!Z:Z,A509)+COUNTIF(ADV!X:X,A509)+COUNTIF(ADV!Y:Y,A509)</f>
        <v>0</v>
      </c>
    </row>
    <row r="510" spans="1:6" x14ac:dyDescent="0.2">
      <c r="A510" t="s">
        <v>7581</v>
      </c>
      <c r="B510">
        <v>1100002</v>
      </c>
      <c r="C510" t="s">
        <v>7582</v>
      </c>
      <c r="D510" t="s">
        <v>6068</v>
      </c>
      <c r="E510">
        <f t="shared" si="7"/>
        <v>46</v>
      </c>
      <c r="F510">
        <f>+COUNTIF(ADV!Z:Z,A510)+COUNTIF(ADV!X:X,A510)+COUNTIF(ADV!Y:Y,A510)</f>
        <v>0</v>
      </c>
    </row>
    <row r="511" spans="1:6" x14ac:dyDescent="0.2">
      <c r="A511" t="s">
        <v>7583</v>
      </c>
      <c r="B511">
        <v>1100002</v>
      </c>
      <c r="C511" t="s">
        <v>7584</v>
      </c>
      <c r="D511" t="s">
        <v>6068</v>
      </c>
      <c r="E511">
        <f t="shared" si="7"/>
        <v>46</v>
      </c>
      <c r="F511">
        <f>+COUNTIF(ADV!Z:Z,A511)+COUNTIF(ADV!X:X,A511)+COUNTIF(ADV!Y:Y,A511)</f>
        <v>0</v>
      </c>
    </row>
    <row r="512" spans="1:6" x14ac:dyDescent="0.2">
      <c r="A512" t="s">
        <v>7585</v>
      </c>
      <c r="B512">
        <v>1100002</v>
      </c>
      <c r="C512" t="s">
        <v>7586</v>
      </c>
      <c r="D512" t="s">
        <v>6068</v>
      </c>
      <c r="E512">
        <f t="shared" si="7"/>
        <v>46</v>
      </c>
      <c r="F512">
        <f>+COUNTIF(ADV!Z:Z,A512)+COUNTIF(ADV!X:X,A512)+COUNTIF(ADV!Y:Y,A512)</f>
        <v>0</v>
      </c>
    </row>
    <row r="513" spans="1:6" x14ac:dyDescent="0.2">
      <c r="A513" t="s">
        <v>7587</v>
      </c>
      <c r="B513">
        <v>1010011</v>
      </c>
      <c r="C513" t="s">
        <v>7588</v>
      </c>
      <c r="D513" t="s">
        <v>6068</v>
      </c>
      <c r="E513">
        <f t="shared" si="7"/>
        <v>131</v>
      </c>
      <c r="F513">
        <f>+COUNTIF(ADV!Z:Z,A513)+COUNTIF(ADV!X:X,A513)+COUNTIF(ADV!Y:Y,A513)</f>
        <v>0</v>
      </c>
    </row>
    <row r="514" spans="1:6" x14ac:dyDescent="0.2">
      <c r="A514" t="s">
        <v>4109</v>
      </c>
      <c r="B514">
        <v>1010011</v>
      </c>
      <c r="C514" t="s">
        <v>6269</v>
      </c>
      <c r="D514" t="s">
        <v>6068</v>
      </c>
      <c r="E514">
        <f t="shared" ref="E514:E577" si="8">+LEN(C514)</f>
        <v>90</v>
      </c>
      <c r="F514">
        <f>+COUNTIF(ADV!Z:Z,A514)+COUNTIF(ADV!X:X,A514)+COUNTIF(ADV!Y:Y,A514)</f>
        <v>0</v>
      </c>
    </row>
    <row r="515" spans="1:6" x14ac:dyDescent="0.2">
      <c r="A515" t="s">
        <v>7589</v>
      </c>
      <c r="B515">
        <v>1020006</v>
      </c>
      <c r="C515" t="s">
        <v>7590</v>
      </c>
      <c r="D515" t="s">
        <v>6068</v>
      </c>
      <c r="E515">
        <f t="shared" si="8"/>
        <v>33</v>
      </c>
      <c r="F515">
        <f>+COUNTIF(ADV!Z:Z,A515)+COUNTIF(ADV!X:X,A515)+COUNTIF(ADV!Y:Y,A515)</f>
        <v>0</v>
      </c>
    </row>
    <row r="516" spans="1:6" x14ac:dyDescent="0.2">
      <c r="A516" t="s">
        <v>7591</v>
      </c>
      <c r="B516">
        <v>1020006</v>
      </c>
      <c r="C516" t="s">
        <v>7592</v>
      </c>
      <c r="D516" t="s">
        <v>6068</v>
      </c>
      <c r="E516">
        <f t="shared" si="8"/>
        <v>33</v>
      </c>
      <c r="F516">
        <f>+COUNTIF(ADV!Z:Z,A516)+COUNTIF(ADV!X:X,A516)+COUNTIF(ADV!Y:Y,A516)</f>
        <v>0</v>
      </c>
    </row>
    <row r="517" spans="1:6" x14ac:dyDescent="0.2">
      <c r="A517" t="s">
        <v>7593</v>
      </c>
      <c r="B517">
        <v>1020006</v>
      </c>
      <c r="C517" t="s">
        <v>7594</v>
      </c>
      <c r="D517" t="s">
        <v>6068</v>
      </c>
      <c r="E517">
        <f t="shared" si="8"/>
        <v>33</v>
      </c>
      <c r="F517">
        <f>+COUNTIF(ADV!Z:Z,A517)+COUNTIF(ADV!X:X,A517)+COUNTIF(ADV!Y:Y,A517)</f>
        <v>0</v>
      </c>
    </row>
    <row r="518" spans="1:6" x14ac:dyDescent="0.2">
      <c r="A518" t="s">
        <v>7595</v>
      </c>
      <c r="B518">
        <v>1020006</v>
      </c>
      <c r="C518" t="s">
        <v>7596</v>
      </c>
      <c r="D518" t="s">
        <v>6068</v>
      </c>
      <c r="E518">
        <f t="shared" si="8"/>
        <v>33</v>
      </c>
      <c r="F518">
        <f>+COUNTIF(ADV!Z:Z,A518)+COUNTIF(ADV!X:X,A518)+COUNTIF(ADV!Y:Y,A518)</f>
        <v>0</v>
      </c>
    </row>
    <row r="519" spans="1:6" x14ac:dyDescent="0.2">
      <c r="A519" t="s">
        <v>7597</v>
      </c>
      <c r="B519">
        <v>1020006</v>
      </c>
      <c r="C519" t="s">
        <v>7598</v>
      </c>
      <c r="D519" t="s">
        <v>6068</v>
      </c>
      <c r="E519">
        <f t="shared" si="8"/>
        <v>33</v>
      </c>
      <c r="F519">
        <f>+COUNTIF(ADV!Z:Z,A519)+COUNTIF(ADV!X:X,A519)+COUNTIF(ADV!Y:Y,A519)</f>
        <v>0</v>
      </c>
    </row>
    <row r="520" spans="1:6" x14ac:dyDescent="0.2">
      <c r="A520" t="s">
        <v>7599</v>
      </c>
      <c r="B520">
        <v>1020006</v>
      </c>
      <c r="C520" t="s">
        <v>7600</v>
      </c>
      <c r="D520" t="s">
        <v>6068</v>
      </c>
      <c r="E520">
        <f t="shared" si="8"/>
        <v>33</v>
      </c>
      <c r="F520">
        <f>+COUNTIF(ADV!Z:Z,A520)+COUNTIF(ADV!X:X,A520)+COUNTIF(ADV!Y:Y,A520)</f>
        <v>0</v>
      </c>
    </row>
    <row r="521" spans="1:6" x14ac:dyDescent="0.2">
      <c r="A521" t="s">
        <v>7601</v>
      </c>
      <c r="B521">
        <v>1020006</v>
      </c>
      <c r="C521" t="s">
        <v>7602</v>
      </c>
      <c r="D521" t="s">
        <v>6068</v>
      </c>
      <c r="E521">
        <f t="shared" si="8"/>
        <v>33</v>
      </c>
      <c r="F521">
        <f>+COUNTIF(ADV!Z:Z,A521)+COUNTIF(ADV!X:X,A521)+COUNTIF(ADV!Y:Y,A521)</f>
        <v>0</v>
      </c>
    </row>
    <row r="522" spans="1:6" x14ac:dyDescent="0.2">
      <c r="A522" t="s">
        <v>7603</v>
      </c>
      <c r="B522">
        <v>1020006</v>
      </c>
      <c r="C522" t="s">
        <v>7604</v>
      </c>
      <c r="D522" t="s">
        <v>6068</v>
      </c>
      <c r="E522">
        <f t="shared" si="8"/>
        <v>33</v>
      </c>
      <c r="F522">
        <f>+COUNTIF(ADV!Z:Z,A522)+COUNTIF(ADV!X:X,A522)+COUNTIF(ADV!Y:Y,A522)</f>
        <v>0</v>
      </c>
    </row>
    <row r="523" spans="1:6" x14ac:dyDescent="0.2">
      <c r="A523" t="s">
        <v>7605</v>
      </c>
      <c r="B523">
        <v>1020001</v>
      </c>
      <c r="C523" t="s">
        <v>7606</v>
      </c>
      <c r="D523" t="s">
        <v>6068</v>
      </c>
      <c r="E523">
        <f t="shared" si="8"/>
        <v>19</v>
      </c>
      <c r="F523">
        <f>+COUNTIF(ADV!Z:Z,A523)+COUNTIF(ADV!X:X,A523)+COUNTIF(ADV!Y:Y,A523)</f>
        <v>0</v>
      </c>
    </row>
    <row r="524" spans="1:6" x14ac:dyDescent="0.2">
      <c r="A524" t="s">
        <v>7607</v>
      </c>
      <c r="B524">
        <v>1020001</v>
      </c>
      <c r="C524" t="s">
        <v>7608</v>
      </c>
      <c r="D524" t="s">
        <v>6068</v>
      </c>
      <c r="E524">
        <f t="shared" si="8"/>
        <v>19</v>
      </c>
      <c r="F524">
        <f>+COUNTIF(ADV!Z:Z,A524)+COUNTIF(ADV!X:X,A524)+COUNTIF(ADV!Y:Y,A524)</f>
        <v>0</v>
      </c>
    </row>
    <row r="525" spans="1:6" x14ac:dyDescent="0.2">
      <c r="A525" t="s">
        <v>7609</v>
      </c>
      <c r="B525">
        <v>1020001</v>
      </c>
      <c r="C525" t="s">
        <v>7610</v>
      </c>
      <c r="D525" t="s">
        <v>6068</v>
      </c>
      <c r="E525">
        <f t="shared" si="8"/>
        <v>19</v>
      </c>
      <c r="F525">
        <f>+COUNTIF(ADV!Z:Z,A525)+COUNTIF(ADV!X:X,A525)+COUNTIF(ADV!Y:Y,A525)</f>
        <v>0</v>
      </c>
    </row>
    <row r="526" spans="1:6" x14ac:dyDescent="0.2">
      <c r="A526" t="s">
        <v>7611</v>
      </c>
      <c r="B526">
        <v>1020003</v>
      </c>
      <c r="C526" t="s">
        <v>7612</v>
      </c>
      <c r="D526" t="s">
        <v>6068</v>
      </c>
      <c r="E526">
        <f t="shared" si="8"/>
        <v>48</v>
      </c>
      <c r="F526">
        <f>+COUNTIF(ADV!Z:Z,A526)+COUNTIF(ADV!X:X,A526)+COUNTIF(ADV!Y:Y,A526)</f>
        <v>0</v>
      </c>
    </row>
    <row r="527" spans="1:6" x14ac:dyDescent="0.2">
      <c r="A527" t="s">
        <v>7613</v>
      </c>
      <c r="B527">
        <v>1020009</v>
      </c>
      <c r="C527" t="s">
        <v>7614</v>
      </c>
      <c r="D527" t="s">
        <v>6068</v>
      </c>
      <c r="E527">
        <f t="shared" si="8"/>
        <v>71</v>
      </c>
      <c r="F527">
        <f>+COUNTIF(ADV!Z:Z,A527)+COUNTIF(ADV!X:X,A527)+COUNTIF(ADV!Y:Y,A527)</f>
        <v>0</v>
      </c>
    </row>
    <row r="528" spans="1:6" x14ac:dyDescent="0.2">
      <c r="A528" t="s">
        <v>7615</v>
      </c>
      <c r="B528">
        <v>1020014</v>
      </c>
      <c r="C528" t="s">
        <v>7616</v>
      </c>
      <c r="D528" t="s">
        <v>6068</v>
      </c>
      <c r="E528">
        <f t="shared" si="8"/>
        <v>72</v>
      </c>
      <c r="F528">
        <f>+COUNTIF(ADV!Z:Z,A528)+COUNTIF(ADV!X:X,A528)+COUNTIF(ADV!Y:Y,A528)</f>
        <v>0</v>
      </c>
    </row>
    <row r="529" spans="1:6" x14ac:dyDescent="0.2">
      <c r="A529" t="s">
        <v>1634</v>
      </c>
      <c r="B529">
        <v>1020014</v>
      </c>
      <c r="C529" t="s">
        <v>6270</v>
      </c>
      <c r="D529" t="s">
        <v>6068</v>
      </c>
      <c r="E529">
        <f t="shared" si="8"/>
        <v>72</v>
      </c>
      <c r="F529">
        <f>+COUNTIF(ADV!Z:Z,A529)+COUNTIF(ADV!X:X,A529)+COUNTIF(ADV!Y:Y,A529)</f>
        <v>0</v>
      </c>
    </row>
    <row r="530" spans="1:6" x14ac:dyDescent="0.2">
      <c r="A530" t="s">
        <v>7617</v>
      </c>
      <c r="B530">
        <v>1020011</v>
      </c>
      <c r="C530" t="s">
        <v>7618</v>
      </c>
      <c r="D530" t="s">
        <v>6068</v>
      </c>
      <c r="E530">
        <f t="shared" si="8"/>
        <v>76</v>
      </c>
      <c r="F530">
        <f>+COUNTIF(ADV!Z:Z,A530)+COUNTIF(ADV!X:X,A530)+COUNTIF(ADV!Y:Y,A530)</f>
        <v>0</v>
      </c>
    </row>
    <row r="531" spans="1:6" x14ac:dyDescent="0.2">
      <c r="A531" t="s">
        <v>2068</v>
      </c>
      <c r="B531">
        <v>1020011</v>
      </c>
      <c r="C531" t="s">
        <v>6271</v>
      </c>
      <c r="D531" t="s">
        <v>6068</v>
      </c>
      <c r="E531">
        <f t="shared" si="8"/>
        <v>76</v>
      </c>
      <c r="F531">
        <f>+COUNTIF(ADV!Z:Z,A531)+COUNTIF(ADV!X:X,A531)+COUNTIF(ADV!Y:Y,A531)</f>
        <v>0</v>
      </c>
    </row>
    <row r="532" spans="1:6" x14ac:dyDescent="0.2">
      <c r="A532" t="s">
        <v>7619</v>
      </c>
      <c r="B532">
        <v>1020011</v>
      </c>
      <c r="C532" t="s">
        <v>7620</v>
      </c>
      <c r="D532" t="s">
        <v>6068</v>
      </c>
      <c r="E532">
        <f t="shared" si="8"/>
        <v>76</v>
      </c>
      <c r="F532">
        <f>+COUNTIF(ADV!Z:Z,A532)+COUNTIF(ADV!X:X,A532)+COUNTIF(ADV!Y:Y,A532)</f>
        <v>0</v>
      </c>
    </row>
    <row r="533" spans="1:6" x14ac:dyDescent="0.2">
      <c r="A533" t="s">
        <v>7621</v>
      </c>
      <c r="B533">
        <v>1020011</v>
      </c>
      <c r="C533" t="s">
        <v>7622</v>
      </c>
      <c r="D533" t="s">
        <v>6068</v>
      </c>
      <c r="E533">
        <f t="shared" si="8"/>
        <v>76</v>
      </c>
      <c r="F533">
        <f>+COUNTIF(ADV!Z:Z,A533)+COUNTIF(ADV!X:X,A533)+COUNTIF(ADV!Y:Y,A533)</f>
        <v>0</v>
      </c>
    </row>
    <row r="534" spans="1:6" x14ac:dyDescent="0.2">
      <c r="A534" t="s">
        <v>3203</v>
      </c>
      <c r="B534">
        <v>1020010</v>
      </c>
      <c r="C534" t="s">
        <v>6272</v>
      </c>
      <c r="D534" t="s">
        <v>6068</v>
      </c>
      <c r="E534">
        <f t="shared" si="8"/>
        <v>55</v>
      </c>
      <c r="F534">
        <f>+COUNTIF(ADV!Z:Z,A534)+COUNTIF(ADV!X:X,A534)+COUNTIF(ADV!Y:Y,A534)</f>
        <v>0</v>
      </c>
    </row>
    <row r="535" spans="1:6" x14ac:dyDescent="0.2">
      <c r="A535" t="s">
        <v>3928</v>
      </c>
      <c r="B535">
        <v>1020010</v>
      </c>
      <c r="C535" t="s">
        <v>6273</v>
      </c>
      <c r="D535" t="s">
        <v>6068</v>
      </c>
      <c r="E535">
        <f t="shared" si="8"/>
        <v>55</v>
      </c>
      <c r="F535">
        <f>+COUNTIF(ADV!Z:Z,A535)+COUNTIF(ADV!X:X,A535)+COUNTIF(ADV!Y:Y,A535)</f>
        <v>0</v>
      </c>
    </row>
    <row r="536" spans="1:6" x14ac:dyDescent="0.2">
      <c r="A536" t="s">
        <v>7623</v>
      </c>
      <c r="B536">
        <v>1020010</v>
      </c>
      <c r="C536" t="s">
        <v>7624</v>
      </c>
      <c r="D536" t="s">
        <v>6068</v>
      </c>
      <c r="E536">
        <f t="shared" si="8"/>
        <v>54</v>
      </c>
      <c r="F536">
        <f>+COUNTIF(ADV!Z:Z,A536)+COUNTIF(ADV!X:X,A536)+COUNTIF(ADV!Y:Y,A536)</f>
        <v>0</v>
      </c>
    </row>
    <row r="537" spans="1:6" x14ac:dyDescent="0.2">
      <c r="A537" t="s">
        <v>734</v>
      </c>
      <c r="B537">
        <v>1020010</v>
      </c>
      <c r="C537" t="s">
        <v>6274</v>
      </c>
      <c r="D537" t="s">
        <v>6068</v>
      </c>
      <c r="E537">
        <f t="shared" si="8"/>
        <v>54</v>
      </c>
      <c r="F537">
        <f>+COUNTIF(ADV!Z:Z,A537)+COUNTIF(ADV!X:X,A537)+COUNTIF(ADV!Y:Y,A537)</f>
        <v>0</v>
      </c>
    </row>
    <row r="538" spans="1:6" x14ac:dyDescent="0.2">
      <c r="A538" t="s">
        <v>7625</v>
      </c>
      <c r="B538">
        <v>1020010</v>
      </c>
      <c r="C538" t="s">
        <v>7626</v>
      </c>
      <c r="D538" t="s">
        <v>6068</v>
      </c>
      <c r="E538">
        <f t="shared" si="8"/>
        <v>54</v>
      </c>
      <c r="F538">
        <f>+COUNTIF(ADV!Z:Z,A538)+COUNTIF(ADV!X:X,A538)+COUNTIF(ADV!Y:Y,A538)</f>
        <v>0</v>
      </c>
    </row>
    <row r="539" spans="1:6" x14ac:dyDescent="0.2">
      <c r="A539" t="s">
        <v>2475</v>
      </c>
      <c r="B539">
        <v>1020003</v>
      </c>
      <c r="C539" t="s">
        <v>6275</v>
      </c>
      <c r="D539" t="s">
        <v>6068</v>
      </c>
      <c r="E539">
        <f t="shared" si="8"/>
        <v>49</v>
      </c>
      <c r="F539">
        <f>+COUNTIF(ADV!Z:Z,A539)+COUNTIF(ADV!X:X,A539)+COUNTIF(ADV!Y:Y,A539)</f>
        <v>0</v>
      </c>
    </row>
    <row r="540" spans="1:6" x14ac:dyDescent="0.2">
      <c r="A540" t="s">
        <v>1124</v>
      </c>
      <c r="B540">
        <v>1020003</v>
      </c>
      <c r="C540" t="s">
        <v>6276</v>
      </c>
      <c r="D540" t="s">
        <v>6068</v>
      </c>
      <c r="E540">
        <f t="shared" si="8"/>
        <v>49</v>
      </c>
      <c r="F540">
        <f>+COUNTIF(ADV!Z:Z,A540)+COUNTIF(ADV!X:X,A540)+COUNTIF(ADV!Y:Y,A540)</f>
        <v>0</v>
      </c>
    </row>
    <row r="541" spans="1:6" x14ac:dyDescent="0.2">
      <c r="A541" t="s">
        <v>4499</v>
      </c>
      <c r="B541">
        <v>1020003</v>
      </c>
      <c r="C541" t="s">
        <v>6277</v>
      </c>
      <c r="D541" t="s">
        <v>6068</v>
      </c>
      <c r="E541">
        <f t="shared" si="8"/>
        <v>49</v>
      </c>
      <c r="F541">
        <f>+COUNTIF(ADV!Z:Z,A541)+COUNTIF(ADV!X:X,A541)+COUNTIF(ADV!Y:Y,A541)</f>
        <v>0</v>
      </c>
    </row>
    <row r="542" spans="1:6" x14ac:dyDescent="0.2">
      <c r="A542" t="s">
        <v>7627</v>
      </c>
      <c r="B542">
        <v>1020003</v>
      </c>
      <c r="C542" t="s">
        <v>7628</v>
      </c>
      <c r="D542" t="s">
        <v>6068</v>
      </c>
      <c r="E542">
        <f t="shared" si="8"/>
        <v>48</v>
      </c>
      <c r="F542">
        <f>+COUNTIF(ADV!Z:Z,A542)+COUNTIF(ADV!X:X,A542)+COUNTIF(ADV!Y:Y,A542)</f>
        <v>0</v>
      </c>
    </row>
    <row r="543" spans="1:6" x14ac:dyDescent="0.2">
      <c r="A543" t="s">
        <v>7629</v>
      </c>
      <c r="B543">
        <v>1020003</v>
      </c>
      <c r="C543" t="s">
        <v>7630</v>
      </c>
      <c r="D543" t="s">
        <v>6068</v>
      </c>
      <c r="E543">
        <f t="shared" si="8"/>
        <v>48</v>
      </c>
      <c r="F543">
        <f>+COUNTIF(ADV!Z:Z,A543)+COUNTIF(ADV!X:X,A543)+COUNTIF(ADV!Y:Y,A543)</f>
        <v>0</v>
      </c>
    </row>
    <row r="544" spans="1:6" x14ac:dyDescent="0.2">
      <c r="A544" t="s">
        <v>3272</v>
      </c>
      <c r="B544">
        <v>1020003</v>
      </c>
      <c r="C544" t="s">
        <v>6278</v>
      </c>
      <c r="D544" t="s">
        <v>6068</v>
      </c>
      <c r="E544">
        <f t="shared" si="8"/>
        <v>48</v>
      </c>
      <c r="F544">
        <f>+COUNTIF(ADV!Z:Z,A544)+COUNTIF(ADV!X:X,A544)+COUNTIF(ADV!Y:Y,A544)</f>
        <v>0</v>
      </c>
    </row>
    <row r="545" spans="1:6" x14ac:dyDescent="0.2">
      <c r="A545" t="s">
        <v>7631</v>
      </c>
      <c r="B545">
        <v>1010136</v>
      </c>
      <c r="C545" t="s">
        <v>7632</v>
      </c>
      <c r="D545" t="s">
        <v>6068</v>
      </c>
      <c r="E545">
        <f t="shared" si="8"/>
        <v>99</v>
      </c>
      <c r="F545">
        <f>+COUNTIF(ADV!Z:Z,A545)+COUNTIF(ADV!X:X,A545)+COUNTIF(ADV!Y:Y,A545)</f>
        <v>0</v>
      </c>
    </row>
    <row r="546" spans="1:6" x14ac:dyDescent="0.2">
      <c r="A546" t="s">
        <v>3522</v>
      </c>
      <c r="B546">
        <v>1010136</v>
      </c>
      <c r="C546" t="s">
        <v>6279</v>
      </c>
      <c r="D546" t="s">
        <v>6068</v>
      </c>
      <c r="E546">
        <f t="shared" si="8"/>
        <v>99</v>
      </c>
      <c r="F546">
        <f>+COUNTIF(ADV!Z:Z,A546)+COUNTIF(ADV!X:X,A546)+COUNTIF(ADV!Y:Y,A546)</f>
        <v>0</v>
      </c>
    </row>
    <row r="547" spans="1:6" x14ac:dyDescent="0.2">
      <c r="A547" t="s">
        <v>7633</v>
      </c>
      <c r="B547">
        <v>1020009</v>
      </c>
      <c r="C547" t="s">
        <v>7634</v>
      </c>
      <c r="D547" t="s">
        <v>6068</v>
      </c>
      <c r="E547">
        <f t="shared" si="8"/>
        <v>72</v>
      </c>
      <c r="F547">
        <f>+COUNTIF(ADV!Z:Z,A547)+COUNTIF(ADV!X:X,A547)+COUNTIF(ADV!Y:Y,A547)</f>
        <v>0</v>
      </c>
    </row>
    <row r="548" spans="1:6" x14ac:dyDescent="0.2">
      <c r="A548" t="s">
        <v>7635</v>
      </c>
      <c r="B548">
        <v>1020009</v>
      </c>
      <c r="C548" t="s">
        <v>7636</v>
      </c>
      <c r="D548" t="s">
        <v>6068</v>
      </c>
      <c r="E548">
        <f t="shared" si="8"/>
        <v>72</v>
      </c>
      <c r="F548">
        <f>+COUNTIF(ADV!Z:Z,A548)+COUNTIF(ADV!X:X,A548)+COUNTIF(ADV!Y:Y,A548)</f>
        <v>0</v>
      </c>
    </row>
    <row r="549" spans="1:6" x14ac:dyDescent="0.2">
      <c r="A549" t="s">
        <v>1850</v>
      </c>
      <c r="B549">
        <v>1020009</v>
      </c>
      <c r="C549" t="s">
        <v>6280</v>
      </c>
      <c r="D549" t="s">
        <v>6068</v>
      </c>
      <c r="E549">
        <f t="shared" si="8"/>
        <v>72</v>
      </c>
      <c r="F549">
        <f>+COUNTIF(ADV!Z:Z,A549)+COUNTIF(ADV!X:X,A549)+COUNTIF(ADV!Y:Y,A549)</f>
        <v>0</v>
      </c>
    </row>
    <row r="550" spans="1:6" x14ac:dyDescent="0.2">
      <c r="A550" t="s">
        <v>2746</v>
      </c>
      <c r="B550">
        <v>1020009</v>
      </c>
      <c r="C550" t="s">
        <v>6281</v>
      </c>
      <c r="D550" t="s">
        <v>6068</v>
      </c>
      <c r="E550">
        <f t="shared" si="8"/>
        <v>72</v>
      </c>
      <c r="F550">
        <f>+COUNTIF(ADV!Z:Z,A550)+COUNTIF(ADV!X:X,A550)+COUNTIF(ADV!Y:Y,A550)</f>
        <v>0</v>
      </c>
    </row>
    <row r="551" spans="1:6" x14ac:dyDescent="0.2">
      <c r="A551" t="s">
        <v>7637</v>
      </c>
      <c r="B551">
        <v>1020009</v>
      </c>
      <c r="C551" t="s">
        <v>7638</v>
      </c>
      <c r="D551" t="s">
        <v>6068</v>
      </c>
      <c r="E551">
        <f t="shared" si="8"/>
        <v>71</v>
      </c>
      <c r="F551">
        <f>+COUNTIF(ADV!Z:Z,A551)+COUNTIF(ADV!X:X,A551)+COUNTIF(ADV!Y:Y,A551)</f>
        <v>0</v>
      </c>
    </row>
    <row r="552" spans="1:6" x14ac:dyDescent="0.2">
      <c r="A552" t="s">
        <v>1420</v>
      </c>
      <c r="B552">
        <v>1010139</v>
      </c>
      <c r="C552" t="s">
        <v>6282</v>
      </c>
      <c r="D552" t="s">
        <v>6068</v>
      </c>
      <c r="E552">
        <f t="shared" si="8"/>
        <v>95</v>
      </c>
      <c r="F552">
        <f>+COUNTIF(ADV!Z:Z,A552)+COUNTIF(ADV!X:X,A552)+COUNTIF(ADV!Y:Y,A552)</f>
        <v>0</v>
      </c>
    </row>
    <row r="553" spans="1:6" x14ac:dyDescent="0.2">
      <c r="A553" t="s">
        <v>7639</v>
      </c>
      <c r="B553">
        <v>1010002</v>
      </c>
      <c r="C553" t="s">
        <v>7640</v>
      </c>
      <c r="D553" t="s">
        <v>6068</v>
      </c>
      <c r="E553">
        <f t="shared" si="8"/>
        <v>61</v>
      </c>
      <c r="F553">
        <f>+COUNTIF(ADV!Z:Z,A553)+COUNTIF(ADV!X:X,A553)+COUNTIF(ADV!Y:Y,A553)</f>
        <v>0</v>
      </c>
    </row>
    <row r="554" spans="1:6" x14ac:dyDescent="0.2">
      <c r="A554" t="s">
        <v>7641</v>
      </c>
      <c r="B554">
        <v>1010002</v>
      </c>
      <c r="C554" t="s">
        <v>7642</v>
      </c>
      <c r="D554" t="s">
        <v>6068</v>
      </c>
      <c r="E554">
        <f t="shared" si="8"/>
        <v>61</v>
      </c>
      <c r="F554">
        <f>+COUNTIF(ADV!Z:Z,A554)+COUNTIF(ADV!X:X,A554)+COUNTIF(ADV!Y:Y,A554)</f>
        <v>0</v>
      </c>
    </row>
    <row r="555" spans="1:6" x14ac:dyDescent="0.2">
      <c r="A555" t="s">
        <v>7643</v>
      </c>
      <c r="B555">
        <v>1010002</v>
      </c>
      <c r="C555" t="s">
        <v>7644</v>
      </c>
      <c r="D555" t="s">
        <v>6068</v>
      </c>
      <c r="E555">
        <f t="shared" si="8"/>
        <v>61</v>
      </c>
      <c r="F555">
        <f>+COUNTIF(ADV!Z:Z,A555)+COUNTIF(ADV!X:X,A555)+COUNTIF(ADV!Y:Y,A555)</f>
        <v>0</v>
      </c>
    </row>
    <row r="556" spans="1:6" x14ac:dyDescent="0.2">
      <c r="A556" t="s">
        <v>3007</v>
      </c>
      <c r="B556">
        <v>1010002</v>
      </c>
      <c r="C556" t="s">
        <v>6283</v>
      </c>
      <c r="D556" t="s">
        <v>6068</v>
      </c>
      <c r="E556">
        <f t="shared" si="8"/>
        <v>61</v>
      </c>
      <c r="F556">
        <f>+COUNTIF(ADV!Z:Z,A556)+COUNTIF(ADV!X:X,A556)+COUNTIF(ADV!Y:Y,A556)</f>
        <v>0</v>
      </c>
    </row>
    <row r="557" spans="1:6" x14ac:dyDescent="0.2">
      <c r="A557" t="s">
        <v>1044</v>
      </c>
      <c r="B557">
        <v>1010002</v>
      </c>
      <c r="C557" t="s">
        <v>6284</v>
      </c>
      <c r="D557" t="s">
        <v>6068</v>
      </c>
      <c r="E557">
        <f t="shared" si="8"/>
        <v>61</v>
      </c>
      <c r="F557">
        <f>+COUNTIF(ADV!Z:Z,A557)+COUNTIF(ADV!X:X,A557)+COUNTIF(ADV!Y:Y,A557)</f>
        <v>0</v>
      </c>
    </row>
    <row r="558" spans="1:6" x14ac:dyDescent="0.2">
      <c r="A558" t="s">
        <v>7645</v>
      </c>
      <c r="B558">
        <v>1020004</v>
      </c>
      <c r="C558" t="s">
        <v>7646</v>
      </c>
      <c r="D558" t="s">
        <v>6068</v>
      </c>
      <c r="E558">
        <f t="shared" si="8"/>
        <v>62</v>
      </c>
      <c r="F558">
        <f>+COUNTIF(ADV!Z:Z,A558)+COUNTIF(ADV!X:X,A558)+COUNTIF(ADV!Y:Y,A558)</f>
        <v>0</v>
      </c>
    </row>
    <row r="559" spans="1:6" x14ac:dyDescent="0.2">
      <c r="A559" t="s">
        <v>3123</v>
      </c>
      <c r="B559">
        <v>1020004</v>
      </c>
      <c r="C559" t="s">
        <v>6285</v>
      </c>
      <c r="D559" t="s">
        <v>6068</v>
      </c>
      <c r="E559">
        <f t="shared" si="8"/>
        <v>62</v>
      </c>
      <c r="F559">
        <f>+COUNTIF(ADV!Z:Z,A559)+COUNTIF(ADV!X:X,A559)+COUNTIF(ADV!Y:Y,A559)</f>
        <v>0</v>
      </c>
    </row>
    <row r="560" spans="1:6" x14ac:dyDescent="0.2">
      <c r="A560" t="s">
        <v>1563</v>
      </c>
      <c r="B560">
        <v>1020002</v>
      </c>
      <c r="C560" t="s">
        <v>6286</v>
      </c>
      <c r="D560" t="s">
        <v>6068</v>
      </c>
      <c r="E560">
        <f t="shared" si="8"/>
        <v>50</v>
      </c>
      <c r="F560">
        <f>+COUNTIF(ADV!Z:Z,A560)+COUNTIF(ADV!X:X,A560)+COUNTIF(ADV!Y:Y,A560)</f>
        <v>0</v>
      </c>
    </row>
    <row r="561" spans="1:6" x14ac:dyDescent="0.2">
      <c r="A561" t="s">
        <v>2813</v>
      </c>
      <c r="B561">
        <v>1020002</v>
      </c>
      <c r="C561" t="s">
        <v>6287</v>
      </c>
      <c r="D561" t="s">
        <v>6068</v>
      </c>
      <c r="E561">
        <f t="shared" si="8"/>
        <v>50</v>
      </c>
      <c r="F561">
        <f>+COUNTIF(ADV!Z:Z,A561)+COUNTIF(ADV!X:X,A561)+COUNTIF(ADV!Y:Y,A561)</f>
        <v>0</v>
      </c>
    </row>
    <row r="562" spans="1:6" x14ac:dyDescent="0.2">
      <c r="A562" t="s">
        <v>264</v>
      </c>
      <c r="B562">
        <v>1020002</v>
      </c>
      <c r="C562" t="s">
        <v>6288</v>
      </c>
      <c r="D562" t="s">
        <v>6068</v>
      </c>
      <c r="E562">
        <f t="shared" si="8"/>
        <v>50</v>
      </c>
      <c r="F562">
        <f>+COUNTIF(ADV!Z:Z,A562)+COUNTIF(ADV!X:X,A562)+COUNTIF(ADV!Y:Y,A562)</f>
        <v>0</v>
      </c>
    </row>
    <row r="563" spans="1:6" x14ac:dyDescent="0.2">
      <c r="A563" t="s">
        <v>7647</v>
      </c>
      <c r="B563">
        <v>1020002</v>
      </c>
      <c r="C563" t="s">
        <v>7648</v>
      </c>
      <c r="D563" t="s">
        <v>6068</v>
      </c>
      <c r="E563">
        <f t="shared" si="8"/>
        <v>49</v>
      </c>
      <c r="F563">
        <f>+COUNTIF(ADV!Z:Z,A563)+COUNTIF(ADV!X:X,A563)+COUNTIF(ADV!Y:Y,A563)</f>
        <v>0</v>
      </c>
    </row>
    <row r="564" spans="1:6" x14ac:dyDescent="0.2">
      <c r="A564" t="s">
        <v>7649</v>
      </c>
      <c r="B564">
        <v>1020002</v>
      </c>
      <c r="C564" t="s">
        <v>7650</v>
      </c>
      <c r="D564" t="s">
        <v>6068</v>
      </c>
      <c r="E564">
        <f t="shared" si="8"/>
        <v>49</v>
      </c>
      <c r="F564">
        <f>+COUNTIF(ADV!Z:Z,A564)+COUNTIF(ADV!X:X,A564)+COUNTIF(ADV!Y:Y,A564)</f>
        <v>0</v>
      </c>
    </row>
    <row r="565" spans="1:6" x14ac:dyDescent="0.2">
      <c r="A565" t="s">
        <v>7651</v>
      </c>
      <c r="B565">
        <v>1020002</v>
      </c>
      <c r="C565" t="s">
        <v>7652</v>
      </c>
      <c r="D565" t="s">
        <v>6068</v>
      </c>
      <c r="E565">
        <f t="shared" si="8"/>
        <v>49</v>
      </c>
      <c r="F565">
        <f>+COUNTIF(ADV!Z:Z,A565)+COUNTIF(ADV!X:X,A565)+COUNTIF(ADV!Y:Y,A565)</f>
        <v>0</v>
      </c>
    </row>
    <row r="566" spans="1:6" x14ac:dyDescent="0.2">
      <c r="A566" t="s">
        <v>7653</v>
      </c>
      <c r="B566">
        <v>1020002</v>
      </c>
      <c r="C566" t="s">
        <v>7654</v>
      </c>
      <c r="D566" t="s">
        <v>6068</v>
      </c>
      <c r="E566">
        <f t="shared" si="8"/>
        <v>49</v>
      </c>
      <c r="F566">
        <f>+COUNTIF(ADV!Z:Z,A566)+COUNTIF(ADV!X:X,A566)+COUNTIF(ADV!Y:Y,A566)</f>
        <v>0</v>
      </c>
    </row>
    <row r="567" spans="1:6" x14ac:dyDescent="0.2">
      <c r="A567" t="s">
        <v>7655</v>
      </c>
      <c r="B567">
        <v>1020030</v>
      </c>
      <c r="C567" t="s">
        <v>7656</v>
      </c>
      <c r="D567" t="s">
        <v>6068</v>
      </c>
      <c r="E567">
        <f t="shared" si="8"/>
        <v>73</v>
      </c>
      <c r="F567">
        <f>+COUNTIF(ADV!Z:Z,A567)+COUNTIF(ADV!X:X,A567)+COUNTIF(ADV!Y:Y,A567)</f>
        <v>0</v>
      </c>
    </row>
    <row r="568" spans="1:6" x14ac:dyDescent="0.2">
      <c r="A568" t="s">
        <v>780</v>
      </c>
      <c r="B568">
        <v>1020030</v>
      </c>
      <c r="C568" t="s">
        <v>6289</v>
      </c>
      <c r="D568" t="s">
        <v>6068</v>
      </c>
      <c r="E568">
        <f t="shared" si="8"/>
        <v>73</v>
      </c>
      <c r="F568">
        <f>+COUNTIF(ADV!Z:Z,A568)+COUNTIF(ADV!X:X,A568)+COUNTIF(ADV!Y:Y,A568)</f>
        <v>0</v>
      </c>
    </row>
    <row r="569" spans="1:6" x14ac:dyDescent="0.2">
      <c r="A569" t="s">
        <v>7657</v>
      </c>
      <c r="B569">
        <v>1020002</v>
      </c>
      <c r="C569" t="s">
        <v>7658</v>
      </c>
      <c r="D569" t="s">
        <v>6068</v>
      </c>
      <c r="E569">
        <f t="shared" si="8"/>
        <v>50</v>
      </c>
      <c r="F569">
        <f>+COUNTIF(ADV!Z:Z,A569)+COUNTIF(ADV!X:X,A569)+COUNTIF(ADV!Y:Y,A569)</f>
        <v>0</v>
      </c>
    </row>
    <row r="570" spans="1:6" x14ac:dyDescent="0.2">
      <c r="A570" t="s">
        <v>7659</v>
      </c>
      <c r="B570">
        <v>1010098</v>
      </c>
      <c r="C570" t="s">
        <v>7660</v>
      </c>
      <c r="D570" t="s">
        <v>6068</v>
      </c>
      <c r="E570">
        <f t="shared" si="8"/>
        <v>426</v>
      </c>
      <c r="F570">
        <f>+COUNTIF(ADV!Z:Z,A570)+COUNTIF(ADV!X:X,A570)+COUNTIF(ADV!Y:Y,A570)</f>
        <v>0</v>
      </c>
    </row>
    <row r="571" spans="1:6" x14ac:dyDescent="0.2">
      <c r="A571" t="s">
        <v>3202</v>
      </c>
      <c r="B571">
        <v>1010098</v>
      </c>
      <c r="C571" t="s">
        <v>6290</v>
      </c>
      <c r="D571" t="s">
        <v>6068</v>
      </c>
      <c r="E571">
        <f t="shared" si="8"/>
        <v>426</v>
      </c>
      <c r="F571">
        <f>+COUNTIF(ADV!Z:Z,A571)+COUNTIF(ADV!X:X,A571)+COUNTIF(ADV!Y:Y,A571)</f>
        <v>0</v>
      </c>
    </row>
    <row r="572" spans="1:6" x14ac:dyDescent="0.2">
      <c r="A572" t="s">
        <v>7661</v>
      </c>
      <c r="B572">
        <v>1020022</v>
      </c>
      <c r="C572" t="s">
        <v>7662</v>
      </c>
      <c r="D572" t="s">
        <v>6068</v>
      </c>
      <c r="E572">
        <f t="shared" si="8"/>
        <v>185</v>
      </c>
      <c r="F572">
        <f>+COUNTIF(ADV!Z:Z,A572)+COUNTIF(ADV!X:X,A572)+COUNTIF(ADV!Y:Y,A572)</f>
        <v>0</v>
      </c>
    </row>
    <row r="573" spans="1:6" x14ac:dyDescent="0.2">
      <c r="A573" t="s">
        <v>2975</v>
      </c>
      <c r="B573">
        <v>1020022</v>
      </c>
      <c r="C573" t="s">
        <v>6291</v>
      </c>
      <c r="D573" t="s">
        <v>6068</v>
      </c>
      <c r="E573">
        <f t="shared" si="8"/>
        <v>185</v>
      </c>
      <c r="F573">
        <f>+COUNTIF(ADV!Z:Z,A573)+COUNTIF(ADV!X:X,A573)+COUNTIF(ADV!Y:Y,A573)</f>
        <v>0</v>
      </c>
    </row>
    <row r="574" spans="1:6" x14ac:dyDescent="0.2">
      <c r="A574" t="s">
        <v>7663</v>
      </c>
      <c r="B574">
        <v>1030023</v>
      </c>
      <c r="C574" t="s">
        <v>7174</v>
      </c>
      <c r="D574" t="s">
        <v>6068</v>
      </c>
      <c r="E574">
        <f t="shared" si="8"/>
        <v>50</v>
      </c>
      <c r="F574">
        <f>+COUNTIF(ADV!Z:Z,A574)+COUNTIF(ADV!X:X,A574)+COUNTIF(ADV!Y:Y,A574)</f>
        <v>0</v>
      </c>
    </row>
    <row r="575" spans="1:6" x14ac:dyDescent="0.2">
      <c r="A575" t="s">
        <v>1720</v>
      </c>
      <c r="B575">
        <v>1030023</v>
      </c>
      <c r="C575" t="s">
        <v>6143</v>
      </c>
      <c r="D575" t="s">
        <v>6068</v>
      </c>
      <c r="E575">
        <f t="shared" si="8"/>
        <v>51</v>
      </c>
      <c r="F575">
        <f>+COUNTIF(ADV!Z:Z,A575)+COUNTIF(ADV!X:X,A575)+COUNTIF(ADV!Y:Y,A575)</f>
        <v>0</v>
      </c>
    </row>
    <row r="576" spans="1:6" x14ac:dyDescent="0.2">
      <c r="A576" t="s">
        <v>7664</v>
      </c>
      <c r="B576">
        <v>1010041</v>
      </c>
      <c r="C576" t="s">
        <v>7665</v>
      </c>
      <c r="D576" t="s">
        <v>6068</v>
      </c>
      <c r="E576">
        <f t="shared" si="8"/>
        <v>66</v>
      </c>
      <c r="F576">
        <f>+COUNTIF(ADV!Z:Z,A576)+COUNTIF(ADV!X:X,A576)+COUNTIF(ADV!Y:Y,A576)</f>
        <v>0</v>
      </c>
    </row>
    <row r="577" spans="1:6" x14ac:dyDescent="0.2">
      <c r="A577" t="s">
        <v>7666</v>
      </c>
      <c r="B577">
        <v>1010041</v>
      </c>
      <c r="C577" t="s">
        <v>7667</v>
      </c>
      <c r="D577" t="s">
        <v>6068</v>
      </c>
      <c r="E577">
        <f t="shared" si="8"/>
        <v>66</v>
      </c>
      <c r="F577">
        <f>+COUNTIF(ADV!Z:Z,A577)+COUNTIF(ADV!X:X,A577)+COUNTIF(ADV!Y:Y,A577)</f>
        <v>0</v>
      </c>
    </row>
    <row r="578" spans="1:6" x14ac:dyDescent="0.2">
      <c r="A578" t="s">
        <v>7668</v>
      </c>
      <c r="B578">
        <v>1010041</v>
      </c>
      <c r="C578" t="s">
        <v>7669</v>
      </c>
      <c r="D578" t="s">
        <v>6068</v>
      </c>
      <c r="E578">
        <f t="shared" ref="E578:E641" si="9">+LEN(C578)</f>
        <v>67</v>
      </c>
      <c r="F578">
        <f>+COUNTIF(ADV!Z:Z,A578)+COUNTIF(ADV!X:X,A578)+COUNTIF(ADV!Y:Y,A578)</f>
        <v>0</v>
      </c>
    </row>
    <row r="579" spans="1:6" x14ac:dyDescent="0.2">
      <c r="A579" t="s">
        <v>2909</v>
      </c>
      <c r="B579">
        <v>1010001</v>
      </c>
      <c r="C579" t="s">
        <v>6292</v>
      </c>
      <c r="D579" t="s">
        <v>6068</v>
      </c>
      <c r="E579">
        <f t="shared" si="9"/>
        <v>341</v>
      </c>
      <c r="F579">
        <f>+COUNTIF(ADV!Z:Z,A579)+COUNTIF(ADV!X:X,A579)+COUNTIF(ADV!Y:Y,A579)</f>
        <v>0</v>
      </c>
    </row>
    <row r="580" spans="1:6" x14ac:dyDescent="0.2">
      <c r="A580" t="s">
        <v>7670</v>
      </c>
      <c r="B580">
        <v>1030022</v>
      </c>
      <c r="C580" t="s">
        <v>7356</v>
      </c>
      <c r="D580" t="s">
        <v>6068</v>
      </c>
      <c r="E580">
        <f t="shared" si="9"/>
        <v>51</v>
      </c>
      <c r="F580">
        <f>+COUNTIF(ADV!Z:Z,A580)+COUNTIF(ADV!X:X,A580)+COUNTIF(ADV!Y:Y,A580)</f>
        <v>0</v>
      </c>
    </row>
    <row r="581" spans="1:6" x14ac:dyDescent="0.2">
      <c r="A581" t="s">
        <v>3187</v>
      </c>
      <c r="B581">
        <v>1030022</v>
      </c>
      <c r="C581" t="s">
        <v>6192</v>
      </c>
      <c r="D581" t="s">
        <v>6068</v>
      </c>
      <c r="E581">
        <f t="shared" si="9"/>
        <v>52</v>
      </c>
      <c r="F581">
        <f>+COUNTIF(ADV!Z:Z,A581)+COUNTIF(ADV!X:X,A581)+COUNTIF(ADV!Y:Y,A581)</f>
        <v>0</v>
      </c>
    </row>
    <row r="582" spans="1:6" x14ac:dyDescent="0.2">
      <c r="A582" t="s">
        <v>7671</v>
      </c>
      <c r="B582">
        <v>1100002</v>
      </c>
      <c r="C582" t="s">
        <v>7672</v>
      </c>
      <c r="D582" t="s">
        <v>6068</v>
      </c>
      <c r="E582">
        <f t="shared" si="9"/>
        <v>41</v>
      </c>
      <c r="F582">
        <f>+COUNTIF(ADV!Z:Z,A582)+COUNTIF(ADV!X:X,A582)+COUNTIF(ADV!Y:Y,A582)</f>
        <v>0</v>
      </c>
    </row>
    <row r="583" spans="1:6" x14ac:dyDescent="0.2">
      <c r="A583" t="s">
        <v>7673</v>
      </c>
      <c r="B583">
        <v>1100002</v>
      </c>
      <c r="C583" t="s">
        <v>7674</v>
      </c>
      <c r="D583" t="s">
        <v>6068</v>
      </c>
      <c r="E583">
        <f t="shared" si="9"/>
        <v>41</v>
      </c>
      <c r="F583">
        <f>+COUNTIF(ADV!Z:Z,A583)+COUNTIF(ADV!X:X,A583)+COUNTIF(ADV!Y:Y,A583)</f>
        <v>0</v>
      </c>
    </row>
    <row r="584" spans="1:6" x14ac:dyDescent="0.2">
      <c r="A584" t="s">
        <v>7675</v>
      </c>
      <c r="B584">
        <v>1100002</v>
      </c>
      <c r="C584" t="s">
        <v>7676</v>
      </c>
      <c r="D584" t="s">
        <v>6068</v>
      </c>
      <c r="E584">
        <f t="shared" si="9"/>
        <v>41</v>
      </c>
      <c r="F584">
        <f>+COUNTIF(ADV!Z:Z,A584)+COUNTIF(ADV!X:X,A584)+COUNTIF(ADV!Y:Y,A584)</f>
        <v>0</v>
      </c>
    </row>
    <row r="585" spans="1:6" x14ac:dyDescent="0.2">
      <c r="A585" t="s">
        <v>7677</v>
      </c>
      <c r="B585">
        <v>1010120</v>
      </c>
      <c r="C585" t="s">
        <v>7678</v>
      </c>
      <c r="D585" t="s">
        <v>6068</v>
      </c>
      <c r="E585">
        <f t="shared" si="9"/>
        <v>394</v>
      </c>
      <c r="F585">
        <f>+COUNTIF(ADV!Z:Z,A585)+COUNTIF(ADV!X:X,A585)+COUNTIF(ADV!Y:Y,A585)</f>
        <v>0</v>
      </c>
    </row>
    <row r="586" spans="1:6" x14ac:dyDescent="0.2">
      <c r="A586" t="s">
        <v>2812</v>
      </c>
      <c r="B586">
        <v>1010120</v>
      </c>
      <c r="C586" t="s">
        <v>6293</v>
      </c>
      <c r="D586" t="s">
        <v>6068</v>
      </c>
      <c r="E586">
        <f t="shared" si="9"/>
        <v>394</v>
      </c>
      <c r="F586">
        <f>+COUNTIF(ADV!Z:Z,A586)+COUNTIF(ADV!X:X,A586)+COUNTIF(ADV!Y:Y,A586)</f>
        <v>0</v>
      </c>
    </row>
    <row r="587" spans="1:6" x14ac:dyDescent="0.2">
      <c r="A587" t="s">
        <v>2348</v>
      </c>
      <c r="B587">
        <v>1020010</v>
      </c>
      <c r="C587" t="s">
        <v>6294</v>
      </c>
      <c r="D587" t="s">
        <v>6068</v>
      </c>
      <c r="E587">
        <f t="shared" si="9"/>
        <v>210</v>
      </c>
      <c r="F587">
        <f>+COUNTIF(ADV!Z:Z,A587)+COUNTIF(ADV!X:X,A587)+COUNTIF(ADV!Y:Y,A587)</f>
        <v>0</v>
      </c>
    </row>
    <row r="588" spans="1:6" x14ac:dyDescent="0.2">
      <c r="A588" t="s">
        <v>7679</v>
      </c>
      <c r="B588">
        <v>1010027</v>
      </c>
      <c r="C588" t="s">
        <v>7680</v>
      </c>
      <c r="D588" t="s">
        <v>6068</v>
      </c>
      <c r="E588">
        <f t="shared" si="9"/>
        <v>176</v>
      </c>
      <c r="F588">
        <f>+COUNTIF(ADV!Z:Z,A588)+COUNTIF(ADV!X:X,A588)+COUNTIF(ADV!Y:Y,A588)</f>
        <v>0</v>
      </c>
    </row>
    <row r="589" spans="1:6" x14ac:dyDescent="0.2">
      <c r="A589" t="s">
        <v>893</v>
      </c>
      <c r="B589">
        <v>1010027</v>
      </c>
      <c r="C589" t="s">
        <v>6295</v>
      </c>
      <c r="D589" t="s">
        <v>6068</v>
      </c>
      <c r="E589">
        <f t="shared" si="9"/>
        <v>176</v>
      </c>
      <c r="F589">
        <f>+COUNTIF(ADV!Z:Z,A589)+COUNTIF(ADV!X:X,A589)+COUNTIF(ADV!Y:Y,A589)</f>
        <v>0</v>
      </c>
    </row>
    <row r="590" spans="1:6" x14ac:dyDescent="0.2">
      <c r="A590" t="s">
        <v>7681</v>
      </c>
      <c r="B590">
        <v>1020034</v>
      </c>
      <c r="C590" t="s">
        <v>7682</v>
      </c>
      <c r="D590" t="s">
        <v>6068</v>
      </c>
      <c r="E590">
        <f t="shared" si="9"/>
        <v>458</v>
      </c>
      <c r="F590">
        <f>+COUNTIF(ADV!Z:Z,A590)+COUNTIF(ADV!X:X,A590)+COUNTIF(ADV!Y:Y,A590)</f>
        <v>0</v>
      </c>
    </row>
    <row r="591" spans="1:6" x14ac:dyDescent="0.2">
      <c r="A591" t="s">
        <v>3316</v>
      </c>
      <c r="B591">
        <v>1020034</v>
      </c>
      <c r="C591" t="s">
        <v>6296</v>
      </c>
      <c r="D591" t="s">
        <v>6068</v>
      </c>
      <c r="E591">
        <f t="shared" si="9"/>
        <v>458</v>
      </c>
      <c r="F591">
        <f>+COUNTIF(ADV!Z:Z,A591)+COUNTIF(ADV!X:X,A591)+COUNTIF(ADV!Y:Y,A591)</f>
        <v>0</v>
      </c>
    </row>
    <row r="592" spans="1:6" x14ac:dyDescent="0.2">
      <c r="A592" t="s">
        <v>7683</v>
      </c>
      <c r="B592">
        <v>1010110</v>
      </c>
      <c r="C592" t="s">
        <v>7684</v>
      </c>
      <c r="D592" t="s">
        <v>6068</v>
      </c>
      <c r="E592">
        <f t="shared" si="9"/>
        <v>189</v>
      </c>
      <c r="F592">
        <f>+COUNTIF(ADV!Z:Z,A592)+COUNTIF(ADV!X:X,A592)+COUNTIF(ADV!Y:Y,A592)</f>
        <v>0</v>
      </c>
    </row>
    <row r="593" spans="1:6" x14ac:dyDescent="0.2">
      <c r="A593" t="s">
        <v>7685</v>
      </c>
      <c r="B593">
        <v>1010110</v>
      </c>
      <c r="C593" t="s">
        <v>7686</v>
      </c>
      <c r="D593" t="s">
        <v>6068</v>
      </c>
      <c r="E593">
        <f t="shared" si="9"/>
        <v>189</v>
      </c>
      <c r="F593">
        <f>+COUNTIF(ADV!Z:Z,A593)+COUNTIF(ADV!X:X,A593)+COUNTIF(ADV!Y:Y,A593)</f>
        <v>0</v>
      </c>
    </row>
    <row r="594" spans="1:6" x14ac:dyDescent="0.2">
      <c r="A594" t="s">
        <v>7687</v>
      </c>
      <c r="B594">
        <v>1010110</v>
      </c>
      <c r="C594" t="s">
        <v>7688</v>
      </c>
      <c r="D594" t="s">
        <v>6068</v>
      </c>
      <c r="E594">
        <f t="shared" si="9"/>
        <v>191</v>
      </c>
      <c r="F594">
        <f>+COUNTIF(ADV!Z:Z,A594)+COUNTIF(ADV!X:X,A594)+COUNTIF(ADV!Y:Y,A594)</f>
        <v>0</v>
      </c>
    </row>
    <row r="595" spans="1:6" x14ac:dyDescent="0.2">
      <c r="A595" t="s">
        <v>7689</v>
      </c>
      <c r="B595">
        <v>1020026</v>
      </c>
      <c r="C595" t="s">
        <v>7690</v>
      </c>
      <c r="D595" t="s">
        <v>6068</v>
      </c>
      <c r="E595">
        <f t="shared" si="9"/>
        <v>141</v>
      </c>
      <c r="F595">
        <f>+COUNTIF(ADV!Z:Z,A595)+COUNTIF(ADV!X:X,A595)+COUNTIF(ADV!Y:Y,A595)</f>
        <v>0</v>
      </c>
    </row>
    <row r="596" spans="1:6" x14ac:dyDescent="0.2">
      <c r="A596" t="s">
        <v>7691</v>
      </c>
      <c r="B596">
        <v>1020026</v>
      </c>
      <c r="C596" t="s">
        <v>7692</v>
      </c>
      <c r="D596" t="s">
        <v>6068</v>
      </c>
      <c r="E596">
        <f t="shared" si="9"/>
        <v>142</v>
      </c>
      <c r="F596">
        <f>+COUNTIF(ADV!Z:Z,A596)+COUNTIF(ADV!X:X,A596)+COUNTIF(ADV!Y:Y,A596)</f>
        <v>0</v>
      </c>
    </row>
    <row r="597" spans="1:6" x14ac:dyDescent="0.2">
      <c r="A597" t="s">
        <v>209</v>
      </c>
      <c r="B597">
        <v>1020026</v>
      </c>
      <c r="C597" t="s">
        <v>6297</v>
      </c>
      <c r="D597" t="s">
        <v>6068</v>
      </c>
      <c r="E597">
        <f t="shared" si="9"/>
        <v>214</v>
      </c>
      <c r="F597">
        <f>+COUNTIF(ADV!Z:Z,A597)+COUNTIF(ADV!X:X,A597)+COUNTIF(ADV!Y:Y,A597)</f>
        <v>0</v>
      </c>
    </row>
    <row r="598" spans="1:6" x14ac:dyDescent="0.2">
      <c r="A598" t="s">
        <v>7693</v>
      </c>
      <c r="B598">
        <v>1020027</v>
      </c>
      <c r="C598" t="s">
        <v>7694</v>
      </c>
      <c r="D598" t="s">
        <v>6068</v>
      </c>
      <c r="E598">
        <f t="shared" si="9"/>
        <v>127</v>
      </c>
      <c r="F598">
        <f>+COUNTIF(ADV!Z:Z,A598)+COUNTIF(ADV!X:X,A598)+COUNTIF(ADV!Y:Y,A598)</f>
        <v>0</v>
      </c>
    </row>
    <row r="599" spans="1:6" x14ac:dyDescent="0.2">
      <c r="A599" t="s">
        <v>7695</v>
      </c>
      <c r="B599">
        <v>1020027</v>
      </c>
      <c r="C599" t="s">
        <v>7696</v>
      </c>
      <c r="D599" t="s">
        <v>6068</v>
      </c>
      <c r="E599">
        <f t="shared" si="9"/>
        <v>127</v>
      </c>
      <c r="F599">
        <f>+COUNTIF(ADV!Z:Z,A599)+COUNTIF(ADV!X:X,A599)+COUNTIF(ADV!Y:Y,A599)</f>
        <v>0</v>
      </c>
    </row>
    <row r="600" spans="1:6" x14ac:dyDescent="0.2">
      <c r="A600" t="s">
        <v>1538</v>
      </c>
      <c r="B600">
        <v>1020027</v>
      </c>
      <c r="C600" t="s">
        <v>6298</v>
      </c>
      <c r="D600" t="s">
        <v>6068</v>
      </c>
      <c r="E600">
        <f t="shared" si="9"/>
        <v>199</v>
      </c>
      <c r="F600">
        <f>+COUNTIF(ADV!Z:Z,A600)+COUNTIF(ADV!X:X,A600)+COUNTIF(ADV!Y:Y,A600)</f>
        <v>0</v>
      </c>
    </row>
    <row r="601" spans="1:6" x14ac:dyDescent="0.2">
      <c r="A601" t="s">
        <v>7697</v>
      </c>
      <c r="B601">
        <v>1020025</v>
      </c>
      <c r="C601" t="s">
        <v>7698</v>
      </c>
      <c r="D601" t="s">
        <v>6068</v>
      </c>
      <c r="E601">
        <f t="shared" si="9"/>
        <v>75</v>
      </c>
      <c r="F601">
        <f>+COUNTIF(ADV!Z:Z,A601)+COUNTIF(ADV!X:X,A601)+COUNTIF(ADV!Y:Y,A601)</f>
        <v>0</v>
      </c>
    </row>
    <row r="602" spans="1:6" x14ac:dyDescent="0.2">
      <c r="A602" t="s">
        <v>7699</v>
      </c>
      <c r="B602">
        <v>1020025</v>
      </c>
      <c r="C602" t="s">
        <v>7700</v>
      </c>
      <c r="D602" t="s">
        <v>6068</v>
      </c>
      <c r="E602">
        <f t="shared" si="9"/>
        <v>75</v>
      </c>
      <c r="F602">
        <f>+COUNTIF(ADV!Z:Z,A602)+COUNTIF(ADV!X:X,A602)+COUNTIF(ADV!Y:Y,A602)</f>
        <v>0</v>
      </c>
    </row>
    <row r="603" spans="1:6" x14ac:dyDescent="0.2">
      <c r="A603" t="s">
        <v>2895</v>
      </c>
      <c r="B603">
        <v>1020025</v>
      </c>
      <c r="C603" t="s">
        <v>6299</v>
      </c>
      <c r="D603" t="s">
        <v>6068</v>
      </c>
      <c r="E603">
        <f t="shared" si="9"/>
        <v>151</v>
      </c>
      <c r="F603">
        <f>+COUNTIF(ADV!Z:Z,A603)+COUNTIF(ADV!X:X,A603)+COUNTIF(ADV!Y:Y,A603)</f>
        <v>0</v>
      </c>
    </row>
    <row r="604" spans="1:6" x14ac:dyDescent="0.2">
      <c r="A604" t="s">
        <v>748</v>
      </c>
      <c r="B604">
        <v>1020003</v>
      </c>
      <c r="C604" t="s">
        <v>6300</v>
      </c>
      <c r="D604" t="s">
        <v>6068</v>
      </c>
      <c r="E604">
        <f t="shared" si="9"/>
        <v>75</v>
      </c>
      <c r="F604">
        <f>+COUNTIF(ADV!Z:Z,A604)+COUNTIF(ADV!X:X,A604)+COUNTIF(ADV!Y:Y,A604)</f>
        <v>0</v>
      </c>
    </row>
    <row r="605" spans="1:6" x14ac:dyDescent="0.2">
      <c r="A605" t="s">
        <v>7701</v>
      </c>
      <c r="B605">
        <v>1020003</v>
      </c>
      <c r="C605" t="s">
        <v>7702</v>
      </c>
      <c r="D605" t="s">
        <v>6068</v>
      </c>
      <c r="E605">
        <f t="shared" si="9"/>
        <v>74</v>
      </c>
      <c r="F605">
        <f>+COUNTIF(ADV!Z:Z,A605)+COUNTIF(ADV!X:X,A605)+COUNTIF(ADV!Y:Y,A605)</f>
        <v>0</v>
      </c>
    </row>
    <row r="606" spans="1:6" x14ac:dyDescent="0.2">
      <c r="A606" t="s">
        <v>7703</v>
      </c>
      <c r="B606">
        <v>1020003</v>
      </c>
      <c r="C606" t="s">
        <v>7704</v>
      </c>
      <c r="D606" t="s">
        <v>6068</v>
      </c>
      <c r="E606">
        <f t="shared" si="9"/>
        <v>74</v>
      </c>
      <c r="F606">
        <f>+COUNTIF(ADV!Z:Z,A606)+COUNTIF(ADV!X:X,A606)+COUNTIF(ADV!Y:Y,A606)</f>
        <v>0</v>
      </c>
    </row>
    <row r="607" spans="1:6" x14ac:dyDescent="0.2">
      <c r="A607" t="s">
        <v>2939</v>
      </c>
      <c r="B607">
        <v>1020003</v>
      </c>
      <c r="C607" t="s">
        <v>6301</v>
      </c>
      <c r="D607" t="s">
        <v>6068</v>
      </c>
      <c r="E607">
        <f t="shared" si="9"/>
        <v>74</v>
      </c>
      <c r="F607">
        <f>+COUNTIF(ADV!Z:Z,A607)+COUNTIF(ADV!X:X,A607)+COUNTIF(ADV!Y:Y,A607)</f>
        <v>0</v>
      </c>
    </row>
    <row r="608" spans="1:6" x14ac:dyDescent="0.2">
      <c r="A608" t="s">
        <v>616</v>
      </c>
      <c r="B608">
        <v>1020003</v>
      </c>
      <c r="C608" t="s">
        <v>6302</v>
      </c>
      <c r="D608" t="s">
        <v>6068</v>
      </c>
      <c r="E608">
        <f t="shared" si="9"/>
        <v>74</v>
      </c>
      <c r="F608">
        <f>+COUNTIF(ADV!Z:Z,A608)+COUNTIF(ADV!X:X,A608)+COUNTIF(ADV!Y:Y,A608)</f>
        <v>0</v>
      </c>
    </row>
    <row r="609" spans="1:6" x14ac:dyDescent="0.2">
      <c r="A609" t="s">
        <v>7705</v>
      </c>
      <c r="B609">
        <v>1020028</v>
      </c>
      <c r="C609" t="s">
        <v>7706</v>
      </c>
      <c r="D609" t="s">
        <v>6068</v>
      </c>
      <c r="E609">
        <f t="shared" si="9"/>
        <v>127</v>
      </c>
      <c r="F609">
        <f>+COUNTIF(ADV!Z:Z,A609)+COUNTIF(ADV!X:X,A609)+COUNTIF(ADV!Y:Y,A609)</f>
        <v>0</v>
      </c>
    </row>
    <row r="610" spans="1:6" x14ac:dyDescent="0.2">
      <c r="A610" t="s">
        <v>7707</v>
      </c>
      <c r="B610">
        <v>1020028</v>
      </c>
      <c r="C610" t="s">
        <v>7708</v>
      </c>
      <c r="D610" t="s">
        <v>6068</v>
      </c>
      <c r="E610">
        <f t="shared" si="9"/>
        <v>127</v>
      </c>
      <c r="F610">
        <f>+COUNTIF(ADV!Z:Z,A610)+COUNTIF(ADV!X:X,A610)+COUNTIF(ADV!Y:Y,A610)</f>
        <v>0</v>
      </c>
    </row>
    <row r="611" spans="1:6" x14ac:dyDescent="0.2">
      <c r="A611" t="s">
        <v>4425</v>
      </c>
      <c r="B611">
        <v>1020028</v>
      </c>
      <c r="C611" t="s">
        <v>6303</v>
      </c>
      <c r="D611" t="s">
        <v>6068</v>
      </c>
      <c r="E611">
        <f t="shared" si="9"/>
        <v>194</v>
      </c>
      <c r="F611">
        <f>+COUNTIF(ADV!Z:Z,A611)+COUNTIF(ADV!X:X,A611)+COUNTIF(ADV!Y:Y,A611)</f>
        <v>0</v>
      </c>
    </row>
    <row r="612" spans="1:6" x14ac:dyDescent="0.2">
      <c r="A612" t="s">
        <v>7709</v>
      </c>
      <c r="B612">
        <v>1020010</v>
      </c>
      <c r="C612" t="s">
        <v>7710</v>
      </c>
      <c r="D612" t="s">
        <v>6068</v>
      </c>
      <c r="E612">
        <f t="shared" si="9"/>
        <v>84</v>
      </c>
      <c r="F612">
        <f>+COUNTIF(ADV!Z:Z,A612)+COUNTIF(ADV!X:X,A612)+COUNTIF(ADV!Y:Y,A612)</f>
        <v>0</v>
      </c>
    </row>
    <row r="613" spans="1:6" x14ac:dyDescent="0.2">
      <c r="A613" t="s">
        <v>7711</v>
      </c>
      <c r="B613">
        <v>1020010</v>
      </c>
      <c r="C613" t="s">
        <v>7712</v>
      </c>
      <c r="D613" t="s">
        <v>6068</v>
      </c>
      <c r="E613">
        <f t="shared" si="9"/>
        <v>84</v>
      </c>
      <c r="F613">
        <f>+COUNTIF(ADV!Z:Z,A613)+COUNTIF(ADV!X:X,A613)+COUNTIF(ADV!Y:Y,A613)</f>
        <v>0</v>
      </c>
    </row>
    <row r="614" spans="1:6" x14ac:dyDescent="0.2">
      <c r="A614" t="s">
        <v>7713</v>
      </c>
      <c r="B614">
        <v>1020010</v>
      </c>
      <c r="C614" t="s">
        <v>7714</v>
      </c>
      <c r="D614" t="s">
        <v>6068</v>
      </c>
      <c r="E614">
        <f t="shared" si="9"/>
        <v>84</v>
      </c>
      <c r="F614">
        <f>+COUNTIF(ADV!Z:Z,A614)+COUNTIF(ADV!X:X,A614)+COUNTIF(ADV!Y:Y,A614)</f>
        <v>0</v>
      </c>
    </row>
    <row r="615" spans="1:6" x14ac:dyDescent="0.2">
      <c r="A615" t="s">
        <v>7715</v>
      </c>
      <c r="B615">
        <v>1020002</v>
      </c>
      <c r="C615" t="s">
        <v>7716</v>
      </c>
      <c r="D615" t="s">
        <v>6068</v>
      </c>
      <c r="E615">
        <f t="shared" si="9"/>
        <v>75</v>
      </c>
      <c r="F615">
        <f>+COUNTIF(ADV!Z:Z,A615)+COUNTIF(ADV!X:X,A615)+COUNTIF(ADV!Y:Y,A615)</f>
        <v>0</v>
      </c>
    </row>
    <row r="616" spans="1:6" x14ac:dyDescent="0.2">
      <c r="A616" t="s">
        <v>3447</v>
      </c>
      <c r="B616">
        <v>1020002</v>
      </c>
      <c r="C616" t="s">
        <v>6304</v>
      </c>
      <c r="D616" t="s">
        <v>6068</v>
      </c>
      <c r="E616">
        <f t="shared" si="9"/>
        <v>75</v>
      </c>
      <c r="F616">
        <f>+COUNTIF(ADV!Z:Z,A616)+COUNTIF(ADV!X:X,A616)+COUNTIF(ADV!Y:Y,A616)</f>
        <v>0</v>
      </c>
    </row>
    <row r="617" spans="1:6" x14ac:dyDescent="0.2">
      <c r="A617" t="s">
        <v>1260</v>
      </c>
      <c r="B617">
        <v>1020002</v>
      </c>
      <c r="C617" t="s">
        <v>6305</v>
      </c>
      <c r="D617" t="s">
        <v>6068</v>
      </c>
      <c r="E617">
        <f t="shared" si="9"/>
        <v>75</v>
      </c>
      <c r="F617">
        <f>+COUNTIF(ADV!Z:Z,A617)+COUNTIF(ADV!X:X,A617)+COUNTIF(ADV!Y:Y,A617)</f>
        <v>0</v>
      </c>
    </row>
    <row r="618" spans="1:6" x14ac:dyDescent="0.2">
      <c r="A618" t="s">
        <v>7717</v>
      </c>
      <c r="B618">
        <v>1020002</v>
      </c>
      <c r="C618" t="s">
        <v>7718</v>
      </c>
      <c r="D618" t="s">
        <v>6068</v>
      </c>
      <c r="E618">
        <f t="shared" si="9"/>
        <v>75</v>
      </c>
      <c r="F618">
        <f>+COUNTIF(ADV!Z:Z,A618)+COUNTIF(ADV!X:X,A618)+COUNTIF(ADV!Y:Y,A618)</f>
        <v>0</v>
      </c>
    </row>
    <row r="619" spans="1:6" x14ac:dyDescent="0.2">
      <c r="A619" t="s">
        <v>634</v>
      </c>
      <c r="B619">
        <v>1020002</v>
      </c>
      <c r="C619" t="s">
        <v>6306</v>
      </c>
      <c r="D619" t="s">
        <v>6068</v>
      </c>
      <c r="E619">
        <f t="shared" si="9"/>
        <v>75</v>
      </c>
      <c r="F619">
        <f>+COUNTIF(ADV!Z:Z,A619)+COUNTIF(ADV!X:X,A619)+COUNTIF(ADV!Y:Y,A619)</f>
        <v>0</v>
      </c>
    </row>
    <row r="620" spans="1:6" x14ac:dyDescent="0.2">
      <c r="A620" t="s">
        <v>7719</v>
      </c>
      <c r="B620">
        <v>1010011</v>
      </c>
      <c r="C620" t="s">
        <v>7720</v>
      </c>
      <c r="D620" t="s">
        <v>6068</v>
      </c>
      <c r="E620">
        <f t="shared" si="9"/>
        <v>121</v>
      </c>
      <c r="F620">
        <f>+COUNTIF(ADV!Z:Z,A620)+COUNTIF(ADV!X:X,A620)+COUNTIF(ADV!Y:Y,A620)</f>
        <v>0</v>
      </c>
    </row>
    <row r="621" spans="1:6" x14ac:dyDescent="0.2">
      <c r="A621" t="s">
        <v>1604</v>
      </c>
      <c r="B621">
        <v>1010011</v>
      </c>
      <c r="C621" t="s">
        <v>6307</v>
      </c>
      <c r="D621" t="s">
        <v>6068</v>
      </c>
      <c r="E621">
        <f t="shared" si="9"/>
        <v>122</v>
      </c>
      <c r="F621">
        <f>+COUNTIF(ADV!Z:Z,A621)+COUNTIF(ADV!X:X,A621)+COUNTIF(ADV!Y:Y,A621)</f>
        <v>0</v>
      </c>
    </row>
    <row r="622" spans="1:6" x14ac:dyDescent="0.2">
      <c r="A622" t="s">
        <v>7721</v>
      </c>
      <c r="B622">
        <v>1010011</v>
      </c>
      <c r="C622" t="s">
        <v>7722</v>
      </c>
      <c r="D622" t="s">
        <v>6068</v>
      </c>
      <c r="E622">
        <f t="shared" si="9"/>
        <v>122</v>
      </c>
      <c r="F622">
        <f>+COUNTIF(ADV!Z:Z,A622)+COUNTIF(ADV!X:X,A622)+COUNTIF(ADV!Y:Y,A622)</f>
        <v>0</v>
      </c>
    </row>
    <row r="623" spans="1:6" x14ac:dyDescent="0.2">
      <c r="A623" t="s">
        <v>1904</v>
      </c>
      <c r="B623">
        <v>1010011</v>
      </c>
      <c r="C623" t="s">
        <v>6308</v>
      </c>
      <c r="D623" t="s">
        <v>6068</v>
      </c>
      <c r="E623">
        <f t="shared" si="9"/>
        <v>122</v>
      </c>
      <c r="F623">
        <f>+COUNTIF(ADV!Z:Z,A623)+COUNTIF(ADV!X:X,A623)+COUNTIF(ADV!Y:Y,A623)</f>
        <v>0</v>
      </c>
    </row>
    <row r="624" spans="1:6" x14ac:dyDescent="0.2">
      <c r="A624" t="s">
        <v>2462</v>
      </c>
      <c r="B624">
        <v>1010011</v>
      </c>
      <c r="C624" t="s">
        <v>6309</v>
      </c>
      <c r="D624" t="s">
        <v>6068</v>
      </c>
      <c r="E624">
        <f t="shared" si="9"/>
        <v>197</v>
      </c>
      <c r="F624">
        <f>+COUNTIF(ADV!Z:Z,A624)+COUNTIF(ADV!X:X,A624)+COUNTIF(ADV!Y:Y,A624)</f>
        <v>0</v>
      </c>
    </row>
    <row r="625" spans="1:6" x14ac:dyDescent="0.2">
      <c r="A625" t="s">
        <v>3807</v>
      </c>
      <c r="B625">
        <v>1070015</v>
      </c>
      <c r="C625" t="s">
        <v>6310</v>
      </c>
      <c r="D625" t="s">
        <v>6068</v>
      </c>
      <c r="E625">
        <f t="shared" si="9"/>
        <v>224</v>
      </c>
      <c r="F625">
        <f>+COUNTIF(ADV!Z:Z,A625)+COUNTIF(ADV!X:X,A625)+COUNTIF(ADV!Y:Y,A625)</f>
        <v>0</v>
      </c>
    </row>
    <row r="626" spans="1:6" x14ac:dyDescent="0.2">
      <c r="A626" t="s">
        <v>7723</v>
      </c>
      <c r="B626">
        <v>1020037</v>
      </c>
      <c r="C626" t="s">
        <v>7724</v>
      </c>
      <c r="D626" t="s">
        <v>6068</v>
      </c>
      <c r="E626">
        <f t="shared" si="9"/>
        <v>107</v>
      </c>
      <c r="F626">
        <f>+COUNTIF(ADV!Z:Z,A626)+COUNTIF(ADV!X:X,A626)+COUNTIF(ADV!Y:Y,A626)</f>
        <v>0</v>
      </c>
    </row>
    <row r="627" spans="1:6" x14ac:dyDescent="0.2">
      <c r="A627" t="s">
        <v>7725</v>
      </c>
      <c r="B627">
        <v>1020037</v>
      </c>
      <c r="C627" t="s">
        <v>7726</v>
      </c>
      <c r="D627" t="s">
        <v>6068</v>
      </c>
      <c r="E627">
        <f t="shared" si="9"/>
        <v>108</v>
      </c>
      <c r="F627">
        <f>+COUNTIF(ADV!Z:Z,A627)+COUNTIF(ADV!X:X,A627)+COUNTIF(ADV!Y:Y,A627)</f>
        <v>0</v>
      </c>
    </row>
    <row r="628" spans="1:6" x14ac:dyDescent="0.2">
      <c r="A628" t="s">
        <v>7727</v>
      </c>
      <c r="B628">
        <v>1020037</v>
      </c>
      <c r="C628" t="s">
        <v>7728</v>
      </c>
      <c r="D628" t="s">
        <v>6068</v>
      </c>
      <c r="E628">
        <f t="shared" si="9"/>
        <v>108</v>
      </c>
      <c r="F628">
        <f>+COUNTIF(ADV!Z:Z,A628)+COUNTIF(ADV!X:X,A628)+COUNTIF(ADV!Y:Y,A628)</f>
        <v>0</v>
      </c>
    </row>
    <row r="629" spans="1:6" x14ac:dyDescent="0.2">
      <c r="A629" t="s">
        <v>3883</v>
      </c>
      <c r="B629">
        <v>1080004</v>
      </c>
      <c r="C629" t="s">
        <v>7729</v>
      </c>
      <c r="D629" t="s">
        <v>6068</v>
      </c>
      <c r="E629">
        <f t="shared" si="9"/>
        <v>34</v>
      </c>
      <c r="F629">
        <f>+COUNTIF(ADV!Z:Z,A629)+COUNTIF(ADV!X:X,A629)+COUNTIF(ADV!Y:Y,A629)</f>
        <v>0</v>
      </c>
    </row>
    <row r="630" spans="1:6" x14ac:dyDescent="0.2">
      <c r="A630" t="s">
        <v>7730</v>
      </c>
      <c r="B630">
        <v>1080004</v>
      </c>
      <c r="C630" t="s">
        <v>7731</v>
      </c>
      <c r="D630" t="s">
        <v>6068</v>
      </c>
      <c r="E630">
        <f t="shared" si="9"/>
        <v>34</v>
      </c>
      <c r="F630">
        <f>+COUNTIF(ADV!Z:Z,A630)+COUNTIF(ADV!X:X,A630)+COUNTIF(ADV!Y:Y,A630)</f>
        <v>0</v>
      </c>
    </row>
    <row r="631" spans="1:6" x14ac:dyDescent="0.2">
      <c r="A631" t="s">
        <v>7732</v>
      </c>
      <c r="B631">
        <v>1080004</v>
      </c>
      <c r="C631" t="s">
        <v>7733</v>
      </c>
      <c r="D631" t="s">
        <v>6068</v>
      </c>
      <c r="E631">
        <f t="shared" si="9"/>
        <v>33</v>
      </c>
      <c r="F631">
        <f>+COUNTIF(ADV!Z:Z,A631)+COUNTIF(ADV!X:X,A631)+COUNTIF(ADV!Y:Y,A631)</f>
        <v>0</v>
      </c>
    </row>
    <row r="632" spans="1:6" x14ac:dyDescent="0.2">
      <c r="A632" t="s">
        <v>7734</v>
      </c>
      <c r="B632">
        <v>1080004</v>
      </c>
      <c r="C632" t="s">
        <v>7735</v>
      </c>
      <c r="D632" t="s">
        <v>6068</v>
      </c>
      <c r="E632">
        <f t="shared" si="9"/>
        <v>33</v>
      </c>
      <c r="F632">
        <f>+COUNTIF(ADV!Z:Z,A632)+COUNTIF(ADV!X:X,A632)+COUNTIF(ADV!Y:Y,A632)</f>
        <v>0</v>
      </c>
    </row>
    <row r="633" spans="1:6" x14ac:dyDescent="0.2">
      <c r="A633" t="s">
        <v>7736</v>
      </c>
      <c r="B633">
        <v>1080004</v>
      </c>
      <c r="C633" t="s">
        <v>7737</v>
      </c>
      <c r="D633" t="s">
        <v>6068</v>
      </c>
      <c r="E633">
        <f t="shared" si="9"/>
        <v>33</v>
      </c>
      <c r="F633">
        <f>+COUNTIF(ADV!Z:Z,A633)+COUNTIF(ADV!X:X,A633)+COUNTIF(ADV!Y:Y,A633)</f>
        <v>0</v>
      </c>
    </row>
    <row r="634" spans="1:6" x14ac:dyDescent="0.2">
      <c r="A634" t="s">
        <v>7738</v>
      </c>
      <c r="B634">
        <v>1080004</v>
      </c>
      <c r="C634" t="s">
        <v>7739</v>
      </c>
      <c r="D634" t="s">
        <v>6068</v>
      </c>
      <c r="E634">
        <f t="shared" si="9"/>
        <v>33</v>
      </c>
      <c r="F634">
        <f>+COUNTIF(ADV!Z:Z,A634)+COUNTIF(ADV!X:X,A634)+COUNTIF(ADV!Y:Y,A634)</f>
        <v>0</v>
      </c>
    </row>
    <row r="635" spans="1:6" x14ac:dyDescent="0.2">
      <c r="A635" t="s">
        <v>7740</v>
      </c>
      <c r="B635">
        <v>1010159</v>
      </c>
      <c r="C635" t="s">
        <v>7741</v>
      </c>
      <c r="D635" t="s">
        <v>6068</v>
      </c>
      <c r="E635">
        <f t="shared" si="9"/>
        <v>462</v>
      </c>
      <c r="F635">
        <f>+COUNTIF(ADV!Z:Z,A635)+COUNTIF(ADV!X:X,A635)+COUNTIF(ADV!Y:Y,A635)</f>
        <v>0</v>
      </c>
    </row>
    <row r="636" spans="1:6" x14ac:dyDescent="0.2">
      <c r="A636" t="s">
        <v>2956</v>
      </c>
      <c r="B636">
        <v>1010159</v>
      </c>
      <c r="C636" t="s">
        <v>6311</v>
      </c>
      <c r="D636" t="s">
        <v>6068</v>
      </c>
      <c r="E636">
        <f t="shared" si="9"/>
        <v>463</v>
      </c>
      <c r="F636">
        <f>+COUNTIF(ADV!Z:Z,A636)+COUNTIF(ADV!X:X,A636)+COUNTIF(ADV!Y:Y,A636)</f>
        <v>0</v>
      </c>
    </row>
    <row r="637" spans="1:6" x14ac:dyDescent="0.2">
      <c r="A637" t="s">
        <v>7742</v>
      </c>
      <c r="B637">
        <v>1020022</v>
      </c>
      <c r="C637" t="s">
        <v>7743</v>
      </c>
      <c r="D637" t="s">
        <v>6068</v>
      </c>
      <c r="E637">
        <f t="shared" si="9"/>
        <v>159</v>
      </c>
      <c r="F637">
        <f>+COUNTIF(ADV!Z:Z,A637)+COUNTIF(ADV!X:X,A637)+COUNTIF(ADV!Y:Y,A637)</f>
        <v>0</v>
      </c>
    </row>
    <row r="638" spans="1:6" x14ac:dyDescent="0.2">
      <c r="A638" t="s">
        <v>3579</v>
      </c>
      <c r="B638">
        <v>1020022</v>
      </c>
      <c r="C638" t="s">
        <v>6312</v>
      </c>
      <c r="D638" t="s">
        <v>6068</v>
      </c>
      <c r="E638">
        <f t="shared" si="9"/>
        <v>159</v>
      </c>
      <c r="F638">
        <f>+COUNTIF(ADV!Z:Z,A638)+COUNTIF(ADV!X:X,A638)+COUNTIF(ADV!Y:Y,A638)</f>
        <v>0</v>
      </c>
    </row>
    <row r="639" spans="1:6" x14ac:dyDescent="0.2">
      <c r="A639" t="s">
        <v>7744</v>
      </c>
      <c r="B639">
        <v>1010003</v>
      </c>
      <c r="C639" t="s">
        <v>7550</v>
      </c>
      <c r="D639" t="s">
        <v>6068</v>
      </c>
      <c r="E639">
        <f t="shared" si="9"/>
        <v>148</v>
      </c>
      <c r="F639">
        <f>+COUNTIF(ADV!Z:Z,A639)+COUNTIF(ADV!X:X,A639)+COUNTIF(ADV!Y:Y,A639)</f>
        <v>0</v>
      </c>
    </row>
    <row r="640" spans="1:6" x14ac:dyDescent="0.2">
      <c r="A640" t="s">
        <v>7745</v>
      </c>
      <c r="B640">
        <v>1010099</v>
      </c>
      <c r="C640" t="s">
        <v>7746</v>
      </c>
      <c r="D640" t="s">
        <v>6068</v>
      </c>
      <c r="E640">
        <f t="shared" si="9"/>
        <v>568</v>
      </c>
      <c r="F640">
        <f>+COUNTIF(ADV!Z:Z,A640)+COUNTIF(ADV!X:X,A640)+COUNTIF(ADV!Y:Y,A640)</f>
        <v>0</v>
      </c>
    </row>
    <row r="641" spans="1:6" x14ac:dyDescent="0.2">
      <c r="A641" t="s">
        <v>2518</v>
      </c>
      <c r="B641">
        <v>1010099</v>
      </c>
      <c r="C641" t="s">
        <v>6313</v>
      </c>
      <c r="D641" t="s">
        <v>6068</v>
      </c>
      <c r="E641">
        <f t="shared" si="9"/>
        <v>564</v>
      </c>
      <c r="F641">
        <f>+COUNTIF(ADV!Z:Z,A641)+COUNTIF(ADV!X:X,A641)+COUNTIF(ADV!Y:Y,A641)</f>
        <v>1</v>
      </c>
    </row>
    <row r="642" spans="1:6" x14ac:dyDescent="0.2">
      <c r="A642" t="s">
        <v>4438</v>
      </c>
      <c r="B642">
        <v>1010047</v>
      </c>
      <c r="C642" t="s">
        <v>6314</v>
      </c>
      <c r="D642" t="s">
        <v>6068</v>
      </c>
      <c r="E642">
        <f t="shared" ref="E642:E705" si="10">+LEN(C642)</f>
        <v>487</v>
      </c>
      <c r="F642">
        <f>+COUNTIF(ADV!Z:Z,A642)+COUNTIF(ADV!X:X,A642)+COUNTIF(ADV!Y:Y,A642)</f>
        <v>0</v>
      </c>
    </row>
    <row r="643" spans="1:6" x14ac:dyDescent="0.2">
      <c r="A643" t="s">
        <v>7747</v>
      </c>
      <c r="B643">
        <v>1010015</v>
      </c>
      <c r="C643" t="s">
        <v>7748</v>
      </c>
      <c r="D643" t="s">
        <v>6068</v>
      </c>
      <c r="E643">
        <f t="shared" si="10"/>
        <v>276</v>
      </c>
      <c r="F643">
        <f>+COUNTIF(ADV!Z:Z,A643)+COUNTIF(ADV!X:X,A643)+COUNTIF(ADV!Y:Y,A643)</f>
        <v>0</v>
      </c>
    </row>
    <row r="644" spans="1:6" x14ac:dyDescent="0.2">
      <c r="A644" t="s">
        <v>7749</v>
      </c>
      <c r="B644">
        <v>1010015</v>
      </c>
      <c r="C644" t="s">
        <v>7750</v>
      </c>
      <c r="D644" t="s">
        <v>6068</v>
      </c>
      <c r="E644">
        <f t="shared" si="10"/>
        <v>276</v>
      </c>
      <c r="F644">
        <f>+COUNTIF(ADV!Z:Z,A644)+COUNTIF(ADV!X:X,A644)+COUNTIF(ADV!Y:Y,A644)</f>
        <v>0</v>
      </c>
    </row>
    <row r="645" spans="1:6" x14ac:dyDescent="0.2">
      <c r="A645" t="s">
        <v>4409</v>
      </c>
      <c r="B645">
        <v>1010015</v>
      </c>
      <c r="C645" t="s">
        <v>6315</v>
      </c>
      <c r="D645" t="s">
        <v>6068</v>
      </c>
      <c r="E645">
        <f t="shared" si="10"/>
        <v>442</v>
      </c>
      <c r="F645">
        <f>+COUNTIF(ADV!Z:Z,A645)+COUNTIF(ADV!X:X,A645)+COUNTIF(ADV!Y:Y,A645)</f>
        <v>0</v>
      </c>
    </row>
    <row r="646" spans="1:6" x14ac:dyDescent="0.2">
      <c r="A646" t="s">
        <v>4498</v>
      </c>
      <c r="B646">
        <v>1010034</v>
      </c>
      <c r="C646" t="s">
        <v>6316</v>
      </c>
      <c r="D646" t="s">
        <v>6068</v>
      </c>
      <c r="E646">
        <f t="shared" si="10"/>
        <v>251</v>
      </c>
      <c r="F646">
        <f>+COUNTIF(ADV!Z:Z,A646)+COUNTIF(ADV!X:X,A646)+COUNTIF(ADV!Y:Y,A646)</f>
        <v>0</v>
      </c>
    </row>
    <row r="647" spans="1:6" x14ac:dyDescent="0.2">
      <c r="A647" t="s">
        <v>7751</v>
      </c>
      <c r="B647">
        <v>1010003</v>
      </c>
      <c r="C647" t="s">
        <v>7752</v>
      </c>
      <c r="D647" t="s">
        <v>6068</v>
      </c>
      <c r="E647">
        <f t="shared" si="10"/>
        <v>49</v>
      </c>
      <c r="F647">
        <f>+COUNTIF(ADV!Z:Z,A647)+COUNTIF(ADV!X:X,A647)+COUNTIF(ADV!Y:Y,A647)</f>
        <v>0</v>
      </c>
    </row>
    <row r="648" spans="1:6" x14ac:dyDescent="0.2">
      <c r="A648" t="s">
        <v>7753</v>
      </c>
      <c r="B648">
        <v>1010003</v>
      </c>
      <c r="C648" t="s">
        <v>7754</v>
      </c>
      <c r="D648" t="s">
        <v>6068</v>
      </c>
      <c r="E648">
        <f t="shared" si="10"/>
        <v>49</v>
      </c>
      <c r="F648">
        <f>+COUNTIF(ADV!Z:Z,A648)+COUNTIF(ADV!X:X,A648)+COUNTIF(ADV!Y:Y,A648)</f>
        <v>0</v>
      </c>
    </row>
    <row r="649" spans="1:6" x14ac:dyDescent="0.2">
      <c r="A649" t="s">
        <v>7755</v>
      </c>
      <c r="B649">
        <v>1010003</v>
      </c>
      <c r="C649" t="s">
        <v>7756</v>
      </c>
      <c r="D649" t="s">
        <v>6068</v>
      </c>
      <c r="E649">
        <f t="shared" si="10"/>
        <v>49</v>
      </c>
      <c r="F649">
        <f>+COUNTIF(ADV!Z:Z,A649)+COUNTIF(ADV!X:X,A649)+COUNTIF(ADV!Y:Y,A649)</f>
        <v>0</v>
      </c>
    </row>
    <row r="650" spans="1:6" x14ac:dyDescent="0.2">
      <c r="A650" t="s">
        <v>7757</v>
      </c>
      <c r="B650">
        <v>1010003</v>
      </c>
      <c r="C650" t="s">
        <v>7758</v>
      </c>
      <c r="D650" t="s">
        <v>6068</v>
      </c>
      <c r="E650">
        <f t="shared" si="10"/>
        <v>49</v>
      </c>
      <c r="F650">
        <f>+COUNTIF(ADV!Z:Z,A650)+COUNTIF(ADV!X:X,A650)+COUNTIF(ADV!Y:Y,A650)</f>
        <v>0</v>
      </c>
    </row>
    <row r="651" spans="1:6" x14ac:dyDescent="0.2">
      <c r="A651" t="s">
        <v>7759</v>
      </c>
      <c r="B651">
        <v>1010003</v>
      </c>
      <c r="C651" t="s">
        <v>7760</v>
      </c>
      <c r="D651" t="s">
        <v>6068</v>
      </c>
      <c r="E651">
        <f t="shared" si="10"/>
        <v>49</v>
      </c>
      <c r="F651">
        <f>+COUNTIF(ADV!Z:Z,A651)+COUNTIF(ADV!X:X,A651)+COUNTIF(ADV!Y:Y,A651)</f>
        <v>0</v>
      </c>
    </row>
    <row r="652" spans="1:6" x14ac:dyDescent="0.2">
      <c r="A652" t="s">
        <v>7761</v>
      </c>
      <c r="B652">
        <v>1030011</v>
      </c>
      <c r="C652" t="s">
        <v>7138</v>
      </c>
      <c r="D652" t="s">
        <v>6068</v>
      </c>
      <c r="E652">
        <f t="shared" si="10"/>
        <v>48</v>
      </c>
      <c r="F652">
        <f>+COUNTIF(ADV!Z:Z,A652)+COUNTIF(ADV!X:X,A652)+COUNTIF(ADV!Y:Y,A652)</f>
        <v>0</v>
      </c>
    </row>
    <row r="653" spans="1:6" x14ac:dyDescent="0.2">
      <c r="A653" t="s">
        <v>7762</v>
      </c>
      <c r="B653">
        <v>1030011</v>
      </c>
      <c r="C653" t="s">
        <v>6130</v>
      </c>
      <c r="D653" t="s">
        <v>6068</v>
      </c>
      <c r="E653">
        <f t="shared" si="10"/>
        <v>49</v>
      </c>
      <c r="F653">
        <f>+COUNTIF(ADV!Z:Z,A653)+COUNTIF(ADV!X:X,A653)+COUNTIF(ADV!Y:Y,A653)</f>
        <v>0</v>
      </c>
    </row>
    <row r="654" spans="1:6" x14ac:dyDescent="0.2">
      <c r="A654" t="s">
        <v>468</v>
      </c>
      <c r="B654">
        <v>1030042</v>
      </c>
      <c r="C654" t="s">
        <v>6317</v>
      </c>
      <c r="D654" t="s">
        <v>6068</v>
      </c>
      <c r="E654">
        <f t="shared" si="10"/>
        <v>301</v>
      </c>
      <c r="F654">
        <f>+COUNTIF(ADV!Z:Z,A654)+COUNTIF(ADV!X:X,A654)+COUNTIF(ADV!Y:Y,A654)</f>
        <v>0</v>
      </c>
    </row>
    <row r="655" spans="1:6" x14ac:dyDescent="0.2">
      <c r="A655" t="s">
        <v>7763</v>
      </c>
      <c r="B655">
        <v>1030023</v>
      </c>
      <c r="C655" t="s">
        <v>7174</v>
      </c>
      <c r="D655" t="s">
        <v>6068</v>
      </c>
      <c r="E655">
        <f t="shared" si="10"/>
        <v>50</v>
      </c>
      <c r="F655">
        <f>+COUNTIF(ADV!Z:Z,A655)+COUNTIF(ADV!X:X,A655)+COUNTIF(ADV!Y:Y,A655)</f>
        <v>0</v>
      </c>
    </row>
    <row r="656" spans="1:6" x14ac:dyDescent="0.2">
      <c r="A656" t="s">
        <v>1213</v>
      </c>
      <c r="B656">
        <v>1030023</v>
      </c>
      <c r="C656" t="s">
        <v>6143</v>
      </c>
      <c r="D656" t="s">
        <v>6068</v>
      </c>
      <c r="E656">
        <f t="shared" si="10"/>
        <v>51</v>
      </c>
      <c r="F656">
        <f>+COUNTIF(ADV!Z:Z,A656)+COUNTIF(ADV!X:X,A656)+COUNTIF(ADV!Y:Y,A656)</f>
        <v>0</v>
      </c>
    </row>
    <row r="657" spans="1:6" x14ac:dyDescent="0.2">
      <c r="A657" t="s">
        <v>7764</v>
      </c>
      <c r="B657">
        <v>1010102</v>
      </c>
      <c r="C657" t="s">
        <v>6319</v>
      </c>
      <c r="D657" t="s">
        <v>6068</v>
      </c>
      <c r="E657">
        <f t="shared" si="10"/>
        <v>244</v>
      </c>
      <c r="F657">
        <f>+COUNTIF(ADV!Z:Z,A657)+COUNTIF(ADV!X:X,A657)+COUNTIF(ADV!Y:Y,A657)</f>
        <v>0</v>
      </c>
    </row>
    <row r="658" spans="1:6" x14ac:dyDescent="0.2">
      <c r="A658" t="s">
        <v>7765</v>
      </c>
      <c r="B658">
        <v>1010102</v>
      </c>
      <c r="C658" t="s">
        <v>7766</v>
      </c>
      <c r="D658" t="s">
        <v>6068</v>
      </c>
      <c r="E658">
        <f t="shared" si="10"/>
        <v>244</v>
      </c>
      <c r="F658">
        <f>+COUNTIF(ADV!Z:Z,A658)+COUNTIF(ADV!X:X,A658)+COUNTIF(ADV!Y:Y,A658)</f>
        <v>0</v>
      </c>
    </row>
    <row r="659" spans="1:6" x14ac:dyDescent="0.2">
      <c r="A659" t="s">
        <v>3739</v>
      </c>
      <c r="B659">
        <v>1010102</v>
      </c>
      <c r="C659" t="s">
        <v>6318</v>
      </c>
      <c r="D659" t="s">
        <v>6068</v>
      </c>
      <c r="E659">
        <f t="shared" si="10"/>
        <v>245</v>
      </c>
      <c r="F659">
        <f>+COUNTIF(ADV!Z:Z,A659)+COUNTIF(ADV!X:X,A659)+COUNTIF(ADV!Y:Y,A659)</f>
        <v>0</v>
      </c>
    </row>
    <row r="660" spans="1:6" x14ac:dyDescent="0.2">
      <c r="A660" t="s">
        <v>1406</v>
      </c>
      <c r="B660">
        <v>1010102</v>
      </c>
      <c r="C660" t="s">
        <v>6319</v>
      </c>
      <c r="D660" t="s">
        <v>6068</v>
      </c>
      <c r="E660">
        <f t="shared" si="10"/>
        <v>244</v>
      </c>
      <c r="F660">
        <f>+COUNTIF(ADV!Z:Z,A660)+COUNTIF(ADV!X:X,A660)+COUNTIF(ADV!Y:Y,A660)</f>
        <v>0</v>
      </c>
    </row>
    <row r="661" spans="1:6" x14ac:dyDescent="0.2">
      <c r="A661" t="s">
        <v>7767</v>
      </c>
      <c r="B661">
        <v>1010013</v>
      </c>
      <c r="C661" t="s">
        <v>6320</v>
      </c>
      <c r="D661" t="s">
        <v>6068</v>
      </c>
      <c r="E661">
        <f t="shared" si="10"/>
        <v>139</v>
      </c>
      <c r="F661">
        <f>+COUNTIF(ADV!Z:Z,A661)+COUNTIF(ADV!X:X,A661)+COUNTIF(ADV!Y:Y,A661)</f>
        <v>0</v>
      </c>
    </row>
    <row r="662" spans="1:6" x14ac:dyDescent="0.2">
      <c r="A662" t="s">
        <v>863</v>
      </c>
      <c r="B662">
        <v>1010013</v>
      </c>
      <c r="C662" t="s">
        <v>6320</v>
      </c>
      <c r="D662" t="s">
        <v>6068</v>
      </c>
      <c r="E662">
        <f t="shared" si="10"/>
        <v>139</v>
      </c>
      <c r="F662">
        <f>+COUNTIF(ADV!Z:Z,A662)+COUNTIF(ADV!X:X,A662)+COUNTIF(ADV!Y:Y,A662)</f>
        <v>1</v>
      </c>
    </row>
    <row r="663" spans="1:6" x14ac:dyDescent="0.2">
      <c r="A663" t="s">
        <v>1415</v>
      </c>
      <c r="B663">
        <v>1070013</v>
      </c>
      <c r="C663" t="s">
        <v>6321</v>
      </c>
      <c r="D663" t="s">
        <v>6068</v>
      </c>
      <c r="E663">
        <f t="shared" si="10"/>
        <v>213</v>
      </c>
      <c r="F663">
        <f>+COUNTIF(ADV!Z:Z,A663)+COUNTIF(ADV!X:X,A663)+COUNTIF(ADV!Y:Y,A663)</f>
        <v>0</v>
      </c>
    </row>
    <row r="664" spans="1:6" x14ac:dyDescent="0.2">
      <c r="A664" t="s">
        <v>7768</v>
      </c>
      <c r="B664">
        <v>1100002</v>
      </c>
      <c r="C664" t="s">
        <v>7769</v>
      </c>
      <c r="D664" t="s">
        <v>6068</v>
      </c>
      <c r="E664">
        <f t="shared" si="10"/>
        <v>41</v>
      </c>
      <c r="F664">
        <f>+COUNTIF(ADV!Z:Z,A664)+COUNTIF(ADV!X:X,A664)+COUNTIF(ADV!Y:Y,A664)</f>
        <v>0</v>
      </c>
    </row>
    <row r="665" spans="1:6" x14ac:dyDescent="0.2">
      <c r="A665" t="s">
        <v>7770</v>
      </c>
      <c r="B665">
        <v>1100002</v>
      </c>
      <c r="C665" t="s">
        <v>7771</v>
      </c>
      <c r="D665" t="s">
        <v>6068</v>
      </c>
      <c r="E665">
        <f t="shared" si="10"/>
        <v>41</v>
      </c>
      <c r="F665">
        <f>+COUNTIF(ADV!Z:Z,A665)+COUNTIF(ADV!X:X,A665)+COUNTIF(ADV!Y:Y,A665)</f>
        <v>0</v>
      </c>
    </row>
    <row r="666" spans="1:6" x14ac:dyDescent="0.2">
      <c r="A666" t="s">
        <v>7772</v>
      </c>
      <c r="B666">
        <v>1100002</v>
      </c>
      <c r="C666" t="s">
        <v>7773</v>
      </c>
      <c r="D666" t="s">
        <v>6068</v>
      </c>
      <c r="E666">
        <f t="shared" si="10"/>
        <v>41</v>
      </c>
      <c r="F666">
        <f>+COUNTIF(ADV!Z:Z,A666)+COUNTIF(ADV!X:X,A666)+COUNTIF(ADV!Y:Y,A666)</f>
        <v>0</v>
      </c>
    </row>
    <row r="667" spans="1:6" x14ac:dyDescent="0.2">
      <c r="A667" t="s">
        <v>7774</v>
      </c>
      <c r="B667">
        <v>1010104</v>
      </c>
      <c r="C667" t="s">
        <v>7775</v>
      </c>
      <c r="D667" t="s">
        <v>6068</v>
      </c>
      <c r="E667">
        <f t="shared" si="10"/>
        <v>526</v>
      </c>
      <c r="F667">
        <f>+COUNTIF(ADV!Z:Z,A667)+COUNTIF(ADV!X:X,A667)+COUNTIF(ADV!Y:Y,A667)</f>
        <v>0</v>
      </c>
    </row>
    <row r="668" spans="1:6" x14ac:dyDescent="0.2">
      <c r="A668" t="s">
        <v>2217</v>
      </c>
      <c r="B668">
        <v>1010104</v>
      </c>
      <c r="C668" t="s">
        <v>6322</v>
      </c>
      <c r="D668" t="s">
        <v>6068</v>
      </c>
      <c r="E668">
        <f t="shared" si="10"/>
        <v>526</v>
      </c>
      <c r="F668">
        <f>+COUNTIF(ADV!Z:Z,A668)+COUNTIF(ADV!X:X,A668)+COUNTIF(ADV!Y:Y,A668)</f>
        <v>0</v>
      </c>
    </row>
    <row r="669" spans="1:6" x14ac:dyDescent="0.2">
      <c r="A669" t="s">
        <v>7776</v>
      </c>
      <c r="B669">
        <v>1010066</v>
      </c>
      <c r="C669" t="s">
        <v>7777</v>
      </c>
      <c r="D669" t="s">
        <v>6068</v>
      </c>
      <c r="E669">
        <f t="shared" si="10"/>
        <v>1354</v>
      </c>
      <c r="F669">
        <f>+COUNTIF(ADV!Z:Z,A669)+COUNTIF(ADV!X:X,A669)+COUNTIF(ADV!Y:Y,A669)</f>
        <v>0</v>
      </c>
    </row>
    <row r="670" spans="1:6" x14ac:dyDescent="0.2">
      <c r="A670" t="s">
        <v>2619</v>
      </c>
      <c r="B670">
        <v>1010066</v>
      </c>
      <c r="C670" t="s">
        <v>6323</v>
      </c>
      <c r="D670" t="s">
        <v>6068</v>
      </c>
      <c r="E670">
        <f t="shared" si="10"/>
        <v>1352</v>
      </c>
      <c r="F670">
        <f>+COUNTIF(ADV!Z:Z,A670)+COUNTIF(ADV!X:X,A670)+COUNTIF(ADV!Y:Y,A670)</f>
        <v>0</v>
      </c>
    </row>
    <row r="671" spans="1:6" x14ac:dyDescent="0.2">
      <c r="A671" t="s">
        <v>7778</v>
      </c>
      <c r="B671">
        <v>1100002</v>
      </c>
      <c r="C671" t="s">
        <v>7779</v>
      </c>
      <c r="D671" t="s">
        <v>6068</v>
      </c>
      <c r="E671">
        <f t="shared" si="10"/>
        <v>46</v>
      </c>
      <c r="F671">
        <f>+COUNTIF(ADV!Z:Z,A671)+COUNTIF(ADV!X:X,A671)+COUNTIF(ADV!Y:Y,A671)</f>
        <v>0</v>
      </c>
    </row>
    <row r="672" spans="1:6" x14ac:dyDescent="0.2">
      <c r="A672" t="s">
        <v>7780</v>
      </c>
      <c r="B672">
        <v>1100002</v>
      </c>
      <c r="C672" t="s">
        <v>7781</v>
      </c>
      <c r="D672" t="s">
        <v>6068</v>
      </c>
      <c r="E672">
        <f t="shared" si="10"/>
        <v>46</v>
      </c>
      <c r="F672">
        <f>+COUNTIF(ADV!Z:Z,A672)+COUNTIF(ADV!X:X,A672)+COUNTIF(ADV!Y:Y,A672)</f>
        <v>0</v>
      </c>
    </row>
    <row r="673" spans="1:6" x14ac:dyDescent="0.2">
      <c r="A673" t="s">
        <v>7782</v>
      </c>
      <c r="B673">
        <v>1100002</v>
      </c>
      <c r="C673" t="s">
        <v>7783</v>
      </c>
      <c r="D673" t="s">
        <v>6068</v>
      </c>
      <c r="E673">
        <f t="shared" si="10"/>
        <v>46</v>
      </c>
      <c r="F673">
        <f>+COUNTIF(ADV!Z:Z,A673)+COUNTIF(ADV!X:X,A673)+COUNTIF(ADV!Y:Y,A673)</f>
        <v>0</v>
      </c>
    </row>
    <row r="674" spans="1:6" x14ac:dyDescent="0.2">
      <c r="A674" t="s">
        <v>7784</v>
      </c>
      <c r="B674">
        <v>1100002</v>
      </c>
      <c r="C674" t="s">
        <v>7785</v>
      </c>
      <c r="D674" t="s">
        <v>6068</v>
      </c>
      <c r="E674">
        <f t="shared" si="10"/>
        <v>46</v>
      </c>
      <c r="F674">
        <f>+COUNTIF(ADV!Z:Z,A674)+COUNTIF(ADV!X:X,A674)+COUNTIF(ADV!Y:Y,A674)</f>
        <v>0</v>
      </c>
    </row>
    <row r="675" spans="1:6" x14ac:dyDescent="0.2">
      <c r="A675" t="s">
        <v>7786</v>
      </c>
      <c r="B675">
        <v>1010174</v>
      </c>
      <c r="C675" t="s">
        <v>7787</v>
      </c>
      <c r="D675" t="s">
        <v>6068</v>
      </c>
      <c r="E675">
        <f t="shared" si="10"/>
        <v>672</v>
      </c>
      <c r="F675">
        <f>+COUNTIF(ADV!Z:Z,A675)+COUNTIF(ADV!X:X,A675)+COUNTIF(ADV!Y:Y,A675)</f>
        <v>0</v>
      </c>
    </row>
    <row r="676" spans="1:6" x14ac:dyDescent="0.2">
      <c r="A676" t="s">
        <v>4180</v>
      </c>
      <c r="B676">
        <v>1010174</v>
      </c>
      <c r="C676" t="s">
        <v>6324</v>
      </c>
      <c r="D676" t="s">
        <v>6068</v>
      </c>
      <c r="E676">
        <f t="shared" si="10"/>
        <v>673</v>
      </c>
      <c r="F676">
        <f>+COUNTIF(ADV!Z:Z,A676)+COUNTIF(ADV!X:X,A676)+COUNTIF(ADV!Y:Y,A676)</f>
        <v>0</v>
      </c>
    </row>
    <row r="677" spans="1:6" x14ac:dyDescent="0.2">
      <c r="A677" t="s">
        <v>3670</v>
      </c>
      <c r="B677">
        <v>1010131</v>
      </c>
      <c r="C677" t="s">
        <v>6325</v>
      </c>
      <c r="D677" t="s">
        <v>6068</v>
      </c>
      <c r="E677">
        <f t="shared" si="10"/>
        <v>418</v>
      </c>
      <c r="F677">
        <f>+COUNTIF(ADV!Z:Z,A677)+COUNTIF(ADV!X:X,A677)+COUNTIF(ADV!Y:Y,A677)</f>
        <v>0</v>
      </c>
    </row>
    <row r="678" spans="1:6" x14ac:dyDescent="0.2">
      <c r="A678" t="s">
        <v>7788</v>
      </c>
      <c r="B678">
        <v>1010079</v>
      </c>
      <c r="C678" t="s">
        <v>7789</v>
      </c>
      <c r="D678" t="s">
        <v>6068</v>
      </c>
      <c r="E678">
        <f t="shared" si="10"/>
        <v>188</v>
      </c>
      <c r="F678">
        <f>+COUNTIF(ADV!Z:Z,A678)+COUNTIF(ADV!X:X,A678)+COUNTIF(ADV!Y:Y,A678)</f>
        <v>0</v>
      </c>
    </row>
    <row r="679" spans="1:6" x14ac:dyDescent="0.2">
      <c r="A679" t="s">
        <v>1933</v>
      </c>
      <c r="B679">
        <v>1010079</v>
      </c>
      <c r="C679" t="s">
        <v>6326</v>
      </c>
      <c r="D679" t="s">
        <v>6068</v>
      </c>
      <c r="E679">
        <f t="shared" si="10"/>
        <v>188</v>
      </c>
      <c r="F679">
        <f>+COUNTIF(ADV!Z:Z,A679)+COUNTIF(ADV!X:X,A679)+COUNTIF(ADV!Y:Y,A679)</f>
        <v>0</v>
      </c>
    </row>
    <row r="680" spans="1:6" x14ac:dyDescent="0.2">
      <c r="A680" t="s">
        <v>7790</v>
      </c>
      <c r="B680">
        <v>1020022</v>
      </c>
      <c r="C680" t="s">
        <v>7791</v>
      </c>
      <c r="D680" t="s">
        <v>6068</v>
      </c>
      <c r="E680">
        <f t="shared" si="10"/>
        <v>313</v>
      </c>
      <c r="F680">
        <f>+COUNTIF(ADV!Z:Z,A680)+COUNTIF(ADV!X:X,A680)+COUNTIF(ADV!Y:Y,A680)</f>
        <v>0</v>
      </c>
    </row>
    <row r="681" spans="1:6" x14ac:dyDescent="0.2">
      <c r="A681" t="s">
        <v>7792</v>
      </c>
      <c r="B681">
        <v>1020022</v>
      </c>
      <c r="C681" t="s">
        <v>7793</v>
      </c>
      <c r="D681" t="s">
        <v>6068</v>
      </c>
      <c r="E681">
        <f t="shared" si="10"/>
        <v>313</v>
      </c>
      <c r="F681">
        <f>+COUNTIF(ADV!Z:Z,A681)+COUNTIF(ADV!X:X,A681)+COUNTIF(ADV!Y:Y,A681)</f>
        <v>0</v>
      </c>
    </row>
    <row r="682" spans="1:6" x14ac:dyDescent="0.2">
      <c r="A682" t="s">
        <v>7794</v>
      </c>
      <c r="B682">
        <v>1010038</v>
      </c>
      <c r="C682" t="s">
        <v>7795</v>
      </c>
      <c r="D682" t="s">
        <v>6068</v>
      </c>
      <c r="E682">
        <f t="shared" si="10"/>
        <v>237</v>
      </c>
      <c r="F682">
        <f>+COUNTIF(ADV!Z:Z,A682)+COUNTIF(ADV!X:X,A682)+COUNTIF(ADV!Y:Y,A682)</f>
        <v>0</v>
      </c>
    </row>
    <row r="683" spans="1:6" x14ac:dyDescent="0.2">
      <c r="A683" t="s">
        <v>4463</v>
      </c>
      <c r="B683">
        <v>1010038</v>
      </c>
      <c r="C683" t="s">
        <v>6327</v>
      </c>
      <c r="D683" t="s">
        <v>6068</v>
      </c>
      <c r="E683">
        <f t="shared" si="10"/>
        <v>237</v>
      </c>
      <c r="F683">
        <f>+COUNTIF(ADV!Z:Z,A683)+COUNTIF(ADV!X:X,A683)+COUNTIF(ADV!Y:Y,A683)</f>
        <v>0</v>
      </c>
    </row>
    <row r="684" spans="1:6" x14ac:dyDescent="0.2">
      <c r="A684" t="s">
        <v>7796</v>
      </c>
      <c r="B684">
        <v>1010012</v>
      </c>
      <c r="C684" t="s">
        <v>7797</v>
      </c>
      <c r="D684" t="s">
        <v>6068</v>
      </c>
      <c r="E684">
        <f t="shared" si="10"/>
        <v>131</v>
      </c>
      <c r="F684">
        <f>+COUNTIF(ADV!Z:Z,A684)+COUNTIF(ADV!X:X,A684)+COUNTIF(ADV!Y:Y,A684)</f>
        <v>0</v>
      </c>
    </row>
    <row r="685" spans="1:6" x14ac:dyDescent="0.2">
      <c r="A685" t="s">
        <v>3083</v>
      </c>
      <c r="B685">
        <v>1010012</v>
      </c>
      <c r="C685" t="s">
        <v>6328</v>
      </c>
      <c r="D685" t="s">
        <v>6068</v>
      </c>
      <c r="E685">
        <f t="shared" si="10"/>
        <v>100</v>
      </c>
      <c r="F685">
        <f>+COUNTIF(ADV!Z:Z,A685)+COUNTIF(ADV!X:X,A685)+COUNTIF(ADV!Y:Y,A685)</f>
        <v>0</v>
      </c>
    </row>
    <row r="686" spans="1:6" x14ac:dyDescent="0.2">
      <c r="A686" t="s">
        <v>378</v>
      </c>
      <c r="B686">
        <v>1020038</v>
      </c>
      <c r="C686" t="s">
        <v>6329</v>
      </c>
      <c r="D686" t="s">
        <v>6068</v>
      </c>
      <c r="E686">
        <f t="shared" si="10"/>
        <v>313</v>
      </c>
      <c r="F686">
        <f>+COUNTIF(ADV!Z:Z,A686)+COUNTIF(ADV!X:X,A686)+COUNTIF(ADV!Y:Y,A686)</f>
        <v>0</v>
      </c>
    </row>
    <row r="687" spans="1:6" x14ac:dyDescent="0.2">
      <c r="A687" t="s">
        <v>7798</v>
      </c>
      <c r="B687">
        <v>1010176</v>
      </c>
      <c r="C687" t="s">
        <v>7799</v>
      </c>
      <c r="D687" t="s">
        <v>6068</v>
      </c>
      <c r="E687">
        <f t="shared" si="10"/>
        <v>1058</v>
      </c>
      <c r="F687">
        <f>+COUNTIF(ADV!Z:Z,A687)+COUNTIF(ADV!X:X,A687)+COUNTIF(ADV!Y:Y,A687)</f>
        <v>0</v>
      </c>
    </row>
    <row r="688" spans="1:6" x14ac:dyDescent="0.2">
      <c r="A688" t="s">
        <v>3619</v>
      </c>
      <c r="B688">
        <v>1010176</v>
      </c>
      <c r="C688" t="s">
        <v>6330</v>
      </c>
      <c r="D688" t="s">
        <v>6068</v>
      </c>
      <c r="E688">
        <f t="shared" si="10"/>
        <v>1157</v>
      </c>
      <c r="F688">
        <f>+COUNTIF(ADV!Z:Z,A688)+COUNTIF(ADV!X:X,A688)+COUNTIF(ADV!Y:Y,A688)</f>
        <v>0</v>
      </c>
    </row>
    <row r="689" spans="1:6" x14ac:dyDescent="0.2">
      <c r="A689" t="s">
        <v>7800</v>
      </c>
      <c r="B689">
        <v>1020040</v>
      </c>
      <c r="C689" t="s">
        <v>7801</v>
      </c>
      <c r="D689" t="s">
        <v>6068</v>
      </c>
      <c r="E689">
        <f t="shared" si="10"/>
        <v>351</v>
      </c>
      <c r="F689">
        <f>+COUNTIF(ADV!Z:Z,A689)+COUNTIF(ADV!X:X,A689)+COUNTIF(ADV!Y:Y,A689)</f>
        <v>0</v>
      </c>
    </row>
    <row r="690" spans="1:6" x14ac:dyDescent="0.2">
      <c r="A690" t="s">
        <v>1919</v>
      </c>
      <c r="B690">
        <v>1020040</v>
      </c>
      <c r="C690" t="s">
        <v>6331</v>
      </c>
      <c r="D690" t="s">
        <v>6068</v>
      </c>
      <c r="E690">
        <f t="shared" si="10"/>
        <v>349</v>
      </c>
      <c r="F690">
        <f>+COUNTIF(ADV!Z:Z,A690)+COUNTIF(ADV!X:X,A690)+COUNTIF(ADV!Y:Y,A690)</f>
        <v>0</v>
      </c>
    </row>
    <row r="691" spans="1:6" x14ac:dyDescent="0.2">
      <c r="A691" t="s">
        <v>2242</v>
      </c>
      <c r="B691">
        <v>1010154</v>
      </c>
      <c r="C691" t="s">
        <v>6332</v>
      </c>
      <c r="D691" t="s">
        <v>6068</v>
      </c>
      <c r="E691">
        <f t="shared" si="10"/>
        <v>443</v>
      </c>
      <c r="F691">
        <f>+COUNTIF(ADV!Z:Z,A691)+COUNTIF(ADV!X:X,A691)+COUNTIF(ADV!Y:Y,A691)</f>
        <v>0</v>
      </c>
    </row>
    <row r="692" spans="1:6" x14ac:dyDescent="0.2">
      <c r="A692" t="s">
        <v>7802</v>
      </c>
      <c r="B692">
        <v>1010149</v>
      </c>
      <c r="C692" t="s">
        <v>7803</v>
      </c>
      <c r="D692" t="s">
        <v>6068</v>
      </c>
      <c r="E692">
        <f t="shared" si="10"/>
        <v>1072</v>
      </c>
      <c r="F692">
        <f>+COUNTIF(ADV!Z:Z,A692)+COUNTIF(ADV!X:X,A692)+COUNTIF(ADV!Y:Y,A692)</f>
        <v>0</v>
      </c>
    </row>
    <row r="693" spans="1:6" x14ac:dyDescent="0.2">
      <c r="A693" t="s">
        <v>3783</v>
      </c>
      <c r="B693">
        <v>1010149</v>
      </c>
      <c r="C693" t="s">
        <v>6333</v>
      </c>
      <c r="D693" t="s">
        <v>6068</v>
      </c>
      <c r="E693">
        <f t="shared" si="10"/>
        <v>1073</v>
      </c>
      <c r="F693">
        <f>+COUNTIF(ADV!Z:Z,A693)+COUNTIF(ADV!X:X,A693)+COUNTIF(ADV!Y:Y,A693)</f>
        <v>1</v>
      </c>
    </row>
    <row r="694" spans="1:6" x14ac:dyDescent="0.2">
      <c r="A694" t="s">
        <v>7804</v>
      </c>
      <c r="B694">
        <v>1010024</v>
      </c>
      <c r="C694" t="s">
        <v>7805</v>
      </c>
      <c r="D694" t="s">
        <v>6068</v>
      </c>
      <c r="E694">
        <f t="shared" si="10"/>
        <v>95</v>
      </c>
      <c r="F694">
        <f>+COUNTIF(ADV!Z:Z,A694)+COUNTIF(ADV!X:X,A694)+COUNTIF(ADV!Y:Y,A694)</f>
        <v>0</v>
      </c>
    </row>
    <row r="695" spans="1:6" x14ac:dyDescent="0.2">
      <c r="A695" t="s">
        <v>781</v>
      </c>
      <c r="B695">
        <v>1010024</v>
      </c>
      <c r="C695" t="s">
        <v>6334</v>
      </c>
      <c r="D695" t="s">
        <v>6068</v>
      </c>
      <c r="E695">
        <f t="shared" si="10"/>
        <v>95</v>
      </c>
      <c r="F695">
        <f>+COUNTIF(ADV!Z:Z,A695)+COUNTIF(ADV!X:X,A695)+COUNTIF(ADV!Y:Y,A695)</f>
        <v>0</v>
      </c>
    </row>
    <row r="696" spans="1:6" x14ac:dyDescent="0.2">
      <c r="A696" t="s">
        <v>7806</v>
      </c>
      <c r="B696">
        <v>1010010</v>
      </c>
      <c r="C696" t="s">
        <v>7807</v>
      </c>
      <c r="D696" t="s">
        <v>6068</v>
      </c>
      <c r="E696">
        <f t="shared" si="10"/>
        <v>54</v>
      </c>
      <c r="F696">
        <f>+COUNTIF(ADV!Z:Z,A696)+COUNTIF(ADV!X:X,A696)+COUNTIF(ADV!Y:Y,A696)</f>
        <v>0</v>
      </c>
    </row>
    <row r="697" spans="1:6" x14ac:dyDescent="0.2">
      <c r="A697" t="s">
        <v>1511</v>
      </c>
      <c r="B697">
        <v>1010010</v>
      </c>
      <c r="C697" t="s">
        <v>6335</v>
      </c>
      <c r="D697" t="s">
        <v>6068</v>
      </c>
      <c r="E697">
        <f t="shared" si="10"/>
        <v>54</v>
      </c>
      <c r="F697">
        <f>+COUNTIF(ADV!Z:Z,A697)+COUNTIF(ADV!X:X,A697)+COUNTIF(ADV!Y:Y,A697)</f>
        <v>0</v>
      </c>
    </row>
    <row r="698" spans="1:6" x14ac:dyDescent="0.2">
      <c r="A698" t="s">
        <v>417</v>
      </c>
      <c r="B698">
        <v>1010010</v>
      </c>
      <c r="C698" t="s">
        <v>6336</v>
      </c>
      <c r="D698" t="s">
        <v>6068</v>
      </c>
      <c r="E698">
        <f t="shared" si="10"/>
        <v>54</v>
      </c>
      <c r="F698">
        <f>+COUNTIF(ADV!Z:Z,A698)+COUNTIF(ADV!X:X,A698)+COUNTIF(ADV!Y:Y,A698)</f>
        <v>7</v>
      </c>
    </row>
    <row r="699" spans="1:6" x14ac:dyDescent="0.2">
      <c r="A699" t="s">
        <v>7808</v>
      </c>
      <c r="B699">
        <v>1010010</v>
      </c>
      <c r="C699" t="s">
        <v>7809</v>
      </c>
      <c r="D699" t="s">
        <v>6068</v>
      </c>
      <c r="E699">
        <f t="shared" si="10"/>
        <v>53</v>
      </c>
      <c r="F699">
        <f>+COUNTIF(ADV!Z:Z,A699)+COUNTIF(ADV!X:X,A699)+COUNTIF(ADV!Y:Y,A699)</f>
        <v>0</v>
      </c>
    </row>
    <row r="700" spans="1:6" x14ac:dyDescent="0.2">
      <c r="A700" t="s">
        <v>7810</v>
      </c>
      <c r="B700">
        <v>1010010</v>
      </c>
      <c r="C700" t="s">
        <v>7811</v>
      </c>
      <c r="D700" t="s">
        <v>6068</v>
      </c>
      <c r="E700">
        <f t="shared" si="10"/>
        <v>53</v>
      </c>
      <c r="F700">
        <f>+COUNTIF(ADV!Z:Z,A700)+COUNTIF(ADV!X:X,A700)+COUNTIF(ADV!Y:Y,A700)</f>
        <v>0</v>
      </c>
    </row>
    <row r="701" spans="1:6" x14ac:dyDescent="0.2">
      <c r="A701" t="s">
        <v>7812</v>
      </c>
      <c r="B701">
        <v>1010010</v>
      </c>
      <c r="C701" t="s">
        <v>7813</v>
      </c>
      <c r="D701" t="s">
        <v>6068</v>
      </c>
      <c r="E701">
        <f t="shared" si="10"/>
        <v>53</v>
      </c>
      <c r="F701">
        <f>+COUNTIF(ADV!Z:Z,A701)+COUNTIF(ADV!X:X,A701)+COUNTIF(ADV!Y:Y,A701)</f>
        <v>0</v>
      </c>
    </row>
    <row r="702" spans="1:6" x14ac:dyDescent="0.2">
      <c r="A702" t="s">
        <v>2170</v>
      </c>
      <c r="B702">
        <v>1010010</v>
      </c>
      <c r="C702" t="s">
        <v>6337</v>
      </c>
      <c r="D702" t="s">
        <v>6068</v>
      </c>
      <c r="E702">
        <f t="shared" si="10"/>
        <v>53</v>
      </c>
      <c r="F702">
        <f>+COUNTIF(ADV!Z:Z,A702)+COUNTIF(ADV!X:X,A702)+COUNTIF(ADV!Y:Y,A702)</f>
        <v>0</v>
      </c>
    </row>
    <row r="703" spans="1:6" x14ac:dyDescent="0.2">
      <c r="A703" t="s">
        <v>7814</v>
      </c>
      <c r="B703">
        <v>1020004</v>
      </c>
      <c r="C703" t="s">
        <v>7815</v>
      </c>
      <c r="D703" t="s">
        <v>6068</v>
      </c>
      <c r="E703">
        <f t="shared" si="10"/>
        <v>165</v>
      </c>
      <c r="F703">
        <f>+COUNTIF(ADV!Z:Z,A703)+COUNTIF(ADV!X:X,A703)+COUNTIF(ADV!Y:Y,A703)</f>
        <v>0</v>
      </c>
    </row>
    <row r="704" spans="1:6" x14ac:dyDescent="0.2">
      <c r="A704" t="s">
        <v>3430</v>
      </c>
      <c r="B704">
        <v>1020004</v>
      </c>
      <c r="C704" t="s">
        <v>6338</v>
      </c>
      <c r="D704" t="s">
        <v>6068</v>
      </c>
      <c r="E704">
        <f t="shared" si="10"/>
        <v>165</v>
      </c>
      <c r="F704">
        <f>+COUNTIF(ADV!Z:Z,A704)+COUNTIF(ADV!X:X,A704)+COUNTIF(ADV!Y:Y,A704)</f>
        <v>0</v>
      </c>
    </row>
    <row r="705" spans="1:6" x14ac:dyDescent="0.2">
      <c r="A705" t="s">
        <v>7816</v>
      </c>
      <c r="B705">
        <v>1020004</v>
      </c>
      <c r="C705" t="s">
        <v>7817</v>
      </c>
      <c r="D705" t="s">
        <v>6068</v>
      </c>
      <c r="E705">
        <f t="shared" si="10"/>
        <v>164</v>
      </c>
      <c r="F705">
        <f>+COUNTIF(ADV!Z:Z,A705)+COUNTIF(ADV!X:X,A705)+COUNTIF(ADV!Y:Y,A705)</f>
        <v>0</v>
      </c>
    </row>
    <row r="706" spans="1:6" x14ac:dyDescent="0.2">
      <c r="A706" t="s">
        <v>7818</v>
      </c>
      <c r="B706">
        <v>1020002</v>
      </c>
      <c r="C706" t="s">
        <v>7819</v>
      </c>
      <c r="D706" t="s">
        <v>6068</v>
      </c>
      <c r="E706">
        <f t="shared" ref="E706:E769" si="11">+LEN(C706)</f>
        <v>159</v>
      </c>
      <c r="F706">
        <f>+COUNTIF(ADV!Z:Z,A706)+COUNTIF(ADV!X:X,A706)+COUNTIF(ADV!Y:Y,A706)</f>
        <v>0</v>
      </c>
    </row>
    <row r="707" spans="1:6" x14ac:dyDescent="0.2">
      <c r="A707" t="s">
        <v>3038</v>
      </c>
      <c r="B707">
        <v>1020002</v>
      </c>
      <c r="C707" t="s">
        <v>6339</v>
      </c>
      <c r="D707" t="s">
        <v>6068</v>
      </c>
      <c r="E707">
        <f t="shared" si="11"/>
        <v>159</v>
      </c>
      <c r="F707">
        <f>+COUNTIF(ADV!Z:Z,A707)+COUNTIF(ADV!X:X,A707)+COUNTIF(ADV!Y:Y,A707)</f>
        <v>0</v>
      </c>
    </row>
    <row r="708" spans="1:6" x14ac:dyDescent="0.2">
      <c r="A708" t="s">
        <v>3914</v>
      </c>
      <c r="B708">
        <v>1030004</v>
      </c>
      <c r="C708" t="s">
        <v>6340</v>
      </c>
      <c r="D708" t="s">
        <v>6068</v>
      </c>
      <c r="E708">
        <f t="shared" si="11"/>
        <v>44</v>
      </c>
      <c r="F708">
        <f>+COUNTIF(ADV!Z:Z,A708)+COUNTIF(ADV!X:X,A708)+COUNTIF(ADV!Y:Y,A708)</f>
        <v>0</v>
      </c>
    </row>
    <row r="709" spans="1:6" x14ac:dyDescent="0.2">
      <c r="A709" t="s">
        <v>7820</v>
      </c>
      <c r="B709">
        <v>1030004</v>
      </c>
      <c r="C709" t="s">
        <v>7821</v>
      </c>
      <c r="D709" t="s">
        <v>6068</v>
      </c>
      <c r="E709">
        <f t="shared" si="11"/>
        <v>43</v>
      </c>
      <c r="F709">
        <f>+COUNTIF(ADV!Z:Z,A709)+COUNTIF(ADV!X:X,A709)+COUNTIF(ADV!Y:Y,A709)</f>
        <v>0</v>
      </c>
    </row>
    <row r="710" spans="1:6" x14ac:dyDescent="0.2">
      <c r="A710" t="s">
        <v>7822</v>
      </c>
      <c r="B710">
        <v>1030004</v>
      </c>
      <c r="C710" t="s">
        <v>7823</v>
      </c>
      <c r="D710" t="s">
        <v>6068</v>
      </c>
      <c r="E710">
        <f t="shared" si="11"/>
        <v>43</v>
      </c>
      <c r="F710">
        <f>+COUNTIF(ADV!Z:Z,A710)+COUNTIF(ADV!X:X,A710)+COUNTIF(ADV!Y:Y,A710)</f>
        <v>0</v>
      </c>
    </row>
    <row r="711" spans="1:6" x14ac:dyDescent="0.2">
      <c r="A711" t="s">
        <v>2603</v>
      </c>
      <c r="B711">
        <v>1030004</v>
      </c>
      <c r="C711" t="s">
        <v>6341</v>
      </c>
      <c r="D711" t="s">
        <v>6068</v>
      </c>
      <c r="E711">
        <f t="shared" si="11"/>
        <v>43</v>
      </c>
      <c r="F711">
        <f>+COUNTIF(ADV!Z:Z,A711)+COUNTIF(ADV!X:X,A711)+COUNTIF(ADV!Y:Y,A711)</f>
        <v>0</v>
      </c>
    </row>
    <row r="712" spans="1:6" x14ac:dyDescent="0.2">
      <c r="A712" t="s">
        <v>2602</v>
      </c>
      <c r="B712">
        <v>1030004</v>
      </c>
      <c r="C712" t="s">
        <v>6342</v>
      </c>
      <c r="D712" t="s">
        <v>6068</v>
      </c>
      <c r="E712">
        <f t="shared" si="11"/>
        <v>43</v>
      </c>
      <c r="F712">
        <f>+COUNTIF(ADV!Z:Z,A712)+COUNTIF(ADV!X:X,A712)+COUNTIF(ADV!Y:Y,A712)</f>
        <v>0</v>
      </c>
    </row>
    <row r="713" spans="1:6" x14ac:dyDescent="0.2">
      <c r="A713" t="s">
        <v>7824</v>
      </c>
      <c r="B713">
        <v>1070004</v>
      </c>
      <c r="C713" t="s">
        <v>7825</v>
      </c>
      <c r="D713" t="s">
        <v>6068</v>
      </c>
      <c r="E713">
        <f t="shared" si="11"/>
        <v>45</v>
      </c>
      <c r="F713">
        <f>+COUNTIF(ADV!Z:Z,A713)+COUNTIF(ADV!X:X,A713)+COUNTIF(ADV!Y:Y,A713)</f>
        <v>0</v>
      </c>
    </row>
    <row r="714" spans="1:6" x14ac:dyDescent="0.2">
      <c r="A714" t="s">
        <v>7826</v>
      </c>
      <c r="B714">
        <v>1070004</v>
      </c>
      <c r="C714" t="s">
        <v>7827</v>
      </c>
      <c r="D714" t="s">
        <v>6068</v>
      </c>
      <c r="E714">
        <f t="shared" si="11"/>
        <v>45</v>
      </c>
      <c r="F714">
        <f>+COUNTIF(ADV!Z:Z,A714)+COUNTIF(ADV!X:X,A714)+COUNTIF(ADV!Y:Y,A714)</f>
        <v>0</v>
      </c>
    </row>
    <row r="715" spans="1:6" x14ac:dyDescent="0.2">
      <c r="A715" t="s">
        <v>3039</v>
      </c>
      <c r="B715">
        <v>1070004</v>
      </c>
      <c r="C715" t="s">
        <v>6343</v>
      </c>
      <c r="D715" t="s">
        <v>6068</v>
      </c>
      <c r="E715">
        <f t="shared" si="11"/>
        <v>45</v>
      </c>
      <c r="F715">
        <f>+COUNTIF(ADV!Z:Z,A715)+COUNTIF(ADV!X:X,A715)+COUNTIF(ADV!Y:Y,A715)</f>
        <v>0</v>
      </c>
    </row>
    <row r="716" spans="1:6" x14ac:dyDescent="0.2">
      <c r="A716" t="s">
        <v>7828</v>
      </c>
      <c r="B716">
        <v>1070004</v>
      </c>
      <c r="C716" t="s">
        <v>7829</v>
      </c>
      <c r="D716" t="s">
        <v>6068</v>
      </c>
      <c r="E716">
        <f t="shared" si="11"/>
        <v>45</v>
      </c>
      <c r="F716">
        <f>+COUNTIF(ADV!Z:Z,A716)+COUNTIF(ADV!X:X,A716)+COUNTIF(ADV!Y:Y,A716)</f>
        <v>0</v>
      </c>
    </row>
    <row r="717" spans="1:6" x14ac:dyDescent="0.2">
      <c r="A717" t="s">
        <v>2605</v>
      </c>
      <c r="B717">
        <v>1070004</v>
      </c>
      <c r="C717" t="s">
        <v>6344</v>
      </c>
      <c r="D717" t="s">
        <v>6068</v>
      </c>
      <c r="E717">
        <f t="shared" si="11"/>
        <v>45</v>
      </c>
      <c r="F717">
        <f>+COUNTIF(ADV!Z:Z,A717)+COUNTIF(ADV!X:X,A717)+COUNTIF(ADV!Y:Y,A717)</f>
        <v>9</v>
      </c>
    </row>
    <row r="718" spans="1:6" x14ac:dyDescent="0.2">
      <c r="A718" t="s">
        <v>3431</v>
      </c>
      <c r="B718">
        <v>1070004</v>
      </c>
      <c r="C718" t="s">
        <v>6345</v>
      </c>
      <c r="D718" t="s">
        <v>6068</v>
      </c>
      <c r="E718">
        <f t="shared" si="11"/>
        <v>45</v>
      </c>
      <c r="F718">
        <f>+COUNTIF(ADV!Z:Z,A718)+COUNTIF(ADV!X:X,A718)+COUNTIF(ADV!Y:Y,A718)</f>
        <v>0</v>
      </c>
    </row>
    <row r="719" spans="1:6" x14ac:dyDescent="0.2">
      <c r="A719" t="s">
        <v>7830</v>
      </c>
      <c r="B719">
        <v>1010058</v>
      </c>
      <c r="C719" t="s">
        <v>7831</v>
      </c>
      <c r="D719" t="s">
        <v>6068</v>
      </c>
      <c r="E719">
        <f t="shared" si="11"/>
        <v>113</v>
      </c>
      <c r="F719">
        <f>+COUNTIF(ADV!Z:Z,A719)+COUNTIF(ADV!X:X,A719)+COUNTIF(ADV!Y:Y,A719)</f>
        <v>0</v>
      </c>
    </row>
    <row r="720" spans="1:6" x14ac:dyDescent="0.2">
      <c r="A720" t="s">
        <v>3416</v>
      </c>
      <c r="B720">
        <v>1010058</v>
      </c>
      <c r="C720" t="s">
        <v>6346</v>
      </c>
      <c r="D720" t="s">
        <v>6068</v>
      </c>
      <c r="E720">
        <f t="shared" si="11"/>
        <v>113</v>
      </c>
      <c r="F720">
        <f>+COUNTIF(ADV!Z:Z,A720)+COUNTIF(ADV!X:X,A720)+COUNTIF(ADV!Y:Y,A720)</f>
        <v>0</v>
      </c>
    </row>
    <row r="721" spans="1:6" x14ac:dyDescent="0.2">
      <c r="A721" t="s">
        <v>1387</v>
      </c>
      <c r="B721">
        <v>1010059</v>
      </c>
      <c r="C721" t="s">
        <v>6347</v>
      </c>
      <c r="D721" t="s">
        <v>6068</v>
      </c>
      <c r="E721">
        <f t="shared" si="11"/>
        <v>487</v>
      </c>
      <c r="F721">
        <f>+COUNTIF(ADV!Z:Z,A721)+COUNTIF(ADV!X:X,A721)+COUNTIF(ADV!Y:Y,A721)</f>
        <v>0</v>
      </c>
    </row>
    <row r="722" spans="1:6" x14ac:dyDescent="0.2">
      <c r="A722" t="s">
        <v>7832</v>
      </c>
      <c r="B722">
        <v>1010056</v>
      </c>
      <c r="C722" t="s">
        <v>7833</v>
      </c>
      <c r="D722" t="s">
        <v>6068</v>
      </c>
      <c r="E722">
        <f t="shared" si="11"/>
        <v>347</v>
      </c>
      <c r="F722">
        <f>+COUNTIF(ADV!Z:Z,A722)+COUNTIF(ADV!X:X,A722)+COUNTIF(ADV!Y:Y,A722)</f>
        <v>0</v>
      </c>
    </row>
    <row r="723" spans="1:6" x14ac:dyDescent="0.2">
      <c r="A723" t="s">
        <v>7834</v>
      </c>
      <c r="B723">
        <v>1010056</v>
      </c>
      <c r="C723" t="s">
        <v>7835</v>
      </c>
      <c r="D723" t="s">
        <v>6068</v>
      </c>
      <c r="E723">
        <f t="shared" si="11"/>
        <v>348</v>
      </c>
      <c r="F723">
        <f>+COUNTIF(ADV!Z:Z,A723)+COUNTIF(ADV!X:X,A723)+COUNTIF(ADV!Y:Y,A723)</f>
        <v>0</v>
      </c>
    </row>
    <row r="724" spans="1:6" x14ac:dyDescent="0.2">
      <c r="A724" t="s">
        <v>1524</v>
      </c>
      <c r="B724">
        <v>1010056</v>
      </c>
      <c r="C724" t="s">
        <v>6348</v>
      </c>
      <c r="D724" t="s">
        <v>6068</v>
      </c>
      <c r="E724">
        <f t="shared" si="11"/>
        <v>513</v>
      </c>
      <c r="F724">
        <f>+COUNTIF(ADV!Z:Z,A724)+COUNTIF(ADV!X:X,A724)+COUNTIF(ADV!Y:Y,A724)</f>
        <v>0</v>
      </c>
    </row>
    <row r="725" spans="1:6" x14ac:dyDescent="0.2">
      <c r="A725" t="s">
        <v>7836</v>
      </c>
      <c r="B725">
        <v>1030019</v>
      </c>
      <c r="C725" t="s">
        <v>7037</v>
      </c>
      <c r="D725" t="s">
        <v>6068</v>
      </c>
      <c r="E725">
        <f t="shared" si="11"/>
        <v>57</v>
      </c>
      <c r="F725">
        <f>+COUNTIF(ADV!Z:Z,A725)+COUNTIF(ADV!X:X,A725)+COUNTIF(ADV!Y:Y,A725)</f>
        <v>0</v>
      </c>
    </row>
    <row r="726" spans="1:6" x14ac:dyDescent="0.2">
      <c r="A726" t="s">
        <v>7837</v>
      </c>
      <c r="B726">
        <v>1030019</v>
      </c>
      <c r="C726" t="s">
        <v>6094</v>
      </c>
      <c r="D726" t="s">
        <v>6068</v>
      </c>
      <c r="E726">
        <f t="shared" si="11"/>
        <v>58</v>
      </c>
      <c r="F726">
        <f>+COUNTIF(ADV!Z:Z,A726)+COUNTIF(ADV!X:X,A726)+COUNTIF(ADV!Y:Y,A726)</f>
        <v>0</v>
      </c>
    </row>
    <row r="727" spans="1:6" x14ac:dyDescent="0.2">
      <c r="A727" t="s">
        <v>4410</v>
      </c>
      <c r="B727">
        <v>1030041</v>
      </c>
      <c r="C727" t="s">
        <v>6349</v>
      </c>
      <c r="D727" t="s">
        <v>6068</v>
      </c>
      <c r="E727">
        <f t="shared" si="11"/>
        <v>307</v>
      </c>
      <c r="F727">
        <f>+COUNTIF(ADV!Z:Z,A727)+COUNTIF(ADV!X:X,A727)+COUNTIF(ADV!Y:Y,A727)</f>
        <v>0</v>
      </c>
    </row>
    <row r="728" spans="1:6" x14ac:dyDescent="0.2">
      <c r="A728" t="s">
        <v>7838</v>
      </c>
      <c r="B728">
        <v>1010082</v>
      </c>
      <c r="C728" t="s">
        <v>7839</v>
      </c>
      <c r="D728" t="s">
        <v>6068</v>
      </c>
      <c r="E728">
        <f t="shared" si="11"/>
        <v>477</v>
      </c>
      <c r="F728">
        <f>+COUNTIF(ADV!Z:Z,A728)+COUNTIF(ADV!X:X,A728)+COUNTIF(ADV!Y:Y,A728)</f>
        <v>0</v>
      </c>
    </row>
    <row r="729" spans="1:6" x14ac:dyDescent="0.2">
      <c r="A729" t="s">
        <v>2859</v>
      </c>
      <c r="B729">
        <v>1010082</v>
      </c>
      <c r="C729" t="s">
        <v>6350</v>
      </c>
      <c r="D729" t="s">
        <v>6068</v>
      </c>
      <c r="E729">
        <f t="shared" si="11"/>
        <v>477</v>
      </c>
      <c r="F729">
        <f>+COUNTIF(ADV!Z:Z,A729)+COUNTIF(ADV!X:X,A729)+COUNTIF(ADV!Y:Y,A729)</f>
        <v>1</v>
      </c>
    </row>
    <row r="730" spans="1:6" x14ac:dyDescent="0.2">
      <c r="A730" t="s">
        <v>7840</v>
      </c>
      <c r="B730">
        <v>1060002</v>
      </c>
      <c r="C730" t="s">
        <v>7841</v>
      </c>
      <c r="D730" t="s">
        <v>6068</v>
      </c>
      <c r="E730">
        <f t="shared" si="11"/>
        <v>36</v>
      </c>
      <c r="F730">
        <f>+COUNTIF(ADV!Z:Z,A730)+COUNTIF(ADV!X:X,A730)+COUNTIF(ADV!Y:Y,A730)</f>
        <v>0</v>
      </c>
    </row>
    <row r="731" spans="1:6" x14ac:dyDescent="0.2">
      <c r="A731" t="s">
        <v>7842</v>
      </c>
      <c r="B731">
        <v>1060002</v>
      </c>
      <c r="C731" t="s">
        <v>7843</v>
      </c>
      <c r="D731" t="s">
        <v>6068</v>
      </c>
      <c r="E731">
        <f t="shared" si="11"/>
        <v>36</v>
      </c>
      <c r="F731">
        <f>+COUNTIF(ADV!Z:Z,A731)+COUNTIF(ADV!X:X,A731)+COUNTIF(ADV!Y:Y,A731)</f>
        <v>0</v>
      </c>
    </row>
    <row r="732" spans="1:6" x14ac:dyDescent="0.2">
      <c r="A732" t="s">
        <v>516</v>
      </c>
      <c r="B732">
        <v>1060002</v>
      </c>
      <c r="C732" t="s">
        <v>6351</v>
      </c>
      <c r="D732" t="s">
        <v>6068</v>
      </c>
      <c r="E732">
        <f t="shared" si="11"/>
        <v>36</v>
      </c>
      <c r="F732">
        <f>+COUNTIF(ADV!Z:Z,A732)+COUNTIF(ADV!X:X,A732)+COUNTIF(ADV!Y:Y,A732)</f>
        <v>0</v>
      </c>
    </row>
    <row r="733" spans="1:6" x14ac:dyDescent="0.2">
      <c r="A733" t="s">
        <v>7844</v>
      </c>
      <c r="B733">
        <v>1060002</v>
      </c>
      <c r="C733" t="s">
        <v>7845</v>
      </c>
      <c r="D733" t="s">
        <v>6068</v>
      </c>
      <c r="E733">
        <f t="shared" si="11"/>
        <v>36</v>
      </c>
      <c r="F733">
        <f>+COUNTIF(ADV!Z:Z,A733)+COUNTIF(ADV!X:X,A733)+COUNTIF(ADV!Y:Y,A733)</f>
        <v>0</v>
      </c>
    </row>
    <row r="734" spans="1:6" x14ac:dyDescent="0.2">
      <c r="A734" t="s">
        <v>7846</v>
      </c>
      <c r="B734">
        <v>1010003</v>
      </c>
      <c r="C734" t="s">
        <v>7550</v>
      </c>
      <c r="D734" t="s">
        <v>6068</v>
      </c>
      <c r="E734">
        <f t="shared" si="11"/>
        <v>148</v>
      </c>
      <c r="F734">
        <f>+COUNTIF(ADV!Z:Z,A734)+COUNTIF(ADV!X:X,A734)+COUNTIF(ADV!Y:Y,A734)</f>
        <v>0</v>
      </c>
    </row>
    <row r="735" spans="1:6" x14ac:dyDescent="0.2">
      <c r="A735" t="s">
        <v>3987</v>
      </c>
      <c r="B735">
        <v>1010003</v>
      </c>
      <c r="C735" t="s">
        <v>6352</v>
      </c>
      <c r="D735" t="s">
        <v>6068</v>
      </c>
      <c r="E735">
        <f t="shared" si="11"/>
        <v>148</v>
      </c>
      <c r="F735">
        <f>+COUNTIF(ADV!Z:Z,A735)+COUNTIF(ADV!X:X,A735)+COUNTIF(ADV!Y:Y,A735)</f>
        <v>0</v>
      </c>
    </row>
    <row r="736" spans="1:6" x14ac:dyDescent="0.2">
      <c r="A736" t="s">
        <v>7847</v>
      </c>
      <c r="B736">
        <v>1010052</v>
      </c>
      <c r="C736" t="s">
        <v>7848</v>
      </c>
      <c r="D736" t="s">
        <v>6068</v>
      </c>
      <c r="E736">
        <f t="shared" si="11"/>
        <v>197</v>
      </c>
      <c r="F736">
        <f>+COUNTIF(ADV!Z:Z,A736)+COUNTIF(ADV!X:X,A736)+COUNTIF(ADV!Y:Y,A736)</f>
        <v>0</v>
      </c>
    </row>
    <row r="737" spans="1:6" x14ac:dyDescent="0.2">
      <c r="A737" t="s">
        <v>2841</v>
      </c>
      <c r="B737">
        <v>1010052</v>
      </c>
      <c r="C737" t="s">
        <v>6353</v>
      </c>
      <c r="D737" t="s">
        <v>6068</v>
      </c>
      <c r="E737">
        <f t="shared" si="11"/>
        <v>253</v>
      </c>
      <c r="F737">
        <f>+COUNTIF(ADV!Z:Z,A737)+COUNTIF(ADV!X:X,A737)+COUNTIF(ADV!Y:Y,A737)</f>
        <v>0</v>
      </c>
    </row>
    <row r="738" spans="1:6" x14ac:dyDescent="0.2">
      <c r="A738" t="s">
        <v>7849</v>
      </c>
      <c r="B738">
        <v>1020011</v>
      </c>
      <c r="C738" t="s">
        <v>7850</v>
      </c>
      <c r="D738" t="s">
        <v>6068</v>
      </c>
      <c r="E738">
        <f t="shared" si="11"/>
        <v>84</v>
      </c>
      <c r="F738">
        <f>+COUNTIF(ADV!Z:Z,A738)+COUNTIF(ADV!X:X,A738)+COUNTIF(ADV!Y:Y,A738)</f>
        <v>0</v>
      </c>
    </row>
    <row r="739" spans="1:6" x14ac:dyDescent="0.2">
      <c r="A739" t="s">
        <v>4295</v>
      </c>
      <c r="B739">
        <v>1020011</v>
      </c>
      <c r="C739" t="s">
        <v>6354</v>
      </c>
      <c r="D739" t="s">
        <v>6068</v>
      </c>
      <c r="E739">
        <f t="shared" si="11"/>
        <v>84</v>
      </c>
      <c r="F739">
        <f>+COUNTIF(ADV!Z:Z,A739)+COUNTIF(ADV!X:X,A739)+COUNTIF(ADV!Y:Y,A739)</f>
        <v>0</v>
      </c>
    </row>
    <row r="740" spans="1:6" x14ac:dyDescent="0.2">
      <c r="A740" t="s">
        <v>7851</v>
      </c>
      <c r="B740">
        <v>1020002</v>
      </c>
      <c r="C740" t="s">
        <v>7852</v>
      </c>
      <c r="D740" t="s">
        <v>6068</v>
      </c>
      <c r="E740">
        <f t="shared" si="11"/>
        <v>58</v>
      </c>
      <c r="F740">
        <f>+COUNTIF(ADV!Z:Z,A740)+COUNTIF(ADV!X:X,A740)+COUNTIF(ADV!Y:Y,A740)</f>
        <v>0</v>
      </c>
    </row>
    <row r="741" spans="1:6" x14ac:dyDescent="0.2">
      <c r="A741" t="s">
        <v>3400</v>
      </c>
      <c r="B741">
        <v>1020002</v>
      </c>
      <c r="C741" t="s">
        <v>6355</v>
      </c>
      <c r="D741" t="s">
        <v>6068</v>
      </c>
      <c r="E741">
        <f t="shared" si="11"/>
        <v>58</v>
      </c>
      <c r="F741">
        <f>+COUNTIF(ADV!Z:Z,A741)+COUNTIF(ADV!X:X,A741)+COUNTIF(ADV!Y:Y,A741)</f>
        <v>0</v>
      </c>
    </row>
    <row r="742" spans="1:6" x14ac:dyDescent="0.2">
      <c r="A742" t="s">
        <v>2547</v>
      </c>
      <c r="B742">
        <v>1040013</v>
      </c>
      <c r="C742" t="s">
        <v>6356</v>
      </c>
      <c r="D742" t="s">
        <v>6068</v>
      </c>
      <c r="E742">
        <f t="shared" si="11"/>
        <v>59</v>
      </c>
      <c r="F742">
        <f>+COUNTIF(ADV!Z:Z,A742)+COUNTIF(ADV!X:X,A742)+COUNTIF(ADV!Y:Y,A742)</f>
        <v>0</v>
      </c>
    </row>
    <row r="743" spans="1:6" x14ac:dyDescent="0.2">
      <c r="A743" t="s">
        <v>7853</v>
      </c>
      <c r="B743">
        <v>1020011</v>
      </c>
      <c r="C743" t="s">
        <v>7854</v>
      </c>
      <c r="D743" t="s">
        <v>6068</v>
      </c>
      <c r="E743">
        <f t="shared" si="11"/>
        <v>175</v>
      </c>
      <c r="F743">
        <f>+COUNTIF(ADV!Z:Z,A743)+COUNTIF(ADV!X:X,A743)+COUNTIF(ADV!Y:Y,A743)</f>
        <v>0</v>
      </c>
    </row>
    <row r="744" spans="1:6" x14ac:dyDescent="0.2">
      <c r="A744" t="s">
        <v>7855</v>
      </c>
      <c r="B744">
        <v>1020011</v>
      </c>
      <c r="C744" t="s">
        <v>7856</v>
      </c>
      <c r="D744" t="s">
        <v>6068</v>
      </c>
      <c r="E744">
        <f t="shared" si="11"/>
        <v>175</v>
      </c>
      <c r="F744">
        <f>+COUNTIF(ADV!Z:Z,A744)+COUNTIF(ADV!X:X,A744)+COUNTIF(ADV!Y:Y,A744)</f>
        <v>0</v>
      </c>
    </row>
    <row r="745" spans="1:6" x14ac:dyDescent="0.2">
      <c r="A745" t="s">
        <v>7857</v>
      </c>
      <c r="B745">
        <v>1020011</v>
      </c>
      <c r="C745" t="s">
        <v>7858</v>
      </c>
      <c r="D745" t="s">
        <v>6068</v>
      </c>
      <c r="E745">
        <f t="shared" si="11"/>
        <v>175</v>
      </c>
      <c r="F745">
        <f>+COUNTIF(ADV!Z:Z,A745)+COUNTIF(ADV!X:X,A745)+COUNTIF(ADV!Y:Y,A745)</f>
        <v>0</v>
      </c>
    </row>
    <row r="746" spans="1:6" x14ac:dyDescent="0.2">
      <c r="A746" t="s">
        <v>2334</v>
      </c>
      <c r="B746">
        <v>1020002</v>
      </c>
      <c r="C746" t="s">
        <v>6357</v>
      </c>
      <c r="D746" t="s">
        <v>6068</v>
      </c>
      <c r="E746">
        <f t="shared" si="11"/>
        <v>165</v>
      </c>
      <c r="F746">
        <f>+COUNTIF(ADV!Z:Z,A746)+COUNTIF(ADV!X:X,A746)+COUNTIF(ADV!Y:Y,A746)</f>
        <v>0</v>
      </c>
    </row>
    <row r="747" spans="1:6" x14ac:dyDescent="0.2">
      <c r="A747" t="s">
        <v>7859</v>
      </c>
      <c r="B747">
        <v>1020002</v>
      </c>
      <c r="C747" t="s">
        <v>7860</v>
      </c>
      <c r="D747" t="s">
        <v>6068</v>
      </c>
      <c r="E747">
        <f t="shared" si="11"/>
        <v>164</v>
      </c>
      <c r="F747">
        <f>+COUNTIF(ADV!Z:Z,A747)+COUNTIF(ADV!X:X,A747)+COUNTIF(ADV!Y:Y,A747)</f>
        <v>0</v>
      </c>
    </row>
    <row r="748" spans="1:6" x14ac:dyDescent="0.2">
      <c r="A748" t="s">
        <v>7861</v>
      </c>
      <c r="B748">
        <v>1010054</v>
      </c>
      <c r="C748" t="s">
        <v>7862</v>
      </c>
      <c r="D748" t="s">
        <v>6068</v>
      </c>
      <c r="E748">
        <f t="shared" si="11"/>
        <v>296</v>
      </c>
      <c r="F748">
        <f>+COUNTIF(ADV!Z:Z,A748)+COUNTIF(ADV!X:X,A748)+COUNTIF(ADV!Y:Y,A748)</f>
        <v>0</v>
      </c>
    </row>
    <row r="749" spans="1:6" x14ac:dyDescent="0.2">
      <c r="A749" t="s">
        <v>4126</v>
      </c>
      <c r="B749">
        <v>1010054</v>
      </c>
      <c r="C749" t="s">
        <v>6358</v>
      </c>
      <c r="D749" t="s">
        <v>6068</v>
      </c>
      <c r="E749">
        <f t="shared" si="11"/>
        <v>296</v>
      </c>
      <c r="F749">
        <f>+COUNTIF(ADV!Z:Z,A749)+COUNTIF(ADV!X:X,A749)+COUNTIF(ADV!Y:Y,A749)</f>
        <v>0</v>
      </c>
    </row>
    <row r="750" spans="1:6" x14ac:dyDescent="0.2">
      <c r="A750" t="s">
        <v>2842</v>
      </c>
      <c r="B750">
        <v>1030001</v>
      </c>
      <c r="C750" t="s">
        <v>6359</v>
      </c>
      <c r="D750" t="s">
        <v>6068</v>
      </c>
      <c r="E750">
        <f t="shared" si="11"/>
        <v>41</v>
      </c>
      <c r="F750">
        <f>+COUNTIF(ADV!Z:Z,A750)+COUNTIF(ADV!X:X,A750)+COUNTIF(ADV!Y:Y,A750)</f>
        <v>0</v>
      </c>
    </row>
    <row r="751" spans="1:6" x14ac:dyDescent="0.2">
      <c r="A751" t="s">
        <v>7863</v>
      </c>
      <c r="B751">
        <v>1030001</v>
      </c>
      <c r="C751" t="s">
        <v>7864</v>
      </c>
      <c r="D751" t="s">
        <v>6068</v>
      </c>
      <c r="E751">
        <f t="shared" si="11"/>
        <v>40</v>
      </c>
      <c r="F751">
        <f>+COUNTIF(ADV!Z:Z,A751)+COUNTIF(ADV!X:X,A751)+COUNTIF(ADV!Y:Y,A751)</f>
        <v>0</v>
      </c>
    </row>
    <row r="752" spans="1:6" x14ac:dyDescent="0.2">
      <c r="A752" t="s">
        <v>7865</v>
      </c>
      <c r="B752">
        <v>1030001</v>
      </c>
      <c r="C752" t="s">
        <v>7866</v>
      </c>
      <c r="D752" t="s">
        <v>6068</v>
      </c>
      <c r="E752">
        <f t="shared" si="11"/>
        <v>40</v>
      </c>
      <c r="F752">
        <f>+COUNTIF(ADV!Z:Z,A752)+COUNTIF(ADV!X:X,A752)+COUNTIF(ADV!Y:Y,A752)</f>
        <v>0</v>
      </c>
    </row>
    <row r="753" spans="1:6" x14ac:dyDescent="0.2">
      <c r="A753" t="s">
        <v>2377</v>
      </c>
      <c r="B753">
        <v>1030001</v>
      </c>
      <c r="C753" t="s">
        <v>6360</v>
      </c>
      <c r="D753" t="s">
        <v>6068</v>
      </c>
      <c r="E753">
        <f t="shared" si="11"/>
        <v>40</v>
      </c>
      <c r="F753">
        <f>+COUNTIF(ADV!Z:Z,A753)+COUNTIF(ADV!X:X,A753)+COUNTIF(ADV!Y:Y,A753)</f>
        <v>0</v>
      </c>
    </row>
    <row r="754" spans="1:6" x14ac:dyDescent="0.2">
      <c r="A754" t="s">
        <v>2940</v>
      </c>
      <c r="B754">
        <v>1030001</v>
      </c>
      <c r="C754" t="s">
        <v>6361</v>
      </c>
      <c r="D754" t="s">
        <v>6068</v>
      </c>
      <c r="E754">
        <f t="shared" si="11"/>
        <v>40</v>
      </c>
      <c r="F754">
        <f>+COUNTIF(ADV!Z:Z,A754)+COUNTIF(ADV!X:X,A754)+COUNTIF(ADV!Y:Y,A754)</f>
        <v>0</v>
      </c>
    </row>
    <row r="755" spans="1:6" x14ac:dyDescent="0.2">
      <c r="A755" t="s">
        <v>4338</v>
      </c>
      <c r="B755">
        <v>1070012</v>
      </c>
      <c r="C755" t="s">
        <v>6362</v>
      </c>
      <c r="D755" t="s">
        <v>6068</v>
      </c>
      <c r="E755">
        <f t="shared" si="11"/>
        <v>71</v>
      </c>
      <c r="F755">
        <f>+COUNTIF(ADV!Z:Z,A755)+COUNTIF(ADV!X:X,A755)+COUNTIF(ADV!Y:Y,A755)</f>
        <v>2</v>
      </c>
    </row>
    <row r="756" spans="1:6" x14ac:dyDescent="0.2">
      <c r="A756" t="s">
        <v>2548</v>
      </c>
      <c r="B756">
        <v>1070014</v>
      </c>
      <c r="C756" t="s">
        <v>6363</v>
      </c>
      <c r="D756" t="s">
        <v>6068</v>
      </c>
      <c r="E756">
        <f t="shared" si="11"/>
        <v>71</v>
      </c>
      <c r="F756">
        <f>+COUNTIF(ADV!Z:Z,A756)+COUNTIF(ADV!X:X,A756)+COUNTIF(ADV!Y:Y,A756)</f>
        <v>0</v>
      </c>
    </row>
    <row r="757" spans="1:6" x14ac:dyDescent="0.2">
      <c r="A757" t="s">
        <v>2448</v>
      </c>
      <c r="B757">
        <v>1020042</v>
      </c>
      <c r="C757" t="s">
        <v>6364</v>
      </c>
      <c r="D757" t="s">
        <v>6068</v>
      </c>
      <c r="E757">
        <f t="shared" si="11"/>
        <v>226</v>
      </c>
      <c r="F757">
        <f>+COUNTIF(ADV!Z:Z,A757)+COUNTIF(ADV!X:X,A757)+COUNTIF(ADV!Y:Y,A757)</f>
        <v>0</v>
      </c>
    </row>
    <row r="758" spans="1:6" x14ac:dyDescent="0.2">
      <c r="A758" t="s">
        <v>3815</v>
      </c>
      <c r="B758">
        <v>1040015</v>
      </c>
      <c r="C758" t="s">
        <v>6365</v>
      </c>
      <c r="D758" t="s">
        <v>6068</v>
      </c>
      <c r="E758">
        <f t="shared" si="11"/>
        <v>99</v>
      </c>
      <c r="F758">
        <f>+COUNTIF(ADV!Z:Z,A758)+COUNTIF(ADV!X:X,A758)+COUNTIF(ADV!Y:Y,A758)</f>
        <v>1</v>
      </c>
    </row>
    <row r="759" spans="1:6" x14ac:dyDescent="0.2">
      <c r="A759" t="s">
        <v>7867</v>
      </c>
      <c r="B759">
        <v>1070001</v>
      </c>
      <c r="C759" t="s">
        <v>7868</v>
      </c>
      <c r="D759" t="s">
        <v>6068</v>
      </c>
      <c r="E759">
        <f t="shared" si="11"/>
        <v>44</v>
      </c>
      <c r="F759">
        <f>+COUNTIF(ADV!Z:Z,A759)+COUNTIF(ADV!X:X,A759)+COUNTIF(ADV!Y:Y,A759)</f>
        <v>0</v>
      </c>
    </row>
    <row r="760" spans="1:6" x14ac:dyDescent="0.2">
      <c r="A760" t="s">
        <v>7869</v>
      </c>
      <c r="B760">
        <v>1070001</v>
      </c>
      <c r="C760" t="s">
        <v>7870</v>
      </c>
      <c r="D760" t="s">
        <v>6068</v>
      </c>
      <c r="E760">
        <f t="shared" si="11"/>
        <v>44</v>
      </c>
      <c r="F760">
        <f>+COUNTIF(ADV!Z:Z,A760)+COUNTIF(ADV!X:X,A760)+COUNTIF(ADV!Y:Y,A760)</f>
        <v>0</v>
      </c>
    </row>
    <row r="761" spans="1:6" x14ac:dyDescent="0.2">
      <c r="A761" t="s">
        <v>2573</v>
      </c>
      <c r="B761">
        <v>1070001</v>
      </c>
      <c r="C761" t="s">
        <v>6366</v>
      </c>
      <c r="D761" t="s">
        <v>6068</v>
      </c>
      <c r="E761">
        <f t="shared" si="11"/>
        <v>44</v>
      </c>
      <c r="F761">
        <f>+COUNTIF(ADV!Z:Z,A761)+COUNTIF(ADV!X:X,A761)+COUNTIF(ADV!Y:Y,A761)</f>
        <v>0</v>
      </c>
    </row>
    <row r="762" spans="1:6" x14ac:dyDescent="0.2">
      <c r="A762" t="s">
        <v>7871</v>
      </c>
      <c r="B762">
        <v>1070001</v>
      </c>
      <c r="C762" t="s">
        <v>7872</v>
      </c>
      <c r="D762" t="s">
        <v>6068</v>
      </c>
      <c r="E762">
        <f t="shared" si="11"/>
        <v>44</v>
      </c>
      <c r="F762">
        <f>+COUNTIF(ADV!Z:Z,A762)+COUNTIF(ADV!X:X,A762)+COUNTIF(ADV!Y:Y,A762)</f>
        <v>0</v>
      </c>
    </row>
    <row r="763" spans="1:6" x14ac:dyDescent="0.2">
      <c r="A763" t="s">
        <v>2126</v>
      </c>
      <c r="B763">
        <v>1070001</v>
      </c>
      <c r="C763" t="s">
        <v>6367</v>
      </c>
      <c r="D763" t="s">
        <v>6068</v>
      </c>
      <c r="E763">
        <f t="shared" si="11"/>
        <v>44</v>
      </c>
      <c r="F763">
        <f>+COUNTIF(ADV!Z:Z,A763)+COUNTIF(ADV!X:X,A763)+COUNTIF(ADV!Y:Y,A763)</f>
        <v>11</v>
      </c>
    </row>
    <row r="764" spans="1:6" x14ac:dyDescent="0.2">
      <c r="A764" t="s">
        <v>7873</v>
      </c>
      <c r="B764">
        <v>1010020</v>
      </c>
      <c r="C764" t="s">
        <v>7874</v>
      </c>
      <c r="D764" t="s">
        <v>6068</v>
      </c>
      <c r="E764">
        <f t="shared" si="11"/>
        <v>552</v>
      </c>
      <c r="F764">
        <f>+COUNTIF(ADV!Z:Z,A764)+COUNTIF(ADV!X:X,A764)+COUNTIF(ADV!Y:Y,A764)</f>
        <v>0</v>
      </c>
    </row>
    <row r="765" spans="1:6" x14ac:dyDescent="0.2">
      <c r="A765" t="s">
        <v>7875</v>
      </c>
      <c r="B765">
        <v>1010020</v>
      </c>
      <c r="C765" t="s">
        <v>7876</v>
      </c>
      <c r="D765" t="s">
        <v>6068</v>
      </c>
      <c r="E765">
        <f t="shared" si="11"/>
        <v>590</v>
      </c>
      <c r="F765">
        <f>+COUNTIF(ADV!Z:Z,A765)+COUNTIF(ADV!X:X,A765)+COUNTIF(ADV!Y:Y,A765)</f>
        <v>0</v>
      </c>
    </row>
    <row r="766" spans="1:6" x14ac:dyDescent="0.2">
      <c r="A766" t="s">
        <v>4042</v>
      </c>
      <c r="B766">
        <v>1010020</v>
      </c>
      <c r="C766" t="s">
        <v>6368</v>
      </c>
      <c r="D766" t="s">
        <v>6068</v>
      </c>
      <c r="E766">
        <f t="shared" si="11"/>
        <v>549</v>
      </c>
      <c r="F766">
        <f>+COUNTIF(ADV!Z:Z,A766)+COUNTIF(ADV!X:X,A766)+COUNTIF(ADV!Y:Y,A766)</f>
        <v>0</v>
      </c>
    </row>
    <row r="767" spans="1:6" x14ac:dyDescent="0.2">
      <c r="A767" t="s">
        <v>1483</v>
      </c>
      <c r="B767">
        <v>1030035</v>
      </c>
      <c r="C767" t="s">
        <v>6369</v>
      </c>
      <c r="D767" t="s">
        <v>6068</v>
      </c>
      <c r="E767">
        <f t="shared" si="11"/>
        <v>227</v>
      </c>
      <c r="F767">
        <f>+COUNTIF(ADV!Z:Z,A767)+COUNTIF(ADV!X:X,A767)+COUNTIF(ADV!Y:Y,A767)</f>
        <v>22</v>
      </c>
    </row>
    <row r="768" spans="1:6" x14ac:dyDescent="0.2">
      <c r="A768" t="s">
        <v>4094</v>
      </c>
      <c r="B768">
        <v>1030035</v>
      </c>
      <c r="C768" t="s">
        <v>6370</v>
      </c>
      <c r="D768" t="s">
        <v>6068</v>
      </c>
      <c r="E768">
        <f t="shared" si="11"/>
        <v>226</v>
      </c>
      <c r="F768">
        <f>+COUNTIF(ADV!Z:Z,A768)+COUNTIF(ADV!X:X,A768)+COUNTIF(ADV!Y:Y,A768)</f>
        <v>0</v>
      </c>
    </row>
    <row r="769" spans="1:6" x14ac:dyDescent="0.2">
      <c r="A769" t="s">
        <v>2022</v>
      </c>
      <c r="B769">
        <v>1030031</v>
      </c>
      <c r="C769" t="s">
        <v>6371</v>
      </c>
      <c r="D769" t="s">
        <v>6068</v>
      </c>
      <c r="E769">
        <f t="shared" si="11"/>
        <v>230</v>
      </c>
      <c r="F769">
        <f>+COUNTIF(ADV!Z:Z,A769)+COUNTIF(ADV!X:X,A769)+COUNTIF(ADV!Y:Y,A769)</f>
        <v>26</v>
      </c>
    </row>
    <row r="770" spans="1:6" x14ac:dyDescent="0.2">
      <c r="A770" t="s">
        <v>1139</v>
      </c>
      <c r="B770">
        <v>1030033</v>
      </c>
      <c r="C770" t="s">
        <v>6372</v>
      </c>
      <c r="D770" t="s">
        <v>6068</v>
      </c>
      <c r="E770">
        <f t="shared" ref="E770:E833" si="12">+LEN(C770)</f>
        <v>238</v>
      </c>
      <c r="F770">
        <f>+COUNTIF(ADV!Z:Z,A770)+COUNTIF(ADV!X:X,A770)+COUNTIF(ADV!Y:Y,A770)</f>
        <v>21</v>
      </c>
    </row>
    <row r="771" spans="1:6" x14ac:dyDescent="0.2">
      <c r="A771" t="s">
        <v>1179</v>
      </c>
      <c r="B771">
        <v>1030033</v>
      </c>
      <c r="C771" t="s">
        <v>6373</v>
      </c>
      <c r="D771" t="s">
        <v>6068</v>
      </c>
      <c r="E771">
        <f t="shared" si="12"/>
        <v>237</v>
      </c>
      <c r="F771">
        <f>+COUNTIF(ADV!Z:Z,A771)+COUNTIF(ADV!X:X,A771)+COUNTIF(ADV!Y:Y,A771)</f>
        <v>0</v>
      </c>
    </row>
    <row r="772" spans="1:6" x14ac:dyDescent="0.2">
      <c r="A772" t="s">
        <v>2862</v>
      </c>
      <c r="B772">
        <v>1030029</v>
      </c>
      <c r="C772" t="s">
        <v>6374</v>
      </c>
      <c r="D772" t="s">
        <v>6068</v>
      </c>
      <c r="E772">
        <f t="shared" si="12"/>
        <v>223</v>
      </c>
      <c r="F772">
        <f>+COUNTIF(ADV!Z:Z,A772)+COUNTIF(ADV!X:X,A772)+COUNTIF(ADV!Y:Y,A772)</f>
        <v>35</v>
      </c>
    </row>
    <row r="773" spans="1:6" x14ac:dyDescent="0.2">
      <c r="A773" t="s">
        <v>3053</v>
      </c>
      <c r="B773">
        <v>1030029</v>
      </c>
      <c r="C773" t="s">
        <v>6375</v>
      </c>
      <c r="D773" t="s">
        <v>6068</v>
      </c>
      <c r="E773">
        <f t="shared" si="12"/>
        <v>222</v>
      </c>
      <c r="F773">
        <f>+COUNTIF(ADV!Z:Z,A773)+COUNTIF(ADV!X:X,A773)+COUNTIF(ADV!Y:Y,A773)</f>
        <v>0</v>
      </c>
    </row>
    <row r="774" spans="1:6" x14ac:dyDescent="0.2">
      <c r="A774" t="s">
        <v>1972</v>
      </c>
      <c r="B774">
        <v>1030032</v>
      </c>
      <c r="C774" t="s">
        <v>6376</v>
      </c>
      <c r="D774" t="s">
        <v>6068</v>
      </c>
      <c r="E774">
        <f t="shared" si="12"/>
        <v>236</v>
      </c>
      <c r="F774">
        <f>+COUNTIF(ADV!Z:Z,A774)+COUNTIF(ADV!X:X,A774)+COUNTIF(ADV!Y:Y,A774)</f>
        <v>30</v>
      </c>
    </row>
    <row r="775" spans="1:6" x14ac:dyDescent="0.2">
      <c r="A775" t="s">
        <v>2184</v>
      </c>
      <c r="B775">
        <v>1030032</v>
      </c>
      <c r="C775" t="s">
        <v>6377</v>
      </c>
      <c r="D775" t="s">
        <v>6068</v>
      </c>
      <c r="E775">
        <f t="shared" si="12"/>
        <v>235</v>
      </c>
      <c r="F775">
        <f>+COUNTIF(ADV!Z:Z,A775)+COUNTIF(ADV!X:X,A775)+COUNTIF(ADV!Y:Y,A775)</f>
        <v>0</v>
      </c>
    </row>
    <row r="776" spans="1:6" x14ac:dyDescent="0.2">
      <c r="A776" t="s">
        <v>2604</v>
      </c>
      <c r="B776">
        <v>1030028</v>
      </c>
      <c r="C776" t="s">
        <v>6378</v>
      </c>
      <c r="D776" t="s">
        <v>6068</v>
      </c>
      <c r="E776">
        <f t="shared" si="12"/>
        <v>229</v>
      </c>
      <c r="F776">
        <f>+COUNTIF(ADV!Z:Z,A776)+COUNTIF(ADV!X:X,A776)+COUNTIF(ADV!Y:Y,A776)</f>
        <v>30</v>
      </c>
    </row>
    <row r="777" spans="1:6" x14ac:dyDescent="0.2">
      <c r="A777" t="s">
        <v>3870</v>
      </c>
      <c r="B777">
        <v>1030028</v>
      </c>
      <c r="C777" t="s">
        <v>6379</v>
      </c>
      <c r="D777" t="s">
        <v>6068</v>
      </c>
      <c r="E777">
        <f t="shared" si="12"/>
        <v>228</v>
      </c>
      <c r="F777">
        <f>+COUNTIF(ADV!Z:Z,A777)+COUNTIF(ADV!X:X,A777)+COUNTIF(ADV!Y:Y,A777)</f>
        <v>0</v>
      </c>
    </row>
    <row r="778" spans="1:6" x14ac:dyDescent="0.2">
      <c r="A778" t="s">
        <v>7877</v>
      </c>
      <c r="B778">
        <v>1010141</v>
      </c>
      <c r="C778" t="s">
        <v>7878</v>
      </c>
      <c r="D778" t="s">
        <v>6068</v>
      </c>
      <c r="E778">
        <f t="shared" si="12"/>
        <v>697</v>
      </c>
      <c r="F778">
        <f>+COUNTIF(ADV!Z:Z,A778)+COUNTIF(ADV!X:X,A778)+COUNTIF(ADV!Y:Y,A778)</f>
        <v>0</v>
      </c>
    </row>
    <row r="779" spans="1:6" x14ac:dyDescent="0.2">
      <c r="A779" t="s">
        <v>2796</v>
      </c>
      <c r="B779">
        <v>1010141</v>
      </c>
      <c r="C779" t="s">
        <v>6380</v>
      </c>
      <c r="D779" t="s">
        <v>6068</v>
      </c>
      <c r="E779">
        <f t="shared" si="12"/>
        <v>684</v>
      </c>
      <c r="F779">
        <f>+COUNTIF(ADV!Z:Z,A779)+COUNTIF(ADV!X:X,A779)+COUNTIF(ADV!Y:Y,A779)</f>
        <v>0</v>
      </c>
    </row>
    <row r="780" spans="1:6" x14ac:dyDescent="0.2">
      <c r="A780" t="s">
        <v>2844</v>
      </c>
      <c r="B780">
        <v>1030037</v>
      </c>
      <c r="C780" t="s">
        <v>6381</v>
      </c>
      <c r="D780" t="s">
        <v>6068</v>
      </c>
      <c r="E780">
        <f t="shared" si="12"/>
        <v>225</v>
      </c>
      <c r="F780">
        <f>+COUNTIF(ADV!Z:Z,A780)+COUNTIF(ADV!X:X,A780)+COUNTIF(ADV!Y:Y,A780)</f>
        <v>22</v>
      </c>
    </row>
    <row r="781" spans="1:6" x14ac:dyDescent="0.2">
      <c r="A781" t="s">
        <v>155</v>
      </c>
      <c r="B781">
        <v>1030027</v>
      </c>
      <c r="C781" t="s">
        <v>6382</v>
      </c>
      <c r="D781" t="s">
        <v>6068</v>
      </c>
      <c r="E781">
        <f t="shared" si="12"/>
        <v>228</v>
      </c>
      <c r="F781">
        <f>+COUNTIF(ADV!Z:Z,A781)+COUNTIF(ADV!X:X,A781)+COUNTIF(ADV!Y:Y,A781)</f>
        <v>24</v>
      </c>
    </row>
    <row r="782" spans="1:6" x14ac:dyDescent="0.2">
      <c r="A782" t="s">
        <v>299</v>
      </c>
      <c r="B782">
        <v>1030027</v>
      </c>
      <c r="C782" t="s">
        <v>6383</v>
      </c>
      <c r="D782" t="s">
        <v>6068</v>
      </c>
      <c r="E782">
        <f t="shared" si="12"/>
        <v>227</v>
      </c>
      <c r="F782">
        <f>+COUNTIF(ADV!Z:Z,A782)+COUNTIF(ADV!X:X,A782)+COUNTIF(ADV!Y:Y,A782)</f>
        <v>0</v>
      </c>
    </row>
    <row r="783" spans="1:6" x14ac:dyDescent="0.2">
      <c r="A783" t="s">
        <v>132</v>
      </c>
      <c r="B783">
        <v>1030026</v>
      </c>
      <c r="C783" t="s">
        <v>6384</v>
      </c>
      <c r="D783" t="s">
        <v>6068</v>
      </c>
      <c r="E783">
        <f t="shared" si="12"/>
        <v>222</v>
      </c>
      <c r="F783">
        <f>+COUNTIF(ADV!Z:Z,A783)+COUNTIF(ADV!X:X,A783)+COUNTIF(ADV!Y:Y,A783)</f>
        <v>59</v>
      </c>
    </row>
    <row r="784" spans="1:6" x14ac:dyDescent="0.2">
      <c r="A784" t="s">
        <v>317</v>
      </c>
      <c r="B784">
        <v>1030026</v>
      </c>
      <c r="C784" t="s">
        <v>6385</v>
      </c>
      <c r="D784" t="s">
        <v>6068</v>
      </c>
      <c r="E784">
        <f t="shared" si="12"/>
        <v>221</v>
      </c>
      <c r="F784">
        <f>+COUNTIF(ADV!Z:Z,A784)+COUNTIF(ADV!X:X,A784)+COUNTIF(ADV!Y:Y,A784)</f>
        <v>0</v>
      </c>
    </row>
    <row r="785" spans="1:6" x14ac:dyDescent="0.2">
      <c r="A785" t="s">
        <v>7879</v>
      </c>
      <c r="B785">
        <v>1010091</v>
      </c>
      <c r="C785" t="s">
        <v>7880</v>
      </c>
      <c r="D785" t="s">
        <v>6068</v>
      </c>
      <c r="E785">
        <f t="shared" si="12"/>
        <v>455</v>
      </c>
      <c r="F785">
        <f>+COUNTIF(ADV!Z:Z,A785)+COUNTIF(ADV!X:X,A785)+COUNTIF(ADV!Y:Y,A785)</f>
        <v>0</v>
      </c>
    </row>
    <row r="786" spans="1:6" x14ac:dyDescent="0.2">
      <c r="A786" t="s">
        <v>2306</v>
      </c>
      <c r="B786">
        <v>1010091</v>
      </c>
      <c r="C786" t="s">
        <v>6386</v>
      </c>
      <c r="D786" t="s">
        <v>6068</v>
      </c>
      <c r="E786">
        <f t="shared" si="12"/>
        <v>457</v>
      </c>
      <c r="F786">
        <f>+COUNTIF(ADV!Z:Z,A786)+COUNTIF(ADV!X:X,A786)+COUNTIF(ADV!Y:Y,A786)</f>
        <v>0</v>
      </c>
    </row>
    <row r="787" spans="1:6" x14ac:dyDescent="0.2">
      <c r="A787" t="s">
        <v>7881</v>
      </c>
      <c r="B787">
        <v>1020011</v>
      </c>
      <c r="C787" t="s">
        <v>7882</v>
      </c>
      <c r="D787" t="s">
        <v>6068</v>
      </c>
      <c r="E787">
        <f t="shared" si="12"/>
        <v>389</v>
      </c>
      <c r="F787">
        <f>+COUNTIF(ADV!Z:Z,A787)+COUNTIF(ADV!X:X,A787)+COUNTIF(ADV!Y:Y,A787)</f>
        <v>0</v>
      </c>
    </row>
    <row r="788" spans="1:6" x14ac:dyDescent="0.2">
      <c r="A788" t="s">
        <v>565</v>
      </c>
      <c r="B788">
        <v>1020011</v>
      </c>
      <c r="C788" t="s">
        <v>6387</v>
      </c>
      <c r="D788" t="s">
        <v>6068</v>
      </c>
      <c r="E788">
        <f t="shared" si="12"/>
        <v>389</v>
      </c>
      <c r="F788">
        <f>+COUNTIF(ADV!Z:Z,A788)+COUNTIF(ADV!X:X,A788)+COUNTIF(ADV!Y:Y,A788)</f>
        <v>0</v>
      </c>
    </row>
    <row r="789" spans="1:6" x14ac:dyDescent="0.2">
      <c r="A789" t="s">
        <v>6821</v>
      </c>
      <c r="B789">
        <v>1020011</v>
      </c>
      <c r="C789" t="s">
        <v>6822</v>
      </c>
      <c r="D789" t="s">
        <v>6068</v>
      </c>
      <c r="E789">
        <f t="shared" si="12"/>
        <v>389</v>
      </c>
      <c r="F789">
        <f>+COUNTIF(ADV!Z:Z,A789)+COUNTIF(ADV!X:X,A789)+COUNTIF(ADV!Y:Y,A789)</f>
        <v>0</v>
      </c>
    </row>
    <row r="790" spans="1:6" x14ac:dyDescent="0.2">
      <c r="A790" t="s">
        <v>7883</v>
      </c>
      <c r="B790">
        <v>1020003</v>
      </c>
      <c r="C790" t="s">
        <v>7884</v>
      </c>
      <c r="D790" t="s">
        <v>6068</v>
      </c>
      <c r="E790">
        <f t="shared" si="12"/>
        <v>263</v>
      </c>
      <c r="F790">
        <f>+COUNTIF(ADV!Z:Z,A790)+COUNTIF(ADV!X:X,A790)+COUNTIF(ADV!Y:Y,A790)</f>
        <v>0</v>
      </c>
    </row>
    <row r="791" spans="1:6" x14ac:dyDescent="0.2">
      <c r="A791" t="s">
        <v>368</v>
      </c>
      <c r="B791">
        <v>1020003</v>
      </c>
      <c r="C791" t="s">
        <v>6388</v>
      </c>
      <c r="D791" t="s">
        <v>6068</v>
      </c>
      <c r="E791">
        <f t="shared" si="12"/>
        <v>263</v>
      </c>
      <c r="F791">
        <f>+COUNTIF(ADV!Z:Z,A791)+COUNTIF(ADV!X:X,A791)+COUNTIF(ADV!Y:Y,A791)</f>
        <v>0</v>
      </c>
    </row>
    <row r="792" spans="1:6" x14ac:dyDescent="0.2">
      <c r="A792" t="s">
        <v>1261</v>
      </c>
      <c r="B792">
        <v>1020003</v>
      </c>
      <c r="C792" t="s">
        <v>6389</v>
      </c>
      <c r="D792" t="s">
        <v>6068</v>
      </c>
      <c r="E792">
        <f t="shared" si="12"/>
        <v>262</v>
      </c>
      <c r="F792">
        <f>+COUNTIF(ADV!Z:Z,A792)+COUNTIF(ADV!X:X,A792)+COUNTIF(ADV!Y:Y,A792)</f>
        <v>0</v>
      </c>
    </row>
    <row r="793" spans="1:6" x14ac:dyDescent="0.2">
      <c r="A793" t="s">
        <v>500</v>
      </c>
      <c r="B793">
        <v>1020010</v>
      </c>
      <c r="C793" t="s">
        <v>6390</v>
      </c>
      <c r="D793" t="s">
        <v>6068</v>
      </c>
      <c r="E793">
        <f t="shared" si="12"/>
        <v>268</v>
      </c>
      <c r="F793">
        <f>+COUNTIF(ADV!Z:Z,A793)+COUNTIF(ADV!X:X,A793)+COUNTIF(ADV!Y:Y,A793)</f>
        <v>0</v>
      </c>
    </row>
    <row r="794" spans="1:6" x14ac:dyDescent="0.2">
      <c r="A794" t="s">
        <v>7885</v>
      </c>
      <c r="B794">
        <v>1020010</v>
      </c>
      <c r="C794" t="s">
        <v>7886</v>
      </c>
      <c r="D794" t="s">
        <v>6068</v>
      </c>
      <c r="E794">
        <f t="shared" si="12"/>
        <v>267</v>
      </c>
      <c r="F794">
        <f>+COUNTIF(ADV!Z:Z,A794)+COUNTIF(ADV!X:X,A794)+COUNTIF(ADV!Y:Y,A794)</f>
        <v>0</v>
      </c>
    </row>
    <row r="795" spans="1:6" x14ac:dyDescent="0.2">
      <c r="A795" t="s">
        <v>7887</v>
      </c>
      <c r="B795">
        <v>1020010</v>
      </c>
      <c r="C795" t="s">
        <v>7888</v>
      </c>
      <c r="D795" t="s">
        <v>6068</v>
      </c>
      <c r="E795">
        <f t="shared" si="12"/>
        <v>267</v>
      </c>
      <c r="F795">
        <f>+COUNTIF(ADV!Z:Z,A795)+COUNTIF(ADV!X:X,A795)+COUNTIF(ADV!Y:Y,A795)</f>
        <v>0</v>
      </c>
    </row>
    <row r="796" spans="1:6" x14ac:dyDescent="0.2">
      <c r="A796" t="s">
        <v>7889</v>
      </c>
      <c r="B796">
        <v>1010011</v>
      </c>
      <c r="C796" t="s">
        <v>7890</v>
      </c>
      <c r="D796" t="s">
        <v>6068</v>
      </c>
      <c r="E796">
        <f t="shared" si="12"/>
        <v>300</v>
      </c>
      <c r="F796">
        <f>+COUNTIF(ADV!Z:Z,A796)+COUNTIF(ADV!X:X,A796)+COUNTIF(ADV!Y:Y,A796)</f>
        <v>0</v>
      </c>
    </row>
    <row r="797" spans="1:6" x14ac:dyDescent="0.2">
      <c r="A797" t="s">
        <v>599</v>
      </c>
      <c r="B797">
        <v>1020002</v>
      </c>
      <c r="C797" t="s">
        <v>6391</v>
      </c>
      <c r="D797" t="s">
        <v>6068</v>
      </c>
      <c r="E797">
        <f t="shared" si="12"/>
        <v>264</v>
      </c>
      <c r="F797">
        <f>+COUNTIF(ADV!Z:Z,A797)+COUNTIF(ADV!X:X,A797)+COUNTIF(ADV!Y:Y,A797)</f>
        <v>0</v>
      </c>
    </row>
    <row r="798" spans="1:6" x14ac:dyDescent="0.2">
      <c r="A798" t="s">
        <v>1436</v>
      </c>
      <c r="B798">
        <v>1020002</v>
      </c>
      <c r="C798" t="s">
        <v>6392</v>
      </c>
      <c r="D798" t="s">
        <v>6068</v>
      </c>
      <c r="E798">
        <f t="shared" si="12"/>
        <v>264</v>
      </c>
      <c r="F798">
        <f>+COUNTIF(ADV!Z:Z,A798)+COUNTIF(ADV!X:X,A798)+COUNTIF(ADV!Y:Y,A798)</f>
        <v>1</v>
      </c>
    </row>
    <row r="799" spans="1:6" x14ac:dyDescent="0.2">
      <c r="A799" t="s">
        <v>719</v>
      </c>
      <c r="B799">
        <v>1020002</v>
      </c>
      <c r="C799" t="s">
        <v>6393</v>
      </c>
      <c r="D799" t="s">
        <v>6068</v>
      </c>
      <c r="E799">
        <f t="shared" si="12"/>
        <v>263</v>
      </c>
      <c r="F799">
        <f>+COUNTIF(ADV!Z:Z,A799)+COUNTIF(ADV!X:X,A799)+COUNTIF(ADV!Y:Y,A799)</f>
        <v>0</v>
      </c>
    </row>
    <row r="800" spans="1:6" x14ac:dyDescent="0.2">
      <c r="A800" t="s">
        <v>7891</v>
      </c>
      <c r="B800">
        <v>1020002</v>
      </c>
      <c r="C800" t="s">
        <v>7892</v>
      </c>
      <c r="D800" t="s">
        <v>6068</v>
      </c>
      <c r="E800">
        <f t="shared" si="12"/>
        <v>263</v>
      </c>
      <c r="F800">
        <f>+COUNTIF(ADV!Z:Z,A800)+COUNTIF(ADV!X:X,A800)+COUNTIF(ADV!Y:Y,A800)</f>
        <v>0</v>
      </c>
    </row>
    <row r="801" spans="1:6" x14ac:dyDescent="0.2">
      <c r="A801" t="s">
        <v>7893</v>
      </c>
      <c r="B801">
        <v>1030019</v>
      </c>
      <c r="C801" t="s">
        <v>7037</v>
      </c>
      <c r="D801" t="s">
        <v>6068</v>
      </c>
      <c r="E801">
        <f t="shared" si="12"/>
        <v>57</v>
      </c>
      <c r="F801">
        <f>+COUNTIF(ADV!Z:Z,A801)+COUNTIF(ADV!X:X,A801)+COUNTIF(ADV!Y:Y,A801)</f>
        <v>0</v>
      </c>
    </row>
    <row r="802" spans="1:6" x14ac:dyDescent="0.2">
      <c r="A802" t="s">
        <v>4554</v>
      </c>
      <c r="B802">
        <v>1030019</v>
      </c>
      <c r="C802" t="s">
        <v>6094</v>
      </c>
      <c r="D802" t="s">
        <v>6068</v>
      </c>
      <c r="E802">
        <f t="shared" si="12"/>
        <v>58</v>
      </c>
      <c r="F802">
        <f>+COUNTIF(ADV!Z:Z,A802)+COUNTIF(ADV!X:X,A802)+COUNTIF(ADV!Y:Y,A802)</f>
        <v>0</v>
      </c>
    </row>
    <row r="803" spans="1:6" x14ac:dyDescent="0.2">
      <c r="A803" t="s">
        <v>7894</v>
      </c>
      <c r="B803">
        <v>1010148</v>
      </c>
      <c r="C803" t="s">
        <v>7895</v>
      </c>
      <c r="D803" t="s">
        <v>6068</v>
      </c>
      <c r="E803">
        <f t="shared" si="12"/>
        <v>107</v>
      </c>
      <c r="F803">
        <f>+COUNTIF(ADV!Z:Z,A803)+COUNTIF(ADV!X:X,A803)+COUNTIF(ADV!Y:Y,A803)</f>
        <v>0</v>
      </c>
    </row>
    <row r="804" spans="1:6" x14ac:dyDescent="0.2">
      <c r="A804" t="s">
        <v>3885</v>
      </c>
      <c r="B804">
        <v>1010148</v>
      </c>
      <c r="C804" t="s">
        <v>6394</v>
      </c>
      <c r="D804" t="s">
        <v>6068</v>
      </c>
      <c r="E804">
        <f t="shared" si="12"/>
        <v>117</v>
      </c>
      <c r="F804">
        <f>+COUNTIF(ADV!Z:Z,A804)+COUNTIF(ADV!X:X,A804)+COUNTIF(ADV!Y:Y,A804)</f>
        <v>1</v>
      </c>
    </row>
    <row r="805" spans="1:6" x14ac:dyDescent="0.2">
      <c r="A805" t="s">
        <v>2772</v>
      </c>
      <c r="B805">
        <v>1010034</v>
      </c>
      <c r="C805" t="s">
        <v>6395</v>
      </c>
      <c r="D805" t="s">
        <v>6068</v>
      </c>
      <c r="E805">
        <f t="shared" si="12"/>
        <v>258</v>
      </c>
      <c r="F805">
        <f>+COUNTIF(ADV!Z:Z,A805)+COUNTIF(ADV!X:X,A805)+COUNTIF(ADV!Y:Y,A805)</f>
        <v>0</v>
      </c>
    </row>
    <row r="806" spans="1:6" x14ac:dyDescent="0.2">
      <c r="A806" t="s">
        <v>2739</v>
      </c>
      <c r="B806">
        <v>1010007</v>
      </c>
      <c r="C806" t="s">
        <v>6396</v>
      </c>
      <c r="D806" t="s">
        <v>6068</v>
      </c>
      <c r="E806">
        <f t="shared" si="12"/>
        <v>216</v>
      </c>
      <c r="F806">
        <f>+COUNTIF(ADV!Z:Z,A806)+COUNTIF(ADV!X:X,A806)+COUNTIF(ADV!Y:Y,A806)</f>
        <v>0</v>
      </c>
    </row>
    <row r="807" spans="1:6" x14ac:dyDescent="0.2">
      <c r="A807" t="s">
        <v>1670</v>
      </c>
      <c r="B807">
        <v>1010090</v>
      </c>
      <c r="C807" t="s">
        <v>6397</v>
      </c>
      <c r="D807" t="s">
        <v>6068</v>
      </c>
      <c r="E807">
        <f t="shared" si="12"/>
        <v>175</v>
      </c>
      <c r="F807">
        <f>+COUNTIF(ADV!Z:Z,A807)+COUNTIF(ADV!X:X,A807)+COUNTIF(ADV!Y:Y,A807)</f>
        <v>0</v>
      </c>
    </row>
    <row r="808" spans="1:6" x14ac:dyDescent="0.2">
      <c r="A808" t="s">
        <v>7896</v>
      </c>
      <c r="B808">
        <v>1010062</v>
      </c>
      <c r="C808" t="s">
        <v>7897</v>
      </c>
      <c r="D808" t="s">
        <v>6068</v>
      </c>
      <c r="E808">
        <f t="shared" si="12"/>
        <v>204</v>
      </c>
      <c r="F808">
        <f>+COUNTIF(ADV!Z:Z,A808)+COUNTIF(ADV!X:X,A808)+COUNTIF(ADV!Y:Y,A808)</f>
        <v>0</v>
      </c>
    </row>
    <row r="809" spans="1:6" x14ac:dyDescent="0.2">
      <c r="A809" t="s">
        <v>2533</v>
      </c>
      <c r="B809">
        <v>1010062</v>
      </c>
      <c r="C809" t="s">
        <v>6398</v>
      </c>
      <c r="D809" t="s">
        <v>6068</v>
      </c>
      <c r="E809">
        <f t="shared" si="12"/>
        <v>204</v>
      </c>
      <c r="F809">
        <f>+COUNTIF(ADV!Z:Z,A809)+COUNTIF(ADV!X:X,A809)+COUNTIF(ADV!Y:Y,A809)</f>
        <v>0</v>
      </c>
    </row>
    <row r="810" spans="1:6" x14ac:dyDescent="0.2">
      <c r="A810" t="s">
        <v>7898</v>
      </c>
      <c r="B810">
        <v>1010063</v>
      </c>
      <c r="C810" t="s">
        <v>7899</v>
      </c>
      <c r="D810" t="s">
        <v>6068</v>
      </c>
      <c r="E810">
        <f t="shared" si="12"/>
        <v>103</v>
      </c>
      <c r="F810">
        <f>+COUNTIF(ADV!Z:Z,A810)+COUNTIF(ADV!X:X,A810)+COUNTIF(ADV!Y:Y,A810)</f>
        <v>0</v>
      </c>
    </row>
    <row r="811" spans="1:6" x14ac:dyDescent="0.2">
      <c r="A811" t="s">
        <v>4553</v>
      </c>
      <c r="B811">
        <v>1010063</v>
      </c>
      <c r="C811" t="s">
        <v>6399</v>
      </c>
      <c r="D811" t="s">
        <v>6068</v>
      </c>
      <c r="E811">
        <f t="shared" si="12"/>
        <v>289</v>
      </c>
      <c r="F811">
        <f>+COUNTIF(ADV!Z:Z,A811)+COUNTIF(ADV!X:X,A811)+COUNTIF(ADV!Y:Y,A811)</f>
        <v>0</v>
      </c>
    </row>
    <row r="812" spans="1:6" x14ac:dyDescent="0.2">
      <c r="A812" t="s">
        <v>7900</v>
      </c>
      <c r="B812">
        <v>1010066</v>
      </c>
      <c r="C812" t="s">
        <v>7901</v>
      </c>
      <c r="D812" t="s">
        <v>6068</v>
      </c>
      <c r="E812">
        <f t="shared" si="12"/>
        <v>784</v>
      </c>
      <c r="F812">
        <f>+COUNTIF(ADV!Z:Z,A812)+COUNTIF(ADV!X:X,A812)+COUNTIF(ADV!Y:Y,A812)</f>
        <v>0</v>
      </c>
    </row>
    <row r="813" spans="1:6" x14ac:dyDescent="0.2">
      <c r="A813" t="s">
        <v>4014</v>
      </c>
      <c r="B813">
        <v>1010066</v>
      </c>
      <c r="C813" t="s">
        <v>6400</v>
      </c>
      <c r="D813" t="s">
        <v>6068</v>
      </c>
      <c r="E813">
        <f t="shared" si="12"/>
        <v>781</v>
      </c>
      <c r="F813">
        <f>+COUNTIF(ADV!Z:Z,A813)+COUNTIF(ADV!X:X,A813)+COUNTIF(ADV!Y:Y,A813)</f>
        <v>0</v>
      </c>
    </row>
    <row r="814" spans="1:6" x14ac:dyDescent="0.2">
      <c r="A814" t="s">
        <v>7902</v>
      </c>
      <c r="B814">
        <v>1010168</v>
      </c>
      <c r="C814" t="s">
        <v>7903</v>
      </c>
      <c r="D814" t="s">
        <v>6068</v>
      </c>
      <c r="E814">
        <f t="shared" si="12"/>
        <v>1222</v>
      </c>
      <c r="F814">
        <f>+COUNTIF(ADV!Z:Z,A814)+COUNTIF(ADV!X:X,A814)+COUNTIF(ADV!Y:Y,A814)</f>
        <v>0</v>
      </c>
    </row>
    <row r="815" spans="1:6" x14ac:dyDescent="0.2">
      <c r="A815" t="s">
        <v>2200</v>
      </c>
      <c r="B815">
        <v>1010168</v>
      </c>
      <c r="C815" t="s">
        <v>6401</v>
      </c>
      <c r="D815" t="s">
        <v>6068</v>
      </c>
      <c r="E815">
        <f t="shared" si="12"/>
        <v>1221</v>
      </c>
      <c r="F815">
        <f>+COUNTIF(ADV!Z:Z,A815)+COUNTIF(ADV!X:X,A815)+COUNTIF(ADV!Y:Y,A815)</f>
        <v>0</v>
      </c>
    </row>
    <row r="816" spans="1:6" x14ac:dyDescent="0.2">
      <c r="A816" t="s">
        <v>7904</v>
      </c>
      <c r="B816">
        <v>1010052</v>
      </c>
      <c r="C816" t="s">
        <v>6402</v>
      </c>
      <c r="D816" t="s">
        <v>6068</v>
      </c>
      <c r="E816">
        <f t="shared" si="12"/>
        <v>213</v>
      </c>
      <c r="F816">
        <f>+COUNTIF(ADV!Z:Z,A816)+COUNTIF(ADV!X:X,A816)+COUNTIF(ADV!Y:Y,A816)</f>
        <v>0</v>
      </c>
    </row>
    <row r="817" spans="1:6" x14ac:dyDescent="0.2">
      <c r="A817" t="s">
        <v>3217</v>
      </c>
      <c r="B817">
        <v>1010052</v>
      </c>
      <c r="C817" t="s">
        <v>6402</v>
      </c>
      <c r="D817" t="s">
        <v>6068</v>
      </c>
      <c r="E817">
        <f t="shared" si="12"/>
        <v>213</v>
      </c>
      <c r="F817">
        <f>+COUNTIF(ADV!Z:Z,A817)+COUNTIF(ADV!X:X,A817)+COUNTIF(ADV!Y:Y,A817)</f>
        <v>0</v>
      </c>
    </row>
    <row r="818" spans="1:6" x14ac:dyDescent="0.2">
      <c r="A818" t="s">
        <v>7905</v>
      </c>
      <c r="B818">
        <v>1010066</v>
      </c>
      <c r="C818" t="s">
        <v>7906</v>
      </c>
      <c r="D818" t="s">
        <v>6068</v>
      </c>
      <c r="E818">
        <f t="shared" si="12"/>
        <v>1004</v>
      </c>
      <c r="F818">
        <f>+COUNTIF(ADV!Z:Z,A818)+COUNTIF(ADV!X:X,A818)+COUNTIF(ADV!Y:Y,A818)</f>
        <v>0</v>
      </c>
    </row>
    <row r="819" spans="1:6" x14ac:dyDescent="0.2">
      <c r="A819" t="s">
        <v>3287</v>
      </c>
      <c r="B819">
        <v>1010066</v>
      </c>
      <c r="C819" t="s">
        <v>6403</v>
      </c>
      <c r="D819" t="s">
        <v>6068</v>
      </c>
      <c r="E819">
        <f t="shared" si="12"/>
        <v>998</v>
      </c>
      <c r="F819">
        <f>+COUNTIF(ADV!Z:Z,A819)+COUNTIF(ADV!X:X,A819)+COUNTIF(ADV!Y:Y,A819)</f>
        <v>0</v>
      </c>
    </row>
    <row r="820" spans="1:6" x14ac:dyDescent="0.2">
      <c r="A820" t="s">
        <v>7907</v>
      </c>
      <c r="B820">
        <v>1020037</v>
      </c>
      <c r="C820" t="s">
        <v>7908</v>
      </c>
      <c r="D820" t="s">
        <v>6068</v>
      </c>
      <c r="E820">
        <f t="shared" si="12"/>
        <v>218</v>
      </c>
      <c r="F820">
        <f>+COUNTIF(ADV!Z:Z,A820)+COUNTIF(ADV!X:X,A820)+COUNTIF(ADV!Y:Y,A820)</f>
        <v>0</v>
      </c>
    </row>
    <row r="821" spans="1:6" x14ac:dyDescent="0.2">
      <c r="A821" t="s">
        <v>3288</v>
      </c>
      <c r="B821">
        <v>1020037</v>
      </c>
      <c r="C821" t="s">
        <v>6404</v>
      </c>
      <c r="D821" t="s">
        <v>6068</v>
      </c>
      <c r="E821">
        <f t="shared" si="12"/>
        <v>218</v>
      </c>
      <c r="F821">
        <f>+COUNTIF(ADV!Z:Z,A821)+COUNTIF(ADV!X:X,A821)+COUNTIF(ADV!Y:Y,A821)</f>
        <v>0</v>
      </c>
    </row>
    <row r="822" spans="1:6" x14ac:dyDescent="0.2">
      <c r="A822" t="s">
        <v>7909</v>
      </c>
      <c r="B822">
        <v>1010005</v>
      </c>
      <c r="C822" t="s">
        <v>7910</v>
      </c>
      <c r="D822" t="s">
        <v>6068</v>
      </c>
      <c r="E822">
        <f t="shared" si="12"/>
        <v>240</v>
      </c>
      <c r="F822">
        <f>+COUNTIF(ADV!Z:Z,A822)+COUNTIF(ADV!X:X,A822)+COUNTIF(ADV!Y:Y,A822)</f>
        <v>0</v>
      </c>
    </row>
    <row r="823" spans="1:6" x14ac:dyDescent="0.2">
      <c r="A823" t="s">
        <v>2083</v>
      </c>
      <c r="B823">
        <v>1010005</v>
      </c>
      <c r="C823" t="s">
        <v>6405</v>
      </c>
      <c r="D823" t="s">
        <v>6068</v>
      </c>
      <c r="E823">
        <f t="shared" si="12"/>
        <v>240</v>
      </c>
      <c r="F823">
        <f>+COUNTIF(ADV!Z:Z,A823)+COUNTIF(ADV!X:X,A823)+COUNTIF(ADV!Y:Y,A823)</f>
        <v>1</v>
      </c>
    </row>
    <row r="824" spans="1:6" x14ac:dyDescent="0.2">
      <c r="A824" t="s">
        <v>2441</v>
      </c>
      <c r="B824">
        <v>1010146</v>
      </c>
      <c r="C824" t="s">
        <v>7911</v>
      </c>
      <c r="D824" t="s">
        <v>6068</v>
      </c>
      <c r="E824">
        <f t="shared" si="12"/>
        <v>499</v>
      </c>
      <c r="F824">
        <f>+COUNTIF(ADV!Z:Z,A824)+COUNTIF(ADV!X:X,A824)+COUNTIF(ADV!Y:Y,A824)</f>
        <v>0</v>
      </c>
    </row>
    <row r="825" spans="1:6" x14ac:dyDescent="0.2">
      <c r="A825" t="s">
        <v>7912</v>
      </c>
      <c r="B825">
        <v>1020009</v>
      </c>
      <c r="C825" t="s">
        <v>7913</v>
      </c>
      <c r="D825" t="s">
        <v>6068</v>
      </c>
      <c r="E825">
        <f t="shared" si="12"/>
        <v>48</v>
      </c>
      <c r="F825">
        <f>+COUNTIF(ADV!Z:Z,A825)+COUNTIF(ADV!X:X,A825)+COUNTIF(ADV!Y:Y,A825)</f>
        <v>0</v>
      </c>
    </row>
    <row r="826" spans="1:6" x14ac:dyDescent="0.2">
      <c r="A826" t="s">
        <v>7914</v>
      </c>
      <c r="B826">
        <v>1020009</v>
      </c>
      <c r="C826" t="s">
        <v>7915</v>
      </c>
      <c r="D826" t="s">
        <v>6068</v>
      </c>
      <c r="E826">
        <f t="shared" si="12"/>
        <v>48</v>
      </c>
      <c r="F826">
        <f>+COUNTIF(ADV!Z:Z,A826)+COUNTIF(ADV!X:X,A826)+COUNTIF(ADV!Y:Y,A826)</f>
        <v>0</v>
      </c>
    </row>
    <row r="827" spans="1:6" x14ac:dyDescent="0.2">
      <c r="A827" t="s">
        <v>2322</v>
      </c>
      <c r="B827">
        <v>1020009</v>
      </c>
      <c r="C827" t="s">
        <v>6407</v>
      </c>
      <c r="D827" t="s">
        <v>6068</v>
      </c>
      <c r="E827">
        <f t="shared" si="12"/>
        <v>48</v>
      </c>
      <c r="F827">
        <f>+COUNTIF(ADV!Z:Z,A827)+COUNTIF(ADV!X:X,A827)+COUNTIF(ADV!Y:Y,A827)</f>
        <v>0</v>
      </c>
    </row>
    <row r="828" spans="1:6" x14ac:dyDescent="0.2">
      <c r="A828" t="s">
        <v>7916</v>
      </c>
      <c r="B828">
        <v>1020009</v>
      </c>
      <c r="C828" t="s">
        <v>7917</v>
      </c>
      <c r="D828" t="s">
        <v>6068</v>
      </c>
      <c r="E828">
        <f t="shared" si="12"/>
        <v>47</v>
      </c>
      <c r="F828">
        <f>+COUNTIF(ADV!Z:Z,A828)+COUNTIF(ADV!X:X,A828)+COUNTIF(ADV!Y:Y,A828)</f>
        <v>0</v>
      </c>
    </row>
    <row r="829" spans="1:6" x14ac:dyDescent="0.2">
      <c r="A829" t="s">
        <v>7918</v>
      </c>
      <c r="B829">
        <v>1020009</v>
      </c>
      <c r="C829" t="s">
        <v>7919</v>
      </c>
      <c r="D829" t="s">
        <v>6068</v>
      </c>
      <c r="E829">
        <f t="shared" si="12"/>
        <v>47</v>
      </c>
      <c r="F829">
        <f>+COUNTIF(ADV!Z:Z,A829)+COUNTIF(ADV!X:X,A829)+COUNTIF(ADV!Y:Y,A829)</f>
        <v>0</v>
      </c>
    </row>
    <row r="830" spans="1:6" x14ac:dyDescent="0.2">
      <c r="A830" t="s">
        <v>7920</v>
      </c>
      <c r="B830">
        <v>1020009</v>
      </c>
      <c r="C830" t="s">
        <v>7921</v>
      </c>
      <c r="D830" t="s">
        <v>6068</v>
      </c>
      <c r="E830">
        <f t="shared" si="12"/>
        <v>47</v>
      </c>
      <c r="F830">
        <f>+COUNTIF(ADV!Z:Z,A830)+COUNTIF(ADV!X:X,A830)+COUNTIF(ADV!Y:Y,A830)</f>
        <v>0</v>
      </c>
    </row>
    <row r="831" spans="1:6" x14ac:dyDescent="0.2">
      <c r="A831" t="s">
        <v>617</v>
      </c>
      <c r="B831">
        <v>1020009</v>
      </c>
      <c r="C831" t="s">
        <v>6408</v>
      </c>
      <c r="D831" t="s">
        <v>6068</v>
      </c>
      <c r="E831">
        <f t="shared" si="12"/>
        <v>47</v>
      </c>
      <c r="F831">
        <f>+COUNTIF(ADV!Z:Z,A831)+COUNTIF(ADV!X:X,A831)+COUNTIF(ADV!Y:Y,A831)</f>
        <v>0</v>
      </c>
    </row>
    <row r="832" spans="1:6" x14ac:dyDescent="0.2">
      <c r="A832" t="s">
        <v>7922</v>
      </c>
      <c r="B832">
        <v>1010024</v>
      </c>
      <c r="C832" t="s">
        <v>7923</v>
      </c>
      <c r="D832" t="s">
        <v>6068</v>
      </c>
      <c r="E832">
        <f t="shared" si="12"/>
        <v>179</v>
      </c>
      <c r="F832">
        <f>+COUNTIF(ADV!Z:Z,A832)+COUNTIF(ADV!X:X,A832)+COUNTIF(ADV!Y:Y,A832)</f>
        <v>0</v>
      </c>
    </row>
    <row r="833" spans="1:6" x14ac:dyDescent="0.2">
      <c r="A833" t="s">
        <v>7924</v>
      </c>
      <c r="B833">
        <v>1010024</v>
      </c>
      <c r="C833" t="s">
        <v>7925</v>
      </c>
      <c r="D833" t="s">
        <v>6068</v>
      </c>
      <c r="E833">
        <f t="shared" si="12"/>
        <v>180</v>
      </c>
      <c r="F833">
        <f>+COUNTIF(ADV!Z:Z,A833)+COUNTIF(ADV!X:X,A833)+COUNTIF(ADV!Y:Y,A833)</f>
        <v>0</v>
      </c>
    </row>
    <row r="834" spans="1:6" x14ac:dyDescent="0.2">
      <c r="A834" t="s">
        <v>7926</v>
      </c>
      <c r="B834">
        <v>1010024</v>
      </c>
      <c r="C834" t="s">
        <v>7927</v>
      </c>
      <c r="D834" t="s">
        <v>6068</v>
      </c>
      <c r="E834">
        <f t="shared" ref="E834:E897" si="13">+LEN(C834)</f>
        <v>180</v>
      </c>
      <c r="F834">
        <f>+COUNTIF(ADV!Z:Z,A834)+COUNTIF(ADV!X:X,A834)+COUNTIF(ADV!Y:Y,A834)</f>
        <v>0</v>
      </c>
    </row>
    <row r="835" spans="1:6" x14ac:dyDescent="0.2">
      <c r="A835" t="s">
        <v>7928</v>
      </c>
      <c r="B835">
        <v>1020010</v>
      </c>
      <c r="C835" t="s">
        <v>7929</v>
      </c>
      <c r="D835" t="s">
        <v>6068</v>
      </c>
      <c r="E835">
        <f t="shared" si="13"/>
        <v>68</v>
      </c>
      <c r="F835">
        <f>+COUNTIF(ADV!Z:Z,A835)+COUNTIF(ADV!X:X,A835)+COUNTIF(ADV!Y:Y,A835)</f>
        <v>0</v>
      </c>
    </row>
    <row r="836" spans="1:6" x14ac:dyDescent="0.2">
      <c r="A836" t="s">
        <v>172</v>
      </c>
      <c r="B836">
        <v>1020010</v>
      </c>
      <c r="C836" t="s">
        <v>6409</v>
      </c>
      <c r="D836" t="s">
        <v>6068</v>
      </c>
      <c r="E836">
        <f t="shared" si="13"/>
        <v>68</v>
      </c>
      <c r="F836">
        <f>+COUNTIF(ADV!Z:Z,A836)+COUNTIF(ADV!X:X,A836)+COUNTIF(ADV!Y:Y,A836)</f>
        <v>0</v>
      </c>
    </row>
    <row r="837" spans="1:6" x14ac:dyDescent="0.2">
      <c r="A837" t="s">
        <v>7930</v>
      </c>
      <c r="B837">
        <v>1070015</v>
      </c>
      <c r="C837" t="s">
        <v>7931</v>
      </c>
      <c r="D837" t="s">
        <v>6068</v>
      </c>
      <c r="E837">
        <f t="shared" si="13"/>
        <v>56</v>
      </c>
      <c r="F837">
        <f>+COUNTIF(ADV!Z:Z,A837)+COUNTIF(ADV!X:X,A837)+COUNTIF(ADV!Y:Y,A837)</f>
        <v>0</v>
      </c>
    </row>
    <row r="838" spans="1:6" x14ac:dyDescent="0.2">
      <c r="A838" t="s">
        <v>1735</v>
      </c>
      <c r="B838">
        <v>1070015</v>
      </c>
      <c r="C838" t="s">
        <v>6410</v>
      </c>
      <c r="D838" t="s">
        <v>6068</v>
      </c>
      <c r="E838">
        <f t="shared" si="13"/>
        <v>56</v>
      </c>
      <c r="F838">
        <f>+COUNTIF(ADV!Z:Z,A838)+COUNTIF(ADV!X:X,A838)+COUNTIF(ADV!Y:Y,A838)</f>
        <v>0</v>
      </c>
    </row>
    <row r="839" spans="1:6" x14ac:dyDescent="0.2">
      <c r="A839" t="s">
        <v>7932</v>
      </c>
      <c r="B839">
        <v>1070015</v>
      </c>
      <c r="C839" t="s">
        <v>7933</v>
      </c>
      <c r="D839" t="s">
        <v>6068</v>
      </c>
      <c r="E839">
        <f t="shared" si="13"/>
        <v>56</v>
      </c>
      <c r="F839">
        <f>+COUNTIF(ADV!Z:Z,A839)+COUNTIF(ADV!X:X,A839)+COUNTIF(ADV!Y:Y,A839)</f>
        <v>0</v>
      </c>
    </row>
    <row r="840" spans="1:6" x14ac:dyDescent="0.2">
      <c r="A840" t="s">
        <v>7934</v>
      </c>
      <c r="B840">
        <v>1070015</v>
      </c>
      <c r="C840" t="s">
        <v>7935</v>
      </c>
      <c r="D840" t="s">
        <v>6068</v>
      </c>
      <c r="E840">
        <f t="shared" si="13"/>
        <v>56</v>
      </c>
      <c r="F840">
        <f>+COUNTIF(ADV!Z:Z,A840)+COUNTIF(ADV!X:X,A840)+COUNTIF(ADV!Y:Y,A840)</f>
        <v>0</v>
      </c>
    </row>
    <row r="841" spans="1:6" x14ac:dyDescent="0.2">
      <c r="A841" t="s">
        <v>7936</v>
      </c>
      <c r="B841">
        <v>1070021</v>
      </c>
      <c r="C841" t="s">
        <v>7937</v>
      </c>
      <c r="D841" t="s">
        <v>6068</v>
      </c>
      <c r="E841">
        <f t="shared" si="13"/>
        <v>57</v>
      </c>
      <c r="F841">
        <f>+COUNTIF(ADV!Z:Z,A841)+COUNTIF(ADV!X:X,A841)+COUNTIF(ADV!Y:Y,A841)</f>
        <v>0</v>
      </c>
    </row>
    <row r="842" spans="1:6" x14ac:dyDescent="0.2">
      <c r="A842" t="s">
        <v>2096</v>
      </c>
      <c r="B842">
        <v>1070021</v>
      </c>
      <c r="C842" t="s">
        <v>6411</v>
      </c>
      <c r="D842" t="s">
        <v>6068</v>
      </c>
      <c r="E842">
        <f t="shared" si="13"/>
        <v>57</v>
      </c>
      <c r="F842">
        <f>+COUNTIF(ADV!Z:Z,A842)+COUNTIF(ADV!X:X,A842)+COUNTIF(ADV!Y:Y,A842)</f>
        <v>0</v>
      </c>
    </row>
    <row r="843" spans="1:6" x14ac:dyDescent="0.2">
      <c r="A843" t="s">
        <v>7938</v>
      </c>
      <c r="B843">
        <v>1030016</v>
      </c>
      <c r="C843" t="s">
        <v>7368</v>
      </c>
      <c r="D843" t="s">
        <v>6068</v>
      </c>
      <c r="E843">
        <f t="shared" si="13"/>
        <v>48</v>
      </c>
      <c r="F843">
        <f>+COUNTIF(ADV!Z:Z,A843)+COUNTIF(ADV!X:X,A843)+COUNTIF(ADV!Y:Y,A843)</f>
        <v>0</v>
      </c>
    </row>
    <row r="844" spans="1:6" x14ac:dyDescent="0.2">
      <c r="A844" t="s">
        <v>7939</v>
      </c>
      <c r="B844">
        <v>1030016</v>
      </c>
      <c r="C844" t="s">
        <v>6197</v>
      </c>
      <c r="D844" t="s">
        <v>6068</v>
      </c>
      <c r="E844">
        <f t="shared" si="13"/>
        <v>49</v>
      </c>
      <c r="F844">
        <f>+COUNTIF(ADV!Z:Z,A844)+COUNTIF(ADV!X:X,A844)+COUNTIF(ADV!Y:Y,A844)</f>
        <v>0</v>
      </c>
    </row>
    <row r="845" spans="1:6" x14ac:dyDescent="0.2">
      <c r="A845" t="s">
        <v>2037</v>
      </c>
      <c r="B845">
        <v>1030040</v>
      </c>
      <c r="C845" t="s">
        <v>6412</v>
      </c>
      <c r="D845" t="s">
        <v>6068</v>
      </c>
      <c r="E845">
        <f t="shared" si="13"/>
        <v>306</v>
      </c>
      <c r="F845">
        <f>+COUNTIF(ADV!Z:Z,A845)+COUNTIF(ADV!X:X,A845)+COUNTIF(ADV!Y:Y,A845)</f>
        <v>0</v>
      </c>
    </row>
    <row r="846" spans="1:6" x14ac:dyDescent="0.2">
      <c r="A846" t="s">
        <v>7940</v>
      </c>
      <c r="B846">
        <v>1010037</v>
      </c>
      <c r="C846" t="s">
        <v>7941</v>
      </c>
      <c r="D846" t="s">
        <v>6068</v>
      </c>
      <c r="E846">
        <f t="shared" si="13"/>
        <v>478</v>
      </c>
      <c r="F846">
        <f>+COUNTIF(ADV!Z:Z,A846)+COUNTIF(ADV!X:X,A846)+COUNTIF(ADV!Y:Y,A846)</f>
        <v>0</v>
      </c>
    </row>
    <row r="847" spans="1:6" x14ac:dyDescent="0.2">
      <c r="A847" t="s">
        <v>4028</v>
      </c>
      <c r="B847">
        <v>1010037</v>
      </c>
      <c r="C847" t="s">
        <v>6413</v>
      </c>
      <c r="D847" t="s">
        <v>6068</v>
      </c>
      <c r="E847">
        <f t="shared" si="13"/>
        <v>478</v>
      </c>
      <c r="F847">
        <f>+COUNTIF(ADV!Z:Z,A847)+COUNTIF(ADV!X:X,A847)+COUNTIF(ADV!Y:Y,A847)</f>
        <v>0</v>
      </c>
    </row>
    <row r="848" spans="1:6" x14ac:dyDescent="0.2">
      <c r="A848" t="s">
        <v>3218</v>
      </c>
      <c r="B848">
        <v>1020002</v>
      </c>
      <c r="C848" t="s">
        <v>6414</v>
      </c>
      <c r="D848" t="s">
        <v>6068</v>
      </c>
      <c r="E848">
        <f t="shared" si="13"/>
        <v>113</v>
      </c>
      <c r="F848">
        <f>+COUNTIF(ADV!Z:Z,A848)+COUNTIF(ADV!X:X,A848)+COUNTIF(ADV!Y:Y,A848)</f>
        <v>0</v>
      </c>
    </row>
    <row r="849" spans="1:6" x14ac:dyDescent="0.2">
      <c r="A849" t="s">
        <v>4396</v>
      </c>
      <c r="B849">
        <v>1020002</v>
      </c>
      <c r="C849" t="s">
        <v>6415</v>
      </c>
      <c r="D849" t="s">
        <v>6068</v>
      </c>
      <c r="E849">
        <f t="shared" si="13"/>
        <v>113</v>
      </c>
      <c r="F849">
        <f>+COUNTIF(ADV!Z:Z,A849)+COUNTIF(ADV!X:X,A849)+COUNTIF(ADV!Y:Y,A849)</f>
        <v>0</v>
      </c>
    </row>
    <row r="850" spans="1:6" x14ac:dyDescent="0.2">
      <c r="A850" t="s">
        <v>7942</v>
      </c>
      <c r="B850">
        <v>1020002</v>
      </c>
      <c r="C850" t="s">
        <v>7943</v>
      </c>
      <c r="D850" t="s">
        <v>6068</v>
      </c>
      <c r="E850">
        <f t="shared" si="13"/>
        <v>112</v>
      </c>
      <c r="F850">
        <f>+COUNTIF(ADV!Z:Z,A850)+COUNTIF(ADV!X:X,A850)+COUNTIF(ADV!Y:Y,A850)</f>
        <v>0</v>
      </c>
    </row>
    <row r="851" spans="1:6" x14ac:dyDescent="0.2">
      <c r="A851" t="s">
        <v>7944</v>
      </c>
      <c r="B851">
        <v>1020002</v>
      </c>
      <c r="C851" t="s">
        <v>7945</v>
      </c>
      <c r="D851" t="s">
        <v>6068</v>
      </c>
      <c r="E851">
        <f t="shared" si="13"/>
        <v>112</v>
      </c>
      <c r="F851">
        <f>+COUNTIF(ADV!Z:Z,A851)+COUNTIF(ADV!X:X,A851)+COUNTIF(ADV!Y:Y,A851)</f>
        <v>0</v>
      </c>
    </row>
    <row r="852" spans="1:6" x14ac:dyDescent="0.2">
      <c r="A852" t="s">
        <v>7946</v>
      </c>
      <c r="B852">
        <v>1010011</v>
      </c>
      <c r="C852" t="s">
        <v>7947</v>
      </c>
      <c r="D852" t="s">
        <v>6068</v>
      </c>
      <c r="E852">
        <f t="shared" si="13"/>
        <v>336</v>
      </c>
      <c r="F852">
        <f>+COUNTIF(ADV!Z:Z,A852)+COUNTIF(ADV!X:X,A852)+COUNTIF(ADV!Y:Y,A852)</f>
        <v>0</v>
      </c>
    </row>
    <row r="853" spans="1:6" x14ac:dyDescent="0.2">
      <c r="A853" t="s">
        <v>2731</v>
      </c>
      <c r="B853">
        <v>1010011</v>
      </c>
      <c r="C853" t="s">
        <v>6416</v>
      </c>
      <c r="D853" t="s">
        <v>6068</v>
      </c>
      <c r="E853">
        <f t="shared" si="13"/>
        <v>336</v>
      </c>
      <c r="F853">
        <f>+COUNTIF(ADV!Z:Z,A853)+COUNTIF(ADV!X:X,A853)+COUNTIF(ADV!Y:Y,A853)</f>
        <v>1</v>
      </c>
    </row>
    <row r="854" spans="1:6" x14ac:dyDescent="0.2">
      <c r="A854" t="s">
        <v>7948</v>
      </c>
      <c r="B854">
        <v>1010013</v>
      </c>
      <c r="C854" t="s">
        <v>7949</v>
      </c>
      <c r="D854" t="s">
        <v>6068</v>
      </c>
      <c r="E854">
        <f t="shared" si="13"/>
        <v>505</v>
      </c>
      <c r="F854">
        <f>+COUNTIF(ADV!Z:Z,A854)+COUNTIF(ADV!X:X,A854)+COUNTIF(ADV!Y:Y,A854)</f>
        <v>0</v>
      </c>
    </row>
    <row r="855" spans="1:6" x14ac:dyDescent="0.2">
      <c r="A855" t="s">
        <v>7950</v>
      </c>
      <c r="B855">
        <v>1010013</v>
      </c>
      <c r="C855" t="s">
        <v>7951</v>
      </c>
      <c r="D855" t="s">
        <v>6068</v>
      </c>
      <c r="E855">
        <f t="shared" si="13"/>
        <v>505</v>
      </c>
      <c r="F855">
        <f>+COUNTIF(ADV!Z:Z,A855)+COUNTIF(ADV!X:X,A855)+COUNTIF(ADV!Y:Y,A855)</f>
        <v>0</v>
      </c>
    </row>
    <row r="856" spans="1:6" x14ac:dyDescent="0.2">
      <c r="A856" t="s">
        <v>467</v>
      </c>
      <c r="B856">
        <v>1010013</v>
      </c>
      <c r="C856" t="s">
        <v>6417</v>
      </c>
      <c r="D856" t="s">
        <v>6068</v>
      </c>
      <c r="E856">
        <f t="shared" si="13"/>
        <v>505</v>
      </c>
      <c r="F856">
        <f>+COUNTIF(ADV!Z:Z,A856)+COUNTIF(ADV!X:X,A856)+COUNTIF(ADV!Y:Y,A856)</f>
        <v>0</v>
      </c>
    </row>
    <row r="857" spans="1:6" x14ac:dyDescent="0.2">
      <c r="A857" t="s">
        <v>7952</v>
      </c>
      <c r="B857">
        <v>1010063</v>
      </c>
      <c r="C857" t="s">
        <v>7953</v>
      </c>
      <c r="D857" t="s">
        <v>6068</v>
      </c>
      <c r="E857">
        <f t="shared" si="13"/>
        <v>204</v>
      </c>
      <c r="F857">
        <f>+COUNTIF(ADV!Z:Z,A857)+COUNTIF(ADV!X:X,A857)+COUNTIF(ADV!Y:Y,A857)</f>
        <v>0</v>
      </c>
    </row>
    <row r="858" spans="1:6" x14ac:dyDescent="0.2">
      <c r="A858" t="s">
        <v>4309</v>
      </c>
      <c r="B858">
        <v>1010063</v>
      </c>
      <c r="C858" t="s">
        <v>6418</v>
      </c>
      <c r="D858" t="s">
        <v>6068</v>
      </c>
      <c r="E858">
        <f t="shared" si="13"/>
        <v>171</v>
      </c>
      <c r="F858">
        <f>+COUNTIF(ADV!Z:Z,A858)+COUNTIF(ADV!X:X,A858)+COUNTIF(ADV!Y:Y,A858)</f>
        <v>0</v>
      </c>
    </row>
    <row r="859" spans="1:6" x14ac:dyDescent="0.2">
      <c r="A859" t="s">
        <v>7954</v>
      </c>
      <c r="B859">
        <v>1010145</v>
      </c>
      <c r="C859" t="s">
        <v>7955</v>
      </c>
      <c r="D859" t="s">
        <v>6068</v>
      </c>
      <c r="E859">
        <f t="shared" si="13"/>
        <v>98</v>
      </c>
      <c r="F859">
        <f>+COUNTIF(ADV!Z:Z,A859)+COUNTIF(ADV!X:X,A859)+COUNTIF(ADV!Y:Y,A859)</f>
        <v>0</v>
      </c>
    </row>
    <row r="860" spans="1:6" x14ac:dyDescent="0.2">
      <c r="A860" t="s">
        <v>3067</v>
      </c>
      <c r="B860">
        <v>1010145</v>
      </c>
      <c r="C860" t="s">
        <v>6419</v>
      </c>
      <c r="D860" t="s">
        <v>6068</v>
      </c>
      <c r="E860">
        <f t="shared" si="13"/>
        <v>100</v>
      </c>
      <c r="F860">
        <f>+COUNTIF(ADV!Z:Z,A860)+COUNTIF(ADV!X:X,A860)+COUNTIF(ADV!Y:Y,A860)</f>
        <v>0</v>
      </c>
    </row>
    <row r="861" spans="1:6" x14ac:dyDescent="0.2">
      <c r="A861" t="s">
        <v>153</v>
      </c>
      <c r="B861">
        <v>1010040</v>
      </c>
      <c r="C861" t="s">
        <v>6420</v>
      </c>
      <c r="D861" t="s">
        <v>6068</v>
      </c>
      <c r="E861">
        <f t="shared" si="13"/>
        <v>287</v>
      </c>
      <c r="F861">
        <f>+COUNTIF(ADV!Z:Z,A861)+COUNTIF(ADV!X:X,A861)+COUNTIF(ADV!Y:Y,A861)</f>
        <v>0</v>
      </c>
    </row>
    <row r="862" spans="1:6" x14ac:dyDescent="0.2">
      <c r="A862" t="s">
        <v>994</v>
      </c>
      <c r="B862">
        <v>1010086</v>
      </c>
      <c r="C862" t="s">
        <v>6421</v>
      </c>
      <c r="D862" t="s">
        <v>6068</v>
      </c>
      <c r="E862">
        <f t="shared" si="13"/>
        <v>213</v>
      </c>
      <c r="F862">
        <f>+COUNTIF(ADV!Z:Z,A862)+COUNTIF(ADV!X:X,A862)+COUNTIF(ADV!Y:Y,A862)</f>
        <v>0</v>
      </c>
    </row>
    <row r="863" spans="1:6" x14ac:dyDescent="0.2">
      <c r="A863" t="s">
        <v>7956</v>
      </c>
      <c r="B863">
        <v>1010163</v>
      </c>
      <c r="C863" t="s">
        <v>7957</v>
      </c>
      <c r="D863" t="s">
        <v>6068</v>
      </c>
      <c r="E863">
        <f t="shared" si="13"/>
        <v>197</v>
      </c>
      <c r="F863">
        <f>+COUNTIF(ADV!Z:Z,A863)+COUNTIF(ADV!X:X,A863)+COUNTIF(ADV!Y:Y,A863)</f>
        <v>0</v>
      </c>
    </row>
    <row r="864" spans="1:6" x14ac:dyDescent="0.2">
      <c r="A864" t="s">
        <v>549</v>
      </c>
      <c r="B864">
        <v>1010163</v>
      </c>
      <c r="C864" t="s">
        <v>6422</v>
      </c>
      <c r="D864" t="s">
        <v>6068</v>
      </c>
      <c r="E864">
        <f t="shared" si="13"/>
        <v>407</v>
      </c>
      <c r="F864">
        <f>+COUNTIF(ADV!Z:Z,A864)+COUNTIF(ADV!X:X,A864)+COUNTIF(ADV!Y:Y,A864)</f>
        <v>0</v>
      </c>
    </row>
    <row r="865" spans="1:6" x14ac:dyDescent="0.2">
      <c r="A865" t="s">
        <v>6869</v>
      </c>
      <c r="B865">
        <v>1010163</v>
      </c>
      <c r="C865" t="s">
        <v>6870</v>
      </c>
      <c r="D865" t="s">
        <v>6068</v>
      </c>
      <c r="E865">
        <f t="shared" si="13"/>
        <v>407</v>
      </c>
      <c r="F865">
        <f>+COUNTIF(ADV!Z:Z,A865)+COUNTIF(ADV!X:X,A865)+COUNTIF(ADV!Y:Y,A865)</f>
        <v>0</v>
      </c>
    </row>
    <row r="866" spans="1:6" x14ac:dyDescent="0.2">
      <c r="A866" t="s">
        <v>7958</v>
      </c>
      <c r="B866">
        <v>1020022</v>
      </c>
      <c r="C866" t="s">
        <v>7959</v>
      </c>
      <c r="D866" t="s">
        <v>6068</v>
      </c>
      <c r="E866">
        <f t="shared" si="13"/>
        <v>159</v>
      </c>
      <c r="F866">
        <f>+COUNTIF(ADV!Z:Z,A866)+COUNTIF(ADV!X:X,A866)+COUNTIF(ADV!Y:Y,A866)</f>
        <v>0</v>
      </c>
    </row>
    <row r="867" spans="1:6" x14ac:dyDescent="0.2">
      <c r="A867" t="s">
        <v>3170</v>
      </c>
      <c r="B867">
        <v>1020022</v>
      </c>
      <c r="C867" t="s">
        <v>6423</v>
      </c>
      <c r="D867" t="s">
        <v>6068</v>
      </c>
      <c r="E867">
        <f t="shared" si="13"/>
        <v>293</v>
      </c>
      <c r="F867">
        <f>+COUNTIF(ADV!Z:Z,A867)+COUNTIF(ADV!X:X,A867)+COUNTIF(ADV!Y:Y,A867)</f>
        <v>0</v>
      </c>
    </row>
    <row r="868" spans="1:6" x14ac:dyDescent="0.2">
      <c r="A868" t="s">
        <v>7960</v>
      </c>
      <c r="B868">
        <v>1010191</v>
      </c>
      <c r="C868" t="s">
        <v>7961</v>
      </c>
      <c r="D868" t="s">
        <v>6068</v>
      </c>
      <c r="E868">
        <f t="shared" si="13"/>
        <v>196</v>
      </c>
      <c r="F868">
        <f>+COUNTIF(ADV!Z:Z,A868)+COUNTIF(ADV!X:X,A868)+COUNTIF(ADV!Y:Y,A868)</f>
        <v>0</v>
      </c>
    </row>
    <row r="869" spans="1:6" x14ac:dyDescent="0.2">
      <c r="A869" t="s">
        <v>436</v>
      </c>
      <c r="B869">
        <v>1010191</v>
      </c>
      <c r="C869" t="s">
        <v>6424</v>
      </c>
      <c r="D869" t="s">
        <v>6068</v>
      </c>
      <c r="E869">
        <f t="shared" si="13"/>
        <v>331</v>
      </c>
      <c r="F869">
        <f>+COUNTIF(ADV!Z:Z,A869)+COUNTIF(ADV!X:X,A869)+COUNTIF(ADV!Y:Y,A869)</f>
        <v>1</v>
      </c>
    </row>
    <row r="870" spans="1:6" x14ac:dyDescent="0.2">
      <c r="A870" t="s">
        <v>7962</v>
      </c>
      <c r="B870">
        <v>1010003</v>
      </c>
      <c r="C870" t="s">
        <v>7963</v>
      </c>
      <c r="D870" t="s">
        <v>6068</v>
      </c>
      <c r="E870">
        <f t="shared" si="13"/>
        <v>50</v>
      </c>
      <c r="F870">
        <f>+COUNTIF(ADV!Z:Z,A870)+COUNTIF(ADV!X:X,A870)+COUNTIF(ADV!Y:Y,A870)</f>
        <v>0</v>
      </c>
    </row>
    <row r="871" spans="1:6" x14ac:dyDescent="0.2">
      <c r="A871" t="s">
        <v>7964</v>
      </c>
      <c r="B871">
        <v>1010003</v>
      </c>
      <c r="C871" t="s">
        <v>7965</v>
      </c>
      <c r="D871" t="s">
        <v>6068</v>
      </c>
      <c r="E871">
        <f t="shared" si="13"/>
        <v>50</v>
      </c>
      <c r="F871">
        <f>+COUNTIF(ADV!Z:Z,A871)+COUNTIF(ADV!X:X,A871)+COUNTIF(ADV!Y:Y,A871)</f>
        <v>0</v>
      </c>
    </row>
    <row r="872" spans="1:6" x14ac:dyDescent="0.2">
      <c r="A872" t="s">
        <v>7966</v>
      </c>
      <c r="B872">
        <v>1010003</v>
      </c>
      <c r="C872" t="s">
        <v>7967</v>
      </c>
      <c r="D872" t="s">
        <v>6068</v>
      </c>
      <c r="E872">
        <f t="shared" si="13"/>
        <v>50</v>
      </c>
      <c r="F872">
        <f>+COUNTIF(ADV!Z:Z,A872)+COUNTIF(ADV!X:X,A872)+COUNTIF(ADV!Y:Y,A872)</f>
        <v>0</v>
      </c>
    </row>
    <row r="873" spans="1:6" x14ac:dyDescent="0.2">
      <c r="A873" t="s">
        <v>7968</v>
      </c>
      <c r="B873">
        <v>1010003</v>
      </c>
      <c r="C873" t="s">
        <v>7969</v>
      </c>
      <c r="D873" t="s">
        <v>6068</v>
      </c>
      <c r="E873">
        <f t="shared" si="13"/>
        <v>50</v>
      </c>
      <c r="F873">
        <f>+COUNTIF(ADV!Z:Z,A873)+COUNTIF(ADV!X:X,A873)+COUNTIF(ADV!Y:Y,A873)</f>
        <v>0</v>
      </c>
    </row>
    <row r="874" spans="1:6" x14ac:dyDescent="0.2">
      <c r="A874" t="s">
        <v>7970</v>
      </c>
      <c r="B874">
        <v>1010003</v>
      </c>
      <c r="C874" t="s">
        <v>7971</v>
      </c>
      <c r="D874" t="s">
        <v>6068</v>
      </c>
      <c r="E874">
        <f t="shared" si="13"/>
        <v>50</v>
      </c>
      <c r="F874">
        <f>+COUNTIF(ADV!Z:Z,A874)+COUNTIF(ADV!X:X,A874)+COUNTIF(ADV!Y:Y,A874)</f>
        <v>0</v>
      </c>
    </row>
    <row r="875" spans="1:6" x14ac:dyDescent="0.2">
      <c r="A875" t="s">
        <v>7972</v>
      </c>
      <c r="B875">
        <v>1010003</v>
      </c>
      <c r="C875" t="s">
        <v>7973</v>
      </c>
      <c r="D875" t="s">
        <v>6068</v>
      </c>
      <c r="E875">
        <f t="shared" si="13"/>
        <v>50</v>
      </c>
      <c r="F875">
        <f>+COUNTIF(ADV!Z:Z,A875)+COUNTIF(ADV!X:X,A875)+COUNTIF(ADV!Y:Y,A875)</f>
        <v>0</v>
      </c>
    </row>
    <row r="876" spans="1:6" x14ac:dyDescent="0.2">
      <c r="A876" t="s">
        <v>7974</v>
      </c>
      <c r="B876">
        <v>1010003</v>
      </c>
      <c r="C876" t="s">
        <v>7975</v>
      </c>
      <c r="D876" t="s">
        <v>6068</v>
      </c>
      <c r="E876">
        <f t="shared" si="13"/>
        <v>50</v>
      </c>
      <c r="F876">
        <f>+COUNTIF(ADV!Z:Z,A876)+COUNTIF(ADV!X:X,A876)+COUNTIF(ADV!Y:Y,A876)</f>
        <v>0</v>
      </c>
    </row>
    <row r="877" spans="1:6" x14ac:dyDescent="0.2">
      <c r="A877" t="s">
        <v>7976</v>
      </c>
      <c r="B877">
        <v>1010003</v>
      </c>
      <c r="C877" t="s">
        <v>7977</v>
      </c>
      <c r="D877" t="s">
        <v>6068</v>
      </c>
      <c r="E877">
        <f t="shared" si="13"/>
        <v>49</v>
      </c>
      <c r="F877">
        <f>+COUNTIF(ADV!Z:Z,A877)+COUNTIF(ADV!X:X,A877)+COUNTIF(ADV!Y:Y,A877)</f>
        <v>0</v>
      </c>
    </row>
    <row r="878" spans="1:6" x14ac:dyDescent="0.2">
      <c r="A878" t="s">
        <v>7978</v>
      </c>
      <c r="B878">
        <v>1020031</v>
      </c>
      <c r="C878" t="s">
        <v>7979</v>
      </c>
      <c r="D878" t="s">
        <v>6068</v>
      </c>
      <c r="E878">
        <f t="shared" si="13"/>
        <v>94</v>
      </c>
      <c r="F878">
        <f>+COUNTIF(ADV!Z:Z,A878)+COUNTIF(ADV!X:X,A878)+COUNTIF(ADV!Y:Y,A878)</f>
        <v>0</v>
      </c>
    </row>
    <row r="879" spans="1:6" x14ac:dyDescent="0.2">
      <c r="A879" t="s">
        <v>1091</v>
      </c>
      <c r="B879">
        <v>1020031</v>
      </c>
      <c r="C879" t="s">
        <v>6425</v>
      </c>
      <c r="D879" t="s">
        <v>6068</v>
      </c>
      <c r="E879">
        <f t="shared" si="13"/>
        <v>94</v>
      </c>
      <c r="F879">
        <f>+COUNTIF(ADV!Z:Z,A879)+COUNTIF(ADV!X:X,A879)+COUNTIF(ADV!Y:Y,A879)</f>
        <v>0</v>
      </c>
    </row>
    <row r="880" spans="1:6" x14ac:dyDescent="0.2">
      <c r="A880" t="s">
        <v>7980</v>
      </c>
      <c r="B880">
        <v>1030022</v>
      </c>
      <c r="C880" t="s">
        <v>7356</v>
      </c>
      <c r="D880" t="s">
        <v>6068</v>
      </c>
      <c r="E880">
        <f t="shared" si="13"/>
        <v>51</v>
      </c>
      <c r="F880">
        <f>+COUNTIF(ADV!Z:Z,A880)+COUNTIF(ADV!X:X,A880)+COUNTIF(ADV!Y:Y,A880)</f>
        <v>0</v>
      </c>
    </row>
    <row r="881" spans="1:6" x14ac:dyDescent="0.2">
      <c r="A881" t="s">
        <v>7981</v>
      </c>
      <c r="B881">
        <v>1030022</v>
      </c>
      <c r="C881" t="s">
        <v>6192</v>
      </c>
      <c r="D881" t="s">
        <v>6068</v>
      </c>
      <c r="E881">
        <f t="shared" si="13"/>
        <v>52</v>
      </c>
      <c r="F881">
        <f>+COUNTIF(ADV!Z:Z,A881)+COUNTIF(ADV!X:X,A881)+COUNTIF(ADV!Y:Y,A881)</f>
        <v>0</v>
      </c>
    </row>
    <row r="882" spans="1:6" x14ac:dyDescent="0.2">
      <c r="A882" t="s">
        <v>2878</v>
      </c>
      <c r="B882">
        <v>1030038</v>
      </c>
      <c r="C882" t="s">
        <v>6426</v>
      </c>
      <c r="D882" t="s">
        <v>6068</v>
      </c>
      <c r="E882">
        <f t="shared" si="13"/>
        <v>306</v>
      </c>
      <c r="F882">
        <f>+COUNTIF(ADV!Z:Z,A882)+COUNTIF(ADV!X:X,A882)+COUNTIF(ADV!Y:Y,A882)</f>
        <v>0</v>
      </c>
    </row>
    <row r="883" spans="1:6" x14ac:dyDescent="0.2">
      <c r="A883" t="s">
        <v>7982</v>
      </c>
      <c r="B883">
        <v>1010088</v>
      </c>
      <c r="C883" t="s">
        <v>7983</v>
      </c>
      <c r="D883" t="s">
        <v>6068</v>
      </c>
      <c r="E883">
        <f t="shared" si="13"/>
        <v>393</v>
      </c>
      <c r="F883">
        <f>+COUNTIF(ADV!Z:Z,A883)+COUNTIF(ADV!X:X,A883)+COUNTIF(ADV!Y:Y,A883)</f>
        <v>0</v>
      </c>
    </row>
    <row r="884" spans="1:6" x14ac:dyDescent="0.2">
      <c r="A884" t="s">
        <v>1835</v>
      </c>
      <c r="B884">
        <v>1010088</v>
      </c>
      <c r="C884" t="s">
        <v>6427</v>
      </c>
      <c r="D884" t="s">
        <v>6068</v>
      </c>
      <c r="E884">
        <f t="shared" si="13"/>
        <v>394</v>
      </c>
      <c r="F884">
        <f>+COUNTIF(ADV!Z:Z,A884)+COUNTIF(ADV!X:X,A884)+COUNTIF(ADV!Y:Y,A884)</f>
        <v>0</v>
      </c>
    </row>
    <row r="885" spans="1:6" x14ac:dyDescent="0.2">
      <c r="A885" t="s">
        <v>7984</v>
      </c>
      <c r="B885">
        <v>1010066</v>
      </c>
      <c r="C885" t="s">
        <v>7985</v>
      </c>
      <c r="D885" t="s">
        <v>6068</v>
      </c>
      <c r="E885">
        <f t="shared" si="13"/>
        <v>779</v>
      </c>
      <c r="F885">
        <f>+COUNTIF(ADV!Z:Z,A885)+COUNTIF(ADV!X:X,A885)+COUNTIF(ADV!Y:Y,A885)</f>
        <v>0</v>
      </c>
    </row>
    <row r="886" spans="1:6" x14ac:dyDescent="0.2">
      <c r="A886" t="s">
        <v>1195</v>
      </c>
      <c r="B886">
        <v>1010066</v>
      </c>
      <c r="C886" t="s">
        <v>7986</v>
      </c>
      <c r="D886" t="s">
        <v>6068</v>
      </c>
      <c r="E886">
        <f t="shared" si="13"/>
        <v>779</v>
      </c>
      <c r="F886">
        <f>+COUNTIF(ADV!Z:Z,A886)+COUNTIF(ADV!X:X,A886)+COUNTIF(ADV!Y:Y,A886)</f>
        <v>0</v>
      </c>
    </row>
    <row r="887" spans="1:6" x14ac:dyDescent="0.2">
      <c r="A887" t="s">
        <v>7987</v>
      </c>
      <c r="B887">
        <v>1010197</v>
      </c>
      <c r="C887" t="s">
        <v>7988</v>
      </c>
      <c r="D887" t="s">
        <v>6068</v>
      </c>
      <c r="E887">
        <f t="shared" si="13"/>
        <v>894</v>
      </c>
      <c r="F887">
        <f>+COUNTIF(ADV!Z:Z,A887)+COUNTIF(ADV!X:X,A887)+COUNTIF(ADV!Y:Y,A887)</f>
        <v>0</v>
      </c>
    </row>
    <row r="888" spans="1:6" x14ac:dyDescent="0.2">
      <c r="A888" t="s">
        <v>1703</v>
      </c>
      <c r="B888">
        <v>1010197</v>
      </c>
      <c r="C888" t="s">
        <v>6429</v>
      </c>
      <c r="D888" t="s">
        <v>6068</v>
      </c>
      <c r="E888">
        <f t="shared" si="13"/>
        <v>998</v>
      </c>
      <c r="F888">
        <f>+COUNTIF(ADV!Z:Z,A888)+COUNTIF(ADV!X:X,A888)+COUNTIF(ADV!Y:Y,A888)</f>
        <v>0</v>
      </c>
    </row>
    <row r="889" spans="1:6" x14ac:dyDescent="0.2">
      <c r="A889" t="s">
        <v>633</v>
      </c>
      <c r="B889">
        <v>1010070</v>
      </c>
      <c r="C889" t="s">
        <v>6430</v>
      </c>
      <c r="D889" t="s">
        <v>6068</v>
      </c>
      <c r="E889">
        <f t="shared" si="13"/>
        <v>332</v>
      </c>
      <c r="F889">
        <f>+COUNTIF(ADV!Z:Z,A889)+COUNTIF(ADV!X:X,A889)+COUNTIF(ADV!Y:Y,A889)</f>
        <v>0</v>
      </c>
    </row>
    <row r="890" spans="1:6" x14ac:dyDescent="0.2">
      <c r="A890" t="s">
        <v>7989</v>
      </c>
      <c r="B890">
        <v>1090001</v>
      </c>
      <c r="C890" t="s">
        <v>7990</v>
      </c>
      <c r="D890" t="s">
        <v>6068</v>
      </c>
      <c r="E890">
        <f t="shared" si="13"/>
        <v>242</v>
      </c>
      <c r="F890">
        <f>+COUNTIF(ADV!Z:Z,A890)+COUNTIF(ADV!X:X,A890)+COUNTIF(ADV!Y:Y,A890)</f>
        <v>0</v>
      </c>
    </row>
    <row r="891" spans="1:6" x14ac:dyDescent="0.2">
      <c r="A891" t="s">
        <v>652</v>
      </c>
      <c r="B891">
        <v>1090001</v>
      </c>
      <c r="C891" t="s">
        <v>6431</v>
      </c>
      <c r="D891" t="s">
        <v>6068</v>
      </c>
      <c r="E891">
        <f t="shared" si="13"/>
        <v>243</v>
      </c>
      <c r="F891">
        <f>+COUNTIF(ADV!Z:Z,A891)+COUNTIF(ADV!X:X,A891)+COUNTIF(ADV!Y:Y,A891)</f>
        <v>1</v>
      </c>
    </row>
    <row r="892" spans="1:6" x14ac:dyDescent="0.2">
      <c r="A892" t="s">
        <v>7991</v>
      </c>
      <c r="B892">
        <v>1070019</v>
      </c>
      <c r="C892" t="s">
        <v>7992</v>
      </c>
      <c r="D892" t="s">
        <v>6068</v>
      </c>
      <c r="E892">
        <f t="shared" si="13"/>
        <v>46</v>
      </c>
      <c r="F892">
        <f>+COUNTIF(ADV!Z:Z,A892)+COUNTIF(ADV!X:X,A892)+COUNTIF(ADV!Y:Y,A892)</f>
        <v>0</v>
      </c>
    </row>
    <row r="893" spans="1:6" x14ac:dyDescent="0.2">
      <c r="A893" t="s">
        <v>7993</v>
      </c>
      <c r="B893">
        <v>1070019</v>
      </c>
      <c r="C893" t="s">
        <v>7994</v>
      </c>
      <c r="D893" t="s">
        <v>6068</v>
      </c>
      <c r="E893">
        <f t="shared" si="13"/>
        <v>46</v>
      </c>
      <c r="F893">
        <f>+COUNTIF(ADV!Z:Z,A893)+COUNTIF(ADV!X:X,A893)+COUNTIF(ADV!Y:Y,A893)</f>
        <v>0</v>
      </c>
    </row>
    <row r="894" spans="1:6" x14ac:dyDescent="0.2">
      <c r="A894" t="s">
        <v>7995</v>
      </c>
      <c r="B894">
        <v>1070019</v>
      </c>
      <c r="C894" t="s">
        <v>7996</v>
      </c>
      <c r="D894" t="s">
        <v>6068</v>
      </c>
      <c r="E894">
        <f t="shared" si="13"/>
        <v>46</v>
      </c>
      <c r="F894">
        <f>+COUNTIF(ADV!Z:Z,A894)+COUNTIF(ADV!X:X,A894)+COUNTIF(ADV!Y:Y,A894)</f>
        <v>0</v>
      </c>
    </row>
    <row r="895" spans="1:6" x14ac:dyDescent="0.2">
      <c r="A895" t="s">
        <v>2973</v>
      </c>
      <c r="B895">
        <v>1080005</v>
      </c>
      <c r="C895" t="s">
        <v>7997</v>
      </c>
      <c r="D895" t="s">
        <v>6068</v>
      </c>
      <c r="E895">
        <f t="shared" si="13"/>
        <v>35</v>
      </c>
      <c r="F895">
        <f>+COUNTIF(ADV!Z:Z,A895)+COUNTIF(ADV!X:X,A895)+COUNTIF(ADV!Y:Y,A895)</f>
        <v>0</v>
      </c>
    </row>
    <row r="896" spans="1:6" x14ac:dyDescent="0.2">
      <c r="A896" t="s">
        <v>7998</v>
      </c>
      <c r="B896">
        <v>1080005</v>
      </c>
      <c r="C896" t="s">
        <v>7999</v>
      </c>
      <c r="D896" t="s">
        <v>6068</v>
      </c>
      <c r="E896">
        <f t="shared" si="13"/>
        <v>34</v>
      </c>
      <c r="F896">
        <f>+COUNTIF(ADV!Z:Z,A896)+COUNTIF(ADV!X:X,A896)+COUNTIF(ADV!Y:Y,A896)</f>
        <v>0</v>
      </c>
    </row>
    <row r="897" spans="1:6" x14ac:dyDescent="0.2">
      <c r="A897" t="s">
        <v>8000</v>
      </c>
      <c r="B897">
        <v>1080005</v>
      </c>
      <c r="C897" t="s">
        <v>8001</v>
      </c>
      <c r="D897" t="s">
        <v>6068</v>
      </c>
      <c r="E897">
        <f t="shared" si="13"/>
        <v>34</v>
      </c>
      <c r="F897">
        <f>+COUNTIF(ADV!Z:Z,A897)+COUNTIF(ADV!X:X,A897)+COUNTIF(ADV!Y:Y,A897)</f>
        <v>0</v>
      </c>
    </row>
    <row r="898" spans="1:6" x14ac:dyDescent="0.2">
      <c r="A898" t="s">
        <v>8002</v>
      </c>
      <c r="B898">
        <v>1080005</v>
      </c>
      <c r="C898" t="s">
        <v>8003</v>
      </c>
      <c r="D898" t="s">
        <v>6068</v>
      </c>
      <c r="E898">
        <f t="shared" ref="E898:E961" si="14">+LEN(C898)</f>
        <v>34</v>
      </c>
      <c r="F898">
        <f>+COUNTIF(ADV!Z:Z,A898)+COUNTIF(ADV!X:X,A898)+COUNTIF(ADV!Y:Y,A898)</f>
        <v>0</v>
      </c>
    </row>
    <row r="899" spans="1:6" x14ac:dyDescent="0.2">
      <c r="A899" t="s">
        <v>8004</v>
      </c>
      <c r="B899">
        <v>1080005</v>
      </c>
      <c r="C899" t="s">
        <v>8005</v>
      </c>
      <c r="D899" t="s">
        <v>6068</v>
      </c>
      <c r="E899">
        <f t="shared" si="14"/>
        <v>34</v>
      </c>
      <c r="F899">
        <f>+COUNTIF(ADV!Z:Z,A899)+COUNTIF(ADV!X:X,A899)+COUNTIF(ADV!Y:Y,A899)</f>
        <v>0</v>
      </c>
    </row>
    <row r="900" spans="1:6" x14ac:dyDescent="0.2">
      <c r="A900" t="s">
        <v>8006</v>
      </c>
      <c r="B900">
        <v>1040017</v>
      </c>
      <c r="C900" t="s">
        <v>8007</v>
      </c>
      <c r="D900" t="s">
        <v>6068</v>
      </c>
      <c r="E900">
        <f t="shared" si="14"/>
        <v>56</v>
      </c>
      <c r="F900">
        <f>+COUNTIF(ADV!Z:Z,A900)+COUNTIF(ADV!X:X,A900)+COUNTIF(ADV!Y:Y,A900)</f>
        <v>0</v>
      </c>
    </row>
    <row r="901" spans="1:6" x14ac:dyDescent="0.2">
      <c r="A901" t="s">
        <v>4195</v>
      </c>
      <c r="B901">
        <v>1040017</v>
      </c>
      <c r="C901" t="s">
        <v>6432</v>
      </c>
      <c r="D901" t="s">
        <v>6068</v>
      </c>
      <c r="E901">
        <f t="shared" si="14"/>
        <v>56</v>
      </c>
      <c r="F901">
        <f>+COUNTIF(ADV!Z:Z,A901)+COUNTIF(ADV!X:X,A901)+COUNTIF(ADV!Y:Y,A901)</f>
        <v>0</v>
      </c>
    </row>
    <row r="902" spans="1:6" x14ac:dyDescent="0.2">
      <c r="A902" t="s">
        <v>8008</v>
      </c>
      <c r="B902">
        <v>1070017</v>
      </c>
      <c r="C902" t="s">
        <v>8009</v>
      </c>
      <c r="D902" t="s">
        <v>6068</v>
      </c>
      <c r="E902">
        <f t="shared" si="14"/>
        <v>50</v>
      </c>
      <c r="F902">
        <f>+COUNTIF(ADV!Z:Z,A902)+COUNTIF(ADV!X:X,A902)+COUNTIF(ADV!Y:Y,A902)</f>
        <v>0</v>
      </c>
    </row>
    <row r="903" spans="1:6" x14ac:dyDescent="0.2">
      <c r="A903" t="s">
        <v>8010</v>
      </c>
      <c r="B903">
        <v>1070017</v>
      </c>
      <c r="C903" t="s">
        <v>8011</v>
      </c>
      <c r="D903" t="s">
        <v>6068</v>
      </c>
      <c r="E903">
        <f t="shared" si="14"/>
        <v>50</v>
      </c>
      <c r="F903">
        <f>+COUNTIF(ADV!Z:Z,A903)+COUNTIF(ADV!X:X,A903)+COUNTIF(ADV!Y:Y,A903)</f>
        <v>0</v>
      </c>
    </row>
    <row r="904" spans="1:6" x14ac:dyDescent="0.2">
      <c r="A904" t="s">
        <v>8012</v>
      </c>
      <c r="B904">
        <v>1070017</v>
      </c>
      <c r="C904" t="s">
        <v>8013</v>
      </c>
      <c r="D904" t="s">
        <v>6068</v>
      </c>
      <c r="E904">
        <f t="shared" si="14"/>
        <v>50</v>
      </c>
      <c r="F904">
        <f>+COUNTIF(ADV!Z:Z,A904)+COUNTIF(ADV!X:X,A904)+COUNTIF(ADV!Y:Y,A904)</f>
        <v>0</v>
      </c>
    </row>
    <row r="905" spans="1:6" x14ac:dyDescent="0.2">
      <c r="A905" t="s">
        <v>3973</v>
      </c>
      <c r="B905">
        <v>1070017</v>
      </c>
      <c r="C905" t="s">
        <v>6433</v>
      </c>
      <c r="D905" t="s">
        <v>6068</v>
      </c>
      <c r="E905">
        <f t="shared" si="14"/>
        <v>50</v>
      </c>
      <c r="F905">
        <f>+COUNTIF(ADV!Z:Z,A905)+COUNTIF(ADV!X:X,A905)+COUNTIF(ADV!Y:Y,A905)</f>
        <v>2</v>
      </c>
    </row>
    <row r="906" spans="1:6" x14ac:dyDescent="0.2">
      <c r="A906" t="s">
        <v>8014</v>
      </c>
      <c r="B906">
        <v>1010193</v>
      </c>
      <c r="C906" t="s">
        <v>8015</v>
      </c>
      <c r="D906" t="s">
        <v>6068</v>
      </c>
      <c r="E906">
        <f t="shared" si="14"/>
        <v>390</v>
      </c>
      <c r="F906">
        <f>+COUNTIF(ADV!Z:Z,A906)+COUNTIF(ADV!X:X,A906)+COUNTIF(ADV!Y:Y,A906)</f>
        <v>0</v>
      </c>
    </row>
    <row r="907" spans="1:6" x14ac:dyDescent="0.2">
      <c r="A907" t="s">
        <v>4524</v>
      </c>
      <c r="B907">
        <v>1010193</v>
      </c>
      <c r="C907" t="s">
        <v>6434</v>
      </c>
      <c r="D907" t="s">
        <v>6068</v>
      </c>
      <c r="E907">
        <f t="shared" si="14"/>
        <v>390</v>
      </c>
      <c r="F907">
        <f>+COUNTIF(ADV!Z:Z,A907)+COUNTIF(ADV!X:X,A907)+COUNTIF(ADV!Y:Y,A907)</f>
        <v>0</v>
      </c>
    </row>
    <row r="908" spans="1:6" x14ac:dyDescent="0.2">
      <c r="A908" t="s">
        <v>2505</v>
      </c>
      <c r="B908">
        <v>1010117</v>
      </c>
      <c r="C908" t="s">
        <v>6435</v>
      </c>
      <c r="D908" t="s">
        <v>6068</v>
      </c>
      <c r="E908">
        <f t="shared" si="14"/>
        <v>103</v>
      </c>
      <c r="F908">
        <f>+COUNTIF(ADV!Z:Z,A908)+COUNTIF(ADV!X:X,A908)+COUNTIF(ADV!Y:Y,A908)</f>
        <v>3</v>
      </c>
    </row>
    <row r="909" spans="1:6" x14ac:dyDescent="0.2">
      <c r="A909" t="s">
        <v>2503</v>
      </c>
      <c r="B909">
        <v>1010008</v>
      </c>
      <c r="C909" t="s">
        <v>6436</v>
      </c>
      <c r="D909" t="s">
        <v>6068</v>
      </c>
      <c r="E909">
        <f t="shared" si="14"/>
        <v>53</v>
      </c>
      <c r="F909">
        <f>+COUNTIF(ADV!Z:Z,A909)+COUNTIF(ADV!X:X,A909)+COUNTIF(ADV!Y:Y,A909)</f>
        <v>0</v>
      </c>
    </row>
    <row r="910" spans="1:6" x14ac:dyDescent="0.2">
      <c r="A910" t="s">
        <v>8016</v>
      </c>
      <c r="B910">
        <v>1010008</v>
      </c>
      <c r="C910" t="s">
        <v>8017</v>
      </c>
      <c r="D910" t="s">
        <v>6068</v>
      </c>
      <c r="E910">
        <f t="shared" si="14"/>
        <v>53</v>
      </c>
      <c r="F910">
        <f>+COUNTIF(ADV!Z:Z,A910)+COUNTIF(ADV!X:X,A910)+COUNTIF(ADV!Y:Y,A910)</f>
        <v>0</v>
      </c>
    </row>
    <row r="911" spans="1:6" x14ac:dyDescent="0.2">
      <c r="A911" t="s">
        <v>8018</v>
      </c>
      <c r="B911">
        <v>1010008</v>
      </c>
      <c r="C911" t="s">
        <v>8019</v>
      </c>
      <c r="D911" t="s">
        <v>6068</v>
      </c>
      <c r="E911">
        <f t="shared" si="14"/>
        <v>53</v>
      </c>
      <c r="F911">
        <f>+COUNTIF(ADV!Z:Z,A911)+COUNTIF(ADV!X:X,A911)+COUNTIF(ADV!Y:Y,A911)</f>
        <v>0</v>
      </c>
    </row>
    <row r="912" spans="1:6" x14ac:dyDescent="0.2">
      <c r="A912" t="s">
        <v>8020</v>
      </c>
      <c r="B912">
        <v>1010008</v>
      </c>
      <c r="C912" t="s">
        <v>8021</v>
      </c>
      <c r="D912" t="s">
        <v>6068</v>
      </c>
      <c r="E912">
        <f t="shared" si="14"/>
        <v>52</v>
      </c>
      <c r="F912">
        <f>+COUNTIF(ADV!Z:Z,A912)+COUNTIF(ADV!X:X,A912)+COUNTIF(ADV!Y:Y,A912)</f>
        <v>0</v>
      </c>
    </row>
    <row r="913" spans="1:6" x14ac:dyDescent="0.2">
      <c r="A913" t="s">
        <v>8022</v>
      </c>
      <c r="B913">
        <v>1010008</v>
      </c>
      <c r="C913" t="s">
        <v>8023</v>
      </c>
      <c r="D913" t="s">
        <v>6068</v>
      </c>
      <c r="E913">
        <f t="shared" si="14"/>
        <v>52</v>
      </c>
      <c r="F913">
        <f>+COUNTIF(ADV!Z:Z,A913)+COUNTIF(ADV!X:X,A913)+COUNTIF(ADV!Y:Y,A913)</f>
        <v>0</v>
      </c>
    </row>
    <row r="914" spans="1:6" x14ac:dyDescent="0.2">
      <c r="A914" t="s">
        <v>8024</v>
      </c>
      <c r="B914">
        <v>1010008</v>
      </c>
      <c r="C914" t="s">
        <v>8025</v>
      </c>
      <c r="D914" t="s">
        <v>6068</v>
      </c>
      <c r="E914">
        <f t="shared" si="14"/>
        <v>52</v>
      </c>
      <c r="F914">
        <f>+COUNTIF(ADV!Z:Z,A914)+COUNTIF(ADV!X:X,A914)+COUNTIF(ADV!Y:Y,A914)</f>
        <v>0</v>
      </c>
    </row>
    <row r="915" spans="1:6" x14ac:dyDescent="0.2">
      <c r="A915" t="s">
        <v>8026</v>
      </c>
      <c r="B915">
        <v>1010187</v>
      </c>
      <c r="C915" t="s">
        <v>8027</v>
      </c>
      <c r="D915" t="s">
        <v>6068</v>
      </c>
      <c r="E915">
        <f t="shared" si="14"/>
        <v>308</v>
      </c>
      <c r="F915">
        <f>+COUNTIF(ADV!Z:Z,A915)+COUNTIF(ADV!X:X,A915)+COUNTIF(ADV!Y:Y,A915)</f>
        <v>0</v>
      </c>
    </row>
    <row r="916" spans="1:6" x14ac:dyDescent="0.2">
      <c r="A916" t="s">
        <v>2718</v>
      </c>
      <c r="B916">
        <v>1010187</v>
      </c>
      <c r="C916" t="s">
        <v>6437</v>
      </c>
      <c r="D916" t="s">
        <v>6068</v>
      </c>
      <c r="E916">
        <f t="shared" si="14"/>
        <v>360</v>
      </c>
      <c r="F916">
        <f>+COUNTIF(ADV!Z:Z,A916)+COUNTIF(ADV!X:X,A916)+COUNTIF(ADV!Y:Y,A916)</f>
        <v>1</v>
      </c>
    </row>
    <row r="917" spans="1:6" x14ac:dyDescent="0.2">
      <c r="A917" t="s">
        <v>8028</v>
      </c>
      <c r="B917">
        <v>1020022</v>
      </c>
      <c r="C917" t="s">
        <v>8029</v>
      </c>
      <c r="D917" t="s">
        <v>6068</v>
      </c>
      <c r="E917">
        <f t="shared" si="14"/>
        <v>156</v>
      </c>
      <c r="F917">
        <f>+COUNTIF(ADV!Z:Z,A917)+COUNTIF(ADV!X:X,A917)+COUNTIF(ADV!Y:Y,A917)</f>
        <v>0</v>
      </c>
    </row>
    <row r="918" spans="1:6" x14ac:dyDescent="0.2">
      <c r="A918" t="s">
        <v>8030</v>
      </c>
      <c r="B918">
        <v>1020022</v>
      </c>
      <c r="C918" t="s">
        <v>8031</v>
      </c>
      <c r="D918" t="s">
        <v>6068</v>
      </c>
      <c r="E918">
        <f t="shared" si="14"/>
        <v>156</v>
      </c>
      <c r="F918">
        <f>+COUNTIF(ADV!Z:Z,A918)+COUNTIF(ADV!X:X,A918)+COUNTIF(ADV!Y:Y,A918)</f>
        <v>0</v>
      </c>
    </row>
    <row r="919" spans="1:6" x14ac:dyDescent="0.2">
      <c r="A919" t="s">
        <v>8032</v>
      </c>
      <c r="B919">
        <v>1020022</v>
      </c>
      <c r="C919" t="s">
        <v>8033</v>
      </c>
      <c r="D919" t="s">
        <v>6068</v>
      </c>
      <c r="E919">
        <f t="shared" si="14"/>
        <v>156</v>
      </c>
      <c r="F919">
        <f>+COUNTIF(ADV!Z:Z,A919)+COUNTIF(ADV!X:X,A919)+COUNTIF(ADV!Y:Y,A919)</f>
        <v>0</v>
      </c>
    </row>
    <row r="920" spans="1:6" x14ac:dyDescent="0.2">
      <c r="A920" t="s">
        <v>8034</v>
      </c>
      <c r="B920">
        <v>1010013</v>
      </c>
      <c r="C920" t="s">
        <v>8035</v>
      </c>
      <c r="D920" t="s">
        <v>6068</v>
      </c>
      <c r="E920">
        <f t="shared" si="14"/>
        <v>74</v>
      </c>
      <c r="F920">
        <f>+COUNTIF(ADV!Z:Z,A920)+COUNTIF(ADV!X:X,A920)+COUNTIF(ADV!Y:Y,A920)</f>
        <v>0</v>
      </c>
    </row>
    <row r="921" spans="1:6" x14ac:dyDescent="0.2">
      <c r="A921" t="s">
        <v>864</v>
      </c>
      <c r="B921">
        <v>1010013</v>
      </c>
      <c r="C921" t="s">
        <v>6438</v>
      </c>
      <c r="D921" t="s">
        <v>6068</v>
      </c>
      <c r="E921">
        <f t="shared" si="14"/>
        <v>74</v>
      </c>
      <c r="F921">
        <f>+COUNTIF(ADV!Z:Z,A921)+COUNTIF(ADV!X:X,A921)+COUNTIF(ADV!Y:Y,A921)</f>
        <v>0</v>
      </c>
    </row>
    <row r="922" spans="1:6" x14ac:dyDescent="0.2">
      <c r="A922" t="s">
        <v>8036</v>
      </c>
      <c r="B922">
        <v>1020002</v>
      </c>
      <c r="C922" t="s">
        <v>8037</v>
      </c>
      <c r="D922" t="s">
        <v>6068</v>
      </c>
      <c r="E922">
        <f t="shared" si="14"/>
        <v>83</v>
      </c>
      <c r="F922">
        <f>+COUNTIF(ADV!Z:Z,A922)+COUNTIF(ADV!X:X,A922)+COUNTIF(ADV!Y:Y,A922)</f>
        <v>0</v>
      </c>
    </row>
    <row r="923" spans="1:6" x14ac:dyDescent="0.2">
      <c r="A923" t="s">
        <v>8038</v>
      </c>
      <c r="B923">
        <v>1020002</v>
      </c>
      <c r="C923" t="s">
        <v>8039</v>
      </c>
      <c r="D923" t="s">
        <v>6068</v>
      </c>
      <c r="E923">
        <f t="shared" si="14"/>
        <v>83</v>
      </c>
      <c r="F923">
        <f>+COUNTIF(ADV!Z:Z,A923)+COUNTIF(ADV!X:X,A923)+COUNTIF(ADV!Y:Y,A923)</f>
        <v>0</v>
      </c>
    </row>
    <row r="924" spans="1:6" x14ac:dyDescent="0.2">
      <c r="A924" t="s">
        <v>987</v>
      </c>
      <c r="B924">
        <v>1020002</v>
      </c>
      <c r="C924" t="s">
        <v>6439</v>
      </c>
      <c r="D924" t="s">
        <v>6068</v>
      </c>
      <c r="E924">
        <f t="shared" si="14"/>
        <v>83</v>
      </c>
      <c r="F924">
        <f>+COUNTIF(ADV!Z:Z,A924)+COUNTIF(ADV!X:X,A924)+COUNTIF(ADV!Y:Y,A924)</f>
        <v>1</v>
      </c>
    </row>
    <row r="925" spans="1:6" x14ac:dyDescent="0.2">
      <c r="A925" t="s">
        <v>8040</v>
      </c>
      <c r="B925">
        <v>1010002</v>
      </c>
      <c r="C925" t="s">
        <v>8041</v>
      </c>
      <c r="D925" t="s">
        <v>6068</v>
      </c>
      <c r="E925">
        <f t="shared" si="14"/>
        <v>37</v>
      </c>
      <c r="F925">
        <f>+COUNTIF(ADV!Z:Z,A925)+COUNTIF(ADV!X:X,A925)+COUNTIF(ADV!Y:Y,A925)</f>
        <v>0</v>
      </c>
    </row>
    <row r="926" spans="1:6" x14ac:dyDescent="0.2">
      <c r="A926" t="s">
        <v>842</v>
      </c>
      <c r="B926">
        <v>1010002</v>
      </c>
      <c r="C926" t="s">
        <v>8042</v>
      </c>
      <c r="D926" t="s">
        <v>6068</v>
      </c>
      <c r="E926">
        <f t="shared" si="14"/>
        <v>37</v>
      </c>
      <c r="F926">
        <f>+COUNTIF(ADV!Z:Z,A926)+COUNTIF(ADV!X:X,A926)+COUNTIF(ADV!Y:Y,A926)</f>
        <v>0</v>
      </c>
    </row>
    <row r="927" spans="1:6" x14ac:dyDescent="0.2">
      <c r="A927" t="s">
        <v>3605</v>
      </c>
      <c r="B927">
        <v>1010002</v>
      </c>
      <c r="C927" t="s">
        <v>6440</v>
      </c>
      <c r="D927" t="s">
        <v>6068</v>
      </c>
      <c r="E927">
        <f t="shared" si="14"/>
        <v>37</v>
      </c>
      <c r="F927">
        <f>+COUNTIF(ADV!Z:Z,A927)+COUNTIF(ADV!X:X,A927)+COUNTIF(ADV!Y:Y,A927)</f>
        <v>0</v>
      </c>
    </row>
    <row r="928" spans="1:6" x14ac:dyDescent="0.2">
      <c r="A928" t="s">
        <v>8043</v>
      </c>
      <c r="B928">
        <v>1010002</v>
      </c>
      <c r="C928" t="s">
        <v>8044</v>
      </c>
      <c r="D928" t="s">
        <v>6068</v>
      </c>
      <c r="E928">
        <f t="shared" si="14"/>
        <v>37</v>
      </c>
      <c r="F928">
        <f>+COUNTIF(ADV!Z:Z,A928)+COUNTIF(ADV!X:X,A928)+COUNTIF(ADV!Y:Y,A928)</f>
        <v>0</v>
      </c>
    </row>
    <row r="929" spans="1:6" x14ac:dyDescent="0.2">
      <c r="A929" t="s">
        <v>878</v>
      </c>
      <c r="B929">
        <v>1010002</v>
      </c>
      <c r="C929" t="s">
        <v>6441</v>
      </c>
      <c r="D929" t="s">
        <v>6068</v>
      </c>
      <c r="E929">
        <f t="shared" si="14"/>
        <v>37</v>
      </c>
      <c r="F929">
        <f>+COUNTIF(ADV!Z:Z,A929)+COUNTIF(ADV!X:X,A929)+COUNTIF(ADV!Y:Y,A929)</f>
        <v>0</v>
      </c>
    </row>
    <row r="930" spans="1:6" x14ac:dyDescent="0.2">
      <c r="A930" t="s">
        <v>938</v>
      </c>
      <c r="B930">
        <v>1010002</v>
      </c>
      <c r="C930" t="s">
        <v>6442</v>
      </c>
      <c r="D930" t="s">
        <v>6068</v>
      </c>
      <c r="E930">
        <f t="shared" si="14"/>
        <v>37</v>
      </c>
      <c r="F930">
        <f>+COUNTIF(ADV!Z:Z,A930)+COUNTIF(ADV!X:X,A930)+COUNTIF(ADV!Y:Y,A930)</f>
        <v>0</v>
      </c>
    </row>
    <row r="931" spans="1:6" x14ac:dyDescent="0.2">
      <c r="A931" t="s">
        <v>8045</v>
      </c>
      <c r="B931">
        <v>1010002</v>
      </c>
      <c r="C931" t="s">
        <v>8046</v>
      </c>
      <c r="D931" t="s">
        <v>6068</v>
      </c>
      <c r="E931">
        <f t="shared" si="14"/>
        <v>36</v>
      </c>
      <c r="F931">
        <f>+COUNTIF(ADV!Z:Z,A931)+COUNTIF(ADV!X:X,A931)+COUNTIF(ADV!Y:Y,A931)</f>
        <v>0</v>
      </c>
    </row>
    <row r="932" spans="1:6" x14ac:dyDescent="0.2">
      <c r="A932" t="s">
        <v>2349</v>
      </c>
      <c r="B932">
        <v>1010036</v>
      </c>
      <c r="C932" t="s">
        <v>6443</v>
      </c>
      <c r="D932" t="s">
        <v>6068</v>
      </c>
      <c r="E932">
        <f t="shared" si="14"/>
        <v>132</v>
      </c>
      <c r="F932">
        <f>+COUNTIF(ADV!Z:Z,A932)+COUNTIF(ADV!X:X,A932)+COUNTIF(ADV!Y:Y,A932)</f>
        <v>0</v>
      </c>
    </row>
    <row r="933" spans="1:6" x14ac:dyDescent="0.2">
      <c r="A933" t="s">
        <v>316</v>
      </c>
      <c r="B933">
        <v>1020004</v>
      </c>
      <c r="C933" t="s">
        <v>6444</v>
      </c>
      <c r="D933" t="s">
        <v>6068</v>
      </c>
      <c r="E933">
        <f t="shared" si="14"/>
        <v>39</v>
      </c>
      <c r="F933">
        <f>+COUNTIF(ADV!Z:Z,A933)+COUNTIF(ADV!X:X,A933)+COUNTIF(ADV!Y:Y,A933)</f>
        <v>0</v>
      </c>
    </row>
    <row r="934" spans="1:6" x14ac:dyDescent="0.2">
      <c r="A934" t="s">
        <v>8047</v>
      </c>
      <c r="B934">
        <v>1020004</v>
      </c>
      <c r="C934" t="s">
        <v>8048</v>
      </c>
      <c r="D934" t="s">
        <v>6068</v>
      </c>
      <c r="E934">
        <f t="shared" si="14"/>
        <v>38</v>
      </c>
      <c r="F934">
        <f>+COUNTIF(ADV!Z:Z,A934)+COUNTIF(ADV!X:X,A934)+COUNTIF(ADV!Y:Y,A934)</f>
        <v>0</v>
      </c>
    </row>
    <row r="935" spans="1:6" x14ac:dyDescent="0.2">
      <c r="A935" t="s">
        <v>8049</v>
      </c>
      <c r="B935">
        <v>1020004</v>
      </c>
      <c r="C935" t="s">
        <v>8050</v>
      </c>
      <c r="D935" t="s">
        <v>6068</v>
      </c>
      <c r="E935">
        <f t="shared" si="14"/>
        <v>39</v>
      </c>
      <c r="F935">
        <f>+COUNTIF(ADV!Z:Z,A935)+COUNTIF(ADV!X:X,A935)+COUNTIF(ADV!Y:Y,A935)</f>
        <v>0</v>
      </c>
    </row>
    <row r="936" spans="1:6" x14ac:dyDescent="0.2">
      <c r="A936" t="s">
        <v>8051</v>
      </c>
      <c r="B936">
        <v>1020004</v>
      </c>
      <c r="C936" t="s">
        <v>8052</v>
      </c>
      <c r="D936" t="s">
        <v>6068</v>
      </c>
      <c r="E936">
        <f t="shared" si="14"/>
        <v>38</v>
      </c>
      <c r="F936">
        <f>+COUNTIF(ADV!Z:Z,A936)+COUNTIF(ADV!X:X,A936)+COUNTIF(ADV!Y:Y,A936)</f>
        <v>0</v>
      </c>
    </row>
    <row r="937" spans="1:6" x14ac:dyDescent="0.2">
      <c r="A937" t="s">
        <v>8053</v>
      </c>
      <c r="B937">
        <v>1020004</v>
      </c>
      <c r="C937" t="s">
        <v>8054</v>
      </c>
      <c r="D937" t="s">
        <v>6068</v>
      </c>
      <c r="E937">
        <f t="shared" si="14"/>
        <v>39</v>
      </c>
      <c r="F937">
        <f>+COUNTIF(ADV!Z:Z,A937)+COUNTIF(ADV!X:X,A937)+COUNTIF(ADV!Y:Y,A937)</f>
        <v>0</v>
      </c>
    </row>
    <row r="938" spans="1:6" x14ac:dyDescent="0.2">
      <c r="A938" t="s">
        <v>8055</v>
      </c>
      <c r="B938">
        <v>1020004</v>
      </c>
      <c r="C938" t="s">
        <v>8056</v>
      </c>
      <c r="D938" t="s">
        <v>6068</v>
      </c>
      <c r="E938">
        <f t="shared" si="14"/>
        <v>38</v>
      </c>
      <c r="F938">
        <f>+COUNTIF(ADV!Z:Z,A938)+COUNTIF(ADV!X:X,A938)+COUNTIF(ADV!Y:Y,A938)</f>
        <v>0</v>
      </c>
    </row>
    <row r="939" spans="1:6" x14ac:dyDescent="0.2">
      <c r="A939" t="s">
        <v>1804</v>
      </c>
      <c r="B939">
        <v>1020004</v>
      </c>
      <c r="C939" t="s">
        <v>6445</v>
      </c>
      <c r="D939" t="s">
        <v>6068</v>
      </c>
      <c r="E939">
        <f t="shared" si="14"/>
        <v>38</v>
      </c>
      <c r="F939">
        <f>+COUNTIF(ADV!Z:Z,A939)+COUNTIF(ADV!X:X,A939)+COUNTIF(ADV!Y:Y,A939)</f>
        <v>0</v>
      </c>
    </row>
    <row r="940" spans="1:6" x14ac:dyDescent="0.2">
      <c r="A940" t="s">
        <v>8057</v>
      </c>
      <c r="B940">
        <v>1020004</v>
      </c>
      <c r="C940" t="s">
        <v>8058</v>
      </c>
      <c r="D940" t="s">
        <v>6068</v>
      </c>
      <c r="E940">
        <f t="shared" si="14"/>
        <v>38</v>
      </c>
      <c r="F940">
        <f>+COUNTIF(ADV!Z:Z,A940)+COUNTIF(ADV!X:X,A940)+COUNTIF(ADV!Y:Y,A940)</f>
        <v>0</v>
      </c>
    </row>
    <row r="941" spans="1:6" x14ac:dyDescent="0.2">
      <c r="A941" t="s">
        <v>2019</v>
      </c>
      <c r="B941">
        <v>1020004</v>
      </c>
      <c r="C941" t="s">
        <v>6446</v>
      </c>
      <c r="D941" t="s">
        <v>6068</v>
      </c>
      <c r="E941">
        <f t="shared" si="14"/>
        <v>38</v>
      </c>
      <c r="F941">
        <f>+COUNTIF(ADV!Z:Z,A941)+COUNTIF(ADV!X:X,A941)+COUNTIF(ADV!Y:Y,A941)</f>
        <v>0</v>
      </c>
    </row>
    <row r="942" spans="1:6" x14ac:dyDescent="0.2">
      <c r="A942" t="s">
        <v>8059</v>
      </c>
      <c r="B942">
        <v>1010007</v>
      </c>
      <c r="C942" t="s">
        <v>8060</v>
      </c>
      <c r="D942" t="s">
        <v>6068</v>
      </c>
      <c r="E942">
        <f t="shared" si="14"/>
        <v>49</v>
      </c>
      <c r="F942">
        <f>+COUNTIF(ADV!Z:Z,A942)+COUNTIF(ADV!X:X,A942)+COUNTIF(ADV!Y:Y,A942)</f>
        <v>0</v>
      </c>
    </row>
    <row r="943" spans="1:6" x14ac:dyDescent="0.2">
      <c r="A943" t="s">
        <v>668</v>
      </c>
      <c r="B943">
        <v>1010007</v>
      </c>
      <c r="C943" t="s">
        <v>6447</v>
      </c>
      <c r="D943" t="s">
        <v>6068</v>
      </c>
      <c r="E943">
        <f t="shared" si="14"/>
        <v>50</v>
      </c>
      <c r="F943">
        <f>+COUNTIF(ADV!Z:Z,A943)+COUNTIF(ADV!X:X,A943)+COUNTIF(ADV!Y:Y,A943)</f>
        <v>0</v>
      </c>
    </row>
    <row r="944" spans="1:6" x14ac:dyDescent="0.2">
      <c r="A944" t="s">
        <v>3828</v>
      </c>
      <c r="B944">
        <v>1010138</v>
      </c>
      <c r="C944" t="s">
        <v>6448</v>
      </c>
      <c r="D944" t="s">
        <v>6068</v>
      </c>
      <c r="E944">
        <f t="shared" si="14"/>
        <v>127</v>
      </c>
      <c r="F944">
        <f>+COUNTIF(ADV!Z:Z,A944)+COUNTIF(ADV!X:X,A944)+COUNTIF(ADV!Y:Y,A944)</f>
        <v>1</v>
      </c>
    </row>
    <row r="945" spans="1:6" x14ac:dyDescent="0.2">
      <c r="A945" t="s">
        <v>4411</v>
      </c>
      <c r="B945">
        <v>1010132</v>
      </c>
      <c r="C945" t="s">
        <v>6449</v>
      </c>
      <c r="D945" t="s">
        <v>6068</v>
      </c>
      <c r="E945">
        <f t="shared" si="14"/>
        <v>102</v>
      </c>
      <c r="F945">
        <f>+COUNTIF(ADV!Z:Z,A945)+COUNTIF(ADV!X:X,A945)+COUNTIF(ADV!Y:Y,A945)</f>
        <v>1</v>
      </c>
    </row>
    <row r="946" spans="1:6" x14ac:dyDescent="0.2">
      <c r="A946" t="s">
        <v>670</v>
      </c>
      <c r="B946">
        <v>1010007</v>
      </c>
      <c r="C946" t="s">
        <v>6450</v>
      </c>
      <c r="D946" t="s">
        <v>6068</v>
      </c>
      <c r="E946">
        <f t="shared" si="14"/>
        <v>90</v>
      </c>
      <c r="F946">
        <f>+COUNTIF(ADV!Z:Z,A946)+COUNTIF(ADV!X:X,A946)+COUNTIF(ADV!Y:Y,A946)</f>
        <v>22</v>
      </c>
    </row>
    <row r="947" spans="1:6" x14ac:dyDescent="0.2">
      <c r="A947" t="s">
        <v>6897</v>
      </c>
      <c r="B947">
        <v>1010053</v>
      </c>
      <c r="C947" t="s">
        <v>6898</v>
      </c>
      <c r="D947" t="s">
        <v>6068</v>
      </c>
      <c r="E947">
        <f t="shared" si="14"/>
        <v>131</v>
      </c>
      <c r="F947">
        <f>+COUNTIF(ADV!Z:Z,A947)+COUNTIF(ADV!X:X,A947)+COUNTIF(ADV!Y:Y,A947)</f>
        <v>0</v>
      </c>
    </row>
    <row r="948" spans="1:6" x14ac:dyDescent="0.2">
      <c r="A948" t="s">
        <v>8061</v>
      </c>
      <c r="B948">
        <v>1010007</v>
      </c>
      <c r="C948" t="s">
        <v>8062</v>
      </c>
      <c r="D948" t="s">
        <v>6068</v>
      </c>
      <c r="E948">
        <f t="shared" si="14"/>
        <v>49</v>
      </c>
      <c r="F948">
        <f>+COUNTIF(ADV!Z:Z,A948)+COUNTIF(ADV!X:X,A948)+COUNTIF(ADV!Y:Y,A948)</f>
        <v>0</v>
      </c>
    </row>
    <row r="949" spans="1:6" x14ac:dyDescent="0.2">
      <c r="A949" t="s">
        <v>8063</v>
      </c>
      <c r="B949">
        <v>1010007</v>
      </c>
      <c r="C949" t="s">
        <v>8064</v>
      </c>
      <c r="D949" t="s">
        <v>6068</v>
      </c>
      <c r="E949">
        <f t="shared" si="14"/>
        <v>49</v>
      </c>
      <c r="F949">
        <f>+COUNTIF(ADV!Z:Z,A949)+COUNTIF(ADV!X:X,A949)+COUNTIF(ADV!Y:Y,A949)</f>
        <v>0</v>
      </c>
    </row>
    <row r="950" spans="1:6" x14ac:dyDescent="0.2">
      <c r="A950" t="s">
        <v>8065</v>
      </c>
      <c r="B950">
        <v>1010007</v>
      </c>
      <c r="C950" t="s">
        <v>8066</v>
      </c>
      <c r="D950" t="s">
        <v>6068</v>
      </c>
      <c r="E950">
        <f t="shared" si="14"/>
        <v>49</v>
      </c>
      <c r="F950">
        <f>+COUNTIF(ADV!Z:Z,A950)+COUNTIF(ADV!X:X,A950)+COUNTIF(ADV!Y:Y,A950)</f>
        <v>0</v>
      </c>
    </row>
    <row r="951" spans="1:6" x14ac:dyDescent="0.2">
      <c r="A951" t="s">
        <v>1591</v>
      </c>
      <c r="B951">
        <v>1010007</v>
      </c>
      <c r="C951" t="s">
        <v>6451</v>
      </c>
      <c r="D951" t="s">
        <v>6068</v>
      </c>
      <c r="E951">
        <f t="shared" si="14"/>
        <v>49</v>
      </c>
      <c r="F951">
        <f>+COUNTIF(ADV!Z:Z,A951)+COUNTIF(ADV!X:X,A951)+COUNTIF(ADV!Y:Y,A951)</f>
        <v>0</v>
      </c>
    </row>
    <row r="952" spans="1:6" x14ac:dyDescent="0.2">
      <c r="A952" t="s">
        <v>1013</v>
      </c>
      <c r="B952">
        <v>1010007</v>
      </c>
      <c r="C952" t="s">
        <v>6452</v>
      </c>
      <c r="D952" t="s">
        <v>6068</v>
      </c>
      <c r="E952">
        <f t="shared" si="14"/>
        <v>49</v>
      </c>
      <c r="F952">
        <f>+COUNTIF(ADV!Z:Z,A952)+COUNTIF(ADV!X:X,A952)+COUNTIF(ADV!Y:Y,A952)</f>
        <v>0</v>
      </c>
    </row>
    <row r="953" spans="1:6" x14ac:dyDescent="0.2">
      <c r="A953" t="s">
        <v>8067</v>
      </c>
      <c r="B953">
        <v>1010007</v>
      </c>
      <c r="C953" t="s">
        <v>8068</v>
      </c>
      <c r="D953" t="s">
        <v>6068</v>
      </c>
      <c r="E953">
        <f t="shared" si="14"/>
        <v>48</v>
      </c>
      <c r="F953">
        <f>+COUNTIF(ADV!Z:Z,A953)+COUNTIF(ADV!X:X,A953)+COUNTIF(ADV!Y:Y,A953)</f>
        <v>0</v>
      </c>
    </row>
    <row r="954" spans="1:6" x14ac:dyDescent="0.2">
      <c r="A954" t="s">
        <v>8069</v>
      </c>
      <c r="B954">
        <v>1020005</v>
      </c>
      <c r="C954" t="s">
        <v>8070</v>
      </c>
      <c r="D954" t="s">
        <v>6068</v>
      </c>
      <c r="E954">
        <f t="shared" si="14"/>
        <v>144</v>
      </c>
      <c r="F954">
        <f>+COUNTIF(ADV!Z:Z,A954)+COUNTIF(ADV!X:X,A954)+COUNTIF(ADV!Y:Y,A954)</f>
        <v>0</v>
      </c>
    </row>
    <row r="955" spans="1:6" x14ac:dyDescent="0.2">
      <c r="A955" t="s">
        <v>4223</v>
      </c>
      <c r="B955">
        <v>1020005</v>
      </c>
      <c r="C955" t="s">
        <v>6453</v>
      </c>
      <c r="D955" t="s">
        <v>6068</v>
      </c>
      <c r="E955">
        <f t="shared" si="14"/>
        <v>144</v>
      </c>
      <c r="F955">
        <f>+COUNTIF(ADV!Z:Z,A955)+COUNTIF(ADV!X:X,A955)+COUNTIF(ADV!Y:Y,A955)</f>
        <v>0</v>
      </c>
    </row>
    <row r="956" spans="1:6" x14ac:dyDescent="0.2">
      <c r="A956" t="s">
        <v>8071</v>
      </c>
      <c r="B956">
        <v>1020010</v>
      </c>
      <c r="C956" t="s">
        <v>8072</v>
      </c>
      <c r="D956" t="s">
        <v>6068</v>
      </c>
      <c r="E956">
        <f t="shared" si="14"/>
        <v>92</v>
      </c>
      <c r="F956">
        <f>+COUNTIF(ADV!Z:Z,A956)+COUNTIF(ADV!X:X,A956)+COUNTIF(ADV!Y:Y,A956)</f>
        <v>0</v>
      </c>
    </row>
    <row r="957" spans="1:6" x14ac:dyDescent="0.2">
      <c r="A957" t="s">
        <v>8073</v>
      </c>
      <c r="B957">
        <v>1020010</v>
      </c>
      <c r="C957" t="s">
        <v>8074</v>
      </c>
      <c r="D957" t="s">
        <v>6068</v>
      </c>
      <c r="E957">
        <f t="shared" si="14"/>
        <v>92</v>
      </c>
      <c r="F957">
        <f>+COUNTIF(ADV!Z:Z,A957)+COUNTIF(ADV!X:X,A957)+COUNTIF(ADV!Y:Y,A957)</f>
        <v>0</v>
      </c>
    </row>
    <row r="958" spans="1:6" x14ac:dyDescent="0.2">
      <c r="A958" t="s">
        <v>8075</v>
      </c>
      <c r="B958">
        <v>1020010</v>
      </c>
      <c r="C958" t="s">
        <v>8076</v>
      </c>
      <c r="D958" t="s">
        <v>6068</v>
      </c>
      <c r="E958">
        <f t="shared" si="14"/>
        <v>92</v>
      </c>
      <c r="F958">
        <f>+COUNTIF(ADV!Z:Z,A958)+COUNTIF(ADV!X:X,A958)+COUNTIF(ADV!Y:Y,A958)</f>
        <v>0</v>
      </c>
    </row>
    <row r="959" spans="1:6" x14ac:dyDescent="0.2">
      <c r="A959" t="s">
        <v>227</v>
      </c>
      <c r="B959">
        <v>1020002</v>
      </c>
      <c r="C959" t="s">
        <v>6454</v>
      </c>
      <c r="D959" t="s">
        <v>6068</v>
      </c>
      <c r="E959">
        <f t="shared" si="14"/>
        <v>153</v>
      </c>
      <c r="F959">
        <f>+COUNTIF(ADV!Z:Z,A959)+COUNTIF(ADV!X:X,A959)+COUNTIF(ADV!Y:Y,A959)</f>
        <v>0</v>
      </c>
    </row>
    <row r="960" spans="1:6" x14ac:dyDescent="0.2">
      <c r="A960" t="s">
        <v>8077</v>
      </c>
      <c r="B960">
        <v>1020002</v>
      </c>
      <c r="C960" t="s">
        <v>8078</v>
      </c>
      <c r="D960" t="s">
        <v>6068</v>
      </c>
      <c r="E960">
        <f t="shared" si="14"/>
        <v>86</v>
      </c>
      <c r="F960">
        <f>+COUNTIF(ADV!Z:Z,A960)+COUNTIF(ADV!X:X,A960)+COUNTIF(ADV!Y:Y,A960)</f>
        <v>0</v>
      </c>
    </row>
    <row r="961" spans="1:6" x14ac:dyDescent="0.2">
      <c r="A961" t="s">
        <v>8079</v>
      </c>
      <c r="B961">
        <v>1020002</v>
      </c>
      <c r="C961" t="s">
        <v>8080</v>
      </c>
      <c r="D961" t="s">
        <v>6068</v>
      </c>
      <c r="E961">
        <f t="shared" si="14"/>
        <v>86</v>
      </c>
      <c r="F961">
        <f>+COUNTIF(ADV!Z:Z,A961)+COUNTIF(ADV!X:X,A961)+COUNTIF(ADV!Y:Y,A961)</f>
        <v>0</v>
      </c>
    </row>
    <row r="962" spans="1:6" x14ac:dyDescent="0.2">
      <c r="A962" t="s">
        <v>2376</v>
      </c>
      <c r="B962">
        <v>1020002</v>
      </c>
      <c r="C962" t="s">
        <v>6455</v>
      </c>
      <c r="D962" t="s">
        <v>6068</v>
      </c>
      <c r="E962">
        <f t="shared" ref="E962:E1026" si="15">+LEN(C962)</f>
        <v>86</v>
      </c>
      <c r="F962">
        <f>+COUNTIF(ADV!Z:Z,A962)+COUNTIF(ADV!X:X,A962)+COUNTIF(ADV!Y:Y,A962)</f>
        <v>0</v>
      </c>
    </row>
    <row r="963" spans="1:6" x14ac:dyDescent="0.2">
      <c r="A963" t="s">
        <v>8081</v>
      </c>
      <c r="B963">
        <v>1020002</v>
      </c>
      <c r="C963" t="s">
        <v>8082</v>
      </c>
      <c r="D963" t="s">
        <v>6068</v>
      </c>
      <c r="E963">
        <f t="shared" si="15"/>
        <v>86</v>
      </c>
      <c r="F963">
        <f>+COUNTIF(ADV!Z:Z,A963)+COUNTIF(ADV!X:X,A963)+COUNTIF(ADV!Y:Y,A963)</f>
        <v>0</v>
      </c>
    </row>
    <row r="964" spans="1:6" x14ac:dyDescent="0.2">
      <c r="A964" t="s">
        <v>8083</v>
      </c>
      <c r="B964">
        <v>1020002</v>
      </c>
      <c r="C964" t="s">
        <v>8084</v>
      </c>
      <c r="D964" t="s">
        <v>6068</v>
      </c>
      <c r="E964">
        <f t="shared" si="15"/>
        <v>86</v>
      </c>
      <c r="F964">
        <f>+COUNTIF(ADV!Z:Z,A964)+COUNTIF(ADV!X:X,A964)+COUNTIF(ADV!Y:Y,A964)</f>
        <v>0</v>
      </c>
    </row>
    <row r="965" spans="1:6" x14ac:dyDescent="0.2">
      <c r="A965" t="s">
        <v>8085</v>
      </c>
      <c r="B965">
        <v>1020002</v>
      </c>
      <c r="C965" t="s">
        <v>8086</v>
      </c>
      <c r="D965" t="s">
        <v>6068</v>
      </c>
      <c r="E965">
        <f t="shared" si="15"/>
        <v>172</v>
      </c>
      <c r="F965">
        <f>+COUNTIF(ADV!Z:Z,A965)+COUNTIF(ADV!X:X,A965)+COUNTIF(ADV!Y:Y,A965)</f>
        <v>0</v>
      </c>
    </row>
    <row r="966" spans="1:6" x14ac:dyDescent="0.2">
      <c r="A966" t="s">
        <v>8087</v>
      </c>
      <c r="B966">
        <v>1020002</v>
      </c>
      <c r="C966" t="s">
        <v>8088</v>
      </c>
      <c r="D966" t="s">
        <v>6068</v>
      </c>
      <c r="E966">
        <f t="shared" si="15"/>
        <v>172</v>
      </c>
      <c r="F966">
        <f>+COUNTIF(ADV!Z:Z,A966)+COUNTIF(ADV!X:X,A966)+COUNTIF(ADV!Y:Y,A966)</f>
        <v>0</v>
      </c>
    </row>
    <row r="967" spans="1:6" x14ac:dyDescent="0.2">
      <c r="A967" t="s">
        <v>152</v>
      </c>
      <c r="B967">
        <v>1030010</v>
      </c>
      <c r="C967" t="s">
        <v>6456</v>
      </c>
      <c r="D967" t="s">
        <v>6068</v>
      </c>
      <c r="E967">
        <f t="shared" si="15"/>
        <v>40</v>
      </c>
      <c r="F967">
        <f>+COUNTIF(ADV!Z:Z,A967)+COUNTIF(ADV!X:X,A967)+COUNTIF(ADV!Y:Y,A967)</f>
        <v>0</v>
      </c>
    </row>
    <row r="968" spans="1:6" x14ac:dyDescent="0.2">
      <c r="A968" t="s">
        <v>8089</v>
      </c>
      <c r="B968">
        <v>1030010</v>
      </c>
      <c r="C968" t="s">
        <v>8090</v>
      </c>
      <c r="D968" t="s">
        <v>6068</v>
      </c>
      <c r="E968">
        <f t="shared" si="15"/>
        <v>39</v>
      </c>
      <c r="F968">
        <f>+COUNTIF(ADV!Z:Z,A968)+COUNTIF(ADV!X:X,A968)+COUNTIF(ADV!Y:Y,A968)</f>
        <v>0</v>
      </c>
    </row>
    <row r="969" spans="1:6" x14ac:dyDescent="0.2">
      <c r="A969" t="s">
        <v>8091</v>
      </c>
      <c r="B969">
        <v>1030010</v>
      </c>
      <c r="C969" t="s">
        <v>8092</v>
      </c>
      <c r="D969" t="s">
        <v>6068</v>
      </c>
      <c r="E969">
        <f t="shared" si="15"/>
        <v>39</v>
      </c>
      <c r="F969">
        <f>+COUNTIF(ADV!Z:Z,A969)+COUNTIF(ADV!X:X,A969)+COUNTIF(ADV!Y:Y,A969)</f>
        <v>0</v>
      </c>
    </row>
    <row r="970" spans="1:6" x14ac:dyDescent="0.2">
      <c r="A970" t="s">
        <v>8093</v>
      </c>
      <c r="B970">
        <v>1030010</v>
      </c>
      <c r="C970" t="s">
        <v>8094</v>
      </c>
      <c r="D970" t="s">
        <v>6068</v>
      </c>
      <c r="E970">
        <f t="shared" si="15"/>
        <v>39</v>
      </c>
      <c r="F970">
        <f>+COUNTIF(ADV!Z:Z,A970)+COUNTIF(ADV!X:X,A970)+COUNTIF(ADV!Y:Y,A970)</f>
        <v>0</v>
      </c>
    </row>
    <row r="971" spans="1:6" x14ac:dyDescent="0.2">
      <c r="A971" t="s">
        <v>8095</v>
      </c>
      <c r="B971">
        <v>1030010</v>
      </c>
      <c r="C971" t="s">
        <v>8096</v>
      </c>
      <c r="D971" t="s">
        <v>6068</v>
      </c>
      <c r="E971">
        <f t="shared" si="15"/>
        <v>39</v>
      </c>
      <c r="F971">
        <f>+COUNTIF(ADV!Z:Z,A971)+COUNTIF(ADV!X:X,A971)+COUNTIF(ADV!Y:Y,A971)</f>
        <v>0</v>
      </c>
    </row>
    <row r="972" spans="1:6" x14ac:dyDescent="0.2">
      <c r="A972" t="s">
        <v>300</v>
      </c>
      <c r="B972">
        <v>1030010</v>
      </c>
      <c r="C972" t="s">
        <v>6457</v>
      </c>
      <c r="D972" t="s">
        <v>6068</v>
      </c>
      <c r="E972">
        <f t="shared" si="15"/>
        <v>39</v>
      </c>
      <c r="F972">
        <f>+COUNTIF(ADV!Z:Z,A972)+COUNTIF(ADV!X:X,A972)+COUNTIF(ADV!Y:Y,A972)</f>
        <v>0</v>
      </c>
    </row>
    <row r="973" spans="1:6" x14ac:dyDescent="0.2">
      <c r="A973" t="s">
        <v>8097</v>
      </c>
      <c r="B973">
        <v>1030010</v>
      </c>
      <c r="C973" t="s">
        <v>8098</v>
      </c>
      <c r="D973" t="s">
        <v>6068</v>
      </c>
      <c r="E973">
        <f t="shared" si="15"/>
        <v>39</v>
      </c>
      <c r="F973">
        <f>+COUNTIF(ADV!Z:Z,A973)+COUNTIF(ADV!X:X,A973)+COUNTIF(ADV!Y:Y,A973)</f>
        <v>0</v>
      </c>
    </row>
    <row r="974" spans="1:6" x14ac:dyDescent="0.2">
      <c r="A974" t="s">
        <v>8099</v>
      </c>
      <c r="B974">
        <v>1070010</v>
      </c>
      <c r="C974" t="s">
        <v>8100</v>
      </c>
      <c r="D974" t="s">
        <v>6068</v>
      </c>
      <c r="E974">
        <f t="shared" si="15"/>
        <v>44</v>
      </c>
      <c r="F974">
        <f>+COUNTIF(ADV!Z:Z,A974)+COUNTIF(ADV!X:X,A974)+COUNTIF(ADV!Y:Y,A974)</f>
        <v>0</v>
      </c>
    </row>
    <row r="975" spans="1:6" x14ac:dyDescent="0.2">
      <c r="A975" t="s">
        <v>8101</v>
      </c>
      <c r="B975">
        <v>1070010</v>
      </c>
      <c r="C975" t="s">
        <v>8102</v>
      </c>
      <c r="D975" t="s">
        <v>6068</v>
      </c>
      <c r="E975">
        <f t="shared" si="15"/>
        <v>44</v>
      </c>
      <c r="F975">
        <f>+COUNTIF(ADV!Z:Z,A975)+COUNTIF(ADV!X:X,A975)+COUNTIF(ADV!Y:Y,A975)</f>
        <v>0</v>
      </c>
    </row>
    <row r="976" spans="1:6" x14ac:dyDescent="0.2">
      <c r="A976" t="s">
        <v>8103</v>
      </c>
      <c r="B976">
        <v>1070010</v>
      </c>
      <c r="C976" t="s">
        <v>8104</v>
      </c>
      <c r="D976" t="s">
        <v>6068</v>
      </c>
      <c r="E976">
        <f t="shared" si="15"/>
        <v>44</v>
      </c>
      <c r="F976">
        <f>+COUNTIF(ADV!Z:Z,A976)+COUNTIF(ADV!X:X,A976)+COUNTIF(ADV!Y:Y,A976)</f>
        <v>0</v>
      </c>
    </row>
    <row r="977" spans="1:6" x14ac:dyDescent="0.2">
      <c r="A977" t="s">
        <v>4153</v>
      </c>
      <c r="B977">
        <v>1010183</v>
      </c>
      <c r="C977" t="s">
        <v>6458</v>
      </c>
      <c r="D977" t="s">
        <v>6068</v>
      </c>
      <c r="E977">
        <f>+LEN(C977)</f>
        <v>104</v>
      </c>
      <c r="F977">
        <f>+COUNTIF(ADV!Z:Z,A977)+COUNTIF(ADV!X:X,A977)+COUNTIF(ADV!Y:Y,A977)</f>
        <v>1</v>
      </c>
    </row>
    <row r="978" spans="1:6" x14ac:dyDescent="0.2">
      <c r="A978" t="s">
        <v>8105</v>
      </c>
      <c r="B978">
        <v>1090001</v>
      </c>
      <c r="C978" t="s">
        <v>8106</v>
      </c>
      <c r="D978" t="s">
        <v>6068</v>
      </c>
      <c r="E978">
        <f t="shared" si="15"/>
        <v>313</v>
      </c>
      <c r="F978">
        <f>+COUNTIF(ADV!Z:Z,A978)+COUNTIF(ADV!X:X,A978)+COUNTIF(ADV!Y:Y,A978)</f>
        <v>0</v>
      </c>
    </row>
    <row r="979" spans="1:6" x14ac:dyDescent="0.2">
      <c r="A979" t="s">
        <v>8107</v>
      </c>
      <c r="B979">
        <v>1090001</v>
      </c>
      <c r="C979" t="s">
        <v>8108</v>
      </c>
      <c r="D979" t="s">
        <v>6068</v>
      </c>
      <c r="E979">
        <f t="shared" si="15"/>
        <v>313</v>
      </c>
      <c r="F979">
        <f>+COUNTIF(ADV!Z:Z,A979)+COUNTIF(ADV!X:X,A979)+COUNTIF(ADV!Y:Y,A979)</f>
        <v>0</v>
      </c>
    </row>
    <row r="980" spans="1:6" x14ac:dyDescent="0.2">
      <c r="A980" t="s">
        <v>8109</v>
      </c>
      <c r="B980">
        <v>1010065</v>
      </c>
      <c r="C980" t="s">
        <v>8110</v>
      </c>
      <c r="D980" t="s">
        <v>6068</v>
      </c>
      <c r="E980">
        <f t="shared" si="15"/>
        <v>436</v>
      </c>
      <c r="F980">
        <f>+COUNTIF(ADV!Z:Z,A980)+COUNTIF(ADV!X:X,A980)+COUNTIF(ADV!Y:Y,A980)</f>
        <v>0</v>
      </c>
    </row>
    <row r="981" spans="1:6" x14ac:dyDescent="0.2">
      <c r="A981" t="s">
        <v>4125</v>
      </c>
      <c r="B981">
        <v>1010065</v>
      </c>
      <c r="C981" t="s">
        <v>6459</v>
      </c>
      <c r="D981" t="s">
        <v>6068</v>
      </c>
      <c r="E981">
        <f t="shared" si="15"/>
        <v>436</v>
      </c>
      <c r="F981">
        <f>+COUNTIF(ADV!Z:Z,A981)+COUNTIF(ADV!X:X,A981)+COUNTIF(ADV!Y:Y,A981)</f>
        <v>0</v>
      </c>
    </row>
    <row r="982" spans="1:6" x14ac:dyDescent="0.2">
      <c r="A982" t="s">
        <v>8111</v>
      </c>
      <c r="B982">
        <v>1010194</v>
      </c>
      <c r="C982" t="s">
        <v>8112</v>
      </c>
      <c r="D982" t="s">
        <v>6068</v>
      </c>
      <c r="E982">
        <f t="shared" si="15"/>
        <v>378</v>
      </c>
      <c r="F982">
        <f>+COUNTIF(ADV!Z:Z,A982)+COUNTIF(ADV!X:X,A982)+COUNTIF(ADV!Y:Y,A982)</f>
        <v>0</v>
      </c>
    </row>
    <row r="983" spans="1:6" x14ac:dyDescent="0.2">
      <c r="A983" t="s">
        <v>4525</v>
      </c>
      <c r="B983">
        <v>1010194</v>
      </c>
      <c r="C983" t="s">
        <v>6460</v>
      </c>
      <c r="D983" t="s">
        <v>6068</v>
      </c>
      <c r="E983">
        <f t="shared" si="15"/>
        <v>379</v>
      </c>
      <c r="F983">
        <f>+COUNTIF(ADV!Z:Z,A983)+COUNTIF(ADV!X:X,A983)+COUNTIF(ADV!Y:Y,A983)</f>
        <v>1</v>
      </c>
    </row>
    <row r="984" spans="1:6" x14ac:dyDescent="0.2">
      <c r="A984" t="s">
        <v>8113</v>
      </c>
      <c r="B984">
        <v>1010129</v>
      </c>
      <c r="C984" t="s">
        <v>8114</v>
      </c>
      <c r="D984" t="s">
        <v>6068</v>
      </c>
      <c r="E984">
        <f t="shared" si="15"/>
        <v>278</v>
      </c>
      <c r="F984">
        <f>+COUNTIF(ADV!Z:Z,A984)+COUNTIF(ADV!X:X,A984)+COUNTIF(ADV!Y:Y,A984)</f>
        <v>0</v>
      </c>
    </row>
    <row r="985" spans="1:6" x14ac:dyDescent="0.2">
      <c r="A985" t="s">
        <v>451</v>
      </c>
      <c r="B985">
        <v>1010129</v>
      </c>
      <c r="C985" t="s">
        <v>6461</v>
      </c>
      <c r="D985" t="s">
        <v>6068</v>
      </c>
      <c r="E985">
        <f t="shared" si="15"/>
        <v>279</v>
      </c>
      <c r="F985">
        <f>+COUNTIF(ADV!Z:Z,A985)+COUNTIF(ADV!X:X,A985)+COUNTIF(ADV!Y:Y,A985)</f>
        <v>0</v>
      </c>
    </row>
    <row r="986" spans="1:6" x14ac:dyDescent="0.2">
      <c r="A986" t="s">
        <v>8115</v>
      </c>
      <c r="B986">
        <v>1010115</v>
      </c>
      <c r="C986" t="s">
        <v>8116</v>
      </c>
      <c r="D986" t="s">
        <v>6068</v>
      </c>
      <c r="E986">
        <f t="shared" si="15"/>
        <v>189</v>
      </c>
      <c r="F986">
        <f>+COUNTIF(ADV!Z:Z,A986)+COUNTIF(ADV!X:X,A986)+COUNTIF(ADV!Y:Y,A986)</f>
        <v>0</v>
      </c>
    </row>
    <row r="987" spans="1:6" x14ac:dyDescent="0.2">
      <c r="A987" t="s">
        <v>8117</v>
      </c>
      <c r="B987">
        <v>1010115</v>
      </c>
      <c r="C987" t="s">
        <v>8118</v>
      </c>
      <c r="D987" t="s">
        <v>6068</v>
      </c>
      <c r="E987">
        <f t="shared" si="15"/>
        <v>189</v>
      </c>
      <c r="F987">
        <f>+COUNTIF(ADV!Z:Z,A987)+COUNTIF(ADV!X:X,A987)+COUNTIF(ADV!Y:Y,A987)</f>
        <v>0</v>
      </c>
    </row>
    <row r="988" spans="1:6" x14ac:dyDescent="0.2">
      <c r="A988" t="s">
        <v>8119</v>
      </c>
      <c r="B988">
        <v>1010115</v>
      </c>
      <c r="C988" t="s">
        <v>8120</v>
      </c>
      <c r="D988" t="s">
        <v>6068</v>
      </c>
      <c r="E988">
        <f t="shared" si="15"/>
        <v>191</v>
      </c>
      <c r="F988">
        <f>+COUNTIF(ADV!Z:Z,A988)+COUNTIF(ADV!X:X,A988)+COUNTIF(ADV!Y:Y,A988)</f>
        <v>0</v>
      </c>
    </row>
    <row r="989" spans="1:6" x14ac:dyDescent="0.2">
      <c r="A989" t="s">
        <v>8121</v>
      </c>
      <c r="B989">
        <v>1010186</v>
      </c>
      <c r="C989" t="s">
        <v>8122</v>
      </c>
      <c r="D989" t="s">
        <v>6068</v>
      </c>
      <c r="E989">
        <f t="shared" si="15"/>
        <v>727</v>
      </c>
      <c r="F989">
        <f>+COUNTIF(ADV!Z:Z,A989)+COUNTIF(ADV!X:X,A989)+COUNTIF(ADV!Y:Y,A989)</f>
        <v>0</v>
      </c>
    </row>
    <row r="990" spans="1:6" x14ac:dyDescent="0.2">
      <c r="A990" t="s">
        <v>3168</v>
      </c>
      <c r="B990">
        <v>1010186</v>
      </c>
      <c r="C990" t="s">
        <v>6462</v>
      </c>
      <c r="D990" t="s">
        <v>6068</v>
      </c>
      <c r="E990">
        <f t="shared" si="15"/>
        <v>857</v>
      </c>
      <c r="F990">
        <f>+COUNTIF(ADV!Z:Z,A990)+COUNTIF(ADV!X:X,A990)+COUNTIF(ADV!Y:Y,A990)</f>
        <v>1</v>
      </c>
    </row>
    <row r="991" spans="1:6" x14ac:dyDescent="0.2">
      <c r="A991" t="s">
        <v>1776</v>
      </c>
      <c r="B991">
        <v>1020002</v>
      </c>
      <c r="C991" t="s">
        <v>6463</v>
      </c>
      <c r="D991" t="s">
        <v>6068</v>
      </c>
      <c r="E991">
        <f t="shared" si="15"/>
        <v>40</v>
      </c>
      <c r="F991">
        <f>+COUNTIF(ADV!Z:Z,A991)+COUNTIF(ADV!X:X,A991)+COUNTIF(ADV!Y:Y,A991)</f>
        <v>0</v>
      </c>
    </row>
    <row r="992" spans="1:6" x14ac:dyDescent="0.2">
      <c r="A992" t="s">
        <v>8123</v>
      </c>
      <c r="B992">
        <v>1010001</v>
      </c>
      <c r="C992" t="s">
        <v>8124</v>
      </c>
      <c r="D992" t="s">
        <v>6068</v>
      </c>
      <c r="E992">
        <f t="shared" si="15"/>
        <v>126</v>
      </c>
      <c r="F992">
        <f>+COUNTIF(ADV!Z:Z,A992)+COUNTIF(ADV!X:X,A992)+COUNTIF(ADV!Y:Y,A992)</f>
        <v>0</v>
      </c>
    </row>
    <row r="993" spans="1:6" x14ac:dyDescent="0.2">
      <c r="A993" t="s">
        <v>4555</v>
      </c>
      <c r="B993">
        <v>1010001</v>
      </c>
      <c r="C993" t="s">
        <v>6464</v>
      </c>
      <c r="D993" t="s">
        <v>6068</v>
      </c>
      <c r="E993">
        <f t="shared" si="15"/>
        <v>237</v>
      </c>
      <c r="F993">
        <f>+COUNTIF(ADV!Z:Z,A993)+COUNTIF(ADV!X:X,A993)+COUNTIF(ADV!Y:Y,A993)</f>
        <v>0</v>
      </c>
    </row>
    <row r="994" spans="1:6" x14ac:dyDescent="0.2">
      <c r="A994" t="s">
        <v>8125</v>
      </c>
      <c r="B994">
        <v>1020029</v>
      </c>
      <c r="C994" t="s">
        <v>8126</v>
      </c>
      <c r="D994" t="s">
        <v>6068</v>
      </c>
      <c r="E994">
        <f t="shared" si="15"/>
        <v>211</v>
      </c>
      <c r="F994">
        <f>+COUNTIF(ADV!Z:Z,A994)+COUNTIF(ADV!X:X,A994)+COUNTIF(ADV!Y:Y,A994)</f>
        <v>0</v>
      </c>
    </row>
    <row r="995" spans="1:6" x14ac:dyDescent="0.2">
      <c r="A995" t="s">
        <v>1059</v>
      </c>
      <c r="B995">
        <v>1020029</v>
      </c>
      <c r="C995" t="s">
        <v>6465</v>
      </c>
      <c r="D995" t="s">
        <v>6068</v>
      </c>
      <c r="E995">
        <f t="shared" si="15"/>
        <v>211</v>
      </c>
      <c r="F995">
        <f>+COUNTIF(ADV!Z:Z,A995)+COUNTIF(ADV!X:X,A995)+COUNTIF(ADV!Y:Y,A995)</f>
        <v>1</v>
      </c>
    </row>
    <row r="996" spans="1:6" x14ac:dyDescent="0.2">
      <c r="A996" t="s">
        <v>8127</v>
      </c>
      <c r="B996">
        <v>1010083</v>
      </c>
      <c r="C996" t="s">
        <v>8128</v>
      </c>
      <c r="D996" t="s">
        <v>6068</v>
      </c>
      <c r="E996">
        <f t="shared" si="15"/>
        <v>328</v>
      </c>
      <c r="F996">
        <f>+COUNTIF(ADV!Z:Z,A996)+COUNTIF(ADV!X:X,A996)+COUNTIF(ADV!Y:Y,A996)</f>
        <v>0</v>
      </c>
    </row>
    <row r="997" spans="1:6" x14ac:dyDescent="0.2">
      <c r="A997" t="s">
        <v>1734</v>
      </c>
      <c r="B997">
        <v>1010083</v>
      </c>
      <c r="C997" t="s">
        <v>6466</v>
      </c>
      <c r="D997" t="s">
        <v>6068</v>
      </c>
      <c r="E997">
        <f t="shared" si="15"/>
        <v>328</v>
      </c>
      <c r="F997">
        <f>+COUNTIF(ADV!Z:Z,A997)+COUNTIF(ADV!X:X,A997)+COUNTIF(ADV!Y:Y,A997)</f>
        <v>0</v>
      </c>
    </row>
    <row r="998" spans="1:6" x14ac:dyDescent="0.2">
      <c r="A998" t="s">
        <v>8129</v>
      </c>
      <c r="B998">
        <v>1010167</v>
      </c>
      <c r="C998" t="s">
        <v>8130</v>
      </c>
      <c r="D998" t="s">
        <v>6068</v>
      </c>
      <c r="E998">
        <f t="shared" si="15"/>
        <v>49</v>
      </c>
      <c r="F998">
        <f>+COUNTIF(ADV!Z:Z,A998)+COUNTIF(ADV!X:X,A998)+COUNTIF(ADV!Y:Y,A998)</f>
        <v>0</v>
      </c>
    </row>
    <row r="999" spans="1:6" x14ac:dyDescent="0.2">
      <c r="A999" t="s">
        <v>2201</v>
      </c>
      <c r="B999">
        <v>1010167</v>
      </c>
      <c r="C999" t="s">
        <v>6467</v>
      </c>
      <c r="D999" t="s">
        <v>6068</v>
      </c>
      <c r="E999">
        <f t="shared" si="15"/>
        <v>49</v>
      </c>
      <c r="F999">
        <f>+COUNTIF(ADV!Z:Z,A999)+COUNTIF(ADV!X:X,A999)+COUNTIF(ADV!Y:Y,A999)</f>
        <v>0</v>
      </c>
    </row>
    <row r="1000" spans="1:6" x14ac:dyDescent="0.2">
      <c r="A1000" t="s">
        <v>8131</v>
      </c>
      <c r="B1000">
        <v>1070018</v>
      </c>
      <c r="C1000" t="s">
        <v>8132</v>
      </c>
      <c r="D1000" t="s">
        <v>6068</v>
      </c>
      <c r="E1000">
        <f t="shared" si="15"/>
        <v>47</v>
      </c>
      <c r="F1000">
        <f>+COUNTIF(ADV!Z:Z,A1000)+COUNTIF(ADV!X:X,A1000)+COUNTIF(ADV!Y:Y,A1000)</f>
        <v>0</v>
      </c>
    </row>
    <row r="1001" spans="1:6" x14ac:dyDescent="0.2">
      <c r="A1001" t="s">
        <v>8133</v>
      </c>
      <c r="B1001">
        <v>1070018</v>
      </c>
      <c r="C1001" t="s">
        <v>8134</v>
      </c>
      <c r="D1001" t="s">
        <v>6068</v>
      </c>
      <c r="E1001">
        <f t="shared" si="15"/>
        <v>47</v>
      </c>
      <c r="F1001">
        <f>+COUNTIF(ADV!Z:Z,A1001)+COUNTIF(ADV!X:X,A1001)+COUNTIF(ADV!Y:Y,A1001)</f>
        <v>0</v>
      </c>
    </row>
    <row r="1002" spans="1:6" x14ac:dyDescent="0.2">
      <c r="A1002" t="s">
        <v>8135</v>
      </c>
      <c r="B1002">
        <v>1070018</v>
      </c>
      <c r="C1002" t="s">
        <v>8136</v>
      </c>
      <c r="D1002" t="s">
        <v>6068</v>
      </c>
      <c r="E1002">
        <f t="shared" si="15"/>
        <v>47</v>
      </c>
      <c r="F1002">
        <f>+COUNTIF(ADV!Z:Z,A1002)+COUNTIF(ADV!X:X,A1002)+COUNTIF(ADV!Y:Y,A1002)</f>
        <v>0</v>
      </c>
    </row>
    <row r="1003" spans="1:6" x14ac:dyDescent="0.2">
      <c r="A1003" t="s">
        <v>8137</v>
      </c>
      <c r="B1003">
        <v>1070018</v>
      </c>
      <c r="C1003" t="s">
        <v>8138</v>
      </c>
      <c r="D1003" t="s">
        <v>6068</v>
      </c>
      <c r="E1003">
        <f t="shared" si="15"/>
        <v>47</v>
      </c>
      <c r="F1003">
        <f>+COUNTIF(ADV!Z:Z,A1003)+COUNTIF(ADV!X:X,A1003)+COUNTIF(ADV!Y:Y,A1003)</f>
        <v>0</v>
      </c>
    </row>
    <row r="1004" spans="1:6" x14ac:dyDescent="0.2">
      <c r="A1004" t="s">
        <v>2520</v>
      </c>
      <c r="B1004">
        <v>1070018</v>
      </c>
      <c r="C1004" t="s">
        <v>6468</v>
      </c>
      <c r="D1004" t="s">
        <v>6068</v>
      </c>
      <c r="E1004">
        <f t="shared" si="15"/>
        <v>47</v>
      </c>
      <c r="F1004">
        <f>+COUNTIF(ADV!Z:Z,A1004)+COUNTIF(ADV!X:X,A1004)+COUNTIF(ADV!Y:Y,A1004)</f>
        <v>2</v>
      </c>
    </row>
    <row r="1005" spans="1:6" x14ac:dyDescent="0.2">
      <c r="A1005" t="s">
        <v>8139</v>
      </c>
      <c r="B1005">
        <v>1070018</v>
      </c>
      <c r="C1005" t="s">
        <v>8140</v>
      </c>
      <c r="D1005" t="s">
        <v>6068</v>
      </c>
      <c r="E1005">
        <f t="shared" si="15"/>
        <v>46</v>
      </c>
      <c r="F1005">
        <f>+COUNTIF(ADV!Z:Z,A1005)+COUNTIF(ADV!X:X,A1005)+COUNTIF(ADV!Y:Y,A1005)</f>
        <v>0</v>
      </c>
    </row>
    <row r="1006" spans="1:6" x14ac:dyDescent="0.2">
      <c r="A1006" t="s">
        <v>8141</v>
      </c>
      <c r="B1006">
        <v>1070018</v>
      </c>
      <c r="C1006" t="s">
        <v>8142</v>
      </c>
      <c r="D1006" t="s">
        <v>6068</v>
      </c>
      <c r="E1006">
        <f t="shared" si="15"/>
        <v>46</v>
      </c>
      <c r="F1006">
        <f>+COUNTIF(ADV!Z:Z,A1006)+COUNTIF(ADV!X:X,A1006)+COUNTIF(ADV!Y:Y,A1006)</f>
        <v>0</v>
      </c>
    </row>
    <row r="1007" spans="1:6" x14ac:dyDescent="0.2">
      <c r="A1007" t="s">
        <v>8143</v>
      </c>
      <c r="B1007">
        <v>1020002</v>
      </c>
      <c r="C1007" t="s">
        <v>8144</v>
      </c>
      <c r="D1007" t="s">
        <v>6068</v>
      </c>
      <c r="E1007">
        <f t="shared" si="15"/>
        <v>142</v>
      </c>
      <c r="F1007">
        <f>+COUNTIF(ADV!Z:Z,A1007)+COUNTIF(ADV!X:X,A1007)+COUNTIF(ADV!Y:Y,A1007)</f>
        <v>0</v>
      </c>
    </row>
    <row r="1008" spans="1:6" x14ac:dyDescent="0.2">
      <c r="A1008" t="s">
        <v>8145</v>
      </c>
      <c r="B1008">
        <v>1020002</v>
      </c>
      <c r="C1008" t="s">
        <v>8146</v>
      </c>
      <c r="D1008" t="s">
        <v>6068</v>
      </c>
      <c r="E1008">
        <f t="shared" si="15"/>
        <v>142</v>
      </c>
      <c r="F1008">
        <f>+COUNTIF(ADV!Z:Z,A1008)+COUNTIF(ADV!X:X,A1008)+COUNTIF(ADV!Y:Y,A1008)</f>
        <v>0</v>
      </c>
    </row>
    <row r="1009" spans="1:6" x14ac:dyDescent="0.2">
      <c r="A1009" t="s">
        <v>8145</v>
      </c>
      <c r="B1009">
        <v>1020002</v>
      </c>
      <c r="C1009" t="s">
        <v>8147</v>
      </c>
      <c r="D1009" t="s">
        <v>6068</v>
      </c>
      <c r="E1009">
        <f t="shared" si="15"/>
        <v>142</v>
      </c>
      <c r="F1009">
        <f>+COUNTIF(ADV!Z:Z,A1009)+COUNTIF(ADV!X:X,A1009)+COUNTIF(ADV!Y:Y,A1009)</f>
        <v>0</v>
      </c>
    </row>
    <row r="1010" spans="1:6" x14ac:dyDescent="0.2">
      <c r="A1010" t="s">
        <v>8148</v>
      </c>
      <c r="B1010">
        <v>1020002</v>
      </c>
      <c r="C1010" t="s">
        <v>8149</v>
      </c>
      <c r="D1010" t="s">
        <v>6068</v>
      </c>
      <c r="E1010">
        <f t="shared" si="15"/>
        <v>142</v>
      </c>
      <c r="F1010">
        <f>+COUNTIF(ADV!Z:Z,A1010)+COUNTIF(ADV!X:X,A1010)+COUNTIF(ADV!Y:Y,A1010)</f>
        <v>0</v>
      </c>
    </row>
    <row r="1011" spans="1:6" x14ac:dyDescent="0.2">
      <c r="A1011" t="s">
        <v>8150</v>
      </c>
      <c r="B1011">
        <v>1020002</v>
      </c>
      <c r="C1011" t="s">
        <v>8151</v>
      </c>
      <c r="D1011" t="s">
        <v>6068</v>
      </c>
      <c r="E1011">
        <f t="shared" si="15"/>
        <v>142</v>
      </c>
      <c r="F1011">
        <f>+COUNTIF(ADV!Z:Z,A1011)+COUNTIF(ADV!X:X,A1011)+COUNTIF(ADV!Y:Y,A1011)</f>
        <v>0</v>
      </c>
    </row>
    <row r="1012" spans="1:6" x14ac:dyDescent="0.2">
      <c r="A1012" t="s">
        <v>8152</v>
      </c>
      <c r="B1012">
        <v>1020002</v>
      </c>
      <c r="C1012" t="s">
        <v>8147</v>
      </c>
      <c r="D1012" t="s">
        <v>6068</v>
      </c>
      <c r="E1012">
        <f t="shared" si="15"/>
        <v>142</v>
      </c>
      <c r="F1012">
        <f>+COUNTIF(ADV!Z:Z,A1012)+COUNTIF(ADV!X:X,A1012)+COUNTIF(ADV!Y:Y,A1012)</f>
        <v>0</v>
      </c>
    </row>
    <row r="1013" spans="1:6" x14ac:dyDescent="0.2">
      <c r="A1013" t="s">
        <v>6911</v>
      </c>
      <c r="B1013">
        <v>1020002</v>
      </c>
      <c r="C1013" t="s">
        <v>6912</v>
      </c>
      <c r="D1013" t="s">
        <v>6068</v>
      </c>
      <c r="E1013">
        <f t="shared" si="15"/>
        <v>26</v>
      </c>
      <c r="F1013">
        <f>+COUNTIF(ADV!Z:Z,A1013)+COUNTIF(ADV!X:X,A1013)+COUNTIF(ADV!Y:Y,A1013)</f>
        <v>0</v>
      </c>
    </row>
    <row r="1014" spans="1:6" x14ac:dyDescent="0.2">
      <c r="A1014" t="s">
        <v>8153</v>
      </c>
      <c r="B1014">
        <v>1020002</v>
      </c>
      <c r="C1014" t="s">
        <v>8154</v>
      </c>
      <c r="D1014" t="s">
        <v>6068</v>
      </c>
      <c r="E1014">
        <f t="shared" si="15"/>
        <v>25</v>
      </c>
      <c r="F1014">
        <f>+COUNTIF(ADV!Z:Z,A1014)+COUNTIF(ADV!X:X,A1014)+COUNTIF(ADV!Y:Y,A1014)</f>
        <v>0</v>
      </c>
    </row>
    <row r="1015" spans="1:6" x14ac:dyDescent="0.2">
      <c r="A1015" t="s">
        <v>8155</v>
      </c>
      <c r="B1015">
        <v>1040014</v>
      </c>
      <c r="C1015" t="s">
        <v>8156</v>
      </c>
      <c r="D1015" t="s">
        <v>6068</v>
      </c>
      <c r="E1015">
        <f t="shared" si="15"/>
        <v>194</v>
      </c>
      <c r="F1015">
        <f>+COUNTIF(ADV!Z:Z,A1015)+COUNTIF(ADV!X:X,A1015)+COUNTIF(ADV!Y:Y,A1015)</f>
        <v>0</v>
      </c>
    </row>
    <row r="1016" spans="1:6" x14ac:dyDescent="0.2">
      <c r="A1016" t="s">
        <v>8157</v>
      </c>
      <c r="B1016">
        <v>1040014</v>
      </c>
      <c r="C1016" t="s">
        <v>8158</v>
      </c>
      <c r="D1016" t="s">
        <v>6068</v>
      </c>
      <c r="E1016">
        <f t="shared" si="15"/>
        <v>194</v>
      </c>
      <c r="F1016">
        <f>+COUNTIF(ADV!Z:Z,A1016)+COUNTIF(ADV!X:X,A1016)+COUNTIF(ADV!Y:Y,A1016)</f>
        <v>0</v>
      </c>
    </row>
    <row r="1017" spans="1:6" x14ac:dyDescent="0.2">
      <c r="A1017" t="s">
        <v>8159</v>
      </c>
      <c r="B1017">
        <v>1040014</v>
      </c>
      <c r="C1017" t="s">
        <v>8160</v>
      </c>
      <c r="D1017" t="s">
        <v>6068</v>
      </c>
      <c r="E1017">
        <f t="shared" si="15"/>
        <v>195</v>
      </c>
      <c r="F1017">
        <f>+COUNTIF(ADV!Z:Z,A1017)+COUNTIF(ADV!X:X,A1017)+COUNTIF(ADV!Y:Y,A1017)</f>
        <v>0</v>
      </c>
    </row>
    <row r="1018" spans="1:6" x14ac:dyDescent="0.2">
      <c r="A1018" t="s">
        <v>8161</v>
      </c>
      <c r="B1018">
        <v>1020014</v>
      </c>
      <c r="C1018" t="s">
        <v>8162</v>
      </c>
      <c r="D1018" t="s">
        <v>6068</v>
      </c>
      <c r="E1018">
        <f t="shared" si="15"/>
        <v>61</v>
      </c>
      <c r="F1018">
        <f>+COUNTIF(ADV!Z:Z,A1018)+COUNTIF(ADV!X:X,A1018)+COUNTIF(ADV!Y:Y,A1018)</f>
        <v>0</v>
      </c>
    </row>
    <row r="1019" spans="1:6" x14ac:dyDescent="0.2">
      <c r="A1019" t="s">
        <v>566</v>
      </c>
      <c r="B1019">
        <v>1020014</v>
      </c>
      <c r="C1019" t="s">
        <v>6469</v>
      </c>
      <c r="D1019" t="s">
        <v>6068</v>
      </c>
      <c r="E1019">
        <f t="shared" si="15"/>
        <v>61</v>
      </c>
      <c r="F1019">
        <f>+COUNTIF(ADV!Z:Z,A1019)+COUNTIF(ADV!X:X,A1019)+COUNTIF(ADV!Y:Y,A1019)</f>
        <v>0</v>
      </c>
    </row>
    <row r="1020" spans="1:6" x14ac:dyDescent="0.2">
      <c r="A1020" t="s">
        <v>8163</v>
      </c>
      <c r="B1020">
        <v>1010094</v>
      </c>
      <c r="C1020" t="s">
        <v>8164</v>
      </c>
      <c r="D1020" t="s">
        <v>6068</v>
      </c>
      <c r="E1020">
        <f t="shared" si="15"/>
        <v>112</v>
      </c>
      <c r="F1020">
        <f>+COUNTIF(ADV!Z:Z,A1020)+COUNTIF(ADV!X:X,A1020)+COUNTIF(ADV!Y:Y,A1020)</f>
        <v>0</v>
      </c>
    </row>
    <row r="1021" spans="1:6" x14ac:dyDescent="0.2">
      <c r="A1021" t="s">
        <v>764</v>
      </c>
      <c r="B1021">
        <v>1010094</v>
      </c>
      <c r="C1021" t="s">
        <v>6470</v>
      </c>
      <c r="D1021" t="s">
        <v>6068</v>
      </c>
      <c r="E1021">
        <f t="shared" si="15"/>
        <v>112</v>
      </c>
      <c r="F1021">
        <f>+COUNTIF(ADV!Z:Z,A1021)+COUNTIF(ADV!X:X,A1021)+COUNTIF(ADV!Y:Y,A1021)</f>
        <v>0</v>
      </c>
    </row>
    <row r="1022" spans="1:6" x14ac:dyDescent="0.2">
      <c r="A1022" t="s">
        <v>8165</v>
      </c>
      <c r="B1022">
        <v>1020002</v>
      </c>
      <c r="C1022" t="s">
        <v>8166</v>
      </c>
      <c r="D1022" t="s">
        <v>6068</v>
      </c>
      <c r="E1022">
        <f t="shared" si="15"/>
        <v>81</v>
      </c>
      <c r="F1022">
        <f>+COUNTIF(ADV!Z:Z,A1022)+COUNTIF(ADV!X:X,A1022)+COUNTIF(ADV!Y:Y,A1022)</f>
        <v>0</v>
      </c>
    </row>
    <row r="1023" spans="1:6" x14ac:dyDescent="0.2">
      <c r="A1023" t="s">
        <v>600</v>
      </c>
      <c r="B1023">
        <v>1020002</v>
      </c>
      <c r="C1023" t="s">
        <v>6471</v>
      </c>
      <c r="D1023" t="s">
        <v>6068</v>
      </c>
      <c r="E1023">
        <f t="shared" si="15"/>
        <v>81</v>
      </c>
      <c r="F1023">
        <f>+COUNTIF(ADV!Z:Z,A1023)+COUNTIF(ADV!X:X,A1023)+COUNTIF(ADV!Y:Y,A1023)</f>
        <v>0</v>
      </c>
    </row>
    <row r="1024" spans="1:6" x14ac:dyDescent="0.2">
      <c r="A1024" t="s">
        <v>298</v>
      </c>
      <c r="B1024">
        <v>1020002</v>
      </c>
      <c r="C1024" t="s">
        <v>6472</v>
      </c>
      <c r="D1024" t="s">
        <v>6068</v>
      </c>
      <c r="E1024">
        <f t="shared" si="15"/>
        <v>81</v>
      </c>
      <c r="F1024">
        <f>+COUNTIF(ADV!Z:Z,A1024)+COUNTIF(ADV!X:X,A1024)+COUNTIF(ADV!Y:Y,A1024)</f>
        <v>0</v>
      </c>
    </row>
    <row r="1025" spans="1:6" x14ac:dyDescent="0.2">
      <c r="A1025" t="s">
        <v>8167</v>
      </c>
      <c r="B1025">
        <v>1020002</v>
      </c>
      <c r="C1025" t="s">
        <v>8168</v>
      </c>
      <c r="D1025" t="s">
        <v>6068</v>
      </c>
      <c r="E1025">
        <f t="shared" si="15"/>
        <v>80</v>
      </c>
      <c r="F1025">
        <f>+COUNTIF(ADV!Z:Z,A1025)+COUNTIF(ADV!X:X,A1025)+COUNTIF(ADV!Y:Y,A1025)</f>
        <v>0</v>
      </c>
    </row>
    <row r="1026" spans="1:6" x14ac:dyDescent="0.2">
      <c r="A1026" t="s">
        <v>8169</v>
      </c>
      <c r="B1026">
        <v>1020002</v>
      </c>
      <c r="C1026" t="s">
        <v>8170</v>
      </c>
      <c r="D1026" t="s">
        <v>6068</v>
      </c>
      <c r="E1026">
        <f t="shared" si="15"/>
        <v>80</v>
      </c>
      <c r="F1026">
        <f>+COUNTIF(ADV!Z:Z,A1026)+COUNTIF(ADV!X:X,A1026)+COUNTIF(ADV!Y:Y,A1026)</f>
        <v>0</v>
      </c>
    </row>
    <row r="1027" spans="1:6" x14ac:dyDescent="0.2">
      <c r="A1027" t="s">
        <v>3138</v>
      </c>
      <c r="B1027">
        <v>1020002</v>
      </c>
      <c r="C1027" t="s">
        <v>6473</v>
      </c>
      <c r="D1027" t="s">
        <v>6068</v>
      </c>
      <c r="E1027">
        <f t="shared" ref="E1027:E1090" si="16">+LEN(C1027)</f>
        <v>80</v>
      </c>
      <c r="F1027">
        <f>+COUNTIF(ADV!Z:Z,A1027)+COUNTIF(ADV!X:X,A1027)+COUNTIF(ADV!Y:Y,A1027)</f>
        <v>0</v>
      </c>
    </row>
    <row r="1028" spans="1:6" x14ac:dyDescent="0.2">
      <c r="A1028" t="s">
        <v>8171</v>
      </c>
      <c r="B1028">
        <v>1010012</v>
      </c>
      <c r="C1028" t="s">
        <v>8172</v>
      </c>
      <c r="D1028" t="s">
        <v>6068</v>
      </c>
      <c r="E1028">
        <f t="shared" si="16"/>
        <v>117</v>
      </c>
      <c r="F1028">
        <f>+COUNTIF(ADV!Z:Z,A1028)+COUNTIF(ADV!X:X,A1028)+COUNTIF(ADV!Y:Y,A1028)</f>
        <v>0</v>
      </c>
    </row>
    <row r="1029" spans="1:6" x14ac:dyDescent="0.2">
      <c r="A1029" t="s">
        <v>1803</v>
      </c>
      <c r="B1029">
        <v>1010012</v>
      </c>
      <c r="C1029" t="s">
        <v>6474</v>
      </c>
      <c r="D1029" t="s">
        <v>6068</v>
      </c>
      <c r="E1029">
        <f t="shared" si="16"/>
        <v>118</v>
      </c>
      <c r="F1029">
        <f>+COUNTIF(ADV!Z:Z,A1029)+COUNTIF(ADV!X:X,A1029)+COUNTIF(ADV!Y:Y,A1029)</f>
        <v>0</v>
      </c>
    </row>
    <row r="1030" spans="1:6" x14ac:dyDescent="0.2">
      <c r="A1030" t="s">
        <v>3006</v>
      </c>
      <c r="B1030">
        <v>1010012</v>
      </c>
      <c r="C1030" t="s">
        <v>6475</v>
      </c>
      <c r="D1030" t="s">
        <v>6068</v>
      </c>
      <c r="E1030">
        <f t="shared" si="16"/>
        <v>91</v>
      </c>
      <c r="F1030">
        <f>+COUNTIF(ADV!Z:Z,A1030)+COUNTIF(ADV!X:X,A1030)+COUNTIF(ADV!Y:Y,A1030)</f>
        <v>0</v>
      </c>
    </row>
    <row r="1031" spans="1:6" x14ac:dyDescent="0.2">
      <c r="A1031" t="s">
        <v>8173</v>
      </c>
      <c r="B1031">
        <v>1010002</v>
      </c>
      <c r="C1031" t="s">
        <v>8174</v>
      </c>
      <c r="D1031" t="s">
        <v>6068</v>
      </c>
      <c r="E1031">
        <f t="shared" si="16"/>
        <v>110</v>
      </c>
      <c r="F1031">
        <f>+COUNTIF(ADV!Z:Z,A1031)+COUNTIF(ADV!X:X,A1031)+COUNTIF(ADV!Y:Y,A1031)</f>
        <v>0</v>
      </c>
    </row>
    <row r="1032" spans="1:6" x14ac:dyDescent="0.2">
      <c r="A1032" t="s">
        <v>3137</v>
      </c>
      <c r="B1032">
        <v>1010002</v>
      </c>
      <c r="C1032" t="s">
        <v>6476</v>
      </c>
      <c r="D1032" t="s">
        <v>6068</v>
      </c>
      <c r="E1032">
        <f t="shared" si="16"/>
        <v>110</v>
      </c>
      <c r="F1032">
        <f>+COUNTIF(ADV!Z:Z,A1032)+COUNTIF(ADV!X:X,A1032)+COUNTIF(ADV!Y:Y,A1032)</f>
        <v>0</v>
      </c>
    </row>
    <row r="1033" spans="1:6" x14ac:dyDescent="0.2">
      <c r="A1033" t="s">
        <v>8175</v>
      </c>
      <c r="B1033">
        <v>1020002</v>
      </c>
      <c r="C1033" t="s">
        <v>8176</v>
      </c>
      <c r="D1033" t="s">
        <v>6068</v>
      </c>
      <c r="E1033">
        <f t="shared" si="16"/>
        <v>106</v>
      </c>
      <c r="F1033">
        <f>+COUNTIF(ADV!Z:Z,A1033)+COUNTIF(ADV!X:X,A1033)+COUNTIF(ADV!Y:Y,A1033)</f>
        <v>0</v>
      </c>
    </row>
    <row r="1034" spans="1:6" x14ac:dyDescent="0.2">
      <c r="A1034" t="s">
        <v>8177</v>
      </c>
      <c r="B1034">
        <v>1020002</v>
      </c>
      <c r="C1034" t="s">
        <v>8178</v>
      </c>
      <c r="D1034" t="s">
        <v>6068</v>
      </c>
      <c r="E1034">
        <f t="shared" si="16"/>
        <v>106</v>
      </c>
      <c r="F1034">
        <f>+COUNTIF(ADV!Z:Z,A1034)+COUNTIF(ADV!X:X,A1034)+COUNTIF(ADV!Y:Y,A1034)</f>
        <v>0</v>
      </c>
    </row>
    <row r="1035" spans="1:6" x14ac:dyDescent="0.2">
      <c r="A1035" t="s">
        <v>3461</v>
      </c>
      <c r="B1035">
        <v>1020002</v>
      </c>
      <c r="C1035" t="s">
        <v>6477</v>
      </c>
      <c r="D1035" t="s">
        <v>6068</v>
      </c>
      <c r="E1035">
        <f t="shared" si="16"/>
        <v>106</v>
      </c>
      <c r="F1035">
        <f>+COUNTIF(ADV!Z:Z,A1035)+COUNTIF(ADV!X:X,A1035)+COUNTIF(ADV!Y:Y,A1035)</f>
        <v>0</v>
      </c>
    </row>
    <row r="1036" spans="1:6" x14ac:dyDescent="0.2">
      <c r="A1036" t="s">
        <v>8179</v>
      </c>
      <c r="B1036">
        <v>1020002</v>
      </c>
      <c r="C1036" t="s">
        <v>8180</v>
      </c>
      <c r="D1036" t="s">
        <v>6068</v>
      </c>
      <c r="E1036">
        <f t="shared" si="16"/>
        <v>106</v>
      </c>
      <c r="F1036">
        <f>+COUNTIF(ADV!Z:Z,A1036)+COUNTIF(ADV!X:X,A1036)+COUNTIF(ADV!Y:Y,A1036)</f>
        <v>0</v>
      </c>
    </row>
    <row r="1037" spans="1:6" x14ac:dyDescent="0.2">
      <c r="A1037" t="s">
        <v>8181</v>
      </c>
      <c r="B1037">
        <v>1020002</v>
      </c>
      <c r="C1037" t="s">
        <v>8182</v>
      </c>
      <c r="D1037" t="s">
        <v>6068</v>
      </c>
      <c r="E1037">
        <f t="shared" si="16"/>
        <v>106</v>
      </c>
      <c r="F1037">
        <f>+COUNTIF(ADV!Z:Z,A1037)+COUNTIF(ADV!X:X,A1037)+COUNTIF(ADV!Y:Y,A1037)</f>
        <v>0</v>
      </c>
    </row>
    <row r="1038" spans="1:6" x14ac:dyDescent="0.2">
      <c r="A1038" t="s">
        <v>8183</v>
      </c>
      <c r="B1038">
        <v>1020004</v>
      </c>
      <c r="C1038" t="s">
        <v>8184</v>
      </c>
      <c r="D1038" t="s">
        <v>6068</v>
      </c>
      <c r="E1038">
        <f t="shared" si="16"/>
        <v>77</v>
      </c>
      <c r="F1038">
        <f>+COUNTIF(ADV!Z:Z,A1038)+COUNTIF(ADV!X:X,A1038)+COUNTIF(ADV!Y:Y,A1038)</f>
        <v>0</v>
      </c>
    </row>
    <row r="1039" spans="1:6" x14ac:dyDescent="0.2">
      <c r="A1039" t="s">
        <v>8185</v>
      </c>
      <c r="B1039">
        <v>1020004</v>
      </c>
      <c r="C1039" t="s">
        <v>8186</v>
      </c>
      <c r="D1039" t="s">
        <v>6068</v>
      </c>
      <c r="E1039">
        <f t="shared" si="16"/>
        <v>77</v>
      </c>
      <c r="F1039">
        <f>+COUNTIF(ADV!Z:Z,A1039)+COUNTIF(ADV!X:X,A1039)+COUNTIF(ADV!Y:Y,A1039)</f>
        <v>0</v>
      </c>
    </row>
    <row r="1040" spans="1:6" x14ac:dyDescent="0.2">
      <c r="A1040" t="s">
        <v>192</v>
      </c>
      <c r="B1040">
        <v>1020004</v>
      </c>
      <c r="C1040" t="s">
        <v>6478</v>
      </c>
      <c r="D1040" t="s">
        <v>6068</v>
      </c>
      <c r="E1040">
        <f t="shared" si="16"/>
        <v>77</v>
      </c>
      <c r="F1040">
        <f>+COUNTIF(ADV!Z:Z,A1040)+COUNTIF(ADV!X:X,A1040)+COUNTIF(ADV!Y:Y,A1040)</f>
        <v>0</v>
      </c>
    </row>
    <row r="1041" spans="1:6" x14ac:dyDescent="0.2">
      <c r="A1041" t="s">
        <v>8187</v>
      </c>
      <c r="B1041">
        <v>1020004</v>
      </c>
      <c r="C1041" t="s">
        <v>8188</v>
      </c>
      <c r="D1041" t="s">
        <v>6068</v>
      </c>
      <c r="E1041">
        <f t="shared" si="16"/>
        <v>76</v>
      </c>
      <c r="F1041">
        <f>+COUNTIF(ADV!Z:Z,A1041)+COUNTIF(ADV!X:X,A1041)+COUNTIF(ADV!Y:Y,A1041)</f>
        <v>0</v>
      </c>
    </row>
    <row r="1042" spans="1:6" x14ac:dyDescent="0.2">
      <c r="A1042" t="s">
        <v>8189</v>
      </c>
      <c r="B1042">
        <v>1020004</v>
      </c>
      <c r="C1042" t="s">
        <v>8190</v>
      </c>
      <c r="D1042" t="s">
        <v>6068</v>
      </c>
      <c r="E1042">
        <f t="shared" si="16"/>
        <v>76</v>
      </c>
      <c r="F1042">
        <f>+COUNTIF(ADV!Z:Z,A1042)+COUNTIF(ADV!X:X,A1042)+COUNTIF(ADV!Y:Y,A1042)</f>
        <v>0</v>
      </c>
    </row>
    <row r="1043" spans="1:6" x14ac:dyDescent="0.2">
      <c r="A1043" t="s">
        <v>8191</v>
      </c>
      <c r="B1043">
        <v>1040011</v>
      </c>
      <c r="C1043" t="s">
        <v>8192</v>
      </c>
      <c r="D1043" t="s">
        <v>6068</v>
      </c>
      <c r="E1043">
        <f t="shared" si="16"/>
        <v>91</v>
      </c>
      <c r="F1043">
        <f>+COUNTIF(ADV!Z:Z,A1043)+COUNTIF(ADV!X:X,A1043)+COUNTIF(ADV!Y:Y,A1043)</f>
        <v>0</v>
      </c>
    </row>
    <row r="1044" spans="1:6" x14ac:dyDescent="0.2">
      <c r="A1044" t="s">
        <v>8193</v>
      </c>
      <c r="B1044">
        <v>1040011</v>
      </c>
      <c r="C1044" t="s">
        <v>8194</v>
      </c>
      <c r="D1044" t="s">
        <v>6068</v>
      </c>
      <c r="E1044">
        <f t="shared" si="16"/>
        <v>91</v>
      </c>
      <c r="F1044">
        <f>+COUNTIF(ADV!Z:Z,A1044)+COUNTIF(ADV!X:X,A1044)+COUNTIF(ADV!Y:Y,A1044)</f>
        <v>0</v>
      </c>
    </row>
    <row r="1045" spans="1:6" x14ac:dyDescent="0.2">
      <c r="A1045" t="s">
        <v>130</v>
      </c>
      <c r="B1045">
        <v>1030006</v>
      </c>
      <c r="C1045" t="s">
        <v>6479</v>
      </c>
      <c r="D1045" t="s">
        <v>6068</v>
      </c>
      <c r="E1045">
        <f t="shared" si="16"/>
        <v>39</v>
      </c>
      <c r="F1045">
        <f>+COUNTIF(ADV!Z:Z,A1045)+COUNTIF(ADV!X:X,A1045)+COUNTIF(ADV!Y:Y,A1045)</f>
        <v>0</v>
      </c>
    </row>
    <row r="1046" spans="1:6" x14ac:dyDescent="0.2">
      <c r="A1046" t="s">
        <v>8195</v>
      </c>
      <c r="B1046">
        <v>1030006</v>
      </c>
      <c r="C1046" t="s">
        <v>8196</v>
      </c>
      <c r="D1046" t="s">
        <v>6068</v>
      </c>
      <c r="E1046">
        <f t="shared" si="16"/>
        <v>38</v>
      </c>
      <c r="F1046">
        <f>+COUNTIF(ADV!Z:Z,A1046)+COUNTIF(ADV!X:X,A1046)+COUNTIF(ADV!Y:Y,A1046)</f>
        <v>0</v>
      </c>
    </row>
    <row r="1047" spans="1:6" x14ac:dyDescent="0.2">
      <c r="A1047" t="s">
        <v>8197</v>
      </c>
      <c r="B1047">
        <v>1030006</v>
      </c>
      <c r="C1047" t="s">
        <v>8198</v>
      </c>
      <c r="D1047" t="s">
        <v>6068</v>
      </c>
      <c r="E1047">
        <f t="shared" si="16"/>
        <v>38</v>
      </c>
      <c r="F1047">
        <f>+COUNTIF(ADV!Z:Z,A1047)+COUNTIF(ADV!X:X,A1047)+COUNTIF(ADV!Y:Y,A1047)</f>
        <v>0</v>
      </c>
    </row>
    <row r="1048" spans="1:6" x14ac:dyDescent="0.2">
      <c r="A1048" t="s">
        <v>1287</v>
      </c>
      <c r="B1048">
        <v>1030006</v>
      </c>
      <c r="C1048" t="s">
        <v>6480</v>
      </c>
      <c r="D1048" t="s">
        <v>6068</v>
      </c>
      <c r="E1048">
        <f t="shared" si="16"/>
        <v>38</v>
      </c>
      <c r="F1048">
        <f>+COUNTIF(ADV!Z:Z,A1048)+COUNTIF(ADV!X:X,A1048)+COUNTIF(ADV!Y:Y,A1048)</f>
        <v>0</v>
      </c>
    </row>
    <row r="1049" spans="1:6" x14ac:dyDescent="0.2">
      <c r="A1049" t="s">
        <v>318</v>
      </c>
      <c r="B1049">
        <v>1030006</v>
      </c>
      <c r="C1049" t="s">
        <v>6481</v>
      </c>
      <c r="D1049" t="s">
        <v>6068</v>
      </c>
      <c r="E1049">
        <f t="shared" si="16"/>
        <v>38</v>
      </c>
      <c r="F1049">
        <f>+COUNTIF(ADV!Z:Z,A1049)+COUNTIF(ADV!X:X,A1049)+COUNTIF(ADV!Y:Y,A1049)</f>
        <v>0</v>
      </c>
    </row>
    <row r="1050" spans="1:6" x14ac:dyDescent="0.2">
      <c r="A1050" t="s">
        <v>8199</v>
      </c>
      <c r="B1050">
        <v>1070006</v>
      </c>
      <c r="C1050" t="s">
        <v>8200</v>
      </c>
      <c r="D1050" t="s">
        <v>6068</v>
      </c>
      <c r="E1050">
        <f t="shared" si="16"/>
        <v>43</v>
      </c>
      <c r="F1050">
        <f>+COUNTIF(ADV!Z:Z,A1050)+COUNTIF(ADV!X:X,A1050)+COUNTIF(ADV!Y:Y,A1050)</f>
        <v>0</v>
      </c>
    </row>
    <row r="1051" spans="1:6" x14ac:dyDescent="0.2">
      <c r="A1051" t="s">
        <v>8201</v>
      </c>
      <c r="B1051">
        <v>1070006</v>
      </c>
      <c r="C1051" t="s">
        <v>8202</v>
      </c>
      <c r="D1051" t="s">
        <v>6068</v>
      </c>
      <c r="E1051">
        <f t="shared" si="16"/>
        <v>43</v>
      </c>
      <c r="F1051">
        <f>+COUNTIF(ADV!Z:Z,A1051)+COUNTIF(ADV!X:X,A1051)+COUNTIF(ADV!Y:Y,A1051)</f>
        <v>0</v>
      </c>
    </row>
    <row r="1052" spans="1:6" x14ac:dyDescent="0.2">
      <c r="A1052" t="s">
        <v>3462</v>
      </c>
      <c r="B1052">
        <v>1070006</v>
      </c>
      <c r="C1052" t="s">
        <v>6482</v>
      </c>
      <c r="D1052" t="s">
        <v>6068</v>
      </c>
      <c r="E1052">
        <f t="shared" si="16"/>
        <v>43</v>
      </c>
      <c r="F1052">
        <f>+COUNTIF(ADV!Z:Z,A1052)+COUNTIF(ADV!X:X,A1052)+COUNTIF(ADV!Y:Y,A1052)</f>
        <v>0</v>
      </c>
    </row>
    <row r="1053" spans="1:6" x14ac:dyDescent="0.2">
      <c r="A1053" t="s">
        <v>8203</v>
      </c>
      <c r="B1053">
        <v>1070006</v>
      </c>
      <c r="C1053" t="s">
        <v>8204</v>
      </c>
      <c r="D1053" t="s">
        <v>6068</v>
      </c>
      <c r="E1053">
        <f t="shared" si="16"/>
        <v>43</v>
      </c>
      <c r="F1053">
        <f>+COUNTIF(ADV!Z:Z,A1053)+COUNTIF(ADV!X:X,A1053)+COUNTIF(ADV!Y:Y,A1053)</f>
        <v>0</v>
      </c>
    </row>
    <row r="1054" spans="1:6" x14ac:dyDescent="0.2">
      <c r="A1054" t="s">
        <v>8205</v>
      </c>
      <c r="B1054">
        <v>1070006</v>
      </c>
      <c r="C1054" t="s">
        <v>8206</v>
      </c>
      <c r="D1054" t="s">
        <v>6068</v>
      </c>
      <c r="E1054">
        <f t="shared" si="16"/>
        <v>43</v>
      </c>
      <c r="F1054">
        <f>+COUNTIF(ADV!Z:Z,A1054)+COUNTIF(ADV!X:X,A1054)+COUNTIF(ADV!Y:Y,A1054)</f>
        <v>0</v>
      </c>
    </row>
    <row r="1055" spans="1:6" x14ac:dyDescent="0.2">
      <c r="A1055" t="s">
        <v>8207</v>
      </c>
      <c r="B1055">
        <v>1070006</v>
      </c>
      <c r="C1055" t="s">
        <v>8208</v>
      </c>
      <c r="D1055" t="s">
        <v>6068</v>
      </c>
      <c r="E1055">
        <f t="shared" si="16"/>
        <v>42</v>
      </c>
      <c r="F1055">
        <f>+COUNTIF(ADV!Z:Z,A1055)+COUNTIF(ADV!X:X,A1055)+COUNTIF(ADV!Y:Y,A1055)</f>
        <v>0</v>
      </c>
    </row>
    <row r="1056" spans="1:6" x14ac:dyDescent="0.2">
      <c r="A1056" t="s">
        <v>8209</v>
      </c>
      <c r="B1056">
        <v>1010134</v>
      </c>
      <c r="C1056" t="s">
        <v>8210</v>
      </c>
      <c r="D1056" t="s">
        <v>6068</v>
      </c>
      <c r="E1056">
        <f t="shared" si="16"/>
        <v>655</v>
      </c>
      <c r="F1056">
        <f>+COUNTIF(ADV!Z:Z,A1056)+COUNTIF(ADV!X:X,A1056)+COUNTIF(ADV!Y:Y,A1056)</f>
        <v>0</v>
      </c>
    </row>
    <row r="1057" spans="1:6" x14ac:dyDescent="0.2">
      <c r="A1057" t="s">
        <v>3521</v>
      </c>
      <c r="B1057">
        <v>1010134</v>
      </c>
      <c r="C1057" t="s">
        <v>6483</v>
      </c>
      <c r="D1057" t="s">
        <v>6068</v>
      </c>
      <c r="E1057">
        <f t="shared" si="16"/>
        <v>656</v>
      </c>
      <c r="F1057">
        <f>+COUNTIF(ADV!Z:Z,A1057)+COUNTIF(ADV!X:X,A1057)+COUNTIF(ADV!Y:Y,A1057)</f>
        <v>0</v>
      </c>
    </row>
    <row r="1058" spans="1:6" x14ac:dyDescent="0.2">
      <c r="A1058" t="s">
        <v>8211</v>
      </c>
      <c r="B1058">
        <v>1010133</v>
      </c>
      <c r="C1058" t="s">
        <v>8212</v>
      </c>
      <c r="D1058" t="s">
        <v>6068</v>
      </c>
      <c r="E1058">
        <f t="shared" si="16"/>
        <v>392</v>
      </c>
      <c r="F1058">
        <f>+COUNTIF(ADV!Z:Z,A1058)+COUNTIF(ADV!X:X,A1058)+COUNTIF(ADV!Y:Y,A1058)</f>
        <v>0</v>
      </c>
    </row>
    <row r="1059" spans="1:6" x14ac:dyDescent="0.2">
      <c r="A1059" t="s">
        <v>4194</v>
      </c>
      <c r="B1059">
        <v>1010133</v>
      </c>
      <c r="C1059" t="s">
        <v>6484</v>
      </c>
      <c r="D1059" t="s">
        <v>6068</v>
      </c>
      <c r="E1059">
        <f t="shared" si="16"/>
        <v>386</v>
      </c>
      <c r="F1059">
        <f>+COUNTIF(ADV!Z:Z,A1059)+COUNTIF(ADV!X:X,A1059)+COUNTIF(ADV!Y:Y,A1059)</f>
        <v>1</v>
      </c>
    </row>
    <row r="1060" spans="1:6" x14ac:dyDescent="0.2">
      <c r="A1060" t="s">
        <v>980</v>
      </c>
      <c r="B1060">
        <v>1010123</v>
      </c>
      <c r="C1060" t="s">
        <v>6485</v>
      </c>
      <c r="D1060" t="s">
        <v>6068</v>
      </c>
      <c r="E1060">
        <f t="shared" si="16"/>
        <v>97</v>
      </c>
      <c r="F1060">
        <f>+COUNTIF(ADV!Z:Z,A1060)+COUNTIF(ADV!X:X,A1060)+COUNTIF(ADV!Y:Y,A1060)</f>
        <v>0</v>
      </c>
    </row>
    <row r="1061" spans="1:6" x14ac:dyDescent="0.2">
      <c r="A1061" t="s">
        <v>8213</v>
      </c>
      <c r="B1061">
        <v>1010128</v>
      </c>
      <c r="C1061" t="s">
        <v>8214</v>
      </c>
      <c r="D1061" t="s">
        <v>6068</v>
      </c>
      <c r="E1061">
        <f t="shared" si="16"/>
        <v>330</v>
      </c>
      <c r="F1061">
        <f>+COUNTIF(ADV!Z:Z,A1061)+COUNTIF(ADV!X:X,A1061)+COUNTIF(ADV!Y:Y,A1061)</f>
        <v>0</v>
      </c>
    </row>
    <row r="1062" spans="1:6" x14ac:dyDescent="0.2">
      <c r="A1062" t="s">
        <v>4538</v>
      </c>
      <c r="B1062">
        <v>1010128</v>
      </c>
      <c r="C1062" t="s">
        <v>6486</v>
      </c>
      <c r="D1062" t="s">
        <v>6068</v>
      </c>
      <c r="E1062">
        <f t="shared" si="16"/>
        <v>324</v>
      </c>
      <c r="F1062">
        <f>+COUNTIF(ADV!Z:Z,A1062)+COUNTIF(ADV!X:X,A1062)+COUNTIF(ADV!Y:Y,A1062)</f>
        <v>1</v>
      </c>
    </row>
    <row r="1063" spans="1:6" x14ac:dyDescent="0.2">
      <c r="A1063" t="s">
        <v>8215</v>
      </c>
      <c r="B1063">
        <v>1010057</v>
      </c>
      <c r="C1063" t="s">
        <v>8216</v>
      </c>
      <c r="D1063" t="s">
        <v>6068</v>
      </c>
      <c r="E1063">
        <f t="shared" si="16"/>
        <v>946</v>
      </c>
      <c r="F1063">
        <f>+COUNTIF(ADV!Z:Z,A1063)+COUNTIF(ADV!X:X,A1063)+COUNTIF(ADV!Y:Y,A1063)</f>
        <v>0</v>
      </c>
    </row>
    <row r="1064" spans="1:6" x14ac:dyDescent="0.2">
      <c r="A1064" t="s">
        <v>3415</v>
      </c>
      <c r="B1064">
        <v>1010057</v>
      </c>
      <c r="C1064" t="s">
        <v>6487</v>
      </c>
      <c r="D1064" t="s">
        <v>6068</v>
      </c>
      <c r="E1064">
        <f t="shared" si="16"/>
        <v>944</v>
      </c>
      <c r="F1064">
        <f>+COUNTIF(ADV!Z:Z,A1064)+COUNTIF(ADV!X:X,A1064)+COUNTIF(ADV!Y:Y,A1064)</f>
        <v>0</v>
      </c>
    </row>
    <row r="1065" spans="1:6" x14ac:dyDescent="0.2">
      <c r="A1065" t="s">
        <v>8217</v>
      </c>
      <c r="B1065">
        <v>1010046</v>
      </c>
      <c r="C1065" t="s">
        <v>8218</v>
      </c>
      <c r="D1065" t="s">
        <v>6068</v>
      </c>
      <c r="E1065">
        <f t="shared" si="16"/>
        <v>84</v>
      </c>
      <c r="F1065">
        <f>+COUNTIF(ADV!Z:Z,A1065)+COUNTIF(ADV!X:X,A1065)+COUNTIF(ADV!Y:Y,A1065)</f>
        <v>0</v>
      </c>
    </row>
    <row r="1066" spans="1:6" x14ac:dyDescent="0.2">
      <c r="A1066" t="s">
        <v>3303</v>
      </c>
      <c r="B1066">
        <v>1010046</v>
      </c>
      <c r="C1066" t="s">
        <v>6488</v>
      </c>
      <c r="D1066" t="s">
        <v>6068</v>
      </c>
      <c r="E1066">
        <f t="shared" si="16"/>
        <v>85</v>
      </c>
      <c r="F1066">
        <f>+COUNTIF(ADV!Z:Z,A1066)+COUNTIF(ADV!X:X,A1066)+COUNTIF(ADV!Y:Y,A1066)</f>
        <v>0</v>
      </c>
    </row>
    <row r="1067" spans="1:6" x14ac:dyDescent="0.2">
      <c r="A1067" t="s">
        <v>8219</v>
      </c>
      <c r="B1067">
        <v>1010105</v>
      </c>
      <c r="C1067" t="s">
        <v>8220</v>
      </c>
      <c r="D1067" t="s">
        <v>6068</v>
      </c>
      <c r="E1067">
        <f t="shared" si="16"/>
        <v>189</v>
      </c>
      <c r="F1067">
        <f>+COUNTIF(ADV!Z:Z,A1067)+COUNTIF(ADV!X:X,A1067)+COUNTIF(ADV!Y:Y,A1067)</f>
        <v>0</v>
      </c>
    </row>
    <row r="1068" spans="1:6" x14ac:dyDescent="0.2">
      <c r="A1068" t="s">
        <v>8221</v>
      </c>
      <c r="B1068">
        <v>1010105</v>
      </c>
      <c r="C1068" t="s">
        <v>8222</v>
      </c>
      <c r="D1068" t="s">
        <v>6068</v>
      </c>
      <c r="E1068">
        <f t="shared" si="16"/>
        <v>189</v>
      </c>
      <c r="F1068">
        <f>+COUNTIF(ADV!Z:Z,A1068)+COUNTIF(ADV!X:X,A1068)+COUNTIF(ADV!Y:Y,A1068)</f>
        <v>0</v>
      </c>
    </row>
    <row r="1069" spans="1:6" x14ac:dyDescent="0.2">
      <c r="A1069" t="s">
        <v>8223</v>
      </c>
      <c r="B1069">
        <v>1010105</v>
      </c>
      <c r="C1069" t="s">
        <v>8224</v>
      </c>
      <c r="D1069" t="s">
        <v>6068</v>
      </c>
      <c r="E1069">
        <f t="shared" si="16"/>
        <v>191</v>
      </c>
      <c r="F1069">
        <f>+COUNTIF(ADV!Z:Z,A1069)+COUNTIF(ADV!X:X,A1069)+COUNTIF(ADV!Y:Y,A1069)</f>
        <v>0</v>
      </c>
    </row>
    <row r="1070" spans="1:6" x14ac:dyDescent="0.2">
      <c r="A1070" t="s">
        <v>8225</v>
      </c>
      <c r="B1070">
        <v>1010013</v>
      </c>
      <c r="C1070" t="s">
        <v>8226</v>
      </c>
      <c r="D1070" t="s">
        <v>6068</v>
      </c>
      <c r="E1070">
        <f t="shared" si="16"/>
        <v>98</v>
      </c>
      <c r="F1070">
        <f>+COUNTIF(ADV!Z:Z,A1070)+COUNTIF(ADV!X:X,A1070)+COUNTIF(ADV!Y:Y,A1070)</f>
        <v>0</v>
      </c>
    </row>
    <row r="1071" spans="1:6" x14ac:dyDescent="0.2">
      <c r="A1071" t="s">
        <v>8227</v>
      </c>
      <c r="B1071">
        <v>1010013</v>
      </c>
      <c r="C1071" t="s">
        <v>8228</v>
      </c>
      <c r="D1071" t="s">
        <v>6068</v>
      </c>
      <c r="E1071">
        <f t="shared" si="16"/>
        <v>98</v>
      </c>
      <c r="F1071">
        <f>+COUNTIF(ADV!Z:Z,A1071)+COUNTIF(ADV!X:X,A1071)+COUNTIF(ADV!Y:Y,A1071)</f>
        <v>0</v>
      </c>
    </row>
    <row r="1072" spans="1:6" x14ac:dyDescent="0.2">
      <c r="A1072" t="s">
        <v>796</v>
      </c>
      <c r="B1072">
        <v>1010013</v>
      </c>
      <c r="C1072" t="s">
        <v>6489</v>
      </c>
      <c r="D1072" t="s">
        <v>6068</v>
      </c>
      <c r="E1072">
        <f t="shared" si="16"/>
        <v>309</v>
      </c>
      <c r="F1072">
        <f>+COUNTIF(ADV!Z:Z,A1072)+COUNTIF(ADV!X:X,A1072)+COUNTIF(ADV!Y:Y,A1072)</f>
        <v>0</v>
      </c>
    </row>
    <row r="1073" spans="1:6" x14ac:dyDescent="0.2">
      <c r="A1073" t="s">
        <v>402</v>
      </c>
      <c r="B1073">
        <v>1010024</v>
      </c>
      <c r="C1073" t="s">
        <v>6490</v>
      </c>
      <c r="D1073" t="s">
        <v>6068</v>
      </c>
      <c r="E1073">
        <f t="shared" si="16"/>
        <v>79</v>
      </c>
      <c r="F1073">
        <f>+COUNTIF(ADV!Z:Z,A1073)+COUNTIF(ADV!X:X,A1073)+COUNTIF(ADV!Y:Y,A1073)</f>
        <v>0</v>
      </c>
    </row>
    <row r="1074" spans="1:6" x14ac:dyDescent="0.2">
      <c r="A1074" t="s">
        <v>8229</v>
      </c>
      <c r="B1074">
        <v>1010011</v>
      </c>
      <c r="C1074" t="s">
        <v>8230</v>
      </c>
      <c r="D1074" t="s">
        <v>6068</v>
      </c>
      <c r="E1074">
        <f t="shared" si="16"/>
        <v>110</v>
      </c>
      <c r="F1074">
        <f>+COUNTIF(ADV!Z:Z,A1074)+COUNTIF(ADV!X:X,A1074)+COUNTIF(ADV!Y:Y,A1074)</f>
        <v>0</v>
      </c>
    </row>
    <row r="1075" spans="1:6" x14ac:dyDescent="0.2">
      <c r="A1075" t="s">
        <v>131</v>
      </c>
      <c r="B1075">
        <v>1010011</v>
      </c>
      <c r="C1075" t="s">
        <v>6491</v>
      </c>
      <c r="D1075" t="s">
        <v>6068</v>
      </c>
      <c r="E1075">
        <f t="shared" si="16"/>
        <v>110</v>
      </c>
      <c r="F1075">
        <f>+COUNTIF(ADV!Z:Z,A1075)+COUNTIF(ADV!X:X,A1075)+COUNTIF(ADV!Y:Y,A1075)</f>
        <v>0</v>
      </c>
    </row>
    <row r="1076" spans="1:6" x14ac:dyDescent="0.2">
      <c r="A1076" t="s">
        <v>6923</v>
      </c>
      <c r="B1076">
        <v>1010011</v>
      </c>
      <c r="C1076" t="s">
        <v>6924</v>
      </c>
      <c r="D1076" t="s">
        <v>6068</v>
      </c>
      <c r="E1076">
        <f t="shared" si="16"/>
        <v>112</v>
      </c>
      <c r="F1076">
        <f>+COUNTIF(ADV!Z:Z,A1076)+COUNTIF(ADV!X:X,A1076)+COUNTIF(ADV!Y:Y,A1076)</f>
        <v>0</v>
      </c>
    </row>
    <row r="1077" spans="1:6" x14ac:dyDescent="0.2">
      <c r="A1077" t="s">
        <v>8231</v>
      </c>
      <c r="B1077">
        <v>1020041</v>
      </c>
      <c r="C1077" t="s">
        <v>8232</v>
      </c>
      <c r="D1077" t="s">
        <v>6068</v>
      </c>
      <c r="E1077">
        <f t="shared" si="16"/>
        <v>126</v>
      </c>
      <c r="F1077">
        <f>+COUNTIF(ADV!Z:Z,A1077)+COUNTIF(ADV!X:X,A1077)+COUNTIF(ADV!Y:Y,A1077)</f>
        <v>0</v>
      </c>
    </row>
    <row r="1078" spans="1:6" x14ac:dyDescent="0.2">
      <c r="A1078" t="s">
        <v>2636</v>
      </c>
      <c r="B1078">
        <v>1020041</v>
      </c>
      <c r="C1078" t="s">
        <v>6492</v>
      </c>
      <c r="D1078" t="s">
        <v>6068</v>
      </c>
      <c r="E1078">
        <f t="shared" si="16"/>
        <v>126</v>
      </c>
      <c r="F1078">
        <f>+COUNTIF(ADV!Z:Z,A1078)+COUNTIF(ADV!X:X,A1078)+COUNTIF(ADV!Y:Y,A1078)</f>
        <v>0</v>
      </c>
    </row>
    <row r="1079" spans="1:6" x14ac:dyDescent="0.2">
      <c r="A1079" t="s">
        <v>8233</v>
      </c>
      <c r="B1079">
        <v>1020004</v>
      </c>
      <c r="C1079" t="s">
        <v>8234</v>
      </c>
      <c r="D1079" t="s">
        <v>6068</v>
      </c>
      <c r="E1079">
        <f t="shared" si="16"/>
        <v>84</v>
      </c>
      <c r="F1079">
        <f>+COUNTIF(ADV!Z:Z,A1079)+COUNTIF(ADV!X:X,A1079)+COUNTIF(ADV!Y:Y,A1079)</f>
        <v>0</v>
      </c>
    </row>
    <row r="1080" spans="1:6" x14ac:dyDescent="0.2">
      <c r="A1080" t="s">
        <v>2637</v>
      </c>
      <c r="B1080">
        <v>1020004</v>
      </c>
      <c r="C1080" t="s">
        <v>6493</v>
      </c>
      <c r="D1080" t="s">
        <v>6068</v>
      </c>
      <c r="E1080">
        <f t="shared" si="16"/>
        <v>85</v>
      </c>
      <c r="F1080">
        <f>+COUNTIF(ADV!Z:Z,A1080)+COUNTIF(ADV!X:X,A1080)+COUNTIF(ADV!Y:Y,A1080)</f>
        <v>0</v>
      </c>
    </row>
    <row r="1081" spans="1:6" x14ac:dyDescent="0.2">
      <c r="A1081" t="s">
        <v>8235</v>
      </c>
      <c r="B1081">
        <v>1010008</v>
      </c>
      <c r="C1081" t="s">
        <v>8236</v>
      </c>
      <c r="D1081" t="s">
        <v>6068</v>
      </c>
      <c r="E1081">
        <f t="shared" si="16"/>
        <v>131</v>
      </c>
      <c r="F1081">
        <f>+COUNTIF(ADV!Z:Z,A1081)+COUNTIF(ADV!X:X,A1081)+COUNTIF(ADV!Y:Y,A1081)</f>
        <v>0</v>
      </c>
    </row>
    <row r="1082" spans="1:6" x14ac:dyDescent="0.2">
      <c r="A1082" t="s">
        <v>1954</v>
      </c>
      <c r="B1082">
        <v>1010008</v>
      </c>
      <c r="C1082" t="s">
        <v>6494</v>
      </c>
      <c r="D1082" t="s">
        <v>6068</v>
      </c>
      <c r="E1082">
        <f t="shared" si="16"/>
        <v>131</v>
      </c>
      <c r="F1082">
        <f>+COUNTIF(ADV!Z:Z,A1082)+COUNTIF(ADV!X:X,A1082)+COUNTIF(ADV!Y:Y,A1082)</f>
        <v>1</v>
      </c>
    </row>
    <row r="1083" spans="1:6" x14ac:dyDescent="0.2">
      <c r="A1083" t="s">
        <v>8237</v>
      </c>
      <c r="B1083">
        <v>1060001</v>
      </c>
      <c r="C1083" t="s">
        <v>8238</v>
      </c>
      <c r="D1083" t="s">
        <v>6068</v>
      </c>
      <c r="E1083">
        <f t="shared" si="16"/>
        <v>37</v>
      </c>
      <c r="F1083">
        <f>+COUNTIF(ADV!Z:Z,A1083)+COUNTIF(ADV!X:X,A1083)+COUNTIF(ADV!Y:Y,A1083)</f>
        <v>0</v>
      </c>
    </row>
    <row r="1084" spans="1:6" x14ac:dyDescent="0.2">
      <c r="A1084" t="s">
        <v>8239</v>
      </c>
      <c r="B1084">
        <v>1060001</v>
      </c>
      <c r="C1084" t="s">
        <v>8240</v>
      </c>
      <c r="D1084" t="s">
        <v>6068</v>
      </c>
      <c r="E1084">
        <f t="shared" si="16"/>
        <v>37</v>
      </c>
      <c r="F1084">
        <f>+COUNTIF(ADV!Z:Z,A1084)+COUNTIF(ADV!X:X,A1084)+COUNTIF(ADV!Y:Y,A1084)</f>
        <v>0</v>
      </c>
    </row>
    <row r="1085" spans="1:6" x14ac:dyDescent="0.2">
      <c r="A1085" t="s">
        <v>8241</v>
      </c>
      <c r="B1085">
        <v>1060001</v>
      </c>
      <c r="C1085" t="s">
        <v>8242</v>
      </c>
      <c r="D1085" t="s">
        <v>6068</v>
      </c>
      <c r="E1085">
        <f t="shared" si="16"/>
        <v>37</v>
      </c>
      <c r="F1085">
        <f>+COUNTIF(ADV!Z:Z,A1085)+COUNTIF(ADV!X:X,A1085)+COUNTIF(ADV!Y:Y,A1085)</f>
        <v>0</v>
      </c>
    </row>
    <row r="1086" spans="1:6" x14ac:dyDescent="0.2">
      <c r="A1086" t="s">
        <v>8243</v>
      </c>
      <c r="B1086">
        <v>1060001</v>
      </c>
      <c r="C1086" t="s">
        <v>8244</v>
      </c>
      <c r="D1086" t="s">
        <v>6068</v>
      </c>
      <c r="E1086">
        <f t="shared" si="16"/>
        <v>37</v>
      </c>
      <c r="F1086">
        <f>+COUNTIF(ADV!Z:Z,A1086)+COUNTIF(ADV!X:X,A1086)+COUNTIF(ADV!Y:Y,A1086)</f>
        <v>0</v>
      </c>
    </row>
    <row r="1087" spans="1:6" x14ac:dyDescent="0.2">
      <c r="A1087" t="s">
        <v>1275</v>
      </c>
      <c r="B1087">
        <v>1060001</v>
      </c>
      <c r="C1087" t="s">
        <v>6495</v>
      </c>
      <c r="D1087" t="s">
        <v>6068</v>
      </c>
      <c r="E1087">
        <f t="shared" si="16"/>
        <v>37</v>
      </c>
      <c r="F1087">
        <f>+COUNTIF(ADV!Z:Z,A1087)+COUNTIF(ADV!X:X,A1087)+COUNTIF(ADV!Y:Y,A1087)</f>
        <v>0</v>
      </c>
    </row>
    <row r="1088" spans="1:6" x14ac:dyDescent="0.2">
      <c r="A1088" t="s">
        <v>3943</v>
      </c>
      <c r="B1088">
        <v>1010039</v>
      </c>
      <c r="C1088" t="s">
        <v>6496</v>
      </c>
      <c r="D1088" t="s">
        <v>6068</v>
      </c>
      <c r="E1088">
        <f t="shared" si="16"/>
        <v>101</v>
      </c>
      <c r="F1088">
        <f>+COUNTIF(ADV!Z:Z,A1088)+COUNTIF(ADV!X:X,A1088)+COUNTIF(ADV!Y:Y,A1088)</f>
        <v>0</v>
      </c>
    </row>
    <row r="1089" spans="1:6" x14ac:dyDescent="0.2">
      <c r="A1089" t="s">
        <v>788</v>
      </c>
      <c r="B1089">
        <v>1010185</v>
      </c>
      <c r="C1089" t="s">
        <v>6497</v>
      </c>
      <c r="D1089" t="s">
        <v>6068</v>
      </c>
      <c r="E1089">
        <f t="shared" si="16"/>
        <v>268</v>
      </c>
      <c r="F1089">
        <f>+COUNTIF(ADV!Z:Z,A1089)+COUNTIF(ADV!X:X,A1089)+COUNTIF(ADV!Y:Y,A1089)</f>
        <v>1</v>
      </c>
    </row>
    <row r="1090" spans="1:6" x14ac:dyDescent="0.2">
      <c r="A1090" t="s">
        <v>8245</v>
      </c>
      <c r="B1090">
        <v>1030012</v>
      </c>
      <c r="C1090" t="s">
        <v>8246</v>
      </c>
      <c r="D1090" t="s">
        <v>6068</v>
      </c>
      <c r="E1090">
        <f t="shared" si="16"/>
        <v>66</v>
      </c>
      <c r="F1090">
        <f>+COUNTIF(ADV!Z:Z,A1090)+COUNTIF(ADV!X:X,A1090)+COUNTIF(ADV!Y:Y,A1090)</f>
        <v>0</v>
      </c>
    </row>
    <row r="1091" spans="1:6" x14ac:dyDescent="0.2">
      <c r="A1091" t="s">
        <v>1704</v>
      </c>
      <c r="B1091">
        <v>1030012</v>
      </c>
      <c r="C1091" t="s">
        <v>6498</v>
      </c>
      <c r="D1091" t="s">
        <v>6068</v>
      </c>
      <c r="E1091">
        <f t="shared" ref="E1091:E1154" si="17">+LEN(C1091)</f>
        <v>67</v>
      </c>
      <c r="F1091">
        <f>+COUNTIF(ADV!Z:Z,A1091)+COUNTIF(ADV!X:X,A1091)+COUNTIF(ADV!Y:Y,A1091)</f>
        <v>1</v>
      </c>
    </row>
    <row r="1092" spans="1:6" x14ac:dyDescent="0.2">
      <c r="A1092" t="s">
        <v>8247</v>
      </c>
      <c r="B1092">
        <v>1010023</v>
      </c>
      <c r="C1092" t="s">
        <v>8248</v>
      </c>
      <c r="D1092" t="s">
        <v>6068</v>
      </c>
      <c r="E1092">
        <f t="shared" si="17"/>
        <v>214</v>
      </c>
      <c r="F1092">
        <f>+COUNTIF(ADV!Z:Z,A1092)+COUNTIF(ADV!X:X,A1092)+COUNTIF(ADV!Y:Y,A1092)</f>
        <v>0</v>
      </c>
    </row>
    <row r="1093" spans="1:6" x14ac:dyDescent="0.2">
      <c r="A1093" t="s">
        <v>8249</v>
      </c>
      <c r="B1093">
        <v>1010023</v>
      </c>
      <c r="C1093" t="s">
        <v>8250</v>
      </c>
      <c r="D1093" t="s">
        <v>6068</v>
      </c>
      <c r="E1093">
        <f t="shared" si="17"/>
        <v>214</v>
      </c>
      <c r="F1093">
        <f>+COUNTIF(ADV!Z:Z,A1093)+COUNTIF(ADV!X:X,A1093)+COUNTIF(ADV!Y:Y,A1093)</f>
        <v>0</v>
      </c>
    </row>
    <row r="1094" spans="1:6" x14ac:dyDescent="0.2">
      <c r="A1094" t="s">
        <v>4209</v>
      </c>
      <c r="B1094">
        <v>1010023</v>
      </c>
      <c r="C1094" t="s">
        <v>6499</v>
      </c>
      <c r="D1094" t="s">
        <v>6068</v>
      </c>
      <c r="E1094">
        <f t="shared" si="17"/>
        <v>427</v>
      </c>
      <c r="F1094">
        <f>+COUNTIF(ADV!Z:Z,A1094)+COUNTIF(ADV!X:X,A1094)+COUNTIF(ADV!Y:Y,A1094)</f>
        <v>1</v>
      </c>
    </row>
    <row r="1095" spans="1:6" x14ac:dyDescent="0.2">
      <c r="A1095" t="s">
        <v>8251</v>
      </c>
      <c r="B1095">
        <v>1010002</v>
      </c>
      <c r="C1095" t="s">
        <v>8252</v>
      </c>
      <c r="D1095" t="s">
        <v>6068</v>
      </c>
      <c r="E1095">
        <f t="shared" si="17"/>
        <v>187</v>
      </c>
      <c r="F1095">
        <f>+COUNTIF(ADV!Z:Z,A1095)+COUNTIF(ADV!X:X,A1095)+COUNTIF(ADV!Y:Y,A1095)</f>
        <v>0</v>
      </c>
    </row>
    <row r="1096" spans="1:6" x14ac:dyDescent="0.2">
      <c r="A1096" t="s">
        <v>1721</v>
      </c>
      <c r="B1096">
        <v>1010002</v>
      </c>
      <c r="C1096" t="s">
        <v>6500</v>
      </c>
      <c r="D1096" t="s">
        <v>6068</v>
      </c>
      <c r="E1096">
        <f t="shared" si="17"/>
        <v>187</v>
      </c>
      <c r="F1096">
        <f>+COUNTIF(ADV!Z:Z,A1096)+COUNTIF(ADV!X:X,A1096)+COUNTIF(ADV!Y:Y,A1096)</f>
        <v>0</v>
      </c>
    </row>
    <row r="1097" spans="1:6" x14ac:dyDescent="0.2">
      <c r="A1097" t="s">
        <v>3697</v>
      </c>
      <c r="B1097">
        <v>1010068</v>
      </c>
      <c r="C1097" t="s">
        <v>6501</v>
      </c>
      <c r="D1097" t="s">
        <v>6068</v>
      </c>
      <c r="E1097">
        <f t="shared" si="17"/>
        <v>232</v>
      </c>
      <c r="F1097">
        <f>+COUNTIF(ADV!Z:Z,A1097)+COUNTIF(ADV!X:X,A1097)+COUNTIF(ADV!Y:Y,A1097)</f>
        <v>0</v>
      </c>
    </row>
    <row r="1098" spans="1:6" x14ac:dyDescent="0.2">
      <c r="A1098" t="s">
        <v>3336</v>
      </c>
      <c r="B1098">
        <v>1010177</v>
      </c>
      <c r="C1098" t="s">
        <v>6502</v>
      </c>
      <c r="D1098" t="s">
        <v>6068</v>
      </c>
      <c r="E1098">
        <f t="shared" si="17"/>
        <v>278</v>
      </c>
      <c r="F1098">
        <f>+COUNTIF(ADV!Z:Z,A1098)+COUNTIF(ADV!X:X,A1098)+COUNTIF(ADV!Y:Y,A1098)</f>
        <v>0</v>
      </c>
    </row>
    <row r="1099" spans="1:6" x14ac:dyDescent="0.2">
      <c r="A1099" t="s">
        <v>8253</v>
      </c>
      <c r="B1099">
        <v>1010190</v>
      </c>
      <c r="C1099" t="s">
        <v>8254</v>
      </c>
      <c r="D1099" t="s">
        <v>6068</v>
      </c>
      <c r="E1099">
        <f t="shared" si="17"/>
        <v>810</v>
      </c>
      <c r="F1099">
        <f>+COUNTIF(ADV!Z:Z,A1099)+COUNTIF(ADV!X:X,A1099)+COUNTIF(ADV!Y:Y,A1099)</f>
        <v>0</v>
      </c>
    </row>
    <row r="1100" spans="1:6" x14ac:dyDescent="0.2">
      <c r="A1100" t="s">
        <v>434</v>
      </c>
      <c r="B1100">
        <v>1010190</v>
      </c>
      <c r="C1100" t="s">
        <v>6503</v>
      </c>
      <c r="D1100" t="s">
        <v>6068</v>
      </c>
      <c r="E1100">
        <f t="shared" si="17"/>
        <v>945</v>
      </c>
      <c r="F1100">
        <f>+COUNTIF(ADV!Z:Z,A1100)+COUNTIF(ADV!X:X,A1100)+COUNTIF(ADV!Y:Y,A1100)</f>
        <v>1</v>
      </c>
    </row>
    <row r="1101" spans="1:6" x14ac:dyDescent="0.2">
      <c r="A1101" t="s">
        <v>8255</v>
      </c>
      <c r="B1101">
        <v>1060004</v>
      </c>
      <c r="C1101" t="s">
        <v>8256</v>
      </c>
      <c r="D1101" t="s">
        <v>6068</v>
      </c>
      <c r="E1101">
        <f t="shared" si="17"/>
        <v>36</v>
      </c>
      <c r="F1101">
        <f>+COUNTIF(ADV!Z:Z,A1101)+COUNTIF(ADV!X:X,A1101)+COUNTIF(ADV!Y:Y,A1101)</f>
        <v>0</v>
      </c>
    </row>
    <row r="1102" spans="1:6" x14ac:dyDescent="0.2">
      <c r="A1102" t="s">
        <v>8257</v>
      </c>
      <c r="B1102">
        <v>1060004</v>
      </c>
      <c r="C1102" t="s">
        <v>8258</v>
      </c>
      <c r="D1102" t="s">
        <v>6068</v>
      </c>
      <c r="E1102">
        <f t="shared" si="17"/>
        <v>36</v>
      </c>
      <c r="F1102">
        <f>+COUNTIF(ADV!Z:Z,A1102)+COUNTIF(ADV!X:X,A1102)+COUNTIF(ADV!Y:Y,A1102)</f>
        <v>0</v>
      </c>
    </row>
    <row r="1103" spans="1:6" x14ac:dyDescent="0.2">
      <c r="A1103" t="s">
        <v>3022</v>
      </c>
      <c r="B1103">
        <v>1060004</v>
      </c>
      <c r="C1103" t="s">
        <v>6504</v>
      </c>
      <c r="D1103" t="s">
        <v>6068</v>
      </c>
      <c r="E1103">
        <f t="shared" si="17"/>
        <v>36</v>
      </c>
      <c r="F1103">
        <f>+COUNTIF(ADV!Z:Z,A1103)+COUNTIF(ADV!X:X,A1103)+COUNTIF(ADV!Y:Y,A1103)</f>
        <v>0</v>
      </c>
    </row>
    <row r="1104" spans="1:6" x14ac:dyDescent="0.2">
      <c r="A1104" t="s">
        <v>2261</v>
      </c>
      <c r="B1104">
        <v>1060004</v>
      </c>
      <c r="C1104" t="s">
        <v>6505</v>
      </c>
      <c r="D1104" t="s">
        <v>6068</v>
      </c>
      <c r="E1104">
        <f t="shared" si="17"/>
        <v>36</v>
      </c>
      <c r="F1104">
        <f>+COUNTIF(ADV!Z:Z,A1104)+COUNTIF(ADV!X:X,A1104)+COUNTIF(ADV!Y:Y,A1104)</f>
        <v>0</v>
      </c>
    </row>
    <row r="1105" spans="1:6" x14ac:dyDescent="0.2">
      <c r="A1105" t="s">
        <v>8259</v>
      </c>
      <c r="B1105">
        <v>1010013</v>
      </c>
      <c r="C1105" t="s">
        <v>8260</v>
      </c>
      <c r="D1105" t="s">
        <v>6068</v>
      </c>
      <c r="E1105">
        <f t="shared" si="17"/>
        <v>830</v>
      </c>
      <c r="F1105">
        <f>+COUNTIF(ADV!Z:Z,A1105)+COUNTIF(ADV!X:X,A1105)+COUNTIF(ADV!Y:Y,A1105)</f>
        <v>0</v>
      </c>
    </row>
    <row r="1106" spans="1:6" x14ac:dyDescent="0.2">
      <c r="A1106" t="s">
        <v>2392</v>
      </c>
      <c r="B1106">
        <v>1010013</v>
      </c>
      <c r="C1106" t="s">
        <v>6506</v>
      </c>
      <c r="D1106" t="s">
        <v>6068</v>
      </c>
      <c r="E1106">
        <f t="shared" si="17"/>
        <v>830</v>
      </c>
      <c r="F1106">
        <f>+COUNTIF(ADV!Z:Z,A1106)+COUNTIF(ADV!X:X,A1106)+COUNTIF(ADV!Y:Y,A1106)</f>
        <v>1</v>
      </c>
    </row>
    <row r="1107" spans="1:6" x14ac:dyDescent="0.2">
      <c r="A1107" t="s">
        <v>8261</v>
      </c>
      <c r="B1107">
        <v>1010181</v>
      </c>
      <c r="C1107" t="s">
        <v>8262</v>
      </c>
      <c r="D1107" t="s">
        <v>6068</v>
      </c>
      <c r="E1107">
        <f t="shared" si="17"/>
        <v>120</v>
      </c>
      <c r="F1107">
        <f>+COUNTIF(ADV!Z:Z,A1107)+COUNTIF(ADV!X:X,A1107)+COUNTIF(ADV!Y:Y,A1107)</f>
        <v>0</v>
      </c>
    </row>
    <row r="1108" spans="1:6" x14ac:dyDescent="0.2">
      <c r="A1108" t="s">
        <v>2293</v>
      </c>
      <c r="B1108">
        <v>1010181</v>
      </c>
      <c r="C1108" t="s">
        <v>6507</v>
      </c>
      <c r="D1108" t="s">
        <v>6068</v>
      </c>
      <c r="E1108">
        <f t="shared" si="17"/>
        <v>120</v>
      </c>
      <c r="F1108">
        <f>+COUNTIF(ADV!Z:Z,A1108)+COUNTIF(ADV!X:X,A1108)+COUNTIF(ADV!Y:Y,A1108)</f>
        <v>1</v>
      </c>
    </row>
    <row r="1109" spans="1:6" x14ac:dyDescent="0.2">
      <c r="A1109" t="s">
        <v>8263</v>
      </c>
      <c r="B1109">
        <v>1010180</v>
      </c>
      <c r="C1109" t="s">
        <v>8264</v>
      </c>
      <c r="D1109" t="s">
        <v>6068</v>
      </c>
      <c r="E1109">
        <f t="shared" si="17"/>
        <v>767</v>
      </c>
      <c r="F1109">
        <f>+COUNTIF(ADV!Z:Z,A1109)+COUNTIF(ADV!X:X,A1109)+COUNTIF(ADV!Y:Y,A1109)</f>
        <v>0</v>
      </c>
    </row>
    <row r="1110" spans="1:6" x14ac:dyDescent="0.2">
      <c r="A1110" t="s">
        <v>2292</v>
      </c>
      <c r="B1110">
        <v>1010180</v>
      </c>
      <c r="C1110" t="s">
        <v>6508</v>
      </c>
      <c r="D1110" t="s">
        <v>6068</v>
      </c>
      <c r="E1110">
        <f t="shared" si="17"/>
        <v>779</v>
      </c>
      <c r="F1110">
        <f>+COUNTIF(ADV!Z:Z,A1110)+COUNTIF(ADV!X:X,A1110)+COUNTIF(ADV!Y:Y,A1110)</f>
        <v>1</v>
      </c>
    </row>
    <row r="1111" spans="1:6" x14ac:dyDescent="0.2">
      <c r="A1111" t="s">
        <v>8265</v>
      </c>
      <c r="B1111">
        <v>1010158</v>
      </c>
      <c r="C1111" t="s">
        <v>8266</v>
      </c>
      <c r="D1111" t="s">
        <v>6068</v>
      </c>
      <c r="E1111">
        <f t="shared" si="17"/>
        <v>559</v>
      </c>
      <c r="F1111">
        <f>+COUNTIF(ADV!Z:Z,A1111)+COUNTIF(ADV!X:X,A1111)+COUNTIF(ADV!Y:Y,A1111)</f>
        <v>0</v>
      </c>
    </row>
    <row r="1112" spans="1:6" x14ac:dyDescent="0.2">
      <c r="A1112" t="s">
        <v>8267</v>
      </c>
      <c r="B1112">
        <v>1010158</v>
      </c>
      <c r="C1112" t="s">
        <v>8266</v>
      </c>
      <c r="D1112" t="s">
        <v>6068</v>
      </c>
      <c r="E1112">
        <f t="shared" si="17"/>
        <v>559</v>
      </c>
      <c r="F1112">
        <f>+COUNTIF(ADV!Z:Z,A1112)+COUNTIF(ADV!X:X,A1112)+COUNTIF(ADV!Y:Y,A1112)</f>
        <v>0</v>
      </c>
    </row>
    <row r="1113" spans="1:6" x14ac:dyDescent="0.2">
      <c r="A1113" t="s">
        <v>8268</v>
      </c>
      <c r="B1113">
        <v>1010166</v>
      </c>
      <c r="C1113" t="s">
        <v>8269</v>
      </c>
      <c r="D1113" t="s">
        <v>6068</v>
      </c>
      <c r="E1113">
        <f t="shared" si="17"/>
        <v>408</v>
      </c>
      <c r="F1113">
        <f>+COUNTIF(ADV!Z:Z,A1113)+COUNTIF(ADV!X:X,A1113)+COUNTIF(ADV!Y:Y,A1113)</f>
        <v>0</v>
      </c>
    </row>
    <row r="1114" spans="1:6" x14ac:dyDescent="0.2">
      <c r="A1114" t="s">
        <v>955</v>
      </c>
      <c r="B1114">
        <v>1010166</v>
      </c>
      <c r="C1114" t="s">
        <v>6509</v>
      </c>
      <c r="D1114" t="s">
        <v>6068</v>
      </c>
      <c r="E1114">
        <f t="shared" si="17"/>
        <v>409</v>
      </c>
      <c r="F1114">
        <f>+COUNTIF(ADV!Z:Z,A1114)+COUNTIF(ADV!X:X,A1114)+COUNTIF(ADV!Y:Y,A1114)</f>
        <v>1</v>
      </c>
    </row>
    <row r="1115" spans="1:6" x14ac:dyDescent="0.2">
      <c r="A1115" t="s">
        <v>8270</v>
      </c>
      <c r="B1115">
        <v>1010013</v>
      </c>
      <c r="C1115" t="s">
        <v>8271</v>
      </c>
      <c r="D1115" t="s">
        <v>6068</v>
      </c>
      <c r="E1115">
        <f t="shared" si="17"/>
        <v>86</v>
      </c>
      <c r="F1115">
        <f>+COUNTIF(ADV!Z:Z,A1115)+COUNTIF(ADV!X:X,A1115)+COUNTIF(ADV!Y:Y,A1115)</f>
        <v>0</v>
      </c>
    </row>
    <row r="1116" spans="1:6" x14ac:dyDescent="0.2">
      <c r="A1116" t="s">
        <v>1407</v>
      </c>
      <c r="B1116">
        <v>1010013</v>
      </c>
      <c r="C1116" t="s">
        <v>6510</v>
      </c>
      <c r="D1116" t="s">
        <v>6068</v>
      </c>
      <c r="E1116">
        <f t="shared" si="17"/>
        <v>109</v>
      </c>
      <c r="F1116">
        <f>+COUNTIF(ADV!Z:Z,A1116)+COUNTIF(ADV!X:X,A1116)+COUNTIF(ADV!Y:Y,A1116)</f>
        <v>0</v>
      </c>
    </row>
    <row r="1117" spans="1:6" x14ac:dyDescent="0.2">
      <c r="A1117" t="s">
        <v>8272</v>
      </c>
      <c r="B1117">
        <v>1030011</v>
      </c>
      <c r="C1117" t="s">
        <v>7138</v>
      </c>
      <c r="D1117" t="s">
        <v>6068</v>
      </c>
      <c r="E1117">
        <f t="shared" si="17"/>
        <v>48</v>
      </c>
      <c r="F1117">
        <f>+COUNTIF(ADV!Z:Z,A1117)+COUNTIF(ADV!X:X,A1117)+COUNTIF(ADV!Y:Y,A1117)</f>
        <v>0</v>
      </c>
    </row>
    <row r="1118" spans="1:6" x14ac:dyDescent="0.2">
      <c r="A1118" t="s">
        <v>548</v>
      </c>
      <c r="B1118">
        <v>1030011</v>
      </c>
      <c r="C1118" t="s">
        <v>6130</v>
      </c>
      <c r="D1118" t="s">
        <v>6068</v>
      </c>
      <c r="E1118">
        <f t="shared" si="17"/>
        <v>49</v>
      </c>
      <c r="F1118">
        <f>+COUNTIF(ADV!Z:Z,A1118)+COUNTIF(ADV!X:X,A1118)+COUNTIF(ADV!Y:Y,A1118)</f>
        <v>0</v>
      </c>
    </row>
    <row r="1119" spans="1:6" x14ac:dyDescent="0.2">
      <c r="A1119" t="s">
        <v>8273</v>
      </c>
      <c r="B1119">
        <v>1030022</v>
      </c>
      <c r="C1119" t="s">
        <v>7356</v>
      </c>
      <c r="D1119" t="s">
        <v>6068</v>
      </c>
      <c r="E1119">
        <f t="shared" si="17"/>
        <v>51</v>
      </c>
      <c r="F1119">
        <f>+COUNTIF(ADV!Z:Z,A1119)+COUNTIF(ADV!X:X,A1119)+COUNTIF(ADV!Y:Y,A1119)</f>
        <v>0</v>
      </c>
    </row>
    <row r="1120" spans="1:6" x14ac:dyDescent="0.2">
      <c r="A1120" t="s">
        <v>8274</v>
      </c>
      <c r="B1120">
        <v>1030016</v>
      </c>
      <c r="C1120" t="s">
        <v>7368</v>
      </c>
      <c r="D1120" t="s">
        <v>6068</v>
      </c>
      <c r="E1120">
        <f t="shared" si="17"/>
        <v>48</v>
      </c>
      <c r="F1120">
        <f>+COUNTIF(ADV!Z:Z,A1120)+COUNTIF(ADV!X:X,A1120)+COUNTIF(ADV!Y:Y,A1120)</f>
        <v>0</v>
      </c>
    </row>
    <row r="1121" spans="1:6" x14ac:dyDescent="0.2">
      <c r="A1121" t="s">
        <v>3505</v>
      </c>
      <c r="B1121">
        <v>1030022</v>
      </c>
      <c r="C1121" t="s">
        <v>6192</v>
      </c>
      <c r="D1121" t="s">
        <v>6068</v>
      </c>
      <c r="E1121">
        <f t="shared" si="17"/>
        <v>52</v>
      </c>
      <c r="F1121">
        <f>+COUNTIF(ADV!Z:Z,A1121)+COUNTIF(ADV!X:X,A1121)+COUNTIF(ADV!Y:Y,A1121)</f>
        <v>0</v>
      </c>
    </row>
    <row r="1122" spans="1:6" x14ac:dyDescent="0.2">
      <c r="A1122" t="s">
        <v>1953</v>
      </c>
      <c r="B1122">
        <v>1030016</v>
      </c>
      <c r="C1122" t="s">
        <v>6197</v>
      </c>
      <c r="D1122" t="s">
        <v>6068</v>
      </c>
      <c r="E1122">
        <f t="shared" si="17"/>
        <v>49</v>
      </c>
      <c r="F1122">
        <f>+COUNTIF(ADV!Z:Z,A1122)+COUNTIF(ADV!X:X,A1122)+COUNTIF(ADV!Y:Y,A1122)</f>
        <v>0</v>
      </c>
    </row>
    <row r="1123" spans="1:6" x14ac:dyDescent="0.2">
      <c r="A1123" t="s">
        <v>8275</v>
      </c>
      <c r="B1123">
        <v>1020036</v>
      </c>
      <c r="C1123" t="s">
        <v>7130</v>
      </c>
      <c r="D1123" t="s">
        <v>6068</v>
      </c>
      <c r="E1123">
        <f t="shared" si="17"/>
        <v>91</v>
      </c>
      <c r="F1123">
        <f>+COUNTIF(ADV!Z:Z,A1123)+COUNTIF(ADV!X:X,A1123)+COUNTIF(ADV!Y:Y,A1123)</f>
        <v>0</v>
      </c>
    </row>
    <row r="1124" spans="1:6" x14ac:dyDescent="0.2">
      <c r="A1124" t="s">
        <v>2421</v>
      </c>
      <c r="B1124">
        <v>1020036</v>
      </c>
      <c r="C1124" t="s">
        <v>6511</v>
      </c>
      <c r="D1124" t="s">
        <v>6068</v>
      </c>
      <c r="E1124">
        <f t="shared" si="17"/>
        <v>254</v>
      </c>
      <c r="F1124">
        <f>+COUNTIF(ADV!Z:Z,A1124)+COUNTIF(ADV!X:X,A1124)+COUNTIF(ADV!Y:Y,A1124)</f>
        <v>0</v>
      </c>
    </row>
    <row r="1125" spans="1:6" x14ac:dyDescent="0.2">
      <c r="A1125" t="s">
        <v>8276</v>
      </c>
      <c r="B1125">
        <v>1030022</v>
      </c>
      <c r="C1125" t="s">
        <v>7356</v>
      </c>
      <c r="D1125" t="s">
        <v>6068</v>
      </c>
      <c r="E1125">
        <f t="shared" si="17"/>
        <v>51</v>
      </c>
      <c r="F1125">
        <f>+COUNTIF(ADV!Z:Z,A1125)+COUNTIF(ADV!X:X,A1125)+COUNTIF(ADV!Y:Y,A1125)</f>
        <v>0</v>
      </c>
    </row>
    <row r="1126" spans="1:6" x14ac:dyDescent="0.2">
      <c r="A1126" t="s">
        <v>3169</v>
      </c>
      <c r="B1126">
        <v>1030022</v>
      </c>
      <c r="C1126" t="s">
        <v>6192</v>
      </c>
      <c r="D1126" t="s">
        <v>6068</v>
      </c>
      <c r="E1126">
        <f t="shared" si="17"/>
        <v>52</v>
      </c>
      <c r="F1126">
        <f>+COUNTIF(ADV!Z:Z,A1126)+COUNTIF(ADV!X:X,A1126)+COUNTIF(ADV!Y:Y,A1126)</f>
        <v>0</v>
      </c>
    </row>
    <row r="1127" spans="1:6" x14ac:dyDescent="0.2">
      <c r="A1127" t="s">
        <v>8277</v>
      </c>
      <c r="B1127">
        <v>1050005</v>
      </c>
      <c r="C1127" t="s">
        <v>8278</v>
      </c>
      <c r="D1127" t="s">
        <v>6068</v>
      </c>
      <c r="E1127">
        <f t="shared" si="17"/>
        <v>36</v>
      </c>
      <c r="F1127">
        <f>+COUNTIF(ADV!Z:Z,A1127)+COUNTIF(ADV!X:X,A1127)+COUNTIF(ADV!Y:Y,A1127)</f>
        <v>0</v>
      </c>
    </row>
    <row r="1128" spans="1:6" x14ac:dyDescent="0.2">
      <c r="A1128" t="s">
        <v>3659</v>
      </c>
      <c r="B1128">
        <v>1050005</v>
      </c>
      <c r="C1128" t="s">
        <v>6512</v>
      </c>
      <c r="D1128" t="s">
        <v>6068</v>
      </c>
      <c r="E1128">
        <f t="shared" si="17"/>
        <v>36</v>
      </c>
      <c r="F1128">
        <f>+COUNTIF(ADV!Z:Z,A1128)+COUNTIF(ADV!X:X,A1128)+COUNTIF(ADV!Y:Y,A1128)</f>
        <v>0</v>
      </c>
    </row>
    <row r="1129" spans="1:6" x14ac:dyDescent="0.2">
      <c r="A1129" t="s">
        <v>8279</v>
      </c>
      <c r="B1129">
        <v>1060005</v>
      </c>
      <c r="C1129" t="s">
        <v>8280</v>
      </c>
      <c r="D1129" t="s">
        <v>6068</v>
      </c>
      <c r="E1129">
        <f t="shared" si="17"/>
        <v>34</v>
      </c>
      <c r="F1129">
        <f>+COUNTIF(ADV!Z:Z,A1129)+COUNTIF(ADV!X:X,A1129)+COUNTIF(ADV!Y:Y,A1129)</f>
        <v>0</v>
      </c>
    </row>
    <row r="1130" spans="1:6" x14ac:dyDescent="0.2">
      <c r="A1130" t="s">
        <v>8281</v>
      </c>
      <c r="B1130">
        <v>1010130</v>
      </c>
      <c r="C1130" t="s">
        <v>8282</v>
      </c>
      <c r="D1130" t="s">
        <v>6068</v>
      </c>
      <c r="E1130">
        <f t="shared" si="17"/>
        <v>407</v>
      </c>
      <c r="F1130">
        <f>+COUNTIF(ADV!Z:Z,A1130)+COUNTIF(ADV!X:X,A1130)+COUNTIF(ADV!Y:Y,A1130)</f>
        <v>0</v>
      </c>
    </row>
    <row r="1131" spans="1:6" x14ac:dyDescent="0.2">
      <c r="A1131" t="s">
        <v>3186</v>
      </c>
      <c r="B1131">
        <v>1010130</v>
      </c>
      <c r="C1131" t="s">
        <v>6513</v>
      </c>
      <c r="D1131" t="s">
        <v>6068</v>
      </c>
      <c r="E1131">
        <f t="shared" si="17"/>
        <v>405</v>
      </c>
      <c r="F1131">
        <f>+COUNTIF(ADV!Z:Z,A1131)+COUNTIF(ADV!X:X,A1131)+COUNTIF(ADV!Y:Y,A1131)</f>
        <v>0</v>
      </c>
    </row>
    <row r="1132" spans="1:6" x14ac:dyDescent="0.2">
      <c r="A1132" t="s">
        <v>8283</v>
      </c>
      <c r="B1132">
        <v>1030043</v>
      </c>
      <c r="C1132" t="s">
        <v>8284</v>
      </c>
      <c r="D1132" t="s">
        <v>6068</v>
      </c>
      <c r="E1132">
        <f t="shared" si="17"/>
        <v>227</v>
      </c>
      <c r="F1132">
        <f>+COUNTIF(ADV!Z:Z,A1132)+COUNTIF(ADV!X:X,A1132)+COUNTIF(ADV!Y:Y,A1132)</f>
        <v>0</v>
      </c>
    </row>
    <row r="1133" spans="1:6" x14ac:dyDescent="0.2">
      <c r="A1133" t="s">
        <v>8285</v>
      </c>
      <c r="B1133">
        <v>1030043</v>
      </c>
      <c r="C1133" t="s">
        <v>8286</v>
      </c>
      <c r="D1133" t="s">
        <v>6068</v>
      </c>
      <c r="E1133">
        <f t="shared" si="17"/>
        <v>228</v>
      </c>
      <c r="F1133">
        <f>+COUNTIF(ADV!Z:Z,A1133)+COUNTIF(ADV!X:X,A1133)+COUNTIF(ADV!Y:Y,A1133)</f>
        <v>0</v>
      </c>
    </row>
    <row r="1134" spans="1:6" x14ac:dyDescent="0.2">
      <c r="A1134" t="s">
        <v>2992</v>
      </c>
      <c r="B1134">
        <v>1030043</v>
      </c>
      <c r="C1134" t="s">
        <v>6514</v>
      </c>
      <c r="D1134" t="s">
        <v>6068</v>
      </c>
      <c r="E1134">
        <f t="shared" si="17"/>
        <v>311</v>
      </c>
      <c r="F1134">
        <f>+COUNTIF(ADV!Z:Z,A1134)+COUNTIF(ADV!X:X,A1134)+COUNTIF(ADV!Y:Y,A1134)</f>
        <v>1</v>
      </c>
    </row>
    <row r="1135" spans="1:6" x14ac:dyDescent="0.2">
      <c r="A1135" t="s">
        <v>8287</v>
      </c>
      <c r="B1135">
        <v>1010164</v>
      </c>
      <c r="C1135" t="s">
        <v>8288</v>
      </c>
      <c r="D1135" t="s">
        <v>6068</v>
      </c>
      <c r="E1135">
        <f t="shared" si="17"/>
        <v>852</v>
      </c>
      <c r="F1135">
        <f>+COUNTIF(ADV!Z:Z,A1135)+COUNTIF(ADV!X:X,A1135)+COUNTIF(ADV!Y:Y,A1135)</f>
        <v>0</v>
      </c>
    </row>
    <row r="1136" spans="1:6" x14ac:dyDescent="0.2">
      <c r="A1136" t="s">
        <v>953</v>
      </c>
      <c r="B1136">
        <v>1010164</v>
      </c>
      <c r="C1136" t="s">
        <v>6515</v>
      </c>
      <c r="D1136" t="s">
        <v>6068</v>
      </c>
      <c r="E1136">
        <f t="shared" si="17"/>
        <v>852</v>
      </c>
      <c r="F1136">
        <f>+COUNTIF(ADV!Z:Z,A1136)+COUNTIF(ADV!X:X,A1136)+COUNTIF(ADV!Y:Y,A1136)</f>
        <v>1</v>
      </c>
    </row>
    <row r="1137" spans="1:6" x14ac:dyDescent="0.2">
      <c r="A1137" t="s">
        <v>8289</v>
      </c>
      <c r="B1137">
        <v>1020011</v>
      </c>
      <c r="C1137" t="s">
        <v>8290</v>
      </c>
      <c r="D1137" t="s">
        <v>6068</v>
      </c>
      <c r="E1137">
        <f t="shared" si="17"/>
        <v>128</v>
      </c>
      <c r="F1137">
        <f>+COUNTIF(ADV!Z:Z,A1137)+COUNTIF(ADV!X:X,A1137)+COUNTIF(ADV!Y:Y,A1137)</f>
        <v>0</v>
      </c>
    </row>
    <row r="1138" spans="1:6" x14ac:dyDescent="0.2">
      <c r="A1138" t="s">
        <v>8291</v>
      </c>
      <c r="B1138">
        <v>1020010</v>
      </c>
      <c r="C1138" t="s">
        <v>8292</v>
      </c>
      <c r="D1138" t="s">
        <v>6068</v>
      </c>
      <c r="E1138">
        <f t="shared" si="17"/>
        <v>109</v>
      </c>
      <c r="F1138">
        <f>+COUNTIF(ADV!Z:Z,A1138)+COUNTIF(ADV!X:X,A1138)+COUNTIF(ADV!Y:Y,A1138)</f>
        <v>0</v>
      </c>
    </row>
    <row r="1139" spans="1:6" x14ac:dyDescent="0.2">
      <c r="A1139" t="s">
        <v>8293</v>
      </c>
      <c r="B1139">
        <v>1020004</v>
      </c>
      <c r="C1139" t="s">
        <v>8294</v>
      </c>
      <c r="D1139" t="s">
        <v>6068</v>
      </c>
      <c r="E1139">
        <f t="shared" si="17"/>
        <v>107</v>
      </c>
      <c r="F1139">
        <f>+COUNTIF(ADV!Z:Z,A1139)+COUNTIF(ADV!X:X,A1139)+COUNTIF(ADV!Y:Y,A1139)</f>
        <v>0</v>
      </c>
    </row>
    <row r="1140" spans="1:6" x14ac:dyDescent="0.2">
      <c r="A1140" t="s">
        <v>1863</v>
      </c>
      <c r="B1140">
        <v>1020004</v>
      </c>
      <c r="C1140" t="s">
        <v>6516</v>
      </c>
      <c r="D1140" t="s">
        <v>6068</v>
      </c>
      <c r="E1140">
        <f t="shared" si="17"/>
        <v>108</v>
      </c>
      <c r="F1140">
        <f>+COUNTIF(ADV!Z:Z,A1140)+COUNTIF(ADV!X:X,A1140)+COUNTIF(ADV!Y:Y,A1140)</f>
        <v>0</v>
      </c>
    </row>
    <row r="1141" spans="1:6" x14ac:dyDescent="0.2">
      <c r="A1141" t="s">
        <v>8295</v>
      </c>
      <c r="B1141">
        <v>1020002</v>
      </c>
      <c r="C1141" t="s">
        <v>8296</v>
      </c>
      <c r="D1141" t="s">
        <v>6068</v>
      </c>
      <c r="E1141">
        <f t="shared" si="17"/>
        <v>94</v>
      </c>
      <c r="F1141">
        <f>+COUNTIF(ADV!Z:Z,A1141)+COUNTIF(ADV!X:X,A1141)+COUNTIF(ADV!Y:Y,A1141)</f>
        <v>0</v>
      </c>
    </row>
    <row r="1142" spans="1:6" x14ac:dyDescent="0.2">
      <c r="A1142" t="s">
        <v>8297</v>
      </c>
      <c r="B1142">
        <v>1010121</v>
      </c>
      <c r="C1142" t="s">
        <v>8298</v>
      </c>
      <c r="D1142" t="s">
        <v>6068</v>
      </c>
      <c r="E1142">
        <f t="shared" si="17"/>
        <v>439</v>
      </c>
      <c r="F1142">
        <f>+COUNTIF(ADV!Z:Z,A1142)+COUNTIF(ADV!X:X,A1142)+COUNTIF(ADV!Y:Y,A1142)</f>
        <v>0</v>
      </c>
    </row>
    <row r="1143" spans="1:6" x14ac:dyDescent="0.2">
      <c r="A1143" t="s">
        <v>335</v>
      </c>
      <c r="B1143">
        <v>1010121</v>
      </c>
      <c r="C1143" t="s">
        <v>8299</v>
      </c>
      <c r="D1143" t="s">
        <v>6068</v>
      </c>
      <c r="E1143">
        <f t="shared" si="17"/>
        <v>439</v>
      </c>
      <c r="F1143">
        <f>+COUNTIF(ADV!Z:Z,A1143)+COUNTIF(ADV!X:X,A1143)+COUNTIF(ADV!Y:Y,A1143)</f>
        <v>1</v>
      </c>
    </row>
    <row r="1144" spans="1:6" x14ac:dyDescent="0.2">
      <c r="A1144" t="s">
        <v>8300</v>
      </c>
      <c r="B1144">
        <v>1030011</v>
      </c>
      <c r="C1144" t="s">
        <v>7174</v>
      </c>
      <c r="D1144" t="s">
        <v>6068</v>
      </c>
      <c r="E1144">
        <f t="shared" si="17"/>
        <v>50</v>
      </c>
      <c r="F1144">
        <f>+COUNTIF(ADV!Z:Z,A1144)+COUNTIF(ADV!X:X,A1144)+COUNTIF(ADV!Y:Y,A1144)</f>
        <v>0</v>
      </c>
    </row>
    <row r="1145" spans="1:6" x14ac:dyDescent="0.2">
      <c r="A1145" t="s">
        <v>435</v>
      </c>
      <c r="B1145">
        <v>1030011</v>
      </c>
      <c r="C1145" t="s">
        <v>6143</v>
      </c>
      <c r="D1145" t="s">
        <v>6068</v>
      </c>
      <c r="E1145">
        <f t="shared" si="17"/>
        <v>51</v>
      </c>
      <c r="F1145">
        <f>+COUNTIF(ADV!Z:Z,A1145)+COUNTIF(ADV!X:X,A1145)+COUNTIF(ADV!Y:Y,A1145)</f>
        <v>0</v>
      </c>
    </row>
    <row r="1146" spans="1:6" x14ac:dyDescent="0.2">
      <c r="A1146" t="s">
        <v>8301</v>
      </c>
      <c r="B1146">
        <v>1010184</v>
      </c>
      <c r="C1146" t="s">
        <v>8302</v>
      </c>
      <c r="D1146" t="s">
        <v>6068</v>
      </c>
      <c r="E1146">
        <f t="shared" si="17"/>
        <v>955</v>
      </c>
      <c r="F1146">
        <f>+COUNTIF(ADV!Z:Z,A1146)+COUNTIF(ADV!X:X,A1146)+COUNTIF(ADV!Y:Y,A1146)</f>
        <v>0</v>
      </c>
    </row>
    <row r="1147" spans="1:6" x14ac:dyDescent="0.2">
      <c r="A1147" t="s">
        <v>2391</v>
      </c>
      <c r="B1147">
        <v>1010184</v>
      </c>
      <c r="C1147" t="s">
        <v>6518</v>
      </c>
      <c r="D1147" t="s">
        <v>6068</v>
      </c>
      <c r="E1147">
        <f t="shared" si="17"/>
        <v>955</v>
      </c>
      <c r="F1147">
        <f>+COUNTIF(ADV!Z:Z,A1147)+COUNTIF(ADV!X:X,A1147)+COUNTIF(ADV!Y:Y,A1147)</f>
        <v>1</v>
      </c>
    </row>
    <row r="1148" spans="1:6" x14ac:dyDescent="0.2">
      <c r="A1148" t="s">
        <v>8303</v>
      </c>
      <c r="B1148">
        <v>1010066</v>
      </c>
      <c r="C1148" t="s">
        <v>8304</v>
      </c>
      <c r="D1148" t="s">
        <v>6068</v>
      </c>
      <c r="E1148">
        <f t="shared" si="17"/>
        <v>1001</v>
      </c>
      <c r="F1148">
        <f>+COUNTIF(ADV!Z:Z,A1148)+COUNTIF(ADV!X:X,A1148)+COUNTIF(ADV!Y:Y,A1148)</f>
        <v>0</v>
      </c>
    </row>
    <row r="1149" spans="1:6" x14ac:dyDescent="0.2">
      <c r="A1149" t="s">
        <v>1072</v>
      </c>
      <c r="B1149">
        <v>1010066</v>
      </c>
      <c r="C1149" t="s">
        <v>6519</v>
      </c>
      <c r="D1149" t="s">
        <v>6068</v>
      </c>
      <c r="E1149">
        <f t="shared" si="17"/>
        <v>999</v>
      </c>
      <c r="F1149">
        <f>+COUNTIF(ADV!Z:Z,A1149)+COUNTIF(ADV!X:X,A1149)+COUNTIF(ADV!Y:Y,A1149)</f>
        <v>0</v>
      </c>
    </row>
    <row r="1150" spans="1:6" x14ac:dyDescent="0.2">
      <c r="A1150" t="s">
        <v>8305</v>
      </c>
      <c r="B1150">
        <v>1010005</v>
      </c>
      <c r="C1150" t="s">
        <v>8306</v>
      </c>
      <c r="D1150" t="s">
        <v>6068</v>
      </c>
      <c r="E1150">
        <f t="shared" si="17"/>
        <v>240</v>
      </c>
      <c r="F1150">
        <f>+COUNTIF(ADV!Z:Z,A1150)+COUNTIF(ADV!X:X,A1150)+COUNTIF(ADV!Y:Y,A1150)</f>
        <v>0</v>
      </c>
    </row>
    <row r="1151" spans="1:6" x14ac:dyDescent="0.2">
      <c r="A1151" t="s">
        <v>1073</v>
      </c>
      <c r="B1151">
        <v>1010005</v>
      </c>
      <c r="C1151" t="s">
        <v>6520</v>
      </c>
      <c r="D1151" t="s">
        <v>6068</v>
      </c>
      <c r="E1151">
        <f t="shared" si="17"/>
        <v>172</v>
      </c>
      <c r="F1151">
        <f>+COUNTIF(ADV!Z:Z,A1151)+COUNTIF(ADV!X:X,A1151)+COUNTIF(ADV!Y:Y,A1151)</f>
        <v>0</v>
      </c>
    </row>
    <row r="1152" spans="1:6" x14ac:dyDescent="0.2">
      <c r="A1152" t="s">
        <v>8307</v>
      </c>
      <c r="B1152">
        <v>1010119</v>
      </c>
      <c r="C1152" t="s">
        <v>8308</v>
      </c>
      <c r="D1152" t="s">
        <v>6068</v>
      </c>
      <c r="E1152">
        <f t="shared" si="17"/>
        <v>289</v>
      </c>
      <c r="F1152">
        <f>+COUNTIF(ADV!Z:Z,A1152)+COUNTIF(ADV!X:X,A1152)+COUNTIF(ADV!Y:Y,A1152)</f>
        <v>0</v>
      </c>
    </row>
    <row r="1153" spans="1:6" x14ac:dyDescent="0.2">
      <c r="A1153" t="s">
        <v>4368</v>
      </c>
      <c r="B1153">
        <v>1010119</v>
      </c>
      <c r="C1153" t="s">
        <v>6521</v>
      </c>
      <c r="D1153" t="s">
        <v>6068</v>
      </c>
      <c r="E1153">
        <f t="shared" si="17"/>
        <v>289</v>
      </c>
      <c r="F1153">
        <f>+COUNTIF(ADV!Z:Z,A1153)+COUNTIF(ADV!X:X,A1153)+COUNTIF(ADV!Y:Y,A1153)</f>
        <v>0</v>
      </c>
    </row>
    <row r="1154" spans="1:6" x14ac:dyDescent="0.2">
      <c r="A1154" t="s">
        <v>2133</v>
      </c>
      <c r="B1154">
        <v>1020002</v>
      </c>
      <c r="C1154" t="s">
        <v>6522</v>
      </c>
      <c r="D1154" t="s">
        <v>6068</v>
      </c>
      <c r="E1154">
        <f t="shared" si="17"/>
        <v>217</v>
      </c>
      <c r="F1154">
        <f>+COUNTIF(ADV!Z:Z,A1154)+COUNTIF(ADV!X:X,A1154)+COUNTIF(ADV!Y:Y,A1154)</f>
        <v>0</v>
      </c>
    </row>
    <row r="1155" spans="1:6" x14ac:dyDescent="0.2">
      <c r="A1155" t="s">
        <v>3671</v>
      </c>
      <c r="B1155">
        <v>1030044</v>
      </c>
      <c r="C1155" t="s">
        <v>6523</v>
      </c>
      <c r="D1155" t="s">
        <v>6068</v>
      </c>
      <c r="E1155">
        <f t="shared" ref="E1155:E1201" si="18">+LEN(C1155)</f>
        <v>316</v>
      </c>
      <c r="F1155">
        <f>+COUNTIF(ADV!Z:Z,A1155)+COUNTIF(ADV!X:X,A1155)+COUNTIF(ADV!Y:Y,A1155)</f>
        <v>1</v>
      </c>
    </row>
    <row r="1156" spans="1:6" x14ac:dyDescent="0.2">
      <c r="A1156" t="s">
        <v>3821</v>
      </c>
      <c r="B1156">
        <v>1020029</v>
      </c>
      <c r="C1156" t="s">
        <v>6524</v>
      </c>
      <c r="D1156" t="s">
        <v>6068</v>
      </c>
      <c r="E1156">
        <f t="shared" si="18"/>
        <v>417</v>
      </c>
      <c r="F1156">
        <f>+COUNTIF(ADV!Z:Z,A1156)+COUNTIF(ADV!X:X,A1156)+COUNTIF(ADV!Y:Y,A1156)</f>
        <v>0</v>
      </c>
    </row>
    <row r="1157" spans="1:6" x14ac:dyDescent="0.2">
      <c r="A1157" t="s">
        <v>8309</v>
      </c>
      <c r="B1157">
        <v>1010165</v>
      </c>
      <c r="C1157" t="s">
        <v>8310</v>
      </c>
      <c r="D1157" t="s">
        <v>6068</v>
      </c>
      <c r="E1157">
        <f t="shared" si="18"/>
        <v>141</v>
      </c>
      <c r="F1157">
        <f>+COUNTIF(ADV!Z:Z,A1157)+COUNTIF(ADV!X:X,A1157)+COUNTIF(ADV!Y:Y,A1157)</f>
        <v>0</v>
      </c>
    </row>
    <row r="1158" spans="1:6" x14ac:dyDescent="0.2">
      <c r="A1158" t="s">
        <v>954</v>
      </c>
      <c r="B1158">
        <v>1010165</v>
      </c>
      <c r="C1158" t="s">
        <v>6525</v>
      </c>
      <c r="D1158" t="s">
        <v>6068</v>
      </c>
      <c r="E1158">
        <f t="shared" si="18"/>
        <v>338</v>
      </c>
      <c r="F1158">
        <f>+COUNTIF(ADV!Z:Z,A1158)+COUNTIF(ADV!X:X,A1158)+COUNTIF(ADV!Y:Y,A1158)</f>
        <v>1</v>
      </c>
    </row>
    <row r="1159" spans="1:6" x14ac:dyDescent="0.2">
      <c r="A1159" t="s">
        <v>1987</v>
      </c>
      <c r="B1159">
        <v>1080002</v>
      </c>
      <c r="C1159" t="s">
        <v>8311</v>
      </c>
      <c r="D1159" t="s">
        <v>6068</v>
      </c>
      <c r="E1159">
        <f t="shared" si="18"/>
        <v>34</v>
      </c>
      <c r="F1159">
        <f>+COUNTIF(ADV!Z:Z,A1159)+COUNTIF(ADV!X:X,A1159)+COUNTIF(ADV!Y:Y,A1159)</f>
        <v>0</v>
      </c>
    </row>
    <row r="1160" spans="1:6" x14ac:dyDescent="0.2">
      <c r="A1160" t="s">
        <v>8312</v>
      </c>
      <c r="B1160">
        <v>1080002</v>
      </c>
      <c r="C1160" t="s">
        <v>8313</v>
      </c>
      <c r="D1160" t="s">
        <v>6068</v>
      </c>
      <c r="E1160">
        <f t="shared" si="18"/>
        <v>33</v>
      </c>
      <c r="F1160">
        <f>+COUNTIF(ADV!Z:Z,A1160)+COUNTIF(ADV!X:X,A1160)+COUNTIF(ADV!Y:Y,A1160)</f>
        <v>0</v>
      </c>
    </row>
    <row r="1161" spans="1:6" x14ac:dyDescent="0.2">
      <c r="A1161" t="s">
        <v>8314</v>
      </c>
      <c r="B1161">
        <v>1080002</v>
      </c>
      <c r="C1161" t="s">
        <v>8315</v>
      </c>
      <c r="D1161" t="s">
        <v>6068</v>
      </c>
      <c r="E1161">
        <f t="shared" si="18"/>
        <v>33</v>
      </c>
      <c r="F1161">
        <f>+COUNTIF(ADV!Z:Z,A1161)+COUNTIF(ADV!X:X,A1161)+COUNTIF(ADV!Y:Y,A1161)</f>
        <v>0</v>
      </c>
    </row>
    <row r="1162" spans="1:6" x14ac:dyDescent="0.2">
      <c r="A1162" t="s">
        <v>8316</v>
      </c>
      <c r="B1162">
        <v>1080002</v>
      </c>
      <c r="C1162" t="s">
        <v>8317</v>
      </c>
      <c r="D1162" t="s">
        <v>6068</v>
      </c>
      <c r="E1162">
        <f t="shared" si="18"/>
        <v>33</v>
      </c>
      <c r="F1162">
        <f>+COUNTIF(ADV!Z:Z,A1162)+COUNTIF(ADV!X:X,A1162)+COUNTIF(ADV!Y:Y,A1162)</f>
        <v>0</v>
      </c>
    </row>
    <row r="1163" spans="1:6" x14ac:dyDescent="0.2">
      <c r="A1163" t="s">
        <v>8318</v>
      </c>
      <c r="B1163">
        <v>1080002</v>
      </c>
      <c r="C1163" t="s">
        <v>8319</v>
      </c>
      <c r="D1163" t="s">
        <v>6068</v>
      </c>
      <c r="E1163">
        <f t="shared" si="18"/>
        <v>33</v>
      </c>
      <c r="F1163">
        <f>+COUNTIF(ADV!Z:Z,A1163)+COUNTIF(ADV!X:X,A1163)+COUNTIF(ADV!Y:Y,A1163)</f>
        <v>0</v>
      </c>
    </row>
    <row r="1164" spans="1:6" x14ac:dyDescent="0.2">
      <c r="A1164" t="s">
        <v>8320</v>
      </c>
      <c r="B1164">
        <v>1010118</v>
      </c>
      <c r="C1164" t="s">
        <v>8321</v>
      </c>
      <c r="D1164" t="s">
        <v>6068</v>
      </c>
      <c r="E1164">
        <f t="shared" si="18"/>
        <v>585</v>
      </c>
      <c r="F1164">
        <f>+COUNTIF(ADV!Z:Z,A1164)+COUNTIF(ADV!X:X,A1164)+COUNTIF(ADV!Y:Y,A1164)</f>
        <v>0</v>
      </c>
    </row>
    <row r="1165" spans="1:6" x14ac:dyDescent="0.2">
      <c r="A1165" t="s">
        <v>1719</v>
      </c>
      <c r="B1165">
        <v>1010118</v>
      </c>
      <c r="C1165" t="s">
        <v>6526</v>
      </c>
      <c r="D1165" t="s">
        <v>6068</v>
      </c>
      <c r="E1165">
        <f t="shared" si="18"/>
        <v>632</v>
      </c>
      <c r="F1165">
        <f>+COUNTIF(ADV!Z:Z,A1165)+COUNTIF(ADV!X:X,A1165)+COUNTIF(ADV!Y:Y,A1165)</f>
        <v>1</v>
      </c>
    </row>
    <row r="1166" spans="1:6" x14ac:dyDescent="0.2">
      <c r="A1166" t="s">
        <v>8322</v>
      </c>
      <c r="B1166">
        <v>1010118</v>
      </c>
      <c r="C1166" t="s">
        <v>8323</v>
      </c>
      <c r="D1166" t="s">
        <v>6068</v>
      </c>
      <c r="E1166">
        <f t="shared" si="18"/>
        <v>236</v>
      </c>
      <c r="F1166">
        <f>+COUNTIF(ADV!Z:Z,A1166)+COUNTIF(ADV!X:X,A1166)+COUNTIF(ADV!Y:Y,A1166)</f>
        <v>0</v>
      </c>
    </row>
    <row r="1167" spans="1:6" x14ac:dyDescent="0.2">
      <c r="A1167" t="s">
        <v>1302</v>
      </c>
      <c r="B1167">
        <v>1010118</v>
      </c>
      <c r="C1167" t="s">
        <v>6527</v>
      </c>
      <c r="D1167" t="s">
        <v>6068</v>
      </c>
      <c r="E1167">
        <f t="shared" si="18"/>
        <v>304</v>
      </c>
      <c r="F1167">
        <f>+COUNTIF(ADV!Z:Z,A1167)+COUNTIF(ADV!X:X,A1167)+COUNTIF(ADV!Y:Y,A1167)</f>
        <v>0</v>
      </c>
    </row>
    <row r="1168" spans="1:6" x14ac:dyDescent="0.2">
      <c r="A1168" t="s">
        <v>210</v>
      </c>
      <c r="B1168">
        <v>1020010</v>
      </c>
      <c r="C1168" t="s">
        <v>6528</v>
      </c>
      <c r="D1168" t="s">
        <v>6068</v>
      </c>
      <c r="E1168">
        <f t="shared" si="18"/>
        <v>68</v>
      </c>
      <c r="F1168">
        <f>+COUNTIF(ADV!Z:Z,A1168)+COUNTIF(ADV!X:X,A1168)+COUNTIF(ADV!Y:Y,A1168)</f>
        <v>0</v>
      </c>
    </row>
    <row r="1169" spans="1:6" x14ac:dyDescent="0.2">
      <c r="A1169" t="s">
        <v>1995</v>
      </c>
      <c r="B1169">
        <v>1010160</v>
      </c>
      <c r="C1169" t="s">
        <v>6529</v>
      </c>
      <c r="D1169" t="s">
        <v>6068</v>
      </c>
      <c r="E1169">
        <f t="shared" si="18"/>
        <v>267</v>
      </c>
      <c r="F1169">
        <f>+COUNTIF(ADV!Z:Z,A1169)+COUNTIF(ADV!X:X,A1169)+COUNTIF(ADV!Y:Y,A1169)</f>
        <v>0</v>
      </c>
    </row>
    <row r="1170" spans="1:6" x14ac:dyDescent="0.2">
      <c r="A1170" t="s">
        <v>8324</v>
      </c>
      <c r="B1170">
        <v>1030016</v>
      </c>
      <c r="C1170" t="s">
        <v>7368</v>
      </c>
      <c r="D1170" t="s">
        <v>6068</v>
      </c>
      <c r="E1170">
        <f t="shared" si="18"/>
        <v>48</v>
      </c>
      <c r="F1170">
        <f>+COUNTIF(ADV!Z:Z,A1170)+COUNTIF(ADV!X:X,A1170)+COUNTIF(ADV!Y:Y,A1170)</f>
        <v>0</v>
      </c>
    </row>
    <row r="1171" spans="1:6" x14ac:dyDescent="0.2">
      <c r="A1171" t="s">
        <v>8325</v>
      </c>
      <c r="B1171">
        <v>1030016</v>
      </c>
      <c r="C1171" t="s">
        <v>6197</v>
      </c>
      <c r="D1171" t="s">
        <v>6068</v>
      </c>
      <c r="E1171">
        <f t="shared" si="18"/>
        <v>49</v>
      </c>
      <c r="F1171">
        <f>+COUNTIF(ADV!Z:Z,A1171)+COUNTIF(ADV!X:X,A1171)+COUNTIF(ADV!Y:Y,A1171)</f>
        <v>0</v>
      </c>
    </row>
    <row r="1172" spans="1:6" x14ac:dyDescent="0.2">
      <c r="A1172" t="s">
        <v>4167</v>
      </c>
      <c r="B1172">
        <v>1010048</v>
      </c>
      <c r="C1172" t="s">
        <v>6530</v>
      </c>
      <c r="D1172" t="s">
        <v>6068</v>
      </c>
      <c r="E1172">
        <f t="shared" si="18"/>
        <v>239</v>
      </c>
      <c r="F1172">
        <f>+COUNTIF(ADV!Z:Z,A1172)+COUNTIF(ADV!X:X,A1172)+COUNTIF(ADV!Y:Y,A1172)</f>
        <v>0</v>
      </c>
    </row>
    <row r="1173" spans="1:6" x14ac:dyDescent="0.2">
      <c r="A1173" t="s">
        <v>8326</v>
      </c>
      <c r="B1173">
        <v>1010096</v>
      </c>
      <c r="C1173" t="s">
        <v>8327</v>
      </c>
      <c r="D1173" t="s">
        <v>6068</v>
      </c>
      <c r="E1173">
        <f t="shared" si="18"/>
        <v>457</v>
      </c>
      <c r="F1173">
        <f>+COUNTIF(ADV!Z:Z,A1173)+COUNTIF(ADV!X:X,A1173)+COUNTIF(ADV!Y:Y,A1173)</f>
        <v>0</v>
      </c>
    </row>
    <row r="1174" spans="1:6" x14ac:dyDescent="0.2">
      <c r="A1174" t="s">
        <v>4000</v>
      </c>
      <c r="B1174">
        <v>1010096</v>
      </c>
      <c r="C1174" t="s">
        <v>6531</v>
      </c>
      <c r="D1174" t="s">
        <v>6068</v>
      </c>
      <c r="E1174">
        <f t="shared" si="18"/>
        <v>454</v>
      </c>
      <c r="F1174">
        <f>+COUNTIF(ADV!Z:Z,A1174)+COUNTIF(ADV!X:X,A1174)+COUNTIF(ADV!Y:Y,A1174)</f>
        <v>0</v>
      </c>
    </row>
    <row r="1175" spans="1:6" x14ac:dyDescent="0.2">
      <c r="A1175" t="s">
        <v>150</v>
      </c>
      <c r="B1175">
        <v>1080003</v>
      </c>
      <c r="C1175" t="s">
        <v>8328</v>
      </c>
      <c r="D1175" t="s">
        <v>6068</v>
      </c>
      <c r="E1175">
        <f t="shared" si="18"/>
        <v>33</v>
      </c>
      <c r="F1175">
        <f>+COUNTIF(ADV!Z:Z,A1175)+COUNTIF(ADV!X:X,A1175)+COUNTIF(ADV!Y:Y,A1175)</f>
        <v>0</v>
      </c>
    </row>
    <row r="1176" spans="1:6" x14ac:dyDescent="0.2">
      <c r="A1176" t="s">
        <v>8329</v>
      </c>
      <c r="B1176">
        <v>1080003</v>
      </c>
      <c r="C1176" t="s">
        <v>8330</v>
      </c>
      <c r="D1176" t="s">
        <v>6068</v>
      </c>
      <c r="E1176">
        <f t="shared" si="18"/>
        <v>33</v>
      </c>
      <c r="F1176">
        <f>+COUNTIF(ADV!Z:Z,A1176)+COUNTIF(ADV!X:X,A1176)+COUNTIF(ADV!Y:Y,A1176)</f>
        <v>0</v>
      </c>
    </row>
    <row r="1177" spans="1:6" x14ac:dyDescent="0.2">
      <c r="A1177" t="s">
        <v>972</v>
      </c>
      <c r="B1177">
        <v>1080003</v>
      </c>
      <c r="C1177" t="s">
        <v>6532</v>
      </c>
      <c r="D1177" t="s">
        <v>6068</v>
      </c>
      <c r="E1177">
        <f t="shared" si="18"/>
        <v>33</v>
      </c>
      <c r="F1177">
        <f>+COUNTIF(ADV!Z:Z,A1177)+COUNTIF(ADV!X:X,A1177)+COUNTIF(ADV!Y:Y,A1177)</f>
        <v>0</v>
      </c>
    </row>
    <row r="1178" spans="1:6" x14ac:dyDescent="0.2">
      <c r="A1178" t="s">
        <v>8331</v>
      </c>
      <c r="B1178">
        <v>1080003</v>
      </c>
      <c r="C1178" t="s">
        <v>8332</v>
      </c>
      <c r="D1178" t="s">
        <v>6068</v>
      </c>
      <c r="E1178">
        <f t="shared" si="18"/>
        <v>32</v>
      </c>
      <c r="F1178">
        <f>+COUNTIF(ADV!Z:Z,A1178)+COUNTIF(ADV!X:X,A1178)+COUNTIF(ADV!Y:Y,A1178)</f>
        <v>0</v>
      </c>
    </row>
    <row r="1179" spans="1:6" x14ac:dyDescent="0.2">
      <c r="A1179" t="s">
        <v>8333</v>
      </c>
      <c r="B1179">
        <v>1080003</v>
      </c>
      <c r="C1179" t="s">
        <v>8334</v>
      </c>
      <c r="D1179" t="s">
        <v>6068</v>
      </c>
      <c r="E1179">
        <f t="shared" si="18"/>
        <v>32</v>
      </c>
      <c r="F1179">
        <f>+COUNTIF(ADV!Z:Z,A1179)+COUNTIF(ADV!X:X,A1179)+COUNTIF(ADV!Y:Y,A1179)</f>
        <v>0</v>
      </c>
    </row>
    <row r="1180" spans="1:6" x14ac:dyDescent="0.2">
      <c r="A1180" t="s">
        <v>8335</v>
      </c>
      <c r="B1180">
        <v>1080003</v>
      </c>
      <c r="C1180" t="s">
        <v>8336</v>
      </c>
      <c r="D1180" t="s">
        <v>6068</v>
      </c>
      <c r="E1180">
        <f t="shared" si="18"/>
        <v>32</v>
      </c>
      <c r="F1180">
        <f>+COUNTIF(ADV!Z:Z,A1180)+COUNTIF(ADV!X:X,A1180)+COUNTIF(ADV!Y:Y,A1180)</f>
        <v>0</v>
      </c>
    </row>
    <row r="1181" spans="1:6" x14ac:dyDescent="0.2">
      <c r="A1181" t="s">
        <v>8337</v>
      </c>
      <c r="B1181">
        <v>1080003</v>
      </c>
      <c r="C1181" t="s">
        <v>8338</v>
      </c>
      <c r="D1181" t="s">
        <v>6068</v>
      </c>
      <c r="E1181">
        <f t="shared" si="18"/>
        <v>32</v>
      </c>
      <c r="F1181">
        <f>+COUNTIF(ADV!Z:Z,A1181)+COUNTIF(ADV!X:X,A1181)+COUNTIF(ADV!Y:Y,A1181)</f>
        <v>0</v>
      </c>
    </row>
    <row r="1182" spans="1:6" x14ac:dyDescent="0.2">
      <c r="A1182" t="s">
        <v>8339</v>
      </c>
      <c r="B1182">
        <v>1010198</v>
      </c>
      <c r="C1182" t="s">
        <v>8340</v>
      </c>
      <c r="D1182" t="s">
        <v>6068</v>
      </c>
      <c r="E1182">
        <f t="shared" si="18"/>
        <v>792</v>
      </c>
      <c r="F1182">
        <f>+COUNTIF(ADV!Z:Z,A1182)+COUNTIF(ADV!X:X,A1182)+COUNTIF(ADV!Y:Y,A1182)</f>
        <v>0</v>
      </c>
    </row>
    <row r="1183" spans="1:6" x14ac:dyDescent="0.2">
      <c r="A1183" t="s">
        <v>1952</v>
      </c>
      <c r="B1183">
        <v>1010198</v>
      </c>
      <c r="C1183" t="s">
        <v>6533</v>
      </c>
      <c r="D1183" t="s">
        <v>6068</v>
      </c>
      <c r="E1183">
        <f t="shared" si="18"/>
        <v>954</v>
      </c>
      <c r="F1183">
        <f>+COUNTIF(ADV!Z:Z,A1183)+COUNTIF(ADV!X:X,A1183)+COUNTIF(ADV!Y:Y,A1183)</f>
        <v>1</v>
      </c>
    </row>
    <row r="1184" spans="1:6" x14ac:dyDescent="0.2">
      <c r="A1184" t="s">
        <v>8341</v>
      </c>
      <c r="B1184">
        <v>1010116</v>
      </c>
      <c r="C1184" t="s">
        <v>8342</v>
      </c>
      <c r="D1184" t="s">
        <v>6068</v>
      </c>
      <c r="E1184">
        <f t="shared" si="18"/>
        <v>180</v>
      </c>
      <c r="F1184">
        <f>+COUNTIF(ADV!Z:Z,A1184)+COUNTIF(ADV!X:X,A1184)+COUNTIF(ADV!Y:Y,A1184)</f>
        <v>0</v>
      </c>
    </row>
    <row r="1185" spans="1:6" x14ac:dyDescent="0.2">
      <c r="A1185" t="s">
        <v>2502</v>
      </c>
      <c r="B1185">
        <v>1010116</v>
      </c>
      <c r="C1185" t="s">
        <v>6534</v>
      </c>
      <c r="D1185" t="s">
        <v>6068</v>
      </c>
      <c r="E1185">
        <f t="shared" si="18"/>
        <v>180</v>
      </c>
      <c r="F1185">
        <f>+COUNTIF(ADV!Z:Z,A1185)+COUNTIF(ADV!X:X,A1185)+COUNTIF(ADV!Y:Y,A1185)</f>
        <v>0</v>
      </c>
    </row>
    <row r="1186" spans="1:6" x14ac:dyDescent="0.2">
      <c r="A1186" t="s">
        <v>8343</v>
      </c>
      <c r="B1186">
        <v>1030011</v>
      </c>
      <c r="C1186" t="s">
        <v>7138</v>
      </c>
      <c r="D1186" t="s">
        <v>6068</v>
      </c>
      <c r="E1186">
        <f t="shared" si="18"/>
        <v>48</v>
      </c>
      <c r="F1186">
        <f>+COUNTIF(ADV!Z:Z,A1186)+COUNTIF(ADV!X:X,A1186)+COUNTIF(ADV!Y:Y,A1186)</f>
        <v>0</v>
      </c>
    </row>
    <row r="1187" spans="1:6" x14ac:dyDescent="0.2">
      <c r="A1187" t="s">
        <v>8344</v>
      </c>
      <c r="B1187">
        <v>1030011</v>
      </c>
      <c r="C1187" t="s">
        <v>6130</v>
      </c>
      <c r="D1187" t="s">
        <v>6068</v>
      </c>
      <c r="E1187">
        <f t="shared" si="18"/>
        <v>49</v>
      </c>
      <c r="F1187">
        <f>+COUNTIF(ADV!Z:Z,A1187)+COUNTIF(ADV!X:X,A1187)+COUNTIF(ADV!Y:Y,A1187)</f>
        <v>0</v>
      </c>
    </row>
    <row r="1188" spans="1:6" x14ac:dyDescent="0.2">
      <c r="A1188" t="s">
        <v>797</v>
      </c>
      <c r="B1188">
        <v>1030011</v>
      </c>
      <c r="C1188" t="s">
        <v>6535</v>
      </c>
      <c r="D1188" t="s">
        <v>6068</v>
      </c>
      <c r="E1188">
        <f t="shared" si="18"/>
        <v>304</v>
      </c>
      <c r="F1188">
        <f>+COUNTIF(ADV!Z:Z,A1188)+COUNTIF(ADV!X:X,A1188)+COUNTIF(ADV!Y:Y,A1188)</f>
        <v>0</v>
      </c>
    </row>
    <row r="1189" spans="1:6" x14ac:dyDescent="0.2">
      <c r="A1189" t="s">
        <v>8345</v>
      </c>
      <c r="B1189">
        <v>1010031</v>
      </c>
      <c r="C1189" t="s">
        <v>8346</v>
      </c>
      <c r="D1189" t="s">
        <v>6068</v>
      </c>
      <c r="E1189">
        <f t="shared" si="18"/>
        <v>106</v>
      </c>
      <c r="F1189">
        <f>+COUNTIF(ADV!Z:Z,A1189)+COUNTIF(ADV!X:X,A1189)+COUNTIF(ADV!Y:Y,A1189)</f>
        <v>0</v>
      </c>
    </row>
    <row r="1190" spans="1:6" x14ac:dyDescent="0.2">
      <c r="A1190" t="s">
        <v>355</v>
      </c>
      <c r="B1190">
        <v>1010031</v>
      </c>
      <c r="C1190" t="s">
        <v>6536</v>
      </c>
      <c r="D1190" t="s">
        <v>6068</v>
      </c>
      <c r="E1190">
        <f t="shared" si="18"/>
        <v>106</v>
      </c>
      <c r="F1190">
        <f>+COUNTIF(ADV!Z:Z,A1190)+COUNTIF(ADV!X:X,A1190)+COUNTIF(ADV!Y:Y,A1190)</f>
        <v>0</v>
      </c>
    </row>
    <row r="1191" spans="1:6" x14ac:dyDescent="0.2">
      <c r="A1191" t="s">
        <v>8347</v>
      </c>
      <c r="B1191">
        <v>1010037</v>
      </c>
      <c r="C1191" t="s">
        <v>8348</v>
      </c>
      <c r="D1191" t="s">
        <v>6068</v>
      </c>
      <c r="E1191">
        <f t="shared" si="18"/>
        <v>311</v>
      </c>
      <c r="F1191">
        <f>+COUNTIF(ADV!Z:Z,A1191)+COUNTIF(ADV!X:X,A1191)+COUNTIF(ADV!Y:Y,A1191)</f>
        <v>0</v>
      </c>
    </row>
    <row r="1192" spans="1:6" x14ac:dyDescent="0.2">
      <c r="A1192" t="s">
        <v>3942</v>
      </c>
      <c r="B1192">
        <v>1010037</v>
      </c>
      <c r="C1192" t="s">
        <v>6537</v>
      </c>
      <c r="D1192" t="s">
        <v>6068</v>
      </c>
      <c r="E1192">
        <f t="shared" si="18"/>
        <v>311</v>
      </c>
      <c r="F1192">
        <f>+COUNTIF(ADV!Z:Z,A1192)+COUNTIF(ADV!X:X,A1192)+COUNTIF(ADV!Y:Y,A1192)</f>
        <v>0</v>
      </c>
    </row>
    <row r="1193" spans="1:6" x14ac:dyDescent="0.2">
      <c r="A1193" t="s">
        <v>8349</v>
      </c>
      <c r="B1193">
        <v>1010037</v>
      </c>
      <c r="C1193" t="s">
        <v>8350</v>
      </c>
      <c r="D1193" t="s">
        <v>6068</v>
      </c>
      <c r="E1193">
        <f t="shared" si="18"/>
        <v>400</v>
      </c>
      <c r="F1193">
        <f>+COUNTIF(ADV!Z:Z,A1193)+COUNTIF(ADV!X:X,A1193)+COUNTIF(ADV!Y:Y,A1193)</f>
        <v>0</v>
      </c>
    </row>
    <row r="1194" spans="1:6" x14ac:dyDescent="0.2">
      <c r="A1194" t="s">
        <v>3066</v>
      </c>
      <c r="B1194">
        <v>1010037</v>
      </c>
      <c r="C1194" t="s">
        <v>6538</v>
      </c>
      <c r="D1194" t="s">
        <v>6068</v>
      </c>
      <c r="E1194">
        <f t="shared" si="18"/>
        <v>400</v>
      </c>
      <c r="F1194">
        <f>+COUNTIF(ADV!Z:Z,A1194)+COUNTIF(ADV!X:X,A1194)+COUNTIF(ADV!Y:Y,A1194)</f>
        <v>0</v>
      </c>
    </row>
    <row r="1195" spans="1:6" x14ac:dyDescent="0.2">
      <c r="A1195" t="s">
        <v>8351</v>
      </c>
      <c r="B1195">
        <v>1010053</v>
      </c>
      <c r="C1195" t="s">
        <v>8352</v>
      </c>
      <c r="D1195" t="s">
        <v>6068</v>
      </c>
      <c r="E1195">
        <f t="shared" si="18"/>
        <v>623</v>
      </c>
      <c r="F1195">
        <f>+COUNTIF(ADV!Z:Z,A1195)+COUNTIF(ADV!X:X,A1195)+COUNTIF(ADV!Y:Y,A1195)</f>
        <v>0</v>
      </c>
    </row>
    <row r="1196" spans="1:6" x14ac:dyDescent="0.2">
      <c r="A1196" t="s">
        <v>3536</v>
      </c>
      <c r="B1196">
        <v>1010053</v>
      </c>
      <c r="C1196" t="s">
        <v>6539</v>
      </c>
      <c r="D1196" t="s">
        <v>6068</v>
      </c>
      <c r="E1196">
        <f t="shared" si="18"/>
        <v>624</v>
      </c>
      <c r="F1196">
        <f>+COUNTIF(ADV!Z:Z,A1196)+COUNTIF(ADV!X:X,A1196)+COUNTIF(ADV!Y:Y,A1196)</f>
        <v>0</v>
      </c>
    </row>
    <row r="1197" spans="1:6" x14ac:dyDescent="0.2">
      <c r="A1197" t="s">
        <v>8353</v>
      </c>
      <c r="B1197">
        <v>1010089</v>
      </c>
      <c r="C1197" t="s">
        <v>8354</v>
      </c>
      <c r="D1197" t="s">
        <v>6068</v>
      </c>
      <c r="E1197">
        <f t="shared" si="18"/>
        <v>299</v>
      </c>
      <c r="F1197">
        <f>+COUNTIF(ADV!Z:Z,A1197)+COUNTIF(ADV!X:X,A1197)+COUNTIF(ADV!Y:Y,A1197)</f>
        <v>0</v>
      </c>
    </row>
    <row r="1198" spans="1:6" x14ac:dyDescent="0.2">
      <c r="A1198" t="s">
        <v>4108</v>
      </c>
      <c r="B1198">
        <v>1010089</v>
      </c>
      <c r="C1198" t="s">
        <v>6540</v>
      </c>
      <c r="D1198" t="s">
        <v>6068</v>
      </c>
      <c r="E1198">
        <f t="shared" si="18"/>
        <v>299</v>
      </c>
      <c r="F1198">
        <f>+COUNTIF(ADV!Z:Z,A1198)+COUNTIF(ADV!X:X,A1198)+COUNTIF(ADV!Y:Y,A1198)</f>
        <v>0</v>
      </c>
    </row>
    <row r="1199" spans="1:6" x14ac:dyDescent="0.2">
      <c r="A1199" t="s">
        <v>8355</v>
      </c>
      <c r="B1199">
        <v>1100002</v>
      </c>
      <c r="C1199" t="s">
        <v>8356</v>
      </c>
      <c r="D1199" t="s">
        <v>6068</v>
      </c>
      <c r="E1199">
        <f t="shared" si="18"/>
        <v>41</v>
      </c>
      <c r="F1199">
        <f>+COUNTIF(ADV!Z:Z,A1199)+COUNTIF(ADV!X:X,A1199)+COUNTIF(ADV!Y:Y,A1199)</f>
        <v>0</v>
      </c>
    </row>
    <row r="1200" spans="1:6" x14ac:dyDescent="0.2">
      <c r="A1200" t="s">
        <v>8357</v>
      </c>
      <c r="B1200">
        <v>1100002</v>
      </c>
      <c r="C1200" t="s">
        <v>8358</v>
      </c>
      <c r="D1200" t="s">
        <v>6068</v>
      </c>
      <c r="E1200">
        <f t="shared" si="18"/>
        <v>41</v>
      </c>
      <c r="F1200">
        <f>+COUNTIF(ADV!Z:Z,A1200)+COUNTIF(ADV!X:X,A1200)+COUNTIF(ADV!Y:Y,A1200)</f>
        <v>0</v>
      </c>
    </row>
    <row r="1201" spans="1:7" x14ac:dyDescent="0.2">
      <c r="A1201" t="s">
        <v>8359</v>
      </c>
      <c r="B1201">
        <v>1100002</v>
      </c>
      <c r="C1201" t="s">
        <v>8360</v>
      </c>
      <c r="D1201" t="s">
        <v>6068</v>
      </c>
      <c r="E1201">
        <f t="shared" si="18"/>
        <v>41</v>
      </c>
      <c r="F1201">
        <f>+COUNTIF(ADV!Z:Z,A1201)+COUNTIF(ADV!X:X,A1201)+COUNTIF(ADV!Y:Y,A1201)</f>
        <v>0</v>
      </c>
    </row>
    <row r="1203" spans="1:7" x14ac:dyDescent="0.2">
      <c r="A1203" t="s">
        <v>2622</v>
      </c>
      <c r="B1203">
        <v>1010150</v>
      </c>
      <c r="C1203" t="s">
        <v>6543</v>
      </c>
      <c r="D1203" t="s">
        <v>6064</v>
      </c>
      <c r="E1203">
        <f t="shared" ref="E1203:E1266" si="19">+LEN(C1203)</f>
        <v>152</v>
      </c>
      <c r="F1203">
        <f>+COUNTIF(ADV!Z:Z,A1203)+COUNTIF(ADV!X:X,A1203)+COUNTIF(ADV!Y:Y,A1203)</f>
        <v>1</v>
      </c>
      <c r="G1203" t="s">
        <v>6542</v>
      </c>
    </row>
    <row r="1204" spans="1:7" x14ac:dyDescent="0.2">
      <c r="A1204" t="s">
        <v>1750</v>
      </c>
      <c r="B1204">
        <v>1010050</v>
      </c>
      <c r="C1204" t="s">
        <v>6545</v>
      </c>
      <c r="D1204" t="s">
        <v>6064</v>
      </c>
      <c r="E1204">
        <f t="shared" si="19"/>
        <v>492</v>
      </c>
      <c r="F1204">
        <f>+COUNTIF(ADV!Z:Z,A1204)+COUNTIF(ADV!X:X,A1204)+COUNTIF(ADV!Y:Y,A1204)</f>
        <v>1</v>
      </c>
      <c r="G1204" t="s">
        <v>6544</v>
      </c>
    </row>
    <row r="1205" spans="1:7" x14ac:dyDescent="0.2">
      <c r="A1205" t="s">
        <v>1215</v>
      </c>
      <c r="B1205">
        <v>1010013</v>
      </c>
      <c r="C1205" t="s">
        <v>8361</v>
      </c>
      <c r="D1205" t="s">
        <v>6064</v>
      </c>
      <c r="E1205">
        <f t="shared" si="19"/>
        <v>586</v>
      </c>
      <c r="F1205">
        <f>+COUNTIF(ADV!Z:Z,A1205)+COUNTIF(ADV!X:X,A1205)+COUNTIF(ADV!Y:Y,A1205)</f>
        <v>1</v>
      </c>
      <c r="G1205" t="s">
        <v>6546</v>
      </c>
    </row>
    <row r="1206" spans="1:7" x14ac:dyDescent="0.2">
      <c r="A1206" t="s">
        <v>3552</v>
      </c>
      <c r="B1206">
        <v>1010042</v>
      </c>
      <c r="C1206" t="s">
        <v>6549</v>
      </c>
      <c r="D1206" t="s">
        <v>6064</v>
      </c>
      <c r="E1206">
        <f t="shared" si="19"/>
        <v>615</v>
      </c>
      <c r="F1206">
        <f>+COUNTIF(ADV!Z:Z,A1206)+COUNTIF(ADV!X:X,A1206)+COUNTIF(ADV!Y:Y,A1206)</f>
        <v>1</v>
      </c>
      <c r="G1206" t="s">
        <v>6548</v>
      </c>
    </row>
    <row r="1207" spans="1:7" x14ac:dyDescent="0.2">
      <c r="A1207" t="s">
        <v>212</v>
      </c>
      <c r="B1207">
        <v>1020010</v>
      </c>
      <c r="C1207" t="s">
        <v>6550</v>
      </c>
      <c r="D1207" t="s">
        <v>6064</v>
      </c>
      <c r="E1207">
        <f t="shared" si="19"/>
        <v>192</v>
      </c>
      <c r="F1207">
        <f>+COUNTIF(ADV!Z:Z,A1207)+COUNTIF(ADV!X:X,A1207)+COUNTIF(ADV!Y:Y,A1207)</f>
        <v>1</v>
      </c>
      <c r="G1207" t="s">
        <v>202</v>
      </c>
    </row>
    <row r="1208" spans="1:7" x14ac:dyDescent="0.2">
      <c r="A1208" t="s">
        <v>3844</v>
      </c>
      <c r="B1208">
        <v>1010021</v>
      </c>
      <c r="C1208" t="s">
        <v>6551</v>
      </c>
      <c r="D1208" t="s">
        <v>6064</v>
      </c>
      <c r="E1208">
        <f t="shared" si="19"/>
        <v>286</v>
      </c>
      <c r="F1208">
        <f>+COUNTIF(ADV!Z:Z,A1208)+COUNTIF(ADV!X:X,A1208)+COUNTIF(ADV!Y:Y,A1208)</f>
        <v>1</v>
      </c>
      <c r="G1208" t="s">
        <v>3836</v>
      </c>
    </row>
    <row r="1209" spans="1:7" x14ac:dyDescent="0.2">
      <c r="A1209" t="s">
        <v>568</v>
      </c>
      <c r="B1209">
        <v>1020014</v>
      </c>
      <c r="C1209" t="s">
        <v>6553</v>
      </c>
      <c r="D1209" t="s">
        <v>6064</v>
      </c>
      <c r="E1209">
        <f t="shared" si="19"/>
        <v>35</v>
      </c>
      <c r="F1209">
        <f>+COUNTIF(ADV!Z:Z,A1209)+COUNTIF(ADV!X:X,A1209)+COUNTIF(ADV!Y:Y,A1209)</f>
        <v>2</v>
      </c>
      <c r="G1209" t="s">
        <v>6552</v>
      </c>
    </row>
    <row r="1210" spans="1:7" x14ac:dyDescent="0.2">
      <c r="A1210" t="s">
        <v>1864</v>
      </c>
      <c r="B1210">
        <v>1010007</v>
      </c>
      <c r="C1210" t="s">
        <v>6555</v>
      </c>
      <c r="D1210" t="s">
        <v>6064</v>
      </c>
      <c r="E1210">
        <f t="shared" si="19"/>
        <v>428</v>
      </c>
      <c r="F1210">
        <f>+COUNTIF(ADV!Z:Z,A1210)+COUNTIF(ADV!X:X,A1210)+COUNTIF(ADV!Y:Y,A1210)</f>
        <v>1</v>
      </c>
      <c r="G1210" t="s">
        <v>6554</v>
      </c>
    </row>
    <row r="1211" spans="1:7" x14ac:dyDescent="0.2">
      <c r="A1211" t="s">
        <v>2021</v>
      </c>
      <c r="B1211">
        <v>1020004</v>
      </c>
      <c r="C1211" t="s">
        <v>6556</v>
      </c>
      <c r="D1211" t="s">
        <v>6064</v>
      </c>
      <c r="E1211">
        <f t="shared" si="19"/>
        <v>199</v>
      </c>
      <c r="F1211">
        <f>+COUNTIF(ADV!Z:Z,A1211)+COUNTIF(ADV!X:X,A1211)+COUNTIF(ADV!Y:Y,A1211)</f>
        <v>1</v>
      </c>
      <c r="G1211" t="s">
        <v>2012</v>
      </c>
    </row>
    <row r="1212" spans="1:7" x14ac:dyDescent="0.2">
      <c r="A1212" t="s">
        <v>3432</v>
      </c>
      <c r="B1212">
        <v>1020004</v>
      </c>
      <c r="C1212" t="s">
        <v>6557</v>
      </c>
      <c r="D1212" t="s">
        <v>6064</v>
      </c>
      <c r="E1212">
        <f t="shared" si="19"/>
        <v>223</v>
      </c>
      <c r="F1212">
        <f>+COUNTIF(ADV!Z:Z,A1212)+COUNTIF(ADV!X:X,A1212)+COUNTIF(ADV!Y:Y,A1212)</f>
        <v>1</v>
      </c>
      <c r="G1212" t="s">
        <v>3424</v>
      </c>
    </row>
    <row r="1213" spans="1:7" x14ac:dyDescent="0.2">
      <c r="A1213" t="s">
        <v>2408</v>
      </c>
      <c r="B1213">
        <v>1010175</v>
      </c>
      <c r="C1213" t="s">
        <v>6559</v>
      </c>
      <c r="D1213" t="s">
        <v>6064</v>
      </c>
      <c r="E1213">
        <f t="shared" si="19"/>
        <v>537</v>
      </c>
      <c r="F1213">
        <f>+COUNTIF(ADV!Z:Z,A1213)+COUNTIF(ADV!X:X,A1213)+COUNTIF(ADV!Y:Y,A1213)</f>
        <v>1</v>
      </c>
      <c r="G1213" t="s">
        <v>6558</v>
      </c>
    </row>
    <row r="1214" spans="1:7" x14ac:dyDescent="0.2">
      <c r="A1214" t="s">
        <v>1350</v>
      </c>
      <c r="B1214">
        <v>1010039</v>
      </c>
      <c r="C1214" t="s">
        <v>6561</v>
      </c>
      <c r="D1214" t="s">
        <v>6064</v>
      </c>
      <c r="E1214">
        <f t="shared" si="19"/>
        <v>99</v>
      </c>
      <c r="F1214">
        <f>+COUNTIF(ADV!Z:Z,A1214)+COUNTIF(ADV!X:X,A1214)+COUNTIF(ADV!Y:Y,A1214)</f>
        <v>1</v>
      </c>
      <c r="G1214" t="s">
        <v>6560</v>
      </c>
    </row>
    <row r="1215" spans="1:7" x14ac:dyDescent="0.2">
      <c r="A1215" t="s">
        <v>1231</v>
      </c>
      <c r="B1215">
        <v>1130001</v>
      </c>
      <c r="C1215" t="s">
        <v>6563</v>
      </c>
      <c r="D1215" t="s">
        <v>6064</v>
      </c>
      <c r="E1215">
        <f t="shared" si="19"/>
        <v>44</v>
      </c>
      <c r="F1215">
        <f>+COUNTIF(ADV!Z:Z,A1215)+COUNTIF(ADV!X:X,A1215)+COUNTIF(ADV!Y:Y,A1215)</f>
        <v>5</v>
      </c>
      <c r="G1215" t="s">
        <v>6562</v>
      </c>
    </row>
    <row r="1216" spans="1:7" x14ac:dyDescent="0.2">
      <c r="A1216" t="s">
        <v>1971</v>
      </c>
      <c r="B1216">
        <v>1010124</v>
      </c>
      <c r="C1216" t="s">
        <v>6565</v>
      </c>
      <c r="D1216" t="s">
        <v>6064</v>
      </c>
      <c r="E1216">
        <f t="shared" si="19"/>
        <v>572</v>
      </c>
      <c r="F1216">
        <f>+COUNTIF(ADV!Z:Z,A1216)+COUNTIF(ADV!X:X,A1216)+COUNTIF(ADV!Y:Y,A1216)</f>
        <v>1</v>
      </c>
      <c r="G1216" t="s">
        <v>6564</v>
      </c>
    </row>
    <row r="1217" spans="1:7" x14ac:dyDescent="0.2">
      <c r="A1217" t="s">
        <v>3960</v>
      </c>
      <c r="B1217">
        <v>1020002</v>
      </c>
      <c r="C1217" t="s">
        <v>6566</v>
      </c>
      <c r="D1217" t="s">
        <v>6064</v>
      </c>
      <c r="E1217">
        <f t="shared" si="19"/>
        <v>136</v>
      </c>
      <c r="F1217">
        <f>+COUNTIF(ADV!Z:Z,A1217)+COUNTIF(ADV!X:X,A1217)+COUNTIF(ADV!Y:Y,A1217)</f>
        <v>1</v>
      </c>
      <c r="G1217" t="s">
        <v>3952</v>
      </c>
    </row>
    <row r="1218" spans="1:7" x14ac:dyDescent="0.2">
      <c r="A1218" t="s">
        <v>1565</v>
      </c>
      <c r="B1218">
        <v>1070013</v>
      </c>
      <c r="C1218" t="s">
        <v>8362</v>
      </c>
      <c r="D1218" t="s">
        <v>6064</v>
      </c>
      <c r="E1218">
        <f t="shared" si="19"/>
        <v>365</v>
      </c>
      <c r="F1218">
        <f>+COUNTIF(ADV!Z:Z,A1218)+COUNTIF(ADV!X:X,A1218)+COUNTIF(ADV!Y:Y,A1218)</f>
        <v>1</v>
      </c>
      <c r="G1218" t="s">
        <v>1557</v>
      </c>
    </row>
    <row r="1219" spans="1:7" x14ac:dyDescent="0.2">
      <c r="A1219" t="s">
        <v>1232</v>
      </c>
      <c r="B1219">
        <v>1010011</v>
      </c>
      <c r="C1219" t="s">
        <v>6568</v>
      </c>
      <c r="D1219" t="s">
        <v>6064</v>
      </c>
      <c r="E1219">
        <f t="shared" si="19"/>
        <v>357</v>
      </c>
      <c r="F1219">
        <f>+COUNTIF(ADV!Z:Z,A1219)+COUNTIF(ADV!X:X,A1219)+COUNTIF(ADV!Y:Y,A1219)</f>
        <v>1</v>
      </c>
      <c r="G1219" t="s">
        <v>1223</v>
      </c>
    </row>
    <row r="1220" spans="1:7" x14ac:dyDescent="0.2">
      <c r="A1220" t="s">
        <v>1936</v>
      </c>
      <c r="B1220">
        <v>1020011</v>
      </c>
      <c r="C1220" t="s">
        <v>6570</v>
      </c>
      <c r="D1220" t="s">
        <v>6064</v>
      </c>
      <c r="E1220">
        <f t="shared" si="19"/>
        <v>455</v>
      </c>
      <c r="F1220">
        <f>+COUNTIF(ADV!Z:Z,A1220)+COUNTIF(ADV!X:X,A1220)+COUNTIF(ADV!Y:Y,A1220)</f>
        <v>1</v>
      </c>
      <c r="G1220" t="s">
        <v>6569</v>
      </c>
    </row>
    <row r="1221" spans="1:7" x14ac:dyDescent="0.2">
      <c r="A1221" t="s">
        <v>3507</v>
      </c>
      <c r="B1221">
        <v>1010103</v>
      </c>
      <c r="C1221" t="s">
        <v>6572</v>
      </c>
      <c r="D1221" t="s">
        <v>6064</v>
      </c>
      <c r="E1221">
        <f t="shared" si="19"/>
        <v>434</v>
      </c>
      <c r="F1221">
        <f>+COUNTIF(ADV!Z:Z,A1221)+COUNTIF(ADV!X:X,A1221)+COUNTIF(ADV!Y:Y,A1221)</f>
        <v>1</v>
      </c>
      <c r="G1221" t="s">
        <v>6571</v>
      </c>
    </row>
    <row r="1222" spans="1:7" x14ac:dyDescent="0.2">
      <c r="A1222" t="s">
        <v>1154</v>
      </c>
      <c r="B1222">
        <v>1020002</v>
      </c>
      <c r="C1222" t="s">
        <v>6574</v>
      </c>
      <c r="D1222" t="s">
        <v>6064</v>
      </c>
      <c r="E1222">
        <f t="shared" si="19"/>
        <v>329</v>
      </c>
      <c r="F1222">
        <f>+COUNTIF(ADV!Z:Z,A1222)+COUNTIF(ADV!X:X,A1222)+COUNTIF(ADV!Y:Y,A1222)</f>
        <v>1</v>
      </c>
      <c r="G1222" t="s">
        <v>6573</v>
      </c>
    </row>
    <row r="1223" spans="1:7" x14ac:dyDescent="0.2">
      <c r="A1223" t="s">
        <v>1651</v>
      </c>
      <c r="B1223">
        <v>1020035</v>
      </c>
      <c r="C1223" t="s">
        <v>6576</v>
      </c>
      <c r="D1223" t="s">
        <v>6064</v>
      </c>
      <c r="E1223">
        <f t="shared" si="19"/>
        <v>514</v>
      </c>
      <c r="F1223">
        <f>+COUNTIF(ADV!Z:Z,A1223)+COUNTIF(ADV!X:X,A1223)+COUNTIF(ADV!Y:Y,A1223)</f>
        <v>1</v>
      </c>
      <c r="G1223" t="s">
        <v>6575</v>
      </c>
    </row>
    <row r="1224" spans="1:7" x14ac:dyDescent="0.2">
      <c r="A1224" t="s">
        <v>3008</v>
      </c>
      <c r="B1224">
        <v>1010012</v>
      </c>
      <c r="C1224" t="s">
        <v>6577</v>
      </c>
      <c r="D1224" t="s">
        <v>6064</v>
      </c>
      <c r="E1224">
        <f t="shared" si="19"/>
        <v>469</v>
      </c>
      <c r="F1224">
        <f>+COUNTIF(ADV!Z:Z,A1224)+COUNTIF(ADV!X:X,A1224)+COUNTIF(ADV!Y:Y,A1224)</f>
        <v>1</v>
      </c>
      <c r="G1224" t="s">
        <v>2999</v>
      </c>
    </row>
    <row r="1225" spans="1:7" x14ac:dyDescent="0.2">
      <c r="A1225" t="s">
        <v>1305</v>
      </c>
      <c r="B1225">
        <v>1020022</v>
      </c>
      <c r="C1225" t="s">
        <v>6579</v>
      </c>
      <c r="D1225" t="s">
        <v>6064</v>
      </c>
      <c r="E1225">
        <f t="shared" si="19"/>
        <v>531</v>
      </c>
      <c r="F1225">
        <f>+COUNTIF(ADV!Z:Z,A1225)+COUNTIF(ADV!X:X,A1225)+COUNTIF(ADV!Y:Y,A1225)</f>
        <v>1</v>
      </c>
      <c r="G1225" t="s">
        <v>6578</v>
      </c>
    </row>
    <row r="1226" spans="1:7" x14ac:dyDescent="0.2">
      <c r="A1226" t="s">
        <v>2477</v>
      </c>
      <c r="B1226">
        <v>1010012</v>
      </c>
      <c r="C1226" t="s">
        <v>6580</v>
      </c>
      <c r="D1226" t="s">
        <v>6064</v>
      </c>
      <c r="E1226">
        <f t="shared" si="19"/>
        <v>361</v>
      </c>
      <c r="F1226">
        <f>+COUNTIF(ADV!Z:Z,A1226)+COUNTIF(ADV!X:X,A1226)+COUNTIF(ADV!Y:Y,A1226)</f>
        <v>1</v>
      </c>
      <c r="G1226" t="s">
        <v>2468</v>
      </c>
    </row>
    <row r="1227" spans="1:7" x14ac:dyDescent="0.2">
      <c r="A1227" t="s">
        <v>265</v>
      </c>
      <c r="B1227">
        <v>1020002</v>
      </c>
      <c r="C1227" t="s">
        <v>6582</v>
      </c>
      <c r="D1227" t="s">
        <v>6064</v>
      </c>
      <c r="E1227">
        <f t="shared" si="19"/>
        <v>187</v>
      </c>
      <c r="F1227">
        <f>+COUNTIF(ADV!Z:Z,A1227)+COUNTIF(ADV!X:X,A1227)+COUNTIF(ADV!Y:Y,A1227)</f>
        <v>1</v>
      </c>
      <c r="G1227" t="s">
        <v>6581</v>
      </c>
    </row>
    <row r="1228" spans="1:7" x14ac:dyDescent="0.2">
      <c r="A1228" t="s">
        <v>749</v>
      </c>
      <c r="B1228">
        <v>1070002</v>
      </c>
      <c r="C1228" t="s">
        <v>6583</v>
      </c>
      <c r="D1228" t="s">
        <v>6064</v>
      </c>
      <c r="E1228">
        <f t="shared" si="19"/>
        <v>206</v>
      </c>
      <c r="F1228">
        <f>+COUNTIF(ADV!Z:Z,A1228)+COUNTIF(ADV!X:X,A1228)+COUNTIF(ADV!Y:Y,A1228)</f>
        <v>1</v>
      </c>
      <c r="G1228" t="s">
        <v>741</v>
      </c>
    </row>
    <row r="1229" spans="1:7" x14ac:dyDescent="0.2">
      <c r="A1229" t="s">
        <v>1497</v>
      </c>
      <c r="B1229">
        <v>1070013</v>
      </c>
      <c r="C1229" t="s">
        <v>6584</v>
      </c>
      <c r="D1229" t="s">
        <v>6064</v>
      </c>
      <c r="E1229">
        <f t="shared" si="19"/>
        <v>256</v>
      </c>
      <c r="F1229">
        <f>+COUNTIF(ADV!Z:Z,A1229)+COUNTIF(ADV!X:X,A1229)+COUNTIF(ADV!Y:Y,A1229)</f>
        <v>1</v>
      </c>
      <c r="G1229" t="s">
        <v>1489</v>
      </c>
    </row>
    <row r="1230" spans="1:7" x14ac:dyDescent="0.2">
      <c r="A1230" t="s">
        <v>2277</v>
      </c>
      <c r="B1230">
        <v>1010001</v>
      </c>
      <c r="C1230" t="s">
        <v>8363</v>
      </c>
      <c r="D1230" t="s">
        <v>6064</v>
      </c>
      <c r="E1230">
        <f t="shared" si="19"/>
        <v>248</v>
      </c>
      <c r="F1230">
        <f>+COUNTIF(ADV!Z:Z,A1230)+COUNTIF(ADV!X:X,A1230)+COUNTIF(ADV!Y:Y,A1230)</f>
        <v>1</v>
      </c>
      <c r="G1230" t="s">
        <v>2268</v>
      </c>
    </row>
    <row r="1231" spans="1:7" x14ac:dyDescent="0.2">
      <c r="A1231" t="s">
        <v>2112</v>
      </c>
      <c r="B1231">
        <v>1010084</v>
      </c>
      <c r="C1231" t="s">
        <v>6587</v>
      </c>
      <c r="D1231" t="s">
        <v>6064</v>
      </c>
      <c r="E1231">
        <f t="shared" si="19"/>
        <v>149</v>
      </c>
      <c r="F1231">
        <f>+COUNTIF(ADV!Z:Z,A1231)+COUNTIF(ADV!X:X,A1231)+COUNTIF(ADV!Y:Y,A1231)</f>
        <v>1</v>
      </c>
      <c r="G1231" t="s">
        <v>6586</v>
      </c>
    </row>
    <row r="1232" spans="1:7" x14ac:dyDescent="0.2">
      <c r="A1232" t="s">
        <v>501</v>
      </c>
      <c r="B1232">
        <v>1010025</v>
      </c>
      <c r="C1232" t="s">
        <v>6589</v>
      </c>
      <c r="D1232" t="s">
        <v>6064</v>
      </c>
      <c r="E1232">
        <f t="shared" si="19"/>
        <v>561</v>
      </c>
      <c r="F1232">
        <f>+COUNTIF(ADV!Z:Z,A1232)+COUNTIF(ADV!X:X,A1232)+COUNTIF(ADV!Y:Y,A1232)</f>
        <v>1</v>
      </c>
      <c r="G1232" t="s">
        <v>6588</v>
      </c>
    </row>
    <row r="1233" spans="1:7" x14ac:dyDescent="0.2">
      <c r="A1233" t="s">
        <v>3725</v>
      </c>
      <c r="B1233">
        <v>1010156</v>
      </c>
      <c r="C1233" t="s">
        <v>6124</v>
      </c>
      <c r="D1233" t="s">
        <v>6064</v>
      </c>
      <c r="E1233">
        <f t="shared" si="19"/>
        <v>621</v>
      </c>
      <c r="F1233">
        <f>+COUNTIF(ADV!Z:Z,A1233)+COUNTIF(ADV!X:X,A1233)+COUNTIF(ADV!Y:Y,A1233)</f>
        <v>1</v>
      </c>
      <c r="G1233" t="s">
        <v>6590</v>
      </c>
    </row>
    <row r="1234" spans="1:7" x14ac:dyDescent="0.2">
      <c r="A1234" t="s">
        <v>1092</v>
      </c>
      <c r="B1234">
        <v>1010085</v>
      </c>
      <c r="C1234" t="s">
        <v>6592</v>
      </c>
      <c r="D1234" t="s">
        <v>6064</v>
      </c>
      <c r="E1234">
        <f t="shared" si="19"/>
        <v>362</v>
      </c>
      <c r="F1234">
        <f>+COUNTIF(ADV!Z:Z,A1234)+COUNTIF(ADV!X:X,A1234)+COUNTIF(ADV!Y:Y,A1234)</f>
        <v>1</v>
      </c>
      <c r="G1234" t="s">
        <v>6591</v>
      </c>
    </row>
    <row r="1235" spans="1:7" x14ac:dyDescent="0.2">
      <c r="A1235" t="s">
        <v>193</v>
      </c>
      <c r="B1235">
        <v>1010001</v>
      </c>
      <c r="C1235" t="s">
        <v>6594</v>
      </c>
      <c r="D1235" t="s">
        <v>6064</v>
      </c>
      <c r="E1235">
        <f t="shared" si="19"/>
        <v>462</v>
      </c>
      <c r="F1235">
        <f>+COUNTIF(ADV!Z:Z,A1235)+COUNTIF(ADV!X:X,A1235)+COUNTIF(ADV!Y:Y,A1235)</f>
        <v>1</v>
      </c>
      <c r="G1235" t="s">
        <v>6593</v>
      </c>
    </row>
    <row r="1236" spans="1:7" x14ac:dyDescent="0.2">
      <c r="A1236" t="s">
        <v>471</v>
      </c>
      <c r="B1236">
        <v>1010058</v>
      </c>
      <c r="C1236" t="s">
        <v>6596</v>
      </c>
      <c r="D1236" t="s">
        <v>6064</v>
      </c>
      <c r="E1236">
        <f t="shared" si="19"/>
        <v>527</v>
      </c>
      <c r="F1236">
        <f>+COUNTIF(ADV!Z:Z,A1236)+COUNTIF(ADV!X:X,A1236)+COUNTIF(ADV!Y:Y,A1236)</f>
        <v>2</v>
      </c>
      <c r="G1236" t="s">
        <v>6595</v>
      </c>
    </row>
    <row r="1237" spans="1:7" x14ac:dyDescent="0.2">
      <c r="A1237" t="s">
        <v>879</v>
      </c>
      <c r="B1237">
        <v>1020011</v>
      </c>
      <c r="C1237" t="s">
        <v>6598</v>
      </c>
      <c r="D1237" t="s">
        <v>6064</v>
      </c>
      <c r="E1237">
        <f t="shared" si="19"/>
        <v>195</v>
      </c>
      <c r="F1237">
        <f>+COUNTIF(ADV!Z:Z,A1237)+COUNTIF(ADV!X:X,A1237)+COUNTIF(ADV!Y:Y,A1237)</f>
        <v>1</v>
      </c>
      <c r="G1237" t="s">
        <v>6597</v>
      </c>
    </row>
    <row r="1238" spans="1:7" x14ac:dyDescent="0.2">
      <c r="A1238" t="s">
        <v>3757</v>
      </c>
      <c r="B1238">
        <v>1020010</v>
      </c>
      <c r="C1238" t="s">
        <v>6600</v>
      </c>
      <c r="D1238" t="s">
        <v>6064</v>
      </c>
      <c r="E1238">
        <f t="shared" si="19"/>
        <v>302</v>
      </c>
      <c r="F1238">
        <f>+COUNTIF(ADV!Z:Z,A1238)+COUNTIF(ADV!X:X,A1238)+COUNTIF(ADV!Y:Y,A1238)</f>
        <v>1</v>
      </c>
      <c r="G1238" t="s">
        <v>6599</v>
      </c>
    </row>
    <row r="1239" spans="1:7" x14ac:dyDescent="0.2">
      <c r="A1239" t="s">
        <v>249</v>
      </c>
      <c r="B1239">
        <v>1020010</v>
      </c>
      <c r="C1239" t="s">
        <v>6602</v>
      </c>
      <c r="D1239" t="s">
        <v>6064</v>
      </c>
      <c r="E1239">
        <f t="shared" si="19"/>
        <v>31</v>
      </c>
      <c r="F1239">
        <f>+COUNTIF(ADV!Z:Z,A1239)+COUNTIF(ADV!X:X,A1239)+COUNTIF(ADV!Y:Y,A1239)</f>
        <v>11</v>
      </c>
      <c r="G1239" t="s">
        <v>6601</v>
      </c>
    </row>
    <row r="1240" spans="1:7" x14ac:dyDescent="0.2">
      <c r="A1240" t="s">
        <v>1762</v>
      </c>
      <c r="B1240">
        <v>1020002</v>
      </c>
      <c r="C1240" t="s">
        <v>6603</v>
      </c>
      <c r="D1240" t="s">
        <v>6064</v>
      </c>
      <c r="E1240">
        <f t="shared" si="19"/>
        <v>186</v>
      </c>
      <c r="F1240">
        <f>+COUNTIF(ADV!Z:Z,A1240)+COUNTIF(ADV!X:X,A1240)+COUNTIF(ADV!Y:Y,A1240)</f>
        <v>1</v>
      </c>
      <c r="G1240" t="s">
        <v>1756</v>
      </c>
    </row>
    <row r="1241" spans="1:7" x14ac:dyDescent="0.2">
      <c r="A1241" t="s">
        <v>4154</v>
      </c>
      <c r="B1241">
        <v>1020013</v>
      </c>
      <c r="C1241" t="s">
        <v>6605</v>
      </c>
      <c r="D1241" t="s">
        <v>6064</v>
      </c>
      <c r="E1241">
        <f t="shared" si="19"/>
        <v>215</v>
      </c>
      <c r="F1241">
        <f>+COUNTIF(ADV!Z:Z,A1241)+COUNTIF(ADV!X:X,A1241)+COUNTIF(ADV!Y:Y,A1241)</f>
        <v>1</v>
      </c>
      <c r="G1241" t="s">
        <v>6604</v>
      </c>
    </row>
    <row r="1242" spans="1:7" x14ac:dyDescent="0.2">
      <c r="A1242" t="s">
        <v>653</v>
      </c>
      <c r="B1242">
        <v>1010093</v>
      </c>
      <c r="C1242" t="s">
        <v>8364</v>
      </c>
      <c r="D1242" t="s">
        <v>6064</v>
      </c>
      <c r="E1242">
        <f t="shared" si="19"/>
        <v>485</v>
      </c>
      <c r="F1242">
        <f>+COUNTIF(ADV!Z:Z,A1242)+COUNTIF(ADV!X:X,A1242)+COUNTIF(ADV!Y:Y,A1242)</f>
        <v>1</v>
      </c>
      <c r="G1242" t="s">
        <v>6606</v>
      </c>
    </row>
    <row r="1243" spans="1:7" x14ac:dyDescent="0.2">
      <c r="A1243" t="s">
        <v>4279</v>
      </c>
      <c r="B1243">
        <v>1010155</v>
      </c>
      <c r="C1243" t="s">
        <v>6609</v>
      </c>
      <c r="D1243" t="s">
        <v>6064</v>
      </c>
      <c r="E1243">
        <f t="shared" si="19"/>
        <v>775</v>
      </c>
      <c r="F1243">
        <f>+COUNTIF(ADV!Z:Z,A1243)+COUNTIF(ADV!X:X,A1243)+COUNTIF(ADV!Y:Y,A1243)</f>
        <v>1</v>
      </c>
      <c r="G1243" t="s">
        <v>6608</v>
      </c>
    </row>
    <row r="1244" spans="1:7" x14ac:dyDescent="0.2">
      <c r="A1244" t="s">
        <v>1620</v>
      </c>
      <c r="B1244">
        <v>1020003</v>
      </c>
      <c r="C1244" t="s">
        <v>6611</v>
      </c>
      <c r="D1244" t="s">
        <v>6064</v>
      </c>
      <c r="E1244">
        <f t="shared" si="19"/>
        <v>222</v>
      </c>
      <c r="F1244">
        <f>+COUNTIF(ADV!Z:Z,A1244)+COUNTIF(ADV!X:X,A1244)+COUNTIF(ADV!Y:Y,A1244)</f>
        <v>1</v>
      </c>
      <c r="G1244" t="s">
        <v>6610</v>
      </c>
    </row>
    <row r="1245" spans="1:7" x14ac:dyDescent="0.2">
      <c r="A1245" t="s">
        <v>3648</v>
      </c>
      <c r="B1245">
        <v>1010064</v>
      </c>
      <c r="C1245" t="s">
        <v>6613</v>
      </c>
      <c r="D1245" t="s">
        <v>6064</v>
      </c>
      <c r="E1245">
        <f t="shared" si="19"/>
        <v>418</v>
      </c>
      <c r="F1245">
        <f>+COUNTIF(ADV!Z:Z,A1245)+COUNTIF(ADV!X:X,A1245)+COUNTIF(ADV!Y:Y,A1245)</f>
        <v>1</v>
      </c>
      <c r="G1245" t="s">
        <v>6612</v>
      </c>
    </row>
    <row r="1246" spans="1:7" x14ac:dyDescent="0.2">
      <c r="A1246" t="s">
        <v>4383</v>
      </c>
      <c r="B1246">
        <v>1010049</v>
      </c>
      <c r="C1246" t="s">
        <v>6617</v>
      </c>
      <c r="D1246" t="s">
        <v>6064</v>
      </c>
      <c r="E1246">
        <f t="shared" si="19"/>
        <v>569</v>
      </c>
      <c r="F1246">
        <f>+COUNTIF(ADV!Z:Z,A1246)+COUNTIF(ADV!X:X,A1246)+COUNTIF(ADV!Y:Y,A1246)</f>
        <v>1</v>
      </c>
      <c r="G1246" t="s">
        <v>6616</v>
      </c>
    </row>
    <row r="1247" spans="1:7" x14ac:dyDescent="0.2">
      <c r="A1247" t="s">
        <v>1437</v>
      </c>
      <c r="B1247">
        <v>1010026</v>
      </c>
      <c r="C1247" t="s">
        <v>6619</v>
      </c>
      <c r="D1247" t="s">
        <v>6064</v>
      </c>
      <c r="E1247">
        <f t="shared" si="19"/>
        <v>321</v>
      </c>
      <c r="F1247">
        <f>+COUNTIF(ADV!Z:Z,A1247)+COUNTIF(ADV!X:X,A1247)+COUNTIF(ADV!Y:Y,A1247)</f>
        <v>1</v>
      </c>
      <c r="G1247" t="s">
        <v>6618</v>
      </c>
    </row>
    <row r="1248" spans="1:7" x14ac:dyDescent="0.2">
      <c r="A1248" t="s">
        <v>2799</v>
      </c>
      <c r="B1248">
        <v>1010007</v>
      </c>
      <c r="C1248" t="s">
        <v>6621</v>
      </c>
      <c r="D1248" t="s">
        <v>6064</v>
      </c>
      <c r="E1248">
        <f t="shared" si="19"/>
        <v>171</v>
      </c>
      <c r="F1248">
        <f>+COUNTIF(ADV!Z:Z,A1248)+COUNTIF(ADV!X:X,A1248)+COUNTIF(ADV!Y:Y,A1248)</f>
        <v>1</v>
      </c>
      <c r="G1248" t="s">
        <v>6620</v>
      </c>
    </row>
    <row r="1249" spans="1:7" x14ac:dyDescent="0.2">
      <c r="A1249" t="s">
        <v>1366</v>
      </c>
      <c r="B1249">
        <v>1010011</v>
      </c>
      <c r="C1249" t="s">
        <v>6623</v>
      </c>
      <c r="D1249" t="s">
        <v>6064</v>
      </c>
      <c r="E1249">
        <f t="shared" si="19"/>
        <v>262</v>
      </c>
      <c r="F1249">
        <f>+COUNTIF(ADV!Z:Z,A1249)+COUNTIF(ADV!X:X,A1249)+COUNTIF(ADV!Y:Y,A1249)</f>
        <v>5</v>
      </c>
      <c r="G1249" t="s">
        <v>6622</v>
      </c>
    </row>
    <row r="1250" spans="1:7" x14ac:dyDescent="0.2">
      <c r="A1250" t="s">
        <v>371</v>
      </c>
      <c r="B1250">
        <v>1010011</v>
      </c>
      <c r="C1250" t="s">
        <v>6625</v>
      </c>
      <c r="D1250" t="s">
        <v>6064</v>
      </c>
      <c r="E1250">
        <f t="shared" si="19"/>
        <v>247</v>
      </c>
      <c r="F1250">
        <f>+COUNTIF(ADV!Z:Z,A1250)+COUNTIF(ADV!X:X,A1250)+COUNTIF(ADV!Y:Y,A1250)</f>
        <v>3</v>
      </c>
      <c r="G1250" t="s">
        <v>6624</v>
      </c>
    </row>
    <row r="1251" spans="1:7" x14ac:dyDescent="0.2">
      <c r="A1251" t="s">
        <v>301</v>
      </c>
      <c r="B1251">
        <v>1020002</v>
      </c>
      <c r="C1251" t="s">
        <v>6627</v>
      </c>
      <c r="D1251" t="s">
        <v>6064</v>
      </c>
      <c r="E1251">
        <f t="shared" si="19"/>
        <v>159</v>
      </c>
      <c r="F1251">
        <f>+COUNTIF(ADV!Z:Z,A1251)+COUNTIF(ADV!X:X,A1251)+COUNTIF(ADV!Y:Y,A1251)</f>
        <v>6</v>
      </c>
      <c r="G1251" t="s">
        <v>6626</v>
      </c>
    </row>
    <row r="1252" spans="1:7" x14ac:dyDescent="0.2">
      <c r="A1252" t="s">
        <v>586</v>
      </c>
      <c r="B1252">
        <v>1020002</v>
      </c>
      <c r="C1252" t="s">
        <v>6629</v>
      </c>
      <c r="D1252" t="s">
        <v>6064</v>
      </c>
      <c r="E1252">
        <f t="shared" si="19"/>
        <v>250</v>
      </c>
      <c r="F1252">
        <f>+COUNTIF(ADV!Z:Z,A1252)+COUNTIF(ADV!X:X,A1252)+COUNTIF(ADV!Y:Y,A1252)</f>
        <v>1</v>
      </c>
      <c r="G1252" t="s">
        <v>6628</v>
      </c>
    </row>
    <row r="1253" spans="1:7" x14ac:dyDescent="0.2">
      <c r="A1253" t="s">
        <v>1322</v>
      </c>
      <c r="B1253">
        <v>1010044</v>
      </c>
      <c r="C1253" t="s">
        <v>6631</v>
      </c>
      <c r="D1253" t="s">
        <v>6064</v>
      </c>
      <c r="E1253">
        <f t="shared" si="19"/>
        <v>528</v>
      </c>
      <c r="F1253">
        <f>+COUNTIF(ADV!Z:Z,A1253)+COUNTIF(ADV!X:X,A1253)+COUNTIF(ADV!Y:Y,A1253)</f>
        <v>1</v>
      </c>
      <c r="G1253" t="s">
        <v>6630</v>
      </c>
    </row>
    <row r="1254" spans="1:7" x14ac:dyDescent="0.2">
      <c r="A1254" t="s">
        <v>2880</v>
      </c>
      <c r="B1254">
        <v>1020031</v>
      </c>
      <c r="C1254" t="s">
        <v>6633</v>
      </c>
      <c r="D1254" t="s">
        <v>6064</v>
      </c>
      <c r="E1254">
        <f t="shared" si="19"/>
        <v>190</v>
      </c>
      <c r="F1254">
        <f>+COUNTIF(ADV!Z:Z,A1254)+COUNTIF(ADV!X:X,A1254)+COUNTIF(ADV!Y:Y,A1254)</f>
        <v>1</v>
      </c>
      <c r="G1254" t="s">
        <v>6632</v>
      </c>
    </row>
    <row r="1255" spans="1:7" x14ac:dyDescent="0.2">
      <c r="A1255" t="s">
        <v>283</v>
      </c>
      <c r="B1255">
        <v>1020002</v>
      </c>
      <c r="C1255" t="s">
        <v>6635</v>
      </c>
      <c r="D1255" t="s">
        <v>6064</v>
      </c>
      <c r="E1255">
        <f t="shared" si="19"/>
        <v>340</v>
      </c>
      <c r="F1255">
        <f>+COUNTIF(ADV!Z:Z,A1255)+COUNTIF(ADV!X:X,A1255)+COUNTIF(ADV!Y:Y,A1255)</f>
        <v>4</v>
      </c>
      <c r="G1255" t="s">
        <v>6634</v>
      </c>
    </row>
    <row r="1256" spans="1:7" x14ac:dyDescent="0.2">
      <c r="A1256" t="s">
        <v>284</v>
      </c>
      <c r="B1256">
        <v>1010003</v>
      </c>
      <c r="C1256" t="s">
        <v>6637</v>
      </c>
      <c r="D1256" t="s">
        <v>6064</v>
      </c>
      <c r="E1256">
        <f t="shared" si="19"/>
        <v>241</v>
      </c>
      <c r="F1256">
        <f>+COUNTIF(ADV!Z:Z,A1256)+COUNTIF(ADV!X:X,A1256)+COUNTIF(ADV!Y:Y,A1256)</f>
        <v>2</v>
      </c>
      <c r="G1256" t="s">
        <v>6636</v>
      </c>
    </row>
    <row r="1257" spans="1:7" x14ac:dyDescent="0.2">
      <c r="A1257" t="s">
        <v>846</v>
      </c>
      <c r="B1257">
        <v>1010007</v>
      </c>
      <c r="C1257" t="s">
        <v>6639</v>
      </c>
      <c r="D1257" t="s">
        <v>6064</v>
      </c>
      <c r="E1257">
        <f t="shared" si="19"/>
        <v>158</v>
      </c>
      <c r="F1257">
        <f>+COUNTIF(ADV!Z:Z,A1257)+COUNTIF(ADV!X:X,A1257)+COUNTIF(ADV!Y:Y,A1257)</f>
        <v>1</v>
      </c>
      <c r="G1257" t="s">
        <v>6638</v>
      </c>
    </row>
    <row r="1258" spans="1:7" x14ac:dyDescent="0.2">
      <c r="A1258" t="s">
        <v>2912</v>
      </c>
      <c r="B1258">
        <v>1020024</v>
      </c>
      <c r="C1258" t="s">
        <v>6641</v>
      </c>
      <c r="D1258" t="s">
        <v>6064</v>
      </c>
      <c r="E1258">
        <f t="shared" si="19"/>
        <v>304</v>
      </c>
      <c r="F1258">
        <f>+COUNTIF(ADV!Z:Z,A1258)+COUNTIF(ADV!X:X,A1258)+COUNTIF(ADV!Y:Y,A1258)</f>
        <v>1</v>
      </c>
      <c r="G1258" t="s">
        <v>6640</v>
      </c>
    </row>
    <row r="1259" spans="1:7" x14ac:dyDescent="0.2">
      <c r="A1259" t="s">
        <v>2976</v>
      </c>
      <c r="B1259">
        <v>1010075</v>
      </c>
      <c r="C1259" t="s">
        <v>6643</v>
      </c>
      <c r="D1259" t="s">
        <v>6064</v>
      </c>
      <c r="E1259">
        <f t="shared" si="19"/>
        <v>52</v>
      </c>
      <c r="F1259">
        <f>+COUNTIF(ADV!Z:Z,A1259)+COUNTIF(ADV!X:X,A1259)+COUNTIF(ADV!Y:Y,A1259)</f>
        <v>1</v>
      </c>
      <c r="G1259" t="s">
        <v>6642</v>
      </c>
    </row>
    <row r="1260" spans="1:7" x14ac:dyDescent="0.2">
      <c r="A1260" t="s">
        <v>403</v>
      </c>
      <c r="B1260">
        <v>1010011</v>
      </c>
      <c r="C1260" t="s">
        <v>6645</v>
      </c>
      <c r="D1260" t="s">
        <v>6064</v>
      </c>
      <c r="E1260">
        <f t="shared" si="19"/>
        <v>318</v>
      </c>
      <c r="F1260">
        <f>+COUNTIF(ADV!Z:Z,A1260)+COUNTIF(ADV!X:X,A1260)+COUNTIF(ADV!Y:Y,A1260)</f>
        <v>1</v>
      </c>
      <c r="G1260" t="s">
        <v>6644</v>
      </c>
    </row>
    <row r="1261" spans="1:7" x14ac:dyDescent="0.2">
      <c r="A1261" t="s">
        <v>720</v>
      </c>
      <c r="B1261">
        <v>1010006</v>
      </c>
      <c r="C1261" t="s">
        <v>6646</v>
      </c>
      <c r="D1261" t="s">
        <v>6064</v>
      </c>
      <c r="E1261">
        <f t="shared" si="19"/>
        <v>174</v>
      </c>
      <c r="F1261">
        <f>+COUNTIF(ADV!Z:Z,A1261)+COUNTIF(ADV!X:X,A1261)+COUNTIF(ADV!Y:Y,A1261)</f>
        <v>1</v>
      </c>
      <c r="G1261" t="s">
        <v>712</v>
      </c>
    </row>
    <row r="1262" spans="1:7" x14ac:dyDescent="0.2">
      <c r="A1262" t="s">
        <v>2435</v>
      </c>
      <c r="B1262">
        <v>1010078</v>
      </c>
      <c r="C1262" t="s">
        <v>6648</v>
      </c>
      <c r="D1262" t="s">
        <v>6064</v>
      </c>
      <c r="E1262">
        <f t="shared" si="19"/>
        <v>56</v>
      </c>
      <c r="F1262">
        <f>+COUNTIF(ADV!Z:Z,A1262)+COUNTIF(ADV!X:X,A1262)+COUNTIF(ADV!Y:Y,A1262)</f>
        <v>1</v>
      </c>
      <c r="G1262" t="s">
        <v>6647</v>
      </c>
    </row>
    <row r="1263" spans="1:7" x14ac:dyDescent="0.2">
      <c r="A1263" t="s">
        <v>1779</v>
      </c>
      <c r="B1263">
        <v>1020029</v>
      </c>
      <c r="C1263" t="s">
        <v>6650</v>
      </c>
      <c r="D1263" t="s">
        <v>6064</v>
      </c>
      <c r="E1263">
        <f t="shared" si="19"/>
        <v>238</v>
      </c>
      <c r="F1263">
        <f>+COUNTIF(ADV!Z:Z,A1263)+COUNTIF(ADV!X:X,A1263)+COUNTIF(ADV!Y:Y,A1263)</f>
        <v>2</v>
      </c>
      <c r="G1263" t="s">
        <v>6649</v>
      </c>
    </row>
    <row r="1264" spans="1:7" x14ac:dyDescent="0.2">
      <c r="A1264" t="s">
        <v>735</v>
      </c>
      <c r="B1264">
        <v>1020010</v>
      </c>
      <c r="C1264" t="s">
        <v>6651</v>
      </c>
      <c r="D1264" t="s">
        <v>6064</v>
      </c>
      <c r="E1264">
        <f t="shared" si="19"/>
        <v>238</v>
      </c>
      <c r="F1264">
        <f>+COUNTIF(ADV!Z:Z,A1264)+COUNTIF(ADV!X:X,A1264)+COUNTIF(ADV!Y:Y,A1264)</f>
        <v>1</v>
      </c>
      <c r="G1264" t="s">
        <v>727</v>
      </c>
    </row>
    <row r="1265" spans="1:7" x14ac:dyDescent="0.2">
      <c r="A1265" t="s">
        <v>2038</v>
      </c>
      <c r="B1265">
        <v>1010013</v>
      </c>
      <c r="C1265" t="s">
        <v>6653</v>
      </c>
      <c r="D1265" t="s">
        <v>6064</v>
      </c>
      <c r="E1265">
        <f t="shared" si="19"/>
        <v>472</v>
      </c>
      <c r="F1265">
        <f>+COUNTIF(ADV!Z:Z,A1265)+COUNTIF(ADV!X:X,A1265)+COUNTIF(ADV!Y:Y,A1265)</f>
        <v>1</v>
      </c>
      <c r="G1265" t="s">
        <v>6652</v>
      </c>
    </row>
    <row r="1266" spans="1:7" x14ac:dyDescent="0.2">
      <c r="A1266" t="s">
        <v>686</v>
      </c>
      <c r="B1266">
        <v>1010012</v>
      </c>
      <c r="C1266" t="s">
        <v>6655</v>
      </c>
      <c r="D1266" t="s">
        <v>6064</v>
      </c>
      <c r="E1266">
        <f t="shared" si="19"/>
        <v>138</v>
      </c>
      <c r="F1266">
        <f>+COUNTIF(ADV!Z:Z,A1266)+COUNTIF(ADV!X:X,A1266)+COUNTIF(ADV!Y:Y,A1266)</f>
        <v>3</v>
      </c>
      <c r="G1266" t="s">
        <v>6654</v>
      </c>
    </row>
    <row r="1267" spans="1:7" x14ac:dyDescent="0.2">
      <c r="A1267" t="s">
        <v>2127</v>
      </c>
      <c r="B1267">
        <v>1010006</v>
      </c>
      <c r="C1267" t="s">
        <v>6656</v>
      </c>
      <c r="D1267" t="s">
        <v>6064</v>
      </c>
      <c r="E1267">
        <f t="shared" ref="E1267:E1330" si="20">+LEN(C1267)</f>
        <v>152</v>
      </c>
      <c r="F1267">
        <f>+COUNTIF(ADV!Z:Z,A1267)+COUNTIF(ADV!X:X,A1267)+COUNTIF(ADV!Y:Y,A1267)</f>
        <v>1</v>
      </c>
      <c r="G1267" t="s">
        <v>2118</v>
      </c>
    </row>
    <row r="1268" spans="1:7" x14ac:dyDescent="0.2">
      <c r="A1268" t="s">
        <v>845</v>
      </c>
      <c r="B1268">
        <v>1010137</v>
      </c>
      <c r="C1268" t="s">
        <v>8365</v>
      </c>
      <c r="D1268" t="s">
        <v>6064</v>
      </c>
      <c r="E1268">
        <f t="shared" si="20"/>
        <v>160</v>
      </c>
      <c r="F1268">
        <f>+COUNTIF(ADV!Z:Z,A1268)+COUNTIF(ADV!X:X,A1268)+COUNTIF(ADV!Y:Y,A1268)</f>
        <v>1</v>
      </c>
      <c r="G1268" t="s">
        <v>6657</v>
      </c>
    </row>
    <row r="1269" spans="1:7" x14ac:dyDescent="0.2">
      <c r="A1269" t="s">
        <v>3085</v>
      </c>
      <c r="B1269">
        <v>1010012</v>
      </c>
      <c r="C1269" t="s">
        <v>6659</v>
      </c>
      <c r="D1269" t="s">
        <v>6064</v>
      </c>
      <c r="E1269">
        <f t="shared" si="20"/>
        <v>164</v>
      </c>
      <c r="F1269">
        <f>+COUNTIF(ADV!Z:Z,A1269)+COUNTIF(ADV!X:X,A1269)+COUNTIF(ADV!Y:Y,A1269)</f>
        <v>1</v>
      </c>
      <c r="G1269" t="s">
        <v>3077</v>
      </c>
    </row>
    <row r="1270" spans="1:7" x14ac:dyDescent="0.2">
      <c r="A1270" t="s">
        <v>418</v>
      </c>
      <c r="B1270">
        <v>1070002</v>
      </c>
      <c r="C1270" t="s">
        <v>6661</v>
      </c>
      <c r="D1270" t="s">
        <v>6064</v>
      </c>
      <c r="E1270">
        <f t="shared" si="20"/>
        <v>207</v>
      </c>
      <c r="F1270">
        <f>+COUNTIF(ADV!Z:Z,A1270)+COUNTIF(ADV!X:X,A1270)+COUNTIF(ADV!Y:Y,A1270)</f>
        <v>1</v>
      </c>
      <c r="G1270" t="s">
        <v>6660</v>
      </c>
    </row>
    <row r="1271" spans="1:7" x14ac:dyDescent="0.2">
      <c r="A1271" t="s">
        <v>829</v>
      </c>
      <c r="B1271">
        <v>1070002</v>
      </c>
      <c r="C1271" t="s">
        <v>6661</v>
      </c>
      <c r="D1271" t="s">
        <v>6064</v>
      </c>
      <c r="E1271">
        <f t="shared" si="20"/>
        <v>207</v>
      </c>
      <c r="F1271">
        <f>+COUNTIF(ADV!Z:Z,A1271)+COUNTIF(ADV!X:X,A1271)+COUNTIF(ADV!Y:Y,A1271)</f>
        <v>1</v>
      </c>
      <c r="G1271" t="s">
        <v>820</v>
      </c>
    </row>
    <row r="1272" spans="1:7" x14ac:dyDescent="0.2">
      <c r="A1272" t="s">
        <v>705</v>
      </c>
      <c r="B1272">
        <v>1030017</v>
      </c>
      <c r="C1272" t="s">
        <v>6665</v>
      </c>
      <c r="D1272" t="s">
        <v>6064</v>
      </c>
      <c r="E1272">
        <f t="shared" si="20"/>
        <v>364</v>
      </c>
      <c r="F1272">
        <f>+COUNTIF(ADV!Z:Z,A1272)+COUNTIF(ADV!X:X,A1272)+COUNTIF(ADV!Y:Y,A1272)</f>
        <v>1</v>
      </c>
      <c r="G1272" t="s">
        <v>6664</v>
      </c>
    </row>
    <row r="1273" spans="1:7" x14ac:dyDescent="0.2">
      <c r="A1273" t="s">
        <v>704</v>
      </c>
      <c r="B1273">
        <v>1010014</v>
      </c>
      <c r="C1273" t="s">
        <v>6667</v>
      </c>
      <c r="D1273" t="s">
        <v>6064</v>
      </c>
      <c r="E1273">
        <f t="shared" si="20"/>
        <v>817</v>
      </c>
      <c r="F1273">
        <f>+COUNTIF(ADV!Z:Z,A1273)+COUNTIF(ADV!X:X,A1273)+COUNTIF(ADV!Y:Y,A1273)</f>
        <v>1</v>
      </c>
      <c r="G1273" t="s">
        <v>6666</v>
      </c>
    </row>
    <row r="1274" spans="1:7" x14ac:dyDescent="0.2">
      <c r="A1274" t="s">
        <v>585</v>
      </c>
      <c r="B1274">
        <v>1010022</v>
      </c>
      <c r="C1274" t="s">
        <v>6669</v>
      </c>
      <c r="D1274" t="s">
        <v>6064</v>
      </c>
      <c r="E1274">
        <f t="shared" si="20"/>
        <v>373</v>
      </c>
      <c r="F1274">
        <f>+COUNTIF(ADV!Z:Z,A1274)+COUNTIF(ADV!X:X,A1274)+COUNTIF(ADV!Y:Y,A1274)</f>
        <v>1</v>
      </c>
      <c r="G1274" t="s">
        <v>6668</v>
      </c>
    </row>
    <row r="1275" spans="1:7" x14ac:dyDescent="0.2">
      <c r="A1275" t="s">
        <v>486</v>
      </c>
      <c r="B1275">
        <v>1010028</v>
      </c>
      <c r="C1275" t="s">
        <v>6671</v>
      </c>
      <c r="D1275" t="s">
        <v>6064</v>
      </c>
      <c r="E1275">
        <f t="shared" si="20"/>
        <v>454</v>
      </c>
      <c r="F1275">
        <f>+COUNTIF(ADV!Z:Z,A1275)+COUNTIF(ADV!X:X,A1275)+COUNTIF(ADV!Y:Y,A1275)</f>
        <v>1</v>
      </c>
      <c r="G1275" t="s">
        <v>6670</v>
      </c>
    </row>
    <row r="1276" spans="1:7" x14ac:dyDescent="0.2">
      <c r="A1276" t="s">
        <v>3726</v>
      </c>
      <c r="B1276">
        <v>1010157</v>
      </c>
      <c r="C1276" t="s">
        <v>6673</v>
      </c>
      <c r="D1276" t="s">
        <v>6064</v>
      </c>
      <c r="E1276">
        <f t="shared" si="20"/>
        <v>461</v>
      </c>
      <c r="F1276">
        <f>+COUNTIF(ADV!Z:Z,A1276)+COUNTIF(ADV!X:X,A1276)+COUNTIF(ADV!Y:Y,A1276)</f>
        <v>1</v>
      </c>
      <c r="G1276" t="s">
        <v>6672</v>
      </c>
    </row>
    <row r="1277" spans="1:7" x14ac:dyDescent="0.2">
      <c r="A1277" t="s">
        <v>3524</v>
      </c>
      <c r="B1277">
        <v>1010136</v>
      </c>
      <c r="C1277" t="s">
        <v>6675</v>
      </c>
      <c r="D1277" t="s">
        <v>6064</v>
      </c>
      <c r="E1277">
        <f t="shared" si="20"/>
        <v>64</v>
      </c>
      <c r="F1277">
        <f>+COUNTIF(ADV!Z:Z,A1277)+COUNTIF(ADV!X:X,A1277)+COUNTIF(ADV!Y:Y,A1277)</f>
        <v>1</v>
      </c>
      <c r="G1277" t="s">
        <v>6674</v>
      </c>
    </row>
    <row r="1278" spans="1:7" x14ac:dyDescent="0.2">
      <c r="A1278" t="s">
        <v>2941</v>
      </c>
      <c r="B1278">
        <v>1070020</v>
      </c>
      <c r="C1278" t="s">
        <v>6677</v>
      </c>
      <c r="D1278" t="s">
        <v>6064</v>
      </c>
      <c r="E1278">
        <f t="shared" si="20"/>
        <v>47</v>
      </c>
      <c r="F1278">
        <f>+COUNTIF(ADV!Z:Z,A1278)+COUNTIF(ADV!X:X,A1278)+COUNTIF(ADV!Y:Y,A1278)</f>
        <v>2</v>
      </c>
      <c r="G1278" t="s">
        <v>6676</v>
      </c>
    </row>
    <row r="1279" spans="1:7" x14ac:dyDescent="0.2">
      <c r="A1279" t="s">
        <v>519</v>
      </c>
      <c r="B1279">
        <v>1020010</v>
      </c>
      <c r="C1279" t="s">
        <v>6679</v>
      </c>
      <c r="D1279" t="s">
        <v>6064</v>
      </c>
      <c r="E1279">
        <f t="shared" si="20"/>
        <v>158</v>
      </c>
      <c r="F1279">
        <f>+COUNTIF(ADV!Z:Z,A1279)+COUNTIF(ADV!X:X,A1279)+COUNTIF(ADV!Y:Y,A1279)</f>
        <v>12</v>
      </c>
      <c r="G1279" t="s">
        <v>6678</v>
      </c>
    </row>
    <row r="1280" spans="1:7" x14ac:dyDescent="0.2">
      <c r="A1280" t="s">
        <v>229</v>
      </c>
      <c r="B1280">
        <v>1020002</v>
      </c>
      <c r="C1280" t="s">
        <v>6681</v>
      </c>
      <c r="D1280" t="s">
        <v>6064</v>
      </c>
      <c r="E1280">
        <f t="shared" si="20"/>
        <v>148</v>
      </c>
      <c r="F1280">
        <f>+COUNTIF(ADV!Z:Z,A1280)+COUNTIF(ADV!X:X,A1280)+COUNTIF(ADV!Y:Y,A1280)</f>
        <v>15</v>
      </c>
      <c r="G1280" t="s">
        <v>6680</v>
      </c>
    </row>
    <row r="1281" spans="1:7" x14ac:dyDescent="0.2">
      <c r="A1281" t="s">
        <v>828</v>
      </c>
      <c r="B1281">
        <v>1040002</v>
      </c>
      <c r="C1281" t="s">
        <v>6683</v>
      </c>
      <c r="D1281" t="s">
        <v>6064</v>
      </c>
      <c r="E1281">
        <f t="shared" si="20"/>
        <v>157</v>
      </c>
      <c r="F1281">
        <f>+COUNTIF(ADV!Z:Z,A1281)+COUNTIF(ADV!X:X,A1281)+COUNTIF(ADV!Y:Y,A1281)</f>
        <v>2</v>
      </c>
      <c r="G1281" t="s">
        <v>6682</v>
      </c>
    </row>
    <row r="1282" spans="1:7" x14ac:dyDescent="0.2">
      <c r="A1282" t="s">
        <v>3273</v>
      </c>
      <c r="B1282">
        <v>1010069</v>
      </c>
      <c r="C1282" t="s">
        <v>6685</v>
      </c>
      <c r="D1282" t="s">
        <v>6064</v>
      </c>
      <c r="E1282">
        <f t="shared" si="20"/>
        <v>167</v>
      </c>
      <c r="F1282">
        <f>+COUNTIF(ADV!Z:Z,A1282)+COUNTIF(ADV!X:X,A1282)+COUNTIF(ADV!Y:Y,A1282)</f>
        <v>2</v>
      </c>
      <c r="G1282" t="s">
        <v>6684</v>
      </c>
    </row>
    <row r="1283" spans="1:7" x14ac:dyDescent="0.2">
      <c r="A1283" t="s">
        <v>765</v>
      </c>
      <c r="B1283">
        <v>1010094</v>
      </c>
      <c r="C1283" t="s">
        <v>6687</v>
      </c>
      <c r="D1283" t="s">
        <v>6064</v>
      </c>
      <c r="E1283">
        <f t="shared" si="20"/>
        <v>169</v>
      </c>
      <c r="F1283">
        <f>+COUNTIF(ADV!Z:Z,A1283)+COUNTIF(ADV!X:X,A1283)+COUNTIF(ADV!Y:Y,A1283)</f>
        <v>1</v>
      </c>
      <c r="G1283" t="s">
        <v>6686</v>
      </c>
    </row>
    <row r="1284" spans="1:7" x14ac:dyDescent="0.2">
      <c r="A1284" t="s">
        <v>4196</v>
      </c>
      <c r="B1284">
        <v>1040017</v>
      </c>
      <c r="C1284" t="s">
        <v>6689</v>
      </c>
      <c r="D1284" t="s">
        <v>6064</v>
      </c>
      <c r="E1284">
        <f t="shared" si="20"/>
        <v>173</v>
      </c>
      <c r="F1284">
        <f>+COUNTIF(ADV!Z:Z,A1284)+COUNTIF(ADV!X:X,A1284)+COUNTIF(ADV!Y:Y,A1284)</f>
        <v>2</v>
      </c>
      <c r="G1284" t="s">
        <v>6688</v>
      </c>
    </row>
    <row r="1285" spans="1:7" x14ac:dyDescent="0.2">
      <c r="A1285" t="s">
        <v>2203</v>
      </c>
      <c r="B1285">
        <v>1010167</v>
      </c>
      <c r="C1285" t="s">
        <v>6691</v>
      </c>
      <c r="D1285" t="s">
        <v>6064</v>
      </c>
      <c r="E1285">
        <f t="shared" si="20"/>
        <v>167</v>
      </c>
      <c r="F1285">
        <f>+COUNTIF(ADV!Z:Z,A1285)+COUNTIF(ADV!X:X,A1285)+COUNTIF(ADV!Y:Y,A1285)</f>
        <v>2</v>
      </c>
      <c r="G1285" t="s">
        <v>6690</v>
      </c>
    </row>
    <row r="1286" spans="1:7" x14ac:dyDescent="0.2">
      <c r="A1286" t="s">
        <v>3463</v>
      </c>
      <c r="B1286">
        <v>1020002</v>
      </c>
      <c r="C1286" t="s">
        <v>6693</v>
      </c>
      <c r="D1286" t="s">
        <v>6064</v>
      </c>
      <c r="E1286">
        <f t="shared" si="20"/>
        <v>175</v>
      </c>
      <c r="F1286">
        <f>+COUNTIF(ADV!Z:Z,A1286)+COUNTIF(ADV!X:X,A1286)+COUNTIF(ADV!Y:Y,A1286)</f>
        <v>1</v>
      </c>
      <c r="G1286" t="s">
        <v>6692</v>
      </c>
    </row>
    <row r="1287" spans="1:7" x14ac:dyDescent="0.2">
      <c r="A1287" t="s">
        <v>2422</v>
      </c>
      <c r="B1287">
        <v>1010122</v>
      </c>
      <c r="C1287" t="s">
        <v>6695</v>
      </c>
      <c r="D1287" t="s">
        <v>6064</v>
      </c>
      <c r="E1287">
        <f t="shared" si="20"/>
        <v>561</v>
      </c>
      <c r="F1287">
        <f>+COUNTIF(ADV!Z:Z,A1287)+COUNTIF(ADV!X:X,A1287)+COUNTIF(ADV!Y:Y,A1287)</f>
        <v>1</v>
      </c>
      <c r="G1287" t="s">
        <v>6694</v>
      </c>
    </row>
    <row r="1288" spans="1:7" x14ac:dyDescent="0.2">
      <c r="A1288" t="s">
        <v>4280</v>
      </c>
      <c r="B1288">
        <v>1010013</v>
      </c>
      <c r="C1288" t="s">
        <v>6697</v>
      </c>
      <c r="D1288" t="s">
        <v>6064</v>
      </c>
      <c r="E1288">
        <f t="shared" si="20"/>
        <v>621</v>
      </c>
      <c r="F1288">
        <f>+COUNTIF(ADV!Z:Z,A1288)+COUNTIF(ADV!X:X,A1288)+COUNTIF(ADV!Y:Y,A1288)</f>
        <v>1</v>
      </c>
      <c r="G1288" t="s">
        <v>6696</v>
      </c>
    </row>
    <row r="1289" spans="1:7" x14ac:dyDescent="0.2">
      <c r="A1289" t="s">
        <v>2309</v>
      </c>
      <c r="B1289">
        <v>1010092</v>
      </c>
      <c r="C1289" t="s">
        <v>6699</v>
      </c>
      <c r="D1289" t="s">
        <v>6064</v>
      </c>
      <c r="E1289">
        <f t="shared" si="20"/>
        <v>92</v>
      </c>
      <c r="F1289">
        <f>+COUNTIF(ADV!Z:Z,A1289)+COUNTIF(ADV!X:X,A1289)+COUNTIF(ADV!Y:Y,A1289)</f>
        <v>1</v>
      </c>
      <c r="G1289" t="s">
        <v>6698</v>
      </c>
    </row>
    <row r="1290" spans="1:7" x14ac:dyDescent="0.2">
      <c r="A1290" t="s">
        <v>1652</v>
      </c>
      <c r="B1290">
        <v>1010001</v>
      </c>
      <c r="C1290" t="s">
        <v>6701</v>
      </c>
      <c r="D1290" t="s">
        <v>6064</v>
      </c>
      <c r="E1290">
        <f t="shared" si="20"/>
        <v>60</v>
      </c>
      <c r="F1290">
        <f>+COUNTIF(ADV!Z:Z,A1290)+COUNTIF(ADV!X:X,A1290)+COUNTIF(ADV!Y:Y,A1290)</f>
        <v>1</v>
      </c>
      <c r="G1290" t="s">
        <v>6700</v>
      </c>
    </row>
    <row r="1291" spans="1:7" x14ac:dyDescent="0.2">
      <c r="A1291" t="s">
        <v>1466</v>
      </c>
      <c r="B1291">
        <v>1010007</v>
      </c>
      <c r="C1291" t="s">
        <v>6702</v>
      </c>
      <c r="D1291" t="s">
        <v>6064</v>
      </c>
      <c r="E1291">
        <f t="shared" si="20"/>
        <v>259</v>
      </c>
      <c r="F1291">
        <f>+COUNTIF(ADV!Z:Z,A1291)+COUNTIF(ADV!X:X,A1291)+COUNTIF(ADV!Y:Y,A1291)</f>
        <v>1</v>
      </c>
      <c r="G1291" t="s">
        <v>1458</v>
      </c>
    </row>
    <row r="1292" spans="1:7" x14ac:dyDescent="0.2">
      <c r="A1292" t="s">
        <v>1635</v>
      </c>
      <c r="B1292">
        <v>1010066</v>
      </c>
      <c r="C1292" t="s">
        <v>6704</v>
      </c>
      <c r="D1292" t="s">
        <v>6064</v>
      </c>
      <c r="E1292">
        <f t="shared" si="20"/>
        <v>1148</v>
      </c>
      <c r="F1292">
        <f>+COUNTIF(ADV!Z:Z,A1292)+COUNTIF(ADV!X:X,A1292)+COUNTIF(ADV!Y:Y,A1292)</f>
        <v>1</v>
      </c>
      <c r="G1292" t="s">
        <v>6703</v>
      </c>
    </row>
    <row r="1293" spans="1:7" x14ac:dyDescent="0.2">
      <c r="A1293" t="s">
        <v>3886</v>
      </c>
      <c r="B1293">
        <v>1010147</v>
      </c>
      <c r="C1293" t="s">
        <v>6706</v>
      </c>
      <c r="D1293" t="s">
        <v>6064</v>
      </c>
      <c r="E1293">
        <f t="shared" si="20"/>
        <v>994</v>
      </c>
      <c r="F1293">
        <f>+COUNTIF(ADV!Z:Z,A1293)+COUNTIF(ADV!X:X,A1293)+COUNTIF(ADV!Y:Y,A1293)</f>
        <v>1</v>
      </c>
      <c r="G1293" t="s">
        <v>6705</v>
      </c>
    </row>
    <row r="1294" spans="1:7" x14ac:dyDescent="0.2">
      <c r="A1294" t="s">
        <v>669</v>
      </c>
      <c r="B1294">
        <v>1020004</v>
      </c>
      <c r="C1294" t="s">
        <v>8366</v>
      </c>
      <c r="D1294" t="s">
        <v>6064</v>
      </c>
      <c r="E1294">
        <f t="shared" si="20"/>
        <v>540</v>
      </c>
      <c r="F1294">
        <f>+COUNTIF(ADV!Z:Z,A1294)+COUNTIF(ADV!X:X,A1294)+COUNTIF(ADV!Y:Y,A1294)</f>
        <v>1</v>
      </c>
      <c r="G1294" t="s">
        <v>6707</v>
      </c>
    </row>
    <row r="1295" spans="1:7" x14ac:dyDescent="0.2">
      <c r="A1295" t="s">
        <v>173</v>
      </c>
      <c r="B1295">
        <v>1020033</v>
      </c>
      <c r="C1295" t="s">
        <v>6710</v>
      </c>
      <c r="D1295" t="s">
        <v>6064</v>
      </c>
      <c r="E1295">
        <f t="shared" si="20"/>
        <v>418</v>
      </c>
      <c r="F1295">
        <f>+COUNTIF(ADV!Z:Z,A1295)+COUNTIF(ADV!X:X,A1295)+COUNTIF(ADV!Y:Y,A1295)</f>
        <v>1</v>
      </c>
      <c r="G1295" t="s">
        <v>6709</v>
      </c>
    </row>
    <row r="1296" spans="1:7" x14ac:dyDescent="0.2">
      <c r="A1296" t="s">
        <v>3401</v>
      </c>
      <c r="B1296">
        <v>1020002</v>
      </c>
      <c r="C1296" t="s">
        <v>6712</v>
      </c>
      <c r="D1296" t="s">
        <v>6064</v>
      </c>
      <c r="E1296">
        <f t="shared" si="20"/>
        <v>157</v>
      </c>
      <c r="F1296">
        <f>+COUNTIF(ADV!Z:Z,A1296)+COUNTIF(ADV!X:X,A1296)+COUNTIF(ADV!Y:Y,A1296)</f>
        <v>1</v>
      </c>
      <c r="G1296" t="s">
        <v>6711</v>
      </c>
    </row>
    <row r="1297" spans="1:7" x14ac:dyDescent="0.2">
      <c r="A1297" t="s">
        <v>1989</v>
      </c>
      <c r="B1297">
        <v>1010097</v>
      </c>
      <c r="C1297" t="s">
        <v>6714</v>
      </c>
      <c r="D1297" t="s">
        <v>6064</v>
      </c>
      <c r="E1297">
        <f t="shared" si="20"/>
        <v>791</v>
      </c>
      <c r="F1297">
        <f>+COUNTIF(ADV!Z:Z,A1297)+COUNTIF(ADV!X:X,A1297)+COUNTIF(ADV!Y:Y,A1297)</f>
        <v>1</v>
      </c>
      <c r="G1297" t="s">
        <v>6713</v>
      </c>
    </row>
    <row r="1298" spans="1:7" x14ac:dyDescent="0.2">
      <c r="A1298" t="s">
        <v>1030</v>
      </c>
      <c r="B1298">
        <v>1020009</v>
      </c>
      <c r="C1298" t="s">
        <v>6715</v>
      </c>
      <c r="D1298" t="s">
        <v>6064</v>
      </c>
      <c r="E1298">
        <f t="shared" si="20"/>
        <v>256</v>
      </c>
      <c r="F1298">
        <f>+COUNTIF(ADV!Z:Z,A1298)+COUNTIF(ADV!X:X,A1298)+COUNTIF(ADV!Y:Y,A1298)</f>
        <v>1</v>
      </c>
      <c r="G1298" t="s">
        <v>1022</v>
      </c>
    </row>
    <row r="1299" spans="1:7" x14ac:dyDescent="0.2">
      <c r="A1299" t="s">
        <v>3636</v>
      </c>
      <c r="B1299">
        <v>1010007</v>
      </c>
      <c r="C1299" t="s">
        <v>6717</v>
      </c>
      <c r="D1299" t="s">
        <v>6064</v>
      </c>
      <c r="E1299">
        <f t="shared" si="20"/>
        <v>605</v>
      </c>
      <c r="F1299">
        <f>+COUNTIF(ADV!Z:Z,A1299)+COUNTIF(ADV!X:X,A1299)+COUNTIF(ADV!Y:Y,A1299)</f>
        <v>1</v>
      </c>
      <c r="G1299" t="s">
        <v>6716</v>
      </c>
    </row>
    <row r="1300" spans="1:7" x14ac:dyDescent="0.2">
      <c r="A1300" t="s">
        <v>1015</v>
      </c>
      <c r="B1300">
        <v>1010007</v>
      </c>
      <c r="C1300" t="s">
        <v>6718</v>
      </c>
      <c r="D1300" t="s">
        <v>6064</v>
      </c>
      <c r="E1300">
        <f t="shared" si="20"/>
        <v>472</v>
      </c>
      <c r="F1300">
        <f>+COUNTIF(ADV!Z:Z,A1300)+COUNTIF(ADV!X:X,A1300)+COUNTIF(ADV!Y:Y,A1300)</f>
        <v>1</v>
      </c>
      <c r="G1300" t="s">
        <v>1007</v>
      </c>
    </row>
    <row r="1301" spans="1:7" x14ac:dyDescent="0.2">
      <c r="A1301" t="s">
        <v>1822</v>
      </c>
      <c r="B1301">
        <v>1010151</v>
      </c>
      <c r="C1301" t="s">
        <v>6720</v>
      </c>
      <c r="D1301" t="s">
        <v>6064</v>
      </c>
      <c r="E1301">
        <f t="shared" si="20"/>
        <v>859</v>
      </c>
      <c r="F1301">
        <f>+COUNTIF(ADV!Z:Z,A1301)+COUNTIF(ADV!X:X,A1301)+COUNTIF(ADV!Y:Y,A1301)</f>
        <v>1</v>
      </c>
      <c r="G1301" t="s">
        <v>6719</v>
      </c>
    </row>
    <row r="1302" spans="1:7" x14ac:dyDescent="0.2">
      <c r="A1302" t="s">
        <v>4111</v>
      </c>
      <c r="B1302">
        <v>1010011</v>
      </c>
      <c r="C1302" t="s">
        <v>6722</v>
      </c>
      <c r="D1302" t="s">
        <v>6064</v>
      </c>
      <c r="E1302">
        <f t="shared" si="20"/>
        <v>257</v>
      </c>
      <c r="F1302">
        <f>+COUNTIF(ADV!Z:Z,A1302)+COUNTIF(ADV!X:X,A1302)+COUNTIF(ADV!Y:Y,A1302)</f>
        <v>1</v>
      </c>
      <c r="G1302" t="s">
        <v>6721</v>
      </c>
    </row>
    <row r="1303" spans="1:7" x14ac:dyDescent="0.2">
      <c r="A1303" t="s">
        <v>534</v>
      </c>
      <c r="B1303">
        <v>1070002</v>
      </c>
      <c r="C1303" t="s">
        <v>6661</v>
      </c>
      <c r="D1303" t="s">
        <v>6064</v>
      </c>
      <c r="E1303">
        <f t="shared" si="20"/>
        <v>207</v>
      </c>
      <c r="F1303">
        <f>+COUNTIF(ADV!Z:Z,A1303)+COUNTIF(ADV!X:X,A1303)+COUNTIF(ADV!Y:Y,A1303)</f>
        <v>1</v>
      </c>
      <c r="G1303" t="s">
        <v>526</v>
      </c>
    </row>
    <row r="1304" spans="1:7" x14ac:dyDescent="0.2">
      <c r="A1304" t="s">
        <v>1181</v>
      </c>
      <c r="B1304">
        <v>1070013</v>
      </c>
      <c r="C1304" t="s">
        <v>6723</v>
      </c>
      <c r="D1304" t="s">
        <v>6064</v>
      </c>
      <c r="E1304">
        <f t="shared" si="20"/>
        <v>213</v>
      </c>
      <c r="F1304">
        <f>+COUNTIF(ADV!Z:Z,A1304)+COUNTIF(ADV!X:X,A1304)+COUNTIF(ADV!Y:Y,A1304)</f>
        <v>1</v>
      </c>
      <c r="G1304" t="s">
        <v>1173</v>
      </c>
    </row>
    <row r="1305" spans="1:7" x14ac:dyDescent="0.2">
      <c r="A1305" t="s">
        <v>3204</v>
      </c>
      <c r="B1305">
        <v>1010098</v>
      </c>
      <c r="C1305" t="s">
        <v>6725</v>
      </c>
      <c r="D1305" t="s">
        <v>6064</v>
      </c>
      <c r="E1305">
        <f t="shared" si="20"/>
        <v>428</v>
      </c>
      <c r="F1305">
        <f>+COUNTIF(ADV!Z:Z,A1305)+COUNTIF(ADV!X:X,A1305)+COUNTIF(ADV!Y:Y,A1305)</f>
        <v>1</v>
      </c>
      <c r="G1305" t="s">
        <v>6724</v>
      </c>
    </row>
    <row r="1306" spans="1:7" x14ac:dyDescent="0.2">
      <c r="A1306" t="s">
        <v>619</v>
      </c>
      <c r="B1306">
        <v>1020009</v>
      </c>
      <c r="C1306" t="s">
        <v>8367</v>
      </c>
      <c r="D1306" t="s">
        <v>6064</v>
      </c>
      <c r="E1306">
        <f t="shared" si="20"/>
        <v>195</v>
      </c>
      <c r="F1306">
        <f>+COUNTIF(ADV!Z:Z,A1306)+COUNTIF(ADV!X:X,A1306)+COUNTIF(ADV!Y:Y,A1306)</f>
        <v>1</v>
      </c>
      <c r="G1306" t="s">
        <v>609</v>
      </c>
    </row>
    <row r="1307" spans="1:7" x14ac:dyDescent="0.2">
      <c r="A1307" t="s">
        <v>2977</v>
      </c>
      <c r="B1307">
        <v>1020022</v>
      </c>
      <c r="C1307" t="s">
        <v>6728</v>
      </c>
      <c r="D1307" t="s">
        <v>6064</v>
      </c>
      <c r="E1307">
        <f t="shared" si="20"/>
        <v>370</v>
      </c>
      <c r="F1307">
        <f>+COUNTIF(ADV!Z:Z,A1307)+COUNTIF(ADV!X:X,A1307)+COUNTIF(ADV!Y:Y,A1307)</f>
        <v>1</v>
      </c>
      <c r="G1307" t="s">
        <v>6727</v>
      </c>
    </row>
    <row r="1308" spans="1:7" x14ac:dyDescent="0.2">
      <c r="A1308" t="s">
        <v>602</v>
      </c>
      <c r="B1308">
        <v>1020002</v>
      </c>
      <c r="C1308" t="s">
        <v>6729</v>
      </c>
      <c r="D1308" t="s">
        <v>6064</v>
      </c>
      <c r="E1308">
        <f t="shared" si="20"/>
        <v>325</v>
      </c>
      <c r="F1308">
        <f>+COUNTIF(ADV!Z:Z,A1308)+COUNTIF(ADV!X:X,A1308)+COUNTIF(ADV!Y:Y,A1308)</f>
        <v>1</v>
      </c>
      <c r="G1308" t="s">
        <v>593</v>
      </c>
    </row>
    <row r="1309" spans="1:7" x14ac:dyDescent="0.2">
      <c r="A1309" t="s">
        <v>2911</v>
      </c>
      <c r="B1309">
        <v>1010001</v>
      </c>
      <c r="C1309" t="s">
        <v>6731</v>
      </c>
      <c r="D1309" t="s">
        <v>6064</v>
      </c>
      <c r="E1309">
        <f t="shared" si="20"/>
        <v>319</v>
      </c>
      <c r="F1309">
        <f>+COUNTIF(ADV!Z:Z,A1309)+COUNTIF(ADV!X:X,A1309)+COUNTIF(ADV!Y:Y,A1309)</f>
        <v>1</v>
      </c>
      <c r="G1309" t="s">
        <v>6730</v>
      </c>
    </row>
    <row r="1310" spans="1:7" x14ac:dyDescent="0.2">
      <c r="A1310" t="s">
        <v>925</v>
      </c>
      <c r="B1310">
        <v>1010006</v>
      </c>
      <c r="C1310" t="s">
        <v>6732</v>
      </c>
      <c r="D1310" t="s">
        <v>6064</v>
      </c>
      <c r="E1310">
        <f t="shared" si="20"/>
        <v>253</v>
      </c>
      <c r="F1310">
        <f>+COUNTIF(ADV!Z:Z,A1310)+COUNTIF(ADV!X:X,A1310)+COUNTIF(ADV!Y:Y,A1310)</f>
        <v>1</v>
      </c>
      <c r="G1310" t="s">
        <v>916</v>
      </c>
    </row>
    <row r="1311" spans="1:7" x14ac:dyDescent="0.2">
      <c r="A1311" t="s">
        <v>1890</v>
      </c>
      <c r="B1311">
        <v>1010033</v>
      </c>
      <c r="C1311" t="s">
        <v>6733</v>
      </c>
      <c r="D1311" t="s">
        <v>6064</v>
      </c>
      <c r="E1311">
        <f t="shared" si="20"/>
        <v>77</v>
      </c>
      <c r="F1311">
        <f>+COUNTIF(ADV!Z:Z,A1311)+COUNTIF(ADV!X:X,A1311)+COUNTIF(ADV!Y:Y,A1311)</f>
        <v>1</v>
      </c>
      <c r="G1311" t="s">
        <v>1883</v>
      </c>
    </row>
    <row r="1312" spans="1:7" x14ac:dyDescent="0.2">
      <c r="A1312" t="s">
        <v>1155</v>
      </c>
      <c r="B1312">
        <v>1010001</v>
      </c>
      <c r="C1312" t="s">
        <v>8368</v>
      </c>
      <c r="D1312" t="s">
        <v>6064</v>
      </c>
      <c r="E1312">
        <f t="shared" si="20"/>
        <v>290</v>
      </c>
      <c r="F1312">
        <f>+COUNTIF(ADV!Z:Z,A1312)+COUNTIF(ADV!X:X,A1312)+COUNTIF(ADV!Y:Y,A1312)</f>
        <v>1</v>
      </c>
      <c r="G1312" t="s">
        <v>6734</v>
      </c>
    </row>
    <row r="1313" spans="1:7" x14ac:dyDescent="0.2">
      <c r="A1313" t="s">
        <v>1805</v>
      </c>
      <c r="B1313">
        <v>1010012</v>
      </c>
      <c r="C1313" t="s">
        <v>6736</v>
      </c>
      <c r="D1313" t="s">
        <v>6064</v>
      </c>
      <c r="E1313">
        <f t="shared" si="20"/>
        <v>285</v>
      </c>
      <c r="F1313">
        <f>+COUNTIF(ADV!Z:Z,A1313)+COUNTIF(ADV!X:X,A1313)+COUNTIF(ADV!Y:Y,A1313)</f>
        <v>1</v>
      </c>
      <c r="G1313" t="s">
        <v>1797</v>
      </c>
    </row>
    <row r="1314" spans="1:7" x14ac:dyDescent="0.2">
      <c r="A1314" t="s">
        <v>4083</v>
      </c>
      <c r="B1314">
        <v>1070017</v>
      </c>
      <c r="C1314" t="s">
        <v>6737</v>
      </c>
      <c r="D1314" t="s">
        <v>6064</v>
      </c>
      <c r="E1314">
        <f t="shared" si="20"/>
        <v>323</v>
      </c>
      <c r="F1314">
        <f>+COUNTIF(ADV!Z:Z,A1314)+COUNTIF(ADV!X:X,A1314)+COUNTIF(ADV!Y:Y,A1314)</f>
        <v>1</v>
      </c>
      <c r="G1314" t="s">
        <v>4077</v>
      </c>
    </row>
    <row r="1315" spans="1:7" x14ac:dyDescent="0.2">
      <c r="A1315" t="s">
        <v>2814</v>
      </c>
      <c r="B1315">
        <v>1010120</v>
      </c>
      <c r="C1315" t="s">
        <v>6739</v>
      </c>
      <c r="D1315" t="s">
        <v>6064</v>
      </c>
      <c r="E1315">
        <f t="shared" si="20"/>
        <v>292</v>
      </c>
      <c r="F1315">
        <f>+COUNTIF(ADV!Z:Z,A1315)+COUNTIF(ADV!X:X,A1315)+COUNTIF(ADV!Y:Y,A1315)</f>
        <v>1</v>
      </c>
      <c r="G1315" t="s">
        <v>6738</v>
      </c>
    </row>
    <row r="1316" spans="1:7" x14ac:dyDescent="0.2">
      <c r="A1316" t="s">
        <v>2350</v>
      </c>
      <c r="B1316">
        <v>1020010</v>
      </c>
      <c r="C1316" t="s">
        <v>6741</v>
      </c>
      <c r="D1316" t="s">
        <v>6064</v>
      </c>
      <c r="E1316">
        <f t="shared" si="20"/>
        <v>375</v>
      </c>
      <c r="F1316">
        <f>+COUNTIF(ADV!Z:Z,A1316)+COUNTIF(ADV!X:X,A1316)+COUNTIF(ADV!Y:Y,A1316)</f>
        <v>1</v>
      </c>
      <c r="G1316" t="s">
        <v>6740</v>
      </c>
    </row>
    <row r="1317" spans="1:7" x14ac:dyDescent="0.2">
      <c r="A1317" t="s">
        <v>895</v>
      </c>
      <c r="B1317">
        <v>1010027</v>
      </c>
      <c r="C1317" t="s">
        <v>6743</v>
      </c>
      <c r="D1317" t="s">
        <v>6064</v>
      </c>
      <c r="E1317">
        <f t="shared" si="20"/>
        <v>525</v>
      </c>
      <c r="F1317">
        <f>+COUNTIF(ADV!Z:Z,A1317)+COUNTIF(ADV!X:X,A1317)+COUNTIF(ADV!Y:Y,A1317)</f>
        <v>1</v>
      </c>
      <c r="G1317" t="s">
        <v>6742</v>
      </c>
    </row>
    <row r="1318" spans="1:7" x14ac:dyDescent="0.2">
      <c r="A1318" t="s">
        <v>3317</v>
      </c>
      <c r="B1318">
        <v>1020034</v>
      </c>
      <c r="C1318" t="s">
        <v>6745</v>
      </c>
      <c r="D1318" t="s">
        <v>6064</v>
      </c>
      <c r="E1318">
        <f t="shared" si="20"/>
        <v>496</v>
      </c>
      <c r="F1318">
        <f>+COUNTIF(ADV!Z:Z,A1318)+COUNTIF(ADV!X:X,A1318)+COUNTIF(ADV!Y:Y,A1318)</f>
        <v>1</v>
      </c>
      <c r="G1318" t="s">
        <v>6744</v>
      </c>
    </row>
    <row r="1319" spans="1:7" x14ac:dyDescent="0.2">
      <c r="A1319" t="s">
        <v>211</v>
      </c>
      <c r="B1319">
        <v>1020026</v>
      </c>
      <c r="C1319" t="s">
        <v>6747</v>
      </c>
      <c r="D1319" t="s">
        <v>6064</v>
      </c>
      <c r="E1319">
        <f t="shared" si="20"/>
        <v>300</v>
      </c>
      <c r="F1319">
        <f>+COUNTIF(ADV!Z:Z,A1319)+COUNTIF(ADV!X:X,A1319)+COUNTIF(ADV!Y:Y,A1319)</f>
        <v>1</v>
      </c>
      <c r="G1319" t="s">
        <v>6746</v>
      </c>
    </row>
    <row r="1320" spans="1:7" x14ac:dyDescent="0.2">
      <c r="A1320" t="s">
        <v>1539</v>
      </c>
      <c r="B1320">
        <v>1020027</v>
      </c>
      <c r="C1320" t="s">
        <v>6749</v>
      </c>
      <c r="D1320" t="s">
        <v>6064</v>
      </c>
      <c r="E1320">
        <f t="shared" si="20"/>
        <v>345</v>
      </c>
      <c r="F1320">
        <f>+COUNTIF(ADV!Z:Z,A1320)+COUNTIF(ADV!X:X,A1320)+COUNTIF(ADV!Y:Y,A1320)</f>
        <v>1</v>
      </c>
      <c r="G1320" t="s">
        <v>6748</v>
      </c>
    </row>
    <row r="1321" spans="1:7" x14ac:dyDescent="0.2">
      <c r="A1321" t="s">
        <v>1605</v>
      </c>
      <c r="B1321">
        <v>1010011</v>
      </c>
      <c r="C1321" t="s">
        <v>6751</v>
      </c>
      <c r="D1321" t="s">
        <v>6064</v>
      </c>
      <c r="E1321">
        <f t="shared" si="20"/>
        <v>185</v>
      </c>
      <c r="F1321">
        <f>+COUNTIF(ADV!Z:Z,A1321)+COUNTIF(ADV!X:X,A1321)+COUNTIF(ADV!Y:Y,A1321)</f>
        <v>4</v>
      </c>
      <c r="G1321" t="s">
        <v>6750</v>
      </c>
    </row>
    <row r="1322" spans="1:7" x14ac:dyDescent="0.2">
      <c r="A1322" t="s">
        <v>3816</v>
      </c>
      <c r="B1322">
        <v>1070015</v>
      </c>
      <c r="C1322" t="s">
        <v>6753</v>
      </c>
      <c r="D1322" t="s">
        <v>6064</v>
      </c>
      <c r="E1322">
        <f t="shared" si="20"/>
        <v>217</v>
      </c>
      <c r="F1322">
        <f>+COUNTIF(ADV!Z:Z,A1322)+COUNTIF(ADV!X:X,A1322)+COUNTIF(ADV!Y:Y,A1322)</f>
        <v>1</v>
      </c>
      <c r="G1322" t="s">
        <v>6752</v>
      </c>
    </row>
    <row r="1323" spans="1:7" x14ac:dyDescent="0.2">
      <c r="A1323" t="s">
        <v>1664</v>
      </c>
      <c r="B1323">
        <v>1020011</v>
      </c>
      <c r="C1323" t="s">
        <v>6754</v>
      </c>
      <c r="D1323" t="s">
        <v>6064</v>
      </c>
      <c r="E1323">
        <f t="shared" si="20"/>
        <v>329</v>
      </c>
      <c r="F1323">
        <f>+COUNTIF(ADV!Z:Z,A1323)+COUNTIF(ADV!X:X,A1323)+COUNTIF(ADV!Y:Y,A1323)</f>
        <v>1</v>
      </c>
      <c r="G1323" t="s">
        <v>1657</v>
      </c>
    </row>
    <row r="1324" spans="1:7" x14ac:dyDescent="0.2">
      <c r="A1324" t="s">
        <v>2958</v>
      </c>
      <c r="B1324">
        <v>1010159</v>
      </c>
      <c r="C1324" t="s">
        <v>6756</v>
      </c>
      <c r="D1324" t="s">
        <v>6064</v>
      </c>
      <c r="E1324">
        <f t="shared" si="20"/>
        <v>736</v>
      </c>
      <c r="F1324">
        <f>+COUNTIF(ADV!Z:Z,A1324)+COUNTIF(ADV!X:X,A1324)+COUNTIF(ADV!Y:Y,A1324)</f>
        <v>1</v>
      </c>
      <c r="G1324" t="s">
        <v>6755</v>
      </c>
    </row>
    <row r="1325" spans="1:7" x14ac:dyDescent="0.2">
      <c r="A1325" t="s">
        <v>4439</v>
      </c>
      <c r="B1325">
        <v>1020004</v>
      </c>
      <c r="C1325" t="s">
        <v>6758</v>
      </c>
      <c r="D1325" t="s">
        <v>6064</v>
      </c>
      <c r="E1325">
        <f t="shared" si="20"/>
        <v>482</v>
      </c>
      <c r="F1325">
        <f>+COUNTIF(ADV!Z:Z,A1325)+COUNTIF(ADV!X:X,A1325)+COUNTIF(ADV!Y:Y,A1325)</f>
        <v>1</v>
      </c>
      <c r="G1325" t="s">
        <v>6757</v>
      </c>
    </row>
    <row r="1326" spans="1:7" x14ac:dyDescent="0.2">
      <c r="A1326" t="s">
        <v>4412</v>
      </c>
      <c r="B1326">
        <v>1010015</v>
      </c>
      <c r="C1326" t="s">
        <v>8369</v>
      </c>
      <c r="D1326" t="s">
        <v>6064</v>
      </c>
      <c r="E1326">
        <f t="shared" si="20"/>
        <v>551</v>
      </c>
      <c r="F1326">
        <f>+COUNTIF(ADV!Z:Z,A1326)+COUNTIF(ADV!X:X,A1326)+COUNTIF(ADV!Y:Y,A1326)</f>
        <v>1</v>
      </c>
      <c r="G1326" t="s">
        <v>6759</v>
      </c>
    </row>
    <row r="1327" spans="1:7" x14ac:dyDescent="0.2">
      <c r="A1327" t="s">
        <v>1851</v>
      </c>
      <c r="B1327">
        <v>1010034</v>
      </c>
      <c r="C1327" t="s">
        <v>6762</v>
      </c>
      <c r="D1327" t="s">
        <v>6064</v>
      </c>
      <c r="E1327">
        <f t="shared" si="20"/>
        <v>301</v>
      </c>
      <c r="F1327">
        <f>+COUNTIF(ADV!Z:Z,A1327)+COUNTIF(ADV!X:X,A1327)+COUNTIF(ADV!Y:Y,A1327)</f>
        <v>8</v>
      </c>
      <c r="G1327" t="s">
        <v>6761</v>
      </c>
    </row>
    <row r="1328" spans="1:7" x14ac:dyDescent="0.2">
      <c r="A1328" t="s">
        <v>3741</v>
      </c>
      <c r="B1328">
        <v>1010102</v>
      </c>
      <c r="C1328" t="s">
        <v>6764</v>
      </c>
      <c r="D1328" t="s">
        <v>6064</v>
      </c>
      <c r="E1328">
        <f t="shared" si="20"/>
        <v>245</v>
      </c>
      <c r="F1328">
        <f>+COUNTIF(ADV!Z:Z,A1328)+COUNTIF(ADV!X:X,A1328)+COUNTIF(ADV!Y:Y,A1328)</f>
        <v>1</v>
      </c>
      <c r="G1328" t="s">
        <v>6763</v>
      </c>
    </row>
    <row r="1329" spans="1:7" x14ac:dyDescent="0.2">
      <c r="A1329" t="s">
        <v>1408</v>
      </c>
      <c r="B1329">
        <v>1010102</v>
      </c>
      <c r="C1329" t="s">
        <v>6318</v>
      </c>
      <c r="D1329" t="s">
        <v>6064</v>
      </c>
      <c r="E1329">
        <f t="shared" si="20"/>
        <v>245</v>
      </c>
      <c r="F1329">
        <f>+COUNTIF(ADV!Z:Z,A1329)+COUNTIF(ADV!X:X,A1329)+COUNTIF(ADV!Y:Y,A1329)</f>
        <v>1</v>
      </c>
      <c r="G1329" t="s">
        <v>6765</v>
      </c>
    </row>
    <row r="1330" spans="1:7" x14ac:dyDescent="0.2">
      <c r="A1330" t="s">
        <v>6766</v>
      </c>
      <c r="B1330">
        <v>1010013</v>
      </c>
      <c r="C1330" t="s">
        <v>6320</v>
      </c>
      <c r="D1330" t="s">
        <v>6064</v>
      </c>
      <c r="E1330">
        <f t="shared" si="20"/>
        <v>139</v>
      </c>
      <c r="F1330">
        <f>+COUNTIF(ADV!Z:Z,A1330)+COUNTIF(ADV!X:X,A1330)+COUNTIF(ADV!Y:Y,A1330)</f>
        <v>0</v>
      </c>
      <c r="G1330" t="s">
        <v>6767</v>
      </c>
    </row>
    <row r="1331" spans="1:7" x14ac:dyDescent="0.2">
      <c r="A1331" t="s">
        <v>939</v>
      </c>
      <c r="B1331">
        <v>1070002</v>
      </c>
      <c r="C1331" t="s">
        <v>6661</v>
      </c>
      <c r="D1331" t="s">
        <v>6064</v>
      </c>
      <c r="E1331">
        <f t="shared" ref="E1331:E1394" si="21">+LEN(C1331)</f>
        <v>207</v>
      </c>
      <c r="F1331">
        <f>+COUNTIF(ADV!Z:Z,A1331)+COUNTIF(ADV!X:X,A1331)+COUNTIF(ADV!Y:Y,A1331)</f>
        <v>1</v>
      </c>
      <c r="G1331" t="s">
        <v>932</v>
      </c>
    </row>
    <row r="1332" spans="1:7" x14ac:dyDescent="0.2">
      <c r="A1332" t="s">
        <v>1421</v>
      </c>
      <c r="B1332">
        <v>1070013</v>
      </c>
      <c r="C1332" t="s">
        <v>6723</v>
      </c>
      <c r="D1332" t="s">
        <v>6064</v>
      </c>
      <c r="E1332">
        <f t="shared" si="21"/>
        <v>213</v>
      </c>
      <c r="F1332">
        <f>+COUNTIF(ADV!Z:Z,A1332)+COUNTIF(ADV!X:X,A1332)+COUNTIF(ADV!Y:Y,A1332)</f>
        <v>1</v>
      </c>
      <c r="G1332" t="s">
        <v>6768</v>
      </c>
    </row>
    <row r="1333" spans="1:7" x14ac:dyDescent="0.2">
      <c r="A1333" t="s">
        <v>2186</v>
      </c>
      <c r="B1333">
        <v>1010001</v>
      </c>
      <c r="C1333" t="s">
        <v>6769</v>
      </c>
      <c r="D1333" t="s">
        <v>6064</v>
      </c>
      <c r="E1333">
        <f t="shared" si="21"/>
        <v>73</v>
      </c>
      <c r="F1333">
        <f>+COUNTIF(ADV!Z:Z,A1333)+COUNTIF(ADV!X:X,A1333)+COUNTIF(ADV!Y:Y,A1333)</f>
        <v>1</v>
      </c>
      <c r="G1333" t="s">
        <v>2177</v>
      </c>
    </row>
    <row r="1334" spans="1:7" x14ac:dyDescent="0.2">
      <c r="A1334" t="s">
        <v>2219</v>
      </c>
      <c r="B1334">
        <v>1010104</v>
      </c>
      <c r="C1334" t="s">
        <v>6771</v>
      </c>
      <c r="D1334" t="s">
        <v>6064</v>
      </c>
      <c r="E1334">
        <f t="shared" si="21"/>
        <v>697</v>
      </c>
      <c r="F1334">
        <f>+COUNTIF(ADV!Z:Z,A1334)+COUNTIF(ADV!X:X,A1334)+COUNTIF(ADV!Y:Y,A1334)</f>
        <v>1</v>
      </c>
      <c r="G1334" t="s">
        <v>6770</v>
      </c>
    </row>
    <row r="1335" spans="1:7" x14ac:dyDescent="0.2">
      <c r="A1335" t="s">
        <v>2621</v>
      </c>
      <c r="B1335">
        <v>1010066</v>
      </c>
      <c r="C1335" t="s">
        <v>6773</v>
      </c>
      <c r="D1335" t="s">
        <v>6064</v>
      </c>
      <c r="E1335">
        <f t="shared" si="21"/>
        <v>1156</v>
      </c>
      <c r="F1335">
        <f>+COUNTIF(ADV!Z:Z,A1335)+COUNTIF(ADV!X:X,A1335)+COUNTIF(ADV!Y:Y,A1335)</f>
        <v>1</v>
      </c>
      <c r="G1335" t="s">
        <v>6772</v>
      </c>
    </row>
    <row r="1336" spans="1:7" x14ac:dyDescent="0.2">
      <c r="A1336" t="s">
        <v>4181</v>
      </c>
      <c r="B1336">
        <v>1010174</v>
      </c>
      <c r="C1336" t="s">
        <v>6775</v>
      </c>
      <c r="D1336" t="s">
        <v>6064</v>
      </c>
      <c r="E1336">
        <f t="shared" si="21"/>
        <v>848</v>
      </c>
      <c r="F1336">
        <f>+COUNTIF(ADV!Z:Z,A1336)+COUNTIF(ADV!X:X,A1336)+COUNTIF(ADV!Y:Y,A1336)</f>
        <v>1</v>
      </c>
      <c r="G1336" t="s">
        <v>6774</v>
      </c>
    </row>
    <row r="1337" spans="1:7" x14ac:dyDescent="0.2">
      <c r="A1337" t="s">
        <v>8370</v>
      </c>
      <c r="B1337">
        <v>1100001</v>
      </c>
      <c r="C1337" t="s">
        <v>6779</v>
      </c>
      <c r="D1337" t="s">
        <v>6064</v>
      </c>
      <c r="E1337">
        <f t="shared" si="21"/>
        <v>81</v>
      </c>
      <c r="F1337">
        <f>+COUNTIF(ADV!Z:Z,A1337)+COUNTIF(ADV!X:X,A1337)+COUNTIF(ADV!Y:Y,A1337)</f>
        <v>0</v>
      </c>
      <c r="G1337" t="s">
        <v>6778</v>
      </c>
    </row>
    <row r="1338" spans="1:7" x14ac:dyDescent="0.2">
      <c r="A1338" t="s">
        <v>3672</v>
      </c>
      <c r="B1338">
        <v>1010131</v>
      </c>
      <c r="C1338" t="s">
        <v>6777</v>
      </c>
      <c r="D1338" t="s">
        <v>6064</v>
      </c>
      <c r="E1338">
        <f t="shared" si="21"/>
        <v>418</v>
      </c>
      <c r="F1338">
        <f>+COUNTIF(ADV!Z:Z,A1338)+COUNTIF(ADV!X:X,A1338)+COUNTIF(ADV!Y:Y,A1338)</f>
        <v>1</v>
      </c>
      <c r="G1338" t="s">
        <v>6776</v>
      </c>
    </row>
    <row r="1339" spans="1:7" x14ac:dyDescent="0.2">
      <c r="A1339" t="s">
        <v>1935</v>
      </c>
      <c r="B1339">
        <v>1010079</v>
      </c>
      <c r="C1339" t="s">
        <v>6781</v>
      </c>
      <c r="D1339" t="s">
        <v>6064</v>
      </c>
      <c r="E1339">
        <f t="shared" si="21"/>
        <v>189</v>
      </c>
      <c r="F1339">
        <f>+COUNTIF(ADV!Z:Z,A1339)+COUNTIF(ADV!X:X,A1339)+COUNTIF(ADV!Y:Y,A1339)</f>
        <v>1</v>
      </c>
      <c r="G1339" t="s">
        <v>6780</v>
      </c>
    </row>
    <row r="1340" spans="1:7" x14ac:dyDescent="0.2">
      <c r="A1340" t="s">
        <v>4464</v>
      </c>
      <c r="B1340">
        <v>1010038</v>
      </c>
      <c r="C1340" t="s">
        <v>6783</v>
      </c>
      <c r="D1340" t="s">
        <v>6064</v>
      </c>
      <c r="E1340">
        <f t="shared" si="21"/>
        <v>250</v>
      </c>
      <c r="F1340">
        <f>+COUNTIF(ADV!Z:Z,A1340)+COUNTIF(ADV!X:X,A1340)+COUNTIF(ADV!Y:Y,A1340)</f>
        <v>1</v>
      </c>
      <c r="G1340" t="s">
        <v>6782</v>
      </c>
    </row>
    <row r="1341" spans="1:7" x14ac:dyDescent="0.2">
      <c r="A1341" t="s">
        <v>386</v>
      </c>
      <c r="B1341">
        <v>1020038</v>
      </c>
      <c r="C1341" t="s">
        <v>6785</v>
      </c>
      <c r="D1341" t="s">
        <v>6064</v>
      </c>
      <c r="E1341">
        <f t="shared" si="21"/>
        <v>603</v>
      </c>
      <c r="F1341">
        <f>+COUNTIF(ADV!Z:Z,A1341)+COUNTIF(ADV!X:X,A1341)+COUNTIF(ADV!Y:Y,A1341)</f>
        <v>1</v>
      </c>
      <c r="G1341" t="s">
        <v>6784</v>
      </c>
    </row>
    <row r="1342" spans="1:7" x14ac:dyDescent="0.2">
      <c r="A1342" t="s">
        <v>3620</v>
      </c>
      <c r="B1342">
        <v>1010176</v>
      </c>
      <c r="C1342" t="s">
        <v>6787</v>
      </c>
      <c r="D1342" t="s">
        <v>6064</v>
      </c>
      <c r="E1342">
        <f t="shared" si="21"/>
        <v>1157</v>
      </c>
      <c r="F1342">
        <f>+COUNTIF(ADV!Z:Z,A1342)+COUNTIF(ADV!X:X,A1342)+COUNTIF(ADV!Y:Y,A1342)</f>
        <v>1</v>
      </c>
      <c r="G1342" t="s">
        <v>6786</v>
      </c>
    </row>
    <row r="1343" spans="1:7" x14ac:dyDescent="0.2">
      <c r="A1343" t="s">
        <v>1920</v>
      </c>
      <c r="B1343">
        <v>1020040</v>
      </c>
      <c r="C1343" t="s">
        <v>6789</v>
      </c>
      <c r="D1343" t="s">
        <v>6064</v>
      </c>
      <c r="E1343">
        <f t="shared" si="21"/>
        <v>599</v>
      </c>
      <c r="F1343">
        <f>+COUNTIF(ADV!Z:Z,A1343)+COUNTIF(ADV!X:X,A1343)+COUNTIF(ADV!Y:Y,A1343)</f>
        <v>1</v>
      </c>
      <c r="G1343" t="s">
        <v>6788</v>
      </c>
    </row>
    <row r="1344" spans="1:7" x14ac:dyDescent="0.2">
      <c r="A1344" t="s">
        <v>2248</v>
      </c>
      <c r="B1344">
        <v>1010154</v>
      </c>
      <c r="C1344" t="s">
        <v>6791</v>
      </c>
      <c r="D1344" t="s">
        <v>6064</v>
      </c>
      <c r="E1344">
        <f t="shared" si="21"/>
        <v>443</v>
      </c>
      <c r="F1344">
        <f>+COUNTIF(ADV!Z:Z,A1344)+COUNTIF(ADV!X:X,A1344)+COUNTIF(ADV!Y:Y,A1344)</f>
        <v>1</v>
      </c>
      <c r="G1344" t="s">
        <v>6790</v>
      </c>
    </row>
    <row r="1345" spans="1:7" x14ac:dyDescent="0.2">
      <c r="A1345" t="s">
        <v>1690</v>
      </c>
      <c r="B1345">
        <v>1040009</v>
      </c>
      <c r="C1345" t="s">
        <v>8371</v>
      </c>
      <c r="D1345" t="s">
        <v>6064</v>
      </c>
      <c r="E1345">
        <f t="shared" si="21"/>
        <v>253</v>
      </c>
      <c r="F1345">
        <f>+COUNTIF(ADV!Z:Z,A1345)+COUNTIF(ADV!X:X,A1345)+COUNTIF(ADV!Y:Y,A1345)</f>
        <v>1</v>
      </c>
      <c r="G1345" t="s">
        <v>1683</v>
      </c>
    </row>
    <row r="1346" spans="1:7" x14ac:dyDescent="0.2">
      <c r="A1346" t="s">
        <v>782</v>
      </c>
      <c r="B1346">
        <v>1010024</v>
      </c>
      <c r="C1346" t="s">
        <v>6794</v>
      </c>
      <c r="D1346" t="s">
        <v>6064</v>
      </c>
      <c r="E1346">
        <f t="shared" si="21"/>
        <v>304</v>
      </c>
      <c r="F1346">
        <f>+COUNTIF(ADV!Z:Z,A1346)+COUNTIF(ADV!X:X,A1346)+COUNTIF(ADV!Y:Y,A1346)</f>
        <v>1</v>
      </c>
      <c r="G1346" t="s">
        <v>6793</v>
      </c>
    </row>
    <row r="1347" spans="1:7" x14ac:dyDescent="0.2">
      <c r="A1347" t="s">
        <v>1451</v>
      </c>
      <c r="B1347">
        <v>1020002</v>
      </c>
      <c r="C1347" t="s">
        <v>6795</v>
      </c>
      <c r="D1347" t="s">
        <v>6064</v>
      </c>
      <c r="E1347">
        <f t="shared" si="21"/>
        <v>205</v>
      </c>
      <c r="F1347">
        <f>+COUNTIF(ADV!Z:Z,A1347)+COUNTIF(ADV!X:X,A1347)+COUNTIF(ADV!Y:Y,A1347)</f>
        <v>1</v>
      </c>
      <c r="G1347" t="s">
        <v>1444</v>
      </c>
    </row>
    <row r="1348" spans="1:7" x14ac:dyDescent="0.2">
      <c r="A1348" t="s">
        <v>3417</v>
      </c>
      <c r="B1348">
        <v>1010058</v>
      </c>
      <c r="C1348" t="s">
        <v>6797</v>
      </c>
      <c r="D1348" t="s">
        <v>6064</v>
      </c>
      <c r="E1348">
        <f t="shared" si="21"/>
        <v>113</v>
      </c>
      <c r="F1348">
        <f>+COUNTIF(ADV!Z:Z,A1348)+COUNTIF(ADV!X:X,A1348)+COUNTIF(ADV!Y:Y,A1348)</f>
        <v>1</v>
      </c>
      <c r="G1348" t="s">
        <v>6796</v>
      </c>
    </row>
    <row r="1349" spans="1:7" x14ac:dyDescent="0.2">
      <c r="A1349" t="s">
        <v>1393</v>
      </c>
      <c r="B1349">
        <v>1010059</v>
      </c>
      <c r="C1349" t="s">
        <v>6799</v>
      </c>
      <c r="D1349" t="s">
        <v>6064</v>
      </c>
      <c r="E1349">
        <f t="shared" si="21"/>
        <v>556</v>
      </c>
      <c r="F1349">
        <f>+COUNTIF(ADV!Z:Z,A1349)+COUNTIF(ADV!X:X,A1349)+COUNTIF(ADV!Y:Y,A1349)</f>
        <v>1</v>
      </c>
      <c r="G1349" t="s">
        <v>6798</v>
      </c>
    </row>
    <row r="1350" spans="1:7" x14ac:dyDescent="0.2">
      <c r="A1350" t="s">
        <v>1525</v>
      </c>
      <c r="B1350">
        <v>1010056</v>
      </c>
      <c r="C1350" t="s">
        <v>6801</v>
      </c>
      <c r="D1350" t="s">
        <v>6064</v>
      </c>
      <c r="E1350">
        <f t="shared" si="21"/>
        <v>513</v>
      </c>
      <c r="F1350">
        <f>+COUNTIF(ADV!Z:Z,A1350)+COUNTIF(ADV!X:X,A1350)+COUNTIF(ADV!Y:Y,A1350)</f>
        <v>1</v>
      </c>
      <c r="G1350" t="s">
        <v>6800</v>
      </c>
    </row>
    <row r="1351" spans="1:7" x14ac:dyDescent="0.2">
      <c r="A1351" t="s">
        <v>4296</v>
      </c>
      <c r="B1351">
        <v>1070017</v>
      </c>
      <c r="C1351" t="s">
        <v>6802</v>
      </c>
      <c r="D1351" t="s">
        <v>6064</v>
      </c>
      <c r="E1351">
        <f t="shared" si="21"/>
        <v>201</v>
      </c>
      <c r="F1351">
        <f>+COUNTIF(ADV!Z:Z,A1351)+COUNTIF(ADV!X:X,A1351)+COUNTIF(ADV!Y:Y,A1351)</f>
        <v>1</v>
      </c>
      <c r="G1351" t="s">
        <v>4288</v>
      </c>
    </row>
    <row r="1352" spans="1:7" x14ac:dyDescent="0.2">
      <c r="A1352" t="s">
        <v>2843</v>
      </c>
      <c r="B1352">
        <v>1010052</v>
      </c>
      <c r="C1352" t="s">
        <v>6804</v>
      </c>
      <c r="D1352" t="s">
        <v>6064</v>
      </c>
      <c r="E1352">
        <f t="shared" si="21"/>
        <v>373</v>
      </c>
      <c r="F1352">
        <f>+COUNTIF(ADV!Z:Z,A1352)+COUNTIF(ADV!X:X,A1352)+COUNTIF(ADV!Y:Y,A1352)</f>
        <v>1</v>
      </c>
      <c r="G1352" t="s">
        <v>6803</v>
      </c>
    </row>
    <row r="1353" spans="1:7" x14ac:dyDescent="0.2">
      <c r="A1353" t="s">
        <v>4044</v>
      </c>
      <c r="B1353">
        <v>1010020</v>
      </c>
      <c r="C1353" t="s">
        <v>8372</v>
      </c>
      <c r="D1353" t="s">
        <v>6064</v>
      </c>
      <c r="E1353">
        <f t="shared" si="21"/>
        <v>743</v>
      </c>
      <c r="F1353">
        <f>+COUNTIF(ADV!Z:Z,A1353)+COUNTIF(ADV!X:X,A1353)+COUNTIF(ADV!Y:Y,A1353)</f>
        <v>1</v>
      </c>
      <c r="G1353" t="s">
        <v>6805</v>
      </c>
    </row>
    <row r="1354" spans="1:7" x14ac:dyDescent="0.2">
      <c r="A1354" t="s">
        <v>3786</v>
      </c>
      <c r="B1354">
        <v>1030041</v>
      </c>
      <c r="C1354" t="s">
        <v>6808</v>
      </c>
      <c r="D1354" t="s">
        <v>6064</v>
      </c>
      <c r="E1354">
        <f t="shared" si="21"/>
        <v>314</v>
      </c>
      <c r="F1354">
        <f>+COUNTIF(ADV!Z:Z,A1354)+COUNTIF(ADV!X:X,A1354)+COUNTIF(ADV!Y:Y,A1354)</f>
        <v>5</v>
      </c>
      <c r="G1354" t="s">
        <v>6807</v>
      </c>
    </row>
    <row r="1355" spans="1:7" x14ac:dyDescent="0.2">
      <c r="A1355" t="s">
        <v>1216</v>
      </c>
      <c r="B1355">
        <v>1030039</v>
      </c>
      <c r="C1355" t="s">
        <v>6810</v>
      </c>
      <c r="D1355" t="s">
        <v>6064</v>
      </c>
      <c r="E1355">
        <f t="shared" si="21"/>
        <v>323</v>
      </c>
      <c r="F1355">
        <f>+COUNTIF(ADV!Z:Z,A1355)+COUNTIF(ADV!X:X,A1355)+COUNTIF(ADV!Y:Y,A1355)</f>
        <v>6</v>
      </c>
      <c r="G1355" t="s">
        <v>6809</v>
      </c>
    </row>
    <row r="1356" spans="1:7" x14ac:dyDescent="0.2">
      <c r="A1356" t="s">
        <v>1955</v>
      </c>
      <c r="B1356">
        <v>1030040</v>
      </c>
      <c r="C1356" t="s">
        <v>6812</v>
      </c>
      <c r="D1356" t="s">
        <v>6064</v>
      </c>
      <c r="E1356">
        <f t="shared" si="21"/>
        <v>311</v>
      </c>
      <c r="F1356">
        <f>+COUNTIF(ADV!Z:Z,A1356)+COUNTIF(ADV!X:X,A1356)+COUNTIF(ADV!Y:Y,A1356)</f>
        <v>4</v>
      </c>
      <c r="G1356" t="s">
        <v>6811</v>
      </c>
    </row>
    <row r="1357" spans="1:7" x14ac:dyDescent="0.2">
      <c r="A1357" t="s">
        <v>2798</v>
      </c>
      <c r="B1357">
        <v>1010141</v>
      </c>
      <c r="C1357" t="s">
        <v>6814</v>
      </c>
      <c r="D1357" t="s">
        <v>6064</v>
      </c>
      <c r="E1357">
        <f t="shared" si="21"/>
        <v>727</v>
      </c>
      <c r="F1357">
        <f>+COUNTIF(ADV!Z:Z,A1357)+COUNTIF(ADV!X:X,A1357)+COUNTIF(ADV!Y:Y,A1357)</f>
        <v>1</v>
      </c>
      <c r="G1357" t="s">
        <v>6813</v>
      </c>
    </row>
    <row r="1358" spans="1:7" x14ac:dyDescent="0.2">
      <c r="A1358" t="s">
        <v>2881</v>
      </c>
      <c r="B1358">
        <v>1030043</v>
      </c>
      <c r="C1358" t="s">
        <v>6816</v>
      </c>
      <c r="D1358" t="s">
        <v>6064</v>
      </c>
      <c r="E1358">
        <f t="shared" si="21"/>
        <v>305</v>
      </c>
      <c r="F1358">
        <f>+COUNTIF(ADV!Z:Z,A1358)+COUNTIF(ADV!X:X,A1358)+COUNTIF(ADV!Y:Y,A1358)</f>
        <v>6</v>
      </c>
      <c r="G1358" t="s">
        <v>6815</v>
      </c>
    </row>
    <row r="1359" spans="1:7" x14ac:dyDescent="0.2">
      <c r="A1359" t="s">
        <v>437</v>
      </c>
      <c r="B1359">
        <v>1030042</v>
      </c>
      <c r="C1359" t="s">
        <v>6818</v>
      </c>
      <c r="D1359" t="s">
        <v>6064</v>
      </c>
      <c r="E1359">
        <f t="shared" si="21"/>
        <v>308</v>
      </c>
      <c r="F1359">
        <f>+COUNTIF(ADV!Z:Z,A1359)+COUNTIF(ADV!X:X,A1359)+COUNTIF(ADV!Y:Y,A1359)</f>
        <v>5</v>
      </c>
      <c r="G1359" t="s">
        <v>6817</v>
      </c>
    </row>
    <row r="1360" spans="1:7" x14ac:dyDescent="0.2">
      <c r="A1360" t="s">
        <v>2308</v>
      </c>
      <c r="B1360">
        <v>1010091</v>
      </c>
      <c r="C1360" t="s">
        <v>6820</v>
      </c>
      <c r="D1360" t="s">
        <v>6064</v>
      </c>
      <c r="E1360">
        <f t="shared" si="21"/>
        <v>400</v>
      </c>
      <c r="F1360">
        <f>+COUNTIF(ADV!Z:Z,A1360)+COUNTIF(ADV!X:X,A1360)+COUNTIF(ADV!Y:Y,A1360)</f>
        <v>1</v>
      </c>
      <c r="G1360" t="s">
        <v>6819</v>
      </c>
    </row>
    <row r="1361" spans="1:7" x14ac:dyDescent="0.2">
      <c r="A1361" t="s">
        <v>370</v>
      </c>
      <c r="B1361">
        <v>1020003</v>
      </c>
      <c r="C1361" t="s">
        <v>6824</v>
      </c>
      <c r="D1361" t="s">
        <v>6064</v>
      </c>
      <c r="E1361">
        <f t="shared" si="21"/>
        <v>422</v>
      </c>
      <c r="F1361">
        <f>+COUNTIF(ADV!Z:Z,A1361)+COUNTIF(ADV!X:X,A1361)+COUNTIF(ADV!Y:Y,A1361)</f>
        <v>5</v>
      </c>
      <c r="G1361" t="s">
        <v>6823</v>
      </c>
    </row>
    <row r="1362" spans="1:7" x14ac:dyDescent="0.2">
      <c r="A1362" t="s">
        <v>502</v>
      </c>
      <c r="B1362">
        <v>1020010</v>
      </c>
      <c r="C1362" t="s">
        <v>6826</v>
      </c>
      <c r="D1362" t="s">
        <v>6064</v>
      </c>
      <c r="E1362">
        <f t="shared" si="21"/>
        <v>525</v>
      </c>
      <c r="F1362">
        <f>+COUNTIF(ADV!Z:Z,A1362)+COUNTIF(ADV!X:X,A1362)+COUNTIF(ADV!Y:Y,A1362)</f>
        <v>3</v>
      </c>
      <c r="G1362" t="s">
        <v>6825</v>
      </c>
    </row>
    <row r="1363" spans="1:7" x14ac:dyDescent="0.2">
      <c r="A1363" t="s">
        <v>601</v>
      </c>
      <c r="B1363">
        <v>1020002</v>
      </c>
      <c r="C1363" t="s">
        <v>6828</v>
      </c>
      <c r="D1363" t="s">
        <v>6064</v>
      </c>
      <c r="E1363">
        <f t="shared" si="21"/>
        <v>424</v>
      </c>
      <c r="F1363">
        <f>+COUNTIF(ADV!Z:Z,A1363)+COUNTIF(ADV!X:X,A1363)+COUNTIF(ADV!Y:Y,A1363)</f>
        <v>4</v>
      </c>
      <c r="G1363" t="s">
        <v>6827</v>
      </c>
    </row>
    <row r="1364" spans="1:7" x14ac:dyDescent="0.2">
      <c r="A1364" t="s">
        <v>248</v>
      </c>
      <c r="B1364">
        <v>1020011</v>
      </c>
      <c r="C1364" t="s">
        <v>6830</v>
      </c>
      <c r="D1364" t="s">
        <v>6064</v>
      </c>
      <c r="E1364">
        <f t="shared" si="21"/>
        <v>379</v>
      </c>
      <c r="F1364">
        <f>+COUNTIF(ADV!Z:Z,A1364)+COUNTIF(ADV!X:X,A1364)+COUNTIF(ADV!Y:Y,A1364)</f>
        <v>1</v>
      </c>
      <c r="G1364" t="s">
        <v>6829</v>
      </c>
    </row>
    <row r="1365" spans="1:7" x14ac:dyDescent="0.2">
      <c r="A1365" t="s">
        <v>2747</v>
      </c>
      <c r="B1365">
        <v>1010007</v>
      </c>
      <c r="C1365" t="s">
        <v>6832</v>
      </c>
      <c r="D1365" t="s">
        <v>6064</v>
      </c>
      <c r="E1365">
        <f t="shared" si="21"/>
        <v>256</v>
      </c>
      <c r="F1365">
        <f>+COUNTIF(ADV!Z:Z,A1365)+COUNTIF(ADV!X:X,A1365)+COUNTIF(ADV!Y:Y,A1365)</f>
        <v>1</v>
      </c>
      <c r="G1365" t="s">
        <v>6831</v>
      </c>
    </row>
    <row r="1366" spans="1:7" x14ac:dyDescent="0.2">
      <c r="A1366" t="s">
        <v>1677</v>
      </c>
      <c r="B1366">
        <v>1010090</v>
      </c>
      <c r="C1366" t="s">
        <v>6834</v>
      </c>
      <c r="D1366" t="s">
        <v>6064</v>
      </c>
      <c r="E1366">
        <f t="shared" si="21"/>
        <v>364</v>
      </c>
      <c r="F1366">
        <f>+COUNTIF(ADV!Z:Z,A1366)+COUNTIF(ADV!X:X,A1366)+COUNTIF(ADV!Y:Y,A1366)</f>
        <v>1</v>
      </c>
      <c r="G1366" t="s">
        <v>6833</v>
      </c>
    </row>
    <row r="1367" spans="1:7" x14ac:dyDescent="0.2">
      <c r="A1367" t="s">
        <v>2534</v>
      </c>
      <c r="B1367">
        <v>1010062</v>
      </c>
      <c r="C1367" t="s">
        <v>6836</v>
      </c>
      <c r="D1367" t="s">
        <v>6064</v>
      </c>
      <c r="E1367">
        <f t="shared" si="21"/>
        <v>525</v>
      </c>
      <c r="F1367">
        <f>+COUNTIF(ADV!Z:Z,A1367)+COUNTIF(ADV!X:X,A1367)+COUNTIF(ADV!Y:Y,A1367)</f>
        <v>1</v>
      </c>
      <c r="G1367" t="s">
        <v>6835</v>
      </c>
    </row>
    <row r="1368" spans="1:7" x14ac:dyDescent="0.2">
      <c r="A1368" t="s">
        <v>4556</v>
      </c>
      <c r="B1368">
        <v>1010063</v>
      </c>
      <c r="C1368" t="s">
        <v>6838</v>
      </c>
      <c r="D1368" t="s">
        <v>6064</v>
      </c>
      <c r="E1368">
        <f t="shared" si="21"/>
        <v>394</v>
      </c>
      <c r="F1368">
        <f>+COUNTIF(ADV!Z:Z,A1368)+COUNTIF(ADV!X:X,A1368)+COUNTIF(ADV!Y:Y,A1368)</f>
        <v>1</v>
      </c>
      <c r="G1368" t="s">
        <v>6837</v>
      </c>
    </row>
    <row r="1369" spans="1:7" x14ac:dyDescent="0.2">
      <c r="A1369" t="s">
        <v>4015</v>
      </c>
      <c r="B1369">
        <v>1010066</v>
      </c>
      <c r="C1369" t="s">
        <v>6840</v>
      </c>
      <c r="D1369" t="s">
        <v>6064</v>
      </c>
      <c r="E1369">
        <f t="shared" si="21"/>
        <v>953</v>
      </c>
      <c r="F1369">
        <f>+COUNTIF(ADV!Z:Z,A1369)+COUNTIF(ADV!X:X,A1369)+COUNTIF(ADV!Y:Y,A1369)</f>
        <v>1</v>
      </c>
      <c r="G1369" t="s">
        <v>6839</v>
      </c>
    </row>
    <row r="1370" spans="1:7" x14ac:dyDescent="0.2">
      <c r="A1370" t="s">
        <v>2202</v>
      </c>
      <c r="B1370">
        <v>1010168</v>
      </c>
      <c r="C1370" t="s">
        <v>6842</v>
      </c>
      <c r="D1370" t="s">
        <v>6064</v>
      </c>
      <c r="E1370">
        <f t="shared" si="21"/>
        <v>1256</v>
      </c>
      <c r="F1370">
        <f>+COUNTIF(ADV!Z:Z,A1370)+COUNTIF(ADV!X:X,A1370)+COUNTIF(ADV!Y:Y,A1370)</f>
        <v>1</v>
      </c>
      <c r="G1370" t="s">
        <v>6841</v>
      </c>
    </row>
    <row r="1371" spans="1:7" x14ac:dyDescent="0.2">
      <c r="A1371" t="s">
        <v>3219</v>
      </c>
      <c r="B1371">
        <v>1010052</v>
      </c>
      <c r="C1371" t="s">
        <v>6844</v>
      </c>
      <c r="D1371" t="s">
        <v>6064</v>
      </c>
      <c r="E1371">
        <f t="shared" si="21"/>
        <v>271</v>
      </c>
      <c r="F1371">
        <f>+COUNTIF(ADV!Z:Z,A1371)+COUNTIF(ADV!X:X,A1371)+COUNTIF(ADV!Y:Y,A1371)</f>
        <v>1</v>
      </c>
      <c r="G1371" t="s">
        <v>6843</v>
      </c>
    </row>
    <row r="1372" spans="1:7" x14ac:dyDescent="0.2">
      <c r="A1372" t="s">
        <v>3289</v>
      </c>
      <c r="B1372">
        <v>1010066</v>
      </c>
      <c r="C1372" t="s">
        <v>6846</v>
      </c>
      <c r="D1372" t="s">
        <v>6064</v>
      </c>
      <c r="E1372">
        <f t="shared" si="21"/>
        <v>998</v>
      </c>
      <c r="F1372">
        <f>+COUNTIF(ADV!Z:Z,A1372)+COUNTIF(ADV!X:X,A1372)+COUNTIF(ADV!Y:Y,A1372)</f>
        <v>1</v>
      </c>
      <c r="G1372" t="s">
        <v>6845</v>
      </c>
    </row>
    <row r="1373" spans="1:7" x14ac:dyDescent="0.2">
      <c r="A1373" t="s">
        <v>3290</v>
      </c>
      <c r="B1373">
        <v>1020037</v>
      </c>
      <c r="C1373" t="s">
        <v>6848</v>
      </c>
      <c r="D1373" t="s">
        <v>6064</v>
      </c>
      <c r="E1373">
        <f t="shared" si="21"/>
        <v>622</v>
      </c>
      <c r="F1373">
        <f>+COUNTIF(ADV!Z:Z,A1373)+COUNTIF(ADV!X:X,A1373)+COUNTIF(ADV!Y:Y,A1373)</f>
        <v>1</v>
      </c>
      <c r="G1373" t="s">
        <v>6847</v>
      </c>
    </row>
    <row r="1374" spans="1:7" x14ac:dyDescent="0.2">
      <c r="A1374" t="s">
        <v>2449</v>
      </c>
      <c r="B1374">
        <v>1010146</v>
      </c>
      <c r="C1374" t="s">
        <v>6850</v>
      </c>
      <c r="D1374" t="s">
        <v>6064</v>
      </c>
      <c r="E1374">
        <f t="shared" si="21"/>
        <v>550</v>
      </c>
      <c r="F1374">
        <f>+COUNTIF(ADV!Z:Z,A1374)+COUNTIF(ADV!X:X,A1374)+COUNTIF(ADV!Y:Y,A1374)</f>
        <v>1</v>
      </c>
      <c r="G1374" t="s">
        <v>6849</v>
      </c>
    </row>
    <row r="1375" spans="1:7" x14ac:dyDescent="0.2">
      <c r="A1375" t="s">
        <v>1031</v>
      </c>
      <c r="B1375">
        <v>1020009</v>
      </c>
      <c r="C1375" t="s">
        <v>6852</v>
      </c>
      <c r="D1375" t="s">
        <v>6064</v>
      </c>
      <c r="E1375">
        <f t="shared" si="21"/>
        <v>48</v>
      </c>
      <c r="F1375">
        <f>+COUNTIF(ADV!Z:Z,A1375)+COUNTIF(ADV!X:X,A1375)+COUNTIF(ADV!Y:Y,A1375)</f>
        <v>11</v>
      </c>
      <c r="G1375" t="s">
        <v>6851</v>
      </c>
    </row>
    <row r="1376" spans="1:7" x14ac:dyDescent="0.2">
      <c r="A1376" t="s">
        <v>174</v>
      </c>
      <c r="B1376">
        <v>1070016</v>
      </c>
      <c r="C1376" t="s">
        <v>6854</v>
      </c>
      <c r="D1376" t="s">
        <v>6064</v>
      </c>
      <c r="E1376">
        <f t="shared" si="21"/>
        <v>80</v>
      </c>
      <c r="F1376">
        <f>+COUNTIF(ADV!Z:Z,A1376)+COUNTIF(ADV!X:X,A1376)+COUNTIF(ADV!Y:Y,A1376)</f>
        <v>3</v>
      </c>
      <c r="G1376" t="s">
        <v>6853</v>
      </c>
    </row>
    <row r="1377" spans="1:7" x14ac:dyDescent="0.2">
      <c r="A1377" t="s">
        <v>2097</v>
      </c>
      <c r="B1377">
        <v>1070021</v>
      </c>
      <c r="C1377" t="s">
        <v>6856</v>
      </c>
      <c r="D1377" t="s">
        <v>6064</v>
      </c>
      <c r="E1377">
        <f t="shared" si="21"/>
        <v>68</v>
      </c>
      <c r="F1377">
        <f>+COUNTIF(ADV!Z:Z,A1377)+COUNTIF(ADV!X:X,A1377)+COUNTIF(ADV!Y:Y,A1377)</f>
        <v>4</v>
      </c>
      <c r="G1377" t="s">
        <v>6855</v>
      </c>
    </row>
    <row r="1378" spans="1:7" x14ac:dyDescent="0.2">
      <c r="A1378" t="s">
        <v>4029</v>
      </c>
      <c r="B1378">
        <v>1010037</v>
      </c>
      <c r="C1378" t="s">
        <v>6858</v>
      </c>
      <c r="D1378" t="s">
        <v>6064</v>
      </c>
      <c r="E1378">
        <f t="shared" si="21"/>
        <v>624</v>
      </c>
      <c r="F1378">
        <f>+COUNTIF(ADV!Z:Z,A1378)+COUNTIF(ADV!X:X,A1378)+COUNTIF(ADV!Y:Y,A1378)</f>
        <v>1</v>
      </c>
      <c r="G1378" t="s">
        <v>6857</v>
      </c>
    </row>
    <row r="1379" spans="1:7" x14ac:dyDescent="0.2">
      <c r="A1379" t="s">
        <v>470</v>
      </c>
      <c r="B1379">
        <v>1010013</v>
      </c>
      <c r="C1379" t="s">
        <v>6860</v>
      </c>
      <c r="D1379" t="s">
        <v>6064</v>
      </c>
      <c r="E1379">
        <f t="shared" si="21"/>
        <v>505</v>
      </c>
      <c r="F1379">
        <f>+COUNTIF(ADV!Z:Z,A1379)+COUNTIF(ADV!X:X,A1379)+COUNTIF(ADV!Y:Y,A1379)</f>
        <v>1</v>
      </c>
      <c r="G1379" t="s">
        <v>6859</v>
      </c>
    </row>
    <row r="1380" spans="1:7" x14ac:dyDescent="0.2">
      <c r="A1380" t="s">
        <v>4311</v>
      </c>
      <c r="B1380">
        <v>1010063</v>
      </c>
      <c r="C1380" t="s">
        <v>6862</v>
      </c>
      <c r="D1380" t="s">
        <v>6064</v>
      </c>
      <c r="E1380">
        <f t="shared" si="21"/>
        <v>219</v>
      </c>
      <c r="F1380">
        <f>+COUNTIF(ADV!Z:Z,A1380)+COUNTIF(ADV!X:X,A1380)+COUNTIF(ADV!Y:Y,A1380)</f>
        <v>1</v>
      </c>
      <c r="G1380" t="s">
        <v>6861</v>
      </c>
    </row>
    <row r="1381" spans="1:7" x14ac:dyDescent="0.2">
      <c r="A1381" t="s">
        <v>3069</v>
      </c>
      <c r="B1381">
        <v>1010145</v>
      </c>
      <c r="C1381" t="s">
        <v>6864</v>
      </c>
      <c r="D1381" t="s">
        <v>6064</v>
      </c>
      <c r="E1381">
        <f t="shared" si="21"/>
        <v>98</v>
      </c>
      <c r="F1381">
        <f>+COUNTIF(ADV!Z:Z,A1381)+COUNTIF(ADV!X:X,A1381)+COUNTIF(ADV!Y:Y,A1381)</f>
        <v>1</v>
      </c>
      <c r="G1381" t="s">
        <v>6863</v>
      </c>
    </row>
    <row r="1382" spans="1:7" x14ac:dyDescent="0.2">
      <c r="A1382" t="s">
        <v>156</v>
      </c>
      <c r="B1382">
        <v>1010040</v>
      </c>
      <c r="C1382" t="s">
        <v>6866</v>
      </c>
      <c r="D1382" t="s">
        <v>6064</v>
      </c>
      <c r="E1382">
        <f t="shared" si="21"/>
        <v>509</v>
      </c>
      <c r="F1382">
        <f>+COUNTIF(ADV!Z:Z,A1382)+COUNTIF(ADV!X:X,A1382)+COUNTIF(ADV!Y:Y,A1382)</f>
        <v>1</v>
      </c>
      <c r="G1382" t="s">
        <v>6865</v>
      </c>
    </row>
    <row r="1383" spans="1:7" x14ac:dyDescent="0.2">
      <c r="A1383" t="s">
        <v>1000</v>
      </c>
      <c r="B1383">
        <v>1010086</v>
      </c>
      <c r="C1383" t="s">
        <v>6868</v>
      </c>
      <c r="D1383" t="s">
        <v>6064</v>
      </c>
      <c r="E1383">
        <f t="shared" si="21"/>
        <v>278</v>
      </c>
      <c r="F1383">
        <f>+COUNTIF(ADV!Z:Z,A1383)+COUNTIF(ADV!X:X,A1383)+COUNTIF(ADV!Y:Y,A1383)</f>
        <v>1</v>
      </c>
      <c r="G1383" t="s">
        <v>6867</v>
      </c>
    </row>
    <row r="1384" spans="1:7" x14ac:dyDescent="0.2">
      <c r="A1384" t="s">
        <v>3171</v>
      </c>
      <c r="B1384">
        <v>1020022</v>
      </c>
      <c r="C1384" t="s">
        <v>6872</v>
      </c>
      <c r="D1384" t="s">
        <v>6064</v>
      </c>
      <c r="E1384">
        <f t="shared" si="21"/>
        <v>207</v>
      </c>
      <c r="F1384">
        <f>+COUNTIF(ADV!Z:Z,A1384)+COUNTIF(ADV!X:X,A1384)+COUNTIF(ADV!Y:Y,A1384)</f>
        <v>1</v>
      </c>
      <c r="G1384" t="s">
        <v>6871</v>
      </c>
    </row>
    <row r="1385" spans="1:7" x14ac:dyDescent="0.2">
      <c r="A1385" t="s">
        <v>1093</v>
      </c>
      <c r="B1385">
        <v>1020031</v>
      </c>
      <c r="C1385" t="s">
        <v>6874</v>
      </c>
      <c r="D1385" t="s">
        <v>6064</v>
      </c>
      <c r="E1385">
        <f t="shared" si="21"/>
        <v>94</v>
      </c>
      <c r="F1385">
        <f>+COUNTIF(ADV!Z:Z,A1385)+COUNTIF(ADV!X:X,A1385)+COUNTIF(ADV!Y:Y,A1385)</f>
        <v>1</v>
      </c>
      <c r="G1385" t="s">
        <v>6873</v>
      </c>
    </row>
    <row r="1386" spans="1:7" x14ac:dyDescent="0.2">
      <c r="A1386" t="s">
        <v>1837</v>
      </c>
      <c r="B1386">
        <v>1010088</v>
      </c>
      <c r="C1386" t="s">
        <v>6876</v>
      </c>
      <c r="D1386" t="s">
        <v>6064</v>
      </c>
      <c r="E1386">
        <f t="shared" si="21"/>
        <v>409</v>
      </c>
      <c r="F1386">
        <f>+COUNTIF(ADV!Z:Z,A1386)+COUNTIF(ADV!X:X,A1386)+COUNTIF(ADV!Y:Y,A1386)</f>
        <v>1</v>
      </c>
      <c r="G1386" t="s">
        <v>6875</v>
      </c>
    </row>
    <row r="1387" spans="1:7" x14ac:dyDescent="0.2">
      <c r="A1387" t="s">
        <v>1197</v>
      </c>
      <c r="B1387">
        <v>1010066</v>
      </c>
      <c r="C1387" t="s">
        <v>6878</v>
      </c>
      <c r="D1387" t="s">
        <v>6064</v>
      </c>
      <c r="E1387">
        <f t="shared" si="21"/>
        <v>1042</v>
      </c>
      <c r="F1387">
        <f>+COUNTIF(ADV!Z:Z,A1387)+COUNTIF(ADV!X:X,A1387)+COUNTIF(ADV!Y:Y,A1387)</f>
        <v>1</v>
      </c>
      <c r="G1387" t="s">
        <v>6877</v>
      </c>
    </row>
    <row r="1388" spans="1:7" x14ac:dyDescent="0.2">
      <c r="A1388" t="s">
        <v>1705</v>
      </c>
      <c r="B1388">
        <v>1010197</v>
      </c>
      <c r="C1388" t="s">
        <v>6880</v>
      </c>
      <c r="D1388" t="s">
        <v>6064</v>
      </c>
      <c r="E1388">
        <f t="shared" si="21"/>
        <v>1166</v>
      </c>
      <c r="F1388">
        <f>+COUNTIF(ADV!Z:Z,A1388)+COUNTIF(ADV!X:X,A1388)+COUNTIF(ADV!Y:Y,A1388)</f>
        <v>1</v>
      </c>
      <c r="G1388" t="s">
        <v>6879</v>
      </c>
    </row>
    <row r="1389" spans="1:7" x14ac:dyDescent="0.2">
      <c r="A1389" t="s">
        <v>635</v>
      </c>
      <c r="B1389">
        <v>1010070</v>
      </c>
      <c r="C1389" t="s">
        <v>6882</v>
      </c>
      <c r="D1389" t="s">
        <v>6064</v>
      </c>
      <c r="E1389">
        <f t="shared" si="21"/>
        <v>460</v>
      </c>
      <c r="F1389">
        <f>+COUNTIF(ADV!Z:Z,A1389)+COUNTIF(ADV!X:X,A1389)+COUNTIF(ADV!Y:Y,A1389)</f>
        <v>1</v>
      </c>
      <c r="G1389" t="s">
        <v>6881</v>
      </c>
    </row>
    <row r="1390" spans="1:7" x14ac:dyDescent="0.2">
      <c r="A1390" t="s">
        <v>454</v>
      </c>
      <c r="B1390">
        <v>1070019</v>
      </c>
      <c r="C1390" t="s">
        <v>6884</v>
      </c>
      <c r="D1390" t="s">
        <v>6064</v>
      </c>
      <c r="E1390">
        <f t="shared" si="21"/>
        <v>46</v>
      </c>
      <c r="F1390">
        <f>+COUNTIF(ADV!Z:Z,A1390)+COUNTIF(ADV!X:X,A1390)+COUNTIF(ADV!Y:Y,A1390)</f>
        <v>2</v>
      </c>
      <c r="G1390" t="s">
        <v>6883</v>
      </c>
    </row>
    <row r="1391" spans="1:7" x14ac:dyDescent="0.2">
      <c r="A1391" t="s">
        <v>1778</v>
      </c>
      <c r="B1391">
        <v>1020002</v>
      </c>
      <c r="C1391" t="s">
        <v>6885</v>
      </c>
      <c r="D1391" t="s">
        <v>6064</v>
      </c>
      <c r="E1391">
        <f t="shared" si="21"/>
        <v>150</v>
      </c>
      <c r="F1391">
        <f>+COUNTIF(ADV!Z:Z,A1391)+COUNTIF(ADV!X:X,A1391)+COUNTIF(ADV!Y:Y,A1391)</f>
        <v>1</v>
      </c>
      <c r="G1391" t="s">
        <v>1769</v>
      </c>
    </row>
    <row r="1392" spans="1:7" x14ac:dyDescent="0.2">
      <c r="A1392" t="s">
        <v>4526</v>
      </c>
      <c r="B1392">
        <v>1010193</v>
      </c>
      <c r="C1392" t="s">
        <v>6887</v>
      </c>
      <c r="D1392" t="s">
        <v>6064</v>
      </c>
      <c r="E1392">
        <f t="shared" si="21"/>
        <v>658</v>
      </c>
      <c r="F1392">
        <f>+COUNTIF(ADV!Z:Z,A1392)+COUNTIF(ADV!X:X,A1392)+COUNTIF(ADV!Y:Y,A1392)</f>
        <v>1</v>
      </c>
      <c r="G1392" t="s">
        <v>6886</v>
      </c>
    </row>
    <row r="1393" spans="1:7" x14ac:dyDescent="0.2">
      <c r="A1393" t="s">
        <v>1878</v>
      </c>
      <c r="B1393">
        <v>1020013</v>
      </c>
      <c r="C1393" t="s">
        <v>6888</v>
      </c>
      <c r="D1393" t="s">
        <v>6064</v>
      </c>
      <c r="E1393">
        <f t="shared" si="21"/>
        <v>448</v>
      </c>
      <c r="F1393">
        <f>+COUNTIF(ADV!Z:Z,A1393)+COUNTIF(ADV!X:X,A1393)+COUNTIF(ADV!Y:Y,A1393)</f>
        <v>1</v>
      </c>
      <c r="G1393" t="s">
        <v>1870</v>
      </c>
    </row>
    <row r="1394" spans="1:7" x14ac:dyDescent="0.2">
      <c r="A1394" t="s">
        <v>865</v>
      </c>
      <c r="B1394">
        <v>1010013</v>
      </c>
      <c r="C1394" t="s">
        <v>6890</v>
      </c>
      <c r="D1394" t="s">
        <v>6064</v>
      </c>
      <c r="E1394">
        <f t="shared" si="21"/>
        <v>242</v>
      </c>
      <c r="F1394">
        <f>+COUNTIF(ADV!Z:Z,A1394)+COUNTIF(ADV!X:X,A1394)+COUNTIF(ADV!Y:Y,A1394)</f>
        <v>1</v>
      </c>
      <c r="G1394" t="s">
        <v>6889</v>
      </c>
    </row>
    <row r="1395" spans="1:7" x14ac:dyDescent="0.2">
      <c r="A1395" t="s">
        <v>8373</v>
      </c>
      <c r="B1395">
        <v>1010139</v>
      </c>
      <c r="C1395" t="s">
        <v>8374</v>
      </c>
      <c r="D1395" t="s">
        <v>6064</v>
      </c>
      <c r="E1395">
        <f t="shared" ref="E1395:E1438" si="22">+LEN(C1395)</f>
        <v>70</v>
      </c>
      <c r="F1395">
        <f>+COUNTIF(ADV!Z:Z,A1395)+COUNTIF(ADV!X:X,A1395)+COUNTIF(ADV!Y:Y,A1395)</f>
        <v>0</v>
      </c>
      <c r="G1395" t="s">
        <v>6891</v>
      </c>
    </row>
    <row r="1396" spans="1:7" x14ac:dyDescent="0.2">
      <c r="A1396" t="s">
        <v>910</v>
      </c>
      <c r="B1396">
        <v>1010002</v>
      </c>
      <c r="C1396" t="s">
        <v>6894</v>
      </c>
      <c r="D1396" t="s">
        <v>6064</v>
      </c>
      <c r="E1396">
        <f t="shared" si="22"/>
        <v>37</v>
      </c>
      <c r="F1396">
        <f>+COUNTIF(ADV!Z:Z,A1396)+COUNTIF(ADV!X:X,A1396)+COUNTIF(ADV!Y:Y,A1396)</f>
        <v>23</v>
      </c>
      <c r="G1396" t="s">
        <v>6893</v>
      </c>
    </row>
    <row r="1397" spans="1:7" x14ac:dyDescent="0.2">
      <c r="A1397" t="s">
        <v>319</v>
      </c>
      <c r="B1397">
        <v>1010036</v>
      </c>
      <c r="C1397" t="s">
        <v>6896</v>
      </c>
      <c r="D1397" t="s">
        <v>6064</v>
      </c>
      <c r="E1397">
        <f t="shared" si="22"/>
        <v>135</v>
      </c>
      <c r="F1397">
        <f>+COUNTIF(ADV!Z:Z,A1397)+COUNTIF(ADV!X:X,A1397)+COUNTIF(ADV!Y:Y,A1397)</f>
        <v>9</v>
      </c>
      <c r="G1397" t="s">
        <v>6895</v>
      </c>
    </row>
    <row r="1398" spans="1:7" x14ac:dyDescent="0.2">
      <c r="A1398" t="s">
        <v>4224</v>
      </c>
      <c r="B1398">
        <v>1020005</v>
      </c>
      <c r="C1398" t="s">
        <v>6900</v>
      </c>
      <c r="D1398" t="s">
        <v>6064</v>
      </c>
      <c r="E1398">
        <f t="shared" si="22"/>
        <v>167</v>
      </c>
      <c r="F1398">
        <f>+COUNTIF(ADV!Z:Z,A1398)+COUNTIF(ADV!X:X,A1398)+COUNTIF(ADV!Y:Y,A1398)</f>
        <v>1</v>
      </c>
      <c r="G1398" t="s">
        <v>6899</v>
      </c>
    </row>
    <row r="1399" spans="1:7" x14ac:dyDescent="0.2">
      <c r="A1399" t="s">
        <v>3567</v>
      </c>
      <c r="B1399">
        <v>1020002</v>
      </c>
      <c r="C1399" t="s">
        <v>6901</v>
      </c>
      <c r="D1399" t="s">
        <v>6064</v>
      </c>
      <c r="E1399">
        <f t="shared" si="22"/>
        <v>321</v>
      </c>
      <c r="F1399">
        <f>+COUNTIF(ADV!Z:Z,A1399)+COUNTIF(ADV!X:X,A1399)+COUNTIF(ADV!Y:Y,A1399)</f>
        <v>1</v>
      </c>
      <c r="G1399" t="s">
        <v>3559</v>
      </c>
    </row>
    <row r="1400" spans="1:7" x14ac:dyDescent="0.2">
      <c r="A1400" t="s">
        <v>4127</v>
      </c>
      <c r="B1400">
        <v>1010065</v>
      </c>
      <c r="C1400" t="s">
        <v>6903</v>
      </c>
      <c r="D1400" t="s">
        <v>6064</v>
      </c>
      <c r="E1400">
        <f t="shared" si="22"/>
        <v>639</v>
      </c>
      <c r="F1400">
        <f>+COUNTIF(ADV!Z:Z,A1400)+COUNTIF(ADV!X:X,A1400)+COUNTIF(ADV!Y:Y,A1400)</f>
        <v>1</v>
      </c>
      <c r="G1400" t="s">
        <v>6902</v>
      </c>
    </row>
    <row r="1401" spans="1:7" x14ac:dyDescent="0.2">
      <c r="A1401" t="s">
        <v>4238</v>
      </c>
      <c r="B1401">
        <v>1010006</v>
      </c>
      <c r="C1401" t="s">
        <v>6904</v>
      </c>
      <c r="D1401" t="s">
        <v>6064</v>
      </c>
      <c r="E1401">
        <f t="shared" si="22"/>
        <v>307</v>
      </c>
      <c r="F1401">
        <f>+COUNTIF(ADV!Z:Z,A1401)+COUNTIF(ADV!X:X,A1401)+COUNTIF(ADV!Y:Y,A1401)</f>
        <v>1</v>
      </c>
      <c r="G1401" t="s">
        <v>4231</v>
      </c>
    </row>
    <row r="1402" spans="1:7" x14ac:dyDescent="0.2">
      <c r="A1402" t="s">
        <v>453</v>
      </c>
      <c r="B1402">
        <v>1010129</v>
      </c>
      <c r="C1402" t="s">
        <v>6906</v>
      </c>
      <c r="D1402" t="s">
        <v>6064</v>
      </c>
      <c r="E1402">
        <f t="shared" si="22"/>
        <v>399</v>
      </c>
      <c r="F1402">
        <f>+COUNTIF(ADV!Z:Z,A1402)+COUNTIF(ADV!X:X,A1402)+COUNTIF(ADV!Y:Y,A1402)</f>
        <v>1</v>
      </c>
      <c r="G1402" t="s">
        <v>6905</v>
      </c>
    </row>
    <row r="1403" spans="1:7" x14ac:dyDescent="0.2">
      <c r="A1403" t="s">
        <v>4557</v>
      </c>
      <c r="B1403">
        <v>1010001</v>
      </c>
      <c r="C1403" t="s">
        <v>6908</v>
      </c>
      <c r="D1403" t="s">
        <v>6064</v>
      </c>
      <c r="E1403">
        <f t="shared" si="22"/>
        <v>297</v>
      </c>
      <c r="F1403">
        <f>+COUNTIF(ADV!Z:Z,A1403)+COUNTIF(ADV!X:X,A1403)+COUNTIF(ADV!Y:Y,A1403)</f>
        <v>1</v>
      </c>
      <c r="G1403" t="s">
        <v>6907</v>
      </c>
    </row>
    <row r="1404" spans="1:7" x14ac:dyDescent="0.2">
      <c r="A1404" t="s">
        <v>1736</v>
      </c>
      <c r="B1404">
        <v>1010083</v>
      </c>
      <c r="C1404" t="s">
        <v>6910</v>
      </c>
      <c r="D1404" t="s">
        <v>6064</v>
      </c>
      <c r="E1404">
        <f t="shared" si="22"/>
        <v>392</v>
      </c>
      <c r="F1404">
        <f>+COUNTIF(ADV!Z:Z,A1404)+COUNTIF(ADV!X:X,A1404)+COUNTIF(ADV!Y:Y,A1404)</f>
        <v>1</v>
      </c>
      <c r="G1404" t="s">
        <v>6909</v>
      </c>
    </row>
    <row r="1405" spans="1:7" x14ac:dyDescent="0.2">
      <c r="A1405" t="s">
        <v>3523</v>
      </c>
      <c r="B1405">
        <v>1010134</v>
      </c>
      <c r="C1405" t="s">
        <v>6914</v>
      </c>
      <c r="D1405" t="s">
        <v>6064</v>
      </c>
      <c r="E1405">
        <f t="shared" si="22"/>
        <v>482</v>
      </c>
      <c r="F1405">
        <f>+COUNTIF(ADV!Z:Z,A1405)+COUNTIF(ADV!X:X,A1405)+COUNTIF(ADV!Y:Y,A1405)</f>
        <v>1</v>
      </c>
      <c r="G1405" t="s">
        <v>6913</v>
      </c>
    </row>
    <row r="1406" spans="1:7" x14ac:dyDescent="0.2">
      <c r="A1406" t="s">
        <v>814</v>
      </c>
      <c r="B1406">
        <v>1010012</v>
      </c>
      <c r="C1406" t="s">
        <v>8375</v>
      </c>
      <c r="D1406" t="s">
        <v>6064</v>
      </c>
      <c r="E1406">
        <f t="shared" si="22"/>
        <v>273</v>
      </c>
      <c r="F1406">
        <f>+COUNTIF(ADV!Z:Z,A1406)+COUNTIF(ADV!X:X,A1406)+COUNTIF(ADV!Y:Y,A1406)</f>
        <v>1</v>
      </c>
      <c r="G1406" t="s">
        <v>805</v>
      </c>
    </row>
    <row r="1407" spans="1:7" x14ac:dyDescent="0.2">
      <c r="A1407" t="s">
        <v>1125</v>
      </c>
      <c r="B1407">
        <v>1010055</v>
      </c>
      <c r="C1407" t="s">
        <v>6916</v>
      </c>
      <c r="D1407" t="s">
        <v>6064</v>
      </c>
      <c r="E1407">
        <f t="shared" si="22"/>
        <v>342</v>
      </c>
      <c r="F1407">
        <f>+COUNTIF(ADV!Z:Z,A1407)+COUNTIF(ADV!X:X,A1407)+COUNTIF(ADV!Y:Y,A1407)</f>
        <v>1</v>
      </c>
      <c r="G1407" t="s">
        <v>1116</v>
      </c>
    </row>
    <row r="1408" spans="1:7" x14ac:dyDescent="0.2">
      <c r="A1408" t="s">
        <v>2235</v>
      </c>
      <c r="B1408">
        <v>1010036</v>
      </c>
      <c r="C1408" t="s">
        <v>6917</v>
      </c>
      <c r="D1408" t="s">
        <v>6064</v>
      </c>
      <c r="E1408">
        <f t="shared" si="22"/>
        <v>302</v>
      </c>
      <c r="F1408">
        <f>+COUNTIF(ADV!Z:Z,A1408)+COUNTIF(ADV!X:X,A1408)+COUNTIF(ADV!Y:Y,A1408)</f>
        <v>1</v>
      </c>
      <c r="G1408" t="s">
        <v>2226</v>
      </c>
    </row>
    <row r="1409" spans="1:7" x14ac:dyDescent="0.2">
      <c r="A1409" t="s">
        <v>988</v>
      </c>
      <c r="B1409">
        <v>1010123</v>
      </c>
      <c r="C1409" t="s">
        <v>6919</v>
      </c>
      <c r="D1409" t="s">
        <v>6064</v>
      </c>
      <c r="E1409">
        <f t="shared" si="22"/>
        <v>81</v>
      </c>
      <c r="F1409">
        <f>+COUNTIF(ADV!Z:Z,A1409)+COUNTIF(ADV!X:X,A1409)+COUNTIF(ADV!Y:Y,A1409)</f>
        <v>1</v>
      </c>
      <c r="G1409" t="s">
        <v>6918</v>
      </c>
    </row>
    <row r="1410" spans="1:7" x14ac:dyDescent="0.2">
      <c r="A1410" t="s">
        <v>1905</v>
      </c>
      <c r="B1410">
        <v>1010051</v>
      </c>
      <c r="C1410" t="s">
        <v>6920</v>
      </c>
      <c r="D1410" t="s">
        <v>6064</v>
      </c>
      <c r="E1410">
        <f t="shared" si="22"/>
        <v>274</v>
      </c>
      <c r="F1410">
        <f>+COUNTIF(ADV!Z:Z,A1410)+COUNTIF(ADV!X:X,A1410)+COUNTIF(ADV!Y:Y,A1410)</f>
        <v>1</v>
      </c>
      <c r="G1410" t="s">
        <v>1897</v>
      </c>
    </row>
    <row r="1411" spans="1:7" x14ac:dyDescent="0.2">
      <c r="A1411" t="s">
        <v>798</v>
      </c>
      <c r="B1411">
        <v>1010013</v>
      </c>
      <c r="C1411" t="s">
        <v>6922</v>
      </c>
      <c r="D1411" t="s">
        <v>6064</v>
      </c>
      <c r="E1411">
        <f t="shared" si="22"/>
        <v>309</v>
      </c>
      <c r="F1411">
        <f>+COUNTIF(ADV!Z:Z,A1411)+COUNTIF(ADV!X:X,A1411)+COUNTIF(ADV!Y:Y,A1411)</f>
        <v>1</v>
      </c>
      <c r="G1411" t="s">
        <v>6921</v>
      </c>
    </row>
    <row r="1412" spans="1:7" x14ac:dyDescent="0.2">
      <c r="A1412" t="s">
        <v>8376</v>
      </c>
      <c r="B1412">
        <v>1010024</v>
      </c>
      <c r="C1412" t="s">
        <v>6615</v>
      </c>
      <c r="D1412" t="s">
        <v>6064</v>
      </c>
      <c r="E1412">
        <f t="shared" si="22"/>
        <v>199</v>
      </c>
      <c r="F1412">
        <f>+COUNTIF(ADV!Z:Z,A1412)+COUNTIF(ADV!X:X,A1412)+COUNTIF(ADV!Y:Y,A1412)</f>
        <v>0</v>
      </c>
      <c r="G1412" t="s">
        <v>6614</v>
      </c>
    </row>
    <row r="1413" spans="1:7" x14ac:dyDescent="0.2">
      <c r="A1413" t="s">
        <v>2638</v>
      </c>
      <c r="B1413">
        <v>1020041</v>
      </c>
      <c r="C1413" t="s">
        <v>6926</v>
      </c>
      <c r="D1413" t="s">
        <v>6064</v>
      </c>
      <c r="E1413">
        <f t="shared" si="22"/>
        <v>527</v>
      </c>
      <c r="F1413">
        <f>+COUNTIF(ADV!Z:Z,A1413)+COUNTIF(ADV!X:X,A1413)+COUNTIF(ADV!Y:Y,A1413)</f>
        <v>1</v>
      </c>
      <c r="G1413" t="s">
        <v>6925</v>
      </c>
    </row>
    <row r="1414" spans="1:7" x14ac:dyDescent="0.2">
      <c r="A1414" t="s">
        <v>1722</v>
      </c>
      <c r="B1414">
        <v>1010002</v>
      </c>
      <c r="C1414" t="s">
        <v>6928</v>
      </c>
      <c r="D1414" t="s">
        <v>6064</v>
      </c>
      <c r="E1414">
        <f t="shared" si="22"/>
        <v>187</v>
      </c>
      <c r="F1414">
        <f>+COUNTIF(ADV!Z:Z,A1414)+COUNTIF(ADV!X:X,A1414)+COUNTIF(ADV!Y:Y,A1414)</f>
        <v>1</v>
      </c>
      <c r="G1414" t="s">
        <v>6927</v>
      </c>
    </row>
    <row r="1415" spans="1:7" x14ac:dyDescent="0.2">
      <c r="A1415" t="s">
        <v>3698</v>
      </c>
      <c r="B1415">
        <v>1010068</v>
      </c>
      <c r="C1415" t="s">
        <v>6930</v>
      </c>
      <c r="D1415" t="s">
        <v>6064</v>
      </c>
      <c r="E1415">
        <f t="shared" si="22"/>
        <v>233</v>
      </c>
      <c r="F1415">
        <f>+COUNTIF(ADV!Z:Z,A1415)+COUNTIF(ADV!X:X,A1415)+COUNTIF(ADV!Y:Y,A1415)</f>
        <v>1</v>
      </c>
      <c r="G1415" t="s">
        <v>6929</v>
      </c>
    </row>
    <row r="1416" spans="1:7" x14ac:dyDescent="0.2">
      <c r="A1416" t="s">
        <v>3344</v>
      </c>
      <c r="B1416">
        <v>1010177</v>
      </c>
      <c r="C1416" t="s">
        <v>6932</v>
      </c>
      <c r="D1416" t="s">
        <v>6064</v>
      </c>
      <c r="E1416">
        <f t="shared" si="22"/>
        <v>317</v>
      </c>
      <c r="F1416">
        <f>+COUNTIF(ADV!Z:Z,A1416)+COUNTIF(ADV!X:X,A1416)+COUNTIF(ADV!Y:Y,A1416)</f>
        <v>1</v>
      </c>
      <c r="G1416" t="s">
        <v>6931</v>
      </c>
    </row>
    <row r="1417" spans="1:7" x14ac:dyDescent="0.2">
      <c r="A1417" t="s">
        <v>320</v>
      </c>
      <c r="B1417">
        <v>1070002</v>
      </c>
      <c r="C1417" t="s">
        <v>6583</v>
      </c>
      <c r="D1417" t="s">
        <v>6064</v>
      </c>
      <c r="E1417">
        <f t="shared" si="22"/>
        <v>206</v>
      </c>
      <c r="F1417">
        <f>+COUNTIF(ADV!Z:Z,A1417)+COUNTIF(ADV!X:X,A1417)+COUNTIF(ADV!Y:Y,A1417)</f>
        <v>1</v>
      </c>
      <c r="G1417" t="s">
        <v>6933</v>
      </c>
    </row>
    <row r="1418" spans="1:7" x14ac:dyDescent="0.2">
      <c r="A1418" t="s">
        <v>1409</v>
      </c>
      <c r="B1418">
        <v>1010013</v>
      </c>
      <c r="C1418" t="s">
        <v>6935</v>
      </c>
      <c r="D1418" t="s">
        <v>6064</v>
      </c>
      <c r="E1418">
        <f t="shared" si="22"/>
        <v>293</v>
      </c>
      <c r="F1418">
        <f>+COUNTIF(ADV!Z:Z,A1418)+COUNTIF(ADV!X:X,A1418)+COUNTIF(ADV!Y:Y,A1418)</f>
        <v>2</v>
      </c>
      <c r="G1418" t="s">
        <v>6934</v>
      </c>
    </row>
    <row r="1419" spans="1:7" x14ac:dyDescent="0.2">
      <c r="A1419" t="s">
        <v>2549</v>
      </c>
      <c r="B1419">
        <v>1070014</v>
      </c>
      <c r="C1419" t="s">
        <v>6936</v>
      </c>
      <c r="D1419" t="s">
        <v>6064</v>
      </c>
      <c r="E1419">
        <f t="shared" si="22"/>
        <v>288</v>
      </c>
      <c r="F1419">
        <f>+COUNTIF(ADV!Z:Z,A1419)+COUNTIF(ADV!X:X,A1419)+COUNTIF(ADV!Y:Y,A1419)</f>
        <v>1</v>
      </c>
      <c r="G1419" t="s">
        <v>2541</v>
      </c>
    </row>
    <row r="1420" spans="1:7" x14ac:dyDescent="0.2">
      <c r="A1420" t="s">
        <v>2423</v>
      </c>
      <c r="B1420">
        <v>1020036</v>
      </c>
      <c r="C1420" t="s">
        <v>6938</v>
      </c>
      <c r="D1420" t="s">
        <v>6064</v>
      </c>
      <c r="E1420">
        <f t="shared" si="22"/>
        <v>533</v>
      </c>
      <c r="F1420">
        <f>+COUNTIF(ADV!Z:Z,A1420)+COUNTIF(ADV!X:X,A1420)+COUNTIF(ADV!Y:Y,A1420)</f>
        <v>1</v>
      </c>
      <c r="G1420" t="s">
        <v>6937</v>
      </c>
    </row>
    <row r="1421" spans="1:7" x14ac:dyDescent="0.2">
      <c r="A1421" t="s">
        <v>3188</v>
      </c>
      <c r="B1421">
        <v>1010130</v>
      </c>
      <c r="C1421" t="s">
        <v>6940</v>
      </c>
      <c r="D1421" t="s">
        <v>6064</v>
      </c>
      <c r="E1421">
        <f t="shared" si="22"/>
        <v>400</v>
      </c>
      <c r="F1421">
        <f>+COUNTIF(ADV!Z:Z,A1421)+COUNTIF(ADV!X:X,A1421)+COUNTIF(ADV!Y:Y,A1421)</f>
        <v>1</v>
      </c>
      <c r="G1421" t="s">
        <v>6939</v>
      </c>
    </row>
    <row r="1422" spans="1:7" x14ac:dyDescent="0.2">
      <c r="A1422" t="s">
        <v>1074</v>
      </c>
      <c r="B1422">
        <v>1010066</v>
      </c>
      <c r="C1422" t="s">
        <v>6942</v>
      </c>
      <c r="D1422" t="s">
        <v>6064</v>
      </c>
      <c r="E1422">
        <f t="shared" si="22"/>
        <v>1037</v>
      </c>
      <c r="F1422">
        <f>+COUNTIF(ADV!Z:Z,A1422)+COUNTIF(ADV!X:X,A1422)+COUNTIF(ADV!Y:Y,A1422)</f>
        <v>1</v>
      </c>
      <c r="G1422" t="s">
        <v>6941</v>
      </c>
    </row>
    <row r="1423" spans="1:7" x14ac:dyDescent="0.2">
      <c r="A1423" t="s">
        <v>1075</v>
      </c>
      <c r="B1423">
        <v>1010005</v>
      </c>
      <c r="C1423" t="s">
        <v>6944</v>
      </c>
      <c r="D1423" t="s">
        <v>6064</v>
      </c>
      <c r="E1423">
        <f t="shared" si="22"/>
        <v>506</v>
      </c>
      <c r="F1423">
        <f>+COUNTIF(ADV!Z:Z,A1423)+COUNTIF(ADV!X:X,A1423)+COUNTIF(ADV!Y:Y,A1423)</f>
        <v>1</v>
      </c>
      <c r="G1423" t="s">
        <v>6943</v>
      </c>
    </row>
    <row r="1424" spans="1:7" x14ac:dyDescent="0.2">
      <c r="A1424" t="s">
        <v>302</v>
      </c>
      <c r="B1424">
        <v>1070002</v>
      </c>
      <c r="C1424" t="s">
        <v>6583</v>
      </c>
      <c r="D1424" t="s">
        <v>6064</v>
      </c>
      <c r="E1424">
        <f t="shared" si="22"/>
        <v>206</v>
      </c>
      <c r="F1424">
        <f>+COUNTIF(ADV!Z:Z,A1424)+COUNTIF(ADV!X:X,A1424)+COUNTIF(ADV!Y:Y,A1424)</f>
        <v>1</v>
      </c>
      <c r="G1424" t="s">
        <v>6945</v>
      </c>
    </row>
    <row r="1425" spans="1:7" x14ac:dyDescent="0.2">
      <c r="A1425" t="s">
        <v>4369</v>
      </c>
      <c r="B1425">
        <v>1010119</v>
      </c>
      <c r="C1425" t="s">
        <v>6947</v>
      </c>
      <c r="D1425" t="s">
        <v>6064</v>
      </c>
      <c r="E1425">
        <f t="shared" si="22"/>
        <v>325</v>
      </c>
      <c r="F1425">
        <f>+COUNTIF(ADV!Z:Z,A1425)+COUNTIF(ADV!X:X,A1425)+COUNTIF(ADV!Y:Y,A1425)</f>
        <v>1</v>
      </c>
      <c r="G1425" t="s">
        <v>6946</v>
      </c>
    </row>
    <row r="1426" spans="1:7" x14ac:dyDescent="0.2">
      <c r="A1426" t="s">
        <v>2141</v>
      </c>
      <c r="B1426">
        <v>1020002</v>
      </c>
      <c r="C1426" t="s">
        <v>6949</v>
      </c>
      <c r="D1426" t="s">
        <v>6064</v>
      </c>
      <c r="E1426">
        <f t="shared" si="22"/>
        <v>193</v>
      </c>
      <c r="F1426">
        <f>+COUNTIF(ADV!Z:Z,A1426)+COUNTIF(ADV!X:X,A1426)+COUNTIF(ADV!Y:Y,A1426)</f>
        <v>1</v>
      </c>
      <c r="G1426" t="s">
        <v>6948</v>
      </c>
    </row>
    <row r="1427" spans="1:7" x14ac:dyDescent="0.2">
      <c r="A1427" t="s">
        <v>3829</v>
      </c>
      <c r="B1427">
        <v>1020029</v>
      </c>
      <c r="C1427" t="s">
        <v>6951</v>
      </c>
      <c r="D1427" t="s">
        <v>6064</v>
      </c>
      <c r="E1427">
        <f t="shared" si="22"/>
        <v>488</v>
      </c>
      <c r="F1427">
        <f>+COUNTIF(ADV!Z:Z,A1427)+COUNTIF(ADV!X:X,A1427)+COUNTIF(ADV!Y:Y,A1427)</f>
        <v>1</v>
      </c>
      <c r="G1427" t="s">
        <v>6950</v>
      </c>
    </row>
    <row r="1428" spans="1:7" x14ac:dyDescent="0.2">
      <c r="A1428" t="s">
        <v>1304</v>
      </c>
      <c r="B1428">
        <v>1010118</v>
      </c>
      <c r="C1428" t="s">
        <v>6953</v>
      </c>
      <c r="D1428" t="s">
        <v>6064</v>
      </c>
      <c r="E1428">
        <f t="shared" si="22"/>
        <v>505</v>
      </c>
      <c r="F1428">
        <f>+COUNTIF(ADV!Z:Z,A1428)+COUNTIF(ADV!X:X,A1428)+COUNTIF(ADV!Y:Y,A1428)</f>
        <v>1</v>
      </c>
      <c r="G1428" t="s">
        <v>6952</v>
      </c>
    </row>
    <row r="1429" spans="1:7" x14ac:dyDescent="0.2">
      <c r="A1429" t="s">
        <v>2005</v>
      </c>
      <c r="B1429">
        <v>1010160</v>
      </c>
      <c r="C1429" t="s">
        <v>6955</v>
      </c>
      <c r="D1429" t="s">
        <v>6064</v>
      </c>
      <c r="E1429">
        <f t="shared" si="22"/>
        <v>267</v>
      </c>
      <c r="F1429">
        <f>+COUNTIF(ADV!Z:Z,A1429)+COUNTIF(ADV!X:X,A1429)+COUNTIF(ADV!Y:Y,A1429)</f>
        <v>1</v>
      </c>
      <c r="G1429" t="s">
        <v>6954</v>
      </c>
    </row>
    <row r="1430" spans="1:7" x14ac:dyDescent="0.2">
      <c r="A1430" t="s">
        <v>4168</v>
      </c>
      <c r="B1430">
        <v>1010048</v>
      </c>
      <c r="C1430" t="s">
        <v>6957</v>
      </c>
      <c r="D1430" t="s">
        <v>6064</v>
      </c>
      <c r="E1430">
        <f t="shared" si="22"/>
        <v>407</v>
      </c>
      <c r="F1430">
        <f>+COUNTIF(ADV!Z:Z,A1430)+COUNTIF(ADV!X:X,A1430)+COUNTIF(ADV!Y:Y,A1430)</f>
        <v>1</v>
      </c>
      <c r="G1430" t="s">
        <v>6956</v>
      </c>
    </row>
    <row r="1431" spans="1:7" x14ac:dyDescent="0.2">
      <c r="A1431" t="s">
        <v>4002</v>
      </c>
      <c r="B1431">
        <v>1010096</v>
      </c>
      <c r="C1431" t="s">
        <v>6959</v>
      </c>
      <c r="D1431" t="s">
        <v>6064</v>
      </c>
      <c r="E1431">
        <f t="shared" si="22"/>
        <v>623</v>
      </c>
      <c r="F1431">
        <f>+COUNTIF(ADV!Z:Z,A1431)+COUNTIF(ADV!X:X,A1431)+COUNTIF(ADV!Y:Y,A1431)</f>
        <v>1</v>
      </c>
      <c r="G1431" t="s">
        <v>6958</v>
      </c>
    </row>
    <row r="1432" spans="1:7" x14ac:dyDescent="0.2">
      <c r="A1432" t="s">
        <v>2504</v>
      </c>
      <c r="B1432">
        <v>1010116</v>
      </c>
      <c r="C1432" t="s">
        <v>6961</v>
      </c>
      <c r="D1432" t="s">
        <v>6064</v>
      </c>
      <c r="E1432">
        <f t="shared" si="22"/>
        <v>592</v>
      </c>
      <c r="F1432">
        <f>+COUNTIF(ADV!Z:Z,A1432)+COUNTIF(ADV!X:X,A1432)+COUNTIF(ADV!Y:Y,A1432)</f>
        <v>1</v>
      </c>
      <c r="G1432" t="s">
        <v>6960</v>
      </c>
    </row>
    <row r="1433" spans="1:7" x14ac:dyDescent="0.2">
      <c r="A1433" t="s">
        <v>356</v>
      </c>
      <c r="B1433">
        <v>1010031</v>
      </c>
      <c r="C1433" t="s">
        <v>6963</v>
      </c>
      <c r="D1433" t="s">
        <v>6064</v>
      </c>
      <c r="E1433">
        <f t="shared" si="22"/>
        <v>323</v>
      </c>
      <c r="F1433">
        <f>+COUNTIF(ADV!Z:Z,A1433)+COUNTIF(ADV!X:X,A1433)+COUNTIF(ADV!Y:Y,A1433)</f>
        <v>1</v>
      </c>
      <c r="G1433" t="s">
        <v>6962</v>
      </c>
    </row>
    <row r="1434" spans="1:7" x14ac:dyDescent="0.2">
      <c r="A1434" t="s">
        <v>3944</v>
      </c>
      <c r="B1434">
        <v>1010037</v>
      </c>
      <c r="C1434" t="s">
        <v>6965</v>
      </c>
      <c r="D1434" t="s">
        <v>6064</v>
      </c>
      <c r="E1434">
        <f t="shared" si="22"/>
        <v>478</v>
      </c>
      <c r="F1434">
        <f>+COUNTIF(ADV!Z:Z,A1434)+COUNTIF(ADV!X:X,A1434)+COUNTIF(ADV!Y:Y,A1434)</f>
        <v>1</v>
      </c>
      <c r="G1434" t="s">
        <v>6964</v>
      </c>
    </row>
    <row r="1435" spans="1:7" x14ac:dyDescent="0.2">
      <c r="A1435" t="s">
        <v>3068</v>
      </c>
      <c r="B1435">
        <v>1010037</v>
      </c>
      <c r="C1435" t="s">
        <v>6967</v>
      </c>
      <c r="D1435" t="s">
        <v>6064</v>
      </c>
      <c r="E1435">
        <f t="shared" si="22"/>
        <v>405</v>
      </c>
      <c r="F1435">
        <f>+COUNTIF(ADV!Z:Z,A1435)+COUNTIF(ADV!X:X,A1435)+COUNTIF(ADV!Y:Y,A1435)</f>
        <v>1</v>
      </c>
      <c r="G1435" t="s">
        <v>6966</v>
      </c>
    </row>
    <row r="1436" spans="1:7" x14ac:dyDescent="0.2">
      <c r="A1436" t="s">
        <v>3537</v>
      </c>
      <c r="B1436">
        <v>1010053</v>
      </c>
      <c r="C1436" t="s">
        <v>6969</v>
      </c>
      <c r="D1436" t="s">
        <v>6064</v>
      </c>
      <c r="E1436">
        <f t="shared" si="22"/>
        <v>648</v>
      </c>
      <c r="F1436">
        <f>+COUNTIF(ADV!Z:Z,A1436)+COUNTIF(ADV!X:X,A1436)+COUNTIF(ADV!Y:Y,A1436)</f>
        <v>1</v>
      </c>
      <c r="G1436" t="s">
        <v>6968</v>
      </c>
    </row>
    <row r="1437" spans="1:7" x14ac:dyDescent="0.2">
      <c r="A1437" t="s">
        <v>880</v>
      </c>
      <c r="B1437">
        <v>1010002</v>
      </c>
      <c r="C1437" t="s">
        <v>6970</v>
      </c>
      <c r="D1437" t="s">
        <v>6064</v>
      </c>
      <c r="E1437">
        <f t="shared" si="22"/>
        <v>211</v>
      </c>
      <c r="F1437">
        <f>+COUNTIF(ADV!Z:Z,A1437)+COUNTIF(ADV!X:X,A1437)+COUNTIF(ADV!Y:Y,A1437)</f>
        <v>1</v>
      </c>
      <c r="G1437" t="s">
        <v>871</v>
      </c>
    </row>
    <row r="1438" spans="1:7" x14ac:dyDescent="0.2">
      <c r="A1438" t="s">
        <v>4110</v>
      </c>
      <c r="B1438">
        <v>1010089</v>
      </c>
      <c r="C1438" t="s">
        <v>8377</v>
      </c>
      <c r="D1438" t="s">
        <v>6064</v>
      </c>
      <c r="E1438">
        <f t="shared" si="22"/>
        <v>480</v>
      </c>
      <c r="F1438">
        <f>+COUNTIF(ADV!Z:Z,A1438)+COUNTIF(ADV!X:X,A1438)+COUNTIF(ADV!Y:Y,A1438)</f>
        <v>1</v>
      </c>
      <c r="G1438" t="s">
        <v>6971</v>
      </c>
    </row>
  </sheetData>
  <autoFilter ref="A1:G1201" xr:uid="{5BA2B9D9-1EBD-4A93-87DB-EB5A859EAE88}">
    <sortState xmlns:xlrd2="http://schemas.microsoft.com/office/spreadsheetml/2017/richdata2" ref="A2:G1201">
      <sortCondition ref="A1:A1201"/>
    </sortState>
  </autoFilter>
  <pageMargins left="0.7" right="0.7" top="0.75" bottom="0.75" header="0.3" footer="0.3"/>
  <pageSetup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DE80F6-895A-4397-8BA0-C46B5C54EC25}">
  <sheetPr codeName="Sheet8"/>
  <dimension ref="A1:G268"/>
  <sheetViews>
    <sheetView workbookViewId="0">
      <pane ySplit="1" topLeftCell="A2" activePane="bottomLeft" state="frozen"/>
      <selection pane="bottomLeft" activeCell="A2" sqref="A2"/>
    </sheetView>
  </sheetViews>
  <sheetFormatPr defaultRowHeight="14.25" x14ac:dyDescent="0.2"/>
  <cols>
    <col min="1" max="1" width="42.875" bestFit="1" customWidth="1"/>
    <col min="2" max="2" width="7.875" bestFit="1" customWidth="1"/>
    <col min="3" max="3" width="8.875" bestFit="1" customWidth="1"/>
    <col min="4" max="4" width="10.25" bestFit="1" customWidth="1"/>
    <col min="5" max="5" width="15.5" bestFit="1" customWidth="1"/>
    <col min="6" max="6" width="14.25" bestFit="1" customWidth="1"/>
    <col min="7" max="7" width="41.75" customWidth="1"/>
  </cols>
  <sheetData>
    <row r="1" spans="1:7" x14ac:dyDescent="0.2">
      <c r="A1" s="2" t="s">
        <v>89</v>
      </c>
      <c r="B1" s="2" t="s">
        <v>4597</v>
      </c>
      <c r="C1" s="2" t="s">
        <v>6974</v>
      </c>
      <c r="D1" s="2" t="s">
        <v>8378</v>
      </c>
      <c r="E1" s="2" t="s">
        <v>8379</v>
      </c>
      <c r="F1" s="2" t="s">
        <v>8380</v>
      </c>
      <c r="G1" s="2" t="s">
        <v>80</v>
      </c>
    </row>
    <row r="2" spans="1:7" x14ac:dyDescent="0.2">
      <c r="A2" t="s">
        <v>244</v>
      </c>
      <c r="B2">
        <v>1020010</v>
      </c>
      <c r="C2" t="s">
        <v>8381</v>
      </c>
      <c r="E2">
        <f>+COUNTIF(ADV!S:S,A2)</f>
        <v>1</v>
      </c>
      <c r="F2">
        <f>+COUNTIF(ADV!T:T,A2)</f>
        <v>0</v>
      </c>
      <c r="G2" t="s">
        <v>8382</v>
      </c>
    </row>
    <row r="3" spans="1:7" x14ac:dyDescent="0.2">
      <c r="A3" t="s">
        <v>263</v>
      </c>
      <c r="B3">
        <v>1020002</v>
      </c>
      <c r="C3" t="s">
        <v>8381</v>
      </c>
      <c r="E3">
        <f>+COUNTIF(ADV!S:S,A3)</f>
        <v>1</v>
      </c>
      <c r="F3">
        <f>+COUNTIF(ADV!T:T,A3)</f>
        <v>0</v>
      </c>
      <c r="G3" t="s">
        <v>8383</v>
      </c>
    </row>
    <row r="4" spans="1:7" x14ac:dyDescent="0.2">
      <c r="A4" t="s">
        <v>208</v>
      </c>
      <c r="B4">
        <v>1020002</v>
      </c>
      <c r="C4" t="s">
        <v>8381</v>
      </c>
      <c r="E4">
        <f>+COUNTIF(ADV!S:S,A4)</f>
        <v>1</v>
      </c>
      <c r="F4">
        <f>+COUNTIF(ADV!T:T,A4)</f>
        <v>0</v>
      </c>
      <c r="G4" t="s">
        <v>8384</v>
      </c>
    </row>
    <row r="5" spans="1:7" x14ac:dyDescent="0.2">
      <c r="A5" t="s">
        <v>450</v>
      </c>
      <c r="B5">
        <v>1080003</v>
      </c>
      <c r="C5" t="s">
        <v>8381</v>
      </c>
      <c r="E5">
        <f>+COUNTIF(ADV!S:S,A5)</f>
        <v>3</v>
      </c>
      <c r="F5">
        <f>+COUNTIF(ADV!T:T,A5)</f>
        <v>0</v>
      </c>
      <c r="G5" t="s">
        <v>8385</v>
      </c>
    </row>
    <row r="6" spans="1:7" x14ac:dyDescent="0.2">
      <c r="A6" t="s">
        <v>532</v>
      </c>
      <c r="B6">
        <v>1080003</v>
      </c>
      <c r="C6" t="s">
        <v>8381</v>
      </c>
      <c r="E6">
        <f>+COUNTIF(ADV!S:S,A6)</f>
        <v>1</v>
      </c>
      <c r="F6">
        <f>+COUNTIF(ADV!T:T,A6)</f>
        <v>0</v>
      </c>
      <c r="G6" t="s">
        <v>8386</v>
      </c>
    </row>
    <row r="7" spans="1:7" x14ac:dyDescent="0.2">
      <c r="A7" t="s">
        <v>515</v>
      </c>
      <c r="B7">
        <v>1080003</v>
      </c>
      <c r="C7" t="s">
        <v>8381</v>
      </c>
      <c r="E7">
        <f>+COUNTIF(ADV!S:S,A7)</f>
        <v>1</v>
      </c>
      <c r="F7">
        <f>+COUNTIF(ADV!T:T,A7)</f>
        <v>0</v>
      </c>
      <c r="G7" t="s">
        <v>8387</v>
      </c>
    </row>
    <row r="8" spans="1:7" x14ac:dyDescent="0.2">
      <c r="A8" t="s">
        <v>432</v>
      </c>
      <c r="B8">
        <v>1010008</v>
      </c>
      <c r="C8" t="s">
        <v>8381</v>
      </c>
      <c r="E8">
        <f>+COUNTIF(ADV!S:S,A8)</f>
        <v>1</v>
      </c>
      <c r="F8">
        <f>+COUNTIF(ADV!T:T,A8)</f>
        <v>0</v>
      </c>
      <c r="G8" t="s">
        <v>8388</v>
      </c>
    </row>
    <row r="9" spans="1:7" x14ac:dyDescent="0.2">
      <c r="A9" t="s">
        <v>1043</v>
      </c>
      <c r="B9">
        <v>1020010</v>
      </c>
      <c r="C9" t="s">
        <v>8381</v>
      </c>
      <c r="E9">
        <f>+COUNTIF(ADV!S:S,A9)</f>
        <v>1</v>
      </c>
      <c r="F9">
        <f>+COUNTIF(ADV!T:T,A9)</f>
        <v>0</v>
      </c>
      <c r="G9" t="s">
        <v>8389</v>
      </c>
    </row>
    <row r="10" spans="1:7" x14ac:dyDescent="0.2">
      <c r="A10" t="s">
        <v>683</v>
      </c>
      <c r="B10">
        <v>1020002</v>
      </c>
      <c r="C10" t="s">
        <v>8381</v>
      </c>
      <c r="E10">
        <f>+COUNTIF(ADV!S:S,A10)</f>
        <v>1</v>
      </c>
      <c r="F10">
        <f>+COUNTIF(ADV!T:T,A10)</f>
        <v>0</v>
      </c>
      <c r="G10" t="s">
        <v>8390</v>
      </c>
    </row>
    <row r="11" spans="1:7" x14ac:dyDescent="0.2">
      <c r="A11" t="s">
        <v>297</v>
      </c>
      <c r="B11">
        <v>1020002</v>
      </c>
      <c r="C11" t="s">
        <v>8381</v>
      </c>
      <c r="E11">
        <f>+COUNTIF(ADV!S:S,A11)</f>
        <v>1</v>
      </c>
      <c r="F11">
        <f>+COUNTIF(ADV!T:T,A11)</f>
        <v>0</v>
      </c>
      <c r="G11" t="s">
        <v>8391</v>
      </c>
    </row>
    <row r="12" spans="1:7" x14ac:dyDescent="0.2">
      <c r="A12" t="s">
        <v>416</v>
      </c>
      <c r="B12">
        <v>1080003</v>
      </c>
      <c r="C12" t="s">
        <v>8381</v>
      </c>
      <c r="E12">
        <f>+COUNTIF(ADV!S:S,A12)</f>
        <v>2</v>
      </c>
      <c r="F12">
        <f>+COUNTIF(ADV!T:T,A12)</f>
        <v>0</v>
      </c>
      <c r="G12" t="s">
        <v>8392</v>
      </c>
    </row>
    <row r="13" spans="1:7" x14ac:dyDescent="0.2">
      <c r="A13" t="s">
        <v>811</v>
      </c>
      <c r="B13">
        <v>1080003</v>
      </c>
      <c r="C13" t="s">
        <v>8381</v>
      </c>
      <c r="E13">
        <f>+COUNTIF(ADV!S:S,A13)</f>
        <v>1</v>
      </c>
      <c r="F13">
        <f>+COUNTIF(ADV!T:T,A13)</f>
        <v>0</v>
      </c>
      <c r="G13" t="s">
        <v>8393</v>
      </c>
    </row>
    <row r="14" spans="1:7" x14ac:dyDescent="0.2">
      <c r="A14" t="s">
        <v>149</v>
      </c>
      <c r="B14">
        <v>1080003</v>
      </c>
      <c r="C14" t="s">
        <v>8381</v>
      </c>
      <c r="E14">
        <f>+COUNTIF(ADV!S:S,A14)</f>
        <v>2</v>
      </c>
      <c r="F14">
        <f>+COUNTIF(ADV!T:T,A14)</f>
        <v>0</v>
      </c>
      <c r="G14" t="s">
        <v>8394</v>
      </c>
    </row>
    <row r="15" spans="1:7" x14ac:dyDescent="0.2">
      <c r="A15" t="s">
        <v>825</v>
      </c>
      <c r="B15">
        <v>1040002</v>
      </c>
      <c r="C15" t="s">
        <v>8381</v>
      </c>
      <c r="E15">
        <f>+COUNTIF(ADV!S:S,A15)</f>
        <v>1</v>
      </c>
      <c r="F15">
        <f>+COUNTIF(ADV!T:T,A15)</f>
        <v>0</v>
      </c>
      <c r="G15" t="s">
        <v>8395</v>
      </c>
    </row>
    <row r="16" spans="1:7" x14ac:dyDescent="0.2">
      <c r="A16" t="s">
        <v>8396</v>
      </c>
      <c r="B16">
        <v>1040002</v>
      </c>
      <c r="C16" t="s">
        <v>8381</v>
      </c>
      <c r="E16">
        <f>+COUNTIF(ADV!S:S,A16)</f>
        <v>0</v>
      </c>
      <c r="F16">
        <f>+COUNTIF(ADV!T:T,A16)</f>
        <v>0</v>
      </c>
      <c r="G16" t="s">
        <v>8397</v>
      </c>
    </row>
    <row r="17" spans="1:7" x14ac:dyDescent="0.2">
      <c r="A17" t="s">
        <v>861</v>
      </c>
      <c r="B17">
        <v>1010006</v>
      </c>
      <c r="C17" t="s">
        <v>8381</v>
      </c>
      <c r="E17">
        <f>+COUNTIF(ADV!S:S,A17)</f>
        <v>2</v>
      </c>
      <c r="F17">
        <f>+COUNTIF(ADV!T:T,A17)</f>
        <v>0</v>
      </c>
      <c r="G17" t="s">
        <v>8398</v>
      </c>
    </row>
    <row r="18" spans="1:7" x14ac:dyDescent="0.2">
      <c r="A18" t="s">
        <v>666</v>
      </c>
      <c r="B18">
        <v>1020010</v>
      </c>
      <c r="C18" t="s">
        <v>8381</v>
      </c>
      <c r="E18">
        <f>+COUNTIF(ADV!S:S,A18)</f>
        <v>1</v>
      </c>
      <c r="F18">
        <f>+COUNTIF(ADV!T:T,A18)</f>
        <v>0</v>
      </c>
      <c r="G18" t="s">
        <v>8399</v>
      </c>
    </row>
    <row r="19" spans="1:7" x14ac:dyDescent="0.2">
      <c r="A19" t="s">
        <v>794</v>
      </c>
      <c r="B19">
        <v>1010012</v>
      </c>
      <c r="C19" t="s">
        <v>8381</v>
      </c>
      <c r="E19">
        <f>+COUNTIF(ADV!S:S,A19)</f>
        <v>1</v>
      </c>
      <c r="F19">
        <f>+COUNTIF(ADV!T:T,A19)</f>
        <v>0</v>
      </c>
      <c r="G19" t="s">
        <v>8400</v>
      </c>
    </row>
    <row r="20" spans="1:7" x14ac:dyDescent="0.2">
      <c r="A20" t="s">
        <v>1087</v>
      </c>
      <c r="B20">
        <v>1010008</v>
      </c>
      <c r="C20" t="s">
        <v>8381</v>
      </c>
      <c r="E20">
        <f>+COUNTIF(ADV!S:S,A20)</f>
        <v>1</v>
      </c>
      <c r="F20">
        <f>+COUNTIF(ADV!T:T,A20)</f>
        <v>0</v>
      </c>
      <c r="G20" t="s">
        <v>8401</v>
      </c>
    </row>
    <row r="21" spans="1:7" x14ac:dyDescent="0.2">
      <c r="A21" t="s">
        <v>352</v>
      </c>
      <c r="B21">
        <v>1020036</v>
      </c>
      <c r="C21" t="s">
        <v>8381</v>
      </c>
      <c r="E21">
        <f>+COUNTIF(ADV!S:S,A21)</f>
        <v>3</v>
      </c>
      <c r="F21">
        <f>+COUNTIF(ADV!T:T,A21)</f>
        <v>0</v>
      </c>
      <c r="G21" t="s">
        <v>8402</v>
      </c>
    </row>
    <row r="22" spans="1:7" x14ac:dyDescent="0.2">
      <c r="A22" t="s">
        <v>169</v>
      </c>
      <c r="B22">
        <v>1010001</v>
      </c>
      <c r="C22" t="s">
        <v>8381</v>
      </c>
      <c r="E22">
        <f>+COUNTIF(ADV!S:S,A22)</f>
        <v>1</v>
      </c>
      <c r="F22">
        <f>+COUNTIF(ADV!T:T,A22)</f>
        <v>0</v>
      </c>
      <c r="G22" t="s">
        <v>8403</v>
      </c>
    </row>
    <row r="23" spans="1:7" x14ac:dyDescent="0.2">
      <c r="A23" t="s">
        <v>546</v>
      </c>
      <c r="B23">
        <v>1020002</v>
      </c>
      <c r="C23" t="s">
        <v>8381</v>
      </c>
      <c r="E23">
        <f>+COUNTIF(ADV!S:S,A23)</f>
        <v>1</v>
      </c>
      <c r="F23">
        <f>+COUNTIF(ADV!T:T,A23)</f>
        <v>0</v>
      </c>
      <c r="G23" t="s">
        <v>8404</v>
      </c>
    </row>
    <row r="24" spans="1:7" x14ac:dyDescent="0.2">
      <c r="A24" t="s">
        <v>498</v>
      </c>
      <c r="B24">
        <v>1020005</v>
      </c>
      <c r="C24" t="s">
        <v>8381</v>
      </c>
      <c r="E24">
        <f>+COUNTIF(ADV!S:S,A24)</f>
        <v>1</v>
      </c>
      <c r="F24">
        <f>+COUNTIF(ADV!T:T,A24)</f>
        <v>0</v>
      </c>
      <c r="G24" t="s">
        <v>8405</v>
      </c>
    </row>
    <row r="25" spans="1:7" x14ac:dyDescent="0.2">
      <c r="A25" t="s">
        <v>582</v>
      </c>
      <c r="B25">
        <v>1020005</v>
      </c>
      <c r="C25" t="s">
        <v>8381</v>
      </c>
      <c r="E25">
        <f>+COUNTIF(ADV!S:S,A25)</f>
        <v>1</v>
      </c>
      <c r="F25">
        <f>+COUNTIF(ADV!T:T,A25)</f>
        <v>0</v>
      </c>
      <c r="G25" t="s">
        <v>8406</v>
      </c>
    </row>
    <row r="26" spans="1:7" x14ac:dyDescent="0.2">
      <c r="A26" t="s">
        <v>1028</v>
      </c>
      <c r="B26">
        <v>1020002</v>
      </c>
      <c r="C26" t="s">
        <v>8381</v>
      </c>
      <c r="E26">
        <f>+COUNTIF(ADV!S:S,A26)</f>
        <v>1</v>
      </c>
      <c r="F26">
        <f>+COUNTIF(ADV!T:T,A26)</f>
        <v>0</v>
      </c>
      <c r="G26" t="s">
        <v>8407</v>
      </c>
    </row>
    <row r="27" spans="1:7" x14ac:dyDescent="0.2">
      <c r="A27" t="s">
        <v>700</v>
      </c>
      <c r="B27">
        <v>1020002</v>
      </c>
      <c r="C27" t="s">
        <v>8381</v>
      </c>
      <c r="E27">
        <f>+COUNTIF(ADV!S:S,A27)</f>
        <v>1</v>
      </c>
      <c r="F27">
        <f>+COUNTIF(ADV!T:T,A27)</f>
        <v>0</v>
      </c>
      <c r="G27" t="s">
        <v>8408</v>
      </c>
    </row>
    <row r="28" spans="1:7" x14ac:dyDescent="0.2">
      <c r="A28" t="s">
        <v>649</v>
      </c>
      <c r="B28">
        <v>1010095</v>
      </c>
      <c r="C28" t="s">
        <v>8381</v>
      </c>
      <c r="E28">
        <f>+COUNTIF(ADV!S:S,A28)</f>
        <v>1</v>
      </c>
      <c r="F28">
        <f>+COUNTIF(ADV!T:T,A28)</f>
        <v>0</v>
      </c>
      <c r="G28" t="s">
        <v>8409</v>
      </c>
    </row>
    <row r="29" spans="1:7" x14ac:dyDescent="0.2">
      <c r="A29" t="s">
        <v>314</v>
      </c>
      <c r="B29">
        <v>1020001</v>
      </c>
      <c r="C29" t="s">
        <v>8381</v>
      </c>
      <c r="E29">
        <f>+COUNTIF(ADV!S:S,A29)</f>
        <v>1</v>
      </c>
      <c r="F29">
        <f>+COUNTIF(ADV!T:T,A29)</f>
        <v>0</v>
      </c>
      <c r="G29" t="s">
        <v>8410</v>
      </c>
    </row>
    <row r="30" spans="1:7" x14ac:dyDescent="0.2">
      <c r="A30" t="s">
        <v>632</v>
      </c>
      <c r="B30">
        <v>1020002</v>
      </c>
      <c r="C30" t="s">
        <v>8381</v>
      </c>
      <c r="E30">
        <f>+COUNTIF(ADV!S:S,A30)</f>
        <v>3</v>
      </c>
      <c r="F30">
        <f>+COUNTIF(ADV!T:T,A30)</f>
        <v>0</v>
      </c>
      <c r="G30" t="s">
        <v>8411</v>
      </c>
    </row>
    <row r="31" spans="1:7" x14ac:dyDescent="0.2">
      <c r="A31" t="s">
        <v>226</v>
      </c>
      <c r="B31">
        <v>1020002</v>
      </c>
      <c r="C31" t="s">
        <v>8381</v>
      </c>
      <c r="E31">
        <f>+COUNTIF(ADV!S:S,A31)</f>
        <v>2</v>
      </c>
      <c r="F31">
        <f>+COUNTIF(ADV!T:T,A31)</f>
        <v>0</v>
      </c>
      <c r="G31" t="s">
        <v>8412</v>
      </c>
    </row>
    <row r="32" spans="1:7" x14ac:dyDescent="0.2">
      <c r="A32" t="s">
        <v>922</v>
      </c>
      <c r="B32">
        <v>1080003</v>
      </c>
      <c r="C32" t="s">
        <v>8381</v>
      </c>
      <c r="E32">
        <f>+COUNTIF(ADV!S:S,A32)</f>
        <v>1</v>
      </c>
      <c r="F32">
        <f>+COUNTIF(ADV!T:T,A32)</f>
        <v>0</v>
      </c>
      <c r="G32" t="s">
        <v>8413</v>
      </c>
    </row>
    <row r="33" spans="1:7" x14ac:dyDescent="0.2">
      <c r="A33" t="s">
        <v>384</v>
      </c>
      <c r="B33">
        <v>1080003</v>
      </c>
      <c r="C33" t="s">
        <v>8381</v>
      </c>
      <c r="E33">
        <f>+COUNTIF(ADV!S:S,A33)</f>
        <v>6</v>
      </c>
      <c r="F33">
        <f>+COUNTIF(ADV!T:T,A33)</f>
        <v>0</v>
      </c>
      <c r="G33" t="s">
        <v>8414</v>
      </c>
    </row>
    <row r="34" spans="1:7" x14ac:dyDescent="0.2">
      <c r="A34" t="s">
        <v>778</v>
      </c>
      <c r="B34">
        <v>1020022</v>
      </c>
      <c r="C34" t="s">
        <v>8381</v>
      </c>
      <c r="E34">
        <f>+COUNTIF(ADV!S:S,A34)</f>
        <v>1</v>
      </c>
      <c r="F34">
        <f>+COUNTIF(ADV!T:T,A34)</f>
        <v>0</v>
      </c>
      <c r="G34" t="s">
        <v>8415</v>
      </c>
    </row>
    <row r="35" spans="1:7" x14ac:dyDescent="0.2">
      <c r="A35" t="s">
        <v>747</v>
      </c>
      <c r="B35">
        <v>1020002</v>
      </c>
      <c r="C35" t="s">
        <v>8381</v>
      </c>
      <c r="E35">
        <f>+COUNTIF(ADV!S:S,A35)</f>
        <v>1</v>
      </c>
      <c r="F35">
        <f>+COUNTIF(ADV!T:T,A35)</f>
        <v>0</v>
      </c>
      <c r="G35" t="s">
        <v>8416</v>
      </c>
    </row>
    <row r="36" spans="1:7" x14ac:dyDescent="0.2">
      <c r="A36" t="s">
        <v>615</v>
      </c>
      <c r="B36">
        <v>1020002</v>
      </c>
      <c r="C36" t="s">
        <v>8381</v>
      </c>
      <c r="E36">
        <f>+COUNTIF(ADV!S:S,A36)</f>
        <v>2</v>
      </c>
      <c r="F36">
        <f>+COUNTIF(ADV!T:T,A36)</f>
        <v>0</v>
      </c>
      <c r="G36" t="s">
        <v>8417</v>
      </c>
    </row>
    <row r="37" spans="1:7" x14ac:dyDescent="0.2">
      <c r="A37" t="s">
        <v>127</v>
      </c>
      <c r="B37">
        <v>1020002</v>
      </c>
      <c r="C37" t="s">
        <v>8381</v>
      </c>
      <c r="E37">
        <f>+COUNTIF(ADV!S:S,A37)</f>
        <v>2</v>
      </c>
      <c r="F37">
        <f>+COUNTIF(ADV!T:T,A37)</f>
        <v>0</v>
      </c>
      <c r="G37" t="s">
        <v>8418</v>
      </c>
    </row>
    <row r="38" spans="1:7" x14ac:dyDescent="0.2">
      <c r="A38" t="s">
        <v>400</v>
      </c>
      <c r="B38">
        <v>1080003</v>
      </c>
      <c r="C38" t="s">
        <v>8381</v>
      </c>
      <c r="E38">
        <f>+COUNTIF(ADV!S:S,A38)</f>
        <v>1</v>
      </c>
      <c r="F38">
        <f>+COUNTIF(ADV!T:T,A38)</f>
        <v>0</v>
      </c>
      <c r="G38" t="s">
        <v>8419</v>
      </c>
    </row>
    <row r="39" spans="1:7" x14ac:dyDescent="0.2">
      <c r="A39" t="s">
        <v>189</v>
      </c>
      <c r="B39">
        <v>1010011</v>
      </c>
      <c r="C39" t="s">
        <v>8381</v>
      </c>
      <c r="E39">
        <f>+COUNTIF(ADV!S:S,A39)</f>
        <v>1</v>
      </c>
      <c r="F39">
        <f>+COUNTIF(ADV!T:T,A39)</f>
        <v>0</v>
      </c>
      <c r="G39" t="s">
        <v>8420</v>
      </c>
    </row>
    <row r="40" spans="1:7" x14ac:dyDescent="0.2">
      <c r="A40" t="s">
        <v>971</v>
      </c>
      <c r="B40">
        <v>1020036</v>
      </c>
      <c r="C40" t="s">
        <v>8381</v>
      </c>
      <c r="E40">
        <f>+COUNTIF(ADV!S:S,A40)</f>
        <v>1</v>
      </c>
      <c r="F40">
        <f>+COUNTIF(ADV!T:T,A40)</f>
        <v>0</v>
      </c>
      <c r="G40" t="s">
        <v>8421</v>
      </c>
    </row>
    <row r="41" spans="1:7" x14ac:dyDescent="0.2">
      <c r="A41" t="s">
        <v>334</v>
      </c>
      <c r="B41">
        <v>1080003</v>
      </c>
      <c r="C41" t="s">
        <v>8381</v>
      </c>
      <c r="E41">
        <f>+COUNTIF(ADV!S:S,A41)</f>
        <v>1</v>
      </c>
      <c r="F41">
        <f>+COUNTIF(ADV!T:T,A41)</f>
        <v>0</v>
      </c>
      <c r="G41" t="s">
        <v>8422</v>
      </c>
    </row>
    <row r="42" spans="1:7" x14ac:dyDescent="0.2">
      <c r="A42" t="s">
        <v>986</v>
      </c>
      <c r="B42">
        <v>1020002</v>
      </c>
      <c r="C42" t="s">
        <v>8381</v>
      </c>
      <c r="E42">
        <f>+COUNTIF(ADV!S:S,A42)</f>
        <v>1</v>
      </c>
      <c r="F42">
        <f>+COUNTIF(ADV!T:T,A42)</f>
        <v>0</v>
      </c>
      <c r="G42" t="s">
        <v>8423</v>
      </c>
    </row>
    <row r="43" spans="1:7" x14ac:dyDescent="0.2">
      <c r="A43" t="s">
        <v>564</v>
      </c>
      <c r="B43">
        <v>1020002</v>
      </c>
      <c r="C43" t="s">
        <v>8381</v>
      </c>
      <c r="E43">
        <f>+COUNTIF(ADV!S:S,A43)</f>
        <v>1</v>
      </c>
      <c r="F43">
        <f>+COUNTIF(ADV!T:T,A43)</f>
        <v>0</v>
      </c>
      <c r="G43" t="s">
        <v>8424</v>
      </c>
    </row>
    <row r="44" spans="1:7" x14ac:dyDescent="0.2">
      <c r="A44" t="s">
        <v>3633</v>
      </c>
      <c r="B44">
        <v>1020010</v>
      </c>
      <c r="C44" t="s">
        <v>8381</v>
      </c>
      <c r="E44">
        <f>+COUNTIF(ADV!S:S,A44)</f>
        <v>1</v>
      </c>
      <c r="F44">
        <f>+COUNTIF(ADV!T:T,A44)</f>
        <v>0</v>
      </c>
      <c r="G44" t="s">
        <v>8425</v>
      </c>
    </row>
    <row r="45" spans="1:7" x14ac:dyDescent="0.2">
      <c r="A45" t="s">
        <v>3709</v>
      </c>
      <c r="B45">
        <v>1020010</v>
      </c>
      <c r="C45" t="s">
        <v>8381</v>
      </c>
      <c r="E45">
        <f>+COUNTIF(ADV!S:S,A45)</f>
        <v>1</v>
      </c>
      <c r="F45">
        <f>+COUNTIF(ADV!T:T,A45)</f>
        <v>0</v>
      </c>
      <c r="G45" t="s">
        <v>8426</v>
      </c>
    </row>
    <row r="46" spans="1:7" x14ac:dyDescent="0.2">
      <c r="A46" t="s">
        <v>2990</v>
      </c>
      <c r="B46">
        <v>1080005</v>
      </c>
      <c r="C46" t="s">
        <v>8381</v>
      </c>
      <c r="E46">
        <f>+COUNTIF(ADV!S:S,A46)</f>
        <v>5</v>
      </c>
      <c r="F46">
        <f>+COUNTIF(ADV!T:T,A46)</f>
        <v>0</v>
      </c>
      <c r="G46" t="s">
        <v>8427</v>
      </c>
    </row>
    <row r="47" spans="1:7" x14ac:dyDescent="0.2">
      <c r="A47" t="s">
        <v>3152</v>
      </c>
      <c r="B47">
        <v>1080005</v>
      </c>
      <c r="C47" t="s">
        <v>8381</v>
      </c>
      <c r="E47">
        <f>+COUNTIF(ADV!S:S,A47)</f>
        <v>2</v>
      </c>
      <c r="F47">
        <f>+COUNTIF(ADV!T:T,A47)</f>
        <v>0</v>
      </c>
      <c r="G47" t="s">
        <v>8428</v>
      </c>
    </row>
    <row r="48" spans="1:7" x14ac:dyDescent="0.2">
      <c r="A48" t="s">
        <v>3460</v>
      </c>
      <c r="B48">
        <v>1080005</v>
      </c>
      <c r="C48" t="s">
        <v>8381</v>
      </c>
      <c r="E48">
        <f>+COUNTIF(ADV!S:S,A48)</f>
        <v>1</v>
      </c>
      <c r="F48">
        <f>+COUNTIF(ADV!T:T,A48)</f>
        <v>0</v>
      </c>
      <c r="G48" t="s">
        <v>8429</v>
      </c>
    </row>
    <row r="49" spans="1:7" x14ac:dyDescent="0.2">
      <c r="A49" t="s">
        <v>3329</v>
      </c>
      <c r="B49">
        <v>1020002</v>
      </c>
      <c r="C49" t="s">
        <v>8381</v>
      </c>
      <c r="E49">
        <f>+COUNTIF(ADV!S:S,A49)</f>
        <v>1</v>
      </c>
      <c r="F49">
        <f>+COUNTIF(ADV!T:T,A49)</f>
        <v>0</v>
      </c>
      <c r="G49" t="s">
        <v>8430</v>
      </c>
    </row>
    <row r="50" spans="1:7" x14ac:dyDescent="0.2">
      <c r="A50" t="s">
        <v>2938</v>
      </c>
      <c r="B50">
        <v>1020002</v>
      </c>
      <c r="C50" t="s">
        <v>8381</v>
      </c>
      <c r="E50">
        <f>+COUNTIF(ADV!S:S,A50)</f>
        <v>1</v>
      </c>
      <c r="F50">
        <f>+COUNTIF(ADV!T:T,A50)</f>
        <v>0</v>
      </c>
      <c r="G50" t="s">
        <v>8431</v>
      </c>
    </row>
    <row r="51" spans="1:7" x14ac:dyDescent="0.2">
      <c r="A51" t="s">
        <v>3722</v>
      </c>
      <c r="B51">
        <v>1020010</v>
      </c>
      <c r="C51" t="s">
        <v>8381</v>
      </c>
      <c r="E51">
        <f>+COUNTIF(ADV!S:S,A51)</f>
        <v>1</v>
      </c>
      <c r="F51">
        <f>+COUNTIF(ADV!T:T,A51)</f>
        <v>0</v>
      </c>
      <c r="G51" t="s">
        <v>8432</v>
      </c>
    </row>
    <row r="52" spans="1:7" x14ac:dyDescent="0.2">
      <c r="A52" t="s">
        <v>3618</v>
      </c>
      <c r="B52">
        <v>1010008</v>
      </c>
      <c r="C52" t="s">
        <v>8381</v>
      </c>
      <c r="E52">
        <f>+COUNTIF(ADV!S:S,A52)</f>
        <v>1</v>
      </c>
      <c r="F52">
        <f>+COUNTIF(ADV!T:T,A52)</f>
        <v>0</v>
      </c>
      <c r="G52" t="s">
        <v>8433</v>
      </c>
    </row>
    <row r="53" spans="1:7" x14ac:dyDescent="0.2">
      <c r="A53" t="s">
        <v>3136</v>
      </c>
      <c r="B53">
        <v>1020036</v>
      </c>
      <c r="C53" t="s">
        <v>8381</v>
      </c>
      <c r="E53">
        <f>+COUNTIF(ADV!S:S,A53)</f>
        <v>1</v>
      </c>
      <c r="F53">
        <f>+COUNTIF(ADV!T:T,A53)</f>
        <v>0</v>
      </c>
      <c r="G53" t="s">
        <v>8434</v>
      </c>
    </row>
    <row r="54" spans="1:7" x14ac:dyDescent="0.2">
      <c r="A54" t="s">
        <v>3110</v>
      </c>
      <c r="B54">
        <v>1020036</v>
      </c>
      <c r="C54" t="s">
        <v>8381</v>
      </c>
      <c r="E54">
        <f>+COUNTIF(ADV!S:S,A54)</f>
        <v>1</v>
      </c>
      <c r="F54">
        <f>+COUNTIF(ADV!T:T,A54)</f>
        <v>0</v>
      </c>
      <c r="G54" t="s">
        <v>8435</v>
      </c>
    </row>
    <row r="55" spans="1:7" x14ac:dyDescent="0.2">
      <c r="A55" t="s">
        <v>3384</v>
      </c>
      <c r="B55">
        <v>1020003</v>
      </c>
      <c r="C55" t="s">
        <v>8381</v>
      </c>
      <c r="E55">
        <f>+COUNTIF(ADV!S:S,A55)</f>
        <v>1</v>
      </c>
      <c r="F55">
        <f>+COUNTIF(ADV!T:T,A55)</f>
        <v>0</v>
      </c>
      <c r="G55" t="s">
        <v>8436</v>
      </c>
    </row>
    <row r="56" spans="1:7" x14ac:dyDescent="0.2">
      <c r="A56" t="s">
        <v>3021</v>
      </c>
      <c r="B56">
        <v>1020003</v>
      </c>
      <c r="C56" t="s">
        <v>8381</v>
      </c>
      <c r="E56">
        <f>+COUNTIF(ADV!S:S,A56)</f>
        <v>3</v>
      </c>
      <c r="F56">
        <f>+COUNTIF(ADV!T:T,A56)</f>
        <v>0</v>
      </c>
      <c r="G56" t="s">
        <v>8437</v>
      </c>
    </row>
    <row r="57" spans="1:7" x14ac:dyDescent="0.2">
      <c r="A57" t="s">
        <v>3185</v>
      </c>
      <c r="B57">
        <v>1020003</v>
      </c>
      <c r="C57" t="s">
        <v>8381</v>
      </c>
      <c r="E57">
        <f>+COUNTIF(ADV!S:S,A57)</f>
        <v>2</v>
      </c>
      <c r="F57">
        <f>+COUNTIF(ADV!T:T,A57)</f>
        <v>0</v>
      </c>
      <c r="G57" t="s">
        <v>8438</v>
      </c>
    </row>
    <row r="58" spans="1:7" x14ac:dyDescent="0.2">
      <c r="A58" t="s">
        <v>3201</v>
      </c>
      <c r="B58">
        <v>1020009</v>
      </c>
      <c r="C58" t="s">
        <v>8381</v>
      </c>
      <c r="E58">
        <f>+COUNTIF(ADV!S:S,A58)</f>
        <v>1</v>
      </c>
      <c r="F58">
        <f>+COUNTIF(ADV!T:T,A58)</f>
        <v>0</v>
      </c>
      <c r="G58" t="s">
        <v>8439</v>
      </c>
    </row>
    <row r="59" spans="1:7" x14ac:dyDescent="0.2">
      <c r="A59" t="s">
        <v>3565</v>
      </c>
      <c r="B59">
        <v>1020010</v>
      </c>
      <c r="C59" t="s">
        <v>8381</v>
      </c>
      <c r="E59">
        <f>+COUNTIF(ADV!S:S,A59)</f>
        <v>1</v>
      </c>
      <c r="F59">
        <f>+COUNTIF(ADV!T:T,A59)</f>
        <v>0</v>
      </c>
      <c r="G59" t="s">
        <v>8440</v>
      </c>
    </row>
    <row r="60" spans="1:7" x14ac:dyDescent="0.2">
      <c r="A60" t="s">
        <v>3445</v>
      </c>
      <c r="B60">
        <v>1080005</v>
      </c>
      <c r="C60" t="s">
        <v>8381</v>
      </c>
      <c r="E60">
        <f>+COUNTIF(ADV!S:S,A60)</f>
        <v>1</v>
      </c>
      <c r="F60">
        <f>+COUNTIF(ADV!T:T,A60)</f>
        <v>0</v>
      </c>
      <c r="G60" t="s">
        <v>8441</v>
      </c>
    </row>
    <row r="61" spans="1:7" x14ac:dyDescent="0.2">
      <c r="A61" t="s">
        <v>3005</v>
      </c>
      <c r="B61">
        <v>1080005</v>
      </c>
      <c r="C61" t="s">
        <v>8381</v>
      </c>
      <c r="E61">
        <f>+COUNTIF(ADV!S:S,A61)</f>
        <v>2</v>
      </c>
      <c r="F61">
        <f>+COUNTIF(ADV!T:T,A61)</f>
        <v>0</v>
      </c>
      <c r="G61" t="s">
        <v>8442</v>
      </c>
    </row>
    <row r="62" spans="1:7" x14ac:dyDescent="0.2">
      <c r="A62" t="s">
        <v>3342</v>
      </c>
      <c r="B62">
        <v>1020002</v>
      </c>
      <c r="C62" t="s">
        <v>8381</v>
      </c>
      <c r="E62">
        <f>+COUNTIF(ADV!S:S,A62)</f>
        <v>1</v>
      </c>
      <c r="F62">
        <f>+COUNTIF(ADV!T:T,A62)</f>
        <v>0</v>
      </c>
      <c r="G62" t="s">
        <v>8443</v>
      </c>
    </row>
    <row r="63" spans="1:7" x14ac:dyDescent="0.2">
      <c r="A63" t="s">
        <v>3258</v>
      </c>
      <c r="B63">
        <v>1020002</v>
      </c>
      <c r="C63" t="s">
        <v>8381</v>
      </c>
      <c r="E63">
        <f>+COUNTIF(ADV!S:S,A63)</f>
        <v>2</v>
      </c>
      <c r="F63">
        <f>+COUNTIF(ADV!T:T,A63)</f>
        <v>0</v>
      </c>
      <c r="G63" t="s">
        <v>8444</v>
      </c>
    </row>
    <row r="64" spans="1:7" x14ac:dyDescent="0.2">
      <c r="A64" t="s">
        <v>3520</v>
      </c>
      <c r="B64">
        <v>1080005</v>
      </c>
      <c r="C64" t="s">
        <v>8381</v>
      </c>
      <c r="E64">
        <f>+COUNTIF(ADV!S:S,A64)</f>
        <v>1</v>
      </c>
      <c r="F64">
        <f>+COUNTIF(ADV!T:T,A64)</f>
        <v>0</v>
      </c>
      <c r="G64" t="s">
        <v>8445</v>
      </c>
    </row>
    <row r="65" spans="1:7" x14ac:dyDescent="0.2">
      <c r="A65" t="s">
        <v>3696</v>
      </c>
      <c r="B65">
        <v>1020001</v>
      </c>
      <c r="C65" t="s">
        <v>8381</v>
      </c>
      <c r="E65">
        <f>+COUNTIF(ADV!S:S,A65)</f>
        <v>1</v>
      </c>
      <c r="F65">
        <f>+COUNTIF(ADV!T:T,A65)</f>
        <v>0</v>
      </c>
      <c r="G65" t="s">
        <v>8446</v>
      </c>
    </row>
    <row r="66" spans="1:7" x14ac:dyDescent="0.2">
      <c r="A66" t="s">
        <v>3357</v>
      </c>
      <c r="B66">
        <v>1020001</v>
      </c>
      <c r="C66" t="s">
        <v>8381</v>
      </c>
      <c r="E66">
        <f>+COUNTIF(ADV!S:S,A66)</f>
        <v>1</v>
      </c>
      <c r="F66">
        <f>+COUNTIF(ADV!T:T,A66)</f>
        <v>0</v>
      </c>
      <c r="G66" t="s">
        <v>8447</v>
      </c>
    </row>
    <row r="67" spans="1:7" x14ac:dyDescent="0.2">
      <c r="A67" t="s">
        <v>3271</v>
      </c>
      <c r="B67">
        <v>1020002</v>
      </c>
      <c r="C67" t="s">
        <v>8381</v>
      </c>
      <c r="E67">
        <f>+COUNTIF(ADV!S:S,A67)</f>
        <v>2</v>
      </c>
      <c r="F67">
        <f>+COUNTIF(ADV!T:T,A67)</f>
        <v>0</v>
      </c>
      <c r="G67" t="s">
        <v>8448</v>
      </c>
    </row>
    <row r="68" spans="1:7" x14ac:dyDescent="0.2">
      <c r="A68" t="s">
        <v>2924</v>
      </c>
      <c r="B68">
        <v>1020002</v>
      </c>
      <c r="C68" t="s">
        <v>8381</v>
      </c>
      <c r="E68">
        <f>+COUNTIF(ADV!S:S,A68)</f>
        <v>2</v>
      </c>
      <c r="F68">
        <f>+COUNTIF(ADV!T:T,A68)</f>
        <v>0</v>
      </c>
      <c r="G68" t="s">
        <v>8449</v>
      </c>
    </row>
    <row r="69" spans="1:7" x14ac:dyDescent="0.2">
      <c r="A69" t="s">
        <v>2858</v>
      </c>
      <c r="B69">
        <v>1020002</v>
      </c>
      <c r="C69" t="s">
        <v>8381</v>
      </c>
      <c r="E69">
        <f>+COUNTIF(ADV!S:S,A69)</f>
        <v>3</v>
      </c>
      <c r="F69">
        <f>+COUNTIF(ADV!T:T,A69)</f>
        <v>0</v>
      </c>
      <c r="G69" t="s">
        <v>8450</v>
      </c>
    </row>
    <row r="70" spans="1:7" x14ac:dyDescent="0.2">
      <c r="A70" t="s">
        <v>3592</v>
      </c>
      <c r="B70">
        <v>1080005</v>
      </c>
      <c r="C70" t="s">
        <v>8381</v>
      </c>
      <c r="E70">
        <f>+COUNTIF(ADV!S:S,A70)</f>
        <v>1</v>
      </c>
      <c r="F70">
        <f>+COUNTIF(ADV!T:T,A70)</f>
        <v>0</v>
      </c>
      <c r="G70" t="s">
        <v>8451</v>
      </c>
    </row>
    <row r="71" spans="1:7" x14ac:dyDescent="0.2">
      <c r="A71" t="s">
        <v>2972</v>
      </c>
      <c r="B71">
        <v>1080005</v>
      </c>
      <c r="C71" t="s">
        <v>8381</v>
      </c>
      <c r="E71">
        <f>+COUNTIF(ADV!S:S,A71)</f>
        <v>5</v>
      </c>
      <c r="F71">
        <f>+COUNTIF(ADV!T:T,A71)</f>
        <v>0</v>
      </c>
      <c r="G71" t="s">
        <v>8452</v>
      </c>
    </row>
    <row r="72" spans="1:7" x14ac:dyDescent="0.2">
      <c r="A72" t="s">
        <v>2840</v>
      </c>
      <c r="B72">
        <v>1020022</v>
      </c>
      <c r="C72" t="s">
        <v>8381</v>
      </c>
      <c r="E72">
        <f>+COUNTIF(ADV!S:S,A72)</f>
        <v>2</v>
      </c>
      <c r="F72">
        <f>+COUNTIF(ADV!T:T,A72)</f>
        <v>0</v>
      </c>
      <c r="G72" t="s">
        <v>8453</v>
      </c>
    </row>
    <row r="73" spans="1:7" x14ac:dyDescent="0.2">
      <c r="A73" t="s">
        <v>3052</v>
      </c>
      <c r="B73">
        <v>1010011</v>
      </c>
      <c r="C73" t="s">
        <v>8381</v>
      </c>
      <c r="E73">
        <f>+COUNTIF(ADV!S:S,A73)</f>
        <v>1</v>
      </c>
      <c r="F73">
        <f>+COUNTIF(ADV!T:T,A73)</f>
        <v>0</v>
      </c>
      <c r="G73" t="s">
        <v>8454</v>
      </c>
    </row>
    <row r="74" spans="1:7" x14ac:dyDescent="0.2">
      <c r="A74" t="s">
        <v>3286</v>
      </c>
      <c r="B74">
        <v>1020002</v>
      </c>
      <c r="C74" t="s">
        <v>8381</v>
      </c>
      <c r="E74">
        <f>+COUNTIF(ADV!S:S,A74)</f>
        <v>1</v>
      </c>
      <c r="F74">
        <f>+COUNTIF(ADV!T:T,A74)</f>
        <v>0</v>
      </c>
      <c r="G74" t="s">
        <v>8455</v>
      </c>
    </row>
    <row r="75" spans="1:7" x14ac:dyDescent="0.2">
      <c r="A75" t="s">
        <v>3684</v>
      </c>
      <c r="B75">
        <v>1020010</v>
      </c>
      <c r="C75" t="s">
        <v>8381</v>
      </c>
      <c r="E75">
        <f>+COUNTIF(ADV!S:S,A75)</f>
        <v>1</v>
      </c>
      <c r="F75">
        <f>+COUNTIF(ADV!T:T,A75)</f>
        <v>0</v>
      </c>
      <c r="G75" t="s">
        <v>8456</v>
      </c>
    </row>
    <row r="76" spans="1:7" x14ac:dyDescent="0.2">
      <c r="A76" t="s">
        <v>2908</v>
      </c>
      <c r="B76">
        <v>1020010</v>
      </c>
      <c r="C76" t="s">
        <v>8381</v>
      </c>
      <c r="E76">
        <f>+COUNTIF(ADV!S:S,A76)</f>
        <v>2</v>
      </c>
      <c r="F76">
        <f>+COUNTIF(ADV!T:T,A76)</f>
        <v>0</v>
      </c>
      <c r="G76" t="s">
        <v>8457</v>
      </c>
    </row>
    <row r="77" spans="1:7" x14ac:dyDescent="0.2">
      <c r="A77" t="s">
        <v>3037</v>
      </c>
      <c r="B77">
        <v>1080005</v>
      </c>
      <c r="C77" t="s">
        <v>8381</v>
      </c>
      <c r="E77">
        <f>+COUNTIF(ADV!S:S,A77)</f>
        <v>2</v>
      </c>
      <c r="F77">
        <f>+COUNTIF(ADV!T:T,A77)</f>
        <v>0</v>
      </c>
      <c r="G77" t="s">
        <v>8458</v>
      </c>
    </row>
    <row r="78" spans="1:7" x14ac:dyDescent="0.2">
      <c r="A78" t="s">
        <v>3414</v>
      </c>
      <c r="B78">
        <v>1080005</v>
      </c>
      <c r="C78" t="s">
        <v>8381</v>
      </c>
      <c r="E78">
        <f>+COUNTIF(ADV!S:S,A78)</f>
        <v>1</v>
      </c>
      <c r="F78">
        <f>+COUNTIF(ADV!T:T,A78)</f>
        <v>0</v>
      </c>
      <c r="G78" t="s">
        <v>8459</v>
      </c>
    </row>
    <row r="79" spans="1:7" x14ac:dyDescent="0.2">
      <c r="A79" t="s">
        <v>3231</v>
      </c>
      <c r="B79">
        <v>1020002</v>
      </c>
      <c r="C79" t="s">
        <v>8381</v>
      </c>
      <c r="E79">
        <f>+COUNTIF(ADV!S:S,A79)</f>
        <v>2</v>
      </c>
      <c r="F79">
        <f>+COUNTIF(ADV!T:T,A79)</f>
        <v>0</v>
      </c>
      <c r="G79" t="s">
        <v>8460</v>
      </c>
    </row>
    <row r="80" spans="1:7" x14ac:dyDescent="0.2">
      <c r="A80" t="s">
        <v>3490</v>
      </c>
      <c r="B80">
        <v>1040004</v>
      </c>
      <c r="C80" t="s">
        <v>8381</v>
      </c>
      <c r="E80">
        <f>+COUNTIF(ADV!S:S,A80)</f>
        <v>1</v>
      </c>
      <c r="F80">
        <f>+COUNTIF(ADV!T:T,A80)</f>
        <v>0</v>
      </c>
      <c r="G80" t="s">
        <v>8461</v>
      </c>
    </row>
    <row r="81" spans="1:7" x14ac:dyDescent="0.2">
      <c r="A81" t="s">
        <v>3398</v>
      </c>
      <c r="B81">
        <v>1080005</v>
      </c>
      <c r="C81" t="s">
        <v>8381</v>
      </c>
      <c r="E81">
        <f>+COUNTIF(ADV!S:S,A81)</f>
        <v>1</v>
      </c>
      <c r="F81">
        <f>+COUNTIF(ADV!T:T,A81)</f>
        <v>0</v>
      </c>
      <c r="G81" t="s">
        <v>8462</v>
      </c>
    </row>
    <row r="82" spans="1:7" x14ac:dyDescent="0.2">
      <c r="A82" t="s">
        <v>2875</v>
      </c>
      <c r="B82">
        <v>1010011</v>
      </c>
      <c r="C82" t="s">
        <v>8381</v>
      </c>
      <c r="E82">
        <f>+COUNTIF(ADV!S:S,A82)</f>
        <v>1</v>
      </c>
      <c r="F82">
        <f>+COUNTIF(ADV!T:T,A82)</f>
        <v>0</v>
      </c>
      <c r="G82" t="s">
        <v>8463</v>
      </c>
    </row>
    <row r="83" spans="1:7" x14ac:dyDescent="0.2">
      <c r="A83" t="s">
        <v>3166</v>
      </c>
      <c r="B83">
        <v>1010011</v>
      </c>
      <c r="C83" t="s">
        <v>8381</v>
      </c>
      <c r="E83">
        <f>+COUNTIF(ADV!S:S,A83)</f>
        <v>1</v>
      </c>
      <c r="F83">
        <f>+COUNTIF(ADV!T:T,A83)</f>
        <v>0</v>
      </c>
      <c r="G83" t="s">
        <v>8464</v>
      </c>
    </row>
    <row r="84" spans="1:7" x14ac:dyDescent="0.2">
      <c r="A84" t="s">
        <v>2954</v>
      </c>
      <c r="B84">
        <v>1030007</v>
      </c>
      <c r="C84" t="s">
        <v>8381</v>
      </c>
      <c r="E84">
        <f>+COUNTIF(ADV!S:S,A84)</f>
        <v>1</v>
      </c>
      <c r="F84">
        <f>+COUNTIF(ADV!T:T,A84)</f>
        <v>0</v>
      </c>
      <c r="G84" t="s">
        <v>8465</v>
      </c>
    </row>
    <row r="85" spans="1:7" x14ac:dyDescent="0.2">
      <c r="A85" t="s">
        <v>3999</v>
      </c>
      <c r="B85">
        <v>1080004</v>
      </c>
      <c r="C85" t="s">
        <v>8381</v>
      </c>
      <c r="E85">
        <f>+COUNTIF(ADV!S:S,A85)</f>
        <v>2</v>
      </c>
      <c r="F85">
        <f>+COUNTIF(ADV!T:T,A85)</f>
        <v>0</v>
      </c>
      <c r="G85" t="s">
        <v>8466</v>
      </c>
    </row>
    <row r="86" spans="1:7" x14ac:dyDescent="0.2">
      <c r="A86" t="s">
        <v>4070</v>
      </c>
      <c r="B86">
        <v>1080004</v>
      </c>
      <c r="C86" t="s">
        <v>8381</v>
      </c>
      <c r="E86">
        <f>+COUNTIF(ADV!S:S,A86)</f>
        <v>2</v>
      </c>
      <c r="F86">
        <f>+COUNTIF(ADV!T:T,A86)</f>
        <v>0</v>
      </c>
      <c r="G86" t="s">
        <v>8467</v>
      </c>
    </row>
    <row r="87" spans="1:7" x14ac:dyDescent="0.2">
      <c r="A87" t="s">
        <v>4179</v>
      </c>
      <c r="B87">
        <v>1020036</v>
      </c>
      <c r="C87" t="s">
        <v>8381</v>
      </c>
      <c r="E87">
        <f>+COUNTIF(ADV!S:S,A87)</f>
        <v>1</v>
      </c>
      <c r="F87">
        <f>+COUNTIF(ADV!T:T,A87)</f>
        <v>0</v>
      </c>
      <c r="G87" t="s">
        <v>8468</v>
      </c>
    </row>
    <row r="88" spans="1:7" x14ac:dyDescent="0.2">
      <c r="A88" t="s">
        <v>4252</v>
      </c>
      <c r="B88">
        <v>1020003</v>
      </c>
      <c r="C88" t="s">
        <v>8381</v>
      </c>
      <c r="E88">
        <f>+COUNTIF(ADV!S:S,A88)</f>
        <v>1</v>
      </c>
      <c r="F88">
        <f>+COUNTIF(ADV!T:T,A88)</f>
        <v>0</v>
      </c>
      <c r="G88" t="s">
        <v>8469</v>
      </c>
    </row>
    <row r="89" spans="1:7" x14ac:dyDescent="0.2">
      <c r="A89" t="s">
        <v>3782</v>
      </c>
      <c r="B89">
        <v>1020002</v>
      </c>
      <c r="C89" t="s">
        <v>8381</v>
      </c>
      <c r="E89">
        <f>+COUNTIF(ADV!S:S,A89)</f>
        <v>2</v>
      </c>
      <c r="F89">
        <f>+COUNTIF(ADV!T:T,A89)</f>
        <v>0</v>
      </c>
      <c r="G89" t="s">
        <v>8470</v>
      </c>
    </row>
    <row r="90" spans="1:7" x14ac:dyDescent="0.2">
      <c r="A90" t="s">
        <v>3842</v>
      </c>
      <c r="B90">
        <v>1020005</v>
      </c>
      <c r="C90" t="s">
        <v>8381</v>
      </c>
      <c r="E90">
        <f>+COUNTIF(ADV!S:S,A90)</f>
        <v>1</v>
      </c>
      <c r="F90">
        <f>+COUNTIF(ADV!T:T,A90)</f>
        <v>0</v>
      </c>
      <c r="G90" t="s">
        <v>8471</v>
      </c>
    </row>
    <row r="91" spans="1:7" x14ac:dyDescent="0.2">
      <c r="A91" t="s">
        <v>3927</v>
      </c>
      <c r="B91">
        <v>1020005</v>
      </c>
      <c r="C91" t="s">
        <v>8381</v>
      </c>
      <c r="E91">
        <f>+COUNTIF(ADV!S:S,A91)</f>
        <v>4</v>
      </c>
      <c r="F91">
        <f>+COUNTIF(ADV!T:T,A91)</f>
        <v>0</v>
      </c>
      <c r="G91" t="s">
        <v>8472</v>
      </c>
    </row>
    <row r="92" spans="1:7" x14ac:dyDescent="0.2">
      <c r="A92" t="s">
        <v>4222</v>
      </c>
      <c r="B92">
        <v>1020002</v>
      </c>
      <c r="C92" t="s">
        <v>8381</v>
      </c>
      <c r="E92">
        <f>+COUNTIF(ADV!S:S,A92)</f>
        <v>1</v>
      </c>
      <c r="F92">
        <f>+COUNTIF(ADV!T:T,A92)</f>
        <v>0</v>
      </c>
      <c r="G92" t="s">
        <v>8473</v>
      </c>
    </row>
    <row r="93" spans="1:7" x14ac:dyDescent="0.2">
      <c r="A93" t="s">
        <v>3972</v>
      </c>
      <c r="B93">
        <v>1020001</v>
      </c>
      <c r="C93" t="s">
        <v>8381</v>
      </c>
      <c r="E93">
        <f>+COUNTIF(ADV!S:S,A93)</f>
        <v>1</v>
      </c>
      <c r="F93">
        <f>+COUNTIF(ADV!T:T,A93)</f>
        <v>0</v>
      </c>
      <c r="G93" t="s">
        <v>8474</v>
      </c>
    </row>
    <row r="94" spans="1:7" x14ac:dyDescent="0.2">
      <c r="A94" t="s">
        <v>4152</v>
      </c>
      <c r="B94">
        <v>1020001</v>
      </c>
      <c r="C94" t="s">
        <v>8381</v>
      </c>
      <c r="E94">
        <f>+COUNTIF(ADV!S:S,A94)</f>
        <v>1</v>
      </c>
      <c r="F94">
        <f>+COUNTIF(ADV!T:T,A94)</f>
        <v>0</v>
      </c>
      <c r="G94" t="s">
        <v>8475</v>
      </c>
    </row>
    <row r="95" spans="1:7" x14ac:dyDescent="0.2">
      <c r="A95" t="s">
        <v>4367</v>
      </c>
      <c r="B95">
        <v>1020010</v>
      </c>
      <c r="C95" t="s">
        <v>8381</v>
      </c>
      <c r="E95">
        <f>+COUNTIF(ADV!S:S,A95)</f>
        <v>1</v>
      </c>
      <c r="F95">
        <f>+COUNTIF(ADV!T:T,A95)</f>
        <v>0</v>
      </c>
      <c r="G95" t="s">
        <v>8476</v>
      </c>
    </row>
    <row r="96" spans="1:7" x14ac:dyDescent="0.2">
      <c r="A96" t="s">
        <v>3869</v>
      </c>
      <c r="B96">
        <v>1020002</v>
      </c>
      <c r="C96" t="s">
        <v>8381</v>
      </c>
      <c r="E96">
        <f>+COUNTIF(ADV!S:S,A96)</f>
        <v>2</v>
      </c>
      <c r="F96">
        <f>+COUNTIF(ADV!T:T,A96)</f>
        <v>0</v>
      </c>
      <c r="G96" t="s">
        <v>8477</v>
      </c>
    </row>
    <row r="97" spans="1:7" x14ac:dyDescent="0.2">
      <c r="A97" t="s">
        <v>4237</v>
      </c>
      <c r="B97">
        <v>1020002</v>
      </c>
      <c r="C97" t="s">
        <v>8381</v>
      </c>
      <c r="E97">
        <f>+COUNTIF(ADV!S:S,A97)</f>
        <v>1</v>
      </c>
      <c r="F97">
        <f>+COUNTIF(ADV!T:T,A97)</f>
        <v>0</v>
      </c>
      <c r="G97" t="s">
        <v>8478</v>
      </c>
    </row>
    <row r="98" spans="1:7" x14ac:dyDescent="0.2">
      <c r="A98" t="s">
        <v>3827</v>
      </c>
      <c r="B98">
        <v>1020002</v>
      </c>
      <c r="C98" t="s">
        <v>8381</v>
      </c>
      <c r="E98">
        <f>+COUNTIF(ADV!S:S,A98)</f>
        <v>2</v>
      </c>
      <c r="F98">
        <f>+COUNTIF(ADV!T:T,A98)</f>
        <v>0</v>
      </c>
      <c r="G98" t="s">
        <v>8479</v>
      </c>
    </row>
    <row r="99" spans="1:7" x14ac:dyDescent="0.2">
      <c r="A99" t="s">
        <v>4450</v>
      </c>
      <c r="B99">
        <v>1080004</v>
      </c>
      <c r="C99" t="s">
        <v>8381</v>
      </c>
      <c r="E99">
        <f>+COUNTIF(ADV!S:S,A99)</f>
        <v>1</v>
      </c>
      <c r="F99">
        <f>+COUNTIF(ADV!T:T,A99)</f>
        <v>0</v>
      </c>
      <c r="G99" t="s">
        <v>8480</v>
      </c>
    </row>
    <row r="100" spans="1:7" x14ac:dyDescent="0.2">
      <c r="A100" t="s">
        <v>3958</v>
      </c>
      <c r="B100">
        <v>1080004</v>
      </c>
      <c r="C100" t="s">
        <v>8381</v>
      </c>
      <c r="E100">
        <f>+COUNTIF(ADV!S:S,A100)</f>
        <v>1</v>
      </c>
      <c r="F100">
        <f>+COUNTIF(ADV!T:T,A100)</f>
        <v>0</v>
      </c>
      <c r="G100" t="s">
        <v>8481</v>
      </c>
    </row>
    <row r="101" spans="1:7" x14ac:dyDescent="0.2">
      <c r="A101" t="s">
        <v>3899</v>
      </c>
      <c r="B101">
        <v>1080004</v>
      </c>
      <c r="C101" t="s">
        <v>8381</v>
      </c>
      <c r="E101">
        <f>+COUNTIF(ADV!S:S,A101)</f>
        <v>3</v>
      </c>
      <c r="F101">
        <f>+COUNTIF(ADV!T:T,A101)</f>
        <v>0</v>
      </c>
      <c r="G101" t="s">
        <v>8482</v>
      </c>
    </row>
    <row r="102" spans="1:7" x14ac:dyDescent="0.2">
      <c r="A102" t="s">
        <v>3913</v>
      </c>
      <c r="B102">
        <v>1080004</v>
      </c>
      <c r="C102" t="s">
        <v>8381</v>
      </c>
      <c r="E102">
        <f>+COUNTIF(ADV!S:S,A102)</f>
        <v>4</v>
      </c>
      <c r="F102">
        <f>+COUNTIF(ADV!T:T,A102)</f>
        <v>0</v>
      </c>
      <c r="G102" t="s">
        <v>8483</v>
      </c>
    </row>
    <row r="103" spans="1:7" x14ac:dyDescent="0.2">
      <c r="A103" t="s">
        <v>3941</v>
      </c>
      <c r="B103">
        <v>1080004</v>
      </c>
      <c r="C103" t="s">
        <v>8381</v>
      </c>
      <c r="E103">
        <f>+COUNTIF(ADV!S:S,A103)</f>
        <v>2</v>
      </c>
      <c r="F103">
        <f>+COUNTIF(ADV!T:T,A103)</f>
        <v>0</v>
      </c>
      <c r="G103" t="s">
        <v>8484</v>
      </c>
    </row>
    <row r="104" spans="1:7" x14ac:dyDescent="0.2">
      <c r="A104" t="s">
        <v>4462</v>
      </c>
      <c r="B104">
        <v>1020022</v>
      </c>
      <c r="C104" t="s">
        <v>8381</v>
      </c>
      <c r="E104">
        <f>+COUNTIF(ADV!S:S,A104)</f>
        <v>1</v>
      </c>
      <c r="F104">
        <f>+COUNTIF(ADV!T:T,A104)</f>
        <v>0</v>
      </c>
      <c r="G104" t="s">
        <v>8485</v>
      </c>
    </row>
    <row r="105" spans="1:7" x14ac:dyDescent="0.2">
      <c r="A105" t="s">
        <v>3855</v>
      </c>
      <c r="B105">
        <v>1020002</v>
      </c>
      <c r="C105" t="s">
        <v>8381</v>
      </c>
      <c r="E105">
        <f>+COUNTIF(ADV!S:S,A105)</f>
        <v>1</v>
      </c>
      <c r="F105">
        <f>+COUNTIF(ADV!T:T,A105)</f>
        <v>0</v>
      </c>
      <c r="G105" t="s">
        <v>8486</v>
      </c>
    </row>
    <row r="106" spans="1:7" x14ac:dyDescent="0.2">
      <c r="A106" t="s">
        <v>4124</v>
      </c>
      <c r="B106">
        <v>1020002</v>
      </c>
      <c r="C106" t="s">
        <v>8381</v>
      </c>
      <c r="E106">
        <f>+COUNTIF(ADV!S:S,A106)</f>
        <v>2</v>
      </c>
      <c r="F106">
        <f>+COUNTIF(ADV!T:T,A106)</f>
        <v>0</v>
      </c>
      <c r="G106" t="s">
        <v>8487</v>
      </c>
    </row>
    <row r="107" spans="1:7" x14ac:dyDescent="0.2">
      <c r="A107" t="s">
        <v>4276</v>
      </c>
      <c r="B107">
        <v>1010011</v>
      </c>
      <c r="C107" t="s">
        <v>8381</v>
      </c>
      <c r="E107">
        <f>+COUNTIF(ADV!S:S,A107)</f>
        <v>2</v>
      </c>
      <c r="F107">
        <f>+COUNTIF(ADV!T:T,A107)</f>
        <v>0</v>
      </c>
      <c r="G107" t="s">
        <v>8488</v>
      </c>
    </row>
    <row r="108" spans="1:7" x14ac:dyDescent="0.2">
      <c r="A108" t="s">
        <v>4294</v>
      </c>
      <c r="B108">
        <v>1080004</v>
      </c>
      <c r="C108" t="s">
        <v>8381</v>
      </c>
      <c r="E108">
        <f>+COUNTIF(ADV!S:S,A108)</f>
        <v>1</v>
      </c>
      <c r="F108">
        <f>+COUNTIF(ADV!T:T,A108)</f>
        <v>0</v>
      </c>
      <c r="G108" t="s">
        <v>8489</v>
      </c>
    </row>
    <row r="109" spans="1:7" x14ac:dyDescent="0.2">
      <c r="A109" t="s">
        <v>4551</v>
      </c>
      <c r="B109">
        <v>1070017</v>
      </c>
      <c r="C109" t="s">
        <v>8381</v>
      </c>
      <c r="E109">
        <f>+COUNTIF(ADV!S:S,A109)</f>
        <v>1</v>
      </c>
      <c r="F109">
        <f>+COUNTIF(ADV!T:T,A109)</f>
        <v>0</v>
      </c>
      <c r="G109" t="s">
        <v>8490</v>
      </c>
    </row>
    <row r="110" spans="1:7" x14ac:dyDescent="0.2">
      <c r="A110" t="s">
        <v>4107</v>
      </c>
      <c r="B110">
        <v>1020002</v>
      </c>
      <c r="C110" t="s">
        <v>8381</v>
      </c>
      <c r="E110">
        <f>+COUNTIF(ADV!S:S,A110)</f>
        <v>1</v>
      </c>
      <c r="F110">
        <f>+COUNTIF(ADV!T:T,A110)</f>
        <v>0</v>
      </c>
      <c r="G110" t="s">
        <v>8491</v>
      </c>
    </row>
    <row r="111" spans="1:7" x14ac:dyDescent="0.2">
      <c r="A111" t="s">
        <v>4082</v>
      </c>
      <c r="B111">
        <v>1080004</v>
      </c>
      <c r="C111" t="s">
        <v>8381</v>
      </c>
      <c r="E111">
        <f>+COUNTIF(ADV!S:S,A111)</f>
        <v>2</v>
      </c>
      <c r="F111">
        <f>+COUNTIF(ADV!T:T,A111)</f>
        <v>0</v>
      </c>
      <c r="G111" t="s">
        <v>8492</v>
      </c>
    </row>
    <row r="112" spans="1:7" x14ac:dyDescent="0.2">
      <c r="A112" t="s">
        <v>4056</v>
      </c>
      <c r="B112">
        <v>1080004</v>
      </c>
      <c r="C112" t="s">
        <v>8381</v>
      </c>
      <c r="E112">
        <f>+COUNTIF(ADV!S:S,A112)</f>
        <v>1</v>
      </c>
      <c r="F112">
        <f>+COUNTIF(ADV!T:T,A112)</f>
        <v>0</v>
      </c>
      <c r="G112" t="s">
        <v>8493</v>
      </c>
    </row>
    <row r="113" spans="1:7" x14ac:dyDescent="0.2">
      <c r="A113" t="s">
        <v>4336</v>
      </c>
      <c r="B113">
        <v>1080004</v>
      </c>
      <c r="C113" t="s">
        <v>8381</v>
      </c>
      <c r="E113">
        <f>+COUNTIF(ADV!S:S,A113)</f>
        <v>2</v>
      </c>
      <c r="F113">
        <f>+COUNTIF(ADV!T:T,A113)</f>
        <v>0</v>
      </c>
      <c r="G113" t="s">
        <v>8494</v>
      </c>
    </row>
    <row r="114" spans="1:7" x14ac:dyDescent="0.2">
      <c r="A114" t="s">
        <v>3813</v>
      </c>
      <c r="B114">
        <v>1020002</v>
      </c>
      <c r="C114" t="s">
        <v>8381</v>
      </c>
      <c r="E114">
        <f>+COUNTIF(ADV!S:S,A114)</f>
        <v>2</v>
      </c>
      <c r="F114">
        <f>+COUNTIF(ADV!T:T,A114)</f>
        <v>0</v>
      </c>
      <c r="G114" t="s">
        <v>8495</v>
      </c>
    </row>
    <row r="115" spans="1:7" x14ac:dyDescent="0.2">
      <c r="A115" t="s">
        <v>4166</v>
      </c>
      <c r="B115">
        <v>1020002</v>
      </c>
      <c r="C115" t="s">
        <v>8381</v>
      </c>
      <c r="E115">
        <f>+COUNTIF(ADV!S:S,A115)</f>
        <v>2</v>
      </c>
      <c r="F115">
        <f>+COUNTIF(ADV!T:T,A115)</f>
        <v>0</v>
      </c>
      <c r="G115" t="s">
        <v>8496</v>
      </c>
    </row>
    <row r="116" spans="1:7" x14ac:dyDescent="0.2">
      <c r="A116" t="s">
        <v>4041</v>
      </c>
      <c r="B116">
        <v>1040001</v>
      </c>
      <c r="C116" t="s">
        <v>8381</v>
      </c>
      <c r="E116">
        <f>+COUNTIF(ADV!S:S,A116)</f>
        <v>1</v>
      </c>
      <c r="F116">
        <f>+COUNTIF(ADV!T:T,A116)</f>
        <v>0</v>
      </c>
      <c r="G116" t="s">
        <v>8497</v>
      </c>
    </row>
    <row r="117" spans="1:7" x14ac:dyDescent="0.2">
      <c r="A117" t="s">
        <v>4193</v>
      </c>
      <c r="B117">
        <v>1020002</v>
      </c>
      <c r="C117" t="s">
        <v>8381</v>
      </c>
      <c r="E117">
        <f>+COUNTIF(ADV!S:S,A117)</f>
        <v>1</v>
      </c>
      <c r="F117">
        <f>+COUNTIF(ADV!T:T,A117)</f>
        <v>0</v>
      </c>
      <c r="G117" t="s">
        <v>8498</v>
      </c>
    </row>
    <row r="118" spans="1:7" x14ac:dyDescent="0.2">
      <c r="A118" t="s">
        <v>3882</v>
      </c>
      <c r="B118">
        <v>1080004</v>
      </c>
      <c r="C118" t="s">
        <v>8381</v>
      </c>
      <c r="E118">
        <f>+COUNTIF(ADV!S:S,A118)</f>
        <v>1</v>
      </c>
      <c r="F118">
        <f>+COUNTIF(ADV!T:T,A118)</f>
        <v>0</v>
      </c>
      <c r="G118" t="s">
        <v>8499</v>
      </c>
    </row>
    <row r="119" spans="1:7" x14ac:dyDescent="0.2">
      <c r="A119" t="s">
        <v>4522</v>
      </c>
      <c r="B119">
        <v>1030005</v>
      </c>
      <c r="C119" t="s">
        <v>8381</v>
      </c>
      <c r="E119">
        <f>+COUNTIF(ADV!S:S,A119)</f>
        <v>1</v>
      </c>
      <c r="F119">
        <f>+COUNTIF(ADV!T:T,A119)</f>
        <v>0</v>
      </c>
      <c r="G119" t="s">
        <v>8500</v>
      </c>
    </row>
    <row r="120" spans="1:7" x14ac:dyDescent="0.2">
      <c r="A120" t="s">
        <v>1509</v>
      </c>
      <c r="B120">
        <v>1020010</v>
      </c>
      <c r="C120" t="s">
        <v>8381</v>
      </c>
      <c r="E120">
        <f>+COUNTIF(ADV!S:S,A120)</f>
        <v>1</v>
      </c>
      <c r="F120">
        <f>+COUNTIF(ADV!T:T,A120)</f>
        <v>0</v>
      </c>
      <c r="G120" t="s">
        <v>8501</v>
      </c>
    </row>
    <row r="121" spans="1:7" x14ac:dyDescent="0.2">
      <c r="A121" t="s">
        <v>1245</v>
      </c>
      <c r="B121">
        <v>1080001</v>
      </c>
      <c r="C121" t="s">
        <v>8381</v>
      </c>
      <c r="E121">
        <f>+COUNTIF(ADV!S:S,A121)</f>
        <v>3</v>
      </c>
      <c r="F121">
        <f>+COUNTIF(ADV!T:T,A121)</f>
        <v>0</v>
      </c>
      <c r="G121" t="s">
        <v>8502</v>
      </c>
    </row>
    <row r="122" spans="1:7" x14ac:dyDescent="0.2">
      <c r="A122" t="s">
        <v>1688</v>
      </c>
      <c r="B122">
        <v>1080001</v>
      </c>
      <c r="C122" t="s">
        <v>8381</v>
      </c>
      <c r="E122">
        <f>+COUNTIF(ADV!S:S,A122)</f>
        <v>1</v>
      </c>
      <c r="F122">
        <f>+COUNTIF(ADV!T:T,A122)</f>
        <v>0</v>
      </c>
      <c r="G122" t="s">
        <v>8503</v>
      </c>
    </row>
    <row r="123" spans="1:7" x14ac:dyDescent="0.2">
      <c r="A123" t="s">
        <v>1379</v>
      </c>
      <c r="B123">
        <v>1080001</v>
      </c>
      <c r="C123" t="s">
        <v>8381</v>
      </c>
      <c r="E123">
        <f>+COUNTIF(ADV!S:S,A123)</f>
        <v>2</v>
      </c>
      <c r="F123">
        <f>+COUNTIF(ADV!T:T,A123)</f>
        <v>0</v>
      </c>
      <c r="G123" t="s">
        <v>8504</v>
      </c>
    </row>
    <row r="124" spans="1:7" x14ac:dyDescent="0.2">
      <c r="A124" t="s">
        <v>1876</v>
      </c>
      <c r="B124">
        <v>1020002</v>
      </c>
      <c r="C124" t="s">
        <v>8381</v>
      </c>
      <c r="E124">
        <f>+COUNTIF(ADV!S:S,A124)</f>
        <v>1</v>
      </c>
      <c r="F124">
        <f>+COUNTIF(ADV!T:T,A124)</f>
        <v>0</v>
      </c>
      <c r="G124" t="s">
        <v>8505</v>
      </c>
    </row>
    <row r="125" spans="1:7" x14ac:dyDescent="0.2">
      <c r="A125" t="s">
        <v>1153</v>
      </c>
      <c r="B125">
        <v>1020002</v>
      </c>
      <c r="C125" t="s">
        <v>8381</v>
      </c>
      <c r="E125">
        <f>+COUNTIF(ADV!S:S,A125)</f>
        <v>2</v>
      </c>
      <c r="F125">
        <f>+COUNTIF(ADV!T:T,A125)</f>
        <v>0</v>
      </c>
      <c r="G125" t="s">
        <v>8506</v>
      </c>
    </row>
    <row r="126" spans="1:7" x14ac:dyDescent="0.2">
      <c r="A126" t="s">
        <v>1603</v>
      </c>
      <c r="B126">
        <v>1010006</v>
      </c>
      <c r="C126" t="s">
        <v>8381</v>
      </c>
      <c r="E126">
        <f>+COUNTIF(ADV!S:S,A126)</f>
        <v>1</v>
      </c>
      <c r="F126">
        <f>+COUNTIF(ADV!T:T,A126)</f>
        <v>0</v>
      </c>
      <c r="G126" t="s">
        <v>8507</v>
      </c>
    </row>
    <row r="127" spans="1:7" x14ac:dyDescent="0.2">
      <c r="A127" t="s">
        <v>1364</v>
      </c>
      <c r="B127">
        <v>1010006</v>
      </c>
      <c r="C127" t="s">
        <v>8381</v>
      </c>
      <c r="E127">
        <f>+COUNTIF(ADV!S:S,A127)</f>
        <v>2</v>
      </c>
      <c r="F127">
        <f>+COUNTIF(ADV!T:T,A127)</f>
        <v>0</v>
      </c>
      <c r="G127" t="s">
        <v>8508</v>
      </c>
    </row>
    <row r="128" spans="1:7" x14ac:dyDescent="0.2">
      <c r="A128" t="s">
        <v>1211</v>
      </c>
      <c r="B128">
        <v>1010006</v>
      </c>
      <c r="C128" t="s">
        <v>8381</v>
      </c>
      <c r="E128">
        <f>+COUNTIF(ADV!S:S,A128)</f>
        <v>1</v>
      </c>
      <c r="F128">
        <f>+COUNTIF(ADV!T:T,A128)</f>
        <v>0</v>
      </c>
      <c r="G128" t="s">
        <v>8509</v>
      </c>
    </row>
    <row r="129" spans="1:7" x14ac:dyDescent="0.2">
      <c r="A129" t="s">
        <v>1648</v>
      </c>
      <c r="B129">
        <v>1010012</v>
      </c>
      <c r="C129" t="s">
        <v>8381</v>
      </c>
      <c r="E129">
        <f>+COUNTIF(ADV!S:S,A129)</f>
        <v>2</v>
      </c>
      <c r="F129">
        <f>+COUNTIF(ADV!T:T,A129)</f>
        <v>0</v>
      </c>
      <c r="G129" t="s">
        <v>8510</v>
      </c>
    </row>
    <row r="130" spans="1:7" x14ac:dyDescent="0.2">
      <c r="A130" t="s">
        <v>1348</v>
      </c>
      <c r="B130">
        <v>1020036</v>
      </c>
      <c r="C130" t="s">
        <v>8381</v>
      </c>
      <c r="E130">
        <f>+COUNTIF(ADV!S:S,A130)</f>
        <v>2</v>
      </c>
      <c r="F130">
        <f>+COUNTIF(ADV!T:T,A130)</f>
        <v>0</v>
      </c>
      <c r="G130" t="s">
        <v>8511</v>
      </c>
    </row>
    <row r="131" spans="1:7" x14ac:dyDescent="0.2">
      <c r="A131" t="s">
        <v>1918</v>
      </c>
      <c r="B131">
        <v>1020002</v>
      </c>
      <c r="C131" t="s">
        <v>8381</v>
      </c>
      <c r="E131">
        <f>+COUNTIF(ADV!S:S,A131)</f>
        <v>1</v>
      </c>
      <c r="F131">
        <f>+COUNTIF(ADV!T:T,A131)</f>
        <v>0</v>
      </c>
      <c r="G131" t="s">
        <v>8512</v>
      </c>
    </row>
    <row r="132" spans="1:7" x14ac:dyDescent="0.2">
      <c r="A132" t="s">
        <v>1479</v>
      </c>
      <c r="B132">
        <v>1020005</v>
      </c>
      <c r="C132" t="s">
        <v>8381</v>
      </c>
      <c r="E132">
        <f>+COUNTIF(ADV!S:S,A132)</f>
        <v>1</v>
      </c>
      <c r="F132">
        <f>+COUNTIF(ADV!T:T,A132)</f>
        <v>0</v>
      </c>
      <c r="G132" t="s">
        <v>8513</v>
      </c>
    </row>
    <row r="133" spans="1:7" x14ac:dyDescent="0.2">
      <c r="A133" t="s">
        <v>1775</v>
      </c>
      <c r="B133">
        <v>1020005</v>
      </c>
      <c r="C133" t="s">
        <v>8381</v>
      </c>
      <c r="E133">
        <f>+COUNTIF(ADV!S:S,A133)</f>
        <v>2</v>
      </c>
      <c r="F133">
        <f>+COUNTIF(ADV!T:T,A133)</f>
        <v>0</v>
      </c>
      <c r="G133" t="s">
        <v>8514</v>
      </c>
    </row>
    <row r="134" spans="1:7" x14ac:dyDescent="0.2">
      <c r="A134" t="s">
        <v>1318</v>
      </c>
      <c r="B134">
        <v>1020005</v>
      </c>
      <c r="C134" t="s">
        <v>8381</v>
      </c>
      <c r="E134">
        <f>+COUNTIF(ADV!S:S,A134)</f>
        <v>2</v>
      </c>
      <c r="F134">
        <f>+COUNTIF(ADV!T:T,A134)</f>
        <v>0</v>
      </c>
      <c r="G134" t="s">
        <v>8515</v>
      </c>
    </row>
    <row r="135" spans="1:7" x14ac:dyDescent="0.2">
      <c r="A135" t="s">
        <v>1122</v>
      </c>
      <c r="B135">
        <v>1020002</v>
      </c>
      <c r="C135" t="s">
        <v>8381</v>
      </c>
      <c r="E135">
        <f>+COUNTIF(ADV!S:S,A135)</f>
        <v>3</v>
      </c>
      <c r="F135">
        <f>+COUNTIF(ADV!T:T,A135)</f>
        <v>0</v>
      </c>
      <c r="G135" t="s">
        <v>8516</v>
      </c>
    </row>
    <row r="136" spans="1:7" x14ac:dyDescent="0.2">
      <c r="A136" t="s">
        <v>1286</v>
      </c>
      <c r="B136">
        <v>1080001</v>
      </c>
      <c r="C136" t="s">
        <v>8381</v>
      </c>
      <c r="E136">
        <f>+COUNTIF(ADV!S:S,A136)</f>
        <v>1</v>
      </c>
      <c r="F136">
        <f>+COUNTIF(ADV!T:T,A136)</f>
        <v>0</v>
      </c>
      <c r="G136" t="s">
        <v>8517</v>
      </c>
    </row>
    <row r="137" spans="1:7" x14ac:dyDescent="0.2">
      <c r="A137" t="s">
        <v>1676</v>
      </c>
      <c r="B137">
        <v>1080001</v>
      </c>
      <c r="C137" t="s">
        <v>8381</v>
      </c>
      <c r="E137">
        <f>+COUNTIF(ADV!S:S,A137)</f>
        <v>2</v>
      </c>
      <c r="F137">
        <f>+COUNTIF(ADV!T:T,A137)</f>
        <v>0</v>
      </c>
      <c r="G137" t="s">
        <v>8518</v>
      </c>
    </row>
    <row r="138" spans="1:7" x14ac:dyDescent="0.2">
      <c r="A138" t="s">
        <v>1167</v>
      </c>
      <c r="B138">
        <v>1020002</v>
      </c>
      <c r="C138" t="s">
        <v>8381</v>
      </c>
      <c r="E138">
        <f>+COUNTIF(ADV!S:S,A138)</f>
        <v>2</v>
      </c>
      <c r="F138">
        <f>+COUNTIF(ADV!T:T,A138)</f>
        <v>0</v>
      </c>
      <c r="G138" t="s">
        <v>8519</v>
      </c>
    </row>
    <row r="139" spans="1:7" x14ac:dyDescent="0.2">
      <c r="A139" t="s">
        <v>1106</v>
      </c>
      <c r="B139">
        <v>1020002</v>
      </c>
      <c r="C139" t="s">
        <v>8381</v>
      </c>
      <c r="E139">
        <f>+COUNTIF(ADV!S:S,A139)</f>
        <v>3</v>
      </c>
      <c r="F139">
        <f>+COUNTIF(ADV!T:T,A139)</f>
        <v>0</v>
      </c>
      <c r="G139" t="s">
        <v>8520</v>
      </c>
    </row>
    <row r="140" spans="1:7" x14ac:dyDescent="0.2">
      <c r="A140" t="s">
        <v>1590</v>
      </c>
      <c r="B140">
        <v>1020002</v>
      </c>
      <c r="C140" t="s">
        <v>8381</v>
      </c>
      <c r="E140">
        <f>+COUNTIF(ADV!S:S,A140)</f>
        <v>1</v>
      </c>
      <c r="F140">
        <f>+COUNTIF(ADV!T:T,A140)</f>
        <v>0</v>
      </c>
      <c r="G140" t="s">
        <v>8521</v>
      </c>
    </row>
    <row r="141" spans="1:7" x14ac:dyDescent="0.2">
      <c r="A141" t="s">
        <v>1888</v>
      </c>
      <c r="B141">
        <v>1020001</v>
      </c>
      <c r="C141" t="s">
        <v>8381</v>
      </c>
      <c r="E141">
        <f>+COUNTIF(ADV!S:S,A141)</f>
        <v>1</v>
      </c>
      <c r="F141">
        <f>+COUNTIF(ADV!T:T,A141)</f>
        <v>0</v>
      </c>
      <c r="G141" t="s">
        <v>8522</v>
      </c>
    </row>
    <row r="142" spans="1:7" x14ac:dyDescent="0.2">
      <c r="A142" t="s">
        <v>1259</v>
      </c>
      <c r="B142">
        <v>1020001</v>
      </c>
      <c r="C142" t="s">
        <v>8381</v>
      </c>
      <c r="E142">
        <f>+COUNTIF(ADV!S:S,A142)</f>
        <v>1</v>
      </c>
      <c r="F142">
        <f>+COUNTIF(ADV!T:T,A142)</f>
        <v>0</v>
      </c>
      <c r="G142" t="s">
        <v>8523</v>
      </c>
    </row>
    <row r="143" spans="1:7" x14ac:dyDescent="0.2">
      <c r="A143" t="s">
        <v>8524</v>
      </c>
      <c r="B143">
        <v>1080001</v>
      </c>
      <c r="C143" t="s">
        <v>8381</v>
      </c>
      <c r="E143">
        <f>+COUNTIF(ADV!S:S,A143)</f>
        <v>0</v>
      </c>
      <c r="F143">
        <f>+COUNTIF(ADV!T:T,A143)</f>
        <v>0</v>
      </c>
      <c r="G143" t="s">
        <v>8525</v>
      </c>
    </row>
    <row r="144" spans="1:7" x14ac:dyDescent="0.2">
      <c r="A144" t="s">
        <v>8526</v>
      </c>
      <c r="B144">
        <v>1080001</v>
      </c>
      <c r="C144" t="s">
        <v>8381</v>
      </c>
      <c r="E144">
        <f>+COUNTIF(ADV!S:S,A144)</f>
        <v>0</v>
      </c>
      <c r="F144">
        <f>+COUNTIF(ADV!T:T,A144)</f>
        <v>0</v>
      </c>
      <c r="G144" t="s">
        <v>8527</v>
      </c>
    </row>
    <row r="145" spans="1:7" x14ac:dyDescent="0.2">
      <c r="A145" t="s">
        <v>8528</v>
      </c>
      <c r="B145">
        <v>1080001</v>
      </c>
      <c r="C145" t="s">
        <v>8381</v>
      </c>
      <c r="E145">
        <f>+COUNTIF(ADV!S:S,A145)</f>
        <v>0</v>
      </c>
      <c r="F145">
        <f>+COUNTIF(ADV!T:T,A145)</f>
        <v>0</v>
      </c>
      <c r="G145" t="s">
        <v>8529</v>
      </c>
    </row>
    <row r="146" spans="1:7" x14ac:dyDescent="0.2">
      <c r="A146" t="s">
        <v>8530</v>
      </c>
      <c r="B146">
        <v>1080001</v>
      </c>
      <c r="C146" t="s">
        <v>8381</v>
      </c>
      <c r="E146">
        <f>+COUNTIF(ADV!S:S,A146)</f>
        <v>0</v>
      </c>
      <c r="F146">
        <f>+COUNTIF(ADV!T:T,A146)</f>
        <v>0</v>
      </c>
      <c r="G146" t="s">
        <v>8531</v>
      </c>
    </row>
    <row r="147" spans="1:7" x14ac:dyDescent="0.2">
      <c r="A147" t="s">
        <v>8532</v>
      </c>
      <c r="B147">
        <v>1080001</v>
      </c>
      <c r="C147" t="s">
        <v>8381</v>
      </c>
      <c r="E147">
        <f>+COUNTIF(ADV!S:S,A147)</f>
        <v>0</v>
      </c>
      <c r="F147">
        <f>+COUNTIF(ADV!T:T,A147)</f>
        <v>0</v>
      </c>
      <c r="G147" t="s">
        <v>8533</v>
      </c>
    </row>
    <row r="148" spans="1:7" x14ac:dyDescent="0.2">
      <c r="A148" t="s">
        <v>8534</v>
      </c>
      <c r="B148">
        <v>1080001</v>
      </c>
      <c r="C148" t="s">
        <v>8381</v>
      </c>
      <c r="E148">
        <f>+COUNTIF(ADV!S:S,A148)</f>
        <v>0</v>
      </c>
      <c r="F148">
        <f>+COUNTIF(ADV!T:T,A148)</f>
        <v>0</v>
      </c>
      <c r="G148" t="s">
        <v>8535</v>
      </c>
    </row>
    <row r="149" spans="1:7" x14ac:dyDescent="0.2">
      <c r="A149" t="s">
        <v>1178</v>
      </c>
      <c r="B149">
        <v>1020002</v>
      </c>
      <c r="C149" t="s">
        <v>8381</v>
      </c>
      <c r="E149">
        <f>+COUNTIF(ADV!S:S,A149)</f>
        <v>2</v>
      </c>
      <c r="F149">
        <f>+COUNTIF(ADV!T:T,A149)</f>
        <v>0</v>
      </c>
      <c r="G149" t="s">
        <v>8536</v>
      </c>
    </row>
    <row r="150" spans="1:7" x14ac:dyDescent="0.2">
      <c r="A150" t="s">
        <v>1464</v>
      </c>
      <c r="B150">
        <v>1020002</v>
      </c>
      <c r="C150" t="s">
        <v>8381</v>
      </c>
      <c r="E150">
        <f>+COUNTIF(ADV!S:S,A150)</f>
        <v>1</v>
      </c>
      <c r="F150">
        <f>+COUNTIF(ADV!T:T,A150)</f>
        <v>0</v>
      </c>
      <c r="G150" t="s">
        <v>8537</v>
      </c>
    </row>
    <row r="151" spans="1:7" x14ac:dyDescent="0.2">
      <c r="A151" t="s">
        <v>1405</v>
      </c>
      <c r="B151">
        <v>1020002</v>
      </c>
      <c r="C151" t="s">
        <v>8381</v>
      </c>
      <c r="E151">
        <f>+COUNTIF(ADV!S:S,A151)</f>
        <v>2</v>
      </c>
      <c r="F151">
        <f>+COUNTIF(ADV!T:T,A151)</f>
        <v>0</v>
      </c>
      <c r="G151" t="s">
        <v>8538</v>
      </c>
    </row>
    <row r="152" spans="1:7" x14ac:dyDescent="0.2">
      <c r="A152" t="s">
        <v>1193</v>
      </c>
      <c r="B152">
        <v>1080001</v>
      </c>
      <c r="C152" t="s">
        <v>8381</v>
      </c>
      <c r="E152">
        <f>+COUNTIF(ADV!S:S,A152)</f>
        <v>6</v>
      </c>
      <c r="F152">
        <f>+COUNTIF(ADV!T:T,A152)</f>
        <v>0</v>
      </c>
      <c r="G152" t="s">
        <v>8539</v>
      </c>
    </row>
    <row r="153" spans="1:7" x14ac:dyDescent="0.2">
      <c r="A153" t="s">
        <v>1334</v>
      </c>
      <c r="B153">
        <v>1080001</v>
      </c>
      <c r="C153" t="s">
        <v>8381</v>
      </c>
      <c r="E153">
        <f>+COUNTIF(ADV!S:S,A153)</f>
        <v>1</v>
      </c>
      <c r="F153">
        <f>+COUNTIF(ADV!T:T,A153)</f>
        <v>0</v>
      </c>
      <c r="G153" t="s">
        <v>8540</v>
      </c>
    </row>
    <row r="154" spans="1:7" x14ac:dyDescent="0.2">
      <c r="A154" t="s">
        <v>1274</v>
      </c>
      <c r="B154">
        <v>1080001</v>
      </c>
      <c r="C154" t="s">
        <v>8381</v>
      </c>
      <c r="E154">
        <f>+COUNTIF(ADV!S:S,A154)</f>
        <v>1</v>
      </c>
      <c r="F154">
        <f>+COUNTIF(ADV!T:T,A154)</f>
        <v>0</v>
      </c>
      <c r="G154" t="s">
        <v>8541</v>
      </c>
    </row>
    <row r="155" spans="1:7" x14ac:dyDescent="0.2">
      <c r="A155" t="s">
        <v>1849</v>
      </c>
      <c r="B155">
        <v>1010011</v>
      </c>
      <c r="C155" t="s">
        <v>8381</v>
      </c>
      <c r="E155">
        <f>+COUNTIF(ADV!S:S,A155)</f>
        <v>1</v>
      </c>
      <c r="F155">
        <f>+COUNTIF(ADV!T:T,A155)</f>
        <v>0</v>
      </c>
      <c r="G155" t="s">
        <v>8542</v>
      </c>
    </row>
    <row r="156" spans="1:7" x14ac:dyDescent="0.2">
      <c r="A156" t="s">
        <v>1834</v>
      </c>
      <c r="B156">
        <v>1020002</v>
      </c>
      <c r="C156" t="s">
        <v>8381</v>
      </c>
      <c r="E156">
        <f>+COUNTIF(ADV!S:S,A156)</f>
        <v>1</v>
      </c>
      <c r="F156">
        <f>+COUNTIF(ADV!T:T,A156)</f>
        <v>0</v>
      </c>
      <c r="G156" t="s">
        <v>8543</v>
      </c>
    </row>
    <row r="157" spans="1:7" x14ac:dyDescent="0.2">
      <c r="A157" t="s">
        <v>1618</v>
      </c>
      <c r="B157">
        <v>1080001</v>
      </c>
      <c r="C157" t="s">
        <v>8381</v>
      </c>
      <c r="E157">
        <f>+COUNTIF(ADV!S:S,A157)</f>
        <v>1</v>
      </c>
      <c r="F157">
        <f>+COUNTIF(ADV!T:T,A157)</f>
        <v>0</v>
      </c>
      <c r="G157" t="s">
        <v>8544</v>
      </c>
    </row>
    <row r="158" spans="1:7" x14ac:dyDescent="0.2">
      <c r="A158" t="s">
        <v>1300</v>
      </c>
      <c r="B158">
        <v>1030002</v>
      </c>
      <c r="C158" t="s">
        <v>8381</v>
      </c>
      <c r="E158">
        <f>+COUNTIF(ADV!S:S,A158)</f>
        <v>1</v>
      </c>
      <c r="F158">
        <f>+COUNTIF(ADV!T:T,A158)</f>
        <v>0</v>
      </c>
      <c r="G158" t="s">
        <v>8545</v>
      </c>
    </row>
    <row r="159" spans="1:7" x14ac:dyDescent="0.2">
      <c r="A159" t="s">
        <v>1717</v>
      </c>
      <c r="B159">
        <v>1020004</v>
      </c>
      <c r="C159" t="s">
        <v>8381</v>
      </c>
      <c r="E159">
        <f>+COUNTIF(ADV!S:S,A159)</f>
        <v>1</v>
      </c>
      <c r="F159">
        <f>+COUNTIF(ADV!T:T,A159)</f>
        <v>0</v>
      </c>
      <c r="G159" t="s">
        <v>8546</v>
      </c>
    </row>
    <row r="160" spans="1:7" x14ac:dyDescent="0.2">
      <c r="A160" t="s">
        <v>1818</v>
      </c>
      <c r="B160">
        <v>1020022</v>
      </c>
      <c r="C160" t="s">
        <v>8381</v>
      </c>
      <c r="E160">
        <f>+COUNTIF(ADV!S:S,A160)</f>
        <v>1</v>
      </c>
      <c r="F160">
        <f>+COUNTIF(ADV!T:T,A160)</f>
        <v>0</v>
      </c>
      <c r="G160" t="s">
        <v>8547</v>
      </c>
    </row>
    <row r="161" spans="1:7" x14ac:dyDescent="0.2">
      <c r="A161" t="s">
        <v>2745</v>
      </c>
      <c r="B161">
        <v>1020010</v>
      </c>
      <c r="C161" t="s">
        <v>8381</v>
      </c>
      <c r="E161">
        <f>+COUNTIF(ADV!S:S,A161)</f>
        <v>1</v>
      </c>
      <c r="F161">
        <f>+COUNTIF(ADV!T:T,A161)</f>
        <v>0</v>
      </c>
      <c r="G161" t="s">
        <v>8548</v>
      </c>
    </row>
    <row r="162" spans="1:7" x14ac:dyDescent="0.2">
      <c r="A162" t="s">
        <v>2232</v>
      </c>
      <c r="B162">
        <v>1010011</v>
      </c>
      <c r="C162" t="s">
        <v>8381</v>
      </c>
      <c r="E162">
        <f>+COUNTIF(ADV!S:S,A162)</f>
        <v>1</v>
      </c>
      <c r="F162">
        <f>+COUNTIF(ADV!T:T,A162)</f>
        <v>0</v>
      </c>
      <c r="G162" t="s">
        <v>8549</v>
      </c>
    </row>
    <row r="163" spans="1:7" x14ac:dyDescent="0.2">
      <c r="A163" t="s">
        <v>2066</v>
      </c>
      <c r="B163">
        <v>1020002</v>
      </c>
      <c r="C163" t="s">
        <v>8381</v>
      </c>
      <c r="E163">
        <f>+COUNTIF(ADV!S:S,A163)</f>
        <v>1</v>
      </c>
      <c r="F163">
        <f>+COUNTIF(ADV!T:T,A163)</f>
        <v>0</v>
      </c>
      <c r="G163" t="s">
        <v>8550</v>
      </c>
    </row>
    <row r="164" spans="1:7" x14ac:dyDescent="0.2">
      <c r="A164" t="s">
        <v>2347</v>
      </c>
      <c r="B164">
        <v>1020002</v>
      </c>
      <c r="C164" t="s">
        <v>8381</v>
      </c>
      <c r="E164">
        <f>+COUNTIF(ADV!S:S,A164)</f>
        <v>1</v>
      </c>
      <c r="F164">
        <f>+COUNTIF(ADV!T:T,A164)</f>
        <v>0</v>
      </c>
      <c r="G164" t="s">
        <v>8551</v>
      </c>
    </row>
    <row r="165" spans="1:7" x14ac:dyDescent="0.2">
      <c r="A165" t="s">
        <v>2125</v>
      </c>
      <c r="B165">
        <v>1080002</v>
      </c>
      <c r="C165" t="s">
        <v>8381</v>
      </c>
      <c r="E165">
        <f>+COUNTIF(ADV!S:S,A165)</f>
        <v>5</v>
      </c>
      <c r="F165">
        <f>+COUNTIF(ADV!T:T,A165)</f>
        <v>0</v>
      </c>
      <c r="G165" t="s">
        <v>8552</v>
      </c>
    </row>
    <row r="166" spans="1:7" x14ac:dyDescent="0.2">
      <c r="A166" t="s">
        <v>2182</v>
      </c>
      <c r="B166">
        <v>1080002</v>
      </c>
      <c r="C166" t="s">
        <v>8381</v>
      </c>
      <c r="E166">
        <f>+COUNTIF(ADV!S:S,A166)</f>
        <v>2</v>
      </c>
      <c r="F166">
        <f>+COUNTIF(ADV!T:T,A166)</f>
        <v>0</v>
      </c>
      <c r="G166" t="s">
        <v>8553</v>
      </c>
    </row>
    <row r="167" spans="1:7" x14ac:dyDescent="0.2">
      <c r="A167" t="s">
        <v>1968</v>
      </c>
      <c r="B167">
        <v>1020010</v>
      </c>
      <c r="C167" t="s">
        <v>8381</v>
      </c>
      <c r="E167">
        <f>+COUNTIF(ADV!S:S,A167)</f>
        <v>1</v>
      </c>
      <c r="F167">
        <f>+COUNTIF(ADV!T:T,A167)</f>
        <v>0</v>
      </c>
      <c r="G167" t="s">
        <v>8554</v>
      </c>
    </row>
    <row r="168" spans="1:7" x14ac:dyDescent="0.2">
      <c r="A168" t="s">
        <v>2216</v>
      </c>
      <c r="B168">
        <v>1010008</v>
      </c>
      <c r="C168" t="s">
        <v>8381</v>
      </c>
      <c r="E168">
        <f>+COUNTIF(ADV!S:S,A168)</f>
        <v>1</v>
      </c>
      <c r="F168">
        <f>+COUNTIF(ADV!T:T,A168)</f>
        <v>0</v>
      </c>
      <c r="G168" t="s">
        <v>8555</v>
      </c>
    </row>
    <row r="169" spans="1:7" x14ac:dyDescent="0.2">
      <c r="A169" t="s">
        <v>2419</v>
      </c>
      <c r="B169">
        <v>1020036</v>
      </c>
      <c r="C169" t="s">
        <v>8381</v>
      </c>
      <c r="E169">
        <f>+COUNTIF(ADV!S:S,A169)</f>
        <v>2</v>
      </c>
      <c r="F169">
        <f>+COUNTIF(ADV!T:T,A169)</f>
        <v>0</v>
      </c>
      <c r="G169" t="s">
        <v>8556</v>
      </c>
    </row>
    <row r="170" spans="1:7" x14ac:dyDescent="0.2">
      <c r="A170" t="s">
        <v>2035</v>
      </c>
      <c r="B170">
        <v>1020010</v>
      </c>
      <c r="C170" t="s">
        <v>8381</v>
      </c>
      <c r="E170">
        <f>+COUNTIF(ADV!S:S,A170)</f>
        <v>1</v>
      </c>
      <c r="F170">
        <f>+COUNTIF(ADV!T:T,A170)</f>
        <v>0</v>
      </c>
      <c r="G170" t="s">
        <v>8557</v>
      </c>
    </row>
    <row r="171" spans="1:7" x14ac:dyDescent="0.2">
      <c r="A171" t="s">
        <v>2771</v>
      </c>
      <c r="B171">
        <v>1020010</v>
      </c>
      <c r="C171" t="s">
        <v>8381</v>
      </c>
      <c r="E171">
        <f>+COUNTIF(ADV!S:S,A171)</f>
        <v>1</v>
      </c>
      <c r="F171">
        <f>+COUNTIF(ADV!T:T,A171)</f>
        <v>0</v>
      </c>
      <c r="G171" t="s">
        <v>8558</v>
      </c>
    </row>
    <row r="172" spans="1:7" x14ac:dyDescent="0.2">
      <c r="A172" t="s">
        <v>2139</v>
      </c>
      <c r="B172">
        <v>1020003</v>
      </c>
      <c r="C172" t="s">
        <v>8381</v>
      </c>
      <c r="E172">
        <f>+COUNTIF(ADV!S:S,A172)</f>
        <v>2</v>
      </c>
      <c r="F172">
        <f>+COUNTIF(ADV!T:T,A172)</f>
        <v>0</v>
      </c>
      <c r="G172" t="s">
        <v>8559</v>
      </c>
    </row>
    <row r="173" spans="1:7" x14ac:dyDescent="0.2">
      <c r="A173" t="s">
        <v>1951</v>
      </c>
      <c r="B173">
        <v>1020005</v>
      </c>
      <c r="C173" t="s">
        <v>8381</v>
      </c>
      <c r="E173">
        <f>+COUNTIF(ADV!S:S,A173)</f>
        <v>3</v>
      </c>
      <c r="F173">
        <f>+COUNTIF(ADV!T:T,A173)</f>
        <v>0</v>
      </c>
      <c r="G173" t="s">
        <v>8560</v>
      </c>
    </row>
    <row r="174" spans="1:7" x14ac:dyDescent="0.2">
      <c r="A174" t="s">
        <v>2677</v>
      </c>
      <c r="B174">
        <v>1020002</v>
      </c>
      <c r="C174" t="s">
        <v>8381</v>
      </c>
      <c r="E174">
        <f>+COUNTIF(ADV!S:S,A174)</f>
        <v>1</v>
      </c>
      <c r="F174">
        <f>+COUNTIF(ADV!T:T,A174)</f>
        <v>0</v>
      </c>
      <c r="G174" t="s">
        <v>8561</v>
      </c>
    </row>
    <row r="175" spans="1:7" x14ac:dyDescent="0.2">
      <c r="A175" t="s">
        <v>1986</v>
      </c>
      <c r="B175">
        <v>1080002</v>
      </c>
      <c r="C175" t="s">
        <v>8381</v>
      </c>
      <c r="E175">
        <f>+COUNTIF(ADV!S:S,A175)</f>
        <v>1</v>
      </c>
      <c r="F175">
        <f>+COUNTIF(ADV!T:T,A175)</f>
        <v>0</v>
      </c>
      <c r="G175" t="s">
        <v>8552</v>
      </c>
    </row>
    <row r="176" spans="1:7" x14ac:dyDescent="0.2">
      <c r="A176" t="s">
        <v>2759</v>
      </c>
      <c r="B176">
        <v>1020010</v>
      </c>
      <c r="C176" t="s">
        <v>8381</v>
      </c>
      <c r="E176">
        <f>+COUNTIF(ADV!S:S,A176)</f>
        <v>1</v>
      </c>
      <c r="F176">
        <f>+COUNTIF(ADV!T:T,A176)</f>
        <v>0</v>
      </c>
      <c r="G176" t="s">
        <v>8562</v>
      </c>
    </row>
    <row r="177" spans="1:7" x14ac:dyDescent="0.2">
      <c r="A177" t="s">
        <v>2447</v>
      </c>
      <c r="B177">
        <v>1020010</v>
      </c>
      <c r="C177" t="s">
        <v>8381</v>
      </c>
      <c r="E177">
        <f>+COUNTIF(ADV!S:S,A177)</f>
        <v>1</v>
      </c>
      <c r="F177">
        <f>+COUNTIF(ADV!T:T,A177)</f>
        <v>0</v>
      </c>
      <c r="G177" t="s">
        <v>8563</v>
      </c>
    </row>
    <row r="178" spans="1:7" x14ac:dyDescent="0.2">
      <c r="A178" t="s">
        <v>2052</v>
      </c>
      <c r="B178">
        <v>1020002</v>
      </c>
      <c r="C178" t="s">
        <v>8381</v>
      </c>
      <c r="E178">
        <f>+COUNTIF(ADV!S:S,A178)</f>
        <v>1</v>
      </c>
      <c r="F178">
        <f>+COUNTIF(ADV!T:T,A178)</f>
        <v>0</v>
      </c>
      <c r="G178" t="s">
        <v>8564</v>
      </c>
    </row>
    <row r="179" spans="1:7" x14ac:dyDescent="0.2">
      <c r="A179" t="s">
        <v>2018</v>
      </c>
      <c r="B179">
        <v>1020002</v>
      </c>
      <c r="C179" t="s">
        <v>8381</v>
      </c>
      <c r="E179">
        <f>+COUNTIF(ADV!S:S,A179)</f>
        <v>3</v>
      </c>
      <c r="F179">
        <f>+COUNTIF(ADV!T:T,A179)</f>
        <v>0</v>
      </c>
      <c r="G179" t="s">
        <v>8565</v>
      </c>
    </row>
    <row r="180" spans="1:7" x14ac:dyDescent="0.2">
      <c r="A180" t="s">
        <v>2155</v>
      </c>
      <c r="B180">
        <v>1080002</v>
      </c>
      <c r="C180" t="s">
        <v>8381</v>
      </c>
      <c r="E180">
        <f>+COUNTIF(ADV!S:S,A180)</f>
        <v>1</v>
      </c>
      <c r="F180">
        <f>+COUNTIF(ADV!T:T,A180)</f>
        <v>0</v>
      </c>
      <c r="G180" t="s">
        <v>8566</v>
      </c>
    </row>
    <row r="181" spans="1:7" x14ac:dyDescent="0.2">
      <c r="A181" t="s">
        <v>2081</v>
      </c>
      <c r="B181">
        <v>1080002</v>
      </c>
      <c r="C181" t="s">
        <v>8381</v>
      </c>
      <c r="E181">
        <f>+COUNTIF(ADV!S:S,A181)</f>
        <v>4</v>
      </c>
      <c r="F181">
        <f>+COUNTIF(ADV!T:T,A181)</f>
        <v>0</v>
      </c>
      <c r="G181" t="s">
        <v>8567</v>
      </c>
    </row>
    <row r="182" spans="1:7" x14ac:dyDescent="0.2">
      <c r="A182" t="s">
        <v>2390</v>
      </c>
      <c r="B182">
        <v>1020002</v>
      </c>
      <c r="C182" t="s">
        <v>8381</v>
      </c>
      <c r="E182">
        <f>+COUNTIF(ADV!S:S,A182)</f>
        <v>1</v>
      </c>
      <c r="F182">
        <f>+COUNTIF(ADV!T:T,A182)</f>
        <v>0</v>
      </c>
      <c r="G182" t="s">
        <v>8568</v>
      </c>
    </row>
    <row r="183" spans="1:7" x14ac:dyDescent="0.2">
      <c r="A183" t="s">
        <v>2784</v>
      </c>
      <c r="B183">
        <v>1020010</v>
      </c>
      <c r="C183" t="s">
        <v>8381</v>
      </c>
      <c r="E183">
        <f>+COUNTIF(ADV!S:S,A183)</f>
        <v>1</v>
      </c>
      <c r="F183">
        <f>+COUNTIF(ADV!T:T,A183)</f>
        <v>0</v>
      </c>
      <c r="G183" t="s">
        <v>8569</v>
      </c>
    </row>
    <row r="184" spans="1:7" x14ac:dyDescent="0.2">
      <c r="A184" t="s">
        <v>2406</v>
      </c>
      <c r="B184">
        <v>1020002</v>
      </c>
      <c r="C184" t="s">
        <v>8381</v>
      </c>
      <c r="E184">
        <f>+COUNTIF(ADV!S:S,A184)</f>
        <v>3</v>
      </c>
      <c r="F184">
        <f>+COUNTIF(ADV!T:T,A184)</f>
        <v>0</v>
      </c>
      <c r="G184" t="s">
        <v>8570</v>
      </c>
    </row>
    <row r="185" spans="1:7" x14ac:dyDescent="0.2">
      <c r="A185" t="s">
        <v>2375</v>
      </c>
      <c r="B185">
        <v>1020002</v>
      </c>
      <c r="C185" t="s">
        <v>8381</v>
      </c>
      <c r="E185">
        <f>+COUNTIF(ADV!S:S,A185)</f>
        <v>1</v>
      </c>
      <c r="F185">
        <f>+COUNTIF(ADV!T:T,A185)</f>
        <v>0</v>
      </c>
      <c r="G185" t="s">
        <v>8571</v>
      </c>
    </row>
    <row r="186" spans="1:7" x14ac:dyDescent="0.2">
      <c r="A186" t="s">
        <v>2273</v>
      </c>
      <c r="B186">
        <v>1080002</v>
      </c>
      <c r="C186" t="s">
        <v>8381</v>
      </c>
      <c r="E186">
        <f>+COUNTIF(ADV!S:S,A186)</f>
        <v>1</v>
      </c>
      <c r="F186">
        <f>+COUNTIF(ADV!T:T,A186)</f>
        <v>0</v>
      </c>
      <c r="G186" t="s">
        <v>8572</v>
      </c>
    </row>
    <row r="187" spans="1:7" x14ac:dyDescent="0.2">
      <c r="A187" t="s">
        <v>2169</v>
      </c>
      <c r="B187">
        <v>1080002</v>
      </c>
      <c r="C187" t="s">
        <v>8381</v>
      </c>
      <c r="E187">
        <f>+COUNTIF(ADV!S:S,A187)</f>
        <v>3</v>
      </c>
      <c r="F187">
        <f>+COUNTIF(ADV!T:T,A187)</f>
        <v>0</v>
      </c>
      <c r="G187" t="s">
        <v>8573</v>
      </c>
    </row>
    <row r="188" spans="1:7" x14ac:dyDescent="0.2">
      <c r="A188" t="s">
        <v>2560</v>
      </c>
      <c r="B188">
        <v>1080002</v>
      </c>
      <c r="C188" t="s">
        <v>8381</v>
      </c>
      <c r="E188">
        <f>+COUNTIF(ADV!S:S,A188)</f>
        <v>2</v>
      </c>
      <c r="F188">
        <f>+COUNTIF(ADV!T:T,A188)</f>
        <v>0</v>
      </c>
      <c r="G188" t="s">
        <v>8574</v>
      </c>
    </row>
    <row r="189" spans="1:7" x14ac:dyDescent="0.2">
      <c r="A189" t="s">
        <v>2586</v>
      </c>
      <c r="B189">
        <v>1040001</v>
      </c>
      <c r="C189" t="s">
        <v>8381</v>
      </c>
      <c r="E189">
        <f>+COUNTIF(ADV!S:S,A189)</f>
        <v>1</v>
      </c>
      <c r="F189">
        <f>+COUNTIF(ADV!T:T,A189)</f>
        <v>0</v>
      </c>
      <c r="G189" t="s">
        <v>8575</v>
      </c>
    </row>
    <row r="190" spans="1:7" x14ac:dyDescent="0.2">
      <c r="A190" t="s">
        <v>2199</v>
      </c>
      <c r="B190">
        <v>1080002</v>
      </c>
      <c r="C190" t="s">
        <v>8381</v>
      </c>
      <c r="E190">
        <f>+COUNTIF(ADV!S:S,A190)</f>
        <v>3</v>
      </c>
      <c r="F190">
        <f>+COUNTIF(ADV!T:T,A190)</f>
        <v>0</v>
      </c>
      <c r="G190" t="s">
        <v>8576</v>
      </c>
    </row>
    <row r="191" spans="1:7" x14ac:dyDescent="0.2">
      <c r="A191" t="s">
        <v>2002</v>
      </c>
      <c r="B191">
        <v>1020002</v>
      </c>
      <c r="C191" t="s">
        <v>8381</v>
      </c>
      <c r="E191">
        <f>+COUNTIF(ADV!S:S,A191)</f>
        <v>1</v>
      </c>
      <c r="F191">
        <f>+COUNTIF(ADV!T:T,A191)</f>
        <v>0</v>
      </c>
      <c r="G191" t="s">
        <v>8577</v>
      </c>
    </row>
    <row r="192" spans="1:7" x14ac:dyDescent="0.2">
      <c r="A192" t="s">
        <v>2474</v>
      </c>
      <c r="B192">
        <v>1020002</v>
      </c>
      <c r="C192" t="s">
        <v>8381</v>
      </c>
      <c r="E192">
        <f>+COUNTIF(ADV!S:S,A192)</f>
        <v>2</v>
      </c>
      <c r="F192">
        <f>+COUNTIF(ADV!T:T,A192)</f>
        <v>0</v>
      </c>
      <c r="G192" t="s">
        <v>8578</v>
      </c>
    </row>
    <row r="193" spans="1:7" x14ac:dyDescent="0.2">
      <c r="A193" t="s">
        <v>2290</v>
      </c>
      <c r="B193">
        <v>1030009</v>
      </c>
      <c r="C193" t="s">
        <v>8381</v>
      </c>
      <c r="E193">
        <f>+COUNTIF(ADV!S:S,A193)</f>
        <v>1</v>
      </c>
      <c r="F193">
        <f>+COUNTIF(ADV!T:T,A193)</f>
        <v>0</v>
      </c>
      <c r="G193" t="s">
        <v>8579</v>
      </c>
    </row>
    <row r="194" spans="1:7" x14ac:dyDescent="0.2">
      <c r="A194" t="s">
        <v>2716</v>
      </c>
      <c r="B194">
        <v>1010011</v>
      </c>
      <c r="C194" t="s">
        <v>8381</v>
      </c>
      <c r="E194">
        <f>+COUNTIF(ADV!S:S,A194)</f>
        <v>1</v>
      </c>
      <c r="F194">
        <f>+COUNTIF(ADV!T:T,A194)</f>
        <v>0</v>
      </c>
      <c r="G194" t="s">
        <v>8580</v>
      </c>
    </row>
    <row r="195" spans="1:7" x14ac:dyDescent="0.2">
      <c r="A195" t="s">
        <v>2635</v>
      </c>
      <c r="B195">
        <v>1080002</v>
      </c>
      <c r="C195" t="s">
        <v>8381</v>
      </c>
      <c r="E195">
        <f>+COUNTIF(ADV!S:S,A195)</f>
        <v>1</v>
      </c>
      <c r="F195">
        <f>+COUNTIF(ADV!T:T,A195)</f>
        <v>0</v>
      </c>
      <c r="G195" t="s">
        <v>8581</v>
      </c>
    </row>
    <row r="196" spans="1:7" x14ac:dyDescent="0.2">
      <c r="A196" t="s">
        <v>2517</v>
      </c>
      <c r="B196">
        <v>1020022</v>
      </c>
      <c r="C196" t="s">
        <v>8381</v>
      </c>
      <c r="E196">
        <f>+COUNTIF(ADV!S:S,A196)</f>
        <v>1</v>
      </c>
      <c r="F196">
        <f>+COUNTIF(ADV!T:T,A196)</f>
        <v>0</v>
      </c>
      <c r="G196" t="s">
        <v>8582</v>
      </c>
    </row>
    <row r="197" spans="1:7" x14ac:dyDescent="0.2">
      <c r="A197" t="s">
        <v>2702</v>
      </c>
      <c r="B197">
        <v>1080002</v>
      </c>
      <c r="C197" t="s">
        <v>8381</v>
      </c>
      <c r="E197">
        <f>+COUNTIF(ADV!S:S,A197)</f>
        <v>1</v>
      </c>
      <c r="F197">
        <f>+COUNTIF(ADV!T:T,A197)</f>
        <v>0</v>
      </c>
      <c r="G197" t="s">
        <v>8583</v>
      </c>
    </row>
    <row r="198" spans="1:7" x14ac:dyDescent="0.2">
      <c r="A198" t="s">
        <v>2690</v>
      </c>
      <c r="B198">
        <v>1080002</v>
      </c>
      <c r="C198" t="s">
        <v>8381</v>
      </c>
      <c r="E198">
        <f>+COUNTIF(ADV!S:S,A198)</f>
        <v>1</v>
      </c>
      <c r="F198">
        <f>+COUNTIF(ADV!T:T,A198)</f>
        <v>0</v>
      </c>
      <c r="G198" t="s">
        <v>8584</v>
      </c>
    </row>
    <row r="199" spans="1:7" x14ac:dyDescent="0.2">
      <c r="A199" t="s">
        <v>1577</v>
      </c>
      <c r="B199">
        <v>1020002</v>
      </c>
      <c r="C199" t="s">
        <v>8381</v>
      </c>
      <c r="E199">
        <f>+COUNTIF(ADV!S:S,A199)</f>
        <v>2</v>
      </c>
      <c r="F199">
        <f>+COUNTIF(ADV!T:T,A199)</f>
        <v>0</v>
      </c>
      <c r="G199" t="s">
        <v>8585</v>
      </c>
    </row>
    <row r="200" spans="1:7" x14ac:dyDescent="0.2">
      <c r="A200" t="s">
        <v>3476</v>
      </c>
      <c r="B200">
        <v>1020003</v>
      </c>
      <c r="C200" t="s">
        <v>8381</v>
      </c>
      <c r="E200">
        <f>+COUNTIF(ADV!S:S,A200)</f>
        <v>1</v>
      </c>
      <c r="F200">
        <f>+COUNTIF(ADV!T:T,A200)</f>
        <v>0</v>
      </c>
      <c r="G200" t="s">
        <v>8586</v>
      </c>
    </row>
    <row r="201" spans="1:7" x14ac:dyDescent="0.2">
      <c r="A201" t="s">
        <v>279</v>
      </c>
      <c r="B201">
        <v>1020005</v>
      </c>
      <c r="C201" t="s">
        <v>8381</v>
      </c>
      <c r="E201">
        <f>+COUNTIF(ADV!S:S,A201)</f>
        <v>1</v>
      </c>
      <c r="F201">
        <f>+COUNTIF(ADV!T:T,A201)</f>
        <v>0</v>
      </c>
      <c r="G201" t="s">
        <v>8587</v>
      </c>
    </row>
    <row r="202" spans="1:7" x14ac:dyDescent="0.2">
      <c r="A202" t="s">
        <v>3986</v>
      </c>
      <c r="B202">
        <v>1020002</v>
      </c>
      <c r="C202" t="s">
        <v>8381</v>
      </c>
      <c r="E202">
        <f>+COUNTIF(ADV!S:S,A202)</f>
        <v>1</v>
      </c>
      <c r="F202">
        <f>+COUNTIF(ADV!T:T,A202)</f>
        <v>0</v>
      </c>
      <c r="G202" t="s">
        <v>8588</v>
      </c>
    </row>
    <row r="204" spans="1:7" x14ac:dyDescent="0.2">
      <c r="A204" t="s">
        <v>3998</v>
      </c>
      <c r="B204">
        <v>1020014</v>
      </c>
      <c r="C204" t="s">
        <v>77</v>
      </c>
      <c r="D204">
        <f>+COUNTIF(ADV!R:R,'A-CA'!A204)</f>
        <v>1</v>
      </c>
      <c r="G204" t="s">
        <v>8589</v>
      </c>
    </row>
    <row r="205" spans="1:7" x14ac:dyDescent="0.2">
      <c r="A205" t="s">
        <v>2124</v>
      </c>
      <c r="B205">
        <v>1010006</v>
      </c>
      <c r="C205" t="s">
        <v>77</v>
      </c>
      <c r="D205">
        <f>+COUNTIF(ADV!R:R,'A-CA'!A205)</f>
        <v>1</v>
      </c>
      <c r="G205" t="s">
        <v>6115</v>
      </c>
    </row>
    <row r="206" spans="1:7" x14ac:dyDescent="0.2">
      <c r="A206" t="s">
        <v>581</v>
      </c>
      <c r="B206">
        <v>1020011</v>
      </c>
      <c r="C206" t="s">
        <v>77</v>
      </c>
      <c r="D206">
        <f>+COUNTIF(ADV!R:R,'A-CA'!A206)</f>
        <v>3</v>
      </c>
      <c r="G206" t="s">
        <v>8590</v>
      </c>
    </row>
    <row r="207" spans="1:7" x14ac:dyDescent="0.2">
      <c r="A207" t="s">
        <v>385</v>
      </c>
      <c r="B207">
        <v>1020010</v>
      </c>
      <c r="C207" t="s">
        <v>77</v>
      </c>
      <c r="D207">
        <f>+COUNTIF(ADV!R:R,'A-CA'!A207)</f>
        <v>33</v>
      </c>
      <c r="G207" t="s">
        <v>8591</v>
      </c>
    </row>
    <row r="208" spans="1:7" x14ac:dyDescent="0.2">
      <c r="A208" t="s">
        <v>563</v>
      </c>
      <c r="B208">
        <v>1020003</v>
      </c>
      <c r="C208" t="s">
        <v>77</v>
      </c>
      <c r="D208">
        <f>+COUNTIF(ADV!R:R,'A-CA'!A208)</f>
        <v>28</v>
      </c>
      <c r="G208" t="s">
        <v>8592</v>
      </c>
    </row>
    <row r="209" spans="1:7" x14ac:dyDescent="0.2">
      <c r="A209" t="s">
        <v>952</v>
      </c>
      <c r="B209">
        <v>1020002</v>
      </c>
      <c r="C209" t="s">
        <v>77</v>
      </c>
      <c r="D209">
        <f>+COUNTIF(ADV!R:R,'A-CA'!A209)</f>
        <v>1</v>
      </c>
      <c r="G209" t="s">
        <v>8593</v>
      </c>
    </row>
    <row r="210" spans="1:7" x14ac:dyDescent="0.2">
      <c r="A210" t="s">
        <v>126</v>
      </c>
      <c r="B210">
        <v>1020005</v>
      </c>
      <c r="C210" t="s">
        <v>77</v>
      </c>
      <c r="D210">
        <f>+COUNTIF(ADV!R:R,'A-CA'!A210)</f>
        <v>34</v>
      </c>
      <c r="G210" t="s">
        <v>8594</v>
      </c>
    </row>
    <row r="211" spans="1:7" x14ac:dyDescent="0.2">
      <c r="A211" t="s">
        <v>170</v>
      </c>
      <c r="B211">
        <v>1010001</v>
      </c>
      <c r="C211" t="s">
        <v>77</v>
      </c>
      <c r="D211">
        <f>+COUNTIF(ADV!R:R,'A-CA'!A211)</f>
        <v>1</v>
      </c>
      <c r="G211" t="s">
        <v>8595</v>
      </c>
    </row>
    <row r="212" spans="1:7" x14ac:dyDescent="0.2">
      <c r="A212" t="s">
        <v>1057</v>
      </c>
      <c r="B212">
        <v>1020013</v>
      </c>
      <c r="C212" t="s">
        <v>77</v>
      </c>
      <c r="D212">
        <f>+COUNTIF(ADV!R:R,'A-CA'!A212)</f>
        <v>16</v>
      </c>
      <c r="G212" t="s">
        <v>8596</v>
      </c>
    </row>
    <row r="213" spans="1:7" x14ac:dyDescent="0.2">
      <c r="A213" t="s">
        <v>148</v>
      </c>
      <c r="B213">
        <v>1010041</v>
      </c>
      <c r="C213" t="s">
        <v>77</v>
      </c>
      <c r="D213">
        <f>+COUNTIF(ADV!R:R,'A-CA'!A213)</f>
        <v>2</v>
      </c>
      <c r="G213" t="s">
        <v>8597</v>
      </c>
    </row>
    <row r="214" spans="1:7" x14ac:dyDescent="0.2">
      <c r="A214" t="s">
        <v>682</v>
      </c>
      <c r="B214">
        <v>1020001</v>
      </c>
      <c r="C214" t="s">
        <v>77</v>
      </c>
      <c r="D214">
        <f>+COUNTIF(ADV!R:R,'A-CA'!A214)</f>
        <v>35</v>
      </c>
      <c r="G214" t="s">
        <v>8598</v>
      </c>
    </row>
    <row r="215" spans="1:7" x14ac:dyDescent="0.2">
      <c r="A215" t="s">
        <v>665</v>
      </c>
      <c r="B215">
        <v>1010078</v>
      </c>
      <c r="C215" t="s">
        <v>77</v>
      </c>
      <c r="D215">
        <f>+COUNTIF(ADV!R:R,'A-CA'!A215)</f>
        <v>1</v>
      </c>
      <c r="G215" t="s">
        <v>8599</v>
      </c>
    </row>
    <row r="216" spans="1:7" x14ac:dyDescent="0.2">
      <c r="A216" t="s">
        <v>3200</v>
      </c>
      <c r="B216">
        <v>1090004</v>
      </c>
      <c r="C216" t="s">
        <v>77</v>
      </c>
      <c r="D216">
        <f>+COUNTIF(ADV!R:R,'A-CA'!A216)</f>
        <v>1</v>
      </c>
      <c r="G216" t="s">
        <v>8600</v>
      </c>
    </row>
    <row r="217" spans="1:7" x14ac:dyDescent="0.2">
      <c r="A217" t="s">
        <v>3550</v>
      </c>
      <c r="B217">
        <v>1090004</v>
      </c>
      <c r="C217" t="s">
        <v>77</v>
      </c>
      <c r="D217">
        <f>+COUNTIF(ADV!R:R,'A-CA'!A217)</f>
        <v>1</v>
      </c>
      <c r="G217" t="s">
        <v>8601</v>
      </c>
    </row>
    <row r="218" spans="1:7" x14ac:dyDescent="0.2">
      <c r="A218" t="s">
        <v>860</v>
      </c>
      <c r="B218">
        <v>1010016</v>
      </c>
      <c r="C218" t="s">
        <v>77</v>
      </c>
      <c r="D218">
        <f>+COUNTIF(ADV!R:R,'A-CA'!A218)</f>
        <v>2</v>
      </c>
      <c r="G218" t="s">
        <v>8602</v>
      </c>
    </row>
    <row r="219" spans="1:7" x14ac:dyDescent="0.2">
      <c r="A219" t="s">
        <v>3302</v>
      </c>
      <c r="B219">
        <v>1070004</v>
      </c>
      <c r="C219" t="s">
        <v>77</v>
      </c>
      <c r="D219">
        <f>+COUNTIF(ADV!R:R,'A-CA'!A219)</f>
        <v>1</v>
      </c>
      <c r="G219" t="s">
        <v>8603</v>
      </c>
    </row>
    <row r="220" spans="1:7" x14ac:dyDescent="0.2">
      <c r="A220" t="s">
        <v>970</v>
      </c>
      <c r="B220">
        <v>1020009</v>
      </c>
      <c r="C220" t="s">
        <v>77</v>
      </c>
      <c r="D220">
        <f>+COUNTIF(ADV!R:R,'A-CA'!A220)</f>
        <v>30</v>
      </c>
      <c r="G220" t="s">
        <v>8604</v>
      </c>
    </row>
    <row r="221" spans="1:7" x14ac:dyDescent="0.2">
      <c r="A221" t="s">
        <v>2001</v>
      </c>
      <c r="B221">
        <v>1070016</v>
      </c>
      <c r="C221" t="s">
        <v>77</v>
      </c>
      <c r="D221">
        <f>+COUNTIF(ADV!R:R,'A-CA'!A221)</f>
        <v>1</v>
      </c>
      <c r="G221" t="s">
        <v>8605</v>
      </c>
    </row>
    <row r="222" spans="1:7" x14ac:dyDescent="0.2">
      <c r="A222" t="s">
        <v>648</v>
      </c>
      <c r="B222">
        <v>1010094</v>
      </c>
      <c r="C222" t="s">
        <v>77</v>
      </c>
      <c r="D222">
        <f>+COUNTIF(ADV!R:R,'A-CA'!A222)</f>
        <v>1</v>
      </c>
      <c r="G222" t="s">
        <v>8606</v>
      </c>
    </row>
    <row r="223" spans="1:7" x14ac:dyDescent="0.2">
      <c r="A223" t="s">
        <v>1950</v>
      </c>
      <c r="B223">
        <v>1020032</v>
      </c>
      <c r="C223" t="s">
        <v>77</v>
      </c>
      <c r="D223">
        <f>+COUNTIF(ADV!R:R,'A-CA'!A223)</f>
        <v>2</v>
      </c>
      <c r="G223" t="s">
        <v>8607</v>
      </c>
    </row>
    <row r="224" spans="1:7" x14ac:dyDescent="0.2">
      <c r="A224" t="s">
        <v>842</v>
      </c>
      <c r="B224">
        <v>1010002</v>
      </c>
      <c r="C224" t="s">
        <v>77</v>
      </c>
      <c r="D224">
        <f>+COUNTIF(ADV!R:R,'A-CA'!A224)</f>
        <v>33</v>
      </c>
      <c r="G224" t="s">
        <v>8608</v>
      </c>
    </row>
    <row r="225" spans="1:7" x14ac:dyDescent="0.2">
      <c r="A225" t="s">
        <v>762</v>
      </c>
      <c r="B225">
        <v>1020004</v>
      </c>
      <c r="C225" t="s">
        <v>77</v>
      </c>
      <c r="D225">
        <f>+COUNTIF(ADV!R:R,'A-CA'!A225)</f>
        <v>32</v>
      </c>
      <c r="G225" t="s">
        <v>8609</v>
      </c>
    </row>
    <row r="226" spans="1:7" x14ac:dyDescent="0.2">
      <c r="A226" t="s">
        <v>466</v>
      </c>
      <c r="B226">
        <v>1010045</v>
      </c>
      <c r="C226" t="s">
        <v>77</v>
      </c>
      <c r="D226">
        <f>+COUNTIF(ADV!R:R,'A-CA'!A226)</f>
        <v>3</v>
      </c>
      <c r="G226" t="s">
        <v>8610</v>
      </c>
    </row>
    <row r="227" spans="1:7" x14ac:dyDescent="0.2">
      <c r="A227" t="s">
        <v>333</v>
      </c>
      <c r="B227">
        <v>1020002</v>
      </c>
      <c r="C227" t="s">
        <v>77</v>
      </c>
      <c r="D227">
        <f>+COUNTIF(ADV!R:R,'A-CA'!A227)</f>
        <v>34</v>
      </c>
      <c r="G227" t="s">
        <v>8611</v>
      </c>
    </row>
    <row r="228" spans="1:7" x14ac:dyDescent="0.2">
      <c r="A228" t="s">
        <v>1985</v>
      </c>
      <c r="B228">
        <v>1090003</v>
      </c>
      <c r="C228" t="s">
        <v>77</v>
      </c>
      <c r="D228">
        <f>+COUNTIF(ADV!R:R,'A-CA'!A228)</f>
        <v>1</v>
      </c>
      <c r="G228" t="s">
        <v>8612</v>
      </c>
    </row>
    <row r="230" spans="1:7" x14ac:dyDescent="0.2">
      <c r="A230" t="s">
        <v>2233</v>
      </c>
      <c r="B230">
        <v>1010011</v>
      </c>
      <c r="C230" t="s">
        <v>8613</v>
      </c>
      <c r="E230">
        <f>+COUNTIF(ADV!S:S,A230)</f>
        <v>0</v>
      </c>
      <c r="F230">
        <f>+COUNTIF(ADV!T:T,A230)</f>
        <v>1</v>
      </c>
      <c r="G230" t="s">
        <v>8614</v>
      </c>
    </row>
    <row r="231" spans="1:7" x14ac:dyDescent="0.2">
      <c r="A231" t="s">
        <v>433</v>
      </c>
      <c r="B231">
        <v>1010008</v>
      </c>
      <c r="C231" t="s">
        <v>8613</v>
      </c>
      <c r="E231">
        <f>+COUNTIF(ADV!S:S,A231)</f>
        <v>0</v>
      </c>
      <c r="F231">
        <f>+COUNTIF(ADV!T:T,A231)</f>
        <v>1</v>
      </c>
      <c r="G231" t="s">
        <v>8615</v>
      </c>
    </row>
    <row r="232" spans="1:7" x14ac:dyDescent="0.2">
      <c r="A232" t="s">
        <v>862</v>
      </c>
      <c r="B232">
        <v>1010006</v>
      </c>
      <c r="C232" t="s">
        <v>8613</v>
      </c>
      <c r="E232">
        <f>+COUNTIF(ADV!S:S,A232)</f>
        <v>0</v>
      </c>
      <c r="F232">
        <f>+COUNTIF(ADV!T:T,A232)</f>
        <v>6</v>
      </c>
      <c r="G232" t="s">
        <v>8616</v>
      </c>
    </row>
    <row r="233" spans="1:7" x14ac:dyDescent="0.2">
      <c r="A233" t="s">
        <v>826</v>
      </c>
      <c r="B233">
        <v>1040002</v>
      </c>
      <c r="C233" t="s">
        <v>8613</v>
      </c>
      <c r="E233">
        <f>+COUNTIF(ADV!S:S,A233)</f>
        <v>0</v>
      </c>
      <c r="F233">
        <f>+COUNTIF(ADV!T:T,A233)</f>
        <v>1</v>
      </c>
      <c r="G233" t="s">
        <v>8617</v>
      </c>
    </row>
    <row r="234" spans="1:7" x14ac:dyDescent="0.2">
      <c r="A234" t="s">
        <v>795</v>
      </c>
      <c r="B234">
        <v>1010012</v>
      </c>
      <c r="C234" t="s">
        <v>8613</v>
      </c>
      <c r="E234">
        <f>+COUNTIF(ADV!S:S,A234)</f>
        <v>0</v>
      </c>
      <c r="F234">
        <f>+COUNTIF(ADV!T:T,A234)</f>
        <v>3</v>
      </c>
      <c r="G234" t="s">
        <v>8618</v>
      </c>
    </row>
    <row r="235" spans="1:7" x14ac:dyDescent="0.2">
      <c r="A235" t="s">
        <v>1088</v>
      </c>
      <c r="B235">
        <v>1010008</v>
      </c>
      <c r="C235" t="s">
        <v>8613</v>
      </c>
      <c r="E235">
        <f>+COUNTIF(ADV!S:S,A235)</f>
        <v>0</v>
      </c>
      <c r="F235">
        <f>+COUNTIF(ADV!T:T,A235)</f>
        <v>3</v>
      </c>
      <c r="G235" t="s">
        <v>8619</v>
      </c>
    </row>
    <row r="236" spans="1:7" x14ac:dyDescent="0.2">
      <c r="A236" t="s">
        <v>353</v>
      </c>
      <c r="B236">
        <v>1020036</v>
      </c>
      <c r="C236" t="s">
        <v>8613</v>
      </c>
      <c r="E236">
        <f>+COUNTIF(ADV!S:S,A236)</f>
        <v>0</v>
      </c>
      <c r="F236">
        <f>+COUNTIF(ADV!T:T,A236)</f>
        <v>11</v>
      </c>
      <c r="G236" t="s">
        <v>8620</v>
      </c>
    </row>
    <row r="237" spans="1:7" x14ac:dyDescent="0.2">
      <c r="A237" t="s">
        <v>245</v>
      </c>
      <c r="B237">
        <v>1020010</v>
      </c>
      <c r="C237" t="s">
        <v>8613</v>
      </c>
      <c r="E237">
        <f>+COUNTIF(ADV!S:S,A237)</f>
        <v>0</v>
      </c>
      <c r="F237">
        <f>+COUNTIF(ADV!T:T,A237)</f>
        <v>18</v>
      </c>
      <c r="G237" t="s">
        <v>8621</v>
      </c>
    </row>
    <row r="238" spans="1:7" x14ac:dyDescent="0.2">
      <c r="A238" t="s">
        <v>24234</v>
      </c>
      <c r="B238">
        <v>1020003</v>
      </c>
      <c r="C238" t="s">
        <v>8613</v>
      </c>
      <c r="E238">
        <f>+COUNTIF(ADV!S:S,A238)</f>
        <v>0</v>
      </c>
      <c r="F238">
        <f>+COUNTIF(ADV!T:T,A238)</f>
        <v>10</v>
      </c>
      <c r="G238" t="s">
        <v>8622</v>
      </c>
    </row>
    <row r="239" spans="1:7" x14ac:dyDescent="0.2">
      <c r="A239" t="s">
        <v>8623</v>
      </c>
      <c r="B239">
        <v>1020002</v>
      </c>
      <c r="C239" t="s">
        <v>8613</v>
      </c>
      <c r="E239">
        <f>+COUNTIF(ADV!S:S,A239)</f>
        <v>0</v>
      </c>
      <c r="F239">
        <f>+COUNTIF(ADV!T:T,A239)</f>
        <v>0</v>
      </c>
      <c r="G239" t="s">
        <v>8624</v>
      </c>
    </row>
    <row r="240" spans="1:7" x14ac:dyDescent="0.2">
      <c r="A240" t="s">
        <v>280</v>
      </c>
      <c r="B240">
        <v>1020005</v>
      </c>
      <c r="C240" t="s">
        <v>8613</v>
      </c>
      <c r="E240">
        <f>+COUNTIF(ADV!S:S,A240)</f>
        <v>0</v>
      </c>
      <c r="F240">
        <f>+COUNTIF(ADV!T:T,A240)</f>
        <v>16</v>
      </c>
      <c r="G240" t="s">
        <v>8625</v>
      </c>
    </row>
    <row r="241" spans="1:7" x14ac:dyDescent="0.2">
      <c r="A241" t="s">
        <v>650</v>
      </c>
      <c r="B241">
        <v>1010003</v>
      </c>
      <c r="C241" t="s">
        <v>8613</v>
      </c>
      <c r="E241">
        <f>+COUNTIF(ADV!S:S,A241)</f>
        <v>0</v>
      </c>
      <c r="F241">
        <f>+COUNTIF(ADV!T:T,A241)</f>
        <v>1</v>
      </c>
      <c r="G241" t="s">
        <v>8626</v>
      </c>
    </row>
    <row r="242" spans="1:7" x14ac:dyDescent="0.2">
      <c r="A242" t="s">
        <v>283</v>
      </c>
      <c r="B242">
        <v>1020002</v>
      </c>
      <c r="C242" t="s">
        <v>8613</v>
      </c>
      <c r="E242">
        <f>+COUNTIF(ADV!S:S,A242)</f>
        <v>0</v>
      </c>
      <c r="F242">
        <f>+COUNTIF(ADV!T:T,A242)</f>
        <v>8</v>
      </c>
      <c r="G242" t="s">
        <v>8627</v>
      </c>
    </row>
    <row r="243" spans="1:7" x14ac:dyDescent="0.2">
      <c r="A243" t="s">
        <v>3566</v>
      </c>
      <c r="B243">
        <v>1020010</v>
      </c>
      <c r="C243" t="s">
        <v>8613</v>
      </c>
      <c r="E243">
        <f>+COUNTIF(ADV!S:S,A243)</f>
        <v>0</v>
      </c>
      <c r="F243">
        <f>+COUNTIF(ADV!T:T,A243)</f>
        <v>1</v>
      </c>
      <c r="G243" t="s">
        <v>8628</v>
      </c>
    </row>
    <row r="244" spans="1:7" x14ac:dyDescent="0.2">
      <c r="A244" t="s">
        <v>170</v>
      </c>
      <c r="B244">
        <v>1010001</v>
      </c>
      <c r="C244" t="s">
        <v>8613</v>
      </c>
      <c r="E244">
        <f>+COUNTIF(ADV!S:S,A244)</f>
        <v>0</v>
      </c>
      <c r="F244">
        <f>+COUNTIF(ADV!T:T,A244)</f>
        <v>1</v>
      </c>
      <c r="G244" t="s">
        <v>8595</v>
      </c>
    </row>
    <row r="245" spans="1:7" x14ac:dyDescent="0.2">
      <c r="A245" t="s">
        <v>315</v>
      </c>
      <c r="B245">
        <v>1020001</v>
      </c>
      <c r="C245" t="s">
        <v>8613</v>
      </c>
      <c r="E245">
        <f>+COUNTIF(ADV!S:S,A245)</f>
        <v>0</v>
      </c>
      <c r="F245">
        <f>+COUNTIF(ADV!T:T,A245)</f>
        <v>7</v>
      </c>
      <c r="G245" t="s">
        <v>8630</v>
      </c>
    </row>
    <row r="246" spans="1:7" x14ac:dyDescent="0.2">
      <c r="A246" t="s">
        <v>779</v>
      </c>
      <c r="B246">
        <v>1020022</v>
      </c>
      <c r="C246" t="s">
        <v>8613</v>
      </c>
      <c r="E246">
        <f>+COUNTIF(ADV!S:S,A246)</f>
        <v>0</v>
      </c>
      <c r="F246">
        <f>+COUNTIF(ADV!T:T,A246)</f>
        <v>4</v>
      </c>
      <c r="G246" t="s">
        <v>8631</v>
      </c>
    </row>
    <row r="247" spans="1:7" x14ac:dyDescent="0.2">
      <c r="A247" t="s">
        <v>190</v>
      </c>
      <c r="B247">
        <v>1010011</v>
      </c>
      <c r="C247" t="s">
        <v>8613</v>
      </c>
      <c r="E247">
        <f>+COUNTIF(ADV!S:S,A247)</f>
        <v>0</v>
      </c>
      <c r="F247">
        <f>+COUNTIF(ADV!T:T,A247)</f>
        <v>5</v>
      </c>
      <c r="G247" t="s">
        <v>8632</v>
      </c>
    </row>
    <row r="248" spans="1:7" x14ac:dyDescent="0.2">
      <c r="A248" t="s">
        <v>3491</v>
      </c>
      <c r="B248">
        <v>1040004</v>
      </c>
      <c r="C248" t="s">
        <v>8613</v>
      </c>
      <c r="E248">
        <f>+COUNTIF(ADV!S:S,A248)</f>
        <v>0</v>
      </c>
      <c r="F248">
        <f>+COUNTIF(ADV!T:T,A248)</f>
        <v>1</v>
      </c>
      <c r="G248" t="s">
        <v>8634</v>
      </c>
    </row>
    <row r="249" spans="1:7" x14ac:dyDescent="0.2">
      <c r="A249" t="s">
        <v>2587</v>
      </c>
      <c r="B249">
        <v>1040001</v>
      </c>
      <c r="C249" t="s">
        <v>8613</v>
      </c>
      <c r="E249">
        <f>+COUNTIF(ADV!S:S,A249)</f>
        <v>0</v>
      </c>
      <c r="F249">
        <f>+COUNTIF(ADV!T:T,A249)</f>
        <v>2</v>
      </c>
      <c r="G249" t="s">
        <v>8635</v>
      </c>
    </row>
    <row r="250" spans="1:7" x14ac:dyDescent="0.2">
      <c r="A250" t="s">
        <v>970</v>
      </c>
      <c r="B250">
        <v>1020009</v>
      </c>
      <c r="C250" t="s">
        <v>8613</v>
      </c>
      <c r="E250">
        <f>+COUNTIF(ADV!S:S,A250)</f>
        <v>0</v>
      </c>
      <c r="F250">
        <f>+COUNTIF(ADV!T:T,A250)</f>
        <v>1</v>
      </c>
      <c r="G250" t="s">
        <v>8636</v>
      </c>
    </row>
    <row r="251" spans="1:7" x14ac:dyDescent="0.2">
      <c r="A251" t="s">
        <v>4552</v>
      </c>
      <c r="B251">
        <v>1070017</v>
      </c>
      <c r="C251" t="s">
        <v>8613</v>
      </c>
      <c r="E251">
        <f>+COUNTIF(ADV!S:S,A251)</f>
        <v>0</v>
      </c>
      <c r="F251">
        <f>+COUNTIF(ADV!T:T,A251)</f>
        <v>1</v>
      </c>
      <c r="G251" t="s">
        <v>8638</v>
      </c>
    </row>
    <row r="252" spans="1:7" x14ac:dyDescent="0.2">
      <c r="A252" t="s">
        <v>2876</v>
      </c>
      <c r="B252">
        <v>1010011</v>
      </c>
      <c r="C252" t="s">
        <v>8613</v>
      </c>
      <c r="E252">
        <f>+COUNTIF(ADV!S:S,A252)</f>
        <v>0</v>
      </c>
      <c r="F252">
        <f>+COUNTIF(ADV!T:T,A252)</f>
        <v>1</v>
      </c>
      <c r="G252" t="s">
        <v>8639</v>
      </c>
    </row>
    <row r="253" spans="1:7" x14ac:dyDescent="0.2">
      <c r="A253" t="s">
        <v>128</v>
      </c>
      <c r="B253">
        <v>1020002</v>
      </c>
      <c r="C253" t="s">
        <v>8613</v>
      </c>
      <c r="E253">
        <f>+COUNTIF(ADV!S:S,A253)</f>
        <v>0</v>
      </c>
      <c r="F253">
        <f>+COUNTIF(ADV!T:T,A253)</f>
        <v>84</v>
      </c>
      <c r="G253" t="s">
        <v>8640</v>
      </c>
    </row>
    <row r="254" spans="1:7" x14ac:dyDescent="0.2">
      <c r="A254" t="s">
        <v>2291</v>
      </c>
      <c r="B254">
        <v>1030009</v>
      </c>
      <c r="C254" t="s">
        <v>8613</v>
      </c>
      <c r="E254">
        <f>+COUNTIF(ADV!S:S,A254)</f>
        <v>0</v>
      </c>
      <c r="F254">
        <f>+COUNTIF(ADV!T:T,A254)</f>
        <v>1</v>
      </c>
      <c r="G254" t="s">
        <v>8641</v>
      </c>
    </row>
    <row r="255" spans="1:7" x14ac:dyDescent="0.2">
      <c r="A255" t="s">
        <v>3167</v>
      </c>
      <c r="B255">
        <v>1010011</v>
      </c>
      <c r="C255" t="s">
        <v>8613</v>
      </c>
      <c r="E255">
        <f>+COUNTIF(ADV!S:S,A255)</f>
        <v>0</v>
      </c>
      <c r="F255">
        <f>+COUNTIF(ADV!T:T,A255)</f>
        <v>1</v>
      </c>
      <c r="G255" t="s">
        <v>8642</v>
      </c>
    </row>
    <row r="256" spans="1:7" x14ac:dyDescent="0.2">
      <c r="A256" t="s">
        <v>4523</v>
      </c>
      <c r="B256">
        <v>1030005</v>
      </c>
      <c r="C256" t="s">
        <v>8613</v>
      </c>
      <c r="E256">
        <f>+COUNTIF(ADV!S:S,A256)</f>
        <v>0</v>
      </c>
      <c r="F256">
        <f>+COUNTIF(ADV!T:T,A256)</f>
        <v>1</v>
      </c>
      <c r="G256" t="s">
        <v>8643</v>
      </c>
    </row>
    <row r="257" spans="1:7" x14ac:dyDescent="0.2">
      <c r="A257" t="s">
        <v>1301</v>
      </c>
      <c r="B257">
        <v>1030002</v>
      </c>
      <c r="C257" t="s">
        <v>8613</v>
      </c>
      <c r="E257">
        <f>+COUNTIF(ADV!S:S,A257)</f>
        <v>0</v>
      </c>
      <c r="F257">
        <f>+COUNTIF(ADV!T:T,A257)</f>
        <v>1</v>
      </c>
      <c r="G257" t="s">
        <v>8644</v>
      </c>
    </row>
    <row r="258" spans="1:7" x14ac:dyDescent="0.2">
      <c r="A258" t="s">
        <v>2955</v>
      </c>
      <c r="B258">
        <v>1030007</v>
      </c>
      <c r="C258" t="s">
        <v>8613</v>
      </c>
      <c r="E258">
        <f>+COUNTIF(ADV!S:S,A258)</f>
        <v>0</v>
      </c>
      <c r="F258">
        <f>+COUNTIF(ADV!T:T,A258)</f>
        <v>1</v>
      </c>
      <c r="G258" t="s">
        <v>8645</v>
      </c>
    </row>
    <row r="259" spans="1:7" x14ac:dyDescent="0.2">
      <c r="A259" t="s">
        <v>2717</v>
      </c>
      <c r="B259">
        <v>1010011</v>
      </c>
      <c r="C259" t="s">
        <v>8613</v>
      </c>
      <c r="E259">
        <f>+COUNTIF(ADV!S:S,A259)</f>
        <v>0</v>
      </c>
      <c r="F259">
        <f>+COUNTIF(ADV!T:T,A259)</f>
        <v>1</v>
      </c>
      <c r="G259" t="s">
        <v>8646</v>
      </c>
    </row>
    <row r="260" spans="1:7" x14ac:dyDescent="0.2">
      <c r="A260" t="s">
        <v>1718</v>
      </c>
      <c r="B260">
        <v>1020004</v>
      </c>
      <c r="C260" t="s">
        <v>8613</v>
      </c>
      <c r="E260">
        <f>+COUNTIF(ADV!S:S,A260)</f>
        <v>0</v>
      </c>
      <c r="F260">
        <f>+COUNTIF(ADV!T:T,A260)</f>
        <v>1</v>
      </c>
      <c r="G260" t="s">
        <v>8647</v>
      </c>
    </row>
    <row r="261" spans="1:7" x14ac:dyDescent="0.2">
      <c r="A261" t="s">
        <v>1819</v>
      </c>
      <c r="B261">
        <v>1020022</v>
      </c>
      <c r="C261" t="s">
        <v>8613</v>
      </c>
      <c r="E261">
        <f>+COUNTIF(ADV!S:S,A261)</f>
        <v>0</v>
      </c>
      <c r="F261">
        <f>+COUNTIF(ADV!T:T,A261)</f>
        <v>2</v>
      </c>
      <c r="G261" t="s">
        <v>8648</v>
      </c>
    </row>
    <row r="262" spans="1:7" x14ac:dyDescent="0.2">
      <c r="A262" t="s">
        <v>1194</v>
      </c>
      <c r="B262">
        <v>1080001</v>
      </c>
      <c r="C262" t="s">
        <v>8613</v>
      </c>
      <c r="E262">
        <f>+COUNTIF(ADV!S:S,A262)</f>
        <v>0</v>
      </c>
      <c r="F262">
        <f>+COUNTIF(ADV!T:T,A262)</f>
        <v>14</v>
      </c>
      <c r="G262" t="s">
        <v>8629</v>
      </c>
    </row>
    <row r="263" spans="1:7" x14ac:dyDescent="0.2">
      <c r="A263" t="s">
        <v>1987</v>
      </c>
      <c r="B263">
        <v>1080002</v>
      </c>
      <c r="C263" t="s">
        <v>8613</v>
      </c>
      <c r="E263">
        <f>+COUNTIF(ADV!S:S,A263)</f>
        <v>0</v>
      </c>
      <c r="F263">
        <f>+COUNTIF(ADV!T:T,A263)</f>
        <v>25</v>
      </c>
      <c r="G263" t="s">
        <v>8649</v>
      </c>
    </row>
    <row r="264" spans="1:7" x14ac:dyDescent="0.2">
      <c r="A264" t="s">
        <v>150</v>
      </c>
      <c r="B264">
        <v>1080003</v>
      </c>
      <c r="C264" t="s">
        <v>8613</v>
      </c>
      <c r="E264">
        <f>+COUNTIF(ADV!S:S,A264)</f>
        <v>0</v>
      </c>
      <c r="F264">
        <f>+COUNTIF(ADV!T:T,A264)</f>
        <v>19</v>
      </c>
      <c r="G264" t="s">
        <v>8650</v>
      </c>
    </row>
    <row r="265" spans="1:7" x14ac:dyDescent="0.2">
      <c r="A265" t="s">
        <v>3883</v>
      </c>
      <c r="B265">
        <v>1080004</v>
      </c>
      <c r="C265" t="s">
        <v>8613</v>
      </c>
      <c r="E265">
        <f>+COUNTIF(ADV!S:S,A265)</f>
        <v>0</v>
      </c>
      <c r="F265">
        <f>+COUNTIF(ADV!T:T,A265)</f>
        <v>22</v>
      </c>
      <c r="G265" t="s">
        <v>8633</v>
      </c>
    </row>
    <row r="266" spans="1:7" x14ac:dyDescent="0.2">
      <c r="A266" t="s">
        <v>2973</v>
      </c>
      <c r="B266">
        <v>1080005</v>
      </c>
      <c r="C266" t="s">
        <v>8613</v>
      </c>
      <c r="E266">
        <f>+COUNTIF(ADV!S:S,A266)</f>
        <v>0</v>
      </c>
      <c r="F266">
        <f>+COUNTIF(ADV!T:T,A266)</f>
        <v>22</v>
      </c>
      <c r="G266" t="s">
        <v>8637</v>
      </c>
    </row>
    <row r="268" spans="1:7" x14ac:dyDescent="0.2">
      <c r="A268" s="67" t="s">
        <v>8651</v>
      </c>
      <c r="B268" s="67"/>
      <c r="C268" s="67"/>
      <c r="D268" s="67">
        <f>SUM(D1:D267)</f>
        <v>298</v>
      </c>
      <c r="E268" s="67">
        <f>SUM(E1:E267)</f>
        <v>298</v>
      </c>
      <c r="F268" s="67">
        <f>SUM(F1:F267)</f>
        <v>298</v>
      </c>
    </row>
  </sheetData>
  <autoFilter ref="A1:F202" xr:uid="{63DE80F6-895A-4397-8BA0-C46B5C54EC25}"/>
  <sortState xmlns:xlrd2="http://schemas.microsoft.com/office/spreadsheetml/2017/richdata2" ref="A279:A303">
    <sortCondition ref="A279:A303"/>
  </sortState>
  <pageMargins left="0.7" right="0.7" top="0.75" bottom="0.75" header="0.3" footer="0.3"/>
  <pageSetup orientation="portrait"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A328BF-ADF5-4C6F-9266-B6785EE2B00A}">
  <dimension ref="A1:K27"/>
  <sheetViews>
    <sheetView zoomScale="70" zoomScaleNormal="70" workbookViewId="0">
      <selection activeCell="A2" sqref="A2"/>
    </sheetView>
  </sheetViews>
  <sheetFormatPr defaultRowHeight="18.75" x14ac:dyDescent="0.2"/>
  <cols>
    <col min="1" max="1" width="20" style="8" customWidth="1"/>
    <col min="2" max="2" width="1.25" style="8" customWidth="1"/>
    <col min="3" max="3" width="8.75" style="8" customWidth="1"/>
    <col min="4" max="4" width="1.25" style="8" customWidth="1"/>
    <col min="5" max="5" width="30" style="8" customWidth="1"/>
    <col min="6" max="6" width="1.25" style="8" customWidth="1"/>
    <col min="7" max="7" width="6.25" style="8" customWidth="1"/>
    <col min="8" max="8" width="55" style="8" customWidth="1"/>
    <col min="9" max="9" width="1.25" style="8" customWidth="1"/>
    <col min="10" max="10" width="6.25" style="8" customWidth="1"/>
    <col min="11" max="11" width="55" style="8" customWidth="1"/>
    <col min="12" max="12" width="3" style="8" customWidth="1"/>
    <col min="13" max="16384" width="9" style="8"/>
  </cols>
  <sheetData>
    <row r="1" spans="1:11" ht="22.5" customHeight="1" x14ac:dyDescent="0.35">
      <c r="A1" s="55" t="s">
        <v>8652</v>
      </c>
      <c r="C1" s="469" t="str">
        <f>+INDEX(DRA!$A:$AO,MATCH(A3,DRA!$A:$A,0),MATCH("Name",DRA!$A$1:$BG$1,0))</f>
        <v>Hikage</v>
      </c>
      <c r="D1" s="470"/>
      <c r="E1" s="471"/>
      <c r="G1" s="456" t="s">
        <v>8653</v>
      </c>
      <c r="H1" s="457"/>
      <c r="J1" s="456" t="s">
        <v>8654</v>
      </c>
      <c r="K1" s="457"/>
    </row>
    <row r="2" spans="1:11" ht="7.5" customHeight="1" x14ac:dyDescent="0.2">
      <c r="A2" s="9"/>
      <c r="B2" s="9"/>
      <c r="C2" s="10"/>
      <c r="D2" s="10"/>
      <c r="E2" s="10"/>
      <c r="G2" s="11"/>
      <c r="H2" s="12"/>
      <c r="J2" s="11"/>
      <c r="K2" s="12"/>
    </row>
    <row r="3" spans="1:11" ht="22.5" customHeight="1" x14ac:dyDescent="0.35">
      <c r="A3" s="234" t="str">
        <f>+INDEX(DRA!$A:$AO,MATCH(A1,DRA!$B:$B,0),MATCH("ID",DRA!$A$1:$BG$1,0))</f>
        <v>210062_01</v>
      </c>
      <c r="B3" s="14"/>
      <c r="C3" s="469" t="str">
        <f>+INDEX(DRA!$A:$AO,MATCH(A3,DRA!$A:$A,0),MATCH("Title",DRA!$A$1:$BG$1,0))</f>
        <v>N/A</v>
      </c>
      <c r="D3" s="470"/>
      <c r="E3" s="471"/>
      <c r="G3" s="673" t="e" vm="11">
        <f>_xlfn.IMAGE("https://natalie.tf/wp-content/uploads/2023/10/DLV3_Icon_Skill_"&amp;INDEX('D-S'!$A:$O,MATCH('D-Print'!H3,'D-S'!$F:$F,0),MATCH("Icon",'D-S'!$1:$1,0))&amp;".png")</f>
        <v>#VALUE!</v>
      </c>
      <c r="H3" s="675" t="str">
        <f>+INDEX(DRA!$A:$AO,MATCH(A3,DRA!$A:$A,0),MATCH("Skill",DRA!$A$1:$BG$1,0))</f>
        <v>Gloom Tackle</v>
      </c>
      <c r="J3" s="673" t="e" vm="11">
        <f>_xlfn.IMAGE("https://natalie.tf/wp-content/uploads/2023/10/DLV3_Icon_Skill_"&amp;INDEX('D-S'!$A:$O,MATCH('D-Print'!K3,'D-S'!$F:$F,0),MATCH("Icon",'D-S'!$1:$1,0))&amp;".png")</f>
        <v>#VALUE!</v>
      </c>
      <c r="K3" s="675" t="str">
        <f>H3</f>
        <v>Gloom Tackle</v>
      </c>
    </row>
    <row r="4" spans="1:11" ht="7.5" customHeight="1" x14ac:dyDescent="0.2">
      <c r="A4" s="37"/>
      <c r="B4" s="9"/>
      <c r="C4" s="38"/>
      <c r="D4" s="38"/>
      <c r="E4" s="38"/>
      <c r="G4" s="673"/>
      <c r="H4" s="676"/>
      <c r="J4" s="673"/>
      <c r="K4" s="676"/>
    </row>
    <row r="5" spans="1:11" ht="7.5" customHeight="1" x14ac:dyDescent="0.2">
      <c r="B5" s="9"/>
      <c r="C5" s="479" t="str">
        <f>"Element: "&amp;INDEX(DRA!$A:$AO,MATCH(A3,DRA!$A:$A,0),MATCH("Element",DRA!$A$1:$BG$1,0))</f>
        <v>Element: Shadow</v>
      </c>
      <c r="D5" s="480"/>
      <c r="E5" s="481"/>
      <c r="G5" s="674"/>
      <c r="H5" s="677"/>
      <c r="J5" s="674"/>
      <c r="K5" s="677"/>
    </row>
    <row r="6" spans="1:11" ht="15" customHeight="1" x14ac:dyDescent="0.2">
      <c r="A6" s="669" t="e" vm="12">
        <f>+_xlfn.IMAGE("https://natalie.tf/wp-content/uploads/2023/10/DLV3_Icon_DRA_"&amp;A3&amp;".png")</f>
        <v>#VALUE!</v>
      </c>
      <c r="B6" s="17"/>
      <c r="C6" s="661"/>
      <c r="D6" s="662"/>
      <c r="E6" s="663"/>
      <c r="G6" s="485" t="str">
        <f>+INDEX('D-S'!$A:$O,MATCH('D-Print'!H3,'D-S'!$F:$F,0),MATCH("Description",'D-S'!$1:$1,0))</f>
        <v>Deals 1 hit of 1036% shadow damage to enemies directly ahead.</v>
      </c>
      <c r="H6" s="487"/>
      <c r="J6" s="485" t="str">
        <f>+INDEX('D-S'!$A:$O,MATCH('D-Print'!K3,'D-S'!$F:$F,0),MATCH("Description V3",'D-S'!$1:$1,0))</f>
        <v>Deals 1 hit of 2000% shadow damage to enemies directly ahead.</v>
      </c>
      <c r="K6" s="487"/>
    </row>
    <row r="7" spans="1:11" ht="7.5" customHeight="1" x14ac:dyDescent="0.2">
      <c r="A7" s="669"/>
      <c r="B7" s="17"/>
      <c r="C7" s="38"/>
      <c r="D7" s="38"/>
      <c r="E7" s="38"/>
      <c r="G7" s="488"/>
      <c r="H7" s="490"/>
      <c r="J7" s="488"/>
      <c r="K7" s="490"/>
    </row>
    <row r="8" spans="1:11" ht="22.5" customHeight="1" x14ac:dyDescent="0.35">
      <c r="A8" s="669"/>
      <c r="B8" s="17"/>
      <c r="C8" s="469" t="str">
        <f>INDEX(DRA!$A:$AO,MATCH(A3,DRA!$A:$A,0),MATCH("Family",DRA!$A$1:$BG$1,0))&amp;" Dragon"</f>
        <v>Tutorial - Strength Dragon</v>
      </c>
      <c r="D8" s="470"/>
      <c r="E8" s="471"/>
      <c r="G8" s="488"/>
      <c r="H8" s="490"/>
      <c r="J8" s="488"/>
      <c r="K8" s="490"/>
    </row>
    <row r="9" spans="1:11" ht="7.5" customHeight="1" x14ac:dyDescent="0.2">
      <c r="A9" s="669"/>
      <c r="B9" s="17"/>
      <c r="C9" s="38"/>
      <c r="D9" s="38"/>
      <c r="E9" s="38"/>
      <c r="G9" s="488"/>
      <c r="H9" s="490"/>
      <c r="J9" s="488"/>
      <c r="K9" s="490"/>
    </row>
    <row r="10" spans="1:11" ht="22.5" customHeight="1" x14ac:dyDescent="0.2">
      <c r="A10" s="669"/>
      <c r="B10" s="17"/>
      <c r="C10" s="664" t="s">
        <v>82</v>
      </c>
      <c r="D10" s="665"/>
      <c r="E10" s="666"/>
      <c r="G10" s="488"/>
      <c r="H10" s="490"/>
      <c r="J10" s="488"/>
      <c r="K10" s="490"/>
    </row>
    <row r="11" spans="1:11" ht="52.5" customHeight="1" x14ac:dyDescent="0.2">
      <c r="A11" s="669"/>
      <c r="B11" s="17"/>
      <c r="C11" s="573" t="str">
        <f>+INDEX(DRA!$A:$AO,MATCH(A3,DRA!$A:$A,0),MATCH("Unlock",DRA!$A$1:$BG$1,0))</f>
        <v>Clear Tutorial</v>
      </c>
      <c r="D11" s="574"/>
      <c r="E11" s="575"/>
      <c r="G11" s="488"/>
      <c r="H11" s="490"/>
      <c r="J11" s="488"/>
      <c r="K11" s="490"/>
    </row>
    <row r="12" spans="1:11" ht="7.5" customHeight="1" x14ac:dyDescent="0.2">
      <c r="A12" s="36"/>
      <c r="B12" s="18"/>
      <c r="C12" s="579"/>
      <c r="D12" s="580"/>
      <c r="E12" s="581"/>
      <c r="G12" s="488"/>
      <c r="H12" s="490"/>
      <c r="J12" s="488"/>
      <c r="K12" s="490"/>
    </row>
    <row r="13" spans="1:11" ht="82.5" customHeight="1" x14ac:dyDescent="0.2">
      <c r="A13" s="478" t="e" vm="13">
        <f>+_xlfn.IMAGE("https://natalie.tf/wp-content/uploads/2023/10/DLV3_Portrait_DRA_"&amp;A3&amp;".png")</f>
        <v>#VALUE!</v>
      </c>
      <c r="B13" s="478"/>
      <c r="C13" s="478"/>
      <c r="D13" s="478"/>
      <c r="E13" s="478"/>
      <c r="F13" s="36"/>
      <c r="G13" s="491"/>
      <c r="H13" s="493"/>
      <c r="J13" s="491"/>
      <c r="K13" s="493"/>
    </row>
    <row r="14" spans="1:11" ht="7.5" customHeight="1" x14ac:dyDescent="0.2">
      <c r="A14" s="478"/>
      <c r="B14" s="478"/>
      <c r="C14" s="478"/>
      <c r="D14" s="478"/>
      <c r="E14" s="478"/>
      <c r="F14" s="36"/>
    </row>
    <row r="15" spans="1:11" ht="22.5" customHeight="1" x14ac:dyDescent="0.35">
      <c r="A15" s="478"/>
      <c r="B15" s="478"/>
      <c r="C15" s="478"/>
      <c r="D15" s="478"/>
      <c r="E15" s="478"/>
      <c r="F15" s="36"/>
      <c r="G15" s="456" t="s">
        <v>74</v>
      </c>
      <c r="H15" s="457"/>
      <c r="J15" s="456" t="s">
        <v>75</v>
      </c>
      <c r="K15" s="457"/>
    </row>
    <row r="16" spans="1:11" ht="7.5" customHeight="1" x14ac:dyDescent="0.2">
      <c r="A16" s="478"/>
      <c r="B16" s="478"/>
      <c r="C16" s="478"/>
      <c r="D16" s="478"/>
      <c r="E16" s="478"/>
      <c r="F16" s="36"/>
    </row>
    <row r="17" spans="1:11" ht="37.5" customHeight="1" x14ac:dyDescent="0.2">
      <c r="A17" s="478"/>
      <c r="B17" s="478"/>
      <c r="C17" s="478"/>
      <c r="D17" s="478"/>
      <c r="E17" s="478"/>
      <c r="F17" s="36"/>
      <c r="G17" s="20" t="e" vm="14">
        <f>_xlfn.IMAGE("https://natalie.tf/wp-content/uploads/2023/10/DLV3_Icon_Ability_"&amp;INDEX('D-A'!$A$1:$C$2995,MATCH('D-Print'!H17,'D-A'!$A:$A,0),MATCH("Icon",'D-A'!$A$1:$C$1,0))&amp;".png")</f>
        <v>#VALUE!</v>
      </c>
      <c r="H17" s="344" t="str">
        <f>+INDEX(DRA!$A:$AO,MATCH(A3,DRA!$A:$A,0),MATCH("Ability 1",DRA!$A$1:$BG$1,0))</f>
        <v>(Shadow) Strength +15%</v>
      </c>
      <c r="J17" s="20" t="e" vm="14">
        <f>_xlfn.IMAGE("https://natalie.tf/wp-content/uploads/2023/10/DLV3_Icon_Ability_"&amp;INDEX('D-A'!$A$1:$C$2995,MATCH('D-Print'!K17,'D-A'!$A:$A,0),MATCH("Icon",'D-A'!$A$1:$C$1,0))&amp;".png")</f>
        <v>#VALUE!</v>
      </c>
      <c r="K17" s="344" t="str">
        <f>+INDEX(DRA!$A:$AO,MATCH(A3,DRA!$A:$A,0),MATCH("Ability 1 V3",DRA!$A$1:$BG$1,0))</f>
        <v>(Element) Strength +30%</v>
      </c>
    </row>
    <row r="18" spans="1:11" ht="210" customHeight="1" x14ac:dyDescent="0.2">
      <c r="A18" s="478"/>
      <c r="B18" s="478"/>
      <c r="C18" s="478"/>
      <c r="D18" s="478"/>
      <c r="E18" s="478"/>
      <c r="F18" s="36"/>
      <c r="G18" s="516" t="str">
        <f>+INDEX('D-A'!$A$1:$F$2995,MATCH('D-Print'!H17,'D-A'!$A:$A,0),MATCH("Description",'D-A'!$A$1:$F$1,0))</f>
        <v>If the user is attuned to Shadow: increases strength by 15%.</v>
      </c>
      <c r="H18" s="518"/>
      <c r="J18" s="516" t="str">
        <f>+INDEX('D-A'!$A$1:$F$2995,MATCH('D-Print'!K17,'D-A'!$A:$A,0),MATCH("Description",'D-A'!$A$1:$F$1,0))</f>
        <v>If elemental attunements match: Increases strength by 30%.</v>
      </c>
      <c r="K18" s="518"/>
    </row>
    <row r="19" spans="1:11" ht="7.5" customHeight="1" x14ac:dyDescent="0.2">
      <c r="A19" s="36"/>
      <c r="B19" s="36"/>
      <c r="C19" s="36"/>
      <c r="D19" s="36"/>
      <c r="E19" s="36"/>
      <c r="F19" s="36"/>
      <c r="H19" s="230"/>
    </row>
    <row r="20" spans="1:11" ht="21.75" customHeight="1" x14ac:dyDescent="0.2">
      <c r="A20" s="664" t="s">
        <v>80</v>
      </c>
      <c r="B20" s="665"/>
      <c r="C20" s="665"/>
      <c r="D20" s="665"/>
      <c r="E20" s="666"/>
      <c r="F20" s="36"/>
      <c r="G20" s="534" t="e" vm="15">
        <f>_xlfn.IMAGE("https://natalie.tf/wp-content/uploads/2023/10/DLV3_Icon_Ability_"&amp;INDEX('D-A'!$A$1:$C$2995,MATCH('D-Print'!H20,'D-A'!$A:$A,0),MATCH("Icon",'D-A'!$A$1:$C$1,0))&amp;".png")</f>
        <v>#VALUE!</v>
      </c>
      <c r="H20" s="671" t="str">
        <f>+INDEX(DRA!$A:$AO,MATCH(A3,DRA!$A:$A,0),MATCH("Ability 2",DRA!$A$1:$BG$1,0))</f>
        <v>N/A</v>
      </c>
      <c r="J20" s="534" t="e" vm="15">
        <f>_xlfn.IMAGE("https://natalie.tf/wp-content/uploads/2023/10/DLV3_Icon_Ability_"&amp;INDEX('D-A'!$A$1:$C$2995,MATCH('D-Print'!K20,'D-A'!$A:$A,0),MATCH("Icon",'D-A'!$A$1:$C$1,0))&amp;".png")</f>
        <v>#VALUE!</v>
      </c>
      <c r="K20" s="671" t="str">
        <f>+INDEX(DRA!$A:$AO,MATCH(A3,DRA!$A:$A,0),MATCH("Ability 2 V3",DRA!$A$1:$BG$1,0))</f>
        <v>N/A</v>
      </c>
    </row>
    <row r="21" spans="1:11" ht="15" customHeight="1" x14ac:dyDescent="0.2">
      <c r="A21" s="640" t="str">
        <f>+INDEX(DRA!$A:$AO,MATCH(A3,DRA!$A:$A,0),MATCH("Description",DRA!$A$1:$BG$1,0))</f>
        <v>A hatchling who oddly enjoys both human society and money. He can find ways to make a profit off of even the strongest dragon, but don't mistake his shrewd nature for evil— he's actually quite a delightful fellow.</v>
      </c>
      <c r="B21" s="641"/>
      <c r="C21" s="641"/>
      <c r="D21" s="641"/>
      <c r="E21" s="642"/>
      <c r="F21" s="36"/>
      <c r="G21" s="670"/>
      <c r="H21" s="672"/>
      <c r="J21" s="670"/>
      <c r="K21" s="672"/>
    </row>
    <row r="22" spans="1:11" ht="82.5" customHeight="1" x14ac:dyDescent="0.2">
      <c r="A22" s="646"/>
      <c r="B22" s="647"/>
      <c r="C22" s="647"/>
      <c r="D22" s="647"/>
      <c r="E22" s="648"/>
      <c r="F22" s="53"/>
      <c r="G22" s="485" t="str">
        <f>+INDEX('D-A'!$A$1:$F$2995,MATCH('D-Print'!H20,'D-A'!$A:$A,0),MATCH("Description",'D-A'!$A$1:$F$1,0))</f>
        <v>No Second Ability</v>
      </c>
      <c r="H22" s="487"/>
      <c r="J22" s="485" t="str">
        <f>+INDEX('D-A'!$A$1:$F$2995,MATCH('D-Print'!K20,'D-A'!$A:$A,0),MATCH("Description",'D-A'!$A$1:$F$1,0))</f>
        <v>No Second Ability</v>
      </c>
      <c r="K22" s="487"/>
    </row>
    <row r="23" spans="1:11" ht="7.5" customHeight="1" x14ac:dyDescent="0.2">
      <c r="A23" s="54"/>
      <c r="B23" s="54"/>
      <c r="C23" s="54"/>
      <c r="D23" s="54"/>
      <c r="E23" s="54"/>
      <c r="F23" s="53"/>
      <c r="G23" s="488"/>
      <c r="H23" s="490"/>
      <c r="J23" s="488"/>
      <c r="K23" s="490"/>
    </row>
    <row r="24" spans="1:11" ht="22.5" customHeight="1" x14ac:dyDescent="0.35">
      <c r="A24" s="667" t="s">
        <v>8655</v>
      </c>
      <c r="B24" s="668"/>
      <c r="C24" s="668"/>
      <c r="D24" s="54"/>
      <c r="E24" s="57" t="s">
        <v>8656</v>
      </c>
      <c r="F24" s="53"/>
      <c r="G24" s="488"/>
      <c r="H24" s="490"/>
      <c r="J24" s="488"/>
      <c r="K24" s="490"/>
    </row>
    <row r="25" spans="1:11" ht="7.5" customHeight="1" x14ac:dyDescent="0.2">
      <c r="A25" s="54"/>
      <c r="B25" s="54"/>
      <c r="C25" s="54"/>
      <c r="D25" s="54"/>
      <c r="E25" s="54"/>
      <c r="F25" s="53"/>
      <c r="G25" s="488"/>
      <c r="H25" s="490"/>
      <c r="J25" s="488"/>
      <c r="K25" s="490"/>
    </row>
    <row r="26" spans="1:11" ht="90" customHeight="1" x14ac:dyDescent="0.2">
      <c r="A26" s="658" t="str">
        <f>+INDEX(DRA!$A:$AO,MATCH(A3,DRA!$A:$A,0),MATCH("Combo",DRA!$A$1:$BG$1,0))</f>
        <v>Combo 1: 296% x 1
Combo 2: 326% x 1
Combo 3a: 124% x 1
Combo 3b: 290% x 1</v>
      </c>
      <c r="B26" s="659"/>
      <c r="C26" s="660"/>
      <c r="D26" s="56"/>
      <c r="E26" s="233" t="str">
        <f>+INDEX(DRA!$A:$AO,MATCH(A3,DRA!$A:$A,0),MATCH("Combo V3",DRA!$A$1:$BG$1,0))</f>
        <v>Combo 1: 300% x 1
Combo 2: 350% x 1
Combo 3a: 150% x 1
Combo 3b: 300% x 1</v>
      </c>
      <c r="F26" s="53"/>
      <c r="G26" s="491"/>
      <c r="H26" s="493"/>
      <c r="J26" s="491"/>
      <c r="K26" s="493"/>
    </row>
    <row r="27" spans="1:11" ht="7.5" customHeight="1" x14ac:dyDescent="0.2">
      <c r="A27" s="19"/>
      <c r="B27" s="19"/>
      <c r="C27" s="19"/>
      <c r="D27" s="19"/>
      <c r="E27" s="19"/>
      <c r="F27" s="19"/>
    </row>
  </sheetData>
  <mergeCells count="30">
    <mergeCell ref="G1:H1"/>
    <mergeCell ref="J1:K1"/>
    <mergeCell ref="C1:E1"/>
    <mergeCell ref="G15:H15"/>
    <mergeCell ref="J15:K15"/>
    <mergeCell ref="G18:H18"/>
    <mergeCell ref="J18:K18"/>
    <mergeCell ref="G6:H13"/>
    <mergeCell ref="J6:K13"/>
    <mergeCell ref="J3:J5"/>
    <mergeCell ref="K3:K5"/>
    <mergeCell ref="G3:G5"/>
    <mergeCell ref="H3:H5"/>
    <mergeCell ref="G22:H26"/>
    <mergeCell ref="J22:K26"/>
    <mergeCell ref="G20:G21"/>
    <mergeCell ref="H20:H21"/>
    <mergeCell ref="J20:J21"/>
    <mergeCell ref="K20:K21"/>
    <mergeCell ref="A26:C26"/>
    <mergeCell ref="A13:E18"/>
    <mergeCell ref="C3:E3"/>
    <mergeCell ref="C5:E6"/>
    <mergeCell ref="C8:E8"/>
    <mergeCell ref="C10:E10"/>
    <mergeCell ref="C11:E12"/>
    <mergeCell ref="A20:E20"/>
    <mergeCell ref="A21:E22"/>
    <mergeCell ref="A24:C24"/>
    <mergeCell ref="A6:A11"/>
  </mergeCells>
  <printOptions horizontalCentered="1" verticalCentered="1"/>
  <pageMargins left="0" right="0" top="0" bottom="0" header="0" footer="0"/>
  <pageSetup scale="68" orientation="landscape"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93568C-4A89-467B-8732-9AC0742C3CE0}">
  <dimension ref="A1:H27"/>
  <sheetViews>
    <sheetView zoomScale="70" zoomScaleNormal="70" workbookViewId="0"/>
  </sheetViews>
  <sheetFormatPr defaultRowHeight="18.75" x14ac:dyDescent="0.2"/>
  <cols>
    <col min="1" max="1" width="20" style="8" customWidth="1"/>
    <col min="2" max="2" width="1.25" style="8" customWidth="1"/>
    <col min="3" max="3" width="8.75" style="8" customWidth="1"/>
    <col min="4" max="4" width="1.25" style="8" customWidth="1"/>
    <col min="5" max="5" width="30" style="8" customWidth="1"/>
    <col min="6" max="6" width="1.25" style="8" customWidth="1"/>
    <col min="7" max="7" width="6.25" style="8" customWidth="1"/>
    <col min="8" max="8" width="55" style="8" customWidth="1"/>
    <col min="9" max="9" width="3" style="8" customWidth="1"/>
    <col min="10" max="16384" width="9" style="8"/>
  </cols>
  <sheetData>
    <row r="1" spans="1:8" ht="22.5" customHeight="1" x14ac:dyDescent="0.35">
      <c r="A1" s="55" t="s">
        <v>9121</v>
      </c>
      <c r="C1" s="469" t="str">
        <f>+INDEX(DRA!$A:$AO,MATCH(A1,DRA!$B:$B,0),MATCH("Name",DRA!$A$1:$BG$1,0))</f>
        <v>Fallen Angel Michael</v>
      </c>
      <c r="D1" s="470"/>
      <c r="E1" s="471"/>
      <c r="G1" s="456" t="s">
        <v>8654</v>
      </c>
      <c r="H1" s="457"/>
    </row>
    <row r="2" spans="1:8" ht="7.5" customHeight="1" x14ac:dyDescent="0.2">
      <c r="A2" s="9"/>
      <c r="B2" s="9"/>
      <c r="C2" s="10"/>
      <c r="D2" s="10"/>
      <c r="E2" s="10"/>
      <c r="G2" s="11"/>
      <c r="H2" s="12"/>
    </row>
    <row r="3" spans="1:8" ht="22.5" customHeight="1" x14ac:dyDescent="0.35">
      <c r="A3" s="234" t="str">
        <f>+INDEX(DRA!$A:$AO,MATCH(A1,DRA!$B:$B,0),MATCH("ID",DRA!$A$1:$BG$1,0))</f>
        <v>210229_03</v>
      </c>
      <c r="B3" s="14"/>
      <c r="C3" s="469" t="str">
        <f>+INDEX(DRA!$A:$AO,MATCH(A1,DRA!$B:$B,0),MATCH("Title",DRA!$A$1:$BG$1,0))</f>
        <v>The Other Michael</v>
      </c>
      <c r="D3" s="470"/>
      <c r="E3" s="471"/>
      <c r="G3" s="673" t="e" vm="16">
        <f>_xlfn.IMAGE("https://natalie.tf/wp-content/uploads/2023/10/DLV3_Icon_Skill_"&amp;INDEX('D-S'!$A:$O,MATCH('DN-Print'!H3,'D-S'!$F:$F,0),MATCH("Icon",'D-S'!$1:$1,0))&amp;".png")</f>
        <v>#VALUE!</v>
      </c>
      <c r="H3" s="675" t="str">
        <f>+INDEX(DRA!$A:$AO,MATCH(A1,DRA!$B:$B,0),MATCH("Skill",DRA!$A$1:$BG$1,0))</f>
        <v>Satanic Scorch</v>
      </c>
    </row>
    <row r="4" spans="1:8" ht="7.5" customHeight="1" x14ac:dyDescent="0.2">
      <c r="A4" s="37"/>
      <c r="B4" s="9"/>
      <c r="C4" s="38"/>
      <c r="D4" s="38"/>
      <c r="E4" s="38"/>
      <c r="G4" s="673"/>
      <c r="H4" s="676"/>
    </row>
    <row r="5" spans="1:8" ht="7.5" customHeight="1" x14ac:dyDescent="0.2">
      <c r="B5" s="9"/>
      <c r="C5" s="479" t="str">
        <f>"Element: "&amp;INDEX(DRA!$A:$AO,MATCH(A1,DRA!$B:$B,0),MATCH("Element",DRA!$A$1:$BG$1,0))</f>
        <v>Element: Flame</v>
      </c>
      <c r="D5" s="480"/>
      <c r="E5" s="481"/>
      <c r="G5" s="674"/>
      <c r="H5" s="677"/>
    </row>
    <row r="6" spans="1:8" ht="15" customHeight="1" x14ac:dyDescent="0.2">
      <c r="A6" s="669" t="e" vm="17">
        <f>+_xlfn.IMAGE("https://natalie.tf/wp-content/uploads/2023/11/DLV3_Icon_DRA_Custom_"&amp;A3&amp;".png")</f>
        <v>#VALUE!</v>
      </c>
      <c r="B6" s="17"/>
      <c r="C6" s="661"/>
      <c r="D6" s="662"/>
      <c r="E6" s="663"/>
      <c r="G6" s="522" t="str">
        <f>+INDEX('D-S'!$A:$O,MATCH('DN-Print'!H3,'D-S'!$F:$F,0),MATCH("Description V3",'D-S'!$1:$1,0))</f>
        <v>Deals 2 hits of 1500% flame damage to surrounding enemies, inflicts scorchrend for 42 seconds - dealing 100% flame damage every 2.9 seconds - with 200% chance, and reduces their defense by 20% for 20 seconds. This defense reduction effect will not stack.</v>
      </c>
      <c r="H6" s="524"/>
    </row>
    <row r="7" spans="1:8" ht="7.5" customHeight="1" x14ac:dyDescent="0.2">
      <c r="A7" s="669"/>
      <c r="B7" s="17"/>
      <c r="C7" s="38"/>
      <c r="D7" s="38"/>
      <c r="E7" s="38"/>
      <c r="G7" s="525"/>
      <c r="H7" s="527"/>
    </row>
    <row r="8" spans="1:8" ht="22.5" customHeight="1" x14ac:dyDescent="0.35">
      <c r="A8" s="669"/>
      <c r="B8" s="17"/>
      <c r="C8" s="469" t="str">
        <f>INDEX(DRA!$A:$AO,MATCH(A1,DRA!$B:$B,0),MATCH("Family",DRA!$A$1:$BG$1,0))&amp;" Dragon"</f>
        <v>Fallen Angels Dragon</v>
      </c>
      <c r="D8" s="470"/>
      <c r="E8" s="471"/>
      <c r="G8" s="525"/>
      <c r="H8" s="527"/>
    </row>
    <row r="9" spans="1:8" ht="7.5" customHeight="1" x14ac:dyDescent="0.2">
      <c r="A9" s="669"/>
      <c r="B9" s="17"/>
      <c r="C9" s="38"/>
      <c r="D9" s="38"/>
      <c r="E9" s="38"/>
      <c r="G9" s="525"/>
      <c r="H9" s="527"/>
    </row>
    <row r="10" spans="1:8" ht="22.5" customHeight="1" x14ac:dyDescent="0.2">
      <c r="A10" s="669"/>
      <c r="B10" s="17"/>
      <c r="C10" s="664" t="s">
        <v>82</v>
      </c>
      <c r="D10" s="665"/>
      <c r="E10" s="666"/>
      <c r="G10" s="525"/>
      <c r="H10" s="527"/>
    </row>
    <row r="11" spans="1:8" ht="52.5" customHeight="1" x14ac:dyDescent="0.2">
      <c r="A11" s="669"/>
      <c r="B11" s="17"/>
      <c r="C11" s="573" t="str">
        <f>+INDEX(DRA!$A:$AO,MATCH(A1,DRA!$B:$B,0),MATCH("Unlock",DRA!$A$1:$BG$1,0))</f>
        <v>Clear Surtr's Devouring Flame: Expert 
(Rise of the Sinister Dominion)</v>
      </c>
      <c r="D11" s="574"/>
      <c r="E11" s="575"/>
      <c r="G11" s="525"/>
      <c r="H11" s="527"/>
    </row>
    <row r="12" spans="1:8" ht="7.5" customHeight="1" x14ac:dyDescent="0.2">
      <c r="A12" s="36"/>
      <c r="B12" s="18"/>
      <c r="C12" s="579"/>
      <c r="D12" s="580"/>
      <c r="E12" s="581"/>
      <c r="G12" s="525"/>
      <c r="H12" s="527"/>
    </row>
    <row r="13" spans="1:8" ht="82.5" customHeight="1" x14ac:dyDescent="0.2">
      <c r="A13" s="478" t="e" vm="18">
        <f>+_xlfn.IMAGE("https://natalie.tf/wp-content/uploads/2023/11/DLV3_Portrait_Custom_DRA_"&amp;A3&amp;".png")</f>
        <v>#VALUE!</v>
      </c>
      <c r="B13" s="478"/>
      <c r="C13" s="478"/>
      <c r="D13" s="478"/>
      <c r="E13" s="478"/>
      <c r="F13" s="36"/>
      <c r="G13" s="528"/>
      <c r="H13" s="530"/>
    </row>
    <row r="14" spans="1:8" ht="7.5" customHeight="1" x14ac:dyDescent="0.2">
      <c r="A14" s="478"/>
      <c r="B14" s="478"/>
      <c r="C14" s="478"/>
      <c r="D14" s="478"/>
      <c r="E14" s="478"/>
      <c r="F14" s="36"/>
    </row>
    <row r="15" spans="1:8" ht="22.5" customHeight="1" x14ac:dyDescent="0.35">
      <c r="A15" s="478"/>
      <c r="B15" s="478"/>
      <c r="C15" s="478"/>
      <c r="D15" s="478"/>
      <c r="E15" s="478"/>
      <c r="F15" s="36"/>
      <c r="G15" s="456" t="s">
        <v>75</v>
      </c>
      <c r="H15" s="457"/>
    </row>
    <row r="16" spans="1:8" ht="7.5" customHeight="1" x14ac:dyDescent="0.2">
      <c r="A16" s="478"/>
      <c r="B16" s="478"/>
      <c r="C16" s="478"/>
      <c r="D16" s="478"/>
      <c r="E16" s="478"/>
      <c r="F16" s="36"/>
    </row>
    <row r="17" spans="1:8" ht="37.5" customHeight="1" x14ac:dyDescent="0.2">
      <c r="A17" s="478"/>
      <c r="B17" s="478"/>
      <c r="C17" s="478"/>
      <c r="D17" s="478"/>
      <c r="E17" s="478"/>
      <c r="F17" s="36"/>
      <c r="G17" s="20" t="e" vm="19">
        <f>_xlfn.IMAGE("https://natalie.tf/wp-content/uploads/2023/10/DLV3_Icon_Ability_"&amp;INDEX('D-A'!$A$1:$C$2995,MATCH('DN-Print'!H17,'D-A'!$A:$A,0),MATCH("Icon",'D-A'!$A$1:$C$1,0))&amp;".png")</f>
        <v>#VALUE!</v>
      </c>
      <c r="H17" s="349" t="str">
        <f>+INDEX(DRA!$A:$AO,MATCH(A1,DRA!$B:$B,0),MATCH("Ability 1 V3",DRA!$A$1:$BG$1,0))</f>
        <v>(Element) Strength +70% &amp; Shapeshift Prep +50%</v>
      </c>
    </row>
    <row r="18" spans="1:8" ht="210" customHeight="1" x14ac:dyDescent="0.2">
      <c r="A18" s="478"/>
      <c r="B18" s="478"/>
      <c r="C18" s="478"/>
      <c r="D18" s="478"/>
      <c r="E18" s="478"/>
      <c r="F18" s="36"/>
      <c r="G18" s="516" t="str">
        <f>+INDEX('D-A'!$A$1:$F$2995,MATCH('DN-Print'!H17,'D-A'!$A:$A,0),MATCH("Description",'D-A'!$A$1:$F$1,0))</f>
        <v>If elemental attunements match: Increases strength by 70% and fills 50% of the dragon gauge at the start of quests.</v>
      </c>
      <c r="H18" s="518"/>
    </row>
    <row r="19" spans="1:8" ht="7.5" customHeight="1" x14ac:dyDescent="0.2">
      <c r="A19" s="36"/>
      <c r="B19" s="36"/>
      <c r="C19" s="36"/>
      <c r="D19" s="36"/>
      <c r="E19" s="36"/>
      <c r="F19" s="36"/>
    </row>
    <row r="20" spans="1:8" ht="21.75" customHeight="1" x14ac:dyDescent="0.2">
      <c r="A20" s="678" t="s">
        <v>113</v>
      </c>
      <c r="B20" s="679"/>
      <c r="C20" s="679"/>
      <c r="D20" s="679"/>
      <c r="E20" s="680"/>
      <c r="F20" s="36"/>
      <c r="G20" s="534" t="e" vm="20">
        <f>_xlfn.IMAGE("https://natalie.tf/wp-content/uploads/2023/10/DLV3_Icon_Ability_"&amp;INDEX('D-A'!$A$1:$C$2995,MATCH('DN-Print'!H20,'D-A'!$A:$A,0),MATCH("Icon",'D-A'!$A$1:$C$1,0))&amp;".png")</f>
        <v>#VALUE!</v>
      </c>
      <c r="H20" s="671" t="str">
        <f>+INDEX(DRA!$A:$AO,MATCH(A1,DRA!$B:$B,0),MATCH("Ability 2 V3",DRA!$A$1:$BG$1,0))</f>
        <v>(Element) Sinister Dominion</v>
      </c>
    </row>
    <row r="21" spans="1:8" ht="15" customHeight="1" x14ac:dyDescent="0.2">
      <c r="A21" s="640" t="str">
        <f>+INDEX(DRA!$A:$AO,MATCH(A1,DRA!$B:$B,0),MATCH("New Dragon Notes",DRA!$A$1:$BG$1,0))</f>
        <v>Fallen Angel Michael is derivative of Michael, which is a slight problem as Michael was a complex dragon. Let's say he only works in close-quarters mode. All Fallen Angels have the same standardized skill effects and abilities.</v>
      </c>
      <c r="B21" s="641"/>
      <c r="C21" s="641"/>
      <c r="D21" s="641"/>
      <c r="E21" s="642"/>
      <c r="F21" s="36"/>
      <c r="G21" s="670"/>
      <c r="H21" s="672"/>
    </row>
    <row r="22" spans="1:8" ht="82.5" customHeight="1" x14ac:dyDescent="0.2">
      <c r="A22" s="646"/>
      <c r="B22" s="647"/>
      <c r="C22" s="647"/>
      <c r="D22" s="647"/>
      <c r="E22" s="648"/>
      <c r="F22" s="53"/>
      <c r="G22" s="681" t="str">
        <f>+INDEX('D-A'!$A$1:$F$2995,MATCH('DN-Print'!H20,'D-A'!$A:$A,0),MATCH("Description",'D-A'!$A$1:$F$1,0))</f>
        <v>If elemental attunements match: grants the user a team strength amp (Team Amp MAX Lv. = 1), team defense amp (Team Amp MAX Lv. = 1), and team critical damage amp (Team Amp MAX Lv. = 1). After these amps are granted, this ability will not grant them again for 60.1 seconds. Creeping Corrosion debuff. Additionally, this ability inflicts the user with the Curse of Nihility and Creeping Corrosion debuffs for the entire quest. Creeping Corrosion deals 1% Max HP damage every 2.9 seconds and reduces incoming healing by 50%. Every 5 seconds, the damage taken is increased by 1% Max HP. This accumulation will reset when 3000 HP is healed by the user.</v>
      </c>
      <c r="H22" s="682"/>
    </row>
    <row r="23" spans="1:8" ht="7.5" customHeight="1" x14ac:dyDescent="0.2">
      <c r="A23" s="54"/>
      <c r="B23" s="54"/>
      <c r="C23" s="54"/>
      <c r="D23" s="54"/>
      <c r="E23" s="54"/>
      <c r="F23" s="53"/>
      <c r="G23" s="683"/>
      <c r="H23" s="684"/>
    </row>
    <row r="24" spans="1:8" ht="22.5" customHeight="1" x14ac:dyDescent="0.35">
      <c r="A24" s="667" t="s">
        <v>8660</v>
      </c>
      <c r="B24" s="668"/>
      <c r="C24" s="668"/>
      <c r="D24" s="54"/>
      <c r="F24" s="53"/>
      <c r="G24" s="683"/>
      <c r="H24" s="684"/>
    </row>
    <row r="25" spans="1:8" ht="7.5" customHeight="1" x14ac:dyDescent="0.2">
      <c r="A25" s="54"/>
      <c r="B25" s="54"/>
      <c r="C25" s="54"/>
      <c r="D25" s="54"/>
      <c r="F25" s="53"/>
      <c r="G25" s="683"/>
      <c r="H25" s="684"/>
    </row>
    <row r="26" spans="1:8" ht="90" customHeight="1" x14ac:dyDescent="0.2">
      <c r="A26" s="658" t="str">
        <f>+INDEX(DRA!$A:$AO,MATCH(A3,DRA!$A:$A,0),MATCH("Combo V3",DRA!$A$1:$BG$1,0))</f>
        <v>Combo 1: 460% x 5
Combo 2: 550% x 1
Combo 3a: 400% x 1
Combo 3b: 100% x 1</v>
      </c>
      <c r="B26" s="659"/>
      <c r="C26" s="660"/>
      <c r="D26" s="56"/>
      <c r="F26" s="53"/>
      <c r="G26" s="685"/>
      <c r="H26" s="686"/>
    </row>
    <row r="27" spans="1:8" ht="7.5" customHeight="1" x14ac:dyDescent="0.2">
      <c r="A27" s="19"/>
      <c r="B27" s="19"/>
      <c r="C27" s="19"/>
      <c r="D27" s="19"/>
      <c r="E27" s="19"/>
      <c r="F27" s="19"/>
    </row>
  </sheetData>
  <mergeCells count="21">
    <mergeCell ref="C1:E1"/>
    <mergeCell ref="G1:H1"/>
    <mergeCell ref="C3:E3"/>
    <mergeCell ref="G3:G5"/>
    <mergeCell ref="H3:H5"/>
    <mergeCell ref="C5:E6"/>
    <mergeCell ref="A6:A11"/>
    <mergeCell ref="G6:H13"/>
    <mergeCell ref="C8:E8"/>
    <mergeCell ref="C10:E10"/>
    <mergeCell ref="C11:E12"/>
    <mergeCell ref="A13:E18"/>
    <mergeCell ref="G15:H15"/>
    <mergeCell ref="A26:C26"/>
    <mergeCell ref="G18:H18"/>
    <mergeCell ref="A20:E20"/>
    <mergeCell ref="G20:G21"/>
    <mergeCell ref="H20:H21"/>
    <mergeCell ref="A21:E22"/>
    <mergeCell ref="G22:H26"/>
    <mergeCell ref="A24:C24"/>
  </mergeCells>
  <printOptions horizontalCentered="1" verticalCentered="1"/>
  <pageMargins left="0" right="0" top="0" bottom="0" header="0" footer="0"/>
  <pageSetup scale="77"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50A82E-7B06-4257-80C5-96A0323BC160}">
  <sheetPr>
    <pageSetUpPr fitToPage="1"/>
  </sheetPr>
  <dimension ref="A1:V153"/>
  <sheetViews>
    <sheetView zoomScaleNormal="100" workbookViewId="0"/>
  </sheetViews>
  <sheetFormatPr defaultRowHeight="14.25" outlineLevelRow="1" outlineLevelCol="1" x14ac:dyDescent="0.2"/>
  <cols>
    <col min="1" max="1" width="9.375" bestFit="1" customWidth="1"/>
    <col min="2" max="2" width="6.875" style="86" bestFit="1" customWidth="1"/>
    <col min="3" max="3" width="21.625" bestFit="1" customWidth="1"/>
    <col min="4" max="4" width="7.875" bestFit="1" customWidth="1"/>
    <col min="5" max="5" width="21.875" hidden="1" customWidth="1" outlineLevel="1"/>
    <col min="6" max="6" width="11.375" hidden="1" customWidth="1" outlineLevel="1"/>
    <col min="7" max="7" width="11.875" hidden="1" customWidth="1" outlineLevel="1"/>
    <col min="8" max="8" width="5.125" hidden="1" customWidth="1" outlineLevel="1"/>
    <col min="9" max="9" width="5.75" hidden="1" customWidth="1" outlineLevel="1"/>
    <col min="10" max="10" width="7.375" hidden="1" customWidth="1" outlineLevel="1"/>
    <col min="11" max="11" width="8" hidden="1" customWidth="1" outlineLevel="1"/>
    <col min="12" max="12" width="21.25" hidden="1" customWidth="1" outlineLevel="1"/>
    <col min="13" max="13" width="11.875" hidden="1" customWidth="1" outlineLevel="1"/>
    <col min="14" max="14" width="15.375" hidden="1" customWidth="1" outlineLevel="1"/>
    <col min="15" max="15" width="11.875" hidden="1" customWidth="1" outlineLevel="1" collapsed="1"/>
    <col min="16" max="16" width="38.25" customWidth="1" collapsed="1"/>
    <col min="17" max="17" width="42" customWidth="1"/>
    <col min="18" max="18" width="44.625" bestFit="1" customWidth="1"/>
    <col min="19" max="19" width="48" bestFit="1" customWidth="1"/>
    <col min="20" max="20" width="21.75" bestFit="1" customWidth="1"/>
    <col min="21" max="21" width="0" hidden="1" customWidth="1" outlineLevel="1"/>
    <col min="22" max="22" width="9" collapsed="1"/>
  </cols>
  <sheetData>
    <row r="1" spans="1:21" s="1" customFormat="1" x14ac:dyDescent="0.2">
      <c r="A1" s="95" t="s">
        <v>87</v>
      </c>
      <c r="B1" s="127" t="s">
        <v>88</v>
      </c>
      <c r="C1" s="67" t="s">
        <v>89</v>
      </c>
      <c r="D1" s="67" t="s">
        <v>23</v>
      </c>
      <c r="E1" s="67" t="s">
        <v>90</v>
      </c>
      <c r="F1" s="67" t="s">
        <v>80</v>
      </c>
      <c r="G1" s="67" t="s">
        <v>91</v>
      </c>
      <c r="H1" s="67" t="s">
        <v>96</v>
      </c>
      <c r="I1" s="67" t="s">
        <v>97</v>
      </c>
      <c r="J1" s="67" t="s">
        <v>8657</v>
      </c>
      <c r="K1" s="67" t="s">
        <v>8658</v>
      </c>
      <c r="L1" s="67" t="s">
        <v>8659</v>
      </c>
      <c r="M1" s="67" t="s">
        <v>8660</v>
      </c>
      <c r="N1" s="67" t="s">
        <v>8661</v>
      </c>
      <c r="O1" s="67" t="s">
        <v>93</v>
      </c>
      <c r="P1" s="67" t="s">
        <v>104</v>
      </c>
      <c r="Q1" s="67" t="s">
        <v>105</v>
      </c>
      <c r="R1" s="67" t="s">
        <v>107</v>
      </c>
      <c r="S1" s="67" t="s">
        <v>108</v>
      </c>
      <c r="T1" s="97" t="s">
        <v>8662</v>
      </c>
      <c r="U1" s="67" t="s">
        <v>24261</v>
      </c>
    </row>
    <row r="2" spans="1:21" x14ac:dyDescent="0.2">
      <c r="A2" s="306" t="s">
        <v>9448</v>
      </c>
      <c r="B2" s="812" t="s">
        <v>9449</v>
      </c>
      <c r="C2" s="261" t="s">
        <v>9450</v>
      </c>
      <c r="D2" s="261" t="s">
        <v>122</v>
      </c>
      <c r="E2" s="261" t="s">
        <v>9451</v>
      </c>
      <c r="F2" s="261" t="s">
        <v>9452</v>
      </c>
      <c r="G2" s="813" t="s">
        <v>9453</v>
      </c>
      <c r="H2" s="261">
        <v>369</v>
      </c>
      <c r="I2" s="261">
        <v>127</v>
      </c>
      <c r="J2" s="261">
        <v>450</v>
      </c>
      <c r="K2" s="261">
        <v>200</v>
      </c>
      <c r="L2" s="261" t="s">
        <v>9455</v>
      </c>
      <c r="M2" s="261" t="s">
        <v>9456</v>
      </c>
      <c r="N2" s="261" t="s">
        <v>9457</v>
      </c>
      <c r="O2" s="261" t="s">
        <v>9454</v>
      </c>
      <c r="P2" s="261" t="s">
        <v>9458</v>
      </c>
      <c r="Q2" s="261" t="s">
        <v>9459</v>
      </c>
      <c r="R2" s="261" t="s">
        <v>9460</v>
      </c>
      <c r="S2" s="261" t="s">
        <v>9459</v>
      </c>
      <c r="T2" s="330" t="s">
        <v>9461</v>
      </c>
    </row>
    <row r="3" spans="1:21" x14ac:dyDescent="0.2">
      <c r="A3" s="306" t="s">
        <v>8822</v>
      </c>
      <c r="B3" s="812" t="s">
        <v>8823</v>
      </c>
      <c r="C3" s="261" t="s">
        <v>8824</v>
      </c>
      <c r="D3" s="261" t="s">
        <v>122</v>
      </c>
      <c r="E3" s="261" t="s">
        <v>8825</v>
      </c>
      <c r="F3" s="261" t="s">
        <v>8826</v>
      </c>
      <c r="G3" s="813" t="s">
        <v>8827</v>
      </c>
      <c r="H3" s="261">
        <v>369</v>
      </c>
      <c r="I3" s="261">
        <v>127</v>
      </c>
      <c r="J3" s="261">
        <v>450</v>
      </c>
      <c r="K3" s="261">
        <v>200</v>
      </c>
      <c r="L3" s="261" t="s">
        <v>8829</v>
      </c>
      <c r="M3" s="261" t="s">
        <v>8830</v>
      </c>
      <c r="N3" s="261" t="s">
        <v>8830</v>
      </c>
      <c r="O3" s="261" t="s">
        <v>8828</v>
      </c>
      <c r="P3" s="261" t="s">
        <v>8831</v>
      </c>
      <c r="Q3" s="261" t="s">
        <v>8832</v>
      </c>
      <c r="R3" s="261" t="s">
        <v>8833</v>
      </c>
      <c r="S3" s="261" t="s">
        <v>8834</v>
      </c>
      <c r="T3" s="330" t="s">
        <v>8835</v>
      </c>
    </row>
    <row r="4" spans="1:21" x14ac:dyDescent="0.2">
      <c r="A4" s="306" t="s">
        <v>9126</v>
      </c>
      <c r="B4" s="812" t="s">
        <v>9127</v>
      </c>
      <c r="C4" s="261" t="s">
        <v>9128</v>
      </c>
      <c r="D4" s="261" t="s">
        <v>122</v>
      </c>
      <c r="E4" s="261" t="s">
        <v>9129</v>
      </c>
      <c r="F4" s="261" t="s">
        <v>9130</v>
      </c>
      <c r="G4" s="813" t="s">
        <v>9131</v>
      </c>
      <c r="H4" s="261">
        <v>369</v>
      </c>
      <c r="I4" s="261">
        <v>127</v>
      </c>
      <c r="J4" s="261">
        <v>450</v>
      </c>
      <c r="K4" s="261">
        <v>200</v>
      </c>
      <c r="L4" s="261" t="s">
        <v>9133</v>
      </c>
      <c r="M4" s="261" t="s">
        <v>9134</v>
      </c>
      <c r="N4" s="261" t="s">
        <v>9135</v>
      </c>
      <c r="O4" s="261" t="s">
        <v>9132</v>
      </c>
      <c r="P4" s="261" t="s">
        <v>9011</v>
      </c>
      <c r="Q4" s="261" t="s">
        <v>9136</v>
      </c>
      <c r="R4" s="261" t="s">
        <v>9012</v>
      </c>
      <c r="S4" s="261" t="s">
        <v>9137</v>
      </c>
      <c r="T4" s="330" t="s">
        <v>9138</v>
      </c>
    </row>
    <row r="5" spans="1:21" x14ac:dyDescent="0.2">
      <c r="A5" s="306" t="s">
        <v>9002</v>
      </c>
      <c r="B5" s="812" t="s">
        <v>9003</v>
      </c>
      <c r="C5" s="261" t="s">
        <v>9004</v>
      </c>
      <c r="D5" s="261" t="s">
        <v>122</v>
      </c>
      <c r="E5" s="261" t="s">
        <v>9005</v>
      </c>
      <c r="F5" s="261" t="s">
        <v>9006</v>
      </c>
      <c r="G5" s="813" t="s">
        <v>9007</v>
      </c>
      <c r="H5" s="261">
        <v>369</v>
      </c>
      <c r="I5" s="261">
        <v>127</v>
      </c>
      <c r="J5" s="261">
        <v>450</v>
      </c>
      <c r="K5" s="261">
        <v>200</v>
      </c>
      <c r="L5" s="261" t="s">
        <v>9009</v>
      </c>
      <c r="M5" s="261" t="s">
        <v>9010</v>
      </c>
      <c r="N5" s="261" t="s">
        <v>9010</v>
      </c>
      <c r="O5" s="261" t="s">
        <v>9008</v>
      </c>
      <c r="P5" s="261" t="s">
        <v>9011</v>
      </c>
      <c r="Q5" s="261" t="s">
        <v>8107</v>
      </c>
      <c r="R5" s="261" t="s">
        <v>9012</v>
      </c>
      <c r="S5" s="261" t="s">
        <v>9013</v>
      </c>
      <c r="T5" s="330" t="s">
        <v>9014</v>
      </c>
    </row>
    <row r="6" spans="1:21" x14ac:dyDescent="0.2">
      <c r="A6" s="306" t="s">
        <v>9401</v>
      </c>
      <c r="B6" s="812" t="s">
        <v>9402</v>
      </c>
      <c r="C6" s="261" t="s">
        <v>9403</v>
      </c>
      <c r="D6" s="261" t="s">
        <v>122</v>
      </c>
      <c r="E6" s="261" t="s">
        <v>9404</v>
      </c>
      <c r="F6" s="261" t="s">
        <v>9405</v>
      </c>
      <c r="G6" s="813" t="s">
        <v>9406</v>
      </c>
      <c r="H6" s="261">
        <v>221</v>
      </c>
      <c r="I6" s="261">
        <v>76</v>
      </c>
      <c r="J6" s="261">
        <v>450</v>
      </c>
      <c r="K6" s="261">
        <v>200</v>
      </c>
      <c r="L6" s="261" t="s">
        <v>9408</v>
      </c>
      <c r="M6" s="261" t="s">
        <v>9409</v>
      </c>
      <c r="N6" s="261" t="s">
        <v>9410</v>
      </c>
      <c r="O6" s="261" t="s">
        <v>9407</v>
      </c>
      <c r="P6" s="261" t="s">
        <v>7601</v>
      </c>
      <c r="Q6" s="261" t="s">
        <v>137</v>
      </c>
      <c r="R6" s="261" t="s">
        <v>7601</v>
      </c>
      <c r="S6" s="261" t="s">
        <v>137</v>
      </c>
      <c r="T6" s="330" t="s">
        <v>9411</v>
      </c>
    </row>
    <row r="7" spans="1:21" x14ac:dyDescent="0.2">
      <c r="A7" s="306" t="s">
        <v>8887</v>
      </c>
      <c r="B7" s="812" t="s">
        <v>8888</v>
      </c>
      <c r="C7" s="261" t="s">
        <v>8889</v>
      </c>
      <c r="D7" s="261" t="s">
        <v>122</v>
      </c>
      <c r="E7" s="261" t="s">
        <v>8890</v>
      </c>
      <c r="F7" s="261" t="s">
        <v>8891</v>
      </c>
      <c r="G7" s="813" t="s">
        <v>8892</v>
      </c>
      <c r="H7" s="261">
        <v>369</v>
      </c>
      <c r="I7" s="261">
        <v>127</v>
      </c>
      <c r="J7" s="261">
        <v>450</v>
      </c>
      <c r="K7" s="261">
        <v>200</v>
      </c>
      <c r="L7" s="261" t="s">
        <v>8894</v>
      </c>
      <c r="M7" s="261" t="s">
        <v>8895</v>
      </c>
      <c r="N7" s="261" t="s">
        <v>8896</v>
      </c>
      <c r="O7" s="261" t="s">
        <v>8893</v>
      </c>
      <c r="P7" s="261" t="s">
        <v>8897</v>
      </c>
      <c r="Q7" s="261" t="s">
        <v>137</v>
      </c>
      <c r="R7" s="261" t="s">
        <v>8898</v>
      </c>
      <c r="S7" s="261" t="s">
        <v>8899</v>
      </c>
      <c r="T7" s="330" t="s">
        <v>8900</v>
      </c>
    </row>
    <row r="8" spans="1:21" x14ac:dyDescent="0.2">
      <c r="A8" s="306" t="s">
        <v>10117</v>
      </c>
      <c r="B8" s="812" t="s">
        <v>10118</v>
      </c>
      <c r="C8" s="261" t="s">
        <v>10119</v>
      </c>
      <c r="D8" s="261" t="s">
        <v>122</v>
      </c>
      <c r="E8" s="261" t="s">
        <v>10120</v>
      </c>
      <c r="F8" s="261" t="s">
        <v>10121</v>
      </c>
      <c r="G8" s="813" t="s">
        <v>10122</v>
      </c>
      <c r="H8" s="261">
        <v>369</v>
      </c>
      <c r="I8" s="261">
        <v>127</v>
      </c>
      <c r="J8" s="261">
        <v>450</v>
      </c>
      <c r="K8" s="261">
        <v>200</v>
      </c>
      <c r="L8" s="261" t="s">
        <v>10124</v>
      </c>
      <c r="M8" s="261" t="s">
        <v>10125</v>
      </c>
      <c r="N8" s="261" t="s">
        <v>10126</v>
      </c>
      <c r="O8" s="261" t="s">
        <v>10123</v>
      </c>
      <c r="P8" s="261" t="s">
        <v>10127</v>
      </c>
      <c r="Q8" s="261" t="s">
        <v>10128</v>
      </c>
      <c r="R8" s="261" t="s">
        <v>10129</v>
      </c>
      <c r="S8" s="261" t="s">
        <v>10130</v>
      </c>
      <c r="T8" s="330" t="s">
        <v>10131</v>
      </c>
    </row>
    <row r="9" spans="1:21" x14ac:dyDescent="0.2">
      <c r="A9" s="306" t="s">
        <v>10154</v>
      </c>
      <c r="B9" s="812" t="s">
        <v>10155</v>
      </c>
      <c r="C9" s="261" t="s">
        <v>10156</v>
      </c>
      <c r="D9" s="261" t="s">
        <v>122</v>
      </c>
      <c r="E9" s="261" t="s">
        <v>10157</v>
      </c>
      <c r="F9" s="261" t="s">
        <v>10158</v>
      </c>
      <c r="G9" s="813" t="s">
        <v>10159</v>
      </c>
      <c r="H9" s="261">
        <v>369</v>
      </c>
      <c r="I9" s="261">
        <v>127</v>
      </c>
      <c r="J9" s="261">
        <v>450</v>
      </c>
      <c r="K9" s="261">
        <v>200</v>
      </c>
      <c r="L9" s="261" t="s">
        <v>10161</v>
      </c>
      <c r="M9" s="261" t="s">
        <v>10162</v>
      </c>
      <c r="N9" s="261" t="s">
        <v>10163</v>
      </c>
      <c r="O9" s="261" t="s">
        <v>10160</v>
      </c>
      <c r="P9" s="261" t="s">
        <v>10164</v>
      </c>
      <c r="Q9" s="261" t="s">
        <v>10165</v>
      </c>
      <c r="R9" s="261" t="s">
        <v>10166</v>
      </c>
      <c r="S9" s="261" t="s">
        <v>10167</v>
      </c>
      <c r="T9" s="330" t="s">
        <v>10168</v>
      </c>
    </row>
    <row r="10" spans="1:21" x14ac:dyDescent="0.2">
      <c r="A10" s="306" t="s">
        <v>8663</v>
      </c>
      <c r="B10" s="812" t="s">
        <v>8664</v>
      </c>
      <c r="C10" s="261" t="s">
        <v>8665</v>
      </c>
      <c r="D10" s="261" t="s">
        <v>122</v>
      </c>
      <c r="E10" s="261" t="s">
        <v>8666</v>
      </c>
      <c r="F10" s="261" t="s">
        <v>8667</v>
      </c>
      <c r="G10" s="813" t="s">
        <v>8668</v>
      </c>
      <c r="H10" s="261">
        <v>221</v>
      </c>
      <c r="I10" s="261">
        <v>76</v>
      </c>
      <c r="J10" s="261">
        <v>450</v>
      </c>
      <c r="K10" s="261">
        <v>200</v>
      </c>
      <c r="L10" s="261" t="s">
        <v>8670</v>
      </c>
      <c r="M10" s="261" t="s">
        <v>8671</v>
      </c>
      <c r="N10" s="261" t="s">
        <v>8671</v>
      </c>
      <c r="O10" s="261" t="s">
        <v>8669</v>
      </c>
      <c r="P10" s="261" t="s">
        <v>8672</v>
      </c>
      <c r="Q10" s="261" t="s">
        <v>137</v>
      </c>
      <c r="R10" s="261" t="s">
        <v>8673</v>
      </c>
      <c r="S10" s="261" t="s">
        <v>8674</v>
      </c>
      <c r="T10" s="330" t="s">
        <v>8675</v>
      </c>
    </row>
    <row r="11" spans="1:21" x14ac:dyDescent="0.2">
      <c r="A11" s="306" t="s">
        <v>9487</v>
      </c>
      <c r="B11" s="812" t="s">
        <v>9488</v>
      </c>
      <c r="C11" s="261" t="s">
        <v>9489</v>
      </c>
      <c r="D11" s="261" t="s">
        <v>122</v>
      </c>
      <c r="E11" s="261" t="s">
        <v>9490</v>
      </c>
      <c r="F11" s="261" t="s">
        <v>9491</v>
      </c>
      <c r="G11" s="813" t="s">
        <v>9492</v>
      </c>
      <c r="H11" s="261">
        <v>389</v>
      </c>
      <c r="I11" s="261">
        <v>147</v>
      </c>
      <c r="J11" s="261">
        <v>450</v>
      </c>
      <c r="K11" s="261">
        <v>200</v>
      </c>
      <c r="L11" s="261" t="s">
        <v>9494</v>
      </c>
      <c r="M11" s="261" t="s">
        <v>9495</v>
      </c>
      <c r="N11" s="261" t="s">
        <v>9496</v>
      </c>
      <c r="O11" s="261" t="s">
        <v>9493</v>
      </c>
      <c r="P11" s="261" t="s">
        <v>9497</v>
      </c>
      <c r="Q11" s="261" t="s">
        <v>9498</v>
      </c>
      <c r="R11" s="261" t="s">
        <v>9499</v>
      </c>
      <c r="S11" s="261" t="s">
        <v>9500</v>
      </c>
      <c r="T11" s="330" t="s">
        <v>9501</v>
      </c>
    </row>
    <row r="12" spans="1:21" x14ac:dyDescent="0.2">
      <c r="A12" s="306" t="s">
        <v>8676</v>
      </c>
      <c r="B12" s="812" t="s">
        <v>8677</v>
      </c>
      <c r="C12" s="261" t="s">
        <v>8678</v>
      </c>
      <c r="D12" s="261" t="s">
        <v>122</v>
      </c>
      <c r="E12" s="261" t="s">
        <v>8679</v>
      </c>
      <c r="F12" s="261" t="s">
        <v>8680</v>
      </c>
      <c r="G12" s="813" t="s">
        <v>8681</v>
      </c>
      <c r="H12" s="261">
        <v>389</v>
      </c>
      <c r="I12" s="261">
        <v>147</v>
      </c>
      <c r="J12" s="261">
        <v>450</v>
      </c>
      <c r="K12" s="261">
        <v>200</v>
      </c>
      <c r="L12" s="261" t="s">
        <v>8683</v>
      </c>
      <c r="M12" s="261" t="s">
        <v>8684</v>
      </c>
      <c r="N12" s="261" t="s">
        <v>8685</v>
      </c>
      <c r="O12" s="261" t="s">
        <v>8682</v>
      </c>
      <c r="P12" s="261" t="s">
        <v>8686</v>
      </c>
      <c r="Q12" s="261" t="s">
        <v>8687</v>
      </c>
      <c r="R12" s="261" t="s">
        <v>8673</v>
      </c>
      <c r="S12" s="261" t="s">
        <v>8688</v>
      </c>
      <c r="T12" s="330" t="s">
        <v>8675</v>
      </c>
    </row>
    <row r="13" spans="1:21" x14ac:dyDescent="0.2">
      <c r="A13" s="306" t="s">
        <v>8944</v>
      </c>
      <c r="B13" s="812" t="s">
        <v>8945</v>
      </c>
      <c r="C13" s="261" t="s">
        <v>8946</v>
      </c>
      <c r="D13" s="261" t="s">
        <v>122</v>
      </c>
      <c r="E13" s="261" t="s">
        <v>8947</v>
      </c>
      <c r="F13" s="261" t="s">
        <v>8948</v>
      </c>
      <c r="G13" s="813" t="s">
        <v>8949</v>
      </c>
      <c r="H13" s="261">
        <v>394</v>
      </c>
      <c r="I13" s="261">
        <v>141</v>
      </c>
      <c r="J13" s="261">
        <v>450</v>
      </c>
      <c r="K13" s="261">
        <v>200</v>
      </c>
      <c r="L13" s="261" t="s">
        <v>8951</v>
      </c>
      <c r="M13" s="261" t="s">
        <v>8952</v>
      </c>
      <c r="N13" s="261" t="s">
        <v>8953</v>
      </c>
      <c r="O13" s="261" t="s">
        <v>8950</v>
      </c>
      <c r="P13" s="261" t="s">
        <v>8954</v>
      </c>
      <c r="Q13" s="261" t="s">
        <v>8955</v>
      </c>
      <c r="R13" s="261" t="s">
        <v>8956</v>
      </c>
      <c r="S13" s="261" t="s">
        <v>8957</v>
      </c>
      <c r="T13" s="330" t="s">
        <v>8958</v>
      </c>
    </row>
    <row r="14" spans="1:21" x14ac:dyDescent="0.2">
      <c r="A14" s="306" t="s">
        <v>9598</v>
      </c>
      <c r="B14" s="812" t="s">
        <v>9599</v>
      </c>
      <c r="C14" s="261" t="s">
        <v>9600</v>
      </c>
      <c r="D14" s="261" t="s">
        <v>122</v>
      </c>
      <c r="E14" s="261" t="s">
        <v>9601</v>
      </c>
      <c r="F14" s="261" t="s">
        <v>9602</v>
      </c>
      <c r="G14" s="813" t="s">
        <v>9603</v>
      </c>
      <c r="H14" s="261">
        <v>394</v>
      </c>
      <c r="I14" s="261">
        <v>141</v>
      </c>
      <c r="J14" s="261">
        <v>450</v>
      </c>
      <c r="K14" s="261">
        <v>200</v>
      </c>
      <c r="L14" s="261" t="s">
        <v>9605</v>
      </c>
      <c r="M14" s="261" t="s">
        <v>9606</v>
      </c>
      <c r="N14" s="261" t="s">
        <v>9607</v>
      </c>
      <c r="O14" s="261" t="s">
        <v>9604</v>
      </c>
      <c r="P14" s="261" t="s">
        <v>9608</v>
      </c>
      <c r="Q14" s="261" t="s">
        <v>9609</v>
      </c>
      <c r="R14" s="261" t="s">
        <v>9610</v>
      </c>
      <c r="S14" s="261" t="s">
        <v>9611</v>
      </c>
      <c r="T14" s="330" t="s">
        <v>9612</v>
      </c>
    </row>
    <row r="15" spans="1:21" x14ac:dyDescent="0.2">
      <c r="A15" s="306" t="s">
        <v>9546</v>
      </c>
      <c r="B15" s="812" t="s">
        <v>9547</v>
      </c>
      <c r="C15" s="261" t="s">
        <v>9548</v>
      </c>
      <c r="D15" s="261" t="s">
        <v>122</v>
      </c>
      <c r="E15" s="261" t="s">
        <v>9549</v>
      </c>
      <c r="F15" s="261" t="s">
        <v>9550</v>
      </c>
      <c r="G15" s="813" t="s">
        <v>9551</v>
      </c>
      <c r="H15" s="261">
        <v>394</v>
      </c>
      <c r="I15" s="261">
        <v>141</v>
      </c>
      <c r="J15" s="261">
        <v>450</v>
      </c>
      <c r="K15" s="261">
        <v>200</v>
      </c>
      <c r="L15" s="261" t="s">
        <v>9553</v>
      </c>
      <c r="M15" s="261" t="s">
        <v>9554</v>
      </c>
      <c r="N15" s="261" t="s">
        <v>9555</v>
      </c>
      <c r="O15" s="261" t="s">
        <v>9552</v>
      </c>
      <c r="P15" s="261" t="s">
        <v>9556</v>
      </c>
      <c r="Q15" s="261" t="s">
        <v>9026</v>
      </c>
      <c r="R15" s="261" t="s">
        <v>9557</v>
      </c>
      <c r="S15" s="261" t="s">
        <v>9558</v>
      </c>
      <c r="T15" s="330" t="s">
        <v>9559</v>
      </c>
    </row>
    <row r="16" spans="1:21" x14ac:dyDescent="0.2">
      <c r="A16" s="306" t="s">
        <v>9656</v>
      </c>
      <c r="B16" s="812" t="s">
        <v>9657</v>
      </c>
      <c r="C16" s="261" t="s">
        <v>9658</v>
      </c>
      <c r="D16" s="261" t="s">
        <v>122</v>
      </c>
      <c r="E16" s="261" t="s">
        <v>9659</v>
      </c>
      <c r="F16" s="261" t="s">
        <v>9660</v>
      </c>
      <c r="G16" s="813" t="s">
        <v>9661</v>
      </c>
      <c r="H16" s="261">
        <v>221</v>
      </c>
      <c r="I16" s="261">
        <v>76</v>
      </c>
      <c r="J16" s="261">
        <v>450</v>
      </c>
      <c r="K16" s="261">
        <v>200</v>
      </c>
      <c r="L16" s="261" t="s">
        <v>9663</v>
      </c>
      <c r="M16" s="261" t="s">
        <v>9664</v>
      </c>
      <c r="N16" s="261" t="s">
        <v>9665</v>
      </c>
      <c r="O16" s="261" t="s">
        <v>9662</v>
      </c>
      <c r="P16" s="261" t="s">
        <v>9666</v>
      </c>
      <c r="Q16" s="261" t="s">
        <v>137</v>
      </c>
      <c r="R16" s="261" t="s">
        <v>9667</v>
      </c>
      <c r="S16" s="261" t="s">
        <v>8899</v>
      </c>
      <c r="T16" s="330" t="s">
        <v>9668</v>
      </c>
    </row>
    <row r="17" spans="1:20" x14ac:dyDescent="0.2">
      <c r="A17" s="306" t="s">
        <v>9770</v>
      </c>
      <c r="B17" s="812" t="s">
        <v>9771</v>
      </c>
      <c r="C17" s="261" t="s">
        <v>9772</v>
      </c>
      <c r="D17" s="261" t="s">
        <v>122</v>
      </c>
      <c r="E17" s="261" t="s">
        <v>9773</v>
      </c>
      <c r="F17" s="261" t="s">
        <v>9774</v>
      </c>
      <c r="G17" s="813" t="s">
        <v>9775</v>
      </c>
      <c r="H17" s="261">
        <v>389</v>
      </c>
      <c r="I17" s="261">
        <v>147</v>
      </c>
      <c r="J17" s="261">
        <v>450</v>
      </c>
      <c r="K17" s="261">
        <v>200</v>
      </c>
      <c r="L17" s="261" t="s">
        <v>9777</v>
      </c>
      <c r="M17" s="261" t="s">
        <v>9778</v>
      </c>
      <c r="N17" s="261" t="s">
        <v>9779</v>
      </c>
      <c r="O17" s="261" t="s">
        <v>9776</v>
      </c>
      <c r="P17" s="261" t="s">
        <v>9780</v>
      </c>
      <c r="Q17" s="261" t="s">
        <v>9026</v>
      </c>
      <c r="R17" s="261" t="s">
        <v>9012</v>
      </c>
      <c r="S17" s="261" t="s">
        <v>9781</v>
      </c>
      <c r="T17" s="330" t="s">
        <v>9782</v>
      </c>
    </row>
    <row r="18" spans="1:20" x14ac:dyDescent="0.2">
      <c r="A18" s="306" t="s">
        <v>9713</v>
      </c>
      <c r="B18" s="812" t="s">
        <v>9714</v>
      </c>
      <c r="C18" s="261" t="s">
        <v>9715</v>
      </c>
      <c r="D18" s="261" t="s">
        <v>122</v>
      </c>
      <c r="E18" s="261" t="s">
        <v>9716</v>
      </c>
      <c r="F18" s="261" t="s">
        <v>9717</v>
      </c>
      <c r="G18" s="813" t="s">
        <v>9718</v>
      </c>
      <c r="H18" s="261">
        <v>221</v>
      </c>
      <c r="I18" s="261">
        <v>76</v>
      </c>
      <c r="J18" s="261">
        <v>450</v>
      </c>
      <c r="K18" s="261">
        <v>200</v>
      </c>
      <c r="L18" s="261" t="s">
        <v>9720</v>
      </c>
      <c r="M18" s="261" t="s">
        <v>8697</v>
      </c>
      <c r="N18" s="261" t="s">
        <v>9721</v>
      </c>
      <c r="O18" s="261" t="s">
        <v>9719</v>
      </c>
      <c r="P18" s="261" t="s">
        <v>9666</v>
      </c>
      <c r="Q18" s="261" t="s">
        <v>137</v>
      </c>
      <c r="R18" s="261" t="s">
        <v>9722</v>
      </c>
      <c r="S18" s="261" t="s">
        <v>9723</v>
      </c>
      <c r="T18" s="330" t="s">
        <v>9724</v>
      </c>
    </row>
    <row r="19" spans="1:20" x14ac:dyDescent="0.2">
      <c r="A19" s="306" t="s">
        <v>9243</v>
      </c>
      <c r="B19" s="812" t="s">
        <v>9244</v>
      </c>
      <c r="C19" s="261" t="s">
        <v>9245</v>
      </c>
      <c r="D19" s="261" t="s">
        <v>122</v>
      </c>
      <c r="E19" s="261" t="s">
        <v>9246</v>
      </c>
      <c r="F19" s="261" t="s">
        <v>9247</v>
      </c>
      <c r="G19" s="813" t="s">
        <v>9248</v>
      </c>
      <c r="H19" s="261">
        <v>370</v>
      </c>
      <c r="I19" s="261">
        <v>140</v>
      </c>
      <c r="J19" s="261">
        <v>450</v>
      </c>
      <c r="K19" s="261">
        <v>200</v>
      </c>
      <c r="L19" s="261" t="s">
        <v>9250</v>
      </c>
      <c r="M19" s="261" t="s">
        <v>9251</v>
      </c>
      <c r="N19" s="261" t="s">
        <v>9252</v>
      </c>
      <c r="O19" s="261" t="s">
        <v>9249</v>
      </c>
      <c r="P19" s="261" t="s">
        <v>9253</v>
      </c>
      <c r="Q19" s="261" t="s">
        <v>7277</v>
      </c>
      <c r="R19" s="261" t="s">
        <v>9253</v>
      </c>
      <c r="S19" s="261" t="s">
        <v>9254</v>
      </c>
      <c r="T19" s="330" t="s">
        <v>9255</v>
      </c>
    </row>
    <row r="20" spans="1:20" x14ac:dyDescent="0.2">
      <c r="A20" s="306" t="s">
        <v>9829</v>
      </c>
      <c r="B20" s="812" t="s">
        <v>9830</v>
      </c>
      <c r="C20" s="261" t="s">
        <v>9831</v>
      </c>
      <c r="D20" s="261" t="s">
        <v>122</v>
      </c>
      <c r="E20" s="261" t="s">
        <v>9832</v>
      </c>
      <c r="F20" s="261" t="s">
        <v>9833</v>
      </c>
      <c r="G20" s="813" t="s">
        <v>9834</v>
      </c>
      <c r="H20" s="261">
        <v>389</v>
      </c>
      <c r="I20" s="261">
        <v>147</v>
      </c>
      <c r="J20" s="261">
        <v>450</v>
      </c>
      <c r="K20" s="261">
        <v>200</v>
      </c>
      <c r="L20" s="261" t="s">
        <v>9836</v>
      </c>
      <c r="M20" s="261" t="s">
        <v>9837</v>
      </c>
      <c r="N20" s="261" t="s">
        <v>9838</v>
      </c>
      <c r="O20" s="261" t="s">
        <v>9835</v>
      </c>
      <c r="P20" s="261" t="s">
        <v>9780</v>
      </c>
      <c r="Q20" s="261" t="s">
        <v>9026</v>
      </c>
      <c r="R20" s="261" t="s">
        <v>9012</v>
      </c>
      <c r="S20" s="261" t="s">
        <v>8899</v>
      </c>
      <c r="T20" s="330" t="s">
        <v>9839</v>
      </c>
    </row>
    <row r="21" spans="1:20" x14ac:dyDescent="0.2">
      <c r="A21" s="306" t="s">
        <v>9354</v>
      </c>
      <c r="B21" s="812" t="s">
        <v>9355</v>
      </c>
      <c r="C21" s="261" t="s">
        <v>9356</v>
      </c>
      <c r="D21" s="261" t="s">
        <v>122</v>
      </c>
      <c r="E21" s="261" t="s">
        <v>9357</v>
      </c>
      <c r="F21" s="261" t="s">
        <v>9358</v>
      </c>
      <c r="G21" s="813" t="s">
        <v>9359</v>
      </c>
      <c r="H21" s="261">
        <v>295</v>
      </c>
      <c r="I21" s="261">
        <v>101</v>
      </c>
      <c r="J21" s="261">
        <v>450</v>
      </c>
      <c r="K21" s="261">
        <v>200</v>
      </c>
      <c r="L21" s="261" t="s">
        <v>9361</v>
      </c>
      <c r="M21" s="261" t="s">
        <v>9362</v>
      </c>
      <c r="N21" s="261" t="s">
        <v>9363</v>
      </c>
      <c r="O21" s="261" t="s">
        <v>9360</v>
      </c>
      <c r="P21" s="261" t="s">
        <v>9364</v>
      </c>
      <c r="Q21" s="261" t="s">
        <v>137</v>
      </c>
      <c r="R21" s="261" t="s">
        <v>9253</v>
      </c>
      <c r="S21" s="261" t="s">
        <v>8899</v>
      </c>
      <c r="T21" s="330" t="s">
        <v>9365</v>
      </c>
    </row>
    <row r="22" spans="1:20" x14ac:dyDescent="0.2">
      <c r="A22" s="306" t="s">
        <v>9296</v>
      </c>
      <c r="B22" s="812" t="s">
        <v>9297</v>
      </c>
      <c r="C22" s="261" t="s">
        <v>9298</v>
      </c>
      <c r="D22" s="261" t="s">
        <v>122</v>
      </c>
      <c r="E22" s="261" t="s">
        <v>9299</v>
      </c>
      <c r="F22" s="261" t="s">
        <v>9300</v>
      </c>
      <c r="G22" s="813" t="s">
        <v>9301</v>
      </c>
      <c r="H22" s="261">
        <v>299</v>
      </c>
      <c r="I22" s="261">
        <v>97</v>
      </c>
      <c r="J22" s="261">
        <v>450</v>
      </c>
      <c r="K22" s="261">
        <v>200</v>
      </c>
      <c r="L22" s="261" t="s">
        <v>9303</v>
      </c>
      <c r="M22" s="261" t="s">
        <v>9304</v>
      </c>
      <c r="N22" s="261" t="s">
        <v>9305</v>
      </c>
      <c r="O22" s="261" t="s">
        <v>9302</v>
      </c>
      <c r="P22" s="261" t="s">
        <v>9306</v>
      </c>
      <c r="Q22" s="261" t="s">
        <v>137</v>
      </c>
      <c r="R22" s="261" t="s">
        <v>9307</v>
      </c>
      <c r="S22" s="261" t="s">
        <v>9308</v>
      </c>
      <c r="T22" s="330" t="s">
        <v>9309</v>
      </c>
    </row>
    <row r="23" spans="1:20" x14ac:dyDescent="0.2">
      <c r="A23" s="306" t="s">
        <v>9186</v>
      </c>
      <c r="B23" s="812" t="s">
        <v>9187</v>
      </c>
      <c r="C23" s="261" t="s">
        <v>9188</v>
      </c>
      <c r="D23" s="261" t="s">
        <v>122</v>
      </c>
      <c r="E23" s="261" t="s">
        <v>9189</v>
      </c>
      <c r="F23" s="261" t="s">
        <v>9190</v>
      </c>
      <c r="G23" s="813" t="s">
        <v>9191</v>
      </c>
      <c r="H23" s="261">
        <v>203</v>
      </c>
      <c r="I23" s="261">
        <v>70</v>
      </c>
      <c r="J23" s="261">
        <v>450</v>
      </c>
      <c r="K23" s="261">
        <v>200</v>
      </c>
      <c r="L23" s="261" t="s">
        <v>9193</v>
      </c>
      <c r="M23" s="261" t="s">
        <v>9194</v>
      </c>
      <c r="N23" s="261" t="s">
        <v>9195</v>
      </c>
      <c r="O23" s="261" t="s">
        <v>9192</v>
      </c>
      <c r="P23" s="261" t="s">
        <v>9196</v>
      </c>
      <c r="Q23" s="261" t="s">
        <v>137</v>
      </c>
      <c r="R23" s="261" t="s">
        <v>9197</v>
      </c>
      <c r="S23" s="261" t="s">
        <v>650</v>
      </c>
      <c r="T23" s="330" t="s">
        <v>9198</v>
      </c>
    </row>
    <row r="24" spans="1:20" x14ac:dyDescent="0.2">
      <c r="A24" s="306" t="s">
        <v>9925</v>
      </c>
      <c r="B24" s="812" t="s">
        <v>9926</v>
      </c>
      <c r="C24" s="261" t="s">
        <v>9927</v>
      </c>
      <c r="D24" s="261" t="s">
        <v>122</v>
      </c>
      <c r="E24" s="261" t="s">
        <v>137</v>
      </c>
      <c r="F24" s="261" t="s">
        <v>9928</v>
      </c>
      <c r="G24" s="813" t="s">
        <v>9929</v>
      </c>
      <c r="H24" s="261">
        <v>187</v>
      </c>
      <c r="I24" s="261">
        <v>60</v>
      </c>
      <c r="J24" s="261">
        <v>450</v>
      </c>
      <c r="K24" s="261">
        <v>200</v>
      </c>
      <c r="L24" s="261" t="s">
        <v>9930</v>
      </c>
      <c r="M24" s="261" t="s">
        <v>9931</v>
      </c>
      <c r="N24" s="261" t="s">
        <v>9932</v>
      </c>
      <c r="O24" s="261" t="s">
        <v>9889</v>
      </c>
      <c r="P24" s="261" t="s">
        <v>9933</v>
      </c>
      <c r="Q24" s="261" t="s">
        <v>137</v>
      </c>
      <c r="R24" s="261" t="s">
        <v>9610</v>
      </c>
      <c r="S24" s="261" t="s">
        <v>137</v>
      </c>
      <c r="T24" s="330" t="s">
        <v>9934</v>
      </c>
    </row>
    <row r="25" spans="1:20" x14ac:dyDescent="0.2">
      <c r="A25" s="306" t="s">
        <v>9884</v>
      </c>
      <c r="B25" s="812" t="s">
        <v>9885</v>
      </c>
      <c r="C25" s="261" t="s">
        <v>9886</v>
      </c>
      <c r="D25" s="261" t="s">
        <v>122</v>
      </c>
      <c r="E25" s="261" t="s">
        <v>137</v>
      </c>
      <c r="F25" s="261" t="s">
        <v>9887</v>
      </c>
      <c r="G25" s="813" t="s">
        <v>9888</v>
      </c>
      <c r="H25" s="261">
        <v>190</v>
      </c>
      <c r="I25" s="261">
        <v>57</v>
      </c>
      <c r="J25" s="261">
        <v>450</v>
      </c>
      <c r="K25" s="261">
        <v>200</v>
      </c>
      <c r="L25" s="261" t="s">
        <v>9890</v>
      </c>
      <c r="M25" s="261" t="s">
        <v>9891</v>
      </c>
      <c r="N25" s="261" t="s">
        <v>9892</v>
      </c>
      <c r="O25" s="261" t="s">
        <v>9889</v>
      </c>
      <c r="P25" s="261" t="s">
        <v>9893</v>
      </c>
      <c r="Q25" s="261" t="s">
        <v>137</v>
      </c>
      <c r="R25" s="261" t="s">
        <v>9894</v>
      </c>
      <c r="S25" s="261" t="s">
        <v>137</v>
      </c>
      <c r="T25" s="330" t="s">
        <v>9895</v>
      </c>
    </row>
    <row r="26" spans="1:20" x14ac:dyDescent="0.2">
      <c r="A26" s="306" t="s">
        <v>9963</v>
      </c>
      <c r="B26" s="812" t="s">
        <v>9964</v>
      </c>
      <c r="C26" s="261" t="s">
        <v>9965</v>
      </c>
      <c r="D26" s="261" t="s">
        <v>122</v>
      </c>
      <c r="E26" s="261" t="s">
        <v>137</v>
      </c>
      <c r="F26" s="261" t="s">
        <v>9966</v>
      </c>
      <c r="G26" s="813" t="s">
        <v>9967</v>
      </c>
      <c r="H26" s="261">
        <v>184</v>
      </c>
      <c r="I26" s="261">
        <v>63</v>
      </c>
      <c r="J26" s="261">
        <v>450</v>
      </c>
      <c r="K26" s="261">
        <v>200</v>
      </c>
      <c r="L26" s="261" t="s">
        <v>9968</v>
      </c>
      <c r="M26" s="261" t="s">
        <v>9969</v>
      </c>
      <c r="N26" s="261" t="s">
        <v>9970</v>
      </c>
      <c r="O26" s="261" t="s">
        <v>9889</v>
      </c>
      <c r="P26" s="261" t="s">
        <v>9971</v>
      </c>
      <c r="Q26" s="261" t="s">
        <v>137</v>
      </c>
      <c r="R26" s="261" t="s">
        <v>9972</v>
      </c>
      <c r="S26" s="261" t="s">
        <v>137</v>
      </c>
      <c r="T26" s="330" t="s">
        <v>9973</v>
      </c>
    </row>
    <row r="27" spans="1:20" x14ac:dyDescent="0.2">
      <c r="A27" s="306" t="s">
        <v>8772</v>
      </c>
      <c r="B27" s="812" t="s">
        <v>8773</v>
      </c>
      <c r="C27" s="261" t="s">
        <v>8774</v>
      </c>
      <c r="D27" s="261" t="s">
        <v>1103</v>
      </c>
      <c r="E27" s="261" t="s">
        <v>8775</v>
      </c>
      <c r="F27" s="261" t="s">
        <v>8776</v>
      </c>
      <c r="G27" s="813" t="s">
        <v>8777</v>
      </c>
      <c r="H27" s="261">
        <v>370</v>
      </c>
      <c r="I27" s="261">
        <v>125</v>
      </c>
      <c r="J27" s="261">
        <v>450</v>
      </c>
      <c r="K27" s="261">
        <v>200</v>
      </c>
      <c r="L27" s="261" t="s">
        <v>8779</v>
      </c>
      <c r="M27" s="261" t="s">
        <v>8780</v>
      </c>
      <c r="N27" s="261" t="s">
        <v>8781</v>
      </c>
      <c r="O27" s="261" t="s">
        <v>8778</v>
      </c>
      <c r="P27" s="261" t="s">
        <v>8782</v>
      </c>
      <c r="Q27" s="261" t="s">
        <v>8783</v>
      </c>
      <c r="R27" s="261" t="s">
        <v>8784</v>
      </c>
      <c r="S27" s="261" t="s">
        <v>8785</v>
      </c>
      <c r="T27" s="330" t="s">
        <v>8786</v>
      </c>
    </row>
    <row r="28" spans="1:20" x14ac:dyDescent="0.2">
      <c r="A28" s="306" t="s">
        <v>9783</v>
      </c>
      <c r="B28" s="812" t="s">
        <v>9784</v>
      </c>
      <c r="C28" s="261" t="s">
        <v>9785</v>
      </c>
      <c r="D28" s="261" t="s">
        <v>1103</v>
      </c>
      <c r="E28" s="261" t="s">
        <v>9786</v>
      </c>
      <c r="F28" s="261" t="s">
        <v>9787</v>
      </c>
      <c r="G28" s="813" t="s">
        <v>9788</v>
      </c>
      <c r="H28" s="261">
        <v>370</v>
      </c>
      <c r="I28" s="261">
        <v>125</v>
      </c>
      <c r="J28" s="261">
        <v>450</v>
      </c>
      <c r="K28" s="261">
        <v>200</v>
      </c>
      <c r="L28" s="261" t="s">
        <v>9790</v>
      </c>
      <c r="M28" s="261" t="s">
        <v>9791</v>
      </c>
      <c r="N28" s="261" t="s">
        <v>9792</v>
      </c>
      <c r="O28" s="261" t="s">
        <v>9789</v>
      </c>
      <c r="P28" s="261" t="s">
        <v>9149</v>
      </c>
      <c r="Q28" s="261" t="s">
        <v>9793</v>
      </c>
      <c r="R28" s="261" t="s">
        <v>9012</v>
      </c>
      <c r="S28" s="261" t="s">
        <v>9781</v>
      </c>
      <c r="T28" s="330" t="s">
        <v>9782</v>
      </c>
    </row>
    <row r="29" spans="1:20" x14ac:dyDescent="0.2">
      <c r="A29" s="306" t="s">
        <v>9412</v>
      </c>
      <c r="B29" s="812" t="s">
        <v>9413</v>
      </c>
      <c r="C29" s="261" t="s">
        <v>9414</v>
      </c>
      <c r="D29" s="261" t="s">
        <v>1103</v>
      </c>
      <c r="E29" s="261" t="s">
        <v>9415</v>
      </c>
      <c r="F29" s="261" t="s">
        <v>9416</v>
      </c>
      <c r="G29" s="813" t="s">
        <v>9417</v>
      </c>
      <c r="H29" s="261">
        <v>222</v>
      </c>
      <c r="I29" s="261">
        <v>75</v>
      </c>
      <c r="J29" s="261">
        <v>450</v>
      </c>
      <c r="K29" s="261">
        <v>200</v>
      </c>
      <c r="L29" s="261" t="s">
        <v>9418</v>
      </c>
      <c r="M29" s="261" t="s">
        <v>9419</v>
      </c>
      <c r="N29" s="261" t="s">
        <v>9420</v>
      </c>
      <c r="O29" s="261" t="s">
        <v>9407</v>
      </c>
      <c r="P29" s="261" t="s">
        <v>7601</v>
      </c>
      <c r="Q29" s="261" t="s">
        <v>137</v>
      </c>
      <c r="R29" s="261" t="s">
        <v>7601</v>
      </c>
      <c r="S29" s="261" t="s">
        <v>137</v>
      </c>
      <c r="T29" s="330" t="s">
        <v>9411</v>
      </c>
    </row>
    <row r="30" spans="1:20" x14ac:dyDescent="0.2">
      <c r="A30" s="306" t="s">
        <v>8836</v>
      </c>
      <c r="B30" s="812" t="s">
        <v>8837</v>
      </c>
      <c r="C30" s="261" t="s">
        <v>8838</v>
      </c>
      <c r="D30" s="261" t="s">
        <v>1103</v>
      </c>
      <c r="E30" s="261" t="s">
        <v>8839</v>
      </c>
      <c r="F30" s="261" t="s">
        <v>8840</v>
      </c>
      <c r="G30" s="813" t="s">
        <v>8841</v>
      </c>
      <c r="H30" s="261">
        <v>370</v>
      </c>
      <c r="I30" s="261">
        <v>125</v>
      </c>
      <c r="J30" s="261">
        <v>450</v>
      </c>
      <c r="K30" s="261">
        <v>200</v>
      </c>
      <c r="L30" s="261" t="s">
        <v>8843</v>
      </c>
      <c r="M30" s="261" t="s">
        <v>8844</v>
      </c>
      <c r="N30" s="261" t="s">
        <v>8845</v>
      </c>
      <c r="O30" s="261" t="s">
        <v>8842</v>
      </c>
      <c r="P30" s="261" t="s">
        <v>8846</v>
      </c>
      <c r="Q30" s="261" t="s">
        <v>8847</v>
      </c>
      <c r="R30" s="261" t="s">
        <v>8833</v>
      </c>
      <c r="S30" s="261" t="s">
        <v>8848</v>
      </c>
      <c r="T30" s="330" t="s">
        <v>8835</v>
      </c>
    </row>
    <row r="31" spans="1:20" x14ac:dyDescent="0.2">
      <c r="A31" s="306" t="s">
        <v>9139</v>
      </c>
      <c r="B31" s="812" t="s">
        <v>9140</v>
      </c>
      <c r="C31" s="261" t="s">
        <v>9141</v>
      </c>
      <c r="D31" s="261" t="s">
        <v>1103</v>
      </c>
      <c r="E31" s="261" t="s">
        <v>9142</v>
      </c>
      <c r="F31" s="261" t="s">
        <v>9143</v>
      </c>
      <c r="G31" s="813" t="s">
        <v>9144</v>
      </c>
      <c r="H31" s="261">
        <v>370</v>
      </c>
      <c r="I31" s="261">
        <v>125</v>
      </c>
      <c r="J31" s="261">
        <v>450</v>
      </c>
      <c r="K31" s="261">
        <v>200</v>
      </c>
      <c r="L31" s="261" t="s">
        <v>9146</v>
      </c>
      <c r="M31" s="261" t="s">
        <v>9147</v>
      </c>
      <c r="N31" s="261" t="s">
        <v>9148</v>
      </c>
      <c r="O31" s="261" t="s">
        <v>9145</v>
      </c>
      <c r="P31" s="261" t="s">
        <v>9149</v>
      </c>
      <c r="Q31" s="261" t="s">
        <v>9150</v>
      </c>
      <c r="R31" s="261" t="s">
        <v>9012</v>
      </c>
      <c r="S31" s="261" t="s">
        <v>9137</v>
      </c>
      <c r="T31" s="330" t="s">
        <v>9138</v>
      </c>
    </row>
    <row r="32" spans="1:20" x14ac:dyDescent="0.2">
      <c r="A32" s="306" t="s">
        <v>9015</v>
      </c>
      <c r="B32" s="812" t="s">
        <v>9016</v>
      </c>
      <c r="C32" s="261" t="s">
        <v>9017</v>
      </c>
      <c r="D32" s="261" t="s">
        <v>1103</v>
      </c>
      <c r="E32" s="261" t="s">
        <v>9018</v>
      </c>
      <c r="F32" s="261" t="s">
        <v>9019</v>
      </c>
      <c r="G32" s="813" t="s">
        <v>9020</v>
      </c>
      <c r="H32" s="261">
        <v>390</v>
      </c>
      <c r="I32" s="261">
        <v>145</v>
      </c>
      <c r="J32" s="261">
        <v>450</v>
      </c>
      <c r="K32" s="261">
        <v>200</v>
      </c>
      <c r="L32" s="261" t="s">
        <v>9022</v>
      </c>
      <c r="M32" s="261" t="s">
        <v>9023</v>
      </c>
      <c r="N32" s="261" t="s">
        <v>9024</v>
      </c>
      <c r="O32" s="261" t="s">
        <v>9021</v>
      </c>
      <c r="P32" s="261" t="s">
        <v>9025</v>
      </c>
      <c r="Q32" s="261" t="s">
        <v>9026</v>
      </c>
      <c r="R32" s="261" t="s">
        <v>9012</v>
      </c>
      <c r="S32" s="261" t="s">
        <v>9013</v>
      </c>
      <c r="T32" s="330" t="s">
        <v>9014</v>
      </c>
    </row>
    <row r="33" spans="1:20" x14ac:dyDescent="0.2">
      <c r="A33" s="306" t="s">
        <v>9725</v>
      </c>
      <c r="B33" s="812" t="s">
        <v>9726</v>
      </c>
      <c r="C33" s="261" t="s">
        <v>9727</v>
      </c>
      <c r="D33" s="261" t="s">
        <v>1103</v>
      </c>
      <c r="E33" s="261" t="s">
        <v>9728</v>
      </c>
      <c r="F33" s="261" t="s">
        <v>9729</v>
      </c>
      <c r="G33" s="813" t="s">
        <v>9730</v>
      </c>
      <c r="H33" s="261">
        <v>370</v>
      </c>
      <c r="I33" s="261">
        <v>125</v>
      </c>
      <c r="J33" s="261">
        <v>450</v>
      </c>
      <c r="K33" s="261">
        <v>200</v>
      </c>
      <c r="L33" s="261" t="s">
        <v>9732</v>
      </c>
      <c r="M33" s="261" t="s">
        <v>9733</v>
      </c>
      <c r="N33" s="261" t="s">
        <v>9734</v>
      </c>
      <c r="O33" s="261" t="s">
        <v>9731</v>
      </c>
      <c r="P33" s="261" t="s">
        <v>8699</v>
      </c>
      <c r="Q33" s="261" t="s">
        <v>9735</v>
      </c>
      <c r="R33" s="261" t="s">
        <v>9722</v>
      </c>
      <c r="S33" s="261" t="s">
        <v>9723</v>
      </c>
      <c r="T33" s="330" t="s">
        <v>9724</v>
      </c>
    </row>
    <row r="34" spans="1:20" x14ac:dyDescent="0.2">
      <c r="A34" s="306" t="s">
        <v>8959</v>
      </c>
      <c r="B34" s="812" t="s">
        <v>8960</v>
      </c>
      <c r="C34" s="261" t="s">
        <v>8961</v>
      </c>
      <c r="D34" s="261" t="s">
        <v>1103</v>
      </c>
      <c r="E34" s="261" t="s">
        <v>8962</v>
      </c>
      <c r="F34" s="261" t="s">
        <v>8963</v>
      </c>
      <c r="G34" s="813" t="s">
        <v>8964</v>
      </c>
      <c r="H34" s="261">
        <v>390</v>
      </c>
      <c r="I34" s="261">
        <v>145</v>
      </c>
      <c r="J34" s="261">
        <v>450</v>
      </c>
      <c r="K34" s="261">
        <v>200</v>
      </c>
      <c r="L34" s="261" t="s">
        <v>8966</v>
      </c>
      <c r="M34" s="261" t="s">
        <v>8967</v>
      </c>
      <c r="N34" s="261" t="s">
        <v>8968</v>
      </c>
      <c r="O34" s="261" t="s">
        <v>8965</v>
      </c>
      <c r="P34" s="261" t="s">
        <v>8954</v>
      </c>
      <c r="Q34" s="261" t="s">
        <v>8955</v>
      </c>
      <c r="R34" s="261" t="s">
        <v>8956</v>
      </c>
      <c r="S34" s="261" t="s">
        <v>8957</v>
      </c>
      <c r="T34" s="330" t="s">
        <v>8958</v>
      </c>
    </row>
    <row r="35" spans="1:20" x14ac:dyDescent="0.2">
      <c r="A35" s="306" t="s">
        <v>9502</v>
      </c>
      <c r="B35" s="812" t="s">
        <v>9503</v>
      </c>
      <c r="C35" s="261" t="s">
        <v>9504</v>
      </c>
      <c r="D35" s="261" t="s">
        <v>1103</v>
      </c>
      <c r="E35" s="261" t="s">
        <v>9505</v>
      </c>
      <c r="F35" s="261" t="s">
        <v>9506</v>
      </c>
      <c r="G35" s="813" t="s">
        <v>9507</v>
      </c>
      <c r="H35" s="261">
        <v>390</v>
      </c>
      <c r="I35" s="261">
        <v>145</v>
      </c>
      <c r="J35" s="261">
        <v>450</v>
      </c>
      <c r="K35" s="261">
        <v>200</v>
      </c>
      <c r="L35" s="261" t="s">
        <v>9509</v>
      </c>
      <c r="M35" s="261" t="s">
        <v>9510</v>
      </c>
      <c r="N35" s="261" t="s">
        <v>9511</v>
      </c>
      <c r="O35" s="261" t="s">
        <v>9508</v>
      </c>
      <c r="P35" s="261" t="s">
        <v>9497</v>
      </c>
      <c r="Q35" s="261" t="s">
        <v>9512</v>
      </c>
      <c r="R35" s="261" t="s">
        <v>9499</v>
      </c>
      <c r="S35" s="261" t="s">
        <v>9500</v>
      </c>
      <c r="T35" s="330" t="s">
        <v>9501</v>
      </c>
    </row>
    <row r="36" spans="1:20" x14ac:dyDescent="0.2">
      <c r="A36" s="306" t="s">
        <v>9669</v>
      </c>
      <c r="B36" s="812" t="s">
        <v>9670</v>
      </c>
      <c r="C36" s="261" t="s">
        <v>9671</v>
      </c>
      <c r="D36" s="261" t="s">
        <v>1103</v>
      </c>
      <c r="E36" s="261" t="s">
        <v>9672</v>
      </c>
      <c r="F36" s="261" t="s">
        <v>9673</v>
      </c>
      <c r="G36" s="813" t="s">
        <v>9674</v>
      </c>
      <c r="H36" s="261">
        <v>376</v>
      </c>
      <c r="I36" s="261">
        <v>119</v>
      </c>
      <c r="J36" s="261">
        <v>450</v>
      </c>
      <c r="K36" s="261">
        <v>200</v>
      </c>
      <c r="L36" s="261" t="s">
        <v>9676</v>
      </c>
      <c r="M36" s="261" t="s">
        <v>9677</v>
      </c>
      <c r="N36" s="261" t="s">
        <v>9678</v>
      </c>
      <c r="O36" s="261" t="s">
        <v>9675</v>
      </c>
      <c r="P36" s="261" t="s">
        <v>9679</v>
      </c>
      <c r="Q36" s="261" t="s">
        <v>9680</v>
      </c>
      <c r="R36" s="261" t="s">
        <v>9667</v>
      </c>
      <c r="S36" s="261" t="s">
        <v>8899</v>
      </c>
      <c r="T36" s="330" t="s">
        <v>9668</v>
      </c>
    </row>
    <row r="37" spans="1:20" x14ac:dyDescent="0.2">
      <c r="A37" s="306" t="s">
        <v>9310</v>
      </c>
      <c r="B37" s="812" t="s">
        <v>9311</v>
      </c>
      <c r="C37" s="261" t="s">
        <v>9312</v>
      </c>
      <c r="D37" s="261" t="s">
        <v>1103</v>
      </c>
      <c r="E37" s="261" t="s">
        <v>9313</v>
      </c>
      <c r="F37" s="261" t="s">
        <v>9314</v>
      </c>
      <c r="G37" s="813" t="s">
        <v>9315</v>
      </c>
      <c r="H37" s="261">
        <v>403</v>
      </c>
      <c r="I37" s="261">
        <v>133</v>
      </c>
      <c r="J37" s="261">
        <v>450</v>
      </c>
      <c r="K37" s="261">
        <v>200</v>
      </c>
      <c r="L37" s="261" t="s">
        <v>9317</v>
      </c>
      <c r="M37" s="261" t="s">
        <v>9318</v>
      </c>
      <c r="N37" s="261" t="s">
        <v>9319</v>
      </c>
      <c r="O37" s="261" t="s">
        <v>9316</v>
      </c>
      <c r="P37" s="261" t="s">
        <v>9320</v>
      </c>
      <c r="Q37" s="261" t="s">
        <v>9321</v>
      </c>
      <c r="R37" s="261" t="s">
        <v>9307</v>
      </c>
      <c r="S37" s="261" t="s">
        <v>9308</v>
      </c>
      <c r="T37" s="330" t="s">
        <v>9309</v>
      </c>
    </row>
    <row r="38" spans="1:20" x14ac:dyDescent="0.2">
      <c r="A38" s="306" t="s">
        <v>10040</v>
      </c>
      <c r="B38" s="812" t="s">
        <v>10041</v>
      </c>
      <c r="C38" s="261" t="s">
        <v>10042</v>
      </c>
      <c r="D38" s="261" t="s">
        <v>1103</v>
      </c>
      <c r="E38" s="261" t="s">
        <v>10043</v>
      </c>
      <c r="F38" s="261" t="s">
        <v>10044</v>
      </c>
      <c r="G38" s="813" t="s">
        <v>10045</v>
      </c>
      <c r="H38" s="261">
        <v>222</v>
      </c>
      <c r="I38" s="261">
        <v>75</v>
      </c>
      <c r="J38" s="261">
        <v>450</v>
      </c>
      <c r="K38" s="261">
        <v>200</v>
      </c>
      <c r="L38" s="261" t="s">
        <v>10047</v>
      </c>
      <c r="M38" s="261" t="s">
        <v>10048</v>
      </c>
      <c r="N38" s="261" t="s">
        <v>10049</v>
      </c>
      <c r="O38" s="261" t="s">
        <v>10046</v>
      </c>
      <c r="P38" s="261" t="s">
        <v>10050</v>
      </c>
      <c r="Q38" s="261" t="s">
        <v>137</v>
      </c>
      <c r="R38" s="261" t="s">
        <v>23983</v>
      </c>
      <c r="S38" s="261" t="s">
        <v>9558</v>
      </c>
      <c r="T38" s="330" t="s">
        <v>10052</v>
      </c>
    </row>
    <row r="39" spans="1:20" x14ac:dyDescent="0.2">
      <c r="A39" s="306" t="s">
        <v>8901</v>
      </c>
      <c r="B39" s="812" t="s">
        <v>8902</v>
      </c>
      <c r="C39" s="261" t="s">
        <v>8903</v>
      </c>
      <c r="D39" s="261" t="s">
        <v>1103</v>
      </c>
      <c r="E39" s="261" t="s">
        <v>8904</v>
      </c>
      <c r="F39" s="261" t="s">
        <v>8905</v>
      </c>
      <c r="G39" s="813" t="s">
        <v>8906</v>
      </c>
      <c r="H39" s="261">
        <v>370</v>
      </c>
      <c r="I39" s="261">
        <v>125</v>
      </c>
      <c r="J39" s="261">
        <v>450</v>
      </c>
      <c r="K39" s="261">
        <v>200</v>
      </c>
      <c r="L39" s="261" t="s">
        <v>8908</v>
      </c>
      <c r="M39" s="261" t="s">
        <v>8909</v>
      </c>
      <c r="N39" s="261" t="s">
        <v>8910</v>
      </c>
      <c r="O39" s="261" t="s">
        <v>8907</v>
      </c>
      <c r="P39" s="261" t="s">
        <v>7315</v>
      </c>
      <c r="Q39" s="261" t="s">
        <v>137</v>
      </c>
      <c r="R39" s="261" t="s">
        <v>8898</v>
      </c>
      <c r="S39" s="261" t="s">
        <v>8899</v>
      </c>
      <c r="T39" s="330" t="s">
        <v>8900</v>
      </c>
    </row>
    <row r="40" spans="1:20" x14ac:dyDescent="0.2">
      <c r="A40" s="306" t="s">
        <v>9613</v>
      </c>
      <c r="B40" s="812" t="s">
        <v>9614</v>
      </c>
      <c r="C40" s="261" t="s">
        <v>9615</v>
      </c>
      <c r="D40" s="261" t="s">
        <v>1103</v>
      </c>
      <c r="E40" s="261" t="s">
        <v>9616</v>
      </c>
      <c r="F40" s="261" t="s">
        <v>9617</v>
      </c>
      <c r="G40" s="813" t="s">
        <v>9618</v>
      </c>
      <c r="H40" s="261">
        <v>390</v>
      </c>
      <c r="I40" s="261">
        <v>145</v>
      </c>
      <c r="J40" s="261">
        <v>450</v>
      </c>
      <c r="K40" s="261">
        <v>200</v>
      </c>
      <c r="L40" s="261" t="s">
        <v>9620</v>
      </c>
      <c r="M40" s="261" t="s">
        <v>9621</v>
      </c>
      <c r="N40" s="261" t="s">
        <v>9622</v>
      </c>
      <c r="O40" s="261" t="s">
        <v>9619</v>
      </c>
      <c r="P40" s="261" t="s">
        <v>9623</v>
      </c>
      <c r="Q40" s="261" t="s">
        <v>9609</v>
      </c>
      <c r="R40" s="261" t="s">
        <v>9610</v>
      </c>
      <c r="S40" s="261" t="s">
        <v>9611</v>
      </c>
      <c r="T40" s="330" t="s">
        <v>9612</v>
      </c>
    </row>
    <row r="41" spans="1:20" x14ac:dyDescent="0.2">
      <c r="A41" s="306" t="s">
        <v>9840</v>
      </c>
      <c r="B41" s="812" t="s">
        <v>9841</v>
      </c>
      <c r="C41" s="261" t="s">
        <v>9842</v>
      </c>
      <c r="D41" s="261" t="s">
        <v>1103</v>
      </c>
      <c r="E41" s="261" t="s">
        <v>9843</v>
      </c>
      <c r="F41" s="261" t="s">
        <v>9844</v>
      </c>
      <c r="G41" s="813" t="s">
        <v>9845</v>
      </c>
      <c r="H41" s="261">
        <v>390</v>
      </c>
      <c r="I41" s="261">
        <v>145</v>
      </c>
      <c r="J41" s="261">
        <v>450</v>
      </c>
      <c r="K41" s="261">
        <v>200</v>
      </c>
      <c r="L41" s="261" t="s">
        <v>9847</v>
      </c>
      <c r="M41" s="261" t="s">
        <v>9848</v>
      </c>
      <c r="N41" s="261" t="s">
        <v>9849</v>
      </c>
      <c r="O41" s="261" t="s">
        <v>9846</v>
      </c>
      <c r="P41" s="261" t="s">
        <v>9850</v>
      </c>
      <c r="Q41" s="261" t="s">
        <v>9026</v>
      </c>
      <c r="R41" s="261" t="s">
        <v>9012</v>
      </c>
      <c r="S41" s="261" t="s">
        <v>8899</v>
      </c>
      <c r="T41" s="330" t="s">
        <v>9839</v>
      </c>
    </row>
    <row r="42" spans="1:20" x14ac:dyDescent="0.2">
      <c r="A42" s="306" t="s">
        <v>9256</v>
      </c>
      <c r="B42" s="812" t="s">
        <v>9257</v>
      </c>
      <c r="C42" s="261" t="s">
        <v>9258</v>
      </c>
      <c r="D42" s="261" t="s">
        <v>1103</v>
      </c>
      <c r="E42" s="261" t="s">
        <v>9259</v>
      </c>
      <c r="F42" s="261" t="s">
        <v>9260</v>
      </c>
      <c r="G42" s="813" t="s">
        <v>9261</v>
      </c>
      <c r="H42" s="261">
        <v>377</v>
      </c>
      <c r="I42" s="261">
        <v>133</v>
      </c>
      <c r="J42" s="261">
        <v>450</v>
      </c>
      <c r="K42" s="261">
        <v>200</v>
      </c>
      <c r="L42" s="261" t="s">
        <v>9263</v>
      </c>
      <c r="M42" s="261" t="s">
        <v>9264</v>
      </c>
      <c r="N42" s="261" t="s">
        <v>9265</v>
      </c>
      <c r="O42" s="261" t="s">
        <v>9262</v>
      </c>
      <c r="P42" s="261" t="s">
        <v>9253</v>
      </c>
      <c r="Q42" s="261" t="s">
        <v>7277</v>
      </c>
      <c r="R42" s="261" t="s">
        <v>9253</v>
      </c>
      <c r="S42" s="261" t="s">
        <v>9254</v>
      </c>
      <c r="T42" s="330" t="s">
        <v>9255</v>
      </c>
    </row>
    <row r="43" spans="1:20" x14ac:dyDescent="0.2">
      <c r="A43" s="306" t="s">
        <v>9366</v>
      </c>
      <c r="B43" s="812" t="s">
        <v>9367</v>
      </c>
      <c r="C43" s="261" t="s">
        <v>9368</v>
      </c>
      <c r="D43" s="261" t="s">
        <v>1103</v>
      </c>
      <c r="E43" s="261" t="s">
        <v>9369</v>
      </c>
      <c r="F43" s="261" t="s">
        <v>9370</v>
      </c>
      <c r="G43" s="813" t="s">
        <v>9371</v>
      </c>
      <c r="H43" s="261">
        <v>396</v>
      </c>
      <c r="I43" s="261">
        <v>139</v>
      </c>
      <c r="J43" s="261">
        <v>450</v>
      </c>
      <c r="K43" s="261">
        <v>200</v>
      </c>
      <c r="L43" s="261" t="s">
        <v>9373</v>
      </c>
      <c r="M43" s="261" t="s">
        <v>8697</v>
      </c>
      <c r="N43" s="261" t="s">
        <v>9374</v>
      </c>
      <c r="O43" s="261" t="s">
        <v>9372</v>
      </c>
      <c r="P43" s="261" t="s">
        <v>9253</v>
      </c>
      <c r="Q43" s="261" t="s">
        <v>9375</v>
      </c>
      <c r="R43" s="261" t="s">
        <v>9253</v>
      </c>
      <c r="S43" s="261" t="s">
        <v>8899</v>
      </c>
      <c r="T43" s="330" t="s">
        <v>9365</v>
      </c>
    </row>
    <row r="44" spans="1:20" x14ac:dyDescent="0.2">
      <c r="A44" s="306" t="s">
        <v>8689</v>
      </c>
      <c r="B44" s="812" t="s">
        <v>8690</v>
      </c>
      <c r="C44" s="261" t="s">
        <v>8691</v>
      </c>
      <c r="D44" s="261" t="s">
        <v>1103</v>
      </c>
      <c r="E44" s="261" t="s">
        <v>8692</v>
      </c>
      <c r="F44" s="261" t="s">
        <v>8693</v>
      </c>
      <c r="G44" s="813" t="s">
        <v>8694</v>
      </c>
      <c r="H44" s="261">
        <v>296</v>
      </c>
      <c r="I44" s="261">
        <v>100</v>
      </c>
      <c r="J44" s="261">
        <v>450</v>
      </c>
      <c r="K44" s="261">
        <v>200</v>
      </c>
      <c r="L44" s="261" t="s">
        <v>8696</v>
      </c>
      <c r="M44" s="261" t="s">
        <v>8697</v>
      </c>
      <c r="N44" s="261" t="s">
        <v>8698</v>
      </c>
      <c r="O44" s="261" t="s">
        <v>8695</v>
      </c>
      <c r="P44" s="261" t="s">
        <v>8699</v>
      </c>
      <c r="Q44" s="261" t="s">
        <v>137</v>
      </c>
      <c r="R44" s="261" t="s">
        <v>8673</v>
      </c>
      <c r="S44" s="261" t="s">
        <v>8700</v>
      </c>
      <c r="T44" s="330" t="s">
        <v>8675</v>
      </c>
    </row>
    <row r="45" spans="1:20" x14ac:dyDescent="0.2">
      <c r="A45" s="306" t="s">
        <v>10083</v>
      </c>
      <c r="B45" s="812" t="s">
        <v>10084</v>
      </c>
      <c r="C45" s="261" t="s">
        <v>10085</v>
      </c>
      <c r="D45" s="261" t="s">
        <v>1103</v>
      </c>
      <c r="E45" s="261" t="s">
        <v>10086</v>
      </c>
      <c r="F45" s="261" t="s">
        <v>10087</v>
      </c>
      <c r="G45" s="813" t="s">
        <v>10088</v>
      </c>
      <c r="H45" s="261">
        <v>301</v>
      </c>
      <c r="I45" s="261">
        <v>95</v>
      </c>
      <c r="J45" s="261">
        <v>450</v>
      </c>
      <c r="K45" s="261">
        <v>200</v>
      </c>
      <c r="L45" s="261" t="s">
        <v>10090</v>
      </c>
      <c r="M45" s="261" t="s">
        <v>10091</v>
      </c>
      <c r="N45" s="261" t="s">
        <v>10092</v>
      </c>
      <c r="O45" s="261" t="s">
        <v>10089</v>
      </c>
      <c r="P45" s="261" t="s">
        <v>9623</v>
      </c>
      <c r="Q45" s="261" t="s">
        <v>137</v>
      </c>
      <c r="R45" s="261" t="s">
        <v>10093</v>
      </c>
      <c r="S45" s="261" t="s">
        <v>9723</v>
      </c>
      <c r="T45" s="330" t="s">
        <v>10094</v>
      </c>
    </row>
    <row r="46" spans="1:20" x14ac:dyDescent="0.2">
      <c r="A46" s="306" t="s">
        <v>9199</v>
      </c>
      <c r="B46" s="812" t="s">
        <v>9200</v>
      </c>
      <c r="C46" s="261" t="s">
        <v>9201</v>
      </c>
      <c r="D46" s="261" t="s">
        <v>1103</v>
      </c>
      <c r="E46" s="261" t="s">
        <v>9202</v>
      </c>
      <c r="F46" s="261" t="s">
        <v>9203</v>
      </c>
      <c r="G46" s="813" t="s">
        <v>9204</v>
      </c>
      <c r="H46" s="261">
        <v>211</v>
      </c>
      <c r="I46" s="261">
        <v>62</v>
      </c>
      <c r="J46" s="261">
        <v>450</v>
      </c>
      <c r="K46" s="261">
        <v>200</v>
      </c>
      <c r="L46" s="261" t="s">
        <v>9206</v>
      </c>
      <c r="M46" s="261" t="s">
        <v>9207</v>
      </c>
      <c r="N46" s="261" t="s">
        <v>9208</v>
      </c>
      <c r="O46" s="261" t="s">
        <v>9205</v>
      </c>
      <c r="P46" s="261" t="s">
        <v>9209</v>
      </c>
      <c r="Q46" s="261" t="s">
        <v>137</v>
      </c>
      <c r="R46" s="261" t="s">
        <v>9197</v>
      </c>
      <c r="S46" s="261" t="s">
        <v>650</v>
      </c>
      <c r="T46" s="330" t="s">
        <v>9198</v>
      </c>
    </row>
    <row r="47" spans="1:20" x14ac:dyDescent="0.2">
      <c r="A47" s="306" t="s">
        <v>9935</v>
      </c>
      <c r="B47" s="812" t="s">
        <v>9936</v>
      </c>
      <c r="C47" s="261" t="s">
        <v>9937</v>
      </c>
      <c r="D47" s="261" t="s">
        <v>1103</v>
      </c>
      <c r="E47" s="261" t="s">
        <v>137</v>
      </c>
      <c r="F47" s="261" t="s">
        <v>9938</v>
      </c>
      <c r="G47" s="813" t="s">
        <v>9939</v>
      </c>
      <c r="H47" s="261">
        <v>187</v>
      </c>
      <c r="I47" s="261">
        <v>60</v>
      </c>
      <c r="J47" s="261">
        <v>450</v>
      </c>
      <c r="K47" s="261">
        <v>200</v>
      </c>
      <c r="L47" s="261" t="s">
        <v>9940</v>
      </c>
      <c r="M47" s="261" t="s">
        <v>9931</v>
      </c>
      <c r="N47" s="261" t="s">
        <v>9932</v>
      </c>
      <c r="O47" s="261" t="s">
        <v>9889</v>
      </c>
      <c r="P47" s="261" t="s">
        <v>9941</v>
      </c>
      <c r="Q47" s="261" t="s">
        <v>137</v>
      </c>
      <c r="R47" s="261" t="s">
        <v>9610</v>
      </c>
      <c r="S47" s="261" t="s">
        <v>137</v>
      </c>
      <c r="T47" s="330" t="s">
        <v>9934</v>
      </c>
    </row>
    <row r="48" spans="1:20" x14ac:dyDescent="0.2">
      <c r="A48" s="306" t="s">
        <v>9896</v>
      </c>
      <c r="B48" s="812" t="s">
        <v>9897</v>
      </c>
      <c r="C48" s="261" t="s">
        <v>9898</v>
      </c>
      <c r="D48" s="261" t="s">
        <v>1103</v>
      </c>
      <c r="E48" s="261" t="s">
        <v>137</v>
      </c>
      <c r="F48" s="261" t="s">
        <v>9899</v>
      </c>
      <c r="G48" s="813" t="s">
        <v>9900</v>
      </c>
      <c r="H48" s="261">
        <v>191</v>
      </c>
      <c r="I48" s="261">
        <v>57</v>
      </c>
      <c r="J48" s="261">
        <v>450</v>
      </c>
      <c r="K48" s="261">
        <v>200</v>
      </c>
      <c r="L48" s="261" t="s">
        <v>9901</v>
      </c>
      <c r="M48" s="261" t="s">
        <v>9891</v>
      </c>
      <c r="N48" s="261" t="s">
        <v>9090</v>
      </c>
      <c r="O48" s="261" t="s">
        <v>9889</v>
      </c>
      <c r="P48" s="261" t="s">
        <v>9902</v>
      </c>
      <c r="Q48" s="261" t="s">
        <v>137</v>
      </c>
      <c r="R48" s="261" t="s">
        <v>9894</v>
      </c>
      <c r="S48" s="261" t="s">
        <v>137</v>
      </c>
      <c r="T48" s="330" t="s">
        <v>9895</v>
      </c>
    </row>
    <row r="49" spans="1:20" x14ac:dyDescent="0.2">
      <c r="A49" s="306" t="s">
        <v>9974</v>
      </c>
      <c r="B49" s="812" t="s">
        <v>9975</v>
      </c>
      <c r="C49" s="261" t="s">
        <v>9976</v>
      </c>
      <c r="D49" s="261" t="s">
        <v>1103</v>
      </c>
      <c r="E49" s="261" t="s">
        <v>137</v>
      </c>
      <c r="F49" s="261" t="s">
        <v>9977</v>
      </c>
      <c r="G49" s="813" t="s">
        <v>9978</v>
      </c>
      <c r="H49" s="261">
        <v>185</v>
      </c>
      <c r="I49" s="261">
        <v>63</v>
      </c>
      <c r="J49" s="261">
        <v>450</v>
      </c>
      <c r="K49" s="261">
        <v>200</v>
      </c>
      <c r="L49" s="261" t="s">
        <v>9979</v>
      </c>
      <c r="M49" s="261" t="s">
        <v>9969</v>
      </c>
      <c r="N49" s="261" t="s">
        <v>9970</v>
      </c>
      <c r="O49" s="261" t="s">
        <v>9889</v>
      </c>
      <c r="P49" s="261" t="s">
        <v>9980</v>
      </c>
      <c r="Q49" s="261" t="s">
        <v>137</v>
      </c>
      <c r="R49" s="261" t="s">
        <v>9972</v>
      </c>
      <c r="S49" s="261" t="s">
        <v>137</v>
      </c>
      <c r="T49" s="330" t="s">
        <v>9973</v>
      </c>
    </row>
    <row r="50" spans="1:20" x14ac:dyDescent="0.2">
      <c r="A50" s="306" t="s">
        <v>8849</v>
      </c>
      <c r="B50" s="812" t="s">
        <v>8850</v>
      </c>
      <c r="C50" s="261" t="s">
        <v>8851</v>
      </c>
      <c r="D50" s="261" t="s">
        <v>1947</v>
      </c>
      <c r="E50" s="261" t="s">
        <v>8852</v>
      </c>
      <c r="F50" s="261" t="s">
        <v>8853</v>
      </c>
      <c r="G50" s="813" t="s">
        <v>8854</v>
      </c>
      <c r="H50" s="261">
        <v>369</v>
      </c>
      <c r="I50" s="261">
        <v>126</v>
      </c>
      <c r="J50" s="261">
        <v>450</v>
      </c>
      <c r="K50" s="261">
        <v>200</v>
      </c>
      <c r="L50" s="261" t="s">
        <v>8856</v>
      </c>
      <c r="M50" s="261" t="s">
        <v>8857</v>
      </c>
      <c r="N50" s="261" t="s">
        <v>8857</v>
      </c>
      <c r="O50" s="261" t="s">
        <v>8855</v>
      </c>
      <c r="P50" s="261" t="s">
        <v>8858</v>
      </c>
      <c r="Q50" s="261" t="s">
        <v>8859</v>
      </c>
      <c r="R50" s="261" t="s">
        <v>8833</v>
      </c>
      <c r="S50" s="261" t="s">
        <v>8860</v>
      </c>
      <c r="T50" s="330" t="s">
        <v>8835</v>
      </c>
    </row>
    <row r="51" spans="1:20" x14ac:dyDescent="0.2">
      <c r="A51" s="306" t="s">
        <v>9027</v>
      </c>
      <c r="B51" s="812" t="s">
        <v>9028</v>
      </c>
      <c r="C51" s="261" t="s">
        <v>9029</v>
      </c>
      <c r="D51" s="261" t="s">
        <v>1947</v>
      </c>
      <c r="E51" s="261" t="s">
        <v>9030</v>
      </c>
      <c r="F51" s="261" t="s">
        <v>9031</v>
      </c>
      <c r="G51" s="813" t="s">
        <v>9032</v>
      </c>
      <c r="H51" s="261">
        <v>369</v>
      </c>
      <c r="I51" s="261">
        <v>126</v>
      </c>
      <c r="J51" s="261">
        <v>450</v>
      </c>
      <c r="K51" s="261">
        <v>200</v>
      </c>
      <c r="L51" s="261" t="s">
        <v>9034</v>
      </c>
      <c r="M51" s="261" t="s">
        <v>9035</v>
      </c>
      <c r="N51" s="261" t="s">
        <v>9036</v>
      </c>
      <c r="O51" s="261" t="s">
        <v>9033</v>
      </c>
      <c r="P51" s="261" t="s">
        <v>9037</v>
      </c>
      <c r="Q51" s="261" t="s">
        <v>9038</v>
      </c>
      <c r="R51" s="261" t="s">
        <v>9012</v>
      </c>
      <c r="S51" s="261" t="s">
        <v>9013</v>
      </c>
      <c r="T51" s="330" t="s">
        <v>9014</v>
      </c>
    </row>
    <row r="52" spans="1:20" x14ac:dyDescent="0.2">
      <c r="A52" s="306" t="s">
        <v>8787</v>
      </c>
      <c r="B52" s="812" t="s">
        <v>8788</v>
      </c>
      <c r="C52" s="261" t="s">
        <v>8789</v>
      </c>
      <c r="D52" s="261" t="s">
        <v>1947</v>
      </c>
      <c r="E52" s="261" t="s">
        <v>8790</v>
      </c>
      <c r="F52" s="261" t="s">
        <v>8791</v>
      </c>
      <c r="G52" s="813" t="s">
        <v>8792</v>
      </c>
      <c r="H52" s="261">
        <v>369</v>
      </c>
      <c r="I52" s="261">
        <v>126</v>
      </c>
      <c r="J52" s="261">
        <v>450</v>
      </c>
      <c r="K52" s="261">
        <v>200</v>
      </c>
      <c r="L52" s="261" t="s">
        <v>8794</v>
      </c>
      <c r="M52" s="261" t="s">
        <v>8795</v>
      </c>
      <c r="N52" s="261" t="s">
        <v>8796</v>
      </c>
      <c r="O52" s="261" t="s">
        <v>8793</v>
      </c>
      <c r="P52" s="261" t="s">
        <v>8797</v>
      </c>
      <c r="Q52" s="261" t="s">
        <v>8798</v>
      </c>
      <c r="R52" s="261" t="s">
        <v>8799</v>
      </c>
      <c r="S52" s="261" t="s">
        <v>8800</v>
      </c>
      <c r="T52" s="330" t="s">
        <v>8786</v>
      </c>
    </row>
    <row r="53" spans="1:20" x14ac:dyDescent="0.2">
      <c r="A53" s="306" t="s">
        <v>10132</v>
      </c>
      <c r="B53" s="812" t="s">
        <v>10133</v>
      </c>
      <c r="C53" s="261" t="s">
        <v>10134</v>
      </c>
      <c r="D53" s="261" t="s">
        <v>1947</v>
      </c>
      <c r="E53" s="261" t="s">
        <v>10135</v>
      </c>
      <c r="F53" s="261" t="s">
        <v>10136</v>
      </c>
      <c r="G53" s="813" t="s">
        <v>10137</v>
      </c>
      <c r="H53" s="261">
        <v>369</v>
      </c>
      <c r="I53" s="261">
        <v>126</v>
      </c>
      <c r="J53" s="261">
        <v>450</v>
      </c>
      <c r="K53" s="261">
        <v>200</v>
      </c>
      <c r="L53" s="261" t="s">
        <v>10139</v>
      </c>
      <c r="M53" s="261" t="s">
        <v>10140</v>
      </c>
      <c r="N53" s="261" t="s">
        <v>10141</v>
      </c>
      <c r="O53" s="261" t="s">
        <v>10138</v>
      </c>
      <c r="P53" s="261" t="s">
        <v>9037</v>
      </c>
      <c r="Q53" s="261" t="s">
        <v>10142</v>
      </c>
      <c r="R53" s="261" t="s">
        <v>10129</v>
      </c>
      <c r="S53" s="261" t="s">
        <v>10130</v>
      </c>
      <c r="T53" s="330" t="s">
        <v>10131</v>
      </c>
    </row>
    <row r="54" spans="1:20" x14ac:dyDescent="0.2">
      <c r="A54" s="306" t="s">
        <v>9560</v>
      </c>
      <c r="B54" s="812" t="s">
        <v>9561</v>
      </c>
      <c r="C54" s="261" t="s">
        <v>9562</v>
      </c>
      <c r="D54" s="261" t="s">
        <v>1947</v>
      </c>
      <c r="E54" s="261" t="s">
        <v>9563</v>
      </c>
      <c r="F54" s="261" t="s">
        <v>9564</v>
      </c>
      <c r="G54" s="813" t="s">
        <v>9565</v>
      </c>
      <c r="H54" s="261">
        <v>369</v>
      </c>
      <c r="I54" s="261">
        <v>126</v>
      </c>
      <c r="J54" s="261">
        <v>450</v>
      </c>
      <c r="K54" s="261">
        <v>200</v>
      </c>
      <c r="L54" s="261" t="s">
        <v>9567</v>
      </c>
      <c r="M54" s="261" t="s">
        <v>9568</v>
      </c>
      <c r="N54" s="261" t="s">
        <v>9569</v>
      </c>
      <c r="O54" s="261" t="s">
        <v>9566</v>
      </c>
      <c r="P54" s="261" t="s">
        <v>9570</v>
      </c>
      <c r="Q54" s="261" t="s">
        <v>9571</v>
      </c>
      <c r="R54" s="261" t="s">
        <v>9557</v>
      </c>
      <c r="S54" s="261" t="s">
        <v>9558</v>
      </c>
      <c r="T54" s="330" t="s">
        <v>9559</v>
      </c>
    </row>
    <row r="55" spans="1:20" x14ac:dyDescent="0.2">
      <c r="A55" s="306" t="s">
        <v>9151</v>
      </c>
      <c r="B55" s="812" t="s">
        <v>9152</v>
      </c>
      <c r="C55" s="261" t="s">
        <v>9153</v>
      </c>
      <c r="D55" s="261" t="s">
        <v>1947</v>
      </c>
      <c r="E55" s="261" t="s">
        <v>9154</v>
      </c>
      <c r="F55" s="261" t="s">
        <v>9155</v>
      </c>
      <c r="G55" s="813" t="s">
        <v>9156</v>
      </c>
      <c r="H55" s="261">
        <v>369</v>
      </c>
      <c r="I55" s="261">
        <v>126</v>
      </c>
      <c r="J55" s="261">
        <v>450</v>
      </c>
      <c r="K55" s="261">
        <v>200</v>
      </c>
      <c r="L55" s="261" t="s">
        <v>9158</v>
      </c>
      <c r="M55" s="261" t="s">
        <v>9159</v>
      </c>
      <c r="N55" s="261" t="s">
        <v>9160</v>
      </c>
      <c r="O55" s="261" t="s">
        <v>9157</v>
      </c>
      <c r="P55" s="261" t="s">
        <v>9037</v>
      </c>
      <c r="Q55" s="261" t="s">
        <v>9161</v>
      </c>
      <c r="R55" s="261" t="s">
        <v>9012</v>
      </c>
      <c r="S55" s="261" t="s">
        <v>9137</v>
      </c>
      <c r="T55" s="330" t="s">
        <v>9138</v>
      </c>
    </row>
    <row r="56" spans="1:20" x14ac:dyDescent="0.2">
      <c r="A56" s="306" t="s">
        <v>9462</v>
      </c>
      <c r="B56" s="812" t="s">
        <v>10169</v>
      </c>
      <c r="C56" s="261" t="s">
        <v>10170</v>
      </c>
      <c r="D56" s="261" t="s">
        <v>1947</v>
      </c>
      <c r="E56" s="261" t="s">
        <v>10171</v>
      </c>
      <c r="F56" s="261" t="s">
        <v>10172</v>
      </c>
      <c r="G56" s="813" t="s">
        <v>10173</v>
      </c>
      <c r="H56" s="261">
        <v>369</v>
      </c>
      <c r="I56" s="261">
        <v>126</v>
      </c>
      <c r="J56" s="261">
        <v>450</v>
      </c>
      <c r="K56" s="261">
        <v>200</v>
      </c>
      <c r="L56" s="261" t="s">
        <v>10175</v>
      </c>
      <c r="M56" s="261" t="s">
        <v>10176</v>
      </c>
      <c r="N56" s="261" t="s">
        <v>10177</v>
      </c>
      <c r="O56" s="261" t="s">
        <v>10174</v>
      </c>
      <c r="P56" s="261" t="s">
        <v>10178</v>
      </c>
      <c r="Q56" s="261" t="s">
        <v>10179</v>
      </c>
      <c r="R56" s="261" t="s">
        <v>9253</v>
      </c>
      <c r="S56" s="261" t="s">
        <v>10010</v>
      </c>
      <c r="T56" s="330" t="s">
        <v>10168</v>
      </c>
    </row>
    <row r="57" spans="1:20" x14ac:dyDescent="0.2">
      <c r="A57" s="306" t="s">
        <v>9794</v>
      </c>
      <c r="B57" s="812" t="s">
        <v>9795</v>
      </c>
      <c r="C57" s="261" t="s">
        <v>9796</v>
      </c>
      <c r="D57" s="261" t="s">
        <v>1947</v>
      </c>
      <c r="E57" s="261" t="s">
        <v>9797</v>
      </c>
      <c r="F57" s="261" t="s">
        <v>9798</v>
      </c>
      <c r="G57" s="813" t="s">
        <v>9799</v>
      </c>
      <c r="H57" s="261">
        <v>369</v>
      </c>
      <c r="I57" s="261">
        <v>126</v>
      </c>
      <c r="J57" s="261">
        <v>450</v>
      </c>
      <c r="K57" s="261">
        <v>200</v>
      </c>
      <c r="L57" s="261" t="s">
        <v>9801</v>
      </c>
      <c r="M57" s="261" t="s">
        <v>9802</v>
      </c>
      <c r="N57" s="261" t="s">
        <v>9803</v>
      </c>
      <c r="O57" s="261" t="s">
        <v>9800</v>
      </c>
      <c r="P57" s="261" t="s">
        <v>9804</v>
      </c>
      <c r="Q57" s="261" t="s">
        <v>137</v>
      </c>
      <c r="R57" s="261" t="s">
        <v>9012</v>
      </c>
      <c r="S57" s="261" t="s">
        <v>9781</v>
      </c>
      <c r="T57" s="330" t="s">
        <v>9782</v>
      </c>
    </row>
    <row r="58" spans="1:20" x14ac:dyDescent="0.2">
      <c r="A58" s="306" t="s">
        <v>9736</v>
      </c>
      <c r="B58" s="812" t="s">
        <v>9737</v>
      </c>
      <c r="C58" s="261" t="s">
        <v>9738</v>
      </c>
      <c r="D58" s="261" t="s">
        <v>1947</v>
      </c>
      <c r="E58" s="261" t="s">
        <v>9739</v>
      </c>
      <c r="F58" s="261" t="s">
        <v>9740</v>
      </c>
      <c r="G58" s="813" t="s">
        <v>9741</v>
      </c>
      <c r="H58" s="261">
        <v>369</v>
      </c>
      <c r="I58" s="261">
        <v>126</v>
      </c>
      <c r="J58" s="261">
        <v>450</v>
      </c>
      <c r="K58" s="261">
        <v>200</v>
      </c>
      <c r="L58" s="261" t="s">
        <v>9743</v>
      </c>
      <c r="M58" s="261" t="s">
        <v>9744</v>
      </c>
      <c r="N58" s="261" t="s">
        <v>9745</v>
      </c>
      <c r="O58" s="261" t="s">
        <v>9742</v>
      </c>
      <c r="P58" s="261" t="s">
        <v>9746</v>
      </c>
      <c r="Q58" s="261" t="s">
        <v>9747</v>
      </c>
      <c r="R58" s="261" t="s">
        <v>9722</v>
      </c>
      <c r="S58" s="261" t="s">
        <v>9723</v>
      </c>
      <c r="T58" s="330" t="s">
        <v>9724</v>
      </c>
    </row>
    <row r="59" spans="1:20" x14ac:dyDescent="0.2">
      <c r="A59" s="306" t="s">
        <v>10095</v>
      </c>
      <c r="B59" s="812" t="s">
        <v>10096</v>
      </c>
      <c r="C59" s="261" t="s">
        <v>10097</v>
      </c>
      <c r="D59" s="261" t="s">
        <v>1947</v>
      </c>
      <c r="E59" s="261" t="s">
        <v>10098</v>
      </c>
      <c r="F59" s="261" t="s">
        <v>10099</v>
      </c>
      <c r="G59" s="813" t="s">
        <v>10100</v>
      </c>
      <c r="H59" s="261">
        <v>389</v>
      </c>
      <c r="I59" s="261">
        <v>146</v>
      </c>
      <c r="J59" s="261">
        <v>450</v>
      </c>
      <c r="K59" s="261">
        <v>200</v>
      </c>
      <c r="L59" s="261" t="s">
        <v>10102</v>
      </c>
      <c r="M59" s="261" t="s">
        <v>10103</v>
      </c>
      <c r="N59" s="261" t="s">
        <v>10104</v>
      </c>
      <c r="O59" s="261" t="s">
        <v>10101</v>
      </c>
      <c r="P59" s="261" t="s">
        <v>8686</v>
      </c>
      <c r="Q59" s="261" t="s">
        <v>10105</v>
      </c>
      <c r="R59" s="261" t="s">
        <v>10093</v>
      </c>
      <c r="S59" s="261" t="s">
        <v>9723</v>
      </c>
      <c r="T59" s="330" t="s">
        <v>10094</v>
      </c>
    </row>
    <row r="60" spans="1:20" x14ac:dyDescent="0.2">
      <c r="A60" s="306" t="s">
        <v>9513</v>
      </c>
      <c r="B60" s="812" t="s">
        <v>9514</v>
      </c>
      <c r="C60" s="261" t="s">
        <v>9515</v>
      </c>
      <c r="D60" s="261" t="s">
        <v>1947</v>
      </c>
      <c r="E60" s="261" t="s">
        <v>9516</v>
      </c>
      <c r="F60" s="261" t="s">
        <v>9517</v>
      </c>
      <c r="G60" s="813" t="s">
        <v>9518</v>
      </c>
      <c r="H60" s="261">
        <v>389</v>
      </c>
      <c r="I60" s="261">
        <v>146</v>
      </c>
      <c r="J60" s="261">
        <v>450</v>
      </c>
      <c r="K60" s="261">
        <v>200</v>
      </c>
      <c r="L60" s="261" t="s">
        <v>9520</v>
      </c>
      <c r="M60" s="261" t="s">
        <v>9521</v>
      </c>
      <c r="N60" s="261" t="s">
        <v>9522</v>
      </c>
      <c r="O60" s="261" t="s">
        <v>9519</v>
      </c>
      <c r="P60" s="261" t="s">
        <v>9497</v>
      </c>
      <c r="Q60" s="261" t="s">
        <v>9523</v>
      </c>
      <c r="R60" s="261" t="s">
        <v>9499</v>
      </c>
      <c r="S60" s="261" t="s">
        <v>9500</v>
      </c>
      <c r="T60" s="330" t="s">
        <v>9501</v>
      </c>
    </row>
    <row r="61" spans="1:20" x14ac:dyDescent="0.2">
      <c r="A61" s="306" t="s">
        <v>9421</v>
      </c>
      <c r="B61" s="812" t="s">
        <v>9422</v>
      </c>
      <c r="C61" s="261" t="s">
        <v>9423</v>
      </c>
      <c r="D61" s="261" t="s">
        <v>1947</v>
      </c>
      <c r="E61" s="261" t="s">
        <v>9424</v>
      </c>
      <c r="F61" s="261" t="s">
        <v>9425</v>
      </c>
      <c r="G61" s="813" t="s">
        <v>9426</v>
      </c>
      <c r="H61" s="261">
        <v>225</v>
      </c>
      <c r="I61" s="261">
        <v>72</v>
      </c>
      <c r="J61" s="261">
        <v>450</v>
      </c>
      <c r="K61" s="261">
        <v>200</v>
      </c>
      <c r="L61" s="261" t="s">
        <v>9427</v>
      </c>
      <c r="M61" s="261" t="s">
        <v>9428</v>
      </c>
      <c r="N61" s="261" t="s">
        <v>9429</v>
      </c>
      <c r="O61" s="261" t="s">
        <v>9407</v>
      </c>
      <c r="P61" s="261" t="s">
        <v>7601</v>
      </c>
      <c r="Q61" s="261" t="s">
        <v>137</v>
      </c>
      <c r="R61" s="261" t="s">
        <v>7601</v>
      </c>
      <c r="S61" s="261" t="s">
        <v>137</v>
      </c>
      <c r="T61" s="330" t="s">
        <v>9411</v>
      </c>
    </row>
    <row r="62" spans="1:20" x14ac:dyDescent="0.2">
      <c r="A62" s="306" t="s">
        <v>9624</v>
      </c>
      <c r="B62" s="812" t="s">
        <v>9625</v>
      </c>
      <c r="C62" s="261" t="s">
        <v>9626</v>
      </c>
      <c r="D62" s="261" t="s">
        <v>1947</v>
      </c>
      <c r="E62" s="261" t="s">
        <v>9627</v>
      </c>
      <c r="F62" s="261" t="s">
        <v>9628</v>
      </c>
      <c r="G62" s="813" t="s">
        <v>9629</v>
      </c>
      <c r="H62" s="261">
        <v>389</v>
      </c>
      <c r="I62" s="261">
        <v>146</v>
      </c>
      <c r="J62" s="261">
        <v>450</v>
      </c>
      <c r="K62" s="261">
        <v>200</v>
      </c>
      <c r="L62" s="261" t="s">
        <v>9631</v>
      </c>
      <c r="M62" s="261" t="s">
        <v>9632</v>
      </c>
      <c r="N62" s="261" t="s">
        <v>9633</v>
      </c>
      <c r="O62" s="261" t="s">
        <v>9630</v>
      </c>
      <c r="P62" s="261" t="s">
        <v>9634</v>
      </c>
      <c r="Q62" s="261" t="s">
        <v>9609</v>
      </c>
      <c r="R62" s="261" t="s">
        <v>9610</v>
      </c>
      <c r="S62" s="261" t="s">
        <v>9611</v>
      </c>
      <c r="T62" s="330" t="s">
        <v>9612</v>
      </c>
    </row>
    <row r="63" spans="1:20" x14ac:dyDescent="0.2">
      <c r="A63" s="306" t="s">
        <v>9681</v>
      </c>
      <c r="B63" s="812" t="s">
        <v>9682</v>
      </c>
      <c r="C63" s="261" t="s">
        <v>9683</v>
      </c>
      <c r="D63" s="261" t="s">
        <v>1947</v>
      </c>
      <c r="E63" s="261" t="s">
        <v>9684</v>
      </c>
      <c r="F63" s="261" t="s">
        <v>9685</v>
      </c>
      <c r="G63" s="813" t="s">
        <v>9686</v>
      </c>
      <c r="H63" s="261">
        <v>395</v>
      </c>
      <c r="I63" s="261">
        <v>140</v>
      </c>
      <c r="J63" s="261">
        <v>450</v>
      </c>
      <c r="K63" s="261">
        <v>200</v>
      </c>
      <c r="L63" s="261" t="s">
        <v>9688</v>
      </c>
      <c r="M63" s="261" t="s">
        <v>9689</v>
      </c>
      <c r="N63" s="261" t="s">
        <v>9690</v>
      </c>
      <c r="O63" s="261" t="s">
        <v>9687</v>
      </c>
      <c r="P63" s="261" t="s">
        <v>9691</v>
      </c>
      <c r="Q63" s="261" t="s">
        <v>9692</v>
      </c>
      <c r="R63" s="261" t="s">
        <v>9667</v>
      </c>
      <c r="S63" s="261" t="s">
        <v>8899</v>
      </c>
      <c r="T63" s="330" t="s">
        <v>9668</v>
      </c>
    </row>
    <row r="64" spans="1:20" x14ac:dyDescent="0.2">
      <c r="A64" s="306" t="s">
        <v>8911</v>
      </c>
      <c r="B64" s="812" t="s">
        <v>8912</v>
      </c>
      <c r="C64" s="261" t="s">
        <v>8913</v>
      </c>
      <c r="D64" s="261" t="s">
        <v>1947</v>
      </c>
      <c r="E64" s="261" t="s">
        <v>8914</v>
      </c>
      <c r="F64" s="261" t="s">
        <v>8915</v>
      </c>
      <c r="G64" s="813" t="s">
        <v>8916</v>
      </c>
      <c r="H64" s="261">
        <v>225</v>
      </c>
      <c r="I64" s="261">
        <v>72</v>
      </c>
      <c r="J64" s="261">
        <v>450</v>
      </c>
      <c r="K64" s="261">
        <v>200</v>
      </c>
      <c r="L64" s="261" t="s">
        <v>8918</v>
      </c>
      <c r="M64" s="261" t="s">
        <v>8919</v>
      </c>
      <c r="N64" s="261" t="s">
        <v>8920</v>
      </c>
      <c r="O64" s="261" t="s">
        <v>8917</v>
      </c>
      <c r="P64" s="261" t="s">
        <v>8921</v>
      </c>
      <c r="Q64" s="261" t="s">
        <v>137</v>
      </c>
      <c r="R64" s="261" t="s">
        <v>8898</v>
      </c>
      <c r="S64" s="261" t="s">
        <v>8899</v>
      </c>
      <c r="T64" s="330" t="s">
        <v>8900</v>
      </c>
    </row>
    <row r="65" spans="1:20" x14ac:dyDescent="0.2">
      <c r="A65" s="306" t="s">
        <v>8701</v>
      </c>
      <c r="B65" s="812" t="s">
        <v>8702</v>
      </c>
      <c r="C65" s="261" t="s">
        <v>8703</v>
      </c>
      <c r="D65" s="261" t="s">
        <v>1947</v>
      </c>
      <c r="E65" s="261" t="s">
        <v>8704</v>
      </c>
      <c r="F65" s="261" t="s">
        <v>8705</v>
      </c>
      <c r="G65" s="813" t="s">
        <v>8706</v>
      </c>
      <c r="H65" s="261">
        <v>389</v>
      </c>
      <c r="I65" s="261">
        <v>146</v>
      </c>
      <c r="J65" s="261">
        <v>450</v>
      </c>
      <c r="K65" s="261">
        <v>200</v>
      </c>
      <c r="L65" s="261" t="s">
        <v>8708</v>
      </c>
      <c r="M65" s="261" t="s">
        <v>8709</v>
      </c>
      <c r="N65" s="261" t="s">
        <v>8710</v>
      </c>
      <c r="O65" s="261" t="s">
        <v>8707</v>
      </c>
      <c r="P65" s="261" t="s">
        <v>8686</v>
      </c>
      <c r="Q65" s="261" t="s">
        <v>8711</v>
      </c>
      <c r="R65" s="261" t="s">
        <v>8673</v>
      </c>
      <c r="S65" s="261" t="s">
        <v>8712</v>
      </c>
      <c r="T65" s="330" t="s">
        <v>8675</v>
      </c>
    </row>
    <row r="66" spans="1:20" x14ac:dyDescent="0.2">
      <c r="A66" s="306" t="s">
        <v>8969</v>
      </c>
      <c r="B66" s="812" t="s">
        <v>8970</v>
      </c>
      <c r="C66" s="261" t="s">
        <v>8971</v>
      </c>
      <c r="D66" s="261" t="s">
        <v>1947</v>
      </c>
      <c r="E66" s="261" t="s">
        <v>8972</v>
      </c>
      <c r="F66" s="261" t="s">
        <v>8973</v>
      </c>
      <c r="G66" s="813" t="s">
        <v>8974</v>
      </c>
      <c r="H66" s="261">
        <v>389</v>
      </c>
      <c r="I66" s="261">
        <v>146</v>
      </c>
      <c r="J66" s="261">
        <v>450</v>
      </c>
      <c r="K66" s="261">
        <v>200</v>
      </c>
      <c r="L66" s="261" t="s">
        <v>8976</v>
      </c>
      <c r="M66" s="261" t="s">
        <v>8977</v>
      </c>
      <c r="N66" s="261" t="s">
        <v>8978</v>
      </c>
      <c r="O66" s="261" t="s">
        <v>8975</v>
      </c>
      <c r="P66" s="261" t="s">
        <v>8954</v>
      </c>
      <c r="Q66" s="261" t="s">
        <v>8955</v>
      </c>
      <c r="R66" s="261" t="s">
        <v>8956</v>
      </c>
      <c r="S66" s="261" t="s">
        <v>8957</v>
      </c>
      <c r="T66" s="330" t="s">
        <v>8958</v>
      </c>
    </row>
    <row r="67" spans="1:20" x14ac:dyDescent="0.2">
      <c r="A67" s="306" t="s">
        <v>9322</v>
      </c>
      <c r="B67" s="812" t="s">
        <v>9323</v>
      </c>
      <c r="C67" s="261" t="s">
        <v>9324</v>
      </c>
      <c r="D67" s="261" t="s">
        <v>1947</v>
      </c>
      <c r="E67" s="261" t="s">
        <v>9325</v>
      </c>
      <c r="F67" s="261" t="s">
        <v>9326</v>
      </c>
      <c r="G67" s="813" t="s">
        <v>9327</v>
      </c>
      <c r="H67" s="261">
        <v>403</v>
      </c>
      <c r="I67" s="261">
        <v>134</v>
      </c>
      <c r="J67" s="261">
        <v>450</v>
      </c>
      <c r="K67" s="261">
        <v>200</v>
      </c>
      <c r="L67" s="261" t="s">
        <v>9329</v>
      </c>
      <c r="M67" s="261" t="s">
        <v>9330</v>
      </c>
      <c r="N67" s="261" t="s">
        <v>9331</v>
      </c>
      <c r="O67" s="261" t="s">
        <v>9328</v>
      </c>
      <c r="P67" s="261" t="s">
        <v>9332</v>
      </c>
      <c r="Q67" s="261" t="s">
        <v>9333</v>
      </c>
      <c r="R67" s="261" t="s">
        <v>9307</v>
      </c>
      <c r="S67" s="261" t="s">
        <v>9308</v>
      </c>
      <c r="T67" s="330" t="s">
        <v>9309</v>
      </c>
    </row>
    <row r="68" spans="1:20" x14ac:dyDescent="0.2">
      <c r="A68" s="306" t="s">
        <v>10053</v>
      </c>
      <c r="B68" s="812" t="s">
        <v>10054</v>
      </c>
      <c r="C68" s="261" t="s">
        <v>10055</v>
      </c>
      <c r="D68" s="261" t="s">
        <v>1947</v>
      </c>
      <c r="E68" s="261" t="s">
        <v>10056</v>
      </c>
      <c r="F68" s="261" t="s">
        <v>10057</v>
      </c>
      <c r="G68" s="813" t="s">
        <v>10058</v>
      </c>
      <c r="H68" s="261">
        <v>225</v>
      </c>
      <c r="I68" s="261">
        <v>72</v>
      </c>
      <c r="J68" s="261">
        <v>450</v>
      </c>
      <c r="K68" s="261">
        <v>200</v>
      </c>
      <c r="L68" s="261" t="s">
        <v>10060</v>
      </c>
      <c r="M68" s="261" t="s">
        <v>10061</v>
      </c>
      <c r="N68" s="261" t="s">
        <v>10062</v>
      </c>
      <c r="O68" s="261" t="s">
        <v>10059</v>
      </c>
      <c r="P68" s="261" t="s">
        <v>10063</v>
      </c>
      <c r="Q68" s="261" t="s">
        <v>137</v>
      </c>
      <c r="R68" s="261" t="s">
        <v>23983</v>
      </c>
      <c r="S68" s="261" t="s">
        <v>9558</v>
      </c>
      <c r="T68" s="330" t="s">
        <v>10052</v>
      </c>
    </row>
    <row r="69" spans="1:20" x14ac:dyDescent="0.2">
      <c r="A69" s="306" t="s">
        <v>9266</v>
      </c>
      <c r="B69" s="812" t="s">
        <v>9267</v>
      </c>
      <c r="C69" s="261" t="s">
        <v>9268</v>
      </c>
      <c r="D69" s="261" t="s">
        <v>1947</v>
      </c>
      <c r="E69" s="261" t="s">
        <v>9269</v>
      </c>
      <c r="F69" s="261" t="s">
        <v>9270</v>
      </c>
      <c r="G69" s="813" t="s">
        <v>9271</v>
      </c>
      <c r="H69" s="261">
        <v>376</v>
      </c>
      <c r="I69" s="261">
        <v>134</v>
      </c>
      <c r="J69" s="261">
        <v>450</v>
      </c>
      <c r="K69" s="261">
        <v>200</v>
      </c>
      <c r="L69" s="261" t="s">
        <v>9273</v>
      </c>
      <c r="M69" s="261" t="s">
        <v>9274</v>
      </c>
      <c r="N69" s="261" t="s">
        <v>9275</v>
      </c>
      <c r="O69" s="261" t="s">
        <v>9272</v>
      </c>
      <c r="P69" s="261" t="s">
        <v>9253</v>
      </c>
      <c r="Q69" s="261" t="s">
        <v>7277</v>
      </c>
      <c r="R69" s="261" t="s">
        <v>9253</v>
      </c>
      <c r="S69" s="261" t="s">
        <v>9254</v>
      </c>
      <c r="T69" s="330" t="s">
        <v>9255</v>
      </c>
    </row>
    <row r="70" spans="1:20" x14ac:dyDescent="0.2">
      <c r="A70" s="306" t="s">
        <v>9851</v>
      </c>
      <c r="B70" s="812" t="s">
        <v>9852</v>
      </c>
      <c r="C70" s="261" t="s">
        <v>9853</v>
      </c>
      <c r="D70" s="261" t="s">
        <v>1947</v>
      </c>
      <c r="E70" s="261" t="s">
        <v>9854</v>
      </c>
      <c r="F70" s="261" t="s">
        <v>9855</v>
      </c>
      <c r="G70" s="813" t="s">
        <v>9856</v>
      </c>
      <c r="H70" s="261">
        <v>389</v>
      </c>
      <c r="I70" s="261">
        <v>146</v>
      </c>
      <c r="J70" s="261">
        <v>450</v>
      </c>
      <c r="K70" s="261">
        <v>200</v>
      </c>
      <c r="L70" s="261" t="s">
        <v>9858</v>
      </c>
      <c r="M70" s="261" t="s">
        <v>9859</v>
      </c>
      <c r="N70" s="261" t="s">
        <v>9860</v>
      </c>
      <c r="O70" s="261" t="s">
        <v>9857</v>
      </c>
      <c r="P70" s="261" t="s">
        <v>9861</v>
      </c>
      <c r="Q70" s="261" t="s">
        <v>9026</v>
      </c>
      <c r="R70" s="261" t="s">
        <v>9012</v>
      </c>
      <c r="S70" s="261" t="s">
        <v>8899</v>
      </c>
      <c r="T70" s="330" t="s">
        <v>9839</v>
      </c>
    </row>
    <row r="71" spans="1:20" x14ac:dyDescent="0.2">
      <c r="A71" s="306" t="s">
        <v>8713</v>
      </c>
      <c r="B71" s="812" t="s">
        <v>8714</v>
      </c>
      <c r="C71" s="261" t="s">
        <v>8715</v>
      </c>
      <c r="D71" s="261" t="s">
        <v>1947</v>
      </c>
      <c r="E71" s="261" t="s">
        <v>8716</v>
      </c>
      <c r="F71" s="261" t="s">
        <v>8717</v>
      </c>
      <c r="G71" s="813" t="s">
        <v>8718</v>
      </c>
      <c r="H71" s="261">
        <v>306</v>
      </c>
      <c r="I71" s="261">
        <v>91</v>
      </c>
      <c r="J71" s="261">
        <v>450</v>
      </c>
      <c r="K71" s="261">
        <v>200</v>
      </c>
      <c r="L71" s="261" t="s">
        <v>8720</v>
      </c>
      <c r="M71" s="261" t="s">
        <v>8721</v>
      </c>
      <c r="N71" s="261" t="s">
        <v>8722</v>
      </c>
      <c r="O71" s="261" t="s">
        <v>8719</v>
      </c>
      <c r="P71" s="261" t="s">
        <v>8723</v>
      </c>
      <c r="Q71" s="261" t="s">
        <v>137</v>
      </c>
      <c r="R71" s="261" t="s">
        <v>8673</v>
      </c>
      <c r="S71" s="261" t="s">
        <v>8724</v>
      </c>
      <c r="T71" s="330" t="s">
        <v>8675</v>
      </c>
    </row>
    <row r="72" spans="1:20" x14ac:dyDescent="0.2">
      <c r="A72" s="306" t="s">
        <v>9376</v>
      </c>
      <c r="B72" s="812" t="s">
        <v>9377</v>
      </c>
      <c r="C72" s="261" t="s">
        <v>9378</v>
      </c>
      <c r="D72" s="261" t="s">
        <v>1947</v>
      </c>
      <c r="E72" s="261" t="s">
        <v>9379</v>
      </c>
      <c r="F72" s="261" t="s">
        <v>9380</v>
      </c>
      <c r="G72" s="813" t="s">
        <v>9381</v>
      </c>
      <c r="H72" s="261">
        <v>296</v>
      </c>
      <c r="I72" s="261">
        <v>101</v>
      </c>
      <c r="J72" s="261">
        <v>450</v>
      </c>
      <c r="K72" s="261">
        <v>200</v>
      </c>
      <c r="L72" s="261" t="s">
        <v>9383</v>
      </c>
      <c r="M72" s="261" t="s">
        <v>8697</v>
      </c>
      <c r="N72" s="261" t="s">
        <v>8698</v>
      </c>
      <c r="O72" s="261" t="s">
        <v>9382</v>
      </c>
      <c r="P72" s="261" t="s">
        <v>9384</v>
      </c>
      <c r="Q72" s="261" t="s">
        <v>137</v>
      </c>
      <c r="R72" s="261" t="s">
        <v>9253</v>
      </c>
      <c r="S72" s="261" t="s">
        <v>8899</v>
      </c>
      <c r="T72" s="330" t="s">
        <v>9365</v>
      </c>
    </row>
    <row r="73" spans="1:20" x14ac:dyDescent="0.2">
      <c r="A73" s="306" t="s">
        <v>9210</v>
      </c>
      <c r="B73" s="812" t="s">
        <v>9211</v>
      </c>
      <c r="C73" s="261" t="s">
        <v>9212</v>
      </c>
      <c r="D73" s="261" t="s">
        <v>1947</v>
      </c>
      <c r="E73" s="261" t="s">
        <v>9213</v>
      </c>
      <c r="F73" s="261" t="s">
        <v>9214</v>
      </c>
      <c r="G73" s="813" t="s">
        <v>9215</v>
      </c>
      <c r="H73" s="261">
        <v>206</v>
      </c>
      <c r="I73" s="261">
        <v>66</v>
      </c>
      <c r="J73" s="261">
        <v>450</v>
      </c>
      <c r="K73" s="261">
        <v>200</v>
      </c>
      <c r="L73" s="261" t="s">
        <v>9217</v>
      </c>
      <c r="M73" s="261" t="s">
        <v>9218</v>
      </c>
      <c r="N73" s="261" t="s">
        <v>9219</v>
      </c>
      <c r="O73" s="261" t="s">
        <v>9216</v>
      </c>
      <c r="P73" s="261" t="s">
        <v>9220</v>
      </c>
      <c r="Q73" s="261" t="s">
        <v>137</v>
      </c>
      <c r="R73" s="261" t="s">
        <v>9197</v>
      </c>
      <c r="S73" s="261" t="s">
        <v>650</v>
      </c>
      <c r="T73" s="330" t="s">
        <v>9198</v>
      </c>
    </row>
    <row r="74" spans="1:20" x14ac:dyDescent="0.2">
      <c r="A74" s="306" t="s">
        <v>9942</v>
      </c>
      <c r="B74" s="812" t="s">
        <v>9943</v>
      </c>
      <c r="C74" s="261" t="s">
        <v>9944</v>
      </c>
      <c r="D74" s="261" t="s">
        <v>1947</v>
      </c>
      <c r="E74" s="261" t="s">
        <v>137</v>
      </c>
      <c r="F74" s="261" t="s">
        <v>9945</v>
      </c>
      <c r="G74" s="813" t="s">
        <v>9946</v>
      </c>
      <c r="H74" s="261">
        <v>187</v>
      </c>
      <c r="I74" s="261">
        <v>60</v>
      </c>
      <c r="J74" s="261">
        <v>450</v>
      </c>
      <c r="K74" s="261">
        <v>200</v>
      </c>
      <c r="L74" s="261" t="s">
        <v>9947</v>
      </c>
      <c r="M74" s="261" t="s">
        <v>9931</v>
      </c>
      <c r="N74" s="261" t="s">
        <v>9932</v>
      </c>
      <c r="O74" s="261" t="s">
        <v>9889</v>
      </c>
      <c r="P74" s="261" t="s">
        <v>9948</v>
      </c>
      <c r="Q74" s="261" t="s">
        <v>137</v>
      </c>
      <c r="R74" s="261" t="s">
        <v>9610</v>
      </c>
      <c r="S74" s="261" t="s">
        <v>137</v>
      </c>
      <c r="T74" s="330" t="s">
        <v>9934</v>
      </c>
    </row>
    <row r="75" spans="1:20" x14ac:dyDescent="0.2">
      <c r="A75" s="306" t="s">
        <v>9903</v>
      </c>
      <c r="B75" s="812" t="s">
        <v>9904</v>
      </c>
      <c r="C75" s="261" t="s">
        <v>9905</v>
      </c>
      <c r="D75" s="261" t="s">
        <v>1947</v>
      </c>
      <c r="E75" s="261" t="s">
        <v>137</v>
      </c>
      <c r="F75" s="261" t="s">
        <v>9906</v>
      </c>
      <c r="G75" s="813" t="s">
        <v>9907</v>
      </c>
      <c r="H75" s="261">
        <v>191</v>
      </c>
      <c r="I75" s="261">
        <v>57</v>
      </c>
      <c r="J75" s="261">
        <v>450</v>
      </c>
      <c r="K75" s="261">
        <v>200</v>
      </c>
      <c r="L75" s="261" t="s">
        <v>9908</v>
      </c>
      <c r="M75" s="261" t="s">
        <v>9891</v>
      </c>
      <c r="N75" s="261" t="s">
        <v>9909</v>
      </c>
      <c r="O75" s="261" t="s">
        <v>9889</v>
      </c>
      <c r="P75" s="261" t="s">
        <v>9910</v>
      </c>
      <c r="Q75" s="261" t="s">
        <v>137</v>
      </c>
      <c r="R75" s="261" t="s">
        <v>9894</v>
      </c>
      <c r="S75" s="261" t="s">
        <v>137</v>
      </c>
      <c r="T75" s="330" t="s">
        <v>9895</v>
      </c>
    </row>
    <row r="76" spans="1:20" x14ac:dyDescent="0.2">
      <c r="A76" s="306" t="s">
        <v>9981</v>
      </c>
      <c r="B76" s="812" t="s">
        <v>9982</v>
      </c>
      <c r="C76" s="261" t="s">
        <v>9983</v>
      </c>
      <c r="D76" s="261" t="s">
        <v>1947</v>
      </c>
      <c r="E76" s="261" t="s">
        <v>137</v>
      </c>
      <c r="F76" s="261" t="s">
        <v>9984</v>
      </c>
      <c r="G76" s="813" t="s">
        <v>9985</v>
      </c>
      <c r="H76" s="261">
        <v>184</v>
      </c>
      <c r="I76" s="261">
        <v>63</v>
      </c>
      <c r="J76" s="261">
        <v>450</v>
      </c>
      <c r="K76" s="261">
        <v>200</v>
      </c>
      <c r="L76" s="261" t="s">
        <v>9986</v>
      </c>
      <c r="M76" s="261" t="s">
        <v>9969</v>
      </c>
      <c r="N76" s="261" t="s">
        <v>9970</v>
      </c>
      <c r="O76" s="261" t="s">
        <v>9889</v>
      </c>
      <c r="P76" s="261" t="s">
        <v>9987</v>
      </c>
      <c r="Q76" s="261" t="s">
        <v>137</v>
      </c>
      <c r="R76" s="261" t="s">
        <v>9972</v>
      </c>
      <c r="S76" s="261" t="s">
        <v>137</v>
      </c>
      <c r="T76" s="330" t="s">
        <v>9973</v>
      </c>
    </row>
    <row r="77" spans="1:20" x14ac:dyDescent="0.2">
      <c r="A77" s="306" t="s">
        <v>10180</v>
      </c>
      <c r="B77" s="812" t="s">
        <v>10181</v>
      </c>
      <c r="C77" s="261" t="s">
        <v>10182</v>
      </c>
      <c r="D77" s="261" t="s">
        <v>2837</v>
      </c>
      <c r="E77" s="261" t="s">
        <v>10183</v>
      </c>
      <c r="F77" s="261" t="s">
        <v>10184</v>
      </c>
      <c r="G77" s="813" t="s">
        <v>10185</v>
      </c>
      <c r="H77" s="261">
        <v>371</v>
      </c>
      <c r="I77" s="261">
        <v>124</v>
      </c>
      <c r="J77" s="261">
        <v>450</v>
      </c>
      <c r="K77" s="261">
        <v>200</v>
      </c>
      <c r="L77" s="261" t="s">
        <v>10187</v>
      </c>
      <c r="M77" s="261" t="s">
        <v>10188</v>
      </c>
      <c r="N77" s="261" t="s">
        <v>10189</v>
      </c>
      <c r="O77" s="261" t="s">
        <v>10186</v>
      </c>
      <c r="P77" s="261" t="s">
        <v>10190</v>
      </c>
      <c r="Q77" s="261" t="s">
        <v>10191</v>
      </c>
      <c r="R77" s="261" t="s">
        <v>10192</v>
      </c>
      <c r="S77" s="261" t="s">
        <v>10191</v>
      </c>
      <c r="T77" s="330" t="s">
        <v>10168</v>
      </c>
    </row>
    <row r="78" spans="1:20" x14ac:dyDescent="0.2">
      <c r="A78" s="306" t="s">
        <v>10193</v>
      </c>
      <c r="B78" s="812" t="s">
        <v>10194</v>
      </c>
      <c r="C78" s="261" t="s">
        <v>10195</v>
      </c>
      <c r="D78" s="261" t="s">
        <v>2837</v>
      </c>
      <c r="E78" s="261" t="s">
        <v>10196</v>
      </c>
      <c r="F78" s="261" t="s">
        <v>10197</v>
      </c>
      <c r="G78" s="813" t="s">
        <v>10198</v>
      </c>
      <c r="H78" s="261">
        <v>371</v>
      </c>
      <c r="I78" s="261">
        <v>124</v>
      </c>
      <c r="J78" s="261">
        <v>450</v>
      </c>
      <c r="K78" s="261">
        <v>200</v>
      </c>
      <c r="L78" s="261" t="s">
        <v>10200</v>
      </c>
      <c r="M78" s="261" t="s">
        <v>8857</v>
      </c>
      <c r="N78" s="261" t="s">
        <v>8857</v>
      </c>
      <c r="O78" s="261" t="s">
        <v>10199</v>
      </c>
      <c r="P78" s="261" t="s">
        <v>10201</v>
      </c>
      <c r="Q78" s="261" t="s">
        <v>8267</v>
      </c>
      <c r="R78" s="261" t="s">
        <v>9460</v>
      </c>
      <c r="S78" s="261" t="s">
        <v>8267</v>
      </c>
      <c r="T78" s="330" t="s">
        <v>10168</v>
      </c>
    </row>
    <row r="79" spans="1:20" x14ac:dyDescent="0.2">
      <c r="A79" s="306" t="s">
        <v>9430</v>
      </c>
      <c r="B79" s="812" t="s">
        <v>9431</v>
      </c>
      <c r="C79" s="261" t="s">
        <v>9432</v>
      </c>
      <c r="D79" s="261" t="s">
        <v>2837</v>
      </c>
      <c r="E79" s="261" t="s">
        <v>9433</v>
      </c>
      <c r="F79" s="261" t="s">
        <v>9434</v>
      </c>
      <c r="G79" s="813" t="s">
        <v>9435</v>
      </c>
      <c r="H79" s="261">
        <v>223</v>
      </c>
      <c r="I79" s="261">
        <v>75</v>
      </c>
      <c r="J79" s="261">
        <v>450</v>
      </c>
      <c r="K79" s="261">
        <v>200</v>
      </c>
      <c r="L79" s="261" t="s">
        <v>9436</v>
      </c>
      <c r="M79" s="261" t="s">
        <v>9437</v>
      </c>
      <c r="N79" s="261" t="s">
        <v>9438</v>
      </c>
      <c r="O79" s="261" t="s">
        <v>9407</v>
      </c>
      <c r="P79" s="261" t="s">
        <v>7601</v>
      </c>
      <c r="Q79" s="261" t="s">
        <v>137</v>
      </c>
      <c r="R79" s="261" t="s">
        <v>7601</v>
      </c>
      <c r="S79" s="261" t="s">
        <v>137</v>
      </c>
      <c r="T79" s="330" t="s">
        <v>9411</v>
      </c>
    </row>
    <row r="80" spans="1:20" x14ac:dyDescent="0.2">
      <c r="A80" s="306" t="s">
        <v>9805</v>
      </c>
      <c r="B80" s="812" t="s">
        <v>9806</v>
      </c>
      <c r="C80" s="261" t="s">
        <v>9807</v>
      </c>
      <c r="D80" s="261" t="s">
        <v>2837</v>
      </c>
      <c r="E80" s="261" t="s">
        <v>9808</v>
      </c>
      <c r="F80" s="261" t="s">
        <v>9809</v>
      </c>
      <c r="G80" s="813" t="s">
        <v>9810</v>
      </c>
      <c r="H80" s="261">
        <v>371</v>
      </c>
      <c r="I80" s="261">
        <v>124</v>
      </c>
      <c r="J80" s="261">
        <v>450</v>
      </c>
      <c r="K80" s="261">
        <v>200</v>
      </c>
      <c r="L80" s="261" t="s">
        <v>9812</v>
      </c>
      <c r="M80" s="261" t="s">
        <v>9813</v>
      </c>
      <c r="N80" s="261" t="s">
        <v>9814</v>
      </c>
      <c r="O80" s="261" t="s">
        <v>9811</v>
      </c>
      <c r="P80" s="261" t="s">
        <v>9815</v>
      </c>
      <c r="Q80" s="261" t="s">
        <v>9816</v>
      </c>
      <c r="R80" s="261" t="s">
        <v>9012</v>
      </c>
      <c r="S80" s="261" t="s">
        <v>9781</v>
      </c>
      <c r="T80" s="330" t="s">
        <v>9782</v>
      </c>
    </row>
    <row r="81" spans="1:20" x14ac:dyDescent="0.2">
      <c r="A81" s="306" t="s">
        <v>8861</v>
      </c>
      <c r="B81" s="812" t="s">
        <v>8862</v>
      </c>
      <c r="C81" s="261" t="s">
        <v>8863</v>
      </c>
      <c r="D81" s="261" t="s">
        <v>2837</v>
      </c>
      <c r="E81" s="261" t="s">
        <v>8864</v>
      </c>
      <c r="F81" s="261" t="s">
        <v>8865</v>
      </c>
      <c r="G81" s="813" t="s">
        <v>8866</v>
      </c>
      <c r="H81" s="261">
        <v>371</v>
      </c>
      <c r="I81" s="261">
        <v>124</v>
      </c>
      <c r="J81" s="261">
        <v>450</v>
      </c>
      <c r="K81" s="261">
        <v>200</v>
      </c>
      <c r="L81" s="261" t="s">
        <v>8868</v>
      </c>
      <c r="M81" s="261" t="s">
        <v>8869</v>
      </c>
      <c r="N81" s="261" t="s">
        <v>8870</v>
      </c>
      <c r="O81" s="261" t="s">
        <v>8867</v>
      </c>
      <c r="P81" s="261" t="s">
        <v>8871</v>
      </c>
      <c r="Q81" s="261" t="s">
        <v>8872</v>
      </c>
      <c r="R81" s="261" t="s">
        <v>8833</v>
      </c>
      <c r="S81" s="261" t="s">
        <v>8873</v>
      </c>
      <c r="T81" s="330" t="s">
        <v>8835</v>
      </c>
    </row>
    <row r="82" spans="1:20" x14ac:dyDescent="0.2">
      <c r="A82" s="306" t="s">
        <v>9162</v>
      </c>
      <c r="B82" s="812" t="s">
        <v>9163</v>
      </c>
      <c r="C82" s="261" t="s">
        <v>9164</v>
      </c>
      <c r="D82" s="261" t="s">
        <v>2837</v>
      </c>
      <c r="E82" s="261" t="s">
        <v>9165</v>
      </c>
      <c r="F82" s="261" t="s">
        <v>9166</v>
      </c>
      <c r="G82" s="813" t="s">
        <v>9167</v>
      </c>
      <c r="H82" s="261">
        <v>371</v>
      </c>
      <c r="I82" s="261">
        <v>124</v>
      </c>
      <c r="J82" s="261">
        <v>450</v>
      </c>
      <c r="K82" s="261">
        <v>200</v>
      </c>
      <c r="L82" s="261" t="s">
        <v>9169</v>
      </c>
      <c r="M82" s="261" t="s">
        <v>9170</v>
      </c>
      <c r="N82" s="261" t="s">
        <v>9171</v>
      </c>
      <c r="O82" s="261" t="s">
        <v>9168</v>
      </c>
      <c r="P82" s="261" t="s">
        <v>9172</v>
      </c>
      <c r="Q82" s="261" t="s">
        <v>9173</v>
      </c>
      <c r="R82" s="261" t="s">
        <v>9012</v>
      </c>
      <c r="S82" s="261" t="s">
        <v>9137</v>
      </c>
      <c r="T82" s="330" t="s">
        <v>9138</v>
      </c>
    </row>
    <row r="83" spans="1:20" x14ac:dyDescent="0.2">
      <c r="A83" s="306" t="s">
        <v>8922</v>
      </c>
      <c r="B83" s="812" t="s">
        <v>8923</v>
      </c>
      <c r="C83" s="261" t="s">
        <v>8924</v>
      </c>
      <c r="D83" s="261" t="s">
        <v>2837</v>
      </c>
      <c r="E83" s="261" t="s">
        <v>8925</v>
      </c>
      <c r="F83" s="261" t="s">
        <v>8926</v>
      </c>
      <c r="G83" s="813" t="s">
        <v>8927</v>
      </c>
      <c r="H83" s="261">
        <v>371</v>
      </c>
      <c r="I83" s="261">
        <v>124</v>
      </c>
      <c r="J83" s="261">
        <v>450</v>
      </c>
      <c r="K83" s="261">
        <v>200</v>
      </c>
      <c r="L83" s="261" t="s">
        <v>8929</v>
      </c>
      <c r="M83" s="261" t="s">
        <v>8930</v>
      </c>
      <c r="N83" s="261" t="s">
        <v>8931</v>
      </c>
      <c r="O83" s="261" t="s">
        <v>8928</v>
      </c>
      <c r="P83" s="261" t="s">
        <v>8932</v>
      </c>
      <c r="Q83" s="261" t="s">
        <v>137</v>
      </c>
      <c r="R83" s="261" t="s">
        <v>8898</v>
      </c>
      <c r="S83" s="261" t="s">
        <v>8899</v>
      </c>
      <c r="T83" s="330" t="s">
        <v>8900</v>
      </c>
    </row>
    <row r="84" spans="1:20" x14ac:dyDescent="0.2">
      <c r="A84" s="306" t="s">
        <v>10202</v>
      </c>
      <c r="B84" s="812" t="s">
        <v>10203</v>
      </c>
      <c r="C84" s="261" t="s">
        <v>10204</v>
      </c>
      <c r="D84" s="261" t="s">
        <v>2837</v>
      </c>
      <c r="E84" s="261" t="s">
        <v>10205</v>
      </c>
      <c r="F84" s="261" t="s">
        <v>10206</v>
      </c>
      <c r="G84" s="813" t="s">
        <v>10207</v>
      </c>
      <c r="H84" s="261">
        <v>371</v>
      </c>
      <c r="I84" s="261">
        <v>124</v>
      </c>
      <c r="J84" s="261">
        <v>450</v>
      </c>
      <c r="K84" s="261">
        <v>200</v>
      </c>
      <c r="L84" s="261" t="s">
        <v>10209</v>
      </c>
      <c r="M84" s="261" t="s">
        <v>10210</v>
      </c>
      <c r="N84" s="261" t="s">
        <v>10211</v>
      </c>
      <c r="O84" s="261" t="s">
        <v>10208</v>
      </c>
      <c r="P84" s="261" t="s">
        <v>10212</v>
      </c>
      <c r="Q84" s="261" t="s">
        <v>10213</v>
      </c>
      <c r="R84" s="261" t="s">
        <v>10214</v>
      </c>
      <c r="S84" s="261" t="s">
        <v>10205</v>
      </c>
      <c r="T84" s="330" t="s">
        <v>10168</v>
      </c>
    </row>
    <row r="85" spans="1:20" x14ac:dyDescent="0.2">
      <c r="A85" s="306" t="s">
        <v>9693</v>
      </c>
      <c r="B85" s="812" t="s">
        <v>9694</v>
      </c>
      <c r="C85" s="261" t="s">
        <v>9695</v>
      </c>
      <c r="D85" s="261" t="s">
        <v>2837</v>
      </c>
      <c r="E85" s="261" t="s">
        <v>9696</v>
      </c>
      <c r="F85" s="261" t="s">
        <v>9697</v>
      </c>
      <c r="G85" s="813" t="s">
        <v>9698</v>
      </c>
      <c r="H85" s="261">
        <v>391</v>
      </c>
      <c r="I85" s="261">
        <v>144</v>
      </c>
      <c r="J85" s="261">
        <v>450</v>
      </c>
      <c r="K85" s="261">
        <v>200</v>
      </c>
      <c r="L85" s="261" t="s">
        <v>9700</v>
      </c>
      <c r="M85" s="261" t="s">
        <v>9701</v>
      </c>
      <c r="N85" s="261" t="s">
        <v>9702</v>
      </c>
      <c r="O85" s="261" t="s">
        <v>9699</v>
      </c>
      <c r="P85" s="261" t="s">
        <v>9691</v>
      </c>
      <c r="Q85" s="261" t="s">
        <v>9692</v>
      </c>
      <c r="R85" s="261" t="s">
        <v>9667</v>
      </c>
      <c r="S85" s="261" t="s">
        <v>8899</v>
      </c>
      <c r="T85" s="330" t="s">
        <v>9668</v>
      </c>
    </row>
    <row r="86" spans="1:20" x14ac:dyDescent="0.2">
      <c r="A86" s="306" t="s">
        <v>9039</v>
      </c>
      <c r="B86" s="812" t="s">
        <v>9040</v>
      </c>
      <c r="C86" s="261" t="s">
        <v>9041</v>
      </c>
      <c r="D86" s="261" t="s">
        <v>2837</v>
      </c>
      <c r="E86" s="261" t="s">
        <v>9042</v>
      </c>
      <c r="F86" s="261" t="s">
        <v>9043</v>
      </c>
      <c r="G86" s="813" t="s">
        <v>9044</v>
      </c>
      <c r="H86" s="261">
        <v>371</v>
      </c>
      <c r="I86" s="261">
        <v>124</v>
      </c>
      <c r="J86" s="261">
        <v>450</v>
      </c>
      <c r="K86" s="261">
        <v>200</v>
      </c>
      <c r="L86" s="261" t="s">
        <v>9046</v>
      </c>
      <c r="M86" s="261" t="s">
        <v>9047</v>
      </c>
      <c r="N86" s="261" t="s">
        <v>9048</v>
      </c>
      <c r="O86" s="261" t="s">
        <v>9045</v>
      </c>
      <c r="P86" s="261" t="s">
        <v>9049</v>
      </c>
      <c r="Q86" s="261" t="s">
        <v>9050</v>
      </c>
      <c r="R86" s="261" t="s">
        <v>9012</v>
      </c>
      <c r="S86" s="261" t="s">
        <v>9013</v>
      </c>
      <c r="T86" s="330" t="s">
        <v>9014</v>
      </c>
    </row>
    <row r="87" spans="1:20" x14ac:dyDescent="0.2">
      <c r="A87" s="306" t="s">
        <v>9748</v>
      </c>
      <c r="B87" s="812" t="s">
        <v>9749</v>
      </c>
      <c r="C87" s="261" t="s">
        <v>9750</v>
      </c>
      <c r="D87" s="261" t="s">
        <v>2837</v>
      </c>
      <c r="E87" s="261" t="s">
        <v>9751</v>
      </c>
      <c r="F87" s="261" t="s">
        <v>9752</v>
      </c>
      <c r="G87" s="813" t="s">
        <v>9753</v>
      </c>
      <c r="H87" s="261">
        <v>371</v>
      </c>
      <c r="I87" s="261">
        <v>124</v>
      </c>
      <c r="J87" s="261">
        <v>450</v>
      </c>
      <c r="K87" s="261">
        <v>200</v>
      </c>
      <c r="L87" s="261" t="s">
        <v>9755</v>
      </c>
      <c r="M87" s="261" t="s">
        <v>9756</v>
      </c>
      <c r="N87" s="261" t="s">
        <v>9757</v>
      </c>
      <c r="O87" s="261" t="s">
        <v>9754</v>
      </c>
      <c r="P87" s="261" t="s">
        <v>9758</v>
      </c>
      <c r="Q87" s="261" t="s">
        <v>7359</v>
      </c>
      <c r="R87" s="261" t="s">
        <v>9722</v>
      </c>
      <c r="S87" s="261" t="s">
        <v>9723</v>
      </c>
      <c r="T87" s="330" t="s">
        <v>9724</v>
      </c>
    </row>
    <row r="88" spans="1:20" x14ac:dyDescent="0.2">
      <c r="A88" s="306" t="s">
        <v>9524</v>
      </c>
      <c r="B88" s="812" t="s">
        <v>9525</v>
      </c>
      <c r="C88" s="261" t="s">
        <v>9526</v>
      </c>
      <c r="D88" s="261" t="s">
        <v>2837</v>
      </c>
      <c r="E88" s="261" t="s">
        <v>9527</v>
      </c>
      <c r="F88" s="261" t="s">
        <v>9528</v>
      </c>
      <c r="G88" s="813" t="s">
        <v>9529</v>
      </c>
      <c r="H88" s="261">
        <v>391</v>
      </c>
      <c r="I88" s="261">
        <v>144</v>
      </c>
      <c r="J88" s="261">
        <v>450</v>
      </c>
      <c r="K88" s="261">
        <v>200</v>
      </c>
      <c r="L88" s="261" t="s">
        <v>9531</v>
      </c>
      <c r="M88" s="261" t="s">
        <v>9532</v>
      </c>
      <c r="N88" s="261" t="s">
        <v>9533</v>
      </c>
      <c r="O88" s="261" t="s">
        <v>9530</v>
      </c>
      <c r="P88" s="261" t="s">
        <v>9497</v>
      </c>
      <c r="Q88" s="261" t="s">
        <v>9534</v>
      </c>
      <c r="R88" s="261" t="s">
        <v>9499</v>
      </c>
      <c r="S88" s="261" t="s">
        <v>9500</v>
      </c>
      <c r="T88" s="330" t="s">
        <v>9501</v>
      </c>
    </row>
    <row r="89" spans="1:20" x14ac:dyDescent="0.2">
      <c r="A89" s="306" t="s">
        <v>9385</v>
      </c>
      <c r="B89" s="812" t="s">
        <v>9386</v>
      </c>
      <c r="C89" s="261" t="s">
        <v>9387</v>
      </c>
      <c r="D89" s="261" t="s">
        <v>2837</v>
      </c>
      <c r="E89" s="261" t="s">
        <v>9388</v>
      </c>
      <c r="F89" s="261" t="s">
        <v>9389</v>
      </c>
      <c r="G89" s="813" t="s">
        <v>9390</v>
      </c>
      <c r="H89" s="261">
        <v>397</v>
      </c>
      <c r="I89" s="261">
        <v>139</v>
      </c>
      <c r="J89" s="261">
        <v>450</v>
      </c>
      <c r="K89" s="261">
        <v>200</v>
      </c>
      <c r="L89" s="261" t="s">
        <v>9392</v>
      </c>
      <c r="M89" s="261" t="s">
        <v>8987</v>
      </c>
      <c r="N89" s="261" t="s">
        <v>8988</v>
      </c>
      <c r="O89" s="261" t="s">
        <v>9391</v>
      </c>
      <c r="P89" s="261" t="s">
        <v>9253</v>
      </c>
      <c r="Q89" s="261" t="s">
        <v>9375</v>
      </c>
      <c r="R89" s="261" t="s">
        <v>9253</v>
      </c>
      <c r="S89" s="261" t="s">
        <v>8899</v>
      </c>
      <c r="T89" s="330" t="s">
        <v>9365</v>
      </c>
    </row>
    <row r="90" spans="1:20" x14ac:dyDescent="0.2">
      <c r="A90" s="306" t="s">
        <v>8979</v>
      </c>
      <c r="B90" s="812" t="s">
        <v>8980</v>
      </c>
      <c r="C90" s="261" t="s">
        <v>8981</v>
      </c>
      <c r="D90" s="261" t="s">
        <v>2837</v>
      </c>
      <c r="E90" s="261" t="s">
        <v>8982</v>
      </c>
      <c r="F90" s="261" t="s">
        <v>8983</v>
      </c>
      <c r="G90" s="813" t="s">
        <v>8984</v>
      </c>
      <c r="H90" s="261">
        <v>223</v>
      </c>
      <c r="I90" s="261">
        <v>75</v>
      </c>
      <c r="J90" s="261">
        <v>450</v>
      </c>
      <c r="K90" s="261">
        <v>200</v>
      </c>
      <c r="L90" s="261" t="s">
        <v>8986</v>
      </c>
      <c r="M90" s="261" t="s">
        <v>8987</v>
      </c>
      <c r="N90" s="261" t="s">
        <v>8988</v>
      </c>
      <c r="O90" s="261" t="s">
        <v>8985</v>
      </c>
      <c r="P90" s="261" t="s">
        <v>8989</v>
      </c>
      <c r="Q90" s="261" t="s">
        <v>137</v>
      </c>
      <c r="R90" s="261" t="s">
        <v>8956</v>
      </c>
      <c r="S90" s="261" t="s">
        <v>8957</v>
      </c>
      <c r="T90" s="330" t="s">
        <v>8958</v>
      </c>
    </row>
    <row r="91" spans="1:20" x14ac:dyDescent="0.2">
      <c r="A91" s="306" t="s">
        <v>9862</v>
      </c>
      <c r="B91" s="812" t="s">
        <v>9863</v>
      </c>
      <c r="C91" s="261" t="s">
        <v>9864</v>
      </c>
      <c r="D91" s="261" t="s">
        <v>2837</v>
      </c>
      <c r="E91" s="261" t="s">
        <v>9865</v>
      </c>
      <c r="F91" s="261" t="s">
        <v>9866</v>
      </c>
      <c r="G91" s="813" t="s">
        <v>9867</v>
      </c>
      <c r="H91" s="261">
        <v>397</v>
      </c>
      <c r="I91" s="261">
        <v>139</v>
      </c>
      <c r="J91" s="261">
        <v>450</v>
      </c>
      <c r="K91" s="261">
        <v>200</v>
      </c>
      <c r="L91" s="261" t="s">
        <v>9869</v>
      </c>
      <c r="M91" s="261" t="s">
        <v>9870</v>
      </c>
      <c r="N91" s="261" t="s">
        <v>9871</v>
      </c>
      <c r="O91" s="261" t="s">
        <v>9868</v>
      </c>
      <c r="P91" s="261" t="s">
        <v>9872</v>
      </c>
      <c r="Q91" s="261" t="s">
        <v>9026</v>
      </c>
      <c r="R91" s="261" t="s">
        <v>9012</v>
      </c>
      <c r="S91" s="261" t="s">
        <v>8899</v>
      </c>
      <c r="T91" s="330" t="s">
        <v>9839</v>
      </c>
    </row>
    <row r="92" spans="1:20" x14ac:dyDescent="0.2">
      <c r="A92" s="306" t="s">
        <v>9572</v>
      </c>
      <c r="B92" s="812" t="s">
        <v>9573</v>
      </c>
      <c r="C92" s="261" t="s">
        <v>9574</v>
      </c>
      <c r="D92" s="261" t="s">
        <v>2837</v>
      </c>
      <c r="E92" s="261" t="s">
        <v>9575</v>
      </c>
      <c r="F92" s="261" t="s">
        <v>9576</v>
      </c>
      <c r="G92" s="813" t="s">
        <v>9577</v>
      </c>
      <c r="H92" s="261">
        <v>391</v>
      </c>
      <c r="I92" s="261">
        <v>144</v>
      </c>
      <c r="J92" s="261">
        <v>450</v>
      </c>
      <c r="K92" s="261">
        <v>200</v>
      </c>
      <c r="L92" s="261" t="s">
        <v>9579</v>
      </c>
      <c r="M92" s="261" t="s">
        <v>9580</v>
      </c>
      <c r="N92" s="261" t="s">
        <v>9581</v>
      </c>
      <c r="O92" s="261" t="s">
        <v>9578</v>
      </c>
      <c r="P92" s="261" t="s">
        <v>9582</v>
      </c>
      <c r="Q92" s="261" t="s">
        <v>9026</v>
      </c>
      <c r="R92" s="261" t="s">
        <v>9557</v>
      </c>
      <c r="S92" s="261" t="s">
        <v>9558</v>
      </c>
      <c r="T92" s="330" t="s">
        <v>9559</v>
      </c>
    </row>
    <row r="93" spans="1:20" x14ac:dyDescent="0.2">
      <c r="A93" s="306" t="s">
        <v>8725</v>
      </c>
      <c r="B93" s="812" t="s">
        <v>8726</v>
      </c>
      <c r="C93" s="261" t="s">
        <v>8727</v>
      </c>
      <c r="D93" s="261" t="s">
        <v>2837</v>
      </c>
      <c r="E93" s="261" t="s">
        <v>8728</v>
      </c>
      <c r="F93" s="261" t="s">
        <v>8729</v>
      </c>
      <c r="G93" s="813" t="s">
        <v>8730</v>
      </c>
      <c r="H93" s="261">
        <v>391</v>
      </c>
      <c r="I93" s="261">
        <v>144</v>
      </c>
      <c r="J93" s="261">
        <v>450</v>
      </c>
      <c r="K93" s="261">
        <v>200</v>
      </c>
      <c r="L93" s="261" t="s">
        <v>8732</v>
      </c>
      <c r="M93" s="261" t="s">
        <v>8733</v>
      </c>
      <c r="N93" s="261" t="s">
        <v>8734</v>
      </c>
      <c r="O93" s="261" t="s">
        <v>8731</v>
      </c>
      <c r="P93" s="261" t="s">
        <v>8686</v>
      </c>
      <c r="Q93" s="261" t="s">
        <v>8735</v>
      </c>
      <c r="R93" s="261" t="s">
        <v>8673</v>
      </c>
      <c r="S93" s="261" t="s">
        <v>8736</v>
      </c>
      <c r="T93" s="330" t="s">
        <v>8675</v>
      </c>
    </row>
    <row r="94" spans="1:20" x14ac:dyDescent="0.2">
      <c r="A94" s="306" t="s">
        <v>9276</v>
      </c>
      <c r="B94" s="812" t="s">
        <v>9277</v>
      </c>
      <c r="C94" s="261" t="s">
        <v>9278</v>
      </c>
      <c r="D94" s="261" t="s">
        <v>2837</v>
      </c>
      <c r="E94" s="261" t="s">
        <v>9279</v>
      </c>
      <c r="F94" s="261" t="s">
        <v>9280</v>
      </c>
      <c r="G94" s="813" t="s">
        <v>9281</v>
      </c>
      <c r="H94" s="261">
        <v>372</v>
      </c>
      <c r="I94" s="261">
        <v>138</v>
      </c>
      <c r="J94" s="261">
        <v>450</v>
      </c>
      <c r="K94" s="261">
        <v>200</v>
      </c>
      <c r="L94" s="261" t="s">
        <v>9283</v>
      </c>
      <c r="M94" s="261" t="s">
        <v>9284</v>
      </c>
      <c r="N94" s="261" t="s">
        <v>9285</v>
      </c>
      <c r="O94" s="261" t="s">
        <v>9282</v>
      </c>
      <c r="P94" s="261" t="s">
        <v>9253</v>
      </c>
      <c r="Q94" s="261" t="s">
        <v>7277</v>
      </c>
      <c r="R94" s="261" t="s">
        <v>9253</v>
      </c>
      <c r="S94" s="261" t="s">
        <v>9254</v>
      </c>
      <c r="T94" s="330" t="s">
        <v>9255</v>
      </c>
    </row>
    <row r="95" spans="1:20" x14ac:dyDescent="0.2">
      <c r="A95" s="306" t="s">
        <v>9334</v>
      </c>
      <c r="B95" s="812" t="s">
        <v>9335</v>
      </c>
      <c r="C95" s="261" t="s">
        <v>9336</v>
      </c>
      <c r="D95" s="261" t="s">
        <v>2837</v>
      </c>
      <c r="E95" s="261" t="s">
        <v>9337</v>
      </c>
      <c r="F95" s="261" t="s">
        <v>9338</v>
      </c>
      <c r="G95" s="813" t="s">
        <v>9339</v>
      </c>
      <c r="H95" s="261">
        <v>404</v>
      </c>
      <c r="I95" s="261">
        <v>133</v>
      </c>
      <c r="J95" s="261">
        <v>450</v>
      </c>
      <c r="K95" s="261">
        <v>200</v>
      </c>
      <c r="L95" s="261" t="s">
        <v>9341</v>
      </c>
      <c r="M95" s="261" t="s">
        <v>9170</v>
      </c>
      <c r="N95" s="261" t="s">
        <v>9342</v>
      </c>
      <c r="O95" s="261" t="s">
        <v>9340</v>
      </c>
      <c r="P95" s="261" t="s">
        <v>9332</v>
      </c>
      <c r="Q95" s="261" t="s">
        <v>9333</v>
      </c>
      <c r="R95" s="261" t="s">
        <v>9307</v>
      </c>
      <c r="S95" s="261" t="s">
        <v>9308</v>
      </c>
      <c r="T95" s="330" t="s">
        <v>9309</v>
      </c>
    </row>
    <row r="96" spans="1:20" x14ac:dyDescent="0.2">
      <c r="A96" s="306" t="s">
        <v>9635</v>
      </c>
      <c r="B96" s="812" t="s">
        <v>9636</v>
      </c>
      <c r="C96" s="261" t="s">
        <v>9637</v>
      </c>
      <c r="D96" s="261" t="s">
        <v>2837</v>
      </c>
      <c r="E96" s="261" t="s">
        <v>9638</v>
      </c>
      <c r="F96" s="261" t="s">
        <v>9639</v>
      </c>
      <c r="G96" s="813" t="s">
        <v>9640</v>
      </c>
      <c r="H96" s="261">
        <v>301</v>
      </c>
      <c r="I96" s="261">
        <v>95</v>
      </c>
      <c r="J96" s="261">
        <v>450</v>
      </c>
      <c r="K96" s="261">
        <v>200</v>
      </c>
      <c r="L96" s="261" t="s">
        <v>9642</v>
      </c>
      <c r="M96" s="261" t="s">
        <v>9643</v>
      </c>
      <c r="N96" s="261" t="s">
        <v>9644</v>
      </c>
      <c r="O96" s="261" t="s">
        <v>9641</v>
      </c>
      <c r="P96" s="261" t="s">
        <v>9645</v>
      </c>
      <c r="Q96" s="261" t="s">
        <v>137</v>
      </c>
      <c r="R96" s="261" t="s">
        <v>9610</v>
      </c>
      <c r="S96" s="261" t="s">
        <v>9611</v>
      </c>
      <c r="T96" s="330" t="s">
        <v>9612</v>
      </c>
    </row>
    <row r="97" spans="1:20" x14ac:dyDescent="0.2">
      <c r="A97" s="306" t="s">
        <v>8737</v>
      </c>
      <c r="B97" s="812" t="s">
        <v>8738</v>
      </c>
      <c r="C97" s="261" t="s">
        <v>8739</v>
      </c>
      <c r="D97" s="261" t="s">
        <v>2837</v>
      </c>
      <c r="E97" s="261" t="s">
        <v>8740</v>
      </c>
      <c r="F97" s="261" t="s">
        <v>8741</v>
      </c>
      <c r="G97" s="813" t="s">
        <v>8742</v>
      </c>
      <c r="H97" s="261">
        <v>297</v>
      </c>
      <c r="I97" s="261">
        <v>100</v>
      </c>
      <c r="J97" s="261">
        <v>450</v>
      </c>
      <c r="K97" s="261">
        <v>200</v>
      </c>
      <c r="L97" s="261" t="s">
        <v>8744</v>
      </c>
      <c r="M97" s="261" t="s">
        <v>8745</v>
      </c>
      <c r="N97" s="261" t="s">
        <v>8746</v>
      </c>
      <c r="O97" s="261" t="s">
        <v>8743</v>
      </c>
      <c r="P97" s="261" t="s">
        <v>8747</v>
      </c>
      <c r="Q97" s="261" t="s">
        <v>137</v>
      </c>
      <c r="R97" s="261" t="s">
        <v>8673</v>
      </c>
      <c r="S97" s="261" t="s">
        <v>8748</v>
      </c>
      <c r="T97" s="330" t="s">
        <v>8675</v>
      </c>
    </row>
    <row r="98" spans="1:20" x14ac:dyDescent="0.2">
      <c r="A98" s="306" t="s">
        <v>10064</v>
      </c>
      <c r="B98" s="812" t="s">
        <v>10065</v>
      </c>
      <c r="C98" s="261" t="s">
        <v>10066</v>
      </c>
      <c r="D98" s="261" t="s">
        <v>2837</v>
      </c>
      <c r="E98" s="261" t="s">
        <v>10067</v>
      </c>
      <c r="F98" s="261" t="s">
        <v>10068</v>
      </c>
      <c r="G98" s="813" t="s">
        <v>10069</v>
      </c>
      <c r="H98" s="261">
        <v>301</v>
      </c>
      <c r="I98" s="261">
        <v>95</v>
      </c>
      <c r="J98" s="261">
        <v>450</v>
      </c>
      <c r="K98" s="261">
        <v>200</v>
      </c>
      <c r="L98" s="261" t="s">
        <v>10071</v>
      </c>
      <c r="M98" s="261" t="s">
        <v>9362</v>
      </c>
      <c r="N98" s="261" t="s">
        <v>9591</v>
      </c>
      <c r="O98" s="261" t="s">
        <v>10070</v>
      </c>
      <c r="P98" s="261" t="s">
        <v>10072</v>
      </c>
      <c r="Q98" s="261" t="s">
        <v>137</v>
      </c>
      <c r="R98" s="261" t="s">
        <v>23983</v>
      </c>
      <c r="S98" s="261" t="s">
        <v>9558</v>
      </c>
      <c r="T98" s="330" t="s">
        <v>10052</v>
      </c>
    </row>
    <row r="99" spans="1:20" x14ac:dyDescent="0.2">
      <c r="A99" s="306" t="s">
        <v>9221</v>
      </c>
      <c r="B99" s="812" t="s">
        <v>9222</v>
      </c>
      <c r="C99" s="261" t="s">
        <v>9223</v>
      </c>
      <c r="D99" s="261" t="s">
        <v>2837</v>
      </c>
      <c r="E99" s="261" t="s">
        <v>9224</v>
      </c>
      <c r="F99" s="261" t="s">
        <v>9225</v>
      </c>
      <c r="G99" s="813" t="s">
        <v>9226</v>
      </c>
      <c r="H99" s="261">
        <v>207</v>
      </c>
      <c r="I99" s="261">
        <v>65</v>
      </c>
      <c r="J99" s="261">
        <v>450</v>
      </c>
      <c r="K99" s="261">
        <v>200</v>
      </c>
      <c r="L99" s="261" t="s">
        <v>9228</v>
      </c>
      <c r="M99" s="261" t="s">
        <v>9229</v>
      </c>
      <c r="N99" s="261" t="s">
        <v>9230</v>
      </c>
      <c r="O99" s="261" t="s">
        <v>9227</v>
      </c>
      <c r="P99" s="261" t="s">
        <v>9231</v>
      </c>
      <c r="Q99" s="261" t="s">
        <v>137</v>
      </c>
      <c r="R99" s="261" t="s">
        <v>9197</v>
      </c>
      <c r="S99" s="261" t="s">
        <v>650</v>
      </c>
      <c r="T99" s="330" t="s">
        <v>9198</v>
      </c>
    </row>
    <row r="100" spans="1:20" x14ac:dyDescent="0.2">
      <c r="A100" s="306" t="s">
        <v>9949</v>
      </c>
      <c r="B100" s="812" t="s">
        <v>9950</v>
      </c>
      <c r="C100" s="261" t="s">
        <v>9951</v>
      </c>
      <c r="D100" s="261" t="s">
        <v>2837</v>
      </c>
      <c r="E100" s="261" t="s">
        <v>137</v>
      </c>
      <c r="F100" s="261" t="s">
        <v>9952</v>
      </c>
      <c r="G100" s="813" t="s">
        <v>9953</v>
      </c>
      <c r="H100" s="261">
        <v>188</v>
      </c>
      <c r="I100" s="261">
        <v>59</v>
      </c>
      <c r="J100" s="261">
        <v>450</v>
      </c>
      <c r="K100" s="261">
        <v>200</v>
      </c>
      <c r="L100" s="261" t="s">
        <v>9954</v>
      </c>
      <c r="M100" s="261" t="s">
        <v>9931</v>
      </c>
      <c r="N100" s="261" t="s">
        <v>9932</v>
      </c>
      <c r="O100" s="261" t="s">
        <v>9889</v>
      </c>
      <c r="P100" s="261" t="s">
        <v>9955</v>
      </c>
      <c r="Q100" s="261" t="s">
        <v>137</v>
      </c>
      <c r="R100" s="261" t="s">
        <v>9610</v>
      </c>
      <c r="S100" s="261" t="s">
        <v>137</v>
      </c>
      <c r="T100" s="330" t="s">
        <v>9934</v>
      </c>
    </row>
    <row r="101" spans="1:20" x14ac:dyDescent="0.2">
      <c r="A101" s="306" t="s">
        <v>9911</v>
      </c>
      <c r="B101" s="812" t="s">
        <v>9912</v>
      </c>
      <c r="C101" s="261" t="s">
        <v>9913</v>
      </c>
      <c r="D101" s="261" t="s">
        <v>2837</v>
      </c>
      <c r="E101" s="261" t="s">
        <v>137</v>
      </c>
      <c r="F101" s="261" t="s">
        <v>9914</v>
      </c>
      <c r="G101" s="813" t="s">
        <v>9915</v>
      </c>
      <c r="H101" s="261">
        <v>192</v>
      </c>
      <c r="I101" s="261">
        <v>56</v>
      </c>
      <c r="J101" s="261">
        <v>450</v>
      </c>
      <c r="K101" s="261">
        <v>200</v>
      </c>
      <c r="L101" s="261" t="s">
        <v>9916</v>
      </c>
      <c r="M101" s="261" t="s">
        <v>9891</v>
      </c>
      <c r="N101" s="261" t="s">
        <v>9090</v>
      </c>
      <c r="O101" s="261" t="s">
        <v>9889</v>
      </c>
      <c r="P101" s="261" t="s">
        <v>9917</v>
      </c>
      <c r="Q101" s="261" t="s">
        <v>137</v>
      </c>
      <c r="R101" s="261" t="s">
        <v>9894</v>
      </c>
      <c r="S101" s="261" t="s">
        <v>137</v>
      </c>
      <c r="T101" s="330" t="s">
        <v>9895</v>
      </c>
    </row>
    <row r="102" spans="1:20" x14ac:dyDescent="0.2">
      <c r="A102" s="306" t="s">
        <v>9988</v>
      </c>
      <c r="B102" s="812" t="s">
        <v>9989</v>
      </c>
      <c r="C102" s="261" t="s">
        <v>9990</v>
      </c>
      <c r="D102" s="261" t="s">
        <v>2837</v>
      </c>
      <c r="E102" s="261" t="s">
        <v>137</v>
      </c>
      <c r="F102" s="261" t="s">
        <v>9991</v>
      </c>
      <c r="G102" s="813" t="s">
        <v>9992</v>
      </c>
      <c r="H102" s="261">
        <v>185</v>
      </c>
      <c r="I102" s="261">
        <v>62</v>
      </c>
      <c r="J102" s="261">
        <v>450</v>
      </c>
      <c r="K102" s="261">
        <v>200</v>
      </c>
      <c r="L102" s="261" t="s">
        <v>9993</v>
      </c>
      <c r="M102" s="261" t="s">
        <v>9969</v>
      </c>
      <c r="N102" s="261" t="s">
        <v>9994</v>
      </c>
      <c r="O102" s="261" t="s">
        <v>9889</v>
      </c>
      <c r="P102" s="261" t="s">
        <v>9995</v>
      </c>
      <c r="Q102" s="261" t="s">
        <v>137</v>
      </c>
      <c r="R102" s="261" t="s">
        <v>9972</v>
      </c>
      <c r="S102" s="261" t="s">
        <v>137</v>
      </c>
      <c r="T102" s="330" t="s">
        <v>9973</v>
      </c>
    </row>
    <row r="103" spans="1:20" x14ac:dyDescent="0.2">
      <c r="A103" s="306" t="s">
        <v>10215</v>
      </c>
      <c r="B103" s="812" t="s">
        <v>10216</v>
      </c>
      <c r="C103" s="261" t="s">
        <v>10217</v>
      </c>
      <c r="D103" s="261" t="s">
        <v>3779</v>
      </c>
      <c r="E103" s="261" t="s">
        <v>10218</v>
      </c>
      <c r="F103" s="261" t="s">
        <v>10219</v>
      </c>
      <c r="G103" s="813" t="s">
        <v>10220</v>
      </c>
      <c r="H103" s="261">
        <v>368</v>
      </c>
      <c r="I103" s="261">
        <v>128</v>
      </c>
      <c r="J103" s="261">
        <v>450</v>
      </c>
      <c r="K103" s="261">
        <v>200</v>
      </c>
      <c r="L103" s="261" t="s">
        <v>10222</v>
      </c>
      <c r="M103" s="261" t="s">
        <v>10223</v>
      </c>
      <c r="N103" s="261" t="s">
        <v>10224</v>
      </c>
      <c r="O103" s="261" t="s">
        <v>10221</v>
      </c>
      <c r="P103" s="261" t="s">
        <v>10225</v>
      </c>
      <c r="Q103" s="261" t="s">
        <v>6997</v>
      </c>
      <c r="R103" s="261" t="s">
        <v>10226</v>
      </c>
      <c r="S103" s="261" t="s">
        <v>6997</v>
      </c>
      <c r="T103" s="330" t="s">
        <v>10168</v>
      </c>
    </row>
    <row r="104" spans="1:20" x14ac:dyDescent="0.2">
      <c r="A104" s="306" t="s">
        <v>9174</v>
      </c>
      <c r="B104" s="812" t="s">
        <v>9175</v>
      </c>
      <c r="C104" s="261" t="s">
        <v>9176</v>
      </c>
      <c r="D104" s="261" t="s">
        <v>3779</v>
      </c>
      <c r="E104" s="261" t="s">
        <v>9177</v>
      </c>
      <c r="F104" s="261" t="s">
        <v>9178</v>
      </c>
      <c r="G104" s="813" t="s">
        <v>9179</v>
      </c>
      <c r="H104" s="261">
        <v>368</v>
      </c>
      <c r="I104" s="261">
        <v>128</v>
      </c>
      <c r="J104" s="261">
        <v>450</v>
      </c>
      <c r="K104" s="261">
        <v>200</v>
      </c>
      <c r="L104" s="261" t="s">
        <v>9181</v>
      </c>
      <c r="M104" s="261" t="s">
        <v>9182</v>
      </c>
      <c r="N104" s="261" t="s">
        <v>9183</v>
      </c>
      <c r="O104" s="261" t="s">
        <v>9180</v>
      </c>
      <c r="P104" s="261" t="s">
        <v>9184</v>
      </c>
      <c r="Q104" s="261" t="s">
        <v>9185</v>
      </c>
      <c r="R104" s="261" t="s">
        <v>9012</v>
      </c>
      <c r="S104" s="261" t="s">
        <v>9137</v>
      </c>
      <c r="T104" s="330" t="s">
        <v>9138</v>
      </c>
    </row>
    <row r="105" spans="1:20" x14ac:dyDescent="0.2">
      <c r="A105" s="306" t="s">
        <v>10227</v>
      </c>
      <c r="B105" s="812" t="s">
        <v>10228</v>
      </c>
      <c r="C105" s="261" t="s">
        <v>10229</v>
      </c>
      <c r="D105" s="261" t="s">
        <v>3779</v>
      </c>
      <c r="E105" s="261" t="s">
        <v>10230</v>
      </c>
      <c r="F105" s="261" t="s">
        <v>10231</v>
      </c>
      <c r="G105" s="813" t="s">
        <v>10232</v>
      </c>
      <c r="H105" s="261">
        <v>368</v>
      </c>
      <c r="I105" s="261">
        <v>128</v>
      </c>
      <c r="J105" s="261">
        <v>450</v>
      </c>
      <c r="K105" s="261">
        <v>200</v>
      </c>
      <c r="L105" s="261" t="s">
        <v>10234</v>
      </c>
      <c r="M105" s="261" t="s">
        <v>10235</v>
      </c>
      <c r="N105" s="261" t="s">
        <v>10236</v>
      </c>
      <c r="O105" s="261" t="s">
        <v>10233</v>
      </c>
      <c r="P105" s="261" t="s">
        <v>10237</v>
      </c>
      <c r="Q105" s="261" t="s">
        <v>10238</v>
      </c>
      <c r="R105" s="261" t="s">
        <v>10239</v>
      </c>
      <c r="S105" s="261" t="s">
        <v>10240</v>
      </c>
      <c r="T105" s="330" t="s">
        <v>10168</v>
      </c>
    </row>
    <row r="106" spans="1:20" x14ac:dyDescent="0.2">
      <c r="A106" s="306" t="s">
        <v>10241</v>
      </c>
      <c r="B106" s="812" t="s">
        <v>10242</v>
      </c>
      <c r="C106" s="261" t="s">
        <v>10243</v>
      </c>
      <c r="D106" s="261" t="s">
        <v>3779</v>
      </c>
      <c r="E106" s="261" t="s">
        <v>10244</v>
      </c>
      <c r="F106" s="261" t="s">
        <v>10245</v>
      </c>
      <c r="G106" s="813" t="s">
        <v>10246</v>
      </c>
      <c r="H106" s="261">
        <v>368</v>
      </c>
      <c r="I106" s="261">
        <v>128</v>
      </c>
      <c r="J106" s="261">
        <v>450</v>
      </c>
      <c r="K106" s="261">
        <v>200</v>
      </c>
      <c r="L106" s="261" t="s">
        <v>10248</v>
      </c>
      <c r="M106" s="261" t="s">
        <v>10249</v>
      </c>
      <c r="N106" s="261" t="s">
        <v>10250</v>
      </c>
      <c r="O106" s="261" t="s">
        <v>10247</v>
      </c>
      <c r="P106" s="261" t="s">
        <v>7011</v>
      </c>
      <c r="Q106" s="261" t="s">
        <v>7183</v>
      </c>
      <c r="R106" s="261" t="s">
        <v>10251</v>
      </c>
      <c r="S106" s="261" t="s">
        <v>10252</v>
      </c>
      <c r="T106" s="330" t="s">
        <v>10168</v>
      </c>
    </row>
    <row r="107" spans="1:20" x14ac:dyDescent="0.2">
      <c r="A107" s="306" t="s">
        <v>8933</v>
      </c>
      <c r="B107" s="812" t="s">
        <v>8934</v>
      </c>
      <c r="C107" s="261" t="s">
        <v>8935</v>
      </c>
      <c r="D107" s="261" t="s">
        <v>3779</v>
      </c>
      <c r="E107" s="261" t="s">
        <v>8936</v>
      </c>
      <c r="F107" s="261" t="s">
        <v>8937</v>
      </c>
      <c r="G107" s="813" t="s">
        <v>8938</v>
      </c>
      <c r="H107" s="261">
        <v>368</v>
      </c>
      <c r="I107" s="261">
        <v>128</v>
      </c>
      <c r="J107" s="261">
        <v>450</v>
      </c>
      <c r="K107" s="261">
        <v>200</v>
      </c>
      <c r="L107" s="261" t="s">
        <v>8940</v>
      </c>
      <c r="M107" s="261" t="s">
        <v>8941</v>
      </c>
      <c r="N107" s="261" t="s">
        <v>8942</v>
      </c>
      <c r="O107" s="261" t="s">
        <v>8939</v>
      </c>
      <c r="P107" s="261" t="s">
        <v>8943</v>
      </c>
      <c r="Q107" s="261" t="s">
        <v>137</v>
      </c>
      <c r="R107" s="261" t="s">
        <v>8898</v>
      </c>
      <c r="S107" s="261" t="s">
        <v>8899</v>
      </c>
      <c r="T107" s="330" t="s">
        <v>8900</v>
      </c>
    </row>
    <row r="108" spans="1:20" x14ac:dyDescent="0.2">
      <c r="A108" s="306" t="s">
        <v>8874</v>
      </c>
      <c r="B108" s="812" t="s">
        <v>8875</v>
      </c>
      <c r="C108" s="261" t="s">
        <v>8876</v>
      </c>
      <c r="D108" s="261" t="s">
        <v>3779</v>
      </c>
      <c r="E108" s="261" t="s">
        <v>8877</v>
      </c>
      <c r="F108" s="261" t="s">
        <v>8878</v>
      </c>
      <c r="G108" s="813" t="s">
        <v>8879</v>
      </c>
      <c r="H108" s="261">
        <v>388</v>
      </c>
      <c r="I108" s="261">
        <v>148</v>
      </c>
      <c r="J108" s="261">
        <v>450</v>
      </c>
      <c r="K108" s="261">
        <v>200</v>
      </c>
      <c r="L108" s="261" t="s">
        <v>8881</v>
      </c>
      <c r="M108" s="261" t="s">
        <v>8882</v>
      </c>
      <c r="N108" s="261" t="s">
        <v>8883</v>
      </c>
      <c r="O108" s="261" t="s">
        <v>8880</v>
      </c>
      <c r="P108" s="261" t="s">
        <v>8884</v>
      </c>
      <c r="Q108" s="261" t="s">
        <v>8885</v>
      </c>
      <c r="R108" s="261" t="s">
        <v>8833</v>
      </c>
      <c r="S108" s="261" t="s">
        <v>8886</v>
      </c>
      <c r="T108" s="330" t="s">
        <v>8835</v>
      </c>
    </row>
    <row r="109" spans="1:20" x14ac:dyDescent="0.2">
      <c r="A109" s="306" t="s">
        <v>10253</v>
      </c>
      <c r="B109" s="812" t="s">
        <v>10254</v>
      </c>
      <c r="C109" s="261" t="s">
        <v>10255</v>
      </c>
      <c r="D109" s="261" t="s">
        <v>3779</v>
      </c>
      <c r="E109" s="261" t="s">
        <v>10256</v>
      </c>
      <c r="F109" s="261" t="s">
        <v>10257</v>
      </c>
      <c r="G109" s="813" t="s">
        <v>10258</v>
      </c>
      <c r="H109" s="261">
        <v>368</v>
      </c>
      <c r="I109" s="261">
        <v>128</v>
      </c>
      <c r="J109" s="261">
        <v>450</v>
      </c>
      <c r="K109" s="261">
        <v>200</v>
      </c>
      <c r="L109" s="261" t="s">
        <v>10260</v>
      </c>
      <c r="M109" s="261" t="s">
        <v>10261</v>
      </c>
      <c r="N109" s="261" t="s">
        <v>10262</v>
      </c>
      <c r="O109" s="261" t="s">
        <v>10259</v>
      </c>
      <c r="P109" s="261" t="s">
        <v>10263</v>
      </c>
      <c r="Q109" s="261" t="s">
        <v>10264</v>
      </c>
      <c r="R109" s="261" t="s">
        <v>10265</v>
      </c>
      <c r="S109" s="261" t="s">
        <v>9723</v>
      </c>
      <c r="T109" s="330" t="s">
        <v>10168</v>
      </c>
    </row>
    <row r="110" spans="1:20" x14ac:dyDescent="0.2">
      <c r="A110" s="306" t="s">
        <v>9703</v>
      </c>
      <c r="B110" s="812" t="s">
        <v>9704</v>
      </c>
      <c r="C110" s="261" t="s">
        <v>9705</v>
      </c>
      <c r="D110" s="261" t="s">
        <v>3779</v>
      </c>
      <c r="E110" s="261" t="s">
        <v>9706</v>
      </c>
      <c r="F110" s="261" t="s">
        <v>9707</v>
      </c>
      <c r="G110" s="813" t="s">
        <v>9708</v>
      </c>
      <c r="H110" s="261">
        <v>388</v>
      </c>
      <c r="I110" s="261">
        <v>148</v>
      </c>
      <c r="J110" s="261">
        <v>450</v>
      </c>
      <c r="K110" s="261">
        <v>200</v>
      </c>
      <c r="L110" s="261" t="s">
        <v>9710</v>
      </c>
      <c r="M110" s="261" t="s">
        <v>9711</v>
      </c>
      <c r="N110" s="261" t="s">
        <v>9712</v>
      </c>
      <c r="O110" s="261" t="s">
        <v>9709</v>
      </c>
      <c r="P110" s="261" t="s">
        <v>9691</v>
      </c>
      <c r="Q110" s="261" t="s">
        <v>9692</v>
      </c>
      <c r="R110" s="261" t="s">
        <v>9667</v>
      </c>
      <c r="S110" s="261" t="s">
        <v>8899</v>
      </c>
      <c r="T110" s="330" t="s">
        <v>9668</v>
      </c>
    </row>
    <row r="111" spans="1:20" x14ac:dyDescent="0.2">
      <c r="A111" s="306" t="s">
        <v>9535</v>
      </c>
      <c r="B111" s="812" t="s">
        <v>9536</v>
      </c>
      <c r="C111" s="261" t="s">
        <v>9537</v>
      </c>
      <c r="D111" s="261" t="s">
        <v>3779</v>
      </c>
      <c r="E111" s="261" t="s">
        <v>9538</v>
      </c>
      <c r="F111" s="261" t="s">
        <v>9539</v>
      </c>
      <c r="G111" s="813" t="s">
        <v>9540</v>
      </c>
      <c r="H111" s="261">
        <v>331</v>
      </c>
      <c r="I111" s="261">
        <v>115</v>
      </c>
      <c r="J111" s="261">
        <v>450</v>
      </c>
      <c r="K111" s="261">
        <v>200</v>
      </c>
      <c r="L111" s="261" t="s">
        <v>9542</v>
      </c>
      <c r="M111" s="261" t="s">
        <v>9543</v>
      </c>
      <c r="N111" s="261" t="s">
        <v>9544</v>
      </c>
      <c r="O111" s="261" t="s">
        <v>9541</v>
      </c>
      <c r="P111" s="261" t="s">
        <v>9545</v>
      </c>
      <c r="Q111" s="261" t="s">
        <v>9242</v>
      </c>
      <c r="R111" s="261" t="s">
        <v>9499</v>
      </c>
      <c r="S111" s="261" t="s">
        <v>9500</v>
      </c>
      <c r="T111" s="330" t="s">
        <v>9501</v>
      </c>
    </row>
    <row r="112" spans="1:20" x14ac:dyDescent="0.2">
      <c r="A112" s="306" t="s">
        <v>9817</v>
      </c>
      <c r="B112" s="812" t="s">
        <v>9818</v>
      </c>
      <c r="C112" s="261" t="s">
        <v>9819</v>
      </c>
      <c r="D112" s="261" t="s">
        <v>3779</v>
      </c>
      <c r="E112" s="261" t="s">
        <v>9820</v>
      </c>
      <c r="F112" s="261" t="s">
        <v>9821</v>
      </c>
      <c r="G112" s="813" t="s">
        <v>9822</v>
      </c>
      <c r="H112" s="261">
        <v>388</v>
      </c>
      <c r="I112" s="261">
        <v>148</v>
      </c>
      <c r="J112" s="261">
        <v>450</v>
      </c>
      <c r="K112" s="261">
        <v>200</v>
      </c>
      <c r="L112" s="261" t="s">
        <v>9824</v>
      </c>
      <c r="M112" s="261" t="s">
        <v>9825</v>
      </c>
      <c r="N112" s="261" t="s">
        <v>9826</v>
      </c>
      <c r="O112" s="261" t="s">
        <v>9823</v>
      </c>
      <c r="P112" s="261" t="s">
        <v>9827</v>
      </c>
      <c r="Q112" s="261" t="s">
        <v>9828</v>
      </c>
      <c r="R112" s="261" t="s">
        <v>9012</v>
      </c>
      <c r="S112" s="261" t="s">
        <v>9781</v>
      </c>
      <c r="T112" s="330" t="s">
        <v>9782</v>
      </c>
    </row>
    <row r="113" spans="1:20" x14ac:dyDescent="0.2">
      <c r="A113" s="306" t="s">
        <v>9439</v>
      </c>
      <c r="B113" s="812" t="s">
        <v>9440</v>
      </c>
      <c r="C113" s="261" t="s">
        <v>9441</v>
      </c>
      <c r="D113" s="261" t="s">
        <v>3779</v>
      </c>
      <c r="E113" s="261" t="s">
        <v>9442</v>
      </c>
      <c r="F113" s="261" t="s">
        <v>9443</v>
      </c>
      <c r="G113" s="813" t="s">
        <v>9444</v>
      </c>
      <c r="H113" s="261">
        <v>221</v>
      </c>
      <c r="I113" s="261">
        <v>77</v>
      </c>
      <c r="J113" s="261">
        <v>450</v>
      </c>
      <c r="K113" s="261">
        <v>200</v>
      </c>
      <c r="L113" s="261" t="s">
        <v>9445</v>
      </c>
      <c r="M113" s="261" t="s">
        <v>9446</v>
      </c>
      <c r="N113" s="261" t="s">
        <v>9447</v>
      </c>
      <c r="O113" s="261" t="s">
        <v>9407</v>
      </c>
      <c r="P113" s="261" t="s">
        <v>7601</v>
      </c>
      <c r="Q113" s="261" t="s">
        <v>137</v>
      </c>
      <c r="R113" s="261" t="s">
        <v>7601</v>
      </c>
      <c r="S113" s="261" t="s">
        <v>137</v>
      </c>
      <c r="T113" s="330" t="s">
        <v>9411</v>
      </c>
    </row>
    <row r="114" spans="1:20" x14ac:dyDescent="0.2">
      <c r="A114" s="306" t="s">
        <v>9583</v>
      </c>
      <c r="B114" s="812" t="s">
        <v>9584</v>
      </c>
      <c r="C114" s="261" t="s">
        <v>9585</v>
      </c>
      <c r="D114" s="261" t="s">
        <v>3779</v>
      </c>
      <c r="E114" s="261" t="s">
        <v>9586</v>
      </c>
      <c r="F114" s="261" t="s">
        <v>9587</v>
      </c>
      <c r="G114" s="813" t="s">
        <v>9588</v>
      </c>
      <c r="H114" s="261">
        <v>388</v>
      </c>
      <c r="I114" s="261">
        <v>148</v>
      </c>
      <c r="J114" s="261">
        <v>450</v>
      </c>
      <c r="K114" s="261">
        <v>200</v>
      </c>
      <c r="L114" s="261" t="s">
        <v>9590</v>
      </c>
      <c r="M114" s="261" t="s">
        <v>9362</v>
      </c>
      <c r="N114" s="261" t="s">
        <v>9591</v>
      </c>
      <c r="O114" s="261" t="s">
        <v>9589</v>
      </c>
      <c r="P114" s="261" t="s">
        <v>8686</v>
      </c>
      <c r="Q114" s="261" t="s">
        <v>9592</v>
      </c>
      <c r="R114" s="261" t="s">
        <v>9557</v>
      </c>
      <c r="S114" s="261" t="s">
        <v>9558</v>
      </c>
      <c r="T114" s="330" t="s">
        <v>9559</v>
      </c>
    </row>
    <row r="115" spans="1:20" x14ac:dyDescent="0.2">
      <c r="A115" s="306" t="s">
        <v>10143</v>
      </c>
      <c r="B115" s="812" t="s">
        <v>10144</v>
      </c>
      <c r="C115" s="261" t="s">
        <v>10145</v>
      </c>
      <c r="D115" s="261" t="s">
        <v>3779</v>
      </c>
      <c r="E115" s="261" t="s">
        <v>10146</v>
      </c>
      <c r="F115" s="261" t="s">
        <v>10147</v>
      </c>
      <c r="G115" s="813" t="s">
        <v>10148</v>
      </c>
      <c r="H115" s="261">
        <v>368</v>
      </c>
      <c r="I115" s="261">
        <v>128</v>
      </c>
      <c r="J115" s="261">
        <v>450</v>
      </c>
      <c r="K115" s="261">
        <v>200</v>
      </c>
      <c r="L115" s="261" t="s">
        <v>10150</v>
      </c>
      <c r="M115" s="261" t="s">
        <v>10151</v>
      </c>
      <c r="N115" s="261" t="s">
        <v>10152</v>
      </c>
      <c r="O115" s="261" t="s">
        <v>10149</v>
      </c>
      <c r="P115" s="261" t="s">
        <v>8152</v>
      </c>
      <c r="Q115" s="261" t="s">
        <v>10153</v>
      </c>
      <c r="R115" s="261" t="s">
        <v>10129</v>
      </c>
      <c r="S115" s="261" t="s">
        <v>10130</v>
      </c>
      <c r="T115" s="330" t="s">
        <v>10131</v>
      </c>
    </row>
    <row r="116" spans="1:20" x14ac:dyDescent="0.2">
      <c r="A116" s="306" t="s">
        <v>10073</v>
      </c>
      <c r="B116" s="812" t="s">
        <v>10074</v>
      </c>
      <c r="C116" s="261" t="s">
        <v>10075</v>
      </c>
      <c r="D116" s="261" t="s">
        <v>3779</v>
      </c>
      <c r="E116" s="261" t="s">
        <v>8993</v>
      </c>
      <c r="F116" s="261" t="s">
        <v>10076</v>
      </c>
      <c r="G116" s="813" t="s">
        <v>10077</v>
      </c>
      <c r="H116" s="261">
        <v>221</v>
      </c>
      <c r="I116" s="261">
        <v>77</v>
      </c>
      <c r="J116" s="261">
        <v>450</v>
      </c>
      <c r="K116" s="261">
        <v>200</v>
      </c>
      <c r="L116" s="261" t="s">
        <v>10079</v>
      </c>
      <c r="M116" s="261" t="s">
        <v>10080</v>
      </c>
      <c r="N116" s="261" t="s">
        <v>10081</v>
      </c>
      <c r="O116" s="261" t="s">
        <v>10078</v>
      </c>
      <c r="P116" s="261" t="s">
        <v>10082</v>
      </c>
      <c r="Q116" s="261" t="s">
        <v>137</v>
      </c>
      <c r="R116" s="261" t="s">
        <v>23983</v>
      </c>
      <c r="S116" s="261" t="s">
        <v>9558</v>
      </c>
      <c r="T116" s="330" t="s">
        <v>10052</v>
      </c>
    </row>
    <row r="117" spans="1:20" x14ac:dyDescent="0.2">
      <c r="A117" s="306" t="s">
        <v>8990</v>
      </c>
      <c r="B117" s="812" t="s">
        <v>8991</v>
      </c>
      <c r="C117" s="261" t="s">
        <v>8992</v>
      </c>
      <c r="D117" s="261" t="s">
        <v>3779</v>
      </c>
      <c r="E117" s="261" t="s">
        <v>8993</v>
      </c>
      <c r="F117" s="261" t="s">
        <v>8994</v>
      </c>
      <c r="G117" s="813" t="s">
        <v>8995</v>
      </c>
      <c r="H117" s="261">
        <v>221</v>
      </c>
      <c r="I117" s="261">
        <v>77</v>
      </c>
      <c r="J117" s="261">
        <v>450</v>
      </c>
      <c r="K117" s="261">
        <v>200</v>
      </c>
      <c r="L117" s="261" t="s">
        <v>8997</v>
      </c>
      <c r="M117" s="261" t="s">
        <v>8998</v>
      </c>
      <c r="N117" s="261" t="s">
        <v>8999</v>
      </c>
      <c r="O117" s="261" t="s">
        <v>8996</v>
      </c>
      <c r="P117" s="261" t="s">
        <v>9000</v>
      </c>
      <c r="Q117" s="261" t="s">
        <v>9001</v>
      </c>
      <c r="R117" s="261" t="s">
        <v>8956</v>
      </c>
      <c r="S117" s="261" t="s">
        <v>8957</v>
      </c>
      <c r="T117" s="330" t="s">
        <v>8958</v>
      </c>
    </row>
    <row r="118" spans="1:20" x14ac:dyDescent="0.2">
      <c r="A118" s="306" t="s">
        <v>9873</v>
      </c>
      <c r="B118" s="812" t="s">
        <v>9874</v>
      </c>
      <c r="C118" s="261" t="s">
        <v>9875</v>
      </c>
      <c r="D118" s="261" t="s">
        <v>3779</v>
      </c>
      <c r="E118" s="261" t="s">
        <v>9876</v>
      </c>
      <c r="F118" s="261" t="s">
        <v>9877</v>
      </c>
      <c r="G118" s="813" t="s">
        <v>9878</v>
      </c>
      <c r="H118" s="261">
        <v>388</v>
      </c>
      <c r="I118" s="261">
        <v>148</v>
      </c>
      <c r="J118" s="261">
        <v>450</v>
      </c>
      <c r="K118" s="261">
        <v>200</v>
      </c>
      <c r="L118" s="261" t="s">
        <v>9880</v>
      </c>
      <c r="M118" s="261" t="s">
        <v>9881</v>
      </c>
      <c r="N118" s="261" t="s">
        <v>9882</v>
      </c>
      <c r="O118" s="261" t="s">
        <v>9879</v>
      </c>
      <c r="P118" s="261" t="s">
        <v>9883</v>
      </c>
      <c r="Q118" s="261" t="s">
        <v>9026</v>
      </c>
      <c r="R118" s="261" t="s">
        <v>9012</v>
      </c>
      <c r="S118" s="261" t="s">
        <v>8899</v>
      </c>
      <c r="T118" s="330" t="s">
        <v>9839</v>
      </c>
    </row>
    <row r="119" spans="1:20" x14ac:dyDescent="0.2">
      <c r="A119" s="306" t="s">
        <v>9646</v>
      </c>
      <c r="B119" s="812" t="s">
        <v>9647</v>
      </c>
      <c r="C119" s="261" t="s">
        <v>9648</v>
      </c>
      <c r="D119" s="261" t="s">
        <v>3779</v>
      </c>
      <c r="E119" s="261" t="s">
        <v>9649</v>
      </c>
      <c r="F119" s="261" t="s">
        <v>9650</v>
      </c>
      <c r="G119" s="813" t="s">
        <v>9651</v>
      </c>
      <c r="H119" s="261">
        <v>388</v>
      </c>
      <c r="I119" s="261">
        <v>148</v>
      </c>
      <c r="J119" s="261">
        <v>450</v>
      </c>
      <c r="K119" s="261">
        <v>200</v>
      </c>
      <c r="L119" s="261" t="s">
        <v>9653</v>
      </c>
      <c r="M119" s="261" t="s">
        <v>9654</v>
      </c>
      <c r="N119" s="261" t="s">
        <v>9655</v>
      </c>
      <c r="O119" s="261" t="s">
        <v>9652</v>
      </c>
      <c r="P119" s="261" t="s">
        <v>9353</v>
      </c>
      <c r="Q119" s="261" t="s">
        <v>9609</v>
      </c>
      <c r="R119" s="261" t="s">
        <v>9610</v>
      </c>
      <c r="S119" s="261" t="s">
        <v>9611</v>
      </c>
      <c r="T119" s="330" t="s">
        <v>9612</v>
      </c>
    </row>
    <row r="120" spans="1:20" x14ac:dyDescent="0.2">
      <c r="A120" s="306" t="s">
        <v>10106</v>
      </c>
      <c r="B120" s="812" t="s">
        <v>10107</v>
      </c>
      <c r="C120" s="261" t="s">
        <v>10108</v>
      </c>
      <c r="D120" s="261" t="s">
        <v>3779</v>
      </c>
      <c r="E120" s="261" t="s">
        <v>10109</v>
      </c>
      <c r="F120" s="261" t="s">
        <v>10110</v>
      </c>
      <c r="G120" s="813" t="s">
        <v>10111</v>
      </c>
      <c r="H120" s="261">
        <v>388</v>
      </c>
      <c r="I120" s="261">
        <v>148</v>
      </c>
      <c r="J120" s="261">
        <v>450</v>
      </c>
      <c r="K120" s="261">
        <v>200</v>
      </c>
      <c r="L120" s="261" t="s">
        <v>10113</v>
      </c>
      <c r="M120" s="261" t="s">
        <v>10114</v>
      </c>
      <c r="N120" s="261" t="s">
        <v>10115</v>
      </c>
      <c r="O120" s="261" t="s">
        <v>10112</v>
      </c>
      <c r="P120" s="261" t="s">
        <v>10116</v>
      </c>
      <c r="Q120" s="261" t="s">
        <v>7792</v>
      </c>
      <c r="R120" s="261" t="s">
        <v>10093</v>
      </c>
      <c r="S120" s="261" t="s">
        <v>9723</v>
      </c>
      <c r="T120" s="330" t="s">
        <v>10094</v>
      </c>
    </row>
    <row r="121" spans="1:20" x14ac:dyDescent="0.2">
      <c r="A121" s="306" t="s">
        <v>9062</v>
      </c>
      <c r="B121" s="812" t="s">
        <v>9063</v>
      </c>
      <c r="C121" s="261" t="s">
        <v>9064</v>
      </c>
      <c r="D121" s="261" t="s">
        <v>3779</v>
      </c>
      <c r="E121" s="261" t="s">
        <v>9065</v>
      </c>
      <c r="F121" s="261" t="s">
        <v>9066</v>
      </c>
      <c r="G121" s="813" t="s">
        <v>9067</v>
      </c>
      <c r="H121" s="261">
        <v>229</v>
      </c>
      <c r="I121" s="261">
        <v>69</v>
      </c>
      <c r="J121" s="261">
        <v>450</v>
      </c>
      <c r="K121" s="261">
        <v>200</v>
      </c>
      <c r="L121" s="261" t="s">
        <v>9068</v>
      </c>
      <c r="M121" s="261" t="s">
        <v>9069</v>
      </c>
      <c r="N121" s="261" t="s">
        <v>9070</v>
      </c>
      <c r="O121" s="261" t="s">
        <v>23985</v>
      </c>
      <c r="P121" s="261" t="s">
        <v>7974</v>
      </c>
      <c r="Q121" s="261" t="s">
        <v>137</v>
      </c>
      <c r="R121" s="261" t="s">
        <v>7601</v>
      </c>
      <c r="S121" s="261" t="s">
        <v>9071</v>
      </c>
      <c r="T121" s="330" t="s">
        <v>9072</v>
      </c>
    </row>
    <row r="122" spans="1:20" x14ac:dyDescent="0.2">
      <c r="A122" s="306" t="s">
        <v>9051</v>
      </c>
      <c r="B122" s="812" t="s">
        <v>9052</v>
      </c>
      <c r="C122" s="261" t="s">
        <v>9053</v>
      </c>
      <c r="D122" s="261" t="s">
        <v>3779</v>
      </c>
      <c r="E122" s="261" t="s">
        <v>9054</v>
      </c>
      <c r="F122" s="261" t="s">
        <v>9055</v>
      </c>
      <c r="G122" s="813" t="s">
        <v>9056</v>
      </c>
      <c r="H122" s="261">
        <v>374</v>
      </c>
      <c r="I122" s="261">
        <v>121</v>
      </c>
      <c r="J122" s="261">
        <v>450</v>
      </c>
      <c r="K122" s="261">
        <v>200</v>
      </c>
      <c r="L122" s="261" t="s">
        <v>9058</v>
      </c>
      <c r="M122" s="261" t="s">
        <v>9059</v>
      </c>
      <c r="N122" s="261" t="s">
        <v>9060</v>
      </c>
      <c r="O122" s="261" t="s">
        <v>9057</v>
      </c>
      <c r="P122" s="261" t="s">
        <v>9061</v>
      </c>
      <c r="Q122" s="261" t="s">
        <v>137</v>
      </c>
      <c r="R122" s="261" t="s">
        <v>9012</v>
      </c>
      <c r="S122" s="261" t="s">
        <v>9013</v>
      </c>
      <c r="T122" s="330" t="s">
        <v>9014</v>
      </c>
    </row>
    <row r="123" spans="1:20" x14ac:dyDescent="0.2">
      <c r="A123" s="306" t="s">
        <v>9759</v>
      </c>
      <c r="B123" s="812" t="s">
        <v>9760</v>
      </c>
      <c r="C123" s="261" t="s">
        <v>9761</v>
      </c>
      <c r="D123" s="261" t="s">
        <v>3779</v>
      </c>
      <c r="E123" s="261" t="s">
        <v>9762</v>
      </c>
      <c r="F123" s="261" t="s">
        <v>9763</v>
      </c>
      <c r="G123" s="813" t="s">
        <v>9764</v>
      </c>
      <c r="H123" s="261">
        <v>224</v>
      </c>
      <c r="I123" s="261">
        <v>73</v>
      </c>
      <c r="J123" s="261">
        <v>450</v>
      </c>
      <c r="K123" s="261">
        <v>200</v>
      </c>
      <c r="L123" s="261" t="s">
        <v>9766</v>
      </c>
      <c r="M123" s="261" t="s">
        <v>9767</v>
      </c>
      <c r="N123" s="261" t="s">
        <v>9768</v>
      </c>
      <c r="O123" s="261" t="s">
        <v>9765</v>
      </c>
      <c r="P123" s="261" t="s">
        <v>9769</v>
      </c>
      <c r="Q123" s="261" t="s">
        <v>137</v>
      </c>
      <c r="R123" s="261" t="s">
        <v>9722</v>
      </c>
      <c r="S123" s="261" t="s">
        <v>9723</v>
      </c>
      <c r="T123" s="330" t="s">
        <v>9724</v>
      </c>
    </row>
    <row r="124" spans="1:20" x14ac:dyDescent="0.2">
      <c r="A124" s="306" t="s">
        <v>8749</v>
      </c>
      <c r="B124" s="812" t="s">
        <v>8750</v>
      </c>
      <c r="C124" s="261" t="s">
        <v>8751</v>
      </c>
      <c r="D124" s="261" t="s">
        <v>3779</v>
      </c>
      <c r="E124" s="261" t="s">
        <v>8752</v>
      </c>
      <c r="F124" s="261" t="s">
        <v>8753</v>
      </c>
      <c r="G124" s="813" t="s">
        <v>8754</v>
      </c>
      <c r="H124" s="261">
        <v>224</v>
      </c>
      <c r="I124" s="261">
        <v>73</v>
      </c>
      <c r="J124" s="261">
        <v>450</v>
      </c>
      <c r="K124" s="261">
        <v>200</v>
      </c>
      <c r="L124" s="261" t="s">
        <v>8756</v>
      </c>
      <c r="M124" s="261" t="s">
        <v>8757</v>
      </c>
      <c r="N124" s="261" t="s">
        <v>8758</v>
      </c>
      <c r="O124" s="261" t="s">
        <v>8755</v>
      </c>
      <c r="P124" s="261" t="s">
        <v>8759</v>
      </c>
      <c r="Q124" s="261" t="s">
        <v>137</v>
      </c>
      <c r="R124" s="261" t="s">
        <v>8673</v>
      </c>
      <c r="S124" s="261" t="s">
        <v>8712</v>
      </c>
      <c r="T124" s="330" t="s">
        <v>8675</v>
      </c>
    </row>
    <row r="125" spans="1:20" x14ac:dyDescent="0.2">
      <c r="A125" s="306" t="s">
        <v>9286</v>
      </c>
      <c r="B125" s="812" t="s">
        <v>9287</v>
      </c>
      <c r="C125" s="261" t="s">
        <v>9288</v>
      </c>
      <c r="D125" s="261" t="s">
        <v>3779</v>
      </c>
      <c r="E125" s="261" t="s">
        <v>9289</v>
      </c>
      <c r="F125" s="261" t="s">
        <v>9290</v>
      </c>
      <c r="G125" s="813" t="s">
        <v>9291</v>
      </c>
      <c r="H125" s="261">
        <v>370</v>
      </c>
      <c r="I125" s="261">
        <v>140</v>
      </c>
      <c r="J125" s="261">
        <v>450</v>
      </c>
      <c r="K125" s="261">
        <v>200</v>
      </c>
      <c r="L125" s="261" t="s">
        <v>9293</v>
      </c>
      <c r="M125" s="261" t="s">
        <v>9294</v>
      </c>
      <c r="N125" s="261" t="s">
        <v>9295</v>
      </c>
      <c r="O125" s="261" t="s">
        <v>9292</v>
      </c>
      <c r="P125" s="261" t="s">
        <v>9253</v>
      </c>
      <c r="Q125" s="261" t="s">
        <v>7277</v>
      </c>
      <c r="R125" s="261" t="s">
        <v>9253</v>
      </c>
      <c r="S125" s="261" t="s">
        <v>9254</v>
      </c>
      <c r="T125" s="330" t="s">
        <v>9255</v>
      </c>
    </row>
    <row r="126" spans="1:20" x14ac:dyDescent="0.2">
      <c r="A126" s="306" t="s">
        <v>9393</v>
      </c>
      <c r="B126" s="812" t="s">
        <v>9394</v>
      </c>
      <c r="C126" s="261" t="s">
        <v>9395</v>
      </c>
      <c r="D126" s="261" t="s">
        <v>3779</v>
      </c>
      <c r="E126" s="261" t="s">
        <v>9396</v>
      </c>
      <c r="F126" s="261" t="s">
        <v>9397</v>
      </c>
      <c r="G126" s="813" t="s">
        <v>9398</v>
      </c>
      <c r="H126" s="261">
        <v>394</v>
      </c>
      <c r="I126" s="261">
        <v>141</v>
      </c>
      <c r="J126" s="261">
        <v>450</v>
      </c>
      <c r="K126" s="261">
        <v>200</v>
      </c>
      <c r="L126" s="261" t="s">
        <v>9400</v>
      </c>
      <c r="M126" s="261" t="s">
        <v>9182</v>
      </c>
      <c r="N126" s="261" t="s">
        <v>9183</v>
      </c>
      <c r="O126" s="261" t="s">
        <v>9399</v>
      </c>
      <c r="P126" s="261" t="s">
        <v>9253</v>
      </c>
      <c r="Q126" s="261" t="s">
        <v>9375</v>
      </c>
      <c r="R126" s="261" t="s">
        <v>9253</v>
      </c>
      <c r="S126" s="261" t="s">
        <v>8899</v>
      </c>
      <c r="T126" s="330" t="s">
        <v>9365</v>
      </c>
    </row>
    <row r="127" spans="1:20" x14ac:dyDescent="0.2">
      <c r="A127" s="306" t="s">
        <v>9073</v>
      </c>
      <c r="B127" s="812" t="s">
        <v>9074</v>
      </c>
      <c r="C127" s="261" t="s">
        <v>9075</v>
      </c>
      <c r="D127" s="261" t="s">
        <v>3779</v>
      </c>
      <c r="E127" s="261" t="s">
        <v>9076</v>
      </c>
      <c r="F127" s="261" t="s">
        <v>9077</v>
      </c>
      <c r="G127" s="813" t="s">
        <v>9078</v>
      </c>
      <c r="H127" s="261">
        <v>209</v>
      </c>
      <c r="I127" s="261">
        <v>63</v>
      </c>
      <c r="J127" s="261">
        <v>450</v>
      </c>
      <c r="K127" s="261">
        <v>200</v>
      </c>
      <c r="L127" s="261" t="s">
        <v>9079</v>
      </c>
      <c r="M127" s="261" t="s">
        <v>9080</v>
      </c>
      <c r="N127" s="261" t="s">
        <v>9081</v>
      </c>
      <c r="O127" s="261" t="s">
        <v>23986</v>
      </c>
      <c r="P127" s="261" t="s">
        <v>7759</v>
      </c>
      <c r="Q127" s="261" t="s">
        <v>137</v>
      </c>
      <c r="R127" s="261" t="s">
        <v>7601</v>
      </c>
      <c r="S127" s="261" t="s">
        <v>9082</v>
      </c>
      <c r="T127" s="330" t="s">
        <v>9072</v>
      </c>
    </row>
    <row r="128" spans="1:20" x14ac:dyDescent="0.2">
      <c r="A128" s="306" t="s">
        <v>9083</v>
      </c>
      <c r="B128" s="812" t="s">
        <v>9084</v>
      </c>
      <c r="C128" s="261" t="s">
        <v>9085</v>
      </c>
      <c r="D128" s="261" t="s">
        <v>3779</v>
      </c>
      <c r="E128" s="261" t="s">
        <v>9086</v>
      </c>
      <c r="F128" s="261" t="s">
        <v>9087</v>
      </c>
      <c r="G128" s="813" t="s">
        <v>9088</v>
      </c>
      <c r="H128" s="261">
        <v>209</v>
      </c>
      <c r="I128" s="261">
        <v>63</v>
      </c>
      <c r="J128" s="261">
        <v>450</v>
      </c>
      <c r="K128" s="261">
        <v>200</v>
      </c>
      <c r="L128" s="261" t="s">
        <v>9089</v>
      </c>
      <c r="M128" s="261" t="s">
        <v>9090</v>
      </c>
      <c r="N128" s="261" t="s">
        <v>9091</v>
      </c>
      <c r="O128" s="261" t="s">
        <v>23987</v>
      </c>
      <c r="P128" s="261" t="s">
        <v>9092</v>
      </c>
      <c r="Q128" s="261" t="s">
        <v>137</v>
      </c>
      <c r="R128" s="261" t="s">
        <v>7601</v>
      </c>
      <c r="S128" s="261" t="s">
        <v>9093</v>
      </c>
      <c r="T128" s="330" t="s">
        <v>9072</v>
      </c>
    </row>
    <row r="129" spans="1:21" x14ac:dyDescent="0.2">
      <c r="A129" s="306" t="s">
        <v>9343</v>
      </c>
      <c r="B129" s="812" t="s">
        <v>9344</v>
      </c>
      <c r="C129" s="261" t="s">
        <v>9345</v>
      </c>
      <c r="D129" s="261" t="s">
        <v>3779</v>
      </c>
      <c r="E129" s="261" t="s">
        <v>9346</v>
      </c>
      <c r="F129" s="261" t="s">
        <v>9347</v>
      </c>
      <c r="G129" s="813" t="s">
        <v>9348</v>
      </c>
      <c r="H129" s="261">
        <v>299</v>
      </c>
      <c r="I129" s="261">
        <v>97</v>
      </c>
      <c r="J129" s="261">
        <v>450</v>
      </c>
      <c r="K129" s="261">
        <v>200</v>
      </c>
      <c r="L129" s="261" t="s">
        <v>9350</v>
      </c>
      <c r="M129" s="261" t="s">
        <v>9351</v>
      </c>
      <c r="N129" s="261" t="s">
        <v>9352</v>
      </c>
      <c r="O129" s="261" t="s">
        <v>9349</v>
      </c>
      <c r="P129" s="261" t="s">
        <v>9353</v>
      </c>
      <c r="Q129" s="261" t="s">
        <v>137</v>
      </c>
      <c r="R129" s="261" t="s">
        <v>9307</v>
      </c>
      <c r="S129" s="261" t="s">
        <v>9308</v>
      </c>
      <c r="T129" s="330" t="s">
        <v>9309</v>
      </c>
    </row>
    <row r="130" spans="1:21" x14ac:dyDescent="0.2">
      <c r="A130" s="306" t="s">
        <v>8760</v>
      </c>
      <c r="B130" s="812" t="s">
        <v>8761</v>
      </c>
      <c r="C130" s="261" t="s">
        <v>8762</v>
      </c>
      <c r="D130" s="261" t="s">
        <v>3779</v>
      </c>
      <c r="E130" s="261" t="s">
        <v>8763</v>
      </c>
      <c r="F130" s="261" t="s">
        <v>8764</v>
      </c>
      <c r="G130" s="813" t="s">
        <v>8765</v>
      </c>
      <c r="H130" s="261">
        <v>294</v>
      </c>
      <c r="I130" s="261">
        <v>102</v>
      </c>
      <c r="J130" s="261">
        <v>450</v>
      </c>
      <c r="K130" s="261">
        <v>200</v>
      </c>
      <c r="L130" s="261" t="s">
        <v>8767</v>
      </c>
      <c r="M130" s="261" t="s">
        <v>8768</v>
      </c>
      <c r="N130" s="261" t="s">
        <v>8769</v>
      </c>
      <c r="O130" s="261" t="s">
        <v>8766</v>
      </c>
      <c r="P130" s="261" t="s">
        <v>8770</v>
      </c>
      <c r="Q130" s="261" t="s">
        <v>137</v>
      </c>
      <c r="R130" s="261" t="s">
        <v>8673</v>
      </c>
      <c r="S130" s="261" t="s">
        <v>8771</v>
      </c>
      <c r="T130" s="330" t="s">
        <v>8675</v>
      </c>
    </row>
    <row r="131" spans="1:21" x14ac:dyDescent="0.2">
      <c r="A131" s="306" t="s">
        <v>9232</v>
      </c>
      <c r="B131" s="812" t="s">
        <v>9233</v>
      </c>
      <c r="C131" s="261" t="s">
        <v>9234</v>
      </c>
      <c r="D131" s="261" t="s">
        <v>3779</v>
      </c>
      <c r="E131" s="261" t="s">
        <v>9235</v>
      </c>
      <c r="F131" s="261" t="s">
        <v>9236</v>
      </c>
      <c r="G131" s="813" t="s">
        <v>9237</v>
      </c>
      <c r="H131" s="261">
        <v>202</v>
      </c>
      <c r="I131" s="261">
        <v>70</v>
      </c>
      <c r="J131" s="261">
        <v>450</v>
      </c>
      <c r="K131" s="261">
        <v>200</v>
      </c>
      <c r="L131" s="261" t="s">
        <v>9239</v>
      </c>
      <c r="M131" s="261" t="s">
        <v>9240</v>
      </c>
      <c r="N131" s="261" t="s">
        <v>9241</v>
      </c>
      <c r="O131" s="261" t="s">
        <v>9238</v>
      </c>
      <c r="P131" s="261" t="s">
        <v>9242</v>
      </c>
      <c r="Q131" s="261" t="s">
        <v>137</v>
      </c>
      <c r="R131" s="261" t="s">
        <v>9197</v>
      </c>
      <c r="S131" s="261" t="s">
        <v>650</v>
      </c>
      <c r="T131" s="330" t="s">
        <v>9198</v>
      </c>
    </row>
    <row r="132" spans="1:21" x14ac:dyDescent="0.2">
      <c r="A132" s="306" t="s">
        <v>9956</v>
      </c>
      <c r="B132" s="812" t="s">
        <v>9957</v>
      </c>
      <c r="C132" s="261" t="s">
        <v>9958</v>
      </c>
      <c r="D132" s="261" t="s">
        <v>3779</v>
      </c>
      <c r="E132" s="261" t="s">
        <v>137</v>
      </c>
      <c r="F132" s="261" t="s">
        <v>9959</v>
      </c>
      <c r="G132" s="813" t="s">
        <v>9960</v>
      </c>
      <c r="H132" s="261">
        <v>186</v>
      </c>
      <c r="I132" s="261">
        <v>61</v>
      </c>
      <c r="J132" s="261">
        <v>450</v>
      </c>
      <c r="K132" s="261">
        <v>200</v>
      </c>
      <c r="L132" s="261" t="s">
        <v>9961</v>
      </c>
      <c r="M132" s="261" t="s">
        <v>9931</v>
      </c>
      <c r="N132" s="261" t="s">
        <v>9932</v>
      </c>
      <c r="O132" s="261" t="s">
        <v>9889</v>
      </c>
      <c r="P132" s="261" t="s">
        <v>9962</v>
      </c>
      <c r="Q132" s="261" t="s">
        <v>137</v>
      </c>
      <c r="R132" s="261" t="s">
        <v>9610</v>
      </c>
      <c r="S132" s="261" t="s">
        <v>137</v>
      </c>
      <c r="T132" s="330" t="s">
        <v>9934</v>
      </c>
    </row>
    <row r="133" spans="1:21" x14ac:dyDescent="0.2">
      <c r="A133" s="306" t="s">
        <v>9918</v>
      </c>
      <c r="B133" s="812" t="s">
        <v>9919</v>
      </c>
      <c r="C133" s="261" t="s">
        <v>9920</v>
      </c>
      <c r="D133" s="261" t="s">
        <v>3779</v>
      </c>
      <c r="E133" s="261" t="s">
        <v>137</v>
      </c>
      <c r="F133" s="261" t="s">
        <v>9921</v>
      </c>
      <c r="G133" s="813" t="s">
        <v>9922</v>
      </c>
      <c r="H133" s="261">
        <v>190</v>
      </c>
      <c r="I133" s="261">
        <v>58</v>
      </c>
      <c r="J133" s="261">
        <v>450</v>
      </c>
      <c r="K133" s="261">
        <v>200</v>
      </c>
      <c r="L133" s="261" t="s">
        <v>9923</v>
      </c>
      <c r="M133" s="261" t="s">
        <v>9891</v>
      </c>
      <c r="N133" s="261" t="s">
        <v>9909</v>
      </c>
      <c r="O133" s="261" t="s">
        <v>9889</v>
      </c>
      <c r="P133" s="261" t="s">
        <v>9924</v>
      </c>
      <c r="Q133" s="261" t="s">
        <v>137</v>
      </c>
      <c r="R133" s="261" t="s">
        <v>9894</v>
      </c>
      <c r="S133" s="261" t="s">
        <v>137</v>
      </c>
      <c r="T133" s="330" t="s">
        <v>9895</v>
      </c>
    </row>
    <row r="134" spans="1:21" x14ac:dyDescent="0.2">
      <c r="A134" s="272" t="s">
        <v>9996</v>
      </c>
      <c r="B134" s="814" t="s">
        <v>8652</v>
      </c>
      <c r="C134" s="264" t="s">
        <v>9997</v>
      </c>
      <c r="D134" s="264" t="s">
        <v>3779</v>
      </c>
      <c r="E134" s="264" t="s">
        <v>137</v>
      </c>
      <c r="F134" s="264" t="s">
        <v>9998</v>
      </c>
      <c r="G134" s="815" t="s">
        <v>9999</v>
      </c>
      <c r="H134" s="264">
        <v>183</v>
      </c>
      <c r="I134" s="264">
        <v>64</v>
      </c>
      <c r="J134" s="264">
        <v>450</v>
      </c>
      <c r="K134" s="264">
        <v>200</v>
      </c>
      <c r="L134" s="264" t="s">
        <v>10000</v>
      </c>
      <c r="M134" s="264" t="s">
        <v>9969</v>
      </c>
      <c r="N134" s="264" t="s">
        <v>9970</v>
      </c>
      <c r="O134" s="264" t="s">
        <v>9889</v>
      </c>
      <c r="P134" s="264" t="s">
        <v>10001</v>
      </c>
      <c r="Q134" s="264" t="s">
        <v>137</v>
      </c>
      <c r="R134" s="264" t="s">
        <v>9972</v>
      </c>
      <c r="S134" s="264" t="s">
        <v>137</v>
      </c>
      <c r="T134" s="332" t="s">
        <v>9973</v>
      </c>
    </row>
    <row r="135" spans="1:21" hidden="1" outlineLevel="1" x14ac:dyDescent="0.2">
      <c r="A135" t="s">
        <v>8801</v>
      </c>
      <c r="B135" s="86" t="s">
        <v>8802</v>
      </c>
      <c r="C135" t="s">
        <v>8803</v>
      </c>
      <c r="D135" t="s">
        <v>122</v>
      </c>
      <c r="E135" t="s">
        <v>945</v>
      </c>
      <c r="G135" s="4" t="s">
        <v>8804</v>
      </c>
      <c r="H135" t="s">
        <v>137</v>
      </c>
      <c r="I135" t="s">
        <v>137</v>
      </c>
      <c r="J135">
        <v>450</v>
      </c>
      <c r="K135">
        <v>200</v>
      </c>
      <c r="L135" t="s">
        <v>10541</v>
      </c>
      <c r="N135" t="s">
        <v>24235</v>
      </c>
      <c r="O135" t="s">
        <v>8805</v>
      </c>
      <c r="R135" t="s">
        <v>8806</v>
      </c>
      <c r="S135" t="s">
        <v>24283</v>
      </c>
      <c r="T135" t="s">
        <v>8786</v>
      </c>
      <c r="U135" t="s">
        <v>24274</v>
      </c>
    </row>
    <row r="136" spans="1:21" hidden="1" outlineLevel="1" x14ac:dyDescent="0.2">
      <c r="A136" t="s">
        <v>24259</v>
      </c>
      <c r="B136" s="86" t="s">
        <v>8808</v>
      </c>
      <c r="C136" t="s">
        <v>8809</v>
      </c>
      <c r="D136" t="s">
        <v>2837</v>
      </c>
      <c r="E136" t="s">
        <v>8810</v>
      </c>
      <c r="G136" s="4" t="s">
        <v>8811</v>
      </c>
      <c r="H136" t="s">
        <v>137</v>
      </c>
      <c r="I136" t="s">
        <v>137</v>
      </c>
      <c r="J136">
        <v>450</v>
      </c>
      <c r="K136">
        <v>200</v>
      </c>
      <c r="O136" t="s">
        <v>8812</v>
      </c>
      <c r="R136" t="s">
        <v>8813</v>
      </c>
      <c r="S136" t="s">
        <v>8814</v>
      </c>
      <c r="T136" t="s">
        <v>8786</v>
      </c>
    </row>
    <row r="137" spans="1:21" hidden="1" outlineLevel="1" x14ac:dyDescent="0.2">
      <c r="A137" t="s">
        <v>24260</v>
      </c>
      <c r="B137" s="86" t="s">
        <v>8815</v>
      </c>
      <c r="C137" t="s">
        <v>8816</v>
      </c>
      <c r="D137" t="s">
        <v>3779</v>
      </c>
      <c r="E137" t="s">
        <v>8817</v>
      </c>
      <c r="G137" s="4" t="s">
        <v>8818</v>
      </c>
      <c r="H137" t="s">
        <v>137</v>
      </c>
      <c r="I137" t="s">
        <v>137</v>
      </c>
      <c r="J137">
        <v>450</v>
      </c>
      <c r="K137">
        <v>200</v>
      </c>
      <c r="O137" t="s">
        <v>8819</v>
      </c>
      <c r="R137" t="s">
        <v>8820</v>
      </c>
      <c r="S137" t="s">
        <v>8821</v>
      </c>
      <c r="T137" t="s">
        <v>8786</v>
      </c>
    </row>
    <row r="138" spans="1:21" hidden="1" outlineLevel="1" x14ac:dyDescent="0.2">
      <c r="A138" t="s">
        <v>9462</v>
      </c>
      <c r="B138" s="86" t="s">
        <v>9463</v>
      </c>
      <c r="C138" t="s">
        <v>9464</v>
      </c>
      <c r="D138" t="s">
        <v>1947</v>
      </c>
      <c r="E138" t="s">
        <v>9465</v>
      </c>
      <c r="G138" s="102" t="s">
        <v>9466</v>
      </c>
      <c r="H138" t="s">
        <v>137</v>
      </c>
      <c r="I138" t="s">
        <v>137</v>
      </c>
      <c r="J138">
        <v>450</v>
      </c>
      <c r="K138">
        <v>200</v>
      </c>
      <c r="L138" t="s">
        <v>24275</v>
      </c>
      <c r="N138" t="s">
        <v>24277</v>
      </c>
      <c r="O138" t="s">
        <v>9467</v>
      </c>
      <c r="R138" t="s">
        <v>9460</v>
      </c>
      <c r="S138" t="s">
        <v>24278</v>
      </c>
      <c r="T138" t="s">
        <v>9461</v>
      </c>
      <c r="U138" t="s">
        <v>24284</v>
      </c>
    </row>
    <row r="139" spans="1:21" hidden="1" outlineLevel="1" x14ac:dyDescent="0.2">
      <c r="A139" t="s">
        <v>9469</v>
      </c>
      <c r="B139" s="86" t="s">
        <v>9470</v>
      </c>
      <c r="C139" t="s">
        <v>9471</v>
      </c>
      <c r="D139" t="s">
        <v>1103</v>
      </c>
      <c r="E139" t="s">
        <v>9472</v>
      </c>
      <c r="G139" s="102" t="s">
        <v>9473</v>
      </c>
      <c r="H139" t="s">
        <v>137</v>
      </c>
      <c r="I139" t="s">
        <v>137</v>
      </c>
      <c r="J139">
        <v>450</v>
      </c>
      <c r="K139">
        <v>200</v>
      </c>
      <c r="O139" t="s">
        <v>9474</v>
      </c>
      <c r="R139" t="s">
        <v>9460</v>
      </c>
      <c r="S139" t="s">
        <v>24278</v>
      </c>
      <c r="T139" t="s">
        <v>9461</v>
      </c>
    </row>
    <row r="140" spans="1:21" hidden="1" outlineLevel="1" x14ac:dyDescent="0.2">
      <c r="A140" t="s">
        <v>9475</v>
      </c>
      <c r="B140" s="86" t="s">
        <v>9476</v>
      </c>
      <c r="C140" t="s">
        <v>9477</v>
      </c>
      <c r="D140" t="s">
        <v>2837</v>
      </c>
      <c r="E140" t="s">
        <v>9478</v>
      </c>
      <c r="G140" s="102" t="s">
        <v>9479</v>
      </c>
      <c r="H140" t="s">
        <v>137</v>
      </c>
      <c r="I140" t="s">
        <v>137</v>
      </c>
      <c r="J140">
        <v>450</v>
      </c>
      <c r="K140">
        <v>200</v>
      </c>
      <c r="O140" t="s">
        <v>9480</v>
      </c>
      <c r="R140" t="s">
        <v>9460</v>
      </c>
      <c r="S140" t="s">
        <v>24278</v>
      </c>
      <c r="T140" t="s">
        <v>9461</v>
      </c>
    </row>
    <row r="141" spans="1:21" hidden="1" outlineLevel="1" x14ac:dyDescent="0.2">
      <c r="A141" t="s">
        <v>9481</v>
      </c>
      <c r="B141" s="86" t="s">
        <v>9482</v>
      </c>
      <c r="C141" t="s">
        <v>9483</v>
      </c>
      <c r="D141" t="s">
        <v>3779</v>
      </c>
      <c r="E141" t="s">
        <v>9484</v>
      </c>
      <c r="G141" s="102" t="s">
        <v>9485</v>
      </c>
      <c r="H141" t="s">
        <v>137</v>
      </c>
      <c r="I141" t="s">
        <v>137</v>
      </c>
      <c r="J141">
        <v>450</v>
      </c>
      <c r="K141">
        <v>200</v>
      </c>
      <c r="O141" t="s">
        <v>9486</v>
      </c>
      <c r="R141" t="s">
        <v>9460</v>
      </c>
      <c r="S141" t="s">
        <v>24278</v>
      </c>
      <c r="T141" t="s">
        <v>9461</v>
      </c>
    </row>
    <row r="142" spans="1:21" hidden="1" outlineLevel="1" x14ac:dyDescent="0.2">
      <c r="A142" t="s">
        <v>24258</v>
      </c>
      <c r="B142" s="86" t="s">
        <v>9593</v>
      </c>
      <c r="C142" t="s">
        <v>9594</v>
      </c>
      <c r="D142" t="s">
        <v>1103</v>
      </c>
      <c r="E142" t="s">
        <v>9595</v>
      </c>
      <c r="G142" s="102" t="s">
        <v>9596</v>
      </c>
      <c r="H142" t="s">
        <v>137</v>
      </c>
      <c r="I142" t="s">
        <v>137</v>
      </c>
      <c r="J142">
        <v>450</v>
      </c>
      <c r="K142">
        <v>200</v>
      </c>
      <c r="L142" t="s">
        <v>24256</v>
      </c>
      <c r="N142" t="s">
        <v>9555</v>
      </c>
      <c r="O142" t="s">
        <v>9597</v>
      </c>
      <c r="R142" t="s">
        <v>9557</v>
      </c>
      <c r="S142" t="s">
        <v>9558</v>
      </c>
      <c r="T142" t="s">
        <v>9559</v>
      </c>
      <c r="U142" t="s">
        <v>24273</v>
      </c>
    </row>
    <row r="143" spans="1:21" hidden="1" outlineLevel="1" x14ac:dyDescent="0.2">
      <c r="A143" t="s">
        <v>10002</v>
      </c>
      <c r="B143" s="86" t="s">
        <v>10003</v>
      </c>
      <c r="C143" t="s">
        <v>10004</v>
      </c>
      <c r="D143" t="s">
        <v>122</v>
      </c>
      <c r="E143" t="s">
        <v>10005</v>
      </c>
      <c r="F143" t="s">
        <v>10006</v>
      </c>
      <c r="G143" s="103" t="s">
        <v>10007</v>
      </c>
      <c r="H143" t="s">
        <v>137</v>
      </c>
      <c r="I143" t="s">
        <v>137</v>
      </c>
      <c r="J143">
        <v>450</v>
      </c>
      <c r="K143">
        <v>200</v>
      </c>
      <c r="L143" t="s">
        <v>24236</v>
      </c>
      <c r="N143" t="s">
        <v>9838</v>
      </c>
      <c r="O143" t="s">
        <v>23993</v>
      </c>
      <c r="R143" t="s">
        <v>10009</v>
      </c>
      <c r="S143" t="s">
        <v>10010</v>
      </c>
      <c r="T143" t="s">
        <v>10011</v>
      </c>
      <c r="U143" t="s">
        <v>24262</v>
      </c>
    </row>
    <row r="144" spans="1:21" hidden="1" outlineLevel="1" x14ac:dyDescent="0.2">
      <c r="A144" t="s">
        <v>10012</v>
      </c>
      <c r="B144" s="86" t="s">
        <v>10013</v>
      </c>
      <c r="C144" t="s">
        <v>10014</v>
      </c>
      <c r="D144" t="s">
        <v>1103</v>
      </c>
      <c r="E144" t="s">
        <v>10015</v>
      </c>
      <c r="F144" t="s">
        <v>10016</v>
      </c>
      <c r="G144" s="103" t="s">
        <v>10017</v>
      </c>
      <c r="H144" t="s">
        <v>137</v>
      </c>
      <c r="I144" t="s">
        <v>137</v>
      </c>
      <c r="J144">
        <v>450</v>
      </c>
      <c r="K144">
        <v>200</v>
      </c>
      <c r="L144" t="s">
        <v>24238</v>
      </c>
      <c r="N144" t="s">
        <v>9374</v>
      </c>
      <c r="O144" t="s">
        <v>23994</v>
      </c>
      <c r="R144" t="s">
        <v>10009</v>
      </c>
      <c r="S144" t="s">
        <v>10010</v>
      </c>
      <c r="T144" t="s">
        <v>10011</v>
      </c>
      <c r="U144" t="s">
        <v>24263</v>
      </c>
    </row>
    <row r="145" spans="1:21" hidden="1" outlineLevel="1" x14ac:dyDescent="0.2">
      <c r="A145" t="s">
        <v>10019</v>
      </c>
      <c r="B145" s="86" t="s">
        <v>10020</v>
      </c>
      <c r="C145" t="s">
        <v>10021</v>
      </c>
      <c r="D145" t="s">
        <v>1947</v>
      </c>
      <c r="E145" t="s">
        <v>10022</v>
      </c>
      <c r="F145" t="s">
        <v>10023</v>
      </c>
      <c r="G145" s="103" t="s">
        <v>10024</v>
      </c>
      <c r="H145" t="s">
        <v>137</v>
      </c>
      <c r="I145" t="s">
        <v>137</v>
      </c>
      <c r="J145">
        <v>450</v>
      </c>
      <c r="K145">
        <v>200</v>
      </c>
      <c r="L145" t="s">
        <v>24239</v>
      </c>
      <c r="N145" t="s">
        <v>9860</v>
      </c>
      <c r="O145" t="s">
        <v>23995</v>
      </c>
      <c r="R145" t="s">
        <v>10009</v>
      </c>
      <c r="S145" t="s">
        <v>10010</v>
      </c>
      <c r="T145" t="s">
        <v>10011</v>
      </c>
      <c r="U145" t="s">
        <v>24264</v>
      </c>
    </row>
    <row r="146" spans="1:21" hidden="1" outlineLevel="1" x14ac:dyDescent="0.2">
      <c r="A146" t="s">
        <v>10026</v>
      </c>
      <c r="B146" s="86" t="s">
        <v>10027</v>
      </c>
      <c r="C146" t="s">
        <v>10028</v>
      </c>
      <c r="D146" t="s">
        <v>2837</v>
      </c>
      <c r="E146" t="s">
        <v>10029</v>
      </c>
      <c r="F146" t="s">
        <v>10030</v>
      </c>
      <c r="G146" s="103" t="s">
        <v>10031</v>
      </c>
      <c r="H146" t="s">
        <v>137</v>
      </c>
      <c r="I146" t="s">
        <v>137</v>
      </c>
      <c r="J146">
        <v>450</v>
      </c>
      <c r="K146">
        <v>200</v>
      </c>
      <c r="L146" t="s">
        <v>24240</v>
      </c>
      <c r="N146" t="s">
        <v>9342</v>
      </c>
      <c r="O146" t="s">
        <v>23996</v>
      </c>
      <c r="R146" t="s">
        <v>10009</v>
      </c>
      <c r="S146" t="s">
        <v>10010</v>
      </c>
      <c r="T146" t="s">
        <v>10011</v>
      </c>
      <c r="U146" t="s">
        <v>24265</v>
      </c>
    </row>
    <row r="147" spans="1:21" hidden="1" outlineLevel="1" x14ac:dyDescent="0.2">
      <c r="A147" t="s">
        <v>10033</v>
      </c>
      <c r="B147" s="86" t="s">
        <v>10034</v>
      </c>
      <c r="C147" t="s">
        <v>10035</v>
      </c>
      <c r="D147" t="s">
        <v>3779</v>
      </c>
      <c r="E147" t="s">
        <v>10036</v>
      </c>
      <c r="F147" t="s">
        <v>10037</v>
      </c>
      <c r="G147" s="103" t="s">
        <v>10038</v>
      </c>
      <c r="H147" t="s">
        <v>137</v>
      </c>
      <c r="I147" t="s">
        <v>137</v>
      </c>
      <c r="J147">
        <v>450</v>
      </c>
      <c r="K147">
        <v>200</v>
      </c>
      <c r="L147" t="s">
        <v>24241</v>
      </c>
      <c r="N147" t="s">
        <v>9183</v>
      </c>
      <c r="O147" t="s">
        <v>23997</v>
      </c>
      <c r="R147" t="s">
        <v>10009</v>
      </c>
      <c r="S147" t="s">
        <v>10010</v>
      </c>
      <c r="T147" t="s">
        <v>10011</v>
      </c>
      <c r="U147" t="s">
        <v>24266</v>
      </c>
    </row>
    <row r="148" spans="1:21" hidden="1" outlineLevel="1" x14ac:dyDescent="0.2">
      <c r="A148" t="s">
        <v>9094</v>
      </c>
      <c r="B148" s="86" t="s">
        <v>9095</v>
      </c>
      <c r="C148" t="s">
        <v>9096</v>
      </c>
      <c r="D148" t="s">
        <v>3779</v>
      </c>
      <c r="E148" t="s">
        <v>9097</v>
      </c>
      <c r="F148" t="s">
        <v>9098</v>
      </c>
      <c r="G148" s="103" t="s">
        <v>9099</v>
      </c>
      <c r="H148" t="s">
        <v>137</v>
      </c>
      <c r="I148" t="s">
        <v>137</v>
      </c>
      <c r="J148">
        <v>450</v>
      </c>
      <c r="K148">
        <v>200</v>
      </c>
      <c r="L148" t="s">
        <v>24242</v>
      </c>
      <c r="N148" t="s">
        <v>8883</v>
      </c>
      <c r="O148" t="s">
        <v>23988</v>
      </c>
      <c r="R148" t="s">
        <v>8833</v>
      </c>
      <c r="S148" t="s">
        <v>9100</v>
      </c>
      <c r="T148" t="s">
        <v>9101</v>
      </c>
      <c r="U148" t="s">
        <v>24267</v>
      </c>
    </row>
    <row r="149" spans="1:21" hidden="1" outlineLevel="1" x14ac:dyDescent="0.2">
      <c r="A149" t="s">
        <v>9102</v>
      </c>
      <c r="B149" s="86" t="s">
        <v>9103</v>
      </c>
      <c r="C149" t="s">
        <v>9104</v>
      </c>
      <c r="D149" t="s">
        <v>1947</v>
      </c>
      <c r="E149" t="s">
        <v>9105</v>
      </c>
      <c r="F149" t="s">
        <v>9106</v>
      </c>
      <c r="G149" s="103" t="s">
        <v>9107</v>
      </c>
      <c r="H149" t="s">
        <v>137</v>
      </c>
      <c r="I149" t="s">
        <v>137</v>
      </c>
      <c r="J149">
        <v>450</v>
      </c>
      <c r="K149">
        <v>200</v>
      </c>
      <c r="L149" t="s">
        <v>24244</v>
      </c>
      <c r="N149" t="s">
        <v>8845</v>
      </c>
      <c r="O149" t="s">
        <v>23989</v>
      </c>
      <c r="R149" t="s">
        <v>8833</v>
      </c>
      <c r="S149" t="s">
        <v>9100</v>
      </c>
      <c r="T149" t="s">
        <v>9101</v>
      </c>
      <c r="U149" t="s">
        <v>24268</v>
      </c>
    </row>
    <row r="150" spans="1:21" hidden="1" outlineLevel="1" x14ac:dyDescent="0.2">
      <c r="A150" t="s">
        <v>9108</v>
      </c>
      <c r="B150" s="86" t="s">
        <v>9109</v>
      </c>
      <c r="C150" t="s">
        <v>9110</v>
      </c>
      <c r="D150" t="s">
        <v>2837</v>
      </c>
      <c r="E150" t="s">
        <v>9111</v>
      </c>
      <c r="F150" t="s">
        <v>9112</v>
      </c>
      <c r="G150" s="103" t="s">
        <v>9113</v>
      </c>
      <c r="H150" t="s">
        <v>137</v>
      </c>
      <c r="I150" t="s">
        <v>137</v>
      </c>
      <c r="J150">
        <v>450</v>
      </c>
      <c r="K150">
        <v>200</v>
      </c>
      <c r="L150" t="s">
        <v>24253</v>
      </c>
      <c r="N150" t="s">
        <v>8870</v>
      </c>
      <c r="O150" t="s">
        <v>23990</v>
      </c>
      <c r="R150" t="s">
        <v>8833</v>
      </c>
      <c r="S150" t="s">
        <v>9100</v>
      </c>
      <c r="T150" t="s">
        <v>9101</v>
      </c>
      <c r="U150" t="s">
        <v>24269</v>
      </c>
    </row>
    <row r="151" spans="1:21" hidden="1" outlineLevel="1" x14ac:dyDescent="0.2">
      <c r="A151" t="s">
        <v>9114</v>
      </c>
      <c r="B151" s="86" t="s">
        <v>9115</v>
      </c>
      <c r="C151" t="s">
        <v>9116</v>
      </c>
      <c r="D151" t="s">
        <v>1103</v>
      </c>
      <c r="E151" t="s">
        <v>9117</v>
      </c>
      <c r="F151" t="s">
        <v>9118</v>
      </c>
      <c r="G151" s="103" t="s">
        <v>9119</v>
      </c>
      <c r="H151" t="s">
        <v>137</v>
      </c>
      <c r="I151" t="s">
        <v>137</v>
      </c>
      <c r="J151">
        <v>450</v>
      </c>
      <c r="K151">
        <v>200</v>
      </c>
      <c r="L151" t="s">
        <v>24254</v>
      </c>
      <c r="N151" t="s">
        <v>8830</v>
      </c>
      <c r="O151" t="s">
        <v>23991</v>
      </c>
      <c r="R151" t="s">
        <v>8833</v>
      </c>
      <c r="S151" t="s">
        <v>9100</v>
      </c>
      <c r="T151" t="s">
        <v>9101</v>
      </c>
      <c r="U151" t="s">
        <v>24270</v>
      </c>
    </row>
    <row r="152" spans="1:21" hidden="1" outlineLevel="1" x14ac:dyDescent="0.2">
      <c r="A152" t="s">
        <v>9120</v>
      </c>
      <c r="B152" s="86" t="s">
        <v>9121</v>
      </c>
      <c r="C152" t="s">
        <v>9122</v>
      </c>
      <c r="D152" t="s">
        <v>122</v>
      </c>
      <c r="E152" t="s">
        <v>9123</v>
      </c>
      <c r="F152" t="s">
        <v>9124</v>
      </c>
      <c r="G152" s="103" t="s">
        <v>9125</v>
      </c>
      <c r="H152" t="s">
        <v>137</v>
      </c>
      <c r="I152" t="s">
        <v>137</v>
      </c>
      <c r="J152">
        <v>450</v>
      </c>
      <c r="K152">
        <v>200</v>
      </c>
      <c r="L152" t="s">
        <v>24255</v>
      </c>
      <c r="N152" t="s">
        <v>24272</v>
      </c>
      <c r="O152" t="s">
        <v>23992</v>
      </c>
      <c r="R152" t="s">
        <v>8833</v>
      </c>
      <c r="S152" t="s">
        <v>9100</v>
      </c>
      <c r="T152" t="s">
        <v>9101</v>
      </c>
      <c r="U152" t="s">
        <v>24271</v>
      </c>
    </row>
    <row r="153" spans="1:21" collapsed="1" x14ac:dyDescent="0.2"/>
  </sheetData>
  <autoFilter ref="A1:T152" xr:uid="{B850A82E-7B06-4257-80C5-96A0323BC160}">
    <sortState xmlns:xlrd2="http://schemas.microsoft.com/office/spreadsheetml/2017/richdata2" ref="A2:T152">
      <sortCondition ref="B1:B152"/>
    </sortState>
  </autoFilter>
  <sortState xmlns:xlrd2="http://schemas.microsoft.com/office/spreadsheetml/2017/richdata2" ref="A106:T120">
    <sortCondition ref="R106:R120"/>
    <sortCondition ref="S106:S120"/>
  </sortState>
  <phoneticPr fontId="26" type="noConversion"/>
  <hyperlinks>
    <hyperlink ref="G2" r:id="rId1" xr:uid="{BE68224F-6701-4900-ABC8-610BC4EB4D1D}"/>
    <hyperlink ref="G3" r:id="rId2" xr:uid="{0E22C676-AF99-4FD3-B94D-56D1404D1607}"/>
    <hyperlink ref="G4" r:id="rId3" xr:uid="{2B99AFF9-02B7-4844-86FA-10A0E173470A}"/>
    <hyperlink ref="G5" r:id="rId4" xr:uid="{A0D5C83E-8969-4036-8F96-4730AA4CD779}"/>
    <hyperlink ref="G6" r:id="rId5" xr:uid="{643C4CC6-AFA6-439B-84FB-D3CFCD62CE63}"/>
    <hyperlink ref="G7" r:id="rId6" xr:uid="{5F5D7151-1A2D-4529-92CA-CBA07574A57A}"/>
    <hyperlink ref="G8" r:id="rId7" xr:uid="{53B6A75C-02D9-4F3C-B797-2E04E2D4029E}"/>
    <hyperlink ref="G9" r:id="rId8" xr:uid="{BA3B295E-5906-4779-AFAA-ED518DE7A7A8}"/>
    <hyperlink ref="G11" r:id="rId9" xr:uid="{A41E42BA-9120-4BE7-AED6-DA4D2D63C1B2}"/>
    <hyperlink ref="G12" r:id="rId10" xr:uid="{50C4525B-B914-4160-B4EA-675D9F2460F9}"/>
    <hyperlink ref="G13" r:id="rId11" xr:uid="{B508840F-E18A-4115-8689-A7571E7D8C15}"/>
    <hyperlink ref="G14" r:id="rId12" xr:uid="{F8EF96E3-EFCC-4A5A-BBBA-EE9F9F0B8461}"/>
    <hyperlink ref="G15" r:id="rId13" xr:uid="{976005AE-1607-4D3D-AAD8-0526AB6C4957}"/>
    <hyperlink ref="G16" r:id="rId14" xr:uid="{1A7C8312-5936-4D83-BBBB-95BB2C1B8C3B}"/>
    <hyperlink ref="G17" r:id="rId15" xr:uid="{55EA834D-C8CE-4C23-8FA7-C8BF47647CE4}"/>
    <hyperlink ref="G18" r:id="rId16" xr:uid="{FC521B1F-69B1-455A-91FF-F321D3CCE1FF}"/>
    <hyperlink ref="G19" r:id="rId17" xr:uid="{4D5692B1-5468-414A-8EB3-6B01ACDEC300}"/>
    <hyperlink ref="G20" r:id="rId18" xr:uid="{92F24734-7FF2-4D4F-8E3A-E6DD7D196589}"/>
    <hyperlink ref="G21" r:id="rId19" xr:uid="{B9827626-ED08-426C-BDC7-5493D943CB94}"/>
    <hyperlink ref="G22" r:id="rId20" xr:uid="{0F7F8A26-926D-4966-8EAF-5E5BDF9DE8D6}"/>
    <hyperlink ref="G23" r:id="rId21" xr:uid="{D1CD3E73-73B0-4EC8-BCB8-CFD30528F33A}"/>
    <hyperlink ref="G24" r:id="rId22" xr:uid="{92204AEB-FF7F-411F-ADC8-25159E4EDEA8}"/>
    <hyperlink ref="G25" r:id="rId23" xr:uid="{E39EE32E-9CE9-4076-9586-EBE029B9D3DD}"/>
    <hyperlink ref="G26" r:id="rId24" xr:uid="{4D726315-41BB-4AF1-B05B-3490CD1ECF94}"/>
    <hyperlink ref="G27" r:id="rId25" xr:uid="{B019EF61-A7DE-4938-BF55-B84421593B12}"/>
    <hyperlink ref="G28" r:id="rId26" xr:uid="{6DCA9E99-2713-4272-89DB-DFAF5AEBC2EB}"/>
    <hyperlink ref="G29" r:id="rId27" xr:uid="{CA9759EF-93F9-4E85-9450-AD6A555D86C5}"/>
    <hyperlink ref="G30" r:id="rId28" xr:uid="{16F33FC7-069A-4EF2-A491-7B797389B14B}"/>
    <hyperlink ref="G31" r:id="rId29" xr:uid="{47673C70-45D6-427C-87BB-2631FCA1C341}"/>
    <hyperlink ref="G32" r:id="rId30" xr:uid="{FD515BEB-1660-4A1F-AAEC-EA37C8666B82}"/>
    <hyperlink ref="G33" r:id="rId31" xr:uid="{99730584-6B48-4C89-A9B0-CE776FDB71DC}"/>
    <hyperlink ref="G34" r:id="rId32" xr:uid="{377126E0-5095-41A2-8421-B6846CEE0B49}"/>
    <hyperlink ref="G35" r:id="rId33" xr:uid="{2ECBD8E2-C99F-4F8B-AB64-D9B720EA1312}"/>
    <hyperlink ref="G36" r:id="rId34" xr:uid="{E47C21B3-ED12-4896-8A7B-D88AF3BCBD8E}"/>
    <hyperlink ref="G37" r:id="rId35" xr:uid="{74DBEAF8-DEDC-487B-AE14-2A92042296EB}"/>
    <hyperlink ref="G38" r:id="rId36" xr:uid="{53843893-3625-4434-83A9-4E2E3B6B51A5}"/>
    <hyperlink ref="G39" r:id="rId37" xr:uid="{16E12470-DCE2-45D2-BAAF-1D4C0FE67FFB}"/>
    <hyperlink ref="G40" r:id="rId38" xr:uid="{0D4F64DB-8938-4196-8C8E-5F3B5957EAF6}"/>
    <hyperlink ref="G41" r:id="rId39" xr:uid="{BC8F8E03-42CE-4964-8335-94AD93402851}"/>
    <hyperlink ref="G42" r:id="rId40" xr:uid="{511368AA-EA5A-4540-8CDD-9B902AA3CFFF}"/>
    <hyperlink ref="G43" r:id="rId41" xr:uid="{34466574-99BC-43FA-B64B-34A9EA41223E}"/>
    <hyperlink ref="G44" r:id="rId42" xr:uid="{5EAFD8A2-0FC2-453D-AC7F-A805423F7B8A}"/>
    <hyperlink ref="G45" r:id="rId43" xr:uid="{9EC9AC72-9FC3-4327-B301-DAF214D6E511}"/>
    <hyperlink ref="G46" r:id="rId44" xr:uid="{05597339-EB46-46EA-A5E2-ED67EF541A42}"/>
    <hyperlink ref="G47" r:id="rId45" xr:uid="{16FF72FC-A386-4685-8359-873E29D97DC2}"/>
    <hyperlink ref="G48" r:id="rId46" xr:uid="{0E42E065-4EAD-44CA-9557-24E6B858A3AD}"/>
    <hyperlink ref="G49" r:id="rId47" xr:uid="{F4C930F3-6CE9-4DA9-B260-5C7DA1E856B6}"/>
    <hyperlink ref="G50" r:id="rId48" xr:uid="{B5C3C305-CF57-44BB-9DBC-F0803A7D72F0}"/>
    <hyperlink ref="G51" r:id="rId49" xr:uid="{0837E401-4DE9-4954-B99C-9337F033A455}"/>
    <hyperlink ref="G52" r:id="rId50" xr:uid="{6E712B0A-B517-4A43-93C4-09DDB496882D}"/>
    <hyperlink ref="G53" r:id="rId51" xr:uid="{96FA1359-9A14-485C-894A-185D9648166E}"/>
    <hyperlink ref="G54" r:id="rId52" xr:uid="{0309B81D-B9B0-4BAE-AFD5-623F06BC664E}"/>
    <hyperlink ref="G55" r:id="rId53" xr:uid="{0CFBE1B8-456F-4BD1-9488-DFB9121C6B38}"/>
    <hyperlink ref="G56" r:id="rId54" xr:uid="{B5F0018E-3F62-41E3-8604-FFCBE21502E6}"/>
    <hyperlink ref="G57" r:id="rId55" xr:uid="{0767BEC8-A64F-42EF-9E2B-7377E0CD1505}"/>
    <hyperlink ref="G58" r:id="rId56" xr:uid="{358BECE8-D5AB-4335-83DE-A203279750ED}"/>
    <hyperlink ref="G59" r:id="rId57" xr:uid="{74F43734-EE7E-452D-B601-3CCAE17B8F1E}"/>
    <hyperlink ref="G60" r:id="rId58" xr:uid="{B88E1F4B-3274-4287-A4FB-46859B56E216}"/>
    <hyperlink ref="G61" r:id="rId59" xr:uid="{5C708061-0145-4F3A-B20D-1E32F55648A3}"/>
    <hyperlink ref="G62" r:id="rId60" xr:uid="{7426D13A-A35B-4044-B7E5-1EB809511F2F}"/>
    <hyperlink ref="G63" r:id="rId61" xr:uid="{DA511A44-366D-4374-BAE1-27110929ECDC}"/>
    <hyperlink ref="G64" r:id="rId62" xr:uid="{1542EF51-2BFF-474F-A197-4D20FDD2E986}"/>
    <hyperlink ref="G65" r:id="rId63" xr:uid="{19DF8A21-DA4C-42DD-BEDF-6013B6EF9B82}"/>
    <hyperlink ref="G66" r:id="rId64" xr:uid="{D4EF48DD-5334-454F-87AF-EA69DB79A71B}"/>
    <hyperlink ref="G67" r:id="rId65" xr:uid="{6609A746-8817-4D14-A2B2-5F8F525009D7}"/>
    <hyperlink ref="G68" r:id="rId66" xr:uid="{81C31D75-769F-4165-83E0-E43B6201AD01}"/>
    <hyperlink ref="G69" r:id="rId67" xr:uid="{F3FBE932-8374-47F0-AC34-0D4D8D488BFC}"/>
    <hyperlink ref="G70" r:id="rId68" xr:uid="{A138567D-4F28-433F-808D-9CA06BB89946}"/>
    <hyperlink ref="G71" r:id="rId69" xr:uid="{3CB39376-E68C-4B79-80AA-B2FAE1A905EA}"/>
    <hyperlink ref="G72" r:id="rId70" xr:uid="{D988CAA8-2C65-4A00-8B2F-F78D13E1FDC7}"/>
    <hyperlink ref="G73" r:id="rId71" xr:uid="{BD6B19CB-DEDA-469F-9A37-AA2B5BCDB46D}"/>
    <hyperlink ref="G74" r:id="rId72" xr:uid="{5F257F8C-7DA0-447E-9135-F3E644A162B0}"/>
    <hyperlink ref="G75" r:id="rId73" xr:uid="{1AD76B13-913D-423D-B76A-3D4956221F6E}"/>
    <hyperlink ref="G76" r:id="rId74" xr:uid="{811C51EF-F869-4F16-8295-1083B7CCE136}"/>
    <hyperlink ref="G77" r:id="rId75" xr:uid="{364668B7-2135-4B34-9EF5-177978376517}"/>
    <hyperlink ref="G78" r:id="rId76" xr:uid="{0658A11E-B5A0-4A88-B5F7-F5B297CED3BF}"/>
    <hyperlink ref="G79" r:id="rId77" xr:uid="{655B1636-4954-41AB-A698-F2BD466872E1}"/>
    <hyperlink ref="G80" r:id="rId78" xr:uid="{812D96EE-98E1-4A48-94A7-5ED8343F3731}"/>
    <hyperlink ref="G81" r:id="rId79" xr:uid="{3562729D-ABF3-45ED-BF33-13CBC5213FF5}"/>
    <hyperlink ref="G82" r:id="rId80" xr:uid="{E7DADED3-CFD1-4DC7-B3E5-22BB633AE1D3}"/>
    <hyperlink ref="G83" r:id="rId81" xr:uid="{4DF88624-6760-4542-8249-C90682C6D99F}"/>
    <hyperlink ref="G84" r:id="rId82" xr:uid="{22133D42-053E-4FBC-BE53-FA433C836A85}"/>
    <hyperlink ref="G85" r:id="rId83" xr:uid="{2395622B-8634-4FB2-8754-3C31AA7D2480}"/>
    <hyperlink ref="G86" r:id="rId84" xr:uid="{2DFFB5AE-18C8-493F-A3F7-098EA9522BA5}"/>
    <hyperlink ref="G87" r:id="rId85" xr:uid="{0566E19A-0C38-4A2F-809D-3FB0761B89A8}"/>
    <hyperlink ref="G88" r:id="rId86" xr:uid="{E4B86893-6894-4442-9D9A-DFED947771AB}"/>
    <hyperlink ref="G89" r:id="rId87" xr:uid="{5666BFF0-CE21-4F6D-9EA3-722041360058}"/>
    <hyperlink ref="G90" r:id="rId88" xr:uid="{9BC391BA-F6DE-4A44-B2AF-5750B782F060}"/>
    <hyperlink ref="G91" r:id="rId89" xr:uid="{CC42EC5B-C269-4EC4-B45C-4872628C982C}"/>
    <hyperlink ref="G92" r:id="rId90" xr:uid="{2EE54A53-3F28-4A2B-90A1-CC79DC92A42B}"/>
    <hyperlink ref="G93" r:id="rId91" xr:uid="{49DF50F6-9FEA-4A88-9C77-56D3790618CC}"/>
    <hyperlink ref="G94" r:id="rId92" xr:uid="{AA3B731D-1882-4C3C-A505-D847D65749A3}"/>
    <hyperlink ref="G95" r:id="rId93" xr:uid="{1588AC3F-B745-494E-8A04-7BF010830788}"/>
    <hyperlink ref="G96" r:id="rId94" xr:uid="{495C60FB-49E4-4F0A-9747-47A0C3FA8075}"/>
    <hyperlink ref="G97" r:id="rId95" xr:uid="{9D6B2924-92B6-4EB4-840A-AE6A7F56DF92}"/>
    <hyperlink ref="G98" r:id="rId96" xr:uid="{E69DC867-933B-4A7F-AF65-8E1FDDE25E25}"/>
    <hyperlink ref="G99" r:id="rId97" xr:uid="{48B6534D-A038-4145-8996-6872B35F70A0}"/>
    <hyperlink ref="G100" r:id="rId98" xr:uid="{4312F861-7B96-4A73-8327-61641B9A418B}"/>
    <hyperlink ref="G101" r:id="rId99" xr:uid="{D6F5A3C4-436A-4A1E-826B-7210A515054C}"/>
    <hyperlink ref="G102" r:id="rId100" xr:uid="{904F31AB-2B80-47E0-8FBC-30C418CCCE4B}"/>
    <hyperlink ref="G103" r:id="rId101" xr:uid="{3AB7D663-C572-41CB-9753-D47F43056A91}"/>
    <hyperlink ref="G104" r:id="rId102" xr:uid="{FB8905B0-4AA4-43AC-933C-93E840C6B690}"/>
    <hyperlink ref="G105" r:id="rId103" xr:uid="{1E72F20F-526A-4BFB-9B64-EC1A0B7C17B3}"/>
    <hyperlink ref="G106" r:id="rId104" xr:uid="{9733929B-6D13-488C-ACD6-2E2B2C082DC6}"/>
    <hyperlink ref="G107" r:id="rId105" xr:uid="{41EA98D5-4769-4C7B-9D63-20726B2C51F2}"/>
    <hyperlink ref="G108" r:id="rId106" xr:uid="{B0FBCD2F-D49C-467B-AAC0-AD2B3DBA4170}"/>
    <hyperlink ref="G109" r:id="rId107" xr:uid="{2F4C97CD-2788-4B83-BF2A-094B1883DB0C}"/>
    <hyperlink ref="G110" r:id="rId108" xr:uid="{9D8A5A26-3E57-40B0-A378-F944BF9D71AC}"/>
    <hyperlink ref="G112" r:id="rId109" xr:uid="{9BC974DC-3CAB-4C57-A6F1-69B8E6231FC8}"/>
    <hyperlink ref="G113" r:id="rId110" xr:uid="{C1B829FC-345A-4E63-B215-1C20210CA580}"/>
    <hyperlink ref="G114" r:id="rId111" xr:uid="{72DE0757-E6C3-4C17-B58B-E8684322EAF1}"/>
    <hyperlink ref="G115" r:id="rId112" xr:uid="{810EB89A-F58E-4D37-8616-11103ABCBEC2}"/>
    <hyperlink ref="G116" r:id="rId113" xr:uid="{047BDC19-CDFA-448F-B27E-7382792FF51B}"/>
    <hyperlink ref="G117" r:id="rId114" xr:uid="{F9880BFD-4273-46E9-91D0-A8906D378410}"/>
    <hyperlink ref="G118" r:id="rId115" xr:uid="{745E7F5D-AB1E-48DA-B695-906CFF760132}"/>
    <hyperlink ref="G119" r:id="rId116" xr:uid="{101E0BF6-C400-4939-B989-843DF38F56AB}"/>
    <hyperlink ref="G120" r:id="rId117" xr:uid="{2B236821-40ED-4FF8-9EB7-0E52FF8E662B}"/>
    <hyperlink ref="G121" r:id="rId118" xr:uid="{34ECA495-C45B-4A6A-813E-2B6B8B8D0FB4}"/>
    <hyperlink ref="G122" r:id="rId119" xr:uid="{CAC649AB-7519-43E5-B0B9-B94CB98DA8D4}"/>
    <hyperlink ref="G123" r:id="rId120" xr:uid="{B6A82D61-6FDF-4AE3-9CB0-27D43867E21E}"/>
    <hyperlink ref="G124" r:id="rId121" xr:uid="{92052191-C5E9-49CC-B53B-73C8B51835FB}"/>
    <hyperlink ref="G125" r:id="rId122" xr:uid="{C8970F6B-7484-4D24-AED8-A3A8C7D0C5CD}"/>
    <hyperlink ref="G126" r:id="rId123" xr:uid="{6B256F1E-70E3-4642-B8AE-C562CBC27789}"/>
    <hyperlink ref="G127" r:id="rId124" xr:uid="{4EAE0EB6-887C-48F6-A47F-2AE5C3739FA1}"/>
    <hyperlink ref="G128" r:id="rId125" xr:uid="{A1795B7F-069A-4FF2-B3D4-52EF071DDECE}"/>
    <hyperlink ref="G129" r:id="rId126" xr:uid="{0EF062B7-4233-4897-BE6C-3B1669B005E4}"/>
    <hyperlink ref="G130" r:id="rId127" xr:uid="{4D65C4A1-A53E-4660-9F9C-7A617C0E2475}"/>
    <hyperlink ref="G131" r:id="rId128" xr:uid="{86D36D48-0609-43C0-9E91-FD1AE9FAED0D}"/>
    <hyperlink ref="G111" r:id="rId129" xr:uid="{7E697798-82C4-4613-9412-99A1E23A160E}"/>
    <hyperlink ref="G132" r:id="rId130" xr:uid="{D911AC8E-A95A-427A-85D8-E2003055A325}"/>
    <hyperlink ref="G133" r:id="rId131" xr:uid="{4D10C7EE-7D02-4956-818C-CA6643AD7E20}"/>
    <hyperlink ref="G134" r:id="rId132" xr:uid="{188F16B4-FFD2-4740-B4A2-4804E1B5B1D5}"/>
    <hyperlink ref="G10" r:id="rId133" xr:uid="{F3CB8B35-849E-4F23-90BA-FDED0AD317FE}"/>
    <hyperlink ref="G140" r:id="rId134" xr:uid="{444690AE-EA57-47C5-BAE5-DF13FBDF0594}"/>
    <hyperlink ref="G141" r:id="rId135" xr:uid="{F8FAAC5C-67F6-4CB3-89F6-457D5C2B5904}"/>
    <hyperlink ref="G139" r:id="rId136" xr:uid="{D3355529-C34A-4E23-A2F5-071311174846}"/>
    <hyperlink ref="G138" r:id="rId137" xr:uid="{9E8DD5C7-0361-4CE7-8A21-06F7FA3CE9EC}"/>
    <hyperlink ref="G135" r:id="rId138" xr:uid="{642100F8-9C28-4E16-90DF-2375D15EF322}"/>
    <hyperlink ref="G136" r:id="rId139" xr:uid="{6F42029B-6A85-4371-BF7B-6AA0FDCDED37}"/>
    <hyperlink ref="G137" r:id="rId140" xr:uid="{8A144153-6FDC-4A41-BF36-3BB1D641F660}"/>
    <hyperlink ref="G142" r:id="rId141" xr:uid="{74D2C307-5FA3-4A76-8ABD-D604DF814E5A}"/>
    <hyperlink ref="G148" r:id="rId142" xr:uid="{7B3F11C6-BEAC-420E-B1B8-3E474B36F22A}"/>
    <hyperlink ref="G149" r:id="rId143" xr:uid="{E6AB327E-7FC0-4A7D-B879-29C3AB6AD21D}"/>
    <hyperlink ref="G150" r:id="rId144" xr:uid="{9CE116F1-DA84-411E-89E6-884A1800A2CC}"/>
    <hyperlink ref="G151" r:id="rId145" xr:uid="{ECE82ACA-616B-40C1-89F9-A485E3A69F57}"/>
    <hyperlink ref="G152" r:id="rId146" xr:uid="{CD4C2218-CEBA-4C62-BC1D-F35ACBB5AA6B}"/>
    <hyperlink ref="G145" r:id="rId147" xr:uid="{B9D1B2A0-F646-4E27-B77B-F023BF0AE537}"/>
    <hyperlink ref="G143" r:id="rId148" xr:uid="{983D5D2D-B2D5-4271-A1FA-9871E0300967}"/>
    <hyperlink ref="G144" r:id="rId149" xr:uid="{1931321D-F677-4141-ADB9-8DBAAE55C989}"/>
    <hyperlink ref="G146" r:id="rId150" xr:uid="{177895EE-2903-4F64-B5F8-0992B60B486A}"/>
    <hyperlink ref="G147" r:id="rId151" xr:uid="{D794C5A4-4172-4060-93F7-55EC4E7B2EF5}"/>
  </hyperlinks>
  <pageMargins left="0.2" right="0.2" top="0.43562499999999998" bottom="0.2" header="0.2" footer="0"/>
  <pageSetup scale="51" fitToHeight="0" orientation="landscape" r:id="rId152"/>
  <headerFooter>
    <oddHeader>&amp;L&amp;"-,Bold"&amp;24Dragalia Lost V3 Re;Works Dragons List</oddHead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48E2A7-D03F-4B6E-B4ED-0A5D92E53261}">
  <dimension ref="A1:L147"/>
  <sheetViews>
    <sheetView workbookViewId="0"/>
  </sheetViews>
  <sheetFormatPr defaultRowHeight="14.25" x14ac:dyDescent="0.2"/>
  <cols>
    <col min="1" max="1" width="10.625" bestFit="1" customWidth="1"/>
    <col min="2" max="2" width="6.875" bestFit="1" customWidth="1"/>
    <col min="3" max="3" width="16.75" bestFit="1" customWidth="1"/>
    <col min="4" max="4" width="9" bestFit="1" customWidth="1"/>
    <col min="5" max="5" width="4.625" bestFit="1" customWidth="1"/>
    <col min="6" max="6" width="22.375" bestFit="1" customWidth="1"/>
    <col min="7" max="7" width="7.375" bestFit="1" customWidth="1"/>
    <col min="8" max="8" width="10.625" bestFit="1" customWidth="1"/>
    <col min="10" max="10" width="15" customWidth="1"/>
    <col min="11" max="11" width="21.75" bestFit="1" customWidth="1"/>
  </cols>
  <sheetData>
    <row r="1" spans="1:12" x14ac:dyDescent="0.2">
      <c r="A1" s="2" t="s">
        <v>87</v>
      </c>
      <c r="B1" s="2" t="s">
        <v>88</v>
      </c>
      <c r="C1" s="2" t="s">
        <v>4596</v>
      </c>
      <c r="D1" s="2" t="s">
        <v>23</v>
      </c>
      <c r="E1" s="2" t="s">
        <v>4597</v>
      </c>
      <c r="F1" s="2" t="s">
        <v>89</v>
      </c>
      <c r="G1" s="2" t="s">
        <v>4599</v>
      </c>
      <c r="H1" s="2" t="s">
        <v>4600</v>
      </c>
      <c r="I1" s="58" t="s">
        <v>80</v>
      </c>
      <c r="J1" s="58" t="s">
        <v>4601</v>
      </c>
      <c r="K1" s="2" t="s">
        <v>10266</v>
      </c>
      <c r="L1" s="2" t="s">
        <v>110</v>
      </c>
    </row>
    <row r="2" spans="1:12" x14ac:dyDescent="0.2">
      <c r="A2" t="s">
        <v>9448</v>
      </c>
      <c r="B2" t="s">
        <v>9449</v>
      </c>
      <c r="C2" t="s">
        <v>9450</v>
      </c>
      <c r="D2" t="s">
        <v>122</v>
      </c>
      <c r="E2" s="6" t="s">
        <v>4692</v>
      </c>
      <c r="F2" t="s">
        <v>9455</v>
      </c>
      <c r="G2">
        <v>30</v>
      </c>
      <c r="H2" t="s">
        <v>4613</v>
      </c>
      <c r="I2" t="s">
        <v>10267</v>
      </c>
      <c r="J2" s="52" t="s">
        <v>10268</v>
      </c>
      <c r="K2" t="str">
        <f>INDEX(DRA!$A1:$AO1000,MATCH(A2,DRA!$A:$A,0),MATCH("Family",DRA!$A$1:$AO$1,0))</f>
        <v>Primal Greatwyrm</v>
      </c>
      <c r="L2" t="s">
        <v>10269</v>
      </c>
    </row>
    <row r="3" spans="1:12" x14ac:dyDescent="0.2">
      <c r="A3" t="s">
        <v>8822</v>
      </c>
      <c r="B3" t="s">
        <v>8823</v>
      </c>
      <c r="C3" t="s">
        <v>8824</v>
      </c>
      <c r="D3" t="s">
        <v>122</v>
      </c>
      <c r="E3" s="6" t="s">
        <v>4852</v>
      </c>
      <c r="F3" t="s">
        <v>8829</v>
      </c>
      <c r="G3">
        <v>30</v>
      </c>
      <c r="H3" t="s">
        <v>5938</v>
      </c>
      <c r="I3" t="s">
        <v>10270</v>
      </c>
      <c r="J3" s="52" t="s">
        <v>10271</v>
      </c>
      <c r="K3" t="str">
        <f>INDEX(DRA!$A:$AO,MATCH(A3,DRA!$A:$A,0),MATCH("Family",DRA!$A$1:$BG$1,0))</f>
        <v>Archangels</v>
      </c>
      <c r="L3" t="s">
        <v>43</v>
      </c>
    </row>
    <row r="4" spans="1:12" x14ac:dyDescent="0.2">
      <c r="A4" t="s">
        <v>9126</v>
      </c>
      <c r="B4" t="s">
        <v>9127</v>
      </c>
      <c r="C4" t="s">
        <v>9128</v>
      </c>
      <c r="D4" t="s">
        <v>122</v>
      </c>
      <c r="E4" s="6" t="s">
        <v>4852</v>
      </c>
      <c r="F4" t="s">
        <v>9133</v>
      </c>
      <c r="G4">
        <v>30</v>
      </c>
      <c r="H4" t="s">
        <v>4608</v>
      </c>
      <c r="I4" t="s">
        <v>10272</v>
      </c>
      <c r="J4" s="52" t="s">
        <v>10273</v>
      </c>
      <c r="K4" t="str">
        <f>INDEX(DRA!$A:$AO,MATCH(A4,DRA!$A:$A,0),MATCH("Family",DRA!$A$1:$BG$1,0))</f>
        <v>Gala Reborn</v>
      </c>
      <c r="L4" t="s">
        <v>43</v>
      </c>
    </row>
    <row r="5" spans="1:12" x14ac:dyDescent="0.2">
      <c r="A5" t="s">
        <v>9002</v>
      </c>
      <c r="B5" t="s">
        <v>9003</v>
      </c>
      <c r="C5" t="s">
        <v>9004</v>
      </c>
      <c r="D5" t="s">
        <v>122</v>
      </c>
      <c r="E5" s="6" t="s">
        <v>4740</v>
      </c>
      <c r="F5" t="s">
        <v>9009</v>
      </c>
      <c r="G5">
        <v>30</v>
      </c>
      <c r="H5" t="s">
        <v>4608</v>
      </c>
      <c r="I5" t="s">
        <v>10274</v>
      </c>
      <c r="J5" s="52" t="s">
        <v>10275</v>
      </c>
      <c r="K5" t="str">
        <f>INDEX(DRA!$A:$AO,MATCH(A5,DRA!$A:$A,0),MATCH("Family",DRA!$A$1:$BG$1,0))</f>
        <v>Divine Mantra</v>
      </c>
      <c r="L5" t="s">
        <v>43</v>
      </c>
    </row>
    <row r="6" spans="1:12" x14ac:dyDescent="0.2">
      <c r="A6" t="s">
        <v>9401</v>
      </c>
      <c r="B6" t="s">
        <v>9402</v>
      </c>
      <c r="C6" t="s">
        <v>9403</v>
      </c>
      <c r="D6" t="s">
        <v>122</v>
      </c>
      <c r="E6" s="6" t="s">
        <v>4877</v>
      </c>
      <c r="F6" t="s">
        <v>9408</v>
      </c>
      <c r="G6">
        <v>30</v>
      </c>
      <c r="H6" t="s">
        <v>4608</v>
      </c>
      <c r="I6" t="s">
        <v>10276</v>
      </c>
      <c r="J6" s="52" t="s">
        <v>10277</v>
      </c>
      <c r="K6" t="str">
        <f>INDEX(DRA!$A:$AO,MATCH(A6,DRA!$A:$A,0),MATCH("Family",DRA!$A$1:$BG$1,0))</f>
        <v>Mini Greatwyrm</v>
      </c>
    </row>
    <row r="7" spans="1:12" x14ac:dyDescent="0.2">
      <c r="A7" t="s">
        <v>8887</v>
      </c>
      <c r="B7" t="s">
        <v>8888</v>
      </c>
      <c r="C7" t="s">
        <v>8889</v>
      </c>
      <c r="D7" t="s">
        <v>122</v>
      </c>
      <c r="E7" s="6" t="s">
        <v>4841</v>
      </c>
      <c r="F7" t="s">
        <v>8894</v>
      </c>
      <c r="G7">
        <v>30</v>
      </c>
      <c r="H7" t="s">
        <v>4730</v>
      </c>
      <c r="I7" t="s">
        <v>10278</v>
      </c>
      <c r="J7" s="52" t="s">
        <v>10279</v>
      </c>
      <c r="K7" t="str">
        <f>INDEX(DRA!$A:$AO,MATCH(A7,DRA!$A:$A,0),MATCH("Family",DRA!$A$1:$BG$1,0))</f>
        <v>Critical Attack Rate</v>
      </c>
      <c r="L7" t="s">
        <v>43</v>
      </c>
    </row>
    <row r="8" spans="1:12" x14ac:dyDescent="0.2">
      <c r="A8" t="s">
        <v>10117</v>
      </c>
      <c r="B8" t="s">
        <v>10118</v>
      </c>
      <c r="C8" t="s">
        <v>10119</v>
      </c>
      <c r="D8" t="s">
        <v>122</v>
      </c>
      <c r="E8" s="6" t="s">
        <v>4692</v>
      </c>
      <c r="F8" t="s">
        <v>10124</v>
      </c>
      <c r="G8">
        <v>30</v>
      </c>
      <c r="H8" t="s">
        <v>4618</v>
      </c>
      <c r="I8" t="s">
        <v>10280</v>
      </c>
      <c r="J8" s="52" t="s">
        <v>10281</v>
      </c>
      <c r="K8" t="str">
        <f>INDEX(DRA!$A:$AO,MATCH(A8,DRA!$A:$A,0),MATCH("Family",DRA!$A$1:$BG$1,0))</f>
        <v>Z Shapeshift = Skill Prep</v>
      </c>
    </row>
    <row r="9" spans="1:12" x14ac:dyDescent="0.2">
      <c r="A9" t="s">
        <v>10154</v>
      </c>
      <c r="B9" t="s">
        <v>10155</v>
      </c>
      <c r="C9" t="s">
        <v>10156</v>
      </c>
      <c r="D9" t="s">
        <v>122</v>
      </c>
      <c r="E9" s="6" t="s">
        <v>5070</v>
      </c>
      <c r="F9" t="s">
        <v>10161</v>
      </c>
      <c r="G9">
        <v>30</v>
      </c>
      <c r="H9" t="s">
        <v>4723</v>
      </c>
      <c r="I9" t="s">
        <v>10282</v>
      </c>
      <c r="J9" s="52" t="s">
        <v>10283</v>
      </c>
      <c r="K9" t="str">
        <f>INDEX(DRA!$A:$AO,MATCH(A9,DRA!$A:$A,0),MATCH("Family",DRA!$A$1:$BG$1,0))</f>
        <v>Z Unique</v>
      </c>
      <c r="L9" t="s">
        <v>39</v>
      </c>
    </row>
    <row r="10" spans="1:12" x14ac:dyDescent="0.2">
      <c r="A10" t="s">
        <v>8663</v>
      </c>
      <c r="B10" t="s">
        <v>8664</v>
      </c>
      <c r="C10" t="s">
        <v>8665</v>
      </c>
      <c r="D10" t="s">
        <v>122</v>
      </c>
      <c r="E10" s="6" t="s">
        <v>4833</v>
      </c>
      <c r="F10" t="s">
        <v>8670</v>
      </c>
      <c r="G10">
        <v>30</v>
      </c>
      <c r="H10" t="s">
        <v>4613</v>
      </c>
      <c r="I10" t="s">
        <v>10284</v>
      </c>
      <c r="J10" s="52" t="s">
        <v>10285</v>
      </c>
      <c r="K10" t="str">
        <f>INDEX(DRA!$A:$AO,MATCH(A10,DRA!$A:$A,0),MATCH("Family",DRA!$A$1:$BG$1,0))</f>
        <v>Affliction Punisher</v>
      </c>
      <c r="L10" t="s">
        <v>43</v>
      </c>
    </row>
    <row r="11" spans="1:12" x14ac:dyDescent="0.2">
      <c r="A11" t="s">
        <v>9487</v>
      </c>
      <c r="B11" t="s">
        <v>9488</v>
      </c>
      <c r="C11" t="s">
        <v>9489</v>
      </c>
      <c r="D11" t="s">
        <v>122</v>
      </c>
      <c r="E11" s="6" t="s">
        <v>4877</v>
      </c>
      <c r="F11" t="s">
        <v>9494</v>
      </c>
      <c r="G11">
        <v>30</v>
      </c>
      <c r="H11" t="s">
        <v>4608</v>
      </c>
      <c r="I11" t="s">
        <v>10286</v>
      </c>
      <c r="J11" s="52" t="s">
        <v>10287</v>
      </c>
      <c r="K11" t="str">
        <f>INDEX(DRA!$A:$AO,MATCH(A11,DRA!$A:$A,0),MATCH("Family",DRA!$A$1:$BG$1,0))</f>
        <v>Primed Overdrive</v>
      </c>
      <c r="L11" t="s">
        <v>39</v>
      </c>
    </row>
    <row r="12" spans="1:12" x14ac:dyDescent="0.2">
      <c r="A12" t="s">
        <v>8676</v>
      </c>
      <c r="B12" t="s">
        <v>8677</v>
      </c>
      <c r="C12" t="s">
        <v>8678</v>
      </c>
      <c r="D12" t="s">
        <v>122</v>
      </c>
      <c r="E12" s="6" t="s">
        <v>5653</v>
      </c>
      <c r="F12" t="s">
        <v>8683</v>
      </c>
      <c r="G12">
        <v>50</v>
      </c>
      <c r="H12" t="s">
        <v>4608</v>
      </c>
      <c r="I12" t="s">
        <v>10288</v>
      </c>
      <c r="J12" s="52" t="s">
        <v>10289</v>
      </c>
      <c r="K12" t="str">
        <f>INDEX(DRA!$A:$AO,MATCH(A12,DRA!$A:$A,0),MATCH("Family",DRA!$A$1:$BG$1,0))</f>
        <v>Affliction Punisher</v>
      </c>
      <c r="L12" t="s">
        <v>39</v>
      </c>
    </row>
    <row r="13" spans="1:12" x14ac:dyDescent="0.2">
      <c r="A13" t="s">
        <v>8944</v>
      </c>
      <c r="B13" t="s">
        <v>8945</v>
      </c>
      <c r="C13" t="s">
        <v>8946</v>
      </c>
      <c r="D13" t="s">
        <v>122</v>
      </c>
      <c r="E13" s="6" t="s">
        <v>4740</v>
      </c>
      <c r="F13" t="s">
        <v>8951</v>
      </c>
      <c r="G13">
        <v>30</v>
      </c>
      <c r="H13" t="s">
        <v>4629</v>
      </c>
      <c r="I13" t="s">
        <v>10290</v>
      </c>
      <c r="J13" s="52" t="s">
        <v>10291</v>
      </c>
      <c r="K13" t="str">
        <f>INDEX(DRA!$A:$AO,MATCH(A13,DRA!$A:$A,0),MATCH("Family",DRA!$A$1:$BG$1,0))</f>
        <v>Critical Damage</v>
      </c>
      <c r="L13" t="s">
        <v>39</v>
      </c>
    </row>
    <row r="14" spans="1:12" x14ac:dyDescent="0.2">
      <c r="A14" t="s">
        <v>9598</v>
      </c>
      <c r="B14" t="s">
        <v>9599</v>
      </c>
      <c r="C14" t="s">
        <v>9600</v>
      </c>
      <c r="D14" t="s">
        <v>122</v>
      </c>
      <c r="E14" s="6" t="s">
        <v>4852</v>
      </c>
      <c r="F14" t="s">
        <v>9605</v>
      </c>
      <c r="G14">
        <v>30</v>
      </c>
      <c r="H14" t="s">
        <v>10292</v>
      </c>
      <c r="I14" t="s">
        <v>10293</v>
      </c>
      <c r="J14" s="52" t="s">
        <v>10294</v>
      </c>
      <c r="K14" t="str">
        <f>INDEX(DRA!$A:$AO,MATCH(A14,DRA!$A:$A,0),MATCH("Family",DRA!$A$1:$BG$1,0))</f>
        <v>Skill Damage</v>
      </c>
      <c r="L14" t="s">
        <v>43</v>
      </c>
    </row>
    <row r="15" spans="1:12" x14ac:dyDescent="0.2">
      <c r="A15" t="s">
        <v>9546</v>
      </c>
      <c r="B15" t="s">
        <v>9547</v>
      </c>
      <c r="C15" t="s">
        <v>9548</v>
      </c>
      <c r="D15" t="s">
        <v>122</v>
      </c>
      <c r="E15" s="6" t="s">
        <v>5070</v>
      </c>
      <c r="F15" t="s">
        <v>9553</v>
      </c>
      <c r="G15">
        <v>30</v>
      </c>
      <c r="H15" t="s">
        <v>10292</v>
      </c>
      <c r="I15" t="s">
        <v>10295</v>
      </c>
      <c r="J15" s="52" t="s">
        <v>10296</v>
      </c>
      <c r="K15" t="str">
        <f>INDEX(DRA!$A:$AO,MATCH(A15,DRA!$A:$A,0),MATCH("Family",DRA!$A$1:$BG$1,0))</f>
        <v>Resistant Counter</v>
      </c>
      <c r="L15" t="s">
        <v>43</v>
      </c>
    </row>
    <row r="16" spans="1:12" x14ac:dyDescent="0.2">
      <c r="A16" t="s">
        <v>9656</v>
      </c>
      <c r="B16" t="s">
        <v>9657</v>
      </c>
      <c r="C16" t="s">
        <v>9658</v>
      </c>
      <c r="D16" t="s">
        <v>122</v>
      </c>
      <c r="E16" s="6" t="s">
        <v>5095</v>
      </c>
      <c r="F16" t="s">
        <v>9663</v>
      </c>
      <c r="G16">
        <v>30</v>
      </c>
      <c r="H16" t="s">
        <v>4608</v>
      </c>
      <c r="I16" t="s">
        <v>10297</v>
      </c>
      <c r="J16" s="52" t="s">
        <v>10298</v>
      </c>
      <c r="K16" t="str">
        <f>INDEX(DRA!$A:$AO,MATCH(A16,DRA!$A:$A,0),MATCH("Family",DRA!$A$1:$BG$1,0))</f>
        <v>Skill Haste HP</v>
      </c>
      <c r="L16" t="s">
        <v>43</v>
      </c>
    </row>
    <row r="17" spans="1:12" x14ac:dyDescent="0.2">
      <c r="A17" t="s">
        <v>9770</v>
      </c>
      <c r="B17" t="s">
        <v>9771</v>
      </c>
      <c r="C17" t="s">
        <v>9772</v>
      </c>
      <c r="D17" t="s">
        <v>122</v>
      </c>
      <c r="E17" s="6" t="s">
        <v>5653</v>
      </c>
      <c r="F17" t="s">
        <v>9777</v>
      </c>
      <c r="G17">
        <v>30</v>
      </c>
      <c r="H17" t="s">
        <v>10292</v>
      </c>
      <c r="I17" t="s">
        <v>10299</v>
      </c>
      <c r="J17" s="52" t="s">
        <v>10300</v>
      </c>
      <c r="K17" t="str">
        <f>INDEX(DRA!$A:$AO,MATCH(A17,DRA!$A:$A,0),MATCH("Family",DRA!$A$1:$BG$1,0))</f>
        <v>Skill Prep Team Amp</v>
      </c>
      <c r="L17" t="s">
        <v>39</v>
      </c>
    </row>
    <row r="18" spans="1:12" x14ac:dyDescent="0.2">
      <c r="A18" t="s">
        <v>9713</v>
      </c>
      <c r="B18" t="s">
        <v>9714</v>
      </c>
      <c r="C18" t="s">
        <v>9715</v>
      </c>
      <c r="D18" t="s">
        <v>122</v>
      </c>
      <c r="E18" s="6" t="s">
        <v>4877</v>
      </c>
      <c r="F18" t="s">
        <v>9720</v>
      </c>
      <c r="G18">
        <v>30</v>
      </c>
      <c r="H18" t="s">
        <v>4629</v>
      </c>
      <c r="I18" t="s">
        <v>10301</v>
      </c>
      <c r="J18" s="52" t="s">
        <v>10302</v>
      </c>
      <c r="K18" t="str">
        <f>INDEX(DRA!$A:$AO,MATCH(A18,DRA!$A:$A,0),MATCH("Family",DRA!$A$1:$BG$1,0))</f>
        <v>Skill Haste Strength</v>
      </c>
      <c r="L18" t="s">
        <v>39</v>
      </c>
    </row>
    <row r="19" spans="1:12" x14ac:dyDescent="0.2">
      <c r="A19" t="s">
        <v>9243</v>
      </c>
      <c r="B19" t="s">
        <v>9244</v>
      </c>
      <c r="C19" t="s">
        <v>9245</v>
      </c>
      <c r="D19" t="s">
        <v>122</v>
      </c>
      <c r="E19" s="6" t="s">
        <v>5070</v>
      </c>
      <c r="F19" t="s">
        <v>9250</v>
      </c>
      <c r="G19">
        <v>30</v>
      </c>
      <c r="H19" t="s">
        <v>4649</v>
      </c>
      <c r="I19" t="s">
        <v>10303</v>
      </c>
      <c r="J19" s="52" t="s">
        <v>10304</v>
      </c>
      <c r="K19" t="str">
        <f>INDEX(DRA!$A:$AO,MATCH(A19,DRA!$A:$A,0),MATCH("Family",DRA!$A$1:$BG$1,0))</f>
        <v>High Greatwyrm</v>
      </c>
      <c r="L19" t="s">
        <v>39</v>
      </c>
    </row>
    <row r="20" spans="1:12" x14ac:dyDescent="0.2">
      <c r="A20" t="s">
        <v>9829</v>
      </c>
      <c r="B20" t="s">
        <v>9830</v>
      </c>
      <c r="C20" t="s">
        <v>9831</v>
      </c>
      <c r="D20" t="s">
        <v>122</v>
      </c>
      <c r="E20" s="6" t="s">
        <v>4654</v>
      </c>
      <c r="F20" t="s">
        <v>9836</v>
      </c>
      <c r="G20">
        <v>30</v>
      </c>
      <c r="H20" t="s">
        <v>10305</v>
      </c>
      <c r="I20" t="s">
        <v>10306</v>
      </c>
      <c r="J20" s="52" t="s">
        <v>24237</v>
      </c>
      <c r="K20" t="str">
        <f>INDEX(DRA!$A:$AO,MATCH(A20,DRA!$A:$A,0),MATCH("Family",DRA!$A$1:$BG$1,0))</f>
        <v>Strength</v>
      </c>
      <c r="L20" t="s">
        <v>39</v>
      </c>
    </row>
    <row r="21" spans="1:12" x14ac:dyDescent="0.2">
      <c r="A21" t="s">
        <v>9354</v>
      </c>
      <c r="B21" t="s">
        <v>9355</v>
      </c>
      <c r="C21" t="s">
        <v>9356</v>
      </c>
      <c r="D21" t="s">
        <v>122</v>
      </c>
      <c r="E21" s="6" t="s">
        <v>4852</v>
      </c>
      <c r="F21" t="s">
        <v>9361</v>
      </c>
      <c r="G21">
        <v>50</v>
      </c>
      <c r="H21" t="s">
        <v>10292</v>
      </c>
      <c r="I21" t="s">
        <v>10307</v>
      </c>
      <c r="J21" s="52" t="s">
        <v>10308</v>
      </c>
      <c r="K21" t="str">
        <f>INDEX(DRA!$A:$AO,MATCH(A21,DRA!$A:$A,0),MATCH("Family",DRA!$A$1:$BG$1,0))</f>
        <v>HP &amp; Strength</v>
      </c>
      <c r="L21" t="s">
        <v>43</v>
      </c>
    </row>
    <row r="22" spans="1:12" x14ac:dyDescent="0.2">
      <c r="A22" t="s">
        <v>9296</v>
      </c>
      <c r="B22" t="s">
        <v>9297</v>
      </c>
      <c r="C22" t="s">
        <v>9298</v>
      </c>
      <c r="D22" t="s">
        <v>122</v>
      </c>
      <c r="E22" s="6" t="s">
        <v>4897</v>
      </c>
      <c r="F22" t="s">
        <v>9303</v>
      </c>
      <c r="G22">
        <v>30</v>
      </c>
      <c r="H22" t="s">
        <v>4629</v>
      </c>
      <c r="I22" t="s">
        <v>10309</v>
      </c>
      <c r="J22" s="52" t="s">
        <v>10310</v>
      </c>
      <c r="K22" t="str">
        <f>INDEX(DRA!$A:$AO,MATCH(A22,DRA!$A:$A,0),MATCH("Family",DRA!$A$1:$BG$1,0))</f>
        <v>HP &amp; Overdrive</v>
      </c>
    </row>
    <row r="23" spans="1:12" x14ac:dyDescent="0.2">
      <c r="A23" t="s">
        <v>9186</v>
      </c>
      <c r="B23" t="s">
        <v>9187</v>
      </c>
      <c r="C23" t="s">
        <v>9188</v>
      </c>
      <c r="D23" t="s">
        <v>122</v>
      </c>
      <c r="E23" s="6" t="s">
        <v>10311</v>
      </c>
      <c r="F23" t="s">
        <v>9193</v>
      </c>
      <c r="G23">
        <v>30</v>
      </c>
      <c r="H23" t="s">
        <v>4730</v>
      </c>
      <c r="I23" t="s">
        <v>10312</v>
      </c>
      <c r="J23" s="52" t="s">
        <v>10313</v>
      </c>
      <c r="K23" t="str">
        <f>INDEX(DRA!$A:$AO,MATCH(A23,DRA!$A:$A,0),MATCH("Family",DRA!$A$1:$BG$1,0))</f>
        <v>Greatwyrm</v>
      </c>
      <c r="L23" t="s">
        <v>39</v>
      </c>
    </row>
    <row r="24" spans="1:12" x14ac:dyDescent="0.2">
      <c r="A24" t="s">
        <v>9925</v>
      </c>
      <c r="B24" t="s">
        <v>9926</v>
      </c>
      <c r="C24" t="s">
        <v>9927</v>
      </c>
      <c r="D24" t="s">
        <v>122</v>
      </c>
      <c r="E24" s="6" t="s">
        <v>4833</v>
      </c>
      <c r="F24" t="s">
        <v>9930</v>
      </c>
      <c r="G24">
        <v>50</v>
      </c>
      <c r="H24" t="s">
        <v>4723</v>
      </c>
      <c r="I24" t="s">
        <v>10314</v>
      </c>
      <c r="J24" s="52" t="s">
        <v>10315</v>
      </c>
      <c r="K24" t="str">
        <f>INDEX(DRA!$A:$AO,MATCH(A24,DRA!$A:$A,0),MATCH("Family",DRA!$A$1:$BG$1,0))</f>
        <v>Tutorial - Mixed</v>
      </c>
    </row>
    <row r="25" spans="1:12" x14ac:dyDescent="0.2">
      <c r="A25" t="s">
        <v>9884</v>
      </c>
      <c r="B25" t="s">
        <v>9885</v>
      </c>
      <c r="C25" t="s">
        <v>9886</v>
      </c>
      <c r="D25" t="s">
        <v>122</v>
      </c>
      <c r="E25" s="6" t="s">
        <v>4833</v>
      </c>
      <c r="F25" t="s">
        <v>9890</v>
      </c>
      <c r="G25">
        <v>30</v>
      </c>
      <c r="H25" t="s">
        <v>4842</v>
      </c>
      <c r="I25" t="s">
        <v>10316</v>
      </c>
      <c r="J25" s="52" t="s">
        <v>10317</v>
      </c>
      <c r="K25" t="str">
        <f>INDEX(DRA!$A:$AO,MATCH(A25,DRA!$A:$A,0),MATCH("Family",DRA!$A$1:$BG$1,0))</f>
        <v>Tutorial - HP</v>
      </c>
    </row>
    <row r="26" spans="1:12" x14ac:dyDescent="0.2">
      <c r="A26" t="s">
        <v>9963</v>
      </c>
      <c r="B26" t="s">
        <v>9964</v>
      </c>
      <c r="C26" t="s">
        <v>9965</v>
      </c>
      <c r="D26" t="s">
        <v>122</v>
      </c>
      <c r="E26" s="6" t="s">
        <v>10318</v>
      </c>
      <c r="F26" t="s">
        <v>9968</v>
      </c>
      <c r="G26">
        <v>50</v>
      </c>
      <c r="H26" t="s">
        <v>4629</v>
      </c>
      <c r="I26" t="s">
        <v>10319</v>
      </c>
      <c r="J26" s="52" t="s">
        <v>10320</v>
      </c>
      <c r="K26" t="str">
        <f>INDEX(DRA!$A:$AO,MATCH(A26,DRA!$A:$A,0),MATCH("Family",DRA!$A$1:$BG$1,0))</f>
        <v>Tutorial - Strength</v>
      </c>
    </row>
    <row r="27" spans="1:12" x14ac:dyDescent="0.2">
      <c r="A27" t="s">
        <v>8772</v>
      </c>
      <c r="B27" t="s">
        <v>8773</v>
      </c>
      <c r="C27" t="s">
        <v>8774</v>
      </c>
      <c r="D27" t="s">
        <v>1103</v>
      </c>
      <c r="E27" s="6" t="s">
        <v>4692</v>
      </c>
      <c r="F27" t="s">
        <v>8779</v>
      </c>
      <c r="G27">
        <v>30</v>
      </c>
      <c r="H27" t="s">
        <v>4629</v>
      </c>
      <c r="I27" t="s">
        <v>10321</v>
      </c>
      <c r="J27" s="52" t="s">
        <v>10322</v>
      </c>
      <c r="K27" t="str">
        <f>INDEX(DRA!$A:$AO,MATCH(A27,DRA!$A:$A,0),MATCH("Family",DRA!$A$1:$BG$1,0))</f>
        <v>Agito Beast</v>
      </c>
      <c r="L27" t="s">
        <v>47</v>
      </c>
    </row>
    <row r="28" spans="1:12" x14ac:dyDescent="0.2">
      <c r="A28" t="s">
        <v>9783</v>
      </c>
      <c r="B28" t="s">
        <v>9784</v>
      </c>
      <c r="C28" t="s">
        <v>9785</v>
      </c>
      <c r="D28" t="s">
        <v>1103</v>
      </c>
      <c r="E28" s="6" t="s">
        <v>5398</v>
      </c>
      <c r="F28" t="s">
        <v>9790</v>
      </c>
      <c r="G28">
        <v>30</v>
      </c>
      <c r="H28" t="s">
        <v>4613</v>
      </c>
      <c r="I28" t="s">
        <v>10323</v>
      </c>
      <c r="J28" s="52" t="s">
        <v>10324</v>
      </c>
      <c r="K28" t="str">
        <f>INDEX(DRA!$A:$AO,MATCH(A28,DRA!$A:$A,0),MATCH("Family",DRA!$A$1:$BG$1,0))</f>
        <v>Skill Prep Team Amp</v>
      </c>
    </row>
    <row r="29" spans="1:12" x14ac:dyDescent="0.2">
      <c r="A29" t="s">
        <v>9412</v>
      </c>
      <c r="B29" t="s">
        <v>9413</v>
      </c>
      <c r="C29" t="s">
        <v>9414</v>
      </c>
      <c r="D29" t="s">
        <v>1103</v>
      </c>
      <c r="E29" s="6" t="s">
        <v>4877</v>
      </c>
      <c r="F29" t="s">
        <v>9418</v>
      </c>
      <c r="G29">
        <v>30</v>
      </c>
      <c r="H29" t="s">
        <v>4613</v>
      </c>
      <c r="I29" t="s">
        <v>10325</v>
      </c>
      <c r="J29" s="52" t="s">
        <v>10326</v>
      </c>
      <c r="K29" t="str">
        <f>INDEX(DRA!$A:$AO,MATCH(A29,DRA!$A:$A,0),MATCH("Family",DRA!$A$1:$BG$1,0))</f>
        <v>Mini Greatwyrm</v>
      </c>
    </row>
    <row r="30" spans="1:12" x14ac:dyDescent="0.2">
      <c r="A30" t="s">
        <v>8836</v>
      </c>
      <c r="B30" t="s">
        <v>8837</v>
      </c>
      <c r="C30" t="s">
        <v>8838</v>
      </c>
      <c r="D30" t="s">
        <v>1103</v>
      </c>
      <c r="E30" s="6" t="s">
        <v>5138</v>
      </c>
      <c r="F30" t="s">
        <v>8843</v>
      </c>
      <c r="G30">
        <v>30</v>
      </c>
      <c r="H30" t="s">
        <v>4859</v>
      </c>
      <c r="I30" t="s">
        <v>10327</v>
      </c>
      <c r="J30" s="52" t="s">
        <v>10328</v>
      </c>
      <c r="K30" t="str">
        <f>INDEX(DRA!$A:$AO,MATCH(A30,DRA!$A:$A,0),MATCH("Family",DRA!$A$1:$BG$1,0))</f>
        <v>Archangels</v>
      </c>
      <c r="L30" t="s">
        <v>47</v>
      </c>
    </row>
    <row r="31" spans="1:12" x14ac:dyDescent="0.2">
      <c r="A31" t="s">
        <v>9139</v>
      </c>
      <c r="B31" t="s">
        <v>9140</v>
      </c>
      <c r="C31" t="s">
        <v>9141</v>
      </c>
      <c r="D31" t="s">
        <v>1103</v>
      </c>
      <c r="E31" s="6" t="s">
        <v>4833</v>
      </c>
      <c r="F31" t="s">
        <v>9146</v>
      </c>
      <c r="G31">
        <v>30</v>
      </c>
      <c r="H31" t="s">
        <v>4613</v>
      </c>
      <c r="I31" t="s">
        <v>10329</v>
      </c>
      <c r="J31" s="3" t="s">
        <v>10330</v>
      </c>
      <c r="K31" t="str">
        <f>INDEX(DRA!$A:$AO,MATCH(A31,DRA!$A:$A,0),MATCH("Family",DRA!$A$1:$BG$1,0))</f>
        <v>Gala Reborn</v>
      </c>
      <c r="L31" t="s">
        <v>47</v>
      </c>
    </row>
    <row r="32" spans="1:12" x14ac:dyDescent="0.2">
      <c r="A32" t="s">
        <v>9015</v>
      </c>
      <c r="B32" t="s">
        <v>9016</v>
      </c>
      <c r="C32" t="s">
        <v>9017</v>
      </c>
      <c r="D32" t="s">
        <v>1103</v>
      </c>
      <c r="E32" s="6" t="s">
        <v>4692</v>
      </c>
      <c r="F32" t="s">
        <v>9022</v>
      </c>
      <c r="G32">
        <v>30</v>
      </c>
      <c r="H32" t="s">
        <v>4825</v>
      </c>
      <c r="I32" t="s">
        <v>10331</v>
      </c>
      <c r="J32" s="3" t="s">
        <v>10332</v>
      </c>
      <c r="K32" t="str">
        <f>INDEX(DRA!$A:$AO,MATCH(A32,DRA!$A:$A,0),MATCH("Family",DRA!$A$1:$BG$1,0))</f>
        <v>Divine Mantra</v>
      </c>
      <c r="L32" t="s">
        <v>47</v>
      </c>
    </row>
    <row r="33" spans="1:12" x14ac:dyDescent="0.2">
      <c r="A33" t="s">
        <v>9725</v>
      </c>
      <c r="B33" t="s">
        <v>9726</v>
      </c>
      <c r="C33" t="s">
        <v>9727</v>
      </c>
      <c r="D33" t="s">
        <v>1103</v>
      </c>
      <c r="E33" s="6" t="s">
        <v>4941</v>
      </c>
      <c r="F33" t="s">
        <v>9732</v>
      </c>
      <c r="G33">
        <v>30</v>
      </c>
      <c r="H33" t="s">
        <v>4613</v>
      </c>
      <c r="I33" t="s">
        <v>10333</v>
      </c>
      <c r="J33" s="3" t="s">
        <v>10334</v>
      </c>
      <c r="K33" t="str">
        <f>INDEX(DRA!$A:$AO,MATCH(A33,DRA!$A:$A,0),MATCH("Family",DRA!$A$1:$BG$1,0))</f>
        <v>Skill Haste Strength</v>
      </c>
    </row>
    <row r="34" spans="1:12" x14ac:dyDescent="0.2">
      <c r="A34" t="s">
        <v>8959</v>
      </c>
      <c r="B34" t="s">
        <v>8960</v>
      </c>
      <c r="C34" t="s">
        <v>8961</v>
      </c>
      <c r="D34" t="s">
        <v>1103</v>
      </c>
      <c r="E34" s="6" t="s">
        <v>4897</v>
      </c>
      <c r="F34" t="s">
        <v>8966</v>
      </c>
      <c r="G34">
        <v>30</v>
      </c>
      <c r="H34" t="s">
        <v>4613</v>
      </c>
      <c r="I34" t="s">
        <v>10335</v>
      </c>
      <c r="J34" s="3" t="s">
        <v>10336</v>
      </c>
      <c r="K34" t="str">
        <f>INDEX(DRA!$A:$AO,MATCH(A34,DRA!$A:$A,0),MATCH("Family",DRA!$A$1:$BG$1,0))</f>
        <v>Critical Damage</v>
      </c>
    </row>
    <row r="35" spans="1:12" x14ac:dyDescent="0.2">
      <c r="A35" t="s">
        <v>9502</v>
      </c>
      <c r="B35" t="s">
        <v>9503</v>
      </c>
      <c r="C35" t="s">
        <v>9504</v>
      </c>
      <c r="D35" t="s">
        <v>1103</v>
      </c>
      <c r="E35" s="6" t="s">
        <v>4877</v>
      </c>
      <c r="F35" t="s">
        <v>9509</v>
      </c>
      <c r="G35">
        <v>30</v>
      </c>
      <c r="H35" t="s">
        <v>4613</v>
      </c>
      <c r="I35" t="s">
        <v>10337</v>
      </c>
      <c r="J35" s="3" t="s">
        <v>10338</v>
      </c>
      <c r="K35" t="str">
        <f>INDEX(DRA!$A:$AO,MATCH(A35,DRA!$A:$A,0),MATCH("Family",DRA!$A$1:$BG$1,0))</f>
        <v>Primed Overdrive</v>
      </c>
      <c r="L35" t="s">
        <v>47</v>
      </c>
    </row>
    <row r="36" spans="1:12" x14ac:dyDescent="0.2">
      <c r="A36" t="s">
        <v>9669</v>
      </c>
      <c r="B36" t="s">
        <v>9670</v>
      </c>
      <c r="C36" t="s">
        <v>9671</v>
      </c>
      <c r="D36" t="s">
        <v>1103</v>
      </c>
      <c r="E36" s="6" t="s">
        <v>4941</v>
      </c>
      <c r="F36" t="s">
        <v>9676</v>
      </c>
      <c r="G36">
        <v>30</v>
      </c>
      <c r="H36" t="s">
        <v>4622</v>
      </c>
      <c r="I36" t="s">
        <v>10339</v>
      </c>
      <c r="J36" s="3" t="s">
        <v>10340</v>
      </c>
      <c r="K36" t="str">
        <f>INDEX(DRA!$A:$AO,MATCH(A36,DRA!$A:$A,0),MATCH("Family",DRA!$A$1:$BG$1,0))</f>
        <v>Skill Haste HP</v>
      </c>
    </row>
    <row r="37" spans="1:12" x14ac:dyDescent="0.2">
      <c r="A37" t="s">
        <v>9310</v>
      </c>
      <c r="B37" t="s">
        <v>9311</v>
      </c>
      <c r="C37" t="s">
        <v>9312</v>
      </c>
      <c r="D37" t="s">
        <v>1103</v>
      </c>
      <c r="E37" s="6" t="s">
        <v>10318</v>
      </c>
      <c r="F37" t="s">
        <v>9317</v>
      </c>
      <c r="G37">
        <v>30</v>
      </c>
      <c r="H37" t="s">
        <v>4622</v>
      </c>
      <c r="I37" t="s">
        <v>10341</v>
      </c>
      <c r="J37" s="3" t="s">
        <v>10342</v>
      </c>
      <c r="K37" t="str">
        <f>INDEX(DRA!$A:$AO,MATCH(A37,DRA!$A:$A,0),MATCH("Family",DRA!$A$1:$BG$1,0))</f>
        <v>HP &amp; Overdrive</v>
      </c>
    </row>
    <row r="38" spans="1:12" x14ac:dyDescent="0.2">
      <c r="A38" t="s">
        <v>10040</v>
      </c>
      <c r="B38" t="s">
        <v>10041</v>
      </c>
      <c r="C38" t="s">
        <v>10042</v>
      </c>
      <c r="D38" t="s">
        <v>1103</v>
      </c>
      <c r="E38" s="6" t="s">
        <v>4841</v>
      </c>
      <c r="F38" t="s">
        <v>10047</v>
      </c>
      <c r="G38">
        <v>30</v>
      </c>
      <c r="H38" t="s">
        <v>4629</v>
      </c>
      <c r="I38" t="s">
        <v>10343</v>
      </c>
      <c r="J38" s="3" t="s">
        <v>10344</v>
      </c>
      <c r="K38" t="str">
        <f>INDEX(DRA!$A:$AO,MATCH(A38,DRA!$A:$A,0),MATCH("Family",DRA!$A$1:$BG$1,0))</f>
        <v>Z Defensive</v>
      </c>
      <c r="L38" t="s">
        <v>47</v>
      </c>
    </row>
    <row r="39" spans="1:12" x14ac:dyDescent="0.2">
      <c r="A39" t="s">
        <v>8901</v>
      </c>
      <c r="B39" t="s">
        <v>8902</v>
      </c>
      <c r="C39" t="s">
        <v>8903</v>
      </c>
      <c r="D39" t="s">
        <v>1103</v>
      </c>
      <c r="E39" s="6" t="s">
        <v>4841</v>
      </c>
      <c r="F39" t="s">
        <v>8908</v>
      </c>
      <c r="G39">
        <v>30</v>
      </c>
      <c r="H39" t="s">
        <v>4618</v>
      </c>
      <c r="I39" t="s">
        <v>10345</v>
      </c>
      <c r="J39" s="3" t="s">
        <v>10346</v>
      </c>
      <c r="K39" t="str">
        <f>INDEX(DRA!$A:$AO,MATCH(A39,DRA!$A:$A,0),MATCH("Family",DRA!$A$1:$BG$1,0))</f>
        <v>Critical Attack Rate</v>
      </c>
      <c r="L39" t="s">
        <v>47</v>
      </c>
    </row>
    <row r="40" spans="1:12" x14ac:dyDescent="0.2">
      <c r="A40" t="s">
        <v>9613</v>
      </c>
      <c r="B40" t="s">
        <v>9614</v>
      </c>
      <c r="C40" t="s">
        <v>9615</v>
      </c>
      <c r="D40" t="s">
        <v>1103</v>
      </c>
      <c r="E40" s="6" t="s">
        <v>4877</v>
      </c>
      <c r="F40" t="s">
        <v>9620</v>
      </c>
      <c r="G40">
        <v>30</v>
      </c>
      <c r="H40" t="s">
        <v>4618</v>
      </c>
      <c r="I40" t="s">
        <v>10347</v>
      </c>
      <c r="J40" s="3" t="s">
        <v>10348</v>
      </c>
      <c r="K40" t="str">
        <f>INDEX(DRA!$A:$AO,MATCH(A40,DRA!$A:$A,0),MATCH("Family",DRA!$A$1:$BG$1,0))</f>
        <v>Skill Damage</v>
      </c>
      <c r="L40" t="s">
        <v>47</v>
      </c>
    </row>
    <row r="41" spans="1:12" x14ac:dyDescent="0.2">
      <c r="A41" t="s">
        <v>9840</v>
      </c>
      <c r="B41" t="s">
        <v>9841</v>
      </c>
      <c r="C41" t="s">
        <v>9842</v>
      </c>
      <c r="D41" t="s">
        <v>1103</v>
      </c>
      <c r="E41" s="6" t="s">
        <v>5398</v>
      </c>
      <c r="F41" t="s">
        <v>9847</v>
      </c>
      <c r="G41">
        <v>30</v>
      </c>
      <c r="H41" t="s">
        <v>4629</v>
      </c>
      <c r="I41" t="s">
        <v>10349</v>
      </c>
      <c r="J41" s="3" t="s">
        <v>10350</v>
      </c>
      <c r="K41" t="str">
        <f>INDEX(DRA!$A:$AO,MATCH(A41,DRA!$A:$A,0),MATCH("Family",DRA!$A$1:$BG$1,0))</f>
        <v>Strength</v>
      </c>
      <c r="L41" t="s">
        <v>47</v>
      </c>
    </row>
    <row r="42" spans="1:12" x14ac:dyDescent="0.2">
      <c r="A42" t="s">
        <v>9256</v>
      </c>
      <c r="B42" t="s">
        <v>9257</v>
      </c>
      <c r="C42" t="s">
        <v>9258</v>
      </c>
      <c r="D42" t="s">
        <v>1103</v>
      </c>
      <c r="E42" s="6" t="s">
        <v>4877</v>
      </c>
      <c r="F42" t="s">
        <v>9263</v>
      </c>
      <c r="G42">
        <v>30</v>
      </c>
      <c r="H42" t="s">
        <v>4730</v>
      </c>
      <c r="I42" t="s">
        <v>10351</v>
      </c>
      <c r="J42" s="3" t="s">
        <v>10352</v>
      </c>
      <c r="K42" t="str">
        <f>INDEX(DRA!$A:$AO,MATCH(A42,DRA!$A:$A,0),MATCH("Family",DRA!$A$1:$BG$1,0))</f>
        <v>High Greatwyrm</v>
      </c>
      <c r="L42" t="s">
        <v>47</v>
      </c>
    </row>
    <row r="43" spans="1:12" x14ac:dyDescent="0.2">
      <c r="A43" t="s">
        <v>9366</v>
      </c>
      <c r="B43" t="s">
        <v>9367</v>
      </c>
      <c r="C43" t="s">
        <v>9368</v>
      </c>
      <c r="D43" t="s">
        <v>1103</v>
      </c>
      <c r="E43" s="6" t="s">
        <v>4852</v>
      </c>
      <c r="F43" t="s">
        <v>9373</v>
      </c>
      <c r="G43">
        <v>50</v>
      </c>
      <c r="H43" t="s">
        <v>4730</v>
      </c>
      <c r="I43" t="s">
        <v>10353</v>
      </c>
      <c r="J43" s="3" t="s">
        <v>10354</v>
      </c>
      <c r="K43" t="str">
        <f>INDEX(DRA!$A:$AO,MATCH(A43,DRA!$A:$A,0),MATCH("Family",DRA!$A$1:$BG$1,0))</f>
        <v>HP &amp; Strength</v>
      </c>
      <c r="L43" t="s">
        <v>47</v>
      </c>
    </row>
    <row r="44" spans="1:12" x14ac:dyDescent="0.2">
      <c r="A44" t="s">
        <v>8689</v>
      </c>
      <c r="B44" t="s">
        <v>8690</v>
      </c>
      <c r="C44" t="s">
        <v>8691</v>
      </c>
      <c r="D44" t="s">
        <v>1103</v>
      </c>
      <c r="E44" s="6" t="s">
        <v>5095</v>
      </c>
      <c r="F44" t="s">
        <v>8696</v>
      </c>
      <c r="G44">
        <v>50</v>
      </c>
      <c r="H44" t="s">
        <v>4629</v>
      </c>
      <c r="I44" t="s">
        <v>10355</v>
      </c>
      <c r="J44" s="3" t="s">
        <v>10356</v>
      </c>
      <c r="K44" t="str">
        <f>INDEX(DRA!$A:$AO,MATCH(A44,DRA!$A:$A,0),MATCH("Family",DRA!$A$1:$BG$1,0))</f>
        <v>Affliction Punisher</v>
      </c>
      <c r="L44" t="s">
        <v>47</v>
      </c>
    </row>
    <row r="45" spans="1:12" x14ac:dyDescent="0.2">
      <c r="A45" t="s">
        <v>10083</v>
      </c>
      <c r="B45" t="s">
        <v>10084</v>
      </c>
      <c r="C45" t="s">
        <v>10085</v>
      </c>
      <c r="D45" t="s">
        <v>1103</v>
      </c>
      <c r="E45" s="6" t="s">
        <v>4852</v>
      </c>
      <c r="F45" t="s">
        <v>10090</v>
      </c>
      <c r="G45">
        <v>30</v>
      </c>
      <c r="H45" t="s">
        <v>4618</v>
      </c>
      <c r="I45" t="s">
        <v>10357</v>
      </c>
      <c r="J45" s="3" t="s">
        <v>10358</v>
      </c>
      <c r="K45" t="str">
        <f>INDEX(DRA!$A:$AO,MATCH(A45,DRA!$A:$A,0),MATCH("Family",DRA!$A$1:$BG$1,0))</f>
        <v>Z Divergent Shield</v>
      </c>
      <c r="L45" t="s">
        <v>47</v>
      </c>
    </row>
    <row r="46" spans="1:12" x14ac:dyDescent="0.2">
      <c r="A46" t="s">
        <v>9199</v>
      </c>
      <c r="B46" t="s">
        <v>9200</v>
      </c>
      <c r="C46" t="s">
        <v>9201</v>
      </c>
      <c r="D46" t="s">
        <v>1103</v>
      </c>
      <c r="E46" s="6" t="s">
        <v>4841</v>
      </c>
      <c r="F46" t="s">
        <v>9206</v>
      </c>
      <c r="G46">
        <v>30</v>
      </c>
      <c r="H46" t="s">
        <v>4618</v>
      </c>
      <c r="I46" t="s">
        <v>10359</v>
      </c>
      <c r="J46" s="3" t="s">
        <v>10360</v>
      </c>
      <c r="K46" t="str">
        <f>INDEX(DRA!$A:$AO,MATCH(A46,DRA!$A:$A,0),MATCH("Family",DRA!$A$1:$BG$1,0))</f>
        <v>Greatwyrm</v>
      </c>
    </row>
    <row r="47" spans="1:12" x14ac:dyDescent="0.2">
      <c r="A47" t="s">
        <v>9935</v>
      </c>
      <c r="B47" t="s">
        <v>9936</v>
      </c>
      <c r="C47" t="s">
        <v>9937</v>
      </c>
      <c r="D47" t="s">
        <v>1103</v>
      </c>
      <c r="E47" s="6" t="s">
        <v>4673</v>
      </c>
      <c r="F47" t="s">
        <v>9940</v>
      </c>
      <c r="G47">
        <v>30</v>
      </c>
      <c r="H47" t="s">
        <v>4618</v>
      </c>
      <c r="I47" t="s">
        <v>10361</v>
      </c>
      <c r="J47" s="3" t="s">
        <v>10362</v>
      </c>
      <c r="K47" t="str">
        <f>INDEX(DRA!$A:$AO,MATCH(A47,DRA!$A:$A,0),MATCH("Family",DRA!$A$1:$BG$1,0))</f>
        <v>Tutorial - Mixed</v>
      </c>
    </row>
    <row r="48" spans="1:12" x14ac:dyDescent="0.2">
      <c r="A48" t="s">
        <v>9896</v>
      </c>
      <c r="B48" t="s">
        <v>9897</v>
      </c>
      <c r="C48" t="s">
        <v>9898</v>
      </c>
      <c r="D48" t="s">
        <v>1103</v>
      </c>
      <c r="E48" s="6" t="s">
        <v>5653</v>
      </c>
      <c r="F48" t="s">
        <v>9901</v>
      </c>
      <c r="G48">
        <v>30</v>
      </c>
      <c r="H48" t="s">
        <v>4842</v>
      </c>
      <c r="I48" t="s">
        <v>10363</v>
      </c>
      <c r="J48" s="3" t="s">
        <v>10364</v>
      </c>
      <c r="K48" t="str">
        <f>INDEX(DRA!$A:$AO,MATCH(A48,DRA!$A:$A,0),MATCH("Family",DRA!$A$1:$BG$1,0))</f>
        <v>Tutorial - HP</v>
      </c>
    </row>
    <row r="49" spans="1:12" x14ac:dyDescent="0.2">
      <c r="A49" t="s">
        <v>9974</v>
      </c>
      <c r="B49" t="s">
        <v>9975</v>
      </c>
      <c r="C49" t="s">
        <v>9976</v>
      </c>
      <c r="D49" t="s">
        <v>1103</v>
      </c>
      <c r="E49" s="6" t="s">
        <v>10318</v>
      </c>
      <c r="F49" t="s">
        <v>9979</v>
      </c>
      <c r="G49">
        <v>50</v>
      </c>
      <c r="H49" t="s">
        <v>4629</v>
      </c>
      <c r="I49" t="s">
        <v>10365</v>
      </c>
      <c r="J49" s="3" t="s">
        <v>10366</v>
      </c>
      <c r="K49" t="str">
        <f>INDEX(DRA!$A:$AO,MATCH(A49,DRA!$A:$A,0),MATCH("Family",DRA!$A$1:$BG$1,0))</f>
        <v>Tutorial - Strength</v>
      </c>
    </row>
    <row r="50" spans="1:12" x14ac:dyDescent="0.2">
      <c r="A50" t="s">
        <v>8849</v>
      </c>
      <c r="B50" t="s">
        <v>8850</v>
      </c>
      <c r="C50" t="s">
        <v>8851</v>
      </c>
      <c r="D50" t="s">
        <v>1947</v>
      </c>
      <c r="E50" s="6" t="s">
        <v>4852</v>
      </c>
      <c r="F50" t="s">
        <v>8856</v>
      </c>
      <c r="G50">
        <v>30</v>
      </c>
      <c r="H50" t="s">
        <v>10292</v>
      </c>
      <c r="I50" t="s">
        <v>10367</v>
      </c>
      <c r="J50" s="3" t="s">
        <v>10368</v>
      </c>
      <c r="K50" t="str">
        <f>INDEX(DRA!$A:$AO,MATCH(A50,DRA!$A:$A,0),MATCH("Family",DRA!$A$1:$BG$1,0))</f>
        <v>Archangels</v>
      </c>
      <c r="L50" t="s">
        <v>10369</v>
      </c>
    </row>
    <row r="51" spans="1:12" x14ac:dyDescent="0.2">
      <c r="A51" t="s">
        <v>9027</v>
      </c>
      <c r="B51" t="s">
        <v>9028</v>
      </c>
      <c r="C51" t="s">
        <v>9029</v>
      </c>
      <c r="D51" t="s">
        <v>1947</v>
      </c>
      <c r="E51" s="6" t="s">
        <v>4852</v>
      </c>
      <c r="F51" t="s">
        <v>9034</v>
      </c>
      <c r="G51">
        <v>30</v>
      </c>
      <c r="H51" t="s">
        <v>4618</v>
      </c>
      <c r="I51" t="s">
        <v>10370</v>
      </c>
      <c r="J51" s="3" t="s">
        <v>10371</v>
      </c>
      <c r="K51" t="str">
        <f>INDEX(DRA!$A:$AO,MATCH(A51,DRA!$A:$A,0),MATCH("Family",DRA!$A$1:$BG$1,0))</f>
        <v>Divine Mantra</v>
      </c>
      <c r="L51" t="s">
        <v>55</v>
      </c>
    </row>
    <row r="52" spans="1:12" x14ac:dyDescent="0.2">
      <c r="A52" t="s">
        <v>8787</v>
      </c>
      <c r="B52" t="s">
        <v>8788</v>
      </c>
      <c r="C52" t="s">
        <v>8789</v>
      </c>
      <c r="D52" t="s">
        <v>1947</v>
      </c>
      <c r="E52" s="6" t="s">
        <v>10372</v>
      </c>
      <c r="F52" t="s">
        <v>8794</v>
      </c>
      <c r="G52">
        <v>30</v>
      </c>
      <c r="H52" t="s">
        <v>4622</v>
      </c>
      <c r="I52" t="s">
        <v>10373</v>
      </c>
      <c r="J52" s="3" t="s">
        <v>10374</v>
      </c>
      <c r="K52" t="str">
        <f>INDEX(DRA!$A:$AO,MATCH(A52,DRA!$A:$A,0),MATCH("Family",DRA!$A$1:$BG$1,0))</f>
        <v>Agito Beast</v>
      </c>
    </row>
    <row r="53" spans="1:12" x14ac:dyDescent="0.2">
      <c r="A53" t="s">
        <v>10132</v>
      </c>
      <c r="B53" t="s">
        <v>10133</v>
      </c>
      <c r="C53" t="s">
        <v>10134</v>
      </c>
      <c r="D53" t="s">
        <v>1947</v>
      </c>
      <c r="E53" s="6" t="s">
        <v>4877</v>
      </c>
      <c r="F53" t="s">
        <v>10139</v>
      </c>
      <c r="G53">
        <v>30</v>
      </c>
      <c r="H53" t="s">
        <v>4622</v>
      </c>
      <c r="I53" t="s">
        <v>10375</v>
      </c>
      <c r="J53" s="3" t="s">
        <v>10376</v>
      </c>
      <c r="K53" t="str">
        <f>INDEX(DRA!$A:$AO,MATCH(A53,DRA!$A:$A,0),MATCH("Family",DRA!$A$1:$BG$1,0))</f>
        <v>Z Shapeshift = Skill Prep</v>
      </c>
      <c r="L53" t="s">
        <v>55</v>
      </c>
    </row>
    <row r="54" spans="1:12" x14ac:dyDescent="0.2">
      <c r="A54" t="s">
        <v>9560</v>
      </c>
      <c r="B54" t="s">
        <v>9561</v>
      </c>
      <c r="C54" t="s">
        <v>9562</v>
      </c>
      <c r="D54" t="s">
        <v>1947</v>
      </c>
      <c r="E54" s="6" t="s">
        <v>5070</v>
      </c>
      <c r="F54" t="s">
        <v>9567</v>
      </c>
      <c r="G54">
        <v>30</v>
      </c>
      <c r="H54" t="s">
        <v>4608</v>
      </c>
      <c r="I54" t="s">
        <v>10377</v>
      </c>
      <c r="J54" s="3" t="s">
        <v>10378</v>
      </c>
      <c r="K54" t="str">
        <f>INDEX(DRA!$A:$AO,MATCH(A54,DRA!$A:$A,0),MATCH("Family",DRA!$A$1:$BG$1,0))</f>
        <v>Resistant Counter</v>
      </c>
      <c r="L54" t="s">
        <v>55</v>
      </c>
    </row>
    <row r="55" spans="1:12" x14ac:dyDescent="0.2">
      <c r="A55" t="s">
        <v>9151</v>
      </c>
      <c r="B55" t="s">
        <v>9152</v>
      </c>
      <c r="C55" t="s">
        <v>9153</v>
      </c>
      <c r="D55" t="s">
        <v>1947</v>
      </c>
      <c r="E55" s="6" t="s">
        <v>5070</v>
      </c>
      <c r="F55" t="s">
        <v>9158</v>
      </c>
      <c r="G55">
        <v>30</v>
      </c>
      <c r="H55" t="s">
        <v>4622</v>
      </c>
      <c r="I55" t="s">
        <v>10379</v>
      </c>
      <c r="J55" s="3" t="s">
        <v>10380</v>
      </c>
      <c r="K55" t="str">
        <f>INDEX(DRA!$A:$AO,MATCH(A55,DRA!$A:$A,0),MATCH("Family",DRA!$A$1:$BG$1,0))</f>
        <v>Gala Reborn</v>
      </c>
      <c r="L55" t="s">
        <v>55</v>
      </c>
    </row>
    <row r="56" spans="1:12" x14ac:dyDescent="0.2">
      <c r="A56" t="s">
        <v>9462</v>
      </c>
      <c r="B56" t="s">
        <v>10169</v>
      </c>
      <c r="C56" t="s">
        <v>10170</v>
      </c>
      <c r="D56" t="s">
        <v>1947</v>
      </c>
      <c r="E56" s="6" t="s">
        <v>4877</v>
      </c>
      <c r="F56" t="s">
        <v>10175</v>
      </c>
      <c r="G56">
        <v>30</v>
      </c>
      <c r="H56" t="s">
        <v>4622</v>
      </c>
      <c r="I56" t="s">
        <v>10381</v>
      </c>
      <c r="J56" s="3" t="s">
        <v>10382</v>
      </c>
      <c r="K56" t="str">
        <f>INDEX(DRA!$A:$AO,MATCH(A56,DRA!$A:$A,0),MATCH("Family",DRA!$A$1:$BG$1,0))</f>
        <v>Z Unique</v>
      </c>
    </row>
    <row r="57" spans="1:12" x14ac:dyDescent="0.2">
      <c r="A57" t="s">
        <v>9794</v>
      </c>
      <c r="B57" t="s">
        <v>9795</v>
      </c>
      <c r="C57" t="s">
        <v>9796</v>
      </c>
      <c r="D57" t="s">
        <v>1947</v>
      </c>
      <c r="E57" s="6" t="s">
        <v>4696</v>
      </c>
      <c r="F57" t="s">
        <v>9801</v>
      </c>
      <c r="G57">
        <v>30</v>
      </c>
      <c r="H57" t="s">
        <v>4618</v>
      </c>
      <c r="I57" t="s">
        <v>10383</v>
      </c>
      <c r="J57" s="3" t="s">
        <v>10384</v>
      </c>
      <c r="K57" t="str">
        <f>INDEX(DRA!$A:$AO,MATCH(A57,DRA!$A:$A,0),MATCH("Family",DRA!$A$1:$BG$1,0))</f>
        <v>Skill Prep Team Amp</v>
      </c>
    </row>
    <row r="58" spans="1:12" x14ac:dyDescent="0.2">
      <c r="A58" t="s">
        <v>9736</v>
      </c>
      <c r="B58" t="s">
        <v>9737</v>
      </c>
      <c r="C58" t="s">
        <v>9738</v>
      </c>
      <c r="D58" t="s">
        <v>1947</v>
      </c>
      <c r="E58" s="6" t="s">
        <v>5070</v>
      </c>
      <c r="F58" t="s">
        <v>9743</v>
      </c>
      <c r="G58">
        <v>30</v>
      </c>
      <c r="H58" t="s">
        <v>4622</v>
      </c>
      <c r="I58" t="s">
        <v>10385</v>
      </c>
      <c r="J58" s="3" t="s">
        <v>10386</v>
      </c>
      <c r="K58" t="str">
        <f>INDEX(DRA!$A:$AO,MATCH(A58,DRA!$A:$A,0),MATCH("Family",DRA!$A$1:$BG$1,0))</f>
        <v>Skill Haste Strength</v>
      </c>
      <c r="L58" t="s">
        <v>51</v>
      </c>
    </row>
    <row r="59" spans="1:12" x14ac:dyDescent="0.2">
      <c r="A59" t="s">
        <v>10095</v>
      </c>
      <c r="B59" t="s">
        <v>10096</v>
      </c>
      <c r="C59" t="s">
        <v>10097</v>
      </c>
      <c r="D59" t="s">
        <v>1947</v>
      </c>
      <c r="E59" s="6" t="s">
        <v>4692</v>
      </c>
      <c r="F59" t="s">
        <v>10102</v>
      </c>
      <c r="G59">
        <v>30</v>
      </c>
      <c r="H59" t="s">
        <v>4641</v>
      </c>
      <c r="I59" t="s">
        <v>10387</v>
      </c>
      <c r="J59" s="3" t="s">
        <v>10388</v>
      </c>
      <c r="K59" t="str">
        <f>INDEX(DRA!$A:$AO,MATCH(A59,DRA!$A:$A,0),MATCH("Family",DRA!$A$1:$BG$1,0))</f>
        <v>Z Divergent Shield</v>
      </c>
      <c r="L59" t="s">
        <v>51</v>
      </c>
    </row>
    <row r="60" spans="1:12" x14ac:dyDescent="0.2">
      <c r="A60" t="s">
        <v>9513</v>
      </c>
      <c r="B60" t="s">
        <v>9514</v>
      </c>
      <c r="C60" t="s">
        <v>9515</v>
      </c>
      <c r="D60" t="s">
        <v>1947</v>
      </c>
      <c r="E60" s="6" t="s">
        <v>4833</v>
      </c>
      <c r="F60" t="s">
        <v>9520</v>
      </c>
      <c r="G60">
        <v>30</v>
      </c>
      <c r="H60" t="s">
        <v>4608</v>
      </c>
      <c r="I60" t="s">
        <v>10389</v>
      </c>
      <c r="J60" s="3" t="s">
        <v>10390</v>
      </c>
      <c r="K60" t="str">
        <f>INDEX(DRA!$A:$AO,MATCH(A60,DRA!$A:$A,0),MATCH("Family",DRA!$A$1:$BG$1,0))</f>
        <v>Primed Overdrive</v>
      </c>
      <c r="L60" t="s">
        <v>51</v>
      </c>
    </row>
    <row r="61" spans="1:12" x14ac:dyDescent="0.2">
      <c r="A61" t="s">
        <v>9421</v>
      </c>
      <c r="B61" t="s">
        <v>9422</v>
      </c>
      <c r="C61" t="s">
        <v>9423</v>
      </c>
      <c r="D61" t="s">
        <v>1947</v>
      </c>
      <c r="E61" s="6" t="s">
        <v>4877</v>
      </c>
      <c r="F61" t="s">
        <v>9427</v>
      </c>
      <c r="G61">
        <v>30</v>
      </c>
      <c r="H61" t="s">
        <v>4608</v>
      </c>
      <c r="I61" t="s">
        <v>10391</v>
      </c>
      <c r="J61" s="3" t="s">
        <v>10392</v>
      </c>
      <c r="K61" t="str">
        <f>INDEX(DRA!$A:$AO,MATCH(A61,DRA!$A:$A,0),MATCH("Family",DRA!$A$1:$BG$1,0))</f>
        <v>Mini Greatwyrm</v>
      </c>
    </row>
    <row r="62" spans="1:12" x14ac:dyDescent="0.2">
      <c r="A62" t="s">
        <v>9624</v>
      </c>
      <c r="B62" t="s">
        <v>9625</v>
      </c>
      <c r="C62" t="s">
        <v>9626</v>
      </c>
      <c r="D62" t="s">
        <v>1947</v>
      </c>
      <c r="E62" s="6" t="s">
        <v>4711</v>
      </c>
      <c r="F62" t="s">
        <v>9631</v>
      </c>
      <c r="G62">
        <v>30</v>
      </c>
      <c r="H62" t="s">
        <v>4618</v>
      </c>
      <c r="I62" t="s">
        <v>10393</v>
      </c>
      <c r="J62" s="3" t="s">
        <v>10394</v>
      </c>
      <c r="K62" t="str">
        <f>INDEX(DRA!$A:$AO,MATCH(A62,DRA!$A:$A,0),MATCH("Family",DRA!$A$1:$BG$1,0))</f>
        <v>Skill Damage</v>
      </c>
    </row>
    <row r="63" spans="1:12" x14ac:dyDescent="0.2">
      <c r="A63" t="s">
        <v>9681</v>
      </c>
      <c r="B63" t="s">
        <v>9682</v>
      </c>
      <c r="C63" t="s">
        <v>9683</v>
      </c>
      <c r="D63" t="s">
        <v>1947</v>
      </c>
      <c r="E63" s="6" t="s">
        <v>4897</v>
      </c>
      <c r="F63" t="s">
        <v>9688</v>
      </c>
      <c r="G63">
        <v>30</v>
      </c>
      <c r="H63" t="s">
        <v>4608</v>
      </c>
      <c r="I63" t="s">
        <v>10395</v>
      </c>
      <c r="J63" s="3" t="s">
        <v>10396</v>
      </c>
      <c r="K63" t="str">
        <f>INDEX(DRA!$A:$AO,MATCH(A63,DRA!$A:$A,0),MATCH("Family",DRA!$A$1:$BG$1,0))</f>
        <v>Skill Haste HP</v>
      </c>
    </row>
    <row r="64" spans="1:12" x14ac:dyDescent="0.2">
      <c r="A64" t="s">
        <v>8911</v>
      </c>
      <c r="B64" t="s">
        <v>8912</v>
      </c>
      <c r="C64" t="s">
        <v>8913</v>
      </c>
      <c r="D64" t="s">
        <v>1947</v>
      </c>
      <c r="E64" s="6" t="s">
        <v>4877</v>
      </c>
      <c r="F64" t="s">
        <v>8918</v>
      </c>
      <c r="G64">
        <v>30</v>
      </c>
      <c r="H64" t="s">
        <v>4693</v>
      </c>
      <c r="I64" t="s">
        <v>10397</v>
      </c>
      <c r="J64" s="3" t="s">
        <v>10398</v>
      </c>
      <c r="K64" t="str">
        <f>INDEX(DRA!$A:$AO,MATCH(A64,DRA!$A:$A,0),MATCH("Family",DRA!$A$1:$BG$1,0))</f>
        <v>Critical Attack Rate</v>
      </c>
      <c r="L64" t="s">
        <v>51</v>
      </c>
    </row>
    <row r="65" spans="1:12" x14ac:dyDescent="0.2">
      <c r="A65" t="s">
        <v>8701</v>
      </c>
      <c r="B65" t="s">
        <v>8702</v>
      </c>
      <c r="C65" t="s">
        <v>8703</v>
      </c>
      <c r="D65" t="s">
        <v>1947</v>
      </c>
      <c r="E65" s="6" t="s">
        <v>4692</v>
      </c>
      <c r="F65" t="s">
        <v>8708</v>
      </c>
      <c r="G65">
        <v>30</v>
      </c>
      <c r="H65" t="s">
        <v>4618</v>
      </c>
      <c r="I65" t="s">
        <v>10399</v>
      </c>
      <c r="J65" s="3" t="s">
        <v>10400</v>
      </c>
      <c r="K65" t="str">
        <f>INDEX(DRA!$A:$AO,MATCH(A65,DRA!$A:$A,0),MATCH("Family",DRA!$A$1:$BG$1,0))</f>
        <v>Affliction Punisher</v>
      </c>
      <c r="L65" t="s">
        <v>51</v>
      </c>
    </row>
    <row r="66" spans="1:12" x14ac:dyDescent="0.2">
      <c r="A66" t="s">
        <v>8969</v>
      </c>
      <c r="B66" t="s">
        <v>8970</v>
      </c>
      <c r="C66" t="s">
        <v>8971</v>
      </c>
      <c r="D66" t="s">
        <v>1947</v>
      </c>
      <c r="E66" s="6" t="s">
        <v>4692</v>
      </c>
      <c r="F66" t="s">
        <v>8976</v>
      </c>
      <c r="G66">
        <v>30</v>
      </c>
      <c r="H66" t="s">
        <v>4629</v>
      </c>
      <c r="I66" t="s">
        <v>10401</v>
      </c>
      <c r="J66" s="3" t="s">
        <v>10402</v>
      </c>
      <c r="K66" t="str">
        <f>INDEX(DRA!$A:$AO,MATCH(A66,DRA!$A:$A,0),MATCH("Family",DRA!$A$1:$BG$1,0))</f>
        <v>Critical Damage</v>
      </c>
      <c r="L66" t="s">
        <v>55</v>
      </c>
    </row>
    <row r="67" spans="1:12" x14ac:dyDescent="0.2">
      <c r="A67" t="s">
        <v>9322</v>
      </c>
      <c r="B67" t="s">
        <v>9323</v>
      </c>
      <c r="C67" t="s">
        <v>9324</v>
      </c>
      <c r="D67" t="s">
        <v>1947</v>
      </c>
      <c r="E67" s="6" t="s">
        <v>10403</v>
      </c>
      <c r="F67" t="s">
        <v>9329</v>
      </c>
      <c r="G67">
        <v>30</v>
      </c>
      <c r="H67" t="s">
        <v>4629</v>
      </c>
      <c r="I67" t="s">
        <v>10404</v>
      </c>
      <c r="J67" s="3" t="s">
        <v>10405</v>
      </c>
      <c r="K67" t="str">
        <f>INDEX(DRA!$A:$AO,MATCH(A67,DRA!$A:$A,0),MATCH("Family",DRA!$A$1:$BG$1,0))</f>
        <v>HP &amp; Overdrive</v>
      </c>
    </row>
    <row r="68" spans="1:12" x14ac:dyDescent="0.2">
      <c r="A68" t="s">
        <v>10053</v>
      </c>
      <c r="B68" t="s">
        <v>10054</v>
      </c>
      <c r="C68" t="s">
        <v>10055</v>
      </c>
      <c r="D68" t="s">
        <v>1947</v>
      </c>
      <c r="E68" s="6" t="s">
        <v>4740</v>
      </c>
      <c r="F68" t="s">
        <v>10060</v>
      </c>
      <c r="G68">
        <v>30</v>
      </c>
      <c r="H68" t="s">
        <v>4942</v>
      </c>
      <c r="I68" t="s">
        <v>10406</v>
      </c>
      <c r="J68" s="3" t="s">
        <v>10407</v>
      </c>
      <c r="K68" t="str">
        <f>INDEX(DRA!$A:$AO,MATCH(A68,DRA!$A:$A,0),MATCH("Family",DRA!$A$1:$BG$1,0))</f>
        <v>Z Defensive</v>
      </c>
    </row>
    <row r="69" spans="1:12" x14ac:dyDescent="0.2">
      <c r="A69" t="s">
        <v>9266</v>
      </c>
      <c r="B69" t="s">
        <v>9267</v>
      </c>
      <c r="C69" t="s">
        <v>9268</v>
      </c>
      <c r="D69" t="s">
        <v>1947</v>
      </c>
      <c r="E69" s="6" t="s">
        <v>5398</v>
      </c>
      <c r="F69" t="s">
        <v>9273</v>
      </c>
      <c r="G69">
        <v>30</v>
      </c>
      <c r="H69" t="s">
        <v>4942</v>
      </c>
      <c r="I69" t="s">
        <v>10408</v>
      </c>
      <c r="J69" s="3" t="s">
        <v>10409</v>
      </c>
      <c r="K69" t="str">
        <f>INDEX(DRA!$A:$AO,MATCH(A69,DRA!$A:$A,0),MATCH("Family",DRA!$A$1:$BG$1,0))</f>
        <v>High Greatwyrm</v>
      </c>
    </row>
    <row r="70" spans="1:12" x14ac:dyDescent="0.2">
      <c r="A70" t="s">
        <v>9851</v>
      </c>
      <c r="B70" t="s">
        <v>9852</v>
      </c>
      <c r="C70" t="s">
        <v>9853</v>
      </c>
      <c r="D70" t="s">
        <v>1947</v>
      </c>
      <c r="E70" s="6" t="s">
        <v>4877</v>
      </c>
      <c r="F70" t="s">
        <v>9858</v>
      </c>
      <c r="G70">
        <v>50</v>
      </c>
      <c r="H70" t="s">
        <v>4730</v>
      </c>
      <c r="I70" t="s">
        <v>10410</v>
      </c>
      <c r="J70" s="3" t="s">
        <v>10411</v>
      </c>
      <c r="K70" t="str">
        <f>INDEX(DRA!$A:$AO,MATCH(A70,DRA!$A:$A,0),MATCH("Family",DRA!$A$1:$BG$1,0))</f>
        <v>Strength</v>
      </c>
      <c r="L70" t="s">
        <v>55</v>
      </c>
    </row>
    <row r="71" spans="1:12" x14ac:dyDescent="0.2">
      <c r="A71" t="s">
        <v>8713</v>
      </c>
      <c r="B71" t="s">
        <v>8714</v>
      </c>
      <c r="C71" t="s">
        <v>8715</v>
      </c>
      <c r="D71" t="s">
        <v>1947</v>
      </c>
      <c r="E71" s="6" t="s">
        <v>4877</v>
      </c>
      <c r="F71" t="s">
        <v>8720</v>
      </c>
      <c r="G71">
        <v>50</v>
      </c>
      <c r="H71" t="s">
        <v>4618</v>
      </c>
      <c r="I71" t="s">
        <v>10412</v>
      </c>
      <c r="J71" s="3" t="s">
        <v>10413</v>
      </c>
      <c r="K71" t="str">
        <f>INDEX(DRA!$A:$AO,MATCH(A71,DRA!$A:$A,0),MATCH("Family",DRA!$A$1:$BG$1,0))</f>
        <v>Affliction Punisher</v>
      </c>
      <c r="L71" t="s">
        <v>55</v>
      </c>
    </row>
    <row r="72" spans="1:12" x14ac:dyDescent="0.2">
      <c r="A72" t="s">
        <v>9376</v>
      </c>
      <c r="B72" t="s">
        <v>9377</v>
      </c>
      <c r="C72" t="s">
        <v>9378</v>
      </c>
      <c r="D72" t="s">
        <v>1947</v>
      </c>
      <c r="E72" s="6" t="s">
        <v>4877</v>
      </c>
      <c r="F72" t="s">
        <v>9383</v>
      </c>
      <c r="G72">
        <v>50</v>
      </c>
      <c r="H72" t="s">
        <v>4641</v>
      </c>
      <c r="I72" t="s">
        <v>10414</v>
      </c>
      <c r="J72" s="3" t="s">
        <v>10415</v>
      </c>
      <c r="K72" t="str">
        <f>INDEX(DRA!$A:$AO,MATCH(A72,DRA!$A:$A,0),MATCH("Family",DRA!$A$1:$BG$1,0))</f>
        <v>HP &amp; Strength</v>
      </c>
      <c r="L72" t="s">
        <v>51</v>
      </c>
    </row>
    <row r="73" spans="1:12" x14ac:dyDescent="0.2">
      <c r="A73" t="s">
        <v>9210</v>
      </c>
      <c r="B73" t="s">
        <v>9211</v>
      </c>
      <c r="C73" t="s">
        <v>9212</v>
      </c>
      <c r="D73" t="s">
        <v>1947</v>
      </c>
      <c r="E73" s="6" t="s">
        <v>4659</v>
      </c>
      <c r="F73" t="s">
        <v>9217</v>
      </c>
      <c r="G73">
        <v>30</v>
      </c>
      <c r="H73" t="s">
        <v>4730</v>
      </c>
      <c r="I73" t="s">
        <v>10416</v>
      </c>
      <c r="J73" s="3" t="s">
        <v>10417</v>
      </c>
      <c r="K73" t="str">
        <f>INDEX(DRA!$A:$AO,MATCH(A73,DRA!$A:$A,0),MATCH("Family",DRA!$A$1:$BG$1,0))</f>
        <v>Greatwyrm</v>
      </c>
    </row>
    <row r="74" spans="1:12" x14ac:dyDescent="0.2">
      <c r="A74" t="s">
        <v>9942</v>
      </c>
      <c r="B74" t="s">
        <v>9943</v>
      </c>
      <c r="C74" t="s">
        <v>9944</v>
      </c>
      <c r="D74" t="s">
        <v>1947</v>
      </c>
      <c r="E74" s="6" t="s">
        <v>4696</v>
      </c>
      <c r="F74" t="s">
        <v>9947</v>
      </c>
      <c r="G74">
        <v>30</v>
      </c>
      <c r="H74" t="s">
        <v>4618</v>
      </c>
      <c r="I74" t="s">
        <v>10418</v>
      </c>
      <c r="J74" s="3" t="s">
        <v>10419</v>
      </c>
      <c r="K74" t="str">
        <f>INDEX(DRA!$A:$AO,MATCH(A74,DRA!$A:$A,0),MATCH("Family",DRA!$A$1:$BG$1,0))</f>
        <v>Tutorial - Mixed</v>
      </c>
    </row>
    <row r="75" spans="1:12" x14ac:dyDescent="0.2">
      <c r="A75" t="s">
        <v>9903</v>
      </c>
      <c r="B75" t="s">
        <v>9904</v>
      </c>
      <c r="C75" t="s">
        <v>9905</v>
      </c>
      <c r="D75" t="s">
        <v>1947</v>
      </c>
      <c r="E75" s="6" t="s">
        <v>5653</v>
      </c>
      <c r="F75" t="s">
        <v>9908</v>
      </c>
      <c r="G75">
        <v>30</v>
      </c>
      <c r="H75" t="s">
        <v>4842</v>
      </c>
      <c r="I75" t="s">
        <v>10420</v>
      </c>
      <c r="J75" s="3" t="s">
        <v>10421</v>
      </c>
      <c r="K75" t="str">
        <f>INDEX(DRA!$A:$AO,MATCH(A75,DRA!$A:$A,0),MATCH("Family",DRA!$A$1:$BG$1,0))</f>
        <v>Tutorial - HP</v>
      </c>
    </row>
    <row r="76" spans="1:12" x14ac:dyDescent="0.2">
      <c r="A76" t="s">
        <v>9981</v>
      </c>
      <c r="B76" t="s">
        <v>9982</v>
      </c>
      <c r="C76" t="s">
        <v>9983</v>
      </c>
      <c r="D76" t="s">
        <v>1947</v>
      </c>
      <c r="E76" s="6" t="s">
        <v>4740</v>
      </c>
      <c r="F76" t="s">
        <v>9986</v>
      </c>
      <c r="G76">
        <v>30</v>
      </c>
      <c r="H76" t="s">
        <v>4629</v>
      </c>
      <c r="I76" t="s">
        <v>10422</v>
      </c>
      <c r="J76" s="3" t="s">
        <v>10423</v>
      </c>
      <c r="K76" t="str">
        <f>INDEX(DRA!$A:$AO,MATCH(A76,DRA!$A:$A,0),MATCH("Family",DRA!$A$1:$BG$1,0))</f>
        <v>Tutorial - Strength</v>
      </c>
    </row>
    <row r="77" spans="1:12" x14ac:dyDescent="0.2">
      <c r="A77" t="s">
        <v>10180</v>
      </c>
      <c r="B77" t="s">
        <v>10181</v>
      </c>
      <c r="C77" t="s">
        <v>10182</v>
      </c>
      <c r="D77" t="s">
        <v>2837</v>
      </c>
      <c r="E77" s="6" t="s">
        <v>10424</v>
      </c>
      <c r="F77" t="s">
        <v>10187</v>
      </c>
      <c r="G77">
        <v>30</v>
      </c>
      <c r="H77" t="s">
        <v>4608</v>
      </c>
      <c r="I77" t="s">
        <v>10425</v>
      </c>
      <c r="J77" s="3" t="s">
        <v>10425</v>
      </c>
      <c r="K77" t="str">
        <f>INDEX(DRA!$A:$AO,MATCH(A77,DRA!$A:$A,0),MATCH("Family",DRA!$A$1:$BG$1,0))</f>
        <v>Z Unique</v>
      </c>
    </row>
    <row r="78" spans="1:12" x14ac:dyDescent="0.2">
      <c r="A78" t="s">
        <v>10193</v>
      </c>
      <c r="B78" t="s">
        <v>10194</v>
      </c>
      <c r="C78" t="s">
        <v>10195</v>
      </c>
      <c r="D78" t="s">
        <v>2837</v>
      </c>
      <c r="E78" s="6" t="s">
        <v>5070</v>
      </c>
      <c r="F78" t="s">
        <v>10200</v>
      </c>
      <c r="G78">
        <v>30</v>
      </c>
      <c r="H78" t="s">
        <v>5938</v>
      </c>
      <c r="I78" t="s">
        <v>10426</v>
      </c>
      <c r="J78" s="3" t="s">
        <v>10426</v>
      </c>
      <c r="K78" t="str">
        <f>INDEX(DRA!$A:$AO,MATCH(A78,DRA!$A:$A,0),MATCH("Family",DRA!$A$1:$BG$1,0))</f>
        <v>Z Unique</v>
      </c>
    </row>
    <row r="79" spans="1:12" x14ac:dyDescent="0.2">
      <c r="A79" t="s">
        <v>9430</v>
      </c>
      <c r="B79" t="s">
        <v>9431</v>
      </c>
      <c r="C79" t="s">
        <v>9432</v>
      </c>
      <c r="D79" t="s">
        <v>2837</v>
      </c>
      <c r="E79" s="6" t="s">
        <v>4877</v>
      </c>
      <c r="F79" t="s">
        <v>9436</v>
      </c>
      <c r="G79">
        <v>30</v>
      </c>
      <c r="H79" t="s">
        <v>4608</v>
      </c>
      <c r="I79" t="s">
        <v>10427</v>
      </c>
      <c r="J79" s="3" t="s">
        <v>10428</v>
      </c>
      <c r="K79" t="str">
        <f>INDEX(DRA!$A:$AO,MATCH(A79,DRA!$A:$A,0),MATCH("Family",DRA!$A$1:$BG$1,0))</f>
        <v>Mini Greatwyrm</v>
      </c>
    </row>
    <row r="80" spans="1:12" x14ac:dyDescent="0.2">
      <c r="A80" t="s">
        <v>9805</v>
      </c>
      <c r="B80" t="s">
        <v>9806</v>
      </c>
      <c r="C80" t="s">
        <v>9807</v>
      </c>
      <c r="D80" t="s">
        <v>2837</v>
      </c>
      <c r="E80" s="6" t="s">
        <v>4877</v>
      </c>
      <c r="F80" t="s">
        <v>9812</v>
      </c>
      <c r="G80">
        <v>30</v>
      </c>
      <c r="H80" t="s">
        <v>4618</v>
      </c>
      <c r="I80" t="s">
        <v>10429</v>
      </c>
      <c r="J80" s="3" t="s">
        <v>10430</v>
      </c>
      <c r="K80" t="str">
        <f>INDEX(DRA!$A:$AO,MATCH(A80,DRA!$A:$A,0),MATCH("Family",DRA!$A$1:$BG$1,0))</f>
        <v>Skill Prep Team Amp</v>
      </c>
      <c r="L80" t="s">
        <v>59</v>
      </c>
    </row>
    <row r="81" spans="1:12" x14ac:dyDescent="0.2">
      <c r="A81" t="s">
        <v>8861</v>
      </c>
      <c r="B81" t="s">
        <v>8862</v>
      </c>
      <c r="C81" t="s">
        <v>8863</v>
      </c>
      <c r="D81" t="s">
        <v>2837</v>
      </c>
      <c r="E81" s="6" t="s">
        <v>4740</v>
      </c>
      <c r="F81" t="s">
        <v>8868</v>
      </c>
      <c r="G81">
        <v>30</v>
      </c>
      <c r="H81" t="s">
        <v>4842</v>
      </c>
      <c r="I81" t="s">
        <v>10431</v>
      </c>
      <c r="J81" s="3" t="s">
        <v>10432</v>
      </c>
      <c r="K81" t="str">
        <f>INDEX(DRA!$A:$AO,MATCH(A81,DRA!$A:$A,0),MATCH("Family",DRA!$A$1:$BG$1,0))</f>
        <v>Archangels</v>
      </c>
      <c r="L81" t="s">
        <v>59</v>
      </c>
    </row>
    <row r="82" spans="1:12" x14ac:dyDescent="0.2">
      <c r="A82" t="s">
        <v>9162</v>
      </c>
      <c r="B82" t="s">
        <v>9163</v>
      </c>
      <c r="C82" t="s">
        <v>9164</v>
      </c>
      <c r="D82" t="s">
        <v>2837</v>
      </c>
      <c r="E82" s="6" t="s">
        <v>4648</v>
      </c>
      <c r="F82" t="s">
        <v>9169</v>
      </c>
      <c r="G82">
        <v>30</v>
      </c>
      <c r="H82" t="s">
        <v>4842</v>
      </c>
      <c r="I82" t="s">
        <v>10433</v>
      </c>
      <c r="J82" s="3" t="s">
        <v>10434</v>
      </c>
      <c r="K82" t="str">
        <f>INDEX(DRA!$A:$AO,MATCH(A82,DRA!$A:$A,0),MATCH("Family",DRA!$A$1:$BG$1,0))</f>
        <v>Gala Reborn</v>
      </c>
    </row>
    <row r="83" spans="1:12" x14ac:dyDescent="0.2">
      <c r="A83" t="s">
        <v>8922</v>
      </c>
      <c r="B83" t="s">
        <v>8923</v>
      </c>
      <c r="C83" t="s">
        <v>8924</v>
      </c>
      <c r="D83" t="s">
        <v>2837</v>
      </c>
      <c r="E83" s="6" t="s">
        <v>4696</v>
      </c>
      <c r="F83" t="s">
        <v>8929</v>
      </c>
      <c r="G83">
        <v>30</v>
      </c>
      <c r="H83" t="s">
        <v>4629</v>
      </c>
      <c r="I83" t="s">
        <v>10435</v>
      </c>
      <c r="J83" s="3" t="s">
        <v>10419</v>
      </c>
      <c r="K83" t="str">
        <f>INDEX(DRA!$A:$AO,MATCH(A83,DRA!$A:$A,0),MATCH("Family",DRA!$A$1:$BG$1,0))</f>
        <v>Critical Attack Rate</v>
      </c>
    </row>
    <row r="84" spans="1:12" x14ac:dyDescent="0.2">
      <c r="A84" t="s">
        <v>10202</v>
      </c>
      <c r="B84" t="s">
        <v>10203</v>
      </c>
      <c r="C84" t="s">
        <v>10204</v>
      </c>
      <c r="D84" t="s">
        <v>2837</v>
      </c>
      <c r="E84" s="6" t="s">
        <v>4852</v>
      </c>
      <c r="F84" t="s">
        <v>10209</v>
      </c>
      <c r="G84">
        <v>30</v>
      </c>
      <c r="H84" t="s">
        <v>4613</v>
      </c>
      <c r="I84" t="s">
        <v>10436</v>
      </c>
      <c r="J84" s="3" t="s">
        <v>10437</v>
      </c>
      <c r="K84" t="str">
        <f>INDEX(DRA!$A:$AO,MATCH(A84,DRA!$A:$A,0),MATCH("Family",DRA!$A$1:$BG$1,0))</f>
        <v>Z Unique</v>
      </c>
      <c r="L84" t="s">
        <v>57</v>
      </c>
    </row>
    <row r="85" spans="1:12" x14ac:dyDescent="0.2">
      <c r="A85" t="s">
        <v>9693</v>
      </c>
      <c r="B85" t="s">
        <v>9694</v>
      </c>
      <c r="C85" t="s">
        <v>9695</v>
      </c>
      <c r="D85" t="s">
        <v>2837</v>
      </c>
      <c r="E85" s="6" t="s">
        <v>10438</v>
      </c>
      <c r="F85" t="s">
        <v>9700</v>
      </c>
      <c r="G85">
        <v>30</v>
      </c>
      <c r="H85" t="s">
        <v>4842</v>
      </c>
      <c r="I85" t="s">
        <v>10439</v>
      </c>
      <c r="J85" s="3" t="s">
        <v>10440</v>
      </c>
      <c r="K85" t="str">
        <f>INDEX(DRA!$A:$AO,MATCH(A85,DRA!$A:$A,0),MATCH("Family",DRA!$A$1:$BG$1,0))</f>
        <v>Skill Haste HP</v>
      </c>
    </row>
    <row r="86" spans="1:12" x14ac:dyDescent="0.2">
      <c r="A86" t="s">
        <v>9039</v>
      </c>
      <c r="B86" t="s">
        <v>9040</v>
      </c>
      <c r="C86" t="s">
        <v>9041</v>
      </c>
      <c r="D86" t="s">
        <v>2837</v>
      </c>
      <c r="E86" s="6" t="s">
        <v>4633</v>
      </c>
      <c r="F86" t="s">
        <v>9046</v>
      </c>
      <c r="G86">
        <v>30</v>
      </c>
      <c r="H86" t="s">
        <v>4618</v>
      </c>
      <c r="I86" t="s">
        <v>10441</v>
      </c>
      <c r="J86" s="3" t="s">
        <v>10442</v>
      </c>
      <c r="K86" t="str">
        <f>INDEX(DRA!$A:$AO,MATCH(A86,DRA!$A:$A,0),MATCH("Family",DRA!$A$1:$BG$1,0))</f>
        <v>Divine Mantra</v>
      </c>
      <c r="L86" t="s">
        <v>57</v>
      </c>
    </row>
    <row r="87" spans="1:12" x14ac:dyDescent="0.2">
      <c r="A87" t="s">
        <v>9748</v>
      </c>
      <c r="B87" t="s">
        <v>9749</v>
      </c>
      <c r="C87" t="s">
        <v>9750</v>
      </c>
      <c r="D87" t="s">
        <v>2837</v>
      </c>
      <c r="E87" s="6" t="s">
        <v>5389</v>
      </c>
      <c r="F87" t="s">
        <v>9755</v>
      </c>
      <c r="G87">
        <v>30</v>
      </c>
      <c r="H87" t="s">
        <v>4618</v>
      </c>
      <c r="I87" t="s">
        <v>10443</v>
      </c>
      <c r="J87" s="3" t="s">
        <v>10419</v>
      </c>
      <c r="K87" t="str">
        <f>INDEX(DRA!$A:$AO,MATCH(A87,DRA!$A:$A,0),MATCH("Family",DRA!$A$1:$BG$1,0))</f>
        <v>Skill Haste Strength</v>
      </c>
    </row>
    <row r="88" spans="1:12" x14ac:dyDescent="0.2">
      <c r="A88" t="s">
        <v>9524</v>
      </c>
      <c r="B88" t="s">
        <v>9525</v>
      </c>
      <c r="C88" t="s">
        <v>9526</v>
      </c>
      <c r="D88" t="s">
        <v>2837</v>
      </c>
      <c r="E88" s="6" t="s">
        <v>4740</v>
      </c>
      <c r="F88" t="s">
        <v>9531</v>
      </c>
      <c r="G88">
        <v>30</v>
      </c>
      <c r="H88" t="s">
        <v>4629</v>
      </c>
      <c r="I88" t="s">
        <v>10444</v>
      </c>
      <c r="J88" s="3" t="s">
        <v>10445</v>
      </c>
      <c r="K88" t="str">
        <f>INDEX(DRA!$A:$AO,MATCH(A88,DRA!$A:$A,0),MATCH("Family",DRA!$A$1:$BG$1,0))</f>
        <v>Primed Overdrive</v>
      </c>
      <c r="L88" t="s">
        <v>59</v>
      </c>
    </row>
    <row r="89" spans="1:12" x14ac:dyDescent="0.2">
      <c r="A89" t="s">
        <v>9385</v>
      </c>
      <c r="B89" t="s">
        <v>9386</v>
      </c>
      <c r="C89" t="s">
        <v>9387</v>
      </c>
      <c r="D89" t="s">
        <v>2837</v>
      </c>
      <c r="E89" s="6" t="s">
        <v>4740</v>
      </c>
      <c r="F89" t="s">
        <v>9392</v>
      </c>
      <c r="G89">
        <v>30</v>
      </c>
      <c r="H89" t="s">
        <v>4629</v>
      </c>
      <c r="I89" t="s">
        <v>10446</v>
      </c>
      <c r="J89" s="3" t="s">
        <v>10447</v>
      </c>
      <c r="K89" t="str">
        <f>INDEX(DRA!$A:$AO,MATCH(A89,DRA!$A:$A,0),MATCH("Family",DRA!$A$1:$BG$1,0))</f>
        <v>HP &amp; Strength</v>
      </c>
      <c r="L89" t="s">
        <v>57</v>
      </c>
    </row>
    <row r="90" spans="1:12" x14ac:dyDescent="0.2">
      <c r="A90" t="s">
        <v>8979</v>
      </c>
      <c r="B90" t="s">
        <v>8980</v>
      </c>
      <c r="C90" t="s">
        <v>8981</v>
      </c>
      <c r="D90" t="s">
        <v>2837</v>
      </c>
      <c r="E90" s="6" t="s">
        <v>4696</v>
      </c>
      <c r="F90" t="s">
        <v>8986</v>
      </c>
      <c r="G90">
        <v>30</v>
      </c>
      <c r="H90" t="s">
        <v>4629</v>
      </c>
      <c r="I90" t="s">
        <v>10448</v>
      </c>
      <c r="J90" s="3" t="s">
        <v>10419</v>
      </c>
      <c r="K90" t="str">
        <f>INDEX(DRA!$A:$AO,MATCH(A90,DRA!$A:$A,0),MATCH("Family",DRA!$A$1:$BG$1,0))</f>
        <v>Critical Damage</v>
      </c>
    </row>
    <row r="91" spans="1:12" x14ac:dyDescent="0.2">
      <c r="A91" t="s">
        <v>9862</v>
      </c>
      <c r="B91" t="s">
        <v>9863</v>
      </c>
      <c r="C91" t="s">
        <v>9864</v>
      </c>
      <c r="D91" t="s">
        <v>2837</v>
      </c>
      <c r="E91" s="6" t="s">
        <v>4897</v>
      </c>
      <c r="F91" t="s">
        <v>9869</v>
      </c>
      <c r="G91">
        <v>30</v>
      </c>
      <c r="H91" t="s">
        <v>4629</v>
      </c>
      <c r="I91" t="s">
        <v>10449</v>
      </c>
      <c r="J91" s="3" t="s">
        <v>10450</v>
      </c>
      <c r="K91" t="str">
        <f>INDEX(DRA!$A:$AO,MATCH(A91,DRA!$A:$A,0),MATCH("Family",DRA!$A$1:$BG$1,0))</f>
        <v>Strength</v>
      </c>
    </row>
    <row r="92" spans="1:12" x14ac:dyDescent="0.2">
      <c r="A92" t="s">
        <v>9572</v>
      </c>
      <c r="B92" t="s">
        <v>9573</v>
      </c>
      <c r="C92" t="s">
        <v>9574</v>
      </c>
      <c r="D92" t="s">
        <v>2837</v>
      </c>
      <c r="E92" s="6" t="s">
        <v>4633</v>
      </c>
      <c r="F92" t="s">
        <v>9579</v>
      </c>
      <c r="G92">
        <v>30</v>
      </c>
      <c r="H92" t="s">
        <v>4629</v>
      </c>
      <c r="I92" t="s">
        <v>10451</v>
      </c>
      <c r="J92" s="3" t="s">
        <v>10452</v>
      </c>
      <c r="K92" t="str">
        <f>INDEX(DRA!$A:$AO,MATCH(A92,DRA!$A:$A,0),MATCH("Family",DRA!$A$1:$BG$1,0))</f>
        <v>Resistant Counter</v>
      </c>
      <c r="L92" t="s">
        <v>59</v>
      </c>
    </row>
    <row r="93" spans="1:12" x14ac:dyDescent="0.2">
      <c r="A93" t="s">
        <v>8725</v>
      </c>
      <c r="B93" t="s">
        <v>8726</v>
      </c>
      <c r="C93" t="s">
        <v>8727</v>
      </c>
      <c r="D93" t="s">
        <v>2837</v>
      </c>
      <c r="E93" s="6" t="s">
        <v>4877</v>
      </c>
      <c r="F93" t="s">
        <v>8732</v>
      </c>
      <c r="G93">
        <v>50</v>
      </c>
      <c r="H93" t="s">
        <v>4613</v>
      </c>
      <c r="I93" t="s">
        <v>10453</v>
      </c>
      <c r="J93" s="3" t="s">
        <v>10454</v>
      </c>
      <c r="K93" t="str">
        <f>INDEX(DRA!$A:$AO,MATCH(A93,DRA!$A:$A,0),MATCH("Family",DRA!$A$1:$BG$1,0))</f>
        <v>Affliction Punisher</v>
      </c>
      <c r="L93" t="s">
        <v>57</v>
      </c>
    </row>
    <row r="94" spans="1:12" x14ac:dyDescent="0.2">
      <c r="A94" t="s">
        <v>9276</v>
      </c>
      <c r="B94" t="s">
        <v>9277</v>
      </c>
      <c r="C94" t="s">
        <v>9278</v>
      </c>
      <c r="D94" t="s">
        <v>2837</v>
      </c>
      <c r="E94" s="6" t="s">
        <v>4877</v>
      </c>
      <c r="F94" t="s">
        <v>9283</v>
      </c>
      <c r="G94">
        <v>50</v>
      </c>
      <c r="H94" t="s">
        <v>4629</v>
      </c>
      <c r="I94" t="s">
        <v>10455</v>
      </c>
      <c r="J94" s="3" t="s">
        <v>10456</v>
      </c>
      <c r="K94" t="str">
        <f>INDEX(DRA!$A:$AO,MATCH(A94,DRA!$A:$A,0),MATCH("Family",DRA!$A$1:$BG$1,0))</f>
        <v>High Greatwyrm</v>
      </c>
      <c r="L94" t="s">
        <v>57</v>
      </c>
    </row>
    <row r="95" spans="1:12" x14ac:dyDescent="0.2">
      <c r="A95" t="s">
        <v>9334</v>
      </c>
      <c r="B95" t="s">
        <v>9335</v>
      </c>
      <c r="C95" t="s">
        <v>9336</v>
      </c>
      <c r="D95" t="s">
        <v>2837</v>
      </c>
      <c r="E95" s="6" t="s">
        <v>4877</v>
      </c>
      <c r="F95" t="s">
        <v>9341</v>
      </c>
      <c r="G95">
        <v>50</v>
      </c>
      <c r="H95" t="s">
        <v>4613</v>
      </c>
      <c r="I95" t="s">
        <v>10457</v>
      </c>
      <c r="J95" s="3" t="s">
        <v>10458</v>
      </c>
      <c r="K95" t="str">
        <f>INDEX(DRA!$A:$AO,MATCH(A95,DRA!$A:$A,0),MATCH("Family",DRA!$A$1:$BG$1,0))</f>
        <v>HP &amp; Overdrive</v>
      </c>
    </row>
    <row r="96" spans="1:12" x14ac:dyDescent="0.2">
      <c r="A96" t="s">
        <v>9635</v>
      </c>
      <c r="B96" t="s">
        <v>9636</v>
      </c>
      <c r="C96" t="s">
        <v>9637</v>
      </c>
      <c r="D96" t="s">
        <v>2837</v>
      </c>
      <c r="E96" s="6" t="s">
        <v>4877</v>
      </c>
      <c r="F96" t="s">
        <v>9642</v>
      </c>
      <c r="G96">
        <v>50</v>
      </c>
      <c r="H96" t="s">
        <v>4730</v>
      </c>
      <c r="I96" t="s">
        <v>10459</v>
      </c>
      <c r="J96" s="3" t="s">
        <v>10460</v>
      </c>
      <c r="K96" t="str">
        <f>INDEX(DRA!$A:$AO,MATCH(A96,DRA!$A:$A,0),MATCH("Family",DRA!$A$1:$BG$1,0))</f>
        <v>Skill Damage</v>
      </c>
    </row>
    <row r="97" spans="1:12" x14ac:dyDescent="0.2">
      <c r="A97" t="s">
        <v>8737</v>
      </c>
      <c r="B97" t="s">
        <v>8738</v>
      </c>
      <c r="C97" t="s">
        <v>8739</v>
      </c>
      <c r="D97" t="s">
        <v>2837</v>
      </c>
      <c r="E97" s="6" t="s">
        <v>10318</v>
      </c>
      <c r="F97" t="s">
        <v>8744</v>
      </c>
      <c r="G97">
        <v>30</v>
      </c>
      <c r="H97" t="s">
        <v>4693</v>
      </c>
      <c r="I97" t="s">
        <v>10461</v>
      </c>
      <c r="J97" s="3" t="s">
        <v>10462</v>
      </c>
      <c r="K97" t="str">
        <f>INDEX(DRA!$A:$AO,MATCH(A97,DRA!$A:$A,0),MATCH("Family",DRA!$A$1:$BG$1,0))</f>
        <v>Affliction Punisher</v>
      </c>
      <c r="L97" t="s">
        <v>59</v>
      </c>
    </row>
    <row r="98" spans="1:12" x14ac:dyDescent="0.2">
      <c r="A98" t="s">
        <v>10064</v>
      </c>
      <c r="B98" t="s">
        <v>10065</v>
      </c>
      <c r="C98" t="s">
        <v>10066</v>
      </c>
      <c r="D98" t="s">
        <v>2837</v>
      </c>
      <c r="E98" s="6" t="s">
        <v>4841</v>
      </c>
      <c r="F98" t="s">
        <v>10071</v>
      </c>
      <c r="G98">
        <v>30</v>
      </c>
      <c r="H98" t="s">
        <v>4622</v>
      </c>
      <c r="I98" t="s">
        <v>10463</v>
      </c>
      <c r="J98" s="3" t="s">
        <v>10464</v>
      </c>
      <c r="K98" t="str">
        <f>INDEX(DRA!$A:$AO,MATCH(A98,DRA!$A:$A,0),MATCH("Family",DRA!$A$1:$BG$1,0))</f>
        <v>Z Defensive</v>
      </c>
    </row>
    <row r="99" spans="1:12" x14ac:dyDescent="0.2">
      <c r="A99" t="s">
        <v>9221</v>
      </c>
      <c r="B99" t="s">
        <v>9222</v>
      </c>
      <c r="C99" t="s">
        <v>9223</v>
      </c>
      <c r="D99" t="s">
        <v>2837</v>
      </c>
      <c r="E99" s="6" t="s">
        <v>10465</v>
      </c>
      <c r="F99" t="s">
        <v>9228</v>
      </c>
      <c r="G99">
        <v>30</v>
      </c>
      <c r="H99" t="s">
        <v>4629</v>
      </c>
      <c r="I99" t="s">
        <v>10466</v>
      </c>
      <c r="J99" s="3" t="s">
        <v>10467</v>
      </c>
      <c r="K99" t="str">
        <f>INDEX(DRA!$A:$AO,MATCH(A99,DRA!$A:$A,0),MATCH("Family",DRA!$A$1:$BG$1,0))</f>
        <v>Greatwyrm</v>
      </c>
      <c r="L99" t="s">
        <v>57</v>
      </c>
    </row>
    <row r="100" spans="1:12" x14ac:dyDescent="0.2">
      <c r="A100" t="s">
        <v>9949</v>
      </c>
      <c r="B100" t="s">
        <v>9950</v>
      </c>
      <c r="C100" t="s">
        <v>9951</v>
      </c>
      <c r="D100" t="s">
        <v>2837</v>
      </c>
      <c r="E100" s="6" t="s">
        <v>4628</v>
      </c>
      <c r="F100" t="s">
        <v>9954</v>
      </c>
      <c r="G100">
        <v>30</v>
      </c>
      <c r="H100" t="s">
        <v>4618</v>
      </c>
      <c r="I100" t="s">
        <v>10468</v>
      </c>
      <c r="J100" s="3" t="s">
        <v>10469</v>
      </c>
      <c r="K100" t="str">
        <f>INDEX(DRA!$A:$AO,MATCH(A100,DRA!$A:$A,0),MATCH("Family",DRA!$A$1:$BG$1,0))</f>
        <v>Tutorial - Mixed</v>
      </c>
    </row>
    <row r="101" spans="1:12" x14ac:dyDescent="0.2">
      <c r="A101" t="s">
        <v>9911</v>
      </c>
      <c r="B101" t="s">
        <v>9912</v>
      </c>
      <c r="C101" t="s">
        <v>9913</v>
      </c>
      <c r="D101" t="s">
        <v>2837</v>
      </c>
      <c r="E101" s="6" t="s">
        <v>5653</v>
      </c>
      <c r="F101" t="s">
        <v>9916</v>
      </c>
      <c r="G101">
        <v>30</v>
      </c>
      <c r="H101" t="s">
        <v>4842</v>
      </c>
      <c r="I101" t="s">
        <v>10470</v>
      </c>
      <c r="J101" s="3" t="s">
        <v>10471</v>
      </c>
      <c r="K101" t="str">
        <f>INDEX(DRA!$A:$AO,MATCH(A101,DRA!$A:$A,0),MATCH("Family",DRA!$A$1:$BG$1,0))</f>
        <v>Tutorial - HP</v>
      </c>
    </row>
    <row r="102" spans="1:12" x14ac:dyDescent="0.2">
      <c r="A102" t="s">
        <v>9988</v>
      </c>
      <c r="B102" t="s">
        <v>9989</v>
      </c>
      <c r="C102" t="s">
        <v>9990</v>
      </c>
      <c r="D102" t="s">
        <v>2837</v>
      </c>
      <c r="E102" s="6" t="s">
        <v>10318</v>
      </c>
      <c r="F102" t="s">
        <v>9993</v>
      </c>
      <c r="G102">
        <v>50</v>
      </c>
      <c r="H102" t="s">
        <v>4629</v>
      </c>
      <c r="I102" t="s">
        <v>10472</v>
      </c>
      <c r="J102" s="3" t="s">
        <v>10473</v>
      </c>
      <c r="K102" t="str">
        <f>INDEX(DRA!$A:$AO,MATCH(A102,DRA!$A:$A,0),MATCH("Family",DRA!$A$1:$BG$1,0))</f>
        <v>Tutorial - Strength</v>
      </c>
    </row>
    <row r="103" spans="1:12" x14ac:dyDescent="0.2">
      <c r="A103" t="s">
        <v>10215</v>
      </c>
      <c r="B103" t="s">
        <v>10216</v>
      </c>
      <c r="C103" t="s">
        <v>10217</v>
      </c>
      <c r="D103" t="s">
        <v>3779</v>
      </c>
      <c r="E103" s="6" t="s">
        <v>10474</v>
      </c>
      <c r="F103" t="s">
        <v>10222</v>
      </c>
      <c r="G103">
        <v>30</v>
      </c>
      <c r="H103" t="s">
        <v>10475</v>
      </c>
      <c r="I103" t="s">
        <v>10476</v>
      </c>
      <c r="J103" s="3" t="s">
        <v>10477</v>
      </c>
      <c r="K103" t="str">
        <f>INDEX(DRA!$A:$AO,MATCH(A103,DRA!$A:$A,0),MATCH("Family",DRA!$A$1:$BG$1,0))</f>
        <v>Z Unique</v>
      </c>
    </row>
    <row r="104" spans="1:12" x14ac:dyDescent="0.2">
      <c r="A104" t="s">
        <v>9174</v>
      </c>
      <c r="B104" t="s">
        <v>9175</v>
      </c>
      <c r="C104" t="s">
        <v>9176</v>
      </c>
      <c r="D104" t="s">
        <v>3779</v>
      </c>
      <c r="E104" s="6" t="s">
        <v>10311</v>
      </c>
      <c r="F104" t="s">
        <v>9181</v>
      </c>
      <c r="G104">
        <v>30</v>
      </c>
      <c r="H104" t="s">
        <v>10475</v>
      </c>
      <c r="I104" t="s">
        <v>10478</v>
      </c>
      <c r="J104" s="3" t="s">
        <v>10479</v>
      </c>
      <c r="K104" t="str">
        <f>INDEX(DRA!$A:$AO,MATCH(A104,DRA!$A:$A,0),MATCH("Family",DRA!$A$1:$BG$1,0))</f>
        <v>Gala Reborn</v>
      </c>
      <c r="L104" t="s">
        <v>61</v>
      </c>
    </row>
    <row r="105" spans="1:12" x14ac:dyDescent="0.2">
      <c r="A105" t="s">
        <v>10227</v>
      </c>
      <c r="B105" t="s">
        <v>10228</v>
      </c>
      <c r="C105" t="s">
        <v>10229</v>
      </c>
      <c r="D105" t="s">
        <v>3779</v>
      </c>
      <c r="E105" s="6" t="s">
        <v>4852</v>
      </c>
      <c r="F105" t="s">
        <v>10234</v>
      </c>
      <c r="G105">
        <v>30</v>
      </c>
      <c r="H105" t="s">
        <v>10292</v>
      </c>
      <c r="I105" t="s">
        <v>10480</v>
      </c>
      <c r="J105" s="3" t="s">
        <v>10481</v>
      </c>
      <c r="K105" t="str">
        <f>INDEX(DRA!$A:$AO,MATCH(A105,DRA!$A:$A,0),MATCH("Family",DRA!$A$1:$BG$1,0))</f>
        <v>Z Unique</v>
      </c>
      <c r="L105" t="s">
        <v>61</v>
      </c>
    </row>
    <row r="106" spans="1:12" x14ac:dyDescent="0.2">
      <c r="A106" t="s">
        <v>10241</v>
      </c>
      <c r="B106" t="s">
        <v>10242</v>
      </c>
      <c r="C106" t="s">
        <v>10243</v>
      </c>
      <c r="D106" t="s">
        <v>3779</v>
      </c>
      <c r="E106" s="6" t="s">
        <v>10482</v>
      </c>
      <c r="F106" t="s">
        <v>10248</v>
      </c>
      <c r="G106">
        <v>30</v>
      </c>
      <c r="H106" t="s">
        <v>4608</v>
      </c>
      <c r="I106" t="s">
        <v>10483</v>
      </c>
      <c r="J106" s="3" t="s">
        <v>10484</v>
      </c>
      <c r="K106" t="str">
        <f>INDEX(DRA!$A:$AO,MATCH(A106,DRA!$A:$A,0),MATCH("Family",DRA!$A$1:$BG$1,0))</f>
        <v>Z Unique</v>
      </c>
    </row>
    <row r="107" spans="1:12" x14ac:dyDescent="0.2">
      <c r="A107" t="s">
        <v>8933</v>
      </c>
      <c r="B107" t="s">
        <v>8934</v>
      </c>
      <c r="C107" t="s">
        <v>8935</v>
      </c>
      <c r="D107" t="s">
        <v>3779</v>
      </c>
      <c r="E107" s="6" t="s">
        <v>4852</v>
      </c>
      <c r="F107" t="s">
        <v>8940</v>
      </c>
      <c r="G107">
        <v>30</v>
      </c>
      <c r="H107" t="s">
        <v>4608</v>
      </c>
      <c r="I107" t="s">
        <v>10485</v>
      </c>
      <c r="J107" s="3" t="s">
        <v>10486</v>
      </c>
      <c r="K107" t="str">
        <f>INDEX(DRA!$A:$AO,MATCH(A107,DRA!$A:$A,0),MATCH("Family",DRA!$A$1:$BG$1,0))</f>
        <v>Critical Attack Rate</v>
      </c>
    </row>
    <row r="108" spans="1:12" x14ac:dyDescent="0.2">
      <c r="A108" t="s">
        <v>8874</v>
      </c>
      <c r="B108" t="s">
        <v>8875</v>
      </c>
      <c r="C108" t="s">
        <v>8876</v>
      </c>
      <c r="D108" t="s">
        <v>3779</v>
      </c>
      <c r="E108" s="6" t="s">
        <v>4833</v>
      </c>
      <c r="F108" t="s">
        <v>8881</v>
      </c>
      <c r="G108">
        <v>30</v>
      </c>
      <c r="H108" t="s">
        <v>4613</v>
      </c>
      <c r="I108" t="s">
        <v>10487</v>
      </c>
      <c r="J108" s="3" t="s">
        <v>10488</v>
      </c>
      <c r="K108" t="str">
        <f>INDEX(DRA!$A:$AO,MATCH(A108,DRA!$A:$A,0),MATCH("Family",DRA!$A$1:$BG$1,0))</f>
        <v>Archangels</v>
      </c>
      <c r="L108" t="s">
        <v>61</v>
      </c>
    </row>
    <row r="109" spans="1:12" x14ac:dyDescent="0.2">
      <c r="A109" t="s">
        <v>10253</v>
      </c>
      <c r="B109" t="s">
        <v>10254</v>
      </c>
      <c r="C109" t="s">
        <v>10255</v>
      </c>
      <c r="D109" t="s">
        <v>3779</v>
      </c>
      <c r="E109" s="6" t="s">
        <v>5070</v>
      </c>
      <c r="F109" t="s">
        <v>10260</v>
      </c>
      <c r="G109">
        <v>30</v>
      </c>
      <c r="H109" t="s">
        <v>4716</v>
      </c>
      <c r="I109" t="s">
        <v>10489</v>
      </c>
      <c r="J109" s="3" t="s">
        <v>10490</v>
      </c>
      <c r="K109" t="str">
        <f>INDEX(DRA!$A:$AO,MATCH(A109,DRA!$A:$A,0),MATCH("Family",DRA!$A$1:$BG$1,0))</f>
        <v>Z Unique</v>
      </c>
    </row>
    <row r="110" spans="1:12" x14ac:dyDescent="0.2">
      <c r="A110" t="s">
        <v>9703</v>
      </c>
      <c r="B110" t="s">
        <v>9704</v>
      </c>
      <c r="C110" t="s">
        <v>9705</v>
      </c>
      <c r="D110" t="s">
        <v>3779</v>
      </c>
      <c r="E110" s="6" t="s">
        <v>4692</v>
      </c>
      <c r="F110" t="s">
        <v>9710</v>
      </c>
      <c r="G110">
        <v>30</v>
      </c>
      <c r="H110" t="s">
        <v>4618</v>
      </c>
      <c r="I110" t="s">
        <v>10491</v>
      </c>
      <c r="J110" s="3" t="s">
        <v>10492</v>
      </c>
      <c r="K110" t="str">
        <f>INDEX(DRA!$A:$AO,MATCH(A110,DRA!$A:$A,0),MATCH("Family",DRA!$A$1:$BG$1,0))</f>
        <v>Skill Haste HP</v>
      </c>
      <c r="L110" t="s">
        <v>51</v>
      </c>
    </row>
    <row r="111" spans="1:12" x14ac:dyDescent="0.2">
      <c r="A111" t="s">
        <v>9535</v>
      </c>
      <c r="B111" t="s">
        <v>9536</v>
      </c>
      <c r="C111" t="s">
        <v>9537</v>
      </c>
      <c r="D111" t="s">
        <v>3779</v>
      </c>
      <c r="E111" s="6" t="s">
        <v>5095</v>
      </c>
      <c r="F111" t="s">
        <v>9542</v>
      </c>
      <c r="G111">
        <v>30</v>
      </c>
      <c r="H111" t="s">
        <v>4622</v>
      </c>
      <c r="I111" t="s">
        <v>10493</v>
      </c>
      <c r="J111" s="3" t="s">
        <v>10494</v>
      </c>
      <c r="K111" t="str">
        <f>INDEX(DRA!$A:$AO,MATCH(A111,DRA!$A:$A,0),MATCH("Family",DRA!$A$1:$BG$1,0))</f>
        <v>Primed Overdrive</v>
      </c>
      <c r="L111" t="s">
        <v>61</v>
      </c>
    </row>
    <row r="112" spans="1:12" x14ac:dyDescent="0.2">
      <c r="A112" t="s">
        <v>9817</v>
      </c>
      <c r="B112" t="s">
        <v>9818</v>
      </c>
      <c r="C112" t="s">
        <v>9819</v>
      </c>
      <c r="D112" t="s">
        <v>3779</v>
      </c>
      <c r="E112" s="6" t="s">
        <v>4852</v>
      </c>
      <c r="F112" t="s">
        <v>9824</v>
      </c>
      <c r="G112">
        <v>30</v>
      </c>
      <c r="H112" t="s">
        <v>10495</v>
      </c>
      <c r="I112" t="s">
        <v>10496</v>
      </c>
      <c r="J112" s="3" t="s">
        <v>10497</v>
      </c>
      <c r="K112" t="str">
        <f>INDEX(DRA!$A:$AO,MATCH(A112,DRA!$A:$A,0),MATCH("Family",DRA!$A$1:$BG$1,0))</f>
        <v>Skill Prep Team Amp</v>
      </c>
    </row>
    <row r="113" spans="1:12" x14ac:dyDescent="0.2">
      <c r="A113" t="s">
        <v>9439</v>
      </c>
      <c r="B113" t="s">
        <v>9440</v>
      </c>
      <c r="C113" t="s">
        <v>9441</v>
      </c>
      <c r="D113" t="s">
        <v>3779</v>
      </c>
      <c r="E113" s="6" t="s">
        <v>4877</v>
      </c>
      <c r="F113" t="s">
        <v>9445</v>
      </c>
      <c r="G113">
        <v>30</v>
      </c>
      <c r="H113" t="s">
        <v>4608</v>
      </c>
      <c r="I113" t="s">
        <v>10498</v>
      </c>
      <c r="J113" s="3" t="s">
        <v>10498</v>
      </c>
      <c r="K113" t="str">
        <f>INDEX(DRA!$A:$AO,MATCH(A113,DRA!$A:$A,0),MATCH("Family",DRA!$A$1:$BG$1,0))</f>
        <v>Mini Greatwyrm</v>
      </c>
    </row>
    <row r="114" spans="1:12" x14ac:dyDescent="0.2">
      <c r="A114" t="s">
        <v>9583</v>
      </c>
      <c r="B114" t="s">
        <v>9584</v>
      </c>
      <c r="C114" t="s">
        <v>9585</v>
      </c>
      <c r="D114" t="s">
        <v>3779</v>
      </c>
      <c r="E114" s="6" t="s">
        <v>4877</v>
      </c>
      <c r="F114" t="s">
        <v>9590</v>
      </c>
      <c r="G114">
        <v>30</v>
      </c>
      <c r="H114" t="s">
        <v>10499</v>
      </c>
      <c r="I114" t="s">
        <v>10500</v>
      </c>
      <c r="J114" s="3" t="s">
        <v>10501</v>
      </c>
      <c r="K114" t="str">
        <f>INDEX(DRA!$A:$AO,MATCH(A114,DRA!$A:$A,0),MATCH("Family",DRA!$A$1:$BG$1,0))</f>
        <v>Resistant Counter</v>
      </c>
      <c r="L114" t="s">
        <v>51</v>
      </c>
    </row>
    <row r="115" spans="1:12" x14ac:dyDescent="0.2">
      <c r="A115" t="s">
        <v>10143</v>
      </c>
      <c r="B115" t="s">
        <v>10144</v>
      </c>
      <c r="C115" t="s">
        <v>10145</v>
      </c>
      <c r="D115" t="s">
        <v>3779</v>
      </c>
      <c r="E115" s="6" t="s">
        <v>4692</v>
      </c>
      <c r="F115" t="s">
        <v>10150</v>
      </c>
      <c r="G115">
        <v>30</v>
      </c>
      <c r="H115" t="s">
        <v>4825</v>
      </c>
      <c r="I115" t="s">
        <v>10502</v>
      </c>
      <c r="J115" s="3" t="s">
        <v>10503</v>
      </c>
      <c r="K115" t="str">
        <f>INDEX(DRA!$A:$AO,MATCH(A115,DRA!$A:$A,0),MATCH("Family",DRA!$A$1:$BG$1,0))</f>
        <v>Z Shapeshift = Skill Prep</v>
      </c>
      <c r="L115" t="s">
        <v>51</v>
      </c>
    </row>
    <row r="116" spans="1:12" x14ac:dyDescent="0.2">
      <c r="A116" t="s">
        <v>10073</v>
      </c>
      <c r="B116" t="s">
        <v>10074</v>
      </c>
      <c r="C116" t="s">
        <v>10075</v>
      </c>
      <c r="D116" t="s">
        <v>3779</v>
      </c>
      <c r="E116" s="6" t="s">
        <v>4897</v>
      </c>
      <c r="F116" t="s">
        <v>10079</v>
      </c>
      <c r="G116">
        <v>30</v>
      </c>
      <c r="H116" t="s">
        <v>4629</v>
      </c>
      <c r="I116" t="s">
        <v>10504</v>
      </c>
      <c r="J116" s="3" t="s">
        <v>10505</v>
      </c>
      <c r="K116" t="str">
        <f>INDEX(DRA!$A:$AO,MATCH(A116,DRA!$A:$A,0),MATCH("Family",DRA!$A$1:$BG$1,0))</f>
        <v>Z Defensive</v>
      </c>
    </row>
    <row r="117" spans="1:12" x14ac:dyDescent="0.2">
      <c r="A117" t="s">
        <v>8990</v>
      </c>
      <c r="B117" t="s">
        <v>8991</v>
      </c>
      <c r="C117" t="s">
        <v>8992</v>
      </c>
      <c r="D117" t="s">
        <v>3779</v>
      </c>
      <c r="E117" s="6" t="s">
        <v>10318</v>
      </c>
      <c r="F117" t="s">
        <v>8997</v>
      </c>
      <c r="G117">
        <v>30</v>
      </c>
      <c r="H117" t="s">
        <v>4608</v>
      </c>
      <c r="I117" t="s">
        <v>10506</v>
      </c>
      <c r="J117" s="3" t="s">
        <v>10507</v>
      </c>
      <c r="K117" t="str">
        <f>INDEX(DRA!$A:$AO,MATCH(A117,DRA!$A:$A,0),MATCH("Family",DRA!$A$1:$BG$1,0))</f>
        <v>Critical Damage</v>
      </c>
    </row>
    <row r="118" spans="1:12" x14ac:dyDescent="0.2">
      <c r="A118" t="s">
        <v>9873</v>
      </c>
      <c r="B118" t="s">
        <v>9874</v>
      </c>
      <c r="C118" t="s">
        <v>9875</v>
      </c>
      <c r="D118" t="s">
        <v>3779</v>
      </c>
      <c r="E118" s="6" t="s">
        <v>5070</v>
      </c>
      <c r="F118" t="s">
        <v>9880</v>
      </c>
      <c r="G118">
        <v>30</v>
      </c>
      <c r="H118" t="s">
        <v>10495</v>
      </c>
      <c r="I118" t="s">
        <v>10508</v>
      </c>
      <c r="J118" s="3" t="s">
        <v>10509</v>
      </c>
      <c r="K118" t="str">
        <f>INDEX(DRA!$A:$AO,MATCH(A118,DRA!$A:$A,0),MATCH("Family",DRA!$A$1:$BG$1,0))</f>
        <v>Strength</v>
      </c>
      <c r="L118" t="s">
        <v>51</v>
      </c>
    </row>
    <row r="119" spans="1:12" x14ac:dyDescent="0.2">
      <c r="A119" t="s">
        <v>9646</v>
      </c>
      <c r="B119" t="s">
        <v>9647</v>
      </c>
      <c r="C119" t="s">
        <v>9648</v>
      </c>
      <c r="D119" t="s">
        <v>3779</v>
      </c>
      <c r="E119" s="6" t="s">
        <v>5658</v>
      </c>
      <c r="F119" t="s">
        <v>9653</v>
      </c>
      <c r="G119">
        <v>30</v>
      </c>
      <c r="H119" t="s">
        <v>4693</v>
      </c>
      <c r="I119" t="s">
        <v>10510</v>
      </c>
      <c r="J119" s="3" t="s">
        <v>10511</v>
      </c>
      <c r="K119" t="str">
        <f>INDEX(DRA!$A:$AO,MATCH(A119,DRA!$A:$A,0),MATCH("Family",DRA!$A$1:$BG$1,0))</f>
        <v>Skill Damage</v>
      </c>
    </row>
    <row r="120" spans="1:12" x14ac:dyDescent="0.2">
      <c r="A120" t="s">
        <v>10106</v>
      </c>
      <c r="B120" t="s">
        <v>10107</v>
      </c>
      <c r="C120" t="s">
        <v>10108</v>
      </c>
      <c r="D120" t="s">
        <v>3779</v>
      </c>
      <c r="E120" s="6" t="s">
        <v>4740</v>
      </c>
      <c r="F120" t="s">
        <v>10113</v>
      </c>
      <c r="G120">
        <v>30</v>
      </c>
      <c r="H120" t="s">
        <v>4608</v>
      </c>
      <c r="I120" t="s">
        <v>10512</v>
      </c>
      <c r="J120" s="3" t="s">
        <v>10513</v>
      </c>
      <c r="K120" t="str">
        <f>INDEX(DRA!$A:$AO,MATCH(A120,DRA!$A:$A,0),MATCH("Family",DRA!$A$1:$BG$1,0))</f>
        <v>Z Divergent Shield</v>
      </c>
      <c r="L120" t="s">
        <v>51</v>
      </c>
    </row>
    <row r="121" spans="1:12" x14ac:dyDescent="0.2">
      <c r="A121" t="s">
        <v>9062</v>
      </c>
      <c r="B121" t="s">
        <v>9063</v>
      </c>
      <c r="C121" t="s">
        <v>9064</v>
      </c>
      <c r="D121" t="s">
        <v>3779</v>
      </c>
      <c r="E121" s="6" t="s">
        <v>4897</v>
      </c>
      <c r="F121" t="s">
        <v>9068</v>
      </c>
      <c r="G121">
        <v>30</v>
      </c>
      <c r="H121" t="s">
        <v>4629</v>
      </c>
      <c r="I121" t="s">
        <v>10514</v>
      </c>
      <c r="J121" s="3" t="s">
        <v>10515</v>
      </c>
      <c r="K121" t="str">
        <f>INDEX(DRA!$A:$AO,MATCH(A121,DRA!$A:$A,0),MATCH("Family",DRA!$A$1:$BG$1,0))</f>
        <v>Fafnir</v>
      </c>
    </row>
    <row r="122" spans="1:12" x14ac:dyDescent="0.2">
      <c r="A122" t="s">
        <v>9051</v>
      </c>
      <c r="B122" t="s">
        <v>9052</v>
      </c>
      <c r="C122" t="s">
        <v>9053</v>
      </c>
      <c r="D122" t="s">
        <v>3779</v>
      </c>
      <c r="E122" s="6" t="s">
        <v>5845</v>
      </c>
      <c r="F122" t="s">
        <v>9058</v>
      </c>
      <c r="G122">
        <v>30</v>
      </c>
      <c r="H122" t="s">
        <v>4629</v>
      </c>
      <c r="I122" t="s">
        <v>10516</v>
      </c>
      <c r="J122" s="3" t="s">
        <v>10517</v>
      </c>
      <c r="K122" t="str">
        <f>INDEX(DRA!$A:$AO,MATCH(A122,DRA!$A:$A,0),MATCH("Family",DRA!$A$1:$BG$1,0))</f>
        <v>Divine Mantra</v>
      </c>
    </row>
    <row r="123" spans="1:12" x14ac:dyDescent="0.2">
      <c r="A123" t="s">
        <v>9759</v>
      </c>
      <c r="B123" t="s">
        <v>9760</v>
      </c>
      <c r="C123" t="s">
        <v>9761</v>
      </c>
      <c r="D123" t="s">
        <v>3779</v>
      </c>
      <c r="E123" s="6" t="s">
        <v>4740</v>
      </c>
      <c r="F123" t="s">
        <v>9766</v>
      </c>
      <c r="G123">
        <v>30</v>
      </c>
      <c r="H123" t="s">
        <v>4613</v>
      </c>
      <c r="I123" t="s">
        <v>10518</v>
      </c>
      <c r="J123" s="3" t="s">
        <v>10519</v>
      </c>
      <c r="K123" t="str">
        <f>INDEX(DRA!$A:$AO,MATCH(A123,DRA!$A:$A,0),MATCH("Family",DRA!$A$1:$BG$1,0))</f>
        <v>Skill Haste Strength</v>
      </c>
      <c r="L123" t="s">
        <v>61</v>
      </c>
    </row>
    <row r="124" spans="1:12" x14ac:dyDescent="0.2">
      <c r="A124" t="s">
        <v>8749</v>
      </c>
      <c r="B124" t="s">
        <v>8750</v>
      </c>
      <c r="C124" t="s">
        <v>8751</v>
      </c>
      <c r="D124" t="s">
        <v>3779</v>
      </c>
      <c r="E124" s="6" t="s">
        <v>4659</v>
      </c>
      <c r="F124" t="s">
        <v>8756</v>
      </c>
      <c r="G124">
        <v>30</v>
      </c>
      <c r="H124" t="s">
        <v>10475</v>
      </c>
      <c r="I124" t="s">
        <v>10520</v>
      </c>
      <c r="J124" s="3" t="s">
        <v>10521</v>
      </c>
      <c r="K124" t="str">
        <f>INDEX(DRA!$A:$AO,MATCH(A124,DRA!$A:$A,0),MATCH("Family",DRA!$A$1:$BG$1,0))</f>
        <v>Affliction Punisher</v>
      </c>
      <c r="L124" t="s">
        <v>61</v>
      </c>
    </row>
    <row r="125" spans="1:12" x14ac:dyDescent="0.2">
      <c r="A125" t="s">
        <v>9286</v>
      </c>
      <c r="B125" t="s">
        <v>9287</v>
      </c>
      <c r="C125" t="s">
        <v>9288</v>
      </c>
      <c r="D125" t="s">
        <v>3779</v>
      </c>
      <c r="E125" s="6" t="s">
        <v>10318</v>
      </c>
      <c r="F125" t="s">
        <v>9293</v>
      </c>
      <c r="G125">
        <v>50</v>
      </c>
      <c r="H125" t="s">
        <v>4608</v>
      </c>
      <c r="I125" t="s">
        <v>10522</v>
      </c>
      <c r="J125" s="3" t="s">
        <v>10523</v>
      </c>
      <c r="K125" t="str">
        <f>INDEX(DRA!$A:$AO,MATCH(A125,DRA!$A:$A,0),MATCH("Family",DRA!$A$1:$BG$1,0))</f>
        <v>High Greatwyrm</v>
      </c>
      <c r="L125" t="s">
        <v>51</v>
      </c>
    </row>
    <row r="126" spans="1:12" x14ac:dyDescent="0.2">
      <c r="A126" t="s">
        <v>9393</v>
      </c>
      <c r="B126" t="s">
        <v>9394</v>
      </c>
      <c r="C126" t="s">
        <v>9395</v>
      </c>
      <c r="D126" t="s">
        <v>3779</v>
      </c>
      <c r="E126" s="6" t="s">
        <v>10311</v>
      </c>
      <c r="F126" t="s">
        <v>9400</v>
      </c>
      <c r="G126">
        <v>50</v>
      </c>
      <c r="H126" t="s">
        <v>4649</v>
      </c>
      <c r="I126" t="s">
        <v>10524</v>
      </c>
      <c r="J126" s="3" t="s">
        <v>10525</v>
      </c>
      <c r="K126" t="str">
        <f>INDEX(DRA!$A:$AO,MATCH(A126,DRA!$A:$A,0),MATCH("Family",DRA!$A$1:$BG$1,0))</f>
        <v>HP &amp; Strength</v>
      </c>
      <c r="L126" t="s">
        <v>51</v>
      </c>
    </row>
    <row r="127" spans="1:12" x14ac:dyDescent="0.2">
      <c r="A127" t="s">
        <v>9073</v>
      </c>
      <c r="B127" t="s">
        <v>9074</v>
      </c>
      <c r="C127" t="s">
        <v>9075</v>
      </c>
      <c r="D127" t="s">
        <v>3779</v>
      </c>
      <c r="E127" s="6" t="s">
        <v>4673</v>
      </c>
      <c r="F127" t="s">
        <v>9079</v>
      </c>
      <c r="G127">
        <v>50</v>
      </c>
      <c r="H127" t="s">
        <v>4842</v>
      </c>
      <c r="I127" t="s">
        <v>10526</v>
      </c>
      <c r="J127" s="3" t="s">
        <v>10362</v>
      </c>
      <c r="K127" t="str">
        <f>INDEX(DRA!$A:$AO,MATCH(A127,DRA!$A:$A,0),MATCH("Family",DRA!$A$1:$BG$1,0))</f>
        <v>Fafnir</v>
      </c>
    </row>
    <row r="128" spans="1:12" x14ac:dyDescent="0.2">
      <c r="A128" t="s">
        <v>9083</v>
      </c>
      <c r="B128" t="s">
        <v>9084</v>
      </c>
      <c r="C128" t="s">
        <v>9085</v>
      </c>
      <c r="D128" t="s">
        <v>3779</v>
      </c>
      <c r="E128" s="6" t="s">
        <v>4628</v>
      </c>
      <c r="F128" t="s">
        <v>9089</v>
      </c>
      <c r="G128">
        <v>50</v>
      </c>
      <c r="H128" t="s">
        <v>4842</v>
      </c>
      <c r="I128" t="s">
        <v>10527</v>
      </c>
      <c r="J128" s="3" t="s">
        <v>10469</v>
      </c>
      <c r="K128" t="str">
        <f>INDEX(DRA!$A:$AO,MATCH(A128,DRA!$A:$A,0),MATCH("Family",DRA!$A$1:$BG$1,0))</f>
        <v>Fafnir</v>
      </c>
    </row>
    <row r="129" spans="1:12" x14ac:dyDescent="0.2">
      <c r="A129" t="s">
        <v>9343</v>
      </c>
      <c r="B129" t="s">
        <v>9344</v>
      </c>
      <c r="C129" t="s">
        <v>9345</v>
      </c>
      <c r="D129" t="s">
        <v>3779</v>
      </c>
      <c r="E129" s="6" t="s">
        <v>5070</v>
      </c>
      <c r="F129" t="s">
        <v>9350</v>
      </c>
      <c r="G129">
        <v>50</v>
      </c>
      <c r="H129" t="s">
        <v>4608</v>
      </c>
      <c r="I129" t="s">
        <v>10528</v>
      </c>
      <c r="J129" s="3" t="s">
        <v>10529</v>
      </c>
      <c r="K129" t="str">
        <f>INDEX(DRA!$A:$AO,MATCH(A129,DRA!$A:$A,0),MATCH("Family",DRA!$A$1:$BG$1,0))</f>
        <v>HP &amp; Overdrive</v>
      </c>
    </row>
    <row r="130" spans="1:12" x14ac:dyDescent="0.2">
      <c r="A130" t="s">
        <v>8760</v>
      </c>
      <c r="B130" t="s">
        <v>8761</v>
      </c>
      <c r="C130" t="s">
        <v>8762</v>
      </c>
      <c r="D130" t="s">
        <v>3779</v>
      </c>
      <c r="E130" s="6" t="s">
        <v>4740</v>
      </c>
      <c r="F130" t="s">
        <v>8767</v>
      </c>
      <c r="G130">
        <v>30</v>
      </c>
      <c r="H130" t="s">
        <v>4629</v>
      </c>
      <c r="I130" t="s">
        <v>10530</v>
      </c>
      <c r="J130" s="3" t="s">
        <v>10531</v>
      </c>
      <c r="K130" t="str">
        <f>INDEX(DRA!$A:$AO,MATCH(A130,DRA!$A:$A,0),MATCH("Family",DRA!$A$1:$BG$1,0))</f>
        <v>Affliction Punisher</v>
      </c>
      <c r="L130" t="s">
        <v>61</v>
      </c>
    </row>
    <row r="131" spans="1:12" x14ac:dyDescent="0.2">
      <c r="A131" t="s">
        <v>9232</v>
      </c>
      <c r="B131" t="s">
        <v>9233</v>
      </c>
      <c r="C131" t="s">
        <v>9234</v>
      </c>
      <c r="D131" t="s">
        <v>3779</v>
      </c>
      <c r="E131" s="6" t="s">
        <v>4692</v>
      </c>
      <c r="F131" t="s">
        <v>9239</v>
      </c>
      <c r="G131">
        <v>30</v>
      </c>
      <c r="H131" t="s">
        <v>4629</v>
      </c>
      <c r="I131" t="s">
        <v>10532</v>
      </c>
      <c r="J131" s="3" t="s">
        <v>10533</v>
      </c>
      <c r="K131" t="str">
        <f>INDEX(DRA!$A:$AO,MATCH(A131,DRA!$A:$A,0),MATCH("Family",DRA!$A$1:$BG$1,0))</f>
        <v>Greatwyrm</v>
      </c>
      <c r="L131" t="s">
        <v>51</v>
      </c>
    </row>
    <row r="132" spans="1:12" x14ac:dyDescent="0.2">
      <c r="A132" t="s">
        <v>9956</v>
      </c>
      <c r="B132" t="s">
        <v>9957</v>
      </c>
      <c r="C132" t="s">
        <v>9958</v>
      </c>
      <c r="D132" t="s">
        <v>3779</v>
      </c>
      <c r="E132" s="6" t="s">
        <v>4833</v>
      </c>
      <c r="F132" t="s">
        <v>9961</v>
      </c>
      <c r="G132">
        <v>50</v>
      </c>
      <c r="H132" t="s">
        <v>4723</v>
      </c>
      <c r="I132" t="s">
        <v>10534</v>
      </c>
      <c r="J132" s="3" t="s">
        <v>10535</v>
      </c>
      <c r="K132" t="str">
        <f>INDEX(DRA!$A:$AO,MATCH(A132,DRA!$A:$A,0),MATCH("Family",DRA!$A$1:$BG$1,0))</f>
        <v>Tutorial - Mixed</v>
      </c>
    </row>
    <row r="133" spans="1:12" x14ac:dyDescent="0.2">
      <c r="A133" t="s">
        <v>9918</v>
      </c>
      <c r="B133" t="s">
        <v>9919</v>
      </c>
      <c r="C133" t="s">
        <v>9920</v>
      </c>
      <c r="D133" t="s">
        <v>3779</v>
      </c>
      <c r="E133" s="6" t="s">
        <v>4833</v>
      </c>
      <c r="F133" t="s">
        <v>9923</v>
      </c>
      <c r="G133">
        <v>50</v>
      </c>
      <c r="H133" t="s">
        <v>4842</v>
      </c>
      <c r="I133" t="s">
        <v>10536</v>
      </c>
      <c r="J133" s="3" t="s">
        <v>10537</v>
      </c>
      <c r="K133" t="str">
        <f>INDEX(DRA!$A:$AO,MATCH(A133,DRA!$A:$A,0),MATCH("Family",DRA!$A$1:$BG$1,0))</f>
        <v>Tutorial - HP</v>
      </c>
    </row>
    <row r="134" spans="1:12" x14ac:dyDescent="0.2">
      <c r="A134" t="s">
        <v>9996</v>
      </c>
      <c r="B134" t="s">
        <v>8652</v>
      </c>
      <c r="C134" t="s">
        <v>9997</v>
      </c>
      <c r="D134" t="s">
        <v>3779</v>
      </c>
      <c r="E134" s="6" t="s">
        <v>4740</v>
      </c>
      <c r="F134" t="s">
        <v>10000</v>
      </c>
      <c r="G134">
        <v>30</v>
      </c>
      <c r="H134" t="s">
        <v>4629</v>
      </c>
      <c r="I134" t="s">
        <v>10538</v>
      </c>
      <c r="J134" s="3" t="s">
        <v>10539</v>
      </c>
      <c r="K134" t="str">
        <f>INDEX(DRA!$A:$AO,MATCH(A134,DRA!$A:$A,0),MATCH("Family",DRA!$A$1:$BG$1,0))</f>
        <v>Tutorial - Strength</v>
      </c>
    </row>
    <row r="135" spans="1:12" x14ac:dyDescent="0.2">
      <c r="A135" t="s">
        <v>10540</v>
      </c>
      <c r="B135" s="84" t="s">
        <v>8802</v>
      </c>
      <c r="C135" t="s">
        <v>10541</v>
      </c>
      <c r="D135" t="s">
        <v>122</v>
      </c>
      <c r="E135" s="6" t="s">
        <v>4692</v>
      </c>
      <c r="F135" t="s">
        <v>10541</v>
      </c>
      <c r="G135">
        <v>30</v>
      </c>
      <c r="H135" t="s">
        <v>10475</v>
      </c>
      <c r="I135" t="s">
        <v>10542</v>
      </c>
      <c r="J135" s="3" t="s">
        <v>10543</v>
      </c>
      <c r="K135" t="s">
        <v>8786</v>
      </c>
      <c r="L135" t="s">
        <v>10269</v>
      </c>
    </row>
    <row r="136" spans="1:12" x14ac:dyDescent="0.2">
      <c r="A136" t="s">
        <v>10002</v>
      </c>
      <c r="B136" s="86" t="s">
        <v>10003</v>
      </c>
      <c r="C136" t="s">
        <v>10004</v>
      </c>
      <c r="D136" t="s">
        <v>122</v>
      </c>
      <c r="E136" s="6" t="s">
        <v>4654</v>
      </c>
      <c r="F136" t="s">
        <v>24236</v>
      </c>
      <c r="G136">
        <v>30</v>
      </c>
      <c r="H136" t="s">
        <v>10305</v>
      </c>
      <c r="J136" s="52" t="s">
        <v>24249</v>
      </c>
      <c r="K136" t="str">
        <f>INDEX(DRA!$A:$AO,MATCH(A136,DRA!$A:$A,0),MATCH("Family",DRA!$A$1:$BG$1,0))</f>
        <v>Void Dragons</v>
      </c>
      <c r="L136" t="s">
        <v>39</v>
      </c>
    </row>
    <row r="137" spans="1:12" x14ac:dyDescent="0.2">
      <c r="A137" t="s">
        <v>10012</v>
      </c>
      <c r="B137" s="86" t="s">
        <v>10013</v>
      </c>
      <c r="C137" t="s">
        <v>10014</v>
      </c>
      <c r="D137" t="s">
        <v>1103</v>
      </c>
      <c r="E137" t="s">
        <v>4852</v>
      </c>
      <c r="F137" t="s">
        <v>24238</v>
      </c>
      <c r="G137">
        <v>30</v>
      </c>
      <c r="H137" t="s">
        <v>4730</v>
      </c>
      <c r="J137" s="3" t="s">
        <v>24250</v>
      </c>
      <c r="K137" t="str">
        <f>INDEX(DRA!$A:$AO,MATCH(A137,DRA!$A:$A,0),MATCH("Family",DRA!$A$1:$BG$1,0))</f>
        <v>Void Dragons</v>
      </c>
      <c r="L137" t="s">
        <v>47</v>
      </c>
    </row>
    <row r="138" spans="1:12" x14ac:dyDescent="0.2">
      <c r="A138" t="s">
        <v>10019</v>
      </c>
      <c r="B138" s="86" t="s">
        <v>10020</v>
      </c>
      <c r="C138" t="s">
        <v>10021</v>
      </c>
      <c r="D138" t="s">
        <v>1947</v>
      </c>
      <c r="E138" s="6" t="s">
        <v>4877</v>
      </c>
      <c r="F138" t="s">
        <v>24239</v>
      </c>
      <c r="G138">
        <v>30</v>
      </c>
      <c r="H138" t="s">
        <v>4730</v>
      </c>
      <c r="J138" s="3" t="s">
        <v>24251</v>
      </c>
      <c r="K138" t="str">
        <f>INDEX(DRA!$A:$AO,MATCH(A138,DRA!$A:$A,0),MATCH("Family",DRA!$A$1:$BG$1,0))</f>
        <v>Void Dragons</v>
      </c>
      <c r="L138" t="s">
        <v>51</v>
      </c>
    </row>
    <row r="139" spans="1:12" x14ac:dyDescent="0.2">
      <c r="A139" t="s">
        <v>10026</v>
      </c>
      <c r="B139" s="86" t="s">
        <v>10027</v>
      </c>
      <c r="C139" t="s">
        <v>10028</v>
      </c>
      <c r="D139" t="s">
        <v>2837</v>
      </c>
      <c r="E139" s="6" t="s">
        <v>4877</v>
      </c>
      <c r="F139" t="s">
        <v>24240</v>
      </c>
      <c r="G139">
        <v>30</v>
      </c>
      <c r="H139" t="s">
        <v>4613</v>
      </c>
      <c r="J139" s="3" t="s">
        <v>24285</v>
      </c>
      <c r="K139" t="str">
        <f>INDEX(DRA!$A:$AO,MATCH(A139,DRA!$A:$A,0),MATCH("Family",DRA!$A$1:$BG$1,0))</f>
        <v>Void Dragons</v>
      </c>
      <c r="L139" t="s">
        <v>57</v>
      </c>
    </row>
    <row r="140" spans="1:12" x14ac:dyDescent="0.2">
      <c r="A140" t="s">
        <v>10033</v>
      </c>
      <c r="B140" s="86" t="s">
        <v>10034</v>
      </c>
      <c r="C140" t="s">
        <v>10035</v>
      </c>
      <c r="D140" t="s">
        <v>3779</v>
      </c>
      <c r="E140" s="6" t="s">
        <v>10311</v>
      </c>
      <c r="F140" t="s">
        <v>24241</v>
      </c>
      <c r="G140">
        <v>30</v>
      </c>
      <c r="H140" t="s">
        <v>4649</v>
      </c>
      <c r="J140" s="3" t="s">
        <v>24243</v>
      </c>
      <c r="K140" t="str">
        <f>INDEX(DRA!$A:$AO,MATCH(A140,DRA!$A:$A,0),MATCH("Family",DRA!$A$1:$BG$1,0))</f>
        <v>Void Dragons</v>
      </c>
      <c r="L140" t="s">
        <v>51</v>
      </c>
    </row>
    <row r="141" spans="1:12" x14ac:dyDescent="0.2">
      <c r="A141" t="s">
        <v>9094</v>
      </c>
      <c r="B141" s="86" t="s">
        <v>9095</v>
      </c>
      <c r="C141" t="s">
        <v>9096</v>
      </c>
      <c r="D141" t="s">
        <v>3779</v>
      </c>
      <c r="E141" s="6" t="s">
        <v>4833</v>
      </c>
      <c r="F141" t="s">
        <v>24242</v>
      </c>
      <c r="G141">
        <v>30</v>
      </c>
      <c r="H141" t="s">
        <v>4613</v>
      </c>
      <c r="J141" s="3" t="s">
        <v>24245</v>
      </c>
      <c r="K141" t="str">
        <f>INDEX(DRA!$A:$AO,MATCH(A141,DRA!$A:$A,0),MATCH("Family",DRA!$A$1:$BG$1,0))</f>
        <v>Fallen Angels</v>
      </c>
      <c r="L141" t="s">
        <v>61</v>
      </c>
    </row>
    <row r="142" spans="1:12" x14ac:dyDescent="0.2">
      <c r="A142" t="s">
        <v>9102</v>
      </c>
      <c r="B142" s="86" t="s">
        <v>9103</v>
      </c>
      <c r="C142" t="s">
        <v>9104</v>
      </c>
      <c r="D142" t="s">
        <v>1947</v>
      </c>
      <c r="E142" t="s">
        <v>5138</v>
      </c>
      <c r="F142" t="s">
        <v>24244</v>
      </c>
      <c r="G142">
        <v>30</v>
      </c>
      <c r="H142" t="s">
        <v>4859</v>
      </c>
      <c r="J142" s="3" t="s">
        <v>24246</v>
      </c>
      <c r="K142" t="str">
        <f>INDEX(DRA!$A:$AO,MATCH(A142,DRA!$A:$A,0),MATCH("Family",DRA!$A$1:$BG$1,0))</f>
        <v>Fallen Angels</v>
      </c>
      <c r="L142" t="s">
        <v>55</v>
      </c>
    </row>
    <row r="143" spans="1:12" x14ac:dyDescent="0.2">
      <c r="A143" t="s">
        <v>9108</v>
      </c>
      <c r="B143" s="86" t="s">
        <v>9109</v>
      </c>
      <c r="C143" t="s">
        <v>9110</v>
      </c>
      <c r="D143" t="s">
        <v>2837</v>
      </c>
      <c r="E143" s="6" t="s">
        <v>4740</v>
      </c>
      <c r="F143" t="s">
        <v>24253</v>
      </c>
      <c r="G143">
        <v>30</v>
      </c>
      <c r="H143" t="s">
        <v>4842</v>
      </c>
      <c r="J143" s="3" t="s">
        <v>24247</v>
      </c>
      <c r="K143" t="str">
        <f>INDEX(DRA!$A:$AO,MATCH(A143,DRA!$A:$A,0),MATCH("Family",DRA!$A$1:$BG$1,0))</f>
        <v>Fallen Angels</v>
      </c>
      <c r="L143" t="s">
        <v>59</v>
      </c>
    </row>
    <row r="144" spans="1:12" x14ac:dyDescent="0.2">
      <c r="A144" t="s">
        <v>9114</v>
      </c>
      <c r="B144" s="86" t="s">
        <v>9115</v>
      </c>
      <c r="C144" t="s">
        <v>9116</v>
      </c>
      <c r="D144" t="s">
        <v>1103</v>
      </c>
      <c r="E144" s="6" t="s">
        <v>4852</v>
      </c>
      <c r="F144" t="s">
        <v>24254</v>
      </c>
      <c r="G144">
        <v>30</v>
      </c>
      <c r="H144" t="s">
        <v>5938</v>
      </c>
      <c r="J144" s="52" t="s">
        <v>24248</v>
      </c>
      <c r="K144" t="str">
        <f>INDEX(DRA!$A:$AO,MATCH(A144,DRA!$A:$A,0),MATCH("Family",DRA!$A$1:$BG$1,0))</f>
        <v>Fallen Angels</v>
      </c>
      <c r="L144" t="s">
        <v>47</v>
      </c>
    </row>
    <row r="145" spans="1:12" x14ac:dyDescent="0.2">
      <c r="A145" t="s">
        <v>9120</v>
      </c>
      <c r="B145" s="86" t="s">
        <v>9121</v>
      </c>
      <c r="C145" t="s">
        <v>9122</v>
      </c>
      <c r="D145" t="s">
        <v>122</v>
      </c>
      <c r="E145" t="s">
        <v>4852</v>
      </c>
      <c r="F145" t="s">
        <v>24255</v>
      </c>
      <c r="G145">
        <v>30</v>
      </c>
      <c r="H145" t="s">
        <v>10292</v>
      </c>
      <c r="J145" s="3" t="s">
        <v>24252</v>
      </c>
      <c r="K145" t="str">
        <f>INDEX(DRA!$A:$AO,MATCH(A145,DRA!$A:$A,0),MATCH("Family",DRA!$A$1:$BG$1,0))</f>
        <v>Fallen Angels</v>
      </c>
      <c r="L145" t="s">
        <v>43</v>
      </c>
    </row>
    <row r="146" spans="1:12" x14ac:dyDescent="0.2">
      <c r="B146" s="86" t="s">
        <v>9593</v>
      </c>
      <c r="C146" t="s">
        <v>9594</v>
      </c>
      <c r="D146" t="s">
        <v>1103</v>
      </c>
      <c r="E146" s="6" t="s">
        <v>5070</v>
      </c>
      <c r="F146" t="s">
        <v>24256</v>
      </c>
      <c r="G146">
        <v>30</v>
      </c>
      <c r="H146" t="s">
        <v>10292</v>
      </c>
      <c r="J146" s="3" t="s">
        <v>24257</v>
      </c>
      <c r="K146" t="s">
        <v>9559</v>
      </c>
      <c r="L146" t="s">
        <v>47</v>
      </c>
    </row>
    <row r="147" spans="1:12" x14ac:dyDescent="0.2">
      <c r="A147" t="s">
        <v>9462</v>
      </c>
      <c r="B147" s="86" t="s">
        <v>9463</v>
      </c>
      <c r="C147" t="s">
        <v>9464</v>
      </c>
      <c r="D147" t="s">
        <v>1947</v>
      </c>
      <c r="E147" s="6" t="s">
        <v>4877</v>
      </c>
      <c r="F147" t="s">
        <v>24275</v>
      </c>
      <c r="G147">
        <v>30</v>
      </c>
      <c r="H147" t="s">
        <v>4622</v>
      </c>
      <c r="J147" s="3" t="s">
        <v>24276</v>
      </c>
      <c r="K147" t="s">
        <v>9461</v>
      </c>
    </row>
  </sheetData>
  <autoFilter ref="A1:L140" xr:uid="{E148E2A7-D03F-4B6E-B4ED-0A5D92E53261}">
    <sortState xmlns:xlrd2="http://schemas.microsoft.com/office/spreadsheetml/2017/richdata2" ref="A2:L140">
      <sortCondition ref="B1:B140"/>
    </sortState>
  </autoFilter>
  <pageMargins left="0.7" right="0.7" top="0.75" bottom="0.75" header="0.3" footer="0.3"/>
  <pageSetup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3E6B5D-09EB-4378-9A1A-A51B19F7E4FE}">
  <dimension ref="A1:F232"/>
  <sheetViews>
    <sheetView zoomScaleNormal="100" workbookViewId="0"/>
  </sheetViews>
  <sheetFormatPr defaultRowHeight="14.25" x14ac:dyDescent="0.2"/>
  <cols>
    <col min="1" max="1" width="48" bestFit="1" customWidth="1"/>
    <col min="2" max="2" width="7.875" bestFit="1" customWidth="1"/>
    <col min="3" max="3" width="6.5" bestFit="1" customWidth="1"/>
    <col min="4" max="4" width="6" bestFit="1" customWidth="1"/>
    <col min="5" max="5" width="4.875" bestFit="1" customWidth="1"/>
    <col min="6" max="6" width="38.75" customWidth="1"/>
  </cols>
  <sheetData>
    <row r="1" spans="1:6" s="1" customFormat="1" x14ac:dyDescent="0.2">
      <c r="A1" s="95" t="s">
        <v>10544</v>
      </c>
      <c r="B1" s="67" t="s">
        <v>4597</v>
      </c>
      <c r="C1" s="67" t="s">
        <v>6064</v>
      </c>
      <c r="D1" s="67" t="s">
        <v>6066</v>
      </c>
      <c r="E1" s="67" t="s">
        <v>6067</v>
      </c>
      <c r="F1" s="97" t="s">
        <v>80</v>
      </c>
    </row>
    <row r="2" spans="1:6" x14ac:dyDescent="0.2">
      <c r="A2" t="s">
        <v>6997</v>
      </c>
      <c r="B2">
        <v>1010149</v>
      </c>
      <c r="C2" t="s">
        <v>6068</v>
      </c>
      <c r="D2">
        <f>+COUNTIF(DRA!P:Q,A2)</f>
        <v>1</v>
      </c>
      <c r="E2">
        <f>+COUNTIF(DRA!R:S,A2)</f>
        <v>1</v>
      </c>
      <c r="F2" t="s">
        <v>10545</v>
      </c>
    </row>
    <row r="3" spans="1:6" x14ac:dyDescent="0.2">
      <c r="A3" t="s">
        <v>10191</v>
      </c>
      <c r="B3">
        <v>1010189</v>
      </c>
      <c r="C3" t="s">
        <v>6068</v>
      </c>
      <c r="D3">
        <f>+COUNTIF(DRA!P:Q,A3)</f>
        <v>1</v>
      </c>
      <c r="E3">
        <f>+COUNTIF(DRA!R:S,A3)</f>
        <v>1</v>
      </c>
      <c r="F3" t="s">
        <v>10546</v>
      </c>
    </row>
    <row r="4" spans="1:6" x14ac:dyDescent="0.2">
      <c r="A4" t="s">
        <v>9459</v>
      </c>
      <c r="B4">
        <v>1010196</v>
      </c>
      <c r="C4" t="s">
        <v>6068</v>
      </c>
      <c r="D4">
        <f>+COUNTIF(DRA!P:Q,A4)</f>
        <v>1</v>
      </c>
      <c r="E4">
        <f>+COUNTIF(DRA!R:S,A4)</f>
        <v>1</v>
      </c>
      <c r="F4" t="s">
        <v>10547</v>
      </c>
    </row>
    <row r="5" spans="1:6" x14ac:dyDescent="0.2">
      <c r="A5" t="s">
        <v>8267</v>
      </c>
      <c r="B5">
        <v>1010158</v>
      </c>
      <c r="C5" t="s">
        <v>6068</v>
      </c>
      <c r="D5">
        <f>+COUNTIF(DRA!P:Q,A5)</f>
        <v>1</v>
      </c>
      <c r="E5">
        <f>+COUNTIF(DRA!R:S,A5)</f>
        <v>1</v>
      </c>
      <c r="F5" t="s">
        <v>10548</v>
      </c>
    </row>
    <row r="6" spans="1:6" x14ac:dyDescent="0.2">
      <c r="A6" t="s">
        <v>8955</v>
      </c>
      <c r="B6">
        <v>1010170</v>
      </c>
      <c r="C6" t="s">
        <v>6068</v>
      </c>
      <c r="D6">
        <f>+COUNTIF(DRA!P:Q,A6)</f>
        <v>3</v>
      </c>
      <c r="E6">
        <f>+COUNTIF(DRA!R:S,A6)</f>
        <v>0</v>
      </c>
      <c r="F6" t="s">
        <v>10549</v>
      </c>
    </row>
    <row r="7" spans="1:6" x14ac:dyDescent="0.2">
      <c r="A7" t="s">
        <v>9026</v>
      </c>
      <c r="B7">
        <v>1010152</v>
      </c>
      <c r="C7" t="s">
        <v>6068</v>
      </c>
      <c r="D7">
        <f>+COUNTIF(DRA!P:Q,A7)</f>
        <v>9</v>
      </c>
      <c r="E7">
        <f>+COUNTIF(DRA!R:S,A7)</f>
        <v>0</v>
      </c>
      <c r="F7" t="s">
        <v>10550</v>
      </c>
    </row>
    <row r="8" spans="1:6" x14ac:dyDescent="0.2">
      <c r="A8" t="s">
        <v>9375</v>
      </c>
      <c r="B8">
        <v>1010152</v>
      </c>
      <c r="C8" t="s">
        <v>6068</v>
      </c>
      <c r="D8">
        <f>+COUNTIF(DRA!P:Q,A8)</f>
        <v>3</v>
      </c>
      <c r="E8">
        <f>+COUNTIF(DRA!R:S,A8)</f>
        <v>0</v>
      </c>
      <c r="F8" t="s">
        <v>10551</v>
      </c>
    </row>
    <row r="9" spans="1:6" x14ac:dyDescent="0.2">
      <c r="A9" t="s">
        <v>7277</v>
      </c>
      <c r="B9">
        <v>1010152</v>
      </c>
      <c r="C9" t="s">
        <v>6068</v>
      </c>
      <c r="D9">
        <f>+COUNTIF(DRA!P:Q,A9)</f>
        <v>5</v>
      </c>
      <c r="E9">
        <f>+COUNTIF(DRA!R:S,A9)</f>
        <v>0</v>
      </c>
      <c r="F9" t="s">
        <v>7278</v>
      </c>
    </row>
    <row r="10" spans="1:6" x14ac:dyDescent="0.2">
      <c r="A10" t="s">
        <v>9333</v>
      </c>
      <c r="B10">
        <v>1010152</v>
      </c>
      <c r="C10" t="s">
        <v>6068</v>
      </c>
      <c r="D10">
        <f>+COUNTIF(DRA!P:Q,A10)</f>
        <v>2</v>
      </c>
      <c r="E10">
        <f>+COUNTIF(DRA!R:S,A10)</f>
        <v>0</v>
      </c>
      <c r="F10" t="s">
        <v>10552</v>
      </c>
    </row>
    <row r="11" spans="1:6" x14ac:dyDescent="0.2">
      <c r="A11" t="s">
        <v>9609</v>
      </c>
      <c r="B11">
        <v>1010002</v>
      </c>
      <c r="C11" t="s">
        <v>6068</v>
      </c>
      <c r="D11">
        <f>+COUNTIF(DRA!P:Q,A11)</f>
        <v>4</v>
      </c>
      <c r="E11">
        <f>+COUNTIF(DRA!R:S,A11)</f>
        <v>0</v>
      </c>
      <c r="F11" t="s">
        <v>10553</v>
      </c>
    </row>
    <row r="12" spans="1:6" x14ac:dyDescent="0.2">
      <c r="A12" t="s">
        <v>9534</v>
      </c>
      <c r="B12">
        <v>1010010</v>
      </c>
      <c r="C12" t="s">
        <v>6068</v>
      </c>
      <c r="D12">
        <f>+COUNTIF(DRA!P:Q,A12)</f>
        <v>1</v>
      </c>
      <c r="E12">
        <f>+COUNTIF(DRA!R:S,A12)</f>
        <v>0</v>
      </c>
      <c r="F12" t="s">
        <v>10554</v>
      </c>
    </row>
    <row r="13" spans="1:6" x14ac:dyDescent="0.2">
      <c r="A13" t="s">
        <v>9321</v>
      </c>
      <c r="B13">
        <v>1010010</v>
      </c>
      <c r="C13" t="s">
        <v>6068</v>
      </c>
      <c r="D13">
        <f>+COUNTIF(DRA!P:Q,A13)</f>
        <v>1</v>
      </c>
      <c r="E13">
        <f>+COUNTIF(DRA!R:S,A13)</f>
        <v>0</v>
      </c>
      <c r="F13" t="s">
        <v>10555</v>
      </c>
    </row>
    <row r="14" spans="1:6" x14ac:dyDescent="0.2">
      <c r="A14" t="s">
        <v>9691</v>
      </c>
      <c r="B14">
        <v>1010152</v>
      </c>
      <c r="C14" t="s">
        <v>6068</v>
      </c>
      <c r="D14">
        <f>+COUNTIF(DRA!P:Q,A14)</f>
        <v>3</v>
      </c>
      <c r="E14">
        <f>+COUNTIF(DRA!R:S,A14)</f>
        <v>0</v>
      </c>
      <c r="F14" t="s">
        <v>10556</v>
      </c>
    </row>
    <row r="15" spans="1:6" x14ac:dyDescent="0.2">
      <c r="A15" t="s">
        <v>9320</v>
      </c>
      <c r="B15">
        <v>1010152</v>
      </c>
      <c r="C15" t="s">
        <v>6068</v>
      </c>
      <c r="D15">
        <f>+COUNTIF(DRA!P:Q,A15)</f>
        <v>1</v>
      </c>
      <c r="E15">
        <f>+COUNTIF(DRA!R:S,A15)</f>
        <v>0</v>
      </c>
      <c r="F15" t="s">
        <v>10557</v>
      </c>
    </row>
    <row r="16" spans="1:6" x14ac:dyDescent="0.2">
      <c r="A16" t="s">
        <v>9332</v>
      </c>
      <c r="B16">
        <v>1020001</v>
      </c>
      <c r="C16" t="s">
        <v>6068</v>
      </c>
      <c r="D16">
        <f>+COUNTIF(DRA!P:Q,A16)</f>
        <v>2</v>
      </c>
      <c r="E16">
        <f>+COUNTIF(DRA!R:S,A16)</f>
        <v>0</v>
      </c>
      <c r="F16" t="s">
        <v>10558</v>
      </c>
    </row>
    <row r="17" spans="1:6" x14ac:dyDescent="0.2">
      <c r="A17" t="s">
        <v>9692</v>
      </c>
      <c r="B17">
        <v>1020004</v>
      </c>
      <c r="C17" t="s">
        <v>6068</v>
      </c>
      <c r="D17">
        <f>+COUNTIF(DRA!P:Q,A17)</f>
        <v>3</v>
      </c>
      <c r="E17">
        <f>+COUNTIF(DRA!R:S,A17)</f>
        <v>0</v>
      </c>
      <c r="F17" t="s">
        <v>10559</v>
      </c>
    </row>
    <row r="18" spans="1:6" x14ac:dyDescent="0.2">
      <c r="A18" t="s">
        <v>9253</v>
      </c>
      <c r="B18">
        <v>1020006</v>
      </c>
      <c r="C18" t="s">
        <v>6068</v>
      </c>
      <c r="D18">
        <f>+COUNTIF(DRA!P:Q,A18)</f>
        <v>8</v>
      </c>
      <c r="E18">
        <f>+COUNTIF(DRA!R:S,A18)</f>
        <v>11</v>
      </c>
      <c r="F18" t="s">
        <v>10560</v>
      </c>
    </row>
    <row r="19" spans="1:6" x14ac:dyDescent="0.2">
      <c r="A19" t="s">
        <v>9827</v>
      </c>
      <c r="B19">
        <v>1010152</v>
      </c>
      <c r="C19" t="s">
        <v>6068</v>
      </c>
      <c r="D19">
        <f>+COUNTIF(DRA!P:Q,A19)</f>
        <v>1</v>
      </c>
      <c r="E19">
        <f>+COUNTIF(DRA!R:S,A19)</f>
        <v>0</v>
      </c>
      <c r="F19" t="s">
        <v>10561</v>
      </c>
    </row>
    <row r="20" spans="1:6" x14ac:dyDescent="0.2">
      <c r="A20" t="s">
        <v>9497</v>
      </c>
      <c r="B20">
        <v>1010152</v>
      </c>
      <c r="C20" t="s">
        <v>6068</v>
      </c>
      <c r="D20">
        <f>+COUNTIF(DRA!P:Q,A20)</f>
        <v>4</v>
      </c>
      <c r="E20">
        <f>+COUNTIF(DRA!R:S,A20)</f>
        <v>0</v>
      </c>
      <c r="F20" t="s">
        <v>10562</v>
      </c>
    </row>
    <row r="21" spans="1:6" x14ac:dyDescent="0.2">
      <c r="A21" t="s">
        <v>8954</v>
      </c>
      <c r="B21">
        <v>1020002</v>
      </c>
      <c r="C21" t="s">
        <v>6068</v>
      </c>
      <c r="D21">
        <f>+COUNTIF(DRA!P:Q,A21)</f>
        <v>3</v>
      </c>
      <c r="E21">
        <f>+COUNTIF(DRA!R:S,A21)</f>
        <v>0</v>
      </c>
      <c r="F21" t="s">
        <v>10563</v>
      </c>
    </row>
    <row r="22" spans="1:6" x14ac:dyDescent="0.2">
      <c r="A22" t="s">
        <v>10116</v>
      </c>
      <c r="B22">
        <v>1010152</v>
      </c>
      <c r="C22" t="s">
        <v>6068</v>
      </c>
      <c r="D22">
        <f>+COUNTIF(DRA!P:Q,A22)</f>
        <v>1</v>
      </c>
      <c r="E22">
        <f>+COUNTIF(DRA!R:S,A22)</f>
        <v>0</v>
      </c>
      <c r="F22" t="s">
        <v>10564</v>
      </c>
    </row>
    <row r="23" spans="1:6" x14ac:dyDescent="0.2">
      <c r="A23" t="s">
        <v>8686</v>
      </c>
      <c r="B23">
        <v>1010152</v>
      </c>
      <c r="C23" t="s">
        <v>6068</v>
      </c>
      <c r="D23">
        <f>+COUNTIF(DRA!P:Q,A23)</f>
        <v>5</v>
      </c>
      <c r="E23">
        <f>+COUNTIF(DRA!R:S,A23)</f>
        <v>0</v>
      </c>
      <c r="F23" t="s">
        <v>10565</v>
      </c>
    </row>
    <row r="24" spans="1:6" x14ac:dyDescent="0.2">
      <c r="A24" t="s">
        <v>9136</v>
      </c>
      <c r="B24">
        <v>1090001</v>
      </c>
      <c r="C24" t="s">
        <v>6068</v>
      </c>
      <c r="D24">
        <f>+COUNTIF(DRA!P:Q,A24)</f>
        <v>1</v>
      </c>
      <c r="E24">
        <f>+COUNTIF(DRA!R:S,A24)</f>
        <v>0</v>
      </c>
      <c r="F24" t="s">
        <v>10566</v>
      </c>
    </row>
    <row r="25" spans="1:6" x14ac:dyDescent="0.2">
      <c r="A25" t="s">
        <v>10128</v>
      </c>
      <c r="B25">
        <v>1010007</v>
      </c>
      <c r="C25" t="s">
        <v>6068</v>
      </c>
      <c r="D25">
        <f>+COUNTIF(DRA!P:Q,A25)</f>
        <v>1</v>
      </c>
      <c r="E25">
        <f>+COUNTIF(DRA!R:S,A25)</f>
        <v>0</v>
      </c>
      <c r="F25" t="s">
        <v>10567</v>
      </c>
    </row>
    <row r="26" spans="1:6" x14ac:dyDescent="0.2">
      <c r="A26" t="s">
        <v>8832</v>
      </c>
      <c r="B26">
        <v>1010066</v>
      </c>
      <c r="C26" t="s">
        <v>6068</v>
      </c>
      <c r="D26">
        <f>+COUNTIF(DRA!P:Q,A26)</f>
        <v>1</v>
      </c>
      <c r="E26">
        <f>+COUNTIF(DRA!R:S,A26)</f>
        <v>0</v>
      </c>
      <c r="F26" t="s">
        <v>10568</v>
      </c>
    </row>
    <row r="27" spans="1:6" x14ac:dyDescent="0.2">
      <c r="A27" t="s">
        <v>8897</v>
      </c>
      <c r="B27">
        <v>1010067</v>
      </c>
      <c r="C27" t="s">
        <v>6068</v>
      </c>
      <c r="D27">
        <f>+COUNTIF(DRA!P:Q,A27)</f>
        <v>1</v>
      </c>
      <c r="E27">
        <f>+COUNTIF(DRA!R:S,A27)</f>
        <v>0</v>
      </c>
      <c r="F27" t="s">
        <v>10569</v>
      </c>
    </row>
    <row r="28" spans="1:6" x14ac:dyDescent="0.2">
      <c r="A28" t="s">
        <v>8687</v>
      </c>
      <c r="B28">
        <v>1070002</v>
      </c>
      <c r="C28" t="s">
        <v>6068</v>
      </c>
      <c r="D28">
        <f>+COUNTIF(DRA!P:Q,A28)</f>
        <v>1</v>
      </c>
      <c r="E28">
        <f>+COUNTIF(DRA!R:S,A28)</f>
        <v>0</v>
      </c>
      <c r="F28" t="s">
        <v>10570</v>
      </c>
    </row>
    <row r="29" spans="1:6" x14ac:dyDescent="0.2">
      <c r="A29" t="s">
        <v>9893</v>
      </c>
      <c r="B29">
        <v>1020001</v>
      </c>
      <c r="C29" t="s">
        <v>6068</v>
      </c>
      <c r="D29">
        <f>+COUNTIF(DRA!P:Q,A29)</f>
        <v>1</v>
      </c>
      <c r="E29">
        <f>+COUNTIF(DRA!R:S,A29)</f>
        <v>0</v>
      </c>
      <c r="F29" t="s">
        <v>10571</v>
      </c>
    </row>
    <row r="30" spans="1:6" x14ac:dyDescent="0.2">
      <c r="A30" t="s">
        <v>9306</v>
      </c>
      <c r="B30">
        <v>1020001</v>
      </c>
      <c r="C30" t="s">
        <v>6068</v>
      </c>
      <c r="D30">
        <f>+COUNTIF(DRA!P:Q,A30)</f>
        <v>1</v>
      </c>
      <c r="E30">
        <f>+COUNTIF(DRA!R:S,A30)</f>
        <v>0</v>
      </c>
      <c r="F30" t="s">
        <v>10572</v>
      </c>
    </row>
    <row r="31" spans="1:6" x14ac:dyDescent="0.2">
      <c r="A31" t="s">
        <v>10165</v>
      </c>
      <c r="B31">
        <v>1020004</v>
      </c>
      <c r="C31" t="s">
        <v>6068</v>
      </c>
      <c r="D31">
        <f>+COUNTIF(DRA!P:Q,A31)</f>
        <v>1</v>
      </c>
      <c r="E31">
        <f>+COUNTIF(DRA!R:S,A31)</f>
        <v>0</v>
      </c>
      <c r="F31" t="s">
        <v>10573</v>
      </c>
    </row>
    <row r="32" spans="1:6" x14ac:dyDescent="0.2">
      <c r="A32" t="s">
        <v>9933</v>
      </c>
      <c r="B32">
        <v>1020006</v>
      </c>
      <c r="C32" t="s">
        <v>6068</v>
      </c>
      <c r="D32">
        <f>+COUNTIF(DRA!P:Q,A32)</f>
        <v>1</v>
      </c>
      <c r="E32">
        <f>+COUNTIF(DRA!R:S,A32)</f>
        <v>0</v>
      </c>
      <c r="F32" t="s">
        <v>10574</v>
      </c>
    </row>
    <row r="33" spans="1:6" x14ac:dyDescent="0.2">
      <c r="A33" t="s">
        <v>9608</v>
      </c>
      <c r="B33">
        <v>1020006</v>
      </c>
      <c r="C33" t="s">
        <v>6068</v>
      </c>
      <c r="D33">
        <f>+COUNTIF(DRA!P:Q,A33)</f>
        <v>1</v>
      </c>
      <c r="E33">
        <f>+COUNTIF(DRA!R:S,A33)</f>
        <v>0</v>
      </c>
      <c r="F33" t="s">
        <v>10575</v>
      </c>
    </row>
    <row r="34" spans="1:6" x14ac:dyDescent="0.2">
      <c r="A34" t="s">
        <v>8672</v>
      </c>
      <c r="B34">
        <v>1020006</v>
      </c>
      <c r="C34" t="s">
        <v>6068</v>
      </c>
      <c r="D34">
        <f>+COUNTIF(DRA!P:Q,A34)</f>
        <v>1</v>
      </c>
      <c r="E34">
        <f>+COUNTIF(DRA!R:S,A34)</f>
        <v>0</v>
      </c>
      <c r="F34" t="s">
        <v>10576</v>
      </c>
    </row>
    <row r="35" spans="1:6" x14ac:dyDescent="0.2">
      <c r="A35" t="s">
        <v>9458</v>
      </c>
      <c r="B35">
        <v>1020002</v>
      </c>
      <c r="C35" t="s">
        <v>6068</v>
      </c>
      <c r="D35">
        <f>+COUNTIF(DRA!P:Q,A35)</f>
        <v>1</v>
      </c>
      <c r="E35">
        <f>+COUNTIF(DRA!R:S,A35)</f>
        <v>0</v>
      </c>
      <c r="F35" t="s">
        <v>10577</v>
      </c>
    </row>
    <row r="36" spans="1:6" x14ac:dyDescent="0.2">
      <c r="A36" t="s">
        <v>9971</v>
      </c>
      <c r="B36">
        <v>1020002</v>
      </c>
      <c r="C36" t="s">
        <v>6068</v>
      </c>
      <c r="D36">
        <f>+COUNTIF(DRA!P:Q,A36)</f>
        <v>1</v>
      </c>
      <c r="E36">
        <f>+COUNTIF(DRA!R:S,A36)</f>
        <v>0</v>
      </c>
      <c r="F36" t="s">
        <v>10578</v>
      </c>
    </row>
    <row r="37" spans="1:6" x14ac:dyDescent="0.2">
      <c r="A37" t="s">
        <v>9196</v>
      </c>
      <c r="B37">
        <v>1020002</v>
      </c>
      <c r="C37" t="s">
        <v>6068</v>
      </c>
      <c r="D37">
        <f>+COUNTIF(DRA!P:Q,A37)</f>
        <v>1</v>
      </c>
      <c r="E37">
        <f>+COUNTIF(DRA!R:S,A37)</f>
        <v>0</v>
      </c>
      <c r="F37" t="s">
        <v>10579</v>
      </c>
    </row>
    <row r="38" spans="1:6" x14ac:dyDescent="0.2">
      <c r="A38" t="s">
        <v>9666</v>
      </c>
      <c r="B38">
        <v>1020002</v>
      </c>
      <c r="C38" t="s">
        <v>6068</v>
      </c>
      <c r="D38">
        <f>+COUNTIF(DRA!P:Q,A38)</f>
        <v>2</v>
      </c>
      <c r="E38">
        <f>+COUNTIF(DRA!R:S,A38)</f>
        <v>0</v>
      </c>
      <c r="F38" t="s">
        <v>10580</v>
      </c>
    </row>
    <row r="39" spans="1:6" x14ac:dyDescent="0.2">
      <c r="A39" t="s">
        <v>9364</v>
      </c>
      <c r="B39">
        <v>1020002</v>
      </c>
      <c r="C39" t="s">
        <v>6068</v>
      </c>
      <c r="D39">
        <f>+COUNTIF(DRA!P:Q,A39)</f>
        <v>1</v>
      </c>
      <c r="E39">
        <f>+COUNTIF(DRA!R:S,A39)</f>
        <v>0</v>
      </c>
      <c r="F39" t="s">
        <v>10581</v>
      </c>
    </row>
    <row r="40" spans="1:6" x14ac:dyDescent="0.2">
      <c r="A40" t="s">
        <v>9556</v>
      </c>
      <c r="B40">
        <v>1020023</v>
      </c>
      <c r="C40" t="s">
        <v>6068</v>
      </c>
      <c r="D40">
        <f>+COUNTIF(DRA!P:Q,A40)</f>
        <v>1</v>
      </c>
      <c r="E40">
        <f>+COUNTIF(DRA!R:S,A40)</f>
        <v>0</v>
      </c>
      <c r="F40" t="s">
        <v>10582</v>
      </c>
    </row>
    <row r="41" spans="1:6" x14ac:dyDescent="0.2">
      <c r="A41" t="s">
        <v>10164</v>
      </c>
      <c r="B41">
        <v>1020002</v>
      </c>
      <c r="C41" t="s">
        <v>6068</v>
      </c>
      <c r="D41">
        <f>+COUNTIF(DRA!P:Q,A41)</f>
        <v>1</v>
      </c>
      <c r="E41">
        <f>+COUNTIF(DRA!R:S,A41)</f>
        <v>0</v>
      </c>
      <c r="F41" t="s">
        <v>10583</v>
      </c>
    </row>
    <row r="42" spans="1:6" x14ac:dyDescent="0.2">
      <c r="A42" t="s">
        <v>8831</v>
      </c>
      <c r="B42">
        <v>1020002</v>
      </c>
      <c r="C42" t="s">
        <v>6068</v>
      </c>
      <c r="D42">
        <f>+COUNTIF(DRA!P:Q,A42)</f>
        <v>1</v>
      </c>
      <c r="E42">
        <f>+COUNTIF(DRA!R:S,A42)</f>
        <v>0</v>
      </c>
      <c r="F42" t="s">
        <v>10584</v>
      </c>
    </row>
    <row r="43" spans="1:6" x14ac:dyDescent="0.2">
      <c r="A43" t="s">
        <v>9780</v>
      </c>
      <c r="B43">
        <v>1020002</v>
      </c>
      <c r="C43" t="s">
        <v>6068</v>
      </c>
      <c r="D43">
        <f>+COUNTIF(DRA!P:Q,A43)</f>
        <v>2</v>
      </c>
      <c r="E43">
        <f>+COUNTIF(DRA!R:S,A43)</f>
        <v>0</v>
      </c>
      <c r="F43" t="s">
        <v>10585</v>
      </c>
    </row>
    <row r="44" spans="1:6" x14ac:dyDescent="0.2">
      <c r="A44" t="s">
        <v>10127</v>
      </c>
      <c r="B44">
        <v>1020002</v>
      </c>
      <c r="C44" t="s">
        <v>6068</v>
      </c>
      <c r="D44">
        <f>+COUNTIF(DRA!P:Q,A44)</f>
        <v>1</v>
      </c>
      <c r="E44">
        <f>+COUNTIF(DRA!R:S,A44)</f>
        <v>0</v>
      </c>
      <c r="F44" t="s">
        <v>10586</v>
      </c>
    </row>
    <row r="45" spans="1:6" x14ac:dyDescent="0.2">
      <c r="A45" t="s">
        <v>9011</v>
      </c>
      <c r="B45">
        <v>1020002</v>
      </c>
      <c r="C45" t="s">
        <v>6068</v>
      </c>
      <c r="D45">
        <f>+COUNTIF(DRA!P:Q,A45)</f>
        <v>2</v>
      </c>
      <c r="E45">
        <f>+COUNTIF(DRA!R:S,A45)</f>
        <v>0</v>
      </c>
      <c r="F45" t="s">
        <v>10587</v>
      </c>
    </row>
    <row r="46" spans="1:6" x14ac:dyDescent="0.2">
      <c r="A46" t="s">
        <v>8107</v>
      </c>
      <c r="B46">
        <v>1090001</v>
      </c>
      <c r="C46" t="s">
        <v>6068</v>
      </c>
      <c r="D46">
        <f>+COUNTIF(DRA!P:Q,A46)</f>
        <v>1</v>
      </c>
      <c r="E46">
        <f>+COUNTIF(DRA!R:S,A46)</f>
        <v>0</v>
      </c>
      <c r="F46" t="s">
        <v>10588</v>
      </c>
    </row>
    <row r="47" spans="1:6" x14ac:dyDescent="0.2">
      <c r="A47" t="s">
        <v>9173</v>
      </c>
      <c r="B47">
        <v>1090004</v>
      </c>
      <c r="C47" t="s">
        <v>6068</v>
      </c>
      <c r="D47">
        <f>+COUNTIF(DRA!P:Q,A47)</f>
        <v>1</v>
      </c>
      <c r="E47">
        <f>+COUNTIF(DRA!R:S,A47)</f>
        <v>0</v>
      </c>
      <c r="F47" t="s">
        <v>10589</v>
      </c>
    </row>
    <row r="48" spans="1:6" x14ac:dyDescent="0.2">
      <c r="A48" t="s">
        <v>8989</v>
      </c>
      <c r="B48">
        <v>1020011</v>
      </c>
      <c r="C48" t="s">
        <v>6068</v>
      </c>
      <c r="D48">
        <f>+COUNTIF(DRA!P:Q,A48)</f>
        <v>1</v>
      </c>
      <c r="E48">
        <f>+COUNTIF(DRA!R:S,A48)</f>
        <v>0</v>
      </c>
      <c r="F48" t="s">
        <v>10590</v>
      </c>
    </row>
    <row r="49" spans="1:6" x14ac:dyDescent="0.2">
      <c r="A49" t="s">
        <v>9816</v>
      </c>
      <c r="B49">
        <v>1010135</v>
      </c>
      <c r="C49" t="s">
        <v>6068</v>
      </c>
      <c r="D49">
        <f>+COUNTIF(DRA!P:Q,A49)</f>
        <v>1</v>
      </c>
      <c r="E49">
        <f>+COUNTIF(DRA!R:S,A49)</f>
        <v>0</v>
      </c>
      <c r="F49" t="s">
        <v>10591</v>
      </c>
    </row>
    <row r="50" spans="1:6" x14ac:dyDescent="0.2">
      <c r="A50" t="s">
        <v>8735</v>
      </c>
      <c r="B50">
        <v>1070004</v>
      </c>
      <c r="C50" t="s">
        <v>6068</v>
      </c>
      <c r="D50">
        <f>+COUNTIF(DRA!P:Q,A50)</f>
        <v>1</v>
      </c>
      <c r="E50">
        <f>+COUNTIF(DRA!R:S,A50)</f>
        <v>0</v>
      </c>
      <c r="F50" t="s">
        <v>10592</v>
      </c>
    </row>
    <row r="51" spans="1:6" x14ac:dyDescent="0.2">
      <c r="A51" t="s">
        <v>9917</v>
      </c>
      <c r="B51">
        <v>1020001</v>
      </c>
      <c r="C51" t="s">
        <v>6068</v>
      </c>
      <c r="D51">
        <f>+COUNTIF(DRA!P:Q,A51)</f>
        <v>1</v>
      </c>
      <c r="E51">
        <f>+COUNTIF(DRA!R:S,A51)</f>
        <v>0</v>
      </c>
      <c r="F51" t="s">
        <v>10593</v>
      </c>
    </row>
    <row r="52" spans="1:6" x14ac:dyDescent="0.2">
      <c r="A52" t="s">
        <v>10072</v>
      </c>
      <c r="B52">
        <v>1020001</v>
      </c>
      <c r="C52" t="s">
        <v>6068</v>
      </c>
      <c r="D52">
        <f>+COUNTIF(DRA!P:Q,A52)</f>
        <v>1</v>
      </c>
      <c r="E52">
        <f>+COUNTIF(DRA!R:S,A52)</f>
        <v>0</v>
      </c>
      <c r="F52" t="s">
        <v>10594</v>
      </c>
    </row>
    <row r="53" spans="1:6" x14ac:dyDescent="0.2">
      <c r="A53" t="s">
        <v>7359</v>
      </c>
      <c r="B53">
        <v>1010003</v>
      </c>
      <c r="C53" t="s">
        <v>6068</v>
      </c>
      <c r="D53">
        <f>+COUNTIF(DRA!P:Q,A53)</f>
        <v>1</v>
      </c>
      <c r="E53">
        <f>+COUNTIF(DRA!R:S,A53)</f>
        <v>0</v>
      </c>
      <c r="F53" t="s">
        <v>7360</v>
      </c>
    </row>
    <row r="54" spans="1:6" x14ac:dyDescent="0.2">
      <c r="A54" t="s">
        <v>9955</v>
      </c>
      <c r="B54">
        <v>1020006</v>
      </c>
      <c r="C54" t="s">
        <v>6068</v>
      </c>
      <c r="D54">
        <f>+COUNTIF(DRA!P:Q,A54)</f>
        <v>1</v>
      </c>
      <c r="E54">
        <f>+COUNTIF(DRA!R:S,A54)</f>
        <v>0</v>
      </c>
      <c r="F54" t="s">
        <v>10595</v>
      </c>
    </row>
    <row r="55" spans="1:6" x14ac:dyDescent="0.2">
      <c r="A55" t="s">
        <v>9231</v>
      </c>
      <c r="B55">
        <v>1020006</v>
      </c>
      <c r="C55" t="s">
        <v>6068</v>
      </c>
      <c r="D55">
        <f>+COUNTIF(DRA!P:Q,A55)</f>
        <v>1</v>
      </c>
      <c r="E55">
        <f>+COUNTIF(DRA!R:S,A55)</f>
        <v>0</v>
      </c>
      <c r="F55" t="s">
        <v>10596</v>
      </c>
    </row>
    <row r="56" spans="1:6" x14ac:dyDescent="0.2">
      <c r="A56" t="s">
        <v>9645</v>
      </c>
      <c r="B56">
        <v>1020006</v>
      </c>
      <c r="C56" t="s">
        <v>6068</v>
      </c>
      <c r="D56">
        <f>+COUNTIF(DRA!P:Q,A56)</f>
        <v>1</v>
      </c>
      <c r="E56">
        <f>+COUNTIF(DRA!R:S,A56)</f>
        <v>0</v>
      </c>
      <c r="F56" t="s">
        <v>10597</v>
      </c>
    </row>
    <row r="57" spans="1:6" x14ac:dyDescent="0.2">
      <c r="A57" t="s">
        <v>10201</v>
      </c>
      <c r="B57">
        <v>1020002</v>
      </c>
      <c r="C57" t="s">
        <v>6068</v>
      </c>
      <c r="D57">
        <f>+COUNTIF(DRA!P:Q,A57)</f>
        <v>1</v>
      </c>
      <c r="E57">
        <f>+COUNTIF(DRA!R:S,A57)</f>
        <v>0</v>
      </c>
      <c r="F57" t="s">
        <v>10598</v>
      </c>
    </row>
    <row r="58" spans="1:6" x14ac:dyDescent="0.2">
      <c r="A58" t="s">
        <v>9995</v>
      </c>
      <c r="B58">
        <v>1020002</v>
      </c>
      <c r="C58" t="s">
        <v>6068</v>
      </c>
      <c r="D58">
        <f>+COUNTIF(DRA!P:Q,A58)</f>
        <v>1</v>
      </c>
      <c r="E58">
        <f>+COUNTIF(DRA!R:S,A58)</f>
        <v>0</v>
      </c>
      <c r="F58" t="s">
        <v>10599</v>
      </c>
    </row>
    <row r="59" spans="1:6" x14ac:dyDescent="0.2">
      <c r="A59" t="s">
        <v>8932</v>
      </c>
      <c r="B59">
        <v>1020002</v>
      </c>
      <c r="C59" t="s">
        <v>6068</v>
      </c>
      <c r="D59">
        <f>+COUNTIF(DRA!P:Q,A59)</f>
        <v>1</v>
      </c>
      <c r="E59">
        <f>+COUNTIF(DRA!R:S,A59)</f>
        <v>0</v>
      </c>
      <c r="F59" t="s">
        <v>10600</v>
      </c>
    </row>
    <row r="60" spans="1:6" x14ac:dyDescent="0.2">
      <c r="A60" t="s">
        <v>9050</v>
      </c>
      <c r="B60">
        <v>1020002</v>
      </c>
      <c r="C60" t="s">
        <v>6068</v>
      </c>
      <c r="D60">
        <f>+COUNTIF(DRA!P:Q,A60)</f>
        <v>1</v>
      </c>
      <c r="E60">
        <f>+COUNTIF(DRA!R:S,A60)</f>
        <v>0</v>
      </c>
      <c r="F60" t="s">
        <v>10601</v>
      </c>
    </row>
    <row r="61" spans="1:6" x14ac:dyDescent="0.2">
      <c r="A61" t="s">
        <v>9758</v>
      </c>
      <c r="B61">
        <v>1020002</v>
      </c>
      <c r="C61" t="s">
        <v>6068</v>
      </c>
      <c r="D61">
        <f>+COUNTIF(DRA!P:Q,A61)</f>
        <v>1</v>
      </c>
      <c r="E61">
        <f>+COUNTIF(DRA!R:S,A61)</f>
        <v>0</v>
      </c>
      <c r="F61" t="s">
        <v>10602</v>
      </c>
    </row>
    <row r="62" spans="1:6" x14ac:dyDescent="0.2">
      <c r="A62" t="s">
        <v>8747</v>
      </c>
      <c r="B62">
        <v>1020002</v>
      </c>
      <c r="C62" t="s">
        <v>6068</v>
      </c>
      <c r="D62">
        <f>+COUNTIF(DRA!P:Q,A62)</f>
        <v>1</v>
      </c>
      <c r="E62">
        <f>+COUNTIF(DRA!R:S,A62)</f>
        <v>0</v>
      </c>
      <c r="F62" t="s">
        <v>10603</v>
      </c>
    </row>
    <row r="63" spans="1:6" x14ac:dyDescent="0.2">
      <c r="A63" t="s">
        <v>10212</v>
      </c>
      <c r="B63">
        <v>1010012</v>
      </c>
      <c r="C63" t="s">
        <v>6068</v>
      </c>
      <c r="D63">
        <f>+COUNTIF(DRA!P:Q,A63)</f>
        <v>1</v>
      </c>
      <c r="E63">
        <f>+COUNTIF(DRA!R:S,A63)</f>
        <v>0</v>
      </c>
      <c r="F63" t="s">
        <v>10604</v>
      </c>
    </row>
    <row r="64" spans="1:6" x14ac:dyDescent="0.2">
      <c r="A64" t="s">
        <v>9815</v>
      </c>
      <c r="B64">
        <v>1020002</v>
      </c>
      <c r="C64" t="s">
        <v>6068</v>
      </c>
      <c r="D64">
        <f>+COUNTIF(DRA!P:Q,A64)</f>
        <v>1</v>
      </c>
      <c r="E64">
        <f>+COUNTIF(DRA!R:S,A64)</f>
        <v>0</v>
      </c>
      <c r="F64" t="s">
        <v>10605</v>
      </c>
    </row>
    <row r="65" spans="1:6" x14ac:dyDescent="0.2">
      <c r="A65" t="s">
        <v>9582</v>
      </c>
      <c r="B65">
        <v>1020023</v>
      </c>
      <c r="C65" t="s">
        <v>6068</v>
      </c>
      <c r="D65">
        <f>+COUNTIF(DRA!P:Q,A65)</f>
        <v>1</v>
      </c>
      <c r="E65">
        <f>+COUNTIF(DRA!R:S,A65)</f>
        <v>0</v>
      </c>
      <c r="F65" t="s">
        <v>10606</v>
      </c>
    </row>
    <row r="66" spans="1:6" x14ac:dyDescent="0.2">
      <c r="A66" t="s">
        <v>9049</v>
      </c>
      <c r="B66">
        <v>1020002</v>
      </c>
      <c r="C66" t="s">
        <v>6068</v>
      </c>
      <c r="D66">
        <f>+COUNTIF(DRA!P:Q,A66)</f>
        <v>1</v>
      </c>
      <c r="E66">
        <f>+COUNTIF(DRA!R:S,A66)</f>
        <v>0</v>
      </c>
      <c r="F66" t="s">
        <v>10607</v>
      </c>
    </row>
    <row r="67" spans="1:6" x14ac:dyDescent="0.2">
      <c r="A67" t="s">
        <v>10190</v>
      </c>
      <c r="B67">
        <v>1010013</v>
      </c>
      <c r="C67" t="s">
        <v>6068</v>
      </c>
      <c r="D67">
        <f>+COUNTIF(DRA!P:Q,A67)</f>
        <v>1</v>
      </c>
      <c r="E67">
        <f>+COUNTIF(DRA!R:S,A67)</f>
        <v>0</v>
      </c>
      <c r="F67" t="s">
        <v>10608</v>
      </c>
    </row>
    <row r="68" spans="1:6" x14ac:dyDescent="0.2">
      <c r="A68" t="s">
        <v>8871</v>
      </c>
      <c r="B68">
        <v>1020002</v>
      </c>
      <c r="C68" t="s">
        <v>6068</v>
      </c>
      <c r="D68">
        <f>+COUNTIF(DRA!P:Q,A68)</f>
        <v>1</v>
      </c>
      <c r="E68">
        <f>+COUNTIF(DRA!R:S,A68)</f>
        <v>0</v>
      </c>
      <c r="F68" t="s">
        <v>10609</v>
      </c>
    </row>
    <row r="69" spans="1:6" x14ac:dyDescent="0.2">
      <c r="A69" t="s">
        <v>9872</v>
      </c>
      <c r="B69">
        <v>1020002</v>
      </c>
      <c r="C69" t="s">
        <v>6068</v>
      </c>
      <c r="D69">
        <f>+COUNTIF(DRA!P:Q,A69)</f>
        <v>1</v>
      </c>
      <c r="E69">
        <f>+COUNTIF(DRA!R:S,A69)</f>
        <v>0</v>
      </c>
      <c r="F69" t="s">
        <v>10610</v>
      </c>
    </row>
    <row r="70" spans="1:6" x14ac:dyDescent="0.2">
      <c r="A70" t="s">
        <v>9172</v>
      </c>
      <c r="B70">
        <v>1020002</v>
      </c>
      <c r="C70" t="s">
        <v>6068</v>
      </c>
      <c r="D70">
        <f>+COUNTIF(DRA!P:Q,A70)</f>
        <v>1</v>
      </c>
      <c r="E70">
        <f>+COUNTIF(DRA!R:S,A70)</f>
        <v>0</v>
      </c>
      <c r="F70" t="s">
        <v>10611</v>
      </c>
    </row>
    <row r="71" spans="1:6" x14ac:dyDescent="0.2">
      <c r="A71" t="s">
        <v>8872</v>
      </c>
      <c r="B71">
        <v>1010066</v>
      </c>
      <c r="C71" t="s">
        <v>6068</v>
      </c>
      <c r="D71">
        <f>+COUNTIF(DRA!P:Q,A71)</f>
        <v>1</v>
      </c>
      <c r="E71">
        <f>+COUNTIF(DRA!R:S,A71)</f>
        <v>0</v>
      </c>
      <c r="F71" t="s">
        <v>10612</v>
      </c>
    </row>
    <row r="72" spans="1:6" x14ac:dyDescent="0.2">
      <c r="A72" t="s">
        <v>10213</v>
      </c>
      <c r="B72">
        <v>1010012</v>
      </c>
      <c r="C72" t="s">
        <v>6068</v>
      </c>
      <c r="D72">
        <f>+COUNTIF(DRA!P:Q,A72)</f>
        <v>1</v>
      </c>
      <c r="E72">
        <f>+COUNTIF(DRA!R:S,A72)</f>
        <v>0</v>
      </c>
      <c r="F72" t="s">
        <v>10613</v>
      </c>
    </row>
    <row r="73" spans="1:6" x14ac:dyDescent="0.2">
      <c r="A73" t="s">
        <v>9185</v>
      </c>
      <c r="B73">
        <v>1090005</v>
      </c>
      <c r="C73" t="s">
        <v>6068</v>
      </c>
      <c r="D73">
        <f>+COUNTIF(DRA!P:Q,A73)</f>
        <v>1</v>
      </c>
      <c r="E73">
        <f>+COUNTIF(DRA!R:S,A73)</f>
        <v>0</v>
      </c>
      <c r="F73" t="s">
        <v>10614</v>
      </c>
    </row>
    <row r="74" spans="1:6" x14ac:dyDescent="0.2">
      <c r="A74" t="s">
        <v>9000</v>
      </c>
      <c r="B74">
        <v>1020011</v>
      </c>
      <c r="C74" t="s">
        <v>6068</v>
      </c>
      <c r="D74">
        <f>+COUNTIF(DRA!P:Q,A74)</f>
        <v>1</v>
      </c>
      <c r="E74">
        <f>+COUNTIF(DRA!R:S,A74)</f>
        <v>0</v>
      </c>
      <c r="F74" t="s">
        <v>10615</v>
      </c>
    </row>
    <row r="75" spans="1:6" x14ac:dyDescent="0.2">
      <c r="A75" t="s">
        <v>10263</v>
      </c>
      <c r="B75">
        <v>1010002</v>
      </c>
      <c r="C75" t="s">
        <v>6068</v>
      </c>
      <c r="D75">
        <f>+COUNTIF(DRA!P:Q,A75)</f>
        <v>1</v>
      </c>
      <c r="E75">
        <f>+COUNTIF(DRA!R:S,A75)</f>
        <v>0</v>
      </c>
      <c r="F75" t="s">
        <v>10616</v>
      </c>
    </row>
    <row r="76" spans="1:6" x14ac:dyDescent="0.2">
      <c r="A76" t="s">
        <v>7792</v>
      </c>
      <c r="B76">
        <v>1020022</v>
      </c>
      <c r="C76" t="s">
        <v>6068</v>
      </c>
      <c r="D76">
        <f>+COUNTIF(DRA!P:Q,A76)</f>
        <v>1</v>
      </c>
      <c r="E76">
        <f>+COUNTIF(DRA!R:S,A76)</f>
        <v>0</v>
      </c>
      <c r="F76" t="s">
        <v>7793</v>
      </c>
    </row>
    <row r="77" spans="1:6" x14ac:dyDescent="0.2">
      <c r="A77" t="s">
        <v>7183</v>
      </c>
      <c r="B77">
        <v>1010002</v>
      </c>
      <c r="C77" t="s">
        <v>6068</v>
      </c>
      <c r="D77">
        <f>+COUNTIF(DRA!P:Q,A77)</f>
        <v>1</v>
      </c>
      <c r="E77">
        <f>+COUNTIF(DRA!R:S,A77)</f>
        <v>0</v>
      </c>
      <c r="F77" t="s">
        <v>7184</v>
      </c>
    </row>
    <row r="78" spans="1:6" x14ac:dyDescent="0.2">
      <c r="A78" t="s">
        <v>9592</v>
      </c>
      <c r="B78">
        <v>1070001</v>
      </c>
      <c r="C78" t="s">
        <v>6068</v>
      </c>
      <c r="D78">
        <f>+COUNTIF(DRA!P:Q,A78)</f>
        <v>1</v>
      </c>
      <c r="E78">
        <f>+COUNTIF(DRA!R:S,A78)</f>
        <v>0</v>
      </c>
      <c r="F78" t="s">
        <v>10617</v>
      </c>
    </row>
    <row r="79" spans="1:6" x14ac:dyDescent="0.2">
      <c r="A79" t="s">
        <v>9924</v>
      </c>
      <c r="B79">
        <v>1020001</v>
      </c>
      <c r="C79" t="s">
        <v>6068</v>
      </c>
      <c r="D79">
        <f>+COUNTIF(DRA!P:Q,A79)</f>
        <v>1</v>
      </c>
      <c r="E79">
        <f>+COUNTIF(DRA!R:S,A79)</f>
        <v>0</v>
      </c>
      <c r="F79" t="s">
        <v>10618</v>
      </c>
    </row>
    <row r="80" spans="1:6" x14ac:dyDescent="0.2">
      <c r="A80" t="s">
        <v>8885</v>
      </c>
      <c r="B80">
        <v>1020001</v>
      </c>
      <c r="C80" t="s">
        <v>6068</v>
      </c>
      <c r="D80">
        <f>+COUNTIF(DRA!P:Q,A80)</f>
        <v>1</v>
      </c>
      <c r="E80">
        <f>+COUNTIF(DRA!R:S,A80)</f>
        <v>0</v>
      </c>
      <c r="F80" t="s">
        <v>10619</v>
      </c>
    </row>
    <row r="81" spans="1:6" x14ac:dyDescent="0.2">
      <c r="A81" t="s">
        <v>10082</v>
      </c>
      <c r="B81">
        <v>1020001</v>
      </c>
      <c r="C81" t="s">
        <v>6068</v>
      </c>
      <c r="D81">
        <f>+COUNTIF(DRA!P:Q,A81)</f>
        <v>1</v>
      </c>
      <c r="E81">
        <f>+COUNTIF(DRA!R:S,A81)</f>
        <v>0</v>
      </c>
      <c r="F81" t="s">
        <v>10620</v>
      </c>
    </row>
    <row r="82" spans="1:6" x14ac:dyDescent="0.2">
      <c r="A82" t="s">
        <v>10238</v>
      </c>
      <c r="B82">
        <v>1020001</v>
      </c>
      <c r="C82" t="s">
        <v>6068</v>
      </c>
      <c r="D82">
        <f>+COUNTIF(DRA!P:Q,A82)</f>
        <v>1</v>
      </c>
      <c r="E82">
        <f>+COUNTIF(DRA!R:S,A82)</f>
        <v>0</v>
      </c>
      <c r="F82" t="s">
        <v>10621</v>
      </c>
    </row>
    <row r="83" spans="1:6" x14ac:dyDescent="0.2">
      <c r="A83" t="s">
        <v>9962</v>
      </c>
      <c r="B83">
        <v>1020006</v>
      </c>
      <c r="C83" t="s">
        <v>6068</v>
      </c>
      <c r="D83">
        <f>+COUNTIF(DRA!P:Q,A83)</f>
        <v>1</v>
      </c>
      <c r="E83">
        <f>+COUNTIF(DRA!R:S,A83)</f>
        <v>0</v>
      </c>
      <c r="F83" t="s">
        <v>10622</v>
      </c>
    </row>
    <row r="84" spans="1:6" x14ac:dyDescent="0.2">
      <c r="A84" t="s">
        <v>9353</v>
      </c>
      <c r="B84">
        <v>1020006</v>
      </c>
      <c r="C84" t="s">
        <v>6068</v>
      </c>
      <c r="D84">
        <f>+COUNTIF(DRA!P:Q,A84)</f>
        <v>2</v>
      </c>
      <c r="E84">
        <f>+COUNTIF(DRA!R:S,A84)</f>
        <v>0</v>
      </c>
      <c r="F84" t="s">
        <v>10623</v>
      </c>
    </row>
    <row r="85" spans="1:6" x14ac:dyDescent="0.2">
      <c r="A85" t="s">
        <v>9769</v>
      </c>
      <c r="B85">
        <v>1020006</v>
      </c>
      <c r="C85" t="s">
        <v>6068</v>
      </c>
      <c r="D85">
        <f>+COUNTIF(DRA!P:Q,A85)</f>
        <v>1</v>
      </c>
      <c r="E85">
        <f>+COUNTIF(DRA!R:S,A85)</f>
        <v>0</v>
      </c>
      <c r="F85" t="s">
        <v>10624</v>
      </c>
    </row>
    <row r="86" spans="1:6" x14ac:dyDescent="0.2">
      <c r="A86" t="s">
        <v>10225</v>
      </c>
      <c r="B86">
        <v>1020002</v>
      </c>
      <c r="C86" t="s">
        <v>6068</v>
      </c>
      <c r="D86">
        <f>+COUNTIF(DRA!P:Q,A86)</f>
        <v>1</v>
      </c>
      <c r="E86">
        <f>+COUNTIF(DRA!R:S,A86)</f>
        <v>0</v>
      </c>
      <c r="F86" t="s">
        <v>10625</v>
      </c>
    </row>
    <row r="87" spans="1:6" x14ac:dyDescent="0.2">
      <c r="A87" t="s">
        <v>10001</v>
      </c>
      <c r="B87">
        <v>1020002</v>
      </c>
      <c r="C87" t="s">
        <v>6068</v>
      </c>
      <c r="D87">
        <f>+COUNTIF(DRA!P:Q,A87)</f>
        <v>1</v>
      </c>
      <c r="E87">
        <f>+COUNTIF(DRA!R:S,A87)</f>
        <v>0</v>
      </c>
      <c r="F87" t="s">
        <v>10626</v>
      </c>
    </row>
    <row r="88" spans="1:6" x14ac:dyDescent="0.2">
      <c r="A88" t="s">
        <v>9242</v>
      </c>
      <c r="B88">
        <v>1020002</v>
      </c>
      <c r="C88" t="s">
        <v>6068</v>
      </c>
      <c r="D88">
        <f>+COUNTIF(DRA!P:Q,A88)</f>
        <v>2</v>
      </c>
      <c r="E88">
        <f>+COUNTIF(DRA!R:S,A88)</f>
        <v>0</v>
      </c>
      <c r="F88" t="s">
        <v>10627</v>
      </c>
    </row>
    <row r="89" spans="1:6" x14ac:dyDescent="0.2">
      <c r="A89" t="s">
        <v>9001</v>
      </c>
      <c r="B89">
        <v>1020002</v>
      </c>
      <c r="C89" t="s">
        <v>6068</v>
      </c>
      <c r="D89">
        <f>+COUNTIF(DRA!P:Q,A89)</f>
        <v>1</v>
      </c>
      <c r="E89">
        <f>+COUNTIF(DRA!R:S,A89)</f>
        <v>0</v>
      </c>
      <c r="F89" t="s">
        <v>10628</v>
      </c>
    </row>
    <row r="90" spans="1:6" x14ac:dyDescent="0.2">
      <c r="A90" t="s">
        <v>10153</v>
      </c>
      <c r="B90">
        <v>1020002</v>
      </c>
      <c r="C90" t="s">
        <v>6068</v>
      </c>
      <c r="D90">
        <f>+COUNTIF(DRA!P:Q,A90)</f>
        <v>1</v>
      </c>
      <c r="E90">
        <f>+COUNTIF(DRA!R:S,A90)</f>
        <v>0</v>
      </c>
      <c r="F90" t="s">
        <v>10629</v>
      </c>
    </row>
    <row r="91" spans="1:6" x14ac:dyDescent="0.2">
      <c r="A91" t="s">
        <v>9828</v>
      </c>
      <c r="B91">
        <v>1010039</v>
      </c>
      <c r="C91" t="s">
        <v>6068</v>
      </c>
      <c r="D91">
        <f>+COUNTIF(DRA!P:Q,A91)</f>
        <v>1</v>
      </c>
      <c r="E91">
        <f>+COUNTIF(DRA!R:S,A91)</f>
        <v>0</v>
      </c>
      <c r="F91" t="s">
        <v>10630</v>
      </c>
    </row>
    <row r="92" spans="1:6" x14ac:dyDescent="0.2">
      <c r="A92" t="s">
        <v>9545</v>
      </c>
      <c r="B92">
        <v>1020002</v>
      </c>
      <c r="C92" t="s">
        <v>6068</v>
      </c>
      <c r="D92">
        <f>+COUNTIF(DRA!P:Q,A92)</f>
        <v>1</v>
      </c>
      <c r="E92">
        <f>+COUNTIF(DRA!R:S,A92)</f>
        <v>0</v>
      </c>
      <c r="F92" t="s">
        <v>10631</v>
      </c>
    </row>
    <row r="93" spans="1:6" x14ac:dyDescent="0.2">
      <c r="A93" t="s">
        <v>8759</v>
      </c>
      <c r="B93">
        <v>1020002</v>
      </c>
      <c r="C93" t="s">
        <v>6068</v>
      </c>
      <c r="D93">
        <f>+COUNTIF(DRA!P:Q,A93)</f>
        <v>1</v>
      </c>
      <c r="E93">
        <f>+COUNTIF(DRA!R:S,A93)</f>
        <v>0</v>
      </c>
      <c r="F93" t="s">
        <v>10632</v>
      </c>
    </row>
    <row r="94" spans="1:6" x14ac:dyDescent="0.2">
      <c r="A94" t="s">
        <v>8943</v>
      </c>
      <c r="B94">
        <v>1020029</v>
      </c>
      <c r="C94" t="s">
        <v>6068</v>
      </c>
      <c r="D94">
        <f>+COUNTIF(DRA!P:Q,A94)</f>
        <v>1</v>
      </c>
      <c r="E94">
        <f>+COUNTIF(DRA!R:S,A94)</f>
        <v>0</v>
      </c>
      <c r="F94" t="s">
        <v>10633</v>
      </c>
    </row>
    <row r="95" spans="1:6" x14ac:dyDescent="0.2">
      <c r="A95" t="s">
        <v>8770</v>
      </c>
      <c r="B95">
        <v>1020002</v>
      </c>
      <c r="C95" t="s">
        <v>6068</v>
      </c>
      <c r="D95">
        <f>+COUNTIF(DRA!P:Q,A95)</f>
        <v>1</v>
      </c>
      <c r="E95">
        <f>+COUNTIF(DRA!R:S,A95)</f>
        <v>0</v>
      </c>
      <c r="F95" t="s">
        <v>10634</v>
      </c>
    </row>
    <row r="96" spans="1:6" x14ac:dyDescent="0.2">
      <c r="A96" t="s">
        <v>9883</v>
      </c>
      <c r="B96">
        <v>1020002</v>
      </c>
      <c r="C96" t="s">
        <v>6068</v>
      </c>
      <c r="D96">
        <f>+COUNTIF(DRA!P:Q,A96)</f>
        <v>1</v>
      </c>
      <c r="E96">
        <f>+COUNTIF(DRA!R:S,A96)</f>
        <v>0</v>
      </c>
      <c r="F96" t="s">
        <v>10635</v>
      </c>
    </row>
    <row r="97" spans="1:6" x14ac:dyDescent="0.2">
      <c r="A97" t="s">
        <v>9061</v>
      </c>
      <c r="B97">
        <v>1020002</v>
      </c>
      <c r="C97" t="s">
        <v>6068</v>
      </c>
      <c r="D97">
        <f>+COUNTIF(DRA!P:Q,A97)</f>
        <v>1</v>
      </c>
      <c r="E97">
        <f>+COUNTIF(DRA!R:S,A97)</f>
        <v>0</v>
      </c>
      <c r="F97" t="s">
        <v>10636</v>
      </c>
    </row>
    <row r="98" spans="1:6" x14ac:dyDescent="0.2">
      <c r="A98" t="s">
        <v>10237</v>
      </c>
      <c r="B98">
        <v>1020002</v>
      </c>
      <c r="C98" t="s">
        <v>6068</v>
      </c>
      <c r="D98">
        <f>+COUNTIF(DRA!P:Q,A98)</f>
        <v>1</v>
      </c>
      <c r="E98">
        <f>+COUNTIF(DRA!R:S,A98)</f>
        <v>0</v>
      </c>
      <c r="F98" t="s">
        <v>10637</v>
      </c>
    </row>
    <row r="99" spans="1:6" x14ac:dyDescent="0.2">
      <c r="A99" t="s">
        <v>8884</v>
      </c>
      <c r="B99">
        <v>1010061</v>
      </c>
      <c r="C99" t="s">
        <v>6068</v>
      </c>
      <c r="D99">
        <f>+COUNTIF(DRA!P:Q,A99)</f>
        <v>1</v>
      </c>
      <c r="E99">
        <f>+COUNTIF(DRA!R:S,A99)</f>
        <v>0</v>
      </c>
      <c r="F99" t="s">
        <v>10638</v>
      </c>
    </row>
    <row r="100" spans="1:6" x14ac:dyDescent="0.2">
      <c r="A100" t="s">
        <v>9184</v>
      </c>
      <c r="B100">
        <v>1020002</v>
      </c>
      <c r="C100" t="s">
        <v>6068</v>
      </c>
      <c r="D100">
        <f>+COUNTIF(DRA!P:Q,A100)</f>
        <v>1</v>
      </c>
      <c r="E100">
        <f>+COUNTIF(DRA!R:S,A100)</f>
        <v>0</v>
      </c>
      <c r="F100" t="s">
        <v>10639</v>
      </c>
    </row>
    <row r="101" spans="1:6" x14ac:dyDescent="0.2">
      <c r="A101" t="s">
        <v>10264</v>
      </c>
      <c r="B101">
        <v>1010002</v>
      </c>
      <c r="C101" t="s">
        <v>6068</v>
      </c>
      <c r="D101">
        <f>+COUNTIF(DRA!P:Q,A101)</f>
        <v>1</v>
      </c>
      <c r="E101">
        <f>+COUNTIF(DRA!R:S,A101)</f>
        <v>0</v>
      </c>
      <c r="F101" t="s">
        <v>10640</v>
      </c>
    </row>
    <row r="102" spans="1:6" x14ac:dyDescent="0.2">
      <c r="A102" t="s">
        <v>8847</v>
      </c>
      <c r="B102">
        <v>1010066</v>
      </c>
      <c r="C102" t="s">
        <v>6068</v>
      </c>
      <c r="D102">
        <f>+COUNTIF(DRA!P:Q,A102)</f>
        <v>1</v>
      </c>
      <c r="E102">
        <f>+COUNTIF(DRA!R:S,A102)</f>
        <v>0</v>
      </c>
      <c r="F102" t="s">
        <v>10641</v>
      </c>
    </row>
    <row r="103" spans="1:6" x14ac:dyDescent="0.2">
      <c r="A103" t="s">
        <v>9150</v>
      </c>
      <c r="B103">
        <v>1090002</v>
      </c>
      <c r="C103" t="s">
        <v>6068</v>
      </c>
      <c r="D103">
        <f>+COUNTIF(DRA!P:Q,A103)</f>
        <v>1</v>
      </c>
      <c r="E103">
        <f>+COUNTIF(DRA!R:S,A103)</f>
        <v>0</v>
      </c>
      <c r="F103" t="s">
        <v>10642</v>
      </c>
    </row>
    <row r="104" spans="1:6" x14ac:dyDescent="0.2">
      <c r="A104" t="s">
        <v>9793</v>
      </c>
      <c r="B104">
        <v>1010127</v>
      </c>
      <c r="C104" t="s">
        <v>6068</v>
      </c>
      <c r="D104">
        <f>+COUNTIF(DRA!P:Q,A104)</f>
        <v>1</v>
      </c>
      <c r="E104">
        <f>+COUNTIF(DRA!R:S,A104)</f>
        <v>0</v>
      </c>
      <c r="F104" t="s">
        <v>10643</v>
      </c>
    </row>
    <row r="105" spans="1:6" x14ac:dyDescent="0.2">
      <c r="A105" t="s">
        <v>9735</v>
      </c>
      <c r="B105">
        <v>1020004</v>
      </c>
      <c r="C105" t="s">
        <v>6068</v>
      </c>
      <c r="D105">
        <f>+COUNTIF(DRA!P:Q,A105)</f>
        <v>1</v>
      </c>
      <c r="E105">
        <f>+COUNTIF(DRA!R:S,A105)</f>
        <v>0</v>
      </c>
      <c r="F105" t="s">
        <v>10644</v>
      </c>
    </row>
    <row r="106" spans="1:6" x14ac:dyDescent="0.2">
      <c r="A106" t="s">
        <v>9025</v>
      </c>
      <c r="B106">
        <v>1010002</v>
      </c>
      <c r="C106" t="s">
        <v>6068</v>
      </c>
      <c r="D106">
        <f>+COUNTIF(DRA!P:Q,A106)</f>
        <v>1</v>
      </c>
      <c r="E106">
        <f>+COUNTIF(DRA!R:S,A106)</f>
        <v>0</v>
      </c>
      <c r="F106" t="s">
        <v>10645</v>
      </c>
    </row>
    <row r="107" spans="1:6" x14ac:dyDescent="0.2">
      <c r="A107" t="s">
        <v>8783</v>
      </c>
      <c r="B107">
        <v>1010179</v>
      </c>
      <c r="C107" t="s">
        <v>6068</v>
      </c>
      <c r="D107">
        <f>+COUNTIF(DRA!P:Q,A107)</f>
        <v>1</v>
      </c>
      <c r="E107">
        <f>+COUNTIF(DRA!R:S,A107)</f>
        <v>0</v>
      </c>
      <c r="F107" t="s">
        <v>10646</v>
      </c>
    </row>
    <row r="108" spans="1:6" x14ac:dyDescent="0.2">
      <c r="A108" t="s">
        <v>9902</v>
      </c>
      <c r="B108">
        <v>1020001</v>
      </c>
      <c r="C108" t="s">
        <v>6068</v>
      </c>
      <c r="D108">
        <f>+COUNTIF(DRA!P:Q,A108)</f>
        <v>1</v>
      </c>
      <c r="E108">
        <f>+COUNTIF(DRA!R:S,A108)</f>
        <v>0</v>
      </c>
      <c r="F108" t="s">
        <v>10647</v>
      </c>
    </row>
    <row r="109" spans="1:6" x14ac:dyDescent="0.2">
      <c r="A109" t="s">
        <v>9209</v>
      </c>
      <c r="B109">
        <v>1020001</v>
      </c>
      <c r="C109" t="s">
        <v>6068</v>
      </c>
      <c r="D109">
        <f>+COUNTIF(DRA!P:Q,A109)</f>
        <v>1</v>
      </c>
      <c r="E109">
        <f>+COUNTIF(DRA!R:S,A109)</f>
        <v>0</v>
      </c>
      <c r="F109" t="s">
        <v>10648</v>
      </c>
    </row>
    <row r="110" spans="1:6" x14ac:dyDescent="0.2">
      <c r="A110" t="s">
        <v>9679</v>
      </c>
      <c r="B110">
        <v>1020001</v>
      </c>
      <c r="C110" t="s">
        <v>6068</v>
      </c>
      <c r="D110">
        <f>+COUNTIF(DRA!P:Q,A110)</f>
        <v>1</v>
      </c>
      <c r="E110">
        <f>+COUNTIF(DRA!R:S,A110)</f>
        <v>0</v>
      </c>
      <c r="F110" t="s">
        <v>10649</v>
      </c>
    </row>
    <row r="111" spans="1:6" x14ac:dyDescent="0.2">
      <c r="A111" t="s">
        <v>10050</v>
      </c>
      <c r="B111">
        <v>1020001</v>
      </c>
      <c r="C111" t="s">
        <v>6068</v>
      </c>
      <c r="D111">
        <f>+COUNTIF(DRA!P:Q,A111)</f>
        <v>1</v>
      </c>
      <c r="E111">
        <f>+COUNTIF(DRA!R:S,A111)</f>
        <v>0</v>
      </c>
      <c r="F111" t="s">
        <v>10650</v>
      </c>
    </row>
    <row r="112" spans="1:6" x14ac:dyDescent="0.2">
      <c r="A112" t="s">
        <v>9680</v>
      </c>
      <c r="B112">
        <v>1020004</v>
      </c>
      <c r="C112" t="s">
        <v>6068</v>
      </c>
      <c r="D112">
        <f>+COUNTIF(DRA!P:Q,A112)</f>
        <v>1</v>
      </c>
      <c r="E112">
        <f>+COUNTIF(DRA!R:S,A112)</f>
        <v>0</v>
      </c>
      <c r="F112" t="s">
        <v>10651</v>
      </c>
    </row>
    <row r="113" spans="1:6" x14ac:dyDescent="0.2">
      <c r="A113" t="s">
        <v>9941</v>
      </c>
      <c r="B113">
        <v>1020006</v>
      </c>
      <c r="C113" t="s">
        <v>6068</v>
      </c>
      <c r="D113">
        <f>+COUNTIF(DRA!P:Q,A113)</f>
        <v>1</v>
      </c>
      <c r="E113">
        <f>+COUNTIF(DRA!R:S,A113)</f>
        <v>0</v>
      </c>
      <c r="F113" t="s">
        <v>10652</v>
      </c>
    </row>
    <row r="114" spans="1:6" x14ac:dyDescent="0.2">
      <c r="A114" t="s">
        <v>9623</v>
      </c>
      <c r="B114">
        <v>1020006</v>
      </c>
      <c r="C114" t="s">
        <v>6068</v>
      </c>
      <c r="D114">
        <f>+COUNTIF(DRA!P:Q,A114)</f>
        <v>2</v>
      </c>
      <c r="E114">
        <f>+COUNTIF(DRA!R:S,A114)</f>
        <v>0</v>
      </c>
      <c r="F114" t="s">
        <v>10653</v>
      </c>
    </row>
    <row r="115" spans="1:6" x14ac:dyDescent="0.2">
      <c r="A115" t="s">
        <v>8782</v>
      </c>
      <c r="B115">
        <v>1010142</v>
      </c>
      <c r="C115" t="s">
        <v>6068</v>
      </c>
      <c r="D115">
        <f>+COUNTIF(DRA!P:Q,A115)</f>
        <v>1</v>
      </c>
      <c r="E115">
        <f>+COUNTIF(DRA!R:S,A115)</f>
        <v>0</v>
      </c>
      <c r="F115" t="s">
        <v>10654</v>
      </c>
    </row>
    <row r="116" spans="1:6" x14ac:dyDescent="0.2">
      <c r="A116" t="s">
        <v>9980</v>
      </c>
      <c r="B116">
        <v>1020002</v>
      </c>
      <c r="C116" t="s">
        <v>6068</v>
      </c>
      <c r="D116">
        <f>+COUNTIF(DRA!P:Q,A116)</f>
        <v>1</v>
      </c>
      <c r="E116">
        <f>+COUNTIF(DRA!R:S,A116)</f>
        <v>0</v>
      </c>
      <c r="F116" t="s">
        <v>10655</v>
      </c>
    </row>
    <row r="117" spans="1:6" x14ac:dyDescent="0.2">
      <c r="A117" t="s">
        <v>7315</v>
      </c>
      <c r="B117">
        <v>1020029</v>
      </c>
      <c r="C117" t="s">
        <v>6068</v>
      </c>
      <c r="D117">
        <f>+COUNTIF(DRA!P:Q,A117)</f>
        <v>1</v>
      </c>
      <c r="E117">
        <f>+COUNTIF(DRA!R:S,A117)</f>
        <v>0</v>
      </c>
      <c r="F117" t="s">
        <v>7316</v>
      </c>
    </row>
    <row r="118" spans="1:6" x14ac:dyDescent="0.2">
      <c r="A118" t="s">
        <v>8699</v>
      </c>
      <c r="B118">
        <v>1020002</v>
      </c>
      <c r="C118" t="s">
        <v>6068</v>
      </c>
      <c r="D118">
        <f>+COUNTIF(DRA!P:Q,A118)</f>
        <v>2</v>
      </c>
      <c r="E118">
        <f>+COUNTIF(DRA!R:S,A118)</f>
        <v>0</v>
      </c>
      <c r="F118" t="s">
        <v>10656</v>
      </c>
    </row>
    <row r="119" spans="1:6" x14ac:dyDescent="0.2">
      <c r="A119" t="s">
        <v>8846</v>
      </c>
      <c r="B119">
        <v>1020002</v>
      </c>
      <c r="C119" t="s">
        <v>6068</v>
      </c>
      <c r="D119">
        <f>+COUNTIF(DRA!P:Q,A119)</f>
        <v>1</v>
      </c>
      <c r="E119">
        <f>+COUNTIF(DRA!R:S,A119)</f>
        <v>0</v>
      </c>
      <c r="F119" t="s">
        <v>10657</v>
      </c>
    </row>
    <row r="120" spans="1:6" x14ac:dyDescent="0.2">
      <c r="A120" t="s">
        <v>9850</v>
      </c>
      <c r="B120">
        <v>1020002</v>
      </c>
      <c r="C120" t="s">
        <v>6068</v>
      </c>
      <c r="D120">
        <f>+COUNTIF(DRA!P:Q,A120)</f>
        <v>1</v>
      </c>
      <c r="E120">
        <f>+COUNTIF(DRA!R:S,A120)</f>
        <v>0</v>
      </c>
      <c r="F120" t="s">
        <v>10658</v>
      </c>
    </row>
    <row r="121" spans="1:6" x14ac:dyDescent="0.2">
      <c r="A121" t="s">
        <v>9149</v>
      </c>
      <c r="B121">
        <v>1020002</v>
      </c>
      <c r="C121" t="s">
        <v>6068</v>
      </c>
      <c r="D121">
        <f>+COUNTIF(DRA!P:Q,A121)</f>
        <v>2</v>
      </c>
      <c r="E121">
        <f>+COUNTIF(DRA!R:S,A121)</f>
        <v>0</v>
      </c>
      <c r="F121" t="s">
        <v>10659</v>
      </c>
    </row>
    <row r="122" spans="1:6" x14ac:dyDescent="0.2">
      <c r="A122" t="s">
        <v>9161</v>
      </c>
      <c r="B122">
        <v>1090003</v>
      </c>
      <c r="C122" t="s">
        <v>6068</v>
      </c>
      <c r="D122">
        <f>+COUNTIF(DRA!P:Q,A122)</f>
        <v>1</v>
      </c>
      <c r="E122">
        <f>+COUNTIF(DRA!R:S,A122)</f>
        <v>0</v>
      </c>
      <c r="F122" t="s">
        <v>10660</v>
      </c>
    </row>
    <row r="123" spans="1:6" x14ac:dyDescent="0.2">
      <c r="A123" t="s">
        <v>9038</v>
      </c>
      <c r="B123">
        <v>1010182</v>
      </c>
      <c r="C123" t="s">
        <v>6068</v>
      </c>
      <c r="D123">
        <f>+COUNTIF(DRA!P:Q,A123)</f>
        <v>1</v>
      </c>
      <c r="E123">
        <f>+COUNTIF(DRA!R:S,A123)</f>
        <v>0</v>
      </c>
      <c r="F123" t="s">
        <v>10661</v>
      </c>
    </row>
    <row r="124" spans="1:6" x14ac:dyDescent="0.2">
      <c r="A124" t="s">
        <v>9571</v>
      </c>
      <c r="B124">
        <v>1010101</v>
      </c>
      <c r="C124" t="s">
        <v>6068</v>
      </c>
      <c r="D124">
        <f>+COUNTIF(DRA!P:Q,A124)</f>
        <v>1</v>
      </c>
      <c r="E124">
        <f>+COUNTIF(DRA!R:S,A124)</f>
        <v>0</v>
      </c>
      <c r="F124" t="s">
        <v>10662</v>
      </c>
    </row>
    <row r="125" spans="1:6" x14ac:dyDescent="0.2">
      <c r="A125" t="s">
        <v>8859</v>
      </c>
      <c r="B125">
        <v>1010066</v>
      </c>
      <c r="C125" t="s">
        <v>6068</v>
      </c>
      <c r="D125">
        <f>+COUNTIF(DRA!P:Q,A125)</f>
        <v>1</v>
      </c>
      <c r="E125">
        <f>+COUNTIF(DRA!R:S,A125)</f>
        <v>0</v>
      </c>
      <c r="F125" t="s">
        <v>10663</v>
      </c>
    </row>
    <row r="126" spans="1:6" x14ac:dyDescent="0.2">
      <c r="A126" t="s">
        <v>9804</v>
      </c>
      <c r="B126">
        <v>1010013</v>
      </c>
      <c r="C126" t="s">
        <v>6068</v>
      </c>
      <c r="D126">
        <f>+COUNTIF(DRA!P:Q,A126)</f>
        <v>1</v>
      </c>
      <c r="E126">
        <f>+COUNTIF(DRA!R:S,A126)</f>
        <v>0</v>
      </c>
      <c r="F126" t="s">
        <v>10664</v>
      </c>
    </row>
    <row r="127" spans="1:6" x14ac:dyDescent="0.2">
      <c r="A127" t="s">
        <v>10105</v>
      </c>
      <c r="B127">
        <v>1020022</v>
      </c>
      <c r="C127" t="s">
        <v>6068</v>
      </c>
      <c r="D127">
        <f>+COUNTIF(DRA!P:Q,A127)</f>
        <v>1</v>
      </c>
      <c r="E127">
        <f>+COUNTIF(DRA!R:S,A127)</f>
        <v>0</v>
      </c>
      <c r="F127" t="s">
        <v>10665</v>
      </c>
    </row>
    <row r="128" spans="1:6" x14ac:dyDescent="0.2">
      <c r="A128" t="s">
        <v>10179</v>
      </c>
      <c r="B128">
        <v>1010002</v>
      </c>
      <c r="C128" t="s">
        <v>6068</v>
      </c>
      <c r="D128">
        <f>+COUNTIF(DRA!P:Q,A128)</f>
        <v>1</v>
      </c>
      <c r="E128">
        <f>+COUNTIF(DRA!R:S,A128)</f>
        <v>0</v>
      </c>
      <c r="F128" t="s">
        <v>10666</v>
      </c>
    </row>
    <row r="129" spans="1:6" x14ac:dyDescent="0.2">
      <c r="A129" t="s">
        <v>8711</v>
      </c>
      <c r="B129">
        <v>1070001</v>
      </c>
      <c r="C129" t="s">
        <v>6068</v>
      </c>
      <c r="D129">
        <f>+COUNTIF(DRA!P:Q,A129)</f>
        <v>1</v>
      </c>
      <c r="E129">
        <f>+COUNTIF(DRA!R:S,A129)</f>
        <v>0</v>
      </c>
      <c r="F129" t="s">
        <v>10667</v>
      </c>
    </row>
    <row r="130" spans="1:6" x14ac:dyDescent="0.2">
      <c r="A130" t="s">
        <v>9910</v>
      </c>
      <c r="B130">
        <v>1020001</v>
      </c>
      <c r="C130" t="s">
        <v>6068</v>
      </c>
      <c r="D130">
        <f>+COUNTIF(DRA!P:Q,A130)</f>
        <v>1</v>
      </c>
      <c r="E130">
        <f>+COUNTIF(DRA!R:S,A130)</f>
        <v>0</v>
      </c>
      <c r="F130" t="s">
        <v>10668</v>
      </c>
    </row>
    <row r="131" spans="1:6" x14ac:dyDescent="0.2">
      <c r="A131" t="s">
        <v>10063</v>
      </c>
      <c r="B131">
        <v>1020001</v>
      </c>
      <c r="C131" t="s">
        <v>6068</v>
      </c>
      <c r="D131">
        <f>+COUNTIF(DRA!P:Q,A131)</f>
        <v>1</v>
      </c>
      <c r="E131">
        <f>+COUNTIF(DRA!R:S,A131)</f>
        <v>0</v>
      </c>
      <c r="F131" t="s">
        <v>10669</v>
      </c>
    </row>
    <row r="132" spans="1:6" x14ac:dyDescent="0.2">
      <c r="A132" t="s">
        <v>8723</v>
      </c>
      <c r="B132">
        <v>1020001</v>
      </c>
      <c r="C132" t="s">
        <v>6068</v>
      </c>
      <c r="D132">
        <f>+COUNTIF(DRA!P:Q,A132)</f>
        <v>1</v>
      </c>
      <c r="E132">
        <f>+COUNTIF(DRA!R:S,A132)</f>
        <v>0</v>
      </c>
      <c r="F132" t="s">
        <v>10670</v>
      </c>
    </row>
    <row r="133" spans="1:6" x14ac:dyDescent="0.2">
      <c r="A133" t="s">
        <v>9747</v>
      </c>
      <c r="B133">
        <v>1020004</v>
      </c>
      <c r="C133" t="s">
        <v>6068</v>
      </c>
      <c r="D133">
        <f>+COUNTIF(DRA!P:Q,A133)</f>
        <v>1</v>
      </c>
      <c r="E133">
        <f>+COUNTIF(DRA!R:S,A133)</f>
        <v>0</v>
      </c>
      <c r="F133" t="s">
        <v>10671</v>
      </c>
    </row>
    <row r="134" spans="1:6" x14ac:dyDescent="0.2">
      <c r="A134" t="s">
        <v>9948</v>
      </c>
      <c r="B134">
        <v>1020006</v>
      </c>
      <c r="C134" t="s">
        <v>6068</v>
      </c>
      <c r="D134">
        <f>+COUNTIF(DRA!P:Q,A134)</f>
        <v>1</v>
      </c>
      <c r="E134">
        <f>+COUNTIF(DRA!R:S,A134)</f>
        <v>0</v>
      </c>
      <c r="F134" t="s">
        <v>10672</v>
      </c>
    </row>
    <row r="135" spans="1:6" x14ac:dyDescent="0.2">
      <c r="A135" t="s">
        <v>9220</v>
      </c>
      <c r="B135">
        <v>1020006</v>
      </c>
      <c r="C135" t="s">
        <v>6068</v>
      </c>
      <c r="D135">
        <f>+COUNTIF(DRA!P:Q,A135)</f>
        <v>1</v>
      </c>
      <c r="E135">
        <f>+COUNTIF(DRA!R:S,A135)</f>
        <v>0</v>
      </c>
      <c r="F135" t="s">
        <v>10673</v>
      </c>
    </row>
    <row r="136" spans="1:6" x14ac:dyDescent="0.2">
      <c r="A136" t="s">
        <v>9634</v>
      </c>
      <c r="B136">
        <v>1020006</v>
      </c>
      <c r="C136" t="s">
        <v>6068</v>
      </c>
      <c r="D136">
        <f>+COUNTIF(DRA!P:Q,A136)</f>
        <v>1</v>
      </c>
      <c r="E136">
        <f>+COUNTIF(DRA!R:S,A136)</f>
        <v>0</v>
      </c>
      <c r="F136" t="s">
        <v>10674</v>
      </c>
    </row>
    <row r="137" spans="1:6" x14ac:dyDescent="0.2">
      <c r="A137" t="s">
        <v>10178</v>
      </c>
      <c r="B137">
        <v>1020006</v>
      </c>
      <c r="C137" t="s">
        <v>6068</v>
      </c>
      <c r="D137">
        <f>+COUNTIF(DRA!P:Q,A137)</f>
        <v>1</v>
      </c>
      <c r="E137">
        <f>+COUNTIF(DRA!R:S,A137)</f>
        <v>0</v>
      </c>
      <c r="F137" t="s">
        <v>10675</v>
      </c>
    </row>
    <row r="138" spans="1:6" x14ac:dyDescent="0.2">
      <c r="A138" t="s">
        <v>8797</v>
      </c>
      <c r="B138">
        <v>1010142</v>
      </c>
      <c r="C138" t="s">
        <v>6068</v>
      </c>
      <c r="D138">
        <f>+COUNTIF(DRA!P:Q,A138)</f>
        <v>1</v>
      </c>
      <c r="E138">
        <f>+COUNTIF(DRA!R:S,A138)</f>
        <v>0</v>
      </c>
      <c r="F138" t="s">
        <v>10676</v>
      </c>
    </row>
    <row r="139" spans="1:6" x14ac:dyDescent="0.2">
      <c r="A139" t="s">
        <v>9987</v>
      </c>
      <c r="B139">
        <v>1020002</v>
      </c>
      <c r="C139" t="s">
        <v>6068</v>
      </c>
      <c r="D139">
        <f>+COUNTIF(DRA!P:Q,A139)</f>
        <v>1</v>
      </c>
      <c r="E139">
        <f>+COUNTIF(DRA!R:S,A139)</f>
        <v>0</v>
      </c>
      <c r="F139" t="s">
        <v>10677</v>
      </c>
    </row>
    <row r="140" spans="1:6" x14ac:dyDescent="0.2">
      <c r="A140" t="s">
        <v>10142</v>
      </c>
      <c r="B140">
        <v>1020002</v>
      </c>
      <c r="C140" t="s">
        <v>6068</v>
      </c>
      <c r="D140">
        <f>+COUNTIF(DRA!P:Q,A140)</f>
        <v>1</v>
      </c>
      <c r="E140">
        <f>+COUNTIF(DRA!R:S,A140)</f>
        <v>0</v>
      </c>
      <c r="F140" t="s">
        <v>10678</v>
      </c>
    </row>
    <row r="141" spans="1:6" x14ac:dyDescent="0.2">
      <c r="A141" t="s">
        <v>8921</v>
      </c>
      <c r="B141">
        <v>1020002</v>
      </c>
      <c r="C141" t="s">
        <v>6068</v>
      </c>
      <c r="D141">
        <f>+COUNTIF(DRA!P:Q,A141)</f>
        <v>1</v>
      </c>
      <c r="E141">
        <f>+COUNTIF(DRA!R:S,A141)</f>
        <v>0</v>
      </c>
      <c r="F141" t="s">
        <v>10679</v>
      </c>
    </row>
    <row r="142" spans="1:6" x14ac:dyDescent="0.2">
      <c r="A142" t="s">
        <v>9384</v>
      </c>
      <c r="B142">
        <v>1020002</v>
      </c>
      <c r="C142" t="s">
        <v>6068</v>
      </c>
      <c r="D142">
        <f>+COUNTIF(DRA!P:Q,A142)</f>
        <v>1</v>
      </c>
      <c r="E142">
        <f>+COUNTIF(DRA!R:S,A142)</f>
        <v>0</v>
      </c>
      <c r="F142" t="s">
        <v>10680</v>
      </c>
    </row>
    <row r="143" spans="1:6" x14ac:dyDescent="0.2">
      <c r="A143" t="s">
        <v>9570</v>
      </c>
      <c r="B143">
        <v>1020023</v>
      </c>
      <c r="C143" t="s">
        <v>6068</v>
      </c>
      <c r="D143">
        <f>+COUNTIF(DRA!P:Q,A143)</f>
        <v>1</v>
      </c>
      <c r="E143">
        <f>+COUNTIF(DRA!R:S,A143)</f>
        <v>0</v>
      </c>
      <c r="F143" t="s">
        <v>10681</v>
      </c>
    </row>
    <row r="144" spans="1:6" x14ac:dyDescent="0.2">
      <c r="A144" t="s">
        <v>9746</v>
      </c>
      <c r="B144">
        <v>1020002</v>
      </c>
      <c r="C144" t="s">
        <v>6068</v>
      </c>
      <c r="D144">
        <f>+COUNTIF(DRA!P:Q,A144)</f>
        <v>1</v>
      </c>
      <c r="E144">
        <f>+COUNTIF(DRA!R:S,A144)</f>
        <v>0</v>
      </c>
      <c r="F144" t="s">
        <v>10682</v>
      </c>
    </row>
    <row r="145" spans="1:6" x14ac:dyDescent="0.2">
      <c r="A145" t="s">
        <v>8858</v>
      </c>
      <c r="B145">
        <v>1020002</v>
      </c>
      <c r="C145" t="s">
        <v>6068</v>
      </c>
      <c r="D145">
        <f>+COUNTIF(DRA!P:Q,A145)</f>
        <v>1</v>
      </c>
      <c r="E145">
        <f>+COUNTIF(DRA!R:S,A145)</f>
        <v>0</v>
      </c>
      <c r="F145" t="s">
        <v>10683</v>
      </c>
    </row>
    <row r="146" spans="1:6" x14ac:dyDescent="0.2">
      <c r="A146" t="s">
        <v>9861</v>
      </c>
      <c r="B146">
        <v>1020002</v>
      </c>
      <c r="C146" t="s">
        <v>6068</v>
      </c>
      <c r="D146">
        <f>+COUNTIF(DRA!P:Q,A146)</f>
        <v>1</v>
      </c>
      <c r="E146">
        <f>+COUNTIF(DRA!R:S,A146)</f>
        <v>0</v>
      </c>
      <c r="F146" t="s">
        <v>10684</v>
      </c>
    </row>
    <row r="147" spans="1:6" x14ac:dyDescent="0.2">
      <c r="A147" t="s">
        <v>9037</v>
      </c>
      <c r="B147">
        <v>1020002</v>
      </c>
      <c r="C147" t="s">
        <v>6068</v>
      </c>
      <c r="D147">
        <f>+COUNTIF(DRA!P:Q,A147)</f>
        <v>3</v>
      </c>
      <c r="E147">
        <f>+COUNTIF(DRA!R:S,A147)</f>
        <v>0</v>
      </c>
      <c r="F147" t="s">
        <v>10685</v>
      </c>
    </row>
    <row r="148" spans="1:6" x14ac:dyDescent="0.2">
      <c r="A148" t="s">
        <v>8798</v>
      </c>
      <c r="B148">
        <v>1010143</v>
      </c>
      <c r="C148" t="s">
        <v>6068</v>
      </c>
      <c r="D148">
        <f>+COUNTIF(DRA!P:Q,A148)</f>
        <v>1</v>
      </c>
      <c r="E148">
        <f>+COUNTIF(DRA!R:S,A148)</f>
        <v>0</v>
      </c>
      <c r="F148" t="s">
        <v>10686</v>
      </c>
    </row>
    <row r="149" spans="1:6" x14ac:dyDescent="0.2">
      <c r="A149" t="s">
        <v>9092</v>
      </c>
      <c r="B149">
        <v>1010003</v>
      </c>
      <c r="C149" t="s">
        <v>6068</v>
      </c>
      <c r="D149">
        <f>+COUNTIF(DRA!P:Q,A149)</f>
        <v>1</v>
      </c>
      <c r="E149">
        <f>+COUNTIF(DRA!R:S,A149)</f>
        <v>0</v>
      </c>
      <c r="F149" t="s">
        <v>10687</v>
      </c>
    </row>
    <row r="150" spans="1:6" x14ac:dyDescent="0.2">
      <c r="A150" t="s">
        <v>7011</v>
      </c>
      <c r="B150">
        <v>1010002</v>
      </c>
      <c r="C150" t="s">
        <v>6068</v>
      </c>
      <c r="D150">
        <f>+COUNTIF(DRA!P:Q,A150)</f>
        <v>1</v>
      </c>
      <c r="E150">
        <f>+COUNTIF(DRA!R:S,A150)</f>
        <v>0</v>
      </c>
      <c r="F150" t="s">
        <v>7012</v>
      </c>
    </row>
    <row r="151" spans="1:6" x14ac:dyDescent="0.2">
      <c r="A151" t="s">
        <v>7759</v>
      </c>
      <c r="B151">
        <v>1010003</v>
      </c>
      <c r="C151" t="s">
        <v>6068</v>
      </c>
      <c r="D151">
        <f>+COUNTIF(DRA!P:Q,A151)</f>
        <v>1</v>
      </c>
      <c r="E151">
        <f>+COUNTIF(DRA!R:S,A151)</f>
        <v>0</v>
      </c>
      <c r="F151" t="s">
        <v>7760</v>
      </c>
    </row>
    <row r="152" spans="1:6" x14ac:dyDescent="0.2">
      <c r="A152" t="s">
        <v>7974</v>
      </c>
      <c r="B152">
        <v>1010003</v>
      </c>
      <c r="C152" t="s">
        <v>6068</v>
      </c>
      <c r="D152">
        <f>+COUNTIF(DRA!P:Q,A152)</f>
        <v>1</v>
      </c>
      <c r="E152">
        <f>+COUNTIF(DRA!R:S,A152)</f>
        <v>0</v>
      </c>
      <c r="F152" t="s">
        <v>7975</v>
      </c>
    </row>
    <row r="153" spans="1:6" x14ac:dyDescent="0.2">
      <c r="A153" t="s">
        <v>7601</v>
      </c>
      <c r="B153">
        <v>1020006</v>
      </c>
      <c r="C153" t="s">
        <v>6068</v>
      </c>
      <c r="D153">
        <f>+COUNTIF(DRA!P:Q,A153)</f>
        <v>5</v>
      </c>
      <c r="E153">
        <f>+COUNTIF(DRA!R:S,A153)</f>
        <v>8</v>
      </c>
      <c r="F153" t="s">
        <v>7602</v>
      </c>
    </row>
    <row r="154" spans="1:6" x14ac:dyDescent="0.2">
      <c r="A154" t="s">
        <v>8152</v>
      </c>
      <c r="B154">
        <v>1020002</v>
      </c>
      <c r="C154" t="s">
        <v>6068</v>
      </c>
      <c r="D154">
        <f>+COUNTIF(DRA!P:Q,A154)</f>
        <v>1</v>
      </c>
      <c r="E154">
        <f>+COUNTIF(DRA!R:S,A154)</f>
        <v>0</v>
      </c>
      <c r="F154" t="s">
        <v>8147</v>
      </c>
    </row>
    <row r="155" spans="1:6" x14ac:dyDescent="0.2">
      <c r="A155" t="s">
        <v>9498</v>
      </c>
      <c r="B155">
        <v>1020002</v>
      </c>
      <c r="C155" t="s">
        <v>6068</v>
      </c>
      <c r="D155">
        <f>+COUNTIF(DRA!P:Q,A155)</f>
        <v>1</v>
      </c>
      <c r="E155">
        <f>+COUNTIF(DRA!R:S,A155)</f>
        <v>0</v>
      </c>
      <c r="F155" t="s">
        <v>10688</v>
      </c>
    </row>
    <row r="156" spans="1:6" x14ac:dyDescent="0.2">
      <c r="A156" t="s">
        <v>9512</v>
      </c>
      <c r="B156">
        <v>1020002</v>
      </c>
      <c r="C156" t="s">
        <v>6068</v>
      </c>
      <c r="D156">
        <f>+COUNTIF(DRA!P:Q,A156)</f>
        <v>1</v>
      </c>
      <c r="E156">
        <f>+COUNTIF(DRA!R:S,A156)</f>
        <v>0</v>
      </c>
      <c r="F156" t="s">
        <v>10689</v>
      </c>
    </row>
    <row r="157" spans="1:6" x14ac:dyDescent="0.2">
      <c r="A157" t="s">
        <v>9523</v>
      </c>
      <c r="B157">
        <v>1020002</v>
      </c>
      <c r="C157" t="s">
        <v>6068</v>
      </c>
      <c r="D157">
        <f>+COUNTIF(DRA!P:Q,A157)</f>
        <v>1</v>
      </c>
      <c r="E157">
        <f>+COUNTIF(DRA!R:S,A157)</f>
        <v>0</v>
      </c>
      <c r="F157" t="s">
        <v>10690</v>
      </c>
    </row>
    <row r="158" spans="1:6" x14ac:dyDescent="0.2">
      <c r="A158" t="s">
        <v>8898</v>
      </c>
      <c r="B158">
        <v>1010067</v>
      </c>
      <c r="C158" t="s">
        <v>6064</v>
      </c>
      <c r="D158">
        <f>+COUNTIF(DRA!P:Q,A158)</f>
        <v>0</v>
      </c>
      <c r="E158">
        <f>+COUNTIF(DRA!R:S,A158)</f>
        <v>5</v>
      </c>
      <c r="F158" t="s">
        <v>10691</v>
      </c>
    </row>
    <row r="159" spans="1:6" x14ac:dyDescent="0.2">
      <c r="A159" t="s">
        <v>8688</v>
      </c>
      <c r="B159">
        <v>1070002</v>
      </c>
      <c r="C159" t="s">
        <v>6064</v>
      </c>
      <c r="D159">
        <f>+COUNTIF(DRA!P:Q,A159)</f>
        <v>0</v>
      </c>
      <c r="E159">
        <f>+COUNTIF(DRA!R:S,A159)</f>
        <v>1</v>
      </c>
      <c r="F159" t="s">
        <v>10692</v>
      </c>
    </row>
    <row r="160" spans="1:6" x14ac:dyDescent="0.2">
      <c r="A160" t="s">
        <v>8957</v>
      </c>
      <c r="B160">
        <v>1010170</v>
      </c>
      <c r="C160" t="s">
        <v>6064</v>
      </c>
      <c r="D160">
        <f>+COUNTIF(DRA!P:Q,A160)</f>
        <v>0</v>
      </c>
      <c r="E160">
        <f>+COUNTIF(DRA!R:S,A160)</f>
        <v>5</v>
      </c>
      <c r="F160" t="s">
        <v>10693</v>
      </c>
    </row>
    <row r="161" spans="1:6" x14ac:dyDescent="0.2">
      <c r="A161" t="s">
        <v>9013</v>
      </c>
      <c r="B161">
        <v>1010182</v>
      </c>
      <c r="C161" t="s">
        <v>6064</v>
      </c>
      <c r="D161">
        <f>+COUNTIF(DRA!P:Q,A161)</f>
        <v>0</v>
      </c>
      <c r="E161">
        <f>+COUNTIF(DRA!R:S,A161)</f>
        <v>5</v>
      </c>
      <c r="F161" t="s">
        <v>10694</v>
      </c>
    </row>
    <row r="162" spans="1:6" x14ac:dyDescent="0.2">
      <c r="A162" t="s">
        <v>10130</v>
      </c>
      <c r="B162">
        <v>1010007</v>
      </c>
      <c r="C162" t="s">
        <v>6064</v>
      </c>
      <c r="D162">
        <f>+COUNTIF(DRA!P:Q,A162)</f>
        <v>0</v>
      </c>
      <c r="E162">
        <f>+COUNTIF(DRA!R:S,A162)</f>
        <v>3</v>
      </c>
      <c r="F162" t="s">
        <v>10695</v>
      </c>
    </row>
    <row r="163" spans="1:6" x14ac:dyDescent="0.2">
      <c r="A163" t="s">
        <v>8748</v>
      </c>
      <c r="B163">
        <v>1070020</v>
      </c>
      <c r="C163" t="s">
        <v>6064</v>
      </c>
      <c r="D163">
        <f>+COUNTIF(DRA!P:Q,A163)</f>
        <v>0</v>
      </c>
      <c r="E163">
        <f>+COUNTIF(DRA!R:S,A163)</f>
        <v>1</v>
      </c>
      <c r="F163" t="s">
        <v>10696</v>
      </c>
    </row>
    <row r="164" spans="1:6" x14ac:dyDescent="0.2">
      <c r="A164" t="s">
        <v>10010</v>
      </c>
      <c r="B164">
        <v>1010002</v>
      </c>
      <c r="C164" t="s">
        <v>6064</v>
      </c>
      <c r="D164">
        <f>+COUNTIF(DRA!P:Q,A164)</f>
        <v>0</v>
      </c>
      <c r="E164">
        <f>+COUNTIF(DRA!R:S,A164)</f>
        <v>6</v>
      </c>
      <c r="F164" t="s">
        <v>10697</v>
      </c>
    </row>
    <row r="165" spans="1:6" x14ac:dyDescent="0.2">
      <c r="A165" t="s">
        <v>8700</v>
      </c>
      <c r="B165">
        <v>1070013</v>
      </c>
      <c r="C165" t="s">
        <v>6064</v>
      </c>
      <c r="D165">
        <f>+COUNTIF(DRA!P:Q,A165)</f>
        <v>0</v>
      </c>
      <c r="E165">
        <f>+COUNTIF(DRA!R:S,A165)</f>
        <v>1</v>
      </c>
      <c r="F165" t="s">
        <v>10698</v>
      </c>
    </row>
    <row r="166" spans="1:6" x14ac:dyDescent="0.2">
      <c r="A166" t="s">
        <v>9610</v>
      </c>
      <c r="B166">
        <v>1020006</v>
      </c>
      <c r="C166" t="s">
        <v>6064</v>
      </c>
      <c r="D166">
        <f>+COUNTIF(DRA!P:Q,A166)</f>
        <v>0</v>
      </c>
      <c r="E166">
        <f>+COUNTIF(DRA!R:S,A166)</f>
        <v>10</v>
      </c>
      <c r="F166" t="s">
        <v>10699</v>
      </c>
    </row>
    <row r="167" spans="1:6" x14ac:dyDescent="0.2">
      <c r="A167" t="s">
        <v>9197</v>
      </c>
      <c r="B167">
        <v>1020006</v>
      </c>
      <c r="C167" t="s">
        <v>6064</v>
      </c>
      <c r="D167">
        <f>+COUNTIF(DRA!P:Q,A167)</f>
        <v>0</v>
      </c>
      <c r="E167">
        <f>+COUNTIF(DRA!R:S,A167)</f>
        <v>5</v>
      </c>
      <c r="F167" t="s">
        <v>10700</v>
      </c>
    </row>
    <row r="168" spans="1:6" x14ac:dyDescent="0.2">
      <c r="A168" t="s">
        <v>9894</v>
      </c>
      <c r="B168">
        <v>1020001</v>
      </c>
      <c r="C168" t="s">
        <v>6064</v>
      </c>
      <c r="D168">
        <f>+COUNTIF(DRA!P:Q,A168)</f>
        <v>0</v>
      </c>
      <c r="E168">
        <f>+COUNTIF(DRA!R:S,A168)</f>
        <v>5</v>
      </c>
      <c r="F168" t="s">
        <v>10701</v>
      </c>
    </row>
    <row r="169" spans="1:6" x14ac:dyDescent="0.2">
      <c r="A169" t="s">
        <v>9667</v>
      </c>
      <c r="B169">
        <v>1020004</v>
      </c>
      <c r="C169" t="s">
        <v>6064</v>
      </c>
      <c r="D169">
        <f>+COUNTIF(DRA!P:Q,A169)</f>
        <v>0</v>
      </c>
      <c r="E169">
        <f>+COUNTIF(DRA!R:S,A169)</f>
        <v>5</v>
      </c>
      <c r="F169" t="s">
        <v>10702</v>
      </c>
    </row>
    <row r="170" spans="1:6" x14ac:dyDescent="0.2">
      <c r="A170" t="s">
        <v>23983</v>
      </c>
      <c r="B170">
        <v>1010041</v>
      </c>
      <c r="C170" t="s">
        <v>6064</v>
      </c>
      <c r="D170">
        <f>+COUNTIF(DRA!P:Q,A170)</f>
        <v>0</v>
      </c>
      <c r="E170">
        <f>+COUNTIF(DRA!R:S,A170)</f>
        <v>4</v>
      </c>
      <c r="F170" t="s">
        <v>23984</v>
      </c>
    </row>
    <row r="171" spans="1:6" x14ac:dyDescent="0.2">
      <c r="A171" t="s">
        <v>9307</v>
      </c>
      <c r="B171">
        <v>1010010</v>
      </c>
      <c r="C171" t="s">
        <v>6064</v>
      </c>
      <c r="D171">
        <f>+COUNTIF(DRA!P:Q,A171)</f>
        <v>0</v>
      </c>
      <c r="E171">
        <f>+COUNTIF(DRA!R:S,A171)</f>
        <v>5</v>
      </c>
      <c r="F171" t="s">
        <v>10703</v>
      </c>
    </row>
    <row r="172" spans="1:6" x14ac:dyDescent="0.2">
      <c r="A172" t="s">
        <v>8736</v>
      </c>
      <c r="B172">
        <v>1070004</v>
      </c>
      <c r="C172" t="s">
        <v>6064</v>
      </c>
      <c r="D172">
        <f>+COUNTIF(DRA!P:Q,A172)</f>
        <v>0</v>
      </c>
      <c r="E172">
        <f>+COUNTIF(DRA!R:S,A172)</f>
        <v>1</v>
      </c>
      <c r="F172" t="s">
        <v>10704</v>
      </c>
    </row>
    <row r="173" spans="1:6" x14ac:dyDescent="0.2">
      <c r="A173" t="s">
        <v>8712</v>
      </c>
      <c r="B173">
        <v>1070001</v>
      </c>
      <c r="C173" t="s">
        <v>6064</v>
      </c>
      <c r="D173">
        <f>+COUNTIF(DRA!P:Q,A173)</f>
        <v>0</v>
      </c>
      <c r="E173">
        <f>+COUNTIF(DRA!R:S,A173)</f>
        <v>2</v>
      </c>
      <c r="F173" t="s">
        <v>10705</v>
      </c>
    </row>
    <row r="174" spans="1:6" x14ac:dyDescent="0.2">
      <c r="A174" t="s">
        <v>9137</v>
      </c>
      <c r="B174">
        <v>1020002</v>
      </c>
      <c r="C174" t="s">
        <v>6064</v>
      </c>
      <c r="D174">
        <f>+COUNTIF(DRA!P:Q,A174)</f>
        <v>0</v>
      </c>
      <c r="E174">
        <f>+COUNTIF(DRA!R:S,A174)</f>
        <v>5</v>
      </c>
      <c r="F174" t="s">
        <v>10706</v>
      </c>
    </row>
    <row r="175" spans="1:6" x14ac:dyDescent="0.2">
      <c r="A175" t="s">
        <v>8674</v>
      </c>
      <c r="B175">
        <v>1070019</v>
      </c>
      <c r="C175" t="s">
        <v>6064</v>
      </c>
      <c r="D175">
        <f>+COUNTIF(DRA!P:Q,A175)</f>
        <v>0</v>
      </c>
      <c r="E175">
        <f>+COUNTIF(DRA!R:S,A175)</f>
        <v>1</v>
      </c>
      <c r="F175" t="s">
        <v>10707</v>
      </c>
    </row>
    <row r="176" spans="1:6" x14ac:dyDescent="0.2">
      <c r="A176" t="s">
        <v>8771</v>
      </c>
      <c r="B176">
        <v>1070017</v>
      </c>
      <c r="C176" t="s">
        <v>6064</v>
      </c>
      <c r="D176">
        <f>+COUNTIF(DRA!P:Q,A176)</f>
        <v>0</v>
      </c>
      <c r="E176">
        <f>+COUNTIF(DRA!R:S,A176)</f>
        <v>1</v>
      </c>
      <c r="F176" t="s">
        <v>10708</v>
      </c>
    </row>
    <row r="177" spans="1:6" x14ac:dyDescent="0.2">
      <c r="A177" t="s">
        <v>10240</v>
      </c>
      <c r="B177">
        <v>1020006</v>
      </c>
      <c r="C177" t="s">
        <v>6064</v>
      </c>
      <c r="D177">
        <f>+COUNTIF(DRA!P:Q,A177)</f>
        <v>0</v>
      </c>
      <c r="E177">
        <f>+COUNTIF(DRA!R:S,A177)</f>
        <v>1</v>
      </c>
      <c r="F177" t="s">
        <v>10709</v>
      </c>
    </row>
    <row r="178" spans="1:6" x14ac:dyDescent="0.2">
      <c r="A178" t="s">
        <v>9611</v>
      </c>
      <c r="B178">
        <v>1010002</v>
      </c>
      <c r="C178" t="s">
        <v>6064</v>
      </c>
      <c r="D178">
        <f>+COUNTIF(DRA!P:Q,A178)</f>
        <v>0</v>
      </c>
      <c r="E178">
        <f>+COUNTIF(DRA!R:S,A178)</f>
        <v>5</v>
      </c>
      <c r="F178" t="s">
        <v>10710</v>
      </c>
    </row>
    <row r="179" spans="1:6" x14ac:dyDescent="0.2">
      <c r="A179" t="s">
        <v>10265</v>
      </c>
      <c r="B179">
        <v>1010002</v>
      </c>
      <c r="C179" t="s">
        <v>6064</v>
      </c>
      <c r="D179">
        <f>+COUNTIF(DRA!P:Q,A179)</f>
        <v>0</v>
      </c>
      <c r="E179">
        <f>+COUNTIF(DRA!R:S,A179)</f>
        <v>1</v>
      </c>
      <c r="F179" t="s">
        <v>10711</v>
      </c>
    </row>
    <row r="180" spans="1:6" x14ac:dyDescent="0.2">
      <c r="A180" t="s">
        <v>10252</v>
      </c>
      <c r="B180">
        <v>1010002</v>
      </c>
      <c r="C180" t="s">
        <v>6064</v>
      </c>
      <c r="D180">
        <f>+COUNTIF(DRA!P:Q,A180)</f>
        <v>0</v>
      </c>
      <c r="E180">
        <f>+COUNTIF(DRA!R:S,A180)</f>
        <v>1</v>
      </c>
      <c r="F180" t="s">
        <v>10712</v>
      </c>
    </row>
    <row r="181" spans="1:6" x14ac:dyDescent="0.2">
      <c r="A181" t="s">
        <v>9781</v>
      </c>
      <c r="B181">
        <v>1010127</v>
      </c>
      <c r="C181" t="s">
        <v>6064</v>
      </c>
      <c r="D181">
        <f>+COUNTIF(DRA!P:Q,A181)</f>
        <v>0</v>
      </c>
      <c r="E181">
        <f>+COUNTIF(DRA!R:S,A181)</f>
        <v>5</v>
      </c>
      <c r="F181" t="s">
        <v>10713</v>
      </c>
    </row>
    <row r="182" spans="1:6" x14ac:dyDescent="0.2">
      <c r="A182" t="s">
        <v>8724</v>
      </c>
      <c r="B182">
        <v>1070018</v>
      </c>
      <c r="C182" t="s">
        <v>6064</v>
      </c>
      <c r="D182">
        <f>+COUNTIF(DRA!P:Q,A182)</f>
        <v>0</v>
      </c>
      <c r="E182">
        <f>+COUNTIF(DRA!R:S,A182)</f>
        <v>1</v>
      </c>
      <c r="F182" t="s">
        <v>10714</v>
      </c>
    </row>
    <row r="183" spans="1:6" x14ac:dyDescent="0.2">
      <c r="A183" t="s">
        <v>9460</v>
      </c>
      <c r="B183">
        <v>1020002</v>
      </c>
      <c r="C183" t="s">
        <v>6064</v>
      </c>
      <c r="D183">
        <f>+COUNTIF(DRA!P:Q,A183)</f>
        <v>0</v>
      </c>
      <c r="E183">
        <f>+COUNTIF(DRA!R:S,A183)</f>
        <v>6</v>
      </c>
      <c r="F183" t="s">
        <v>10715</v>
      </c>
    </row>
    <row r="184" spans="1:6" x14ac:dyDescent="0.2">
      <c r="A184" t="s">
        <v>10226</v>
      </c>
      <c r="B184">
        <v>1020002</v>
      </c>
      <c r="C184" t="s">
        <v>6064</v>
      </c>
      <c r="D184">
        <f>+COUNTIF(DRA!P:Q,A184)</f>
        <v>0</v>
      </c>
      <c r="E184">
        <f>+COUNTIF(DRA!R:S,A184)</f>
        <v>1</v>
      </c>
      <c r="F184" t="s">
        <v>10716</v>
      </c>
    </row>
    <row r="185" spans="1:6" x14ac:dyDescent="0.2">
      <c r="A185" t="s">
        <v>9972</v>
      </c>
      <c r="B185">
        <v>1020002</v>
      </c>
      <c r="C185" t="s">
        <v>6064</v>
      </c>
      <c r="D185">
        <f>+COUNTIF(DRA!P:Q,A185)</f>
        <v>0</v>
      </c>
      <c r="E185">
        <f>+COUNTIF(DRA!R:S,A185)</f>
        <v>5</v>
      </c>
      <c r="F185" t="s">
        <v>10717</v>
      </c>
    </row>
    <row r="186" spans="1:6" x14ac:dyDescent="0.2">
      <c r="A186" t="s">
        <v>8956</v>
      </c>
      <c r="B186">
        <v>1020002</v>
      </c>
      <c r="C186" t="s">
        <v>6064</v>
      </c>
      <c r="D186">
        <f>+COUNTIF(DRA!P:Q,A186)</f>
        <v>0</v>
      </c>
      <c r="E186">
        <f>+COUNTIF(DRA!R:S,A186)</f>
        <v>5</v>
      </c>
      <c r="F186" t="s">
        <v>10718</v>
      </c>
    </row>
    <row r="187" spans="1:6" x14ac:dyDescent="0.2">
      <c r="A187" t="s">
        <v>9499</v>
      </c>
      <c r="B187">
        <v>1010010</v>
      </c>
      <c r="C187" t="s">
        <v>6064</v>
      </c>
      <c r="D187">
        <f>+COUNTIF(DRA!P:Q,A187)</f>
        <v>0</v>
      </c>
      <c r="E187">
        <f>+COUNTIF(DRA!R:S,A187)</f>
        <v>5</v>
      </c>
      <c r="F187" t="s">
        <v>10719</v>
      </c>
    </row>
    <row r="188" spans="1:6" x14ac:dyDescent="0.2">
      <c r="A188" t="s">
        <v>9722</v>
      </c>
      <c r="B188">
        <v>1020004</v>
      </c>
      <c r="C188" t="s">
        <v>6064</v>
      </c>
      <c r="D188">
        <f>+COUNTIF(DRA!P:Q,A188)</f>
        <v>0</v>
      </c>
      <c r="E188">
        <f>+COUNTIF(DRA!R:S,A188)</f>
        <v>5</v>
      </c>
      <c r="F188" t="s">
        <v>10720</v>
      </c>
    </row>
    <row r="189" spans="1:6" x14ac:dyDescent="0.2">
      <c r="A189" t="s">
        <v>10093</v>
      </c>
      <c r="B189">
        <v>1020022</v>
      </c>
      <c r="C189" t="s">
        <v>6064</v>
      </c>
      <c r="D189">
        <f>+COUNTIF(DRA!P:Q,A189)</f>
        <v>0</v>
      </c>
      <c r="E189">
        <f>+COUNTIF(DRA!R:S,A189)</f>
        <v>3</v>
      </c>
      <c r="F189" t="s">
        <v>10721</v>
      </c>
    </row>
    <row r="190" spans="1:6" x14ac:dyDescent="0.2">
      <c r="A190" t="s">
        <v>8673</v>
      </c>
      <c r="B190">
        <v>1010152</v>
      </c>
      <c r="C190" t="s">
        <v>6064</v>
      </c>
      <c r="D190">
        <f>+COUNTIF(DRA!P:Q,A190)</f>
        <v>0</v>
      </c>
      <c r="E190">
        <f>+COUNTIF(DRA!R:S,A190)</f>
        <v>9</v>
      </c>
      <c r="F190" t="s">
        <v>10722</v>
      </c>
    </row>
    <row r="191" spans="1:6" x14ac:dyDescent="0.2">
      <c r="A191" t="s">
        <v>9557</v>
      </c>
      <c r="B191">
        <v>1010101</v>
      </c>
      <c r="C191" t="s">
        <v>6064</v>
      </c>
      <c r="D191">
        <f>+COUNTIF(DRA!P:Q,A191)</f>
        <v>0</v>
      </c>
      <c r="E191">
        <f>+COUNTIF(DRA!R:S,A191)</f>
        <v>5</v>
      </c>
      <c r="F191" t="s">
        <v>10723</v>
      </c>
    </row>
    <row r="192" spans="1:6" x14ac:dyDescent="0.2">
      <c r="A192" t="s">
        <v>10214</v>
      </c>
      <c r="B192">
        <v>1020002</v>
      </c>
      <c r="C192" t="s">
        <v>6064</v>
      </c>
      <c r="D192">
        <f>+COUNTIF(DRA!P:Q,A192)</f>
        <v>0</v>
      </c>
      <c r="E192">
        <f>+COUNTIF(DRA!R:S,A192)</f>
        <v>1</v>
      </c>
      <c r="F192" t="s">
        <v>10724</v>
      </c>
    </row>
    <row r="193" spans="1:6" x14ac:dyDescent="0.2">
      <c r="A193" t="s">
        <v>10239</v>
      </c>
      <c r="B193">
        <v>1020002</v>
      </c>
      <c r="C193" t="s">
        <v>6064</v>
      </c>
      <c r="D193">
        <f>+COUNTIF(DRA!P:Q,A193)</f>
        <v>0</v>
      </c>
      <c r="E193">
        <f>+COUNTIF(DRA!R:S,A193)</f>
        <v>1</v>
      </c>
      <c r="F193" t="s">
        <v>10725</v>
      </c>
    </row>
    <row r="194" spans="1:6" x14ac:dyDescent="0.2">
      <c r="A194" t="s">
        <v>9012</v>
      </c>
      <c r="B194">
        <v>1020002</v>
      </c>
      <c r="C194" t="s">
        <v>6064</v>
      </c>
      <c r="D194">
        <f>+COUNTIF(DRA!P:Q,A194)</f>
        <v>0</v>
      </c>
      <c r="E194">
        <f>+COUNTIF(DRA!R:S,A194)</f>
        <v>20</v>
      </c>
      <c r="F194" t="s">
        <v>10726</v>
      </c>
    </row>
    <row r="195" spans="1:6" x14ac:dyDescent="0.2">
      <c r="A195" t="s">
        <v>10166</v>
      </c>
      <c r="B195">
        <v>1020002</v>
      </c>
      <c r="C195" t="s">
        <v>6064</v>
      </c>
      <c r="D195">
        <f>+COUNTIF(DRA!P:Q,A195)</f>
        <v>0</v>
      </c>
      <c r="E195">
        <f>+COUNTIF(DRA!R:S,A195)</f>
        <v>1</v>
      </c>
      <c r="F195" t="s">
        <v>10727</v>
      </c>
    </row>
    <row r="196" spans="1:6" x14ac:dyDescent="0.2">
      <c r="A196" t="s">
        <v>8833</v>
      </c>
      <c r="B196">
        <v>1010061</v>
      </c>
      <c r="C196" t="s">
        <v>6064</v>
      </c>
      <c r="D196">
        <f>+COUNTIF(DRA!P:Q,A196)</f>
        <v>0</v>
      </c>
      <c r="E196">
        <f>+COUNTIF(DRA!R:S,A196)</f>
        <v>10</v>
      </c>
      <c r="F196" t="s">
        <v>10728</v>
      </c>
    </row>
    <row r="197" spans="1:6" x14ac:dyDescent="0.2">
      <c r="A197" t="s">
        <v>10129</v>
      </c>
      <c r="B197">
        <v>1020002</v>
      </c>
      <c r="C197" t="s">
        <v>6064</v>
      </c>
      <c r="D197">
        <f>+COUNTIF(DRA!P:Q,A197)</f>
        <v>0</v>
      </c>
      <c r="E197">
        <f>+COUNTIF(DRA!R:S,A197)</f>
        <v>3</v>
      </c>
      <c r="F197" t="s">
        <v>10729</v>
      </c>
    </row>
    <row r="198" spans="1:6" x14ac:dyDescent="0.2">
      <c r="A198" t="s">
        <v>10167</v>
      </c>
      <c r="B198">
        <v>1020004</v>
      </c>
      <c r="C198" t="s">
        <v>6064</v>
      </c>
      <c r="D198">
        <f>+COUNTIF(DRA!P:Q,A198)</f>
        <v>0</v>
      </c>
      <c r="E198">
        <f>+COUNTIF(DRA!R:S,A198)</f>
        <v>1</v>
      </c>
      <c r="F198" t="s">
        <v>10730</v>
      </c>
    </row>
    <row r="199" spans="1:6" x14ac:dyDescent="0.2">
      <c r="A199" t="s">
        <v>9723</v>
      </c>
      <c r="B199">
        <v>1010152</v>
      </c>
      <c r="C199" t="s">
        <v>6064</v>
      </c>
      <c r="D199">
        <f>+COUNTIF(DRA!P:Q,A199)</f>
        <v>0</v>
      </c>
      <c r="E199">
        <f>+COUNTIF(DRA!R:S,A199)</f>
        <v>9</v>
      </c>
      <c r="F199" t="s">
        <v>10731</v>
      </c>
    </row>
    <row r="200" spans="1:6" x14ac:dyDescent="0.2">
      <c r="A200" t="s">
        <v>9558</v>
      </c>
      <c r="B200">
        <v>1010075</v>
      </c>
      <c r="C200" t="s">
        <v>6064</v>
      </c>
      <c r="D200">
        <f>+COUNTIF(DRA!P:Q,A200)</f>
        <v>0</v>
      </c>
      <c r="E200">
        <f>+COUNTIF(DRA!R:S,A200)</f>
        <v>9</v>
      </c>
      <c r="F200" t="s">
        <v>10732</v>
      </c>
    </row>
    <row r="201" spans="1:6" x14ac:dyDescent="0.2">
      <c r="A201" t="s">
        <v>8899</v>
      </c>
      <c r="B201">
        <v>1010152</v>
      </c>
      <c r="C201" t="s">
        <v>6064</v>
      </c>
      <c r="D201">
        <f>+COUNTIF(DRA!P:Q,A201)</f>
        <v>0</v>
      </c>
      <c r="E201">
        <f>+COUNTIF(DRA!R:S,A201)</f>
        <v>20</v>
      </c>
      <c r="F201" t="s">
        <v>10733</v>
      </c>
    </row>
    <row r="202" spans="1:6" x14ac:dyDescent="0.2">
      <c r="A202" t="s">
        <v>9500</v>
      </c>
      <c r="B202">
        <v>1010152</v>
      </c>
      <c r="C202" t="s">
        <v>6064</v>
      </c>
      <c r="D202">
        <f>+COUNTIF(DRA!P:Q,A202)</f>
        <v>0</v>
      </c>
      <c r="E202">
        <f>+COUNTIF(DRA!R:S,A202)</f>
        <v>5</v>
      </c>
      <c r="F202" t="s">
        <v>10734</v>
      </c>
    </row>
    <row r="203" spans="1:6" x14ac:dyDescent="0.2">
      <c r="A203" t="s">
        <v>9308</v>
      </c>
      <c r="B203">
        <v>1010152</v>
      </c>
      <c r="C203" t="s">
        <v>6064</v>
      </c>
      <c r="D203">
        <f>+COUNTIF(DRA!P:Q,A203)</f>
        <v>0</v>
      </c>
      <c r="E203">
        <f>+COUNTIF(DRA!R:S,A203)</f>
        <v>5</v>
      </c>
      <c r="F203" t="s">
        <v>10735</v>
      </c>
    </row>
    <row r="204" spans="1:6" x14ac:dyDescent="0.2">
      <c r="A204" t="s">
        <v>8785</v>
      </c>
      <c r="B204">
        <v>1010179</v>
      </c>
      <c r="C204" t="s">
        <v>6064</v>
      </c>
      <c r="D204">
        <f>+COUNTIF(DRA!P:Q,A204)</f>
        <v>0</v>
      </c>
      <c r="E204">
        <f>+COUNTIF(DRA!R:S,A204)</f>
        <v>1</v>
      </c>
      <c r="F204" t="s">
        <v>10646</v>
      </c>
    </row>
    <row r="205" spans="1:6" x14ac:dyDescent="0.2">
      <c r="A205" t="s">
        <v>650</v>
      </c>
      <c r="B205">
        <v>1010003</v>
      </c>
      <c r="C205" t="s">
        <v>6064</v>
      </c>
      <c r="D205">
        <f>+COUNTIF(DRA!P:Q,A205)</f>
        <v>0</v>
      </c>
      <c r="E205">
        <f>+COUNTIF(DRA!R:S,A205)</f>
        <v>5</v>
      </c>
      <c r="F205" t="s">
        <v>7276</v>
      </c>
    </row>
    <row r="206" spans="1:6" x14ac:dyDescent="0.2">
      <c r="A206" t="s">
        <v>9254</v>
      </c>
      <c r="B206">
        <v>1010152</v>
      </c>
      <c r="C206" t="s">
        <v>6064</v>
      </c>
      <c r="D206">
        <f>+COUNTIF(DRA!P:Q,A206)</f>
        <v>0</v>
      </c>
      <c r="E206">
        <f>+COUNTIF(DRA!R:S,A206)</f>
        <v>5</v>
      </c>
      <c r="F206" t="s">
        <v>10736</v>
      </c>
    </row>
    <row r="207" spans="1:6" x14ac:dyDescent="0.2">
      <c r="A207" t="s">
        <v>8799</v>
      </c>
      <c r="B207">
        <v>1010142</v>
      </c>
      <c r="C207" t="s">
        <v>6064</v>
      </c>
      <c r="D207">
        <f>+COUNTIF(DRA!P:Q,A207)</f>
        <v>0</v>
      </c>
      <c r="E207">
        <f>+COUNTIF(DRA!R:S,A207)</f>
        <v>1</v>
      </c>
      <c r="F207" t="s">
        <v>10676</v>
      </c>
    </row>
    <row r="208" spans="1:6" x14ac:dyDescent="0.2">
      <c r="A208" t="s">
        <v>8784</v>
      </c>
      <c r="B208">
        <v>1010142</v>
      </c>
      <c r="C208" t="s">
        <v>6064</v>
      </c>
      <c r="D208">
        <f>+COUNTIF(DRA!P:Q,A208)</f>
        <v>0</v>
      </c>
      <c r="E208">
        <f>+COUNTIF(DRA!R:S,A208)</f>
        <v>1</v>
      </c>
      <c r="F208" t="s">
        <v>10654</v>
      </c>
    </row>
    <row r="209" spans="1:6" x14ac:dyDescent="0.2">
      <c r="A209" t="s">
        <v>8848</v>
      </c>
      <c r="B209">
        <v>1010066</v>
      </c>
      <c r="C209" t="s">
        <v>6064</v>
      </c>
      <c r="D209">
        <f>+COUNTIF(DRA!P:Q,A209)</f>
        <v>0</v>
      </c>
      <c r="E209">
        <f>+COUNTIF(DRA!R:S,A209)</f>
        <v>1</v>
      </c>
      <c r="F209" t="s">
        <v>10737</v>
      </c>
    </row>
    <row r="210" spans="1:6" x14ac:dyDescent="0.2">
      <c r="A210" t="s">
        <v>8860</v>
      </c>
      <c r="B210">
        <v>1010066</v>
      </c>
      <c r="C210" t="s">
        <v>6064</v>
      </c>
      <c r="D210">
        <f>+COUNTIF(DRA!P:Q,A210)</f>
        <v>0</v>
      </c>
      <c r="E210">
        <f>+COUNTIF(DRA!R:S,A210)</f>
        <v>1</v>
      </c>
      <c r="F210" t="s">
        <v>10738</v>
      </c>
    </row>
    <row r="211" spans="1:6" x14ac:dyDescent="0.2">
      <c r="A211" t="s">
        <v>8886</v>
      </c>
      <c r="B211">
        <v>1010066</v>
      </c>
      <c r="C211" t="s">
        <v>6064</v>
      </c>
      <c r="D211">
        <f>+COUNTIF(DRA!P:Q,A211)</f>
        <v>0</v>
      </c>
      <c r="E211">
        <f>+COUNTIF(DRA!R:S,A211)</f>
        <v>1</v>
      </c>
      <c r="F211" t="s">
        <v>10739</v>
      </c>
    </row>
    <row r="212" spans="1:6" x14ac:dyDescent="0.2">
      <c r="A212" t="s">
        <v>8873</v>
      </c>
      <c r="B212">
        <v>1010066</v>
      </c>
      <c r="C212" t="s">
        <v>6064</v>
      </c>
      <c r="D212">
        <f>+COUNTIF(DRA!P:Q,A212)</f>
        <v>0</v>
      </c>
      <c r="E212">
        <f>+COUNTIF(DRA!R:S,A212)</f>
        <v>1</v>
      </c>
      <c r="F212" t="s">
        <v>10740</v>
      </c>
    </row>
    <row r="213" spans="1:6" x14ac:dyDescent="0.2">
      <c r="A213" t="s">
        <v>8834</v>
      </c>
      <c r="B213">
        <v>1010066</v>
      </c>
      <c r="C213" t="s">
        <v>6064</v>
      </c>
      <c r="D213">
        <f>+COUNTIF(DRA!P:Q,A213)</f>
        <v>0</v>
      </c>
      <c r="E213">
        <f>+COUNTIF(DRA!R:S,A213)</f>
        <v>1</v>
      </c>
      <c r="F213" t="s">
        <v>10741</v>
      </c>
    </row>
    <row r="214" spans="1:6" x14ac:dyDescent="0.2">
      <c r="A214" t="s">
        <v>10192</v>
      </c>
      <c r="B214">
        <v>1010013</v>
      </c>
      <c r="C214" t="s">
        <v>6064</v>
      </c>
      <c r="D214">
        <f>+COUNTIF(DRA!P:Q,A214)</f>
        <v>0</v>
      </c>
      <c r="E214">
        <f>+COUNTIF(DRA!R:S,A214)</f>
        <v>1</v>
      </c>
      <c r="F214" t="s">
        <v>10608</v>
      </c>
    </row>
    <row r="215" spans="1:6" x14ac:dyDescent="0.2">
      <c r="A215" t="s">
        <v>8800</v>
      </c>
      <c r="B215">
        <v>1010143</v>
      </c>
      <c r="C215" t="s">
        <v>6064</v>
      </c>
      <c r="D215">
        <f>+COUNTIF(DRA!P:Q,A215)</f>
        <v>0</v>
      </c>
      <c r="E215">
        <f>+COUNTIF(DRA!R:S,A215)</f>
        <v>1</v>
      </c>
      <c r="F215" t="s">
        <v>10686</v>
      </c>
    </row>
    <row r="216" spans="1:6" x14ac:dyDescent="0.2">
      <c r="A216" t="s">
        <v>10251</v>
      </c>
      <c r="B216">
        <v>1010002</v>
      </c>
      <c r="C216" t="s">
        <v>6064</v>
      </c>
      <c r="D216">
        <f>+COUNTIF(DRA!P:Q,A216)</f>
        <v>0</v>
      </c>
      <c r="E216">
        <f>+COUNTIF(DRA!R:S,A216)</f>
        <v>1</v>
      </c>
      <c r="F216" t="s">
        <v>7012</v>
      </c>
    </row>
    <row r="217" spans="1:6" x14ac:dyDescent="0.2">
      <c r="A217" t="s">
        <v>10205</v>
      </c>
      <c r="B217">
        <v>1010012</v>
      </c>
      <c r="C217" t="s">
        <v>6064</v>
      </c>
      <c r="D217">
        <f>+COUNTIF(DRA!P:Q,A217)</f>
        <v>0</v>
      </c>
      <c r="E217">
        <f>+COUNTIF(DRA!R:S,A217)</f>
        <v>1</v>
      </c>
      <c r="F217" t="s">
        <v>10742</v>
      </c>
    </row>
    <row r="218" spans="1:6" x14ac:dyDescent="0.2">
      <c r="A218" t="s">
        <v>9100</v>
      </c>
      <c r="B218">
        <v>1020006</v>
      </c>
      <c r="C218" t="s">
        <v>6064</v>
      </c>
      <c r="D218">
        <f>+COUNTIF(DRA!P:Q,A218)</f>
        <v>0</v>
      </c>
      <c r="E218">
        <f>+COUNTIF(DRA!R:S,A218)</f>
        <v>5</v>
      </c>
      <c r="F218" t="s">
        <v>24286</v>
      </c>
    </row>
    <row r="219" spans="1:6" x14ac:dyDescent="0.2">
      <c r="A219" t="s">
        <v>24278</v>
      </c>
      <c r="B219">
        <v>1010002</v>
      </c>
      <c r="C219" t="s">
        <v>6064</v>
      </c>
      <c r="D219">
        <f>+COUNTIF(DRA!P:Q,A219)</f>
        <v>0</v>
      </c>
      <c r="E219">
        <f>+COUNTIF(DRA!R:S,A219)</f>
        <v>4</v>
      </c>
      <c r="F219" t="s">
        <v>10743</v>
      </c>
    </row>
    <row r="220" spans="1:6" x14ac:dyDescent="0.2">
      <c r="A220" t="s">
        <v>10009</v>
      </c>
      <c r="B220">
        <v>1020006</v>
      </c>
      <c r="C220" t="s">
        <v>6064</v>
      </c>
      <c r="D220">
        <f>+COUNTIF(DRA!P:Q,A220)</f>
        <v>0</v>
      </c>
      <c r="E220">
        <f>+COUNTIF(DRA!R:S,A220)</f>
        <v>5</v>
      </c>
      <c r="F220" t="s">
        <v>10744</v>
      </c>
    </row>
    <row r="221" spans="1:6" x14ac:dyDescent="0.2">
      <c r="A221" t="s">
        <v>8806</v>
      </c>
      <c r="B221">
        <v>1010164</v>
      </c>
      <c r="C221" t="s">
        <v>6064</v>
      </c>
      <c r="D221">
        <f>+COUNTIF(DRA!P:Q,A221)</f>
        <v>0</v>
      </c>
      <c r="E221">
        <f>+COUNTIF(DRA!R:S,A221)</f>
        <v>1</v>
      </c>
      <c r="F221" t="s">
        <v>24279</v>
      </c>
    </row>
    <row r="222" spans="1:6" x14ac:dyDescent="0.2">
      <c r="A222" t="s">
        <v>8813</v>
      </c>
      <c r="B222" t="s">
        <v>6064</v>
      </c>
      <c r="C222" t="s">
        <v>6064</v>
      </c>
      <c r="D222">
        <f>+COUNTIF(DRA!P:Q,A222)</f>
        <v>0</v>
      </c>
      <c r="E222">
        <f>+COUNTIF(DRA!R:S,A222)</f>
        <v>1</v>
      </c>
      <c r="F222" t="s">
        <v>24280</v>
      </c>
    </row>
    <row r="223" spans="1:6" x14ac:dyDescent="0.2">
      <c r="A223" t="s">
        <v>8820</v>
      </c>
      <c r="B223" t="s">
        <v>6064</v>
      </c>
      <c r="C223" t="s">
        <v>6064</v>
      </c>
      <c r="D223">
        <f>+COUNTIF(DRA!P:Q,A223)</f>
        <v>0</v>
      </c>
      <c r="E223">
        <f>+COUNTIF(DRA!R:S,A223)</f>
        <v>1</v>
      </c>
      <c r="F223" t="s">
        <v>24281</v>
      </c>
    </row>
    <row r="224" spans="1:6" x14ac:dyDescent="0.2">
      <c r="A224" t="s">
        <v>9082</v>
      </c>
      <c r="B224">
        <v>1010003</v>
      </c>
      <c r="C224" t="s">
        <v>6064</v>
      </c>
      <c r="D224">
        <f>+COUNTIF(DRA!P:Q,A224)</f>
        <v>0</v>
      </c>
      <c r="E224">
        <f>+COUNTIF(DRA!R:S,A224)</f>
        <v>1</v>
      </c>
      <c r="F224" t="s">
        <v>10745</v>
      </c>
    </row>
    <row r="225" spans="1:6" x14ac:dyDescent="0.2">
      <c r="A225" t="s">
        <v>9093</v>
      </c>
      <c r="B225">
        <v>1010003</v>
      </c>
      <c r="C225" t="s">
        <v>6064</v>
      </c>
      <c r="D225">
        <f>+COUNTIF(DRA!P:Q,A225)</f>
        <v>0</v>
      </c>
      <c r="E225">
        <f>+COUNTIF(DRA!R:S,A225)</f>
        <v>1</v>
      </c>
      <c r="F225" t="s">
        <v>10746</v>
      </c>
    </row>
    <row r="226" spans="1:6" x14ac:dyDescent="0.2">
      <c r="A226" t="s">
        <v>9071</v>
      </c>
      <c r="B226">
        <v>1010003</v>
      </c>
      <c r="C226" t="s">
        <v>6064</v>
      </c>
      <c r="D226">
        <f>+COUNTIF(DRA!P:Q,A226)</f>
        <v>0</v>
      </c>
      <c r="E226">
        <f>+COUNTIF(DRA!R:S,A226)</f>
        <v>1</v>
      </c>
      <c r="F226" t="s">
        <v>10747</v>
      </c>
    </row>
    <row r="227" spans="1:6" x14ac:dyDescent="0.2">
      <c r="A227" t="s">
        <v>24283</v>
      </c>
      <c r="B227">
        <v>1010166</v>
      </c>
      <c r="C227" t="s">
        <v>6064</v>
      </c>
      <c r="D227">
        <f>+COUNTIF(DRA!P:Q,A227)</f>
        <v>0</v>
      </c>
      <c r="E227">
        <f>+COUNTIF(DRA!R:S,A227)</f>
        <v>1</v>
      </c>
      <c r="F227" t="s">
        <v>24282</v>
      </c>
    </row>
    <row r="228" spans="1:6" x14ac:dyDescent="0.2">
      <c r="A228" t="s">
        <v>8814</v>
      </c>
      <c r="B228" t="s">
        <v>6064</v>
      </c>
      <c r="C228" t="s">
        <v>6064</v>
      </c>
      <c r="D228">
        <f>+COUNTIF(DRA!P:Q,A228)</f>
        <v>0</v>
      </c>
      <c r="E228">
        <f>+COUNTIF(DRA!R:S,A228)</f>
        <v>1</v>
      </c>
      <c r="F228" t="s">
        <v>24282</v>
      </c>
    </row>
    <row r="229" spans="1:6" x14ac:dyDescent="0.2">
      <c r="A229" t="s">
        <v>8821</v>
      </c>
      <c r="B229" t="s">
        <v>6064</v>
      </c>
      <c r="C229" t="s">
        <v>6064</v>
      </c>
      <c r="D229">
        <f>+COUNTIF(DRA!P:Q,A229)</f>
        <v>0</v>
      </c>
      <c r="E229">
        <f>+COUNTIF(DRA!R:S,A229)</f>
        <v>1</v>
      </c>
      <c r="F229" t="s">
        <v>24282</v>
      </c>
    </row>
    <row r="230" spans="1:6" x14ac:dyDescent="0.2">
      <c r="A230" t="s">
        <v>137</v>
      </c>
      <c r="B230" t="s">
        <v>5831</v>
      </c>
      <c r="C230" t="s">
        <v>6064</v>
      </c>
      <c r="D230">
        <f>+COUNTIF(DRA!P:Q,A230)</f>
        <v>55</v>
      </c>
      <c r="E230">
        <f>+COUNTIF(DRA!R:S,A230)</f>
        <v>20</v>
      </c>
      <c r="F230" t="s">
        <v>10748</v>
      </c>
    </row>
    <row r="232" spans="1:6" x14ac:dyDescent="0.2">
      <c r="A232" s="67" t="s">
        <v>10749</v>
      </c>
      <c r="B232" s="67"/>
      <c r="C232" s="67"/>
      <c r="D232" s="67">
        <f>SUM(D2:D231)</f>
        <v>266</v>
      </c>
      <c r="E232" s="67">
        <f>SUM(E2:E231)</f>
        <v>302</v>
      </c>
    </row>
  </sheetData>
  <autoFilter ref="A1:F230" xr:uid="{653E6B5D-09EB-4378-9A1A-A51B19F7E4FE}"/>
  <sortState xmlns:xlrd2="http://schemas.microsoft.com/office/spreadsheetml/2017/richdata2" ref="A158:A320">
    <sortCondition ref="A158:A320"/>
  </sortState>
  <pageMargins left="0.7" right="0.7" top="0.75" bottom="0.75" header="0.3" footer="0.3"/>
  <pageSetup orientation="portrait"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F54DB4-8CBA-400D-AE6D-45F6CBBECC07}">
  <sheetPr>
    <pageSetUpPr fitToPage="1"/>
  </sheetPr>
  <dimension ref="A1:L23"/>
  <sheetViews>
    <sheetView zoomScaleNormal="100" workbookViewId="0">
      <selection activeCell="E6" sqref="E6:F15"/>
    </sheetView>
  </sheetViews>
  <sheetFormatPr defaultRowHeight="18.75" x14ac:dyDescent="0.2"/>
  <cols>
    <col min="1" max="1" width="20" style="8" customWidth="1"/>
    <col min="2" max="2" width="1.25" style="8" customWidth="1"/>
    <col min="3" max="3" width="31.25" style="8" customWidth="1"/>
    <col min="4" max="4" width="1.25" style="8" customWidth="1"/>
    <col min="5" max="5" width="7.5" style="8" customWidth="1"/>
    <col min="6" max="6" width="55" style="8" customWidth="1"/>
    <col min="7" max="7" width="1.25" style="8" customWidth="1"/>
    <col min="8" max="8" width="7.5" style="8" customWidth="1"/>
    <col min="9" max="9" width="55" style="8" customWidth="1"/>
    <col min="10" max="10" width="9" style="8"/>
    <col min="11" max="11" width="8.75" style="8" bestFit="1" customWidth="1"/>
    <col min="12" max="12" width="11.875" style="8" bestFit="1" customWidth="1"/>
    <col min="13" max="16384" width="9" style="8"/>
  </cols>
  <sheetData>
    <row r="1" spans="1:9" ht="22.5" customHeight="1" x14ac:dyDescent="0.35">
      <c r="A1" s="55" t="s">
        <v>10750</v>
      </c>
      <c r="C1" s="26" t="str">
        <f>+INDEX(WEAP!$A:$AN,MATCH(A3,WEAP!$A:$A,0),MATCH("Name",WEAP!$A$1:$BF$1,0))</f>
        <v>Peacock's Whorl</v>
      </c>
      <c r="E1" s="456" t="s">
        <v>10751</v>
      </c>
      <c r="F1" s="457"/>
      <c r="H1" s="456" t="s">
        <v>10752</v>
      </c>
      <c r="I1" s="457"/>
    </row>
    <row r="2" spans="1:9" ht="7.5" customHeight="1" x14ac:dyDescent="0.2">
      <c r="A2" s="9"/>
      <c r="B2" s="9"/>
      <c r="C2" s="10"/>
      <c r="E2" s="11"/>
      <c r="F2" s="12"/>
      <c r="H2" s="11"/>
      <c r="I2" s="12"/>
    </row>
    <row r="3" spans="1:9" ht="22.5" customHeight="1" x14ac:dyDescent="0.2">
      <c r="A3" s="55" t="str">
        <f>+INDEX(WEAP!$A:$AN,MATCH(A1,WEAP!$B:$B,0),MATCH("ID",WEAP!$A$1:$BF$1,0))</f>
        <v>306029_01</v>
      </c>
      <c r="B3" s="14"/>
      <c r="C3" s="26" t="str">
        <f>INDEX(WEAP!$A:$AN,MATCH(A3,WEAP!$A:$A,0),MATCH("Element",WEAP!$A$1:$BF$1,0))&amp;" "&amp;INDEX(WEAP!$A:$AN,MATCH(A3,WEAP!$A:$A,0),MATCH("Type",WEAP!$A$1:$BF$1,0))</f>
        <v>Water Bow</v>
      </c>
      <c r="E3" s="673" t="str">
        <f>+INDEX('W-S'!$A:$O,MATCH(WNBAD!F3,'W-S'!$C:$C,0),MATCH("Icon",'W-S'!$1:$1,0))</f>
        <v>032</v>
      </c>
      <c r="F3" s="687" t="str">
        <f>+INDEX(WEAP!$A:$AN,MATCH(A3,WEAP!$A:$A,0),MATCH("Weapon Skill",WEAP!$A$1:$BF$1,0))</f>
        <v>Peacock Shot</v>
      </c>
      <c r="H3" s="673" t="str">
        <f>+E3</f>
        <v>032</v>
      </c>
      <c r="I3" s="687" t="str">
        <f>F3</f>
        <v>Peacock Shot</v>
      </c>
    </row>
    <row r="4" spans="1:9" ht="7.5" customHeight="1" x14ac:dyDescent="0.2">
      <c r="A4" s="37"/>
      <c r="B4" s="9"/>
      <c r="C4" s="38"/>
      <c r="E4" s="673"/>
      <c r="F4" s="688"/>
      <c r="H4" s="673"/>
      <c r="I4" s="688"/>
    </row>
    <row r="5" spans="1:9" ht="7.5" customHeight="1" x14ac:dyDescent="0.2">
      <c r="A5" s="478" t="str">
        <f>+A3</f>
        <v>306029_01</v>
      </c>
      <c r="B5" s="9"/>
      <c r="C5" s="690" t="str">
        <f>INDEX(WEAP!$A:$AN,MATCH(A3,WEAP!$A:$A,0),MATCH("Family",WEAP!$A$1:$BF$1,0))&amp;" Weapon"</f>
        <v>Core E Weapon</v>
      </c>
      <c r="E5" s="674"/>
      <c r="F5" s="689"/>
      <c r="H5" s="674"/>
      <c r="I5" s="689"/>
    </row>
    <row r="6" spans="1:9" ht="15" customHeight="1" x14ac:dyDescent="0.2">
      <c r="A6" s="478"/>
      <c r="B6" s="17"/>
      <c r="C6" s="691"/>
      <c r="E6" s="640" t="str">
        <f>+INDEX('W-S'!$A:$O,MATCH(WNBAD!F3,'W-S'!$C:$C,0),MATCH("Description",'W-S'!$1:$1,0))</f>
        <v>Increases the user's critical rate by 25% for 10 seconds.</v>
      </c>
      <c r="F6" s="642"/>
      <c r="H6" s="640" t="str">
        <f>+INDEX('W-S'!$A:$O,MATCH(WNBAD!I3,'W-S'!$C:$C,0),MATCH("Description V3",'W-S'!$1:$1,0))</f>
        <v>Increases the user's critical rate by 30% for 20 seconds, and adds 20% to the modifier applied to damage against flame-attuned enemies for 20 seconds.</v>
      </c>
      <c r="I6" s="642"/>
    </row>
    <row r="7" spans="1:9" ht="7.5" customHeight="1" x14ac:dyDescent="0.2">
      <c r="A7" s="478"/>
      <c r="B7" s="17"/>
      <c r="C7" s="38"/>
      <c r="E7" s="643"/>
      <c r="F7" s="645"/>
      <c r="H7" s="643"/>
      <c r="I7" s="645"/>
    </row>
    <row r="8" spans="1:9" ht="22.5" customHeight="1" x14ac:dyDescent="0.2">
      <c r="A8" s="478"/>
      <c r="B8" s="17"/>
      <c r="C8" s="177" t="s">
        <v>10753</v>
      </c>
      <c r="E8" s="643"/>
      <c r="F8" s="645"/>
      <c r="H8" s="643"/>
      <c r="I8" s="645"/>
    </row>
    <row r="9" spans="1:9" ht="7.5" customHeight="1" x14ac:dyDescent="0.2">
      <c r="A9" s="478"/>
      <c r="B9" s="17"/>
      <c r="C9" s="612"/>
      <c r="E9" s="643"/>
      <c r="F9" s="645"/>
      <c r="H9" s="643"/>
      <c r="I9" s="645"/>
    </row>
    <row r="10" spans="1:9" ht="22.5" customHeight="1" x14ac:dyDescent="0.2">
      <c r="A10" s="478"/>
      <c r="B10" s="17"/>
      <c r="C10" s="615"/>
      <c r="E10" s="643"/>
      <c r="F10" s="645"/>
      <c r="H10" s="643"/>
      <c r="I10" s="645"/>
    </row>
    <row r="11" spans="1:9" ht="52.5" customHeight="1" x14ac:dyDescent="0.2">
      <c r="A11" s="478"/>
      <c r="B11" s="17"/>
      <c r="C11" s="615"/>
      <c r="E11" s="643"/>
      <c r="F11" s="645"/>
      <c r="H11" s="643"/>
      <c r="I11" s="645"/>
    </row>
    <row r="12" spans="1:9" ht="7.5" customHeight="1" x14ac:dyDescent="0.2">
      <c r="A12" s="36"/>
      <c r="B12" s="18"/>
      <c r="C12" s="618"/>
      <c r="E12" s="643"/>
      <c r="F12" s="645"/>
      <c r="H12" s="643"/>
      <c r="I12" s="645"/>
    </row>
    <row r="13" spans="1:9" ht="7.5" customHeight="1" x14ac:dyDescent="0.2">
      <c r="A13" s="36"/>
      <c r="B13" s="18"/>
      <c r="C13" s="176"/>
      <c r="E13" s="643"/>
      <c r="F13" s="645"/>
      <c r="H13" s="643"/>
      <c r="I13" s="645"/>
    </row>
    <row r="14" spans="1:9" ht="22.5" customHeight="1" x14ac:dyDescent="0.2">
      <c r="A14" s="36"/>
      <c r="B14" s="18"/>
      <c r="C14" s="176"/>
      <c r="E14" s="643"/>
      <c r="F14" s="645"/>
      <c r="H14" s="643"/>
      <c r="I14" s="645"/>
    </row>
    <row r="15" spans="1:9" ht="22.5" customHeight="1" x14ac:dyDescent="0.2">
      <c r="A15" s="36"/>
      <c r="B15" s="18"/>
      <c r="C15" s="176"/>
      <c r="E15" s="643"/>
      <c r="F15" s="645"/>
      <c r="H15" s="643"/>
      <c r="I15" s="645"/>
    </row>
    <row r="16" spans="1:9" ht="7.5" customHeight="1" x14ac:dyDescent="0.2">
      <c r="A16" s="36"/>
      <c r="B16" s="36"/>
      <c r="C16" s="36"/>
      <c r="D16" s="36"/>
    </row>
    <row r="17" spans="1:12" x14ac:dyDescent="0.2">
      <c r="A17" s="178" t="str">
        <f>"HP: "&amp;INDEX(WEAP!$A:$AN,MATCH(A3,WEAP!$A:$A,0),MATCH("HP",WEAP!$A$1:$BF$1,0))&amp;" to "&amp;INDEX(WEAP!$A:$AN,MATCH(A3,WEAP!$A:$A,0),MATCH("HP V3",WEAP!$A$1:$BF$1,0))</f>
        <v>HP: 162 to 165</v>
      </c>
      <c r="K17" s="8" t="s">
        <v>10754</v>
      </c>
      <c r="L17" s="8" t="s">
        <v>10755</v>
      </c>
    </row>
    <row r="18" spans="1:12" x14ac:dyDescent="0.2">
      <c r="A18" s="178" t="str">
        <f>"Strength: "&amp;INDEX(WEAP!$A:$AN,MATCH(A3,WEAP!$A:$A,0),MATCH("Str",WEAP!$A$1:$BF$1,0))&amp;" to "&amp;INDEX(WEAP!$A:$AN,MATCH(A3,WEAP!$A:$A,0),MATCH("Str V3",WEAP!$A$1:$BF$1,0))</f>
        <v>Strength: 570 to 590</v>
      </c>
      <c r="J18" s="8" t="s">
        <v>96</v>
      </c>
    </row>
    <row r="19" spans="1:12" x14ac:dyDescent="0.2">
      <c r="A19" s="178" t="str">
        <f>"Rupie Costs: "&amp;INDEX(WEAP!$A:$AN,MATCH(A3,WEAP!$A:$A,0),MATCH("Rupies",WEAP!$A$1:$BF$1,0))</f>
        <v>Rupie Costs: 10000</v>
      </c>
      <c r="J19" s="8" t="s">
        <v>9839</v>
      </c>
    </row>
    <row r="20" spans="1:12" x14ac:dyDescent="0.2">
      <c r="A20" s="178" t="str">
        <f>"Unlock Material: "&amp;INDEX(WEAP!$A:$AN,MATCH(A3,WEAP!$A:$A,0),MATCH("Unlock Material",WEAP!$A$1:$BF$1,0))</f>
        <v>Unlock Material: T1 Insignia</v>
      </c>
    </row>
    <row r="21" spans="1:12" x14ac:dyDescent="0.2">
      <c r="A21" s="178" t="str">
        <f>"Unlock Condition: "&amp;INDEX(WEAP!$A:$AN,MATCH(A3,WEAP!$A:$A,0),MATCH("Unlock Condition",WEAP!$A$1:$BF$1,0))</f>
        <v>Unlock Condition: Obtain Nitralica's Koto</v>
      </c>
      <c r="J21" s="8" t="s">
        <v>10756</v>
      </c>
    </row>
    <row r="22" spans="1:12" x14ac:dyDescent="0.2">
      <c r="J22" s="8" t="s">
        <v>10757</v>
      </c>
    </row>
    <row r="23" spans="1:12" x14ac:dyDescent="0.2">
      <c r="J23" s="8" t="s">
        <v>10758</v>
      </c>
    </row>
  </sheetData>
  <mergeCells count="11">
    <mergeCell ref="C9:C12"/>
    <mergeCell ref="A5:A11"/>
    <mergeCell ref="C5:C6"/>
    <mergeCell ref="E6:F15"/>
    <mergeCell ref="H6:I15"/>
    <mergeCell ref="E1:F1"/>
    <mergeCell ref="H1:I1"/>
    <mergeCell ref="E3:E5"/>
    <mergeCell ref="F3:F5"/>
    <mergeCell ref="H3:H5"/>
    <mergeCell ref="I3:I5"/>
  </mergeCells>
  <printOptions horizontalCentered="1" verticalCentered="1"/>
  <pageMargins left="0" right="0" top="0" bottom="0" header="0" footer="0"/>
  <pageSetup scale="59" orientation="landscape"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560819-4230-4B06-AE77-B69685F76A01}">
  <dimension ref="A1:M37"/>
  <sheetViews>
    <sheetView topLeftCell="A16" workbookViewId="0">
      <selection activeCell="A32" sqref="A32"/>
    </sheetView>
  </sheetViews>
  <sheetFormatPr defaultRowHeight="14.25" x14ac:dyDescent="0.2"/>
  <cols>
    <col min="2" max="2" width="15" customWidth="1"/>
    <col min="3" max="3" width="1.25" customWidth="1"/>
    <col min="4" max="4" width="10" customWidth="1"/>
    <col min="5" max="5" width="5" customWidth="1"/>
    <col min="6" max="7" width="7.5" customWidth="1"/>
    <col min="8" max="8" width="1.25" customWidth="1"/>
    <col min="9" max="9" width="46.25" customWidth="1"/>
    <col min="10" max="10" width="10" customWidth="1"/>
    <col min="11" max="11" width="1.25" customWidth="1"/>
    <col min="12" max="12" width="46.25" customWidth="1"/>
    <col min="13" max="13" width="10" customWidth="1"/>
    <col min="14" max="14" width="1.25" customWidth="1"/>
    <col min="18" max="18" width="42.875" bestFit="1" customWidth="1"/>
  </cols>
  <sheetData>
    <row r="1" spans="1:13" x14ac:dyDescent="0.2">
      <c r="C1" s="244"/>
    </row>
    <row r="2" spans="1:13" ht="26.25" customHeight="1" x14ac:dyDescent="0.2">
      <c r="B2" s="709" t="s">
        <v>10759</v>
      </c>
      <c r="C2" s="710"/>
      <c r="D2" s="710"/>
      <c r="E2" s="710"/>
      <c r="F2" s="710"/>
      <c r="G2" s="710"/>
      <c r="I2" s="709" t="s">
        <v>10751</v>
      </c>
      <c r="J2" s="710"/>
      <c r="K2" s="8"/>
      <c r="L2" s="709" t="s">
        <v>10752</v>
      </c>
      <c r="M2" s="710"/>
    </row>
    <row r="3" spans="1:13" ht="7.5" customHeight="1" x14ac:dyDescent="0.2"/>
    <row r="4" spans="1:13" ht="22.5" customHeight="1" x14ac:dyDescent="0.35">
      <c r="A4" s="242" t="s">
        <v>5314</v>
      </c>
      <c r="B4" s="238" t="str">
        <f>"W-"&amp;A4</f>
        <v>W-046</v>
      </c>
      <c r="C4" s="239"/>
      <c r="D4" s="692" t="str">
        <f>+INDEX(WEAP!$A:$AN,MATCH(B5,WEAP!$A:$A,0),MATCH("Name",WEAP!$A$1:$BF$1,0))</f>
        <v>Maar Oasis</v>
      </c>
      <c r="E4" s="693"/>
      <c r="F4" s="693"/>
      <c r="G4" s="694"/>
      <c r="I4" s="241" t="str">
        <f>+INDEX(WEAP!$A:$AN,MATCH(B5,WEAP!$A:$A,0),MATCH("Weapon Skill",WEAP!$A$1:$BF$1,0))</f>
        <v>Maar's Recovery</v>
      </c>
      <c r="J4" s="243">
        <f>INDEX('W-S'!$A:$N,MATCH(I4,'W-S'!$C:$C,0),MATCH("SP Cost",'W-S'!$1:$1,0))</f>
        <v>12841</v>
      </c>
      <c r="K4" s="9"/>
      <c r="L4" s="241" t="str">
        <f>+I4</f>
        <v>Maar's Recovery</v>
      </c>
      <c r="M4" s="243">
        <f>INDEX('W-S'!$A:$N,MATCH(L4,'W-S'!$C:$C,0),MATCH("SP Cost V3",'W-S'!$1:$1,0))</f>
        <v>12000</v>
      </c>
    </row>
    <row r="5" spans="1:13" ht="22.5" x14ac:dyDescent="0.35">
      <c r="B5" s="238" t="str">
        <f>+INDEX(WEAP!$A:$AN,MATCH(B4,WEAP!$B:$B,0),MATCH("ID",WEAP!$A$1:$BF$1,0))</f>
        <v>302010_01</v>
      </c>
      <c r="C5" s="240"/>
      <c r="D5" s="692" t="str">
        <f>+INDEX(WEAP!$A:$AN,MATCH(B4,WEAP!$B:$B,0),MATCH("Family",WEAP!$A$1:$BF$1,0))&amp;" Weapon"</f>
        <v>Core E Weapon</v>
      </c>
      <c r="E5" s="693"/>
      <c r="F5" s="693"/>
      <c r="G5" s="694"/>
      <c r="H5" s="8"/>
      <c r="I5" s="695" t="str">
        <f>INDEX('W-S'!$A:$O,MATCH(I4,'W-S'!$C:$C,0),MATCH("Description",'W-S'!$1:$1,0))</f>
        <v>Restores the user's HP with 90% Recovery Potency.</v>
      </c>
      <c r="J5" s="696"/>
      <c r="K5" s="239"/>
      <c r="L5" s="695" t="str">
        <f>INDEX('W-S'!$A:$O,MATCH(I4,'W-S'!$C:$C,0),MATCH("Description V3",'W-S'!$1:$1,0))</f>
        <v>Restores the user's HP with 130% Recovery Potency, and adds 20% to the modifier applied to damage against flame-attuned enemies for 20 seconds.</v>
      </c>
      <c r="M5" s="696"/>
    </row>
    <row r="6" spans="1:13" ht="22.5" x14ac:dyDescent="0.2">
      <c r="B6" s="701" t="e" vm="21">
        <f>+_xlfn.IMAGE("https://natalie.tf/wp-content/uploads/2023/10/DLV3_Icon_Weapon_"&amp;B5&amp;".png")</f>
        <v>#VALUE!</v>
      </c>
      <c r="C6" s="240"/>
      <c r="D6" s="692" t="str">
        <f>INDEX(WEAP!$A:$AN,MATCH(B5,WEAP!$A:$A,0),MATCH("Element",WEAP!$A$1:$BF$1,0))&amp;" "&amp;INDEX(WEAP!$A:$AN,MATCH(B5,WEAP!$A:$A,0),MATCH("Type",WEAP!$A$1:$BF$1,0))</f>
        <v>Water Blade</v>
      </c>
      <c r="E6" s="693"/>
      <c r="F6" s="693"/>
      <c r="G6" s="694"/>
      <c r="H6" s="8"/>
      <c r="I6" s="697"/>
      <c r="J6" s="698"/>
      <c r="K6" s="9"/>
      <c r="L6" s="697"/>
      <c r="M6" s="698"/>
    </row>
    <row r="7" spans="1:13" ht="22.5" x14ac:dyDescent="0.35">
      <c r="B7" s="702"/>
      <c r="C7" s="239"/>
      <c r="D7" s="703" t="s">
        <v>10760</v>
      </c>
      <c r="E7" s="704"/>
      <c r="F7" s="235" t="s">
        <v>10761</v>
      </c>
      <c r="G7" s="235" t="s">
        <v>10762</v>
      </c>
      <c r="I7" s="697"/>
      <c r="J7" s="698"/>
      <c r="K7" s="239"/>
      <c r="L7" s="697"/>
      <c r="M7" s="698"/>
    </row>
    <row r="8" spans="1:13" ht="22.5" x14ac:dyDescent="0.35">
      <c r="B8" s="702"/>
      <c r="C8" s="239"/>
      <c r="D8" s="705" t="s">
        <v>96</v>
      </c>
      <c r="E8" s="706"/>
      <c r="F8" s="236">
        <f>INDEX(WEAP!$A:$AN,MATCH(B5,WEAP!$A:$A,0),MATCH("HP",WEAP!$A$1:$BF$1,0))</f>
        <v>157</v>
      </c>
      <c r="G8" s="237">
        <f>INDEX(WEAP!$A:$AN,MATCH(B5,WEAP!$A:$A,0),MATCH("HP V3",WEAP!$A$1:$BF$1,0))</f>
        <v>160</v>
      </c>
      <c r="I8" s="697"/>
      <c r="J8" s="698"/>
      <c r="K8" s="239"/>
      <c r="L8" s="697"/>
      <c r="M8" s="698"/>
    </row>
    <row r="9" spans="1:13" ht="22.5" x14ac:dyDescent="0.35">
      <c r="B9" s="702"/>
      <c r="C9" s="239"/>
      <c r="D9" s="707" t="s">
        <v>97</v>
      </c>
      <c r="E9" s="708"/>
      <c r="F9" s="236">
        <f>INDEX(WEAP!$A:$AN,MATCH(B5,WEAP!$A:$A,0),MATCH("Str",WEAP!$A$1:$BF$1,0))</f>
        <v>598</v>
      </c>
      <c r="G9" s="237">
        <f>INDEX(WEAP!$A:$AN,MATCH(B5,WEAP!$A:$A,0),MATCH("Str V3",WEAP!$A$1:$BF$1,0))</f>
        <v>650</v>
      </c>
      <c r="I9" s="699"/>
      <c r="J9" s="700"/>
      <c r="K9" s="239"/>
      <c r="L9" s="699"/>
      <c r="M9" s="700"/>
    </row>
    <row r="10" spans="1:13" ht="7.5" customHeight="1" x14ac:dyDescent="0.35">
      <c r="B10" s="239"/>
      <c r="C10" s="239"/>
      <c r="E10" s="239"/>
      <c r="F10" s="239"/>
      <c r="G10" s="239"/>
      <c r="I10" s="239"/>
      <c r="J10" s="239"/>
      <c r="K10" s="239"/>
      <c r="L10" s="239"/>
      <c r="M10" s="239"/>
    </row>
    <row r="11" spans="1:13" ht="22.5" customHeight="1" x14ac:dyDescent="0.35">
      <c r="A11" s="242" t="str">
        <f>TEXT(A4+1,"000")</f>
        <v>047</v>
      </c>
      <c r="B11" s="238" t="str">
        <f>"W-"&amp;A11</f>
        <v>W-047</v>
      </c>
      <c r="C11" s="239"/>
      <c r="D11" s="692" t="str">
        <f>+INDEX(WEAP!$A:$AN,MATCH(B12,WEAP!$A:$A,0),MATCH("Name",WEAP!$A$1:$BF$1,0))</f>
        <v>Lux Lamina</v>
      </c>
      <c r="E11" s="693"/>
      <c r="F11" s="693"/>
      <c r="G11" s="694"/>
      <c r="I11" s="241" t="str">
        <f>+INDEX(WEAP!$A:$AN,MATCH(B12,WEAP!$A:$A,0),MATCH("Weapon Skill",WEAP!$A$1:$BF$1,0))</f>
        <v>Cobalt Strength</v>
      </c>
      <c r="J11" s="243">
        <f>INDEX('W-S'!$A:$N,MATCH(I11,'W-S'!$C:$C,0),MATCH("SP Cost",'W-S'!$1:$1,0))</f>
        <v>7103</v>
      </c>
      <c r="K11" s="9"/>
      <c r="L11" s="241" t="str">
        <f>+I11</f>
        <v>Cobalt Strength</v>
      </c>
      <c r="M11" s="243">
        <f>INDEX('W-S'!$A:$N,MATCH(L11,'W-S'!$C:$C,0),MATCH("SP Cost V3",'W-S'!$1:$1,0))</f>
        <v>6000</v>
      </c>
    </row>
    <row r="12" spans="1:13" ht="22.5" customHeight="1" x14ac:dyDescent="0.35">
      <c r="B12" s="238" t="str">
        <f>+INDEX(WEAP!$A:$AN,MATCH(B11,WEAP!$B:$B,0),MATCH("ID",WEAP!$A$1:$BF$1,0))</f>
        <v>303020_01</v>
      </c>
      <c r="C12" s="240"/>
      <c r="D12" s="692" t="str">
        <f>+INDEX(WEAP!$A:$AN,MATCH(B11,WEAP!$B:$B,0),MATCH("Family",WEAP!$A$1:$BF$1,0))&amp;" Weapon"</f>
        <v>Core E Weapon</v>
      </c>
      <c r="E12" s="693"/>
      <c r="F12" s="693"/>
      <c r="G12" s="694"/>
      <c r="H12" s="8"/>
      <c r="I12" s="695" t="str">
        <f>INDEX('W-S'!$A:$O,MATCH(I11,'W-S'!$C:$C,0),MATCH("Description",'W-S'!$1:$1,0))</f>
        <v>Increases the user's strength by 40% for 5 seconds.</v>
      </c>
      <c r="J12" s="696"/>
      <c r="K12" s="239"/>
      <c r="L12" s="695" t="str">
        <f>INDEX('W-S'!$A:$O,MATCH(I11,'W-S'!$C:$C,0),MATCH("Description V3",'W-S'!$1:$1,0))</f>
        <v>Increases the user's strength by 50% for 20 seconds, and adds 20% to the modifier applied to damage against flame-attuned enemies for 20 seconds.</v>
      </c>
      <c r="M12" s="696"/>
    </row>
    <row r="13" spans="1:13" ht="22.5" x14ac:dyDescent="0.2">
      <c r="B13" s="701" t="e" vm="22">
        <f>+_xlfn.IMAGE("https://natalie.tf/wp-content/uploads/2023/10/DLV3_Icon_Weapon_"&amp;B12&amp;".png")</f>
        <v>#VALUE!</v>
      </c>
      <c r="C13" s="240"/>
      <c r="D13" s="692" t="str">
        <f>INDEX(WEAP!$A:$AN,MATCH(B12,WEAP!$A:$A,0),MATCH("Element",WEAP!$A$1:$BF$1,0))&amp;" "&amp;INDEX(WEAP!$A:$AN,MATCH(B12,WEAP!$A:$A,0),MATCH("Type",WEAP!$A$1:$BF$1,0))</f>
        <v>Water Dagger</v>
      </c>
      <c r="E13" s="693"/>
      <c r="F13" s="693"/>
      <c r="G13" s="694"/>
      <c r="H13" s="8"/>
      <c r="I13" s="697"/>
      <c r="J13" s="698"/>
      <c r="K13" s="9"/>
      <c r="L13" s="697"/>
      <c r="M13" s="698"/>
    </row>
    <row r="14" spans="1:13" ht="22.5" customHeight="1" x14ac:dyDescent="0.35">
      <c r="B14" s="702"/>
      <c r="C14" s="239"/>
      <c r="D14" s="703" t="s">
        <v>10760</v>
      </c>
      <c r="E14" s="704"/>
      <c r="F14" s="235" t="s">
        <v>10761</v>
      </c>
      <c r="G14" s="235" t="s">
        <v>10762</v>
      </c>
      <c r="I14" s="697"/>
      <c r="J14" s="698"/>
      <c r="K14" s="239"/>
      <c r="L14" s="697"/>
      <c r="M14" s="698"/>
    </row>
    <row r="15" spans="1:13" ht="22.5" customHeight="1" x14ac:dyDescent="0.35">
      <c r="B15" s="702"/>
      <c r="C15" s="239"/>
      <c r="D15" s="705" t="s">
        <v>96</v>
      </c>
      <c r="E15" s="706"/>
      <c r="F15" s="236">
        <f>INDEX(WEAP!$A:$AN,MATCH(B12,WEAP!$A:$A,0),MATCH("HP",WEAP!$A$1:$BF$1,0))</f>
        <v>167</v>
      </c>
      <c r="G15" s="237">
        <f>INDEX(WEAP!$A:$AN,MATCH(B12,WEAP!$A:$A,0),MATCH("HP V3",WEAP!$A$1:$BF$1,0))</f>
        <v>170</v>
      </c>
      <c r="I15" s="697"/>
      <c r="J15" s="698"/>
      <c r="K15" s="239"/>
      <c r="L15" s="697"/>
      <c r="M15" s="698"/>
    </row>
    <row r="16" spans="1:13" ht="22.5" customHeight="1" x14ac:dyDescent="0.35">
      <c r="B16" s="702"/>
      <c r="C16" s="239"/>
      <c r="D16" s="707" t="s">
        <v>97</v>
      </c>
      <c r="E16" s="708"/>
      <c r="F16" s="236">
        <f>INDEX(WEAP!$A:$AN,MATCH(B12,WEAP!$A:$A,0),MATCH("Str",WEAP!$A$1:$BF$1,0))</f>
        <v>582</v>
      </c>
      <c r="G16" s="237">
        <f>INDEX(WEAP!$A:$AN,MATCH(B12,WEAP!$A:$A,0),MATCH("Str V3",WEAP!$A$1:$BF$1,0))</f>
        <v>600</v>
      </c>
      <c r="I16" s="699"/>
      <c r="J16" s="700"/>
      <c r="K16" s="239"/>
      <c r="L16" s="699"/>
      <c r="M16" s="700"/>
    </row>
    <row r="17" spans="1:13" ht="7.5" customHeight="1" x14ac:dyDescent="0.35">
      <c r="B17" s="239"/>
      <c r="C17" s="239"/>
      <c r="E17" s="239"/>
      <c r="F17" s="239"/>
      <c r="G17" s="239"/>
      <c r="I17" s="239"/>
      <c r="J17" s="239"/>
      <c r="K17" s="239"/>
      <c r="L17" s="239"/>
      <c r="M17" s="239"/>
    </row>
    <row r="18" spans="1:13" ht="22.5" customHeight="1" x14ac:dyDescent="0.35">
      <c r="A18" s="244" t="str">
        <f>TEXT(A11+1,"000")</f>
        <v>048</v>
      </c>
      <c r="B18" s="238" t="str">
        <f>"W-"&amp;A18</f>
        <v>W-048</v>
      </c>
      <c r="C18" s="239"/>
      <c r="D18" s="692" t="str">
        <f>+INDEX(WEAP!$A:$AN,MATCH(B19,WEAP!$A:$A,0),MATCH("Name",WEAP!$A$1:$BF$1,0))</f>
        <v>Grand Seadragon</v>
      </c>
      <c r="E18" s="693"/>
      <c r="F18" s="693"/>
      <c r="G18" s="694"/>
      <c r="I18" s="241" t="str">
        <f>+INDEX(WEAP!$A:$AN,MATCH(B19,WEAP!$A:$A,0),MATCH("Weapon Skill",WEAP!$A$1:$BF$1,0))</f>
        <v>Seadragon's Impact</v>
      </c>
      <c r="J18" s="243">
        <f>INDEX('W-S'!$A:$N,MATCH(I18,'W-S'!$C:$C,0),MATCH("SP Cost",'W-S'!$1:$1,0))</f>
        <v>9025</v>
      </c>
      <c r="K18" s="9"/>
      <c r="L18" s="241" t="str">
        <f>+I18</f>
        <v>Seadragon's Impact</v>
      </c>
      <c r="M18" s="243">
        <f>INDEX('W-S'!$A:$N,MATCH(L18,'W-S'!$C:$C,0),MATCH("SP Cost V3",'W-S'!$1:$1,0))</f>
        <v>6000</v>
      </c>
    </row>
    <row r="19" spans="1:13" ht="22.5" customHeight="1" x14ac:dyDescent="0.35">
      <c r="B19" s="238" t="str">
        <f>+INDEX(WEAP!$A:$AN,MATCH(B18,WEAP!$B:$B,0),MATCH("ID",WEAP!$A$1:$BF$1,0))</f>
        <v>304028_01</v>
      </c>
      <c r="C19" s="240"/>
      <c r="D19" s="692" t="str">
        <f>+INDEX(WEAP!$A:$AN,MATCH(B18,WEAP!$B:$B,0),MATCH("Family",WEAP!$A$1:$BF$1,0))&amp;" Weapon"</f>
        <v>Core E Weapon</v>
      </c>
      <c r="E19" s="693"/>
      <c r="F19" s="693"/>
      <c r="G19" s="694"/>
      <c r="H19" s="8"/>
      <c r="I19" s="695" t="str">
        <f>INDEX('W-S'!$A:$O,MATCH(I18,'W-S'!$C:$C,0),MATCH("Description",'W-S'!$1:$1,0))</f>
        <v>Deals 3 hits of 418% water damage to enemies directly ahead.</v>
      </c>
      <c r="J19" s="696"/>
      <c r="K19" s="239"/>
      <c r="L19" s="695" t="str">
        <f>INDEX('W-S'!$A:$O,MATCH(I18,'W-S'!$C:$C,0),MATCH("Description V3",'W-S'!$1:$1,0))</f>
        <v>Deals 3 hits of 500% water damage to enemies directly ahead, and adds 20% to the modifier applied to damage against flame-attuned enemies for 20 seconds.</v>
      </c>
      <c r="M19" s="696"/>
    </row>
    <row r="20" spans="1:13" ht="22.5" x14ac:dyDescent="0.2">
      <c r="B20" s="701" t="e" vm="23">
        <f>+_xlfn.IMAGE("https://natalie.tf/wp-content/uploads/2023/10/DLV3_Icon_Weapon_"&amp;B19&amp;".png")</f>
        <v>#VALUE!</v>
      </c>
      <c r="C20" s="240"/>
      <c r="D20" s="692" t="str">
        <f>INDEX(WEAP!$A:$AN,MATCH(B19,WEAP!$A:$A,0),MATCH("Element",WEAP!$A$1:$BF$1,0))&amp;" "&amp;INDEX(WEAP!$A:$AN,MATCH(B19,WEAP!$A:$A,0),MATCH("Type",WEAP!$A$1:$BF$1,0))</f>
        <v>Water Axe</v>
      </c>
      <c r="E20" s="693"/>
      <c r="F20" s="693"/>
      <c r="G20" s="694"/>
      <c r="H20" s="8"/>
      <c r="I20" s="697"/>
      <c r="J20" s="698"/>
      <c r="K20" s="9"/>
      <c r="L20" s="697"/>
      <c r="M20" s="698"/>
    </row>
    <row r="21" spans="1:13" ht="22.5" customHeight="1" x14ac:dyDescent="0.35">
      <c r="B21" s="702"/>
      <c r="C21" s="239"/>
      <c r="D21" s="703" t="s">
        <v>10760</v>
      </c>
      <c r="E21" s="704"/>
      <c r="F21" s="235" t="s">
        <v>10761</v>
      </c>
      <c r="G21" s="235" t="s">
        <v>10762</v>
      </c>
      <c r="I21" s="697"/>
      <c r="J21" s="698"/>
      <c r="K21" s="239"/>
      <c r="L21" s="697"/>
      <c r="M21" s="698"/>
    </row>
    <row r="22" spans="1:13" ht="22.5" customHeight="1" x14ac:dyDescent="0.35">
      <c r="B22" s="702"/>
      <c r="C22" s="239"/>
      <c r="D22" s="705" t="s">
        <v>96</v>
      </c>
      <c r="E22" s="706"/>
      <c r="F22" s="236">
        <f>INDEX(WEAP!$A:$AN,MATCH(B19,WEAP!$A:$A,0),MATCH("HP",WEAP!$A$1:$BF$1,0))</f>
        <v>161</v>
      </c>
      <c r="G22" s="237">
        <f>INDEX(WEAP!$A:$AN,MATCH(B19,WEAP!$A:$A,0),MATCH("HP V3",WEAP!$A$1:$BF$1,0))</f>
        <v>170</v>
      </c>
      <c r="I22" s="697"/>
      <c r="J22" s="698"/>
      <c r="K22" s="239"/>
      <c r="L22" s="697"/>
      <c r="M22" s="698"/>
    </row>
    <row r="23" spans="1:13" ht="22.5" customHeight="1" x14ac:dyDescent="0.35">
      <c r="B23" s="702"/>
      <c r="C23" s="239"/>
      <c r="D23" s="707" t="s">
        <v>97</v>
      </c>
      <c r="E23" s="708"/>
      <c r="F23" s="236">
        <f>INDEX(WEAP!$A:$AN,MATCH(B19,WEAP!$A:$A,0),MATCH("Str",WEAP!$A$1:$BF$1,0))</f>
        <v>642</v>
      </c>
      <c r="G23" s="237">
        <f>INDEX(WEAP!$A:$AN,MATCH(B19,WEAP!$A:$A,0),MATCH("Str V3",WEAP!$A$1:$BF$1,0))</f>
        <v>645</v>
      </c>
      <c r="I23" s="699"/>
      <c r="J23" s="700"/>
      <c r="K23" s="239"/>
      <c r="L23" s="699"/>
      <c r="M23" s="700"/>
    </row>
    <row r="24" spans="1:13" ht="7.5" customHeight="1" x14ac:dyDescent="0.35">
      <c r="B24" s="239"/>
      <c r="C24" s="239"/>
      <c r="E24" s="239"/>
      <c r="F24" s="239"/>
      <c r="G24" s="239"/>
      <c r="I24" s="239"/>
      <c r="J24" s="239"/>
      <c r="K24" s="239"/>
      <c r="L24" s="239"/>
      <c r="M24" s="239"/>
    </row>
    <row r="25" spans="1:13" ht="22.5" customHeight="1" x14ac:dyDescent="0.35">
      <c r="A25" s="244" t="str">
        <f>TEXT(A18+1,"000")</f>
        <v>049</v>
      </c>
      <c r="B25" s="238" t="str">
        <f>"W-"&amp;A25</f>
        <v>W-049</v>
      </c>
      <c r="C25" s="239"/>
      <c r="D25" s="692" t="str">
        <f>+INDEX(WEAP!$A:$AN,MATCH(B26,WEAP!$A:$A,0),MATCH("Name",WEAP!$A$1:$BF$1,0))</f>
        <v>Ocean Lord</v>
      </c>
      <c r="E25" s="693"/>
      <c r="F25" s="693"/>
      <c r="G25" s="694"/>
      <c r="I25" s="241" t="str">
        <f>+INDEX(WEAP!$A:$AN,MATCH(B26,WEAP!$A:$A,0),MATCH("Weapon Skill",WEAP!$A$1:$BF$1,0))</f>
        <v>Ocean's Healing</v>
      </c>
      <c r="J25" s="243">
        <f>INDEX('W-S'!$A:$N,MATCH(I25,'W-S'!$C:$C,0),MATCH("SP Cost",'W-S'!$1:$1,0))</f>
        <v>14410</v>
      </c>
      <c r="K25" s="9"/>
      <c r="L25" s="241" t="str">
        <f>+I25</f>
        <v>Ocean's Healing</v>
      </c>
      <c r="M25" s="243">
        <f>INDEX('W-S'!$A:$N,MATCH(L25,'W-S'!$C:$C,0),MATCH("SP Cost V3",'W-S'!$1:$1,0))</f>
        <v>12000</v>
      </c>
    </row>
    <row r="26" spans="1:13" ht="22.5" customHeight="1" x14ac:dyDescent="0.35">
      <c r="B26" s="238" t="str">
        <f>+INDEX(WEAP!$A:$AN,MATCH(B25,WEAP!$B:$B,0),MATCH("ID",WEAP!$A$1:$BF$1,0))</f>
        <v>305014_01</v>
      </c>
      <c r="C26" s="240"/>
      <c r="D26" s="692" t="str">
        <f>+INDEX(WEAP!$A:$AN,MATCH(B25,WEAP!$B:$B,0),MATCH("Family",WEAP!$A$1:$BF$1,0))&amp;" Weapon"</f>
        <v>Core E Weapon</v>
      </c>
      <c r="E26" s="693"/>
      <c r="F26" s="693"/>
      <c r="G26" s="694"/>
      <c r="H26" s="8"/>
      <c r="I26" s="695" t="str">
        <f>INDEX('W-S'!$A:$O,MATCH(I25,'W-S'!$C:$C,0),MATCH("Description",'W-S'!$1:$1,0))</f>
        <v>Restores HP to surrounding teammates with 72% Recovery Potency.</v>
      </c>
      <c r="J26" s="696"/>
      <c r="K26" s="239"/>
      <c r="L26" s="695" t="str">
        <f>INDEX('W-S'!$A:$O,MATCH(I25,'W-S'!$C:$C,0),MATCH("Description V3",'W-S'!$1:$1,0))</f>
        <v>Restores HP to all teammates with 90% Recovery Potency, and adds 20% to the user's modifier applied to damage against flame-attuned enemies for 20 seconds.</v>
      </c>
      <c r="M26" s="696"/>
    </row>
    <row r="27" spans="1:13" ht="22.5" x14ac:dyDescent="0.2">
      <c r="B27" s="701" t="e" vm="24">
        <f>+_xlfn.IMAGE("https://natalie.tf/wp-content/uploads/2023/10/DLV3_Icon_Weapon_"&amp;B26&amp;".png")</f>
        <v>#VALUE!</v>
      </c>
      <c r="C27" s="240"/>
      <c r="D27" s="692" t="str">
        <f>INDEX(WEAP!$A:$AN,MATCH(B26,WEAP!$A:$A,0),MATCH("Element",WEAP!$A$1:$BF$1,0))&amp;" "&amp;INDEX(WEAP!$A:$AN,MATCH(B26,WEAP!$A:$A,0),MATCH("Type",WEAP!$A$1:$BF$1,0))</f>
        <v>Water Lance</v>
      </c>
      <c r="E27" s="693"/>
      <c r="F27" s="693"/>
      <c r="G27" s="694"/>
      <c r="H27" s="8"/>
      <c r="I27" s="697"/>
      <c r="J27" s="698"/>
      <c r="K27" s="9"/>
      <c r="L27" s="697"/>
      <c r="M27" s="698"/>
    </row>
    <row r="28" spans="1:13" ht="22.5" customHeight="1" x14ac:dyDescent="0.35">
      <c r="B28" s="702"/>
      <c r="C28" s="239"/>
      <c r="D28" s="703" t="s">
        <v>10760</v>
      </c>
      <c r="E28" s="704"/>
      <c r="F28" s="235" t="s">
        <v>10761</v>
      </c>
      <c r="G28" s="235" t="s">
        <v>10762</v>
      </c>
      <c r="I28" s="697"/>
      <c r="J28" s="698"/>
      <c r="K28" s="239"/>
      <c r="L28" s="697"/>
      <c r="M28" s="698"/>
    </row>
    <row r="29" spans="1:13" ht="22.5" customHeight="1" x14ac:dyDescent="0.35">
      <c r="B29" s="702"/>
      <c r="C29" s="239"/>
      <c r="D29" s="705" t="s">
        <v>96</v>
      </c>
      <c r="E29" s="706"/>
      <c r="F29" s="236">
        <f>INDEX(WEAP!$A:$AN,MATCH(B26,WEAP!$A:$A,0),MATCH("HP",WEAP!$A$1:$BF$1,0))</f>
        <v>182</v>
      </c>
      <c r="G29" s="237">
        <f>INDEX(WEAP!$A:$AN,MATCH(B26,WEAP!$A:$A,0),MATCH("HP V3",WEAP!$A$1:$BF$1,0))</f>
        <v>185</v>
      </c>
      <c r="I29" s="697"/>
      <c r="J29" s="698"/>
      <c r="K29" s="239"/>
      <c r="L29" s="697"/>
      <c r="M29" s="698"/>
    </row>
    <row r="30" spans="1:13" ht="22.5" customHeight="1" x14ac:dyDescent="0.35">
      <c r="B30" s="702"/>
      <c r="C30" s="239"/>
      <c r="D30" s="707" t="s">
        <v>97</v>
      </c>
      <c r="E30" s="708"/>
      <c r="F30" s="236">
        <f>INDEX(WEAP!$A:$AN,MATCH(B26,WEAP!$A:$A,0),MATCH("Str",WEAP!$A$1:$BF$1,0))</f>
        <v>576</v>
      </c>
      <c r="G30" s="237">
        <f>INDEX(WEAP!$A:$AN,MATCH(B26,WEAP!$A:$A,0),MATCH("Str V3",WEAP!$A$1:$BF$1,0))</f>
        <v>625</v>
      </c>
      <c r="I30" s="699"/>
      <c r="J30" s="700"/>
      <c r="K30" s="239"/>
      <c r="L30" s="699"/>
      <c r="M30" s="700"/>
    </row>
    <row r="31" spans="1:13" ht="7.5" customHeight="1" x14ac:dyDescent="0.35">
      <c r="B31" s="239"/>
      <c r="C31" s="239"/>
      <c r="E31" s="239"/>
      <c r="F31" s="239"/>
      <c r="G31" s="239"/>
      <c r="I31" s="239"/>
      <c r="J31" s="239"/>
      <c r="K31" s="239"/>
      <c r="L31" s="239"/>
      <c r="M31" s="239"/>
    </row>
    <row r="32" spans="1:13" ht="22.5" customHeight="1" x14ac:dyDescent="0.35">
      <c r="A32" s="244" t="str">
        <f>TEXT(A25+1,"000")</f>
        <v>050</v>
      </c>
      <c r="B32" s="238" t="str">
        <f>"W-"&amp;A32</f>
        <v>W-050</v>
      </c>
      <c r="C32" s="239"/>
      <c r="D32" s="692" t="str">
        <f>+INDEX(WEAP!$A:$AN,MATCH(B33,WEAP!$A:$A,0),MATCH("Name",WEAP!$A$1:$BF$1,0))</f>
        <v>Peacock's Whorl</v>
      </c>
      <c r="E32" s="693"/>
      <c r="F32" s="693"/>
      <c r="G32" s="694"/>
      <c r="I32" s="241" t="str">
        <f>+INDEX(WEAP!$A:$AN,MATCH(B33,WEAP!$A:$A,0),MATCH("Weapon Skill",WEAP!$A$1:$BF$1,0))</f>
        <v>Peacock Shot</v>
      </c>
      <c r="J32" s="243">
        <f>INDEX('W-S'!$A:$N,MATCH(I32,'W-S'!$C:$C,0),MATCH("SP Cost",'W-S'!$1:$1,0))</f>
        <v>7316</v>
      </c>
      <c r="K32" s="9"/>
      <c r="L32" s="241" t="str">
        <f>+I32</f>
        <v>Peacock Shot</v>
      </c>
      <c r="M32" s="243">
        <f>INDEX('W-S'!$A:$N,MATCH(L32,'W-S'!$C:$C,0),MATCH("SP Cost V3",'W-S'!$1:$1,0))</f>
        <v>6000</v>
      </c>
    </row>
    <row r="33" spans="2:13" ht="22.5" customHeight="1" x14ac:dyDescent="0.35">
      <c r="B33" s="238" t="str">
        <f>+INDEX(WEAP!$A:$AN,MATCH(B32,WEAP!$B:$B,0),MATCH("ID",WEAP!$A$1:$BF$1,0))</f>
        <v>306029_01</v>
      </c>
      <c r="C33" s="240"/>
      <c r="D33" s="692" t="str">
        <f>+INDEX(WEAP!$A:$AN,MATCH(B32,WEAP!$B:$B,0),MATCH("Family",WEAP!$A$1:$BF$1,0))&amp;" Weapon"</f>
        <v>Core E Weapon</v>
      </c>
      <c r="E33" s="693"/>
      <c r="F33" s="693"/>
      <c r="G33" s="694"/>
      <c r="H33" s="8"/>
      <c r="I33" s="695" t="str">
        <f>INDEX('W-S'!$A:$O,MATCH(I32,'W-S'!$C:$C,0),MATCH("Description",'W-S'!$1:$1,0))</f>
        <v>Increases the user's critical rate by 25% for 10 seconds.</v>
      </c>
      <c r="J33" s="696"/>
      <c r="K33" s="239"/>
      <c r="L33" s="695" t="str">
        <f>INDEX('W-S'!$A:$O,MATCH(I32,'W-S'!$C:$C,0),MATCH("Description V3",'W-S'!$1:$1,0))</f>
        <v>Increases the user's critical rate by 30% for 20 seconds, and adds 20% to the modifier applied to damage against flame-attuned enemies for 20 seconds.</v>
      </c>
      <c r="M33" s="696"/>
    </row>
    <row r="34" spans="2:13" ht="22.5" x14ac:dyDescent="0.2">
      <c r="B34" s="701" t="e" vm="25">
        <f>+_xlfn.IMAGE("https://natalie.tf/wp-content/uploads/2023/10/DLV3_Icon_Weapon_"&amp;B33&amp;".png")</f>
        <v>#VALUE!</v>
      </c>
      <c r="C34" s="240"/>
      <c r="D34" s="692" t="str">
        <f>INDEX(WEAP!$A:$AN,MATCH(B33,WEAP!$A:$A,0),MATCH("Element",WEAP!$A$1:$BF$1,0))&amp;" "&amp;INDEX(WEAP!$A:$AN,MATCH(B33,WEAP!$A:$A,0),MATCH("Type",WEAP!$A$1:$BF$1,0))</f>
        <v>Water Bow</v>
      </c>
      <c r="E34" s="693"/>
      <c r="F34" s="693"/>
      <c r="G34" s="694"/>
      <c r="H34" s="8"/>
      <c r="I34" s="697"/>
      <c r="J34" s="698"/>
      <c r="K34" s="9"/>
      <c r="L34" s="697"/>
      <c r="M34" s="698"/>
    </row>
    <row r="35" spans="2:13" ht="22.5" customHeight="1" x14ac:dyDescent="0.35">
      <c r="B35" s="702"/>
      <c r="C35" s="239"/>
      <c r="D35" s="703" t="s">
        <v>10760</v>
      </c>
      <c r="E35" s="704"/>
      <c r="F35" s="235" t="s">
        <v>10761</v>
      </c>
      <c r="G35" s="235" t="s">
        <v>10762</v>
      </c>
      <c r="I35" s="697"/>
      <c r="J35" s="698"/>
      <c r="K35" s="239"/>
      <c r="L35" s="697"/>
      <c r="M35" s="698"/>
    </row>
    <row r="36" spans="2:13" ht="22.5" customHeight="1" x14ac:dyDescent="0.35">
      <c r="B36" s="702"/>
      <c r="C36" s="239"/>
      <c r="D36" s="705" t="s">
        <v>96</v>
      </c>
      <c r="E36" s="706"/>
      <c r="F36" s="236">
        <f>INDEX(WEAP!$A:$AN,MATCH(B33,WEAP!$A:$A,0),MATCH("HP",WEAP!$A$1:$BF$1,0))</f>
        <v>162</v>
      </c>
      <c r="G36" s="237">
        <f>INDEX(WEAP!$A:$AN,MATCH(B33,WEAP!$A:$A,0),MATCH("HP V3",WEAP!$A$1:$BF$1,0))</f>
        <v>165</v>
      </c>
      <c r="I36" s="697"/>
      <c r="J36" s="698"/>
      <c r="K36" s="239"/>
      <c r="L36" s="697"/>
      <c r="M36" s="698"/>
    </row>
    <row r="37" spans="2:13" ht="22.5" customHeight="1" x14ac:dyDescent="0.35">
      <c r="B37" s="702"/>
      <c r="C37" s="239"/>
      <c r="D37" s="707" t="s">
        <v>97</v>
      </c>
      <c r="E37" s="708"/>
      <c r="F37" s="236">
        <f>INDEX(WEAP!$A:$AN,MATCH(B33,WEAP!$A:$A,0),MATCH("Str",WEAP!$A$1:$BF$1,0))</f>
        <v>570</v>
      </c>
      <c r="G37" s="237">
        <f>INDEX(WEAP!$A:$AN,MATCH(B33,WEAP!$A:$A,0),MATCH("Str V3",WEAP!$A$1:$BF$1,0))</f>
        <v>590</v>
      </c>
      <c r="I37" s="699"/>
      <c r="J37" s="700"/>
      <c r="K37" s="239"/>
      <c r="L37" s="699"/>
      <c r="M37" s="700"/>
    </row>
  </sheetData>
  <mergeCells count="48">
    <mergeCell ref="I12:J16"/>
    <mergeCell ref="L12:M16"/>
    <mergeCell ref="B2:G2"/>
    <mergeCell ref="I2:J2"/>
    <mergeCell ref="L2:M2"/>
    <mergeCell ref="D4:G4"/>
    <mergeCell ref="D5:G5"/>
    <mergeCell ref="I5:J9"/>
    <mergeCell ref="L5:M9"/>
    <mergeCell ref="B6:B9"/>
    <mergeCell ref="D6:G6"/>
    <mergeCell ref="D7:E7"/>
    <mergeCell ref="B13:B16"/>
    <mergeCell ref="D18:G18"/>
    <mergeCell ref="D8:E8"/>
    <mergeCell ref="D9:E9"/>
    <mergeCell ref="D11:G11"/>
    <mergeCell ref="D12:G12"/>
    <mergeCell ref="D13:G13"/>
    <mergeCell ref="D14:E14"/>
    <mergeCell ref="D15:E15"/>
    <mergeCell ref="D16:E16"/>
    <mergeCell ref="D19:G19"/>
    <mergeCell ref="I19:J23"/>
    <mergeCell ref="L19:M23"/>
    <mergeCell ref="B20:B23"/>
    <mergeCell ref="D20:G20"/>
    <mergeCell ref="D21:E21"/>
    <mergeCell ref="D22:E22"/>
    <mergeCell ref="D23:E23"/>
    <mergeCell ref="D25:G25"/>
    <mergeCell ref="D26:G26"/>
    <mergeCell ref="I26:J30"/>
    <mergeCell ref="L26:M30"/>
    <mergeCell ref="B27:B30"/>
    <mergeCell ref="D27:G27"/>
    <mergeCell ref="D28:E28"/>
    <mergeCell ref="D29:E29"/>
    <mergeCell ref="D30:E30"/>
    <mergeCell ref="D32:G32"/>
    <mergeCell ref="D33:G33"/>
    <mergeCell ref="I33:J37"/>
    <mergeCell ref="L33:M37"/>
    <mergeCell ref="B34:B37"/>
    <mergeCell ref="D34:G34"/>
    <mergeCell ref="D35:E35"/>
    <mergeCell ref="D36:E36"/>
    <mergeCell ref="D37:E37"/>
  </mergeCells>
  <printOptions horizontalCentered="1" verticalCentered="1"/>
  <pageMargins left="0" right="0" top="0" bottom="0" header="0" footer="0"/>
  <pageSetup scale="78" fitToHeight="0" orientation="landscape"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81DCDB-DBDC-478B-AA64-CB7693ECC58B}">
  <dimension ref="A1:M2102"/>
  <sheetViews>
    <sheetView zoomScaleNormal="100" workbookViewId="0">
      <selection activeCell="I2035" sqref="I2035:J2039"/>
    </sheetView>
  </sheetViews>
  <sheetFormatPr defaultRowHeight="14.25" x14ac:dyDescent="0.2"/>
  <cols>
    <col min="1" max="1" width="3.875" bestFit="1" customWidth="1"/>
    <col min="2" max="2" width="15" customWidth="1"/>
    <col min="3" max="3" width="1.25" customWidth="1"/>
    <col min="4" max="4" width="10" customWidth="1"/>
    <col min="5" max="5" width="5" customWidth="1"/>
    <col min="6" max="7" width="7.5" customWidth="1"/>
    <col min="8" max="8" width="1.25" customWidth="1"/>
    <col min="9" max="9" width="46.25" customWidth="1"/>
    <col min="10" max="10" width="10" customWidth="1"/>
    <col min="11" max="11" width="1.25" customWidth="1"/>
    <col min="12" max="12" width="46.25" customWidth="1"/>
    <col min="13" max="13" width="10" customWidth="1"/>
    <col min="14" max="14" width="1.25" customWidth="1"/>
    <col min="18" max="18" width="42.875" bestFit="1" customWidth="1"/>
  </cols>
  <sheetData>
    <row r="1" spans="1:13" ht="33.75" customHeight="1" x14ac:dyDescent="0.2"/>
    <row r="2" spans="1:13" ht="26.25" customHeight="1" x14ac:dyDescent="0.2">
      <c r="B2" s="709" t="s">
        <v>10759</v>
      </c>
      <c r="C2" s="710"/>
      <c r="D2" s="710"/>
      <c r="E2" s="710"/>
      <c r="F2" s="710"/>
      <c r="G2" s="710"/>
      <c r="I2" s="709" t="s">
        <v>10751</v>
      </c>
      <c r="J2" s="710"/>
      <c r="K2" s="8"/>
      <c r="L2" s="709" t="s">
        <v>10752</v>
      </c>
      <c r="M2" s="710"/>
    </row>
    <row r="3" spans="1:13" ht="7.5" customHeight="1" x14ac:dyDescent="0.2"/>
    <row r="4" spans="1:13" ht="22.5" customHeight="1" x14ac:dyDescent="0.35">
      <c r="A4" s="242" t="s">
        <v>5067</v>
      </c>
      <c r="B4" s="238" t="str">
        <f>"W-"&amp;A4</f>
        <v>W-001</v>
      </c>
      <c r="C4" s="239"/>
      <c r="D4" s="692" t="str">
        <f>+INDEX(WEAP!$A:$AN,MATCH(B5,WEAP!$A:$A,0),MATCH("Name",WEAP!$A$1:$BF$1,0))</f>
        <v>Battleworn Sword</v>
      </c>
      <c r="E4" s="693"/>
      <c r="F4" s="693"/>
      <c r="G4" s="694"/>
      <c r="I4" s="241" t="str">
        <f>+INDEX(WEAP!$A:$AN,MATCH(B5,WEAP!$A:$A,0),MATCH("Weapon Skill",WEAP!$A$1:$BF$1,0))</f>
        <v>N/A</v>
      </c>
      <c r="J4" s="243">
        <f>INDEX('W-S'!$A:$N,MATCH(I4,'W-S'!$C:$C,0),MATCH("SP Cost",'W-S'!$1:$1,0))</f>
        <v>0</v>
      </c>
      <c r="K4" s="9"/>
      <c r="L4" s="241" t="str">
        <f>+I4</f>
        <v>N/A</v>
      </c>
      <c r="M4" s="243">
        <f>INDEX('W-S'!$A:$N,MATCH(L4,'W-S'!$C:$C,0),MATCH("SP Cost V3",'W-S'!$1:$1,0))</f>
        <v>0</v>
      </c>
    </row>
    <row r="5" spans="1:13" ht="22.5" x14ac:dyDescent="0.35">
      <c r="B5" s="238" t="str">
        <f>+INDEX(WEAP!$A:$AN,MATCH(B4,WEAP!$B:$B,0),MATCH("ID",WEAP!$A$1:$BF$1,0))</f>
        <v>301001_01</v>
      </c>
      <c r="C5" s="240"/>
      <c r="D5" s="692" t="str">
        <f>+INDEX(WEAP!$A:$AN,MATCH(B4,WEAP!$B:$B,0),MATCH("Family",WEAP!$A$1:$BF$1,0))&amp;" Weapon"</f>
        <v>Core 1 Weapon</v>
      </c>
      <c r="E5" s="693"/>
      <c r="F5" s="693"/>
      <c r="G5" s="694"/>
      <c r="H5" s="8"/>
      <c r="I5" s="695" t="str">
        <f>INDEX('W-S'!$A:$O,MATCH(I4,'W-S'!$C:$C,0),MATCH("Description",'W-S'!$1:$1,0))</f>
        <v>This weapon has no weapon skill.</v>
      </c>
      <c r="J5" s="696"/>
      <c r="K5" s="239"/>
      <c r="L5" s="695" t="str">
        <f>INDEX('W-S'!$A:$O,MATCH(I4,'W-S'!$C:$C,0),MATCH("Description V3",'W-S'!$1:$1,0))</f>
        <v>This weapon has no weapon skill.</v>
      </c>
      <c r="M5" s="696"/>
    </row>
    <row r="6" spans="1:13" ht="22.5" x14ac:dyDescent="0.2">
      <c r="B6" s="701" t="e" vm="26">
        <f>+_xlfn.IMAGE("https://natalie.tf/wp-content/uploads/2023/10/DLV3_Icon_Weapon_"&amp;B5&amp;".png")</f>
        <v>#VALUE!</v>
      </c>
      <c r="C6" s="240"/>
      <c r="D6" s="692" t="str">
        <f>INDEX(WEAP!$A:$AN,MATCH(B5,WEAP!$A:$A,0),MATCH("Element",WEAP!$A$1:$BF$1,0))&amp;" "&amp;INDEX(WEAP!$A:$AN,MATCH(B5,WEAP!$A:$A,0),MATCH("Type",WEAP!$A$1:$BF$1,0))</f>
        <v>None Sword</v>
      </c>
      <c r="E6" s="693"/>
      <c r="F6" s="693"/>
      <c r="G6" s="694"/>
      <c r="H6" s="8"/>
      <c r="I6" s="697"/>
      <c r="J6" s="698"/>
      <c r="K6" s="9"/>
      <c r="L6" s="697"/>
      <c r="M6" s="698"/>
    </row>
    <row r="7" spans="1:13" ht="22.5" x14ac:dyDescent="0.35">
      <c r="B7" s="702"/>
      <c r="C7" s="239"/>
      <c r="D7" s="703" t="s">
        <v>10760</v>
      </c>
      <c r="E7" s="704"/>
      <c r="F7" s="235" t="s">
        <v>10761</v>
      </c>
      <c r="G7" s="235" t="s">
        <v>10762</v>
      </c>
      <c r="I7" s="697"/>
      <c r="J7" s="698"/>
      <c r="K7" s="239"/>
      <c r="L7" s="697"/>
      <c r="M7" s="698"/>
    </row>
    <row r="8" spans="1:13" ht="22.5" x14ac:dyDescent="0.35">
      <c r="B8" s="702"/>
      <c r="C8" s="239"/>
      <c r="D8" s="705" t="s">
        <v>96</v>
      </c>
      <c r="E8" s="706"/>
      <c r="F8" s="236">
        <f>INDEX(WEAP!$A:$AN,MATCH(B5,WEAP!$A:$A,0),MATCH("HP",WEAP!$A$1:$BF$1,0))</f>
        <v>0</v>
      </c>
      <c r="G8" s="237">
        <f>INDEX(WEAP!$A:$AN,MATCH(B5,WEAP!$A:$A,0),MATCH("HP V3",WEAP!$A$1:$BF$1,0))</f>
        <v>0</v>
      </c>
      <c r="I8" s="697"/>
      <c r="J8" s="698"/>
      <c r="K8" s="239"/>
      <c r="L8" s="697"/>
      <c r="M8" s="698"/>
    </row>
    <row r="9" spans="1:13" ht="22.5" x14ac:dyDescent="0.35">
      <c r="B9" s="702"/>
      <c r="C9" s="239"/>
      <c r="D9" s="707" t="s">
        <v>97</v>
      </c>
      <c r="E9" s="708"/>
      <c r="F9" s="236">
        <f>INDEX(WEAP!$A:$AN,MATCH(B5,WEAP!$A:$A,0),MATCH("Str",WEAP!$A$1:$BF$1,0))</f>
        <v>0</v>
      </c>
      <c r="G9" s="237">
        <f>INDEX(WEAP!$A:$AN,MATCH(B5,WEAP!$A:$A,0),MATCH("Str V3",WEAP!$A$1:$BF$1,0))</f>
        <v>0</v>
      </c>
      <c r="I9" s="699"/>
      <c r="J9" s="700"/>
      <c r="K9" s="239"/>
      <c r="L9" s="699"/>
      <c r="M9" s="700"/>
    </row>
    <row r="10" spans="1:13" s="245" customFormat="1" ht="7.5" customHeight="1" x14ac:dyDescent="0.2">
      <c r="A10" s="245" t="s">
        <v>10763</v>
      </c>
    </row>
    <row r="11" spans="1:13" ht="22.5" customHeight="1" x14ac:dyDescent="0.35">
      <c r="A11" s="242" t="str">
        <f>TEXT(A4+1,"000")</f>
        <v>002</v>
      </c>
      <c r="B11" s="238" t="str">
        <f>"W-"&amp;A11</f>
        <v>W-002</v>
      </c>
      <c r="C11" s="239"/>
      <c r="D11" s="692" t="str">
        <f>+INDEX(WEAP!$A:$AN,MATCH(B12,WEAP!$A:$A,0),MATCH("Name",WEAP!$A$1:$BF$1,0))</f>
        <v>Battleworn Blade</v>
      </c>
      <c r="E11" s="693"/>
      <c r="F11" s="693"/>
      <c r="G11" s="694"/>
      <c r="I11" s="241" t="str">
        <f>+INDEX(WEAP!$A:$AN,MATCH(B12,WEAP!$A:$A,0),MATCH("Weapon Skill",WEAP!$A$1:$BF$1,0))</f>
        <v>N/A</v>
      </c>
      <c r="J11" s="243">
        <f>INDEX('W-S'!$A:$N,MATCH(I11,'W-S'!$C:$C,0),MATCH("SP Cost",'W-S'!$1:$1,0))</f>
        <v>0</v>
      </c>
      <c r="K11" s="9"/>
      <c r="L11" s="241" t="str">
        <f>+I11</f>
        <v>N/A</v>
      </c>
      <c r="M11" s="243">
        <f>INDEX('W-S'!$A:$N,MATCH(L11,'W-S'!$C:$C,0),MATCH("SP Cost V3",'W-S'!$1:$1,0))</f>
        <v>0</v>
      </c>
    </row>
    <row r="12" spans="1:13" ht="22.5" customHeight="1" x14ac:dyDescent="0.35">
      <c r="B12" s="238" t="str">
        <f>+INDEX(WEAP!$A:$AN,MATCH(B11,WEAP!$B:$B,0),MATCH("ID",WEAP!$A$1:$BF$1,0))</f>
        <v>302001_01</v>
      </c>
      <c r="C12" s="240"/>
      <c r="D12" s="692" t="str">
        <f>+INDEX(WEAP!$A:$AN,MATCH(B11,WEAP!$B:$B,0),MATCH("Family",WEAP!$A$1:$BF$1,0))&amp;" Weapon"</f>
        <v>Core 1 Weapon</v>
      </c>
      <c r="E12" s="693"/>
      <c r="F12" s="693"/>
      <c r="G12" s="694"/>
      <c r="H12" s="8"/>
      <c r="I12" s="695" t="str">
        <f>INDEX('W-S'!$A:$O,MATCH(I11,'W-S'!$C:$C,0),MATCH("Description",'W-S'!$1:$1,0))</f>
        <v>This weapon has no weapon skill.</v>
      </c>
      <c r="J12" s="696"/>
      <c r="K12" s="239"/>
      <c r="L12" s="695" t="str">
        <f>INDEX('W-S'!$A:$O,MATCH(I11,'W-S'!$C:$C,0),MATCH("Description V3",'W-S'!$1:$1,0))</f>
        <v>This weapon has no weapon skill.</v>
      </c>
      <c r="M12" s="696"/>
    </row>
    <row r="13" spans="1:13" ht="22.5" x14ac:dyDescent="0.2">
      <c r="B13" s="701" t="e" vm="27">
        <f>+_xlfn.IMAGE("https://natalie.tf/wp-content/uploads/2023/10/DLV3_Icon_Weapon_"&amp;B12&amp;".png")</f>
        <v>#VALUE!</v>
      </c>
      <c r="C13" s="240"/>
      <c r="D13" s="692" t="str">
        <f>INDEX(WEAP!$A:$AN,MATCH(B12,WEAP!$A:$A,0),MATCH("Element",WEAP!$A$1:$BF$1,0))&amp;" "&amp;INDEX(WEAP!$A:$AN,MATCH(B12,WEAP!$A:$A,0),MATCH("Type",WEAP!$A$1:$BF$1,0))</f>
        <v>None Blade</v>
      </c>
      <c r="E13" s="693"/>
      <c r="F13" s="693"/>
      <c r="G13" s="694"/>
      <c r="H13" s="8"/>
      <c r="I13" s="697"/>
      <c r="J13" s="698"/>
      <c r="K13" s="9"/>
      <c r="L13" s="697"/>
      <c r="M13" s="698"/>
    </row>
    <row r="14" spans="1:13" ht="22.5" customHeight="1" x14ac:dyDescent="0.35">
      <c r="B14" s="702"/>
      <c r="C14" s="239"/>
      <c r="D14" s="703" t="s">
        <v>10760</v>
      </c>
      <c r="E14" s="704"/>
      <c r="F14" s="235" t="s">
        <v>10761</v>
      </c>
      <c r="G14" s="235" t="s">
        <v>10762</v>
      </c>
      <c r="I14" s="697"/>
      <c r="J14" s="698"/>
      <c r="K14" s="239"/>
      <c r="L14" s="697"/>
      <c r="M14" s="698"/>
    </row>
    <row r="15" spans="1:13" ht="22.5" customHeight="1" x14ac:dyDescent="0.35">
      <c r="B15" s="702"/>
      <c r="C15" s="239"/>
      <c r="D15" s="705" t="s">
        <v>96</v>
      </c>
      <c r="E15" s="706"/>
      <c r="F15" s="236">
        <f>INDEX(WEAP!$A:$AN,MATCH(B12,WEAP!$A:$A,0),MATCH("HP",WEAP!$A$1:$BF$1,0))</f>
        <v>0</v>
      </c>
      <c r="G15" s="237">
        <f>INDEX(WEAP!$A:$AN,MATCH(B12,WEAP!$A:$A,0),MATCH("HP V3",WEAP!$A$1:$BF$1,0))</f>
        <v>0</v>
      </c>
      <c r="I15" s="697"/>
      <c r="J15" s="698"/>
      <c r="K15" s="239"/>
      <c r="L15" s="697"/>
      <c r="M15" s="698"/>
    </row>
    <row r="16" spans="1:13" ht="22.5" customHeight="1" x14ac:dyDescent="0.35">
      <c r="B16" s="702"/>
      <c r="C16" s="239"/>
      <c r="D16" s="707" t="s">
        <v>97</v>
      </c>
      <c r="E16" s="708"/>
      <c r="F16" s="236">
        <f>INDEX(WEAP!$A:$AN,MATCH(B12,WEAP!$A:$A,0),MATCH("Str",WEAP!$A$1:$BF$1,0))</f>
        <v>0</v>
      </c>
      <c r="G16" s="237">
        <f>INDEX(WEAP!$A:$AN,MATCH(B12,WEAP!$A:$A,0),MATCH("Str V3",WEAP!$A$1:$BF$1,0))</f>
        <v>0</v>
      </c>
      <c r="I16" s="699"/>
      <c r="J16" s="700"/>
      <c r="K16" s="239"/>
      <c r="L16" s="699"/>
      <c r="M16" s="700"/>
    </row>
    <row r="17" spans="1:13" ht="7.5" customHeight="1" x14ac:dyDescent="0.35">
      <c r="A17" s="245" t="s">
        <v>10763</v>
      </c>
      <c r="B17" s="239"/>
      <c r="C17" s="239"/>
      <c r="E17" s="239"/>
      <c r="F17" s="239"/>
      <c r="G17" s="239"/>
      <c r="I17" s="239"/>
      <c r="J17" s="239"/>
      <c r="K17" s="239"/>
      <c r="L17" s="239"/>
      <c r="M17" s="239"/>
    </row>
    <row r="18" spans="1:13" ht="22.5" customHeight="1" x14ac:dyDescent="0.35">
      <c r="A18" s="244" t="str">
        <f>TEXT(A11+1,"000")</f>
        <v>003</v>
      </c>
      <c r="B18" s="238" t="str">
        <f>"W-"&amp;A18</f>
        <v>W-003</v>
      </c>
      <c r="C18" s="239"/>
      <c r="D18" s="692" t="str">
        <f>+INDEX(WEAP!$A:$AN,MATCH(B19,WEAP!$A:$A,0),MATCH("Name",WEAP!$A$1:$BF$1,0))</f>
        <v>Battleworn Dagger</v>
      </c>
      <c r="E18" s="693"/>
      <c r="F18" s="693"/>
      <c r="G18" s="694"/>
      <c r="I18" s="241" t="str">
        <f>+INDEX(WEAP!$A:$AN,MATCH(B19,WEAP!$A:$A,0),MATCH("Weapon Skill",WEAP!$A$1:$BF$1,0))</f>
        <v>N/A</v>
      </c>
      <c r="J18" s="243">
        <f>INDEX('W-S'!$A:$N,MATCH(I18,'W-S'!$C:$C,0),MATCH("SP Cost",'W-S'!$1:$1,0))</f>
        <v>0</v>
      </c>
      <c r="K18" s="9"/>
      <c r="L18" s="241" t="str">
        <f>+I18</f>
        <v>N/A</v>
      </c>
      <c r="M18" s="243">
        <f>INDEX('W-S'!$A:$N,MATCH(L18,'W-S'!$C:$C,0),MATCH("SP Cost V3",'W-S'!$1:$1,0))</f>
        <v>0</v>
      </c>
    </row>
    <row r="19" spans="1:13" ht="22.5" customHeight="1" x14ac:dyDescent="0.35">
      <c r="B19" s="238" t="str">
        <f>+INDEX(WEAP!$A:$AN,MATCH(B18,WEAP!$B:$B,0),MATCH("ID",WEAP!$A$1:$BF$1,0))</f>
        <v>303001_01</v>
      </c>
      <c r="C19" s="240"/>
      <c r="D19" s="692" t="str">
        <f>+INDEX(WEAP!$A:$AN,MATCH(B18,WEAP!$B:$B,0),MATCH("Family",WEAP!$A$1:$BF$1,0))&amp;" Weapon"</f>
        <v>Core 1 Weapon</v>
      </c>
      <c r="E19" s="693"/>
      <c r="F19" s="693"/>
      <c r="G19" s="694"/>
      <c r="H19" s="8"/>
      <c r="I19" s="695" t="str">
        <f>INDEX('W-S'!$A:$O,MATCH(I18,'W-S'!$C:$C,0),MATCH("Description",'W-S'!$1:$1,0))</f>
        <v>This weapon has no weapon skill.</v>
      </c>
      <c r="J19" s="696"/>
      <c r="K19" s="239"/>
      <c r="L19" s="695" t="str">
        <f>INDEX('W-S'!$A:$O,MATCH(I18,'W-S'!$C:$C,0),MATCH("Description V3",'W-S'!$1:$1,0))</f>
        <v>This weapon has no weapon skill.</v>
      </c>
      <c r="M19" s="696"/>
    </row>
    <row r="20" spans="1:13" ht="22.5" x14ac:dyDescent="0.2">
      <c r="B20" s="701" t="e" vm="28">
        <f>+_xlfn.IMAGE("https://natalie.tf/wp-content/uploads/2023/10/DLV3_Icon_Weapon_"&amp;B19&amp;".png")</f>
        <v>#VALUE!</v>
      </c>
      <c r="C20" s="240"/>
      <c r="D20" s="692" t="str">
        <f>INDEX(WEAP!$A:$AN,MATCH(B19,WEAP!$A:$A,0),MATCH("Element",WEAP!$A$1:$BF$1,0))&amp;" "&amp;INDEX(WEAP!$A:$AN,MATCH(B19,WEAP!$A:$A,0),MATCH("Type",WEAP!$A$1:$BF$1,0))</f>
        <v>None Dagger</v>
      </c>
      <c r="E20" s="693"/>
      <c r="F20" s="693"/>
      <c r="G20" s="694"/>
      <c r="H20" s="8"/>
      <c r="I20" s="697"/>
      <c r="J20" s="698"/>
      <c r="K20" s="9"/>
      <c r="L20" s="697"/>
      <c r="M20" s="698"/>
    </row>
    <row r="21" spans="1:13" ht="22.5" customHeight="1" x14ac:dyDescent="0.35">
      <c r="B21" s="702"/>
      <c r="C21" s="239"/>
      <c r="D21" s="703" t="s">
        <v>10760</v>
      </c>
      <c r="E21" s="704"/>
      <c r="F21" s="235" t="s">
        <v>10761</v>
      </c>
      <c r="G21" s="235" t="s">
        <v>10762</v>
      </c>
      <c r="I21" s="697"/>
      <c r="J21" s="698"/>
      <c r="K21" s="239"/>
      <c r="L21" s="697"/>
      <c r="M21" s="698"/>
    </row>
    <row r="22" spans="1:13" ht="22.5" customHeight="1" x14ac:dyDescent="0.35">
      <c r="B22" s="702"/>
      <c r="C22" s="239"/>
      <c r="D22" s="705" t="s">
        <v>96</v>
      </c>
      <c r="E22" s="706"/>
      <c r="F22" s="236">
        <f>INDEX(WEAP!$A:$AN,MATCH(B19,WEAP!$A:$A,0),MATCH("HP",WEAP!$A$1:$BF$1,0))</f>
        <v>0</v>
      </c>
      <c r="G22" s="237">
        <f>INDEX(WEAP!$A:$AN,MATCH(B19,WEAP!$A:$A,0),MATCH("HP V3",WEAP!$A$1:$BF$1,0))</f>
        <v>0</v>
      </c>
      <c r="I22" s="697"/>
      <c r="J22" s="698"/>
      <c r="K22" s="239"/>
      <c r="L22" s="697"/>
      <c r="M22" s="698"/>
    </row>
    <row r="23" spans="1:13" ht="22.5" customHeight="1" x14ac:dyDescent="0.35">
      <c r="B23" s="702"/>
      <c r="C23" s="239"/>
      <c r="D23" s="707" t="s">
        <v>97</v>
      </c>
      <c r="E23" s="708"/>
      <c r="F23" s="236">
        <f>INDEX(WEAP!$A:$AN,MATCH(B19,WEAP!$A:$A,0),MATCH("Str",WEAP!$A$1:$BF$1,0))</f>
        <v>0</v>
      </c>
      <c r="G23" s="237">
        <f>INDEX(WEAP!$A:$AN,MATCH(B19,WEAP!$A:$A,0),MATCH("Str V3",WEAP!$A$1:$BF$1,0))</f>
        <v>0</v>
      </c>
      <c r="I23" s="699"/>
      <c r="J23" s="700"/>
      <c r="K23" s="239"/>
      <c r="L23" s="699"/>
      <c r="M23" s="700"/>
    </row>
    <row r="24" spans="1:13" s="245" customFormat="1" ht="7.5" customHeight="1" x14ac:dyDescent="0.2">
      <c r="A24" s="245" t="s">
        <v>10763</v>
      </c>
    </row>
    <row r="25" spans="1:13" ht="22.5" customHeight="1" x14ac:dyDescent="0.35">
      <c r="A25" s="244" t="str">
        <f>TEXT(A18+1,"000")</f>
        <v>004</v>
      </c>
      <c r="B25" s="238" t="str">
        <f>"W-"&amp;A25</f>
        <v>W-004</v>
      </c>
      <c r="C25" s="239"/>
      <c r="D25" s="692" t="str">
        <f>+INDEX(WEAP!$A:$AN,MATCH(B26,WEAP!$A:$A,0),MATCH("Name",WEAP!$A$1:$BF$1,0))</f>
        <v>Battleworn Axe</v>
      </c>
      <c r="E25" s="693"/>
      <c r="F25" s="693"/>
      <c r="G25" s="694"/>
      <c r="I25" s="241" t="str">
        <f>+INDEX(WEAP!$A:$AN,MATCH(B26,WEAP!$A:$A,0),MATCH("Weapon Skill",WEAP!$A$1:$BF$1,0))</f>
        <v>N/A</v>
      </c>
      <c r="J25" s="243">
        <f>INDEX('W-S'!$A:$N,MATCH(I25,'W-S'!$C:$C,0),MATCH("SP Cost",'W-S'!$1:$1,0))</f>
        <v>0</v>
      </c>
      <c r="K25" s="9"/>
      <c r="L25" s="241" t="str">
        <f>+I25</f>
        <v>N/A</v>
      </c>
      <c r="M25" s="243">
        <f>INDEX('W-S'!$A:$N,MATCH(L25,'W-S'!$C:$C,0),MATCH("SP Cost V3",'W-S'!$1:$1,0))</f>
        <v>0</v>
      </c>
    </row>
    <row r="26" spans="1:13" ht="22.5" customHeight="1" x14ac:dyDescent="0.35">
      <c r="B26" s="238" t="str">
        <f>+INDEX(WEAP!$A:$AN,MATCH(B25,WEAP!$B:$B,0),MATCH("ID",WEAP!$A$1:$BF$1,0))</f>
        <v>304001_01</v>
      </c>
      <c r="C26" s="240"/>
      <c r="D26" s="692" t="str">
        <f>+INDEX(WEAP!$A:$AN,MATCH(B25,WEAP!$B:$B,0),MATCH("Family",WEAP!$A$1:$BF$1,0))&amp;" Weapon"</f>
        <v>Core 1 Weapon</v>
      </c>
      <c r="E26" s="693"/>
      <c r="F26" s="693"/>
      <c r="G26" s="694"/>
      <c r="H26" s="8"/>
      <c r="I26" s="695" t="str">
        <f>INDEX('W-S'!$A:$O,MATCH(I25,'W-S'!$C:$C,0),MATCH("Description",'W-S'!$1:$1,0))</f>
        <v>This weapon has no weapon skill.</v>
      </c>
      <c r="J26" s="696"/>
      <c r="K26" s="239"/>
      <c r="L26" s="695" t="str">
        <f>INDEX('W-S'!$A:$O,MATCH(I25,'W-S'!$C:$C,0),MATCH("Description V3",'W-S'!$1:$1,0))</f>
        <v>This weapon has no weapon skill.</v>
      </c>
      <c r="M26" s="696"/>
    </row>
    <row r="27" spans="1:13" ht="22.5" x14ac:dyDescent="0.2">
      <c r="B27" s="701" t="e" vm="29">
        <f>+_xlfn.IMAGE("https://natalie.tf/wp-content/uploads/2023/10/DLV3_Icon_Weapon_"&amp;B26&amp;".png")</f>
        <v>#VALUE!</v>
      </c>
      <c r="C27" s="240"/>
      <c r="D27" s="692" t="str">
        <f>INDEX(WEAP!$A:$AN,MATCH(B26,WEAP!$A:$A,0),MATCH("Element",WEAP!$A$1:$BF$1,0))&amp;" "&amp;INDEX(WEAP!$A:$AN,MATCH(B26,WEAP!$A:$A,0),MATCH("Type",WEAP!$A$1:$BF$1,0))</f>
        <v>None Axe</v>
      </c>
      <c r="E27" s="693"/>
      <c r="F27" s="693"/>
      <c r="G27" s="694"/>
      <c r="H27" s="8"/>
      <c r="I27" s="697"/>
      <c r="J27" s="698"/>
      <c r="K27" s="9"/>
      <c r="L27" s="697"/>
      <c r="M27" s="698"/>
    </row>
    <row r="28" spans="1:13" ht="22.5" customHeight="1" x14ac:dyDescent="0.35">
      <c r="B28" s="702"/>
      <c r="C28" s="239"/>
      <c r="D28" s="703" t="s">
        <v>10760</v>
      </c>
      <c r="E28" s="704"/>
      <c r="F28" s="235" t="s">
        <v>10761</v>
      </c>
      <c r="G28" s="235" t="s">
        <v>10762</v>
      </c>
      <c r="I28" s="697"/>
      <c r="J28" s="698"/>
      <c r="K28" s="239"/>
      <c r="L28" s="697"/>
      <c r="M28" s="698"/>
    </row>
    <row r="29" spans="1:13" ht="22.5" customHeight="1" x14ac:dyDescent="0.35">
      <c r="B29" s="702"/>
      <c r="C29" s="239"/>
      <c r="D29" s="705" t="s">
        <v>96</v>
      </c>
      <c r="E29" s="706"/>
      <c r="F29" s="236">
        <f>INDEX(WEAP!$A:$AN,MATCH(B26,WEAP!$A:$A,0),MATCH("HP",WEAP!$A$1:$BF$1,0))</f>
        <v>0</v>
      </c>
      <c r="G29" s="237">
        <f>INDEX(WEAP!$A:$AN,MATCH(B26,WEAP!$A:$A,0),MATCH("HP V3",WEAP!$A$1:$BF$1,0))</f>
        <v>0</v>
      </c>
      <c r="I29" s="697"/>
      <c r="J29" s="698"/>
      <c r="K29" s="239"/>
      <c r="L29" s="697"/>
      <c r="M29" s="698"/>
    </row>
    <row r="30" spans="1:13" ht="22.5" customHeight="1" x14ac:dyDescent="0.35">
      <c r="B30" s="702"/>
      <c r="C30" s="239"/>
      <c r="D30" s="707" t="s">
        <v>97</v>
      </c>
      <c r="E30" s="708"/>
      <c r="F30" s="236">
        <f>INDEX(WEAP!$A:$AN,MATCH(B26,WEAP!$A:$A,0),MATCH("Str",WEAP!$A$1:$BF$1,0))</f>
        <v>0</v>
      </c>
      <c r="G30" s="237">
        <f>INDEX(WEAP!$A:$AN,MATCH(B26,WEAP!$A:$A,0),MATCH("Str V3",WEAP!$A$1:$BF$1,0))</f>
        <v>0</v>
      </c>
      <c r="I30" s="699"/>
      <c r="J30" s="700"/>
      <c r="K30" s="239"/>
      <c r="L30" s="699"/>
      <c r="M30" s="700"/>
    </row>
    <row r="31" spans="1:13" ht="7.5" customHeight="1" x14ac:dyDescent="0.35">
      <c r="A31" s="245" t="s">
        <v>10763</v>
      </c>
      <c r="B31" s="239"/>
      <c r="C31" s="239"/>
      <c r="E31" s="239"/>
      <c r="F31" s="239"/>
      <c r="G31" s="239"/>
      <c r="I31" s="239"/>
      <c r="J31" s="239"/>
      <c r="K31" s="239"/>
      <c r="L31" s="239"/>
      <c r="M31" s="239"/>
    </row>
    <row r="32" spans="1:13" ht="22.5" customHeight="1" x14ac:dyDescent="0.35">
      <c r="A32" s="244" t="str">
        <f>TEXT(A25+1,"000")</f>
        <v>005</v>
      </c>
      <c r="B32" s="238" t="str">
        <f>"W-"&amp;A32</f>
        <v>W-005</v>
      </c>
      <c r="C32" s="239"/>
      <c r="D32" s="692" t="str">
        <f>+INDEX(WEAP!$A:$AN,MATCH(B33,WEAP!$A:$A,0),MATCH("Name",WEAP!$A$1:$BF$1,0))</f>
        <v>Battleworn Lance</v>
      </c>
      <c r="E32" s="693"/>
      <c r="F32" s="693"/>
      <c r="G32" s="694"/>
      <c r="I32" s="241" t="str">
        <f>+INDEX(WEAP!$A:$AN,MATCH(B33,WEAP!$A:$A,0),MATCH("Weapon Skill",WEAP!$A$1:$BF$1,0))</f>
        <v>N/A</v>
      </c>
      <c r="J32" s="243">
        <f>INDEX('W-S'!$A:$N,MATCH(I32,'W-S'!$C:$C,0),MATCH("SP Cost",'W-S'!$1:$1,0))</f>
        <v>0</v>
      </c>
      <c r="K32" s="9"/>
      <c r="L32" s="241" t="str">
        <f>+I32</f>
        <v>N/A</v>
      </c>
      <c r="M32" s="243">
        <f>INDEX('W-S'!$A:$N,MATCH(L32,'W-S'!$C:$C,0),MATCH("SP Cost V3",'W-S'!$1:$1,0))</f>
        <v>0</v>
      </c>
    </row>
    <row r="33" spans="1:13" ht="22.5" customHeight="1" x14ac:dyDescent="0.35">
      <c r="B33" s="238" t="str">
        <f>+INDEX(WEAP!$A:$AN,MATCH(B32,WEAP!$B:$B,0),MATCH("ID",WEAP!$A$1:$BF$1,0))</f>
        <v>305001_01</v>
      </c>
      <c r="C33" s="240"/>
      <c r="D33" s="692" t="str">
        <f>+INDEX(WEAP!$A:$AN,MATCH(B32,WEAP!$B:$B,0),MATCH("Family",WEAP!$A$1:$BF$1,0))&amp;" Weapon"</f>
        <v>Core 1 Weapon</v>
      </c>
      <c r="E33" s="693"/>
      <c r="F33" s="693"/>
      <c r="G33" s="694"/>
      <c r="H33" s="8"/>
      <c r="I33" s="695" t="str">
        <f>INDEX('W-S'!$A:$O,MATCH(I32,'W-S'!$C:$C,0),MATCH("Description",'W-S'!$1:$1,0))</f>
        <v>This weapon has no weapon skill.</v>
      </c>
      <c r="J33" s="696"/>
      <c r="K33" s="239"/>
      <c r="L33" s="695" t="str">
        <f>INDEX('W-S'!$A:$O,MATCH(I32,'W-S'!$C:$C,0),MATCH("Description V3",'W-S'!$1:$1,0))</f>
        <v>This weapon has no weapon skill.</v>
      </c>
      <c r="M33" s="696"/>
    </row>
    <row r="34" spans="1:13" ht="22.5" x14ac:dyDescent="0.2">
      <c r="B34" s="701" t="e" vm="30">
        <f>+_xlfn.IMAGE("https://natalie.tf/wp-content/uploads/2023/10/DLV3_Icon_Weapon_"&amp;B33&amp;".png")</f>
        <v>#VALUE!</v>
      </c>
      <c r="C34" s="240"/>
      <c r="D34" s="692" t="str">
        <f>INDEX(WEAP!$A:$AN,MATCH(B33,WEAP!$A:$A,0),MATCH("Element",WEAP!$A$1:$BF$1,0))&amp;" "&amp;INDEX(WEAP!$A:$AN,MATCH(B33,WEAP!$A:$A,0),MATCH("Type",WEAP!$A$1:$BF$1,0))</f>
        <v>None Lance</v>
      </c>
      <c r="E34" s="693"/>
      <c r="F34" s="693"/>
      <c r="G34" s="694"/>
      <c r="H34" s="8"/>
      <c r="I34" s="697"/>
      <c r="J34" s="698"/>
      <c r="K34" s="9"/>
      <c r="L34" s="697"/>
      <c r="M34" s="698"/>
    </row>
    <row r="35" spans="1:13" ht="22.5" customHeight="1" x14ac:dyDescent="0.35">
      <c r="B35" s="702"/>
      <c r="C35" s="239"/>
      <c r="D35" s="703" t="s">
        <v>10760</v>
      </c>
      <c r="E35" s="704"/>
      <c r="F35" s="235" t="s">
        <v>10761</v>
      </c>
      <c r="G35" s="235" t="s">
        <v>10762</v>
      </c>
      <c r="I35" s="697"/>
      <c r="J35" s="698"/>
      <c r="K35" s="239"/>
      <c r="L35" s="697"/>
      <c r="M35" s="698"/>
    </row>
    <row r="36" spans="1:13" ht="22.5" customHeight="1" x14ac:dyDescent="0.35">
      <c r="B36" s="702"/>
      <c r="C36" s="239"/>
      <c r="D36" s="705" t="s">
        <v>96</v>
      </c>
      <c r="E36" s="706"/>
      <c r="F36" s="236">
        <f>INDEX(WEAP!$A:$AN,MATCH(B33,WEAP!$A:$A,0),MATCH("HP",WEAP!$A$1:$BF$1,0))</f>
        <v>0</v>
      </c>
      <c r="G36" s="237">
        <f>INDEX(WEAP!$A:$AN,MATCH(B33,WEAP!$A:$A,0),MATCH("HP V3",WEAP!$A$1:$BF$1,0))</f>
        <v>0</v>
      </c>
      <c r="I36" s="697"/>
      <c r="J36" s="698"/>
      <c r="K36" s="239"/>
      <c r="L36" s="697"/>
      <c r="M36" s="698"/>
    </row>
    <row r="37" spans="1:13" ht="22.5" customHeight="1" x14ac:dyDescent="0.35">
      <c r="B37" s="702"/>
      <c r="C37" s="239"/>
      <c r="D37" s="707" t="s">
        <v>97</v>
      </c>
      <c r="E37" s="708"/>
      <c r="F37" s="236">
        <f>INDEX(WEAP!$A:$AN,MATCH(B33,WEAP!$A:$A,0),MATCH("Str",WEAP!$A$1:$BF$1,0))</f>
        <v>0</v>
      </c>
      <c r="G37" s="237">
        <f>INDEX(WEAP!$A:$AN,MATCH(B33,WEAP!$A:$A,0),MATCH("Str V3",WEAP!$A$1:$BF$1,0))</f>
        <v>0</v>
      </c>
      <c r="I37" s="699"/>
      <c r="J37" s="700"/>
      <c r="K37" s="239"/>
      <c r="L37" s="699"/>
      <c r="M37" s="700"/>
    </row>
    <row r="38" spans="1:13" ht="33.75" customHeight="1" x14ac:dyDescent="0.2"/>
    <row r="39" spans="1:13" ht="22.5" x14ac:dyDescent="0.35">
      <c r="A39" s="244" t="str">
        <f>TEXT(A32+1,"000")</f>
        <v>006</v>
      </c>
      <c r="B39" s="238" t="str">
        <f>"W-"&amp;A39</f>
        <v>W-006</v>
      </c>
      <c r="C39" s="239"/>
      <c r="D39" s="692" t="str">
        <f>+INDEX(WEAP!$A:$AN,MATCH(B40,WEAP!$A:$A,0),MATCH("Name",WEAP!$A$1:$BF$1,0))</f>
        <v>Battleworn Bow</v>
      </c>
      <c r="E39" s="693"/>
      <c r="F39" s="693"/>
      <c r="G39" s="694"/>
      <c r="I39" s="241" t="str">
        <f>+INDEX(WEAP!$A:$AN,MATCH(B40,WEAP!$A:$A,0),MATCH("Weapon Skill",WEAP!$A$1:$BF$1,0))</f>
        <v>N/A</v>
      </c>
      <c r="J39" s="243">
        <f>INDEX('W-S'!$A:$N,MATCH(I39,'W-S'!$C:$C,0),MATCH("SP Cost",'W-S'!$1:$1,0))</f>
        <v>0</v>
      </c>
      <c r="K39" s="9"/>
      <c r="L39" s="241" t="str">
        <f>+I39</f>
        <v>N/A</v>
      </c>
      <c r="M39" s="243">
        <f>INDEX('W-S'!$A:$N,MATCH(L39,'W-S'!$C:$C,0),MATCH("SP Cost V3",'W-S'!$1:$1,0))</f>
        <v>0</v>
      </c>
    </row>
    <row r="40" spans="1:13" ht="22.5" x14ac:dyDescent="0.35">
      <c r="B40" s="238" t="str">
        <f>+INDEX(WEAP!$A:$AN,MATCH(B39,WEAP!$B:$B,0),MATCH("ID",WEAP!$A$1:$BF$1,0))</f>
        <v>306001_01</v>
      </c>
      <c r="C40" s="240"/>
      <c r="D40" s="692" t="str">
        <f>+INDEX(WEAP!$A:$AN,MATCH(B39,WEAP!$B:$B,0),MATCH("Family",WEAP!$A$1:$BF$1,0))&amp;" Weapon"</f>
        <v>Core 1 Weapon</v>
      </c>
      <c r="E40" s="693"/>
      <c r="F40" s="693"/>
      <c r="G40" s="694"/>
      <c r="H40" s="8"/>
      <c r="I40" s="695" t="str">
        <f>INDEX('W-S'!$A:$O,MATCH(I39,'W-S'!$C:$C,0),MATCH("Description",'W-S'!$1:$1,0))</f>
        <v>This weapon has no weapon skill.</v>
      </c>
      <c r="J40" s="696"/>
      <c r="K40" s="239"/>
      <c r="L40" s="695" t="str">
        <f>INDEX('W-S'!$A:$O,MATCH(I39,'W-S'!$C:$C,0),MATCH("Description V3",'W-S'!$1:$1,0))</f>
        <v>This weapon has no weapon skill.</v>
      </c>
      <c r="M40" s="696"/>
    </row>
    <row r="41" spans="1:13" ht="22.5" x14ac:dyDescent="0.2">
      <c r="B41" s="701" t="e" vm="31">
        <f>+_xlfn.IMAGE("https://natalie.tf/wp-content/uploads/2023/10/DLV3_Icon_Weapon_"&amp;B40&amp;".png")</f>
        <v>#VALUE!</v>
      </c>
      <c r="C41" s="240"/>
      <c r="D41" s="692" t="str">
        <f>INDEX(WEAP!$A:$AN,MATCH(B40,WEAP!$A:$A,0),MATCH("Element",WEAP!$A$1:$BF$1,0))&amp;" "&amp;INDEX(WEAP!$A:$AN,MATCH(B40,WEAP!$A:$A,0),MATCH("Type",WEAP!$A$1:$BF$1,0))</f>
        <v>None Bow</v>
      </c>
      <c r="E41" s="693"/>
      <c r="F41" s="693"/>
      <c r="G41" s="694"/>
      <c r="H41" s="8"/>
      <c r="I41" s="697"/>
      <c r="J41" s="698"/>
      <c r="K41" s="9"/>
      <c r="L41" s="697"/>
      <c r="M41" s="698"/>
    </row>
    <row r="42" spans="1:13" ht="22.5" x14ac:dyDescent="0.35">
      <c r="B42" s="702"/>
      <c r="C42" s="239"/>
      <c r="D42" s="703" t="s">
        <v>10760</v>
      </c>
      <c r="E42" s="704"/>
      <c r="F42" s="235" t="s">
        <v>10761</v>
      </c>
      <c r="G42" s="235" t="s">
        <v>10762</v>
      </c>
      <c r="I42" s="697"/>
      <c r="J42" s="698"/>
      <c r="K42" s="239"/>
      <c r="L42" s="697"/>
      <c r="M42" s="698"/>
    </row>
    <row r="43" spans="1:13" ht="22.5" x14ac:dyDescent="0.35">
      <c r="B43" s="702"/>
      <c r="C43" s="239"/>
      <c r="D43" s="705" t="s">
        <v>96</v>
      </c>
      <c r="E43" s="706"/>
      <c r="F43" s="236">
        <f>INDEX(WEAP!$A:$AN,MATCH(B40,WEAP!$A:$A,0),MATCH("HP",WEAP!$A$1:$BF$1,0))</f>
        <v>0</v>
      </c>
      <c r="G43" s="237">
        <f>INDEX(WEAP!$A:$AN,MATCH(B40,WEAP!$A:$A,0),MATCH("HP V3",WEAP!$A$1:$BF$1,0))</f>
        <v>0</v>
      </c>
      <c r="I43" s="697"/>
      <c r="J43" s="698"/>
      <c r="K43" s="239"/>
      <c r="L43" s="697"/>
      <c r="M43" s="698"/>
    </row>
    <row r="44" spans="1:13" ht="22.5" x14ac:dyDescent="0.35">
      <c r="B44" s="702"/>
      <c r="C44" s="239"/>
      <c r="D44" s="707" t="s">
        <v>97</v>
      </c>
      <c r="E44" s="708"/>
      <c r="F44" s="236">
        <f>INDEX(WEAP!$A:$AN,MATCH(B40,WEAP!$A:$A,0),MATCH("Str",WEAP!$A$1:$BF$1,0))</f>
        <v>0</v>
      </c>
      <c r="G44" s="237">
        <f>INDEX(WEAP!$A:$AN,MATCH(B40,WEAP!$A:$A,0),MATCH("Str V3",WEAP!$A$1:$BF$1,0))</f>
        <v>0</v>
      </c>
      <c r="I44" s="699"/>
      <c r="J44" s="700"/>
      <c r="K44" s="239"/>
      <c r="L44" s="699"/>
      <c r="M44" s="700"/>
    </row>
    <row r="45" spans="1:13" s="245" customFormat="1" ht="7.5" customHeight="1" x14ac:dyDescent="0.2">
      <c r="A45" s="245" t="s">
        <v>10763</v>
      </c>
    </row>
    <row r="46" spans="1:13" ht="22.5" x14ac:dyDescent="0.35">
      <c r="A46" s="242" t="str">
        <f>TEXT(A39+1,"000")</f>
        <v>007</v>
      </c>
      <c r="B46" s="238" t="str">
        <f>"W-"&amp;A46</f>
        <v>W-007</v>
      </c>
      <c r="C46" s="239"/>
      <c r="D46" s="692" t="str">
        <f>+INDEX(WEAP!$A:$AN,MATCH(B47,WEAP!$A:$A,0),MATCH("Name",WEAP!$A$1:$BF$1,0))</f>
        <v>Battleworn Wand</v>
      </c>
      <c r="E46" s="693"/>
      <c r="F46" s="693"/>
      <c r="G46" s="694"/>
      <c r="I46" s="241" t="str">
        <f>+INDEX(WEAP!$A:$AN,MATCH(B47,WEAP!$A:$A,0),MATCH("Weapon Skill",WEAP!$A$1:$BF$1,0))</f>
        <v>N/A</v>
      </c>
      <c r="J46" s="243">
        <f>INDEX('W-S'!$A:$N,MATCH(I46,'W-S'!$C:$C,0),MATCH("SP Cost",'W-S'!$1:$1,0))</f>
        <v>0</v>
      </c>
      <c r="K46" s="9"/>
      <c r="L46" s="241" t="str">
        <f>+I46</f>
        <v>N/A</v>
      </c>
      <c r="M46" s="243">
        <f>INDEX('W-S'!$A:$N,MATCH(L46,'W-S'!$C:$C,0),MATCH("SP Cost V3",'W-S'!$1:$1,0))</f>
        <v>0</v>
      </c>
    </row>
    <row r="47" spans="1:13" ht="22.5" x14ac:dyDescent="0.35">
      <c r="B47" s="238" t="str">
        <f>+INDEX(WEAP!$A:$AN,MATCH(B46,WEAP!$B:$B,0),MATCH("ID",WEAP!$A$1:$BF$1,0))</f>
        <v>307001_01</v>
      </c>
      <c r="C47" s="240"/>
      <c r="D47" s="692" t="str">
        <f>+INDEX(WEAP!$A:$AN,MATCH(B46,WEAP!$B:$B,0),MATCH("Family",WEAP!$A$1:$BF$1,0))&amp;" Weapon"</f>
        <v>Core 1 Weapon</v>
      </c>
      <c r="E47" s="693"/>
      <c r="F47" s="693"/>
      <c r="G47" s="694"/>
      <c r="H47" s="8"/>
      <c r="I47" s="695" t="str">
        <f>INDEX('W-S'!$A:$O,MATCH(I46,'W-S'!$C:$C,0),MATCH("Description",'W-S'!$1:$1,0))</f>
        <v>This weapon has no weapon skill.</v>
      </c>
      <c r="J47" s="696"/>
      <c r="K47" s="239"/>
      <c r="L47" s="695" t="str">
        <f>INDEX('W-S'!$A:$O,MATCH(I46,'W-S'!$C:$C,0),MATCH("Description V3",'W-S'!$1:$1,0))</f>
        <v>This weapon has no weapon skill.</v>
      </c>
      <c r="M47" s="696"/>
    </row>
    <row r="48" spans="1:13" ht="22.5" x14ac:dyDescent="0.2">
      <c r="B48" s="701" t="e" vm="32">
        <f>+_xlfn.IMAGE("https://natalie.tf/wp-content/uploads/2023/10/DLV3_Icon_Weapon_"&amp;B47&amp;".png")</f>
        <v>#VALUE!</v>
      </c>
      <c r="C48" s="240"/>
      <c r="D48" s="692" t="str">
        <f>INDEX(WEAP!$A:$AN,MATCH(B47,WEAP!$A:$A,0),MATCH("Element",WEAP!$A$1:$BF$1,0))&amp;" "&amp;INDEX(WEAP!$A:$AN,MATCH(B47,WEAP!$A:$A,0),MATCH("Type",WEAP!$A$1:$BF$1,0))</f>
        <v>None Wand</v>
      </c>
      <c r="E48" s="693"/>
      <c r="F48" s="693"/>
      <c r="G48" s="694"/>
      <c r="H48" s="8"/>
      <c r="I48" s="697"/>
      <c r="J48" s="698"/>
      <c r="K48" s="9"/>
      <c r="L48" s="697"/>
      <c r="M48" s="698"/>
    </row>
    <row r="49" spans="1:13" ht="22.5" x14ac:dyDescent="0.35">
      <c r="B49" s="702"/>
      <c r="C49" s="239"/>
      <c r="D49" s="703" t="s">
        <v>10760</v>
      </c>
      <c r="E49" s="704"/>
      <c r="F49" s="235" t="s">
        <v>10761</v>
      </c>
      <c r="G49" s="235" t="s">
        <v>10762</v>
      </c>
      <c r="I49" s="697"/>
      <c r="J49" s="698"/>
      <c r="K49" s="239"/>
      <c r="L49" s="697"/>
      <c r="M49" s="698"/>
    </row>
    <row r="50" spans="1:13" ht="22.5" x14ac:dyDescent="0.35">
      <c r="B50" s="702"/>
      <c r="C50" s="239"/>
      <c r="D50" s="705" t="s">
        <v>96</v>
      </c>
      <c r="E50" s="706"/>
      <c r="F50" s="236">
        <f>INDEX(WEAP!$A:$AN,MATCH(B47,WEAP!$A:$A,0),MATCH("HP",WEAP!$A$1:$BF$1,0))</f>
        <v>0</v>
      </c>
      <c r="G50" s="237">
        <f>INDEX(WEAP!$A:$AN,MATCH(B47,WEAP!$A:$A,0),MATCH("HP V3",WEAP!$A$1:$BF$1,0))</f>
        <v>0</v>
      </c>
      <c r="I50" s="697"/>
      <c r="J50" s="698"/>
      <c r="K50" s="239"/>
      <c r="L50" s="697"/>
      <c r="M50" s="698"/>
    </row>
    <row r="51" spans="1:13" ht="22.5" x14ac:dyDescent="0.35">
      <c r="B51" s="702"/>
      <c r="C51" s="239"/>
      <c r="D51" s="707" t="s">
        <v>97</v>
      </c>
      <c r="E51" s="708"/>
      <c r="F51" s="236">
        <f>INDEX(WEAP!$A:$AN,MATCH(B47,WEAP!$A:$A,0),MATCH("Str",WEAP!$A$1:$BF$1,0))</f>
        <v>0</v>
      </c>
      <c r="G51" s="237">
        <f>INDEX(WEAP!$A:$AN,MATCH(B47,WEAP!$A:$A,0),MATCH("Str V3",WEAP!$A$1:$BF$1,0))</f>
        <v>0</v>
      </c>
      <c r="I51" s="699"/>
      <c r="J51" s="700"/>
      <c r="K51" s="239"/>
      <c r="L51" s="699"/>
      <c r="M51" s="700"/>
    </row>
    <row r="52" spans="1:13" s="245" customFormat="1" ht="7.5" customHeight="1" x14ac:dyDescent="0.2">
      <c r="A52" s="245" t="s">
        <v>10763</v>
      </c>
    </row>
    <row r="53" spans="1:13" ht="22.5" x14ac:dyDescent="0.35">
      <c r="A53" s="244" t="str">
        <f>TEXT(A46+1,"000")</f>
        <v>008</v>
      </c>
      <c r="B53" s="238" t="str">
        <f>"W-"&amp;A53</f>
        <v>W-008</v>
      </c>
      <c r="C53" s="239"/>
      <c r="D53" s="692" t="str">
        <f>+INDEX(WEAP!$A:$AN,MATCH(B54,WEAP!$A:$A,0),MATCH("Name",WEAP!$A$1:$BF$1,0))</f>
        <v>Battleworn Staff</v>
      </c>
      <c r="E53" s="693"/>
      <c r="F53" s="693"/>
      <c r="G53" s="694"/>
      <c r="I53" s="241" t="str">
        <f>+INDEX(WEAP!$A:$AN,MATCH(B54,WEAP!$A:$A,0),MATCH("Weapon Skill",WEAP!$A$1:$BF$1,0))</f>
        <v>N/A</v>
      </c>
      <c r="J53" s="243">
        <f>INDEX('W-S'!$A:$N,MATCH(I53,'W-S'!$C:$C,0),MATCH("SP Cost",'W-S'!$1:$1,0))</f>
        <v>0</v>
      </c>
      <c r="K53" s="9"/>
      <c r="L53" s="241" t="str">
        <f>+I53</f>
        <v>N/A</v>
      </c>
      <c r="M53" s="243">
        <f>INDEX('W-S'!$A:$N,MATCH(L53,'W-S'!$C:$C,0),MATCH("SP Cost V3",'W-S'!$1:$1,0))</f>
        <v>0</v>
      </c>
    </row>
    <row r="54" spans="1:13" ht="22.5" x14ac:dyDescent="0.35">
      <c r="B54" s="238" t="str">
        <f>+INDEX(WEAP!$A:$AN,MATCH(B53,WEAP!$B:$B,0),MATCH("ID",WEAP!$A$1:$BF$1,0))</f>
        <v>308001_01</v>
      </c>
      <c r="C54" s="240"/>
      <c r="D54" s="692" t="str">
        <f>+INDEX(WEAP!$A:$AN,MATCH(B53,WEAP!$B:$B,0),MATCH("Family",WEAP!$A$1:$BF$1,0))&amp;" Weapon"</f>
        <v>Core 1 Weapon</v>
      </c>
      <c r="E54" s="693"/>
      <c r="F54" s="693"/>
      <c r="G54" s="694"/>
      <c r="H54" s="8"/>
      <c r="I54" s="695" t="str">
        <f>INDEX('W-S'!$A:$O,MATCH(I53,'W-S'!$C:$C,0),MATCH("Description",'W-S'!$1:$1,0))</f>
        <v>This weapon has no weapon skill.</v>
      </c>
      <c r="J54" s="696"/>
      <c r="K54" s="239"/>
      <c r="L54" s="695" t="str">
        <f>INDEX('W-S'!$A:$O,MATCH(I53,'W-S'!$C:$C,0),MATCH("Description V3",'W-S'!$1:$1,0))</f>
        <v>This weapon has no weapon skill.</v>
      </c>
      <c r="M54" s="696"/>
    </row>
    <row r="55" spans="1:13" ht="22.5" x14ac:dyDescent="0.2">
      <c r="B55" s="701" t="e" vm="33">
        <f>+_xlfn.IMAGE("https://natalie.tf/wp-content/uploads/2023/10/DLV3_Icon_Weapon_"&amp;B54&amp;".png")</f>
        <v>#VALUE!</v>
      </c>
      <c r="C55" s="240"/>
      <c r="D55" s="692" t="str">
        <f>INDEX(WEAP!$A:$AN,MATCH(B54,WEAP!$A:$A,0),MATCH("Element",WEAP!$A$1:$BF$1,0))&amp;" "&amp;INDEX(WEAP!$A:$AN,MATCH(B54,WEAP!$A:$A,0),MATCH("Type",WEAP!$A$1:$BF$1,0))</f>
        <v>None Staff</v>
      </c>
      <c r="E55" s="693"/>
      <c r="F55" s="693"/>
      <c r="G55" s="694"/>
      <c r="H55" s="8"/>
      <c r="I55" s="697"/>
      <c r="J55" s="698"/>
      <c r="K55" s="9"/>
      <c r="L55" s="697"/>
      <c r="M55" s="698"/>
    </row>
    <row r="56" spans="1:13" ht="22.5" x14ac:dyDescent="0.35">
      <c r="B56" s="702"/>
      <c r="C56" s="239"/>
      <c r="D56" s="703" t="s">
        <v>10760</v>
      </c>
      <c r="E56" s="704"/>
      <c r="F56" s="235" t="s">
        <v>10761</v>
      </c>
      <c r="G56" s="235" t="s">
        <v>10762</v>
      </c>
      <c r="I56" s="697"/>
      <c r="J56" s="698"/>
      <c r="K56" s="239"/>
      <c r="L56" s="697"/>
      <c r="M56" s="698"/>
    </row>
    <row r="57" spans="1:13" ht="22.5" x14ac:dyDescent="0.35">
      <c r="B57" s="702"/>
      <c r="C57" s="239"/>
      <c r="D57" s="705" t="s">
        <v>96</v>
      </c>
      <c r="E57" s="706"/>
      <c r="F57" s="236">
        <f>INDEX(WEAP!$A:$AN,MATCH(B54,WEAP!$A:$A,0),MATCH("HP",WEAP!$A$1:$BF$1,0))</f>
        <v>0</v>
      </c>
      <c r="G57" s="237">
        <f>INDEX(WEAP!$A:$AN,MATCH(B54,WEAP!$A:$A,0),MATCH("HP V3",WEAP!$A$1:$BF$1,0))</f>
        <v>0</v>
      </c>
      <c r="I57" s="697"/>
      <c r="J57" s="698"/>
      <c r="K57" s="239"/>
      <c r="L57" s="697"/>
      <c r="M57" s="698"/>
    </row>
    <row r="58" spans="1:13" ht="22.5" x14ac:dyDescent="0.35">
      <c r="B58" s="702"/>
      <c r="C58" s="239"/>
      <c r="D58" s="707" t="s">
        <v>97</v>
      </c>
      <c r="E58" s="708"/>
      <c r="F58" s="236">
        <f>INDEX(WEAP!$A:$AN,MATCH(B54,WEAP!$A:$A,0),MATCH("Str",WEAP!$A$1:$BF$1,0))</f>
        <v>0</v>
      </c>
      <c r="G58" s="237">
        <f>INDEX(WEAP!$A:$AN,MATCH(B54,WEAP!$A:$A,0),MATCH("Str V3",WEAP!$A$1:$BF$1,0))</f>
        <v>0</v>
      </c>
      <c r="I58" s="699"/>
      <c r="J58" s="700"/>
      <c r="K58" s="239"/>
      <c r="L58" s="699"/>
      <c r="M58" s="700"/>
    </row>
    <row r="59" spans="1:13" s="245" customFormat="1" ht="7.5" customHeight="1" x14ac:dyDescent="0.2">
      <c r="A59" s="245" t="s">
        <v>10763</v>
      </c>
    </row>
    <row r="60" spans="1:13" ht="22.5" x14ac:dyDescent="0.35">
      <c r="A60" s="244" t="str">
        <f>TEXT(A53+1,"000")</f>
        <v>009</v>
      </c>
      <c r="B60" s="238" t="str">
        <f>"W-"&amp;A60</f>
        <v>W-009</v>
      </c>
      <c r="C60" s="239"/>
      <c r="D60" s="692" t="str">
        <f>+INDEX(WEAP!$A:$AN,MATCH(B61,WEAP!$A:$A,0),MATCH("Name",WEAP!$A$1:$BF$1,0))</f>
        <v>Battleworn Manacaster</v>
      </c>
      <c r="E60" s="693"/>
      <c r="F60" s="693"/>
      <c r="G60" s="694"/>
      <c r="I60" s="241" t="str">
        <f>+INDEX(WEAP!$A:$AN,MATCH(B61,WEAP!$A:$A,0),MATCH("Weapon Skill",WEAP!$A$1:$BF$1,0))</f>
        <v>N/A</v>
      </c>
      <c r="J60" s="243">
        <f>INDEX('W-S'!$A:$N,MATCH(I60,'W-S'!$C:$C,0),MATCH("SP Cost",'W-S'!$1:$1,0))</f>
        <v>0</v>
      </c>
      <c r="K60" s="9"/>
      <c r="L60" s="241" t="str">
        <f>+I60</f>
        <v>N/A</v>
      </c>
      <c r="M60" s="243">
        <f>INDEX('W-S'!$A:$N,MATCH(L60,'W-S'!$C:$C,0),MATCH("SP Cost V3",'W-S'!$1:$1,0))</f>
        <v>0</v>
      </c>
    </row>
    <row r="61" spans="1:13" ht="22.5" x14ac:dyDescent="0.35">
      <c r="B61" s="238" t="str">
        <f>+INDEX(WEAP!$A:$AN,MATCH(B60,WEAP!$B:$B,0),MATCH("ID",WEAP!$A$1:$BF$1,0))</f>
        <v>309001_01</v>
      </c>
      <c r="C61" s="240"/>
      <c r="D61" s="692" t="str">
        <f>+INDEX(WEAP!$A:$AN,MATCH(B60,WEAP!$B:$B,0),MATCH("Family",WEAP!$A$1:$BF$1,0))&amp;" Weapon"</f>
        <v>Core 1 Weapon</v>
      </c>
      <c r="E61" s="693"/>
      <c r="F61" s="693"/>
      <c r="G61" s="694"/>
      <c r="H61" s="8"/>
      <c r="I61" s="695" t="str">
        <f>INDEX('W-S'!$A:$O,MATCH(I60,'W-S'!$C:$C,0),MATCH("Description",'W-S'!$1:$1,0))</f>
        <v>This weapon has no weapon skill.</v>
      </c>
      <c r="J61" s="696"/>
      <c r="K61" s="239"/>
      <c r="L61" s="695" t="str">
        <f>INDEX('W-S'!$A:$O,MATCH(I60,'W-S'!$C:$C,0),MATCH("Description V3",'W-S'!$1:$1,0))</f>
        <v>This weapon has no weapon skill.</v>
      </c>
      <c r="M61" s="696"/>
    </row>
    <row r="62" spans="1:13" ht="22.5" x14ac:dyDescent="0.2">
      <c r="B62" s="701" t="e" vm="34">
        <f>+_xlfn.IMAGE("https://natalie.tf/wp-content/uploads/2023/10/DLV3_Icon_Weapon_"&amp;B61&amp;".png")</f>
        <v>#VALUE!</v>
      </c>
      <c r="C62" s="240"/>
      <c r="D62" s="692" t="str">
        <f>INDEX(WEAP!$A:$AN,MATCH(B61,WEAP!$A:$A,0),MATCH("Element",WEAP!$A$1:$BF$1,0))&amp;" "&amp;INDEX(WEAP!$A:$AN,MATCH(B61,WEAP!$A:$A,0),MATCH("Type",WEAP!$A$1:$BF$1,0))</f>
        <v>None Manacaster</v>
      </c>
      <c r="E62" s="693"/>
      <c r="F62" s="693"/>
      <c r="G62" s="694"/>
      <c r="H62" s="8"/>
      <c r="I62" s="697"/>
      <c r="J62" s="698"/>
      <c r="K62" s="9"/>
      <c r="L62" s="697"/>
      <c r="M62" s="698"/>
    </row>
    <row r="63" spans="1:13" ht="22.5" x14ac:dyDescent="0.35">
      <c r="B63" s="702"/>
      <c r="C63" s="239"/>
      <c r="D63" s="703" t="s">
        <v>10760</v>
      </c>
      <c r="E63" s="704"/>
      <c r="F63" s="235" t="s">
        <v>10761</v>
      </c>
      <c r="G63" s="235" t="s">
        <v>10762</v>
      </c>
      <c r="I63" s="697"/>
      <c r="J63" s="698"/>
      <c r="K63" s="239"/>
      <c r="L63" s="697"/>
      <c r="M63" s="698"/>
    </row>
    <row r="64" spans="1:13" ht="22.5" x14ac:dyDescent="0.35">
      <c r="B64" s="702"/>
      <c r="C64" s="239"/>
      <c r="D64" s="705" t="s">
        <v>96</v>
      </c>
      <c r="E64" s="706"/>
      <c r="F64" s="236">
        <f>INDEX(WEAP!$A:$AN,MATCH(B61,WEAP!$A:$A,0),MATCH("HP",WEAP!$A$1:$BF$1,0))</f>
        <v>0</v>
      </c>
      <c r="G64" s="237">
        <f>INDEX(WEAP!$A:$AN,MATCH(B61,WEAP!$A:$A,0),MATCH("HP V3",WEAP!$A$1:$BF$1,0))</f>
        <v>0</v>
      </c>
      <c r="I64" s="697"/>
      <c r="J64" s="698"/>
      <c r="K64" s="239"/>
      <c r="L64" s="697"/>
      <c r="M64" s="698"/>
    </row>
    <row r="65" spans="1:13" ht="22.5" x14ac:dyDescent="0.35">
      <c r="B65" s="702"/>
      <c r="C65" s="239"/>
      <c r="D65" s="707" t="s">
        <v>97</v>
      </c>
      <c r="E65" s="708"/>
      <c r="F65" s="236">
        <f>INDEX(WEAP!$A:$AN,MATCH(B61,WEAP!$A:$A,0),MATCH("Str",WEAP!$A$1:$BF$1,0))</f>
        <v>0</v>
      </c>
      <c r="G65" s="237">
        <f>INDEX(WEAP!$A:$AN,MATCH(B61,WEAP!$A:$A,0),MATCH("Str V3",WEAP!$A$1:$BF$1,0))</f>
        <v>0</v>
      </c>
      <c r="I65" s="699"/>
      <c r="J65" s="700"/>
      <c r="K65" s="239"/>
      <c r="L65" s="699"/>
      <c r="M65" s="700"/>
    </row>
    <row r="66" spans="1:13" s="245" customFormat="1" ht="7.5" customHeight="1" x14ac:dyDescent="0.2">
      <c r="A66" s="245" t="s">
        <v>10763</v>
      </c>
    </row>
    <row r="67" spans="1:13" ht="22.5" x14ac:dyDescent="0.35">
      <c r="A67" s="244" t="str">
        <f>TEXT(A60+1,"000")</f>
        <v>010</v>
      </c>
      <c r="B67" s="238" t="str">
        <f>"W-"&amp;A67</f>
        <v>W-010</v>
      </c>
      <c r="C67" s="239"/>
      <c r="D67" s="692" t="str">
        <f>+INDEX(WEAP!$A:$AN,MATCH(B68,WEAP!$A:$A,0),MATCH("Name",WEAP!$A$1:$BF$1,0))</f>
        <v>Knight's Sword</v>
      </c>
      <c r="E67" s="693"/>
      <c r="F67" s="693"/>
      <c r="G67" s="694"/>
      <c r="I67" s="241" t="str">
        <f>+INDEX(WEAP!$A:$AN,MATCH(B68,WEAP!$A:$A,0),MATCH("Weapon Skill",WEAP!$A$1:$BF$1,0))</f>
        <v>Broad Cleaver</v>
      </c>
      <c r="J67" s="243">
        <f>INDEX('W-S'!$A:$N,MATCH(I67,'W-S'!$C:$C,0),MATCH("SP Cost",'W-S'!$1:$1,0))</f>
        <v>7330</v>
      </c>
      <c r="K67" s="9"/>
      <c r="L67" s="241" t="str">
        <f>+I67</f>
        <v>Broad Cleaver</v>
      </c>
      <c r="M67" s="243">
        <f>INDEX('W-S'!$A:$N,MATCH(L67,'W-S'!$C:$C,0),MATCH("SP Cost V3",'W-S'!$1:$1,0))</f>
        <v>6000</v>
      </c>
    </row>
    <row r="68" spans="1:13" ht="22.5" x14ac:dyDescent="0.35">
      <c r="B68" s="238" t="str">
        <f>+INDEX(WEAP!$A:$AN,MATCH(B67,WEAP!$B:$B,0),MATCH("ID",WEAP!$A$1:$BF$1,0))</f>
        <v>301030_01</v>
      </c>
      <c r="C68" s="240"/>
      <c r="D68" s="692" t="str">
        <f>+INDEX(WEAP!$A:$AN,MATCH(B67,WEAP!$B:$B,0),MATCH("Family",WEAP!$A$1:$BF$1,0))&amp;" Weapon"</f>
        <v>Core 3 Weapon</v>
      </c>
      <c r="E68" s="693"/>
      <c r="F68" s="693"/>
      <c r="G68" s="694"/>
      <c r="H68" s="8"/>
      <c r="I68" s="695" t="str">
        <f>INDEX('W-S'!$A:$O,MATCH(I67,'W-S'!$C:$C,0),MATCH("Description",'W-S'!$1:$1,0))</f>
        <v>Deals 1 hit of 614% damage to enemies directly ahead, and inflicts burn for 12 seconds - dealing 60% damage every 3.9 seconds - with 90% base chance.</v>
      </c>
      <c r="J68" s="696"/>
      <c r="K68" s="239"/>
      <c r="L68" s="695" t="str">
        <f>INDEX('W-S'!$A:$O,MATCH(I67,'W-S'!$C:$C,0),MATCH("Description V3",'W-S'!$1:$1,0))</f>
        <v>Deals 1 hit of 1500% damage to enemies directly ahead, and inflicts burn for 21 seconds - dealing 50% damage every 2.9 seconds - with 100% base chance.</v>
      </c>
      <c r="M68" s="696"/>
    </row>
    <row r="69" spans="1:13" ht="22.5" x14ac:dyDescent="0.2">
      <c r="B69" s="701" t="e" vm="35">
        <f>+_xlfn.IMAGE("https://natalie.tf/wp-content/uploads/2023/10/DLV3_Icon_Weapon_"&amp;B68&amp;".png")</f>
        <v>#VALUE!</v>
      </c>
      <c r="C69" s="240"/>
      <c r="D69" s="692" t="str">
        <f>INDEX(WEAP!$A:$AN,MATCH(B68,WEAP!$A:$A,0),MATCH("Element",WEAP!$A$1:$BF$1,0))&amp;" "&amp;INDEX(WEAP!$A:$AN,MATCH(B68,WEAP!$A:$A,0),MATCH("Type",WEAP!$A$1:$BF$1,0))</f>
        <v>None Sword</v>
      </c>
      <c r="E69" s="693"/>
      <c r="F69" s="693"/>
      <c r="G69" s="694"/>
      <c r="H69" s="8"/>
      <c r="I69" s="697"/>
      <c r="J69" s="698"/>
      <c r="K69" s="9"/>
      <c r="L69" s="697"/>
      <c r="M69" s="698"/>
    </row>
    <row r="70" spans="1:13" ht="22.5" x14ac:dyDescent="0.35">
      <c r="B70" s="702"/>
      <c r="C70" s="239"/>
      <c r="D70" s="703" t="s">
        <v>10760</v>
      </c>
      <c r="E70" s="704"/>
      <c r="F70" s="235" t="s">
        <v>10761</v>
      </c>
      <c r="G70" s="235" t="s">
        <v>10762</v>
      </c>
      <c r="I70" s="697"/>
      <c r="J70" s="698"/>
      <c r="K70" s="239"/>
      <c r="L70" s="697"/>
      <c r="M70" s="698"/>
    </row>
    <row r="71" spans="1:13" ht="22.5" x14ac:dyDescent="0.35">
      <c r="B71" s="702"/>
      <c r="C71" s="239"/>
      <c r="D71" s="705" t="s">
        <v>96</v>
      </c>
      <c r="E71" s="706"/>
      <c r="F71" s="236">
        <f>INDEX(WEAP!$A:$AN,MATCH(B68,WEAP!$A:$A,0),MATCH("HP",WEAP!$A$1:$BF$1,0))</f>
        <v>37</v>
      </c>
      <c r="G71" s="237">
        <f>INDEX(WEAP!$A:$AN,MATCH(B68,WEAP!$A:$A,0),MATCH("HP V3",WEAP!$A$1:$BF$1,0))</f>
        <v>40</v>
      </c>
      <c r="I71" s="697"/>
      <c r="J71" s="698"/>
      <c r="K71" s="239"/>
      <c r="L71" s="697"/>
      <c r="M71" s="698"/>
    </row>
    <row r="72" spans="1:13" ht="22.5" x14ac:dyDescent="0.35">
      <c r="B72" s="702"/>
      <c r="C72" s="239"/>
      <c r="D72" s="707" t="s">
        <v>97</v>
      </c>
      <c r="E72" s="708"/>
      <c r="F72" s="236">
        <f>INDEX(WEAP!$A:$AN,MATCH(B68,WEAP!$A:$A,0),MATCH("Str",WEAP!$A$1:$BF$1,0))</f>
        <v>133</v>
      </c>
      <c r="G72" s="237">
        <f>INDEX(WEAP!$A:$AN,MATCH(B68,WEAP!$A:$A,0),MATCH("Str V3",WEAP!$A$1:$BF$1,0))</f>
        <v>135</v>
      </c>
      <c r="I72" s="699"/>
      <c r="J72" s="700"/>
      <c r="K72" s="239"/>
      <c r="L72" s="699"/>
      <c r="M72" s="700"/>
    </row>
    <row r="73" spans="1:13" ht="33.75" customHeight="1" x14ac:dyDescent="0.2">
      <c r="A73" t="s">
        <v>10763</v>
      </c>
    </row>
    <row r="74" spans="1:13" ht="22.5" x14ac:dyDescent="0.35">
      <c r="A74" s="244" t="str">
        <f>TEXT(A67+1,"000")</f>
        <v>011</v>
      </c>
      <c r="B74" s="238" t="str">
        <f>"W-"&amp;A74</f>
        <v>W-011</v>
      </c>
      <c r="C74" s="239"/>
      <c r="D74" s="692" t="str">
        <f>+INDEX(WEAP!$A:$AN,MATCH(B75,WEAP!$A:$A,0),MATCH("Name",WEAP!$A$1:$BF$1,0))</f>
        <v>Subjugator</v>
      </c>
      <c r="E74" s="693"/>
      <c r="F74" s="693"/>
      <c r="G74" s="694"/>
      <c r="I74" s="241" t="str">
        <f>+INDEX(WEAP!$A:$AN,MATCH(B75,WEAP!$A:$A,0),MATCH("Weapon Skill",WEAP!$A$1:$BF$1,0))</f>
        <v>Fusion Wave</v>
      </c>
      <c r="J74" s="243">
        <f>INDEX('W-S'!$A:$N,MATCH(I74,'W-S'!$C:$C,0),MATCH("SP Cost",'W-S'!$1:$1,0))</f>
        <v>7920</v>
      </c>
      <c r="K74" s="9"/>
      <c r="L74" s="241" t="str">
        <f>+I74</f>
        <v>Fusion Wave</v>
      </c>
      <c r="M74" s="243">
        <f>INDEX('W-S'!$A:$N,MATCH(L74,'W-S'!$C:$C,0),MATCH("SP Cost V3",'W-S'!$1:$1,0))</f>
        <v>6000</v>
      </c>
    </row>
    <row r="75" spans="1:13" ht="22.5" x14ac:dyDescent="0.35">
      <c r="B75" s="238" t="str">
        <f>+INDEX(WEAP!$A:$AN,MATCH(B74,WEAP!$B:$B,0),MATCH("ID",WEAP!$A$1:$BF$1,0))</f>
        <v>302021_01</v>
      </c>
      <c r="C75" s="240"/>
      <c r="D75" s="692" t="str">
        <f>+INDEX(WEAP!$A:$AN,MATCH(B74,WEAP!$B:$B,0),MATCH("Family",WEAP!$A$1:$BF$1,0))&amp;" Weapon"</f>
        <v>Core 3 Weapon</v>
      </c>
      <c r="E75" s="693"/>
      <c r="F75" s="693"/>
      <c r="G75" s="694"/>
      <c r="H75" s="8"/>
      <c r="I75" s="695" t="str">
        <f>INDEX('W-S'!$A:$O,MATCH(I74,'W-S'!$C:$C,0),MATCH("Description",'W-S'!$1:$1,0))</f>
        <v>Deals 1 hit of 790% damage to enemies in a line.</v>
      </c>
      <c r="J75" s="696"/>
      <c r="K75" s="239"/>
      <c r="L75" s="695" t="str">
        <f>INDEX('W-S'!$A:$O,MATCH(I74,'W-S'!$C:$C,0),MATCH("Description V3",'W-S'!$1:$1,0))</f>
        <v>Deals 1 hit of 1500% damage to enemies in a line, and inflicts scorchrend for 21 seconds - dealing 50% damage every 2.9 seconds - with 100% base chance.</v>
      </c>
      <c r="M75" s="696"/>
    </row>
    <row r="76" spans="1:13" ht="22.5" x14ac:dyDescent="0.2">
      <c r="B76" s="701" t="e" vm="36">
        <f>+_xlfn.IMAGE("https://natalie.tf/wp-content/uploads/2023/10/DLV3_Icon_Weapon_"&amp;B75&amp;".png")</f>
        <v>#VALUE!</v>
      </c>
      <c r="C76" s="240"/>
      <c r="D76" s="692" t="str">
        <f>INDEX(WEAP!$A:$AN,MATCH(B75,WEAP!$A:$A,0),MATCH("Element",WEAP!$A$1:$BF$1,0))&amp;" "&amp;INDEX(WEAP!$A:$AN,MATCH(B75,WEAP!$A:$A,0),MATCH("Type",WEAP!$A$1:$BF$1,0))</f>
        <v>None Blade</v>
      </c>
      <c r="E76" s="693"/>
      <c r="F76" s="693"/>
      <c r="G76" s="694"/>
      <c r="H76" s="8"/>
      <c r="I76" s="697"/>
      <c r="J76" s="698"/>
      <c r="K76" s="9"/>
      <c r="L76" s="697"/>
      <c r="M76" s="698"/>
    </row>
    <row r="77" spans="1:13" ht="22.5" x14ac:dyDescent="0.35">
      <c r="B77" s="702"/>
      <c r="C77" s="239"/>
      <c r="D77" s="703" t="s">
        <v>10760</v>
      </c>
      <c r="E77" s="704"/>
      <c r="F77" s="235" t="s">
        <v>10761</v>
      </c>
      <c r="G77" s="235" t="s">
        <v>10762</v>
      </c>
      <c r="I77" s="697"/>
      <c r="J77" s="698"/>
      <c r="K77" s="239"/>
      <c r="L77" s="697"/>
      <c r="M77" s="698"/>
    </row>
    <row r="78" spans="1:13" ht="22.5" x14ac:dyDescent="0.35">
      <c r="B78" s="702"/>
      <c r="C78" s="239"/>
      <c r="D78" s="705" t="s">
        <v>96</v>
      </c>
      <c r="E78" s="706"/>
      <c r="F78" s="236">
        <f>INDEX(WEAP!$A:$AN,MATCH(B75,WEAP!$A:$A,0),MATCH("HP",WEAP!$A$1:$BF$1,0))</f>
        <v>31</v>
      </c>
      <c r="G78" s="237">
        <f>INDEX(WEAP!$A:$AN,MATCH(B75,WEAP!$A:$A,0),MATCH("HP V3",WEAP!$A$1:$BF$1,0))</f>
        <v>35</v>
      </c>
      <c r="I78" s="697"/>
      <c r="J78" s="698"/>
      <c r="K78" s="239"/>
      <c r="L78" s="697"/>
      <c r="M78" s="698"/>
    </row>
    <row r="79" spans="1:13" ht="22.5" x14ac:dyDescent="0.35">
      <c r="B79" s="702"/>
      <c r="C79" s="239"/>
      <c r="D79" s="707" t="s">
        <v>97</v>
      </c>
      <c r="E79" s="708"/>
      <c r="F79" s="236">
        <f>INDEX(WEAP!$A:$AN,MATCH(B75,WEAP!$A:$A,0),MATCH("Str",WEAP!$A$1:$BF$1,0))</f>
        <v>145</v>
      </c>
      <c r="G79" s="237">
        <f>INDEX(WEAP!$A:$AN,MATCH(B75,WEAP!$A:$A,0),MATCH("Str V3",WEAP!$A$1:$BF$1,0))</f>
        <v>145</v>
      </c>
      <c r="I79" s="699"/>
      <c r="J79" s="700"/>
      <c r="K79" s="239"/>
      <c r="L79" s="699"/>
      <c r="M79" s="700"/>
    </row>
    <row r="80" spans="1:13" s="245" customFormat="1" ht="7.5" customHeight="1" x14ac:dyDescent="0.2">
      <c r="A80" s="245" t="s">
        <v>10763</v>
      </c>
    </row>
    <row r="81" spans="1:13" ht="22.5" x14ac:dyDescent="0.35">
      <c r="A81" s="242" t="str">
        <f>TEXT(A74+1,"000")</f>
        <v>012</v>
      </c>
      <c r="B81" s="238" t="str">
        <f>"W-"&amp;A81</f>
        <v>W-012</v>
      </c>
      <c r="C81" s="239"/>
      <c r="D81" s="692" t="str">
        <f>+INDEX(WEAP!$A:$AN,MATCH(B82,WEAP!$A:$A,0),MATCH("Name",WEAP!$A$1:$BF$1,0))</f>
        <v>Bejeweled Dagger</v>
      </c>
      <c r="E81" s="693"/>
      <c r="F81" s="693"/>
      <c r="G81" s="694"/>
      <c r="I81" s="241" t="str">
        <f>+INDEX(WEAP!$A:$AN,MATCH(B82,WEAP!$A:$A,0),MATCH("Weapon Skill",WEAP!$A$1:$BF$1,0))</f>
        <v>Lover's Strike</v>
      </c>
      <c r="J81" s="243">
        <f>INDEX('W-S'!$A:$N,MATCH(I81,'W-S'!$C:$C,0),MATCH("SP Cost",'W-S'!$1:$1,0))</f>
        <v>6770</v>
      </c>
      <c r="K81" s="9"/>
      <c r="L81" s="241" t="str">
        <f>+I81</f>
        <v>Lover's Strike</v>
      </c>
      <c r="M81" s="243">
        <f>INDEX('W-S'!$A:$N,MATCH(L81,'W-S'!$C:$C,0),MATCH("SP Cost V3",'W-S'!$1:$1,0))</f>
        <v>6000</v>
      </c>
    </row>
    <row r="82" spans="1:13" ht="22.5" x14ac:dyDescent="0.35">
      <c r="B82" s="238" t="str">
        <f>+INDEX(WEAP!$A:$AN,MATCH(B81,WEAP!$B:$B,0),MATCH("ID",WEAP!$A$1:$BF$1,0))</f>
        <v>303026_01</v>
      </c>
      <c r="C82" s="240"/>
      <c r="D82" s="692" t="str">
        <f>+INDEX(WEAP!$A:$AN,MATCH(B81,WEAP!$B:$B,0),MATCH("Family",WEAP!$A$1:$BF$1,0))&amp;" Weapon"</f>
        <v>Core 3 Weapon</v>
      </c>
      <c r="E82" s="693"/>
      <c r="F82" s="693"/>
      <c r="G82" s="694"/>
      <c r="H82" s="8"/>
      <c r="I82" s="695" t="str">
        <f>INDEX('W-S'!$A:$O,MATCH(I81,'W-S'!$C:$C,0),MATCH("Description",'W-S'!$1:$1,0))</f>
        <v>Deals 4 hits of 152% damage to enemies directly ahead.</v>
      </c>
      <c r="J82" s="696"/>
      <c r="K82" s="239"/>
      <c r="L82" s="695" t="str">
        <f>INDEX('W-S'!$A:$O,MATCH(I81,'W-S'!$C:$C,0),MATCH("Description V3",'W-S'!$1:$1,0))</f>
        <v>Deals 4 hits of 375% damage to enemies directly ahead, inflicts poison for 21 seconds - dealing 50% damage every 2.9 seconds - with 100% base chance..</v>
      </c>
      <c r="M82" s="696"/>
    </row>
    <row r="83" spans="1:13" ht="22.5" x14ac:dyDescent="0.2">
      <c r="B83" s="701" t="e" vm="37">
        <f>+_xlfn.IMAGE("https://natalie.tf/wp-content/uploads/2023/10/DLV3_Icon_Weapon_"&amp;B82&amp;".png")</f>
        <v>#VALUE!</v>
      </c>
      <c r="C83" s="240"/>
      <c r="D83" s="692" t="str">
        <f>INDEX(WEAP!$A:$AN,MATCH(B82,WEAP!$A:$A,0),MATCH("Element",WEAP!$A$1:$BF$1,0))&amp;" "&amp;INDEX(WEAP!$A:$AN,MATCH(B82,WEAP!$A:$A,0),MATCH("Type",WEAP!$A$1:$BF$1,0))</f>
        <v>None Dagger</v>
      </c>
      <c r="E83" s="693"/>
      <c r="F83" s="693"/>
      <c r="G83" s="694"/>
      <c r="H83" s="8"/>
      <c r="I83" s="697"/>
      <c r="J83" s="698"/>
      <c r="K83" s="9"/>
      <c r="L83" s="697"/>
      <c r="M83" s="698"/>
    </row>
    <row r="84" spans="1:13" ht="22.5" x14ac:dyDescent="0.35">
      <c r="B84" s="702"/>
      <c r="C84" s="239"/>
      <c r="D84" s="703" t="s">
        <v>10760</v>
      </c>
      <c r="E84" s="704"/>
      <c r="F84" s="235" t="s">
        <v>10761</v>
      </c>
      <c r="G84" s="235" t="s">
        <v>10762</v>
      </c>
      <c r="I84" s="697"/>
      <c r="J84" s="698"/>
      <c r="K84" s="239"/>
      <c r="L84" s="697"/>
      <c r="M84" s="698"/>
    </row>
    <row r="85" spans="1:13" ht="22.5" x14ac:dyDescent="0.35">
      <c r="B85" s="702"/>
      <c r="C85" s="239"/>
      <c r="D85" s="705" t="s">
        <v>96</v>
      </c>
      <c r="E85" s="706"/>
      <c r="F85" s="236">
        <f>INDEX(WEAP!$A:$AN,MATCH(B82,WEAP!$A:$A,0),MATCH("HP",WEAP!$A$1:$BF$1,0))</f>
        <v>37</v>
      </c>
      <c r="G85" s="237">
        <f>INDEX(WEAP!$A:$AN,MATCH(B82,WEAP!$A:$A,0),MATCH("HP V3",WEAP!$A$1:$BF$1,0))</f>
        <v>40</v>
      </c>
      <c r="I85" s="697"/>
      <c r="J85" s="698"/>
      <c r="K85" s="239"/>
      <c r="L85" s="697"/>
      <c r="M85" s="698"/>
    </row>
    <row r="86" spans="1:13" ht="22.5" x14ac:dyDescent="0.35">
      <c r="B86" s="702"/>
      <c r="C86" s="239"/>
      <c r="D86" s="707" t="s">
        <v>97</v>
      </c>
      <c r="E86" s="708"/>
      <c r="F86" s="236">
        <f>INDEX(WEAP!$A:$AN,MATCH(B82,WEAP!$A:$A,0),MATCH("Str",WEAP!$A$1:$BF$1,0))</f>
        <v>130</v>
      </c>
      <c r="G86" s="237">
        <f>INDEX(WEAP!$A:$AN,MATCH(B82,WEAP!$A:$A,0),MATCH("Str V3",WEAP!$A$1:$BF$1,0))</f>
        <v>130</v>
      </c>
      <c r="I86" s="699"/>
      <c r="J86" s="700"/>
      <c r="K86" s="239"/>
      <c r="L86" s="699"/>
      <c r="M86" s="700"/>
    </row>
    <row r="87" spans="1:13" s="245" customFormat="1" ht="7.5" customHeight="1" x14ac:dyDescent="0.2">
      <c r="A87" s="245" t="s">
        <v>10763</v>
      </c>
    </row>
    <row r="88" spans="1:13" ht="22.5" x14ac:dyDescent="0.35">
      <c r="A88" s="244" t="str">
        <f>TEXT(A81+1,"000")</f>
        <v>013</v>
      </c>
      <c r="B88" s="238" t="str">
        <f>"W-"&amp;A88</f>
        <v>W-013</v>
      </c>
      <c r="C88" s="239"/>
      <c r="D88" s="692" t="str">
        <f>+INDEX(WEAP!$A:$AN,MATCH(B89,WEAP!$A:$A,0),MATCH("Name",WEAP!$A$1:$BF$1,0))</f>
        <v>Warrior's Axe</v>
      </c>
      <c r="E88" s="693"/>
      <c r="F88" s="693"/>
      <c r="G88" s="694"/>
      <c r="I88" s="241" t="str">
        <f>+INDEX(WEAP!$A:$AN,MATCH(B89,WEAP!$A:$A,0),MATCH("Weapon Skill",WEAP!$A$1:$BF$1,0))</f>
        <v>Juggernaut's Swing</v>
      </c>
      <c r="J88" s="243">
        <f>INDEX('W-S'!$A:$N,MATCH(I88,'W-S'!$C:$C,0),MATCH("SP Cost",'W-S'!$1:$1,0))</f>
        <v>8603</v>
      </c>
      <c r="K88" s="9"/>
      <c r="L88" s="241" t="str">
        <f>+I88</f>
        <v>Juggernaut's Swing</v>
      </c>
      <c r="M88" s="243">
        <f>INDEX('W-S'!$A:$N,MATCH(L88,'W-S'!$C:$C,0),MATCH("SP Cost V3",'W-S'!$1:$1,0))</f>
        <v>6000</v>
      </c>
    </row>
    <row r="89" spans="1:13" ht="22.5" x14ac:dyDescent="0.35">
      <c r="B89" s="238" t="str">
        <f>+INDEX(WEAP!$A:$AN,MATCH(B88,WEAP!$B:$B,0),MATCH("ID",WEAP!$A$1:$BF$1,0))</f>
        <v>304025_01</v>
      </c>
      <c r="C89" s="240"/>
      <c r="D89" s="692" t="str">
        <f>+INDEX(WEAP!$A:$AN,MATCH(B88,WEAP!$B:$B,0),MATCH("Family",WEAP!$A$1:$BF$1,0))&amp;" Weapon"</f>
        <v>Core 3 Weapon</v>
      </c>
      <c r="E89" s="693"/>
      <c r="F89" s="693"/>
      <c r="G89" s="694"/>
      <c r="H89" s="8"/>
      <c r="I89" s="695" t="str">
        <f>INDEX('W-S'!$A:$O,MATCH(I88,'W-S'!$C:$C,0),MATCH("Description",'W-S'!$1:$1,0))</f>
        <v>Deals 2 hits of 466% damage to surrounding enemies, draws them toward the user for 0.5 seconds, and inflicts poison - dealing 36% damage every 2.9 seconds for 15 seconds - with 90% base chance.</v>
      </c>
      <c r="J89" s="696"/>
      <c r="K89" s="239"/>
      <c r="L89" s="695" t="str">
        <f>INDEX('W-S'!$A:$O,MATCH(I88,'W-S'!$C:$C,0),MATCH("Description V3",'W-S'!$1:$1,0))</f>
        <v>Deals 2 hits of 750% damage to surrounding enemies, draws them toward the user for 0.5 seconds, and inflicts stormlash for 21 seconds - dealing 50% damage every 2.9 seconds - with 100% base chance.</v>
      </c>
      <c r="M89" s="696"/>
    </row>
    <row r="90" spans="1:13" ht="22.5" x14ac:dyDescent="0.2">
      <c r="B90" s="701" t="e" vm="38">
        <f>+_xlfn.IMAGE("https://natalie.tf/wp-content/uploads/2023/10/DLV3_Icon_Weapon_"&amp;B89&amp;".png")</f>
        <v>#VALUE!</v>
      </c>
      <c r="C90" s="240"/>
      <c r="D90" s="692" t="str">
        <f>INDEX(WEAP!$A:$AN,MATCH(B89,WEAP!$A:$A,0),MATCH("Element",WEAP!$A$1:$BF$1,0))&amp;" "&amp;INDEX(WEAP!$A:$AN,MATCH(B89,WEAP!$A:$A,0),MATCH("Type",WEAP!$A$1:$BF$1,0))</f>
        <v>None Axe</v>
      </c>
      <c r="E90" s="693"/>
      <c r="F90" s="693"/>
      <c r="G90" s="694"/>
      <c r="H90" s="8"/>
      <c r="I90" s="697"/>
      <c r="J90" s="698"/>
      <c r="K90" s="9"/>
      <c r="L90" s="697"/>
      <c r="M90" s="698"/>
    </row>
    <row r="91" spans="1:13" ht="22.5" x14ac:dyDescent="0.35">
      <c r="B91" s="702"/>
      <c r="C91" s="239"/>
      <c r="D91" s="703" t="s">
        <v>10760</v>
      </c>
      <c r="E91" s="704"/>
      <c r="F91" s="235" t="s">
        <v>10761</v>
      </c>
      <c r="G91" s="235" t="s">
        <v>10762</v>
      </c>
      <c r="I91" s="697"/>
      <c r="J91" s="698"/>
      <c r="K91" s="239"/>
      <c r="L91" s="697"/>
      <c r="M91" s="698"/>
    </row>
    <row r="92" spans="1:13" ht="22.5" x14ac:dyDescent="0.35">
      <c r="B92" s="702"/>
      <c r="C92" s="239"/>
      <c r="D92" s="705" t="s">
        <v>96</v>
      </c>
      <c r="E92" s="706"/>
      <c r="F92" s="236">
        <f>INDEX(WEAP!$A:$AN,MATCH(B89,WEAP!$A:$A,0),MATCH("HP",WEAP!$A$1:$BF$1,0))</f>
        <v>40</v>
      </c>
      <c r="G92" s="237">
        <f>INDEX(WEAP!$A:$AN,MATCH(B89,WEAP!$A:$A,0),MATCH("HP V3",WEAP!$A$1:$BF$1,0))</f>
        <v>40</v>
      </c>
      <c r="I92" s="697"/>
      <c r="J92" s="698"/>
      <c r="K92" s="239"/>
      <c r="L92" s="697"/>
      <c r="M92" s="698"/>
    </row>
    <row r="93" spans="1:13" ht="22.5" x14ac:dyDescent="0.35">
      <c r="B93" s="702"/>
      <c r="C93" s="239"/>
      <c r="D93" s="707" t="s">
        <v>97</v>
      </c>
      <c r="E93" s="708"/>
      <c r="F93" s="236">
        <f>INDEX(WEAP!$A:$AN,MATCH(B89,WEAP!$A:$A,0),MATCH("Str",WEAP!$A$1:$BF$1,0))</f>
        <v>135</v>
      </c>
      <c r="G93" s="237">
        <f>INDEX(WEAP!$A:$AN,MATCH(B89,WEAP!$A:$A,0),MATCH("Str V3",WEAP!$A$1:$BF$1,0))</f>
        <v>135</v>
      </c>
      <c r="I93" s="699"/>
      <c r="J93" s="700"/>
      <c r="K93" s="239"/>
      <c r="L93" s="699"/>
      <c r="M93" s="700"/>
    </row>
    <row r="94" spans="1:13" s="245" customFormat="1" ht="7.5" customHeight="1" x14ac:dyDescent="0.2">
      <c r="A94" s="245" t="s">
        <v>10763</v>
      </c>
    </row>
    <row r="95" spans="1:13" ht="22.5" x14ac:dyDescent="0.35">
      <c r="A95" s="244" t="str">
        <f>TEXT(A88+1,"000")</f>
        <v>014</v>
      </c>
      <c r="B95" s="238" t="str">
        <f>"W-"&amp;A95</f>
        <v>W-014</v>
      </c>
      <c r="C95" s="239"/>
      <c r="D95" s="692" t="str">
        <f>+INDEX(WEAP!$A:$AN,MATCH(B96,WEAP!$A:$A,0),MATCH("Name",WEAP!$A$1:$BF$1,0))</f>
        <v>Trident</v>
      </c>
      <c r="E95" s="693"/>
      <c r="F95" s="693"/>
      <c r="G95" s="694"/>
      <c r="I95" s="241" t="str">
        <f>+INDEX(WEAP!$A:$AN,MATCH(B96,WEAP!$A:$A,0),MATCH("Weapon Skill",WEAP!$A$1:$BF$1,0))</f>
        <v>Spiralling Descent</v>
      </c>
      <c r="J95" s="243">
        <f>INDEX('W-S'!$A:$N,MATCH(I95,'W-S'!$C:$C,0),MATCH("SP Cost",'W-S'!$1:$1,0))</f>
        <v>7054</v>
      </c>
      <c r="K95" s="9"/>
      <c r="L95" s="241" t="str">
        <f>+I95</f>
        <v>Spiralling Descent</v>
      </c>
      <c r="M95" s="243">
        <f>INDEX('W-S'!$A:$N,MATCH(L95,'W-S'!$C:$C,0),MATCH("SP Cost V3",'W-S'!$1:$1,0))</f>
        <v>6000</v>
      </c>
    </row>
    <row r="96" spans="1:13" ht="22.5" x14ac:dyDescent="0.35">
      <c r="B96" s="238" t="str">
        <f>+INDEX(WEAP!$A:$AN,MATCH(B95,WEAP!$B:$B,0),MATCH("ID",WEAP!$A$1:$BF$1,0))</f>
        <v>305039_01</v>
      </c>
      <c r="C96" s="240"/>
      <c r="D96" s="692" t="str">
        <f>+INDEX(WEAP!$A:$AN,MATCH(B95,WEAP!$B:$B,0),MATCH("Family",WEAP!$A$1:$BF$1,0))&amp;" Weapon"</f>
        <v>Core 3 Weapon</v>
      </c>
      <c r="E96" s="693"/>
      <c r="F96" s="693"/>
      <c r="G96" s="694"/>
      <c r="H96" s="8"/>
      <c r="I96" s="695" t="str">
        <f>INDEX('W-S'!$A:$O,MATCH(I95,'W-S'!$C:$C,0),MATCH("Description",'W-S'!$1:$1,0))</f>
        <v>Deals 1 hit of 685% damage to the target and nearby enemies.</v>
      </c>
      <c r="J96" s="696"/>
      <c r="K96" s="239"/>
      <c r="L96" s="695" t="str">
        <f>INDEX('W-S'!$A:$O,MATCH(I95,'W-S'!$C:$C,0),MATCH("Description V3",'W-S'!$1:$1,0))</f>
        <v>Deals 1 hit of 1500% damage to the target and nearby enemies, inflicts frostbite for 21 seconds - dealing 50% damage every 2.9 seconds - with 100% base chance..</v>
      </c>
      <c r="M96" s="696"/>
    </row>
    <row r="97" spans="1:13" ht="22.5" x14ac:dyDescent="0.2">
      <c r="B97" s="701" t="e" vm="39">
        <f>+_xlfn.IMAGE("https://natalie.tf/wp-content/uploads/2023/10/DLV3_Icon_Weapon_"&amp;B96&amp;".png")</f>
        <v>#VALUE!</v>
      </c>
      <c r="C97" s="240"/>
      <c r="D97" s="692" t="str">
        <f>INDEX(WEAP!$A:$AN,MATCH(B96,WEAP!$A:$A,0),MATCH("Element",WEAP!$A$1:$BF$1,0))&amp;" "&amp;INDEX(WEAP!$A:$AN,MATCH(B96,WEAP!$A:$A,0),MATCH("Type",WEAP!$A$1:$BF$1,0))</f>
        <v>None Lance</v>
      </c>
      <c r="E97" s="693"/>
      <c r="F97" s="693"/>
      <c r="G97" s="694"/>
      <c r="H97" s="8"/>
      <c r="I97" s="697"/>
      <c r="J97" s="698"/>
      <c r="K97" s="9"/>
      <c r="L97" s="697"/>
      <c r="M97" s="698"/>
    </row>
    <row r="98" spans="1:13" ht="22.5" x14ac:dyDescent="0.35">
      <c r="B98" s="702"/>
      <c r="C98" s="239"/>
      <c r="D98" s="703" t="s">
        <v>10760</v>
      </c>
      <c r="E98" s="704"/>
      <c r="F98" s="235" t="s">
        <v>10761</v>
      </c>
      <c r="G98" s="235" t="s">
        <v>10762</v>
      </c>
      <c r="I98" s="697"/>
      <c r="J98" s="698"/>
      <c r="K98" s="239"/>
      <c r="L98" s="697"/>
      <c r="M98" s="698"/>
    </row>
    <row r="99" spans="1:13" ht="22.5" x14ac:dyDescent="0.35">
      <c r="B99" s="702"/>
      <c r="C99" s="239"/>
      <c r="D99" s="705" t="s">
        <v>96</v>
      </c>
      <c r="E99" s="706"/>
      <c r="F99" s="236">
        <f>INDEX(WEAP!$A:$AN,MATCH(B96,WEAP!$A:$A,0),MATCH("HP",WEAP!$A$1:$BF$1,0))</f>
        <v>38</v>
      </c>
      <c r="G99" s="237">
        <f>INDEX(WEAP!$A:$AN,MATCH(B96,WEAP!$A:$A,0),MATCH("HP V3",WEAP!$A$1:$BF$1,0))</f>
        <v>40</v>
      </c>
      <c r="I99" s="697"/>
      <c r="J99" s="698"/>
      <c r="K99" s="239"/>
      <c r="L99" s="697"/>
      <c r="M99" s="698"/>
    </row>
    <row r="100" spans="1:13" ht="22.5" x14ac:dyDescent="0.35">
      <c r="B100" s="702"/>
      <c r="C100" s="239"/>
      <c r="D100" s="707" t="s">
        <v>97</v>
      </c>
      <c r="E100" s="708"/>
      <c r="F100" s="236">
        <f>INDEX(WEAP!$A:$AN,MATCH(B96,WEAP!$A:$A,0),MATCH("Str",WEAP!$A$1:$BF$1,0))</f>
        <v>136</v>
      </c>
      <c r="G100" s="237">
        <f>INDEX(WEAP!$A:$AN,MATCH(B96,WEAP!$A:$A,0),MATCH("Str V3",WEAP!$A$1:$BF$1,0))</f>
        <v>140</v>
      </c>
      <c r="I100" s="699"/>
      <c r="J100" s="700"/>
      <c r="K100" s="239"/>
      <c r="L100" s="699"/>
      <c r="M100" s="700"/>
    </row>
    <row r="101" spans="1:13" s="245" customFormat="1" ht="7.5" customHeight="1" x14ac:dyDescent="0.2">
      <c r="A101" s="245" t="s">
        <v>10763</v>
      </c>
    </row>
    <row r="102" spans="1:13" ht="22.5" x14ac:dyDescent="0.35">
      <c r="A102" s="244" t="str">
        <f>TEXT(A95+1,"000")</f>
        <v>015</v>
      </c>
      <c r="B102" s="238" t="str">
        <f>"W-"&amp;A102</f>
        <v>W-015</v>
      </c>
      <c r="C102" s="239"/>
      <c r="D102" s="692" t="str">
        <f>+INDEX(WEAP!$A:$AN,MATCH(B103,WEAP!$A:$A,0),MATCH("Name",WEAP!$A$1:$BF$1,0))</f>
        <v>Composite Bow</v>
      </c>
      <c r="E102" s="693"/>
      <c r="F102" s="693"/>
      <c r="G102" s="694"/>
      <c r="I102" s="241" t="str">
        <f>+INDEX(WEAP!$A:$AN,MATCH(B103,WEAP!$A:$A,0),MATCH("Weapon Skill",WEAP!$A$1:$BF$1,0))</f>
        <v>Mechanical Volley</v>
      </c>
      <c r="J102" s="243">
        <f>INDEX('W-S'!$A:$N,MATCH(I102,'W-S'!$C:$C,0),MATCH("SP Cost",'W-S'!$1:$1,0))</f>
        <v>7185</v>
      </c>
      <c r="K102" s="9"/>
      <c r="L102" s="241" t="str">
        <f>+I102</f>
        <v>Mechanical Volley</v>
      </c>
      <c r="M102" s="243">
        <f>INDEX('W-S'!$A:$N,MATCH(L102,'W-S'!$C:$C,0),MATCH("SP Cost V3",'W-S'!$1:$1,0))</f>
        <v>6000</v>
      </c>
    </row>
    <row r="103" spans="1:13" ht="22.5" x14ac:dyDescent="0.35">
      <c r="B103" s="238" t="str">
        <f>+INDEX(WEAP!$A:$AN,MATCH(B102,WEAP!$B:$B,0),MATCH("ID",WEAP!$A$1:$BF$1,0))</f>
        <v>306026_01</v>
      </c>
      <c r="C103" s="240"/>
      <c r="D103" s="692" t="str">
        <f>+INDEX(WEAP!$A:$AN,MATCH(B102,WEAP!$B:$B,0),MATCH("Family",WEAP!$A$1:$BF$1,0))&amp;" Weapon"</f>
        <v>Core 3 Weapon</v>
      </c>
      <c r="E103" s="693"/>
      <c r="F103" s="693"/>
      <c r="G103" s="694"/>
      <c r="H103" s="8"/>
      <c r="I103" s="695" t="str">
        <f>INDEX('W-S'!$A:$O,MATCH(I102,'W-S'!$C:$C,0),MATCH("Description",'W-S'!$1:$1,0))</f>
        <v>Deals 3 shots of 235% damage to enemies in a line, and inflicts paralysis - dealing 60% damage every 3.9 seconds for 13 seconds - with 90% base chance.</v>
      </c>
      <c r="J103" s="696"/>
      <c r="K103" s="239"/>
      <c r="L103" s="695" t="str">
        <f>INDEX('W-S'!$A:$O,MATCH(I102,'W-S'!$C:$C,0),MATCH("Description V3",'W-S'!$1:$1,0))</f>
        <v>Deals 3 shots of 500% damage to enemies in a line, and inflicts paralysis for 21 seconds - dealing 50% damage every 2.9 seconds - with 100% base chance.</v>
      </c>
      <c r="M103" s="696"/>
    </row>
    <row r="104" spans="1:13" ht="22.5" x14ac:dyDescent="0.2">
      <c r="B104" s="701" t="e" vm="40">
        <f>+_xlfn.IMAGE("https://natalie.tf/wp-content/uploads/2023/10/DLV3_Icon_Weapon_"&amp;B103&amp;".png")</f>
        <v>#VALUE!</v>
      </c>
      <c r="C104" s="240"/>
      <c r="D104" s="692" t="str">
        <f>INDEX(WEAP!$A:$AN,MATCH(B103,WEAP!$A:$A,0),MATCH("Element",WEAP!$A$1:$BF$1,0))&amp;" "&amp;INDEX(WEAP!$A:$AN,MATCH(B103,WEAP!$A:$A,0),MATCH("Type",WEAP!$A$1:$BF$1,0))</f>
        <v>None Bow</v>
      </c>
      <c r="E104" s="693"/>
      <c r="F104" s="693"/>
      <c r="G104" s="694"/>
      <c r="H104" s="8"/>
      <c r="I104" s="697"/>
      <c r="J104" s="698"/>
      <c r="K104" s="9"/>
      <c r="L104" s="697"/>
      <c r="M104" s="698"/>
    </row>
    <row r="105" spans="1:13" ht="22.5" x14ac:dyDescent="0.35">
      <c r="B105" s="702"/>
      <c r="C105" s="239"/>
      <c r="D105" s="703" t="s">
        <v>10760</v>
      </c>
      <c r="E105" s="704"/>
      <c r="F105" s="235" t="s">
        <v>10761</v>
      </c>
      <c r="G105" s="235" t="s">
        <v>10762</v>
      </c>
      <c r="I105" s="697"/>
      <c r="J105" s="698"/>
      <c r="K105" s="239"/>
      <c r="L105" s="697"/>
      <c r="M105" s="698"/>
    </row>
    <row r="106" spans="1:13" ht="22.5" x14ac:dyDescent="0.35">
      <c r="B106" s="702"/>
      <c r="C106" s="239"/>
      <c r="D106" s="705" t="s">
        <v>96</v>
      </c>
      <c r="E106" s="706"/>
      <c r="F106" s="236">
        <f>INDEX(WEAP!$A:$AN,MATCH(B103,WEAP!$A:$A,0),MATCH("HP",WEAP!$A$1:$BF$1,0))</f>
        <v>36</v>
      </c>
      <c r="G106" s="237">
        <f>INDEX(WEAP!$A:$AN,MATCH(B103,WEAP!$A:$A,0),MATCH("HP V3",WEAP!$A$1:$BF$1,0))</f>
        <v>40</v>
      </c>
      <c r="I106" s="697"/>
      <c r="J106" s="698"/>
      <c r="K106" s="239"/>
      <c r="L106" s="697"/>
      <c r="M106" s="698"/>
    </row>
    <row r="107" spans="1:13" ht="22.5" x14ac:dyDescent="0.35">
      <c r="B107" s="702"/>
      <c r="C107" s="239"/>
      <c r="D107" s="707" t="s">
        <v>97</v>
      </c>
      <c r="E107" s="708"/>
      <c r="F107" s="236">
        <f>INDEX(WEAP!$A:$AN,MATCH(B103,WEAP!$A:$A,0),MATCH("Str",WEAP!$A$1:$BF$1,0))</f>
        <v>128</v>
      </c>
      <c r="G107" s="237">
        <f>INDEX(WEAP!$A:$AN,MATCH(B103,WEAP!$A:$A,0),MATCH("Str V3",WEAP!$A$1:$BF$1,0))</f>
        <v>130</v>
      </c>
      <c r="I107" s="699"/>
      <c r="J107" s="700"/>
      <c r="K107" s="239"/>
      <c r="L107" s="699"/>
      <c r="M107" s="700"/>
    </row>
    <row r="108" spans="1:13" ht="33.75" customHeight="1" x14ac:dyDescent="0.2">
      <c r="A108" t="s">
        <v>10763</v>
      </c>
    </row>
    <row r="109" spans="1:13" ht="22.5" x14ac:dyDescent="0.35">
      <c r="A109" s="244" t="str">
        <f>TEXT(A102+1,"000")</f>
        <v>016</v>
      </c>
      <c r="B109" s="238" t="str">
        <f>"W-"&amp;A109</f>
        <v>W-016</v>
      </c>
      <c r="C109" s="239"/>
      <c r="D109" s="692" t="str">
        <f>+INDEX(WEAP!$A:$AN,MATCH(B110,WEAP!$A:$A,0),MATCH("Name",WEAP!$A$1:$BF$1,0))</f>
        <v>Wizard's Rod</v>
      </c>
      <c r="E109" s="693"/>
      <c r="F109" s="693"/>
      <c r="G109" s="694"/>
      <c r="I109" s="241" t="str">
        <f>+INDEX(WEAP!$A:$AN,MATCH(B110,WEAP!$A:$A,0),MATCH("Weapon Skill",WEAP!$A$1:$BF$1,0))</f>
        <v>Conchoidal Blast</v>
      </c>
      <c r="J109" s="243">
        <f>INDEX('W-S'!$A:$N,MATCH(I109,'W-S'!$C:$C,0),MATCH("SP Cost",'W-S'!$1:$1,0))</f>
        <v>8355</v>
      </c>
      <c r="K109" s="9"/>
      <c r="L109" s="241" t="str">
        <f>+I109</f>
        <v>Conchoidal Blast</v>
      </c>
      <c r="M109" s="243">
        <f>INDEX('W-S'!$A:$N,MATCH(L109,'W-S'!$C:$C,0),MATCH("SP Cost V3",'W-S'!$1:$1,0))</f>
        <v>6000</v>
      </c>
    </row>
    <row r="110" spans="1:13" ht="22.5" x14ac:dyDescent="0.35">
      <c r="B110" s="238" t="str">
        <f>+INDEX(WEAP!$A:$AN,MATCH(B109,WEAP!$B:$B,0),MATCH("ID",WEAP!$A$1:$BF$1,0))</f>
        <v>307042_01</v>
      </c>
      <c r="C110" s="240"/>
      <c r="D110" s="692" t="str">
        <f>+INDEX(WEAP!$A:$AN,MATCH(B109,WEAP!$B:$B,0),MATCH("Family",WEAP!$A$1:$BF$1,0))&amp;" Weapon"</f>
        <v>Core 3 Weapon</v>
      </c>
      <c r="E110" s="693"/>
      <c r="F110" s="693"/>
      <c r="G110" s="694"/>
      <c r="H110" s="8"/>
      <c r="I110" s="695" t="str">
        <f>INDEX('W-S'!$A:$O,MATCH(I109,'W-S'!$C:$C,0),MATCH("Description",'W-S'!$1:$1,0))</f>
        <v>Deals 1 hit of 806% damage to the target and nearby enemies.</v>
      </c>
      <c r="J110" s="696"/>
      <c r="K110" s="239"/>
      <c r="L110" s="695" t="str">
        <f>INDEX('W-S'!$A:$O,MATCH(I109,'W-S'!$C:$C,0),MATCH("Description V3",'W-S'!$1:$1,0))</f>
        <v>Deals 1 hit of 1500% damage to the target and nearby enemies, and inflicts shadowblight for 21 seconds - dealing 50% damage every 2.9 seconds - with 100% base chance..</v>
      </c>
      <c r="M110" s="696"/>
    </row>
    <row r="111" spans="1:13" ht="22.5" x14ac:dyDescent="0.2">
      <c r="B111" s="701" t="e" vm="41">
        <f>+_xlfn.IMAGE("https://natalie.tf/wp-content/uploads/2023/10/DLV3_Icon_Weapon_"&amp;B110&amp;".png")</f>
        <v>#VALUE!</v>
      </c>
      <c r="C111" s="240"/>
      <c r="D111" s="692" t="str">
        <f>INDEX(WEAP!$A:$AN,MATCH(B110,WEAP!$A:$A,0),MATCH("Element",WEAP!$A$1:$BF$1,0))&amp;" "&amp;INDEX(WEAP!$A:$AN,MATCH(B110,WEAP!$A:$A,0),MATCH("Type",WEAP!$A$1:$BF$1,0))</f>
        <v>None Wand</v>
      </c>
      <c r="E111" s="693"/>
      <c r="F111" s="693"/>
      <c r="G111" s="694"/>
      <c r="H111" s="8"/>
      <c r="I111" s="697"/>
      <c r="J111" s="698"/>
      <c r="K111" s="9"/>
      <c r="L111" s="697"/>
      <c r="M111" s="698"/>
    </row>
    <row r="112" spans="1:13" ht="22.5" x14ac:dyDescent="0.35">
      <c r="B112" s="702"/>
      <c r="C112" s="239"/>
      <c r="D112" s="703" t="s">
        <v>10760</v>
      </c>
      <c r="E112" s="704"/>
      <c r="F112" s="235" t="s">
        <v>10761</v>
      </c>
      <c r="G112" s="235" t="s">
        <v>10762</v>
      </c>
      <c r="I112" s="697"/>
      <c r="J112" s="698"/>
      <c r="K112" s="239"/>
      <c r="L112" s="697"/>
      <c r="M112" s="698"/>
    </row>
    <row r="113" spans="1:13" ht="22.5" x14ac:dyDescent="0.35">
      <c r="B113" s="702"/>
      <c r="C113" s="239"/>
      <c r="D113" s="705" t="s">
        <v>96</v>
      </c>
      <c r="E113" s="706"/>
      <c r="F113" s="236">
        <f>INDEX(WEAP!$A:$AN,MATCH(B110,WEAP!$A:$A,0),MATCH("HP",WEAP!$A$1:$BF$1,0))</f>
        <v>33</v>
      </c>
      <c r="G113" s="237">
        <f>INDEX(WEAP!$A:$AN,MATCH(B110,WEAP!$A:$A,0),MATCH("HP V3",WEAP!$A$1:$BF$1,0))</f>
        <v>35</v>
      </c>
      <c r="I113" s="697"/>
      <c r="J113" s="698"/>
      <c r="K113" s="239"/>
      <c r="L113" s="697"/>
      <c r="M113" s="698"/>
    </row>
    <row r="114" spans="1:13" ht="22.5" x14ac:dyDescent="0.35">
      <c r="B114" s="702"/>
      <c r="C114" s="239"/>
      <c r="D114" s="707" t="s">
        <v>97</v>
      </c>
      <c r="E114" s="708"/>
      <c r="F114" s="236">
        <f>INDEX(WEAP!$A:$AN,MATCH(B110,WEAP!$A:$A,0),MATCH("Str",WEAP!$A$1:$BF$1,0))</f>
        <v>141</v>
      </c>
      <c r="G114" s="237">
        <f>INDEX(WEAP!$A:$AN,MATCH(B110,WEAP!$A:$A,0),MATCH("Str V3",WEAP!$A$1:$BF$1,0))</f>
        <v>145</v>
      </c>
      <c r="I114" s="699"/>
      <c r="J114" s="700"/>
      <c r="K114" s="239"/>
      <c r="L114" s="699"/>
      <c r="M114" s="700"/>
    </row>
    <row r="115" spans="1:13" s="245" customFormat="1" ht="7.5" customHeight="1" x14ac:dyDescent="0.2">
      <c r="A115" s="245" t="s">
        <v>10763</v>
      </c>
    </row>
    <row r="116" spans="1:13" ht="22.5" x14ac:dyDescent="0.35">
      <c r="A116" s="242" t="str">
        <f>TEXT(A109+1,"000")</f>
        <v>017</v>
      </c>
      <c r="B116" s="238" t="str">
        <f>"W-"&amp;A116</f>
        <v>W-017</v>
      </c>
      <c r="C116" s="239"/>
      <c r="D116" s="692" t="str">
        <f>+INDEX(WEAP!$A:$AN,MATCH(B117,WEAP!$A:$A,0),MATCH("Name",WEAP!$A$1:$BF$1,0))</f>
        <v>Staff of Grace</v>
      </c>
      <c r="E116" s="693"/>
      <c r="F116" s="693"/>
      <c r="G116" s="694"/>
      <c r="I116" s="241" t="str">
        <f>+INDEX(WEAP!$A:$AN,MATCH(B117,WEAP!$A:$A,0),MATCH("Weapon Skill",WEAP!$A$1:$BF$1,0))</f>
        <v>Horned Circle</v>
      </c>
      <c r="J116" s="243">
        <f>INDEX('W-S'!$A:$N,MATCH(I116,'W-S'!$C:$C,0),MATCH("SP Cost",'W-S'!$1:$1,0))</f>
        <v>13822</v>
      </c>
      <c r="K116" s="9"/>
      <c r="L116" s="241" t="str">
        <f>+I116</f>
        <v>Horned Circle</v>
      </c>
      <c r="M116" s="243">
        <f>INDEX('W-S'!$A:$N,MATCH(L116,'W-S'!$C:$C,0),MATCH("SP Cost V3",'W-S'!$1:$1,0))</f>
        <v>6000</v>
      </c>
    </row>
    <row r="117" spans="1:13" ht="22.5" x14ac:dyDescent="0.35">
      <c r="B117" s="238" t="str">
        <f>+INDEX(WEAP!$A:$AN,MATCH(B116,WEAP!$B:$B,0),MATCH("ID",WEAP!$A$1:$BF$1,0))</f>
        <v>308002_01</v>
      </c>
      <c r="C117" s="240"/>
      <c r="D117" s="692" t="str">
        <f>+INDEX(WEAP!$A:$AN,MATCH(B116,WEAP!$B:$B,0),MATCH("Family",WEAP!$A$1:$BF$1,0))&amp;" Weapon"</f>
        <v>Core 3 Weapon</v>
      </c>
      <c r="E117" s="693"/>
      <c r="F117" s="693"/>
      <c r="G117" s="694"/>
      <c r="H117" s="8"/>
      <c r="I117" s="695" t="str">
        <f>INDEX('W-S'!$A:$O,MATCH(I116,'W-S'!$C:$C,0),MATCH("Description",'W-S'!$1:$1,0))</f>
        <v>Deals 1 hit of 562% damage to surrounding enemies.</v>
      </c>
      <c r="J117" s="696"/>
      <c r="K117" s="239"/>
      <c r="L117" s="695" t="str">
        <f>INDEX('W-S'!$A:$O,MATCH(I116,'W-S'!$C:$C,0),MATCH("Description V3",'W-S'!$1:$1,0))</f>
        <v>Deals 1 hit of 1500% damage to surrounding enemies, inflicts flashburn for 21 seconds - dealing 50% damage every 2.9 seconds - with 100% base chance..</v>
      </c>
      <c r="M117" s="696"/>
    </row>
    <row r="118" spans="1:13" ht="22.5" x14ac:dyDescent="0.2">
      <c r="B118" s="701" t="e" vm="42">
        <f>+_xlfn.IMAGE("https://natalie.tf/wp-content/uploads/2023/10/DLV3_Icon_Weapon_"&amp;B117&amp;".png")</f>
        <v>#VALUE!</v>
      </c>
      <c r="C118" s="240"/>
      <c r="D118" s="692" t="str">
        <f>INDEX(WEAP!$A:$AN,MATCH(B117,WEAP!$A:$A,0),MATCH("Element",WEAP!$A$1:$BF$1,0))&amp;" "&amp;INDEX(WEAP!$A:$AN,MATCH(B117,WEAP!$A:$A,0),MATCH("Type",WEAP!$A$1:$BF$1,0))</f>
        <v>None Staff</v>
      </c>
      <c r="E118" s="693"/>
      <c r="F118" s="693"/>
      <c r="G118" s="694"/>
      <c r="H118" s="8"/>
      <c r="I118" s="697"/>
      <c r="J118" s="698"/>
      <c r="K118" s="9"/>
      <c r="L118" s="697"/>
      <c r="M118" s="698"/>
    </row>
    <row r="119" spans="1:13" ht="22.5" x14ac:dyDescent="0.35">
      <c r="B119" s="702"/>
      <c r="C119" s="239"/>
      <c r="D119" s="703" t="s">
        <v>10760</v>
      </c>
      <c r="E119" s="704"/>
      <c r="F119" s="235" t="s">
        <v>10761</v>
      </c>
      <c r="G119" s="235" t="s">
        <v>10762</v>
      </c>
      <c r="I119" s="697"/>
      <c r="J119" s="698"/>
      <c r="K119" s="239"/>
      <c r="L119" s="697"/>
      <c r="M119" s="698"/>
    </row>
    <row r="120" spans="1:13" ht="22.5" x14ac:dyDescent="0.35">
      <c r="B120" s="702"/>
      <c r="C120" s="239"/>
      <c r="D120" s="705" t="s">
        <v>96</v>
      </c>
      <c r="E120" s="706"/>
      <c r="F120" s="236">
        <f>INDEX(WEAP!$A:$AN,MATCH(B117,WEAP!$A:$A,0),MATCH("HP",WEAP!$A$1:$BF$1,0))</f>
        <v>44</v>
      </c>
      <c r="G120" s="237">
        <f>INDEX(WEAP!$A:$AN,MATCH(B117,WEAP!$A:$A,0),MATCH("HP V3",WEAP!$A$1:$BF$1,0))</f>
        <v>45</v>
      </c>
      <c r="I120" s="697"/>
      <c r="J120" s="698"/>
      <c r="K120" s="239"/>
      <c r="L120" s="697"/>
      <c r="M120" s="698"/>
    </row>
    <row r="121" spans="1:13" ht="22.5" x14ac:dyDescent="0.35">
      <c r="B121" s="702"/>
      <c r="C121" s="239"/>
      <c r="D121" s="707" t="s">
        <v>97</v>
      </c>
      <c r="E121" s="708"/>
      <c r="F121" s="236">
        <f>INDEX(WEAP!$A:$AN,MATCH(B117,WEAP!$A:$A,0),MATCH("Str",WEAP!$A$1:$BF$1,0))</f>
        <v>120</v>
      </c>
      <c r="G121" s="237">
        <f>INDEX(WEAP!$A:$AN,MATCH(B117,WEAP!$A:$A,0),MATCH("Str V3",WEAP!$A$1:$BF$1,0))</f>
        <v>120</v>
      </c>
      <c r="I121" s="699"/>
      <c r="J121" s="700"/>
      <c r="K121" s="239"/>
      <c r="L121" s="699"/>
      <c r="M121" s="700"/>
    </row>
    <row r="122" spans="1:13" s="245" customFormat="1" ht="7.5" customHeight="1" x14ac:dyDescent="0.2">
      <c r="A122" s="245" t="s">
        <v>10763</v>
      </c>
    </row>
    <row r="123" spans="1:13" ht="22.5" x14ac:dyDescent="0.35">
      <c r="A123" s="244" t="str">
        <f>TEXT(A116+1,"000")</f>
        <v>018</v>
      </c>
      <c r="B123" s="238" t="str">
        <f>"W-"&amp;A123</f>
        <v>W-018</v>
      </c>
      <c r="C123" s="239"/>
      <c r="D123" s="692" t="str">
        <f>+INDEX(WEAP!$A:$AN,MATCH(B124,WEAP!$A:$A,0),MATCH("Name",WEAP!$A$1:$BF$1,0))</f>
        <v>Knights' Grace</v>
      </c>
      <c r="E123" s="693"/>
      <c r="F123" s="693"/>
      <c r="G123" s="694"/>
      <c r="I123" s="241" t="str">
        <f>+INDEX(WEAP!$A:$AN,MATCH(B124,WEAP!$A:$A,0),MATCH("Weapon Skill",WEAP!$A$1:$BF$1,0))</f>
        <v>Glorious Wave</v>
      </c>
      <c r="J123" s="243">
        <f>INDEX('W-S'!$A:$N,MATCH(I123,'W-S'!$C:$C,0),MATCH("SP Cost",'W-S'!$1:$1,0))</f>
        <v>7508</v>
      </c>
      <c r="K123" s="9"/>
      <c r="L123" s="241" t="str">
        <f>+I123</f>
        <v>Glorious Wave</v>
      </c>
      <c r="M123" s="243">
        <f>INDEX('W-S'!$A:$N,MATCH(L123,'W-S'!$C:$C,0),MATCH("SP Cost V3",'W-S'!$1:$1,0))</f>
        <v>6000</v>
      </c>
    </row>
    <row r="124" spans="1:13" ht="22.5" x14ac:dyDescent="0.35">
      <c r="B124" s="238" t="str">
        <f>+INDEX(WEAP!$A:$AN,MATCH(B123,WEAP!$B:$B,0),MATCH("ID",WEAP!$A$1:$BF$1,0))</f>
        <v>301040_01</v>
      </c>
      <c r="C124" s="240"/>
      <c r="D124" s="692" t="str">
        <f>+INDEX(WEAP!$A:$AN,MATCH(B123,WEAP!$B:$B,0),MATCH("Family",WEAP!$A$1:$BF$1,0))&amp;" Weapon"</f>
        <v>Core 4 Weapon</v>
      </c>
      <c r="E124" s="693"/>
      <c r="F124" s="693"/>
      <c r="G124" s="694"/>
      <c r="H124" s="8"/>
      <c r="I124" s="695" t="str">
        <f>INDEX('W-S'!$A:$O,MATCH(I123,'W-S'!$C:$C,0),MATCH("Description",'W-S'!$1:$1,0))</f>
        <v>Deals 2 hits of 338% damage to enemies in a line.</v>
      </c>
      <c r="J124" s="696"/>
      <c r="K124" s="239"/>
      <c r="L124" s="695" t="str">
        <f>INDEX('W-S'!$A:$O,MATCH(I123,'W-S'!$C:$C,0),MATCH("Description V3",'W-S'!$1:$1,0))</f>
        <v>Deals 2 hits of 750% damage to enemies in a line, and lowers their burn resistance by 10% for 15 seconds.</v>
      </c>
      <c r="M124" s="696"/>
    </row>
    <row r="125" spans="1:13" ht="22.5" x14ac:dyDescent="0.2">
      <c r="B125" s="701" t="e" vm="43">
        <f>+_xlfn.IMAGE("https://natalie.tf/wp-content/uploads/2023/10/DLV3_Icon_Weapon_"&amp;B124&amp;".png")</f>
        <v>#VALUE!</v>
      </c>
      <c r="C125" s="240"/>
      <c r="D125" s="692" t="str">
        <f>INDEX(WEAP!$A:$AN,MATCH(B124,WEAP!$A:$A,0),MATCH("Element",WEAP!$A$1:$BF$1,0))&amp;" "&amp;INDEX(WEAP!$A:$AN,MATCH(B124,WEAP!$A:$A,0),MATCH("Type",WEAP!$A$1:$BF$1,0))</f>
        <v>None Sword</v>
      </c>
      <c r="E125" s="693"/>
      <c r="F125" s="693"/>
      <c r="G125" s="694"/>
      <c r="H125" s="8"/>
      <c r="I125" s="697"/>
      <c r="J125" s="698"/>
      <c r="K125" s="9"/>
      <c r="L125" s="697"/>
      <c r="M125" s="698"/>
    </row>
    <row r="126" spans="1:13" ht="22.5" x14ac:dyDescent="0.35">
      <c r="B126" s="702"/>
      <c r="C126" s="239"/>
      <c r="D126" s="703" t="s">
        <v>10760</v>
      </c>
      <c r="E126" s="704"/>
      <c r="F126" s="235" t="s">
        <v>10761</v>
      </c>
      <c r="G126" s="235" t="s">
        <v>10762</v>
      </c>
      <c r="I126" s="697"/>
      <c r="J126" s="698"/>
      <c r="K126" s="239"/>
      <c r="L126" s="697"/>
      <c r="M126" s="698"/>
    </row>
    <row r="127" spans="1:13" ht="22.5" x14ac:dyDescent="0.35">
      <c r="B127" s="702"/>
      <c r="C127" s="239"/>
      <c r="D127" s="705" t="s">
        <v>96</v>
      </c>
      <c r="E127" s="706"/>
      <c r="F127" s="236">
        <f>INDEX(WEAP!$A:$AN,MATCH(B124,WEAP!$A:$A,0),MATCH("HP",WEAP!$A$1:$BF$1,0))</f>
        <v>89</v>
      </c>
      <c r="G127" s="237">
        <f>INDEX(WEAP!$A:$AN,MATCH(B124,WEAP!$A:$A,0),MATCH("HP V3",WEAP!$A$1:$BF$1,0))</f>
        <v>90</v>
      </c>
      <c r="I127" s="697"/>
      <c r="J127" s="698"/>
      <c r="K127" s="239"/>
      <c r="L127" s="697"/>
      <c r="M127" s="698"/>
    </row>
    <row r="128" spans="1:13" ht="22.5" x14ac:dyDescent="0.35">
      <c r="B128" s="702"/>
      <c r="C128" s="239"/>
      <c r="D128" s="707" t="s">
        <v>97</v>
      </c>
      <c r="E128" s="708"/>
      <c r="F128" s="236">
        <f>INDEX(WEAP!$A:$AN,MATCH(B124,WEAP!$A:$A,0),MATCH("Str",WEAP!$A$1:$BF$1,0))</f>
        <v>323</v>
      </c>
      <c r="G128" s="237">
        <f>INDEX(WEAP!$A:$AN,MATCH(B124,WEAP!$A:$A,0),MATCH("Str V3",WEAP!$A$1:$BF$1,0))</f>
        <v>325</v>
      </c>
      <c r="I128" s="699"/>
      <c r="J128" s="700"/>
      <c r="K128" s="239"/>
      <c r="L128" s="699"/>
      <c r="M128" s="700"/>
    </row>
    <row r="129" spans="1:13" s="245" customFormat="1" ht="7.5" customHeight="1" x14ac:dyDescent="0.2">
      <c r="A129" s="245" t="s">
        <v>10763</v>
      </c>
    </row>
    <row r="130" spans="1:13" ht="22.5" x14ac:dyDescent="0.35">
      <c r="A130" s="244" t="str">
        <f>TEXT(A123+1,"000")</f>
        <v>019</v>
      </c>
      <c r="B130" s="238" t="str">
        <f>"W-"&amp;A130</f>
        <v>W-019</v>
      </c>
      <c r="C130" s="239"/>
      <c r="D130" s="692" t="str">
        <f>+INDEX(WEAP!$A:$AN,MATCH(B131,WEAP!$A:$A,0),MATCH("Name",WEAP!$A$1:$BF$1,0))</f>
        <v>Guardian Seal</v>
      </c>
      <c r="E130" s="693"/>
      <c r="F130" s="693"/>
      <c r="G130" s="694"/>
      <c r="I130" s="241" t="str">
        <f>+INDEX(WEAP!$A:$AN,MATCH(B131,WEAP!$A:$A,0),MATCH("Weapon Skill",WEAP!$A$1:$BF$1,0))</f>
        <v>Masamura's Slash</v>
      </c>
      <c r="J130" s="243">
        <f>INDEX('W-S'!$A:$N,MATCH(I130,'W-S'!$C:$C,0),MATCH("SP Cost",'W-S'!$1:$1,0))</f>
        <v>8178</v>
      </c>
      <c r="K130" s="9"/>
      <c r="L130" s="241" t="str">
        <f>+I130</f>
        <v>Masamura's Slash</v>
      </c>
      <c r="M130" s="243">
        <f>INDEX('W-S'!$A:$N,MATCH(L130,'W-S'!$C:$C,0),MATCH("SP Cost V3",'W-S'!$1:$1,0))</f>
        <v>6000</v>
      </c>
    </row>
    <row r="131" spans="1:13" ht="22.5" x14ac:dyDescent="0.35">
      <c r="B131" s="238" t="str">
        <f>+INDEX(WEAP!$A:$AN,MATCH(B130,WEAP!$B:$B,0),MATCH("ID",WEAP!$A$1:$BF$1,0))</f>
        <v>302012_01</v>
      </c>
      <c r="C131" s="240"/>
      <c r="D131" s="692" t="str">
        <f>+INDEX(WEAP!$A:$AN,MATCH(B130,WEAP!$B:$B,0),MATCH("Family",WEAP!$A$1:$BF$1,0))&amp;" Weapon"</f>
        <v>Core 4 Weapon</v>
      </c>
      <c r="E131" s="693"/>
      <c r="F131" s="693"/>
      <c r="G131" s="694"/>
      <c r="H131" s="8"/>
      <c r="I131" s="695" t="str">
        <f>INDEX('W-S'!$A:$O,MATCH(I130,'W-S'!$C:$C,0),MATCH("Description",'W-S'!$1:$1,0))</f>
        <v>Deals 1 hit of 869% damage to surrounding enemies.</v>
      </c>
      <c r="J131" s="696"/>
      <c r="K131" s="239"/>
      <c r="L131" s="695" t="str">
        <f>INDEX('W-S'!$A:$O,MATCH(I130,'W-S'!$C:$C,0),MATCH("Description V3",'W-S'!$1:$1,0))</f>
        <v>Deals 1 hit of 1500% damage to surrounding enemies, and lowers their scorchrend resistance by 10% for 15 seconds.</v>
      </c>
      <c r="M131" s="696"/>
    </row>
    <row r="132" spans="1:13" ht="22.5" x14ac:dyDescent="0.2">
      <c r="B132" s="701" t="e" vm="44">
        <f>+_xlfn.IMAGE("https://natalie.tf/wp-content/uploads/2023/10/DLV3_Icon_Weapon_"&amp;B131&amp;".png")</f>
        <v>#VALUE!</v>
      </c>
      <c r="C132" s="240"/>
      <c r="D132" s="692" t="str">
        <f>INDEX(WEAP!$A:$AN,MATCH(B131,WEAP!$A:$A,0),MATCH("Element",WEAP!$A$1:$BF$1,0))&amp;" "&amp;INDEX(WEAP!$A:$AN,MATCH(B131,WEAP!$A:$A,0),MATCH("Type",WEAP!$A$1:$BF$1,0))</f>
        <v>None Blade</v>
      </c>
      <c r="E132" s="693"/>
      <c r="F132" s="693"/>
      <c r="G132" s="694"/>
      <c r="H132" s="8"/>
      <c r="I132" s="697"/>
      <c r="J132" s="698"/>
      <c r="K132" s="9"/>
      <c r="L132" s="697"/>
      <c r="M132" s="698"/>
    </row>
    <row r="133" spans="1:13" ht="22.5" x14ac:dyDescent="0.35">
      <c r="B133" s="702"/>
      <c r="C133" s="239"/>
      <c r="D133" s="703" t="s">
        <v>10760</v>
      </c>
      <c r="E133" s="704"/>
      <c r="F133" s="235" t="s">
        <v>10761</v>
      </c>
      <c r="G133" s="235" t="s">
        <v>10762</v>
      </c>
      <c r="I133" s="697"/>
      <c r="J133" s="698"/>
      <c r="K133" s="239"/>
      <c r="L133" s="697"/>
      <c r="M133" s="698"/>
    </row>
    <row r="134" spans="1:13" ht="22.5" x14ac:dyDescent="0.35">
      <c r="B134" s="702"/>
      <c r="C134" s="239"/>
      <c r="D134" s="705" t="s">
        <v>96</v>
      </c>
      <c r="E134" s="706"/>
      <c r="F134" s="236">
        <f>INDEX(WEAP!$A:$AN,MATCH(B131,WEAP!$A:$A,0),MATCH("HP",WEAP!$A$1:$BF$1,0))</f>
        <v>75</v>
      </c>
      <c r="G134" s="237">
        <f>INDEX(WEAP!$A:$AN,MATCH(B131,WEAP!$A:$A,0),MATCH("HP V3",WEAP!$A$1:$BF$1,0))</f>
        <v>75</v>
      </c>
      <c r="I134" s="697"/>
      <c r="J134" s="698"/>
      <c r="K134" s="239"/>
      <c r="L134" s="697"/>
      <c r="M134" s="698"/>
    </row>
    <row r="135" spans="1:13" ht="22.5" x14ac:dyDescent="0.35">
      <c r="B135" s="702"/>
      <c r="C135" s="239"/>
      <c r="D135" s="707" t="s">
        <v>97</v>
      </c>
      <c r="E135" s="708"/>
      <c r="F135" s="236">
        <f>INDEX(WEAP!$A:$AN,MATCH(B131,WEAP!$A:$A,0),MATCH("Str",WEAP!$A$1:$BF$1,0))</f>
        <v>352</v>
      </c>
      <c r="G135" s="237">
        <f>INDEX(WEAP!$A:$AN,MATCH(B131,WEAP!$A:$A,0),MATCH("Str V3",WEAP!$A$1:$BF$1,0))</f>
        <v>355</v>
      </c>
      <c r="I135" s="699"/>
      <c r="J135" s="700"/>
      <c r="K135" s="239"/>
      <c r="L135" s="699"/>
      <c r="M135" s="700"/>
    </row>
    <row r="136" spans="1:13" s="245" customFormat="1" ht="7.5" customHeight="1" x14ac:dyDescent="0.2">
      <c r="A136" s="245" t="s">
        <v>10763</v>
      </c>
    </row>
    <row r="137" spans="1:13" ht="22.5" x14ac:dyDescent="0.35">
      <c r="A137" s="244" t="str">
        <f>TEXT(A130+1,"000")</f>
        <v>020</v>
      </c>
      <c r="B137" s="238" t="str">
        <f>"W-"&amp;A137</f>
        <v>W-020</v>
      </c>
      <c r="C137" s="239"/>
      <c r="D137" s="692" t="str">
        <f>+INDEX(WEAP!$A:$AN,MATCH(B138,WEAP!$A:$A,0),MATCH("Name",WEAP!$A$1:$BF$1,0))</f>
        <v>Hardbreaker</v>
      </c>
      <c r="E137" s="693"/>
      <c r="F137" s="693"/>
      <c r="G137" s="694"/>
      <c r="I137" s="241" t="str">
        <f>+INDEX(WEAP!$A:$AN,MATCH(B138,WEAP!$A:$A,0),MATCH("Weapon Skill",WEAP!$A$1:$BF$1,0))</f>
        <v>Dreamer's Spiral</v>
      </c>
      <c r="J137" s="243">
        <f>INDEX('W-S'!$A:$N,MATCH(I137,'W-S'!$C:$C,0),MATCH("SP Cost",'W-S'!$1:$1,0))</f>
        <v>7028</v>
      </c>
      <c r="K137" s="9"/>
      <c r="L137" s="241" t="str">
        <f>+I137</f>
        <v>Dreamer's Spiral</v>
      </c>
      <c r="M137" s="243">
        <f>INDEX('W-S'!$A:$N,MATCH(L137,'W-S'!$C:$C,0),MATCH("SP Cost V3",'W-S'!$1:$1,0))</f>
        <v>6000</v>
      </c>
    </row>
    <row r="138" spans="1:13" ht="22.5" x14ac:dyDescent="0.35">
      <c r="B138" s="238" t="str">
        <f>+INDEX(WEAP!$A:$AN,MATCH(B137,WEAP!$B:$B,0),MATCH("ID",WEAP!$A$1:$BF$1,0))</f>
        <v>303033_01</v>
      </c>
      <c r="C138" s="240"/>
      <c r="D138" s="692" t="str">
        <f>+INDEX(WEAP!$A:$AN,MATCH(B137,WEAP!$B:$B,0),MATCH("Family",WEAP!$A$1:$BF$1,0))&amp;" Weapon"</f>
        <v>Core 4 Weapon</v>
      </c>
      <c r="E138" s="693"/>
      <c r="F138" s="693"/>
      <c r="G138" s="694"/>
      <c r="H138" s="8"/>
      <c r="I138" s="695" t="str">
        <f>INDEX('W-S'!$A:$O,MATCH(I137,'W-S'!$C:$C,0),MATCH("Description",'W-S'!$1:$1,0))</f>
        <v>Deals 4 hits of 167% damage to enemies directly ahead.</v>
      </c>
      <c r="J138" s="696"/>
      <c r="K138" s="239"/>
      <c r="L138" s="695" t="str">
        <f>INDEX('W-S'!$A:$O,MATCH(I137,'W-S'!$C:$C,0),MATCH("Description V3",'W-S'!$1:$1,0))</f>
        <v>Deals 4 hits of 375% damage to enemies directly ahead, and lowers their poison resistance by 10% for 15 seconds.</v>
      </c>
      <c r="M138" s="696"/>
    </row>
    <row r="139" spans="1:13" ht="22.5" x14ac:dyDescent="0.2">
      <c r="B139" s="701" t="e" vm="45">
        <f>+_xlfn.IMAGE("https://natalie.tf/wp-content/uploads/2023/10/DLV3_Icon_Weapon_"&amp;B138&amp;".png")</f>
        <v>#VALUE!</v>
      </c>
      <c r="C139" s="240"/>
      <c r="D139" s="692" t="str">
        <f>INDEX(WEAP!$A:$AN,MATCH(B138,WEAP!$A:$A,0),MATCH("Element",WEAP!$A$1:$BF$1,0))&amp;" "&amp;INDEX(WEAP!$A:$AN,MATCH(B138,WEAP!$A:$A,0),MATCH("Type",WEAP!$A$1:$BF$1,0))</f>
        <v>None Dagger</v>
      </c>
      <c r="E139" s="693"/>
      <c r="F139" s="693"/>
      <c r="G139" s="694"/>
      <c r="H139" s="8"/>
      <c r="I139" s="697"/>
      <c r="J139" s="698"/>
      <c r="K139" s="9"/>
      <c r="L139" s="697"/>
      <c r="M139" s="698"/>
    </row>
    <row r="140" spans="1:13" ht="22.5" x14ac:dyDescent="0.35">
      <c r="B140" s="702"/>
      <c r="C140" s="239"/>
      <c r="D140" s="703" t="s">
        <v>10760</v>
      </c>
      <c r="E140" s="704"/>
      <c r="F140" s="235" t="s">
        <v>10761</v>
      </c>
      <c r="G140" s="235" t="s">
        <v>10762</v>
      </c>
      <c r="I140" s="697"/>
      <c r="J140" s="698"/>
      <c r="K140" s="239"/>
      <c r="L140" s="697"/>
      <c r="M140" s="698"/>
    </row>
    <row r="141" spans="1:13" ht="22.5" x14ac:dyDescent="0.35">
      <c r="B141" s="702"/>
      <c r="C141" s="239"/>
      <c r="D141" s="705" t="s">
        <v>96</v>
      </c>
      <c r="E141" s="706"/>
      <c r="F141" s="236">
        <f>INDEX(WEAP!$A:$AN,MATCH(B138,WEAP!$A:$A,0),MATCH("HP",WEAP!$A$1:$BF$1,0))</f>
        <v>90</v>
      </c>
      <c r="G141" s="237">
        <f>INDEX(WEAP!$A:$AN,MATCH(B138,WEAP!$A:$A,0),MATCH("HP V3",WEAP!$A$1:$BF$1,0))</f>
        <v>90</v>
      </c>
      <c r="I141" s="697"/>
      <c r="J141" s="698"/>
      <c r="K141" s="239"/>
      <c r="L141" s="697"/>
      <c r="M141" s="698"/>
    </row>
    <row r="142" spans="1:13" ht="22.5" x14ac:dyDescent="0.35">
      <c r="B142" s="702"/>
      <c r="C142" s="239"/>
      <c r="D142" s="707" t="s">
        <v>97</v>
      </c>
      <c r="E142" s="708"/>
      <c r="F142" s="236">
        <f>INDEX(WEAP!$A:$AN,MATCH(B138,WEAP!$A:$A,0),MATCH("Str",WEAP!$A$1:$BF$1,0))</f>
        <v>316</v>
      </c>
      <c r="G142" s="237">
        <f>INDEX(WEAP!$A:$AN,MATCH(B138,WEAP!$A:$A,0),MATCH("Str V3",WEAP!$A$1:$BF$1,0))</f>
        <v>320</v>
      </c>
      <c r="I142" s="699"/>
      <c r="J142" s="700"/>
      <c r="K142" s="239"/>
      <c r="L142" s="699"/>
      <c r="M142" s="700"/>
    </row>
    <row r="143" spans="1:13" ht="33.75" customHeight="1" x14ac:dyDescent="0.2">
      <c r="A143" t="s">
        <v>10763</v>
      </c>
    </row>
    <row r="144" spans="1:13" ht="22.5" x14ac:dyDescent="0.35">
      <c r="A144" s="244" t="str">
        <f>TEXT(A137+1,"000")</f>
        <v>021</v>
      </c>
      <c r="B144" s="238" t="str">
        <f>"W-"&amp;A144</f>
        <v>W-021</v>
      </c>
      <c r="C144" s="239"/>
      <c r="D144" s="692" t="str">
        <f>+INDEX(WEAP!$A:$AN,MATCH(B145,WEAP!$A:$A,0),MATCH("Name",WEAP!$A$1:$BF$1,0))</f>
        <v>Plain Axe</v>
      </c>
      <c r="E144" s="693"/>
      <c r="F144" s="693"/>
      <c r="G144" s="694"/>
      <c r="I144" s="241" t="str">
        <f>+INDEX(WEAP!$A:$AN,MATCH(B145,WEAP!$A:$A,0),MATCH("Weapon Skill",WEAP!$A$1:$BF$1,0))</f>
        <v>Tyrant Swing</v>
      </c>
      <c r="J144" s="243">
        <f>INDEX('W-S'!$A:$N,MATCH(I144,'W-S'!$C:$C,0),MATCH("SP Cost",'W-S'!$1:$1,0))</f>
        <v>9025</v>
      </c>
      <c r="K144" s="9"/>
      <c r="L144" s="241" t="str">
        <f>+I144</f>
        <v>Tyrant Swing</v>
      </c>
      <c r="M144" s="243">
        <f>INDEX('W-S'!$A:$N,MATCH(L144,'W-S'!$C:$C,0),MATCH("SP Cost V3",'W-S'!$1:$1,0))</f>
        <v>6000</v>
      </c>
    </row>
    <row r="145" spans="1:13" ht="22.5" x14ac:dyDescent="0.35">
      <c r="B145" s="238" t="str">
        <f>+INDEX(WEAP!$A:$AN,MATCH(B144,WEAP!$B:$B,0),MATCH("ID",WEAP!$A$1:$BF$1,0))</f>
        <v>304026_01</v>
      </c>
      <c r="C145" s="240"/>
      <c r="D145" s="692" t="str">
        <f>+INDEX(WEAP!$A:$AN,MATCH(B144,WEAP!$B:$B,0),MATCH("Family",WEAP!$A$1:$BF$1,0))&amp;" Weapon"</f>
        <v>Core 4 Weapon</v>
      </c>
      <c r="E145" s="693"/>
      <c r="F145" s="693"/>
      <c r="G145" s="694"/>
      <c r="H145" s="8"/>
      <c r="I145" s="695" t="str">
        <f>INDEX('W-S'!$A:$O,MATCH(I144,'W-S'!$C:$C,0),MATCH("Description",'W-S'!$1:$1,0))</f>
        <v>Deals 2 hits of 513% damage to enemies directly ahead.</v>
      </c>
      <c r="J145" s="696"/>
      <c r="K145" s="239"/>
      <c r="L145" s="695" t="str">
        <f>INDEX('W-S'!$A:$O,MATCH(I144,'W-S'!$C:$C,0),MATCH("Description V3",'W-S'!$1:$1,0))</f>
        <v>Deals 2 hits of 750% damage to enemies directly ahead, and lowers their stormlash resistance by 10% for 15 seconds.</v>
      </c>
      <c r="M145" s="696"/>
    </row>
    <row r="146" spans="1:13" ht="22.5" x14ac:dyDescent="0.2">
      <c r="B146" s="701" t="e" vm="46">
        <f>+_xlfn.IMAGE("https://natalie.tf/wp-content/uploads/2023/10/DLV3_Icon_Weapon_"&amp;B145&amp;".png")</f>
        <v>#VALUE!</v>
      </c>
      <c r="C146" s="240"/>
      <c r="D146" s="692" t="str">
        <f>INDEX(WEAP!$A:$AN,MATCH(B145,WEAP!$A:$A,0),MATCH("Element",WEAP!$A$1:$BF$1,0))&amp;" "&amp;INDEX(WEAP!$A:$AN,MATCH(B145,WEAP!$A:$A,0),MATCH("Type",WEAP!$A$1:$BF$1,0))</f>
        <v>None Axe</v>
      </c>
      <c r="E146" s="693"/>
      <c r="F146" s="693"/>
      <c r="G146" s="694"/>
      <c r="H146" s="8"/>
      <c r="I146" s="697"/>
      <c r="J146" s="698"/>
      <c r="K146" s="9"/>
      <c r="L146" s="697"/>
      <c r="M146" s="698"/>
    </row>
    <row r="147" spans="1:13" ht="22.5" x14ac:dyDescent="0.35">
      <c r="B147" s="702"/>
      <c r="C147" s="239"/>
      <c r="D147" s="703" t="s">
        <v>10760</v>
      </c>
      <c r="E147" s="704"/>
      <c r="F147" s="235" t="s">
        <v>10761</v>
      </c>
      <c r="G147" s="235" t="s">
        <v>10762</v>
      </c>
      <c r="I147" s="697"/>
      <c r="J147" s="698"/>
      <c r="K147" s="239"/>
      <c r="L147" s="697"/>
      <c r="M147" s="698"/>
    </row>
    <row r="148" spans="1:13" ht="22.5" x14ac:dyDescent="0.35">
      <c r="B148" s="702"/>
      <c r="C148" s="239"/>
      <c r="D148" s="705" t="s">
        <v>96</v>
      </c>
      <c r="E148" s="706"/>
      <c r="F148" s="236">
        <f>INDEX(WEAP!$A:$AN,MATCH(B145,WEAP!$A:$A,0),MATCH("HP",WEAP!$A$1:$BF$1,0))</f>
        <v>96</v>
      </c>
      <c r="G148" s="237">
        <f>INDEX(WEAP!$A:$AN,MATCH(B145,WEAP!$A:$A,0),MATCH("HP V3",WEAP!$A$1:$BF$1,0))</f>
        <v>100</v>
      </c>
      <c r="I148" s="697"/>
      <c r="J148" s="698"/>
      <c r="K148" s="239"/>
      <c r="L148" s="697"/>
      <c r="M148" s="698"/>
    </row>
    <row r="149" spans="1:13" ht="22.5" x14ac:dyDescent="0.35">
      <c r="B149" s="702"/>
      <c r="C149" s="239"/>
      <c r="D149" s="707" t="s">
        <v>97</v>
      </c>
      <c r="E149" s="708"/>
      <c r="F149" s="236">
        <f>INDEX(WEAP!$A:$AN,MATCH(B145,WEAP!$A:$A,0),MATCH("Str",WEAP!$A$1:$BF$1,0))</f>
        <v>329</v>
      </c>
      <c r="G149" s="237">
        <f>INDEX(WEAP!$A:$AN,MATCH(B145,WEAP!$A:$A,0),MATCH("Str V3",WEAP!$A$1:$BF$1,0))</f>
        <v>330</v>
      </c>
      <c r="I149" s="699"/>
      <c r="J149" s="700"/>
      <c r="K149" s="239"/>
      <c r="L149" s="699"/>
      <c r="M149" s="700"/>
    </row>
    <row r="150" spans="1:13" s="245" customFormat="1" ht="7.5" customHeight="1" x14ac:dyDescent="0.2">
      <c r="A150" s="245" t="s">
        <v>10763</v>
      </c>
    </row>
    <row r="151" spans="1:13" ht="22.5" x14ac:dyDescent="0.35">
      <c r="A151" s="242" t="str">
        <f>TEXT(A144+1,"000")</f>
        <v>022</v>
      </c>
      <c r="B151" s="238" t="str">
        <f>"W-"&amp;A151</f>
        <v>W-022</v>
      </c>
      <c r="C151" s="239"/>
      <c r="D151" s="692" t="str">
        <f>+INDEX(WEAP!$A:$AN,MATCH(B152,WEAP!$A:$A,0),MATCH("Name",WEAP!$A$1:$BF$1,0))</f>
        <v>Strong Halberd</v>
      </c>
      <c r="E151" s="693"/>
      <c r="F151" s="693"/>
      <c r="G151" s="694"/>
      <c r="I151" s="241" t="str">
        <f>+INDEX(WEAP!$A:$AN,MATCH(B152,WEAP!$A:$A,0),MATCH("Weapon Skill",WEAP!$A$1:$BF$1,0))</f>
        <v>Ironsides's Barrage</v>
      </c>
      <c r="J151" s="243">
        <f>INDEX('W-S'!$A:$N,MATCH(I151,'W-S'!$C:$C,0),MATCH("SP Cost",'W-S'!$1:$1,0))</f>
        <v>7282</v>
      </c>
      <c r="K151" s="9"/>
      <c r="L151" s="241" t="str">
        <f>+I151</f>
        <v>Ironsides's Barrage</v>
      </c>
      <c r="M151" s="243">
        <f>INDEX('W-S'!$A:$N,MATCH(L151,'W-S'!$C:$C,0),MATCH("SP Cost V3",'W-S'!$1:$1,0))</f>
        <v>6000</v>
      </c>
    </row>
    <row r="152" spans="1:13" ht="22.5" x14ac:dyDescent="0.35">
      <c r="B152" s="238" t="str">
        <f>+INDEX(WEAP!$A:$AN,MATCH(B151,WEAP!$B:$B,0),MATCH("ID",WEAP!$A$1:$BF$1,0))</f>
        <v>305029_01</v>
      </c>
      <c r="C152" s="240"/>
      <c r="D152" s="692" t="str">
        <f>+INDEX(WEAP!$A:$AN,MATCH(B151,WEAP!$B:$B,0),MATCH("Family",WEAP!$A$1:$BF$1,0))&amp;" Weapon"</f>
        <v>Core 4 Weapon</v>
      </c>
      <c r="E152" s="693"/>
      <c r="F152" s="693"/>
      <c r="G152" s="694"/>
      <c r="H152" s="8"/>
      <c r="I152" s="695" t="str">
        <f>INDEX('W-S'!$A:$O,MATCH(I151,'W-S'!$C:$C,0),MATCH("Description",'W-S'!$1:$1,0))</f>
        <v>Deals 5 hits of 151% damage to enemies directly ahead.</v>
      </c>
      <c r="J152" s="696"/>
      <c r="K152" s="239"/>
      <c r="L152" s="695" t="str">
        <f>INDEX('W-S'!$A:$O,MATCH(I151,'W-S'!$C:$C,0),MATCH("Description V3",'W-S'!$1:$1,0))</f>
        <v>Deals 5 hits of 300% damage to enemies directly ahead, and lowers their frostbite resistance by 10% for 15 seconds.</v>
      </c>
      <c r="M152" s="696"/>
    </row>
    <row r="153" spans="1:13" ht="22.5" x14ac:dyDescent="0.2">
      <c r="B153" s="701" t="e" vm="47">
        <f>+_xlfn.IMAGE("https://natalie.tf/wp-content/uploads/2023/10/DLV3_Icon_Weapon_"&amp;B152&amp;".png")</f>
        <v>#VALUE!</v>
      </c>
      <c r="C153" s="240"/>
      <c r="D153" s="692" t="str">
        <f>INDEX(WEAP!$A:$AN,MATCH(B152,WEAP!$A:$A,0),MATCH("Element",WEAP!$A$1:$BF$1,0))&amp;" "&amp;INDEX(WEAP!$A:$AN,MATCH(B152,WEAP!$A:$A,0),MATCH("Type",WEAP!$A$1:$BF$1,0))</f>
        <v>None Lance</v>
      </c>
      <c r="E153" s="693"/>
      <c r="F153" s="693"/>
      <c r="G153" s="694"/>
      <c r="H153" s="8"/>
      <c r="I153" s="697"/>
      <c r="J153" s="698"/>
      <c r="K153" s="9"/>
      <c r="L153" s="697"/>
      <c r="M153" s="698"/>
    </row>
    <row r="154" spans="1:13" ht="22.5" x14ac:dyDescent="0.35">
      <c r="B154" s="702"/>
      <c r="C154" s="239"/>
      <c r="D154" s="703" t="s">
        <v>10760</v>
      </c>
      <c r="E154" s="704"/>
      <c r="F154" s="235" t="s">
        <v>10761</v>
      </c>
      <c r="G154" s="235" t="s">
        <v>10762</v>
      </c>
      <c r="I154" s="697"/>
      <c r="J154" s="698"/>
      <c r="K154" s="239"/>
      <c r="L154" s="697"/>
      <c r="M154" s="698"/>
    </row>
    <row r="155" spans="1:13" ht="22.5" x14ac:dyDescent="0.35">
      <c r="B155" s="702"/>
      <c r="C155" s="239"/>
      <c r="D155" s="705" t="s">
        <v>96</v>
      </c>
      <c r="E155" s="706"/>
      <c r="F155" s="236">
        <f>INDEX(WEAP!$A:$AN,MATCH(B152,WEAP!$A:$A,0),MATCH("HP",WEAP!$A$1:$BF$1,0))</f>
        <v>91</v>
      </c>
      <c r="G155" s="237">
        <f>INDEX(WEAP!$A:$AN,MATCH(B152,WEAP!$A:$A,0),MATCH("HP V3",WEAP!$A$1:$BF$1,0))</f>
        <v>95</v>
      </c>
      <c r="I155" s="697"/>
      <c r="J155" s="698"/>
      <c r="K155" s="239"/>
      <c r="L155" s="697"/>
      <c r="M155" s="698"/>
    </row>
    <row r="156" spans="1:13" ht="22.5" x14ac:dyDescent="0.35">
      <c r="B156" s="702"/>
      <c r="C156" s="239"/>
      <c r="D156" s="707" t="s">
        <v>97</v>
      </c>
      <c r="E156" s="708"/>
      <c r="F156" s="236">
        <f>INDEX(WEAP!$A:$AN,MATCH(B152,WEAP!$A:$A,0),MATCH("Str",WEAP!$A$1:$BF$1,0))</f>
        <v>329</v>
      </c>
      <c r="G156" s="237">
        <f>INDEX(WEAP!$A:$AN,MATCH(B152,WEAP!$A:$A,0),MATCH("Str V3",WEAP!$A$1:$BF$1,0))</f>
        <v>330</v>
      </c>
      <c r="I156" s="699"/>
      <c r="J156" s="700"/>
      <c r="K156" s="239"/>
      <c r="L156" s="699"/>
      <c r="M156" s="700"/>
    </row>
    <row r="157" spans="1:13" s="245" customFormat="1" ht="7.5" customHeight="1" x14ac:dyDescent="0.2">
      <c r="A157" s="245" t="s">
        <v>10763</v>
      </c>
    </row>
    <row r="158" spans="1:13" ht="22.5" x14ac:dyDescent="0.35">
      <c r="A158" s="244" t="str">
        <f>TEXT(A151+1,"000")</f>
        <v>023</v>
      </c>
      <c r="B158" s="238" t="str">
        <f>"W-"&amp;A158</f>
        <v>W-023</v>
      </c>
      <c r="C158" s="239"/>
      <c r="D158" s="692" t="str">
        <f>+INDEX(WEAP!$A:$AN,MATCH(B159,WEAP!$A:$A,0),MATCH("Name",WEAP!$A$1:$BF$1,0))</f>
        <v>Executor</v>
      </c>
      <c r="E158" s="693"/>
      <c r="F158" s="693"/>
      <c r="G158" s="694"/>
      <c r="I158" s="241" t="str">
        <f>+INDEX(WEAP!$A:$AN,MATCH(B159,WEAP!$A:$A,0),MATCH("Weapon Skill",WEAP!$A$1:$BF$1,0))</f>
        <v>Duskhawk's Energy</v>
      </c>
      <c r="J158" s="243">
        <f>INDEX('W-S'!$A:$N,MATCH(I158,'W-S'!$C:$C,0),MATCH("SP Cost",'W-S'!$1:$1,0))</f>
        <v>11213</v>
      </c>
      <c r="K158" s="9"/>
      <c r="L158" s="241" t="str">
        <f>+I158</f>
        <v>Duskhawk's Energy</v>
      </c>
      <c r="M158" s="243">
        <f>INDEX('W-S'!$A:$N,MATCH(L158,'W-S'!$C:$C,0),MATCH("SP Cost V3",'W-S'!$1:$1,0))</f>
        <v>12000</v>
      </c>
    </row>
    <row r="159" spans="1:13" ht="22.5" x14ac:dyDescent="0.35">
      <c r="B159" s="238" t="str">
        <f>+INDEX(WEAP!$A:$AN,MATCH(B158,WEAP!$B:$B,0),MATCH("ID",WEAP!$A$1:$BF$1,0))</f>
        <v>306013_01</v>
      </c>
      <c r="C159" s="240"/>
      <c r="D159" s="692" t="str">
        <f>+INDEX(WEAP!$A:$AN,MATCH(B158,WEAP!$B:$B,0),MATCH("Family",WEAP!$A$1:$BF$1,0))&amp;" Weapon"</f>
        <v>Core 4 Weapon</v>
      </c>
      <c r="E159" s="693"/>
      <c r="F159" s="693"/>
      <c r="G159" s="694"/>
      <c r="H159" s="8"/>
      <c r="I159" s="695" t="str">
        <f>INDEX('W-S'!$A:$O,MATCH(I158,'W-S'!$C:$C,0),MATCH("Description",'W-S'!$1:$1,0))</f>
        <v>Increases max HP by 15% for the remainder of the quest. Once HP buffs reach the limit of 30%, an HP recovery effect is granted instead.</v>
      </c>
      <c r="J159" s="696"/>
      <c r="K159" s="239"/>
      <c r="L159" s="695" t="str">
        <f>INDEX('W-S'!$A:$O,MATCH(I158,'W-S'!$C:$C,0),MATCH("Description V3",'W-S'!$1:$1,0))</f>
        <v>Increases the entire team's max HP by 10% for the remainder of the quest. Once HP buffs reach the limit of 30%, an HP recovery effect is granted instead.</v>
      </c>
      <c r="M159" s="696"/>
    </row>
    <row r="160" spans="1:13" ht="22.5" x14ac:dyDescent="0.2">
      <c r="B160" s="701" t="e" vm="48">
        <f>+_xlfn.IMAGE("https://natalie.tf/wp-content/uploads/2023/10/DLV3_Icon_Weapon_"&amp;B159&amp;".png")</f>
        <v>#VALUE!</v>
      </c>
      <c r="C160" s="240"/>
      <c r="D160" s="692" t="str">
        <f>INDEX(WEAP!$A:$AN,MATCH(B159,WEAP!$A:$A,0),MATCH("Element",WEAP!$A$1:$BF$1,0))&amp;" "&amp;INDEX(WEAP!$A:$AN,MATCH(B159,WEAP!$A:$A,0),MATCH("Type",WEAP!$A$1:$BF$1,0))</f>
        <v>None Bow</v>
      </c>
      <c r="E160" s="693"/>
      <c r="F160" s="693"/>
      <c r="G160" s="694"/>
      <c r="H160" s="8"/>
      <c r="I160" s="697"/>
      <c r="J160" s="698"/>
      <c r="K160" s="9"/>
      <c r="L160" s="697"/>
      <c r="M160" s="698"/>
    </row>
    <row r="161" spans="1:13" ht="22.5" x14ac:dyDescent="0.35">
      <c r="B161" s="702"/>
      <c r="C161" s="239"/>
      <c r="D161" s="703" t="s">
        <v>10760</v>
      </c>
      <c r="E161" s="704"/>
      <c r="F161" s="235" t="s">
        <v>10761</v>
      </c>
      <c r="G161" s="235" t="s">
        <v>10762</v>
      </c>
      <c r="I161" s="697"/>
      <c r="J161" s="698"/>
      <c r="K161" s="239"/>
      <c r="L161" s="697"/>
      <c r="M161" s="698"/>
    </row>
    <row r="162" spans="1:13" ht="22.5" x14ac:dyDescent="0.35">
      <c r="B162" s="702"/>
      <c r="C162" s="239"/>
      <c r="D162" s="705" t="s">
        <v>96</v>
      </c>
      <c r="E162" s="706"/>
      <c r="F162" s="236">
        <f>INDEX(WEAP!$A:$AN,MATCH(B159,WEAP!$A:$A,0),MATCH("HP",WEAP!$A$1:$BF$1,0))</f>
        <v>87</v>
      </c>
      <c r="G162" s="237">
        <f>INDEX(WEAP!$A:$AN,MATCH(B159,WEAP!$A:$A,0),MATCH("HP V3",WEAP!$A$1:$BF$1,0))</f>
        <v>90</v>
      </c>
      <c r="I162" s="697"/>
      <c r="J162" s="698"/>
      <c r="K162" s="239"/>
      <c r="L162" s="697"/>
      <c r="M162" s="698"/>
    </row>
    <row r="163" spans="1:13" ht="22.5" x14ac:dyDescent="0.35">
      <c r="B163" s="702"/>
      <c r="C163" s="239"/>
      <c r="D163" s="707" t="s">
        <v>97</v>
      </c>
      <c r="E163" s="708"/>
      <c r="F163" s="236">
        <f>INDEX(WEAP!$A:$AN,MATCH(B159,WEAP!$A:$A,0),MATCH("Str",WEAP!$A$1:$BF$1,0))</f>
        <v>310</v>
      </c>
      <c r="G163" s="237">
        <f>INDEX(WEAP!$A:$AN,MATCH(B159,WEAP!$A:$A,0),MATCH("Str V3",WEAP!$A$1:$BF$1,0))</f>
        <v>310</v>
      </c>
      <c r="I163" s="699"/>
      <c r="J163" s="700"/>
      <c r="K163" s="239"/>
      <c r="L163" s="699"/>
      <c r="M163" s="700"/>
    </row>
    <row r="164" spans="1:13" s="245" customFormat="1" ht="7.5" customHeight="1" x14ac:dyDescent="0.2">
      <c r="A164" s="245" t="s">
        <v>10763</v>
      </c>
    </row>
    <row r="165" spans="1:13" ht="22.5" x14ac:dyDescent="0.35">
      <c r="A165" s="244" t="str">
        <f>TEXT(A158+1,"000")</f>
        <v>024</v>
      </c>
      <c r="B165" s="238" t="str">
        <f>"W-"&amp;A165</f>
        <v>W-024</v>
      </c>
      <c r="C165" s="239"/>
      <c r="D165" s="692" t="str">
        <f>+INDEX(WEAP!$A:$AN,MATCH(B166,WEAP!$A:$A,0),MATCH("Name",WEAP!$A$1:$BF$1,0))</f>
        <v>Latchkey</v>
      </c>
      <c r="E165" s="693"/>
      <c r="F165" s="693"/>
      <c r="G165" s="694"/>
      <c r="I165" s="241" t="str">
        <f>+INDEX(WEAP!$A:$AN,MATCH(B166,WEAP!$A:$A,0),MATCH("Weapon Skill",WEAP!$A$1:$BF$1,0))</f>
        <v>Moonlight's Protection</v>
      </c>
      <c r="J165" s="243">
        <f>INDEX('W-S'!$A:$N,MATCH(I165,'W-S'!$C:$C,0),MATCH("SP Cost",'W-S'!$1:$1,0))</f>
        <v>7316</v>
      </c>
      <c r="K165" s="9"/>
      <c r="L165" s="241" t="str">
        <f>+I165</f>
        <v>Moonlight's Protection</v>
      </c>
      <c r="M165" s="243">
        <f>INDEX('W-S'!$A:$N,MATCH(L165,'W-S'!$C:$C,0),MATCH("SP Cost V3",'W-S'!$1:$1,0))</f>
        <v>6000</v>
      </c>
    </row>
    <row r="166" spans="1:13" ht="22.5" x14ac:dyDescent="0.35">
      <c r="B166" s="238" t="str">
        <f>+INDEX(WEAP!$A:$AN,MATCH(B165,WEAP!$B:$B,0),MATCH("ID",WEAP!$A$1:$BF$1,0))</f>
        <v>307012_01</v>
      </c>
      <c r="C166" s="240"/>
      <c r="D166" s="692" t="str">
        <f>+INDEX(WEAP!$A:$AN,MATCH(B165,WEAP!$B:$B,0),MATCH("Family",WEAP!$A$1:$BF$1,0))&amp;" Weapon"</f>
        <v>Core 4 Weapon</v>
      </c>
      <c r="E166" s="693"/>
      <c r="F166" s="693"/>
      <c r="G166" s="694"/>
      <c r="H166" s="8"/>
      <c r="I166" s="695" t="str">
        <f>INDEX('W-S'!$A:$O,MATCH(I165,'W-S'!$C:$C,0),MATCH("Description",'W-S'!$1:$1,0))</f>
        <v>Increases the user's defense by 25% for 10 seconds.</v>
      </c>
      <c r="J166" s="696"/>
      <c r="K166" s="239"/>
      <c r="L166" s="695" t="str">
        <f>INDEX('W-S'!$A:$O,MATCH(I165,'W-S'!$C:$C,0),MATCH("Description V3",'W-S'!$1:$1,0))</f>
        <v>Increases the entire team's defense by 20% for 15 seconds.</v>
      </c>
      <c r="M166" s="696"/>
    </row>
    <row r="167" spans="1:13" ht="22.5" x14ac:dyDescent="0.2">
      <c r="B167" s="701" t="e" vm="49">
        <f>+_xlfn.IMAGE("https://natalie.tf/wp-content/uploads/2023/10/DLV3_Icon_Weapon_"&amp;B166&amp;".png")</f>
        <v>#VALUE!</v>
      </c>
      <c r="C167" s="240"/>
      <c r="D167" s="692" t="str">
        <f>INDEX(WEAP!$A:$AN,MATCH(B166,WEAP!$A:$A,0),MATCH("Element",WEAP!$A$1:$BF$1,0))&amp;" "&amp;INDEX(WEAP!$A:$AN,MATCH(B166,WEAP!$A:$A,0),MATCH("Type",WEAP!$A$1:$BF$1,0))</f>
        <v>None Wand</v>
      </c>
      <c r="E167" s="693"/>
      <c r="F167" s="693"/>
      <c r="G167" s="694"/>
      <c r="H167" s="8"/>
      <c r="I167" s="697"/>
      <c r="J167" s="698"/>
      <c r="K167" s="9"/>
      <c r="L167" s="697"/>
      <c r="M167" s="698"/>
    </row>
    <row r="168" spans="1:13" ht="22.5" x14ac:dyDescent="0.35">
      <c r="B168" s="702"/>
      <c r="C168" s="239"/>
      <c r="D168" s="703" t="s">
        <v>10760</v>
      </c>
      <c r="E168" s="704"/>
      <c r="F168" s="235" t="s">
        <v>10761</v>
      </c>
      <c r="G168" s="235" t="s">
        <v>10762</v>
      </c>
      <c r="I168" s="697"/>
      <c r="J168" s="698"/>
      <c r="K168" s="239"/>
      <c r="L168" s="697"/>
      <c r="M168" s="698"/>
    </row>
    <row r="169" spans="1:13" ht="22.5" x14ac:dyDescent="0.35">
      <c r="B169" s="702"/>
      <c r="C169" s="239"/>
      <c r="D169" s="705" t="s">
        <v>96</v>
      </c>
      <c r="E169" s="706"/>
      <c r="F169" s="236">
        <f>INDEX(WEAP!$A:$AN,MATCH(B166,WEAP!$A:$A,0),MATCH("HP",WEAP!$A$1:$BF$1,0))</f>
        <v>80</v>
      </c>
      <c r="G169" s="237">
        <f>INDEX(WEAP!$A:$AN,MATCH(B166,WEAP!$A:$A,0),MATCH("HP V3",WEAP!$A$1:$BF$1,0))</f>
        <v>80</v>
      </c>
      <c r="I169" s="697"/>
      <c r="J169" s="698"/>
      <c r="K169" s="239"/>
      <c r="L169" s="697"/>
      <c r="M169" s="698"/>
    </row>
    <row r="170" spans="1:13" ht="22.5" x14ac:dyDescent="0.35">
      <c r="B170" s="702"/>
      <c r="C170" s="239"/>
      <c r="D170" s="707" t="s">
        <v>97</v>
      </c>
      <c r="E170" s="708"/>
      <c r="F170" s="236">
        <f>INDEX(WEAP!$A:$AN,MATCH(B166,WEAP!$A:$A,0),MATCH("Str",WEAP!$A$1:$BF$1,0))</f>
        <v>342</v>
      </c>
      <c r="G170" s="237">
        <f>INDEX(WEAP!$A:$AN,MATCH(B166,WEAP!$A:$A,0),MATCH("Str V3",WEAP!$A$1:$BF$1,0))</f>
        <v>345</v>
      </c>
      <c r="I170" s="699"/>
      <c r="J170" s="700"/>
      <c r="K170" s="239"/>
      <c r="L170" s="699"/>
      <c r="M170" s="700"/>
    </row>
    <row r="171" spans="1:13" s="245" customFormat="1" ht="7.5" customHeight="1" x14ac:dyDescent="0.2">
      <c r="A171" s="245" t="s">
        <v>10763</v>
      </c>
    </row>
    <row r="172" spans="1:13" ht="22.5" x14ac:dyDescent="0.35">
      <c r="A172" s="244" t="str">
        <f>TEXT(A165+1,"000")</f>
        <v>025</v>
      </c>
      <c r="B172" s="238" t="str">
        <f>"W-"&amp;A172</f>
        <v>W-025</v>
      </c>
      <c r="C172" s="239"/>
      <c r="D172" s="692" t="str">
        <f>+INDEX(WEAP!$A:$AN,MATCH(B173,WEAP!$A:$A,0),MATCH("Name",WEAP!$A$1:$BF$1,0))</f>
        <v>Staff of Life</v>
      </c>
      <c r="E172" s="693"/>
      <c r="F172" s="693"/>
      <c r="G172" s="694"/>
      <c r="I172" s="241" t="str">
        <f>+INDEX(WEAP!$A:$AN,MATCH(B173,WEAP!$A:$A,0),MATCH("Weapon Skill",WEAP!$A$1:$BF$1,0))</f>
        <v>Beautiful Healing</v>
      </c>
      <c r="J172" s="243">
        <f>INDEX('W-S'!$A:$N,MATCH(I172,'W-S'!$C:$C,0),MATCH("SP Cost",'W-S'!$1:$1,0))</f>
        <v>17748</v>
      </c>
      <c r="K172" s="9"/>
      <c r="L172" s="241" t="str">
        <f>+I172</f>
        <v>Beautiful Healing</v>
      </c>
      <c r="M172" s="243">
        <f>INDEX('W-S'!$A:$N,MATCH(L172,'W-S'!$C:$C,0),MATCH("SP Cost V3",'W-S'!$1:$1,0))</f>
        <v>12000</v>
      </c>
    </row>
    <row r="173" spans="1:13" ht="22.5" x14ac:dyDescent="0.35">
      <c r="B173" s="238" t="str">
        <f>+INDEX(WEAP!$A:$AN,MATCH(B172,WEAP!$B:$B,0),MATCH("ID",WEAP!$A$1:$BF$1,0))</f>
        <v>308005_01</v>
      </c>
      <c r="C173" s="240"/>
      <c r="D173" s="692" t="str">
        <f>+INDEX(WEAP!$A:$AN,MATCH(B172,WEAP!$B:$B,0),MATCH("Family",WEAP!$A$1:$BF$1,0))&amp;" Weapon"</f>
        <v>Core 4 Weapon</v>
      </c>
      <c r="E173" s="693"/>
      <c r="F173" s="693"/>
      <c r="G173" s="694"/>
      <c r="H173" s="8"/>
      <c r="I173" s="695" t="str">
        <f>INDEX('W-S'!$A:$O,MATCH(I172,'W-S'!$C:$C,0),MATCH("Description",'W-S'!$1:$1,0))</f>
        <v>Restores HP to the team member most in need with 207% Recovery Potency.</v>
      </c>
      <c r="J173" s="696"/>
      <c r="K173" s="239"/>
      <c r="L173" s="695" t="str">
        <f>INDEX('W-S'!$A:$O,MATCH(I172,'W-S'!$C:$C,0),MATCH("Description V3",'W-S'!$1:$1,0))</f>
        <v>Gradually recovers the entire team's HP with 35% Recovery Potency every 2.9 seconds for 20 seconds</v>
      </c>
      <c r="M173" s="696"/>
    </row>
    <row r="174" spans="1:13" ht="22.5" x14ac:dyDescent="0.2">
      <c r="B174" s="701" t="e" vm="50">
        <f>+_xlfn.IMAGE("https://natalie.tf/wp-content/uploads/2023/10/DLV3_Icon_Weapon_"&amp;B173&amp;".png")</f>
        <v>#VALUE!</v>
      </c>
      <c r="C174" s="240"/>
      <c r="D174" s="692" t="str">
        <f>INDEX(WEAP!$A:$AN,MATCH(B173,WEAP!$A:$A,0),MATCH("Element",WEAP!$A$1:$BF$1,0))&amp;" "&amp;INDEX(WEAP!$A:$AN,MATCH(B173,WEAP!$A:$A,0),MATCH("Type",WEAP!$A$1:$BF$1,0))</f>
        <v>None Staff</v>
      </c>
      <c r="E174" s="693"/>
      <c r="F174" s="693"/>
      <c r="G174" s="694"/>
      <c r="H174" s="8"/>
      <c r="I174" s="697"/>
      <c r="J174" s="698"/>
      <c r="K174" s="9"/>
      <c r="L174" s="697"/>
      <c r="M174" s="698"/>
    </row>
    <row r="175" spans="1:13" ht="22.5" x14ac:dyDescent="0.35">
      <c r="B175" s="702"/>
      <c r="C175" s="239"/>
      <c r="D175" s="703" t="s">
        <v>10760</v>
      </c>
      <c r="E175" s="704"/>
      <c r="F175" s="235" t="s">
        <v>10761</v>
      </c>
      <c r="G175" s="235" t="s">
        <v>10762</v>
      </c>
      <c r="I175" s="697"/>
      <c r="J175" s="698"/>
      <c r="K175" s="239"/>
      <c r="L175" s="697"/>
      <c r="M175" s="698"/>
    </row>
    <row r="176" spans="1:13" ht="22.5" x14ac:dyDescent="0.35">
      <c r="B176" s="702"/>
      <c r="C176" s="239"/>
      <c r="D176" s="705" t="s">
        <v>96</v>
      </c>
      <c r="E176" s="706"/>
      <c r="F176" s="236">
        <f>INDEX(WEAP!$A:$AN,MATCH(B173,WEAP!$A:$A,0),MATCH("HP",WEAP!$A$1:$BF$1,0))</f>
        <v>106</v>
      </c>
      <c r="G176" s="237">
        <f>INDEX(WEAP!$A:$AN,MATCH(B173,WEAP!$A:$A,0),MATCH("HP V3",WEAP!$A$1:$BF$1,0))</f>
        <v>110</v>
      </c>
      <c r="I176" s="697"/>
      <c r="J176" s="698"/>
      <c r="K176" s="239"/>
      <c r="L176" s="697"/>
      <c r="M176" s="698"/>
    </row>
    <row r="177" spans="1:13" ht="22.5" x14ac:dyDescent="0.35">
      <c r="B177" s="702"/>
      <c r="C177" s="239"/>
      <c r="D177" s="707" t="s">
        <v>97</v>
      </c>
      <c r="E177" s="708"/>
      <c r="F177" s="236">
        <f>INDEX(WEAP!$A:$AN,MATCH(B173,WEAP!$A:$A,0),MATCH("Str",WEAP!$A$1:$BF$1,0))</f>
        <v>291</v>
      </c>
      <c r="G177" s="237">
        <f>INDEX(WEAP!$A:$AN,MATCH(B173,WEAP!$A:$A,0),MATCH("Str V3",WEAP!$A$1:$BF$1,0))</f>
        <v>295</v>
      </c>
      <c r="I177" s="699"/>
      <c r="J177" s="700"/>
      <c r="K177" s="239"/>
      <c r="L177" s="699"/>
      <c r="M177" s="700"/>
    </row>
    <row r="178" spans="1:13" ht="33.75" customHeight="1" x14ac:dyDescent="0.2">
      <c r="A178" t="s">
        <v>10763</v>
      </c>
    </row>
    <row r="179" spans="1:13" ht="22.5" x14ac:dyDescent="0.35">
      <c r="A179" s="244" t="str">
        <f>TEXT(A172+1,"000")</f>
        <v>026</v>
      </c>
      <c r="B179" s="238" t="str">
        <f>"W-"&amp;A179</f>
        <v>W-026</v>
      </c>
      <c r="C179" s="239"/>
      <c r="D179" s="692" t="str">
        <f>+INDEX(WEAP!$A:$AN,MATCH(B180,WEAP!$A:$A,0),MATCH("Name",WEAP!$A$1:$BF$1,0))</f>
        <v>Antique Manacaster</v>
      </c>
      <c r="E179" s="693"/>
      <c r="F179" s="693"/>
      <c r="G179" s="694"/>
      <c r="I179" s="241" t="str">
        <f>+INDEX(WEAP!$A:$AN,MATCH(B180,WEAP!$A:$A,0),MATCH("Weapon Skill",WEAP!$A$1:$BF$1,0))</f>
        <v>Antique Defense</v>
      </c>
      <c r="J179" s="243">
        <f>INDEX('W-S'!$A:$N,MATCH(I179,'W-S'!$C:$C,0),MATCH("SP Cost",'W-S'!$1:$1,0))</f>
        <v>6766</v>
      </c>
      <c r="K179" s="9"/>
      <c r="L179" s="241" t="str">
        <f>+I179</f>
        <v>Antique Defense</v>
      </c>
      <c r="M179" s="243">
        <f>INDEX('W-S'!$A:$N,MATCH(L179,'W-S'!$C:$C,0),MATCH("SP Cost V3",'W-S'!$1:$1,0))</f>
        <v>6000</v>
      </c>
    </row>
    <row r="180" spans="1:13" ht="22.5" x14ac:dyDescent="0.35">
      <c r="B180" s="238" t="str">
        <f>+INDEX(WEAP!$A:$AN,MATCH(B179,WEAP!$B:$B,0),MATCH("ID",WEAP!$A$1:$BF$1,0))</f>
        <v>309002_01</v>
      </c>
      <c r="C180" s="240"/>
      <c r="D180" s="692" t="str">
        <f>+INDEX(WEAP!$A:$AN,MATCH(B179,WEAP!$B:$B,0),MATCH("Family",WEAP!$A$1:$BF$1,0))&amp;" Weapon"</f>
        <v>Core 4 Weapon</v>
      </c>
      <c r="E180" s="693"/>
      <c r="F180" s="693"/>
      <c r="G180" s="694"/>
      <c r="H180" s="8"/>
      <c r="I180" s="695" t="str">
        <f>INDEX('W-S'!$A:$O,MATCH(I179,'W-S'!$C:$C,0),MATCH("Description",'W-S'!$1:$1,0))</f>
        <v>Increases the user's defense by 25% for 10 seconds.</v>
      </c>
      <c r="J180" s="696"/>
      <c r="K180" s="239"/>
      <c r="L180" s="695" t="str">
        <f>INDEX('W-S'!$A:$O,MATCH(I179,'W-S'!$C:$C,0),MATCH("Description V3",'W-S'!$1:$1,0))</f>
        <v>Increases the entire team's strength by 20% for 15 seconds.</v>
      </c>
      <c r="M180" s="696"/>
    </row>
    <row r="181" spans="1:13" ht="22.5" x14ac:dyDescent="0.2">
      <c r="B181" s="701" t="e" vm="51">
        <f>+_xlfn.IMAGE("https://natalie.tf/wp-content/uploads/2023/10/DLV3_Icon_Weapon_"&amp;B180&amp;".png")</f>
        <v>#VALUE!</v>
      </c>
      <c r="C181" s="240"/>
      <c r="D181" s="692" t="str">
        <f>INDEX(WEAP!$A:$AN,MATCH(B180,WEAP!$A:$A,0),MATCH("Element",WEAP!$A$1:$BF$1,0))&amp;" "&amp;INDEX(WEAP!$A:$AN,MATCH(B180,WEAP!$A:$A,0),MATCH("Type",WEAP!$A$1:$BF$1,0))</f>
        <v>None Manacaster</v>
      </c>
      <c r="E181" s="693"/>
      <c r="F181" s="693"/>
      <c r="G181" s="694"/>
      <c r="H181" s="8"/>
      <c r="I181" s="697"/>
      <c r="J181" s="698"/>
      <c r="K181" s="9"/>
      <c r="L181" s="697"/>
      <c r="M181" s="698"/>
    </row>
    <row r="182" spans="1:13" ht="22.5" x14ac:dyDescent="0.35">
      <c r="B182" s="702"/>
      <c r="C182" s="239"/>
      <c r="D182" s="703" t="s">
        <v>10760</v>
      </c>
      <c r="E182" s="704"/>
      <c r="F182" s="235" t="s">
        <v>10761</v>
      </c>
      <c r="G182" s="235" t="s">
        <v>10762</v>
      </c>
      <c r="I182" s="697"/>
      <c r="J182" s="698"/>
      <c r="K182" s="239"/>
      <c r="L182" s="697"/>
      <c r="M182" s="698"/>
    </row>
    <row r="183" spans="1:13" ht="22.5" x14ac:dyDescent="0.35">
      <c r="B183" s="702"/>
      <c r="C183" s="239"/>
      <c r="D183" s="705" t="s">
        <v>96</v>
      </c>
      <c r="E183" s="706"/>
      <c r="F183" s="236">
        <f>INDEX(WEAP!$A:$AN,MATCH(B180,WEAP!$A:$A,0),MATCH("HP",WEAP!$A$1:$BF$1,0))</f>
        <v>82</v>
      </c>
      <c r="G183" s="237">
        <f>INDEX(WEAP!$A:$AN,MATCH(B180,WEAP!$A:$A,0),MATCH("HP V3",WEAP!$A$1:$BF$1,0))</f>
        <v>85</v>
      </c>
      <c r="I183" s="697"/>
      <c r="J183" s="698"/>
      <c r="K183" s="239"/>
      <c r="L183" s="697"/>
      <c r="M183" s="698"/>
    </row>
    <row r="184" spans="1:13" ht="22.5" x14ac:dyDescent="0.35">
      <c r="B184" s="702"/>
      <c r="C184" s="239"/>
      <c r="D184" s="707" t="s">
        <v>97</v>
      </c>
      <c r="E184" s="708"/>
      <c r="F184" s="236">
        <f>INDEX(WEAP!$A:$AN,MATCH(B180,WEAP!$A:$A,0),MATCH("Str",WEAP!$A$1:$BF$1,0))</f>
        <v>335</v>
      </c>
      <c r="G184" s="237">
        <f>INDEX(WEAP!$A:$AN,MATCH(B180,WEAP!$A:$A,0),MATCH("Str V3",WEAP!$A$1:$BF$1,0))</f>
        <v>335</v>
      </c>
      <c r="I184" s="699"/>
      <c r="J184" s="700"/>
      <c r="K184" s="239"/>
      <c r="L184" s="699"/>
      <c r="M184" s="700"/>
    </row>
    <row r="185" spans="1:13" s="245" customFormat="1" ht="7.5" customHeight="1" x14ac:dyDescent="0.2">
      <c r="A185" s="245" t="s">
        <v>10763</v>
      </c>
    </row>
    <row r="186" spans="1:13" ht="22.5" x14ac:dyDescent="0.35">
      <c r="A186" s="242" t="str">
        <f>TEXT(A179+1,"000")</f>
        <v>027</v>
      </c>
      <c r="B186" s="238" t="str">
        <f>"W-"&amp;A186</f>
        <v>W-027</v>
      </c>
      <c r="C186" s="239"/>
      <c r="D186" s="692" t="str">
        <f>+INDEX(WEAP!$A:$AN,MATCH(B187,WEAP!$A:$A,0),MATCH("Name",WEAP!$A$1:$BF$1,0))</f>
        <v>Hero's Sword</v>
      </c>
      <c r="E186" s="693"/>
      <c r="F186" s="693"/>
      <c r="G186" s="694"/>
      <c r="I186" s="241" t="str">
        <f>+INDEX(WEAP!$A:$AN,MATCH(B187,WEAP!$A:$A,0),MATCH("Weapon Skill",WEAP!$A$1:$BF$1,0))</f>
        <v>Noble Flash</v>
      </c>
      <c r="J186" s="243">
        <f>INDEX('W-S'!$A:$N,MATCH(I186,'W-S'!$C:$C,0),MATCH("SP Cost",'W-S'!$1:$1,0))</f>
        <v>6847</v>
      </c>
      <c r="K186" s="9"/>
      <c r="L186" s="241" t="str">
        <f>+I186</f>
        <v>Noble Flash</v>
      </c>
      <c r="M186" s="243">
        <f>INDEX('W-S'!$A:$N,MATCH(L186,'W-S'!$C:$C,0),MATCH("SP Cost V3",'W-S'!$1:$1,0))</f>
        <v>6000</v>
      </c>
    </row>
    <row r="187" spans="1:13" ht="22.5" x14ac:dyDescent="0.35">
      <c r="B187" s="238" t="str">
        <f>+INDEX(WEAP!$A:$AN,MATCH(B186,WEAP!$B:$B,0),MATCH("ID",WEAP!$A$1:$BF$1,0))</f>
        <v>301041_01</v>
      </c>
      <c r="C187" s="240"/>
      <c r="D187" s="692" t="str">
        <f>+INDEX(WEAP!$A:$AN,MATCH(B186,WEAP!$B:$B,0),MATCH("Family",WEAP!$A$1:$BF$1,0))&amp;" Weapon"</f>
        <v>Core 5 Weapon</v>
      </c>
      <c r="E187" s="693"/>
      <c r="F187" s="693"/>
      <c r="G187" s="694"/>
      <c r="H187" s="8"/>
      <c r="I187" s="695" t="str">
        <f>INDEX('W-S'!$A:$O,MATCH(I186,'W-S'!$C:$C,0),MATCH("Description",'W-S'!$1:$1,0))</f>
        <v>Deals 5 hits of 149% damage to enemies directly ahead.</v>
      </c>
      <c r="J187" s="696"/>
      <c r="K187" s="239"/>
      <c r="L187" s="695" t="str">
        <f>INDEX('W-S'!$A:$O,MATCH(I186,'W-S'!$C:$C,0),MATCH("Description V3",'W-S'!$1:$1,0))</f>
        <v>Deals 5 hits of 300% damage to enemies directly ahead, and dispels one buff from each target.</v>
      </c>
      <c r="M187" s="696"/>
    </row>
    <row r="188" spans="1:13" ht="22.5" x14ac:dyDescent="0.2">
      <c r="B188" s="701" t="e" vm="52">
        <f>+_xlfn.IMAGE("https://natalie.tf/wp-content/uploads/2023/10/DLV3_Icon_Weapon_"&amp;B187&amp;".png")</f>
        <v>#VALUE!</v>
      </c>
      <c r="C188" s="240"/>
      <c r="D188" s="692" t="str">
        <f>INDEX(WEAP!$A:$AN,MATCH(B187,WEAP!$A:$A,0),MATCH("Element",WEAP!$A$1:$BF$1,0))&amp;" "&amp;INDEX(WEAP!$A:$AN,MATCH(B187,WEAP!$A:$A,0),MATCH("Type",WEAP!$A$1:$BF$1,0))</f>
        <v>None Sword</v>
      </c>
      <c r="E188" s="693"/>
      <c r="F188" s="693"/>
      <c r="G188" s="694"/>
      <c r="H188" s="8"/>
      <c r="I188" s="697"/>
      <c r="J188" s="698"/>
      <c r="K188" s="9"/>
      <c r="L188" s="697"/>
      <c r="M188" s="698"/>
    </row>
    <row r="189" spans="1:13" ht="22.5" x14ac:dyDescent="0.35">
      <c r="B189" s="702"/>
      <c r="C189" s="239"/>
      <c r="D189" s="703" t="s">
        <v>10760</v>
      </c>
      <c r="E189" s="704"/>
      <c r="F189" s="235" t="s">
        <v>10761</v>
      </c>
      <c r="G189" s="235" t="s">
        <v>10762</v>
      </c>
      <c r="I189" s="697"/>
      <c r="J189" s="698"/>
      <c r="K189" s="239"/>
      <c r="L189" s="697"/>
      <c r="M189" s="698"/>
    </row>
    <row r="190" spans="1:13" ht="22.5" x14ac:dyDescent="0.35">
      <c r="B190" s="702"/>
      <c r="C190" s="239"/>
      <c r="D190" s="705" t="s">
        <v>96</v>
      </c>
      <c r="E190" s="706"/>
      <c r="F190" s="236">
        <f>INDEX(WEAP!$A:$AN,MATCH(B187,WEAP!$A:$A,0),MATCH("HP",WEAP!$A$1:$BF$1,0))</f>
        <v>126</v>
      </c>
      <c r="G190" s="237">
        <f>INDEX(WEAP!$A:$AN,MATCH(B187,WEAP!$A:$A,0),MATCH("HP V3",WEAP!$A$1:$BF$1,0))</f>
        <v>130</v>
      </c>
      <c r="I190" s="697"/>
      <c r="J190" s="698"/>
      <c r="K190" s="239"/>
      <c r="L190" s="697"/>
      <c r="M190" s="698"/>
    </row>
    <row r="191" spans="1:13" ht="22.5" x14ac:dyDescent="0.35">
      <c r="B191" s="702"/>
      <c r="C191" s="239"/>
      <c r="D191" s="707" t="s">
        <v>97</v>
      </c>
      <c r="E191" s="708"/>
      <c r="F191" s="236">
        <f>INDEX(WEAP!$A:$AN,MATCH(B187,WEAP!$A:$A,0),MATCH("Str",WEAP!$A$1:$BF$1,0))</f>
        <v>452</v>
      </c>
      <c r="G191" s="237">
        <f>INDEX(WEAP!$A:$AN,MATCH(B187,WEAP!$A:$A,0),MATCH("Str V3",WEAP!$A$1:$BF$1,0))</f>
        <v>455</v>
      </c>
      <c r="I191" s="699"/>
      <c r="J191" s="700"/>
      <c r="K191" s="239"/>
      <c r="L191" s="699"/>
      <c r="M191" s="700"/>
    </row>
    <row r="192" spans="1:13" s="245" customFormat="1" ht="7.5" customHeight="1" x14ac:dyDescent="0.2">
      <c r="A192" s="245" t="s">
        <v>10763</v>
      </c>
    </row>
    <row r="193" spans="1:13" ht="22.5" x14ac:dyDescent="0.35">
      <c r="A193" s="244" t="str">
        <f>TEXT(A186+1,"000")</f>
        <v>028</v>
      </c>
      <c r="B193" s="238" t="str">
        <f>"W-"&amp;A193</f>
        <v>W-028</v>
      </c>
      <c r="C193" s="239"/>
      <c r="D193" s="692" t="str">
        <f>+INDEX(WEAP!$A:$AN,MATCH(B194,WEAP!$A:$A,0),MATCH("Name",WEAP!$A$1:$BF$1,0))</f>
        <v>Dane's Favor</v>
      </c>
      <c r="E193" s="693"/>
      <c r="F193" s="693"/>
      <c r="G193" s="694"/>
      <c r="I193" s="241" t="str">
        <f>+INDEX(WEAP!$A:$AN,MATCH(B194,WEAP!$A:$A,0),MATCH("Weapon Skill",WEAP!$A$1:$BF$1,0))</f>
        <v>Souleater's Feast</v>
      </c>
      <c r="J193" s="243">
        <f>INDEX('W-S'!$A:$N,MATCH(I193,'W-S'!$C:$C,0),MATCH("SP Cost",'W-S'!$1:$1,0))</f>
        <v>7695</v>
      </c>
      <c r="K193" s="9"/>
      <c r="L193" s="241" t="str">
        <f>+I193</f>
        <v>Souleater's Feast</v>
      </c>
      <c r="M193" s="243">
        <f>INDEX('W-S'!$A:$N,MATCH(L193,'W-S'!$C:$C,0),MATCH("SP Cost V3",'W-S'!$1:$1,0))</f>
        <v>6000</v>
      </c>
    </row>
    <row r="194" spans="1:13" ht="22.5" x14ac:dyDescent="0.35">
      <c r="B194" s="238" t="str">
        <f>+INDEX(WEAP!$A:$AN,MATCH(B193,WEAP!$B:$B,0),MATCH("ID",WEAP!$A$1:$BF$1,0))</f>
        <v>302014_01</v>
      </c>
      <c r="C194" s="240"/>
      <c r="D194" s="692" t="str">
        <f>+INDEX(WEAP!$A:$AN,MATCH(B193,WEAP!$B:$B,0),MATCH("Family",WEAP!$A$1:$BF$1,0))&amp;" Weapon"</f>
        <v>Core 5 Weapon</v>
      </c>
      <c r="E194" s="693"/>
      <c r="F194" s="693"/>
      <c r="G194" s="694"/>
      <c r="H194" s="8"/>
      <c r="I194" s="695" t="str">
        <f>INDEX('W-S'!$A:$O,MATCH(I193,'W-S'!$C:$C,0),MATCH("Description",'W-S'!$1:$1,0))</f>
        <v>Deals 5 hits of 192% damage to enemies directly ahead.</v>
      </c>
      <c r="J194" s="696"/>
      <c r="K194" s="239"/>
      <c r="L194" s="695" t="str">
        <f>INDEX('W-S'!$A:$O,MATCH(I193,'W-S'!$C:$C,0),MATCH("Description V3",'W-S'!$1:$1,0))</f>
        <v>Deals 5 hits of 300% damage to enemies directly ahead, and lowers their paralysis resistance by 10% for 15 seconds.</v>
      </c>
      <c r="M194" s="696"/>
    </row>
    <row r="195" spans="1:13" ht="22.5" x14ac:dyDescent="0.2">
      <c r="B195" s="701" t="e" vm="53">
        <f>+_xlfn.IMAGE("https://natalie.tf/wp-content/uploads/2023/10/DLV3_Icon_Weapon_"&amp;B194&amp;".png")</f>
        <v>#VALUE!</v>
      </c>
      <c r="C195" s="240"/>
      <c r="D195" s="692" t="str">
        <f>INDEX(WEAP!$A:$AN,MATCH(B194,WEAP!$A:$A,0),MATCH("Element",WEAP!$A$1:$BF$1,0))&amp;" "&amp;INDEX(WEAP!$A:$AN,MATCH(B194,WEAP!$A:$A,0),MATCH("Type",WEAP!$A$1:$BF$1,0))</f>
        <v>None Blade</v>
      </c>
      <c r="E195" s="693"/>
      <c r="F195" s="693"/>
      <c r="G195" s="694"/>
      <c r="H195" s="8"/>
      <c r="I195" s="697"/>
      <c r="J195" s="698"/>
      <c r="K195" s="9"/>
      <c r="L195" s="697"/>
      <c r="M195" s="698"/>
    </row>
    <row r="196" spans="1:13" ht="22.5" x14ac:dyDescent="0.35">
      <c r="B196" s="702"/>
      <c r="C196" s="239"/>
      <c r="D196" s="703" t="s">
        <v>10760</v>
      </c>
      <c r="E196" s="704"/>
      <c r="F196" s="235" t="s">
        <v>10761</v>
      </c>
      <c r="G196" s="235" t="s">
        <v>10762</v>
      </c>
      <c r="I196" s="697"/>
      <c r="J196" s="698"/>
      <c r="K196" s="239"/>
      <c r="L196" s="697"/>
      <c r="M196" s="698"/>
    </row>
    <row r="197" spans="1:13" ht="22.5" x14ac:dyDescent="0.35">
      <c r="B197" s="702"/>
      <c r="C197" s="239"/>
      <c r="D197" s="705" t="s">
        <v>96</v>
      </c>
      <c r="E197" s="706"/>
      <c r="F197" s="236">
        <f>INDEX(WEAP!$A:$AN,MATCH(B194,WEAP!$A:$A,0),MATCH("HP",WEAP!$A$1:$BF$1,0))</f>
        <v>105</v>
      </c>
      <c r="G197" s="237">
        <f>INDEX(WEAP!$A:$AN,MATCH(B194,WEAP!$A:$A,0),MATCH("HP V3",WEAP!$A$1:$BF$1,0))</f>
        <v>105</v>
      </c>
      <c r="I197" s="697"/>
      <c r="J197" s="698"/>
      <c r="K197" s="239"/>
      <c r="L197" s="697"/>
      <c r="M197" s="698"/>
    </row>
    <row r="198" spans="1:13" ht="22.5" x14ac:dyDescent="0.35">
      <c r="B198" s="702"/>
      <c r="C198" s="239"/>
      <c r="D198" s="707" t="s">
        <v>97</v>
      </c>
      <c r="E198" s="708"/>
      <c r="F198" s="236">
        <f>INDEX(WEAP!$A:$AN,MATCH(B194,WEAP!$A:$A,0),MATCH("Str",WEAP!$A$1:$BF$1,0))</f>
        <v>494</v>
      </c>
      <c r="G198" s="237">
        <f>INDEX(WEAP!$A:$AN,MATCH(B194,WEAP!$A:$A,0),MATCH("Str V3",WEAP!$A$1:$BF$1,0))</f>
        <v>500</v>
      </c>
      <c r="I198" s="699"/>
      <c r="J198" s="700"/>
      <c r="K198" s="239"/>
      <c r="L198" s="699"/>
      <c r="M198" s="700"/>
    </row>
    <row r="199" spans="1:13" s="245" customFormat="1" ht="7.5" customHeight="1" x14ac:dyDescent="0.2">
      <c r="A199" s="245" t="s">
        <v>10763</v>
      </c>
    </row>
    <row r="200" spans="1:13" ht="22.5" x14ac:dyDescent="0.35">
      <c r="A200" s="244" t="str">
        <f>TEXT(A193+1,"000")</f>
        <v>029</v>
      </c>
      <c r="B200" s="238" t="str">
        <f>"W-"&amp;A200</f>
        <v>W-029</v>
      </c>
      <c r="C200" s="239"/>
      <c r="D200" s="692" t="str">
        <f>+INDEX(WEAP!$A:$AN,MATCH(B201,WEAP!$A:$A,0),MATCH("Name",WEAP!$A$1:$BF$1,0))</f>
        <v>Kris Naga</v>
      </c>
      <c r="E200" s="693"/>
      <c r="F200" s="693"/>
      <c r="G200" s="694"/>
      <c r="I200" s="241" t="str">
        <f>+INDEX(WEAP!$A:$AN,MATCH(B201,WEAP!$A:$A,0),MATCH("Weapon Skill",WEAP!$A$1:$BF$1,0))</f>
        <v>Hedgehog's Strength</v>
      </c>
      <c r="J200" s="243">
        <f>INDEX('W-S'!$A:$N,MATCH(I200,'W-S'!$C:$C,0),MATCH("SP Cost",'W-S'!$1:$1,0))</f>
        <v>7103</v>
      </c>
      <c r="K200" s="9"/>
      <c r="L200" s="241" t="str">
        <f>+I200</f>
        <v>Hedgehog's Strength</v>
      </c>
      <c r="M200" s="243">
        <f>INDEX('W-S'!$A:$N,MATCH(L200,'W-S'!$C:$C,0),MATCH("SP Cost V3",'W-S'!$1:$1,0))</f>
        <v>6000</v>
      </c>
    </row>
    <row r="201" spans="1:13" ht="22.5" x14ac:dyDescent="0.35">
      <c r="B201" s="238" t="str">
        <f>+INDEX(WEAP!$A:$AN,MATCH(B200,WEAP!$B:$B,0),MATCH("ID",WEAP!$A$1:$BF$1,0))</f>
        <v>303035_01</v>
      </c>
      <c r="C201" s="240"/>
      <c r="D201" s="692" t="str">
        <f>+INDEX(WEAP!$A:$AN,MATCH(B200,WEAP!$B:$B,0),MATCH("Family",WEAP!$A$1:$BF$1,0))&amp;" Weapon"</f>
        <v>Core 5 Weapon</v>
      </c>
      <c r="E201" s="693"/>
      <c r="F201" s="693"/>
      <c r="G201" s="694"/>
      <c r="H201" s="8"/>
      <c r="I201" s="695" t="str">
        <f>INDEX('W-S'!$A:$O,MATCH(I200,'W-S'!$C:$C,0),MATCH("Description",'W-S'!$1:$1,0))</f>
        <v>Increases the user's strength by 35% for 5 seconds.</v>
      </c>
      <c r="J201" s="696"/>
      <c r="K201" s="239"/>
      <c r="L201" s="695" t="str">
        <f>INDEX('W-S'!$A:$O,MATCH(I200,'W-S'!$C:$C,0),MATCH("Description V3",'W-S'!$1:$1,0))</f>
        <v>Adds 20% to the modifier applied to the entire team's critical damage for 15 seconds.</v>
      </c>
      <c r="M201" s="696"/>
    </row>
    <row r="202" spans="1:13" ht="22.5" x14ac:dyDescent="0.2">
      <c r="B202" s="701" t="e" vm="54">
        <f>+_xlfn.IMAGE("https://natalie.tf/wp-content/uploads/2023/10/DLV3_Icon_Weapon_"&amp;B201&amp;".png")</f>
        <v>#VALUE!</v>
      </c>
      <c r="C202" s="240"/>
      <c r="D202" s="692" t="str">
        <f>INDEX(WEAP!$A:$AN,MATCH(B201,WEAP!$A:$A,0),MATCH("Element",WEAP!$A$1:$BF$1,0))&amp;" "&amp;INDEX(WEAP!$A:$AN,MATCH(B201,WEAP!$A:$A,0),MATCH("Type",WEAP!$A$1:$BF$1,0))</f>
        <v>None Dagger</v>
      </c>
      <c r="E202" s="693"/>
      <c r="F202" s="693"/>
      <c r="G202" s="694"/>
      <c r="H202" s="8"/>
      <c r="I202" s="697"/>
      <c r="J202" s="698"/>
      <c r="K202" s="9"/>
      <c r="L202" s="697"/>
      <c r="M202" s="698"/>
    </row>
    <row r="203" spans="1:13" ht="22.5" x14ac:dyDescent="0.35">
      <c r="B203" s="702"/>
      <c r="C203" s="239"/>
      <c r="D203" s="703" t="s">
        <v>10760</v>
      </c>
      <c r="E203" s="704"/>
      <c r="F203" s="235" t="s">
        <v>10761</v>
      </c>
      <c r="G203" s="235" t="s">
        <v>10762</v>
      </c>
      <c r="I203" s="697"/>
      <c r="J203" s="698"/>
      <c r="K203" s="239"/>
      <c r="L203" s="697"/>
      <c r="M203" s="698"/>
    </row>
    <row r="204" spans="1:13" ht="22.5" x14ac:dyDescent="0.35">
      <c r="B204" s="702"/>
      <c r="C204" s="239"/>
      <c r="D204" s="705" t="s">
        <v>96</v>
      </c>
      <c r="E204" s="706"/>
      <c r="F204" s="236">
        <f>INDEX(WEAP!$A:$AN,MATCH(B201,WEAP!$A:$A,0),MATCH("HP",WEAP!$A$1:$BF$1,0))</f>
        <v>127</v>
      </c>
      <c r="G204" s="237">
        <f>INDEX(WEAP!$A:$AN,MATCH(B201,WEAP!$A:$A,0),MATCH("HP V3",WEAP!$A$1:$BF$1,0))</f>
        <v>130</v>
      </c>
      <c r="I204" s="697"/>
      <c r="J204" s="698"/>
      <c r="K204" s="239"/>
      <c r="L204" s="697"/>
      <c r="M204" s="698"/>
    </row>
    <row r="205" spans="1:13" ht="22.5" x14ac:dyDescent="0.35">
      <c r="B205" s="702"/>
      <c r="C205" s="239"/>
      <c r="D205" s="707" t="s">
        <v>97</v>
      </c>
      <c r="E205" s="708"/>
      <c r="F205" s="236">
        <f>INDEX(WEAP!$A:$AN,MATCH(B201,WEAP!$A:$A,0),MATCH("Str",WEAP!$A$1:$BF$1,0))</f>
        <v>443</v>
      </c>
      <c r="G205" s="237">
        <f>INDEX(WEAP!$A:$AN,MATCH(B201,WEAP!$A:$A,0),MATCH("Str V3",WEAP!$A$1:$BF$1,0))</f>
        <v>445</v>
      </c>
      <c r="I205" s="699"/>
      <c r="J205" s="700"/>
      <c r="K205" s="239"/>
      <c r="L205" s="699"/>
      <c r="M205" s="700"/>
    </row>
    <row r="206" spans="1:13" s="245" customFormat="1" ht="7.5" customHeight="1" x14ac:dyDescent="0.2">
      <c r="A206" s="245" t="s">
        <v>10763</v>
      </c>
    </row>
    <row r="207" spans="1:13" ht="22.5" x14ac:dyDescent="0.35">
      <c r="A207" s="244" t="str">
        <f>TEXT(A200+1,"000")</f>
        <v>030</v>
      </c>
      <c r="B207" s="238" t="str">
        <f>"W-"&amp;A207</f>
        <v>W-030</v>
      </c>
      <c r="C207" s="239"/>
      <c r="D207" s="692" t="str">
        <f>+INDEX(WEAP!$A:$AN,MATCH(B208,WEAP!$A:$A,0),MATCH("Name",WEAP!$A$1:$BF$1,0))</f>
        <v>Victory Axe</v>
      </c>
      <c r="E207" s="693"/>
      <c r="F207" s="693"/>
      <c r="G207" s="694"/>
      <c r="I207" s="241" t="str">
        <f>+INDEX(WEAP!$A:$AN,MATCH(B208,WEAP!$A:$A,0),MATCH("Weapon Skill",WEAP!$A$1:$BF$1,0))</f>
        <v>Executioner's Impact</v>
      </c>
      <c r="J207" s="243">
        <f>INDEX('W-S'!$A:$N,MATCH(I207,'W-S'!$C:$C,0),MATCH("SP Cost",'W-S'!$1:$1,0))</f>
        <v>9025</v>
      </c>
      <c r="K207" s="9"/>
      <c r="L207" s="241" t="str">
        <f>+I207</f>
        <v>Executioner's Impact</v>
      </c>
      <c r="M207" s="243">
        <f>INDEX('W-S'!$A:$N,MATCH(L207,'W-S'!$C:$C,0),MATCH("SP Cost V3",'W-S'!$1:$1,0))</f>
        <v>6000</v>
      </c>
    </row>
    <row r="208" spans="1:13" ht="22.5" x14ac:dyDescent="0.35">
      <c r="B208" s="238" t="str">
        <f>+INDEX(WEAP!$A:$AN,MATCH(B207,WEAP!$B:$B,0),MATCH("ID",WEAP!$A$1:$BF$1,0))</f>
        <v>304012_01</v>
      </c>
      <c r="C208" s="240"/>
      <c r="D208" s="692" t="str">
        <f>+INDEX(WEAP!$A:$AN,MATCH(B207,WEAP!$B:$B,0),MATCH("Family",WEAP!$A$1:$BF$1,0))&amp;" Weapon"</f>
        <v>Core 5 Weapon</v>
      </c>
      <c r="E208" s="693"/>
      <c r="F208" s="693"/>
      <c r="G208" s="694"/>
      <c r="H208" s="8"/>
      <c r="I208" s="695" t="str">
        <f>INDEX('W-S'!$A:$O,MATCH(I207,'W-S'!$C:$C,0),MATCH("Description",'W-S'!$1:$1,0))</f>
        <v>Deals 3 hits of 376% damage to enemies directly ahead.</v>
      </c>
      <c r="J208" s="696"/>
      <c r="K208" s="239"/>
      <c r="L208" s="695" t="str">
        <f>INDEX('W-S'!$A:$O,MATCH(I207,'W-S'!$C:$C,0),MATCH("Description V3",'W-S'!$1:$1,0))</f>
        <v>Deals 3 hits of 500% damage to enemies directly ahead, and reduces defense by 10% for 10 seconds. This defense reduction effect will not stack.</v>
      </c>
      <c r="M208" s="696"/>
    </row>
    <row r="209" spans="1:13" ht="22.5" x14ac:dyDescent="0.2">
      <c r="B209" s="701" t="e" vm="55">
        <f>+_xlfn.IMAGE("https://natalie.tf/wp-content/uploads/2023/10/DLV3_Icon_Weapon_"&amp;B208&amp;".png")</f>
        <v>#VALUE!</v>
      </c>
      <c r="C209" s="240"/>
      <c r="D209" s="692" t="str">
        <f>INDEX(WEAP!$A:$AN,MATCH(B208,WEAP!$A:$A,0),MATCH("Element",WEAP!$A$1:$BF$1,0))&amp;" "&amp;INDEX(WEAP!$A:$AN,MATCH(B208,WEAP!$A:$A,0),MATCH("Type",WEAP!$A$1:$BF$1,0))</f>
        <v>None Axe</v>
      </c>
      <c r="E209" s="693"/>
      <c r="F209" s="693"/>
      <c r="G209" s="694"/>
      <c r="H209" s="8"/>
      <c r="I209" s="697"/>
      <c r="J209" s="698"/>
      <c r="K209" s="9"/>
      <c r="L209" s="697"/>
      <c r="M209" s="698"/>
    </row>
    <row r="210" spans="1:13" ht="22.5" x14ac:dyDescent="0.35">
      <c r="B210" s="702"/>
      <c r="C210" s="239"/>
      <c r="D210" s="703" t="s">
        <v>10760</v>
      </c>
      <c r="E210" s="704"/>
      <c r="F210" s="235" t="s">
        <v>10761</v>
      </c>
      <c r="G210" s="235" t="s">
        <v>10762</v>
      </c>
      <c r="I210" s="697"/>
      <c r="J210" s="698"/>
      <c r="K210" s="239"/>
      <c r="L210" s="697"/>
      <c r="M210" s="698"/>
    </row>
    <row r="211" spans="1:13" ht="22.5" x14ac:dyDescent="0.35">
      <c r="B211" s="702"/>
      <c r="C211" s="239"/>
      <c r="D211" s="705" t="s">
        <v>96</v>
      </c>
      <c r="E211" s="706"/>
      <c r="F211" s="236">
        <f>INDEX(WEAP!$A:$AN,MATCH(B208,WEAP!$A:$A,0),MATCH("HP",WEAP!$A$1:$BF$1,0))</f>
        <v>136</v>
      </c>
      <c r="G211" s="237">
        <f>INDEX(WEAP!$A:$AN,MATCH(B208,WEAP!$A:$A,0),MATCH("HP V3",WEAP!$A$1:$BF$1,0))</f>
        <v>140</v>
      </c>
      <c r="I211" s="697"/>
      <c r="J211" s="698"/>
      <c r="K211" s="239"/>
      <c r="L211" s="697"/>
      <c r="M211" s="698"/>
    </row>
    <row r="212" spans="1:13" ht="22.5" x14ac:dyDescent="0.35">
      <c r="B212" s="702"/>
      <c r="C212" s="239"/>
      <c r="D212" s="707" t="s">
        <v>97</v>
      </c>
      <c r="E212" s="708"/>
      <c r="F212" s="236">
        <f>INDEX(WEAP!$A:$AN,MATCH(B208,WEAP!$A:$A,0),MATCH("Str",WEAP!$A$1:$BF$1,0))</f>
        <v>461</v>
      </c>
      <c r="G212" s="237">
        <f>INDEX(WEAP!$A:$AN,MATCH(B208,WEAP!$A:$A,0),MATCH("Str V3",WEAP!$A$1:$BF$1,0))</f>
        <v>465</v>
      </c>
      <c r="I212" s="699"/>
      <c r="J212" s="700"/>
      <c r="K212" s="239"/>
      <c r="L212" s="699"/>
      <c r="M212" s="700"/>
    </row>
    <row r="213" spans="1:13" ht="33.75" customHeight="1" x14ac:dyDescent="0.2">
      <c r="A213" t="s">
        <v>10763</v>
      </c>
    </row>
    <row r="214" spans="1:13" ht="22.5" x14ac:dyDescent="0.35">
      <c r="A214" s="244" t="str">
        <f>TEXT(A207+1,"000")</f>
        <v>031</v>
      </c>
      <c r="B214" s="238" t="str">
        <f>"W-"&amp;A214</f>
        <v>W-031</v>
      </c>
      <c r="C214" s="239"/>
      <c r="D214" s="692" t="str">
        <f>+INDEX(WEAP!$A:$AN,MATCH(B215,WEAP!$A:$A,0),MATCH("Name",WEAP!$A$1:$BF$1,0))</f>
        <v>Pactspear</v>
      </c>
      <c r="E214" s="693"/>
      <c r="F214" s="693"/>
      <c r="G214" s="694"/>
      <c r="I214" s="241" t="str">
        <f>+INDEX(WEAP!$A:$AN,MATCH(B215,WEAP!$A:$A,0),MATCH("Weapon Skill",WEAP!$A$1:$BF$1,0))</f>
        <v>Explosive Descent</v>
      </c>
      <c r="J214" s="243">
        <f>INDEX('W-S'!$A:$N,MATCH(I214,'W-S'!$C:$C,0),MATCH("SP Cost",'W-S'!$1:$1,0))</f>
        <v>8111</v>
      </c>
      <c r="K214" s="9"/>
      <c r="L214" s="241" t="str">
        <f>+I214</f>
        <v>Explosive Descent</v>
      </c>
      <c r="M214" s="243">
        <f>INDEX('W-S'!$A:$N,MATCH(L214,'W-S'!$C:$C,0),MATCH("SP Cost V3",'W-S'!$1:$1,0))</f>
        <v>6000</v>
      </c>
    </row>
    <row r="215" spans="1:13" ht="22.5" x14ac:dyDescent="0.35">
      <c r="B215" s="238" t="str">
        <f>+INDEX(WEAP!$A:$AN,MATCH(B214,WEAP!$B:$B,0),MATCH("ID",WEAP!$A$1:$BF$1,0))</f>
        <v>305015_01</v>
      </c>
      <c r="C215" s="240"/>
      <c r="D215" s="692" t="str">
        <f>+INDEX(WEAP!$A:$AN,MATCH(B214,WEAP!$B:$B,0),MATCH("Family",WEAP!$A$1:$BF$1,0))&amp;" Weapon"</f>
        <v>Core 5 Weapon</v>
      </c>
      <c r="E215" s="693"/>
      <c r="F215" s="693"/>
      <c r="G215" s="694"/>
      <c r="H215" s="8"/>
      <c r="I215" s="695" t="str">
        <f>INDEX('W-S'!$A:$O,MATCH(I214,'W-S'!$C:$C,0),MATCH("Description",'W-S'!$1:$1,0))</f>
        <v>Deals 2 hits of 415% damage to the target and nearby enemies.</v>
      </c>
      <c r="J215" s="696"/>
      <c r="K215" s="239"/>
      <c r="L215" s="695" t="str">
        <f>INDEX('W-S'!$A:$O,MATCH(I214,'W-S'!$C:$C,0),MATCH("Description V3",'W-S'!$1:$1,0))</f>
        <v>Deals 2 hits of 750% damage to the target and nearby enemies, and reduces strength by 15% for 10 seconds. This strength reduction effect will not stack.</v>
      </c>
      <c r="M215" s="696"/>
    </row>
    <row r="216" spans="1:13" ht="22.5" x14ac:dyDescent="0.2">
      <c r="B216" s="701" t="e" vm="56">
        <f>+_xlfn.IMAGE("https://natalie.tf/wp-content/uploads/2023/10/DLV3_Icon_Weapon_"&amp;B215&amp;".png")</f>
        <v>#VALUE!</v>
      </c>
      <c r="C216" s="240"/>
      <c r="D216" s="692" t="str">
        <f>INDEX(WEAP!$A:$AN,MATCH(B215,WEAP!$A:$A,0),MATCH("Element",WEAP!$A$1:$BF$1,0))&amp;" "&amp;INDEX(WEAP!$A:$AN,MATCH(B215,WEAP!$A:$A,0),MATCH("Type",WEAP!$A$1:$BF$1,0))</f>
        <v>None Lance</v>
      </c>
      <c r="E216" s="693"/>
      <c r="F216" s="693"/>
      <c r="G216" s="694"/>
      <c r="H216" s="8"/>
      <c r="I216" s="697"/>
      <c r="J216" s="698"/>
      <c r="K216" s="9"/>
      <c r="L216" s="697"/>
      <c r="M216" s="698"/>
    </row>
    <row r="217" spans="1:13" ht="22.5" x14ac:dyDescent="0.35">
      <c r="B217" s="702"/>
      <c r="C217" s="239"/>
      <c r="D217" s="703" t="s">
        <v>10760</v>
      </c>
      <c r="E217" s="704"/>
      <c r="F217" s="235" t="s">
        <v>10761</v>
      </c>
      <c r="G217" s="235" t="s">
        <v>10762</v>
      </c>
      <c r="I217" s="697"/>
      <c r="J217" s="698"/>
      <c r="K217" s="239"/>
      <c r="L217" s="697"/>
      <c r="M217" s="698"/>
    </row>
    <row r="218" spans="1:13" ht="22.5" x14ac:dyDescent="0.35">
      <c r="B218" s="702"/>
      <c r="C218" s="239"/>
      <c r="D218" s="705" t="s">
        <v>96</v>
      </c>
      <c r="E218" s="706"/>
      <c r="F218" s="236">
        <f>INDEX(WEAP!$A:$AN,MATCH(B215,WEAP!$A:$A,0),MATCH("HP",WEAP!$A$1:$BF$1,0))</f>
        <v>128</v>
      </c>
      <c r="G218" s="237">
        <f>INDEX(WEAP!$A:$AN,MATCH(B215,WEAP!$A:$A,0),MATCH("HP V3",WEAP!$A$1:$BF$1,0))</f>
        <v>130</v>
      </c>
      <c r="I218" s="697"/>
      <c r="J218" s="698"/>
      <c r="K218" s="239"/>
      <c r="L218" s="697"/>
      <c r="M218" s="698"/>
    </row>
    <row r="219" spans="1:13" ht="22.5" x14ac:dyDescent="0.35">
      <c r="B219" s="702"/>
      <c r="C219" s="239"/>
      <c r="D219" s="707" t="s">
        <v>97</v>
      </c>
      <c r="E219" s="708"/>
      <c r="F219" s="236">
        <f>INDEX(WEAP!$A:$AN,MATCH(B215,WEAP!$A:$A,0),MATCH("Str",WEAP!$A$1:$BF$1,0))</f>
        <v>461</v>
      </c>
      <c r="G219" s="237">
        <f>INDEX(WEAP!$A:$AN,MATCH(B215,WEAP!$A:$A,0),MATCH("Str V3",WEAP!$A$1:$BF$1,0))</f>
        <v>465</v>
      </c>
      <c r="I219" s="699"/>
      <c r="J219" s="700"/>
      <c r="K219" s="239"/>
      <c r="L219" s="699"/>
      <c r="M219" s="700"/>
    </row>
    <row r="220" spans="1:13" s="245" customFormat="1" ht="7.5" customHeight="1" x14ac:dyDescent="0.2">
      <c r="A220" s="245" t="s">
        <v>10763</v>
      </c>
    </row>
    <row r="221" spans="1:13" ht="22.5" x14ac:dyDescent="0.35">
      <c r="A221" s="242" t="str">
        <f>TEXT(A214+1,"000")</f>
        <v>032</v>
      </c>
      <c r="B221" s="238" t="str">
        <f>"W-"&amp;A221</f>
        <v>W-032</v>
      </c>
      <c r="C221" s="239"/>
      <c r="D221" s="692" t="str">
        <f>+INDEX(WEAP!$A:$AN,MATCH(B222,WEAP!$A:$A,0),MATCH("Name",WEAP!$A$1:$BF$1,0))</f>
        <v>Nitralica's Koto</v>
      </c>
      <c r="E221" s="693"/>
      <c r="F221" s="693"/>
      <c r="G221" s="694"/>
      <c r="I221" s="241" t="str">
        <f>+INDEX(WEAP!$A:$AN,MATCH(B222,WEAP!$A:$A,0),MATCH("Weapon Skill",WEAP!$A$1:$BF$1,0))</f>
        <v>Star Volley</v>
      </c>
      <c r="J221" s="243">
        <f>INDEX('W-S'!$A:$N,MATCH(I221,'W-S'!$C:$C,0),MATCH("SP Cost",'W-S'!$1:$1,0))</f>
        <v>7501</v>
      </c>
      <c r="K221" s="9"/>
      <c r="L221" s="241" t="str">
        <f>+I221</f>
        <v>Star Volley</v>
      </c>
      <c r="M221" s="243">
        <f>INDEX('W-S'!$A:$N,MATCH(L221,'W-S'!$C:$C,0),MATCH("SP Cost V3",'W-S'!$1:$1,0))</f>
        <v>6000</v>
      </c>
    </row>
    <row r="222" spans="1:13" ht="22.5" x14ac:dyDescent="0.35">
      <c r="B222" s="238" t="str">
        <f>+INDEX(WEAP!$A:$AN,MATCH(B221,WEAP!$B:$B,0),MATCH("ID",WEAP!$A$1:$BF$1,0))</f>
        <v>306015_01</v>
      </c>
      <c r="C222" s="240"/>
      <c r="D222" s="692" t="str">
        <f>+INDEX(WEAP!$A:$AN,MATCH(B221,WEAP!$B:$B,0),MATCH("Family",WEAP!$A$1:$BF$1,0))&amp;" Weapon"</f>
        <v>Core 5 Weapon</v>
      </c>
      <c r="E222" s="693"/>
      <c r="F222" s="693"/>
      <c r="G222" s="694"/>
      <c r="H222" s="8"/>
      <c r="I222" s="695" t="str">
        <f>INDEX('W-S'!$A:$O,MATCH(I221,'W-S'!$C:$C,0),MATCH("Description",'W-S'!$1:$1,0))</f>
        <v>Deals 3 shots of 284% damage to enemies in a line.</v>
      </c>
      <c r="J222" s="696"/>
      <c r="K222" s="239"/>
      <c r="L222" s="695" t="str">
        <f>INDEX('W-S'!$A:$O,MATCH(I221,'W-S'!$C:$C,0),MATCH("Description V3",'W-S'!$1:$1,0))</f>
        <v>Deals 3 shots of 500% damage to enemies in a line, and lowers their shadowblight resistance by 10% for 15 seconds.</v>
      </c>
      <c r="M222" s="696"/>
    </row>
    <row r="223" spans="1:13" ht="22.5" x14ac:dyDescent="0.2">
      <c r="B223" s="701" t="e" vm="57">
        <f>+_xlfn.IMAGE("https://natalie.tf/wp-content/uploads/2023/10/DLV3_Icon_Weapon_"&amp;B222&amp;".png")</f>
        <v>#VALUE!</v>
      </c>
      <c r="C223" s="240"/>
      <c r="D223" s="692" t="str">
        <f>INDEX(WEAP!$A:$AN,MATCH(B222,WEAP!$A:$A,0),MATCH("Element",WEAP!$A$1:$BF$1,0))&amp;" "&amp;INDEX(WEAP!$A:$AN,MATCH(B222,WEAP!$A:$A,0),MATCH("Type",WEAP!$A$1:$BF$1,0))</f>
        <v>None Bow</v>
      </c>
      <c r="E223" s="693"/>
      <c r="F223" s="693"/>
      <c r="G223" s="694"/>
      <c r="H223" s="8"/>
      <c r="I223" s="697"/>
      <c r="J223" s="698"/>
      <c r="K223" s="9"/>
      <c r="L223" s="697"/>
      <c r="M223" s="698"/>
    </row>
    <row r="224" spans="1:13" ht="22.5" x14ac:dyDescent="0.35">
      <c r="B224" s="702"/>
      <c r="C224" s="239"/>
      <c r="D224" s="703" t="s">
        <v>10760</v>
      </c>
      <c r="E224" s="704"/>
      <c r="F224" s="235" t="s">
        <v>10761</v>
      </c>
      <c r="G224" s="235" t="s">
        <v>10762</v>
      </c>
      <c r="I224" s="697"/>
      <c r="J224" s="698"/>
      <c r="K224" s="239"/>
      <c r="L224" s="697"/>
      <c r="M224" s="698"/>
    </row>
    <row r="225" spans="1:13" ht="22.5" x14ac:dyDescent="0.35">
      <c r="B225" s="702"/>
      <c r="C225" s="239"/>
      <c r="D225" s="705" t="s">
        <v>96</v>
      </c>
      <c r="E225" s="706"/>
      <c r="F225" s="236">
        <f>INDEX(WEAP!$A:$AN,MATCH(B222,WEAP!$A:$A,0),MATCH("HP",WEAP!$A$1:$BF$1,0))</f>
        <v>123</v>
      </c>
      <c r="G225" s="237">
        <f>INDEX(WEAP!$A:$AN,MATCH(B222,WEAP!$A:$A,0),MATCH("HP V3",WEAP!$A$1:$BF$1,0))</f>
        <v>165</v>
      </c>
      <c r="I225" s="697"/>
      <c r="J225" s="698"/>
      <c r="K225" s="239"/>
      <c r="L225" s="697"/>
      <c r="M225" s="698"/>
    </row>
    <row r="226" spans="1:13" ht="22.5" x14ac:dyDescent="0.35">
      <c r="B226" s="702"/>
      <c r="C226" s="239"/>
      <c r="D226" s="707" t="s">
        <v>97</v>
      </c>
      <c r="E226" s="708"/>
      <c r="F226" s="236">
        <f>INDEX(WEAP!$A:$AN,MATCH(B222,WEAP!$A:$A,0),MATCH("Str",WEAP!$A$1:$BF$1,0))</f>
        <v>434</v>
      </c>
      <c r="G226" s="237">
        <f>INDEX(WEAP!$A:$AN,MATCH(B222,WEAP!$A:$A,0),MATCH("Str V3",WEAP!$A$1:$BF$1,0))</f>
        <v>590</v>
      </c>
      <c r="I226" s="699"/>
      <c r="J226" s="700"/>
      <c r="K226" s="239"/>
      <c r="L226" s="699"/>
      <c r="M226" s="700"/>
    </row>
    <row r="227" spans="1:13" s="245" customFormat="1" ht="7.5" customHeight="1" x14ac:dyDescent="0.2">
      <c r="A227" s="245" t="s">
        <v>10763</v>
      </c>
    </row>
    <row r="228" spans="1:13" ht="22.5" x14ac:dyDescent="0.35">
      <c r="A228" s="244" t="str">
        <f>TEXT(A221+1,"000")</f>
        <v>033</v>
      </c>
      <c r="B228" s="238" t="str">
        <f>"W-"&amp;A228</f>
        <v>W-033</v>
      </c>
      <c r="C228" s="239"/>
      <c r="D228" s="692" t="str">
        <f>+INDEX(WEAP!$A:$AN,MATCH(B229,WEAP!$A:$A,0),MATCH("Name",WEAP!$A$1:$BF$1,0))</f>
        <v>Wand of the Torrent</v>
      </c>
      <c r="E228" s="693"/>
      <c r="F228" s="693"/>
      <c r="G228" s="694"/>
      <c r="I228" s="241" t="str">
        <f>+INDEX(WEAP!$A:$AN,MATCH(B229,WEAP!$A:$A,0),MATCH("Weapon Skill",WEAP!$A$1:$BF$1,0))</f>
        <v>Chaotic Healing</v>
      </c>
      <c r="J228" s="243">
        <f>INDEX('W-S'!$A:$N,MATCH(I228,'W-S'!$C:$C,0),MATCH("SP Cost",'W-S'!$1:$1,0))</f>
        <v>12668</v>
      </c>
      <c r="K228" s="9"/>
      <c r="L228" s="241" t="str">
        <f>+I228</f>
        <v>Chaotic Healing</v>
      </c>
      <c r="M228" s="243">
        <f>INDEX('W-S'!$A:$N,MATCH(L228,'W-S'!$C:$C,0),MATCH("SP Cost V3",'W-S'!$1:$1,0))</f>
        <v>12000</v>
      </c>
    </row>
    <row r="229" spans="1:13" ht="22.5" x14ac:dyDescent="0.35">
      <c r="B229" s="238" t="str">
        <f>+INDEX(WEAP!$A:$AN,MATCH(B228,WEAP!$B:$B,0),MATCH("ID",WEAP!$A$1:$BF$1,0))</f>
        <v>307031_01</v>
      </c>
      <c r="C229" s="240"/>
      <c r="D229" s="692" t="str">
        <f>+INDEX(WEAP!$A:$AN,MATCH(B228,WEAP!$B:$B,0),MATCH("Family",WEAP!$A$1:$BF$1,0))&amp;" Weapon"</f>
        <v>Core 5 Weapon</v>
      </c>
      <c r="E229" s="693"/>
      <c r="F229" s="693"/>
      <c r="G229" s="694"/>
      <c r="H229" s="8"/>
      <c r="I229" s="695" t="str">
        <f>INDEX('W-S'!$A:$O,MATCH(I228,'W-S'!$C:$C,0),MATCH("Description",'W-S'!$1:$1,0))</f>
        <v>Restores the user's HP with 90% Recovery Potency.</v>
      </c>
      <c r="J229" s="696"/>
      <c r="K229" s="239"/>
      <c r="L229" s="695" t="str">
        <f>INDEX('W-S'!$A:$O,MATCH(I228,'W-S'!$C:$C,0),MATCH("Description V3",'W-S'!$1:$1,0))</f>
        <v>Restores HP to the entire team with 90% Recovery Potency.</v>
      </c>
      <c r="M229" s="696"/>
    </row>
    <row r="230" spans="1:13" ht="22.5" x14ac:dyDescent="0.2">
      <c r="B230" s="701" t="e" vm="58">
        <f>+_xlfn.IMAGE("https://natalie.tf/wp-content/uploads/2023/10/DLV3_Icon_Weapon_"&amp;B229&amp;".png")</f>
        <v>#VALUE!</v>
      </c>
      <c r="C230" s="240"/>
      <c r="D230" s="692" t="str">
        <f>INDEX(WEAP!$A:$AN,MATCH(B229,WEAP!$A:$A,0),MATCH("Element",WEAP!$A$1:$BF$1,0))&amp;" "&amp;INDEX(WEAP!$A:$AN,MATCH(B229,WEAP!$A:$A,0),MATCH("Type",WEAP!$A$1:$BF$1,0))</f>
        <v>None Wand</v>
      </c>
      <c r="E230" s="693"/>
      <c r="F230" s="693"/>
      <c r="G230" s="694"/>
      <c r="H230" s="8"/>
      <c r="I230" s="697"/>
      <c r="J230" s="698"/>
      <c r="K230" s="9"/>
      <c r="L230" s="697"/>
      <c r="M230" s="698"/>
    </row>
    <row r="231" spans="1:13" ht="22.5" x14ac:dyDescent="0.35">
      <c r="B231" s="702"/>
      <c r="C231" s="239"/>
      <c r="D231" s="703" t="s">
        <v>10760</v>
      </c>
      <c r="E231" s="704"/>
      <c r="F231" s="235" t="s">
        <v>10761</v>
      </c>
      <c r="G231" s="235" t="s">
        <v>10762</v>
      </c>
      <c r="I231" s="697"/>
      <c r="J231" s="698"/>
      <c r="K231" s="239"/>
      <c r="L231" s="697"/>
      <c r="M231" s="698"/>
    </row>
    <row r="232" spans="1:13" ht="22.5" x14ac:dyDescent="0.35">
      <c r="B232" s="702"/>
      <c r="C232" s="239"/>
      <c r="D232" s="705" t="s">
        <v>96</v>
      </c>
      <c r="E232" s="706"/>
      <c r="F232" s="236">
        <f>INDEX(WEAP!$A:$AN,MATCH(B229,WEAP!$A:$A,0),MATCH("HP",WEAP!$A$1:$BF$1,0))</f>
        <v>112</v>
      </c>
      <c r="G232" s="237">
        <f>INDEX(WEAP!$A:$AN,MATCH(B229,WEAP!$A:$A,0),MATCH("HP V3",WEAP!$A$1:$BF$1,0))</f>
        <v>115</v>
      </c>
      <c r="I232" s="697"/>
      <c r="J232" s="698"/>
      <c r="K232" s="239"/>
      <c r="L232" s="697"/>
      <c r="M232" s="698"/>
    </row>
    <row r="233" spans="1:13" ht="22.5" x14ac:dyDescent="0.35">
      <c r="B233" s="702"/>
      <c r="C233" s="239"/>
      <c r="D233" s="707" t="s">
        <v>97</v>
      </c>
      <c r="E233" s="708"/>
      <c r="F233" s="236">
        <f>INDEX(WEAP!$A:$AN,MATCH(B229,WEAP!$A:$A,0),MATCH("Str",WEAP!$A$1:$BF$1,0))</f>
        <v>480</v>
      </c>
      <c r="G233" s="237">
        <f>INDEX(WEAP!$A:$AN,MATCH(B229,WEAP!$A:$A,0),MATCH("Str V3",WEAP!$A$1:$BF$1,0))</f>
        <v>480</v>
      </c>
      <c r="I233" s="699"/>
      <c r="J233" s="700"/>
      <c r="K233" s="239"/>
      <c r="L233" s="699"/>
      <c r="M233" s="700"/>
    </row>
    <row r="234" spans="1:13" s="245" customFormat="1" ht="7.5" customHeight="1" x14ac:dyDescent="0.2">
      <c r="A234" s="245" t="s">
        <v>10763</v>
      </c>
    </row>
    <row r="235" spans="1:13" ht="22.5" x14ac:dyDescent="0.35">
      <c r="A235" s="244" t="str">
        <f>TEXT(A228+1,"000")</f>
        <v>034</v>
      </c>
      <c r="B235" s="238" t="str">
        <f>"W-"&amp;A235</f>
        <v>W-034</v>
      </c>
      <c r="C235" s="239"/>
      <c r="D235" s="692" t="str">
        <f>+INDEX(WEAP!$A:$AN,MATCH(B236,WEAP!$A:$A,0),MATCH("Name",WEAP!$A$1:$BF$1,0))</f>
        <v>Cane of Soul's Repose</v>
      </c>
      <c r="E235" s="693"/>
      <c r="F235" s="693"/>
      <c r="G235" s="694"/>
      <c r="I235" s="241" t="str">
        <f>+INDEX(WEAP!$A:$AN,MATCH(B236,WEAP!$A:$A,0),MATCH("Weapon Skill",WEAP!$A$1:$BF$1,0))</f>
        <v>Ethereal Circle</v>
      </c>
      <c r="J235" s="243">
        <f>INDEX('W-S'!$A:$N,MATCH(I235,'W-S'!$C:$C,0),MATCH("SP Cost",'W-S'!$1:$1,0))</f>
        <v>15205</v>
      </c>
      <c r="K235" s="9"/>
      <c r="L235" s="241" t="str">
        <f>+I235</f>
        <v>Ethereal Circle</v>
      </c>
      <c r="M235" s="243">
        <f>INDEX('W-S'!$A:$N,MATCH(L235,'W-S'!$C:$C,0),MATCH("SP Cost V3",'W-S'!$1:$1,0))</f>
        <v>6000</v>
      </c>
    </row>
    <row r="236" spans="1:13" ht="22.5" x14ac:dyDescent="0.35">
      <c r="B236" s="238" t="str">
        <f>+INDEX(WEAP!$A:$AN,MATCH(B235,WEAP!$B:$B,0),MATCH("ID",WEAP!$A$1:$BF$1,0))</f>
        <v>308030_01</v>
      </c>
      <c r="C236" s="240"/>
      <c r="D236" s="692" t="str">
        <f>+INDEX(WEAP!$A:$AN,MATCH(B235,WEAP!$B:$B,0),MATCH("Family",WEAP!$A$1:$BF$1,0))&amp;" Weapon"</f>
        <v>Core 5 Weapon</v>
      </c>
      <c r="E236" s="693"/>
      <c r="F236" s="693"/>
      <c r="G236" s="694"/>
      <c r="H236" s="8"/>
      <c r="I236" s="695" t="str">
        <f>INDEX('W-S'!$A:$O,MATCH(I235,'W-S'!$C:$C,0),MATCH("Description",'W-S'!$1:$1,0))</f>
        <v>Deals 1 hit of 680% damage to surrounding enemies.</v>
      </c>
      <c r="J236" s="696"/>
      <c r="K236" s="239"/>
      <c r="L236" s="695" t="str">
        <f>INDEX('W-S'!$A:$O,MATCH(I235,'W-S'!$C:$C,0),MATCH("Description V3",'W-S'!$1:$1,0))</f>
        <v>Deals 1 hit of 1500% damage to surrounding enemies, and lowers their flashburn resistance by 10% for 15 seconds.</v>
      </c>
      <c r="M236" s="696"/>
    </row>
    <row r="237" spans="1:13" ht="22.5" x14ac:dyDescent="0.2">
      <c r="B237" s="701" t="e" vm="59">
        <f>+_xlfn.IMAGE("https://natalie.tf/wp-content/uploads/2023/10/DLV3_Icon_Weapon_"&amp;B236&amp;".png")</f>
        <v>#VALUE!</v>
      </c>
      <c r="C237" s="240"/>
      <c r="D237" s="692" t="str">
        <f>INDEX(WEAP!$A:$AN,MATCH(B236,WEAP!$A:$A,0),MATCH("Element",WEAP!$A$1:$BF$1,0))&amp;" "&amp;INDEX(WEAP!$A:$AN,MATCH(B236,WEAP!$A:$A,0),MATCH("Type",WEAP!$A$1:$BF$1,0))</f>
        <v>None Staff</v>
      </c>
      <c r="E237" s="693"/>
      <c r="F237" s="693"/>
      <c r="G237" s="694"/>
      <c r="H237" s="8"/>
      <c r="I237" s="697"/>
      <c r="J237" s="698"/>
      <c r="K237" s="9"/>
      <c r="L237" s="697"/>
      <c r="M237" s="698"/>
    </row>
    <row r="238" spans="1:13" ht="22.5" x14ac:dyDescent="0.35">
      <c r="B238" s="702"/>
      <c r="C238" s="239"/>
      <c r="D238" s="703" t="s">
        <v>10760</v>
      </c>
      <c r="E238" s="704"/>
      <c r="F238" s="235" t="s">
        <v>10761</v>
      </c>
      <c r="G238" s="235" t="s">
        <v>10762</v>
      </c>
      <c r="I238" s="697"/>
      <c r="J238" s="698"/>
      <c r="K238" s="239"/>
      <c r="L238" s="697"/>
      <c r="M238" s="698"/>
    </row>
    <row r="239" spans="1:13" ht="22.5" x14ac:dyDescent="0.35">
      <c r="B239" s="702"/>
      <c r="C239" s="239"/>
      <c r="D239" s="705" t="s">
        <v>96</v>
      </c>
      <c r="E239" s="706"/>
      <c r="F239" s="236">
        <f>INDEX(WEAP!$A:$AN,MATCH(B236,WEAP!$A:$A,0),MATCH("HP",WEAP!$A$1:$BF$1,0))</f>
        <v>149</v>
      </c>
      <c r="G239" s="237">
        <f>INDEX(WEAP!$A:$AN,MATCH(B236,WEAP!$A:$A,0),MATCH("HP V3",WEAP!$A$1:$BF$1,0))</f>
        <v>150</v>
      </c>
      <c r="I239" s="697"/>
      <c r="J239" s="698"/>
      <c r="K239" s="239"/>
      <c r="L239" s="697"/>
      <c r="M239" s="698"/>
    </row>
    <row r="240" spans="1:13" ht="22.5" x14ac:dyDescent="0.35">
      <c r="B240" s="702"/>
      <c r="C240" s="239"/>
      <c r="D240" s="707" t="s">
        <v>97</v>
      </c>
      <c r="E240" s="708"/>
      <c r="F240" s="236">
        <f>INDEX(WEAP!$A:$AN,MATCH(B236,WEAP!$A:$A,0),MATCH("Str",WEAP!$A$1:$BF$1,0))</f>
        <v>408</v>
      </c>
      <c r="G240" s="237">
        <f>INDEX(WEAP!$A:$AN,MATCH(B236,WEAP!$A:$A,0),MATCH("Str V3",WEAP!$A$1:$BF$1,0))</f>
        <v>410</v>
      </c>
      <c r="I240" s="699"/>
      <c r="J240" s="700"/>
      <c r="K240" s="239"/>
      <c r="L240" s="699"/>
      <c r="M240" s="700"/>
    </row>
    <row r="241" spans="1:13" s="245" customFormat="1" ht="7.5" customHeight="1" x14ac:dyDescent="0.2">
      <c r="A241" s="245" t="s">
        <v>10763</v>
      </c>
    </row>
    <row r="242" spans="1:13" ht="22.5" x14ac:dyDescent="0.35">
      <c r="A242" s="244" t="str">
        <f>TEXT(A235+1,"000")</f>
        <v>035</v>
      </c>
      <c r="B242" s="238" t="str">
        <f>"W-"&amp;A242</f>
        <v>W-035</v>
      </c>
      <c r="C242" s="239"/>
      <c r="D242" s="692" t="str">
        <f>+INDEX(WEAP!$A:$AN,MATCH(B243,WEAP!$A:$A,0),MATCH("Name",WEAP!$A$1:$BF$1,0))</f>
        <v>Chanzelian Caster</v>
      </c>
      <c r="E242" s="693"/>
      <c r="F242" s="693"/>
      <c r="G242" s="694"/>
      <c r="I242" s="241" t="str">
        <f>+INDEX(WEAP!$A:$AN,MATCH(B243,WEAP!$A:$A,0),MATCH("Weapon Skill",WEAP!$A$1:$BF$1,0))</f>
        <v>Chanzelian Strength</v>
      </c>
      <c r="J242" s="243">
        <f>INDEX('W-S'!$A:$N,MATCH(I242,'W-S'!$C:$C,0),MATCH("SP Cost",'W-S'!$1:$1,0))</f>
        <v>8413</v>
      </c>
      <c r="K242" s="9"/>
      <c r="L242" s="241" t="str">
        <f>+I242</f>
        <v>Chanzelian Strength</v>
      </c>
      <c r="M242" s="243">
        <f>INDEX('W-S'!$A:$N,MATCH(L242,'W-S'!$C:$C,0),MATCH("SP Cost V3",'W-S'!$1:$1,0))</f>
        <v>6000</v>
      </c>
    </row>
    <row r="243" spans="1:13" ht="22.5" x14ac:dyDescent="0.35">
      <c r="B243" s="238" t="str">
        <f>+INDEX(WEAP!$A:$AN,MATCH(B242,WEAP!$B:$B,0),MATCH("ID",WEAP!$A$1:$BF$1,0))</f>
        <v>309009_01</v>
      </c>
      <c r="C243" s="240"/>
      <c r="D243" s="692" t="str">
        <f>+INDEX(WEAP!$A:$AN,MATCH(B242,WEAP!$B:$B,0),MATCH("Family",WEAP!$A$1:$BF$1,0))&amp;" Weapon"</f>
        <v>Core 5 Weapon</v>
      </c>
      <c r="E243" s="693"/>
      <c r="F243" s="693"/>
      <c r="G243" s="694"/>
      <c r="H243" s="8"/>
      <c r="I243" s="695" t="str">
        <f>INDEX('W-S'!$A:$O,MATCH(I242,'W-S'!$C:$C,0),MATCH("Description",'W-S'!$1:$1,0))</f>
        <v>Increases the user's strength by 15% for 10 seconds.</v>
      </c>
      <c r="J243" s="696"/>
      <c r="K243" s="239"/>
      <c r="L243" s="695" t="str">
        <f>INDEX('W-S'!$A:$O,MATCH(I242,'W-S'!$C:$C,0),MATCH("Description V3",'W-S'!$1:$1,0))</f>
        <v>Increases the entire team's critical rate by 20% for 15 seconds.</v>
      </c>
      <c r="M243" s="696"/>
    </row>
    <row r="244" spans="1:13" ht="22.5" x14ac:dyDescent="0.2">
      <c r="B244" s="701" t="e" vm="60">
        <f>+_xlfn.IMAGE("https://natalie.tf/wp-content/uploads/2023/10/DLV3_Icon_Weapon_"&amp;B243&amp;".png")</f>
        <v>#VALUE!</v>
      </c>
      <c r="C244" s="240"/>
      <c r="D244" s="692" t="str">
        <f>INDEX(WEAP!$A:$AN,MATCH(B243,WEAP!$A:$A,0),MATCH("Element",WEAP!$A$1:$BF$1,0))&amp;" "&amp;INDEX(WEAP!$A:$AN,MATCH(B243,WEAP!$A:$A,0),MATCH("Type",WEAP!$A$1:$BF$1,0))</f>
        <v>None Manacaster</v>
      </c>
      <c r="E244" s="693"/>
      <c r="F244" s="693"/>
      <c r="G244" s="694"/>
      <c r="H244" s="8"/>
      <c r="I244" s="697"/>
      <c r="J244" s="698"/>
      <c r="K244" s="9"/>
      <c r="L244" s="697"/>
      <c r="M244" s="698"/>
    </row>
    <row r="245" spans="1:13" ht="22.5" x14ac:dyDescent="0.35">
      <c r="B245" s="702"/>
      <c r="C245" s="239"/>
      <c r="D245" s="703" t="s">
        <v>10760</v>
      </c>
      <c r="E245" s="704"/>
      <c r="F245" s="235" t="s">
        <v>10761</v>
      </c>
      <c r="G245" s="235" t="s">
        <v>10762</v>
      </c>
      <c r="I245" s="697"/>
      <c r="J245" s="698"/>
      <c r="K245" s="239"/>
      <c r="L245" s="697"/>
      <c r="M245" s="698"/>
    </row>
    <row r="246" spans="1:13" ht="22.5" x14ac:dyDescent="0.35">
      <c r="B246" s="702"/>
      <c r="C246" s="239"/>
      <c r="D246" s="705" t="s">
        <v>96</v>
      </c>
      <c r="E246" s="706"/>
      <c r="F246" s="236">
        <f>INDEX(WEAP!$A:$AN,MATCH(B243,WEAP!$A:$A,0),MATCH("HP",WEAP!$A$1:$BF$1,0))</f>
        <v>116</v>
      </c>
      <c r="G246" s="237">
        <f>INDEX(WEAP!$A:$AN,MATCH(B243,WEAP!$A:$A,0),MATCH("HP V3",WEAP!$A$1:$BF$1,0))</f>
        <v>120</v>
      </c>
      <c r="I246" s="697"/>
      <c r="J246" s="698"/>
      <c r="K246" s="239"/>
      <c r="L246" s="697"/>
      <c r="M246" s="698"/>
    </row>
    <row r="247" spans="1:13" ht="22.5" x14ac:dyDescent="0.35">
      <c r="B247" s="702"/>
      <c r="C247" s="239"/>
      <c r="D247" s="707" t="s">
        <v>97</v>
      </c>
      <c r="E247" s="708"/>
      <c r="F247" s="236">
        <f>INDEX(WEAP!$A:$AN,MATCH(B243,WEAP!$A:$A,0),MATCH("Str",WEAP!$A$1:$BF$1,0))</f>
        <v>470</v>
      </c>
      <c r="G247" s="237">
        <f>INDEX(WEAP!$A:$AN,MATCH(B243,WEAP!$A:$A,0),MATCH("Str V3",WEAP!$A$1:$BF$1,0))</f>
        <v>470</v>
      </c>
      <c r="I247" s="699"/>
      <c r="J247" s="700"/>
      <c r="K247" s="239"/>
      <c r="L247" s="699"/>
      <c r="M247" s="700"/>
    </row>
    <row r="248" spans="1:13" ht="33.75" customHeight="1" x14ac:dyDescent="0.2">
      <c r="A248" t="s">
        <v>10763</v>
      </c>
    </row>
    <row r="249" spans="1:13" ht="22.5" x14ac:dyDescent="0.35">
      <c r="A249" s="244" t="str">
        <f>TEXT(A242+1,"000")</f>
        <v>036</v>
      </c>
      <c r="B249" s="238" t="str">
        <f>"W-"&amp;A249</f>
        <v>W-036</v>
      </c>
      <c r="C249" s="239"/>
      <c r="D249" s="692" t="str">
        <f>+INDEX(WEAP!$A:$AN,MATCH(B250,WEAP!$A:$A,0),MATCH("Name",WEAP!$A$1:$BF$1,0))</f>
        <v>Levatein</v>
      </c>
      <c r="E249" s="693"/>
      <c r="F249" s="693"/>
      <c r="G249" s="694"/>
      <c r="I249" s="241" t="str">
        <f>+INDEX(WEAP!$A:$AN,MATCH(B250,WEAP!$A:$A,0),MATCH("Weapon Skill",WEAP!$A$1:$BF$1,0))</f>
        <v>Calamitous Cleaver</v>
      </c>
      <c r="J249" s="243">
        <f>INDEX('W-S'!$A:$N,MATCH(I249,'W-S'!$C:$C,0),MATCH("SP Cost",'W-S'!$1:$1,0))</f>
        <v>6847</v>
      </c>
      <c r="K249" s="9"/>
      <c r="L249" s="241" t="str">
        <f>+I249</f>
        <v>Calamitous Cleaver</v>
      </c>
      <c r="M249" s="243">
        <f>INDEX('W-S'!$A:$N,MATCH(L249,'W-S'!$C:$C,0),MATCH("SP Cost V3",'W-S'!$1:$1,0))</f>
        <v>6000</v>
      </c>
    </row>
    <row r="250" spans="1:13" ht="22.5" x14ac:dyDescent="0.35">
      <c r="B250" s="238" t="str">
        <f>+INDEX(WEAP!$A:$AN,MATCH(B249,WEAP!$B:$B,0),MATCH("ID",WEAP!$A$1:$BF$1,0))</f>
        <v>301032_01</v>
      </c>
      <c r="C250" s="240"/>
      <c r="D250" s="692" t="str">
        <f>+INDEX(WEAP!$A:$AN,MATCH(B249,WEAP!$B:$B,0),MATCH("Family",WEAP!$A$1:$BF$1,0))&amp;" Weapon"</f>
        <v>Core E Weapon</v>
      </c>
      <c r="E250" s="693"/>
      <c r="F250" s="693"/>
      <c r="G250" s="694"/>
      <c r="H250" s="8"/>
      <c r="I250" s="695" t="str">
        <f>INDEX('W-S'!$A:$O,MATCH(I249,'W-S'!$C:$C,0),MATCH("Description",'W-S'!$1:$1,0))</f>
        <v>Deals 5 hits of 165% flame damage to enemies directly ahead.</v>
      </c>
      <c r="J250" s="696"/>
      <c r="K250" s="239"/>
      <c r="L250" s="695" t="str">
        <f>INDEX('W-S'!$A:$O,MATCH(I249,'W-S'!$C:$C,0),MATCH("Description V3",'W-S'!$1:$1,0))</f>
        <v>Deals 5 hits of 300% flame damage to enemies directly ahead, and adds 20% to the modifier applied to damage against wind-attuned enemies for 20 seconds.</v>
      </c>
      <c r="M250" s="696"/>
    </row>
    <row r="251" spans="1:13" ht="22.5" x14ac:dyDescent="0.2">
      <c r="B251" s="701" t="e" vm="61">
        <f>+_xlfn.IMAGE("https://natalie.tf/wp-content/uploads/2023/10/DLV3_Icon_Weapon_"&amp;B250&amp;".png")</f>
        <v>#VALUE!</v>
      </c>
      <c r="C251" s="240"/>
      <c r="D251" s="692" t="str">
        <f>INDEX(WEAP!$A:$AN,MATCH(B250,WEAP!$A:$A,0),MATCH("Element",WEAP!$A$1:$BF$1,0))&amp;" "&amp;INDEX(WEAP!$A:$AN,MATCH(B250,WEAP!$A:$A,0),MATCH("Type",WEAP!$A$1:$BF$1,0))</f>
        <v>Flame Sword</v>
      </c>
      <c r="E251" s="693"/>
      <c r="F251" s="693"/>
      <c r="G251" s="694"/>
      <c r="H251" s="8"/>
      <c r="I251" s="697"/>
      <c r="J251" s="698"/>
      <c r="K251" s="9"/>
      <c r="L251" s="697"/>
      <c r="M251" s="698"/>
    </row>
    <row r="252" spans="1:13" ht="22.5" x14ac:dyDescent="0.35">
      <c r="B252" s="702"/>
      <c r="C252" s="239"/>
      <c r="D252" s="703" t="s">
        <v>10760</v>
      </c>
      <c r="E252" s="704"/>
      <c r="F252" s="235" t="s">
        <v>10761</v>
      </c>
      <c r="G252" s="235" t="s">
        <v>10762</v>
      </c>
      <c r="I252" s="697"/>
      <c r="J252" s="698"/>
      <c r="K252" s="239"/>
      <c r="L252" s="697"/>
      <c r="M252" s="698"/>
    </row>
    <row r="253" spans="1:13" ht="22.5" x14ac:dyDescent="0.35">
      <c r="B253" s="702"/>
      <c r="C253" s="239"/>
      <c r="D253" s="705" t="s">
        <v>96</v>
      </c>
      <c r="E253" s="706"/>
      <c r="F253" s="236">
        <f>INDEX(WEAP!$A:$AN,MATCH(B250,WEAP!$A:$A,0),MATCH("HP",WEAP!$A$1:$BF$1,0))</f>
        <v>157</v>
      </c>
      <c r="G253" s="237">
        <f>INDEX(WEAP!$A:$AN,MATCH(B250,WEAP!$A:$A,0),MATCH("HP V3",WEAP!$A$1:$BF$1,0))</f>
        <v>175</v>
      </c>
      <c r="I253" s="697"/>
      <c r="J253" s="698"/>
      <c r="K253" s="239"/>
      <c r="L253" s="697"/>
      <c r="M253" s="698"/>
    </row>
    <row r="254" spans="1:13" ht="22.5" x14ac:dyDescent="0.35">
      <c r="B254" s="702"/>
      <c r="C254" s="239"/>
      <c r="D254" s="707" t="s">
        <v>97</v>
      </c>
      <c r="E254" s="708"/>
      <c r="F254" s="236">
        <f>INDEX(WEAP!$A:$AN,MATCH(B250,WEAP!$A:$A,0),MATCH("Str",WEAP!$A$1:$BF$1,0))</f>
        <v>612</v>
      </c>
      <c r="G254" s="237">
        <f>INDEX(WEAP!$A:$AN,MATCH(B250,WEAP!$A:$A,0),MATCH("Str V3",WEAP!$A$1:$BF$1,0))</f>
        <v>615</v>
      </c>
      <c r="I254" s="699"/>
      <c r="J254" s="700"/>
      <c r="K254" s="239"/>
      <c r="L254" s="699"/>
      <c r="M254" s="700"/>
    </row>
    <row r="255" spans="1:13" s="245" customFormat="1" ht="7.5" customHeight="1" x14ac:dyDescent="0.2">
      <c r="A255" s="245" t="s">
        <v>10763</v>
      </c>
    </row>
    <row r="256" spans="1:13" ht="22.5" x14ac:dyDescent="0.35">
      <c r="A256" s="242" t="str">
        <f>TEXT(A249+1,"000")</f>
        <v>037</v>
      </c>
      <c r="B256" s="238" t="str">
        <f>"W-"&amp;A256</f>
        <v>W-037</v>
      </c>
      <c r="C256" s="239"/>
      <c r="D256" s="692" t="str">
        <f>+INDEX(WEAP!$A:$AN,MATCH(B257,WEAP!$A:$A,0),MATCH("Name",WEAP!$A$1:$BF$1,0))</f>
        <v>Heaven's Acuity</v>
      </c>
      <c r="E256" s="693"/>
      <c r="F256" s="693"/>
      <c r="G256" s="694"/>
      <c r="I256" s="241" t="str">
        <f>+INDEX(WEAP!$A:$AN,MATCH(B257,WEAP!$A:$A,0),MATCH("Weapon Skill",WEAP!$A$1:$BF$1,0))</f>
        <v>Heaven's Flames</v>
      </c>
      <c r="J256" s="243">
        <f>INDEX('W-S'!$A:$N,MATCH(I256,'W-S'!$C:$C,0),MATCH("SP Cost",'W-S'!$1:$1,0))</f>
        <v>8030</v>
      </c>
      <c r="K256" s="9"/>
      <c r="L256" s="241" t="str">
        <f>+I256</f>
        <v>Heaven's Flames</v>
      </c>
      <c r="M256" s="243">
        <f>INDEX('W-S'!$A:$N,MATCH(L256,'W-S'!$C:$C,0),MATCH("SP Cost V3",'W-S'!$1:$1,0))</f>
        <v>6000</v>
      </c>
    </row>
    <row r="257" spans="1:13" ht="22.5" x14ac:dyDescent="0.35">
      <c r="B257" s="238" t="str">
        <f>+INDEX(WEAP!$A:$AN,MATCH(B256,WEAP!$B:$B,0),MATCH("ID",WEAP!$A$1:$BF$1,0))</f>
        <v>302013_01</v>
      </c>
      <c r="C257" s="240"/>
      <c r="D257" s="692" t="str">
        <f>+INDEX(WEAP!$A:$AN,MATCH(B256,WEAP!$B:$B,0),MATCH("Family",WEAP!$A$1:$BF$1,0))&amp;" Weapon"</f>
        <v>Core E Weapon</v>
      </c>
      <c r="E257" s="693"/>
      <c r="F257" s="693"/>
      <c r="G257" s="694"/>
      <c r="H257" s="8"/>
      <c r="I257" s="695" t="str">
        <f>INDEX('W-S'!$A:$O,MATCH(I256,'W-S'!$C:$C,0),MATCH("Description",'W-S'!$1:$1,0))</f>
        <v>Deals 3 hits of 354% flame damage to enemies in a line.</v>
      </c>
      <c r="J257" s="696"/>
      <c r="K257" s="239"/>
      <c r="L257" s="695" t="str">
        <f>INDEX('W-S'!$A:$O,MATCH(I256,'W-S'!$C:$C,0),MATCH("Description V3",'W-S'!$1:$1,0))</f>
        <v>Deals 3 hits of 500% flame damage to enemies in a line, and adds 20% to the modifier applied to damage against wind-attuned enemies for 20 seconds.</v>
      </c>
      <c r="M257" s="696"/>
    </row>
    <row r="258" spans="1:13" ht="22.5" x14ac:dyDescent="0.2">
      <c r="B258" s="701" t="e" vm="62">
        <f>+_xlfn.IMAGE("https://natalie.tf/wp-content/uploads/2023/10/DLV3_Icon_Weapon_"&amp;B257&amp;".png")</f>
        <v>#VALUE!</v>
      </c>
      <c r="C258" s="240"/>
      <c r="D258" s="692" t="str">
        <f>INDEX(WEAP!$A:$AN,MATCH(B257,WEAP!$A:$A,0),MATCH("Element",WEAP!$A$1:$BF$1,0))&amp;" "&amp;INDEX(WEAP!$A:$AN,MATCH(B257,WEAP!$A:$A,0),MATCH("Type",WEAP!$A$1:$BF$1,0))</f>
        <v>Flame Blade</v>
      </c>
      <c r="E258" s="693"/>
      <c r="F258" s="693"/>
      <c r="G258" s="694"/>
      <c r="H258" s="8"/>
      <c r="I258" s="697"/>
      <c r="J258" s="698"/>
      <c r="K258" s="9"/>
      <c r="L258" s="697"/>
      <c r="M258" s="698"/>
    </row>
    <row r="259" spans="1:13" ht="22.5" x14ac:dyDescent="0.35">
      <c r="B259" s="702"/>
      <c r="C259" s="239"/>
      <c r="D259" s="703" t="s">
        <v>10760</v>
      </c>
      <c r="E259" s="704"/>
      <c r="F259" s="235" t="s">
        <v>10761</v>
      </c>
      <c r="G259" s="235" t="s">
        <v>10762</v>
      </c>
      <c r="I259" s="697"/>
      <c r="J259" s="698"/>
      <c r="K259" s="239"/>
      <c r="L259" s="697"/>
      <c r="M259" s="698"/>
    </row>
    <row r="260" spans="1:13" ht="22.5" x14ac:dyDescent="0.35">
      <c r="B260" s="702"/>
      <c r="C260" s="239"/>
      <c r="D260" s="705" t="s">
        <v>96</v>
      </c>
      <c r="E260" s="706"/>
      <c r="F260" s="236">
        <f>INDEX(WEAP!$A:$AN,MATCH(B257,WEAP!$A:$A,0),MATCH("HP",WEAP!$A$1:$BF$1,0))</f>
        <v>145</v>
      </c>
      <c r="G260" s="237">
        <f>INDEX(WEAP!$A:$AN,MATCH(B257,WEAP!$A:$A,0),MATCH("HP V3",WEAP!$A$1:$BF$1,0))</f>
        <v>160</v>
      </c>
      <c r="I260" s="697"/>
      <c r="J260" s="698"/>
      <c r="K260" s="239"/>
      <c r="L260" s="697"/>
      <c r="M260" s="698"/>
    </row>
    <row r="261" spans="1:13" ht="22.5" x14ac:dyDescent="0.35">
      <c r="B261" s="702"/>
      <c r="C261" s="239"/>
      <c r="D261" s="707" t="s">
        <v>97</v>
      </c>
      <c r="E261" s="708"/>
      <c r="F261" s="236">
        <f>INDEX(WEAP!$A:$AN,MATCH(B257,WEAP!$A:$A,0),MATCH("Str",WEAP!$A$1:$BF$1,0))</f>
        <v>630</v>
      </c>
      <c r="G261" s="237">
        <f>INDEX(WEAP!$A:$AN,MATCH(B257,WEAP!$A:$A,0),MATCH("Str V3",WEAP!$A$1:$BF$1,0))</f>
        <v>650</v>
      </c>
      <c r="I261" s="699"/>
      <c r="J261" s="700"/>
      <c r="K261" s="239"/>
      <c r="L261" s="699"/>
      <c r="M261" s="700"/>
    </row>
    <row r="262" spans="1:13" s="245" customFormat="1" ht="7.5" customHeight="1" x14ac:dyDescent="0.2">
      <c r="A262" s="245" t="s">
        <v>10763</v>
      </c>
    </row>
    <row r="263" spans="1:13" ht="22.5" x14ac:dyDescent="0.35">
      <c r="A263" s="244" t="str">
        <f>TEXT(A256+1,"000")</f>
        <v>038</v>
      </c>
      <c r="B263" s="238" t="str">
        <f>"W-"&amp;A263</f>
        <v>W-038</v>
      </c>
      <c r="C263" s="239"/>
      <c r="D263" s="692" t="str">
        <f>+INDEX(WEAP!$A:$AN,MATCH(B264,WEAP!$A:$A,0),MATCH("Name",WEAP!$A$1:$BF$1,0))</f>
        <v>Aeternal Flame</v>
      </c>
      <c r="E263" s="693"/>
      <c r="F263" s="693"/>
      <c r="G263" s="694"/>
      <c r="I263" s="241" t="str">
        <f>+INDEX(WEAP!$A:$AN,MATCH(B264,WEAP!$A:$A,0),MATCH("Weapon Skill",WEAP!$A$1:$BF$1,0))</f>
        <v>Aeternal Assault</v>
      </c>
      <c r="J263" s="243">
        <f>INDEX('W-S'!$A:$N,MATCH(I263,'W-S'!$C:$C,0),MATCH("SP Cost",'W-S'!$1:$1,0))</f>
        <v>7323</v>
      </c>
      <c r="K263" s="9"/>
      <c r="L263" s="241" t="str">
        <f>+I263</f>
        <v>Aeternal Assault</v>
      </c>
      <c r="M263" s="243">
        <f>INDEX('W-S'!$A:$N,MATCH(L263,'W-S'!$C:$C,0),MATCH("SP Cost V3",'W-S'!$1:$1,0))</f>
        <v>6000</v>
      </c>
    </row>
    <row r="264" spans="1:13" ht="22.5" x14ac:dyDescent="0.35">
      <c r="B264" s="238" t="str">
        <f>+INDEX(WEAP!$A:$AN,MATCH(B263,WEAP!$B:$B,0),MATCH("ID",WEAP!$A$1:$BF$1,0))</f>
        <v>303013_01</v>
      </c>
      <c r="C264" s="240"/>
      <c r="D264" s="692" t="str">
        <f>+INDEX(WEAP!$A:$AN,MATCH(B263,WEAP!$B:$B,0),MATCH("Family",WEAP!$A$1:$BF$1,0))&amp;" Weapon"</f>
        <v>Core E Weapon</v>
      </c>
      <c r="E264" s="693"/>
      <c r="F264" s="693"/>
      <c r="G264" s="694"/>
      <c r="H264" s="8"/>
      <c r="I264" s="695" t="str">
        <f>INDEX('W-S'!$A:$O,MATCH(I263,'W-S'!$C:$C,0),MATCH("Description",'W-S'!$1:$1,0))</f>
        <v>Deals 5 hits of 164% flame damage to enemies directly ahead.</v>
      </c>
      <c r="J264" s="696"/>
      <c r="K264" s="239"/>
      <c r="L264" s="695" t="str">
        <f>INDEX('W-S'!$A:$O,MATCH(I263,'W-S'!$C:$C,0),MATCH("Description V3",'W-S'!$1:$1,0))</f>
        <v>Deals 5 hits of 300% flame damage to enemies directly ahead, and adds 20% to the modifier applied to damage against wind-attuned enemies for 20 seconds.</v>
      </c>
      <c r="M264" s="696"/>
    </row>
    <row r="265" spans="1:13" ht="22.5" x14ac:dyDescent="0.2">
      <c r="B265" s="701" t="e" vm="63">
        <f>+_xlfn.IMAGE("https://natalie.tf/wp-content/uploads/2023/10/DLV3_Icon_Weapon_"&amp;B264&amp;".png")</f>
        <v>#VALUE!</v>
      </c>
      <c r="C265" s="240"/>
      <c r="D265" s="692" t="str">
        <f>INDEX(WEAP!$A:$AN,MATCH(B264,WEAP!$A:$A,0),MATCH("Element",WEAP!$A$1:$BF$1,0))&amp;" "&amp;INDEX(WEAP!$A:$AN,MATCH(B264,WEAP!$A:$A,0),MATCH("Type",WEAP!$A$1:$BF$1,0))</f>
        <v>Flame Dagger</v>
      </c>
      <c r="E265" s="693"/>
      <c r="F265" s="693"/>
      <c r="G265" s="694"/>
      <c r="H265" s="8"/>
      <c r="I265" s="697"/>
      <c r="J265" s="698"/>
      <c r="K265" s="9"/>
      <c r="L265" s="697"/>
      <c r="M265" s="698"/>
    </row>
    <row r="266" spans="1:13" ht="22.5" x14ac:dyDescent="0.35">
      <c r="B266" s="702"/>
      <c r="C266" s="239"/>
      <c r="D266" s="703" t="s">
        <v>10760</v>
      </c>
      <c r="E266" s="704"/>
      <c r="F266" s="235" t="s">
        <v>10761</v>
      </c>
      <c r="G266" s="235" t="s">
        <v>10762</v>
      </c>
      <c r="I266" s="697"/>
      <c r="J266" s="698"/>
      <c r="K266" s="239"/>
      <c r="L266" s="697"/>
      <c r="M266" s="698"/>
    </row>
    <row r="267" spans="1:13" ht="22.5" x14ac:dyDescent="0.35">
      <c r="B267" s="702"/>
      <c r="C267" s="239"/>
      <c r="D267" s="705" t="s">
        <v>96</v>
      </c>
      <c r="E267" s="706"/>
      <c r="F267" s="236">
        <f>INDEX(WEAP!$A:$AN,MATCH(B264,WEAP!$A:$A,0),MATCH("HP",WEAP!$A$1:$BF$1,0))</f>
        <v>158</v>
      </c>
      <c r="G267" s="237">
        <f>INDEX(WEAP!$A:$AN,MATCH(B264,WEAP!$A:$A,0),MATCH("HP V3",WEAP!$A$1:$BF$1,0))</f>
        <v>170</v>
      </c>
      <c r="I267" s="697"/>
      <c r="J267" s="698"/>
      <c r="K267" s="239"/>
      <c r="L267" s="697"/>
      <c r="M267" s="698"/>
    </row>
    <row r="268" spans="1:13" ht="22.5" x14ac:dyDescent="0.35">
      <c r="B268" s="702"/>
      <c r="C268" s="239"/>
      <c r="D268" s="707" t="s">
        <v>97</v>
      </c>
      <c r="E268" s="708"/>
      <c r="F268" s="236">
        <f>INDEX(WEAP!$A:$AN,MATCH(B264,WEAP!$A:$A,0),MATCH("Str",WEAP!$A$1:$BF$1,0))</f>
        <v>600</v>
      </c>
      <c r="G268" s="237">
        <f>INDEX(WEAP!$A:$AN,MATCH(B264,WEAP!$A:$A,0),MATCH("Str V3",WEAP!$A$1:$BF$1,0))</f>
        <v>600</v>
      </c>
      <c r="I268" s="699"/>
      <c r="J268" s="700"/>
      <c r="K268" s="239"/>
      <c r="L268" s="699"/>
      <c r="M268" s="700"/>
    </row>
    <row r="269" spans="1:13" s="245" customFormat="1" ht="7.5" customHeight="1" x14ac:dyDescent="0.2">
      <c r="A269" s="245" t="s">
        <v>10763</v>
      </c>
    </row>
    <row r="270" spans="1:13" ht="22.5" x14ac:dyDescent="0.35">
      <c r="A270" s="244" t="str">
        <f>TEXT(A263+1,"000")</f>
        <v>039</v>
      </c>
      <c r="B270" s="238" t="str">
        <f>"W-"&amp;A270</f>
        <v>W-039</v>
      </c>
      <c r="C270" s="239"/>
      <c r="D270" s="692" t="str">
        <f>+INDEX(WEAP!$A:$AN,MATCH(B271,WEAP!$A:$A,0),MATCH("Name",WEAP!$A$1:$BF$1,0))</f>
        <v>Axe of the Blazing King</v>
      </c>
      <c r="E270" s="693"/>
      <c r="F270" s="693"/>
      <c r="G270" s="694"/>
      <c r="I270" s="241" t="str">
        <f>+INDEX(WEAP!$A:$AN,MATCH(B271,WEAP!$A:$A,0),MATCH("Weapon Skill",WEAP!$A$1:$BF$1,0))</f>
        <v>Blazing Boost</v>
      </c>
      <c r="J270" s="243">
        <f>INDEX('W-S'!$A:$N,MATCH(I270,'W-S'!$C:$C,0),MATCH("SP Cost",'W-S'!$1:$1,0))</f>
        <v>4711</v>
      </c>
      <c r="K270" s="9"/>
      <c r="L270" s="241" t="str">
        <f>+I270</f>
        <v>Blazing Boost</v>
      </c>
      <c r="M270" s="243">
        <f>INDEX('W-S'!$A:$N,MATCH(L270,'W-S'!$C:$C,0),MATCH("SP Cost V3",'W-S'!$1:$1,0))</f>
        <v>6000</v>
      </c>
    </row>
    <row r="271" spans="1:13" ht="22.5" x14ac:dyDescent="0.35">
      <c r="B271" s="238" t="str">
        <f>+INDEX(WEAP!$A:$AN,MATCH(B270,WEAP!$B:$B,0),MATCH("ID",WEAP!$A$1:$BF$1,0))</f>
        <v>304027_01</v>
      </c>
      <c r="C271" s="240"/>
      <c r="D271" s="692" t="str">
        <f>+INDEX(WEAP!$A:$AN,MATCH(B270,WEAP!$B:$B,0),MATCH("Family",WEAP!$A$1:$BF$1,0))&amp;" Weapon"</f>
        <v>Core E Weapon</v>
      </c>
      <c r="E271" s="693"/>
      <c r="F271" s="693"/>
      <c r="G271" s="694"/>
      <c r="H271" s="8"/>
      <c r="I271" s="695" t="str">
        <f>INDEX('W-S'!$A:$O,MATCH(I270,'W-S'!$C:$C,0),MATCH("Description",'W-S'!$1:$1,0))</f>
        <v>Adds 50% to the modifier applied to the user's critical damage for 20 seconds.</v>
      </c>
      <c r="J271" s="696"/>
      <c r="K271" s="239"/>
      <c r="L271" s="695" t="str">
        <f>INDEX('W-S'!$A:$O,MATCH(I270,'W-S'!$C:$C,0),MATCH("Description V3",'W-S'!$1:$1,0))</f>
        <v>Adds 50% to the modifier applied to the user's critical damage for 20 seconds, and adds 20% to the modifier applied to damage against wind-attuned enemies for 20 seconds.</v>
      </c>
      <c r="M271" s="696"/>
    </row>
    <row r="272" spans="1:13" ht="22.5" x14ac:dyDescent="0.2">
      <c r="B272" s="701" t="e" vm="64">
        <f>+_xlfn.IMAGE("https://natalie.tf/wp-content/uploads/2023/10/DLV3_Icon_Weapon_"&amp;B271&amp;".png")</f>
        <v>#VALUE!</v>
      </c>
      <c r="C272" s="240"/>
      <c r="D272" s="692" t="str">
        <f>INDEX(WEAP!$A:$AN,MATCH(B271,WEAP!$A:$A,0),MATCH("Element",WEAP!$A$1:$BF$1,0))&amp;" "&amp;INDEX(WEAP!$A:$AN,MATCH(B271,WEAP!$A:$A,0),MATCH("Type",WEAP!$A$1:$BF$1,0))</f>
        <v>Flame Axe</v>
      </c>
      <c r="E272" s="693"/>
      <c r="F272" s="693"/>
      <c r="G272" s="694"/>
      <c r="H272" s="8"/>
      <c r="I272" s="697"/>
      <c r="J272" s="698"/>
      <c r="K272" s="9"/>
      <c r="L272" s="697"/>
      <c r="M272" s="698"/>
    </row>
    <row r="273" spans="1:13" ht="22.5" x14ac:dyDescent="0.35">
      <c r="B273" s="702"/>
      <c r="C273" s="239"/>
      <c r="D273" s="703" t="s">
        <v>10760</v>
      </c>
      <c r="E273" s="704"/>
      <c r="F273" s="235" t="s">
        <v>10761</v>
      </c>
      <c r="G273" s="235" t="s">
        <v>10762</v>
      </c>
      <c r="I273" s="697"/>
      <c r="J273" s="698"/>
      <c r="K273" s="239"/>
      <c r="L273" s="697"/>
      <c r="M273" s="698"/>
    </row>
    <row r="274" spans="1:13" ht="22.5" x14ac:dyDescent="0.35">
      <c r="B274" s="702"/>
      <c r="C274" s="239"/>
      <c r="D274" s="705" t="s">
        <v>96</v>
      </c>
      <c r="E274" s="706"/>
      <c r="F274" s="236">
        <f>INDEX(WEAP!$A:$AN,MATCH(B271,WEAP!$A:$A,0),MATCH("HP",WEAP!$A$1:$BF$1,0))</f>
        <v>170</v>
      </c>
      <c r="G274" s="237">
        <f>INDEX(WEAP!$A:$AN,MATCH(B271,WEAP!$A:$A,0),MATCH("HP V3",WEAP!$A$1:$BF$1,0))</f>
        <v>170</v>
      </c>
      <c r="I274" s="697"/>
      <c r="J274" s="698"/>
      <c r="K274" s="239"/>
      <c r="L274" s="697"/>
      <c r="M274" s="698"/>
    </row>
    <row r="275" spans="1:13" ht="22.5" x14ac:dyDescent="0.35">
      <c r="B275" s="702"/>
      <c r="C275" s="239"/>
      <c r="D275" s="707" t="s">
        <v>97</v>
      </c>
      <c r="E275" s="708"/>
      <c r="F275" s="236">
        <f>INDEX(WEAP!$A:$AN,MATCH(B271,WEAP!$A:$A,0),MATCH("Str",WEAP!$A$1:$BF$1,0))</f>
        <v>624</v>
      </c>
      <c r="G275" s="237">
        <f>INDEX(WEAP!$A:$AN,MATCH(B271,WEAP!$A:$A,0),MATCH("Str V3",WEAP!$A$1:$BF$1,0))</f>
        <v>625</v>
      </c>
      <c r="I275" s="699"/>
      <c r="J275" s="700"/>
      <c r="K275" s="239"/>
      <c r="L275" s="699"/>
      <c r="M275" s="700"/>
    </row>
    <row r="276" spans="1:13" s="245" customFormat="1" ht="7.5" customHeight="1" x14ac:dyDescent="0.2">
      <c r="A276" s="245" t="s">
        <v>10763</v>
      </c>
    </row>
    <row r="277" spans="1:13" ht="22.5" x14ac:dyDescent="0.35">
      <c r="A277" s="244" t="str">
        <f>TEXT(A270+1,"000")</f>
        <v>040</v>
      </c>
      <c r="B277" s="238" t="str">
        <f>"W-"&amp;A277</f>
        <v>W-040</v>
      </c>
      <c r="C277" s="239"/>
      <c r="D277" s="692" t="str">
        <f>+INDEX(WEAP!$A:$AN,MATCH(B278,WEAP!$A:$A,0),MATCH("Name",WEAP!$A$1:$BF$1,0))</f>
        <v>Calamity Trigger</v>
      </c>
      <c r="E277" s="693"/>
      <c r="F277" s="693"/>
      <c r="G277" s="694"/>
      <c r="I277" s="241" t="str">
        <f>+INDEX(WEAP!$A:$AN,MATCH(B278,WEAP!$A:$A,0),MATCH("Weapon Skill",WEAP!$A$1:$BF$1,0))</f>
        <v>Calamitous Descent</v>
      </c>
      <c r="J277" s="243">
        <f>INDEX('W-S'!$A:$N,MATCH(I277,'W-S'!$C:$C,0),MATCH("SP Cost",'W-S'!$1:$1,0))</f>
        <v>8111</v>
      </c>
      <c r="K277" s="9"/>
      <c r="L277" s="241" t="str">
        <f>+I277</f>
        <v>Calamitous Descent</v>
      </c>
      <c r="M277" s="243">
        <f>INDEX('W-S'!$A:$N,MATCH(L277,'W-S'!$C:$C,0),MATCH("SP Cost V3",'W-S'!$1:$1,0))</f>
        <v>6000</v>
      </c>
    </row>
    <row r="278" spans="1:13" ht="22.5" x14ac:dyDescent="0.35">
      <c r="B278" s="238" t="str">
        <f>+INDEX(WEAP!$A:$AN,MATCH(B277,WEAP!$B:$B,0),MATCH("ID",WEAP!$A$1:$BF$1,0))</f>
        <v>305030_01</v>
      </c>
      <c r="C278" s="240"/>
      <c r="D278" s="692" t="str">
        <f>+INDEX(WEAP!$A:$AN,MATCH(B277,WEAP!$B:$B,0),MATCH("Family",WEAP!$A$1:$BF$1,0))&amp;" Weapon"</f>
        <v>Core E Weapon</v>
      </c>
      <c r="E278" s="693"/>
      <c r="F278" s="693"/>
      <c r="G278" s="694"/>
      <c r="H278" s="8"/>
      <c r="I278" s="695" t="str">
        <f>INDEX('W-S'!$A:$O,MATCH(I277,'W-S'!$C:$C,0),MATCH("Description",'W-S'!$1:$1,0))</f>
        <v>Deals 2 hits of 461% flame damage to the target and nearby enemies.</v>
      </c>
      <c r="J278" s="696"/>
      <c r="K278" s="239"/>
      <c r="L278" s="695" t="str">
        <f>INDEX('W-S'!$A:$O,MATCH(I277,'W-S'!$C:$C,0),MATCH("Description V3",'W-S'!$1:$1,0))</f>
        <v>Deals 2 hits of 750% flame damage to the target and nearby enemies, and adds 20% to the modifier applied to damage against wind-attuned enemies for 20 seconds.</v>
      </c>
      <c r="M278" s="696"/>
    </row>
    <row r="279" spans="1:13" ht="22.5" x14ac:dyDescent="0.2">
      <c r="B279" s="701" t="e" vm="65">
        <f>+_xlfn.IMAGE("https://natalie.tf/wp-content/uploads/2023/10/DLV3_Icon_Weapon_"&amp;B278&amp;".png")</f>
        <v>#VALUE!</v>
      </c>
      <c r="C279" s="240"/>
      <c r="D279" s="692" t="str">
        <f>INDEX(WEAP!$A:$AN,MATCH(B278,WEAP!$A:$A,0),MATCH("Element",WEAP!$A$1:$BF$1,0))&amp;" "&amp;INDEX(WEAP!$A:$AN,MATCH(B278,WEAP!$A:$A,0),MATCH("Type",WEAP!$A$1:$BF$1,0))</f>
        <v>Flame Lance</v>
      </c>
      <c r="E279" s="693"/>
      <c r="F279" s="693"/>
      <c r="G279" s="694"/>
      <c r="H279" s="8"/>
      <c r="I279" s="697"/>
      <c r="J279" s="698"/>
      <c r="K279" s="9"/>
      <c r="L279" s="697"/>
      <c r="M279" s="698"/>
    </row>
    <row r="280" spans="1:13" ht="22.5" x14ac:dyDescent="0.35">
      <c r="B280" s="702"/>
      <c r="C280" s="239"/>
      <c r="D280" s="703" t="s">
        <v>10760</v>
      </c>
      <c r="E280" s="704"/>
      <c r="F280" s="235" t="s">
        <v>10761</v>
      </c>
      <c r="G280" s="235" t="s">
        <v>10762</v>
      </c>
      <c r="I280" s="697"/>
      <c r="J280" s="698"/>
      <c r="K280" s="239"/>
      <c r="L280" s="697"/>
      <c r="M280" s="698"/>
    </row>
    <row r="281" spans="1:13" ht="22.5" x14ac:dyDescent="0.35">
      <c r="B281" s="702"/>
      <c r="C281" s="239"/>
      <c r="D281" s="705" t="s">
        <v>96</v>
      </c>
      <c r="E281" s="706"/>
      <c r="F281" s="236">
        <f>INDEX(WEAP!$A:$AN,MATCH(B278,WEAP!$A:$A,0),MATCH("HP",WEAP!$A$1:$BF$1,0))</f>
        <v>160</v>
      </c>
      <c r="G281" s="237">
        <f>INDEX(WEAP!$A:$AN,MATCH(B278,WEAP!$A:$A,0),MATCH("HP V3",WEAP!$A$1:$BF$1,0))</f>
        <v>185</v>
      </c>
      <c r="I281" s="697"/>
      <c r="J281" s="698"/>
      <c r="K281" s="239"/>
      <c r="L281" s="697"/>
      <c r="M281" s="698"/>
    </row>
    <row r="282" spans="1:13" ht="22.5" x14ac:dyDescent="0.35">
      <c r="B282" s="702"/>
      <c r="C282" s="239"/>
      <c r="D282" s="707" t="s">
        <v>97</v>
      </c>
      <c r="E282" s="708"/>
      <c r="F282" s="236">
        <f>INDEX(WEAP!$A:$AN,MATCH(B278,WEAP!$A:$A,0),MATCH("Str",WEAP!$A$1:$BF$1,0))</f>
        <v>624</v>
      </c>
      <c r="G282" s="237">
        <f>INDEX(WEAP!$A:$AN,MATCH(B278,WEAP!$A:$A,0),MATCH("Str V3",WEAP!$A$1:$BF$1,0))</f>
        <v>625</v>
      </c>
      <c r="I282" s="699"/>
      <c r="J282" s="700"/>
      <c r="K282" s="239"/>
      <c r="L282" s="699"/>
      <c r="M282" s="700"/>
    </row>
    <row r="283" spans="1:13" ht="33.75" customHeight="1" x14ac:dyDescent="0.2">
      <c r="A283" t="s">
        <v>10763</v>
      </c>
    </row>
    <row r="284" spans="1:13" ht="22.5" x14ac:dyDescent="0.35">
      <c r="A284" s="244" t="str">
        <f>TEXT(A277+1,"000")</f>
        <v>041</v>
      </c>
      <c r="B284" s="238" t="str">
        <f>"W-"&amp;A284</f>
        <v>W-041</v>
      </c>
      <c r="C284" s="239"/>
      <c r="D284" s="692" t="str">
        <f>+INDEX(WEAP!$A:$AN,MATCH(B285,WEAP!$A:$A,0),MATCH("Name",WEAP!$A$1:$BF$1,0))</f>
        <v>Lupis Solis</v>
      </c>
      <c r="E284" s="693"/>
      <c r="F284" s="693"/>
      <c r="G284" s="694"/>
      <c r="I284" s="241" t="str">
        <f>+INDEX(WEAP!$A:$AN,MATCH(B285,WEAP!$A:$A,0),MATCH("Weapon Skill",WEAP!$A$1:$BF$1,0))</f>
        <v>Lupine Vision</v>
      </c>
      <c r="J284" s="243">
        <f>INDEX('W-S'!$A:$N,MATCH(I284,'W-S'!$C:$C,0),MATCH("SP Cost",'W-S'!$1:$1,0))</f>
        <v>7316</v>
      </c>
      <c r="K284" s="9"/>
      <c r="L284" s="241" t="str">
        <f>+I284</f>
        <v>Lupine Vision</v>
      </c>
      <c r="M284" s="243">
        <f>INDEX('W-S'!$A:$N,MATCH(L284,'W-S'!$C:$C,0),MATCH("SP Cost V3",'W-S'!$1:$1,0))</f>
        <v>6000</v>
      </c>
    </row>
    <row r="285" spans="1:13" ht="22.5" x14ac:dyDescent="0.35">
      <c r="B285" s="238" t="str">
        <f>+INDEX(WEAP!$A:$AN,MATCH(B284,WEAP!$B:$B,0),MATCH("ID",WEAP!$A$1:$BF$1,0))</f>
        <v>306027_01</v>
      </c>
      <c r="C285" s="240"/>
      <c r="D285" s="692" t="str">
        <f>+INDEX(WEAP!$A:$AN,MATCH(B284,WEAP!$B:$B,0),MATCH("Family",WEAP!$A$1:$BF$1,0))&amp;" Weapon"</f>
        <v>Core E Weapon</v>
      </c>
      <c r="E285" s="693"/>
      <c r="F285" s="693"/>
      <c r="G285" s="694"/>
      <c r="H285" s="8"/>
      <c r="I285" s="695" t="str">
        <f>INDEX('W-S'!$A:$O,MATCH(I284,'W-S'!$C:$C,0),MATCH("Description",'W-S'!$1:$1,0))</f>
        <v>Increases the user's critical rate by 25% for 10 seconds.</v>
      </c>
      <c r="J285" s="696"/>
      <c r="K285" s="239"/>
      <c r="L285" s="695" t="str">
        <f>INDEX('W-S'!$A:$O,MATCH(I284,'W-S'!$C:$C,0),MATCH("Description V3",'W-S'!$1:$1,0))</f>
        <v>Increases the user's critical rate by 30% for 20 seconds, and adds 20% to the modifier applied to damage against wind-attuned enemies for 20 seconds.</v>
      </c>
      <c r="M285" s="696"/>
    </row>
    <row r="286" spans="1:13" ht="22.5" x14ac:dyDescent="0.2">
      <c r="B286" s="701" t="e" vm="66">
        <f>+_xlfn.IMAGE("https://natalie.tf/wp-content/uploads/2023/10/DLV3_Icon_Weapon_"&amp;B285&amp;".png")</f>
        <v>#VALUE!</v>
      </c>
      <c r="C286" s="240"/>
      <c r="D286" s="692" t="str">
        <f>INDEX(WEAP!$A:$AN,MATCH(B285,WEAP!$A:$A,0),MATCH("Element",WEAP!$A$1:$BF$1,0))&amp;" "&amp;INDEX(WEAP!$A:$AN,MATCH(B285,WEAP!$A:$A,0),MATCH("Type",WEAP!$A$1:$BF$1,0))</f>
        <v>Flame Bow</v>
      </c>
      <c r="E286" s="693"/>
      <c r="F286" s="693"/>
      <c r="G286" s="694"/>
      <c r="H286" s="8"/>
      <c r="I286" s="697"/>
      <c r="J286" s="698"/>
      <c r="K286" s="9"/>
      <c r="L286" s="697"/>
      <c r="M286" s="698"/>
    </row>
    <row r="287" spans="1:13" ht="22.5" x14ac:dyDescent="0.35">
      <c r="B287" s="702"/>
      <c r="C287" s="239"/>
      <c r="D287" s="703" t="s">
        <v>10760</v>
      </c>
      <c r="E287" s="704"/>
      <c r="F287" s="235" t="s">
        <v>10761</v>
      </c>
      <c r="G287" s="235" t="s">
        <v>10762</v>
      </c>
      <c r="I287" s="697"/>
      <c r="J287" s="698"/>
      <c r="K287" s="239"/>
      <c r="L287" s="697"/>
      <c r="M287" s="698"/>
    </row>
    <row r="288" spans="1:13" ht="22.5" x14ac:dyDescent="0.35">
      <c r="B288" s="702"/>
      <c r="C288" s="239"/>
      <c r="D288" s="705" t="s">
        <v>96</v>
      </c>
      <c r="E288" s="706"/>
      <c r="F288" s="236">
        <f>INDEX(WEAP!$A:$AN,MATCH(B285,WEAP!$A:$A,0),MATCH("HP",WEAP!$A$1:$BF$1,0))</f>
        <v>162</v>
      </c>
      <c r="G288" s="237">
        <f>INDEX(WEAP!$A:$AN,MATCH(B285,WEAP!$A:$A,0),MATCH("HP V3",WEAP!$A$1:$BF$1,0))</f>
        <v>165</v>
      </c>
      <c r="I288" s="697"/>
      <c r="J288" s="698"/>
      <c r="K288" s="239"/>
      <c r="L288" s="697"/>
      <c r="M288" s="698"/>
    </row>
    <row r="289" spans="1:13" ht="22.5" x14ac:dyDescent="0.35">
      <c r="B289" s="702"/>
      <c r="C289" s="239"/>
      <c r="D289" s="707" t="s">
        <v>97</v>
      </c>
      <c r="E289" s="708"/>
      <c r="F289" s="236">
        <f>INDEX(WEAP!$A:$AN,MATCH(B285,WEAP!$A:$A,0),MATCH("Str",WEAP!$A$1:$BF$1,0))</f>
        <v>570</v>
      </c>
      <c r="G289" s="237">
        <f>INDEX(WEAP!$A:$AN,MATCH(B285,WEAP!$A:$A,0),MATCH("Str V3",WEAP!$A$1:$BF$1,0))</f>
        <v>590</v>
      </c>
      <c r="I289" s="699"/>
      <c r="J289" s="700"/>
      <c r="K289" s="239"/>
      <c r="L289" s="699"/>
      <c r="M289" s="700"/>
    </row>
    <row r="290" spans="1:13" s="245" customFormat="1" ht="7.5" customHeight="1" x14ac:dyDescent="0.2">
      <c r="A290" s="245" t="s">
        <v>10763</v>
      </c>
    </row>
    <row r="291" spans="1:13" ht="22.5" x14ac:dyDescent="0.35">
      <c r="A291" s="242" t="str">
        <f>TEXT(A284+1,"000")</f>
        <v>042</v>
      </c>
      <c r="B291" s="238" t="str">
        <f>"W-"&amp;A291</f>
        <v>W-042</v>
      </c>
      <c r="C291" s="239"/>
      <c r="D291" s="692" t="str">
        <f>+INDEX(WEAP!$A:$AN,MATCH(B292,WEAP!$A:$A,0),MATCH("Name",WEAP!$A$1:$BF$1,0))</f>
        <v>Terranigmus</v>
      </c>
      <c r="E291" s="693"/>
      <c r="F291" s="693"/>
      <c r="G291" s="694"/>
      <c r="I291" s="241" t="str">
        <f>+INDEX(WEAP!$A:$AN,MATCH(B292,WEAP!$A:$A,0),MATCH("Weapon Skill",WEAP!$A$1:$BF$1,0))</f>
        <v>Grand Healing</v>
      </c>
      <c r="J291" s="243">
        <f>INDEX('W-S'!$A:$N,MATCH(I291,'W-S'!$C:$C,0),MATCH("SP Cost",'W-S'!$1:$1,0))</f>
        <v>12668</v>
      </c>
      <c r="K291" s="9"/>
      <c r="L291" s="241" t="str">
        <f>+I291</f>
        <v>Grand Healing</v>
      </c>
      <c r="M291" s="243">
        <f>INDEX('W-S'!$A:$N,MATCH(L291,'W-S'!$C:$C,0),MATCH("SP Cost V3",'W-S'!$1:$1,0))</f>
        <v>12000</v>
      </c>
    </row>
    <row r="292" spans="1:13" ht="22.5" x14ac:dyDescent="0.35">
      <c r="B292" s="238" t="str">
        <f>+INDEX(WEAP!$A:$AN,MATCH(B291,WEAP!$B:$B,0),MATCH("ID",WEAP!$A$1:$BF$1,0))</f>
        <v>307015_01</v>
      </c>
      <c r="C292" s="240"/>
      <c r="D292" s="692" t="str">
        <f>+INDEX(WEAP!$A:$AN,MATCH(B291,WEAP!$B:$B,0),MATCH("Family",WEAP!$A$1:$BF$1,0))&amp;" Weapon"</f>
        <v>Core E Weapon</v>
      </c>
      <c r="E292" s="693"/>
      <c r="F292" s="693"/>
      <c r="G292" s="694"/>
      <c r="H292" s="8"/>
      <c r="I292" s="695" t="str">
        <f>INDEX('W-S'!$A:$O,MATCH(I291,'W-S'!$C:$C,0),MATCH("Description",'W-S'!$1:$1,0))</f>
        <v>Restores the user's HP with 90% Recovery Potency.</v>
      </c>
      <c r="J292" s="696"/>
      <c r="K292" s="239"/>
      <c r="L292" s="695" t="str">
        <f>INDEX('W-S'!$A:$O,MATCH(I291,'W-S'!$C:$C,0),MATCH("Description V3",'W-S'!$1:$1,0))</f>
        <v>Restores the user's HP with 90% Recovery Potency, and adds 20% to the modifier applied to damage against wind-attuned enemies for 20 seconds.</v>
      </c>
      <c r="M292" s="696"/>
    </row>
    <row r="293" spans="1:13" ht="22.5" x14ac:dyDescent="0.2">
      <c r="B293" s="701" t="e" vm="67">
        <f>+_xlfn.IMAGE("https://natalie.tf/wp-content/uploads/2023/10/DLV3_Icon_Weapon_"&amp;B292&amp;".png")</f>
        <v>#VALUE!</v>
      </c>
      <c r="C293" s="240"/>
      <c r="D293" s="692" t="str">
        <f>INDEX(WEAP!$A:$AN,MATCH(B292,WEAP!$A:$A,0),MATCH("Element",WEAP!$A$1:$BF$1,0))&amp;" "&amp;INDEX(WEAP!$A:$AN,MATCH(B292,WEAP!$A:$A,0),MATCH("Type",WEAP!$A$1:$BF$1,0))</f>
        <v>Flame Wand</v>
      </c>
      <c r="E293" s="693"/>
      <c r="F293" s="693"/>
      <c r="G293" s="694"/>
      <c r="H293" s="8"/>
      <c r="I293" s="697"/>
      <c r="J293" s="698"/>
      <c r="K293" s="9"/>
      <c r="L293" s="697"/>
      <c r="M293" s="698"/>
    </row>
    <row r="294" spans="1:13" ht="22.5" x14ac:dyDescent="0.35">
      <c r="B294" s="702"/>
      <c r="C294" s="239"/>
      <c r="D294" s="703" t="s">
        <v>10760</v>
      </c>
      <c r="E294" s="704"/>
      <c r="F294" s="235" t="s">
        <v>10761</v>
      </c>
      <c r="G294" s="235" t="s">
        <v>10762</v>
      </c>
      <c r="I294" s="697"/>
      <c r="J294" s="698"/>
      <c r="K294" s="239"/>
      <c r="L294" s="697"/>
      <c r="M294" s="698"/>
    </row>
    <row r="295" spans="1:13" ht="22.5" x14ac:dyDescent="0.35">
      <c r="B295" s="702"/>
      <c r="C295" s="239"/>
      <c r="D295" s="705" t="s">
        <v>96</v>
      </c>
      <c r="E295" s="706"/>
      <c r="F295" s="236">
        <f>INDEX(WEAP!$A:$AN,MATCH(B292,WEAP!$A:$A,0),MATCH("HP",WEAP!$A$1:$BF$1,0))</f>
        <v>168</v>
      </c>
      <c r="G295" s="237">
        <f>INDEX(WEAP!$A:$AN,MATCH(B292,WEAP!$A:$A,0),MATCH("HP V3",WEAP!$A$1:$BF$1,0))</f>
        <v>170</v>
      </c>
      <c r="I295" s="697"/>
      <c r="J295" s="698"/>
      <c r="K295" s="239"/>
      <c r="L295" s="697"/>
      <c r="M295" s="698"/>
    </row>
    <row r="296" spans="1:13" ht="22.5" x14ac:dyDescent="0.35">
      <c r="B296" s="702"/>
      <c r="C296" s="239"/>
      <c r="D296" s="707" t="s">
        <v>97</v>
      </c>
      <c r="E296" s="708"/>
      <c r="F296" s="236">
        <f>INDEX(WEAP!$A:$AN,MATCH(B292,WEAP!$A:$A,0),MATCH("Str",WEAP!$A$1:$BF$1,0))</f>
        <v>581</v>
      </c>
      <c r="G296" s="237">
        <f>INDEX(WEAP!$A:$AN,MATCH(B292,WEAP!$A:$A,0),MATCH("Str V3",WEAP!$A$1:$BF$1,0))</f>
        <v>630</v>
      </c>
      <c r="I296" s="699"/>
      <c r="J296" s="700"/>
      <c r="K296" s="239"/>
      <c r="L296" s="699"/>
      <c r="M296" s="700"/>
    </row>
    <row r="297" spans="1:13" s="245" customFormat="1" ht="7.5" customHeight="1" x14ac:dyDescent="0.2">
      <c r="A297" s="245" t="s">
        <v>10763</v>
      </c>
    </row>
    <row r="298" spans="1:13" ht="22.5" x14ac:dyDescent="0.35">
      <c r="A298" s="244" t="str">
        <f>TEXT(A291+1,"000")</f>
        <v>043</v>
      </c>
      <c r="B298" s="238" t="str">
        <f>"W-"&amp;A298</f>
        <v>W-043</v>
      </c>
      <c r="C298" s="239"/>
      <c r="D298" s="692" t="str">
        <f>+INDEX(WEAP!$A:$AN,MATCH(B299,WEAP!$A:$A,0),MATCH("Name",WEAP!$A$1:$BF$1,0))</f>
        <v>Staff of the Red Emperor</v>
      </c>
      <c r="E298" s="693"/>
      <c r="F298" s="693"/>
      <c r="G298" s="694"/>
      <c r="I298" s="241" t="str">
        <f>+INDEX(WEAP!$A:$AN,MATCH(B299,WEAP!$A:$A,0),MATCH("Weapon Skill",WEAP!$A$1:$BF$1,0))</f>
        <v>Red Emperor's Spirit</v>
      </c>
      <c r="J298" s="243">
        <f>INDEX('W-S'!$A:$N,MATCH(I298,'W-S'!$C:$C,0),MATCH("SP Cost",'W-S'!$1:$1,0))</f>
        <v>17748</v>
      </c>
      <c r="K298" s="9"/>
      <c r="L298" s="241" t="str">
        <f>+I298</f>
        <v>Red Emperor's Spirit</v>
      </c>
      <c r="M298" s="243">
        <f>INDEX('W-S'!$A:$N,MATCH(L298,'W-S'!$C:$C,0),MATCH("SP Cost V3",'W-S'!$1:$1,0))</f>
        <v>12000</v>
      </c>
    </row>
    <row r="299" spans="1:13" ht="22.5" x14ac:dyDescent="0.35">
      <c r="B299" s="238" t="str">
        <f>+INDEX(WEAP!$A:$AN,MATCH(B298,WEAP!$B:$B,0),MATCH("ID",WEAP!$A$1:$BF$1,0))</f>
        <v>308031_01</v>
      </c>
      <c r="C299" s="240"/>
      <c r="D299" s="692" t="str">
        <f>+INDEX(WEAP!$A:$AN,MATCH(B298,WEAP!$B:$B,0),MATCH("Family",WEAP!$A$1:$BF$1,0))&amp;" Weapon"</f>
        <v>Core E Weapon</v>
      </c>
      <c r="E299" s="693"/>
      <c r="F299" s="693"/>
      <c r="G299" s="694"/>
      <c r="H299" s="8"/>
      <c r="I299" s="695" t="str">
        <f>INDEX('W-S'!$A:$O,MATCH(I298,'W-S'!$C:$C,0),MATCH("Description",'W-S'!$1:$1,0))</f>
        <v>Increases the potency of the user's recovery skills by 20% for 5 seconds.</v>
      </c>
      <c r="J299" s="696"/>
      <c r="K299" s="239"/>
      <c r="L299" s="695" t="str">
        <f>INDEX('W-S'!$A:$O,MATCH(I298,'W-S'!$C:$C,0),MATCH("Description V3",'W-S'!$1:$1,0))</f>
        <v>Increases the potency of the user's recovery skills by 20% for 20 seconds, and adds 20% to the modifier applied to damage against wind-attuned enemies for 20 seconds.</v>
      </c>
      <c r="M299" s="696"/>
    </row>
    <row r="300" spans="1:13" ht="22.5" x14ac:dyDescent="0.2">
      <c r="B300" s="701" t="e" vm="68">
        <f>+_xlfn.IMAGE("https://natalie.tf/wp-content/uploads/2023/10/DLV3_Icon_Weapon_"&amp;B299&amp;".png")</f>
        <v>#VALUE!</v>
      </c>
      <c r="C300" s="240"/>
      <c r="D300" s="692" t="str">
        <f>INDEX(WEAP!$A:$AN,MATCH(B299,WEAP!$A:$A,0),MATCH("Element",WEAP!$A$1:$BF$1,0))&amp;" "&amp;INDEX(WEAP!$A:$AN,MATCH(B299,WEAP!$A:$A,0),MATCH("Type",WEAP!$A$1:$BF$1,0))</f>
        <v>Flame Staff</v>
      </c>
      <c r="E300" s="693"/>
      <c r="F300" s="693"/>
      <c r="G300" s="694"/>
      <c r="H300" s="8"/>
      <c r="I300" s="697"/>
      <c r="J300" s="698"/>
      <c r="K300" s="9"/>
      <c r="L300" s="697"/>
      <c r="M300" s="698"/>
    </row>
    <row r="301" spans="1:13" ht="22.5" x14ac:dyDescent="0.35">
      <c r="B301" s="702"/>
      <c r="C301" s="239"/>
      <c r="D301" s="703" t="s">
        <v>10760</v>
      </c>
      <c r="E301" s="704"/>
      <c r="F301" s="235" t="s">
        <v>10761</v>
      </c>
      <c r="G301" s="235" t="s">
        <v>10762</v>
      </c>
      <c r="I301" s="697"/>
      <c r="J301" s="698"/>
      <c r="K301" s="239"/>
      <c r="L301" s="697"/>
      <c r="M301" s="698"/>
    </row>
    <row r="302" spans="1:13" ht="22.5" x14ac:dyDescent="0.35">
      <c r="B302" s="702"/>
      <c r="C302" s="239"/>
      <c r="D302" s="705" t="s">
        <v>96</v>
      </c>
      <c r="E302" s="706"/>
      <c r="F302" s="236">
        <f>INDEX(WEAP!$A:$AN,MATCH(B299,WEAP!$A:$A,0),MATCH("HP",WEAP!$A$1:$BF$1,0))</f>
        <v>196</v>
      </c>
      <c r="G302" s="237">
        <f>INDEX(WEAP!$A:$AN,MATCH(B299,WEAP!$A:$A,0),MATCH("HP V3",WEAP!$A$1:$BF$1,0))</f>
        <v>200</v>
      </c>
      <c r="I302" s="697"/>
      <c r="J302" s="698"/>
      <c r="K302" s="239"/>
      <c r="L302" s="697"/>
      <c r="M302" s="698"/>
    </row>
    <row r="303" spans="1:13" ht="22.5" x14ac:dyDescent="0.35">
      <c r="B303" s="702"/>
      <c r="C303" s="239"/>
      <c r="D303" s="707" t="s">
        <v>97</v>
      </c>
      <c r="E303" s="708"/>
      <c r="F303" s="236">
        <f>INDEX(WEAP!$A:$AN,MATCH(B299,WEAP!$A:$A,0),MATCH("Str",WEAP!$A$1:$BF$1,0))</f>
        <v>536</v>
      </c>
      <c r="G303" s="237">
        <f>INDEX(WEAP!$A:$AN,MATCH(B299,WEAP!$A:$A,0),MATCH("Str V3",WEAP!$A$1:$BF$1,0))</f>
        <v>565</v>
      </c>
      <c r="I303" s="699"/>
      <c r="J303" s="700"/>
      <c r="K303" s="239"/>
      <c r="L303" s="699"/>
      <c r="M303" s="700"/>
    </row>
    <row r="304" spans="1:13" s="245" customFormat="1" ht="7.5" customHeight="1" x14ac:dyDescent="0.2">
      <c r="A304" s="245" t="s">
        <v>10763</v>
      </c>
    </row>
    <row r="305" spans="1:13" ht="22.5" x14ac:dyDescent="0.35">
      <c r="A305" s="244" t="str">
        <f>TEXT(A298+1,"000")</f>
        <v>044</v>
      </c>
      <c r="B305" s="238" t="str">
        <f>"W-"&amp;A305</f>
        <v>W-044</v>
      </c>
      <c r="C305" s="239"/>
      <c r="D305" s="717" t="str">
        <f>+INDEX(WEAP!$A:$AN,MATCH(B306,WEAP!$A:$A,0),MATCH("Name",WEAP!$A$1:$BF$1,0))</f>
        <v>Chanzelian Caster Mk. 65</v>
      </c>
      <c r="E305" s="718"/>
      <c r="F305" s="718"/>
      <c r="G305" s="719"/>
      <c r="I305" s="241" t="str">
        <f>+INDEX(WEAP!$A:$AN,MATCH(B306,WEAP!$A:$A,0),MATCH("Weapon Skill",WEAP!$A$1:$BF$1,0))</f>
        <v>Mk. 65 Blastshot</v>
      </c>
      <c r="J305" s="243">
        <f>INDEX('W-S'!$A:$N,MATCH(I305,'W-S'!$C:$C,0),MATCH("SP Cost",'W-S'!$1:$1,0))</f>
        <v>7316</v>
      </c>
      <c r="K305" s="9"/>
      <c r="L305" s="241" t="str">
        <f>+I305</f>
        <v>Mk. 65 Blastshot</v>
      </c>
      <c r="M305" s="243">
        <f>INDEX('W-S'!$A:$N,MATCH(L305,'W-S'!$C:$C,0),MATCH("SP Cost V3",'W-S'!$1:$1,0))</f>
        <v>6000</v>
      </c>
    </row>
    <row r="306" spans="1:13" ht="22.5" x14ac:dyDescent="0.35">
      <c r="B306" s="238" t="str">
        <f>+INDEX(WEAP!$A:$AN,MATCH(B305,WEAP!$B:$B,0),MATCH("ID",WEAP!$A$1:$BF$1,0))</f>
        <v>309011_01</v>
      </c>
      <c r="C306" s="240"/>
      <c r="D306" s="692" t="str">
        <f>+INDEX(WEAP!$A:$AN,MATCH(B305,WEAP!$B:$B,0),MATCH("Family",WEAP!$A$1:$BF$1,0))&amp;" Weapon"</f>
        <v>Core E Weapon</v>
      </c>
      <c r="E306" s="693"/>
      <c r="F306" s="693"/>
      <c r="G306" s="694"/>
      <c r="H306" s="8"/>
      <c r="I306" s="695" t="str">
        <f>INDEX('W-S'!$A:$O,MATCH(I305,'W-S'!$C:$C,0),MATCH("Description",'W-S'!$1:$1,0))</f>
        <v>Deals 7 hits of 197% flame damage to to enemies directly ahead.</v>
      </c>
      <c r="J306" s="696"/>
      <c r="K306" s="239"/>
      <c r="L306" s="695" t="str">
        <f>INDEX('W-S'!$A:$O,MATCH(I305,'W-S'!$C:$C,0),MATCH("Description V3",'W-S'!$1:$1,0))</f>
        <v>Deals 7 hits of 215% flame damage to to enemies directly ahead, and adds 20% to the modifier applied to damage against wind-attuned enemies for 20 seconds.</v>
      </c>
      <c r="M306" s="696"/>
    </row>
    <row r="307" spans="1:13" ht="22.5" x14ac:dyDescent="0.2">
      <c r="B307" s="701" t="e" vm="69">
        <f>+_xlfn.IMAGE("https://natalie.tf/wp-content/uploads/2023/10/DLV3_Icon_Weapon_"&amp;B306&amp;".png")</f>
        <v>#VALUE!</v>
      </c>
      <c r="C307" s="240"/>
      <c r="D307" s="692" t="str">
        <f>INDEX(WEAP!$A:$AN,MATCH(B306,WEAP!$A:$A,0),MATCH("Element",WEAP!$A$1:$BF$1,0))&amp;" "&amp;INDEX(WEAP!$A:$AN,MATCH(B306,WEAP!$A:$A,0),MATCH("Type",WEAP!$A$1:$BF$1,0))</f>
        <v>Flame Manacaster</v>
      </c>
      <c r="E307" s="693"/>
      <c r="F307" s="693"/>
      <c r="G307" s="694"/>
      <c r="H307" s="8"/>
      <c r="I307" s="697"/>
      <c r="J307" s="698"/>
      <c r="K307" s="9"/>
      <c r="L307" s="697"/>
      <c r="M307" s="698"/>
    </row>
    <row r="308" spans="1:13" ht="22.5" x14ac:dyDescent="0.35">
      <c r="B308" s="702"/>
      <c r="C308" s="239"/>
      <c r="D308" s="703" t="s">
        <v>10760</v>
      </c>
      <c r="E308" s="704"/>
      <c r="F308" s="235" t="s">
        <v>10761</v>
      </c>
      <c r="G308" s="235" t="s">
        <v>10762</v>
      </c>
      <c r="I308" s="697"/>
      <c r="J308" s="698"/>
      <c r="K308" s="239"/>
      <c r="L308" s="697"/>
      <c r="M308" s="698"/>
    </row>
    <row r="309" spans="1:13" ht="22.5" x14ac:dyDescent="0.35">
      <c r="B309" s="702"/>
      <c r="C309" s="239"/>
      <c r="D309" s="705" t="s">
        <v>96</v>
      </c>
      <c r="E309" s="706"/>
      <c r="F309" s="236">
        <f>INDEX(WEAP!$A:$AN,MATCH(B306,WEAP!$A:$A,0),MATCH("HP",WEAP!$A$1:$BF$1,0))</f>
        <v>144</v>
      </c>
      <c r="G309" s="237">
        <f>INDEX(WEAP!$A:$AN,MATCH(B306,WEAP!$A:$A,0),MATCH("HP V3",WEAP!$A$1:$BF$1,0))</f>
        <v>165</v>
      </c>
      <c r="I309" s="697"/>
      <c r="J309" s="698"/>
      <c r="K309" s="239"/>
      <c r="L309" s="697"/>
      <c r="M309" s="698"/>
    </row>
    <row r="310" spans="1:13" ht="22.5" x14ac:dyDescent="0.35">
      <c r="B310" s="702"/>
      <c r="C310" s="239"/>
      <c r="D310" s="707" t="s">
        <v>97</v>
      </c>
      <c r="E310" s="708"/>
      <c r="F310" s="236">
        <f>INDEX(WEAP!$A:$AN,MATCH(B306,WEAP!$A:$A,0),MATCH("Str",WEAP!$A$1:$BF$1,0))</f>
        <v>636</v>
      </c>
      <c r="G310" s="237">
        <f>INDEX(WEAP!$A:$AN,MATCH(B306,WEAP!$A:$A,0),MATCH("Str V3",WEAP!$A$1:$BF$1,0))</f>
        <v>620</v>
      </c>
      <c r="I310" s="699"/>
      <c r="J310" s="700"/>
      <c r="K310" s="239"/>
      <c r="L310" s="699"/>
      <c r="M310" s="700"/>
    </row>
    <row r="311" spans="1:13" s="245" customFormat="1" ht="7.5" customHeight="1" x14ac:dyDescent="0.2">
      <c r="A311" s="245" t="s">
        <v>10763</v>
      </c>
    </row>
    <row r="312" spans="1:13" ht="22.5" x14ac:dyDescent="0.35">
      <c r="A312" s="244" t="str">
        <f>TEXT(A305+1,"000")</f>
        <v>045</v>
      </c>
      <c r="B312" s="238" t="str">
        <f>"W-"&amp;A312</f>
        <v>W-045</v>
      </c>
      <c r="C312" s="239"/>
      <c r="D312" s="692" t="str">
        <f>+INDEX(WEAP!$A:$AN,MATCH(B313,WEAP!$A:$A,0),MATCH("Name",WEAP!$A$1:$BF$1,0))</f>
        <v>Eoantide</v>
      </c>
      <c r="E312" s="693"/>
      <c r="F312" s="693"/>
      <c r="G312" s="694"/>
      <c r="I312" s="241" t="str">
        <f>+INDEX(WEAP!$A:$AN,MATCH(B313,WEAP!$A:$A,0),MATCH("Weapon Skill",WEAP!$A$1:$BF$1,0))</f>
        <v>Eoantide Cleaver</v>
      </c>
      <c r="J312" s="243">
        <f>INDEX('W-S'!$A:$N,MATCH(I312,'W-S'!$C:$C,0),MATCH("SP Cost",'W-S'!$1:$1,0))</f>
        <v>6847</v>
      </c>
      <c r="K312" s="9"/>
      <c r="L312" s="241" t="str">
        <f>+I312</f>
        <v>Eoantide Cleaver</v>
      </c>
      <c r="M312" s="243">
        <f>INDEX('W-S'!$A:$N,MATCH(L312,'W-S'!$C:$C,0),MATCH("SP Cost V3",'W-S'!$1:$1,0))</f>
        <v>6000</v>
      </c>
    </row>
    <row r="313" spans="1:13" ht="22.5" x14ac:dyDescent="0.35">
      <c r="B313" s="238" t="str">
        <f>+INDEX(WEAP!$A:$AN,MATCH(B312,WEAP!$B:$B,0),MATCH("ID",WEAP!$A$1:$BF$1,0))</f>
        <v>301010_01</v>
      </c>
      <c r="C313" s="240"/>
      <c r="D313" s="692" t="str">
        <f>+INDEX(WEAP!$A:$AN,MATCH(B312,WEAP!$B:$B,0),MATCH("Family",WEAP!$A$1:$BF$1,0))&amp;" Weapon"</f>
        <v>Core E Weapon</v>
      </c>
      <c r="E313" s="693"/>
      <c r="F313" s="693"/>
      <c r="G313" s="694"/>
      <c r="H313" s="8"/>
      <c r="I313" s="695" t="str">
        <f>INDEX('W-S'!$A:$O,MATCH(I312,'W-S'!$C:$C,0),MATCH("Description",'W-S'!$1:$1,0))</f>
        <v>Deals 5 hits of 165% water damage to enemies directly ahead.</v>
      </c>
      <c r="J313" s="696"/>
      <c r="K313" s="239"/>
      <c r="L313" s="695" t="str">
        <f>INDEX('W-S'!$A:$O,MATCH(I312,'W-S'!$C:$C,0),MATCH("Description V3",'W-S'!$1:$1,0))</f>
        <v>Deals 5 hits of 300% water damage to enemies directly ahead, and adds 20% to the modifier applied to damage against flame-attuned enemies for 20 seconds.</v>
      </c>
      <c r="M313" s="696"/>
    </row>
    <row r="314" spans="1:13" ht="22.5" x14ac:dyDescent="0.2">
      <c r="B314" s="701" t="e" vm="70">
        <f>+_xlfn.IMAGE("https://natalie.tf/wp-content/uploads/2023/10/DLV3_Icon_Weapon_"&amp;B313&amp;".png")</f>
        <v>#VALUE!</v>
      </c>
      <c r="C314" s="240"/>
      <c r="D314" s="692" t="str">
        <f>INDEX(WEAP!$A:$AN,MATCH(B313,WEAP!$A:$A,0),MATCH("Element",WEAP!$A$1:$BF$1,0))&amp;" "&amp;INDEX(WEAP!$A:$AN,MATCH(B313,WEAP!$A:$A,0),MATCH("Type",WEAP!$A$1:$BF$1,0))</f>
        <v>Water Sword</v>
      </c>
      <c r="E314" s="693"/>
      <c r="F314" s="693"/>
      <c r="G314" s="694"/>
      <c r="H314" s="8"/>
      <c r="I314" s="697"/>
      <c r="J314" s="698"/>
      <c r="K314" s="9"/>
      <c r="L314" s="697"/>
      <c r="M314" s="698"/>
    </row>
    <row r="315" spans="1:13" ht="22.5" x14ac:dyDescent="0.35">
      <c r="B315" s="702"/>
      <c r="C315" s="239"/>
      <c r="D315" s="703" t="s">
        <v>10760</v>
      </c>
      <c r="E315" s="704"/>
      <c r="F315" s="235" t="s">
        <v>10761</v>
      </c>
      <c r="G315" s="235" t="s">
        <v>10762</v>
      </c>
      <c r="I315" s="697"/>
      <c r="J315" s="698"/>
      <c r="K315" s="239"/>
      <c r="L315" s="697"/>
      <c r="M315" s="698"/>
    </row>
    <row r="316" spans="1:13" ht="22.5" x14ac:dyDescent="0.35">
      <c r="B316" s="702"/>
      <c r="C316" s="239"/>
      <c r="D316" s="705" t="s">
        <v>96</v>
      </c>
      <c r="E316" s="706"/>
      <c r="F316" s="236">
        <f>INDEX(WEAP!$A:$AN,MATCH(B313,WEAP!$A:$A,0),MATCH("HP",WEAP!$A$1:$BF$1,0))</f>
        <v>157</v>
      </c>
      <c r="G316" s="237">
        <f>INDEX(WEAP!$A:$AN,MATCH(B313,WEAP!$A:$A,0),MATCH("HP V3",WEAP!$A$1:$BF$1,0))</f>
        <v>175</v>
      </c>
      <c r="I316" s="697"/>
      <c r="J316" s="698"/>
      <c r="K316" s="239"/>
      <c r="L316" s="697"/>
      <c r="M316" s="698"/>
    </row>
    <row r="317" spans="1:13" ht="22.5" x14ac:dyDescent="0.35">
      <c r="B317" s="702"/>
      <c r="C317" s="239"/>
      <c r="D317" s="707" t="s">
        <v>97</v>
      </c>
      <c r="E317" s="708"/>
      <c r="F317" s="236">
        <f>INDEX(WEAP!$A:$AN,MATCH(B313,WEAP!$A:$A,0),MATCH("Str",WEAP!$A$1:$BF$1,0))</f>
        <v>612</v>
      </c>
      <c r="G317" s="237">
        <f>INDEX(WEAP!$A:$AN,MATCH(B313,WEAP!$A:$A,0),MATCH("Str V3",WEAP!$A$1:$BF$1,0))</f>
        <v>615</v>
      </c>
      <c r="I317" s="699"/>
      <c r="J317" s="700"/>
      <c r="K317" s="239"/>
      <c r="L317" s="699"/>
      <c r="M317" s="700"/>
    </row>
    <row r="318" spans="1:13" ht="33.75" customHeight="1" x14ac:dyDescent="0.2">
      <c r="A318" t="s">
        <v>10763</v>
      </c>
    </row>
    <row r="319" spans="1:13" ht="22.5" x14ac:dyDescent="0.35">
      <c r="A319" s="244" t="str">
        <f>TEXT(A312+1,"000")</f>
        <v>046</v>
      </c>
      <c r="B319" s="238" t="str">
        <f>"W-"&amp;A319</f>
        <v>W-046</v>
      </c>
      <c r="C319" s="239"/>
      <c r="D319" s="692" t="str">
        <f>+INDEX(WEAP!$A:$AN,MATCH(B320,WEAP!$A:$A,0),MATCH("Name",WEAP!$A$1:$BF$1,0))</f>
        <v>Maar Oasis</v>
      </c>
      <c r="E319" s="693"/>
      <c r="F319" s="693"/>
      <c r="G319" s="694"/>
      <c r="I319" s="241" t="str">
        <f>+INDEX(WEAP!$A:$AN,MATCH(B320,WEAP!$A:$A,0),MATCH("Weapon Skill",WEAP!$A$1:$BF$1,0))</f>
        <v>Maar's Recovery</v>
      </c>
      <c r="J319" s="243">
        <f>INDEX('W-S'!$A:$N,MATCH(I319,'W-S'!$C:$C,0),MATCH("SP Cost",'W-S'!$1:$1,0))</f>
        <v>12841</v>
      </c>
      <c r="K319" s="9"/>
      <c r="L319" s="241" t="str">
        <f>+I319</f>
        <v>Maar's Recovery</v>
      </c>
      <c r="M319" s="243">
        <f>INDEX('W-S'!$A:$N,MATCH(L319,'W-S'!$C:$C,0),MATCH("SP Cost V3",'W-S'!$1:$1,0))</f>
        <v>12000</v>
      </c>
    </row>
    <row r="320" spans="1:13" ht="22.5" x14ac:dyDescent="0.35">
      <c r="B320" s="238" t="str">
        <f>+INDEX(WEAP!$A:$AN,MATCH(B319,WEAP!$B:$B,0),MATCH("ID",WEAP!$A$1:$BF$1,0))</f>
        <v>302010_01</v>
      </c>
      <c r="C320" s="240"/>
      <c r="D320" s="692" t="str">
        <f>+INDEX(WEAP!$A:$AN,MATCH(B319,WEAP!$B:$B,0),MATCH("Family",WEAP!$A$1:$BF$1,0))&amp;" Weapon"</f>
        <v>Core E Weapon</v>
      </c>
      <c r="E320" s="693"/>
      <c r="F320" s="693"/>
      <c r="G320" s="694"/>
      <c r="H320" s="8"/>
      <c r="I320" s="695" t="str">
        <f>INDEX('W-S'!$A:$O,MATCH(I319,'W-S'!$C:$C,0),MATCH("Description",'W-S'!$1:$1,0))</f>
        <v>Restores the user's HP with 90% Recovery Potency.</v>
      </c>
      <c r="J320" s="696"/>
      <c r="K320" s="239"/>
      <c r="L320" s="695" t="str">
        <f>INDEX('W-S'!$A:$O,MATCH(I319,'W-S'!$C:$C,0),MATCH("Description V3",'W-S'!$1:$1,0))</f>
        <v>Restores the user's HP with 130% Recovery Potency, and adds 20% to the modifier applied to damage against flame-attuned enemies for 20 seconds.</v>
      </c>
      <c r="M320" s="696"/>
    </row>
    <row r="321" spans="1:13" ht="22.5" x14ac:dyDescent="0.2">
      <c r="B321" s="701" t="e" vm="21">
        <f>+_xlfn.IMAGE("https://natalie.tf/wp-content/uploads/2023/10/DLV3_Icon_Weapon_"&amp;B320&amp;".png")</f>
        <v>#VALUE!</v>
      </c>
      <c r="C321" s="240"/>
      <c r="D321" s="692" t="str">
        <f>INDEX(WEAP!$A:$AN,MATCH(B320,WEAP!$A:$A,0),MATCH("Element",WEAP!$A$1:$BF$1,0))&amp;" "&amp;INDEX(WEAP!$A:$AN,MATCH(B320,WEAP!$A:$A,0),MATCH("Type",WEAP!$A$1:$BF$1,0))</f>
        <v>Water Blade</v>
      </c>
      <c r="E321" s="693"/>
      <c r="F321" s="693"/>
      <c r="G321" s="694"/>
      <c r="H321" s="8"/>
      <c r="I321" s="697"/>
      <c r="J321" s="698"/>
      <c r="K321" s="9"/>
      <c r="L321" s="697"/>
      <c r="M321" s="698"/>
    </row>
    <row r="322" spans="1:13" ht="22.5" x14ac:dyDescent="0.35">
      <c r="B322" s="702"/>
      <c r="C322" s="239"/>
      <c r="D322" s="703" t="s">
        <v>10760</v>
      </c>
      <c r="E322" s="704"/>
      <c r="F322" s="235" t="s">
        <v>10761</v>
      </c>
      <c r="G322" s="235" t="s">
        <v>10762</v>
      </c>
      <c r="I322" s="697"/>
      <c r="J322" s="698"/>
      <c r="K322" s="239"/>
      <c r="L322" s="697"/>
      <c r="M322" s="698"/>
    </row>
    <row r="323" spans="1:13" ht="22.5" x14ac:dyDescent="0.35">
      <c r="B323" s="702"/>
      <c r="C323" s="239"/>
      <c r="D323" s="705" t="s">
        <v>96</v>
      </c>
      <c r="E323" s="706"/>
      <c r="F323" s="236">
        <f>INDEX(WEAP!$A:$AN,MATCH(B320,WEAP!$A:$A,0),MATCH("HP",WEAP!$A$1:$BF$1,0))</f>
        <v>157</v>
      </c>
      <c r="G323" s="237">
        <f>INDEX(WEAP!$A:$AN,MATCH(B320,WEAP!$A:$A,0),MATCH("HP V3",WEAP!$A$1:$BF$1,0))</f>
        <v>160</v>
      </c>
      <c r="I323" s="697"/>
      <c r="J323" s="698"/>
      <c r="K323" s="239"/>
      <c r="L323" s="697"/>
      <c r="M323" s="698"/>
    </row>
    <row r="324" spans="1:13" ht="22.5" x14ac:dyDescent="0.35">
      <c r="B324" s="702"/>
      <c r="C324" s="239"/>
      <c r="D324" s="707" t="s">
        <v>97</v>
      </c>
      <c r="E324" s="708"/>
      <c r="F324" s="236">
        <f>INDEX(WEAP!$A:$AN,MATCH(B320,WEAP!$A:$A,0),MATCH("Str",WEAP!$A$1:$BF$1,0))</f>
        <v>598</v>
      </c>
      <c r="G324" s="237">
        <f>INDEX(WEAP!$A:$AN,MATCH(B320,WEAP!$A:$A,0),MATCH("Str V3",WEAP!$A$1:$BF$1,0))</f>
        <v>650</v>
      </c>
      <c r="I324" s="699"/>
      <c r="J324" s="700"/>
      <c r="K324" s="239"/>
      <c r="L324" s="699"/>
      <c r="M324" s="700"/>
    </row>
    <row r="325" spans="1:13" s="245" customFormat="1" ht="7.5" customHeight="1" x14ac:dyDescent="0.2">
      <c r="A325" s="245" t="s">
        <v>10763</v>
      </c>
    </row>
    <row r="326" spans="1:13" ht="22.5" x14ac:dyDescent="0.35">
      <c r="A326" s="242" t="str">
        <f>TEXT(A319+1,"000")</f>
        <v>047</v>
      </c>
      <c r="B326" s="238" t="str">
        <f>"W-"&amp;A326</f>
        <v>W-047</v>
      </c>
      <c r="C326" s="239"/>
      <c r="D326" s="692" t="str">
        <f>+INDEX(WEAP!$A:$AN,MATCH(B327,WEAP!$A:$A,0),MATCH("Name",WEAP!$A$1:$BF$1,0))</f>
        <v>Lux Lamina</v>
      </c>
      <c r="E326" s="693"/>
      <c r="F326" s="693"/>
      <c r="G326" s="694"/>
      <c r="I326" s="241" t="str">
        <f>+INDEX(WEAP!$A:$AN,MATCH(B327,WEAP!$A:$A,0),MATCH("Weapon Skill",WEAP!$A$1:$BF$1,0))</f>
        <v>Cobalt Strength</v>
      </c>
      <c r="J326" s="243">
        <f>INDEX('W-S'!$A:$N,MATCH(I326,'W-S'!$C:$C,0),MATCH("SP Cost",'W-S'!$1:$1,0))</f>
        <v>7103</v>
      </c>
      <c r="K326" s="9"/>
      <c r="L326" s="241" t="str">
        <f>+I326</f>
        <v>Cobalt Strength</v>
      </c>
      <c r="M326" s="243">
        <f>INDEX('W-S'!$A:$N,MATCH(L326,'W-S'!$C:$C,0),MATCH("SP Cost V3",'W-S'!$1:$1,0))</f>
        <v>6000</v>
      </c>
    </row>
    <row r="327" spans="1:13" ht="22.5" x14ac:dyDescent="0.35">
      <c r="B327" s="238" t="str">
        <f>+INDEX(WEAP!$A:$AN,MATCH(B326,WEAP!$B:$B,0),MATCH("ID",WEAP!$A$1:$BF$1,0))</f>
        <v>303020_01</v>
      </c>
      <c r="C327" s="240"/>
      <c r="D327" s="692" t="str">
        <f>+INDEX(WEAP!$A:$AN,MATCH(B326,WEAP!$B:$B,0),MATCH("Family",WEAP!$A$1:$BF$1,0))&amp;" Weapon"</f>
        <v>Core E Weapon</v>
      </c>
      <c r="E327" s="693"/>
      <c r="F327" s="693"/>
      <c r="G327" s="694"/>
      <c r="H327" s="8"/>
      <c r="I327" s="695" t="str">
        <f>INDEX('W-S'!$A:$O,MATCH(I326,'W-S'!$C:$C,0),MATCH("Description",'W-S'!$1:$1,0))</f>
        <v>Increases the user's strength by 40% for 5 seconds.</v>
      </c>
      <c r="J327" s="696"/>
      <c r="K327" s="239"/>
      <c r="L327" s="695" t="str">
        <f>INDEX('W-S'!$A:$O,MATCH(I326,'W-S'!$C:$C,0),MATCH("Description V3",'W-S'!$1:$1,0))</f>
        <v>Increases the user's strength by 50% for 20 seconds, and adds 20% to the modifier applied to damage against flame-attuned enemies for 20 seconds.</v>
      </c>
      <c r="M327" s="696"/>
    </row>
    <row r="328" spans="1:13" ht="22.5" x14ac:dyDescent="0.2">
      <c r="B328" s="701" t="e" vm="22">
        <f>+_xlfn.IMAGE("https://natalie.tf/wp-content/uploads/2023/10/DLV3_Icon_Weapon_"&amp;B327&amp;".png")</f>
        <v>#VALUE!</v>
      </c>
      <c r="C328" s="240"/>
      <c r="D328" s="692" t="str">
        <f>INDEX(WEAP!$A:$AN,MATCH(B327,WEAP!$A:$A,0),MATCH("Element",WEAP!$A$1:$BF$1,0))&amp;" "&amp;INDEX(WEAP!$A:$AN,MATCH(B327,WEAP!$A:$A,0),MATCH("Type",WEAP!$A$1:$BF$1,0))</f>
        <v>Water Dagger</v>
      </c>
      <c r="E328" s="693"/>
      <c r="F328" s="693"/>
      <c r="G328" s="694"/>
      <c r="H328" s="8"/>
      <c r="I328" s="697"/>
      <c r="J328" s="698"/>
      <c r="K328" s="9"/>
      <c r="L328" s="697"/>
      <c r="M328" s="698"/>
    </row>
    <row r="329" spans="1:13" ht="22.5" x14ac:dyDescent="0.35">
      <c r="B329" s="702"/>
      <c r="C329" s="239"/>
      <c r="D329" s="703" t="s">
        <v>10760</v>
      </c>
      <c r="E329" s="704"/>
      <c r="F329" s="235" t="s">
        <v>10761</v>
      </c>
      <c r="G329" s="235" t="s">
        <v>10762</v>
      </c>
      <c r="I329" s="697"/>
      <c r="J329" s="698"/>
      <c r="K329" s="239"/>
      <c r="L329" s="697"/>
      <c r="M329" s="698"/>
    </row>
    <row r="330" spans="1:13" ht="22.5" x14ac:dyDescent="0.35">
      <c r="B330" s="702"/>
      <c r="C330" s="239"/>
      <c r="D330" s="705" t="s">
        <v>96</v>
      </c>
      <c r="E330" s="706"/>
      <c r="F330" s="236">
        <f>INDEX(WEAP!$A:$AN,MATCH(B327,WEAP!$A:$A,0),MATCH("HP",WEAP!$A$1:$BF$1,0))</f>
        <v>167</v>
      </c>
      <c r="G330" s="237">
        <f>INDEX(WEAP!$A:$AN,MATCH(B327,WEAP!$A:$A,0),MATCH("HP V3",WEAP!$A$1:$BF$1,0))</f>
        <v>170</v>
      </c>
      <c r="I330" s="697"/>
      <c r="J330" s="698"/>
      <c r="K330" s="239"/>
      <c r="L330" s="697"/>
      <c r="M330" s="698"/>
    </row>
    <row r="331" spans="1:13" ht="22.5" x14ac:dyDescent="0.35">
      <c r="B331" s="702"/>
      <c r="C331" s="239"/>
      <c r="D331" s="707" t="s">
        <v>97</v>
      </c>
      <c r="E331" s="708"/>
      <c r="F331" s="236">
        <f>INDEX(WEAP!$A:$AN,MATCH(B327,WEAP!$A:$A,0),MATCH("Str",WEAP!$A$1:$BF$1,0))</f>
        <v>582</v>
      </c>
      <c r="G331" s="237">
        <f>INDEX(WEAP!$A:$AN,MATCH(B327,WEAP!$A:$A,0),MATCH("Str V3",WEAP!$A$1:$BF$1,0))</f>
        <v>600</v>
      </c>
      <c r="I331" s="699"/>
      <c r="J331" s="700"/>
      <c r="K331" s="239"/>
      <c r="L331" s="699"/>
      <c r="M331" s="700"/>
    </row>
    <row r="332" spans="1:13" s="245" customFormat="1" ht="7.5" customHeight="1" x14ac:dyDescent="0.2">
      <c r="A332" s="245" t="s">
        <v>10763</v>
      </c>
    </row>
    <row r="333" spans="1:13" ht="22.5" x14ac:dyDescent="0.35">
      <c r="A333" s="244" t="str">
        <f>TEXT(A326+1,"000")</f>
        <v>048</v>
      </c>
      <c r="B333" s="238" t="str">
        <f>"W-"&amp;A333</f>
        <v>W-048</v>
      </c>
      <c r="C333" s="239"/>
      <c r="D333" s="692" t="str">
        <f>+INDEX(WEAP!$A:$AN,MATCH(B334,WEAP!$A:$A,0),MATCH("Name",WEAP!$A$1:$BF$1,0))</f>
        <v>Grand Seadragon</v>
      </c>
      <c r="E333" s="693"/>
      <c r="F333" s="693"/>
      <c r="G333" s="694"/>
      <c r="I333" s="241" t="str">
        <f>+INDEX(WEAP!$A:$AN,MATCH(B334,WEAP!$A:$A,0),MATCH("Weapon Skill",WEAP!$A$1:$BF$1,0))</f>
        <v>Seadragon's Impact</v>
      </c>
      <c r="J333" s="243">
        <f>INDEX('W-S'!$A:$N,MATCH(I333,'W-S'!$C:$C,0),MATCH("SP Cost",'W-S'!$1:$1,0))</f>
        <v>9025</v>
      </c>
      <c r="K333" s="9"/>
      <c r="L333" s="241" t="str">
        <f>+I333</f>
        <v>Seadragon's Impact</v>
      </c>
      <c r="M333" s="243">
        <f>INDEX('W-S'!$A:$N,MATCH(L333,'W-S'!$C:$C,0),MATCH("SP Cost V3",'W-S'!$1:$1,0))</f>
        <v>6000</v>
      </c>
    </row>
    <row r="334" spans="1:13" ht="22.5" x14ac:dyDescent="0.35">
      <c r="B334" s="238" t="str">
        <f>+INDEX(WEAP!$A:$AN,MATCH(B333,WEAP!$B:$B,0),MATCH("ID",WEAP!$A$1:$BF$1,0))</f>
        <v>304028_01</v>
      </c>
      <c r="C334" s="240"/>
      <c r="D334" s="692" t="str">
        <f>+INDEX(WEAP!$A:$AN,MATCH(B333,WEAP!$B:$B,0),MATCH("Family",WEAP!$A$1:$BF$1,0))&amp;" Weapon"</f>
        <v>Core E Weapon</v>
      </c>
      <c r="E334" s="693"/>
      <c r="F334" s="693"/>
      <c r="G334" s="694"/>
      <c r="H334" s="8"/>
      <c r="I334" s="695" t="str">
        <f>INDEX('W-S'!$A:$O,MATCH(I333,'W-S'!$C:$C,0),MATCH("Description",'W-S'!$1:$1,0))</f>
        <v>Deals 3 hits of 418% water damage to enemies directly ahead.</v>
      </c>
      <c r="J334" s="696"/>
      <c r="K334" s="239"/>
      <c r="L334" s="695" t="str">
        <f>INDEX('W-S'!$A:$O,MATCH(I333,'W-S'!$C:$C,0),MATCH("Description V3",'W-S'!$1:$1,0))</f>
        <v>Deals 3 hits of 500% water damage to enemies directly ahead, and adds 20% to the modifier applied to damage against flame-attuned enemies for 20 seconds.</v>
      </c>
      <c r="M334" s="696"/>
    </row>
    <row r="335" spans="1:13" ht="22.5" x14ac:dyDescent="0.2">
      <c r="B335" s="701" t="e" vm="23">
        <f>+_xlfn.IMAGE("https://natalie.tf/wp-content/uploads/2023/10/DLV3_Icon_Weapon_"&amp;B334&amp;".png")</f>
        <v>#VALUE!</v>
      </c>
      <c r="C335" s="240"/>
      <c r="D335" s="692" t="str">
        <f>INDEX(WEAP!$A:$AN,MATCH(B334,WEAP!$A:$A,0),MATCH("Element",WEAP!$A$1:$BF$1,0))&amp;" "&amp;INDEX(WEAP!$A:$AN,MATCH(B334,WEAP!$A:$A,0),MATCH("Type",WEAP!$A$1:$BF$1,0))</f>
        <v>Water Axe</v>
      </c>
      <c r="E335" s="693"/>
      <c r="F335" s="693"/>
      <c r="G335" s="694"/>
      <c r="H335" s="8"/>
      <c r="I335" s="697"/>
      <c r="J335" s="698"/>
      <c r="K335" s="9"/>
      <c r="L335" s="697"/>
      <c r="M335" s="698"/>
    </row>
    <row r="336" spans="1:13" ht="22.5" x14ac:dyDescent="0.35">
      <c r="B336" s="702"/>
      <c r="C336" s="239"/>
      <c r="D336" s="703" t="s">
        <v>10760</v>
      </c>
      <c r="E336" s="704"/>
      <c r="F336" s="235" t="s">
        <v>10761</v>
      </c>
      <c r="G336" s="235" t="s">
        <v>10762</v>
      </c>
      <c r="I336" s="697"/>
      <c r="J336" s="698"/>
      <c r="K336" s="239"/>
      <c r="L336" s="697"/>
      <c r="M336" s="698"/>
    </row>
    <row r="337" spans="1:13" ht="22.5" x14ac:dyDescent="0.35">
      <c r="B337" s="702"/>
      <c r="C337" s="239"/>
      <c r="D337" s="705" t="s">
        <v>96</v>
      </c>
      <c r="E337" s="706"/>
      <c r="F337" s="236">
        <f>INDEX(WEAP!$A:$AN,MATCH(B334,WEAP!$A:$A,0),MATCH("HP",WEAP!$A$1:$BF$1,0))</f>
        <v>161</v>
      </c>
      <c r="G337" s="237">
        <f>INDEX(WEAP!$A:$AN,MATCH(B334,WEAP!$A:$A,0),MATCH("HP V3",WEAP!$A$1:$BF$1,0))</f>
        <v>170</v>
      </c>
      <c r="I337" s="697"/>
      <c r="J337" s="698"/>
      <c r="K337" s="239"/>
      <c r="L337" s="697"/>
      <c r="M337" s="698"/>
    </row>
    <row r="338" spans="1:13" ht="22.5" x14ac:dyDescent="0.35">
      <c r="B338" s="702"/>
      <c r="C338" s="239"/>
      <c r="D338" s="707" t="s">
        <v>97</v>
      </c>
      <c r="E338" s="708"/>
      <c r="F338" s="236">
        <f>INDEX(WEAP!$A:$AN,MATCH(B334,WEAP!$A:$A,0),MATCH("Str",WEAP!$A$1:$BF$1,0))</f>
        <v>642</v>
      </c>
      <c r="G338" s="237">
        <f>INDEX(WEAP!$A:$AN,MATCH(B334,WEAP!$A:$A,0),MATCH("Str V3",WEAP!$A$1:$BF$1,0))</f>
        <v>645</v>
      </c>
      <c r="I338" s="699"/>
      <c r="J338" s="700"/>
      <c r="K338" s="239"/>
      <c r="L338" s="699"/>
      <c r="M338" s="700"/>
    </row>
    <row r="339" spans="1:13" s="245" customFormat="1" ht="7.5" customHeight="1" x14ac:dyDescent="0.2">
      <c r="A339" s="245" t="s">
        <v>10763</v>
      </c>
    </row>
    <row r="340" spans="1:13" ht="22.5" x14ac:dyDescent="0.35">
      <c r="A340" s="244" t="str">
        <f>TEXT(A333+1,"000")</f>
        <v>049</v>
      </c>
      <c r="B340" s="238" t="str">
        <f>"W-"&amp;A340</f>
        <v>W-049</v>
      </c>
      <c r="C340" s="239"/>
      <c r="D340" s="692" t="str">
        <f>+INDEX(WEAP!$A:$AN,MATCH(B341,WEAP!$A:$A,0),MATCH("Name",WEAP!$A$1:$BF$1,0))</f>
        <v>Ocean Lord</v>
      </c>
      <c r="E340" s="693"/>
      <c r="F340" s="693"/>
      <c r="G340" s="694"/>
      <c r="I340" s="241" t="str">
        <f>+INDEX(WEAP!$A:$AN,MATCH(B341,WEAP!$A:$A,0),MATCH("Weapon Skill",WEAP!$A$1:$BF$1,0))</f>
        <v>Ocean's Healing</v>
      </c>
      <c r="J340" s="243">
        <f>INDEX('W-S'!$A:$N,MATCH(I340,'W-S'!$C:$C,0),MATCH("SP Cost",'W-S'!$1:$1,0))</f>
        <v>14410</v>
      </c>
      <c r="K340" s="9"/>
      <c r="L340" s="241" t="str">
        <f>+I340</f>
        <v>Ocean's Healing</v>
      </c>
      <c r="M340" s="243">
        <f>INDEX('W-S'!$A:$N,MATCH(L340,'W-S'!$C:$C,0),MATCH("SP Cost V3",'W-S'!$1:$1,0))</f>
        <v>12000</v>
      </c>
    </row>
    <row r="341" spans="1:13" ht="22.5" x14ac:dyDescent="0.35">
      <c r="B341" s="238" t="str">
        <f>+INDEX(WEAP!$A:$AN,MATCH(B340,WEAP!$B:$B,0),MATCH("ID",WEAP!$A$1:$BF$1,0))</f>
        <v>305014_01</v>
      </c>
      <c r="C341" s="240"/>
      <c r="D341" s="692" t="str">
        <f>+INDEX(WEAP!$A:$AN,MATCH(B340,WEAP!$B:$B,0),MATCH("Family",WEAP!$A$1:$BF$1,0))&amp;" Weapon"</f>
        <v>Core E Weapon</v>
      </c>
      <c r="E341" s="693"/>
      <c r="F341" s="693"/>
      <c r="G341" s="694"/>
      <c r="H341" s="8"/>
      <c r="I341" s="695" t="str">
        <f>INDEX('W-S'!$A:$O,MATCH(I340,'W-S'!$C:$C,0),MATCH("Description",'W-S'!$1:$1,0))</f>
        <v>Restores HP to surrounding teammates with 72% Recovery Potency.</v>
      </c>
      <c r="J341" s="696"/>
      <c r="K341" s="239"/>
      <c r="L341" s="695" t="str">
        <f>INDEX('W-S'!$A:$O,MATCH(I340,'W-S'!$C:$C,0),MATCH("Description V3",'W-S'!$1:$1,0))</f>
        <v>Restores HP to all teammates with 90% Recovery Potency, and adds 20% to the user's modifier applied to damage against flame-attuned enemies for 20 seconds.</v>
      </c>
      <c r="M341" s="696"/>
    </row>
    <row r="342" spans="1:13" ht="22.5" x14ac:dyDescent="0.2">
      <c r="B342" s="701" t="e" vm="24">
        <f>+_xlfn.IMAGE("https://natalie.tf/wp-content/uploads/2023/10/DLV3_Icon_Weapon_"&amp;B341&amp;".png")</f>
        <v>#VALUE!</v>
      </c>
      <c r="C342" s="240"/>
      <c r="D342" s="692" t="str">
        <f>INDEX(WEAP!$A:$AN,MATCH(B341,WEAP!$A:$A,0),MATCH("Element",WEAP!$A$1:$BF$1,0))&amp;" "&amp;INDEX(WEAP!$A:$AN,MATCH(B341,WEAP!$A:$A,0),MATCH("Type",WEAP!$A$1:$BF$1,0))</f>
        <v>Water Lance</v>
      </c>
      <c r="E342" s="693"/>
      <c r="F342" s="693"/>
      <c r="G342" s="694"/>
      <c r="H342" s="8"/>
      <c r="I342" s="697"/>
      <c r="J342" s="698"/>
      <c r="K342" s="9"/>
      <c r="L342" s="697"/>
      <c r="M342" s="698"/>
    </row>
    <row r="343" spans="1:13" ht="22.5" x14ac:dyDescent="0.35">
      <c r="B343" s="702"/>
      <c r="C343" s="239"/>
      <c r="D343" s="703" t="s">
        <v>10760</v>
      </c>
      <c r="E343" s="704"/>
      <c r="F343" s="235" t="s">
        <v>10761</v>
      </c>
      <c r="G343" s="235" t="s">
        <v>10762</v>
      </c>
      <c r="I343" s="697"/>
      <c r="J343" s="698"/>
      <c r="K343" s="239"/>
      <c r="L343" s="697"/>
      <c r="M343" s="698"/>
    </row>
    <row r="344" spans="1:13" ht="22.5" x14ac:dyDescent="0.35">
      <c r="B344" s="702"/>
      <c r="C344" s="239"/>
      <c r="D344" s="705" t="s">
        <v>96</v>
      </c>
      <c r="E344" s="706"/>
      <c r="F344" s="236">
        <f>INDEX(WEAP!$A:$AN,MATCH(B341,WEAP!$A:$A,0),MATCH("HP",WEAP!$A$1:$BF$1,0))</f>
        <v>182</v>
      </c>
      <c r="G344" s="237">
        <f>INDEX(WEAP!$A:$AN,MATCH(B341,WEAP!$A:$A,0),MATCH("HP V3",WEAP!$A$1:$BF$1,0))</f>
        <v>185</v>
      </c>
      <c r="I344" s="697"/>
      <c r="J344" s="698"/>
      <c r="K344" s="239"/>
      <c r="L344" s="697"/>
      <c r="M344" s="698"/>
    </row>
    <row r="345" spans="1:13" ht="22.5" x14ac:dyDescent="0.35">
      <c r="B345" s="702"/>
      <c r="C345" s="239"/>
      <c r="D345" s="707" t="s">
        <v>97</v>
      </c>
      <c r="E345" s="708"/>
      <c r="F345" s="236">
        <f>INDEX(WEAP!$A:$AN,MATCH(B341,WEAP!$A:$A,0),MATCH("Str",WEAP!$A$1:$BF$1,0))</f>
        <v>576</v>
      </c>
      <c r="G345" s="237">
        <f>INDEX(WEAP!$A:$AN,MATCH(B341,WEAP!$A:$A,0),MATCH("Str V3",WEAP!$A$1:$BF$1,0))</f>
        <v>625</v>
      </c>
      <c r="I345" s="699"/>
      <c r="J345" s="700"/>
      <c r="K345" s="239"/>
      <c r="L345" s="699"/>
      <c r="M345" s="700"/>
    </row>
    <row r="346" spans="1:13" s="245" customFormat="1" ht="7.5" customHeight="1" x14ac:dyDescent="0.2">
      <c r="A346" s="245" t="s">
        <v>10763</v>
      </c>
    </row>
    <row r="347" spans="1:13" ht="22.5" x14ac:dyDescent="0.35">
      <c r="A347" s="244" t="str">
        <f>TEXT(A340+1,"000")</f>
        <v>050</v>
      </c>
      <c r="B347" s="238" t="str">
        <f>"W-"&amp;A347</f>
        <v>W-050</v>
      </c>
      <c r="C347" s="239"/>
      <c r="D347" s="692" t="str">
        <f>+INDEX(WEAP!$A:$AN,MATCH(B348,WEAP!$A:$A,0),MATCH("Name",WEAP!$A$1:$BF$1,0))</f>
        <v>Peacock's Whorl</v>
      </c>
      <c r="E347" s="693"/>
      <c r="F347" s="693"/>
      <c r="G347" s="694"/>
      <c r="I347" s="241" t="str">
        <f>+INDEX(WEAP!$A:$AN,MATCH(B348,WEAP!$A:$A,0),MATCH("Weapon Skill",WEAP!$A$1:$BF$1,0))</f>
        <v>Peacock Shot</v>
      </c>
      <c r="J347" s="243">
        <f>INDEX('W-S'!$A:$N,MATCH(I347,'W-S'!$C:$C,0),MATCH("SP Cost",'W-S'!$1:$1,0))</f>
        <v>7316</v>
      </c>
      <c r="K347" s="9"/>
      <c r="L347" s="241" t="str">
        <f>+I347</f>
        <v>Peacock Shot</v>
      </c>
      <c r="M347" s="243">
        <f>INDEX('W-S'!$A:$N,MATCH(L347,'W-S'!$C:$C,0),MATCH("SP Cost V3",'W-S'!$1:$1,0))</f>
        <v>6000</v>
      </c>
    </row>
    <row r="348" spans="1:13" ht="22.5" x14ac:dyDescent="0.35">
      <c r="B348" s="238" t="str">
        <f>+INDEX(WEAP!$A:$AN,MATCH(B347,WEAP!$B:$B,0),MATCH("ID",WEAP!$A$1:$BF$1,0))</f>
        <v>306029_01</v>
      </c>
      <c r="C348" s="240"/>
      <c r="D348" s="692" t="str">
        <f>+INDEX(WEAP!$A:$AN,MATCH(B347,WEAP!$B:$B,0),MATCH("Family",WEAP!$A$1:$BF$1,0))&amp;" Weapon"</f>
        <v>Core E Weapon</v>
      </c>
      <c r="E348" s="693"/>
      <c r="F348" s="693"/>
      <c r="G348" s="694"/>
      <c r="H348" s="8"/>
      <c r="I348" s="695" t="str">
        <f>INDEX('W-S'!$A:$O,MATCH(I347,'W-S'!$C:$C,0),MATCH("Description",'W-S'!$1:$1,0))</f>
        <v>Increases the user's critical rate by 25% for 10 seconds.</v>
      </c>
      <c r="J348" s="696"/>
      <c r="K348" s="239"/>
      <c r="L348" s="695" t="str">
        <f>INDEX('W-S'!$A:$O,MATCH(I347,'W-S'!$C:$C,0),MATCH("Description V3",'W-S'!$1:$1,0))</f>
        <v>Increases the user's critical rate by 30% for 20 seconds, and adds 20% to the modifier applied to damage against flame-attuned enemies for 20 seconds.</v>
      </c>
      <c r="M348" s="696"/>
    </row>
    <row r="349" spans="1:13" ht="22.5" x14ac:dyDescent="0.2">
      <c r="B349" s="701" t="e" vm="25">
        <f>+_xlfn.IMAGE("https://natalie.tf/wp-content/uploads/2023/10/DLV3_Icon_Weapon_"&amp;B348&amp;".png")</f>
        <v>#VALUE!</v>
      </c>
      <c r="C349" s="240"/>
      <c r="D349" s="692" t="str">
        <f>INDEX(WEAP!$A:$AN,MATCH(B348,WEAP!$A:$A,0),MATCH("Element",WEAP!$A$1:$BF$1,0))&amp;" "&amp;INDEX(WEAP!$A:$AN,MATCH(B348,WEAP!$A:$A,0),MATCH("Type",WEAP!$A$1:$BF$1,0))</f>
        <v>Water Bow</v>
      </c>
      <c r="E349" s="693"/>
      <c r="F349" s="693"/>
      <c r="G349" s="694"/>
      <c r="H349" s="8"/>
      <c r="I349" s="697"/>
      <c r="J349" s="698"/>
      <c r="K349" s="9"/>
      <c r="L349" s="697"/>
      <c r="M349" s="698"/>
    </row>
    <row r="350" spans="1:13" ht="22.5" x14ac:dyDescent="0.35">
      <c r="B350" s="702"/>
      <c r="C350" s="239"/>
      <c r="D350" s="703" t="s">
        <v>10760</v>
      </c>
      <c r="E350" s="704"/>
      <c r="F350" s="235" t="s">
        <v>10761</v>
      </c>
      <c r="G350" s="235" t="s">
        <v>10762</v>
      </c>
      <c r="I350" s="697"/>
      <c r="J350" s="698"/>
      <c r="K350" s="239"/>
      <c r="L350" s="697"/>
      <c r="M350" s="698"/>
    </row>
    <row r="351" spans="1:13" ht="22.5" x14ac:dyDescent="0.35">
      <c r="B351" s="702"/>
      <c r="C351" s="239"/>
      <c r="D351" s="705" t="s">
        <v>96</v>
      </c>
      <c r="E351" s="706"/>
      <c r="F351" s="236">
        <f>INDEX(WEAP!$A:$AN,MATCH(B348,WEAP!$A:$A,0),MATCH("HP",WEAP!$A$1:$BF$1,0))</f>
        <v>162</v>
      </c>
      <c r="G351" s="237">
        <f>INDEX(WEAP!$A:$AN,MATCH(B348,WEAP!$A:$A,0),MATCH("HP V3",WEAP!$A$1:$BF$1,0))</f>
        <v>165</v>
      </c>
      <c r="I351" s="697"/>
      <c r="J351" s="698"/>
      <c r="K351" s="239"/>
      <c r="L351" s="697"/>
      <c r="M351" s="698"/>
    </row>
    <row r="352" spans="1:13" ht="22.5" x14ac:dyDescent="0.35">
      <c r="B352" s="702"/>
      <c r="C352" s="239"/>
      <c r="D352" s="707" t="s">
        <v>97</v>
      </c>
      <c r="E352" s="708"/>
      <c r="F352" s="236">
        <f>INDEX(WEAP!$A:$AN,MATCH(B348,WEAP!$A:$A,0),MATCH("Str",WEAP!$A$1:$BF$1,0))</f>
        <v>570</v>
      </c>
      <c r="G352" s="237">
        <f>INDEX(WEAP!$A:$AN,MATCH(B348,WEAP!$A:$A,0),MATCH("Str V3",WEAP!$A$1:$BF$1,0))</f>
        <v>590</v>
      </c>
      <c r="I352" s="699"/>
      <c r="J352" s="700"/>
      <c r="K352" s="239"/>
      <c r="L352" s="699"/>
      <c r="M352" s="700"/>
    </row>
    <row r="353" spans="1:13" ht="33.75" customHeight="1" x14ac:dyDescent="0.2">
      <c r="A353" t="s">
        <v>10763</v>
      </c>
    </row>
    <row r="354" spans="1:13" ht="22.5" x14ac:dyDescent="0.35">
      <c r="A354" s="244" t="str">
        <f>TEXT(A347+1,"000")</f>
        <v>051</v>
      </c>
      <c r="B354" s="238" t="str">
        <f>"W-"&amp;A354</f>
        <v>W-051</v>
      </c>
      <c r="C354" s="239"/>
      <c r="D354" s="692" t="str">
        <f>+INDEX(WEAP!$A:$AN,MATCH(B355,WEAP!$A:$A,0),MATCH("Name",WEAP!$A$1:$BF$1,0))</f>
        <v>Ocean Monarch</v>
      </c>
      <c r="E354" s="693"/>
      <c r="F354" s="693"/>
      <c r="G354" s="694"/>
      <c r="I354" s="241" t="str">
        <f>+INDEX(WEAP!$A:$AN,MATCH(B355,WEAP!$A:$A,0),MATCH("Weapon Skill",WEAP!$A$1:$BF$1,0))</f>
        <v>Monarch's Blast</v>
      </c>
      <c r="J354" s="243">
        <f>INDEX('W-S'!$A:$N,MATCH(I354,'W-S'!$C:$C,0),MATCH("SP Cost",'W-S'!$1:$1,0))</f>
        <v>8757</v>
      </c>
      <c r="K354" s="9"/>
      <c r="L354" s="241" t="str">
        <f>+I354</f>
        <v>Monarch's Blast</v>
      </c>
      <c r="M354" s="243">
        <f>INDEX('W-S'!$A:$N,MATCH(L354,'W-S'!$C:$C,0),MATCH("SP Cost V3",'W-S'!$1:$1,0))</f>
        <v>6000</v>
      </c>
    </row>
    <row r="355" spans="1:13" ht="22.5" x14ac:dyDescent="0.35">
      <c r="B355" s="238" t="str">
        <f>+INDEX(WEAP!$A:$AN,MATCH(B354,WEAP!$B:$B,0),MATCH("ID",WEAP!$A$1:$BF$1,0))</f>
        <v>307032_01</v>
      </c>
      <c r="C355" s="240"/>
      <c r="D355" s="692" t="str">
        <f>+INDEX(WEAP!$A:$AN,MATCH(B354,WEAP!$B:$B,0),MATCH("Family",WEAP!$A$1:$BF$1,0))&amp;" Weapon"</f>
        <v>Core E Weapon</v>
      </c>
      <c r="E355" s="693"/>
      <c r="F355" s="693"/>
      <c r="G355" s="694"/>
      <c r="H355" s="8"/>
      <c r="I355" s="695" t="str">
        <f>INDEX('W-S'!$A:$O,MATCH(I354,'W-S'!$C:$C,0),MATCH("Description",'W-S'!$1:$1,0))</f>
        <v>Deals 4 hits of 271% water damage to the target and nearby enemies.</v>
      </c>
      <c r="J355" s="696"/>
      <c r="K355" s="239"/>
      <c r="L355" s="695" t="str">
        <f>INDEX('W-S'!$A:$O,MATCH(I354,'W-S'!$C:$C,0),MATCH("Description V3",'W-S'!$1:$1,0))</f>
        <v>Deals 4 hits of 375% water damage to the target and nearby enemies, and adds 20% to the modifier applied to damage against flame-attuned enemies for 20 seconds.</v>
      </c>
      <c r="M355" s="696"/>
    </row>
    <row r="356" spans="1:13" ht="22.5" x14ac:dyDescent="0.2">
      <c r="B356" s="701" t="e" vm="71">
        <f>+_xlfn.IMAGE("https://natalie.tf/wp-content/uploads/2023/10/DLV3_Icon_Weapon_"&amp;B355&amp;".png")</f>
        <v>#VALUE!</v>
      </c>
      <c r="C356" s="240"/>
      <c r="D356" s="692" t="str">
        <f>INDEX(WEAP!$A:$AN,MATCH(B355,WEAP!$A:$A,0),MATCH("Element",WEAP!$A$1:$BF$1,0))&amp;" "&amp;INDEX(WEAP!$A:$AN,MATCH(B355,WEAP!$A:$A,0),MATCH("Type",WEAP!$A$1:$BF$1,0))</f>
        <v>Water Wand</v>
      </c>
      <c r="E356" s="693"/>
      <c r="F356" s="693"/>
      <c r="G356" s="694"/>
      <c r="H356" s="8"/>
      <c r="I356" s="697"/>
      <c r="J356" s="698"/>
      <c r="K356" s="9"/>
      <c r="L356" s="697"/>
      <c r="M356" s="698"/>
    </row>
    <row r="357" spans="1:13" ht="22.5" x14ac:dyDescent="0.35">
      <c r="B357" s="702"/>
      <c r="C357" s="239"/>
      <c r="D357" s="703" t="s">
        <v>10760</v>
      </c>
      <c r="E357" s="704"/>
      <c r="F357" s="235" t="s">
        <v>10761</v>
      </c>
      <c r="G357" s="235" t="s">
        <v>10762</v>
      </c>
      <c r="I357" s="697"/>
      <c r="J357" s="698"/>
      <c r="K357" s="239"/>
      <c r="L357" s="697"/>
      <c r="M357" s="698"/>
    </row>
    <row r="358" spans="1:13" ht="22.5" x14ac:dyDescent="0.35">
      <c r="B358" s="702"/>
      <c r="C358" s="239"/>
      <c r="D358" s="705" t="s">
        <v>96</v>
      </c>
      <c r="E358" s="706"/>
      <c r="F358" s="236">
        <f>INDEX(WEAP!$A:$AN,MATCH(B355,WEAP!$A:$A,0),MATCH("HP",WEAP!$A$1:$BF$1,0))</f>
        <v>147</v>
      </c>
      <c r="G358" s="237">
        <f>INDEX(WEAP!$A:$AN,MATCH(B355,WEAP!$A:$A,0),MATCH("HP V3",WEAP!$A$1:$BF$1,0))</f>
        <v>170</v>
      </c>
      <c r="I358" s="697"/>
      <c r="J358" s="698"/>
      <c r="K358" s="239"/>
      <c r="L358" s="697"/>
      <c r="M358" s="698"/>
    </row>
    <row r="359" spans="1:13" ht="22.5" x14ac:dyDescent="0.35">
      <c r="B359" s="702"/>
      <c r="C359" s="239"/>
      <c r="D359" s="707" t="s">
        <v>97</v>
      </c>
      <c r="E359" s="708"/>
      <c r="F359" s="236">
        <f>INDEX(WEAP!$A:$AN,MATCH(B355,WEAP!$A:$A,0),MATCH("Str",WEAP!$A$1:$BF$1,0))</f>
        <v>630</v>
      </c>
      <c r="G359" s="237">
        <f>INDEX(WEAP!$A:$AN,MATCH(B355,WEAP!$A:$A,0),MATCH("Str V3",WEAP!$A$1:$BF$1,0))</f>
        <v>630</v>
      </c>
      <c r="I359" s="699"/>
      <c r="J359" s="700"/>
      <c r="K359" s="239"/>
      <c r="L359" s="699"/>
      <c r="M359" s="700"/>
    </row>
    <row r="360" spans="1:13" s="245" customFormat="1" ht="7.5" customHeight="1" x14ac:dyDescent="0.2">
      <c r="A360" s="245" t="s">
        <v>10763</v>
      </c>
    </row>
    <row r="361" spans="1:13" ht="22.5" x14ac:dyDescent="0.35">
      <c r="A361" s="242" t="str">
        <f>TEXT(A354+1,"000")</f>
        <v>052</v>
      </c>
      <c r="B361" s="238" t="str">
        <f>"W-"&amp;A361</f>
        <v>W-052</v>
      </c>
      <c r="C361" s="239"/>
      <c r="D361" s="692" t="str">
        <f>+INDEX(WEAP!$A:$AN,MATCH(B362,WEAP!$A:$A,0),MATCH("Name",WEAP!$A$1:$BF$1,0))</f>
        <v>Bracing Waters</v>
      </c>
      <c r="E361" s="693"/>
      <c r="F361" s="693"/>
      <c r="G361" s="694"/>
      <c r="I361" s="241" t="str">
        <f>+INDEX(WEAP!$A:$AN,MATCH(B362,WEAP!$A:$A,0),MATCH("Weapon Skill",WEAP!$A$1:$BF$1,0))</f>
        <v>Bracing Spirit</v>
      </c>
      <c r="J361" s="243">
        <f>INDEX('W-S'!$A:$N,MATCH(I361,'W-S'!$C:$C,0),MATCH("SP Cost",'W-S'!$1:$1,0))</f>
        <v>17748</v>
      </c>
      <c r="K361" s="9"/>
      <c r="L361" s="241" t="str">
        <f>+I361</f>
        <v>Bracing Spirit</v>
      </c>
      <c r="M361" s="243">
        <f>INDEX('W-S'!$A:$N,MATCH(L361,'W-S'!$C:$C,0),MATCH("SP Cost V3",'W-S'!$1:$1,0))</f>
        <v>12000</v>
      </c>
    </row>
    <row r="362" spans="1:13" ht="22.5" x14ac:dyDescent="0.35">
      <c r="B362" s="238" t="str">
        <f>+INDEX(WEAP!$A:$AN,MATCH(B361,WEAP!$B:$B,0),MATCH("ID",WEAP!$A$1:$BF$1,0))</f>
        <v>308011_01</v>
      </c>
      <c r="C362" s="240"/>
      <c r="D362" s="692" t="str">
        <f>+INDEX(WEAP!$A:$AN,MATCH(B361,WEAP!$B:$B,0),MATCH("Family",WEAP!$A$1:$BF$1,0))&amp;" Weapon"</f>
        <v>Core E Weapon</v>
      </c>
      <c r="E362" s="693"/>
      <c r="F362" s="693"/>
      <c r="G362" s="694"/>
      <c r="H362" s="8"/>
      <c r="I362" s="695" t="str">
        <f>INDEX('W-S'!$A:$O,MATCH(I361,'W-S'!$C:$C,0),MATCH("Description",'W-S'!$1:$1,0))</f>
        <v>Increases the potency of the user's recovery skills by 20% for 5 seconds.</v>
      </c>
      <c r="J362" s="696"/>
      <c r="K362" s="239"/>
      <c r="L362" s="695" t="str">
        <f>INDEX('W-S'!$A:$O,MATCH(I361,'W-S'!$C:$C,0),MATCH("Description V3",'W-S'!$1:$1,0))</f>
        <v>Increases the potency of the user's recovery skills by 20% for 20 seconds, and adds 20% to the modifier applied to damage against flame-attuned enemies for 20 seconds.</v>
      </c>
      <c r="M362" s="696"/>
    </row>
    <row r="363" spans="1:13" ht="22.5" x14ac:dyDescent="0.2">
      <c r="B363" s="701" t="e" vm="72">
        <f>+_xlfn.IMAGE("https://natalie.tf/wp-content/uploads/2023/10/DLV3_Icon_Weapon_"&amp;B362&amp;".png")</f>
        <v>#VALUE!</v>
      </c>
      <c r="C363" s="240"/>
      <c r="D363" s="692" t="str">
        <f>INDEX(WEAP!$A:$AN,MATCH(B362,WEAP!$A:$A,0),MATCH("Element",WEAP!$A$1:$BF$1,0))&amp;" "&amp;INDEX(WEAP!$A:$AN,MATCH(B362,WEAP!$A:$A,0),MATCH("Type",WEAP!$A$1:$BF$1,0))</f>
        <v>Water Staff</v>
      </c>
      <c r="E363" s="693"/>
      <c r="F363" s="693"/>
      <c r="G363" s="694"/>
      <c r="H363" s="8"/>
      <c r="I363" s="697"/>
      <c r="J363" s="698"/>
      <c r="K363" s="9"/>
      <c r="L363" s="697"/>
      <c r="M363" s="698"/>
    </row>
    <row r="364" spans="1:13" ht="22.5" x14ac:dyDescent="0.35">
      <c r="B364" s="702"/>
      <c r="C364" s="239"/>
      <c r="D364" s="703" t="s">
        <v>10760</v>
      </c>
      <c r="E364" s="704"/>
      <c r="F364" s="235" t="s">
        <v>10761</v>
      </c>
      <c r="G364" s="235" t="s">
        <v>10762</v>
      </c>
      <c r="I364" s="697"/>
      <c r="J364" s="698"/>
      <c r="K364" s="239"/>
      <c r="L364" s="697"/>
      <c r="M364" s="698"/>
    </row>
    <row r="365" spans="1:13" ht="22.5" x14ac:dyDescent="0.35">
      <c r="B365" s="702"/>
      <c r="C365" s="239"/>
      <c r="D365" s="705" t="s">
        <v>96</v>
      </c>
      <c r="E365" s="706"/>
      <c r="F365" s="236">
        <f>INDEX(WEAP!$A:$AN,MATCH(B362,WEAP!$A:$A,0),MATCH("HP",WEAP!$A$1:$BF$1,0))</f>
        <v>196</v>
      </c>
      <c r="G365" s="237">
        <f>INDEX(WEAP!$A:$AN,MATCH(B362,WEAP!$A:$A,0),MATCH("HP V3",WEAP!$A$1:$BF$1,0))</f>
        <v>200</v>
      </c>
      <c r="I365" s="697"/>
      <c r="J365" s="698"/>
      <c r="K365" s="239"/>
      <c r="L365" s="697"/>
      <c r="M365" s="698"/>
    </row>
    <row r="366" spans="1:13" ht="22.5" x14ac:dyDescent="0.35">
      <c r="B366" s="702"/>
      <c r="C366" s="239"/>
      <c r="D366" s="707" t="s">
        <v>97</v>
      </c>
      <c r="E366" s="708"/>
      <c r="F366" s="236">
        <f>INDEX(WEAP!$A:$AN,MATCH(B362,WEAP!$A:$A,0),MATCH("Str",WEAP!$A$1:$BF$1,0))</f>
        <v>536</v>
      </c>
      <c r="G366" s="237">
        <f>INDEX(WEAP!$A:$AN,MATCH(B362,WEAP!$A:$A,0),MATCH("Str V3",WEAP!$A$1:$BF$1,0))</f>
        <v>565</v>
      </c>
      <c r="I366" s="699"/>
      <c r="J366" s="700"/>
      <c r="K366" s="239"/>
      <c r="L366" s="699"/>
      <c r="M366" s="700"/>
    </row>
    <row r="367" spans="1:13" s="245" customFormat="1" ht="7.5" customHeight="1" x14ac:dyDescent="0.2">
      <c r="A367" s="245" t="s">
        <v>10763</v>
      </c>
    </row>
    <row r="368" spans="1:13" ht="22.5" x14ac:dyDescent="0.35">
      <c r="A368" s="244" t="str">
        <f>TEXT(A361+1,"000")</f>
        <v>053</v>
      </c>
      <c r="B368" s="238" t="str">
        <f>"W-"&amp;A368</f>
        <v>W-053</v>
      </c>
      <c r="C368" s="239"/>
      <c r="D368" s="717" t="str">
        <f>+INDEX(WEAP!$A:$AN,MATCH(B369,WEAP!$A:$A,0),MATCH("Name",WEAP!$A$1:$BF$1,0))</f>
        <v>Chanzelian Caster Mk. 72</v>
      </c>
      <c r="E368" s="718"/>
      <c r="F368" s="718"/>
      <c r="G368" s="719"/>
      <c r="I368" s="241" t="str">
        <f>+INDEX(WEAP!$A:$AN,MATCH(B369,WEAP!$A:$A,0),MATCH("Weapon Skill",WEAP!$A$1:$BF$1,0))</f>
        <v>Mk. 72 Barrage</v>
      </c>
      <c r="J368" s="243">
        <f>INDEX('W-S'!$A:$N,MATCH(I368,'W-S'!$C:$C,0),MATCH("SP Cost",'W-S'!$1:$1,0))</f>
        <v>7316</v>
      </c>
      <c r="K368" s="9"/>
      <c r="L368" s="241" t="str">
        <f>+I368</f>
        <v>Mk. 72 Barrage</v>
      </c>
      <c r="M368" s="243">
        <f>INDEX('W-S'!$A:$N,MATCH(L368,'W-S'!$C:$C,0),MATCH("SP Cost V3",'W-S'!$1:$1,0))</f>
        <v>6000</v>
      </c>
    </row>
    <row r="369" spans="1:13" ht="22.5" x14ac:dyDescent="0.35">
      <c r="B369" s="238" t="str">
        <f>+INDEX(WEAP!$A:$AN,MATCH(B368,WEAP!$B:$B,0),MATCH("ID",WEAP!$A$1:$BF$1,0))</f>
        <v>309012_01</v>
      </c>
      <c r="C369" s="240"/>
      <c r="D369" s="692" t="str">
        <f>+INDEX(WEAP!$A:$AN,MATCH(B368,WEAP!$B:$B,0),MATCH("Family",WEAP!$A$1:$BF$1,0))&amp;" Weapon"</f>
        <v>Core E Weapon</v>
      </c>
      <c r="E369" s="693"/>
      <c r="F369" s="693"/>
      <c r="G369" s="694"/>
      <c r="H369" s="8"/>
      <c r="I369" s="695" t="str">
        <f>INDEX('W-S'!$A:$O,MATCH(I368,'W-S'!$C:$C,0),MATCH("Description",'W-S'!$1:$1,0))</f>
        <v>Deals 7 hits of 197% water damage to enemies directly ahead.</v>
      </c>
      <c r="J369" s="696"/>
      <c r="K369" s="239"/>
      <c r="L369" s="695" t="str">
        <f>INDEX('W-S'!$A:$O,MATCH(I368,'W-S'!$C:$C,0),MATCH("Description V3",'W-S'!$1:$1,0))</f>
        <v>Deals 7 hits of 214% water damage to enemies directly ahead, and adds 20% to the modifier applied to damage against flame-attuned enemies for 20 seconds.</v>
      </c>
      <c r="M369" s="696"/>
    </row>
    <row r="370" spans="1:13" ht="22.5" x14ac:dyDescent="0.2">
      <c r="B370" s="701" t="e" vm="73">
        <f>+_xlfn.IMAGE("https://natalie.tf/wp-content/uploads/2023/10/DLV3_Icon_Weapon_"&amp;B369&amp;".png")</f>
        <v>#VALUE!</v>
      </c>
      <c r="C370" s="240"/>
      <c r="D370" s="692" t="str">
        <f>INDEX(WEAP!$A:$AN,MATCH(B369,WEAP!$A:$A,0),MATCH("Element",WEAP!$A$1:$BF$1,0))&amp;" "&amp;INDEX(WEAP!$A:$AN,MATCH(B369,WEAP!$A:$A,0),MATCH("Type",WEAP!$A$1:$BF$1,0))</f>
        <v>Water Manacaster</v>
      </c>
      <c r="E370" s="693"/>
      <c r="F370" s="693"/>
      <c r="G370" s="694"/>
      <c r="H370" s="8"/>
      <c r="I370" s="697"/>
      <c r="J370" s="698"/>
      <c r="K370" s="9"/>
      <c r="L370" s="697"/>
      <c r="M370" s="698"/>
    </row>
    <row r="371" spans="1:13" ht="22.5" x14ac:dyDescent="0.35">
      <c r="B371" s="702"/>
      <c r="C371" s="239"/>
      <c r="D371" s="703" t="s">
        <v>10760</v>
      </c>
      <c r="E371" s="704"/>
      <c r="F371" s="235" t="s">
        <v>10761</v>
      </c>
      <c r="G371" s="235" t="s">
        <v>10762</v>
      </c>
      <c r="I371" s="697"/>
      <c r="J371" s="698"/>
      <c r="K371" s="239"/>
      <c r="L371" s="697"/>
      <c r="M371" s="698"/>
    </row>
    <row r="372" spans="1:13" ht="22.5" x14ac:dyDescent="0.35">
      <c r="B372" s="702"/>
      <c r="C372" s="239"/>
      <c r="D372" s="705" t="s">
        <v>96</v>
      </c>
      <c r="E372" s="706"/>
      <c r="F372" s="236">
        <f>INDEX(WEAP!$A:$AN,MATCH(B369,WEAP!$A:$A,0),MATCH("HP",WEAP!$A$1:$BF$1,0))</f>
        <v>164</v>
      </c>
      <c r="G372" s="237">
        <f>INDEX(WEAP!$A:$AN,MATCH(B369,WEAP!$A:$A,0),MATCH("HP V3",WEAP!$A$1:$BF$1,0))</f>
        <v>165</v>
      </c>
      <c r="I372" s="697"/>
      <c r="J372" s="698"/>
      <c r="K372" s="239"/>
      <c r="L372" s="697"/>
      <c r="M372" s="698"/>
    </row>
    <row r="373" spans="1:13" ht="22.5" x14ac:dyDescent="0.35">
      <c r="B373" s="702"/>
      <c r="C373" s="239"/>
      <c r="D373" s="707" t="s">
        <v>97</v>
      </c>
      <c r="E373" s="708"/>
      <c r="F373" s="236">
        <f>INDEX(WEAP!$A:$AN,MATCH(B369,WEAP!$A:$A,0),MATCH("Str",WEAP!$A$1:$BF$1,0))</f>
        <v>587</v>
      </c>
      <c r="G373" s="237">
        <f>INDEX(WEAP!$A:$AN,MATCH(B369,WEAP!$A:$A,0),MATCH("Str V3",WEAP!$A$1:$BF$1,0))</f>
        <v>620</v>
      </c>
      <c r="I373" s="699"/>
      <c r="J373" s="700"/>
      <c r="K373" s="239"/>
      <c r="L373" s="699"/>
      <c r="M373" s="700"/>
    </row>
    <row r="374" spans="1:13" s="245" customFormat="1" ht="7.5" customHeight="1" x14ac:dyDescent="0.2">
      <c r="A374" s="245" t="s">
        <v>10763</v>
      </c>
    </row>
    <row r="375" spans="1:13" ht="22.5" x14ac:dyDescent="0.35">
      <c r="A375" s="244" t="str">
        <f>TEXT(A368+1,"000")</f>
        <v>054</v>
      </c>
      <c r="B375" s="238" t="str">
        <f>"W-"&amp;A375</f>
        <v>W-054</v>
      </c>
      <c r="C375" s="239"/>
      <c r="D375" s="692" t="str">
        <f>+INDEX(WEAP!$A:$AN,MATCH(B376,WEAP!$A:$A,0),MATCH("Name",WEAP!$A$1:$BF$1,0))</f>
        <v>Durandal</v>
      </c>
      <c r="E375" s="693"/>
      <c r="F375" s="693"/>
      <c r="G375" s="694"/>
      <c r="I375" s="241" t="str">
        <f>+INDEX(WEAP!$A:$AN,MATCH(B376,WEAP!$A:$A,0),MATCH("Weapon Skill",WEAP!$A$1:$BF$1,0))</f>
        <v>Heroic Epic</v>
      </c>
      <c r="J375" s="243">
        <f>INDEX('W-S'!$A:$N,MATCH(I375,'W-S'!$C:$C,0),MATCH("SP Cost",'W-S'!$1:$1,0))</f>
        <v>7316</v>
      </c>
      <c r="K375" s="9"/>
      <c r="L375" s="241" t="str">
        <f>+I375</f>
        <v>Heroic Epic</v>
      </c>
      <c r="M375" s="243">
        <f>INDEX('W-S'!$A:$N,MATCH(L375,'W-S'!$C:$C,0),MATCH("SP Cost V3",'W-S'!$1:$1,0))</f>
        <v>6000</v>
      </c>
    </row>
    <row r="376" spans="1:13" ht="22.5" x14ac:dyDescent="0.35">
      <c r="B376" s="238" t="str">
        <f>+INDEX(WEAP!$A:$AN,MATCH(B375,WEAP!$B:$B,0),MATCH("ID",WEAP!$A$1:$BF$1,0))</f>
        <v>301033_01</v>
      </c>
      <c r="C376" s="240"/>
      <c r="D376" s="692" t="str">
        <f>+INDEX(WEAP!$A:$AN,MATCH(B375,WEAP!$B:$B,0),MATCH("Family",WEAP!$A$1:$BF$1,0))&amp;" Weapon"</f>
        <v>Core E Weapon</v>
      </c>
      <c r="E376" s="693"/>
      <c r="F376" s="693"/>
      <c r="G376" s="694"/>
      <c r="H376" s="8"/>
      <c r="I376" s="695" t="str">
        <f>INDEX('W-S'!$A:$O,MATCH(I375,'W-S'!$C:$C,0),MATCH("Description",'W-S'!$1:$1,0))</f>
        <v>Increases the user's defense by 30% for 10 seconds.</v>
      </c>
      <c r="J376" s="696"/>
      <c r="K376" s="239"/>
      <c r="L376" s="695" t="str">
        <f>INDEX('W-S'!$A:$O,MATCH(I375,'W-S'!$C:$C,0),MATCH("Description V3",'W-S'!$1:$1,0))</f>
        <v>Increases the user's defense by 50% for 20 seconds, and adds 20% to the modifier applied to damage against water-attuned enemies for 20 seconds.</v>
      </c>
      <c r="M376" s="696"/>
    </row>
    <row r="377" spans="1:13" ht="22.5" x14ac:dyDescent="0.2">
      <c r="B377" s="701" t="e" vm="74">
        <f>+_xlfn.IMAGE("https://natalie.tf/wp-content/uploads/2023/10/DLV3_Icon_Weapon_"&amp;B376&amp;".png")</f>
        <v>#VALUE!</v>
      </c>
      <c r="C377" s="240"/>
      <c r="D377" s="692" t="str">
        <f>INDEX(WEAP!$A:$AN,MATCH(B376,WEAP!$A:$A,0),MATCH("Element",WEAP!$A$1:$BF$1,0))&amp;" "&amp;INDEX(WEAP!$A:$AN,MATCH(B376,WEAP!$A:$A,0),MATCH("Type",WEAP!$A$1:$BF$1,0))</f>
        <v>Wind Sword</v>
      </c>
      <c r="E377" s="693"/>
      <c r="F377" s="693"/>
      <c r="G377" s="694"/>
      <c r="H377" s="8"/>
      <c r="I377" s="697"/>
      <c r="J377" s="698"/>
      <c r="K377" s="9"/>
      <c r="L377" s="697"/>
      <c r="M377" s="698"/>
    </row>
    <row r="378" spans="1:13" ht="22.5" x14ac:dyDescent="0.35">
      <c r="B378" s="702"/>
      <c r="C378" s="239"/>
      <c r="D378" s="703" t="s">
        <v>10760</v>
      </c>
      <c r="E378" s="704"/>
      <c r="F378" s="235" t="s">
        <v>10761</v>
      </c>
      <c r="G378" s="235" t="s">
        <v>10762</v>
      </c>
      <c r="I378" s="697"/>
      <c r="J378" s="698"/>
      <c r="K378" s="239"/>
      <c r="L378" s="697"/>
      <c r="M378" s="698"/>
    </row>
    <row r="379" spans="1:13" ht="22.5" x14ac:dyDescent="0.35">
      <c r="B379" s="702"/>
      <c r="C379" s="239"/>
      <c r="D379" s="705" t="s">
        <v>96</v>
      </c>
      <c r="E379" s="706"/>
      <c r="F379" s="236">
        <f>INDEX(WEAP!$A:$AN,MATCH(B376,WEAP!$A:$A,0),MATCH("HP",WEAP!$A$1:$BF$1,0))</f>
        <v>173</v>
      </c>
      <c r="G379" s="237">
        <f>INDEX(WEAP!$A:$AN,MATCH(B376,WEAP!$A:$A,0),MATCH("HP V3",WEAP!$A$1:$BF$1,0))</f>
        <v>175</v>
      </c>
      <c r="I379" s="697"/>
      <c r="J379" s="698"/>
      <c r="K379" s="239"/>
      <c r="L379" s="697"/>
      <c r="M379" s="698"/>
    </row>
    <row r="380" spans="1:13" ht="22.5" x14ac:dyDescent="0.35">
      <c r="B380" s="702"/>
      <c r="C380" s="239"/>
      <c r="D380" s="707" t="s">
        <v>97</v>
      </c>
      <c r="E380" s="708"/>
      <c r="F380" s="236">
        <f>INDEX(WEAP!$A:$AN,MATCH(B376,WEAP!$A:$A,0),MATCH("Str",WEAP!$A$1:$BF$1,0))</f>
        <v>576</v>
      </c>
      <c r="G380" s="237">
        <f>INDEX(WEAP!$A:$AN,MATCH(B376,WEAP!$A:$A,0),MATCH("Str V3",WEAP!$A$1:$BF$1,0))</f>
        <v>615</v>
      </c>
      <c r="I380" s="699"/>
      <c r="J380" s="700"/>
      <c r="K380" s="239"/>
      <c r="L380" s="699"/>
      <c r="M380" s="700"/>
    </row>
    <row r="381" spans="1:13" s="245" customFormat="1" ht="7.5" customHeight="1" x14ac:dyDescent="0.2">
      <c r="A381" s="245" t="s">
        <v>10763</v>
      </c>
    </row>
    <row r="382" spans="1:13" ht="22.5" x14ac:dyDescent="0.35">
      <c r="A382" s="244" t="str">
        <f>TEXT(A375+1,"000")</f>
        <v>055</v>
      </c>
      <c r="B382" s="238" t="str">
        <f>"W-"&amp;A382</f>
        <v>W-055</v>
      </c>
      <c r="C382" s="239"/>
      <c r="D382" s="692" t="str">
        <f>+INDEX(WEAP!$A:$AN,MATCH(B383,WEAP!$A:$A,0),MATCH("Name",WEAP!$A$1:$BF$1,0))</f>
        <v>Anemone</v>
      </c>
      <c r="E382" s="693"/>
      <c r="F382" s="693"/>
      <c r="G382" s="694"/>
      <c r="I382" s="241" t="str">
        <f>+INDEX(WEAP!$A:$AN,MATCH(B383,WEAP!$A:$A,0),MATCH("Weapon Skill",WEAP!$A$1:$BF$1,0))</f>
        <v>Verdant Wave</v>
      </c>
      <c r="J382" s="243">
        <f>INDEX('W-S'!$A:$N,MATCH(I382,'W-S'!$C:$C,0),MATCH("SP Cost",'W-S'!$1:$1,0))</f>
        <v>8030</v>
      </c>
      <c r="K382" s="9"/>
      <c r="L382" s="241" t="str">
        <f>+I382</f>
        <v>Verdant Wave</v>
      </c>
      <c r="M382" s="243">
        <f>INDEX('W-S'!$A:$N,MATCH(L382,'W-S'!$C:$C,0),MATCH("SP Cost V3",'W-S'!$1:$1,0))</f>
        <v>6000</v>
      </c>
    </row>
    <row r="383" spans="1:13" ht="22.5" x14ac:dyDescent="0.35">
      <c r="B383" s="238" t="str">
        <f>+INDEX(WEAP!$A:$AN,MATCH(B382,WEAP!$B:$B,0),MATCH("ID",WEAP!$A$1:$BF$1,0))</f>
        <v>302023_01</v>
      </c>
      <c r="C383" s="240"/>
      <c r="D383" s="692" t="str">
        <f>+INDEX(WEAP!$A:$AN,MATCH(B382,WEAP!$B:$B,0),MATCH("Family",WEAP!$A$1:$BF$1,0))&amp;" Weapon"</f>
        <v>Core E Weapon</v>
      </c>
      <c r="E383" s="693"/>
      <c r="F383" s="693"/>
      <c r="G383" s="694"/>
      <c r="H383" s="8"/>
      <c r="I383" s="695" t="str">
        <f>INDEX('W-S'!$A:$O,MATCH(I382,'W-S'!$C:$C,0),MATCH("Description",'W-S'!$1:$1,0))</f>
        <v>Deals 3 hits of 354% wind damage to enemies in a line.</v>
      </c>
      <c r="J383" s="696"/>
      <c r="K383" s="239"/>
      <c r="L383" s="695" t="str">
        <f>INDEX('W-S'!$A:$O,MATCH(I382,'W-S'!$C:$C,0),MATCH("Description V3",'W-S'!$1:$1,0))</f>
        <v>Deals 3 hits of 500% wind damage to enemies in a line, and adds 20% to the modifier applied to damage against water-attuned enemies for 20 seconds.</v>
      </c>
      <c r="M383" s="696"/>
    </row>
    <row r="384" spans="1:13" ht="22.5" x14ac:dyDescent="0.2">
      <c r="B384" s="701" t="e" vm="75">
        <f>+_xlfn.IMAGE("https://natalie.tf/wp-content/uploads/2023/10/DLV3_Icon_Weapon_"&amp;B383&amp;".png")</f>
        <v>#VALUE!</v>
      </c>
      <c r="C384" s="240"/>
      <c r="D384" s="692" t="str">
        <f>INDEX(WEAP!$A:$AN,MATCH(B383,WEAP!$A:$A,0),MATCH("Element",WEAP!$A$1:$BF$1,0))&amp;" "&amp;INDEX(WEAP!$A:$AN,MATCH(B383,WEAP!$A:$A,0),MATCH("Type",WEAP!$A$1:$BF$1,0))</f>
        <v>Wind Blade</v>
      </c>
      <c r="E384" s="693"/>
      <c r="F384" s="693"/>
      <c r="G384" s="694"/>
      <c r="H384" s="8"/>
      <c r="I384" s="697"/>
      <c r="J384" s="698"/>
      <c r="K384" s="9"/>
      <c r="L384" s="697"/>
      <c r="M384" s="698"/>
    </row>
    <row r="385" spans="1:13" ht="22.5" x14ac:dyDescent="0.35">
      <c r="B385" s="702"/>
      <c r="C385" s="239"/>
      <c r="D385" s="703" t="s">
        <v>10760</v>
      </c>
      <c r="E385" s="704"/>
      <c r="F385" s="235" t="s">
        <v>10761</v>
      </c>
      <c r="G385" s="235" t="s">
        <v>10762</v>
      </c>
      <c r="I385" s="697"/>
      <c r="J385" s="698"/>
      <c r="K385" s="239"/>
      <c r="L385" s="697"/>
      <c r="M385" s="698"/>
    </row>
    <row r="386" spans="1:13" ht="22.5" x14ac:dyDescent="0.35">
      <c r="B386" s="702"/>
      <c r="C386" s="239"/>
      <c r="D386" s="705" t="s">
        <v>96</v>
      </c>
      <c r="E386" s="706"/>
      <c r="F386" s="236">
        <f>INDEX(WEAP!$A:$AN,MATCH(B383,WEAP!$A:$A,0),MATCH("HP",WEAP!$A$1:$BF$1,0))</f>
        <v>145</v>
      </c>
      <c r="G386" s="237">
        <f>INDEX(WEAP!$A:$AN,MATCH(B383,WEAP!$A:$A,0),MATCH("HP V3",WEAP!$A$1:$BF$1,0))</f>
        <v>160</v>
      </c>
      <c r="I386" s="697"/>
      <c r="J386" s="698"/>
      <c r="K386" s="239"/>
      <c r="L386" s="697"/>
      <c r="M386" s="698"/>
    </row>
    <row r="387" spans="1:13" ht="22.5" x14ac:dyDescent="0.35">
      <c r="B387" s="702"/>
      <c r="C387" s="239"/>
      <c r="D387" s="707" t="s">
        <v>97</v>
      </c>
      <c r="E387" s="708"/>
      <c r="F387" s="236">
        <f>INDEX(WEAP!$A:$AN,MATCH(B383,WEAP!$A:$A,0),MATCH("Str",WEAP!$A$1:$BF$1,0))</f>
        <v>630</v>
      </c>
      <c r="G387" s="237">
        <f>INDEX(WEAP!$A:$AN,MATCH(B383,WEAP!$A:$A,0),MATCH("Str V3",WEAP!$A$1:$BF$1,0))</f>
        <v>650</v>
      </c>
      <c r="I387" s="699"/>
      <c r="J387" s="700"/>
      <c r="K387" s="239"/>
      <c r="L387" s="699"/>
      <c r="M387" s="700"/>
    </row>
    <row r="388" spans="1:13" ht="33.75" customHeight="1" x14ac:dyDescent="0.2">
      <c r="A388" t="s">
        <v>10763</v>
      </c>
    </row>
    <row r="389" spans="1:13" ht="22.5" x14ac:dyDescent="0.35">
      <c r="A389" s="244" t="str">
        <f>TEXT(A382+1,"000")</f>
        <v>056</v>
      </c>
      <c r="B389" s="238" t="str">
        <f>"W-"&amp;A389</f>
        <v>W-056</v>
      </c>
      <c r="C389" s="239"/>
      <c r="D389" s="692" t="str">
        <f>+INDEX(WEAP!$A:$AN,MATCH(B390,WEAP!$A:$A,0),MATCH("Name",WEAP!$A$1:$BF$1,0))</f>
        <v>Karlsnautr</v>
      </c>
      <c r="E389" s="693"/>
      <c r="F389" s="693"/>
      <c r="G389" s="694"/>
      <c r="I389" s="241" t="str">
        <f>+INDEX(WEAP!$A:$AN,MATCH(B390,WEAP!$A:$A,0),MATCH("Weapon Skill",WEAP!$A$1:$BF$1,0))</f>
        <v>Saga of the Soul</v>
      </c>
      <c r="J389" s="243">
        <f>INDEX('W-S'!$A:$N,MATCH(I389,'W-S'!$C:$C,0),MATCH("SP Cost",'W-S'!$1:$1,0))</f>
        <v>7323</v>
      </c>
      <c r="K389" s="9"/>
      <c r="L389" s="241" t="str">
        <f>+I389</f>
        <v>Saga of the Soul</v>
      </c>
      <c r="M389" s="243">
        <f>INDEX('W-S'!$A:$N,MATCH(L389,'W-S'!$C:$C,0),MATCH("SP Cost V3",'W-S'!$1:$1,0))</f>
        <v>6000</v>
      </c>
    </row>
    <row r="390" spans="1:13" ht="22.5" x14ac:dyDescent="0.35">
      <c r="B390" s="238" t="str">
        <f>+INDEX(WEAP!$A:$AN,MATCH(B389,WEAP!$B:$B,0),MATCH("ID",WEAP!$A$1:$BF$1,0))</f>
        <v>303028_01</v>
      </c>
      <c r="C390" s="240"/>
      <c r="D390" s="692" t="str">
        <f>+INDEX(WEAP!$A:$AN,MATCH(B389,WEAP!$B:$B,0),MATCH("Family",WEAP!$A$1:$BF$1,0))&amp;" Weapon"</f>
        <v>Core E Weapon</v>
      </c>
      <c r="E390" s="693"/>
      <c r="F390" s="693"/>
      <c r="G390" s="694"/>
      <c r="H390" s="8"/>
      <c r="I390" s="695" t="str">
        <f>INDEX('W-S'!$A:$O,MATCH(I389,'W-S'!$C:$C,0),MATCH("Description",'W-S'!$1:$1,0))</f>
        <v>Deals 5 hits of 164% wind damage to enemies directly ahead.</v>
      </c>
      <c r="J390" s="696"/>
      <c r="K390" s="239"/>
      <c r="L390" s="695" t="str">
        <f>INDEX('W-S'!$A:$O,MATCH(I389,'W-S'!$C:$C,0),MATCH("Description V3",'W-S'!$1:$1,0))</f>
        <v>Deals 5 hits of 300% wind damage to enemies directly ahead, and adds 20% to the modifier applied to damage against water-attuned enemies for 20 seconds.</v>
      </c>
      <c r="M390" s="696"/>
    </row>
    <row r="391" spans="1:13" ht="22.5" x14ac:dyDescent="0.2">
      <c r="B391" s="701" t="e" vm="76">
        <f>+_xlfn.IMAGE("https://natalie.tf/wp-content/uploads/2023/10/DLV3_Icon_Weapon_"&amp;B390&amp;".png")</f>
        <v>#VALUE!</v>
      </c>
      <c r="C391" s="240"/>
      <c r="D391" s="692" t="str">
        <f>INDEX(WEAP!$A:$AN,MATCH(B390,WEAP!$A:$A,0),MATCH("Element",WEAP!$A$1:$BF$1,0))&amp;" "&amp;INDEX(WEAP!$A:$AN,MATCH(B390,WEAP!$A:$A,0),MATCH("Type",WEAP!$A$1:$BF$1,0))</f>
        <v>Wind Dagger</v>
      </c>
      <c r="E391" s="693"/>
      <c r="F391" s="693"/>
      <c r="G391" s="694"/>
      <c r="H391" s="8"/>
      <c r="I391" s="697"/>
      <c r="J391" s="698"/>
      <c r="K391" s="9"/>
      <c r="L391" s="697"/>
      <c r="M391" s="698"/>
    </row>
    <row r="392" spans="1:13" ht="22.5" x14ac:dyDescent="0.35">
      <c r="B392" s="702"/>
      <c r="C392" s="239"/>
      <c r="D392" s="703" t="s">
        <v>10760</v>
      </c>
      <c r="E392" s="704"/>
      <c r="F392" s="235" t="s">
        <v>10761</v>
      </c>
      <c r="G392" s="235" t="s">
        <v>10762</v>
      </c>
      <c r="I392" s="697"/>
      <c r="J392" s="698"/>
      <c r="K392" s="239"/>
      <c r="L392" s="697"/>
      <c r="M392" s="698"/>
    </row>
    <row r="393" spans="1:13" ht="22.5" x14ac:dyDescent="0.35">
      <c r="B393" s="702"/>
      <c r="C393" s="239"/>
      <c r="D393" s="705" t="s">
        <v>96</v>
      </c>
      <c r="E393" s="706"/>
      <c r="F393" s="236">
        <f>INDEX(WEAP!$A:$AN,MATCH(B390,WEAP!$A:$A,0),MATCH("HP",WEAP!$A$1:$BF$1,0))</f>
        <v>158</v>
      </c>
      <c r="G393" s="237">
        <f>INDEX(WEAP!$A:$AN,MATCH(B390,WEAP!$A:$A,0),MATCH("HP V3",WEAP!$A$1:$BF$1,0))</f>
        <v>170</v>
      </c>
      <c r="I393" s="697"/>
      <c r="J393" s="698"/>
      <c r="K393" s="239"/>
      <c r="L393" s="697"/>
      <c r="M393" s="698"/>
    </row>
    <row r="394" spans="1:13" ht="22.5" x14ac:dyDescent="0.35">
      <c r="B394" s="702"/>
      <c r="C394" s="239"/>
      <c r="D394" s="707" t="s">
        <v>97</v>
      </c>
      <c r="E394" s="708"/>
      <c r="F394" s="236">
        <f>INDEX(WEAP!$A:$AN,MATCH(B390,WEAP!$A:$A,0),MATCH("Str",WEAP!$A$1:$BF$1,0))</f>
        <v>600</v>
      </c>
      <c r="G394" s="237">
        <f>INDEX(WEAP!$A:$AN,MATCH(B390,WEAP!$A:$A,0),MATCH("Str V3",WEAP!$A$1:$BF$1,0))</f>
        <v>600</v>
      </c>
      <c r="I394" s="699"/>
      <c r="J394" s="700"/>
      <c r="K394" s="239"/>
      <c r="L394" s="699"/>
      <c r="M394" s="700"/>
    </row>
    <row r="395" spans="1:13" s="245" customFormat="1" ht="7.5" customHeight="1" x14ac:dyDescent="0.2">
      <c r="A395" s="245" t="s">
        <v>10763</v>
      </c>
    </row>
    <row r="396" spans="1:13" ht="22.5" x14ac:dyDescent="0.35">
      <c r="A396" s="242" t="str">
        <f>TEXT(A389+1,"000")</f>
        <v>057</v>
      </c>
      <c r="B396" s="238" t="str">
        <f>"W-"&amp;A396</f>
        <v>W-057</v>
      </c>
      <c r="C396" s="239"/>
      <c r="D396" s="717" t="str">
        <f>+INDEX(WEAP!$A:$AN,MATCH(B397,WEAP!$A:$A,0),MATCH("Name",WEAP!$A$1:$BF$1,0))</f>
        <v>Axe of the Southern Cross</v>
      </c>
      <c r="E396" s="718"/>
      <c r="F396" s="718"/>
      <c r="G396" s="719"/>
      <c r="I396" s="241" t="str">
        <f>+INDEX(WEAP!$A:$AN,MATCH(B397,WEAP!$A:$A,0),MATCH("Weapon Skill",WEAP!$A$1:$BF$1,0))</f>
        <v>Southern Impact</v>
      </c>
      <c r="J396" s="243">
        <f>INDEX('W-S'!$A:$N,MATCH(I396,'W-S'!$C:$C,0),MATCH("SP Cost",'W-S'!$1:$1,0))</f>
        <v>9025</v>
      </c>
      <c r="K396" s="9"/>
      <c r="L396" s="241" t="str">
        <f>+I396</f>
        <v>Southern Impact</v>
      </c>
      <c r="M396" s="243">
        <f>INDEX('W-S'!$A:$N,MATCH(L396,'W-S'!$C:$C,0),MATCH("SP Cost V3",'W-S'!$1:$1,0))</f>
        <v>6000</v>
      </c>
    </row>
    <row r="397" spans="1:13" ht="22.5" x14ac:dyDescent="0.35">
      <c r="B397" s="238" t="str">
        <f>+INDEX(WEAP!$A:$AN,MATCH(B396,WEAP!$B:$B,0),MATCH("ID",WEAP!$A$1:$BF$1,0))</f>
        <v>304029_01</v>
      </c>
      <c r="C397" s="240"/>
      <c r="D397" s="692" t="str">
        <f>+INDEX(WEAP!$A:$AN,MATCH(B396,WEAP!$B:$B,0),MATCH("Family",WEAP!$A$1:$BF$1,0))&amp;" Weapon"</f>
        <v>Core E Weapon</v>
      </c>
      <c r="E397" s="693"/>
      <c r="F397" s="693"/>
      <c r="G397" s="694"/>
      <c r="H397" s="8"/>
      <c r="I397" s="695" t="str">
        <f>INDEX('W-S'!$A:$O,MATCH(I396,'W-S'!$C:$C,0),MATCH("Description",'W-S'!$1:$1,0))</f>
        <v>Deals 3 hits of 418% wind damage to enemies directly ahead.</v>
      </c>
      <c r="J397" s="696"/>
      <c r="K397" s="239"/>
      <c r="L397" s="695" t="str">
        <f>INDEX('W-S'!$A:$O,MATCH(I396,'W-S'!$C:$C,0),MATCH("Description V3",'W-S'!$1:$1,0))</f>
        <v>Deals 3 hits of 500% wind damage to enemies directly ahead, and adds 20% to the modifier applied to damage against water-attuned enemies for 20 seconds.</v>
      </c>
      <c r="M397" s="696"/>
    </row>
    <row r="398" spans="1:13" ht="22.5" x14ac:dyDescent="0.2">
      <c r="B398" s="701" t="e" vm="77">
        <f>+_xlfn.IMAGE("https://natalie.tf/wp-content/uploads/2023/10/DLV3_Icon_Weapon_"&amp;B397&amp;".png")</f>
        <v>#VALUE!</v>
      </c>
      <c r="C398" s="240"/>
      <c r="D398" s="692" t="str">
        <f>INDEX(WEAP!$A:$AN,MATCH(B397,WEAP!$A:$A,0),MATCH("Element",WEAP!$A$1:$BF$1,0))&amp;" "&amp;INDEX(WEAP!$A:$AN,MATCH(B397,WEAP!$A:$A,0),MATCH("Type",WEAP!$A$1:$BF$1,0))</f>
        <v>Wind Axe</v>
      </c>
      <c r="E398" s="693"/>
      <c r="F398" s="693"/>
      <c r="G398" s="694"/>
      <c r="H398" s="8"/>
      <c r="I398" s="697"/>
      <c r="J398" s="698"/>
      <c r="K398" s="9"/>
      <c r="L398" s="697"/>
      <c r="M398" s="698"/>
    </row>
    <row r="399" spans="1:13" ht="22.5" x14ac:dyDescent="0.35">
      <c r="B399" s="702"/>
      <c r="C399" s="239"/>
      <c r="D399" s="703" t="s">
        <v>10760</v>
      </c>
      <c r="E399" s="704"/>
      <c r="F399" s="235" t="s">
        <v>10761</v>
      </c>
      <c r="G399" s="235" t="s">
        <v>10762</v>
      </c>
      <c r="I399" s="697"/>
      <c r="J399" s="698"/>
      <c r="K399" s="239"/>
      <c r="L399" s="697"/>
      <c r="M399" s="698"/>
    </row>
    <row r="400" spans="1:13" ht="22.5" x14ac:dyDescent="0.35">
      <c r="B400" s="702"/>
      <c r="C400" s="239"/>
      <c r="D400" s="705" t="s">
        <v>96</v>
      </c>
      <c r="E400" s="706"/>
      <c r="F400" s="236">
        <f>INDEX(WEAP!$A:$AN,MATCH(B397,WEAP!$A:$A,0),MATCH("HP",WEAP!$A$1:$BF$1,0))</f>
        <v>161</v>
      </c>
      <c r="G400" s="237">
        <f>INDEX(WEAP!$A:$AN,MATCH(B397,WEAP!$A:$A,0),MATCH("HP V3",WEAP!$A$1:$BF$1,0))</f>
        <v>170</v>
      </c>
      <c r="I400" s="697"/>
      <c r="J400" s="698"/>
      <c r="K400" s="239"/>
      <c r="L400" s="697"/>
      <c r="M400" s="698"/>
    </row>
    <row r="401" spans="1:13" ht="22.5" x14ac:dyDescent="0.35">
      <c r="B401" s="702"/>
      <c r="C401" s="239"/>
      <c r="D401" s="707" t="s">
        <v>97</v>
      </c>
      <c r="E401" s="708"/>
      <c r="F401" s="236">
        <f>INDEX(WEAP!$A:$AN,MATCH(B397,WEAP!$A:$A,0),MATCH("Str",WEAP!$A$1:$BF$1,0))</f>
        <v>642</v>
      </c>
      <c r="G401" s="237">
        <f>INDEX(WEAP!$A:$AN,MATCH(B397,WEAP!$A:$A,0),MATCH("Str V3",WEAP!$A$1:$BF$1,0))</f>
        <v>645</v>
      </c>
      <c r="I401" s="699"/>
      <c r="J401" s="700"/>
      <c r="K401" s="239"/>
      <c r="L401" s="699"/>
      <c r="M401" s="700"/>
    </row>
    <row r="402" spans="1:13" s="245" customFormat="1" ht="7.5" customHeight="1" x14ac:dyDescent="0.2">
      <c r="A402" s="245" t="s">
        <v>10763</v>
      </c>
    </row>
    <row r="403" spans="1:13" ht="22.5" x14ac:dyDescent="0.35">
      <c r="A403" s="244" t="str">
        <f>TEXT(A396+1,"000")</f>
        <v>058</v>
      </c>
      <c r="B403" s="238" t="str">
        <f>"W-"&amp;A403</f>
        <v>W-058</v>
      </c>
      <c r="C403" s="239"/>
      <c r="D403" s="726" t="str">
        <f>+INDEX(WEAP!$A:$AN,MATCH(B404,WEAP!$A:$A,0),MATCH("Name",WEAP!$A$1:$BF$1,0))</f>
        <v>Spear of the Northern Cross</v>
      </c>
      <c r="E403" s="727"/>
      <c r="F403" s="727"/>
      <c r="G403" s="728"/>
      <c r="I403" s="241" t="str">
        <f>+INDEX(WEAP!$A:$AN,MATCH(B404,WEAP!$A:$A,0),MATCH("Weapon Skill",WEAP!$A$1:$BF$1,0))</f>
        <v>Northern Healing</v>
      </c>
      <c r="J403" s="243">
        <f>INDEX('W-S'!$A:$N,MATCH(I403,'W-S'!$C:$C,0),MATCH("SP Cost",'W-S'!$1:$1,0))</f>
        <v>14410</v>
      </c>
      <c r="K403" s="9"/>
      <c r="L403" s="241" t="str">
        <f>+I403</f>
        <v>Northern Healing</v>
      </c>
      <c r="M403" s="243">
        <f>INDEX('W-S'!$A:$N,MATCH(L403,'W-S'!$C:$C,0),MATCH("SP Cost V3",'W-S'!$1:$1,0))</f>
        <v>12000</v>
      </c>
    </row>
    <row r="404" spans="1:13" ht="22.5" x14ac:dyDescent="0.35">
      <c r="B404" s="238" t="str">
        <f>+INDEX(WEAP!$A:$AN,MATCH(B403,WEAP!$B:$B,0),MATCH("ID",WEAP!$A$1:$BF$1,0))</f>
        <v>305032_01</v>
      </c>
      <c r="C404" s="240"/>
      <c r="D404" s="692" t="str">
        <f>+INDEX(WEAP!$A:$AN,MATCH(B403,WEAP!$B:$B,0),MATCH("Family",WEAP!$A$1:$BF$1,0))&amp;" Weapon"</f>
        <v>Core E Weapon</v>
      </c>
      <c r="E404" s="693"/>
      <c r="F404" s="693"/>
      <c r="G404" s="694"/>
      <c r="H404" s="8"/>
      <c r="I404" s="695" t="str">
        <f>INDEX('W-S'!$A:$O,MATCH(I403,'W-S'!$C:$C,0),MATCH("Description",'W-S'!$1:$1,0))</f>
        <v>Restores HP to surrounding teammates with 72% Recovery Potency.</v>
      </c>
      <c r="J404" s="696"/>
      <c r="K404" s="239"/>
      <c r="L404" s="695" t="str">
        <f>INDEX('W-S'!$A:$O,MATCH(I403,'W-S'!$C:$C,0),MATCH("Description V3",'W-S'!$1:$1,0))</f>
        <v>Restores HP to all teammates with 90% Recovery Potency, and adds 20% to the user's modifier applied to damage against water-attuned enemies for 20 seconds.</v>
      </c>
      <c r="M404" s="696"/>
    </row>
    <row r="405" spans="1:13" ht="22.5" x14ac:dyDescent="0.2">
      <c r="B405" s="701" t="e" vm="78">
        <f>+_xlfn.IMAGE("https://natalie.tf/wp-content/uploads/2023/10/DLV3_Icon_Weapon_"&amp;B404&amp;".png")</f>
        <v>#VALUE!</v>
      </c>
      <c r="C405" s="240"/>
      <c r="D405" s="692" t="str">
        <f>INDEX(WEAP!$A:$AN,MATCH(B404,WEAP!$A:$A,0),MATCH("Element",WEAP!$A$1:$BF$1,0))&amp;" "&amp;INDEX(WEAP!$A:$AN,MATCH(B404,WEAP!$A:$A,0),MATCH("Type",WEAP!$A$1:$BF$1,0))</f>
        <v>Wind Lance</v>
      </c>
      <c r="E405" s="693"/>
      <c r="F405" s="693"/>
      <c r="G405" s="694"/>
      <c r="H405" s="8"/>
      <c r="I405" s="697"/>
      <c r="J405" s="698"/>
      <c r="K405" s="9"/>
      <c r="L405" s="697"/>
      <c r="M405" s="698"/>
    </row>
    <row r="406" spans="1:13" ht="22.5" x14ac:dyDescent="0.35">
      <c r="B406" s="702"/>
      <c r="C406" s="239"/>
      <c r="D406" s="703" t="s">
        <v>10760</v>
      </c>
      <c r="E406" s="704"/>
      <c r="F406" s="235" t="s">
        <v>10761</v>
      </c>
      <c r="G406" s="235" t="s">
        <v>10762</v>
      </c>
      <c r="I406" s="697"/>
      <c r="J406" s="698"/>
      <c r="K406" s="239"/>
      <c r="L406" s="697"/>
      <c r="M406" s="698"/>
    </row>
    <row r="407" spans="1:13" ht="22.5" x14ac:dyDescent="0.35">
      <c r="B407" s="702"/>
      <c r="C407" s="239"/>
      <c r="D407" s="705" t="s">
        <v>96</v>
      </c>
      <c r="E407" s="706"/>
      <c r="F407" s="236">
        <f>INDEX(WEAP!$A:$AN,MATCH(B404,WEAP!$A:$A,0),MATCH("HP",WEAP!$A$1:$BF$1,0))</f>
        <v>182</v>
      </c>
      <c r="G407" s="237">
        <f>INDEX(WEAP!$A:$AN,MATCH(B404,WEAP!$A:$A,0),MATCH("HP V3",WEAP!$A$1:$BF$1,0))</f>
        <v>185</v>
      </c>
      <c r="I407" s="697"/>
      <c r="J407" s="698"/>
      <c r="K407" s="239"/>
      <c r="L407" s="697"/>
      <c r="M407" s="698"/>
    </row>
    <row r="408" spans="1:13" ht="22.5" x14ac:dyDescent="0.35">
      <c r="B408" s="702"/>
      <c r="C408" s="239"/>
      <c r="D408" s="707" t="s">
        <v>97</v>
      </c>
      <c r="E408" s="708"/>
      <c r="F408" s="236">
        <f>INDEX(WEAP!$A:$AN,MATCH(B404,WEAP!$A:$A,0),MATCH("Str",WEAP!$A$1:$BF$1,0))</f>
        <v>576</v>
      </c>
      <c r="G408" s="237">
        <f>INDEX(WEAP!$A:$AN,MATCH(B404,WEAP!$A:$A,0),MATCH("Str V3",WEAP!$A$1:$BF$1,0))</f>
        <v>625</v>
      </c>
      <c r="I408" s="699"/>
      <c r="J408" s="700"/>
      <c r="K408" s="239"/>
      <c r="L408" s="699"/>
      <c r="M408" s="700"/>
    </row>
    <row r="409" spans="1:13" s="245" customFormat="1" ht="7.5" customHeight="1" x14ac:dyDescent="0.2">
      <c r="A409" s="245" t="s">
        <v>10763</v>
      </c>
    </row>
    <row r="410" spans="1:13" ht="22.5" x14ac:dyDescent="0.35">
      <c r="A410" s="244" t="str">
        <f>TEXT(A403+1,"000")</f>
        <v>059</v>
      </c>
      <c r="B410" s="238" t="str">
        <f>"W-"&amp;A410</f>
        <v>W-059</v>
      </c>
      <c r="C410" s="239"/>
      <c r="D410" s="692" t="str">
        <f>+INDEX(WEAP!$A:$AN,MATCH(B411,WEAP!$A:$A,0),MATCH("Name",WEAP!$A$1:$BF$1,0))</f>
        <v>Stellar Pegasus</v>
      </c>
      <c r="E410" s="693"/>
      <c r="F410" s="693"/>
      <c r="G410" s="694"/>
      <c r="I410" s="241" t="str">
        <f>+INDEX(WEAP!$A:$AN,MATCH(B411,WEAP!$A:$A,0),MATCH("Weapon Skill",WEAP!$A$1:$BF$1,0))</f>
        <v>Pegasus Shot</v>
      </c>
      <c r="J410" s="243">
        <f>INDEX('W-S'!$A:$N,MATCH(I410,'W-S'!$C:$C,0),MATCH("SP Cost",'W-S'!$1:$1,0))</f>
        <v>7316</v>
      </c>
      <c r="K410" s="9"/>
      <c r="L410" s="241" t="str">
        <f>+I410</f>
        <v>Pegasus Shot</v>
      </c>
      <c r="M410" s="243">
        <f>INDEX('W-S'!$A:$N,MATCH(L410,'W-S'!$C:$C,0),MATCH("SP Cost V3",'W-S'!$1:$1,0))</f>
        <v>6000</v>
      </c>
    </row>
    <row r="411" spans="1:13" ht="22.5" x14ac:dyDescent="0.35">
      <c r="B411" s="238" t="str">
        <f>+INDEX(WEAP!$A:$AN,MATCH(B410,WEAP!$B:$B,0),MATCH("ID",WEAP!$A$1:$BF$1,0))</f>
        <v>306030_01</v>
      </c>
      <c r="C411" s="240"/>
      <c r="D411" s="692" t="str">
        <f>+INDEX(WEAP!$A:$AN,MATCH(B410,WEAP!$B:$B,0),MATCH("Family",WEAP!$A$1:$BF$1,0))&amp;" Weapon"</f>
        <v>Core E Weapon</v>
      </c>
      <c r="E411" s="693"/>
      <c r="F411" s="693"/>
      <c r="G411" s="694"/>
      <c r="H411" s="8"/>
      <c r="I411" s="695" t="str">
        <f>INDEX('W-S'!$A:$O,MATCH(I410,'W-S'!$C:$C,0),MATCH("Description",'W-S'!$1:$1,0))</f>
        <v>Increases the user's critical rate by 25% for 10 seconds.</v>
      </c>
      <c r="J411" s="696"/>
      <c r="K411" s="239"/>
      <c r="L411" s="695" t="str">
        <f>INDEX('W-S'!$A:$O,MATCH(I410,'W-S'!$C:$C,0),MATCH("Description V3",'W-S'!$1:$1,0))</f>
        <v>Increases the user's critical rate by 30% for 20 seconds, and adds 20% to the modifier applied to damage against water-attuned enemies for 20 seconds.</v>
      </c>
      <c r="M411" s="696"/>
    </row>
    <row r="412" spans="1:13" ht="22.5" x14ac:dyDescent="0.2">
      <c r="B412" s="701" t="e" vm="79">
        <f>+_xlfn.IMAGE("https://natalie.tf/wp-content/uploads/2023/10/DLV3_Icon_Weapon_"&amp;B411&amp;".png")</f>
        <v>#VALUE!</v>
      </c>
      <c r="C412" s="240"/>
      <c r="D412" s="692" t="str">
        <f>INDEX(WEAP!$A:$AN,MATCH(B411,WEAP!$A:$A,0),MATCH("Element",WEAP!$A$1:$BF$1,0))&amp;" "&amp;INDEX(WEAP!$A:$AN,MATCH(B411,WEAP!$A:$A,0),MATCH("Type",WEAP!$A$1:$BF$1,0))</f>
        <v>Wind Bow</v>
      </c>
      <c r="E412" s="693"/>
      <c r="F412" s="693"/>
      <c r="G412" s="694"/>
      <c r="H412" s="8"/>
      <c r="I412" s="697"/>
      <c r="J412" s="698"/>
      <c r="K412" s="9"/>
      <c r="L412" s="697"/>
      <c r="M412" s="698"/>
    </row>
    <row r="413" spans="1:13" ht="22.5" x14ac:dyDescent="0.35">
      <c r="B413" s="702"/>
      <c r="C413" s="239"/>
      <c r="D413" s="703" t="s">
        <v>10760</v>
      </c>
      <c r="E413" s="704"/>
      <c r="F413" s="235" t="s">
        <v>10761</v>
      </c>
      <c r="G413" s="235" t="s">
        <v>10762</v>
      </c>
      <c r="I413" s="697"/>
      <c r="J413" s="698"/>
      <c r="K413" s="239"/>
      <c r="L413" s="697"/>
      <c r="M413" s="698"/>
    </row>
    <row r="414" spans="1:13" ht="22.5" x14ac:dyDescent="0.35">
      <c r="B414" s="702"/>
      <c r="C414" s="239"/>
      <c r="D414" s="705" t="s">
        <v>96</v>
      </c>
      <c r="E414" s="706"/>
      <c r="F414" s="236">
        <f>INDEX(WEAP!$A:$AN,MATCH(B411,WEAP!$A:$A,0),MATCH("HP",WEAP!$A$1:$BF$1,0))</f>
        <v>162</v>
      </c>
      <c r="G414" s="237">
        <f>INDEX(WEAP!$A:$AN,MATCH(B411,WEAP!$A:$A,0),MATCH("HP V3",WEAP!$A$1:$BF$1,0))</f>
        <v>165</v>
      </c>
      <c r="I414" s="697"/>
      <c r="J414" s="698"/>
      <c r="K414" s="239"/>
      <c r="L414" s="697"/>
      <c r="M414" s="698"/>
    </row>
    <row r="415" spans="1:13" ht="22.5" x14ac:dyDescent="0.35">
      <c r="B415" s="702"/>
      <c r="C415" s="239"/>
      <c r="D415" s="707" t="s">
        <v>97</v>
      </c>
      <c r="E415" s="708"/>
      <c r="F415" s="236">
        <f>INDEX(WEAP!$A:$AN,MATCH(B411,WEAP!$A:$A,0),MATCH("Str",WEAP!$A$1:$BF$1,0))</f>
        <v>570</v>
      </c>
      <c r="G415" s="237">
        <f>INDEX(WEAP!$A:$AN,MATCH(B411,WEAP!$A:$A,0),MATCH("Str V3",WEAP!$A$1:$BF$1,0))</f>
        <v>590</v>
      </c>
      <c r="I415" s="699"/>
      <c r="J415" s="700"/>
      <c r="K415" s="239"/>
      <c r="L415" s="699"/>
      <c r="M415" s="700"/>
    </row>
    <row r="416" spans="1:13" s="245" customFormat="1" ht="7.5" customHeight="1" x14ac:dyDescent="0.2">
      <c r="A416" s="245" t="s">
        <v>10763</v>
      </c>
    </row>
    <row r="417" spans="1:13" ht="22.5" x14ac:dyDescent="0.35">
      <c r="A417" s="244" t="str">
        <f>TEXT(A410+1,"000")</f>
        <v>060</v>
      </c>
      <c r="B417" s="238" t="str">
        <f>"W-"&amp;A417</f>
        <v>W-060</v>
      </c>
      <c r="C417" s="239"/>
      <c r="D417" s="692" t="str">
        <f>+INDEX(WEAP!$A:$AN,MATCH(B418,WEAP!$A:$A,0),MATCH("Name",WEAP!$A$1:$BF$1,0))</f>
        <v>Phytalmios</v>
      </c>
      <c r="E417" s="693"/>
      <c r="F417" s="693"/>
      <c r="G417" s="694"/>
      <c r="I417" s="241" t="str">
        <f>+INDEX(WEAP!$A:$AN,MATCH(B418,WEAP!$A:$A,0),MATCH("Weapon Skill",WEAP!$A$1:$BF$1,0))</f>
        <v>Phytalmios's Healing</v>
      </c>
      <c r="J417" s="243">
        <f>INDEX('W-S'!$A:$N,MATCH(I417,'W-S'!$C:$C,0),MATCH("SP Cost",'W-S'!$1:$1,0))</f>
        <v>12668</v>
      </c>
      <c r="K417" s="9"/>
      <c r="L417" s="241" t="str">
        <f>+I417</f>
        <v>Phytalmios's Healing</v>
      </c>
      <c r="M417" s="243">
        <f>INDEX('W-S'!$A:$N,MATCH(L417,'W-S'!$C:$C,0),MATCH("SP Cost V3",'W-S'!$1:$1,0))</f>
        <v>12000</v>
      </c>
    </row>
    <row r="418" spans="1:13" ht="22.5" x14ac:dyDescent="0.35">
      <c r="B418" s="238" t="str">
        <f>+INDEX(WEAP!$A:$AN,MATCH(B417,WEAP!$B:$B,0),MATCH("ID",WEAP!$A$1:$BF$1,0))</f>
        <v>307014_01</v>
      </c>
      <c r="C418" s="240"/>
      <c r="D418" s="692" t="str">
        <f>+INDEX(WEAP!$A:$AN,MATCH(B417,WEAP!$B:$B,0),MATCH("Family",WEAP!$A$1:$BF$1,0))&amp;" Weapon"</f>
        <v>Core E Weapon</v>
      </c>
      <c r="E418" s="693"/>
      <c r="F418" s="693"/>
      <c r="G418" s="694"/>
      <c r="H418" s="8"/>
      <c r="I418" s="695" t="str">
        <f>INDEX('W-S'!$A:$O,MATCH(I417,'W-S'!$C:$C,0),MATCH("Description",'W-S'!$1:$1,0))</f>
        <v>Restores the user's HP with 90% Recovery Potency.</v>
      </c>
      <c r="J418" s="696"/>
      <c r="K418" s="239"/>
      <c r="L418" s="695" t="str">
        <f>INDEX('W-S'!$A:$O,MATCH(I417,'W-S'!$C:$C,0),MATCH("Description V3",'W-S'!$1:$1,0))</f>
        <v>Restores the user's HP with 130% Recovery Potency, and adds 20% to the modifier applied to damage against water-attuned enemies for 20 seconds.</v>
      </c>
      <c r="M418" s="696"/>
    </row>
    <row r="419" spans="1:13" ht="22.5" x14ac:dyDescent="0.2">
      <c r="B419" s="701" t="e" vm="80">
        <f>+_xlfn.IMAGE("https://natalie.tf/wp-content/uploads/2023/10/DLV3_Icon_Weapon_"&amp;B418&amp;".png")</f>
        <v>#VALUE!</v>
      </c>
      <c r="C419" s="240"/>
      <c r="D419" s="692" t="str">
        <f>INDEX(WEAP!$A:$AN,MATCH(B418,WEAP!$A:$A,0),MATCH("Element",WEAP!$A$1:$BF$1,0))&amp;" "&amp;INDEX(WEAP!$A:$AN,MATCH(B418,WEAP!$A:$A,0),MATCH("Type",WEAP!$A$1:$BF$1,0))</f>
        <v>Wind Wand</v>
      </c>
      <c r="E419" s="693"/>
      <c r="F419" s="693"/>
      <c r="G419" s="694"/>
      <c r="H419" s="8"/>
      <c r="I419" s="697"/>
      <c r="J419" s="698"/>
      <c r="K419" s="9"/>
      <c r="L419" s="697"/>
      <c r="M419" s="698"/>
    </row>
    <row r="420" spans="1:13" ht="22.5" x14ac:dyDescent="0.35">
      <c r="B420" s="702"/>
      <c r="C420" s="239"/>
      <c r="D420" s="703" t="s">
        <v>10760</v>
      </c>
      <c r="E420" s="704"/>
      <c r="F420" s="235" t="s">
        <v>10761</v>
      </c>
      <c r="G420" s="235" t="s">
        <v>10762</v>
      </c>
      <c r="I420" s="697"/>
      <c r="J420" s="698"/>
      <c r="K420" s="239"/>
      <c r="L420" s="697"/>
      <c r="M420" s="698"/>
    </row>
    <row r="421" spans="1:13" ht="22.5" x14ac:dyDescent="0.35">
      <c r="B421" s="702"/>
      <c r="C421" s="239"/>
      <c r="D421" s="705" t="s">
        <v>96</v>
      </c>
      <c r="E421" s="706"/>
      <c r="F421" s="236">
        <f>INDEX(WEAP!$A:$AN,MATCH(B418,WEAP!$A:$A,0),MATCH("HP",WEAP!$A$1:$BF$1,0))</f>
        <v>168</v>
      </c>
      <c r="G421" s="237">
        <f>INDEX(WEAP!$A:$AN,MATCH(B418,WEAP!$A:$A,0),MATCH("HP V3",WEAP!$A$1:$BF$1,0))</f>
        <v>170</v>
      </c>
      <c r="I421" s="697"/>
      <c r="J421" s="698"/>
      <c r="K421" s="239"/>
      <c r="L421" s="697"/>
      <c r="M421" s="698"/>
    </row>
    <row r="422" spans="1:13" ht="22.5" x14ac:dyDescent="0.35">
      <c r="B422" s="702"/>
      <c r="C422" s="239"/>
      <c r="D422" s="707" t="s">
        <v>97</v>
      </c>
      <c r="E422" s="708"/>
      <c r="F422" s="236">
        <f>INDEX(WEAP!$A:$AN,MATCH(B418,WEAP!$A:$A,0),MATCH("Str",WEAP!$A$1:$BF$1,0))</f>
        <v>581</v>
      </c>
      <c r="G422" s="237">
        <f>INDEX(WEAP!$A:$AN,MATCH(B418,WEAP!$A:$A,0),MATCH("Str V3",WEAP!$A$1:$BF$1,0))</f>
        <v>630</v>
      </c>
      <c r="I422" s="699"/>
      <c r="J422" s="700"/>
      <c r="K422" s="239"/>
      <c r="L422" s="699"/>
      <c r="M422" s="700"/>
    </row>
    <row r="423" spans="1:13" ht="33.75" customHeight="1" x14ac:dyDescent="0.2">
      <c r="A423" t="s">
        <v>10763</v>
      </c>
    </row>
    <row r="424" spans="1:13" ht="22.5" x14ac:dyDescent="0.35">
      <c r="A424" s="244" t="str">
        <f>TEXT(A417+1,"000")</f>
        <v>061</v>
      </c>
      <c r="B424" s="238" t="str">
        <f>"W-"&amp;A424</f>
        <v>W-061</v>
      </c>
      <c r="C424" s="239"/>
      <c r="D424" s="717" t="str">
        <f>+INDEX(WEAP!$A:$AN,MATCH(B425,WEAP!$A:$A,0),MATCH("Name",WEAP!$A$1:$BF$1,0))</f>
        <v>Ancient Mage's Windcane</v>
      </c>
      <c r="E424" s="718"/>
      <c r="F424" s="718"/>
      <c r="G424" s="719"/>
      <c r="I424" s="241" t="str">
        <f>+INDEX(WEAP!$A:$AN,MATCH(B425,WEAP!$A:$A,0),MATCH("Weapon Skill",WEAP!$A$1:$BF$1,0))</f>
        <v>Ancient Mage's Spirit</v>
      </c>
      <c r="J424" s="243">
        <f>INDEX('W-S'!$A:$N,MATCH(I424,'W-S'!$C:$C,0),MATCH("SP Cost",'W-S'!$1:$1,0))</f>
        <v>17748</v>
      </c>
      <c r="K424" s="9"/>
      <c r="L424" s="241" t="str">
        <f>+I424</f>
        <v>Ancient Mage's Spirit</v>
      </c>
      <c r="M424" s="243">
        <f>INDEX('W-S'!$A:$N,MATCH(L424,'W-S'!$C:$C,0),MATCH("SP Cost V3",'W-S'!$1:$1,0))</f>
        <v>12000</v>
      </c>
    </row>
    <row r="425" spans="1:13" ht="22.5" x14ac:dyDescent="0.35">
      <c r="B425" s="238" t="str">
        <f>+INDEX(WEAP!$A:$AN,MATCH(B424,WEAP!$B:$B,0),MATCH("ID",WEAP!$A$1:$BF$1,0))</f>
        <v>308032_01</v>
      </c>
      <c r="C425" s="240"/>
      <c r="D425" s="692" t="str">
        <f>+INDEX(WEAP!$A:$AN,MATCH(B424,WEAP!$B:$B,0),MATCH("Family",WEAP!$A$1:$BF$1,0))&amp;" Weapon"</f>
        <v>Core E Weapon</v>
      </c>
      <c r="E425" s="693"/>
      <c r="F425" s="693"/>
      <c r="G425" s="694"/>
      <c r="H425" s="8"/>
      <c r="I425" s="695" t="str">
        <f>INDEX('W-S'!$A:$O,MATCH(I424,'W-S'!$C:$C,0),MATCH("Description",'W-S'!$1:$1,0))</f>
        <v>Increases the potency of the user's recovery skills by 20% for 5 seconds.</v>
      </c>
      <c r="J425" s="696"/>
      <c r="K425" s="239"/>
      <c r="L425" s="695" t="str">
        <f>INDEX('W-S'!$A:$O,MATCH(I424,'W-S'!$C:$C,0),MATCH("Description V3",'W-S'!$1:$1,0))</f>
        <v>Increases the potency of the user's recovery skills by 20% for 20 seconds, and adds 20% to the modifier applied to damage against water-attuned enemies for 20 seconds.</v>
      </c>
      <c r="M425" s="696"/>
    </row>
    <row r="426" spans="1:13" ht="22.5" x14ac:dyDescent="0.2">
      <c r="B426" s="701" t="e" vm="81">
        <f>+_xlfn.IMAGE("https://natalie.tf/wp-content/uploads/2023/10/DLV3_Icon_Weapon_"&amp;B425&amp;".png")</f>
        <v>#VALUE!</v>
      </c>
      <c r="C426" s="240"/>
      <c r="D426" s="692" t="str">
        <f>INDEX(WEAP!$A:$AN,MATCH(B425,WEAP!$A:$A,0),MATCH("Element",WEAP!$A$1:$BF$1,0))&amp;" "&amp;INDEX(WEAP!$A:$AN,MATCH(B425,WEAP!$A:$A,0),MATCH("Type",WEAP!$A$1:$BF$1,0))</f>
        <v>Wind Staff</v>
      </c>
      <c r="E426" s="693"/>
      <c r="F426" s="693"/>
      <c r="G426" s="694"/>
      <c r="H426" s="8"/>
      <c r="I426" s="697"/>
      <c r="J426" s="698"/>
      <c r="K426" s="9"/>
      <c r="L426" s="697"/>
      <c r="M426" s="698"/>
    </row>
    <row r="427" spans="1:13" ht="22.5" x14ac:dyDescent="0.35">
      <c r="B427" s="702"/>
      <c r="C427" s="239"/>
      <c r="D427" s="703" t="s">
        <v>10760</v>
      </c>
      <c r="E427" s="704"/>
      <c r="F427" s="235" t="s">
        <v>10761</v>
      </c>
      <c r="G427" s="235" t="s">
        <v>10762</v>
      </c>
      <c r="I427" s="697"/>
      <c r="J427" s="698"/>
      <c r="K427" s="239"/>
      <c r="L427" s="697"/>
      <c r="M427" s="698"/>
    </row>
    <row r="428" spans="1:13" ht="22.5" x14ac:dyDescent="0.35">
      <c r="B428" s="702"/>
      <c r="C428" s="239"/>
      <c r="D428" s="705" t="s">
        <v>96</v>
      </c>
      <c r="E428" s="706"/>
      <c r="F428" s="236">
        <f>INDEX(WEAP!$A:$AN,MATCH(B425,WEAP!$A:$A,0),MATCH("HP",WEAP!$A$1:$BF$1,0))</f>
        <v>196</v>
      </c>
      <c r="G428" s="237">
        <f>INDEX(WEAP!$A:$AN,MATCH(B425,WEAP!$A:$A,0),MATCH("HP V3",WEAP!$A$1:$BF$1,0))</f>
        <v>200</v>
      </c>
      <c r="I428" s="697"/>
      <c r="J428" s="698"/>
      <c r="K428" s="239"/>
      <c r="L428" s="697"/>
      <c r="M428" s="698"/>
    </row>
    <row r="429" spans="1:13" ht="22.5" x14ac:dyDescent="0.35">
      <c r="B429" s="702"/>
      <c r="C429" s="239"/>
      <c r="D429" s="707" t="s">
        <v>97</v>
      </c>
      <c r="E429" s="708"/>
      <c r="F429" s="236">
        <f>INDEX(WEAP!$A:$AN,MATCH(B425,WEAP!$A:$A,0),MATCH("Str",WEAP!$A$1:$BF$1,0))</f>
        <v>536</v>
      </c>
      <c r="G429" s="237">
        <f>INDEX(WEAP!$A:$AN,MATCH(B425,WEAP!$A:$A,0),MATCH("Str V3",WEAP!$A$1:$BF$1,0))</f>
        <v>565</v>
      </c>
      <c r="I429" s="699"/>
      <c r="J429" s="700"/>
      <c r="K429" s="239"/>
      <c r="L429" s="699"/>
      <c r="M429" s="700"/>
    </row>
    <row r="430" spans="1:13" s="245" customFormat="1" ht="7.5" customHeight="1" x14ac:dyDescent="0.2">
      <c r="A430" s="245" t="s">
        <v>10763</v>
      </c>
    </row>
    <row r="431" spans="1:13" ht="22.5" x14ac:dyDescent="0.35">
      <c r="A431" s="242" t="str">
        <f>TEXT(A424+1,"000")</f>
        <v>062</v>
      </c>
      <c r="B431" s="238" t="str">
        <f>"W-"&amp;A431</f>
        <v>W-062</v>
      </c>
      <c r="C431" s="239"/>
      <c r="D431" s="717" t="str">
        <f>+INDEX(WEAP!$A:$AN,MATCH(B432,WEAP!$A:$A,0),MATCH("Name",WEAP!$A$1:$BF$1,0))</f>
        <v>Chanzelian Caster Mk. 21</v>
      </c>
      <c r="E431" s="718"/>
      <c r="F431" s="718"/>
      <c r="G431" s="719"/>
      <c r="I431" s="241" t="str">
        <f>+INDEX(WEAP!$A:$AN,MATCH(B432,WEAP!$A:$A,0),MATCH("Weapon Skill",WEAP!$A$1:$BF$1,0))</f>
        <v>Mk. 21 Burstshot</v>
      </c>
      <c r="J431" s="243">
        <f>INDEX('W-S'!$A:$N,MATCH(I431,'W-S'!$C:$C,0),MATCH("SP Cost",'W-S'!$1:$1,0))</f>
        <v>7316</v>
      </c>
      <c r="K431" s="9"/>
      <c r="L431" s="241" t="str">
        <f>+I431</f>
        <v>Mk. 21 Burstshot</v>
      </c>
      <c r="M431" s="243">
        <f>INDEX('W-S'!$A:$N,MATCH(L431,'W-S'!$C:$C,0),MATCH("SP Cost V3",'W-S'!$1:$1,0))</f>
        <v>6000</v>
      </c>
    </row>
    <row r="432" spans="1:13" ht="22.5" x14ac:dyDescent="0.35">
      <c r="B432" s="238" t="str">
        <f>+INDEX(WEAP!$A:$AN,MATCH(B431,WEAP!$B:$B,0),MATCH("ID",WEAP!$A$1:$BF$1,0))</f>
        <v>309013_01</v>
      </c>
      <c r="C432" s="240"/>
      <c r="D432" s="692" t="str">
        <f>+INDEX(WEAP!$A:$AN,MATCH(B431,WEAP!$B:$B,0),MATCH("Family",WEAP!$A$1:$BF$1,0))&amp;" Weapon"</f>
        <v>Core E Weapon</v>
      </c>
      <c r="E432" s="693"/>
      <c r="F432" s="693"/>
      <c r="G432" s="694"/>
      <c r="H432" s="8"/>
      <c r="I432" s="695" t="str">
        <f>INDEX('W-S'!$A:$O,MATCH(I431,'W-S'!$C:$C,0),MATCH("Description",'W-S'!$1:$1,0))</f>
        <v>Deals 7 hits of 197% wind damage to enemies directly ahead.</v>
      </c>
      <c r="J432" s="696"/>
      <c r="K432" s="239"/>
      <c r="L432" s="695" t="str">
        <f>INDEX('W-S'!$A:$O,MATCH(I431,'W-S'!$C:$C,0),MATCH("Description V3",'W-S'!$1:$1,0))</f>
        <v>Deals 7 hits of 214% wind damage to enemies directly ahead, and adds 20% to the modifier applied to damage against water-attuned enemies for 20 seconds.</v>
      </c>
      <c r="M432" s="696"/>
    </row>
    <row r="433" spans="1:13" ht="22.5" x14ac:dyDescent="0.2">
      <c r="B433" s="701" t="e" vm="82">
        <f>+_xlfn.IMAGE("https://natalie.tf/wp-content/uploads/2023/10/DLV3_Icon_Weapon_"&amp;B432&amp;".png")</f>
        <v>#VALUE!</v>
      </c>
      <c r="C433" s="240"/>
      <c r="D433" s="692" t="str">
        <f>INDEX(WEAP!$A:$AN,MATCH(B432,WEAP!$A:$A,0),MATCH("Element",WEAP!$A$1:$BF$1,0))&amp;" "&amp;INDEX(WEAP!$A:$AN,MATCH(B432,WEAP!$A:$A,0),MATCH("Type",WEAP!$A$1:$BF$1,0))</f>
        <v>Wind Manacaster</v>
      </c>
      <c r="E433" s="693"/>
      <c r="F433" s="693"/>
      <c r="G433" s="694"/>
      <c r="H433" s="8"/>
      <c r="I433" s="697"/>
      <c r="J433" s="698"/>
      <c r="K433" s="9"/>
      <c r="L433" s="697"/>
      <c r="M433" s="698"/>
    </row>
    <row r="434" spans="1:13" ht="22.5" x14ac:dyDescent="0.35">
      <c r="B434" s="702"/>
      <c r="C434" s="239"/>
      <c r="D434" s="703" t="s">
        <v>10760</v>
      </c>
      <c r="E434" s="704"/>
      <c r="F434" s="235" t="s">
        <v>10761</v>
      </c>
      <c r="G434" s="235" t="s">
        <v>10762</v>
      </c>
      <c r="I434" s="697"/>
      <c r="J434" s="698"/>
      <c r="K434" s="239"/>
      <c r="L434" s="697"/>
      <c r="M434" s="698"/>
    </row>
    <row r="435" spans="1:13" ht="22.5" x14ac:dyDescent="0.35">
      <c r="B435" s="702"/>
      <c r="C435" s="239"/>
      <c r="D435" s="705" t="s">
        <v>96</v>
      </c>
      <c r="E435" s="706"/>
      <c r="F435" s="236">
        <f>INDEX(WEAP!$A:$AN,MATCH(B432,WEAP!$A:$A,0),MATCH("HP",WEAP!$A$1:$BF$1,0))</f>
        <v>159</v>
      </c>
      <c r="G435" s="237">
        <f>INDEX(WEAP!$A:$AN,MATCH(B432,WEAP!$A:$A,0),MATCH("HP V3",WEAP!$A$1:$BF$1,0))</f>
        <v>165</v>
      </c>
      <c r="I435" s="697"/>
      <c r="J435" s="698"/>
      <c r="K435" s="239"/>
      <c r="L435" s="697"/>
      <c r="M435" s="698"/>
    </row>
    <row r="436" spans="1:13" ht="22.5" x14ac:dyDescent="0.35">
      <c r="B436" s="702"/>
      <c r="C436" s="239"/>
      <c r="D436" s="707" t="s">
        <v>97</v>
      </c>
      <c r="E436" s="708"/>
      <c r="F436" s="236">
        <f>INDEX(WEAP!$A:$AN,MATCH(B432,WEAP!$A:$A,0),MATCH("Str",WEAP!$A$1:$BF$1,0))</f>
        <v>599</v>
      </c>
      <c r="G436" s="237">
        <f>INDEX(WEAP!$A:$AN,MATCH(B432,WEAP!$A:$A,0),MATCH("Str V3",WEAP!$A$1:$BF$1,0))</f>
        <v>620</v>
      </c>
      <c r="I436" s="699"/>
      <c r="J436" s="700"/>
      <c r="K436" s="239"/>
      <c r="L436" s="699"/>
      <c r="M436" s="700"/>
    </row>
    <row r="437" spans="1:13" s="245" customFormat="1" ht="7.5" customHeight="1" x14ac:dyDescent="0.2">
      <c r="A437" s="245" t="s">
        <v>10763</v>
      </c>
    </row>
    <row r="438" spans="1:13" ht="22.5" x14ac:dyDescent="0.35">
      <c r="A438" s="244" t="str">
        <f>TEXT(A431+1,"000")</f>
        <v>063</v>
      </c>
      <c r="B438" s="238" t="str">
        <f>"W-"&amp;A438</f>
        <v>W-063</v>
      </c>
      <c r="C438" s="239"/>
      <c r="D438" s="692" t="str">
        <f>+INDEX(WEAP!$A:$AN,MATCH(B439,WEAP!$A:$A,0),MATCH("Name",WEAP!$A$1:$BF$1,0))</f>
        <v>Zex's End</v>
      </c>
      <c r="E438" s="693"/>
      <c r="F438" s="693"/>
      <c r="G438" s="694"/>
      <c r="I438" s="241" t="str">
        <f>+INDEX(WEAP!$A:$AN,MATCH(B439,WEAP!$A:$A,0),MATCH("Weapon Skill",WEAP!$A$1:$BF$1,0))</f>
        <v>Zex's Waltz</v>
      </c>
      <c r="J438" s="243">
        <f>INDEX('W-S'!$A:$N,MATCH(I438,'W-S'!$C:$C,0),MATCH("SP Cost",'W-S'!$1:$1,0))</f>
        <v>6847</v>
      </c>
      <c r="K438" s="9"/>
      <c r="L438" s="241" t="str">
        <f>+I438</f>
        <v>Zex's Waltz</v>
      </c>
      <c r="M438" s="243">
        <f>INDEX('W-S'!$A:$N,MATCH(L438,'W-S'!$C:$C,0),MATCH("SP Cost V3",'W-S'!$1:$1,0))</f>
        <v>6000</v>
      </c>
    </row>
    <row r="439" spans="1:13" ht="22.5" x14ac:dyDescent="0.35">
      <c r="B439" s="238" t="str">
        <f>+INDEX(WEAP!$A:$AN,MATCH(B438,WEAP!$B:$B,0),MATCH("ID",WEAP!$A$1:$BF$1,0))</f>
        <v>301015_01</v>
      </c>
      <c r="C439" s="240"/>
      <c r="D439" s="692" t="str">
        <f>+INDEX(WEAP!$A:$AN,MATCH(B438,WEAP!$B:$B,0),MATCH("Family",WEAP!$A$1:$BF$1,0))&amp;" Weapon"</f>
        <v>Core E Weapon</v>
      </c>
      <c r="E439" s="693"/>
      <c r="F439" s="693"/>
      <c r="G439" s="694"/>
      <c r="H439" s="8"/>
      <c r="I439" s="695" t="str">
        <f>INDEX('W-S'!$A:$O,MATCH(I438,'W-S'!$C:$C,0),MATCH("Description",'W-S'!$1:$1,0))</f>
        <v>Deals 5 hits of 165% light damage to enemies directly ahead.</v>
      </c>
      <c r="J439" s="696"/>
      <c r="K439" s="239"/>
      <c r="L439" s="695" t="str">
        <f>INDEX('W-S'!$A:$O,MATCH(I438,'W-S'!$C:$C,0),MATCH("Description V3",'W-S'!$1:$1,0))</f>
        <v>Deals 5 hits of 300% light damage to enemies directly ahead, and adds 20% to the modifier applied to damage against shadow-attuned enemies for 20 seconds.</v>
      </c>
      <c r="M439" s="696"/>
    </row>
    <row r="440" spans="1:13" ht="22.5" x14ac:dyDescent="0.2">
      <c r="B440" s="701" t="e" vm="83">
        <f>+_xlfn.IMAGE("https://natalie.tf/wp-content/uploads/2023/10/DLV3_Icon_Weapon_"&amp;B439&amp;".png")</f>
        <v>#VALUE!</v>
      </c>
      <c r="C440" s="240"/>
      <c r="D440" s="692" t="str">
        <f>INDEX(WEAP!$A:$AN,MATCH(B439,WEAP!$A:$A,0),MATCH("Element",WEAP!$A$1:$BF$1,0))&amp;" "&amp;INDEX(WEAP!$A:$AN,MATCH(B439,WEAP!$A:$A,0),MATCH("Type",WEAP!$A$1:$BF$1,0))</f>
        <v>Light Sword</v>
      </c>
      <c r="E440" s="693"/>
      <c r="F440" s="693"/>
      <c r="G440" s="694"/>
      <c r="H440" s="8"/>
      <c r="I440" s="697"/>
      <c r="J440" s="698"/>
      <c r="K440" s="9"/>
      <c r="L440" s="697"/>
      <c r="M440" s="698"/>
    </row>
    <row r="441" spans="1:13" ht="22.5" x14ac:dyDescent="0.35">
      <c r="B441" s="702"/>
      <c r="C441" s="239"/>
      <c r="D441" s="703" t="s">
        <v>10760</v>
      </c>
      <c r="E441" s="704"/>
      <c r="F441" s="235" t="s">
        <v>10761</v>
      </c>
      <c r="G441" s="235" t="s">
        <v>10762</v>
      </c>
      <c r="I441" s="697"/>
      <c r="J441" s="698"/>
      <c r="K441" s="239"/>
      <c r="L441" s="697"/>
      <c r="M441" s="698"/>
    </row>
    <row r="442" spans="1:13" ht="22.5" x14ac:dyDescent="0.35">
      <c r="B442" s="702"/>
      <c r="C442" s="239"/>
      <c r="D442" s="705" t="s">
        <v>96</v>
      </c>
      <c r="E442" s="706"/>
      <c r="F442" s="236">
        <f>INDEX(WEAP!$A:$AN,MATCH(B439,WEAP!$A:$A,0),MATCH("HP",WEAP!$A$1:$BF$1,0))</f>
        <v>157</v>
      </c>
      <c r="G442" s="237">
        <f>INDEX(WEAP!$A:$AN,MATCH(B439,WEAP!$A:$A,0),MATCH("HP V3",WEAP!$A$1:$BF$1,0))</f>
        <v>175</v>
      </c>
      <c r="I442" s="697"/>
      <c r="J442" s="698"/>
      <c r="K442" s="239"/>
      <c r="L442" s="697"/>
      <c r="M442" s="698"/>
    </row>
    <row r="443" spans="1:13" ht="22.5" x14ac:dyDescent="0.35">
      <c r="B443" s="702"/>
      <c r="C443" s="239"/>
      <c r="D443" s="707" t="s">
        <v>97</v>
      </c>
      <c r="E443" s="708"/>
      <c r="F443" s="236">
        <f>INDEX(WEAP!$A:$AN,MATCH(B439,WEAP!$A:$A,0),MATCH("Str",WEAP!$A$1:$BF$1,0))</f>
        <v>612</v>
      </c>
      <c r="G443" s="237">
        <f>INDEX(WEAP!$A:$AN,MATCH(B439,WEAP!$A:$A,0),MATCH("Str V3",WEAP!$A$1:$BF$1,0))</f>
        <v>615</v>
      </c>
      <c r="I443" s="699"/>
      <c r="J443" s="700"/>
      <c r="K443" s="239"/>
      <c r="L443" s="699"/>
      <c r="M443" s="700"/>
    </row>
    <row r="444" spans="1:13" s="245" customFormat="1" ht="7.5" customHeight="1" x14ac:dyDescent="0.2">
      <c r="A444" s="245" t="s">
        <v>10763</v>
      </c>
    </row>
    <row r="445" spans="1:13" ht="22.5" x14ac:dyDescent="0.35">
      <c r="A445" s="244" t="str">
        <f>TEXT(A438+1,"000")</f>
        <v>064</v>
      </c>
      <c r="B445" s="238" t="str">
        <f>"W-"&amp;A445</f>
        <v>W-064</v>
      </c>
      <c r="C445" s="239"/>
      <c r="D445" s="692" t="str">
        <f>+INDEX(WEAP!$A:$AN,MATCH(B446,WEAP!$A:$A,0),MATCH("Name",WEAP!$A$1:$BF$1,0))</f>
        <v>Heavenwing</v>
      </c>
      <c r="E445" s="693"/>
      <c r="F445" s="693"/>
      <c r="G445" s="694"/>
      <c r="I445" s="241" t="str">
        <f>+INDEX(WEAP!$A:$AN,MATCH(B446,WEAP!$A:$A,0),MATCH("Weapon Skill",WEAP!$A$1:$BF$1,0))</f>
        <v>Winged Blessing</v>
      </c>
      <c r="J445" s="243">
        <f>INDEX('W-S'!$A:$N,MATCH(I445,'W-S'!$C:$C,0),MATCH("SP Cost",'W-S'!$1:$1,0))</f>
        <v>12841</v>
      </c>
      <c r="K445" s="9"/>
      <c r="L445" s="241" t="str">
        <f>+I445</f>
        <v>Winged Blessing</v>
      </c>
      <c r="M445" s="243">
        <f>INDEX('W-S'!$A:$N,MATCH(L445,'W-S'!$C:$C,0),MATCH("SP Cost V3",'W-S'!$1:$1,0))</f>
        <v>12000</v>
      </c>
    </row>
    <row r="446" spans="1:13" ht="22.5" x14ac:dyDescent="0.35">
      <c r="B446" s="238" t="str">
        <f>+INDEX(WEAP!$A:$AN,MATCH(B445,WEAP!$B:$B,0),MATCH("ID",WEAP!$A$1:$BF$1,0))</f>
        <v>302025_01</v>
      </c>
      <c r="C446" s="240"/>
      <c r="D446" s="692" t="str">
        <f>+INDEX(WEAP!$A:$AN,MATCH(B445,WEAP!$B:$B,0),MATCH("Family",WEAP!$A$1:$BF$1,0))&amp;" Weapon"</f>
        <v>Core E Weapon</v>
      </c>
      <c r="E446" s="693"/>
      <c r="F446" s="693"/>
      <c r="G446" s="694"/>
      <c r="H446" s="8"/>
      <c r="I446" s="695" t="str">
        <f>INDEX('W-S'!$A:$O,MATCH(I445,'W-S'!$C:$C,0),MATCH("Description",'W-S'!$1:$1,0))</f>
        <v>Restores the user's HP with 90% Recovery Potency.</v>
      </c>
      <c r="J446" s="696"/>
      <c r="K446" s="239"/>
      <c r="L446" s="695" t="str">
        <f>INDEX('W-S'!$A:$O,MATCH(I445,'W-S'!$C:$C,0),MATCH("Description V3",'W-S'!$1:$1,0))</f>
        <v>Restores the user's HP with 130% Recovery Potency, and adds 20% to the modifier applied to damage against shadow-attuned enemies for 20 seconds.</v>
      </c>
      <c r="M446" s="696"/>
    </row>
    <row r="447" spans="1:13" ht="22.5" x14ac:dyDescent="0.2">
      <c r="B447" s="701" t="e" vm="84">
        <f>+_xlfn.IMAGE("https://natalie.tf/wp-content/uploads/2023/10/DLV3_Icon_Weapon_"&amp;B446&amp;".png")</f>
        <v>#VALUE!</v>
      </c>
      <c r="C447" s="240"/>
      <c r="D447" s="692" t="str">
        <f>INDEX(WEAP!$A:$AN,MATCH(B446,WEAP!$A:$A,0),MATCH("Element",WEAP!$A$1:$BF$1,0))&amp;" "&amp;INDEX(WEAP!$A:$AN,MATCH(B446,WEAP!$A:$A,0),MATCH("Type",WEAP!$A$1:$BF$1,0))</f>
        <v>Light Blade</v>
      </c>
      <c r="E447" s="693"/>
      <c r="F447" s="693"/>
      <c r="G447" s="694"/>
      <c r="H447" s="8"/>
      <c r="I447" s="697"/>
      <c r="J447" s="698"/>
      <c r="K447" s="9"/>
      <c r="L447" s="697"/>
      <c r="M447" s="698"/>
    </row>
    <row r="448" spans="1:13" ht="22.5" x14ac:dyDescent="0.35">
      <c r="B448" s="702"/>
      <c r="C448" s="239"/>
      <c r="D448" s="703" t="s">
        <v>10760</v>
      </c>
      <c r="E448" s="704"/>
      <c r="F448" s="235" t="s">
        <v>10761</v>
      </c>
      <c r="G448" s="235" t="s">
        <v>10762</v>
      </c>
      <c r="I448" s="697"/>
      <c r="J448" s="698"/>
      <c r="K448" s="239"/>
      <c r="L448" s="697"/>
      <c r="M448" s="698"/>
    </row>
    <row r="449" spans="1:13" ht="22.5" x14ac:dyDescent="0.35">
      <c r="B449" s="702"/>
      <c r="C449" s="239"/>
      <c r="D449" s="705" t="s">
        <v>96</v>
      </c>
      <c r="E449" s="706"/>
      <c r="F449" s="236">
        <f>INDEX(WEAP!$A:$AN,MATCH(B446,WEAP!$A:$A,0),MATCH("HP",WEAP!$A$1:$BF$1,0))</f>
        <v>157</v>
      </c>
      <c r="G449" s="237">
        <f>INDEX(WEAP!$A:$AN,MATCH(B446,WEAP!$A:$A,0),MATCH("HP V3",WEAP!$A$1:$BF$1,0))</f>
        <v>160</v>
      </c>
      <c r="I449" s="697"/>
      <c r="J449" s="698"/>
      <c r="K449" s="239"/>
      <c r="L449" s="697"/>
      <c r="M449" s="698"/>
    </row>
    <row r="450" spans="1:13" ht="22.5" x14ac:dyDescent="0.35">
      <c r="B450" s="702"/>
      <c r="C450" s="239"/>
      <c r="D450" s="707" t="s">
        <v>97</v>
      </c>
      <c r="E450" s="708"/>
      <c r="F450" s="236">
        <f>INDEX(WEAP!$A:$AN,MATCH(B446,WEAP!$A:$A,0),MATCH("Str",WEAP!$A$1:$BF$1,0))</f>
        <v>598</v>
      </c>
      <c r="G450" s="237">
        <f>INDEX(WEAP!$A:$AN,MATCH(B446,WEAP!$A:$A,0),MATCH("Str V3",WEAP!$A$1:$BF$1,0))</f>
        <v>650</v>
      </c>
      <c r="I450" s="699"/>
      <c r="J450" s="700"/>
      <c r="K450" s="239"/>
      <c r="L450" s="699"/>
      <c r="M450" s="700"/>
    </row>
    <row r="451" spans="1:13" s="245" customFormat="1" ht="7.5" customHeight="1" x14ac:dyDescent="0.2">
      <c r="A451" s="245" t="s">
        <v>10763</v>
      </c>
    </row>
    <row r="452" spans="1:13" ht="22.5" x14ac:dyDescent="0.35">
      <c r="A452" s="244" t="str">
        <f>TEXT(A445+1,"000")</f>
        <v>065</v>
      </c>
      <c r="B452" s="238" t="str">
        <f>"W-"&amp;A452</f>
        <v>W-065</v>
      </c>
      <c r="C452" s="239"/>
      <c r="D452" s="692" t="str">
        <f>+INDEX(WEAP!$A:$AN,MATCH(B453,WEAP!$A:$A,0),MATCH("Name",WEAP!$A$1:$BF$1,0))</f>
        <v>Thunderblade Sugaar</v>
      </c>
      <c r="E452" s="693"/>
      <c r="F452" s="693"/>
      <c r="G452" s="694"/>
      <c r="I452" s="241" t="str">
        <f>+INDEX(WEAP!$A:$AN,MATCH(B453,WEAP!$A:$A,0),MATCH("Weapon Skill",WEAP!$A$1:$BF$1,0))</f>
        <v>Sugaar's Strength</v>
      </c>
      <c r="J452" s="243">
        <f>INDEX('W-S'!$A:$N,MATCH(I452,'W-S'!$C:$C,0),MATCH("SP Cost",'W-S'!$1:$1,0))</f>
        <v>7103</v>
      </c>
      <c r="K452" s="9"/>
      <c r="L452" s="241" t="str">
        <f>+I452</f>
        <v>Sugaar's Strength</v>
      </c>
      <c r="M452" s="243">
        <f>INDEX('W-S'!$A:$N,MATCH(L452,'W-S'!$C:$C,0),MATCH("SP Cost V3",'W-S'!$1:$1,0))</f>
        <v>6000</v>
      </c>
    </row>
    <row r="453" spans="1:13" ht="22.5" x14ac:dyDescent="0.35">
      <c r="B453" s="238" t="str">
        <f>+INDEX(WEAP!$A:$AN,MATCH(B452,WEAP!$B:$B,0),MATCH("ID",WEAP!$A$1:$BF$1,0))</f>
        <v>303030_01</v>
      </c>
      <c r="C453" s="240"/>
      <c r="D453" s="692" t="str">
        <f>+INDEX(WEAP!$A:$AN,MATCH(B452,WEAP!$B:$B,0),MATCH("Family",WEAP!$A$1:$BF$1,0))&amp;" Weapon"</f>
        <v>Core E Weapon</v>
      </c>
      <c r="E453" s="693"/>
      <c r="F453" s="693"/>
      <c r="G453" s="694"/>
      <c r="H453" s="8"/>
      <c r="I453" s="695" t="str">
        <f>INDEX('W-S'!$A:$O,MATCH(I452,'W-S'!$C:$C,0),MATCH("Description",'W-S'!$1:$1,0))</f>
        <v>Increases the user's strength by 40% for 5 seconds.</v>
      </c>
      <c r="J453" s="696"/>
      <c r="K453" s="239"/>
      <c r="L453" s="695" t="str">
        <f>INDEX('W-S'!$A:$O,MATCH(I452,'W-S'!$C:$C,0),MATCH("Description V3",'W-S'!$1:$1,0))</f>
        <v>Increases the user's strength by 50% for 20 seconds, and adds 20% to the modifier applied to damage against shadow-attuned enemies for 20 seconds.</v>
      </c>
      <c r="M453" s="696"/>
    </row>
    <row r="454" spans="1:13" ht="22.5" x14ac:dyDescent="0.2">
      <c r="B454" s="701" t="e" vm="85">
        <f>+_xlfn.IMAGE("https://natalie.tf/wp-content/uploads/2023/10/DLV3_Icon_Weapon_"&amp;B453&amp;".png")</f>
        <v>#VALUE!</v>
      </c>
      <c r="C454" s="240"/>
      <c r="D454" s="692" t="str">
        <f>INDEX(WEAP!$A:$AN,MATCH(B453,WEAP!$A:$A,0),MATCH("Element",WEAP!$A$1:$BF$1,0))&amp;" "&amp;INDEX(WEAP!$A:$AN,MATCH(B453,WEAP!$A:$A,0),MATCH("Type",WEAP!$A$1:$BF$1,0))</f>
        <v>Light Dagger</v>
      </c>
      <c r="E454" s="693"/>
      <c r="F454" s="693"/>
      <c r="G454" s="694"/>
      <c r="H454" s="8"/>
      <c r="I454" s="697"/>
      <c r="J454" s="698"/>
      <c r="K454" s="9"/>
      <c r="L454" s="697"/>
      <c r="M454" s="698"/>
    </row>
    <row r="455" spans="1:13" ht="22.5" x14ac:dyDescent="0.35">
      <c r="B455" s="702"/>
      <c r="C455" s="239"/>
      <c r="D455" s="703" t="s">
        <v>10760</v>
      </c>
      <c r="E455" s="704"/>
      <c r="F455" s="235" t="s">
        <v>10761</v>
      </c>
      <c r="G455" s="235" t="s">
        <v>10762</v>
      </c>
      <c r="I455" s="697"/>
      <c r="J455" s="698"/>
      <c r="K455" s="239"/>
      <c r="L455" s="697"/>
      <c r="M455" s="698"/>
    </row>
    <row r="456" spans="1:13" ht="22.5" x14ac:dyDescent="0.35">
      <c r="B456" s="702"/>
      <c r="C456" s="239"/>
      <c r="D456" s="705" t="s">
        <v>96</v>
      </c>
      <c r="E456" s="706"/>
      <c r="F456" s="236">
        <f>INDEX(WEAP!$A:$AN,MATCH(B453,WEAP!$A:$A,0),MATCH("HP",WEAP!$A$1:$BF$1,0))</f>
        <v>167</v>
      </c>
      <c r="G456" s="237">
        <f>INDEX(WEAP!$A:$AN,MATCH(B453,WEAP!$A:$A,0),MATCH("HP V3",WEAP!$A$1:$BF$1,0))</f>
        <v>170</v>
      </c>
      <c r="I456" s="697"/>
      <c r="J456" s="698"/>
      <c r="K456" s="239"/>
      <c r="L456" s="697"/>
      <c r="M456" s="698"/>
    </row>
    <row r="457" spans="1:13" ht="22.5" x14ac:dyDescent="0.35">
      <c r="B457" s="702"/>
      <c r="C457" s="239"/>
      <c r="D457" s="707" t="s">
        <v>97</v>
      </c>
      <c r="E457" s="708"/>
      <c r="F457" s="236">
        <f>INDEX(WEAP!$A:$AN,MATCH(B453,WEAP!$A:$A,0),MATCH("Str",WEAP!$A$1:$BF$1,0))</f>
        <v>582</v>
      </c>
      <c r="G457" s="237">
        <f>INDEX(WEAP!$A:$AN,MATCH(B453,WEAP!$A:$A,0),MATCH("Str V3",WEAP!$A$1:$BF$1,0))</f>
        <v>600</v>
      </c>
      <c r="I457" s="699"/>
      <c r="J457" s="700"/>
      <c r="K457" s="239"/>
      <c r="L457" s="699"/>
      <c r="M457" s="700"/>
    </row>
    <row r="458" spans="1:13" ht="33.75" customHeight="1" x14ac:dyDescent="0.2">
      <c r="A458" t="s">
        <v>10763</v>
      </c>
    </row>
    <row r="459" spans="1:13" ht="22.5" x14ac:dyDescent="0.35">
      <c r="A459" s="244" t="str">
        <f>TEXT(A452+1,"000")</f>
        <v>066</v>
      </c>
      <c r="B459" s="238" t="str">
        <f>"W-"&amp;A459</f>
        <v>W-066</v>
      </c>
      <c r="C459" s="239"/>
      <c r="D459" s="692" t="str">
        <f>+INDEX(WEAP!$A:$AN,MATCH(B460,WEAP!$A:$A,0),MATCH("Name",WEAP!$A$1:$BF$1,0))</f>
        <v>Radiant Swath</v>
      </c>
      <c r="E459" s="693"/>
      <c r="F459" s="693"/>
      <c r="G459" s="694"/>
      <c r="I459" s="241" t="str">
        <f>+INDEX(WEAP!$A:$AN,MATCH(B460,WEAP!$A:$A,0),MATCH("Weapon Skill",WEAP!$A$1:$BF$1,0))</f>
        <v>Radiant Boost</v>
      </c>
      <c r="J459" s="243">
        <f>INDEX('W-S'!$A:$N,MATCH(I459,'W-S'!$C:$C,0),MATCH("SP Cost",'W-S'!$1:$1,0))</f>
        <v>4711</v>
      </c>
      <c r="K459" s="9"/>
      <c r="L459" s="241" t="str">
        <f>+I459</f>
        <v>Radiant Boost</v>
      </c>
      <c r="M459" s="243">
        <f>INDEX('W-S'!$A:$N,MATCH(L459,'W-S'!$C:$C,0),MATCH("SP Cost V3",'W-S'!$1:$1,0))</f>
        <v>6000</v>
      </c>
    </row>
    <row r="460" spans="1:13" ht="22.5" x14ac:dyDescent="0.35">
      <c r="B460" s="238" t="str">
        <f>+INDEX(WEAP!$A:$AN,MATCH(B459,WEAP!$B:$B,0),MATCH("ID",WEAP!$A$1:$BF$1,0))</f>
        <v>304013_01</v>
      </c>
      <c r="C460" s="240"/>
      <c r="D460" s="692" t="str">
        <f>+INDEX(WEAP!$A:$AN,MATCH(B459,WEAP!$B:$B,0),MATCH("Family",WEAP!$A$1:$BF$1,0))&amp;" Weapon"</f>
        <v>Core E Weapon</v>
      </c>
      <c r="E460" s="693"/>
      <c r="F460" s="693"/>
      <c r="G460" s="694"/>
      <c r="H460" s="8"/>
      <c r="I460" s="695" t="str">
        <f>INDEX('W-S'!$A:$O,MATCH(I459,'W-S'!$C:$C,0),MATCH("Description",'W-S'!$1:$1,0))</f>
        <v>Adds 50% to the modifier applied to the user's critical damage for 20 seconds.</v>
      </c>
      <c r="J460" s="696"/>
      <c r="K460" s="239"/>
      <c r="L460" s="695" t="str">
        <f>INDEX('W-S'!$A:$O,MATCH(I459,'W-S'!$C:$C,0),MATCH("Description V3",'W-S'!$1:$1,0))</f>
        <v>Adds 50% to the modifier applied to the user's critical damage for 20 seconds, and adds 20% to the modifier applied to damage against shadow-attuned enemies for 20 seconds.</v>
      </c>
      <c r="M460" s="696"/>
    </row>
    <row r="461" spans="1:13" ht="22.5" x14ac:dyDescent="0.2">
      <c r="B461" s="701" t="e" vm="86">
        <f>+_xlfn.IMAGE("https://natalie.tf/wp-content/uploads/2023/10/DLV3_Icon_Weapon_"&amp;B460&amp;".png")</f>
        <v>#VALUE!</v>
      </c>
      <c r="C461" s="240"/>
      <c r="D461" s="692" t="str">
        <f>INDEX(WEAP!$A:$AN,MATCH(B460,WEAP!$A:$A,0),MATCH("Element",WEAP!$A$1:$BF$1,0))&amp;" "&amp;INDEX(WEAP!$A:$AN,MATCH(B460,WEAP!$A:$A,0),MATCH("Type",WEAP!$A$1:$BF$1,0))</f>
        <v>Light Axe</v>
      </c>
      <c r="E461" s="693"/>
      <c r="F461" s="693"/>
      <c r="G461" s="694"/>
      <c r="H461" s="8"/>
      <c r="I461" s="697"/>
      <c r="J461" s="698"/>
      <c r="K461" s="9"/>
      <c r="L461" s="697"/>
      <c r="M461" s="698"/>
    </row>
    <row r="462" spans="1:13" ht="22.5" x14ac:dyDescent="0.35">
      <c r="B462" s="702"/>
      <c r="C462" s="239"/>
      <c r="D462" s="703" t="s">
        <v>10760</v>
      </c>
      <c r="E462" s="704"/>
      <c r="F462" s="235" t="s">
        <v>10761</v>
      </c>
      <c r="G462" s="235" t="s">
        <v>10762</v>
      </c>
      <c r="I462" s="697"/>
      <c r="J462" s="698"/>
      <c r="K462" s="239"/>
      <c r="L462" s="697"/>
      <c r="M462" s="698"/>
    </row>
    <row r="463" spans="1:13" ht="22.5" x14ac:dyDescent="0.35">
      <c r="B463" s="702"/>
      <c r="C463" s="239"/>
      <c r="D463" s="705" t="s">
        <v>96</v>
      </c>
      <c r="E463" s="706"/>
      <c r="F463" s="236">
        <f>INDEX(WEAP!$A:$AN,MATCH(B460,WEAP!$A:$A,0),MATCH("HP",WEAP!$A$1:$BF$1,0))</f>
        <v>161</v>
      </c>
      <c r="G463" s="237">
        <f>INDEX(WEAP!$A:$AN,MATCH(B460,WEAP!$A:$A,0),MATCH("HP V3",WEAP!$A$1:$BF$1,0))</f>
        <v>170</v>
      </c>
      <c r="I463" s="697"/>
      <c r="J463" s="698"/>
      <c r="K463" s="239"/>
      <c r="L463" s="697"/>
      <c r="M463" s="698"/>
    </row>
    <row r="464" spans="1:13" ht="22.5" x14ac:dyDescent="0.35">
      <c r="B464" s="702"/>
      <c r="C464" s="239"/>
      <c r="D464" s="707" t="s">
        <v>97</v>
      </c>
      <c r="E464" s="708"/>
      <c r="F464" s="236">
        <f>INDEX(WEAP!$A:$AN,MATCH(B460,WEAP!$A:$A,0),MATCH("Str",WEAP!$A$1:$BF$1,0))</f>
        <v>642</v>
      </c>
      <c r="G464" s="237">
        <f>INDEX(WEAP!$A:$AN,MATCH(B460,WEAP!$A:$A,0),MATCH("Str V3",WEAP!$A$1:$BF$1,0))</f>
        <v>645</v>
      </c>
      <c r="I464" s="699"/>
      <c r="J464" s="700"/>
      <c r="K464" s="239"/>
      <c r="L464" s="699"/>
      <c r="M464" s="700"/>
    </row>
    <row r="465" spans="1:13" s="245" customFormat="1" ht="7.5" customHeight="1" x14ac:dyDescent="0.2">
      <c r="A465" s="245" t="s">
        <v>10763</v>
      </c>
    </row>
    <row r="466" spans="1:13" ht="22.5" x14ac:dyDescent="0.35">
      <c r="A466" s="242" t="str">
        <f>TEXT(A459+1,"000")</f>
        <v>067</v>
      </c>
      <c r="B466" s="238" t="str">
        <f>"W-"&amp;A466</f>
        <v>W-067</v>
      </c>
      <c r="C466" s="239"/>
      <c r="D466" s="717" t="str">
        <f>+INDEX(WEAP!$A:$AN,MATCH(B467,WEAP!$A:$A,0),MATCH("Name",WEAP!$A$1:$BF$1,0))</f>
        <v>Thunder King's Greatspear</v>
      </c>
      <c r="E466" s="718"/>
      <c r="F466" s="718"/>
      <c r="G466" s="719"/>
      <c r="I466" s="241" t="str">
        <f>+INDEX(WEAP!$A:$AN,MATCH(B467,WEAP!$A:$A,0),MATCH("Weapon Skill",WEAP!$A$1:$BF$1,0))</f>
        <v>Thunder's Descent</v>
      </c>
      <c r="J466" s="243">
        <f>INDEX('W-S'!$A:$N,MATCH(I466,'W-S'!$C:$C,0),MATCH("SP Cost",'W-S'!$1:$1,0))</f>
        <v>8111</v>
      </c>
      <c r="K466" s="9"/>
      <c r="L466" s="241" t="str">
        <f>+I466</f>
        <v>Thunder's Descent</v>
      </c>
      <c r="M466" s="243">
        <f>INDEX('W-S'!$A:$N,MATCH(L466,'W-S'!$C:$C,0),MATCH("SP Cost V3",'W-S'!$1:$1,0))</f>
        <v>6000</v>
      </c>
    </row>
    <row r="467" spans="1:13" ht="22.5" x14ac:dyDescent="0.35">
      <c r="B467" s="238" t="str">
        <f>+INDEX(WEAP!$A:$AN,MATCH(B466,WEAP!$B:$B,0),MATCH("ID",WEAP!$A$1:$BF$1,0))</f>
        <v>305033_01</v>
      </c>
      <c r="C467" s="240"/>
      <c r="D467" s="692" t="str">
        <f>+INDEX(WEAP!$A:$AN,MATCH(B466,WEAP!$B:$B,0),MATCH("Family",WEAP!$A$1:$BF$1,0))&amp;" Weapon"</f>
        <v>Core E Weapon</v>
      </c>
      <c r="E467" s="693"/>
      <c r="F467" s="693"/>
      <c r="G467" s="694"/>
      <c r="H467" s="8"/>
      <c r="I467" s="695" t="str">
        <f>INDEX('W-S'!$A:$O,MATCH(I466,'W-S'!$C:$C,0),MATCH("Description",'W-S'!$1:$1,0))</f>
        <v>Deals 2 hits of 461% light damage to the target and nearby enemies.</v>
      </c>
      <c r="J467" s="696"/>
      <c r="K467" s="239"/>
      <c r="L467" s="695" t="str">
        <f>INDEX('W-S'!$A:$O,MATCH(I466,'W-S'!$C:$C,0),MATCH("Description V3",'W-S'!$1:$1,0))</f>
        <v>Deals 2 hits of 750% light damage to the target and nearby enemies, and adds 20% to the modifier applied to damage against shadow-attuned enemies for 20 seconds.</v>
      </c>
      <c r="M467" s="696"/>
    </row>
    <row r="468" spans="1:13" ht="22.5" x14ac:dyDescent="0.2">
      <c r="B468" s="701" t="e" vm="87">
        <f>+_xlfn.IMAGE("https://natalie.tf/wp-content/uploads/2023/10/DLV3_Icon_Weapon_"&amp;B467&amp;".png")</f>
        <v>#VALUE!</v>
      </c>
      <c r="C468" s="240"/>
      <c r="D468" s="692" t="str">
        <f>INDEX(WEAP!$A:$AN,MATCH(B467,WEAP!$A:$A,0),MATCH("Element",WEAP!$A$1:$BF$1,0))&amp;" "&amp;INDEX(WEAP!$A:$AN,MATCH(B467,WEAP!$A:$A,0),MATCH("Type",WEAP!$A$1:$BF$1,0))</f>
        <v>Light Lance</v>
      </c>
      <c r="E468" s="693"/>
      <c r="F468" s="693"/>
      <c r="G468" s="694"/>
      <c r="H468" s="8"/>
      <c r="I468" s="697"/>
      <c r="J468" s="698"/>
      <c r="K468" s="9"/>
      <c r="L468" s="697"/>
      <c r="M468" s="698"/>
    </row>
    <row r="469" spans="1:13" ht="22.5" x14ac:dyDescent="0.35">
      <c r="B469" s="702"/>
      <c r="C469" s="239"/>
      <c r="D469" s="703" t="s">
        <v>10760</v>
      </c>
      <c r="E469" s="704"/>
      <c r="F469" s="235" t="s">
        <v>10761</v>
      </c>
      <c r="G469" s="235" t="s">
        <v>10762</v>
      </c>
      <c r="I469" s="697"/>
      <c r="J469" s="698"/>
      <c r="K469" s="239"/>
      <c r="L469" s="697"/>
      <c r="M469" s="698"/>
    </row>
    <row r="470" spans="1:13" ht="22.5" x14ac:dyDescent="0.35">
      <c r="B470" s="702"/>
      <c r="C470" s="239"/>
      <c r="D470" s="705" t="s">
        <v>96</v>
      </c>
      <c r="E470" s="706"/>
      <c r="F470" s="236">
        <f>INDEX(WEAP!$A:$AN,MATCH(B467,WEAP!$A:$A,0),MATCH("HP",WEAP!$A$1:$BF$1,0))</f>
        <v>160</v>
      </c>
      <c r="G470" s="237">
        <f>INDEX(WEAP!$A:$AN,MATCH(B467,WEAP!$A:$A,0),MATCH("HP V3",WEAP!$A$1:$BF$1,0))</f>
        <v>185</v>
      </c>
      <c r="I470" s="697"/>
      <c r="J470" s="698"/>
      <c r="K470" s="239"/>
      <c r="L470" s="697"/>
      <c r="M470" s="698"/>
    </row>
    <row r="471" spans="1:13" ht="22.5" x14ac:dyDescent="0.35">
      <c r="B471" s="702"/>
      <c r="C471" s="239"/>
      <c r="D471" s="707" t="s">
        <v>97</v>
      </c>
      <c r="E471" s="708"/>
      <c r="F471" s="236">
        <f>INDEX(WEAP!$A:$AN,MATCH(B467,WEAP!$A:$A,0),MATCH("Str",WEAP!$A$1:$BF$1,0))</f>
        <v>624</v>
      </c>
      <c r="G471" s="237">
        <f>INDEX(WEAP!$A:$AN,MATCH(B467,WEAP!$A:$A,0),MATCH("Str V3",WEAP!$A$1:$BF$1,0))</f>
        <v>625</v>
      </c>
      <c r="I471" s="699"/>
      <c r="J471" s="700"/>
      <c r="K471" s="239"/>
      <c r="L471" s="699"/>
      <c r="M471" s="700"/>
    </row>
    <row r="472" spans="1:13" s="245" customFormat="1" ht="7.5" customHeight="1" x14ac:dyDescent="0.2">
      <c r="A472" s="245" t="s">
        <v>10763</v>
      </c>
    </row>
    <row r="473" spans="1:13" ht="22.5" x14ac:dyDescent="0.35">
      <c r="A473" s="244" t="str">
        <f>TEXT(A466+1,"000")</f>
        <v>068</v>
      </c>
      <c r="B473" s="238" t="str">
        <f>"W-"&amp;A473</f>
        <v>W-068</v>
      </c>
      <c r="C473" s="239"/>
      <c r="D473" s="692" t="str">
        <f>+INDEX(WEAP!$A:$AN,MATCH(B474,WEAP!$A:$A,0),MATCH("Name",WEAP!$A$1:$BF$1,0))</f>
        <v>Thunderbow</v>
      </c>
      <c r="E473" s="693"/>
      <c r="F473" s="693"/>
      <c r="G473" s="694"/>
      <c r="I473" s="241" t="str">
        <f>+INDEX(WEAP!$A:$AN,MATCH(B474,WEAP!$A:$A,0),MATCH("Weapon Skill",WEAP!$A$1:$BF$1,0))</f>
        <v>Divine Thunder</v>
      </c>
      <c r="J473" s="243">
        <f>INDEX('W-S'!$A:$N,MATCH(I473,'W-S'!$C:$C,0),MATCH("SP Cost",'W-S'!$1:$1,0))</f>
        <v>8075</v>
      </c>
      <c r="K473" s="9"/>
      <c r="L473" s="241" t="str">
        <f>+I473</f>
        <v>Divine Thunder</v>
      </c>
      <c r="M473" s="243">
        <f>INDEX('W-S'!$A:$N,MATCH(L473,'W-S'!$C:$C,0),MATCH("SP Cost V3",'W-S'!$1:$1,0))</f>
        <v>6000</v>
      </c>
    </row>
    <row r="474" spans="1:13" ht="22.5" x14ac:dyDescent="0.35">
      <c r="B474" s="238" t="str">
        <f>+INDEX(WEAP!$A:$AN,MATCH(B473,WEAP!$B:$B,0),MATCH("ID",WEAP!$A$1:$BF$1,0))</f>
        <v>306031_01</v>
      </c>
      <c r="C474" s="240"/>
      <c r="D474" s="692" t="str">
        <f>+INDEX(WEAP!$A:$AN,MATCH(B473,WEAP!$B:$B,0),MATCH("Family",WEAP!$A$1:$BF$1,0))&amp;" Weapon"</f>
        <v>Core E Weapon</v>
      </c>
      <c r="E474" s="693"/>
      <c r="F474" s="693"/>
      <c r="G474" s="694"/>
      <c r="H474" s="8"/>
      <c r="I474" s="695" t="str">
        <f>INDEX('W-S'!$A:$O,MATCH(I473,'W-S'!$C:$C,0),MATCH("Description",'W-S'!$1:$1,0))</f>
        <v>Deals 1 shot of 949% light damage to enemies in a line.</v>
      </c>
      <c r="J474" s="696"/>
      <c r="K474" s="239"/>
      <c r="L474" s="695" t="str">
        <f>INDEX('W-S'!$A:$O,MATCH(I473,'W-S'!$C:$C,0),MATCH("Description V3",'W-S'!$1:$1,0))</f>
        <v>Deals 1 shot of 1500% light damage to enemies in a line, and adds 20% to the modifier applied to damage against shadow-attuned enemies for 20 seconds.</v>
      </c>
      <c r="M474" s="696"/>
    </row>
    <row r="475" spans="1:13" ht="22.5" x14ac:dyDescent="0.2">
      <c r="B475" s="701" t="e" vm="88">
        <f>+_xlfn.IMAGE("https://natalie.tf/wp-content/uploads/2023/10/DLV3_Icon_Weapon_"&amp;B474&amp;".png")</f>
        <v>#VALUE!</v>
      </c>
      <c r="C475" s="240"/>
      <c r="D475" s="692" t="str">
        <f>INDEX(WEAP!$A:$AN,MATCH(B474,WEAP!$A:$A,0),MATCH("Element",WEAP!$A$1:$BF$1,0))&amp;" "&amp;INDEX(WEAP!$A:$AN,MATCH(B474,WEAP!$A:$A,0),MATCH("Type",WEAP!$A$1:$BF$1,0))</f>
        <v>Light Bow</v>
      </c>
      <c r="E475" s="693"/>
      <c r="F475" s="693"/>
      <c r="G475" s="694"/>
      <c r="H475" s="8"/>
      <c r="I475" s="697"/>
      <c r="J475" s="698"/>
      <c r="K475" s="9"/>
      <c r="L475" s="697"/>
      <c r="M475" s="698"/>
    </row>
    <row r="476" spans="1:13" ht="22.5" x14ac:dyDescent="0.35">
      <c r="B476" s="702"/>
      <c r="C476" s="239"/>
      <c r="D476" s="703" t="s">
        <v>10760</v>
      </c>
      <c r="E476" s="704"/>
      <c r="F476" s="235" t="s">
        <v>10761</v>
      </c>
      <c r="G476" s="235" t="s">
        <v>10762</v>
      </c>
      <c r="I476" s="697"/>
      <c r="J476" s="698"/>
      <c r="K476" s="239"/>
      <c r="L476" s="697"/>
      <c r="M476" s="698"/>
    </row>
    <row r="477" spans="1:13" ht="22.5" x14ac:dyDescent="0.35">
      <c r="B477" s="702"/>
      <c r="C477" s="239"/>
      <c r="D477" s="705" t="s">
        <v>96</v>
      </c>
      <c r="E477" s="706"/>
      <c r="F477" s="236">
        <f>INDEX(WEAP!$A:$AN,MATCH(B474,WEAP!$A:$A,0),MATCH("HP",WEAP!$A$1:$BF$1,0))</f>
        <v>154</v>
      </c>
      <c r="G477" s="237">
        <f>INDEX(WEAP!$A:$AN,MATCH(B474,WEAP!$A:$A,0),MATCH("HP V3",WEAP!$A$1:$BF$1,0))</f>
        <v>165</v>
      </c>
      <c r="I477" s="697"/>
      <c r="J477" s="698"/>
      <c r="K477" s="239"/>
      <c r="L477" s="697"/>
      <c r="M477" s="698"/>
    </row>
    <row r="478" spans="1:13" ht="22.5" x14ac:dyDescent="0.35">
      <c r="B478" s="702"/>
      <c r="C478" s="239"/>
      <c r="D478" s="707" t="s">
        <v>97</v>
      </c>
      <c r="E478" s="708"/>
      <c r="F478" s="236">
        <f>INDEX(WEAP!$A:$AN,MATCH(B474,WEAP!$A:$A,0),MATCH("Str",WEAP!$A$1:$BF$1,0))</f>
        <v>587</v>
      </c>
      <c r="G478" s="237">
        <f>INDEX(WEAP!$A:$AN,MATCH(B474,WEAP!$A:$A,0),MATCH("Str V3",WEAP!$A$1:$BF$1,0))</f>
        <v>590</v>
      </c>
      <c r="I478" s="699"/>
      <c r="J478" s="700"/>
      <c r="K478" s="239"/>
      <c r="L478" s="699"/>
      <c r="M478" s="700"/>
    </row>
    <row r="479" spans="1:13" s="245" customFormat="1" ht="7.5" customHeight="1" x14ac:dyDescent="0.2">
      <c r="A479" s="245" t="s">
        <v>10763</v>
      </c>
    </row>
    <row r="480" spans="1:13" ht="22.5" x14ac:dyDescent="0.35">
      <c r="A480" s="244" t="str">
        <f>TEXT(A473+1,"000")</f>
        <v>069</v>
      </c>
      <c r="B480" s="238" t="str">
        <f>"W-"&amp;A480</f>
        <v>W-069</v>
      </c>
      <c r="C480" s="239"/>
      <c r="D480" s="692" t="str">
        <f>+INDEX(WEAP!$A:$AN,MATCH(B481,WEAP!$A:$A,0),MATCH("Name",WEAP!$A$1:$BF$1,0))</f>
        <v>Twilight Shimmer</v>
      </c>
      <c r="E480" s="693"/>
      <c r="F480" s="693"/>
      <c r="G480" s="694"/>
      <c r="I480" s="241" t="str">
        <f>+INDEX(WEAP!$A:$AN,MATCH(B481,WEAP!$A:$A,0),MATCH("Weapon Skill",WEAP!$A$1:$BF$1,0))</f>
        <v>Twilight Blast</v>
      </c>
      <c r="J480" s="243">
        <f>INDEX('W-S'!$A:$N,MATCH(I480,'W-S'!$C:$C,0),MATCH("SP Cost",'W-S'!$1:$1,0))</f>
        <v>8757</v>
      </c>
      <c r="K480" s="9"/>
      <c r="L480" s="241" t="str">
        <f>+I480</f>
        <v>Twilight Blast</v>
      </c>
      <c r="M480" s="243">
        <f>INDEX('W-S'!$A:$N,MATCH(L480,'W-S'!$C:$C,0),MATCH("SP Cost V3",'W-S'!$1:$1,0))</f>
        <v>6000</v>
      </c>
    </row>
    <row r="481" spans="1:13" ht="22.5" x14ac:dyDescent="0.35">
      <c r="B481" s="238" t="str">
        <f>+INDEX(WEAP!$A:$AN,MATCH(B480,WEAP!$B:$B,0),MATCH("ID",WEAP!$A$1:$BF$1,0))</f>
        <v>307034_01</v>
      </c>
      <c r="C481" s="240"/>
      <c r="D481" s="692" t="str">
        <f>+INDEX(WEAP!$A:$AN,MATCH(B480,WEAP!$B:$B,0),MATCH("Family",WEAP!$A$1:$BF$1,0))&amp;" Weapon"</f>
        <v>Core E Weapon</v>
      </c>
      <c r="E481" s="693"/>
      <c r="F481" s="693"/>
      <c r="G481" s="694"/>
      <c r="H481" s="8"/>
      <c r="I481" s="695" t="str">
        <f>INDEX('W-S'!$A:$O,MATCH(I480,'W-S'!$C:$C,0),MATCH("Description",'W-S'!$1:$1,0))</f>
        <v>Deals 4 hits of 271% light damage to the target and nearby enemies.</v>
      </c>
      <c r="J481" s="696"/>
      <c r="K481" s="239"/>
      <c r="L481" s="695" t="str">
        <f>INDEX('W-S'!$A:$O,MATCH(I480,'W-S'!$C:$C,0),MATCH("Description V3",'W-S'!$1:$1,0))</f>
        <v>Deals 4 hits of 375% light damage to the target and nearby enemies, and adds 20% to the modifier applied to damage against shadow-attuned enemies for 20 seconds.</v>
      </c>
      <c r="M481" s="696"/>
    </row>
    <row r="482" spans="1:13" ht="22.5" x14ac:dyDescent="0.2">
      <c r="B482" s="701" t="e" vm="89">
        <f>+_xlfn.IMAGE("https://natalie.tf/wp-content/uploads/2023/10/DLV3_Icon_Weapon_"&amp;B481&amp;".png")</f>
        <v>#VALUE!</v>
      </c>
      <c r="C482" s="240"/>
      <c r="D482" s="692" t="str">
        <f>INDEX(WEAP!$A:$AN,MATCH(B481,WEAP!$A:$A,0),MATCH("Element",WEAP!$A$1:$BF$1,0))&amp;" "&amp;INDEX(WEAP!$A:$AN,MATCH(B481,WEAP!$A:$A,0),MATCH("Type",WEAP!$A$1:$BF$1,0))</f>
        <v>Light Wand</v>
      </c>
      <c r="E482" s="693"/>
      <c r="F482" s="693"/>
      <c r="G482" s="694"/>
      <c r="H482" s="8"/>
      <c r="I482" s="697"/>
      <c r="J482" s="698"/>
      <c r="K482" s="9"/>
      <c r="L482" s="697"/>
      <c r="M482" s="698"/>
    </row>
    <row r="483" spans="1:13" ht="22.5" x14ac:dyDescent="0.35">
      <c r="B483" s="702"/>
      <c r="C483" s="239"/>
      <c r="D483" s="703" t="s">
        <v>10760</v>
      </c>
      <c r="E483" s="704"/>
      <c r="F483" s="235" t="s">
        <v>10761</v>
      </c>
      <c r="G483" s="235" t="s">
        <v>10762</v>
      </c>
      <c r="I483" s="697"/>
      <c r="J483" s="698"/>
      <c r="K483" s="239"/>
      <c r="L483" s="697"/>
      <c r="M483" s="698"/>
    </row>
    <row r="484" spans="1:13" ht="22.5" x14ac:dyDescent="0.35">
      <c r="B484" s="702"/>
      <c r="C484" s="239"/>
      <c r="D484" s="705" t="s">
        <v>96</v>
      </c>
      <c r="E484" s="706"/>
      <c r="F484" s="236">
        <f>INDEX(WEAP!$A:$AN,MATCH(B481,WEAP!$A:$A,0),MATCH("HP",WEAP!$A$1:$BF$1,0))</f>
        <v>147</v>
      </c>
      <c r="G484" s="237">
        <f>INDEX(WEAP!$A:$AN,MATCH(B481,WEAP!$A:$A,0),MATCH("HP V3",WEAP!$A$1:$BF$1,0))</f>
        <v>170</v>
      </c>
      <c r="I484" s="697"/>
      <c r="J484" s="698"/>
      <c r="K484" s="239"/>
      <c r="L484" s="697"/>
      <c r="M484" s="698"/>
    </row>
    <row r="485" spans="1:13" ht="22.5" x14ac:dyDescent="0.35">
      <c r="B485" s="702"/>
      <c r="C485" s="239"/>
      <c r="D485" s="707" t="s">
        <v>97</v>
      </c>
      <c r="E485" s="708"/>
      <c r="F485" s="236">
        <f>INDEX(WEAP!$A:$AN,MATCH(B481,WEAP!$A:$A,0),MATCH("Str",WEAP!$A$1:$BF$1,0))</f>
        <v>630</v>
      </c>
      <c r="G485" s="237">
        <f>INDEX(WEAP!$A:$AN,MATCH(B481,WEAP!$A:$A,0),MATCH("Str V3",WEAP!$A$1:$BF$1,0))</f>
        <v>630</v>
      </c>
      <c r="I485" s="699"/>
      <c r="J485" s="700"/>
      <c r="K485" s="239"/>
      <c r="L485" s="699"/>
      <c r="M485" s="700"/>
    </row>
    <row r="486" spans="1:13" s="245" customFormat="1" ht="7.5" customHeight="1" x14ac:dyDescent="0.2">
      <c r="A486" s="245" t="s">
        <v>10763</v>
      </c>
    </row>
    <row r="487" spans="1:13" ht="22.5" x14ac:dyDescent="0.35">
      <c r="A487" s="244" t="str">
        <f>TEXT(A480+1,"000")</f>
        <v>070</v>
      </c>
      <c r="B487" s="238" t="str">
        <f>"W-"&amp;A487</f>
        <v>W-070</v>
      </c>
      <c r="C487" s="239"/>
      <c r="D487" s="692" t="str">
        <f>+INDEX(WEAP!$A:$AN,MATCH(B488,WEAP!$A:$A,0),MATCH("Name",WEAP!$A$1:$BF$1,0))</f>
        <v>Light of Judgment</v>
      </c>
      <c r="E487" s="693"/>
      <c r="F487" s="693"/>
      <c r="G487" s="694"/>
      <c r="I487" s="241" t="str">
        <f>+INDEX(WEAP!$A:$AN,MATCH(B488,WEAP!$A:$A,0),MATCH("Weapon Skill",WEAP!$A$1:$BF$1,0))</f>
        <v>Judgment Circle</v>
      </c>
      <c r="J487" s="243">
        <f>INDEX('W-S'!$A:$N,MATCH(I487,'W-S'!$C:$C,0),MATCH("SP Cost",'W-S'!$1:$1,0))</f>
        <v>15205</v>
      </c>
      <c r="K487" s="9"/>
      <c r="L487" s="241" t="str">
        <f>+I487</f>
        <v>Judgment Circle</v>
      </c>
      <c r="M487" s="243">
        <f>INDEX('W-S'!$A:$N,MATCH(L487,'W-S'!$C:$C,0),MATCH("SP Cost V3",'W-S'!$1:$1,0))</f>
        <v>6000</v>
      </c>
    </row>
    <row r="488" spans="1:13" ht="22.5" x14ac:dyDescent="0.35">
      <c r="B488" s="238" t="str">
        <f>+INDEX(WEAP!$A:$AN,MATCH(B487,WEAP!$B:$B,0),MATCH("ID",WEAP!$A$1:$BF$1,0))</f>
        <v>308014_01</v>
      </c>
      <c r="C488" s="240"/>
      <c r="D488" s="692" t="str">
        <f>+INDEX(WEAP!$A:$AN,MATCH(B487,WEAP!$B:$B,0),MATCH("Family",WEAP!$A$1:$BF$1,0))&amp;" Weapon"</f>
        <v>Core E Weapon</v>
      </c>
      <c r="E488" s="693"/>
      <c r="F488" s="693"/>
      <c r="G488" s="694"/>
      <c r="H488" s="8"/>
      <c r="I488" s="695" t="str">
        <f>INDEX('W-S'!$A:$O,MATCH(I487,'W-S'!$C:$C,0),MATCH("Description",'W-S'!$1:$1,0))</f>
        <v>Deals 1 hit of 755% light damage to surrounding enemies.</v>
      </c>
      <c r="J488" s="696"/>
      <c r="K488" s="239"/>
      <c r="L488" s="695" t="str">
        <f>INDEX('W-S'!$A:$O,MATCH(I487,'W-S'!$C:$C,0),MATCH("Description V3",'W-S'!$1:$1,0))</f>
        <v>Deals 1 hit of 1500% light damage to surrounding enemies, and adds 20% to the modifier applied to damage against shadow-attuned enemies for 20 seconds.</v>
      </c>
      <c r="M488" s="696"/>
    </row>
    <row r="489" spans="1:13" ht="22.5" x14ac:dyDescent="0.2">
      <c r="B489" s="701" t="e" vm="90">
        <f>+_xlfn.IMAGE("https://natalie.tf/wp-content/uploads/2023/10/DLV3_Icon_Weapon_"&amp;B488&amp;".png")</f>
        <v>#VALUE!</v>
      </c>
      <c r="C489" s="240"/>
      <c r="D489" s="692" t="str">
        <f>INDEX(WEAP!$A:$AN,MATCH(B488,WEAP!$A:$A,0),MATCH("Element",WEAP!$A$1:$BF$1,0))&amp;" "&amp;INDEX(WEAP!$A:$AN,MATCH(B488,WEAP!$A:$A,0),MATCH("Type",WEAP!$A$1:$BF$1,0))</f>
        <v>Light Staff</v>
      </c>
      <c r="E489" s="693"/>
      <c r="F489" s="693"/>
      <c r="G489" s="694"/>
      <c r="H489" s="8"/>
      <c r="I489" s="697"/>
      <c r="J489" s="698"/>
      <c r="K489" s="9"/>
      <c r="L489" s="697"/>
      <c r="M489" s="698"/>
    </row>
    <row r="490" spans="1:13" ht="22.5" x14ac:dyDescent="0.35">
      <c r="B490" s="702"/>
      <c r="C490" s="239"/>
      <c r="D490" s="703" t="s">
        <v>10760</v>
      </c>
      <c r="E490" s="704"/>
      <c r="F490" s="235" t="s">
        <v>10761</v>
      </c>
      <c r="G490" s="235" t="s">
        <v>10762</v>
      </c>
      <c r="I490" s="697"/>
      <c r="J490" s="698"/>
      <c r="K490" s="239"/>
      <c r="L490" s="697"/>
      <c r="M490" s="698"/>
    </row>
    <row r="491" spans="1:13" ht="22.5" x14ac:dyDescent="0.35">
      <c r="B491" s="702"/>
      <c r="C491" s="239"/>
      <c r="D491" s="705" t="s">
        <v>96</v>
      </c>
      <c r="E491" s="706"/>
      <c r="F491" s="236">
        <f>INDEX(WEAP!$A:$AN,MATCH(B488,WEAP!$A:$A,0),MATCH("HP",WEAP!$A$1:$BF$1,0))</f>
        <v>182</v>
      </c>
      <c r="G491" s="237">
        <f>INDEX(WEAP!$A:$AN,MATCH(B488,WEAP!$A:$A,0),MATCH("HP V3",WEAP!$A$1:$BF$1,0))</f>
        <v>200</v>
      </c>
      <c r="I491" s="697"/>
      <c r="J491" s="698"/>
      <c r="K491" s="239"/>
      <c r="L491" s="697"/>
      <c r="M491" s="698"/>
    </row>
    <row r="492" spans="1:13" ht="22.5" x14ac:dyDescent="0.35">
      <c r="B492" s="702"/>
      <c r="C492" s="239"/>
      <c r="D492" s="707" t="s">
        <v>97</v>
      </c>
      <c r="E492" s="708"/>
      <c r="F492" s="236">
        <f>INDEX(WEAP!$A:$AN,MATCH(B488,WEAP!$A:$A,0),MATCH("Str",WEAP!$A$1:$BF$1,0))</f>
        <v>564</v>
      </c>
      <c r="G492" s="237">
        <f>INDEX(WEAP!$A:$AN,MATCH(B488,WEAP!$A:$A,0),MATCH("Str V3",WEAP!$A$1:$BF$1,0))</f>
        <v>565</v>
      </c>
      <c r="I492" s="699"/>
      <c r="J492" s="700"/>
      <c r="K492" s="239"/>
      <c r="L492" s="699"/>
      <c r="M492" s="700"/>
    </row>
    <row r="493" spans="1:13" ht="33.75" customHeight="1" x14ac:dyDescent="0.2">
      <c r="A493" t="s">
        <v>10763</v>
      </c>
    </row>
    <row r="494" spans="1:13" ht="22.5" x14ac:dyDescent="0.35">
      <c r="A494" s="244" t="str">
        <f>TEXT(A487+1,"000")</f>
        <v>071</v>
      </c>
      <c r="B494" s="238" t="str">
        <f>"W-"&amp;A494</f>
        <v>W-071</v>
      </c>
      <c r="C494" s="239"/>
      <c r="D494" s="717" t="str">
        <f>+INDEX(WEAP!$A:$AN,MATCH(B495,WEAP!$A:$A,0),MATCH("Name",WEAP!$A$1:$BF$1,0))</f>
        <v>Chanzelian Caster Mk. 62</v>
      </c>
      <c r="E494" s="718"/>
      <c r="F494" s="718"/>
      <c r="G494" s="719"/>
      <c r="I494" s="241" t="str">
        <f>+INDEX(WEAP!$A:$AN,MATCH(B495,WEAP!$A:$A,0),MATCH("Weapon Skill",WEAP!$A$1:$BF$1,0))</f>
        <v>Mk. 62 Spreadshot</v>
      </c>
      <c r="J494" s="243">
        <f>INDEX('W-S'!$A:$N,MATCH(I494,'W-S'!$C:$C,0),MATCH("SP Cost",'W-S'!$1:$1,0))</f>
        <v>7316</v>
      </c>
      <c r="K494" s="9"/>
      <c r="L494" s="241" t="str">
        <f>+I494</f>
        <v>Mk. 62 Spreadshot</v>
      </c>
      <c r="M494" s="243">
        <f>INDEX('W-S'!$A:$N,MATCH(L494,'W-S'!$C:$C,0),MATCH("SP Cost V3",'W-S'!$1:$1,0))</f>
        <v>6000</v>
      </c>
    </row>
    <row r="495" spans="1:13" ht="22.5" x14ac:dyDescent="0.35">
      <c r="B495" s="238" t="str">
        <f>+INDEX(WEAP!$A:$AN,MATCH(B494,WEAP!$B:$B,0),MATCH("ID",WEAP!$A$1:$BF$1,0))</f>
        <v>309014_01</v>
      </c>
      <c r="C495" s="240"/>
      <c r="D495" s="692" t="str">
        <f>+INDEX(WEAP!$A:$AN,MATCH(B494,WEAP!$B:$B,0),MATCH("Family",WEAP!$A$1:$BF$1,0))&amp;" Weapon"</f>
        <v>Core E Weapon</v>
      </c>
      <c r="E495" s="693"/>
      <c r="F495" s="693"/>
      <c r="G495" s="694"/>
      <c r="H495" s="8"/>
      <c r="I495" s="695" t="str">
        <f>INDEX('W-S'!$A:$O,MATCH(I494,'W-S'!$C:$C,0),MATCH("Description",'W-S'!$1:$1,0))</f>
        <v>Deals 7 hits of 197% light damage to to enemies directly ahead. Paralyzed foes take 7 hits of 295.5% light damage instead.</v>
      </c>
      <c r="J495" s="696"/>
      <c r="K495" s="239"/>
      <c r="L495" s="695" t="str">
        <f>INDEX('W-S'!$A:$O,MATCH(I494,'W-S'!$C:$C,0),MATCH("Description V3",'W-S'!$1:$1,0))</f>
        <v>Deals 7 hits of 214% light damage to to enemies directly ahead, and adds 20% to the modifier applied to damage against shadow-attuned enemies for 20 seconds.</v>
      </c>
      <c r="M495" s="696"/>
    </row>
    <row r="496" spans="1:13" ht="22.5" x14ac:dyDescent="0.2">
      <c r="B496" s="701" t="e" vm="91">
        <f>+_xlfn.IMAGE("https://natalie.tf/wp-content/uploads/2023/10/DLV3_Icon_Weapon_"&amp;B495&amp;".png")</f>
        <v>#VALUE!</v>
      </c>
      <c r="C496" s="240"/>
      <c r="D496" s="692" t="str">
        <f>INDEX(WEAP!$A:$AN,MATCH(B495,WEAP!$A:$A,0),MATCH("Element",WEAP!$A$1:$BF$1,0))&amp;" "&amp;INDEX(WEAP!$A:$AN,MATCH(B495,WEAP!$A:$A,0),MATCH("Type",WEAP!$A$1:$BF$1,0))</f>
        <v>Light Manacaster</v>
      </c>
      <c r="E496" s="693"/>
      <c r="F496" s="693"/>
      <c r="G496" s="694"/>
      <c r="H496" s="8"/>
      <c r="I496" s="697"/>
      <c r="J496" s="698"/>
      <c r="K496" s="9"/>
      <c r="L496" s="697"/>
      <c r="M496" s="698"/>
    </row>
    <row r="497" spans="1:13" ht="22.5" x14ac:dyDescent="0.35">
      <c r="B497" s="702"/>
      <c r="C497" s="239"/>
      <c r="D497" s="703" t="s">
        <v>10760</v>
      </c>
      <c r="E497" s="704"/>
      <c r="F497" s="235" t="s">
        <v>10761</v>
      </c>
      <c r="G497" s="235" t="s">
        <v>10762</v>
      </c>
      <c r="I497" s="697"/>
      <c r="J497" s="698"/>
      <c r="K497" s="239"/>
      <c r="L497" s="697"/>
      <c r="M497" s="698"/>
    </row>
    <row r="498" spans="1:13" ht="22.5" x14ac:dyDescent="0.35">
      <c r="B498" s="702"/>
      <c r="C498" s="239"/>
      <c r="D498" s="705" t="s">
        <v>96</v>
      </c>
      <c r="E498" s="706"/>
      <c r="F498" s="236">
        <f>INDEX(WEAP!$A:$AN,MATCH(B495,WEAP!$A:$A,0),MATCH("HP",WEAP!$A$1:$BF$1,0))</f>
        <v>152</v>
      </c>
      <c r="G498" s="237">
        <f>INDEX(WEAP!$A:$AN,MATCH(B495,WEAP!$A:$A,0),MATCH("HP V3",WEAP!$A$1:$BF$1,0))</f>
        <v>165</v>
      </c>
      <c r="I498" s="697"/>
      <c r="J498" s="698"/>
      <c r="K498" s="239"/>
      <c r="L498" s="697"/>
      <c r="M498" s="698"/>
    </row>
    <row r="499" spans="1:13" ht="22.5" x14ac:dyDescent="0.35">
      <c r="B499" s="702"/>
      <c r="C499" s="239"/>
      <c r="D499" s="707" t="s">
        <v>97</v>
      </c>
      <c r="E499" s="708"/>
      <c r="F499" s="236">
        <f>INDEX(WEAP!$A:$AN,MATCH(B495,WEAP!$A:$A,0),MATCH("Str",WEAP!$A$1:$BF$1,0))</f>
        <v>618</v>
      </c>
      <c r="G499" s="237">
        <f>INDEX(WEAP!$A:$AN,MATCH(B495,WEAP!$A:$A,0),MATCH("Str V3",WEAP!$A$1:$BF$1,0))</f>
        <v>620</v>
      </c>
      <c r="I499" s="699"/>
      <c r="J499" s="700"/>
      <c r="K499" s="239"/>
      <c r="L499" s="699"/>
      <c r="M499" s="700"/>
    </row>
    <row r="500" spans="1:13" s="245" customFormat="1" ht="7.5" customHeight="1" x14ac:dyDescent="0.2">
      <c r="A500" s="245" t="s">
        <v>10763</v>
      </c>
    </row>
    <row r="501" spans="1:13" ht="22.5" x14ac:dyDescent="0.35">
      <c r="A501" s="242" t="str">
        <f>TEXT(A494+1,"000")</f>
        <v>072</v>
      </c>
      <c r="B501" s="238" t="str">
        <f>"W-"&amp;A501</f>
        <v>W-072</v>
      </c>
      <c r="C501" s="239"/>
      <c r="D501" s="692" t="str">
        <f>+INDEX(WEAP!$A:$AN,MATCH(B502,WEAP!$A:$A,0),MATCH("Name",WEAP!$A$1:$BF$1,0))</f>
        <v>Dáinsleif</v>
      </c>
      <c r="E501" s="693"/>
      <c r="F501" s="693"/>
      <c r="G501" s="694"/>
      <c r="I501" s="241" t="str">
        <f>+INDEX(WEAP!$A:$AN,MATCH(B502,WEAP!$A:$A,0),MATCH("Weapon Skill",WEAP!$A$1:$BF$1,0))</f>
        <v>Eternal Strife</v>
      </c>
      <c r="J501" s="243">
        <f>INDEX('W-S'!$A:$N,MATCH(I501,'W-S'!$C:$C,0),MATCH("SP Cost",'W-S'!$1:$1,0))</f>
        <v>7316</v>
      </c>
      <c r="K501" s="9"/>
      <c r="L501" s="241" t="str">
        <f>+I501</f>
        <v>Eternal Strife</v>
      </c>
      <c r="M501" s="243">
        <f>INDEX('W-S'!$A:$N,MATCH(L501,'W-S'!$C:$C,0),MATCH("SP Cost V3",'W-S'!$1:$1,0))</f>
        <v>6000</v>
      </c>
    </row>
    <row r="502" spans="1:13" ht="22.5" x14ac:dyDescent="0.35">
      <c r="B502" s="238" t="str">
        <f>+INDEX(WEAP!$A:$AN,MATCH(B501,WEAP!$B:$B,0),MATCH("ID",WEAP!$A$1:$BF$1,0))</f>
        <v>301037_01</v>
      </c>
      <c r="C502" s="240"/>
      <c r="D502" s="692" t="str">
        <f>+INDEX(WEAP!$A:$AN,MATCH(B501,WEAP!$B:$B,0),MATCH("Family",WEAP!$A$1:$BF$1,0))&amp;" Weapon"</f>
        <v>Core E Weapon</v>
      </c>
      <c r="E502" s="693"/>
      <c r="F502" s="693"/>
      <c r="G502" s="694"/>
      <c r="H502" s="8"/>
      <c r="I502" s="695" t="str">
        <f>INDEX('W-S'!$A:$O,MATCH(I501,'W-S'!$C:$C,0),MATCH("Description",'W-S'!$1:$1,0))</f>
        <v>Increases the user's defense by 30% for 10 seconds.</v>
      </c>
      <c r="J502" s="696"/>
      <c r="K502" s="239"/>
      <c r="L502" s="695" t="str">
        <f>INDEX('W-S'!$A:$O,MATCH(I501,'W-S'!$C:$C,0),MATCH("Description V3",'W-S'!$1:$1,0))</f>
        <v>Increases the user's defense by 50% for 20 seconds, and adds 20% to the modifier applied to damage against light-attuned enemies for 20 seconds.</v>
      </c>
      <c r="M502" s="696"/>
    </row>
    <row r="503" spans="1:13" ht="22.5" x14ac:dyDescent="0.2">
      <c r="B503" s="701" t="e" vm="92">
        <f>+_xlfn.IMAGE("https://natalie.tf/wp-content/uploads/2023/10/DLV3_Icon_Weapon_"&amp;B502&amp;".png")</f>
        <v>#VALUE!</v>
      </c>
      <c r="C503" s="240"/>
      <c r="D503" s="692" t="str">
        <f>INDEX(WEAP!$A:$AN,MATCH(B502,WEAP!$A:$A,0),MATCH("Element",WEAP!$A$1:$BF$1,0))&amp;" "&amp;INDEX(WEAP!$A:$AN,MATCH(B502,WEAP!$A:$A,0),MATCH("Type",WEAP!$A$1:$BF$1,0))</f>
        <v>Shadow Sword</v>
      </c>
      <c r="E503" s="693"/>
      <c r="F503" s="693"/>
      <c r="G503" s="694"/>
      <c r="H503" s="8"/>
      <c r="I503" s="697"/>
      <c r="J503" s="698"/>
      <c r="K503" s="9"/>
      <c r="L503" s="697"/>
      <c r="M503" s="698"/>
    </row>
    <row r="504" spans="1:13" ht="22.5" x14ac:dyDescent="0.35">
      <c r="B504" s="702"/>
      <c r="C504" s="239"/>
      <c r="D504" s="703" t="s">
        <v>10760</v>
      </c>
      <c r="E504" s="704"/>
      <c r="F504" s="235" t="s">
        <v>10761</v>
      </c>
      <c r="G504" s="235" t="s">
        <v>10762</v>
      </c>
      <c r="I504" s="697"/>
      <c r="J504" s="698"/>
      <c r="K504" s="239"/>
      <c r="L504" s="697"/>
      <c r="M504" s="698"/>
    </row>
    <row r="505" spans="1:13" ht="22.5" x14ac:dyDescent="0.35">
      <c r="B505" s="702"/>
      <c r="C505" s="239"/>
      <c r="D505" s="705" t="s">
        <v>96</v>
      </c>
      <c r="E505" s="706"/>
      <c r="F505" s="236">
        <f>INDEX(WEAP!$A:$AN,MATCH(B502,WEAP!$A:$A,0),MATCH("HP",WEAP!$A$1:$BF$1,0))</f>
        <v>173</v>
      </c>
      <c r="G505" s="237">
        <f>INDEX(WEAP!$A:$AN,MATCH(B502,WEAP!$A:$A,0),MATCH("HP V3",WEAP!$A$1:$BF$1,0))</f>
        <v>175</v>
      </c>
      <c r="I505" s="697"/>
      <c r="J505" s="698"/>
      <c r="K505" s="239"/>
      <c r="L505" s="697"/>
      <c r="M505" s="698"/>
    </row>
    <row r="506" spans="1:13" ht="22.5" x14ac:dyDescent="0.35">
      <c r="B506" s="702"/>
      <c r="C506" s="239"/>
      <c r="D506" s="707" t="s">
        <v>97</v>
      </c>
      <c r="E506" s="708"/>
      <c r="F506" s="236">
        <f>INDEX(WEAP!$A:$AN,MATCH(B502,WEAP!$A:$A,0),MATCH("Str",WEAP!$A$1:$BF$1,0))</f>
        <v>576</v>
      </c>
      <c r="G506" s="237">
        <f>INDEX(WEAP!$A:$AN,MATCH(B502,WEAP!$A:$A,0),MATCH("Str V3",WEAP!$A$1:$BF$1,0))</f>
        <v>615</v>
      </c>
      <c r="I506" s="699"/>
      <c r="J506" s="700"/>
      <c r="K506" s="239"/>
      <c r="L506" s="699"/>
      <c r="M506" s="700"/>
    </row>
    <row r="507" spans="1:13" s="245" customFormat="1" ht="7.5" customHeight="1" x14ac:dyDescent="0.2">
      <c r="A507" s="245" t="s">
        <v>10763</v>
      </c>
    </row>
    <row r="508" spans="1:13" ht="22.5" x14ac:dyDescent="0.35">
      <c r="A508" s="244" t="str">
        <f>TEXT(A501+1,"000")</f>
        <v>073</v>
      </c>
      <c r="B508" s="238" t="str">
        <f>"W-"&amp;A508</f>
        <v>W-073</v>
      </c>
      <c r="C508" s="239"/>
      <c r="D508" s="692" t="str">
        <f>+INDEX(WEAP!$A:$AN,MATCH(B509,WEAP!$A:$A,0),MATCH("Name",WEAP!$A$1:$BF$1,0))</f>
        <v>Blackwing</v>
      </c>
      <c r="E508" s="693"/>
      <c r="F508" s="693"/>
      <c r="G508" s="694"/>
      <c r="I508" s="241" t="str">
        <f>+INDEX(WEAP!$A:$AN,MATCH(B509,WEAP!$A:$A,0),MATCH("Weapon Skill",WEAP!$A$1:$BF$1,0))</f>
        <v>Black Dance</v>
      </c>
      <c r="J508" s="243">
        <f>INDEX('W-S'!$A:$N,MATCH(I508,'W-S'!$C:$C,0),MATCH("SP Cost",'W-S'!$1:$1,0))</f>
        <v>7695</v>
      </c>
      <c r="K508" s="9"/>
      <c r="L508" s="241" t="str">
        <f>+I508</f>
        <v>Black Dance</v>
      </c>
      <c r="M508" s="243">
        <f>INDEX('W-S'!$A:$N,MATCH(L508,'W-S'!$C:$C,0),MATCH("SP Cost V3",'W-S'!$1:$1,0))</f>
        <v>6000</v>
      </c>
    </row>
    <row r="509" spans="1:13" ht="22.5" x14ac:dyDescent="0.35">
      <c r="B509" s="238" t="str">
        <f>+INDEX(WEAP!$A:$AN,MATCH(B508,WEAP!$B:$B,0),MATCH("ID",WEAP!$A$1:$BF$1,0))</f>
        <v>302028_01</v>
      </c>
      <c r="C509" s="240"/>
      <c r="D509" s="692" t="str">
        <f>+INDEX(WEAP!$A:$AN,MATCH(B508,WEAP!$B:$B,0),MATCH("Family",WEAP!$A$1:$BF$1,0))&amp;" Weapon"</f>
        <v>Core E Weapon</v>
      </c>
      <c r="E509" s="693"/>
      <c r="F509" s="693"/>
      <c r="G509" s="694"/>
      <c r="H509" s="8"/>
      <c r="I509" s="695" t="str">
        <f>INDEX('W-S'!$A:$O,MATCH(I508,'W-S'!$C:$C,0),MATCH("Description",'W-S'!$1:$1,0))</f>
        <v>Deals 5 hits of 213% shadow damage to enemies directly ahead.</v>
      </c>
      <c r="J509" s="696"/>
      <c r="K509" s="239"/>
      <c r="L509" s="695" t="str">
        <f>INDEX('W-S'!$A:$O,MATCH(I508,'W-S'!$C:$C,0),MATCH("Description V3",'W-S'!$1:$1,0))</f>
        <v>Deals 5 hits of 300% shadow damage to enemies directly ahead, and adds 20% to the modifier applied to damage against light-attuned enemies for 20 seconds.</v>
      </c>
      <c r="M509" s="696"/>
    </row>
    <row r="510" spans="1:13" ht="22.5" x14ac:dyDescent="0.2">
      <c r="B510" s="701" t="e" vm="93">
        <f>+_xlfn.IMAGE("https://natalie.tf/wp-content/uploads/2023/10/DLV3_Icon_Weapon_"&amp;B509&amp;".png")</f>
        <v>#VALUE!</v>
      </c>
      <c r="C510" s="240"/>
      <c r="D510" s="692" t="str">
        <f>INDEX(WEAP!$A:$AN,MATCH(B509,WEAP!$A:$A,0),MATCH("Element",WEAP!$A$1:$BF$1,0))&amp;" "&amp;INDEX(WEAP!$A:$AN,MATCH(B509,WEAP!$A:$A,0),MATCH("Type",WEAP!$A$1:$BF$1,0))</f>
        <v>Shadow Blade</v>
      </c>
      <c r="E510" s="693"/>
      <c r="F510" s="693"/>
      <c r="G510" s="694"/>
      <c r="H510" s="8"/>
      <c r="I510" s="697"/>
      <c r="J510" s="698"/>
      <c r="K510" s="9"/>
      <c r="L510" s="697"/>
      <c r="M510" s="698"/>
    </row>
    <row r="511" spans="1:13" ht="22.5" x14ac:dyDescent="0.35">
      <c r="B511" s="702"/>
      <c r="C511" s="239"/>
      <c r="D511" s="703" t="s">
        <v>10760</v>
      </c>
      <c r="E511" s="704"/>
      <c r="F511" s="235" t="s">
        <v>10761</v>
      </c>
      <c r="G511" s="235" t="s">
        <v>10762</v>
      </c>
      <c r="I511" s="697"/>
      <c r="J511" s="698"/>
      <c r="K511" s="239"/>
      <c r="L511" s="697"/>
      <c r="M511" s="698"/>
    </row>
    <row r="512" spans="1:13" ht="22.5" x14ac:dyDescent="0.35">
      <c r="B512" s="702"/>
      <c r="C512" s="239"/>
      <c r="D512" s="705" t="s">
        <v>96</v>
      </c>
      <c r="E512" s="706"/>
      <c r="F512" s="236">
        <f>INDEX(WEAP!$A:$AN,MATCH(B509,WEAP!$A:$A,0),MATCH("HP",WEAP!$A$1:$BF$1,0))</f>
        <v>138</v>
      </c>
      <c r="G512" s="237">
        <f>INDEX(WEAP!$A:$AN,MATCH(B509,WEAP!$A:$A,0),MATCH("HP V3",WEAP!$A$1:$BF$1,0))</f>
        <v>160</v>
      </c>
      <c r="I512" s="697"/>
      <c r="J512" s="698"/>
      <c r="K512" s="239"/>
      <c r="L512" s="697"/>
      <c r="M512" s="698"/>
    </row>
    <row r="513" spans="1:13" ht="22.5" x14ac:dyDescent="0.35">
      <c r="B513" s="702"/>
      <c r="C513" s="239"/>
      <c r="D513" s="707" t="s">
        <v>97</v>
      </c>
      <c r="E513" s="708"/>
      <c r="F513" s="236">
        <f>INDEX(WEAP!$A:$AN,MATCH(B509,WEAP!$A:$A,0),MATCH("Str",WEAP!$A$1:$BF$1,0))</f>
        <v>649</v>
      </c>
      <c r="G513" s="237">
        <f>INDEX(WEAP!$A:$AN,MATCH(B509,WEAP!$A:$A,0),MATCH("Str V3",WEAP!$A$1:$BF$1,0))</f>
        <v>650</v>
      </c>
      <c r="I513" s="699"/>
      <c r="J513" s="700"/>
      <c r="K513" s="239"/>
      <c r="L513" s="699"/>
      <c r="M513" s="700"/>
    </row>
    <row r="514" spans="1:13" s="245" customFormat="1" ht="7.5" customHeight="1" x14ac:dyDescent="0.2">
      <c r="A514" s="245" t="s">
        <v>10763</v>
      </c>
    </row>
    <row r="515" spans="1:13" ht="22.5" x14ac:dyDescent="0.35">
      <c r="A515" s="244" t="str">
        <f>TEXT(A508+1,"000")</f>
        <v>074</v>
      </c>
      <c r="B515" s="238" t="str">
        <f>"W-"&amp;A515</f>
        <v>W-074</v>
      </c>
      <c r="C515" s="239"/>
      <c r="D515" s="692" t="str">
        <f>+INDEX(WEAP!$A:$AN,MATCH(B516,WEAP!$A:$A,0),MATCH("Name",WEAP!$A$1:$BF$1,0))</f>
        <v>Honor Edge</v>
      </c>
      <c r="E515" s="693"/>
      <c r="F515" s="693"/>
      <c r="G515" s="694"/>
      <c r="I515" s="241" t="str">
        <f>+INDEX(WEAP!$A:$AN,MATCH(B516,WEAP!$A:$A,0),MATCH("Weapon Skill",WEAP!$A$1:$BF$1,0))</f>
        <v>Unwavering Assault</v>
      </c>
      <c r="J515" s="243">
        <f>INDEX('W-S'!$A:$N,MATCH(I515,'W-S'!$C:$C,0),MATCH("SP Cost",'W-S'!$1:$1,0))</f>
        <v>7323</v>
      </c>
      <c r="K515" s="9"/>
      <c r="L515" s="241" t="str">
        <f>+I515</f>
        <v>Unwavering Assault</v>
      </c>
      <c r="M515" s="243">
        <f>INDEX('W-S'!$A:$N,MATCH(L515,'W-S'!$C:$C,0),MATCH("SP Cost V3",'W-S'!$1:$1,0))</f>
        <v>6000</v>
      </c>
    </row>
    <row r="516" spans="1:13" ht="22.5" x14ac:dyDescent="0.35">
      <c r="B516" s="238" t="str">
        <f>+INDEX(WEAP!$A:$AN,MATCH(B515,WEAP!$B:$B,0),MATCH("ID",WEAP!$A$1:$BF$1,0))</f>
        <v>303031_01</v>
      </c>
      <c r="C516" s="240"/>
      <c r="D516" s="692" t="str">
        <f>+INDEX(WEAP!$A:$AN,MATCH(B515,WEAP!$B:$B,0),MATCH("Family",WEAP!$A$1:$BF$1,0))&amp;" Weapon"</f>
        <v>Core E Weapon</v>
      </c>
      <c r="E516" s="693"/>
      <c r="F516" s="693"/>
      <c r="G516" s="694"/>
      <c r="H516" s="8"/>
      <c r="I516" s="695" t="str">
        <f>INDEX('W-S'!$A:$O,MATCH(I515,'W-S'!$C:$C,0),MATCH("Description",'W-S'!$1:$1,0))</f>
        <v>Deals 5 hits of 164% shadow damage to enemies directly ahead.</v>
      </c>
      <c r="J516" s="696"/>
      <c r="K516" s="239"/>
      <c r="L516" s="695" t="str">
        <f>INDEX('W-S'!$A:$O,MATCH(I515,'W-S'!$C:$C,0),MATCH("Description V3",'W-S'!$1:$1,0))</f>
        <v>Deals 5 hits of 300% shadow damage to enemies directly ahead, and adds 20% to the modifier applied to damage against light-attuned enemies for 20 seconds.</v>
      </c>
      <c r="M516" s="696"/>
    </row>
    <row r="517" spans="1:13" ht="22.5" x14ac:dyDescent="0.2">
      <c r="B517" s="701" t="e" vm="94">
        <f>+_xlfn.IMAGE("https://natalie.tf/wp-content/uploads/2023/10/DLV3_Icon_Weapon_"&amp;B516&amp;".png")</f>
        <v>#VALUE!</v>
      </c>
      <c r="C517" s="240"/>
      <c r="D517" s="692" t="str">
        <f>INDEX(WEAP!$A:$AN,MATCH(B516,WEAP!$A:$A,0),MATCH("Element",WEAP!$A$1:$BF$1,0))&amp;" "&amp;INDEX(WEAP!$A:$AN,MATCH(B516,WEAP!$A:$A,0),MATCH("Type",WEAP!$A$1:$BF$1,0))</f>
        <v>Shadow Dagger</v>
      </c>
      <c r="E517" s="693"/>
      <c r="F517" s="693"/>
      <c r="G517" s="694"/>
      <c r="H517" s="8"/>
      <c r="I517" s="697"/>
      <c r="J517" s="698"/>
      <c r="K517" s="9"/>
      <c r="L517" s="697"/>
      <c r="M517" s="698"/>
    </row>
    <row r="518" spans="1:13" ht="22.5" x14ac:dyDescent="0.35">
      <c r="B518" s="702"/>
      <c r="C518" s="239"/>
      <c r="D518" s="703" t="s">
        <v>10760</v>
      </c>
      <c r="E518" s="704"/>
      <c r="F518" s="235" t="s">
        <v>10761</v>
      </c>
      <c r="G518" s="235" t="s">
        <v>10762</v>
      </c>
      <c r="I518" s="697"/>
      <c r="J518" s="698"/>
      <c r="K518" s="239"/>
      <c r="L518" s="697"/>
      <c r="M518" s="698"/>
    </row>
    <row r="519" spans="1:13" ht="22.5" x14ac:dyDescent="0.35">
      <c r="B519" s="702"/>
      <c r="C519" s="239"/>
      <c r="D519" s="705" t="s">
        <v>96</v>
      </c>
      <c r="E519" s="706"/>
      <c r="F519" s="236">
        <f>INDEX(WEAP!$A:$AN,MATCH(B516,WEAP!$A:$A,0),MATCH("HP",WEAP!$A$1:$BF$1,0))</f>
        <v>158</v>
      </c>
      <c r="G519" s="237">
        <f>INDEX(WEAP!$A:$AN,MATCH(B516,WEAP!$A:$A,0),MATCH("HP V3",WEAP!$A$1:$BF$1,0))</f>
        <v>170</v>
      </c>
      <c r="I519" s="697"/>
      <c r="J519" s="698"/>
      <c r="K519" s="239"/>
      <c r="L519" s="697"/>
      <c r="M519" s="698"/>
    </row>
    <row r="520" spans="1:13" ht="22.5" x14ac:dyDescent="0.35">
      <c r="B520" s="702"/>
      <c r="C520" s="239"/>
      <c r="D520" s="707" t="s">
        <v>97</v>
      </c>
      <c r="E520" s="708"/>
      <c r="F520" s="236">
        <f>INDEX(WEAP!$A:$AN,MATCH(B516,WEAP!$A:$A,0),MATCH("Str",WEAP!$A$1:$BF$1,0))</f>
        <v>600</v>
      </c>
      <c r="G520" s="237">
        <f>INDEX(WEAP!$A:$AN,MATCH(B516,WEAP!$A:$A,0),MATCH("Str V3",WEAP!$A$1:$BF$1,0))</f>
        <v>600</v>
      </c>
      <c r="I520" s="699"/>
      <c r="J520" s="700"/>
      <c r="K520" s="239"/>
      <c r="L520" s="699"/>
      <c r="M520" s="700"/>
    </row>
    <row r="521" spans="1:13" s="245" customFormat="1" ht="7.5" customHeight="1" x14ac:dyDescent="0.2">
      <c r="A521" s="245" t="s">
        <v>10763</v>
      </c>
    </row>
    <row r="522" spans="1:13" ht="22.5" x14ac:dyDescent="0.35">
      <c r="A522" s="244" t="str">
        <f>TEXT(A515+1,"000")</f>
        <v>075</v>
      </c>
      <c r="B522" s="238" t="str">
        <f>"W-"&amp;A522</f>
        <v>W-075</v>
      </c>
      <c r="C522" s="239"/>
      <c r="D522" s="692" t="str">
        <f>+INDEX(WEAP!$A:$AN,MATCH(B523,WEAP!$A:$A,0),MATCH("Name",WEAP!$A$1:$BF$1,0))</f>
        <v>Primordial Titan</v>
      </c>
      <c r="E522" s="693"/>
      <c r="F522" s="693"/>
      <c r="G522" s="694"/>
      <c r="I522" s="241" t="str">
        <f>+INDEX(WEAP!$A:$AN,MATCH(B523,WEAP!$A:$A,0),MATCH("Weapon Skill",WEAP!$A$1:$BF$1,0))</f>
        <v>Primordial Boost</v>
      </c>
      <c r="J522" s="243">
        <f>INDEX('W-S'!$A:$N,MATCH(I522,'W-S'!$C:$C,0),MATCH("SP Cost",'W-S'!$1:$1,0))</f>
        <v>4711</v>
      </c>
      <c r="K522" s="9"/>
      <c r="L522" s="241" t="str">
        <f>+I522</f>
        <v>Primordial Boost</v>
      </c>
      <c r="M522" s="243">
        <f>INDEX('W-S'!$A:$N,MATCH(L522,'W-S'!$C:$C,0),MATCH("SP Cost V3",'W-S'!$1:$1,0))</f>
        <v>6000</v>
      </c>
    </row>
    <row r="523" spans="1:13" ht="22.5" x14ac:dyDescent="0.35">
      <c r="B523" s="238" t="str">
        <f>+INDEX(WEAP!$A:$AN,MATCH(B522,WEAP!$B:$B,0),MATCH("ID",WEAP!$A$1:$BF$1,0))</f>
        <v>304014_01</v>
      </c>
      <c r="C523" s="240"/>
      <c r="D523" s="692" t="str">
        <f>+INDEX(WEAP!$A:$AN,MATCH(B522,WEAP!$B:$B,0),MATCH("Family",WEAP!$A$1:$BF$1,0))&amp;" Weapon"</f>
        <v>Core E Weapon</v>
      </c>
      <c r="E523" s="693"/>
      <c r="F523" s="693"/>
      <c r="G523" s="694"/>
      <c r="H523" s="8"/>
      <c r="I523" s="695" t="str">
        <f>INDEX('W-S'!$A:$O,MATCH(I522,'W-S'!$C:$C,0),MATCH("Description",'W-S'!$1:$1,0))</f>
        <v>Adds 50% to the modifier applied to the user's critical damage for 20 seconds.</v>
      </c>
      <c r="J523" s="696"/>
      <c r="K523" s="239"/>
      <c r="L523" s="695" t="str">
        <f>INDEX('W-S'!$A:$O,MATCH(I522,'W-S'!$C:$C,0),MATCH("Description V3",'W-S'!$1:$1,0))</f>
        <v>Adds 50% to the modifier applied to the user's critical damage for 20 seconds, and adds 20% to the modifier applied to damage against light-attuned enemies for 20 seconds.</v>
      </c>
      <c r="M523" s="696"/>
    </row>
    <row r="524" spans="1:13" ht="22.5" x14ac:dyDescent="0.2">
      <c r="B524" s="701" t="e" vm="95">
        <f>+_xlfn.IMAGE("https://natalie.tf/wp-content/uploads/2023/10/DLV3_Icon_Weapon_"&amp;B523&amp;".png")</f>
        <v>#VALUE!</v>
      </c>
      <c r="C524" s="240"/>
      <c r="D524" s="692" t="str">
        <f>INDEX(WEAP!$A:$AN,MATCH(B523,WEAP!$A:$A,0),MATCH("Element",WEAP!$A$1:$BF$1,0))&amp;" "&amp;INDEX(WEAP!$A:$AN,MATCH(B523,WEAP!$A:$A,0),MATCH("Type",WEAP!$A$1:$BF$1,0))</f>
        <v>Shadow Axe</v>
      </c>
      <c r="E524" s="693"/>
      <c r="F524" s="693"/>
      <c r="G524" s="694"/>
      <c r="H524" s="8"/>
      <c r="I524" s="697"/>
      <c r="J524" s="698"/>
      <c r="K524" s="9"/>
      <c r="L524" s="697"/>
      <c r="M524" s="698"/>
    </row>
    <row r="525" spans="1:13" ht="22.5" x14ac:dyDescent="0.35">
      <c r="B525" s="702"/>
      <c r="C525" s="239"/>
      <c r="D525" s="703" t="s">
        <v>10760</v>
      </c>
      <c r="E525" s="704"/>
      <c r="F525" s="235" t="s">
        <v>10761</v>
      </c>
      <c r="G525" s="235" t="s">
        <v>10762</v>
      </c>
      <c r="I525" s="697"/>
      <c r="J525" s="698"/>
      <c r="K525" s="239"/>
      <c r="L525" s="697"/>
      <c r="M525" s="698"/>
    </row>
    <row r="526" spans="1:13" ht="22.5" x14ac:dyDescent="0.35">
      <c r="B526" s="702"/>
      <c r="C526" s="239"/>
      <c r="D526" s="705" t="s">
        <v>96</v>
      </c>
      <c r="E526" s="706"/>
      <c r="F526" s="236">
        <f>INDEX(WEAP!$A:$AN,MATCH(B523,WEAP!$A:$A,0),MATCH("HP",WEAP!$A$1:$BF$1,0))</f>
        <v>170</v>
      </c>
      <c r="G526" s="237">
        <f>INDEX(WEAP!$A:$AN,MATCH(B523,WEAP!$A:$A,0),MATCH("HP V3",WEAP!$A$1:$BF$1,0))</f>
        <v>170</v>
      </c>
      <c r="I526" s="697"/>
      <c r="J526" s="698"/>
      <c r="K526" s="239"/>
      <c r="L526" s="697"/>
      <c r="M526" s="698"/>
    </row>
    <row r="527" spans="1:13" ht="22.5" x14ac:dyDescent="0.35">
      <c r="B527" s="702"/>
      <c r="C527" s="239"/>
      <c r="D527" s="707" t="s">
        <v>97</v>
      </c>
      <c r="E527" s="708"/>
      <c r="F527" s="236">
        <f>INDEX(WEAP!$A:$AN,MATCH(B523,WEAP!$A:$A,0),MATCH("Str",WEAP!$A$1:$BF$1,0))</f>
        <v>624</v>
      </c>
      <c r="G527" s="237">
        <f>INDEX(WEAP!$A:$AN,MATCH(B523,WEAP!$A:$A,0),MATCH("Str V3",WEAP!$A$1:$BF$1,0))</f>
        <v>645</v>
      </c>
      <c r="I527" s="699"/>
      <c r="J527" s="700"/>
      <c r="K527" s="239"/>
      <c r="L527" s="699"/>
      <c r="M527" s="700"/>
    </row>
    <row r="528" spans="1:13" ht="33.75" customHeight="1" x14ac:dyDescent="0.2">
      <c r="A528" t="s">
        <v>10763</v>
      </c>
    </row>
    <row r="529" spans="1:13" ht="22.5" x14ac:dyDescent="0.35">
      <c r="A529" s="244" t="str">
        <f>TEXT(A522+1,"000")</f>
        <v>076</v>
      </c>
      <c r="B529" s="238" t="str">
        <f>"W-"&amp;A529</f>
        <v>W-076</v>
      </c>
      <c r="C529" s="239"/>
      <c r="D529" s="692" t="str">
        <f>+INDEX(WEAP!$A:$AN,MATCH(B530,WEAP!$A:$A,0),MATCH("Name",WEAP!$A$1:$BF$1,0))</f>
        <v>Mistilteinn</v>
      </c>
      <c r="E529" s="693"/>
      <c r="F529" s="693"/>
      <c r="G529" s="694"/>
      <c r="I529" s="241" t="str">
        <f>+INDEX(WEAP!$A:$AN,MATCH(B530,WEAP!$A:$A,0),MATCH("Weapon Skill",WEAP!$A$1:$BF$1,0))</f>
        <v>Heaven's Mistletoe</v>
      </c>
      <c r="J529" s="243">
        <f>INDEX('W-S'!$A:$N,MATCH(I529,'W-S'!$C:$C,0),MATCH("SP Cost",'W-S'!$1:$1,0))</f>
        <v>8111</v>
      </c>
      <c r="K529" s="9"/>
      <c r="L529" s="241" t="str">
        <f>+I529</f>
        <v>Heaven's Mistletoe</v>
      </c>
      <c r="M529" s="243">
        <f>INDEX('W-S'!$A:$N,MATCH(L529,'W-S'!$C:$C,0),MATCH("SP Cost V3",'W-S'!$1:$1,0))</f>
        <v>6000</v>
      </c>
    </row>
    <row r="530" spans="1:13" ht="22.5" x14ac:dyDescent="0.35">
      <c r="B530" s="238" t="str">
        <f>+INDEX(WEAP!$A:$AN,MATCH(B529,WEAP!$B:$B,0),MATCH("ID",WEAP!$A$1:$BF$1,0))</f>
        <v>305036_01</v>
      </c>
      <c r="C530" s="240"/>
      <c r="D530" s="692" t="str">
        <f>+INDEX(WEAP!$A:$AN,MATCH(B529,WEAP!$B:$B,0),MATCH("Family",WEAP!$A$1:$BF$1,0))&amp;" Weapon"</f>
        <v>Core E Weapon</v>
      </c>
      <c r="E530" s="693"/>
      <c r="F530" s="693"/>
      <c r="G530" s="694"/>
      <c r="H530" s="8"/>
      <c r="I530" s="695" t="str">
        <f>INDEX('W-S'!$A:$O,MATCH(I529,'W-S'!$C:$C,0),MATCH("Description",'W-S'!$1:$1,0))</f>
        <v>Deals 2 hits of 461% shadow damage to the target and nearby enemies.</v>
      </c>
      <c r="J530" s="696"/>
      <c r="K530" s="239"/>
      <c r="L530" s="695" t="str">
        <f>INDEX('W-S'!$A:$O,MATCH(I529,'W-S'!$C:$C,0),MATCH("Description V3",'W-S'!$1:$1,0))</f>
        <v>Deals 2 hits of 750% shadow damage to the target and nearby enemies, and adds 20% to the modifier applied to damage against light-attuned enemies for 20 seconds.</v>
      </c>
      <c r="M530" s="696"/>
    </row>
    <row r="531" spans="1:13" ht="22.5" x14ac:dyDescent="0.2">
      <c r="B531" s="701" t="e" vm="96">
        <f>+_xlfn.IMAGE("https://natalie.tf/wp-content/uploads/2023/10/DLV3_Icon_Weapon_"&amp;B530&amp;".png")</f>
        <v>#VALUE!</v>
      </c>
      <c r="C531" s="240"/>
      <c r="D531" s="692" t="str">
        <f>INDEX(WEAP!$A:$AN,MATCH(B530,WEAP!$A:$A,0),MATCH("Element",WEAP!$A$1:$BF$1,0))&amp;" "&amp;INDEX(WEAP!$A:$AN,MATCH(B530,WEAP!$A:$A,0),MATCH("Type",WEAP!$A$1:$BF$1,0))</f>
        <v>Shadow Lance</v>
      </c>
      <c r="E531" s="693"/>
      <c r="F531" s="693"/>
      <c r="G531" s="694"/>
      <c r="H531" s="8"/>
      <c r="I531" s="697"/>
      <c r="J531" s="698"/>
      <c r="K531" s="9"/>
      <c r="L531" s="697"/>
      <c r="M531" s="698"/>
    </row>
    <row r="532" spans="1:13" ht="22.5" x14ac:dyDescent="0.35">
      <c r="B532" s="702"/>
      <c r="C532" s="239"/>
      <c r="D532" s="703" t="s">
        <v>10760</v>
      </c>
      <c r="E532" s="704"/>
      <c r="F532" s="235" t="s">
        <v>10761</v>
      </c>
      <c r="G532" s="235" t="s">
        <v>10762</v>
      </c>
      <c r="I532" s="697"/>
      <c r="J532" s="698"/>
      <c r="K532" s="239"/>
      <c r="L532" s="697"/>
      <c r="M532" s="698"/>
    </row>
    <row r="533" spans="1:13" ht="22.5" x14ac:dyDescent="0.35">
      <c r="B533" s="702"/>
      <c r="C533" s="239"/>
      <c r="D533" s="705" t="s">
        <v>96</v>
      </c>
      <c r="E533" s="706"/>
      <c r="F533" s="236">
        <f>INDEX(WEAP!$A:$AN,MATCH(B530,WEAP!$A:$A,0),MATCH("HP",WEAP!$A$1:$BF$1,0))</f>
        <v>160</v>
      </c>
      <c r="G533" s="237">
        <f>INDEX(WEAP!$A:$AN,MATCH(B530,WEAP!$A:$A,0),MATCH("HP V3",WEAP!$A$1:$BF$1,0))</f>
        <v>185</v>
      </c>
      <c r="I533" s="697"/>
      <c r="J533" s="698"/>
      <c r="K533" s="239"/>
      <c r="L533" s="697"/>
      <c r="M533" s="698"/>
    </row>
    <row r="534" spans="1:13" ht="22.5" x14ac:dyDescent="0.35">
      <c r="B534" s="702"/>
      <c r="C534" s="239"/>
      <c r="D534" s="707" t="s">
        <v>97</v>
      </c>
      <c r="E534" s="708"/>
      <c r="F534" s="236">
        <f>INDEX(WEAP!$A:$AN,MATCH(B530,WEAP!$A:$A,0),MATCH("Str",WEAP!$A$1:$BF$1,0))</f>
        <v>624</v>
      </c>
      <c r="G534" s="237">
        <f>INDEX(WEAP!$A:$AN,MATCH(B530,WEAP!$A:$A,0),MATCH("Str V3",WEAP!$A$1:$BF$1,0))</f>
        <v>625</v>
      </c>
      <c r="I534" s="699"/>
      <c r="J534" s="700"/>
      <c r="K534" s="239"/>
      <c r="L534" s="699"/>
      <c r="M534" s="700"/>
    </row>
    <row r="535" spans="1:13" s="245" customFormat="1" ht="7.5" customHeight="1" x14ac:dyDescent="0.2">
      <c r="A535" s="245" t="s">
        <v>10763</v>
      </c>
    </row>
    <row r="536" spans="1:13" ht="22.5" x14ac:dyDescent="0.35">
      <c r="A536" s="242" t="str">
        <f>TEXT(A529+1,"000")</f>
        <v>077</v>
      </c>
      <c r="B536" s="238" t="str">
        <f>"W-"&amp;A536</f>
        <v>W-077</v>
      </c>
      <c r="C536" s="239"/>
      <c r="D536" s="692" t="str">
        <f>+INDEX(WEAP!$A:$AN,MATCH(B537,WEAP!$A:$A,0),MATCH("Name",WEAP!$A$1:$BF$1,0))</f>
        <v>Necro Arcus</v>
      </c>
      <c r="E536" s="693"/>
      <c r="F536" s="693"/>
      <c r="G536" s="694"/>
      <c r="I536" s="241" t="str">
        <f>+INDEX(WEAP!$A:$AN,MATCH(B537,WEAP!$A:$A,0),MATCH("Weapon Skill",WEAP!$A$1:$BF$1,0))</f>
        <v>Necro Volley</v>
      </c>
      <c r="J536" s="243">
        <f>INDEX('W-S'!$A:$N,MATCH(I536,'W-S'!$C:$C,0),MATCH("SP Cost",'W-S'!$1:$1,0))</f>
        <v>7501</v>
      </c>
      <c r="K536" s="9"/>
      <c r="L536" s="241" t="str">
        <f>+I536</f>
        <v>Necro Volley</v>
      </c>
      <c r="M536" s="243">
        <f>INDEX('W-S'!$A:$N,MATCH(L536,'W-S'!$C:$C,0),MATCH("SP Cost V3",'W-S'!$1:$1,0))</f>
        <v>6000</v>
      </c>
    </row>
    <row r="537" spans="1:13" ht="22.5" x14ac:dyDescent="0.35">
      <c r="B537" s="238" t="str">
        <f>+INDEX(WEAP!$A:$AN,MATCH(B536,WEAP!$B:$B,0),MATCH("ID",WEAP!$A$1:$BF$1,0))</f>
        <v>306014_01</v>
      </c>
      <c r="C537" s="240"/>
      <c r="D537" s="692" t="str">
        <f>+INDEX(WEAP!$A:$AN,MATCH(B536,WEAP!$B:$B,0),MATCH("Family",WEAP!$A$1:$BF$1,0))&amp;" Weapon"</f>
        <v>Core E Weapon</v>
      </c>
      <c r="E537" s="693"/>
      <c r="F537" s="693"/>
      <c r="G537" s="694"/>
      <c r="H537" s="8"/>
      <c r="I537" s="695" t="str">
        <f>INDEX('W-S'!$A:$O,MATCH(I536,'W-S'!$C:$C,0),MATCH("Description",'W-S'!$1:$1,0))</f>
        <v>Deals 3 shots of 316% shadow damage to enemies in a line.</v>
      </c>
      <c r="J537" s="696"/>
      <c r="K537" s="239"/>
      <c r="L537" s="695" t="str">
        <f>INDEX('W-S'!$A:$O,MATCH(I536,'W-S'!$C:$C,0),MATCH("Description V3",'W-S'!$1:$1,0))</f>
        <v>Deals 3 shots of 500% shadow damage to enemies in a line, and adds 20% to the modifier applied to damage against light-attuned enemies for 20 seconds.</v>
      </c>
      <c r="M537" s="696"/>
    </row>
    <row r="538" spans="1:13" ht="22.5" x14ac:dyDescent="0.2">
      <c r="B538" s="701" t="e" vm="97">
        <f>+_xlfn.IMAGE("https://natalie.tf/wp-content/uploads/2023/10/DLV3_Icon_Weapon_"&amp;B537&amp;".png")</f>
        <v>#VALUE!</v>
      </c>
      <c r="C538" s="240"/>
      <c r="D538" s="692" t="str">
        <f>INDEX(WEAP!$A:$AN,MATCH(B537,WEAP!$A:$A,0),MATCH("Element",WEAP!$A$1:$BF$1,0))&amp;" "&amp;INDEX(WEAP!$A:$AN,MATCH(B537,WEAP!$A:$A,0),MATCH("Type",WEAP!$A$1:$BF$1,0))</f>
        <v>Shadow Bow</v>
      </c>
      <c r="E538" s="693"/>
      <c r="F538" s="693"/>
      <c r="G538" s="694"/>
      <c r="H538" s="8"/>
      <c r="I538" s="697"/>
      <c r="J538" s="698"/>
      <c r="K538" s="9"/>
      <c r="L538" s="697"/>
      <c r="M538" s="698"/>
    </row>
    <row r="539" spans="1:13" ht="22.5" x14ac:dyDescent="0.35">
      <c r="B539" s="702"/>
      <c r="C539" s="239"/>
      <c r="D539" s="703" t="s">
        <v>10760</v>
      </c>
      <c r="E539" s="704"/>
      <c r="F539" s="235" t="s">
        <v>10761</v>
      </c>
      <c r="G539" s="235" t="s">
        <v>10762</v>
      </c>
      <c r="I539" s="697"/>
      <c r="J539" s="698"/>
      <c r="K539" s="239"/>
      <c r="L539" s="697"/>
      <c r="M539" s="698"/>
    </row>
    <row r="540" spans="1:13" ht="22.5" x14ac:dyDescent="0.35">
      <c r="B540" s="702"/>
      <c r="C540" s="239"/>
      <c r="D540" s="705" t="s">
        <v>96</v>
      </c>
      <c r="E540" s="706"/>
      <c r="F540" s="236">
        <f>INDEX(WEAP!$A:$AN,MATCH(B537,WEAP!$A:$A,0),MATCH("HP",WEAP!$A$1:$BF$1,0))</f>
        <v>154</v>
      </c>
      <c r="G540" s="237">
        <f>INDEX(WEAP!$A:$AN,MATCH(B537,WEAP!$A:$A,0),MATCH("HP V3",WEAP!$A$1:$BF$1,0))</f>
        <v>165</v>
      </c>
      <c r="I540" s="697"/>
      <c r="J540" s="698"/>
      <c r="K540" s="239"/>
      <c r="L540" s="697"/>
      <c r="M540" s="698"/>
    </row>
    <row r="541" spans="1:13" ht="22.5" x14ac:dyDescent="0.35">
      <c r="B541" s="702"/>
      <c r="C541" s="239"/>
      <c r="D541" s="707" t="s">
        <v>97</v>
      </c>
      <c r="E541" s="708"/>
      <c r="F541" s="236">
        <f>INDEX(WEAP!$A:$AN,MATCH(B537,WEAP!$A:$A,0),MATCH("Str",WEAP!$A$1:$BF$1,0))</f>
        <v>587</v>
      </c>
      <c r="G541" s="237">
        <f>INDEX(WEAP!$A:$AN,MATCH(B537,WEAP!$A:$A,0),MATCH("Str V3",WEAP!$A$1:$BF$1,0))</f>
        <v>590</v>
      </c>
      <c r="I541" s="699"/>
      <c r="J541" s="700"/>
      <c r="K541" s="239"/>
      <c r="L541" s="699"/>
      <c r="M541" s="700"/>
    </row>
    <row r="542" spans="1:13" s="245" customFormat="1" ht="7.5" customHeight="1" x14ac:dyDescent="0.2">
      <c r="A542" s="245" t="s">
        <v>10763</v>
      </c>
    </row>
    <row r="543" spans="1:13" ht="22.5" x14ac:dyDescent="0.35">
      <c r="A543" s="244" t="str">
        <f>TEXT(A536+1,"000")</f>
        <v>078</v>
      </c>
      <c r="B543" s="238" t="str">
        <f>"W-"&amp;A543</f>
        <v>W-078</v>
      </c>
      <c r="C543" s="239"/>
      <c r="D543" s="692" t="str">
        <f>+INDEX(WEAP!$A:$AN,MATCH(B544,WEAP!$A:$A,0),MATCH("Name",WEAP!$A$1:$BF$1,0))</f>
        <v>Underworld Despair</v>
      </c>
      <c r="E543" s="693"/>
      <c r="F543" s="693"/>
      <c r="G543" s="694"/>
      <c r="I543" s="241" t="str">
        <f>+INDEX(WEAP!$A:$AN,MATCH(B544,WEAP!$A:$A,0),MATCH("Weapon Skill",WEAP!$A$1:$BF$1,0))</f>
        <v>Persephone's Healing</v>
      </c>
      <c r="J543" s="243">
        <f>INDEX('W-S'!$A:$N,MATCH(I543,'W-S'!$C:$C,0),MATCH("SP Cost",'W-S'!$1:$1,0))</f>
        <v>12668</v>
      </c>
      <c r="K543" s="9"/>
      <c r="L543" s="241" t="str">
        <f>+I543</f>
        <v>Persephone's Healing</v>
      </c>
      <c r="M543" s="243">
        <f>INDEX('W-S'!$A:$N,MATCH(L543,'W-S'!$C:$C,0),MATCH("SP Cost V3",'W-S'!$1:$1,0))</f>
        <v>12000</v>
      </c>
    </row>
    <row r="544" spans="1:13" ht="22.5" x14ac:dyDescent="0.35">
      <c r="B544" s="238" t="str">
        <f>+INDEX(WEAP!$A:$AN,MATCH(B543,WEAP!$B:$B,0),MATCH("ID",WEAP!$A$1:$BF$1,0))</f>
        <v>307035_01</v>
      </c>
      <c r="C544" s="240"/>
      <c r="D544" s="692" t="str">
        <f>+INDEX(WEAP!$A:$AN,MATCH(B543,WEAP!$B:$B,0),MATCH("Family",WEAP!$A$1:$BF$1,0))&amp;" Weapon"</f>
        <v>Core E Weapon</v>
      </c>
      <c r="E544" s="693"/>
      <c r="F544" s="693"/>
      <c r="G544" s="694"/>
      <c r="H544" s="8"/>
      <c r="I544" s="695" t="str">
        <f>INDEX('W-S'!$A:$O,MATCH(I543,'W-S'!$C:$C,0),MATCH("Description",'W-S'!$1:$1,0))</f>
        <v>Restores the user's HP with 90% Recovery Potency.</v>
      </c>
      <c r="J544" s="696"/>
      <c r="K544" s="239"/>
      <c r="L544" s="695" t="str">
        <f>INDEX('W-S'!$A:$O,MATCH(I543,'W-S'!$C:$C,0),MATCH("Description V3",'W-S'!$1:$1,0))</f>
        <v>Restores the user's HP with 130% Recovery Potency, and adds 20% to the modifier applied to damage against light-attuned enemies for 20 seconds.</v>
      </c>
      <c r="M544" s="696"/>
    </row>
    <row r="545" spans="1:13" ht="22.5" x14ac:dyDescent="0.2">
      <c r="B545" s="701" t="e" vm="98">
        <f>+_xlfn.IMAGE("https://natalie.tf/wp-content/uploads/2023/10/DLV3_Icon_Weapon_"&amp;B544&amp;".png")</f>
        <v>#VALUE!</v>
      </c>
      <c r="C545" s="240"/>
      <c r="D545" s="692" t="str">
        <f>INDEX(WEAP!$A:$AN,MATCH(B544,WEAP!$A:$A,0),MATCH("Element",WEAP!$A$1:$BF$1,0))&amp;" "&amp;INDEX(WEAP!$A:$AN,MATCH(B544,WEAP!$A:$A,0),MATCH("Type",WEAP!$A$1:$BF$1,0))</f>
        <v>Shadow Wand</v>
      </c>
      <c r="E545" s="693"/>
      <c r="F545" s="693"/>
      <c r="G545" s="694"/>
      <c r="H545" s="8"/>
      <c r="I545" s="697"/>
      <c r="J545" s="698"/>
      <c r="K545" s="9"/>
      <c r="L545" s="697"/>
      <c r="M545" s="698"/>
    </row>
    <row r="546" spans="1:13" ht="22.5" x14ac:dyDescent="0.35">
      <c r="B546" s="702"/>
      <c r="C546" s="239"/>
      <c r="D546" s="703" t="s">
        <v>10760</v>
      </c>
      <c r="E546" s="704"/>
      <c r="F546" s="235" t="s">
        <v>10761</v>
      </c>
      <c r="G546" s="235" t="s">
        <v>10762</v>
      </c>
      <c r="I546" s="697"/>
      <c r="J546" s="698"/>
      <c r="K546" s="239"/>
      <c r="L546" s="697"/>
      <c r="M546" s="698"/>
    </row>
    <row r="547" spans="1:13" ht="22.5" x14ac:dyDescent="0.35">
      <c r="B547" s="702"/>
      <c r="C547" s="239"/>
      <c r="D547" s="705" t="s">
        <v>96</v>
      </c>
      <c r="E547" s="706"/>
      <c r="F547" s="236">
        <f>INDEX(WEAP!$A:$AN,MATCH(B544,WEAP!$A:$A,0),MATCH("HP",WEAP!$A$1:$BF$1,0))</f>
        <v>168</v>
      </c>
      <c r="G547" s="237">
        <f>INDEX(WEAP!$A:$AN,MATCH(B544,WEAP!$A:$A,0),MATCH("HP V3",WEAP!$A$1:$BF$1,0))</f>
        <v>170</v>
      </c>
      <c r="I547" s="697"/>
      <c r="J547" s="698"/>
      <c r="K547" s="239"/>
      <c r="L547" s="697"/>
      <c r="M547" s="698"/>
    </row>
    <row r="548" spans="1:13" ht="22.5" x14ac:dyDescent="0.35">
      <c r="B548" s="702"/>
      <c r="C548" s="239"/>
      <c r="D548" s="707" t="s">
        <v>97</v>
      </c>
      <c r="E548" s="708"/>
      <c r="F548" s="236">
        <f>INDEX(WEAP!$A:$AN,MATCH(B544,WEAP!$A:$A,0),MATCH("Str",WEAP!$A$1:$BF$1,0))</f>
        <v>581</v>
      </c>
      <c r="G548" s="237">
        <f>INDEX(WEAP!$A:$AN,MATCH(B544,WEAP!$A:$A,0),MATCH("Str V3",WEAP!$A$1:$BF$1,0))</f>
        <v>630</v>
      </c>
      <c r="I548" s="699"/>
      <c r="J548" s="700"/>
      <c r="K548" s="239"/>
      <c r="L548" s="699"/>
      <c r="M548" s="700"/>
    </row>
    <row r="549" spans="1:13" s="245" customFormat="1" ht="7.5" customHeight="1" x14ac:dyDescent="0.2">
      <c r="A549" s="245" t="s">
        <v>10763</v>
      </c>
    </row>
    <row r="550" spans="1:13" ht="22.5" x14ac:dyDescent="0.35">
      <c r="A550" s="244" t="str">
        <f>TEXT(A543+1,"000")</f>
        <v>079</v>
      </c>
      <c r="B550" s="238" t="str">
        <f>"W-"&amp;A550</f>
        <v>W-079</v>
      </c>
      <c r="C550" s="239"/>
      <c r="D550" s="692" t="str">
        <f>+INDEX(WEAP!$A:$AN,MATCH(B551,WEAP!$A:$A,0),MATCH("Name",WEAP!$A$1:$BF$1,0))</f>
        <v>Caduceus</v>
      </c>
      <c r="E550" s="693"/>
      <c r="F550" s="693"/>
      <c r="G550" s="694"/>
      <c r="I550" s="241" t="str">
        <f>+INDEX(WEAP!$A:$AN,MATCH(B551,WEAP!$A:$A,0),MATCH("Weapon Skill",WEAP!$A$1:$BF$1,0))</f>
        <v>Herald's Circle</v>
      </c>
      <c r="J550" s="243">
        <f>INDEX('W-S'!$A:$N,MATCH(I550,'W-S'!$C:$C,0),MATCH("SP Cost",'W-S'!$1:$1,0))</f>
        <v>15205</v>
      </c>
      <c r="K550" s="9"/>
      <c r="L550" s="241" t="str">
        <f>+I550</f>
        <v>Herald's Circle</v>
      </c>
      <c r="M550" s="243">
        <f>INDEX('W-S'!$A:$N,MATCH(L550,'W-S'!$C:$C,0),MATCH("SP Cost V3",'W-S'!$1:$1,0))</f>
        <v>6000</v>
      </c>
    </row>
    <row r="551" spans="1:13" ht="22.5" x14ac:dyDescent="0.35">
      <c r="B551" s="238" t="str">
        <f>+INDEX(WEAP!$A:$AN,MATCH(B550,WEAP!$B:$B,0),MATCH("ID",WEAP!$A$1:$BF$1,0))</f>
        <v>308015_01</v>
      </c>
      <c r="C551" s="240"/>
      <c r="D551" s="692" t="str">
        <f>+INDEX(WEAP!$A:$AN,MATCH(B550,WEAP!$B:$B,0),MATCH("Family",WEAP!$A$1:$BF$1,0))&amp;" Weapon"</f>
        <v>Core E Weapon</v>
      </c>
      <c r="E551" s="693"/>
      <c r="F551" s="693"/>
      <c r="G551" s="694"/>
      <c r="H551" s="8"/>
      <c r="I551" s="695" t="str">
        <f>INDEX('W-S'!$A:$O,MATCH(I550,'W-S'!$C:$C,0),MATCH("Description",'W-S'!$1:$1,0))</f>
        <v>Deals 1 hit of 755% shadow damage to surrounding enemies.</v>
      </c>
      <c r="J551" s="696"/>
      <c r="K551" s="239"/>
      <c r="L551" s="695" t="str">
        <f>INDEX('W-S'!$A:$O,MATCH(I550,'W-S'!$C:$C,0),MATCH("Description V3",'W-S'!$1:$1,0))</f>
        <v>Deals 1 hit of 1500% shadow damage to surrounding enemies, and adds 20% to the modifier applied to damage against light-attuned enemies for 20 seconds.</v>
      </c>
      <c r="M551" s="696"/>
    </row>
    <row r="552" spans="1:13" ht="22.5" x14ac:dyDescent="0.2">
      <c r="B552" s="701" t="e" vm="99">
        <f>+_xlfn.IMAGE("https://natalie.tf/wp-content/uploads/2023/10/DLV3_Icon_Weapon_"&amp;B551&amp;".png")</f>
        <v>#VALUE!</v>
      </c>
      <c r="C552" s="240"/>
      <c r="D552" s="692" t="str">
        <f>INDEX(WEAP!$A:$AN,MATCH(B551,WEAP!$A:$A,0),MATCH("Element",WEAP!$A$1:$BF$1,0))&amp;" "&amp;INDEX(WEAP!$A:$AN,MATCH(B551,WEAP!$A:$A,0),MATCH("Type",WEAP!$A$1:$BF$1,0))</f>
        <v>Shadow Staff</v>
      </c>
      <c r="E552" s="693"/>
      <c r="F552" s="693"/>
      <c r="G552" s="694"/>
      <c r="H552" s="8"/>
      <c r="I552" s="697"/>
      <c r="J552" s="698"/>
      <c r="K552" s="9"/>
      <c r="L552" s="697"/>
      <c r="M552" s="698"/>
    </row>
    <row r="553" spans="1:13" ht="22.5" x14ac:dyDescent="0.35">
      <c r="B553" s="702"/>
      <c r="C553" s="239"/>
      <c r="D553" s="703" t="s">
        <v>10760</v>
      </c>
      <c r="E553" s="704"/>
      <c r="F553" s="235" t="s">
        <v>10761</v>
      </c>
      <c r="G553" s="235" t="s">
        <v>10762</v>
      </c>
      <c r="I553" s="697"/>
      <c r="J553" s="698"/>
      <c r="K553" s="239"/>
      <c r="L553" s="697"/>
      <c r="M553" s="698"/>
    </row>
    <row r="554" spans="1:13" ht="22.5" x14ac:dyDescent="0.35">
      <c r="B554" s="702"/>
      <c r="C554" s="239"/>
      <c r="D554" s="705" t="s">
        <v>96</v>
      </c>
      <c r="E554" s="706"/>
      <c r="F554" s="236">
        <f>INDEX(WEAP!$A:$AN,MATCH(B551,WEAP!$A:$A,0),MATCH("HP",WEAP!$A$1:$BF$1,0))</f>
        <v>182</v>
      </c>
      <c r="G554" s="237">
        <f>INDEX(WEAP!$A:$AN,MATCH(B551,WEAP!$A:$A,0),MATCH("HP V3",WEAP!$A$1:$BF$1,0))</f>
        <v>200</v>
      </c>
      <c r="I554" s="697"/>
      <c r="J554" s="698"/>
      <c r="K554" s="239"/>
      <c r="L554" s="697"/>
      <c r="M554" s="698"/>
    </row>
    <row r="555" spans="1:13" ht="22.5" x14ac:dyDescent="0.35">
      <c r="B555" s="702"/>
      <c r="C555" s="239"/>
      <c r="D555" s="707" t="s">
        <v>97</v>
      </c>
      <c r="E555" s="708"/>
      <c r="F555" s="236">
        <f>INDEX(WEAP!$A:$AN,MATCH(B551,WEAP!$A:$A,0),MATCH("Str",WEAP!$A$1:$BF$1,0))</f>
        <v>564</v>
      </c>
      <c r="G555" s="237">
        <f>INDEX(WEAP!$A:$AN,MATCH(B551,WEAP!$A:$A,0),MATCH("Str V3",WEAP!$A$1:$BF$1,0))</f>
        <v>565</v>
      </c>
      <c r="I555" s="699"/>
      <c r="J555" s="700"/>
      <c r="K555" s="239"/>
      <c r="L555" s="699"/>
      <c r="M555" s="700"/>
    </row>
    <row r="556" spans="1:13" s="245" customFormat="1" ht="7.5" customHeight="1" x14ac:dyDescent="0.2">
      <c r="A556" s="245" t="s">
        <v>10763</v>
      </c>
    </row>
    <row r="557" spans="1:13" ht="22.5" x14ac:dyDescent="0.35">
      <c r="A557" s="244" t="str">
        <f>TEXT(A550+1,"000")</f>
        <v>080</v>
      </c>
      <c r="B557" s="238" t="str">
        <f>"W-"&amp;A557</f>
        <v>W-080</v>
      </c>
      <c r="C557" s="239"/>
      <c r="D557" s="717" t="str">
        <f>+INDEX(WEAP!$A:$AN,MATCH(B558,WEAP!$A:$A,0),MATCH("Name",WEAP!$A$1:$BF$1,0))</f>
        <v>Chanzelian Caster Mk. 81</v>
      </c>
      <c r="E557" s="718"/>
      <c r="F557" s="718"/>
      <c r="G557" s="719"/>
      <c r="I557" s="241" t="str">
        <f>+INDEX(WEAP!$A:$AN,MATCH(B558,WEAP!$A:$A,0),MATCH("Weapon Skill",WEAP!$A$1:$BF$1,0))</f>
        <v>Mk. 81 Volley</v>
      </c>
      <c r="J557" s="243">
        <f>INDEX('W-S'!$A:$N,MATCH(I557,'W-S'!$C:$C,0),MATCH("SP Cost",'W-S'!$1:$1,0))</f>
        <v>7316</v>
      </c>
      <c r="K557" s="9"/>
      <c r="L557" s="241" t="str">
        <f>+I557</f>
        <v>Mk. 81 Volley</v>
      </c>
      <c r="M557" s="243">
        <f>INDEX('W-S'!$A:$N,MATCH(L557,'W-S'!$C:$C,0),MATCH("SP Cost V3",'W-S'!$1:$1,0))</f>
        <v>6000</v>
      </c>
    </row>
    <row r="558" spans="1:13" ht="22.5" x14ac:dyDescent="0.35">
      <c r="B558" s="238" t="str">
        <f>+INDEX(WEAP!$A:$AN,MATCH(B557,WEAP!$B:$B,0),MATCH("ID",WEAP!$A$1:$BF$1,0))</f>
        <v>309015_01</v>
      </c>
      <c r="C558" s="240"/>
      <c r="D558" s="692" t="str">
        <f>+INDEX(WEAP!$A:$AN,MATCH(B557,WEAP!$B:$B,0),MATCH("Family",WEAP!$A$1:$BF$1,0))&amp;" Weapon"</f>
        <v>Core E Weapon</v>
      </c>
      <c r="E558" s="693"/>
      <c r="F558" s="693"/>
      <c r="G558" s="694"/>
      <c r="H558" s="8"/>
      <c r="I558" s="695" t="str">
        <f>INDEX('W-S'!$A:$O,MATCH(I557,'W-S'!$C:$C,0),MATCH("Description",'W-S'!$1:$1,0))</f>
        <v>Deals 7 hits of 197% shadow damage to enemies directly ahead.</v>
      </c>
      <c r="J558" s="696"/>
      <c r="K558" s="239"/>
      <c r="L558" s="695" t="str">
        <f>INDEX('W-S'!$A:$O,MATCH(I557,'W-S'!$C:$C,0),MATCH("Description V3",'W-S'!$1:$1,0))</f>
        <v>Deals 7 hits of 214% shadow damage to enemies directly ahead, and adds 20% to the modifier applied to damage against light-attuned enemies for 20 seconds.</v>
      </c>
      <c r="M558" s="696"/>
    </row>
    <row r="559" spans="1:13" ht="22.5" x14ac:dyDescent="0.2">
      <c r="B559" s="701" t="e" vm="100">
        <f>+_xlfn.IMAGE("https://natalie.tf/wp-content/uploads/2023/10/DLV3_Icon_Weapon_"&amp;B558&amp;".png")</f>
        <v>#VALUE!</v>
      </c>
      <c r="C559" s="240"/>
      <c r="D559" s="692" t="str">
        <f>INDEX(WEAP!$A:$AN,MATCH(B558,WEAP!$A:$A,0),MATCH("Element",WEAP!$A$1:$BF$1,0))&amp;" "&amp;INDEX(WEAP!$A:$AN,MATCH(B558,WEAP!$A:$A,0),MATCH("Type",WEAP!$A$1:$BF$1,0))</f>
        <v>Shadow Manacaster</v>
      </c>
      <c r="E559" s="693"/>
      <c r="F559" s="693"/>
      <c r="G559" s="694"/>
      <c r="H559" s="8"/>
      <c r="I559" s="697"/>
      <c r="J559" s="698"/>
      <c r="K559" s="9"/>
      <c r="L559" s="697"/>
      <c r="M559" s="698"/>
    </row>
    <row r="560" spans="1:13" ht="22.5" x14ac:dyDescent="0.35">
      <c r="B560" s="702"/>
      <c r="C560" s="239"/>
      <c r="D560" s="703" t="s">
        <v>10760</v>
      </c>
      <c r="E560" s="704"/>
      <c r="F560" s="235" t="s">
        <v>10761</v>
      </c>
      <c r="G560" s="235" t="s">
        <v>10762</v>
      </c>
      <c r="I560" s="697"/>
      <c r="J560" s="698"/>
      <c r="K560" s="239"/>
      <c r="L560" s="697"/>
      <c r="M560" s="698"/>
    </row>
    <row r="561" spans="1:13" ht="22.5" x14ac:dyDescent="0.35">
      <c r="B561" s="702"/>
      <c r="C561" s="239"/>
      <c r="D561" s="705" t="s">
        <v>96</v>
      </c>
      <c r="E561" s="706"/>
      <c r="F561" s="236">
        <f>INDEX(WEAP!$A:$AN,MATCH(B558,WEAP!$A:$A,0),MATCH("HP",WEAP!$A$1:$BF$1,0))</f>
        <v>152</v>
      </c>
      <c r="G561" s="237">
        <f>INDEX(WEAP!$A:$AN,MATCH(B558,WEAP!$A:$A,0),MATCH("HP V3",WEAP!$A$1:$BF$1,0))</f>
        <v>165</v>
      </c>
      <c r="I561" s="697"/>
      <c r="J561" s="698"/>
      <c r="K561" s="239"/>
      <c r="L561" s="697"/>
      <c r="M561" s="698"/>
    </row>
    <row r="562" spans="1:13" ht="22.5" x14ac:dyDescent="0.35">
      <c r="B562" s="702"/>
      <c r="C562" s="239"/>
      <c r="D562" s="707" t="s">
        <v>97</v>
      </c>
      <c r="E562" s="708"/>
      <c r="F562" s="236">
        <f>INDEX(WEAP!$A:$AN,MATCH(B558,WEAP!$A:$A,0),MATCH("Str",WEAP!$A$1:$BF$1,0))</f>
        <v>618</v>
      </c>
      <c r="G562" s="237">
        <f>INDEX(WEAP!$A:$AN,MATCH(B558,WEAP!$A:$A,0),MATCH("Str V3",WEAP!$A$1:$BF$1,0))</f>
        <v>620</v>
      </c>
      <c r="I562" s="699"/>
      <c r="J562" s="700"/>
      <c r="K562" s="239"/>
      <c r="L562" s="699"/>
      <c r="M562" s="700"/>
    </row>
    <row r="563" spans="1:13" ht="33.75" customHeight="1" x14ac:dyDescent="0.2">
      <c r="A563" t="s">
        <v>10763</v>
      </c>
    </row>
    <row r="564" spans="1:13" ht="22.5" x14ac:dyDescent="0.35">
      <c r="A564" s="244" t="str">
        <f>TEXT(A557+1,"000")</f>
        <v>081</v>
      </c>
      <c r="B564" s="238" t="str">
        <f>"W-"&amp;A564</f>
        <v>W-081</v>
      </c>
      <c r="C564" s="239"/>
      <c r="D564" s="692" t="str">
        <f>+INDEX(WEAP!$A:$AN,MATCH(B565,WEAP!$A:$A,0),MATCH("Name",WEAP!$A$1:$BF$1,0))</f>
        <v>Inferno Apogee</v>
      </c>
      <c r="E564" s="693"/>
      <c r="F564" s="693"/>
      <c r="G564" s="694"/>
      <c r="I564" s="241" t="str">
        <f>+INDEX(WEAP!$A:$AN,MATCH(B565,WEAP!$A:$A,0),MATCH("Weapon Skill",WEAP!$A$1:$BF$1,0))</f>
        <v>N/A</v>
      </c>
      <c r="J564" s="243">
        <f>INDEX('W-S'!$A:$N,MATCH(I564,'W-S'!$C:$C,0),MATCH("SP Cost",'W-S'!$1:$1,0))</f>
        <v>0</v>
      </c>
      <c r="K564" s="9"/>
      <c r="L564" s="241" t="str">
        <f>+I564</f>
        <v>N/A</v>
      </c>
      <c r="M564" s="243">
        <f>INDEX('W-S'!$A:$N,MATCH(L564,'W-S'!$C:$C,0),MATCH("SP Cost V3",'W-S'!$1:$1,0))</f>
        <v>0</v>
      </c>
    </row>
    <row r="565" spans="1:13" ht="22.5" x14ac:dyDescent="0.35">
      <c r="B565" s="238" t="str">
        <f>+INDEX(WEAP!$A:$AN,MATCH(B564,WEAP!$B:$B,0),MATCH("ID",WEAP!$A$1:$BF$1,0))</f>
        <v>301056_01</v>
      </c>
      <c r="C565" s="240"/>
      <c r="D565" s="692" t="str">
        <f>+INDEX(WEAP!$A:$AN,MATCH(B564,WEAP!$B:$B,0),MATCH("Family",WEAP!$A$1:$BF$1,0))&amp;" Weapon"</f>
        <v>Void Weapon</v>
      </c>
      <c r="E565" s="693"/>
      <c r="F565" s="693"/>
      <c r="G565" s="694"/>
      <c r="H565" s="8"/>
      <c r="I565" s="695" t="str">
        <f>INDEX('W-S'!$A:$O,MATCH(I564,'W-S'!$C:$C,0),MATCH("Description",'W-S'!$1:$1,0))</f>
        <v>This weapon has no weapon skill.</v>
      </c>
      <c r="J565" s="696"/>
      <c r="K565" s="239"/>
      <c r="L565" s="695" t="str">
        <f>INDEX('W-S'!$A:$O,MATCH(I564,'W-S'!$C:$C,0),MATCH("Description V3",'W-S'!$1:$1,0))</f>
        <v>This weapon has no weapon skill.</v>
      </c>
      <c r="M565" s="696"/>
    </row>
    <row r="566" spans="1:13" ht="22.5" x14ac:dyDescent="0.2">
      <c r="B566" s="701" t="e" vm="101">
        <f>+_xlfn.IMAGE("https://natalie.tf/wp-content/uploads/2023/10/DLV3_Icon_Weapon_"&amp;B565&amp;".png")</f>
        <v>#VALUE!</v>
      </c>
      <c r="C566" s="240"/>
      <c r="D566" s="692" t="str">
        <f>INDEX(WEAP!$A:$AN,MATCH(B565,WEAP!$A:$A,0),MATCH("Element",WEAP!$A$1:$BF$1,0))&amp;" "&amp;INDEX(WEAP!$A:$AN,MATCH(B565,WEAP!$A:$A,0),MATCH("Type",WEAP!$A$1:$BF$1,0))</f>
        <v>Flame Sword</v>
      </c>
      <c r="E566" s="693"/>
      <c r="F566" s="693"/>
      <c r="G566" s="694"/>
      <c r="H566" s="8"/>
      <c r="I566" s="697"/>
      <c r="J566" s="698"/>
      <c r="K566" s="9"/>
      <c r="L566" s="697"/>
      <c r="M566" s="698"/>
    </row>
    <row r="567" spans="1:13" ht="22.5" x14ac:dyDescent="0.35">
      <c r="B567" s="702"/>
      <c r="C567" s="239"/>
      <c r="D567" s="703" t="s">
        <v>10760</v>
      </c>
      <c r="E567" s="704"/>
      <c r="F567" s="235" t="s">
        <v>10761</v>
      </c>
      <c r="G567" s="235" t="s">
        <v>10762</v>
      </c>
      <c r="I567" s="697"/>
      <c r="J567" s="698"/>
      <c r="K567" s="239"/>
      <c r="L567" s="697"/>
      <c r="M567" s="698"/>
    </row>
    <row r="568" spans="1:13" ht="22.5" x14ac:dyDescent="0.35">
      <c r="B568" s="702"/>
      <c r="C568" s="239"/>
      <c r="D568" s="705" t="s">
        <v>96</v>
      </c>
      <c r="E568" s="706"/>
      <c r="F568" s="236">
        <f>INDEX(WEAP!$A:$AN,MATCH(B565,WEAP!$A:$A,0),MATCH("HP",WEAP!$A$1:$BF$1,0))</f>
        <v>172</v>
      </c>
      <c r="G568" s="237">
        <f>INDEX(WEAP!$A:$AN,MATCH(B565,WEAP!$A:$A,0),MATCH("HP V3",WEAP!$A$1:$BF$1,0))</f>
        <v>200</v>
      </c>
      <c r="I568" s="697"/>
      <c r="J568" s="698"/>
      <c r="K568" s="239"/>
      <c r="L568" s="697"/>
      <c r="M568" s="698"/>
    </row>
    <row r="569" spans="1:13" ht="22.5" x14ac:dyDescent="0.35">
      <c r="B569" s="702"/>
      <c r="C569" s="239"/>
      <c r="D569" s="707" t="s">
        <v>97</v>
      </c>
      <c r="E569" s="708"/>
      <c r="F569" s="236">
        <f>INDEX(WEAP!$A:$AN,MATCH(B565,WEAP!$A:$A,0),MATCH("Str",WEAP!$A$1:$BF$1,0))</f>
        <v>673</v>
      </c>
      <c r="G569" s="237">
        <f>INDEX(WEAP!$A:$AN,MATCH(B565,WEAP!$A:$A,0),MATCH("Str V3",WEAP!$A$1:$BF$1,0))</f>
        <v>675</v>
      </c>
      <c r="I569" s="699"/>
      <c r="J569" s="700"/>
      <c r="K569" s="239"/>
      <c r="L569" s="699"/>
      <c r="M569" s="700"/>
    </row>
    <row r="570" spans="1:13" s="245" customFormat="1" ht="7.5" customHeight="1" x14ac:dyDescent="0.2">
      <c r="A570" s="245" t="s">
        <v>10763</v>
      </c>
    </row>
    <row r="571" spans="1:13" ht="22.5" x14ac:dyDescent="0.35">
      <c r="A571" s="242" t="str">
        <f>TEXT(A564+1,"000")</f>
        <v>082</v>
      </c>
      <c r="B571" s="238" t="str">
        <f>"W-"&amp;A571</f>
        <v>W-082</v>
      </c>
      <c r="C571" s="239"/>
      <c r="D571" s="692" t="str">
        <f>+INDEX(WEAP!$A:$AN,MATCH(B572,WEAP!$A:$A,0),MATCH("Name",WEAP!$A$1:$BF$1,0))</f>
        <v>Skyrender</v>
      </c>
      <c r="E571" s="693"/>
      <c r="F571" s="693"/>
      <c r="G571" s="694"/>
      <c r="I571" s="241" t="str">
        <f>+INDEX(WEAP!$A:$AN,MATCH(B572,WEAP!$A:$A,0),MATCH("Weapon Skill",WEAP!$A$1:$BF$1,0))</f>
        <v>N/A</v>
      </c>
      <c r="J571" s="243">
        <f>INDEX('W-S'!$A:$N,MATCH(I571,'W-S'!$C:$C,0),MATCH("SP Cost",'W-S'!$1:$1,0))</f>
        <v>0</v>
      </c>
      <c r="K571" s="9"/>
      <c r="L571" s="241" t="str">
        <f>+I571</f>
        <v>N/A</v>
      </c>
      <c r="M571" s="243">
        <f>INDEX('W-S'!$A:$N,MATCH(L571,'W-S'!$C:$C,0),MATCH("SP Cost V3",'W-S'!$1:$1,0))</f>
        <v>0</v>
      </c>
    </row>
    <row r="572" spans="1:13" ht="22.5" x14ac:dyDescent="0.35">
      <c r="B572" s="238" t="str">
        <f>+INDEX(WEAP!$A:$AN,MATCH(B571,WEAP!$B:$B,0),MATCH("ID",WEAP!$A$1:$BF$1,0))</f>
        <v>302045_01</v>
      </c>
      <c r="C572" s="240"/>
      <c r="D572" s="692" t="str">
        <f>+INDEX(WEAP!$A:$AN,MATCH(B571,WEAP!$B:$B,0),MATCH("Family",WEAP!$A$1:$BF$1,0))&amp;" Weapon"</f>
        <v>Void Weapon</v>
      </c>
      <c r="E572" s="693"/>
      <c r="F572" s="693"/>
      <c r="G572" s="694"/>
      <c r="H572" s="8"/>
      <c r="I572" s="695" t="str">
        <f>INDEX('W-S'!$A:$O,MATCH(I571,'W-S'!$C:$C,0),MATCH("Description",'W-S'!$1:$1,0))</f>
        <v>This weapon has no weapon skill.</v>
      </c>
      <c r="J572" s="696"/>
      <c r="K572" s="239"/>
      <c r="L572" s="695" t="str">
        <f>INDEX('W-S'!$A:$O,MATCH(I571,'W-S'!$C:$C,0),MATCH("Description V3",'W-S'!$1:$1,0))</f>
        <v>This weapon has no weapon skill.</v>
      </c>
      <c r="M572" s="696"/>
    </row>
    <row r="573" spans="1:13" ht="22.5" x14ac:dyDescent="0.2">
      <c r="B573" s="701" t="e" vm="102">
        <f>+_xlfn.IMAGE("https://natalie.tf/wp-content/uploads/2023/10/DLV3_Icon_Weapon_"&amp;B572&amp;".png")</f>
        <v>#VALUE!</v>
      </c>
      <c r="C573" s="240"/>
      <c r="D573" s="692" t="str">
        <f>INDEX(WEAP!$A:$AN,MATCH(B572,WEAP!$A:$A,0),MATCH("Element",WEAP!$A$1:$BF$1,0))&amp;" "&amp;INDEX(WEAP!$A:$AN,MATCH(B572,WEAP!$A:$A,0),MATCH("Type",WEAP!$A$1:$BF$1,0))</f>
        <v>Flame Blade</v>
      </c>
      <c r="E573" s="693"/>
      <c r="F573" s="693"/>
      <c r="G573" s="694"/>
      <c r="H573" s="8"/>
      <c r="I573" s="697"/>
      <c r="J573" s="698"/>
      <c r="K573" s="9"/>
      <c r="L573" s="697"/>
      <c r="M573" s="698"/>
    </row>
    <row r="574" spans="1:13" ht="22.5" x14ac:dyDescent="0.35">
      <c r="B574" s="702"/>
      <c r="C574" s="239"/>
      <c r="D574" s="703" t="s">
        <v>10760</v>
      </c>
      <c r="E574" s="704"/>
      <c r="F574" s="235" t="s">
        <v>10761</v>
      </c>
      <c r="G574" s="235" t="s">
        <v>10762</v>
      </c>
      <c r="I574" s="697"/>
      <c r="J574" s="698"/>
      <c r="K574" s="239"/>
      <c r="L574" s="697"/>
      <c r="M574" s="698"/>
    </row>
    <row r="575" spans="1:13" ht="22.5" x14ac:dyDescent="0.35">
      <c r="B575" s="702"/>
      <c r="C575" s="239"/>
      <c r="D575" s="705" t="s">
        <v>96</v>
      </c>
      <c r="E575" s="706"/>
      <c r="F575" s="236">
        <f>INDEX(WEAP!$A:$AN,MATCH(B572,WEAP!$A:$A,0),MATCH("HP",WEAP!$A$1:$BF$1,0))</f>
        <v>172</v>
      </c>
      <c r="G575" s="237">
        <f>INDEX(WEAP!$A:$AN,MATCH(B572,WEAP!$A:$A,0),MATCH("HP V3",WEAP!$A$1:$BF$1,0))</f>
        <v>175</v>
      </c>
      <c r="I575" s="697"/>
      <c r="J575" s="698"/>
      <c r="K575" s="239"/>
      <c r="L575" s="697"/>
      <c r="M575" s="698"/>
    </row>
    <row r="576" spans="1:13" ht="22.5" x14ac:dyDescent="0.35">
      <c r="B576" s="702"/>
      <c r="C576" s="239"/>
      <c r="D576" s="707" t="s">
        <v>97</v>
      </c>
      <c r="E576" s="708"/>
      <c r="F576" s="236">
        <f>INDEX(WEAP!$A:$AN,MATCH(B572,WEAP!$A:$A,0),MATCH("Str",WEAP!$A$1:$BF$1,0))</f>
        <v>658</v>
      </c>
      <c r="G576" s="237">
        <f>INDEX(WEAP!$A:$AN,MATCH(B572,WEAP!$A:$A,0),MATCH("Str V3",WEAP!$A$1:$BF$1,0))</f>
        <v>715</v>
      </c>
      <c r="I576" s="699"/>
      <c r="J576" s="700"/>
      <c r="K576" s="239"/>
      <c r="L576" s="699"/>
      <c r="M576" s="700"/>
    </row>
    <row r="577" spans="1:13" s="245" customFormat="1" ht="7.5" customHeight="1" x14ac:dyDescent="0.2">
      <c r="A577" s="245" t="s">
        <v>10763</v>
      </c>
    </row>
    <row r="578" spans="1:13" ht="22.5" x14ac:dyDescent="0.35">
      <c r="A578" s="244" t="str">
        <f>TEXT(A571+1,"000")</f>
        <v>083</v>
      </c>
      <c r="B578" s="238" t="str">
        <f>"W-"&amp;A578</f>
        <v>W-083</v>
      </c>
      <c r="C578" s="239"/>
      <c r="D578" s="692" t="str">
        <f>+INDEX(WEAP!$A:$AN,MATCH(B579,WEAP!$A:$A,0),MATCH("Name",WEAP!$A$1:$BF$1,0))</f>
        <v>Vermillion Pain</v>
      </c>
      <c r="E578" s="693"/>
      <c r="F578" s="693"/>
      <c r="G578" s="694"/>
      <c r="I578" s="241" t="str">
        <f>+INDEX(WEAP!$A:$AN,MATCH(B579,WEAP!$A:$A,0),MATCH("Weapon Skill",WEAP!$A$1:$BF$1,0))</f>
        <v>N/A</v>
      </c>
      <c r="J578" s="243">
        <f>INDEX('W-S'!$A:$N,MATCH(I578,'W-S'!$C:$C,0),MATCH("SP Cost",'W-S'!$1:$1,0))</f>
        <v>0</v>
      </c>
      <c r="K578" s="9"/>
      <c r="L578" s="241" t="str">
        <f>+I578</f>
        <v>N/A</v>
      </c>
      <c r="M578" s="243">
        <f>INDEX('W-S'!$A:$N,MATCH(L578,'W-S'!$C:$C,0),MATCH("SP Cost V3",'W-S'!$1:$1,0))</f>
        <v>0</v>
      </c>
    </row>
    <row r="579" spans="1:13" ht="22.5" x14ac:dyDescent="0.35">
      <c r="B579" s="238" t="str">
        <f>+INDEX(WEAP!$A:$AN,MATCH(B578,WEAP!$B:$B,0),MATCH("ID",WEAP!$A$1:$BF$1,0))</f>
        <v>303065_01</v>
      </c>
      <c r="C579" s="240"/>
      <c r="D579" s="692" t="str">
        <f>+INDEX(WEAP!$A:$AN,MATCH(B578,WEAP!$B:$B,0),MATCH("Family",WEAP!$A$1:$BF$1,0))&amp;" Weapon"</f>
        <v>Void Weapon</v>
      </c>
      <c r="E579" s="693"/>
      <c r="F579" s="693"/>
      <c r="G579" s="694"/>
      <c r="H579" s="8"/>
      <c r="I579" s="695" t="str">
        <f>INDEX('W-S'!$A:$O,MATCH(I578,'W-S'!$C:$C,0),MATCH("Description",'W-S'!$1:$1,0))</f>
        <v>This weapon has no weapon skill.</v>
      </c>
      <c r="J579" s="696"/>
      <c r="K579" s="239"/>
      <c r="L579" s="695" t="str">
        <f>INDEX('W-S'!$A:$O,MATCH(I578,'W-S'!$C:$C,0),MATCH("Description V3",'W-S'!$1:$1,0))</f>
        <v>This weapon has no weapon skill.</v>
      </c>
      <c r="M579" s="696"/>
    </row>
    <row r="580" spans="1:13" ht="22.5" x14ac:dyDescent="0.2">
      <c r="B580" s="701" t="e" vm="103">
        <f>+_xlfn.IMAGE("https://natalie.tf/wp-content/uploads/2023/10/DLV3_Icon_Weapon_"&amp;B579&amp;".png")</f>
        <v>#VALUE!</v>
      </c>
      <c r="C580" s="240"/>
      <c r="D580" s="692" t="str">
        <f>INDEX(WEAP!$A:$AN,MATCH(B579,WEAP!$A:$A,0),MATCH("Element",WEAP!$A$1:$BF$1,0))&amp;" "&amp;INDEX(WEAP!$A:$AN,MATCH(B579,WEAP!$A:$A,0),MATCH("Type",WEAP!$A$1:$BF$1,0))</f>
        <v>Flame Dagger</v>
      </c>
      <c r="E580" s="693"/>
      <c r="F580" s="693"/>
      <c r="G580" s="694"/>
      <c r="H580" s="8"/>
      <c r="I580" s="697"/>
      <c r="J580" s="698"/>
      <c r="K580" s="9"/>
      <c r="L580" s="697"/>
      <c r="M580" s="698"/>
    </row>
    <row r="581" spans="1:13" ht="22.5" x14ac:dyDescent="0.35">
      <c r="B581" s="702"/>
      <c r="C581" s="239"/>
      <c r="D581" s="703" t="s">
        <v>10760</v>
      </c>
      <c r="E581" s="704"/>
      <c r="F581" s="235" t="s">
        <v>10761</v>
      </c>
      <c r="G581" s="235" t="s">
        <v>10762</v>
      </c>
      <c r="I581" s="697"/>
      <c r="J581" s="698"/>
      <c r="K581" s="239"/>
      <c r="L581" s="697"/>
      <c r="M581" s="698"/>
    </row>
    <row r="582" spans="1:13" ht="22.5" x14ac:dyDescent="0.35">
      <c r="B582" s="702"/>
      <c r="C582" s="239"/>
      <c r="D582" s="705" t="s">
        <v>96</v>
      </c>
      <c r="E582" s="706"/>
      <c r="F582" s="236">
        <f>INDEX(WEAP!$A:$AN,MATCH(B579,WEAP!$A:$A,0),MATCH("HP",WEAP!$A$1:$BF$1,0))</f>
        <v>174</v>
      </c>
      <c r="G582" s="237">
        <f>INDEX(WEAP!$A:$AN,MATCH(B579,WEAP!$A:$A,0),MATCH("HP V3",WEAP!$A$1:$BF$1,0))</f>
        <v>200</v>
      </c>
      <c r="I582" s="697"/>
      <c r="J582" s="698"/>
      <c r="K582" s="239"/>
      <c r="L582" s="697"/>
      <c r="M582" s="698"/>
    </row>
    <row r="583" spans="1:13" ht="22.5" x14ac:dyDescent="0.35">
      <c r="B583" s="702"/>
      <c r="C583" s="239"/>
      <c r="D583" s="707" t="s">
        <v>97</v>
      </c>
      <c r="E583" s="708"/>
      <c r="F583" s="236">
        <f>INDEX(WEAP!$A:$AN,MATCH(B579,WEAP!$A:$A,0),MATCH("Str",WEAP!$A$1:$BF$1,0))</f>
        <v>660</v>
      </c>
      <c r="G583" s="237">
        <f>INDEX(WEAP!$A:$AN,MATCH(B579,WEAP!$A:$A,0),MATCH("Str V3",WEAP!$A$1:$BF$1,0))</f>
        <v>660</v>
      </c>
      <c r="I583" s="699"/>
      <c r="J583" s="700"/>
      <c r="K583" s="239"/>
      <c r="L583" s="699"/>
      <c r="M583" s="700"/>
    </row>
    <row r="584" spans="1:13" s="245" customFormat="1" ht="7.5" customHeight="1" x14ac:dyDescent="0.2">
      <c r="A584" s="245" t="s">
        <v>10763</v>
      </c>
    </row>
    <row r="585" spans="1:13" ht="22.5" x14ac:dyDescent="0.35">
      <c r="A585" s="244" t="str">
        <f>TEXT(A578+1,"000")</f>
        <v>084</v>
      </c>
      <c r="B585" s="238" t="str">
        <f>"W-"&amp;A585</f>
        <v>W-084</v>
      </c>
      <c r="C585" s="239"/>
      <c r="D585" s="692" t="str">
        <f>+INDEX(WEAP!$A:$AN,MATCH(B586,WEAP!$A:$A,0),MATCH("Name",WEAP!$A$1:$BF$1,0))</f>
        <v>Heavenwrath Gaze</v>
      </c>
      <c r="E585" s="693"/>
      <c r="F585" s="693"/>
      <c r="G585" s="694"/>
      <c r="I585" s="241" t="str">
        <f>+INDEX(WEAP!$A:$AN,MATCH(B586,WEAP!$A:$A,0),MATCH("Weapon Skill",WEAP!$A$1:$BF$1,0))</f>
        <v>N/A</v>
      </c>
      <c r="J585" s="243">
        <f>INDEX('W-S'!$A:$N,MATCH(I585,'W-S'!$C:$C,0),MATCH("SP Cost",'W-S'!$1:$1,0))</f>
        <v>0</v>
      </c>
      <c r="K585" s="9"/>
      <c r="L585" s="241" t="str">
        <f>+I585</f>
        <v>N/A</v>
      </c>
      <c r="M585" s="243">
        <f>INDEX('W-S'!$A:$N,MATCH(L585,'W-S'!$C:$C,0),MATCH("SP Cost V3",'W-S'!$1:$1,0))</f>
        <v>0</v>
      </c>
    </row>
    <row r="586" spans="1:13" ht="22.5" x14ac:dyDescent="0.35">
      <c r="B586" s="238" t="str">
        <f>+INDEX(WEAP!$A:$AN,MATCH(B585,WEAP!$B:$B,0),MATCH("ID",WEAP!$A$1:$BF$1,0))</f>
        <v>304043_01</v>
      </c>
      <c r="C586" s="240"/>
      <c r="D586" s="692" t="str">
        <f>+INDEX(WEAP!$A:$AN,MATCH(B585,WEAP!$B:$B,0),MATCH("Family",WEAP!$A$1:$BF$1,0))&amp;" Weapon"</f>
        <v>Void Weapon</v>
      </c>
      <c r="E586" s="693"/>
      <c r="F586" s="693"/>
      <c r="G586" s="694"/>
      <c r="H586" s="8"/>
      <c r="I586" s="695" t="str">
        <f>INDEX('W-S'!$A:$O,MATCH(I585,'W-S'!$C:$C,0),MATCH("Description",'W-S'!$1:$1,0))</f>
        <v>This weapon has no weapon skill.</v>
      </c>
      <c r="J586" s="696"/>
      <c r="K586" s="239"/>
      <c r="L586" s="695" t="str">
        <f>INDEX('W-S'!$A:$O,MATCH(I585,'W-S'!$C:$C,0),MATCH("Description V3",'W-S'!$1:$1,0))</f>
        <v>This weapon has no weapon skill.</v>
      </c>
      <c r="M586" s="696"/>
    </row>
    <row r="587" spans="1:13" ht="22.5" x14ac:dyDescent="0.2">
      <c r="B587" s="701" t="e" vm="104">
        <f>+_xlfn.IMAGE("https://natalie.tf/wp-content/uploads/2023/10/DLV3_Icon_Weapon_"&amp;B586&amp;".png")</f>
        <v>#VALUE!</v>
      </c>
      <c r="C587" s="240"/>
      <c r="D587" s="692" t="str">
        <f>INDEX(WEAP!$A:$AN,MATCH(B586,WEAP!$A:$A,0),MATCH("Element",WEAP!$A$1:$BF$1,0))&amp;" "&amp;INDEX(WEAP!$A:$AN,MATCH(B586,WEAP!$A:$A,0),MATCH("Type",WEAP!$A$1:$BF$1,0))</f>
        <v>Flame Axe</v>
      </c>
      <c r="E587" s="693"/>
      <c r="F587" s="693"/>
      <c r="G587" s="694"/>
      <c r="H587" s="8"/>
      <c r="I587" s="697"/>
      <c r="J587" s="698"/>
      <c r="K587" s="9"/>
      <c r="L587" s="697"/>
      <c r="M587" s="698"/>
    </row>
    <row r="588" spans="1:13" ht="22.5" x14ac:dyDescent="0.35">
      <c r="B588" s="702"/>
      <c r="C588" s="239"/>
      <c r="D588" s="703" t="s">
        <v>10760</v>
      </c>
      <c r="E588" s="704"/>
      <c r="F588" s="235" t="s">
        <v>10761</v>
      </c>
      <c r="G588" s="235" t="s">
        <v>10762</v>
      </c>
      <c r="I588" s="697"/>
      <c r="J588" s="698"/>
      <c r="K588" s="239"/>
      <c r="L588" s="697"/>
      <c r="M588" s="698"/>
    </row>
    <row r="589" spans="1:13" ht="22.5" x14ac:dyDescent="0.35">
      <c r="B589" s="702"/>
      <c r="C589" s="239"/>
      <c r="D589" s="705" t="s">
        <v>96</v>
      </c>
      <c r="E589" s="706"/>
      <c r="F589" s="236">
        <f>INDEX(WEAP!$A:$AN,MATCH(B586,WEAP!$A:$A,0),MATCH("HP",WEAP!$A$1:$BF$1,0))</f>
        <v>178</v>
      </c>
      <c r="G589" s="237">
        <f>INDEX(WEAP!$A:$AN,MATCH(B586,WEAP!$A:$A,0),MATCH("HP V3",WEAP!$A$1:$BF$1,0))</f>
        <v>200</v>
      </c>
      <c r="I589" s="697"/>
      <c r="J589" s="698"/>
      <c r="K589" s="239"/>
      <c r="L589" s="697"/>
      <c r="M589" s="698"/>
    </row>
    <row r="590" spans="1:13" ht="22.5" x14ac:dyDescent="0.35">
      <c r="B590" s="702"/>
      <c r="C590" s="239"/>
      <c r="D590" s="707" t="s">
        <v>97</v>
      </c>
      <c r="E590" s="708"/>
      <c r="F590" s="236">
        <f>INDEX(WEAP!$A:$AN,MATCH(B586,WEAP!$A:$A,0),MATCH("Str",WEAP!$A$1:$BF$1,0))</f>
        <v>707</v>
      </c>
      <c r="G590" s="237">
        <f>INDEX(WEAP!$A:$AN,MATCH(B586,WEAP!$A:$A,0),MATCH("Str V3",WEAP!$A$1:$BF$1,0))</f>
        <v>710</v>
      </c>
      <c r="I590" s="699"/>
      <c r="J590" s="700"/>
      <c r="K590" s="239"/>
      <c r="L590" s="699"/>
      <c r="M590" s="700"/>
    </row>
    <row r="591" spans="1:13" s="245" customFormat="1" ht="7.5" customHeight="1" x14ac:dyDescent="0.2">
      <c r="A591" s="245" t="s">
        <v>10763</v>
      </c>
    </row>
    <row r="592" spans="1:13" ht="22.5" x14ac:dyDescent="0.35">
      <c r="A592" s="244" t="str">
        <f>TEXT(A585+1,"000")</f>
        <v>085</v>
      </c>
      <c r="B592" s="238" t="str">
        <f>"W-"&amp;A592</f>
        <v>W-085</v>
      </c>
      <c r="C592" s="239"/>
      <c r="D592" s="692" t="str">
        <f>+INDEX(WEAP!$A:$AN,MATCH(B593,WEAP!$A:$A,0),MATCH("Name",WEAP!$A$1:$BF$1,0))</f>
        <v>Flamedance Lance</v>
      </c>
      <c r="E592" s="693"/>
      <c r="F592" s="693"/>
      <c r="G592" s="694"/>
      <c r="I592" s="241" t="str">
        <f>+INDEX(WEAP!$A:$AN,MATCH(B593,WEAP!$A:$A,0),MATCH("Weapon Skill",WEAP!$A$1:$BF$1,0))</f>
        <v>N/A</v>
      </c>
      <c r="J592" s="243">
        <f>INDEX('W-S'!$A:$N,MATCH(I592,'W-S'!$C:$C,0),MATCH("SP Cost",'W-S'!$1:$1,0))</f>
        <v>0</v>
      </c>
      <c r="K592" s="9"/>
      <c r="L592" s="241" t="str">
        <f>+I592</f>
        <v>N/A</v>
      </c>
      <c r="M592" s="243">
        <f>INDEX('W-S'!$A:$N,MATCH(L592,'W-S'!$C:$C,0),MATCH("SP Cost V3",'W-S'!$1:$1,0))</f>
        <v>0</v>
      </c>
    </row>
    <row r="593" spans="1:13" ht="22.5" x14ac:dyDescent="0.35">
      <c r="B593" s="238" t="str">
        <f>+INDEX(WEAP!$A:$AN,MATCH(B592,WEAP!$B:$B,0),MATCH("ID",WEAP!$A$1:$BF$1,0))</f>
        <v>305077_01</v>
      </c>
      <c r="C593" s="240"/>
      <c r="D593" s="692" t="str">
        <f>+INDEX(WEAP!$A:$AN,MATCH(B592,WEAP!$B:$B,0),MATCH("Family",WEAP!$A$1:$BF$1,0))&amp;" Weapon"</f>
        <v>Void Weapon</v>
      </c>
      <c r="E593" s="693"/>
      <c r="F593" s="693"/>
      <c r="G593" s="694"/>
      <c r="H593" s="8"/>
      <c r="I593" s="695" t="str">
        <f>INDEX('W-S'!$A:$O,MATCH(I592,'W-S'!$C:$C,0),MATCH("Description",'W-S'!$1:$1,0))</f>
        <v>This weapon has no weapon skill.</v>
      </c>
      <c r="J593" s="696"/>
      <c r="K593" s="239"/>
      <c r="L593" s="695" t="str">
        <f>INDEX('W-S'!$A:$O,MATCH(I592,'W-S'!$C:$C,0),MATCH("Description V3",'W-S'!$1:$1,0))</f>
        <v>This weapon has no weapon skill.</v>
      </c>
      <c r="M593" s="696"/>
    </row>
    <row r="594" spans="1:13" ht="22.5" x14ac:dyDescent="0.2">
      <c r="B594" s="701" t="e" vm="105">
        <f>+_xlfn.IMAGE("https://natalie.tf/wp-content/uploads/2023/10/DLV3_Icon_Weapon_"&amp;B593&amp;".png")</f>
        <v>#VALUE!</v>
      </c>
      <c r="C594" s="240"/>
      <c r="D594" s="692" t="str">
        <f>INDEX(WEAP!$A:$AN,MATCH(B593,WEAP!$A:$A,0),MATCH("Element",WEAP!$A$1:$BF$1,0))&amp;" "&amp;INDEX(WEAP!$A:$AN,MATCH(B593,WEAP!$A:$A,0),MATCH("Type",WEAP!$A$1:$BF$1,0))</f>
        <v>Flame Lance</v>
      </c>
      <c r="E594" s="693"/>
      <c r="F594" s="693"/>
      <c r="G594" s="694"/>
      <c r="H594" s="8"/>
      <c r="I594" s="697"/>
      <c r="J594" s="698"/>
      <c r="K594" s="9"/>
      <c r="L594" s="697"/>
      <c r="M594" s="698"/>
    </row>
    <row r="595" spans="1:13" ht="22.5" x14ac:dyDescent="0.35">
      <c r="B595" s="702"/>
      <c r="C595" s="239"/>
      <c r="D595" s="703" t="s">
        <v>10760</v>
      </c>
      <c r="E595" s="704"/>
      <c r="F595" s="235" t="s">
        <v>10761</v>
      </c>
      <c r="G595" s="235" t="s">
        <v>10762</v>
      </c>
      <c r="I595" s="697"/>
      <c r="J595" s="698"/>
      <c r="K595" s="239"/>
      <c r="L595" s="697"/>
      <c r="M595" s="698"/>
    </row>
    <row r="596" spans="1:13" ht="22.5" x14ac:dyDescent="0.35">
      <c r="B596" s="702"/>
      <c r="C596" s="239"/>
      <c r="D596" s="705" t="s">
        <v>96</v>
      </c>
      <c r="E596" s="706"/>
      <c r="F596" s="236">
        <f>INDEX(WEAP!$A:$AN,MATCH(B593,WEAP!$A:$A,0),MATCH("HP",WEAP!$A$1:$BF$1,0))</f>
        <v>185</v>
      </c>
      <c r="G596" s="237">
        <f>INDEX(WEAP!$A:$AN,MATCH(B593,WEAP!$A:$A,0),MATCH("HP V3",WEAP!$A$1:$BF$1,0))</f>
        <v>200</v>
      </c>
      <c r="I596" s="697"/>
      <c r="J596" s="698"/>
      <c r="K596" s="239"/>
      <c r="L596" s="697"/>
      <c r="M596" s="698"/>
    </row>
    <row r="597" spans="1:13" ht="22.5" x14ac:dyDescent="0.35">
      <c r="B597" s="702"/>
      <c r="C597" s="239"/>
      <c r="D597" s="707" t="s">
        <v>97</v>
      </c>
      <c r="E597" s="708"/>
      <c r="F597" s="236">
        <f>INDEX(WEAP!$A:$AN,MATCH(B593,WEAP!$A:$A,0),MATCH("Str",WEAP!$A$1:$BF$1,0))</f>
        <v>666</v>
      </c>
      <c r="G597" s="237">
        <f>INDEX(WEAP!$A:$AN,MATCH(B593,WEAP!$A:$A,0),MATCH("Str V3",WEAP!$A$1:$BF$1,0))</f>
        <v>670</v>
      </c>
      <c r="I597" s="699"/>
      <c r="J597" s="700"/>
      <c r="K597" s="239"/>
      <c r="L597" s="699"/>
      <c r="M597" s="700"/>
    </row>
    <row r="598" spans="1:13" ht="33.75" customHeight="1" x14ac:dyDescent="0.2">
      <c r="A598" t="s">
        <v>10763</v>
      </c>
    </row>
    <row r="599" spans="1:13" ht="22.5" x14ac:dyDescent="0.35">
      <c r="A599" s="244" t="str">
        <f>TEXT(A592+1,"000")</f>
        <v>086</v>
      </c>
      <c r="B599" s="238" t="str">
        <f>"W-"&amp;A599</f>
        <v>W-086</v>
      </c>
      <c r="C599" s="239"/>
      <c r="D599" s="692" t="str">
        <f>+INDEX(WEAP!$A:$AN,MATCH(B600,WEAP!$A:$A,0),MATCH("Name",WEAP!$A$1:$BF$1,0))</f>
        <v>Vulcanrage</v>
      </c>
      <c r="E599" s="693"/>
      <c r="F599" s="693"/>
      <c r="G599" s="694"/>
      <c r="I599" s="241" t="str">
        <f>+INDEX(WEAP!$A:$AN,MATCH(B600,WEAP!$A:$A,0),MATCH("Weapon Skill",WEAP!$A$1:$BF$1,0))</f>
        <v>N/A</v>
      </c>
      <c r="J599" s="243">
        <f>INDEX('W-S'!$A:$N,MATCH(I599,'W-S'!$C:$C,0),MATCH("SP Cost",'W-S'!$1:$1,0))</f>
        <v>0</v>
      </c>
      <c r="K599" s="9"/>
      <c r="L599" s="241" t="str">
        <f>+I599</f>
        <v>N/A</v>
      </c>
      <c r="M599" s="243">
        <f>INDEX('W-S'!$A:$N,MATCH(L599,'W-S'!$C:$C,0),MATCH("SP Cost V3",'W-S'!$1:$1,0))</f>
        <v>0</v>
      </c>
    </row>
    <row r="600" spans="1:13" ht="22.5" x14ac:dyDescent="0.35">
      <c r="B600" s="238" t="str">
        <f>+INDEX(WEAP!$A:$AN,MATCH(B599,WEAP!$B:$B,0),MATCH("ID",WEAP!$A$1:$BF$1,0))</f>
        <v>306061_01</v>
      </c>
      <c r="C600" s="240"/>
      <c r="D600" s="692" t="str">
        <f>+INDEX(WEAP!$A:$AN,MATCH(B599,WEAP!$B:$B,0),MATCH("Family",WEAP!$A$1:$BF$1,0))&amp;" Weapon"</f>
        <v>Void Weapon</v>
      </c>
      <c r="E600" s="693"/>
      <c r="F600" s="693"/>
      <c r="G600" s="694"/>
      <c r="H600" s="8"/>
      <c r="I600" s="695" t="str">
        <f>INDEX('W-S'!$A:$O,MATCH(I599,'W-S'!$C:$C,0),MATCH("Description",'W-S'!$1:$1,0))</f>
        <v>This weapon has no weapon skill.</v>
      </c>
      <c r="J600" s="696"/>
      <c r="K600" s="239"/>
      <c r="L600" s="695" t="str">
        <f>INDEX('W-S'!$A:$O,MATCH(I599,'W-S'!$C:$C,0),MATCH("Description V3",'W-S'!$1:$1,0))</f>
        <v>This weapon has no weapon skill.</v>
      </c>
      <c r="M600" s="696"/>
    </row>
    <row r="601" spans="1:13" ht="22.5" x14ac:dyDescent="0.2">
      <c r="B601" s="701" t="e" vm="106">
        <f>+_xlfn.IMAGE("https://natalie.tf/wp-content/uploads/2023/10/DLV3_Icon_Weapon_"&amp;B600&amp;".png")</f>
        <v>#VALUE!</v>
      </c>
      <c r="C601" s="240"/>
      <c r="D601" s="692" t="str">
        <f>INDEX(WEAP!$A:$AN,MATCH(B600,WEAP!$A:$A,0),MATCH("Element",WEAP!$A$1:$BF$1,0))&amp;" "&amp;INDEX(WEAP!$A:$AN,MATCH(B600,WEAP!$A:$A,0),MATCH("Type",WEAP!$A$1:$BF$1,0))</f>
        <v>Flame Bow</v>
      </c>
      <c r="E601" s="693"/>
      <c r="F601" s="693"/>
      <c r="G601" s="694"/>
      <c r="H601" s="8"/>
      <c r="I601" s="697"/>
      <c r="J601" s="698"/>
      <c r="K601" s="9"/>
      <c r="L601" s="697"/>
      <c r="M601" s="698"/>
    </row>
    <row r="602" spans="1:13" ht="22.5" x14ac:dyDescent="0.35">
      <c r="B602" s="702"/>
      <c r="C602" s="239"/>
      <c r="D602" s="703" t="s">
        <v>10760</v>
      </c>
      <c r="E602" s="704"/>
      <c r="F602" s="235" t="s">
        <v>10761</v>
      </c>
      <c r="G602" s="235" t="s">
        <v>10762</v>
      </c>
      <c r="I602" s="697"/>
      <c r="J602" s="698"/>
      <c r="K602" s="239"/>
      <c r="L602" s="697"/>
      <c r="M602" s="698"/>
    </row>
    <row r="603" spans="1:13" ht="22.5" x14ac:dyDescent="0.35">
      <c r="B603" s="702"/>
      <c r="C603" s="239"/>
      <c r="D603" s="705" t="s">
        <v>96</v>
      </c>
      <c r="E603" s="706"/>
      <c r="F603" s="236">
        <f>INDEX(WEAP!$A:$AN,MATCH(B600,WEAP!$A:$A,0),MATCH("HP",WEAP!$A$1:$BF$1,0))</f>
        <v>187</v>
      </c>
      <c r="G603" s="237">
        <f>INDEX(WEAP!$A:$AN,MATCH(B600,WEAP!$A:$A,0),MATCH("HP V3",WEAP!$A$1:$BF$1,0))</f>
        <v>190</v>
      </c>
      <c r="I603" s="697"/>
      <c r="J603" s="698"/>
      <c r="K603" s="239"/>
      <c r="L603" s="697"/>
      <c r="M603" s="698"/>
    </row>
    <row r="604" spans="1:13" ht="22.5" x14ac:dyDescent="0.35">
      <c r="B604" s="702"/>
      <c r="C604" s="239"/>
      <c r="D604" s="707" t="s">
        <v>97</v>
      </c>
      <c r="E604" s="708"/>
      <c r="F604" s="236">
        <f>INDEX(WEAP!$A:$AN,MATCH(B600,WEAP!$A:$A,0),MATCH("Str",WEAP!$A$1:$BF$1,0))</f>
        <v>608</v>
      </c>
      <c r="G604" s="237">
        <f>INDEX(WEAP!$A:$AN,MATCH(B600,WEAP!$A:$A,0),MATCH("Str V3",WEAP!$A$1:$BF$1,0))</f>
        <v>630</v>
      </c>
      <c r="I604" s="699"/>
      <c r="J604" s="700"/>
      <c r="K604" s="239"/>
      <c r="L604" s="699"/>
      <c r="M604" s="700"/>
    </row>
    <row r="605" spans="1:13" s="245" customFormat="1" ht="7.5" customHeight="1" x14ac:dyDescent="0.2">
      <c r="A605" s="245" t="s">
        <v>10763</v>
      </c>
    </row>
    <row r="606" spans="1:13" ht="22.5" x14ac:dyDescent="0.35">
      <c r="A606" s="242" t="str">
        <f>TEXT(A599+1,"000")</f>
        <v>087</v>
      </c>
      <c r="B606" s="238" t="str">
        <f>"W-"&amp;A606</f>
        <v>W-087</v>
      </c>
      <c r="C606" s="239"/>
      <c r="D606" s="692" t="str">
        <f>+INDEX(WEAP!$A:$AN,MATCH(B607,WEAP!$A:$A,0),MATCH("Name",WEAP!$A$1:$BF$1,0))</f>
        <v>Scepter of Infinite Fire</v>
      </c>
      <c r="E606" s="693"/>
      <c r="F606" s="693"/>
      <c r="G606" s="694"/>
      <c r="I606" s="241" t="str">
        <f>+INDEX(WEAP!$A:$AN,MATCH(B607,WEAP!$A:$A,0),MATCH("Weapon Skill",WEAP!$A$1:$BF$1,0))</f>
        <v>N/A</v>
      </c>
      <c r="J606" s="243">
        <f>INDEX('W-S'!$A:$N,MATCH(I606,'W-S'!$C:$C,0),MATCH("SP Cost",'W-S'!$1:$1,0))</f>
        <v>0</v>
      </c>
      <c r="K606" s="9"/>
      <c r="L606" s="241" t="str">
        <f>+I606</f>
        <v>N/A</v>
      </c>
      <c r="M606" s="243">
        <f>INDEX('W-S'!$A:$N,MATCH(L606,'W-S'!$C:$C,0),MATCH("SP Cost V3",'W-S'!$1:$1,0))</f>
        <v>0</v>
      </c>
    </row>
    <row r="607" spans="1:13" ht="22.5" x14ac:dyDescent="0.35">
      <c r="B607" s="238" t="str">
        <f>+INDEX(WEAP!$A:$AN,MATCH(B606,WEAP!$B:$B,0),MATCH("ID",WEAP!$A$1:$BF$1,0))</f>
        <v>307066_01</v>
      </c>
      <c r="C607" s="240"/>
      <c r="D607" s="692" t="str">
        <f>+INDEX(WEAP!$A:$AN,MATCH(B606,WEAP!$B:$B,0),MATCH("Family",WEAP!$A$1:$BF$1,0))&amp;" Weapon"</f>
        <v>Void Weapon</v>
      </c>
      <c r="E607" s="693"/>
      <c r="F607" s="693"/>
      <c r="G607" s="694"/>
      <c r="H607" s="8"/>
      <c r="I607" s="695" t="str">
        <f>INDEX('W-S'!$A:$O,MATCH(I606,'W-S'!$C:$C,0),MATCH("Description",'W-S'!$1:$1,0))</f>
        <v>This weapon has no weapon skill.</v>
      </c>
      <c r="J607" s="696"/>
      <c r="K607" s="239"/>
      <c r="L607" s="695" t="str">
        <f>INDEX('W-S'!$A:$O,MATCH(I606,'W-S'!$C:$C,0),MATCH("Description V3",'W-S'!$1:$1,0))</f>
        <v>This weapon has no weapon skill.</v>
      </c>
      <c r="M607" s="696"/>
    </row>
    <row r="608" spans="1:13" ht="22.5" x14ac:dyDescent="0.2">
      <c r="B608" s="701" t="e" vm="107">
        <f>+_xlfn.IMAGE("https://natalie.tf/wp-content/uploads/2023/10/DLV3_Icon_Weapon_"&amp;B607&amp;".png")</f>
        <v>#VALUE!</v>
      </c>
      <c r="C608" s="240"/>
      <c r="D608" s="692" t="str">
        <f>INDEX(WEAP!$A:$AN,MATCH(B607,WEAP!$A:$A,0),MATCH("Element",WEAP!$A$1:$BF$1,0))&amp;" "&amp;INDEX(WEAP!$A:$AN,MATCH(B607,WEAP!$A:$A,0),MATCH("Type",WEAP!$A$1:$BF$1,0))</f>
        <v>Flame Wand</v>
      </c>
      <c r="E608" s="693"/>
      <c r="F608" s="693"/>
      <c r="G608" s="694"/>
      <c r="H608" s="8"/>
      <c r="I608" s="697"/>
      <c r="J608" s="698"/>
      <c r="K608" s="9"/>
      <c r="L608" s="697"/>
      <c r="M608" s="698"/>
    </row>
    <row r="609" spans="1:13" ht="22.5" x14ac:dyDescent="0.35">
      <c r="B609" s="702"/>
      <c r="C609" s="239"/>
      <c r="D609" s="703" t="s">
        <v>10760</v>
      </c>
      <c r="E609" s="704"/>
      <c r="F609" s="235" t="s">
        <v>10761</v>
      </c>
      <c r="G609" s="235" t="s">
        <v>10762</v>
      </c>
      <c r="I609" s="697"/>
      <c r="J609" s="698"/>
      <c r="K609" s="239"/>
      <c r="L609" s="697"/>
      <c r="M609" s="698"/>
    </row>
    <row r="610" spans="1:13" ht="22.5" x14ac:dyDescent="0.35">
      <c r="B610" s="702"/>
      <c r="C610" s="239"/>
      <c r="D610" s="705" t="s">
        <v>96</v>
      </c>
      <c r="E610" s="706"/>
      <c r="F610" s="236">
        <f>INDEX(WEAP!$A:$AN,MATCH(B607,WEAP!$A:$A,0),MATCH("HP",WEAP!$A$1:$BF$1,0))</f>
        <v>179</v>
      </c>
      <c r="G610" s="237">
        <f>INDEX(WEAP!$A:$AN,MATCH(B607,WEAP!$A:$A,0),MATCH("HP V3",WEAP!$A$1:$BF$1,0))</f>
        <v>185</v>
      </c>
      <c r="I610" s="697"/>
      <c r="J610" s="698"/>
      <c r="K610" s="239"/>
      <c r="L610" s="697"/>
      <c r="M610" s="698"/>
    </row>
    <row r="611" spans="1:13" ht="22.5" x14ac:dyDescent="0.35">
      <c r="B611" s="702"/>
      <c r="C611" s="239"/>
      <c r="D611" s="707" t="s">
        <v>97</v>
      </c>
      <c r="E611" s="708"/>
      <c r="F611" s="236">
        <f>INDEX(WEAP!$A:$AN,MATCH(B607,WEAP!$A:$A,0),MATCH("Str",WEAP!$A$1:$BF$1,0))</f>
        <v>653</v>
      </c>
      <c r="G611" s="237">
        <f>INDEX(WEAP!$A:$AN,MATCH(B607,WEAP!$A:$A,0),MATCH("Str V3",WEAP!$A$1:$BF$1,0))</f>
        <v>695</v>
      </c>
      <c r="I611" s="699"/>
      <c r="J611" s="700"/>
      <c r="K611" s="239"/>
      <c r="L611" s="699"/>
      <c r="M611" s="700"/>
    </row>
    <row r="612" spans="1:13" s="245" customFormat="1" ht="7.5" customHeight="1" x14ac:dyDescent="0.2">
      <c r="A612" s="245" t="s">
        <v>10763</v>
      </c>
    </row>
    <row r="613" spans="1:13" ht="22.5" x14ac:dyDescent="0.35">
      <c r="A613" s="244" t="str">
        <f>TEXT(A606+1,"000")</f>
        <v>088</v>
      </c>
      <c r="B613" s="238" t="str">
        <f>"W-"&amp;A613</f>
        <v>W-088</v>
      </c>
      <c r="C613" s="239"/>
      <c r="D613" s="692" t="str">
        <f>+INDEX(WEAP!$A:$AN,MATCH(B614,WEAP!$A:$A,0),MATCH("Name",WEAP!$A$1:$BF$1,0))</f>
        <v>Endless Demise</v>
      </c>
      <c r="E613" s="693"/>
      <c r="F613" s="693"/>
      <c r="G613" s="694"/>
      <c r="I613" s="241" t="str">
        <f>+INDEX(WEAP!$A:$AN,MATCH(B614,WEAP!$A:$A,0),MATCH("Weapon Skill",WEAP!$A$1:$BF$1,0))</f>
        <v>N/A</v>
      </c>
      <c r="J613" s="243">
        <f>INDEX('W-S'!$A:$N,MATCH(I613,'W-S'!$C:$C,0),MATCH("SP Cost",'W-S'!$1:$1,0))</f>
        <v>0</v>
      </c>
      <c r="K613" s="9"/>
      <c r="L613" s="241" t="str">
        <f>+I613</f>
        <v>N/A</v>
      </c>
      <c r="M613" s="243">
        <f>INDEX('W-S'!$A:$N,MATCH(L613,'W-S'!$C:$C,0),MATCH("SP Cost V3",'W-S'!$1:$1,0))</f>
        <v>0</v>
      </c>
    </row>
    <row r="614" spans="1:13" ht="22.5" x14ac:dyDescent="0.35">
      <c r="B614" s="238" t="str">
        <f>+INDEX(WEAP!$A:$AN,MATCH(B613,WEAP!$B:$B,0),MATCH("ID",WEAP!$A$1:$BF$1,0))</f>
        <v>308044_01</v>
      </c>
      <c r="C614" s="240"/>
      <c r="D614" s="692" t="str">
        <f>+INDEX(WEAP!$A:$AN,MATCH(B613,WEAP!$B:$B,0),MATCH("Family",WEAP!$A$1:$BF$1,0))&amp;" Weapon"</f>
        <v>Void Weapon</v>
      </c>
      <c r="E614" s="693"/>
      <c r="F614" s="693"/>
      <c r="G614" s="694"/>
      <c r="H614" s="8"/>
      <c r="I614" s="695" t="str">
        <f>INDEX('W-S'!$A:$O,MATCH(I613,'W-S'!$C:$C,0),MATCH("Description",'W-S'!$1:$1,0))</f>
        <v>This weapon has no weapon skill.</v>
      </c>
      <c r="J614" s="696"/>
      <c r="K614" s="239"/>
      <c r="L614" s="695" t="str">
        <f>INDEX('W-S'!$A:$O,MATCH(I613,'W-S'!$C:$C,0),MATCH("Description V3",'W-S'!$1:$1,0))</f>
        <v>This weapon has no weapon skill.</v>
      </c>
      <c r="M614" s="696"/>
    </row>
    <row r="615" spans="1:13" ht="22.5" x14ac:dyDescent="0.2">
      <c r="B615" s="701" t="e" vm="108">
        <f>+_xlfn.IMAGE("https://natalie.tf/wp-content/uploads/2023/10/DLV3_Icon_Weapon_"&amp;B614&amp;".png")</f>
        <v>#VALUE!</v>
      </c>
      <c r="C615" s="240"/>
      <c r="D615" s="692" t="str">
        <f>INDEX(WEAP!$A:$AN,MATCH(B614,WEAP!$A:$A,0),MATCH("Element",WEAP!$A$1:$BF$1,0))&amp;" "&amp;INDEX(WEAP!$A:$AN,MATCH(B614,WEAP!$A:$A,0),MATCH("Type",WEAP!$A$1:$BF$1,0))</f>
        <v>Flame Staff</v>
      </c>
      <c r="E615" s="693"/>
      <c r="F615" s="693"/>
      <c r="G615" s="694"/>
      <c r="H615" s="8"/>
      <c r="I615" s="697"/>
      <c r="J615" s="698"/>
      <c r="K615" s="9"/>
      <c r="L615" s="697"/>
      <c r="M615" s="698"/>
    </row>
    <row r="616" spans="1:13" ht="22.5" x14ac:dyDescent="0.35">
      <c r="B616" s="702"/>
      <c r="C616" s="239"/>
      <c r="D616" s="703" t="s">
        <v>10760</v>
      </c>
      <c r="E616" s="704"/>
      <c r="F616" s="235" t="s">
        <v>10761</v>
      </c>
      <c r="G616" s="235" t="s">
        <v>10762</v>
      </c>
      <c r="I616" s="697"/>
      <c r="J616" s="698"/>
      <c r="K616" s="239"/>
      <c r="L616" s="697"/>
      <c r="M616" s="698"/>
    </row>
    <row r="617" spans="1:13" ht="22.5" x14ac:dyDescent="0.35">
      <c r="B617" s="702"/>
      <c r="C617" s="239"/>
      <c r="D617" s="705" t="s">
        <v>96</v>
      </c>
      <c r="E617" s="706"/>
      <c r="F617" s="236">
        <f>INDEX(WEAP!$A:$AN,MATCH(B614,WEAP!$A:$A,0),MATCH("HP",WEAP!$A$1:$BF$1,0))</f>
        <v>216</v>
      </c>
      <c r="G617" s="237">
        <f>INDEX(WEAP!$A:$AN,MATCH(B614,WEAP!$A:$A,0),MATCH("HP V3",WEAP!$A$1:$BF$1,0))</f>
        <v>220</v>
      </c>
      <c r="I617" s="697"/>
      <c r="J617" s="698"/>
      <c r="K617" s="239"/>
      <c r="L617" s="697"/>
      <c r="M617" s="698"/>
    </row>
    <row r="618" spans="1:13" ht="22.5" x14ac:dyDescent="0.35">
      <c r="B618" s="702"/>
      <c r="C618" s="239"/>
      <c r="D618" s="707" t="s">
        <v>97</v>
      </c>
      <c r="E618" s="708"/>
      <c r="F618" s="236">
        <f>INDEX(WEAP!$A:$AN,MATCH(B614,WEAP!$A:$A,0),MATCH("Str",WEAP!$A$1:$BF$1,0))</f>
        <v>590</v>
      </c>
      <c r="G618" s="237">
        <f>INDEX(WEAP!$A:$AN,MATCH(B614,WEAP!$A:$A,0),MATCH("Str V3",WEAP!$A$1:$BF$1,0))</f>
        <v>590</v>
      </c>
      <c r="I618" s="699"/>
      <c r="J618" s="700"/>
      <c r="K618" s="239"/>
      <c r="L618" s="699"/>
      <c r="M618" s="700"/>
    </row>
    <row r="619" spans="1:13" s="245" customFormat="1" ht="7.5" customHeight="1" x14ac:dyDescent="0.2">
      <c r="A619" s="245" t="s">
        <v>10763</v>
      </c>
    </row>
    <row r="620" spans="1:13" ht="22.5" x14ac:dyDescent="0.35">
      <c r="A620" s="244" t="str">
        <f>TEXT(A613+1,"000")</f>
        <v>089</v>
      </c>
      <c r="B620" s="238" t="str">
        <f>"W-"&amp;A620</f>
        <v>W-089</v>
      </c>
      <c r="C620" s="239"/>
      <c r="D620" s="692" t="str">
        <f>+INDEX(WEAP!$A:$AN,MATCH(B621,WEAP!$A:$A,0),MATCH("Name",WEAP!$A$1:$BF$1,0))</f>
        <v>Judge of Oceans</v>
      </c>
      <c r="E620" s="693"/>
      <c r="F620" s="693"/>
      <c r="G620" s="694"/>
      <c r="I620" s="241" t="str">
        <f>+INDEX(WEAP!$A:$AN,MATCH(B621,WEAP!$A:$A,0),MATCH("Weapon Skill",WEAP!$A$1:$BF$1,0))</f>
        <v>N/A</v>
      </c>
      <c r="J620" s="243">
        <f>INDEX('W-S'!$A:$N,MATCH(I620,'W-S'!$C:$C,0),MATCH("SP Cost",'W-S'!$1:$1,0))</f>
        <v>0</v>
      </c>
      <c r="K620" s="9"/>
      <c r="L620" s="241" t="str">
        <f>+I620</f>
        <v>N/A</v>
      </c>
      <c r="M620" s="243">
        <f>INDEX('W-S'!$A:$N,MATCH(L620,'W-S'!$C:$C,0),MATCH("SP Cost V3",'W-S'!$1:$1,0))</f>
        <v>0</v>
      </c>
    </row>
    <row r="621" spans="1:13" ht="22.5" x14ac:dyDescent="0.35">
      <c r="B621" s="238" t="str">
        <f>+INDEX(WEAP!$A:$AN,MATCH(B620,WEAP!$B:$B,0),MATCH("ID",WEAP!$A$1:$BF$1,0))</f>
        <v>301077_01</v>
      </c>
      <c r="C621" s="240"/>
      <c r="D621" s="692" t="str">
        <f>+INDEX(WEAP!$A:$AN,MATCH(B620,WEAP!$B:$B,0),MATCH("Family",WEAP!$A$1:$BF$1,0))&amp;" Weapon"</f>
        <v>Void Weapon</v>
      </c>
      <c r="E621" s="693"/>
      <c r="F621" s="693"/>
      <c r="G621" s="694"/>
      <c r="H621" s="8"/>
      <c r="I621" s="695" t="str">
        <f>INDEX('W-S'!$A:$O,MATCH(I620,'W-S'!$C:$C,0),MATCH("Description",'W-S'!$1:$1,0))</f>
        <v>This weapon has no weapon skill.</v>
      </c>
      <c r="J621" s="696"/>
      <c r="K621" s="239"/>
      <c r="L621" s="695" t="str">
        <f>INDEX('W-S'!$A:$O,MATCH(I620,'W-S'!$C:$C,0),MATCH("Description V3",'W-S'!$1:$1,0))</f>
        <v>This weapon has no weapon skill.</v>
      </c>
      <c r="M621" s="696"/>
    </row>
    <row r="622" spans="1:13" ht="22.5" x14ac:dyDescent="0.2">
      <c r="B622" s="701" t="e" vm="109">
        <f>+_xlfn.IMAGE("https://natalie.tf/wp-content/uploads/2023/10/DLV3_Icon_Weapon_"&amp;B621&amp;".png")</f>
        <v>#VALUE!</v>
      </c>
      <c r="C622" s="240"/>
      <c r="D622" s="692" t="str">
        <f>INDEX(WEAP!$A:$AN,MATCH(B621,WEAP!$A:$A,0),MATCH("Element",WEAP!$A$1:$BF$1,0))&amp;" "&amp;INDEX(WEAP!$A:$AN,MATCH(B621,WEAP!$A:$A,0),MATCH("Type",WEAP!$A$1:$BF$1,0))</f>
        <v>Water Sword</v>
      </c>
      <c r="E622" s="693"/>
      <c r="F622" s="693"/>
      <c r="G622" s="694"/>
      <c r="H622" s="8"/>
      <c r="I622" s="697"/>
      <c r="J622" s="698"/>
      <c r="K622" s="9"/>
      <c r="L622" s="697"/>
      <c r="M622" s="698"/>
    </row>
    <row r="623" spans="1:13" ht="22.5" x14ac:dyDescent="0.35">
      <c r="B623" s="702"/>
      <c r="C623" s="239"/>
      <c r="D623" s="703" t="s">
        <v>10760</v>
      </c>
      <c r="E623" s="704"/>
      <c r="F623" s="235" t="s">
        <v>10761</v>
      </c>
      <c r="G623" s="235" t="s">
        <v>10762</v>
      </c>
      <c r="I623" s="697"/>
      <c r="J623" s="698"/>
      <c r="K623" s="239"/>
      <c r="L623" s="697"/>
      <c r="M623" s="698"/>
    </row>
    <row r="624" spans="1:13" ht="22.5" x14ac:dyDescent="0.35">
      <c r="B624" s="702"/>
      <c r="C624" s="239"/>
      <c r="D624" s="705" t="s">
        <v>96</v>
      </c>
      <c r="E624" s="706"/>
      <c r="F624" s="236">
        <f>INDEX(WEAP!$A:$AN,MATCH(B621,WEAP!$A:$A,0),MATCH("HP",WEAP!$A$1:$BF$1,0))</f>
        <v>172</v>
      </c>
      <c r="G624" s="237">
        <f>INDEX(WEAP!$A:$AN,MATCH(B621,WEAP!$A:$A,0),MATCH("HP V3",WEAP!$A$1:$BF$1,0))</f>
        <v>200</v>
      </c>
      <c r="I624" s="697"/>
      <c r="J624" s="698"/>
      <c r="K624" s="239"/>
      <c r="L624" s="697"/>
      <c r="M624" s="698"/>
    </row>
    <row r="625" spans="1:13" ht="22.5" x14ac:dyDescent="0.35">
      <c r="B625" s="702"/>
      <c r="C625" s="239"/>
      <c r="D625" s="707" t="s">
        <v>97</v>
      </c>
      <c r="E625" s="708"/>
      <c r="F625" s="236">
        <f>INDEX(WEAP!$A:$AN,MATCH(B621,WEAP!$A:$A,0),MATCH("Str",WEAP!$A$1:$BF$1,0))</f>
        <v>673</v>
      </c>
      <c r="G625" s="237">
        <f>INDEX(WEAP!$A:$AN,MATCH(B621,WEAP!$A:$A,0),MATCH("Str V3",WEAP!$A$1:$BF$1,0))</f>
        <v>675</v>
      </c>
      <c r="I625" s="699"/>
      <c r="J625" s="700"/>
      <c r="K625" s="239"/>
      <c r="L625" s="699"/>
      <c r="M625" s="700"/>
    </row>
    <row r="626" spans="1:13" s="245" customFormat="1" ht="7.5" customHeight="1" x14ac:dyDescent="0.2">
      <c r="A626" s="245" t="s">
        <v>10763</v>
      </c>
    </row>
    <row r="627" spans="1:13" ht="22.5" x14ac:dyDescent="0.35">
      <c r="A627" s="244" t="str">
        <f>TEXT(A620+1,"000")</f>
        <v>090</v>
      </c>
      <c r="B627" s="238" t="str">
        <f>"W-"&amp;A627</f>
        <v>W-090</v>
      </c>
      <c r="C627" s="239"/>
      <c r="D627" s="692" t="str">
        <f>+INDEX(WEAP!$A:$AN,MATCH(B628,WEAP!$A:$A,0),MATCH("Name",WEAP!$A$1:$BF$1,0))</f>
        <v>Highwater Slicer</v>
      </c>
      <c r="E627" s="693"/>
      <c r="F627" s="693"/>
      <c r="G627" s="694"/>
      <c r="I627" s="241" t="str">
        <f>+INDEX(WEAP!$A:$AN,MATCH(B628,WEAP!$A:$A,0),MATCH("Weapon Skill",WEAP!$A$1:$BF$1,0))</f>
        <v>N/A</v>
      </c>
      <c r="J627" s="243">
        <f>INDEX('W-S'!$A:$N,MATCH(I627,'W-S'!$C:$C,0),MATCH("SP Cost",'W-S'!$1:$1,0))</f>
        <v>0</v>
      </c>
      <c r="K627" s="9"/>
      <c r="L627" s="241" t="str">
        <f>+I627</f>
        <v>N/A</v>
      </c>
      <c r="M627" s="243">
        <f>INDEX('W-S'!$A:$N,MATCH(L627,'W-S'!$C:$C,0),MATCH("SP Cost V3",'W-S'!$1:$1,0))</f>
        <v>0</v>
      </c>
    </row>
    <row r="628" spans="1:13" ht="22.5" x14ac:dyDescent="0.35">
      <c r="B628" s="238" t="str">
        <f>+INDEX(WEAP!$A:$AN,MATCH(B627,WEAP!$B:$B,0),MATCH("ID",WEAP!$A$1:$BF$1,0))</f>
        <v>302058_01</v>
      </c>
      <c r="C628" s="240"/>
      <c r="D628" s="692" t="str">
        <f>+INDEX(WEAP!$A:$AN,MATCH(B627,WEAP!$B:$B,0),MATCH("Family",WEAP!$A$1:$BF$1,0))&amp;" Weapon"</f>
        <v>Void Weapon</v>
      </c>
      <c r="E628" s="693"/>
      <c r="F628" s="693"/>
      <c r="G628" s="694"/>
      <c r="H628" s="8"/>
      <c r="I628" s="695" t="str">
        <f>INDEX('W-S'!$A:$O,MATCH(I627,'W-S'!$C:$C,0),MATCH("Description",'W-S'!$1:$1,0))</f>
        <v>This weapon has no weapon skill.</v>
      </c>
      <c r="J628" s="696"/>
      <c r="K628" s="239"/>
      <c r="L628" s="695" t="str">
        <f>INDEX('W-S'!$A:$O,MATCH(I627,'W-S'!$C:$C,0),MATCH("Description V3",'W-S'!$1:$1,0))</f>
        <v>This weapon has no weapon skill.</v>
      </c>
      <c r="M628" s="696"/>
    </row>
    <row r="629" spans="1:13" ht="22.5" x14ac:dyDescent="0.2">
      <c r="B629" s="701" t="e" vm="110">
        <f>+_xlfn.IMAGE("https://natalie.tf/wp-content/uploads/2023/10/DLV3_Icon_Weapon_"&amp;B628&amp;".png")</f>
        <v>#VALUE!</v>
      </c>
      <c r="C629" s="240"/>
      <c r="D629" s="692" t="str">
        <f>INDEX(WEAP!$A:$AN,MATCH(B628,WEAP!$A:$A,0),MATCH("Element",WEAP!$A$1:$BF$1,0))&amp;" "&amp;INDEX(WEAP!$A:$AN,MATCH(B628,WEAP!$A:$A,0),MATCH("Type",WEAP!$A$1:$BF$1,0))</f>
        <v>Water Blade</v>
      </c>
      <c r="E629" s="693"/>
      <c r="F629" s="693"/>
      <c r="G629" s="694"/>
      <c r="H629" s="8"/>
      <c r="I629" s="697"/>
      <c r="J629" s="698"/>
      <c r="K629" s="9"/>
      <c r="L629" s="697"/>
      <c r="M629" s="698"/>
    </row>
    <row r="630" spans="1:13" ht="22.5" x14ac:dyDescent="0.35">
      <c r="B630" s="702"/>
      <c r="C630" s="239"/>
      <c r="D630" s="703" t="s">
        <v>10760</v>
      </c>
      <c r="E630" s="704"/>
      <c r="F630" s="235" t="s">
        <v>10761</v>
      </c>
      <c r="G630" s="235" t="s">
        <v>10762</v>
      </c>
      <c r="I630" s="697"/>
      <c r="J630" s="698"/>
      <c r="K630" s="239"/>
      <c r="L630" s="697"/>
      <c r="M630" s="698"/>
    </row>
    <row r="631" spans="1:13" ht="22.5" x14ac:dyDescent="0.35">
      <c r="B631" s="702"/>
      <c r="C631" s="239"/>
      <c r="D631" s="705" t="s">
        <v>96</v>
      </c>
      <c r="E631" s="706"/>
      <c r="F631" s="236">
        <f>INDEX(WEAP!$A:$AN,MATCH(B628,WEAP!$A:$A,0),MATCH("HP",WEAP!$A$1:$BF$1,0))</f>
        <v>168</v>
      </c>
      <c r="G631" s="237">
        <f>INDEX(WEAP!$A:$AN,MATCH(B628,WEAP!$A:$A,0),MATCH("HP V3",WEAP!$A$1:$BF$1,0))</f>
        <v>175</v>
      </c>
      <c r="I631" s="697"/>
      <c r="J631" s="698"/>
      <c r="K631" s="239"/>
      <c r="L631" s="697"/>
      <c r="M631" s="698"/>
    </row>
    <row r="632" spans="1:13" ht="22.5" x14ac:dyDescent="0.35">
      <c r="B632" s="702"/>
      <c r="C632" s="239"/>
      <c r="D632" s="707" t="s">
        <v>97</v>
      </c>
      <c r="E632" s="708"/>
      <c r="F632" s="236">
        <f>INDEX(WEAP!$A:$AN,MATCH(B628,WEAP!$A:$A,0),MATCH("Str",WEAP!$A$1:$BF$1,0))</f>
        <v>672</v>
      </c>
      <c r="G632" s="237">
        <f>INDEX(WEAP!$A:$AN,MATCH(B628,WEAP!$A:$A,0),MATCH("Str V3",WEAP!$A$1:$BF$1,0))</f>
        <v>715</v>
      </c>
      <c r="I632" s="699"/>
      <c r="J632" s="700"/>
      <c r="K632" s="239"/>
      <c r="L632" s="699"/>
      <c r="M632" s="700"/>
    </row>
    <row r="633" spans="1:13" ht="33.75" customHeight="1" x14ac:dyDescent="0.2">
      <c r="A633" t="s">
        <v>10763</v>
      </c>
    </row>
    <row r="634" spans="1:13" ht="22.5" x14ac:dyDescent="0.35">
      <c r="A634" s="244" t="str">
        <f>TEXT(A627+1,"000")</f>
        <v>091</v>
      </c>
      <c r="B634" s="238" t="str">
        <f>"W-"&amp;A634</f>
        <v>W-091</v>
      </c>
      <c r="C634" s="239"/>
      <c r="D634" s="692" t="str">
        <f>+INDEX(WEAP!$A:$AN,MATCH(B635,WEAP!$A:$A,0),MATCH("Name",WEAP!$A$1:$BF$1,0))</f>
        <v>Frigid Sting</v>
      </c>
      <c r="E634" s="693"/>
      <c r="F634" s="693"/>
      <c r="G634" s="694"/>
      <c r="I634" s="241" t="str">
        <f>+INDEX(WEAP!$A:$AN,MATCH(B635,WEAP!$A:$A,0),MATCH("Weapon Skill",WEAP!$A$1:$BF$1,0))</f>
        <v>N/A</v>
      </c>
      <c r="J634" s="243">
        <f>INDEX('W-S'!$A:$N,MATCH(I634,'W-S'!$C:$C,0),MATCH("SP Cost",'W-S'!$1:$1,0))</f>
        <v>0</v>
      </c>
      <c r="K634" s="9"/>
      <c r="L634" s="241" t="str">
        <f>+I634</f>
        <v>N/A</v>
      </c>
      <c r="M634" s="243">
        <f>INDEX('W-S'!$A:$N,MATCH(L634,'W-S'!$C:$C,0),MATCH("SP Cost V3",'W-S'!$1:$1,0))</f>
        <v>0</v>
      </c>
    </row>
    <row r="635" spans="1:13" ht="22.5" x14ac:dyDescent="0.35">
      <c r="B635" s="238" t="str">
        <f>+INDEX(WEAP!$A:$AN,MATCH(B634,WEAP!$B:$B,0),MATCH("ID",WEAP!$A$1:$BF$1,0))</f>
        <v>303058_01</v>
      </c>
      <c r="C635" s="240"/>
      <c r="D635" s="692" t="str">
        <f>+INDEX(WEAP!$A:$AN,MATCH(B634,WEAP!$B:$B,0),MATCH("Family",WEAP!$A$1:$BF$1,0))&amp;" Weapon"</f>
        <v>Void Weapon</v>
      </c>
      <c r="E635" s="693"/>
      <c r="F635" s="693"/>
      <c r="G635" s="694"/>
      <c r="H635" s="8"/>
      <c r="I635" s="695" t="str">
        <f>INDEX('W-S'!$A:$O,MATCH(I634,'W-S'!$C:$C,0),MATCH("Description",'W-S'!$1:$1,0))</f>
        <v>This weapon has no weapon skill.</v>
      </c>
      <c r="J635" s="696"/>
      <c r="K635" s="239"/>
      <c r="L635" s="695" t="str">
        <f>INDEX('W-S'!$A:$O,MATCH(I634,'W-S'!$C:$C,0),MATCH("Description V3",'W-S'!$1:$1,0))</f>
        <v>This weapon has no weapon skill.</v>
      </c>
      <c r="M635" s="696"/>
    </row>
    <row r="636" spans="1:13" ht="22.5" x14ac:dyDescent="0.2">
      <c r="B636" s="701" t="e" vm="111">
        <f>+_xlfn.IMAGE("https://natalie.tf/wp-content/uploads/2023/10/DLV3_Icon_Weapon_"&amp;B635&amp;".png")</f>
        <v>#VALUE!</v>
      </c>
      <c r="C636" s="240"/>
      <c r="D636" s="692" t="str">
        <f>INDEX(WEAP!$A:$AN,MATCH(B635,WEAP!$A:$A,0),MATCH("Element",WEAP!$A$1:$BF$1,0))&amp;" "&amp;INDEX(WEAP!$A:$AN,MATCH(B635,WEAP!$A:$A,0),MATCH("Type",WEAP!$A$1:$BF$1,0))</f>
        <v>Water Dagger</v>
      </c>
      <c r="E636" s="693"/>
      <c r="F636" s="693"/>
      <c r="G636" s="694"/>
      <c r="H636" s="8"/>
      <c r="I636" s="697"/>
      <c r="J636" s="698"/>
      <c r="K636" s="9"/>
      <c r="L636" s="697"/>
      <c r="M636" s="698"/>
    </row>
    <row r="637" spans="1:13" ht="22.5" x14ac:dyDescent="0.35">
      <c r="B637" s="702"/>
      <c r="C637" s="239"/>
      <c r="D637" s="703" t="s">
        <v>10760</v>
      </c>
      <c r="E637" s="704"/>
      <c r="F637" s="235" t="s">
        <v>10761</v>
      </c>
      <c r="G637" s="235" t="s">
        <v>10762</v>
      </c>
      <c r="I637" s="697"/>
      <c r="J637" s="698"/>
      <c r="K637" s="239"/>
      <c r="L637" s="697"/>
      <c r="M637" s="698"/>
    </row>
    <row r="638" spans="1:13" ht="22.5" x14ac:dyDescent="0.35">
      <c r="B638" s="702"/>
      <c r="C638" s="239"/>
      <c r="D638" s="705" t="s">
        <v>96</v>
      </c>
      <c r="E638" s="706"/>
      <c r="F638" s="236">
        <f>INDEX(WEAP!$A:$AN,MATCH(B635,WEAP!$A:$A,0),MATCH("HP",WEAP!$A$1:$BF$1,0))</f>
        <v>183</v>
      </c>
      <c r="G638" s="237">
        <f>INDEX(WEAP!$A:$AN,MATCH(B635,WEAP!$A:$A,0),MATCH("HP V3",WEAP!$A$1:$BF$1,0))</f>
        <v>200</v>
      </c>
      <c r="I638" s="697"/>
      <c r="J638" s="698"/>
      <c r="K638" s="239"/>
      <c r="L638" s="697"/>
      <c r="M638" s="698"/>
    </row>
    <row r="639" spans="1:13" ht="22.5" x14ac:dyDescent="0.35">
      <c r="B639" s="702"/>
      <c r="C639" s="239"/>
      <c r="D639" s="707" t="s">
        <v>97</v>
      </c>
      <c r="E639" s="708"/>
      <c r="F639" s="236">
        <f>INDEX(WEAP!$A:$AN,MATCH(B635,WEAP!$A:$A,0),MATCH("Str",WEAP!$A$1:$BF$1,0))</f>
        <v>640</v>
      </c>
      <c r="G639" s="237">
        <f>INDEX(WEAP!$A:$AN,MATCH(B635,WEAP!$A:$A,0),MATCH("Str V3",WEAP!$A$1:$BF$1,0))</f>
        <v>660</v>
      </c>
      <c r="I639" s="699"/>
      <c r="J639" s="700"/>
      <c r="K639" s="239"/>
      <c r="L639" s="699"/>
      <c r="M639" s="700"/>
    </row>
    <row r="640" spans="1:13" s="245" customFormat="1" ht="7.5" customHeight="1" x14ac:dyDescent="0.2">
      <c r="A640" s="245" t="s">
        <v>10763</v>
      </c>
    </row>
    <row r="641" spans="1:13" ht="22.5" x14ac:dyDescent="0.35">
      <c r="A641" s="242" t="str">
        <f>TEXT(A634+1,"000")</f>
        <v>092</v>
      </c>
      <c r="B641" s="238" t="str">
        <f>"W-"&amp;A641</f>
        <v>W-092</v>
      </c>
      <c r="C641" s="239"/>
      <c r="D641" s="692" t="str">
        <f>+INDEX(WEAP!$A:$AN,MATCH(B642,WEAP!$A:$A,0),MATCH("Name",WEAP!$A$1:$BF$1,0))</f>
        <v>Permafrost Crash</v>
      </c>
      <c r="E641" s="693"/>
      <c r="F641" s="693"/>
      <c r="G641" s="694"/>
      <c r="I641" s="241" t="str">
        <f>+INDEX(WEAP!$A:$AN,MATCH(B642,WEAP!$A:$A,0),MATCH("Weapon Skill",WEAP!$A$1:$BF$1,0))</f>
        <v>N/A</v>
      </c>
      <c r="J641" s="243">
        <f>INDEX('W-S'!$A:$N,MATCH(I641,'W-S'!$C:$C,0),MATCH("SP Cost",'W-S'!$1:$1,0))</f>
        <v>0</v>
      </c>
      <c r="K641" s="9"/>
      <c r="L641" s="241" t="str">
        <f>+I641</f>
        <v>N/A</v>
      </c>
      <c r="M641" s="243">
        <f>INDEX('W-S'!$A:$N,MATCH(L641,'W-S'!$C:$C,0),MATCH("SP Cost V3",'W-S'!$1:$1,0))</f>
        <v>0</v>
      </c>
    </row>
    <row r="642" spans="1:13" ht="22.5" x14ac:dyDescent="0.35">
      <c r="B642" s="238" t="str">
        <f>+INDEX(WEAP!$A:$AN,MATCH(B641,WEAP!$B:$B,0),MATCH("ID",WEAP!$A$1:$BF$1,0))</f>
        <v>304066_01</v>
      </c>
      <c r="C642" s="240"/>
      <c r="D642" s="692" t="str">
        <f>+INDEX(WEAP!$A:$AN,MATCH(B641,WEAP!$B:$B,0),MATCH("Family",WEAP!$A$1:$BF$1,0))&amp;" Weapon"</f>
        <v>Void Weapon</v>
      </c>
      <c r="E642" s="693"/>
      <c r="F642" s="693"/>
      <c r="G642" s="694"/>
      <c r="H642" s="8"/>
      <c r="I642" s="695" t="str">
        <f>INDEX('W-S'!$A:$O,MATCH(I641,'W-S'!$C:$C,0),MATCH("Description",'W-S'!$1:$1,0))</f>
        <v>This weapon has no weapon skill.</v>
      </c>
      <c r="J642" s="696"/>
      <c r="K642" s="239"/>
      <c r="L642" s="695" t="str">
        <f>INDEX('W-S'!$A:$O,MATCH(I641,'W-S'!$C:$C,0),MATCH("Description V3",'W-S'!$1:$1,0))</f>
        <v>This weapon has no weapon skill.</v>
      </c>
      <c r="M642" s="696"/>
    </row>
    <row r="643" spans="1:13" ht="22.5" x14ac:dyDescent="0.2">
      <c r="B643" s="701" t="e" vm="112">
        <f>+_xlfn.IMAGE("https://natalie.tf/wp-content/uploads/2023/10/DLV3_Icon_Weapon_"&amp;B642&amp;".png")</f>
        <v>#VALUE!</v>
      </c>
      <c r="C643" s="240"/>
      <c r="D643" s="692" t="str">
        <f>INDEX(WEAP!$A:$AN,MATCH(B642,WEAP!$A:$A,0),MATCH("Element",WEAP!$A$1:$BF$1,0))&amp;" "&amp;INDEX(WEAP!$A:$AN,MATCH(B642,WEAP!$A:$A,0),MATCH("Type",WEAP!$A$1:$BF$1,0))</f>
        <v>Water Axe</v>
      </c>
      <c r="E643" s="693"/>
      <c r="F643" s="693"/>
      <c r="G643" s="694"/>
      <c r="H643" s="8"/>
      <c r="I643" s="697"/>
      <c r="J643" s="698"/>
      <c r="K643" s="9"/>
      <c r="L643" s="697"/>
      <c r="M643" s="698"/>
    </row>
    <row r="644" spans="1:13" ht="22.5" x14ac:dyDescent="0.35">
      <c r="B644" s="702"/>
      <c r="C644" s="239"/>
      <c r="D644" s="703" t="s">
        <v>10760</v>
      </c>
      <c r="E644" s="704"/>
      <c r="F644" s="235" t="s">
        <v>10761</v>
      </c>
      <c r="G644" s="235" t="s">
        <v>10762</v>
      </c>
      <c r="I644" s="697"/>
      <c r="J644" s="698"/>
      <c r="K644" s="239"/>
      <c r="L644" s="697"/>
      <c r="M644" s="698"/>
    </row>
    <row r="645" spans="1:13" ht="22.5" x14ac:dyDescent="0.35">
      <c r="B645" s="702"/>
      <c r="C645" s="239"/>
      <c r="D645" s="705" t="s">
        <v>96</v>
      </c>
      <c r="E645" s="706"/>
      <c r="F645" s="236">
        <f>INDEX(WEAP!$A:$AN,MATCH(B642,WEAP!$A:$A,0),MATCH("HP",WEAP!$A$1:$BF$1,0))</f>
        <v>196</v>
      </c>
      <c r="G645" s="237">
        <f>INDEX(WEAP!$A:$AN,MATCH(B642,WEAP!$A:$A,0),MATCH("HP V3",WEAP!$A$1:$BF$1,0))</f>
        <v>200</v>
      </c>
      <c r="I645" s="697"/>
      <c r="J645" s="698"/>
      <c r="K645" s="239"/>
      <c r="L645" s="697"/>
      <c r="M645" s="698"/>
    </row>
    <row r="646" spans="1:13" ht="22.5" x14ac:dyDescent="0.35">
      <c r="B646" s="702"/>
      <c r="C646" s="239"/>
      <c r="D646" s="707" t="s">
        <v>97</v>
      </c>
      <c r="E646" s="708"/>
      <c r="F646" s="236">
        <f>INDEX(WEAP!$A:$AN,MATCH(B642,WEAP!$A:$A,0),MATCH("Str",WEAP!$A$1:$BF$1,0))</f>
        <v>665</v>
      </c>
      <c r="G646" s="237">
        <f>INDEX(WEAP!$A:$AN,MATCH(B642,WEAP!$A:$A,0),MATCH("Str V3",WEAP!$A$1:$BF$1,0))</f>
        <v>710</v>
      </c>
      <c r="I646" s="699"/>
      <c r="J646" s="700"/>
      <c r="K646" s="239"/>
      <c r="L646" s="699"/>
      <c r="M646" s="700"/>
    </row>
    <row r="647" spans="1:13" s="245" customFormat="1" ht="7.5" customHeight="1" x14ac:dyDescent="0.2">
      <c r="A647" s="245" t="s">
        <v>10763</v>
      </c>
    </row>
    <row r="648" spans="1:13" ht="22.5" x14ac:dyDescent="0.35">
      <c r="A648" s="244" t="str">
        <f>TEXT(A641+1,"000")</f>
        <v>093</v>
      </c>
      <c r="B648" s="238" t="str">
        <f>"W-"&amp;A648</f>
        <v>W-093</v>
      </c>
      <c r="C648" s="239"/>
      <c r="D648" s="692" t="str">
        <f>+INDEX(WEAP!$A:$AN,MATCH(B649,WEAP!$A:$A,0),MATCH("Name",WEAP!$A$1:$BF$1,0))</f>
        <v>Strohm Mare</v>
      </c>
      <c r="E648" s="693"/>
      <c r="F648" s="693"/>
      <c r="G648" s="694"/>
      <c r="I648" s="241" t="str">
        <f>+INDEX(WEAP!$A:$AN,MATCH(B649,WEAP!$A:$A,0),MATCH("Weapon Skill",WEAP!$A$1:$BF$1,0))</f>
        <v>N/A</v>
      </c>
      <c r="J648" s="243">
        <f>INDEX('W-S'!$A:$N,MATCH(I648,'W-S'!$C:$C,0),MATCH("SP Cost",'W-S'!$1:$1,0))</f>
        <v>0</v>
      </c>
      <c r="K648" s="9"/>
      <c r="L648" s="241" t="str">
        <f>+I648</f>
        <v>N/A</v>
      </c>
      <c r="M648" s="243">
        <f>INDEX('W-S'!$A:$N,MATCH(L648,'W-S'!$C:$C,0),MATCH("SP Cost V3",'W-S'!$1:$1,0))</f>
        <v>0</v>
      </c>
    </row>
    <row r="649" spans="1:13" ht="22.5" x14ac:dyDescent="0.35">
      <c r="B649" s="238" t="str">
        <f>+INDEX(WEAP!$A:$AN,MATCH(B648,WEAP!$B:$B,0),MATCH("ID",WEAP!$A$1:$BF$1,0))</f>
        <v>305066_01</v>
      </c>
      <c r="C649" s="240"/>
      <c r="D649" s="692" t="str">
        <f>+INDEX(WEAP!$A:$AN,MATCH(B648,WEAP!$B:$B,0),MATCH("Family",WEAP!$A$1:$BF$1,0))&amp;" Weapon"</f>
        <v>Void Weapon</v>
      </c>
      <c r="E649" s="693"/>
      <c r="F649" s="693"/>
      <c r="G649" s="694"/>
      <c r="H649" s="8"/>
      <c r="I649" s="695" t="str">
        <f>INDEX('W-S'!$A:$O,MATCH(I648,'W-S'!$C:$C,0),MATCH("Description",'W-S'!$1:$1,0))</f>
        <v>This weapon has no weapon skill.</v>
      </c>
      <c r="J649" s="696"/>
      <c r="K649" s="239"/>
      <c r="L649" s="695" t="str">
        <f>INDEX('W-S'!$A:$O,MATCH(I648,'W-S'!$C:$C,0),MATCH("Description V3",'W-S'!$1:$1,0))</f>
        <v>This weapon has no weapon skill.</v>
      </c>
      <c r="M649" s="696"/>
    </row>
    <row r="650" spans="1:13" ht="22.5" x14ac:dyDescent="0.2">
      <c r="B650" s="701" t="e" vm="113">
        <f>+_xlfn.IMAGE("https://natalie.tf/wp-content/uploads/2023/10/DLV3_Icon_Weapon_"&amp;B649&amp;".png")</f>
        <v>#VALUE!</v>
      </c>
      <c r="C650" s="240"/>
      <c r="D650" s="692" t="str">
        <f>INDEX(WEAP!$A:$AN,MATCH(B649,WEAP!$A:$A,0),MATCH("Element",WEAP!$A$1:$BF$1,0))&amp;" "&amp;INDEX(WEAP!$A:$AN,MATCH(B649,WEAP!$A:$A,0),MATCH("Type",WEAP!$A$1:$BF$1,0))</f>
        <v>Water Lance</v>
      </c>
      <c r="E650" s="693"/>
      <c r="F650" s="693"/>
      <c r="G650" s="694"/>
      <c r="H650" s="8"/>
      <c r="I650" s="697"/>
      <c r="J650" s="698"/>
      <c r="K650" s="9"/>
      <c r="L650" s="697"/>
      <c r="M650" s="698"/>
    </row>
    <row r="651" spans="1:13" ht="22.5" x14ac:dyDescent="0.35">
      <c r="B651" s="702"/>
      <c r="C651" s="239"/>
      <c r="D651" s="703" t="s">
        <v>10760</v>
      </c>
      <c r="E651" s="704"/>
      <c r="F651" s="235" t="s">
        <v>10761</v>
      </c>
      <c r="G651" s="235" t="s">
        <v>10762</v>
      </c>
      <c r="I651" s="697"/>
      <c r="J651" s="698"/>
      <c r="K651" s="239"/>
      <c r="L651" s="697"/>
      <c r="M651" s="698"/>
    </row>
    <row r="652" spans="1:13" ht="22.5" x14ac:dyDescent="0.35">
      <c r="B652" s="702"/>
      <c r="C652" s="239"/>
      <c r="D652" s="705" t="s">
        <v>96</v>
      </c>
      <c r="E652" s="706"/>
      <c r="F652" s="236">
        <f>INDEX(WEAP!$A:$AN,MATCH(B649,WEAP!$A:$A,0),MATCH("HP",WEAP!$A$1:$BF$1,0))</f>
        <v>194</v>
      </c>
      <c r="G652" s="237">
        <f>INDEX(WEAP!$A:$AN,MATCH(B649,WEAP!$A:$A,0),MATCH("HP V3",WEAP!$A$1:$BF$1,0))</f>
        <v>200</v>
      </c>
      <c r="I652" s="697"/>
      <c r="J652" s="698"/>
      <c r="K652" s="239"/>
      <c r="L652" s="697"/>
      <c r="M652" s="698"/>
    </row>
    <row r="653" spans="1:13" ht="22.5" x14ac:dyDescent="0.35">
      <c r="B653" s="702"/>
      <c r="C653" s="239"/>
      <c r="D653" s="707" t="s">
        <v>97</v>
      </c>
      <c r="E653" s="708"/>
      <c r="F653" s="236">
        <f>INDEX(WEAP!$A:$AN,MATCH(B649,WEAP!$A:$A,0),MATCH("Str",WEAP!$A$1:$BF$1,0))</f>
        <v>646</v>
      </c>
      <c r="G653" s="237">
        <f>INDEX(WEAP!$A:$AN,MATCH(B649,WEAP!$A:$A,0),MATCH("Str V3",WEAP!$A$1:$BF$1,0))</f>
        <v>670</v>
      </c>
      <c r="I653" s="699"/>
      <c r="J653" s="700"/>
      <c r="K653" s="239"/>
      <c r="L653" s="699"/>
      <c r="M653" s="700"/>
    </row>
    <row r="654" spans="1:13" s="245" customFormat="1" ht="7.5" customHeight="1" x14ac:dyDescent="0.2">
      <c r="A654" s="245" t="s">
        <v>10763</v>
      </c>
    </row>
    <row r="655" spans="1:13" ht="22.5" x14ac:dyDescent="0.35">
      <c r="A655" s="244" t="str">
        <f>TEXT(A648+1,"000")</f>
        <v>094</v>
      </c>
      <c r="B655" s="238" t="str">
        <f>"W-"&amp;A655</f>
        <v>W-094</v>
      </c>
      <c r="C655" s="239"/>
      <c r="D655" s="692" t="str">
        <f>+INDEX(WEAP!$A:$AN,MATCH(B656,WEAP!$A:$A,0),MATCH("Name",WEAP!$A$1:$BF$1,0))</f>
        <v>Everfrost Bow</v>
      </c>
      <c r="E655" s="693"/>
      <c r="F655" s="693"/>
      <c r="G655" s="694"/>
      <c r="I655" s="241" t="str">
        <f>+INDEX(WEAP!$A:$AN,MATCH(B656,WEAP!$A:$A,0),MATCH("Weapon Skill",WEAP!$A$1:$BF$1,0))</f>
        <v>N/A</v>
      </c>
      <c r="J655" s="243">
        <f>INDEX('W-S'!$A:$N,MATCH(I655,'W-S'!$C:$C,0),MATCH("SP Cost",'W-S'!$1:$1,0))</f>
        <v>0</v>
      </c>
      <c r="K655" s="9"/>
      <c r="L655" s="241" t="str">
        <f>+I655</f>
        <v>N/A</v>
      </c>
      <c r="M655" s="243">
        <f>INDEX('W-S'!$A:$N,MATCH(L655,'W-S'!$C:$C,0),MATCH("SP Cost V3",'W-S'!$1:$1,0))</f>
        <v>0</v>
      </c>
    </row>
    <row r="656" spans="1:13" ht="22.5" x14ac:dyDescent="0.35">
      <c r="B656" s="238" t="str">
        <f>+INDEX(WEAP!$A:$AN,MATCH(B655,WEAP!$B:$B,0),MATCH("ID",WEAP!$A$1:$BF$1,0))</f>
        <v>306071_01</v>
      </c>
      <c r="C656" s="240"/>
      <c r="D656" s="692" t="str">
        <f>+INDEX(WEAP!$A:$AN,MATCH(B655,WEAP!$B:$B,0),MATCH("Family",WEAP!$A$1:$BF$1,0))&amp;" Weapon"</f>
        <v>Void Weapon</v>
      </c>
      <c r="E656" s="693"/>
      <c r="F656" s="693"/>
      <c r="G656" s="694"/>
      <c r="H656" s="8"/>
      <c r="I656" s="695" t="str">
        <f>INDEX('W-S'!$A:$O,MATCH(I655,'W-S'!$C:$C,0),MATCH("Description",'W-S'!$1:$1,0))</f>
        <v>This weapon has no weapon skill.</v>
      </c>
      <c r="J656" s="696"/>
      <c r="K656" s="239"/>
      <c r="L656" s="695" t="str">
        <f>INDEX('W-S'!$A:$O,MATCH(I655,'W-S'!$C:$C,0),MATCH("Description V3",'W-S'!$1:$1,0))</f>
        <v>This weapon has no weapon skill.</v>
      </c>
      <c r="M656" s="696"/>
    </row>
    <row r="657" spans="1:13" ht="22.5" x14ac:dyDescent="0.2">
      <c r="B657" s="701" t="e" vm="114">
        <f>+_xlfn.IMAGE("https://natalie.tf/wp-content/uploads/2023/10/DLV3_Icon_Weapon_"&amp;B656&amp;".png")</f>
        <v>#VALUE!</v>
      </c>
      <c r="C657" s="240"/>
      <c r="D657" s="692" t="str">
        <f>INDEX(WEAP!$A:$AN,MATCH(B656,WEAP!$A:$A,0),MATCH("Element",WEAP!$A$1:$BF$1,0))&amp;" "&amp;INDEX(WEAP!$A:$AN,MATCH(B656,WEAP!$A:$A,0),MATCH("Type",WEAP!$A$1:$BF$1,0))</f>
        <v>Water Bow</v>
      </c>
      <c r="E657" s="693"/>
      <c r="F657" s="693"/>
      <c r="G657" s="694"/>
      <c r="H657" s="8"/>
      <c r="I657" s="697"/>
      <c r="J657" s="698"/>
      <c r="K657" s="9"/>
      <c r="L657" s="697"/>
      <c r="M657" s="698"/>
    </row>
    <row r="658" spans="1:13" ht="22.5" x14ac:dyDescent="0.35">
      <c r="B658" s="702"/>
      <c r="C658" s="239"/>
      <c r="D658" s="703" t="s">
        <v>10760</v>
      </c>
      <c r="E658" s="704"/>
      <c r="F658" s="235" t="s">
        <v>10761</v>
      </c>
      <c r="G658" s="235" t="s">
        <v>10762</v>
      </c>
      <c r="I658" s="697"/>
      <c r="J658" s="698"/>
      <c r="K658" s="239"/>
      <c r="L658" s="697"/>
      <c r="M658" s="698"/>
    </row>
    <row r="659" spans="1:13" ht="22.5" x14ac:dyDescent="0.35">
      <c r="B659" s="702"/>
      <c r="C659" s="239"/>
      <c r="D659" s="705" t="s">
        <v>96</v>
      </c>
      <c r="E659" s="706"/>
      <c r="F659" s="236">
        <f>INDEX(WEAP!$A:$AN,MATCH(B656,WEAP!$A:$A,0),MATCH("HP",WEAP!$A$1:$BF$1,0))</f>
        <v>178</v>
      </c>
      <c r="G659" s="237">
        <f>INDEX(WEAP!$A:$AN,MATCH(B656,WEAP!$A:$A,0),MATCH("HP V3",WEAP!$A$1:$BF$1,0))</f>
        <v>190</v>
      </c>
      <c r="I659" s="697"/>
      <c r="J659" s="698"/>
      <c r="K659" s="239"/>
      <c r="L659" s="697"/>
      <c r="M659" s="698"/>
    </row>
    <row r="660" spans="1:13" ht="22.5" x14ac:dyDescent="0.35">
      <c r="B660" s="702"/>
      <c r="C660" s="239"/>
      <c r="D660" s="707" t="s">
        <v>97</v>
      </c>
      <c r="E660" s="708"/>
      <c r="F660" s="236">
        <f>INDEX(WEAP!$A:$AN,MATCH(B656,WEAP!$A:$A,0),MATCH("Str",WEAP!$A$1:$BF$1,0))</f>
        <v>627</v>
      </c>
      <c r="G660" s="237">
        <f>INDEX(WEAP!$A:$AN,MATCH(B656,WEAP!$A:$A,0),MATCH("Str V3",WEAP!$A$1:$BF$1,0))</f>
        <v>630</v>
      </c>
      <c r="I660" s="699"/>
      <c r="J660" s="700"/>
      <c r="K660" s="239"/>
      <c r="L660" s="699"/>
      <c r="M660" s="700"/>
    </row>
    <row r="661" spans="1:13" s="245" customFormat="1" ht="7.5" customHeight="1" x14ac:dyDescent="0.2">
      <c r="A661" s="245" t="s">
        <v>10763</v>
      </c>
    </row>
    <row r="662" spans="1:13" ht="22.5" x14ac:dyDescent="0.35">
      <c r="A662" s="244" t="str">
        <f>TEXT(A655+1,"000")</f>
        <v>095</v>
      </c>
      <c r="B662" s="238" t="str">
        <f>"W-"&amp;A662</f>
        <v>W-095</v>
      </c>
      <c r="C662" s="239"/>
      <c r="D662" s="692" t="str">
        <f>+INDEX(WEAP!$A:$AN,MATCH(B663,WEAP!$A:$A,0),MATCH("Name",WEAP!$A$1:$BF$1,0))</f>
        <v>Spirit Breaker</v>
      </c>
      <c r="E662" s="693"/>
      <c r="F662" s="693"/>
      <c r="G662" s="694"/>
      <c r="I662" s="241" t="str">
        <f>+INDEX(WEAP!$A:$AN,MATCH(B663,WEAP!$A:$A,0),MATCH("Weapon Skill",WEAP!$A$1:$BF$1,0))</f>
        <v>N/A</v>
      </c>
      <c r="J662" s="243">
        <f>INDEX('W-S'!$A:$N,MATCH(I662,'W-S'!$C:$C,0),MATCH("SP Cost",'W-S'!$1:$1,0))</f>
        <v>0</v>
      </c>
      <c r="K662" s="9"/>
      <c r="L662" s="241" t="str">
        <f>+I662</f>
        <v>N/A</v>
      </c>
      <c r="M662" s="243">
        <f>INDEX('W-S'!$A:$N,MATCH(L662,'W-S'!$C:$C,0),MATCH("SP Cost V3",'W-S'!$1:$1,0))</f>
        <v>0</v>
      </c>
    </row>
    <row r="663" spans="1:13" ht="22.5" x14ac:dyDescent="0.35">
      <c r="B663" s="238" t="str">
        <f>+INDEX(WEAP!$A:$AN,MATCH(B662,WEAP!$B:$B,0),MATCH("ID",WEAP!$A$1:$BF$1,0))</f>
        <v>307077_01</v>
      </c>
      <c r="C663" s="240"/>
      <c r="D663" s="692" t="str">
        <f>+INDEX(WEAP!$A:$AN,MATCH(B662,WEAP!$B:$B,0),MATCH("Family",WEAP!$A$1:$BF$1,0))&amp;" Weapon"</f>
        <v>Void Weapon</v>
      </c>
      <c r="E663" s="693"/>
      <c r="F663" s="693"/>
      <c r="G663" s="694"/>
      <c r="H663" s="8"/>
      <c r="I663" s="695" t="str">
        <f>INDEX('W-S'!$A:$O,MATCH(I662,'W-S'!$C:$C,0),MATCH("Description",'W-S'!$1:$1,0))</f>
        <v>This weapon has no weapon skill.</v>
      </c>
      <c r="J663" s="696"/>
      <c r="K663" s="239"/>
      <c r="L663" s="695" t="str">
        <f>INDEX('W-S'!$A:$O,MATCH(I662,'W-S'!$C:$C,0),MATCH("Description V3",'W-S'!$1:$1,0))</f>
        <v>This weapon has no weapon skill.</v>
      </c>
      <c r="M663" s="696"/>
    </row>
    <row r="664" spans="1:13" ht="22.5" x14ac:dyDescent="0.2">
      <c r="B664" s="701" t="e" vm="115">
        <f>+_xlfn.IMAGE("https://natalie.tf/wp-content/uploads/2023/10/DLV3_Icon_Weapon_"&amp;B663&amp;".png")</f>
        <v>#VALUE!</v>
      </c>
      <c r="C664" s="240"/>
      <c r="D664" s="692" t="str">
        <f>INDEX(WEAP!$A:$AN,MATCH(B663,WEAP!$A:$A,0),MATCH("Element",WEAP!$A$1:$BF$1,0))&amp;" "&amp;INDEX(WEAP!$A:$AN,MATCH(B663,WEAP!$A:$A,0),MATCH("Type",WEAP!$A$1:$BF$1,0))</f>
        <v>Water Wand</v>
      </c>
      <c r="E664" s="693"/>
      <c r="F664" s="693"/>
      <c r="G664" s="694"/>
      <c r="H664" s="8"/>
      <c r="I664" s="697"/>
      <c r="J664" s="698"/>
      <c r="K664" s="9"/>
      <c r="L664" s="697"/>
      <c r="M664" s="698"/>
    </row>
    <row r="665" spans="1:13" ht="22.5" x14ac:dyDescent="0.35">
      <c r="B665" s="702"/>
      <c r="C665" s="239"/>
      <c r="D665" s="703" t="s">
        <v>10760</v>
      </c>
      <c r="E665" s="704"/>
      <c r="F665" s="235" t="s">
        <v>10761</v>
      </c>
      <c r="G665" s="235" t="s">
        <v>10762</v>
      </c>
      <c r="I665" s="697"/>
      <c r="J665" s="698"/>
      <c r="K665" s="239"/>
      <c r="L665" s="697"/>
      <c r="M665" s="698"/>
    </row>
    <row r="666" spans="1:13" ht="22.5" x14ac:dyDescent="0.35">
      <c r="B666" s="702"/>
      <c r="C666" s="239"/>
      <c r="D666" s="705" t="s">
        <v>96</v>
      </c>
      <c r="E666" s="706"/>
      <c r="F666" s="236">
        <f>INDEX(WEAP!$A:$AN,MATCH(B663,WEAP!$A:$A,0),MATCH("HP",WEAP!$A$1:$BF$1,0))</f>
        <v>184</v>
      </c>
      <c r="G666" s="237">
        <f>INDEX(WEAP!$A:$AN,MATCH(B663,WEAP!$A:$A,0),MATCH("HP V3",WEAP!$A$1:$BF$1,0))</f>
        <v>185</v>
      </c>
      <c r="I666" s="697"/>
      <c r="J666" s="698"/>
      <c r="K666" s="239"/>
      <c r="L666" s="697"/>
      <c r="M666" s="698"/>
    </row>
    <row r="667" spans="1:13" ht="22.5" x14ac:dyDescent="0.35">
      <c r="B667" s="702"/>
      <c r="C667" s="239"/>
      <c r="D667" s="707" t="s">
        <v>97</v>
      </c>
      <c r="E667" s="708"/>
      <c r="F667" s="236">
        <f>INDEX(WEAP!$A:$AN,MATCH(B663,WEAP!$A:$A,0),MATCH("Str",WEAP!$A$1:$BF$1,0))</f>
        <v>639</v>
      </c>
      <c r="G667" s="237">
        <f>INDEX(WEAP!$A:$AN,MATCH(B663,WEAP!$A:$A,0),MATCH("Str V3",WEAP!$A$1:$BF$1,0))</f>
        <v>695</v>
      </c>
      <c r="I667" s="699"/>
      <c r="J667" s="700"/>
      <c r="K667" s="239"/>
      <c r="L667" s="699"/>
      <c r="M667" s="700"/>
    </row>
    <row r="668" spans="1:13" ht="33.75" customHeight="1" x14ac:dyDescent="0.2">
      <c r="A668" t="s">
        <v>10763</v>
      </c>
    </row>
    <row r="669" spans="1:13" ht="22.5" x14ac:dyDescent="0.35">
      <c r="A669" s="244" t="str">
        <f>TEXT(A662+1,"000")</f>
        <v>096</v>
      </c>
      <c r="B669" s="238" t="str">
        <f>"W-"&amp;A669</f>
        <v>W-096</v>
      </c>
      <c r="C669" s="239"/>
      <c r="D669" s="692" t="str">
        <f>+INDEX(WEAP!$A:$AN,MATCH(B670,WEAP!$A:$A,0),MATCH("Name",WEAP!$A$1:$BF$1,0))</f>
        <v>Endless Azure Core</v>
      </c>
      <c r="E669" s="693"/>
      <c r="F669" s="693"/>
      <c r="G669" s="694"/>
      <c r="I669" s="241" t="str">
        <f>+INDEX(WEAP!$A:$AN,MATCH(B670,WEAP!$A:$A,0),MATCH("Weapon Skill",WEAP!$A$1:$BF$1,0))</f>
        <v>N/A</v>
      </c>
      <c r="J669" s="243">
        <f>INDEX('W-S'!$A:$N,MATCH(I669,'W-S'!$C:$C,0),MATCH("SP Cost",'W-S'!$1:$1,0))</f>
        <v>0</v>
      </c>
      <c r="K669" s="9"/>
      <c r="L669" s="241" t="str">
        <f>+I669</f>
        <v>N/A</v>
      </c>
      <c r="M669" s="243">
        <f>INDEX('W-S'!$A:$N,MATCH(L669,'W-S'!$C:$C,0),MATCH("SP Cost V3",'W-S'!$1:$1,0))</f>
        <v>0</v>
      </c>
    </row>
    <row r="670" spans="1:13" ht="22.5" x14ac:dyDescent="0.35">
      <c r="B670" s="238" t="str">
        <f>+INDEX(WEAP!$A:$AN,MATCH(B669,WEAP!$B:$B,0),MATCH("ID",WEAP!$A$1:$BF$1,0))</f>
        <v>308055_01</v>
      </c>
      <c r="C670" s="240"/>
      <c r="D670" s="692" t="str">
        <f>+INDEX(WEAP!$A:$AN,MATCH(B669,WEAP!$B:$B,0),MATCH("Family",WEAP!$A$1:$BF$1,0))&amp;" Weapon"</f>
        <v>Void Weapon</v>
      </c>
      <c r="E670" s="693"/>
      <c r="F670" s="693"/>
      <c r="G670" s="694"/>
      <c r="H670" s="8"/>
      <c r="I670" s="695" t="str">
        <f>INDEX('W-S'!$A:$O,MATCH(I669,'W-S'!$C:$C,0),MATCH("Description",'W-S'!$1:$1,0))</f>
        <v>This weapon has no weapon skill.</v>
      </c>
      <c r="J670" s="696"/>
      <c r="K670" s="239"/>
      <c r="L670" s="695" t="str">
        <f>INDEX('W-S'!$A:$O,MATCH(I669,'W-S'!$C:$C,0),MATCH("Description V3",'W-S'!$1:$1,0))</f>
        <v>This weapon has no weapon skill.</v>
      </c>
      <c r="M670" s="696"/>
    </row>
    <row r="671" spans="1:13" ht="22.5" x14ac:dyDescent="0.2">
      <c r="B671" s="701" t="e" vm="116">
        <f>+_xlfn.IMAGE("https://natalie.tf/wp-content/uploads/2023/10/DLV3_Icon_Weapon_"&amp;B670&amp;".png")</f>
        <v>#VALUE!</v>
      </c>
      <c r="C671" s="240"/>
      <c r="D671" s="692" t="str">
        <f>INDEX(WEAP!$A:$AN,MATCH(B670,WEAP!$A:$A,0),MATCH("Element",WEAP!$A$1:$BF$1,0))&amp;" "&amp;INDEX(WEAP!$A:$AN,MATCH(B670,WEAP!$A:$A,0),MATCH("Type",WEAP!$A$1:$BF$1,0))</f>
        <v>Water Staff</v>
      </c>
      <c r="E671" s="693"/>
      <c r="F671" s="693"/>
      <c r="G671" s="694"/>
      <c r="H671" s="8"/>
      <c r="I671" s="697"/>
      <c r="J671" s="698"/>
      <c r="K671" s="9"/>
      <c r="L671" s="697"/>
      <c r="M671" s="698"/>
    </row>
    <row r="672" spans="1:13" ht="22.5" x14ac:dyDescent="0.35">
      <c r="B672" s="702"/>
      <c r="C672" s="239"/>
      <c r="D672" s="703" t="s">
        <v>10760</v>
      </c>
      <c r="E672" s="704"/>
      <c r="F672" s="235" t="s">
        <v>10761</v>
      </c>
      <c r="G672" s="235" t="s">
        <v>10762</v>
      </c>
      <c r="I672" s="697"/>
      <c r="J672" s="698"/>
      <c r="K672" s="239"/>
      <c r="L672" s="697"/>
      <c r="M672" s="698"/>
    </row>
    <row r="673" spans="1:13" ht="22.5" x14ac:dyDescent="0.35">
      <c r="B673" s="702"/>
      <c r="C673" s="239"/>
      <c r="D673" s="705" t="s">
        <v>96</v>
      </c>
      <c r="E673" s="706"/>
      <c r="F673" s="236">
        <f>INDEX(WEAP!$A:$AN,MATCH(B670,WEAP!$A:$A,0),MATCH("HP",WEAP!$A$1:$BF$1,0))</f>
        <v>216</v>
      </c>
      <c r="G673" s="237">
        <f>INDEX(WEAP!$A:$AN,MATCH(B670,WEAP!$A:$A,0),MATCH("HP V3",WEAP!$A$1:$BF$1,0))</f>
        <v>220</v>
      </c>
      <c r="I673" s="697"/>
      <c r="J673" s="698"/>
      <c r="K673" s="239"/>
      <c r="L673" s="697"/>
      <c r="M673" s="698"/>
    </row>
    <row r="674" spans="1:13" ht="22.5" x14ac:dyDescent="0.35">
      <c r="B674" s="702"/>
      <c r="C674" s="239"/>
      <c r="D674" s="707" t="s">
        <v>97</v>
      </c>
      <c r="E674" s="708"/>
      <c r="F674" s="236">
        <f>INDEX(WEAP!$A:$AN,MATCH(B670,WEAP!$A:$A,0),MATCH("Str",WEAP!$A$1:$BF$1,0))</f>
        <v>590</v>
      </c>
      <c r="G674" s="237">
        <f>INDEX(WEAP!$A:$AN,MATCH(B670,WEAP!$A:$A,0),MATCH("Str V3",WEAP!$A$1:$BF$1,0))</f>
        <v>590</v>
      </c>
      <c r="I674" s="699"/>
      <c r="J674" s="700"/>
      <c r="K674" s="239"/>
      <c r="L674" s="699"/>
      <c r="M674" s="700"/>
    </row>
    <row r="675" spans="1:13" s="245" customFormat="1" ht="7.5" customHeight="1" x14ac:dyDescent="0.2">
      <c r="A675" s="245" t="s">
        <v>10763</v>
      </c>
    </row>
    <row r="676" spans="1:13" ht="22.5" x14ac:dyDescent="0.35">
      <c r="A676" s="242" t="str">
        <f>TEXT(A669+1,"000")</f>
        <v>097</v>
      </c>
      <c r="B676" s="238" t="str">
        <f>"W-"&amp;A676</f>
        <v>W-097</v>
      </c>
      <c r="C676" s="239"/>
      <c r="D676" s="692" t="str">
        <f>+INDEX(WEAP!$A:$AN,MATCH(B677,WEAP!$A:$A,0),MATCH("Name",WEAP!$A$1:$BF$1,0))</f>
        <v>Roaring Weald</v>
      </c>
      <c r="E676" s="693"/>
      <c r="F676" s="693"/>
      <c r="G676" s="694"/>
      <c r="I676" s="241" t="str">
        <f>+INDEX(WEAP!$A:$AN,MATCH(B677,WEAP!$A:$A,0),MATCH("Weapon Skill",WEAP!$A$1:$BF$1,0))</f>
        <v>N/A</v>
      </c>
      <c r="J676" s="243">
        <f>INDEX('W-S'!$A:$N,MATCH(I676,'W-S'!$C:$C,0),MATCH("SP Cost",'W-S'!$1:$1,0))</f>
        <v>0</v>
      </c>
      <c r="K676" s="9"/>
      <c r="L676" s="241" t="str">
        <f>+I676</f>
        <v>N/A</v>
      </c>
      <c r="M676" s="243">
        <f>INDEX('W-S'!$A:$N,MATCH(L676,'W-S'!$C:$C,0),MATCH("SP Cost V3",'W-S'!$1:$1,0))</f>
        <v>0</v>
      </c>
    </row>
    <row r="677" spans="1:13" ht="22.5" x14ac:dyDescent="0.35">
      <c r="B677" s="238" t="str">
        <f>+INDEX(WEAP!$A:$AN,MATCH(B676,WEAP!$B:$B,0),MATCH("ID",WEAP!$A$1:$BF$1,0))</f>
        <v>301098_01</v>
      </c>
      <c r="C677" s="240"/>
      <c r="D677" s="692" t="str">
        <f>+INDEX(WEAP!$A:$AN,MATCH(B676,WEAP!$B:$B,0),MATCH("Family",WEAP!$A$1:$BF$1,0))&amp;" Weapon"</f>
        <v>Void Weapon</v>
      </c>
      <c r="E677" s="693"/>
      <c r="F677" s="693"/>
      <c r="G677" s="694"/>
      <c r="H677" s="8"/>
      <c r="I677" s="695" t="str">
        <f>INDEX('W-S'!$A:$O,MATCH(I676,'W-S'!$C:$C,0),MATCH("Description",'W-S'!$1:$1,0))</f>
        <v>This weapon has no weapon skill.</v>
      </c>
      <c r="J677" s="696"/>
      <c r="K677" s="239"/>
      <c r="L677" s="695" t="str">
        <f>INDEX('W-S'!$A:$O,MATCH(I676,'W-S'!$C:$C,0),MATCH("Description V3",'W-S'!$1:$1,0))</f>
        <v>This weapon has no weapon skill.</v>
      </c>
      <c r="M677" s="696"/>
    </row>
    <row r="678" spans="1:13" ht="22.5" x14ac:dyDescent="0.2">
      <c r="B678" s="701" t="e" vm="117">
        <f>+_xlfn.IMAGE("https://natalie.tf/wp-content/uploads/2023/10/DLV3_Icon_Weapon_"&amp;B677&amp;".png")</f>
        <v>#VALUE!</v>
      </c>
      <c r="C678" s="240"/>
      <c r="D678" s="692" t="str">
        <f>INDEX(WEAP!$A:$AN,MATCH(B677,WEAP!$A:$A,0),MATCH("Element",WEAP!$A$1:$BF$1,0))&amp;" "&amp;INDEX(WEAP!$A:$AN,MATCH(B677,WEAP!$A:$A,0),MATCH("Type",WEAP!$A$1:$BF$1,0))</f>
        <v>Wind Sword</v>
      </c>
      <c r="E678" s="693"/>
      <c r="F678" s="693"/>
      <c r="G678" s="694"/>
      <c r="H678" s="8"/>
      <c r="I678" s="697"/>
      <c r="J678" s="698"/>
      <c r="K678" s="9"/>
      <c r="L678" s="697"/>
      <c r="M678" s="698"/>
    </row>
    <row r="679" spans="1:13" ht="22.5" x14ac:dyDescent="0.35">
      <c r="B679" s="702"/>
      <c r="C679" s="239"/>
      <c r="D679" s="703" t="s">
        <v>10760</v>
      </c>
      <c r="E679" s="704"/>
      <c r="F679" s="235" t="s">
        <v>10761</v>
      </c>
      <c r="G679" s="235" t="s">
        <v>10762</v>
      </c>
      <c r="I679" s="697"/>
      <c r="J679" s="698"/>
      <c r="K679" s="239"/>
      <c r="L679" s="697"/>
      <c r="M679" s="698"/>
    </row>
    <row r="680" spans="1:13" ht="22.5" x14ac:dyDescent="0.35">
      <c r="B680" s="702"/>
      <c r="C680" s="239"/>
      <c r="D680" s="705" t="s">
        <v>96</v>
      </c>
      <c r="E680" s="706"/>
      <c r="F680" s="236">
        <f>INDEX(WEAP!$A:$AN,MATCH(B677,WEAP!$A:$A,0),MATCH("HP",WEAP!$A$1:$BF$1,0))</f>
        <v>196</v>
      </c>
      <c r="G680" s="237">
        <f>INDEX(WEAP!$A:$AN,MATCH(B677,WEAP!$A:$A,0),MATCH("HP V3",WEAP!$A$1:$BF$1,0))</f>
        <v>200</v>
      </c>
      <c r="I680" s="697"/>
      <c r="J680" s="698"/>
      <c r="K680" s="239"/>
      <c r="L680" s="697"/>
      <c r="M680" s="698"/>
    </row>
    <row r="681" spans="1:13" ht="22.5" x14ac:dyDescent="0.35">
      <c r="B681" s="702"/>
      <c r="C681" s="239"/>
      <c r="D681" s="707" t="s">
        <v>97</v>
      </c>
      <c r="E681" s="708"/>
      <c r="F681" s="236">
        <f>INDEX(WEAP!$A:$AN,MATCH(B677,WEAP!$A:$A,0),MATCH("Str",WEAP!$A$1:$BF$1,0))</f>
        <v>621</v>
      </c>
      <c r="G681" s="237">
        <f>INDEX(WEAP!$A:$AN,MATCH(B677,WEAP!$A:$A,0),MATCH("Str V3",WEAP!$A$1:$BF$1,0))</f>
        <v>675</v>
      </c>
      <c r="I681" s="699"/>
      <c r="J681" s="700"/>
      <c r="K681" s="239"/>
      <c r="L681" s="699"/>
      <c r="M681" s="700"/>
    </row>
    <row r="682" spans="1:13" s="245" customFormat="1" ht="7.5" customHeight="1" x14ac:dyDescent="0.2">
      <c r="A682" s="245" t="s">
        <v>10763</v>
      </c>
    </row>
    <row r="683" spans="1:13" ht="22.5" x14ac:dyDescent="0.35">
      <c r="A683" s="244" t="str">
        <f>TEXT(A676+1,"000")</f>
        <v>098</v>
      </c>
      <c r="B683" s="238" t="str">
        <f>"W-"&amp;A683</f>
        <v>W-098</v>
      </c>
      <c r="C683" s="239"/>
      <c r="D683" s="692" t="str">
        <f>+INDEX(WEAP!$A:$AN,MATCH(B684,WEAP!$A:$A,0),MATCH("Name",WEAP!$A$1:$BF$1,0))</f>
        <v>Stormsquall Crash</v>
      </c>
      <c r="E683" s="693"/>
      <c r="F683" s="693"/>
      <c r="G683" s="694"/>
      <c r="I683" s="241" t="str">
        <f>+INDEX(WEAP!$A:$AN,MATCH(B684,WEAP!$A:$A,0),MATCH("Weapon Skill",WEAP!$A$1:$BF$1,0))</f>
        <v>N/A</v>
      </c>
      <c r="J683" s="243">
        <f>INDEX('W-S'!$A:$N,MATCH(I683,'W-S'!$C:$C,0),MATCH("SP Cost",'W-S'!$1:$1,0))</f>
        <v>0</v>
      </c>
      <c r="K683" s="9"/>
      <c r="L683" s="241" t="str">
        <f>+I683</f>
        <v>N/A</v>
      </c>
      <c r="M683" s="243">
        <f>INDEX('W-S'!$A:$N,MATCH(L683,'W-S'!$C:$C,0),MATCH("SP Cost V3",'W-S'!$1:$1,0))</f>
        <v>0</v>
      </c>
    </row>
    <row r="684" spans="1:13" ht="22.5" x14ac:dyDescent="0.35">
      <c r="B684" s="238" t="str">
        <f>+INDEX(WEAP!$A:$AN,MATCH(B683,WEAP!$B:$B,0),MATCH("ID",WEAP!$A$1:$BF$1,0))</f>
        <v>302089_01</v>
      </c>
      <c r="C684" s="240"/>
      <c r="D684" s="692" t="str">
        <f>+INDEX(WEAP!$A:$AN,MATCH(B683,WEAP!$B:$B,0),MATCH("Family",WEAP!$A$1:$BF$1,0))&amp;" Weapon"</f>
        <v>Void Weapon</v>
      </c>
      <c r="E684" s="693"/>
      <c r="F684" s="693"/>
      <c r="G684" s="694"/>
      <c r="H684" s="8"/>
      <c r="I684" s="695" t="str">
        <f>INDEX('W-S'!$A:$O,MATCH(I683,'W-S'!$C:$C,0),MATCH("Description",'W-S'!$1:$1,0))</f>
        <v>This weapon has no weapon skill.</v>
      </c>
      <c r="J684" s="696"/>
      <c r="K684" s="239"/>
      <c r="L684" s="695" t="str">
        <f>INDEX('W-S'!$A:$O,MATCH(I683,'W-S'!$C:$C,0),MATCH("Description V3",'W-S'!$1:$1,0))</f>
        <v>This weapon has no weapon skill.</v>
      </c>
      <c r="M684" s="696"/>
    </row>
    <row r="685" spans="1:13" ht="22.5" x14ac:dyDescent="0.2">
      <c r="B685" s="701" t="e" vm="118">
        <f>+_xlfn.IMAGE("https://natalie.tf/wp-content/uploads/2023/10/DLV3_Icon_Weapon_"&amp;B684&amp;".png")</f>
        <v>#VALUE!</v>
      </c>
      <c r="C685" s="240"/>
      <c r="D685" s="692" t="str">
        <f>INDEX(WEAP!$A:$AN,MATCH(B684,WEAP!$A:$A,0),MATCH("Element",WEAP!$A$1:$BF$1,0))&amp;" "&amp;INDEX(WEAP!$A:$AN,MATCH(B684,WEAP!$A:$A,0),MATCH("Type",WEAP!$A$1:$BF$1,0))</f>
        <v>Wind Blade</v>
      </c>
      <c r="E685" s="693"/>
      <c r="F685" s="693"/>
      <c r="G685" s="694"/>
      <c r="H685" s="8"/>
      <c r="I685" s="697"/>
      <c r="J685" s="698"/>
      <c r="K685" s="9"/>
      <c r="L685" s="697"/>
      <c r="M685" s="698"/>
    </row>
    <row r="686" spans="1:13" ht="22.5" x14ac:dyDescent="0.35">
      <c r="B686" s="702"/>
      <c r="C686" s="239"/>
      <c r="D686" s="703" t="s">
        <v>10760</v>
      </c>
      <c r="E686" s="704"/>
      <c r="F686" s="235" t="s">
        <v>10761</v>
      </c>
      <c r="G686" s="235" t="s">
        <v>10762</v>
      </c>
      <c r="I686" s="697"/>
      <c r="J686" s="698"/>
      <c r="K686" s="239"/>
      <c r="L686" s="697"/>
      <c r="M686" s="698"/>
    </row>
    <row r="687" spans="1:13" ht="22.5" x14ac:dyDescent="0.35">
      <c r="B687" s="702"/>
      <c r="C687" s="239"/>
      <c r="D687" s="705" t="s">
        <v>96</v>
      </c>
      <c r="E687" s="706"/>
      <c r="F687" s="236">
        <f>INDEX(WEAP!$A:$AN,MATCH(B684,WEAP!$A:$A,0),MATCH("HP",WEAP!$A$1:$BF$1,0))</f>
        <v>160</v>
      </c>
      <c r="G687" s="237">
        <f>INDEX(WEAP!$A:$AN,MATCH(B684,WEAP!$A:$A,0),MATCH("HP V3",WEAP!$A$1:$BF$1,0))</f>
        <v>175</v>
      </c>
      <c r="I687" s="697"/>
      <c r="J687" s="698"/>
      <c r="K687" s="239"/>
      <c r="L687" s="697"/>
      <c r="M687" s="698"/>
    </row>
    <row r="688" spans="1:13" ht="22.5" x14ac:dyDescent="0.35">
      <c r="B688" s="702"/>
      <c r="C688" s="239"/>
      <c r="D688" s="707" t="s">
        <v>97</v>
      </c>
      <c r="E688" s="708"/>
      <c r="F688" s="236">
        <f>INDEX(WEAP!$A:$AN,MATCH(B684,WEAP!$A:$A,0),MATCH("Str",WEAP!$A$1:$BF$1,0))</f>
        <v>693</v>
      </c>
      <c r="G688" s="237">
        <f>INDEX(WEAP!$A:$AN,MATCH(B684,WEAP!$A:$A,0),MATCH("Str V3",WEAP!$A$1:$BF$1,0))</f>
        <v>715</v>
      </c>
      <c r="I688" s="699"/>
      <c r="J688" s="700"/>
      <c r="K688" s="239"/>
      <c r="L688" s="699"/>
      <c r="M688" s="700"/>
    </row>
    <row r="689" spans="1:13" s="245" customFormat="1" ht="7.5" customHeight="1" x14ac:dyDescent="0.2">
      <c r="A689" s="245" t="s">
        <v>10763</v>
      </c>
    </row>
    <row r="690" spans="1:13" ht="22.5" x14ac:dyDescent="0.35">
      <c r="A690" s="244" t="str">
        <f>TEXT(A683+1,"000")</f>
        <v>099</v>
      </c>
      <c r="B690" s="238" t="str">
        <f>"W-"&amp;A690</f>
        <v>W-099</v>
      </c>
      <c r="C690" s="239"/>
      <c r="D690" s="692" t="str">
        <f>+INDEX(WEAP!$A:$AN,MATCH(B691,WEAP!$A:$A,0),MATCH("Name",WEAP!$A$1:$BF$1,0))</f>
        <v>The Gale</v>
      </c>
      <c r="E690" s="693"/>
      <c r="F690" s="693"/>
      <c r="G690" s="694"/>
      <c r="I690" s="241" t="str">
        <f>+INDEX(WEAP!$A:$AN,MATCH(B691,WEAP!$A:$A,0),MATCH("Weapon Skill",WEAP!$A$1:$BF$1,0))</f>
        <v>N/A</v>
      </c>
      <c r="J690" s="243">
        <f>INDEX('W-S'!$A:$N,MATCH(I690,'W-S'!$C:$C,0),MATCH("SP Cost",'W-S'!$1:$1,0))</f>
        <v>0</v>
      </c>
      <c r="K690" s="9"/>
      <c r="L690" s="241" t="str">
        <f>+I690</f>
        <v>N/A</v>
      </c>
      <c r="M690" s="243">
        <f>INDEX('W-S'!$A:$N,MATCH(L690,'W-S'!$C:$C,0),MATCH("SP Cost V3",'W-S'!$1:$1,0))</f>
        <v>0</v>
      </c>
    </row>
    <row r="691" spans="1:13" ht="22.5" x14ac:dyDescent="0.35">
      <c r="B691" s="238" t="str">
        <f>+INDEX(WEAP!$A:$AN,MATCH(B690,WEAP!$B:$B,0),MATCH("ID",WEAP!$A$1:$BF$1,0))</f>
        <v>303088_01</v>
      </c>
      <c r="C691" s="240"/>
      <c r="D691" s="692" t="str">
        <f>+INDEX(WEAP!$A:$AN,MATCH(B690,WEAP!$B:$B,0),MATCH("Family",WEAP!$A$1:$BF$1,0))&amp;" Weapon"</f>
        <v>Void Weapon</v>
      </c>
      <c r="E691" s="693"/>
      <c r="F691" s="693"/>
      <c r="G691" s="694"/>
      <c r="H691" s="8"/>
      <c r="I691" s="695" t="str">
        <f>INDEX('W-S'!$A:$O,MATCH(I690,'W-S'!$C:$C,0),MATCH("Description",'W-S'!$1:$1,0))</f>
        <v>This weapon has no weapon skill.</v>
      </c>
      <c r="J691" s="696"/>
      <c r="K691" s="239"/>
      <c r="L691" s="695" t="str">
        <f>INDEX('W-S'!$A:$O,MATCH(I690,'W-S'!$C:$C,0),MATCH("Description V3",'W-S'!$1:$1,0))</f>
        <v>This weapon has no weapon skill.</v>
      </c>
      <c r="M691" s="696"/>
    </row>
    <row r="692" spans="1:13" ht="22.5" x14ac:dyDescent="0.2">
      <c r="B692" s="701" t="e" vm="119">
        <f>+_xlfn.IMAGE("https://natalie.tf/wp-content/uploads/2023/10/DLV3_Icon_Weapon_"&amp;B691&amp;".png")</f>
        <v>#VALUE!</v>
      </c>
      <c r="C692" s="240"/>
      <c r="D692" s="692" t="str">
        <f>INDEX(WEAP!$A:$AN,MATCH(B691,WEAP!$A:$A,0),MATCH("Element",WEAP!$A$1:$BF$1,0))&amp;" "&amp;INDEX(WEAP!$A:$AN,MATCH(B691,WEAP!$A:$A,0),MATCH("Type",WEAP!$A$1:$BF$1,0))</f>
        <v>Wind Dagger</v>
      </c>
      <c r="E692" s="693"/>
      <c r="F692" s="693"/>
      <c r="G692" s="694"/>
      <c r="H692" s="8"/>
      <c r="I692" s="697"/>
      <c r="J692" s="698"/>
      <c r="K692" s="9"/>
      <c r="L692" s="697"/>
      <c r="M692" s="698"/>
    </row>
    <row r="693" spans="1:13" ht="22.5" x14ac:dyDescent="0.35">
      <c r="B693" s="702"/>
      <c r="C693" s="239"/>
      <c r="D693" s="703" t="s">
        <v>10760</v>
      </c>
      <c r="E693" s="704"/>
      <c r="F693" s="235" t="s">
        <v>10761</v>
      </c>
      <c r="G693" s="235" t="s">
        <v>10762</v>
      </c>
      <c r="I693" s="697"/>
      <c r="J693" s="698"/>
      <c r="K693" s="239"/>
      <c r="L693" s="697"/>
      <c r="M693" s="698"/>
    </row>
    <row r="694" spans="1:13" ht="22.5" x14ac:dyDescent="0.35">
      <c r="B694" s="702"/>
      <c r="C694" s="239"/>
      <c r="D694" s="705" t="s">
        <v>96</v>
      </c>
      <c r="E694" s="706"/>
      <c r="F694" s="236">
        <f>INDEX(WEAP!$A:$AN,MATCH(B691,WEAP!$A:$A,0),MATCH("HP",WEAP!$A$1:$BF$1,0))</f>
        <v>174</v>
      </c>
      <c r="G694" s="237">
        <f>INDEX(WEAP!$A:$AN,MATCH(B691,WEAP!$A:$A,0),MATCH("HP V3",WEAP!$A$1:$BF$1,0))</f>
        <v>200</v>
      </c>
      <c r="I694" s="697"/>
      <c r="J694" s="698"/>
      <c r="K694" s="239"/>
      <c r="L694" s="697"/>
      <c r="M694" s="698"/>
    </row>
    <row r="695" spans="1:13" ht="22.5" x14ac:dyDescent="0.35">
      <c r="B695" s="702"/>
      <c r="C695" s="239"/>
      <c r="D695" s="707" t="s">
        <v>97</v>
      </c>
      <c r="E695" s="708"/>
      <c r="F695" s="236">
        <f>INDEX(WEAP!$A:$AN,MATCH(B691,WEAP!$A:$A,0),MATCH("Str",WEAP!$A$1:$BF$1,0))</f>
        <v>660</v>
      </c>
      <c r="G695" s="237">
        <f>INDEX(WEAP!$A:$AN,MATCH(B691,WEAP!$A:$A,0),MATCH("Str V3",WEAP!$A$1:$BF$1,0))</f>
        <v>660</v>
      </c>
      <c r="I695" s="699"/>
      <c r="J695" s="700"/>
      <c r="K695" s="239"/>
      <c r="L695" s="699"/>
      <c r="M695" s="700"/>
    </row>
    <row r="696" spans="1:13" s="245" customFormat="1" ht="7.5" customHeight="1" x14ac:dyDescent="0.2">
      <c r="A696" s="245" t="s">
        <v>10763</v>
      </c>
    </row>
    <row r="697" spans="1:13" ht="22.5" x14ac:dyDescent="0.35">
      <c r="A697" s="244" t="str">
        <f>TEXT(A690+1,"000")</f>
        <v>100</v>
      </c>
      <c r="B697" s="238" t="str">
        <f>"W-"&amp;A697</f>
        <v>W-100</v>
      </c>
      <c r="C697" s="239"/>
      <c r="D697" s="692" t="str">
        <f>+INDEX(WEAP!$A:$AN,MATCH(B698,WEAP!$A:$A,0),MATCH("Name",WEAP!$A$1:$BF$1,0))</f>
        <v>Jagged Bolt</v>
      </c>
      <c r="E697" s="693"/>
      <c r="F697" s="693"/>
      <c r="G697" s="694"/>
      <c r="I697" s="241" t="str">
        <f>+INDEX(WEAP!$A:$AN,MATCH(B698,WEAP!$A:$A,0),MATCH("Weapon Skill",WEAP!$A$1:$BF$1,0))</f>
        <v>N/A</v>
      </c>
      <c r="J697" s="243">
        <f>INDEX('W-S'!$A:$N,MATCH(I697,'W-S'!$C:$C,0),MATCH("SP Cost",'W-S'!$1:$1,0))</f>
        <v>0</v>
      </c>
      <c r="K697" s="9"/>
      <c r="L697" s="241" t="str">
        <f>+I697</f>
        <v>N/A</v>
      </c>
      <c r="M697" s="243">
        <f>INDEX('W-S'!$A:$N,MATCH(L697,'W-S'!$C:$C,0),MATCH("SP Cost V3",'W-S'!$1:$1,0))</f>
        <v>0</v>
      </c>
    </row>
    <row r="698" spans="1:13" ht="22.5" x14ac:dyDescent="0.35">
      <c r="B698" s="238" t="str">
        <f>+INDEX(WEAP!$A:$AN,MATCH(B697,WEAP!$B:$B,0),MATCH("ID",WEAP!$A$1:$BF$1,0))</f>
        <v>304087_01</v>
      </c>
      <c r="C698" s="240"/>
      <c r="D698" s="692" t="str">
        <f>+INDEX(WEAP!$A:$AN,MATCH(B697,WEAP!$B:$B,0),MATCH("Family",WEAP!$A$1:$BF$1,0))&amp;" Weapon"</f>
        <v>Void Weapon</v>
      </c>
      <c r="E698" s="693"/>
      <c r="F698" s="693"/>
      <c r="G698" s="694"/>
      <c r="H698" s="8"/>
      <c r="I698" s="695" t="str">
        <f>INDEX('W-S'!$A:$O,MATCH(I697,'W-S'!$C:$C,0),MATCH("Description",'W-S'!$1:$1,0))</f>
        <v>This weapon has no weapon skill.</v>
      </c>
      <c r="J698" s="696"/>
      <c r="K698" s="239"/>
      <c r="L698" s="695" t="str">
        <f>INDEX('W-S'!$A:$O,MATCH(I697,'W-S'!$C:$C,0),MATCH("Description V3",'W-S'!$1:$1,0))</f>
        <v>This weapon has no weapon skill.</v>
      </c>
      <c r="M698" s="696"/>
    </row>
    <row r="699" spans="1:13" ht="22.5" x14ac:dyDescent="0.2">
      <c r="B699" s="701" t="e" vm="120">
        <f>+_xlfn.IMAGE("https://natalie.tf/wp-content/uploads/2023/10/DLV3_Icon_Weapon_"&amp;B698&amp;".png")</f>
        <v>#VALUE!</v>
      </c>
      <c r="C699" s="240"/>
      <c r="D699" s="692" t="str">
        <f>INDEX(WEAP!$A:$AN,MATCH(B698,WEAP!$A:$A,0),MATCH("Element",WEAP!$A$1:$BF$1,0))&amp;" "&amp;INDEX(WEAP!$A:$AN,MATCH(B698,WEAP!$A:$A,0),MATCH("Type",WEAP!$A$1:$BF$1,0))</f>
        <v>Wind Axe</v>
      </c>
      <c r="E699" s="693"/>
      <c r="F699" s="693"/>
      <c r="G699" s="694"/>
      <c r="H699" s="8"/>
      <c r="I699" s="697"/>
      <c r="J699" s="698"/>
      <c r="K699" s="9"/>
      <c r="L699" s="697"/>
      <c r="M699" s="698"/>
    </row>
    <row r="700" spans="1:13" ht="22.5" x14ac:dyDescent="0.35">
      <c r="B700" s="702"/>
      <c r="C700" s="239"/>
      <c r="D700" s="703" t="s">
        <v>10760</v>
      </c>
      <c r="E700" s="704"/>
      <c r="F700" s="235" t="s">
        <v>10761</v>
      </c>
      <c r="G700" s="235" t="s">
        <v>10762</v>
      </c>
      <c r="I700" s="697"/>
      <c r="J700" s="698"/>
      <c r="K700" s="239"/>
      <c r="L700" s="697"/>
      <c r="M700" s="698"/>
    </row>
    <row r="701" spans="1:13" ht="22.5" x14ac:dyDescent="0.35">
      <c r="B701" s="702"/>
      <c r="C701" s="239"/>
      <c r="D701" s="705" t="s">
        <v>96</v>
      </c>
      <c r="E701" s="706"/>
      <c r="F701" s="236">
        <f>INDEX(WEAP!$A:$AN,MATCH(B698,WEAP!$A:$A,0),MATCH("HP",WEAP!$A$1:$BF$1,0))</f>
        <v>196</v>
      </c>
      <c r="G701" s="237">
        <f>INDEX(WEAP!$A:$AN,MATCH(B698,WEAP!$A:$A,0),MATCH("HP V3",WEAP!$A$1:$BF$1,0))</f>
        <v>200</v>
      </c>
      <c r="I701" s="697"/>
      <c r="J701" s="698"/>
      <c r="K701" s="239"/>
      <c r="L701" s="697"/>
      <c r="M701" s="698"/>
    </row>
    <row r="702" spans="1:13" ht="22.5" x14ac:dyDescent="0.35">
      <c r="B702" s="702"/>
      <c r="C702" s="239"/>
      <c r="D702" s="707" t="s">
        <v>97</v>
      </c>
      <c r="E702" s="708"/>
      <c r="F702" s="236">
        <f>INDEX(WEAP!$A:$AN,MATCH(B698,WEAP!$A:$A,0),MATCH("Str",WEAP!$A$1:$BF$1,0))</f>
        <v>665</v>
      </c>
      <c r="G702" s="237">
        <f>INDEX(WEAP!$A:$AN,MATCH(B698,WEAP!$A:$A,0),MATCH("Str V3",WEAP!$A$1:$BF$1,0))</f>
        <v>710</v>
      </c>
      <c r="I702" s="699"/>
      <c r="J702" s="700"/>
      <c r="K702" s="239"/>
      <c r="L702" s="699"/>
      <c r="M702" s="700"/>
    </row>
    <row r="703" spans="1:13" ht="33.75" customHeight="1" x14ac:dyDescent="0.2">
      <c r="A703" t="s">
        <v>10763</v>
      </c>
    </row>
    <row r="704" spans="1:13" ht="22.5" x14ac:dyDescent="0.35">
      <c r="A704" s="244" t="str">
        <f>TEXT(A697+1,"000")</f>
        <v>101</v>
      </c>
      <c r="B704" s="238" t="str">
        <f>"W-"&amp;A704</f>
        <v>W-101</v>
      </c>
      <c r="C704" s="239"/>
      <c r="D704" s="692" t="str">
        <f>+INDEX(WEAP!$A:$AN,MATCH(B705,WEAP!$A:$A,0),MATCH("Name",WEAP!$A$1:$BF$1,0))</f>
        <v>Windsovereign Trident</v>
      </c>
      <c r="E704" s="693"/>
      <c r="F704" s="693"/>
      <c r="G704" s="694"/>
      <c r="I704" s="241" t="str">
        <f>+INDEX(WEAP!$A:$AN,MATCH(B705,WEAP!$A:$A,0),MATCH("Weapon Skill",WEAP!$A$1:$BF$1,0))</f>
        <v>N/A</v>
      </c>
      <c r="J704" s="243">
        <f>INDEX('W-S'!$A:$N,MATCH(I704,'W-S'!$C:$C,0),MATCH("SP Cost",'W-S'!$1:$1,0))</f>
        <v>0</v>
      </c>
      <c r="K704" s="9"/>
      <c r="L704" s="241" t="str">
        <f>+I704</f>
        <v>N/A</v>
      </c>
      <c r="M704" s="243">
        <f>INDEX('W-S'!$A:$N,MATCH(L704,'W-S'!$C:$C,0),MATCH("SP Cost V3",'W-S'!$1:$1,0))</f>
        <v>0</v>
      </c>
    </row>
    <row r="705" spans="1:13" ht="22.5" x14ac:dyDescent="0.35">
      <c r="B705" s="238" t="str">
        <f>+INDEX(WEAP!$A:$AN,MATCH(B704,WEAP!$B:$B,0),MATCH("ID",WEAP!$A$1:$BF$1,0))</f>
        <v>305094_01</v>
      </c>
      <c r="C705" s="240"/>
      <c r="D705" s="692" t="str">
        <f>+INDEX(WEAP!$A:$AN,MATCH(B704,WEAP!$B:$B,0),MATCH("Family",WEAP!$A$1:$BF$1,0))&amp;" Weapon"</f>
        <v>Void Weapon</v>
      </c>
      <c r="E705" s="693"/>
      <c r="F705" s="693"/>
      <c r="G705" s="694"/>
      <c r="H705" s="8"/>
      <c r="I705" s="695" t="str">
        <f>INDEX('W-S'!$A:$O,MATCH(I704,'W-S'!$C:$C,0),MATCH("Description",'W-S'!$1:$1,0))</f>
        <v>This weapon has no weapon skill.</v>
      </c>
      <c r="J705" s="696"/>
      <c r="K705" s="239"/>
      <c r="L705" s="695" t="str">
        <f>INDEX('W-S'!$A:$O,MATCH(I704,'W-S'!$C:$C,0),MATCH("Description V3",'W-S'!$1:$1,0))</f>
        <v>This weapon has no weapon skill.</v>
      </c>
      <c r="M705" s="696"/>
    </row>
    <row r="706" spans="1:13" ht="22.5" x14ac:dyDescent="0.2">
      <c r="B706" s="701" t="e" vm="121">
        <f>+_xlfn.IMAGE("https://natalie.tf/wp-content/uploads/2023/10/DLV3_Icon_Weapon_"&amp;B705&amp;".png")</f>
        <v>#VALUE!</v>
      </c>
      <c r="C706" s="240"/>
      <c r="D706" s="692" t="str">
        <f>INDEX(WEAP!$A:$AN,MATCH(B705,WEAP!$A:$A,0),MATCH("Element",WEAP!$A$1:$BF$1,0))&amp;" "&amp;INDEX(WEAP!$A:$AN,MATCH(B705,WEAP!$A:$A,0),MATCH("Type",WEAP!$A$1:$BF$1,0))</f>
        <v>Wind Lance</v>
      </c>
      <c r="E706" s="693"/>
      <c r="F706" s="693"/>
      <c r="G706" s="694"/>
      <c r="H706" s="8"/>
      <c r="I706" s="697"/>
      <c r="J706" s="698"/>
      <c r="K706" s="9"/>
      <c r="L706" s="697"/>
      <c r="M706" s="698"/>
    </row>
    <row r="707" spans="1:13" ht="22.5" x14ac:dyDescent="0.35">
      <c r="B707" s="702"/>
      <c r="C707" s="239"/>
      <c r="D707" s="703" t="s">
        <v>10760</v>
      </c>
      <c r="E707" s="704"/>
      <c r="F707" s="235" t="s">
        <v>10761</v>
      </c>
      <c r="G707" s="235" t="s">
        <v>10762</v>
      </c>
      <c r="I707" s="697"/>
      <c r="J707" s="698"/>
      <c r="K707" s="239"/>
      <c r="L707" s="697"/>
      <c r="M707" s="698"/>
    </row>
    <row r="708" spans="1:13" ht="22.5" x14ac:dyDescent="0.35">
      <c r="B708" s="702"/>
      <c r="C708" s="239"/>
      <c r="D708" s="705" t="s">
        <v>96</v>
      </c>
      <c r="E708" s="706"/>
      <c r="F708" s="236">
        <f>INDEX(WEAP!$A:$AN,MATCH(B705,WEAP!$A:$A,0),MATCH("HP",WEAP!$A$1:$BF$1,0))</f>
        <v>194</v>
      </c>
      <c r="G708" s="237">
        <f>INDEX(WEAP!$A:$AN,MATCH(B705,WEAP!$A:$A,0),MATCH("HP V3",WEAP!$A$1:$BF$1,0))</f>
        <v>200</v>
      </c>
      <c r="I708" s="697"/>
      <c r="J708" s="698"/>
      <c r="K708" s="239"/>
      <c r="L708" s="697"/>
      <c r="M708" s="698"/>
    </row>
    <row r="709" spans="1:13" ht="22.5" x14ac:dyDescent="0.35">
      <c r="B709" s="702"/>
      <c r="C709" s="239"/>
      <c r="D709" s="707" t="s">
        <v>97</v>
      </c>
      <c r="E709" s="708"/>
      <c r="F709" s="236">
        <f>INDEX(WEAP!$A:$AN,MATCH(B705,WEAP!$A:$A,0),MATCH("Str",WEAP!$A$1:$BF$1,0))</f>
        <v>646</v>
      </c>
      <c r="G709" s="237">
        <f>INDEX(WEAP!$A:$AN,MATCH(B705,WEAP!$A:$A,0),MATCH("Str V3",WEAP!$A$1:$BF$1,0))</f>
        <v>670</v>
      </c>
      <c r="I709" s="699"/>
      <c r="J709" s="700"/>
      <c r="K709" s="239"/>
      <c r="L709" s="699"/>
      <c r="M709" s="700"/>
    </row>
    <row r="710" spans="1:13" s="245" customFormat="1" ht="7.5" customHeight="1" x14ac:dyDescent="0.2">
      <c r="A710" s="245" t="s">
        <v>10763</v>
      </c>
    </row>
    <row r="711" spans="1:13" ht="22.5" x14ac:dyDescent="0.35">
      <c r="A711" s="242" t="str">
        <f>TEXT(A704+1,"000")</f>
        <v>102</v>
      </c>
      <c r="B711" s="238" t="str">
        <f>"W-"&amp;A711</f>
        <v>W-102</v>
      </c>
      <c r="C711" s="239"/>
      <c r="D711" s="692" t="str">
        <f>+INDEX(WEAP!$A:$AN,MATCH(B712,WEAP!$A:$A,0),MATCH("Name",WEAP!$A$1:$BF$1,0))</f>
        <v>Firmament Auger</v>
      </c>
      <c r="E711" s="693"/>
      <c r="F711" s="693"/>
      <c r="G711" s="694"/>
      <c r="I711" s="241" t="str">
        <f>+INDEX(WEAP!$A:$AN,MATCH(B712,WEAP!$A:$A,0),MATCH("Weapon Skill",WEAP!$A$1:$BF$1,0))</f>
        <v>N/A</v>
      </c>
      <c r="J711" s="243">
        <f>INDEX('W-S'!$A:$N,MATCH(I711,'W-S'!$C:$C,0),MATCH("SP Cost",'W-S'!$1:$1,0))</f>
        <v>0</v>
      </c>
      <c r="K711" s="9"/>
      <c r="L711" s="241" t="str">
        <f>+I711</f>
        <v>N/A</v>
      </c>
      <c r="M711" s="243">
        <f>INDEX('W-S'!$A:$N,MATCH(L711,'W-S'!$C:$C,0),MATCH("SP Cost V3",'W-S'!$1:$1,0))</f>
        <v>0</v>
      </c>
    </row>
    <row r="712" spans="1:13" ht="22.5" x14ac:dyDescent="0.35">
      <c r="B712" s="238" t="str">
        <f>+INDEX(WEAP!$A:$AN,MATCH(B711,WEAP!$B:$B,0),MATCH("ID",WEAP!$A$1:$BF$1,0))</f>
        <v>306087_01</v>
      </c>
      <c r="C712" s="240"/>
      <c r="D712" s="692" t="str">
        <f>+INDEX(WEAP!$A:$AN,MATCH(B711,WEAP!$B:$B,0),MATCH("Family",WEAP!$A$1:$BF$1,0))&amp;" Weapon"</f>
        <v>Void Weapon</v>
      </c>
      <c r="E712" s="693"/>
      <c r="F712" s="693"/>
      <c r="G712" s="694"/>
      <c r="H712" s="8"/>
      <c r="I712" s="695" t="str">
        <f>INDEX('W-S'!$A:$O,MATCH(I711,'W-S'!$C:$C,0),MATCH("Description",'W-S'!$1:$1,0))</f>
        <v>This weapon has no weapon skill.</v>
      </c>
      <c r="J712" s="696"/>
      <c r="K712" s="239"/>
      <c r="L712" s="695" t="str">
        <f>INDEX('W-S'!$A:$O,MATCH(I711,'W-S'!$C:$C,0),MATCH("Description V3",'W-S'!$1:$1,0))</f>
        <v>This weapon has no weapon skill.</v>
      </c>
      <c r="M712" s="696"/>
    </row>
    <row r="713" spans="1:13" ht="22.5" x14ac:dyDescent="0.2">
      <c r="B713" s="701" t="e" vm="122">
        <f>+_xlfn.IMAGE("https://natalie.tf/wp-content/uploads/2023/10/DLV3_Icon_Weapon_"&amp;B712&amp;".png")</f>
        <v>#VALUE!</v>
      </c>
      <c r="C713" s="240"/>
      <c r="D713" s="692" t="str">
        <f>INDEX(WEAP!$A:$AN,MATCH(B712,WEAP!$A:$A,0),MATCH("Element",WEAP!$A$1:$BF$1,0))&amp;" "&amp;INDEX(WEAP!$A:$AN,MATCH(B712,WEAP!$A:$A,0),MATCH("Type",WEAP!$A$1:$BF$1,0))</f>
        <v>Wind Bow</v>
      </c>
      <c r="E713" s="693"/>
      <c r="F713" s="693"/>
      <c r="G713" s="694"/>
      <c r="H713" s="8"/>
      <c r="I713" s="697"/>
      <c r="J713" s="698"/>
      <c r="K713" s="9"/>
      <c r="L713" s="697"/>
      <c r="M713" s="698"/>
    </row>
    <row r="714" spans="1:13" ht="22.5" x14ac:dyDescent="0.35">
      <c r="B714" s="702"/>
      <c r="C714" s="239"/>
      <c r="D714" s="703" t="s">
        <v>10760</v>
      </c>
      <c r="E714" s="704"/>
      <c r="F714" s="235" t="s">
        <v>10761</v>
      </c>
      <c r="G714" s="235" t="s">
        <v>10762</v>
      </c>
      <c r="I714" s="697"/>
      <c r="J714" s="698"/>
      <c r="K714" s="239"/>
      <c r="L714" s="697"/>
      <c r="M714" s="698"/>
    </row>
    <row r="715" spans="1:13" ht="22.5" x14ac:dyDescent="0.35">
      <c r="B715" s="702"/>
      <c r="C715" s="239"/>
      <c r="D715" s="705" t="s">
        <v>96</v>
      </c>
      <c r="E715" s="706"/>
      <c r="F715" s="236">
        <f>INDEX(WEAP!$A:$AN,MATCH(B712,WEAP!$A:$A,0),MATCH("HP",WEAP!$A$1:$BF$1,0))</f>
        <v>178</v>
      </c>
      <c r="G715" s="237">
        <f>INDEX(WEAP!$A:$AN,MATCH(B712,WEAP!$A:$A,0),MATCH("HP V3",WEAP!$A$1:$BF$1,0))</f>
        <v>190</v>
      </c>
      <c r="I715" s="697"/>
      <c r="J715" s="698"/>
      <c r="K715" s="239"/>
      <c r="L715" s="697"/>
      <c r="M715" s="698"/>
    </row>
    <row r="716" spans="1:13" ht="22.5" x14ac:dyDescent="0.35">
      <c r="B716" s="702"/>
      <c r="C716" s="239"/>
      <c r="D716" s="707" t="s">
        <v>97</v>
      </c>
      <c r="E716" s="708"/>
      <c r="F716" s="236">
        <f>INDEX(WEAP!$A:$AN,MATCH(B712,WEAP!$A:$A,0),MATCH("Str",WEAP!$A$1:$BF$1,0))</f>
        <v>627</v>
      </c>
      <c r="G716" s="237">
        <f>INDEX(WEAP!$A:$AN,MATCH(B712,WEAP!$A:$A,0),MATCH("Str V3",WEAP!$A$1:$BF$1,0))</f>
        <v>630</v>
      </c>
      <c r="I716" s="699"/>
      <c r="J716" s="700"/>
      <c r="K716" s="239"/>
      <c r="L716" s="699"/>
      <c r="M716" s="700"/>
    </row>
    <row r="717" spans="1:13" s="245" customFormat="1" ht="7.5" customHeight="1" x14ac:dyDescent="0.2">
      <c r="A717" s="245" t="s">
        <v>10763</v>
      </c>
    </row>
    <row r="718" spans="1:13" ht="22.5" x14ac:dyDescent="0.35">
      <c r="A718" s="244" t="str">
        <f>TEXT(A711+1,"000")</f>
        <v>103</v>
      </c>
      <c r="B718" s="238" t="str">
        <f>"W-"&amp;A718</f>
        <v>W-103</v>
      </c>
      <c r="C718" s="239"/>
      <c r="D718" s="692" t="str">
        <f>+INDEX(WEAP!$A:$AN,MATCH(B719,WEAP!$A:$A,0),MATCH("Name",WEAP!$A$1:$BF$1,0))</f>
        <v>Typhoon's Rule</v>
      </c>
      <c r="E718" s="693"/>
      <c r="F718" s="693"/>
      <c r="G718" s="694"/>
      <c r="I718" s="241" t="str">
        <f>+INDEX(WEAP!$A:$AN,MATCH(B719,WEAP!$A:$A,0),MATCH("Weapon Skill",WEAP!$A$1:$BF$1,0))</f>
        <v>N/A</v>
      </c>
      <c r="J718" s="243">
        <f>INDEX('W-S'!$A:$N,MATCH(I718,'W-S'!$C:$C,0),MATCH("SP Cost",'W-S'!$1:$1,0))</f>
        <v>0</v>
      </c>
      <c r="K718" s="9"/>
      <c r="L718" s="241" t="str">
        <f>+I718</f>
        <v>N/A</v>
      </c>
      <c r="M718" s="243">
        <f>INDEX('W-S'!$A:$N,MATCH(L718,'W-S'!$C:$C,0),MATCH("SP Cost V3",'W-S'!$1:$1,0))</f>
        <v>0</v>
      </c>
    </row>
    <row r="719" spans="1:13" ht="22.5" x14ac:dyDescent="0.35">
      <c r="B719" s="238" t="str">
        <f>+INDEX(WEAP!$A:$AN,MATCH(B718,WEAP!$B:$B,0),MATCH("ID",WEAP!$A$1:$BF$1,0))</f>
        <v>307095_01</v>
      </c>
      <c r="C719" s="240"/>
      <c r="D719" s="692" t="str">
        <f>+INDEX(WEAP!$A:$AN,MATCH(B718,WEAP!$B:$B,0),MATCH("Family",WEAP!$A$1:$BF$1,0))&amp;" Weapon"</f>
        <v>Void Weapon</v>
      </c>
      <c r="E719" s="693"/>
      <c r="F719" s="693"/>
      <c r="G719" s="694"/>
      <c r="H719" s="8"/>
      <c r="I719" s="695" t="str">
        <f>INDEX('W-S'!$A:$O,MATCH(I718,'W-S'!$C:$C,0),MATCH("Description",'W-S'!$1:$1,0))</f>
        <v>This weapon has no weapon skill.</v>
      </c>
      <c r="J719" s="696"/>
      <c r="K719" s="239"/>
      <c r="L719" s="695" t="str">
        <f>INDEX('W-S'!$A:$O,MATCH(I718,'W-S'!$C:$C,0),MATCH("Description V3",'W-S'!$1:$1,0))</f>
        <v>This weapon has no weapon skill.</v>
      </c>
      <c r="M719" s="696"/>
    </row>
    <row r="720" spans="1:13" ht="22.5" x14ac:dyDescent="0.2">
      <c r="B720" s="701" t="e" vm="123">
        <f>+_xlfn.IMAGE("https://natalie.tf/wp-content/uploads/2023/10/DLV3_Icon_Weapon_"&amp;B719&amp;".png")</f>
        <v>#VALUE!</v>
      </c>
      <c r="C720" s="240"/>
      <c r="D720" s="692" t="str">
        <f>INDEX(WEAP!$A:$AN,MATCH(B719,WEAP!$A:$A,0),MATCH("Element",WEAP!$A$1:$BF$1,0))&amp;" "&amp;INDEX(WEAP!$A:$AN,MATCH(B719,WEAP!$A:$A,0),MATCH("Type",WEAP!$A$1:$BF$1,0))</f>
        <v>Wind Wand</v>
      </c>
      <c r="E720" s="693"/>
      <c r="F720" s="693"/>
      <c r="G720" s="694"/>
      <c r="H720" s="8"/>
      <c r="I720" s="697"/>
      <c r="J720" s="698"/>
      <c r="K720" s="9"/>
      <c r="L720" s="697"/>
      <c r="M720" s="698"/>
    </row>
    <row r="721" spans="1:13" ht="22.5" x14ac:dyDescent="0.35">
      <c r="B721" s="702"/>
      <c r="C721" s="239"/>
      <c r="D721" s="703" t="s">
        <v>10760</v>
      </c>
      <c r="E721" s="704"/>
      <c r="F721" s="235" t="s">
        <v>10761</v>
      </c>
      <c r="G721" s="235" t="s">
        <v>10762</v>
      </c>
      <c r="I721" s="697"/>
      <c r="J721" s="698"/>
      <c r="K721" s="239"/>
      <c r="L721" s="697"/>
      <c r="M721" s="698"/>
    </row>
    <row r="722" spans="1:13" ht="22.5" x14ac:dyDescent="0.35">
      <c r="B722" s="702"/>
      <c r="C722" s="239"/>
      <c r="D722" s="705" t="s">
        <v>96</v>
      </c>
      <c r="E722" s="706"/>
      <c r="F722" s="236">
        <f>INDEX(WEAP!$A:$AN,MATCH(B719,WEAP!$A:$A,0),MATCH("HP",WEAP!$A$1:$BF$1,0))</f>
        <v>162</v>
      </c>
      <c r="G722" s="237">
        <f>INDEX(WEAP!$A:$AN,MATCH(B719,WEAP!$A:$A,0),MATCH("HP V3",WEAP!$A$1:$BF$1,0))</f>
        <v>185</v>
      </c>
      <c r="I722" s="697"/>
      <c r="J722" s="698"/>
      <c r="K722" s="239"/>
      <c r="L722" s="697"/>
      <c r="M722" s="698"/>
    </row>
    <row r="723" spans="1:13" ht="22.5" x14ac:dyDescent="0.35">
      <c r="B723" s="702"/>
      <c r="C723" s="239"/>
      <c r="D723" s="707" t="s">
        <v>97</v>
      </c>
      <c r="E723" s="708"/>
      <c r="F723" s="236">
        <f>INDEX(WEAP!$A:$AN,MATCH(B719,WEAP!$A:$A,0),MATCH("Str",WEAP!$A$1:$BF$1,0))</f>
        <v>693</v>
      </c>
      <c r="G723" s="237">
        <f>INDEX(WEAP!$A:$AN,MATCH(B719,WEAP!$A:$A,0),MATCH("Str V3",WEAP!$A$1:$BF$1,0))</f>
        <v>695</v>
      </c>
      <c r="I723" s="699"/>
      <c r="J723" s="700"/>
      <c r="K723" s="239"/>
      <c r="L723" s="699"/>
      <c r="M723" s="700"/>
    </row>
    <row r="724" spans="1:13" s="245" customFormat="1" ht="7.5" customHeight="1" x14ac:dyDescent="0.2">
      <c r="A724" s="245" t="s">
        <v>10763</v>
      </c>
    </row>
    <row r="725" spans="1:13" ht="22.5" x14ac:dyDescent="0.35">
      <c r="A725" s="244" t="str">
        <f>TEXT(A718+1,"000")</f>
        <v>104</v>
      </c>
      <c r="B725" s="238" t="str">
        <f>"W-"&amp;A725</f>
        <v>W-104</v>
      </c>
      <c r="C725" s="239"/>
      <c r="D725" s="692" t="str">
        <f>+INDEX(WEAP!$A:$AN,MATCH(B726,WEAP!$A:$A,0),MATCH("Name",WEAP!$A$1:$BF$1,0))</f>
        <v>Skypainter Staff</v>
      </c>
      <c r="E725" s="693"/>
      <c r="F725" s="693"/>
      <c r="G725" s="694"/>
      <c r="I725" s="241" t="str">
        <f>+INDEX(WEAP!$A:$AN,MATCH(B726,WEAP!$A:$A,0),MATCH("Weapon Skill",WEAP!$A$1:$BF$1,0))</f>
        <v>N/A</v>
      </c>
      <c r="J725" s="243">
        <f>INDEX('W-S'!$A:$N,MATCH(I725,'W-S'!$C:$C,0),MATCH("SP Cost",'W-S'!$1:$1,0))</f>
        <v>0</v>
      </c>
      <c r="K725" s="9"/>
      <c r="L725" s="241" t="str">
        <f>+I725</f>
        <v>N/A</v>
      </c>
      <c r="M725" s="243">
        <f>INDEX('W-S'!$A:$N,MATCH(L725,'W-S'!$C:$C,0),MATCH("SP Cost V3",'W-S'!$1:$1,0))</f>
        <v>0</v>
      </c>
    </row>
    <row r="726" spans="1:13" ht="22.5" x14ac:dyDescent="0.35">
      <c r="B726" s="238" t="str">
        <f>+INDEX(WEAP!$A:$AN,MATCH(B725,WEAP!$B:$B,0),MATCH("ID",WEAP!$A$1:$BF$1,0))</f>
        <v>308088_01</v>
      </c>
      <c r="C726" s="240"/>
      <c r="D726" s="692" t="str">
        <f>+INDEX(WEAP!$A:$AN,MATCH(B725,WEAP!$B:$B,0),MATCH("Family",WEAP!$A$1:$BF$1,0))&amp;" Weapon"</f>
        <v>Void Weapon</v>
      </c>
      <c r="E726" s="693"/>
      <c r="F726" s="693"/>
      <c r="G726" s="694"/>
      <c r="H726" s="8"/>
      <c r="I726" s="695" t="str">
        <f>INDEX('W-S'!$A:$O,MATCH(I725,'W-S'!$C:$C,0),MATCH("Description",'W-S'!$1:$1,0))</f>
        <v>This weapon has no weapon skill.</v>
      </c>
      <c r="J726" s="696"/>
      <c r="K726" s="239"/>
      <c r="L726" s="695" t="str">
        <f>INDEX('W-S'!$A:$O,MATCH(I725,'W-S'!$C:$C,0),MATCH("Description V3",'W-S'!$1:$1,0))</f>
        <v>This weapon has no weapon skill.</v>
      </c>
      <c r="M726" s="696"/>
    </row>
    <row r="727" spans="1:13" ht="22.5" x14ac:dyDescent="0.2">
      <c r="B727" s="701" t="e" vm="124">
        <f>+_xlfn.IMAGE("https://natalie.tf/wp-content/uploads/2023/10/DLV3_Icon_Weapon_"&amp;B726&amp;".png")</f>
        <v>#VALUE!</v>
      </c>
      <c r="C727" s="240"/>
      <c r="D727" s="692" t="str">
        <f>INDEX(WEAP!$A:$AN,MATCH(B726,WEAP!$A:$A,0),MATCH("Element",WEAP!$A$1:$BF$1,0))&amp;" "&amp;INDEX(WEAP!$A:$AN,MATCH(B726,WEAP!$A:$A,0),MATCH("Type",WEAP!$A$1:$BF$1,0))</f>
        <v>Wind Staff</v>
      </c>
      <c r="E727" s="693"/>
      <c r="F727" s="693"/>
      <c r="G727" s="694"/>
      <c r="H727" s="8"/>
      <c r="I727" s="697"/>
      <c r="J727" s="698"/>
      <c r="K727" s="9"/>
      <c r="L727" s="697"/>
      <c r="M727" s="698"/>
    </row>
    <row r="728" spans="1:13" ht="22.5" x14ac:dyDescent="0.35">
      <c r="B728" s="702"/>
      <c r="C728" s="239"/>
      <c r="D728" s="703" t="s">
        <v>10760</v>
      </c>
      <c r="E728" s="704"/>
      <c r="F728" s="235" t="s">
        <v>10761</v>
      </c>
      <c r="G728" s="235" t="s">
        <v>10762</v>
      </c>
      <c r="I728" s="697"/>
      <c r="J728" s="698"/>
      <c r="K728" s="239"/>
      <c r="L728" s="697"/>
      <c r="M728" s="698"/>
    </row>
    <row r="729" spans="1:13" ht="22.5" x14ac:dyDescent="0.35">
      <c r="B729" s="702"/>
      <c r="C729" s="239"/>
      <c r="D729" s="705" t="s">
        <v>96</v>
      </c>
      <c r="E729" s="706"/>
      <c r="F729" s="236">
        <f>INDEX(WEAP!$A:$AN,MATCH(B726,WEAP!$A:$A,0),MATCH("HP",WEAP!$A$1:$BF$1,0))</f>
        <v>216</v>
      </c>
      <c r="G729" s="237">
        <f>INDEX(WEAP!$A:$AN,MATCH(B726,WEAP!$A:$A,0),MATCH("HP V3",WEAP!$A$1:$BF$1,0))</f>
        <v>220</v>
      </c>
      <c r="I729" s="697"/>
      <c r="J729" s="698"/>
      <c r="K729" s="239"/>
      <c r="L729" s="697"/>
      <c r="M729" s="698"/>
    </row>
    <row r="730" spans="1:13" ht="22.5" x14ac:dyDescent="0.35">
      <c r="B730" s="702"/>
      <c r="C730" s="239"/>
      <c r="D730" s="707" t="s">
        <v>97</v>
      </c>
      <c r="E730" s="708"/>
      <c r="F730" s="236">
        <f>INDEX(WEAP!$A:$AN,MATCH(B726,WEAP!$A:$A,0),MATCH("Str",WEAP!$A$1:$BF$1,0))</f>
        <v>590</v>
      </c>
      <c r="G730" s="237">
        <f>INDEX(WEAP!$A:$AN,MATCH(B726,WEAP!$A:$A,0),MATCH("Str V3",WEAP!$A$1:$BF$1,0))</f>
        <v>590</v>
      </c>
      <c r="I730" s="699"/>
      <c r="J730" s="700"/>
      <c r="K730" s="239"/>
      <c r="L730" s="699"/>
      <c r="M730" s="700"/>
    </row>
    <row r="731" spans="1:13" s="245" customFormat="1" ht="7.5" customHeight="1" x14ac:dyDescent="0.2">
      <c r="A731" s="245" t="s">
        <v>10763</v>
      </c>
    </row>
    <row r="732" spans="1:13" ht="22.5" x14ac:dyDescent="0.35">
      <c r="A732" s="244" t="str">
        <f>TEXT(A725+1,"000")</f>
        <v>105</v>
      </c>
      <c r="B732" s="238" t="str">
        <f>"W-"&amp;A732</f>
        <v>W-105</v>
      </c>
      <c r="C732" s="239"/>
      <c r="D732" s="692" t="str">
        <f>+INDEX(WEAP!$A:$AN,MATCH(B733,WEAP!$A:$A,0),MATCH("Name",WEAP!$A$1:$BF$1,0))</f>
        <v>Death Aeon</v>
      </c>
      <c r="E732" s="693"/>
      <c r="F732" s="693"/>
      <c r="G732" s="694"/>
      <c r="I732" s="241" t="str">
        <f>+INDEX(WEAP!$A:$AN,MATCH(B733,WEAP!$A:$A,0),MATCH("Weapon Skill",WEAP!$A$1:$BF$1,0))</f>
        <v>N/A</v>
      </c>
      <c r="J732" s="243">
        <f>INDEX('W-S'!$A:$N,MATCH(I732,'W-S'!$C:$C,0),MATCH("SP Cost",'W-S'!$1:$1,0))</f>
        <v>0</v>
      </c>
      <c r="K732" s="9"/>
      <c r="L732" s="241" t="str">
        <f>+I732</f>
        <v>N/A</v>
      </c>
      <c r="M732" s="243">
        <f>INDEX('W-S'!$A:$N,MATCH(L732,'W-S'!$C:$C,0),MATCH("SP Cost V3",'W-S'!$1:$1,0))</f>
        <v>0</v>
      </c>
    </row>
    <row r="733" spans="1:13" ht="22.5" x14ac:dyDescent="0.35">
      <c r="B733" s="238" t="str">
        <f>+INDEX(WEAP!$A:$AN,MATCH(B732,WEAP!$B:$B,0),MATCH("ID",WEAP!$A$1:$BF$1,0))</f>
        <v>301117_01</v>
      </c>
      <c r="C733" s="240"/>
      <c r="D733" s="692" t="str">
        <f>+INDEX(WEAP!$A:$AN,MATCH(B732,WEAP!$B:$B,0),MATCH("Family",WEAP!$A$1:$BF$1,0))&amp;" Weapon"</f>
        <v>Void Weapon</v>
      </c>
      <c r="E733" s="693"/>
      <c r="F733" s="693"/>
      <c r="G733" s="694"/>
      <c r="H733" s="8"/>
      <c r="I733" s="695" t="str">
        <f>INDEX('W-S'!$A:$O,MATCH(I732,'W-S'!$C:$C,0),MATCH("Description",'W-S'!$1:$1,0))</f>
        <v>This weapon has no weapon skill.</v>
      </c>
      <c r="J733" s="696"/>
      <c r="K733" s="239"/>
      <c r="L733" s="695" t="str">
        <f>INDEX('W-S'!$A:$O,MATCH(I732,'W-S'!$C:$C,0),MATCH("Description V3",'W-S'!$1:$1,0))</f>
        <v>This weapon has no weapon skill.</v>
      </c>
      <c r="M733" s="696"/>
    </row>
    <row r="734" spans="1:13" ht="22.5" x14ac:dyDescent="0.2">
      <c r="B734" s="701" t="e" vm="125">
        <f>+_xlfn.IMAGE("https://natalie.tf/wp-content/uploads/2023/10/DLV3_Icon_Weapon_"&amp;B733&amp;".png")</f>
        <v>#VALUE!</v>
      </c>
      <c r="C734" s="240"/>
      <c r="D734" s="692" t="str">
        <f>INDEX(WEAP!$A:$AN,MATCH(B733,WEAP!$A:$A,0),MATCH("Element",WEAP!$A$1:$BF$1,0))&amp;" "&amp;INDEX(WEAP!$A:$AN,MATCH(B733,WEAP!$A:$A,0),MATCH("Type",WEAP!$A$1:$BF$1,0))</f>
        <v>Light Sword</v>
      </c>
      <c r="E734" s="693"/>
      <c r="F734" s="693"/>
      <c r="G734" s="694"/>
      <c r="H734" s="8"/>
      <c r="I734" s="697"/>
      <c r="J734" s="698"/>
      <c r="K734" s="9"/>
      <c r="L734" s="697"/>
      <c r="M734" s="698"/>
    </row>
    <row r="735" spans="1:13" ht="22.5" x14ac:dyDescent="0.35">
      <c r="B735" s="702"/>
      <c r="C735" s="239"/>
      <c r="D735" s="703" t="s">
        <v>10760</v>
      </c>
      <c r="E735" s="704"/>
      <c r="F735" s="235" t="s">
        <v>10761</v>
      </c>
      <c r="G735" s="235" t="s">
        <v>10762</v>
      </c>
      <c r="I735" s="697"/>
      <c r="J735" s="698"/>
      <c r="K735" s="239"/>
      <c r="L735" s="697"/>
      <c r="M735" s="698"/>
    </row>
    <row r="736" spans="1:13" ht="22.5" x14ac:dyDescent="0.35">
      <c r="B736" s="702"/>
      <c r="C736" s="239"/>
      <c r="D736" s="705" t="s">
        <v>96</v>
      </c>
      <c r="E736" s="706"/>
      <c r="F736" s="236">
        <f>INDEX(WEAP!$A:$AN,MATCH(B733,WEAP!$A:$A,0),MATCH("HP",WEAP!$A$1:$BF$1,0))</f>
        <v>172</v>
      </c>
      <c r="G736" s="237">
        <f>INDEX(WEAP!$A:$AN,MATCH(B733,WEAP!$A:$A,0),MATCH("HP V3",WEAP!$A$1:$BF$1,0))</f>
        <v>200</v>
      </c>
      <c r="I736" s="697"/>
      <c r="J736" s="698"/>
      <c r="K736" s="239"/>
      <c r="L736" s="697"/>
      <c r="M736" s="698"/>
    </row>
    <row r="737" spans="1:13" ht="22.5" x14ac:dyDescent="0.35">
      <c r="B737" s="702"/>
      <c r="C737" s="239"/>
      <c r="D737" s="707" t="s">
        <v>97</v>
      </c>
      <c r="E737" s="708"/>
      <c r="F737" s="236">
        <f>INDEX(WEAP!$A:$AN,MATCH(B733,WEAP!$A:$A,0),MATCH("Str",WEAP!$A$1:$BF$1,0))</f>
        <v>673</v>
      </c>
      <c r="G737" s="237">
        <f>INDEX(WEAP!$A:$AN,MATCH(B733,WEAP!$A:$A,0),MATCH("Str V3",WEAP!$A$1:$BF$1,0))</f>
        <v>675</v>
      </c>
      <c r="I737" s="699"/>
      <c r="J737" s="700"/>
      <c r="K737" s="239"/>
      <c r="L737" s="699"/>
      <c r="M737" s="700"/>
    </row>
    <row r="738" spans="1:13" ht="33.75" customHeight="1" x14ac:dyDescent="0.2">
      <c r="A738" t="s">
        <v>10763</v>
      </c>
    </row>
    <row r="739" spans="1:13" ht="22.5" x14ac:dyDescent="0.35">
      <c r="A739" s="244" t="str">
        <f>TEXT(A732+1,"000")</f>
        <v>106</v>
      </c>
      <c r="B739" s="238" t="str">
        <f>"W-"&amp;A739</f>
        <v>W-106</v>
      </c>
      <c r="C739" s="239"/>
      <c r="D739" s="692" t="str">
        <f>+INDEX(WEAP!$A:$AN,MATCH(B740,WEAP!$A:$A,0),MATCH("Name",WEAP!$A$1:$BF$1,0))</f>
        <v>Hollow Lightning</v>
      </c>
      <c r="E739" s="693"/>
      <c r="F739" s="693"/>
      <c r="G739" s="694"/>
      <c r="I739" s="241" t="str">
        <f>+INDEX(WEAP!$A:$AN,MATCH(B740,WEAP!$A:$A,0),MATCH("Weapon Skill",WEAP!$A$1:$BF$1,0))</f>
        <v>N/A</v>
      </c>
      <c r="J739" s="243">
        <f>INDEX('W-S'!$A:$N,MATCH(I739,'W-S'!$C:$C,0),MATCH("SP Cost",'W-S'!$1:$1,0))</f>
        <v>0</v>
      </c>
      <c r="K739" s="9"/>
      <c r="L739" s="241" t="str">
        <f>+I739</f>
        <v>N/A</v>
      </c>
      <c r="M739" s="243">
        <f>INDEX('W-S'!$A:$N,MATCH(L739,'W-S'!$C:$C,0),MATCH("SP Cost V3",'W-S'!$1:$1,0))</f>
        <v>0</v>
      </c>
    </row>
    <row r="740" spans="1:13" ht="22.5" x14ac:dyDescent="0.35">
      <c r="B740" s="238" t="str">
        <f>+INDEX(WEAP!$A:$AN,MATCH(B739,WEAP!$B:$B,0),MATCH("ID",WEAP!$A$1:$BF$1,0))</f>
        <v>302108_01</v>
      </c>
      <c r="C740" s="240"/>
      <c r="D740" s="692" t="str">
        <f>+INDEX(WEAP!$A:$AN,MATCH(B739,WEAP!$B:$B,0),MATCH("Family",WEAP!$A$1:$BF$1,0))&amp;" Weapon"</f>
        <v>Void Weapon</v>
      </c>
      <c r="E740" s="693"/>
      <c r="F740" s="693"/>
      <c r="G740" s="694"/>
      <c r="H740" s="8"/>
      <c r="I740" s="695" t="str">
        <f>INDEX('W-S'!$A:$O,MATCH(I739,'W-S'!$C:$C,0),MATCH("Description",'W-S'!$1:$1,0))</f>
        <v>This weapon has no weapon skill.</v>
      </c>
      <c r="J740" s="696"/>
      <c r="K740" s="239"/>
      <c r="L740" s="695" t="str">
        <f>INDEX('W-S'!$A:$O,MATCH(I739,'W-S'!$C:$C,0),MATCH("Description V3",'W-S'!$1:$1,0))</f>
        <v>This weapon has no weapon skill.</v>
      </c>
      <c r="M740" s="696"/>
    </row>
    <row r="741" spans="1:13" ht="22.5" x14ac:dyDescent="0.2">
      <c r="B741" s="701" t="e" vm="126">
        <f>+_xlfn.IMAGE("https://natalie.tf/wp-content/uploads/2023/10/DLV3_Icon_Weapon_"&amp;B740&amp;".png")</f>
        <v>#VALUE!</v>
      </c>
      <c r="C741" s="240"/>
      <c r="D741" s="692" t="str">
        <f>INDEX(WEAP!$A:$AN,MATCH(B740,WEAP!$A:$A,0),MATCH("Element",WEAP!$A$1:$BF$1,0))&amp;" "&amp;INDEX(WEAP!$A:$AN,MATCH(B740,WEAP!$A:$A,0),MATCH("Type",WEAP!$A$1:$BF$1,0))</f>
        <v>Light Blade</v>
      </c>
      <c r="E741" s="693"/>
      <c r="F741" s="693"/>
      <c r="G741" s="694"/>
      <c r="H741" s="8"/>
      <c r="I741" s="697"/>
      <c r="J741" s="698"/>
      <c r="K741" s="9"/>
      <c r="L741" s="697"/>
      <c r="M741" s="698"/>
    </row>
    <row r="742" spans="1:13" ht="22.5" x14ac:dyDescent="0.35">
      <c r="B742" s="702"/>
      <c r="C742" s="239"/>
      <c r="D742" s="703" t="s">
        <v>10760</v>
      </c>
      <c r="E742" s="704"/>
      <c r="F742" s="235" t="s">
        <v>10761</v>
      </c>
      <c r="G742" s="235" t="s">
        <v>10762</v>
      </c>
      <c r="I742" s="697"/>
      <c r="J742" s="698"/>
      <c r="K742" s="239"/>
      <c r="L742" s="697"/>
      <c r="M742" s="698"/>
    </row>
    <row r="743" spans="1:13" ht="22.5" x14ac:dyDescent="0.35">
      <c r="B743" s="702"/>
      <c r="C743" s="239"/>
      <c r="D743" s="705" t="s">
        <v>96</v>
      </c>
      <c r="E743" s="706"/>
      <c r="F743" s="236">
        <f>INDEX(WEAP!$A:$AN,MATCH(B740,WEAP!$A:$A,0),MATCH("HP",WEAP!$A$1:$BF$1,0))</f>
        <v>152</v>
      </c>
      <c r="G743" s="237">
        <f>INDEX(WEAP!$A:$AN,MATCH(B740,WEAP!$A:$A,0),MATCH("HP V3",WEAP!$A$1:$BF$1,0))</f>
        <v>175</v>
      </c>
      <c r="I743" s="697"/>
      <c r="J743" s="698"/>
      <c r="K743" s="239"/>
      <c r="L743" s="697"/>
      <c r="M743" s="698"/>
    </row>
    <row r="744" spans="1:13" ht="22.5" x14ac:dyDescent="0.35">
      <c r="B744" s="702"/>
      <c r="C744" s="239"/>
      <c r="D744" s="707" t="s">
        <v>97</v>
      </c>
      <c r="E744" s="708"/>
      <c r="F744" s="236">
        <f>INDEX(WEAP!$A:$AN,MATCH(B740,WEAP!$A:$A,0),MATCH("Str",WEAP!$A$1:$BF$1,0))</f>
        <v>713</v>
      </c>
      <c r="G744" s="237">
        <f>INDEX(WEAP!$A:$AN,MATCH(B740,WEAP!$A:$A,0),MATCH("Str V3",WEAP!$A$1:$BF$1,0))</f>
        <v>715</v>
      </c>
      <c r="I744" s="699"/>
      <c r="J744" s="700"/>
      <c r="K744" s="239"/>
      <c r="L744" s="699"/>
      <c r="M744" s="700"/>
    </row>
    <row r="745" spans="1:13" s="245" customFormat="1" ht="7.5" customHeight="1" x14ac:dyDescent="0.2">
      <c r="A745" s="245" t="s">
        <v>10763</v>
      </c>
    </row>
    <row r="746" spans="1:13" ht="22.5" x14ac:dyDescent="0.35">
      <c r="A746" s="242" t="str">
        <f>TEXT(A739+1,"000")</f>
        <v>107</v>
      </c>
      <c r="B746" s="238" t="str">
        <f>"W-"&amp;A746</f>
        <v>W-107</v>
      </c>
      <c r="C746" s="239"/>
      <c r="D746" s="692" t="str">
        <f>+INDEX(WEAP!$A:$AN,MATCH(B747,WEAP!$A:$A,0),MATCH("Name",WEAP!$A$1:$BF$1,0))</f>
        <v>Merciful Claw</v>
      </c>
      <c r="E746" s="693"/>
      <c r="F746" s="693"/>
      <c r="G746" s="694"/>
      <c r="I746" s="241" t="str">
        <f>+INDEX(WEAP!$A:$AN,MATCH(B747,WEAP!$A:$A,0),MATCH("Weapon Skill",WEAP!$A$1:$BF$1,0))</f>
        <v>N/A</v>
      </c>
      <c r="J746" s="243">
        <f>INDEX('W-S'!$A:$N,MATCH(I746,'W-S'!$C:$C,0),MATCH("SP Cost",'W-S'!$1:$1,0))</f>
        <v>0</v>
      </c>
      <c r="K746" s="9"/>
      <c r="L746" s="241" t="str">
        <f>+I746</f>
        <v>N/A</v>
      </c>
      <c r="M746" s="243">
        <f>INDEX('W-S'!$A:$N,MATCH(L746,'W-S'!$C:$C,0),MATCH("SP Cost V3",'W-S'!$1:$1,0))</f>
        <v>0</v>
      </c>
    </row>
    <row r="747" spans="1:13" ht="22.5" x14ac:dyDescent="0.35">
      <c r="B747" s="238" t="str">
        <f>+INDEX(WEAP!$A:$AN,MATCH(B746,WEAP!$B:$B,0),MATCH("ID",WEAP!$A$1:$BF$1,0))</f>
        <v>303107_01</v>
      </c>
      <c r="C747" s="240"/>
      <c r="D747" s="692" t="str">
        <f>+INDEX(WEAP!$A:$AN,MATCH(B746,WEAP!$B:$B,0),MATCH("Family",WEAP!$A$1:$BF$1,0))&amp;" Weapon"</f>
        <v>Void Weapon</v>
      </c>
      <c r="E747" s="693"/>
      <c r="F747" s="693"/>
      <c r="G747" s="694"/>
      <c r="H747" s="8"/>
      <c r="I747" s="695" t="str">
        <f>INDEX('W-S'!$A:$O,MATCH(I746,'W-S'!$C:$C,0),MATCH("Description",'W-S'!$1:$1,0))</f>
        <v>This weapon has no weapon skill.</v>
      </c>
      <c r="J747" s="696"/>
      <c r="K747" s="239"/>
      <c r="L747" s="695" t="str">
        <f>INDEX('W-S'!$A:$O,MATCH(I746,'W-S'!$C:$C,0),MATCH("Description V3",'W-S'!$1:$1,0))</f>
        <v>This weapon has no weapon skill.</v>
      </c>
      <c r="M747" s="696"/>
    </row>
    <row r="748" spans="1:13" ht="22.5" x14ac:dyDescent="0.2">
      <c r="B748" s="701" t="e" vm="127">
        <f>+_xlfn.IMAGE("https://natalie.tf/wp-content/uploads/2023/10/DLV3_Icon_Weapon_"&amp;B747&amp;".png")</f>
        <v>#VALUE!</v>
      </c>
      <c r="C748" s="240"/>
      <c r="D748" s="692" t="str">
        <f>INDEX(WEAP!$A:$AN,MATCH(B747,WEAP!$A:$A,0),MATCH("Element",WEAP!$A$1:$BF$1,0))&amp;" "&amp;INDEX(WEAP!$A:$AN,MATCH(B747,WEAP!$A:$A,0),MATCH("Type",WEAP!$A$1:$BF$1,0))</f>
        <v>Light Dagger</v>
      </c>
      <c r="E748" s="693"/>
      <c r="F748" s="693"/>
      <c r="G748" s="694"/>
      <c r="H748" s="8"/>
      <c r="I748" s="697"/>
      <c r="J748" s="698"/>
      <c r="K748" s="9"/>
      <c r="L748" s="697"/>
      <c r="M748" s="698"/>
    </row>
    <row r="749" spans="1:13" ht="22.5" x14ac:dyDescent="0.35">
      <c r="B749" s="702"/>
      <c r="C749" s="239"/>
      <c r="D749" s="703" t="s">
        <v>10760</v>
      </c>
      <c r="E749" s="704"/>
      <c r="F749" s="235" t="s">
        <v>10761</v>
      </c>
      <c r="G749" s="235" t="s">
        <v>10762</v>
      </c>
      <c r="I749" s="697"/>
      <c r="J749" s="698"/>
      <c r="K749" s="239"/>
      <c r="L749" s="697"/>
      <c r="M749" s="698"/>
    </row>
    <row r="750" spans="1:13" ht="22.5" x14ac:dyDescent="0.35">
      <c r="B750" s="702"/>
      <c r="C750" s="239"/>
      <c r="D750" s="705" t="s">
        <v>96</v>
      </c>
      <c r="E750" s="706"/>
      <c r="F750" s="236">
        <f>INDEX(WEAP!$A:$AN,MATCH(B747,WEAP!$A:$A,0),MATCH("HP",WEAP!$A$1:$BF$1,0))</f>
        <v>198</v>
      </c>
      <c r="G750" s="237">
        <f>INDEX(WEAP!$A:$AN,MATCH(B747,WEAP!$A:$A,0),MATCH("HP V3",WEAP!$A$1:$BF$1,0))</f>
        <v>200</v>
      </c>
      <c r="I750" s="697"/>
      <c r="J750" s="698"/>
      <c r="K750" s="239"/>
      <c r="L750" s="697"/>
      <c r="M750" s="698"/>
    </row>
    <row r="751" spans="1:13" ht="22.5" x14ac:dyDescent="0.35">
      <c r="B751" s="702"/>
      <c r="C751" s="239"/>
      <c r="D751" s="707" t="s">
        <v>97</v>
      </c>
      <c r="E751" s="708"/>
      <c r="F751" s="236">
        <f>INDEX(WEAP!$A:$AN,MATCH(B747,WEAP!$A:$A,0),MATCH("Str",WEAP!$A$1:$BF$1,0))</f>
        <v>608</v>
      </c>
      <c r="G751" s="237">
        <f>INDEX(WEAP!$A:$AN,MATCH(B747,WEAP!$A:$A,0),MATCH("Str V3",WEAP!$A$1:$BF$1,0))</f>
        <v>660</v>
      </c>
      <c r="I751" s="699"/>
      <c r="J751" s="700"/>
      <c r="K751" s="239"/>
      <c r="L751" s="699"/>
      <c r="M751" s="700"/>
    </row>
    <row r="752" spans="1:13" s="245" customFormat="1" ht="7.5" customHeight="1" x14ac:dyDescent="0.2">
      <c r="A752" s="245" t="s">
        <v>10763</v>
      </c>
    </row>
    <row r="753" spans="1:13" ht="22.5" x14ac:dyDescent="0.35">
      <c r="A753" s="244" t="str">
        <f>TEXT(A746+1,"000")</f>
        <v>108</v>
      </c>
      <c r="B753" s="238" t="str">
        <f>"W-"&amp;A753</f>
        <v>W-108</v>
      </c>
      <c r="C753" s="239"/>
      <c r="D753" s="692" t="str">
        <f>+INDEX(WEAP!$A:$AN,MATCH(B754,WEAP!$A:$A,0),MATCH("Name",WEAP!$A$1:$BF$1,0))</f>
        <v>Blitzfang</v>
      </c>
      <c r="E753" s="693"/>
      <c r="F753" s="693"/>
      <c r="G753" s="694"/>
      <c r="I753" s="241" t="str">
        <f>+INDEX(WEAP!$A:$AN,MATCH(B754,WEAP!$A:$A,0),MATCH("Weapon Skill",WEAP!$A$1:$BF$1,0))</f>
        <v>N/A</v>
      </c>
      <c r="J753" s="243">
        <f>INDEX('W-S'!$A:$N,MATCH(I753,'W-S'!$C:$C,0),MATCH("SP Cost",'W-S'!$1:$1,0))</f>
        <v>0</v>
      </c>
      <c r="K753" s="9"/>
      <c r="L753" s="241" t="str">
        <f>+I753</f>
        <v>N/A</v>
      </c>
      <c r="M753" s="243">
        <f>INDEX('W-S'!$A:$N,MATCH(L753,'W-S'!$C:$C,0),MATCH("SP Cost V3",'W-S'!$1:$1,0))</f>
        <v>0</v>
      </c>
    </row>
    <row r="754" spans="1:13" ht="22.5" x14ac:dyDescent="0.35">
      <c r="B754" s="238" t="str">
        <f>+INDEX(WEAP!$A:$AN,MATCH(B753,WEAP!$B:$B,0),MATCH("ID",WEAP!$A$1:$BF$1,0))</f>
        <v>304106_01</v>
      </c>
      <c r="C754" s="240"/>
      <c r="D754" s="692" t="str">
        <f>+INDEX(WEAP!$A:$AN,MATCH(B753,WEAP!$B:$B,0),MATCH("Family",WEAP!$A$1:$BF$1,0))&amp;" Weapon"</f>
        <v>Void Weapon</v>
      </c>
      <c r="E754" s="693"/>
      <c r="F754" s="693"/>
      <c r="G754" s="694"/>
      <c r="H754" s="8"/>
      <c r="I754" s="695" t="str">
        <f>INDEX('W-S'!$A:$O,MATCH(I753,'W-S'!$C:$C,0),MATCH("Description",'W-S'!$1:$1,0))</f>
        <v>This weapon has no weapon skill.</v>
      </c>
      <c r="J754" s="696"/>
      <c r="K754" s="239"/>
      <c r="L754" s="695" t="str">
        <f>INDEX('W-S'!$A:$O,MATCH(I753,'W-S'!$C:$C,0),MATCH("Description V3",'W-S'!$1:$1,0))</f>
        <v>This weapon has no weapon skill.</v>
      </c>
      <c r="M754" s="696"/>
    </row>
    <row r="755" spans="1:13" ht="22.5" x14ac:dyDescent="0.2">
      <c r="B755" s="701" t="e" vm="128">
        <f>+_xlfn.IMAGE("https://natalie.tf/wp-content/uploads/2023/10/DLV3_Icon_Weapon_"&amp;B754&amp;".png")</f>
        <v>#VALUE!</v>
      </c>
      <c r="C755" s="240"/>
      <c r="D755" s="692" t="str">
        <f>INDEX(WEAP!$A:$AN,MATCH(B754,WEAP!$A:$A,0),MATCH("Element",WEAP!$A$1:$BF$1,0))&amp;" "&amp;INDEX(WEAP!$A:$AN,MATCH(B754,WEAP!$A:$A,0),MATCH("Type",WEAP!$A$1:$BF$1,0))</f>
        <v>Light Axe</v>
      </c>
      <c r="E755" s="693"/>
      <c r="F755" s="693"/>
      <c r="G755" s="694"/>
      <c r="H755" s="8"/>
      <c r="I755" s="697"/>
      <c r="J755" s="698"/>
      <c r="K755" s="9"/>
      <c r="L755" s="697"/>
      <c r="M755" s="698"/>
    </row>
    <row r="756" spans="1:13" ht="22.5" x14ac:dyDescent="0.35">
      <c r="B756" s="702"/>
      <c r="C756" s="239"/>
      <c r="D756" s="703" t="s">
        <v>10760</v>
      </c>
      <c r="E756" s="704"/>
      <c r="F756" s="235" t="s">
        <v>10761</v>
      </c>
      <c r="G756" s="235" t="s">
        <v>10762</v>
      </c>
      <c r="I756" s="697"/>
      <c r="J756" s="698"/>
      <c r="K756" s="239"/>
      <c r="L756" s="697"/>
      <c r="M756" s="698"/>
    </row>
    <row r="757" spans="1:13" ht="22.5" x14ac:dyDescent="0.35">
      <c r="B757" s="702"/>
      <c r="C757" s="239"/>
      <c r="D757" s="705" t="s">
        <v>96</v>
      </c>
      <c r="E757" s="706"/>
      <c r="F757" s="236">
        <f>INDEX(WEAP!$A:$AN,MATCH(B754,WEAP!$A:$A,0),MATCH("HP",WEAP!$A$1:$BF$1,0))</f>
        <v>196</v>
      </c>
      <c r="G757" s="237">
        <f>INDEX(WEAP!$A:$AN,MATCH(B754,WEAP!$A:$A,0),MATCH("HP V3",WEAP!$A$1:$BF$1,0))</f>
        <v>200</v>
      </c>
      <c r="I757" s="697"/>
      <c r="J757" s="698"/>
      <c r="K757" s="239"/>
      <c r="L757" s="697"/>
      <c r="M757" s="698"/>
    </row>
    <row r="758" spans="1:13" ht="22.5" x14ac:dyDescent="0.35">
      <c r="B758" s="702"/>
      <c r="C758" s="239"/>
      <c r="D758" s="707" t="s">
        <v>97</v>
      </c>
      <c r="E758" s="708"/>
      <c r="F758" s="236">
        <f>INDEX(WEAP!$A:$AN,MATCH(B754,WEAP!$A:$A,0),MATCH("Str",WEAP!$A$1:$BF$1,0))</f>
        <v>665</v>
      </c>
      <c r="G758" s="237">
        <f>INDEX(WEAP!$A:$AN,MATCH(B754,WEAP!$A:$A,0),MATCH("Str V3",WEAP!$A$1:$BF$1,0))</f>
        <v>710</v>
      </c>
      <c r="I758" s="699"/>
      <c r="J758" s="700"/>
      <c r="K758" s="239"/>
      <c r="L758" s="699"/>
      <c r="M758" s="700"/>
    </row>
    <row r="759" spans="1:13" s="245" customFormat="1" ht="7.5" customHeight="1" x14ac:dyDescent="0.2">
      <c r="A759" s="245" t="s">
        <v>10763</v>
      </c>
    </row>
    <row r="760" spans="1:13" ht="22.5" x14ac:dyDescent="0.35">
      <c r="A760" s="244" t="str">
        <f>TEXT(A753+1,"000")</f>
        <v>109</v>
      </c>
      <c r="B760" s="238" t="str">
        <f>"W-"&amp;A760</f>
        <v>W-109</v>
      </c>
      <c r="C760" s="239"/>
      <c r="D760" s="692" t="str">
        <f>+INDEX(WEAP!$A:$AN,MATCH(B761,WEAP!$A:$A,0),MATCH("Name",WEAP!$A$1:$BF$1,0))</f>
        <v>Starpiercer</v>
      </c>
      <c r="E760" s="693"/>
      <c r="F760" s="693"/>
      <c r="G760" s="694"/>
      <c r="I760" s="241" t="str">
        <f>+INDEX(WEAP!$A:$AN,MATCH(B761,WEAP!$A:$A,0),MATCH("Weapon Skill",WEAP!$A$1:$BF$1,0))</f>
        <v>N/A</v>
      </c>
      <c r="J760" s="243">
        <f>INDEX('W-S'!$A:$N,MATCH(I760,'W-S'!$C:$C,0),MATCH("SP Cost",'W-S'!$1:$1,0))</f>
        <v>0</v>
      </c>
      <c r="K760" s="9"/>
      <c r="L760" s="241" t="str">
        <f>+I760</f>
        <v>N/A</v>
      </c>
      <c r="M760" s="243">
        <f>INDEX('W-S'!$A:$N,MATCH(L760,'W-S'!$C:$C,0),MATCH("SP Cost V3",'W-S'!$1:$1,0))</f>
        <v>0</v>
      </c>
    </row>
    <row r="761" spans="1:13" ht="22.5" x14ac:dyDescent="0.35">
      <c r="B761" s="238" t="str">
        <f>+INDEX(WEAP!$A:$AN,MATCH(B760,WEAP!$B:$B,0),MATCH("ID",WEAP!$A$1:$BF$1,0))</f>
        <v>305113_01</v>
      </c>
      <c r="C761" s="240"/>
      <c r="D761" s="692" t="str">
        <f>+INDEX(WEAP!$A:$AN,MATCH(B760,WEAP!$B:$B,0),MATCH("Family",WEAP!$A$1:$BF$1,0))&amp;" Weapon"</f>
        <v>Void Weapon</v>
      </c>
      <c r="E761" s="693"/>
      <c r="F761" s="693"/>
      <c r="G761" s="694"/>
      <c r="H761" s="8"/>
      <c r="I761" s="695" t="str">
        <f>INDEX('W-S'!$A:$O,MATCH(I760,'W-S'!$C:$C,0),MATCH("Description",'W-S'!$1:$1,0))</f>
        <v>This weapon has no weapon skill.</v>
      </c>
      <c r="J761" s="696"/>
      <c r="K761" s="239"/>
      <c r="L761" s="695" t="str">
        <f>INDEX('W-S'!$A:$O,MATCH(I760,'W-S'!$C:$C,0),MATCH("Description V3",'W-S'!$1:$1,0))</f>
        <v>This weapon has no weapon skill.</v>
      </c>
      <c r="M761" s="696"/>
    </row>
    <row r="762" spans="1:13" ht="22.5" x14ac:dyDescent="0.2">
      <c r="B762" s="701" t="e" vm="129">
        <f>+_xlfn.IMAGE("https://natalie.tf/wp-content/uploads/2023/10/DLV3_Icon_Weapon_"&amp;B761&amp;".png")</f>
        <v>#VALUE!</v>
      </c>
      <c r="C762" s="240"/>
      <c r="D762" s="692" t="str">
        <f>INDEX(WEAP!$A:$AN,MATCH(B761,WEAP!$A:$A,0),MATCH("Element",WEAP!$A$1:$BF$1,0))&amp;" "&amp;INDEX(WEAP!$A:$AN,MATCH(B761,WEAP!$A:$A,0),MATCH("Type",WEAP!$A$1:$BF$1,0))</f>
        <v>Light Lance</v>
      </c>
      <c r="E762" s="693"/>
      <c r="F762" s="693"/>
      <c r="G762" s="694"/>
      <c r="H762" s="8"/>
      <c r="I762" s="697"/>
      <c r="J762" s="698"/>
      <c r="K762" s="9"/>
      <c r="L762" s="697"/>
      <c r="M762" s="698"/>
    </row>
    <row r="763" spans="1:13" ht="22.5" x14ac:dyDescent="0.35">
      <c r="B763" s="702"/>
      <c r="C763" s="239"/>
      <c r="D763" s="703" t="s">
        <v>10760</v>
      </c>
      <c r="E763" s="704"/>
      <c r="F763" s="235" t="s">
        <v>10761</v>
      </c>
      <c r="G763" s="235" t="s">
        <v>10762</v>
      </c>
      <c r="I763" s="697"/>
      <c r="J763" s="698"/>
      <c r="K763" s="239"/>
      <c r="L763" s="697"/>
      <c r="M763" s="698"/>
    </row>
    <row r="764" spans="1:13" ht="22.5" x14ac:dyDescent="0.35">
      <c r="B764" s="702"/>
      <c r="C764" s="239"/>
      <c r="D764" s="705" t="s">
        <v>96</v>
      </c>
      <c r="E764" s="706"/>
      <c r="F764" s="236">
        <f>INDEX(WEAP!$A:$AN,MATCH(B761,WEAP!$A:$A,0),MATCH("HP",WEAP!$A$1:$BF$1,0))</f>
        <v>185</v>
      </c>
      <c r="G764" s="237">
        <f>INDEX(WEAP!$A:$AN,MATCH(B761,WEAP!$A:$A,0),MATCH("HP V3",WEAP!$A$1:$BF$1,0))</f>
        <v>200</v>
      </c>
      <c r="I764" s="697"/>
      <c r="J764" s="698"/>
      <c r="K764" s="239"/>
      <c r="L764" s="697"/>
      <c r="M764" s="698"/>
    </row>
    <row r="765" spans="1:13" ht="22.5" x14ac:dyDescent="0.35">
      <c r="B765" s="702"/>
      <c r="C765" s="239"/>
      <c r="D765" s="707" t="s">
        <v>97</v>
      </c>
      <c r="E765" s="708"/>
      <c r="F765" s="236">
        <f>INDEX(WEAP!$A:$AN,MATCH(B761,WEAP!$A:$A,0),MATCH("Str",WEAP!$A$1:$BF$1,0))</f>
        <v>666</v>
      </c>
      <c r="G765" s="237">
        <f>INDEX(WEAP!$A:$AN,MATCH(B761,WEAP!$A:$A,0),MATCH("Str V3",WEAP!$A$1:$BF$1,0))</f>
        <v>670</v>
      </c>
      <c r="I765" s="699"/>
      <c r="J765" s="700"/>
      <c r="K765" s="239"/>
      <c r="L765" s="699"/>
      <c r="M765" s="700"/>
    </row>
    <row r="766" spans="1:13" s="245" customFormat="1" ht="7.5" customHeight="1" x14ac:dyDescent="0.2">
      <c r="A766" s="245" t="s">
        <v>10763</v>
      </c>
    </row>
    <row r="767" spans="1:13" ht="22.5" x14ac:dyDescent="0.35">
      <c r="A767" s="244" t="str">
        <f>TEXT(A760+1,"000")</f>
        <v>110</v>
      </c>
      <c r="B767" s="238" t="str">
        <f>"W-"&amp;A767</f>
        <v>W-110</v>
      </c>
      <c r="C767" s="239"/>
      <c r="D767" s="692" t="str">
        <f>+INDEX(WEAP!$A:$AN,MATCH(B768,WEAP!$A:$A,0),MATCH("Name",WEAP!$A$1:$BF$1,0))</f>
        <v>Astral Echo</v>
      </c>
      <c r="E767" s="693"/>
      <c r="F767" s="693"/>
      <c r="G767" s="694"/>
      <c r="I767" s="241" t="str">
        <f>+INDEX(WEAP!$A:$AN,MATCH(B768,WEAP!$A:$A,0),MATCH("Weapon Skill",WEAP!$A$1:$BF$1,0))</f>
        <v>N/A</v>
      </c>
      <c r="J767" s="243">
        <f>INDEX('W-S'!$A:$N,MATCH(I767,'W-S'!$C:$C,0),MATCH("SP Cost",'W-S'!$1:$1,0))</f>
        <v>0</v>
      </c>
      <c r="K767" s="9"/>
      <c r="L767" s="241" t="str">
        <f>+I767</f>
        <v>N/A</v>
      </c>
      <c r="M767" s="243">
        <f>INDEX('W-S'!$A:$N,MATCH(L767,'W-S'!$C:$C,0),MATCH("SP Cost V3",'W-S'!$1:$1,0))</f>
        <v>0</v>
      </c>
    </row>
    <row r="768" spans="1:13" ht="22.5" x14ac:dyDescent="0.35">
      <c r="B768" s="238" t="str">
        <f>+INDEX(WEAP!$A:$AN,MATCH(B767,WEAP!$B:$B,0),MATCH("ID",WEAP!$A$1:$BF$1,0))</f>
        <v>306106_01</v>
      </c>
      <c r="C768" s="240"/>
      <c r="D768" s="692" t="str">
        <f>+INDEX(WEAP!$A:$AN,MATCH(B767,WEAP!$B:$B,0),MATCH("Family",WEAP!$A$1:$BF$1,0))&amp;" Weapon"</f>
        <v>Void Weapon</v>
      </c>
      <c r="E768" s="693"/>
      <c r="F768" s="693"/>
      <c r="G768" s="694"/>
      <c r="H768" s="8"/>
      <c r="I768" s="695" t="str">
        <f>INDEX('W-S'!$A:$O,MATCH(I767,'W-S'!$C:$C,0),MATCH("Description",'W-S'!$1:$1,0))</f>
        <v>This weapon has no weapon skill.</v>
      </c>
      <c r="J768" s="696"/>
      <c r="K768" s="239"/>
      <c r="L768" s="695" t="str">
        <f>INDEX('W-S'!$A:$O,MATCH(I767,'W-S'!$C:$C,0),MATCH("Description V3",'W-S'!$1:$1,0))</f>
        <v>This weapon has no weapon skill.</v>
      </c>
      <c r="M768" s="696"/>
    </row>
    <row r="769" spans="1:13" ht="22.5" x14ac:dyDescent="0.2">
      <c r="B769" s="701" t="e" vm="130">
        <f>+_xlfn.IMAGE("https://natalie.tf/wp-content/uploads/2023/10/DLV3_Icon_Weapon_"&amp;B768&amp;".png")</f>
        <v>#VALUE!</v>
      </c>
      <c r="C769" s="240"/>
      <c r="D769" s="692" t="str">
        <f>INDEX(WEAP!$A:$AN,MATCH(B768,WEAP!$A:$A,0),MATCH("Element",WEAP!$A$1:$BF$1,0))&amp;" "&amp;INDEX(WEAP!$A:$AN,MATCH(B768,WEAP!$A:$A,0),MATCH("Type",WEAP!$A$1:$BF$1,0))</f>
        <v>Light Bow</v>
      </c>
      <c r="E769" s="693"/>
      <c r="F769" s="693"/>
      <c r="G769" s="694"/>
      <c r="H769" s="8"/>
      <c r="I769" s="697"/>
      <c r="J769" s="698"/>
      <c r="K769" s="9"/>
      <c r="L769" s="697"/>
      <c r="M769" s="698"/>
    </row>
    <row r="770" spans="1:13" ht="22.5" x14ac:dyDescent="0.35">
      <c r="B770" s="702"/>
      <c r="C770" s="239"/>
      <c r="D770" s="703" t="s">
        <v>10760</v>
      </c>
      <c r="E770" s="704"/>
      <c r="F770" s="235" t="s">
        <v>10761</v>
      </c>
      <c r="G770" s="235" t="s">
        <v>10762</v>
      </c>
      <c r="I770" s="697"/>
      <c r="J770" s="698"/>
      <c r="K770" s="239"/>
      <c r="L770" s="697"/>
      <c r="M770" s="698"/>
    </row>
    <row r="771" spans="1:13" ht="22.5" x14ac:dyDescent="0.35">
      <c r="B771" s="702"/>
      <c r="C771" s="239"/>
      <c r="D771" s="705" t="s">
        <v>96</v>
      </c>
      <c r="E771" s="706"/>
      <c r="F771" s="236">
        <f>INDEX(WEAP!$A:$AN,MATCH(B768,WEAP!$A:$A,0),MATCH("HP",WEAP!$A$1:$BF$1,0))</f>
        <v>178</v>
      </c>
      <c r="G771" s="237">
        <f>INDEX(WEAP!$A:$AN,MATCH(B768,WEAP!$A:$A,0),MATCH("HP V3",WEAP!$A$1:$BF$1,0))</f>
        <v>190</v>
      </c>
      <c r="I771" s="697"/>
      <c r="J771" s="698"/>
      <c r="K771" s="239"/>
      <c r="L771" s="697"/>
      <c r="M771" s="698"/>
    </row>
    <row r="772" spans="1:13" ht="22.5" x14ac:dyDescent="0.35">
      <c r="B772" s="702"/>
      <c r="C772" s="239"/>
      <c r="D772" s="707" t="s">
        <v>97</v>
      </c>
      <c r="E772" s="708"/>
      <c r="F772" s="236">
        <f>INDEX(WEAP!$A:$AN,MATCH(B768,WEAP!$A:$A,0),MATCH("Str",WEAP!$A$1:$BF$1,0))</f>
        <v>627</v>
      </c>
      <c r="G772" s="237">
        <f>INDEX(WEAP!$A:$AN,MATCH(B768,WEAP!$A:$A,0),MATCH("Str V3",WEAP!$A$1:$BF$1,0))</f>
        <v>630</v>
      </c>
      <c r="I772" s="699"/>
      <c r="J772" s="700"/>
      <c r="K772" s="239"/>
      <c r="L772" s="699"/>
      <c r="M772" s="700"/>
    </row>
    <row r="773" spans="1:13" ht="33.75" customHeight="1" x14ac:dyDescent="0.2">
      <c r="A773" t="s">
        <v>10763</v>
      </c>
    </row>
    <row r="774" spans="1:13" ht="22.5" x14ac:dyDescent="0.35">
      <c r="A774" s="244" t="str">
        <f>TEXT(A767+1,"000")</f>
        <v>111</v>
      </c>
      <c r="B774" s="238" t="str">
        <f>"W-"&amp;A774</f>
        <v>W-111</v>
      </c>
      <c r="C774" s="239"/>
      <c r="D774" s="692" t="str">
        <f>+INDEX(WEAP!$A:$AN,MATCH(B775,WEAP!$A:$A,0),MATCH("Name",WEAP!$A$1:$BF$1,0))</f>
        <v>Worldshaker</v>
      </c>
      <c r="E774" s="693"/>
      <c r="F774" s="693"/>
      <c r="G774" s="694"/>
      <c r="I774" s="241" t="str">
        <f>+INDEX(WEAP!$A:$AN,MATCH(B775,WEAP!$A:$A,0),MATCH("Weapon Skill",WEAP!$A$1:$BF$1,0))</f>
        <v>N/A</v>
      </c>
      <c r="J774" s="243">
        <f>INDEX('W-S'!$A:$N,MATCH(I774,'W-S'!$C:$C,0),MATCH("SP Cost",'W-S'!$1:$1,0))</f>
        <v>0</v>
      </c>
      <c r="K774" s="9"/>
      <c r="L774" s="241" t="str">
        <f>+I774</f>
        <v>N/A</v>
      </c>
      <c r="M774" s="243">
        <f>INDEX('W-S'!$A:$N,MATCH(L774,'W-S'!$C:$C,0),MATCH("SP Cost V3",'W-S'!$1:$1,0))</f>
        <v>0</v>
      </c>
    </row>
    <row r="775" spans="1:13" ht="22.5" x14ac:dyDescent="0.35">
      <c r="B775" s="238" t="str">
        <f>+INDEX(WEAP!$A:$AN,MATCH(B774,WEAP!$B:$B,0),MATCH("ID",WEAP!$A$1:$BF$1,0))</f>
        <v>307114_01</v>
      </c>
      <c r="C775" s="240"/>
      <c r="D775" s="692" t="str">
        <f>+INDEX(WEAP!$A:$AN,MATCH(B774,WEAP!$B:$B,0),MATCH("Family",WEAP!$A$1:$BF$1,0))&amp;" Weapon"</f>
        <v>Void Weapon</v>
      </c>
      <c r="E775" s="693"/>
      <c r="F775" s="693"/>
      <c r="G775" s="694"/>
      <c r="H775" s="8"/>
      <c r="I775" s="695" t="str">
        <f>INDEX('W-S'!$A:$O,MATCH(I774,'W-S'!$C:$C,0),MATCH("Description",'W-S'!$1:$1,0))</f>
        <v>This weapon has no weapon skill.</v>
      </c>
      <c r="J775" s="696"/>
      <c r="K775" s="239"/>
      <c r="L775" s="695" t="str">
        <f>INDEX('W-S'!$A:$O,MATCH(I774,'W-S'!$C:$C,0),MATCH("Description V3",'W-S'!$1:$1,0))</f>
        <v>This weapon has no weapon skill.</v>
      </c>
      <c r="M775" s="696"/>
    </row>
    <row r="776" spans="1:13" ht="22.5" x14ac:dyDescent="0.2">
      <c r="B776" s="701" t="e" vm="131">
        <f>+_xlfn.IMAGE("https://natalie.tf/wp-content/uploads/2023/10/DLV3_Icon_Weapon_"&amp;B775&amp;".png")</f>
        <v>#VALUE!</v>
      </c>
      <c r="C776" s="240"/>
      <c r="D776" s="692" t="str">
        <f>INDEX(WEAP!$A:$AN,MATCH(B775,WEAP!$A:$A,0),MATCH("Element",WEAP!$A$1:$BF$1,0))&amp;" "&amp;INDEX(WEAP!$A:$AN,MATCH(B775,WEAP!$A:$A,0),MATCH("Type",WEAP!$A$1:$BF$1,0))</f>
        <v>Light Wand</v>
      </c>
      <c r="E776" s="693"/>
      <c r="F776" s="693"/>
      <c r="G776" s="694"/>
      <c r="H776" s="8"/>
      <c r="I776" s="697"/>
      <c r="J776" s="698"/>
      <c r="K776" s="9"/>
      <c r="L776" s="697"/>
      <c r="M776" s="698"/>
    </row>
    <row r="777" spans="1:13" ht="22.5" x14ac:dyDescent="0.35">
      <c r="B777" s="702"/>
      <c r="C777" s="239"/>
      <c r="D777" s="703" t="s">
        <v>10760</v>
      </c>
      <c r="E777" s="704"/>
      <c r="F777" s="235" t="s">
        <v>10761</v>
      </c>
      <c r="G777" s="235" t="s">
        <v>10762</v>
      </c>
      <c r="I777" s="697"/>
      <c r="J777" s="698"/>
      <c r="K777" s="239"/>
      <c r="L777" s="697"/>
      <c r="M777" s="698"/>
    </row>
    <row r="778" spans="1:13" ht="22.5" x14ac:dyDescent="0.35">
      <c r="B778" s="702"/>
      <c r="C778" s="239"/>
      <c r="D778" s="705" t="s">
        <v>96</v>
      </c>
      <c r="E778" s="706"/>
      <c r="F778" s="236">
        <f>INDEX(WEAP!$A:$AN,MATCH(B775,WEAP!$A:$A,0),MATCH("HP",WEAP!$A$1:$BF$1,0))</f>
        <v>179</v>
      </c>
      <c r="G778" s="237">
        <f>INDEX(WEAP!$A:$AN,MATCH(B775,WEAP!$A:$A,0),MATCH("HP V3",WEAP!$A$1:$BF$1,0))</f>
        <v>185</v>
      </c>
      <c r="I778" s="697"/>
      <c r="J778" s="698"/>
      <c r="K778" s="239"/>
      <c r="L778" s="697"/>
      <c r="M778" s="698"/>
    </row>
    <row r="779" spans="1:13" ht="22.5" x14ac:dyDescent="0.35">
      <c r="B779" s="702"/>
      <c r="C779" s="239"/>
      <c r="D779" s="707" t="s">
        <v>97</v>
      </c>
      <c r="E779" s="708"/>
      <c r="F779" s="236">
        <f>INDEX(WEAP!$A:$AN,MATCH(B775,WEAP!$A:$A,0),MATCH("Str",WEAP!$A$1:$BF$1,0))</f>
        <v>653</v>
      </c>
      <c r="G779" s="237">
        <f>INDEX(WEAP!$A:$AN,MATCH(B775,WEAP!$A:$A,0),MATCH("Str V3",WEAP!$A$1:$BF$1,0))</f>
        <v>695</v>
      </c>
      <c r="I779" s="699"/>
      <c r="J779" s="700"/>
      <c r="K779" s="239"/>
      <c r="L779" s="699"/>
      <c r="M779" s="700"/>
    </row>
    <row r="780" spans="1:13" s="245" customFormat="1" ht="7.5" customHeight="1" x14ac:dyDescent="0.2">
      <c r="A780" s="245" t="s">
        <v>10763</v>
      </c>
    </row>
    <row r="781" spans="1:13" ht="22.5" x14ac:dyDescent="0.35">
      <c r="A781" s="242" t="str">
        <f>TEXT(A774+1,"000")</f>
        <v>112</v>
      </c>
      <c r="B781" s="238" t="str">
        <f>"W-"&amp;A781</f>
        <v>W-112</v>
      </c>
      <c r="C781" s="239"/>
      <c r="D781" s="692" t="str">
        <f>+INDEX(WEAP!$A:$AN,MATCH(B782,WEAP!$A:$A,0),MATCH("Name",WEAP!$A$1:$BF$1,0))</f>
        <v>Dominus of Ever</v>
      </c>
      <c r="E781" s="693"/>
      <c r="F781" s="693"/>
      <c r="G781" s="694"/>
      <c r="I781" s="241" t="str">
        <f>+INDEX(WEAP!$A:$AN,MATCH(B782,WEAP!$A:$A,0),MATCH("Weapon Skill",WEAP!$A$1:$BF$1,0))</f>
        <v>N/A</v>
      </c>
      <c r="J781" s="243">
        <f>INDEX('W-S'!$A:$N,MATCH(I781,'W-S'!$C:$C,0),MATCH("SP Cost",'W-S'!$1:$1,0))</f>
        <v>0</v>
      </c>
      <c r="K781" s="9"/>
      <c r="L781" s="241" t="str">
        <f>+I781</f>
        <v>N/A</v>
      </c>
      <c r="M781" s="243">
        <f>INDEX('W-S'!$A:$N,MATCH(L781,'W-S'!$C:$C,0),MATCH("SP Cost V3",'W-S'!$1:$1,0))</f>
        <v>0</v>
      </c>
    </row>
    <row r="782" spans="1:13" ht="22.5" x14ac:dyDescent="0.35">
      <c r="B782" s="238" t="str">
        <f>+INDEX(WEAP!$A:$AN,MATCH(B781,WEAP!$B:$B,0),MATCH("ID",WEAP!$A$1:$BF$1,0))</f>
        <v>308107_01</v>
      </c>
      <c r="C782" s="240"/>
      <c r="D782" s="692" t="str">
        <f>+INDEX(WEAP!$A:$AN,MATCH(B781,WEAP!$B:$B,0),MATCH("Family",WEAP!$A$1:$BF$1,0))&amp;" Weapon"</f>
        <v>Void Weapon</v>
      </c>
      <c r="E782" s="693"/>
      <c r="F782" s="693"/>
      <c r="G782" s="694"/>
      <c r="H782" s="8"/>
      <c r="I782" s="695" t="str">
        <f>INDEX('W-S'!$A:$O,MATCH(I781,'W-S'!$C:$C,0),MATCH("Description",'W-S'!$1:$1,0))</f>
        <v>This weapon has no weapon skill.</v>
      </c>
      <c r="J782" s="696"/>
      <c r="K782" s="239"/>
      <c r="L782" s="695" t="str">
        <f>INDEX('W-S'!$A:$O,MATCH(I781,'W-S'!$C:$C,0),MATCH("Description V3",'W-S'!$1:$1,0))</f>
        <v>This weapon has no weapon skill.</v>
      </c>
      <c r="M782" s="696"/>
    </row>
    <row r="783" spans="1:13" ht="22.5" x14ac:dyDescent="0.2">
      <c r="B783" s="701" t="e" vm="132">
        <f>+_xlfn.IMAGE("https://natalie.tf/wp-content/uploads/2023/10/DLV3_Icon_Weapon_"&amp;B782&amp;".png")</f>
        <v>#VALUE!</v>
      </c>
      <c r="C783" s="240"/>
      <c r="D783" s="692" t="str">
        <f>INDEX(WEAP!$A:$AN,MATCH(B782,WEAP!$A:$A,0),MATCH("Element",WEAP!$A$1:$BF$1,0))&amp;" "&amp;INDEX(WEAP!$A:$AN,MATCH(B782,WEAP!$A:$A,0),MATCH("Type",WEAP!$A$1:$BF$1,0))</f>
        <v>Light Staff</v>
      </c>
      <c r="E783" s="693"/>
      <c r="F783" s="693"/>
      <c r="G783" s="694"/>
      <c r="H783" s="8"/>
      <c r="I783" s="697"/>
      <c r="J783" s="698"/>
      <c r="K783" s="9"/>
      <c r="L783" s="697"/>
      <c r="M783" s="698"/>
    </row>
    <row r="784" spans="1:13" ht="22.5" x14ac:dyDescent="0.35">
      <c r="B784" s="702"/>
      <c r="C784" s="239"/>
      <c r="D784" s="703" t="s">
        <v>10760</v>
      </c>
      <c r="E784" s="704"/>
      <c r="F784" s="235" t="s">
        <v>10761</v>
      </c>
      <c r="G784" s="235" t="s">
        <v>10762</v>
      </c>
      <c r="I784" s="697"/>
      <c r="J784" s="698"/>
      <c r="K784" s="239"/>
      <c r="L784" s="697"/>
      <c r="M784" s="698"/>
    </row>
    <row r="785" spans="1:13" ht="22.5" x14ac:dyDescent="0.35">
      <c r="B785" s="702"/>
      <c r="C785" s="239"/>
      <c r="D785" s="705" t="s">
        <v>96</v>
      </c>
      <c r="E785" s="706"/>
      <c r="F785" s="236">
        <f>INDEX(WEAP!$A:$AN,MATCH(B782,WEAP!$A:$A,0),MATCH("HP",WEAP!$A$1:$BF$1,0))</f>
        <v>216</v>
      </c>
      <c r="G785" s="237">
        <f>INDEX(WEAP!$A:$AN,MATCH(B782,WEAP!$A:$A,0),MATCH("HP V3",WEAP!$A$1:$BF$1,0))</f>
        <v>220</v>
      </c>
      <c r="I785" s="697"/>
      <c r="J785" s="698"/>
      <c r="K785" s="239"/>
      <c r="L785" s="697"/>
      <c r="M785" s="698"/>
    </row>
    <row r="786" spans="1:13" ht="22.5" x14ac:dyDescent="0.35">
      <c r="B786" s="702"/>
      <c r="C786" s="239"/>
      <c r="D786" s="707" t="s">
        <v>97</v>
      </c>
      <c r="E786" s="708"/>
      <c r="F786" s="236">
        <f>INDEX(WEAP!$A:$AN,MATCH(B782,WEAP!$A:$A,0),MATCH("Str",WEAP!$A$1:$BF$1,0))</f>
        <v>590</v>
      </c>
      <c r="G786" s="237">
        <f>INDEX(WEAP!$A:$AN,MATCH(B782,WEAP!$A:$A,0),MATCH("Str V3",WEAP!$A$1:$BF$1,0))</f>
        <v>590</v>
      </c>
      <c r="I786" s="699"/>
      <c r="J786" s="700"/>
      <c r="K786" s="239"/>
      <c r="L786" s="699"/>
      <c r="M786" s="700"/>
    </row>
    <row r="787" spans="1:13" s="245" customFormat="1" ht="7.5" customHeight="1" x14ac:dyDescent="0.2">
      <c r="A787" s="245" t="s">
        <v>10763</v>
      </c>
    </row>
    <row r="788" spans="1:13" ht="22.5" x14ac:dyDescent="0.35">
      <c r="A788" s="244" t="str">
        <f>TEXT(A781+1,"000")</f>
        <v>113</v>
      </c>
      <c r="B788" s="238" t="str">
        <f>"W-"&amp;A788</f>
        <v>W-113</v>
      </c>
      <c r="C788" s="239"/>
      <c r="D788" s="692" t="str">
        <f>+INDEX(WEAP!$A:$AN,MATCH(B789,WEAP!$A:$A,0),MATCH("Name",WEAP!$A$1:$BF$1,0))</f>
        <v>Abyssbringer</v>
      </c>
      <c r="E788" s="693"/>
      <c r="F788" s="693"/>
      <c r="G788" s="694"/>
      <c r="I788" s="241" t="str">
        <f>+INDEX(WEAP!$A:$AN,MATCH(B789,WEAP!$A:$A,0),MATCH("Weapon Skill",WEAP!$A$1:$BF$1,0))</f>
        <v>N/A</v>
      </c>
      <c r="J788" s="243">
        <f>INDEX('W-S'!$A:$N,MATCH(I788,'W-S'!$C:$C,0),MATCH("SP Cost",'W-S'!$1:$1,0))</f>
        <v>0</v>
      </c>
      <c r="K788" s="9"/>
      <c r="L788" s="241" t="str">
        <f>+I788</f>
        <v>N/A</v>
      </c>
      <c r="M788" s="243">
        <f>INDEX('W-S'!$A:$N,MATCH(L788,'W-S'!$C:$C,0),MATCH("SP Cost V3",'W-S'!$1:$1,0))</f>
        <v>0</v>
      </c>
    </row>
    <row r="789" spans="1:13" ht="22.5" x14ac:dyDescent="0.35">
      <c r="B789" s="238" t="str">
        <f>+INDEX(WEAP!$A:$AN,MATCH(B788,WEAP!$B:$B,0),MATCH("ID",WEAP!$A$1:$BF$1,0))</f>
        <v>301106_01</v>
      </c>
      <c r="C789" s="240"/>
      <c r="D789" s="692" t="str">
        <f>+INDEX(WEAP!$A:$AN,MATCH(B788,WEAP!$B:$B,0),MATCH("Family",WEAP!$A$1:$BF$1,0))&amp;" Weapon"</f>
        <v>Void Weapon</v>
      </c>
      <c r="E789" s="693"/>
      <c r="F789" s="693"/>
      <c r="G789" s="694"/>
      <c r="H789" s="8"/>
      <c r="I789" s="695" t="str">
        <f>INDEX('W-S'!$A:$O,MATCH(I788,'W-S'!$C:$C,0),MATCH("Description",'W-S'!$1:$1,0))</f>
        <v>This weapon has no weapon skill.</v>
      </c>
      <c r="J789" s="696"/>
      <c r="K789" s="239"/>
      <c r="L789" s="695" t="str">
        <f>INDEX('W-S'!$A:$O,MATCH(I788,'W-S'!$C:$C,0),MATCH("Description V3",'W-S'!$1:$1,0))</f>
        <v>This weapon has no weapon skill.</v>
      </c>
      <c r="M789" s="696"/>
    </row>
    <row r="790" spans="1:13" ht="22.5" x14ac:dyDescent="0.2">
      <c r="B790" s="701" t="e" vm="133">
        <f>+_xlfn.IMAGE("https://natalie.tf/wp-content/uploads/2023/10/DLV3_Icon_Weapon_"&amp;B789&amp;".png")</f>
        <v>#VALUE!</v>
      </c>
      <c r="C790" s="240"/>
      <c r="D790" s="692" t="str">
        <f>INDEX(WEAP!$A:$AN,MATCH(B789,WEAP!$A:$A,0),MATCH("Element",WEAP!$A$1:$BF$1,0))&amp;" "&amp;INDEX(WEAP!$A:$AN,MATCH(B789,WEAP!$A:$A,0),MATCH("Type",WEAP!$A$1:$BF$1,0))</f>
        <v>Shadow Sword</v>
      </c>
      <c r="E790" s="693"/>
      <c r="F790" s="693"/>
      <c r="G790" s="694"/>
      <c r="H790" s="8"/>
      <c r="I790" s="697"/>
      <c r="J790" s="698"/>
      <c r="K790" s="9"/>
      <c r="L790" s="697"/>
      <c r="M790" s="698"/>
    </row>
    <row r="791" spans="1:13" ht="22.5" x14ac:dyDescent="0.35">
      <c r="B791" s="702"/>
      <c r="C791" s="239"/>
      <c r="D791" s="703" t="s">
        <v>10760</v>
      </c>
      <c r="E791" s="704"/>
      <c r="F791" s="235" t="s">
        <v>10761</v>
      </c>
      <c r="G791" s="235" t="s">
        <v>10762</v>
      </c>
      <c r="I791" s="697"/>
      <c r="J791" s="698"/>
      <c r="K791" s="239"/>
      <c r="L791" s="697"/>
      <c r="M791" s="698"/>
    </row>
    <row r="792" spans="1:13" ht="22.5" x14ac:dyDescent="0.35">
      <c r="B792" s="702"/>
      <c r="C792" s="239"/>
      <c r="D792" s="705" t="s">
        <v>96</v>
      </c>
      <c r="E792" s="706"/>
      <c r="F792" s="236">
        <f>INDEX(WEAP!$A:$AN,MATCH(B789,WEAP!$A:$A,0),MATCH("HP",WEAP!$A$1:$BF$1,0))</f>
        <v>182</v>
      </c>
      <c r="G792" s="237">
        <f>INDEX(WEAP!$A:$AN,MATCH(B789,WEAP!$A:$A,0),MATCH("HP V3",WEAP!$A$1:$BF$1,0))</f>
        <v>200</v>
      </c>
      <c r="I792" s="697"/>
      <c r="J792" s="698"/>
      <c r="K792" s="239"/>
      <c r="L792" s="697"/>
      <c r="M792" s="698"/>
    </row>
    <row r="793" spans="1:13" ht="22.5" x14ac:dyDescent="0.35">
      <c r="B793" s="702"/>
      <c r="C793" s="239"/>
      <c r="D793" s="707" t="s">
        <v>97</v>
      </c>
      <c r="E793" s="708"/>
      <c r="F793" s="236">
        <f>INDEX(WEAP!$A:$AN,MATCH(B789,WEAP!$A:$A,0),MATCH("Str",WEAP!$A$1:$BF$1,0))</f>
        <v>653</v>
      </c>
      <c r="G793" s="237">
        <f>INDEX(WEAP!$A:$AN,MATCH(B789,WEAP!$A:$A,0),MATCH("Str V3",WEAP!$A$1:$BF$1,0))</f>
        <v>675</v>
      </c>
      <c r="I793" s="699"/>
      <c r="J793" s="700"/>
      <c r="K793" s="239"/>
      <c r="L793" s="699"/>
      <c r="M793" s="700"/>
    </row>
    <row r="794" spans="1:13" s="245" customFormat="1" ht="7.5" customHeight="1" x14ac:dyDescent="0.2">
      <c r="A794" s="245" t="s">
        <v>10763</v>
      </c>
    </row>
    <row r="795" spans="1:13" ht="22.5" x14ac:dyDescent="0.35">
      <c r="A795" s="244" t="str">
        <f>TEXT(A788+1,"000")</f>
        <v>114</v>
      </c>
      <c r="B795" s="238" t="str">
        <f>"W-"&amp;A795</f>
        <v>W-114</v>
      </c>
      <c r="C795" s="239"/>
      <c r="D795" s="692" t="str">
        <f>+INDEX(WEAP!$A:$AN,MATCH(B796,WEAP!$A:$A,0),MATCH("Name",WEAP!$A$1:$BF$1,0))</f>
        <v>Nightsky Ripper</v>
      </c>
      <c r="E795" s="693"/>
      <c r="F795" s="693"/>
      <c r="G795" s="694"/>
      <c r="I795" s="241" t="str">
        <f>+INDEX(WEAP!$A:$AN,MATCH(B796,WEAP!$A:$A,0),MATCH("Weapon Skill",WEAP!$A$1:$BF$1,0))</f>
        <v>N/A</v>
      </c>
      <c r="J795" s="243">
        <f>INDEX('W-S'!$A:$N,MATCH(I795,'W-S'!$C:$C,0),MATCH("SP Cost",'W-S'!$1:$1,0))</f>
        <v>0</v>
      </c>
      <c r="K795" s="9"/>
      <c r="L795" s="241" t="str">
        <f>+I795</f>
        <v>N/A</v>
      </c>
      <c r="M795" s="243">
        <f>INDEX('W-S'!$A:$N,MATCH(L795,'W-S'!$C:$C,0),MATCH("SP Cost V3",'W-S'!$1:$1,0))</f>
        <v>0</v>
      </c>
    </row>
    <row r="796" spans="1:13" ht="22.5" x14ac:dyDescent="0.35">
      <c r="B796" s="238" t="str">
        <f>+INDEX(WEAP!$A:$AN,MATCH(B795,WEAP!$B:$B,0),MATCH("ID",WEAP!$A$1:$BF$1,0))</f>
        <v>302097_01</v>
      </c>
      <c r="C796" s="240"/>
      <c r="D796" s="692" t="str">
        <f>+INDEX(WEAP!$A:$AN,MATCH(B795,WEAP!$B:$B,0),MATCH("Family",WEAP!$A$1:$BF$1,0))&amp;" Weapon"</f>
        <v>Void Weapon</v>
      </c>
      <c r="E796" s="693"/>
      <c r="F796" s="693"/>
      <c r="G796" s="694"/>
      <c r="H796" s="8"/>
      <c r="I796" s="695" t="str">
        <f>INDEX('W-S'!$A:$O,MATCH(I795,'W-S'!$C:$C,0),MATCH("Description",'W-S'!$1:$1,0))</f>
        <v>This weapon has no weapon skill.</v>
      </c>
      <c r="J796" s="696"/>
      <c r="K796" s="239"/>
      <c r="L796" s="695" t="str">
        <f>INDEX('W-S'!$A:$O,MATCH(I795,'W-S'!$C:$C,0),MATCH("Description V3",'W-S'!$1:$1,0))</f>
        <v>This weapon has no weapon skill.</v>
      </c>
      <c r="M796" s="696"/>
    </row>
    <row r="797" spans="1:13" ht="22.5" x14ac:dyDescent="0.2">
      <c r="B797" s="701" t="e" vm="134">
        <f>+_xlfn.IMAGE("https://natalie.tf/wp-content/uploads/2023/10/DLV3_Icon_Weapon_"&amp;B796&amp;".png")</f>
        <v>#VALUE!</v>
      </c>
      <c r="C797" s="240"/>
      <c r="D797" s="692" t="str">
        <f>INDEX(WEAP!$A:$AN,MATCH(B796,WEAP!$A:$A,0),MATCH("Element",WEAP!$A$1:$BF$1,0))&amp;" "&amp;INDEX(WEAP!$A:$AN,MATCH(B796,WEAP!$A:$A,0),MATCH("Type",WEAP!$A$1:$BF$1,0))</f>
        <v>Shadow Blade</v>
      </c>
      <c r="E797" s="693"/>
      <c r="F797" s="693"/>
      <c r="G797" s="694"/>
      <c r="H797" s="8"/>
      <c r="I797" s="697"/>
      <c r="J797" s="698"/>
      <c r="K797" s="9"/>
      <c r="L797" s="697"/>
      <c r="M797" s="698"/>
    </row>
    <row r="798" spans="1:13" ht="22.5" x14ac:dyDescent="0.35">
      <c r="B798" s="702"/>
      <c r="C798" s="239"/>
      <c r="D798" s="703" t="s">
        <v>10760</v>
      </c>
      <c r="E798" s="704"/>
      <c r="F798" s="235" t="s">
        <v>10761</v>
      </c>
      <c r="G798" s="235" t="s">
        <v>10762</v>
      </c>
      <c r="I798" s="697"/>
      <c r="J798" s="698"/>
      <c r="K798" s="239"/>
      <c r="L798" s="697"/>
      <c r="M798" s="698"/>
    </row>
    <row r="799" spans="1:13" ht="22.5" x14ac:dyDescent="0.35">
      <c r="B799" s="702"/>
      <c r="C799" s="239"/>
      <c r="D799" s="705" t="s">
        <v>96</v>
      </c>
      <c r="E799" s="706"/>
      <c r="F799" s="236">
        <f>INDEX(WEAP!$A:$AN,MATCH(B796,WEAP!$A:$A,0),MATCH("HP",WEAP!$A$1:$BF$1,0))</f>
        <v>152</v>
      </c>
      <c r="G799" s="237">
        <f>INDEX(WEAP!$A:$AN,MATCH(B796,WEAP!$A:$A,0),MATCH("HP V3",WEAP!$A$1:$BF$1,0))</f>
        <v>175</v>
      </c>
      <c r="I799" s="697"/>
      <c r="J799" s="698"/>
      <c r="K799" s="239"/>
      <c r="L799" s="697"/>
      <c r="M799" s="698"/>
    </row>
    <row r="800" spans="1:13" ht="22.5" x14ac:dyDescent="0.35">
      <c r="B800" s="702"/>
      <c r="C800" s="239"/>
      <c r="D800" s="707" t="s">
        <v>97</v>
      </c>
      <c r="E800" s="708"/>
      <c r="F800" s="236">
        <f>INDEX(WEAP!$A:$AN,MATCH(B796,WEAP!$A:$A,0),MATCH("Str",WEAP!$A$1:$BF$1,0))</f>
        <v>713</v>
      </c>
      <c r="G800" s="237">
        <f>INDEX(WEAP!$A:$AN,MATCH(B796,WEAP!$A:$A,0),MATCH("Str V3",WEAP!$A$1:$BF$1,0))</f>
        <v>715</v>
      </c>
      <c r="I800" s="699"/>
      <c r="J800" s="700"/>
      <c r="K800" s="239"/>
      <c r="L800" s="699"/>
      <c r="M800" s="700"/>
    </row>
    <row r="801" spans="1:13" s="245" customFormat="1" ht="7.5" customHeight="1" x14ac:dyDescent="0.2">
      <c r="A801" s="245" t="s">
        <v>10763</v>
      </c>
    </row>
    <row r="802" spans="1:13" ht="22.5" x14ac:dyDescent="0.35">
      <c r="A802" s="244" t="str">
        <f>TEXT(A795+1,"000")</f>
        <v>115</v>
      </c>
      <c r="B802" s="238" t="str">
        <f>"W-"&amp;A802</f>
        <v>W-115</v>
      </c>
      <c r="C802" s="239"/>
      <c r="D802" s="692" t="str">
        <f>+INDEX(WEAP!$A:$AN,MATCH(B803,WEAP!$A:$A,0),MATCH("Name",WEAP!$A$1:$BF$1,0))</f>
        <v>Death Seeker</v>
      </c>
      <c r="E802" s="693"/>
      <c r="F802" s="693"/>
      <c r="G802" s="694"/>
      <c r="I802" s="241" t="str">
        <f>+INDEX(WEAP!$A:$AN,MATCH(B803,WEAP!$A:$A,0),MATCH("Weapon Skill",WEAP!$A$1:$BF$1,0))</f>
        <v>N/A</v>
      </c>
      <c r="J802" s="243">
        <f>INDEX('W-S'!$A:$N,MATCH(I802,'W-S'!$C:$C,0),MATCH("SP Cost",'W-S'!$1:$1,0))</f>
        <v>0</v>
      </c>
      <c r="K802" s="9"/>
      <c r="L802" s="241" t="str">
        <f>+I802</f>
        <v>N/A</v>
      </c>
      <c r="M802" s="243">
        <f>INDEX('W-S'!$A:$N,MATCH(L802,'W-S'!$C:$C,0),MATCH("SP Cost V3",'W-S'!$1:$1,0))</f>
        <v>0</v>
      </c>
    </row>
    <row r="803" spans="1:13" ht="22.5" x14ac:dyDescent="0.35">
      <c r="B803" s="238" t="str">
        <f>+INDEX(WEAP!$A:$AN,MATCH(B802,WEAP!$B:$B,0),MATCH("ID",WEAP!$A$1:$BF$1,0))</f>
        <v>303096_01</v>
      </c>
      <c r="C803" s="240"/>
      <c r="D803" s="692" t="str">
        <f>+INDEX(WEAP!$A:$AN,MATCH(B802,WEAP!$B:$B,0),MATCH("Family",WEAP!$A$1:$BF$1,0))&amp;" Weapon"</f>
        <v>Void Weapon</v>
      </c>
      <c r="E803" s="693"/>
      <c r="F803" s="693"/>
      <c r="G803" s="694"/>
      <c r="H803" s="8"/>
      <c r="I803" s="695" t="str">
        <f>INDEX('W-S'!$A:$O,MATCH(I802,'W-S'!$C:$C,0),MATCH("Description",'W-S'!$1:$1,0))</f>
        <v>This weapon has no weapon skill.</v>
      </c>
      <c r="J803" s="696"/>
      <c r="K803" s="239"/>
      <c r="L803" s="695" t="str">
        <f>INDEX('W-S'!$A:$O,MATCH(I802,'W-S'!$C:$C,0),MATCH("Description V3",'W-S'!$1:$1,0))</f>
        <v>This weapon has no weapon skill.</v>
      </c>
      <c r="M803" s="696"/>
    </row>
    <row r="804" spans="1:13" ht="22.5" x14ac:dyDescent="0.2">
      <c r="B804" s="701" t="e" vm="135">
        <f>+_xlfn.IMAGE("https://natalie.tf/wp-content/uploads/2023/10/DLV3_Icon_Weapon_"&amp;B803&amp;".png")</f>
        <v>#VALUE!</v>
      </c>
      <c r="C804" s="240"/>
      <c r="D804" s="692" t="str">
        <f>INDEX(WEAP!$A:$AN,MATCH(B803,WEAP!$A:$A,0),MATCH("Element",WEAP!$A$1:$BF$1,0))&amp;" "&amp;INDEX(WEAP!$A:$AN,MATCH(B803,WEAP!$A:$A,0),MATCH("Type",WEAP!$A$1:$BF$1,0))</f>
        <v>Shadow Dagger</v>
      </c>
      <c r="E804" s="693"/>
      <c r="F804" s="693"/>
      <c r="G804" s="694"/>
      <c r="H804" s="8"/>
      <c r="I804" s="697"/>
      <c r="J804" s="698"/>
      <c r="K804" s="9"/>
      <c r="L804" s="697"/>
      <c r="M804" s="698"/>
    </row>
    <row r="805" spans="1:13" ht="22.5" x14ac:dyDescent="0.35">
      <c r="B805" s="702"/>
      <c r="C805" s="239"/>
      <c r="D805" s="703" t="s">
        <v>10760</v>
      </c>
      <c r="E805" s="704"/>
      <c r="F805" s="235" t="s">
        <v>10761</v>
      </c>
      <c r="G805" s="235" t="s">
        <v>10762</v>
      </c>
      <c r="I805" s="697"/>
      <c r="J805" s="698"/>
      <c r="K805" s="239"/>
      <c r="L805" s="697"/>
      <c r="M805" s="698"/>
    </row>
    <row r="806" spans="1:13" ht="22.5" x14ac:dyDescent="0.35">
      <c r="B806" s="702"/>
      <c r="C806" s="239"/>
      <c r="D806" s="705" t="s">
        <v>96</v>
      </c>
      <c r="E806" s="706"/>
      <c r="F806" s="236">
        <f>INDEX(WEAP!$A:$AN,MATCH(B803,WEAP!$A:$A,0),MATCH("HP",WEAP!$A$1:$BF$1,0))</f>
        <v>192</v>
      </c>
      <c r="G806" s="237">
        <f>INDEX(WEAP!$A:$AN,MATCH(B803,WEAP!$A:$A,0),MATCH("HP V3",WEAP!$A$1:$BF$1,0))</f>
        <v>200</v>
      </c>
      <c r="I806" s="697"/>
      <c r="J806" s="698"/>
      <c r="K806" s="239"/>
      <c r="L806" s="697"/>
      <c r="M806" s="698"/>
    </row>
    <row r="807" spans="1:13" ht="22.5" x14ac:dyDescent="0.35">
      <c r="B807" s="702"/>
      <c r="C807" s="239"/>
      <c r="D807" s="707" t="s">
        <v>97</v>
      </c>
      <c r="E807" s="708"/>
      <c r="F807" s="236">
        <f>INDEX(WEAP!$A:$AN,MATCH(B803,WEAP!$A:$A,0),MATCH("Str",WEAP!$A$1:$BF$1,0))</f>
        <v>621</v>
      </c>
      <c r="G807" s="237">
        <f>INDEX(WEAP!$A:$AN,MATCH(B803,WEAP!$A:$A,0),MATCH("Str V3",WEAP!$A$1:$BF$1,0))</f>
        <v>660</v>
      </c>
      <c r="I807" s="699"/>
      <c r="J807" s="700"/>
      <c r="K807" s="239"/>
      <c r="L807" s="699"/>
      <c r="M807" s="700"/>
    </row>
    <row r="808" spans="1:13" ht="33.75" customHeight="1" x14ac:dyDescent="0.2">
      <c r="A808" t="s">
        <v>10763</v>
      </c>
    </row>
    <row r="809" spans="1:13" ht="22.5" x14ac:dyDescent="0.35">
      <c r="A809" s="244" t="str">
        <f>TEXT(A802+1,"000")</f>
        <v>116</v>
      </c>
      <c r="B809" s="238" t="str">
        <f>"W-"&amp;A809</f>
        <v>W-116</v>
      </c>
      <c r="C809" s="239"/>
      <c r="D809" s="692" t="str">
        <f>+INDEX(WEAP!$A:$AN,MATCH(B810,WEAP!$A:$A,0),MATCH("Name",WEAP!$A$1:$BF$1,0))</f>
        <v>Genocide Cleaver</v>
      </c>
      <c r="E809" s="693"/>
      <c r="F809" s="693"/>
      <c r="G809" s="694"/>
      <c r="I809" s="241" t="str">
        <f>+INDEX(WEAP!$A:$AN,MATCH(B810,WEAP!$A:$A,0),MATCH("Weapon Skill",WEAP!$A$1:$BF$1,0))</f>
        <v>N/A</v>
      </c>
      <c r="J809" s="243">
        <f>INDEX('W-S'!$A:$N,MATCH(I809,'W-S'!$C:$C,0),MATCH("SP Cost",'W-S'!$1:$1,0))</f>
        <v>0</v>
      </c>
      <c r="K809" s="9"/>
      <c r="L809" s="241" t="str">
        <f>+I809</f>
        <v>N/A</v>
      </c>
      <c r="M809" s="243">
        <f>INDEX('W-S'!$A:$N,MATCH(L809,'W-S'!$C:$C,0),MATCH("SP Cost V3",'W-S'!$1:$1,0))</f>
        <v>0</v>
      </c>
    </row>
    <row r="810" spans="1:13" ht="22.5" x14ac:dyDescent="0.35">
      <c r="B810" s="238" t="str">
        <f>+INDEX(WEAP!$A:$AN,MATCH(B809,WEAP!$B:$B,0),MATCH("ID",WEAP!$A$1:$BF$1,0))</f>
        <v>304095_01</v>
      </c>
      <c r="C810" s="240"/>
      <c r="D810" s="692" t="str">
        <f>+INDEX(WEAP!$A:$AN,MATCH(B809,WEAP!$B:$B,0),MATCH("Family",WEAP!$A$1:$BF$1,0))&amp;" Weapon"</f>
        <v>Void Weapon</v>
      </c>
      <c r="E810" s="693"/>
      <c r="F810" s="693"/>
      <c r="G810" s="694"/>
      <c r="H810" s="8"/>
      <c r="I810" s="695" t="str">
        <f>INDEX('W-S'!$A:$O,MATCH(I809,'W-S'!$C:$C,0),MATCH("Description",'W-S'!$1:$1,0))</f>
        <v>This weapon has no weapon skill.</v>
      </c>
      <c r="J810" s="696"/>
      <c r="K810" s="239"/>
      <c r="L810" s="695" t="str">
        <f>INDEX('W-S'!$A:$O,MATCH(I809,'W-S'!$C:$C,0),MATCH("Description V3",'W-S'!$1:$1,0))</f>
        <v>This weapon has no weapon skill.</v>
      </c>
      <c r="M810" s="696"/>
    </row>
    <row r="811" spans="1:13" ht="22.5" x14ac:dyDescent="0.2">
      <c r="B811" s="701" t="e" vm="136">
        <f>+_xlfn.IMAGE("https://natalie.tf/wp-content/uploads/2023/10/DLV3_Icon_Weapon_"&amp;B810&amp;".png")</f>
        <v>#VALUE!</v>
      </c>
      <c r="C811" s="240"/>
      <c r="D811" s="692" t="str">
        <f>INDEX(WEAP!$A:$AN,MATCH(B810,WEAP!$A:$A,0),MATCH("Element",WEAP!$A$1:$BF$1,0))&amp;" "&amp;INDEX(WEAP!$A:$AN,MATCH(B810,WEAP!$A:$A,0),MATCH("Type",WEAP!$A$1:$BF$1,0))</f>
        <v>Shadow Axe</v>
      </c>
      <c r="E811" s="693"/>
      <c r="F811" s="693"/>
      <c r="G811" s="694"/>
      <c r="H811" s="8"/>
      <c r="I811" s="697"/>
      <c r="J811" s="698"/>
      <c r="K811" s="9"/>
      <c r="L811" s="697"/>
      <c r="M811" s="698"/>
    </row>
    <row r="812" spans="1:13" ht="22.5" x14ac:dyDescent="0.35">
      <c r="B812" s="702"/>
      <c r="C812" s="239"/>
      <c r="D812" s="703" t="s">
        <v>10760</v>
      </c>
      <c r="E812" s="704"/>
      <c r="F812" s="235" t="s">
        <v>10761</v>
      </c>
      <c r="G812" s="235" t="s">
        <v>10762</v>
      </c>
      <c r="I812" s="697"/>
      <c r="J812" s="698"/>
      <c r="K812" s="239"/>
      <c r="L812" s="697"/>
      <c r="M812" s="698"/>
    </row>
    <row r="813" spans="1:13" ht="22.5" x14ac:dyDescent="0.35">
      <c r="B813" s="702"/>
      <c r="C813" s="239"/>
      <c r="D813" s="705" t="s">
        <v>96</v>
      </c>
      <c r="E813" s="706"/>
      <c r="F813" s="236">
        <f>INDEX(WEAP!$A:$AN,MATCH(B810,WEAP!$A:$A,0),MATCH("HP",WEAP!$A$1:$BF$1,0))</f>
        <v>178</v>
      </c>
      <c r="G813" s="237">
        <f>INDEX(WEAP!$A:$AN,MATCH(B810,WEAP!$A:$A,0),MATCH("HP V3",WEAP!$A$1:$BF$1,0))</f>
        <v>200</v>
      </c>
      <c r="I813" s="697"/>
      <c r="J813" s="698"/>
      <c r="K813" s="239"/>
      <c r="L813" s="697"/>
      <c r="M813" s="698"/>
    </row>
    <row r="814" spans="1:13" ht="22.5" x14ac:dyDescent="0.35">
      <c r="B814" s="702"/>
      <c r="C814" s="239"/>
      <c r="D814" s="707" t="s">
        <v>97</v>
      </c>
      <c r="E814" s="708"/>
      <c r="F814" s="236">
        <f>INDEX(WEAP!$A:$AN,MATCH(B810,WEAP!$A:$A,0),MATCH("Str",WEAP!$A$1:$BF$1,0))</f>
        <v>707</v>
      </c>
      <c r="G814" s="237">
        <f>INDEX(WEAP!$A:$AN,MATCH(B810,WEAP!$A:$A,0),MATCH("Str V3",WEAP!$A$1:$BF$1,0))</f>
        <v>710</v>
      </c>
      <c r="I814" s="699"/>
      <c r="J814" s="700"/>
      <c r="K814" s="239"/>
      <c r="L814" s="699"/>
      <c r="M814" s="700"/>
    </row>
    <row r="815" spans="1:13" s="245" customFormat="1" ht="7.5" customHeight="1" x14ac:dyDescent="0.2">
      <c r="A815" s="245" t="s">
        <v>10763</v>
      </c>
    </row>
    <row r="816" spans="1:13" ht="22.5" x14ac:dyDescent="0.35">
      <c r="A816" s="242" t="str">
        <f>TEXT(A809+1,"000")</f>
        <v>117</v>
      </c>
      <c r="B816" s="238" t="str">
        <f>"W-"&amp;A816</f>
        <v>W-117</v>
      </c>
      <c r="C816" s="239"/>
      <c r="D816" s="692" t="str">
        <f>+INDEX(WEAP!$A:$AN,MATCH(B817,WEAP!$A:$A,0),MATCH("Name",WEAP!$A$1:$BF$1,0))</f>
        <v>Final Eclipse</v>
      </c>
      <c r="E816" s="693"/>
      <c r="F816" s="693"/>
      <c r="G816" s="694"/>
      <c r="I816" s="241" t="str">
        <f>+INDEX(WEAP!$A:$AN,MATCH(B817,WEAP!$A:$A,0),MATCH("Weapon Skill",WEAP!$A$1:$BF$1,0))</f>
        <v>N/A</v>
      </c>
      <c r="J816" s="243">
        <f>INDEX('W-S'!$A:$N,MATCH(I816,'W-S'!$C:$C,0),MATCH("SP Cost",'W-S'!$1:$1,0))</f>
        <v>0</v>
      </c>
      <c r="K816" s="9"/>
      <c r="L816" s="241" t="str">
        <f>+I816</f>
        <v>N/A</v>
      </c>
      <c r="M816" s="243">
        <f>INDEX('W-S'!$A:$N,MATCH(L816,'W-S'!$C:$C,0),MATCH("SP Cost V3",'W-S'!$1:$1,0))</f>
        <v>0</v>
      </c>
    </row>
    <row r="817" spans="1:13" ht="22.5" x14ac:dyDescent="0.35">
      <c r="B817" s="238" t="str">
        <f>+INDEX(WEAP!$A:$AN,MATCH(B816,WEAP!$B:$B,0),MATCH("ID",WEAP!$A$1:$BF$1,0))</f>
        <v>305102_01</v>
      </c>
      <c r="C817" s="240"/>
      <c r="D817" s="692" t="str">
        <f>+INDEX(WEAP!$A:$AN,MATCH(B816,WEAP!$B:$B,0),MATCH("Family",WEAP!$A$1:$BF$1,0))&amp;" Weapon"</f>
        <v>Void Weapon</v>
      </c>
      <c r="E817" s="693"/>
      <c r="F817" s="693"/>
      <c r="G817" s="694"/>
      <c r="H817" s="8"/>
      <c r="I817" s="695" t="str">
        <f>INDEX('W-S'!$A:$O,MATCH(I816,'W-S'!$C:$C,0),MATCH("Description",'W-S'!$1:$1,0))</f>
        <v>This weapon has no weapon skill.</v>
      </c>
      <c r="J817" s="696"/>
      <c r="K817" s="239"/>
      <c r="L817" s="695" t="str">
        <f>INDEX('W-S'!$A:$O,MATCH(I816,'W-S'!$C:$C,0),MATCH("Description V3",'W-S'!$1:$1,0))</f>
        <v>This weapon has no weapon skill.</v>
      </c>
      <c r="M817" s="696"/>
    </row>
    <row r="818" spans="1:13" ht="22.5" x14ac:dyDescent="0.2">
      <c r="B818" s="701" t="e" vm="137">
        <f>+_xlfn.IMAGE("https://natalie.tf/wp-content/uploads/2023/10/DLV3_Icon_Weapon_"&amp;B817&amp;".png")</f>
        <v>#VALUE!</v>
      </c>
      <c r="C818" s="240"/>
      <c r="D818" s="692" t="str">
        <f>INDEX(WEAP!$A:$AN,MATCH(B817,WEAP!$A:$A,0),MATCH("Element",WEAP!$A$1:$BF$1,0))&amp;" "&amp;INDEX(WEAP!$A:$AN,MATCH(B817,WEAP!$A:$A,0),MATCH("Type",WEAP!$A$1:$BF$1,0))</f>
        <v>Shadow Lance</v>
      </c>
      <c r="E818" s="693"/>
      <c r="F818" s="693"/>
      <c r="G818" s="694"/>
      <c r="H818" s="8"/>
      <c r="I818" s="697"/>
      <c r="J818" s="698"/>
      <c r="K818" s="9"/>
      <c r="L818" s="697"/>
      <c r="M818" s="698"/>
    </row>
    <row r="819" spans="1:13" ht="22.5" x14ac:dyDescent="0.35">
      <c r="B819" s="702"/>
      <c r="C819" s="239"/>
      <c r="D819" s="703" t="s">
        <v>10760</v>
      </c>
      <c r="E819" s="704"/>
      <c r="F819" s="235" t="s">
        <v>10761</v>
      </c>
      <c r="G819" s="235" t="s">
        <v>10762</v>
      </c>
      <c r="I819" s="697"/>
      <c r="J819" s="698"/>
      <c r="K819" s="239"/>
      <c r="L819" s="697"/>
      <c r="M819" s="698"/>
    </row>
    <row r="820" spans="1:13" ht="22.5" x14ac:dyDescent="0.35">
      <c r="B820" s="702"/>
      <c r="C820" s="239"/>
      <c r="D820" s="705" t="s">
        <v>96</v>
      </c>
      <c r="E820" s="706"/>
      <c r="F820" s="236">
        <f>INDEX(WEAP!$A:$AN,MATCH(B817,WEAP!$A:$A,0),MATCH("HP",WEAP!$A$1:$BF$1,0))</f>
        <v>200</v>
      </c>
      <c r="G820" s="237">
        <f>INDEX(WEAP!$A:$AN,MATCH(B817,WEAP!$A:$A,0),MATCH("HP V3",WEAP!$A$1:$BF$1,0))</f>
        <v>200</v>
      </c>
      <c r="I820" s="697"/>
      <c r="J820" s="698"/>
      <c r="K820" s="239"/>
      <c r="L820" s="697"/>
      <c r="M820" s="698"/>
    </row>
    <row r="821" spans="1:13" ht="22.5" x14ac:dyDescent="0.35">
      <c r="B821" s="702"/>
      <c r="C821" s="239"/>
      <c r="D821" s="707" t="s">
        <v>97</v>
      </c>
      <c r="E821" s="708"/>
      <c r="F821" s="236">
        <f>INDEX(WEAP!$A:$AN,MATCH(B817,WEAP!$A:$A,0),MATCH("Str",WEAP!$A$1:$BF$1,0))</f>
        <v>633</v>
      </c>
      <c r="G821" s="237">
        <f>INDEX(WEAP!$A:$AN,MATCH(B817,WEAP!$A:$A,0),MATCH("Str V3",WEAP!$A$1:$BF$1,0))</f>
        <v>670</v>
      </c>
      <c r="I821" s="699"/>
      <c r="J821" s="700"/>
      <c r="K821" s="239"/>
      <c r="L821" s="699"/>
      <c r="M821" s="700"/>
    </row>
    <row r="822" spans="1:13" s="245" customFormat="1" ht="7.5" customHeight="1" x14ac:dyDescent="0.2">
      <c r="A822" s="245" t="s">
        <v>10763</v>
      </c>
    </row>
    <row r="823" spans="1:13" ht="22.5" x14ac:dyDescent="0.35">
      <c r="A823" s="244" t="str">
        <f>TEXT(A816+1,"000")</f>
        <v>118</v>
      </c>
      <c r="B823" s="238" t="str">
        <f>"W-"&amp;A823</f>
        <v>W-118</v>
      </c>
      <c r="C823" s="239"/>
      <c r="D823" s="692" t="str">
        <f>+INDEX(WEAP!$A:$AN,MATCH(B824,WEAP!$A:$A,0),MATCH("Name",WEAP!$A$1:$BF$1,0))</f>
        <v>Black Dahlia Bow</v>
      </c>
      <c r="E823" s="693"/>
      <c r="F823" s="693"/>
      <c r="G823" s="694"/>
      <c r="I823" s="241" t="str">
        <f>+INDEX(WEAP!$A:$AN,MATCH(B824,WEAP!$A:$A,0),MATCH("Weapon Skill",WEAP!$A$1:$BF$1,0))</f>
        <v>N/A</v>
      </c>
      <c r="J823" s="243">
        <f>INDEX('W-S'!$A:$N,MATCH(I823,'W-S'!$C:$C,0),MATCH("SP Cost",'W-S'!$1:$1,0))</f>
        <v>0</v>
      </c>
      <c r="K823" s="9"/>
      <c r="L823" s="241" t="str">
        <f>+I823</f>
        <v>N/A</v>
      </c>
      <c r="M823" s="243">
        <f>INDEX('W-S'!$A:$N,MATCH(L823,'W-S'!$C:$C,0),MATCH("SP Cost V3",'W-S'!$1:$1,0))</f>
        <v>0</v>
      </c>
    </row>
    <row r="824" spans="1:13" ht="22.5" x14ac:dyDescent="0.35">
      <c r="B824" s="238" t="str">
        <f>+INDEX(WEAP!$A:$AN,MATCH(B823,WEAP!$B:$B,0),MATCH("ID",WEAP!$A$1:$BF$1,0))</f>
        <v>306095_01</v>
      </c>
      <c r="C824" s="240"/>
      <c r="D824" s="692" t="str">
        <f>+INDEX(WEAP!$A:$AN,MATCH(B823,WEAP!$B:$B,0),MATCH("Family",WEAP!$A$1:$BF$1,0))&amp;" Weapon"</f>
        <v>Void Weapon</v>
      </c>
      <c r="E824" s="693"/>
      <c r="F824" s="693"/>
      <c r="G824" s="694"/>
      <c r="H824" s="8"/>
      <c r="I824" s="695" t="str">
        <f>INDEX('W-S'!$A:$O,MATCH(I823,'W-S'!$C:$C,0),MATCH("Description",'W-S'!$1:$1,0))</f>
        <v>This weapon has no weapon skill.</v>
      </c>
      <c r="J824" s="696"/>
      <c r="K824" s="239"/>
      <c r="L824" s="695" t="str">
        <f>INDEX('W-S'!$A:$O,MATCH(I823,'W-S'!$C:$C,0),MATCH("Description V3",'W-S'!$1:$1,0))</f>
        <v>This weapon has no weapon skill.</v>
      </c>
      <c r="M824" s="696"/>
    </row>
    <row r="825" spans="1:13" ht="22.5" x14ac:dyDescent="0.2">
      <c r="B825" s="701" t="e" vm="138">
        <f>+_xlfn.IMAGE("https://natalie.tf/wp-content/uploads/2023/10/DLV3_Icon_Weapon_"&amp;B824&amp;".png")</f>
        <v>#VALUE!</v>
      </c>
      <c r="C825" s="240"/>
      <c r="D825" s="692" t="str">
        <f>INDEX(WEAP!$A:$AN,MATCH(B824,WEAP!$A:$A,0),MATCH("Element",WEAP!$A$1:$BF$1,0))&amp;" "&amp;INDEX(WEAP!$A:$AN,MATCH(B824,WEAP!$A:$A,0),MATCH("Type",WEAP!$A$1:$BF$1,0))</f>
        <v>Shadow Bow</v>
      </c>
      <c r="E825" s="693"/>
      <c r="F825" s="693"/>
      <c r="G825" s="694"/>
      <c r="H825" s="8"/>
      <c r="I825" s="697"/>
      <c r="J825" s="698"/>
      <c r="K825" s="9"/>
      <c r="L825" s="697"/>
      <c r="M825" s="698"/>
    </row>
    <row r="826" spans="1:13" ht="22.5" x14ac:dyDescent="0.35">
      <c r="B826" s="702"/>
      <c r="C826" s="239"/>
      <c r="D826" s="703" t="s">
        <v>10760</v>
      </c>
      <c r="E826" s="704"/>
      <c r="F826" s="235" t="s">
        <v>10761</v>
      </c>
      <c r="G826" s="235" t="s">
        <v>10762</v>
      </c>
      <c r="I826" s="697"/>
      <c r="J826" s="698"/>
      <c r="K826" s="239"/>
      <c r="L826" s="697"/>
      <c r="M826" s="698"/>
    </row>
    <row r="827" spans="1:13" ht="22.5" x14ac:dyDescent="0.35">
      <c r="B827" s="702"/>
      <c r="C827" s="239"/>
      <c r="D827" s="705" t="s">
        <v>96</v>
      </c>
      <c r="E827" s="706"/>
      <c r="F827" s="236">
        <f>INDEX(WEAP!$A:$AN,MATCH(B824,WEAP!$A:$A,0),MATCH("HP",WEAP!$A$1:$BF$1,0))</f>
        <v>178</v>
      </c>
      <c r="G827" s="237">
        <f>INDEX(WEAP!$A:$AN,MATCH(B824,WEAP!$A:$A,0),MATCH("HP V3",WEAP!$A$1:$BF$1,0))</f>
        <v>190</v>
      </c>
      <c r="I827" s="697"/>
      <c r="J827" s="698"/>
      <c r="K827" s="239"/>
      <c r="L827" s="697"/>
      <c r="M827" s="698"/>
    </row>
    <row r="828" spans="1:13" ht="22.5" x14ac:dyDescent="0.35">
      <c r="B828" s="702"/>
      <c r="C828" s="239"/>
      <c r="D828" s="707" t="s">
        <v>97</v>
      </c>
      <c r="E828" s="708"/>
      <c r="F828" s="236">
        <f>INDEX(WEAP!$A:$AN,MATCH(B824,WEAP!$A:$A,0),MATCH("Str",WEAP!$A$1:$BF$1,0))</f>
        <v>627</v>
      </c>
      <c r="G828" s="237">
        <f>INDEX(WEAP!$A:$AN,MATCH(B824,WEAP!$A:$A,0),MATCH("Str V3",WEAP!$A$1:$BF$1,0))</f>
        <v>630</v>
      </c>
      <c r="I828" s="699"/>
      <c r="J828" s="700"/>
      <c r="K828" s="239"/>
      <c r="L828" s="699"/>
      <c r="M828" s="700"/>
    </row>
    <row r="829" spans="1:13" s="245" customFormat="1" ht="7.5" customHeight="1" x14ac:dyDescent="0.2">
      <c r="A829" s="245" t="s">
        <v>10763</v>
      </c>
    </row>
    <row r="830" spans="1:13" ht="22.5" x14ac:dyDescent="0.35">
      <c r="A830" s="244" t="str">
        <f>TEXT(A823+1,"000")</f>
        <v>119</v>
      </c>
      <c r="B830" s="238" t="str">
        <f>"W-"&amp;A830</f>
        <v>W-119</v>
      </c>
      <c r="C830" s="239"/>
      <c r="D830" s="692" t="str">
        <f>+INDEX(WEAP!$A:$AN,MATCH(B831,WEAP!$A:$A,0),MATCH("Name",WEAP!$A$1:$BF$1,0))</f>
        <v>Dirge of Desperation</v>
      </c>
      <c r="E830" s="693"/>
      <c r="F830" s="693"/>
      <c r="G830" s="694"/>
      <c r="I830" s="241" t="str">
        <f>+INDEX(WEAP!$A:$AN,MATCH(B831,WEAP!$A:$A,0),MATCH("Weapon Skill",WEAP!$A$1:$BF$1,0))</f>
        <v>N/A</v>
      </c>
      <c r="J830" s="243">
        <f>INDEX('W-S'!$A:$N,MATCH(I830,'W-S'!$C:$C,0),MATCH("SP Cost",'W-S'!$1:$1,0))</f>
        <v>0</v>
      </c>
      <c r="K830" s="9"/>
      <c r="L830" s="241" t="str">
        <f>+I830</f>
        <v>N/A</v>
      </c>
      <c r="M830" s="243">
        <f>INDEX('W-S'!$A:$N,MATCH(L830,'W-S'!$C:$C,0),MATCH("SP Cost V3",'W-S'!$1:$1,0))</f>
        <v>0</v>
      </c>
    </row>
    <row r="831" spans="1:13" ht="22.5" x14ac:dyDescent="0.35">
      <c r="B831" s="238" t="str">
        <f>+INDEX(WEAP!$A:$AN,MATCH(B830,WEAP!$B:$B,0),MATCH("ID",WEAP!$A$1:$BF$1,0))</f>
        <v>307103_01</v>
      </c>
      <c r="C831" s="240"/>
      <c r="D831" s="692" t="str">
        <f>+INDEX(WEAP!$A:$AN,MATCH(B830,WEAP!$B:$B,0),MATCH("Family",WEAP!$A$1:$BF$1,0))&amp;" Weapon"</f>
        <v>Void Weapon</v>
      </c>
      <c r="E831" s="693"/>
      <c r="F831" s="693"/>
      <c r="G831" s="694"/>
      <c r="H831" s="8"/>
      <c r="I831" s="695" t="str">
        <f>INDEX('W-S'!$A:$O,MATCH(I830,'W-S'!$C:$C,0),MATCH("Description",'W-S'!$1:$1,0))</f>
        <v>This weapon has no weapon skill.</v>
      </c>
      <c r="J831" s="696"/>
      <c r="K831" s="239"/>
      <c r="L831" s="695" t="str">
        <f>INDEX('W-S'!$A:$O,MATCH(I830,'W-S'!$C:$C,0),MATCH("Description V3",'W-S'!$1:$1,0))</f>
        <v>This weapon has no weapon skill.</v>
      </c>
      <c r="M831" s="696"/>
    </row>
    <row r="832" spans="1:13" ht="22.5" x14ac:dyDescent="0.2">
      <c r="B832" s="701" t="e" vm="139">
        <f>+_xlfn.IMAGE("https://natalie.tf/wp-content/uploads/2023/10/DLV3_Icon_Weapon_"&amp;B831&amp;".png")</f>
        <v>#VALUE!</v>
      </c>
      <c r="C832" s="240"/>
      <c r="D832" s="692" t="str">
        <f>INDEX(WEAP!$A:$AN,MATCH(B831,WEAP!$A:$A,0),MATCH("Element",WEAP!$A$1:$BF$1,0))&amp;" "&amp;INDEX(WEAP!$A:$AN,MATCH(B831,WEAP!$A:$A,0),MATCH("Type",WEAP!$A$1:$BF$1,0))</f>
        <v>Shadow Wand</v>
      </c>
      <c r="E832" s="693"/>
      <c r="F832" s="693"/>
      <c r="G832" s="694"/>
      <c r="H832" s="8"/>
      <c r="I832" s="697"/>
      <c r="J832" s="698"/>
      <c r="K832" s="9"/>
      <c r="L832" s="697"/>
      <c r="M832" s="698"/>
    </row>
    <row r="833" spans="1:13" ht="22.5" x14ac:dyDescent="0.35">
      <c r="B833" s="702"/>
      <c r="C833" s="239"/>
      <c r="D833" s="703" t="s">
        <v>10760</v>
      </c>
      <c r="E833" s="704"/>
      <c r="F833" s="235" t="s">
        <v>10761</v>
      </c>
      <c r="G833" s="235" t="s">
        <v>10762</v>
      </c>
      <c r="I833" s="697"/>
      <c r="J833" s="698"/>
      <c r="K833" s="239"/>
      <c r="L833" s="697"/>
      <c r="M833" s="698"/>
    </row>
    <row r="834" spans="1:13" ht="22.5" x14ac:dyDescent="0.35">
      <c r="B834" s="702"/>
      <c r="C834" s="239"/>
      <c r="D834" s="705" t="s">
        <v>96</v>
      </c>
      <c r="E834" s="706"/>
      <c r="F834" s="236">
        <f>INDEX(WEAP!$A:$AN,MATCH(B831,WEAP!$A:$A,0),MATCH("HP",WEAP!$A$1:$BF$1,0))</f>
        <v>179</v>
      </c>
      <c r="G834" s="237">
        <f>INDEX(WEAP!$A:$AN,MATCH(B831,WEAP!$A:$A,0),MATCH("HP V3",WEAP!$A$1:$BF$1,0))</f>
        <v>185</v>
      </c>
      <c r="I834" s="697"/>
      <c r="J834" s="698"/>
      <c r="K834" s="239"/>
      <c r="L834" s="697"/>
      <c r="M834" s="698"/>
    </row>
    <row r="835" spans="1:13" ht="22.5" x14ac:dyDescent="0.35">
      <c r="B835" s="702"/>
      <c r="C835" s="239"/>
      <c r="D835" s="707" t="s">
        <v>97</v>
      </c>
      <c r="E835" s="708"/>
      <c r="F835" s="236">
        <f>INDEX(WEAP!$A:$AN,MATCH(B831,WEAP!$A:$A,0),MATCH("Str",WEAP!$A$1:$BF$1,0))</f>
        <v>653</v>
      </c>
      <c r="G835" s="237">
        <f>INDEX(WEAP!$A:$AN,MATCH(B831,WEAP!$A:$A,0),MATCH("Str V3",WEAP!$A$1:$BF$1,0))</f>
        <v>695</v>
      </c>
      <c r="I835" s="699"/>
      <c r="J835" s="700"/>
      <c r="K835" s="239"/>
      <c r="L835" s="699"/>
      <c r="M835" s="700"/>
    </row>
    <row r="836" spans="1:13" s="245" customFormat="1" ht="7.5" customHeight="1" x14ac:dyDescent="0.2">
      <c r="A836" s="245" t="s">
        <v>10763</v>
      </c>
    </row>
    <row r="837" spans="1:13" ht="22.5" x14ac:dyDescent="0.35">
      <c r="A837" s="244" t="str">
        <f>TEXT(A830+1,"000")</f>
        <v>120</v>
      </c>
      <c r="B837" s="238" t="str">
        <f>"W-"&amp;A837</f>
        <v>W-120</v>
      </c>
      <c r="C837" s="239"/>
      <c r="D837" s="692" t="str">
        <f>+INDEX(WEAP!$A:$AN,MATCH(B838,WEAP!$A:$A,0),MATCH("Name",WEAP!$A$1:$BF$1,0))</f>
        <v>Aria of Lamentation</v>
      </c>
      <c r="E837" s="693"/>
      <c r="F837" s="693"/>
      <c r="G837" s="694"/>
      <c r="I837" s="241" t="str">
        <f>+INDEX(WEAP!$A:$AN,MATCH(B838,WEAP!$A:$A,0),MATCH("Weapon Skill",WEAP!$A$1:$BF$1,0))</f>
        <v>N/A</v>
      </c>
      <c r="J837" s="243">
        <f>INDEX('W-S'!$A:$N,MATCH(I837,'W-S'!$C:$C,0),MATCH("SP Cost",'W-S'!$1:$1,0))</f>
        <v>0</v>
      </c>
      <c r="K837" s="9"/>
      <c r="L837" s="241" t="str">
        <f>+I837</f>
        <v>N/A</v>
      </c>
      <c r="M837" s="243">
        <f>INDEX('W-S'!$A:$N,MATCH(L837,'W-S'!$C:$C,0),MATCH("SP Cost V3",'W-S'!$1:$1,0))</f>
        <v>0</v>
      </c>
    </row>
    <row r="838" spans="1:13" ht="22.5" x14ac:dyDescent="0.35">
      <c r="B838" s="238" t="str">
        <f>+INDEX(WEAP!$A:$AN,MATCH(B837,WEAP!$B:$B,0),MATCH("ID",WEAP!$A$1:$BF$1,0))</f>
        <v>308096_01</v>
      </c>
      <c r="C838" s="240"/>
      <c r="D838" s="692" t="str">
        <f>+INDEX(WEAP!$A:$AN,MATCH(B837,WEAP!$B:$B,0),MATCH("Family",WEAP!$A$1:$BF$1,0))&amp;" Weapon"</f>
        <v>Void Weapon</v>
      </c>
      <c r="E838" s="693"/>
      <c r="F838" s="693"/>
      <c r="G838" s="694"/>
      <c r="H838" s="8"/>
      <c r="I838" s="695" t="str">
        <f>INDEX('W-S'!$A:$O,MATCH(I837,'W-S'!$C:$C,0),MATCH("Description",'W-S'!$1:$1,0))</f>
        <v>This weapon has no weapon skill.</v>
      </c>
      <c r="J838" s="696"/>
      <c r="K838" s="239"/>
      <c r="L838" s="695" t="str">
        <f>INDEX('W-S'!$A:$O,MATCH(I837,'W-S'!$C:$C,0),MATCH("Description V3",'W-S'!$1:$1,0))</f>
        <v>This weapon has no weapon skill.</v>
      </c>
      <c r="M838" s="696"/>
    </row>
    <row r="839" spans="1:13" ht="22.5" x14ac:dyDescent="0.2">
      <c r="B839" s="701" t="e" vm="140">
        <f>+_xlfn.IMAGE("https://natalie.tf/wp-content/uploads/2023/10/DLV3_Icon_Weapon_"&amp;B838&amp;".png")</f>
        <v>#VALUE!</v>
      </c>
      <c r="C839" s="240"/>
      <c r="D839" s="692" t="str">
        <f>INDEX(WEAP!$A:$AN,MATCH(B838,WEAP!$A:$A,0),MATCH("Element",WEAP!$A$1:$BF$1,0))&amp;" "&amp;INDEX(WEAP!$A:$AN,MATCH(B838,WEAP!$A:$A,0),MATCH("Type",WEAP!$A$1:$BF$1,0))</f>
        <v>Shadow Staff</v>
      </c>
      <c r="E839" s="693"/>
      <c r="F839" s="693"/>
      <c r="G839" s="694"/>
      <c r="H839" s="8"/>
      <c r="I839" s="697"/>
      <c r="J839" s="698"/>
      <c r="K839" s="9"/>
      <c r="L839" s="697"/>
      <c r="M839" s="698"/>
    </row>
    <row r="840" spans="1:13" ht="22.5" x14ac:dyDescent="0.35">
      <c r="B840" s="702"/>
      <c r="C840" s="239"/>
      <c r="D840" s="703" t="s">
        <v>10760</v>
      </c>
      <c r="E840" s="704"/>
      <c r="F840" s="235" t="s">
        <v>10761</v>
      </c>
      <c r="G840" s="235" t="s">
        <v>10762</v>
      </c>
      <c r="I840" s="697"/>
      <c r="J840" s="698"/>
      <c r="K840" s="239"/>
      <c r="L840" s="697"/>
      <c r="M840" s="698"/>
    </row>
    <row r="841" spans="1:13" ht="22.5" x14ac:dyDescent="0.35">
      <c r="B841" s="702"/>
      <c r="C841" s="239"/>
      <c r="D841" s="705" t="s">
        <v>96</v>
      </c>
      <c r="E841" s="706"/>
      <c r="F841" s="236">
        <f>INDEX(WEAP!$A:$AN,MATCH(B838,WEAP!$A:$A,0),MATCH("HP",WEAP!$A$1:$BF$1,0))</f>
        <v>216</v>
      </c>
      <c r="G841" s="237">
        <f>INDEX(WEAP!$A:$AN,MATCH(B838,WEAP!$A:$A,0),MATCH("HP V3",WEAP!$A$1:$BF$1,0))</f>
        <v>220</v>
      </c>
      <c r="I841" s="697"/>
      <c r="J841" s="698"/>
      <c r="K841" s="239"/>
      <c r="L841" s="697"/>
      <c r="M841" s="698"/>
    </row>
    <row r="842" spans="1:13" ht="22.5" x14ac:dyDescent="0.35">
      <c r="B842" s="702"/>
      <c r="C842" s="239"/>
      <c r="D842" s="707" t="s">
        <v>97</v>
      </c>
      <c r="E842" s="708"/>
      <c r="F842" s="236">
        <f>INDEX(WEAP!$A:$AN,MATCH(B838,WEAP!$A:$A,0),MATCH("Str",WEAP!$A$1:$BF$1,0))</f>
        <v>590</v>
      </c>
      <c r="G842" s="237">
        <f>INDEX(WEAP!$A:$AN,MATCH(B838,WEAP!$A:$A,0),MATCH("Str V3",WEAP!$A$1:$BF$1,0))</f>
        <v>590</v>
      </c>
      <c r="I842" s="699"/>
      <c r="J842" s="700"/>
      <c r="K842" s="239"/>
      <c r="L842" s="699"/>
      <c r="M842" s="700"/>
    </row>
    <row r="843" spans="1:13" ht="33.75" customHeight="1" x14ac:dyDescent="0.2">
      <c r="A843" t="s">
        <v>10763</v>
      </c>
    </row>
    <row r="844" spans="1:13" ht="22.5" x14ac:dyDescent="0.35">
      <c r="A844" s="244" t="str">
        <f>TEXT(A837+1,"000")</f>
        <v>121</v>
      </c>
      <c r="B844" s="238" t="str">
        <f>"W-"&amp;A844</f>
        <v>W-121</v>
      </c>
      <c r="C844" s="239"/>
      <c r="D844" s="692" t="str">
        <f>+INDEX(WEAP!$A:$AN,MATCH(B845,WEAP!$A:$A,0),MATCH("Name",WEAP!$A$1:$BF$1,0))</f>
        <v>Chimeratech Commander</v>
      </c>
      <c r="E844" s="693"/>
      <c r="F844" s="693"/>
      <c r="G844" s="694"/>
      <c r="I844" s="241" t="str">
        <f>+INDEX(WEAP!$A:$AN,MATCH(B845,WEAP!$A:$A,0),MATCH("Weapon Skill",WEAP!$A$1:$BF$1,0))</f>
        <v>N/A</v>
      </c>
      <c r="J844" s="243">
        <f>INDEX('W-S'!$A:$N,MATCH(I844,'W-S'!$C:$C,0),MATCH("SP Cost",'W-S'!$1:$1,0))</f>
        <v>0</v>
      </c>
      <c r="K844" s="9"/>
      <c r="L844" s="241" t="str">
        <f>+I844</f>
        <v>N/A</v>
      </c>
      <c r="M844" s="243">
        <f>INDEX('W-S'!$A:$N,MATCH(L844,'W-S'!$C:$C,0),MATCH("SP Cost V3",'W-S'!$1:$1,0))</f>
        <v>0</v>
      </c>
    </row>
    <row r="845" spans="1:13" ht="22.5" x14ac:dyDescent="0.35">
      <c r="B845" s="238" t="str">
        <f>+INDEX(WEAP!$A:$AN,MATCH(B844,WEAP!$B:$B,0),MATCH("ID",WEAP!$A$1:$BF$1,0))</f>
        <v>301132_01</v>
      </c>
      <c r="C845" s="240"/>
      <c r="D845" s="692" t="str">
        <f>+INDEX(WEAP!$A:$AN,MATCH(B844,WEAP!$B:$B,0),MATCH("Family",WEAP!$A$1:$BF$1,0))&amp;" Weapon"</f>
        <v>Chimera Weapon</v>
      </c>
      <c r="E845" s="693"/>
      <c r="F845" s="693"/>
      <c r="G845" s="694"/>
      <c r="H845" s="8"/>
      <c r="I845" s="695" t="str">
        <f>INDEX('W-S'!$A:$O,MATCH(I844,'W-S'!$C:$C,0),MATCH("Description",'W-S'!$1:$1,0))</f>
        <v>This weapon has no weapon skill.</v>
      </c>
      <c r="J845" s="696"/>
      <c r="K845" s="239"/>
      <c r="L845" s="695" t="str">
        <f>INDEX('W-S'!$A:$O,MATCH(I844,'W-S'!$C:$C,0),MATCH("Description V3",'W-S'!$1:$1,0))</f>
        <v>This weapon has no weapon skill.</v>
      </c>
      <c r="M845" s="696"/>
    </row>
    <row r="846" spans="1:13" ht="22.5" x14ac:dyDescent="0.2">
      <c r="B846" s="701" t="e" vm="141">
        <f>+_xlfn.IMAGE("https://natalie.tf/wp-content/uploads/2023/10/DLV3_Icon_Weapon_"&amp;B845&amp;".png")</f>
        <v>#VALUE!</v>
      </c>
      <c r="C846" s="240"/>
      <c r="D846" s="692" t="str">
        <f>INDEX(WEAP!$A:$AN,MATCH(B845,WEAP!$A:$A,0),MATCH("Element",WEAP!$A$1:$BF$1,0))&amp;" "&amp;INDEX(WEAP!$A:$AN,MATCH(B845,WEAP!$A:$A,0),MATCH("Type",WEAP!$A$1:$BF$1,0))</f>
        <v>Flame Sword</v>
      </c>
      <c r="E846" s="693"/>
      <c r="F846" s="693"/>
      <c r="G846" s="694"/>
      <c r="H846" s="8"/>
      <c r="I846" s="697"/>
      <c r="J846" s="698"/>
      <c r="K846" s="9"/>
      <c r="L846" s="697"/>
      <c r="M846" s="698"/>
    </row>
    <row r="847" spans="1:13" ht="22.5" x14ac:dyDescent="0.35">
      <c r="B847" s="702"/>
      <c r="C847" s="239"/>
      <c r="D847" s="703" t="s">
        <v>10760</v>
      </c>
      <c r="E847" s="704"/>
      <c r="F847" s="235" t="s">
        <v>10761</v>
      </c>
      <c r="G847" s="235" t="s">
        <v>10762</v>
      </c>
      <c r="I847" s="697"/>
      <c r="J847" s="698"/>
      <c r="K847" s="239"/>
      <c r="L847" s="697"/>
      <c r="M847" s="698"/>
    </row>
    <row r="848" spans="1:13" ht="22.5" x14ac:dyDescent="0.35">
      <c r="B848" s="702"/>
      <c r="C848" s="239"/>
      <c r="D848" s="705" t="s">
        <v>96</v>
      </c>
      <c r="E848" s="706"/>
      <c r="F848" s="236">
        <f>INDEX(WEAP!$A:$AN,MATCH(B845,WEAP!$A:$A,0),MATCH("HP",WEAP!$A$1:$BF$1,0))</f>
        <v>270</v>
      </c>
      <c r="G848" s="237">
        <f>INDEX(WEAP!$A:$AN,MATCH(B845,WEAP!$A:$A,0),MATCH("HP V3",WEAP!$A$1:$BF$1,0))</f>
        <v>270</v>
      </c>
      <c r="I848" s="697"/>
      <c r="J848" s="698"/>
      <c r="K848" s="239"/>
      <c r="L848" s="697"/>
      <c r="M848" s="698"/>
    </row>
    <row r="849" spans="1:13" ht="22.5" x14ac:dyDescent="0.35">
      <c r="B849" s="702"/>
      <c r="C849" s="239"/>
      <c r="D849" s="707" t="s">
        <v>97</v>
      </c>
      <c r="E849" s="708"/>
      <c r="F849" s="236">
        <f>INDEX(WEAP!$A:$AN,MATCH(B845,WEAP!$A:$A,0),MATCH("Str",WEAP!$A$1:$BF$1,0))</f>
        <v>972</v>
      </c>
      <c r="G849" s="237">
        <f>INDEX(WEAP!$A:$AN,MATCH(B845,WEAP!$A:$A,0),MATCH("Str V3",WEAP!$A$1:$BF$1,0))</f>
        <v>1210</v>
      </c>
      <c r="I849" s="699"/>
      <c r="J849" s="700"/>
      <c r="K849" s="239"/>
      <c r="L849" s="699"/>
      <c r="M849" s="700"/>
    </row>
    <row r="850" spans="1:13" s="245" customFormat="1" ht="7.5" customHeight="1" x14ac:dyDescent="0.2">
      <c r="A850" s="245" t="s">
        <v>10763</v>
      </c>
    </row>
    <row r="851" spans="1:13" ht="22.5" x14ac:dyDescent="0.35">
      <c r="A851" s="242" t="str">
        <f>TEXT(A844+1,"000")</f>
        <v>122</v>
      </c>
      <c r="B851" s="238" t="str">
        <f>"W-"&amp;A851</f>
        <v>W-122</v>
      </c>
      <c r="C851" s="239"/>
      <c r="D851" s="692" t="str">
        <f>+INDEX(WEAP!$A:$AN,MATCH(B852,WEAP!$A:$A,0),MATCH("Name",WEAP!$A$1:$BF$1,0))</f>
        <v>Chimeratech Lord</v>
      </c>
      <c r="E851" s="693"/>
      <c r="F851" s="693"/>
      <c r="G851" s="694"/>
      <c r="I851" s="241" t="str">
        <f>+INDEX(WEAP!$A:$AN,MATCH(B852,WEAP!$A:$A,0),MATCH("Weapon Skill",WEAP!$A$1:$BF$1,0))</f>
        <v>N/A</v>
      </c>
      <c r="J851" s="243">
        <f>INDEX('W-S'!$A:$N,MATCH(I851,'W-S'!$C:$C,0),MATCH("SP Cost",'W-S'!$1:$1,0))</f>
        <v>0</v>
      </c>
      <c r="K851" s="9"/>
      <c r="L851" s="241" t="str">
        <f>+I851</f>
        <v>N/A</v>
      </c>
      <c r="M851" s="243">
        <f>INDEX('W-S'!$A:$N,MATCH(L851,'W-S'!$C:$C,0),MATCH("SP Cost V3",'W-S'!$1:$1,0))</f>
        <v>0</v>
      </c>
    </row>
    <row r="852" spans="1:13" ht="22.5" x14ac:dyDescent="0.35">
      <c r="B852" s="238" t="str">
        <f>+INDEX(WEAP!$A:$AN,MATCH(B851,WEAP!$B:$B,0),MATCH("ID",WEAP!$A$1:$BF$1,0))</f>
        <v>302123_01</v>
      </c>
      <c r="C852" s="240"/>
      <c r="D852" s="692" t="str">
        <f>+INDEX(WEAP!$A:$AN,MATCH(B851,WEAP!$B:$B,0),MATCH("Family",WEAP!$A$1:$BF$1,0))&amp;" Weapon"</f>
        <v>Chimera Weapon</v>
      </c>
      <c r="E852" s="693"/>
      <c r="F852" s="693"/>
      <c r="G852" s="694"/>
      <c r="H852" s="8"/>
      <c r="I852" s="695" t="str">
        <f>INDEX('W-S'!$A:$O,MATCH(I851,'W-S'!$C:$C,0),MATCH("Description",'W-S'!$1:$1,0))</f>
        <v>This weapon has no weapon skill.</v>
      </c>
      <c r="J852" s="696"/>
      <c r="K852" s="239"/>
      <c r="L852" s="695" t="str">
        <f>INDEX('W-S'!$A:$O,MATCH(I851,'W-S'!$C:$C,0),MATCH("Description V3",'W-S'!$1:$1,0))</f>
        <v>This weapon has no weapon skill.</v>
      </c>
      <c r="M852" s="696"/>
    </row>
    <row r="853" spans="1:13" ht="22.5" x14ac:dyDescent="0.2">
      <c r="B853" s="701" t="e" vm="142">
        <f>+_xlfn.IMAGE("https://natalie.tf/wp-content/uploads/2023/10/DLV3_Icon_Weapon_"&amp;B852&amp;".png")</f>
        <v>#VALUE!</v>
      </c>
      <c r="C853" s="240"/>
      <c r="D853" s="692" t="str">
        <f>INDEX(WEAP!$A:$AN,MATCH(B852,WEAP!$A:$A,0),MATCH("Element",WEAP!$A$1:$BF$1,0))&amp;" "&amp;INDEX(WEAP!$A:$AN,MATCH(B852,WEAP!$A:$A,0),MATCH("Type",WEAP!$A$1:$BF$1,0))</f>
        <v>Flame Blade</v>
      </c>
      <c r="E853" s="693"/>
      <c r="F853" s="693"/>
      <c r="G853" s="694"/>
      <c r="H853" s="8"/>
      <c r="I853" s="697"/>
      <c r="J853" s="698"/>
      <c r="K853" s="9"/>
      <c r="L853" s="697"/>
      <c r="M853" s="698"/>
    </row>
    <row r="854" spans="1:13" ht="22.5" x14ac:dyDescent="0.35">
      <c r="B854" s="702"/>
      <c r="C854" s="239"/>
      <c r="D854" s="703" t="s">
        <v>10760</v>
      </c>
      <c r="E854" s="704"/>
      <c r="F854" s="235" t="s">
        <v>10761</v>
      </c>
      <c r="G854" s="235" t="s">
        <v>10762</v>
      </c>
      <c r="I854" s="697"/>
      <c r="J854" s="698"/>
      <c r="K854" s="239"/>
      <c r="L854" s="697"/>
      <c r="M854" s="698"/>
    </row>
    <row r="855" spans="1:13" ht="22.5" x14ac:dyDescent="0.35">
      <c r="B855" s="702"/>
      <c r="C855" s="239"/>
      <c r="D855" s="705" t="s">
        <v>96</v>
      </c>
      <c r="E855" s="706"/>
      <c r="F855" s="236">
        <f>INDEX(WEAP!$A:$AN,MATCH(B852,WEAP!$A:$A,0),MATCH("HP",WEAP!$A$1:$BF$1,0))</f>
        <v>135</v>
      </c>
      <c r="G855" s="237">
        <f>INDEX(WEAP!$A:$AN,MATCH(B852,WEAP!$A:$A,0),MATCH("HP V3",WEAP!$A$1:$BF$1,0))</f>
        <v>250</v>
      </c>
      <c r="I855" s="697"/>
      <c r="J855" s="698"/>
      <c r="K855" s="239"/>
      <c r="L855" s="697"/>
      <c r="M855" s="698"/>
    </row>
    <row r="856" spans="1:13" ht="22.5" x14ac:dyDescent="0.35">
      <c r="B856" s="702"/>
      <c r="C856" s="239"/>
      <c r="D856" s="707" t="s">
        <v>97</v>
      </c>
      <c r="E856" s="708"/>
      <c r="F856" s="236">
        <f>INDEX(WEAP!$A:$AN,MATCH(B852,WEAP!$A:$A,0),MATCH("Str",WEAP!$A$1:$BF$1,0))</f>
        <v>1061</v>
      </c>
      <c r="G856" s="237">
        <f>INDEX(WEAP!$A:$AN,MATCH(B852,WEAP!$A:$A,0),MATCH("Str V3",WEAP!$A$1:$BF$1,0))</f>
        <v>1280</v>
      </c>
      <c r="I856" s="699"/>
      <c r="J856" s="700"/>
      <c r="K856" s="239"/>
      <c r="L856" s="699"/>
      <c r="M856" s="700"/>
    </row>
    <row r="857" spans="1:13" s="245" customFormat="1" ht="7.5" customHeight="1" x14ac:dyDescent="0.2">
      <c r="A857" s="245" t="s">
        <v>10763</v>
      </c>
    </row>
    <row r="858" spans="1:13" ht="22.5" x14ac:dyDescent="0.35">
      <c r="A858" s="244" t="str">
        <f>TEXT(A851+1,"000")</f>
        <v>123</v>
      </c>
      <c r="B858" s="238" t="str">
        <f>"W-"&amp;A858</f>
        <v>W-123</v>
      </c>
      <c r="C858" s="239"/>
      <c r="D858" s="692" t="str">
        <f>+INDEX(WEAP!$A:$AN,MATCH(B859,WEAP!$A:$A,0),MATCH("Name",WEAP!$A$1:$BF$1,0))</f>
        <v>Chimeratech Elite</v>
      </c>
      <c r="E858" s="693"/>
      <c r="F858" s="693"/>
      <c r="G858" s="694"/>
      <c r="I858" s="241" t="str">
        <f>+INDEX(WEAP!$A:$AN,MATCH(B859,WEAP!$A:$A,0),MATCH("Weapon Skill",WEAP!$A$1:$BF$1,0))</f>
        <v>N/A</v>
      </c>
      <c r="J858" s="243">
        <f>INDEX('W-S'!$A:$N,MATCH(I858,'W-S'!$C:$C,0),MATCH("SP Cost",'W-S'!$1:$1,0))</f>
        <v>0</v>
      </c>
      <c r="K858" s="9"/>
      <c r="L858" s="241" t="str">
        <f>+I858</f>
        <v>N/A</v>
      </c>
      <c r="M858" s="243">
        <f>INDEX('W-S'!$A:$N,MATCH(L858,'W-S'!$C:$C,0),MATCH("SP Cost V3",'W-S'!$1:$1,0))</f>
        <v>0</v>
      </c>
    </row>
    <row r="859" spans="1:13" ht="22.5" x14ac:dyDescent="0.35">
      <c r="B859" s="238" t="str">
        <f>+INDEX(WEAP!$A:$AN,MATCH(B858,WEAP!$B:$B,0),MATCH("ID",WEAP!$A$1:$BF$1,0))</f>
        <v>303122_01</v>
      </c>
      <c r="C859" s="240"/>
      <c r="D859" s="692" t="str">
        <f>+INDEX(WEAP!$A:$AN,MATCH(B858,WEAP!$B:$B,0),MATCH("Family",WEAP!$A$1:$BF$1,0))&amp;" Weapon"</f>
        <v>Chimera Weapon</v>
      </c>
      <c r="E859" s="693"/>
      <c r="F859" s="693"/>
      <c r="G859" s="694"/>
      <c r="H859" s="8"/>
      <c r="I859" s="695" t="str">
        <f>INDEX('W-S'!$A:$O,MATCH(I858,'W-S'!$C:$C,0),MATCH("Description",'W-S'!$1:$1,0))</f>
        <v>This weapon has no weapon skill.</v>
      </c>
      <c r="J859" s="696"/>
      <c r="K859" s="239"/>
      <c r="L859" s="695" t="str">
        <f>INDEX('W-S'!$A:$O,MATCH(I858,'W-S'!$C:$C,0),MATCH("Description V3",'W-S'!$1:$1,0))</f>
        <v>This weapon has no weapon skill.</v>
      </c>
      <c r="M859" s="696"/>
    </row>
    <row r="860" spans="1:13" ht="22.5" x14ac:dyDescent="0.2">
      <c r="B860" s="701" t="e" vm="143">
        <f>+_xlfn.IMAGE("https://natalie.tf/wp-content/uploads/2023/10/DLV3_Icon_Weapon_"&amp;B859&amp;".png")</f>
        <v>#VALUE!</v>
      </c>
      <c r="C860" s="240"/>
      <c r="D860" s="692" t="str">
        <f>INDEX(WEAP!$A:$AN,MATCH(B859,WEAP!$A:$A,0),MATCH("Element",WEAP!$A$1:$BF$1,0))&amp;" "&amp;INDEX(WEAP!$A:$AN,MATCH(B859,WEAP!$A:$A,0),MATCH("Type",WEAP!$A$1:$BF$1,0))</f>
        <v>Flame Dagger</v>
      </c>
      <c r="E860" s="693"/>
      <c r="F860" s="693"/>
      <c r="G860" s="694"/>
      <c r="H860" s="8"/>
      <c r="I860" s="697"/>
      <c r="J860" s="698"/>
      <c r="K860" s="9"/>
      <c r="L860" s="697"/>
      <c r="M860" s="698"/>
    </row>
    <row r="861" spans="1:13" ht="22.5" x14ac:dyDescent="0.35">
      <c r="B861" s="702"/>
      <c r="C861" s="239"/>
      <c r="D861" s="703" t="s">
        <v>10760</v>
      </c>
      <c r="E861" s="704"/>
      <c r="F861" s="235" t="s">
        <v>10761</v>
      </c>
      <c r="G861" s="235" t="s">
        <v>10762</v>
      </c>
      <c r="I861" s="697"/>
      <c r="J861" s="698"/>
      <c r="K861" s="239"/>
      <c r="L861" s="697"/>
      <c r="M861" s="698"/>
    </row>
    <row r="862" spans="1:13" ht="22.5" x14ac:dyDescent="0.35">
      <c r="B862" s="702"/>
      <c r="C862" s="239"/>
      <c r="D862" s="705" t="s">
        <v>96</v>
      </c>
      <c r="E862" s="706"/>
      <c r="F862" s="236">
        <f>INDEX(WEAP!$A:$AN,MATCH(B859,WEAP!$A:$A,0),MATCH("HP",WEAP!$A$1:$BF$1,0))</f>
        <v>155</v>
      </c>
      <c r="G862" s="237">
        <f>INDEX(WEAP!$A:$AN,MATCH(B859,WEAP!$A:$A,0),MATCH("HP V3",WEAP!$A$1:$BF$1,0))</f>
        <v>275</v>
      </c>
      <c r="I862" s="697"/>
      <c r="J862" s="698"/>
      <c r="K862" s="239"/>
      <c r="L862" s="697"/>
      <c r="M862" s="698"/>
    </row>
    <row r="863" spans="1:13" ht="22.5" x14ac:dyDescent="0.35">
      <c r="B863" s="702"/>
      <c r="C863" s="239"/>
      <c r="D863" s="707" t="s">
        <v>97</v>
      </c>
      <c r="E863" s="708"/>
      <c r="F863" s="236">
        <f>INDEX(WEAP!$A:$AN,MATCH(B859,WEAP!$A:$A,0),MATCH("Str",WEAP!$A$1:$BF$1,0))</f>
        <v>981</v>
      </c>
      <c r="G863" s="237">
        <f>INDEX(WEAP!$A:$AN,MATCH(B859,WEAP!$A:$A,0),MATCH("Str V3",WEAP!$A$1:$BF$1,0))</f>
        <v>1185</v>
      </c>
      <c r="I863" s="699"/>
      <c r="J863" s="700"/>
      <c r="K863" s="239"/>
      <c r="L863" s="699"/>
      <c r="M863" s="700"/>
    </row>
    <row r="864" spans="1:13" s="245" customFormat="1" ht="7.5" customHeight="1" x14ac:dyDescent="0.2">
      <c r="A864" s="245" t="s">
        <v>10763</v>
      </c>
    </row>
    <row r="865" spans="1:13" ht="22.5" x14ac:dyDescent="0.35">
      <c r="A865" s="244" t="str">
        <f>TEXT(A858+1,"000")</f>
        <v>124</v>
      </c>
      <c r="B865" s="238" t="str">
        <f>"W-"&amp;A865</f>
        <v>W-124</v>
      </c>
      <c r="C865" s="239"/>
      <c r="D865" s="692" t="str">
        <f>+INDEX(WEAP!$A:$AN,MATCH(B866,WEAP!$A:$A,0),MATCH("Name",WEAP!$A$1:$BF$1,0))</f>
        <v>Chimeratech Warlord</v>
      </c>
      <c r="E865" s="693"/>
      <c r="F865" s="693"/>
      <c r="G865" s="694"/>
      <c r="I865" s="241" t="str">
        <f>+INDEX(WEAP!$A:$AN,MATCH(B866,WEAP!$A:$A,0),MATCH("Weapon Skill",WEAP!$A$1:$BF$1,0))</f>
        <v>N/A</v>
      </c>
      <c r="J865" s="243">
        <f>INDEX('W-S'!$A:$N,MATCH(I865,'W-S'!$C:$C,0),MATCH("SP Cost",'W-S'!$1:$1,0))</f>
        <v>0</v>
      </c>
      <c r="K865" s="9"/>
      <c r="L865" s="241" t="str">
        <f>+I865</f>
        <v>N/A</v>
      </c>
      <c r="M865" s="243">
        <f>INDEX('W-S'!$A:$N,MATCH(L865,'W-S'!$C:$C,0),MATCH("SP Cost V3",'W-S'!$1:$1,0))</f>
        <v>0</v>
      </c>
    </row>
    <row r="866" spans="1:13" ht="22.5" x14ac:dyDescent="0.35">
      <c r="B866" s="238" t="str">
        <f>+INDEX(WEAP!$A:$AN,MATCH(B865,WEAP!$B:$B,0),MATCH("ID",WEAP!$A$1:$BF$1,0))</f>
        <v>304121_01</v>
      </c>
      <c r="C866" s="240"/>
      <c r="D866" s="692" t="str">
        <f>+INDEX(WEAP!$A:$AN,MATCH(B865,WEAP!$B:$B,0),MATCH("Family",WEAP!$A$1:$BF$1,0))&amp;" Weapon"</f>
        <v>Chimera Weapon</v>
      </c>
      <c r="E866" s="693"/>
      <c r="F866" s="693"/>
      <c r="G866" s="694"/>
      <c r="H866" s="8"/>
      <c r="I866" s="695" t="str">
        <f>INDEX('W-S'!$A:$O,MATCH(I865,'W-S'!$C:$C,0),MATCH("Description",'W-S'!$1:$1,0))</f>
        <v>This weapon has no weapon skill.</v>
      </c>
      <c r="J866" s="696"/>
      <c r="K866" s="239"/>
      <c r="L866" s="695" t="str">
        <f>INDEX('W-S'!$A:$O,MATCH(I865,'W-S'!$C:$C,0),MATCH("Description V3",'W-S'!$1:$1,0))</f>
        <v>This weapon has no weapon skill.</v>
      </c>
      <c r="M866" s="696"/>
    </row>
    <row r="867" spans="1:13" ht="22.5" x14ac:dyDescent="0.2">
      <c r="B867" s="701" t="e" vm="144">
        <f>+_xlfn.IMAGE("https://natalie.tf/wp-content/uploads/2023/10/DLV3_Icon_Weapon_"&amp;B866&amp;".png")</f>
        <v>#VALUE!</v>
      </c>
      <c r="C867" s="240"/>
      <c r="D867" s="692" t="str">
        <f>INDEX(WEAP!$A:$AN,MATCH(B866,WEAP!$A:$A,0),MATCH("Element",WEAP!$A$1:$BF$1,0))&amp;" "&amp;INDEX(WEAP!$A:$AN,MATCH(B866,WEAP!$A:$A,0),MATCH("Type",WEAP!$A$1:$BF$1,0))</f>
        <v>Flame Axe</v>
      </c>
      <c r="E867" s="693"/>
      <c r="F867" s="693"/>
      <c r="G867" s="694"/>
      <c r="H867" s="8"/>
      <c r="I867" s="697"/>
      <c r="J867" s="698"/>
      <c r="K867" s="9"/>
      <c r="L867" s="697"/>
      <c r="M867" s="698"/>
    </row>
    <row r="868" spans="1:13" ht="22.5" x14ac:dyDescent="0.35">
      <c r="B868" s="702"/>
      <c r="C868" s="239"/>
      <c r="D868" s="703" t="s">
        <v>10760</v>
      </c>
      <c r="E868" s="704"/>
      <c r="F868" s="235" t="s">
        <v>10761</v>
      </c>
      <c r="G868" s="235" t="s">
        <v>10762</v>
      </c>
      <c r="I868" s="697"/>
      <c r="J868" s="698"/>
      <c r="K868" s="239"/>
      <c r="L868" s="697"/>
      <c r="M868" s="698"/>
    </row>
    <row r="869" spans="1:13" ht="22.5" x14ac:dyDescent="0.35">
      <c r="B869" s="702"/>
      <c r="C869" s="239"/>
      <c r="D869" s="705" t="s">
        <v>96</v>
      </c>
      <c r="E869" s="706"/>
      <c r="F869" s="236">
        <f>INDEX(WEAP!$A:$AN,MATCH(B866,WEAP!$A:$A,0),MATCH("HP",WEAP!$A$1:$BF$1,0))</f>
        <v>159</v>
      </c>
      <c r="G869" s="237">
        <f>INDEX(WEAP!$A:$AN,MATCH(B866,WEAP!$A:$A,0),MATCH("HP V3",WEAP!$A$1:$BF$1,0))</f>
        <v>295</v>
      </c>
      <c r="I869" s="697"/>
      <c r="J869" s="698"/>
      <c r="K869" s="239"/>
      <c r="L869" s="697"/>
      <c r="M869" s="698"/>
    </row>
    <row r="870" spans="1:13" ht="22.5" x14ac:dyDescent="0.35">
      <c r="B870" s="702"/>
      <c r="C870" s="239"/>
      <c r="D870" s="707" t="s">
        <v>97</v>
      </c>
      <c r="E870" s="708"/>
      <c r="F870" s="236">
        <f>INDEX(WEAP!$A:$AN,MATCH(B866,WEAP!$A:$A,0),MATCH("Str",WEAP!$A$1:$BF$1,0))</f>
        <v>1051</v>
      </c>
      <c r="G870" s="237">
        <f>INDEX(WEAP!$A:$AN,MATCH(B866,WEAP!$A:$A,0),MATCH("Str V3",WEAP!$A$1:$BF$1,0))</f>
        <v>1270</v>
      </c>
      <c r="I870" s="699"/>
      <c r="J870" s="700"/>
      <c r="K870" s="239"/>
      <c r="L870" s="699"/>
      <c r="M870" s="700"/>
    </row>
    <row r="871" spans="1:13" s="245" customFormat="1" ht="7.5" customHeight="1" x14ac:dyDescent="0.2">
      <c r="A871" s="245" t="s">
        <v>10763</v>
      </c>
    </row>
    <row r="872" spans="1:13" ht="22.5" x14ac:dyDescent="0.35">
      <c r="A872" s="244" t="str">
        <f>TEXT(A865+1,"000")</f>
        <v>125</v>
      </c>
      <c r="B872" s="238" t="str">
        <f>"W-"&amp;A872</f>
        <v>W-125</v>
      </c>
      <c r="C872" s="239"/>
      <c r="D872" s="717" t="str">
        <f>+INDEX(WEAP!$A:$AN,MATCH(B873,WEAP!$A:$A,0),MATCH("Name",WEAP!$A$1:$BF$1,0))</f>
        <v>Chimeratech Lancemaster</v>
      </c>
      <c r="E872" s="718"/>
      <c r="F872" s="718"/>
      <c r="G872" s="719"/>
      <c r="I872" s="241" t="str">
        <f>+INDEX(WEAP!$A:$AN,MATCH(B873,WEAP!$A:$A,0),MATCH("Weapon Skill",WEAP!$A$1:$BF$1,0))</f>
        <v>N/A</v>
      </c>
      <c r="J872" s="243">
        <f>INDEX('W-S'!$A:$N,MATCH(I872,'W-S'!$C:$C,0),MATCH("SP Cost",'W-S'!$1:$1,0))</f>
        <v>0</v>
      </c>
      <c r="K872" s="9"/>
      <c r="L872" s="241" t="str">
        <f>+I872</f>
        <v>N/A</v>
      </c>
      <c r="M872" s="243">
        <f>INDEX('W-S'!$A:$N,MATCH(L872,'W-S'!$C:$C,0),MATCH("SP Cost V3",'W-S'!$1:$1,0))</f>
        <v>0</v>
      </c>
    </row>
    <row r="873" spans="1:13" ht="22.5" x14ac:dyDescent="0.35">
      <c r="B873" s="238" t="str">
        <f>+INDEX(WEAP!$A:$AN,MATCH(B872,WEAP!$B:$B,0),MATCH("ID",WEAP!$A$1:$BF$1,0))</f>
        <v>305128_01</v>
      </c>
      <c r="C873" s="240"/>
      <c r="D873" s="692" t="str">
        <f>+INDEX(WEAP!$A:$AN,MATCH(B872,WEAP!$B:$B,0),MATCH("Family",WEAP!$A$1:$BF$1,0))&amp;" Weapon"</f>
        <v>Chimera Weapon</v>
      </c>
      <c r="E873" s="693"/>
      <c r="F873" s="693"/>
      <c r="G873" s="694"/>
      <c r="H873" s="8"/>
      <c r="I873" s="695" t="str">
        <f>INDEX('W-S'!$A:$O,MATCH(I872,'W-S'!$C:$C,0),MATCH("Description",'W-S'!$1:$1,0))</f>
        <v>This weapon has no weapon skill.</v>
      </c>
      <c r="J873" s="696"/>
      <c r="K873" s="239"/>
      <c r="L873" s="695" t="str">
        <f>INDEX('W-S'!$A:$O,MATCH(I872,'W-S'!$C:$C,0),MATCH("Description V3",'W-S'!$1:$1,0))</f>
        <v>This weapon has no weapon skill.</v>
      </c>
      <c r="M873" s="696"/>
    </row>
    <row r="874" spans="1:13" ht="22.5" x14ac:dyDescent="0.2">
      <c r="B874" s="701" t="e" vm="145">
        <f>+_xlfn.IMAGE("https://natalie.tf/wp-content/uploads/2023/10/DLV3_Icon_Weapon_"&amp;B873&amp;".png")</f>
        <v>#VALUE!</v>
      </c>
      <c r="C874" s="240"/>
      <c r="D874" s="692" t="str">
        <f>INDEX(WEAP!$A:$AN,MATCH(B873,WEAP!$A:$A,0),MATCH("Element",WEAP!$A$1:$BF$1,0))&amp;" "&amp;INDEX(WEAP!$A:$AN,MATCH(B873,WEAP!$A:$A,0),MATCH("Type",WEAP!$A$1:$BF$1,0))</f>
        <v>Flame Lance</v>
      </c>
      <c r="E874" s="693"/>
      <c r="F874" s="693"/>
      <c r="G874" s="694"/>
      <c r="H874" s="8"/>
      <c r="I874" s="697"/>
      <c r="J874" s="698"/>
      <c r="K874" s="9"/>
      <c r="L874" s="697"/>
      <c r="M874" s="698"/>
    </row>
    <row r="875" spans="1:13" ht="22.5" x14ac:dyDescent="0.35">
      <c r="B875" s="702"/>
      <c r="C875" s="239"/>
      <c r="D875" s="703" t="s">
        <v>10760</v>
      </c>
      <c r="E875" s="704"/>
      <c r="F875" s="235" t="s">
        <v>10761</v>
      </c>
      <c r="G875" s="235" t="s">
        <v>10762</v>
      </c>
      <c r="I875" s="697"/>
      <c r="J875" s="698"/>
      <c r="K875" s="239"/>
      <c r="L875" s="697"/>
      <c r="M875" s="698"/>
    </row>
    <row r="876" spans="1:13" ht="22.5" x14ac:dyDescent="0.35">
      <c r="B876" s="702"/>
      <c r="C876" s="239"/>
      <c r="D876" s="705" t="s">
        <v>96</v>
      </c>
      <c r="E876" s="706"/>
      <c r="F876" s="236">
        <f>INDEX(WEAP!$A:$AN,MATCH(B873,WEAP!$A:$A,0),MATCH("HP",WEAP!$A$1:$BF$1,0))</f>
        <v>174</v>
      </c>
      <c r="G876" s="237">
        <f>INDEX(WEAP!$A:$AN,MATCH(B873,WEAP!$A:$A,0),MATCH("HP V3",WEAP!$A$1:$BF$1,0))</f>
        <v>275</v>
      </c>
      <c r="I876" s="697"/>
      <c r="J876" s="698"/>
      <c r="K876" s="239"/>
      <c r="L876" s="697"/>
      <c r="M876" s="698"/>
    </row>
    <row r="877" spans="1:13" ht="22.5" x14ac:dyDescent="0.35">
      <c r="B877" s="702"/>
      <c r="C877" s="239"/>
      <c r="D877" s="707" t="s">
        <v>97</v>
      </c>
      <c r="E877" s="708"/>
      <c r="F877" s="236">
        <f>INDEX(WEAP!$A:$AN,MATCH(B873,WEAP!$A:$A,0),MATCH("Str",WEAP!$A$1:$BF$1,0))</f>
        <v>962</v>
      </c>
      <c r="G877" s="237">
        <f>INDEX(WEAP!$A:$AN,MATCH(B873,WEAP!$A:$A,0),MATCH("Str V3",WEAP!$A$1:$BF$1,0))</f>
        <v>1230</v>
      </c>
      <c r="I877" s="699"/>
      <c r="J877" s="700"/>
      <c r="K877" s="239"/>
      <c r="L877" s="699"/>
      <c r="M877" s="700"/>
    </row>
    <row r="878" spans="1:13" ht="33.75" customHeight="1" x14ac:dyDescent="0.2">
      <c r="A878" t="s">
        <v>10763</v>
      </c>
    </row>
    <row r="879" spans="1:13" ht="22.5" x14ac:dyDescent="0.35">
      <c r="A879" s="244" t="str">
        <f>TEXT(A872+1,"000")</f>
        <v>126</v>
      </c>
      <c r="B879" s="238" t="str">
        <f>"W-"&amp;A879</f>
        <v>W-126</v>
      </c>
      <c r="C879" s="239"/>
      <c r="D879" s="692" t="str">
        <f>+INDEX(WEAP!$A:$AN,MATCH(B880,WEAP!$A:$A,0),MATCH("Name",WEAP!$A$1:$BF$1,0))</f>
        <v>Chimeratech Sniper</v>
      </c>
      <c r="E879" s="693"/>
      <c r="F879" s="693"/>
      <c r="G879" s="694"/>
      <c r="I879" s="241" t="str">
        <f>+INDEX(WEAP!$A:$AN,MATCH(B880,WEAP!$A:$A,0),MATCH("Weapon Skill",WEAP!$A$1:$BF$1,0))</f>
        <v>N/A</v>
      </c>
      <c r="J879" s="243">
        <f>INDEX('W-S'!$A:$N,MATCH(I879,'W-S'!$C:$C,0),MATCH("SP Cost",'W-S'!$1:$1,0))</f>
        <v>0</v>
      </c>
      <c r="K879" s="9"/>
      <c r="L879" s="241" t="str">
        <f>+I879</f>
        <v>N/A</v>
      </c>
      <c r="M879" s="243">
        <f>INDEX('W-S'!$A:$N,MATCH(L879,'W-S'!$C:$C,0),MATCH("SP Cost V3",'W-S'!$1:$1,0))</f>
        <v>0</v>
      </c>
    </row>
    <row r="880" spans="1:13" ht="22.5" x14ac:dyDescent="0.35">
      <c r="B880" s="238" t="str">
        <f>+INDEX(WEAP!$A:$AN,MATCH(B879,WEAP!$B:$B,0),MATCH("ID",WEAP!$A$1:$BF$1,0))</f>
        <v>306121_01</v>
      </c>
      <c r="C880" s="240"/>
      <c r="D880" s="692" t="str">
        <f>+INDEX(WEAP!$A:$AN,MATCH(B879,WEAP!$B:$B,0),MATCH("Family",WEAP!$A$1:$BF$1,0))&amp;" Weapon"</f>
        <v>Chimera Weapon</v>
      </c>
      <c r="E880" s="693"/>
      <c r="F880" s="693"/>
      <c r="G880" s="694"/>
      <c r="H880" s="8"/>
      <c r="I880" s="695" t="str">
        <f>INDEX('W-S'!$A:$O,MATCH(I879,'W-S'!$C:$C,0),MATCH("Description",'W-S'!$1:$1,0))</f>
        <v>This weapon has no weapon skill.</v>
      </c>
      <c r="J880" s="696"/>
      <c r="K880" s="239"/>
      <c r="L880" s="695" t="str">
        <f>INDEX('W-S'!$A:$O,MATCH(I879,'W-S'!$C:$C,0),MATCH("Description V3",'W-S'!$1:$1,0))</f>
        <v>This weapon has no weapon skill.</v>
      </c>
      <c r="M880" s="696"/>
    </row>
    <row r="881" spans="1:13" ht="22.5" x14ac:dyDescent="0.2">
      <c r="B881" s="701" t="e" vm="146">
        <f>+_xlfn.IMAGE("https://natalie.tf/wp-content/uploads/2023/10/DLV3_Icon_Weapon_"&amp;B880&amp;".png")</f>
        <v>#VALUE!</v>
      </c>
      <c r="C881" s="240"/>
      <c r="D881" s="692" t="str">
        <f>INDEX(WEAP!$A:$AN,MATCH(B880,WEAP!$A:$A,0),MATCH("Element",WEAP!$A$1:$BF$1,0))&amp;" "&amp;INDEX(WEAP!$A:$AN,MATCH(B880,WEAP!$A:$A,0),MATCH("Type",WEAP!$A$1:$BF$1,0))</f>
        <v>Flame Bow</v>
      </c>
      <c r="E881" s="693"/>
      <c r="F881" s="693"/>
      <c r="G881" s="694"/>
      <c r="H881" s="8"/>
      <c r="I881" s="697"/>
      <c r="J881" s="698"/>
      <c r="K881" s="9"/>
      <c r="L881" s="697"/>
      <c r="M881" s="698"/>
    </row>
    <row r="882" spans="1:13" ht="22.5" x14ac:dyDescent="0.35">
      <c r="B882" s="702"/>
      <c r="C882" s="239"/>
      <c r="D882" s="703" t="s">
        <v>10760</v>
      </c>
      <c r="E882" s="704"/>
      <c r="F882" s="235" t="s">
        <v>10761</v>
      </c>
      <c r="G882" s="235" t="s">
        <v>10762</v>
      </c>
      <c r="I882" s="697"/>
      <c r="J882" s="698"/>
      <c r="K882" s="239"/>
      <c r="L882" s="697"/>
      <c r="M882" s="698"/>
    </row>
    <row r="883" spans="1:13" ht="22.5" x14ac:dyDescent="0.35">
      <c r="B883" s="702"/>
      <c r="C883" s="239"/>
      <c r="D883" s="705" t="s">
        <v>96</v>
      </c>
      <c r="E883" s="706"/>
      <c r="F883" s="236">
        <f>INDEX(WEAP!$A:$AN,MATCH(B880,WEAP!$A:$A,0),MATCH("HP",WEAP!$A$1:$BF$1,0))</f>
        <v>151</v>
      </c>
      <c r="G883" s="237">
        <f>INDEX(WEAP!$A:$AN,MATCH(B880,WEAP!$A:$A,0),MATCH("HP V3",WEAP!$A$1:$BF$1,0))</f>
        <v>280</v>
      </c>
      <c r="I883" s="697"/>
      <c r="J883" s="698"/>
      <c r="K883" s="239"/>
      <c r="L883" s="697"/>
      <c r="M883" s="698"/>
    </row>
    <row r="884" spans="1:13" ht="22.5" x14ac:dyDescent="0.35">
      <c r="B884" s="702"/>
      <c r="C884" s="239"/>
      <c r="D884" s="707" t="s">
        <v>97</v>
      </c>
      <c r="E884" s="708"/>
      <c r="F884" s="236">
        <f>INDEX(WEAP!$A:$AN,MATCH(B880,WEAP!$A:$A,0),MATCH("Str",WEAP!$A$1:$BF$1,0))</f>
        <v>961</v>
      </c>
      <c r="G884" s="237">
        <f>INDEX(WEAP!$A:$AN,MATCH(B880,WEAP!$A:$A,0),MATCH("Str V3",WEAP!$A$1:$BF$1,0))</f>
        <v>1160</v>
      </c>
      <c r="I884" s="699"/>
      <c r="J884" s="700"/>
      <c r="K884" s="239"/>
      <c r="L884" s="699"/>
      <c r="M884" s="700"/>
    </row>
    <row r="885" spans="1:13" s="245" customFormat="1" ht="7.5" customHeight="1" x14ac:dyDescent="0.2">
      <c r="A885" s="245" t="s">
        <v>10763</v>
      </c>
    </row>
    <row r="886" spans="1:13" ht="22.5" x14ac:dyDescent="0.35">
      <c r="A886" s="242" t="str">
        <f>TEXT(A879+1,"000")</f>
        <v>127</v>
      </c>
      <c r="B886" s="238" t="str">
        <f>"W-"&amp;A886</f>
        <v>W-127</v>
      </c>
      <c r="C886" s="239"/>
      <c r="D886" s="692" t="str">
        <f>+INDEX(WEAP!$A:$AN,MATCH(B887,WEAP!$A:$A,0),MATCH("Name",WEAP!$A$1:$BF$1,0))</f>
        <v>Chimeratech Archmage</v>
      </c>
      <c r="E886" s="693"/>
      <c r="F886" s="693"/>
      <c r="G886" s="694"/>
      <c r="I886" s="241" t="str">
        <f>+INDEX(WEAP!$A:$AN,MATCH(B887,WEAP!$A:$A,0),MATCH("Weapon Skill",WEAP!$A$1:$BF$1,0))</f>
        <v>N/A</v>
      </c>
      <c r="J886" s="243">
        <f>INDEX('W-S'!$A:$N,MATCH(I886,'W-S'!$C:$C,0),MATCH("SP Cost",'W-S'!$1:$1,0))</f>
        <v>0</v>
      </c>
      <c r="K886" s="9"/>
      <c r="L886" s="241" t="str">
        <f>+I886</f>
        <v>N/A</v>
      </c>
      <c r="M886" s="243">
        <f>INDEX('W-S'!$A:$N,MATCH(L886,'W-S'!$C:$C,0),MATCH("SP Cost V3",'W-S'!$1:$1,0))</f>
        <v>0</v>
      </c>
    </row>
    <row r="887" spans="1:13" ht="22.5" x14ac:dyDescent="0.35">
      <c r="B887" s="238" t="str">
        <f>+INDEX(WEAP!$A:$AN,MATCH(B886,WEAP!$B:$B,0),MATCH("ID",WEAP!$A$1:$BF$1,0))</f>
        <v>307129_01</v>
      </c>
      <c r="C887" s="240"/>
      <c r="D887" s="692" t="str">
        <f>+INDEX(WEAP!$A:$AN,MATCH(B886,WEAP!$B:$B,0),MATCH("Family",WEAP!$A$1:$BF$1,0))&amp;" Weapon"</f>
        <v>Chimera Weapon</v>
      </c>
      <c r="E887" s="693"/>
      <c r="F887" s="693"/>
      <c r="G887" s="694"/>
      <c r="H887" s="8"/>
      <c r="I887" s="695" t="str">
        <f>INDEX('W-S'!$A:$O,MATCH(I886,'W-S'!$C:$C,0),MATCH("Description",'W-S'!$1:$1,0))</f>
        <v>This weapon has no weapon skill.</v>
      </c>
      <c r="J887" s="696"/>
      <c r="K887" s="239"/>
      <c r="L887" s="695" t="str">
        <f>INDEX('W-S'!$A:$O,MATCH(I886,'W-S'!$C:$C,0),MATCH("Description V3",'W-S'!$1:$1,0))</f>
        <v>This weapon has no weapon skill.</v>
      </c>
      <c r="M887" s="696"/>
    </row>
    <row r="888" spans="1:13" ht="22.5" x14ac:dyDescent="0.2">
      <c r="B888" s="701" t="e" vm="147">
        <f>+_xlfn.IMAGE("https://natalie.tf/wp-content/uploads/2023/10/DLV3_Icon_Weapon_"&amp;B887&amp;".png")</f>
        <v>#VALUE!</v>
      </c>
      <c r="C888" s="240"/>
      <c r="D888" s="692" t="str">
        <f>INDEX(WEAP!$A:$AN,MATCH(B887,WEAP!$A:$A,0),MATCH("Element",WEAP!$A$1:$BF$1,0))&amp;" "&amp;INDEX(WEAP!$A:$AN,MATCH(B887,WEAP!$A:$A,0),MATCH("Type",WEAP!$A$1:$BF$1,0))</f>
        <v>Flame Wand</v>
      </c>
      <c r="E888" s="693"/>
      <c r="F888" s="693"/>
      <c r="G888" s="694"/>
      <c r="H888" s="8"/>
      <c r="I888" s="697"/>
      <c r="J888" s="698"/>
      <c r="K888" s="9"/>
      <c r="L888" s="697"/>
      <c r="M888" s="698"/>
    </row>
    <row r="889" spans="1:13" ht="22.5" x14ac:dyDescent="0.35">
      <c r="B889" s="702"/>
      <c r="C889" s="239"/>
      <c r="D889" s="703" t="s">
        <v>10760</v>
      </c>
      <c r="E889" s="704"/>
      <c r="F889" s="235" t="s">
        <v>10761</v>
      </c>
      <c r="G889" s="235" t="s">
        <v>10762</v>
      </c>
      <c r="I889" s="697"/>
      <c r="J889" s="698"/>
      <c r="K889" s="239"/>
      <c r="L889" s="697"/>
      <c r="M889" s="698"/>
    </row>
    <row r="890" spans="1:13" ht="22.5" x14ac:dyDescent="0.35">
      <c r="B890" s="702"/>
      <c r="C890" s="239"/>
      <c r="D890" s="705" t="s">
        <v>96</v>
      </c>
      <c r="E890" s="706"/>
      <c r="F890" s="236">
        <f>INDEX(WEAP!$A:$AN,MATCH(B887,WEAP!$A:$A,0),MATCH("HP",WEAP!$A$1:$BF$1,0))</f>
        <v>152</v>
      </c>
      <c r="G890" s="237">
        <f>INDEX(WEAP!$A:$AN,MATCH(B887,WEAP!$A:$A,0),MATCH("HP V3",WEAP!$A$1:$BF$1,0))</f>
        <v>275</v>
      </c>
      <c r="I890" s="697"/>
      <c r="J890" s="698"/>
      <c r="K890" s="239"/>
      <c r="L890" s="697"/>
      <c r="M890" s="698"/>
    </row>
    <row r="891" spans="1:13" ht="22.5" x14ac:dyDescent="0.35">
      <c r="B891" s="702"/>
      <c r="C891" s="239"/>
      <c r="D891" s="707" t="s">
        <v>97</v>
      </c>
      <c r="E891" s="708"/>
      <c r="F891" s="236">
        <f>INDEX(WEAP!$A:$AN,MATCH(B887,WEAP!$A:$A,0),MATCH("Str",WEAP!$A$1:$BF$1,0))</f>
        <v>1001</v>
      </c>
      <c r="G891" s="237">
        <f>INDEX(WEAP!$A:$AN,MATCH(B887,WEAP!$A:$A,0),MATCH("Str V3",WEAP!$A$1:$BF$1,0))</f>
        <v>1245</v>
      </c>
      <c r="I891" s="699"/>
      <c r="J891" s="700"/>
      <c r="K891" s="239"/>
      <c r="L891" s="699"/>
      <c r="M891" s="700"/>
    </row>
    <row r="892" spans="1:13" s="245" customFormat="1" ht="7.5" customHeight="1" x14ac:dyDescent="0.2">
      <c r="A892" s="245" t="s">
        <v>10763</v>
      </c>
    </row>
    <row r="893" spans="1:13" ht="22.5" x14ac:dyDescent="0.35">
      <c r="A893" s="244" t="str">
        <f>TEXT(A886+1,"000")</f>
        <v>128</v>
      </c>
      <c r="B893" s="238" t="str">
        <f>"W-"&amp;A893</f>
        <v>W-128</v>
      </c>
      <c r="C893" s="239"/>
      <c r="D893" s="692" t="str">
        <f>+INDEX(WEAP!$A:$AN,MATCH(B894,WEAP!$A:$A,0),MATCH("Name",WEAP!$A$1:$BF$1,0))</f>
        <v>Chimeratech Cardinal</v>
      </c>
      <c r="E893" s="693"/>
      <c r="F893" s="693"/>
      <c r="G893" s="694"/>
      <c r="I893" s="241" t="str">
        <f>+INDEX(WEAP!$A:$AN,MATCH(B894,WEAP!$A:$A,0),MATCH("Weapon Skill",WEAP!$A$1:$BF$1,0))</f>
        <v>N/A</v>
      </c>
      <c r="J893" s="243">
        <f>INDEX('W-S'!$A:$N,MATCH(I893,'W-S'!$C:$C,0),MATCH("SP Cost",'W-S'!$1:$1,0))</f>
        <v>0</v>
      </c>
      <c r="K893" s="9"/>
      <c r="L893" s="241" t="str">
        <f>+I893</f>
        <v>N/A</v>
      </c>
      <c r="M893" s="243">
        <f>INDEX('W-S'!$A:$N,MATCH(L893,'W-S'!$C:$C,0),MATCH("SP Cost V3",'W-S'!$1:$1,0))</f>
        <v>0</v>
      </c>
    </row>
    <row r="894" spans="1:13" ht="22.5" x14ac:dyDescent="0.35">
      <c r="B894" s="238" t="str">
        <f>+INDEX(WEAP!$A:$AN,MATCH(B893,WEAP!$B:$B,0),MATCH("ID",WEAP!$A$1:$BF$1,0))</f>
        <v>308122_01</v>
      </c>
      <c r="C894" s="240"/>
      <c r="D894" s="692" t="str">
        <f>+INDEX(WEAP!$A:$AN,MATCH(B893,WEAP!$B:$B,0),MATCH("Family",WEAP!$A$1:$BF$1,0))&amp;" Weapon"</f>
        <v>Chimera Weapon</v>
      </c>
      <c r="E894" s="693"/>
      <c r="F894" s="693"/>
      <c r="G894" s="694"/>
      <c r="H894" s="8"/>
      <c r="I894" s="695" t="str">
        <f>INDEX('W-S'!$A:$O,MATCH(I893,'W-S'!$C:$C,0),MATCH("Description",'W-S'!$1:$1,0))</f>
        <v>This weapon has no weapon skill.</v>
      </c>
      <c r="J894" s="696"/>
      <c r="K894" s="239"/>
      <c r="L894" s="695" t="str">
        <f>INDEX('W-S'!$A:$O,MATCH(I893,'W-S'!$C:$C,0),MATCH("Description V3",'W-S'!$1:$1,0))</f>
        <v>This weapon has no weapon skill.</v>
      </c>
      <c r="M894" s="696"/>
    </row>
    <row r="895" spans="1:13" ht="22.5" x14ac:dyDescent="0.2">
      <c r="B895" s="701" t="e" vm="148">
        <f>+_xlfn.IMAGE("https://natalie.tf/wp-content/uploads/2023/10/DLV3_Icon_Weapon_"&amp;B894&amp;".png")</f>
        <v>#VALUE!</v>
      </c>
      <c r="C895" s="240"/>
      <c r="D895" s="692" t="str">
        <f>INDEX(WEAP!$A:$AN,MATCH(B894,WEAP!$A:$A,0),MATCH("Element",WEAP!$A$1:$BF$1,0))&amp;" "&amp;INDEX(WEAP!$A:$AN,MATCH(B894,WEAP!$A:$A,0),MATCH("Type",WEAP!$A$1:$BF$1,0))</f>
        <v>Flame Staff</v>
      </c>
      <c r="E895" s="693"/>
      <c r="F895" s="693"/>
      <c r="G895" s="694"/>
      <c r="H895" s="8"/>
      <c r="I895" s="697"/>
      <c r="J895" s="698"/>
      <c r="K895" s="9"/>
      <c r="L895" s="697"/>
      <c r="M895" s="698"/>
    </row>
    <row r="896" spans="1:13" ht="22.5" x14ac:dyDescent="0.35">
      <c r="B896" s="702"/>
      <c r="C896" s="239"/>
      <c r="D896" s="703" t="s">
        <v>10760</v>
      </c>
      <c r="E896" s="704"/>
      <c r="F896" s="235" t="s">
        <v>10761</v>
      </c>
      <c r="G896" s="235" t="s">
        <v>10762</v>
      </c>
      <c r="I896" s="697"/>
      <c r="J896" s="698"/>
      <c r="K896" s="239"/>
      <c r="L896" s="697"/>
      <c r="M896" s="698"/>
    </row>
    <row r="897" spans="1:13" ht="22.5" x14ac:dyDescent="0.35">
      <c r="B897" s="702"/>
      <c r="C897" s="239"/>
      <c r="D897" s="705" t="s">
        <v>96</v>
      </c>
      <c r="E897" s="706"/>
      <c r="F897" s="236">
        <f>INDEX(WEAP!$A:$AN,MATCH(B894,WEAP!$A:$A,0),MATCH("HP",WEAP!$A$1:$BF$1,0))</f>
        <v>225</v>
      </c>
      <c r="G897" s="237">
        <f>INDEX(WEAP!$A:$AN,MATCH(B894,WEAP!$A:$A,0),MATCH("HP V3",WEAP!$A$1:$BF$1,0))</f>
        <v>325</v>
      </c>
      <c r="I897" s="697"/>
      <c r="J897" s="698"/>
      <c r="K897" s="239"/>
      <c r="L897" s="697"/>
      <c r="M897" s="698"/>
    </row>
    <row r="898" spans="1:13" ht="22.5" x14ac:dyDescent="0.35">
      <c r="B898" s="702"/>
      <c r="C898" s="239"/>
      <c r="D898" s="707" t="s">
        <v>97</v>
      </c>
      <c r="E898" s="708"/>
      <c r="F898" s="236">
        <f>INDEX(WEAP!$A:$AN,MATCH(B894,WEAP!$A:$A,0),MATCH("Str",WEAP!$A$1:$BF$1,0))</f>
        <v>877</v>
      </c>
      <c r="G898" s="237">
        <f>INDEX(WEAP!$A:$AN,MATCH(B894,WEAP!$A:$A,0),MATCH("Str V3",WEAP!$A$1:$BF$1,0))</f>
        <v>1110</v>
      </c>
      <c r="I898" s="699"/>
      <c r="J898" s="700"/>
      <c r="K898" s="239"/>
      <c r="L898" s="699"/>
      <c r="M898" s="700"/>
    </row>
    <row r="899" spans="1:13" s="245" customFormat="1" ht="7.5" customHeight="1" x14ac:dyDescent="0.2">
      <c r="A899" s="245" t="s">
        <v>10763</v>
      </c>
    </row>
    <row r="900" spans="1:13" ht="22.5" x14ac:dyDescent="0.35">
      <c r="A900" s="244" t="str">
        <f>TEXT(A893+1,"000")</f>
        <v>129</v>
      </c>
      <c r="B900" s="238" t="str">
        <f>"W-"&amp;A900</f>
        <v>W-129</v>
      </c>
      <c r="C900" s="239"/>
      <c r="D900" s="692" t="str">
        <f>+INDEX(WEAP!$A:$AN,MATCH(B901,WEAP!$A:$A,0),MATCH("Name",WEAP!$A$1:$BF$1,0))</f>
        <v>Chimeratech Gunner</v>
      </c>
      <c r="E900" s="693"/>
      <c r="F900" s="693"/>
      <c r="G900" s="694"/>
      <c r="I900" s="241" t="str">
        <f>+INDEX(WEAP!$A:$AN,MATCH(B901,WEAP!$A:$A,0),MATCH("Weapon Skill",WEAP!$A$1:$BF$1,0))</f>
        <v>N/A</v>
      </c>
      <c r="J900" s="243">
        <f>INDEX('W-S'!$A:$N,MATCH(I900,'W-S'!$C:$C,0),MATCH("SP Cost",'W-S'!$1:$1,0))</f>
        <v>0</v>
      </c>
      <c r="K900" s="9"/>
      <c r="L900" s="241" t="str">
        <f>+I900</f>
        <v>N/A</v>
      </c>
      <c r="M900" s="243">
        <f>INDEX('W-S'!$A:$N,MATCH(L900,'W-S'!$C:$C,0),MATCH("SP Cost V3",'W-S'!$1:$1,0))</f>
        <v>0</v>
      </c>
    </row>
    <row r="901" spans="1:13" ht="22.5" x14ac:dyDescent="0.35">
      <c r="B901" s="238" t="str">
        <f>+INDEX(WEAP!$A:$AN,MATCH(B900,WEAP!$B:$B,0),MATCH("ID",WEAP!$A$1:$BF$1,0))</f>
        <v>309016_01</v>
      </c>
      <c r="C901" s="240"/>
      <c r="D901" s="692" t="str">
        <f>+INDEX(WEAP!$A:$AN,MATCH(B900,WEAP!$B:$B,0),MATCH("Family",WEAP!$A$1:$BF$1,0))&amp;" Weapon"</f>
        <v>Chimera Weapon</v>
      </c>
      <c r="E901" s="693"/>
      <c r="F901" s="693"/>
      <c r="G901" s="694"/>
      <c r="H901" s="8"/>
      <c r="I901" s="695" t="str">
        <f>INDEX('W-S'!$A:$O,MATCH(I900,'W-S'!$C:$C,0),MATCH("Description",'W-S'!$1:$1,0))</f>
        <v>This weapon has no weapon skill.</v>
      </c>
      <c r="J901" s="696"/>
      <c r="K901" s="239"/>
      <c r="L901" s="695" t="str">
        <f>INDEX('W-S'!$A:$O,MATCH(I900,'W-S'!$C:$C,0),MATCH("Description V3",'W-S'!$1:$1,0))</f>
        <v>This weapon has no weapon skill.</v>
      </c>
      <c r="M901" s="696"/>
    </row>
    <row r="902" spans="1:13" ht="22.5" x14ac:dyDescent="0.2">
      <c r="B902" s="701" t="e" vm="149">
        <f>+_xlfn.IMAGE("https://natalie.tf/wp-content/uploads/2023/10/DLV3_Icon_Weapon_"&amp;B901&amp;".png")</f>
        <v>#VALUE!</v>
      </c>
      <c r="C902" s="240"/>
      <c r="D902" s="692" t="str">
        <f>INDEX(WEAP!$A:$AN,MATCH(B901,WEAP!$A:$A,0),MATCH("Element",WEAP!$A$1:$BF$1,0))&amp;" "&amp;INDEX(WEAP!$A:$AN,MATCH(B901,WEAP!$A:$A,0),MATCH("Type",WEAP!$A$1:$BF$1,0))</f>
        <v>Flame Manacaster</v>
      </c>
      <c r="E902" s="693"/>
      <c r="F902" s="693"/>
      <c r="G902" s="694"/>
      <c r="H902" s="8"/>
      <c r="I902" s="697"/>
      <c r="J902" s="698"/>
      <c r="K902" s="9"/>
      <c r="L902" s="697"/>
      <c r="M902" s="698"/>
    </row>
    <row r="903" spans="1:13" ht="22.5" x14ac:dyDescent="0.35">
      <c r="B903" s="702"/>
      <c r="C903" s="239"/>
      <c r="D903" s="703" t="s">
        <v>10760</v>
      </c>
      <c r="E903" s="704"/>
      <c r="F903" s="235" t="s">
        <v>10761</v>
      </c>
      <c r="G903" s="235" t="s">
        <v>10762</v>
      </c>
      <c r="I903" s="697"/>
      <c r="J903" s="698"/>
      <c r="K903" s="239"/>
      <c r="L903" s="697"/>
      <c r="M903" s="698"/>
    </row>
    <row r="904" spans="1:13" ht="22.5" x14ac:dyDescent="0.35">
      <c r="B904" s="702"/>
      <c r="C904" s="239"/>
      <c r="D904" s="705" t="s">
        <v>96</v>
      </c>
      <c r="E904" s="706"/>
      <c r="F904" s="236">
        <f>INDEX(WEAP!$A:$AN,MATCH(B901,WEAP!$A:$A,0),MATCH("HP",WEAP!$A$1:$BF$1,0))</f>
        <v>236</v>
      </c>
      <c r="G904" s="237">
        <f>INDEX(WEAP!$A:$AN,MATCH(B901,WEAP!$A:$A,0),MATCH("HP V3",WEAP!$A$1:$BF$1,0))</f>
        <v>270</v>
      </c>
      <c r="I904" s="697"/>
      <c r="J904" s="698"/>
      <c r="K904" s="239"/>
      <c r="L904" s="697"/>
      <c r="M904" s="698"/>
    </row>
    <row r="905" spans="1:13" ht="22.5" x14ac:dyDescent="0.35">
      <c r="B905" s="702"/>
      <c r="C905" s="239"/>
      <c r="D905" s="707" t="s">
        <v>97</v>
      </c>
      <c r="E905" s="708"/>
      <c r="F905" s="236">
        <f>INDEX(WEAP!$A:$AN,MATCH(B901,WEAP!$A:$A,0),MATCH("Str",WEAP!$A$1:$BF$1,0))</f>
        <v>1041</v>
      </c>
      <c r="G905" s="237">
        <f>INDEX(WEAP!$A:$AN,MATCH(B901,WEAP!$A:$A,0),MATCH("Str V3",WEAP!$A$1:$BF$1,0))</f>
        <v>1255</v>
      </c>
      <c r="I905" s="699"/>
      <c r="J905" s="700"/>
      <c r="K905" s="239"/>
      <c r="L905" s="699"/>
      <c r="M905" s="700"/>
    </row>
    <row r="906" spans="1:13" s="245" customFormat="1" ht="7.5" customHeight="1" x14ac:dyDescent="0.2">
      <c r="A906" s="245" t="s">
        <v>10763</v>
      </c>
    </row>
    <row r="907" spans="1:13" ht="22.5" x14ac:dyDescent="0.35">
      <c r="A907" s="244" t="str">
        <f>TEXT(A900+1,"000")</f>
        <v>130</v>
      </c>
      <c r="B907" s="238" t="str">
        <f>"W-"&amp;A907</f>
        <v>W-130</v>
      </c>
      <c r="C907" s="239"/>
      <c r="D907" s="717" t="str">
        <f>+INDEX(WEAP!$A:$AN,MATCH(B908,WEAP!$A:$A,0),MATCH("Name",WEAP!$A$1:$BF$1,0))</f>
        <v>Chimeratech Anomalocaris</v>
      </c>
      <c r="E907" s="718"/>
      <c r="F907" s="718"/>
      <c r="G907" s="719"/>
      <c r="I907" s="241" t="str">
        <f>+INDEX(WEAP!$A:$AN,MATCH(B908,WEAP!$A:$A,0),MATCH("Weapon Skill",WEAP!$A$1:$BF$1,0))</f>
        <v>N/A</v>
      </c>
      <c r="J907" s="243">
        <f>INDEX('W-S'!$A:$N,MATCH(I907,'W-S'!$C:$C,0),MATCH("SP Cost",'W-S'!$1:$1,0))</f>
        <v>0</v>
      </c>
      <c r="K907" s="9"/>
      <c r="L907" s="241" t="str">
        <f>+I907</f>
        <v>N/A</v>
      </c>
      <c r="M907" s="243">
        <f>INDEX('W-S'!$A:$N,MATCH(L907,'W-S'!$C:$C,0),MATCH("SP Cost V3",'W-S'!$1:$1,0))</f>
        <v>0</v>
      </c>
    </row>
    <row r="908" spans="1:13" ht="22.5" x14ac:dyDescent="0.35">
      <c r="B908" s="238" t="str">
        <f>+INDEX(WEAP!$A:$AN,MATCH(B907,WEAP!$B:$B,0),MATCH("ID",WEAP!$A$1:$BF$1,0))</f>
        <v>301133_01</v>
      </c>
      <c r="C908" s="240"/>
      <c r="D908" s="692" t="str">
        <f>+INDEX(WEAP!$A:$AN,MATCH(B907,WEAP!$B:$B,0),MATCH("Family",WEAP!$A$1:$BF$1,0))&amp;" Weapon"</f>
        <v>Chimera Weapon</v>
      </c>
      <c r="E908" s="693"/>
      <c r="F908" s="693"/>
      <c r="G908" s="694"/>
      <c r="H908" s="8"/>
      <c r="I908" s="695" t="str">
        <f>INDEX('W-S'!$A:$O,MATCH(I907,'W-S'!$C:$C,0),MATCH("Description",'W-S'!$1:$1,0))</f>
        <v>This weapon has no weapon skill.</v>
      </c>
      <c r="J908" s="696"/>
      <c r="K908" s="239"/>
      <c r="L908" s="695" t="str">
        <f>INDEX('W-S'!$A:$O,MATCH(I907,'W-S'!$C:$C,0),MATCH("Description V3",'W-S'!$1:$1,0))</f>
        <v>This weapon has no weapon skill.</v>
      </c>
      <c r="M908" s="696"/>
    </row>
    <row r="909" spans="1:13" ht="22.5" x14ac:dyDescent="0.2">
      <c r="B909" s="701" t="e" vm="150">
        <f>+_xlfn.IMAGE("https://natalie.tf/wp-content/uploads/2023/10/DLV3_Icon_Weapon_"&amp;B908&amp;".png")</f>
        <v>#VALUE!</v>
      </c>
      <c r="C909" s="240"/>
      <c r="D909" s="692" t="str">
        <f>INDEX(WEAP!$A:$AN,MATCH(B908,WEAP!$A:$A,0),MATCH("Element",WEAP!$A$1:$BF$1,0))&amp;" "&amp;INDEX(WEAP!$A:$AN,MATCH(B908,WEAP!$A:$A,0),MATCH("Type",WEAP!$A$1:$BF$1,0))</f>
        <v>Water Sword</v>
      </c>
      <c r="E909" s="693"/>
      <c r="F909" s="693"/>
      <c r="G909" s="694"/>
      <c r="H909" s="8"/>
      <c r="I909" s="697"/>
      <c r="J909" s="698"/>
      <c r="K909" s="9"/>
      <c r="L909" s="697"/>
      <c r="M909" s="698"/>
    </row>
    <row r="910" spans="1:13" ht="22.5" x14ac:dyDescent="0.35">
      <c r="B910" s="702"/>
      <c r="C910" s="239"/>
      <c r="D910" s="703" t="s">
        <v>10760</v>
      </c>
      <c r="E910" s="704"/>
      <c r="F910" s="235" t="s">
        <v>10761</v>
      </c>
      <c r="G910" s="235" t="s">
        <v>10762</v>
      </c>
      <c r="I910" s="697"/>
      <c r="J910" s="698"/>
      <c r="K910" s="239"/>
      <c r="L910" s="697"/>
      <c r="M910" s="698"/>
    </row>
    <row r="911" spans="1:13" ht="22.5" x14ac:dyDescent="0.35">
      <c r="B911" s="702"/>
      <c r="C911" s="239"/>
      <c r="D911" s="705" t="s">
        <v>96</v>
      </c>
      <c r="E911" s="706"/>
      <c r="F911" s="236">
        <f>INDEX(WEAP!$A:$AN,MATCH(B908,WEAP!$A:$A,0),MATCH("HP",WEAP!$A$1:$BF$1,0))</f>
        <v>257</v>
      </c>
      <c r="G911" s="237">
        <f>INDEX(WEAP!$A:$AN,MATCH(B908,WEAP!$A:$A,0),MATCH("HP V3",WEAP!$A$1:$BF$1,0))</f>
        <v>270</v>
      </c>
      <c r="I911" s="697"/>
      <c r="J911" s="698"/>
      <c r="K911" s="239"/>
      <c r="L911" s="697"/>
      <c r="M911" s="698"/>
    </row>
    <row r="912" spans="1:13" ht="22.5" x14ac:dyDescent="0.35">
      <c r="B912" s="702"/>
      <c r="C912" s="239"/>
      <c r="D912" s="707" t="s">
        <v>97</v>
      </c>
      <c r="E912" s="708"/>
      <c r="F912" s="236">
        <f>INDEX(WEAP!$A:$AN,MATCH(B908,WEAP!$A:$A,0),MATCH("Str",WEAP!$A$1:$BF$1,0))</f>
        <v>1001</v>
      </c>
      <c r="G912" s="237">
        <f>INDEX(WEAP!$A:$AN,MATCH(B908,WEAP!$A:$A,0),MATCH("Str V3",WEAP!$A$1:$BF$1,0))</f>
        <v>1210</v>
      </c>
      <c r="I912" s="699"/>
      <c r="J912" s="700"/>
      <c r="K912" s="239"/>
      <c r="L912" s="699"/>
      <c r="M912" s="700"/>
    </row>
    <row r="913" spans="1:13" ht="33.75" customHeight="1" x14ac:dyDescent="0.2">
      <c r="A913" t="s">
        <v>10763</v>
      </c>
    </row>
    <row r="914" spans="1:13" ht="22.5" x14ac:dyDescent="0.35">
      <c r="A914" s="244" t="str">
        <f>TEXT(A907+1,"000")</f>
        <v>131</v>
      </c>
      <c r="B914" s="238" t="str">
        <f>"W-"&amp;A914</f>
        <v>W-131</v>
      </c>
      <c r="C914" s="239"/>
      <c r="D914" s="692" t="str">
        <f>+INDEX(WEAP!$A:$AN,MATCH(B915,WEAP!$A:$A,0),MATCH("Name",WEAP!$A$1:$BF$1,0))</f>
        <v>Chimeratech Hadranax</v>
      </c>
      <c r="E914" s="693"/>
      <c r="F914" s="693"/>
      <c r="G914" s="694"/>
      <c r="I914" s="241" t="str">
        <f>+INDEX(WEAP!$A:$AN,MATCH(B915,WEAP!$A:$A,0),MATCH("Weapon Skill",WEAP!$A$1:$BF$1,0))</f>
        <v>N/A</v>
      </c>
      <c r="J914" s="243">
        <f>INDEX('W-S'!$A:$N,MATCH(I914,'W-S'!$C:$C,0),MATCH("SP Cost",'W-S'!$1:$1,0))</f>
        <v>0</v>
      </c>
      <c r="K914" s="9"/>
      <c r="L914" s="241" t="str">
        <f>+I914</f>
        <v>N/A</v>
      </c>
      <c r="M914" s="243">
        <f>INDEX('W-S'!$A:$N,MATCH(L914,'W-S'!$C:$C,0),MATCH("SP Cost V3",'W-S'!$1:$1,0))</f>
        <v>0</v>
      </c>
    </row>
    <row r="915" spans="1:13" ht="22.5" x14ac:dyDescent="0.35">
      <c r="B915" s="238" t="str">
        <f>+INDEX(WEAP!$A:$AN,MATCH(B914,WEAP!$B:$B,0),MATCH("ID",WEAP!$A$1:$BF$1,0))</f>
        <v>302124_01</v>
      </c>
      <c r="C915" s="240"/>
      <c r="D915" s="692" t="str">
        <f>+INDEX(WEAP!$A:$AN,MATCH(B914,WEAP!$B:$B,0),MATCH("Family",WEAP!$A$1:$BF$1,0))&amp;" Weapon"</f>
        <v>Chimera Weapon</v>
      </c>
      <c r="E915" s="693"/>
      <c r="F915" s="693"/>
      <c r="G915" s="694"/>
      <c r="H915" s="8"/>
      <c r="I915" s="695" t="str">
        <f>INDEX('W-S'!$A:$O,MATCH(I914,'W-S'!$C:$C,0),MATCH("Description",'W-S'!$1:$1,0))</f>
        <v>This weapon has no weapon skill.</v>
      </c>
      <c r="J915" s="696"/>
      <c r="K915" s="239"/>
      <c r="L915" s="695" t="str">
        <f>INDEX('W-S'!$A:$O,MATCH(I914,'W-S'!$C:$C,0),MATCH("Description V3",'W-S'!$1:$1,0))</f>
        <v>This weapon has no weapon skill.</v>
      </c>
      <c r="M915" s="696"/>
    </row>
    <row r="916" spans="1:13" ht="22.5" x14ac:dyDescent="0.2">
      <c r="B916" s="701" t="e" vm="151">
        <f>+_xlfn.IMAGE("https://natalie.tf/wp-content/uploads/2023/10/DLV3_Icon_Weapon_"&amp;B915&amp;".png")</f>
        <v>#VALUE!</v>
      </c>
      <c r="C916" s="240"/>
      <c r="D916" s="692" t="str">
        <f>INDEX(WEAP!$A:$AN,MATCH(B915,WEAP!$A:$A,0),MATCH("Element",WEAP!$A$1:$BF$1,0))&amp;" "&amp;INDEX(WEAP!$A:$AN,MATCH(B915,WEAP!$A:$A,0),MATCH("Type",WEAP!$A$1:$BF$1,0))</f>
        <v>Water Blade</v>
      </c>
      <c r="E916" s="693"/>
      <c r="F916" s="693"/>
      <c r="G916" s="694"/>
      <c r="H916" s="8"/>
      <c r="I916" s="697"/>
      <c r="J916" s="698"/>
      <c r="K916" s="9"/>
      <c r="L916" s="697"/>
      <c r="M916" s="698"/>
    </row>
    <row r="917" spans="1:13" ht="22.5" x14ac:dyDescent="0.35">
      <c r="B917" s="702"/>
      <c r="C917" s="239"/>
      <c r="D917" s="703" t="s">
        <v>10760</v>
      </c>
      <c r="E917" s="704"/>
      <c r="F917" s="235" t="s">
        <v>10761</v>
      </c>
      <c r="G917" s="235" t="s">
        <v>10762</v>
      </c>
      <c r="I917" s="697"/>
      <c r="J917" s="698"/>
      <c r="K917" s="239"/>
      <c r="L917" s="697"/>
      <c r="M917" s="698"/>
    </row>
    <row r="918" spans="1:13" ht="22.5" x14ac:dyDescent="0.35">
      <c r="B918" s="702"/>
      <c r="C918" s="239"/>
      <c r="D918" s="705" t="s">
        <v>96</v>
      </c>
      <c r="E918" s="706"/>
      <c r="F918" s="236">
        <f>INDEX(WEAP!$A:$AN,MATCH(B915,WEAP!$A:$A,0),MATCH("HP",WEAP!$A$1:$BF$1,0))</f>
        <v>249</v>
      </c>
      <c r="G918" s="237">
        <f>INDEX(WEAP!$A:$AN,MATCH(B915,WEAP!$A:$A,0),MATCH("HP V3",WEAP!$A$1:$BF$1,0))</f>
        <v>250</v>
      </c>
      <c r="I918" s="697"/>
      <c r="J918" s="698"/>
      <c r="K918" s="239"/>
      <c r="L918" s="697"/>
      <c r="M918" s="698"/>
    </row>
    <row r="919" spans="1:13" ht="22.5" x14ac:dyDescent="0.35">
      <c r="B919" s="702"/>
      <c r="C919" s="239"/>
      <c r="D919" s="707" t="s">
        <v>97</v>
      </c>
      <c r="E919" s="708"/>
      <c r="F919" s="236">
        <f>INDEX(WEAP!$A:$AN,MATCH(B915,WEAP!$A:$A,0),MATCH("Str",WEAP!$A$1:$BF$1,0))</f>
        <v>999</v>
      </c>
      <c r="G919" s="237">
        <f>INDEX(WEAP!$A:$AN,MATCH(B915,WEAP!$A:$A,0),MATCH("Str V3",WEAP!$A$1:$BF$1,0))</f>
        <v>1280</v>
      </c>
      <c r="I919" s="699"/>
      <c r="J919" s="700"/>
      <c r="K919" s="239"/>
      <c r="L919" s="699"/>
      <c r="M919" s="700"/>
    </row>
    <row r="920" spans="1:13" s="245" customFormat="1" ht="7.5" customHeight="1" x14ac:dyDescent="0.2">
      <c r="A920" s="245" t="s">
        <v>10763</v>
      </c>
    </row>
    <row r="921" spans="1:13" ht="22.5" x14ac:dyDescent="0.35">
      <c r="A921" s="242" t="str">
        <f>TEXT(A914+1,"000")</f>
        <v>132</v>
      </c>
      <c r="B921" s="238" t="str">
        <f>"W-"&amp;A921</f>
        <v>W-132</v>
      </c>
      <c r="C921" s="239"/>
      <c r="D921" s="692" t="str">
        <f>+INDEX(WEAP!$A:$AN,MATCH(B922,WEAP!$A:$A,0),MATCH("Name",WEAP!$A$1:$BF$1,0))</f>
        <v>Chimeratech Vetulicola</v>
      </c>
      <c r="E921" s="693"/>
      <c r="F921" s="693"/>
      <c r="G921" s="694"/>
      <c r="I921" s="241" t="str">
        <f>+INDEX(WEAP!$A:$AN,MATCH(B922,WEAP!$A:$A,0),MATCH("Weapon Skill",WEAP!$A$1:$BF$1,0))</f>
        <v>N/A</v>
      </c>
      <c r="J921" s="243">
        <f>INDEX('W-S'!$A:$N,MATCH(I921,'W-S'!$C:$C,0),MATCH("SP Cost",'W-S'!$1:$1,0))</f>
        <v>0</v>
      </c>
      <c r="K921" s="9"/>
      <c r="L921" s="241" t="str">
        <f>+I921</f>
        <v>N/A</v>
      </c>
      <c r="M921" s="243">
        <f>INDEX('W-S'!$A:$N,MATCH(L921,'W-S'!$C:$C,0),MATCH("SP Cost V3",'W-S'!$1:$1,0))</f>
        <v>0</v>
      </c>
    </row>
    <row r="922" spans="1:13" ht="22.5" x14ac:dyDescent="0.35">
      <c r="B922" s="238" t="str">
        <f>+INDEX(WEAP!$A:$AN,MATCH(B921,WEAP!$B:$B,0),MATCH("ID",WEAP!$A$1:$BF$1,0))</f>
        <v>303123_01</v>
      </c>
      <c r="C922" s="240"/>
      <c r="D922" s="692" t="str">
        <f>+INDEX(WEAP!$A:$AN,MATCH(B921,WEAP!$B:$B,0),MATCH("Family",WEAP!$A$1:$BF$1,0))&amp;" Weapon"</f>
        <v>Chimera Weapon</v>
      </c>
      <c r="E922" s="693"/>
      <c r="F922" s="693"/>
      <c r="G922" s="694"/>
      <c r="H922" s="8"/>
      <c r="I922" s="695" t="str">
        <f>INDEX('W-S'!$A:$O,MATCH(I921,'W-S'!$C:$C,0),MATCH("Description",'W-S'!$1:$1,0))</f>
        <v>This weapon has no weapon skill.</v>
      </c>
      <c r="J922" s="696"/>
      <c r="K922" s="239"/>
      <c r="L922" s="695" t="str">
        <f>INDEX('W-S'!$A:$O,MATCH(I921,'W-S'!$C:$C,0),MATCH("Description V3",'W-S'!$1:$1,0))</f>
        <v>This weapon has no weapon skill.</v>
      </c>
      <c r="M922" s="696"/>
    </row>
    <row r="923" spans="1:13" ht="22.5" x14ac:dyDescent="0.2">
      <c r="B923" s="701" t="e" vm="152">
        <f>+_xlfn.IMAGE("https://natalie.tf/wp-content/uploads/2023/10/DLV3_Icon_Weapon_"&amp;B922&amp;".png")</f>
        <v>#VALUE!</v>
      </c>
      <c r="C923" s="240"/>
      <c r="D923" s="692" t="str">
        <f>INDEX(WEAP!$A:$AN,MATCH(B922,WEAP!$A:$A,0),MATCH("Element",WEAP!$A$1:$BF$1,0))&amp;" "&amp;INDEX(WEAP!$A:$AN,MATCH(B922,WEAP!$A:$A,0),MATCH("Type",WEAP!$A$1:$BF$1,0))</f>
        <v>Water Dagger</v>
      </c>
      <c r="E923" s="693"/>
      <c r="F923" s="693"/>
      <c r="G923" s="694"/>
      <c r="H923" s="8"/>
      <c r="I923" s="697"/>
      <c r="J923" s="698"/>
      <c r="K923" s="9"/>
      <c r="L923" s="697"/>
      <c r="M923" s="698"/>
    </row>
    <row r="924" spans="1:13" ht="22.5" x14ac:dyDescent="0.35">
      <c r="B924" s="702"/>
      <c r="C924" s="239"/>
      <c r="D924" s="703" t="s">
        <v>10760</v>
      </c>
      <c r="E924" s="704"/>
      <c r="F924" s="235" t="s">
        <v>10761</v>
      </c>
      <c r="G924" s="235" t="s">
        <v>10762</v>
      </c>
      <c r="I924" s="697"/>
      <c r="J924" s="698"/>
      <c r="K924" s="239"/>
      <c r="L924" s="697"/>
      <c r="M924" s="698"/>
    </row>
    <row r="925" spans="1:13" ht="22.5" x14ac:dyDescent="0.35">
      <c r="B925" s="702"/>
      <c r="C925" s="239"/>
      <c r="D925" s="705" t="s">
        <v>96</v>
      </c>
      <c r="E925" s="706"/>
      <c r="F925" s="236">
        <f>INDEX(WEAP!$A:$AN,MATCH(B922,WEAP!$A:$A,0),MATCH("HP",WEAP!$A$1:$BF$1,0))</f>
        <v>164</v>
      </c>
      <c r="G925" s="237">
        <f>INDEX(WEAP!$A:$AN,MATCH(B922,WEAP!$A:$A,0),MATCH("HP V3",WEAP!$A$1:$BF$1,0))</f>
        <v>275</v>
      </c>
      <c r="I925" s="697"/>
      <c r="J925" s="698"/>
      <c r="K925" s="239"/>
      <c r="L925" s="697"/>
      <c r="M925" s="698"/>
    </row>
    <row r="926" spans="1:13" ht="22.5" x14ac:dyDescent="0.35">
      <c r="B926" s="702"/>
      <c r="C926" s="239"/>
      <c r="D926" s="707" t="s">
        <v>97</v>
      </c>
      <c r="E926" s="708"/>
      <c r="F926" s="236">
        <f>INDEX(WEAP!$A:$AN,MATCH(B922,WEAP!$A:$A,0),MATCH("Str",WEAP!$A$1:$BF$1,0))</f>
        <v>953</v>
      </c>
      <c r="G926" s="237">
        <f>INDEX(WEAP!$A:$AN,MATCH(B922,WEAP!$A:$A,0),MATCH("Str V3",WEAP!$A$1:$BF$1,0))</f>
        <v>1185</v>
      </c>
      <c r="I926" s="699"/>
      <c r="J926" s="700"/>
      <c r="K926" s="239"/>
      <c r="L926" s="699"/>
      <c r="M926" s="700"/>
    </row>
    <row r="927" spans="1:13" s="245" customFormat="1" ht="7.5" customHeight="1" x14ac:dyDescent="0.2">
      <c r="A927" s="245" t="s">
        <v>10763</v>
      </c>
    </row>
    <row r="928" spans="1:13" ht="22.5" x14ac:dyDescent="0.35">
      <c r="A928" s="244" t="str">
        <f>TEXT(A921+1,"000")</f>
        <v>133</v>
      </c>
      <c r="B928" s="238" t="str">
        <f>"W-"&amp;A928</f>
        <v>W-133</v>
      </c>
      <c r="C928" s="239"/>
      <c r="D928" s="692" t="str">
        <f>+INDEX(WEAP!$A:$AN,MATCH(B929,WEAP!$A:$A,0),MATCH("Name",WEAP!$A$1:$BF$1,0))</f>
        <v>Chimeratech Helmetia</v>
      </c>
      <c r="E928" s="693"/>
      <c r="F928" s="693"/>
      <c r="G928" s="694"/>
      <c r="I928" s="241" t="str">
        <f>+INDEX(WEAP!$A:$AN,MATCH(B929,WEAP!$A:$A,0),MATCH("Weapon Skill",WEAP!$A$1:$BF$1,0))</f>
        <v>N/A</v>
      </c>
      <c r="J928" s="243">
        <f>INDEX('W-S'!$A:$N,MATCH(I928,'W-S'!$C:$C,0),MATCH("SP Cost",'W-S'!$1:$1,0))</f>
        <v>0</v>
      </c>
      <c r="K928" s="9"/>
      <c r="L928" s="241" t="str">
        <f>+I928</f>
        <v>N/A</v>
      </c>
      <c r="M928" s="243">
        <f>INDEX('W-S'!$A:$N,MATCH(L928,'W-S'!$C:$C,0),MATCH("SP Cost V3",'W-S'!$1:$1,0))</f>
        <v>0</v>
      </c>
    </row>
    <row r="929" spans="1:13" ht="22.5" x14ac:dyDescent="0.35">
      <c r="B929" s="238" t="str">
        <f>+INDEX(WEAP!$A:$AN,MATCH(B928,WEAP!$B:$B,0),MATCH("ID",WEAP!$A$1:$BF$1,0))</f>
        <v>304122_01</v>
      </c>
      <c r="C929" s="240"/>
      <c r="D929" s="692" t="str">
        <f>+INDEX(WEAP!$A:$AN,MATCH(B928,WEAP!$B:$B,0),MATCH("Family",WEAP!$A$1:$BF$1,0))&amp;" Weapon"</f>
        <v>Chimera Weapon</v>
      </c>
      <c r="E929" s="693"/>
      <c r="F929" s="693"/>
      <c r="G929" s="694"/>
      <c r="H929" s="8"/>
      <c r="I929" s="695" t="str">
        <f>INDEX('W-S'!$A:$O,MATCH(I928,'W-S'!$C:$C,0),MATCH("Description",'W-S'!$1:$1,0))</f>
        <v>This weapon has no weapon skill.</v>
      </c>
      <c r="J929" s="696"/>
      <c r="K929" s="239"/>
      <c r="L929" s="695" t="str">
        <f>INDEX('W-S'!$A:$O,MATCH(I928,'W-S'!$C:$C,0),MATCH("Description V3",'W-S'!$1:$1,0))</f>
        <v>This weapon has no weapon skill.</v>
      </c>
      <c r="M929" s="696"/>
    </row>
    <row r="930" spans="1:13" ht="22.5" x14ac:dyDescent="0.2">
      <c r="B930" s="701" t="e" vm="153">
        <f>+_xlfn.IMAGE("https://natalie.tf/wp-content/uploads/2023/10/DLV3_Icon_Weapon_"&amp;B929&amp;".png")</f>
        <v>#VALUE!</v>
      </c>
      <c r="C930" s="240"/>
      <c r="D930" s="692" t="str">
        <f>INDEX(WEAP!$A:$AN,MATCH(B929,WEAP!$A:$A,0),MATCH("Element",WEAP!$A$1:$BF$1,0))&amp;" "&amp;INDEX(WEAP!$A:$AN,MATCH(B929,WEAP!$A:$A,0),MATCH("Type",WEAP!$A$1:$BF$1,0))</f>
        <v>Water Axe</v>
      </c>
      <c r="E930" s="693"/>
      <c r="F930" s="693"/>
      <c r="G930" s="694"/>
      <c r="H930" s="8"/>
      <c r="I930" s="697"/>
      <c r="J930" s="698"/>
      <c r="K930" s="9"/>
      <c r="L930" s="697"/>
      <c r="M930" s="698"/>
    </row>
    <row r="931" spans="1:13" ht="22.5" x14ac:dyDescent="0.35">
      <c r="B931" s="702"/>
      <c r="C931" s="239"/>
      <c r="D931" s="703" t="s">
        <v>10760</v>
      </c>
      <c r="E931" s="704"/>
      <c r="F931" s="235" t="s">
        <v>10761</v>
      </c>
      <c r="G931" s="235" t="s">
        <v>10762</v>
      </c>
      <c r="I931" s="697"/>
      <c r="J931" s="698"/>
      <c r="K931" s="239"/>
      <c r="L931" s="697"/>
      <c r="M931" s="698"/>
    </row>
    <row r="932" spans="1:13" ht="22.5" x14ac:dyDescent="0.35">
      <c r="B932" s="702"/>
      <c r="C932" s="239"/>
      <c r="D932" s="705" t="s">
        <v>96</v>
      </c>
      <c r="E932" s="706"/>
      <c r="F932" s="236">
        <f>INDEX(WEAP!$A:$AN,MATCH(B929,WEAP!$A:$A,0),MATCH("HP",WEAP!$A$1:$BF$1,0))</f>
        <v>175</v>
      </c>
      <c r="G932" s="237">
        <f>INDEX(WEAP!$A:$AN,MATCH(B929,WEAP!$A:$A,0),MATCH("HP V3",WEAP!$A$1:$BF$1,0))</f>
        <v>295</v>
      </c>
      <c r="I932" s="697"/>
      <c r="J932" s="698"/>
      <c r="K932" s="239"/>
      <c r="L932" s="697"/>
      <c r="M932" s="698"/>
    </row>
    <row r="933" spans="1:13" ht="22.5" x14ac:dyDescent="0.35">
      <c r="B933" s="702"/>
      <c r="C933" s="239"/>
      <c r="D933" s="707" t="s">
        <v>97</v>
      </c>
      <c r="E933" s="708"/>
      <c r="F933" s="236">
        <f>INDEX(WEAP!$A:$AN,MATCH(B929,WEAP!$A:$A,0),MATCH("Str",WEAP!$A$1:$BF$1,0))</f>
        <v>990</v>
      </c>
      <c r="G933" s="237">
        <f>INDEX(WEAP!$A:$AN,MATCH(B929,WEAP!$A:$A,0),MATCH("Str V3",WEAP!$A$1:$BF$1,0))</f>
        <v>1270</v>
      </c>
      <c r="I933" s="699"/>
      <c r="J933" s="700"/>
      <c r="K933" s="239"/>
      <c r="L933" s="699"/>
      <c r="M933" s="700"/>
    </row>
    <row r="934" spans="1:13" s="245" customFormat="1" ht="7.5" customHeight="1" x14ac:dyDescent="0.2">
      <c r="A934" s="245" t="s">
        <v>10763</v>
      </c>
    </row>
    <row r="935" spans="1:13" ht="22.5" x14ac:dyDescent="0.35">
      <c r="A935" s="244" t="str">
        <f>TEXT(A928+1,"000")</f>
        <v>134</v>
      </c>
      <c r="B935" s="238" t="str">
        <f>"W-"&amp;A935</f>
        <v>W-134</v>
      </c>
      <c r="C935" s="239"/>
      <c r="D935" s="717" t="str">
        <f>+INDEX(WEAP!$A:$AN,MATCH(B936,WEAP!$A:$A,0),MATCH("Name",WEAP!$A$1:$BF$1,0))</f>
        <v>Chimeratech Takakkawia</v>
      </c>
      <c r="E935" s="718"/>
      <c r="F935" s="718"/>
      <c r="G935" s="719"/>
      <c r="I935" s="241" t="str">
        <f>+INDEX(WEAP!$A:$AN,MATCH(B936,WEAP!$A:$A,0),MATCH("Weapon Skill",WEAP!$A$1:$BF$1,0))</f>
        <v>N/A</v>
      </c>
      <c r="J935" s="243">
        <f>INDEX('W-S'!$A:$N,MATCH(I935,'W-S'!$C:$C,0),MATCH("SP Cost",'W-S'!$1:$1,0))</f>
        <v>0</v>
      </c>
      <c r="K935" s="9"/>
      <c r="L935" s="241" t="str">
        <f>+I935</f>
        <v>N/A</v>
      </c>
      <c r="M935" s="243">
        <f>INDEX('W-S'!$A:$N,MATCH(L935,'W-S'!$C:$C,0),MATCH("SP Cost V3",'W-S'!$1:$1,0))</f>
        <v>0</v>
      </c>
    </row>
    <row r="936" spans="1:13" ht="22.5" x14ac:dyDescent="0.35">
      <c r="B936" s="238" t="str">
        <f>+INDEX(WEAP!$A:$AN,MATCH(B935,WEAP!$B:$B,0),MATCH("ID",WEAP!$A$1:$BF$1,0))</f>
        <v>305129_01</v>
      </c>
      <c r="C936" s="240"/>
      <c r="D936" s="692" t="str">
        <f>+INDEX(WEAP!$A:$AN,MATCH(B935,WEAP!$B:$B,0),MATCH("Family",WEAP!$A$1:$BF$1,0))&amp;" Weapon"</f>
        <v>Chimera Weapon</v>
      </c>
      <c r="E936" s="693"/>
      <c r="F936" s="693"/>
      <c r="G936" s="694"/>
      <c r="H936" s="8"/>
      <c r="I936" s="695" t="str">
        <f>INDEX('W-S'!$A:$O,MATCH(I935,'W-S'!$C:$C,0),MATCH("Description",'W-S'!$1:$1,0))</f>
        <v>This weapon has no weapon skill.</v>
      </c>
      <c r="J936" s="696"/>
      <c r="K936" s="239"/>
      <c r="L936" s="695" t="str">
        <f>INDEX('W-S'!$A:$O,MATCH(I935,'W-S'!$C:$C,0),MATCH("Description V3",'W-S'!$1:$1,0))</f>
        <v>This weapon has no weapon skill.</v>
      </c>
      <c r="M936" s="696"/>
    </row>
    <row r="937" spans="1:13" ht="22.5" x14ac:dyDescent="0.2">
      <c r="B937" s="701" t="e" vm="154">
        <f>+_xlfn.IMAGE("https://natalie.tf/wp-content/uploads/2023/10/DLV3_Icon_Weapon_"&amp;B936&amp;".png")</f>
        <v>#VALUE!</v>
      </c>
      <c r="C937" s="240"/>
      <c r="D937" s="692" t="str">
        <f>INDEX(WEAP!$A:$AN,MATCH(B936,WEAP!$A:$A,0),MATCH("Element",WEAP!$A$1:$BF$1,0))&amp;" "&amp;INDEX(WEAP!$A:$AN,MATCH(B936,WEAP!$A:$A,0),MATCH("Type",WEAP!$A$1:$BF$1,0))</f>
        <v>Water Lance</v>
      </c>
      <c r="E937" s="693"/>
      <c r="F937" s="693"/>
      <c r="G937" s="694"/>
      <c r="H937" s="8"/>
      <c r="I937" s="697"/>
      <c r="J937" s="698"/>
      <c r="K937" s="9"/>
      <c r="L937" s="697"/>
      <c r="M937" s="698"/>
    </row>
    <row r="938" spans="1:13" ht="22.5" x14ac:dyDescent="0.35">
      <c r="B938" s="702"/>
      <c r="C938" s="239"/>
      <c r="D938" s="703" t="s">
        <v>10760</v>
      </c>
      <c r="E938" s="704"/>
      <c r="F938" s="235" t="s">
        <v>10761</v>
      </c>
      <c r="G938" s="235" t="s">
        <v>10762</v>
      </c>
      <c r="I938" s="697"/>
      <c r="J938" s="698"/>
      <c r="K938" s="239"/>
      <c r="L938" s="697"/>
      <c r="M938" s="698"/>
    </row>
    <row r="939" spans="1:13" ht="22.5" x14ac:dyDescent="0.35">
      <c r="B939" s="702"/>
      <c r="C939" s="239"/>
      <c r="D939" s="705" t="s">
        <v>96</v>
      </c>
      <c r="E939" s="706"/>
      <c r="F939" s="236">
        <f>INDEX(WEAP!$A:$AN,MATCH(B936,WEAP!$A:$A,0),MATCH("HP",WEAP!$A$1:$BF$1,0))</f>
        <v>165</v>
      </c>
      <c r="G939" s="237">
        <f>INDEX(WEAP!$A:$AN,MATCH(B936,WEAP!$A:$A,0),MATCH("HP V3",WEAP!$A$1:$BF$1,0))</f>
        <v>275</v>
      </c>
      <c r="I939" s="697"/>
      <c r="J939" s="698"/>
      <c r="K939" s="239"/>
      <c r="L939" s="697"/>
      <c r="M939" s="698"/>
    </row>
    <row r="940" spans="1:13" ht="22.5" x14ac:dyDescent="0.35">
      <c r="B940" s="702"/>
      <c r="C940" s="239"/>
      <c r="D940" s="707" t="s">
        <v>97</v>
      </c>
      <c r="E940" s="708"/>
      <c r="F940" s="236">
        <f>INDEX(WEAP!$A:$AN,MATCH(B936,WEAP!$A:$A,0),MATCH("Str",WEAP!$A$1:$BF$1,0))</f>
        <v>991</v>
      </c>
      <c r="G940" s="237">
        <f>INDEX(WEAP!$A:$AN,MATCH(B936,WEAP!$A:$A,0),MATCH("Str V3",WEAP!$A$1:$BF$1,0))</f>
        <v>1230</v>
      </c>
      <c r="I940" s="699"/>
      <c r="J940" s="700"/>
      <c r="K940" s="239"/>
      <c r="L940" s="699"/>
      <c r="M940" s="700"/>
    </row>
    <row r="941" spans="1:13" s="245" customFormat="1" ht="7.5" customHeight="1" x14ac:dyDescent="0.2">
      <c r="A941" s="245" t="s">
        <v>10763</v>
      </c>
    </row>
    <row r="942" spans="1:13" ht="22.5" x14ac:dyDescent="0.35">
      <c r="A942" s="244" t="str">
        <f>TEXT(A935+1,"000")</f>
        <v>135</v>
      </c>
      <c r="B942" s="238" t="str">
        <f>"W-"&amp;A942</f>
        <v>W-135</v>
      </c>
      <c r="C942" s="239"/>
      <c r="D942" s="717" t="str">
        <f>+INDEX(WEAP!$A:$AN,MATCH(B943,WEAP!$A:$A,0),MATCH("Name",WEAP!$A$1:$BF$1,0))</f>
        <v>Chimeratech Hallucigenia</v>
      </c>
      <c r="E942" s="718"/>
      <c r="F942" s="718"/>
      <c r="G942" s="719"/>
      <c r="I942" s="241" t="str">
        <f>+INDEX(WEAP!$A:$AN,MATCH(B943,WEAP!$A:$A,0),MATCH("Weapon Skill",WEAP!$A$1:$BF$1,0))</f>
        <v>N/A</v>
      </c>
      <c r="J942" s="243">
        <f>INDEX('W-S'!$A:$N,MATCH(I942,'W-S'!$C:$C,0),MATCH("SP Cost",'W-S'!$1:$1,0))</f>
        <v>0</v>
      </c>
      <c r="K942" s="9"/>
      <c r="L942" s="241" t="str">
        <f>+I942</f>
        <v>N/A</v>
      </c>
      <c r="M942" s="243">
        <f>INDEX('W-S'!$A:$N,MATCH(L942,'W-S'!$C:$C,0),MATCH("SP Cost V3",'W-S'!$1:$1,0))</f>
        <v>0</v>
      </c>
    </row>
    <row r="943" spans="1:13" ht="22.5" x14ac:dyDescent="0.35">
      <c r="B943" s="238" t="str">
        <f>+INDEX(WEAP!$A:$AN,MATCH(B942,WEAP!$B:$B,0),MATCH("ID",WEAP!$A$1:$BF$1,0))</f>
        <v>306122_01</v>
      </c>
      <c r="C943" s="240"/>
      <c r="D943" s="692" t="str">
        <f>+INDEX(WEAP!$A:$AN,MATCH(B942,WEAP!$B:$B,0),MATCH("Family",WEAP!$A$1:$BF$1,0))&amp;" Weapon"</f>
        <v>Chimera Weapon</v>
      </c>
      <c r="E943" s="693"/>
      <c r="F943" s="693"/>
      <c r="G943" s="694"/>
      <c r="H943" s="8"/>
      <c r="I943" s="695" t="str">
        <f>INDEX('W-S'!$A:$O,MATCH(I942,'W-S'!$C:$C,0),MATCH("Description",'W-S'!$1:$1,0))</f>
        <v>This weapon has no weapon skill.</v>
      </c>
      <c r="J943" s="696"/>
      <c r="K943" s="239"/>
      <c r="L943" s="695" t="str">
        <f>INDEX('W-S'!$A:$O,MATCH(I942,'W-S'!$C:$C,0),MATCH("Description V3",'W-S'!$1:$1,0))</f>
        <v>This weapon has no weapon skill.</v>
      </c>
      <c r="M943" s="696"/>
    </row>
    <row r="944" spans="1:13" ht="22.5" x14ac:dyDescent="0.2">
      <c r="B944" s="701" t="e" vm="155">
        <f>+_xlfn.IMAGE("https://natalie.tf/wp-content/uploads/2023/10/DLV3_Icon_Weapon_"&amp;B943&amp;".png")</f>
        <v>#VALUE!</v>
      </c>
      <c r="C944" s="240"/>
      <c r="D944" s="692" t="str">
        <f>INDEX(WEAP!$A:$AN,MATCH(B943,WEAP!$A:$A,0),MATCH("Element",WEAP!$A$1:$BF$1,0))&amp;" "&amp;INDEX(WEAP!$A:$AN,MATCH(B943,WEAP!$A:$A,0),MATCH("Type",WEAP!$A$1:$BF$1,0))</f>
        <v>Water Bow</v>
      </c>
      <c r="E944" s="693"/>
      <c r="F944" s="693"/>
      <c r="G944" s="694"/>
      <c r="H944" s="8"/>
      <c r="I944" s="697"/>
      <c r="J944" s="698"/>
      <c r="K944" s="9"/>
      <c r="L944" s="697"/>
      <c r="M944" s="698"/>
    </row>
    <row r="945" spans="1:13" ht="22.5" x14ac:dyDescent="0.35">
      <c r="B945" s="702"/>
      <c r="C945" s="239"/>
      <c r="D945" s="703" t="s">
        <v>10760</v>
      </c>
      <c r="E945" s="704"/>
      <c r="F945" s="235" t="s">
        <v>10761</v>
      </c>
      <c r="G945" s="235" t="s">
        <v>10762</v>
      </c>
      <c r="I945" s="697"/>
      <c r="J945" s="698"/>
      <c r="K945" s="239"/>
      <c r="L945" s="697"/>
      <c r="M945" s="698"/>
    </row>
    <row r="946" spans="1:13" ht="22.5" x14ac:dyDescent="0.35">
      <c r="B946" s="702"/>
      <c r="C946" s="239"/>
      <c r="D946" s="705" t="s">
        <v>96</v>
      </c>
      <c r="E946" s="706"/>
      <c r="F946" s="236">
        <f>INDEX(WEAP!$A:$AN,MATCH(B943,WEAP!$A:$A,0),MATCH("HP",WEAP!$A$1:$BF$1,0))</f>
        <v>251</v>
      </c>
      <c r="G946" s="237">
        <f>INDEX(WEAP!$A:$AN,MATCH(B943,WEAP!$A:$A,0),MATCH("HP V3",WEAP!$A$1:$BF$1,0))</f>
        <v>280</v>
      </c>
      <c r="I946" s="697"/>
      <c r="J946" s="698"/>
      <c r="K946" s="239"/>
      <c r="L946" s="697"/>
      <c r="M946" s="698"/>
    </row>
    <row r="947" spans="1:13" ht="22.5" x14ac:dyDescent="0.35">
      <c r="B947" s="702"/>
      <c r="C947" s="239"/>
      <c r="D947" s="707" t="s">
        <v>97</v>
      </c>
      <c r="E947" s="708"/>
      <c r="F947" s="236">
        <f>INDEX(WEAP!$A:$AN,MATCH(B943,WEAP!$A:$A,0),MATCH("Str",WEAP!$A$1:$BF$1,0))</f>
        <v>961</v>
      </c>
      <c r="G947" s="237">
        <f>INDEX(WEAP!$A:$AN,MATCH(B943,WEAP!$A:$A,0),MATCH("Str V3",WEAP!$A$1:$BF$1,0))</f>
        <v>1160</v>
      </c>
      <c r="I947" s="699"/>
      <c r="J947" s="700"/>
      <c r="K947" s="239"/>
      <c r="L947" s="699"/>
      <c r="M947" s="700"/>
    </row>
    <row r="948" spans="1:13" ht="33.75" customHeight="1" x14ac:dyDescent="0.2">
      <c r="A948" t="s">
        <v>10763</v>
      </c>
    </row>
    <row r="949" spans="1:13" ht="22.5" x14ac:dyDescent="0.35">
      <c r="A949" s="244" t="str">
        <f>TEXT(A942+1,"000")</f>
        <v>136</v>
      </c>
      <c r="B949" s="238" t="str">
        <f>"W-"&amp;A949</f>
        <v>W-136</v>
      </c>
      <c r="C949" s="239"/>
      <c r="D949" s="692" t="str">
        <f>+INDEX(WEAP!$A:$AN,MATCH(B950,WEAP!$A:$A,0),MATCH("Name",WEAP!$A$1:$BF$1,0))</f>
        <v>Chimeratech Hurdia</v>
      </c>
      <c r="E949" s="693"/>
      <c r="F949" s="693"/>
      <c r="G949" s="694"/>
      <c r="I949" s="241" t="str">
        <f>+INDEX(WEAP!$A:$AN,MATCH(B950,WEAP!$A:$A,0),MATCH("Weapon Skill",WEAP!$A$1:$BF$1,0))</f>
        <v>N/A</v>
      </c>
      <c r="J949" s="243">
        <f>INDEX('W-S'!$A:$N,MATCH(I949,'W-S'!$C:$C,0),MATCH("SP Cost",'W-S'!$1:$1,0))</f>
        <v>0</v>
      </c>
      <c r="K949" s="9"/>
      <c r="L949" s="241" t="str">
        <f>+I949</f>
        <v>N/A</v>
      </c>
      <c r="M949" s="243">
        <f>INDEX('W-S'!$A:$N,MATCH(L949,'W-S'!$C:$C,0),MATCH("SP Cost V3",'W-S'!$1:$1,0))</f>
        <v>0</v>
      </c>
    </row>
    <row r="950" spans="1:13" ht="22.5" x14ac:dyDescent="0.35">
      <c r="B950" s="238" t="str">
        <f>+INDEX(WEAP!$A:$AN,MATCH(B949,WEAP!$B:$B,0),MATCH("ID",WEAP!$A$1:$BF$1,0))</f>
        <v>307130_01</v>
      </c>
      <c r="C950" s="240"/>
      <c r="D950" s="692" t="str">
        <f>+INDEX(WEAP!$A:$AN,MATCH(B949,WEAP!$B:$B,0),MATCH("Family",WEAP!$A$1:$BF$1,0))&amp;" Weapon"</f>
        <v>Chimera Weapon</v>
      </c>
      <c r="E950" s="693"/>
      <c r="F950" s="693"/>
      <c r="G950" s="694"/>
      <c r="H950" s="8"/>
      <c r="I950" s="695" t="str">
        <f>INDEX('W-S'!$A:$O,MATCH(I949,'W-S'!$C:$C,0),MATCH("Description",'W-S'!$1:$1,0))</f>
        <v>This weapon has no weapon skill.</v>
      </c>
      <c r="J950" s="696"/>
      <c r="K950" s="239"/>
      <c r="L950" s="695" t="str">
        <f>INDEX('W-S'!$A:$O,MATCH(I949,'W-S'!$C:$C,0),MATCH("Description V3",'W-S'!$1:$1,0))</f>
        <v>This weapon has no weapon skill.</v>
      </c>
      <c r="M950" s="696"/>
    </row>
    <row r="951" spans="1:13" ht="22.5" x14ac:dyDescent="0.2">
      <c r="B951" s="701" t="e" vm="156">
        <f>+_xlfn.IMAGE("https://natalie.tf/wp-content/uploads/2023/10/DLV3_Icon_Weapon_"&amp;B950&amp;".png")</f>
        <v>#VALUE!</v>
      </c>
      <c r="C951" s="240"/>
      <c r="D951" s="692" t="str">
        <f>INDEX(WEAP!$A:$AN,MATCH(B950,WEAP!$A:$A,0),MATCH("Element",WEAP!$A$1:$BF$1,0))&amp;" "&amp;INDEX(WEAP!$A:$AN,MATCH(B950,WEAP!$A:$A,0),MATCH("Type",WEAP!$A$1:$BF$1,0))</f>
        <v>Water Wand</v>
      </c>
      <c r="E951" s="693"/>
      <c r="F951" s="693"/>
      <c r="G951" s="694"/>
      <c r="H951" s="8"/>
      <c r="I951" s="697"/>
      <c r="J951" s="698"/>
      <c r="K951" s="9"/>
      <c r="L951" s="697"/>
      <c r="M951" s="698"/>
    </row>
    <row r="952" spans="1:13" ht="22.5" x14ac:dyDescent="0.35">
      <c r="B952" s="702"/>
      <c r="C952" s="239"/>
      <c r="D952" s="703" t="s">
        <v>10760</v>
      </c>
      <c r="E952" s="704"/>
      <c r="F952" s="235" t="s">
        <v>10761</v>
      </c>
      <c r="G952" s="235" t="s">
        <v>10762</v>
      </c>
      <c r="I952" s="697"/>
      <c r="J952" s="698"/>
      <c r="K952" s="239"/>
      <c r="L952" s="697"/>
      <c r="M952" s="698"/>
    </row>
    <row r="953" spans="1:13" ht="22.5" x14ac:dyDescent="0.35">
      <c r="B953" s="702"/>
      <c r="C953" s="239"/>
      <c r="D953" s="705" t="s">
        <v>96</v>
      </c>
      <c r="E953" s="706"/>
      <c r="F953" s="236">
        <f>INDEX(WEAP!$A:$AN,MATCH(B950,WEAP!$A:$A,0),MATCH("HP",WEAP!$A$1:$BF$1,0))</f>
        <v>274</v>
      </c>
      <c r="G953" s="237">
        <f>INDEX(WEAP!$A:$AN,MATCH(B950,WEAP!$A:$A,0),MATCH("HP V3",WEAP!$A$1:$BF$1,0))</f>
        <v>275</v>
      </c>
      <c r="I953" s="697"/>
      <c r="J953" s="698"/>
      <c r="K953" s="239"/>
      <c r="L953" s="697"/>
      <c r="M953" s="698"/>
    </row>
    <row r="954" spans="1:13" ht="22.5" x14ac:dyDescent="0.35">
      <c r="B954" s="702"/>
      <c r="C954" s="239"/>
      <c r="D954" s="707" t="s">
        <v>97</v>
      </c>
      <c r="E954" s="708"/>
      <c r="F954" s="236">
        <f>INDEX(WEAP!$A:$AN,MATCH(B950,WEAP!$A:$A,0),MATCH("Str",WEAP!$A$1:$BF$1,0))</f>
        <v>951</v>
      </c>
      <c r="G954" s="237">
        <f>INDEX(WEAP!$A:$AN,MATCH(B950,WEAP!$A:$A,0),MATCH("Str V3",WEAP!$A$1:$BF$1,0))</f>
        <v>1245</v>
      </c>
      <c r="I954" s="699"/>
      <c r="J954" s="700"/>
      <c r="K954" s="239"/>
      <c r="L954" s="699"/>
      <c r="M954" s="700"/>
    </row>
    <row r="955" spans="1:13" s="245" customFormat="1" ht="7.5" customHeight="1" x14ac:dyDescent="0.2">
      <c r="A955" s="245" t="s">
        <v>10763</v>
      </c>
    </row>
    <row r="956" spans="1:13" ht="22.5" x14ac:dyDescent="0.35">
      <c r="A956" s="242" t="str">
        <f>TEXT(A949+1,"000")</f>
        <v>137</v>
      </c>
      <c r="B956" s="238" t="str">
        <f>"W-"&amp;A956</f>
        <v>W-137</v>
      </c>
      <c r="C956" s="239"/>
      <c r="D956" s="692" t="str">
        <f>+INDEX(WEAP!$A:$AN,MATCH(B957,WEAP!$A:$A,0),MATCH("Name",WEAP!$A$1:$BF$1,0))</f>
        <v>Chimeratech Metaldetes</v>
      </c>
      <c r="E956" s="693"/>
      <c r="F956" s="693"/>
      <c r="G956" s="694"/>
      <c r="I956" s="241" t="str">
        <f>+INDEX(WEAP!$A:$AN,MATCH(B957,WEAP!$A:$A,0),MATCH("Weapon Skill",WEAP!$A$1:$BF$1,0))</f>
        <v>N/A</v>
      </c>
      <c r="J956" s="243">
        <f>INDEX('W-S'!$A:$N,MATCH(I956,'W-S'!$C:$C,0),MATCH("SP Cost",'W-S'!$1:$1,0))</f>
        <v>0</v>
      </c>
      <c r="K956" s="9"/>
      <c r="L956" s="241" t="str">
        <f>+I956</f>
        <v>N/A</v>
      </c>
      <c r="M956" s="243">
        <f>INDEX('W-S'!$A:$N,MATCH(L956,'W-S'!$C:$C,0),MATCH("SP Cost V3",'W-S'!$1:$1,0))</f>
        <v>0</v>
      </c>
    </row>
    <row r="957" spans="1:13" ht="22.5" x14ac:dyDescent="0.35">
      <c r="B957" s="238" t="str">
        <f>+INDEX(WEAP!$A:$AN,MATCH(B956,WEAP!$B:$B,0),MATCH("ID",WEAP!$A$1:$BF$1,0))</f>
        <v>308123_01</v>
      </c>
      <c r="C957" s="240"/>
      <c r="D957" s="692" t="str">
        <f>+INDEX(WEAP!$A:$AN,MATCH(B956,WEAP!$B:$B,0),MATCH("Family",WEAP!$A$1:$BF$1,0))&amp;" Weapon"</f>
        <v>Chimera Weapon</v>
      </c>
      <c r="E957" s="693"/>
      <c r="F957" s="693"/>
      <c r="G957" s="694"/>
      <c r="H957" s="8"/>
      <c r="I957" s="695" t="str">
        <f>INDEX('W-S'!$A:$O,MATCH(I956,'W-S'!$C:$C,0),MATCH("Description",'W-S'!$1:$1,0))</f>
        <v>This weapon has no weapon skill.</v>
      </c>
      <c r="J957" s="696"/>
      <c r="K957" s="239"/>
      <c r="L957" s="695" t="str">
        <f>INDEX('W-S'!$A:$O,MATCH(I956,'W-S'!$C:$C,0),MATCH("Description V3",'W-S'!$1:$1,0))</f>
        <v>This weapon has no weapon skill.</v>
      </c>
      <c r="M957" s="696"/>
    </row>
    <row r="958" spans="1:13" ht="22.5" x14ac:dyDescent="0.2">
      <c r="B958" s="701" t="e" vm="157">
        <f>+_xlfn.IMAGE("https://natalie.tf/wp-content/uploads/2023/10/DLV3_Icon_Weapon_"&amp;B957&amp;".png")</f>
        <v>#VALUE!</v>
      </c>
      <c r="C958" s="240"/>
      <c r="D958" s="692" t="str">
        <f>INDEX(WEAP!$A:$AN,MATCH(B957,WEAP!$A:$A,0),MATCH("Element",WEAP!$A$1:$BF$1,0))&amp;" "&amp;INDEX(WEAP!$A:$AN,MATCH(B957,WEAP!$A:$A,0),MATCH("Type",WEAP!$A$1:$BF$1,0))</f>
        <v>Water Staff</v>
      </c>
      <c r="E958" s="693"/>
      <c r="F958" s="693"/>
      <c r="G958" s="694"/>
      <c r="H958" s="8"/>
      <c r="I958" s="697"/>
      <c r="J958" s="698"/>
      <c r="K958" s="9"/>
      <c r="L958" s="697"/>
      <c r="M958" s="698"/>
    </row>
    <row r="959" spans="1:13" ht="22.5" x14ac:dyDescent="0.35">
      <c r="B959" s="702"/>
      <c r="C959" s="239"/>
      <c r="D959" s="703" t="s">
        <v>10760</v>
      </c>
      <c r="E959" s="704"/>
      <c r="F959" s="235" t="s">
        <v>10761</v>
      </c>
      <c r="G959" s="235" t="s">
        <v>10762</v>
      </c>
      <c r="I959" s="697"/>
      <c r="J959" s="698"/>
      <c r="K959" s="239"/>
      <c r="L959" s="697"/>
      <c r="M959" s="698"/>
    </row>
    <row r="960" spans="1:13" ht="22.5" x14ac:dyDescent="0.35">
      <c r="B960" s="702"/>
      <c r="C960" s="239"/>
      <c r="D960" s="705" t="s">
        <v>96</v>
      </c>
      <c r="E960" s="706"/>
      <c r="F960" s="236">
        <f>INDEX(WEAP!$A:$AN,MATCH(B957,WEAP!$A:$A,0),MATCH("HP",WEAP!$A$1:$BF$1,0))</f>
        <v>192</v>
      </c>
      <c r="G960" s="237">
        <f>INDEX(WEAP!$A:$AN,MATCH(B957,WEAP!$A:$A,0),MATCH("HP V3",WEAP!$A$1:$BF$1,0))</f>
        <v>325</v>
      </c>
      <c r="I960" s="697"/>
      <c r="J960" s="698"/>
      <c r="K960" s="239"/>
      <c r="L960" s="697"/>
      <c r="M960" s="698"/>
    </row>
    <row r="961" spans="1:13" ht="22.5" x14ac:dyDescent="0.35">
      <c r="B961" s="702"/>
      <c r="C961" s="239"/>
      <c r="D961" s="707" t="s">
        <v>97</v>
      </c>
      <c r="E961" s="708"/>
      <c r="F961" s="236">
        <f>INDEX(WEAP!$A:$AN,MATCH(B957,WEAP!$A:$A,0),MATCH("Str",WEAP!$A$1:$BF$1,0))</f>
        <v>877</v>
      </c>
      <c r="G961" s="237">
        <f>INDEX(WEAP!$A:$AN,MATCH(B957,WEAP!$A:$A,0),MATCH("Str V3",WEAP!$A$1:$BF$1,0))</f>
        <v>1110</v>
      </c>
      <c r="I961" s="699"/>
      <c r="J961" s="700"/>
      <c r="K961" s="239"/>
      <c r="L961" s="699"/>
      <c r="M961" s="700"/>
    </row>
    <row r="962" spans="1:13" s="245" customFormat="1" ht="7.5" customHeight="1" x14ac:dyDescent="0.2">
      <c r="A962" s="245" t="s">
        <v>10763</v>
      </c>
    </row>
    <row r="963" spans="1:13" ht="22.5" x14ac:dyDescent="0.35">
      <c r="A963" s="244" t="str">
        <f>TEXT(A956+1,"000")</f>
        <v>138</v>
      </c>
      <c r="B963" s="238" t="str">
        <f>"W-"&amp;A963</f>
        <v>W-138</v>
      </c>
      <c r="C963" s="239"/>
      <c r="D963" s="692" t="str">
        <f>+INDEX(WEAP!$A:$AN,MATCH(B964,WEAP!$A:$A,0),MATCH("Name",WEAP!$A$1:$BF$1,0))</f>
        <v>Chimeratech Marella</v>
      </c>
      <c r="E963" s="693"/>
      <c r="F963" s="693"/>
      <c r="G963" s="694"/>
      <c r="I963" s="241" t="str">
        <f>+INDEX(WEAP!$A:$AN,MATCH(B964,WEAP!$A:$A,0),MATCH("Weapon Skill",WEAP!$A$1:$BF$1,0))</f>
        <v>N/A</v>
      </c>
      <c r="J963" s="243">
        <f>INDEX('W-S'!$A:$N,MATCH(I963,'W-S'!$C:$C,0),MATCH("SP Cost",'W-S'!$1:$1,0))</f>
        <v>0</v>
      </c>
      <c r="K963" s="9"/>
      <c r="L963" s="241" t="str">
        <f>+I963</f>
        <v>N/A</v>
      </c>
      <c r="M963" s="243">
        <f>INDEX('W-S'!$A:$N,MATCH(L963,'W-S'!$C:$C,0),MATCH("SP Cost V3",'W-S'!$1:$1,0))</f>
        <v>0</v>
      </c>
    </row>
    <row r="964" spans="1:13" ht="22.5" x14ac:dyDescent="0.35">
      <c r="B964" s="238" t="str">
        <f>+INDEX(WEAP!$A:$AN,MATCH(B963,WEAP!$B:$B,0),MATCH("ID",WEAP!$A$1:$BF$1,0))</f>
        <v>309017_01</v>
      </c>
      <c r="C964" s="240"/>
      <c r="D964" s="692" t="str">
        <f>+INDEX(WEAP!$A:$AN,MATCH(B963,WEAP!$B:$B,0),MATCH("Family",WEAP!$A$1:$BF$1,0))&amp;" Weapon"</f>
        <v>Chimera Weapon</v>
      </c>
      <c r="E964" s="693"/>
      <c r="F964" s="693"/>
      <c r="G964" s="694"/>
      <c r="H964" s="8"/>
      <c r="I964" s="695" t="str">
        <f>INDEX('W-S'!$A:$O,MATCH(I963,'W-S'!$C:$C,0),MATCH("Description",'W-S'!$1:$1,0))</f>
        <v>This weapon has no weapon skill.</v>
      </c>
      <c r="J964" s="696"/>
      <c r="K964" s="239"/>
      <c r="L964" s="695" t="str">
        <f>INDEX('W-S'!$A:$O,MATCH(I963,'W-S'!$C:$C,0),MATCH("Description V3",'W-S'!$1:$1,0))</f>
        <v>This weapon has no weapon skill.</v>
      </c>
      <c r="M964" s="696"/>
    </row>
    <row r="965" spans="1:13" ht="22.5" x14ac:dyDescent="0.2">
      <c r="B965" s="701" t="e" vm="158">
        <f>+_xlfn.IMAGE("https://natalie.tf/wp-content/uploads/2023/10/DLV3_Icon_Weapon_"&amp;B964&amp;".png")</f>
        <v>#VALUE!</v>
      </c>
      <c r="C965" s="240"/>
      <c r="D965" s="692" t="str">
        <f>INDEX(WEAP!$A:$AN,MATCH(B964,WEAP!$A:$A,0),MATCH("Element",WEAP!$A$1:$BF$1,0))&amp;" "&amp;INDEX(WEAP!$A:$AN,MATCH(B964,WEAP!$A:$A,0),MATCH("Type",WEAP!$A$1:$BF$1,0))</f>
        <v>Water Manacaster</v>
      </c>
      <c r="E965" s="693"/>
      <c r="F965" s="693"/>
      <c r="G965" s="694"/>
      <c r="H965" s="8"/>
      <c r="I965" s="697"/>
      <c r="J965" s="698"/>
      <c r="K965" s="9"/>
      <c r="L965" s="697"/>
      <c r="M965" s="698"/>
    </row>
    <row r="966" spans="1:13" ht="22.5" x14ac:dyDescent="0.35">
      <c r="B966" s="702"/>
      <c r="C966" s="239"/>
      <c r="D966" s="703" t="s">
        <v>10760</v>
      </c>
      <c r="E966" s="704"/>
      <c r="F966" s="235" t="s">
        <v>10761</v>
      </c>
      <c r="G966" s="235" t="s">
        <v>10762</v>
      </c>
      <c r="I966" s="697"/>
      <c r="J966" s="698"/>
      <c r="K966" s="239"/>
      <c r="L966" s="697"/>
      <c r="M966" s="698"/>
    </row>
    <row r="967" spans="1:13" ht="22.5" x14ac:dyDescent="0.35">
      <c r="B967" s="702"/>
      <c r="C967" s="239"/>
      <c r="D967" s="705" t="s">
        <v>96</v>
      </c>
      <c r="E967" s="706"/>
      <c r="F967" s="236">
        <f>INDEX(WEAP!$A:$AN,MATCH(B964,WEAP!$A:$A,0),MATCH("HP",WEAP!$A$1:$BF$1,0))</f>
        <v>268</v>
      </c>
      <c r="G967" s="237">
        <f>INDEX(WEAP!$A:$AN,MATCH(B964,WEAP!$A:$A,0),MATCH("HP V3",WEAP!$A$1:$BF$1,0))</f>
        <v>270</v>
      </c>
      <c r="I967" s="697"/>
      <c r="J967" s="698"/>
      <c r="K967" s="239"/>
      <c r="L967" s="697"/>
      <c r="M967" s="698"/>
    </row>
    <row r="968" spans="1:13" ht="22.5" x14ac:dyDescent="0.35">
      <c r="B968" s="702"/>
      <c r="C968" s="239"/>
      <c r="D968" s="707" t="s">
        <v>97</v>
      </c>
      <c r="E968" s="708"/>
      <c r="F968" s="236">
        <f>INDEX(WEAP!$A:$AN,MATCH(B964,WEAP!$A:$A,0),MATCH("Str",WEAP!$A$1:$BF$1,0))</f>
        <v>960</v>
      </c>
      <c r="G968" s="237">
        <f>INDEX(WEAP!$A:$AN,MATCH(B964,WEAP!$A:$A,0),MATCH("Str V3",WEAP!$A$1:$BF$1,0))</f>
        <v>1255</v>
      </c>
      <c r="I968" s="699"/>
      <c r="J968" s="700"/>
      <c r="K968" s="239"/>
      <c r="L968" s="699"/>
      <c r="M968" s="700"/>
    </row>
    <row r="969" spans="1:13" s="245" customFormat="1" ht="7.5" customHeight="1" x14ac:dyDescent="0.2">
      <c r="A969" s="245" t="s">
        <v>10763</v>
      </c>
    </row>
    <row r="970" spans="1:13" ht="22.5" x14ac:dyDescent="0.35">
      <c r="A970" s="244" t="str">
        <f>TEXT(A963+1,"000")</f>
        <v>139</v>
      </c>
      <c r="B970" s="238" t="str">
        <f>"W-"&amp;A970</f>
        <v>W-139</v>
      </c>
      <c r="C970" s="239"/>
      <c r="D970" s="692" t="str">
        <f>+INDEX(WEAP!$A:$AN,MATCH(B971,WEAP!$A:$A,0),MATCH("Name",WEAP!$A$1:$BF$1,0))</f>
        <v>Chimeratech Cypress</v>
      </c>
      <c r="E970" s="693"/>
      <c r="F970" s="693"/>
      <c r="G970" s="694"/>
      <c r="I970" s="241" t="str">
        <f>+INDEX(WEAP!$A:$AN,MATCH(B971,WEAP!$A:$A,0),MATCH("Weapon Skill",WEAP!$A$1:$BF$1,0))</f>
        <v>N/A</v>
      </c>
      <c r="J970" s="243">
        <f>INDEX('W-S'!$A:$N,MATCH(I970,'W-S'!$C:$C,0),MATCH("SP Cost",'W-S'!$1:$1,0))</f>
        <v>0</v>
      </c>
      <c r="K970" s="9"/>
      <c r="L970" s="241" t="str">
        <f>+I970</f>
        <v>N/A</v>
      </c>
      <c r="M970" s="243">
        <f>INDEX('W-S'!$A:$N,MATCH(L970,'W-S'!$C:$C,0),MATCH("SP Cost V3",'W-S'!$1:$1,0))</f>
        <v>0</v>
      </c>
    </row>
    <row r="971" spans="1:13" ht="22.5" x14ac:dyDescent="0.35">
      <c r="B971" s="238" t="str">
        <f>+INDEX(WEAP!$A:$AN,MATCH(B970,WEAP!$B:$B,0),MATCH("ID",WEAP!$A$1:$BF$1,0))</f>
        <v>301134_01</v>
      </c>
      <c r="C971" s="240"/>
      <c r="D971" s="692" t="str">
        <f>+INDEX(WEAP!$A:$AN,MATCH(B970,WEAP!$B:$B,0),MATCH("Family",WEAP!$A$1:$BF$1,0))&amp;" Weapon"</f>
        <v>Chimera Weapon</v>
      </c>
      <c r="E971" s="693"/>
      <c r="F971" s="693"/>
      <c r="G971" s="694"/>
      <c r="H971" s="8"/>
      <c r="I971" s="695" t="str">
        <f>INDEX('W-S'!$A:$O,MATCH(I970,'W-S'!$C:$C,0),MATCH("Description",'W-S'!$1:$1,0))</f>
        <v>This weapon has no weapon skill.</v>
      </c>
      <c r="J971" s="696"/>
      <c r="K971" s="239"/>
      <c r="L971" s="695" t="str">
        <f>INDEX('W-S'!$A:$O,MATCH(I970,'W-S'!$C:$C,0),MATCH("Description V3",'W-S'!$1:$1,0))</f>
        <v>This weapon has no weapon skill.</v>
      </c>
      <c r="M971" s="696"/>
    </row>
    <row r="972" spans="1:13" ht="22.5" x14ac:dyDescent="0.2">
      <c r="B972" s="701" t="e" vm="159">
        <f>+_xlfn.IMAGE("https://natalie.tf/wp-content/uploads/2023/10/DLV3_Icon_Weapon_"&amp;B971&amp;".png")</f>
        <v>#VALUE!</v>
      </c>
      <c r="C972" s="240"/>
      <c r="D972" s="692" t="str">
        <f>INDEX(WEAP!$A:$AN,MATCH(B971,WEAP!$A:$A,0),MATCH("Element",WEAP!$A$1:$BF$1,0))&amp;" "&amp;INDEX(WEAP!$A:$AN,MATCH(B971,WEAP!$A:$A,0),MATCH("Type",WEAP!$A$1:$BF$1,0))</f>
        <v>Wind Sword</v>
      </c>
      <c r="E972" s="693"/>
      <c r="F972" s="693"/>
      <c r="G972" s="694"/>
      <c r="H972" s="8"/>
      <c r="I972" s="697"/>
      <c r="J972" s="698"/>
      <c r="K972" s="9"/>
      <c r="L972" s="697"/>
      <c r="M972" s="698"/>
    </row>
    <row r="973" spans="1:13" ht="22.5" x14ac:dyDescent="0.35">
      <c r="B973" s="702"/>
      <c r="C973" s="239"/>
      <c r="D973" s="703" t="s">
        <v>10760</v>
      </c>
      <c r="E973" s="704"/>
      <c r="F973" s="235" t="s">
        <v>10761</v>
      </c>
      <c r="G973" s="235" t="s">
        <v>10762</v>
      </c>
      <c r="I973" s="697"/>
      <c r="J973" s="698"/>
      <c r="K973" s="239"/>
      <c r="L973" s="697"/>
      <c r="M973" s="698"/>
    </row>
    <row r="974" spans="1:13" ht="22.5" x14ac:dyDescent="0.35">
      <c r="B974" s="702"/>
      <c r="C974" s="239"/>
      <c r="D974" s="705" t="s">
        <v>96</v>
      </c>
      <c r="E974" s="706"/>
      <c r="F974" s="236">
        <f>INDEX(WEAP!$A:$AN,MATCH(B971,WEAP!$A:$A,0),MATCH("HP",WEAP!$A$1:$BF$1,0))</f>
        <v>270</v>
      </c>
      <c r="G974" s="237">
        <f>INDEX(WEAP!$A:$AN,MATCH(B971,WEAP!$A:$A,0),MATCH("HP V3",WEAP!$A$1:$BF$1,0))</f>
        <v>270</v>
      </c>
      <c r="I974" s="697"/>
      <c r="J974" s="698"/>
      <c r="K974" s="239"/>
      <c r="L974" s="697"/>
      <c r="M974" s="698"/>
    </row>
    <row r="975" spans="1:13" ht="22.5" x14ac:dyDescent="0.35">
      <c r="B975" s="702"/>
      <c r="C975" s="239"/>
      <c r="D975" s="707" t="s">
        <v>97</v>
      </c>
      <c r="E975" s="708"/>
      <c r="F975" s="236">
        <f>INDEX(WEAP!$A:$AN,MATCH(B971,WEAP!$A:$A,0),MATCH("Str",WEAP!$A$1:$BF$1,0))</f>
        <v>972</v>
      </c>
      <c r="G975" s="237">
        <f>INDEX(WEAP!$A:$AN,MATCH(B971,WEAP!$A:$A,0),MATCH("Str V3",WEAP!$A$1:$BF$1,0))</f>
        <v>1210</v>
      </c>
      <c r="I975" s="699"/>
      <c r="J975" s="700"/>
      <c r="K975" s="239"/>
      <c r="L975" s="699"/>
      <c r="M975" s="700"/>
    </row>
    <row r="976" spans="1:13" s="245" customFormat="1" ht="7.5" customHeight="1" x14ac:dyDescent="0.2">
      <c r="A976" s="245" t="s">
        <v>10763</v>
      </c>
    </row>
    <row r="977" spans="1:13" ht="22.5" x14ac:dyDescent="0.35">
      <c r="A977" s="244" t="str">
        <f>TEXT(A970+1,"000")</f>
        <v>140</v>
      </c>
      <c r="B977" s="238" t="str">
        <f>"W-"&amp;A977</f>
        <v>W-140</v>
      </c>
      <c r="C977" s="239"/>
      <c r="D977" s="692" t="str">
        <f>+INDEX(WEAP!$A:$AN,MATCH(B978,WEAP!$A:$A,0),MATCH("Name",WEAP!$A$1:$BF$1,0))</f>
        <v>Chimeratech Benzoin</v>
      </c>
      <c r="E977" s="693"/>
      <c r="F977" s="693"/>
      <c r="G977" s="694"/>
      <c r="I977" s="241" t="str">
        <f>+INDEX(WEAP!$A:$AN,MATCH(B978,WEAP!$A:$A,0),MATCH("Weapon Skill",WEAP!$A$1:$BF$1,0))</f>
        <v>N/A</v>
      </c>
      <c r="J977" s="243">
        <f>INDEX('W-S'!$A:$N,MATCH(I977,'W-S'!$C:$C,0),MATCH("SP Cost",'W-S'!$1:$1,0))</f>
        <v>0</v>
      </c>
      <c r="K977" s="9"/>
      <c r="L977" s="241" t="str">
        <f>+I977</f>
        <v>N/A</v>
      </c>
      <c r="M977" s="243">
        <f>INDEX('W-S'!$A:$N,MATCH(L977,'W-S'!$C:$C,0),MATCH("SP Cost V3",'W-S'!$1:$1,0))</f>
        <v>0</v>
      </c>
    </row>
    <row r="978" spans="1:13" ht="22.5" x14ac:dyDescent="0.35">
      <c r="B978" s="238" t="str">
        <f>+INDEX(WEAP!$A:$AN,MATCH(B977,WEAP!$B:$B,0),MATCH("ID",WEAP!$A$1:$BF$1,0))</f>
        <v>302125_01</v>
      </c>
      <c r="C978" s="240"/>
      <c r="D978" s="692" t="str">
        <f>+INDEX(WEAP!$A:$AN,MATCH(B977,WEAP!$B:$B,0),MATCH("Family",WEAP!$A$1:$BF$1,0))&amp;" Weapon"</f>
        <v>Chimera Weapon</v>
      </c>
      <c r="E978" s="693"/>
      <c r="F978" s="693"/>
      <c r="G978" s="694"/>
      <c r="H978" s="8"/>
      <c r="I978" s="695" t="str">
        <f>INDEX('W-S'!$A:$O,MATCH(I977,'W-S'!$C:$C,0),MATCH("Description",'W-S'!$1:$1,0))</f>
        <v>This weapon has no weapon skill.</v>
      </c>
      <c r="J978" s="696"/>
      <c r="K978" s="239"/>
      <c r="L978" s="695" t="str">
        <f>INDEX('W-S'!$A:$O,MATCH(I977,'W-S'!$C:$C,0),MATCH("Description V3",'W-S'!$1:$1,0))</f>
        <v>This weapon has no weapon skill.</v>
      </c>
      <c r="M978" s="696"/>
    </row>
    <row r="979" spans="1:13" ht="22.5" x14ac:dyDescent="0.2">
      <c r="B979" s="701" t="e" vm="160">
        <f>+_xlfn.IMAGE("https://natalie.tf/wp-content/uploads/2023/10/DLV3_Icon_Weapon_"&amp;B978&amp;".png")</f>
        <v>#VALUE!</v>
      </c>
      <c r="C979" s="240"/>
      <c r="D979" s="692" t="str">
        <f>INDEX(WEAP!$A:$AN,MATCH(B978,WEAP!$A:$A,0),MATCH("Element",WEAP!$A$1:$BF$1,0))&amp;" "&amp;INDEX(WEAP!$A:$AN,MATCH(B978,WEAP!$A:$A,0),MATCH("Type",WEAP!$A$1:$BF$1,0))</f>
        <v>Wind Blade</v>
      </c>
      <c r="E979" s="693"/>
      <c r="F979" s="693"/>
      <c r="G979" s="694"/>
      <c r="H979" s="8"/>
      <c r="I979" s="697"/>
      <c r="J979" s="698"/>
      <c r="K979" s="9"/>
      <c r="L979" s="697"/>
      <c r="M979" s="698"/>
    </row>
    <row r="980" spans="1:13" ht="22.5" x14ac:dyDescent="0.35">
      <c r="B980" s="702"/>
      <c r="C980" s="239"/>
      <c r="D980" s="703" t="s">
        <v>10760</v>
      </c>
      <c r="E980" s="704"/>
      <c r="F980" s="235" t="s">
        <v>10761</v>
      </c>
      <c r="G980" s="235" t="s">
        <v>10762</v>
      </c>
      <c r="I980" s="697"/>
      <c r="J980" s="698"/>
      <c r="K980" s="239"/>
      <c r="L980" s="697"/>
      <c r="M980" s="698"/>
    </row>
    <row r="981" spans="1:13" ht="22.5" x14ac:dyDescent="0.35">
      <c r="B981" s="702"/>
      <c r="C981" s="239"/>
      <c r="D981" s="705" t="s">
        <v>96</v>
      </c>
      <c r="E981" s="706"/>
      <c r="F981" s="236">
        <f>INDEX(WEAP!$A:$AN,MATCH(B978,WEAP!$A:$A,0),MATCH("HP",WEAP!$A$1:$BF$1,0))</f>
        <v>226</v>
      </c>
      <c r="G981" s="237">
        <f>INDEX(WEAP!$A:$AN,MATCH(B978,WEAP!$A:$A,0),MATCH("HP V3",WEAP!$A$1:$BF$1,0))</f>
        <v>250</v>
      </c>
      <c r="I981" s="697"/>
      <c r="J981" s="698"/>
      <c r="K981" s="239"/>
      <c r="L981" s="697"/>
      <c r="M981" s="698"/>
    </row>
    <row r="982" spans="1:13" ht="22.5" x14ac:dyDescent="0.35">
      <c r="B982" s="702"/>
      <c r="C982" s="239"/>
      <c r="D982" s="707" t="s">
        <v>97</v>
      </c>
      <c r="E982" s="708"/>
      <c r="F982" s="236">
        <f>INDEX(WEAP!$A:$AN,MATCH(B978,WEAP!$A:$A,0),MATCH("Str",WEAP!$A$1:$BF$1,0))</f>
        <v>1061</v>
      </c>
      <c r="G982" s="237">
        <f>INDEX(WEAP!$A:$AN,MATCH(B978,WEAP!$A:$A,0),MATCH("Str V3",WEAP!$A$1:$BF$1,0))</f>
        <v>1280</v>
      </c>
      <c r="I982" s="699"/>
      <c r="J982" s="700"/>
      <c r="K982" s="239"/>
      <c r="L982" s="699"/>
      <c r="M982" s="700"/>
    </row>
    <row r="983" spans="1:13" ht="33.75" customHeight="1" x14ac:dyDescent="0.2">
      <c r="A983" t="s">
        <v>10763</v>
      </c>
    </row>
    <row r="984" spans="1:13" ht="22.5" x14ac:dyDescent="0.35">
      <c r="A984" s="244" t="str">
        <f>TEXT(A977+1,"000")</f>
        <v>141</v>
      </c>
      <c r="B984" s="238" t="str">
        <f>"W-"&amp;A984</f>
        <v>W-141</v>
      </c>
      <c r="C984" s="239"/>
      <c r="D984" s="692" t="str">
        <f>+INDEX(WEAP!$A:$AN,MATCH(B985,WEAP!$A:$A,0),MATCH("Name",WEAP!$A$1:$BF$1,0))</f>
        <v>Chimeratech Tea Tree</v>
      </c>
      <c r="E984" s="693"/>
      <c r="F984" s="693"/>
      <c r="G984" s="694"/>
      <c r="I984" s="241" t="str">
        <f>+INDEX(WEAP!$A:$AN,MATCH(B985,WEAP!$A:$A,0),MATCH("Weapon Skill",WEAP!$A$1:$BF$1,0))</f>
        <v>N/A</v>
      </c>
      <c r="J984" s="243">
        <f>INDEX('W-S'!$A:$N,MATCH(I984,'W-S'!$C:$C,0),MATCH("SP Cost",'W-S'!$1:$1,0))</f>
        <v>0</v>
      </c>
      <c r="K984" s="9"/>
      <c r="L984" s="241" t="str">
        <f>+I984</f>
        <v>N/A</v>
      </c>
      <c r="M984" s="243">
        <f>INDEX('W-S'!$A:$N,MATCH(L984,'W-S'!$C:$C,0),MATCH("SP Cost V3",'W-S'!$1:$1,0))</f>
        <v>0</v>
      </c>
    </row>
    <row r="985" spans="1:13" ht="22.5" x14ac:dyDescent="0.35">
      <c r="B985" s="238" t="str">
        <f>+INDEX(WEAP!$A:$AN,MATCH(B984,WEAP!$B:$B,0),MATCH("ID",WEAP!$A$1:$BF$1,0))</f>
        <v>303124_01</v>
      </c>
      <c r="C985" s="240"/>
      <c r="D985" s="692" t="str">
        <f>+INDEX(WEAP!$A:$AN,MATCH(B984,WEAP!$B:$B,0),MATCH("Family",WEAP!$A$1:$BF$1,0))&amp;" Weapon"</f>
        <v>Chimera Weapon</v>
      </c>
      <c r="E985" s="693"/>
      <c r="F985" s="693"/>
      <c r="G985" s="694"/>
      <c r="H985" s="8"/>
      <c r="I985" s="695" t="str">
        <f>INDEX('W-S'!$A:$O,MATCH(I984,'W-S'!$C:$C,0),MATCH("Description",'W-S'!$1:$1,0))</f>
        <v>This weapon has no weapon skill.</v>
      </c>
      <c r="J985" s="696"/>
      <c r="K985" s="239"/>
      <c r="L985" s="695" t="str">
        <f>INDEX('W-S'!$A:$O,MATCH(I984,'W-S'!$C:$C,0),MATCH("Description V3",'W-S'!$1:$1,0))</f>
        <v>This weapon has no weapon skill.</v>
      </c>
      <c r="M985" s="696"/>
    </row>
    <row r="986" spans="1:13" ht="22.5" x14ac:dyDescent="0.2">
      <c r="B986" s="701" t="e" vm="161">
        <f>+_xlfn.IMAGE("https://natalie.tf/wp-content/uploads/2023/10/DLV3_Icon_Weapon_"&amp;B985&amp;".png")</f>
        <v>#VALUE!</v>
      </c>
      <c r="C986" s="240"/>
      <c r="D986" s="692" t="str">
        <f>INDEX(WEAP!$A:$AN,MATCH(B985,WEAP!$A:$A,0),MATCH("Element",WEAP!$A$1:$BF$1,0))&amp;" "&amp;INDEX(WEAP!$A:$AN,MATCH(B985,WEAP!$A:$A,0),MATCH("Type",WEAP!$A$1:$BF$1,0))</f>
        <v>Wind Dagger</v>
      </c>
      <c r="E986" s="693"/>
      <c r="F986" s="693"/>
      <c r="G986" s="694"/>
      <c r="H986" s="8"/>
      <c r="I986" s="697"/>
      <c r="J986" s="698"/>
      <c r="K986" s="9"/>
      <c r="L986" s="697"/>
      <c r="M986" s="698"/>
    </row>
    <row r="987" spans="1:13" ht="22.5" x14ac:dyDescent="0.35">
      <c r="B987" s="702"/>
      <c r="C987" s="239"/>
      <c r="D987" s="703" t="s">
        <v>10760</v>
      </c>
      <c r="E987" s="704"/>
      <c r="F987" s="235" t="s">
        <v>10761</v>
      </c>
      <c r="G987" s="235" t="s">
        <v>10762</v>
      </c>
      <c r="I987" s="697"/>
      <c r="J987" s="698"/>
      <c r="K987" s="239"/>
      <c r="L987" s="697"/>
      <c r="M987" s="698"/>
    </row>
    <row r="988" spans="1:13" ht="22.5" x14ac:dyDescent="0.35">
      <c r="B988" s="702"/>
      <c r="C988" s="239"/>
      <c r="D988" s="705" t="s">
        <v>96</v>
      </c>
      <c r="E988" s="706"/>
      <c r="F988" s="236">
        <f>INDEX(WEAP!$A:$AN,MATCH(B985,WEAP!$A:$A,0),MATCH("HP",WEAP!$A$1:$BF$1,0))</f>
        <v>273</v>
      </c>
      <c r="G988" s="237">
        <f>INDEX(WEAP!$A:$AN,MATCH(B985,WEAP!$A:$A,0),MATCH("HP V3",WEAP!$A$1:$BF$1,0))</f>
        <v>275</v>
      </c>
      <c r="I988" s="697"/>
      <c r="J988" s="698"/>
      <c r="K988" s="239"/>
      <c r="L988" s="697"/>
      <c r="M988" s="698"/>
    </row>
    <row r="989" spans="1:13" ht="22.5" x14ac:dyDescent="0.35">
      <c r="B989" s="702"/>
      <c r="C989" s="239"/>
      <c r="D989" s="707" t="s">
        <v>97</v>
      </c>
      <c r="E989" s="708"/>
      <c r="F989" s="236">
        <f>INDEX(WEAP!$A:$AN,MATCH(B985,WEAP!$A:$A,0),MATCH("Str",WEAP!$A$1:$BF$1,0))</f>
        <v>953</v>
      </c>
      <c r="G989" s="237">
        <f>INDEX(WEAP!$A:$AN,MATCH(B985,WEAP!$A:$A,0),MATCH("Str V3",WEAP!$A$1:$BF$1,0))</f>
        <v>1185</v>
      </c>
      <c r="I989" s="699"/>
      <c r="J989" s="700"/>
      <c r="K989" s="239"/>
      <c r="L989" s="699"/>
      <c r="M989" s="700"/>
    </row>
    <row r="990" spans="1:13" s="245" customFormat="1" ht="7.5" customHeight="1" x14ac:dyDescent="0.2">
      <c r="A990" s="245" t="s">
        <v>10763</v>
      </c>
    </row>
    <row r="991" spans="1:13" ht="22.5" x14ac:dyDescent="0.35">
      <c r="A991" s="242" t="str">
        <f>TEXT(A984+1,"000")</f>
        <v>142</v>
      </c>
      <c r="B991" s="238" t="str">
        <f>"W-"&amp;A991</f>
        <v>W-142</v>
      </c>
      <c r="C991" s="239"/>
      <c r="D991" s="692" t="str">
        <f>+INDEX(WEAP!$A:$AN,MATCH(B992,WEAP!$A:$A,0),MATCH("Name",WEAP!$A$1:$BF$1,0))</f>
        <v>Chimeratech Palmarosa</v>
      </c>
      <c r="E991" s="693"/>
      <c r="F991" s="693"/>
      <c r="G991" s="694"/>
      <c r="I991" s="241" t="str">
        <f>+INDEX(WEAP!$A:$AN,MATCH(B992,WEAP!$A:$A,0),MATCH("Weapon Skill",WEAP!$A$1:$BF$1,0))</f>
        <v>N/A</v>
      </c>
      <c r="J991" s="243">
        <f>INDEX('W-S'!$A:$N,MATCH(I991,'W-S'!$C:$C,0),MATCH("SP Cost",'W-S'!$1:$1,0))</f>
        <v>0</v>
      </c>
      <c r="K991" s="9"/>
      <c r="L991" s="241" t="str">
        <f>+I991</f>
        <v>N/A</v>
      </c>
      <c r="M991" s="243">
        <f>INDEX('W-S'!$A:$N,MATCH(L991,'W-S'!$C:$C,0),MATCH("SP Cost V3",'W-S'!$1:$1,0))</f>
        <v>0</v>
      </c>
    </row>
    <row r="992" spans="1:13" ht="22.5" x14ac:dyDescent="0.35">
      <c r="B992" s="238" t="str">
        <f>+INDEX(WEAP!$A:$AN,MATCH(B991,WEAP!$B:$B,0),MATCH("ID",WEAP!$A$1:$BF$1,0))</f>
        <v>304123_01</v>
      </c>
      <c r="C992" s="240"/>
      <c r="D992" s="692" t="str">
        <f>+INDEX(WEAP!$A:$AN,MATCH(B991,WEAP!$B:$B,0),MATCH("Family",WEAP!$A$1:$BF$1,0))&amp;" Weapon"</f>
        <v>Chimera Weapon</v>
      </c>
      <c r="E992" s="693"/>
      <c r="F992" s="693"/>
      <c r="G992" s="694"/>
      <c r="H992" s="8"/>
      <c r="I992" s="695" t="str">
        <f>INDEX('W-S'!$A:$O,MATCH(I991,'W-S'!$C:$C,0),MATCH("Description",'W-S'!$1:$1,0))</f>
        <v>This weapon has no weapon skill.</v>
      </c>
      <c r="J992" s="696"/>
      <c r="K992" s="239"/>
      <c r="L992" s="695" t="str">
        <f>INDEX('W-S'!$A:$O,MATCH(I991,'W-S'!$C:$C,0),MATCH("Description V3",'W-S'!$1:$1,0))</f>
        <v>This weapon has no weapon skill.</v>
      </c>
      <c r="M992" s="696"/>
    </row>
    <row r="993" spans="1:13" ht="22.5" x14ac:dyDescent="0.2">
      <c r="B993" s="701" t="e" vm="162">
        <f>+_xlfn.IMAGE("https://natalie.tf/wp-content/uploads/2023/10/DLV3_Icon_Weapon_"&amp;B992&amp;".png")</f>
        <v>#VALUE!</v>
      </c>
      <c r="C993" s="240"/>
      <c r="D993" s="692" t="str">
        <f>INDEX(WEAP!$A:$AN,MATCH(B992,WEAP!$A:$A,0),MATCH("Element",WEAP!$A$1:$BF$1,0))&amp;" "&amp;INDEX(WEAP!$A:$AN,MATCH(B992,WEAP!$A:$A,0),MATCH("Type",WEAP!$A$1:$BF$1,0))</f>
        <v>Wind Axe</v>
      </c>
      <c r="E993" s="693"/>
      <c r="F993" s="693"/>
      <c r="G993" s="694"/>
      <c r="H993" s="8"/>
      <c r="I993" s="697"/>
      <c r="J993" s="698"/>
      <c r="K993" s="9"/>
      <c r="L993" s="697"/>
      <c r="M993" s="698"/>
    </row>
    <row r="994" spans="1:13" ht="22.5" x14ac:dyDescent="0.35">
      <c r="B994" s="702"/>
      <c r="C994" s="239"/>
      <c r="D994" s="703" t="s">
        <v>10760</v>
      </c>
      <c r="E994" s="704"/>
      <c r="F994" s="235" t="s">
        <v>10761</v>
      </c>
      <c r="G994" s="235" t="s">
        <v>10762</v>
      </c>
      <c r="I994" s="697"/>
      <c r="J994" s="698"/>
      <c r="K994" s="239"/>
      <c r="L994" s="697"/>
      <c r="M994" s="698"/>
    </row>
    <row r="995" spans="1:13" ht="22.5" x14ac:dyDescent="0.35">
      <c r="B995" s="702"/>
      <c r="C995" s="239"/>
      <c r="D995" s="705" t="s">
        <v>96</v>
      </c>
      <c r="E995" s="706"/>
      <c r="F995" s="236">
        <f>INDEX(WEAP!$A:$AN,MATCH(B992,WEAP!$A:$A,0),MATCH("HP",WEAP!$A$1:$BF$1,0))</f>
        <v>292</v>
      </c>
      <c r="G995" s="237">
        <f>INDEX(WEAP!$A:$AN,MATCH(B992,WEAP!$A:$A,0),MATCH("HP V3",WEAP!$A$1:$BF$1,0))</f>
        <v>295</v>
      </c>
      <c r="I995" s="697"/>
      <c r="J995" s="698"/>
      <c r="K995" s="239"/>
      <c r="L995" s="697"/>
      <c r="M995" s="698"/>
    </row>
    <row r="996" spans="1:13" ht="22.5" x14ac:dyDescent="0.35">
      <c r="B996" s="702"/>
      <c r="C996" s="239"/>
      <c r="D996" s="707" t="s">
        <v>97</v>
      </c>
      <c r="E996" s="708"/>
      <c r="F996" s="236">
        <f>INDEX(WEAP!$A:$AN,MATCH(B992,WEAP!$A:$A,0),MATCH("Str",WEAP!$A$1:$BF$1,0))</f>
        <v>990</v>
      </c>
      <c r="G996" s="237">
        <f>INDEX(WEAP!$A:$AN,MATCH(B992,WEAP!$A:$A,0),MATCH("Str V3",WEAP!$A$1:$BF$1,0))</f>
        <v>1270</v>
      </c>
      <c r="I996" s="699"/>
      <c r="J996" s="700"/>
      <c r="K996" s="239"/>
      <c r="L996" s="699"/>
      <c r="M996" s="700"/>
    </row>
    <row r="997" spans="1:13" s="245" customFormat="1" ht="7.5" customHeight="1" x14ac:dyDescent="0.2">
      <c r="A997" s="245" t="s">
        <v>10763</v>
      </c>
    </row>
    <row r="998" spans="1:13" ht="22.5" x14ac:dyDescent="0.35">
      <c r="A998" s="244" t="str">
        <f>TEXT(A991+1,"000")</f>
        <v>143</v>
      </c>
      <c r="B998" s="238" t="str">
        <f>"W-"&amp;A998</f>
        <v>W-143</v>
      </c>
      <c r="C998" s="239"/>
      <c r="D998" s="692" t="str">
        <f>+INDEX(WEAP!$A:$AN,MATCH(B999,WEAP!$A:$A,0),MATCH("Name",WEAP!$A$1:$BF$1,0))</f>
        <v>Chimeratech Caraway</v>
      </c>
      <c r="E998" s="693"/>
      <c r="F998" s="693"/>
      <c r="G998" s="694"/>
      <c r="I998" s="241" t="str">
        <f>+INDEX(WEAP!$A:$AN,MATCH(B999,WEAP!$A:$A,0),MATCH("Weapon Skill",WEAP!$A$1:$BF$1,0))</f>
        <v>N/A</v>
      </c>
      <c r="J998" s="243">
        <f>INDEX('W-S'!$A:$N,MATCH(I998,'W-S'!$C:$C,0),MATCH("SP Cost",'W-S'!$1:$1,0))</f>
        <v>0</v>
      </c>
      <c r="K998" s="9"/>
      <c r="L998" s="241" t="str">
        <f>+I998</f>
        <v>N/A</v>
      </c>
      <c r="M998" s="243">
        <f>INDEX('W-S'!$A:$N,MATCH(L998,'W-S'!$C:$C,0),MATCH("SP Cost V3",'W-S'!$1:$1,0))</f>
        <v>0</v>
      </c>
    </row>
    <row r="999" spans="1:13" ht="22.5" x14ac:dyDescent="0.35">
      <c r="B999" s="238" t="str">
        <f>+INDEX(WEAP!$A:$AN,MATCH(B998,WEAP!$B:$B,0),MATCH("ID",WEAP!$A$1:$BF$1,0))</f>
        <v>305130_01</v>
      </c>
      <c r="C999" s="240"/>
      <c r="D999" s="692" t="str">
        <f>+INDEX(WEAP!$A:$AN,MATCH(B998,WEAP!$B:$B,0),MATCH("Family",WEAP!$A$1:$BF$1,0))&amp;" Weapon"</f>
        <v>Chimera Weapon</v>
      </c>
      <c r="E999" s="693"/>
      <c r="F999" s="693"/>
      <c r="G999" s="694"/>
      <c r="H999" s="8"/>
      <c r="I999" s="695" t="str">
        <f>INDEX('W-S'!$A:$O,MATCH(I998,'W-S'!$C:$C,0),MATCH("Description",'W-S'!$1:$1,0))</f>
        <v>This weapon has no weapon skill.</v>
      </c>
      <c r="J999" s="696"/>
      <c r="K999" s="239"/>
      <c r="L999" s="695" t="str">
        <f>INDEX('W-S'!$A:$O,MATCH(I998,'W-S'!$C:$C,0),MATCH("Description V3",'W-S'!$1:$1,0))</f>
        <v>This weapon has no weapon skill.</v>
      </c>
      <c r="M999" s="696"/>
    </row>
    <row r="1000" spans="1:13" ht="22.5" x14ac:dyDescent="0.2">
      <c r="B1000" s="701" t="e" vm="163">
        <f>+_xlfn.IMAGE("https://natalie.tf/wp-content/uploads/2023/10/DLV3_Icon_Weapon_"&amp;B999&amp;".png")</f>
        <v>#VALUE!</v>
      </c>
      <c r="C1000" s="240"/>
      <c r="D1000" s="692" t="str">
        <f>INDEX(WEAP!$A:$AN,MATCH(B999,WEAP!$A:$A,0),MATCH("Element",WEAP!$A$1:$BF$1,0))&amp;" "&amp;INDEX(WEAP!$A:$AN,MATCH(B999,WEAP!$A:$A,0),MATCH("Type",WEAP!$A$1:$BF$1,0))</f>
        <v>Wind Lance</v>
      </c>
      <c r="E1000" s="693"/>
      <c r="F1000" s="693"/>
      <c r="G1000" s="694"/>
      <c r="H1000" s="8"/>
      <c r="I1000" s="697"/>
      <c r="J1000" s="698"/>
      <c r="K1000" s="9"/>
      <c r="L1000" s="697"/>
      <c r="M1000" s="698"/>
    </row>
    <row r="1001" spans="1:13" ht="22.5" x14ac:dyDescent="0.35">
      <c r="B1001" s="702"/>
      <c r="C1001" s="239"/>
      <c r="D1001" s="703" t="s">
        <v>10760</v>
      </c>
      <c r="E1001" s="704"/>
      <c r="F1001" s="235" t="s">
        <v>10761</v>
      </c>
      <c r="G1001" s="235" t="s">
        <v>10762</v>
      </c>
      <c r="I1001" s="697"/>
      <c r="J1001" s="698"/>
      <c r="K1001" s="239"/>
      <c r="L1001" s="697"/>
      <c r="M1001" s="698"/>
    </row>
    <row r="1002" spans="1:13" ht="22.5" x14ac:dyDescent="0.35">
      <c r="B1002" s="702"/>
      <c r="C1002" s="239"/>
      <c r="D1002" s="705" t="s">
        <v>96</v>
      </c>
      <c r="E1002" s="706"/>
      <c r="F1002" s="236">
        <f>INDEX(WEAP!$A:$AN,MATCH(B999,WEAP!$A:$A,0),MATCH("HP",WEAP!$A$1:$BF$1,0))</f>
        <v>262</v>
      </c>
      <c r="G1002" s="237">
        <f>INDEX(WEAP!$A:$AN,MATCH(B999,WEAP!$A:$A,0),MATCH("HP V3",WEAP!$A$1:$BF$1,0))</f>
        <v>275</v>
      </c>
      <c r="I1002" s="697"/>
      <c r="J1002" s="698"/>
      <c r="K1002" s="239"/>
      <c r="L1002" s="697"/>
      <c r="M1002" s="698"/>
    </row>
    <row r="1003" spans="1:13" ht="22.5" x14ac:dyDescent="0.35">
      <c r="B1003" s="702"/>
      <c r="C1003" s="239"/>
      <c r="D1003" s="707" t="s">
        <v>97</v>
      </c>
      <c r="E1003" s="708"/>
      <c r="F1003" s="236">
        <f>INDEX(WEAP!$A:$AN,MATCH(B999,WEAP!$A:$A,0),MATCH("Str",WEAP!$A$1:$BF$1,0))</f>
        <v>1021</v>
      </c>
      <c r="G1003" s="237">
        <f>INDEX(WEAP!$A:$AN,MATCH(B999,WEAP!$A:$A,0),MATCH("Str V3",WEAP!$A$1:$BF$1,0))</f>
        <v>1230</v>
      </c>
      <c r="I1003" s="699"/>
      <c r="J1003" s="700"/>
      <c r="K1003" s="239"/>
      <c r="L1003" s="699"/>
      <c r="M1003" s="700"/>
    </row>
    <row r="1004" spans="1:13" s="245" customFormat="1" ht="7.5" customHeight="1" x14ac:dyDescent="0.2">
      <c r="A1004" s="245" t="s">
        <v>10763</v>
      </c>
    </row>
    <row r="1005" spans="1:13" ht="22.5" x14ac:dyDescent="0.35">
      <c r="A1005" s="244" t="str">
        <f>TEXT(A998+1,"000")</f>
        <v>144</v>
      </c>
      <c r="B1005" s="238" t="str">
        <f>"W-"&amp;A1005</f>
        <v>W-144</v>
      </c>
      <c r="C1005" s="239"/>
      <c r="D1005" s="692" t="str">
        <f>+INDEX(WEAP!$A:$AN,MATCH(B1006,WEAP!$A:$A,0),MATCH("Name",WEAP!$A$1:$BF$1,0))</f>
        <v>Chimeratech Ajwain</v>
      </c>
      <c r="E1005" s="693"/>
      <c r="F1005" s="693"/>
      <c r="G1005" s="694"/>
      <c r="I1005" s="241" t="str">
        <f>+INDEX(WEAP!$A:$AN,MATCH(B1006,WEAP!$A:$A,0),MATCH("Weapon Skill",WEAP!$A$1:$BF$1,0))</f>
        <v>N/A</v>
      </c>
      <c r="J1005" s="243">
        <f>INDEX('W-S'!$A:$N,MATCH(I1005,'W-S'!$C:$C,0),MATCH("SP Cost",'W-S'!$1:$1,0))</f>
        <v>0</v>
      </c>
      <c r="K1005" s="9"/>
      <c r="L1005" s="241" t="str">
        <f>+I1005</f>
        <v>N/A</v>
      </c>
      <c r="M1005" s="243">
        <f>INDEX('W-S'!$A:$N,MATCH(L1005,'W-S'!$C:$C,0),MATCH("SP Cost V3",'W-S'!$1:$1,0))</f>
        <v>0</v>
      </c>
    </row>
    <row r="1006" spans="1:13" ht="22.5" x14ac:dyDescent="0.35">
      <c r="B1006" s="238" t="str">
        <f>+INDEX(WEAP!$A:$AN,MATCH(B1005,WEAP!$B:$B,0),MATCH("ID",WEAP!$A$1:$BF$1,0))</f>
        <v>306123_01</v>
      </c>
      <c r="C1006" s="240"/>
      <c r="D1006" s="692" t="str">
        <f>+INDEX(WEAP!$A:$AN,MATCH(B1005,WEAP!$B:$B,0),MATCH("Family",WEAP!$A$1:$BF$1,0))&amp;" Weapon"</f>
        <v>Chimera Weapon</v>
      </c>
      <c r="E1006" s="693"/>
      <c r="F1006" s="693"/>
      <c r="G1006" s="694"/>
      <c r="H1006" s="8"/>
      <c r="I1006" s="695" t="str">
        <f>INDEX('W-S'!$A:$O,MATCH(I1005,'W-S'!$C:$C,0),MATCH("Description",'W-S'!$1:$1,0))</f>
        <v>This weapon has no weapon skill.</v>
      </c>
      <c r="J1006" s="696"/>
      <c r="K1006" s="239"/>
      <c r="L1006" s="695" t="str">
        <f>INDEX('W-S'!$A:$O,MATCH(I1005,'W-S'!$C:$C,0),MATCH("Description V3",'W-S'!$1:$1,0))</f>
        <v>This weapon has no weapon skill.</v>
      </c>
      <c r="M1006" s="696"/>
    </row>
    <row r="1007" spans="1:13" ht="22.5" x14ac:dyDescent="0.2">
      <c r="B1007" s="701" t="e" vm="164">
        <f>+_xlfn.IMAGE("https://natalie.tf/wp-content/uploads/2023/10/DLV3_Icon_Weapon_"&amp;B1006&amp;".png")</f>
        <v>#VALUE!</v>
      </c>
      <c r="C1007" s="240"/>
      <c r="D1007" s="692" t="str">
        <f>INDEX(WEAP!$A:$AN,MATCH(B1006,WEAP!$A:$A,0),MATCH("Element",WEAP!$A$1:$BF$1,0))&amp;" "&amp;INDEX(WEAP!$A:$AN,MATCH(B1006,WEAP!$A:$A,0),MATCH("Type",WEAP!$A$1:$BF$1,0))</f>
        <v>Wind Bow</v>
      </c>
      <c r="E1007" s="693"/>
      <c r="F1007" s="693"/>
      <c r="G1007" s="694"/>
      <c r="H1007" s="8"/>
      <c r="I1007" s="697"/>
      <c r="J1007" s="698"/>
      <c r="K1007" s="9"/>
      <c r="L1007" s="697"/>
      <c r="M1007" s="698"/>
    </row>
    <row r="1008" spans="1:13" ht="22.5" x14ac:dyDescent="0.35">
      <c r="B1008" s="702"/>
      <c r="C1008" s="239"/>
      <c r="D1008" s="703" t="s">
        <v>10760</v>
      </c>
      <c r="E1008" s="704"/>
      <c r="F1008" s="235" t="s">
        <v>10761</v>
      </c>
      <c r="G1008" s="235" t="s">
        <v>10762</v>
      </c>
      <c r="I1008" s="697"/>
      <c r="J1008" s="698"/>
      <c r="K1008" s="239"/>
      <c r="L1008" s="697"/>
      <c r="M1008" s="698"/>
    </row>
    <row r="1009" spans="1:13" ht="22.5" x14ac:dyDescent="0.35">
      <c r="B1009" s="702"/>
      <c r="C1009" s="239"/>
      <c r="D1009" s="705" t="s">
        <v>96</v>
      </c>
      <c r="E1009" s="706"/>
      <c r="F1009" s="236">
        <f>INDEX(WEAP!$A:$AN,MATCH(B1006,WEAP!$A:$A,0),MATCH("HP",WEAP!$A$1:$BF$1,0))</f>
        <v>278</v>
      </c>
      <c r="G1009" s="237">
        <f>INDEX(WEAP!$A:$AN,MATCH(B1006,WEAP!$A:$A,0),MATCH("HP V3",WEAP!$A$1:$BF$1,0))</f>
        <v>280</v>
      </c>
      <c r="I1009" s="697"/>
      <c r="J1009" s="698"/>
      <c r="K1009" s="239"/>
      <c r="L1009" s="697"/>
      <c r="M1009" s="698"/>
    </row>
    <row r="1010" spans="1:13" ht="22.5" x14ac:dyDescent="0.35">
      <c r="B1010" s="702"/>
      <c r="C1010" s="239"/>
      <c r="D1010" s="707" t="s">
        <v>97</v>
      </c>
      <c r="E1010" s="708"/>
      <c r="F1010" s="236">
        <f>INDEX(WEAP!$A:$AN,MATCH(B1006,WEAP!$A:$A,0),MATCH("Str",WEAP!$A$1:$BF$1,0))</f>
        <v>905</v>
      </c>
      <c r="G1010" s="237">
        <f>INDEX(WEAP!$A:$AN,MATCH(B1006,WEAP!$A:$A,0),MATCH("Str V3",WEAP!$A$1:$BF$1,0))</f>
        <v>1160</v>
      </c>
      <c r="I1010" s="699"/>
      <c r="J1010" s="700"/>
      <c r="K1010" s="239"/>
      <c r="L1010" s="699"/>
      <c r="M1010" s="700"/>
    </row>
    <row r="1011" spans="1:13" s="245" customFormat="1" ht="7.5" customHeight="1" x14ac:dyDescent="0.2">
      <c r="A1011" s="245" t="s">
        <v>10763</v>
      </c>
    </row>
    <row r="1012" spans="1:13" ht="22.5" x14ac:dyDescent="0.35">
      <c r="A1012" s="244" t="str">
        <f>TEXT(A1005+1,"000")</f>
        <v>145</v>
      </c>
      <c r="B1012" s="238" t="str">
        <f>"W-"&amp;A1012</f>
        <v>W-145</v>
      </c>
      <c r="C1012" s="239"/>
      <c r="D1012" s="692" t="str">
        <f>+INDEX(WEAP!$A:$AN,MATCH(B1013,WEAP!$A:$A,0),MATCH("Name",WEAP!$A$1:$BF$1,0))</f>
        <v>Chimeratech Frankin</v>
      </c>
      <c r="E1012" s="693"/>
      <c r="F1012" s="693"/>
      <c r="G1012" s="694"/>
      <c r="I1012" s="241" t="str">
        <f>+INDEX(WEAP!$A:$AN,MATCH(B1013,WEAP!$A:$A,0),MATCH("Weapon Skill",WEAP!$A$1:$BF$1,0))</f>
        <v>N/A</v>
      </c>
      <c r="J1012" s="243">
        <f>INDEX('W-S'!$A:$N,MATCH(I1012,'W-S'!$C:$C,0),MATCH("SP Cost",'W-S'!$1:$1,0))</f>
        <v>0</v>
      </c>
      <c r="K1012" s="9"/>
      <c r="L1012" s="241" t="str">
        <f>+I1012</f>
        <v>N/A</v>
      </c>
      <c r="M1012" s="243">
        <f>INDEX('W-S'!$A:$N,MATCH(L1012,'W-S'!$C:$C,0),MATCH("SP Cost V3",'W-S'!$1:$1,0))</f>
        <v>0</v>
      </c>
    </row>
    <row r="1013" spans="1:13" ht="22.5" x14ac:dyDescent="0.35">
      <c r="B1013" s="238" t="str">
        <f>+INDEX(WEAP!$A:$AN,MATCH(B1012,WEAP!$B:$B,0),MATCH("ID",WEAP!$A$1:$BF$1,0))</f>
        <v>307131_01</v>
      </c>
      <c r="C1013" s="240"/>
      <c r="D1013" s="692" t="str">
        <f>+INDEX(WEAP!$A:$AN,MATCH(B1012,WEAP!$B:$B,0),MATCH("Family",WEAP!$A$1:$BF$1,0))&amp;" Weapon"</f>
        <v>Chimera Weapon</v>
      </c>
      <c r="E1013" s="693"/>
      <c r="F1013" s="693"/>
      <c r="G1013" s="694"/>
      <c r="H1013" s="8"/>
      <c r="I1013" s="695" t="str">
        <f>INDEX('W-S'!$A:$O,MATCH(I1012,'W-S'!$C:$C,0),MATCH("Description",'W-S'!$1:$1,0))</f>
        <v>This weapon has no weapon skill.</v>
      </c>
      <c r="J1013" s="696"/>
      <c r="K1013" s="239"/>
      <c r="L1013" s="695" t="str">
        <f>INDEX('W-S'!$A:$O,MATCH(I1012,'W-S'!$C:$C,0),MATCH("Description V3",'W-S'!$1:$1,0))</f>
        <v>This weapon has no weapon skill.</v>
      </c>
      <c r="M1013" s="696"/>
    </row>
    <row r="1014" spans="1:13" ht="22.5" x14ac:dyDescent="0.2">
      <c r="B1014" s="701" t="e" vm="165">
        <f>+_xlfn.IMAGE("https://natalie.tf/wp-content/uploads/2023/10/DLV3_Icon_Weapon_"&amp;B1013&amp;".png")</f>
        <v>#VALUE!</v>
      </c>
      <c r="C1014" s="240"/>
      <c r="D1014" s="692" t="str">
        <f>INDEX(WEAP!$A:$AN,MATCH(B1013,WEAP!$A:$A,0),MATCH("Element",WEAP!$A$1:$BF$1,0))&amp;" "&amp;INDEX(WEAP!$A:$AN,MATCH(B1013,WEAP!$A:$A,0),MATCH("Type",WEAP!$A$1:$BF$1,0))</f>
        <v>Wind Wand</v>
      </c>
      <c r="E1014" s="693"/>
      <c r="F1014" s="693"/>
      <c r="G1014" s="694"/>
      <c r="H1014" s="8"/>
      <c r="I1014" s="697"/>
      <c r="J1014" s="698"/>
      <c r="K1014" s="9"/>
      <c r="L1014" s="697"/>
      <c r="M1014" s="698"/>
    </row>
    <row r="1015" spans="1:13" ht="22.5" x14ac:dyDescent="0.35">
      <c r="B1015" s="702"/>
      <c r="C1015" s="239"/>
      <c r="D1015" s="703" t="s">
        <v>10760</v>
      </c>
      <c r="E1015" s="704"/>
      <c r="F1015" s="235" t="s">
        <v>10761</v>
      </c>
      <c r="G1015" s="235" t="s">
        <v>10762</v>
      </c>
      <c r="I1015" s="697"/>
      <c r="J1015" s="698"/>
      <c r="K1015" s="239"/>
      <c r="L1015" s="697"/>
      <c r="M1015" s="698"/>
    </row>
    <row r="1016" spans="1:13" ht="22.5" x14ac:dyDescent="0.35">
      <c r="B1016" s="702"/>
      <c r="C1016" s="239"/>
      <c r="D1016" s="705" t="s">
        <v>96</v>
      </c>
      <c r="E1016" s="706"/>
      <c r="F1016" s="236">
        <f>INDEX(WEAP!$A:$AN,MATCH(B1013,WEAP!$A:$A,0),MATCH("HP",WEAP!$A$1:$BF$1,0))</f>
        <v>241</v>
      </c>
      <c r="G1016" s="237">
        <f>INDEX(WEAP!$A:$AN,MATCH(B1013,WEAP!$A:$A,0),MATCH("HP V3",WEAP!$A$1:$BF$1,0))</f>
        <v>275</v>
      </c>
      <c r="I1016" s="697"/>
      <c r="J1016" s="698"/>
      <c r="K1016" s="239"/>
      <c r="L1016" s="697"/>
      <c r="M1016" s="698"/>
    </row>
    <row r="1017" spans="1:13" ht="22.5" x14ac:dyDescent="0.35">
      <c r="B1017" s="702"/>
      <c r="C1017" s="239"/>
      <c r="D1017" s="707" t="s">
        <v>97</v>
      </c>
      <c r="E1017" s="708"/>
      <c r="F1017" s="236">
        <f>INDEX(WEAP!$A:$AN,MATCH(B1013,WEAP!$A:$A,0),MATCH("Str",WEAP!$A$1:$BF$1,0))</f>
        <v>1031</v>
      </c>
      <c r="G1017" s="237">
        <f>INDEX(WEAP!$A:$AN,MATCH(B1013,WEAP!$A:$A,0),MATCH("Str V3",WEAP!$A$1:$BF$1,0))</f>
        <v>1245</v>
      </c>
      <c r="I1017" s="699"/>
      <c r="J1017" s="700"/>
      <c r="K1017" s="239"/>
      <c r="L1017" s="699"/>
      <c r="M1017" s="700"/>
    </row>
    <row r="1018" spans="1:13" ht="33.75" customHeight="1" x14ac:dyDescent="0.2">
      <c r="A1018" t="s">
        <v>10763</v>
      </c>
    </row>
    <row r="1019" spans="1:13" ht="22.5" x14ac:dyDescent="0.35">
      <c r="A1019" s="244" t="str">
        <f>TEXT(A1012+1,"000")</f>
        <v>146</v>
      </c>
      <c r="B1019" s="238" t="str">
        <f>"W-"&amp;A1019</f>
        <v>W-146</v>
      </c>
      <c r="C1019" s="239"/>
      <c r="D1019" s="692" t="str">
        <f>+INDEX(WEAP!$A:$AN,MATCH(B1020,WEAP!$A:$A,0),MATCH("Name",WEAP!$A$1:$BF$1,0))</f>
        <v>Chimeratech Marjoram</v>
      </c>
      <c r="E1019" s="693"/>
      <c r="F1019" s="693"/>
      <c r="G1019" s="694"/>
      <c r="I1019" s="241" t="str">
        <f>+INDEX(WEAP!$A:$AN,MATCH(B1020,WEAP!$A:$A,0),MATCH("Weapon Skill",WEAP!$A$1:$BF$1,0))</f>
        <v>N/A</v>
      </c>
      <c r="J1019" s="243">
        <f>INDEX('W-S'!$A:$N,MATCH(I1019,'W-S'!$C:$C,0),MATCH("SP Cost",'W-S'!$1:$1,0))</f>
        <v>0</v>
      </c>
      <c r="K1019" s="9"/>
      <c r="L1019" s="241" t="str">
        <f>+I1019</f>
        <v>N/A</v>
      </c>
      <c r="M1019" s="243">
        <f>INDEX('W-S'!$A:$N,MATCH(L1019,'W-S'!$C:$C,0),MATCH("SP Cost V3",'W-S'!$1:$1,0))</f>
        <v>0</v>
      </c>
    </row>
    <row r="1020" spans="1:13" ht="22.5" x14ac:dyDescent="0.35">
      <c r="B1020" s="238" t="str">
        <f>+INDEX(WEAP!$A:$AN,MATCH(B1019,WEAP!$B:$B,0),MATCH("ID",WEAP!$A$1:$BF$1,0))</f>
        <v>308124_01</v>
      </c>
      <c r="C1020" s="240"/>
      <c r="D1020" s="692" t="str">
        <f>+INDEX(WEAP!$A:$AN,MATCH(B1019,WEAP!$B:$B,0),MATCH("Family",WEAP!$A$1:$BF$1,0))&amp;" Weapon"</f>
        <v>Chimera Weapon</v>
      </c>
      <c r="E1020" s="693"/>
      <c r="F1020" s="693"/>
      <c r="G1020" s="694"/>
      <c r="H1020" s="8"/>
      <c r="I1020" s="695" t="str">
        <f>INDEX('W-S'!$A:$O,MATCH(I1019,'W-S'!$C:$C,0),MATCH("Description",'W-S'!$1:$1,0))</f>
        <v>This weapon has no weapon skill.</v>
      </c>
      <c r="J1020" s="696"/>
      <c r="K1020" s="239"/>
      <c r="L1020" s="695" t="str">
        <f>INDEX('W-S'!$A:$O,MATCH(I1019,'W-S'!$C:$C,0),MATCH("Description V3",'W-S'!$1:$1,0))</f>
        <v>This weapon has no weapon skill.</v>
      </c>
      <c r="M1020" s="696"/>
    </row>
    <row r="1021" spans="1:13" ht="22.5" x14ac:dyDescent="0.2">
      <c r="B1021" s="701" t="e" vm="166">
        <f>+_xlfn.IMAGE("https://natalie.tf/wp-content/uploads/2023/10/DLV3_Icon_Weapon_"&amp;B1020&amp;".png")</f>
        <v>#VALUE!</v>
      </c>
      <c r="C1021" s="240"/>
      <c r="D1021" s="692" t="str">
        <f>INDEX(WEAP!$A:$AN,MATCH(B1020,WEAP!$A:$A,0),MATCH("Element",WEAP!$A$1:$BF$1,0))&amp;" "&amp;INDEX(WEAP!$A:$AN,MATCH(B1020,WEAP!$A:$A,0),MATCH("Type",WEAP!$A$1:$BF$1,0))</f>
        <v>Wind Staff</v>
      </c>
      <c r="E1021" s="693"/>
      <c r="F1021" s="693"/>
      <c r="G1021" s="694"/>
      <c r="H1021" s="8"/>
      <c r="I1021" s="697"/>
      <c r="J1021" s="698"/>
      <c r="K1021" s="9"/>
      <c r="L1021" s="697"/>
      <c r="M1021" s="698"/>
    </row>
    <row r="1022" spans="1:13" ht="22.5" x14ac:dyDescent="0.35">
      <c r="B1022" s="702"/>
      <c r="C1022" s="239"/>
      <c r="D1022" s="703" t="s">
        <v>10760</v>
      </c>
      <c r="E1022" s="704"/>
      <c r="F1022" s="235" t="s">
        <v>10761</v>
      </c>
      <c r="G1022" s="235" t="s">
        <v>10762</v>
      </c>
      <c r="I1022" s="697"/>
      <c r="J1022" s="698"/>
      <c r="K1022" s="239"/>
      <c r="L1022" s="697"/>
      <c r="M1022" s="698"/>
    </row>
    <row r="1023" spans="1:13" ht="22.5" x14ac:dyDescent="0.35">
      <c r="B1023" s="702"/>
      <c r="C1023" s="239"/>
      <c r="D1023" s="705" t="s">
        <v>96</v>
      </c>
      <c r="E1023" s="706"/>
      <c r="F1023" s="236">
        <f>INDEX(WEAP!$A:$AN,MATCH(B1020,WEAP!$A:$A,0),MATCH("HP",WEAP!$A$1:$BF$1,0))</f>
        <v>321</v>
      </c>
      <c r="G1023" s="237">
        <f>INDEX(WEAP!$A:$AN,MATCH(B1020,WEAP!$A:$A,0),MATCH("HP V3",WEAP!$A$1:$BF$1,0))</f>
        <v>325</v>
      </c>
      <c r="I1023" s="697"/>
      <c r="J1023" s="698"/>
      <c r="K1023" s="239"/>
      <c r="L1023" s="697"/>
      <c r="M1023" s="698"/>
    </row>
    <row r="1024" spans="1:13" ht="22.5" x14ac:dyDescent="0.35">
      <c r="B1024" s="702"/>
      <c r="C1024" s="239"/>
      <c r="D1024" s="707" t="s">
        <v>97</v>
      </c>
      <c r="E1024" s="708"/>
      <c r="F1024" s="236">
        <f>INDEX(WEAP!$A:$AN,MATCH(B1020,WEAP!$A:$A,0),MATCH("Str",WEAP!$A$1:$BF$1,0))</f>
        <v>877</v>
      </c>
      <c r="G1024" s="237">
        <f>INDEX(WEAP!$A:$AN,MATCH(B1020,WEAP!$A:$A,0),MATCH("Str V3",WEAP!$A$1:$BF$1,0))</f>
        <v>1110</v>
      </c>
      <c r="I1024" s="699"/>
      <c r="J1024" s="700"/>
      <c r="K1024" s="239"/>
      <c r="L1024" s="699"/>
      <c r="M1024" s="700"/>
    </row>
    <row r="1025" spans="1:13" s="245" customFormat="1" ht="7.5" customHeight="1" x14ac:dyDescent="0.2">
      <c r="A1025" s="245" t="s">
        <v>10763</v>
      </c>
    </row>
    <row r="1026" spans="1:13" ht="22.5" x14ac:dyDescent="0.35">
      <c r="A1026" s="242" t="str">
        <f>TEXT(A1019+1,"000")</f>
        <v>147</v>
      </c>
      <c r="B1026" s="238" t="str">
        <f>"W-"&amp;A1026</f>
        <v>W-147</v>
      </c>
      <c r="C1026" s="239"/>
      <c r="D1026" s="692" t="str">
        <f>+INDEX(WEAP!$A:$AN,MATCH(B1027,WEAP!$A:$A,0),MATCH("Name",WEAP!$A$1:$BF$1,0))</f>
        <v>Chimeratech Fennel</v>
      </c>
      <c r="E1026" s="693"/>
      <c r="F1026" s="693"/>
      <c r="G1026" s="694"/>
      <c r="I1026" s="241" t="str">
        <f>+INDEX(WEAP!$A:$AN,MATCH(B1027,WEAP!$A:$A,0),MATCH("Weapon Skill",WEAP!$A$1:$BF$1,0))</f>
        <v>N/A</v>
      </c>
      <c r="J1026" s="243">
        <f>INDEX('W-S'!$A:$N,MATCH(I1026,'W-S'!$C:$C,0),MATCH("SP Cost",'W-S'!$1:$1,0))</f>
        <v>0</v>
      </c>
      <c r="K1026" s="9"/>
      <c r="L1026" s="241" t="str">
        <f>+I1026</f>
        <v>N/A</v>
      </c>
      <c r="M1026" s="243">
        <f>INDEX('W-S'!$A:$N,MATCH(L1026,'W-S'!$C:$C,0),MATCH("SP Cost V3",'W-S'!$1:$1,0))</f>
        <v>0</v>
      </c>
    </row>
    <row r="1027" spans="1:13" ht="22.5" x14ac:dyDescent="0.35">
      <c r="B1027" s="238" t="str">
        <f>+INDEX(WEAP!$A:$AN,MATCH(B1026,WEAP!$B:$B,0),MATCH("ID",WEAP!$A$1:$BF$1,0))</f>
        <v>309018_01</v>
      </c>
      <c r="C1027" s="240"/>
      <c r="D1027" s="692" t="str">
        <f>+INDEX(WEAP!$A:$AN,MATCH(B1026,WEAP!$B:$B,0),MATCH("Family",WEAP!$A$1:$BF$1,0))&amp;" Weapon"</f>
        <v>Chimera Weapon</v>
      </c>
      <c r="E1027" s="693"/>
      <c r="F1027" s="693"/>
      <c r="G1027" s="694"/>
      <c r="H1027" s="8"/>
      <c r="I1027" s="695" t="str">
        <f>INDEX('W-S'!$A:$O,MATCH(I1026,'W-S'!$C:$C,0),MATCH("Description",'W-S'!$1:$1,0))</f>
        <v>This weapon has no weapon skill.</v>
      </c>
      <c r="J1027" s="696"/>
      <c r="K1027" s="239"/>
      <c r="L1027" s="695" t="str">
        <f>INDEX('W-S'!$A:$O,MATCH(I1026,'W-S'!$C:$C,0),MATCH("Description V3",'W-S'!$1:$1,0))</f>
        <v>This weapon has no weapon skill.</v>
      </c>
      <c r="M1027" s="696"/>
    </row>
    <row r="1028" spans="1:13" ht="22.5" x14ac:dyDescent="0.2">
      <c r="B1028" s="701" t="e" vm="167">
        <f>+_xlfn.IMAGE("https://natalie.tf/wp-content/uploads/2023/10/DLV3_Icon_Weapon_"&amp;B1027&amp;".png")</f>
        <v>#VALUE!</v>
      </c>
      <c r="C1028" s="240"/>
      <c r="D1028" s="692" t="str">
        <f>INDEX(WEAP!$A:$AN,MATCH(B1027,WEAP!$A:$A,0),MATCH("Element",WEAP!$A$1:$BF$1,0))&amp;" "&amp;INDEX(WEAP!$A:$AN,MATCH(B1027,WEAP!$A:$A,0),MATCH("Type",WEAP!$A$1:$BF$1,0))</f>
        <v>Wind Manacaster</v>
      </c>
      <c r="E1028" s="693"/>
      <c r="F1028" s="693"/>
      <c r="G1028" s="694"/>
      <c r="H1028" s="8"/>
      <c r="I1028" s="697"/>
      <c r="J1028" s="698"/>
      <c r="K1028" s="9"/>
      <c r="L1028" s="697"/>
      <c r="M1028" s="698"/>
    </row>
    <row r="1029" spans="1:13" ht="22.5" x14ac:dyDescent="0.35">
      <c r="B1029" s="702"/>
      <c r="C1029" s="239"/>
      <c r="D1029" s="703" t="s">
        <v>10760</v>
      </c>
      <c r="E1029" s="704"/>
      <c r="F1029" s="235" t="s">
        <v>10761</v>
      </c>
      <c r="G1029" s="235" t="s">
        <v>10762</v>
      </c>
      <c r="I1029" s="697"/>
      <c r="J1029" s="698"/>
      <c r="K1029" s="239"/>
      <c r="L1029" s="697"/>
      <c r="M1029" s="698"/>
    </row>
    <row r="1030" spans="1:13" ht="22.5" x14ac:dyDescent="0.35">
      <c r="B1030" s="702"/>
      <c r="C1030" s="239"/>
      <c r="D1030" s="705" t="s">
        <v>96</v>
      </c>
      <c r="E1030" s="706"/>
      <c r="F1030" s="236">
        <f>INDEX(WEAP!$A:$AN,MATCH(B1027,WEAP!$A:$A,0),MATCH("HP",WEAP!$A$1:$BF$1,0))</f>
        <v>261</v>
      </c>
      <c r="G1030" s="237">
        <f>INDEX(WEAP!$A:$AN,MATCH(B1027,WEAP!$A:$A,0),MATCH("HP V3",WEAP!$A$1:$BF$1,0))</f>
        <v>270</v>
      </c>
      <c r="I1030" s="697"/>
      <c r="J1030" s="698"/>
      <c r="K1030" s="239"/>
      <c r="L1030" s="697"/>
      <c r="M1030" s="698"/>
    </row>
    <row r="1031" spans="1:13" ht="22.5" x14ac:dyDescent="0.35">
      <c r="B1031" s="702"/>
      <c r="C1031" s="239"/>
      <c r="D1031" s="707" t="s">
        <v>97</v>
      </c>
      <c r="E1031" s="708"/>
      <c r="F1031" s="236">
        <f>INDEX(WEAP!$A:$AN,MATCH(B1027,WEAP!$A:$A,0),MATCH("Str",WEAP!$A$1:$BF$1,0))</f>
        <v>981</v>
      </c>
      <c r="G1031" s="237">
        <f>INDEX(WEAP!$A:$AN,MATCH(B1027,WEAP!$A:$A,0),MATCH("Str V3",WEAP!$A$1:$BF$1,0))</f>
        <v>1255</v>
      </c>
      <c r="I1031" s="699"/>
      <c r="J1031" s="700"/>
      <c r="K1031" s="239"/>
      <c r="L1031" s="699"/>
      <c r="M1031" s="700"/>
    </row>
    <row r="1032" spans="1:13" s="245" customFormat="1" ht="7.5" customHeight="1" x14ac:dyDescent="0.2">
      <c r="A1032" s="245" t="s">
        <v>10763</v>
      </c>
    </row>
    <row r="1033" spans="1:13" ht="22.5" x14ac:dyDescent="0.35">
      <c r="A1033" s="244" t="str">
        <f>TEXT(A1026+1,"000")</f>
        <v>148</v>
      </c>
      <c r="B1033" s="238" t="str">
        <f>"W-"&amp;A1033</f>
        <v>W-148</v>
      </c>
      <c r="C1033" s="239"/>
      <c r="D1033" s="692" t="str">
        <f>+INDEX(WEAP!$A:$AN,MATCH(B1034,WEAP!$A:$A,0),MATCH("Name",WEAP!$A$1:$BF$1,0))</f>
        <v>Chimeratech Sirius</v>
      </c>
      <c r="E1033" s="693"/>
      <c r="F1033" s="693"/>
      <c r="G1033" s="694"/>
      <c r="I1033" s="241" t="str">
        <f>+INDEX(WEAP!$A:$AN,MATCH(B1034,WEAP!$A:$A,0),MATCH("Weapon Skill",WEAP!$A$1:$BF$1,0))</f>
        <v>N/A</v>
      </c>
      <c r="J1033" s="243">
        <f>INDEX('W-S'!$A:$N,MATCH(I1033,'W-S'!$C:$C,0),MATCH("SP Cost",'W-S'!$1:$1,0))</f>
        <v>0</v>
      </c>
      <c r="K1033" s="9"/>
      <c r="L1033" s="241" t="str">
        <f>+I1033</f>
        <v>N/A</v>
      </c>
      <c r="M1033" s="243">
        <f>INDEX('W-S'!$A:$N,MATCH(L1033,'W-S'!$C:$C,0),MATCH("SP Cost V3",'W-S'!$1:$1,0))</f>
        <v>0</v>
      </c>
    </row>
    <row r="1034" spans="1:13" ht="22.5" x14ac:dyDescent="0.35">
      <c r="B1034" s="238" t="str">
        <f>+INDEX(WEAP!$A:$AN,MATCH(B1033,WEAP!$B:$B,0),MATCH("ID",WEAP!$A$1:$BF$1,0))</f>
        <v>301135_01</v>
      </c>
      <c r="C1034" s="240"/>
      <c r="D1034" s="692" t="str">
        <f>+INDEX(WEAP!$A:$AN,MATCH(B1033,WEAP!$B:$B,0),MATCH("Family",WEAP!$A$1:$BF$1,0))&amp;" Weapon"</f>
        <v>Chimera Weapon</v>
      </c>
      <c r="E1034" s="693"/>
      <c r="F1034" s="693"/>
      <c r="G1034" s="694"/>
      <c r="H1034" s="8"/>
      <c r="I1034" s="695" t="str">
        <f>INDEX('W-S'!$A:$O,MATCH(I1033,'W-S'!$C:$C,0),MATCH("Description",'W-S'!$1:$1,0))</f>
        <v>This weapon has no weapon skill.</v>
      </c>
      <c r="J1034" s="696"/>
      <c r="K1034" s="239"/>
      <c r="L1034" s="695" t="str">
        <f>INDEX('W-S'!$A:$O,MATCH(I1033,'W-S'!$C:$C,0),MATCH("Description V3",'W-S'!$1:$1,0))</f>
        <v>This weapon has no weapon skill.</v>
      </c>
      <c r="M1034" s="696"/>
    </row>
    <row r="1035" spans="1:13" ht="22.5" x14ac:dyDescent="0.2">
      <c r="B1035" s="701" t="e" vm="168">
        <f>+_xlfn.IMAGE("https://natalie.tf/wp-content/uploads/2023/10/DLV3_Icon_Weapon_"&amp;B1034&amp;".png")</f>
        <v>#VALUE!</v>
      </c>
      <c r="C1035" s="240"/>
      <c r="D1035" s="692" t="str">
        <f>INDEX(WEAP!$A:$AN,MATCH(B1034,WEAP!$A:$A,0),MATCH("Element",WEAP!$A$1:$BF$1,0))&amp;" "&amp;INDEX(WEAP!$A:$AN,MATCH(B1034,WEAP!$A:$A,0),MATCH("Type",WEAP!$A$1:$BF$1,0))</f>
        <v>Light Sword</v>
      </c>
      <c r="E1035" s="693"/>
      <c r="F1035" s="693"/>
      <c r="G1035" s="694"/>
      <c r="H1035" s="8"/>
      <c r="I1035" s="697"/>
      <c r="J1035" s="698"/>
      <c r="K1035" s="9"/>
      <c r="L1035" s="697"/>
      <c r="M1035" s="698"/>
    </row>
    <row r="1036" spans="1:13" ht="22.5" x14ac:dyDescent="0.35">
      <c r="B1036" s="702"/>
      <c r="C1036" s="239"/>
      <c r="D1036" s="703" t="s">
        <v>10760</v>
      </c>
      <c r="E1036" s="704"/>
      <c r="F1036" s="235" t="s">
        <v>10761</v>
      </c>
      <c r="G1036" s="235" t="s">
        <v>10762</v>
      </c>
      <c r="I1036" s="697"/>
      <c r="J1036" s="698"/>
      <c r="K1036" s="239"/>
      <c r="L1036" s="697"/>
      <c r="M1036" s="698"/>
    </row>
    <row r="1037" spans="1:13" ht="22.5" x14ac:dyDescent="0.35">
      <c r="B1037" s="702"/>
      <c r="C1037" s="239"/>
      <c r="D1037" s="705" t="s">
        <v>96</v>
      </c>
      <c r="E1037" s="706"/>
      <c r="F1037" s="236">
        <f>INDEX(WEAP!$A:$AN,MATCH(B1034,WEAP!$A:$A,0),MATCH("HP",WEAP!$A$1:$BF$1,0))</f>
        <v>270</v>
      </c>
      <c r="G1037" s="237">
        <f>INDEX(WEAP!$A:$AN,MATCH(B1034,WEAP!$A:$A,0),MATCH("HP V3",WEAP!$A$1:$BF$1,0))</f>
        <v>270</v>
      </c>
      <c r="I1037" s="697"/>
      <c r="J1037" s="698"/>
      <c r="K1037" s="239"/>
      <c r="L1037" s="697"/>
      <c r="M1037" s="698"/>
    </row>
    <row r="1038" spans="1:13" ht="22.5" x14ac:dyDescent="0.35">
      <c r="B1038" s="702"/>
      <c r="C1038" s="239"/>
      <c r="D1038" s="707" t="s">
        <v>97</v>
      </c>
      <c r="E1038" s="708"/>
      <c r="F1038" s="236">
        <f>INDEX(WEAP!$A:$AN,MATCH(B1034,WEAP!$A:$A,0),MATCH("Str",WEAP!$A$1:$BF$1,0))</f>
        <v>972</v>
      </c>
      <c r="G1038" s="237">
        <f>INDEX(WEAP!$A:$AN,MATCH(B1034,WEAP!$A:$A,0),MATCH("Str V3",WEAP!$A$1:$BF$1,0))</f>
        <v>1210</v>
      </c>
      <c r="I1038" s="699"/>
      <c r="J1038" s="700"/>
      <c r="K1038" s="239"/>
      <c r="L1038" s="699"/>
      <c r="M1038" s="700"/>
    </row>
    <row r="1039" spans="1:13" s="245" customFormat="1" ht="7.5" customHeight="1" x14ac:dyDescent="0.2">
      <c r="A1039" s="245" t="s">
        <v>10763</v>
      </c>
    </row>
    <row r="1040" spans="1:13" ht="22.5" x14ac:dyDescent="0.35">
      <c r="A1040" s="244" t="str">
        <f>TEXT(A1033+1,"000")</f>
        <v>149</v>
      </c>
      <c r="B1040" s="238" t="str">
        <f>"W-"&amp;A1040</f>
        <v>W-149</v>
      </c>
      <c r="C1040" s="239"/>
      <c r="D1040" s="692" t="str">
        <f>+INDEX(WEAP!$A:$AN,MATCH(B1041,WEAP!$A:$A,0),MATCH("Name",WEAP!$A$1:$BF$1,0))</f>
        <v>Chimeratech Canopus</v>
      </c>
      <c r="E1040" s="693"/>
      <c r="F1040" s="693"/>
      <c r="G1040" s="694"/>
      <c r="I1040" s="241" t="str">
        <f>+INDEX(WEAP!$A:$AN,MATCH(B1041,WEAP!$A:$A,0),MATCH("Weapon Skill",WEAP!$A$1:$BF$1,0))</f>
        <v>N/A</v>
      </c>
      <c r="J1040" s="243">
        <f>INDEX('W-S'!$A:$N,MATCH(I1040,'W-S'!$C:$C,0),MATCH("SP Cost",'W-S'!$1:$1,0))</f>
        <v>0</v>
      </c>
      <c r="K1040" s="9"/>
      <c r="L1040" s="241" t="str">
        <f>+I1040</f>
        <v>N/A</v>
      </c>
      <c r="M1040" s="243">
        <f>INDEX('W-S'!$A:$N,MATCH(L1040,'W-S'!$C:$C,0),MATCH("SP Cost V3",'W-S'!$1:$1,0))</f>
        <v>0</v>
      </c>
    </row>
    <row r="1041" spans="1:13" ht="22.5" x14ac:dyDescent="0.35">
      <c r="B1041" s="238" t="str">
        <f>+INDEX(WEAP!$A:$AN,MATCH(B1040,WEAP!$B:$B,0),MATCH("ID",WEAP!$A$1:$BF$1,0))</f>
        <v>302126_01</v>
      </c>
      <c r="C1041" s="240"/>
      <c r="D1041" s="692" t="str">
        <f>+INDEX(WEAP!$A:$AN,MATCH(B1040,WEAP!$B:$B,0),MATCH("Family",WEAP!$A$1:$BF$1,0))&amp;" Weapon"</f>
        <v>Chimera Weapon</v>
      </c>
      <c r="E1041" s="693"/>
      <c r="F1041" s="693"/>
      <c r="G1041" s="694"/>
      <c r="H1041" s="8"/>
      <c r="I1041" s="695" t="str">
        <f>INDEX('W-S'!$A:$O,MATCH(I1040,'W-S'!$C:$C,0),MATCH("Description",'W-S'!$1:$1,0))</f>
        <v>This weapon has no weapon skill.</v>
      </c>
      <c r="J1041" s="696"/>
      <c r="K1041" s="239"/>
      <c r="L1041" s="695" t="str">
        <f>INDEX('W-S'!$A:$O,MATCH(I1040,'W-S'!$C:$C,0),MATCH("Description V3",'W-S'!$1:$1,0))</f>
        <v>This weapon has no weapon skill.</v>
      </c>
      <c r="M1041" s="696"/>
    </row>
    <row r="1042" spans="1:13" ht="22.5" x14ac:dyDescent="0.2">
      <c r="B1042" s="701" t="e" vm="169">
        <f>+_xlfn.IMAGE("https://natalie.tf/wp-content/uploads/2023/10/DLV3_Icon_Weapon_"&amp;B1041&amp;".png")</f>
        <v>#VALUE!</v>
      </c>
      <c r="C1042" s="240"/>
      <c r="D1042" s="692" t="str">
        <f>INDEX(WEAP!$A:$AN,MATCH(B1041,WEAP!$A:$A,0),MATCH("Element",WEAP!$A$1:$BF$1,0))&amp;" "&amp;INDEX(WEAP!$A:$AN,MATCH(B1041,WEAP!$A:$A,0),MATCH("Type",WEAP!$A$1:$BF$1,0))</f>
        <v>Light Blade</v>
      </c>
      <c r="E1042" s="693"/>
      <c r="F1042" s="693"/>
      <c r="G1042" s="694"/>
      <c r="H1042" s="8"/>
      <c r="I1042" s="697"/>
      <c r="J1042" s="698"/>
      <c r="K1042" s="9"/>
      <c r="L1042" s="697"/>
      <c r="M1042" s="698"/>
    </row>
    <row r="1043" spans="1:13" ht="22.5" x14ac:dyDescent="0.35">
      <c r="B1043" s="702"/>
      <c r="C1043" s="239"/>
      <c r="D1043" s="703" t="s">
        <v>10760</v>
      </c>
      <c r="E1043" s="704"/>
      <c r="F1043" s="235" t="s">
        <v>10761</v>
      </c>
      <c r="G1043" s="235" t="s">
        <v>10762</v>
      </c>
      <c r="I1043" s="697"/>
      <c r="J1043" s="698"/>
      <c r="K1043" s="239"/>
      <c r="L1043" s="697"/>
      <c r="M1043" s="698"/>
    </row>
    <row r="1044" spans="1:13" ht="22.5" x14ac:dyDescent="0.35">
      <c r="B1044" s="702"/>
      <c r="C1044" s="239"/>
      <c r="D1044" s="705" t="s">
        <v>96</v>
      </c>
      <c r="E1044" s="706"/>
      <c r="F1044" s="236">
        <f>INDEX(WEAP!$A:$AN,MATCH(B1041,WEAP!$A:$A,0),MATCH("HP",WEAP!$A$1:$BF$1,0))</f>
        <v>238</v>
      </c>
      <c r="G1044" s="237">
        <f>INDEX(WEAP!$A:$AN,MATCH(B1041,WEAP!$A:$A,0),MATCH("HP V3",WEAP!$A$1:$BF$1,0))</f>
        <v>250</v>
      </c>
      <c r="I1044" s="697"/>
      <c r="J1044" s="698"/>
      <c r="K1044" s="239"/>
      <c r="L1044" s="697"/>
      <c r="M1044" s="698"/>
    </row>
    <row r="1045" spans="1:13" ht="22.5" x14ac:dyDescent="0.35">
      <c r="B1045" s="702"/>
      <c r="C1045" s="239"/>
      <c r="D1045" s="707" t="s">
        <v>97</v>
      </c>
      <c r="E1045" s="708"/>
      <c r="F1045" s="236">
        <f>INDEX(WEAP!$A:$AN,MATCH(B1041,WEAP!$A:$A,0),MATCH("Str",WEAP!$A$1:$BF$1,0))</f>
        <v>1030</v>
      </c>
      <c r="G1045" s="237">
        <f>INDEX(WEAP!$A:$AN,MATCH(B1041,WEAP!$A:$A,0),MATCH("Str V3",WEAP!$A$1:$BF$1,0))</f>
        <v>1280</v>
      </c>
      <c r="I1045" s="699"/>
      <c r="J1045" s="700"/>
      <c r="K1045" s="239"/>
      <c r="L1045" s="699"/>
      <c r="M1045" s="700"/>
    </row>
    <row r="1046" spans="1:13" s="245" customFormat="1" ht="7.5" customHeight="1" x14ac:dyDescent="0.2">
      <c r="A1046" s="245" t="s">
        <v>10763</v>
      </c>
    </row>
    <row r="1047" spans="1:13" ht="22.5" x14ac:dyDescent="0.35">
      <c r="A1047" s="244" t="str">
        <f>TEXT(A1040+1,"000")</f>
        <v>150</v>
      </c>
      <c r="B1047" s="238" t="str">
        <f>"W-"&amp;A1047</f>
        <v>W-150</v>
      </c>
      <c r="C1047" s="239"/>
      <c r="D1047" s="692" t="str">
        <f>+INDEX(WEAP!$A:$AN,MATCH(B1048,WEAP!$A:$A,0),MATCH("Name",WEAP!$A$1:$BF$1,0))</f>
        <v>Chimeratech Capella</v>
      </c>
      <c r="E1047" s="693"/>
      <c r="F1047" s="693"/>
      <c r="G1047" s="694"/>
      <c r="I1047" s="241" t="str">
        <f>+INDEX(WEAP!$A:$AN,MATCH(B1048,WEAP!$A:$A,0),MATCH("Weapon Skill",WEAP!$A$1:$BF$1,0))</f>
        <v>N/A</v>
      </c>
      <c r="J1047" s="243">
        <f>INDEX('W-S'!$A:$N,MATCH(I1047,'W-S'!$C:$C,0),MATCH("SP Cost",'W-S'!$1:$1,0))</f>
        <v>0</v>
      </c>
      <c r="K1047" s="9"/>
      <c r="L1047" s="241" t="str">
        <f>+I1047</f>
        <v>N/A</v>
      </c>
      <c r="M1047" s="243">
        <f>INDEX('W-S'!$A:$N,MATCH(L1047,'W-S'!$C:$C,0),MATCH("SP Cost V3",'W-S'!$1:$1,0))</f>
        <v>0</v>
      </c>
    </row>
    <row r="1048" spans="1:13" ht="22.5" x14ac:dyDescent="0.35">
      <c r="B1048" s="238" t="str">
        <f>+INDEX(WEAP!$A:$AN,MATCH(B1047,WEAP!$B:$B,0),MATCH("ID",WEAP!$A$1:$BF$1,0))</f>
        <v>303125_01</v>
      </c>
      <c r="C1048" s="240"/>
      <c r="D1048" s="692" t="str">
        <f>+INDEX(WEAP!$A:$AN,MATCH(B1047,WEAP!$B:$B,0),MATCH("Family",WEAP!$A$1:$BF$1,0))&amp;" Weapon"</f>
        <v>Chimera Weapon</v>
      </c>
      <c r="E1048" s="693"/>
      <c r="F1048" s="693"/>
      <c r="G1048" s="694"/>
      <c r="H1048" s="8"/>
      <c r="I1048" s="695" t="str">
        <f>INDEX('W-S'!$A:$O,MATCH(I1047,'W-S'!$C:$C,0),MATCH("Description",'W-S'!$1:$1,0))</f>
        <v>This weapon has no weapon skill.</v>
      </c>
      <c r="J1048" s="696"/>
      <c r="K1048" s="239"/>
      <c r="L1048" s="695" t="str">
        <f>INDEX('W-S'!$A:$O,MATCH(I1047,'W-S'!$C:$C,0),MATCH("Description V3",'W-S'!$1:$1,0))</f>
        <v>This weapon has no weapon skill.</v>
      </c>
      <c r="M1048" s="696"/>
    </row>
    <row r="1049" spans="1:13" ht="22.5" x14ac:dyDescent="0.2">
      <c r="B1049" s="701" t="e" vm="170">
        <f>+_xlfn.IMAGE("https://natalie.tf/wp-content/uploads/2023/10/DLV3_Icon_Weapon_"&amp;B1048&amp;".png")</f>
        <v>#VALUE!</v>
      </c>
      <c r="C1049" s="240"/>
      <c r="D1049" s="692" t="str">
        <f>INDEX(WEAP!$A:$AN,MATCH(B1048,WEAP!$A:$A,0),MATCH("Element",WEAP!$A$1:$BF$1,0))&amp;" "&amp;INDEX(WEAP!$A:$AN,MATCH(B1048,WEAP!$A:$A,0),MATCH("Type",WEAP!$A$1:$BF$1,0))</f>
        <v>Light Dagger</v>
      </c>
      <c r="E1049" s="693"/>
      <c r="F1049" s="693"/>
      <c r="G1049" s="694"/>
      <c r="H1049" s="8"/>
      <c r="I1049" s="697"/>
      <c r="J1049" s="698"/>
      <c r="K1049" s="9"/>
      <c r="L1049" s="697"/>
      <c r="M1049" s="698"/>
    </row>
    <row r="1050" spans="1:13" ht="22.5" x14ac:dyDescent="0.35">
      <c r="B1050" s="702"/>
      <c r="C1050" s="239"/>
      <c r="D1050" s="703" t="s">
        <v>10760</v>
      </c>
      <c r="E1050" s="704"/>
      <c r="F1050" s="235" t="s">
        <v>10761</v>
      </c>
      <c r="G1050" s="235" t="s">
        <v>10762</v>
      </c>
      <c r="I1050" s="697"/>
      <c r="J1050" s="698"/>
      <c r="K1050" s="239"/>
      <c r="L1050" s="697"/>
      <c r="M1050" s="698"/>
    </row>
    <row r="1051" spans="1:13" ht="22.5" x14ac:dyDescent="0.35">
      <c r="B1051" s="702"/>
      <c r="C1051" s="239"/>
      <c r="D1051" s="705" t="s">
        <v>96</v>
      </c>
      <c r="E1051" s="706"/>
      <c r="F1051" s="236">
        <f>INDEX(WEAP!$A:$AN,MATCH(B1048,WEAP!$A:$A,0),MATCH("HP",WEAP!$A$1:$BF$1,0))</f>
        <v>273</v>
      </c>
      <c r="G1051" s="237">
        <f>INDEX(WEAP!$A:$AN,MATCH(B1048,WEAP!$A:$A,0),MATCH("HP V3",WEAP!$A$1:$BF$1,0))</f>
        <v>275</v>
      </c>
      <c r="I1051" s="697"/>
      <c r="J1051" s="698"/>
      <c r="K1051" s="239"/>
      <c r="L1051" s="697"/>
      <c r="M1051" s="698"/>
    </row>
    <row r="1052" spans="1:13" ht="22.5" x14ac:dyDescent="0.35">
      <c r="B1052" s="702"/>
      <c r="C1052" s="239"/>
      <c r="D1052" s="707" t="s">
        <v>97</v>
      </c>
      <c r="E1052" s="708"/>
      <c r="F1052" s="236">
        <f>INDEX(WEAP!$A:$AN,MATCH(B1048,WEAP!$A:$A,0),MATCH("Str",WEAP!$A$1:$BF$1,0))</f>
        <v>953</v>
      </c>
      <c r="G1052" s="237">
        <f>INDEX(WEAP!$A:$AN,MATCH(B1048,WEAP!$A:$A,0),MATCH("Str V3",WEAP!$A$1:$BF$1,0))</f>
        <v>1185</v>
      </c>
      <c r="I1052" s="699"/>
      <c r="J1052" s="700"/>
      <c r="K1052" s="239"/>
      <c r="L1052" s="699"/>
      <c r="M1052" s="700"/>
    </row>
    <row r="1053" spans="1:13" ht="33.75" customHeight="1" x14ac:dyDescent="0.2">
      <c r="A1053" t="s">
        <v>10763</v>
      </c>
    </row>
    <row r="1054" spans="1:13" ht="22.5" x14ac:dyDescent="0.35">
      <c r="A1054" s="244" t="str">
        <f>TEXT(A1047+1,"000")</f>
        <v>151</v>
      </c>
      <c r="B1054" s="238" t="str">
        <f>"W-"&amp;A1054</f>
        <v>W-151</v>
      </c>
      <c r="C1054" s="239"/>
      <c r="D1054" s="692" t="str">
        <f>+INDEX(WEAP!$A:$AN,MATCH(B1055,WEAP!$A:$A,0),MATCH("Name",WEAP!$A$1:$BF$1,0))</f>
        <v>Chimeratech Rigel</v>
      </c>
      <c r="E1054" s="693"/>
      <c r="F1054" s="693"/>
      <c r="G1054" s="694"/>
      <c r="I1054" s="241" t="str">
        <f>+INDEX(WEAP!$A:$AN,MATCH(B1055,WEAP!$A:$A,0),MATCH("Weapon Skill",WEAP!$A$1:$BF$1,0))</f>
        <v>N/A</v>
      </c>
      <c r="J1054" s="243">
        <f>INDEX('W-S'!$A:$N,MATCH(I1054,'W-S'!$C:$C,0),MATCH("SP Cost",'W-S'!$1:$1,0))</f>
        <v>0</v>
      </c>
      <c r="K1054" s="9"/>
      <c r="L1054" s="241" t="str">
        <f>+I1054</f>
        <v>N/A</v>
      </c>
      <c r="M1054" s="243">
        <f>INDEX('W-S'!$A:$N,MATCH(L1054,'W-S'!$C:$C,0),MATCH("SP Cost V3",'W-S'!$1:$1,0))</f>
        <v>0</v>
      </c>
    </row>
    <row r="1055" spans="1:13" ht="22.5" x14ac:dyDescent="0.35">
      <c r="B1055" s="238" t="str">
        <f>+INDEX(WEAP!$A:$AN,MATCH(B1054,WEAP!$B:$B,0),MATCH("ID",WEAP!$A$1:$BF$1,0))</f>
        <v>304124_01</v>
      </c>
      <c r="C1055" s="240"/>
      <c r="D1055" s="692" t="str">
        <f>+INDEX(WEAP!$A:$AN,MATCH(B1054,WEAP!$B:$B,0),MATCH("Family",WEAP!$A$1:$BF$1,0))&amp;" Weapon"</f>
        <v>Chimera Weapon</v>
      </c>
      <c r="E1055" s="693"/>
      <c r="F1055" s="693"/>
      <c r="G1055" s="694"/>
      <c r="H1055" s="8"/>
      <c r="I1055" s="695" t="str">
        <f>INDEX('W-S'!$A:$O,MATCH(I1054,'W-S'!$C:$C,0),MATCH("Description",'W-S'!$1:$1,0))</f>
        <v>This weapon has no weapon skill.</v>
      </c>
      <c r="J1055" s="696"/>
      <c r="K1055" s="239"/>
      <c r="L1055" s="695" t="str">
        <f>INDEX('W-S'!$A:$O,MATCH(I1054,'W-S'!$C:$C,0),MATCH("Description V3",'W-S'!$1:$1,0))</f>
        <v>This weapon has no weapon skill.</v>
      </c>
      <c r="M1055" s="696"/>
    </row>
    <row r="1056" spans="1:13" ht="22.5" x14ac:dyDescent="0.2">
      <c r="B1056" s="701" t="e" vm="171">
        <f>+_xlfn.IMAGE("https://natalie.tf/wp-content/uploads/2023/10/DLV3_Icon_Weapon_"&amp;B1055&amp;".png")</f>
        <v>#VALUE!</v>
      </c>
      <c r="C1056" s="240"/>
      <c r="D1056" s="692" t="str">
        <f>INDEX(WEAP!$A:$AN,MATCH(B1055,WEAP!$A:$A,0),MATCH("Element",WEAP!$A$1:$BF$1,0))&amp;" "&amp;INDEX(WEAP!$A:$AN,MATCH(B1055,WEAP!$A:$A,0),MATCH("Type",WEAP!$A$1:$BF$1,0))</f>
        <v>Light Axe</v>
      </c>
      <c r="E1056" s="693"/>
      <c r="F1056" s="693"/>
      <c r="G1056" s="694"/>
      <c r="H1056" s="8"/>
      <c r="I1056" s="697"/>
      <c r="J1056" s="698"/>
      <c r="K1056" s="9"/>
      <c r="L1056" s="697"/>
      <c r="M1056" s="698"/>
    </row>
    <row r="1057" spans="1:13" ht="22.5" x14ac:dyDescent="0.35">
      <c r="B1057" s="702"/>
      <c r="C1057" s="239"/>
      <c r="D1057" s="703" t="s">
        <v>10760</v>
      </c>
      <c r="E1057" s="704"/>
      <c r="F1057" s="235" t="s">
        <v>10761</v>
      </c>
      <c r="G1057" s="235" t="s">
        <v>10762</v>
      </c>
      <c r="I1057" s="697"/>
      <c r="J1057" s="698"/>
      <c r="K1057" s="239"/>
      <c r="L1057" s="697"/>
      <c r="M1057" s="698"/>
    </row>
    <row r="1058" spans="1:13" ht="22.5" x14ac:dyDescent="0.35">
      <c r="B1058" s="702"/>
      <c r="C1058" s="239"/>
      <c r="D1058" s="705" t="s">
        <v>96</v>
      </c>
      <c r="E1058" s="706"/>
      <c r="F1058" s="236">
        <f>INDEX(WEAP!$A:$AN,MATCH(B1055,WEAP!$A:$A,0),MATCH("HP",WEAP!$A$1:$BF$1,0))</f>
        <v>278</v>
      </c>
      <c r="G1058" s="237">
        <f>INDEX(WEAP!$A:$AN,MATCH(B1055,WEAP!$A:$A,0),MATCH("HP V3",WEAP!$A$1:$BF$1,0))</f>
        <v>295</v>
      </c>
      <c r="I1058" s="697"/>
      <c r="J1058" s="698"/>
      <c r="K1058" s="239"/>
      <c r="L1058" s="697"/>
      <c r="M1058" s="698"/>
    </row>
    <row r="1059" spans="1:13" ht="22.5" x14ac:dyDescent="0.35">
      <c r="B1059" s="702"/>
      <c r="C1059" s="239"/>
      <c r="D1059" s="707" t="s">
        <v>97</v>
      </c>
      <c r="E1059" s="708"/>
      <c r="F1059" s="236">
        <f>INDEX(WEAP!$A:$AN,MATCH(B1055,WEAP!$A:$A,0),MATCH("Str",WEAP!$A$1:$BF$1,0))</f>
        <v>1021</v>
      </c>
      <c r="G1059" s="237">
        <f>INDEX(WEAP!$A:$AN,MATCH(B1055,WEAP!$A:$A,0),MATCH("Str V3",WEAP!$A$1:$BF$1,0))</f>
        <v>1270</v>
      </c>
      <c r="I1059" s="699"/>
      <c r="J1059" s="700"/>
      <c r="K1059" s="239"/>
      <c r="L1059" s="699"/>
      <c r="M1059" s="700"/>
    </row>
    <row r="1060" spans="1:13" s="245" customFormat="1" ht="7.5" customHeight="1" x14ac:dyDescent="0.2">
      <c r="A1060" s="245" t="s">
        <v>10763</v>
      </c>
    </row>
    <row r="1061" spans="1:13" ht="22.5" x14ac:dyDescent="0.35">
      <c r="A1061" s="242" t="str">
        <f>TEXT(A1054+1,"000")</f>
        <v>152</v>
      </c>
      <c r="B1061" s="238" t="str">
        <f>"W-"&amp;A1061</f>
        <v>W-152</v>
      </c>
      <c r="C1061" s="239"/>
      <c r="D1061" s="692" t="str">
        <f>+INDEX(WEAP!$A:$AN,MATCH(B1062,WEAP!$A:$A,0),MATCH("Name",WEAP!$A$1:$BF$1,0))</f>
        <v>Chimeratech Arcturus</v>
      </c>
      <c r="E1061" s="693"/>
      <c r="F1061" s="693"/>
      <c r="G1061" s="694"/>
      <c r="I1061" s="241" t="str">
        <f>+INDEX(WEAP!$A:$AN,MATCH(B1062,WEAP!$A:$A,0),MATCH("Weapon Skill",WEAP!$A$1:$BF$1,0))</f>
        <v>N/A</v>
      </c>
      <c r="J1061" s="243">
        <f>INDEX('W-S'!$A:$N,MATCH(I1061,'W-S'!$C:$C,0),MATCH("SP Cost",'W-S'!$1:$1,0))</f>
        <v>0</v>
      </c>
      <c r="K1061" s="9"/>
      <c r="L1061" s="241" t="str">
        <f>+I1061</f>
        <v>N/A</v>
      </c>
      <c r="M1061" s="243">
        <f>INDEX('W-S'!$A:$N,MATCH(L1061,'W-S'!$C:$C,0),MATCH("SP Cost V3",'W-S'!$1:$1,0))</f>
        <v>0</v>
      </c>
    </row>
    <row r="1062" spans="1:13" ht="22.5" x14ac:dyDescent="0.35">
      <c r="B1062" s="238" t="str">
        <f>+INDEX(WEAP!$A:$AN,MATCH(B1061,WEAP!$B:$B,0),MATCH("ID",WEAP!$A$1:$BF$1,0))</f>
        <v>305131_01</v>
      </c>
      <c r="C1062" s="240"/>
      <c r="D1062" s="692" t="str">
        <f>+INDEX(WEAP!$A:$AN,MATCH(B1061,WEAP!$B:$B,0),MATCH("Family",WEAP!$A$1:$BF$1,0))&amp;" Weapon"</f>
        <v>Chimera Weapon</v>
      </c>
      <c r="E1062" s="693"/>
      <c r="F1062" s="693"/>
      <c r="G1062" s="694"/>
      <c r="H1062" s="8"/>
      <c r="I1062" s="695" t="str">
        <f>INDEX('W-S'!$A:$O,MATCH(I1061,'W-S'!$C:$C,0),MATCH("Description",'W-S'!$1:$1,0))</f>
        <v>This weapon has no weapon skill.</v>
      </c>
      <c r="J1062" s="696"/>
      <c r="K1062" s="239"/>
      <c r="L1062" s="695" t="str">
        <f>INDEX('W-S'!$A:$O,MATCH(I1061,'W-S'!$C:$C,0),MATCH("Description V3",'W-S'!$1:$1,0))</f>
        <v>This weapon has no weapon skill.</v>
      </c>
      <c r="M1062" s="696"/>
    </row>
    <row r="1063" spans="1:13" ht="22.5" x14ac:dyDescent="0.2">
      <c r="B1063" s="701" t="e" vm="172">
        <f>+_xlfn.IMAGE("https://natalie.tf/wp-content/uploads/2023/10/DLV3_Icon_Weapon_"&amp;B1062&amp;".png")</f>
        <v>#VALUE!</v>
      </c>
      <c r="C1063" s="240"/>
      <c r="D1063" s="692" t="str">
        <f>INDEX(WEAP!$A:$AN,MATCH(B1062,WEAP!$A:$A,0),MATCH("Element",WEAP!$A$1:$BF$1,0))&amp;" "&amp;INDEX(WEAP!$A:$AN,MATCH(B1062,WEAP!$A:$A,0),MATCH("Type",WEAP!$A$1:$BF$1,0))</f>
        <v>Light Lance</v>
      </c>
      <c r="E1063" s="693"/>
      <c r="F1063" s="693"/>
      <c r="G1063" s="694"/>
      <c r="H1063" s="8"/>
      <c r="I1063" s="697"/>
      <c r="J1063" s="698"/>
      <c r="K1063" s="9"/>
      <c r="L1063" s="697"/>
      <c r="M1063" s="698"/>
    </row>
    <row r="1064" spans="1:13" ht="22.5" x14ac:dyDescent="0.35">
      <c r="B1064" s="702"/>
      <c r="C1064" s="239"/>
      <c r="D1064" s="703" t="s">
        <v>10760</v>
      </c>
      <c r="E1064" s="704"/>
      <c r="F1064" s="235" t="s">
        <v>10761</v>
      </c>
      <c r="G1064" s="235" t="s">
        <v>10762</v>
      </c>
      <c r="I1064" s="697"/>
      <c r="J1064" s="698"/>
      <c r="K1064" s="239"/>
      <c r="L1064" s="697"/>
      <c r="M1064" s="698"/>
    </row>
    <row r="1065" spans="1:13" ht="22.5" x14ac:dyDescent="0.35">
      <c r="B1065" s="702"/>
      <c r="C1065" s="239"/>
      <c r="D1065" s="705" t="s">
        <v>96</v>
      </c>
      <c r="E1065" s="706"/>
      <c r="F1065" s="236">
        <f>INDEX(WEAP!$A:$AN,MATCH(B1062,WEAP!$A:$A,0),MATCH("HP",WEAP!$A$1:$BF$1,0))</f>
        <v>275</v>
      </c>
      <c r="G1065" s="237">
        <f>INDEX(WEAP!$A:$AN,MATCH(B1062,WEAP!$A:$A,0),MATCH("HP V3",WEAP!$A$1:$BF$1,0))</f>
        <v>275</v>
      </c>
      <c r="I1065" s="697"/>
      <c r="J1065" s="698"/>
      <c r="K1065" s="239"/>
      <c r="L1065" s="697"/>
      <c r="M1065" s="698"/>
    </row>
    <row r="1066" spans="1:13" ht="22.5" x14ac:dyDescent="0.35">
      <c r="B1066" s="702"/>
      <c r="C1066" s="239"/>
      <c r="D1066" s="707" t="s">
        <v>97</v>
      </c>
      <c r="E1066" s="708"/>
      <c r="F1066" s="236">
        <f>INDEX(WEAP!$A:$AN,MATCH(B1062,WEAP!$A:$A,0),MATCH("Str",WEAP!$A$1:$BF$1,0))</f>
        <v>991</v>
      </c>
      <c r="G1066" s="237">
        <f>INDEX(WEAP!$A:$AN,MATCH(B1062,WEAP!$A:$A,0),MATCH("Str V3",WEAP!$A$1:$BF$1,0))</f>
        <v>1230</v>
      </c>
      <c r="I1066" s="699"/>
      <c r="J1066" s="700"/>
      <c r="K1066" s="239"/>
      <c r="L1066" s="699"/>
      <c r="M1066" s="700"/>
    </row>
    <row r="1067" spans="1:13" s="245" customFormat="1" ht="7.5" customHeight="1" x14ac:dyDescent="0.2">
      <c r="A1067" s="245" t="s">
        <v>10763</v>
      </c>
    </row>
    <row r="1068" spans="1:13" ht="22.5" x14ac:dyDescent="0.35">
      <c r="A1068" s="244" t="str">
        <f>TEXT(A1061+1,"000")</f>
        <v>153</v>
      </c>
      <c r="B1068" s="238" t="str">
        <f>"W-"&amp;A1068</f>
        <v>W-153</v>
      </c>
      <c r="C1068" s="239"/>
      <c r="D1068" s="692" t="str">
        <f>+INDEX(WEAP!$A:$AN,MATCH(B1069,WEAP!$A:$A,0),MATCH("Name",WEAP!$A$1:$BF$1,0))</f>
        <v>Chimeratech Vega</v>
      </c>
      <c r="E1068" s="693"/>
      <c r="F1068" s="693"/>
      <c r="G1068" s="694"/>
      <c r="I1068" s="241" t="str">
        <f>+INDEX(WEAP!$A:$AN,MATCH(B1069,WEAP!$A:$A,0),MATCH("Weapon Skill",WEAP!$A$1:$BF$1,0))</f>
        <v>N/A</v>
      </c>
      <c r="J1068" s="243">
        <f>INDEX('W-S'!$A:$N,MATCH(I1068,'W-S'!$C:$C,0),MATCH("SP Cost",'W-S'!$1:$1,0))</f>
        <v>0</v>
      </c>
      <c r="K1068" s="9"/>
      <c r="L1068" s="241" t="str">
        <f>+I1068</f>
        <v>N/A</v>
      </c>
      <c r="M1068" s="243">
        <f>INDEX('W-S'!$A:$N,MATCH(L1068,'W-S'!$C:$C,0),MATCH("SP Cost V3",'W-S'!$1:$1,0))</f>
        <v>0</v>
      </c>
    </row>
    <row r="1069" spans="1:13" ht="22.5" x14ac:dyDescent="0.35">
      <c r="B1069" s="238" t="str">
        <f>+INDEX(WEAP!$A:$AN,MATCH(B1068,WEAP!$B:$B,0),MATCH("ID",WEAP!$A$1:$BF$1,0))</f>
        <v>306124_01</v>
      </c>
      <c r="C1069" s="240"/>
      <c r="D1069" s="692" t="str">
        <f>+INDEX(WEAP!$A:$AN,MATCH(B1068,WEAP!$B:$B,0),MATCH("Family",WEAP!$A$1:$BF$1,0))&amp;" Weapon"</f>
        <v>Chimera Weapon</v>
      </c>
      <c r="E1069" s="693"/>
      <c r="F1069" s="693"/>
      <c r="G1069" s="694"/>
      <c r="H1069" s="8"/>
      <c r="I1069" s="695" t="str">
        <f>INDEX('W-S'!$A:$O,MATCH(I1068,'W-S'!$C:$C,0),MATCH("Description",'W-S'!$1:$1,0))</f>
        <v>This weapon has no weapon skill.</v>
      </c>
      <c r="J1069" s="696"/>
      <c r="K1069" s="239"/>
      <c r="L1069" s="695" t="str">
        <f>INDEX('W-S'!$A:$O,MATCH(I1068,'W-S'!$C:$C,0),MATCH("Description V3",'W-S'!$1:$1,0))</f>
        <v>This weapon has no weapon skill.</v>
      </c>
      <c r="M1069" s="696"/>
    </row>
    <row r="1070" spans="1:13" ht="22.5" x14ac:dyDescent="0.2">
      <c r="B1070" s="701" t="e" vm="173">
        <f>+_xlfn.IMAGE("https://natalie.tf/wp-content/uploads/2023/10/DLV3_Icon_Weapon_"&amp;B1069&amp;".png")</f>
        <v>#VALUE!</v>
      </c>
      <c r="C1070" s="240"/>
      <c r="D1070" s="692" t="str">
        <f>INDEX(WEAP!$A:$AN,MATCH(B1069,WEAP!$A:$A,0),MATCH("Element",WEAP!$A$1:$BF$1,0))&amp;" "&amp;INDEX(WEAP!$A:$AN,MATCH(B1069,WEAP!$A:$A,0),MATCH("Type",WEAP!$A$1:$BF$1,0))</f>
        <v>Light Bow</v>
      </c>
      <c r="E1070" s="693"/>
      <c r="F1070" s="693"/>
      <c r="G1070" s="694"/>
      <c r="H1070" s="8"/>
      <c r="I1070" s="697"/>
      <c r="J1070" s="698"/>
      <c r="K1070" s="9"/>
      <c r="L1070" s="697"/>
      <c r="M1070" s="698"/>
    </row>
    <row r="1071" spans="1:13" ht="22.5" x14ac:dyDescent="0.35">
      <c r="B1071" s="702"/>
      <c r="C1071" s="239"/>
      <c r="D1071" s="703" t="s">
        <v>10760</v>
      </c>
      <c r="E1071" s="704"/>
      <c r="F1071" s="235" t="s">
        <v>10761</v>
      </c>
      <c r="G1071" s="235" t="s">
        <v>10762</v>
      </c>
      <c r="I1071" s="697"/>
      <c r="J1071" s="698"/>
      <c r="K1071" s="239"/>
      <c r="L1071" s="697"/>
      <c r="M1071" s="698"/>
    </row>
    <row r="1072" spans="1:13" ht="22.5" x14ac:dyDescent="0.35">
      <c r="B1072" s="702"/>
      <c r="C1072" s="239"/>
      <c r="D1072" s="705" t="s">
        <v>96</v>
      </c>
      <c r="E1072" s="706"/>
      <c r="F1072" s="236">
        <f>INDEX(WEAP!$A:$AN,MATCH(B1069,WEAP!$A:$A,0),MATCH("HP",WEAP!$A$1:$BF$1,0))</f>
        <v>265</v>
      </c>
      <c r="G1072" s="237">
        <f>INDEX(WEAP!$A:$AN,MATCH(B1069,WEAP!$A:$A,0),MATCH("HP V3",WEAP!$A$1:$BF$1,0))</f>
        <v>280</v>
      </c>
      <c r="I1072" s="697"/>
      <c r="J1072" s="698"/>
      <c r="K1072" s="239"/>
      <c r="L1072" s="697"/>
      <c r="M1072" s="698"/>
    </row>
    <row r="1073" spans="1:13" ht="22.5" x14ac:dyDescent="0.35">
      <c r="B1073" s="702"/>
      <c r="C1073" s="239"/>
      <c r="D1073" s="707" t="s">
        <v>97</v>
      </c>
      <c r="E1073" s="708"/>
      <c r="F1073" s="236">
        <f>INDEX(WEAP!$A:$AN,MATCH(B1069,WEAP!$A:$A,0),MATCH("Str",WEAP!$A$1:$BF$1,0))</f>
        <v>933</v>
      </c>
      <c r="G1073" s="237">
        <f>INDEX(WEAP!$A:$AN,MATCH(B1069,WEAP!$A:$A,0),MATCH("Str V3",WEAP!$A$1:$BF$1,0))</f>
        <v>1160</v>
      </c>
      <c r="I1073" s="699"/>
      <c r="J1073" s="700"/>
      <c r="K1073" s="239"/>
      <c r="L1073" s="699"/>
      <c r="M1073" s="700"/>
    </row>
    <row r="1074" spans="1:13" s="245" customFormat="1" ht="7.5" customHeight="1" x14ac:dyDescent="0.2">
      <c r="A1074" s="245" t="s">
        <v>10763</v>
      </c>
    </row>
    <row r="1075" spans="1:13" ht="22.5" x14ac:dyDescent="0.35">
      <c r="A1075" s="244" t="str">
        <f>TEXT(A1068+1,"000")</f>
        <v>154</v>
      </c>
      <c r="B1075" s="238" t="str">
        <f>"W-"&amp;A1075</f>
        <v>W-154</v>
      </c>
      <c r="C1075" s="239"/>
      <c r="D1075" s="692" t="str">
        <f>+INDEX(WEAP!$A:$AN,MATCH(B1076,WEAP!$A:$A,0),MATCH("Name",WEAP!$A$1:$BF$1,0))</f>
        <v>Chimeratech Betelgeuse</v>
      </c>
      <c r="E1075" s="693"/>
      <c r="F1075" s="693"/>
      <c r="G1075" s="694"/>
      <c r="I1075" s="241" t="str">
        <f>+INDEX(WEAP!$A:$AN,MATCH(B1076,WEAP!$A:$A,0),MATCH("Weapon Skill",WEAP!$A$1:$BF$1,0))</f>
        <v>N/A</v>
      </c>
      <c r="J1075" s="243">
        <f>INDEX('W-S'!$A:$N,MATCH(I1075,'W-S'!$C:$C,0),MATCH("SP Cost",'W-S'!$1:$1,0))</f>
        <v>0</v>
      </c>
      <c r="K1075" s="9"/>
      <c r="L1075" s="241" t="str">
        <f>+I1075</f>
        <v>N/A</v>
      </c>
      <c r="M1075" s="243">
        <f>INDEX('W-S'!$A:$N,MATCH(L1075,'W-S'!$C:$C,0),MATCH("SP Cost V3",'W-S'!$1:$1,0))</f>
        <v>0</v>
      </c>
    </row>
    <row r="1076" spans="1:13" ht="22.5" x14ac:dyDescent="0.35">
      <c r="B1076" s="238" t="str">
        <f>+INDEX(WEAP!$A:$AN,MATCH(B1075,WEAP!$B:$B,0),MATCH("ID",WEAP!$A$1:$BF$1,0))</f>
        <v>307132_01</v>
      </c>
      <c r="C1076" s="240"/>
      <c r="D1076" s="692" t="str">
        <f>+INDEX(WEAP!$A:$AN,MATCH(B1075,WEAP!$B:$B,0),MATCH("Family",WEAP!$A$1:$BF$1,0))&amp;" Weapon"</f>
        <v>Chimera Weapon</v>
      </c>
      <c r="E1076" s="693"/>
      <c r="F1076" s="693"/>
      <c r="G1076" s="694"/>
      <c r="H1076" s="8"/>
      <c r="I1076" s="695" t="str">
        <f>INDEX('W-S'!$A:$O,MATCH(I1075,'W-S'!$C:$C,0),MATCH("Description",'W-S'!$1:$1,0))</f>
        <v>This weapon has no weapon skill.</v>
      </c>
      <c r="J1076" s="696"/>
      <c r="K1076" s="239"/>
      <c r="L1076" s="695" t="str">
        <f>INDEX('W-S'!$A:$O,MATCH(I1075,'W-S'!$C:$C,0),MATCH("Description V3",'W-S'!$1:$1,0))</f>
        <v>This weapon has no weapon skill.</v>
      </c>
      <c r="M1076" s="696"/>
    </row>
    <row r="1077" spans="1:13" ht="22.5" x14ac:dyDescent="0.2">
      <c r="B1077" s="701" t="e" vm="174">
        <f>+_xlfn.IMAGE("https://natalie.tf/wp-content/uploads/2023/10/DLV3_Icon_Weapon_"&amp;B1076&amp;".png")</f>
        <v>#VALUE!</v>
      </c>
      <c r="C1077" s="240"/>
      <c r="D1077" s="692" t="str">
        <f>INDEX(WEAP!$A:$AN,MATCH(B1076,WEAP!$A:$A,0),MATCH("Element",WEAP!$A$1:$BF$1,0))&amp;" "&amp;INDEX(WEAP!$A:$AN,MATCH(B1076,WEAP!$A:$A,0),MATCH("Type",WEAP!$A$1:$BF$1,0))</f>
        <v>Light Wand</v>
      </c>
      <c r="E1077" s="693"/>
      <c r="F1077" s="693"/>
      <c r="G1077" s="694"/>
      <c r="H1077" s="8"/>
      <c r="I1077" s="697"/>
      <c r="J1077" s="698"/>
      <c r="K1077" s="9"/>
      <c r="L1077" s="697"/>
      <c r="M1077" s="698"/>
    </row>
    <row r="1078" spans="1:13" ht="22.5" x14ac:dyDescent="0.35">
      <c r="B1078" s="702"/>
      <c r="C1078" s="239"/>
      <c r="D1078" s="703" t="s">
        <v>10760</v>
      </c>
      <c r="E1078" s="704"/>
      <c r="F1078" s="235" t="s">
        <v>10761</v>
      </c>
      <c r="G1078" s="235" t="s">
        <v>10762</v>
      </c>
      <c r="I1078" s="697"/>
      <c r="J1078" s="698"/>
      <c r="K1078" s="239"/>
      <c r="L1078" s="697"/>
      <c r="M1078" s="698"/>
    </row>
    <row r="1079" spans="1:13" ht="22.5" x14ac:dyDescent="0.35">
      <c r="B1079" s="702"/>
      <c r="C1079" s="239"/>
      <c r="D1079" s="705" t="s">
        <v>96</v>
      </c>
      <c r="E1079" s="706"/>
      <c r="F1079" s="236">
        <f>INDEX(WEAP!$A:$AN,MATCH(B1076,WEAP!$A:$A,0),MATCH("HP",WEAP!$A$1:$BF$1,0))</f>
        <v>254</v>
      </c>
      <c r="G1079" s="237">
        <f>INDEX(WEAP!$A:$AN,MATCH(B1076,WEAP!$A:$A,0),MATCH("HP V3",WEAP!$A$1:$BF$1,0))</f>
        <v>275</v>
      </c>
      <c r="I1079" s="697"/>
      <c r="J1079" s="698"/>
      <c r="K1079" s="239"/>
      <c r="L1079" s="697"/>
      <c r="M1079" s="698"/>
    </row>
    <row r="1080" spans="1:13" ht="22.5" x14ac:dyDescent="0.35">
      <c r="B1080" s="702"/>
      <c r="C1080" s="239"/>
      <c r="D1080" s="707" t="s">
        <v>97</v>
      </c>
      <c r="E1080" s="708"/>
      <c r="F1080" s="236">
        <f>INDEX(WEAP!$A:$AN,MATCH(B1076,WEAP!$A:$A,0),MATCH("Str",WEAP!$A$1:$BF$1,0))</f>
        <v>1001</v>
      </c>
      <c r="G1080" s="237">
        <f>INDEX(WEAP!$A:$AN,MATCH(B1076,WEAP!$A:$A,0),MATCH("Str V3",WEAP!$A$1:$BF$1,0))</f>
        <v>1245</v>
      </c>
      <c r="I1080" s="699"/>
      <c r="J1080" s="700"/>
      <c r="K1080" s="239"/>
      <c r="L1080" s="699"/>
      <c r="M1080" s="700"/>
    </row>
    <row r="1081" spans="1:13" s="245" customFormat="1" ht="7.5" customHeight="1" x14ac:dyDescent="0.2">
      <c r="A1081" s="245" t="s">
        <v>10763</v>
      </c>
    </row>
    <row r="1082" spans="1:13" ht="22.5" x14ac:dyDescent="0.35">
      <c r="A1082" s="244" t="str">
        <f>TEXT(A1075+1,"000")</f>
        <v>155</v>
      </c>
      <c r="B1082" s="238" t="str">
        <f>"W-"&amp;A1082</f>
        <v>W-155</v>
      </c>
      <c r="C1082" s="239"/>
      <c r="D1082" s="692" t="str">
        <f>+INDEX(WEAP!$A:$AN,MATCH(B1083,WEAP!$A:$A,0),MATCH("Name",WEAP!$A$1:$BF$1,0))</f>
        <v>Chimeratech Procyon</v>
      </c>
      <c r="E1082" s="693"/>
      <c r="F1082" s="693"/>
      <c r="G1082" s="694"/>
      <c r="I1082" s="241" t="str">
        <f>+INDEX(WEAP!$A:$AN,MATCH(B1083,WEAP!$A:$A,0),MATCH("Weapon Skill",WEAP!$A$1:$BF$1,0))</f>
        <v>N/A</v>
      </c>
      <c r="J1082" s="243">
        <f>INDEX('W-S'!$A:$N,MATCH(I1082,'W-S'!$C:$C,0),MATCH("SP Cost",'W-S'!$1:$1,0))</f>
        <v>0</v>
      </c>
      <c r="K1082" s="9"/>
      <c r="L1082" s="241" t="str">
        <f>+I1082</f>
        <v>N/A</v>
      </c>
      <c r="M1082" s="243">
        <f>INDEX('W-S'!$A:$N,MATCH(L1082,'W-S'!$C:$C,0),MATCH("SP Cost V3",'W-S'!$1:$1,0))</f>
        <v>0</v>
      </c>
    </row>
    <row r="1083" spans="1:13" ht="22.5" x14ac:dyDescent="0.35">
      <c r="B1083" s="238" t="str">
        <f>+INDEX(WEAP!$A:$AN,MATCH(B1082,WEAP!$B:$B,0),MATCH("ID",WEAP!$A$1:$BF$1,0))</f>
        <v>308125_01</v>
      </c>
      <c r="C1083" s="240"/>
      <c r="D1083" s="692" t="str">
        <f>+INDEX(WEAP!$A:$AN,MATCH(B1082,WEAP!$B:$B,0),MATCH("Family",WEAP!$A$1:$BF$1,0))&amp;" Weapon"</f>
        <v>Chimera Weapon</v>
      </c>
      <c r="E1083" s="693"/>
      <c r="F1083" s="693"/>
      <c r="G1083" s="694"/>
      <c r="H1083" s="8"/>
      <c r="I1083" s="695" t="str">
        <f>INDEX('W-S'!$A:$O,MATCH(I1082,'W-S'!$C:$C,0),MATCH("Description",'W-S'!$1:$1,0))</f>
        <v>This weapon has no weapon skill.</v>
      </c>
      <c r="J1083" s="696"/>
      <c r="K1083" s="239"/>
      <c r="L1083" s="695" t="str">
        <f>INDEX('W-S'!$A:$O,MATCH(I1082,'W-S'!$C:$C,0),MATCH("Description V3",'W-S'!$1:$1,0))</f>
        <v>This weapon has no weapon skill.</v>
      </c>
      <c r="M1083" s="696"/>
    </row>
    <row r="1084" spans="1:13" ht="22.5" x14ac:dyDescent="0.2">
      <c r="B1084" s="701" t="e" vm="175">
        <f>+_xlfn.IMAGE("https://natalie.tf/wp-content/uploads/2023/10/DLV3_Icon_Weapon_"&amp;B1083&amp;".png")</f>
        <v>#VALUE!</v>
      </c>
      <c r="C1084" s="240"/>
      <c r="D1084" s="692" t="str">
        <f>INDEX(WEAP!$A:$AN,MATCH(B1083,WEAP!$A:$A,0),MATCH("Element",WEAP!$A$1:$BF$1,0))&amp;" "&amp;INDEX(WEAP!$A:$AN,MATCH(B1083,WEAP!$A:$A,0),MATCH("Type",WEAP!$A$1:$BF$1,0))</f>
        <v>Light Staff</v>
      </c>
      <c r="E1084" s="693"/>
      <c r="F1084" s="693"/>
      <c r="G1084" s="694"/>
      <c r="H1084" s="8"/>
      <c r="I1084" s="697"/>
      <c r="J1084" s="698"/>
      <c r="K1084" s="9"/>
      <c r="L1084" s="697"/>
      <c r="M1084" s="698"/>
    </row>
    <row r="1085" spans="1:13" ht="22.5" x14ac:dyDescent="0.35">
      <c r="B1085" s="702"/>
      <c r="C1085" s="239"/>
      <c r="D1085" s="703" t="s">
        <v>10760</v>
      </c>
      <c r="E1085" s="704"/>
      <c r="F1085" s="235" t="s">
        <v>10761</v>
      </c>
      <c r="G1085" s="235" t="s">
        <v>10762</v>
      </c>
      <c r="I1085" s="697"/>
      <c r="J1085" s="698"/>
      <c r="K1085" s="239"/>
      <c r="L1085" s="697"/>
      <c r="M1085" s="698"/>
    </row>
    <row r="1086" spans="1:13" ht="22.5" x14ac:dyDescent="0.35">
      <c r="B1086" s="702"/>
      <c r="C1086" s="239"/>
      <c r="D1086" s="705" t="s">
        <v>96</v>
      </c>
      <c r="E1086" s="706"/>
      <c r="F1086" s="236">
        <f>INDEX(WEAP!$A:$AN,MATCH(B1083,WEAP!$A:$A,0),MATCH("HP",WEAP!$A$1:$BF$1,0))</f>
        <v>297</v>
      </c>
      <c r="G1086" s="237">
        <f>INDEX(WEAP!$A:$AN,MATCH(B1083,WEAP!$A:$A,0),MATCH("HP V3",WEAP!$A$1:$BF$1,0))</f>
        <v>325</v>
      </c>
      <c r="I1086" s="697"/>
      <c r="J1086" s="698"/>
      <c r="K1086" s="239"/>
      <c r="L1086" s="697"/>
      <c r="M1086" s="698"/>
    </row>
    <row r="1087" spans="1:13" ht="22.5" x14ac:dyDescent="0.35">
      <c r="B1087" s="702"/>
      <c r="C1087" s="239"/>
      <c r="D1087" s="707" t="s">
        <v>97</v>
      </c>
      <c r="E1087" s="708"/>
      <c r="F1087" s="236">
        <f>INDEX(WEAP!$A:$AN,MATCH(B1083,WEAP!$A:$A,0),MATCH("Str",WEAP!$A$1:$BF$1,0))</f>
        <v>923</v>
      </c>
      <c r="G1087" s="237">
        <f>INDEX(WEAP!$A:$AN,MATCH(B1083,WEAP!$A:$A,0),MATCH("Str V3",WEAP!$A$1:$BF$1,0))</f>
        <v>1110</v>
      </c>
      <c r="I1087" s="699"/>
      <c r="J1087" s="700"/>
      <c r="K1087" s="239"/>
      <c r="L1087" s="699"/>
      <c r="M1087" s="700"/>
    </row>
    <row r="1088" spans="1:13" ht="33.75" customHeight="1" x14ac:dyDescent="0.2">
      <c r="A1088" t="s">
        <v>10763</v>
      </c>
    </row>
    <row r="1089" spans="1:13" ht="22.5" x14ac:dyDescent="0.35">
      <c r="A1089" s="244" t="str">
        <f>TEXT(A1082+1,"000")</f>
        <v>156</v>
      </c>
      <c r="B1089" s="238" t="str">
        <f>"W-"&amp;A1089</f>
        <v>W-156</v>
      </c>
      <c r="C1089" s="239"/>
      <c r="D1089" s="692" t="str">
        <f>+INDEX(WEAP!$A:$AN,MATCH(B1090,WEAP!$A:$A,0),MATCH("Name",WEAP!$A$1:$BF$1,0))</f>
        <v>Chimeratech Al Nasr</v>
      </c>
      <c r="E1089" s="693"/>
      <c r="F1089" s="693"/>
      <c r="G1089" s="694"/>
      <c r="I1089" s="241" t="str">
        <f>+INDEX(WEAP!$A:$AN,MATCH(B1090,WEAP!$A:$A,0),MATCH("Weapon Skill",WEAP!$A$1:$BF$1,0))</f>
        <v>N/A</v>
      </c>
      <c r="J1089" s="243">
        <f>INDEX('W-S'!$A:$N,MATCH(I1089,'W-S'!$C:$C,0),MATCH("SP Cost",'W-S'!$1:$1,0))</f>
        <v>0</v>
      </c>
      <c r="K1089" s="9"/>
      <c r="L1089" s="241" t="str">
        <f>+I1089</f>
        <v>N/A</v>
      </c>
      <c r="M1089" s="243">
        <f>INDEX('W-S'!$A:$N,MATCH(L1089,'W-S'!$C:$C,0),MATCH("SP Cost V3",'W-S'!$1:$1,0))</f>
        <v>0</v>
      </c>
    </row>
    <row r="1090" spans="1:13" ht="22.5" x14ac:dyDescent="0.35">
      <c r="B1090" s="238" t="str">
        <f>+INDEX(WEAP!$A:$AN,MATCH(B1089,WEAP!$B:$B,0),MATCH("ID",WEAP!$A$1:$BF$1,0))</f>
        <v>309019_01</v>
      </c>
      <c r="C1090" s="240"/>
      <c r="D1090" s="692" t="str">
        <f>+INDEX(WEAP!$A:$AN,MATCH(B1089,WEAP!$B:$B,0),MATCH("Family",WEAP!$A$1:$BF$1,0))&amp;" Weapon"</f>
        <v>Chimera Weapon</v>
      </c>
      <c r="E1090" s="693"/>
      <c r="F1090" s="693"/>
      <c r="G1090" s="694"/>
      <c r="H1090" s="8"/>
      <c r="I1090" s="695" t="str">
        <f>INDEX('W-S'!$A:$O,MATCH(I1089,'W-S'!$C:$C,0),MATCH("Description",'W-S'!$1:$1,0))</f>
        <v>This weapon has no weapon skill.</v>
      </c>
      <c r="J1090" s="696"/>
      <c r="K1090" s="239"/>
      <c r="L1090" s="695" t="str">
        <f>INDEX('W-S'!$A:$O,MATCH(I1089,'W-S'!$C:$C,0),MATCH("Description V3",'W-S'!$1:$1,0))</f>
        <v>This weapon has no weapon skill.</v>
      </c>
      <c r="M1090" s="696"/>
    </row>
    <row r="1091" spans="1:13" ht="22.5" x14ac:dyDescent="0.2">
      <c r="B1091" s="701" t="e" vm="176">
        <f>+_xlfn.IMAGE("https://natalie.tf/wp-content/uploads/2023/10/DLV3_Icon_Weapon_"&amp;B1090&amp;".png")</f>
        <v>#VALUE!</v>
      </c>
      <c r="C1091" s="240"/>
      <c r="D1091" s="692" t="str">
        <f>INDEX(WEAP!$A:$AN,MATCH(B1090,WEAP!$A:$A,0),MATCH("Element",WEAP!$A$1:$BF$1,0))&amp;" "&amp;INDEX(WEAP!$A:$AN,MATCH(B1090,WEAP!$A:$A,0),MATCH("Type",WEAP!$A$1:$BF$1,0))</f>
        <v>Light Manacaster</v>
      </c>
      <c r="E1091" s="693"/>
      <c r="F1091" s="693"/>
      <c r="G1091" s="694"/>
      <c r="H1091" s="8"/>
      <c r="I1091" s="697"/>
      <c r="J1091" s="698"/>
      <c r="K1091" s="9"/>
      <c r="L1091" s="697"/>
      <c r="M1091" s="698"/>
    </row>
    <row r="1092" spans="1:13" ht="22.5" x14ac:dyDescent="0.35">
      <c r="B1092" s="702"/>
      <c r="C1092" s="239"/>
      <c r="D1092" s="703" t="s">
        <v>10760</v>
      </c>
      <c r="E1092" s="704"/>
      <c r="F1092" s="235" t="s">
        <v>10761</v>
      </c>
      <c r="G1092" s="235" t="s">
        <v>10762</v>
      </c>
      <c r="I1092" s="697"/>
      <c r="J1092" s="698"/>
      <c r="K1092" s="239"/>
      <c r="L1092" s="697"/>
      <c r="M1092" s="698"/>
    </row>
    <row r="1093" spans="1:13" ht="22.5" x14ac:dyDescent="0.35">
      <c r="B1093" s="702"/>
      <c r="C1093" s="239"/>
      <c r="D1093" s="705" t="s">
        <v>96</v>
      </c>
      <c r="E1093" s="706"/>
      <c r="F1093" s="236">
        <f>INDEX(WEAP!$A:$AN,MATCH(B1090,WEAP!$A:$A,0),MATCH("HP",WEAP!$A$1:$BF$1,0))</f>
        <v>248</v>
      </c>
      <c r="G1093" s="237">
        <f>INDEX(WEAP!$A:$AN,MATCH(B1090,WEAP!$A:$A,0),MATCH("HP V3",WEAP!$A$1:$BF$1,0))</f>
        <v>270</v>
      </c>
      <c r="I1093" s="697"/>
      <c r="J1093" s="698"/>
      <c r="K1093" s="239"/>
      <c r="L1093" s="697"/>
      <c r="M1093" s="698"/>
    </row>
    <row r="1094" spans="1:13" ht="22.5" x14ac:dyDescent="0.35">
      <c r="B1094" s="702"/>
      <c r="C1094" s="239"/>
      <c r="D1094" s="707" t="s">
        <v>97</v>
      </c>
      <c r="E1094" s="708"/>
      <c r="F1094" s="236">
        <f>INDEX(WEAP!$A:$AN,MATCH(B1090,WEAP!$A:$A,0),MATCH("Str",WEAP!$A$1:$BF$1,0))</f>
        <v>1011</v>
      </c>
      <c r="G1094" s="237">
        <f>INDEX(WEAP!$A:$AN,MATCH(B1090,WEAP!$A:$A,0),MATCH("Str V3",WEAP!$A$1:$BF$1,0))</f>
        <v>1255</v>
      </c>
      <c r="I1094" s="699"/>
      <c r="J1094" s="700"/>
      <c r="K1094" s="239"/>
      <c r="L1094" s="699"/>
      <c r="M1094" s="700"/>
    </row>
    <row r="1095" spans="1:13" s="245" customFormat="1" ht="7.5" customHeight="1" x14ac:dyDescent="0.2">
      <c r="A1095" s="245" t="s">
        <v>10763</v>
      </c>
    </row>
    <row r="1096" spans="1:13" ht="22.5" x14ac:dyDescent="0.35">
      <c r="A1096" s="242" t="str">
        <f>TEXT(A1089+1,"000")</f>
        <v>157</v>
      </c>
      <c r="B1096" s="238" t="str">
        <f>"W-"&amp;A1096</f>
        <v>W-157</v>
      </c>
      <c r="C1096" s="239"/>
      <c r="D1096" s="692" t="str">
        <f>+INDEX(WEAP!$A:$AN,MATCH(B1097,WEAP!$A:$A,0),MATCH("Name",WEAP!$A$1:$BF$1,0))</f>
        <v>Chimeratech Nocturne</v>
      </c>
      <c r="E1096" s="693"/>
      <c r="F1096" s="693"/>
      <c r="G1096" s="694"/>
      <c r="I1096" s="241" t="str">
        <f>+INDEX(WEAP!$A:$AN,MATCH(B1097,WEAP!$A:$A,0),MATCH("Weapon Skill",WEAP!$A$1:$BF$1,0))</f>
        <v>N/A</v>
      </c>
      <c r="J1096" s="243">
        <f>INDEX('W-S'!$A:$N,MATCH(I1096,'W-S'!$C:$C,0),MATCH("SP Cost",'W-S'!$1:$1,0))</f>
        <v>0</v>
      </c>
      <c r="K1096" s="9"/>
      <c r="L1096" s="241" t="str">
        <f>+I1096</f>
        <v>N/A</v>
      </c>
      <c r="M1096" s="243">
        <f>INDEX('W-S'!$A:$N,MATCH(L1096,'W-S'!$C:$C,0),MATCH("SP Cost V3",'W-S'!$1:$1,0))</f>
        <v>0</v>
      </c>
    </row>
    <row r="1097" spans="1:13" ht="22.5" x14ac:dyDescent="0.35">
      <c r="B1097" s="238" t="str">
        <f>+INDEX(WEAP!$A:$AN,MATCH(B1096,WEAP!$B:$B,0),MATCH("ID",WEAP!$A$1:$BF$1,0))</f>
        <v>301136_01</v>
      </c>
      <c r="C1097" s="240"/>
      <c r="D1097" s="692" t="str">
        <f>+INDEX(WEAP!$A:$AN,MATCH(B1096,WEAP!$B:$B,0),MATCH("Family",WEAP!$A$1:$BF$1,0))&amp;" Weapon"</f>
        <v>Chimera Weapon</v>
      </c>
      <c r="E1097" s="693"/>
      <c r="F1097" s="693"/>
      <c r="G1097" s="694"/>
      <c r="H1097" s="8"/>
      <c r="I1097" s="695" t="str">
        <f>INDEX('W-S'!$A:$O,MATCH(I1096,'W-S'!$C:$C,0),MATCH("Description",'W-S'!$1:$1,0))</f>
        <v>This weapon has no weapon skill.</v>
      </c>
      <c r="J1097" s="696"/>
      <c r="K1097" s="239"/>
      <c r="L1097" s="695" t="str">
        <f>INDEX('W-S'!$A:$O,MATCH(I1096,'W-S'!$C:$C,0),MATCH("Description V3",'W-S'!$1:$1,0))</f>
        <v>This weapon has no weapon skill.</v>
      </c>
      <c r="M1097" s="696"/>
    </row>
    <row r="1098" spans="1:13" ht="22.5" x14ac:dyDescent="0.2">
      <c r="B1098" s="701" t="e" vm="177">
        <f>+_xlfn.IMAGE("https://natalie.tf/wp-content/uploads/2023/10/DLV3_Icon_Weapon_"&amp;B1097&amp;".png")</f>
        <v>#VALUE!</v>
      </c>
      <c r="C1098" s="240"/>
      <c r="D1098" s="692" t="str">
        <f>INDEX(WEAP!$A:$AN,MATCH(B1097,WEAP!$A:$A,0),MATCH("Element",WEAP!$A$1:$BF$1,0))&amp;" "&amp;INDEX(WEAP!$A:$AN,MATCH(B1097,WEAP!$A:$A,0),MATCH("Type",WEAP!$A$1:$BF$1,0))</f>
        <v>Shadow Sword</v>
      </c>
      <c r="E1098" s="693"/>
      <c r="F1098" s="693"/>
      <c r="G1098" s="694"/>
      <c r="H1098" s="8"/>
      <c r="I1098" s="697"/>
      <c r="J1098" s="698"/>
      <c r="K1098" s="9"/>
      <c r="L1098" s="697"/>
      <c r="M1098" s="698"/>
    </row>
    <row r="1099" spans="1:13" ht="22.5" x14ac:dyDescent="0.35">
      <c r="B1099" s="702"/>
      <c r="C1099" s="239"/>
      <c r="D1099" s="703" t="s">
        <v>10760</v>
      </c>
      <c r="E1099" s="704"/>
      <c r="F1099" s="235" t="s">
        <v>10761</v>
      </c>
      <c r="G1099" s="235" t="s">
        <v>10762</v>
      </c>
      <c r="I1099" s="697"/>
      <c r="J1099" s="698"/>
      <c r="K1099" s="239"/>
      <c r="L1099" s="697"/>
      <c r="M1099" s="698"/>
    </row>
    <row r="1100" spans="1:13" ht="22.5" x14ac:dyDescent="0.35">
      <c r="B1100" s="702"/>
      <c r="C1100" s="239"/>
      <c r="D1100" s="705" t="s">
        <v>96</v>
      </c>
      <c r="E1100" s="706"/>
      <c r="F1100" s="236">
        <f>INDEX(WEAP!$A:$AN,MATCH(B1097,WEAP!$A:$A,0),MATCH("HP",WEAP!$A$1:$BF$1,0))</f>
        <v>270</v>
      </c>
      <c r="G1100" s="237">
        <f>INDEX(WEAP!$A:$AN,MATCH(B1097,WEAP!$A:$A,0),MATCH("HP V3",WEAP!$A$1:$BF$1,0))</f>
        <v>270</v>
      </c>
      <c r="I1100" s="697"/>
      <c r="J1100" s="698"/>
      <c r="K1100" s="239"/>
      <c r="L1100" s="697"/>
      <c r="M1100" s="698"/>
    </row>
    <row r="1101" spans="1:13" ht="22.5" x14ac:dyDescent="0.35">
      <c r="B1101" s="702"/>
      <c r="C1101" s="239"/>
      <c r="D1101" s="707" t="s">
        <v>97</v>
      </c>
      <c r="E1101" s="708"/>
      <c r="F1101" s="236">
        <f>INDEX(WEAP!$A:$AN,MATCH(B1097,WEAP!$A:$A,0),MATCH("Str",WEAP!$A$1:$BF$1,0))</f>
        <v>972</v>
      </c>
      <c r="G1101" s="237">
        <f>INDEX(WEAP!$A:$AN,MATCH(B1097,WEAP!$A:$A,0),MATCH("Str V3",WEAP!$A$1:$BF$1,0))</f>
        <v>1210</v>
      </c>
      <c r="I1101" s="699"/>
      <c r="J1101" s="700"/>
      <c r="K1101" s="239"/>
      <c r="L1101" s="699"/>
      <c r="M1101" s="700"/>
    </row>
    <row r="1102" spans="1:13" s="245" customFormat="1" ht="7.5" customHeight="1" x14ac:dyDescent="0.2">
      <c r="A1102" s="245" t="s">
        <v>10763</v>
      </c>
    </row>
    <row r="1103" spans="1:13" ht="22.5" x14ac:dyDescent="0.35">
      <c r="A1103" s="244" t="str">
        <f>TEXT(A1096+1,"000")</f>
        <v>158</v>
      </c>
      <c r="B1103" s="238" t="str">
        <f>"W-"&amp;A1103</f>
        <v>W-158</v>
      </c>
      <c r="C1103" s="239"/>
      <c r="D1103" s="692" t="str">
        <f>+INDEX(WEAP!$A:$AN,MATCH(B1104,WEAP!$A:$A,0),MATCH("Name",WEAP!$A$1:$BF$1,0))</f>
        <v>Chimeratech Requiem</v>
      </c>
      <c r="E1103" s="693"/>
      <c r="F1103" s="693"/>
      <c r="G1103" s="694"/>
      <c r="I1103" s="241" t="str">
        <f>+INDEX(WEAP!$A:$AN,MATCH(B1104,WEAP!$A:$A,0),MATCH("Weapon Skill",WEAP!$A$1:$BF$1,0))</f>
        <v>N/A</v>
      </c>
      <c r="J1103" s="243">
        <f>INDEX('W-S'!$A:$N,MATCH(I1103,'W-S'!$C:$C,0),MATCH("SP Cost",'W-S'!$1:$1,0))</f>
        <v>0</v>
      </c>
      <c r="K1103" s="9"/>
      <c r="L1103" s="241" t="str">
        <f>+I1103</f>
        <v>N/A</v>
      </c>
      <c r="M1103" s="243">
        <f>INDEX('W-S'!$A:$N,MATCH(L1103,'W-S'!$C:$C,0),MATCH("SP Cost V3",'W-S'!$1:$1,0))</f>
        <v>0</v>
      </c>
    </row>
    <row r="1104" spans="1:13" ht="22.5" x14ac:dyDescent="0.35">
      <c r="B1104" s="238" t="str">
        <f>+INDEX(WEAP!$A:$AN,MATCH(B1103,WEAP!$B:$B,0),MATCH("ID",WEAP!$A$1:$BF$1,0))</f>
        <v>302127_01</v>
      </c>
      <c r="C1104" s="240"/>
      <c r="D1104" s="692" t="str">
        <f>+INDEX(WEAP!$A:$AN,MATCH(B1103,WEAP!$B:$B,0),MATCH("Family",WEAP!$A$1:$BF$1,0))&amp;" Weapon"</f>
        <v>Chimera Weapon</v>
      </c>
      <c r="E1104" s="693"/>
      <c r="F1104" s="693"/>
      <c r="G1104" s="694"/>
      <c r="H1104" s="8"/>
      <c r="I1104" s="695" t="str">
        <f>INDEX('W-S'!$A:$O,MATCH(I1103,'W-S'!$C:$C,0),MATCH("Description",'W-S'!$1:$1,0))</f>
        <v>This weapon has no weapon skill.</v>
      </c>
      <c r="J1104" s="696"/>
      <c r="K1104" s="239"/>
      <c r="L1104" s="695" t="str">
        <f>INDEX('W-S'!$A:$O,MATCH(I1103,'W-S'!$C:$C,0),MATCH("Description V3",'W-S'!$1:$1,0))</f>
        <v>This weapon has no weapon skill.</v>
      </c>
      <c r="M1104" s="696"/>
    </row>
    <row r="1105" spans="1:13" ht="22.5" x14ac:dyDescent="0.2">
      <c r="B1105" s="701" t="e" vm="178">
        <f>+_xlfn.IMAGE("https://natalie.tf/wp-content/uploads/2023/10/DLV3_Icon_Weapon_"&amp;B1104&amp;".png")</f>
        <v>#VALUE!</v>
      </c>
      <c r="C1105" s="240"/>
      <c r="D1105" s="692" t="str">
        <f>INDEX(WEAP!$A:$AN,MATCH(B1104,WEAP!$A:$A,0),MATCH("Element",WEAP!$A$1:$BF$1,0))&amp;" "&amp;INDEX(WEAP!$A:$AN,MATCH(B1104,WEAP!$A:$A,0),MATCH("Type",WEAP!$A$1:$BF$1,0))</f>
        <v>Shadow Blade</v>
      </c>
      <c r="E1105" s="693"/>
      <c r="F1105" s="693"/>
      <c r="G1105" s="694"/>
      <c r="H1105" s="8"/>
      <c r="I1105" s="697"/>
      <c r="J1105" s="698"/>
      <c r="K1105" s="9"/>
      <c r="L1105" s="697"/>
      <c r="M1105" s="698"/>
    </row>
    <row r="1106" spans="1:13" ht="22.5" x14ac:dyDescent="0.35">
      <c r="B1106" s="702"/>
      <c r="C1106" s="239"/>
      <c r="D1106" s="703" t="s">
        <v>10760</v>
      </c>
      <c r="E1106" s="704"/>
      <c r="F1106" s="235" t="s">
        <v>10761</v>
      </c>
      <c r="G1106" s="235" t="s">
        <v>10762</v>
      </c>
      <c r="I1106" s="697"/>
      <c r="J1106" s="698"/>
      <c r="K1106" s="239"/>
      <c r="L1106" s="697"/>
      <c r="M1106" s="698"/>
    </row>
    <row r="1107" spans="1:13" ht="22.5" x14ac:dyDescent="0.35">
      <c r="B1107" s="702"/>
      <c r="C1107" s="239"/>
      <c r="D1107" s="705" t="s">
        <v>96</v>
      </c>
      <c r="E1107" s="706"/>
      <c r="F1107" s="236">
        <f>INDEX(WEAP!$A:$AN,MATCH(B1104,WEAP!$A:$A,0),MATCH("HP",WEAP!$A$1:$BF$1,0))</f>
        <v>238</v>
      </c>
      <c r="G1107" s="237">
        <f>INDEX(WEAP!$A:$AN,MATCH(B1104,WEAP!$A:$A,0),MATCH("HP V3",WEAP!$A$1:$BF$1,0))</f>
        <v>250</v>
      </c>
      <c r="I1107" s="697"/>
      <c r="J1107" s="698"/>
      <c r="K1107" s="239"/>
      <c r="L1107" s="697"/>
      <c r="M1107" s="698"/>
    </row>
    <row r="1108" spans="1:13" ht="22.5" x14ac:dyDescent="0.35">
      <c r="B1108" s="702"/>
      <c r="C1108" s="239"/>
      <c r="D1108" s="707" t="s">
        <v>97</v>
      </c>
      <c r="E1108" s="708"/>
      <c r="F1108" s="236">
        <f>INDEX(WEAP!$A:$AN,MATCH(B1104,WEAP!$A:$A,0),MATCH("Str",WEAP!$A$1:$BF$1,0))</f>
        <v>1030</v>
      </c>
      <c r="G1108" s="237">
        <f>INDEX(WEAP!$A:$AN,MATCH(B1104,WEAP!$A:$A,0),MATCH("Str V3",WEAP!$A$1:$BF$1,0))</f>
        <v>1280</v>
      </c>
      <c r="I1108" s="699"/>
      <c r="J1108" s="700"/>
      <c r="K1108" s="239"/>
      <c r="L1108" s="699"/>
      <c r="M1108" s="700"/>
    </row>
    <row r="1109" spans="1:13" s="245" customFormat="1" ht="7.5" customHeight="1" x14ac:dyDescent="0.2">
      <c r="A1109" s="245" t="s">
        <v>10763</v>
      </c>
    </row>
    <row r="1110" spans="1:13" ht="22.5" x14ac:dyDescent="0.35">
      <c r="A1110" s="244" t="str">
        <f>TEXT(A1103+1,"000")</f>
        <v>159</v>
      </c>
      <c r="B1110" s="238" t="str">
        <f>"W-"&amp;A1110</f>
        <v>W-159</v>
      </c>
      <c r="C1110" s="239"/>
      <c r="D1110" s="692" t="str">
        <f>+INDEX(WEAP!$A:$AN,MATCH(B1111,WEAP!$A:$A,0),MATCH("Name",WEAP!$A$1:$BF$1,0))</f>
        <v>Chimeratech Rhapsody</v>
      </c>
      <c r="E1110" s="693"/>
      <c r="F1110" s="693"/>
      <c r="G1110" s="694"/>
      <c r="I1110" s="241" t="str">
        <f>+INDEX(WEAP!$A:$AN,MATCH(B1111,WEAP!$A:$A,0),MATCH("Weapon Skill",WEAP!$A$1:$BF$1,0))</f>
        <v>N/A</v>
      </c>
      <c r="J1110" s="243">
        <f>INDEX('W-S'!$A:$N,MATCH(I1110,'W-S'!$C:$C,0),MATCH("SP Cost",'W-S'!$1:$1,0))</f>
        <v>0</v>
      </c>
      <c r="K1110" s="9"/>
      <c r="L1110" s="241" t="str">
        <f>+I1110</f>
        <v>N/A</v>
      </c>
      <c r="M1110" s="243">
        <f>INDEX('W-S'!$A:$N,MATCH(L1110,'W-S'!$C:$C,0),MATCH("SP Cost V3",'W-S'!$1:$1,0))</f>
        <v>0</v>
      </c>
    </row>
    <row r="1111" spans="1:13" ht="22.5" x14ac:dyDescent="0.35">
      <c r="B1111" s="238" t="str">
        <f>+INDEX(WEAP!$A:$AN,MATCH(B1110,WEAP!$B:$B,0),MATCH("ID",WEAP!$A$1:$BF$1,0))</f>
        <v>303126_01</v>
      </c>
      <c r="C1111" s="240"/>
      <c r="D1111" s="692" t="str">
        <f>+INDEX(WEAP!$A:$AN,MATCH(B1110,WEAP!$B:$B,0),MATCH("Family",WEAP!$A$1:$BF$1,0))&amp;" Weapon"</f>
        <v>Chimera Weapon</v>
      </c>
      <c r="E1111" s="693"/>
      <c r="F1111" s="693"/>
      <c r="G1111" s="694"/>
      <c r="H1111" s="8"/>
      <c r="I1111" s="695" t="str">
        <f>INDEX('W-S'!$A:$O,MATCH(I1110,'W-S'!$C:$C,0),MATCH("Description",'W-S'!$1:$1,0))</f>
        <v>This weapon has no weapon skill.</v>
      </c>
      <c r="J1111" s="696"/>
      <c r="K1111" s="239"/>
      <c r="L1111" s="695" t="str">
        <f>INDEX('W-S'!$A:$O,MATCH(I1110,'W-S'!$C:$C,0),MATCH("Description V3",'W-S'!$1:$1,0))</f>
        <v>This weapon has no weapon skill.</v>
      </c>
      <c r="M1111" s="696"/>
    </row>
    <row r="1112" spans="1:13" ht="22.5" x14ac:dyDescent="0.2">
      <c r="B1112" s="701" t="e" vm="179">
        <f>+_xlfn.IMAGE("https://natalie.tf/wp-content/uploads/2023/10/DLV3_Icon_Weapon_"&amp;B1111&amp;".png")</f>
        <v>#VALUE!</v>
      </c>
      <c r="C1112" s="240"/>
      <c r="D1112" s="692" t="str">
        <f>INDEX(WEAP!$A:$AN,MATCH(B1111,WEAP!$A:$A,0),MATCH("Element",WEAP!$A$1:$BF$1,0))&amp;" "&amp;INDEX(WEAP!$A:$AN,MATCH(B1111,WEAP!$A:$A,0),MATCH("Type",WEAP!$A$1:$BF$1,0))</f>
        <v>Shadow Dagger</v>
      </c>
      <c r="E1112" s="693"/>
      <c r="F1112" s="693"/>
      <c r="G1112" s="694"/>
      <c r="H1112" s="8"/>
      <c r="I1112" s="697"/>
      <c r="J1112" s="698"/>
      <c r="K1112" s="9"/>
      <c r="L1112" s="697"/>
      <c r="M1112" s="698"/>
    </row>
    <row r="1113" spans="1:13" ht="22.5" x14ac:dyDescent="0.35">
      <c r="B1113" s="702"/>
      <c r="C1113" s="239"/>
      <c r="D1113" s="703" t="s">
        <v>10760</v>
      </c>
      <c r="E1113" s="704"/>
      <c r="F1113" s="235" t="s">
        <v>10761</v>
      </c>
      <c r="G1113" s="235" t="s">
        <v>10762</v>
      </c>
      <c r="I1113" s="697"/>
      <c r="J1113" s="698"/>
      <c r="K1113" s="239"/>
      <c r="L1113" s="697"/>
      <c r="M1113" s="698"/>
    </row>
    <row r="1114" spans="1:13" ht="22.5" x14ac:dyDescent="0.35">
      <c r="B1114" s="702"/>
      <c r="C1114" s="239"/>
      <c r="D1114" s="705" t="s">
        <v>96</v>
      </c>
      <c r="E1114" s="706"/>
      <c r="F1114" s="236">
        <f>INDEX(WEAP!$A:$AN,MATCH(B1111,WEAP!$A:$A,0),MATCH("HP",WEAP!$A$1:$BF$1,0))</f>
        <v>273</v>
      </c>
      <c r="G1114" s="237">
        <f>INDEX(WEAP!$A:$AN,MATCH(B1111,WEAP!$A:$A,0),MATCH("HP V3",WEAP!$A$1:$BF$1,0))</f>
        <v>275</v>
      </c>
      <c r="I1114" s="697"/>
      <c r="J1114" s="698"/>
      <c r="K1114" s="239"/>
      <c r="L1114" s="697"/>
      <c r="M1114" s="698"/>
    </row>
    <row r="1115" spans="1:13" ht="22.5" x14ac:dyDescent="0.35">
      <c r="B1115" s="702"/>
      <c r="C1115" s="239"/>
      <c r="D1115" s="707" t="s">
        <v>97</v>
      </c>
      <c r="E1115" s="708"/>
      <c r="F1115" s="236">
        <f>INDEX(WEAP!$A:$AN,MATCH(B1111,WEAP!$A:$A,0),MATCH("Str",WEAP!$A$1:$BF$1,0))</f>
        <v>953</v>
      </c>
      <c r="G1115" s="237">
        <f>INDEX(WEAP!$A:$AN,MATCH(B1111,WEAP!$A:$A,0),MATCH("Str V3",WEAP!$A$1:$BF$1,0))</f>
        <v>1185</v>
      </c>
      <c r="I1115" s="699"/>
      <c r="J1115" s="700"/>
      <c r="K1115" s="239"/>
      <c r="L1115" s="699"/>
      <c r="M1115" s="700"/>
    </row>
    <row r="1116" spans="1:13" s="245" customFormat="1" ht="7.5" customHeight="1" x14ac:dyDescent="0.2">
      <c r="A1116" s="245" t="s">
        <v>10763</v>
      </c>
    </row>
    <row r="1117" spans="1:13" ht="22.5" x14ac:dyDescent="0.35">
      <c r="A1117" s="244" t="str">
        <f>TEXT(A1110+1,"000")</f>
        <v>160</v>
      </c>
      <c r="B1117" s="238" t="str">
        <f>"W-"&amp;A1117</f>
        <v>W-160</v>
      </c>
      <c r="C1117" s="239"/>
      <c r="D1117" s="692" t="str">
        <f>+INDEX(WEAP!$A:$AN,MATCH(B1118,WEAP!$A:$A,0),MATCH("Name",WEAP!$A$1:$BF$1,0))</f>
        <v>Chimeratech Fugue</v>
      </c>
      <c r="E1117" s="693"/>
      <c r="F1117" s="693"/>
      <c r="G1117" s="694"/>
      <c r="I1117" s="241" t="str">
        <f>+INDEX(WEAP!$A:$AN,MATCH(B1118,WEAP!$A:$A,0),MATCH("Weapon Skill",WEAP!$A$1:$BF$1,0))</f>
        <v>N/A</v>
      </c>
      <c r="J1117" s="243">
        <f>INDEX('W-S'!$A:$N,MATCH(I1117,'W-S'!$C:$C,0),MATCH("SP Cost",'W-S'!$1:$1,0))</f>
        <v>0</v>
      </c>
      <c r="K1117" s="9"/>
      <c r="L1117" s="241" t="str">
        <f>+I1117</f>
        <v>N/A</v>
      </c>
      <c r="M1117" s="243">
        <f>INDEX('W-S'!$A:$N,MATCH(L1117,'W-S'!$C:$C,0),MATCH("SP Cost V3",'W-S'!$1:$1,0))</f>
        <v>0</v>
      </c>
    </row>
    <row r="1118" spans="1:13" ht="22.5" x14ac:dyDescent="0.35">
      <c r="B1118" s="238" t="str">
        <f>+INDEX(WEAP!$A:$AN,MATCH(B1117,WEAP!$B:$B,0),MATCH("ID",WEAP!$A$1:$BF$1,0))</f>
        <v>304125_01</v>
      </c>
      <c r="C1118" s="240"/>
      <c r="D1118" s="692" t="str">
        <f>+INDEX(WEAP!$A:$AN,MATCH(B1117,WEAP!$B:$B,0),MATCH("Family",WEAP!$A$1:$BF$1,0))&amp;" Weapon"</f>
        <v>Chimera Weapon</v>
      </c>
      <c r="E1118" s="693"/>
      <c r="F1118" s="693"/>
      <c r="G1118" s="694"/>
      <c r="H1118" s="8"/>
      <c r="I1118" s="695" t="str">
        <f>INDEX('W-S'!$A:$O,MATCH(I1117,'W-S'!$C:$C,0),MATCH("Description",'W-S'!$1:$1,0))</f>
        <v>This weapon has no weapon skill.</v>
      </c>
      <c r="J1118" s="696"/>
      <c r="K1118" s="239"/>
      <c r="L1118" s="695" t="str">
        <f>INDEX('W-S'!$A:$O,MATCH(I1117,'W-S'!$C:$C,0),MATCH("Description V3",'W-S'!$1:$1,0))</f>
        <v>This weapon has no weapon skill.</v>
      </c>
      <c r="M1118" s="696"/>
    </row>
    <row r="1119" spans="1:13" ht="22.5" x14ac:dyDescent="0.2">
      <c r="B1119" s="701" t="e" vm="180">
        <f>+_xlfn.IMAGE("https://natalie.tf/wp-content/uploads/2023/10/DLV3_Icon_Weapon_"&amp;B1118&amp;".png")</f>
        <v>#VALUE!</v>
      </c>
      <c r="C1119" s="240"/>
      <c r="D1119" s="692" t="str">
        <f>INDEX(WEAP!$A:$AN,MATCH(B1118,WEAP!$A:$A,0),MATCH("Element",WEAP!$A$1:$BF$1,0))&amp;" "&amp;INDEX(WEAP!$A:$AN,MATCH(B1118,WEAP!$A:$A,0),MATCH("Type",WEAP!$A$1:$BF$1,0))</f>
        <v>Shadow Axe</v>
      </c>
      <c r="E1119" s="693"/>
      <c r="F1119" s="693"/>
      <c r="G1119" s="694"/>
      <c r="H1119" s="8"/>
      <c r="I1119" s="697"/>
      <c r="J1119" s="698"/>
      <c r="K1119" s="9"/>
      <c r="L1119" s="697"/>
      <c r="M1119" s="698"/>
    </row>
    <row r="1120" spans="1:13" ht="22.5" x14ac:dyDescent="0.35">
      <c r="B1120" s="702"/>
      <c r="C1120" s="239"/>
      <c r="D1120" s="703" t="s">
        <v>10760</v>
      </c>
      <c r="E1120" s="704"/>
      <c r="F1120" s="235" t="s">
        <v>10761</v>
      </c>
      <c r="G1120" s="235" t="s">
        <v>10762</v>
      </c>
      <c r="I1120" s="697"/>
      <c r="J1120" s="698"/>
      <c r="K1120" s="239"/>
      <c r="L1120" s="697"/>
      <c r="M1120" s="698"/>
    </row>
    <row r="1121" spans="1:13" ht="22.5" x14ac:dyDescent="0.35">
      <c r="B1121" s="702"/>
      <c r="C1121" s="239"/>
      <c r="D1121" s="705" t="s">
        <v>96</v>
      </c>
      <c r="E1121" s="706"/>
      <c r="F1121" s="236">
        <f>INDEX(WEAP!$A:$AN,MATCH(B1118,WEAP!$A:$A,0),MATCH("HP",WEAP!$A$1:$BF$1,0))</f>
        <v>278</v>
      </c>
      <c r="G1121" s="237">
        <f>INDEX(WEAP!$A:$AN,MATCH(B1118,WEAP!$A:$A,0),MATCH("HP V3",WEAP!$A$1:$BF$1,0))</f>
        <v>295</v>
      </c>
      <c r="I1121" s="697"/>
      <c r="J1121" s="698"/>
      <c r="K1121" s="239"/>
      <c r="L1121" s="697"/>
      <c r="M1121" s="698"/>
    </row>
    <row r="1122" spans="1:13" ht="22.5" x14ac:dyDescent="0.35">
      <c r="B1122" s="702"/>
      <c r="C1122" s="239"/>
      <c r="D1122" s="707" t="s">
        <v>97</v>
      </c>
      <c r="E1122" s="708"/>
      <c r="F1122" s="236">
        <f>INDEX(WEAP!$A:$AN,MATCH(B1118,WEAP!$A:$A,0),MATCH("Str",WEAP!$A$1:$BF$1,0))</f>
        <v>1021</v>
      </c>
      <c r="G1122" s="237">
        <f>INDEX(WEAP!$A:$AN,MATCH(B1118,WEAP!$A:$A,0),MATCH("Str V3",WEAP!$A$1:$BF$1,0))</f>
        <v>1270</v>
      </c>
      <c r="I1122" s="699"/>
      <c r="J1122" s="700"/>
      <c r="K1122" s="239"/>
      <c r="L1122" s="699"/>
      <c r="M1122" s="700"/>
    </row>
    <row r="1123" spans="1:13" ht="33.75" customHeight="1" x14ac:dyDescent="0.2">
      <c r="A1123" t="s">
        <v>10763</v>
      </c>
    </row>
    <row r="1124" spans="1:13" ht="22.5" x14ac:dyDescent="0.35">
      <c r="A1124" s="244" t="str">
        <f>TEXT(A1117+1,"000")</f>
        <v>161</v>
      </c>
      <c r="B1124" s="238" t="str">
        <f>"W-"&amp;A1124</f>
        <v>W-161</v>
      </c>
      <c r="C1124" s="239"/>
      <c r="D1124" s="692" t="str">
        <f>+INDEX(WEAP!$A:$AN,MATCH(B1125,WEAP!$A:$A,0),MATCH("Name",WEAP!$A$1:$BF$1,0))</f>
        <v>Chimeratech Elegy</v>
      </c>
      <c r="E1124" s="693"/>
      <c r="F1124" s="693"/>
      <c r="G1124" s="694"/>
      <c r="I1124" s="241" t="str">
        <f>+INDEX(WEAP!$A:$AN,MATCH(B1125,WEAP!$A:$A,0),MATCH("Weapon Skill",WEAP!$A$1:$BF$1,0))</f>
        <v>N/A</v>
      </c>
      <c r="J1124" s="243">
        <f>INDEX('W-S'!$A:$N,MATCH(I1124,'W-S'!$C:$C,0),MATCH("SP Cost",'W-S'!$1:$1,0))</f>
        <v>0</v>
      </c>
      <c r="K1124" s="9"/>
      <c r="L1124" s="241" t="str">
        <f>+I1124</f>
        <v>N/A</v>
      </c>
      <c r="M1124" s="243">
        <f>INDEX('W-S'!$A:$N,MATCH(L1124,'W-S'!$C:$C,0),MATCH("SP Cost V3",'W-S'!$1:$1,0))</f>
        <v>0</v>
      </c>
    </row>
    <row r="1125" spans="1:13" ht="22.5" x14ac:dyDescent="0.35">
      <c r="B1125" s="238" t="str">
        <f>+INDEX(WEAP!$A:$AN,MATCH(B1124,WEAP!$B:$B,0),MATCH("ID",WEAP!$A$1:$BF$1,0))</f>
        <v>305132_01</v>
      </c>
      <c r="C1125" s="240"/>
      <c r="D1125" s="692" t="str">
        <f>+INDEX(WEAP!$A:$AN,MATCH(B1124,WEAP!$B:$B,0),MATCH("Family",WEAP!$A$1:$BF$1,0))&amp;" Weapon"</f>
        <v>Chimera Weapon</v>
      </c>
      <c r="E1125" s="693"/>
      <c r="F1125" s="693"/>
      <c r="G1125" s="694"/>
      <c r="H1125" s="8"/>
      <c r="I1125" s="695" t="str">
        <f>INDEX('W-S'!$A:$O,MATCH(I1124,'W-S'!$C:$C,0),MATCH("Description",'W-S'!$1:$1,0))</f>
        <v>This weapon has no weapon skill.</v>
      </c>
      <c r="J1125" s="696"/>
      <c r="K1125" s="239"/>
      <c r="L1125" s="695" t="str">
        <f>INDEX('W-S'!$A:$O,MATCH(I1124,'W-S'!$C:$C,0),MATCH("Description V3",'W-S'!$1:$1,0))</f>
        <v>This weapon has no weapon skill.</v>
      </c>
      <c r="M1125" s="696"/>
    </row>
    <row r="1126" spans="1:13" ht="22.5" x14ac:dyDescent="0.2">
      <c r="B1126" s="701" t="e" vm="181">
        <f>+_xlfn.IMAGE("https://natalie.tf/wp-content/uploads/2023/10/DLV3_Icon_Weapon_"&amp;B1125&amp;".png")</f>
        <v>#VALUE!</v>
      </c>
      <c r="C1126" s="240"/>
      <c r="D1126" s="692" t="str">
        <f>INDEX(WEAP!$A:$AN,MATCH(B1125,WEAP!$A:$A,0),MATCH("Element",WEAP!$A$1:$BF$1,0))&amp;" "&amp;INDEX(WEAP!$A:$AN,MATCH(B1125,WEAP!$A:$A,0),MATCH("Type",WEAP!$A$1:$BF$1,0))</f>
        <v>Shadow Lance</v>
      </c>
      <c r="E1126" s="693"/>
      <c r="F1126" s="693"/>
      <c r="G1126" s="694"/>
      <c r="H1126" s="8"/>
      <c r="I1126" s="697"/>
      <c r="J1126" s="698"/>
      <c r="K1126" s="9"/>
      <c r="L1126" s="697"/>
      <c r="M1126" s="698"/>
    </row>
    <row r="1127" spans="1:13" ht="22.5" x14ac:dyDescent="0.35">
      <c r="B1127" s="702"/>
      <c r="C1127" s="239"/>
      <c r="D1127" s="703" t="s">
        <v>10760</v>
      </c>
      <c r="E1127" s="704"/>
      <c r="F1127" s="235" t="s">
        <v>10761</v>
      </c>
      <c r="G1127" s="235" t="s">
        <v>10762</v>
      </c>
      <c r="I1127" s="697"/>
      <c r="J1127" s="698"/>
      <c r="K1127" s="239"/>
      <c r="L1127" s="697"/>
      <c r="M1127" s="698"/>
    </row>
    <row r="1128" spans="1:13" ht="22.5" x14ac:dyDescent="0.35">
      <c r="B1128" s="702"/>
      <c r="C1128" s="239"/>
      <c r="D1128" s="705" t="s">
        <v>96</v>
      </c>
      <c r="E1128" s="706"/>
      <c r="F1128" s="236">
        <f>INDEX(WEAP!$A:$AN,MATCH(B1125,WEAP!$A:$A,0),MATCH("HP",WEAP!$A$1:$BF$1,0))</f>
        <v>275</v>
      </c>
      <c r="G1128" s="237">
        <f>INDEX(WEAP!$A:$AN,MATCH(B1125,WEAP!$A:$A,0),MATCH("HP V3",WEAP!$A$1:$BF$1,0))</f>
        <v>275</v>
      </c>
      <c r="I1128" s="697"/>
      <c r="J1128" s="698"/>
      <c r="K1128" s="239"/>
      <c r="L1128" s="697"/>
      <c r="M1128" s="698"/>
    </row>
    <row r="1129" spans="1:13" ht="22.5" x14ac:dyDescent="0.35">
      <c r="B1129" s="702"/>
      <c r="C1129" s="239"/>
      <c r="D1129" s="707" t="s">
        <v>97</v>
      </c>
      <c r="E1129" s="708"/>
      <c r="F1129" s="236">
        <f>INDEX(WEAP!$A:$AN,MATCH(B1125,WEAP!$A:$A,0),MATCH("Str",WEAP!$A$1:$BF$1,0))</f>
        <v>991</v>
      </c>
      <c r="G1129" s="237">
        <f>INDEX(WEAP!$A:$AN,MATCH(B1125,WEAP!$A:$A,0),MATCH("Str V3",WEAP!$A$1:$BF$1,0))</f>
        <v>1230</v>
      </c>
      <c r="I1129" s="699"/>
      <c r="J1129" s="700"/>
      <c r="K1129" s="239"/>
      <c r="L1129" s="699"/>
      <c r="M1129" s="700"/>
    </row>
    <row r="1130" spans="1:13" s="245" customFormat="1" ht="7.5" customHeight="1" x14ac:dyDescent="0.2">
      <c r="A1130" s="245" t="s">
        <v>10763</v>
      </c>
    </row>
    <row r="1131" spans="1:13" ht="22.5" x14ac:dyDescent="0.35">
      <c r="A1131" s="242" t="str">
        <f>TEXT(A1124+1,"000")</f>
        <v>162</v>
      </c>
      <c r="B1131" s="238" t="str">
        <f>"W-"&amp;A1131</f>
        <v>W-162</v>
      </c>
      <c r="C1131" s="239"/>
      <c r="D1131" s="692" t="str">
        <f>+INDEX(WEAP!$A:$AN,MATCH(B1132,WEAP!$A:$A,0),MATCH("Name",WEAP!$A$1:$BF$1,0))</f>
        <v>Chimeratech Concerto</v>
      </c>
      <c r="E1131" s="693"/>
      <c r="F1131" s="693"/>
      <c r="G1131" s="694"/>
      <c r="I1131" s="241" t="str">
        <f>+INDEX(WEAP!$A:$AN,MATCH(B1132,WEAP!$A:$A,0),MATCH("Weapon Skill",WEAP!$A$1:$BF$1,0))</f>
        <v>N/A</v>
      </c>
      <c r="J1131" s="243">
        <f>INDEX('W-S'!$A:$N,MATCH(I1131,'W-S'!$C:$C,0),MATCH("SP Cost",'W-S'!$1:$1,0))</f>
        <v>0</v>
      </c>
      <c r="K1131" s="9"/>
      <c r="L1131" s="241" t="str">
        <f>+I1131</f>
        <v>N/A</v>
      </c>
      <c r="M1131" s="243">
        <f>INDEX('W-S'!$A:$N,MATCH(L1131,'W-S'!$C:$C,0),MATCH("SP Cost V3",'W-S'!$1:$1,0))</f>
        <v>0</v>
      </c>
    </row>
    <row r="1132" spans="1:13" ht="22.5" x14ac:dyDescent="0.35">
      <c r="B1132" s="238" t="str">
        <f>+INDEX(WEAP!$A:$AN,MATCH(B1131,WEAP!$B:$B,0),MATCH("ID",WEAP!$A$1:$BF$1,0))</f>
        <v>306125_01</v>
      </c>
      <c r="C1132" s="240"/>
      <c r="D1132" s="692" t="str">
        <f>+INDEX(WEAP!$A:$AN,MATCH(B1131,WEAP!$B:$B,0),MATCH("Family",WEAP!$A$1:$BF$1,0))&amp;" Weapon"</f>
        <v>Chimera Weapon</v>
      </c>
      <c r="E1132" s="693"/>
      <c r="F1132" s="693"/>
      <c r="G1132" s="694"/>
      <c r="H1132" s="8"/>
      <c r="I1132" s="695" t="str">
        <f>INDEX('W-S'!$A:$O,MATCH(I1131,'W-S'!$C:$C,0),MATCH("Description",'W-S'!$1:$1,0))</f>
        <v>This weapon has no weapon skill.</v>
      </c>
      <c r="J1132" s="696"/>
      <c r="K1132" s="239"/>
      <c r="L1132" s="695" t="str">
        <f>INDEX('W-S'!$A:$O,MATCH(I1131,'W-S'!$C:$C,0),MATCH("Description V3",'W-S'!$1:$1,0))</f>
        <v>This weapon has no weapon skill.</v>
      </c>
      <c r="M1132" s="696"/>
    </row>
    <row r="1133" spans="1:13" ht="22.5" x14ac:dyDescent="0.2">
      <c r="B1133" s="701" t="e" vm="182">
        <f>+_xlfn.IMAGE("https://natalie.tf/wp-content/uploads/2023/10/DLV3_Icon_Weapon_"&amp;B1132&amp;".png")</f>
        <v>#VALUE!</v>
      </c>
      <c r="C1133" s="240"/>
      <c r="D1133" s="692" t="str">
        <f>INDEX(WEAP!$A:$AN,MATCH(B1132,WEAP!$A:$A,0),MATCH("Element",WEAP!$A$1:$BF$1,0))&amp;" "&amp;INDEX(WEAP!$A:$AN,MATCH(B1132,WEAP!$A:$A,0),MATCH("Type",WEAP!$A$1:$BF$1,0))</f>
        <v>Shadow Bow</v>
      </c>
      <c r="E1133" s="693"/>
      <c r="F1133" s="693"/>
      <c r="G1133" s="694"/>
      <c r="H1133" s="8"/>
      <c r="I1133" s="697"/>
      <c r="J1133" s="698"/>
      <c r="K1133" s="9"/>
      <c r="L1133" s="697"/>
      <c r="M1133" s="698"/>
    </row>
    <row r="1134" spans="1:13" ht="22.5" x14ac:dyDescent="0.35">
      <c r="B1134" s="702"/>
      <c r="C1134" s="239"/>
      <c r="D1134" s="703" t="s">
        <v>10760</v>
      </c>
      <c r="E1134" s="704"/>
      <c r="F1134" s="235" t="s">
        <v>10761</v>
      </c>
      <c r="G1134" s="235" t="s">
        <v>10762</v>
      </c>
      <c r="I1134" s="697"/>
      <c r="J1134" s="698"/>
      <c r="K1134" s="239"/>
      <c r="L1134" s="697"/>
      <c r="M1134" s="698"/>
    </row>
    <row r="1135" spans="1:13" ht="22.5" x14ac:dyDescent="0.35">
      <c r="B1135" s="702"/>
      <c r="C1135" s="239"/>
      <c r="D1135" s="705" t="s">
        <v>96</v>
      </c>
      <c r="E1135" s="706"/>
      <c r="F1135" s="236">
        <f>INDEX(WEAP!$A:$AN,MATCH(B1132,WEAP!$A:$A,0),MATCH("HP",WEAP!$A$1:$BF$1,0))</f>
        <v>265</v>
      </c>
      <c r="G1135" s="237">
        <f>INDEX(WEAP!$A:$AN,MATCH(B1132,WEAP!$A:$A,0),MATCH("HP V3",WEAP!$A$1:$BF$1,0))</f>
        <v>280</v>
      </c>
      <c r="I1135" s="697"/>
      <c r="J1135" s="698"/>
      <c r="K1135" s="239"/>
      <c r="L1135" s="697"/>
      <c r="M1135" s="698"/>
    </row>
    <row r="1136" spans="1:13" ht="22.5" x14ac:dyDescent="0.35">
      <c r="B1136" s="702"/>
      <c r="C1136" s="239"/>
      <c r="D1136" s="707" t="s">
        <v>97</v>
      </c>
      <c r="E1136" s="708"/>
      <c r="F1136" s="236">
        <f>INDEX(WEAP!$A:$AN,MATCH(B1132,WEAP!$A:$A,0),MATCH("Str",WEAP!$A$1:$BF$1,0))</f>
        <v>933</v>
      </c>
      <c r="G1136" s="237">
        <f>INDEX(WEAP!$A:$AN,MATCH(B1132,WEAP!$A:$A,0),MATCH("Str V3",WEAP!$A$1:$BF$1,0))</f>
        <v>1160</v>
      </c>
      <c r="I1136" s="699"/>
      <c r="J1136" s="700"/>
      <c r="K1136" s="239"/>
      <c r="L1136" s="699"/>
      <c r="M1136" s="700"/>
    </row>
    <row r="1137" spans="1:13" s="245" customFormat="1" ht="7.5" customHeight="1" x14ac:dyDescent="0.2">
      <c r="A1137" s="245" t="s">
        <v>10763</v>
      </c>
    </row>
    <row r="1138" spans="1:13" ht="22.5" x14ac:dyDescent="0.35">
      <c r="A1138" s="244" t="str">
        <f>TEXT(A1131+1,"000")</f>
        <v>163</v>
      </c>
      <c r="B1138" s="238" t="str">
        <f>"W-"&amp;A1138</f>
        <v>W-163</v>
      </c>
      <c r="C1138" s="239"/>
      <c r="D1138" s="692" t="str">
        <f>+INDEX(WEAP!$A:$AN,MATCH(B1139,WEAP!$A:$A,0),MATCH("Name",WEAP!$A$1:$BF$1,0))</f>
        <v>Chimeratech Oratorio</v>
      </c>
      <c r="E1138" s="693"/>
      <c r="F1138" s="693"/>
      <c r="G1138" s="694"/>
      <c r="I1138" s="241" t="str">
        <f>+INDEX(WEAP!$A:$AN,MATCH(B1139,WEAP!$A:$A,0),MATCH("Weapon Skill",WEAP!$A$1:$BF$1,0))</f>
        <v>N/A</v>
      </c>
      <c r="J1138" s="243">
        <f>INDEX('W-S'!$A:$N,MATCH(I1138,'W-S'!$C:$C,0),MATCH("SP Cost",'W-S'!$1:$1,0))</f>
        <v>0</v>
      </c>
      <c r="K1138" s="9"/>
      <c r="L1138" s="241" t="str">
        <f>+I1138</f>
        <v>N/A</v>
      </c>
      <c r="M1138" s="243">
        <f>INDEX('W-S'!$A:$N,MATCH(L1138,'W-S'!$C:$C,0),MATCH("SP Cost V3",'W-S'!$1:$1,0))</f>
        <v>0</v>
      </c>
    </row>
    <row r="1139" spans="1:13" ht="22.5" x14ac:dyDescent="0.35">
      <c r="B1139" s="238" t="str">
        <f>+INDEX(WEAP!$A:$AN,MATCH(B1138,WEAP!$B:$B,0),MATCH("ID",WEAP!$A$1:$BF$1,0))</f>
        <v>307133_01</v>
      </c>
      <c r="C1139" s="240"/>
      <c r="D1139" s="692" t="str">
        <f>+INDEX(WEAP!$A:$AN,MATCH(B1138,WEAP!$B:$B,0),MATCH("Family",WEAP!$A$1:$BF$1,0))&amp;" Weapon"</f>
        <v>Chimera Weapon</v>
      </c>
      <c r="E1139" s="693"/>
      <c r="F1139" s="693"/>
      <c r="G1139" s="694"/>
      <c r="H1139" s="8"/>
      <c r="I1139" s="695" t="str">
        <f>INDEX('W-S'!$A:$O,MATCH(I1138,'W-S'!$C:$C,0),MATCH("Description",'W-S'!$1:$1,0))</f>
        <v>This weapon has no weapon skill.</v>
      </c>
      <c r="J1139" s="696"/>
      <c r="K1139" s="239"/>
      <c r="L1139" s="695" t="str">
        <f>INDEX('W-S'!$A:$O,MATCH(I1138,'W-S'!$C:$C,0),MATCH("Description V3",'W-S'!$1:$1,0))</f>
        <v>This weapon has no weapon skill.</v>
      </c>
      <c r="M1139" s="696"/>
    </row>
    <row r="1140" spans="1:13" ht="22.5" x14ac:dyDescent="0.2">
      <c r="B1140" s="701" t="e" vm="183">
        <f>+_xlfn.IMAGE("https://natalie.tf/wp-content/uploads/2023/10/DLV3_Icon_Weapon_"&amp;B1139&amp;".png")</f>
        <v>#VALUE!</v>
      </c>
      <c r="C1140" s="240"/>
      <c r="D1140" s="692" t="str">
        <f>INDEX(WEAP!$A:$AN,MATCH(B1139,WEAP!$A:$A,0),MATCH("Element",WEAP!$A$1:$BF$1,0))&amp;" "&amp;INDEX(WEAP!$A:$AN,MATCH(B1139,WEAP!$A:$A,0),MATCH("Type",WEAP!$A$1:$BF$1,0))</f>
        <v>Shadow Wand</v>
      </c>
      <c r="E1140" s="693"/>
      <c r="F1140" s="693"/>
      <c r="G1140" s="694"/>
      <c r="H1140" s="8"/>
      <c r="I1140" s="697"/>
      <c r="J1140" s="698"/>
      <c r="K1140" s="9"/>
      <c r="L1140" s="697"/>
      <c r="M1140" s="698"/>
    </row>
    <row r="1141" spans="1:13" ht="22.5" x14ac:dyDescent="0.35">
      <c r="B1141" s="702"/>
      <c r="C1141" s="239"/>
      <c r="D1141" s="703" t="s">
        <v>10760</v>
      </c>
      <c r="E1141" s="704"/>
      <c r="F1141" s="235" t="s">
        <v>10761</v>
      </c>
      <c r="G1141" s="235" t="s">
        <v>10762</v>
      </c>
      <c r="I1141" s="697"/>
      <c r="J1141" s="698"/>
      <c r="K1141" s="239"/>
      <c r="L1141" s="697"/>
      <c r="M1141" s="698"/>
    </row>
    <row r="1142" spans="1:13" ht="22.5" x14ac:dyDescent="0.35">
      <c r="B1142" s="702"/>
      <c r="C1142" s="239"/>
      <c r="D1142" s="705" t="s">
        <v>96</v>
      </c>
      <c r="E1142" s="706"/>
      <c r="F1142" s="236">
        <f>INDEX(WEAP!$A:$AN,MATCH(B1139,WEAP!$A:$A,0),MATCH("HP",WEAP!$A$1:$BF$1,0))</f>
        <v>254</v>
      </c>
      <c r="G1142" s="237">
        <f>INDEX(WEAP!$A:$AN,MATCH(B1139,WEAP!$A:$A,0),MATCH("HP V3",WEAP!$A$1:$BF$1,0))</f>
        <v>275</v>
      </c>
      <c r="I1142" s="697"/>
      <c r="J1142" s="698"/>
      <c r="K1142" s="239"/>
      <c r="L1142" s="697"/>
      <c r="M1142" s="698"/>
    </row>
    <row r="1143" spans="1:13" ht="22.5" x14ac:dyDescent="0.35">
      <c r="B1143" s="702"/>
      <c r="C1143" s="239"/>
      <c r="D1143" s="707" t="s">
        <v>97</v>
      </c>
      <c r="E1143" s="708"/>
      <c r="F1143" s="236">
        <f>INDEX(WEAP!$A:$AN,MATCH(B1139,WEAP!$A:$A,0),MATCH("Str",WEAP!$A$1:$BF$1,0))</f>
        <v>1001</v>
      </c>
      <c r="G1143" s="237">
        <f>INDEX(WEAP!$A:$AN,MATCH(B1139,WEAP!$A:$A,0),MATCH("Str V3",WEAP!$A$1:$BF$1,0))</f>
        <v>1245</v>
      </c>
      <c r="I1143" s="699"/>
      <c r="J1143" s="700"/>
      <c r="K1143" s="239"/>
      <c r="L1143" s="699"/>
      <c r="M1143" s="700"/>
    </row>
    <row r="1144" spans="1:13" s="245" customFormat="1" ht="7.5" customHeight="1" x14ac:dyDescent="0.2">
      <c r="A1144" s="245" t="s">
        <v>10763</v>
      </c>
    </row>
    <row r="1145" spans="1:13" ht="22.5" x14ac:dyDescent="0.35">
      <c r="A1145" s="244" t="str">
        <f>TEXT(A1138+1,"000")</f>
        <v>164</v>
      </c>
      <c r="B1145" s="238" t="str">
        <f>"W-"&amp;A1145</f>
        <v>W-164</v>
      </c>
      <c r="C1145" s="239"/>
      <c r="D1145" s="692" t="str">
        <f>+INDEX(WEAP!$A:$AN,MATCH(B1146,WEAP!$A:$A,0),MATCH("Name",WEAP!$A$1:$BF$1,0))</f>
        <v>Chimeratech Coda</v>
      </c>
      <c r="E1145" s="693"/>
      <c r="F1145" s="693"/>
      <c r="G1145" s="694"/>
      <c r="I1145" s="241" t="str">
        <f>+INDEX(WEAP!$A:$AN,MATCH(B1146,WEAP!$A:$A,0),MATCH("Weapon Skill",WEAP!$A$1:$BF$1,0))</f>
        <v>N/A</v>
      </c>
      <c r="J1145" s="243">
        <f>INDEX('W-S'!$A:$N,MATCH(I1145,'W-S'!$C:$C,0),MATCH("SP Cost",'W-S'!$1:$1,0))</f>
        <v>0</v>
      </c>
      <c r="K1145" s="9"/>
      <c r="L1145" s="241" t="str">
        <f>+I1145</f>
        <v>N/A</v>
      </c>
      <c r="M1145" s="243">
        <f>INDEX('W-S'!$A:$N,MATCH(L1145,'W-S'!$C:$C,0),MATCH("SP Cost V3",'W-S'!$1:$1,0))</f>
        <v>0</v>
      </c>
    </row>
    <row r="1146" spans="1:13" ht="22.5" x14ac:dyDescent="0.35">
      <c r="B1146" s="238" t="str">
        <f>+INDEX(WEAP!$A:$AN,MATCH(B1145,WEAP!$B:$B,0),MATCH("ID",WEAP!$A$1:$BF$1,0))</f>
        <v>308126_01</v>
      </c>
      <c r="C1146" s="240"/>
      <c r="D1146" s="692" t="str">
        <f>+INDEX(WEAP!$A:$AN,MATCH(B1145,WEAP!$B:$B,0),MATCH("Family",WEAP!$A$1:$BF$1,0))&amp;" Weapon"</f>
        <v>Chimera Weapon</v>
      </c>
      <c r="E1146" s="693"/>
      <c r="F1146" s="693"/>
      <c r="G1146" s="694"/>
      <c r="H1146" s="8"/>
      <c r="I1146" s="695" t="str">
        <f>INDEX('W-S'!$A:$O,MATCH(I1145,'W-S'!$C:$C,0),MATCH("Description",'W-S'!$1:$1,0))</f>
        <v>This weapon has no weapon skill.</v>
      </c>
      <c r="J1146" s="696"/>
      <c r="K1146" s="239"/>
      <c r="L1146" s="695" t="str">
        <f>INDEX('W-S'!$A:$O,MATCH(I1145,'W-S'!$C:$C,0),MATCH("Description V3",'W-S'!$1:$1,0))</f>
        <v>This weapon has no weapon skill.</v>
      </c>
      <c r="M1146" s="696"/>
    </row>
    <row r="1147" spans="1:13" ht="22.5" x14ac:dyDescent="0.2">
      <c r="B1147" s="701" t="e" vm="184">
        <f>+_xlfn.IMAGE("https://natalie.tf/wp-content/uploads/2023/10/DLV3_Icon_Weapon_"&amp;B1146&amp;".png")</f>
        <v>#VALUE!</v>
      </c>
      <c r="C1147" s="240"/>
      <c r="D1147" s="692" t="str">
        <f>INDEX(WEAP!$A:$AN,MATCH(B1146,WEAP!$A:$A,0),MATCH("Element",WEAP!$A$1:$BF$1,0))&amp;" "&amp;INDEX(WEAP!$A:$AN,MATCH(B1146,WEAP!$A:$A,0),MATCH("Type",WEAP!$A$1:$BF$1,0))</f>
        <v>Shadow Staff</v>
      </c>
      <c r="E1147" s="693"/>
      <c r="F1147" s="693"/>
      <c r="G1147" s="694"/>
      <c r="H1147" s="8"/>
      <c r="I1147" s="697"/>
      <c r="J1147" s="698"/>
      <c r="K1147" s="9"/>
      <c r="L1147" s="697"/>
      <c r="M1147" s="698"/>
    </row>
    <row r="1148" spans="1:13" ht="22.5" x14ac:dyDescent="0.35">
      <c r="B1148" s="702"/>
      <c r="C1148" s="239"/>
      <c r="D1148" s="703" t="s">
        <v>10760</v>
      </c>
      <c r="E1148" s="704"/>
      <c r="F1148" s="235" t="s">
        <v>10761</v>
      </c>
      <c r="G1148" s="235" t="s">
        <v>10762</v>
      </c>
      <c r="I1148" s="697"/>
      <c r="J1148" s="698"/>
      <c r="K1148" s="239"/>
      <c r="L1148" s="697"/>
      <c r="M1148" s="698"/>
    </row>
    <row r="1149" spans="1:13" ht="22.5" x14ac:dyDescent="0.35">
      <c r="B1149" s="702"/>
      <c r="C1149" s="239"/>
      <c r="D1149" s="705" t="s">
        <v>96</v>
      </c>
      <c r="E1149" s="706"/>
      <c r="F1149" s="236">
        <f>INDEX(WEAP!$A:$AN,MATCH(B1146,WEAP!$A:$A,0),MATCH("HP",WEAP!$A$1:$BF$1,0))</f>
        <v>297</v>
      </c>
      <c r="G1149" s="237">
        <f>INDEX(WEAP!$A:$AN,MATCH(B1146,WEAP!$A:$A,0),MATCH("HP V3",WEAP!$A$1:$BF$1,0))</f>
        <v>325</v>
      </c>
      <c r="I1149" s="697"/>
      <c r="J1149" s="698"/>
      <c r="K1149" s="239"/>
      <c r="L1149" s="697"/>
      <c r="M1149" s="698"/>
    </row>
    <row r="1150" spans="1:13" ht="22.5" x14ac:dyDescent="0.35">
      <c r="B1150" s="702"/>
      <c r="C1150" s="239"/>
      <c r="D1150" s="707" t="s">
        <v>97</v>
      </c>
      <c r="E1150" s="708"/>
      <c r="F1150" s="236">
        <f>INDEX(WEAP!$A:$AN,MATCH(B1146,WEAP!$A:$A,0),MATCH("Str",WEAP!$A$1:$BF$1,0))</f>
        <v>923</v>
      </c>
      <c r="G1150" s="237">
        <f>INDEX(WEAP!$A:$AN,MATCH(B1146,WEAP!$A:$A,0),MATCH("Str V3",WEAP!$A$1:$BF$1,0))</f>
        <v>1110</v>
      </c>
      <c r="I1150" s="699"/>
      <c r="J1150" s="700"/>
      <c r="K1150" s="239"/>
      <c r="L1150" s="699"/>
      <c r="M1150" s="700"/>
    </row>
    <row r="1151" spans="1:13" s="245" customFormat="1" ht="7.5" customHeight="1" x14ac:dyDescent="0.2">
      <c r="A1151" s="245" t="s">
        <v>10763</v>
      </c>
    </row>
    <row r="1152" spans="1:13" ht="22.5" x14ac:dyDescent="0.35">
      <c r="A1152" s="244" t="str">
        <f>TEXT(A1145+1,"000")</f>
        <v>165</v>
      </c>
      <c r="B1152" s="238" t="str">
        <f>"W-"&amp;A1152</f>
        <v>W-165</v>
      </c>
      <c r="C1152" s="239"/>
      <c r="D1152" s="692" t="str">
        <f>+INDEX(WEAP!$A:$AN,MATCH(B1153,WEAP!$A:$A,0),MATCH("Name",WEAP!$A$1:$BF$1,0))</f>
        <v>Chimeratech Cantata</v>
      </c>
      <c r="E1152" s="693"/>
      <c r="F1152" s="693"/>
      <c r="G1152" s="694"/>
      <c r="I1152" s="241" t="str">
        <f>+INDEX(WEAP!$A:$AN,MATCH(B1153,WEAP!$A:$A,0),MATCH("Weapon Skill",WEAP!$A$1:$BF$1,0))</f>
        <v>N/A</v>
      </c>
      <c r="J1152" s="243">
        <f>INDEX('W-S'!$A:$N,MATCH(I1152,'W-S'!$C:$C,0),MATCH("SP Cost",'W-S'!$1:$1,0))</f>
        <v>0</v>
      </c>
      <c r="K1152" s="9"/>
      <c r="L1152" s="241" t="str">
        <f>+I1152</f>
        <v>N/A</v>
      </c>
      <c r="M1152" s="243">
        <f>INDEX('W-S'!$A:$N,MATCH(L1152,'W-S'!$C:$C,0),MATCH("SP Cost V3",'W-S'!$1:$1,0))</f>
        <v>0</v>
      </c>
    </row>
    <row r="1153" spans="1:13" ht="22.5" x14ac:dyDescent="0.35">
      <c r="B1153" s="238" t="str">
        <f>+INDEX(WEAP!$A:$AN,MATCH(B1152,WEAP!$B:$B,0),MATCH("ID",WEAP!$A$1:$BF$1,0))</f>
        <v>309020_01</v>
      </c>
      <c r="C1153" s="240"/>
      <c r="D1153" s="692" t="str">
        <f>+INDEX(WEAP!$A:$AN,MATCH(B1152,WEAP!$B:$B,0),MATCH("Family",WEAP!$A$1:$BF$1,0))&amp;" Weapon"</f>
        <v>Chimera Weapon</v>
      </c>
      <c r="E1153" s="693"/>
      <c r="F1153" s="693"/>
      <c r="G1153" s="694"/>
      <c r="H1153" s="8"/>
      <c r="I1153" s="695" t="str">
        <f>INDEX('W-S'!$A:$O,MATCH(I1152,'W-S'!$C:$C,0),MATCH("Description",'W-S'!$1:$1,0))</f>
        <v>This weapon has no weapon skill.</v>
      </c>
      <c r="J1153" s="696"/>
      <c r="K1153" s="239"/>
      <c r="L1153" s="695" t="str">
        <f>INDEX('W-S'!$A:$O,MATCH(I1152,'W-S'!$C:$C,0),MATCH("Description V3",'W-S'!$1:$1,0))</f>
        <v>This weapon has no weapon skill.</v>
      </c>
      <c r="M1153" s="696"/>
    </row>
    <row r="1154" spans="1:13" ht="22.5" x14ac:dyDescent="0.2">
      <c r="B1154" s="701" t="e" vm="185">
        <f>+_xlfn.IMAGE("https://natalie.tf/wp-content/uploads/2023/10/DLV3_Icon_Weapon_"&amp;B1153&amp;".png")</f>
        <v>#VALUE!</v>
      </c>
      <c r="C1154" s="240"/>
      <c r="D1154" s="692" t="str">
        <f>INDEX(WEAP!$A:$AN,MATCH(B1153,WEAP!$A:$A,0),MATCH("Element",WEAP!$A$1:$BF$1,0))&amp;" "&amp;INDEX(WEAP!$A:$AN,MATCH(B1153,WEAP!$A:$A,0),MATCH("Type",WEAP!$A$1:$BF$1,0))</f>
        <v>Shadow Manacaster</v>
      </c>
      <c r="E1154" s="693"/>
      <c r="F1154" s="693"/>
      <c r="G1154" s="694"/>
      <c r="H1154" s="8"/>
      <c r="I1154" s="697"/>
      <c r="J1154" s="698"/>
      <c r="K1154" s="9"/>
      <c r="L1154" s="697"/>
      <c r="M1154" s="698"/>
    </row>
    <row r="1155" spans="1:13" ht="22.5" x14ac:dyDescent="0.35">
      <c r="B1155" s="702"/>
      <c r="C1155" s="239"/>
      <c r="D1155" s="703" t="s">
        <v>10760</v>
      </c>
      <c r="E1155" s="704"/>
      <c r="F1155" s="235" t="s">
        <v>10761</v>
      </c>
      <c r="G1155" s="235" t="s">
        <v>10762</v>
      </c>
      <c r="I1155" s="697"/>
      <c r="J1155" s="698"/>
      <c r="K1155" s="239"/>
      <c r="L1155" s="697"/>
      <c r="M1155" s="698"/>
    </row>
    <row r="1156" spans="1:13" ht="22.5" x14ac:dyDescent="0.35">
      <c r="B1156" s="702"/>
      <c r="C1156" s="239"/>
      <c r="D1156" s="705" t="s">
        <v>96</v>
      </c>
      <c r="E1156" s="706"/>
      <c r="F1156" s="236">
        <f>INDEX(WEAP!$A:$AN,MATCH(B1153,WEAP!$A:$A,0),MATCH("HP",WEAP!$A$1:$BF$1,0))</f>
        <v>248</v>
      </c>
      <c r="G1156" s="237">
        <f>INDEX(WEAP!$A:$AN,MATCH(B1153,WEAP!$A:$A,0),MATCH("HP V3",WEAP!$A$1:$BF$1,0))</f>
        <v>270</v>
      </c>
      <c r="I1156" s="697"/>
      <c r="J1156" s="698"/>
      <c r="K1156" s="239"/>
      <c r="L1156" s="697"/>
      <c r="M1156" s="698"/>
    </row>
    <row r="1157" spans="1:13" ht="22.5" x14ac:dyDescent="0.35">
      <c r="B1157" s="702"/>
      <c r="C1157" s="239"/>
      <c r="D1157" s="707" t="s">
        <v>97</v>
      </c>
      <c r="E1157" s="708"/>
      <c r="F1157" s="236">
        <f>INDEX(WEAP!$A:$AN,MATCH(B1153,WEAP!$A:$A,0),MATCH("Str",WEAP!$A$1:$BF$1,0))</f>
        <v>1011</v>
      </c>
      <c r="G1157" s="237">
        <f>INDEX(WEAP!$A:$AN,MATCH(B1153,WEAP!$A:$A,0),MATCH("Str V3",WEAP!$A$1:$BF$1,0))</f>
        <v>1255</v>
      </c>
      <c r="I1157" s="699"/>
      <c r="J1157" s="700"/>
      <c r="K1157" s="239"/>
      <c r="L1157" s="699"/>
      <c r="M1157" s="700"/>
    </row>
    <row r="1158" spans="1:13" ht="33.75" customHeight="1" x14ac:dyDescent="0.2">
      <c r="A1158" t="s">
        <v>10763</v>
      </c>
    </row>
    <row r="1159" spans="1:13" ht="22.5" x14ac:dyDescent="0.35">
      <c r="A1159" s="244" t="str">
        <f>TEXT(A1152+1,"000")</f>
        <v>166</v>
      </c>
      <c r="B1159" s="238" t="str">
        <f>"W-"&amp;A1159</f>
        <v>W-166</v>
      </c>
      <c r="C1159" s="239"/>
      <c r="D1159" s="692" t="str">
        <f>+INDEX(WEAP!$A:$AN,MATCH(B1160,WEAP!$A:$A,0),MATCH("Name",WEAP!$A$1:$BF$1,0))</f>
        <v>Absolute Crimson</v>
      </c>
      <c r="E1159" s="693"/>
      <c r="F1159" s="693"/>
      <c r="G1159" s="694"/>
      <c r="I1159" s="241" t="str">
        <f>+INDEX(WEAP!$A:$AN,MATCH(B1160,WEAP!$A:$A,0),MATCH("Weapon Skill",WEAP!$A$1:$BF$1,0))</f>
        <v>Infinite Crimson</v>
      </c>
      <c r="J1159" s="243">
        <f>INDEX('W-S'!$A:$N,MATCH(I1159,'W-S'!$C:$C,0),MATCH("SP Cost",'W-S'!$1:$1,0))</f>
        <v>6163</v>
      </c>
      <c r="K1159" s="9"/>
      <c r="L1159" s="241" t="str">
        <f>+I1159</f>
        <v>Infinite Crimson</v>
      </c>
      <c r="M1159" s="243">
        <f>INDEX('W-S'!$A:$N,MATCH(L1159,'W-S'!$C:$C,0),MATCH("SP Cost V3",'W-S'!$1:$1,0))</f>
        <v>6000</v>
      </c>
    </row>
    <row r="1160" spans="1:13" ht="22.5" x14ac:dyDescent="0.35">
      <c r="B1160" s="238" t="str">
        <f>+INDEX(WEAP!$A:$AN,MATCH(B1159,WEAP!$B:$B,0),MATCH("ID",WEAP!$A$1:$BF$1,0))</f>
        <v>301122_01</v>
      </c>
      <c r="C1160" s="240"/>
      <c r="D1160" s="692" t="str">
        <f>+INDEX(WEAP!$A:$AN,MATCH(B1159,WEAP!$B:$B,0),MATCH("Family",WEAP!$A$1:$BF$1,0))&amp;" Weapon"</f>
        <v>HDT Weapon</v>
      </c>
      <c r="E1160" s="693"/>
      <c r="F1160" s="693"/>
      <c r="G1160" s="694"/>
      <c r="H1160" s="8"/>
      <c r="I1160" s="695" t="str">
        <f>INDEX('W-S'!$A:$O,MATCH(I1159,'W-S'!$C:$C,0),MATCH("Description",'W-S'!$1:$1,0))</f>
        <v>Deals 5 hits of 181% flame damage to enemies directly ahead.</v>
      </c>
      <c r="J1160" s="696"/>
      <c r="K1160" s="239"/>
      <c r="L1160" s="695" t="str">
        <f>INDEX('W-S'!$A:$O,MATCH(I1159,'W-S'!$C:$C,0),MATCH("Description V3",'W-S'!$1:$1,0))</f>
        <v>Deals 5 hits of 300% flame damage to enemies directly ahead, and lowers their flame resistance by 10% for 20 seconds. This resistance reduction will not stack.</v>
      </c>
      <c r="M1160" s="696"/>
    </row>
    <row r="1161" spans="1:13" ht="22.5" x14ac:dyDescent="0.2">
      <c r="B1161" s="701" t="e" vm="186">
        <f>+_xlfn.IMAGE("https://natalie.tf/wp-content/uploads/2023/10/DLV3_Icon_Weapon_"&amp;B1160&amp;".png")</f>
        <v>#VALUE!</v>
      </c>
      <c r="C1161" s="240"/>
      <c r="D1161" s="692" t="str">
        <f>INDEX(WEAP!$A:$AN,MATCH(B1160,WEAP!$A:$A,0),MATCH("Element",WEAP!$A$1:$BF$1,0))&amp;" "&amp;INDEX(WEAP!$A:$AN,MATCH(B1160,WEAP!$A:$A,0),MATCH("Type",WEAP!$A$1:$BF$1,0))</f>
        <v>Flame Sword</v>
      </c>
      <c r="E1161" s="693"/>
      <c r="F1161" s="693"/>
      <c r="G1161" s="694"/>
      <c r="H1161" s="8"/>
      <c r="I1161" s="697"/>
      <c r="J1161" s="698"/>
      <c r="K1161" s="9"/>
      <c r="L1161" s="697"/>
      <c r="M1161" s="698"/>
    </row>
    <row r="1162" spans="1:13" ht="22.5" x14ac:dyDescent="0.35">
      <c r="B1162" s="702"/>
      <c r="C1162" s="239"/>
      <c r="D1162" s="703" t="s">
        <v>10760</v>
      </c>
      <c r="E1162" s="704"/>
      <c r="F1162" s="235" t="s">
        <v>10761</v>
      </c>
      <c r="G1162" s="235" t="s">
        <v>10762</v>
      </c>
      <c r="I1162" s="697"/>
      <c r="J1162" s="698"/>
      <c r="K1162" s="239"/>
      <c r="L1162" s="697"/>
      <c r="M1162" s="698"/>
    </row>
    <row r="1163" spans="1:13" ht="22.5" x14ac:dyDescent="0.35">
      <c r="B1163" s="702"/>
      <c r="C1163" s="239"/>
      <c r="D1163" s="705" t="s">
        <v>96</v>
      </c>
      <c r="E1163" s="706"/>
      <c r="F1163" s="236">
        <f>INDEX(WEAP!$A:$AN,MATCH(B1160,WEAP!$A:$A,0),MATCH("HP",WEAP!$A$1:$BF$1,0))</f>
        <v>235</v>
      </c>
      <c r="G1163" s="237">
        <f>INDEX(WEAP!$A:$AN,MATCH(B1160,WEAP!$A:$A,0),MATCH("HP V3",WEAP!$A$1:$BF$1,0))</f>
        <v>270</v>
      </c>
      <c r="I1163" s="697"/>
      <c r="J1163" s="698"/>
      <c r="K1163" s="239"/>
      <c r="L1163" s="697"/>
      <c r="M1163" s="698"/>
    </row>
    <row r="1164" spans="1:13" ht="22.5" x14ac:dyDescent="0.35">
      <c r="B1164" s="702"/>
      <c r="C1164" s="239"/>
      <c r="D1164" s="707" t="s">
        <v>97</v>
      </c>
      <c r="E1164" s="708"/>
      <c r="F1164" s="236">
        <f>INDEX(WEAP!$A:$AN,MATCH(B1160,WEAP!$A:$A,0),MATCH("Str",WEAP!$A$1:$BF$1,0))</f>
        <v>1530</v>
      </c>
      <c r="G1164" s="237">
        <f>INDEX(WEAP!$A:$AN,MATCH(B1160,WEAP!$A:$A,0),MATCH("Str V3",WEAP!$A$1:$BF$1,0))</f>
        <v>1530</v>
      </c>
      <c r="I1164" s="699"/>
      <c r="J1164" s="700"/>
      <c r="K1164" s="239"/>
      <c r="L1164" s="699"/>
      <c r="M1164" s="700"/>
    </row>
    <row r="1165" spans="1:13" s="245" customFormat="1" ht="7.5" customHeight="1" x14ac:dyDescent="0.2">
      <c r="A1165" s="245" t="s">
        <v>10763</v>
      </c>
    </row>
    <row r="1166" spans="1:13" ht="22.5" x14ac:dyDescent="0.35">
      <c r="A1166" s="242" t="str">
        <f>TEXT(A1159+1,"000")</f>
        <v>167</v>
      </c>
      <c r="B1166" s="238" t="str">
        <f>"W-"&amp;A1166</f>
        <v>W-167</v>
      </c>
      <c r="C1166" s="239"/>
      <c r="D1166" s="692" t="str">
        <f>+INDEX(WEAP!$A:$AN,MATCH(B1167,WEAP!$A:$A,0),MATCH("Name",WEAP!$A$1:$BF$1,0))</f>
        <v>Blinding Conflagration</v>
      </c>
      <c r="E1166" s="693"/>
      <c r="F1166" s="693"/>
      <c r="G1166" s="694"/>
      <c r="I1166" s="241" t="str">
        <f>+INDEX(WEAP!$A:$AN,MATCH(B1167,WEAP!$A:$A,0),MATCH("Weapon Skill",WEAP!$A$1:$BF$1,0))</f>
        <v>Blinding Blade</v>
      </c>
      <c r="J1166" s="243">
        <f>INDEX('W-S'!$A:$N,MATCH(I1166,'W-S'!$C:$C,0),MATCH("SP Cost",'W-S'!$1:$1,0))</f>
        <v>7227</v>
      </c>
      <c r="K1166" s="9"/>
      <c r="L1166" s="241" t="str">
        <f>+I1166</f>
        <v>Blinding Blade</v>
      </c>
      <c r="M1166" s="243">
        <f>INDEX('W-S'!$A:$N,MATCH(L1166,'W-S'!$C:$C,0),MATCH("SP Cost V3",'W-S'!$1:$1,0))</f>
        <v>6000</v>
      </c>
    </row>
    <row r="1167" spans="1:13" ht="22.5" x14ac:dyDescent="0.35">
      <c r="B1167" s="238" t="str">
        <f>+INDEX(WEAP!$A:$AN,MATCH(B1166,WEAP!$B:$B,0),MATCH("ID",WEAP!$A$1:$BF$1,0))</f>
        <v>302113_01</v>
      </c>
      <c r="C1167" s="240"/>
      <c r="D1167" s="692" t="str">
        <f>+INDEX(WEAP!$A:$AN,MATCH(B1166,WEAP!$B:$B,0),MATCH("Family",WEAP!$A$1:$BF$1,0))&amp;" Weapon"</f>
        <v>HDT Weapon</v>
      </c>
      <c r="E1167" s="693"/>
      <c r="F1167" s="693"/>
      <c r="G1167" s="694"/>
      <c r="H1167" s="8"/>
      <c r="I1167" s="695" t="str">
        <f>INDEX('W-S'!$A:$O,MATCH(I1166,'W-S'!$C:$C,0),MATCH("Description",'W-S'!$1:$1,0))</f>
        <v>Deals 3 hits of 354% flame damage to enemies in a line.</v>
      </c>
      <c r="J1167" s="696"/>
      <c r="K1167" s="239"/>
      <c r="L1167" s="695" t="str">
        <f>INDEX('W-S'!$A:$O,MATCH(I1166,'W-S'!$C:$C,0),MATCH("Description V3",'W-S'!$1:$1,0))</f>
        <v>Deals 3 hits of 500% flame damage to enemies in a line, and lowers their flame resistance by 10% for 20 seconds. This resistance reduction will not stack.</v>
      </c>
      <c r="M1167" s="696"/>
    </row>
    <row r="1168" spans="1:13" ht="22.5" x14ac:dyDescent="0.2">
      <c r="B1168" s="701" t="e" vm="187">
        <f>+_xlfn.IMAGE("https://natalie.tf/wp-content/uploads/2023/10/DLV3_Icon_Weapon_"&amp;B1167&amp;".png")</f>
        <v>#VALUE!</v>
      </c>
      <c r="C1168" s="240"/>
      <c r="D1168" s="692" t="str">
        <f>INDEX(WEAP!$A:$AN,MATCH(B1167,WEAP!$A:$A,0),MATCH("Element",WEAP!$A$1:$BF$1,0))&amp;" "&amp;INDEX(WEAP!$A:$AN,MATCH(B1167,WEAP!$A:$A,0),MATCH("Type",WEAP!$A$1:$BF$1,0))</f>
        <v>Flame Blade</v>
      </c>
      <c r="E1168" s="693"/>
      <c r="F1168" s="693"/>
      <c r="G1168" s="694"/>
      <c r="H1168" s="8"/>
      <c r="I1168" s="697"/>
      <c r="J1168" s="698"/>
      <c r="K1168" s="9"/>
      <c r="L1168" s="697"/>
      <c r="M1168" s="698"/>
    </row>
    <row r="1169" spans="1:13" ht="22.5" x14ac:dyDescent="0.35">
      <c r="B1169" s="702"/>
      <c r="C1169" s="239"/>
      <c r="D1169" s="703" t="s">
        <v>10760</v>
      </c>
      <c r="E1169" s="704"/>
      <c r="F1169" s="235" t="s">
        <v>10761</v>
      </c>
      <c r="G1169" s="235" t="s">
        <v>10762</v>
      </c>
      <c r="I1169" s="697"/>
      <c r="J1169" s="698"/>
      <c r="K1169" s="239"/>
      <c r="L1169" s="697"/>
      <c r="M1169" s="698"/>
    </row>
    <row r="1170" spans="1:13" ht="22.5" x14ac:dyDescent="0.35">
      <c r="B1170" s="702"/>
      <c r="C1170" s="239"/>
      <c r="D1170" s="705" t="s">
        <v>96</v>
      </c>
      <c r="E1170" s="706"/>
      <c r="F1170" s="236">
        <f>INDEX(WEAP!$A:$AN,MATCH(B1167,WEAP!$A:$A,0),MATCH("HP",WEAP!$A$1:$BF$1,0))</f>
        <v>207</v>
      </c>
      <c r="G1170" s="237">
        <f>INDEX(WEAP!$A:$AN,MATCH(B1167,WEAP!$A:$A,0),MATCH("HP V3",WEAP!$A$1:$BF$1,0))</f>
        <v>250</v>
      </c>
      <c r="I1170" s="697"/>
      <c r="J1170" s="698"/>
      <c r="K1170" s="239"/>
      <c r="L1170" s="697"/>
      <c r="M1170" s="698"/>
    </row>
    <row r="1171" spans="1:13" ht="22.5" x14ac:dyDescent="0.35">
      <c r="B1171" s="702"/>
      <c r="C1171" s="239"/>
      <c r="D1171" s="707" t="s">
        <v>97</v>
      </c>
      <c r="E1171" s="708"/>
      <c r="F1171" s="236">
        <f>INDEX(WEAP!$A:$AN,MATCH(B1167,WEAP!$A:$A,0),MATCH("Str",WEAP!$A$1:$BF$1,0))</f>
        <v>1621</v>
      </c>
      <c r="G1171" s="237">
        <f>INDEX(WEAP!$A:$AN,MATCH(B1167,WEAP!$A:$A,0),MATCH("Str V3",WEAP!$A$1:$BF$1,0))</f>
        <v>1625</v>
      </c>
      <c r="I1171" s="699"/>
      <c r="J1171" s="700"/>
      <c r="K1171" s="239"/>
      <c r="L1171" s="699"/>
      <c r="M1171" s="700"/>
    </row>
    <row r="1172" spans="1:13" s="245" customFormat="1" ht="7.5" customHeight="1" x14ac:dyDescent="0.2">
      <c r="A1172" s="245" t="s">
        <v>10763</v>
      </c>
    </row>
    <row r="1173" spans="1:13" ht="22.5" x14ac:dyDescent="0.35">
      <c r="A1173" s="244" t="str">
        <f>TEXT(A1166+1,"000")</f>
        <v>168</v>
      </c>
      <c r="B1173" s="238" t="str">
        <f>"W-"&amp;A1173</f>
        <v>W-168</v>
      </c>
      <c r="C1173" s="239"/>
      <c r="D1173" s="692" t="str">
        <f>+INDEX(WEAP!$A:$AN,MATCH(B1174,WEAP!$A:$A,0),MATCH("Name",WEAP!$A$1:$BF$1,0))</f>
        <v>Flameruler's Maw</v>
      </c>
      <c r="E1173" s="693"/>
      <c r="F1173" s="693"/>
      <c r="G1173" s="694"/>
      <c r="I1173" s="241" t="str">
        <f>+INDEX(WEAP!$A:$AN,MATCH(B1174,WEAP!$A:$A,0),MATCH("Weapon Skill",WEAP!$A$1:$BF$1,0))</f>
        <v>Savage Flameruler</v>
      </c>
      <c r="J1173" s="243">
        <f>INDEX('W-S'!$A:$N,MATCH(I1173,'W-S'!$C:$C,0),MATCH("SP Cost",'W-S'!$1:$1,0))</f>
        <v>6590</v>
      </c>
      <c r="K1173" s="9"/>
      <c r="L1173" s="241" t="str">
        <f>+I1173</f>
        <v>Savage Flameruler</v>
      </c>
      <c r="M1173" s="243">
        <f>INDEX('W-S'!$A:$N,MATCH(L1173,'W-S'!$C:$C,0),MATCH("SP Cost V3",'W-S'!$1:$1,0))</f>
        <v>6000</v>
      </c>
    </row>
    <row r="1174" spans="1:13" ht="22.5" x14ac:dyDescent="0.35">
      <c r="B1174" s="238" t="str">
        <f>+INDEX(WEAP!$A:$AN,MATCH(B1173,WEAP!$B:$B,0),MATCH("ID",WEAP!$A$1:$BF$1,0))</f>
        <v>303112_01</v>
      </c>
      <c r="C1174" s="240"/>
      <c r="D1174" s="692" t="str">
        <f>+INDEX(WEAP!$A:$AN,MATCH(B1173,WEAP!$B:$B,0),MATCH("Family",WEAP!$A$1:$BF$1,0))&amp;" Weapon"</f>
        <v>HDT Weapon</v>
      </c>
      <c r="E1174" s="693"/>
      <c r="F1174" s="693"/>
      <c r="G1174" s="694"/>
      <c r="H1174" s="8"/>
      <c r="I1174" s="695" t="str">
        <f>INDEX('W-S'!$A:$O,MATCH(I1173,'W-S'!$C:$C,0),MATCH("Description",'W-S'!$1:$1,0))</f>
        <v>Deals 8 hits of 115% damage to enemies directly ahead.</v>
      </c>
      <c r="J1174" s="696"/>
      <c r="K1174" s="239"/>
      <c r="L1174" s="695" t="str">
        <f>INDEX('W-S'!$A:$O,MATCH(I1173,'W-S'!$C:$C,0),MATCH("Description V3",'W-S'!$1:$1,0))</f>
        <v>Deals 8 hits of 187% damage to enemies directly ahead, and lowers their flame resistance by 10% for 20 seconds. This resistance reduction will not stack.</v>
      </c>
      <c r="M1174" s="696"/>
    </row>
    <row r="1175" spans="1:13" ht="22.5" x14ac:dyDescent="0.2">
      <c r="B1175" s="701" t="e" vm="188">
        <f>+_xlfn.IMAGE("https://natalie.tf/wp-content/uploads/2023/10/DLV3_Icon_Weapon_"&amp;B1174&amp;".png")</f>
        <v>#VALUE!</v>
      </c>
      <c r="C1175" s="240"/>
      <c r="D1175" s="692" t="str">
        <f>INDEX(WEAP!$A:$AN,MATCH(B1174,WEAP!$A:$A,0),MATCH("Element",WEAP!$A$1:$BF$1,0))&amp;" "&amp;INDEX(WEAP!$A:$AN,MATCH(B1174,WEAP!$A:$A,0),MATCH("Type",WEAP!$A$1:$BF$1,0))</f>
        <v>Flame Dagger</v>
      </c>
      <c r="E1175" s="693"/>
      <c r="F1175" s="693"/>
      <c r="G1175" s="694"/>
      <c r="H1175" s="8"/>
      <c r="I1175" s="697"/>
      <c r="J1175" s="698"/>
      <c r="K1175" s="9"/>
      <c r="L1175" s="697"/>
      <c r="M1175" s="698"/>
    </row>
    <row r="1176" spans="1:13" ht="22.5" x14ac:dyDescent="0.35">
      <c r="B1176" s="702"/>
      <c r="C1176" s="239"/>
      <c r="D1176" s="703" t="s">
        <v>10760</v>
      </c>
      <c r="E1176" s="704"/>
      <c r="F1176" s="235" t="s">
        <v>10761</v>
      </c>
      <c r="G1176" s="235" t="s">
        <v>10762</v>
      </c>
      <c r="I1176" s="697"/>
      <c r="J1176" s="698"/>
      <c r="K1176" s="239"/>
      <c r="L1176" s="697"/>
      <c r="M1176" s="698"/>
    </row>
    <row r="1177" spans="1:13" ht="22.5" x14ac:dyDescent="0.35">
      <c r="B1177" s="702"/>
      <c r="C1177" s="239"/>
      <c r="D1177" s="705" t="s">
        <v>96</v>
      </c>
      <c r="E1177" s="706"/>
      <c r="F1177" s="236">
        <f>INDEX(WEAP!$A:$AN,MATCH(B1174,WEAP!$A:$A,0),MATCH("HP",WEAP!$A$1:$BF$1,0))</f>
        <v>250</v>
      </c>
      <c r="G1177" s="237">
        <f>INDEX(WEAP!$A:$AN,MATCH(B1174,WEAP!$A:$A,0),MATCH("HP V3",WEAP!$A$1:$BF$1,0))</f>
        <v>275</v>
      </c>
      <c r="I1177" s="697"/>
      <c r="J1177" s="698"/>
      <c r="K1177" s="239"/>
      <c r="L1177" s="697"/>
      <c r="M1177" s="698"/>
    </row>
    <row r="1178" spans="1:13" ht="22.5" x14ac:dyDescent="0.35">
      <c r="B1178" s="702"/>
      <c r="C1178" s="239"/>
      <c r="D1178" s="707" t="s">
        <v>97</v>
      </c>
      <c r="E1178" s="708"/>
      <c r="F1178" s="236">
        <f>INDEX(WEAP!$A:$AN,MATCH(B1174,WEAP!$A:$A,0),MATCH("Str",WEAP!$A$1:$BF$1,0))</f>
        <v>1455</v>
      </c>
      <c r="G1178" s="237">
        <f>INDEX(WEAP!$A:$AN,MATCH(B1174,WEAP!$A:$A,0),MATCH("Str V3",WEAP!$A$1:$BF$1,0))</f>
        <v>1455</v>
      </c>
      <c r="I1178" s="699"/>
      <c r="J1178" s="700"/>
      <c r="K1178" s="239"/>
      <c r="L1178" s="699"/>
      <c r="M1178" s="700"/>
    </row>
    <row r="1179" spans="1:13" s="245" customFormat="1" ht="7.5" customHeight="1" x14ac:dyDescent="0.2">
      <c r="A1179" s="245" t="s">
        <v>10763</v>
      </c>
    </row>
    <row r="1180" spans="1:13" ht="22.5" x14ac:dyDescent="0.35">
      <c r="A1180" s="244" t="str">
        <f>TEXT(A1173+1,"000")</f>
        <v>169</v>
      </c>
      <c r="B1180" s="238" t="str">
        <f>"W-"&amp;A1180</f>
        <v>W-169</v>
      </c>
      <c r="C1180" s="239"/>
      <c r="D1180" s="692" t="str">
        <f>+INDEX(WEAP!$A:$AN,MATCH(B1181,WEAP!$A:$A,0),MATCH("Name",WEAP!$A$1:$BF$1,0))</f>
        <v>Royal Crimson Heat</v>
      </c>
      <c r="E1180" s="693"/>
      <c r="F1180" s="693"/>
      <c r="G1180" s="694"/>
      <c r="I1180" s="241" t="str">
        <f>+INDEX(WEAP!$A:$AN,MATCH(B1181,WEAP!$A:$A,0),MATCH("Weapon Skill",WEAP!$A$1:$BF$1,0))</f>
        <v>Royal Crimson Passion</v>
      </c>
      <c r="J1180" s="243">
        <f>INDEX('W-S'!$A:$N,MATCH(I1180,'W-S'!$C:$C,0),MATCH("SP Cost",'W-S'!$1:$1,0))</f>
        <v>8895</v>
      </c>
      <c r="K1180" s="9"/>
      <c r="L1180" s="241" t="str">
        <f>+I1180</f>
        <v>Royal Crimson Passion</v>
      </c>
      <c r="M1180" s="243">
        <f>INDEX('W-S'!$A:$N,MATCH(L1180,'W-S'!$C:$C,0),MATCH("SP Cost V3",'W-S'!$1:$1,0))</f>
        <v>6000</v>
      </c>
    </row>
    <row r="1181" spans="1:13" ht="22.5" x14ac:dyDescent="0.35">
      <c r="B1181" s="238" t="str">
        <f>+INDEX(WEAP!$A:$AN,MATCH(B1180,WEAP!$B:$B,0),MATCH("ID",WEAP!$A$1:$BF$1,0))</f>
        <v>304111_01</v>
      </c>
      <c r="C1181" s="240"/>
      <c r="D1181" s="692" t="str">
        <f>+INDEX(WEAP!$A:$AN,MATCH(B1180,WEAP!$B:$B,0),MATCH("Family",WEAP!$A$1:$BF$1,0))&amp;" Weapon"</f>
        <v>HDT Weapon</v>
      </c>
      <c r="E1181" s="693"/>
      <c r="F1181" s="693"/>
      <c r="G1181" s="694"/>
      <c r="H1181" s="8"/>
      <c r="I1181" s="695" t="str">
        <f>INDEX('W-S'!$A:$O,MATCH(I1180,'W-S'!$C:$C,0),MATCH("Description",'W-S'!$1:$1,0))</f>
        <v>Deals 3 hits of 418% flame damage to enemies directly ahead.</v>
      </c>
      <c r="J1181" s="696"/>
      <c r="K1181" s="239"/>
      <c r="L1181" s="695" t="str">
        <f>INDEX('W-S'!$A:$O,MATCH(I1180,'W-S'!$C:$C,0),MATCH("Description V3",'W-S'!$1:$1,0))</f>
        <v>Deals 3 hits of 500% flame damage to enemies directly ahead, and lowers their flame resistance by 10% for 20 seconds. This resistance reduction will not stack.</v>
      </c>
      <c r="M1181" s="696"/>
    </row>
    <row r="1182" spans="1:13" ht="22.5" x14ac:dyDescent="0.2">
      <c r="B1182" s="701" t="e" vm="189">
        <f>+_xlfn.IMAGE("https://natalie.tf/wp-content/uploads/2023/10/DLV3_Icon_Weapon_"&amp;B1181&amp;".png")</f>
        <v>#VALUE!</v>
      </c>
      <c r="C1182" s="240"/>
      <c r="D1182" s="692" t="str">
        <f>INDEX(WEAP!$A:$AN,MATCH(B1181,WEAP!$A:$A,0),MATCH("Element",WEAP!$A$1:$BF$1,0))&amp;" "&amp;INDEX(WEAP!$A:$AN,MATCH(B1181,WEAP!$A:$A,0),MATCH("Type",WEAP!$A$1:$BF$1,0))</f>
        <v>Flame Axe</v>
      </c>
      <c r="E1182" s="693"/>
      <c r="F1182" s="693"/>
      <c r="G1182" s="694"/>
      <c r="H1182" s="8"/>
      <c r="I1182" s="697"/>
      <c r="J1182" s="698"/>
      <c r="K1182" s="9"/>
      <c r="L1182" s="697"/>
      <c r="M1182" s="698"/>
    </row>
    <row r="1183" spans="1:13" ht="22.5" x14ac:dyDescent="0.35">
      <c r="B1183" s="702"/>
      <c r="C1183" s="239"/>
      <c r="D1183" s="703" t="s">
        <v>10760</v>
      </c>
      <c r="E1183" s="704"/>
      <c r="F1183" s="235" t="s">
        <v>10761</v>
      </c>
      <c r="G1183" s="235" t="s">
        <v>10762</v>
      </c>
      <c r="I1183" s="697"/>
      <c r="J1183" s="698"/>
      <c r="K1183" s="239"/>
      <c r="L1183" s="697"/>
      <c r="M1183" s="698"/>
    </row>
    <row r="1184" spans="1:13" ht="22.5" x14ac:dyDescent="0.35">
      <c r="B1184" s="702"/>
      <c r="C1184" s="239"/>
      <c r="D1184" s="705" t="s">
        <v>96</v>
      </c>
      <c r="E1184" s="706"/>
      <c r="F1184" s="236">
        <f>INDEX(WEAP!$A:$AN,MATCH(B1181,WEAP!$A:$A,0),MATCH("HP",WEAP!$A$1:$BF$1,0))</f>
        <v>255</v>
      </c>
      <c r="G1184" s="237">
        <f>INDEX(WEAP!$A:$AN,MATCH(B1181,WEAP!$A:$A,0),MATCH("HP V3",WEAP!$A$1:$BF$1,0))</f>
        <v>295</v>
      </c>
      <c r="I1184" s="697"/>
      <c r="J1184" s="698"/>
      <c r="K1184" s="239"/>
      <c r="L1184" s="697"/>
      <c r="M1184" s="698"/>
    </row>
    <row r="1185" spans="1:13" ht="22.5" x14ac:dyDescent="0.35">
      <c r="B1185" s="702"/>
      <c r="C1185" s="239"/>
      <c r="D1185" s="707" t="s">
        <v>97</v>
      </c>
      <c r="E1185" s="708"/>
      <c r="F1185" s="236">
        <f>INDEX(WEAP!$A:$AN,MATCH(B1181,WEAP!$A:$A,0),MATCH("Str",WEAP!$A$1:$BF$1,0))</f>
        <v>1559</v>
      </c>
      <c r="G1185" s="237">
        <f>INDEX(WEAP!$A:$AN,MATCH(B1181,WEAP!$A:$A,0),MATCH("Str V3",WEAP!$A$1:$BF$1,0))</f>
        <v>1610</v>
      </c>
      <c r="I1185" s="699"/>
      <c r="J1185" s="700"/>
      <c r="K1185" s="239"/>
      <c r="L1185" s="699"/>
      <c r="M1185" s="700"/>
    </row>
    <row r="1186" spans="1:13" s="245" customFormat="1" ht="7.5" customHeight="1" x14ac:dyDescent="0.2">
      <c r="A1186" s="245" t="s">
        <v>10763</v>
      </c>
    </row>
    <row r="1187" spans="1:13" ht="22.5" x14ac:dyDescent="0.35">
      <c r="A1187" s="244" t="str">
        <f>TEXT(A1180+1,"000")</f>
        <v>170</v>
      </c>
      <c r="B1187" s="238" t="str">
        <f>"W-"&amp;A1187</f>
        <v>W-170</v>
      </c>
      <c r="C1187" s="239"/>
      <c r="D1187" s="692" t="str">
        <f>+INDEX(WEAP!$A:$AN,MATCH(B1188,WEAP!$A:$A,0),MATCH("Name",WEAP!$A$1:$BF$1,0))</f>
        <v>Pureflame Lance</v>
      </c>
      <c r="E1187" s="693"/>
      <c r="F1187" s="693"/>
      <c r="G1187" s="694"/>
      <c r="I1187" s="241" t="str">
        <f>+INDEX(WEAP!$A:$AN,MATCH(B1188,WEAP!$A:$A,0),MATCH("Weapon Skill",WEAP!$A$1:$BF$1,0))</f>
        <v>Crimson Wildfire</v>
      </c>
      <c r="J1187" s="243">
        <f>INDEX('W-S'!$A:$N,MATCH(I1187,'W-S'!$C:$C,0),MATCH("SP Cost",'W-S'!$1:$1,0))</f>
        <v>7299</v>
      </c>
      <c r="K1187" s="9"/>
      <c r="L1187" s="241" t="str">
        <f>+I1187</f>
        <v>Crimson Wildfire</v>
      </c>
      <c r="M1187" s="243">
        <f>INDEX('W-S'!$A:$N,MATCH(L1187,'W-S'!$C:$C,0),MATCH("SP Cost V3",'W-S'!$1:$1,0))</f>
        <v>6000</v>
      </c>
    </row>
    <row r="1188" spans="1:13" ht="22.5" x14ac:dyDescent="0.35">
      <c r="B1188" s="238" t="str">
        <f>+INDEX(WEAP!$A:$AN,MATCH(B1187,WEAP!$B:$B,0),MATCH("ID",WEAP!$A$1:$BF$1,0))</f>
        <v>305118_01</v>
      </c>
      <c r="C1188" s="240"/>
      <c r="D1188" s="692" t="str">
        <f>+INDEX(WEAP!$A:$AN,MATCH(B1187,WEAP!$B:$B,0),MATCH("Family",WEAP!$A$1:$BF$1,0))&amp;" Weapon"</f>
        <v>HDT Weapon</v>
      </c>
      <c r="E1188" s="693"/>
      <c r="F1188" s="693"/>
      <c r="G1188" s="694"/>
      <c r="H1188" s="8"/>
      <c r="I1188" s="695" t="str">
        <f>INDEX('W-S'!$A:$O,MATCH(I1187,'W-S'!$C:$C,0),MATCH("Description",'W-S'!$1:$1,0))</f>
        <v>Deals 2 hits of 461% flame damage to the target and nearby enemies.</v>
      </c>
      <c r="J1188" s="696"/>
      <c r="K1188" s="239"/>
      <c r="L1188" s="695" t="str">
        <f>INDEX('W-S'!$A:$O,MATCH(I1187,'W-S'!$C:$C,0),MATCH("Description V3",'W-S'!$1:$1,0))</f>
        <v>Deals 2 hits of 750% flame damage to the target and nearby enemies, and lowers their flame resistance by 10% for 20 seconds. This resistance reduction will not stack.</v>
      </c>
      <c r="M1188" s="696"/>
    </row>
    <row r="1189" spans="1:13" ht="22.5" x14ac:dyDescent="0.2">
      <c r="B1189" s="701" t="e" vm="190">
        <f>+_xlfn.IMAGE("https://natalie.tf/wp-content/uploads/2023/10/DLV3_Icon_Weapon_"&amp;B1188&amp;".png")</f>
        <v>#VALUE!</v>
      </c>
      <c r="C1189" s="240"/>
      <c r="D1189" s="692" t="str">
        <f>INDEX(WEAP!$A:$AN,MATCH(B1188,WEAP!$A:$A,0),MATCH("Element",WEAP!$A$1:$BF$1,0))&amp;" "&amp;INDEX(WEAP!$A:$AN,MATCH(B1188,WEAP!$A:$A,0),MATCH("Type",WEAP!$A$1:$BF$1,0))</f>
        <v>Flame Lance</v>
      </c>
      <c r="E1189" s="693"/>
      <c r="F1189" s="693"/>
      <c r="G1189" s="694"/>
      <c r="H1189" s="8"/>
      <c r="I1189" s="697"/>
      <c r="J1189" s="698"/>
      <c r="K1189" s="9"/>
      <c r="L1189" s="697"/>
      <c r="M1189" s="698"/>
    </row>
    <row r="1190" spans="1:13" ht="22.5" x14ac:dyDescent="0.35">
      <c r="B1190" s="702"/>
      <c r="C1190" s="239"/>
      <c r="D1190" s="703" t="s">
        <v>10760</v>
      </c>
      <c r="E1190" s="704"/>
      <c r="F1190" s="235" t="s">
        <v>10761</v>
      </c>
      <c r="G1190" s="235" t="s">
        <v>10762</v>
      </c>
      <c r="I1190" s="697"/>
      <c r="J1190" s="698"/>
      <c r="K1190" s="239"/>
      <c r="L1190" s="697"/>
      <c r="M1190" s="698"/>
    </row>
    <row r="1191" spans="1:13" ht="22.5" x14ac:dyDescent="0.35">
      <c r="B1191" s="702"/>
      <c r="C1191" s="239"/>
      <c r="D1191" s="705" t="s">
        <v>96</v>
      </c>
      <c r="E1191" s="706"/>
      <c r="F1191" s="236">
        <f>INDEX(WEAP!$A:$AN,MATCH(B1188,WEAP!$A:$A,0),MATCH("HP",WEAP!$A$1:$BF$1,0))</f>
        <v>240</v>
      </c>
      <c r="G1191" s="237">
        <f>INDEX(WEAP!$A:$AN,MATCH(B1188,WEAP!$A:$A,0),MATCH("HP V3",WEAP!$A$1:$BF$1,0))</f>
        <v>275</v>
      </c>
      <c r="I1191" s="697"/>
      <c r="J1191" s="698"/>
      <c r="K1191" s="239"/>
      <c r="L1191" s="697"/>
      <c r="M1191" s="698"/>
    </row>
    <row r="1192" spans="1:13" ht="22.5" x14ac:dyDescent="0.35">
      <c r="B1192" s="702"/>
      <c r="C1192" s="239"/>
      <c r="D1192" s="707" t="s">
        <v>97</v>
      </c>
      <c r="E1192" s="708"/>
      <c r="F1192" s="236">
        <f>INDEX(WEAP!$A:$AN,MATCH(B1188,WEAP!$A:$A,0),MATCH("Str",WEAP!$A$1:$BF$1,0))</f>
        <v>1560</v>
      </c>
      <c r="G1192" s="237">
        <f>INDEX(WEAP!$A:$AN,MATCH(B1188,WEAP!$A:$A,0),MATCH("Str V3",WEAP!$A$1:$BF$1,0))</f>
        <v>1560</v>
      </c>
      <c r="I1192" s="699"/>
      <c r="J1192" s="700"/>
      <c r="K1192" s="239"/>
      <c r="L1192" s="699"/>
      <c r="M1192" s="700"/>
    </row>
    <row r="1193" spans="1:13" ht="33.75" customHeight="1" x14ac:dyDescent="0.2">
      <c r="A1193" t="s">
        <v>10763</v>
      </c>
    </row>
    <row r="1194" spans="1:13" ht="22.5" x14ac:dyDescent="0.35">
      <c r="A1194" s="244" t="str">
        <f>TEXT(A1187+1,"000")</f>
        <v>171</v>
      </c>
      <c r="B1194" s="238" t="str">
        <f>"W-"&amp;A1194</f>
        <v>W-171</v>
      </c>
      <c r="C1194" s="239"/>
      <c r="D1194" s="692" t="str">
        <f>+INDEX(WEAP!$A:$AN,MATCH(B1195,WEAP!$A:$A,0),MATCH("Name",WEAP!$A$1:$BF$1,0))</f>
        <v>Valkyrie's Fire</v>
      </c>
      <c r="E1194" s="693"/>
      <c r="F1194" s="693"/>
      <c r="G1194" s="694"/>
      <c r="I1194" s="241" t="str">
        <f>+INDEX(WEAP!$A:$AN,MATCH(B1195,WEAP!$A:$A,0),MATCH("Weapon Skill",WEAP!$A$1:$BF$1,0))</f>
        <v>Valkyrie's Heroic Raid</v>
      </c>
      <c r="J1194" s="243">
        <f>INDEX('W-S'!$A:$N,MATCH(I1194,'W-S'!$C:$C,0),MATCH("SP Cost",'W-S'!$1:$1,0))</f>
        <v>6750</v>
      </c>
      <c r="K1194" s="9"/>
      <c r="L1194" s="241" t="str">
        <f>+I1194</f>
        <v>Valkyrie's Heroic Raid</v>
      </c>
      <c r="M1194" s="243">
        <f>INDEX('W-S'!$A:$N,MATCH(L1194,'W-S'!$C:$C,0),MATCH("SP Cost V3",'W-S'!$1:$1,0))</f>
        <v>6000</v>
      </c>
    </row>
    <row r="1195" spans="1:13" ht="22.5" x14ac:dyDescent="0.35">
      <c r="B1195" s="238" t="str">
        <f>+INDEX(WEAP!$A:$AN,MATCH(B1194,WEAP!$B:$B,0),MATCH("ID",WEAP!$A$1:$BF$1,0))</f>
        <v>306111_01</v>
      </c>
      <c r="C1195" s="240"/>
      <c r="D1195" s="692" t="str">
        <f>+INDEX(WEAP!$A:$AN,MATCH(B1194,WEAP!$B:$B,0),MATCH("Family",WEAP!$A$1:$BF$1,0))&amp;" Weapon"</f>
        <v>HDT Weapon</v>
      </c>
      <c r="E1195" s="693"/>
      <c r="F1195" s="693"/>
      <c r="G1195" s="694"/>
      <c r="H1195" s="8"/>
      <c r="I1195" s="695" t="str">
        <f>INDEX('W-S'!$A:$O,MATCH(I1194,'W-S'!$C:$C,0),MATCH("Description",'W-S'!$1:$1,0))</f>
        <v>Deals 3 hits of 316% damage to enemies in a line.</v>
      </c>
      <c r="J1195" s="696"/>
      <c r="K1195" s="239"/>
      <c r="L1195" s="695" t="str">
        <f>INDEX('W-S'!$A:$O,MATCH(I1194,'W-S'!$C:$C,0),MATCH("Description V3",'W-S'!$1:$1,0))</f>
        <v>Deals 3 hits of 500% damage to enemies in a line, and lowers their flame resistance by 10% for 20 seconds. This resistance reduction will not stack.</v>
      </c>
      <c r="M1195" s="696"/>
    </row>
    <row r="1196" spans="1:13" ht="22.5" x14ac:dyDescent="0.2">
      <c r="B1196" s="701" t="e" vm="191">
        <f>+_xlfn.IMAGE("https://natalie.tf/wp-content/uploads/2023/10/DLV3_Icon_Weapon_"&amp;B1195&amp;".png")</f>
        <v>#VALUE!</v>
      </c>
      <c r="C1196" s="240"/>
      <c r="D1196" s="692" t="str">
        <f>INDEX(WEAP!$A:$AN,MATCH(B1195,WEAP!$A:$A,0),MATCH("Element",WEAP!$A$1:$BF$1,0))&amp;" "&amp;INDEX(WEAP!$A:$AN,MATCH(B1195,WEAP!$A:$A,0),MATCH("Type",WEAP!$A$1:$BF$1,0))</f>
        <v>Flame Bow</v>
      </c>
      <c r="E1196" s="693"/>
      <c r="F1196" s="693"/>
      <c r="G1196" s="694"/>
      <c r="H1196" s="8"/>
      <c r="I1196" s="697"/>
      <c r="J1196" s="698"/>
      <c r="K1196" s="9"/>
      <c r="L1196" s="697"/>
      <c r="M1196" s="698"/>
    </row>
    <row r="1197" spans="1:13" ht="22.5" x14ac:dyDescent="0.35">
      <c r="B1197" s="702"/>
      <c r="C1197" s="239"/>
      <c r="D1197" s="703" t="s">
        <v>10760</v>
      </c>
      <c r="E1197" s="704"/>
      <c r="F1197" s="235" t="s">
        <v>10761</v>
      </c>
      <c r="G1197" s="235" t="s">
        <v>10762</v>
      </c>
      <c r="I1197" s="697"/>
      <c r="J1197" s="698"/>
      <c r="K1197" s="239"/>
      <c r="L1197" s="697"/>
      <c r="M1197" s="698"/>
    </row>
    <row r="1198" spans="1:13" ht="22.5" x14ac:dyDescent="0.35">
      <c r="B1198" s="702"/>
      <c r="C1198" s="239"/>
      <c r="D1198" s="705" t="s">
        <v>96</v>
      </c>
      <c r="E1198" s="706"/>
      <c r="F1198" s="236">
        <f>INDEX(WEAP!$A:$AN,MATCH(B1195,WEAP!$A:$A,0),MATCH("HP",WEAP!$A$1:$BF$1,0))</f>
        <v>230</v>
      </c>
      <c r="G1198" s="237">
        <f>INDEX(WEAP!$A:$AN,MATCH(B1195,WEAP!$A:$A,0),MATCH("HP V3",WEAP!$A$1:$BF$1,0))</f>
        <v>280</v>
      </c>
      <c r="I1198" s="697"/>
      <c r="J1198" s="698"/>
      <c r="K1198" s="239"/>
      <c r="L1198" s="697"/>
      <c r="M1198" s="698"/>
    </row>
    <row r="1199" spans="1:13" ht="22.5" x14ac:dyDescent="0.35">
      <c r="B1199" s="702"/>
      <c r="C1199" s="239"/>
      <c r="D1199" s="707" t="s">
        <v>97</v>
      </c>
      <c r="E1199" s="708"/>
      <c r="F1199" s="236">
        <f>INDEX(WEAP!$A:$AN,MATCH(B1195,WEAP!$A:$A,0),MATCH("Str",WEAP!$A$1:$BF$1,0))</f>
        <v>1468</v>
      </c>
      <c r="G1199" s="237">
        <f>INDEX(WEAP!$A:$AN,MATCH(B1195,WEAP!$A:$A,0),MATCH("Str V3",WEAP!$A$1:$BF$1,0))</f>
        <v>1470</v>
      </c>
      <c r="I1199" s="699"/>
      <c r="J1199" s="700"/>
      <c r="K1199" s="239"/>
      <c r="L1199" s="699"/>
      <c r="M1199" s="700"/>
    </row>
    <row r="1200" spans="1:13" s="245" customFormat="1" ht="7.5" customHeight="1" x14ac:dyDescent="0.2">
      <c r="A1200" s="245" t="s">
        <v>10763</v>
      </c>
    </row>
    <row r="1201" spans="1:13" ht="22.5" x14ac:dyDescent="0.35">
      <c r="A1201" s="242" t="str">
        <f>TEXT(A1194+1,"000")</f>
        <v>172</v>
      </c>
      <c r="B1201" s="238" t="str">
        <f>"W-"&amp;A1201</f>
        <v>W-172</v>
      </c>
      <c r="C1201" s="239"/>
      <c r="D1201" s="692" t="str">
        <f>+INDEX(WEAP!$A:$AN,MATCH(B1202,WEAP!$A:$A,0),MATCH("Name",WEAP!$A$1:$BF$1,0))</f>
        <v>Infernoblaze</v>
      </c>
      <c r="E1201" s="693"/>
      <c r="F1201" s="693"/>
      <c r="G1201" s="694"/>
      <c r="I1201" s="241" t="str">
        <f>+INDEX(WEAP!$A:$AN,MATCH(B1202,WEAP!$A:$A,0),MATCH("Weapon Skill",WEAP!$A$1:$BF$1,0))</f>
        <v>Adoring Flames</v>
      </c>
      <c r="J1201" s="243">
        <f>INDEX('W-S'!$A:$N,MATCH(I1201,'W-S'!$C:$C,0),MATCH("SP Cost",'W-S'!$1:$1,0))</f>
        <v>7635</v>
      </c>
      <c r="K1201" s="9"/>
      <c r="L1201" s="241" t="str">
        <f>+I1201</f>
        <v>Adoring Flames</v>
      </c>
      <c r="M1201" s="243">
        <f>INDEX('W-S'!$A:$N,MATCH(L1201,'W-S'!$C:$C,0),MATCH("SP Cost V3",'W-S'!$1:$1,0))</f>
        <v>6000</v>
      </c>
    </row>
    <row r="1202" spans="1:13" ht="22.5" x14ac:dyDescent="0.35">
      <c r="B1202" s="238" t="str">
        <f>+INDEX(WEAP!$A:$AN,MATCH(B1201,WEAP!$B:$B,0),MATCH("ID",WEAP!$A$1:$BF$1,0))</f>
        <v>307119_01</v>
      </c>
      <c r="C1202" s="240"/>
      <c r="D1202" s="692" t="str">
        <f>+INDEX(WEAP!$A:$AN,MATCH(B1201,WEAP!$B:$B,0),MATCH("Family",WEAP!$A$1:$BF$1,0))&amp;" Weapon"</f>
        <v>HDT Weapon</v>
      </c>
      <c r="E1202" s="693"/>
      <c r="F1202" s="693"/>
      <c r="G1202" s="694"/>
      <c r="H1202" s="8"/>
      <c r="I1202" s="695" t="str">
        <f>INDEX('W-S'!$A:$O,MATCH(I1201,'W-S'!$C:$C,0),MATCH("Description",'W-S'!$1:$1,0))</f>
        <v>Deals 4 hits of 243% flame damage to enemies in a line.</v>
      </c>
      <c r="J1202" s="696"/>
      <c r="K1202" s="239"/>
      <c r="L1202" s="695" t="str">
        <f>INDEX('W-S'!$A:$O,MATCH(I1201,'W-S'!$C:$C,0),MATCH("Description V3",'W-S'!$1:$1,0))</f>
        <v>Deals 4 hits of 375% flame damage to enemies in a line, and lowers their flame resistance by 10% for 20 seconds. This resistance reduction will not stack.</v>
      </c>
      <c r="M1202" s="696"/>
    </row>
    <row r="1203" spans="1:13" ht="22.5" x14ac:dyDescent="0.2">
      <c r="B1203" s="701" t="e" vm="192">
        <f>+_xlfn.IMAGE("https://natalie.tf/wp-content/uploads/2023/10/DLV3_Icon_Weapon_"&amp;B1202&amp;".png")</f>
        <v>#VALUE!</v>
      </c>
      <c r="C1203" s="240"/>
      <c r="D1203" s="692" t="str">
        <f>INDEX(WEAP!$A:$AN,MATCH(B1202,WEAP!$A:$A,0),MATCH("Element",WEAP!$A$1:$BF$1,0))&amp;" "&amp;INDEX(WEAP!$A:$AN,MATCH(B1202,WEAP!$A:$A,0),MATCH("Type",WEAP!$A$1:$BF$1,0))</f>
        <v>Flame Wand</v>
      </c>
      <c r="E1203" s="693"/>
      <c r="F1203" s="693"/>
      <c r="G1203" s="694"/>
      <c r="H1203" s="8"/>
      <c r="I1203" s="697"/>
      <c r="J1203" s="698"/>
      <c r="K1203" s="9"/>
      <c r="L1203" s="697"/>
      <c r="M1203" s="698"/>
    </row>
    <row r="1204" spans="1:13" ht="22.5" x14ac:dyDescent="0.35">
      <c r="B1204" s="702"/>
      <c r="C1204" s="239"/>
      <c r="D1204" s="703" t="s">
        <v>10760</v>
      </c>
      <c r="E1204" s="704"/>
      <c r="F1204" s="235" t="s">
        <v>10761</v>
      </c>
      <c r="G1204" s="235" t="s">
        <v>10762</v>
      </c>
      <c r="I1204" s="697"/>
      <c r="J1204" s="698"/>
      <c r="K1204" s="239"/>
      <c r="L1204" s="697"/>
      <c r="M1204" s="698"/>
    </row>
    <row r="1205" spans="1:13" ht="22.5" x14ac:dyDescent="0.35">
      <c r="B1205" s="702"/>
      <c r="C1205" s="239"/>
      <c r="D1205" s="705" t="s">
        <v>96</v>
      </c>
      <c r="E1205" s="706"/>
      <c r="F1205" s="236">
        <f>INDEX(WEAP!$A:$AN,MATCH(B1202,WEAP!$A:$A,0),MATCH("HP",WEAP!$A$1:$BF$1,0))</f>
        <v>251</v>
      </c>
      <c r="G1205" s="237">
        <f>INDEX(WEAP!$A:$AN,MATCH(B1202,WEAP!$A:$A,0),MATCH("HP V3",WEAP!$A$1:$BF$1,0))</f>
        <v>275</v>
      </c>
      <c r="I1205" s="697"/>
      <c r="J1205" s="698"/>
      <c r="K1205" s="239"/>
      <c r="L1205" s="697"/>
      <c r="M1205" s="698"/>
    </row>
    <row r="1206" spans="1:13" ht="22.5" x14ac:dyDescent="0.35">
      <c r="B1206" s="702"/>
      <c r="C1206" s="239"/>
      <c r="D1206" s="707" t="s">
        <v>97</v>
      </c>
      <c r="E1206" s="708"/>
      <c r="F1206" s="236">
        <f>INDEX(WEAP!$A:$AN,MATCH(B1202,WEAP!$A:$A,0),MATCH("Str",WEAP!$A$1:$BF$1,0))</f>
        <v>1453</v>
      </c>
      <c r="G1206" s="237">
        <f>INDEX(WEAP!$A:$AN,MATCH(B1202,WEAP!$A:$A,0),MATCH("Str V3",WEAP!$A$1:$BF$1,0))</f>
        <v>1575</v>
      </c>
      <c r="I1206" s="699"/>
      <c r="J1206" s="700"/>
      <c r="K1206" s="239"/>
      <c r="L1206" s="699"/>
      <c r="M1206" s="700"/>
    </row>
    <row r="1207" spans="1:13" s="245" customFormat="1" ht="7.5" customHeight="1" x14ac:dyDescent="0.2">
      <c r="A1207" s="245" t="s">
        <v>10763</v>
      </c>
    </row>
    <row r="1208" spans="1:13" ht="22.5" x14ac:dyDescent="0.35">
      <c r="A1208" s="244" t="str">
        <f>TEXT(A1201+1,"000")</f>
        <v>173</v>
      </c>
      <c r="B1208" s="238" t="str">
        <f>"W-"&amp;A1208</f>
        <v>W-173</v>
      </c>
      <c r="C1208" s="239"/>
      <c r="D1208" s="692" t="str">
        <f>+INDEX(WEAP!$A:$AN,MATCH(B1209,WEAP!$A:$A,0),MATCH("Name",WEAP!$A$1:$BF$1,0))</f>
        <v>Blazegambol</v>
      </c>
      <c r="E1208" s="693"/>
      <c r="F1208" s="693"/>
      <c r="G1208" s="694"/>
      <c r="I1208" s="241" t="str">
        <f>+INDEX(WEAP!$A:$AN,MATCH(B1209,WEAP!$A:$A,0),MATCH("Weapon Skill",WEAP!$A$1:$BF$1,0))</f>
        <v>Gambolling Flames</v>
      </c>
      <c r="J1208" s="243">
        <f>INDEX('W-S'!$A:$N,MATCH(I1208,'W-S'!$C:$C,0),MATCH("SP Cost",'W-S'!$1:$1,0))</f>
        <v>13684</v>
      </c>
      <c r="K1208" s="9"/>
      <c r="L1208" s="241" t="str">
        <f>+I1208</f>
        <v>Gambolling Flames</v>
      </c>
      <c r="M1208" s="243">
        <f>INDEX('W-S'!$A:$N,MATCH(L1208,'W-S'!$C:$C,0),MATCH("SP Cost V3",'W-S'!$1:$1,0))</f>
        <v>6000</v>
      </c>
    </row>
    <row r="1209" spans="1:13" ht="22.5" x14ac:dyDescent="0.35">
      <c r="B1209" s="238" t="str">
        <f>+INDEX(WEAP!$A:$AN,MATCH(B1208,WEAP!$B:$B,0),MATCH("ID",WEAP!$A$1:$BF$1,0))</f>
        <v>308112_01</v>
      </c>
      <c r="C1209" s="240"/>
      <c r="D1209" s="692" t="str">
        <f>+INDEX(WEAP!$A:$AN,MATCH(B1208,WEAP!$B:$B,0),MATCH("Family",WEAP!$A$1:$BF$1,0))&amp;" Weapon"</f>
        <v>HDT Weapon</v>
      </c>
      <c r="E1209" s="693"/>
      <c r="F1209" s="693"/>
      <c r="G1209" s="694"/>
      <c r="H1209" s="8"/>
      <c r="I1209" s="695" t="str">
        <f>INDEX('W-S'!$A:$O,MATCH(I1208,'W-S'!$C:$C,0),MATCH("Description",'W-S'!$1:$1,0))</f>
        <v>Deals 4 hits of 143% flame damage to enemies in a line.</v>
      </c>
      <c r="J1209" s="696"/>
      <c r="K1209" s="239"/>
      <c r="L1209" s="695" t="str">
        <f>INDEX('W-S'!$A:$O,MATCH(I1208,'W-S'!$C:$C,0),MATCH("Description V3",'W-S'!$1:$1,0))</f>
        <v>Deals 4 hits of 375% flame damage to enemies in a line, and lowers their flame resistance by 10% for 20 seconds. This resistance reduction will not stack.</v>
      </c>
      <c r="M1209" s="696"/>
    </row>
    <row r="1210" spans="1:13" ht="22.5" x14ac:dyDescent="0.2">
      <c r="B1210" s="701" t="e" vm="193">
        <f>+_xlfn.IMAGE("https://natalie.tf/wp-content/uploads/2023/10/DLV3_Icon_Weapon_"&amp;B1209&amp;".png")</f>
        <v>#VALUE!</v>
      </c>
      <c r="C1210" s="240"/>
      <c r="D1210" s="692" t="str">
        <f>INDEX(WEAP!$A:$AN,MATCH(B1209,WEAP!$A:$A,0),MATCH("Element",WEAP!$A$1:$BF$1,0))&amp;" "&amp;INDEX(WEAP!$A:$AN,MATCH(B1209,WEAP!$A:$A,0),MATCH("Type",WEAP!$A$1:$BF$1,0))</f>
        <v>Flame Staff</v>
      </c>
      <c r="E1210" s="693"/>
      <c r="F1210" s="693"/>
      <c r="G1210" s="694"/>
      <c r="H1210" s="8"/>
      <c r="I1210" s="697"/>
      <c r="J1210" s="698"/>
      <c r="K1210" s="9"/>
      <c r="L1210" s="697"/>
      <c r="M1210" s="698"/>
    </row>
    <row r="1211" spans="1:13" ht="22.5" x14ac:dyDescent="0.35">
      <c r="B1211" s="702"/>
      <c r="C1211" s="239"/>
      <c r="D1211" s="703" t="s">
        <v>10760</v>
      </c>
      <c r="E1211" s="704"/>
      <c r="F1211" s="235" t="s">
        <v>10761</v>
      </c>
      <c r="G1211" s="235" t="s">
        <v>10762</v>
      </c>
      <c r="I1211" s="697"/>
      <c r="J1211" s="698"/>
      <c r="K1211" s="239"/>
      <c r="L1211" s="697"/>
      <c r="M1211" s="698"/>
    </row>
    <row r="1212" spans="1:13" ht="22.5" x14ac:dyDescent="0.35">
      <c r="B1212" s="702"/>
      <c r="C1212" s="239"/>
      <c r="D1212" s="705" t="s">
        <v>96</v>
      </c>
      <c r="E1212" s="706"/>
      <c r="F1212" s="236">
        <f>INDEX(WEAP!$A:$AN,MATCH(B1209,WEAP!$A:$A,0),MATCH("HP",WEAP!$A$1:$BF$1,0))</f>
        <v>286</v>
      </c>
      <c r="G1212" s="237">
        <f>INDEX(WEAP!$A:$AN,MATCH(B1209,WEAP!$A:$A,0),MATCH("HP V3",WEAP!$A$1:$BF$1,0))</f>
        <v>325</v>
      </c>
      <c r="I1212" s="697"/>
      <c r="J1212" s="698"/>
      <c r="K1212" s="239"/>
      <c r="L1212" s="697"/>
      <c r="M1212" s="698"/>
    </row>
    <row r="1213" spans="1:13" ht="22.5" x14ac:dyDescent="0.35">
      <c r="B1213" s="702"/>
      <c r="C1213" s="239"/>
      <c r="D1213" s="707" t="s">
        <v>97</v>
      </c>
      <c r="E1213" s="708"/>
      <c r="F1213" s="236">
        <f>INDEX(WEAP!$A:$AN,MATCH(B1209,WEAP!$A:$A,0),MATCH("Str",WEAP!$A$1:$BF$1,0))</f>
        <v>1368</v>
      </c>
      <c r="G1213" s="237">
        <f>INDEX(WEAP!$A:$AN,MATCH(B1209,WEAP!$A:$A,0),MATCH("Str V3",WEAP!$A$1:$BF$1,0))</f>
        <v>1370</v>
      </c>
      <c r="I1213" s="699"/>
      <c r="J1213" s="700"/>
      <c r="K1213" s="239"/>
      <c r="L1213" s="699"/>
      <c r="M1213" s="700"/>
    </row>
    <row r="1214" spans="1:13" s="245" customFormat="1" ht="7.5" customHeight="1" x14ac:dyDescent="0.2">
      <c r="A1214" s="245" t="s">
        <v>10763</v>
      </c>
    </row>
    <row r="1215" spans="1:13" ht="22.5" x14ac:dyDescent="0.35">
      <c r="A1215" s="244" t="str">
        <f>TEXT(A1208+1,"000")</f>
        <v>174</v>
      </c>
      <c r="B1215" s="238" t="str">
        <f>"W-"&amp;A1215</f>
        <v>W-174</v>
      </c>
      <c r="C1215" s="239"/>
      <c r="D1215" s="692" t="str">
        <f>+INDEX(WEAP!$A:$AN,MATCH(B1216,WEAP!$A:$A,0),MATCH("Name",WEAP!$A$1:$BF$1,0))</f>
        <v>Crimson Trigger</v>
      </c>
      <c r="E1215" s="693"/>
      <c r="F1215" s="693"/>
      <c r="G1215" s="694"/>
      <c r="I1215" s="241" t="str">
        <f>+INDEX(WEAP!$A:$AN,MATCH(B1216,WEAP!$A:$A,0),MATCH("Weapon Skill",WEAP!$A$1:$BF$1,0))</f>
        <v>Crimson Howitzer</v>
      </c>
      <c r="J1215" s="243">
        <f>INDEX('W-S'!$A:$N,MATCH(I1215,'W-S'!$C:$C,0),MATCH("SP Cost",'W-S'!$1:$1,0))</f>
        <v>7316</v>
      </c>
      <c r="K1215" s="9"/>
      <c r="L1215" s="241" t="str">
        <f>+I1215</f>
        <v>Crimson Howitzer</v>
      </c>
      <c r="M1215" s="243">
        <f>INDEX('W-S'!$A:$N,MATCH(L1215,'W-S'!$C:$C,0),MATCH("SP Cost V3",'W-S'!$1:$1,0))</f>
        <v>6000</v>
      </c>
    </row>
    <row r="1216" spans="1:13" ht="22.5" x14ac:dyDescent="0.35">
      <c r="B1216" s="238" t="str">
        <f>+INDEX(WEAP!$A:$AN,MATCH(B1215,WEAP!$B:$B,0),MATCH("ID",WEAP!$A$1:$BF$1,0))</f>
        <v>309021_01</v>
      </c>
      <c r="C1216" s="240"/>
      <c r="D1216" s="692" t="str">
        <f>+INDEX(WEAP!$A:$AN,MATCH(B1215,WEAP!$B:$B,0),MATCH("Family",WEAP!$A$1:$BF$1,0))&amp;" Weapon"</f>
        <v>HDT Weapon</v>
      </c>
      <c r="E1216" s="693"/>
      <c r="F1216" s="693"/>
      <c r="G1216" s="694"/>
      <c r="H1216" s="8"/>
      <c r="I1216" s="695" t="str">
        <f>INDEX('W-S'!$A:$O,MATCH(I1215,'W-S'!$C:$C,0),MATCH("Description",'W-S'!$1:$1,0))</f>
        <v>Deals 25 hits of 41% flame damage to enemies directly ahead.</v>
      </c>
      <c r="J1216" s="696"/>
      <c r="K1216" s="239"/>
      <c r="L1216" s="695" t="str">
        <f>INDEX('W-S'!$A:$O,MATCH(I1215,'W-S'!$C:$C,0),MATCH("Description V3",'W-S'!$1:$1,0))</f>
        <v>Deals 25 hits of 60% flame damage to enemies directly ahead, and lowers their flame resistance by 10% for 20 seconds. This resistance reduction will not stack.</v>
      </c>
      <c r="M1216" s="696"/>
    </row>
    <row r="1217" spans="1:13" ht="22.5" x14ac:dyDescent="0.2">
      <c r="B1217" s="701" t="e" vm="194">
        <f>+_xlfn.IMAGE("https://natalie.tf/wp-content/uploads/2023/10/DLV3_Icon_Weapon_"&amp;B1216&amp;".png")</f>
        <v>#VALUE!</v>
      </c>
      <c r="C1217" s="240"/>
      <c r="D1217" s="692" t="str">
        <f>INDEX(WEAP!$A:$AN,MATCH(B1216,WEAP!$A:$A,0),MATCH("Element",WEAP!$A$1:$BF$1,0))&amp;" "&amp;INDEX(WEAP!$A:$AN,MATCH(B1216,WEAP!$A:$A,0),MATCH("Type",WEAP!$A$1:$BF$1,0))</f>
        <v>Flame Manacaster</v>
      </c>
      <c r="E1217" s="693"/>
      <c r="F1217" s="693"/>
      <c r="G1217" s="694"/>
      <c r="H1217" s="8"/>
      <c r="I1217" s="697"/>
      <c r="J1217" s="698"/>
      <c r="K1217" s="9"/>
      <c r="L1217" s="697"/>
      <c r="M1217" s="698"/>
    </row>
    <row r="1218" spans="1:13" ht="22.5" x14ac:dyDescent="0.35">
      <c r="B1218" s="702"/>
      <c r="C1218" s="239"/>
      <c r="D1218" s="703" t="s">
        <v>10760</v>
      </c>
      <c r="E1218" s="704"/>
      <c r="F1218" s="235" t="s">
        <v>10761</v>
      </c>
      <c r="G1218" s="235" t="s">
        <v>10762</v>
      </c>
      <c r="I1218" s="697"/>
      <c r="J1218" s="698"/>
      <c r="K1218" s="239"/>
      <c r="L1218" s="697"/>
      <c r="M1218" s="698"/>
    </row>
    <row r="1219" spans="1:13" ht="22.5" x14ac:dyDescent="0.35">
      <c r="B1219" s="702"/>
      <c r="C1219" s="239"/>
      <c r="D1219" s="705" t="s">
        <v>96</v>
      </c>
      <c r="E1219" s="706"/>
      <c r="F1219" s="236">
        <f>INDEX(WEAP!$A:$AN,MATCH(B1216,WEAP!$A:$A,0),MATCH("HP",WEAP!$A$1:$BF$1,0))</f>
        <v>216</v>
      </c>
      <c r="G1219" s="237">
        <f>INDEX(WEAP!$A:$AN,MATCH(B1216,WEAP!$A:$A,0),MATCH("HP V3",WEAP!$A$1:$BF$1,0))</f>
        <v>270</v>
      </c>
      <c r="I1219" s="697"/>
      <c r="J1219" s="698"/>
      <c r="K1219" s="239"/>
      <c r="L1219" s="697"/>
      <c r="M1219" s="698"/>
    </row>
    <row r="1220" spans="1:13" ht="22.5" x14ac:dyDescent="0.35">
      <c r="B1220" s="702"/>
      <c r="C1220" s="239"/>
      <c r="D1220" s="707" t="s">
        <v>97</v>
      </c>
      <c r="E1220" s="708"/>
      <c r="F1220" s="236">
        <f>INDEX(WEAP!$A:$AN,MATCH(B1216,WEAP!$A:$A,0),MATCH("Str",WEAP!$A$1:$BF$1,0))</f>
        <v>1591</v>
      </c>
      <c r="G1220" s="237">
        <f>INDEX(WEAP!$A:$AN,MATCH(B1216,WEAP!$A:$A,0),MATCH("Str V3",WEAP!$A$1:$BF$1,0))</f>
        <v>1595</v>
      </c>
      <c r="I1220" s="699"/>
      <c r="J1220" s="700"/>
      <c r="K1220" s="239"/>
      <c r="L1220" s="699"/>
      <c r="M1220" s="700"/>
    </row>
    <row r="1221" spans="1:13" s="245" customFormat="1" ht="7.5" customHeight="1" x14ac:dyDescent="0.2">
      <c r="A1221" s="245" t="s">
        <v>10763</v>
      </c>
    </row>
    <row r="1222" spans="1:13" ht="22.5" x14ac:dyDescent="0.35">
      <c r="A1222" s="244" t="str">
        <f>TEXT(A1215+1,"000")</f>
        <v>175</v>
      </c>
      <c r="B1222" s="238" t="str">
        <f>"W-"&amp;A1222</f>
        <v>W-175</v>
      </c>
      <c r="C1222" s="239"/>
      <c r="D1222" s="692" t="str">
        <f>+INDEX(WEAP!$A:$AN,MATCH(B1223,WEAP!$A:$A,0),MATCH("Name",WEAP!$A$1:$BF$1,0))</f>
        <v>Absolute Aqua</v>
      </c>
      <c r="E1222" s="693"/>
      <c r="F1222" s="693"/>
      <c r="G1222" s="694"/>
      <c r="I1222" s="241" t="str">
        <f>+INDEX(WEAP!$A:$AN,MATCH(B1223,WEAP!$A:$A,0),MATCH("Weapon Skill",WEAP!$A$1:$BF$1,0))</f>
        <v>Infinite Aqua</v>
      </c>
      <c r="J1222" s="243">
        <f>INDEX('W-S'!$A:$N,MATCH(I1222,'W-S'!$C:$C,0),MATCH("SP Cost",'W-S'!$1:$1,0))</f>
        <v>6418</v>
      </c>
      <c r="K1222" s="9"/>
      <c r="L1222" s="241" t="str">
        <f>+I1222</f>
        <v>Infinite Aqua</v>
      </c>
      <c r="M1222" s="243">
        <f>INDEX('W-S'!$A:$N,MATCH(L1222,'W-S'!$C:$C,0),MATCH("SP Cost V3",'W-S'!$1:$1,0))</f>
        <v>6000</v>
      </c>
    </row>
    <row r="1223" spans="1:13" ht="22.5" x14ac:dyDescent="0.35">
      <c r="B1223" s="238" t="str">
        <f>+INDEX(WEAP!$A:$AN,MATCH(B1222,WEAP!$B:$B,0),MATCH("ID",WEAP!$A$1:$BF$1,0))</f>
        <v>301120_01</v>
      </c>
      <c r="C1223" s="240"/>
      <c r="D1223" s="692" t="str">
        <f>+INDEX(WEAP!$A:$AN,MATCH(B1222,WEAP!$B:$B,0),MATCH("Family",WEAP!$A$1:$BF$1,0))&amp;" Weapon"</f>
        <v>HDT Weapon</v>
      </c>
      <c r="E1223" s="693"/>
      <c r="F1223" s="693"/>
      <c r="G1223" s="694"/>
      <c r="H1223" s="8"/>
      <c r="I1223" s="695" t="str">
        <f>INDEX('W-S'!$A:$O,MATCH(I1222,'W-S'!$C:$C,0),MATCH("Description",'W-S'!$1:$1,0))</f>
        <v>Deals 3 hits of 248% water damage to surrounding enemies.</v>
      </c>
      <c r="J1223" s="696"/>
      <c r="K1223" s="239"/>
      <c r="L1223" s="695" t="str">
        <f>INDEX('W-S'!$A:$O,MATCH(I1222,'W-S'!$C:$C,0),MATCH("Description V3",'W-S'!$1:$1,0))</f>
        <v>Deals 3 hits of 500% water damage to surrounding enemies, and lowers their water resistance by 10% for 20 seconds. This resistance reduction will not stack.</v>
      </c>
      <c r="M1223" s="696"/>
    </row>
    <row r="1224" spans="1:13" ht="22.5" x14ac:dyDescent="0.2">
      <c r="B1224" s="701" t="e" vm="195">
        <f>+_xlfn.IMAGE("https://natalie.tf/wp-content/uploads/2023/10/DLV3_Icon_Weapon_"&amp;B1223&amp;".png")</f>
        <v>#VALUE!</v>
      </c>
      <c r="C1224" s="240"/>
      <c r="D1224" s="692" t="str">
        <f>INDEX(WEAP!$A:$AN,MATCH(B1223,WEAP!$A:$A,0),MATCH("Element",WEAP!$A$1:$BF$1,0))&amp;" "&amp;INDEX(WEAP!$A:$AN,MATCH(B1223,WEAP!$A:$A,0),MATCH("Type",WEAP!$A$1:$BF$1,0))</f>
        <v>Water Sword</v>
      </c>
      <c r="E1224" s="693"/>
      <c r="F1224" s="693"/>
      <c r="G1224" s="694"/>
      <c r="H1224" s="8"/>
      <c r="I1224" s="697"/>
      <c r="J1224" s="698"/>
      <c r="K1224" s="9"/>
      <c r="L1224" s="697"/>
      <c r="M1224" s="698"/>
    </row>
    <row r="1225" spans="1:13" ht="22.5" x14ac:dyDescent="0.35">
      <c r="B1225" s="702"/>
      <c r="C1225" s="239"/>
      <c r="D1225" s="703" t="s">
        <v>10760</v>
      </c>
      <c r="E1225" s="704"/>
      <c r="F1225" s="235" t="s">
        <v>10761</v>
      </c>
      <c r="G1225" s="235" t="s">
        <v>10762</v>
      </c>
      <c r="I1225" s="697"/>
      <c r="J1225" s="698"/>
      <c r="K1225" s="239"/>
      <c r="L1225" s="697"/>
      <c r="M1225" s="698"/>
    </row>
    <row r="1226" spans="1:13" ht="22.5" x14ac:dyDescent="0.35">
      <c r="B1226" s="702"/>
      <c r="C1226" s="239"/>
      <c r="D1226" s="705" t="s">
        <v>96</v>
      </c>
      <c r="E1226" s="706"/>
      <c r="F1226" s="236">
        <f>INDEX(WEAP!$A:$AN,MATCH(B1223,WEAP!$A:$A,0),MATCH("HP",WEAP!$A$1:$BF$1,0))</f>
        <v>235</v>
      </c>
      <c r="G1226" s="237">
        <f>INDEX(WEAP!$A:$AN,MATCH(B1223,WEAP!$A:$A,0),MATCH("HP V3",WEAP!$A$1:$BF$1,0))</f>
        <v>270</v>
      </c>
      <c r="I1226" s="697"/>
      <c r="J1226" s="698"/>
      <c r="K1226" s="239"/>
      <c r="L1226" s="697"/>
      <c r="M1226" s="698"/>
    </row>
    <row r="1227" spans="1:13" ht="22.5" x14ac:dyDescent="0.35">
      <c r="B1227" s="702"/>
      <c r="C1227" s="239"/>
      <c r="D1227" s="707" t="s">
        <v>97</v>
      </c>
      <c r="E1227" s="708"/>
      <c r="F1227" s="236">
        <f>INDEX(WEAP!$A:$AN,MATCH(B1223,WEAP!$A:$A,0),MATCH("Str",WEAP!$A$1:$BF$1,0))</f>
        <v>1530</v>
      </c>
      <c r="G1227" s="237">
        <f>INDEX(WEAP!$A:$AN,MATCH(B1223,WEAP!$A:$A,0),MATCH("Str V3",WEAP!$A$1:$BF$1,0))</f>
        <v>1530</v>
      </c>
      <c r="I1227" s="699"/>
      <c r="J1227" s="700"/>
      <c r="K1227" s="239"/>
      <c r="L1227" s="699"/>
      <c r="M1227" s="700"/>
    </row>
    <row r="1228" spans="1:13" ht="33.75" customHeight="1" x14ac:dyDescent="0.2">
      <c r="A1228" t="s">
        <v>10763</v>
      </c>
    </row>
    <row r="1229" spans="1:13" ht="22.5" x14ac:dyDescent="0.35">
      <c r="A1229" s="244" t="str">
        <f>TEXT(A1222+1,"000")</f>
        <v>176</v>
      </c>
      <c r="B1229" s="238" t="str">
        <f>"W-"&amp;A1229</f>
        <v>W-176</v>
      </c>
      <c r="C1229" s="239"/>
      <c r="D1229" s="692" t="str">
        <f>+INDEX(WEAP!$A:$AN,MATCH(B1230,WEAP!$A:$A,0),MATCH("Name",WEAP!$A$1:$BF$1,0))</f>
        <v>Ruinous Torrent</v>
      </c>
      <c r="E1229" s="693"/>
      <c r="F1229" s="693"/>
      <c r="G1229" s="694"/>
      <c r="I1229" s="241" t="str">
        <f>+INDEX(WEAP!$A:$AN,MATCH(B1230,WEAP!$A:$A,0),MATCH("Weapon Skill",WEAP!$A$1:$BF$1,0))</f>
        <v>Surging Blade</v>
      </c>
      <c r="J1229" s="243">
        <f>INDEX('W-S'!$A:$N,MATCH(I1229,'W-S'!$C:$C,0),MATCH("SP Cost",'W-S'!$1:$1,0))</f>
        <v>7227</v>
      </c>
      <c r="K1229" s="9"/>
      <c r="L1229" s="241" t="str">
        <f>+I1229</f>
        <v>Surging Blade</v>
      </c>
      <c r="M1229" s="243">
        <f>INDEX('W-S'!$A:$N,MATCH(L1229,'W-S'!$C:$C,0),MATCH("SP Cost V3",'W-S'!$1:$1,0))</f>
        <v>6000</v>
      </c>
    </row>
    <row r="1230" spans="1:13" ht="22.5" x14ac:dyDescent="0.35">
      <c r="B1230" s="238" t="str">
        <f>+INDEX(WEAP!$A:$AN,MATCH(B1229,WEAP!$B:$B,0),MATCH("ID",WEAP!$A$1:$BF$1,0))</f>
        <v>302111_01</v>
      </c>
      <c r="C1230" s="240"/>
      <c r="D1230" s="692" t="str">
        <f>+INDEX(WEAP!$A:$AN,MATCH(B1229,WEAP!$B:$B,0),MATCH("Family",WEAP!$A$1:$BF$1,0))&amp;" Weapon"</f>
        <v>HDT Weapon</v>
      </c>
      <c r="E1230" s="693"/>
      <c r="F1230" s="693"/>
      <c r="G1230" s="694"/>
      <c r="H1230" s="8"/>
      <c r="I1230" s="695" t="str">
        <f>INDEX('W-S'!$A:$O,MATCH(I1229,'W-S'!$C:$C,0),MATCH("Description",'W-S'!$1:$1,0))</f>
        <v>Deals 3 hits of 354% water damage to enemies in a line.</v>
      </c>
      <c r="J1230" s="696"/>
      <c r="K1230" s="239"/>
      <c r="L1230" s="695" t="str">
        <f>INDEX('W-S'!$A:$O,MATCH(I1229,'W-S'!$C:$C,0),MATCH("Description V3",'W-S'!$1:$1,0))</f>
        <v>Deals 3 hits of 500% water damage to enemies in a line, and lowers their water resistance by 10% for 20 seconds. This resistance reduction will not stack.</v>
      </c>
      <c r="M1230" s="696"/>
    </row>
    <row r="1231" spans="1:13" ht="22.5" x14ac:dyDescent="0.2">
      <c r="B1231" s="701" t="e" vm="196">
        <f>+_xlfn.IMAGE("https://natalie.tf/wp-content/uploads/2023/10/DLV3_Icon_Weapon_"&amp;B1230&amp;".png")</f>
        <v>#VALUE!</v>
      </c>
      <c r="C1231" s="240"/>
      <c r="D1231" s="692" t="str">
        <f>INDEX(WEAP!$A:$AN,MATCH(B1230,WEAP!$A:$A,0),MATCH("Element",WEAP!$A$1:$BF$1,0))&amp;" "&amp;INDEX(WEAP!$A:$AN,MATCH(B1230,WEAP!$A:$A,0),MATCH("Type",WEAP!$A$1:$BF$1,0))</f>
        <v>Water Blade</v>
      </c>
      <c r="E1231" s="693"/>
      <c r="F1231" s="693"/>
      <c r="G1231" s="694"/>
      <c r="H1231" s="8"/>
      <c r="I1231" s="697"/>
      <c r="J1231" s="698"/>
      <c r="K1231" s="9"/>
      <c r="L1231" s="697"/>
      <c r="M1231" s="698"/>
    </row>
    <row r="1232" spans="1:13" ht="22.5" x14ac:dyDescent="0.35">
      <c r="B1232" s="702"/>
      <c r="C1232" s="239"/>
      <c r="D1232" s="703" t="s">
        <v>10760</v>
      </c>
      <c r="E1232" s="704"/>
      <c r="F1232" s="235" t="s">
        <v>10761</v>
      </c>
      <c r="G1232" s="235" t="s">
        <v>10762</v>
      </c>
      <c r="I1232" s="697"/>
      <c r="J1232" s="698"/>
      <c r="K1232" s="239"/>
      <c r="L1232" s="697"/>
      <c r="M1232" s="698"/>
    </row>
    <row r="1233" spans="1:13" ht="22.5" x14ac:dyDescent="0.35">
      <c r="B1233" s="702"/>
      <c r="C1233" s="239"/>
      <c r="D1233" s="705" t="s">
        <v>96</v>
      </c>
      <c r="E1233" s="706"/>
      <c r="F1233" s="236">
        <f>INDEX(WEAP!$A:$AN,MATCH(B1230,WEAP!$A:$A,0),MATCH("HP",WEAP!$A$1:$BF$1,0))</f>
        <v>228</v>
      </c>
      <c r="G1233" s="237">
        <f>INDEX(WEAP!$A:$AN,MATCH(B1230,WEAP!$A:$A,0),MATCH("HP V3",WEAP!$A$1:$BF$1,0))</f>
        <v>250</v>
      </c>
      <c r="I1233" s="697"/>
      <c r="J1233" s="698"/>
      <c r="K1233" s="239"/>
      <c r="L1233" s="697"/>
      <c r="M1233" s="698"/>
    </row>
    <row r="1234" spans="1:13" ht="22.5" x14ac:dyDescent="0.35">
      <c r="B1234" s="702"/>
      <c r="C1234" s="239"/>
      <c r="D1234" s="707" t="s">
        <v>97</v>
      </c>
      <c r="E1234" s="708"/>
      <c r="F1234" s="236">
        <f>INDEX(WEAP!$A:$AN,MATCH(B1230,WEAP!$A:$A,0),MATCH("Str",WEAP!$A$1:$BF$1,0))</f>
        <v>1527</v>
      </c>
      <c r="G1234" s="237">
        <f>INDEX(WEAP!$A:$AN,MATCH(B1230,WEAP!$A:$A,0),MATCH("Str V3",WEAP!$A$1:$BF$1,0))</f>
        <v>1625</v>
      </c>
      <c r="I1234" s="699"/>
      <c r="J1234" s="700"/>
      <c r="K1234" s="239"/>
      <c r="L1234" s="699"/>
      <c r="M1234" s="700"/>
    </row>
    <row r="1235" spans="1:13" s="245" customFormat="1" ht="7.5" customHeight="1" x14ac:dyDescent="0.2">
      <c r="A1235" s="245" t="s">
        <v>10763</v>
      </c>
    </row>
    <row r="1236" spans="1:13" ht="22.5" x14ac:dyDescent="0.35">
      <c r="A1236" s="242" t="str">
        <f>TEXT(A1229+1,"000")</f>
        <v>177</v>
      </c>
      <c r="B1236" s="238" t="str">
        <f>"W-"&amp;A1236</f>
        <v>W-177</v>
      </c>
      <c r="C1236" s="239"/>
      <c r="D1236" s="692" t="str">
        <f>+INDEX(WEAP!$A:$AN,MATCH(B1237,WEAP!$A:$A,0),MATCH("Name",WEAP!$A$1:$BF$1,0))</f>
        <v>Tideruler's Maw</v>
      </c>
      <c r="E1236" s="693"/>
      <c r="F1236" s="693"/>
      <c r="G1236" s="694"/>
      <c r="I1236" s="241" t="str">
        <f>+INDEX(WEAP!$A:$AN,MATCH(B1237,WEAP!$A:$A,0),MATCH("Weapon Skill",WEAP!$A$1:$BF$1,0))</f>
        <v>Vicious Tideruler</v>
      </c>
      <c r="J1236" s="243">
        <f>INDEX('W-S'!$A:$N,MATCH(I1236,'W-S'!$C:$C,0),MATCH("SP Cost",'W-S'!$1:$1,0))</f>
        <v>6590</v>
      </c>
      <c r="K1236" s="9"/>
      <c r="L1236" s="241" t="str">
        <f>+I1236</f>
        <v>Vicious Tideruler</v>
      </c>
      <c r="M1236" s="243">
        <f>INDEX('W-S'!$A:$N,MATCH(L1236,'W-S'!$C:$C,0),MATCH("SP Cost V3",'W-S'!$1:$1,0))</f>
        <v>6000</v>
      </c>
    </row>
    <row r="1237" spans="1:13" ht="22.5" x14ac:dyDescent="0.35">
      <c r="B1237" s="238" t="str">
        <f>+INDEX(WEAP!$A:$AN,MATCH(B1236,WEAP!$B:$B,0),MATCH("ID",WEAP!$A$1:$BF$1,0))</f>
        <v>303110_01</v>
      </c>
      <c r="C1237" s="240"/>
      <c r="D1237" s="692" t="str">
        <f>+INDEX(WEAP!$A:$AN,MATCH(B1236,WEAP!$B:$B,0),MATCH("Family",WEAP!$A$1:$BF$1,0))&amp;" Weapon"</f>
        <v>HDT Weapon</v>
      </c>
      <c r="E1237" s="693"/>
      <c r="F1237" s="693"/>
      <c r="G1237" s="694"/>
      <c r="H1237" s="8"/>
      <c r="I1237" s="695" t="str">
        <f>INDEX('W-S'!$A:$O,MATCH(I1236,'W-S'!$C:$C,0),MATCH("Description",'W-S'!$1:$1,0))</f>
        <v>Deals 8 hits of 115% water damage to enemies directly ahead.</v>
      </c>
      <c r="J1237" s="696"/>
      <c r="K1237" s="239"/>
      <c r="L1237" s="695" t="str">
        <f>INDEX('W-S'!$A:$O,MATCH(I1236,'W-S'!$C:$C,0),MATCH("Description V3",'W-S'!$1:$1,0))</f>
        <v>Deals 8 hits of 187% water damage to enemies directly ahead, and lowers their water resistance by 10% for 20 seconds. This resistance reduction will not stack.</v>
      </c>
      <c r="M1237" s="696"/>
    </row>
    <row r="1238" spans="1:13" ht="22.5" x14ac:dyDescent="0.2">
      <c r="B1238" s="701" t="e" vm="197">
        <f>+_xlfn.IMAGE("https://natalie.tf/wp-content/uploads/2023/10/DLV3_Icon_Weapon_"&amp;B1237&amp;".png")</f>
        <v>#VALUE!</v>
      </c>
      <c r="C1238" s="240"/>
      <c r="D1238" s="692" t="str">
        <f>INDEX(WEAP!$A:$AN,MATCH(B1237,WEAP!$A:$A,0),MATCH("Element",WEAP!$A$1:$BF$1,0))&amp;" "&amp;INDEX(WEAP!$A:$AN,MATCH(B1237,WEAP!$A:$A,0),MATCH("Type",WEAP!$A$1:$BF$1,0))</f>
        <v>Water Dagger</v>
      </c>
      <c r="E1238" s="693"/>
      <c r="F1238" s="693"/>
      <c r="G1238" s="694"/>
      <c r="H1238" s="8"/>
      <c r="I1238" s="697"/>
      <c r="J1238" s="698"/>
      <c r="K1238" s="9"/>
      <c r="L1238" s="697"/>
      <c r="M1238" s="698"/>
    </row>
    <row r="1239" spans="1:13" ht="22.5" x14ac:dyDescent="0.35">
      <c r="B1239" s="702"/>
      <c r="C1239" s="239"/>
      <c r="D1239" s="703" t="s">
        <v>10760</v>
      </c>
      <c r="E1239" s="704"/>
      <c r="F1239" s="235" t="s">
        <v>10761</v>
      </c>
      <c r="G1239" s="235" t="s">
        <v>10762</v>
      </c>
      <c r="I1239" s="697"/>
      <c r="J1239" s="698"/>
      <c r="K1239" s="239"/>
      <c r="L1239" s="697"/>
      <c r="M1239" s="698"/>
    </row>
    <row r="1240" spans="1:13" ht="22.5" x14ac:dyDescent="0.35">
      <c r="B1240" s="702"/>
      <c r="C1240" s="239"/>
      <c r="D1240" s="705" t="s">
        <v>96</v>
      </c>
      <c r="E1240" s="706"/>
      <c r="F1240" s="236">
        <f>INDEX(WEAP!$A:$AN,MATCH(B1237,WEAP!$A:$A,0),MATCH("HP",WEAP!$A$1:$BF$1,0))</f>
        <v>250</v>
      </c>
      <c r="G1240" s="237">
        <f>INDEX(WEAP!$A:$AN,MATCH(B1237,WEAP!$A:$A,0),MATCH("HP V3",WEAP!$A$1:$BF$1,0))</f>
        <v>275</v>
      </c>
      <c r="I1240" s="697"/>
      <c r="J1240" s="698"/>
      <c r="K1240" s="239"/>
      <c r="L1240" s="697"/>
      <c r="M1240" s="698"/>
    </row>
    <row r="1241" spans="1:13" ht="22.5" x14ac:dyDescent="0.35">
      <c r="B1241" s="702"/>
      <c r="C1241" s="239"/>
      <c r="D1241" s="707" t="s">
        <v>97</v>
      </c>
      <c r="E1241" s="708"/>
      <c r="F1241" s="236">
        <f>INDEX(WEAP!$A:$AN,MATCH(B1237,WEAP!$A:$A,0),MATCH("Str",WEAP!$A$1:$BF$1,0))</f>
        <v>1455</v>
      </c>
      <c r="G1241" s="237">
        <f>INDEX(WEAP!$A:$AN,MATCH(B1237,WEAP!$A:$A,0),MATCH("Str V3",WEAP!$A$1:$BF$1,0))</f>
        <v>1455</v>
      </c>
      <c r="I1241" s="699"/>
      <c r="J1241" s="700"/>
      <c r="K1241" s="239"/>
      <c r="L1241" s="699"/>
      <c r="M1241" s="700"/>
    </row>
    <row r="1242" spans="1:13" s="245" customFormat="1" ht="7.5" customHeight="1" x14ac:dyDescent="0.2">
      <c r="A1242" s="245" t="s">
        <v>10763</v>
      </c>
    </row>
    <row r="1243" spans="1:13" ht="22.5" x14ac:dyDescent="0.35">
      <c r="A1243" s="244" t="str">
        <f>TEXT(A1236+1,"000")</f>
        <v>178</v>
      </c>
      <c r="B1243" s="238" t="str">
        <f>"W-"&amp;A1243</f>
        <v>W-178</v>
      </c>
      <c r="C1243" s="239"/>
      <c r="D1243" s="692" t="str">
        <f>+INDEX(WEAP!$A:$AN,MATCH(B1244,WEAP!$A:$A,0),MATCH("Name",WEAP!$A$1:$BF$1,0))</f>
        <v>Mercy's Azure Tide</v>
      </c>
      <c r="E1243" s="693"/>
      <c r="F1243" s="693"/>
      <c r="G1243" s="694"/>
      <c r="I1243" s="241" t="str">
        <f>+INDEX(WEAP!$A:$AN,MATCH(B1244,WEAP!$A:$A,0),MATCH("Weapon Skill",WEAP!$A$1:$BF$1,0))</f>
        <v>Mercy's Azure Embrace</v>
      </c>
      <c r="J1243" s="243">
        <f>INDEX('W-S'!$A:$N,MATCH(I1243,'W-S'!$C:$C,0),MATCH("SP Cost",'W-S'!$1:$1,0))</f>
        <v>8260</v>
      </c>
      <c r="K1243" s="9"/>
      <c r="L1243" s="241" t="str">
        <f>+I1243</f>
        <v>Mercy's Azure Embrace</v>
      </c>
      <c r="M1243" s="243">
        <f>INDEX('W-S'!$A:$N,MATCH(L1243,'W-S'!$C:$C,0),MATCH("SP Cost V3",'W-S'!$1:$1,0))</f>
        <v>6000</v>
      </c>
    </row>
    <row r="1244" spans="1:13" ht="22.5" x14ac:dyDescent="0.35">
      <c r="B1244" s="238" t="str">
        <f>+INDEX(WEAP!$A:$AN,MATCH(B1243,WEAP!$B:$B,0),MATCH("ID",WEAP!$A$1:$BF$1,0))</f>
        <v>304109_01</v>
      </c>
      <c r="C1244" s="240"/>
      <c r="D1244" s="692" t="str">
        <f>+INDEX(WEAP!$A:$AN,MATCH(B1243,WEAP!$B:$B,0),MATCH("Family",WEAP!$A$1:$BF$1,0))&amp;" Weapon"</f>
        <v>HDT Weapon</v>
      </c>
      <c r="E1244" s="693"/>
      <c r="F1244" s="693"/>
      <c r="G1244" s="694"/>
      <c r="H1244" s="8"/>
      <c r="I1244" s="695" t="str">
        <f>INDEX('W-S'!$A:$O,MATCH(I1243,'W-S'!$C:$C,0),MATCH("Description",'W-S'!$1:$1,0))</f>
        <v>Deals 5 hits of 226% water damage to enemies directly ahead.</v>
      </c>
      <c r="J1244" s="696"/>
      <c r="K1244" s="239"/>
      <c r="L1244" s="695" t="str">
        <f>INDEX('W-S'!$A:$O,MATCH(I1243,'W-S'!$C:$C,0),MATCH("Description V3",'W-S'!$1:$1,0))</f>
        <v>Deals 5 hits of 300% water damage to enemies directly ahead, and lowers their water resistance by 10% for 20 seconds. This resistance reduction will not stack.</v>
      </c>
      <c r="M1244" s="696"/>
    </row>
    <row r="1245" spans="1:13" ht="22.5" x14ac:dyDescent="0.2">
      <c r="B1245" s="701" t="e" vm="198">
        <f>+_xlfn.IMAGE("https://natalie.tf/wp-content/uploads/2023/10/DLV3_Icon_Weapon_"&amp;B1244&amp;".png")</f>
        <v>#VALUE!</v>
      </c>
      <c r="C1245" s="240"/>
      <c r="D1245" s="692" t="str">
        <f>INDEX(WEAP!$A:$AN,MATCH(B1244,WEAP!$A:$A,0),MATCH("Element",WEAP!$A$1:$BF$1,0))&amp;" "&amp;INDEX(WEAP!$A:$AN,MATCH(B1244,WEAP!$A:$A,0),MATCH("Type",WEAP!$A$1:$BF$1,0))</f>
        <v>Water Axe</v>
      </c>
      <c r="E1245" s="693"/>
      <c r="F1245" s="693"/>
      <c r="G1245" s="694"/>
      <c r="H1245" s="8"/>
      <c r="I1245" s="697"/>
      <c r="J1245" s="698"/>
      <c r="K1245" s="9"/>
      <c r="L1245" s="697"/>
      <c r="M1245" s="698"/>
    </row>
    <row r="1246" spans="1:13" ht="22.5" x14ac:dyDescent="0.35">
      <c r="B1246" s="702"/>
      <c r="C1246" s="239"/>
      <c r="D1246" s="703" t="s">
        <v>10760</v>
      </c>
      <c r="E1246" s="704"/>
      <c r="F1246" s="235" t="s">
        <v>10761</v>
      </c>
      <c r="G1246" s="235" t="s">
        <v>10762</v>
      </c>
      <c r="I1246" s="697"/>
      <c r="J1246" s="698"/>
      <c r="K1246" s="239"/>
      <c r="L1246" s="697"/>
      <c r="M1246" s="698"/>
    </row>
    <row r="1247" spans="1:13" ht="22.5" x14ac:dyDescent="0.35">
      <c r="B1247" s="702"/>
      <c r="C1247" s="239"/>
      <c r="D1247" s="705" t="s">
        <v>96</v>
      </c>
      <c r="E1247" s="706"/>
      <c r="F1247" s="236">
        <f>INDEX(WEAP!$A:$AN,MATCH(B1244,WEAP!$A:$A,0),MATCH("HP",WEAP!$A$1:$BF$1,0))</f>
        <v>267</v>
      </c>
      <c r="G1247" s="237">
        <f>INDEX(WEAP!$A:$AN,MATCH(B1244,WEAP!$A:$A,0),MATCH("HP V3",WEAP!$A$1:$BF$1,0))</f>
        <v>295</v>
      </c>
      <c r="I1247" s="697"/>
      <c r="J1247" s="698"/>
      <c r="K1247" s="239"/>
      <c r="L1247" s="697"/>
      <c r="M1247" s="698"/>
    </row>
    <row r="1248" spans="1:13" ht="22.5" x14ac:dyDescent="0.35">
      <c r="B1248" s="702"/>
      <c r="C1248" s="239"/>
      <c r="D1248" s="707" t="s">
        <v>97</v>
      </c>
      <c r="E1248" s="708"/>
      <c r="F1248" s="236">
        <f>INDEX(WEAP!$A:$AN,MATCH(B1244,WEAP!$A:$A,0),MATCH("Str",WEAP!$A$1:$BF$1,0))</f>
        <v>1512</v>
      </c>
      <c r="G1248" s="237">
        <f>INDEX(WEAP!$A:$AN,MATCH(B1244,WEAP!$A:$A,0),MATCH("Str V3",WEAP!$A$1:$BF$1,0))</f>
        <v>1610</v>
      </c>
      <c r="I1248" s="699"/>
      <c r="J1248" s="700"/>
      <c r="K1248" s="239"/>
      <c r="L1248" s="699"/>
      <c r="M1248" s="700"/>
    </row>
    <row r="1249" spans="1:13" s="245" customFormat="1" ht="7.5" customHeight="1" x14ac:dyDescent="0.2">
      <c r="A1249" s="245" t="s">
        <v>10763</v>
      </c>
    </row>
    <row r="1250" spans="1:13" ht="22.5" x14ac:dyDescent="0.35">
      <c r="A1250" s="244" t="str">
        <f>TEXT(A1243+1,"000")</f>
        <v>179</v>
      </c>
      <c r="B1250" s="238" t="str">
        <f>"W-"&amp;A1250</f>
        <v>W-179</v>
      </c>
      <c r="C1250" s="239"/>
      <c r="D1250" s="692" t="str">
        <f>+INDEX(WEAP!$A:$AN,MATCH(B1251,WEAP!$A:$A,0),MATCH("Name",WEAP!$A$1:$BF$1,0))</f>
        <v>Limpid Rush</v>
      </c>
      <c r="E1250" s="693"/>
      <c r="F1250" s="693"/>
      <c r="G1250" s="694"/>
      <c r="I1250" s="241" t="str">
        <f>+INDEX(WEAP!$A:$AN,MATCH(B1251,WEAP!$A:$A,0),MATCH("Weapon Skill",WEAP!$A$1:$BF$1,0))</f>
        <v>Limpid Shore</v>
      </c>
      <c r="J1250" s="243">
        <f>INDEX('W-S'!$A:$N,MATCH(I1250,'W-S'!$C:$C,0),MATCH("SP Cost",'W-S'!$1:$1,0))</f>
        <v>6762</v>
      </c>
      <c r="K1250" s="9"/>
      <c r="L1250" s="241" t="str">
        <f>+I1250</f>
        <v>Limpid Shore</v>
      </c>
      <c r="M1250" s="243">
        <f>INDEX('W-S'!$A:$N,MATCH(L1250,'W-S'!$C:$C,0),MATCH("SP Cost V3",'W-S'!$1:$1,0))</f>
        <v>6000</v>
      </c>
    </row>
    <row r="1251" spans="1:13" ht="22.5" x14ac:dyDescent="0.35">
      <c r="B1251" s="238" t="str">
        <f>+INDEX(WEAP!$A:$AN,MATCH(B1250,WEAP!$B:$B,0),MATCH("ID",WEAP!$A$1:$BF$1,0))</f>
        <v>305116_01</v>
      </c>
      <c r="C1251" s="240"/>
      <c r="D1251" s="692" t="str">
        <f>+INDEX(WEAP!$A:$AN,MATCH(B1250,WEAP!$B:$B,0),MATCH("Family",WEAP!$A$1:$BF$1,0))&amp;" Weapon"</f>
        <v>HDT Weapon</v>
      </c>
      <c r="E1251" s="693"/>
      <c r="F1251" s="693"/>
      <c r="G1251" s="694"/>
      <c r="H1251" s="8"/>
      <c r="I1251" s="695" t="str">
        <f>INDEX('W-S'!$A:$O,MATCH(I1250,'W-S'!$C:$C,0),MATCH("Description",'W-S'!$1:$1,0))</f>
        <v>Deals 2 hits of 414% water damage to surrounding enemies.</v>
      </c>
      <c r="J1251" s="696"/>
      <c r="K1251" s="239"/>
      <c r="L1251" s="695" t="str">
        <f>INDEX('W-S'!$A:$O,MATCH(I1250,'W-S'!$C:$C,0),MATCH("Description V3",'W-S'!$1:$1,0))</f>
        <v>Deals 2 hits of 750% water damage to surrounding enemies, and lowers their water resistance by 10% for 20 seconds. This resistance reduction will not stack.</v>
      </c>
      <c r="M1251" s="696"/>
    </row>
    <row r="1252" spans="1:13" ht="22.5" x14ac:dyDescent="0.2">
      <c r="B1252" s="701" t="e" vm="199">
        <f>+_xlfn.IMAGE("https://natalie.tf/wp-content/uploads/2023/10/DLV3_Icon_Weapon_"&amp;B1251&amp;".png")</f>
        <v>#VALUE!</v>
      </c>
      <c r="C1252" s="240"/>
      <c r="D1252" s="692" t="str">
        <f>INDEX(WEAP!$A:$AN,MATCH(B1251,WEAP!$A:$A,0),MATCH("Element",WEAP!$A$1:$BF$1,0))&amp;" "&amp;INDEX(WEAP!$A:$AN,MATCH(B1251,WEAP!$A:$A,0),MATCH("Type",WEAP!$A$1:$BF$1,0))</f>
        <v>Water Lance</v>
      </c>
      <c r="E1252" s="693"/>
      <c r="F1252" s="693"/>
      <c r="G1252" s="694"/>
      <c r="H1252" s="8"/>
      <c r="I1252" s="697"/>
      <c r="J1252" s="698"/>
      <c r="K1252" s="9"/>
      <c r="L1252" s="697"/>
      <c r="M1252" s="698"/>
    </row>
    <row r="1253" spans="1:13" ht="22.5" x14ac:dyDescent="0.35">
      <c r="B1253" s="702"/>
      <c r="C1253" s="239"/>
      <c r="D1253" s="703" t="s">
        <v>10760</v>
      </c>
      <c r="E1253" s="704"/>
      <c r="F1253" s="235" t="s">
        <v>10761</v>
      </c>
      <c r="G1253" s="235" t="s">
        <v>10762</v>
      </c>
      <c r="I1253" s="697"/>
      <c r="J1253" s="698"/>
      <c r="K1253" s="239"/>
      <c r="L1253" s="697"/>
      <c r="M1253" s="698"/>
    </row>
    <row r="1254" spans="1:13" ht="22.5" x14ac:dyDescent="0.35">
      <c r="B1254" s="702"/>
      <c r="C1254" s="239"/>
      <c r="D1254" s="705" t="s">
        <v>96</v>
      </c>
      <c r="E1254" s="706"/>
      <c r="F1254" s="236">
        <f>INDEX(WEAP!$A:$AN,MATCH(B1251,WEAP!$A:$A,0),MATCH("HP",WEAP!$A$1:$BF$1,0))</f>
        <v>240</v>
      </c>
      <c r="G1254" s="237">
        <f>INDEX(WEAP!$A:$AN,MATCH(B1251,WEAP!$A:$A,0),MATCH("HP V3",WEAP!$A$1:$BF$1,0))</f>
        <v>275</v>
      </c>
      <c r="I1254" s="697"/>
      <c r="J1254" s="698"/>
      <c r="K1254" s="239"/>
      <c r="L1254" s="697"/>
      <c r="M1254" s="698"/>
    </row>
    <row r="1255" spans="1:13" ht="22.5" x14ac:dyDescent="0.35">
      <c r="B1255" s="702"/>
      <c r="C1255" s="239"/>
      <c r="D1255" s="707" t="s">
        <v>97</v>
      </c>
      <c r="E1255" s="708"/>
      <c r="F1255" s="236">
        <f>INDEX(WEAP!$A:$AN,MATCH(B1251,WEAP!$A:$A,0),MATCH("Str",WEAP!$A$1:$BF$1,0))</f>
        <v>1560</v>
      </c>
      <c r="G1255" s="237">
        <f>INDEX(WEAP!$A:$AN,MATCH(B1251,WEAP!$A:$A,0),MATCH("Str V3",WEAP!$A$1:$BF$1,0))</f>
        <v>1560</v>
      </c>
      <c r="I1255" s="699"/>
      <c r="J1255" s="700"/>
      <c r="K1255" s="239"/>
      <c r="L1255" s="699"/>
      <c r="M1255" s="700"/>
    </row>
    <row r="1256" spans="1:13" s="245" customFormat="1" ht="7.5" customHeight="1" x14ac:dyDescent="0.2">
      <c r="A1256" s="245" t="s">
        <v>10763</v>
      </c>
    </row>
    <row r="1257" spans="1:13" ht="22.5" x14ac:dyDescent="0.35">
      <c r="A1257" s="244" t="str">
        <f>TEXT(A1250+1,"000")</f>
        <v>180</v>
      </c>
      <c r="B1257" s="238" t="str">
        <f>"W-"&amp;A1257</f>
        <v>W-180</v>
      </c>
      <c r="C1257" s="239"/>
      <c r="D1257" s="692" t="str">
        <f>+INDEX(WEAP!$A:$AN,MATCH(B1258,WEAP!$A:$A,0),MATCH("Name",WEAP!$A$1:$BF$1,0))</f>
        <v>Azure Mercurius</v>
      </c>
      <c r="E1257" s="693"/>
      <c r="F1257" s="693"/>
      <c r="G1257" s="694"/>
      <c r="I1257" s="241" t="str">
        <f>+INDEX(WEAP!$A:$AN,MATCH(B1258,WEAP!$A:$A,0),MATCH("Weapon Skill",WEAP!$A$1:$BF$1,0))</f>
        <v>Mercurius's Transcendant Knowledge</v>
      </c>
      <c r="J1257" s="243">
        <f>INDEX('W-S'!$A:$N,MATCH(I1257,'W-S'!$C:$C,0),MATCH("SP Cost",'W-S'!$1:$1,0))</f>
        <v>7267</v>
      </c>
      <c r="K1257" s="9"/>
      <c r="L1257" s="241" t="str">
        <f>+I1257</f>
        <v>Mercurius's Transcendant Knowledge</v>
      </c>
      <c r="M1257" s="243">
        <f>INDEX('W-S'!$A:$N,MATCH(L1257,'W-S'!$C:$C,0),MATCH("SP Cost V3",'W-S'!$1:$1,0))</f>
        <v>6000</v>
      </c>
    </row>
    <row r="1258" spans="1:13" ht="22.5" x14ac:dyDescent="0.35">
      <c r="B1258" s="238" t="str">
        <f>+INDEX(WEAP!$A:$AN,MATCH(B1257,WEAP!$B:$B,0),MATCH("ID",WEAP!$A$1:$BF$1,0))</f>
        <v>306109_01</v>
      </c>
      <c r="C1258" s="240"/>
      <c r="D1258" s="692" t="str">
        <f>+INDEX(WEAP!$A:$AN,MATCH(B1257,WEAP!$B:$B,0),MATCH("Family",WEAP!$A$1:$BF$1,0))&amp;" Weapon"</f>
        <v>HDT Weapon</v>
      </c>
      <c r="E1258" s="693"/>
      <c r="F1258" s="693"/>
      <c r="G1258" s="694"/>
      <c r="H1258" s="8"/>
      <c r="I1258" s="695" t="str">
        <f>INDEX('W-S'!$A:$O,MATCH(I1257,'W-S'!$C:$C,0),MATCH("Description",'W-S'!$1:$1,0))</f>
        <v>Deals 1 hit of 949% water damage to the target.</v>
      </c>
      <c r="J1258" s="696"/>
      <c r="K1258" s="239"/>
      <c r="L1258" s="695" t="str">
        <f>INDEX('W-S'!$A:$O,MATCH(I1257,'W-S'!$C:$C,0),MATCH("Description V3",'W-S'!$1:$1,0))</f>
        <v>Deals 1 hit of 1500% water damage to the target, and lowers their water resistance by 10% for 20 seconds. This resistance reduction will not stack.</v>
      </c>
      <c r="M1258" s="696"/>
    </row>
    <row r="1259" spans="1:13" ht="22.5" x14ac:dyDescent="0.2">
      <c r="B1259" s="701" t="e" vm="200">
        <f>+_xlfn.IMAGE("https://natalie.tf/wp-content/uploads/2023/10/DLV3_Icon_Weapon_"&amp;B1258&amp;".png")</f>
        <v>#VALUE!</v>
      </c>
      <c r="C1259" s="240"/>
      <c r="D1259" s="692" t="str">
        <f>INDEX(WEAP!$A:$AN,MATCH(B1258,WEAP!$A:$A,0),MATCH("Element",WEAP!$A$1:$BF$1,0))&amp;" "&amp;INDEX(WEAP!$A:$AN,MATCH(B1258,WEAP!$A:$A,0),MATCH("Type",WEAP!$A$1:$BF$1,0))</f>
        <v>Water Bow</v>
      </c>
      <c r="E1259" s="693"/>
      <c r="F1259" s="693"/>
      <c r="G1259" s="694"/>
      <c r="H1259" s="8"/>
      <c r="I1259" s="697"/>
      <c r="J1259" s="698"/>
      <c r="K1259" s="9"/>
      <c r="L1259" s="697"/>
      <c r="M1259" s="698"/>
    </row>
    <row r="1260" spans="1:13" ht="22.5" x14ac:dyDescent="0.35">
      <c r="B1260" s="702"/>
      <c r="C1260" s="239"/>
      <c r="D1260" s="703" t="s">
        <v>10760</v>
      </c>
      <c r="E1260" s="704"/>
      <c r="F1260" s="235" t="s">
        <v>10761</v>
      </c>
      <c r="G1260" s="235" t="s">
        <v>10762</v>
      </c>
      <c r="I1260" s="697"/>
      <c r="J1260" s="698"/>
      <c r="K1260" s="239"/>
      <c r="L1260" s="697"/>
      <c r="M1260" s="698"/>
    </row>
    <row r="1261" spans="1:13" ht="22.5" x14ac:dyDescent="0.35">
      <c r="B1261" s="702"/>
      <c r="C1261" s="239"/>
      <c r="D1261" s="705" t="s">
        <v>96</v>
      </c>
      <c r="E1261" s="706"/>
      <c r="F1261" s="236">
        <f>INDEX(WEAP!$A:$AN,MATCH(B1258,WEAP!$A:$A,0),MATCH("HP",WEAP!$A$1:$BF$1,0))</f>
        <v>242</v>
      </c>
      <c r="G1261" s="237">
        <f>INDEX(WEAP!$A:$AN,MATCH(B1258,WEAP!$A:$A,0),MATCH("HP V3",WEAP!$A$1:$BF$1,0))</f>
        <v>280</v>
      </c>
      <c r="I1261" s="697"/>
      <c r="J1261" s="698"/>
      <c r="K1261" s="239"/>
      <c r="L1261" s="697"/>
      <c r="M1261" s="698"/>
    </row>
    <row r="1262" spans="1:13" ht="22.5" x14ac:dyDescent="0.35">
      <c r="B1262" s="702"/>
      <c r="C1262" s="239"/>
      <c r="D1262" s="707" t="s">
        <v>97</v>
      </c>
      <c r="E1262" s="708"/>
      <c r="F1262" s="236">
        <f>INDEX(WEAP!$A:$AN,MATCH(B1258,WEAP!$A:$A,0),MATCH("Str",WEAP!$A$1:$BF$1,0))</f>
        <v>1426</v>
      </c>
      <c r="G1262" s="237">
        <f>INDEX(WEAP!$A:$AN,MATCH(B1258,WEAP!$A:$A,0),MATCH("Str V3",WEAP!$A$1:$BF$1,0))</f>
        <v>1470</v>
      </c>
      <c r="I1262" s="699"/>
      <c r="J1262" s="700"/>
      <c r="K1262" s="239"/>
      <c r="L1262" s="699"/>
      <c r="M1262" s="700"/>
    </row>
    <row r="1263" spans="1:13" ht="33.75" customHeight="1" x14ac:dyDescent="0.2">
      <c r="A1263" t="s">
        <v>10763</v>
      </c>
    </row>
    <row r="1264" spans="1:13" ht="22.5" x14ac:dyDescent="0.35">
      <c r="A1264" s="244" t="str">
        <f>TEXT(A1257+1,"000")</f>
        <v>181</v>
      </c>
      <c r="B1264" s="238" t="str">
        <f>"W-"&amp;A1264</f>
        <v>W-181</v>
      </c>
      <c r="C1264" s="239"/>
      <c r="D1264" s="692" t="str">
        <f>+INDEX(WEAP!$A:$AN,MATCH(B1265,WEAP!$A:$A,0),MATCH("Name",WEAP!$A$1:$BF$1,0))</f>
        <v>Aquatic Spiral</v>
      </c>
      <c r="E1264" s="693"/>
      <c r="F1264" s="693"/>
      <c r="G1264" s="694"/>
      <c r="I1264" s="241" t="str">
        <f>+INDEX(WEAP!$A:$AN,MATCH(B1265,WEAP!$A:$A,0),MATCH("Weapon Skill",WEAP!$A$1:$BF$1,0))</f>
        <v>Cascading Waves</v>
      </c>
      <c r="J1264" s="243">
        <f>INDEX('W-S'!$A:$N,MATCH(I1264,'W-S'!$C:$C,0),MATCH("SP Cost",'W-S'!$1:$1,0))</f>
        <v>7635</v>
      </c>
      <c r="K1264" s="9"/>
      <c r="L1264" s="241" t="str">
        <f>+I1264</f>
        <v>Cascading Waves</v>
      </c>
      <c r="M1264" s="243">
        <f>INDEX('W-S'!$A:$N,MATCH(L1264,'W-S'!$C:$C,0),MATCH("SP Cost V3",'W-S'!$1:$1,0))</f>
        <v>6000</v>
      </c>
    </row>
    <row r="1265" spans="1:13" ht="22.5" x14ac:dyDescent="0.35">
      <c r="B1265" s="238" t="str">
        <f>+INDEX(WEAP!$A:$AN,MATCH(B1264,WEAP!$B:$B,0),MATCH("ID",WEAP!$A$1:$BF$1,0))</f>
        <v>307117_01</v>
      </c>
      <c r="C1265" s="240"/>
      <c r="D1265" s="692" t="str">
        <f>+INDEX(WEAP!$A:$AN,MATCH(B1264,WEAP!$B:$B,0),MATCH("Family",WEAP!$A$1:$BF$1,0))&amp;" Weapon"</f>
        <v>HDT Weapon</v>
      </c>
      <c r="E1265" s="693"/>
      <c r="F1265" s="693"/>
      <c r="G1265" s="694"/>
      <c r="H1265" s="8"/>
      <c r="I1265" s="695" t="str">
        <f>INDEX('W-S'!$A:$O,MATCH(I1264,'W-S'!$C:$C,0),MATCH("Description",'W-S'!$1:$1,0))</f>
        <v>Deals 4 hits of 243% water damage to enemies in a line.</v>
      </c>
      <c r="J1265" s="696"/>
      <c r="K1265" s="239"/>
      <c r="L1265" s="695" t="str">
        <f>INDEX('W-S'!$A:$O,MATCH(I1264,'W-S'!$C:$C,0),MATCH("Description V3",'W-S'!$1:$1,0))</f>
        <v>Deals 4 hits of 375% water damage to enemies in a line, and lowers their water resistance by 10% for 20 seconds. This resistance reduction will not stack.</v>
      </c>
      <c r="M1265" s="696"/>
    </row>
    <row r="1266" spans="1:13" ht="22.5" x14ac:dyDescent="0.2">
      <c r="B1266" s="701" t="e" vm="201">
        <f>+_xlfn.IMAGE("https://natalie.tf/wp-content/uploads/2023/10/DLV3_Icon_Weapon_"&amp;B1265&amp;".png")</f>
        <v>#VALUE!</v>
      </c>
      <c r="C1266" s="240"/>
      <c r="D1266" s="692" t="str">
        <f>INDEX(WEAP!$A:$AN,MATCH(B1265,WEAP!$A:$A,0),MATCH("Element",WEAP!$A$1:$BF$1,0))&amp;" "&amp;INDEX(WEAP!$A:$AN,MATCH(B1265,WEAP!$A:$A,0),MATCH("Type",WEAP!$A$1:$BF$1,0))</f>
        <v>Water Wand</v>
      </c>
      <c r="E1266" s="693"/>
      <c r="F1266" s="693"/>
      <c r="G1266" s="694"/>
      <c r="H1266" s="8"/>
      <c r="I1266" s="697"/>
      <c r="J1266" s="698"/>
      <c r="K1266" s="9"/>
      <c r="L1266" s="697"/>
      <c r="M1266" s="698"/>
    </row>
    <row r="1267" spans="1:13" ht="22.5" x14ac:dyDescent="0.35">
      <c r="B1267" s="702"/>
      <c r="C1267" s="239"/>
      <c r="D1267" s="703" t="s">
        <v>10760</v>
      </c>
      <c r="E1267" s="704"/>
      <c r="F1267" s="235" t="s">
        <v>10761</v>
      </c>
      <c r="G1267" s="235" t="s">
        <v>10762</v>
      </c>
      <c r="I1267" s="697"/>
      <c r="J1267" s="698"/>
      <c r="K1267" s="239"/>
      <c r="L1267" s="697"/>
      <c r="M1267" s="698"/>
    </row>
    <row r="1268" spans="1:13" ht="22.5" x14ac:dyDescent="0.35">
      <c r="B1268" s="702"/>
      <c r="C1268" s="239"/>
      <c r="D1268" s="705" t="s">
        <v>96</v>
      </c>
      <c r="E1268" s="706"/>
      <c r="F1268" s="236">
        <f>INDEX(WEAP!$A:$AN,MATCH(B1265,WEAP!$A:$A,0),MATCH("HP",WEAP!$A$1:$BF$1,0))</f>
        <v>251</v>
      </c>
      <c r="G1268" s="237">
        <f>INDEX(WEAP!$A:$AN,MATCH(B1265,WEAP!$A:$A,0),MATCH("HP V3",WEAP!$A$1:$BF$1,0))</f>
        <v>275</v>
      </c>
      <c r="I1268" s="697"/>
      <c r="J1268" s="698"/>
      <c r="K1268" s="239"/>
      <c r="L1268" s="697"/>
      <c r="M1268" s="698"/>
    </row>
    <row r="1269" spans="1:13" ht="22.5" x14ac:dyDescent="0.35">
      <c r="B1269" s="702"/>
      <c r="C1269" s="239"/>
      <c r="D1269" s="707" t="s">
        <v>97</v>
      </c>
      <c r="E1269" s="708"/>
      <c r="F1269" s="236">
        <f>INDEX(WEAP!$A:$AN,MATCH(B1265,WEAP!$A:$A,0),MATCH("Str",WEAP!$A$1:$BF$1,0))</f>
        <v>1453</v>
      </c>
      <c r="G1269" s="237">
        <f>INDEX(WEAP!$A:$AN,MATCH(B1265,WEAP!$A:$A,0),MATCH("Str V3",WEAP!$A$1:$BF$1,0))</f>
        <v>1575</v>
      </c>
      <c r="I1269" s="699"/>
      <c r="J1269" s="700"/>
      <c r="K1269" s="239"/>
      <c r="L1269" s="699"/>
      <c r="M1269" s="700"/>
    </row>
    <row r="1270" spans="1:13" s="245" customFormat="1" ht="7.5" customHeight="1" x14ac:dyDescent="0.2">
      <c r="A1270" s="245" t="s">
        <v>10763</v>
      </c>
    </row>
    <row r="1271" spans="1:13" ht="22.5" x14ac:dyDescent="0.35">
      <c r="A1271" s="242" t="str">
        <f>TEXT(A1264+1,"000")</f>
        <v>182</v>
      </c>
      <c r="B1271" s="238" t="str">
        <f>"W-"&amp;A1271</f>
        <v>W-182</v>
      </c>
      <c r="C1271" s="239"/>
      <c r="D1271" s="692" t="str">
        <f>+INDEX(WEAP!$A:$AN,MATCH(B1272,WEAP!$A:$A,0),MATCH("Name",WEAP!$A$1:$BF$1,0))</f>
        <v>Ocean's Embrace</v>
      </c>
      <c r="E1271" s="693"/>
      <c r="F1271" s="693"/>
      <c r="G1271" s="694"/>
      <c r="I1271" s="241" t="str">
        <f>+INDEX(WEAP!$A:$AN,MATCH(B1272,WEAP!$A:$A,0),MATCH("Weapon Skill",WEAP!$A$1:$BF$1,0))</f>
        <v>Embracing Stream</v>
      </c>
      <c r="J1271" s="243">
        <f>INDEX('W-S'!$A:$N,MATCH(I1271,'W-S'!$C:$C,0),MATCH("SP Cost",'W-S'!$1:$1,0))</f>
        <v>13684</v>
      </c>
      <c r="K1271" s="9"/>
      <c r="L1271" s="241" t="str">
        <f>+I1271</f>
        <v>Embracing Stream</v>
      </c>
      <c r="M1271" s="243">
        <f>INDEX('W-S'!$A:$N,MATCH(L1271,'W-S'!$C:$C,0),MATCH("SP Cost V3",'W-S'!$1:$1,0))</f>
        <v>6000</v>
      </c>
    </row>
    <row r="1272" spans="1:13" ht="22.5" x14ac:dyDescent="0.35">
      <c r="B1272" s="238" t="str">
        <f>+INDEX(WEAP!$A:$AN,MATCH(B1271,WEAP!$B:$B,0),MATCH("ID",WEAP!$A$1:$BF$1,0))</f>
        <v>308110_01</v>
      </c>
      <c r="C1272" s="240"/>
      <c r="D1272" s="692" t="str">
        <f>+INDEX(WEAP!$A:$AN,MATCH(B1271,WEAP!$B:$B,0),MATCH("Family",WEAP!$A$1:$BF$1,0))&amp;" Weapon"</f>
        <v>HDT Weapon</v>
      </c>
      <c r="E1272" s="693"/>
      <c r="F1272" s="693"/>
      <c r="G1272" s="694"/>
      <c r="H1272" s="8"/>
      <c r="I1272" s="695" t="str">
        <f>INDEX('W-S'!$A:$O,MATCH(I1271,'W-S'!$C:$C,0),MATCH("Description",'W-S'!$1:$1,0))</f>
        <v>Deals 4 hits of 143% water damage to enemies in a line.</v>
      </c>
      <c r="J1272" s="696"/>
      <c r="K1272" s="239"/>
      <c r="L1272" s="695" t="str">
        <f>INDEX('W-S'!$A:$O,MATCH(I1271,'W-S'!$C:$C,0),MATCH("Description V3",'W-S'!$1:$1,0))</f>
        <v>Deals 4 hits of 375% water damage to enemies in a line, and lowers their water resistance by 10% for 20 seconds. This resistance reduction will not stack.</v>
      </c>
      <c r="M1272" s="696"/>
    </row>
    <row r="1273" spans="1:13" ht="22.5" x14ac:dyDescent="0.2">
      <c r="B1273" s="701" t="e" vm="202">
        <f>+_xlfn.IMAGE("https://natalie.tf/wp-content/uploads/2023/10/DLV3_Icon_Weapon_"&amp;B1272&amp;".png")</f>
        <v>#VALUE!</v>
      </c>
      <c r="C1273" s="240"/>
      <c r="D1273" s="692" t="str">
        <f>INDEX(WEAP!$A:$AN,MATCH(B1272,WEAP!$A:$A,0),MATCH("Element",WEAP!$A$1:$BF$1,0))&amp;" "&amp;INDEX(WEAP!$A:$AN,MATCH(B1272,WEAP!$A:$A,0),MATCH("Type",WEAP!$A$1:$BF$1,0))</f>
        <v>Water Staff</v>
      </c>
      <c r="E1273" s="693"/>
      <c r="F1273" s="693"/>
      <c r="G1273" s="694"/>
      <c r="H1273" s="8"/>
      <c r="I1273" s="697"/>
      <c r="J1273" s="698"/>
      <c r="K1273" s="9"/>
      <c r="L1273" s="697"/>
      <c r="M1273" s="698"/>
    </row>
    <row r="1274" spans="1:13" ht="22.5" x14ac:dyDescent="0.35">
      <c r="B1274" s="702"/>
      <c r="C1274" s="239"/>
      <c r="D1274" s="703" t="s">
        <v>10760</v>
      </c>
      <c r="E1274" s="704"/>
      <c r="F1274" s="235" t="s">
        <v>10761</v>
      </c>
      <c r="G1274" s="235" t="s">
        <v>10762</v>
      </c>
      <c r="I1274" s="697"/>
      <c r="J1274" s="698"/>
      <c r="K1274" s="239"/>
      <c r="L1274" s="697"/>
      <c r="M1274" s="698"/>
    </row>
    <row r="1275" spans="1:13" ht="22.5" x14ac:dyDescent="0.35">
      <c r="B1275" s="702"/>
      <c r="C1275" s="239"/>
      <c r="D1275" s="705" t="s">
        <v>96</v>
      </c>
      <c r="E1275" s="706"/>
      <c r="F1275" s="236">
        <f>INDEX(WEAP!$A:$AN,MATCH(B1272,WEAP!$A:$A,0),MATCH("HP",WEAP!$A$1:$BF$1,0))</f>
        <v>294</v>
      </c>
      <c r="G1275" s="237">
        <f>INDEX(WEAP!$A:$AN,MATCH(B1272,WEAP!$A:$A,0),MATCH("HP V3",WEAP!$A$1:$BF$1,0))</f>
        <v>325</v>
      </c>
      <c r="I1275" s="697"/>
      <c r="J1275" s="698"/>
      <c r="K1275" s="239"/>
      <c r="L1275" s="697"/>
      <c r="M1275" s="698"/>
    </row>
    <row r="1276" spans="1:13" ht="22.5" x14ac:dyDescent="0.35">
      <c r="B1276" s="702"/>
      <c r="C1276" s="239"/>
      <c r="D1276" s="707" t="s">
        <v>97</v>
      </c>
      <c r="E1276" s="708"/>
      <c r="F1276" s="236">
        <f>INDEX(WEAP!$A:$AN,MATCH(B1272,WEAP!$A:$A,0),MATCH("Str",WEAP!$A$1:$BF$1,0))</f>
        <v>1340</v>
      </c>
      <c r="G1276" s="237">
        <f>INDEX(WEAP!$A:$AN,MATCH(B1272,WEAP!$A:$A,0),MATCH("Str V3",WEAP!$A$1:$BF$1,0))</f>
        <v>1370</v>
      </c>
      <c r="I1276" s="699"/>
      <c r="J1276" s="700"/>
      <c r="K1276" s="239"/>
      <c r="L1276" s="699"/>
      <c r="M1276" s="700"/>
    </row>
    <row r="1277" spans="1:13" s="245" customFormat="1" ht="7.5" customHeight="1" x14ac:dyDescent="0.2">
      <c r="A1277" s="245" t="s">
        <v>10763</v>
      </c>
    </row>
    <row r="1278" spans="1:13" ht="22.5" x14ac:dyDescent="0.35">
      <c r="A1278" s="244" t="str">
        <f>TEXT(A1271+1,"000")</f>
        <v>183</v>
      </c>
      <c r="B1278" s="238" t="str">
        <f>"W-"&amp;A1278</f>
        <v>W-183</v>
      </c>
      <c r="C1278" s="239"/>
      <c r="D1278" s="692" t="str">
        <f>+INDEX(WEAP!$A:$AN,MATCH(B1279,WEAP!$A:$A,0),MATCH("Name",WEAP!$A$1:$BF$1,0))</f>
        <v>Aqua Trigger</v>
      </c>
      <c r="E1278" s="693"/>
      <c r="F1278" s="693"/>
      <c r="G1278" s="694"/>
      <c r="I1278" s="241" t="str">
        <f>+INDEX(WEAP!$A:$AN,MATCH(B1279,WEAP!$A:$A,0),MATCH("Weapon Skill",WEAP!$A$1:$BF$1,0))</f>
        <v>Aqua Howitzer</v>
      </c>
      <c r="J1278" s="243">
        <f>INDEX('W-S'!$A:$N,MATCH(I1278,'W-S'!$C:$C,0),MATCH("SP Cost",'W-S'!$1:$1,0))</f>
        <v>7316</v>
      </c>
      <c r="K1278" s="9"/>
      <c r="L1278" s="241" t="str">
        <f>+I1278</f>
        <v>Aqua Howitzer</v>
      </c>
      <c r="M1278" s="243">
        <f>INDEX('W-S'!$A:$N,MATCH(L1278,'W-S'!$C:$C,0),MATCH("SP Cost V3",'W-S'!$1:$1,0))</f>
        <v>6000</v>
      </c>
    </row>
    <row r="1279" spans="1:13" ht="22.5" x14ac:dyDescent="0.35">
      <c r="B1279" s="238" t="str">
        <f>+INDEX(WEAP!$A:$AN,MATCH(B1278,WEAP!$B:$B,0),MATCH("ID",WEAP!$A$1:$BF$1,0))</f>
        <v>309022_01</v>
      </c>
      <c r="C1279" s="240"/>
      <c r="D1279" s="692" t="str">
        <f>+INDEX(WEAP!$A:$AN,MATCH(B1278,WEAP!$B:$B,0),MATCH("Family",WEAP!$A$1:$BF$1,0))&amp;" Weapon"</f>
        <v>HDT Weapon</v>
      </c>
      <c r="E1279" s="693"/>
      <c r="F1279" s="693"/>
      <c r="G1279" s="694"/>
      <c r="H1279" s="8"/>
      <c r="I1279" s="695" t="str">
        <f>INDEX('W-S'!$A:$O,MATCH(I1278,'W-S'!$C:$C,0),MATCH("Description",'W-S'!$1:$1,0))</f>
        <v>Deals 25 hits of 41% water damage to enemies directly ahead.</v>
      </c>
      <c r="J1279" s="696"/>
      <c r="K1279" s="239"/>
      <c r="L1279" s="695" t="str">
        <f>INDEX('W-S'!$A:$O,MATCH(I1278,'W-S'!$C:$C,0),MATCH("Description V3",'W-S'!$1:$1,0))</f>
        <v>Deals 25 hits of 60% water damage to enemies directly ahead, and lowers their water resistance by 10% for 20 seconds. This resistance reduction will not stack.</v>
      </c>
      <c r="M1279" s="696"/>
    </row>
    <row r="1280" spans="1:13" ht="22.5" x14ac:dyDescent="0.2">
      <c r="B1280" s="701" t="e" vm="203">
        <f>+_xlfn.IMAGE("https://natalie.tf/wp-content/uploads/2023/10/DLV3_Icon_Weapon_"&amp;B1279&amp;".png")</f>
        <v>#VALUE!</v>
      </c>
      <c r="C1280" s="240"/>
      <c r="D1280" s="692" t="str">
        <f>INDEX(WEAP!$A:$AN,MATCH(B1279,WEAP!$A:$A,0),MATCH("Element",WEAP!$A$1:$BF$1,0))&amp;" "&amp;INDEX(WEAP!$A:$AN,MATCH(B1279,WEAP!$A:$A,0),MATCH("Type",WEAP!$A$1:$BF$1,0))</f>
        <v>Water Manacaster</v>
      </c>
      <c r="E1280" s="693"/>
      <c r="F1280" s="693"/>
      <c r="G1280" s="694"/>
      <c r="H1280" s="8"/>
      <c r="I1280" s="697"/>
      <c r="J1280" s="698"/>
      <c r="K1280" s="9"/>
      <c r="L1280" s="697"/>
      <c r="M1280" s="698"/>
    </row>
    <row r="1281" spans="1:13" ht="22.5" x14ac:dyDescent="0.35">
      <c r="B1281" s="702"/>
      <c r="C1281" s="239"/>
      <c r="D1281" s="703" t="s">
        <v>10760</v>
      </c>
      <c r="E1281" s="704"/>
      <c r="F1281" s="235" t="s">
        <v>10761</v>
      </c>
      <c r="G1281" s="235" t="s">
        <v>10762</v>
      </c>
      <c r="I1281" s="697"/>
      <c r="J1281" s="698"/>
      <c r="K1281" s="239"/>
      <c r="L1281" s="697"/>
      <c r="M1281" s="698"/>
    </row>
    <row r="1282" spans="1:13" ht="22.5" x14ac:dyDescent="0.35">
      <c r="B1282" s="702"/>
      <c r="C1282" s="239"/>
      <c r="D1282" s="705" t="s">
        <v>96</v>
      </c>
      <c r="E1282" s="706"/>
      <c r="F1282" s="236">
        <f>INDEX(WEAP!$A:$AN,MATCH(B1279,WEAP!$A:$A,0),MATCH("HP",WEAP!$A$1:$BF$1,0))</f>
        <v>246</v>
      </c>
      <c r="G1282" s="237">
        <f>INDEX(WEAP!$A:$AN,MATCH(B1279,WEAP!$A:$A,0),MATCH("HP V3",WEAP!$A$1:$BF$1,0))</f>
        <v>270</v>
      </c>
      <c r="I1282" s="697"/>
      <c r="J1282" s="698"/>
      <c r="K1282" s="239"/>
      <c r="L1282" s="697"/>
      <c r="M1282" s="698"/>
    </row>
    <row r="1283" spans="1:13" ht="22.5" x14ac:dyDescent="0.35">
      <c r="B1283" s="702"/>
      <c r="C1283" s="239"/>
      <c r="D1283" s="707" t="s">
        <v>97</v>
      </c>
      <c r="E1283" s="708"/>
      <c r="F1283" s="236">
        <f>INDEX(WEAP!$A:$AN,MATCH(B1279,WEAP!$A:$A,0),MATCH("Str",WEAP!$A$1:$BF$1,0))</f>
        <v>1467</v>
      </c>
      <c r="G1283" s="237">
        <f>INDEX(WEAP!$A:$AN,MATCH(B1279,WEAP!$A:$A,0),MATCH("Str V3",WEAP!$A$1:$BF$1,0))</f>
        <v>1595</v>
      </c>
      <c r="I1283" s="699"/>
      <c r="J1283" s="700"/>
      <c r="K1283" s="239"/>
      <c r="L1283" s="699"/>
      <c r="M1283" s="700"/>
    </row>
    <row r="1284" spans="1:13" s="245" customFormat="1" ht="7.5" customHeight="1" x14ac:dyDescent="0.2">
      <c r="A1284" s="245" t="s">
        <v>10763</v>
      </c>
    </row>
    <row r="1285" spans="1:13" ht="22.5" x14ac:dyDescent="0.35">
      <c r="A1285" s="244" t="str">
        <f>TEXT(A1278+1,"000")</f>
        <v>184</v>
      </c>
      <c r="B1285" s="238" t="str">
        <f>"W-"&amp;A1285</f>
        <v>W-184</v>
      </c>
      <c r="C1285" s="239"/>
      <c r="D1285" s="692" t="str">
        <f>+INDEX(WEAP!$A:$AN,MATCH(B1286,WEAP!$A:$A,0),MATCH("Name",WEAP!$A$1:$BF$1,0))</f>
        <v>Absolute Tempest</v>
      </c>
      <c r="E1285" s="693"/>
      <c r="F1285" s="693"/>
      <c r="G1285" s="694"/>
      <c r="I1285" s="241" t="str">
        <f>+INDEX(WEAP!$A:$AN,MATCH(B1286,WEAP!$A:$A,0),MATCH("Weapon Skill",WEAP!$A$1:$BF$1,0))</f>
        <v>Infinite Tempest</v>
      </c>
      <c r="J1285" s="243">
        <f>INDEX('W-S'!$A:$N,MATCH(I1285,'W-S'!$C:$C,0),MATCH("SP Cost",'W-S'!$1:$1,0))</f>
        <v>6418</v>
      </c>
      <c r="K1285" s="9"/>
      <c r="L1285" s="241" t="str">
        <f>+I1285</f>
        <v>Infinite Tempest</v>
      </c>
      <c r="M1285" s="243">
        <f>INDEX('W-S'!$A:$N,MATCH(L1285,'W-S'!$C:$C,0),MATCH("SP Cost V3",'W-S'!$1:$1,0))</f>
        <v>6000</v>
      </c>
    </row>
    <row r="1286" spans="1:13" ht="22.5" x14ac:dyDescent="0.35">
      <c r="B1286" s="238" t="str">
        <f>+INDEX(WEAP!$A:$AN,MATCH(B1285,WEAP!$B:$B,0),MATCH("ID",WEAP!$A$1:$BF$1,0))</f>
        <v>301119_01</v>
      </c>
      <c r="C1286" s="240"/>
      <c r="D1286" s="692" t="str">
        <f>+INDEX(WEAP!$A:$AN,MATCH(B1285,WEAP!$B:$B,0),MATCH("Family",WEAP!$A$1:$BF$1,0))&amp;" Weapon"</f>
        <v>HDT Weapon</v>
      </c>
      <c r="E1286" s="693"/>
      <c r="F1286" s="693"/>
      <c r="G1286" s="694"/>
      <c r="H1286" s="8"/>
      <c r="I1286" s="695" t="str">
        <f>INDEX('W-S'!$A:$O,MATCH(I1285,'W-S'!$C:$C,0),MATCH("Description",'W-S'!$1:$1,0))</f>
        <v>Deals 3 hits of 248% wind damage to surrounding enemies.</v>
      </c>
      <c r="J1286" s="696"/>
      <c r="K1286" s="239"/>
      <c r="L1286" s="695" t="str">
        <f>INDEX('W-S'!$A:$O,MATCH(I1285,'W-S'!$C:$C,0),MATCH("Description V3",'W-S'!$1:$1,0))</f>
        <v>Deals 3 hits of 500% wind damage to surrounding enemies, and lowers their wind resistance by 10% for 20 seconds. This resistance reduction will not stack.</v>
      </c>
      <c r="M1286" s="696"/>
    </row>
    <row r="1287" spans="1:13" ht="22.5" x14ac:dyDescent="0.2">
      <c r="B1287" s="701" t="e" vm="204">
        <f>+_xlfn.IMAGE("https://natalie.tf/wp-content/uploads/2023/10/DLV3_Icon_Weapon_"&amp;B1286&amp;".png")</f>
        <v>#VALUE!</v>
      </c>
      <c r="C1287" s="240"/>
      <c r="D1287" s="692" t="str">
        <f>INDEX(WEAP!$A:$AN,MATCH(B1286,WEAP!$A:$A,0),MATCH("Element",WEAP!$A$1:$BF$1,0))&amp;" "&amp;INDEX(WEAP!$A:$AN,MATCH(B1286,WEAP!$A:$A,0),MATCH("Type",WEAP!$A$1:$BF$1,0))</f>
        <v>Wind Sword</v>
      </c>
      <c r="E1287" s="693"/>
      <c r="F1287" s="693"/>
      <c r="G1287" s="694"/>
      <c r="H1287" s="8"/>
      <c r="I1287" s="697"/>
      <c r="J1287" s="698"/>
      <c r="K1287" s="9"/>
      <c r="L1287" s="697"/>
      <c r="M1287" s="698"/>
    </row>
    <row r="1288" spans="1:13" ht="22.5" x14ac:dyDescent="0.35">
      <c r="B1288" s="702"/>
      <c r="C1288" s="239"/>
      <c r="D1288" s="703" t="s">
        <v>10760</v>
      </c>
      <c r="E1288" s="704"/>
      <c r="F1288" s="235" t="s">
        <v>10761</v>
      </c>
      <c r="G1288" s="235" t="s">
        <v>10762</v>
      </c>
      <c r="I1288" s="697"/>
      <c r="J1288" s="698"/>
      <c r="K1288" s="239"/>
      <c r="L1288" s="697"/>
      <c r="M1288" s="698"/>
    </row>
    <row r="1289" spans="1:13" ht="22.5" x14ac:dyDescent="0.35">
      <c r="B1289" s="702"/>
      <c r="C1289" s="239"/>
      <c r="D1289" s="705" t="s">
        <v>96</v>
      </c>
      <c r="E1289" s="706"/>
      <c r="F1289" s="236">
        <f>INDEX(WEAP!$A:$AN,MATCH(B1286,WEAP!$A:$A,0),MATCH("HP",WEAP!$A$1:$BF$1,0))</f>
        <v>267</v>
      </c>
      <c r="G1289" s="237">
        <f>INDEX(WEAP!$A:$AN,MATCH(B1286,WEAP!$A:$A,0),MATCH("HP V3",WEAP!$A$1:$BF$1,0))</f>
        <v>270</v>
      </c>
      <c r="I1289" s="697"/>
      <c r="J1289" s="698"/>
      <c r="K1289" s="239"/>
      <c r="L1289" s="697"/>
      <c r="M1289" s="698"/>
    </row>
    <row r="1290" spans="1:13" ht="22.5" x14ac:dyDescent="0.35">
      <c r="B1290" s="702"/>
      <c r="C1290" s="239"/>
      <c r="D1290" s="707" t="s">
        <v>97</v>
      </c>
      <c r="E1290" s="708"/>
      <c r="F1290" s="236">
        <f>INDEX(WEAP!$A:$AN,MATCH(B1286,WEAP!$A:$A,0),MATCH("Str",WEAP!$A$1:$BF$1,0))</f>
        <v>1411</v>
      </c>
      <c r="G1290" s="237">
        <f>INDEX(WEAP!$A:$AN,MATCH(B1286,WEAP!$A:$A,0),MATCH("Str V3",WEAP!$A$1:$BF$1,0))</f>
        <v>1530</v>
      </c>
      <c r="I1290" s="699"/>
      <c r="J1290" s="700"/>
      <c r="K1290" s="239"/>
      <c r="L1290" s="699"/>
      <c r="M1290" s="700"/>
    </row>
    <row r="1291" spans="1:13" s="245" customFormat="1" ht="7.5" customHeight="1" x14ac:dyDescent="0.2">
      <c r="A1291" s="245" t="s">
        <v>10763</v>
      </c>
    </row>
    <row r="1292" spans="1:13" ht="22.5" x14ac:dyDescent="0.35">
      <c r="A1292" s="244" t="str">
        <f>TEXT(A1285+1,"000")</f>
        <v>185</v>
      </c>
      <c r="B1292" s="238" t="str">
        <f>"W-"&amp;A1292</f>
        <v>W-185</v>
      </c>
      <c r="C1292" s="239"/>
      <c r="D1292" s="692" t="str">
        <f>+INDEX(WEAP!$A:$AN,MATCH(B1293,WEAP!$A:$A,0),MATCH("Name",WEAP!$A$1:$BF$1,0))</f>
        <v>Endless Horizon</v>
      </c>
      <c r="E1292" s="693"/>
      <c r="F1292" s="693"/>
      <c r="G1292" s="694"/>
      <c r="I1292" s="241" t="str">
        <f>+INDEX(WEAP!$A:$AN,MATCH(B1293,WEAP!$A:$A,0),MATCH("Weapon Skill",WEAP!$A$1:$BF$1,0))</f>
        <v>Endless Blade</v>
      </c>
      <c r="J1292" s="243">
        <f>INDEX('W-S'!$A:$N,MATCH(I1292,'W-S'!$C:$C,0),MATCH("SP Cost",'W-S'!$1:$1,0))</f>
        <v>7582</v>
      </c>
      <c r="K1292" s="9"/>
      <c r="L1292" s="241" t="str">
        <f>+I1292</f>
        <v>Endless Blade</v>
      </c>
      <c r="M1292" s="243">
        <f>INDEX('W-S'!$A:$N,MATCH(L1292,'W-S'!$C:$C,0),MATCH("SP Cost V3",'W-S'!$1:$1,0))</f>
        <v>6000</v>
      </c>
    </row>
    <row r="1293" spans="1:13" ht="22.5" x14ac:dyDescent="0.35">
      <c r="B1293" s="238" t="str">
        <f>+INDEX(WEAP!$A:$AN,MATCH(B1292,WEAP!$B:$B,0),MATCH("ID",WEAP!$A$1:$BF$1,0))</f>
        <v>302110_01</v>
      </c>
      <c r="C1293" s="240"/>
      <c r="D1293" s="692" t="str">
        <f>+INDEX(WEAP!$A:$AN,MATCH(B1292,WEAP!$B:$B,0),MATCH("Family",WEAP!$A$1:$BF$1,0))&amp;" Weapon"</f>
        <v>HDT Weapon</v>
      </c>
      <c r="E1293" s="693"/>
      <c r="F1293" s="693"/>
      <c r="G1293" s="694"/>
      <c r="H1293" s="8"/>
      <c r="I1293" s="695" t="str">
        <f>INDEX('W-S'!$A:$O,MATCH(I1292,'W-S'!$C:$C,0),MATCH("Description",'W-S'!$1:$1,0))</f>
        <v>Deals 1 hit of 957% wind damage to surrounding enemies.</v>
      </c>
      <c r="J1293" s="696"/>
      <c r="K1293" s="239"/>
      <c r="L1293" s="695" t="str">
        <f>INDEX('W-S'!$A:$O,MATCH(I1292,'W-S'!$C:$C,0),MATCH("Description V3",'W-S'!$1:$1,0))</f>
        <v>Deals 1 hit of 1500% wind damage to surrounding enemies, and lowers their wind resistance by 10% for 20 seconds. This resistance reduction will not stack.</v>
      </c>
      <c r="M1293" s="696"/>
    </row>
    <row r="1294" spans="1:13" ht="22.5" x14ac:dyDescent="0.2">
      <c r="B1294" s="701" t="e" vm="205">
        <f>+_xlfn.IMAGE("https://natalie.tf/wp-content/uploads/2023/10/DLV3_Icon_Weapon_"&amp;B1293&amp;".png")</f>
        <v>#VALUE!</v>
      </c>
      <c r="C1294" s="240"/>
      <c r="D1294" s="692" t="str">
        <f>INDEX(WEAP!$A:$AN,MATCH(B1293,WEAP!$A:$A,0),MATCH("Element",WEAP!$A$1:$BF$1,0))&amp;" "&amp;INDEX(WEAP!$A:$AN,MATCH(B1293,WEAP!$A:$A,0),MATCH("Type",WEAP!$A$1:$BF$1,0))</f>
        <v>Wind Blade</v>
      </c>
      <c r="E1294" s="693"/>
      <c r="F1294" s="693"/>
      <c r="G1294" s="694"/>
      <c r="H1294" s="8"/>
      <c r="I1294" s="697"/>
      <c r="J1294" s="698"/>
      <c r="K1294" s="9"/>
      <c r="L1294" s="697"/>
      <c r="M1294" s="698"/>
    </row>
    <row r="1295" spans="1:13" ht="22.5" x14ac:dyDescent="0.35">
      <c r="B1295" s="702"/>
      <c r="C1295" s="239"/>
      <c r="D1295" s="703" t="s">
        <v>10760</v>
      </c>
      <c r="E1295" s="704"/>
      <c r="F1295" s="235" t="s">
        <v>10761</v>
      </c>
      <c r="G1295" s="235" t="s">
        <v>10762</v>
      </c>
      <c r="I1295" s="697"/>
      <c r="J1295" s="698"/>
      <c r="K1295" s="239"/>
      <c r="L1295" s="697"/>
      <c r="M1295" s="698"/>
    </row>
    <row r="1296" spans="1:13" ht="22.5" x14ac:dyDescent="0.35">
      <c r="B1296" s="702"/>
      <c r="C1296" s="239"/>
      <c r="D1296" s="705" t="s">
        <v>96</v>
      </c>
      <c r="E1296" s="706"/>
      <c r="F1296" s="236">
        <f>INDEX(WEAP!$A:$AN,MATCH(B1293,WEAP!$A:$A,0),MATCH("HP",WEAP!$A$1:$BF$1,0))</f>
        <v>218</v>
      </c>
      <c r="G1296" s="237">
        <f>INDEX(WEAP!$A:$AN,MATCH(B1293,WEAP!$A:$A,0),MATCH("HP V3",WEAP!$A$1:$BF$1,0))</f>
        <v>250</v>
      </c>
      <c r="I1296" s="697"/>
      <c r="J1296" s="698"/>
      <c r="K1296" s="239"/>
      <c r="L1296" s="697"/>
      <c r="M1296" s="698"/>
    </row>
    <row r="1297" spans="1:13" ht="22.5" x14ac:dyDescent="0.35">
      <c r="B1297" s="702"/>
      <c r="C1297" s="239"/>
      <c r="D1297" s="707" t="s">
        <v>97</v>
      </c>
      <c r="E1297" s="708"/>
      <c r="F1297" s="236">
        <f>INDEX(WEAP!$A:$AN,MATCH(B1293,WEAP!$A:$A,0),MATCH("Str",WEAP!$A$1:$BF$1,0))</f>
        <v>1574</v>
      </c>
      <c r="G1297" s="237">
        <f>INDEX(WEAP!$A:$AN,MATCH(B1293,WEAP!$A:$A,0),MATCH("Str V3",WEAP!$A$1:$BF$1,0))</f>
        <v>1625</v>
      </c>
      <c r="I1297" s="699"/>
      <c r="J1297" s="700"/>
      <c r="K1297" s="239"/>
      <c r="L1297" s="699"/>
      <c r="M1297" s="700"/>
    </row>
    <row r="1298" spans="1:13" ht="33.75" customHeight="1" x14ac:dyDescent="0.2">
      <c r="A1298" t="s">
        <v>10763</v>
      </c>
    </row>
    <row r="1299" spans="1:13" ht="22.5" x14ac:dyDescent="0.35">
      <c r="A1299" s="244" t="str">
        <f>TEXT(A1292+1,"000")</f>
        <v>186</v>
      </c>
      <c r="B1299" s="238" t="str">
        <f>"W-"&amp;A1299</f>
        <v>W-186</v>
      </c>
      <c r="C1299" s="239"/>
      <c r="D1299" s="692" t="str">
        <f>+INDEX(WEAP!$A:$AN,MATCH(B1300,WEAP!$A:$A,0),MATCH("Name",WEAP!$A$1:$BF$1,0))</f>
        <v>Windruler's Maw</v>
      </c>
      <c r="E1299" s="693"/>
      <c r="F1299" s="693"/>
      <c r="G1299" s="694"/>
      <c r="I1299" s="241" t="str">
        <f>+INDEX(WEAP!$A:$AN,MATCH(B1300,WEAP!$A:$A,0),MATCH("Weapon Skill",WEAP!$A$1:$BF$1,0))</f>
        <v>Merciless Windruler</v>
      </c>
      <c r="J1299" s="243">
        <f>INDEX('W-S'!$A:$N,MATCH(I1299,'W-S'!$C:$C,0),MATCH("SP Cost",'W-S'!$1:$1,0))</f>
        <v>6145</v>
      </c>
      <c r="K1299" s="9"/>
      <c r="L1299" s="241" t="str">
        <f>+I1299</f>
        <v>Merciless Windruler</v>
      </c>
      <c r="M1299" s="243">
        <f>INDEX('W-S'!$A:$N,MATCH(L1299,'W-S'!$C:$C,0),MATCH("SP Cost V3",'W-S'!$1:$1,0))</f>
        <v>6000</v>
      </c>
    </row>
    <row r="1300" spans="1:13" ht="22.5" x14ac:dyDescent="0.35">
      <c r="B1300" s="238" t="str">
        <f>+INDEX(WEAP!$A:$AN,MATCH(B1299,WEAP!$B:$B,0),MATCH("ID",WEAP!$A$1:$BF$1,0))</f>
        <v>303109_01</v>
      </c>
      <c r="C1300" s="240"/>
      <c r="D1300" s="692" t="str">
        <f>+INDEX(WEAP!$A:$AN,MATCH(B1299,WEAP!$B:$B,0),MATCH("Family",WEAP!$A$1:$BF$1,0))&amp;" Weapon"</f>
        <v>HDT Weapon</v>
      </c>
      <c r="E1300" s="693"/>
      <c r="F1300" s="693"/>
      <c r="G1300" s="694"/>
      <c r="H1300" s="8"/>
      <c r="I1300" s="695" t="str">
        <f>INDEX('W-S'!$A:$O,MATCH(I1299,'W-S'!$C:$C,0),MATCH("Description",'W-S'!$1:$1,0))</f>
        <v>Deals 5 hits of 164% wind damage to enemies directly ahead.</v>
      </c>
      <c r="J1300" s="696"/>
      <c r="K1300" s="239"/>
      <c r="L1300" s="695" t="str">
        <f>INDEX('W-S'!$A:$O,MATCH(I1299,'W-S'!$C:$C,0),MATCH("Description V3",'W-S'!$1:$1,0))</f>
        <v>Deals 5 hits of 300% wind damage to enemies directly ahead, and lowers their wind resistance by 10% for 20 seconds. This resistance reduction will not stack.</v>
      </c>
      <c r="M1300" s="696"/>
    </row>
    <row r="1301" spans="1:13" ht="22.5" x14ac:dyDescent="0.2">
      <c r="B1301" s="701" t="e" vm="206">
        <f>+_xlfn.IMAGE("https://natalie.tf/wp-content/uploads/2023/10/DLV3_Icon_Weapon_"&amp;B1300&amp;".png")</f>
        <v>#VALUE!</v>
      </c>
      <c r="C1301" s="240"/>
      <c r="D1301" s="692" t="str">
        <f>INDEX(WEAP!$A:$AN,MATCH(B1300,WEAP!$A:$A,0),MATCH("Element",WEAP!$A$1:$BF$1,0))&amp;" "&amp;INDEX(WEAP!$A:$AN,MATCH(B1300,WEAP!$A:$A,0),MATCH("Type",WEAP!$A$1:$BF$1,0))</f>
        <v>Wind Dagger</v>
      </c>
      <c r="E1301" s="693"/>
      <c r="F1301" s="693"/>
      <c r="G1301" s="694"/>
      <c r="H1301" s="8"/>
      <c r="I1301" s="697"/>
      <c r="J1301" s="698"/>
      <c r="K1301" s="9"/>
      <c r="L1301" s="697"/>
      <c r="M1301" s="698"/>
    </row>
    <row r="1302" spans="1:13" ht="22.5" x14ac:dyDescent="0.35">
      <c r="B1302" s="702"/>
      <c r="C1302" s="239"/>
      <c r="D1302" s="703" t="s">
        <v>10760</v>
      </c>
      <c r="E1302" s="704"/>
      <c r="F1302" s="235" t="s">
        <v>10761</v>
      </c>
      <c r="G1302" s="235" t="s">
        <v>10762</v>
      </c>
      <c r="I1302" s="697"/>
      <c r="J1302" s="698"/>
      <c r="K1302" s="239"/>
      <c r="L1302" s="697"/>
      <c r="M1302" s="698"/>
    </row>
    <row r="1303" spans="1:13" ht="22.5" x14ac:dyDescent="0.35">
      <c r="B1303" s="702"/>
      <c r="C1303" s="239"/>
      <c r="D1303" s="705" t="s">
        <v>96</v>
      </c>
      <c r="E1303" s="706"/>
      <c r="F1303" s="236">
        <f>INDEX(WEAP!$A:$AN,MATCH(B1300,WEAP!$A:$A,0),MATCH("HP",WEAP!$A$1:$BF$1,0))</f>
        <v>270</v>
      </c>
      <c r="G1303" s="237">
        <f>INDEX(WEAP!$A:$AN,MATCH(B1300,WEAP!$A:$A,0),MATCH("HP V3",WEAP!$A$1:$BF$1,0))</f>
        <v>275</v>
      </c>
      <c r="I1303" s="697"/>
      <c r="J1303" s="698"/>
      <c r="K1303" s="239"/>
      <c r="L1303" s="697"/>
      <c r="M1303" s="698"/>
    </row>
    <row r="1304" spans="1:13" ht="22.5" x14ac:dyDescent="0.35">
      <c r="B1304" s="702"/>
      <c r="C1304" s="239"/>
      <c r="D1304" s="707" t="s">
        <v>97</v>
      </c>
      <c r="E1304" s="708"/>
      <c r="F1304" s="236">
        <f>INDEX(WEAP!$A:$AN,MATCH(B1300,WEAP!$A:$A,0),MATCH("Str",WEAP!$A$1:$BF$1,0))</f>
        <v>1383</v>
      </c>
      <c r="G1304" s="237">
        <f>INDEX(WEAP!$A:$AN,MATCH(B1300,WEAP!$A:$A,0),MATCH("Str V3",WEAP!$A$1:$BF$1,0))</f>
        <v>1455</v>
      </c>
      <c r="I1304" s="699"/>
      <c r="J1304" s="700"/>
      <c r="K1304" s="239"/>
      <c r="L1304" s="699"/>
      <c r="M1304" s="700"/>
    </row>
    <row r="1305" spans="1:13" s="245" customFormat="1" ht="7.5" customHeight="1" x14ac:dyDescent="0.2">
      <c r="A1305" s="245" t="s">
        <v>10763</v>
      </c>
    </row>
    <row r="1306" spans="1:13" ht="22.5" x14ac:dyDescent="0.35">
      <c r="A1306" s="242" t="str">
        <f>TEXT(A1299+1,"000")</f>
        <v>187</v>
      </c>
      <c r="B1306" s="238" t="str">
        <f>"W-"&amp;A1306</f>
        <v>W-187</v>
      </c>
      <c r="C1306" s="239"/>
      <c r="D1306" s="692" t="str">
        <f>+INDEX(WEAP!$A:$AN,MATCH(B1307,WEAP!$A:$A,0),MATCH("Name",WEAP!$A$1:$BF$1,0))</f>
        <v>Glorystorm's Guide</v>
      </c>
      <c r="E1306" s="693"/>
      <c r="F1306" s="693"/>
      <c r="G1306" s="694"/>
      <c r="I1306" s="241" t="str">
        <f>+INDEX(WEAP!$A:$AN,MATCH(B1307,WEAP!$A:$A,0),MATCH("Weapon Skill",WEAP!$A$1:$BF$1,0))</f>
        <v>Glorystorm's Wisdom</v>
      </c>
      <c r="J1306" s="243">
        <f>INDEX('W-S'!$A:$N,MATCH(I1306,'W-S'!$C:$C,0),MATCH("SP Cost",'W-S'!$1:$1,0))</f>
        <v>8895</v>
      </c>
      <c r="K1306" s="9"/>
      <c r="L1306" s="241" t="str">
        <f>+I1306</f>
        <v>Glorystorm's Wisdom</v>
      </c>
      <c r="M1306" s="243">
        <f>INDEX('W-S'!$A:$N,MATCH(L1306,'W-S'!$C:$C,0),MATCH("SP Cost V3",'W-S'!$1:$1,0))</f>
        <v>6000</v>
      </c>
    </row>
    <row r="1307" spans="1:13" ht="22.5" x14ac:dyDescent="0.35">
      <c r="B1307" s="238" t="str">
        <f>+INDEX(WEAP!$A:$AN,MATCH(B1306,WEAP!$B:$B,0),MATCH("ID",WEAP!$A$1:$BF$1,0))</f>
        <v>304108_01</v>
      </c>
      <c r="C1307" s="240"/>
      <c r="D1307" s="692" t="str">
        <f>+INDEX(WEAP!$A:$AN,MATCH(B1306,WEAP!$B:$B,0),MATCH("Family",WEAP!$A$1:$BF$1,0))&amp;" Weapon"</f>
        <v>HDT Weapon</v>
      </c>
      <c r="E1307" s="693"/>
      <c r="F1307" s="693"/>
      <c r="G1307" s="694"/>
      <c r="H1307" s="8"/>
      <c r="I1307" s="695" t="str">
        <f>INDEX('W-S'!$A:$O,MATCH(I1306,'W-S'!$C:$C,0),MATCH("Description",'W-S'!$1:$1,0))</f>
        <v>Deals 3 hits of 418% wind damage to enemies directly ahead.</v>
      </c>
      <c r="J1307" s="696"/>
      <c r="K1307" s="239"/>
      <c r="L1307" s="695" t="str">
        <f>INDEX('W-S'!$A:$O,MATCH(I1306,'W-S'!$C:$C,0),MATCH("Description V3",'W-S'!$1:$1,0))</f>
        <v>Deals 3 hits of 500% wind damage to enemies directly ahead, and lowers their wind resistance by 10% for 20 seconds. This resistance reduction will not stack.</v>
      </c>
      <c r="M1307" s="696"/>
    </row>
    <row r="1308" spans="1:13" ht="22.5" x14ac:dyDescent="0.2">
      <c r="B1308" s="701" t="e" vm="207">
        <f>+_xlfn.IMAGE("https://natalie.tf/wp-content/uploads/2023/10/DLV3_Icon_Weapon_"&amp;B1307&amp;".png")</f>
        <v>#VALUE!</v>
      </c>
      <c r="C1308" s="240"/>
      <c r="D1308" s="692" t="str">
        <f>INDEX(WEAP!$A:$AN,MATCH(B1307,WEAP!$A:$A,0),MATCH("Element",WEAP!$A$1:$BF$1,0))&amp;" "&amp;INDEX(WEAP!$A:$AN,MATCH(B1307,WEAP!$A:$A,0),MATCH("Type",WEAP!$A$1:$BF$1,0))</f>
        <v>Wind Axe</v>
      </c>
      <c r="E1308" s="693"/>
      <c r="F1308" s="693"/>
      <c r="G1308" s="694"/>
      <c r="H1308" s="8"/>
      <c r="I1308" s="697"/>
      <c r="J1308" s="698"/>
      <c r="K1308" s="9"/>
      <c r="L1308" s="697"/>
      <c r="M1308" s="698"/>
    </row>
    <row r="1309" spans="1:13" ht="22.5" x14ac:dyDescent="0.35">
      <c r="B1309" s="702"/>
      <c r="C1309" s="239"/>
      <c r="D1309" s="703" t="s">
        <v>10760</v>
      </c>
      <c r="E1309" s="704"/>
      <c r="F1309" s="235" t="s">
        <v>10761</v>
      </c>
      <c r="G1309" s="235" t="s">
        <v>10762</v>
      </c>
      <c r="I1309" s="697"/>
      <c r="J1309" s="698"/>
      <c r="K1309" s="239"/>
      <c r="L1309" s="697"/>
      <c r="M1309" s="698"/>
    </row>
    <row r="1310" spans="1:13" ht="22.5" x14ac:dyDescent="0.35">
      <c r="B1310" s="702"/>
      <c r="C1310" s="239"/>
      <c r="D1310" s="705" t="s">
        <v>96</v>
      </c>
      <c r="E1310" s="706"/>
      <c r="F1310" s="236">
        <f>INDEX(WEAP!$A:$AN,MATCH(B1307,WEAP!$A:$A,0),MATCH("HP",WEAP!$A$1:$BF$1,0))</f>
        <v>267</v>
      </c>
      <c r="G1310" s="237">
        <f>INDEX(WEAP!$A:$AN,MATCH(B1307,WEAP!$A:$A,0),MATCH("HP V3",WEAP!$A$1:$BF$1,0))</f>
        <v>295</v>
      </c>
      <c r="I1310" s="697"/>
      <c r="J1310" s="698"/>
      <c r="K1310" s="239"/>
      <c r="L1310" s="697"/>
      <c r="M1310" s="698"/>
    </row>
    <row r="1311" spans="1:13" ht="22.5" x14ac:dyDescent="0.35">
      <c r="B1311" s="702"/>
      <c r="C1311" s="239"/>
      <c r="D1311" s="707" t="s">
        <v>97</v>
      </c>
      <c r="E1311" s="708"/>
      <c r="F1311" s="236">
        <f>INDEX(WEAP!$A:$AN,MATCH(B1307,WEAP!$A:$A,0),MATCH("Str",WEAP!$A$1:$BF$1,0))</f>
        <v>1512</v>
      </c>
      <c r="G1311" s="237">
        <f>INDEX(WEAP!$A:$AN,MATCH(B1307,WEAP!$A:$A,0),MATCH("Str V3",WEAP!$A$1:$BF$1,0))</f>
        <v>1610</v>
      </c>
      <c r="I1311" s="699"/>
      <c r="J1311" s="700"/>
      <c r="K1311" s="239"/>
      <c r="L1311" s="699"/>
      <c r="M1311" s="700"/>
    </row>
    <row r="1312" spans="1:13" s="245" customFormat="1" ht="7.5" customHeight="1" x14ac:dyDescent="0.2">
      <c r="A1312" s="245" t="s">
        <v>10763</v>
      </c>
    </row>
    <row r="1313" spans="1:13" ht="22.5" x14ac:dyDescent="0.35">
      <c r="A1313" s="244" t="str">
        <f>TEXT(A1306+1,"000")</f>
        <v>188</v>
      </c>
      <c r="B1313" s="238" t="str">
        <f>"W-"&amp;A1313</f>
        <v>W-188</v>
      </c>
      <c r="C1313" s="239"/>
      <c r="D1313" s="692" t="str">
        <f>+INDEX(WEAP!$A:$AN,MATCH(B1314,WEAP!$A:$A,0),MATCH("Name",WEAP!$A$1:$BF$1,0))</f>
        <v>Guiding Gale</v>
      </c>
      <c r="E1313" s="693"/>
      <c r="F1313" s="693"/>
      <c r="G1313" s="694"/>
      <c r="I1313" s="241" t="str">
        <f>+INDEX(WEAP!$A:$AN,MATCH(B1314,WEAP!$A:$A,0),MATCH("Weapon Skill",WEAP!$A$1:$BF$1,0))</f>
        <v>Glorious Gale</v>
      </c>
      <c r="J1313" s="243">
        <f>INDEX('W-S'!$A:$N,MATCH(I1313,'W-S'!$C:$C,0),MATCH("SP Cost",'W-S'!$1:$1,0))</f>
        <v>6762</v>
      </c>
      <c r="K1313" s="9"/>
      <c r="L1313" s="241" t="str">
        <f>+I1313</f>
        <v>Glorious Gale</v>
      </c>
      <c r="M1313" s="243">
        <f>INDEX('W-S'!$A:$N,MATCH(L1313,'W-S'!$C:$C,0),MATCH("SP Cost V3",'W-S'!$1:$1,0))</f>
        <v>6000</v>
      </c>
    </row>
    <row r="1314" spans="1:13" ht="22.5" x14ac:dyDescent="0.35">
      <c r="B1314" s="238" t="str">
        <f>+INDEX(WEAP!$A:$AN,MATCH(B1313,WEAP!$B:$B,0),MATCH("ID",WEAP!$A$1:$BF$1,0))</f>
        <v>305115_01</v>
      </c>
      <c r="C1314" s="240"/>
      <c r="D1314" s="692" t="str">
        <f>+INDEX(WEAP!$A:$AN,MATCH(B1313,WEAP!$B:$B,0),MATCH("Family",WEAP!$A$1:$BF$1,0))&amp;" Weapon"</f>
        <v>HDT Weapon</v>
      </c>
      <c r="E1314" s="693"/>
      <c r="F1314" s="693"/>
      <c r="G1314" s="694"/>
      <c r="H1314" s="8"/>
      <c r="I1314" s="695" t="str">
        <f>INDEX('W-S'!$A:$O,MATCH(I1313,'W-S'!$C:$C,0),MATCH("Description",'W-S'!$1:$1,0))</f>
        <v>Deals 10 hits of 92% wind damage to enemies directly ahead.</v>
      </c>
      <c r="J1314" s="696"/>
      <c r="K1314" s="239"/>
      <c r="L1314" s="695" t="str">
        <f>INDEX('W-S'!$A:$O,MATCH(I1313,'W-S'!$C:$C,0),MATCH("Description V3",'W-S'!$1:$1,0))</f>
        <v>Deals 10 hits of 150% wind damage to enemies directly ahead, and lowers their wind resistance by 10% for 20 seconds. This resistance reduction will not stack.</v>
      </c>
      <c r="M1314" s="696"/>
    </row>
    <row r="1315" spans="1:13" ht="22.5" x14ac:dyDescent="0.2">
      <c r="B1315" s="701" t="e" vm="208">
        <f>+_xlfn.IMAGE("https://natalie.tf/wp-content/uploads/2023/10/DLV3_Icon_Weapon_"&amp;B1314&amp;".png")</f>
        <v>#VALUE!</v>
      </c>
      <c r="C1315" s="240"/>
      <c r="D1315" s="692" t="str">
        <f>INDEX(WEAP!$A:$AN,MATCH(B1314,WEAP!$A:$A,0),MATCH("Element",WEAP!$A$1:$BF$1,0))&amp;" "&amp;INDEX(WEAP!$A:$AN,MATCH(B1314,WEAP!$A:$A,0),MATCH("Type",WEAP!$A$1:$BF$1,0))</f>
        <v>Wind Lance</v>
      </c>
      <c r="E1315" s="693"/>
      <c r="F1315" s="693"/>
      <c r="G1315" s="694"/>
      <c r="H1315" s="8"/>
      <c r="I1315" s="697"/>
      <c r="J1315" s="698"/>
      <c r="K1315" s="9"/>
      <c r="L1315" s="697"/>
      <c r="M1315" s="698"/>
    </row>
    <row r="1316" spans="1:13" ht="22.5" x14ac:dyDescent="0.35">
      <c r="B1316" s="702"/>
      <c r="C1316" s="239"/>
      <c r="D1316" s="703" t="s">
        <v>10760</v>
      </c>
      <c r="E1316" s="704"/>
      <c r="F1316" s="235" t="s">
        <v>10761</v>
      </c>
      <c r="G1316" s="235" t="s">
        <v>10762</v>
      </c>
      <c r="I1316" s="697"/>
      <c r="J1316" s="698"/>
      <c r="K1316" s="239"/>
      <c r="L1316" s="697"/>
      <c r="M1316" s="698"/>
    </row>
    <row r="1317" spans="1:13" ht="22.5" x14ac:dyDescent="0.35">
      <c r="B1317" s="702"/>
      <c r="C1317" s="239"/>
      <c r="D1317" s="705" t="s">
        <v>96</v>
      </c>
      <c r="E1317" s="706"/>
      <c r="F1317" s="236">
        <f>INDEX(WEAP!$A:$AN,MATCH(B1314,WEAP!$A:$A,0),MATCH("HP",WEAP!$A$1:$BF$1,0))</f>
        <v>252</v>
      </c>
      <c r="G1317" s="237">
        <f>INDEX(WEAP!$A:$AN,MATCH(B1314,WEAP!$A:$A,0),MATCH("HP V3",WEAP!$A$1:$BF$1,0))</f>
        <v>275</v>
      </c>
      <c r="I1317" s="697"/>
      <c r="J1317" s="698"/>
      <c r="K1317" s="239"/>
      <c r="L1317" s="697"/>
      <c r="M1317" s="698"/>
    </row>
    <row r="1318" spans="1:13" ht="22.5" x14ac:dyDescent="0.35">
      <c r="B1318" s="702"/>
      <c r="C1318" s="239"/>
      <c r="D1318" s="707" t="s">
        <v>97</v>
      </c>
      <c r="E1318" s="708"/>
      <c r="F1318" s="236">
        <f>INDEX(WEAP!$A:$AN,MATCH(B1314,WEAP!$A:$A,0),MATCH("Str",WEAP!$A$1:$BF$1,0))</f>
        <v>1515</v>
      </c>
      <c r="G1318" s="237">
        <f>INDEX(WEAP!$A:$AN,MATCH(B1314,WEAP!$A:$A,0),MATCH("Str V3",WEAP!$A$1:$BF$1,0))</f>
        <v>1560</v>
      </c>
      <c r="I1318" s="699"/>
      <c r="J1318" s="700"/>
      <c r="K1318" s="239"/>
      <c r="L1318" s="699"/>
      <c r="M1318" s="700"/>
    </row>
    <row r="1319" spans="1:13" s="245" customFormat="1" ht="7.5" customHeight="1" x14ac:dyDescent="0.2">
      <c r="A1319" s="245" t="s">
        <v>10763</v>
      </c>
    </row>
    <row r="1320" spans="1:13" ht="22.5" x14ac:dyDescent="0.35">
      <c r="A1320" s="244" t="str">
        <f>TEXT(A1313+1,"000")</f>
        <v>189</v>
      </c>
      <c r="B1320" s="238" t="str">
        <f>"W-"&amp;A1320</f>
        <v>W-189</v>
      </c>
      <c r="C1320" s="239"/>
      <c r="D1320" s="692" t="str">
        <f>+INDEX(WEAP!$A:$AN,MATCH(B1321,WEAP!$A:$A,0),MATCH("Name",WEAP!$A$1:$BF$1,0))</f>
        <v>Jormungand's Fury</v>
      </c>
      <c r="E1320" s="693"/>
      <c r="F1320" s="693"/>
      <c r="G1320" s="694"/>
      <c r="I1320" s="241" t="str">
        <f>+INDEX(WEAP!$A:$AN,MATCH(B1321,WEAP!$A:$A,0),MATCH("Weapon Skill",WEAP!$A$1:$BF$1,0))</f>
        <v>Jormungand's Boundless World</v>
      </c>
      <c r="J1320" s="243">
        <f>INDEX('W-S'!$A:$N,MATCH(I1320,'W-S'!$C:$C,0),MATCH("SP Cost",'W-S'!$1:$1,0))</f>
        <v>6750</v>
      </c>
      <c r="K1320" s="9"/>
      <c r="L1320" s="241" t="str">
        <f>+I1320</f>
        <v>Jormungand's Boundless World</v>
      </c>
      <c r="M1320" s="243">
        <f>INDEX('W-S'!$A:$N,MATCH(L1320,'W-S'!$C:$C,0),MATCH("SP Cost V3",'W-S'!$1:$1,0))</f>
        <v>6000</v>
      </c>
    </row>
    <row r="1321" spans="1:13" ht="22.5" x14ac:dyDescent="0.35">
      <c r="B1321" s="238" t="str">
        <f>+INDEX(WEAP!$A:$AN,MATCH(B1320,WEAP!$B:$B,0),MATCH("ID",WEAP!$A$1:$BF$1,0))</f>
        <v>306108_01</v>
      </c>
      <c r="C1321" s="240"/>
      <c r="D1321" s="692" t="str">
        <f>+INDEX(WEAP!$A:$AN,MATCH(B1320,WEAP!$B:$B,0),MATCH("Family",WEAP!$A$1:$BF$1,0))&amp;" Weapon"</f>
        <v>HDT Weapon</v>
      </c>
      <c r="E1321" s="693"/>
      <c r="F1321" s="693"/>
      <c r="G1321" s="694"/>
      <c r="H1321" s="8"/>
      <c r="I1321" s="695" t="str">
        <f>INDEX('W-S'!$A:$O,MATCH(I1320,'W-S'!$C:$C,0),MATCH("Description",'W-S'!$1:$1,0))</f>
        <v>Deals 3 hits of 316% wind damage to enemies in a line.</v>
      </c>
      <c r="J1321" s="696"/>
      <c r="K1321" s="239"/>
      <c r="L1321" s="695" t="str">
        <f>INDEX('W-S'!$A:$O,MATCH(I1320,'W-S'!$C:$C,0),MATCH("Description V3",'W-S'!$1:$1,0))</f>
        <v>Deals 3 hits of 500% wind damage to enemies in a line, and lowers their wind resistance by 10% for 20 seconds. This resistance reduction will not stack.</v>
      </c>
      <c r="M1321" s="696"/>
    </row>
    <row r="1322" spans="1:13" ht="22.5" x14ac:dyDescent="0.2">
      <c r="B1322" s="701" t="e" vm="209">
        <f>+_xlfn.IMAGE("https://natalie.tf/wp-content/uploads/2023/10/DLV3_Icon_Weapon_"&amp;B1321&amp;".png")</f>
        <v>#VALUE!</v>
      </c>
      <c r="C1322" s="240"/>
      <c r="D1322" s="692" t="str">
        <f>INDEX(WEAP!$A:$AN,MATCH(B1321,WEAP!$A:$A,0),MATCH("Element",WEAP!$A$1:$BF$1,0))&amp;" "&amp;INDEX(WEAP!$A:$AN,MATCH(B1321,WEAP!$A:$A,0),MATCH("Type",WEAP!$A$1:$BF$1,0))</f>
        <v>Wind Bow</v>
      </c>
      <c r="E1322" s="693"/>
      <c r="F1322" s="693"/>
      <c r="G1322" s="694"/>
      <c r="H1322" s="8"/>
      <c r="I1322" s="697"/>
      <c r="J1322" s="698"/>
      <c r="K1322" s="9"/>
      <c r="L1322" s="697"/>
      <c r="M1322" s="698"/>
    </row>
    <row r="1323" spans="1:13" ht="22.5" x14ac:dyDescent="0.35">
      <c r="B1323" s="702"/>
      <c r="C1323" s="239"/>
      <c r="D1323" s="703" t="s">
        <v>10760</v>
      </c>
      <c r="E1323" s="704"/>
      <c r="F1323" s="235" t="s">
        <v>10761</v>
      </c>
      <c r="G1323" s="235" t="s">
        <v>10762</v>
      </c>
      <c r="I1323" s="697"/>
      <c r="J1323" s="698"/>
      <c r="K1323" s="239"/>
      <c r="L1323" s="697"/>
      <c r="M1323" s="698"/>
    </row>
    <row r="1324" spans="1:13" ht="22.5" x14ac:dyDescent="0.35">
      <c r="B1324" s="702"/>
      <c r="C1324" s="239"/>
      <c r="D1324" s="705" t="s">
        <v>96</v>
      </c>
      <c r="E1324" s="706"/>
      <c r="F1324" s="236">
        <f>INDEX(WEAP!$A:$AN,MATCH(B1321,WEAP!$A:$A,0),MATCH("HP",WEAP!$A$1:$BF$1,0))</f>
        <v>242</v>
      </c>
      <c r="G1324" s="237">
        <f>INDEX(WEAP!$A:$AN,MATCH(B1321,WEAP!$A:$A,0),MATCH("HP V3",WEAP!$A$1:$BF$1,0))</f>
        <v>280</v>
      </c>
      <c r="I1324" s="697"/>
      <c r="J1324" s="698"/>
      <c r="K1324" s="239"/>
      <c r="L1324" s="697"/>
      <c r="M1324" s="698"/>
    </row>
    <row r="1325" spans="1:13" ht="22.5" x14ac:dyDescent="0.35">
      <c r="B1325" s="702"/>
      <c r="C1325" s="239"/>
      <c r="D1325" s="707" t="s">
        <v>97</v>
      </c>
      <c r="E1325" s="708"/>
      <c r="F1325" s="236">
        <f>INDEX(WEAP!$A:$AN,MATCH(B1321,WEAP!$A:$A,0),MATCH("Str",WEAP!$A$1:$BF$1,0))</f>
        <v>1426</v>
      </c>
      <c r="G1325" s="237">
        <f>INDEX(WEAP!$A:$AN,MATCH(B1321,WEAP!$A:$A,0),MATCH("Str V3",WEAP!$A$1:$BF$1,0))</f>
        <v>1470</v>
      </c>
      <c r="I1325" s="699"/>
      <c r="J1325" s="700"/>
      <c r="K1325" s="239"/>
      <c r="L1325" s="699"/>
      <c r="M1325" s="700"/>
    </row>
    <row r="1326" spans="1:13" s="245" customFormat="1" ht="7.5" customHeight="1" x14ac:dyDescent="0.2">
      <c r="A1326" s="245" t="s">
        <v>10763</v>
      </c>
    </row>
    <row r="1327" spans="1:13" ht="22.5" x14ac:dyDescent="0.35">
      <c r="A1327" s="244" t="str">
        <f>TEXT(A1320+1,"000")</f>
        <v>190</v>
      </c>
      <c r="B1327" s="238" t="str">
        <f>"W-"&amp;A1327</f>
        <v>W-190</v>
      </c>
      <c r="C1327" s="239"/>
      <c r="D1327" s="692" t="str">
        <f>+INDEX(WEAP!$A:$AN,MATCH(B1328,WEAP!$A:$A,0),MATCH("Name",WEAP!$A$1:$BF$1,0))</f>
        <v>Grand Tempest</v>
      </c>
      <c r="E1327" s="693"/>
      <c r="F1327" s="693"/>
      <c r="G1327" s="694"/>
      <c r="I1327" s="241" t="str">
        <f>+INDEX(WEAP!$A:$AN,MATCH(B1328,WEAP!$A:$A,0),MATCH("Weapon Skill",WEAP!$A$1:$BF$1,0))</f>
        <v>Raging Cyclone</v>
      </c>
      <c r="J1327" s="243">
        <f>INDEX('W-S'!$A:$N,MATCH(I1327,'W-S'!$C:$C,0),MATCH("SP Cost",'W-S'!$1:$1,0))</f>
        <v>7635</v>
      </c>
      <c r="K1327" s="9"/>
      <c r="L1327" s="241" t="str">
        <f>+I1327</f>
        <v>Raging Cyclone</v>
      </c>
      <c r="M1327" s="243">
        <f>INDEX('W-S'!$A:$N,MATCH(L1327,'W-S'!$C:$C,0),MATCH("SP Cost V3",'W-S'!$1:$1,0))</f>
        <v>6000</v>
      </c>
    </row>
    <row r="1328" spans="1:13" ht="22.5" x14ac:dyDescent="0.35">
      <c r="B1328" s="238" t="str">
        <f>+INDEX(WEAP!$A:$AN,MATCH(B1327,WEAP!$B:$B,0),MATCH("ID",WEAP!$A$1:$BF$1,0))</f>
        <v>307116_01</v>
      </c>
      <c r="C1328" s="240"/>
      <c r="D1328" s="692" t="str">
        <f>+INDEX(WEAP!$A:$AN,MATCH(B1327,WEAP!$B:$B,0),MATCH("Family",WEAP!$A$1:$BF$1,0))&amp;" Weapon"</f>
        <v>HDT Weapon</v>
      </c>
      <c r="E1328" s="693"/>
      <c r="F1328" s="693"/>
      <c r="G1328" s="694"/>
      <c r="H1328" s="8"/>
      <c r="I1328" s="695" t="str">
        <f>INDEX('W-S'!$A:$O,MATCH(I1327,'W-S'!$C:$C,0),MATCH("Description",'W-S'!$1:$1,0))</f>
        <v>Deals 4 hits of 243% wind damage to enemies in a line.</v>
      </c>
      <c r="J1328" s="696"/>
      <c r="K1328" s="239"/>
      <c r="L1328" s="695" t="str">
        <f>INDEX('W-S'!$A:$O,MATCH(I1327,'W-S'!$C:$C,0),MATCH("Description V3",'W-S'!$1:$1,0))</f>
        <v>Deals 4 hits of 375% wind damage to enemies in a line, and lowers their wind resistance by 10% for 20 seconds. This resistance reduction will not stack.</v>
      </c>
      <c r="M1328" s="696"/>
    </row>
    <row r="1329" spans="1:13" ht="22.5" x14ac:dyDescent="0.2">
      <c r="B1329" s="701" t="e" vm="210">
        <f>+_xlfn.IMAGE("https://natalie.tf/wp-content/uploads/2023/10/DLV3_Icon_Weapon_"&amp;B1328&amp;".png")</f>
        <v>#VALUE!</v>
      </c>
      <c r="C1329" s="240"/>
      <c r="D1329" s="692" t="str">
        <f>INDEX(WEAP!$A:$AN,MATCH(B1328,WEAP!$A:$A,0),MATCH("Element",WEAP!$A$1:$BF$1,0))&amp;" "&amp;INDEX(WEAP!$A:$AN,MATCH(B1328,WEAP!$A:$A,0),MATCH("Type",WEAP!$A$1:$BF$1,0))</f>
        <v>Wind Wand</v>
      </c>
      <c r="E1329" s="693"/>
      <c r="F1329" s="693"/>
      <c r="G1329" s="694"/>
      <c r="H1329" s="8"/>
      <c r="I1329" s="697"/>
      <c r="J1329" s="698"/>
      <c r="K1329" s="9"/>
      <c r="L1329" s="697"/>
      <c r="M1329" s="698"/>
    </row>
    <row r="1330" spans="1:13" ht="22.5" x14ac:dyDescent="0.35">
      <c r="B1330" s="702"/>
      <c r="C1330" s="239"/>
      <c r="D1330" s="703" t="s">
        <v>10760</v>
      </c>
      <c r="E1330" s="704"/>
      <c r="F1330" s="235" t="s">
        <v>10761</v>
      </c>
      <c r="G1330" s="235" t="s">
        <v>10762</v>
      </c>
      <c r="I1330" s="697"/>
      <c r="J1330" s="698"/>
      <c r="K1330" s="239"/>
      <c r="L1330" s="697"/>
      <c r="M1330" s="698"/>
    </row>
    <row r="1331" spans="1:13" ht="22.5" x14ac:dyDescent="0.35">
      <c r="B1331" s="702"/>
      <c r="C1331" s="239"/>
      <c r="D1331" s="705" t="s">
        <v>96</v>
      </c>
      <c r="E1331" s="706"/>
      <c r="F1331" s="236">
        <f>INDEX(WEAP!$A:$AN,MATCH(B1328,WEAP!$A:$A,0),MATCH("HP",WEAP!$A$1:$BF$1,0))</f>
        <v>221</v>
      </c>
      <c r="G1331" s="237">
        <f>INDEX(WEAP!$A:$AN,MATCH(B1328,WEAP!$A:$A,0),MATCH("HP V3",WEAP!$A$1:$BF$1,0))</f>
        <v>275</v>
      </c>
      <c r="I1331" s="697"/>
      <c r="J1331" s="698"/>
      <c r="K1331" s="239"/>
      <c r="L1331" s="697"/>
      <c r="M1331" s="698"/>
    </row>
    <row r="1332" spans="1:13" ht="22.5" x14ac:dyDescent="0.35">
      <c r="B1332" s="702"/>
      <c r="C1332" s="239"/>
      <c r="D1332" s="707" t="s">
        <v>97</v>
      </c>
      <c r="E1332" s="708"/>
      <c r="F1332" s="236">
        <f>INDEX(WEAP!$A:$AN,MATCH(B1328,WEAP!$A:$A,0),MATCH("Str",WEAP!$A$1:$BF$1,0))</f>
        <v>1575</v>
      </c>
      <c r="G1332" s="237">
        <f>INDEX(WEAP!$A:$AN,MATCH(B1328,WEAP!$A:$A,0),MATCH("Str V3",WEAP!$A$1:$BF$1,0))</f>
        <v>1575</v>
      </c>
      <c r="I1332" s="699"/>
      <c r="J1332" s="700"/>
      <c r="K1332" s="239"/>
      <c r="L1332" s="699"/>
      <c r="M1332" s="700"/>
    </row>
    <row r="1333" spans="1:13" ht="33.75" customHeight="1" x14ac:dyDescent="0.2">
      <c r="A1333" t="s">
        <v>10763</v>
      </c>
    </row>
    <row r="1334" spans="1:13" ht="22.5" x14ac:dyDescent="0.35">
      <c r="A1334" s="244" t="str">
        <f>TEXT(A1327+1,"000")</f>
        <v>191</v>
      </c>
      <c r="B1334" s="238" t="str">
        <f>"W-"&amp;A1334</f>
        <v>W-191</v>
      </c>
      <c r="C1334" s="239"/>
      <c r="D1334" s="692" t="str">
        <f>+INDEX(WEAP!$A:$AN,MATCH(B1335,WEAP!$A:$A,0),MATCH("Name",WEAP!$A$1:$BF$1,0))</f>
        <v>Stormruler</v>
      </c>
      <c r="E1334" s="693"/>
      <c r="F1334" s="693"/>
      <c r="G1334" s="694"/>
      <c r="I1334" s="241" t="str">
        <f>+INDEX(WEAP!$A:$AN,MATCH(B1335,WEAP!$A:$A,0),MATCH("Weapon Skill",WEAP!$A$1:$BF$1,0))</f>
        <v>Guiding Gust</v>
      </c>
      <c r="J1334" s="243">
        <f>INDEX('W-S'!$A:$N,MATCH(I1334,'W-S'!$C:$C,0),MATCH("SP Cost",'W-S'!$1:$1,0))</f>
        <v>14186</v>
      </c>
      <c r="K1334" s="9"/>
      <c r="L1334" s="241" t="str">
        <f>+I1334</f>
        <v>Guiding Gust</v>
      </c>
      <c r="M1334" s="243">
        <f>INDEX('W-S'!$A:$N,MATCH(L1334,'W-S'!$C:$C,0),MATCH("SP Cost V3",'W-S'!$1:$1,0))</f>
        <v>6000</v>
      </c>
    </row>
    <row r="1335" spans="1:13" ht="22.5" x14ac:dyDescent="0.35">
      <c r="B1335" s="238" t="str">
        <f>+INDEX(WEAP!$A:$AN,MATCH(B1334,WEAP!$B:$B,0),MATCH("ID",WEAP!$A$1:$BF$1,0))</f>
        <v>308109_01</v>
      </c>
      <c r="C1335" s="240"/>
      <c r="D1335" s="692" t="str">
        <f>+INDEX(WEAP!$A:$AN,MATCH(B1334,WEAP!$B:$B,0),MATCH("Family",WEAP!$A$1:$BF$1,0))&amp;" Weapon"</f>
        <v>HDT Weapon</v>
      </c>
      <c r="E1335" s="693"/>
      <c r="F1335" s="693"/>
      <c r="G1335" s="694"/>
      <c r="H1335" s="8"/>
      <c r="I1335" s="695" t="str">
        <f>INDEX('W-S'!$A:$O,MATCH(I1334,'W-S'!$C:$C,0),MATCH("Description",'W-S'!$1:$1,0))</f>
        <v>Deals 4 hits of 143% wind damage to enemies in a line.</v>
      </c>
      <c r="J1335" s="696"/>
      <c r="K1335" s="239"/>
      <c r="L1335" s="695" t="str">
        <f>INDEX('W-S'!$A:$O,MATCH(I1334,'W-S'!$C:$C,0),MATCH("Description V3",'W-S'!$1:$1,0))</f>
        <v>Deals 4 hits of 375% wind damage to enemies in a line, and lowers their wind resistance by 10% for 20 seconds. This resistance reduction will not stack.</v>
      </c>
      <c r="M1335" s="696"/>
    </row>
    <row r="1336" spans="1:13" ht="22.5" x14ac:dyDescent="0.2">
      <c r="B1336" s="701" t="e" vm="211">
        <f>+_xlfn.IMAGE("https://natalie.tf/wp-content/uploads/2023/10/DLV3_Icon_Weapon_"&amp;B1335&amp;".png")</f>
        <v>#VALUE!</v>
      </c>
      <c r="C1336" s="240"/>
      <c r="D1336" s="692" t="str">
        <f>INDEX(WEAP!$A:$AN,MATCH(B1335,WEAP!$A:$A,0),MATCH("Element",WEAP!$A$1:$BF$1,0))&amp;" "&amp;INDEX(WEAP!$A:$AN,MATCH(B1335,WEAP!$A:$A,0),MATCH("Type",WEAP!$A$1:$BF$1,0))</f>
        <v>Wind Staff</v>
      </c>
      <c r="E1336" s="693"/>
      <c r="F1336" s="693"/>
      <c r="G1336" s="694"/>
      <c r="H1336" s="8"/>
      <c r="I1336" s="697"/>
      <c r="J1336" s="698"/>
      <c r="K1336" s="9"/>
      <c r="L1336" s="697"/>
      <c r="M1336" s="698"/>
    </row>
    <row r="1337" spans="1:13" ht="22.5" x14ac:dyDescent="0.35">
      <c r="B1337" s="702"/>
      <c r="C1337" s="239"/>
      <c r="D1337" s="703" t="s">
        <v>10760</v>
      </c>
      <c r="E1337" s="704"/>
      <c r="F1337" s="235" t="s">
        <v>10761</v>
      </c>
      <c r="G1337" s="235" t="s">
        <v>10762</v>
      </c>
      <c r="I1337" s="697"/>
      <c r="J1337" s="698"/>
      <c r="K1337" s="239"/>
      <c r="L1337" s="697"/>
      <c r="M1337" s="698"/>
    </row>
    <row r="1338" spans="1:13" ht="22.5" x14ac:dyDescent="0.35">
      <c r="B1338" s="702"/>
      <c r="C1338" s="239"/>
      <c r="D1338" s="705" t="s">
        <v>96</v>
      </c>
      <c r="E1338" s="706"/>
      <c r="F1338" s="236">
        <f>INDEX(WEAP!$A:$AN,MATCH(B1335,WEAP!$A:$A,0),MATCH("HP",WEAP!$A$1:$BF$1,0))</f>
        <v>294</v>
      </c>
      <c r="G1338" s="237">
        <f>INDEX(WEAP!$A:$AN,MATCH(B1335,WEAP!$A:$A,0),MATCH("HP V3",WEAP!$A$1:$BF$1,0))</f>
        <v>325</v>
      </c>
      <c r="I1338" s="697"/>
      <c r="J1338" s="698"/>
      <c r="K1338" s="239"/>
      <c r="L1338" s="697"/>
      <c r="M1338" s="698"/>
    </row>
    <row r="1339" spans="1:13" ht="22.5" x14ac:dyDescent="0.35">
      <c r="B1339" s="702"/>
      <c r="C1339" s="239"/>
      <c r="D1339" s="707" t="s">
        <v>97</v>
      </c>
      <c r="E1339" s="708"/>
      <c r="F1339" s="236">
        <f>INDEX(WEAP!$A:$AN,MATCH(B1335,WEAP!$A:$A,0),MATCH("Str",WEAP!$A$1:$BF$1,0))</f>
        <v>1340</v>
      </c>
      <c r="G1339" s="237">
        <f>INDEX(WEAP!$A:$AN,MATCH(B1335,WEAP!$A:$A,0),MATCH("Str V3",WEAP!$A$1:$BF$1,0))</f>
        <v>1370</v>
      </c>
      <c r="I1339" s="699"/>
      <c r="J1339" s="700"/>
      <c r="K1339" s="239"/>
      <c r="L1339" s="699"/>
      <c r="M1339" s="700"/>
    </row>
    <row r="1340" spans="1:13" s="245" customFormat="1" ht="7.5" customHeight="1" x14ac:dyDescent="0.2">
      <c r="A1340" s="245" t="s">
        <v>10763</v>
      </c>
    </row>
    <row r="1341" spans="1:13" ht="22.5" x14ac:dyDescent="0.35">
      <c r="A1341" s="242" t="str">
        <f>TEXT(A1334+1,"000")</f>
        <v>192</v>
      </c>
      <c r="B1341" s="238" t="str">
        <f>"W-"&amp;A1341</f>
        <v>W-192</v>
      </c>
      <c r="C1341" s="239"/>
      <c r="D1341" s="692" t="str">
        <f>+INDEX(WEAP!$A:$AN,MATCH(B1342,WEAP!$A:$A,0),MATCH("Name",WEAP!$A$1:$BF$1,0))</f>
        <v>Tempest Trigger</v>
      </c>
      <c r="E1341" s="693"/>
      <c r="F1341" s="693"/>
      <c r="G1341" s="694"/>
      <c r="I1341" s="241" t="str">
        <f>+INDEX(WEAP!$A:$AN,MATCH(B1342,WEAP!$A:$A,0),MATCH("Weapon Skill",WEAP!$A$1:$BF$1,0))</f>
        <v>Tempest Cannon</v>
      </c>
      <c r="J1341" s="243">
        <f>INDEX('W-S'!$A:$N,MATCH(I1341,'W-S'!$C:$C,0),MATCH("SP Cost",'W-S'!$1:$1,0))</f>
        <v>7316</v>
      </c>
      <c r="K1341" s="9"/>
      <c r="L1341" s="241" t="str">
        <f>+I1341</f>
        <v>Tempest Cannon</v>
      </c>
      <c r="M1341" s="243">
        <f>INDEX('W-S'!$A:$N,MATCH(L1341,'W-S'!$C:$C,0),MATCH("SP Cost V3",'W-S'!$1:$1,0))</f>
        <v>6000</v>
      </c>
    </row>
    <row r="1342" spans="1:13" ht="22.5" x14ac:dyDescent="0.35">
      <c r="B1342" s="238" t="str">
        <f>+INDEX(WEAP!$A:$AN,MATCH(B1341,WEAP!$B:$B,0),MATCH("ID",WEAP!$A$1:$BF$1,0))</f>
        <v>309023_01</v>
      </c>
      <c r="C1342" s="240"/>
      <c r="D1342" s="692" t="str">
        <f>+INDEX(WEAP!$A:$AN,MATCH(B1341,WEAP!$B:$B,0),MATCH("Family",WEAP!$A$1:$BF$1,0))&amp;" Weapon"</f>
        <v>HDT Weapon</v>
      </c>
      <c r="E1342" s="693"/>
      <c r="F1342" s="693"/>
      <c r="G1342" s="694"/>
      <c r="H1342" s="8"/>
      <c r="I1342" s="695" t="str">
        <f>INDEX('W-S'!$A:$O,MATCH(I1341,'W-S'!$C:$C,0),MATCH("Description",'W-S'!$1:$1,0))</f>
        <v>Deals 25 hits of 41% wind damage to enemies directly ahead.</v>
      </c>
      <c r="J1342" s="696"/>
      <c r="K1342" s="239"/>
      <c r="L1342" s="695" t="str">
        <f>INDEX('W-S'!$A:$O,MATCH(I1341,'W-S'!$C:$C,0),MATCH("Description V3",'W-S'!$1:$1,0))</f>
        <v>Deals 25 hits of 60% wind damage to enemies directly ahead, and lowers their wind resistance by 10% for 20 seconds. This resistance reduction will not stack.</v>
      </c>
      <c r="M1342" s="696"/>
    </row>
    <row r="1343" spans="1:13" ht="22.5" x14ac:dyDescent="0.2">
      <c r="B1343" s="701" t="e" vm="212">
        <f>+_xlfn.IMAGE("https://natalie.tf/wp-content/uploads/2023/10/DLV3_Icon_Weapon_"&amp;B1342&amp;".png")</f>
        <v>#VALUE!</v>
      </c>
      <c r="C1343" s="240"/>
      <c r="D1343" s="692" t="str">
        <f>INDEX(WEAP!$A:$AN,MATCH(B1342,WEAP!$A:$A,0),MATCH("Element",WEAP!$A$1:$BF$1,0))&amp;" "&amp;INDEX(WEAP!$A:$AN,MATCH(B1342,WEAP!$A:$A,0),MATCH("Type",WEAP!$A$1:$BF$1,0))</f>
        <v>Wind Manacaster</v>
      </c>
      <c r="E1343" s="693"/>
      <c r="F1343" s="693"/>
      <c r="G1343" s="694"/>
      <c r="H1343" s="8"/>
      <c r="I1343" s="697"/>
      <c r="J1343" s="698"/>
      <c r="K1343" s="9"/>
      <c r="L1343" s="697"/>
      <c r="M1343" s="698"/>
    </row>
    <row r="1344" spans="1:13" ht="22.5" x14ac:dyDescent="0.35">
      <c r="B1344" s="702"/>
      <c r="C1344" s="239"/>
      <c r="D1344" s="703" t="s">
        <v>10760</v>
      </c>
      <c r="E1344" s="704"/>
      <c r="F1344" s="235" t="s">
        <v>10761</v>
      </c>
      <c r="G1344" s="235" t="s">
        <v>10762</v>
      </c>
      <c r="I1344" s="697"/>
      <c r="J1344" s="698"/>
      <c r="K1344" s="239"/>
      <c r="L1344" s="697"/>
      <c r="M1344" s="698"/>
    </row>
    <row r="1345" spans="1:13" ht="22.5" x14ac:dyDescent="0.35">
      <c r="B1345" s="702"/>
      <c r="C1345" s="239"/>
      <c r="D1345" s="705" t="s">
        <v>96</v>
      </c>
      <c r="E1345" s="706"/>
      <c r="F1345" s="236">
        <f>INDEX(WEAP!$A:$AN,MATCH(B1342,WEAP!$A:$A,0),MATCH("HP",WEAP!$A$1:$BF$1,0))</f>
        <v>239</v>
      </c>
      <c r="G1345" s="237">
        <f>INDEX(WEAP!$A:$AN,MATCH(B1342,WEAP!$A:$A,0),MATCH("HP V3",WEAP!$A$1:$BF$1,0))</f>
        <v>270</v>
      </c>
      <c r="I1345" s="697"/>
      <c r="J1345" s="698"/>
      <c r="K1345" s="239"/>
      <c r="L1345" s="697"/>
      <c r="M1345" s="698"/>
    </row>
    <row r="1346" spans="1:13" ht="22.5" x14ac:dyDescent="0.35">
      <c r="B1346" s="702"/>
      <c r="C1346" s="239"/>
      <c r="D1346" s="707" t="s">
        <v>97</v>
      </c>
      <c r="E1346" s="708"/>
      <c r="F1346" s="236">
        <f>INDEX(WEAP!$A:$AN,MATCH(B1342,WEAP!$A:$A,0),MATCH("Str",WEAP!$A$1:$BF$1,0))</f>
        <v>1498</v>
      </c>
      <c r="G1346" s="237">
        <f>INDEX(WEAP!$A:$AN,MATCH(B1342,WEAP!$A:$A,0),MATCH("Str V3",WEAP!$A$1:$BF$1,0))</f>
        <v>1595</v>
      </c>
      <c r="I1346" s="699"/>
      <c r="J1346" s="700"/>
      <c r="K1346" s="239"/>
      <c r="L1346" s="699"/>
      <c r="M1346" s="700"/>
    </row>
    <row r="1347" spans="1:13" s="245" customFormat="1" ht="7.5" customHeight="1" x14ac:dyDescent="0.2">
      <c r="A1347" s="245" t="s">
        <v>10763</v>
      </c>
    </row>
    <row r="1348" spans="1:13" ht="22.5" x14ac:dyDescent="0.35">
      <c r="A1348" s="244" t="str">
        <f>TEXT(A1341+1,"000")</f>
        <v>193</v>
      </c>
      <c r="B1348" s="238" t="str">
        <f>"W-"&amp;A1348</f>
        <v>W-193</v>
      </c>
      <c r="C1348" s="239"/>
      <c r="D1348" s="692" t="str">
        <f>+INDEX(WEAP!$A:$AN,MATCH(B1349,WEAP!$A:$A,0),MATCH("Name",WEAP!$A$1:$BF$1,0))</f>
        <v>Absolute Lightning</v>
      </c>
      <c r="E1348" s="693"/>
      <c r="F1348" s="693"/>
      <c r="G1348" s="694"/>
      <c r="I1348" s="241" t="str">
        <f>+INDEX(WEAP!$A:$AN,MATCH(B1349,WEAP!$A:$A,0),MATCH("Weapon Skill",WEAP!$A$1:$BF$1,0))</f>
        <v>Infinite Lightning</v>
      </c>
      <c r="J1348" s="243">
        <f>INDEX('W-S'!$A:$N,MATCH(I1348,'W-S'!$C:$C,0),MATCH("SP Cost",'W-S'!$1:$1,0))</f>
        <v>6418</v>
      </c>
      <c r="K1348" s="9"/>
      <c r="L1348" s="241" t="str">
        <f>+I1348</f>
        <v>Infinite Lightning</v>
      </c>
      <c r="M1348" s="243">
        <f>INDEX('W-S'!$A:$N,MATCH(L1348,'W-S'!$C:$C,0),MATCH("SP Cost V3",'W-S'!$1:$1,0))</f>
        <v>6000</v>
      </c>
    </row>
    <row r="1349" spans="1:13" ht="22.5" x14ac:dyDescent="0.35">
      <c r="B1349" s="238" t="str">
        <f>+INDEX(WEAP!$A:$AN,MATCH(B1348,WEAP!$B:$B,0),MATCH("ID",WEAP!$A$1:$BF$1,0))</f>
        <v>301121_01</v>
      </c>
      <c r="C1349" s="240"/>
      <c r="D1349" s="692" t="str">
        <f>+INDEX(WEAP!$A:$AN,MATCH(B1348,WEAP!$B:$B,0),MATCH("Family",WEAP!$A$1:$BF$1,0))&amp;" Weapon"</f>
        <v>HDT Weapon</v>
      </c>
      <c r="E1349" s="693"/>
      <c r="F1349" s="693"/>
      <c r="G1349" s="694"/>
      <c r="H1349" s="8"/>
      <c r="I1349" s="695" t="str">
        <f>INDEX('W-S'!$A:$O,MATCH(I1348,'W-S'!$C:$C,0),MATCH("Description",'W-S'!$1:$1,0))</f>
        <v>Deals 3 hits of 248% light damage to surrounding enemies.</v>
      </c>
      <c r="J1349" s="696"/>
      <c r="K1349" s="239"/>
      <c r="L1349" s="695" t="str">
        <f>INDEX('W-S'!$A:$O,MATCH(I1348,'W-S'!$C:$C,0),MATCH("Description V3",'W-S'!$1:$1,0))</f>
        <v>Deals 3 hits of 500% light damage to surrounding enemies, and lowers their light resistance by 10% for 20 seconds. This resistance reduction will not stack.</v>
      </c>
      <c r="M1349" s="696"/>
    </row>
    <row r="1350" spans="1:13" ht="22.5" x14ac:dyDescent="0.2">
      <c r="B1350" s="701" t="e" vm="213">
        <f>+_xlfn.IMAGE("https://natalie.tf/wp-content/uploads/2023/10/DLV3_Icon_Weapon_"&amp;B1349&amp;".png")</f>
        <v>#VALUE!</v>
      </c>
      <c r="C1350" s="240"/>
      <c r="D1350" s="692" t="str">
        <f>INDEX(WEAP!$A:$AN,MATCH(B1349,WEAP!$A:$A,0),MATCH("Element",WEAP!$A$1:$BF$1,0))&amp;" "&amp;INDEX(WEAP!$A:$AN,MATCH(B1349,WEAP!$A:$A,0),MATCH("Type",WEAP!$A$1:$BF$1,0))</f>
        <v>Light Sword</v>
      </c>
      <c r="E1350" s="693"/>
      <c r="F1350" s="693"/>
      <c r="G1350" s="694"/>
      <c r="H1350" s="8"/>
      <c r="I1350" s="697"/>
      <c r="J1350" s="698"/>
      <c r="K1350" s="9"/>
      <c r="L1350" s="697"/>
      <c r="M1350" s="698"/>
    </row>
    <row r="1351" spans="1:13" ht="22.5" x14ac:dyDescent="0.35">
      <c r="B1351" s="702"/>
      <c r="C1351" s="239"/>
      <c r="D1351" s="703" t="s">
        <v>10760</v>
      </c>
      <c r="E1351" s="704"/>
      <c r="F1351" s="235" t="s">
        <v>10761</v>
      </c>
      <c r="G1351" s="235" t="s">
        <v>10762</v>
      </c>
      <c r="I1351" s="697"/>
      <c r="J1351" s="698"/>
      <c r="K1351" s="239"/>
      <c r="L1351" s="697"/>
      <c r="M1351" s="698"/>
    </row>
    <row r="1352" spans="1:13" ht="22.5" x14ac:dyDescent="0.35">
      <c r="B1352" s="702"/>
      <c r="C1352" s="239"/>
      <c r="D1352" s="705" t="s">
        <v>96</v>
      </c>
      <c r="E1352" s="706"/>
      <c r="F1352" s="236">
        <f>INDEX(WEAP!$A:$AN,MATCH(B1349,WEAP!$A:$A,0),MATCH("HP",WEAP!$A$1:$BF$1,0))</f>
        <v>247</v>
      </c>
      <c r="G1352" s="237">
        <f>INDEX(WEAP!$A:$AN,MATCH(B1349,WEAP!$A:$A,0),MATCH("HP V3",WEAP!$A$1:$BF$1,0))</f>
        <v>270</v>
      </c>
      <c r="I1352" s="697"/>
      <c r="J1352" s="698"/>
      <c r="K1352" s="239"/>
      <c r="L1352" s="697"/>
      <c r="M1352" s="698"/>
    </row>
    <row r="1353" spans="1:13" ht="22.5" x14ac:dyDescent="0.35">
      <c r="B1353" s="702"/>
      <c r="C1353" s="239"/>
      <c r="D1353" s="707" t="s">
        <v>97</v>
      </c>
      <c r="E1353" s="708"/>
      <c r="F1353" s="236">
        <f>INDEX(WEAP!$A:$AN,MATCH(B1349,WEAP!$A:$A,0),MATCH("Str",WEAP!$A$1:$BF$1,0))</f>
        <v>1485</v>
      </c>
      <c r="G1353" s="237">
        <f>INDEX(WEAP!$A:$AN,MATCH(B1349,WEAP!$A:$A,0),MATCH("Str V3",WEAP!$A$1:$BF$1,0))</f>
        <v>1530</v>
      </c>
      <c r="I1353" s="699"/>
      <c r="J1353" s="700"/>
      <c r="K1353" s="239"/>
      <c r="L1353" s="699"/>
      <c r="M1353" s="700"/>
    </row>
    <row r="1354" spans="1:13" s="245" customFormat="1" ht="7.5" customHeight="1" x14ac:dyDescent="0.2">
      <c r="A1354" s="245" t="s">
        <v>10763</v>
      </c>
    </row>
    <row r="1355" spans="1:13" ht="22.5" x14ac:dyDescent="0.35">
      <c r="A1355" s="244" t="str">
        <f>TEXT(A1348+1,"000")</f>
        <v>194</v>
      </c>
      <c r="B1355" s="238" t="str">
        <f>"W-"&amp;A1355</f>
        <v>W-194</v>
      </c>
      <c r="C1355" s="239"/>
      <c r="D1355" s="692" t="str">
        <f>+INDEX(WEAP!$A:$AN,MATCH(B1356,WEAP!$A:$A,0),MATCH("Name",WEAP!$A$1:$BF$1,0))</f>
        <v>Brilliant Flash</v>
      </c>
      <c r="E1355" s="693"/>
      <c r="F1355" s="693"/>
      <c r="G1355" s="694"/>
      <c r="I1355" s="241" t="str">
        <f>+INDEX(WEAP!$A:$AN,MATCH(B1356,WEAP!$A:$A,0),MATCH("Weapon Skill",WEAP!$A$1:$BF$1,0))</f>
        <v>Brilliant Blade</v>
      </c>
      <c r="J1355" s="243">
        <f>INDEX('W-S'!$A:$N,MATCH(I1355,'W-S'!$C:$C,0),MATCH("SP Cost",'W-S'!$1:$1,0))</f>
        <v>6925</v>
      </c>
      <c r="K1355" s="9"/>
      <c r="L1355" s="241" t="str">
        <f>+I1355</f>
        <v>Brilliant Blade</v>
      </c>
      <c r="M1355" s="243">
        <f>INDEX('W-S'!$A:$N,MATCH(L1355,'W-S'!$C:$C,0),MATCH("SP Cost V3",'W-S'!$1:$1,0))</f>
        <v>6000</v>
      </c>
    </row>
    <row r="1356" spans="1:13" ht="22.5" x14ac:dyDescent="0.35">
      <c r="B1356" s="238" t="str">
        <f>+INDEX(WEAP!$A:$AN,MATCH(B1355,WEAP!$B:$B,0),MATCH("ID",WEAP!$A$1:$BF$1,0))</f>
        <v>302112_01</v>
      </c>
      <c r="C1356" s="240"/>
      <c r="D1356" s="692" t="str">
        <f>+INDEX(WEAP!$A:$AN,MATCH(B1355,WEAP!$B:$B,0),MATCH("Family",WEAP!$A$1:$BF$1,0))&amp;" Weapon"</f>
        <v>HDT Weapon</v>
      </c>
      <c r="E1356" s="693"/>
      <c r="F1356" s="693"/>
      <c r="G1356" s="694"/>
      <c r="H1356" s="8"/>
      <c r="I1356" s="695" t="str">
        <f>INDEX('W-S'!$A:$O,MATCH(I1355,'W-S'!$C:$C,0),MATCH("Description",'W-S'!$1:$1,0))</f>
        <v>Deals 5 hits of 213% light damage to enemies directly ahead.</v>
      </c>
      <c r="J1356" s="696"/>
      <c r="K1356" s="239"/>
      <c r="L1356" s="695" t="str">
        <f>INDEX('W-S'!$A:$O,MATCH(I1355,'W-S'!$C:$C,0),MATCH("Description V3",'W-S'!$1:$1,0))</f>
        <v>Deals 5 hits of 300% light damage to enemies directly ahead, and lowers their light resistance by 10% for 20 seconds. This resistance reduction will not stack.</v>
      </c>
      <c r="M1356" s="696"/>
    </row>
    <row r="1357" spans="1:13" ht="22.5" x14ac:dyDescent="0.2">
      <c r="B1357" s="701" t="e" vm="214">
        <f>+_xlfn.IMAGE("https://natalie.tf/wp-content/uploads/2023/10/DLV3_Icon_Weapon_"&amp;B1356&amp;".png")</f>
        <v>#VALUE!</v>
      </c>
      <c r="C1357" s="240"/>
      <c r="D1357" s="692" t="str">
        <f>INDEX(WEAP!$A:$AN,MATCH(B1356,WEAP!$A:$A,0),MATCH("Element",WEAP!$A$1:$BF$1,0))&amp;" "&amp;INDEX(WEAP!$A:$AN,MATCH(B1356,WEAP!$A:$A,0),MATCH("Type",WEAP!$A$1:$BF$1,0))</f>
        <v>Light Blade</v>
      </c>
      <c r="E1357" s="693"/>
      <c r="F1357" s="693"/>
      <c r="G1357" s="694"/>
      <c r="H1357" s="8"/>
      <c r="I1357" s="697"/>
      <c r="J1357" s="698"/>
      <c r="K1357" s="9"/>
      <c r="L1357" s="697"/>
      <c r="M1357" s="698"/>
    </row>
    <row r="1358" spans="1:13" ht="22.5" x14ac:dyDescent="0.35">
      <c r="B1358" s="702"/>
      <c r="C1358" s="239"/>
      <c r="D1358" s="703" t="s">
        <v>10760</v>
      </c>
      <c r="E1358" s="704"/>
      <c r="F1358" s="235" t="s">
        <v>10761</v>
      </c>
      <c r="G1358" s="235" t="s">
        <v>10762</v>
      </c>
      <c r="I1358" s="697"/>
      <c r="J1358" s="698"/>
      <c r="K1358" s="239"/>
      <c r="L1358" s="697"/>
      <c r="M1358" s="698"/>
    </row>
    <row r="1359" spans="1:13" ht="22.5" x14ac:dyDescent="0.35">
      <c r="B1359" s="702"/>
      <c r="C1359" s="239"/>
      <c r="D1359" s="705" t="s">
        <v>96</v>
      </c>
      <c r="E1359" s="706"/>
      <c r="F1359" s="236">
        <f>INDEX(WEAP!$A:$AN,MATCH(B1356,WEAP!$A:$A,0),MATCH("HP",WEAP!$A$1:$BF$1,0))</f>
        <v>235</v>
      </c>
      <c r="G1359" s="237">
        <f>INDEX(WEAP!$A:$AN,MATCH(B1356,WEAP!$A:$A,0),MATCH("HP V3",WEAP!$A$1:$BF$1,0))</f>
        <v>250</v>
      </c>
      <c r="I1359" s="697"/>
      <c r="J1359" s="698"/>
      <c r="K1359" s="239"/>
      <c r="L1359" s="697"/>
      <c r="M1359" s="698"/>
    </row>
    <row r="1360" spans="1:13" ht="22.5" x14ac:dyDescent="0.35">
      <c r="B1360" s="702"/>
      <c r="C1360" s="239"/>
      <c r="D1360" s="707" t="s">
        <v>97</v>
      </c>
      <c r="E1360" s="708"/>
      <c r="F1360" s="236">
        <f>INDEX(WEAP!$A:$AN,MATCH(B1356,WEAP!$A:$A,0),MATCH("Str",WEAP!$A$1:$BF$1,0))</f>
        <v>1495</v>
      </c>
      <c r="G1360" s="237">
        <f>INDEX(WEAP!$A:$AN,MATCH(B1356,WEAP!$A:$A,0),MATCH("Str V3",WEAP!$A$1:$BF$1,0))</f>
        <v>1625</v>
      </c>
      <c r="I1360" s="699"/>
      <c r="J1360" s="700"/>
      <c r="K1360" s="239"/>
      <c r="L1360" s="699"/>
      <c r="M1360" s="700"/>
    </row>
    <row r="1361" spans="1:13" s="245" customFormat="1" ht="7.5" customHeight="1" x14ac:dyDescent="0.2">
      <c r="A1361" s="245" t="s">
        <v>10763</v>
      </c>
    </row>
    <row r="1362" spans="1:13" ht="22.5" x14ac:dyDescent="0.35">
      <c r="A1362" s="244" t="str">
        <f>TEXT(A1355+1,"000")</f>
        <v>195</v>
      </c>
      <c r="B1362" s="238" t="str">
        <f>"W-"&amp;A1362</f>
        <v>W-195</v>
      </c>
      <c r="C1362" s="239"/>
      <c r="D1362" s="692" t="str">
        <f>+INDEX(WEAP!$A:$AN,MATCH(B1363,WEAP!$A:$A,0),MATCH("Name",WEAP!$A$1:$BF$1,0))</f>
        <v>Fulminator's Maw</v>
      </c>
      <c r="E1362" s="693"/>
      <c r="F1362" s="693"/>
      <c r="G1362" s="694"/>
      <c r="I1362" s="241" t="str">
        <f>+INDEX(WEAP!$A:$AN,MATCH(B1363,WEAP!$A:$A,0),MATCH("Weapon Skill",WEAP!$A$1:$BF$1,0))</f>
        <v>Ferocious Fulminator</v>
      </c>
      <c r="J1362" s="243">
        <f>INDEX('W-S'!$A:$N,MATCH(I1362,'W-S'!$C:$C,0),MATCH("SP Cost",'W-S'!$1:$1,0))</f>
        <v>6145</v>
      </c>
      <c r="K1362" s="9"/>
      <c r="L1362" s="241" t="str">
        <f>+I1362</f>
        <v>Ferocious Fulminator</v>
      </c>
      <c r="M1362" s="243">
        <f>INDEX('W-S'!$A:$N,MATCH(L1362,'W-S'!$C:$C,0),MATCH("SP Cost V3",'W-S'!$1:$1,0))</f>
        <v>6000</v>
      </c>
    </row>
    <row r="1363" spans="1:13" ht="22.5" x14ac:dyDescent="0.35">
      <c r="B1363" s="238" t="str">
        <f>+INDEX(WEAP!$A:$AN,MATCH(B1362,WEAP!$B:$B,0),MATCH("ID",WEAP!$A$1:$BF$1,0))</f>
        <v>303111_01</v>
      </c>
      <c r="C1363" s="240"/>
      <c r="D1363" s="692" t="str">
        <f>+INDEX(WEAP!$A:$AN,MATCH(B1362,WEAP!$B:$B,0),MATCH("Family",WEAP!$A$1:$BF$1,0))&amp;" Weapon"</f>
        <v>HDT Weapon</v>
      </c>
      <c r="E1363" s="693"/>
      <c r="F1363" s="693"/>
      <c r="G1363" s="694"/>
      <c r="H1363" s="8"/>
      <c r="I1363" s="695" t="str">
        <f>INDEX('W-S'!$A:$O,MATCH(I1362,'W-S'!$C:$C,0),MATCH("Description",'W-S'!$1:$1,0))</f>
        <v>Deals 5 hits of 164% light damage to enemies directly ahead.</v>
      </c>
      <c r="J1363" s="696"/>
      <c r="K1363" s="239"/>
      <c r="L1363" s="695" t="str">
        <f>INDEX('W-S'!$A:$O,MATCH(I1362,'W-S'!$C:$C,0),MATCH("Description V3",'W-S'!$1:$1,0))</f>
        <v>Deals 5 hits of 300% light damage to enemies directly ahead, and lowers their light resistance by 10% for 20 seconds. This resistance reduction will not stack.</v>
      </c>
      <c r="M1363" s="696"/>
    </row>
    <row r="1364" spans="1:13" ht="22.5" x14ac:dyDescent="0.2">
      <c r="B1364" s="701" t="e" vm="215">
        <f>+_xlfn.IMAGE("https://natalie.tf/wp-content/uploads/2023/10/DLV3_Icon_Weapon_"&amp;B1363&amp;".png")</f>
        <v>#VALUE!</v>
      </c>
      <c r="C1364" s="240"/>
      <c r="D1364" s="692" t="str">
        <f>INDEX(WEAP!$A:$AN,MATCH(B1363,WEAP!$A:$A,0),MATCH("Element",WEAP!$A$1:$BF$1,0))&amp;" "&amp;INDEX(WEAP!$A:$AN,MATCH(B1363,WEAP!$A:$A,0),MATCH("Type",WEAP!$A$1:$BF$1,0))</f>
        <v>Light Dagger</v>
      </c>
      <c r="E1364" s="693"/>
      <c r="F1364" s="693"/>
      <c r="G1364" s="694"/>
      <c r="H1364" s="8"/>
      <c r="I1364" s="697"/>
      <c r="J1364" s="698"/>
      <c r="K1364" s="9"/>
      <c r="L1364" s="697"/>
      <c r="M1364" s="698"/>
    </row>
    <row r="1365" spans="1:13" ht="22.5" x14ac:dyDescent="0.35">
      <c r="B1365" s="702"/>
      <c r="C1365" s="239"/>
      <c r="D1365" s="703" t="s">
        <v>10760</v>
      </c>
      <c r="E1365" s="704"/>
      <c r="F1365" s="235" t="s">
        <v>10761</v>
      </c>
      <c r="G1365" s="235" t="s">
        <v>10762</v>
      </c>
      <c r="I1365" s="697"/>
      <c r="J1365" s="698"/>
      <c r="K1365" s="239"/>
      <c r="L1365" s="697"/>
      <c r="M1365" s="698"/>
    </row>
    <row r="1366" spans="1:13" ht="22.5" x14ac:dyDescent="0.35">
      <c r="B1366" s="702"/>
      <c r="C1366" s="239"/>
      <c r="D1366" s="705" t="s">
        <v>96</v>
      </c>
      <c r="E1366" s="706"/>
      <c r="F1366" s="236">
        <f>INDEX(WEAP!$A:$AN,MATCH(B1363,WEAP!$A:$A,0),MATCH("HP",WEAP!$A$1:$BF$1,0))</f>
        <v>262</v>
      </c>
      <c r="G1366" s="237">
        <f>INDEX(WEAP!$A:$AN,MATCH(B1363,WEAP!$A:$A,0),MATCH("HP V3",WEAP!$A$1:$BF$1,0))</f>
        <v>275</v>
      </c>
      <c r="I1366" s="697"/>
      <c r="J1366" s="698"/>
      <c r="K1366" s="239"/>
      <c r="L1366" s="697"/>
      <c r="M1366" s="698"/>
    </row>
    <row r="1367" spans="1:13" ht="22.5" x14ac:dyDescent="0.35">
      <c r="B1367" s="702"/>
      <c r="C1367" s="239"/>
      <c r="D1367" s="707" t="s">
        <v>97</v>
      </c>
      <c r="E1367" s="708"/>
      <c r="F1367" s="236">
        <f>INDEX(WEAP!$A:$AN,MATCH(B1363,WEAP!$A:$A,0),MATCH("Str",WEAP!$A$1:$BF$1,0))</f>
        <v>1412</v>
      </c>
      <c r="G1367" s="237">
        <f>INDEX(WEAP!$A:$AN,MATCH(B1363,WEAP!$A:$A,0),MATCH("Str V3",WEAP!$A$1:$BF$1,0))</f>
        <v>1455</v>
      </c>
      <c r="I1367" s="699"/>
      <c r="J1367" s="700"/>
      <c r="K1367" s="239"/>
      <c r="L1367" s="699"/>
      <c r="M1367" s="700"/>
    </row>
    <row r="1368" spans="1:13" ht="33.75" customHeight="1" x14ac:dyDescent="0.2">
      <c r="A1368" t="s">
        <v>10763</v>
      </c>
    </row>
    <row r="1369" spans="1:13" ht="22.5" x14ac:dyDescent="0.35">
      <c r="A1369" s="244" t="str">
        <f>TEXT(A1362+1,"000")</f>
        <v>196</v>
      </c>
      <c r="B1369" s="238" t="str">
        <f>"W-"&amp;A1369</f>
        <v>W-196</v>
      </c>
      <c r="C1369" s="239"/>
      <c r="D1369" s="692" t="str">
        <f>+INDEX(WEAP!$A:$AN,MATCH(B1370,WEAP!$A:$A,0),MATCH("Name",WEAP!$A$1:$BF$1,0))</f>
        <v>Mighty Thundercrash</v>
      </c>
      <c r="E1369" s="693"/>
      <c r="F1369" s="693"/>
      <c r="G1369" s="694"/>
      <c r="I1369" s="241" t="str">
        <f>+INDEX(WEAP!$A:$AN,MATCH(B1370,WEAP!$A:$A,0),MATCH("Weapon Skill",WEAP!$A$1:$BF$1,0))</f>
        <v>Mighty Thunder's Delight</v>
      </c>
      <c r="J1369" s="243">
        <f>INDEX('W-S'!$A:$N,MATCH(I1369,'W-S'!$C:$C,0),MATCH("SP Cost",'W-S'!$1:$1,0))</f>
        <v>8260</v>
      </c>
      <c r="K1369" s="9"/>
      <c r="L1369" s="241" t="str">
        <f>+I1369</f>
        <v>Mighty Thunder's Delight</v>
      </c>
      <c r="M1369" s="243">
        <f>INDEX('W-S'!$A:$N,MATCH(L1369,'W-S'!$C:$C,0),MATCH("SP Cost V3",'W-S'!$1:$1,0))</f>
        <v>6000</v>
      </c>
    </row>
    <row r="1370" spans="1:13" ht="22.5" x14ac:dyDescent="0.35">
      <c r="B1370" s="238" t="str">
        <f>+INDEX(WEAP!$A:$AN,MATCH(B1369,WEAP!$B:$B,0),MATCH("ID",WEAP!$A$1:$BF$1,0))</f>
        <v>304110_01</v>
      </c>
      <c r="C1370" s="240"/>
      <c r="D1370" s="692" t="str">
        <f>+INDEX(WEAP!$A:$AN,MATCH(B1369,WEAP!$B:$B,0),MATCH("Family",WEAP!$A$1:$BF$1,0))&amp;" Weapon"</f>
        <v>HDT Weapon</v>
      </c>
      <c r="E1370" s="693"/>
      <c r="F1370" s="693"/>
      <c r="G1370" s="694"/>
      <c r="H1370" s="8"/>
      <c r="I1370" s="695" t="str">
        <f>INDEX('W-S'!$A:$O,MATCH(I1369,'W-S'!$C:$C,0),MATCH("Description",'W-S'!$1:$1,0))</f>
        <v>Deals 5 hits of 226% light damage to enemies directly ahead.</v>
      </c>
      <c r="J1370" s="696"/>
      <c r="K1370" s="239"/>
      <c r="L1370" s="695" t="str">
        <f>INDEX('W-S'!$A:$O,MATCH(I1369,'W-S'!$C:$C,0),MATCH("Description V3",'W-S'!$1:$1,0))</f>
        <v>Deals 5 hits of 300% light damage to enemies directly ahead, and lowers their light resistance by 10% for 20 seconds. This resistance reduction will not stack.</v>
      </c>
      <c r="M1370" s="696"/>
    </row>
    <row r="1371" spans="1:13" ht="22.5" x14ac:dyDescent="0.2">
      <c r="B1371" s="701" t="e" vm="216">
        <f>+_xlfn.IMAGE("https://natalie.tf/wp-content/uploads/2023/10/DLV3_Icon_Weapon_"&amp;B1370&amp;".png")</f>
        <v>#VALUE!</v>
      </c>
      <c r="C1371" s="240"/>
      <c r="D1371" s="692" t="str">
        <f>INDEX(WEAP!$A:$AN,MATCH(B1370,WEAP!$A:$A,0),MATCH("Element",WEAP!$A$1:$BF$1,0))&amp;" "&amp;INDEX(WEAP!$A:$AN,MATCH(B1370,WEAP!$A:$A,0),MATCH("Type",WEAP!$A$1:$BF$1,0))</f>
        <v>Light Axe</v>
      </c>
      <c r="E1371" s="693"/>
      <c r="F1371" s="693"/>
      <c r="G1371" s="694"/>
      <c r="H1371" s="8"/>
      <c r="I1371" s="697"/>
      <c r="J1371" s="698"/>
      <c r="K1371" s="9"/>
      <c r="L1371" s="697"/>
      <c r="M1371" s="698"/>
    </row>
    <row r="1372" spans="1:13" ht="22.5" x14ac:dyDescent="0.35">
      <c r="B1372" s="702"/>
      <c r="C1372" s="239"/>
      <c r="D1372" s="703" t="s">
        <v>10760</v>
      </c>
      <c r="E1372" s="704"/>
      <c r="F1372" s="235" t="s">
        <v>10761</v>
      </c>
      <c r="G1372" s="235" t="s">
        <v>10762</v>
      </c>
      <c r="I1372" s="697"/>
      <c r="J1372" s="698"/>
      <c r="K1372" s="239"/>
      <c r="L1372" s="697"/>
      <c r="M1372" s="698"/>
    </row>
    <row r="1373" spans="1:13" ht="22.5" x14ac:dyDescent="0.35">
      <c r="B1373" s="702"/>
      <c r="C1373" s="239"/>
      <c r="D1373" s="705" t="s">
        <v>96</v>
      </c>
      <c r="E1373" s="706"/>
      <c r="F1373" s="236">
        <f>INDEX(WEAP!$A:$AN,MATCH(B1370,WEAP!$A:$A,0),MATCH("HP",WEAP!$A$1:$BF$1,0))</f>
        <v>242</v>
      </c>
      <c r="G1373" s="237">
        <f>INDEX(WEAP!$A:$AN,MATCH(B1370,WEAP!$A:$A,0),MATCH("HP V3",WEAP!$A$1:$BF$1,0))</f>
        <v>295</v>
      </c>
      <c r="I1373" s="697"/>
      <c r="J1373" s="698"/>
      <c r="K1373" s="239"/>
      <c r="L1373" s="697"/>
      <c r="M1373" s="698"/>
    </row>
    <row r="1374" spans="1:13" ht="22.5" x14ac:dyDescent="0.35">
      <c r="B1374" s="702"/>
      <c r="C1374" s="239"/>
      <c r="D1374" s="707" t="s">
        <v>97</v>
      </c>
      <c r="E1374" s="708"/>
      <c r="F1374" s="236">
        <f>INDEX(WEAP!$A:$AN,MATCH(B1370,WEAP!$A:$A,0),MATCH("Str",WEAP!$A$1:$BF$1,0))</f>
        <v>1606</v>
      </c>
      <c r="G1374" s="237">
        <f>INDEX(WEAP!$A:$AN,MATCH(B1370,WEAP!$A:$A,0),MATCH("Str V3",WEAP!$A$1:$BF$1,0))</f>
        <v>1610</v>
      </c>
      <c r="I1374" s="699"/>
      <c r="J1374" s="700"/>
      <c r="K1374" s="239"/>
      <c r="L1374" s="699"/>
      <c r="M1374" s="700"/>
    </row>
    <row r="1375" spans="1:13" s="245" customFormat="1" ht="7.5" customHeight="1" x14ac:dyDescent="0.2">
      <c r="A1375" s="245" t="s">
        <v>10763</v>
      </c>
    </row>
    <row r="1376" spans="1:13" ht="22.5" x14ac:dyDescent="0.35">
      <c r="A1376" s="242" t="str">
        <f>TEXT(A1369+1,"000")</f>
        <v>197</v>
      </c>
      <c r="B1376" s="238" t="str">
        <f>"W-"&amp;A1376</f>
        <v>W-197</v>
      </c>
      <c r="C1376" s="239"/>
      <c r="D1376" s="692" t="str">
        <f>+INDEX(WEAP!$A:$AN,MATCH(B1377,WEAP!$A:$A,0),MATCH("Name",WEAP!$A$1:$BF$1,0))</f>
        <v>Brilliant Lightflash</v>
      </c>
      <c r="E1376" s="693"/>
      <c r="F1376" s="693"/>
      <c r="G1376" s="694"/>
      <c r="I1376" s="241" t="str">
        <f>+INDEX(WEAP!$A:$AN,MATCH(B1377,WEAP!$A:$A,0),MATCH("Weapon Skill",WEAP!$A$1:$BF$1,0))</f>
        <v>Brilliant Thunder</v>
      </c>
      <c r="J1376" s="243">
        <f>INDEX('W-S'!$A:$N,MATCH(I1376,'W-S'!$C:$C,0),MATCH("SP Cost",'W-S'!$1:$1,0))</f>
        <v>6762</v>
      </c>
      <c r="K1376" s="9"/>
      <c r="L1376" s="241" t="str">
        <f>+I1376</f>
        <v>Brilliant Thunder</v>
      </c>
      <c r="M1376" s="243">
        <f>INDEX('W-S'!$A:$N,MATCH(L1376,'W-S'!$C:$C,0),MATCH("SP Cost V3",'W-S'!$1:$1,0))</f>
        <v>6000</v>
      </c>
    </row>
    <row r="1377" spans="1:13" ht="22.5" x14ac:dyDescent="0.35">
      <c r="B1377" s="238" t="str">
        <f>+INDEX(WEAP!$A:$AN,MATCH(B1376,WEAP!$B:$B,0),MATCH("ID",WEAP!$A$1:$BF$1,0))</f>
        <v>305117_01</v>
      </c>
      <c r="C1377" s="240"/>
      <c r="D1377" s="692" t="str">
        <f>+INDEX(WEAP!$A:$AN,MATCH(B1376,WEAP!$B:$B,0),MATCH("Family",WEAP!$A$1:$BF$1,0))&amp;" Weapon"</f>
        <v>HDT Weapon</v>
      </c>
      <c r="E1377" s="693"/>
      <c r="F1377" s="693"/>
      <c r="G1377" s="694"/>
      <c r="H1377" s="8"/>
      <c r="I1377" s="695" t="str">
        <f>INDEX('W-S'!$A:$O,MATCH(I1376,'W-S'!$C:$C,0),MATCH("Description",'W-S'!$1:$1,0))</f>
        <v>Deals 2 hits of 414% light damage to surrounding enemies.</v>
      </c>
      <c r="J1377" s="696"/>
      <c r="K1377" s="239"/>
      <c r="L1377" s="695" t="str">
        <f>INDEX('W-S'!$A:$O,MATCH(I1376,'W-S'!$C:$C,0),MATCH("Description V3",'W-S'!$1:$1,0))</f>
        <v>Deals 2 hits of 750% light damage to surrounding enemies, and lowers their light resistance by 10% for 20 seconds. This resistance reduction will not stack.</v>
      </c>
      <c r="M1377" s="696"/>
    </row>
    <row r="1378" spans="1:13" ht="22.5" x14ac:dyDescent="0.2">
      <c r="B1378" s="701" t="e" vm="217">
        <f>+_xlfn.IMAGE("https://natalie.tf/wp-content/uploads/2023/10/DLV3_Icon_Weapon_"&amp;B1377&amp;".png")</f>
        <v>#VALUE!</v>
      </c>
      <c r="C1378" s="240"/>
      <c r="D1378" s="692" t="str">
        <f>INDEX(WEAP!$A:$AN,MATCH(B1377,WEAP!$A:$A,0),MATCH("Element",WEAP!$A$1:$BF$1,0))&amp;" "&amp;INDEX(WEAP!$A:$AN,MATCH(B1377,WEAP!$A:$A,0),MATCH("Type",WEAP!$A$1:$BF$1,0))</f>
        <v>Light Lance</v>
      </c>
      <c r="E1378" s="693"/>
      <c r="F1378" s="693"/>
      <c r="G1378" s="694"/>
      <c r="H1378" s="8"/>
      <c r="I1378" s="697"/>
      <c r="J1378" s="698"/>
      <c r="K1378" s="9"/>
      <c r="L1378" s="697"/>
      <c r="M1378" s="698"/>
    </row>
    <row r="1379" spans="1:13" ht="22.5" x14ac:dyDescent="0.35">
      <c r="B1379" s="702"/>
      <c r="C1379" s="239"/>
      <c r="D1379" s="703" t="s">
        <v>10760</v>
      </c>
      <c r="E1379" s="704"/>
      <c r="F1379" s="235" t="s">
        <v>10761</v>
      </c>
      <c r="G1379" s="235" t="s">
        <v>10762</v>
      </c>
      <c r="I1379" s="697"/>
      <c r="J1379" s="698"/>
      <c r="K1379" s="239"/>
      <c r="L1379" s="697"/>
      <c r="M1379" s="698"/>
    </row>
    <row r="1380" spans="1:13" ht="22.5" x14ac:dyDescent="0.35">
      <c r="B1380" s="702"/>
      <c r="C1380" s="239"/>
      <c r="D1380" s="705" t="s">
        <v>96</v>
      </c>
      <c r="E1380" s="706"/>
      <c r="F1380" s="236">
        <f>INDEX(WEAP!$A:$AN,MATCH(B1377,WEAP!$A:$A,0),MATCH("HP",WEAP!$A$1:$BF$1,0))</f>
        <v>240</v>
      </c>
      <c r="G1380" s="237">
        <f>INDEX(WEAP!$A:$AN,MATCH(B1377,WEAP!$A:$A,0),MATCH("HP V3",WEAP!$A$1:$BF$1,0))</f>
        <v>275</v>
      </c>
      <c r="I1380" s="697"/>
      <c r="J1380" s="698"/>
      <c r="K1380" s="239"/>
      <c r="L1380" s="697"/>
      <c r="M1380" s="698"/>
    </row>
    <row r="1381" spans="1:13" ht="22.5" x14ac:dyDescent="0.35">
      <c r="B1381" s="702"/>
      <c r="C1381" s="239"/>
      <c r="D1381" s="707" t="s">
        <v>97</v>
      </c>
      <c r="E1381" s="708"/>
      <c r="F1381" s="236">
        <f>INDEX(WEAP!$A:$AN,MATCH(B1377,WEAP!$A:$A,0),MATCH("Str",WEAP!$A$1:$BF$1,0))</f>
        <v>1560</v>
      </c>
      <c r="G1381" s="237">
        <f>INDEX(WEAP!$A:$AN,MATCH(B1377,WEAP!$A:$A,0),MATCH("Str V3",WEAP!$A$1:$BF$1,0))</f>
        <v>1560</v>
      </c>
      <c r="I1381" s="699"/>
      <c r="J1381" s="700"/>
      <c r="K1381" s="239"/>
      <c r="L1381" s="699"/>
      <c r="M1381" s="700"/>
    </row>
    <row r="1382" spans="1:13" s="245" customFormat="1" ht="7.5" customHeight="1" x14ac:dyDescent="0.2">
      <c r="A1382" s="245" t="s">
        <v>10763</v>
      </c>
    </row>
    <row r="1383" spans="1:13" ht="22.5" x14ac:dyDescent="0.35">
      <c r="A1383" s="244" t="str">
        <f>TEXT(A1376+1,"000")</f>
        <v>198</v>
      </c>
      <c r="B1383" s="238" t="str">
        <f>"W-"&amp;A1383</f>
        <v>W-198</v>
      </c>
      <c r="C1383" s="239"/>
      <c r="D1383" s="692" t="str">
        <f>+INDEX(WEAP!$A:$AN,MATCH(B1384,WEAP!$A:$A,0),MATCH("Name",WEAP!$A$1:$BF$1,0))</f>
        <v>Jupiter's Sky</v>
      </c>
      <c r="E1383" s="693"/>
      <c r="F1383" s="693"/>
      <c r="G1383" s="694"/>
      <c r="I1383" s="241" t="str">
        <f>+INDEX(WEAP!$A:$AN,MATCH(B1384,WEAP!$A:$A,0),MATCH("Weapon Skill",WEAP!$A$1:$BF$1,0))</f>
        <v>Jupiter's Celestial Protection</v>
      </c>
      <c r="J1383" s="243">
        <f>INDEX('W-S'!$A:$N,MATCH(I1383,'W-S'!$C:$C,0),MATCH("SP Cost",'W-S'!$1:$1,0))</f>
        <v>7267</v>
      </c>
      <c r="K1383" s="9"/>
      <c r="L1383" s="241" t="str">
        <f>+I1383</f>
        <v>Jupiter's Celestial Protection</v>
      </c>
      <c r="M1383" s="243">
        <f>INDEX('W-S'!$A:$N,MATCH(L1383,'W-S'!$C:$C,0),MATCH("SP Cost V3",'W-S'!$1:$1,0))</f>
        <v>6000</v>
      </c>
    </row>
    <row r="1384" spans="1:13" ht="22.5" x14ac:dyDescent="0.35">
      <c r="B1384" s="238" t="str">
        <f>+INDEX(WEAP!$A:$AN,MATCH(B1383,WEAP!$B:$B,0),MATCH("ID",WEAP!$A$1:$BF$1,0))</f>
        <v>306110_01</v>
      </c>
      <c r="C1384" s="240"/>
      <c r="D1384" s="692" t="str">
        <f>+INDEX(WEAP!$A:$AN,MATCH(B1383,WEAP!$B:$B,0),MATCH("Family",WEAP!$A$1:$BF$1,0))&amp;" Weapon"</f>
        <v>HDT Weapon</v>
      </c>
      <c r="E1384" s="693"/>
      <c r="F1384" s="693"/>
      <c r="G1384" s="694"/>
      <c r="H1384" s="8"/>
      <c r="I1384" s="695" t="str">
        <f>INDEX('W-S'!$A:$O,MATCH(I1383,'W-S'!$C:$C,0),MATCH("Description",'W-S'!$1:$1,0))</f>
        <v>Deals 1 hit of 949% light damage to the target.</v>
      </c>
      <c r="J1384" s="696"/>
      <c r="K1384" s="239"/>
      <c r="L1384" s="695" t="str">
        <f>INDEX('W-S'!$A:$O,MATCH(I1383,'W-S'!$C:$C,0),MATCH("Description V3",'W-S'!$1:$1,0))</f>
        <v>Deals 1 hit of 1500% light damage to the target, and lowers their light resistance by 10% for 20 seconds. This resistance reduction will not stack.</v>
      </c>
      <c r="M1384" s="696"/>
    </row>
    <row r="1385" spans="1:13" ht="22.5" x14ac:dyDescent="0.2">
      <c r="B1385" s="701" t="e" vm="218">
        <f>+_xlfn.IMAGE("https://natalie.tf/wp-content/uploads/2023/10/DLV3_Icon_Weapon_"&amp;B1384&amp;".png")</f>
        <v>#VALUE!</v>
      </c>
      <c r="C1385" s="240"/>
      <c r="D1385" s="692" t="str">
        <f>INDEX(WEAP!$A:$AN,MATCH(B1384,WEAP!$A:$A,0),MATCH("Element",WEAP!$A$1:$BF$1,0))&amp;" "&amp;INDEX(WEAP!$A:$AN,MATCH(B1384,WEAP!$A:$A,0),MATCH("Type",WEAP!$A$1:$BF$1,0))</f>
        <v>Light Bow</v>
      </c>
      <c r="E1385" s="693"/>
      <c r="F1385" s="693"/>
      <c r="G1385" s="694"/>
      <c r="H1385" s="8"/>
      <c r="I1385" s="697"/>
      <c r="J1385" s="698"/>
      <c r="K1385" s="9"/>
      <c r="L1385" s="697"/>
      <c r="M1385" s="698"/>
    </row>
    <row r="1386" spans="1:13" ht="22.5" x14ac:dyDescent="0.35">
      <c r="B1386" s="702"/>
      <c r="C1386" s="239"/>
      <c r="D1386" s="703" t="s">
        <v>10760</v>
      </c>
      <c r="E1386" s="704"/>
      <c r="F1386" s="235" t="s">
        <v>10761</v>
      </c>
      <c r="G1386" s="235" t="s">
        <v>10762</v>
      </c>
      <c r="I1386" s="697"/>
      <c r="J1386" s="698"/>
      <c r="K1386" s="239"/>
      <c r="L1386" s="697"/>
      <c r="M1386" s="698"/>
    </row>
    <row r="1387" spans="1:13" ht="22.5" x14ac:dyDescent="0.35">
      <c r="B1387" s="702"/>
      <c r="C1387" s="239"/>
      <c r="D1387" s="705" t="s">
        <v>96</v>
      </c>
      <c r="E1387" s="706"/>
      <c r="F1387" s="236">
        <f>INDEX(WEAP!$A:$AN,MATCH(B1384,WEAP!$A:$A,0),MATCH("HP",WEAP!$A$1:$BF$1,0))</f>
        <v>262</v>
      </c>
      <c r="G1387" s="237">
        <f>INDEX(WEAP!$A:$AN,MATCH(B1384,WEAP!$A:$A,0),MATCH("HP V3",WEAP!$A$1:$BF$1,0))</f>
        <v>280</v>
      </c>
      <c r="I1387" s="697"/>
      <c r="J1387" s="698"/>
      <c r="K1387" s="239"/>
      <c r="L1387" s="697"/>
      <c r="M1387" s="698"/>
    </row>
    <row r="1388" spans="1:13" ht="22.5" x14ac:dyDescent="0.35">
      <c r="B1388" s="702"/>
      <c r="C1388" s="239"/>
      <c r="D1388" s="707" t="s">
        <v>97</v>
      </c>
      <c r="E1388" s="708"/>
      <c r="F1388" s="236">
        <f>INDEX(WEAP!$A:$AN,MATCH(B1384,WEAP!$A:$A,0),MATCH("Str",WEAP!$A$1:$BF$1,0))</f>
        <v>1354</v>
      </c>
      <c r="G1388" s="237">
        <f>INDEX(WEAP!$A:$AN,MATCH(B1384,WEAP!$A:$A,0),MATCH("Str V3",WEAP!$A$1:$BF$1,0))</f>
        <v>1470</v>
      </c>
      <c r="I1388" s="699"/>
      <c r="J1388" s="700"/>
      <c r="K1388" s="239"/>
      <c r="L1388" s="699"/>
      <c r="M1388" s="700"/>
    </row>
    <row r="1389" spans="1:13" s="245" customFormat="1" ht="7.5" customHeight="1" x14ac:dyDescent="0.2">
      <c r="A1389" s="245" t="s">
        <v>10763</v>
      </c>
    </row>
    <row r="1390" spans="1:13" ht="22.5" x14ac:dyDescent="0.35">
      <c r="A1390" s="244" t="str">
        <f>TEXT(A1383+1,"000")</f>
        <v>199</v>
      </c>
      <c r="B1390" s="238" t="str">
        <f>"W-"&amp;A1390</f>
        <v>W-199</v>
      </c>
      <c r="C1390" s="239"/>
      <c r="D1390" s="692" t="str">
        <f>+INDEX(WEAP!$A:$AN,MATCH(B1391,WEAP!$A:$A,0),MATCH("Name",WEAP!$A$1:$BF$1,0))</f>
        <v>Primeval Thunder</v>
      </c>
      <c r="E1390" s="693"/>
      <c r="F1390" s="693"/>
      <c r="G1390" s="694"/>
      <c r="I1390" s="241" t="str">
        <f>+INDEX(WEAP!$A:$AN,MATCH(B1391,WEAP!$A:$A,0),MATCH("Weapon Skill",WEAP!$A$1:$BF$1,0))</f>
        <v>Ecstatic Lightning</v>
      </c>
      <c r="J1390" s="243">
        <f>INDEX('W-S'!$A:$N,MATCH(I1390,'W-S'!$C:$C,0),MATCH("SP Cost",'W-S'!$1:$1,0))</f>
        <v>7881</v>
      </c>
      <c r="K1390" s="9"/>
      <c r="L1390" s="241" t="str">
        <f>+I1390</f>
        <v>Ecstatic Lightning</v>
      </c>
      <c r="M1390" s="243">
        <f>INDEX('W-S'!$A:$N,MATCH(L1390,'W-S'!$C:$C,0),MATCH("SP Cost V3",'W-S'!$1:$1,0))</f>
        <v>6000</v>
      </c>
    </row>
    <row r="1391" spans="1:13" ht="22.5" x14ac:dyDescent="0.35">
      <c r="B1391" s="238" t="str">
        <f>+INDEX(WEAP!$A:$AN,MATCH(B1390,WEAP!$B:$B,0),MATCH("ID",WEAP!$A$1:$BF$1,0))</f>
        <v>307118_01</v>
      </c>
      <c r="C1391" s="240"/>
      <c r="D1391" s="692" t="str">
        <f>+INDEX(WEAP!$A:$AN,MATCH(B1390,WEAP!$B:$B,0),MATCH("Family",WEAP!$A$1:$BF$1,0))&amp;" Weapon"</f>
        <v>HDT Weapon</v>
      </c>
      <c r="E1391" s="693"/>
      <c r="F1391" s="693"/>
      <c r="G1391" s="694"/>
      <c r="H1391" s="8"/>
      <c r="I1391" s="695" t="str">
        <f>INDEX('W-S'!$A:$O,MATCH(I1390,'W-S'!$C:$C,0),MATCH("Description",'W-S'!$1:$1,0))</f>
        <v>Deals 4 hits of 271% light damage to the target and nearby enemies.</v>
      </c>
      <c r="J1391" s="696"/>
      <c r="K1391" s="239"/>
      <c r="L1391" s="695" t="str">
        <f>INDEX('W-S'!$A:$O,MATCH(I1390,'W-S'!$C:$C,0),MATCH("Description V3",'W-S'!$1:$1,0))</f>
        <v>Deals 4 hits of 375% light damage to the target and nearby enemies, and lowers their light resistance by 10% for 20 seconds. This resistance reduction will not stack.</v>
      </c>
      <c r="M1391" s="696"/>
    </row>
    <row r="1392" spans="1:13" ht="22.5" x14ac:dyDescent="0.2">
      <c r="B1392" s="701" t="e" vm="219">
        <f>+_xlfn.IMAGE("https://natalie.tf/wp-content/uploads/2023/10/DLV3_Icon_Weapon_"&amp;B1391&amp;".png")</f>
        <v>#VALUE!</v>
      </c>
      <c r="C1392" s="240"/>
      <c r="D1392" s="692" t="str">
        <f>INDEX(WEAP!$A:$AN,MATCH(B1391,WEAP!$A:$A,0),MATCH("Element",WEAP!$A$1:$BF$1,0))&amp;" "&amp;INDEX(WEAP!$A:$AN,MATCH(B1391,WEAP!$A:$A,0),MATCH("Type",WEAP!$A$1:$BF$1,0))</f>
        <v>Light Wand</v>
      </c>
      <c r="E1392" s="693"/>
      <c r="F1392" s="693"/>
      <c r="G1392" s="694"/>
      <c r="H1392" s="8"/>
      <c r="I1392" s="697"/>
      <c r="J1392" s="698"/>
      <c r="K1392" s="9"/>
      <c r="L1392" s="697"/>
      <c r="M1392" s="698"/>
    </row>
    <row r="1393" spans="1:13" ht="22.5" x14ac:dyDescent="0.35">
      <c r="B1393" s="702"/>
      <c r="C1393" s="239"/>
      <c r="D1393" s="703" t="s">
        <v>10760</v>
      </c>
      <c r="E1393" s="704"/>
      <c r="F1393" s="235" t="s">
        <v>10761</v>
      </c>
      <c r="G1393" s="235" t="s">
        <v>10762</v>
      </c>
      <c r="I1393" s="697"/>
      <c r="J1393" s="698"/>
      <c r="K1393" s="239"/>
      <c r="L1393" s="697"/>
      <c r="M1393" s="698"/>
    </row>
    <row r="1394" spans="1:13" ht="22.5" x14ac:dyDescent="0.35">
      <c r="B1394" s="702"/>
      <c r="C1394" s="239"/>
      <c r="D1394" s="705" t="s">
        <v>96</v>
      </c>
      <c r="E1394" s="706"/>
      <c r="F1394" s="236">
        <f>INDEX(WEAP!$A:$AN,MATCH(B1391,WEAP!$A:$A,0),MATCH("HP",WEAP!$A$1:$BF$1,0))</f>
        <v>232</v>
      </c>
      <c r="G1394" s="237">
        <f>INDEX(WEAP!$A:$AN,MATCH(B1391,WEAP!$A:$A,0),MATCH("HP V3",WEAP!$A$1:$BF$1,0))</f>
        <v>275</v>
      </c>
      <c r="I1394" s="697"/>
      <c r="J1394" s="698"/>
      <c r="K1394" s="239"/>
      <c r="L1394" s="697"/>
      <c r="M1394" s="698"/>
    </row>
    <row r="1395" spans="1:13" ht="22.5" x14ac:dyDescent="0.35">
      <c r="B1395" s="702"/>
      <c r="C1395" s="239"/>
      <c r="D1395" s="707" t="s">
        <v>97</v>
      </c>
      <c r="E1395" s="708"/>
      <c r="F1395" s="236">
        <f>INDEX(WEAP!$A:$AN,MATCH(B1391,WEAP!$A:$A,0),MATCH("Str",WEAP!$A$1:$BF$1,0))</f>
        <v>1530</v>
      </c>
      <c r="G1395" s="237">
        <f>INDEX(WEAP!$A:$AN,MATCH(B1391,WEAP!$A:$A,0),MATCH("Str V3",WEAP!$A$1:$BF$1,0))</f>
        <v>1575</v>
      </c>
      <c r="I1395" s="699"/>
      <c r="J1395" s="700"/>
      <c r="K1395" s="239"/>
      <c r="L1395" s="699"/>
      <c r="M1395" s="700"/>
    </row>
    <row r="1396" spans="1:13" s="245" customFormat="1" ht="7.5" customHeight="1" x14ac:dyDescent="0.2">
      <c r="A1396" s="245" t="s">
        <v>10763</v>
      </c>
    </row>
    <row r="1397" spans="1:13" ht="22.5" x14ac:dyDescent="0.35">
      <c r="A1397" s="244" t="str">
        <f>TEXT(A1390+1,"000")</f>
        <v>200</v>
      </c>
      <c r="B1397" s="238" t="str">
        <f>"W-"&amp;A1397</f>
        <v>W-200</v>
      </c>
      <c r="C1397" s="239"/>
      <c r="D1397" s="692" t="str">
        <f>+INDEX(WEAP!$A:$AN,MATCH(B1398,WEAP!$A:$A,0),MATCH("Name",WEAP!$A$1:$BF$1,0))</f>
        <v>Heavensneer</v>
      </c>
      <c r="E1397" s="693"/>
      <c r="F1397" s="693"/>
      <c r="G1397" s="694"/>
      <c r="I1397" s="241" t="str">
        <f>+INDEX(WEAP!$A:$AN,MATCH(B1398,WEAP!$A:$A,0),MATCH("Weapon Skill",WEAP!$A$1:$BF$1,0))</f>
        <v>Trickster's Sneer</v>
      </c>
      <c r="J1397" s="243">
        <f>INDEX('W-S'!$A:$N,MATCH(I1397,'W-S'!$C:$C,0),MATCH("SP Cost",'W-S'!$1:$1,0))</f>
        <v>13684</v>
      </c>
      <c r="K1397" s="9"/>
      <c r="L1397" s="241" t="str">
        <f>+I1397</f>
        <v>Trickster's Sneer</v>
      </c>
      <c r="M1397" s="243">
        <f>INDEX('W-S'!$A:$N,MATCH(L1397,'W-S'!$C:$C,0),MATCH("SP Cost V3",'W-S'!$1:$1,0))</f>
        <v>6000</v>
      </c>
    </row>
    <row r="1398" spans="1:13" ht="22.5" x14ac:dyDescent="0.35">
      <c r="B1398" s="238" t="str">
        <f>+INDEX(WEAP!$A:$AN,MATCH(B1397,WEAP!$B:$B,0),MATCH("ID",WEAP!$A$1:$BF$1,0))</f>
        <v>308111_01</v>
      </c>
      <c r="C1398" s="240"/>
      <c r="D1398" s="692" t="str">
        <f>+INDEX(WEAP!$A:$AN,MATCH(B1397,WEAP!$B:$B,0),MATCH("Family",WEAP!$A$1:$BF$1,0))&amp;" Weapon"</f>
        <v>HDT Weapon</v>
      </c>
      <c r="E1398" s="693"/>
      <c r="F1398" s="693"/>
      <c r="G1398" s="694"/>
      <c r="H1398" s="8"/>
      <c r="I1398" s="695" t="str">
        <f>INDEX('W-S'!$A:$O,MATCH(I1397,'W-S'!$C:$C,0),MATCH("Description",'W-S'!$1:$1,0))</f>
        <v>Deals 1 hit of 755% light damage to surrounding enemies.</v>
      </c>
      <c r="J1398" s="696"/>
      <c r="K1398" s="239"/>
      <c r="L1398" s="695" t="str">
        <f>INDEX('W-S'!$A:$O,MATCH(I1397,'W-S'!$C:$C,0),MATCH("Description V3",'W-S'!$1:$1,0))</f>
        <v>Deals 1 hit of 1500% light damage to surrounding enemies, and lowers their light resistance by 10% for 20 seconds. This resistance reduction will not stack.</v>
      </c>
      <c r="M1398" s="696"/>
    </row>
    <row r="1399" spans="1:13" ht="22.5" x14ac:dyDescent="0.2">
      <c r="B1399" s="701" t="e" vm="220">
        <f>+_xlfn.IMAGE("https://natalie.tf/wp-content/uploads/2023/10/DLV3_Icon_Weapon_"&amp;B1398&amp;".png")</f>
        <v>#VALUE!</v>
      </c>
      <c r="C1399" s="240"/>
      <c r="D1399" s="692" t="str">
        <f>INDEX(WEAP!$A:$AN,MATCH(B1398,WEAP!$A:$A,0),MATCH("Element",WEAP!$A$1:$BF$1,0))&amp;" "&amp;INDEX(WEAP!$A:$AN,MATCH(B1398,WEAP!$A:$A,0),MATCH("Type",WEAP!$A$1:$BF$1,0))</f>
        <v>Light Staff</v>
      </c>
      <c r="E1399" s="693"/>
      <c r="F1399" s="693"/>
      <c r="G1399" s="694"/>
      <c r="H1399" s="8"/>
      <c r="I1399" s="697"/>
      <c r="J1399" s="698"/>
      <c r="K1399" s="9"/>
      <c r="L1399" s="697"/>
      <c r="M1399" s="698"/>
    </row>
    <row r="1400" spans="1:13" ht="22.5" x14ac:dyDescent="0.35">
      <c r="B1400" s="702"/>
      <c r="C1400" s="239"/>
      <c r="D1400" s="703" t="s">
        <v>10760</v>
      </c>
      <c r="E1400" s="704"/>
      <c r="F1400" s="235" t="s">
        <v>10761</v>
      </c>
      <c r="G1400" s="235" t="s">
        <v>10762</v>
      </c>
      <c r="I1400" s="697"/>
      <c r="J1400" s="698"/>
      <c r="K1400" s="239"/>
      <c r="L1400" s="697"/>
      <c r="M1400" s="698"/>
    </row>
    <row r="1401" spans="1:13" ht="22.5" x14ac:dyDescent="0.35">
      <c r="B1401" s="702"/>
      <c r="C1401" s="239"/>
      <c r="D1401" s="705" t="s">
        <v>96</v>
      </c>
      <c r="E1401" s="706"/>
      <c r="F1401" s="236">
        <f>INDEX(WEAP!$A:$AN,MATCH(B1398,WEAP!$A:$A,0),MATCH("HP",WEAP!$A$1:$BF$1,0))</f>
        <v>294</v>
      </c>
      <c r="G1401" s="237">
        <f>INDEX(WEAP!$A:$AN,MATCH(B1398,WEAP!$A:$A,0),MATCH("HP V3",WEAP!$A$1:$BF$1,0))</f>
        <v>325</v>
      </c>
      <c r="I1401" s="697"/>
      <c r="J1401" s="698"/>
      <c r="K1401" s="239"/>
      <c r="L1401" s="697"/>
      <c r="M1401" s="698"/>
    </row>
    <row r="1402" spans="1:13" ht="22.5" x14ac:dyDescent="0.35">
      <c r="B1402" s="702"/>
      <c r="C1402" s="239"/>
      <c r="D1402" s="707" t="s">
        <v>97</v>
      </c>
      <c r="E1402" s="708"/>
      <c r="F1402" s="236">
        <f>INDEX(WEAP!$A:$AN,MATCH(B1398,WEAP!$A:$A,0),MATCH("Str",WEAP!$A$1:$BF$1,0))</f>
        <v>1340</v>
      </c>
      <c r="G1402" s="237">
        <f>INDEX(WEAP!$A:$AN,MATCH(B1398,WEAP!$A:$A,0),MATCH("Str V3",WEAP!$A$1:$BF$1,0))</f>
        <v>1370</v>
      </c>
      <c r="I1402" s="699"/>
      <c r="J1402" s="700"/>
      <c r="K1402" s="239"/>
      <c r="L1402" s="699"/>
      <c r="M1402" s="700"/>
    </row>
    <row r="1403" spans="1:13" ht="33.75" customHeight="1" x14ac:dyDescent="0.2">
      <c r="A1403" t="s">
        <v>10763</v>
      </c>
    </row>
    <row r="1404" spans="1:13" ht="22.5" x14ac:dyDescent="0.35">
      <c r="A1404" s="244" t="str">
        <f>TEXT(A1397+1,"000")</f>
        <v>201</v>
      </c>
      <c r="B1404" s="238" t="str">
        <f>"W-"&amp;A1404</f>
        <v>W-201</v>
      </c>
      <c r="C1404" s="239"/>
      <c r="D1404" s="692" t="str">
        <f>+INDEX(WEAP!$A:$AN,MATCH(B1405,WEAP!$A:$A,0),MATCH("Name",WEAP!$A$1:$BF$1,0))</f>
        <v>Thunder Trigger</v>
      </c>
      <c r="E1404" s="693"/>
      <c r="F1404" s="693"/>
      <c r="G1404" s="694"/>
      <c r="I1404" s="241" t="str">
        <f>+INDEX(WEAP!$A:$AN,MATCH(B1405,WEAP!$A:$A,0),MATCH("Weapon Skill",WEAP!$A$1:$BF$1,0))</f>
        <v>Thunder Cannon</v>
      </c>
      <c r="J1404" s="243">
        <f>INDEX('W-S'!$A:$N,MATCH(I1404,'W-S'!$C:$C,0),MATCH("SP Cost",'W-S'!$1:$1,0))</f>
        <v>8779</v>
      </c>
      <c r="K1404" s="9"/>
      <c r="L1404" s="241" t="str">
        <f>+I1404</f>
        <v>Thunder Cannon</v>
      </c>
      <c r="M1404" s="243">
        <f>INDEX('W-S'!$A:$N,MATCH(L1404,'W-S'!$C:$C,0),MATCH("SP Cost V3",'W-S'!$1:$1,0))</f>
        <v>6000</v>
      </c>
    </row>
    <row r="1405" spans="1:13" ht="22.5" x14ac:dyDescent="0.35">
      <c r="B1405" s="238" t="str">
        <f>+INDEX(WEAP!$A:$AN,MATCH(B1404,WEAP!$B:$B,0),MATCH("ID",WEAP!$A$1:$BF$1,0))</f>
        <v>309024_01</v>
      </c>
      <c r="C1405" s="240"/>
      <c r="D1405" s="692" t="str">
        <f>+INDEX(WEAP!$A:$AN,MATCH(B1404,WEAP!$B:$B,0),MATCH("Family",WEAP!$A$1:$BF$1,0))&amp;" Weapon"</f>
        <v>HDT Weapon</v>
      </c>
      <c r="E1405" s="693"/>
      <c r="F1405" s="693"/>
      <c r="G1405" s="694"/>
      <c r="H1405" s="8"/>
      <c r="I1405" s="695" t="str">
        <f>INDEX('W-S'!$A:$O,MATCH(I1404,'W-S'!$C:$C,0),MATCH("Description",'W-S'!$1:$1,0))</f>
        <v>Deals 1 hit of 929% light damage to enemies in a line.</v>
      </c>
      <c r="J1405" s="696"/>
      <c r="K1405" s="239"/>
      <c r="L1405" s="695" t="str">
        <f>INDEX('W-S'!$A:$O,MATCH(I1404,'W-S'!$C:$C,0),MATCH("Description V3",'W-S'!$1:$1,0))</f>
        <v>Deals 1 hit of 1500% light damage to enemies in a line, and lowers their light resistance by 10% for 20 seconds. This resistance reduction will not stack.</v>
      </c>
      <c r="M1405" s="696"/>
    </row>
    <row r="1406" spans="1:13" ht="22.5" x14ac:dyDescent="0.2">
      <c r="B1406" s="701" t="e" vm="221">
        <f>+_xlfn.IMAGE("https://natalie.tf/wp-content/uploads/2023/10/DLV3_Icon_Weapon_"&amp;B1405&amp;".png")</f>
        <v>#VALUE!</v>
      </c>
      <c r="C1406" s="240"/>
      <c r="D1406" s="692" t="str">
        <f>INDEX(WEAP!$A:$AN,MATCH(B1405,WEAP!$A:$A,0),MATCH("Element",WEAP!$A$1:$BF$1,0))&amp;" "&amp;INDEX(WEAP!$A:$AN,MATCH(B1405,WEAP!$A:$A,0),MATCH("Type",WEAP!$A$1:$BF$1,0))</f>
        <v>Light Manacaster</v>
      </c>
      <c r="E1406" s="693"/>
      <c r="F1406" s="693"/>
      <c r="G1406" s="694"/>
      <c r="H1406" s="8"/>
      <c r="I1406" s="697"/>
      <c r="J1406" s="698"/>
      <c r="K1406" s="9"/>
      <c r="L1406" s="697"/>
      <c r="M1406" s="698"/>
    </row>
    <row r="1407" spans="1:13" ht="22.5" x14ac:dyDescent="0.35">
      <c r="B1407" s="702"/>
      <c r="C1407" s="239"/>
      <c r="D1407" s="703" t="s">
        <v>10760</v>
      </c>
      <c r="E1407" s="704"/>
      <c r="F1407" s="235" t="s">
        <v>10761</v>
      </c>
      <c r="G1407" s="235" t="s">
        <v>10762</v>
      </c>
      <c r="I1407" s="697"/>
      <c r="J1407" s="698"/>
      <c r="K1407" s="239"/>
      <c r="L1407" s="697"/>
      <c r="M1407" s="698"/>
    </row>
    <row r="1408" spans="1:13" ht="22.5" x14ac:dyDescent="0.35">
      <c r="B1408" s="702"/>
      <c r="C1408" s="239"/>
      <c r="D1408" s="705" t="s">
        <v>96</v>
      </c>
      <c r="E1408" s="706"/>
      <c r="F1408" s="236">
        <f>INDEX(WEAP!$A:$AN,MATCH(B1405,WEAP!$A:$A,0),MATCH("HP",WEAP!$A$1:$BF$1,0))</f>
        <v>227</v>
      </c>
      <c r="G1408" s="237">
        <f>INDEX(WEAP!$A:$AN,MATCH(B1405,WEAP!$A:$A,0),MATCH("HP V3",WEAP!$A$1:$BF$1,0))</f>
        <v>270</v>
      </c>
      <c r="I1408" s="697"/>
      <c r="J1408" s="698"/>
      <c r="K1408" s="239"/>
      <c r="L1408" s="697"/>
      <c r="M1408" s="698"/>
    </row>
    <row r="1409" spans="1:13" ht="22.5" x14ac:dyDescent="0.35">
      <c r="B1409" s="702"/>
      <c r="C1409" s="239"/>
      <c r="D1409" s="707" t="s">
        <v>97</v>
      </c>
      <c r="E1409" s="708"/>
      <c r="F1409" s="236">
        <f>INDEX(WEAP!$A:$AN,MATCH(B1405,WEAP!$A:$A,0),MATCH("Str",WEAP!$A$1:$BF$1,0))</f>
        <v>1544</v>
      </c>
      <c r="G1409" s="237">
        <f>INDEX(WEAP!$A:$AN,MATCH(B1405,WEAP!$A:$A,0),MATCH("Str V3",WEAP!$A$1:$BF$1,0))</f>
        <v>1595</v>
      </c>
      <c r="I1409" s="699"/>
      <c r="J1409" s="700"/>
      <c r="K1409" s="239"/>
      <c r="L1409" s="699"/>
      <c r="M1409" s="700"/>
    </row>
    <row r="1410" spans="1:13" s="245" customFormat="1" ht="7.5" customHeight="1" x14ac:dyDescent="0.2">
      <c r="A1410" s="245" t="s">
        <v>10763</v>
      </c>
    </row>
    <row r="1411" spans="1:13" ht="22.5" x14ac:dyDescent="0.35">
      <c r="A1411" s="242" t="str">
        <f>TEXT(A1404+1,"000")</f>
        <v>202</v>
      </c>
      <c r="B1411" s="238" t="str">
        <f>"W-"&amp;A1411</f>
        <v>W-202</v>
      </c>
      <c r="C1411" s="239"/>
      <c r="D1411" s="692" t="str">
        <f>+INDEX(WEAP!$A:$AN,MATCH(B1412,WEAP!$A:$A,0),MATCH("Name",WEAP!$A$1:$BF$1,0))</f>
        <v>Absolute Hex</v>
      </c>
      <c r="E1411" s="693"/>
      <c r="F1411" s="693"/>
      <c r="G1411" s="694"/>
      <c r="I1411" s="241" t="str">
        <f>+INDEX(WEAP!$A:$AN,MATCH(B1412,WEAP!$A:$A,0),MATCH("Weapon Skill",WEAP!$A$1:$BF$1,0))</f>
        <v>Infinite Hexes</v>
      </c>
      <c r="J1411" s="243">
        <f>INDEX('W-S'!$A:$N,MATCH(I1411,'W-S'!$C:$C,0),MATCH("SP Cost",'W-S'!$1:$1,0))</f>
        <v>6163</v>
      </c>
      <c r="K1411" s="9"/>
      <c r="L1411" s="241" t="str">
        <f>+I1411</f>
        <v>Infinite Hexes</v>
      </c>
      <c r="M1411" s="243">
        <f>INDEX('W-S'!$A:$N,MATCH(L1411,'W-S'!$C:$C,0),MATCH("SP Cost V3",'W-S'!$1:$1,0))</f>
        <v>6000</v>
      </c>
    </row>
    <row r="1412" spans="1:13" ht="22.5" x14ac:dyDescent="0.35">
      <c r="B1412" s="238" t="str">
        <f>+INDEX(WEAP!$A:$AN,MATCH(B1411,WEAP!$B:$B,0),MATCH("ID",WEAP!$A$1:$BF$1,0))</f>
        <v>301123_01</v>
      </c>
      <c r="C1412" s="240"/>
      <c r="D1412" s="692" t="str">
        <f>+INDEX(WEAP!$A:$AN,MATCH(B1411,WEAP!$B:$B,0),MATCH("Family",WEAP!$A$1:$BF$1,0))&amp;" Weapon"</f>
        <v>HDT Weapon</v>
      </c>
      <c r="E1412" s="693"/>
      <c r="F1412" s="693"/>
      <c r="G1412" s="694"/>
      <c r="H1412" s="8"/>
      <c r="I1412" s="695" t="str">
        <f>INDEX('W-S'!$A:$O,MATCH(I1411,'W-S'!$C:$C,0),MATCH("Description",'W-S'!$1:$1,0))</f>
        <v>Deals 5 hits of 165% shadow damage to enemies directly ahead.</v>
      </c>
      <c r="J1412" s="696"/>
      <c r="K1412" s="239"/>
      <c r="L1412" s="695" t="str">
        <f>INDEX('W-S'!$A:$O,MATCH(I1411,'W-S'!$C:$C,0),MATCH("Description V3",'W-S'!$1:$1,0))</f>
        <v>Deals 5 hits of 300% shadow damage to enemies directly ahead, and lowers their shadow resistance by 10% for 20 seconds. This resistance reduction will not stack.</v>
      </c>
      <c r="M1412" s="696"/>
    </row>
    <row r="1413" spans="1:13" ht="22.5" x14ac:dyDescent="0.2">
      <c r="B1413" s="701" t="e" vm="222">
        <f>+_xlfn.IMAGE("https://natalie.tf/wp-content/uploads/2023/10/DLV3_Icon_Weapon_"&amp;B1412&amp;".png")</f>
        <v>#VALUE!</v>
      </c>
      <c r="C1413" s="240"/>
      <c r="D1413" s="692" t="str">
        <f>INDEX(WEAP!$A:$AN,MATCH(B1412,WEAP!$A:$A,0),MATCH("Element",WEAP!$A$1:$BF$1,0))&amp;" "&amp;INDEX(WEAP!$A:$AN,MATCH(B1412,WEAP!$A:$A,0),MATCH("Type",WEAP!$A$1:$BF$1,0))</f>
        <v>Shadow Sword</v>
      </c>
      <c r="E1413" s="693"/>
      <c r="F1413" s="693"/>
      <c r="G1413" s="694"/>
      <c r="H1413" s="8"/>
      <c r="I1413" s="697"/>
      <c r="J1413" s="698"/>
      <c r="K1413" s="9"/>
      <c r="L1413" s="697"/>
      <c r="M1413" s="698"/>
    </row>
    <row r="1414" spans="1:13" ht="22.5" x14ac:dyDescent="0.35">
      <c r="B1414" s="702"/>
      <c r="C1414" s="239"/>
      <c r="D1414" s="703" t="s">
        <v>10760</v>
      </c>
      <c r="E1414" s="704"/>
      <c r="F1414" s="235" t="s">
        <v>10761</v>
      </c>
      <c r="G1414" s="235" t="s">
        <v>10762</v>
      </c>
      <c r="I1414" s="697"/>
      <c r="J1414" s="698"/>
      <c r="K1414" s="239"/>
      <c r="L1414" s="697"/>
      <c r="M1414" s="698"/>
    </row>
    <row r="1415" spans="1:13" ht="22.5" x14ac:dyDescent="0.35">
      <c r="B1415" s="702"/>
      <c r="C1415" s="239"/>
      <c r="D1415" s="705" t="s">
        <v>96</v>
      </c>
      <c r="E1415" s="706"/>
      <c r="F1415" s="236">
        <f>INDEX(WEAP!$A:$AN,MATCH(B1412,WEAP!$A:$A,0),MATCH("HP",WEAP!$A$1:$BF$1,0))</f>
        <v>247</v>
      </c>
      <c r="G1415" s="237">
        <f>INDEX(WEAP!$A:$AN,MATCH(B1412,WEAP!$A:$A,0),MATCH("HP V3",WEAP!$A$1:$BF$1,0))</f>
        <v>270</v>
      </c>
      <c r="I1415" s="697"/>
      <c r="J1415" s="698"/>
      <c r="K1415" s="239"/>
      <c r="L1415" s="697"/>
      <c r="M1415" s="698"/>
    </row>
    <row r="1416" spans="1:13" ht="22.5" x14ac:dyDescent="0.35">
      <c r="B1416" s="702"/>
      <c r="C1416" s="239"/>
      <c r="D1416" s="707" t="s">
        <v>97</v>
      </c>
      <c r="E1416" s="708"/>
      <c r="F1416" s="236">
        <f>INDEX(WEAP!$A:$AN,MATCH(B1412,WEAP!$A:$A,0),MATCH("Str",WEAP!$A$1:$BF$1,0))</f>
        <v>1485</v>
      </c>
      <c r="G1416" s="237">
        <f>INDEX(WEAP!$A:$AN,MATCH(B1412,WEAP!$A:$A,0),MATCH("Str V3",WEAP!$A$1:$BF$1,0))</f>
        <v>1530</v>
      </c>
      <c r="I1416" s="699"/>
      <c r="J1416" s="700"/>
      <c r="K1416" s="239"/>
      <c r="L1416" s="699"/>
      <c r="M1416" s="700"/>
    </row>
    <row r="1417" spans="1:13" s="245" customFormat="1" ht="7.5" customHeight="1" x14ac:dyDescent="0.2">
      <c r="A1417" s="245" t="s">
        <v>10763</v>
      </c>
    </row>
    <row r="1418" spans="1:13" ht="22.5" x14ac:dyDescent="0.35">
      <c r="A1418" s="244" t="str">
        <f>TEXT(A1411+1,"000")</f>
        <v>203</v>
      </c>
      <c r="B1418" s="238" t="str">
        <f>"W-"&amp;A1418</f>
        <v>W-203</v>
      </c>
      <c r="C1418" s="239"/>
      <c r="D1418" s="692" t="str">
        <f>+INDEX(WEAP!$A:$AN,MATCH(B1419,WEAP!$A:$A,0),MATCH("Name",WEAP!$A$1:$BF$1,0))</f>
        <v>True Abyss</v>
      </c>
      <c r="E1418" s="693"/>
      <c r="F1418" s="693"/>
      <c r="G1418" s="694"/>
      <c r="I1418" s="241" t="str">
        <f>+INDEX(WEAP!$A:$AN,MATCH(B1419,WEAP!$A:$A,0),MATCH("Weapon Skill",WEAP!$A$1:$BF$1,0))</f>
        <v>Hellish Blade</v>
      </c>
      <c r="J1418" s="243">
        <f>INDEX('W-S'!$A:$N,MATCH(I1418,'W-S'!$C:$C,0),MATCH("SP Cost",'W-S'!$1:$1,0))</f>
        <v>6925</v>
      </c>
      <c r="K1418" s="9"/>
      <c r="L1418" s="241" t="str">
        <f>+I1418</f>
        <v>Hellish Blade</v>
      </c>
      <c r="M1418" s="243">
        <f>INDEX('W-S'!$A:$N,MATCH(L1418,'W-S'!$C:$C,0),MATCH("SP Cost V3",'W-S'!$1:$1,0))</f>
        <v>6000</v>
      </c>
    </row>
    <row r="1419" spans="1:13" ht="22.5" x14ac:dyDescent="0.35">
      <c r="B1419" s="238" t="str">
        <f>+INDEX(WEAP!$A:$AN,MATCH(B1418,WEAP!$B:$B,0),MATCH("ID",WEAP!$A$1:$BF$1,0))</f>
        <v>302114_01</v>
      </c>
      <c r="C1419" s="240"/>
      <c r="D1419" s="692" t="str">
        <f>+INDEX(WEAP!$A:$AN,MATCH(B1418,WEAP!$B:$B,0),MATCH("Family",WEAP!$A$1:$BF$1,0))&amp;" Weapon"</f>
        <v>HDT Weapon</v>
      </c>
      <c r="E1419" s="693"/>
      <c r="F1419" s="693"/>
      <c r="G1419" s="694"/>
      <c r="H1419" s="8"/>
      <c r="I1419" s="695" t="str">
        <f>INDEX('W-S'!$A:$O,MATCH(I1418,'W-S'!$C:$C,0),MATCH("Description",'W-S'!$1:$1,0))</f>
        <v>Deals 5 hits of 213% shadow damage to enemies directly ahead.</v>
      </c>
      <c r="J1419" s="696"/>
      <c r="K1419" s="239"/>
      <c r="L1419" s="695" t="str">
        <f>INDEX('W-S'!$A:$O,MATCH(I1418,'W-S'!$C:$C,0),MATCH("Description V3",'W-S'!$1:$1,0))</f>
        <v>Deals 5 hits of 300% shadow damage to enemies directly ahead, and lowers their shadow resistance by 10% for 20 seconds. This resistance reduction will not stack.</v>
      </c>
      <c r="M1419" s="696"/>
    </row>
    <row r="1420" spans="1:13" ht="22.5" x14ac:dyDescent="0.2">
      <c r="B1420" s="701" t="e" vm="223">
        <f>+_xlfn.IMAGE("https://natalie.tf/wp-content/uploads/2023/10/DLV3_Icon_Weapon_"&amp;B1419&amp;".png")</f>
        <v>#VALUE!</v>
      </c>
      <c r="C1420" s="240"/>
      <c r="D1420" s="692" t="str">
        <f>INDEX(WEAP!$A:$AN,MATCH(B1419,WEAP!$A:$A,0),MATCH("Element",WEAP!$A$1:$BF$1,0))&amp;" "&amp;INDEX(WEAP!$A:$AN,MATCH(B1419,WEAP!$A:$A,0),MATCH("Type",WEAP!$A$1:$BF$1,0))</f>
        <v>Shadow Blade</v>
      </c>
      <c r="E1420" s="693"/>
      <c r="F1420" s="693"/>
      <c r="G1420" s="694"/>
      <c r="H1420" s="8"/>
      <c r="I1420" s="697"/>
      <c r="J1420" s="698"/>
      <c r="K1420" s="9"/>
      <c r="L1420" s="697"/>
      <c r="M1420" s="698"/>
    </row>
    <row r="1421" spans="1:13" ht="22.5" x14ac:dyDescent="0.35">
      <c r="B1421" s="702"/>
      <c r="C1421" s="239"/>
      <c r="D1421" s="703" t="s">
        <v>10760</v>
      </c>
      <c r="E1421" s="704"/>
      <c r="F1421" s="235" t="s">
        <v>10761</v>
      </c>
      <c r="G1421" s="235" t="s">
        <v>10762</v>
      </c>
      <c r="I1421" s="697"/>
      <c r="J1421" s="698"/>
      <c r="K1421" s="239"/>
      <c r="L1421" s="697"/>
      <c r="M1421" s="698"/>
    </row>
    <row r="1422" spans="1:13" ht="22.5" x14ac:dyDescent="0.35">
      <c r="B1422" s="702"/>
      <c r="C1422" s="239"/>
      <c r="D1422" s="705" t="s">
        <v>96</v>
      </c>
      <c r="E1422" s="706"/>
      <c r="F1422" s="236">
        <f>INDEX(WEAP!$A:$AN,MATCH(B1419,WEAP!$A:$A,0),MATCH("HP",WEAP!$A$1:$BF$1,0))</f>
        <v>207</v>
      </c>
      <c r="G1422" s="237">
        <f>INDEX(WEAP!$A:$AN,MATCH(B1419,WEAP!$A:$A,0),MATCH("HP V3",WEAP!$A$1:$BF$1,0))</f>
        <v>250</v>
      </c>
      <c r="I1422" s="697"/>
      <c r="J1422" s="698"/>
      <c r="K1422" s="239"/>
      <c r="L1422" s="697"/>
      <c r="M1422" s="698"/>
    </row>
    <row r="1423" spans="1:13" ht="22.5" x14ac:dyDescent="0.35">
      <c r="B1423" s="702"/>
      <c r="C1423" s="239"/>
      <c r="D1423" s="707" t="s">
        <v>97</v>
      </c>
      <c r="E1423" s="708"/>
      <c r="F1423" s="236">
        <f>INDEX(WEAP!$A:$AN,MATCH(B1419,WEAP!$A:$A,0),MATCH("Str",WEAP!$A$1:$BF$1,0))</f>
        <v>1621</v>
      </c>
      <c r="G1423" s="237">
        <f>INDEX(WEAP!$A:$AN,MATCH(B1419,WEAP!$A:$A,0),MATCH("Str V3",WEAP!$A$1:$BF$1,0))</f>
        <v>1625</v>
      </c>
      <c r="I1423" s="699"/>
      <c r="J1423" s="700"/>
      <c r="K1423" s="239"/>
      <c r="L1423" s="699"/>
      <c r="M1423" s="700"/>
    </row>
    <row r="1424" spans="1:13" s="245" customFormat="1" ht="7.5" customHeight="1" x14ac:dyDescent="0.2">
      <c r="A1424" s="245" t="s">
        <v>10763</v>
      </c>
    </row>
    <row r="1425" spans="1:13" ht="22.5" x14ac:dyDescent="0.35">
      <c r="A1425" s="244" t="str">
        <f>TEXT(A1418+1,"000")</f>
        <v>204</v>
      </c>
      <c r="B1425" s="238" t="str">
        <f>"W-"&amp;A1425</f>
        <v>W-204</v>
      </c>
      <c r="C1425" s="239"/>
      <c r="D1425" s="692" t="str">
        <f>+INDEX(WEAP!$A:$AN,MATCH(B1426,WEAP!$A:$A,0),MATCH("Name",WEAP!$A$1:$BF$1,0))</f>
        <v>Shaderuler's Maw</v>
      </c>
      <c r="E1425" s="693"/>
      <c r="F1425" s="693"/>
      <c r="G1425" s="694"/>
      <c r="I1425" s="241" t="str">
        <f>+INDEX(WEAP!$A:$AN,MATCH(B1426,WEAP!$A:$A,0),MATCH("Weapon Skill",WEAP!$A$1:$BF$1,0))</f>
        <v>Bloodstarved Shadowruler</v>
      </c>
      <c r="J1425" s="243">
        <f>INDEX('W-S'!$A:$N,MATCH(I1425,'W-S'!$C:$C,0),MATCH("SP Cost",'W-S'!$1:$1,0))</f>
        <v>6590</v>
      </c>
      <c r="K1425" s="9"/>
      <c r="L1425" s="241" t="str">
        <f>+I1425</f>
        <v>Bloodstarved Shadowruler</v>
      </c>
      <c r="M1425" s="243">
        <f>INDEX('W-S'!$A:$N,MATCH(L1425,'W-S'!$C:$C,0),MATCH("SP Cost V3",'W-S'!$1:$1,0))</f>
        <v>6000</v>
      </c>
    </row>
    <row r="1426" spans="1:13" ht="22.5" x14ac:dyDescent="0.35">
      <c r="B1426" s="238" t="str">
        <f>+INDEX(WEAP!$A:$AN,MATCH(B1425,WEAP!$B:$B,0),MATCH("ID",WEAP!$A$1:$BF$1,0))</f>
        <v>303113_01</v>
      </c>
      <c r="C1426" s="240"/>
      <c r="D1426" s="692" t="str">
        <f>+INDEX(WEAP!$A:$AN,MATCH(B1425,WEAP!$B:$B,0),MATCH("Family",WEAP!$A$1:$BF$1,0))&amp;" Weapon"</f>
        <v>HDT Weapon</v>
      </c>
      <c r="E1426" s="693"/>
      <c r="F1426" s="693"/>
      <c r="G1426" s="694"/>
      <c r="H1426" s="8"/>
      <c r="I1426" s="695" t="str">
        <f>INDEX('W-S'!$A:$O,MATCH(I1425,'W-S'!$C:$C,0),MATCH("Description",'W-S'!$1:$1,0))</f>
        <v>Deals 5 hits of 173% shadow damage to surrounding enemies.</v>
      </c>
      <c r="J1426" s="696"/>
      <c r="K1426" s="239"/>
      <c r="L1426" s="695" t="str">
        <f>INDEX('W-S'!$A:$O,MATCH(I1425,'W-S'!$C:$C,0),MATCH("Description V3",'W-S'!$1:$1,0))</f>
        <v>Deals 5 hits of 300% shadow damage to surrounding enemies, and lowers their shadow resistance by 10% for 20 seconds. This resistance reduction will not stack.</v>
      </c>
      <c r="M1426" s="696"/>
    </row>
    <row r="1427" spans="1:13" ht="22.5" x14ac:dyDescent="0.2">
      <c r="B1427" s="701" t="e" vm="224">
        <f>+_xlfn.IMAGE("https://natalie.tf/wp-content/uploads/2023/10/DLV3_Icon_Weapon_"&amp;B1426&amp;".png")</f>
        <v>#VALUE!</v>
      </c>
      <c r="C1427" s="240"/>
      <c r="D1427" s="692" t="str">
        <f>INDEX(WEAP!$A:$AN,MATCH(B1426,WEAP!$A:$A,0),MATCH("Element",WEAP!$A$1:$BF$1,0))&amp;" "&amp;INDEX(WEAP!$A:$AN,MATCH(B1426,WEAP!$A:$A,0),MATCH("Type",WEAP!$A$1:$BF$1,0))</f>
        <v>Shadow Dagger</v>
      </c>
      <c r="E1427" s="693"/>
      <c r="F1427" s="693"/>
      <c r="G1427" s="694"/>
      <c r="H1427" s="8"/>
      <c r="I1427" s="697"/>
      <c r="J1427" s="698"/>
      <c r="K1427" s="9"/>
      <c r="L1427" s="697"/>
      <c r="M1427" s="698"/>
    </row>
    <row r="1428" spans="1:13" ht="22.5" x14ac:dyDescent="0.35">
      <c r="B1428" s="702"/>
      <c r="C1428" s="239"/>
      <c r="D1428" s="703" t="s">
        <v>10760</v>
      </c>
      <c r="E1428" s="704"/>
      <c r="F1428" s="235" t="s">
        <v>10761</v>
      </c>
      <c r="G1428" s="235" t="s">
        <v>10762</v>
      </c>
      <c r="I1428" s="697"/>
      <c r="J1428" s="698"/>
      <c r="K1428" s="239"/>
      <c r="L1428" s="697"/>
      <c r="M1428" s="698"/>
    </row>
    <row r="1429" spans="1:13" ht="22.5" x14ac:dyDescent="0.35">
      <c r="B1429" s="702"/>
      <c r="C1429" s="239"/>
      <c r="D1429" s="705" t="s">
        <v>96</v>
      </c>
      <c r="E1429" s="706"/>
      <c r="F1429" s="236">
        <f>INDEX(WEAP!$A:$AN,MATCH(B1426,WEAP!$A:$A,0),MATCH("HP",WEAP!$A$1:$BF$1,0))</f>
        <v>262</v>
      </c>
      <c r="G1429" s="237">
        <f>INDEX(WEAP!$A:$AN,MATCH(B1426,WEAP!$A:$A,0),MATCH("HP V3",WEAP!$A$1:$BF$1,0))</f>
        <v>275</v>
      </c>
      <c r="I1429" s="697"/>
      <c r="J1429" s="698"/>
      <c r="K1429" s="239"/>
      <c r="L1429" s="697"/>
      <c r="M1429" s="698"/>
    </row>
    <row r="1430" spans="1:13" ht="22.5" x14ac:dyDescent="0.35">
      <c r="B1430" s="702"/>
      <c r="C1430" s="239"/>
      <c r="D1430" s="707" t="s">
        <v>97</v>
      </c>
      <c r="E1430" s="708"/>
      <c r="F1430" s="236">
        <f>INDEX(WEAP!$A:$AN,MATCH(B1426,WEAP!$A:$A,0),MATCH("Str",WEAP!$A$1:$BF$1,0))</f>
        <v>1412</v>
      </c>
      <c r="G1430" s="237">
        <f>INDEX(WEAP!$A:$AN,MATCH(B1426,WEAP!$A:$A,0),MATCH("Str V3",WEAP!$A$1:$BF$1,0))</f>
        <v>1455</v>
      </c>
      <c r="I1430" s="699"/>
      <c r="J1430" s="700"/>
      <c r="K1430" s="239"/>
      <c r="L1430" s="699"/>
      <c r="M1430" s="700"/>
    </row>
    <row r="1431" spans="1:13" s="245" customFormat="1" ht="7.5" customHeight="1" x14ac:dyDescent="0.2">
      <c r="A1431" s="245" t="s">
        <v>10763</v>
      </c>
    </row>
    <row r="1432" spans="1:13" ht="22.5" x14ac:dyDescent="0.35">
      <c r="A1432" s="244" t="str">
        <f>TEXT(A1425+1,"000")</f>
        <v>205</v>
      </c>
      <c r="B1432" s="238" t="str">
        <f>"W-"&amp;A1432</f>
        <v>W-205</v>
      </c>
      <c r="C1432" s="239"/>
      <c r="D1432" s="692" t="str">
        <f>+INDEX(WEAP!$A:$AN,MATCH(B1433,WEAP!$A:$A,0),MATCH("Name",WEAP!$A$1:$BF$1,0))</f>
        <v>Shadowy Darkbite Axe</v>
      </c>
      <c r="E1432" s="693"/>
      <c r="F1432" s="693"/>
      <c r="G1432" s="694"/>
      <c r="I1432" s="241" t="str">
        <f>+INDEX(WEAP!$A:$AN,MATCH(B1433,WEAP!$A:$A,0),MATCH("Weapon Skill",WEAP!$A$1:$BF$1,0))</f>
        <v>Shadowy Darkbite's Curse</v>
      </c>
      <c r="J1432" s="243">
        <f>INDEX('W-S'!$A:$N,MATCH(I1432,'W-S'!$C:$C,0),MATCH("SP Cost",'W-S'!$1:$1,0))</f>
        <v>8895</v>
      </c>
      <c r="K1432" s="9"/>
      <c r="L1432" s="241" t="str">
        <f>+I1432</f>
        <v>Shadowy Darkbite's Curse</v>
      </c>
      <c r="M1432" s="243">
        <f>INDEX('W-S'!$A:$N,MATCH(L1432,'W-S'!$C:$C,0),MATCH("SP Cost V3",'W-S'!$1:$1,0))</f>
        <v>6000</v>
      </c>
    </row>
    <row r="1433" spans="1:13" ht="22.5" x14ac:dyDescent="0.35">
      <c r="B1433" s="238" t="str">
        <f>+INDEX(WEAP!$A:$AN,MATCH(B1432,WEAP!$B:$B,0),MATCH("ID",WEAP!$A$1:$BF$1,0))</f>
        <v>304112_01</v>
      </c>
      <c r="C1433" s="240"/>
      <c r="D1433" s="692" t="str">
        <f>+INDEX(WEAP!$A:$AN,MATCH(B1432,WEAP!$B:$B,0),MATCH("Family",WEAP!$A$1:$BF$1,0))&amp;" Weapon"</f>
        <v>HDT Weapon</v>
      </c>
      <c r="E1433" s="693"/>
      <c r="F1433" s="693"/>
      <c r="G1433" s="694"/>
      <c r="H1433" s="8"/>
      <c r="I1433" s="695" t="str">
        <f>INDEX('W-S'!$A:$O,MATCH(I1432,'W-S'!$C:$C,0),MATCH("Description",'W-S'!$1:$1,0))</f>
        <v>Deals 3 hits of 418% shadow damage to enemies directly ahead.</v>
      </c>
      <c r="J1433" s="696"/>
      <c r="K1433" s="239"/>
      <c r="L1433" s="695" t="str">
        <f>INDEX('W-S'!$A:$O,MATCH(I1432,'W-S'!$C:$C,0),MATCH("Description V3",'W-S'!$1:$1,0))</f>
        <v>Deals 3 hits of 500% shadow damage to enemies directly ahead, and lowers their shadow resistance by 10% for 20 seconds. This resistance reduction will not stack.</v>
      </c>
      <c r="M1433" s="696"/>
    </row>
    <row r="1434" spans="1:13" ht="22.5" x14ac:dyDescent="0.2">
      <c r="B1434" s="701" t="e" vm="225">
        <f>+_xlfn.IMAGE("https://natalie.tf/wp-content/uploads/2023/10/DLV3_Icon_Weapon_"&amp;B1433&amp;".png")</f>
        <v>#VALUE!</v>
      </c>
      <c r="C1434" s="240"/>
      <c r="D1434" s="692" t="str">
        <f>INDEX(WEAP!$A:$AN,MATCH(B1433,WEAP!$A:$A,0),MATCH("Element",WEAP!$A$1:$BF$1,0))&amp;" "&amp;INDEX(WEAP!$A:$AN,MATCH(B1433,WEAP!$A:$A,0),MATCH("Type",WEAP!$A$1:$BF$1,0))</f>
        <v>Shadow Axe</v>
      </c>
      <c r="E1434" s="693"/>
      <c r="F1434" s="693"/>
      <c r="G1434" s="694"/>
      <c r="H1434" s="8"/>
      <c r="I1434" s="697"/>
      <c r="J1434" s="698"/>
      <c r="K1434" s="9"/>
      <c r="L1434" s="697"/>
      <c r="M1434" s="698"/>
    </row>
    <row r="1435" spans="1:13" ht="22.5" x14ac:dyDescent="0.35">
      <c r="B1435" s="702"/>
      <c r="C1435" s="239"/>
      <c r="D1435" s="703" t="s">
        <v>10760</v>
      </c>
      <c r="E1435" s="704"/>
      <c r="F1435" s="235" t="s">
        <v>10761</v>
      </c>
      <c r="G1435" s="235" t="s">
        <v>10762</v>
      </c>
      <c r="I1435" s="697"/>
      <c r="J1435" s="698"/>
      <c r="K1435" s="239"/>
      <c r="L1435" s="697"/>
      <c r="M1435" s="698"/>
    </row>
    <row r="1436" spans="1:13" ht="22.5" x14ac:dyDescent="0.35">
      <c r="B1436" s="702"/>
      <c r="C1436" s="239"/>
      <c r="D1436" s="705" t="s">
        <v>96</v>
      </c>
      <c r="E1436" s="706"/>
      <c r="F1436" s="236">
        <f>INDEX(WEAP!$A:$AN,MATCH(B1433,WEAP!$A:$A,0),MATCH("HP",WEAP!$A$1:$BF$1,0))</f>
        <v>242</v>
      </c>
      <c r="G1436" s="237">
        <f>INDEX(WEAP!$A:$AN,MATCH(B1433,WEAP!$A:$A,0),MATCH("HP V3",WEAP!$A$1:$BF$1,0))</f>
        <v>295</v>
      </c>
      <c r="I1436" s="697"/>
      <c r="J1436" s="698"/>
      <c r="K1436" s="239"/>
      <c r="L1436" s="697"/>
      <c r="M1436" s="698"/>
    </row>
    <row r="1437" spans="1:13" ht="22.5" x14ac:dyDescent="0.35">
      <c r="B1437" s="702"/>
      <c r="C1437" s="239"/>
      <c r="D1437" s="707" t="s">
        <v>97</v>
      </c>
      <c r="E1437" s="708"/>
      <c r="F1437" s="236">
        <f>INDEX(WEAP!$A:$AN,MATCH(B1433,WEAP!$A:$A,0),MATCH("Str",WEAP!$A$1:$BF$1,0))</f>
        <v>1606</v>
      </c>
      <c r="G1437" s="237">
        <f>INDEX(WEAP!$A:$AN,MATCH(B1433,WEAP!$A:$A,0),MATCH("Str V3",WEAP!$A$1:$BF$1,0))</f>
        <v>1610</v>
      </c>
      <c r="I1437" s="699"/>
      <c r="J1437" s="700"/>
      <c r="K1437" s="239"/>
      <c r="L1437" s="699"/>
      <c r="M1437" s="700"/>
    </row>
    <row r="1438" spans="1:13" ht="33.75" customHeight="1" x14ac:dyDescent="0.2">
      <c r="A1438" t="s">
        <v>10763</v>
      </c>
    </row>
    <row r="1439" spans="1:13" ht="22.5" x14ac:dyDescent="0.35">
      <c r="A1439" s="244" t="str">
        <f>TEXT(A1432+1,"000")</f>
        <v>206</v>
      </c>
      <c r="B1439" s="238" t="str">
        <f>"W-"&amp;A1439</f>
        <v>W-206</v>
      </c>
      <c r="C1439" s="239"/>
      <c r="D1439" s="692" t="str">
        <f>+INDEX(WEAP!$A:$AN,MATCH(B1440,WEAP!$A:$A,0),MATCH("Name",WEAP!$A$1:$BF$1,0))</f>
        <v>Ebon Scourge Lance</v>
      </c>
      <c r="E1439" s="693"/>
      <c r="F1439" s="693"/>
      <c r="G1439" s="694"/>
      <c r="I1439" s="241" t="str">
        <f>+INDEX(WEAP!$A:$AN,MATCH(B1440,WEAP!$A:$A,0),MATCH("Weapon Skill",WEAP!$A$1:$BF$1,0))</f>
        <v>Shadowy Hex</v>
      </c>
      <c r="J1439" s="243">
        <f>INDEX('W-S'!$A:$N,MATCH(I1439,'W-S'!$C:$C,0),MATCH("SP Cost",'W-S'!$1:$1,0))</f>
        <v>7299</v>
      </c>
      <c r="K1439" s="9"/>
      <c r="L1439" s="241" t="str">
        <f>+I1439</f>
        <v>Shadowy Hex</v>
      </c>
      <c r="M1439" s="243">
        <f>INDEX('W-S'!$A:$N,MATCH(L1439,'W-S'!$C:$C,0),MATCH("SP Cost V3",'W-S'!$1:$1,0))</f>
        <v>6000</v>
      </c>
    </row>
    <row r="1440" spans="1:13" ht="22.5" x14ac:dyDescent="0.35">
      <c r="B1440" s="238" t="str">
        <f>+INDEX(WEAP!$A:$AN,MATCH(B1439,WEAP!$B:$B,0),MATCH("ID",WEAP!$A$1:$BF$1,0))</f>
        <v>305119_01</v>
      </c>
      <c r="C1440" s="240"/>
      <c r="D1440" s="692" t="str">
        <f>+INDEX(WEAP!$A:$AN,MATCH(B1439,WEAP!$B:$B,0),MATCH("Family",WEAP!$A$1:$BF$1,0))&amp;" Weapon"</f>
        <v>HDT Weapon</v>
      </c>
      <c r="E1440" s="693"/>
      <c r="F1440" s="693"/>
      <c r="G1440" s="694"/>
      <c r="H1440" s="8"/>
      <c r="I1440" s="695" t="str">
        <f>INDEX('W-S'!$A:$O,MATCH(I1439,'W-S'!$C:$C,0),MATCH("Description",'W-S'!$1:$1,0))</f>
        <v>Deals 2 hits of 461% shadow damage to the target and nearby enemies.</v>
      </c>
      <c r="J1440" s="696"/>
      <c r="K1440" s="239"/>
      <c r="L1440" s="695" t="str">
        <f>INDEX('W-S'!$A:$O,MATCH(I1439,'W-S'!$C:$C,0),MATCH("Description V3",'W-S'!$1:$1,0))</f>
        <v>Deals 2 hits of 750% shadow damage to the target and nearby enemies, and lowers their shadow resistance by 10% for 20 seconds. This resistance reduction will not stack.</v>
      </c>
      <c r="M1440" s="696"/>
    </row>
    <row r="1441" spans="1:13" ht="22.5" x14ac:dyDescent="0.2">
      <c r="B1441" s="701" t="e" vm="226">
        <f>+_xlfn.IMAGE("https://natalie.tf/wp-content/uploads/2023/10/DLV3_Icon_Weapon_"&amp;B1440&amp;".png")</f>
        <v>#VALUE!</v>
      </c>
      <c r="C1441" s="240"/>
      <c r="D1441" s="692" t="str">
        <f>INDEX(WEAP!$A:$AN,MATCH(B1440,WEAP!$A:$A,0),MATCH("Element",WEAP!$A$1:$BF$1,0))&amp;" "&amp;INDEX(WEAP!$A:$AN,MATCH(B1440,WEAP!$A:$A,0),MATCH("Type",WEAP!$A$1:$BF$1,0))</f>
        <v>Shadow Lance</v>
      </c>
      <c r="E1441" s="693"/>
      <c r="F1441" s="693"/>
      <c r="G1441" s="694"/>
      <c r="H1441" s="8"/>
      <c r="I1441" s="697"/>
      <c r="J1441" s="698"/>
      <c r="K1441" s="9"/>
      <c r="L1441" s="697"/>
      <c r="M1441" s="698"/>
    </row>
    <row r="1442" spans="1:13" ht="22.5" x14ac:dyDescent="0.35">
      <c r="B1442" s="702"/>
      <c r="C1442" s="239"/>
      <c r="D1442" s="703" t="s">
        <v>10760</v>
      </c>
      <c r="E1442" s="704"/>
      <c r="F1442" s="235" t="s">
        <v>10761</v>
      </c>
      <c r="G1442" s="235" t="s">
        <v>10762</v>
      </c>
      <c r="I1442" s="697"/>
      <c r="J1442" s="698"/>
      <c r="K1442" s="239"/>
      <c r="L1442" s="697"/>
      <c r="M1442" s="698"/>
    </row>
    <row r="1443" spans="1:13" ht="22.5" x14ac:dyDescent="0.35">
      <c r="B1443" s="702"/>
      <c r="C1443" s="239"/>
      <c r="D1443" s="705" t="s">
        <v>96</v>
      </c>
      <c r="E1443" s="706"/>
      <c r="F1443" s="236">
        <f>INDEX(WEAP!$A:$AN,MATCH(B1440,WEAP!$A:$A,0),MATCH("HP",WEAP!$A$1:$BF$1,0))</f>
        <v>272</v>
      </c>
      <c r="G1443" s="237">
        <f>INDEX(WEAP!$A:$AN,MATCH(B1440,WEAP!$A:$A,0),MATCH("HP V3",WEAP!$A$1:$BF$1,0))</f>
        <v>275</v>
      </c>
      <c r="I1443" s="697"/>
      <c r="J1443" s="698"/>
      <c r="K1443" s="239"/>
      <c r="L1443" s="697"/>
      <c r="M1443" s="698"/>
    </row>
    <row r="1444" spans="1:13" ht="22.5" x14ac:dyDescent="0.35">
      <c r="B1444" s="702"/>
      <c r="C1444" s="239"/>
      <c r="D1444" s="707" t="s">
        <v>97</v>
      </c>
      <c r="E1444" s="708"/>
      <c r="F1444" s="236">
        <f>INDEX(WEAP!$A:$AN,MATCH(B1440,WEAP!$A:$A,0),MATCH("Str",WEAP!$A$1:$BF$1,0))</f>
        <v>1439</v>
      </c>
      <c r="G1444" s="237">
        <f>INDEX(WEAP!$A:$AN,MATCH(B1440,WEAP!$A:$A,0),MATCH("Str V3",WEAP!$A$1:$BF$1,0))</f>
        <v>1560</v>
      </c>
      <c r="I1444" s="699"/>
      <c r="J1444" s="700"/>
      <c r="K1444" s="239"/>
      <c r="L1444" s="699"/>
      <c r="M1444" s="700"/>
    </row>
    <row r="1445" spans="1:13" s="245" customFormat="1" ht="7.5" customHeight="1" x14ac:dyDescent="0.2">
      <c r="A1445" s="245" t="s">
        <v>10763</v>
      </c>
    </row>
    <row r="1446" spans="1:13" ht="22.5" x14ac:dyDescent="0.35">
      <c r="A1446" s="242" t="str">
        <f>TEXT(A1439+1,"000")</f>
        <v>207</v>
      </c>
      <c r="B1446" s="238" t="str">
        <f>"W-"&amp;A1446</f>
        <v>W-207</v>
      </c>
      <c r="C1446" s="239"/>
      <c r="D1446" s="692" t="str">
        <f>+INDEX(WEAP!$A:$AN,MATCH(B1447,WEAP!$A:$A,0),MATCH("Name",WEAP!$A$1:$BF$1,0))</f>
        <v>Hellish Prophecy</v>
      </c>
      <c r="E1446" s="693"/>
      <c r="F1446" s="693"/>
      <c r="G1446" s="694"/>
      <c r="I1446" s="241" t="str">
        <f>+INDEX(WEAP!$A:$AN,MATCH(B1447,WEAP!$A:$A,0),MATCH("Weapon Skill",WEAP!$A$1:$BF$1,0))</f>
        <v>Prophecy's Immaculate Guidance</v>
      </c>
      <c r="J1446" s="243">
        <f>INDEX('W-S'!$A:$N,MATCH(I1446,'W-S'!$C:$C,0),MATCH("SP Cost",'W-S'!$1:$1,0))</f>
        <v>6750</v>
      </c>
      <c r="K1446" s="9"/>
      <c r="L1446" s="241" t="str">
        <f>+I1446</f>
        <v>Prophecy's Immaculate Guidance</v>
      </c>
      <c r="M1446" s="243">
        <f>INDEX('W-S'!$A:$N,MATCH(L1446,'W-S'!$C:$C,0),MATCH("SP Cost V3",'W-S'!$1:$1,0))</f>
        <v>6000</v>
      </c>
    </row>
    <row r="1447" spans="1:13" ht="22.5" x14ac:dyDescent="0.35">
      <c r="B1447" s="238" t="str">
        <f>+INDEX(WEAP!$A:$AN,MATCH(B1446,WEAP!$B:$B,0),MATCH("ID",WEAP!$A$1:$BF$1,0))</f>
        <v>306112_01</v>
      </c>
      <c r="C1447" s="240"/>
      <c r="D1447" s="692" t="str">
        <f>+INDEX(WEAP!$A:$AN,MATCH(B1446,WEAP!$B:$B,0),MATCH("Family",WEAP!$A$1:$BF$1,0))&amp;" Weapon"</f>
        <v>HDT Weapon</v>
      </c>
      <c r="E1447" s="693"/>
      <c r="F1447" s="693"/>
      <c r="G1447" s="694"/>
      <c r="H1447" s="8"/>
      <c r="I1447" s="695" t="str">
        <f>INDEX('W-S'!$A:$O,MATCH(I1446,'W-S'!$C:$C,0),MATCH("Description",'W-S'!$1:$1,0))</f>
        <v>Deals 1 hit of 854% shadow damage to enemies in a line.</v>
      </c>
      <c r="J1447" s="696"/>
      <c r="K1447" s="239"/>
      <c r="L1447" s="695" t="str">
        <f>INDEX('W-S'!$A:$O,MATCH(I1446,'W-S'!$C:$C,0),MATCH("Description V3",'W-S'!$1:$1,0))</f>
        <v>Deals 1 hit of 1500% shadow damage to enemies in a line, and lowers their shadow resistance by 10% for 20 seconds. This resistance reduction will not stack.</v>
      </c>
      <c r="M1447" s="696"/>
    </row>
    <row r="1448" spans="1:13" ht="22.5" x14ac:dyDescent="0.2">
      <c r="B1448" s="701" t="e" vm="227">
        <f>+_xlfn.IMAGE("https://natalie.tf/wp-content/uploads/2023/10/DLV3_Icon_Weapon_"&amp;B1447&amp;".png")</f>
        <v>#VALUE!</v>
      </c>
      <c r="C1448" s="240"/>
      <c r="D1448" s="692" t="str">
        <f>INDEX(WEAP!$A:$AN,MATCH(B1447,WEAP!$A:$A,0),MATCH("Element",WEAP!$A$1:$BF$1,0))&amp;" "&amp;INDEX(WEAP!$A:$AN,MATCH(B1447,WEAP!$A:$A,0),MATCH("Type",WEAP!$A$1:$BF$1,0))</f>
        <v>Shadow Bow</v>
      </c>
      <c r="E1448" s="693"/>
      <c r="F1448" s="693"/>
      <c r="G1448" s="694"/>
      <c r="H1448" s="8"/>
      <c r="I1448" s="697"/>
      <c r="J1448" s="698"/>
      <c r="K1448" s="9"/>
      <c r="L1448" s="697"/>
      <c r="M1448" s="698"/>
    </row>
    <row r="1449" spans="1:13" ht="22.5" x14ac:dyDescent="0.35">
      <c r="B1449" s="702"/>
      <c r="C1449" s="239"/>
      <c r="D1449" s="703" t="s">
        <v>10760</v>
      </c>
      <c r="E1449" s="704"/>
      <c r="F1449" s="235" t="s">
        <v>10761</v>
      </c>
      <c r="G1449" s="235" t="s">
        <v>10762</v>
      </c>
      <c r="I1449" s="697"/>
      <c r="J1449" s="698"/>
      <c r="K1449" s="239"/>
      <c r="L1449" s="697"/>
      <c r="M1449" s="698"/>
    </row>
    <row r="1450" spans="1:13" ht="22.5" x14ac:dyDescent="0.35">
      <c r="B1450" s="702"/>
      <c r="C1450" s="239"/>
      <c r="D1450" s="705" t="s">
        <v>96</v>
      </c>
      <c r="E1450" s="706"/>
      <c r="F1450" s="236">
        <f>INDEX(WEAP!$A:$AN,MATCH(B1447,WEAP!$A:$A,0),MATCH("HP",WEAP!$A$1:$BF$1,0))</f>
        <v>242</v>
      </c>
      <c r="G1450" s="237">
        <f>INDEX(WEAP!$A:$AN,MATCH(B1447,WEAP!$A:$A,0),MATCH("HP V3",WEAP!$A$1:$BF$1,0))</f>
        <v>280</v>
      </c>
      <c r="I1450" s="697"/>
      <c r="J1450" s="698"/>
      <c r="K1450" s="239"/>
      <c r="L1450" s="697"/>
      <c r="M1450" s="698"/>
    </row>
    <row r="1451" spans="1:13" ht="22.5" x14ac:dyDescent="0.35">
      <c r="B1451" s="702"/>
      <c r="C1451" s="239"/>
      <c r="D1451" s="707" t="s">
        <v>97</v>
      </c>
      <c r="E1451" s="708"/>
      <c r="F1451" s="236">
        <f>INDEX(WEAP!$A:$AN,MATCH(B1447,WEAP!$A:$A,0),MATCH("Str",WEAP!$A$1:$BF$1,0))</f>
        <v>1426</v>
      </c>
      <c r="G1451" s="237">
        <f>INDEX(WEAP!$A:$AN,MATCH(B1447,WEAP!$A:$A,0),MATCH("Str V3",WEAP!$A$1:$BF$1,0))</f>
        <v>1470</v>
      </c>
      <c r="I1451" s="699"/>
      <c r="J1451" s="700"/>
      <c r="K1451" s="239"/>
      <c r="L1451" s="699"/>
      <c r="M1451" s="700"/>
    </row>
    <row r="1452" spans="1:13" s="245" customFormat="1" ht="7.5" customHeight="1" x14ac:dyDescent="0.2">
      <c r="A1452" s="245" t="s">
        <v>10763</v>
      </c>
    </row>
    <row r="1453" spans="1:13" ht="22.5" x14ac:dyDescent="0.35">
      <c r="A1453" s="244" t="str">
        <f>TEXT(A1446+1,"000")</f>
        <v>208</v>
      </c>
      <c r="B1453" s="238" t="str">
        <f>"W-"&amp;A1453</f>
        <v>W-208</v>
      </c>
      <c r="C1453" s="239"/>
      <c r="D1453" s="692" t="str">
        <f>+INDEX(WEAP!$A:$AN,MATCH(B1454,WEAP!$A:$A,0),MATCH("Name",WEAP!$A$1:$BF$1,0))</f>
        <v>Darkbinder</v>
      </c>
      <c r="E1453" s="693"/>
      <c r="F1453" s="693"/>
      <c r="G1453" s="694"/>
      <c r="I1453" s="241" t="str">
        <f>+INDEX(WEAP!$A:$AN,MATCH(B1454,WEAP!$A:$A,0),MATCH("Weapon Skill",WEAP!$A$1:$BF$1,0))</f>
        <v>Binding Darkness</v>
      </c>
      <c r="J1453" s="243">
        <f>INDEX('W-S'!$A:$N,MATCH(I1453,'W-S'!$C:$C,0),MATCH("SP Cost",'W-S'!$1:$1,0))</f>
        <v>7635</v>
      </c>
      <c r="K1453" s="9"/>
      <c r="L1453" s="241" t="str">
        <f>+I1453</f>
        <v>Binding Darkness</v>
      </c>
      <c r="M1453" s="243">
        <f>INDEX('W-S'!$A:$N,MATCH(L1453,'W-S'!$C:$C,0),MATCH("SP Cost V3",'W-S'!$1:$1,0))</f>
        <v>6000</v>
      </c>
    </row>
    <row r="1454" spans="1:13" ht="22.5" x14ac:dyDescent="0.35">
      <c r="B1454" s="238" t="str">
        <f>+INDEX(WEAP!$A:$AN,MATCH(B1453,WEAP!$B:$B,0),MATCH("ID",WEAP!$A$1:$BF$1,0))</f>
        <v>307120_01</v>
      </c>
      <c r="C1454" s="240"/>
      <c r="D1454" s="692" t="str">
        <f>+INDEX(WEAP!$A:$AN,MATCH(B1453,WEAP!$B:$B,0),MATCH("Family",WEAP!$A$1:$BF$1,0))&amp;" Weapon"</f>
        <v>HDT Weapon</v>
      </c>
      <c r="E1454" s="693"/>
      <c r="F1454" s="693"/>
      <c r="G1454" s="694"/>
      <c r="H1454" s="8"/>
      <c r="I1454" s="695" t="str">
        <f>INDEX('W-S'!$A:$O,MATCH(I1453,'W-S'!$C:$C,0),MATCH("Description",'W-S'!$1:$1,0))</f>
        <v>Deals 1 hit of 974% shadow damage to surrounding enemies.</v>
      </c>
      <c r="J1454" s="696"/>
      <c r="K1454" s="239"/>
      <c r="L1454" s="695" t="str">
        <f>INDEX('W-S'!$A:$O,MATCH(I1453,'W-S'!$C:$C,0),MATCH("Description V3",'W-S'!$1:$1,0))</f>
        <v>Deals 1 hit of 1500% shadow damage to surrounding enemies, and lowers their shadow resistance by 10% for 20 seconds. This resistance reduction will not stack.</v>
      </c>
      <c r="M1454" s="696"/>
    </row>
    <row r="1455" spans="1:13" ht="22.5" x14ac:dyDescent="0.2">
      <c r="B1455" s="701" t="e" vm="228">
        <f>+_xlfn.IMAGE("https://natalie.tf/wp-content/uploads/2023/10/DLV3_Icon_Weapon_"&amp;B1454&amp;".png")</f>
        <v>#VALUE!</v>
      </c>
      <c r="C1455" s="240"/>
      <c r="D1455" s="692" t="str">
        <f>INDEX(WEAP!$A:$AN,MATCH(B1454,WEAP!$A:$A,0),MATCH("Element",WEAP!$A$1:$BF$1,0))&amp;" "&amp;INDEX(WEAP!$A:$AN,MATCH(B1454,WEAP!$A:$A,0),MATCH("Type",WEAP!$A$1:$BF$1,0))</f>
        <v>Shadow Wand</v>
      </c>
      <c r="E1455" s="693"/>
      <c r="F1455" s="693"/>
      <c r="G1455" s="694"/>
      <c r="H1455" s="8"/>
      <c r="I1455" s="697"/>
      <c r="J1455" s="698"/>
      <c r="K1455" s="9"/>
      <c r="L1455" s="697"/>
      <c r="M1455" s="698"/>
    </row>
    <row r="1456" spans="1:13" ht="22.5" x14ac:dyDescent="0.35">
      <c r="B1456" s="702"/>
      <c r="C1456" s="239"/>
      <c r="D1456" s="703" t="s">
        <v>10760</v>
      </c>
      <c r="E1456" s="704"/>
      <c r="F1456" s="235" t="s">
        <v>10761</v>
      </c>
      <c r="G1456" s="235" t="s">
        <v>10762</v>
      </c>
      <c r="I1456" s="697"/>
      <c r="J1456" s="698"/>
      <c r="K1456" s="239"/>
      <c r="L1456" s="697"/>
      <c r="M1456" s="698"/>
    </row>
    <row r="1457" spans="1:13" ht="22.5" x14ac:dyDescent="0.35">
      <c r="B1457" s="702"/>
      <c r="C1457" s="239"/>
      <c r="D1457" s="705" t="s">
        <v>96</v>
      </c>
      <c r="E1457" s="706"/>
      <c r="F1457" s="236">
        <f>INDEX(WEAP!$A:$AN,MATCH(B1454,WEAP!$A:$A,0),MATCH("HP",WEAP!$A$1:$BF$1,0))</f>
        <v>244</v>
      </c>
      <c r="G1457" s="237">
        <f>INDEX(WEAP!$A:$AN,MATCH(B1454,WEAP!$A:$A,0),MATCH("HP V3",WEAP!$A$1:$BF$1,0))</f>
        <v>275</v>
      </c>
      <c r="I1457" s="697"/>
      <c r="J1457" s="698"/>
      <c r="K1457" s="239"/>
      <c r="L1457" s="697"/>
      <c r="M1457" s="698"/>
    </row>
    <row r="1458" spans="1:13" ht="22.5" x14ac:dyDescent="0.35">
      <c r="B1458" s="702"/>
      <c r="C1458" s="239"/>
      <c r="D1458" s="707" t="s">
        <v>97</v>
      </c>
      <c r="E1458" s="708"/>
      <c r="F1458" s="236">
        <f>INDEX(WEAP!$A:$AN,MATCH(B1454,WEAP!$A:$A,0),MATCH("Str",WEAP!$A$1:$BF$1,0))</f>
        <v>1484</v>
      </c>
      <c r="G1458" s="237">
        <f>INDEX(WEAP!$A:$AN,MATCH(B1454,WEAP!$A:$A,0),MATCH("Str V3",WEAP!$A$1:$BF$1,0))</f>
        <v>1575</v>
      </c>
      <c r="I1458" s="699"/>
      <c r="J1458" s="700"/>
      <c r="K1458" s="239"/>
      <c r="L1458" s="699"/>
      <c r="M1458" s="700"/>
    </row>
    <row r="1459" spans="1:13" s="245" customFormat="1" ht="7.5" customHeight="1" x14ac:dyDescent="0.2">
      <c r="A1459" s="245" t="s">
        <v>10763</v>
      </c>
    </row>
    <row r="1460" spans="1:13" ht="22.5" x14ac:dyDescent="0.35">
      <c r="A1460" s="244" t="str">
        <f>TEXT(A1453+1,"000")</f>
        <v>209</v>
      </c>
      <c r="B1460" s="238" t="str">
        <f>"W-"&amp;A1460</f>
        <v>W-209</v>
      </c>
      <c r="C1460" s="239"/>
      <c r="D1460" s="692" t="str">
        <f>+INDEX(WEAP!$A:$AN,MATCH(B1461,WEAP!$A:$A,0),MATCH("Name",WEAP!$A$1:$BF$1,0))</f>
        <v>Dark Hunger</v>
      </c>
      <c r="E1460" s="693"/>
      <c r="F1460" s="693"/>
      <c r="G1460" s="694"/>
      <c r="I1460" s="241" t="str">
        <f>+INDEX(WEAP!$A:$AN,MATCH(B1461,WEAP!$A:$A,0),MATCH("Weapon Skill",WEAP!$A$1:$BF$1,0))</f>
        <v>Despair Devourer</v>
      </c>
      <c r="J1460" s="243">
        <f>INDEX('W-S'!$A:$N,MATCH(I1460,'W-S'!$C:$C,0),MATCH("SP Cost",'W-S'!$1:$1,0))</f>
        <v>13684</v>
      </c>
      <c r="K1460" s="9"/>
      <c r="L1460" s="241" t="str">
        <f>+I1460</f>
        <v>Despair Devourer</v>
      </c>
      <c r="M1460" s="243">
        <f>INDEX('W-S'!$A:$N,MATCH(L1460,'W-S'!$C:$C,0),MATCH("SP Cost V3",'W-S'!$1:$1,0))</f>
        <v>6000</v>
      </c>
    </row>
    <row r="1461" spans="1:13" ht="22.5" x14ac:dyDescent="0.35">
      <c r="B1461" s="238" t="str">
        <f>+INDEX(WEAP!$A:$AN,MATCH(B1460,WEAP!$B:$B,0),MATCH("ID",WEAP!$A$1:$BF$1,0))</f>
        <v>308113_01</v>
      </c>
      <c r="C1461" s="240"/>
      <c r="D1461" s="692" t="str">
        <f>+INDEX(WEAP!$A:$AN,MATCH(B1460,WEAP!$B:$B,0),MATCH("Family",WEAP!$A$1:$BF$1,0))&amp;" Weapon"</f>
        <v>HDT Weapon</v>
      </c>
      <c r="E1461" s="693"/>
      <c r="F1461" s="693"/>
      <c r="G1461" s="694"/>
      <c r="H1461" s="8"/>
      <c r="I1461" s="695" t="str">
        <f>INDEX('W-S'!$A:$O,MATCH(I1460,'W-S'!$C:$C,0),MATCH("Description",'W-S'!$1:$1,0))</f>
        <v>Deals 1 hit of 755% shadow damage to surrounding enemies.</v>
      </c>
      <c r="J1461" s="696"/>
      <c r="K1461" s="239"/>
      <c r="L1461" s="695" t="str">
        <f>INDEX('W-S'!$A:$O,MATCH(I1460,'W-S'!$C:$C,0),MATCH("Description V3",'W-S'!$1:$1,0))</f>
        <v>Deals 1 hit of 1500% shadow damage to surrounding enemies, and lowers their shadow resistance by 10% for 20 seconds. This resistance reduction will not stack.</v>
      </c>
      <c r="M1461" s="696"/>
    </row>
    <row r="1462" spans="1:13" ht="22.5" x14ac:dyDescent="0.2">
      <c r="B1462" s="701" t="e" vm="229">
        <f>+_xlfn.IMAGE("https://natalie.tf/wp-content/uploads/2023/10/DLV3_Icon_Weapon_"&amp;B1461&amp;".png")</f>
        <v>#VALUE!</v>
      </c>
      <c r="C1462" s="240"/>
      <c r="D1462" s="692" t="str">
        <f>INDEX(WEAP!$A:$AN,MATCH(B1461,WEAP!$A:$A,0),MATCH("Element",WEAP!$A$1:$BF$1,0))&amp;" "&amp;INDEX(WEAP!$A:$AN,MATCH(B1461,WEAP!$A:$A,0),MATCH("Type",WEAP!$A$1:$BF$1,0))</f>
        <v>Shadow Staff</v>
      </c>
      <c r="E1462" s="693"/>
      <c r="F1462" s="693"/>
      <c r="G1462" s="694"/>
      <c r="H1462" s="8"/>
      <c r="I1462" s="697"/>
      <c r="J1462" s="698"/>
      <c r="K1462" s="9"/>
      <c r="L1462" s="697"/>
      <c r="M1462" s="698"/>
    </row>
    <row r="1463" spans="1:13" ht="22.5" x14ac:dyDescent="0.35">
      <c r="B1463" s="702"/>
      <c r="C1463" s="239"/>
      <c r="D1463" s="703" t="s">
        <v>10760</v>
      </c>
      <c r="E1463" s="704"/>
      <c r="F1463" s="235" t="s">
        <v>10761</v>
      </c>
      <c r="G1463" s="235" t="s">
        <v>10762</v>
      </c>
      <c r="I1463" s="697"/>
      <c r="J1463" s="698"/>
      <c r="K1463" s="239"/>
      <c r="L1463" s="697"/>
      <c r="M1463" s="698"/>
    </row>
    <row r="1464" spans="1:13" ht="22.5" x14ac:dyDescent="0.35">
      <c r="B1464" s="702"/>
      <c r="C1464" s="239"/>
      <c r="D1464" s="705" t="s">
        <v>96</v>
      </c>
      <c r="E1464" s="706"/>
      <c r="F1464" s="236">
        <f>INDEX(WEAP!$A:$AN,MATCH(B1461,WEAP!$A:$A,0),MATCH("HP",WEAP!$A$1:$BF$1,0))</f>
        <v>294</v>
      </c>
      <c r="G1464" s="237">
        <f>INDEX(WEAP!$A:$AN,MATCH(B1461,WEAP!$A:$A,0),MATCH("HP V3",WEAP!$A$1:$BF$1,0))</f>
        <v>325</v>
      </c>
      <c r="I1464" s="697"/>
      <c r="J1464" s="698"/>
      <c r="K1464" s="239"/>
      <c r="L1464" s="697"/>
      <c r="M1464" s="698"/>
    </row>
    <row r="1465" spans="1:13" ht="22.5" x14ac:dyDescent="0.35">
      <c r="B1465" s="702"/>
      <c r="C1465" s="239"/>
      <c r="D1465" s="707" t="s">
        <v>97</v>
      </c>
      <c r="E1465" s="708"/>
      <c r="F1465" s="236">
        <f>INDEX(WEAP!$A:$AN,MATCH(B1461,WEAP!$A:$A,0),MATCH("Str",WEAP!$A$1:$BF$1,0))</f>
        <v>1340</v>
      </c>
      <c r="G1465" s="237">
        <f>INDEX(WEAP!$A:$AN,MATCH(B1461,WEAP!$A:$A,0),MATCH("Str V3",WEAP!$A$1:$BF$1,0))</f>
        <v>1370</v>
      </c>
      <c r="I1465" s="699"/>
      <c r="J1465" s="700"/>
      <c r="K1465" s="239"/>
      <c r="L1465" s="699"/>
      <c r="M1465" s="700"/>
    </row>
    <row r="1466" spans="1:13" s="245" customFormat="1" ht="7.5" customHeight="1" x14ac:dyDescent="0.2">
      <c r="A1466" s="245" t="s">
        <v>10763</v>
      </c>
    </row>
    <row r="1467" spans="1:13" ht="22.5" x14ac:dyDescent="0.35">
      <c r="A1467" s="244" t="str">
        <f>TEXT(A1460+1,"000")</f>
        <v>210</v>
      </c>
      <c r="B1467" s="238" t="str">
        <f>"W-"&amp;A1467</f>
        <v>W-210</v>
      </c>
      <c r="C1467" s="239"/>
      <c r="D1467" s="692" t="str">
        <f>+INDEX(WEAP!$A:$AN,MATCH(B1468,WEAP!$A:$A,0),MATCH("Name",WEAP!$A$1:$BF$1,0))</f>
        <v>Curse Trigger</v>
      </c>
      <c r="E1467" s="693"/>
      <c r="F1467" s="693"/>
      <c r="G1467" s="694"/>
      <c r="I1467" s="241" t="str">
        <f>+INDEX(WEAP!$A:$AN,MATCH(B1468,WEAP!$A:$A,0),MATCH("Weapon Skill",WEAP!$A$1:$BF$1,0))</f>
        <v>Curse Cannon</v>
      </c>
      <c r="J1467" s="243">
        <f>INDEX('W-S'!$A:$N,MATCH(I1467,'W-S'!$C:$C,0),MATCH("SP Cost",'W-S'!$1:$1,0))</f>
        <v>8779</v>
      </c>
      <c r="K1467" s="9"/>
      <c r="L1467" s="241" t="str">
        <f>+I1467</f>
        <v>Curse Cannon</v>
      </c>
      <c r="M1467" s="243">
        <f>INDEX('W-S'!$A:$N,MATCH(L1467,'W-S'!$C:$C,0),MATCH("SP Cost V3",'W-S'!$1:$1,0))</f>
        <v>6000</v>
      </c>
    </row>
    <row r="1468" spans="1:13" ht="22.5" x14ac:dyDescent="0.35">
      <c r="B1468" s="238" t="str">
        <f>+INDEX(WEAP!$A:$AN,MATCH(B1467,WEAP!$B:$B,0),MATCH("ID",WEAP!$A$1:$BF$1,0))</f>
        <v>309025_01</v>
      </c>
      <c r="C1468" s="240"/>
      <c r="D1468" s="692" t="str">
        <f>+INDEX(WEAP!$A:$AN,MATCH(B1467,WEAP!$B:$B,0),MATCH("Family",WEAP!$A$1:$BF$1,0))&amp;" Weapon"</f>
        <v>HDT Weapon</v>
      </c>
      <c r="E1468" s="693"/>
      <c r="F1468" s="693"/>
      <c r="G1468" s="694"/>
      <c r="H1468" s="8"/>
      <c r="I1468" s="695" t="str">
        <f>INDEX('W-S'!$A:$O,MATCH(I1467,'W-S'!$C:$C,0),MATCH("Description",'W-S'!$1:$1,0))</f>
        <v>Deals 1 hit of 929% shadow damage to enemies in a line.</v>
      </c>
      <c r="J1468" s="696"/>
      <c r="K1468" s="239"/>
      <c r="L1468" s="695" t="str">
        <f>INDEX('W-S'!$A:$O,MATCH(I1467,'W-S'!$C:$C,0),MATCH("Description V3",'W-S'!$1:$1,0))</f>
        <v>Deals 1 hit of 1500% shadow damage to enemies in a line, and lowers their shadow resistance by 10% for 20 seconds. This resistance reduction will not stack.</v>
      </c>
      <c r="M1468" s="696"/>
    </row>
    <row r="1469" spans="1:13" ht="22.5" x14ac:dyDescent="0.2">
      <c r="B1469" s="701" t="e" vm="230">
        <f>+_xlfn.IMAGE("https://natalie.tf/wp-content/uploads/2023/10/DLV3_Icon_Weapon_"&amp;B1468&amp;".png")</f>
        <v>#VALUE!</v>
      </c>
      <c r="C1469" s="240"/>
      <c r="D1469" s="692" t="str">
        <f>INDEX(WEAP!$A:$AN,MATCH(B1468,WEAP!$A:$A,0),MATCH("Element",WEAP!$A$1:$BF$1,0))&amp;" "&amp;INDEX(WEAP!$A:$AN,MATCH(B1468,WEAP!$A:$A,0),MATCH("Type",WEAP!$A$1:$BF$1,0))</f>
        <v>Shadow Manacaster</v>
      </c>
      <c r="E1469" s="693"/>
      <c r="F1469" s="693"/>
      <c r="G1469" s="694"/>
      <c r="H1469" s="8"/>
      <c r="I1469" s="697"/>
      <c r="J1469" s="698"/>
      <c r="K1469" s="9"/>
      <c r="L1469" s="697"/>
      <c r="M1469" s="698"/>
    </row>
    <row r="1470" spans="1:13" ht="22.5" x14ac:dyDescent="0.35">
      <c r="B1470" s="702"/>
      <c r="C1470" s="239"/>
      <c r="D1470" s="703" t="s">
        <v>10760</v>
      </c>
      <c r="E1470" s="704"/>
      <c r="F1470" s="235" t="s">
        <v>10761</v>
      </c>
      <c r="G1470" s="235" t="s">
        <v>10762</v>
      </c>
      <c r="I1470" s="697"/>
      <c r="J1470" s="698"/>
      <c r="K1470" s="239"/>
      <c r="L1470" s="697"/>
      <c r="M1470" s="698"/>
    </row>
    <row r="1471" spans="1:13" ht="22.5" x14ac:dyDescent="0.35">
      <c r="B1471" s="702"/>
      <c r="C1471" s="239"/>
      <c r="D1471" s="705" t="s">
        <v>96</v>
      </c>
      <c r="E1471" s="706"/>
      <c r="F1471" s="236">
        <f>INDEX(WEAP!$A:$AN,MATCH(B1468,WEAP!$A:$A,0),MATCH("HP",WEAP!$A$1:$BF$1,0))</f>
        <v>227</v>
      </c>
      <c r="G1471" s="237">
        <f>INDEX(WEAP!$A:$AN,MATCH(B1468,WEAP!$A:$A,0),MATCH("HP V3",WEAP!$A$1:$BF$1,0))</f>
        <v>270</v>
      </c>
      <c r="I1471" s="697"/>
      <c r="J1471" s="698"/>
      <c r="K1471" s="239"/>
      <c r="L1471" s="697"/>
      <c r="M1471" s="698"/>
    </row>
    <row r="1472" spans="1:13" ht="22.5" x14ac:dyDescent="0.35">
      <c r="B1472" s="702"/>
      <c r="C1472" s="239"/>
      <c r="D1472" s="707" t="s">
        <v>97</v>
      </c>
      <c r="E1472" s="708"/>
      <c r="F1472" s="236">
        <f>INDEX(WEAP!$A:$AN,MATCH(B1468,WEAP!$A:$A,0),MATCH("Str",WEAP!$A$1:$BF$1,0))</f>
        <v>1544</v>
      </c>
      <c r="G1472" s="237">
        <f>INDEX(WEAP!$A:$AN,MATCH(B1468,WEAP!$A:$A,0),MATCH("Str V3",WEAP!$A$1:$BF$1,0))</f>
        <v>1595</v>
      </c>
      <c r="I1472" s="699"/>
      <c r="J1472" s="700"/>
      <c r="K1472" s="239"/>
      <c r="L1472" s="699"/>
      <c r="M1472" s="700"/>
    </row>
    <row r="1473" spans="1:13" ht="33.75" customHeight="1" x14ac:dyDescent="0.2">
      <c r="A1473" t="s">
        <v>10763</v>
      </c>
    </row>
    <row r="1474" spans="1:13" ht="22.5" x14ac:dyDescent="0.35">
      <c r="A1474" s="244" t="str">
        <f>TEXT(A1467+1,"000")</f>
        <v>211</v>
      </c>
      <c r="B1474" s="238" t="str">
        <f>"W-"&amp;A1474</f>
        <v>W-211</v>
      </c>
      <c r="C1474" s="239"/>
      <c r="D1474" s="692" t="str">
        <f>+INDEX(WEAP!$A:$AN,MATCH(B1475,WEAP!$A:$A,0),MATCH("Name",WEAP!$A$1:$BF$1,0))</f>
        <v>Nothung</v>
      </c>
      <c r="E1474" s="693"/>
      <c r="F1474" s="693"/>
      <c r="G1474" s="694"/>
      <c r="I1474" s="241" t="str">
        <f>+INDEX(WEAP!$A:$AN,MATCH(B1475,WEAP!$A:$A,0),MATCH("Weapon Skill",WEAP!$A$1:$BF$1,0))</f>
        <v>Megingjörð</v>
      </c>
      <c r="J1474" s="243">
        <f>INDEX('W-S'!$A:$N,MATCH(I1474,'W-S'!$C:$C,0),MATCH("SP Cost",'W-S'!$1:$1,0))</f>
        <v>3000</v>
      </c>
      <c r="K1474" s="9"/>
      <c r="L1474" s="241" t="str">
        <f>+I1474</f>
        <v>Megingjörð</v>
      </c>
      <c r="M1474" s="243">
        <f>INDEX('W-S'!$A:$N,MATCH(L1474,'W-S'!$C:$C,0),MATCH("SP Cost V3",'W-S'!$1:$1,0))</f>
        <v>3000</v>
      </c>
    </row>
    <row r="1475" spans="1:13" ht="22.5" x14ac:dyDescent="0.35">
      <c r="B1475" s="238" t="str">
        <f>+INDEX(WEAP!$A:$AN,MATCH(B1474,WEAP!$B:$B,0),MATCH("ID",WEAP!$A$1:$BF$1,0))</f>
        <v>301138_01</v>
      </c>
      <c r="C1475" s="240"/>
      <c r="D1475" s="692" t="str">
        <f>+INDEX(WEAP!$A:$AN,MATCH(B1474,WEAP!$B:$B,0),MATCH("Family",WEAP!$A$1:$BF$1,0))&amp;" Weapon"</f>
        <v>Agito Weapon</v>
      </c>
      <c r="E1475" s="693"/>
      <c r="F1475" s="693"/>
      <c r="G1475" s="694"/>
      <c r="H1475" s="8"/>
      <c r="I1475" s="681" t="str">
        <f>INDEX('W-S'!$A:$O,MATCH(I1474,'W-S'!$C:$C,0),MATCH("Description",'W-S'!$1:$1,0))</f>
        <v>Increases the user's strength by 40% until the next time this skill is used. The second time this skill is used, it will instead become Iðunn's Apple. Iðunn's Apple gradually recovers the user's HP with 5% Recovery Potency every 2.9 seconds until the skill is next used. The skill will then alternate between these two effects with every use.</v>
      </c>
      <c r="J1475" s="682"/>
      <c r="K1475" s="239"/>
      <c r="L1475" s="681" t="str">
        <f>INDEX('W-S'!$A:$O,MATCH(I1474,'W-S'!$C:$C,0),MATCH("Description V3",'W-S'!$1:$1,0))</f>
        <v>Increases the user's strength by 40% until the next time this skill is used. The second time this skill is used, it will instead become Iðunn's Apple. Iðunn's Apple increases the user's defense by 50% and gradually recovers the user's HP with 5% Recovery Potency every 2.9 seconds until the skill is next used. The skill will then alternate between these two effects with every use.</v>
      </c>
      <c r="M1475" s="682"/>
    </row>
    <row r="1476" spans="1:13" ht="22.5" x14ac:dyDescent="0.2">
      <c r="B1476" s="701" t="e" vm="231">
        <f>+_xlfn.IMAGE("https://natalie.tf/wp-content/uploads/2023/10/DLV3_Icon_Weapon_"&amp;B1475&amp;".png")</f>
        <v>#VALUE!</v>
      </c>
      <c r="C1476" s="240"/>
      <c r="D1476" s="692" t="str">
        <f>INDEX(WEAP!$A:$AN,MATCH(B1475,WEAP!$A:$A,0),MATCH("Element",WEAP!$A$1:$BF$1,0))&amp;" "&amp;INDEX(WEAP!$A:$AN,MATCH(B1475,WEAP!$A:$A,0),MATCH("Type",WEAP!$A$1:$BF$1,0))</f>
        <v>Flame Sword</v>
      </c>
      <c r="E1476" s="693"/>
      <c r="F1476" s="693"/>
      <c r="G1476" s="694"/>
      <c r="H1476" s="8"/>
      <c r="I1476" s="683"/>
      <c r="J1476" s="684"/>
      <c r="K1476" s="9"/>
      <c r="L1476" s="683"/>
      <c r="M1476" s="684"/>
    </row>
    <row r="1477" spans="1:13" ht="22.5" x14ac:dyDescent="0.35">
      <c r="B1477" s="702"/>
      <c r="C1477" s="239"/>
      <c r="D1477" s="703" t="s">
        <v>10760</v>
      </c>
      <c r="E1477" s="704"/>
      <c r="F1477" s="235" t="s">
        <v>10761</v>
      </c>
      <c r="G1477" s="235" t="s">
        <v>10762</v>
      </c>
      <c r="I1477" s="683"/>
      <c r="J1477" s="684"/>
      <c r="K1477" s="239"/>
      <c r="L1477" s="683"/>
      <c r="M1477" s="684"/>
    </row>
    <row r="1478" spans="1:13" ht="22.5" x14ac:dyDescent="0.35">
      <c r="B1478" s="702"/>
      <c r="C1478" s="239"/>
      <c r="D1478" s="705" t="s">
        <v>96</v>
      </c>
      <c r="E1478" s="706"/>
      <c r="F1478" s="236">
        <f>INDEX(WEAP!$A:$AN,MATCH(B1475,WEAP!$A:$A,0),MATCH("HP",WEAP!$A$1:$BF$1,0))</f>
        <v>270</v>
      </c>
      <c r="G1478" s="237">
        <f>INDEX(WEAP!$A:$AN,MATCH(B1475,WEAP!$A:$A,0),MATCH("HP V3",WEAP!$A$1:$BF$1,0))</f>
        <v>270</v>
      </c>
      <c r="I1478" s="683"/>
      <c r="J1478" s="684"/>
      <c r="K1478" s="239"/>
      <c r="L1478" s="683"/>
      <c r="M1478" s="684"/>
    </row>
    <row r="1479" spans="1:13" ht="22.5" x14ac:dyDescent="0.35">
      <c r="B1479" s="702"/>
      <c r="C1479" s="239"/>
      <c r="D1479" s="707" t="s">
        <v>97</v>
      </c>
      <c r="E1479" s="708"/>
      <c r="F1479" s="236">
        <f>INDEX(WEAP!$A:$AN,MATCH(B1475,WEAP!$A:$A,0),MATCH("Str",WEAP!$A$1:$BF$1,0))</f>
        <v>1720</v>
      </c>
      <c r="G1479" s="237">
        <f>INDEX(WEAP!$A:$AN,MATCH(B1475,WEAP!$A:$A,0),MATCH("Str V3",WEAP!$A$1:$BF$1,0))</f>
        <v>1720</v>
      </c>
      <c r="I1479" s="685"/>
      <c r="J1479" s="686"/>
      <c r="K1479" s="239"/>
      <c r="L1479" s="685"/>
      <c r="M1479" s="686"/>
    </row>
    <row r="1480" spans="1:13" s="245" customFormat="1" ht="7.5" customHeight="1" x14ac:dyDescent="0.2">
      <c r="A1480" s="245" t="s">
        <v>10763</v>
      </c>
    </row>
    <row r="1481" spans="1:13" ht="22.5" x14ac:dyDescent="0.35">
      <c r="A1481" s="242" t="str">
        <f>TEXT(A1474+1,"000")</f>
        <v>212</v>
      </c>
      <c r="B1481" s="238" t="str">
        <f>"W-"&amp;A1481</f>
        <v>W-212</v>
      </c>
      <c r="C1481" s="239"/>
      <c r="D1481" s="692" t="str">
        <f>+INDEX(WEAP!$A:$AN,MATCH(B1482,WEAP!$A:$A,0),MATCH("Name",WEAP!$A$1:$BF$1,0))</f>
        <v>Tyrfing</v>
      </c>
      <c r="E1481" s="693"/>
      <c r="F1481" s="693"/>
      <c r="G1481" s="694"/>
      <c r="I1481" s="241" t="str">
        <f>+INDEX(WEAP!$A:$AN,MATCH(B1482,WEAP!$A:$A,0),MATCH("Weapon Skill",WEAP!$A$1:$BF$1,0))</f>
        <v>Megingjörð</v>
      </c>
      <c r="J1481" s="243">
        <f>INDEX('W-S'!$A:$N,MATCH(I1481,'W-S'!$C:$C,0),MATCH("SP Cost",'W-S'!$1:$1,0))</f>
        <v>3000</v>
      </c>
      <c r="K1481" s="9"/>
      <c r="L1481" s="241" t="str">
        <f>+I1481</f>
        <v>Megingjörð</v>
      </c>
      <c r="M1481" s="243">
        <f>INDEX('W-S'!$A:$N,MATCH(L1481,'W-S'!$C:$C,0),MATCH("SP Cost V3",'W-S'!$1:$1,0))</f>
        <v>3000</v>
      </c>
    </row>
    <row r="1482" spans="1:13" ht="22.5" x14ac:dyDescent="0.35">
      <c r="B1482" s="238" t="str">
        <f>+INDEX(WEAP!$A:$AN,MATCH(B1481,WEAP!$B:$B,0),MATCH("ID",WEAP!$A$1:$BF$1,0))</f>
        <v>302129_01</v>
      </c>
      <c r="C1482" s="240"/>
      <c r="D1482" s="692" t="str">
        <f>+INDEX(WEAP!$A:$AN,MATCH(B1481,WEAP!$B:$B,0),MATCH("Family",WEAP!$A$1:$BF$1,0))&amp;" Weapon"</f>
        <v>Agito Weapon</v>
      </c>
      <c r="E1482" s="693"/>
      <c r="F1482" s="693"/>
      <c r="G1482" s="694"/>
      <c r="H1482" s="8"/>
      <c r="I1482" s="681" t="str">
        <f>INDEX('W-S'!$A:$O,MATCH(I1481,'W-S'!$C:$C,0),MATCH("Description",'W-S'!$1:$1,0))</f>
        <v>Increases the user's strength by 40% until the next time this skill is used. The second time this skill is used, it will instead become Iðunn's Apple. Iðunn's Apple gradually recovers the user's HP with 5% Recovery Potency every 2.9 seconds until the skill is next used. The skill will then alternate between these two effects with every use.</v>
      </c>
      <c r="J1482" s="682"/>
      <c r="K1482" s="239"/>
      <c r="L1482" s="681" t="str">
        <f>INDEX('W-S'!$A:$O,MATCH(I1481,'W-S'!$C:$C,0),MATCH("Description V3",'W-S'!$1:$1,0))</f>
        <v>Increases the user's strength by 40% until the next time this skill is used. The second time this skill is used, it will instead become Iðunn's Apple. Iðunn's Apple increases the user's defense by 50% and gradually recovers the user's HP with 5% Recovery Potency every 2.9 seconds until the skill is next used. The skill will then alternate between these two effects with every use.</v>
      </c>
      <c r="M1482" s="682"/>
    </row>
    <row r="1483" spans="1:13" ht="22.5" x14ac:dyDescent="0.2">
      <c r="B1483" s="701" t="e" vm="232">
        <f>+_xlfn.IMAGE("https://natalie.tf/wp-content/uploads/2023/10/DLV3_Icon_Weapon_"&amp;B1482&amp;".png")</f>
        <v>#VALUE!</v>
      </c>
      <c r="C1483" s="240"/>
      <c r="D1483" s="692" t="str">
        <f>INDEX(WEAP!$A:$AN,MATCH(B1482,WEAP!$A:$A,0),MATCH("Element",WEAP!$A$1:$BF$1,0))&amp;" "&amp;INDEX(WEAP!$A:$AN,MATCH(B1482,WEAP!$A:$A,0),MATCH("Type",WEAP!$A$1:$BF$1,0))</f>
        <v>Flame Blade</v>
      </c>
      <c r="E1483" s="693"/>
      <c r="F1483" s="693"/>
      <c r="G1483" s="694"/>
      <c r="H1483" s="8"/>
      <c r="I1483" s="683"/>
      <c r="J1483" s="684"/>
      <c r="K1483" s="9"/>
      <c r="L1483" s="683"/>
      <c r="M1483" s="684"/>
    </row>
    <row r="1484" spans="1:13" ht="22.5" x14ac:dyDescent="0.35">
      <c r="B1484" s="702"/>
      <c r="C1484" s="239"/>
      <c r="D1484" s="703" t="s">
        <v>10760</v>
      </c>
      <c r="E1484" s="704"/>
      <c r="F1484" s="235" t="s">
        <v>10761</v>
      </c>
      <c r="G1484" s="235" t="s">
        <v>10762</v>
      </c>
      <c r="I1484" s="683"/>
      <c r="J1484" s="684"/>
      <c r="K1484" s="239"/>
      <c r="L1484" s="683"/>
      <c r="M1484" s="684"/>
    </row>
    <row r="1485" spans="1:13" ht="22.5" x14ac:dyDescent="0.35">
      <c r="B1485" s="702"/>
      <c r="C1485" s="239"/>
      <c r="D1485" s="705" t="s">
        <v>96</v>
      </c>
      <c r="E1485" s="706"/>
      <c r="F1485" s="236">
        <f>INDEX(WEAP!$A:$AN,MATCH(B1482,WEAP!$A:$A,0),MATCH("HP",WEAP!$A$1:$BF$1,0))</f>
        <v>239</v>
      </c>
      <c r="G1485" s="237">
        <f>INDEX(WEAP!$A:$AN,MATCH(B1482,WEAP!$A:$A,0),MATCH("HP V3",WEAP!$A$1:$BF$1,0))</f>
        <v>250</v>
      </c>
      <c r="I1485" s="683"/>
      <c r="J1485" s="684"/>
      <c r="K1485" s="239"/>
      <c r="L1485" s="683"/>
      <c r="M1485" s="684"/>
    </row>
    <row r="1486" spans="1:13" ht="22.5" x14ac:dyDescent="0.35">
      <c r="B1486" s="702"/>
      <c r="C1486" s="239"/>
      <c r="D1486" s="707" t="s">
        <v>97</v>
      </c>
      <c r="E1486" s="708"/>
      <c r="F1486" s="236">
        <f>INDEX(WEAP!$A:$AN,MATCH(B1482,WEAP!$A:$A,0),MATCH("Str",WEAP!$A$1:$BF$1,0))</f>
        <v>1822</v>
      </c>
      <c r="G1486" s="237">
        <f>INDEX(WEAP!$A:$AN,MATCH(B1482,WEAP!$A:$A,0),MATCH("Str V3",WEAP!$A$1:$BF$1,0))</f>
        <v>1825</v>
      </c>
      <c r="I1486" s="685"/>
      <c r="J1486" s="686"/>
      <c r="K1486" s="239"/>
      <c r="L1486" s="685"/>
      <c r="M1486" s="686"/>
    </row>
    <row r="1487" spans="1:13" s="245" customFormat="1" ht="7.5" customHeight="1" x14ac:dyDescent="0.2">
      <c r="A1487" s="245" t="s">
        <v>10763</v>
      </c>
    </row>
    <row r="1488" spans="1:13" ht="22.5" x14ac:dyDescent="0.35">
      <c r="A1488" s="244" t="str">
        <f>TEXT(A1481+1,"000")</f>
        <v>213</v>
      </c>
      <c r="B1488" s="238" t="str">
        <f>"W-"&amp;A1488</f>
        <v>W-213</v>
      </c>
      <c r="C1488" s="239"/>
      <c r="D1488" s="692" t="str">
        <f>+INDEX(WEAP!$A:$AN,MATCH(B1489,WEAP!$A:$A,0),MATCH("Name",WEAP!$A$1:$BF$1,0))</f>
        <v>Hrotti</v>
      </c>
      <c r="E1488" s="693"/>
      <c r="F1488" s="693"/>
      <c r="G1488" s="694"/>
      <c r="I1488" s="241" t="str">
        <f>+INDEX(WEAP!$A:$AN,MATCH(B1489,WEAP!$A:$A,0),MATCH("Weapon Skill",WEAP!$A$1:$BF$1,0))</f>
        <v>Megingjörð</v>
      </c>
      <c r="J1488" s="243">
        <f>INDEX('W-S'!$A:$N,MATCH(I1488,'W-S'!$C:$C,0),MATCH("SP Cost",'W-S'!$1:$1,0))</f>
        <v>3000</v>
      </c>
      <c r="K1488" s="9"/>
      <c r="L1488" s="241" t="str">
        <f>+I1488</f>
        <v>Megingjörð</v>
      </c>
      <c r="M1488" s="243">
        <f>INDEX('W-S'!$A:$N,MATCH(L1488,'W-S'!$C:$C,0),MATCH("SP Cost V3",'W-S'!$1:$1,0))</f>
        <v>3000</v>
      </c>
    </row>
    <row r="1489" spans="1:13" ht="22.5" customHeight="1" x14ac:dyDescent="0.35">
      <c r="B1489" s="238" t="str">
        <f>+INDEX(WEAP!$A:$AN,MATCH(B1488,WEAP!$B:$B,0),MATCH("ID",WEAP!$A$1:$BF$1,0))</f>
        <v>303128_01</v>
      </c>
      <c r="C1489" s="240"/>
      <c r="D1489" s="692" t="str">
        <f>+INDEX(WEAP!$A:$AN,MATCH(B1488,WEAP!$B:$B,0),MATCH("Family",WEAP!$A$1:$BF$1,0))&amp;" Weapon"</f>
        <v>Agito Weapon</v>
      </c>
      <c r="E1489" s="693"/>
      <c r="F1489" s="693"/>
      <c r="G1489" s="694"/>
      <c r="H1489" s="8"/>
      <c r="I1489" s="681" t="str">
        <f>INDEX('W-S'!$A:$O,MATCH(I1488,'W-S'!$C:$C,0),MATCH("Description",'W-S'!$1:$1,0))</f>
        <v>Increases the user's strength by 40% until the next time this skill is used. The second time this skill is used, it will instead become Iðunn's Apple. Iðunn's Apple gradually recovers the user's HP with 5% Recovery Potency every 2.9 seconds until the skill is next used. The skill will then alternate between these two effects with every use.</v>
      </c>
      <c r="J1489" s="682"/>
      <c r="K1489" s="239"/>
      <c r="L1489" s="681" t="str">
        <f>INDEX('W-S'!$A:$O,MATCH(I1488,'W-S'!$C:$C,0),MATCH("Description V3",'W-S'!$1:$1,0))</f>
        <v>Increases the user's strength by 40% until the next time this skill is used. The second time this skill is used, it will instead become Iðunn's Apple. Iðunn's Apple increases the user's defense by 50% and gradually recovers the user's HP with 5% Recovery Potency every 2.9 seconds until the skill is next used. The skill will then alternate between these two effects with every use.</v>
      </c>
      <c r="M1489" s="682"/>
    </row>
    <row r="1490" spans="1:13" ht="22.5" x14ac:dyDescent="0.2">
      <c r="B1490" s="701" t="e" vm="233">
        <f>+_xlfn.IMAGE("https://natalie.tf/wp-content/uploads/2023/10/DLV3_Icon_Weapon_"&amp;B1489&amp;".png")</f>
        <v>#VALUE!</v>
      </c>
      <c r="C1490" s="240"/>
      <c r="D1490" s="692" t="str">
        <f>INDEX(WEAP!$A:$AN,MATCH(B1489,WEAP!$A:$A,0),MATCH("Element",WEAP!$A$1:$BF$1,0))&amp;" "&amp;INDEX(WEAP!$A:$AN,MATCH(B1489,WEAP!$A:$A,0),MATCH("Type",WEAP!$A$1:$BF$1,0))</f>
        <v>Flame Dagger</v>
      </c>
      <c r="E1490" s="693"/>
      <c r="F1490" s="693"/>
      <c r="G1490" s="694"/>
      <c r="H1490" s="8"/>
      <c r="I1490" s="683"/>
      <c r="J1490" s="684"/>
      <c r="K1490" s="9"/>
      <c r="L1490" s="683"/>
      <c r="M1490" s="684"/>
    </row>
    <row r="1491" spans="1:13" ht="22.5" x14ac:dyDescent="0.35">
      <c r="B1491" s="702"/>
      <c r="C1491" s="239"/>
      <c r="D1491" s="703" t="s">
        <v>10760</v>
      </c>
      <c r="E1491" s="704"/>
      <c r="F1491" s="235" t="s">
        <v>10761</v>
      </c>
      <c r="G1491" s="235" t="s">
        <v>10762</v>
      </c>
      <c r="I1491" s="683"/>
      <c r="J1491" s="684"/>
      <c r="K1491" s="239"/>
      <c r="L1491" s="683"/>
      <c r="M1491" s="684"/>
    </row>
    <row r="1492" spans="1:13" ht="22.5" x14ac:dyDescent="0.35">
      <c r="B1492" s="702"/>
      <c r="C1492" s="239"/>
      <c r="D1492" s="705" t="s">
        <v>96</v>
      </c>
      <c r="E1492" s="706"/>
      <c r="F1492" s="236">
        <f>INDEX(WEAP!$A:$AN,MATCH(B1489,WEAP!$A:$A,0),MATCH("HP",WEAP!$A$1:$BF$1,0))</f>
        <v>273</v>
      </c>
      <c r="G1492" s="237">
        <f>INDEX(WEAP!$A:$AN,MATCH(B1489,WEAP!$A:$A,0),MATCH("HP V3",WEAP!$A$1:$BF$1,0))</f>
        <v>275</v>
      </c>
      <c r="I1492" s="683"/>
      <c r="J1492" s="684"/>
      <c r="K1492" s="239"/>
      <c r="L1492" s="683"/>
      <c r="M1492" s="684"/>
    </row>
    <row r="1493" spans="1:13" ht="22.5" x14ac:dyDescent="0.35">
      <c r="B1493" s="702"/>
      <c r="C1493" s="239"/>
      <c r="D1493" s="707" t="s">
        <v>97</v>
      </c>
      <c r="E1493" s="708"/>
      <c r="F1493" s="236">
        <f>INDEX(WEAP!$A:$AN,MATCH(B1489,WEAP!$A:$A,0),MATCH("Str",WEAP!$A$1:$BF$1,0))</f>
        <v>1686</v>
      </c>
      <c r="G1493" s="237">
        <f>INDEX(WEAP!$A:$AN,MATCH(B1489,WEAP!$A:$A,0),MATCH("Str V3",WEAP!$A$1:$BF$1,0))</f>
        <v>1690</v>
      </c>
      <c r="I1493" s="685"/>
      <c r="J1493" s="686"/>
      <c r="K1493" s="239"/>
      <c r="L1493" s="685"/>
      <c r="M1493" s="686"/>
    </row>
    <row r="1494" spans="1:13" s="245" customFormat="1" ht="7.5" customHeight="1" x14ac:dyDescent="0.2">
      <c r="A1494" s="245" t="s">
        <v>10763</v>
      </c>
    </row>
    <row r="1495" spans="1:13" ht="22.5" x14ac:dyDescent="0.35">
      <c r="A1495" s="244" t="str">
        <f>TEXT(A1488+1,"000")</f>
        <v>214</v>
      </c>
      <c r="B1495" s="238" t="str">
        <f>"W-"&amp;A1495</f>
        <v>W-214</v>
      </c>
      <c r="C1495" s="239"/>
      <c r="D1495" s="692" t="str">
        <f>+INDEX(WEAP!$A:$AN,MATCH(B1496,WEAP!$A:$A,0),MATCH("Name",WEAP!$A$1:$BF$1,0))</f>
        <v>Mjölnir</v>
      </c>
      <c r="E1495" s="693"/>
      <c r="F1495" s="693"/>
      <c r="G1495" s="694"/>
      <c r="I1495" s="241" t="str">
        <f>+INDEX(WEAP!$A:$AN,MATCH(B1496,WEAP!$A:$A,0),MATCH("Weapon Skill",WEAP!$A$1:$BF$1,0))</f>
        <v>Megingjörð</v>
      </c>
      <c r="J1495" s="243">
        <f>INDEX('W-S'!$A:$N,MATCH(I1495,'W-S'!$C:$C,0),MATCH("SP Cost",'W-S'!$1:$1,0))</f>
        <v>3000</v>
      </c>
      <c r="K1495" s="9"/>
      <c r="L1495" s="241" t="str">
        <f>+I1495</f>
        <v>Megingjörð</v>
      </c>
      <c r="M1495" s="243">
        <f>INDEX('W-S'!$A:$N,MATCH(L1495,'W-S'!$C:$C,0),MATCH("SP Cost V3",'W-S'!$1:$1,0))</f>
        <v>3000</v>
      </c>
    </row>
    <row r="1496" spans="1:13" ht="22.5" customHeight="1" x14ac:dyDescent="0.35">
      <c r="B1496" s="238" t="str">
        <f>+INDEX(WEAP!$A:$AN,MATCH(B1495,WEAP!$B:$B,0),MATCH("ID",WEAP!$A$1:$BF$1,0))</f>
        <v>304127_01</v>
      </c>
      <c r="C1496" s="240"/>
      <c r="D1496" s="692" t="str">
        <f>+INDEX(WEAP!$A:$AN,MATCH(B1495,WEAP!$B:$B,0),MATCH("Family",WEAP!$A$1:$BF$1,0))&amp;" Weapon"</f>
        <v>Agito Weapon</v>
      </c>
      <c r="E1496" s="693"/>
      <c r="F1496" s="693"/>
      <c r="G1496" s="694"/>
      <c r="H1496" s="8"/>
      <c r="I1496" s="681" t="str">
        <f>INDEX('W-S'!$A:$O,MATCH(I1495,'W-S'!$C:$C,0),MATCH("Description",'W-S'!$1:$1,0))</f>
        <v>Increases the user's strength by 40% until the next time this skill is used. The second time this skill is used, it will instead become Iðunn's Apple. Iðunn's Apple gradually recovers the user's HP with 5% Recovery Potency every 2.9 seconds until the skill is next used. The skill will then alternate between these two effects with every use.</v>
      </c>
      <c r="J1496" s="682"/>
      <c r="K1496" s="239"/>
      <c r="L1496" s="681" t="str">
        <f>INDEX('W-S'!$A:$O,MATCH(I1495,'W-S'!$C:$C,0),MATCH("Description V3",'W-S'!$1:$1,0))</f>
        <v>Increases the user's strength by 40% until the next time this skill is used. The second time this skill is used, it will instead become Iðunn's Apple. Iðunn's Apple increases the user's defense by 50% and gradually recovers the user's HP with 5% Recovery Potency every 2.9 seconds until the skill is next used. The skill will then alternate between these two effects with every use.</v>
      </c>
      <c r="M1496" s="682"/>
    </row>
    <row r="1497" spans="1:13" ht="22.5" x14ac:dyDescent="0.2">
      <c r="B1497" s="701" t="e" vm="234">
        <f>+_xlfn.IMAGE("https://natalie.tf/wp-content/uploads/2023/10/DLV3_Icon_Weapon_"&amp;B1496&amp;".png")</f>
        <v>#VALUE!</v>
      </c>
      <c r="C1497" s="240"/>
      <c r="D1497" s="692" t="str">
        <f>INDEX(WEAP!$A:$AN,MATCH(B1496,WEAP!$A:$A,0),MATCH("Element",WEAP!$A$1:$BF$1,0))&amp;" "&amp;INDEX(WEAP!$A:$AN,MATCH(B1496,WEAP!$A:$A,0),MATCH("Type",WEAP!$A$1:$BF$1,0))</f>
        <v>Flame Axe</v>
      </c>
      <c r="E1497" s="693"/>
      <c r="F1497" s="693"/>
      <c r="G1497" s="694"/>
      <c r="H1497" s="8"/>
      <c r="I1497" s="683"/>
      <c r="J1497" s="684"/>
      <c r="K1497" s="9"/>
      <c r="L1497" s="683"/>
      <c r="M1497" s="684"/>
    </row>
    <row r="1498" spans="1:13" ht="22.5" x14ac:dyDescent="0.35">
      <c r="B1498" s="702"/>
      <c r="C1498" s="239"/>
      <c r="D1498" s="703" t="s">
        <v>10760</v>
      </c>
      <c r="E1498" s="704"/>
      <c r="F1498" s="235" t="s">
        <v>10761</v>
      </c>
      <c r="G1498" s="235" t="s">
        <v>10762</v>
      </c>
      <c r="I1498" s="683"/>
      <c r="J1498" s="684"/>
      <c r="K1498" s="239"/>
      <c r="L1498" s="683"/>
      <c r="M1498" s="684"/>
    </row>
    <row r="1499" spans="1:13" ht="22.5" x14ac:dyDescent="0.35">
      <c r="B1499" s="702"/>
      <c r="C1499" s="239"/>
      <c r="D1499" s="705" t="s">
        <v>96</v>
      </c>
      <c r="E1499" s="706"/>
      <c r="F1499" s="236">
        <f>INDEX(WEAP!$A:$AN,MATCH(B1496,WEAP!$A:$A,0),MATCH("HP",WEAP!$A$1:$BF$1,0))</f>
        <v>278</v>
      </c>
      <c r="G1499" s="237">
        <f>INDEX(WEAP!$A:$AN,MATCH(B1496,WEAP!$A:$A,0),MATCH("HP V3",WEAP!$A$1:$BF$1,0))</f>
        <v>295</v>
      </c>
      <c r="I1499" s="683"/>
      <c r="J1499" s="684"/>
      <c r="K1499" s="239"/>
      <c r="L1499" s="683"/>
      <c r="M1499" s="684"/>
    </row>
    <row r="1500" spans="1:13" ht="22.5" x14ac:dyDescent="0.35">
      <c r="B1500" s="702"/>
      <c r="C1500" s="239"/>
      <c r="D1500" s="707" t="s">
        <v>97</v>
      </c>
      <c r="E1500" s="708"/>
      <c r="F1500" s="236">
        <f>INDEX(WEAP!$A:$AN,MATCH(B1496,WEAP!$A:$A,0),MATCH("Str",WEAP!$A$1:$BF$1,0))</f>
        <v>1805</v>
      </c>
      <c r="G1500" s="237">
        <f>INDEX(WEAP!$A:$AN,MATCH(B1496,WEAP!$A:$A,0),MATCH("Str V3",WEAP!$A$1:$BF$1,0))</f>
        <v>1805</v>
      </c>
      <c r="I1500" s="685"/>
      <c r="J1500" s="686"/>
      <c r="K1500" s="239"/>
      <c r="L1500" s="685"/>
      <c r="M1500" s="686"/>
    </row>
    <row r="1501" spans="1:13" s="245" customFormat="1" ht="7.5" customHeight="1" x14ac:dyDescent="0.2">
      <c r="A1501" s="245" t="s">
        <v>10763</v>
      </c>
    </row>
    <row r="1502" spans="1:13" ht="22.5" x14ac:dyDescent="0.35">
      <c r="A1502" s="244" t="str">
        <f>TEXT(A1495+1,"000")</f>
        <v>215</v>
      </c>
      <c r="B1502" s="238" t="str">
        <f>"W-"&amp;A1502</f>
        <v>W-215</v>
      </c>
      <c r="C1502" s="239"/>
      <c r="D1502" s="692" t="str">
        <f>+INDEX(WEAP!$A:$AN,MATCH(B1503,WEAP!$A:$A,0),MATCH("Name",WEAP!$A$1:$BF$1,0))</f>
        <v>Gungnir</v>
      </c>
      <c r="E1502" s="693"/>
      <c r="F1502" s="693"/>
      <c r="G1502" s="694"/>
      <c r="I1502" s="241" t="str">
        <f>+INDEX(WEAP!$A:$AN,MATCH(B1503,WEAP!$A:$A,0),MATCH("Weapon Skill",WEAP!$A$1:$BF$1,0))</f>
        <v>Megingjörð</v>
      </c>
      <c r="J1502" s="243">
        <f>INDEX('W-S'!$A:$N,MATCH(I1502,'W-S'!$C:$C,0),MATCH("SP Cost",'W-S'!$1:$1,0))</f>
        <v>3000</v>
      </c>
      <c r="K1502" s="9"/>
      <c r="L1502" s="241" t="str">
        <f>+I1502</f>
        <v>Megingjörð</v>
      </c>
      <c r="M1502" s="243">
        <f>INDEX('W-S'!$A:$N,MATCH(L1502,'W-S'!$C:$C,0),MATCH("SP Cost V3",'W-S'!$1:$1,0))</f>
        <v>3000</v>
      </c>
    </row>
    <row r="1503" spans="1:13" ht="22.5" customHeight="1" x14ac:dyDescent="0.35">
      <c r="B1503" s="238" t="str">
        <f>+INDEX(WEAP!$A:$AN,MATCH(B1502,WEAP!$B:$B,0),MATCH("ID",WEAP!$A$1:$BF$1,0))</f>
        <v>305135_01</v>
      </c>
      <c r="C1503" s="240"/>
      <c r="D1503" s="692" t="str">
        <f>+INDEX(WEAP!$A:$AN,MATCH(B1502,WEAP!$B:$B,0),MATCH("Family",WEAP!$A$1:$BF$1,0))&amp;" Weapon"</f>
        <v>Agito Weapon</v>
      </c>
      <c r="E1503" s="693"/>
      <c r="F1503" s="693"/>
      <c r="G1503" s="694"/>
      <c r="H1503" s="8"/>
      <c r="I1503" s="681" t="str">
        <f>INDEX('W-S'!$A:$O,MATCH(I1502,'W-S'!$C:$C,0),MATCH("Description",'W-S'!$1:$1,0))</f>
        <v>Increases the user's strength by 40% until the next time this skill is used. The second time this skill is used, it will instead become Iðunn's Apple. Iðunn's Apple gradually recovers the user's HP with 5% Recovery Potency every 2.9 seconds until the skill is next used. The skill will then alternate between these two effects with every use.</v>
      </c>
      <c r="J1503" s="682"/>
      <c r="K1503" s="239"/>
      <c r="L1503" s="681" t="str">
        <f>INDEX('W-S'!$A:$O,MATCH(I1502,'W-S'!$C:$C,0),MATCH("Description V3",'W-S'!$1:$1,0))</f>
        <v>Increases the user's strength by 40% until the next time this skill is used. The second time this skill is used, it will instead become Iðunn's Apple. Iðunn's Apple increases the user's defense by 50% and gradually recovers the user's HP with 5% Recovery Potency every 2.9 seconds until the skill is next used. The skill will then alternate between these two effects with every use.</v>
      </c>
      <c r="M1503" s="682"/>
    </row>
    <row r="1504" spans="1:13" ht="22.5" x14ac:dyDescent="0.2">
      <c r="B1504" s="701" t="e" vm="235">
        <f>+_xlfn.IMAGE("https://natalie.tf/wp-content/uploads/2023/10/DLV3_Icon_Weapon_"&amp;B1503&amp;".png")</f>
        <v>#VALUE!</v>
      </c>
      <c r="C1504" s="240"/>
      <c r="D1504" s="692" t="str">
        <f>INDEX(WEAP!$A:$AN,MATCH(B1503,WEAP!$A:$A,0),MATCH("Element",WEAP!$A$1:$BF$1,0))&amp;" "&amp;INDEX(WEAP!$A:$AN,MATCH(B1503,WEAP!$A:$A,0),MATCH("Type",WEAP!$A$1:$BF$1,0))</f>
        <v>Flame Lance</v>
      </c>
      <c r="E1504" s="693"/>
      <c r="F1504" s="693"/>
      <c r="G1504" s="694"/>
      <c r="H1504" s="8"/>
      <c r="I1504" s="683"/>
      <c r="J1504" s="684"/>
      <c r="K1504" s="9"/>
      <c r="L1504" s="683"/>
      <c r="M1504" s="684"/>
    </row>
    <row r="1505" spans="1:13" ht="22.5" x14ac:dyDescent="0.35">
      <c r="B1505" s="702"/>
      <c r="C1505" s="239"/>
      <c r="D1505" s="703" t="s">
        <v>10760</v>
      </c>
      <c r="E1505" s="704"/>
      <c r="F1505" s="235" t="s">
        <v>10761</v>
      </c>
      <c r="G1505" s="235" t="s">
        <v>10762</v>
      </c>
      <c r="I1505" s="683"/>
      <c r="J1505" s="684"/>
      <c r="K1505" s="239"/>
      <c r="L1505" s="683"/>
      <c r="M1505" s="684"/>
    </row>
    <row r="1506" spans="1:13" ht="22.5" x14ac:dyDescent="0.35">
      <c r="B1506" s="702"/>
      <c r="C1506" s="239"/>
      <c r="D1506" s="705" t="s">
        <v>96</v>
      </c>
      <c r="E1506" s="706"/>
      <c r="F1506" s="236">
        <f>INDEX(WEAP!$A:$AN,MATCH(B1503,WEAP!$A:$A,0),MATCH("HP",WEAP!$A$1:$BF$1,0))</f>
        <v>276</v>
      </c>
      <c r="G1506" s="237">
        <f>INDEX(WEAP!$A:$AN,MATCH(B1503,WEAP!$A:$A,0),MATCH("HP V3",WEAP!$A$1:$BF$1,0))</f>
        <v>280</v>
      </c>
      <c r="I1506" s="683"/>
      <c r="J1506" s="684"/>
      <c r="K1506" s="239"/>
      <c r="L1506" s="683"/>
      <c r="M1506" s="684"/>
    </row>
    <row r="1507" spans="1:13" ht="22.5" x14ac:dyDescent="0.35">
      <c r="B1507" s="702"/>
      <c r="C1507" s="239"/>
      <c r="D1507" s="707" t="s">
        <v>97</v>
      </c>
      <c r="E1507" s="708"/>
      <c r="F1507" s="236">
        <f>INDEX(WEAP!$A:$AN,MATCH(B1503,WEAP!$A:$A,0),MATCH("Str",WEAP!$A$1:$BF$1,0))</f>
        <v>1754</v>
      </c>
      <c r="G1507" s="237">
        <f>INDEX(WEAP!$A:$AN,MATCH(B1503,WEAP!$A:$A,0),MATCH("Str V3",WEAP!$A$1:$BF$1,0))</f>
        <v>1755</v>
      </c>
      <c r="I1507" s="685"/>
      <c r="J1507" s="686"/>
      <c r="K1507" s="239"/>
      <c r="L1507" s="685"/>
      <c r="M1507" s="686"/>
    </row>
    <row r="1508" spans="1:13" ht="33.75" customHeight="1" x14ac:dyDescent="0.2">
      <c r="A1508" t="s">
        <v>10763</v>
      </c>
    </row>
    <row r="1509" spans="1:13" ht="22.5" x14ac:dyDescent="0.35">
      <c r="A1509" s="244" t="str">
        <f>TEXT(A1502+1,"000")</f>
        <v>216</v>
      </c>
      <c r="B1509" s="238" t="str">
        <f>"W-"&amp;A1509</f>
        <v>W-216</v>
      </c>
      <c r="C1509" s="239"/>
      <c r="D1509" s="692" t="str">
        <f>+INDEX(WEAP!$A:$AN,MATCH(B1510,WEAP!$A:$A,0),MATCH("Name",WEAP!$A$1:$BF$1,0))</f>
        <v>Ýdalir</v>
      </c>
      <c r="E1509" s="693"/>
      <c r="F1509" s="693"/>
      <c r="G1509" s="694"/>
      <c r="I1509" s="241" t="str">
        <f>+INDEX(WEAP!$A:$AN,MATCH(B1510,WEAP!$A:$A,0),MATCH("Weapon Skill",WEAP!$A$1:$BF$1,0))</f>
        <v>Megingjörð</v>
      </c>
      <c r="J1509" s="243">
        <f>INDEX('W-S'!$A:$N,MATCH(I1509,'W-S'!$C:$C,0),MATCH("SP Cost",'W-S'!$1:$1,0))</f>
        <v>3000</v>
      </c>
      <c r="K1509" s="9"/>
      <c r="L1509" s="241" t="str">
        <f>+I1509</f>
        <v>Megingjörð</v>
      </c>
      <c r="M1509" s="243">
        <f>INDEX('W-S'!$A:$N,MATCH(L1509,'W-S'!$C:$C,0),MATCH("SP Cost V3",'W-S'!$1:$1,0))</f>
        <v>3000</v>
      </c>
    </row>
    <row r="1510" spans="1:13" ht="22.5" customHeight="1" x14ac:dyDescent="0.35">
      <c r="B1510" s="238" t="str">
        <f>+INDEX(WEAP!$A:$AN,MATCH(B1509,WEAP!$B:$B,0),MATCH("ID",WEAP!$A$1:$BF$1,0))</f>
        <v>306127_01</v>
      </c>
      <c r="C1510" s="240"/>
      <c r="D1510" s="692" t="str">
        <f>+INDEX(WEAP!$A:$AN,MATCH(B1509,WEAP!$B:$B,0),MATCH("Family",WEAP!$A$1:$BF$1,0))&amp;" Weapon"</f>
        <v>Agito Weapon</v>
      </c>
      <c r="E1510" s="693"/>
      <c r="F1510" s="693"/>
      <c r="G1510" s="694"/>
      <c r="H1510" s="8"/>
      <c r="I1510" s="681" t="str">
        <f>INDEX('W-S'!$A:$O,MATCH(I1509,'W-S'!$C:$C,0),MATCH("Description",'W-S'!$1:$1,0))</f>
        <v>Increases the user's strength by 40% until the next time this skill is used. The second time this skill is used, it will instead become Iðunn's Apple. Iðunn's Apple gradually recovers the user's HP with 5% Recovery Potency every 2.9 seconds until the skill is next used. The skill will then alternate between these two effects with every use.</v>
      </c>
      <c r="J1510" s="682"/>
      <c r="K1510" s="239"/>
      <c r="L1510" s="681" t="str">
        <f>INDEX('W-S'!$A:$O,MATCH(I1509,'W-S'!$C:$C,0),MATCH("Description V3",'W-S'!$1:$1,0))</f>
        <v>Increases the user's strength by 40% until the next time this skill is used. The second time this skill is used, it will instead become Iðunn's Apple. Iðunn's Apple increases the user's defense by 50% and gradually recovers the user's HP with 5% Recovery Potency every 2.9 seconds until the skill is next used. The skill will then alternate between these two effects with every use.</v>
      </c>
      <c r="M1510" s="682"/>
    </row>
    <row r="1511" spans="1:13" ht="22.5" x14ac:dyDescent="0.2">
      <c r="B1511" s="701" t="e" vm="236">
        <f>+_xlfn.IMAGE("https://natalie.tf/wp-content/uploads/2023/10/DLV3_Icon_Weapon_"&amp;B1510&amp;".png")</f>
        <v>#VALUE!</v>
      </c>
      <c r="C1511" s="240"/>
      <c r="D1511" s="692" t="str">
        <f>INDEX(WEAP!$A:$AN,MATCH(B1510,WEAP!$A:$A,0),MATCH("Element",WEAP!$A$1:$BF$1,0))&amp;" "&amp;INDEX(WEAP!$A:$AN,MATCH(B1510,WEAP!$A:$A,0),MATCH("Type",WEAP!$A$1:$BF$1,0))</f>
        <v>Flame Bow</v>
      </c>
      <c r="E1511" s="693"/>
      <c r="F1511" s="693"/>
      <c r="G1511" s="694"/>
      <c r="H1511" s="8"/>
      <c r="I1511" s="683"/>
      <c r="J1511" s="684"/>
      <c r="K1511" s="9"/>
      <c r="L1511" s="683"/>
      <c r="M1511" s="684"/>
    </row>
    <row r="1512" spans="1:13" ht="22.5" x14ac:dyDescent="0.35">
      <c r="B1512" s="702"/>
      <c r="C1512" s="239"/>
      <c r="D1512" s="703" t="s">
        <v>10760</v>
      </c>
      <c r="E1512" s="704"/>
      <c r="F1512" s="235" t="s">
        <v>10761</v>
      </c>
      <c r="G1512" s="235" t="s">
        <v>10762</v>
      </c>
      <c r="I1512" s="683"/>
      <c r="J1512" s="684"/>
      <c r="K1512" s="239"/>
      <c r="L1512" s="683"/>
      <c r="M1512" s="684"/>
    </row>
    <row r="1513" spans="1:13" ht="22.5" x14ac:dyDescent="0.35">
      <c r="B1513" s="702"/>
      <c r="C1513" s="239"/>
      <c r="D1513" s="705" t="s">
        <v>96</v>
      </c>
      <c r="E1513" s="706"/>
      <c r="F1513" s="236">
        <f>INDEX(WEAP!$A:$AN,MATCH(B1510,WEAP!$A:$A,0),MATCH("HP",WEAP!$A$1:$BF$1,0))</f>
        <v>265</v>
      </c>
      <c r="G1513" s="237">
        <f>INDEX(WEAP!$A:$AN,MATCH(B1510,WEAP!$A:$A,0),MATCH("HP V3",WEAP!$A$1:$BF$1,0))</f>
        <v>280</v>
      </c>
      <c r="I1513" s="683"/>
      <c r="J1513" s="684"/>
      <c r="K1513" s="239"/>
      <c r="L1513" s="683"/>
      <c r="M1513" s="684"/>
    </row>
    <row r="1514" spans="1:13" ht="22.5" x14ac:dyDescent="0.35">
      <c r="B1514" s="702"/>
      <c r="C1514" s="239"/>
      <c r="D1514" s="707" t="s">
        <v>97</v>
      </c>
      <c r="E1514" s="708"/>
      <c r="F1514" s="236">
        <f>INDEX(WEAP!$A:$AN,MATCH(B1510,WEAP!$A:$A,0),MATCH("Str",WEAP!$A$1:$BF$1,0))</f>
        <v>1653</v>
      </c>
      <c r="G1514" s="237">
        <f>INDEX(WEAP!$A:$AN,MATCH(B1510,WEAP!$A:$A,0),MATCH("Str V3",WEAP!$A$1:$BF$1,0))</f>
        <v>1655</v>
      </c>
      <c r="I1514" s="685"/>
      <c r="J1514" s="686"/>
      <c r="K1514" s="239"/>
      <c r="L1514" s="685"/>
      <c r="M1514" s="686"/>
    </row>
    <row r="1515" spans="1:13" s="245" customFormat="1" ht="7.5" customHeight="1" x14ac:dyDescent="0.2">
      <c r="A1515" s="245" t="s">
        <v>10763</v>
      </c>
    </row>
    <row r="1516" spans="1:13" ht="22.5" x14ac:dyDescent="0.35">
      <c r="A1516" s="242" t="str">
        <f>TEXT(A1509+1,"000")</f>
        <v>217</v>
      </c>
      <c r="B1516" s="238" t="str">
        <f>"W-"&amp;A1516</f>
        <v>W-217</v>
      </c>
      <c r="C1516" s="239"/>
      <c r="D1516" s="692" t="str">
        <f>+INDEX(WEAP!$A:$AN,MATCH(B1517,WEAP!$A:$A,0),MATCH("Name",WEAP!$A$1:$BF$1,0))</f>
        <v>Brísingr</v>
      </c>
      <c r="E1516" s="693"/>
      <c r="F1516" s="693"/>
      <c r="G1516" s="694"/>
      <c r="I1516" s="241" t="str">
        <f>+INDEX(WEAP!$A:$AN,MATCH(B1517,WEAP!$A:$A,0),MATCH("Weapon Skill",WEAP!$A$1:$BF$1,0))</f>
        <v>Megingjörð</v>
      </c>
      <c r="J1516" s="243">
        <f>INDEX('W-S'!$A:$N,MATCH(I1516,'W-S'!$C:$C,0),MATCH("SP Cost",'W-S'!$1:$1,0))</f>
        <v>3000</v>
      </c>
      <c r="K1516" s="9"/>
      <c r="L1516" s="241" t="str">
        <f>+I1516</f>
        <v>Megingjörð</v>
      </c>
      <c r="M1516" s="243">
        <f>INDEX('W-S'!$A:$N,MATCH(L1516,'W-S'!$C:$C,0),MATCH("SP Cost V3",'W-S'!$1:$1,0))</f>
        <v>3000</v>
      </c>
    </row>
    <row r="1517" spans="1:13" ht="22.5" customHeight="1" x14ac:dyDescent="0.35">
      <c r="B1517" s="238" t="str">
        <f>+INDEX(WEAP!$A:$AN,MATCH(B1516,WEAP!$B:$B,0),MATCH("ID",WEAP!$A$1:$BF$1,0))</f>
        <v>307135_01</v>
      </c>
      <c r="C1517" s="240"/>
      <c r="D1517" s="692" t="str">
        <f>+INDEX(WEAP!$A:$AN,MATCH(B1516,WEAP!$B:$B,0),MATCH("Family",WEAP!$A$1:$BF$1,0))&amp;" Weapon"</f>
        <v>Agito Weapon</v>
      </c>
      <c r="E1517" s="693"/>
      <c r="F1517" s="693"/>
      <c r="G1517" s="694"/>
      <c r="H1517" s="8"/>
      <c r="I1517" s="681" t="str">
        <f>INDEX('W-S'!$A:$O,MATCH(I1516,'W-S'!$C:$C,0),MATCH("Description",'W-S'!$1:$1,0))</f>
        <v>Increases the user's strength by 40% until the next time this skill is used. The second time this skill is used, it will instead become Iðunn's Apple. Iðunn's Apple gradually recovers the user's HP with 5% Recovery Potency every 2.9 seconds until the skill is next used. The skill will then alternate between these two effects with every use.</v>
      </c>
      <c r="J1517" s="682"/>
      <c r="K1517" s="239"/>
      <c r="L1517" s="681" t="str">
        <f>INDEX('W-S'!$A:$O,MATCH(I1516,'W-S'!$C:$C,0),MATCH("Description V3",'W-S'!$1:$1,0))</f>
        <v>Increases the user's strength by 40% until the next time this skill is used. The second time this skill is used, it will instead become Iðunn's Apple. Iðunn's Apple increases the user's defense by 50% and gradually recovers the user's HP with 5% Recovery Potency every 2.9 seconds until the skill is next used. The skill will then alternate between these two effects with every use.</v>
      </c>
      <c r="M1517" s="682"/>
    </row>
    <row r="1518" spans="1:13" ht="22.5" x14ac:dyDescent="0.2">
      <c r="B1518" s="701" t="e" vm="237">
        <f>+_xlfn.IMAGE("https://natalie.tf/wp-content/uploads/2023/10/DLV3_Icon_Weapon_"&amp;B1517&amp;".png")</f>
        <v>#VALUE!</v>
      </c>
      <c r="C1518" s="240"/>
      <c r="D1518" s="692" t="str">
        <f>INDEX(WEAP!$A:$AN,MATCH(B1517,WEAP!$A:$A,0),MATCH("Element",WEAP!$A$1:$BF$1,0))&amp;" "&amp;INDEX(WEAP!$A:$AN,MATCH(B1517,WEAP!$A:$A,0),MATCH("Type",WEAP!$A$1:$BF$1,0))</f>
        <v>Flame Wand</v>
      </c>
      <c r="E1518" s="693"/>
      <c r="F1518" s="693"/>
      <c r="G1518" s="694"/>
      <c r="H1518" s="8"/>
      <c r="I1518" s="683"/>
      <c r="J1518" s="684"/>
      <c r="K1518" s="9"/>
      <c r="L1518" s="683"/>
      <c r="M1518" s="684"/>
    </row>
    <row r="1519" spans="1:13" ht="22.5" x14ac:dyDescent="0.35">
      <c r="B1519" s="702"/>
      <c r="C1519" s="239"/>
      <c r="D1519" s="703" t="s">
        <v>10760</v>
      </c>
      <c r="E1519" s="704"/>
      <c r="F1519" s="235" t="s">
        <v>10761</v>
      </c>
      <c r="G1519" s="235" t="s">
        <v>10762</v>
      </c>
      <c r="I1519" s="683"/>
      <c r="J1519" s="684"/>
      <c r="K1519" s="239"/>
      <c r="L1519" s="683"/>
      <c r="M1519" s="684"/>
    </row>
    <row r="1520" spans="1:13" ht="22.5" x14ac:dyDescent="0.35">
      <c r="B1520" s="702"/>
      <c r="C1520" s="239"/>
      <c r="D1520" s="705" t="s">
        <v>96</v>
      </c>
      <c r="E1520" s="706"/>
      <c r="F1520" s="236">
        <f>INDEX(WEAP!$A:$AN,MATCH(B1517,WEAP!$A:$A,0),MATCH("HP",WEAP!$A$1:$BF$1,0))</f>
        <v>255</v>
      </c>
      <c r="G1520" s="237">
        <f>INDEX(WEAP!$A:$AN,MATCH(B1517,WEAP!$A:$A,0),MATCH("HP V3",WEAP!$A$1:$BF$1,0))</f>
        <v>275</v>
      </c>
      <c r="I1520" s="683"/>
      <c r="J1520" s="684"/>
      <c r="K1520" s="239"/>
      <c r="L1520" s="683"/>
      <c r="M1520" s="684"/>
    </row>
    <row r="1521" spans="1:13" ht="22.5" x14ac:dyDescent="0.35">
      <c r="B1521" s="702"/>
      <c r="C1521" s="239"/>
      <c r="D1521" s="707" t="s">
        <v>97</v>
      </c>
      <c r="E1521" s="708"/>
      <c r="F1521" s="236">
        <f>INDEX(WEAP!$A:$AN,MATCH(B1517,WEAP!$A:$A,0),MATCH("Str",WEAP!$A$1:$BF$1,0))</f>
        <v>1771</v>
      </c>
      <c r="G1521" s="237">
        <f>INDEX(WEAP!$A:$AN,MATCH(B1517,WEAP!$A:$A,0),MATCH("Str V3",WEAP!$A$1:$BF$1,0))</f>
        <v>1775</v>
      </c>
      <c r="I1521" s="685"/>
      <c r="J1521" s="686"/>
      <c r="K1521" s="239"/>
      <c r="L1521" s="685"/>
      <c r="M1521" s="686"/>
    </row>
    <row r="1522" spans="1:13" s="245" customFormat="1" ht="7.5" customHeight="1" x14ac:dyDescent="0.2">
      <c r="A1522" s="245" t="s">
        <v>10763</v>
      </c>
    </row>
    <row r="1523" spans="1:13" ht="22.5" x14ac:dyDescent="0.35">
      <c r="A1523" s="244" t="str">
        <f>TEXT(A1516+1,"000")</f>
        <v>218</v>
      </c>
      <c r="B1523" s="238" t="str">
        <f>"W-"&amp;A1523</f>
        <v>W-218</v>
      </c>
      <c r="C1523" s="239"/>
      <c r="D1523" s="692" t="str">
        <f>+INDEX(WEAP!$A:$AN,MATCH(B1524,WEAP!$A:$A,0),MATCH("Name",WEAP!$A$1:$BF$1,0))</f>
        <v>Gjallarhorn</v>
      </c>
      <c r="E1523" s="693"/>
      <c r="F1523" s="693"/>
      <c r="G1523" s="694"/>
      <c r="I1523" s="241" t="str">
        <f>+INDEX(WEAP!$A:$AN,MATCH(B1524,WEAP!$A:$A,0),MATCH("Weapon Skill",WEAP!$A$1:$BF$1,0))</f>
        <v>Megingjörð</v>
      </c>
      <c r="J1523" s="243">
        <f>INDEX('W-S'!$A:$N,MATCH(I1523,'W-S'!$C:$C,0),MATCH("SP Cost",'W-S'!$1:$1,0))</f>
        <v>3000</v>
      </c>
      <c r="K1523" s="9"/>
      <c r="L1523" s="241" t="str">
        <f>+I1523</f>
        <v>Megingjörð</v>
      </c>
      <c r="M1523" s="243">
        <f>INDEX('W-S'!$A:$N,MATCH(L1523,'W-S'!$C:$C,0),MATCH("SP Cost V3",'W-S'!$1:$1,0))</f>
        <v>3000</v>
      </c>
    </row>
    <row r="1524" spans="1:13" ht="22.5" customHeight="1" x14ac:dyDescent="0.35">
      <c r="B1524" s="238" t="str">
        <f>+INDEX(WEAP!$A:$AN,MATCH(B1523,WEAP!$B:$B,0),MATCH("ID",WEAP!$A$1:$BF$1,0))</f>
        <v>308128_01</v>
      </c>
      <c r="C1524" s="240"/>
      <c r="D1524" s="692" t="str">
        <f>+INDEX(WEAP!$A:$AN,MATCH(B1523,WEAP!$B:$B,0),MATCH("Family",WEAP!$A$1:$BF$1,0))&amp;" Weapon"</f>
        <v>Agito Weapon</v>
      </c>
      <c r="E1524" s="693"/>
      <c r="F1524" s="693"/>
      <c r="G1524" s="694"/>
      <c r="H1524" s="8"/>
      <c r="I1524" s="681" t="str">
        <f>INDEX('W-S'!$A:$O,MATCH(I1523,'W-S'!$C:$C,0),MATCH("Description",'W-S'!$1:$1,0))</f>
        <v>Increases the user's strength by 40% until the next time this skill is used. The second time this skill is used, it will instead become Iðunn's Apple. Iðunn's Apple gradually recovers the user's HP with 5% Recovery Potency every 2.9 seconds until the skill is next used. The skill will then alternate between these two effects with every use.</v>
      </c>
      <c r="J1524" s="682"/>
      <c r="K1524" s="239"/>
      <c r="L1524" s="681" t="str">
        <f>INDEX('W-S'!$A:$O,MATCH(I1523,'W-S'!$C:$C,0),MATCH("Description V3",'W-S'!$1:$1,0))</f>
        <v>Increases the user's strength by 40% until the next time this skill is used. The second time this skill is used, it will instead become Iðunn's Apple. Iðunn's Apple increases the user's defense by 50% and gradually recovers the user's HP with 5% Recovery Potency every 2.9 seconds until the skill is next used. The skill will then alternate between these two effects with every use.</v>
      </c>
      <c r="M1524" s="682"/>
    </row>
    <row r="1525" spans="1:13" ht="22.5" x14ac:dyDescent="0.2">
      <c r="B1525" s="701" t="e" vm="238">
        <f>+_xlfn.IMAGE("https://natalie.tf/wp-content/uploads/2023/10/DLV3_Icon_Weapon_"&amp;B1524&amp;".png")</f>
        <v>#VALUE!</v>
      </c>
      <c r="C1525" s="240"/>
      <c r="D1525" s="692" t="str">
        <f>INDEX(WEAP!$A:$AN,MATCH(B1524,WEAP!$A:$A,0),MATCH("Element",WEAP!$A$1:$BF$1,0))&amp;" "&amp;INDEX(WEAP!$A:$AN,MATCH(B1524,WEAP!$A:$A,0),MATCH("Type",WEAP!$A$1:$BF$1,0))</f>
        <v>Flame Staff</v>
      </c>
      <c r="E1525" s="693"/>
      <c r="F1525" s="693"/>
      <c r="G1525" s="694"/>
      <c r="H1525" s="8"/>
      <c r="I1525" s="683"/>
      <c r="J1525" s="684"/>
      <c r="K1525" s="9"/>
      <c r="L1525" s="683"/>
      <c r="M1525" s="684"/>
    </row>
    <row r="1526" spans="1:13" ht="22.5" x14ac:dyDescent="0.35">
      <c r="B1526" s="702"/>
      <c r="C1526" s="239"/>
      <c r="D1526" s="703" t="s">
        <v>10760</v>
      </c>
      <c r="E1526" s="704"/>
      <c r="F1526" s="235" t="s">
        <v>10761</v>
      </c>
      <c r="G1526" s="235" t="s">
        <v>10762</v>
      </c>
      <c r="I1526" s="683"/>
      <c r="J1526" s="684"/>
      <c r="K1526" s="239"/>
      <c r="L1526" s="683"/>
      <c r="M1526" s="684"/>
    </row>
    <row r="1527" spans="1:13" ht="22.5" x14ac:dyDescent="0.35">
      <c r="B1527" s="702"/>
      <c r="C1527" s="239"/>
      <c r="D1527" s="705" t="s">
        <v>96</v>
      </c>
      <c r="E1527" s="706"/>
      <c r="F1527" s="236">
        <f>INDEX(WEAP!$A:$AN,MATCH(B1524,WEAP!$A:$A,0),MATCH("HP",WEAP!$A$1:$BF$1,0))</f>
        <v>297</v>
      </c>
      <c r="G1527" s="237">
        <f>INDEX(WEAP!$A:$AN,MATCH(B1524,WEAP!$A:$A,0),MATCH("HP V3",WEAP!$A$1:$BF$1,0))</f>
        <v>325</v>
      </c>
      <c r="I1527" s="683"/>
      <c r="J1527" s="684"/>
      <c r="K1527" s="239"/>
      <c r="L1527" s="683"/>
      <c r="M1527" s="684"/>
    </row>
    <row r="1528" spans="1:13" ht="22.5" x14ac:dyDescent="0.35">
      <c r="B1528" s="702"/>
      <c r="C1528" s="239"/>
      <c r="D1528" s="707" t="s">
        <v>97</v>
      </c>
      <c r="E1528" s="708"/>
      <c r="F1528" s="236">
        <f>INDEX(WEAP!$A:$AN,MATCH(B1524,WEAP!$A:$A,0),MATCH("Str",WEAP!$A$1:$BF$1,0))</f>
        <v>1636</v>
      </c>
      <c r="G1528" s="237">
        <f>INDEX(WEAP!$A:$AN,MATCH(B1524,WEAP!$A:$A,0),MATCH("Str V3",WEAP!$A$1:$BF$1,0))</f>
        <v>1640</v>
      </c>
      <c r="I1528" s="685"/>
      <c r="J1528" s="686"/>
      <c r="K1528" s="239"/>
      <c r="L1528" s="685"/>
      <c r="M1528" s="686"/>
    </row>
    <row r="1529" spans="1:13" s="245" customFormat="1" ht="7.5" customHeight="1" x14ac:dyDescent="0.2">
      <c r="A1529" s="245" t="s">
        <v>10763</v>
      </c>
    </row>
    <row r="1530" spans="1:13" ht="22.5" x14ac:dyDescent="0.35">
      <c r="A1530" s="244" t="str">
        <f>TEXT(A1523+1,"000")</f>
        <v>219</v>
      </c>
      <c r="B1530" s="238" t="str">
        <f>"W-"&amp;A1530</f>
        <v>W-219</v>
      </c>
      <c r="C1530" s="239"/>
      <c r="D1530" s="692" t="str">
        <f>+INDEX(WEAP!$A:$AN,MATCH(B1531,WEAP!$A:$A,0),MATCH("Name",WEAP!$A$1:$BF$1,0))</f>
        <v>Draupnir</v>
      </c>
      <c r="E1530" s="693"/>
      <c r="F1530" s="693"/>
      <c r="G1530" s="694"/>
      <c r="I1530" s="241" t="str">
        <f>+INDEX(WEAP!$A:$AN,MATCH(B1531,WEAP!$A:$A,0),MATCH("Weapon Skill",WEAP!$A$1:$BF$1,0))</f>
        <v>Megingjörð</v>
      </c>
      <c r="J1530" s="243">
        <f>INDEX('W-S'!$A:$N,MATCH(I1530,'W-S'!$C:$C,0),MATCH("SP Cost",'W-S'!$1:$1,0))</f>
        <v>3000</v>
      </c>
      <c r="K1530" s="9"/>
      <c r="L1530" s="241" t="str">
        <f>+I1530</f>
        <v>Megingjörð</v>
      </c>
      <c r="M1530" s="243">
        <f>INDEX('W-S'!$A:$N,MATCH(L1530,'W-S'!$C:$C,0),MATCH("SP Cost V3",'W-S'!$1:$1,0))</f>
        <v>3000</v>
      </c>
    </row>
    <row r="1531" spans="1:13" ht="22.5" customHeight="1" x14ac:dyDescent="0.35">
      <c r="B1531" s="238" t="str">
        <f>+INDEX(WEAP!$A:$AN,MATCH(B1530,WEAP!$B:$B,0),MATCH("ID",WEAP!$A$1:$BF$1,0))</f>
        <v>309026_01</v>
      </c>
      <c r="C1531" s="240"/>
      <c r="D1531" s="692" t="str">
        <f>+INDEX(WEAP!$A:$AN,MATCH(B1530,WEAP!$B:$B,0),MATCH("Family",WEAP!$A$1:$BF$1,0))&amp;" Weapon"</f>
        <v>Agito Weapon</v>
      </c>
      <c r="E1531" s="693"/>
      <c r="F1531" s="693"/>
      <c r="G1531" s="694"/>
      <c r="H1531" s="8"/>
      <c r="I1531" s="681" t="str">
        <f>INDEX('W-S'!$A:$O,MATCH(I1530,'W-S'!$C:$C,0),MATCH("Description",'W-S'!$1:$1,0))</f>
        <v>Increases the user's strength by 40% until the next time this skill is used. The second time this skill is used, it will instead become Iðunn's Apple. Iðunn's Apple gradually recovers the user's HP with 5% Recovery Potency every 2.9 seconds until the skill is next used. The skill will then alternate between these two effects with every use.</v>
      </c>
      <c r="J1531" s="682"/>
      <c r="K1531" s="239"/>
      <c r="L1531" s="681" t="str">
        <f>INDEX('W-S'!$A:$O,MATCH(I1530,'W-S'!$C:$C,0),MATCH("Description V3",'W-S'!$1:$1,0))</f>
        <v>Increases the user's strength by 40% until the next time this skill is used. The second time this skill is used, it will instead become Iðunn's Apple. Iðunn's Apple increases the user's defense by 50% and gradually recovers the user's HP with 5% Recovery Potency every 2.9 seconds until the skill is next used. The skill will then alternate between these two effects with every use.</v>
      </c>
      <c r="M1531" s="682"/>
    </row>
    <row r="1532" spans="1:13" ht="22.5" x14ac:dyDescent="0.2">
      <c r="B1532" s="701" t="e" vm="239">
        <f>+_xlfn.IMAGE("https://natalie.tf/wp-content/uploads/2023/10/DLV3_Icon_Weapon_"&amp;B1531&amp;".png")</f>
        <v>#VALUE!</v>
      </c>
      <c r="C1532" s="240"/>
      <c r="D1532" s="692" t="str">
        <f>INDEX(WEAP!$A:$AN,MATCH(B1531,WEAP!$A:$A,0),MATCH("Element",WEAP!$A$1:$BF$1,0))&amp;" "&amp;INDEX(WEAP!$A:$AN,MATCH(B1531,WEAP!$A:$A,0),MATCH("Type",WEAP!$A$1:$BF$1,0))</f>
        <v>Flame Manacaster</v>
      </c>
      <c r="E1532" s="693"/>
      <c r="F1532" s="693"/>
      <c r="G1532" s="694"/>
      <c r="H1532" s="8"/>
      <c r="I1532" s="683"/>
      <c r="J1532" s="684"/>
      <c r="K1532" s="9"/>
      <c r="L1532" s="683"/>
      <c r="M1532" s="684"/>
    </row>
    <row r="1533" spans="1:13" ht="22.5" x14ac:dyDescent="0.35">
      <c r="B1533" s="702"/>
      <c r="C1533" s="239"/>
      <c r="D1533" s="703" t="s">
        <v>10760</v>
      </c>
      <c r="E1533" s="704"/>
      <c r="F1533" s="235" t="s">
        <v>10761</v>
      </c>
      <c r="G1533" s="235" t="s">
        <v>10762</v>
      </c>
      <c r="I1533" s="683"/>
      <c r="J1533" s="684"/>
      <c r="K1533" s="239"/>
      <c r="L1533" s="683"/>
      <c r="M1533" s="684"/>
    </row>
    <row r="1534" spans="1:13" ht="22.5" x14ac:dyDescent="0.35">
      <c r="B1534" s="702"/>
      <c r="C1534" s="239"/>
      <c r="D1534" s="705" t="s">
        <v>96</v>
      </c>
      <c r="E1534" s="706"/>
      <c r="F1534" s="236">
        <f>INDEX(WEAP!$A:$AN,MATCH(B1531,WEAP!$A:$A,0),MATCH("HP",WEAP!$A$1:$BF$1,0))</f>
        <v>262</v>
      </c>
      <c r="G1534" s="237">
        <f>INDEX(WEAP!$A:$AN,MATCH(B1531,WEAP!$A:$A,0),MATCH("HP V3",WEAP!$A$1:$BF$1,0))</f>
        <v>270</v>
      </c>
      <c r="I1534" s="683"/>
      <c r="J1534" s="684"/>
      <c r="K1534" s="239"/>
      <c r="L1534" s="683"/>
      <c r="M1534" s="684"/>
    </row>
    <row r="1535" spans="1:13" ht="22.5" x14ac:dyDescent="0.35">
      <c r="B1535" s="702"/>
      <c r="C1535" s="239"/>
      <c r="D1535" s="707" t="s">
        <v>97</v>
      </c>
      <c r="E1535" s="708"/>
      <c r="F1535" s="236">
        <f>INDEX(WEAP!$A:$AN,MATCH(B1531,WEAP!$A:$A,0),MATCH("Str",WEAP!$A$1:$BF$1,0))</f>
        <v>1737</v>
      </c>
      <c r="G1535" s="237">
        <f>INDEX(WEAP!$A:$AN,MATCH(B1531,WEAP!$A:$A,0),MATCH("Str V3",WEAP!$A$1:$BF$1,0))</f>
        <v>1740</v>
      </c>
      <c r="I1535" s="685"/>
      <c r="J1535" s="686"/>
      <c r="K1535" s="239"/>
      <c r="L1535" s="685"/>
      <c r="M1535" s="686"/>
    </row>
    <row r="1536" spans="1:13" s="245" customFormat="1" ht="7.5" customHeight="1" x14ac:dyDescent="0.2">
      <c r="A1536" s="245" t="s">
        <v>10763</v>
      </c>
    </row>
    <row r="1537" spans="1:13" ht="22.5" x14ac:dyDescent="0.35">
      <c r="A1537" s="244" t="str">
        <f>TEXT(A1530+1,"000")</f>
        <v>220</v>
      </c>
      <c r="B1537" s="238" t="str">
        <f>"W-"&amp;A1537</f>
        <v>W-220</v>
      </c>
      <c r="C1537" s="239"/>
      <c r="D1537" s="692" t="str">
        <f>+INDEX(WEAP!$A:$AN,MATCH(B1538,WEAP!$A:$A,0),MATCH("Name",WEAP!$A$1:$BF$1,0))</f>
        <v>Ame no Murakumo</v>
      </c>
      <c r="E1537" s="693"/>
      <c r="F1537" s="693"/>
      <c r="G1537" s="694"/>
      <c r="I1537" s="241" t="str">
        <f>+INDEX(WEAP!$A:$AN,MATCH(B1538,WEAP!$A:$A,0),MATCH("Weapon Skill",WEAP!$A$1:$BF$1,0))</f>
        <v>Aramitama</v>
      </c>
      <c r="J1537" s="243">
        <f>INDEX('W-S'!$A:$N,MATCH(I1537,'W-S'!$C:$C,0),MATCH("SP Cost",'W-S'!$1:$1,0))</f>
        <v>3000</v>
      </c>
      <c r="K1537" s="9"/>
      <c r="L1537" s="241" t="str">
        <f>+I1537</f>
        <v>Aramitama</v>
      </c>
      <c r="M1537" s="243">
        <f>INDEX('W-S'!$A:$N,MATCH(L1537,'W-S'!$C:$C,0),MATCH("SP Cost V3",'W-S'!$1:$1,0))</f>
        <v>3000</v>
      </c>
    </row>
    <row r="1538" spans="1:13" ht="22.5" customHeight="1" x14ac:dyDescent="0.35">
      <c r="B1538" s="238" t="str">
        <f>+INDEX(WEAP!$A:$AN,MATCH(B1537,WEAP!$B:$B,0),MATCH("ID",WEAP!$A$1:$BF$1,0))</f>
        <v>301139_01</v>
      </c>
      <c r="C1538" s="240"/>
      <c r="D1538" s="692" t="str">
        <f>+INDEX(WEAP!$A:$AN,MATCH(B1537,WEAP!$B:$B,0),MATCH("Family",WEAP!$A$1:$BF$1,0))&amp;" Weapon"</f>
        <v>Agito Weapon</v>
      </c>
      <c r="E1538" s="693"/>
      <c r="F1538" s="693"/>
      <c r="G1538" s="694"/>
      <c r="H1538" s="8"/>
      <c r="I1538" s="681" t="str">
        <f>INDEX('W-S'!$A:$O,MATCH(I1537,'W-S'!$C:$C,0),MATCH("Description",'W-S'!$1:$1,0))</f>
        <v>Increases the user's critical rate by 12% and increases strength by 20% until the next time this skill is used. The second time this skill is used, it will instead become Nigimitama. Nigimitama increases the user's defense by 35% until the skill is next used. The skill will then alternate between these two effects with every use.</v>
      </c>
      <c r="J1538" s="682"/>
      <c r="K1538" s="239"/>
      <c r="L1538" s="681" t="str">
        <f>INDEX('W-S'!$A:$O,MATCH(I1537,'W-S'!$C:$C,0),MATCH("Description V3",'W-S'!$1:$1,0))</f>
        <v>Increases the user's critical rate by 12% and increases strength by 20% until the next time this skill is used. The second time this skill is used, it will instead become Nigimitama. Nigimitama increases the user's defense by 50% and gradually recovers the user's HP with 5% Recovery Potency every 2.9 seconds until the skill is next used. The skill will then alternate between these two effects with every use.</v>
      </c>
      <c r="M1538" s="682"/>
    </row>
    <row r="1539" spans="1:13" ht="22.5" x14ac:dyDescent="0.2">
      <c r="B1539" s="701" t="e" vm="240">
        <f>+_xlfn.IMAGE("https://natalie.tf/wp-content/uploads/2023/10/DLV3_Icon_Weapon_"&amp;B1538&amp;".png")</f>
        <v>#VALUE!</v>
      </c>
      <c r="C1539" s="240"/>
      <c r="D1539" s="692" t="str">
        <f>INDEX(WEAP!$A:$AN,MATCH(B1538,WEAP!$A:$A,0),MATCH("Element",WEAP!$A$1:$BF$1,0))&amp;" "&amp;INDEX(WEAP!$A:$AN,MATCH(B1538,WEAP!$A:$A,0),MATCH("Type",WEAP!$A$1:$BF$1,0))</f>
        <v>Water Sword</v>
      </c>
      <c r="E1539" s="693"/>
      <c r="F1539" s="693"/>
      <c r="G1539" s="694"/>
      <c r="H1539" s="8"/>
      <c r="I1539" s="683"/>
      <c r="J1539" s="684"/>
      <c r="K1539" s="9"/>
      <c r="L1539" s="683"/>
      <c r="M1539" s="684"/>
    </row>
    <row r="1540" spans="1:13" ht="22.5" x14ac:dyDescent="0.35">
      <c r="B1540" s="702"/>
      <c r="C1540" s="239"/>
      <c r="D1540" s="703" t="s">
        <v>10760</v>
      </c>
      <c r="E1540" s="704"/>
      <c r="F1540" s="235" t="s">
        <v>10761</v>
      </c>
      <c r="G1540" s="235" t="s">
        <v>10762</v>
      </c>
      <c r="I1540" s="683"/>
      <c r="J1540" s="684"/>
      <c r="K1540" s="239"/>
      <c r="L1540" s="683"/>
      <c r="M1540" s="684"/>
    </row>
    <row r="1541" spans="1:13" ht="22.5" x14ac:dyDescent="0.35">
      <c r="B1541" s="702"/>
      <c r="C1541" s="239"/>
      <c r="D1541" s="705" t="s">
        <v>96</v>
      </c>
      <c r="E1541" s="706"/>
      <c r="F1541" s="236">
        <f>INDEX(WEAP!$A:$AN,MATCH(B1538,WEAP!$A:$A,0),MATCH("HP",WEAP!$A$1:$BF$1,0))</f>
        <v>270</v>
      </c>
      <c r="G1541" s="237">
        <f>INDEX(WEAP!$A:$AN,MATCH(B1538,WEAP!$A:$A,0),MATCH("HP V3",WEAP!$A$1:$BF$1,0))</f>
        <v>270</v>
      </c>
      <c r="I1541" s="683"/>
      <c r="J1541" s="684"/>
      <c r="K1541" s="239"/>
      <c r="L1541" s="683"/>
      <c r="M1541" s="684"/>
    </row>
    <row r="1542" spans="1:13" ht="22.5" x14ac:dyDescent="0.35">
      <c r="B1542" s="702"/>
      <c r="C1542" s="239"/>
      <c r="D1542" s="707" t="s">
        <v>97</v>
      </c>
      <c r="E1542" s="708"/>
      <c r="F1542" s="236">
        <f>INDEX(WEAP!$A:$AN,MATCH(B1538,WEAP!$A:$A,0),MATCH("Str",WEAP!$A$1:$BF$1,0))</f>
        <v>1720</v>
      </c>
      <c r="G1542" s="237">
        <f>INDEX(WEAP!$A:$AN,MATCH(B1538,WEAP!$A:$A,0),MATCH("Str V3",WEAP!$A$1:$BF$1,0))</f>
        <v>1720</v>
      </c>
      <c r="I1542" s="685"/>
      <c r="J1542" s="686"/>
      <c r="K1542" s="239"/>
      <c r="L1542" s="685"/>
      <c r="M1542" s="686"/>
    </row>
    <row r="1543" spans="1:13" ht="33.75" customHeight="1" x14ac:dyDescent="0.2">
      <c r="A1543" t="s">
        <v>10763</v>
      </c>
    </row>
    <row r="1544" spans="1:13" ht="22.5" x14ac:dyDescent="0.35">
      <c r="A1544" s="244" t="str">
        <f>TEXT(A1537+1,"000")</f>
        <v>221</v>
      </c>
      <c r="B1544" s="238" t="str">
        <f>"W-"&amp;A1544</f>
        <v>W-221</v>
      </c>
      <c r="C1544" s="239"/>
      <c r="D1544" s="692" t="str">
        <f>+INDEX(WEAP!$A:$AN,MATCH(B1545,WEAP!$A:$A,0),MATCH("Name",WEAP!$A$1:$BF$1,0))</f>
        <v>Ame no Habakiri</v>
      </c>
      <c r="E1544" s="693"/>
      <c r="F1544" s="693"/>
      <c r="G1544" s="694"/>
      <c r="I1544" s="241" t="str">
        <f>+INDEX(WEAP!$A:$AN,MATCH(B1545,WEAP!$A:$A,0),MATCH("Weapon Skill",WEAP!$A$1:$BF$1,0))</f>
        <v>Aramitama</v>
      </c>
      <c r="J1544" s="243">
        <f>INDEX('W-S'!$A:$N,MATCH(I1544,'W-S'!$C:$C,0),MATCH("SP Cost",'W-S'!$1:$1,0))</f>
        <v>3000</v>
      </c>
      <c r="K1544" s="9"/>
      <c r="L1544" s="241" t="str">
        <f>+I1544</f>
        <v>Aramitama</v>
      </c>
      <c r="M1544" s="243">
        <f>INDEX('W-S'!$A:$N,MATCH(L1544,'W-S'!$C:$C,0),MATCH("SP Cost V3",'W-S'!$1:$1,0))</f>
        <v>3000</v>
      </c>
    </row>
    <row r="1545" spans="1:13" ht="22.5" x14ac:dyDescent="0.35">
      <c r="B1545" s="238" t="str">
        <f>+INDEX(WEAP!$A:$AN,MATCH(B1544,WEAP!$B:$B,0),MATCH("ID",WEAP!$A$1:$BF$1,0))</f>
        <v>302130_01</v>
      </c>
      <c r="C1545" s="240"/>
      <c r="D1545" s="692" t="str">
        <f>+INDEX(WEAP!$A:$AN,MATCH(B1544,WEAP!$B:$B,0),MATCH("Family",WEAP!$A$1:$BF$1,0))&amp;" Weapon"</f>
        <v>Agito Weapon</v>
      </c>
      <c r="E1545" s="693"/>
      <c r="F1545" s="693"/>
      <c r="G1545" s="694"/>
      <c r="H1545" s="8"/>
      <c r="I1545" s="681" t="str">
        <f>INDEX('W-S'!$A:$O,MATCH(I1544,'W-S'!$C:$C,0),MATCH("Description",'W-S'!$1:$1,0))</f>
        <v>Increases the user's critical rate by 12% and increases strength by 20% until the next time this skill is used. The second time this skill is used, it will instead become Nigimitama. Nigimitama increases the user's defense by 35% until the skill is next used. The skill will then alternate between these two effects with every use.</v>
      </c>
      <c r="J1545" s="682"/>
      <c r="K1545" s="239"/>
      <c r="L1545" s="681" t="str">
        <f>INDEX('W-S'!$A:$O,MATCH(I1544,'W-S'!$C:$C,0),MATCH("Description V3",'W-S'!$1:$1,0))</f>
        <v>Increases the user's critical rate by 12% and increases strength by 20% until the next time this skill is used. The second time this skill is used, it will instead become Nigimitama. Nigimitama increases the user's defense by 50% and gradually recovers the user's HP with 5% Recovery Potency every 2.9 seconds until the skill is next used. The skill will then alternate between these two effects with every use.</v>
      </c>
      <c r="M1545" s="682"/>
    </row>
    <row r="1546" spans="1:13" ht="22.5" x14ac:dyDescent="0.2">
      <c r="B1546" s="701" t="e" vm="241">
        <f>+_xlfn.IMAGE("https://natalie.tf/wp-content/uploads/2023/10/DLV3_Icon_Weapon_"&amp;B1545&amp;".png")</f>
        <v>#VALUE!</v>
      </c>
      <c r="C1546" s="240"/>
      <c r="D1546" s="692" t="str">
        <f>INDEX(WEAP!$A:$AN,MATCH(B1545,WEAP!$A:$A,0),MATCH("Element",WEAP!$A$1:$BF$1,0))&amp;" "&amp;INDEX(WEAP!$A:$AN,MATCH(B1545,WEAP!$A:$A,0),MATCH("Type",WEAP!$A$1:$BF$1,0))</f>
        <v>Water Blade</v>
      </c>
      <c r="E1546" s="693"/>
      <c r="F1546" s="693"/>
      <c r="G1546" s="694"/>
      <c r="H1546" s="8"/>
      <c r="I1546" s="683"/>
      <c r="J1546" s="684"/>
      <c r="K1546" s="9"/>
      <c r="L1546" s="683"/>
      <c r="M1546" s="684"/>
    </row>
    <row r="1547" spans="1:13" ht="22.5" x14ac:dyDescent="0.35">
      <c r="B1547" s="702"/>
      <c r="C1547" s="239"/>
      <c r="D1547" s="703" t="s">
        <v>10760</v>
      </c>
      <c r="E1547" s="704"/>
      <c r="F1547" s="235" t="s">
        <v>10761</v>
      </c>
      <c r="G1547" s="235" t="s">
        <v>10762</v>
      </c>
      <c r="I1547" s="683"/>
      <c r="J1547" s="684"/>
      <c r="K1547" s="239"/>
      <c r="L1547" s="683"/>
      <c r="M1547" s="684"/>
    </row>
    <row r="1548" spans="1:13" ht="22.5" x14ac:dyDescent="0.35">
      <c r="B1548" s="702"/>
      <c r="C1548" s="239"/>
      <c r="D1548" s="705" t="s">
        <v>96</v>
      </c>
      <c r="E1548" s="706"/>
      <c r="F1548" s="236">
        <f>INDEX(WEAP!$A:$AN,MATCH(B1545,WEAP!$A:$A,0),MATCH("HP",WEAP!$A$1:$BF$1,0))</f>
        <v>239</v>
      </c>
      <c r="G1548" s="237">
        <f>INDEX(WEAP!$A:$AN,MATCH(B1545,WEAP!$A:$A,0),MATCH("HP V3",WEAP!$A$1:$BF$1,0))</f>
        <v>250</v>
      </c>
      <c r="I1548" s="683"/>
      <c r="J1548" s="684"/>
      <c r="K1548" s="239"/>
      <c r="L1548" s="683"/>
      <c r="M1548" s="684"/>
    </row>
    <row r="1549" spans="1:13" ht="22.5" x14ac:dyDescent="0.35">
      <c r="B1549" s="702"/>
      <c r="C1549" s="239"/>
      <c r="D1549" s="707" t="s">
        <v>97</v>
      </c>
      <c r="E1549" s="708"/>
      <c r="F1549" s="236">
        <f>INDEX(WEAP!$A:$AN,MATCH(B1545,WEAP!$A:$A,0),MATCH("Str",WEAP!$A$1:$BF$1,0))</f>
        <v>1822</v>
      </c>
      <c r="G1549" s="237">
        <f>INDEX(WEAP!$A:$AN,MATCH(B1545,WEAP!$A:$A,0),MATCH("Str V3",WEAP!$A$1:$BF$1,0))</f>
        <v>1825</v>
      </c>
      <c r="I1549" s="685"/>
      <c r="J1549" s="686"/>
      <c r="K1549" s="239"/>
      <c r="L1549" s="685"/>
      <c r="M1549" s="686"/>
    </row>
    <row r="1550" spans="1:13" s="245" customFormat="1" ht="7.5" customHeight="1" x14ac:dyDescent="0.2">
      <c r="A1550" s="245" t="s">
        <v>10763</v>
      </c>
    </row>
    <row r="1551" spans="1:13" ht="22.5" x14ac:dyDescent="0.35">
      <c r="A1551" s="242" t="str">
        <f>TEXT(A1544+1,"000")</f>
        <v>222</v>
      </c>
      <c r="B1551" s="238" t="str">
        <f>"W-"&amp;A1551</f>
        <v>W-222</v>
      </c>
      <c r="C1551" s="239"/>
      <c r="D1551" s="692" t="str">
        <f>+INDEX(WEAP!$A:$AN,MATCH(B1552,WEAP!$A:$A,0),MATCH("Name",WEAP!$A$1:$BF$1,0))</f>
        <v>Futsu no Mitama</v>
      </c>
      <c r="E1551" s="693"/>
      <c r="F1551" s="693"/>
      <c r="G1551" s="694"/>
      <c r="I1551" s="241" t="str">
        <f>+INDEX(WEAP!$A:$AN,MATCH(B1552,WEAP!$A:$A,0),MATCH("Weapon Skill",WEAP!$A$1:$BF$1,0))</f>
        <v>Aramitama</v>
      </c>
      <c r="J1551" s="243">
        <f>INDEX('W-S'!$A:$N,MATCH(I1551,'W-S'!$C:$C,0),MATCH("SP Cost",'W-S'!$1:$1,0))</f>
        <v>3000</v>
      </c>
      <c r="K1551" s="9"/>
      <c r="L1551" s="241" t="str">
        <f>+I1551</f>
        <v>Aramitama</v>
      </c>
      <c r="M1551" s="243">
        <f>INDEX('W-S'!$A:$N,MATCH(L1551,'W-S'!$C:$C,0),MATCH("SP Cost V3",'W-S'!$1:$1,0))</f>
        <v>3000</v>
      </c>
    </row>
    <row r="1552" spans="1:13" ht="22.5" x14ac:dyDescent="0.35">
      <c r="B1552" s="238" t="str">
        <f>+INDEX(WEAP!$A:$AN,MATCH(B1551,WEAP!$B:$B,0),MATCH("ID",WEAP!$A$1:$BF$1,0))</f>
        <v>303129_01</v>
      </c>
      <c r="C1552" s="240"/>
      <c r="D1552" s="692" t="str">
        <f>+INDEX(WEAP!$A:$AN,MATCH(B1551,WEAP!$B:$B,0),MATCH("Family",WEAP!$A$1:$BF$1,0))&amp;" Weapon"</f>
        <v>Agito Weapon</v>
      </c>
      <c r="E1552" s="693"/>
      <c r="F1552" s="693"/>
      <c r="G1552" s="694"/>
      <c r="H1552" s="8"/>
      <c r="I1552" s="681" t="str">
        <f>INDEX('W-S'!$A:$O,MATCH(I1551,'W-S'!$C:$C,0),MATCH("Description",'W-S'!$1:$1,0))</f>
        <v>Increases the user's critical rate by 12% and increases strength by 20% until the next time this skill is used. The second time this skill is used, it will instead become Nigimitama. Nigimitama increases the user's defense by 35% until the skill is next used. The skill will then alternate between these two effects with every use.</v>
      </c>
      <c r="J1552" s="682"/>
      <c r="K1552" s="239"/>
      <c r="L1552" s="681" t="str">
        <f>INDEX('W-S'!$A:$O,MATCH(I1551,'W-S'!$C:$C,0),MATCH("Description V3",'W-S'!$1:$1,0))</f>
        <v>Increases the user's critical rate by 12% and increases strength by 20% until the next time this skill is used. The second time this skill is used, it will instead become Nigimitama. Nigimitama increases the user's defense by 50% and gradually recovers the user's HP with 5% Recovery Potency every 2.9 seconds until the skill is next used. The skill will then alternate between these two effects with every use.</v>
      </c>
      <c r="M1552" s="682"/>
    </row>
    <row r="1553" spans="1:13" ht="22.5" x14ac:dyDescent="0.2">
      <c r="B1553" s="701" t="e" vm="242">
        <f>+_xlfn.IMAGE("https://natalie.tf/wp-content/uploads/2023/10/DLV3_Icon_Weapon_"&amp;B1552&amp;".png")</f>
        <v>#VALUE!</v>
      </c>
      <c r="C1553" s="240"/>
      <c r="D1553" s="692" t="str">
        <f>INDEX(WEAP!$A:$AN,MATCH(B1552,WEAP!$A:$A,0),MATCH("Element",WEAP!$A$1:$BF$1,0))&amp;" "&amp;INDEX(WEAP!$A:$AN,MATCH(B1552,WEAP!$A:$A,0),MATCH("Type",WEAP!$A$1:$BF$1,0))</f>
        <v>Water Dagger</v>
      </c>
      <c r="E1553" s="693"/>
      <c r="F1553" s="693"/>
      <c r="G1553" s="694"/>
      <c r="H1553" s="8"/>
      <c r="I1553" s="683"/>
      <c r="J1553" s="684"/>
      <c r="K1553" s="9"/>
      <c r="L1553" s="683"/>
      <c r="M1553" s="684"/>
    </row>
    <row r="1554" spans="1:13" ht="22.5" x14ac:dyDescent="0.35">
      <c r="B1554" s="702"/>
      <c r="C1554" s="239"/>
      <c r="D1554" s="703" t="s">
        <v>10760</v>
      </c>
      <c r="E1554" s="704"/>
      <c r="F1554" s="235" t="s">
        <v>10761</v>
      </c>
      <c r="G1554" s="235" t="s">
        <v>10762</v>
      </c>
      <c r="I1554" s="683"/>
      <c r="J1554" s="684"/>
      <c r="K1554" s="239"/>
      <c r="L1554" s="683"/>
      <c r="M1554" s="684"/>
    </row>
    <row r="1555" spans="1:13" ht="22.5" x14ac:dyDescent="0.35">
      <c r="B1555" s="702"/>
      <c r="C1555" s="239"/>
      <c r="D1555" s="705" t="s">
        <v>96</v>
      </c>
      <c r="E1555" s="706"/>
      <c r="F1555" s="236">
        <f>INDEX(WEAP!$A:$AN,MATCH(B1552,WEAP!$A:$A,0),MATCH("HP",WEAP!$A$1:$BF$1,0))</f>
        <v>273</v>
      </c>
      <c r="G1555" s="237">
        <f>INDEX(WEAP!$A:$AN,MATCH(B1552,WEAP!$A:$A,0),MATCH("HP V3",WEAP!$A$1:$BF$1,0))</f>
        <v>275</v>
      </c>
      <c r="I1555" s="683"/>
      <c r="J1555" s="684"/>
      <c r="K1555" s="239"/>
      <c r="L1555" s="683"/>
      <c r="M1555" s="684"/>
    </row>
    <row r="1556" spans="1:13" ht="22.5" x14ac:dyDescent="0.35">
      <c r="B1556" s="702"/>
      <c r="C1556" s="239"/>
      <c r="D1556" s="707" t="s">
        <v>97</v>
      </c>
      <c r="E1556" s="708"/>
      <c r="F1556" s="236">
        <f>INDEX(WEAP!$A:$AN,MATCH(B1552,WEAP!$A:$A,0),MATCH("Str",WEAP!$A$1:$BF$1,0))</f>
        <v>1686</v>
      </c>
      <c r="G1556" s="237">
        <f>INDEX(WEAP!$A:$AN,MATCH(B1552,WEAP!$A:$A,0),MATCH("Str V3",WEAP!$A$1:$BF$1,0))</f>
        <v>1690</v>
      </c>
      <c r="I1556" s="685"/>
      <c r="J1556" s="686"/>
      <c r="K1556" s="239"/>
      <c r="L1556" s="685"/>
      <c r="M1556" s="686"/>
    </row>
    <row r="1557" spans="1:13" s="245" customFormat="1" ht="7.5" customHeight="1" x14ac:dyDescent="0.2">
      <c r="A1557" s="245" t="s">
        <v>10763</v>
      </c>
    </row>
    <row r="1558" spans="1:13" ht="22.5" x14ac:dyDescent="0.35">
      <c r="A1558" s="244" t="str">
        <f>TEXT(A1551+1,"000")</f>
        <v>223</v>
      </c>
      <c r="B1558" s="238" t="str">
        <f>"W-"&amp;A1558</f>
        <v>W-223</v>
      </c>
      <c r="C1558" s="239"/>
      <c r="D1558" s="692" t="str">
        <f>+INDEX(WEAP!$A:$AN,MATCH(B1559,WEAP!$A:$A,0),MATCH("Name",WEAP!$A$1:$BF$1,0))</f>
        <v>Ohohagari</v>
      </c>
      <c r="E1558" s="693"/>
      <c r="F1558" s="693"/>
      <c r="G1558" s="694"/>
      <c r="I1558" s="241" t="str">
        <f>+INDEX(WEAP!$A:$AN,MATCH(B1559,WEAP!$A:$A,0),MATCH("Weapon Skill",WEAP!$A$1:$BF$1,0))</f>
        <v>Aramitama</v>
      </c>
      <c r="J1558" s="243">
        <f>INDEX('W-S'!$A:$N,MATCH(I1558,'W-S'!$C:$C,0),MATCH("SP Cost",'W-S'!$1:$1,0))</f>
        <v>3000</v>
      </c>
      <c r="K1558" s="9"/>
      <c r="L1558" s="241" t="str">
        <f>+I1558</f>
        <v>Aramitama</v>
      </c>
      <c r="M1558" s="243">
        <f>INDEX('W-S'!$A:$N,MATCH(L1558,'W-S'!$C:$C,0),MATCH("SP Cost V3",'W-S'!$1:$1,0))</f>
        <v>3000</v>
      </c>
    </row>
    <row r="1559" spans="1:13" ht="22.5" customHeight="1" x14ac:dyDescent="0.35">
      <c r="B1559" s="238" t="str">
        <f>+INDEX(WEAP!$A:$AN,MATCH(B1558,WEAP!$B:$B,0),MATCH("ID",WEAP!$A$1:$BF$1,0))</f>
        <v>304128_01</v>
      </c>
      <c r="C1559" s="240"/>
      <c r="D1559" s="692" t="str">
        <f>+INDEX(WEAP!$A:$AN,MATCH(B1558,WEAP!$B:$B,0),MATCH("Family",WEAP!$A$1:$BF$1,0))&amp;" Weapon"</f>
        <v>Agito Weapon</v>
      </c>
      <c r="E1559" s="693"/>
      <c r="F1559" s="693"/>
      <c r="G1559" s="694"/>
      <c r="H1559" s="8"/>
      <c r="I1559" s="681" t="str">
        <f>INDEX('W-S'!$A:$O,MATCH(I1558,'W-S'!$C:$C,0),MATCH("Description",'W-S'!$1:$1,0))</f>
        <v>Increases the user's critical rate by 12% and increases strength by 20% until the next time this skill is used. The second time this skill is used, it will instead become Nigimitama. Nigimitama increases the user's defense by 35% until the skill is next used. The skill will then alternate between these two effects with every use.</v>
      </c>
      <c r="J1559" s="682"/>
      <c r="K1559" s="239"/>
      <c r="L1559" s="681" t="str">
        <f>INDEX('W-S'!$A:$O,MATCH(I1558,'W-S'!$C:$C,0),MATCH("Description V3",'W-S'!$1:$1,0))</f>
        <v>Increases the user's critical rate by 12% and increases strength by 20% until the next time this skill is used. The second time this skill is used, it will instead become Nigimitama. Nigimitama increases the user's defense by 50% and gradually recovers the user's HP with 5% Recovery Potency every 2.9 seconds until the skill is next used. The skill will then alternate between these two effects with every use.</v>
      </c>
      <c r="M1559" s="682"/>
    </row>
    <row r="1560" spans="1:13" ht="22.5" x14ac:dyDescent="0.2">
      <c r="B1560" s="701" t="e" vm="243">
        <f>+_xlfn.IMAGE("https://natalie.tf/wp-content/uploads/2023/10/DLV3_Icon_Weapon_"&amp;B1559&amp;".png")</f>
        <v>#VALUE!</v>
      </c>
      <c r="C1560" s="240"/>
      <c r="D1560" s="692" t="str">
        <f>INDEX(WEAP!$A:$AN,MATCH(B1559,WEAP!$A:$A,0),MATCH("Element",WEAP!$A$1:$BF$1,0))&amp;" "&amp;INDEX(WEAP!$A:$AN,MATCH(B1559,WEAP!$A:$A,0),MATCH("Type",WEAP!$A$1:$BF$1,0))</f>
        <v>Water Axe</v>
      </c>
      <c r="E1560" s="693"/>
      <c r="F1560" s="693"/>
      <c r="G1560" s="694"/>
      <c r="H1560" s="8"/>
      <c r="I1560" s="683"/>
      <c r="J1560" s="684"/>
      <c r="K1560" s="9"/>
      <c r="L1560" s="683"/>
      <c r="M1560" s="684"/>
    </row>
    <row r="1561" spans="1:13" ht="22.5" x14ac:dyDescent="0.35">
      <c r="B1561" s="702"/>
      <c r="C1561" s="239"/>
      <c r="D1561" s="703" t="s">
        <v>10760</v>
      </c>
      <c r="E1561" s="704"/>
      <c r="F1561" s="235" t="s">
        <v>10761</v>
      </c>
      <c r="G1561" s="235" t="s">
        <v>10762</v>
      </c>
      <c r="I1561" s="683"/>
      <c r="J1561" s="684"/>
      <c r="K1561" s="239"/>
      <c r="L1561" s="683"/>
      <c r="M1561" s="684"/>
    </row>
    <row r="1562" spans="1:13" ht="22.5" x14ac:dyDescent="0.35">
      <c r="B1562" s="702"/>
      <c r="C1562" s="239"/>
      <c r="D1562" s="705" t="s">
        <v>96</v>
      </c>
      <c r="E1562" s="706"/>
      <c r="F1562" s="236">
        <f>INDEX(WEAP!$A:$AN,MATCH(B1559,WEAP!$A:$A,0),MATCH("HP",WEAP!$A$1:$BF$1,0))</f>
        <v>278</v>
      </c>
      <c r="G1562" s="237">
        <f>INDEX(WEAP!$A:$AN,MATCH(B1559,WEAP!$A:$A,0),MATCH("HP V3",WEAP!$A$1:$BF$1,0))</f>
        <v>295</v>
      </c>
      <c r="I1562" s="683"/>
      <c r="J1562" s="684"/>
      <c r="K1562" s="239"/>
      <c r="L1562" s="683"/>
      <c r="M1562" s="684"/>
    </row>
    <row r="1563" spans="1:13" ht="22.5" x14ac:dyDescent="0.35">
      <c r="B1563" s="702"/>
      <c r="C1563" s="239"/>
      <c r="D1563" s="707" t="s">
        <v>97</v>
      </c>
      <c r="E1563" s="708"/>
      <c r="F1563" s="236">
        <f>INDEX(WEAP!$A:$AN,MATCH(B1559,WEAP!$A:$A,0),MATCH("Str",WEAP!$A$1:$BF$1,0))</f>
        <v>1805</v>
      </c>
      <c r="G1563" s="237">
        <f>INDEX(WEAP!$A:$AN,MATCH(B1559,WEAP!$A:$A,0),MATCH("Str V3",WEAP!$A$1:$BF$1,0))</f>
        <v>1805</v>
      </c>
      <c r="I1563" s="685"/>
      <c r="J1563" s="686"/>
      <c r="K1563" s="239"/>
      <c r="L1563" s="685"/>
      <c r="M1563" s="686"/>
    </row>
    <row r="1564" spans="1:13" s="245" customFormat="1" ht="7.5" customHeight="1" x14ac:dyDescent="0.2">
      <c r="A1564" s="245" t="s">
        <v>10763</v>
      </c>
    </row>
    <row r="1565" spans="1:13" ht="22.5" x14ac:dyDescent="0.35">
      <c r="A1565" s="244" t="str">
        <f>TEXT(A1558+1,"000")</f>
        <v>224</v>
      </c>
      <c r="B1565" s="238" t="str">
        <f>"W-"&amp;A1565</f>
        <v>W-224</v>
      </c>
      <c r="C1565" s="239"/>
      <c r="D1565" s="692" t="str">
        <f>+INDEX(WEAP!$A:$AN,MATCH(B1566,WEAP!$A:$A,0),MATCH("Name",WEAP!$A$1:$BF$1,0))</f>
        <v>Ame no Nuhoko</v>
      </c>
      <c r="E1565" s="693"/>
      <c r="F1565" s="693"/>
      <c r="G1565" s="694"/>
      <c r="I1565" s="241" t="str">
        <f>+INDEX(WEAP!$A:$AN,MATCH(B1566,WEAP!$A:$A,0),MATCH("Weapon Skill",WEAP!$A$1:$BF$1,0))</f>
        <v>Aramitama</v>
      </c>
      <c r="J1565" s="243">
        <f>INDEX('W-S'!$A:$N,MATCH(I1565,'W-S'!$C:$C,0),MATCH("SP Cost",'W-S'!$1:$1,0))</f>
        <v>3000</v>
      </c>
      <c r="K1565" s="9"/>
      <c r="L1565" s="241" t="str">
        <f>+I1565</f>
        <v>Aramitama</v>
      </c>
      <c r="M1565" s="243">
        <f>INDEX('W-S'!$A:$N,MATCH(L1565,'W-S'!$C:$C,0),MATCH("SP Cost V3",'W-S'!$1:$1,0))</f>
        <v>3000</v>
      </c>
    </row>
    <row r="1566" spans="1:13" ht="22.5" customHeight="1" x14ac:dyDescent="0.35">
      <c r="B1566" s="238" t="str">
        <f>+INDEX(WEAP!$A:$AN,MATCH(B1565,WEAP!$B:$B,0),MATCH("ID",WEAP!$A$1:$BF$1,0))</f>
        <v>305136_01</v>
      </c>
      <c r="C1566" s="240"/>
      <c r="D1566" s="692" t="str">
        <f>+INDEX(WEAP!$A:$AN,MATCH(B1565,WEAP!$B:$B,0),MATCH("Family",WEAP!$A$1:$BF$1,0))&amp;" Weapon"</f>
        <v>Agito Weapon</v>
      </c>
      <c r="E1566" s="693"/>
      <c r="F1566" s="693"/>
      <c r="G1566" s="694"/>
      <c r="H1566" s="8"/>
      <c r="I1566" s="681" t="str">
        <f>INDEX('W-S'!$A:$O,MATCH(I1565,'W-S'!$C:$C,0),MATCH("Description",'W-S'!$1:$1,0))</f>
        <v>Increases the user's critical rate by 12% and increases strength by 20% until the next time this skill is used. The second time this skill is used, it will instead become Nigimitama. Nigimitama increases the user's defense by 35% until the skill is next used. The skill will then alternate between these two effects with every use.</v>
      </c>
      <c r="J1566" s="682"/>
      <c r="K1566" s="239"/>
      <c r="L1566" s="681" t="str">
        <f>INDEX('W-S'!$A:$O,MATCH(I1565,'W-S'!$C:$C,0),MATCH("Description V3",'W-S'!$1:$1,0))</f>
        <v>Increases the user's critical rate by 12% and increases strength by 20% until the next time this skill is used. The second time this skill is used, it will instead become Nigimitama. Nigimitama increases the user's defense by 50% and gradually recovers the user's HP with 5% Recovery Potency every 2.9 seconds until the skill is next used. The skill will then alternate between these two effects with every use.</v>
      </c>
      <c r="M1566" s="682"/>
    </row>
    <row r="1567" spans="1:13" ht="22.5" x14ac:dyDescent="0.2">
      <c r="B1567" s="701" t="e" vm="244">
        <f>+_xlfn.IMAGE("https://natalie.tf/wp-content/uploads/2023/10/DLV3_Icon_Weapon_"&amp;B1566&amp;".png")</f>
        <v>#VALUE!</v>
      </c>
      <c r="C1567" s="240"/>
      <c r="D1567" s="692" t="str">
        <f>INDEX(WEAP!$A:$AN,MATCH(B1566,WEAP!$A:$A,0),MATCH("Element",WEAP!$A$1:$BF$1,0))&amp;" "&amp;INDEX(WEAP!$A:$AN,MATCH(B1566,WEAP!$A:$A,0),MATCH("Type",WEAP!$A$1:$BF$1,0))</f>
        <v>Water Lance</v>
      </c>
      <c r="E1567" s="693"/>
      <c r="F1567" s="693"/>
      <c r="G1567" s="694"/>
      <c r="H1567" s="8"/>
      <c r="I1567" s="683"/>
      <c r="J1567" s="684"/>
      <c r="K1567" s="9"/>
      <c r="L1567" s="683"/>
      <c r="M1567" s="684"/>
    </row>
    <row r="1568" spans="1:13" ht="22.5" x14ac:dyDescent="0.35">
      <c r="B1568" s="702"/>
      <c r="C1568" s="239"/>
      <c r="D1568" s="703" t="s">
        <v>10760</v>
      </c>
      <c r="E1568" s="704"/>
      <c r="F1568" s="235" t="s">
        <v>10761</v>
      </c>
      <c r="G1568" s="235" t="s">
        <v>10762</v>
      </c>
      <c r="I1568" s="683"/>
      <c r="J1568" s="684"/>
      <c r="K1568" s="239"/>
      <c r="L1568" s="683"/>
      <c r="M1568" s="684"/>
    </row>
    <row r="1569" spans="1:13" ht="22.5" x14ac:dyDescent="0.35">
      <c r="B1569" s="702"/>
      <c r="C1569" s="239"/>
      <c r="D1569" s="705" t="s">
        <v>96</v>
      </c>
      <c r="E1569" s="706"/>
      <c r="F1569" s="236">
        <f>INDEX(WEAP!$A:$AN,MATCH(B1566,WEAP!$A:$A,0),MATCH("HP",WEAP!$A$1:$BF$1,0))</f>
        <v>276</v>
      </c>
      <c r="G1569" s="237">
        <f>INDEX(WEAP!$A:$AN,MATCH(B1566,WEAP!$A:$A,0),MATCH("HP V3",WEAP!$A$1:$BF$1,0))</f>
        <v>280</v>
      </c>
      <c r="I1569" s="683"/>
      <c r="J1569" s="684"/>
      <c r="K1569" s="239"/>
      <c r="L1569" s="683"/>
      <c r="M1569" s="684"/>
    </row>
    <row r="1570" spans="1:13" ht="22.5" x14ac:dyDescent="0.35">
      <c r="B1570" s="702"/>
      <c r="C1570" s="239"/>
      <c r="D1570" s="707" t="s">
        <v>97</v>
      </c>
      <c r="E1570" s="708"/>
      <c r="F1570" s="236">
        <f>INDEX(WEAP!$A:$AN,MATCH(B1566,WEAP!$A:$A,0),MATCH("Str",WEAP!$A$1:$BF$1,0))</f>
        <v>1754</v>
      </c>
      <c r="G1570" s="237">
        <f>INDEX(WEAP!$A:$AN,MATCH(B1566,WEAP!$A:$A,0),MATCH("Str V3",WEAP!$A$1:$BF$1,0))</f>
        <v>1755</v>
      </c>
      <c r="I1570" s="685"/>
      <c r="J1570" s="686"/>
      <c r="K1570" s="239"/>
      <c r="L1570" s="685"/>
      <c r="M1570" s="686"/>
    </row>
    <row r="1571" spans="1:13" s="245" customFormat="1" ht="7.5" customHeight="1" x14ac:dyDescent="0.2">
      <c r="A1571" s="245" t="s">
        <v>10763</v>
      </c>
    </row>
    <row r="1572" spans="1:13" ht="22.5" x14ac:dyDescent="0.35">
      <c r="A1572" s="244" t="str">
        <f>TEXT(A1565+1,"000")</f>
        <v>225</v>
      </c>
      <c r="B1572" s="238" t="str">
        <f>"W-"&amp;A1572</f>
        <v>W-225</v>
      </c>
      <c r="C1572" s="239"/>
      <c r="D1572" s="692" t="str">
        <f>+INDEX(WEAP!$A:$AN,MATCH(B1573,WEAP!$A:$A,0),MATCH("Name",WEAP!$A$1:$BF$1,0))</f>
        <v>Ame no Hajiyumi</v>
      </c>
      <c r="E1572" s="693"/>
      <c r="F1572" s="693"/>
      <c r="G1572" s="694"/>
      <c r="I1572" s="241" t="str">
        <f>+INDEX(WEAP!$A:$AN,MATCH(B1573,WEAP!$A:$A,0),MATCH("Weapon Skill",WEAP!$A$1:$BF$1,0))</f>
        <v>Aramitama</v>
      </c>
      <c r="J1572" s="243">
        <f>INDEX('W-S'!$A:$N,MATCH(I1572,'W-S'!$C:$C,0),MATCH("SP Cost",'W-S'!$1:$1,0))</f>
        <v>3000</v>
      </c>
      <c r="K1572" s="9"/>
      <c r="L1572" s="241" t="str">
        <f>+I1572</f>
        <v>Aramitama</v>
      </c>
      <c r="M1572" s="243">
        <f>INDEX('W-S'!$A:$N,MATCH(L1572,'W-S'!$C:$C,0),MATCH("SP Cost V3",'W-S'!$1:$1,0))</f>
        <v>3000</v>
      </c>
    </row>
    <row r="1573" spans="1:13" ht="22.5" customHeight="1" x14ac:dyDescent="0.35">
      <c r="B1573" s="238" t="str">
        <f>+INDEX(WEAP!$A:$AN,MATCH(B1572,WEAP!$B:$B,0),MATCH("ID",WEAP!$A$1:$BF$1,0))</f>
        <v>306128_01</v>
      </c>
      <c r="C1573" s="240"/>
      <c r="D1573" s="692" t="str">
        <f>+INDEX(WEAP!$A:$AN,MATCH(B1572,WEAP!$B:$B,0),MATCH("Family",WEAP!$A$1:$BF$1,0))&amp;" Weapon"</f>
        <v>Agito Weapon</v>
      </c>
      <c r="E1573" s="693"/>
      <c r="F1573" s="693"/>
      <c r="G1573" s="694"/>
      <c r="H1573" s="8"/>
      <c r="I1573" s="681" t="str">
        <f>INDEX('W-S'!$A:$O,MATCH(I1572,'W-S'!$C:$C,0),MATCH("Description",'W-S'!$1:$1,0))</f>
        <v>Increases the user's critical rate by 12% and increases strength by 20% until the next time this skill is used. The second time this skill is used, it will instead become Nigimitama. Nigimitama increases the user's defense by 35% until the skill is next used. The skill will then alternate between these two effects with every use.</v>
      </c>
      <c r="J1573" s="682"/>
      <c r="K1573" s="239"/>
      <c r="L1573" s="681" t="str">
        <f>INDEX('W-S'!$A:$O,MATCH(I1572,'W-S'!$C:$C,0),MATCH("Description V3",'W-S'!$1:$1,0))</f>
        <v>Increases the user's critical rate by 12% and increases strength by 20% until the next time this skill is used. The second time this skill is used, it will instead become Nigimitama. Nigimitama increases the user's defense by 50% and gradually recovers the user's HP with 5% Recovery Potency every 2.9 seconds until the skill is next used. The skill will then alternate between these two effects with every use.</v>
      </c>
      <c r="M1573" s="682"/>
    </row>
    <row r="1574" spans="1:13" ht="22.5" x14ac:dyDescent="0.2">
      <c r="B1574" s="701" t="e" vm="245">
        <f>+_xlfn.IMAGE("https://natalie.tf/wp-content/uploads/2023/10/DLV3_Icon_Weapon_"&amp;B1573&amp;".png")</f>
        <v>#VALUE!</v>
      </c>
      <c r="C1574" s="240"/>
      <c r="D1574" s="692" t="str">
        <f>INDEX(WEAP!$A:$AN,MATCH(B1573,WEAP!$A:$A,0),MATCH("Element",WEAP!$A$1:$BF$1,0))&amp;" "&amp;INDEX(WEAP!$A:$AN,MATCH(B1573,WEAP!$A:$A,0),MATCH("Type",WEAP!$A$1:$BF$1,0))</f>
        <v>Water Bow</v>
      </c>
      <c r="E1574" s="693"/>
      <c r="F1574" s="693"/>
      <c r="G1574" s="694"/>
      <c r="H1574" s="8"/>
      <c r="I1574" s="683"/>
      <c r="J1574" s="684"/>
      <c r="K1574" s="9"/>
      <c r="L1574" s="683"/>
      <c r="M1574" s="684"/>
    </row>
    <row r="1575" spans="1:13" ht="22.5" x14ac:dyDescent="0.35">
      <c r="B1575" s="702"/>
      <c r="C1575" s="239"/>
      <c r="D1575" s="703" t="s">
        <v>10760</v>
      </c>
      <c r="E1575" s="704"/>
      <c r="F1575" s="235" t="s">
        <v>10761</v>
      </c>
      <c r="G1575" s="235" t="s">
        <v>10762</v>
      </c>
      <c r="I1575" s="683"/>
      <c r="J1575" s="684"/>
      <c r="K1575" s="239"/>
      <c r="L1575" s="683"/>
      <c r="M1575" s="684"/>
    </row>
    <row r="1576" spans="1:13" ht="22.5" x14ac:dyDescent="0.35">
      <c r="B1576" s="702"/>
      <c r="C1576" s="239"/>
      <c r="D1576" s="705" t="s">
        <v>96</v>
      </c>
      <c r="E1576" s="706"/>
      <c r="F1576" s="236">
        <f>INDEX(WEAP!$A:$AN,MATCH(B1573,WEAP!$A:$A,0),MATCH("HP",WEAP!$A$1:$BF$1,0))</f>
        <v>265</v>
      </c>
      <c r="G1576" s="237">
        <f>INDEX(WEAP!$A:$AN,MATCH(B1573,WEAP!$A:$A,0),MATCH("HP V3",WEAP!$A$1:$BF$1,0))</f>
        <v>280</v>
      </c>
      <c r="I1576" s="683"/>
      <c r="J1576" s="684"/>
      <c r="K1576" s="239"/>
      <c r="L1576" s="683"/>
      <c r="M1576" s="684"/>
    </row>
    <row r="1577" spans="1:13" ht="22.5" x14ac:dyDescent="0.35">
      <c r="B1577" s="702"/>
      <c r="C1577" s="239"/>
      <c r="D1577" s="707" t="s">
        <v>97</v>
      </c>
      <c r="E1577" s="708"/>
      <c r="F1577" s="236">
        <f>INDEX(WEAP!$A:$AN,MATCH(B1573,WEAP!$A:$A,0),MATCH("Str",WEAP!$A$1:$BF$1,0))</f>
        <v>1653</v>
      </c>
      <c r="G1577" s="237">
        <f>INDEX(WEAP!$A:$AN,MATCH(B1573,WEAP!$A:$A,0),MATCH("Str V3",WEAP!$A$1:$BF$1,0))</f>
        <v>1655</v>
      </c>
      <c r="I1577" s="685"/>
      <c r="J1577" s="686"/>
      <c r="K1577" s="239"/>
      <c r="L1577" s="685"/>
      <c r="M1577" s="686"/>
    </row>
    <row r="1578" spans="1:13" ht="33.75" customHeight="1" x14ac:dyDescent="0.2">
      <c r="A1578" t="s">
        <v>10763</v>
      </c>
    </row>
    <row r="1579" spans="1:13" ht="22.5" x14ac:dyDescent="0.35">
      <c r="A1579" s="244" t="str">
        <f>TEXT(A1572+1,"000")</f>
        <v>226</v>
      </c>
      <c r="B1579" s="238" t="str">
        <f>"W-"&amp;A1579</f>
        <v>W-226</v>
      </c>
      <c r="C1579" s="239"/>
      <c r="D1579" s="692" t="str">
        <f>+INDEX(WEAP!$A:$AN,MATCH(B1580,WEAP!$A:$A,0),MATCH("Name",WEAP!$A$1:$BF$1,0))</f>
        <v>Omizununo</v>
      </c>
      <c r="E1579" s="693"/>
      <c r="F1579" s="693"/>
      <c r="G1579" s="694"/>
      <c r="I1579" s="241" t="str">
        <f>+INDEX(WEAP!$A:$AN,MATCH(B1580,WEAP!$A:$A,0),MATCH("Weapon Skill",WEAP!$A$1:$BF$1,0))</f>
        <v>Aramitama</v>
      </c>
      <c r="J1579" s="243">
        <f>INDEX('W-S'!$A:$N,MATCH(I1579,'W-S'!$C:$C,0),MATCH("SP Cost",'W-S'!$1:$1,0))</f>
        <v>3000</v>
      </c>
      <c r="K1579" s="9"/>
      <c r="L1579" s="241" t="str">
        <f>+I1579</f>
        <v>Aramitama</v>
      </c>
      <c r="M1579" s="243">
        <f>INDEX('W-S'!$A:$N,MATCH(L1579,'W-S'!$C:$C,0),MATCH("SP Cost V3",'W-S'!$1:$1,0))</f>
        <v>3000</v>
      </c>
    </row>
    <row r="1580" spans="1:13" ht="22.5" customHeight="1" x14ac:dyDescent="0.35">
      <c r="B1580" s="238" t="str">
        <f>+INDEX(WEAP!$A:$AN,MATCH(B1579,WEAP!$B:$B,0),MATCH("ID",WEAP!$A$1:$BF$1,0))</f>
        <v>307136_01</v>
      </c>
      <c r="C1580" s="240"/>
      <c r="D1580" s="692" t="str">
        <f>+INDEX(WEAP!$A:$AN,MATCH(B1579,WEAP!$B:$B,0),MATCH("Family",WEAP!$A$1:$BF$1,0))&amp;" Weapon"</f>
        <v>Agito Weapon</v>
      </c>
      <c r="E1580" s="693"/>
      <c r="F1580" s="693"/>
      <c r="G1580" s="694"/>
      <c r="H1580" s="8"/>
      <c r="I1580" s="681" t="str">
        <f>INDEX('W-S'!$A:$O,MATCH(I1579,'W-S'!$C:$C,0),MATCH("Description",'W-S'!$1:$1,0))</f>
        <v>Increases the user's critical rate by 12% and increases strength by 20% until the next time this skill is used. The second time this skill is used, it will instead become Nigimitama. Nigimitama increases the user's defense by 35% until the skill is next used. The skill will then alternate between these two effects with every use.</v>
      </c>
      <c r="J1580" s="682"/>
      <c r="K1580" s="239"/>
      <c r="L1580" s="681" t="str">
        <f>INDEX('W-S'!$A:$O,MATCH(I1579,'W-S'!$C:$C,0),MATCH("Description V3",'W-S'!$1:$1,0))</f>
        <v>Increases the user's critical rate by 12% and increases strength by 20% until the next time this skill is used. The second time this skill is used, it will instead become Nigimitama. Nigimitama increases the user's defense by 50% and gradually recovers the user's HP with 5% Recovery Potency every 2.9 seconds until the skill is next used. The skill will then alternate between these two effects with every use.</v>
      </c>
      <c r="M1580" s="682"/>
    </row>
    <row r="1581" spans="1:13" ht="22.5" x14ac:dyDescent="0.2">
      <c r="B1581" s="701" t="e" vm="246">
        <f>+_xlfn.IMAGE("https://natalie.tf/wp-content/uploads/2023/10/DLV3_Icon_Weapon_"&amp;B1580&amp;".png")</f>
        <v>#VALUE!</v>
      </c>
      <c r="C1581" s="240"/>
      <c r="D1581" s="692" t="str">
        <f>INDEX(WEAP!$A:$AN,MATCH(B1580,WEAP!$A:$A,0),MATCH("Element",WEAP!$A$1:$BF$1,0))&amp;" "&amp;INDEX(WEAP!$A:$AN,MATCH(B1580,WEAP!$A:$A,0),MATCH("Type",WEAP!$A$1:$BF$1,0))</f>
        <v>Water Wand</v>
      </c>
      <c r="E1581" s="693"/>
      <c r="F1581" s="693"/>
      <c r="G1581" s="694"/>
      <c r="H1581" s="8"/>
      <c r="I1581" s="683"/>
      <c r="J1581" s="684"/>
      <c r="K1581" s="9"/>
      <c r="L1581" s="683"/>
      <c r="M1581" s="684"/>
    </row>
    <row r="1582" spans="1:13" ht="22.5" x14ac:dyDescent="0.35">
      <c r="B1582" s="702"/>
      <c r="C1582" s="239"/>
      <c r="D1582" s="703" t="s">
        <v>10760</v>
      </c>
      <c r="E1582" s="704"/>
      <c r="F1582" s="235" t="s">
        <v>10761</v>
      </c>
      <c r="G1582" s="235" t="s">
        <v>10762</v>
      </c>
      <c r="I1582" s="683"/>
      <c r="J1582" s="684"/>
      <c r="K1582" s="239"/>
      <c r="L1582" s="683"/>
      <c r="M1582" s="684"/>
    </row>
    <row r="1583" spans="1:13" ht="22.5" x14ac:dyDescent="0.35">
      <c r="B1583" s="702"/>
      <c r="C1583" s="239"/>
      <c r="D1583" s="705" t="s">
        <v>96</v>
      </c>
      <c r="E1583" s="706"/>
      <c r="F1583" s="236">
        <f>INDEX(WEAP!$A:$AN,MATCH(B1580,WEAP!$A:$A,0),MATCH("HP",WEAP!$A$1:$BF$1,0))</f>
        <v>255</v>
      </c>
      <c r="G1583" s="237">
        <f>INDEX(WEAP!$A:$AN,MATCH(B1580,WEAP!$A:$A,0),MATCH("HP V3",WEAP!$A$1:$BF$1,0))</f>
        <v>275</v>
      </c>
      <c r="I1583" s="683"/>
      <c r="J1583" s="684"/>
      <c r="K1583" s="239"/>
      <c r="L1583" s="683"/>
      <c r="M1583" s="684"/>
    </row>
    <row r="1584" spans="1:13" ht="22.5" x14ac:dyDescent="0.35">
      <c r="B1584" s="702"/>
      <c r="C1584" s="239"/>
      <c r="D1584" s="707" t="s">
        <v>97</v>
      </c>
      <c r="E1584" s="708"/>
      <c r="F1584" s="236">
        <f>INDEX(WEAP!$A:$AN,MATCH(B1580,WEAP!$A:$A,0),MATCH("Str",WEAP!$A$1:$BF$1,0))</f>
        <v>1771</v>
      </c>
      <c r="G1584" s="237">
        <f>INDEX(WEAP!$A:$AN,MATCH(B1580,WEAP!$A:$A,0),MATCH("Str V3",WEAP!$A$1:$BF$1,0))</f>
        <v>1775</v>
      </c>
      <c r="I1584" s="685"/>
      <c r="J1584" s="686"/>
      <c r="K1584" s="239"/>
      <c r="L1584" s="685"/>
      <c r="M1584" s="686"/>
    </row>
    <row r="1585" spans="1:13" s="245" customFormat="1" ht="7.5" customHeight="1" x14ac:dyDescent="0.2">
      <c r="A1585" s="245" t="s">
        <v>10763</v>
      </c>
    </row>
    <row r="1586" spans="1:13" ht="22.5" x14ac:dyDescent="0.35">
      <c r="A1586" s="242" t="str">
        <f>TEXT(A1579+1,"000")</f>
        <v>227</v>
      </c>
      <c r="B1586" s="238" t="str">
        <f>"W-"&amp;A1586</f>
        <v>W-227</v>
      </c>
      <c r="C1586" s="239"/>
      <c r="D1586" s="692" t="str">
        <f>+INDEX(WEAP!$A:$AN,MATCH(B1587,WEAP!$A:$A,0),MATCH("Name",WEAP!$A$1:$BF$1,0))</f>
        <v>Kunado</v>
      </c>
      <c r="E1586" s="693"/>
      <c r="F1586" s="693"/>
      <c r="G1586" s="694"/>
      <c r="I1586" s="241" t="str">
        <f>+INDEX(WEAP!$A:$AN,MATCH(B1587,WEAP!$A:$A,0),MATCH("Weapon Skill",WEAP!$A$1:$BF$1,0))</f>
        <v>Aramitama</v>
      </c>
      <c r="J1586" s="243">
        <f>INDEX('W-S'!$A:$N,MATCH(I1586,'W-S'!$C:$C,0),MATCH("SP Cost",'W-S'!$1:$1,0))</f>
        <v>3000</v>
      </c>
      <c r="K1586" s="9"/>
      <c r="L1586" s="241" t="str">
        <f>+I1586</f>
        <v>Aramitama</v>
      </c>
      <c r="M1586" s="243">
        <f>INDEX('W-S'!$A:$N,MATCH(L1586,'W-S'!$C:$C,0),MATCH("SP Cost V3",'W-S'!$1:$1,0))</f>
        <v>3000</v>
      </c>
    </row>
    <row r="1587" spans="1:13" ht="22.5" customHeight="1" x14ac:dyDescent="0.35">
      <c r="B1587" s="238" t="str">
        <f>+INDEX(WEAP!$A:$AN,MATCH(B1586,WEAP!$B:$B,0),MATCH("ID",WEAP!$A$1:$BF$1,0))</f>
        <v>308129_01</v>
      </c>
      <c r="C1587" s="240"/>
      <c r="D1587" s="692" t="str">
        <f>+INDEX(WEAP!$A:$AN,MATCH(B1586,WEAP!$B:$B,0),MATCH("Family",WEAP!$A$1:$BF$1,0))&amp;" Weapon"</f>
        <v>Agito Weapon</v>
      </c>
      <c r="E1587" s="693"/>
      <c r="F1587" s="693"/>
      <c r="G1587" s="694"/>
      <c r="H1587" s="8"/>
      <c r="I1587" s="681" t="str">
        <f>INDEX('W-S'!$A:$O,MATCH(I1586,'W-S'!$C:$C,0),MATCH("Description",'W-S'!$1:$1,0))</f>
        <v>Increases the user's critical rate by 12% and increases strength by 20% until the next time this skill is used. The second time this skill is used, it will instead become Nigimitama. Nigimitama increases the user's defense by 35% until the skill is next used. The skill will then alternate between these two effects with every use.</v>
      </c>
      <c r="J1587" s="682"/>
      <c r="K1587" s="239"/>
      <c r="L1587" s="681" t="str">
        <f>INDEX('W-S'!$A:$O,MATCH(I1586,'W-S'!$C:$C,0),MATCH("Description V3",'W-S'!$1:$1,0))</f>
        <v>Increases the user's critical rate by 12% and increases strength by 20% until the next time this skill is used. The second time this skill is used, it will instead become Nigimitama. Nigimitama increases the user's defense by 50% and gradually recovers the user's HP with 5% Recovery Potency every 2.9 seconds until the skill is next used. The skill will then alternate between these two effects with every use.</v>
      </c>
      <c r="M1587" s="682"/>
    </row>
    <row r="1588" spans="1:13" ht="22.5" x14ac:dyDescent="0.2">
      <c r="B1588" s="701" t="e" vm="247">
        <f>+_xlfn.IMAGE("https://natalie.tf/wp-content/uploads/2023/10/DLV3_Icon_Weapon_"&amp;B1587&amp;".png")</f>
        <v>#VALUE!</v>
      </c>
      <c r="C1588" s="240"/>
      <c r="D1588" s="692" t="str">
        <f>INDEX(WEAP!$A:$AN,MATCH(B1587,WEAP!$A:$A,0),MATCH("Element",WEAP!$A$1:$BF$1,0))&amp;" "&amp;INDEX(WEAP!$A:$AN,MATCH(B1587,WEAP!$A:$A,0),MATCH("Type",WEAP!$A$1:$BF$1,0))</f>
        <v>Water Staff</v>
      </c>
      <c r="E1588" s="693"/>
      <c r="F1588" s="693"/>
      <c r="G1588" s="694"/>
      <c r="H1588" s="8"/>
      <c r="I1588" s="683"/>
      <c r="J1588" s="684"/>
      <c r="K1588" s="9"/>
      <c r="L1588" s="683"/>
      <c r="M1588" s="684"/>
    </row>
    <row r="1589" spans="1:13" ht="22.5" x14ac:dyDescent="0.35">
      <c r="B1589" s="702"/>
      <c r="C1589" s="239"/>
      <c r="D1589" s="703" t="s">
        <v>10760</v>
      </c>
      <c r="E1589" s="704"/>
      <c r="F1589" s="235" t="s">
        <v>10761</v>
      </c>
      <c r="G1589" s="235" t="s">
        <v>10762</v>
      </c>
      <c r="I1589" s="683"/>
      <c r="J1589" s="684"/>
      <c r="K1589" s="239"/>
      <c r="L1589" s="683"/>
      <c r="M1589" s="684"/>
    </row>
    <row r="1590" spans="1:13" ht="22.5" x14ac:dyDescent="0.35">
      <c r="B1590" s="702"/>
      <c r="C1590" s="239"/>
      <c r="D1590" s="705" t="s">
        <v>96</v>
      </c>
      <c r="E1590" s="706"/>
      <c r="F1590" s="236">
        <f>INDEX(WEAP!$A:$AN,MATCH(B1587,WEAP!$A:$A,0),MATCH("HP",WEAP!$A$1:$BF$1,0))</f>
        <v>297</v>
      </c>
      <c r="G1590" s="237">
        <f>INDEX(WEAP!$A:$AN,MATCH(B1587,WEAP!$A:$A,0),MATCH("HP V3",WEAP!$A$1:$BF$1,0))</f>
        <v>325</v>
      </c>
      <c r="I1590" s="683"/>
      <c r="J1590" s="684"/>
      <c r="K1590" s="239"/>
      <c r="L1590" s="683"/>
      <c r="M1590" s="684"/>
    </row>
    <row r="1591" spans="1:13" ht="22.5" x14ac:dyDescent="0.35">
      <c r="B1591" s="702"/>
      <c r="C1591" s="239"/>
      <c r="D1591" s="707" t="s">
        <v>97</v>
      </c>
      <c r="E1591" s="708"/>
      <c r="F1591" s="236">
        <f>INDEX(WEAP!$A:$AN,MATCH(B1587,WEAP!$A:$A,0),MATCH("Str",WEAP!$A$1:$BF$1,0))</f>
        <v>1636</v>
      </c>
      <c r="G1591" s="237">
        <f>INDEX(WEAP!$A:$AN,MATCH(B1587,WEAP!$A:$A,0),MATCH("Str V3",WEAP!$A$1:$BF$1,0))</f>
        <v>1640</v>
      </c>
      <c r="I1591" s="685"/>
      <c r="J1591" s="686"/>
      <c r="K1591" s="239"/>
      <c r="L1591" s="685"/>
      <c r="M1591" s="686"/>
    </row>
    <row r="1592" spans="1:13" s="245" customFormat="1" ht="7.5" customHeight="1" x14ac:dyDescent="0.2">
      <c r="A1592" s="245" t="s">
        <v>10763</v>
      </c>
    </row>
    <row r="1593" spans="1:13" ht="22.5" x14ac:dyDescent="0.35">
      <c r="A1593" s="244" t="str">
        <f>TEXT(A1586+1,"000")</f>
        <v>228</v>
      </c>
      <c r="B1593" s="238" t="str">
        <f>"W-"&amp;A1593</f>
        <v>W-228</v>
      </c>
      <c r="C1593" s="239"/>
      <c r="D1593" s="692" t="str">
        <f>+INDEX(WEAP!$A:$AN,MATCH(B1594,WEAP!$A:$A,0),MATCH("Name",WEAP!$A$1:$BF$1,0))</f>
        <v>Ame no Torifune</v>
      </c>
      <c r="E1593" s="693"/>
      <c r="F1593" s="693"/>
      <c r="G1593" s="694"/>
      <c r="I1593" s="241" t="str">
        <f>+INDEX(WEAP!$A:$AN,MATCH(B1594,WEAP!$A:$A,0),MATCH("Weapon Skill",WEAP!$A$1:$BF$1,0))</f>
        <v>Aramitama</v>
      </c>
      <c r="J1593" s="243">
        <f>INDEX('W-S'!$A:$N,MATCH(I1593,'W-S'!$C:$C,0),MATCH("SP Cost",'W-S'!$1:$1,0))</f>
        <v>3000</v>
      </c>
      <c r="K1593" s="9"/>
      <c r="L1593" s="241" t="str">
        <f>+I1593</f>
        <v>Aramitama</v>
      </c>
      <c r="M1593" s="243">
        <f>INDEX('W-S'!$A:$N,MATCH(L1593,'W-S'!$C:$C,0),MATCH("SP Cost V3",'W-S'!$1:$1,0))</f>
        <v>3000</v>
      </c>
    </row>
    <row r="1594" spans="1:13" ht="22.5" customHeight="1" x14ac:dyDescent="0.35">
      <c r="B1594" s="238" t="str">
        <f>+INDEX(WEAP!$A:$AN,MATCH(B1593,WEAP!$B:$B,0),MATCH("ID",WEAP!$A$1:$BF$1,0))</f>
        <v>309027_01</v>
      </c>
      <c r="C1594" s="240"/>
      <c r="D1594" s="692" t="str">
        <f>+INDEX(WEAP!$A:$AN,MATCH(B1593,WEAP!$B:$B,0),MATCH("Family",WEAP!$A$1:$BF$1,0))&amp;" Weapon"</f>
        <v>Agito Weapon</v>
      </c>
      <c r="E1594" s="693"/>
      <c r="F1594" s="693"/>
      <c r="G1594" s="694"/>
      <c r="H1594" s="8"/>
      <c r="I1594" s="681" t="str">
        <f>INDEX('W-S'!$A:$O,MATCH(I1593,'W-S'!$C:$C,0),MATCH("Description",'W-S'!$1:$1,0))</f>
        <v>Increases the user's critical rate by 12% and increases strength by 20% until the next time this skill is used. The second time this skill is used, it will instead become Nigimitama. Nigimitama increases the user's defense by 35% until the skill is next used. The skill will then alternate between these two effects with every use.</v>
      </c>
      <c r="J1594" s="682"/>
      <c r="K1594" s="239"/>
      <c r="L1594" s="681" t="str">
        <f>INDEX('W-S'!$A:$O,MATCH(I1593,'W-S'!$C:$C,0),MATCH("Description V3",'W-S'!$1:$1,0))</f>
        <v>Increases the user's critical rate by 12% and increases strength by 20% until the next time this skill is used. The second time this skill is used, it will instead become Nigimitama. Nigimitama increases the user's defense by 50% and gradually recovers the user's HP with 5% Recovery Potency every 2.9 seconds until the skill is next used. The skill will then alternate between these two effects with every use.</v>
      </c>
      <c r="M1594" s="682"/>
    </row>
    <row r="1595" spans="1:13" ht="22.5" x14ac:dyDescent="0.2">
      <c r="B1595" s="701" t="e" vm="248">
        <f>+_xlfn.IMAGE("https://natalie.tf/wp-content/uploads/2023/10/DLV3_Icon_Weapon_"&amp;B1594&amp;".png")</f>
        <v>#VALUE!</v>
      </c>
      <c r="C1595" s="240"/>
      <c r="D1595" s="692" t="str">
        <f>INDEX(WEAP!$A:$AN,MATCH(B1594,WEAP!$A:$A,0),MATCH("Element",WEAP!$A$1:$BF$1,0))&amp;" "&amp;INDEX(WEAP!$A:$AN,MATCH(B1594,WEAP!$A:$A,0),MATCH("Type",WEAP!$A$1:$BF$1,0))</f>
        <v>Water Manacaster</v>
      </c>
      <c r="E1595" s="693"/>
      <c r="F1595" s="693"/>
      <c r="G1595" s="694"/>
      <c r="H1595" s="8"/>
      <c r="I1595" s="683"/>
      <c r="J1595" s="684"/>
      <c r="K1595" s="9"/>
      <c r="L1595" s="683"/>
      <c r="M1595" s="684"/>
    </row>
    <row r="1596" spans="1:13" ht="22.5" x14ac:dyDescent="0.35">
      <c r="B1596" s="702"/>
      <c r="C1596" s="239"/>
      <c r="D1596" s="703" t="s">
        <v>10760</v>
      </c>
      <c r="E1596" s="704"/>
      <c r="F1596" s="235" t="s">
        <v>10761</v>
      </c>
      <c r="G1596" s="235" t="s">
        <v>10762</v>
      </c>
      <c r="I1596" s="683"/>
      <c r="J1596" s="684"/>
      <c r="K1596" s="239"/>
      <c r="L1596" s="683"/>
      <c r="M1596" s="684"/>
    </row>
    <row r="1597" spans="1:13" ht="22.5" x14ac:dyDescent="0.35">
      <c r="B1597" s="702"/>
      <c r="C1597" s="239"/>
      <c r="D1597" s="705" t="s">
        <v>96</v>
      </c>
      <c r="E1597" s="706"/>
      <c r="F1597" s="236">
        <f>INDEX(WEAP!$A:$AN,MATCH(B1594,WEAP!$A:$A,0),MATCH("HP",WEAP!$A$1:$BF$1,0))</f>
        <v>262</v>
      </c>
      <c r="G1597" s="237">
        <f>INDEX(WEAP!$A:$AN,MATCH(B1594,WEAP!$A:$A,0),MATCH("HP V3",WEAP!$A$1:$BF$1,0))</f>
        <v>270</v>
      </c>
      <c r="I1597" s="683"/>
      <c r="J1597" s="684"/>
      <c r="K1597" s="239"/>
      <c r="L1597" s="683"/>
      <c r="M1597" s="684"/>
    </row>
    <row r="1598" spans="1:13" ht="22.5" x14ac:dyDescent="0.35">
      <c r="B1598" s="702"/>
      <c r="C1598" s="239"/>
      <c r="D1598" s="707" t="s">
        <v>97</v>
      </c>
      <c r="E1598" s="708"/>
      <c r="F1598" s="236">
        <f>INDEX(WEAP!$A:$AN,MATCH(B1594,WEAP!$A:$A,0),MATCH("Str",WEAP!$A$1:$BF$1,0))</f>
        <v>1737</v>
      </c>
      <c r="G1598" s="237">
        <f>INDEX(WEAP!$A:$AN,MATCH(B1594,WEAP!$A:$A,0),MATCH("Str V3",WEAP!$A$1:$BF$1,0))</f>
        <v>1740</v>
      </c>
      <c r="I1598" s="685"/>
      <c r="J1598" s="686"/>
      <c r="K1598" s="239"/>
      <c r="L1598" s="685"/>
      <c r="M1598" s="686"/>
    </row>
    <row r="1599" spans="1:13" s="245" customFormat="1" ht="7.5" customHeight="1" x14ac:dyDescent="0.2">
      <c r="A1599" s="245" t="s">
        <v>10763</v>
      </c>
    </row>
    <row r="1600" spans="1:13" ht="22.5" x14ac:dyDescent="0.35">
      <c r="A1600" s="244" t="str">
        <f>TEXT(A1593+1,"000")</f>
        <v>229</v>
      </c>
      <c r="B1600" s="238" t="str">
        <f>"W-"&amp;A1600</f>
        <v>W-229</v>
      </c>
      <c r="C1600" s="239"/>
      <c r="D1600" s="692" t="str">
        <f>+INDEX(WEAP!$A:$AN,MATCH(B1601,WEAP!$A:$A,0),MATCH("Name",WEAP!$A$1:$BF$1,0))</f>
        <v>Excalibur</v>
      </c>
      <c r="E1600" s="693"/>
      <c r="F1600" s="693"/>
      <c r="G1600" s="694"/>
      <c r="I1600" s="241" t="str">
        <f>+INDEX(WEAP!$A:$AN,MATCH(B1601,WEAP!$A:$A,0),MATCH("Weapon Skill",WEAP!$A$1:$BF$1,0))</f>
        <v>Gwiber</v>
      </c>
      <c r="J1600" s="243">
        <f>INDEX('W-S'!$A:$N,MATCH(I1600,'W-S'!$C:$C,0),MATCH("SP Cost",'W-S'!$1:$1,0))</f>
        <v>3000</v>
      </c>
      <c r="K1600" s="9"/>
      <c r="L1600" s="241" t="str">
        <f>+I1600</f>
        <v>Gwiber</v>
      </c>
      <c r="M1600" s="243">
        <f>INDEX('W-S'!$A:$N,MATCH(L1600,'W-S'!$C:$C,0),MATCH("SP Cost V3",'W-S'!$1:$1,0))</f>
        <v>3000</v>
      </c>
    </row>
    <row r="1601" spans="1:13" ht="22.5" customHeight="1" x14ac:dyDescent="0.35">
      <c r="B1601" s="238" t="str">
        <f>+INDEX(WEAP!$A:$AN,MATCH(B1600,WEAP!$B:$B,0),MATCH("ID",WEAP!$A$1:$BF$1,0))</f>
        <v>301140_01</v>
      </c>
      <c r="C1601" s="240"/>
      <c r="D1601" s="692" t="str">
        <f>+INDEX(WEAP!$A:$AN,MATCH(B1600,WEAP!$B:$B,0),MATCH("Family",WEAP!$A$1:$BF$1,0))&amp;" Weapon"</f>
        <v>Agito Weapon</v>
      </c>
      <c r="E1601" s="693"/>
      <c r="F1601" s="693"/>
      <c r="G1601" s="694"/>
      <c r="H1601" s="8"/>
      <c r="I1601" s="681" t="str">
        <f>INDEX('W-S'!$A:$O,MATCH(I1600,'W-S'!$C:$C,0),MATCH("Description",'W-S'!$1:$1,0))</f>
        <v>Increases the user's strength by 40% until the next time this skill is used. The second time this skill is used, it will instead become Y Ddraig Goch. Y Ddraig Goch increases the user's defense by 50% until the skill is next used. The skill will then alternate between these two effects with every use.</v>
      </c>
      <c r="J1601" s="682"/>
      <c r="K1601" s="239"/>
      <c r="L1601" s="681" t="str">
        <f>INDEX('W-S'!$A:$O,MATCH(I1600,'W-S'!$C:$C,0),MATCH("Description V3",'W-S'!$1:$1,0))</f>
        <v>Increases the user's strength by 40% until the next time this skill is used. The second time this skill is used, it will instead become Y Ddraig Goch. Y Ddraig Goch increases the user's defense by 50% and gradually recovers the user's HP with 5% Recovery Potency every 2.9 seconds until the skill is next used. The skill will then alternate between these two effects with every use.</v>
      </c>
      <c r="M1601" s="682"/>
    </row>
    <row r="1602" spans="1:13" ht="22.5" x14ac:dyDescent="0.2">
      <c r="B1602" s="701" t="e" vm="249">
        <f>+_xlfn.IMAGE("https://natalie.tf/wp-content/uploads/2023/10/DLV3_Icon_Weapon_"&amp;B1601&amp;".png")</f>
        <v>#VALUE!</v>
      </c>
      <c r="C1602" s="240"/>
      <c r="D1602" s="692" t="str">
        <f>INDEX(WEAP!$A:$AN,MATCH(B1601,WEAP!$A:$A,0),MATCH("Element",WEAP!$A$1:$BF$1,0))&amp;" "&amp;INDEX(WEAP!$A:$AN,MATCH(B1601,WEAP!$A:$A,0),MATCH("Type",WEAP!$A$1:$BF$1,0))</f>
        <v>Wind Sword</v>
      </c>
      <c r="E1602" s="693"/>
      <c r="F1602" s="693"/>
      <c r="G1602" s="694"/>
      <c r="H1602" s="8"/>
      <c r="I1602" s="683"/>
      <c r="J1602" s="684"/>
      <c r="K1602" s="9"/>
      <c r="L1602" s="683"/>
      <c r="M1602" s="684"/>
    </row>
    <row r="1603" spans="1:13" ht="22.5" x14ac:dyDescent="0.35">
      <c r="B1603" s="702"/>
      <c r="C1603" s="239"/>
      <c r="D1603" s="703" t="s">
        <v>10760</v>
      </c>
      <c r="E1603" s="704"/>
      <c r="F1603" s="235" t="s">
        <v>10761</v>
      </c>
      <c r="G1603" s="235" t="s">
        <v>10762</v>
      </c>
      <c r="I1603" s="683"/>
      <c r="J1603" s="684"/>
      <c r="K1603" s="239"/>
      <c r="L1603" s="683"/>
      <c r="M1603" s="684"/>
    </row>
    <row r="1604" spans="1:13" ht="22.5" x14ac:dyDescent="0.35">
      <c r="B1604" s="702"/>
      <c r="C1604" s="239"/>
      <c r="D1604" s="705" t="s">
        <v>96</v>
      </c>
      <c r="E1604" s="706"/>
      <c r="F1604" s="236">
        <f>INDEX(WEAP!$A:$AN,MATCH(B1601,WEAP!$A:$A,0),MATCH("HP",WEAP!$A$1:$BF$1,0))</f>
        <v>270</v>
      </c>
      <c r="G1604" s="237">
        <f>INDEX(WEAP!$A:$AN,MATCH(B1601,WEAP!$A:$A,0),MATCH("HP V3",WEAP!$A$1:$BF$1,0))</f>
        <v>270</v>
      </c>
      <c r="I1604" s="683"/>
      <c r="J1604" s="684"/>
      <c r="K1604" s="239"/>
      <c r="L1604" s="683"/>
      <c r="M1604" s="684"/>
    </row>
    <row r="1605" spans="1:13" ht="22.5" x14ac:dyDescent="0.35">
      <c r="B1605" s="702"/>
      <c r="C1605" s="239"/>
      <c r="D1605" s="707" t="s">
        <v>97</v>
      </c>
      <c r="E1605" s="708"/>
      <c r="F1605" s="236">
        <f>INDEX(WEAP!$A:$AN,MATCH(B1601,WEAP!$A:$A,0),MATCH("Str",WEAP!$A$1:$BF$1,0))</f>
        <v>1720</v>
      </c>
      <c r="G1605" s="237">
        <f>INDEX(WEAP!$A:$AN,MATCH(B1601,WEAP!$A:$A,0),MATCH("Str V3",WEAP!$A$1:$BF$1,0))</f>
        <v>1720</v>
      </c>
      <c r="I1605" s="685"/>
      <c r="J1605" s="686"/>
      <c r="K1605" s="239"/>
      <c r="L1605" s="685"/>
      <c r="M1605" s="686"/>
    </row>
    <row r="1606" spans="1:13" s="245" customFormat="1" ht="7.5" customHeight="1" x14ac:dyDescent="0.2">
      <c r="A1606" s="245" t="s">
        <v>10763</v>
      </c>
    </row>
    <row r="1607" spans="1:13" ht="22.5" x14ac:dyDescent="0.35">
      <c r="A1607" s="244" t="str">
        <f>TEXT(A1600+1,"000")</f>
        <v>230</v>
      </c>
      <c r="B1607" s="238" t="str">
        <f>"W-"&amp;A1607</f>
        <v>W-230</v>
      </c>
      <c r="C1607" s="239"/>
      <c r="D1607" s="692" t="str">
        <f>+INDEX(WEAP!$A:$AN,MATCH(B1608,WEAP!$A:$A,0),MATCH("Name",WEAP!$A$1:$BF$1,0))</f>
        <v>Arondight</v>
      </c>
      <c r="E1607" s="693"/>
      <c r="F1607" s="693"/>
      <c r="G1607" s="694"/>
      <c r="I1607" s="241" t="str">
        <f>+INDEX(WEAP!$A:$AN,MATCH(B1608,WEAP!$A:$A,0),MATCH("Weapon Skill",WEAP!$A$1:$BF$1,0))</f>
        <v>Gwiber</v>
      </c>
      <c r="J1607" s="243">
        <f>INDEX('W-S'!$A:$N,MATCH(I1607,'W-S'!$C:$C,0),MATCH("SP Cost",'W-S'!$1:$1,0))</f>
        <v>3000</v>
      </c>
      <c r="K1607" s="9"/>
      <c r="L1607" s="241" t="str">
        <f>+I1607</f>
        <v>Gwiber</v>
      </c>
      <c r="M1607" s="243">
        <f>INDEX('W-S'!$A:$N,MATCH(L1607,'W-S'!$C:$C,0),MATCH("SP Cost V3",'W-S'!$1:$1,0))</f>
        <v>3000</v>
      </c>
    </row>
    <row r="1608" spans="1:13" ht="22.5" customHeight="1" x14ac:dyDescent="0.35">
      <c r="B1608" s="238" t="str">
        <f>+INDEX(WEAP!$A:$AN,MATCH(B1607,WEAP!$B:$B,0),MATCH("ID",WEAP!$A$1:$BF$1,0))</f>
        <v>302131_01</v>
      </c>
      <c r="C1608" s="240"/>
      <c r="D1608" s="692" t="str">
        <f>+INDEX(WEAP!$A:$AN,MATCH(B1607,WEAP!$B:$B,0),MATCH("Family",WEAP!$A$1:$BF$1,0))&amp;" Weapon"</f>
        <v>Agito Weapon</v>
      </c>
      <c r="E1608" s="693"/>
      <c r="F1608" s="693"/>
      <c r="G1608" s="694"/>
      <c r="H1608" s="8"/>
      <c r="I1608" s="681" t="str">
        <f>INDEX('W-S'!$A:$O,MATCH(I1607,'W-S'!$C:$C,0),MATCH("Description",'W-S'!$1:$1,0))</f>
        <v>Increases the user's strength by 40% until the next time this skill is used. The second time this skill is used, it will instead become Y Ddraig Goch. Y Ddraig Goch increases the user's defense by 50% until the skill is next used. The skill will then alternate between these two effects with every use.</v>
      </c>
      <c r="J1608" s="682"/>
      <c r="K1608" s="239"/>
      <c r="L1608" s="681" t="str">
        <f>INDEX('W-S'!$A:$O,MATCH(I1607,'W-S'!$C:$C,0),MATCH("Description V3",'W-S'!$1:$1,0))</f>
        <v>Increases the user's strength by 40% until the next time this skill is used. The second time this skill is used, it will instead become Y Ddraig Goch. Y Ddraig Goch increases the user's defense by 50% and gradually recovers the user's HP with 5% Recovery Potency every 2.9 seconds until the skill is next used. The skill will then alternate between these two effects with every use.</v>
      </c>
      <c r="M1608" s="682"/>
    </row>
    <row r="1609" spans="1:13" ht="22.5" x14ac:dyDescent="0.2">
      <c r="B1609" s="701" t="e" vm="250">
        <f>+_xlfn.IMAGE("https://natalie.tf/wp-content/uploads/2023/10/DLV3_Icon_Weapon_"&amp;B1608&amp;".png")</f>
        <v>#VALUE!</v>
      </c>
      <c r="C1609" s="240"/>
      <c r="D1609" s="692" t="str">
        <f>INDEX(WEAP!$A:$AN,MATCH(B1608,WEAP!$A:$A,0),MATCH("Element",WEAP!$A$1:$BF$1,0))&amp;" "&amp;INDEX(WEAP!$A:$AN,MATCH(B1608,WEAP!$A:$A,0),MATCH("Type",WEAP!$A$1:$BF$1,0))</f>
        <v>Wind Blade</v>
      </c>
      <c r="E1609" s="693"/>
      <c r="F1609" s="693"/>
      <c r="G1609" s="694"/>
      <c r="H1609" s="8"/>
      <c r="I1609" s="683"/>
      <c r="J1609" s="684"/>
      <c r="K1609" s="9"/>
      <c r="L1609" s="683"/>
      <c r="M1609" s="684"/>
    </row>
    <row r="1610" spans="1:13" ht="22.5" x14ac:dyDescent="0.35">
      <c r="B1610" s="702"/>
      <c r="C1610" s="239"/>
      <c r="D1610" s="703" t="s">
        <v>10760</v>
      </c>
      <c r="E1610" s="704"/>
      <c r="F1610" s="235" t="s">
        <v>10761</v>
      </c>
      <c r="G1610" s="235" t="s">
        <v>10762</v>
      </c>
      <c r="I1610" s="683"/>
      <c r="J1610" s="684"/>
      <c r="K1610" s="239"/>
      <c r="L1610" s="683"/>
      <c r="M1610" s="684"/>
    </row>
    <row r="1611" spans="1:13" ht="22.5" x14ac:dyDescent="0.35">
      <c r="B1611" s="702"/>
      <c r="C1611" s="239"/>
      <c r="D1611" s="705" t="s">
        <v>96</v>
      </c>
      <c r="E1611" s="706"/>
      <c r="F1611" s="236">
        <f>INDEX(WEAP!$A:$AN,MATCH(B1608,WEAP!$A:$A,0),MATCH("HP",WEAP!$A$1:$BF$1,0))</f>
        <v>239</v>
      </c>
      <c r="G1611" s="237">
        <f>INDEX(WEAP!$A:$AN,MATCH(B1608,WEAP!$A:$A,0),MATCH("HP V3",WEAP!$A$1:$BF$1,0))</f>
        <v>250</v>
      </c>
      <c r="I1611" s="683"/>
      <c r="J1611" s="684"/>
      <c r="K1611" s="239"/>
      <c r="L1611" s="683"/>
      <c r="M1611" s="684"/>
    </row>
    <row r="1612" spans="1:13" ht="22.5" x14ac:dyDescent="0.35">
      <c r="B1612" s="702"/>
      <c r="C1612" s="239"/>
      <c r="D1612" s="707" t="s">
        <v>97</v>
      </c>
      <c r="E1612" s="708"/>
      <c r="F1612" s="236">
        <f>INDEX(WEAP!$A:$AN,MATCH(B1608,WEAP!$A:$A,0),MATCH("Str",WEAP!$A$1:$BF$1,0))</f>
        <v>1822</v>
      </c>
      <c r="G1612" s="237">
        <f>INDEX(WEAP!$A:$AN,MATCH(B1608,WEAP!$A:$A,0),MATCH("Str V3",WEAP!$A$1:$BF$1,0))</f>
        <v>1825</v>
      </c>
      <c r="I1612" s="685"/>
      <c r="J1612" s="686"/>
      <c r="K1612" s="239"/>
      <c r="L1612" s="685"/>
      <c r="M1612" s="686"/>
    </row>
    <row r="1613" spans="1:13" ht="33.75" customHeight="1" x14ac:dyDescent="0.2">
      <c r="A1613" t="s">
        <v>10763</v>
      </c>
    </row>
    <row r="1614" spans="1:13" ht="22.5" x14ac:dyDescent="0.35">
      <c r="A1614" s="244" t="str">
        <f>TEXT(A1607+1,"000")</f>
        <v>231</v>
      </c>
      <c r="B1614" s="238" t="str">
        <f>"W-"&amp;A1614</f>
        <v>W-231</v>
      </c>
      <c r="C1614" s="239"/>
      <c r="D1614" s="692" t="str">
        <f>+INDEX(WEAP!$A:$AN,MATCH(B1615,WEAP!$A:$A,0),MATCH("Name",WEAP!$A$1:$BF$1,0))</f>
        <v>Carnwennan</v>
      </c>
      <c r="E1614" s="693"/>
      <c r="F1614" s="693"/>
      <c r="G1614" s="694"/>
      <c r="I1614" s="241" t="str">
        <f>+INDEX(WEAP!$A:$AN,MATCH(B1615,WEAP!$A:$A,0),MATCH("Weapon Skill",WEAP!$A$1:$BF$1,0))</f>
        <v>Gwiber</v>
      </c>
      <c r="J1614" s="243">
        <f>INDEX('W-S'!$A:$N,MATCH(I1614,'W-S'!$C:$C,0),MATCH("SP Cost",'W-S'!$1:$1,0))</f>
        <v>3000</v>
      </c>
      <c r="K1614" s="9"/>
      <c r="L1614" s="241" t="str">
        <f>+I1614</f>
        <v>Gwiber</v>
      </c>
      <c r="M1614" s="243">
        <f>INDEX('W-S'!$A:$N,MATCH(L1614,'W-S'!$C:$C,0),MATCH("SP Cost V3",'W-S'!$1:$1,0))</f>
        <v>3000</v>
      </c>
    </row>
    <row r="1615" spans="1:13" ht="22.5" x14ac:dyDescent="0.35">
      <c r="B1615" s="238" t="str">
        <f>+INDEX(WEAP!$A:$AN,MATCH(B1614,WEAP!$B:$B,0),MATCH("ID",WEAP!$A$1:$BF$1,0))</f>
        <v>303130_01</v>
      </c>
      <c r="C1615" s="240"/>
      <c r="D1615" s="692" t="str">
        <f>+INDEX(WEAP!$A:$AN,MATCH(B1614,WEAP!$B:$B,0),MATCH("Family",WEAP!$A$1:$BF$1,0))&amp;" Weapon"</f>
        <v>Agito Weapon</v>
      </c>
      <c r="E1615" s="693"/>
      <c r="F1615" s="693"/>
      <c r="G1615" s="694"/>
      <c r="H1615" s="8"/>
      <c r="I1615" s="681" t="str">
        <f>INDEX('W-S'!$A:$O,MATCH(I1614,'W-S'!$C:$C,0),MATCH("Description",'W-S'!$1:$1,0))</f>
        <v>Increases the user's strength by 40% until the next time this skill is used. The second time this skill is used, it will instead become Y Ddraig Goch. Y Ddraig Goch increases the user's defense by 50% until the skill is next used. The skill will then alternate between these two effects with every use.</v>
      </c>
      <c r="J1615" s="682"/>
      <c r="K1615" s="239"/>
      <c r="L1615" s="681" t="str">
        <f>INDEX('W-S'!$A:$O,MATCH(I1614,'W-S'!$C:$C,0),MATCH("Description V3",'W-S'!$1:$1,0))</f>
        <v>Increases the user's strength by 40% until the next time this skill is used. The second time this skill is used, it will instead become Y Ddraig Goch. Y Ddraig Goch increases the user's defense by 50% and gradually recovers the user's HP with 5% Recovery Potency every 2.9 seconds until the skill is next used. The skill will then alternate between these two effects with every use.</v>
      </c>
      <c r="M1615" s="682"/>
    </row>
    <row r="1616" spans="1:13" ht="22.5" x14ac:dyDescent="0.2">
      <c r="B1616" s="701" t="e" vm="251">
        <f>+_xlfn.IMAGE("https://natalie.tf/wp-content/uploads/2023/10/DLV3_Icon_Weapon_"&amp;B1615&amp;".png")</f>
        <v>#VALUE!</v>
      </c>
      <c r="C1616" s="240"/>
      <c r="D1616" s="692" t="str">
        <f>INDEX(WEAP!$A:$AN,MATCH(B1615,WEAP!$A:$A,0),MATCH("Element",WEAP!$A$1:$BF$1,0))&amp;" "&amp;INDEX(WEAP!$A:$AN,MATCH(B1615,WEAP!$A:$A,0),MATCH("Type",WEAP!$A$1:$BF$1,0))</f>
        <v>Wind Dagger</v>
      </c>
      <c r="E1616" s="693"/>
      <c r="F1616" s="693"/>
      <c r="G1616" s="694"/>
      <c r="H1616" s="8"/>
      <c r="I1616" s="683"/>
      <c r="J1616" s="684"/>
      <c r="K1616" s="9"/>
      <c r="L1616" s="683"/>
      <c r="M1616" s="684"/>
    </row>
    <row r="1617" spans="1:13" ht="22.5" x14ac:dyDescent="0.35">
      <c r="B1617" s="702"/>
      <c r="C1617" s="239"/>
      <c r="D1617" s="703" t="s">
        <v>10760</v>
      </c>
      <c r="E1617" s="704"/>
      <c r="F1617" s="235" t="s">
        <v>10761</v>
      </c>
      <c r="G1617" s="235" t="s">
        <v>10762</v>
      </c>
      <c r="I1617" s="683"/>
      <c r="J1617" s="684"/>
      <c r="K1617" s="239"/>
      <c r="L1617" s="683"/>
      <c r="M1617" s="684"/>
    </row>
    <row r="1618" spans="1:13" ht="22.5" x14ac:dyDescent="0.35">
      <c r="B1618" s="702"/>
      <c r="C1618" s="239"/>
      <c r="D1618" s="705" t="s">
        <v>96</v>
      </c>
      <c r="E1618" s="706"/>
      <c r="F1618" s="236">
        <f>INDEX(WEAP!$A:$AN,MATCH(B1615,WEAP!$A:$A,0),MATCH("HP",WEAP!$A$1:$BF$1,0))</f>
        <v>273</v>
      </c>
      <c r="G1618" s="237">
        <f>INDEX(WEAP!$A:$AN,MATCH(B1615,WEAP!$A:$A,0),MATCH("HP V3",WEAP!$A$1:$BF$1,0))</f>
        <v>275</v>
      </c>
      <c r="I1618" s="683"/>
      <c r="J1618" s="684"/>
      <c r="K1618" s="239"/>
      <c r="L1618" s="683"/>
      <c r="M1618" s="684"/>
    </row>
    <row r="1619" spans="1:13" ht="22.5" x14ac:dyDescent="0.35">
      <c r="B1619" s="702"/>
      <c r="C1619" s="239"/>
      <c r="D1619" s="707" t="s">
        <v>97</v>
      </c>
      <c r="E1619" s="708"/>
      <c r="F1619" s="236">
        <f>INDEX(WEAP!$A:$AN,MATCH(B1615,WEAP!$A:$A,0),MATCH("Str",WEAP!$A$1:$BF$1,0))</f>
        <v>1686</v>
      </c>
      <c r="G1619" s="237">
        <f>INDEX(WEAP!$A:$AN,MATCH(B1615,WEAP!$A:$A,0),MATCH("Str V3",WEAP!$A$1:$BF$1,0))</f>
        <v>1690</v>
      </c>
      <c r="I1619" s="685"/>
      <c r="J1619" s="686"/>
      <c r="K1619" s="239"/>
      <c r="L1619" s="685"/>
      <c r="M1619" s="686"/>
    </row>
    <row r="1620" spans="1:13" s="245" customFormat="1" ht="7.5" customHeight="1" x14ac:dyDescent="0.2">
      <c r="A1620" s="245" t="s">
        <v>10763</v>
      </c>
    </row>
    <row r="1621" spans="1:13" ht="22.5" x14ac:dyDescent="0.35">
      <c r="A1621" s="242" t="str">
        <f>TEXT(A1614+1,"000")</f>
        <v>232</v>
      </c>
      <c r="B1621" s="238" t="str">
        <f>"W-"&amp;A1621</f>
        <v>W-232</v>
      </c>
      <c r="C1621" s="239"/>
      <c r="D1621" s="692" t="str">
        <f>+INDEX(WEAP!$A:$AN,MATCH(B1622,WEAP!$A:$A,0),MATCH("Name",WEAP!$A$1:$BF$1,0))</f>
        <v>Marmyadose</v>
      </c>
      <c r="E1621" s="693"/>
      <c r="F1621" s="693"/>
      <c r="G1621" s="694"/>
      <c r="I1621" s="241" t="str">
        <f>+INDEX(WEAP!$A:$AN,MATCH(B1622,WEAP!$A:$A,0),MATCH("Weapon Skill",WEAP!$A$1:$BF$1,0))</f>
        <v>Gwiber</v>
      </c>
      <c r="J1621" s="243">
        <f>INDEX('W-S'!$A:$N,MATCH(I1621,'W-S'!$C:$C,0),MATCH("SP Cost",'W-S'!$1:$1,0))</f>
        <v>3000</v>
      </c>
      <c r="K1621" s="9"/>
      <c r="L1621" s="241" t="str">
        <f>+I1621</f>
        <v>Gwiber</v>
      </c>
      <c r="M1621" s="243">
        <f>INDEX('W-S'!$A:$N,MATCH(L1621,'W-S'!$C:$C,0),MATCH("SP Cost V3",'W-S'!$1:$1,0))</f>
        <v>3000</v>
      </c>
    </row>
    <row r="1622" spans="1:13" ht="22.5" x14ac:dyDescent="0.35">
      <c r="B1622" s="238" t="str">
        <f>+INDEX(WEAP!$A:$AN,MATCH(B1621,WEAP!$B:$B,0),MATCH("ID",WEAP!$A$1:$BF$1,0))</f>
        <v>304129_01</v>
      </c>
      <c r="C1622" s="240"/>
      <c r="D1622" s="692" t="str">
        <f>+INDEX(WEAP!$A:$AN,MATCH(B1621,WEAP!$B:$B,0),MATCH("Family",WEAP!$A$1:$BF$1,0))&amp;" Weapon"</f>
        <v>Agito Weapon</v>
      </c>
      <c r="E1622" s="693"/>
      <c r="F1622" s="693"/>
      <c r="G1622" s="694"/>
      <c r="H1622" s="8"/>
      <c r="I1622" s="681" t="str">
        <f>INDEX('W-S'!$A:$O,MATCH(I1621,'W-S'!$C:$C,0),MATCH("Description",'W-S'!$1:$1,0))</f>
        <v>Increases the user's strength by 40% until the next time this skill is used. The second time this skill is used, it will instead become Y Ddraig Goch. Y Ddraig Goch increases the user's defense by 50% until the skill is next used. The skill will then alternate between these two effects with every use.</v>
      </c>
      <c r="J1622" s="682"/>
      <c r="K1622" s="239"/>
      <c r="L1622" s="681" t="str">
        <f>INDEX('W-S'!$A:$O,MATCH(I1621,'W-S'!$C:$C,0),MATCH("Description V3",'W-S'!$1:$1,0))</f>
        <v>Increases the user's strength by 40% until the next time this skill is used. The second time this skill is used, it will instead become Y Ddraig Goch. Y Ddraig Goch increases the user's defense by 50% and gradually recovers the user's HP with 5% Recovery Potency every 2.9 seconds until the skill is next used. The skill will then alternate between these two effects with every use.</v>
      </c>
      <c r="M1622" s="682"/>
    </row>
    <row r="1623" spans="1:13" ht="22.5" x14ac:dyDescent="0.2">
      <c r="B1623" s="701" t="e" vm="252">
        <f>+_xlfn.IMAGE("https://natalie.tf/wp-content/uploads/2023/10/DLV3_Icon_Weapon_"&amp;B1622&amp;".png")</f>
        <v>#VALUE!</v>
      </c>
      <c r="C1623" s="240"/>
      <c r="D1623" s="692" t="str">
        <f>INDEX(WEAP!$A:$AN,MATCH(B1622,WEAP!$A:$A,0),MATCH("Element",WEAP!$A$1:$BF$1,0))&amp;" "&amp;INDEX(WEAP!$A:$AN,MATCH(B1622,WEAP!$A:$A,0),MATCH("Type",WEAP!$A$1:$BF$1,0))</f>
        <v>Wind Axe</v>
      </c>
      <c r="E1623" s="693"/>
      <c r="F1623" s="693"/>
      <c r="G1623" s="694"/>
      <c r="H1623" s="8"/>
      <c r="I1623" s="683"/>
      <c r="J1623" s="684"/>
      <c r="K1623" s="9"/>
      <c r="L1623" s="683"/>
      <c r="M1623" s="684"/>
    </row>
    <row r="1624" spans="1:13" ht="22.5" x14ac:dyDescent="0.35">
      <c r="B1624" s="702"/>
      <c r="C1624" s="239"/>
      <c r="D1624" s="703" t="s">
        <v>10760</v>
      </c>
      <c r="E1624" s="704"/>
      <c r="F1624" s="235" t="s">
        <v>10761</v>
      </c>
      <c r="G1624" s="235" t="s">
        <v>10762</v>
      </c>
      <c r="I1624" s="683"/>
      <c r="J1624" s="684"/>
      <c r="K1624" s="239"/>
      <c r="L1624" s="683"/>
      <c r="M1624" s="684"/>
    </row>
    <row r="1625" spans="1:13" ht="22.5" x14ac:dyDescent="0.35">
      <c r="B1625" s="702"/>
      <c r="C1625" s="239"/>
      <c r="D1625" s="705" t="s">
        <v>96</v>
      </c>
      <c r="E1625" s="706"/>
      <c r="F1625" s="236">
        <f>INDEX(WEAP!$A:$AN,MATCH(B1622,WEAP!$A:$A,0),MATCH("HP",WEAP!$A$1:$BF$1,0))</f>
        <v>278</v>
      </c>
      <c r="G1625" s="237">
        <f>INDEX(WEAP!$A:$AN,MATCH(B1622,WEAP!$A:$A,0),MATCH("HP V3",WEAP!$A$1:$BF$1,0))</f>
        <v>295</v>
      </c>
      <c r="I1625" s="683"/>
      <c r="J1625" s="684"/>
      <c r="K1625" s="239"/>
      <c r="L1625" s="683"/>
      <c r="M1625" s="684"/>
    </row>
    <row r="1626" spans="1:13" ht="22.5" x14ac:dyDescent="0.35">
      <c r="B1626" s="702"/>
      <c r="C1626" s="239"/>
      <c r="D1626" s="707" t="s">
        <v>97</v>
      </c>
      <c r="E1626" s="708"/>
      <c r="F1626" s="236">
        <f>INDEX(WEAP!$A:$AN,MATCH(B1622,WEAP!$A:$A,0),MATCH("Str",WEAP!$A$1:$BF$1,0))</f>
        <v>1805</v>
      </c>
      <c r="G1626" s="237">
        <f>INDEX(WEAP!$A:$AN,MATCH(B1622,WEAP!$A:$A,0),MATCH("Str V3",WEAP!$A$1:$BF$1,0))</f>
        <v>1805</v>
      </c>
      <c r="I1626" s="685"/>
      <c r="J1626" s="686"/>
      <c r="K1626" s="239"/>
      <c r="L1626" s="685"/>
      <c r="M1626" s="686"/>
    </row>
    <row r="1627" spans="1:13" s="245" customFormat="1" ht="7.5" customHeight="1" x14ac:dyDescent="0.2">
      <c r="A1627" s="245" t="s">
        <v>10763</v>
      </c>
    </row>
    <row r="1628" spans="1:13" ht="22.5" x14ac:dyDescent="0.35">
      <c r="A1628" s="244" t="str">
        <f>TEXT(A1621+1,"000")</f>
        <v>233</v>
      </c>
      <c r="B1628" s="238" t="str">
        <f>"W-"&amp;A1628</f>
        <v>W-233</v>
      </c>
      <c r="C1628" s="239"/>
      <c r="D1628" s="692" t="str">
        <f>+INDEX(WEAP!$A:$AN,MATCH(B1629,WEAP!$A:$A,0),MATCH("Name",WEAP!$A$1:$BF$1,0))</f>
        <v>Rhongomyniad</v>
      </c>
      <c r="E1628" s="693"/>
      <c r="F1628" s="693"/>
      <c r="G1628" s="694"/>
      <c r="I1628" s="241" t="str">
        <f>+INDEX(WEAP!$A:$AN,MATCH(B1629,WEAP!$A:$A,0),MATCH("Weapon Skill",WEAP!$A$1:$BF$1,0))</f>
        <v>Gwiber</v>
      </c>
      <c r="J1628" s="243">
        <f>INDEX('W-S'!$A:$N,MATCH(I1628,'W-S'!$C:$C,0),MATCH("SP Cost",'W-S'!$1:$1,0))</f>
        <v>3000</v>
      </c>
      <c r="K1628" s="9"/>
      <c r="L1628" s="241" t="str">
        <f>+I1628</f>
        <v>Gwiber</v>
      </c>
      <c r="M1628" s="243">
        <f>INDEX('W-S'!$A:$N,MATCH(L1628,'W-S'!$C:$C,0),MATCH("SP Cost V3",'W-S'!$1:$1,0))</f>
        <v>3000</v>
      </c>
    </row>
    <row r="1629" spans="1:13" ht="22.5" customHeight="1" x14ac:dyDescent="0.35">
      <c r="B1629" s="238" t="str">
        <f>+INDEX(WEAP!$A:$AN,MATCH(B1628,WEAP!$B:$B,0),MATCH("ID",WEAP!$A$1:$BF$1,0))</f>
        <v>305137_01</v>
      </c>
      <c r="C1629" s="240"/>
      <c r="D1629" s="692" t="str">
        <f>+INDEX(WEAP!$A:$AN,MATCH(B1628,WEAP!$B:$B,0),MATCH("Family",WEAP!$A$1:$BF$1,0))&amp;" Weapon"</f>
        <v>Agito Weapon</v>
      </c>
      <c r="E1629" s="693"/>
      <c r="F1629" s="693"/>
      <c r="G1629" s="694"/>
      <c r="H1629" s="8"/>
      <c r="I1629" s="681" t="str">
        <f>INDEX('W-S'!$A:$O,MATCH(I1628,'W-S'!$C:$C,0),MATCH("Description",'W-S'!$1:$1,0))</f>
        <v>Increases the user's strength by 40% until the next time this skill is used. The second time this skill is used, it will instead become Y Ddraig Goch. Y Ddraig Goch increases the user's defense by 50% until the skill is next used. The skill will then alternate between these two effects with every use.</v>
      </c>
      <c r="J1629" s="682"/>
      <c r="K1629" s="239"/>
      <c r="L1629" s="681" t="str">
        <f>INDEX('W-S'!$A:$O,MATCH(I1628,'W-S'!$C:$C,0),MATCH("Description V3",'W-S'!$1:$1,0))</f>
        <v>Increases the user's strength by 40% until the next time this skill is used. The second time this skill is used, it will instead become Y Ddraig Goch. Y Ddraig Goch increases the user's defense by 50% and gradually recovers the user's HP with 5% Recovery Potency every 2.9 seconds until the skill is next used. The skill will then alternate between these two effects with every use.</v>
      </c>
      <c r="M1629" s="682"/>
    </row>
    <row r="1630" spans="1:13" ht="22.5" x14ac:dyDescent="0.2">
      <c r="B1630" s="701" t="e" vm="253">
        <f>+_xlfn.IMAGE("https://natalie.tf/wp-content/uploads/2023/10/DLV3_Icon_Weapon_"&amp;B1629&amp;".png")</f>
        <v>#VALUE!</v>
      </c>
      <c r="C1630" s="240"/>
      <c r="D1630" s="692" t="str">
        <f>INDEX(WEAP!$A:$AN,MATCH(B1629,WEAP!$A:$A,0),MATCH("Element",WEAP!$A$1:$BF$1,0))&amp;" "&amp;INDEX(WEAP!$A:$AN,MATCH(B1629,WEAP!$A:$A,0),MATCH("Type",WEAP!$A$1:$BF$1,0))</f>
        <v>Wind Lance</v>
      </c>
      <c r="E1630" s="693"/>
      <c r="F1630" s="693"/>
      <c r="G1630" s="694"/>
      <c r="H1630" s="8"/>
      <c r="I1630" s="683"/>
      <c r="J1630" s="684"/>
      <c r="K1630" s="9"/>
      <c r="L1630" s="683"/>
      <c r="M1630" s="684"/>
    </row>
    <row r="1631" spans="1:13" ht="22.5" x14ac:dyDescent="0.35">
      <c r="B1631" s="702"/>
      <c r="C1631" s="239"/>
      <c r="D1631" s="703" t="s">
        <v>10760</v>
      </c>
      <c r="E1631" s="704"/>
      <c r="F1631" s="235" t="s">
        <v>10761</v>
      </c>
      <c r="G1631" s="235" t="s">
        <v>10762</v>
      </c>
      <c r="I1631" s="683"/>
      <c r="J1631" s="684"/>
      <c r="K1631" s="239"/>
      <c r="L1631" s="683"/>
      <c r="M1631" s="684"/>
    </row>
    <row r="1632" spans="1:13" ht="22.5" x14ac:dyDescent="0.35">
      <c r="B1632" s="702"/>
      <c r="C1632" s="239"/>
      <c r="D1632" s="705" t="s">
        <v>96</v>
      </c>
      <c r="E1632" s="706"/>
      <c r="F1632" s="236">
        <f>INDEX(WEAP!$A:$AN,MATCH(B1629,WEAP!$A:$A,0),MATCH("HP",WEAP!$A$1:$BF$1,0))</f>
        <v>276</v>
      </c>
      <c r="G1632" s="237">
        <f>INDEX(WEAP!$A:$AN,MATCH(B1629,WEAP!$A:$A,0),MATCH("HP V3",WEAP!$A$1:$BF$1,0))</f>
        <v>280</v>
      </c>
      <c r="I1632" s="683"/>
      <c r="J1632" s="684"/>
      <c r="K1632" s="239"/>
      <c r="L1632" s="683"/>
      <c r="M1632" s="684"/>
    </row>
    <row r="1633" spans="1:13" ht="22.5" x14ac:dyDescent="0.35">
      <c r="B1633" s="702"/>
      <c r="C1633" s="239"/>
      <c r="D1633" s="707" t="s">
        <v>97</v>
      </c>
      <c r="E1633" s="708"/>
      <c r="F1633" s="236">
        <f>INDEX(WEAP!$A:$AN,MATCH(B1629,WEAP!$A:$A,0),MATCH("Str",WEAP!$A$1:$BF$1,0))</f>
        <v>1754</v>
      </c>
      <c r="G1633" s="237">
        <f>INDEX(WEAP!$A:$AN,MATCH(B1629,WEAP!$A:$A,0),MATCH("Str V3",WEAP!$A$1:$BF$1,0))</f>
        <v>1755</v>
      </c>
      <c r="I1633" s="685"/>
      <c r="J1633" s="686"/>
      <c r="K1633" s="239"/>
      <c r="L1633" s="685"/>
      <c r="M1633" s="686"/>
    </row>
    <row r="1634" spans="1:13" s="245" customFormat="1" ht="7.5" customHeight="1" x14ac:dyDescent="0.2">
      <c r="A1634" s="245" t="s">
        <v>10763</v>
      </c>
    </row>
    <row r="1635" spans="1:13" ht="22.5" x14ac:dyDescent="0.35">
      <c r="A1635" s="244" t="str">
        <f>TEXT(A1628+1,"000")</f>
        <v>234</v>
      </c>
      <c r="B1635" s="238" t="str">
        <f>"W-"&amp;A1635</f>
        <v>W-234</v>
      </c>
      <c r="C1635" s="239"/>
      <c r="D1635" s="692" t="str">
        <f>+INDEX(WEAP!$A:$AN,MATCH(B1636,WEAP!$A:$A,0),MATCH("Name",WEAP!$A$1:$BF$1,0))</f>
        <v>Failnaught</v>
      </c>
      <c r="E1635" s="693"/>
      <c r="F1635" s="693"/>
      <c r="G1635" s="694"/>
      <c r="I1635" s="241" t="str">
        <f>+INDEX(WEAP!$A:$AN,MATCH(B1636,WEAP!$A:$A,0),MATCH("Weapon Skill",WEAP!$A$1:$BF$1,0))</f>
        <v>Gwiber</v>
      </c>
      <c r="J1635" s="243">
        <f>INDEX('W-S'!$A:$N,MATCH(I1635,'W-S'!$C:$C,0),MATCH("SP Cost",'W-S'!$1:$1,0))</f>
        <v>3000</v>
      </c>
      <c r="K1635" s="9"/>
      <c r="L1635" s="241" t="str">
        <f>+I1635</f>
        <v>Gwiber</v>
      </c>
      <c r="M1635" s="243">
        <f>INDEX('W-S'!$A:$N,MATCH(L1635,'W-S'!$C:$C,0),MATCH("SP Cost V3",'W-S'!$1:$1,0))</f>
        <v>3000</v>
      </c>
    </row>
    <row r="1636" spans="1:13" ht="22.5" customHeight="1" x14ac:dyDescent="0.35">
      <c r="B1636" s="238" t="str">
        <f>+INDEX(WEAP!$A:$AN,MATCH(B1635,WEAP!$B:$B,0),MATCH("ID",WEAP!$A$1:$BF$1,0))</f>
        <v>306129_01</v>
      </c>
      <c r="C1636" s="240"/>
      <c r="D1636" s="692" t="str">
        <f>+INDEX(WEAP!$A:$AN,MATCH(B1635,WEAP!$B:$B,0),MATCH("Family",WEAP!$A$1:$BF$1,0))&amp;" Weapon"</f>
        <v>Agito Weapon</v>
      </c>
      <c r="E1636" s="693"/>
      <c r="F1636" s="693"/>
      <c r="G1636" s="694"/>
      <c r="H1636" s="8"/>
      <c r="I1636" s="681" t="str">
        <f>INDEX('W-S'!$A:$O,MATCH(I1635,'W-S'!$C:$C,0),MATCH("Description",'W-S'!$1:$1,0))</f>
        <v>Increases the user's strength by 40% until the next time this skill is used. The second time this skill is used, it will instead become Y Ddraig Goch. Y Ddraig Goch increases the user's defense by 50% until the skill is next used. The skill will then alternate between these two effects with every use.</v>
      </c>
      <c r="J1636" s="682"/>
      <c r="K1636" s="239"/>
      <c r="L1636" s="681" t="str">
        <f>INDEX('W-S'!$A:$O,MATCH(I1635,'W-S'!$C:$C,0),MATCH("Description V3",'W-S'!$1:$1,0))</f>
        <v>Increases the user's strength by 40% until the next time this skill is used. The second time this skill is used, it will instead become Y Ddraig Goch. Y Ddraig Goch increases the user's defense by 50% and gradually recovers the user's HP with 5% Recovery Potency every 2.9 seconds until the skill is next used. The skill will then alternate between these two effects with every use.</v>
      </c>
      <c r="M1636" s="682"/>
    </row>
    <row r="1637" spans="1:13" ht="22.5" x14ac:dyDescent="0.2">
      <c r="B1637" s="701" t="e" vm="254">
        <f>+_xlfn.IMAGE("https://natalie.tf/wp-content/uploads/2023/10/DLV3_Icon_Weapon_"&amp;B1636&amp;".png")</f>
        <v>#VALUE!</v>
      </c>
      <c r="C1637" s="240"/>
      <c r="D1637" s="692" t="str">
        <f>INDEX(WEAP!$A:$AN,MATCH(B1636,WEAP!$A:$A,0),MATCH("Element",WEAP!$A$1:$BF$1,0))&amp;" "&amp;INDEX(WEAP!$A:$AN,MATCH(B1636,WEAP!$A:$A,0),MATCH("Type",WEAP!$A$1:$BF$1,0))</f>
        <v>Wind Bow</v>
      </c>
      <c r="E1637" s="693"/>
      <c r="F1637" s="693"/>
      <c r="G1637" s="694"/>
      <c r="H1637" s="8"/>
      <c r="I1637" s="683"/>
      <c r="J1637" s="684"/>
      <c r="K1637" s="9"/>
      <c r="L1637" s="683"/>
      <c r="M1637" s="684"/>
    </row>
    <row r="1638" spans="1:13" ht="22.5" x14ac:dyDescent="0.35">
      <c r="B1638" s="702"/>
      <c r="C1638" s="239"/>
      <c r="D1638" s="703" t="s">
        <v>10760</v>
      </c>
      <c r="E1638" s="704"/>
      <c r="F1638" s="235" t="s">
        <v>10761</v>
      </c>
      <c r="G1638" s="235" t="s">
        <v>10762</v>
      </c>
      <c r="I1638" s="683"/>
      <c r="J1638" s="684"/>
      <c r="K1638" s="239"/>
      <c r="L1638" s="683"/>
      <c r="M1638" s="684"/>
    </row>
    <row r="1639" spans="1:13" ht="22.5" x14ac:dyDescent="0.35">
      <c r="B1639" s="702"/>
      <c r="C1639" s="239"/>
      <c r="D1639" s="705" t="s">
        <v>96</v>
      </c>
      <c r="E1639" s="706"/>
      <c r="F1639" s="236">
        <f>INDEX(WEAP!$A:$AN,MATCH(B1636,WEAP!$A:$A,0),MATCH("HP",WEAP!$A$1:$BF$1,0))</f>
        <v>265</v>
      </c>
      <c r="G1639" s="237">
        <f>INDEX(WEAP!$A:$AN,MATCH(B1636,WEAP!$A:$A,0),MATCH("HP V3",WEAP!$A$1:$BF$1,0))</f>
        <v>280</v>
      </c>
      <c r="I1639" s="683"/>
      <c r="J1639" s="684"/>
      <c r="K1639" s="239"/>
      <c r="L1639" s="683"/>
      <c r="M1639" s="684"/>
    </row>
    <row r="1640" spans="1:13" ht="22.5" x14ac:dyDescent="0.35">
      <c r="B1640" s="702"/>
      <c r="C1640" s="239"/>
      <c r="D1640" s="707" t="s">
        <v>97</v>
      </c>
      <c r="E1640" s="708"/>
      <c r="F1640" s="236">
        <f>INDEX(WEAP!$A:$AN,MATCH(B1636,WEAP!$A:$A,0),MATCH("Str",WEAP!$A$1:$BF$1,0))</f>
        <v>1653</v>
      </c>
      <c r="G1640" s="237">
        <f>INDEX(WEAP!$A:$AN,MATCH(B1636,WEAP!$A:$A,0),MATCH("Str V3",WEAP!$A$1:$BF$1,0))</f>
        <v>1655</v>
      </c>
      <c r="I1640" s="685"/>
      <c r="J1640" s="686"/>
      <c r="K1640" s="239"/>
      <c r="L1640" s="685"/>
      <c r="M1640" s="686"/>
    </row>
    <row r="1641" spans="1:13" s="245" customFormat="1" ht="7.5" customHeight="1" x14ac:dyDescent="0.2">
      <c r="A1641" s="245" t="s">
        <v>10763</v>
      </c>
    </row>
    <row r="1642" spans="1:13" ht="22.5" x14ac:dyDescent="0.35">
      <c r="A1642" s="244" t="str">
        <f>TEXT(A1635+1,"000")</f>
        <v>235</v>
      </c>
      <c r="B1642" s="238" t="str">
        <f>"W-"&amp;A1642</f>
        <v>W-235</v>
      </c>
      <c r="C1642" s="239"/>
      <c r="D1642" s="692" t="str">
        <f>+INDEX(WEAP!$A:$AN,MATCH(B1643,WEAP!$A:$A,0),MATCH("Name",WEAP!$A$1:$BF$1,0))</f>
        <v>Camelot</v>
      </c>
      <c r="E1642" s="693"/>
      <c r="F1642" s="693"/>
      <c r="G1642" s="694"/>
      <c r="I1642" s="241" t="str">
        <f>+INDEX(WEAP!$A:$AN,MATCH(B1643,WEAP!$A:$A,0),MATCH("Weapon Skill",WEAP!$A$1:$BF$1,0))</f>
        <v>Gwiber</v>
      </c>
      <c r="J1642" s="243">
        <f>INDEX('W-S'!$A:$N,MATCH(I1642,'W-S'!$C:$C,0),MATCH("SP Cost",'W-S'!$1:$1,0))</f>
        <v>3000</v>
      </c>
      <c r="K1642" s="9"/>
      <c r="L1642" s="241" t="str">
        <f>+I1642</f>
        <v>Gwiber</v>
      </c>
      <c r="M1642" s="243">
        <f>INDEX('W-S'!$A:$N,MATCH(L1642,'W-S'!$C:$C,0),MATCH("SP Cost V3",'W-S'!$1:$1,0))</f>
        <v>3000</v>
      </c>
    </row>
    <row r="1643" spans="1:13" ht="22.5" customHeight="1" x14ac:dyDescent="0.35">
      <c r="B1643" s="238" t="str">
        <f>+INDEX(WEAP!$A:$AN,MATCH(B1642,WEAP!$B:$B,0),MATCH("ID",WEAP!$A$1:$BF$1,0))</f>
        <v>307137_01</v>
      </c>
      <c r="C1643" s="240"/>
      <c r="D1643" s="692" t="str">
        <f>+INDEX(WEAP!$A:$AN,MATCH(B1642,WEAP!$B:$B,0),MATCH("Family",WEAP!$A$1:$BF$1,0))&amp;" Weapon"</f>
        <v>Agito Weapon</v>
      </c>
      <c r="E1643" s="693"/>
      <c r="F1643" s="693"/>
      <c r="G1643" s="694"/>
      <c r="H1643" s="8"/>
      <c r="I1643" s="681" t="str">
        <f>INDEX('W-S'!$A:$O,MATCH(I1642,'W-S'!$C:$C,0),MATCH("Description",'W-S'!$1:$1,0))</f>
        <v>Increases the user's strength by 40% until the next time this skill is used. The second time this skill is used, it will instead become Y Ddraig Goch. Y Ddraig Goch increases the user's defense by 50% until the skill is next used. The skill will then alternate between these two effects with every use.</v>
      </c>
      <c r="J1643" s="682"/>
      <c r="K1643" s="239"/>
      <c r="L1643" s="681" t="str">
        <f>INDEX('W-S'!$A:$O,MATCH(I1642,'W-S'!$C:$C,0),MATCH("Description V3",'W-S'!$1:$1,0))</f>
        <v>Increases the user's strength by 40% until the next time this skill is used. The second time this skill is used, it will instead become Y Ddraig Goch. Y Ddraig Goch increases the user's defense by 50% and gradually recovers the user's HP with 5% Recovery Potency every 2.9 seconds until the skill is next used. The skill will then alternate between these two effects with every use.</v>
      </c>
      <c r="M1643" s="682"/>
    </row>
    <row r="1644" spans="1:13" ht="22.5" x14ac:dyDescent="0.2">
      <c r="B1644" s="701" t="e" vm="255">
        <f>+_xlfn.IMAGE("https://natalie.tf/wp-content/uploads/2023/10/DLV3_Icon_Weapon_"&amp;B1643&amp;".png")</f>
        <v>#VALUE!</v>
      </c>
      <c r="C1644" s="240"/>
      <c r="D1644" s="692" t="str">
        <f>INDEX(WEAP!$A:$AN,MATCH(B1643,WEAP!$A:$A,0),MATCH("Element",WEAP!$A$1:$BF$1,0))&amp;" "&amp;INDEX(WEAP!$A:$AN,MATCH(B1643,WEAP!$A:$A,0),MATCH("Type",WEAP!$A$1:$BF$1,0))</f>
        <v>Wind Wand</v>
      </c>
      <c r="E1644" s="693"/>
      <c r="F1644" s="693"/>
      <c r="G1644" s="694"/>
      <c r="H1644" s="8"/>
      <c r="I1644" s="683"/>
      <c r="J1644" s="684"/>
      <c r="K1644" s="9"/>
      <c r="L1644" s="683"/>
      <c r="M1644" s="684"/>
    </row>
    <row r="1645" spans="1:13" ht="22.5" x14ac:dyDescent="0.35">
      <c r="B1645" s="702"/>
      <c r="C1645" s="239"/>
      <c r="D1645" s="703" t="s">
        <v>10760</v>
      </c>
      <c r="E1645" s="704"/>
      <c r="F1645" s="235" t="s">
        <v>10761</v>
      </c>
      <c r="G1645" s="235" t="s">
        <v>10762</v>
      </c>
      <c r="I1645" s="683"/>
      <c r="J1645" s="684"/>
      <c r="K1645" s="239"/>
      <c r="L1645" s="683"/>
      <c r="M1645" s="684"/>
    </row>
    <row r="1646" spans="1:13" ht="22.5" x14ac:dyDescent="0.35">
      <c r="B1646" s="702"/>
      <c r="C1646" s="239"/>
      <c r="D1646" s="705" t="s">
        <v>96</v>
      </c>
      <c r="E1646" s="706"/>
      <c r="F1646" s="236">
        <f>INDEX(WEAP!$A:$AN,MATCH(B1643,WEAP!$A:$A,0),MATCH("HP",WEAP!$A$1:$BF$1,0))</f>
        <v>255</v>
      </c>
      <c r="G1646" s="237">
        <f>INDEX(WEAP!$A:$AN,MATCH(B1643,WEAP!$A:$A,0),MATCH("HP V3",WEAP!$A$1:$BF$1,0))</f>
        <v>275</v>
      </c>
      <c r="I1646" s="683"/>
      <c r="J1646" s="684"/>
      <c r="K1646" s="239"/>
      <c r="L1646" s="683"/>
      <c r="M1646" s="684"/>
    </row>
    <row r="1647" spans="1:13" ht="22.5" x14ac:dyDescent="0.35">
      <c r="B1647" s="702"/>
      <c r="C1647" s="239"/>
      <c r="D1647" s="707" t="s">
        <v>97</v>
      </c>
      <c r="E1647" s="708"/>
      <c r="F1647" s="236">
        <f>INDEX(WEAP!$A:$AN,MATCH(B1643,WEAP!$A:$A,0),MATCH("Str",WEAP!$A$1:$BF$1,0))</f>
        <v>1771</v>
      </c>
      <c r="G1647" s="237">
        <f>INDEX(WEAP!$A:$AN,MATCH(B1643,WEAP!$A:$A,0),MATCH("Str V3",WEAP!$A$1:$BF$1,0))</f>
        <v>1775</v>
      </c>
      <c r="I1647" s="685"/>
      <c r="J1647" s="686"/>
      <c r="K1647" s="239"/>
      <c r="L1647" s="685"/>
      <c r="M1647" s="686"/>
    </row>
    <row r="1648" spans="1:13" ht="33.75" customHeight="1" x14ac:dyDescent="0.2">
      <c r="A1648" t="s">
        <v>10763</v>
      </c>
    </row>
    <row r="1649" spans="1:13" ht="22.5" x14ac:dyDescent="0.35">
      <c r="A1649" s="244" t="str">
        <f>TEXT(A1642+1,"000")</f>
        <v>236</v>
      </c>
      <c r="B1649" s="238" t="str">
        <f>"W-"&amp;A1649</f>
        <v>W-236</v>
      </c>
      <c r="C1649" s="239"/>
      <c r="D1649" s="692" t="str">
        <f>+INDEX(WEAP!$A:$AN,MATCH(B1650,WEAP!$A:$A,0),MATCH("Name",WEAP!$A$1:$BF$1,0))</f>
        <v>Avalon</v>
      </c>
      <c r="E1649" s="693"/>
      <c r="F1649" s="693"/>
      <c r="G1649" s="694"/>
      <c r="I1649" s="241" t="str">
        <f>+INDEX(WEAP!$A:$AN,MATCH(B1650,WEAP!$A:$A,0),MATCH("Weapon Skill",WEAP!$A$1:$BF$1,0))</f>
        <v>Gwiber</v>
      </c>
      <c r="J1649" s="243">
        <f>INDEX('W-S'!$A:$N,MATCH(I1649,'W-S'!$C:$C,0),MATCH("SP Cost",'W-S'!$1:$1,0))</f>
        <v>3000</v>
      </c>
      <c r="K1649" s="9"/>
      <c r="L1649" s="241" t="str">
        <f>+I1649</f>
        <v>Gwiber</v>
      </c>
      <c r="M1649" s="243">
        <f>INDEX('W-S'!$A:$N,MATCH(L1649,'W-S'!$C:$C,0),MATCH("SP Cost V3",'W-S'!$1:$1,0))</f>
        <v>3000</v>
      </c>
    </row>
    <row r="1650" spans="1:13" ht="22.5" customHeight="1" x14ac:dyDescent="0.35">
      <c r="B1650" s="238" t="str">
        <f>+INDEX(WEAP!$A:$AN,MATCH(B1649,WEAP!$B:$B,0),MATCH("ID",WEAP!$A$1:$BF$1,0))</f>
        <v>308130_01</v>
      </c>
      <c r="C1650" s="240"/>
      <c r="D1650" s="692" t="str">
        <f>+INDEX(WEAP!$A:$AN,MATCH(B1649,WEAP!$B:$B,0),MATCH("Family",WEAP!$A$1:$BF$1,0))&amp;" Weapon"</f>
        <v>Agito Weapon</v>
      </c>
      <c r="E1650" s="693"/>
      <c r="F1650" s="693"/>
      <c r="G1650" s="694"/>
      <c r="H1650" s="8"/>
      <c r="I1650" s="681" t="str">
        <f>INDEX('W-S'!$A:$O,MATCH(I1649,'W-S'!$C:$C,0),MATCH("Description",'W-S'!$1:$1,0))</f>
        <v>Increases the user's strength by 40% until the next time this skill is used. The second time this skill is used, it will instead become Y Ddraig Goch. Y Ddraig Goch increases the user's defense by 50% until the skill is next used. The skill will then alternate between these two effects with every use.</v>
      </c>
      <c r="J1650" s="682"/>
      <c r="K1650" s="239"/>
      <c r="L1650" s="681" t="str">
        <f>INDEX('W-S'!$A:$O,MATCH(I1649,'W-S'!$C:$C,0),MATCH("Description V3",'W-S'!$1:$1,0))</f>
        <v>Increases the user's strength by 40% until the next time this skill is used. The second time this skill is used, it will instead become Y Ddraig Goch. Y Ddraig Goch increases the user's defense by 50% and gradually recovers the user's HP with 5% Recovery Potency every 2.9 seconds until the skill is next used. The skill will then alternate between these two effects with every use.</v>
      </c>
      <c r="M1650" s="682"/>
    </row>
    <row r="1651" spans="1:13" ht="22.5" x14ac:dyDescent="0.2">
      <c r="B1651" s="701" t="e" vm="256">
        <f>+_xlfn.IMAGE("https://natalie.tf/wp-content/uploads/2023/10/DLV3_Icon_Weapon_"&amp;B1650&amp;".png")</f>
        <v>#VALUE!</v>
      </c>
      <c r="C1651" s="240"/>
      <c r="D1651" s="692" t="str">
        <f>INDEX(WEAP!$A:$AN,MATCH(B1650,WEAP!$A:$A,0),MATCH("Element",WEAP!$A$1:$BF$1,0))&amp;" "&amp;INDEX(WEAP!$A:$AN,MATCH(B1650,WEAP!$A:$A,0),MATCH("Type",WEAP!$A$1:$BF$1,0))</f>
        <v>Wind Staff</v>
      </c>
      <c r="E1651" s="693"/>
      <c r="F1651" s="693"/>
      <c r="G1651" s="694"/>
      <c r="H1651" s="8"/>
      <c r="I1651" s="683"/>
      <c r="J1651" s="684"/>
      <c r="K1651" s="9"/>
      <c r="L1651" s="683"/>
      <c r="M1651" s="684"/>
    </row>
    <row r="1652" spans="1:13" ht="22.5" x14ac:dyDescent="0.35">
      <c r="B1652" s="702"/>
      <c r="C1652" s="239"/>
      <c r="D1652" s="703" t="s">
        <v>10760</v>
      </c>
      <c r="E1652" s="704"/>
      <c r="F1652" s="235" t="s">
        <v>10761</v>
      </c>
      <c r="G1652" s="235" t="s">
        <v>10762</v>
      </c>
      <c r="I1652" s="683"/>
      <c r="J1652" s="684"/>
      <c r="K1652" s="239"/>
      <c r="L1652" s="683"/>
      <c r="M1652" s="684"/>
    </row>
    <row r="1653" spans="1:13" ht="22.5" x14ac:dyDescent="0.35">
      <c r="B1653" s="702"/>
      <c r="C1653" s="239"/>
      <c r="D1653" s="705" t="s">
        <v>96</v>
      </c>
      <c r="E1653" s="706"/>
      <c r="F1653" s="236">
        <f>INDEX(WEAP!$A:$AN,MATCH(B1650,WEAP!$A:$A,0),MATCH("HP",WEAP!$A$1:$BF$1,0))</f>
        <v>297</v>
      </c>
      <c r="G1653" s="237">
        <f>INDEX(WEAP!$A:$AN,MATCH(B1650,WEAP!$A:$A,0),MATCH("HP V3",WEAP!$A$1:$BF$1,0))</f>
        <v>325</v>
      </c>
      <c r="I1653" s="683"/>
      <c r="J1653" s="684"/>
      <c r="K1653" s="239"/>
      <c r="L1653" s="683"/>
      <c r="M1653" s="684"/>
    </row>
    <row r="1654" spans="1:13" ht="22.5" x14ac:dyDescent="0.35">
      <c r="B1654" s="702"/>
      <c r="C1654" s="239"/>
      <c r="D1654" s="707" t="s">
        <v>97</v>
      </c>
      <c r="E1654" s="708"/>
      <c r="F1654" s="236">
        <f>INDEX(WEAP!$A:$AN,MATCH(B1650,WEAP!$A:$A,0),MATCH("Str",WEAP!$A$1:$BF$1,0))</f>
        <v>1636</v>
      </c>
      <c r="G1654" s="237">
        <f>INDEX(WEAP!$A:$AN,MATCH(B1650,WEAP!$A:$A,0),MATCH("Str V3",WEAP!$A$1:$BF$1,0))</f>
        <v>1640</v>
      </c>
      <c r="I1654" s="685"/>
      <c r="J1654" s="686"/>
      <c r="K1654" s="239"/>
      <c r="L1654" s="685"/>
      <c r="M1654" s="686"/>
    </row>
    <row r="1655" spans="1:13" s="245" customFormat="1" ht="7.5" customHeight="1" x14ac:dyDescent="0.2">
      <c r="A1655" s="245" t="s">
        <v>10763</v>
      </c>
    </row>
    <row r="1656" spans="1:13" ht="22.5" x14ac:dyDescent="0.35">
      <c r="A1656" s="242" t="str">
        <f>TEXT(A1649+1,"000")</f>
        <v>237</v>
      </c>
      <c r="B1656" s="238" t="str">
        <f>"W-"&amp;A1656</f>
        <v>W-237</v>
      </c>
      <c r="C1656" s="239"/>
      <c r="D1656" s="692" t="str">
        <f>+INDEX(WEAP!$A:$AN,MATCH(B1657,WEAP!$A:$A,0),MATCH("Name",WEAP!$A$1:$BF$1,0))</f>
        <v>Gallatin</v>
      </c>
      <c r="E1656" s="693"/>
      <c r="F1656" s="693"/>
      <c r="G1656" s="694"/>
      <c r="I1656" s="241" t="str">
        <f>+INDEX(WEAP!$A:$AN,MATCH(B1657,WEAP!$A:$A,0),MATCH("Weapon Skill",WEAP!$A$1:$BF$1,0))</f>
        <v>Gwiber</v>
      </c>
      <c r="J1656" s="243">
        <f>INDEX('W-S'!$A:$N,MATCH(I1656,'W-S'!$C:$C,0),MATCH("SP Cost",'W-S'!$1:$1,0))</f>
        <v>3000</v>
      </c>
      <c r="K1656" s="9"/>
      <c r="L1656" s="241" t="str">
        <f>+I1656</f>
        <v>Gwiber</v>
      </c>
      <c r="M1656" s="243">
        <f>INDEX('W-S'!$A:$N,MATCH(L1656,'W-S'!$C:$C,0),MATCH("SP Cost V3",'W-S'!$1:$1,0))</f>
        <v>3000</v>
      </c>
    </row>
    <row r="1657" spans="1:13" ht="22.5" customHeight="1" x14ac:dyDescent="0.35">
      <c r="B1657" s="238" t="str">
        <f>+INDEX(WEAP!$A:$AN,MATCH(B1656,WEAP!$B:$B,0),MATCH("ID",WEAP!$A$1:$BF$1,0))</f>
        <v>309028_01</v>
      </c>
      <c r="C1657" s="240"/>
      <c r="D1657" s="692" t="str">
        <f>+INDEX(WEAP!$A:$AN,MATCH(B1656,WEAP!$B:$B,0),MATCH("Family",WEAP!$A$1:$BF$1,0))&amp;" Weapon"</f>
        <v>Agito Weapon</v>
      </c>
      <c r="E1657" s="693"/>
      <c r="F1657" s="693"/>
      <c r="G1657" s="694"/>
      <c r="H1657" s="8"/>
      <c r="I1657" s="681" t="str">
        <f>INDEX('W-S'!$A:$O,MATCH(I1656,'W-S'!$C:$C,0),MATCH("Description",'W-S'!$1:$1,0))</f>
        <v>Increases the user's strength by 40% until the next time this skill is used. The second time this skill is used, it will instead become Y Ddraig Goch. Y Ddraig Goch increases the user's defense by 50% until the skill is next used. The skill will then alternate between these two effects with every use.</v>
      </c>
      <c r="J1657" s="682"/>
      <c r="K1657" s="239"/>
      <c r="L1657" s="681" t="str">
        <f>INDEX('W-S'!$A:$O,MATCH(I1656,'W-S'!$C:$C,0),MATCH("Description V3",'W-S'!$1:$1,0))</f>
        <v>Increases the user's strength by 40% until the next time this skill is used. The second time this skill is used, it will instead become Y Ddraig Goch. Y Ddraig Goch increases the user's defense by 50% and gradually recovers the user's HP with 5% Recovery Potency every 2.9 seconds until the skill is next used. The skill will then alternate between these two effects with every use.</v>
      </c>
      <c r="M1657" s="682"/>
    </row>
    <row r="1658" spans="1:13" ht="22.5" x14ac:dyDescent="0.2">
      <c r="B1658" s="701" t="e" vm="257">
        <f>+_xlfn.IMAGE("https://natalie.tf/wp-content/uploads/2023/10/DLV3_Icon_Weapon_"&amp;B1657&amp;".png")</f>
        <v>#VALUE!</v>
      </c>
      <c r="C1658" s="240"/>
      <c r="D1658" s="692" t="str">
        <f>INDEX(WEAP!$A:$AN,MATCH(B1657,WEAP!$A:$A,0),MATCH("Element",WEAP!$A$1:$BF$1,0))&amp;" "&amp;INDEX(WEAP!$A:$AN,MATCH(B1657,WEAP!$A:$A,0),MATCH("Type",WEAP!$A$1:$BF$1,0))</f>
        <v>Wind Manacaster</v>
      </c>
      <c r="E1658" s="693"/>
      <c r="F1658" s="693"/>
      <c r="G1658" s="694"/>
      <c r="H1658" s="8"/>
      <c r="I1658" s="683"/>
      <c r="J1658" s="684"/>
      <c r="K1658" s="9"/>
      <c r="L1658" s="683"/>
      <c r="M1658" s="684"/>
    </row>
    <row r="1659" spans="1:13" ht="22.5" x14ac:dyDescent="0.35">
      <c r="B1659" s="702"/>
      <c r="C1659" s="239"/>
      <c r="D1659" s="703" t="s">
        <v>10760</v>
      </c>
      <c r="E1659" s="704"/>
      <c r="F1659" s="235" t="s">
        <v>10761</v>
      </c>
      <c r="G1659" s="235" t="s">
        <v>10762</v>
      </c>
      <c r="I1659" s="683"/>
      <c r="J1659" s="684"/>
      <c r="K1659" s="239"/>
      <c r="L1659" s="683"/>
      <c r="M1659" s="684"/>
    </row>
    <row r="1660" spans="1:13" ht="22.5" x14ac:dyDescent="0.35">
      <c r="B1660" s="702"/>
      <c r="C1660" s="239"/>
      <c r="D1660" s="705" t="s">
        <v>96</v>
      </c>
      <c r="E1660" s="706"/>
      <c r="F1660" s="236">
        <f>INDEX(WEAP!$A:$AN,MATCH(B1657,WEAP!$A:$A,0),MATCH("HP",WEAP!$A$1:$BF$1,0))</f>
        <v>262</v>
      </c>
      <c r="G1660" s="237">
        <f>INDEX(WEAP!$A:$AN,MATCH(B1657,WEAP!$A:$A,0),MATCH("HP V3",WEAP!$A$1:$BF$1,0))</f>
        <v>270</v>
      </c>
      <c r="I1660" s="683"/>
      <c r="J1660" s="684"/>
      <c r="K1660" s="239"/>
      <c r="L1660" s="683"/>
      <c r="M1660" s="684"/>
    </row>
    <row r="1661" spans="1:13" ht="22.5" x14ac:dyDescent="0.35">
      <c r="B1661" s="702"/>
      <c r="C1661" s="239"/>
      <c r="D1661" s="707" t="s">
        <v>97</v>
      </c>
      <c r="E1661" s="708"/>
      <c r="F1661" s="236">
        <f>INDEX(WEAP!$A:$AN,MATCH(B1657,WEAP!$A:$A,0),MATCH("Str",WEAP!$A$1:$BF$1,0))</f>
        <v>1737</v>
      </c>
      <c r="G1661" s="237">
        <f>INDEX(WEAP!$A:$AN,MATCH(B1657,WEAP!$A:$A,0),MATCH("Str V3",WEAP!$A$1:$BF$1,0))</f>
        <v>1740</v>
      </c>
      <c r="I1661" s="685"/>
      <c r="J1661" s="686"/>
      <c r="K1661" s="239"/>
      <c r="L1661" s="685"/>
      <c r="M1661" s="686"/>
    </row>
    <row r="1662" spans="1:13" s="245" customFormat="1" ht="7.5" customHeight="1" x14ac:dyDescent="0.2">
      <c r="A1662" s="245" t="s">
        <v>10763</v>
      </c>
    </row>
    <row r="1663" spans="1:13" ht="22.5" x14ac:dyDescent="0.35">
      <c r="A1663" s="244" t="str">
        <f>TEXT(A1656+1,"000")</f>
        <v>238</v>
      </c>
      <c r="B1663" s="238" t="str">
        <f>"W-"&amp;A1663</f>
        <v>W-238</v>
      </c>
      <c r="C1663" s="239"/>
      <c r="D1663" s="692" t="str">
        <f>+INDEX(WEAP!$A:$AN,MATCH(B1664,WEAP!$A:$A,0),MATCH("Name",WEAP!$A$1:$BF$1,0))</f>
        <v>Caladbolg</v>
      </c>
      <c r="E1663" s="693"/>
      <c r="F1663" s="693"/>
      <c r="G1663" s="694"/>
      <c r="I1663" s="241" t="str">
        <f>+INDEX(WEAP!$A:$AN,MATCH(B1664,WEAP!$A:$A,0),MATCH("Weapon Skill",WEAP!$A$1:$BF$1,0))</f>
        <v>Mag Mell</v>
      </c>
      <c r="J1663" s="243">
        <f>INDEX('W-S'!$A:$N,MATCH(I1663,'W-S'!$C:$C,0),MATCH("SP Cost",'W-S'!$1:$1,0))</f>
        <v>3000</v>
      </c>
      <c r="K1663" s="9"/>
      <c r="L1663" s="241" t="str">
        <f>+I1663</f>
        <v>Mag Mell</v>
      </c>
      <c r="M1663" s="243">
        <f>INDEX('W-S'!$A:$N,MATCH(L1663,'W-S'!$C:$C,0),MATCH("SP Cost V3",'W-S'!$1:$1,0))</f>
        <v>3000</v>
      </c>
    </row>
    <row r="1664" spans="1:13" ht="22.5" customHeight="1" x14ac:dyDescent="0.35">
      <c r="B1664" s="238" t="str">
        <f>+INDEX(WEAP!$A:$AN,MATCH(B1663,WEAP!$B:$B,0),MATCH("ID",WEAP!$A$1:$BF$1,0))</f>
        <v>301141_01</v>
      </c>
      <c r="C1664" s="240"/>
      <c r="D1664" s="692" t="str">
        <f>+INDEX(WEAP!$A:$AN,MATCH(B1663,WEAP!$B:$B,0),MATCH("Family",WEAP!$A$1:$BF$1,0))&amp;" Weapon"</f>
        <v>Agito Weapon</v>
      </c>
      <c r="E1664" s="693"/>
      <c r="F1664" s="693"/>
      <c r="G1664" s="694"/>
      <c r="H1664" s="8"/>
      <c r="I1664" s="681" t="str">
        <f>INDEX('W-S'!$A:$O,MATCH(I1663,'W-S'!$C:$C,0),MATCH("Description",'W-S'!$1:$1,0))</f>
        <v>Increases the user's strength by 40% until the next time this skill is used. The second time this skill is used, it will instead become Tír na nÓg. Tír na nÓg deals 5 hits of 198.4% light damage to surrounding enemies and if the attack connects, it will fill the dragon gauge by 100 DP once and increase skill gauge fill rate by 10% until the skill is next used. The skill will then alternate between these two effects with every use.</v>
      </c>
      <c r="J1664" s="682"/>
      <c r="K1664" s="239"/>
      <c r="L1664" s="720" t="str">
        <f>INDEX('W-S'!$A:$O,MATCH(I1663,'W-S'!$C:$C,0),MATCH("Description V3",'W-S'!$1:$1,0))</f>
        <v>Increases the user's strength by 40% until the next time this skill is used. The second time this skill is used, it will instead become Tír na nÓg. Tír na nÓg deals 5 hits of 300% light damage to surrounding enemies and if the attack connects, it will fill the dragon gauge by 100 DP once, increase skill gauge fill rate by 10%, and gradually recovers the user's HP with 5% Recovery Potency every 2.9 seconds until the skill is next used. The skill will then alternate between these two effects with every use.</v>
      </c>
      <c r="M1664" s="721"/>
    </row>
    <row r="1665" spans="1:13" ht="22.5" x14ac:dyDescent="0.2">
      <c r="B1665" s="701" t="e" vm="258">
        <f>+_xlfn.IMAGE("https://natalie.tf/wp-content/uploads/2023/10/DLV3_Icon_Weapon_"&amp;B1664&amp;".png")</f>
        <v>#VALUE!</v>
      </c>
      <c r="C1665" s="240"/>
      <c r="D1665" s="692" t="str">
        <f>INDEX(WEAP!$A:$AN,MATCH(B1664,WEAP!$A:$A,0),MATCH("Element",WEAP!$A$1:$BF$1,0))&amp;" "&amp;INDEX(WEAP!$A:$AN,MATCH(B1664,WEAP!$A:$A,0),MATCH("Type",WEAP!$A$1:$BF$1,0))</f>
        <v>Light Sword</v>
      </c>
      <c r="E1665" s="693"/>
      <c r="F1665" s="693"/>
      <c r="G1665" s="694"/>
      <c r="H1665" s="8"/>
      <c r="I1665" s="683"/>
      <c r="J1665" s="684"/>
      <c r="K1665" s="9"/>
      <c r="L1665" s="722"/>
      <c r="M1665" s="723"/>
    </row>
    <row r="1666" spans="1:13" ht="22.5" x14ac:dyDescent="0.35">
      <c r="B1666" s="702"/>
      <c r="C1666" s="239"/>
      <c r="D1666" s="703" t="s">
        <v>10760</v>
      </c>
      <c r="E1666" s="704"/>
      <c r="F1666" s="235" t="s">
        <v>10761</v>
      </c>
      <c r="G1666" s="235" t="s">
        <v>10762</v>
      </c>
      <c r="I1666" s="683"/>
      <c r="J1666" s="684"/>
      <c r="K1666" s="239"/>
      <c r="L1666" s="722"/>
      <c r="M1666" s="723"/>
    </row>
    <row r="1667" spans="1:13" ht="22.5" x14ac:dyDescent="0.35">
      <c r="B1667" s="702"/>
      <c r="C1667" s="239"/>
      <c r="D1667" s="705" t="s">
        <v>96</v>
      </c>
      <c r="E1667" s="706"/>
      <c r="F1667" s="236">
        <f>INDEX(WEAP!$A:$AN,MATCH(B1664,WEAP!$A:$A,0),MATCH("HP",WEAP!$A$1:$BF$1,0))</f>
        <v>270</v>
      </c>
      <c r="G1667" s="237">
        <f>INDEX(WEAP!$A:$AN,MATCH(B1664,WEAP!$A:$A,0),MATCH("HP V3",WEAP!$A$1:$BF$1,0))</f>
        <v>270</v>
      </c>
      <c r="I1667" s="683"/>
      <c r="J1667" s="684"/>
      <c r="K1667" s="239"/>
      <c r="L1667" s="722"/>
      <c r="M1667" s="723"/>
    </row>
    <row r="1668" spans="1:13" ht="22.5" x14ac:dyDescent="0.35">
      <c r="B1668" s="702"/>
      <c r="C1668" s="239"/>
      <c r="D1668" s="707" t="s">
        <v>97</v>
      </c>
      <c r="E1668" s="708"/>
      <c r="F1668" s="236">
        <f>INDEX(WEAP!$A:$AN,MATCH(B1664,WEAP!$A:$A,0),MATCH("Str",WEAP!$A$1:$BF$1,0))</f>
        <v>1720</v>
      </c>
      <c r="G1668" s="237">
        <f>INDEX(WEAP!$A:$AN,MATCH(B1664,WEAP!$A:$A,0),MATCH("Str V3",WEAP!$A$1:$BF$1,0))</f>
        <v>1720</v>
      </c>
      <c r="I1668" s="685"/>
      <c r="J1668" s="686"/>
      <c r="K1668" s="239"/>
      <c r="L1668" s="724"/>
      <c r="M1668" s="725"/>
    </row>
    <row r="1669" spans="1:13" s="245" customFormat="1" ht="7.5" customHeight="1" x14ac:dyDescent="0.2">
      <c r="A1669" s="245" t="s">
        <v>10763</v>
      </c>
    </row>
    <row r="1670" spans="1:13" ht="22.5" x14ac:dyDescent="0.35">
      <c r="A1670" s="244" t="str">
        <f>TEXT(A1663+1,"000")</f>
        <v>239</v>
      </c>
      <c r="B1670" s="238" t="str">
        <f>"W-"&amp;A1670</f>
        <v>W-239</v>
      </c>
      <c r="C1670" s="239"/>
      <c r="D1670" s="692" t="str">
        <f>+INDEX(WEAP!$A:$AN,MATCH(B1671,WEAP!$A:$A,0),MATCH("Name",WEAP!$A$1:$BF$1,0))</f>
        <v>Fragarach</v>
      </c>
      <c r="E1670" s="693"/>
      <c r="F1670" s="693"/>
      <c r="G1670" s="694"/>
      <c r="I1670" s="241" t="str">
        <f>+INDEX(WEAP!$A:$AN,MATCH(B1671,WEAP!$A:$A,0),MATCH("Weapon Skill",WEAP!$A$1:$BF$1,0))</f>
        <v>Mag Mell</v>
      </c>
      <c r="J1670" s="243">
        <f>INDEX('W-S'!$A:$N,MATCH(I1670,'W-S'!$C:$C,0),MATCH("SP Cost",'W-S'!$1:$1,0))</f>
        <v>3000</v>
      </c>
      <c r="K1670" s="9"/>
      <c r="L1670" s="241" t="str">
        <f>+I1670</f>
        <v>Mag Mell</v>
      </c>
      <c r="M1670" s="243">
        <f>INDEX('W-S'!$A:$N,MATCH(L1670,'W-S'!$C:$C,0),MATCH("SP Cost V3",'W-S'!$1:$1,0))</f>
        <v>3000</v>
      </c>
    </row>
    <row r="1671" spans="1:13" ht="22.5" customHeight="1" x14ac:dyDescent="0.35">
      <c r="B1671" s="238" t="str">
        <f>+INDEX(WEAP!$A:$AN,MATCH(B1670,WEAP!$B:$B,0),MATCH("ID",WEAP!$A$1:$BF$1,0))</f>
        <v>302132_01</v>
      </c>
      <c r="C1671" s="240"/>
      <c r="D1671" s="692" t="str">
        <f>+INDEX(WEAP!$A:$AN,MATCH(B1670,WEAP!$B:$B,0),MATCH("Family",WEAP!$A$1:$BF$1,0))&amp;" Weapon"</f>
        <v>Agito Weapon</v>
      </c>
      <c r="E1671" s="693"/>
      <c r="F1671" s="693"/>
      <c r="G1671" s="694"/>
      <c r="H1671" s="8"/>
      <c r="I1671" s="681" t="str">
        <f>INDEX('W-S'!$A:$O,MATCH(I1670,'W-S'!$C:$C,0),MATCH("Description",'W-S'!$1:$1,0))</f>
        <v>Increases the user's strength by 40% until the next time this skill is used. The second time this skill is used, it will instead become Tír na nÓg. Tír na nÓg deals 5 hits of 198.4% light damage to surrounding enemies and if the attack connects, it will fill the dragon gauge by 100 DP once and increase skill gauge fill rate by 10% until the skill is next used. The skill will then alternate between these two effects with every use.</v>
      </c>
      <c r="J1671" s="682"/>
      <c r="K1671" s="239"/>
      <c r="L1671" s="720" t="str">
        <f>INDEX('W-S'!$A:$O,MATCH(I1670,'W-S'!$C:$C,0),MATCH("Description V3",'W-S'!$1:$1,0))</f>
        <v>Increases the user's strength by 40% until the next time this skill is used. The second time this skill is used, it will instead become Tír na nÓg. Tír na nÓg deals 5 hits of 300% light damage to surrounding enemies and if the attack connects, it will fill the dragon gauge by 100 DP once, increase skill gauge fill rate by 10%, and gradually recovers the user's HP with 5% Recovery Potency every 2.9 seconds until the skill is next used. The skill will then alternate between these two effects with every use.</v>
      </c>
      <c r="M1671" s="721"/>
    </row>
    <row r="1672" spans="1:13" ht="22.5" x14ac:dyDescent="0.2">
      <c r="B1672" s="701" t="e" vm="259">
        <f>+_xlfn.IMAGE("https://natalie.tf/wp-content/uploads/2023/10/DLV3_Icon_Weapon_"&amp;B1671&amp;".png")</f>
        <v>#VALUE!</v>
      </c>
      <c r="C1672" s="240"/>
      <c r="D1672" s="692" t="str">
        <f>INDEX(WEAP!$A:$AN,MATCH(B1671,WEAP!$A:$A,0),MATCH("Element",WEAP!$A$1:$BF$1,0))&amp;" "&amp;INDEX(WEAP!$A:$AN,MATCH(B1671,WEAP!$A:$A,0),MATCH("Type",WEAP!$A$1:$BF$1,0))</f>
        <v>Light Blade</v>
      </c>
      <c r="E1672" s="693"/>
      <c r="F1672" s="693"/>
      <c r="G1672" s="694"/>
      <c r="H1672" s="8"/>
      <c r="I1672" s="683"/>
      <c r="J1672" s="684"/>
      <c r="K1672" s="9"/>
      <c r="L1672" s="722"/>
      <c r="M1672" s="723"/>
    </row>
    <row r="1673" spans="1:13" ht="22.5" x14ac:dyDescent="0.35">
      <c r="B1673" s="702"/>
      <c r="C1673" s="239"/>
      <c r="D1673" s="703" t="s">
        <v>10760</v>
      </c>
      <c r="E1673" s="704"/>
      <c r="F1673" s="235" t="s">
        <v>10761</v>
      </c>
      <c r="G1673" s="235" t="s">
        <v>10762</v>
      </c>
      <c r="I1673" s="683"/>
      <c r="J1673" s="684"/>
      <c r="K1673" s="239"/>
      <c r="L1673" s="722"/>
      <c r="M1673" s="723"/>
    </row>
    <row r="1674" spans="1:13" ht="22.5" x14ac:dyDescent="0.35">
      <c r="B1674" s="702"/>
      <c r="C1674" s="239"/>
      <c r="D1674" s="705" t="s">
        <v>96</v>
      </c>
      <c r="E1674" s="706"/>
      <c r="F1674" s="236">
        <f>INDEX(WEAP!$A:$AN,MATCH(B1671,WEAP!$A:$A,0),MATCH("HP",WEAP!$A$1:$BF$1,0))</f>
        <v>239</v>
      </c>
      <c r="G1674" s="237">
        <f>INDEX(WEAP!$A:$AN,MATCH(B1671,WEAP!$A:$A,0),MATCH("HP V3",WEAP!$A$1:$BF$1,0))</f>
        <v>250</v>
      </c>
      <c r="I1674" s="683"/>
      <c r="J1674" s="684"/>
      <c r="K1674" s="239"/>
      <c r="L1674" s="722"/>
      <c r="M1674" s="723"/>
    </row>
    <row r="1675" spans="1:13" ht="22.5" x14ac:dyDescent="0.35">
      <c r="B1675" s="702"/>
      <c r="C1675" s="239"/>
      <c r="D1675" s="707" t="s">
        <v>97</v>
      </c>
      <c r="E1675" s="708"/>
      <c r="F1675" s="236">
        <f>INDEX(WEAP!$A:$AN,MATCH(B1671,WEAP!$A:$A,0),MATCH("Str",WEAP!$A$1:$BF$1,0))</f>
        <v>1822</v>
      </c>
      <c r="G1675" s="237">
        <f>INDEX(WEAP!$A:$AN,MATCH(B1671,WEAP!$A:$A,0),MATCH("Str V3",WEAP!$A$1:$BF$1,0))</f>
        <v>1825</v>
      </c>
      <c r="I1675" s="685"/>
      <c r="J1675" s="686"/>
      <c r="K1675" s="239"/>
      <c r="L1675" s="724"/>
      <c r="M1675" s="725"/>
    </row>
    <row r="1676" spans="1:13" s="245" customFormat="1" ht="7.5" customHeight="1" x14ac:dyDescent="0.2">
      <c r="A1676" s="245" t="s">
        <v>10763</v>
      </c>
    </row>
    <row r="1677" spans="1:13" ht="22.5" x14ac:dyDescent="0.35">
      <c r="A1677" s="244" t="str">
        <f>TEXT(A1670+1,"000")</f>
        <v>240</v>
      </c>
      <c r="B1677" s="238" t="str">
        <f>"W-"&amp;A1677</f>
        <v>W-240</v>
      </c>
      <c r="C1677" s="239"/>
      <c r="D1677" s="692" t="str">
        <f>+INDEX(WEAP!$A:$AN,MATCH(B1678,WEAP!$A:$A,0),MATCH("Name",WEAP!$A$1:$BF$1,0))</f>
        <v>Claíomh Solais</v>
      </c>
      <c r="E1677" s="693"/>
      <c r="F1677" s="693"/>
      <c r="G1677" s="694"/>
      <c r="I1677" s="241" t="str">
        <f>+INDEX(WEAP!$A:$AN,MATCH(B1678,WEAP!$A:$A,0),MATCH("Weapon Skill",WEAP!$A$1:$BF$1,0))</f>
        <v>Mag Mell</v>
      </c>
      <c r="J1677" s="243">
        <f>INDEX('W-S'!$A:$N,MATCH(I1677,'W-S'!$C:$C,0),MATCH("SP Cost",'W-S'!$1:$1,0))</f>
        <v>3000</v>
      </c>
      <c r="K1677" s="9"/>
      <c r="L1677" s="241" t="str">
        <f>+I1677</f>
        <v>Mag Mell</v>
      </c>
      <c r="M1677" s="243">
        <f>INDEX('W-S'!$A:$N,MATCH(L1677,'W-S'!$C:$C,0),MATCH("SP Cost V3",'W-S'!$1:$1,0))</f>
        <v>3000</v>
      </c>
    </row>
    <row r="1678" spans="1:13" ht="22.5" customHeight="1" x14ac:dyDescent="0.35">
      <c r="B1678" s="238" t="str">
        <f>+INDEX(WEAP!$A:$AN,MATCH(B1677,WEAP!$B:$B,0),MATCH("ID",WEAP!$A$1:$BF$1,0))</f>
        <v>303131_01</v>
      </c>
      <c r="C1678" s="240"/>
      <c r="D1678" s="692" t="str">
        <f>+INDEX(WEAP!$A:$AN,MATCH(B1677,WEAP!$B:$B,0),MATCH("Family",WEAP!$A$1:$BF$1,0))&amp;" Weapon"</f>
        <v>Agito Weapon</v>
      </c>
      <c r="E1678" s="693"/>
      <c r="F1678" s="693"/>
      <c r="G1678" s="694"/>
      <c r="H1678" s="8"/>
      <c r="I1678" s="681" t="str">
        <f>INDEX('W-S'!$A:$O,MATCH(I1677,'W-S'!$C:$C,0),MATCH("Description",'W-S'!$1:$1,0))</f>
        <v>Increases the user's strength by 40% until the next time this skill is used. The second time this skill is used, it will instead become Tír na nÓg. Tír na nÓg deals 5 hits of 198.4% light damage to surrounding enemies and if the attack connects, it will fill the dragon gauge by 100 DP once and increase skill gauge fill rate by 10% until the skill is next used. The skill will then alternate between these two effects with every use.</v>
      </c>
      <c r="J1678" s="682"/>
      <c r="K1678" s="239"/>
      <c r="L1678" s="720" t="str">
        <f>INDEX('W-S'!$A:$O,MATCH(I1677,'W-S'!$C:$C,0),MATCH("Description V3",'W-S'!$1:$1,0))</f>
        <v>Increases the user's strength by 40% until the next time this skill is used. The second time this skill is used, it will instead become Tír na nÓg. Tír na nÓg deals 5 hits of 300% light damage to surrounding enemies and if the attack connects, it will fill the dragon gauge by 100 DP once, increase skill gauge fill rate by 10%, and gradually recovers the user's HP with 5% Recovery Potency every 2.9 seconds until the skill is next used. The skill will then alternate between these two effects with every use.</v>
      </c>
      <c r="M1678" s="721"/>
    </row>
    <row r="1679" spans="1:13" ht="22.5" x14ac:dyDescent="0.2">
      <c r="B1679" s="701" t="e" vm="260">
        <f>+_xlfn.IMAGE("https://natalie.tf/wp-content/uploads/2023/10/DLV3_Icon_Weapon_"&amp;B1678&amp;".png")</f>
        <v>#VALUE!</v>
      </c>
      <c r="C1679" s="240"/>
      <c r="D1679" s="692" t="str">
        <f>INDEX(WEAP!$A:$AN,MATCH(B1678,WEAP!$A:$A,0),MATCH("Element",WEAP!$A$1:$BF$1,0))&amp;" "&amp;INDEX(WEAP!$A:$AN,MATCH(B1678,WEAP!$A:$A,0),MATCH("Type",WEAP!$A$1:$BF$1,0))</f>
        <v>Light Dagger</v>
      </c>
      <c r="E1679" s="693"/>
      <c r="F1679" s="693"/>
      <c r="G1679" s="694"/>
      <c r="H1679" s="8"/>
      <c r="I1679" s="683"/>
      <c r="J1679" s="684"/>
      <c r="K1679" s="9"/>
      <c r="L1679" s="722"/>
      <c r="M1679" s="723"/>
    </row>
    <row r="1680" spans="1:13" ht="22.5" x14ac:dyDescent="0.35">
      <c r="B1680" s="702"/>
      <c r="C1680" s="239"/>
      <c r="D1680" s="703" t="s">
        <v>10760</v>
      </c>
      <c r="E1680" s="704"/>
      <c r="F1680" s="235" t="s">
        <v>10761</v>
      </c>
      <c r="G1680" s="235" t="s">
        <v>10762</v>
      </c>
      <c r="I1680" s="683"/>
      <c r="J1680" s="684"/>
      <c r="K1680" s="239"/>
      <c r="L1680" s="722"/>
      <c r="M1680" s="723"/>
    </row>
    <row r="1681" spans="1:13" ht="22.5" x14ac:dyDescent="0.35">
      <c r="B1681" s="702"/>
      <c r="C1681" s="239"/>
      <c r="D1681" s="705" t="s">
        <v>96</v>
      </c>
      <c r="E1681" s="706"/>
      <c r="F1681" s="236">
        <f>INDEX(WEAP!$A:$AN,MATCH(B1678,WEAP!$A:$A,0),MATCH("HP",WEAP!$A$1:$BF$1,0))</f>
        <v>273</v>
      </c>
      <c r="G1681" s="237">
        <f>INDEX(WEAP!$A:$AN,MATCH(B1678,WEAP!$A:$A,0),MATCH("HP V3",WEAP!$A$1:$BF$1,0))</f>
        <v>275</v>
      </c>
      <c r="I1681" s="683"/>
      <c r="J1681" s="684"/>
      <c r="K1681" s="239"/>
      <c r="L1681" s="722"/>
      <c r="M1681" s="723"/>
    </row>
    <row r="1682" spans="1:13" ht="22.5" x14ac:dyDescent="0.35">
      <c r="B1682" s="702"/>
      <c r="C1682" s="239"/>
      <c r="D1682" s="707" t="s">
        <v>97</v>
      </c>
      <c r="E1682" s="708"/>
      <c r="F1682" s="236">
        <f>INDEX(WEAP!$A:$AN,MATCH(B1678,WEAP!$A:$A,0),MATCH("Str",WEAP!$A$1:$BF$1,0))</f>
        <v>1686</v>
      </c>
      <c r="G1682" s="237">
        <f>INDEX(WEAP!$A:$AN,MATCH(B1678,WEAP!$A:$A,0),MATCH("Str V3",WEAP!$A$1:$BF$1,0))</f>
        <v>1690</v>
      </c>
      <c r="I1682" s="685"/>
      <c r="J1682" s="686"/>
      <c r="K1682" s="239"/>
      <c r="L1682" s="724"/>
      <c r="M1682" s="725"/>
    </row>
    <row r="1683" spans="1:13" ht="33.75" customHeight="1" x14ac:dyDescent="0.2">
      <c r="A1683" t="s">
        <v>10763</v>
      </c>
    </row>
    <row r="1684" spans="1:13" ht="22.5" x14ac:dyDescent="0.35">
      <c r="A1684" s="244" t="str">
        <f>TEXT(A1677+1,"000")</f>
        <v>241</v>
      </c>
      <c r="B1684" s="238" t="str">
        <f>"W-"&amp;A1684</f>
        <v>W-241</v>
      </c>
      <c r="C1684" s="239"/>
      <c r="D1684" s="692" t="str">
        <f>+INDEX(WEAP!$A:$AN,MATCH(B1685,WEAP!$A:$A,0),MATCH("Name",WEAP!$A$1:$BF$1,0))</f>
        <v>Rog Mol</v>
      </c>
      <c r="E1684" s="693"/>
      <c r="F1684" s="693"/>
      <c r="G1684" s="694"/>
      <c r="I1684" s="241" t="str">
        <f>+INDEX(WEAP!$A:$AN,MATCH(B1685,WEAP!$A:$A,0),MATCH("Weapon Skill",WEAP!$A$1:$BF$1,0))</f>
        <v>Mag Mell</v>
      </c>
      <c r="J1684" s="243">
        <f>INDEX('W-S'!$A:$N,MATCH(I1684,'W-S'!$C:$C,0),MATCH("SP Cost",'W-S'!$1:$1,0))</f>
        <v>3000</v>
      </c>
      <c r="K1684" s="9"/>
      <c r="L1684" s="241" t="str">
        <f>+I1684</f>
        <v>Mag Mell</v>
      </c>
      <c r="M1684" s="243">
        <f>INDEX('W-S'!$A:$N,MATCH(L1684,'W-S'!$C:$C,0),MATCH("SP Cost V3",'W-S'!$1:$1,0))</f>
        <v>3000</v>
      </c>
    </row>
    <row r="1685" spans="1:13" ht="22.5" x14ac:dyDescent="0.35">
      <c r="B1685" s="238" t="str">
        <f>+INDEX(WEAP!$A:$AN,MATCH(B1684,WEAP!$B:$B,0),MATCH("ID",WEAP!$A$1:$BF$1,0))</f>
        <v>304130_01</v>
      </c>
      <c r="C1685" s="240"/>
      <c r="D1685" s="692" t="str">
        <f>+INDEX(WEAP!$A:$AN,MATCH(B1684,WEAP!$B:$B,0),MATCH("Family",WEAP!$A$1:$BF$1,0))&amp;" Weapon"</f>
        <v>Agito Weapon</v>
      </c>
      <c r="E1685" s="693"/>
      <c r="F1685" s="693"/>
      <c r="G1685" s="694"/>
      <c r="H1685" s="8"/>
      <c r="I1685" s="681" t="str">
        <f>INDEX('W-S'!$A:$O,MATCH(I1684,'W-S'!$C:$C,0),MATCH("Description",'W-S'!$1:$1,0))</f>
        <v>Increases the user's strength by 40% until the next time this skill is used. The second time this skill is used, it will instead become Tír na nÓg. Tír na nÓg deals 5 hits of 198.4% light damage to surrounding enemies and if the attack connects, it will fill the dragon gauge by 100 DP once and increase skill gauge fill rate by 10% until the skill is next used. The skill will then alternate between these two effects with every use.</v>
      </c>
      <c r="J1685" s="682"/>
      <c r="K1685" s="239"/>
      <c r="L1685" s="720" t="str">
        <f>INDEX('W-S'!$A:$O,MATCH(I1684,'W-S'!$C:$C,0),MATCH("Description V3",'W-S'!$1:$1,0))</f>
        <v>Increases the user's strength by 40% until the next time this skill is used. The second time this skill is used, it will instead become Tír na nÓg. Tír na nÓg deals 5 hits of 300% light damage to surrounding enemies and if the attack connects, it will fill the dragon gauge by 100 DP once, increase skill gauge fill rate by 10%, and gradually recovers the user's HP with 5% Recovery Potency every 2.9 seconds until the skill is next used. The skill will then alternate between these two effects with every use.</v>
      </c>
      <c r="M1685" s="721"/>
    </row>
    <row r="1686" spans="1:13" ht="22.5" x14ac:dyDescent="0.2">
      <c r="B1686" s="701" t="e" vm="261">
        <f>+_xlfn.IMAGE("https://natalie.tf/wp-content/uploads/2023/10/DLV3_Icon_Weapon_"&amp;B1685&amp;".png")</f>
        <v>#VALUE!</v>
      </c>
      <c r="C1686" s="240"/>
      <c r="D1686" s="692" t="str">
        <f>INDEX(WEAP!$A:$AN,MATCH(B1685,WEAP!$A:$A,0),MATCH("Element",WEAP!$A$1:$BF$1,0))&amp;" "&amp;INDEX(WEAP!$A:$AN,MATCH(B1685,WEAP!$A:$A,0),MATCH("Type",WEAP!$A$1:$BF$1,0))</f>
        <v>Light Axe</v>
      </c>
      <c r="E1686" s="693"/>
      <c r="F1686" s="693"/>
      <c r="G1686" s="694"/>
      <c r="H1686" s="8"/>
      <c r="I1686" s="683"/>
      <c r="J1686" s="684"/>
      <c r="K1686" s="9"/>
      <c r="L1686" s="722"/>
      <c r="M1686" s="723"/>
    </row>
    <row r="1687" spans="1:13" ht="22.5" x14ac:dyDescent="0.35">
      <c r="B1687" s="702"/>
      <c r="C1687" s="239"/>
      <c r="D1687" s="703" t="s">
        <v>10760</v>
      </c>
      <c r="E1687" s="704"/>
      <c r="F1687" s="235" t="s">
        <v>10761</v>
      </c>
      <c r="G1687" s="235" t="s">
        <v>10762</v>
      </c>
      <c r="I1687" s="683"/>
      <c r="J1687" s="684"/>
      <c r="K1687" s="239"/>
      <c r="L1687" s="722"/>
      <c r="M1687" s="723"/>
    </row>
    <row r="1688" spans="1:13" ht="22.5" x14ac:dyDescent="0.35">
      <c r="B1688" s="702"/>
      <c r="C1688" s="239"/>
      <c r="D1688" s="705" t="s">
        <v>96</v>
      </c>
      <c r="E1688" s="706"/>
      <c r="F1688" s="236">
        <f>INDEX(WEAP!$A:$AN,MATCH(B1685,WEAP!$A:$A,0),MATCH("HP",WEAP!$A$1:$BF$1,0))</f>
        <v>278</v>
      </c>
      <c r="G1688" s="237">
        <f>INDEX(WEAP!$A:$AN,MATCH(B1685,WEAP!$A:$A,0),MATCH("HP V3",WEAP!$A$1:$BF$1,0))</f>
        <v>295</v>
      </c>
      <c r="I1688" s="683"/>
      <c r="J1688" s="684"/>
      <c r="K1688" s="239"/>
      <c r="L1688" s="722"/>
      <c r="M1688" s="723"/>
    </row>
    <row r="1689" spans="1:13" ht="22.5" x14ac:dyDescent="0.35">
      <c r="B1689" s="702"/>
      <c r="C1689" s="239"/>
      <c r="D1689" s="707" t="s">
        <v>97</v>
      </c>
      <c r="E1689" s="708"/>
      <c r="F1689" s="236">
        <f>INDEX(WEAP!$A:$AN,MATCH(B1685,WEAP!$A:$A,0),MATCH("Str",WEAP!$A$1:$BF$1,0))</f>
        <v>1805</v>
      </c>
      <c r="G1689" s="237">
        <f>INDEX(WEAP!$A:$AN,MATCH(B1685,WEAP!$A:$A,0),MATCH("Str V3",WEAP!$A$1:$BF$1,0))</f>
        <v>1805</v>
      </c>
      <c r="I1689" s="685"/>
      <c r="J1689" s="686"/>
      <c r="K1689" s="239"/>
      <c r="L1689" s="724"/>
      <c r="M1689" s="725"/>
    </row>
    <row r="1690" spans="1:13" s="245" customFormat="1" ht="7.5" customHeight="1" x14ac:dyDescent="0.2">
      <c r="A1690" s="245" t="s">
        <v>10763</v>
      </c>
    </row>
    <row r="1691" spans="1:13" ht="22.5" x14ac:dyDescent="0.35">
      <c r="A1691" s="242" t="str">
        <f>TEXT(A1684+1,"000")</f>
        <v>242</v>
      </c>
      <c r="B1691" s="238" t="str">
        <f>"W-"&amp;A1691</f>
        <v>W-242</v>
      </c>
      <c r="C1691" s="239"/>
      <c r="D1691" s="692" t="str">
        <f>+INDEX(WEAP!$A:$AN,MATCH(B1692,WEAP!$A:$A,0),MATCH("Name",WEAP!$A$1:$BF$1,0))</f>
        <v>Areadbhar</v>
      </c>
      <c r="E1691" s="693"/>
      <c r="F1691" s="693"/>
      <c r="G1691" s="694"/>
      <c r="I1691" s="241" t="str">
        <f>+INDEX(WEAP!$A:$AN,MATCH(B1692,WEAP!$A:$A,0),MATCH("Weapon Skill",WEAP!$A$1:$BF$1,0))</f>
        <v>Mag Mell</v>
      </c>
      <c r="J1691" s="243">
        <f>INDEX('W-S'!$A:$N,MATCH(I1691,'W-S'!$C:$C,0),MATCH("SP Cost",'W-S'!$1:$1,0))</f>
        <v>3000</v>
      </c>
      <c r="K1691" s="9"/>
      <c r="L1691" s="241" t="str">
        <f>+I1691</f>
        <v>Mag Mell</v>
      </c>
      <c r="M1691" s="243">
        <f>INDEX('W-S'!$A:$N,MATCH(L1691,'W-S'!$C:$C,0),MATCH("SP Cost V3",'W-S'!$1:$1,0))</f>
        <v>3000</v>
      </c>
    </row>
    <row r="1692" spans="1:13" ht="22.5" x14ac:dyDescent="0.35">
      <c r="B1692" s="238" t="str">
        <f>+INDEX(WEAP!$A:$AN,MATCH(B1691,WEAP!$B:$B,0),MATCH("ID",WEAP!$A$1:$BF$1,0))</f>
        <v>305138_01</v>
      </c>
      <c r="C1692" s="240"/>
      <c r="D1692" s="692" t="str">
        <f>+INDEX(WEAP!$A:$AN,MATCH(B1691,WEAP!$B:$B,0),MATCH("Family",WEAP!$A$1:$BF$1,0))&amp;" Weapon"</f>
        <v>Agito Weapon</v>
      </c>
      <c r="E1692" s="693"/>
      <c r="F1692" s="693"/>
      <c r="G1692" s="694"/>
      <c r="H1692" s="8"/>
      <c r="I1692" s="681" t="str">
        <f>INDEX('W-S'!$A:$O,MATCH(I1691,'W-S'!$C:$C,0),MATCH("Description",'W-S'!$1:$1,0))</f>
        <v>Increases the user's strength by 40% until the next time this skill is used. The second time this skill is used, it will instead become Tír na nÓg. Tír na nÓg deals 5 hits of 198.4% light damage to surrounding enemies and if the attack connects, it will fill the dragon gauge by 100 DP once and increase skill gauge fill rate by 10% until the skill is next used. The skill will then alternate between these two effects with every use.</v>
      </c>
      <c r="J1692" s="682"/>
      <c r="K1692" s="239"/>
      <c r="L1692" s="720" t="str">
        <f>INDEX('W-S'!$A:$O,MATCH(I1691,'W-S'!$C:$C,0),MATCH("Description V3",'W-S'!$1:$1,0))</f>
        <v>Increases the user's strength by 40% until the next time this skill is used. The second time this skill is used, it will instead become Tír na nÓg. Tír na nÓg deals 5 hits of 300% light damage to surrounding enemies and if the attack connects, it will fill the dragon gauge by 100 DP once, increase skill gauge fill rate by 10%, and gradually recovers the user's HP with 5% Recovery Potency every 2.9 seconds until the skill is next used. The skill will then alternate between these two effects with every use.</v>
      </c>
      <c r="M1692" s="721"/>
    </row>
    <row r="1693" spans="1:13" ht="22.5" x14ac:dyDescent="0.2">
      <c r="B1693" s="701" t="e" vm="262">
        <f>+_xlfn.IMAGE("https://natalie.tf/wp-content/uploads/2023/10/DLV3_Icon_Weapon_"&amp;B1692&amp;".png")</f>
        <v>#VALUE!</v>
      </c>
      <c r="C1693" s="240"/>
      <c r="D1693" s="692" t="str">
        <f>INDEX(WEAP!$A:$AN,MATCH(B1692,WEAP!$A:$A,0),MATCH("Element",WEAP!$A$1:$BF$1,0))&amp;" "&amp;INDEX(WEAP!$A:$AN,MATCH(B1692,WEAP!$A:$A,0),MATCH("Type",WEAP!$A$1:$BF$1,0))</f>
        <v>Light Lance</v>
      </c>
      <c r="E1693" s="693"/>
      <c r="F1693" s="693"/>
      <c r="G1693" s="694"/>
      <c r="H1693" s="8"/>
      <c r="I1693" s="683"/>
      <c r="J1693" s="684"/>
      <c r="K1693" s="9"/>
      <c r="L1693" s="722"/>
      <c r="M1693" s="723"/>
    </row>
    <row r="1694" spans="1:13" ht="22.5" x14ac:dyDescent="0.35">
      <c r="B1694" s="702"/>
      <c r="C1694" s="239"/>
      <c r="D1694" s="703" t="s">
        <v>10760</v>
      </c>
      <c r="E1694" s="704"/>
      <c r="F1694" s="235" t="s">
        <v>10761</v>
      </c>
      <c r="G1694" s="235" t="s">
        <v>10762</v>
      </c>
      <c r="I1694" s="683"/>
      <c r="J1694" s="684"/>
      <c r="K1694" s="239"/>
      <c r="L1694" s="722"/>
      <c r="M1694" s="723"/>
    </row>
    <row r="1695" spans="1:13" ht="22.5" x14ac:dyDescent="0.35">
      <c r="B1695" s="702"/>
      <c r="C1695" s="239"/>
      <c r="D1695" s="705" t="s">
        <v>96</v>
      </c>
      <c r="E1695" s="706"/>
      <c r="F1695" s="236">
        <f>INDEX(WEAP!$A:$AN,MATCH(B1692,WEAP!$A:$A,0),MATCH("HP",WEAP!$A$1:$BF$1,0))</f>
        <v>276</v>
      </c>
      <c r="G1695" s="237">
        <f>INDEX(WEAP!$A:$AN,MATCH(B1692,WEAP!$A:$A,0),MATCH("HP V3",WEAP!$A$1:$BF$1,0))</f>
        <v>280</v>
      </c>
      <c r="I1695" s="683"/>
      <c r="J1695" s="684"/>
      <c r="K1695" s="239"/>
      <c r="L1695" s="722"/>
      <c r="M1695" s="723"/>
    </row>
    <row r="1696" spans="1:13" ht="22.5" x14ac:dyDescent="0.35">
      <c r="B1696" s="702"/>
      <c r="C1696" s="239"/>
      <c r="D1696" s="707" t="s">
        <v>97</v>
      </c>
      <c r="E1696" s="708"/>
      <c r="F1696" s="236">
        <f>INDEX(WEAP!$A:$AN,MATCH(B1692,WEAP!$A:$A,0),MATCH("Str",WEAP!$A$1:$BF$1,0))</f>
        <v>1754</v>
      </c>
      <c r="G1696" s="237">
        <f>INDEX(WEAP!$A:$AN,MATCH(B1692,WEAP!$A:$A,0),MATCH("Str V3",WEAP!$A$1:$BF$1,0))</f>
        <v>1755</v>
      </c>
      <c r="I1696" s="685"/>
      <c r="J1696" s="686"/>
      <c r="K1696" s="239"/>
      <c r="L1696" s="724"/>
      <c r="M1696" s="725"/>
    </row>
    <row r="1697" spans="1:13" s="245" customFormat="1" ht="7.5" customHeight="1" x14ac:dyDescent="0.2">
      <c r="A1697" s="245" t="s">
        <v>10763</v>
      </c>
    </row>
    <row r="1698" spans="1:13" ht="22.5" x14ac:dyDescent="0.35">
      <c r="A1698" s="244" t="str">
        <f>TEXT(A1691+1,"000")</f>
        <v>243</v>
      </c>
      <c r="B1698" s="238" t="str">
        <f>"W-"&amp;A1698</f>
        <v>W-243</v>
      </c>
      <c r="C1698" s="239"/>
      <c r="D1698" s="692" t="str">
        <f>+INDEX(WEAP!$A:$AN,MATCH(B1699,WEAP!$A:$A,0),MATCH("Name",WEAP!$A$1:$BF$1,0))</f>
        <v>Tathlum</v>
      </c>
      <c r="E1698" s="693"/>
      <c r="F1698" s="693"/>
      <c r="G1698" s="694"/>
      <c r="I1698" s="241" t="str">
        <f>+INDEX(WEAP!$A:$AN,MATCH(B1699,WEAP!$A:$A,0),MATCH("Weapon Skill",WEAP!$A$1:$BF$1,0))</f>
        <v>Mag Mell</v>
      </c>
      <c r="J1698" s="243">
        <f>INDEX('W-S'!$A:$N,MATCH(I1698,'W-S'!$C:$C,0),MATCH("SP Cost",'W-S'!$1:$1,0))</f>
        <v>3000</v>
      </c>
      <c r="K1698" s="9"/>
      <c r="L1698" s="241" t="str">
        <f>+I1698</f>
        <v>Mag Mell</v>
      </c>
      <c r="M1698" s="243">
        <f>INDEX('W-S'!$A:$N,MATCH(L1698,'W-S'!$C:$C,0),MATCH("SP Cost V3",'W-S'!$1:$1,0))</f>
        <v>3000</v>
      </c>
    </row>
    <row r="1699" spans="1:13" ht="22.5" customHeight="1" x14ac:dyDescent="0.35">
      <c r="B1699" s="238" t="str">
        <f>+INDEX(WEAP!$A:$AN,MATCH(B1698,WEAP!$B:$B,0),MATCH("ID",WEAP!$A$1:$BF$1,0))</f>
        <v>306130_01</v>
      </c>
      <c r="C1699" s="240"/>
      <c r="D1699" s="692" t="str">
        <f>+INDEX(WEAP!$A:$AN,MATCH(B1698,WEAP!$B:$B,0),MATCH("Family",WEAP!$A$1:$BF$1,0))&amp;" Weapon"</f>
        <v>Agito Weapon</v>
      </c>
      <c r="E1699" s="693"/>
      <c r="F1699" s="693"/>
      <c r="G1699" s="694"/>
      <c r="H1699" s="8"/>
      <c r="I1699" s="681" t="str">
        <f>INDEX('W-S'!$A:$O,MATCH(I1698,'W-S'!$C:$C,0),MATCH("Description",'W-S'!$1:$1,0))</f>
        <v>Increases the user's strength by 40% until the next time this skill is used. The second time this skill is used, it will instead become Tír na nÓg. Tír na nÓg deals 5 hits of 198.4% light damage to surrounding enemies and if the attack connects, it will fill the dragon gauge by 100 DP once and increase skill gauge fill rate by 10% until the skill is next used. The skill will then alternate between these two effects with every use.</v>
      </c>
      <c r="J1699" s="682"/>
      <c r="K1699" s="239"/>
      <c r="L1699" s="720" t="str">
        <f>INDEX('W-S'!$A:$O,MATCH(I1698,'W-S'!$C:$C,0),MATCH("Description V3",'W-S'!$1:$1,0))</f>
        <v>Increases the user's strength by 40% until the next time this skill is used. The second time this skill is used, it will instead become Tír na nÓg. Tír na nÓg deals 5 hits of 300% light damage to surrounding enemies and if the attack connects, it will fill the dragon gauge by 100 DP once, increase skill gauge fill rate by 10%, and gradually recovers the user's HP with 5% Recovery Potency every 2.9 seconds until the skill is next used. The skill will then alternate between these two effects with every use.</v>
      </c>
      <c r="M1699" s="721"/>
    </row>
    <row r="1700" spans="1:13" ht="22.5" x14ac:dyDescent="0.2">
      <c r="B1700" s="701" t="e" vm="263">
        <f>+_xlfn.IMAGE("https://natalie.tf/wp-content/uploads/2023/10/DLV3_Icon_Weapon_"&amp;B1699&amp;".png")</f>
        <v>#VALUE!</v>
      </c>
      <c r="C1700" s="240"/>
      <c r="D1700" s="692" t="str">
        <f>INDEX(WEAP!$A:$AN,MATCH(B1699,WEAP!$A:$A,0),MATCH("Element",WEAP!$A$1:$BF$1,0))&amp;" "&amp;INDEX(WEAP!$A:$AN,MATCH(B1699,WEAP!$A:$A,0),MATCH("Type",WEAP!$A$1:$BF$1,0))</f>
        <v>Light Bow</v>
      </c>
      <c r="E1700" s="693"/>
      <c r="F1700" s="693"/>
      <c r="G1700" s="694"/>
      <c r="H1700" s="8"/>
      <c r="I1700" s="683"/>
      <c r="J1700" s="684"/>
      <c r="K1700" s="9"/>
      <c r="L1700" s="722"/>
      <c r="M1700" s="723"/>
    </row>
    <row r="1701" spans="1:13" ht="22.5" x14ac:dyDescent="0.35">
      <c r="B1701" s="702"/>
      <c r="C1701" s="239"/>
      <c r="D1701" s="703" t="s">
        <v>10760</v>
      </c>
      <c r="E1701" s="704"/>
      <c r="F1701" s="235" t="s">
        <v>10761</v>
      </c>
      <c r="G1701" s="235" t="s">
        <v>10762</v>
      </c>
      <c r="I1701" s="683"/>
      <c r="J1701" s="684"/>
      <c r="K1701" s="239"/>
      <c r="L1701" s="722"/>
      <c r="M1701" s="723"/>
    </row>
    <row r="1702" spans="1:13" ht="22.5" x14ac:dyDescent="0.35">
      <c r="B1702" s="702"/>
      <c r="C1702" s="239"/>
      <c r="D1702" s="705" t="s">
        <v>96</v>
      </c>
      <c r="E1702" s="706"/>
      <c r="F1702" s="236">
        <f>INDEX(WEAP!$A:$AN,MATCH(B1699,WEAP!$A:$A,0),MATCH("HP",WEAP!$A$1:$BF$1,0))</f>
        <v>265</v>
      </c>
      <c r="G1702" s="237">
        <f>INDEX(WEAP!$A:$AN,MATCH(B1699,WEAP!$A:$A,0),MATCH("HP V3",WEAP!$A$1:$BF$1,0))</f>
        <v>280</v>
      </c>
      <c r="I1702" s="683"/>
      <c r="J1702" s="684"/>
      <c r="K1702" s="239"/>
      <c r="L1702" s="722"/>
      <c r="M1702" s="723"/>
    </row>
    <row r="1703" spans="1:13" ht="22.5" x14ac:dyDescent="0.35">
      <c r="B1703" s="702"/>
      <c r="C1703" s="239"/>
      <c r="D1703" s="707" t="s">
        <v>97</v>
      </c>
      <c r="E1703" s="708"/>
      <c r="F1703" s="236">
        <f>INDEX(WEAP!$A:$AN,MATCH(B1699,WEAP!$A:$A,0),MATCH("Str",WEAP!$A$1:$BF$1,0))</f>
        <v>1653</v>
      </c>
      <c r="G1703" s="237">
        <f>INDEX(WEAP!$A:$AN,MATCH(B1699,WEAP!$A:$A,0),MATCH("Str V3",WEAP!$A$1:$BF$1,0))</f>
        <v>1655</v>
      </c>
      <c r="I1703" s="685"/>
      <c r="J1703" s="686"/>
      <c r="K1703" s="239"/>
      <c r="L1703" s="724"/>
      <c r="M1703" s="725"/>
    </row>
    <row r="1704" spans="1:13" s="245" customFormat="1" ht="7.5" customHeight="1" x14ac:dyDescent="0.2">
      <c r="A1704" s="245" t="s">
        <v>10763</v>
      </c>
    </row>
    <row r="1705" spans="1:13" ht="22.5" x14ac:dyDescent="0.35">
      <c r="A1705" s="244" t="str">
        <f>TEXT(A1698+1,"000")</f>
        <v>244</v>
      </c>
      <c r="B1705" s="238" t="str">
        <f>"W-"&amp;A1705</f>
        <v>W-244</v>
      </c>
      <c r="C1705" s="239"/>
      <c r="D1705" s="692" t="str">
        <f>+INDEX(WEAP!$A:$AN,MATCH(B1706,WEAP!$A:$A,0),MATCH("Name",WEAP!$A$1:$BF$1,0))</f>
        <v>Brionac</v>
      </c>
      <c r="E1705" s="693"/>
      <c r="F1705" s="693"/>
      <c r="G1705" s="694"/>
      <c r="I1705" s="241" t="str">
        <f>+INDEX(WEAP!$A:$AN,MATCH(B1706,WEAP!$A:$A,0),MATCH("Weapon Skill",WEAP!$A$1:$BF$1,0))</f>
        <v>Mag Mell</v>
      </c>
      <c r="J1705" s="243">
        <f>INDEX('W-S'!$A:$N,MATCH(I1705,'W-S'!$C:$C,0),MATCH("SP Cost",'W-S'!$1:$1,0))</f>
        <v>3000</v>
      </c>
      <c r="K1705" s="9"/>
      <c r="L1705" s="241" t="str">
        <f>+I1705</f>
        <v>Mag Mell</v>
      </c>
      <c r="M1705" s="243">
        <f>INDEX('W-S'!$A:$N,MATCH(L1705,'W-S'!$C:$C,0),MATCH("SP Cost V3",'W-S'!$1:$1,0))</f>
        <v>3000</v>
      </c>
    </row>
    <row r="1706" spans="1:13" ht="22.5" customHeight="1" x14ac:dyDescent="0.35">
      <c r="B1706" s="238" t="str">
        <f>+INDEX(WEAP!$A:$AN,MATCH(B1705,WEAP!$B:$B,0),MATCH("ID",WEAP!$A$1:$BF$1,0))</f>
        <v>307138_01</v>
      </c>
      <c r="C1706" s="240"/>
      <c r="D1706" s="692" t="str">
        <f>+INDEX(WEAP!$A:$AN,MATCH(B1705,WEAP!$B:$B,0),MATCH("Family",WEAP!$A$1:$BF$1,0))&amp;" Weapon"</f>
        <v>Agito Weapon</v>
      </c>
      <c r="E1706" s="693"/>
      <c r="F1706" s="693"/>
      <c r="G1706" s="694"/>
      <c r="H1706" s="8"/>
      <c r="I1706" s="681" t="str">
        <f>INDEX('W-S'!$A:$O,MATCH(I1705,'W-S'!$C:$C,0),MATCH("Description",'W-S'!$1:$1,0))</f>
        <v>Increases the user's strength by 40% until the next time this skill is used. The second time this skill is used, it will instead become Tír na nÓg. Tír na nÓg deals 5 hits of 198.4% light damage to surrounding enemies and if the attack connects, it will fill the dragon gauge by 100 DP once and increase skill gauge fill rate by 10% until the skill is next used. The skill will then alternate between these two effects with every use.</v>
      </c>
      <c r="J1706" s="682"/>
      <c r="K1706" s="239"/>
      <c r="L1706" s="720" t="str">
        <f>INDEX('W-S'!$A:$O,MATCH(I1705,'W-S'!$C:$C,0),MATCH("Description V3",'W-S'!$1:$1,0))</f>
        <v>Increases the user's strength by 40% until the next time this skill is used. The second time this skill is used, it will instead become Tír na nÓg. Tír na nÓg deals 5 hits of 300% light damage to surrounding enemies and if the attack connects, it will fill the dragon gauge by 100 DP once, increase skill gauge fill rate by 10%, and gradually recovers the user's HP with 5% Recovery Potency every 2.9 seconds until the skill is next used. The skill will then alternate between these two effects with every use.</v>
      </c>
      <c r="M1706" s="721"/>
    </row>
    <row r="1707" spans="1:13" ht="22.5" x14ac:dyDescent="0.2">
      <c r="B1707" s="701" t="e" vm="264">
        <f>+_xlfn.IMAGE("https://natalie.tf/wp-content/uploads/2023/10/DLV3_Icon_Weapon_"&amp;B1706&amp;".png")</f>
        <v>#VALUE!</v>
      </c>
      <c r="C1707" s="240"/>
      <c r="D1707" s="692" t="str">
        <f>INDEX(WEAP!$A:$AN,MATCH(B1706,WEAP!$A:$A,0),MATCH("Element",WEAP!$A$1:$BF$1,0))&amp;" "&amp;INDEX(WEAP!$A:$AN,MATCH(B1706,WEAP!$A:$A,0),MATCH("Type",WEAP!$A$1:$BF$1,0))</f>
        <v>Light Wand</v>
      </c>
      <c r="E1707" s="693"/>
      <c r="F1707" s="693"/>
      <c r="G1707" s="694"/>
      <c r="H1707" s="8"/>
      <c r="I1707" s="683"/>
      <c r="J1707" s="684"/>
      <c r="K1707" s="9"/>
      <c r="L1707" s="722"/>
      <c r="M1707" s="723"/>
    </row>
    <row r="1708" spans="1:13" ht="22.5" x14ac:dyDescent="0.35">
      <c r="B1708" s="702"/>
      <c r="C1708" s="239"/>
      <c r="D1708" s="703" t="s">
        <v>10760</v>
      </c>
      <c r="E1708" s="704"/>
      <c r="F1708" s="235" t="s">
        <v>10761</v>
      </c>
      <c r="G1708" s="235" t="s">
        <v>10762</v>
      </c>
      <c r="I1708" s="683"/>
      <c r="J1708" s="684"/>
      <c r="K1708" s="239"/>
      <c r="L1708" s="722"/>
      <c r="M1708" s="723"/>
    </row>
    <row r="1709" spans="1:13" ht="22.5" x14ac:dyDescent="0.35">
      <c r="B1709" s="702"/>
      <c r="C1709" s="239"/>
      <c r="D1709" s="705" t="s">
        <v>96</v>
      </c>
      <c r="E1709" s="706"/>
      <c r="F1709" s="236">
        <f>INDEX(WEAP!$A:$AN,MATCH(B1706,WEAP!$A:$A,0),MATCH("HP",WEAP!$A$1:$BF$1,0))</f>
        <v>255</v>
      </c>
      <c r="G1709" s="237">
        <f>INDEX(WEAP!$A:$AN,MATCH(B1706,WEAP!$A:$A,0),MATCH("HP V3",WEAP!$A$1:$BF$1,0))</f>
        <v>275</v>
      </c>
      <c r="I1709" s="683"/>
      <c r="J1709" s="684"/>
      <c r="K1709" s="239"/>
      <c r="L1709" s="722"/>
      <c r="M1709" s="723"/>
    </row>
    <row r="1710" spans="1:13" ht="22.5" x14ac:dyDescent="0.35">
      <c r="B1710" s="702"/>
      <c r="C1710" s="239"/>
      <c r="D1710" s="707" t="s">
        <v>97</v>
      </c>
      <c r="E1710" s="708"/>
      <c r="F1710" s="236">
        <f>INDEX(WEAP!$A:$AN,MATCH(B1706,WEAP!$A:$A,0),MATCH("Str",WEAP!$A$1:$BF$1,0))</f>
        <v>1771</v>
      </c>
      <c r="G1710" s="237">
        <f>INDEX(WEAP!$A:$AN,MATCH(B1706,WEAP!$A:$A,0),MATCH("Str V3",WEAP!$A$1:$BF$1,0))</f>
        <v>1775</v>
      </c>
      <c r="I1710" s="685"/>
      <c r="J1710" s="686"/>
      <c r="K1710" s="239"/>
      <c r="L1710" s="724"/>
      <c r="M1710" s="725"/>
    </row>
    <row r="1711" spans="1:13" s="245" customFormat="1" ht="7.5" customHeight="1" x14ac:dyDescent="0.2">
      <c r="A1711" s="245" t="s">
        <v>10763</v>
      </c>
    </row>
    <row r="1712" spans="1:13" ht="22.5" x14ac:dyDescent="0.35">
      <c r="A1712" s="244" t="str">
        <f>TEXT(A1705+1,"000")</f>
        <v>245</v>
      </c>
      <c r="B1712" s="238" t="str">
        <f>"W-"&amp;A1712</f>
        <v>W-245</v>
      </c>
      <c r="C1712" s="239"/>
      <c r="D1712" s="692" t="str">
        <f>+INDEX(WEAP!$A:$AN,MATCH(B1713,WEAP!$A:$A,0),MATCH("Name",WEAP!$A$1:$BF$1,0))</f>
        <v>Del Frith</v>
      </c>
      <c r="E1712" s="693"/>
      <c r="F1712" s="693"/>
      <c r="G1712" s="694"/>
      <c r="I1712" s="241" t="str">
        <f>+INDEX(WEAP!$A:$AN,MATCH(B1713,WEAP!$A:$A,0),MATCH("Weapon Skill",WEAP!$A$1:$BF$1,0))</f>
        <v>Mag Mell</v>
      </c>
      <c r="J1712" s="243">
        <f>INDEX('W-S'!$A:$N,MATCH(I1712,'W-S'!$C:$C,0),MATCH("SP Cost",'W-S'!$1:$1,0))</f>
        <v>3000</v>
      </c>
      <c r="K1712" s="9"/>
      <c r="L1712" s="241" t="str">
        <f>+I1712</f>
        <v>Mag Mell</v>
      </c>
      <c r="M1712" s="243">
        <f>INDEX('W-S'!$A:$N,MATCH(L1712,'W-S'!$C:$C,0),MATCH("SP Cost V3",'W-S'!$1:$1,0))</f>
        <v>3000</v>
      </c>
    </row>
    <row r="1713" spans="1:13" ht="22.5" customHeight="1" x14ac:dyDescent="0.35">
      <c r="B1713" s="238" t="str">
        <f>+INDEX(WEAP!$A:$AN,MATCH(B1712,WEAP!$B:$B,0),MATCH("ID",WEAP!$A$1:$BF$1,0))</f>
        <v>308131_01</v>
      </c>
      <c r="C1713" s="240"/>
      <c r="D1713" s="692" t="str">
        <f>+INDEX(WEAP!$A:$AN,MATCH(B1712,WEAP!$B:$B,0),MATCH("Family",WEAP!$A$1:$BF$1,0))&amp;" Weapon"</f>
        <v>Agito Weapon</v>
      </c>
      <c r="E1713" s="693"/>
      <c r="F1713" s="693"/>
      <c r="G1713" s="694"/>
      <c r="H1713" s="8"/>
      <c r="I1713" s="681" t="str">
        <f>INDEX('W-S'!$A:$O,MATCH(I1712,'W-S'!$C:$C,0),MATCH("Description",'W-S'!$1:$1,0))</f>
        <v>Increases the user's strength by 40% until the next time this skill is used. The second time this skill is used, it will instead become Tír na nÓg. Tír na nÓg deals 5 hits of 198.4% light damage to surrounding enemies and if the attack connects, it will fill the dragon gauge by 100 DP once and increase skill gauge fill rate by 10% until the skill is next used. The skill will then alternate between these two effects with every use.</v>
      </c>
      <c r="J1713" s="682"/>
      <c r="K1713" s="239"/>
      <c r="L1713" s="720" t="str">
        <f>INDEX('W-S'!$A:$O,MATCH(I1712,'W-S'!$C:$C,0),MATCH("Description V3",'W-S'!$1:$1,0))</f>
        <v>Increases the user's strength by 40% until the next time this skill is used. The second time this skill is used, it will instead become Tír na nÓg. Tír na nÓg deals 5 hits of 300% light damage to surrounding enemies and if the attack connects, it will fill the dragon gauge by 100 DP once, increase skill gauge fill rate by 10%, and gradually recovers the user's HP with 5% Recovery Potency every 2.9 seconds until the skill is next used. The skill will then alternate between these two effects with every use.</v>
      </c>
      <c r="M1713" s="721"/>
    </row>
    <row r="1714" spans="1:13" ht="22.5" x14ac:dyDescent="0.2">
      <c r="B1714" s="701" t="e" vm="265">
        <f>+_xlfn.IMAGE("https://natalie.tf/wp-content/uploads/2023/10/DLV3_Icon_Weapon_"&amp;B1713&amp;".png")</f>
        <v>#VALUE!</v>
      </c>
      <c r="C1714" s="240"/>
      <c r="D1714" s="692" t="str">
        <f>INDEX(WEAP!$A:$AN,MATCH(B1713,WEAP!$A:$A,0),MATCH("Element",WEAP!$A$1:$BF$1,0))&amp;" "&amp;INDEX(WEAP!$A:$AN,MATCH(B1713,WEAP!$A:$A,0),MATCH("Type",WEAP!$A$1:$BF$1,0))</f>
        <v>Light Staff</v>
      </c>
      <c r="E1714" s="693"/>
      <c r="F1714" s="693"/>
      <c r="G1714" s="694"/>
      <c r="H1714" s="8"/>
      <c r="I1714" s="683"/>
      <c r="J1714" s="684"/>
      <c r="K1714" s="9"/>
      <c r="L1714" s="722"/>
      <c r="M1714" s="723"/>
    </row>
    <row r="1715" spans="1:13" ht="22.5" x14ac:dyDescent="0.35">
      <c r="B1715" s="702"/>
      <c r="C1715" s="239"/>
      <c r="D1715" s="703" t="s">
        <v>10760</v>
      </c>
      <c r="E1715" s="704"/>
      <c r="F1715" s="235" t="s">
        <v>10761</v>
      </c>
      <c r="G1715" s="235" t="s">
        <v>10762</v>
      </c>
      <c r="I1715" s="683"/>
      <c r="J1715" s="684"/>
      <c r="K1715" s="239"/>
      <c r="L1715" s="722"/>
      <c r="M1715" s="723"/>
    </row>
    <row r="1716" spans="1:13" ht="22.5" x14ac:dyDescent="0.35">
      <c r="B1716" s="702"/>
      <c r="C1716" s="239"/>
      <c r="D1716" s="705" t="s">
        <v>96</v>
      </c>
      <c r="E1716" s="706"/>
      <c r="F1716" s="236">
        <f>INDEX(WEAP!$A:$AN,MATCH(B1713,WEAP!$A:$A,0),MATCH("HP",WEAP!$A$1:$BF$1,0))</f>
        <v>297</v>
      </c>
      <c r="G1716" s="237">
        <f>INDEX(WEAP!$A:$AN,MATCH(B1713,WEAP!$A:$A,0),MATCH("HP V3",WEAP!$A$1:$BF$1,0))</f>
        <v>325</v>
      </c>
      <c r="I1716" s="683"/>
      <c r="J1716" s="684"/>
      <c r="K1716" s="239"/>
      <c r="L1716" s="722"/>
      <c r="M1716" s="723"/>
    </row>
    <row r="1717" spans="1:13" ht="22.5" x14ac:dyDescent="0.35">
      <c r="B1717" s="702"/>
      <c r="C1717" s="239"/>
      <c r="D1717" s="707" t="s">
        <v>97</v>
      </c>
      <c r="E1717" s="708"/>
      <c r="F1717" s="236">
        <f>INDEX(WEAP!$A:$AN,MATCH(B1713,WEAP!$A:$A,0),MATCH("Str",WEAP!$A$1:$BF$1,0))</f>
        <v>1636</v>
      </c>
      <c r="G1717" s="237">
        <f>INDEX(WEAP!$A:$AN,MATCH(B1713,WEAP!$A:$A,0),MATCH("Str V3",WEAP!$A$1:$BF$1,0))</f>
        <v>1640</v>
      </c>
      <c r="I1717" s="685"/>
      <c r="J1717" s="686"/>
      <c r="K1717" s="239"/>
      <c r="L1717" s="724"/>
      <c r="M1717" s="725"/>
    </row>
    <row r="1718" spans="1:13" ht="33.75" customHeight="1" x14ac:dyDescent="0.2">
      <c r="A1718" t="s">
        <v>10763</v>
      </c>
    </row>
    <row r="1719" spans="1:13" ht="22.5" x14ac:dyDescent="0.35">
      <c r="A1719" s="244" t="str">
        <f>TEXT(A1712+1,"000")</f>
        <v>246</v>
      </c>
      <c r="B1719" s="238" t="str">
        <f>"W-"&amp;A1719</f>
        <v>W-246</v>
      </c>
      <c r="C1719" s="239"/>
      <c r="D1719" s="692" t="str">
        <f>+INDEX(WEAP!$A:$AN,MATCH(B1720,WEAP!$A:$A,0),MATCH("Name",WEAP!$A$1:$BF$1,0))</f>
        <v>Gae Assail</v>
      </c>
      <c r="E1719" s="693"/>
      <c r="F1719" s="693"/>
      <c r="G1719" s="694"/>
      <c r="I1719" s="241" t="str">
        <f>+INDEX(WEAP!$A:$AN,MATCH(B1720,WEAP!$A:$A,0),MATCH("Weapon Skill",WEAP!$A$1:$BF$1,0))</f>
        <v>Mag Mell</v>
      </c>
      <c r="J1719" s="243">
        <f>INDEX('W-S'!$A:$N,MATCH(I1719,'W-S'!$C:$C,0),MATCH("SP Cost",'W-S'!$1:$1,0))</f>
        <v>3000</v>
      </c>
      <c r="K1719" s="9"/>
      <c r="L1719" s="241" t="str">
        <f>+I1719</f>
        <v>Mag Mell</v>
      </c>
      <c r="M1719" s="243">
        <f>INDEX('W-S'!$A:$N,MATCH(L1719,'W-S'!$C:$C,0),MATCH("SP Cost V3",'W-S'!$1:$1,0))</f>
        <v>3000</v>
      </c>
    </row>
    <row r="1720" spans="1:13" ht="22.5" customHeight="1" x14ac:dyDescent="0.35">
      <c r="B1720" s="238" t="str">
        <f>+INDEX(WEAP!$A:$AN,MATCH(B1719,WEAP!$B:$B,0),MATCH("ID",WEAP!$A$1:$BF$1,0))</f>
        <v>309029_01</v>
      </c>
      <c r="C1720" s="240"/>
      <c r="D1720" s="692" t="str">
        <f>+INDEX(WEAP!$A:$AN,MATCH(B1719,WEAP!$B:$B,0),MATCH("Family",WEAP!$A$1:$BF$1,0))&amp;" Weapon"</f>
        <v>Agito Weapon</v>
      </c>
      <c r="E1720" s="693"/>
      <c r="F1720" s="693"/>
      <c r="G1720" s="694"/>
      <c r="H1720" s="8"/>
      <c r="I1720" s="681" t="str">
        <f>INDEX('W-S'!$A:$O,MATCH(I1719,'W-S'!$C:$C,0),MATCH("Description",'W-S'!$1:$1,0))</f>
        <v>Increases the user's strength by 40% until the next time this skill is used. The second time this skill is used, it will instead become Tír na nÓg. Tír na nÓg deals 5 hits of 198.4% light damage to surrounding enemies and if the attack connects, it will fill the dragon gauge by 100 DP once and increase skill gauge fill rate by 10% until the skill is next used. The skill will then alternate between these two effects with every use.</v>
      </c>
      <c r="J1720" s="682"/>
      <c r="K1720" s="239"/>
      <c r="L1720" s="720" t="str">
        <f>INDEX('W-S'!$A:$O,MATCH(I1719,'W-S'!$C:$C,0),MATCH("Description V3",'W-S'!$1:$1,0))</f>
        <v>Increases the user's strength by 40% until the next time this skill is used. The second time this skill is used, it will instead become Tír na nÓg. Tír na nÓg deals 5 hits of 300% light damage to surrounding enemies and if the attack connects, it will fill the dragon gauge by 100 DP once, increase skill gauge fill rate by 10%, and gradually recovers the user's HP with 5% Recovery Potency every 2.9 seconds until the skill is next used. The skill will then alternate between these two effects with every use.</v>
      </c>
      <c r="M1720" s="721"/>
    </row>
    <row r="1721" spans="1:13" ht="22.5" x14ac:dyDescent="0.2">
      <c r="B1721" s="701" t="e" vm="266">
        <f>+_xlfn.IMAGE("https://natalie.tf/wp-content/uploads/2023/10/DLV3_Icon_Weapon_"&amp;B1720&amp;".png")</f>
        <v>#VALUE!</v>
      </c>
      <c r="C1721" s="240"/>
      <c r="D1721" s="692" t="str">
        <f>INDEX(WEAP!$A:$AN,MATCH(B1720,WEAP!$A:$A,0),MATCH("Element",WEAP!$A$1:$BF$1,0))&amp;" "&amp;INDEX(WEAP!$A:$AN,MATCH(B1720,WEAP!$A:$A,0),MATCH("Type",WEAP!$A$1:$BF$1,0))</f>
        <v>Light Manacaster</v>
      </c>
      <c r="E1721" s="693"/>
      <c r="F1721" s="693"/>
      <c r="G1721" s="694"/>
      <c r="H1721" s="8"/>
      <c r="I1721" s="683"/>
      <c r="J1721" s="684"/>
      <c r="K1721" s="9"/>
      <c r="L1721" s="722"/>
      <c r="M1721" s="723"/>
    </row>
    <row r="1722" spans="1:13" ht="22.5" x14ac:dyDescent="0.35">
      <c r="B1722" s="702"/>
      <c r="C1722" s="239"/>
      <c r="D1722" s="703" t="s">
        <v>10760</v>
      </c>
      <c r="E1722" s="704"/>
      <c r="F1722" s="235" t="s">
        <v>10761</v>
      </c>
      <c r="G1722" s="235" t="s">
        <v>10762</v>
      </c>
      <c r="I1722" s="683"/>
      <c r="J1722" s="684"/>
      <c r="K1722" s="239"/>
      <c r="L1722" s="722"/>
      <c r="M1722" s="723"/>
    </row>
    <row r="1723" spans="1:13" ht="22.5" x14ac:dyDescent="0.35">
      <c r="B1723" s="702"/>
      <c r="C1723" s="239"/>
      <c r="D1723" s="705" t="s">
        <v>96</v>
      </c>
      <c r="E1723" s="706"/>
      <c r="F1723" s="236">
        <f>INDEX(WEAP!$A:$AN,MATCH(B1720,WEAP!$A:$A,0),MATCH("HP",WEAP!$A$1:$BF$1,0))</f>
        <v>262</v>
      </c>
      <c r="G1723" s="237">
        <f>INDEX(WEAP!$A:$AN,MATCH(B1720,WEAP!$A:$A,0),MATCH("HP V3",WEAP!$A$1:$BF$1,0))</f>
        <v>270</v>
      </c>
      <c r="I1723" s="683"/>
      <c r="J1723" s="684"/>
      <c r="K1723" s="239"/>
      <c r="L1723" s="722"/>
      <c r="M1723" s="723"/>
    </row>
    <row r="1724" spans="1:13" ht="22.5" x14ac:dyDescent="0.35">
      <c r="B1724" s="702"/>
      <c r="C1724" s="239"/>
      <c r="D1724" s="707" t="s">
        <v>97</v>
      </c>
      <c r="E1724" s="708"/>
      <c r="F1724" s="236">
        <f>INDEX(WEAP!$A:$AN,MATCH(B1720,WEAP!$A:$A,0),MATCH("Str",WEAP!$A$1:$BF$1,0))</f>
        <v>1737</v>
      </c>
      <c r="G1724" s="237">
        <f>INDEX(WEAP!$A:$AN,MATCH(B1720,WEAP!$A:$A,0),MATCH("Str V3",WEAP!$A$1:$BF$1,0))</f>
        <v>1740</v>
      </c>
      <c r="I1724" s="685"/>
      <c r="J1724" s="686"/>
      <c r="K1724" s="239"/>
      <c r="L1724" s="724"/>
      <c r="M1724" s="725"/>
    </row>
    <row r="1725" spans="1:13" s="245" customFormat="1" ht="7.5" customHeight="1" x14ac:dyDescent="0.2">
      <c r="A1725" s="245" t="s">
        <v>10763</v>
      </c>
    </row>
    <row r="1726" spans="1:13" ht="22.5" x14ac:dyDescent="0.35">
      <c r="A1726" s="242" t="str">
        <f>TEXT(A1719+1,"000")</f>
        <v>247</v>
      </c>
      <c r="B1726" s="238" t="str">
        <f>"W-"&amp;A1726</f>
        <v>W-247</v>
      </c>
      <c r="C1726" s="239"/>
      <c r="D1726" s="692" t="str">
        <f>+INDEX(WEAP!$A:$AN,MATCH(B1727,WEAP!$A:$A,0),MATCH("Name",WEAP!$A$1:$BF$1,0))</f>
        <v>Yitian Jian</v>
      </c>
      <c r="E1726" s="693"/>
      <c r="F1726" s="693"/>
      <c r="G1726" s="694"/>
      <c r="I1726" s="241" t="str">
        <f>+INDEX(WEAP!$A:$AN,MATCH(B1727,WEAP!$A:$A,0),MATCH("Weapon Skill",WEAP!$A$1:$BF$1,0))</f>
        <v>Qimen Dunjia</v>
      </c>
      <c r="J1726" s="243">
        <f>INDEX('W-S'!$A:$N,MATCH(I1726,'W-S'!$C:$C,0),MATCH("SP Cost",'W-S'!$1:$1,0))</f>
        <v>3000</v>
      </c>
      <c r="K1726" s="9"/>
      <c r="L1726" s="241" t="str">
        <f>+I1726</f>
        <v>Qimen Dunjia</v>
      </c>
      <c r="M1726" s="243">
        <f>INDEX('W-S'!$A:$N,MATCH(L1726,'W-S'!$C:$C,0),MATCH("SP Cost V3",'W-S'!$1:$1,0))</f>
        <v>3000</v>
      </c>
    </row>
    <row r="1727" spans="1:13" ht="22.5" customHeight="1" x14ac:dyDescent="0.35">
      <c r="B1727" s="238" t="str">
        <f>+INDEX(WEAP!$A:$AN,MATCH(B1726,WEAP!$B:$B,0),MATCH("ID",WEAP!$A$1:$BF$1,0))</f>
        <v>301142_01</v>
      </c>
      <c r="C1727" s="240"/>
      <c r="D1727" s="692" t="str">
        <f>+INDEX(WEAP!$A:$AN,MATCH(B1726,WEAP!$B:$B,0),MATCH("Family",WEAP!$A$1:$BF$1,0))&amp;" Weapon"</f>
        <v>Agito Weapon</v>
      </c>
      <c r="E1727" s="693"/>
      <c r="F1727" s="693"/>
      <c r="G1727" s="694"/>
      <c r="H1727" s="8"/>
      <c r="I1727" s="458" t="str">
        <f>INDEX('W-S'!$A:$O,MATCH(I1726,'W-S'!$C:$C,0),MATCH("Description",'W-S'!$1:$1,0))</f>
        <v>Increases the user's attack rate by 30% until the next time this skill is used. The second time this skill is used, it will instead become Shibing Bazhen. Shibing Bazhen increases the user's defense by 40% until the skill is next used. The skill will then alternate between these two effects with every use.</v>
      </c>
      <c r="J1727" s="460"/>
      <c r="K1727" s="239"/>
      <c r="L1727" s="681" t="str">
        <f>INDEX('W-S'!$A:$O,MATCH(I1726,'W-S'!$C:$C,0),MATCH("Description V3",'W-S'!$1:$1,0))</f>
        <v>Increases the user's attack rate by 30% and critical rate by 5% until the next time this skill is used. The second time this skill is used, it will instead become Shibing Bazhen. Shibing Bazhen increases the user's defense by 50% and gradually recovers the user's HP with 5% Recovery Potency every 2.9 seconds until the skill is next used. The skill will then alternate between these two effects with every use.</v>
      </c>
      <c r="M1727" s="682"/>
    </row>
    <row r="1728" spans="1:13" ht="22.5" x14ac:dyDescent="0.2">
      <c r="B1728" s="701" t="e" vm="267">
        <f>+_xlfn.IMAGE("https://natalie.tf/wp-content/uploads/2023/10/DLV3_Icon_Weapon_"&amp;B1727&amp;".png")</f>
        <v>#VALUE!</v>
      </c>
      <c r="C1728" s="240"/>
      <c r="D1728" s="692" t="str">
        <f>INDEX(WEAP!$A:$AN,MATCH(B1727,WEAP!$A:$A,0),MATCH("Element",WEAP!$A$1:$BF$1,0))&amp;" "&amp;INDEX(WEAP!$A:$AN,MATCH(B1727,WEAP!$A:$A,0),MATCH("Type",WEAP!$A$1:$BF$1,0))</f>
        <v>Shadow Sword</v>
      </c>
      <c r="E1728" s="693"/>
      <c r="F1728" s="693"/>
      <c r="G1728" s="694"/>
      <c r="H1728" s="8"/>
      <c r="I1728" s="461"/>
      <c r="J1728" s="463"/>
      <c r="K1728" s="9"/>
      <c r="L1728" s="683"/>
      <c r="M1728" s="684"/>
    </row>
    <row r="1729" spans="1:13" ht="22.5" x14ac:dyDescent="0.35">
      <c r="B1729" s="702"/>
      <c r="C1729" s="239"/>
      <c r="D1729" s="703" t="s">
        <v>10760</v>
      </c>
      <c r="E1729" s="704"/>
      <c r="F1729" s="235" t="s">
        <v>10761</v>
      </c>
      <c r="G1729" s="235" t="s">
        <v>10762</v>
      </c>
      <c r="I1729" s="461"/>
      <c r="J1729" s="463"/>
      <c r="K1729" s="239"/>
      <c r="L1729" s="683"/>
      <c r="M1729" s="684"/>
    </row>
    <row r="1730" spans="1:13" ht="22.5" x14ac:dyDescent="0.35">
      <c r="B1730" s="702"/>
      <c r="C1730" s="239"/>
      <c r="D1730" s="705" t="s">
        <v>96</v>
      </c>
      <c r="E1730" s="706"/>
      <c r="F1730" s="236">
        <f>INDEX(WEAP!$A:$AN,MATCH(B1727,WEAP!$A:$A,0),MATCH("HP",WEAP!$A$1:$BF$1,0))</f>
        <v>270</v>
      </c>
      <c r="G1730" s="237">
        <f>INDEX(WEAP!$A:$AN,MATCH(B1727,WEAP!$A:$A,0),MATCH("HP V3",WEAP!$A$1:$BF$1,0))</f>
        <v>270</v>
      </c>
      <c r="I1730" s="461"/>
      <c r="J1730" s="463"/>
      <c r="K1730" s="239"/>
      <c r="L1730" s="683"/>
      <c r="M1730" s="684"/>
    </row>
    <row r="1731" spans="1:13" ht="22.5" x14ac:dyDescent="0.35">
      <c r="B1731" s="702"/>
      <c r="C1731" s="239"/>
      <c r="D1731" s="707" t="s">
        <v>97</v>
      </c>
      <c r="E1731" s="708"/>
      <c r="F1731" s="236">
        <f>INDEX(WEAP!$A:$AN,MATCH(B1727,WEAP!$A:$A,0),MATCH("Str",WEAP!$A$1:$BF$1,0))</f>
        <v>1720</v>
      </c>
      <c r="G1731" s="237">
        <f>INDEX(WEAP!$A:$AN,MATCH(B1727,WEAP!$A:$A,0),MATCH("Str V3",WEAP!$A$1:$BF$1,0))</f>
        <v>1720</v>
      </c>
      <c r="I1731" s="464"/>
      <c r="J1731" s="466"/>
      <c r="K1731" s="239"/>
      <c r="L1731" s="685"/>
      <c r="M1731" s="686"/>
    </row>
    <row r="1732" spans="1:13" s="245" customFormat="1" ht="7.5" customHeight="1" x14ac:dyDescent="0.2">
      <c r="A1732" s="245" t="s">
        <v>10763</v>
      </c>
    </row>
    <row r="1733" spans="1:13" ht="22.5" x14ac:dyDescent="0.35">
      <c r="A1733" s="244" t="str">
        <f>TEXT(A1726+1,"000")</f>
        <v>248</v>
      </c>
      <c r="B1733" s="238" t="str">
        <f>"W-"&amp;A1733</f>
        <v>W-248</v>
      </c>
      <c r="C1733" s="239"/>
      <c r="D1733" s="692" t="str">
        <f>+INDEX(WEAP!$A:$AN,MATCH(B1734,WEAP!$A:$A,0),MATCH("Name",WEAP!$A$1:$BF$1,0))</f>
        <v>Qixing Baodao</v>
      </c>
      <c r="E1733" s="693"/>
      <c r="F1733" s="693"/>
      <c r="G1733" s="694"/>
      <c r="I1733" s="241" t="str">
        <f>+INDEX(WEAP!$A:$AN,MATCH(B1734,WEAP!$A:$A,0),MATCH("Weapon Skill",WEAP!$A$1:$BF$1,0))</f>
        <v>Qimen Dunjia</v>
      </c>
      <c r="J1733" s="243">
        <f>INDEX('W-S'!$A:$N,MATCH(I1733,'W-S'!$C:$C,0),MATCH("SP Cost",'W-S'!$1:$1,0))</f>
        <v>3000</v>
      </c>
      <c r="K1733" s="9"/>
      <c r="L1733" s="241" t="str">
        <f>+I1733</f>
        <v>Qimen Dunjia</v>
      </c>
      <c r="M1733" s="243">
        <f>INDEX('W-S'!$A:$N,MATCH(L1733,'W-S'!$C:$C,0),MATCH("SP Cost V3",'W-S'!$1:$1,0))</f>
        <v>3000</v>
      </c>
    </row>
    <row r="1734" spans="1:13" ht="22.5" customHeight="1" x14ac:dyDescent="0.35">
      <c r="B1734" s="238" t="str">
        <f>+INDEX(WEAP!$A:$AN,MATCH(B1733,WEAP!$B:$B,0),MATCH("ID",WEAP!$A$1:$BF$1,0))</f>
        <v>302133_01</v>
      </c>
      <c r="C1734" s="240"/>
      <c r="D1734" s="692" t="str">
        <f>+INDEX(WEAP!$A:$AN,MATCH(B1733,WEAP!$B:$B,0),MATCH("Family",WEAP!$A$1:$BF$1,0))&amp;" Weapon"</f>
        <v>Agito Weapon</v>
      </c>
      <c r="E1734" s="693"/>
      <c r="F1734" s="693"/>
      <c r="G1734" s="694"/>
      <c r="H1734" s="8"/>
      <c r="I1734" s="458" t="str">
        <f>INDEX('W-S'!$A:$O,MATCH(I1733,'W-S'!$C:$C,0),MATCH("Description",'W-S'!$1:$1,0))</f>
        <v>Increases the user's attack rate by 30% until the next time this skill is used. The second time this skill is used, it will instead become Shibing Bazhen. Shibing Bazhen increases the user's defense by 40% until the skill is next used. The skill will then alternate between these two effects with every use.</v>
      </c>
      <c r="J1734" s="460"/>
      <c r="K1734" s="239"/>
      <c r="L1734" s="681" t="str">
        <f>INDEX('W-S'!$A:$O,MATCH(I1733,'W-S'!$C:$C,0),MATCH("Description V3",'W-S'!$1:$1,0))</f>
        <v>Increases the user's attack rate by 30% and critical rate by 5% until the next time this skill is used. The second time this skill is used, it will instead become Shibing Bazhen. Shibing Bazhen increases the user's defense by 50% and gradually recovers the user's HP with 5% Recovery Potency every 2.9 seconds until the skill is next used. The skill will then alternate between these two effects with every use.</v>
      </c>
      <c r="M1734" s="682"/>
    </row>
    <row r="1735" spans="1:13" ht="22.5" x14ac:dyDescent="0.2">
      <c r="B1735" s="701" t="e" vm="268">
        <f>+_xlfn.IMAGE("https://natalie.tf/wp-content/uploads/2023/10/DLV3_Icon_Weapon_"&amp;B1734&amp;".png")</f>
        <v>#VALUE!</v>
      </c>
      <c r="C1735" s="240"/>
      <c r="D1735" s="692" t="str">
        <f>INDEX(WEAP!$A:$AN,MATCH(B1734,WEAP!$A:$A,0),MATCH("Element",WEAP!$A$1:$BF$1,0))&amp;" "&amp;INDEX(WEAP!$A:$AN,MATCH(B1734,WEAP!$A:$A,0),MATCH("Type",WEAP!$A$1:$BF$1,0))</f>
        <v>Shadow Blade</v>
      </c>
      <c r="E1735" s="693"/>
      <c r="F1735" s="693"/>
      <c r="G1735" s="694"/>
      <c r="H1735" s="8"/>
      <c r="I1735" s="461"/>
      <c r="J1735" s="463"/>
      <c r="K1735" s="9"/>
      <c r="L1735" s="683"/>
      <c r="M1735" s="684"/>
    </row>
    <row r="1736" spans="1:13" ht="22.5" x14ac:dyDescent="0.35">
      <c r="B1736" s="702"/>
      <c r="C1736" s="239"/>
      <c r="D1736" s="703" t="s">
        <v>10760</v>
      </c>
      <c r="E1736" s="704"/>
      <c r="F1736" s="235" t="s">
        <v>10761</v>
      </c>
      <c r="G1736" s="235" t="s">
        <v>10762</v>
      </c>
      <c r="I1736" s="461"/>
      <c r="J1736" s="463"/>
      <c r="K1736" s="239"/>
      <c r="L1736" s="683"/>
      <c r="M1736" s="684"/>
    </row>
    <row r="1737" spans="1:13" ht="22.5" x14ac:dyDescent="0.35">
      <c r="B1737" s="702"/>
      <c r="C1737" s="239"/>
      <c r="D1737" s="705" t="s">
        <v>96</v>
      </c>
      <c r="E1737" s="706"/>
      <c r="F1737" s="236">
        <f>INDEX(WEAP!$A:$AN,MATCH(B1734,WEAP!$A:$A,0),MATCH("HP",WEAP!$A$1:$BF$1,0))</f>
        <v>239</v>
      </c>
      <c r="G1737" s="237">
        <f>INDEX(WEAP!$A:$AN,MATCH(B1734,WEAP!$A:$A,0),MATCH("HP V3",WEAP!$A$1:$BF$1,0))</f>
        <v>250</v>
      </c>
      <c r="I1737" s="461"/>
      <c r="J1737" s="463"/>
      <c r="K1737" s="239"/>
      <c r="L1737" s="683"/>
      <c r="M1737" s="684"/>
    </row>
    <row r="1738" spans="1:13" ht="22.5" x14ac:dyDescent="0.35">
      <c r="B1738" s="702"/>
      <c r="C1738" s="239"/>
      <c r="D1738" s="707" t="s">
        <v>97</v>
      </c>
      <c r="E1738" s="708"/>
      <c r="F1738" s="236">
        <f>INDEX(WEAP!$A:$AN,MATCH(B1734,WEAP!$A:$A,0),MATCH("Str",WEAP!$A$1:$BF$1,0))</f>
        <v>1822</v>
      </c>
      <c r="G1738" s="237">
        <f>INDEX(WEAP!$A:$AN,MATCH(B1734,WEAP!$A:$A,0),MATCH("Str V3",WEAP!$A$1:$BF$1,0))</f>
        <v>1825</v>
      </c>
      <c r="I1738" s="464"/>
      <c r="J1738" s="466"/>
      <c r="K1738" s="239"/>
      <c r="L1738" s="685"/>
      <c r="M1738" s="686"/>
    </row>
    <row r="1739" spans="1:13" s="245" customFormat="1" ht="7.5" customHeight="1" x14ac:dyDescent="0.2">
      <c r="A1739" s="245" t="s">
        <v>10763</v>
      </c>
    </row>
    <row r="1740" spans="1:13" ht="22.5" x14ac:dyDescent="0.35">
      <c r="A1740" s="244" t="str">
        <f>TEXT(A1733+1,"000")</f>
        <v>249</v>
      </c>
      <c r="B1740" s="238" t="str">
        <f>"W-"&amp;A1740</f>
        <v>W-249</v>
      </c>
      <c r="C1740" s="239"/>
      <c r="D1740" s="692" t="str">
        <f>+INDEX(WEAP!$A:$AN,MATCH(B1741,WEAP!$A:$A,0),MATCH("Name",WEAP!$A$1:$BF$1,0))</f>
        <v>Qinghong Jian</v>
      </c>
      <c r="E1740" s="693"/>
      <c r="F1740" s="693"/>
      <c r="G1740" s="694"/>
      <c r="I1740" s="241" t="str">
        <f>+INDEX(WEAP!$A:$AN,MATCH(B1741,WEAP!$A:$A,0),MATCH("Weapon Skill",WEAP!$A$1:$BF$1,0))</f>
        <v>Qimen Dunjia</v>
      </c>
      <c r="J1740" s="243">
        <f>INDEX('W-S'!$A:$N,MATCH(I1740,'W-S'!$C:$C,0),MATCH("SP Cost",'W-S'!$1:$1,0))</f>
        <v>3000</v>
      </c>
      <c r="K1740" s="9"/>
      <c r="L1740" s="241" t="str">
        <f>+I1740</f>
        <v>Qimen Dunjia</v>
      </c>
      <c r="M1740" s="243">
        <f>INDEX('W-S'!$A:$N,MATCH(L1740,'W-S'!$C:$C,0),MATCH("SP Cost V3",'W-S'!$1:$1,0))</f>
        <v>3000</v>
      </c>
    </row>
    <row r="1741" spans="1:13" ht="22.5" customHeight="1" x14ac:dyDescent="0.35">
      <c r="B1741" s="238" t="str">
        <f>+INDEX(WEAP!$A:$AN,MATCH(B1740,WEAP!$B:$B,0),MATCH("ID",WEAP!$A$1:$BF$1,0))</f>
        <v>303132_01</v>
      </c>
      <c r="C1741" s="240"/>
      <c r="D1741" s="692" t="str">
        <f>+INDEX(WEAP!$A:$AN,MATCH(B1740,WEAP!$B:$B,0),MATCH("Family",WEAP!$A$1:$BF$1,0))&amp;" Weapon"</f>
        <v>Agito Weapon</v>
      </c>
      <c r="E1741" s="693"/>
      <c r="F1741" s="693"/>
      <c r="G1741" s="694"/>
      <c r="H1741" s="8"/>
      <c r="I1741" s="458" t="str">
        <f>INDEX('W-S'!$A:$O,MATCH(I1740,'W-S'!$C:$C,0),MATCH("Description",'W-S'!$1:$1,0))</f>
        <v>Increases the user's attack rate by 30% until the next time this skill is used. The second time this skill is used, it will instead become Shibing Bazhen. Shibing Bazhen increases the user's defense by 40% until the skill is next used. The skill will then alternate between these two effects with every use.</v>
      </c>
      <c r="J1741" s="460"/>
      <c r="K1741" s="239"/>
      <c r="L1741" s="681" t="str">
        <f>INDEX('W-S'!$A:$O,MATCH(I1740,'W-S'!$C:$C,0),MATCH("Description V3",'W-S'!$1:$1,0))</f>
        <v>Increases the user's attack rate by 30% and critical rate by 5% until the next time this skill is used. The second time this skill is used, it will instead become Shibing Bazhen. Shibing Bazhen increases the user's defense by 50% and gradually recovers the user's HP with 5% Recovery Potency every 2.9 seconds until the skill is next used. The skill will then alternate between these two effects with every use.</v>
      </c>
      <c r="M1741" s="682"/>
    </row>
    <row r="1742" spans="1:13" ht="22.5" x14ac:dyDescent="0.2">
      <c r="B1742" s="701" t="e" vm="269">
        <f>+_xlfn.IMAGE("https://natalie.tf/wp-content/uploads/2023/10/DLV3_Icon_Weapon_"&amp;B1741&amp;".png")</f>
        <v>#VALUE!</v>
      </c>
      <c r="C1742" s="240"/>
      <c r="D1742" s="692" t="str">
        <f>INDEX(WEAP!$A:$AN,MATCH(B1741,WEAP!$A:$A,0),MATCH("Element",WEAP!$A$1:$BF$1,0))&amp;" "&amp;INDEX(WEAP!$A:$AN,MATCH(B1741,WEAP!$A:$A,0),MATCH("Type",WEAP!$A$1:$BF$1,0))</f>
        <v>Shadow Dagger</v>
      </c>
      <c r="E1742" s="693"/>
      <c r="F1742" s="693"/>
      <c r="G1742" s="694"/>
      <c r="H1742" s="8"/>
      <c r="I1742" s="461"/>
      <c r="J1742" s="463"/>
      <c r="K1742" s="9"/>
      <c r="L1742" s="683"/>
      <c r="M1742" s="684"/>
    </row>
    <row r="1743" spans="1:13" ht="22.5" x14ac:dyDescent="0.35">
      <c r="B1743" s="702"/>
      <c r="C1743" s="239"/>
      <c r="D1743" s="703" t="s">
        <v>10760</v>
      </c>
      <c r="E1743" s="704"/>
      <c r="F1743" s="235" t="s">
        <v>10761</v>
      </c>
      <c r="G1743" s="235" t="s">
        <v>10762</v>
      </c>
      <c r="I1743" s="461"/>
      <c r="J1743" s="463"/>
      <c r="K1743" s="239"/>
      <c r="L1743" s="683"/>
      <c r="M1743" s="684"/>
    </row>
    <row r="1744" spans="1:13" ht="22.5" x14ac:dyDescent="0.35">
      <c r="B1744" s="702"/>
      <c r="C1744" s="239"/>
      <c r="D1744" s="705" t="s">
        <v>96</v>
      </c>
      <c r="E1744" s="706"/>
      <c r="F1744" s="236">
        <f>INDEX(WEAP!$A:$AN,MATCH(B1741,WEAP!$A:$A,0),MATCH("HP",WEAP!$A$1:$BF$1,0))</f>
        <v>273</v>
      </c>
      <c r="G1744" s="237">
        <f>INDEX(WEAP!$A:$AN,MATCH(B1741,WEAP!$A:$A,0),MATCH("HP V3",WEAP!$A$1:$BF$1,0))</f>
        <v>275</v>
      </c>
      <c r="I1744" s="461"/>
      <c r="J1744" s="463"/>
      <c r="K1744" s="239"/>
      <c r="L1744" s="683"/>
      <c r="M1744" s="684"/>
    </row>
    <row r="1745" spans="1:13" ht="22.5" x14ac:dyDescent="0.35">
      <c r="B1745" s="702"/>
      <c r="C1745" s="239"/>
      <c r="D1745" s="707" t="s">
        <v>97</v>
      </c>
      <c r="E1745" s="708"/>
      <c r="F1745" s="236">
        <f>INDEX(WEAP!$A:$AN,MATCH(B1741,WEAP!$A:$A,0),MATCH("Str",WEAP!$A$1:$BF$1,0))</f>
        <v>1686</v>
      </c>
      <c r="G1745" s="237">
        <f>INDEX(WEAP!$A:$AN,MATCH(B1741,WEAP!$A:$A,0),MATCH("Str V3",WEAP!$A$1:$BF$1,0))</f>
        <v>1690</v>
      </c>
      <c r="I1745" s="464"/>
      <c r="J1745" s="466"/>
      <c r="K1745" s="239"/>
      <c r="L1745" s="685"/>
      <c r="M1745" s="686"/>
    </row>
    <row r="1746" spans="1:13" s="245" customFormat="1" ht="7.5" customHeight="1" x14ac:dyDescent="0.2">
      <c r="A1746" s="245" t="s">
        <v>10763</v>
      </c>
    </row>
    <row r="1747" spans="1:13" ht="22.5" x14ac:dyDescent="0.35">
      <c r="A1747" s="244" t="str">
        <f>TEXT(A1740+1,"000")</f>
        <v>250</v>
      </c>
      <c r="B1747" s="238" t="str">
        <f>"W-"&amp;A1747</f>
        <v>W-250</v>
      </c>
      <c r="C1747" s="239"/>
      <c r="D1747" s="692" t="str">
        <f>+INDEX(WEAP!$A:$AN,MATCH(B1748,WEAP!$A:$A,0),MATCH("Name",WEAP!$A$1:$BF$1,0))</f>
        <v>Fangtian Huaji</v>
      </c>
      <c r="E1747" s="693"/>
      <c r="F1747" s="693"/>
      <c r="G1747" s="694"/>
      <c r="I1747" s="241" t="str">
        <f>+INDEX(WEAP!$A:$AN,MATCH(B1748,WEAP!$A:$A,0),MATCH("Weapon Skill",WEAP!$A$1:$BF$1,0))</f>
        <v>Qimen Dunjia</v>
      </c>
      <c r="J1747" s="243">
        <f>INDEX('W-S'!$A:$N,MATCH(I1747,'W-S'!$C:$C,0),MATCH("SP Cost",'W-S'!$1:$1,0))</f>
        <v>3000</v>
      </c>
      <c r="K1747" s="9"/>
      <c r="L1747" s="241" t="str">
        <f>+I1747</f>
        <v>Qimen Dunjia</v>
      </c>
      <c r="M1747" s="243">
        <f>INDEX('W-S'!$A:$N,MATCH(L1747,'W-S'!$C:$C,0),MATCH("SP Cost V3",'W-S'!$1:$1,0))</f>
        <v>3000</v>
      </c>
    </row>
    <row r="1748" spans="1:13" ht="22.5" customHeight="1" x14ac:dyDescent="0.35">
      <c r="B1748" s="238" t="str">
        <f>+INDEX(WEAP!$A:$AN,MATCH(B1747,WEAP!$B:$B,0),MATCH("ID",WEAP!$A$1:$BF$1,0))</f>
        <v>304131_01</v>
      </c>
      <c r="C1748" s="240"/>
      <c r="D1748" s="692" t="str">
        <f>+INDEX(WEAP!$A:$AN,MATCH(B1747,WEAP!$B:$B,0),MATCH("Family",WEAP!$A$1:$BF$1,0))&amp;" Weapon"</f>
        <v>Agito Weapon</v>
      </c>
      <c r="E1748" s="693"/>
      <c r="F1748" s="693"/>
      <c r="G1748" s="694"/>
      <c r="H1748" s="8"/>
      <c r="I1748" s="458" t="str">
        <f>INDEX('W-S'!$A:$O,MATCH(I1747,'W-S'!$C:$C,0),MATCH("Description",'W-S'!$1:$1,0))</f>
        <v>Increases the user's attack rate by 30% until the next time this skill is used. The second time this skill is used, it will instead become Shibing Bazhen. Shibing Bazhen increases the user's defense by 40% until the skill is next used. The skill will then alternate between these two effects with every use.</v>
      </c>
      <c r="J1748" s="460"/>
      <c r="K1748" s="239"/>
      <c r="L1748" s="681" t="str">
        <f>INDEX('W-S'!$A:$O,MATCH(I1747,'W-S'!$C:$C,0),MATCH("Description V3",'W-S'!$1:$1,0))</f>
        <v>Increases the user's attack rate by 30% and critical rate by 5% until the next time this skill is used. The second time this skill is used, it will instead become Shibing Bazhen. Shibing Bazhen increases the user's defense by 50% and gradually recovers the user's HP with 5% Recovery Potency every 2.9 seconds until the skill is next used. The skill will then alternate between these two effects with every use.</v>
      </c>
      <c r="M1748" s="682"/>
    </row>
    <row r="1749" spans="1:13" ht="22.5" x14ac:dyDescent="0.2">
      <c r="B1749" s="701" t="e" vm="270">
        <f>+_xlfn.IMAGE("https://natalie.tf/wp-content/uploads/2023/10/DLV3_Icon_Weapon_"&amp;B1748&amp;".png")</f>
        <v>#VALUE!</v>
      </c>
      <c r="C1749" s="240"/>
      <c r="D1749" s="692" t="str">
        <f>INDEX(WEAP!$A:$AN,MATCH(B1748,WEAP!$A:$A,0),MATCH("Element",WEAP!$A$1:$BF$1,0))&amp;" "&amp;INDEX(WEAP!$A:$AN,MATCH(B1748,WEAP!$A:$A,0),MATCH("Type",WEAP!$A$1:$BF$1,0))</f>
        <v>Shadow Axe</v>
      </c>
      <c r="E1749" s="693"/>
      <c r="F1749" s="693"/>
      <c r="G1749" s="694"/>
      <c r="H1749" s="8"/>
      <c r="I1749" s="461"/>
      <c r="J1749" s="463"/>
      <c r="K1749" s="9"/>
      <c r="L1749" s="683"/>
      <c r="M1749" s="684"/>
    </row>
    <row r="1750" spans="1:13" ht="22.5" x14ac:dyDescent="0.35">
      <c r="B1750" s="702"/>
      <c r="C1750" s="239"/>
      <c r="D1750" s="703" t="s">
        <v>10760</v>
      </c>
      <c r="E1750" s="704"/>
      <c r="F1750" s="235" t="s">
        <v>10761</v>
      </c>
      <c r="G1750" s="235" t="s">
        <v>10762</v>
      </c>
      <c r="I1750" s="461"/>
      <c r="J1750" s="463"/>
      <c r="K1750" s="239"/>
      <c r="L1750" s="683"/>
      <c r="M1750" s="684"/>
    </row>
    <row r="1751" spans="1:13" ht="22.5" x14ac:dyDescent="0.35">
      <c r="B1751" s="702"/>
      <c r="C1751" s="239"/>
      <c r="D1751" s="705" t="s">
        <v>96</v>
      </c>
      <c r="E1751" s="706"/>
      <c r="F1751" s="236">
        <f>INDEX(WEAP!$A:$AN,MATCH(B1748,WEAP!$A:$A,0),MATCH("HP",WEAP!$A$1:$BF$1,0))</f>
        <v>278</v>
      </c>
      <c r="G1751" s="237">
        <f>INDEX(WEAP!$A:$AN,MATCH(B1748,WEAP!$A:$A,0),MATCH("HP V3",WEAP!$A$1:$BF$1,0))</f>
        <v>295</v>
      </c>
      <c r="I1751" s="461"/>
      <c r="J1751" s="463"/>
      <c r="K1751" s="239"/>
      <c r="L1751" s="683"/>
      <c r="M1751" s="684"/>
    </row>
    <row r="1752" spans="1:13" ht="22.5" x14ac:dyDescent="0.35">
      <c r="B1752" s="702"/>
      <c r="C1752" s="239"/>
      <c r="D1752" s="707" t="s">
        <v>97</v>
      </c>
      <c r="E1752" s="708"/>
      <c r="F1752" s="236">
        <f>INDEX(WEAP!$A:$AN,MATCH(B1748,WEAP!$A:$A,0),MATCH("Str",WEAP!$A$1:$BF$1,0))</f>
        <v>1805</v>
      </c>
      <c r="G1752" s="237">
        <f>INDEX(WEAP!$A:$AN,MATCH(B1748,WEAP!$A:$A,0),MATCH("Str V3",WEAP!$A$1:$BF$1,0))</f>
        <v>1805</v>
      </c>
      <c r="I1752" s="464"/>
      <c r="J1752" s="466"/>
      <c r="K1752" s="239"/>
      <c r="L1752" s="685"/>
      <c r="M1752" s="686"/>
    </row>
    <row r="1753" spans="1:13" ht="33.75" customHeight="1" x14ac:dyDescent="0.2">
      <c r="A1753" t="s">
        <v>10763</v>
      </c>
    </row>
    <row r="1754" spans="1:13" ht="22.5" x14ac:dyDescent="0.35">
      <c r="A1754" s="244" t="str">
        <f>TEXT(A1747+1,"000")</f>
        <v>251</v>
      </c>
      <c r="B1754" s="238" t="str">
        <f>"W-"&amp;A1754</f>
        <v>W-251</v>
      </c>
      <c r="C1754" s="239"/>
      <c r="D1754" s="692" t="str">
        <f>+INDEX(WEAP!$A:$AN,MATCH(B1755,WEAP!$A:$A,0),MATCH("Name",WEAP!$A$1:$BF$1,0))</f>
        <v>Qinglong Yanyuedao</v>
      </c>
      <c r="E1754" s="693"/>
      <c r="F1754" s="693"/>
      <c r="G1754" s="694"/>
      <c r="I1754" s="241" t="str">
        <f>+INDEX(WEAP!$A:$AN,MATCH(B1755,WEAP!$A:$A,0),MATCH("Weapon Skill",WEAP!$A$1:$BF$1,0))</f>
        <v>Qimen Dunjia</v>
      </c>
      <c r="J1754" s="243">
        <f>INDEX('W-S'!$A:$N,MATCH(I1754,'W-S'!$C:$C,0),MATCH("SP Cost",'W-S'!$1:$1,0))</f>
        <v>3000</v>
      </c>
      <c r="K1754" s="9"/>
      <c r="L1754" s="241" t="str">
        <f>+I1754</f>
        <v>Qimen Dunjia</v>
      </c>
      <c r="M1754" s="243">
        <f>INDEX('W-S'!$A:$N,MATCH(L1754,'W-S'!$C:$C,0),MATCH("SP Cost V3",'W-S'!$1:$1,0))</f>
        <v>3000</v>
      </c>
    </row>
    <row r="1755" spans="1:13" ht="22.5" customHeight="1" x14ac:dyDescent="0.35">
      <c r="B1755" s="238" t="str">
        <f>+INDEX(WEAP!$A:$AN,MATCH(B1754,WEAP!$B:$B,0),MATCH("ID",WEAP!$A$1:$BF$1,0))</f>
        <v>305139_01</v>
      </c>
      <c r="C1755" s="240"/>
      <c r="D1755" s="692" t="str">
        <f>+INDEX(WEAP!$A:$AN,MATCH(B1754,WEAP!$B:$B,0),MATCH("Family",WEAP!$A$1:$BF$1,0))&amp;" Weapon"</f>
        <v>Agito Weapon</v>
      </c>
      <c r="E1755" s="693"/>
      <c r="F1755" s="693"/>
      <c r="G1755" s="694"/>
      <c r="H1755" s="8"/>
      <c r="I1755" s="458" t="str">
        <f>INDEX('W-S'!$A:$O,MATCH(I1754,'W-S'!$C:$C,0),MATCH("Description",'W-S'!$1:$1,0))</f>
        <v>Increases the user's attack rate by 30% until the next time this skill is used. The second time this skill is used, it will instead become Shibing Bazhen. Shibing Bazhen increases the user's defense by 40% until the skill is next used. The skill will then alternate between these two effects with every use.</v>
      </c>
      <c r="J1755" s="460"/>
      <c r="K1755" s="239"/>
      <c r="L1755" s="720" t="str">
        <f>INDEX('W-S'!$A:$O,MATCH(I1754,'W-S'!$C:$C,0),MATCH("Description V3",'W-S'!$1:$1,0))</f>
        <v>Increases the user's attack rate by 30% and critical rate by 5% until the next time this skill is used. The second time this skill is used, it will instead become Shibing Bazhen. Shibing Bazhen increases the user's defense by 50% and gradually recovers the user's HP with 5% Recovery Potency every 2.9 seconds until the skill is next used. The skill will then alternate between these two effects with every use.</v>
      </c>
      <c r="M1755" s="721"/>
    </row>
    <row r="1756" spans="1:13" ht="22.5" x14ac:dyDescent="0.2">
      <c r="B1756" s="701" t="e" vm="271">
        <f>+_xlfn.IMAGE("https://natalie.tf/wp-content/uploads/2023/10/DLV3_Icon_Weapon_"&amp;B1755&amp;".png")</f>
        <v>#VALUE!</v>
      </c>
      <c r="C1756" s="240"/>
      <c r="D1756" s="692" t="str">
        <f>INDEX(WEAP!$A:$AN,MATCH(B1755,WEAP!$A:$A,0),MATCH("Element",WEAP!$A$1:$BF$1,0))&amp;" "&amp;INDEX(WEAP!$A:$AN,MATCH(B1755,WEAP!$A:$A,0),MATCH("Type",WEAP!$A$1:$BF$1,0))</f>
        <v>Shadow Lance</v>
      </c>
      <c r="E1756" s="693"/>
      <c r="F1756" s="693"/>
      <c r="G1756" s="694"/>
      <c r="H1756" s="8"/>
      <c r="I1756" s="461"/>
      <c r="J1756" s="463"/>
      <c r="K1756" s="9"/>
      <c r="L1756" s="722"/>
      <c r="M1756" s="723"/>
    </row>
    <row r="1757" spans="1:13" ht="22.5" x14ac:dyDescent="0.35">
      <c r="B1757" s="702"/>
      <c r="C1757" s="239"/>
      <c r="D1757" s="703" t="s">
        <v>10760</v>
      </c>
      <c r="E1757" s="704"/>
      <c r="F1757" s="235" t="s">
        <v>10761</v>
      </c>
      <c r="G1757" s="235" t="s">
        <v>10762</v>
      </c>
      <c r="I1757" s="461"/>
      <c r="J1757" s="463"/>
      <c r="K1757" s="239"/>
      <c r="L1757" s="722"/>
      <c r="M1757" s="723"/>
    </row>
    <row r="1758" spans="1:13" ht="22.5" x14ac:dyDescent="0.35">
      <c r="B1758" s="702"/>
      <c r="C1758" s="239"/>
      <c r="D1758" s="705" t="s">
        <v>96</v>
      </c>
      <c r="E1758" s="706"/>
      <c r="F1758" s="236">
        <f>INDEX(WEAP!$A:$AN,MATCH(B1755,WEAP!$A:$A,0),MATCH("HP",WEAP!$A$1:$BF$1,0))</f>
        <v>276</v>
      </c>
      <c r="G1758" s="237">
        <f>INDEX(WEAP!$A:$AN,MATCH(B1755,WEAP!$A:$A,0),MATCH("HP V3",WEAP!$A$1:$BF$1,0))</f>
        <v>280</v>
      </c>
      <c r="I1758" s="461"/>
      <c r="J1758" s="463"/>
      <c r="K1758" s="239"/>
      <c r="L1758" s="722"/>
      <c r="M1758" s="723"/>
    </row>
    <row r="1759" spans="1:13" ht="22.5" x14ac:dyDescent="0.35">
      <c r="B1759" s="702"/>
      <c r="C1759" s="239"/>
      <c r="D1759" s="707" t="s">
        <v>97</v>
      </c>
      <c r="E1759" s="708"/>
      <c r="F1759" s="236">
        <f>INDEX(WEAP!$A:$AN,MATCH(B1755,WEAP!$A:$A,0),MATCH("Str",WEAP!$A$1:$BF$1,0))</f>
        <v>1754</v>
      </c>
      <c r="G1759" s="237">
        <f>INDEX(WEAP!$A:$AN,MATCH(B1755,WEAP!$A:$A,0),MATCH("Str V3",WEAP!$A$1:$BF$1,0))</f>
        <v>1755</v>
      </c>
      <c r="I1759" s="464"/>
      <c r="J1759" s="466"/>
      <c r="K1759" s="239"/>
      <c r="L1759" s="724"/>
      <c r="M1759" s="725"/>
    </row>
    <row r="1760" spans="1:13" s="245" customFormat="1" ht="7.5" customHeight="1" x14ac:dyDescent="0.2">
      <c r="A1760" s="245" t="s">
        <v>10763</v>
      </c>
    </row>
    <row r="1761" spans="1:13" ht="22.5" x14ac:dyDescent="0.35">
      <c r="A1761" s="242" t="str">
        <f>TEXT(A1754+1,"000")</f>
        <v>252</v>
      </c>
      <c r="B1761" s="238" t="str">
        <f>"W-"&amp;A1761</f>
        <v>W-252</v>
      </c>
      <c r="C1761" s="239"/>
      <c r="D1761" s="692" t="str">
        <f>+INDEX(WEAP!$A:$AN,MATCH(B1762,WEAP!$A:$A,0),MATCH("Name",WEAP!$A$1:$BF$1,0))</f>
        <v>Longshe Gong</v>
      </c>
      <c r="E1761" s="693"/>
      <c r="F1761" s="693"/>
      <c r="G1761" s="694"/>
      <c r="I1761" s="241" t="str">
        <f>+INDEX(WEAP!$A:$AN,MATCH(B1762,WEAP!$A:$A,0),MATCH("Weapon Skill",WEAP!$A$1:$BF$1,0))</f>
        <v>Qimen Dunjia</v>
      </c>
      <c r="J1761" s="243">
        <f>INDEX('W-S'!$A:$N,MATCH(I1761,'W-S'!$C:$C,0),MATCH("SP Cost",'W-S'!$1:$1,0))</f>
        <v>3000</v>
      </c>
      <c r="K1761" s="9"/>
      <c r="L1761" s="241" t="str">
        <f>+I1761</f>
        <v>Qimen Dunjia</v>
      </c>
      <c r="M1761" s="243">
        <f>INDEX('W-S'!$A:$N,MATCH(L1761,'W-S'!$C:$C,0),MATCH("SP Cost V3",'W-S'!$1:$1,0))</f>
        <v>3000</v>
      </c>
    </row>
    <row r="1762" spans="1:13" ht="22.5" customHeight="1" x14ac:dyDescent="0.35">
      <c r="B1762" s="238" t="str">
        <f>+INDEX(WEAP!$A:$AN,MATCH(B1761,WEAP!$B:$B,0),MATCH("ID",WEAP!$A$1:$BF$1,0))</f>
        <v>306131_01</v>
      </c>
      <c r="C1762" s="240"/>
      <c r="D1762" s="692" t="str">
        <f>+INDEX(WEAP!$A:$AN,MATCH(B1761,WEAP!$B:$B,0),MATCH("Family",WEAP!$A$1:$BF$1,0))&amp;" Weapon"</f>
        <v>Agito Weapon</v>
      </c>
      <c r="E1762" s="693"/>
      <c r="F1762" s="693"/>
      <c r="G1762" s="694"/>
      <c r="H1762" s="8"/>
      <c r="I1762" s="458" t="str">
        <f>INDEX('W-S'!$A:$O,MATCH(I1761,'W-S'!$C:$C,0),MATCH("Description",'W-S'!$1:$1,0))</f>
        <v>Increases the user's attack rate by 30% until the next time this skill is used. The second time this skill is used, it will instead become Shibing Bazhen. Shibing Bazhen increases the user's defense by 40% until the skill is next used. The skill will then alternate between these two effects with every use.</v>
      </c>
      <c r="J1762" s="460"/>
      <c r="K1762" s="239"/>
      <c r="L1762" s="681" t="str">
        <f>INDEX('W-S'!$A:$O,MATCH(I1761,'W-S'!$C:$C,0),MATCH("Description V3",'W-S'!$1:$1,0))</f>
        <v>Increases the user's attack rate by 30% and critical rate by 5% until the next time this skill is used. The second time this skill is used, it will instead become Shibing Bazhen. Shibing Bazhen increases the user's defense by 50% and gradually recovers the user's HP with 5% Recovery Potency every 2.9 seconds until the skill is next used. The skill will then alternate between these two effects with every use.</v>
      </c>
      <c r="M1762" s="682"/>
    </row>
    <row r="1763" spans="1:13" ht="22.5" x14ac:dyDescent="0.2">
      <c r="B1763" s="701" t="e" vm="272">
        <f>+_xlfn.IMAGE("https://natalie.tf/wp-content/uploads/2023/10/DLV3_Icon_Weapon_"&amp;B1762&amp;".png")</f>
        <v>#VALUE!</v>
      </c>
      <c r="C1763" s="240"/>
      <c r="D1763" s="692" t="str">
        <f>INDEX(WEAP!$A:$AN,MATCH(B1762,WEAP!$A:$A,0),MATCH("Element",WEAP!$A$1:$BF$1,0))&amp;" "&amp;INDEX(WEAP!$A:$AN,MATCH(B1762,WEAP!$A:$A,0),MATCH("Type",WEAP!$A$1:$BF$1,0))</f>
        <v>Shadow Bow</v>
      </c>
      <c r="E1763" s="693"/>
      <c r="F1763" s="693"/>
      <c r="G1763" s="694"/>
      <c r="H1763" s="8"/>
      <c r="I1763" s="461"/>
      <c r="J1763" s="463"/>
      <c r="K1763" s="9"/>
      <c r="L1763" s="683"/>
      <c r="M1763" s="684"/>
    </row>
    <row r="1764" spans="1:13" ht="22.5" x14ac:dyDescent="0.35">
      <c r="B1764" s="702"/>
      <c r="C1764" s="239"/>
      <c r="D1764" s="703" t="s">
        <v>10760</v>
      </c>
      <c r="E1764" s="704"/>
      <c r="F1764" s="235" t="s">
        <v>10761</v>
      </c>
      <c r="G1764" s="235" t="s">
        <v>10762</v>
      </c>
      <c r="I1764" s="461"/>
      <c r="J1764" s="463"/>
      <c r="K1764" s="239"/>
      <c r="L1764" s="683"/>
      <c r="M1764" s="684"/>
    </row>
    <row r="1765" spans="1:13" ht="22.5" x14ac:dyDescent="0.35">
      <c r="B1765" s="702"/>
      <c r="C1765" s="239"/>
      <c r="D1765" s="705" t="s">
        <v>96</v>
      </c>
      <c r="E1765" s="706"/>
      <c r="F1765" s="236">
        <f>INDEX(WEAP!$A:$AN,MATCH(B1762,WEAP!$A:$A,0),MATCH("HP",WEAP!$A$1:$BF$1,0))</f>
        <v>265</v>
      </c>
      <c r="G1765" s="237">
        <f>INDEX(WEAP!$A:$AN,MATCH(B1762,WEAP!$A:$A,0),MATCH("HP V3",WEAP!$A$1:$BF$1,0))</f>
        <v>280</v>
      </c>
      <c r="I1765" s="461"/>
      <c r="J1765" s="463"/>
      <c r="K1765" s="239"/>
      <c r="L1765" s="683"/>
      <c r="M1765" s="684"/>
    </row>
    <row r="1766" spans="1:13" ht="22.5" x14ac:dyDescent="0.35">
      <c r="B1766" s="702"/>
      <c r="C1766" s="239"/>
      <c r="D1766" s="707" t="s">
        <v>97</v>
      </c>
      <c r="E1766" s="708"/>
      <c r="F1766" s="236">
        <f>INDEX(WEAP!$A:$AN,MATCH(B1762,WEAP!$A:$A,0),MATCH("Str",WEAP!$A$1:$BF$1,0))</f>
        <v>1653</v>
      </c>
      <c r="G1766" s="237">
        <f>INDEX(WEAP!$A:$AN,MATCH(B1762,WEAP!$A:$A,0),MATCH("Str V3",WEAP!$A$1:$BF$1,0))</f>
        <v>1655</v>
      </c>
      <c r="I1766" s="464"/>
      <c r="J1766" s="466"/>
      <c r="K1766" s="239"/>
      <c r="L1766" s="685"/>
      <c r="M1766" s="686"/>
    </row>
    <row r="1767" spans="1:13" s="245" customFormat="1" ht="7.5" customHeight="1" x14ac:dyDescent="0.2">
      <c r="A1767" s="245" t="s">
        <v>10763</v>
      </c>
    </row>
    <row r="1768" spans="1:13" ht="22.5" x14ac:dyDescent="0.35">
      <c r="A1768" s="244" t="str">
        <f>TEXT(A1761+1,"000")</f>
        <v>253</v>
      </c>
      <c r="B1768" s="238" t="str">
        <f>"W-"&amp;A1768</f>
        <v>W-253</v>
      </c>
      <c r="C1768" s="239"/>
      <c r="D1768" s="692" t="str">
        <f>+INDEX(WEAP!$A:$AN,MATCH(B1769,WEAP!$A:$A,0),MATCH("Name",WEAP!$A$1:$BF$1,0))</f>
        <v>Jiu Ci</v>
      </c>
      <c r="E1768" s="693"/>
      <c r="F1768" s="693"/>
      <c r="G1768" s="694"/>
      <c r="I1768" s="241" t="str">
        <f>+INDEX(WEAP!$A:$AN,MATCH(B1769,WEAP!$A:$A,0),MATCH("Weapon Skill",WEAP!$A$1:$BF$1,0))</f>
        <v>Qimen Dunjia</v>
      </c>
      <c r="J1768" s="243">
        <f>INDEX('W-S'!$A:$N,MATCH(I1768,'W-S'!$C:$C,0),MATCH("SP Cost",'W-S'!$1:$1,0))</f>
        <v>3000</v>
      </c>
      <c r="K1768" s="9"/>
      <c r="L1768" s="241" t="str">
        <f>+I1768</f>
        <v>Qimen Dunjia</v>
      </c>
      <c r="M1768" s="243">
        <f>INDEX('W-S'!$A:$N,MATCH(L1768,'W-S'!$C:$C,0),MATCH("SP Cost V3",'W-S'!$1:$1,0))</f>
        <v>3000</v>
      </c>
    </row>
    <row r="1769" spans="1:13" ht="22.5" customHeight="1" x14ac:dyDescent="0.35">
      <c r="B1769" s="238" t="str">
        <f>+INDEX(WEAP!$A:$AN,MATCH(B1768,WEAP!$B:$B,0),MATCH("ID",WEAP!$A$1:$BF$1,0))</f>
        <v>307139_01</v>
      </c>
      <c r="C1769" s="240"/>
      <c r="D1769" s="692" t="str">
        <f>+INDEX(WEAP!$A:$AN,MATCH(B1768,WEAP!$B:$B,0),MATCH("Family",WEAP!$A$1:$BF$1,0))&amp;" Weapon"</f>
        <v>Agito Weapon</v>
      </c>
      <c r="E1769" s="693"/>
      <c r="F1769" s="693"/>
      <c r="G1769" s="694"/>
      <c r="H1769" s="8"/>
      <c r="I1769" s="458" t="str">
        <f>INDEX('W-S'!$A:$O,MATCH(I1768,'W-S'!$C:$C,0),MATCH("Description",'W-S'!$1:$1,0))</f>
        <v>Increases the user's attack rate by 30% until the next time this skill is used. The second time this skill is used, it will instead become Shibing Bazhen. Shibing Bazhen increases the user's defense by 40% until the skill is next used. The skill will then alternate between these two effects with every use.</v>
      </c>
      <c r="J1769" s="460"/>
      <c r="K1769" s="239"/>
      <c r="L1769" s="681" t="str">
        <f>INDEX('W-S'!$A:$O,MATCH(I1768,'W-S'!$C:$C,0),MATCH("Description V3",'W-S'!$1:$1,0))</f>
        <v>Increases the user's attack rate by 30% and critical rate by 5% until the next time this skill is used. The second time this skill is used, it will instead become Shibing Bazhen. Shibing Bazhen increases the user's defense by 50% and gradually recovers the user's HP with 5% Recovery Potency every 2.9 seconds until the skill is next used. The skill will then alternate between these two effects with every use.</v>
      </c>
      <c r="M1769" s="682"/>
    </row>
    <row r="1770" spans="1:13" ht="22.5" x14ac:dyDescent="0.2">
      <c r="B1770" s="701" t="e" vm="273">
        <f>+_xlfn.IMAGE("https://natalie.tf/wp-content/uploads/2023/10/DLV3_Icon_Weapon_"&amp;B1769&amp;".png")</f>
        <v>#VALUE!</v>
      </c>
      <c r="C1770" s="240"/>
      <c r="D1770" s="692" t="str">
        <f>INDEX(WEAP!$A:$AN,MATCH(B1769,WEAP!$A:$A,0),MATCH("Element",WEAP!$A$1:$BF$1,0))&amp;" "&amp;INDEX(WEAP!$A:$AN,MATCH(B1769,WEAP!$A:$A,0),MATCH("Type",WEAP!$A$1:$BF$1,0))</f>
        <v>Shadow Wand</v>
      </c>
      <c r="E1770" s="693"/>
      <c r="F1770" s="693"/>
      <c r="G1770" s="694"/>
      <c r="H1770" s="8"/>
      <c r="I1770" s="461"/>
      <c r="J1770" s="463"/>
      <c r="K1770" s="9"/>
      <c r="L1770" s="683"/>
      <c r="M1770" s="684"/>
    </row>
    <row r="1771" spans="1:13" ht="22.5" x14ac:dyDescent="0.35">
      <c r="B1771" s="702"/>
      <c r="C1771" s="239"/>
      <c r="D1771" s="703" t="s">
        <v>10760</v>
      </c>
      <c r="E1771" s="704"/>
      <c r="F1771" s="235" t="s">
        <v>10761</v>
      </c>
      <c r="G1771" s="235" t="s">
        <v>10762</v>
      </c>
      <c r="I1771" s="461"/>
      <c r="J1771" s="463"/>
      <c r="K1771" s="239"/>
      <c r="L1771" s="683"/>
      <c r="M1771" s="684"/>
    </row>
    <row r="1772" spans="1:13" ht="22.5" x14ac:dyDescent="0.35">
      <c r="B1772" s="702"/>
      <c r="C1772" s="239"/>
      <c r="D1772" s="705" t="s">
        <v>96</v>
      </c>
      <c r="E1772" s="706"/>
      <c r="F1772" s="236">
        <f>INDEX(WEAP!$A:$AN,MATCH(B1769,WEAP!$A:$A,0),MATCH("HP",WEAP!$A$1:$BF$1,0))</f>
        <v>255</v>
      </c>
      <c r="G1772" s="237">
        <f>INDEX(WEAP!$A:$AN,MATCH(B1769,WEAP!$A:$A,0),MATCH("HP V3",WEAP!$A$1:$BF$1,0))</f>
        <v>275</v>
      </c>
      <c r="I1772" s="461"/>
      <c r="J1772" s="463"/>
      <c r="K1772" s="239"/>
      <c r="L1772" s="683"/>
      <c r="M1772" s="684"/>
    </row>
    <row r="1773" spans="1:13" ht="22.5" x14ac:dyDescent="0.35">
      <c r="B1773" s="702"/>
      <c r="C1773" s="239"/>
      <c r="D1773" s="707" t="s">
        <v>97</v>
      </c>
      <c r="E1773" s="708"/>
      <c r="F1773" s="236">
        <f>INDEX(WEAP!$A:$AN,MATCH(B1769,WEAP!$A:$A,0),MATCH("Str",WEAP!$A$1:$BF$1,0))</f>
        <v>1771</v>
      </c>
      <c r="G1773" s="237">
        <f>INDEX(WEAP!$A:$AN,MATCH(B1769,WEAP!$A:$A,0),MATCH("Str V3",WEAP!$A$1:$BF$1,0))</f>
        <v>1775</v>
      </c>
      <c r="I1773" s="464"/>
      <c r="J1773" s="466"/>
      <c r="K1773" s="239"/>
      <c r="L1773" s="685"/>
      <c r="M1773" s="686"/>
    </row>
    <row r="1774" spans="1:13" s="245" customFormat="1" ht="7.5" customHeight="1" x14ac:dyDescent="0.2">
      <c r="A1774" s="245" t="s">
        <v>10763</v>
      </c>
    </row>
    <row r="1775" spans="1:13" ht="22.5" x14ac:dyDescent="0.35">
      <c r="A1775" s="244" t="str">
        <f>TEXT(A1768+1,"000")</f>
        <v>254</v>
      </c>
      <c r="B1775" s="238" t="str">
        <f>"W-"&amp;A1775</f>
        <v>W-254</v>
      </c>
      <c r="C1775" s="239"/>
      <c r="D1775" s="692" t="str">
        <f>+INDEX(WEAP!$A:$AN,MATCH(B1776,WEAP!$A:$A,0),MATCH("Name",WEAP!$A$1:$BF$1,0))</f>
        <v>Li Zhang</v>
      </c>
      <c r="E1775" s="693"/>
      <c r="F1775" s="693"/>
      <c r="G1775" s="694"/>
      <c r="I1775" s="241" t="str">
        <f>+INDEX(WEAP!$A:$AN,MATCH(B1776,WEAP!$A:$A,0),MATCH("Weapon Skill",WEAP!$A$1:$BF$1,0))</f>
        <v>Qimen Dunjia</v>
      </c>
      <c r="J1775" s="243">
        <f>INDEX('W-S'!$A:$N,MATCH(I1775,'W-S'!$C:$C,0),MATCH("SP Cost",'W-S'!$1:$1,0))</f>
        <v>3000</v>
      </c>
      <c r="K1775" s="9"/>
      <c r="L1775" s="241" t="str">
        <f>+I1775</f>
        <v>Qimen Dunjia</v>
      </c>
      <c r="M1775" s="243">
        <f>INDEX('W-S'!$A:$N,MATCH(L1775,'W-S'!$C:$C,0),MATCH("SP Cost V3",'W-S'!$1:$1,0))</f>
        <v>3000</v>
      </c>
    </row>
    <row r="1776" spans="1:13" ht="22.5" customHeight="1" x14ac:dyDescent="0.35">
      <c r="B1776" s="238" t="str">
        <f>+INDEX(WEAP!$A:$AN,MATCH(B1775,WEAP!$B:$B,0),MATCH("ID",WEAP!$A$1:$BF$1,0))</f>
        <v>308132_01</v>
      </c>
      <c r="C1776" s="240"/>
      <c r="D1776" s="692" t="str">
        <f>+INDEX(WEAP!$A:$AN,MATCH(B1775,WEAP!$B:$B,0),MATCH("Family",WEAP!$A$1:$BF$1,0))&amp;" Weapon"</f>
        <v>Agito Weapon</v>
      </c>
      <c r="E1776" s="693"/>
      <c r="F1776" s="693"/>
      <c r="G1776" s="694"/>
      <c r="H1776" s="8"/>
      <c r="I1776" s="458" t="str">
        <f>INDEX('W-S'!$A:$O,MATCH(I1775,'W-S'!$C:$C,0),MATCH("Description",'W-S'!$1:$1,0))</f>
        <v>Increases the user's attack rate by 30% until the next time this skill is used. The second time this skill is used, it will instead become Shibing Bazhen. Shibing Bazhen increases the user's defense by 40% until the skill is next used. The skill will then alternate between these two effects with every use.</v>
      </c>
      <c r="J1776" s="460"/>
      <c r="K1776" s="239"/>
      <c r="L1776" s="681" t="str">
        <f>INDEX('W-S'!$A:$O,MATCH(I1775,'W-S'!$C:$C,0),MATCH("Description V3",'W-S'!$1:$1,0))</f>
        <v>Increases the user's attack rate by 30% and critical rate by 5% until the next time this skill is used. The second time this skill is used, it will instead become Shibing Bazhen. Shibing Bazhen increases the user's defense by 50% and gradually recovers the user's HP with 5% Recovery Potency every 2.9 seconds until the skill is next used. The skill will then alternate between these two effects with every use.</v>
      </c>
      <c r="M1776" s="682"/>
    </row>
    <row r="1777" spans="1:13" ht="22.5" x14ac:dyDescent="0.2">
      <c r="B1777" s="701" t="e" vm="274">
        <f>+_xlfn.IMAGE("https://natalie.tf/wp-content/uploads/2023/10/DLV3_Icon_Weapon_"&amp;B1776&amp;".png")</f>
        <v>#VALUE!</v>
      </c>
      <c r="C1777" s="240"/>
      <c r="D1777" s="692" t="str">
        <f>INDEX(WEAP!$A:$AN,MATCH(B1776,WEAP!$A:$A,0),MATCH("Element",WEAP!$A$1:$BF$1,0))&amp;" "&amp;INDEX(WEAP!$A:$AN,MATCH(B1776,WEAP!$A:$A,0),MATCH("Type",WEAP!$A$1:$BF$1,0))</f>
        <v>Shadow Staff</v>
      </c>
      <c r="E1777" s="693"/>
      <c r="F1777" s="693"/>
      <c r="G1777" s="694"/>
      <c r="H1777" s="8"/>
      <c r="I1777" s="461"/>
      <c r="J1777" s="463"/>
      <c r="K1777" s="9"/>
      <c r="L1777" s="683"/>
      <c r="M1777" s="684"/>
    </row>
    <row r="1778" spans="1:13" ht="22.5" x14ac:dyDescent="0.35">
      <c r="B1778" s="702"/>
      <c r="C1778" s="239"/>
      <c r="D1778" s="703" t="s">
        <v>10760</v>
      </c>
      <c r="E1778" s="704"/>
      <c r="F1778" s="235" t="s">
        <v>10761</v>
      </c>
      <c r="G1778" s="235" t="s">
        <v>10762</v>
      </c>
      <c r="I1778" s="461"/>
      <c r="J1778" s="463"/>
      <c r="K1778" s="239"/>
      <c r="L1778" s="683"/>
      <c r="M1778" s="684"/>
    </row>
    <row r="1779" spans="1:13" ht="22.5" x14ac:dyDescent="0.35">
      <c r="B1779" s="702"/>
      <c r="C1779" s="239"/>
      <c r="D1779" s="705" t="s">
        <v>96</v>
      </c>
      <c r="E1779" s="706"/>
      <c r="F1779" s="236">
        <f>INDEX(WEAP!$A:$AN,MATCH(B1776,WEAP!$A:$A,0),MATCH("HP",WEAP!$A$1:$BF$1,0))</f>
        <v>297</v>
      </c>
      <c r="G1779" s="237">
        <f>INDEX(WEAP!$A:$AN,MATCH(B1776,WEAP!$A:$A,0),MATCH("HP V3",WEAP!$A$1:$BF$1,0))</f>
        <v>325</v>
      </c>
      <c r="I1779" s="461"/>
      <c r="J1779" s="463"/>
      <c r="K1779" s="239"/>
      <c r="L1779" s="683"/>
      <c r="M1779" s="684"/>
    </row>
    <row r="1780" spans="1:13" ht="22.5" x14ac:dyDescent="0.35">
      <c r="B1780" s="702"/>
      <c r="C1780" s="239"/>
      <c r="D1780" s="707" t="s">
        <v>97</v>
      </c>
      <c r="E1780" s="708"/>
      <c r="F1780" s="236">
        <f>INDEX(WEAP!$A:$AN,MATCH(B1776,WEAP!$A:$A,0),MATCH("Str",WEAP!$A$1:$BF$1,0))</f>
        <v>1636</v>
      </c>
      <c r="G1780" s="237">
        <f>INDEX(WEAP!$A:$AN,MATCH(B1776,WEAP!$A:$A,0),MATCH("Str V3",WEAP!$A$1:$BF$1,0))</f>
        <v>1640</v>
      </c>
      <c r="I1780" s="464"/>
      <c r="J1780" s="466"/>
      <c r="K1780" s="239"/>
      <c r="L1780" s="685"/>
      <c r="M1780" s="686"/>
    </row>
    <row r="1781" spans="1:13" s="245" customFormat="1" ht="7.5" customHeight="1" x14ac:dyDescent="0.2">
      <c r="A1781" s="245" t="s">
        <v>10763</v>
      </c>
    </row>
    <row r="1782" spans="1:13" ht="22.5" x14ac:dyDescent="0.35">
      <c r="A1782" s="244" t="str">
        <f>TEXT(A1775+1,"000")</f>
        <v>255</v>
      </c>
      <c r="B1782" s="238" t="str">
        <f>"W-"&amp;A1782</f>
        <v>W-255</v>
      </c>
      <c r="C1782" s="239"/>
      <c r="D1782" s="692" t="str">
        <f>+INDEX(WEAP!$A:$AN,MATCH(B1783,WEAP!$A:$A,0),MATCH("Name",WEAP!$A$1:$BF$1,0))</f>
        <v>Wanli Qi Yunyan</v>
      </c>
      <c r="E1782" s="693"/>
      <c r="F1782" s="693"/>
      <c r="G1782" s="694"/>
      <c r="I1782" s="241" t="str">
        <f>+INDEX(WEAP!$A:$AN,MATCH(B1783,WEAP!$A:$A,0),MATCH("Weapon Skill",WEAP!$A$1:$BF$1,0))</f>
        <v>Qimen Dunjia</v>
      </c>
      <c r="J1782" s="243">
        <f>INDEX('W-S'!$A:$N,MATCH(I1782,'W-S'!$C:$C,0),MATCH("SP Cost",'W-S'!$1:$1,0))</f>
        <v>3000</v>
      </c>
      <c r="K1782" s="9"/>
      <c r="L1782" s="241" t="str">
        <f>+I1782</f>
        <v>Qimen Dunjia</v>
      </c>
      <c r="M1782" s="243">
        <f>INDEX('W-S'!$A:$N,MATCH(L1782,'W-S'!$C:$C,0),MATCH("SP Cost V3",'W-S'!$1:$1,0))</f>
        <v>3000</v>
      </c>
    </row>
    <row r="1783" spans="1:13" ht="22.5" customHeight="1" x14ac:dyDescent="0.35">
      <c r="B1783" s="238" t="str">
        <f>+INDEX(WEAP!$A:$AN,MATCH(B1782,WEAP!$B:$B,0),MATCH("ID",WEAP!$A$1:$BF$1,0))</f>
        <v>309030_01</v>
      </c>
      <c r="C1783" s="240"/>
      <c r="D1783" s="692" t="str">
        <f>+INDEX(WEAP!$A:$AN,MATCH(B1782,WEAP!$B:$B,0),MATCH("Family",WEAP!$A$1:$BF$1,0))&amp;" Weapon"</f>
        <v>Agito Weapon</v>
      </c>
      <c r="E1783" s="693"/>
      <c r="F1783" s="693"/>
      <c r="G1783" s="694"/>
      <c r="H1783" s="8"/>
      <c r="I1783" s="458" t="str">
        <f>INDEX('W-S'!$A:$O,MATCH(I1782,'W-S'!$C:$C,0),MATCH("Description",'W-S'!$1:$1,0))</f>
        <v>Increases the user's attack rate by 30% until the next time this skill is used. The second time this skill is used, it will instead become Shibing Bazhen. Shibing Bazhen increases the user's defense by 40% until the skill is next used. The skill will then alternate between these two effects with every use.</v>
      </c>
      <c r="J1783" s="460"/>
      <c r="K1783" s="239"/>
      <c r="L1783" s="681" t="str">
        <f>INDEX('W-S'!$A:$O,MATCH(I1782,'W-S'!$C:$C,0),MATCH("Description V3",'W-S'!$1:$1,0))</f>
        <v>Increases the user's attack rate by 30% and critical rate by 5% until the next time this skill is used. The second time this skill is used, it will instead become Shibing Bazhen. Shibing Bazhen increases the user's defense by 50% and gradually recovers the user's HP with 5% Recovery Potency every 2.9 seconds until the skill is next used. The skill will then alternate between these two effects with every use.</v>
      </c>
      <c r="M1783" s="682"/>
    </row>
    <row r="1784" spans="1:13" ht="22.5" x14ac:dyDescent="0.2">
      <c r="B1784" s="701" t="e" vm="275">
        <f>+_xlfn.IMAGE("https://natalie.tf/wp-content/uploads/2023/10/DLV3_Icon_Weapon_"&amp;B1783&amp;".png")</f>
        <v>#VALUE!</v>
      </c>
      <c r="C1784" s="240"/>
      <c r="D1784" s="692" t="str">
        <f>INDEX(WEAP!$A:$AN,MATCH(B1783,WEAP!$A:$A,0),MATCH("Element",WEAP!$A$1:$BF$1,0))&amp;" "&amp;INDEX(WEAP!$A:$AN,MATCH(B1783,WEAP!$A:$A,0),MATCH("Type",WEAP!$A$1:$BF$1,0))</f>
        <v>Shadow Manacaster</v>
      </c>
      <c r="E1784" s="693"/>
      <c r="F1784" s="693"/>
      <c r="G1784" s="694"/>
      <c r="H1784" s="8"/>
      <c r="I1784" s="461"/>
      <c r="J1784" s="463"/>
      <c r="K1784" s="9"/>
      <c r="L1784" s="683"/>
      <c r="M1784" s="684"/>
    </row>
    <row r="1785" spans="1:13" ht="22.5" x14ac:dyDescent="0.35">
      <c r="B1785" s="702"/>
      <c r="C1785" s="239"/>
      <c r="D1785" s="703" t="s">
        <v>10760</v>
      </c>
      <c r="E1785" s="704"/>
      <c r="F1785" s="235" t="s">
        <v>10761</v>
      </c>
      <c r="G1785" s="235" t="s">
        <v>10762</v>
      </c>
      <c r="I1785" s="461"/>
      <c r="J1785" s="463"/>
      <c r="K1785" s="239"/>
      <c r="L1785" s="683"/>
      <c r="M1785" s="684"/>
    </row>
    <row r="1786" spans="1:13" ht="22.5" x14ac:dyDescent="0.35">
      <c r="B1786" s="702"/>
      <c r="C1786" s="239"/>
      <c r="D1786" s="705" t="s">
        <v>96</v>
      </c>
      <c r="E1786" s="706"/>
      <c r="F1786" s="236">
        <f>INDEX(WEAP!$A:$AN,MATCH(B1783,WEAP!$A:$A,0),MATCH("HP",WEAP!$A$1:$BF$1,0))</f>
        <v>262</v>
      </c>
      <c r="G1786" s="237">
        <f>INDEX(WEAP!$A:$AN,MATCH(B1783,WEAP!$A:$A,0),MATCH("HP V3",WEAP!$A$1:$BF$1,0))</f>
        <v>270</v>
      </c>
      <c r="I1786" s="461"/>
      <c r="J1786" s="463"/>
      <c r="K1786" s="239"/>
      <c r="L1786" s="683"/>
      <c r="M1786" s="684"/>
    </row>
    <row r="1787" spans="1:13" ht="22.5" x14ac:dyDescent="0.35">
      <c r="B1787" s="702"/>
      <c r="C1787" s="239"/>
      <c r="D1787" s="707" t="s">
        <v>97</v>
      </c>
      <c r="E1787" s="708"/>
      <c r="F1787" s="236">
        <f>INDEX(WEAP!$A:$AN,MATCH(B1783,WEAP!$A:$A,0),MATCH("Str",WEAP!$A$1:$BF$1,0))</f>
        <v>1737</v>
      </c>
      <c r="G1787" s="237">
        <f>INDEX(WEAP!$A:$AN,MATCH(B1783,WEAP!$A:$A,0),MATCH("Str V3",WEAP!$A$1:$BF$1,0))</f>
        <v>1740</v>
      </c>
      <c r="I1787" s="464"/>
      <c r="J1787" s="466"/>
      <c r="K1787" s="239"/>
      <c r="L1787" s="685"/>
      <c r="M1787" s="686"/>
    </row>
    <row r="1788" spans="1:13" ht="33.75" customHeight="1" x14ac:dyDescent="0.2">
      <c r="A1788" t="s">
        <v>10763</v>
      </c>
    </row>
    <row r="1789" spans="1:13" ht="22.5" x14ac:dyDescent="0.35">
      <c r="A1789" s="244" t="str">
        <f>TEXT(A1782+1,"000")</f>
        <v>256</v>
      </c>
      <c r="B1789" s="238" t="str">
        <f>"W-"&amp;A1789</f>
        <v>W-256</v>
      </c>
      <c r="C1789" s="239"/>
      <c r="D1789" s="692" t="str">
        <f>+INDEX(WEAP!$A:$AN,MATCH(B1790,WEAP!$A:$A,0),MATCH("Name",WEAP!$A$1:$BF$1,0))</f>
        <v>Primal Crimson</v>
      </c>
      <c r="E1789" s="693"/>
      <c r="F1789" s="693"/>
      <c r="G1789" s="694"/>
      <c r="I1789" s="241" t="str">
        <f>+INDEX(WEAP!$A:$AN,MATCH(B1790,WEAP!$A:$A,0),MATCH("Weapon Skill",WEAP!$A$1:$BF$1,0))</f>
        <v>Ultimate Crimson</v>
      </c>
      <c r="J1789" s="243">
        <f>INDEX('W-S'!$A:$N,MATCH(I1789,'W-S'!$C:$C,0),MATCH("SP Cost",'W-S'!$1:$1,0))</f>
        <v>6163</v>
      </c>
      <c r="K1789" s="9"/>
      <c r="L1789" s="241" t="str">
        <f>+I1789</f>
        <v>Ultimate Crimson</v>
      </c>
      <c r="M1789" s="243">
        <f>INDEX('W-S'!$A:$N,MATCH(L1789,'W-S'!$C:$C,0),MATCH("SP Cost V3",'W-S'!$1:$1,0))</f>
        <v>6000</v>
      </c>
    </row>
    <row r="1790" spans="1:13" ht="22.5" customHeight="1" x14ac:dyDescent="0.35">
      <c r="B1790" s="238" t="str">
        <f>+INDEX(WEAP!$A:$AN,MATCH(B1789,WEAP!$B:$B,0),MATCH("ID",WEAP!$A$1:$BF$1,0))</f>
        <v>301159_01</v>
      </c>
      <c r="C1790" s="240"/>
      <c r="D1790" s="692" t="str">
        <f>+INDEX(WEAP!$A:$AN,MATCH(B1789,WEAP!$B:$B,0),MATCH("Family",WEAP!$A$1:$BF$1,0))&amp;" Weapon"</f>
        <v>Primal Weapon</v>
      </c>
      <c r="E1790" s="693"/>
      <c r="F1790" s="693"/>
      <c r="G1790" s="694"/>
      <c r="H1790" s="8"/>
      <c r="I1790" s="458" t="str">
        <f>INDEX('W-S'!$A:$O,MATCH(I1789,'W-S'!$C:$C,0),MATCH("Description",'W-S'!$1:$1,0))</f>
        <v>Deals 5 hits of 165% flame damage to enemies directly ahead, increases the user's strength by 20% for 15 seconds, and grants them the "Primal Dragalia" effect for 90 seconds. Primal Dragalia increases the user's strength by 15% and their attack rate by 5%. Primal Dragalia will not stack.</v>
      </c>
      <c r="J1790" s="460"/>
      <c r="K1790" s="239"/>
      <c r="L1790" s="711" t="str">
        <f>INDEX('W-S'!$A:$O,MATCH(I1789,'W-S'!$C:$C,0),MATCH("Description V3",'W-S'!$1:$1,0))</f>
        <v>Deals 5 hits of 300% flame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790" s="712"/>
    </row>
    <row r="1791" spans="1:13" ht="22.5" x14ac:dyDescent="0.2">
      <c r="B1791" s="701" t="e" vm="276">
        <f>+_xlfn.IMAGE("https://natalie.tf/wp-content/uploads/2023/10/DLV3_Icon_Weapon_"&amp;B1790&amp;".png")</f>
        <v>#VALUE!</v>
      </c>
      <c r="C1791" s="240"/>
      <c r="D1791" s="692" t="str">
        <f>INDEX(WEAP!$A:$AN,MATCH(B1790,WEAP!$A:$A,0),MATCH("Element",WEAP!$A$1:$BF$1,0))&amp;" "&amp;INDEX(WEAP!$A:$AN,MATCH(B1790,WEAP!$A:$A,0),MATCH("Type",WEAP!$A$1:$BF$1,0))</f>
        <v>Flame Sword</v>
      </c>
      <c r="E1791" s="693"/>
      <c r="F1791" s="693"/>
      <c r="G1791" s="694"/>
      <c r="H1791" s="8"/>
      <c r="I1791" s="461"/>
      <c r="J1791" s="463"/>
      <c r="K1791" s="9"/>
      <c r="L1791" s="713"/>
      <c r="M1791" s="714"/>
    </row>
    <row r="1792" spans="1:13" ht="22.5" x14ac:dyDescent="0.35">
      <c r="B1792" s="702"/>
      <c r="C1792" s="239"/>
      <c r="D1792" s="703" t="s">
        <v>10760</v>
      </c>
      <c r="E1792" s="704"/>
      <c r="F1792" s="235" t="s">
        <v>10761</v>
      </c>
      <c r="G1792" s="235" t="s">
        <v>10762</v>
      </c>
      <c r="I1792" s="461"/>
      <c r="J1792" s="463"/>
      <c r="K1792" s="239"/>
      <c r="L1792" s="713"/>
      <c r="M1792" s="714"/>
    </row>
    <row r="1793" spans="1:13" ht="22.5" x14ac:dyDescent="0.35">
      <c r="B1793" s="702"/>
      <c r="C1793" s="239"/>
      <c r="D1793" s="705" t="s">
        <v>96</v>
      </c>
      <c r="E1793" s="706"/>
      <c r="F1793" s="236">
        <f>INDEX(WEAP!$A:$AN,MATCH(B1790,WEAP!$A:$A,0),MATCH("HP",WEAP!$A$1:$BF$1,0))</f>
        <v>284</v>
      </c>
      <c r="G1793" s="237">
        <f>INDEX(WEAP!$A:$AN,MATCH(B1790,WEAP!$A:$A,0),MATCH("HP V3",WEAP!$A$1:$BF$1,0))</f>
        <v>285</v>
      </c>
      <c r="I1793" s="461"/>
      <c r="J1793" s="463"/>
      <c r="K1793" s="239"/>
      <c r="L1793" s="713"/>
      <c r="M1793" s="714"/>
    </row>
    <row r="1794" spans="1:13" ht="22.5" x14ac:dyDescent="0.35">
      <c r="B1794" s="702"/>
      <c r="C1794" s="239"/>
      <c r="D1794" s="707" t="s">
        <v>97</v>
      </c>
      <c r="E1794" s="708"/>
      <c r="F1794" s="236">
        <f>INDEX(WEAP!$A:$AN,MATCH(B1790,WEAP!$A:$A,0),MATCH("Str",WEAP!$A$1:$BF$1,0))</f>
        <v>1764</v>
      </c>
      <c r="G1794" s="237">
        <f>INDEX(WEAP!$A:$AN,MATCH(B1790,WEAP!$A:$A,0),MATCH("Str V3",WEAP!$A$1:$BF$1,0))</f>
        <v>1765</v>
      </c>
      <c r="I1794" s="464"/>
      <c r="J1794" s="466"/>
      <c r="K1794" s="239"/>
      <c r="L1794" s="715"/>
      <c r="M1794" s="716"/>
    </row>
    <row r="1795" spans="1:13" s="245" customFormat="1" ht="7.5" customHeight="1" x14ac:dyDescent="0.2">
      <c r="A1795" s="245" t="s">
        <v>10763</v>
      </c>
    </row>
    <row r="1796" spans="1:13" ht="22.5" x14ac:dyDescent="0.35">
      <c r="A1796" s="242" t="str">
        <f>TEXT(A1789+1,"000")</f>
        <v>257</v>
      </c>
      <c r="B1796" s="238" t="str">
        <f>"W-"&amp;A1796</f>
        <v>W-257</v>
      </c>
      <c r="C1796" s="239"/>
      <c r="D1796" s="692" t="str">
        <f>+INDEX(WEAP!$A:$AN,MATCH(B1797,WEAP!$A:$A,0),MATCH("Name",WEAP!$A$1:$BF$1,0))</f>
        <v>Raging Conflagration</v>
      </c>
      <c r="E1796" s="693"/>
      <c r="F1796" s="693"/>
      <c r="G1796" s="694"/>
      <c r="I1796" s="241" t="str">
        <f>+INDEX(WEAP!$A:$AN,MATCH(B1797,WEAP!$A:$A,0),MATCH("Weapon Skill",WEAP!$A$1:$BF$1,0))</f>
        <v>Raging Blade</v>
      </c>
      <c r="J1796" s="243">
        <f>INDEX('W-S'!$A:$N,MATCH(I1796,'W-S'!$C:$C,0),MATCH("SP Cost",'W-S'!$1:$1,0))</f>
        <v>7227</v>
      </c>
      <c r="K1796" s="9"/>
      <c r="L1796" s="241" t="str">
        <f>+I1796</f>
        <v>Raging Blade</v>
      </c>
      <c r="M1796" s="243">
        <f>INDEX('W-S'!$A:$N,MATCH(L1796,'W-S'!$C:$C,0),MATCH("SP Cost V3",'W-S'!$1:$1,0))</f>
        <v>6000</v>
      </c>
    </row>
    <row r="1797" spans="1:13" ht="22.5" customHeight="1" x14ac:dyDescent="0.35">
      <c r="B1797" s="238" t="str">
        <f>+INDEX(WEAP!$A:$AN,MATCH(B1796,WEAP!$B:$B,0),MATCH("ID",WEAP!$A$1:$BF$1,0))</f>
        <v>302148_01</v>
      </c>
      <c r="C1797" s="240"/>
      <c r="D1797" s="692" t="str">
        <f>+INDEX(WEAP!$A:$AN,MATCH(B1796,WEAP!$B:$B,0),MATCH("Family",WEAP!$A$1:$BF$1,0))&amp;" Weapon"</f>
        <v>Primal Weapon</v>
      </c>
      <c r="E1797" s="693"/>
      <c r="F1797" s="693"/>
      <c r="G1797" s="694"/>
      <c r="H1797" s="8"/>
      <c r="I1797" s="458" t="str">
        <f>INDEX('W-S'!$A:$O,MATCH(I1796,'W-S'!$C:$C,0),MATCH("Description",'W-S'!$1:$1,0))</f>
        <v>Deals 3 hits of 354% flame damage to enemies in a line, increases the user's strength by 20% for 15 seconds, and grants them the "Primal Dragalia" effect for 90 seconds. Primal Dragalia increases the user's strength by 15% and their attack rate by 5%. Primal Dragalia will not stack.</v>
      </c>
      <c r="J1797" s="460"/>
      <c r="K1797" s="239"/>
      <c r="L1797" s="711" t="str">
        <f>INDEX('W-S'!$A:$O,MATCH(I1796,'W-S'!$C:$C,0),MATCH("Description V3",'W-S'!$1:$1,0))</f>
        <v>Deals 3 hits of 500% flame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797" s="712"/>
    </row>
    <row r="1798" spans="1:13" ht="22.5" x14ac:dyDescent="0.2">
      <c r="B1798" s="701" t="e" vm="277">
        <f>+_xlfn.IMAGE("https://natalie.tf/wp-content/uploads/2023/10/DLV3_Icon_Weapon_"&amp;B1797&amp;".png")</f>
        <v>#VALUE!</v>
      </c>
      <c r="C1798" s="240"/>
      <c r="D1798" s="692" t="str">
        <f>INDEX(WEAP!$A:$AN,MATCH(B1797,WEAP!$A:$A,0),MATCH("Element",WEAP!$A$1:$BF$1,0))&amp;" "&amp;INDEX(WEAP!$A:$AN,MATCH(B1797,WEAP!$A:$A,0),MATCH("Type",WEAP!$A$1:$BF$1,0))</f>
        <v>Flame Blade</v>
      </c>
      <c r="E1798" s="693"/>
      <c r="F1798" s="693"/>
      <c r="G1798" s="694"/>
      <c r="H1798" s="8"/>
      <c r="I1798" s="461"/>
      <c r="J1798" s="463"/>
      <c r="K1798" s="9"/>
      <c r="L1798" s="713"/>
      <c r="M1798" s="714"/>
    </row>
    <row r="1799" spans="1:13" ht="22.5" x14ac:dyDescent="0.35">
      <c r="B1799" s="702"/>
      <c r="C1799" s="239"/>
      <c r="D1799" s="703" t="s">
        <v>10760</v>
      </c>
      <c r="E1799" s="704"/>
      <c r="F1799" s="235" t="s">
        <v>10761</v>
      </c>
      <c r="G1799" s="235" t="s">
        <v>10762</v>
      </c>
      <c r="I1799" s="461"/>
      <c r="J1799" s="463"/>
      <c r="K1799" s="239"/>
      <c r="L1799" s="713"/>
      <c r="M1799" s="714"/>
    </row>
    <row r="1800" spans="1:13" ht="22.5" x14ac:dyDescent="0.35">
      <c r="B1800" s="702"/>
      <c r="C1800" s="239"/>
      <c r="D1800" s="705" t="s">
        <v>96</v>
      </c>
      <c r="E1800" s="706"/>
      <c r="F1800" s="236">
        <f>INDEX(WEAP!$A:$AN,MATCH(B1797,WEAP!$A:$A,0),MATCH("HP",WEAP!$A$1:$BF$1,0))</f>
        <v>251</v>
      </c>
      <c r="G1800" s="237">
        <f>INDEX(WEAP!$A:$AN,MATCH(B1797,WEAP!$A:$A,0),MATCH("HP V3",WEAP!$A$1:$BF$1,0))</f>
        <v>255</v>
      </c>
      <c r="I1800" s="461"/>
      <c r="J1800" s="463"/>
      <c r="K1800" s="239"/>
      <c r="L1800" s="713"/>
      <c r="M1800" s="714"/>
    </row>
    <row r="1801" spans="1:13" ht="22.5" x14ac:dyDescent="0.35">
      <c r="B1801" s="702"/>
      <c r="C1801" s="239"/>
      <c r="D1801" s="707" t="s">
        <v>97</v>
      </c>
      <c r="E1801" s="708"/>
      <c r="F1801" s="236">
        <f>INDEX(WEAP!$A:$AN,MATCH(B1797,WEAP!$A:$A,0),MATCH("Str",WEAP!$A$1:$BF$1,0))</f>
        <v>1870</v>
      </c>
      <c r="G1801" s="237">
        <f>INDEX(WEAP!$A:$AN,MATCH(B1797,WEAP!$A:$A,0),MATCH("Str V3",WEAP!$A$1:$BF$1,0))</f>
        <v>1870</v>
      </c>
      <c r="I1801" s="464"/>
      <c r="J1801" s="466"/>
      <c r="K1801" s="239"/>
      <c r="L1801" s="715"/>
      <c r="M1801" s="716"/>
    </row>
    <row r="1802" spans="1:13" s="245" customFormat="1" ht="7.5" customHeight="1" x14ac:dyDescent="0.2">
      <c r="A1802" s="245" t="s">
        <v>10763</v>
      </c>
    </row>
    <row r="1803" spans="1:13" ht="22.5" x14ac:dyDescent="0.35">
      <c r="A1803" s="244" t="str">
        <f>TEXT(A1796+1,"000")</f>
        <v>258</v>
      </c>
      <c r="B1803" s="238" t="str">
        <f>"W-"&amp;A1803</f>
        <v>W-258</v>
      </c>
      <c r="C1803" s="239"/>
      <c r="D1803" s="692" t="str">
        <f>+INDEX(WEAP!$A:$AN,MATCH(B1804,WEAP!$A:$A,0),MATCH("Name",WEAP!$A$1:$BF$1,0))</f>
        <v>Flameruler's Fang</v>
      </c>
      <c r="E1803" s="693"/>
      <c r="F1803" s="693"/>
      <c r="G1803" s="694"/>
      <c r="I1803" s="241" t="str">
        <f>+INDEX(WEAP!$A:$AN,MATCH(B1804,WEAP!$A:$A,0),MATCH("Weapon Skill",WEAP!$A$1:$BF$1,0))</f>
        <v>Brutal Flameruler</v>
      </c>
      <c r="J1803" s="243">
        <f>INDEX('W-S'!$A:$N,MATCH(I1803,'W-S'!$C:$C,0),MATCH("SP Cost",'W-S'!$1:$1,0))</f>
        <v>6590</v>
      </c>
      <c r="K1803" s="9"/>
      <c r="L1803" s="241" t="str">
        <f>+I1803</f>
        <v>Brutal Flameruler</v>
      </c>
      <c r="M1803" s="243">
        <f>INDEX('W-S'!$A:$N,MATCH(L1803,'W-S'!$C:$C,0),MATCH("SP Cost V3",'W-S'!$1:$1,0))</f>
        <v>6000</v>
      </c>
    </row>
    <row r="1804" spans="1:13" ht="22.5" customHeight="1" x14ac:dyDescent="0.35">
      <c r="B1804" s="238" t="str">
        <f>+INDEX(WEAP!$A:$AN,MATCH(B1803,WEAP!$B:$B,0),MATCH("ID",WEAP!$A$1:$BF$1,0))</f>
        <v>303147_01</v>
      </c>
      <c r="C1804" s="240"/>
      <c r="D1804" s="692" t="str">
        <f>+INDEX(WEAP!$A:$AN,MATCH(B1803,WEAP!$B:$B,0),MATCH("Family",WEAP!$A$1:$BF$1,0))&amp;" Weapon"</f>
        <v>Primal Weapon</v>
      </c>
      <c r="E1804" s="693"/>
      <c r="F1804" s="693"/>
      <c r="G1804" s="694"/>
      <c r="H1804" s="8"/>
      <c r="I1804" s="458" t="str">
        <f>INDEX('W-S'!$A:$O,MATCH(I1803,'W-S'!$C:$C,0),MATCH("Description",'W-S'!$1:$1,0))</f>
        <v>Deals 8 hits of 115% damage to enemies directly ahead, increases the user's strength by 20% for 15 seconds, and grants them the "Primal Dragalia" effect for 90 seconds. Primal Dragalia increases the user's strength by 15% and their attack rate by 5%. Primal Dragalia will not stack.</v>
      </c>
      <c r="J1804" s="460"/>
      <c r="K1804" s="239"/>
      <c r="L1804" s="711" t="str">
        <f>INDEX('W-S'!$A:$O,MATCH(I1803,'W-S'!$C:$C,0),MATCH("Description V3",'W-S'!$1:$1,0))</f>
        <v>Deals 8 hits of 187%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804" s="712"/>
    </row>
    <row r="1805" spans="1:13" ht="22.5" x14ac:dyDescent="0.2">
      <c r="B1805" s="701" t="e" vm="278">
        <f>+_xlfn.IMAGE("https://natalie.tf/wp-content/uploads/2023/10/DLV3_Icon_Weapon_"&amp;B1804&amp;".png")</f>
        <v>#VALUE!</v>
      </c>
      <c r="C1805" s="240"/>
      <c r="D1805" s="692" t="str">
        <f>INDEX(WEAP!$A:$AN,MATCH(B1804,WEAP!$A:$A,0),MATCH("Element",WEAP!$A$1:$BF$1,0))&amp;" "&amp;INDEX(WEAP!$A:$AN,MATCH(B1804,WEAP!$A:$A,0),MATCH("Type",WEAP!$A$1:$BF$1,0))</f>
        <v>Flame Dagger</v>
      </c>
      <c r="E1805" s="693"/>
      <c r="F1805" s="693"/>
      <c r="G1805" s="694"/>
      <c r="H1805" s="8"/>
      <c r="I1805" s="461"/>
      <c r="J1805" s="463"/>
      <c r="K1805" s="9"/>
      <c r="L1805" s="713"/>
      <c r="M1805" s="714"/>
    </row>
    <row r="1806" spans="1:13" ht="22.5" x14ac:dyDescent="0.35">
      <c r="B1806" s="702"/>
      <c r="C1806" s="239"/>
      <c r="D1806" s="703" t="s">
        <v>10760</v>
      </c>
      <c r="E1806" s="704"/>
      <c r="F1806" s="235" t="s">
        <v>10761</v>
      </c>
      <c r="G1806" s="235" t="s">
        <v>10762</v>
      </c>
      <c r="I1806" s="461"/>
      <c r="J1806" s="463"/>
      <c r="K1806" s="239"/>
      <c r="L1806" s="713"/>
      <c r="M1806" s="714"/>
    </row>
    <row r="1807" spans="1:13" ht="22.5" x14ac:dyDescent="0.35">
      <c r="B1807" s="702"/>
      <c r="C1807" s="239"/>
      <c r="D1807" s="705" t="s">
        <v>96</v>
      </c>
      <c r="E1807" s="706"/>
      <c r="F1807" s="236">
        <f>INDEX(WEAP!$A:$AN,MATCH(B1804,WEAP!$A:$A,0),MATCH("HP",WEAP!$A$1:$BF$1,0))</f>
        <v>287</v>
      </c>
      <c r="G1807" s="237">
        <f>INDEX(WEAP!$A:$AN,MATCH(B1804,WEAP!$A:$A,0),MATCH("HP V3",WEAP!$A$1:$BF$1,0))</f>
        <v>290</v>
      </c>
      <c r="I1807" s="461"/>
      <c r="J1807" s="463"/>
      <c r="K1807" s="239"/>
      <c r="L1807" s="713"/>
      <c r="M1807" s="714"/>
    </row>
    <row r="1808" spans="1:13" ht="22.5" x14ac:dyDescent="0.35">
      <c r="B1808" s="702"/>
      <c r="C1808" s="239"/>
      <c r="D1808" s="707" t="s">
        <v>97</v>
      </c>
      <c r="E1808" s="708"/>
      <c r="F1808" s="236">
        <f>INDEX(WEAP!$A:$AN,MATCH(B1804,WEAP!$A:$A,0),MATCH("Str",WEAP!$A$1:$BF$1,0))</f>
        <v>1728</v>
      </c>
      <c r="G1808" s="237">
        <f>INDEX(WEAP!$A:$AN,MATCH(B1804,WEAP!$A:$A,0),MATCH("Str V3",WEAP!$A$1:$BF$1,0))</f>
        <v>1730</v>
      </c>
      <c r="I1808" s="464"/>
      <c r="J1808" s="466"/>
      <c r="K1808" s="239"/>
      <c r="L1808" s="715"/>
      <c r="M1808" s="716"/>
    </row>
    <row r="1809" spans="1:13" s="245" customFormat="1" ht="7.5" customHeight="1" x14ac:dyDescent="0.2">
      <c r="A1809" s="245" t="s">
        <v>10763</v>
      </c>
    </row>
    <row r="1810" spans="1:13" ht="22.5" x14ac:dyDescent="0.35">
      <c r="A1810" s="244" t="str">
        <f>TEXT(A1803+1,"000")</f>
        <v>259</v>
      </c>
      <c r="B1810" s="238" t="str">
        <f>"W-"&amp;A1810</f>
        <v>W-259</v>
      </c>
      <c r="C1810" s="239"/>
      <c r="D1810" s="692" t="str">
        <f>+INDEX(WEAP!$A:$AN,MATCH(B1811,WEAP!$A:$A,0),MATCH("Name",WEAP!$A$1:$BF$1,0))</f>
        <v>Noble Crimson Heat</v>
      </c>
      <c r="E1810" s="693"/>
      <c r="F1810" s="693"/>
      <c r="G1810" s="694"/>
      <c r="I1810" s="241" t="str">
        <f>+INDEX(WEAP!$A:$AN,MATCH(B1811,WEAP!$A:$A,0),MATCH("Weapon Skill",WEAP!$A$1:$BF$1,0))</f>
        <v>Noble Crimson Passion</v>
      </c>
      <c r="J1810" s="243">
        <f>INDEX('W-S'!$A:$N,MATCH(I1810,'W-S'!$C:$C,0),MATCH("SP Cost",'W-S'!$1:$1,0))</f>
        <v>8895</v>
      </c>
      <c r="K1810" s="9"/>
      <c r="L1810" s="241" t="str">
        <f>+I1810</f>
        <v>Noble Crimson Passion</v>
      </c>
      <c r="M1810" s="243">
        <f>INDEX('W-S'!$A:$N,MATCH(L1810,'W-S'!$C:$C,0),MATCH("SP Cost V3",'W-S'!$1:$1,0))</f>
        <v>6000</v>
      </c>
    </row>
    <row r="1811" spans="1:13" ht="22.5" customHeight="1" x14ac:dyDescent="0.35">
      <c r="B1811" s="238" t="str">
        <f>+INDEX(WEAP!$A:$AN,MATCH(B1810,WEAP!$B:$B,0),MATCH("ID",WEAP!$A$1:$BF$1,0))</f>
        <v>304144_01</v>
      </c>
      <c r="C1811" s="240"/>
      <c r="D1811" s="692" t="str">
        <f>+INDEX(WEAP!$A:$AN,MATCH(B1810,WEAP!$B:$B,0),MATCH("Family",WEAP!$A$1:$BF$1,0))&amp;" Weapon"</f>
        <v>Primal Weapon</v>
      </c>
      <c r="E1811" s="693"/>
      <c r="F1811" s="693"/>
      <c r="G1811" s="694"/>
      <c r="H1811" s="8"/>
      <c r="I1811" s="458" t="str">
        <f>INDEX('W-S'!$A:$O,MATCH(I1810,'W-S'!$C:$C,0),MATCH("Description",'W-S'!$1:$1,0))</f>
        <v>Deals 3 hits of 418% flame damage to enemies directly ahead, increases the user's strength by 20% for 15 seconds, and grants them the "Primal Dragalia" effect for 90 seconds. Primal Dragalia increases the user's strength by 15% and their attack rate by 5%. Primal Dragalia will not stack.</v>
      </c>
      <c r="J1811" s="460"/>
      <c r="K1811" s="239"/>
      <c r="L1811" s="711" t="str">
        <f>INDEX('W-S'!$A:$O,MATCH(I1810,'W-S'!$C:$C,0),MATCH("Description V3",'W-S'!$1:$1,0))</f>
        <v>Deals 3 hits of 500% flame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811" s="712"/>
    </row>
    <row r="1812" spans="1:13" ht="22.5" x14ac:dyDescent="0.2">
      <c r="B1812" s="701" t="e" vm="279">
        <f>+_xlfn.IMAGE("https://natalie.tf/wp-content/uploads/2023/10/DLV3_Icon_Weapon_"&amp;B1811&amp;".png")</f>
        <v>#VALUE!</v>
      </c>
      <c r="C1812" s="240"/>
      <c r="D1812" s="692" t="str">
        <f>INDEX(WEAP!$A:$AN,MATCH(B1811,WEAP!$A:$A,0),MATCH("Element",WEAP!$A$1:$BF$1,0))&amp;" "&amp;INDEX(WEAP!$A:$AN,MATCH(B1811,WEAP!$A:$A,0),MATCH("Type",WEAP!$A$1:$BF$1,0))</f>
        <v>Flame Axe</v>
      </c>
      <c r="E1812" s="693"/>
      <c r="F1812" s="693"/>
      <c r="G1812" s="694"/>
      <c r="H1812" s="8"/>
      <c r="I1812" s="461"/>
      <c r="J1812" s="463"/>
      <c r="K1812" s="9"/>
      <c r="L1812" s="713"/>
      <c r="M1812" s="714"/>
    </row>
    <row r="1813" spans="1:13" ht="22.5" x14ac:dyDescent="0.35">
      <c r="B1813" s="702"/>
      <c r="C1813" s="239"/>
      <c r="D1813" s="703" t="s">
        <v>10760</v>
      </c>
      <c r="E1813" s="704"/>
      <c r="F1813" s="235" t="s">
        <v>10761</v>
      </c>
      <c r="G1813" s="235" t="s">
        <v>10762</v>
      </c>
      <c r="I1813" s="461"/>
      <c r="J1813" s="463"/>
      <c r="K1813" s="239"/>
      <c r="L1813" s="713"/>
      <c r="M1813" s="714"/>
    </row>
    <row r="1814" spans="1:13" ht="22.5" x14ac:dyDescent="0.35">
      <c r="B1814" s="702"/>
      <c r="C1814" s="239"/>
      <c r="D1814" s="705" t="s">
        <v>96</v>
      </c>
      <c r="E1814" s="706"/>
      <c r="F1814" s="236">
        <f>INDEX(WEAP!$A:$AN,MATCH(B1811,WEAP!$A:$A,0),MATCH("HP",WEAP!$A$1:$BF$1,0))</f>
        <v>292</v>
      </c>
      <c r="G1814" s="237">
        <f>INDEX(WEAP!$A:$AN,MATCH(B1811,WEAP!$A:$A,0),MATCH("HP V3",WEAP!$A$1:$BF$1,0))</f>
        <v>300</v>
      </c>
      <c r="I1814" s="461"/>
      <c r="J1814" s="463"/>
      <c r="K1814" s="239"/>
      <c r="L1814" s="713"/>
      <c r="M1814" s="714"/>
    </row>
    <row r="1815" spans="1:13" ht="22.5" x14ac:dyDescent="0.35">
      <c r="B1815" s="702"/>
      <c r="C1815" s="239"/>
      <c r="D1815" s="707" t="s">
        <v>97</v>
      </c>
      <c r="E1815" s="708"/>
      <c r="F1815" s="236">
        <f>INDEX(WEAP!$A:$AN,MATCH(B1811,WEAP!$A:$A,0),MATCH("Str",WEAP!$A$1:$BF$1,0))</f>
        <v>1852</v>
      </c>
      <c r="G1815" s="237">
        <f>INDEX(WEAP!$A:$AN,MATCH(B1811,WEAP!$A:$A,0),MATCH("Str V3",WEAP!$A$1:$BF$1,0))</f>
        <v>1855</v>
      </c>
      <c r="I1815" s="464"/>
      <c r="J1815" s="466"/>
      <c r="K1815" s="239"/>
      <c r="L1815" s="715"/>
      <c r="M1815" s="716"/>
    </row>
    <row r="1816" spans="1:13" s="245" customFormat="1" ht="7.5" customHeight="1" x14ac:dyDescent="0.2">
      <c r="A1816" s="245" t="s">
        <v>10763</v>
      </c>
    </row>
    <row r="1817" spans="1:13" ht="22.5" x14ac:dyDescent="0.35">
      <c r="A1817" s="244" t="str">
        <f>TEXT(A1810+1,"000")</f>
        <v>260</v>
      </c>
      <c r="B1817" s="238" t="str">
        <f>"W-"&amp;A1817</f>
        <v>W-260</v>
      </c>
      <c r="C1817" s="239"/>
      <c r="D1817" s="692" t="str">
        <f>+INDEX(WEAP!$A:$AN,MATCH(B1818,WEAP!$A:$A,0),MATCH("Name",WEAP!$A$1:$BF$1,0))</f>
        <v>Omniflame Lance</v>
      </c>
      <c r="E1817" s="693"/>
      <c r="F1817" s="693"/>
      <c r="G1817" s="694"/>
      <c r="I1817" s="241" t="str">
        <f>+INDEX(WEAP!$A:$AN,MATCH(B1818,WEAP!$A:$A,0),MATCH("Weapon Skill",WEAP!$A$1:$BF$1,0))</f>
        <v>Crimson Omnifire</v>
      </c>
      <c r="J1817" s="243">
        <f>INDEX('W-S'!$A:$N,MATCH(I1817,'W-S'!$C:$C,0),MATCH("SP Cost",'W-S'!$1:$1,0))</f>
        <v>7299</v>
      </c>
      <c r="K1817" s="9"/>
      <c r="L1817" s="241" t="str">
        <f>+I1817</f>
        <v>Crimson Omnifire</v>
      </c>
      <c r="M1817" s="243">
        <f>INDEX('W-S'!$A:$N,MATCH(L1817,'W-S'!$C:$C,0),MATCH("SP Cost V3",'W-S'!$1:$1,0))</f>
        <v>6000</v>
      </c>
    </row>
    <row r="1818" spans="1:13" ht="22.5" customHeight="1" x14ac:dyDescent="0.35">
      <c r="B1818" s="238" t="str">
        <f>+INDEX(WEAP!$A:$AN,MATCH(B1817,WEAP!$B:$B,0),MATCH("ID",WEAP!$A$1:$BF$1,0))</f>
        <v>305154_01</v>
      </c>
      <c r="C1818" s="240"/>
      <c r="D1818" s="692" t="str">
        <f>+INDEX(WEAP!$A:$AN,MATCH(B1817,WEAP!$B:$B,0),MATCH("Family",WEAP!$A$1:$BF$1,0))&amp;" Weapon"</f>
        <v>Primal Weapon</v>
      </c>
      <c r="E1818" s="693"/>
      <c r="F1818" s="693"/>
      <c r="G1818" s="694"/>
      <c r="H1818" s="8"/>
      <c r="I1818" s="458" t="str">
        <f>INDEX('W-S'!$A:$O,MATCH(I1817,'W-S'!$C:$C,0),MATCH("Description",'W-S'!$1:$1,0))</f>
        <v>Deals 2 hits of 461% flame damage to the target and nearby enemies, increases the user's strength by 20% for 15 seconds, and grants them the "Primal Dragalia" effect for 90 seconds. Primal Dragalia increases the user's strength by 15% and their attack rate by 5%. Primal Dragalia will not stack.</v>
      </c>
      <c r="J1818" s="460"/>
      <c r="K1818" s="239"/>
      <c r="L1818" s="711" t="str">
        <f>INDEX('W-S'!$A:$O,MATCH(I1817,'W-S'!$C:$C,0),MATCH("Description V3",'W-S'!$1:$1,0))</f>
        <v>Deals 2 hits of 750% flame damage to the target and nearby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818" s="712"/>
    </row>
    <row r="1819" spans="1:13" ht="22.5" x14ac:dyDescent="0.2">
      <c r="B1819" s="701" t="e" vm="280">
        <f>+_xlfn.IMAGE("https://natalie.tf/wp-content/uploads/2023/10/DLV3_Icon_Weapon_"&amp;B1818&amp;".png")</f>
        <v>#VALUE!</v>
      </c>
      <c r="C1819" s="240"/>
      <c r="D1819" s="692" t="str">
        <f>INDEX(WEAP!$A:$AN,MATCH(B1818,WEAP!$A:$A,0),MATCH("Element",WEAP!$A$1:$BF$1,0))&amp;" "&amp;INDEX(WEAP!$A:$AN,MATCH(B1818,WEAP!$A:$A,0),MATCH("Type",WEAP!$A$1:$BF$1,0))</f>
        <v>Flame Lance</v>
      </c>
      <c r="E1819" s="693"/>
      <c r="F1819" s="693"/>
      <c r="G1819" s="694"/>
      <c r="H1819" s="8"/>
      <c r="I1819" s="461"/>
      <c r="J1819" s="463"/>
      <c r="K1819" s="9"/>
      <c r="L1819" s="713"/>
      <c r="M1819" s="714"/>
    </row>
    <row r="1820" spans="1:13" ht="22.5" x14ac:dyDescent="0.35">
      <c r="B1820" s="702"/>
      <c r="C1820" s="239"/>
      <c r="D1820" s="703" t="s">
        <v>10760</v>
      </c>
      <c r="E1820" s="704"/>
      <c r="F1820" s="235" t="s">
        <v>10761</v>
      </c>
      <c r="G1820" s="235" t="s">
        <v>10762</v>
      </c>
      <c r="I1820" s="461"/>
      <c r="J1820" s="463"/>
      <c r="K1820" s="239"/>
      <c r="L1820" s="713"/>
      <c r="M1820" s="714"/>
    </row>
    <row r="1821" spans="1:13" ht="22.5" x14ac:dyDescent="0.35">
      <c r="B1821" s="702"/>
      <c r="C1821" s="239"/>
      <c r="D1821" s="705" t="s">
        <v>96</v>
      </c>
      <c r="E1821" s="706"/>
      <c r="F1821" s="236">
        <f>INDEX(WEAP!$A:$AN,MATCH(B1818,WEAP!$A:$A,0),MATCH("HP",WEAP!$A$1:$BF$1,0))</f>
        <v>290</v>
      </c>
      <c r="G1821" s="237">
        <f>INDEX(WEAP!$A:$AN,MATCH(B1818,WEAP!$A:$A,0),MATCH("HP V3",WEAP!$A$1:$BF$1,0))</f>
        <v>290</v>
      </c>
      <c r="I1821" s="461"/>
      <c r="J1821" s="463"/>
      <c r="K1821" s="239"/>
      <c r="L1821" s="713"/>
      <c r="M1821" s="714"/>
    </row>
    <row r="1822" spans="1:13" ht="22.5" x14ac:dyDescent="0.35">
      <c r="B1822" s="702"/>
      <c r="C1822" s="239"/>
      <c r="D1822" s="707" t="s">
        <v>97</v>
      </c>
      <c r="E1822" s="708"/>
      <c r="F1822" s="236">
        <f>INDEX(WEAP!$A:$AN,MATCH(B1818,WEAP!$A:$A,0),MATCH("Str",WEAP!$A$1:$BF$1,0))</f>
        <v>1799</v>
      </c>
      <c r="G1822" s="237">
        <f>INDEX(WEAP!$A:$AN,MATCH(B1818,WEAP!$A:$A,0),MATCH("Str V3",WEAP!$A$1:$BF$1,0))</f>
        <v>1800</v>
      </c>
      <c r="I1822" s="464"/>
      <c r="J1822" s="466"/>
      <c r="K1822" s="239"/>
      <c r="L1822" s="715"/>
      <c r="M1822" s="716"/>
    </row>
    <row r="1823" spans="1:13" ht="33.75" customHeight="1" x14ac:dyDescent="0.2">
      <c r="A1823" t="s">
        <v>10763</v>
      </c>
    </row>
    <row r="1824" spans="1:13" ht="22.5" x14ac:dyDescent="0.35">
      <c r="A1824" s="244" t="str">
        <f>TEXT(A1817+1,"000")</f>
        <v>261</v>
      </c>
      <c r="B1824" s="238" t="str">
        <f>"W-"&amp;A1824</f>
        <v>W-261</v>
      </c>
      <c r="C1824" s="239"/>
      <c r="D1824" s="692" t="str">
        <f>+INDEX(WEAP!$A:$AN,MATCH(B1825,WEAP!$A:$A,0),MATCH("Name",WEAP!$A$1:$BF$1,0))</f>
        <v>Valkyrie's Hellfire</v>
      </c>
      <c r="E1824" s="693"/>
      <c r="F1824" s="693"/>
      <c r="G1824" s="694"/>
      <c r="I1824" s="241" t="str">
        <f>+INDEX(WEAP!$A:$AN,MATCH(B1825,WEAP!$A:$A,0),MATCH("Weapon Skill",WEAP!$A$1:$BF$1,0))</f>
        <v>Valkyrie's Heroic Crusade</v>
      </c>
      <c r="J1824" s="243">
        <f>INDEX('W-S'!$A:$N,MATCH(I1824,'W-S'!$C:$C,0),MATCH("SP Cost",'W-S'!$1:$1,0))</f>
        <v>6750</v>
      </c>
      <c r="K1824" s="9"/>
      <c r="L1824" s="241" t="str">
        <f>+I1824</f>
        <v>Valkyrie's Heroic Crusade</v>
      </c>
      <c r="M1824" s="243">
        <f>INDEX('W-S'!$A:$N,MATCH(L1824,'W-S'!$C:$C,0),MATCH("SP Cost V3",'W-S'!$1:$1,0))</f>
        <v>6000</v>
      </c>
    </row>
    <row r="1825" spans="1:13" ht="22.5" customHeight="1" x14ac:dyDescent="0.35">
      <c r="B1825" s="238" t="str">
        <f>+INDEX(WEAP!$A:$AN,MATCH(B1824,WEAP!$B:$B,0),MATCH("ID",WEAP!$A$1:$BF$1,0))</f>
        <v>306146_01</v>
      </c>
      <c r="C1825" s="240"/>
      <c r="D1825" s="692" t="str">
        <f>+INDEX(WEAP!$A:$AN,MATCH(B1824,WEAP!$B:$B,0),MATCH("Family",WEAP!$A$1:$BF$1,0))&amp;" Weapon"</f>
        <v>Primal Weapon</v>
      </c>
      <c r="E1825" s="693"/>
      <c r="F1825" s="693"/>
      <c r="G1825" s="694"/>
      <c r="H1825" s="8"/>
      <c r="I1825" s="458" t="str">
        <f>INDEX('W-S'!$A:$O,MATCH(I1824,'W-S'!$C:$C,0),MATCH("Description",'W-S'!$1:$1,0))</f>
        <v>Deals 3 hits of 316% damage to enemies in a line, increases the user's strength by 20% for 15 seconds, and grants them the "Primal Dragalia" effect for 90 seconds. Primal Dragalia increases the user's strength by 15% and their attack rate by 5%. Primal Dragalia will not stack.</v>
      </c>
      <c r="J1825" s="460"/>
      <c r="K1825" s="239"/>
      <c r="L1825" s="711" t="str">
        <f>INDEX('W-S'!$A:$O,MATCH(I1824,'W-S'!$C:$C,0),MATCH("Description V3",'W-S'!$1:$1,0))</f>
        <v>Deals 3 hits of 500%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825" s="712"/>
    </row>
    <row r="1826" spans="1:13" ht="22.5" x14ac:dyDescent="0.2">
      <c r="B1826" s="701" t="e" vm="281">
        <f>+_xlfn.IMAGE("https://natalie.tf/wp-content/uploads/2023/10/DLV3_Icon_Weapon_"&amp;B1825&amp;".png")</f>
        <v>#VALUE!</v>
      </c>
      <c r="C1826" s="240"/>
      <c r="D1826" s="692" t="str">
        <f>INDEX(WEAP!$A:$AN,MATCH(B1825,WEAP!$A:$A,0),MATCH("Element",WEAP!$A$1:$BF$1,0))&amp;" "&amp;INDEX(WEAP!$A:$AN,MATCH(B1825,WEAP!$A:$A,0),MATCH("Type",WEAP!$A$1:$BF$1,0))</f>
        <v>Flame Bow</v>
      </c>
      <c r="E1826" s="693"/>
      <c r="F1826" s="693"/>
      <c r="G1826" s="694"/>
      <c r="H1826" s="8"/>
      <c r="I1826" s="461"/>
      <c r="J1826" s="463"/>
      <c r="K1826" s="9"/>
      <c r="L1826" s="713"/>
      <c r="M1826" s="714"/>
    </row>
    <row r="1827" spans="1:13" ht="22.5" x14ac:dyDescent="0.35">
      <c r="B1827" s="702"/>
      <c r="C1827" s="239"/>
      <c r="D1827" s="703" t="s">
        <v>10760</v>
      </c>
      <c r="E1827" s="704"/>
      <c r="F1827" s="235" t="s">
        <v>10761</v>
      </c>
      <c r="G1827" s="235" t="s">
        <v>10762</v>
      </c>
      <c r="I1827" s="461"/>
      <c r="J1827" s="463"/>
      <c r="K1827" s="239"/>
      <c r="L1827" s="713"/>
      <c r="M1827" s="714"/>
    </row>
    <row r="1828" spans="1:13" ht="22.5" x14ac:dyDescent="0.35">
      <c r="B1828" s="702"/>
      <c r="C1828" s="239"/>
      <c r="D1828" s="705" t="s">
        <v>96</v>
      </c>
      <c r="E1828" s="706"/>
      <c r="F1828" s="236">
        <f>INDEX(WEAP!$A:$AN,MATCH(B1825,WEAP!$A:$A,0),MATCH("HP",WEAP!$A$1:$BF$1,0))</f>
        <v>278</v>
      </c>
      <c r="G1828" s="237">
        <f>INDEX(WEAP!$A:$AN,MATCH(B1825,WEAP!$A:$A,0),MATCH("HP V3",WEAP!$A$1:$BF$1,0))</f>
        <v>280</v>
      </c>
      <c r="I1828" s="461"/>
      <c r="J1828" s="463"/>
      <c r="K1828" s="239"/>
      <c r="L1828" s="713"/>
      <c r="M1828" s="714"/>
    </row>
    <row r="1829" spans="1:13" ht="22.5" x14ac:dyDescent="0.35">
      <c r="B1829" s="702"/>
      <c r="C1829" s="239"/>
      <c r="D1829" s="707" t="s">
        <v>97</v>
      </c>
      <c r="E1829" s="708"/>
      <c r="F1829" s="236">
        <f>INDEX(WEAP!$A:$AN,MATCH(B1825,WEAP!$A:$A,0),MATCH("Str",WEAP!$A$1:$BF$1,0))</f>
        <v>1694</v>
      </c>
      <c r="G1829" s="237">
        <f>INDEX(WEAP!$A:$AN,MATCH(B1825,WEAP!$A:$A,0),MATCH("Str V3",WEAP!$A$1:$BF$1,0))</f>
        <v>1700</v>
      </c>
      <c r="I1829" s="464"/>
      <c r="J1829" s="466"/>
      <c r="K1829" s="239"/>
      <c r="L1829" s="715"/>
      <c r="M1829" s="716"/>
    </row>
    <row r="1830" spans="1:13" s="245" customFormat="1" ht="7.5" customHeight="1" x14ac:dyDescent="0.2">
      <c r="A1830" s="245" t="s">
        <v>10763</v>
      </c>
    </row>
    <row r="1831" spans="1:13" ht="22.5" x14ac:dyDescent="0.35">
      <c r="A1831" s="242" t="str">
        <f>TEXT(A1824+1,"000")</f>
        <v>262</v>
      </c>
      <c r="B1831" s="238" t="str">
        <f>"W-"&amp;A1831</f>
        <v>W-262</v>
      </c>
      <c r="C1831" s="239"/>
      <c r="D1831" s="692" t="str">
        <f>+INDEX(WEAP!$A:$AN,MATCH(B1832,WEAP!$A:$A,0),MATCH("Name",WEAP!$A$1:$BF$1,0))</f>
        <v>Hellblaze</v>
      </c>
      <c r="E1831" s="693"/>
      <c r="F1831" s="693"/>
      <c r="G1831" s="694"/>
      <c r="I1831" s="241" t="str">
        <f>+INDEX(WEAP!$A:$AN,MATCH(B1832,WEAP!$A:$A,0),MATCH("Weapon Skill",WEAP!$A$1:$BF$1,0))</f>
        <v>Cleansing Flames</v>
      </c>
      <c r="J1831" s="243">
        <f>INDEX('W-S'!$A:$N,MATCH(I1831,'W-S'!$C:$C,0),MATCH("SP Cost",'W-S'!$1:$1,0))</f>
        <v>7635</v>
      </c>
      <c r="K1831" s="9"/>
      <c r="L1831" s="241" t="str">
        <f>+I1831</f>
        <v>Cleansing Flames</v>
      </c>
      <c r="M1831" s="243">
        <f>INDEX('W-S'!$A:$N,MATCH(L1831,'W-S'!$C:$C,0),MATCH("SP Cost V3",'W-S'!$1:$1,0))</f>
        <v>6000</v>
      </c>
    </row>
    <row r="1832" spans="1:13" ht="22.5" customHeight="1" x14ac:dyDescent="0.35">
      <c r="B1832" s="238" t="str">
        <f>+INDEX(WEAP!$A:$AN,MATCH(B1831,WEAP!$B:$B,0),MATCH("ID",WEAP!$A$1:$BF$1,0))</f>
        <v>307153_01</v>
      </c>
      <c r="C1832" s="240"/>
      <c r="D1832" s="692" t="str">
        <f>+INDEX(WEAP!$A:$AN,MATCH(B1831,WEAP!$B:$B,0),MATCH("Family",WEAP!$A$1:$BF$1,0))&amp;" Weapon"</f>
        <v>Primal Weapon</v>
      </c>
      <c r="E1832" s="693"/>
      <c r="F1832" s="693"/>
      <c r="G1832" s="694"/>
      <c r="H1832" s="8"/>
      <c r="I1832" s="458" t="str">
        <f>INDEX('W-S'!$A:$O,MATCH(I1831,'W-S'!$C:$C,0),MATCH("Description",'W-S'!$1:$1,0))</f>
        <v>Deals 4 hits of 243% flame damage to enemies in a line, increases the user's strength by 20% for 15 seconds, and grants them the "Primal Dragalia" effect for 90 seconds. Primal Dragalia increases the user's strength by 15% and their attack rate by 5%. Primal Dragalia will not stack.</v>
      </c>
      <c r="J1832" s="460"/>
      <c r="K1832" s="239"/>
      <c r="L1832" s="711" t="str">
        <f>INDEX('W-S'!$A:$O,MATCH(I1831,'W-S'!$C:$C,0),MATCH("Description V3",'W-S'!$1:$1,0))</f>
        <v>Deals 4 hits of 375% flame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832" s="712"/>
    </row>
    <row r="1833" spans="1:13" ht="22.5" x14ac:dyDescent="0.2">
      <c r="B1833" s="701" t="e" vm="282">
        <f>+_xlfn.IMAGE("https://natalie.tf/wp-content/uploads/2023/10/DLV3_Icon_Weapon_"&amp;B1832&amp;".png")</f>
        <v>#VALUE!</v>
      </c>
      <c r="C1833" s="240"/>
      <c r="D1833" s="692" t="str">
        <f>INDEX(WEAP!$A:$AN,MATCH(B1832,WEAP!$A:$A,0),MATCH("Element",WEAP!$A$1:$BF$1,0))&amp;" "&amp;INDEX(WEAP!$A:$AN,MATCH(B1832,WEAP!$A:$A,0),MATCH("Type",WEAP!$A$1:$BF$1,0))</f>
        <v>Flame Wand</v>
      </c>
      <c r="E1833" s="693"/>
      <c r="F1833" s="693"/>
      <c r="G1833" s="694"/>
      <c r="H1833" s="8"/>
      <c r="I1833" s="461"/>
      <c r="J1833" s="463"/>
      <c r="K1833" s="9"/>
      <c r="L1833" s="713"/>
      <c r="M1833" s="714"/>
    </row>
    <row r="1834" spans="1:13" ht="22.5" x14ac:dyDescent="0.35">
      <c r="B1834" s="702"/>
      <c r="C1834" s="239"/>
      <c r="D1834" s="703" t="s">
        <v>10760</v>
      </c>
      <c r="E1834" s="704"/>
      <c r="F1834" s="235" t="s">
        <v>10761</v>
      </c>
      <c r="G1834" s="235" t="s">
        <v>10762</v>
      </c>
      <c r="I1834" s="461"/>
      <c r="J1834" s="463"/>
      <c r="K1834" s="239"/>
      <c r="L1834" s="713"/>
      <c r="M1834" s="714"/>
    </row>
    <row r="1835" spans="1:13" ht="22.5" x14ac:dyDescent="0.35">
      <c r="B1835" s="702"/>
      <c r="C1835" s="239"/>
      <c r="D1835" s="705" t="s">
        <v>96</v>
      </c>
      <c r="E1835" s="706"/>
      <c r="F1835" s="236">
        <f>INDEX(WEAP!$A:$AN,MATCH(B1832,WEAP!$A:$A,0),MATCH("HP",WEAP!$A$1:$BF$1,0))</f>
        <v>268</v>
      </c>
      <c r="G1835" s="237">
        <f>INDEX(WEAP!$A:$AN,MATCH(B1832,WEAP!$A:$A,0),MATCH("HP V3",WEAP!$A$1:$BF$1,0))</f>
        <v>275</v>
      </c>
      <c r="I1835" s="461"/>
      <c r="J1835" s="463"/>
      <c r="K1835" s="239"/>
      <c r="L1835" s="713"/>
      <c r="M1835" s="714"/>
    </row>
    <row r="1836" spans="1:13" ht="22.5" x14ac:dyDescent="0.35">
      <c r="B1836" s="702"/>
      <c r="C1836" s="239"/>
      <c r="D1836" s="707" t="s">
        <v>97</v>
      </c>
      <c r="E1836" s="708"/>
      <c r="F1836" s="236">
        <f>INDEX(WEAP!$A:$AN,MATCH(B1832,WEAP!$A:$A,0),MATCH("Str",WEAP!$A$1:$BF$1,0))</f>
        <v>1817</v>
      </c>
      <c r="G1836" s="237">
        <f>INDEX(WEAP!$A:$AN,MATCH(B1832,WEAP!$A:$A,0),MATCH("Str V3",WEAP!$A$1:$BF$1,0))</f>
        <v>1820</v>
      </c>
      <c r="I1836" s="464"/>
      <c r="J1836" s="466"/>
      <c r="K1836" s="239"/>
      <c r="L1836" s="715"/>
      <c r="M1836" s="716"/>
    </row>
    <row r="1837" spans="1:13" s="245" customFormat="1" ht="7.5" customHeight="1" x14ac:dyDescent="0.2">
      <c r="A1837" s="245" t="s">
        <v>10763</v>
      </c>
    </row>
    <row r="1838" spans="1:13" ht="22.5" x14ac:dyDescent="0.35">
      <c r="A1838" s="244" t="str">
        <f>TEXT(A1831+1,"000")</f>
        <v>263</v>
      </c>
      <c r="B1838" s="238" t="str">
        <f>"W-"&amp;A1838</f>
        <v>W-263</v>
      </c>
      <c r="C1838" s="239"/>
      <c r="D1838" s="692" t="str">
        <f>+INDEX(WEAP!$A:$AN,MATCH(B1839,WEAP!$A:$A,0),MATCH("Name",WEAP!$A$1:$BF$1,0))</f>
        <v>Flamerollick</v>
      </c>
      <c r="E1838" s="693"/>
      <c r="F1838" s="693"/>
      <c r="G1838" s="694"/>
      <c r="I1838" s="241" t="str">
        <f>+INDEX(WEAP!$A:$AN,MATCH(B1839,WEAP!$A:$A,0),MATCH("Weapon Skill",WEAP!$A$1:$BF$1,0))</f>
        <v>Rollicking Blaze</v>
      </c>
      <c r="J1838" s="243">
        <f>INDEX('W-S'!$A:$N,MATCH(I1838,'W-S'!$C:$C,0),MATCH("SP Cost",'W-S'!$1:$1,0))</f>
        <v>13684</v>
      </c>
      <c r="K1838" s="9"/>
      <c r="L1838" s="241" t="str">
        <f>+I1838</f>
        <v>Rollicking Blaze</v>
      </c>
      <c r="M1838" s="243">
        <f>INDEX('W-S'!$A:$N,MATCH(L1838,'W-S'!$C:$C,0),MATCH("SP Cost V3",'W-S'!$1:$1,0))</f>
        <v>6000</v>
      </c>
    </row>
    <row r="1839" spans="1:13" ht="22.5" customHeight="1" x14ac:dyDescent="0.35">
      <c r="B1839" s="238" t="str">
        <f>+INDEX(WEAP!$A:$AN,MATCH(B1838,WEAP!$B:$B,0),MATCH("ID",WEAP!$A$1:$BF$1,0))</f>
        <v>308145_01</v>
      </c>
      <c r="C1839" s="240"/>
      <c r="D1839" s="692" t="str">
        <f>+INDEX(WEAP!$A:$AN,MATCH(B1838,WEAP!$B:$B,0),MATCH("Family",WEAP!$A$1:$BF$1,0))&amp;" Weapon"</f>
        <v>Primal Weapon</v>
      </c>
      <c r="E1839" s="693"/>
      <c r="F1839" s="693"/>
      <c r="G1839" s="694"/>
      <c r="H1839" s="8"/>
      <c r="I1839" s="458" t="str">
        <f>INDEX('W-S'!$A:$O,MATCH(I1838,'W-S'!$C:$C,0),MATCH("Description",'W-S'!$1:$1,0))</f>
        <v>Deals 4 hits of 143% flame damage to enemies in a line, increases the user's strength by 20% for 15 seconds, and grants them the "Primal Dragalia" effect for 90 seconds. Primal Dragalia increases the user's strength by 15% and their attack rate by 5%. Primal Dragalia will not stack.</v>
      </c>
      <c r="J1839" s="460"/>
      <c r="K1839" s="239"/>
      <c r="L1839" s="711" t="str">
        <f>INDEX('W-S'!$A:$O,MATCH(I1838,'W-S'!$C:$C,0),MATCH("Description V3",'W-S'!$1:$1,0))</f>
        <v>Deals 4 hits of 375% flame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839" s="712"/>
    </row>
    <row r="1840" spans="1:13" ht="22.5" x14ac:dyDescent="0.2">
      <c r="B1840" s="701" t="e" vm="283">
        <f>+_xlfn.IMAGE("https://natalie.tf/wp-content/uploads/2023/10/DLV3_Icon_Weapon_"&amp;B1839&amp;".png")</f>
        <v>#VALUE!</v>
      </c>
      <c r="C1840" s="240"/>
      <c r="D1840" s="692" t="str">
        <f>INDEX(WEAP!$A:$AN,MATCH(B1839,WEAP!$A:$A,0),MATCH("Element",WEAP!$A$1:$BF$1,0))&amp;" "&amp;INDEX(WEAP!$A:$AN,MATCH(B1839,WEAP!$A:$A,0),MATCH("Type",WEAP!$A$1:$BF$1,0))</f>
        <v>Flame Staff</v>
      </c>
      <c r="E1840" s="693"/>
      <c r="F1840" s="693"/>
      <c r="G1840" s="694"/>
      <c r="H1840" s="8"/>
      <c r="I1840" s="461"/>
      <c r="J1840" s="463"/>
      <c r="K1840" s="9"/>
      <c r="L1840" s="713"/>
      <c r="M1840" s="714"/>
    </row>
    <row r="1841" spans="1:13" ht="22.5" x14ac:dyDescent="0.35">
      <c r="B1841" s="702"/>
      <c r="C1841" s="239"/>
      <c r="D1841" s="703" t="s">
        <v>10760</v>
      </c>
      <c r="E1841" s="704"/>
      <c r="F1841" s="235" t="s">
        <v>10761</v>
      </c>
      <c r="G1841" s="235" t="s">
        <v>10762</v>
      </c>
      <c r="I1841" s="461"/>
      <c r="J1841" s="463"/>
      <c r="K1841" s="239"/>
      <c r="L1841" s="713"/>
      <c r="M1841" s="714"/>
    </row>
    <row r="1842" spans="1:13" ht="22.5" x14ac:dyDescent="0.35">
      <c r="B1842" s="702"/>
      <c r="C1842" s="239"/>
      <c r="D1842" s="705" t="s">
        <v>96</v>
      </c>
      <c r="E1842" s="706"/>
      <c r="F1842" s="236">
        <f>INDEX(WEAP!$A:$AN,MATCH(B1839,WEAP!$A:$A,0),MATCH("HP",WEAP!$A$1:$BF$1,0))</f>
        <v>312</v>
      </c>
      <c r="G1842" s="237">
        <f>INDEX(WEAP!$A:$AN,MATCH(B1839,WEAP!$A:$A,0),MATCH("HP V3",WEAP!$A$1:$BF$1,0))</f>
        <v>325</v>
      </c>
      <c r="I1842" s="461"/>
      <c r="J1842" s="463"/>
      <c r="K1842" s="239"/>
      <c r="L1842" s="713"/>
      <c r="M1842" s="714"/>
    </row>
    <row r="1843" spans="1:13" ht="22.5" x14ac:dyDescent="0.35">
      <c r="B1843" s="702"/>
      <c r="C1843" s="239"/>
      <c r="D1843" s="707" t="s">
        <v>97</v>
      </c>
      <c r="E1843" s="708"/>
      <c r="F1843" s="236">
        <f>INDEX(WEAP!$A:$AN,MATCH(B1839,WEAP!$A:$A,0),MATCH("Str",WEAP!$A$1:$BF$1,0))</f>
        <v>1676</v>
      </c>
      <c r="G1843" s="237">
        <f>INDEX(WEAP!$A:$AN,MATCH(B1839,WEAP!$A:$A,0),MATCH("Str V3",WEAP!$A$1:$BF$1,0))</f>
        <v>1680</v>
      </c>
      <c r="I1843" s="464"/>
      <c r="J1843" s="466"/>
      <c r="K1843" s="239"/>
      <c r="L1843" s="715"/>
      <c r="M1843" s="716"/>
    </row>
    <row r="1844" spans="1:13" s="245" customFormat="1" ht="7.5" customHeight="1" x14ac:dyDescent="0.2">
      <c r="A1844" s="245" t="s">
        <v>10763</v>
      </c>
    </row>
    <row r="1845" spans="1:13" ht="22.5" x14ac:dyDescent="0.35">
      <c r="A1845" s="244" t="str">
        <f>TEXT(A1838+1,"000")</f>
        <v>264</v>
      </c>
      <c r="B1845" s="238" t="str">
        <f>"W-"&amp;A1845</f>
        <v>W-264</v>
      </c>
      <c r="C1845" s="239"/>
      <c r="D1845" s="692" t="str">
        <f>+INDEX(WEAP!$A:$AN,MATCH(B1846,WEAP!$A:$A,0),MATCH("Name",WEAP!$A$1:$BF$1,0))</f>
        <v>Big Bang Trigger</v>
      </c>
      <c r="E1845" s="693"/>
      <c r="F1845" s="693"/>
      <c r="G1845" s="694"/>
      <c r="I1845" s="241" t="str">
        <f>+INDEX(WEAP!$A:$AN,MATCH(B1846,WEAP!$A:$A,0),MATCH("Weapon Skill",WEAP!$A$1:$BF$1,0))</f>
        <v>Big Bang Shell</v>
      </c>
      <c r="J1845" s="243">
        <f>INDEX('W-S'!$A:$N,MATCH(I1845,'W-S'!$C:$C,0),MATCH("SP Cost",'W-S'!$1:$1,0))</f>
        <v>7316</v>
      </c>
      <c r="K1845" s="9"/>
      <c r="L1845" s="241" t="str">
        <f>+I1845</f>
        <v>Big Bang Shell</v>
      </c>
      <c r="M1845" s="243">
        <f>INDEX('W-S'!$A:$N,MATCH(L1845,'W-S'!$C:$C,0),MATCH("SP Cost V3",'W-S'!$1:$1,0))</f>
        <v>6000</v>
      </c>
    </row>
    <row r="1846" spans="1:13" ht="22.5" customHeight="1" x14ac:dyDescent="0.35">
      <c r="B1846" s="238" t="str">
        <f>+INDEX(WEAP!$A:$AN,MATCH(B1845,WEAP!$B:$B,0),MATCH("ID",WEAP!$A$1:$BF$1,0))</f>
        <v>309041_01</v>
      </c>
      <c r="C1846" s="240"/>
      <c r="D1846" s="692" t="str">
        <f>+INDEX(WEAP!$A:$AN,MATCH(B1845,WEAP!$B:$B,0),MATCH("Family",WEAP!$A$1:$BF$1,0))&amp;" Weapon"</f>
        <v>Primal Weapon</v>
      </c>
      <c r="E1846" s="693"/>
      <c r="F1846" s="693"/>
      <c r="G1846" s="694"/>
      <c r="H1846" s="8"/>
      <c r="I1846" s="458" t="str">
        <f>INDEX('W-S'!$A:$O,MATCH(I1845,'W-S'!$C:$C,0),MATCH("Description",'W-S'!$1:$1,0))</f>
        <v>Deals 25 hits of 41% flame damage to enemies directly ahead, increases the user's strength by 20% for 15 seconds, and grants them the "Primal Dragalia" effect for 90 seconds. Primal Dragalia increases the user's strength by 15% and their attack rate by 5%. Primal Dragalia will not stack.</v>
      </c>
      <c r="J1846" s="460"/>
      <c r="K1846" s="239"/>
      <c r="L1846" s="711" t="str">
        <f>INDEX('W-S'!$A:$O,MATCH(I1845,'W-S'!$C:$C,0),MATCH("Description V3",'W-S'!$1:$1,0))</f>
        <v>Deals 25 hits of 60% flame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846" s="712"/>
    </row>
    <row r="1847" spans="1:13" ht="22.5" x14ac:dyDescent="0.2">
      <c r="B1847" s="701" t="e" vm="284">
        <f>+_xlfn.IMAGE("https://natalie.tf/wp-content/uploads/2023/10/DLV3_Icon_Weapon_"&amp;B1846&amp;".png")</f>
        <v>#VALUE!</v>
      </c>
      <c r="C1847" s="240"/>
      <c r="D1847" s="692" t="str">
        <f>INDEX(WEAP!$A:$AN,MATCH(B1846,WEAP!$A:$A,0),MATCH("Element",WEAP!$A$1:$BF$1,0))&amp;" "&amp;INDEX(WEAP!$A:$AN,MATCH(B1846,WEAP!$A:$A,0),MATCH("Type",WEAP!$A$1:$BF$1,0))</f>
        <v>Flame Manacaster</v>
      </c>
      <c r="E1847" s="693"/>
      <c r="F1847" s="693"/>
      <c r="G1847" s="694"/>
      <c r="H1847" s="8"/>
      <c r="I1847" s="461"/>
      <c r="J1847" s="463"/>
      <c r="K1847" s="9"/>
      <c r="L1847" s="713"/>
      <c r="M1847" s="714"/>
    </row>
    <row r="1848" spans="1:13" ht="22.5" x14ac:dyDescent="0.35">
      <c r="B1848" s="702"/>
      <c r="C1848" s="239"/>
      <c r="D1848" s="703" t="s">
        <v>10760</v>
      </c>
      <c r="E1848" s="704"/>
      <c r="F1848" s="235" t="s">
        <v>10761</v>
      </c>
      <c r="G1848" s="235" t="s">
        <v>10762</v>
      </c>
      <c r="I1848" s="461"/>
      <c r="J1848" s="463"/>
      <c r="K1848" s="239"/>
      <c r="L1848" s="713"/>
      <c r="M1848" s="714"/>
    </row>
    <row r="1849" spans="1:13" ht="22.5" x14ac:dyDescent="0.35">
      <c r="B1849" s="702"/>
      <c r="C1849" s="239"/>
      <c r="D1849" s="705" t="s">
        <v>96</v>
      </c>
      <c r="E1849" s="706"/>
      <c r="F1849" s="236">
        <f>INDEX(WEAP!$A:$AN,MATCH(B1846,WEAP!$A:$A,0),MATCH("HP",WEAP!$A$1:$BF$1,0))</f>
        <v>275</v>
      </c>
      <c r="G1849" s="237">
        <f>INDEX(WEAP!$A:$AN,MATCH(B1846,WEAP!$A:$A,0),MATCH("HP V3",WEAP!$A$1:$BF$1,0))</f>
        <v>275</v>
      </c>
      <c r="I1849" s="461"/>
      <c r="J1849" s="463"/>
      <c r="K1849" s="239"/>
      <c r="L1849" s="713"/>
      <c r="M1849" s="714"/>
    </row>
    <row r="1850" spans="1:13" ht="22.5" x14ac:dyDescent="0.35">
      <c r="B1850" s="702"/>
      <c r="C1850" s="239"/>
      <c r="D1850" s="707" t="s">
        <v>97</v>
      </c>
      <c r="E1850" s="708"/>
      <c r="F1850" s="236">
        <f>INDEX(WEAP!$A:$AN,MATCH(B1846,WEAP!$A:$A,0),MATCH("Str",WEAP!$A$1:$BF$1,0))</f>
        <v>1835</v>
      </c>
      <c r="G1850" s="237">
        <f>INDEX(WEAP!$A:$AN,MATCH(B1846,WEAP!$A:$A,0),MATCH("Str V3",WEAP!$A$1:$BF$1,0))</f>
        <v>1835</v>
      </c>
      <c r="I1850" s="464"/>
      <c r="J1850" s="466"/>
      <c r="K1850" s="239"/>
      <c r="L1850" s="715"/>
      <c r="M1850" s="716"/>
    </row>
    <row r="1851" spans="1:13" s="245" customFormat="1" ht="7.5" customHeight="1" x14ac:dyDescent="0.2">
      <c r="A1851" s="245" t="s">
        <v>10763</v>
      </c>
    </row>
    <row r="1852" spans="1:13" ht="22.5" x14ac:dyDescent="0.35">
      <c r="A1852" s="244" t="str">
        <f>TEXT(A1845+1,"000")</f>
        <v>265</v>
      </c>
      <c r="B1852" s="238" t="str">
        <f>"W-"&amp;A1852</f>
        <v>W-265</v>
      </c>
      <c r="C1852" s="239"/>
      <c r="D1852" s="692" t="str">
        <f>+INDEX(WEAP!$A:$AN,MATCH(B1853,WEAP!$A:$A,0),MATCH("Name",WEAP!$A$1:$BF$1,0))</f>
        <v>Primal Aqua</v>
      </c>
      <c r="E1852" s="693"/>
      <c r="F1852" s="693"/>
      <c r="G1852" s="694"/>
      <c r="I1852" s="241" t="str">
        <f>+INDEX(WEAP!$A:$AN,MATCH(B1853,WEAP!$A:$A,0),MATCH("Weapon Skill",WEAP!$A$1:$BF$1,0))</f>
        <v>Ultimate Aqua</v>
      </c>
      <c r="J1852" s="243">
        <f>INDEX('W-S'!$A:$N,MATCH(I1852,'W-S'!$C:$C,0),MATCH("SP Cost",'W-S'!$1:$1,0))</f>
        <v>6418</v>
      </c>
      <c r="K1852" s="9"/>
      <c r="L1852" s="241" t="str">
        <f>+I1852</f>
        <v>Ultimate Aqua</v>
      </c>
      <c r="M1852" s="243">
        <f>INDEX('W-S'!$A:$N,MATCH(L1852,'W-S'!$C:$C,0),MATCH("SP Cost V3",'W-S'!$1:$1,0))</f>
        <v>6000</v>
      </c>
    </row>
    <row r="1853" spans="1:13" ht="22.5" customHeight="1" x14ac:dyDescent="0.35">
      <c r="B1853" s="238" t="str">
        <f>+INDEX(WEAP!$A:$AN,MATCH(B1852,WEAP!$B:$B,0),MATCH("ID",WEAP!$A$1:$BF$1,0))</f>
        <v>301160_01</v>
      </c>
      <c r="C1853" s="240"/>
      <c r="D1853" s="692" t="str">
        <f>+INDEX(WEAP!$A:$AN,MATCH(B1852,WEAP!$B:$B,0),MATCH("Family",WEAP!$A$1:$BF$1,0))&amp;" Weapon"</f>
        <v>Primal Weapon</v>
      </c>
      <c r="E1853" s="693"/>
      <c r="F1853" s="693"/>
      <c r="G1853" s="694"/>
      <c r="H1853" s="8"/>
      <c r="I1853" s="458" t="str">
        <f>INDEX('W-S'!$A:$O,MATCH(I1852,'W-S'!$C:$C,0),MATCH("Description",'W-S'!$1:$1,0))</f>
        <v>Deals 3 hits of 248% water damage to surrounding enemies, increases the user's strength by 20% for 15 seconds, and grants them the "Primal Dragalia" effect for 90 seconds. Primal Dragalia increases the user's strength by 15% and their attack rate by 5%. Primal Dragalia will not stack.</v>
      </c>
      <c r="J1853" s="460"/>
      <c r="K1853" s="239"/>
      <c r="L1853" s="711" t="str">
        <f>INDEX('W-S'!$A:$O,MATCH(I1852,'W-S'!$C:$C,0),MATCH("Description V3",'W-S'!$1:$1,0))</f>
        <v>Deals 3 hits of 500% water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853" s="712"/>
    </row>
    <row r="1854" spans="1:13" ht="22.5" x14ac:dyDescent="0.2">
      <c r="B1854" s="701" t="e" vm="285">
        <f>+_xlfn.IMAGE("https://natalie.tf/wp-content/uploads/2023/10/DLV3_Icon_Weapon_"&amp;B1853&amp;".png")</f>
        <v>#VALUE!</v>
      </c>
      <c r="C1854" s="240"/>
      <c r="D1854" s="692" t="str">
        <f>INDEX(WEAP!$A:$AN,MATCH(B1853,WEAP!$A:$A,0),MATCH("Element",WEAP!$A$1:$BF$1,0))&amp;" "&amp;INDEX(WEAP!$A:$AN,MATCH(B1853,WEAP!$A:$A,0),MATCH("Type",WEAP!$A$1:$BF$1,0))</f>
        <v>Water Sword</v>
      </c>
      <c r="E1854" s="693"/>
      <c r="F1854" s="693"/>
      <c r="G1854" s="694"/>
      <c r="H1854" s="8"/>
      <c r="I1854" s="461"/>
      <c r="J1854" s="463"/>
      <c r="K1854" s="9"/>
      <c r="L1854" s="713"/>
      <c r="M1854" s="714"/>
    </row>
    <row r="1855" spans="1:13" ht="22.5" x14ac:dyDescent="0.35">
      <c r="B1855" s="702"/>
      <c r="C1855" s="239"/>
      <c r="D1855" s="703" t="s">
        <v>10760</v>
      </c>
      <c r="E1855" s="704"/>
      <c r="F1855" s="235" t="s">
        <v>10761</v>
      </c>
      <c r="G1855" s="235" t="s">
        <v>10762</v>
      </c>
      <c r="I1855" s="461"/>
      <c r="J1855" s="463"/>
      <c r="K1855" s="239"/>
      <c r="L1855" s="713"/>
      <c r="M1855" s="714"/>
    </row>
    <row r="1856" spans="1:13" ht="22.5" x14ac:dyDescent="0.35">
      <c r="B1856" s="702"/>
      <c r="C1856" s="239"/>
      <c r="D1856" s="705" t="s">
        <v>96</v>
      </c>
      <c r="E1856" s="706"/>
      <c r="F1856" s="236">
        <f>INDEX(WEAP!$A:$AN,MATCH(B1853,WEAP!$A:$A,0),MATCH("HP",WEAP!$A$1:$BF$1,0))</f>
        <v>284</v>
      </c>
      <c r="G1856" s="237">
        <f>INDEX(WEAP!$A:$AN,MATCH(B1853,WEAP!$A:$A,0),MATCH("HP V3",WEAP!$A$1:$BF$1,0))</f>
        <v>285</v>
      </c>
      <c r="I1856" s="461"/>
      <c r="J1856" s="463"/>
      <c r="K1856" s="239"/>
      <c r="L1856" s="713"/>
      <c r="M1856" s="714"/>
    </row>
    <row r="1857" spans="1:13" ht="22.5" x14ac:dyDescent="0.35">
      <c r="B1857" s="702"/>
      <c r="C1857" s="239"/>
      <c r="D1857" s="707" t="s">
        <v>97</v>
      </c>
      <c r="E1857" s="708"/>
      <c r="F1857" s="236">
        <f>INDEX(WEAP!$A:$AN,MATCH(B1853,WEAP!$A:$A,0),MATCH("Str",WEAP!$A$1:$BF$1,0))</f>
        <v>1764</v>
      </c>
      <c r="G1857" s="237">
        <f>INDEX(WEAP!$A:$AN,MATCH(B1853,WEAP!$A:$A,0),MATCH("Str V3",WEAP!$A$1:$BF$1,0))</f>
        <v>1765</v>
      </c>
      <c r="I1857" s="464"/>
      <c r="J1857" s="466"/>
      <c r="K1857" s="239"/>
      <c r="L1857" s="715"/>
      <c r="M1857" s="716"/>
    </row>
    <row r="1858" spans="1:13" ht="33.75" customHeight="1" x14ac:dyDescent="0.2">
      <c r="A1858" t="s">
        <v>10763</v>
      </c>
    </row>
    <row r="1859" spans="1:13" ht="22.5" x14ac:dyDescent="0.35">
      <c r="A1859" s="244" t="str">
        <f>TEXT(A1852+1,"000")</f>
        <v>266</v>
      </c>
      <c r="B1859" s="238" t="str">
        <f>"W-"&amp;A1859</f>
        <v>W-266</v>
      </c>
      <c r="C1859" s="239"/>
      <c r="D1859" s="692" t="str">
        <f>+INDEX(WEAP!$A:$AN,MATCH(B1860,WEAP!$A:$A,0),MATCH("Name",WEAP!$A$1:$BF$1,0))</f>
        <v>Calamitous Torrent</v>
      </c>
      <c r="E1859" s="693"/>
      <c r="F1859" s="693"/>
      <c r="G1859" s="694"/>
      <c r="I1859" s="241" t="str">
        <f>+INDEX(WEAP!$A:$AN,MATCH(B1860,WEAP!$A:$A,0),MATCH("Weapon Skill",WEAP!$A$1:$BF$1,0))</f>
        <v>Tempestuous Blade</v>
      </c>
      <c r="J1859" s="243">
        <f>INDEX('W-S'!$A:$N,MATCH(I1859,'W-S'!$C:$C,0),MATCH("SP Cost",'W-S'!$1:$1,0))</f>
        <v>7227</v>
      </c>
      <c r="K1859" s="9"/>
      <c r="L1859" s="241" t="str">
        <f>+I1859</f>
        <v>Tempestuous Blade</v>
      </c>
      <c r="M1859" s="243">
        <f>INDEX('W-S'!$A:$N,MATCH(L1859,'W-S'!$C:$C,0),MATCH("SP Cost V3",'W-S'!$1:$1,0))</f>
        <v>6000</v>
      </c>
    </row>
    <row r="1860" spans="1:13" ht="22.5" customHeight="1" x14ac:dyDescent="0.35">
      <c r="B1860" s="238" t="str">
        <f>+INDEX(WEAP!$A:$AN,MATCH(B1859,WEAP!$B:$B,0),MATCH("ID",WEAP!$A$1:$BF$1,0))</f>
        <v>302149_01</v>
      </c>
      <c r="C1860" s="240"/>
      <c r="D1860" s="692" t="str">
        <f>+INDEX(WEAP!$A:$AN,MATCH(B1859,WEAP!$B:$B,0),MATCH("Family",WEAP!$A$1:$BF$1,0))&amp;" Weapon"</f>
        <v>Primal Weapon</v>
      </c>
      <c r="E1860" s="693"/>
      <c r="F1860" s="693"/>
      <c r="G1860" s="694"/>
      <c r="H1860" s="8"/>
      <c r="I1860" s="458" t="str">
        <f>INDEX('W-S'!$A:$O,MATCH(I1859,'W-S'!$C:$C,0),MATCH("Description",'W-S'!$1:$1,0))</f>
        <v>Deals 3 hits of 354% water damage to enemies in a line, increases the user's strength by 20% for 15 seconds, and grants them the "Primal Dragalia" effect for 90 seconds. Primal Dragalia increases the user's strength by 15% and their attack rate by 5%. Primal Dragalia will not stack.</v>
      </c>
      <c r="J1860" s="460"/>
      <c r="K1860" s="239"/>
      <c r="L1860" s="711" t="str">
        <f>INDEX('W-S'!$A:$O,MATCH(I1859,'W-S'!$C:$C,0),MATCH("Description V3",'W-S'!$1:$1,0))</f>
        <v>Deals 3 hits of 500% water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860" s="712"/>
    </row>
    <row r="1861" spans="1:13" ht="22.5" x14ac:dyDescent="0.2">
      <c r="B1861" s="701" t="e" vm="286">
        <f>+_xlfn.IMAGE("https://natalie.tf/wp-content/uploads/2023/10/DLV3_Icon_Weapon_"&amp;B1860&amp;".png")</f>
        <v>#VALUE!</v>
      </c>
      <c r="C1861" s="240"/>
      <c r="D1861" s="692" t="str">
        <f>INDEX(WEAP!$A:$AN,MATCH(B1860,WEAP!$A:$A,0),MATCH("Element",WEAP!$A$1:$BF$1,0))&amp;" "&amp;INDEX(WEAP!$A:$AN,MATCH(B1860,WEAP!$A:$A,0),MATCH("Type",WEAP!$A$1:$BF$1,0))</f>
        <v>Water Blade</v>
      </c>
      <c r="E1861" s="693"/>
      <c r="F1861" s="693"/>
      <c r="G1861" s="694"/>
      <c r="H1861" s="8"/>
      <c r="I1861" s="461"/>
      <c r="J1861" s="463"/>
      <c r="K1861" s="9"/>
      <c r="L1861" s="713"/>
      <c r="M1861" s="714"/>
    </row>
    <row r="1862" spans="1:13" ht="22.5" x14ac:dyDescent="0.35">
      <c r="B1862" s="702"/>
      <c r="C1862" s="239"/>
      <c r="D1862" s="703" t="s">
        <v>10760</v>
      </c>
      <c r="E1862" s="704"/>
      <c r="F1862" s="235" t="s">
        <v>10761</v>
      </c>
      <c r="G1862" s="235" t="s">
        <v>10762</v>
      </c>
      <c r="I1862" s="461"/>
      <c r="J1862" s="463"/>
      <c r="K1862" s="239"/>
      <c r="L1862" s="713"/>
      <c r="M1862" s="714"/>
    </row>
    <row r="1863" spans="1:13" ht="22.5" x14ac:dyDescent="0.35">
      <c r="B1863" s="702"/>
      <c r="C1863" s="239"/>
      <c r="D1863" s="705" t="s">
        <v>96</v>
      </c>
      <c r="E1863" s="706"/>
      <c r="F1863" s="236">
        <f>INDEX(WEAP!$A:$AN,MATCH(B1860,WEAP!$A:$A,0),MATCH("HP",WEAP!$A$1:$BF$1,0))</f>
        <v>251</v>
      </c>
      <c r="G1863" s="237">
        <f>INDEX(WEAP!$A:$AN,MATCH(B1860,WEAP!$A:$A,0),MATCH("HP V3",WEAP!$A$1:$BF$1,0))</f>
        <v>255</v>
      </c>
      <c r="I1863" s="461"/>
      <c r="J1863" s="463"/>
      <c r="K1863" s="239"/>
      <c r="L1863" s="713"/>
      <c r="M1863" s="714"/>
    </row>
    <row r="1864" spans="1:13" ht="22.5" x14ac:dyDescent="0.35">
      <c r="B1864" s="702"/>
      <c r="C1864" s="239"/>
      <c r="D1864" s="707" t="s">
        <v>97</v>
      </c>
      <c r="E1864" s="708"/>
      <c r="F1864" s="236">
        <f>INDEX(WEAP!$A:$AN,MATCH(B1860,WEAP!$A:$A,0),MATCH("Str",WEAP!$A$1:$BF$1,0))</f>
        <v>1870</v>
      </c>
      <c r="G1864" s="237">
        <f>INDEX(WEAP!$A:$AN,MATCH(B1860,WEAP!$A:$A,0),MATCH("Str V3",WEAP!$A$1:$BF$1,0))</f>
        <v>1870</v>
      </c>
      <c r="I1864" s="464"/>
      <c r="J1864" s="466"/>
      <c r="K1864" s="239"/>
      <c r="L1864" s="715"/>
      <c r="M1864" s="716"/>
    </row>
    <row r="1865" spans="1:13" s="245" customFormat="1" ht="7.5" customHeight="1" x14ac:dyDescent="0.2">
      <c r="A1865" s="245" t="s">
        <v>10763</v>
      </c>
    </row>
    <row r="1866" spans="1:13" ht="22.5" x14ac:dyDescent="0.35">
      <c r="A1866" s="242" t="str">
        <f>TEXT(A1859+1,"000")</f>
        <v>267</v>
      </c>
      <c r="B1866" s="238" t="str">
        <f>"W-"&amp;A1866</f>
        <v>W-267</v>
      </c>
      <c r="C1866" s="239"/>
      <c r="D1866" s="692" t="str">
        <f>+INDEX(WEAP!$A:$AN,MATCH(B1867,WEAP!$A:$A,0),MATCH("Name",WEAP!$A$1:$BF$1,0))</f>
        <v>Tideruler's Fang</v>
      </c>
      <c r="E1866" s="693"/>
      <c r="F1866" s="693"/>
      <c r="G1866" s="694"/>
      <c r="I1866" s="241" t="str">
        <f>+INDEX(WEAP!$A:$AN,MATCH(B1867,WEAP!$A:$A,0),MATCH("Weapon Skill",WEAP!$A$1:$BF$1,0))</f>
        <v>Fierce Tideruler</v>
      </c>
      <c r="J1866" s="243">
        <f>INDEX('W-S'!$A:$N,MATCH(I1866,'W-S'!$C:$C,0),MATCH("SP Cost",'W-S'!$1:$1,0))</f>
        <v>6590</v>
      </c>
      <c r="K1866" s="9"/>
      <c r="L1866" s="241" t="str">
        <f>+I1866</f>
        <v>Fierce Tideruler</v>
      </c>
      <c r="M1866" s="243">
        <f>INDEX('W-S'!$A:$N,MATCH(L1866,'W-S'!$C:$C,0),MATCH("SP Cost V3",'W-S'!$1:$1,0))</f>
        <v>6000</v>
      </c>
    </row>
    <row r="1867" spans="1:13" ht="22.5" customHeight="1" x14ac:dyDescent="0.35">
      <c r="B1867" s="238" t="str">
        <f>+INDEX(WEAP!$A:$AN,MATCH(B1866,WEAP!$B:$B,0),MATCH("ID",WEAP!$A$1:$BF$1,0))</f>
        <v>303148_01</v>
      </c>
      <c r="C1867" s="240"/>
      <c r="D1867" s="692" t="str">
        <f>+INDEX(WEAP!$A:$AN,MATCH(B1866,WEAP!$B:$B,0),MATCH("Family",WEAP!$A$1:$BF$1,0))&amp;" Weapon"</f>
        <v>Primal Weapon</v>
      </c>
      <c r="E1867" s="693"/>
      <c r="F1867" s="693"/>
      <c r="G1867" s="694"/>
      <c r="H1867" s="8"/>
      <c r="I1867" s="458" t="str">
        <f>INDEX('W-S'!$A:$O,MATCH(I1866,'W-S'!$C:$C,0),MATCH("Description",'W-S'!$1:$1,0))</f>
        <v>Deals 8 hits of 115% water damage to enemies directly ahead, increases the user's strength by 20% for 15 seconds, and grants them the "Primal Dragalia" effect for 90 seconds. Primal Dragalia increases the user's strength by 15% and their attack rate by 5%. Primal Dragalia will not stack.</v>
      </c>
      <c r="J1867" s="460"/>
      <c r="K1867" s="239"/>
      <c r="L1867" s="711" t="str">
        <f>INDEX('W-S'!$A:$O,MATCH(I1866,'W-S'!$C:$C,0),MATCH("Description V3",'W-S'!$1:$1,0))</f>
        <v>Deals 8 hits of 187% water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867" s="712"/>
    </row>
    <row r="1868" spans="1:13" ht="22.5" x14ac:dyDescent="0.2">
      <c r="B1868" s="701" t="e" vm="287">
        <f>+_xlfn.IMAGE("https://natalie.tf/wp-content/uploads/2023/10/DLV3_Icon_Weapon_"&amp;B1867&amp;".png")</f>
        <v>#VALUE!</v>
      </c>
      <c r="C1868" s="240"/>
      <c r="D1868" s="692" t="str">
        <f>INDEX(WEAP!$A:$AN,MATCH(B1867,WEAP!$A:$A,0),MATCH("Element",WEAP!$A$1:$BF$1,0))&amp;" "&amp;INDEX(WEAP!$A:$AN,MATCH(B1867,WEAP!$A:$A,0),MATCH("Type",WEAP!$A$1:$BF$1,0))</f>
        <v>Water Dagger</v>
      </c>
      <c r="E1868" s="693"/>
      <c r="F1868" s="693"/>
      <c r="G1868" s="694"/>
      <c r="H1868" s="8"/>
      <c r="I1868" s="461"/>
      <c r="J1868" s="463"/>
      <c r="K1868" s="9"/>
      <c r="L1868" s="713"/>
      <c r="M1868" s="714"/>
    </row>
    <row r="1869" spans="1:13" ht="22.5" x14ac:dyDescent="0.35">
      <c r="B1869" s="702"/>
      <c r="C1869" s="239"/>
      <c r="D1869" s="703" t="s">
        <v>10760</v>
      </c>
      <c r="E1869" s="704"/>
      <c r="F1869" s="235" t="s">
        <v>10761</v>
      </c>
      <c r="G1869" s="235" t="s">
        <v>10762</v>
      </c>
      <c r="I1869" s="461"/>
      <c r="J1869" s="463"/>
      <c r="K1869" s="239"/>
      <c r="L1869" s="713"/>
      <c r="M1869" s="714"/>
    </row>
    <row r="1870" spans="1:13" ht="22.5" x14ac:dyDescent="0.35">
      <c r="B1870" s="702"/>
      <c r="C1870" s="239"/>
      <c r="D1870" s="705" t="s">
        <v>96</v>
      </c>
      <c r="E1870" s="706"/>
      <c r="F1870" s="236">
        <f>INDEX(WEAP!$A:$AN,MATCH(B1867,WEAP!$A:$A,0),MATCH("HP",WEAP!$A$1:$BF$1,0))</f>
        <v>287</v>
      </c>
      <c r="G1870" s="237">
        <f>INDEX(WEAP!$A:$AN,MATCH(B1867,WEAP!$A:$A,0),MATCH("HP V3",WEAP!$A$1:$BF$1,0))</f>
        <v>290</v>
      </c>
      <c r="I1870" s="461"/>
      <c r="J1870" s="463"/>
      <c r="K1870" s="239"/>
      <c r="L1870" s="713"/>
      <c r="M1870" s="714"/>
    </row>
    <row r="1871" spans="1:13" ht="22.5" x14ac:dyDescent="0.35">
      <c r="B1871" s="702"/>
      <c r="C1871" s="239"/>
      <c r="D1871" s="707" t="s">
        <v>97</v>
      </c>
      <c r="E1871" s="708"/>
      <c r="F1871" s="236">
        <f>INDEX(WEAP!$A:$AN,MATCH(B1867,WEAP!$A:$A,0),MATCH("Str",WEAP!$A$1:$BF$1,0))</f>
        <v>1728</v>
      </c>
      <c r="G1871" s="237">
        <f>INDEX(WEAP!$A:$AN,MATCH(B1867,WEAP!$A:$A,0),MATCH("Str V3",WEAP!$A$1:$BF$1,0))</f>
        <v>1730</v>
      </c>
      <c r="I1871" s="464"/>
      <c r="J1871" s="466"/>
      <c r="K1871" s="239"/>
      <c r="L1871" s="715"/>
      <c r="M1871" s="716"/>
    </row>
    <row r="1872" spans="1:13" s="245" customFormat="1" ht="7.5" customHeight="1" x14ac:dyDescent="0.2">
      <c r="A1872" s="245" t="s">
        <v>10763</v>
      </c>
    </row>
    <row r="1873" spans="1:13" ht="22.5" x14ac:dyDescent="0.35">
      <c r="A1873" s="244" t="str">
        <f>TEXT(A1866+1,"000")</f>
        <v>268</v>
      </c>
      <c r="B1873" s="238" t="str">
        <f>"W-"&amp;A1873</f>
        <v>W-268</v>
      </c>
      <c r="C1873" s="239"/>
      <c r="D1873" s="692" t="str">
        <f>+INDEX(WEAP!$A:$AN,MATCH(B1874,WEAP!$A:$A,0),MATCH("Name",WEAP!$A$1:$BF$1,0))</f>
        <v>Mercy's Jeweled Tide</v>
      </c>
      <c r="E1873" s="693"/>
      <c r="F1873" s="693"/>
      <c r="G1873" s="694"/>
      <c r="I1873" s="241" t="str">
        <f>+INDEX(WEAP!$A:$AN,MATCH(B1874,WEAP!$A:$A,0),MATCH("Weapon Skill",WEAP!$A$1:$BF$1,0))</f>
        <v>Mercy's Jeweled Embrace</v>
      </c>
      <c r="J1873" s="243">
        <f>INDEX('W-S'!$A:$N,MATCH(I1873,'W-S'!$C:$C,0),MATCH("SP Cost",'W-S'!$1:$1,0))</f>
        <v>8260</v>
      </c>
      <c r="K1873" s="9"/>
      <c r="L1873" s="241" t="str">
        <f>+I1873</f>
        <v>Mercy's Jeweled Embrace</v>
      </c>
      <c r="M1873" s="243">
        <f>INDEX('W-S'!$A:$N,MATCH(L1873,'W-S'!$C:$C,0),MATCH("SP Cost V3",'W-S'!$1:$1,0))</f>
        <v>6000</v>
      </c>
    </row>
    <row r="1874" spans="1:13" ht="22.5" customHeight="1" x14ac:dyDescent="0.35">
      <c r="B1874" s="238" t="str">
        <f>+INDEX(WEAP!$A:$AN,MATCH(B1873,WEAP!$B:$B,0),MATCH("ID",WEAP!$A$1:$BF$1,0))</f>
        <v>304145_01</v>
      </c>
      <c r="C1874" s="240"/>
      <c r="D1874" s="692" t="str">
        <f>+INDEX(WEAP!$A:$AN,MATCH(B1873,WEAP!$B:$B,0),MATCH("Family",WEAP!$A$1:$BF$1,0))&amp;" Weapon"</f>
        <v>Primal Weapon</v>
      </c>
      <c r="E1874" s="693"/>
      <c r="F1874" s="693"/>
      <c r="G1874" s="694"/>
      <c r="H1874" s="8"/>
      <c r="I1874" s="458" t="str">
        <f>INDEX('W-S'!$A:$O,MATCH(I1873,'W-S'!$C:$C,0),MATCH("Description",'W-S'!$1:$1,0))</f>
        <v>Deals 5 hits of 226% water damage to enemies directly ahead, increases the user's strength by 20% for 15 seconds, and grants them the "Primal Dragalia" effect for 90 seconds. Primal Dragalia increases the user's strength by 15% and their attack rate by 5%. Primal Dragalia will not stack.</v>
      </c>
      <c r="J1874" s="460"/>
      <c r="K1874" s="239"/>
      <c r="L1874" s="711" t="str">
        <f>INDEX('W-S'!$A:$O,MATCH(I1873,'W-S'!$C:$C,0),MATCH("Description V3",'W-S'!$1:$1,0))</f>
        <v>Deals 5 hits of 300% water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874" s="712"/>
    </row>
    <row r="1875" spans="1:13" ht="22.5" x14ac:dyDescent="0.2">
      <c r="B1875" s="701" t="e" vm="288">
        <f>+_xlfn.IMAGE("https://natalie.tf/wp-content/uploads/2023/10/DLV3_Icon_Weapon_"&amp;B1874&amp;".png")</f>
        <v>#VALUE!</v>
      </c>
      <c r="C1875" s="240"/>
      <c r="D1875" s="692" t="str">
        <f>INDEX(WEAP!$A:$AN,MATCH(B1874,WEAP!$A:$A,0),MATCH("Element",WEAP!$A$1:$BF$1,0))&amp;" "&amp;INDEX(WEAP!$A:$AN,MATCH(B1874,WEAP!$A:$A,0),MATCH("Type",WEAP!$A$1:$BF$1,0))</f>
        <v>Water Axe</v>
      </c>
      <c r="E1875" s="693"/>
      <c r="F1875" s="693"/>
      <c r="G1875" s="694"/>
      <c r="H1875" s="8"/>
      <c r="I1875" s="461"/>
      <c r="J1875" s="463"/>
      <c r="K1875" s="9"/>
      <c r="L1875" s="713"/>
      <c r="M1875" s="714"/>
    </row>
    <row r="1876" spans="1:13" ht="22.5" x14ac:dyDescent="0.35">
      <c r="B1876" s="702"/>
      <c r="C1876" s="239"/>
      <c r="D1876" s="703" t="s">
        <v>10760</v>
      </c>
      <c r="E1876" s="704"/>
      <c r="F1876" s="235" t="s">
        <v>10761</v>
      </c>
      <c r="G1876" s="235" t="s">
        <v>10762</v>
      </c>
      <c r="I1876" s="461"/>
      <c r="J1876" s="463"/>
      <c r="K1876" s="239"/>
      <c r="L1876" s="713"/>
      <c r="M1876" s="714"/>
    </row>
    <row r="1877" spans="1:13" ht="22.5" x14ac:dyDescent="0.35">
      <c r="B1877" s="702"/>
      <c r="C1877" s="239"/>
      <c r="D1877" s="705" t="s">
        <v>96</v>
      </c>
      <c r="E1877" s="706"/>
      <c r="F1877" s="236">
        <f>INDEX(WEAP!$A:$AN,MATCH(B1874,WEAP!$A:$A,0),MATCH("HP",WEAP!$A$1:$BF$1,0))</f>
        <v>292</v>
      </c>
      <c r="G1877" s="237">
        <f>INDEX(WEAP!$A:$AN,MATCH(B1874,WEAP!$A:$A,0),MATCH("HP V3",WEAP!$A$1:$BF$1,0))</f>
        <v>300</v>
      </c>
      <c r="I1877" s="461"/>
      <c r="J1877" s="463"/>
      <c r="K1877" s="239"/>
      <c r="L1877" s="713"/>
      <c r="M1877" s="714"/>
    </row>
    <row r="1878" spans="1:13" ht="22.5" x14ac:dyDescent="0.35">
      <c r="B1878" s="702"/>
      <c r="C1878" s="239"/>
      <c r="D1878" s="707" t="s">
        <v>97</v>
      </c>
      <c r="E1878" s="708"/>
      <c r="F1878" s="236">
        <f>INDEX(WEAP!$A:$AN,MATCH(B1874,WEAP!$A:$A,0),MATCH("Str",WEAP!$A$1:$BF$1,0))</f>
        <v>1852</v>
      </c>
      <c r="G1878" s="237">
        <f>INDEX(WEAP!$A:$AN,MATCH(B1874,WEAP!$A:$A,0),MATCH("Str V3",WEAP!$A$1:$BF$1,0))</f>
        <v>1855</v>
      </c>
      <c r="I1878" s="464"/>
      <c r="J1878" s="466"/>
      <c r="K1878" s="239"/>
      <c r="L1878" s="715"/>
      <c r="M1878" s="716"/>
    </row>
    <row r="1879" spans="1:13" s="245" customFormat="1" ht="7.5" customHeight="1" x14ac:dyDescent="0.2">
      <c r="A1879" s="245" t="s">
        <v>10763</v>
      </c>
    </row>
    <row r="1880" spans="1:13" ht="22.5" x14ac:dyDescent="0.35">
      <c r="A1880" s="244" t="str">
        <f>TEXT(A1873+1,"000")</f>
        <v>269</v>
      </c>
      <c r="B1880" s="238" t="str">
        <f>"W-"&amp;A1880</f>
        <v>W-269</v>
      </c>
      <c r="C1880" s="239"/>
      <c r="D1880" s="692" t="str">
        <f>+INDEX(WEAP!$A:$AN,MATCH(B1881,WEAP!$A:$A,0),MATCH("Name",WEAP!$A$1:$BF$1,0))</f>
        <v>Limpid Cascade</v>
      </c>
      <c r="E1880" s="693"/>
      <c r="F1880" s="693"/>
      <c r="G1880" s="694"/>
      <c r="I1880" s="241" t="str">
        <f>+INDEX(WEAP!$A:$AN,MATCH(B1881,WEAP!$A:$A,0),MATCH("Weapon Skill",WEAP!$A$1:$BF$1,0))</f>
        <v>Limpid Cove</v>
      </c>
      <c r="J1880" s="243">
        <f>INDEX('W-S'!$A:$N,MATCH(I1880,'W-S'!$C:$C,0),MATCH("SP Cost",'W-S'!$1:$1,0))</f>
        <v>6762</v>
      </c>
      <c r="K1880" s="9"/>
      <c r="L1880" s="241" t="str">
        <f>+I1880</f>
        <v>Limpid Cove</v>
      </c>
      <c r="M1880" s="243">
        <f>INDEX('W-S'!$A:$N,MATCH(L1880,'W-S'!$C:$C,0),MATCH("SP Cost V3",'W-S'!$1:$1,0))</f>
        <v>6000</v>
      </c>
    </row>
    <row r="1881" spans="1:13" ht="22.5" customHeight="1" x14ac:dyDescent="0.35">
      <c r="B1881" s="238" t="str">
        <f>+INDEX(WEAP!$A:$AN,MATCH(B1880,WEAP!$B:$B,0),MATCH("ID",WEAP!$A$1:$BF$1,0))</f>
        <v>305155_01</v>
      </c>
      <c r="C1881" s="240"/>
      <c r="D1881" s="692" t="str">
        <f>+INDEX(WEAP!$A:$AN,MATCH(B1880,WEAP!$B:$B,0),MATCH("Family",WEAP!$A$1:$BF$1,0))&amp;" Weapon"</f>
        <v>Primal Weapon</v>
      </c>
      <c r="E1881" s="693"/>
      <c r="F1881" s="693"/>
      <c r="G1881" s="694"/>
      <c r="H1881" s="8"/>
      <c r="I1881" s="458" t="str">
        <f>INDEX('W-S'!$A:$O,MATCH(I1880,'W-S'!$C:$C,0),MATCH("Description",'W-S'!$1:$1,0))</f>
        <v>Deals 2 hits of 414% water damage to surrounding enemies, increases the user's strength by 20% for 15 seconds, and grants them the "Primal Dragalia" effect for 90 seconds. Primal Dragalia increases the user's strength by 15% and their attack rate by 5%. Primal Dragalia will not stack.</v>
      </c>
      <c r="J1881" s="460"/>
      <c r="K1881" s="239"/>
      <c r="L1881" s="711" t="str">
        <f>INDEX('W-S'!$A:$O,MATCH(I1880,'W-S'!$C:$C,0),MATCH("Description V3",'W-S'!$1:$1,0))</f>
        <v>Deals 2 hits of 750% water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881" s="712"/>
    </row>
    <row r="1882" spans="1:13" ht="22.5" x14ac:dyDescent="0.2">
      <c r="B1882" s="701" t="e" vm="289">
        <f>+_xlfn.IMAGE("https://natalie.tf/wp-content/uploads/2023/10/DLV3_Icon_Weapon_"&amp;B1881&amp;".png")</f>
        <v>#VALUE!</v>
      </c>
      <c r="C1882" s="240"/>
      <c r="D1882" s="692" t="str">
        <f>INDEX(WEAP!$A:$AN,MATCH(B1881,WEAP!$A:$A,0),MATCH("Element",WEAP!$A$1:$BF$1,0))&amp;" "&amp;INDEX(WEAP!$A:$AN,MATCH(B1881,WEAP!$A:$A,0),MATCH("Type",WEAP!$A$1:$BF$1,0))</f>
        <v>Water Lance</v>
      </c>
      <c r="E1882" s="693"/>
      <c r="F1882" s="693"/>
      <c r="G1882" s="694"/>
      <c r="H1882" s="8"/>
      <c r="I1882" s="461"/>
      <c r="J1882" s="463"/>
      <c r="K1882" s="9"/>
      <c r="L1882" s="713"/>
      <c r="M1882" s="714"/>
    </row>
    <row r="1883" spans="1:13" ht="22.5" x14ac:dyDescent="0.35">
      <c r="B1883" s="702"/>
      <c r="C1883" s="239"/>
      <c r="D1883" s="703" t="s">
        <v>10760</v>
      </c>
      <c r="E1883" s="704"/>
      <c r="F1883" s="235" t="s">
        <v>10761</v>
      </c>
      <c r="G1883" s="235" t="s">
        <v>10762</v>
      </c>
      <c r="I1883" s="461"/>
      <c r="J1883" s="463"/>
      <c r="K1883" s="239"/>
      <c r="L1883" s="713"/>
      <c r="M1883" s="714"/>
    </row>
    <row r="1884" spans="1:13" ht="22.5" x14ac:dyDescent="0.35">
      <c r="B1884" s="702"/>
      <c r="C1884" s="239"/>
      <c r="D1884" s="705" t="s">
        <v>96</v>
      </c>
      <c r="E1884" s="706"/>
      <c r="F1884" s="236">
        <f>INDEX(WEAP!$A:$AN,MATCH(B1881,WEAP!$A:$A,0),MATCH("HP",WEAP!$A$1:$BF$1,0))</f>
        <v>290</v>
      </c>
      <c r="G1884" s="237">
        <f>INDEX(WEAP!$A:$AN,MATCH(B1881,WEAP!$A:$A,0),MATCH("HP V3",WEAP!$A$1:$BF$1,0))</f>
        <v>290</v>
      </c>
      <c r="I1884" s="461"/>
      <c r="J1884" s="463"/>
      <c r="K1884" s="239"/>
      <c r="L1884" s="713"/>
      <c r="M1884" s="714"/>
    </row>
    <row r="1885" spans="1:13" ht="22.5" x14ac:dyDescent="0.35">
      <c r="B1885" s="702"/>
      <c r="C1885" s="239"/>
      <c r="D1885" s="707" t="s">
        <v>97</v>
      </c>
      <c r="E1885" s="708"/>
      <c r="F1885" s="236">
        <f>INDEX(WEAP!$A:$AN,MATCH(B1881,WEAP!$A:$A,0),MATCH("Str",WEAP!$A$1:$BF$1,0))</f>
        <v>1799</v>
      </c>
      <c r="G1885" s="237">
        <f>INDEX(WEAP!$A:$AN,MATCH(B1881,WEAP!$A:$A,0),MATCH("Str V3",WEAP!$A$1:$BF$1,0))</f>
        <v>1800</v>
      </c>
      <c r="I1885" s="464"/>
      <c r="J1885" s="466"/>
      <c r="K1885" s="239"/>
      <c r="L1885" s="715"/>
      <c r="M1885" s="716"/>
    </row>
    <row r="1886" spans="1:13" s="245" customFormat="1" ht="7.5" customHeight="1" x14ac:dyDescent="0.2">
      <c r="A1886" s="245" t="s">
        <v>10763</v>
      </c>
    </row>
    <row r="1887" spans="1:13" ht="22.5" x14ac:dyDescent="0.35">
      <c r="A1887" s="244" t="str">
        <f>TEXT(A1880+1,"000")</f>
        <v>270</v>
      </c>
      <c r="B1887" s="238" t="str">
        <f>"W-"&amp;A1887</f>
        <v>W-270</v>
      </c>
      <c r="C1887" s="239"/>
      <c r="D1887" s="692" t="str">
        <f>+INDEX(WEAP!$A:$AN,MATCH(B1888,WEAP!$A:$A,0),MATCH("Name",WEAP!$A$1:$BF$1,0))</f>
        <v>Sapphire Mercurius</v>
      </c>
      <c r="E1887" s="693"/>
      <c r="F1887" s="693"/>
      <c r="G1887" s="694"/>
      <c r="I1887" s="241" t="str">
        <f>+INDEX(WEAP!$A:$AN,MATCH(B1888,WEAP!$A:$A,0),MATCH("Weapon Skill",WEAP!$A$1:$BF$1,0))</f>
        <v>Mercurius's Omniscience</v>
      </c>
      <c r="J1887" s="243">
        <f>INDEX('W-S'!$A:$N,MATCH(I1887,'W-S'!$C:$C,0),MATCH("SP Cost",'W-S'!$1:$1,0))</f>
        <v>7267</v>
      </c>
      <c r="K1887" s="9"/>
      <c r="L1887" s="241" t="str">
        <f>+I1887</f>
        <v>Mercurius's Omniscience</v>
      </c>
      <c r="M1887" s="243">
        <f>INDEX('W-S'!$A:$N,MATCH(L1887,'W-S'!$C:$C,0),MATCH("SP Cost V3",'W-S'!$1:$1,0))</f>
        <v>6000</v>
      </c>
    </row>
    <row r="1888" spans="1:13" ht="22.5" customHeight="1" x14ac:dyDescent="0.35">
      <c r="B1888" s="238" t="str">
        <f>+INDEX(WEAP!$A:$AN,MATCH(B1887,WEAP!$B:$B,0),MATCH("ID",WEAP!$A$1:$BF$1,0))</f>
        <v>306147_01</v>
      </c>
      <c r="C1888" s="240"/>
      <c r="D1888" s="692" t="str">
        <f>+INDEX(WEAP!$A:$AN,MATCH(B1887,WEAP!$B:$B,0),MATCH("Family",WEAP!$A$1:$BF$1,0))&amp;" Weapon"</f>
        <v>Primal Weapon</v>
      </c>
      <c r="E1888" s="693"/>
      <c r="F1888" s="693"/>
      <c r="G1888" s="694"/>
      <c r="H1888" s="8"/>
      <c r="I1888" s="458" t="str">
        <f>INDEX('W-S'!$A:$O,MATCH(I1887,'W-S'!$C:$C,0),MATCH("Description",'W-S'!$1:$1,0))</f>
        <v>Deals 1 hit of 949% water damage to the target, increases the user's strength by 20% for 15 seconds, and grants them the "Primal Dragalia" effect for 90 seconds. Primal Dragalia increases the user's strength by 15% and their attack rate by 5%. Primal Dragalia will not stack.</v>
      </c>
      <c r="J1888" s="460"/>
      <c r="K1888" s="239"/>
      <c r="L1888" s="711" t="str">
        <f>INDEX('W-S'!$A:$O,MATCH(I1887,'W-S'!$C:$C,0),MATCH("Description V3",'W-S'!$1:$1,0))</f>
        <v>Deals 1 hit of 1500% water damage to the target,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888" s="712"/>
    </row>
    <row r="1889" spans="1:13" ht="22.5" x14ac:dyDescent="0.2">
      <c r="B1889" s="701" t="e" vm="290">
        <f>+_xlfn.IMAGE("https://natalie.tf/wp-content/uploads/2023/10/DLV3_Icon_Weapon_"&amp;B1888&amp;".png")</f>
        <v>#VALUE!</v>
      </c>
      <c r="C1889" s="240"/>
      <c r="D1889" s="692" t="str">
        <f>INDEX(WEAP!$A:$AN,MATCH(B1888,WEAP!$A:$A,0),MATCH("Element",WEAP!$A$1:$BF$1,0))&amp;" "&amp;INDEX(WEAP!$A:$AN,MATCH(B1888,WEAP!$A:$A,0),MATCH("Type",WEAP!$A$1:$BF$1,0))</f>
        <v>Water Bow</v>
      </c>
      <c r="E1889" s="693"/>
      <c r="F1889" s="693"/>
      <c r="G1889" s="694"/>
      <c r="H1889" s="8"/>
      <c r="I1889" s="461"/>
      <c r="J1889" s="463"/>
      <c r="K1889" s="9"/>
      <c r="L1889" s="713"/>
      <c r="M1889" s="714"/>
    </row>
    <row r="1890" spans="1:13" ht="22.5" x14ac:dyDescent="0.35">
      <c r="B1890" s="702"/>
      <c r="C1890" s="239"/>
      <c r="D1890" s="703" t="s">
        <v>10760</v>
      </c>
      <c r="E1890" s="704"/>
      <c r="F1890" s="235" t="s">
        <v>10761</v>
      </c>
      <c r="G1890" s="235" t="s">
        <v>10762</v>
      </c>
      <c r="I1890" s="461"/>
      <c r="J1890" s="463"/>
      <c r="K1890" s="239"/>
      <c r="L1890" s="713"/>
      <c r="M1890" s="714"/>
    </row>
    <row r="1891" spans="1:13" ht="22.5" x14ac:dyDescent="0.35">
      <c r="B1891" s="702"/>
      <c r="C1891" s="239"/>
      <c r="D1891" s="705" t="s">
        <v>96</v>
      </c>
      <c r="E1891" s="706"/>
      <c r="F1891" s="236">
        <f>INDEX(WEAP!$A:$AN,MATCH(B1888,WEAP!$A:$A,0),MATCH("HP",WEAP!$A$1:$BF$1,0))</f>
        <v>278</v>
      </c>
      <c r="G1891" s="237">
        <f>INDEX(WEAP!$A:$AN,MATCH(B1888,WEAP!$A:$A,0),MATCH("HP V3",WEAP!$A$1:$BF$1,0))</f>
        <v>280</v>
      </c>
      <c r="I1891" s="461"/>
      <c r="J1891" s="463"/>
      <c r="K1891" s="239"/>
      <c r="L1891" s="713"/>
      <c r="M1891" s="714"/>
    </row>
    <row r="1892" spans="1:13" ht="22.5" x14ac:dyDescent="0.35">
      <c r="B1892" s="702"/>
      <c r="C1892" s="239"/>
      <c r="D1892" s="707" t="s">
        <v>97</v>
      </c>
      <c r="E1892" s="708"/>
      <c r="F1892" s="236">
        <f>INDEX(WEAP!$A:$AN,MATCH(B1888,WEAP!$A:$A,0),MATCH("Str",WEAP!$A$1:$BF$1,0))</f>
        <v>1694</v>
      </c>
      <c r="G1892" s="237">
        <f>INDEX(WEAP!$A:$AN,MATCH(B1888,WEAP!$A:$A,0),MATCH("Str V3",WEAP!$A$1:$BF$1,0))</f>
        <v>1700</v>
      </c>
      <c r="I1892" s="464"/>
      <c r="J1892" s="466"/>
      <c r="K1892" s="239"/>
      <c r="L1892" s="715"/>
      <c r="M1892" s="716"/>
    </row>
    <row r="1893" spans="1:13" ht="33.75" customHeight="1" x14ac:dyDescent="0.2">
      <c r="A1893" t="s">
        <v>10763</v>
      </c>
    </row>
    <row r="1894" spans="1:13" ht="22.5" x14ac:dyDescent="0.35">
      <c r="A1894" s="244" t="str">
        <f>TEXT(A1887+1,"000")</f>
        <v>271</v>
      </c>
      <c r="B1894" s="238" t="str">
        <f>"W-"&amp;A1894</f>
        <v>W-271</v>
      </c>
      <c r="C1894" s="239"/>
      <c r="D1894" s="692" t="str">
        <f>+INDEX(WEAP!$A:$AN,MATCH(B1895,WEAP!$A:$A,0),MATCH("Name",WEAP!$A$1:$BF$1,0))</f>
        <v>Aqueous Prison</v>
      </c>
      <c r="E1894" s="693"/>
      <c r="F1894" s="693"/>
      <c r="G1894" s="694"/>
      <c r="I1894" s="241" t="str">
        <f>+INDEX(WEAP!$A:$AN,MATCH(B1895,WEAP!$A:$A,0),MATCH("Weapon Skill",WEAP!$A$1:$BF$1,0))</f>
        <v>Repressing Riptide</v>
      </c>
      <c r="J1894" s="243">
        <f>INDEX('W-S'!$A:$N,MATCH(I1894,'W-S'!$C:$C,0),MATCH("SP Cost",'W-S'!$1:$1,0))</f>
        <v>7635</v>
      </c>
      <c r="K1894" s="9"/>
      <c r="L1894" s="241" t="str">
        <f>+I1894</f>
        <v>Repressing Riptide</v>
      </c>
      <c r="M1894" s="243">
        <f>INDEX('W-S'!$A:$N,MATCH(L1894,'W-S'!$C:$C,0),MATCH("SP Cost V3",'W-S'!$1:$1,0))</f>
        <v>6000</v>
      </c>
    </row>
    <row r="1895" spans="1:13" ht="22.5" customHeight="1" x14ac:dyDescent="0.35">
      <c r="B1895" s="238" t="str">
        <f>+INDEX(WEAP!$A:$AN,MATCH(B1894,WEAP!$B:$B,0),MATCH("ID",WEAP!$A$1:$BF$1,0))</f>
        <v>307154_01</v>
      </c>
      <c r="C1895" s="240"/>
      <c r="D1895" s="692" t="str">
        <f>+INDEX(WEAP!$A:$AN,MATCH(B1894,WEAP!$B:$B,0),MATCH("Family",WEAP!$A$1:$BF$1,0))&amp;" Weapon"</f>
        <v>Primal Weapon</v>
      </c>
      <c r="E1895" s="693"/>
      <c r="F1895" s="693"/>
      <c r="G1895" s="694"/>
      <c r="H1895" s="8"/>
      <c r="I1895" s="458" t="str">
        <f>INDEX('W-S'!$A:$O,MATCH(I1894,'W-S'!$C:$C,0),MATCH("Description",'W-S'!$1:$1,0))</f>
        <v>Deals 4 hits of 243% water damage to enemies in a line, increases the user's strength by 20% for 15 seconds, and grants them the "Primal Dragalia" effect for 90 seconds. Primal Dragalia increases the user's strength by 15% and their attack rate by 5%. Primal Dragalia will not stack.</v>
      </c>
      <c r="J1895" s="460"/>
      <c r="K1895" s="239"/>
      <c r="L1895" s="711" t="str">
        <f>INDEX('W-S'!$A:$O,MATCH(I1894,'W-S'!$C:$C,0),MATCH("Description V3",'W-S'!$1:$1,0))</f>
        <v>Deals 4 hits of 375% water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895" s="712"/>
    </row>
    <row r="1896" spans="1:13" ht="22.5" x14ac:dyDescent="0.2">
      <c r="B1896" s="701" t="e" vm="291">
        <f>+_xlfn.IMAGE("https://natalie.tf/wp-content/uploads/2023/10/DLV3_Icon_Weapon_"&amp;B1895&amp;".png")</f>
        <v>#VALUE!</v>
      </c>
      <c r="C1896" s="240"/>
      <c r="D1896" s="692" t="str">
        <f>INDEX(WEAP!$A:$AN,MATCH(B1895,WEAP!$A:$A,0),MATCH("Element",WEAP!$A$1:$BF$1,0))&amp;" "&amp;INDEX(WEAP!$A:$AN,MATCH(B1895,WEAP!$A:$A,0),MATCH("Type",WEAP!$A$1:$BF$1,0))</f>
        <v>Water Wand</v>
      </c>
      <c r="E1896" s="693"/>
      <c r="F1896" s="693"/>
      <c r="G1896" s="694"/>
      <c r="H1896" s="8"/>
      <c r="I1896" s="461"/>
      <c r="J1896" s="463"/>
      <c r="K1896" s="9"/>
      <c r="L1896" s="713"/>
      <c r="M1896" s="714"/>
    </row>
    <row r="1897" spans="1:13" ht="22.5" x14ac:dyDescent="0.35">
      <c r="B1897" s="702"/>
      <c r="C1897" s="239"/>
      <c r="D1897" s="703" t="s">
        <v>10760</v>
      </c>
      <c r="E1897" s="704"/>
      <c r="F1897" s="235" t="s">
        <v>10761</v>
      </c>
      <c r="G1897" s="235" t="s">
        <v>10762</v>
      </c>
      <c r="I1897" s="461"/>
      <c r="J1897" s="463"/>
      <c r="K1897" s="239"/>
      <c r="L1897" s="713"/>
      <c r="M1897" s="714"/>
    </row>
    <row r="1898" spans="1:13" ht="22.5" x14ac:dyDescent="0.35">
      <c r="B1898" s="702"/>
      <c r="C1898" s="239"/>
      <c r="D1898" s="705" t="s">
        <v>96</v>
      </c>
      <c r="E1898" s="706"/>
      <c r="F1898" s="236">
        <f>INDEX(WEAP!$A:$AN,MATCH(B1895,WEAP!$A:$A,0),MATCH("HP",WEAP!$A$1:$BF$1,0))</f>
        <v>268</v>
      </c>
      <c r="G1898" s="237">
        <f>INDEX(WEAP!$A:$AN,MATCH(B1895,WEAP!$A:$A,0),MATCH("HP V3",WEAP!$A$1:$BF$1,0))</f>
        <v>275</v>
      </c>
      <c r="I1898" s="461"/>
      <c r="J1898" s="463"/>
      <c r="K1898" s="239"/>
      <c r="L1898" s="713"/>
      <c r="M1898" s="714"/>
    </row>
    <row r="1899" spans="1:13" ht="22.5" x14ac:dyDescent="0.35">
      <c r="B1899" s="702"/>
      <c r="C1899" s="239"/>
      <c r="D1899" s="707" t="s">
        <v>97</v>
      </c>
      <c r="E1899" s="708"/>
      <c r="F1899" s="236">
        <f>INDEX(WEAP!$A:$AN,MATCH(B1895,WEAP!$A:$A,0),MATCH("Str",WEAP!$A$1:$BF$1,0))</f>
        <v>1817</v>
      </c>
      <c r="G1899" s="237">
        <f>INDEX(WEAP!$A:$AN,MATCH(B1895,WEAP!$A:$A,0),MATCH("Str V3",WEAP!$A$1:$BF$1,0))</f>
        <v>1820</v>
      </c>
      <c r="I1899" s="464"/>
      <c r="J1899" s="466"/>
      <c r="K1899" s="239"/>
      <c r="L1899" s="715"/>
      <c r="M1899" s="716"/>
    </row>
    <row r="1900" spans="1:13" s="245" customFormat="1" ht="7.5" customHeight="1" x14ac:dyDescent="0.2">
      <c r="A1900" s="245" t="s">
        <v>10763</v>
      </c>
    </row>
    <row r="1901" spans="1:13" ht="22.5" x14ac:dyDescent="0.35">
      <c r="A1901" s="242" t="str">
        <f>TEXT(A1894+1,"000")</f>
        <v>272</v>
      </c>
      <c r="B1901" s="238" t="str">
        <f>"W-"&amp;A1901</f>
        <v>W-272</v>
      </c>
      <c r="C1901" s="239"/>
      <c r="D1901" s="717" t="str">
        <f>+INDEX(WEAP!$A:$AN,MATCH(B1902,WEAP!$A:$A,0),MATCH("Name",WEAP!$A$1:$BF$1,0))</f>
        <v>Ruler of the Jeweled Tide</v>
      </c>
      <c r="E1901" s="718"/>
      <c r="F1901" s="718"/>
      <c r="G1901" s="719"/>
      <c r="I1901" s="241" t="str">
        <f>+INDEX(WEAP!$A:$AN,MATCH(B1902,WEAP!$A:$A,0),MATCH("Weapon Skill",WEAP!$A$1:$BF$1,0))</f>
        <v>Reign of the Deep</v>
      </c>
      <c r="J1901" s="243">
        <f>INDEX('W-S'!$A:$N,MATCH(I1901,'W-S'!$C:$C,0),MATCH("SP Cost",'W-S'!$1:$1,0))</f>
        <v>13684</v>
      </c>
      <c r="K1901" s="9"/>
      <c r="L1901" s="241" t="str">
        <f>+I1901</f>
        <v>Reign of the Deep</v>
      </c>
      <c r="M1901" s="243">
        <f>INDEX('W-S'!$A:$N,MATCH(L1901,'W-S'!$C:$C,0),MATCH("SP Cost V3",'W-S'!$1:$1,0))</f>
        <v>6000</v>
      </c>
    </row>
    <row r="1902" spans="1:13" ht="22.5" customHeight="1" x14ac:dyDescent="0.35">
      <c r="B1902" s="238" t="str">
        <f>+INDEX(WEAP!$A:$AN,MATCH(B1901,WEAP!$B:$B,0),MATCH("ID",WEAP!$A$1:$BF$1,0))</f>
        <v>308146_01</v>
      </c>
      <c r="C1902" s="240"/>
      <c r="D1902" s="692" t="str">
        <f>+INDEX(WEAP!$A:$AN,MATCH(B1901,WEAP!$B:$B,0),MATCH("Family",WEAP!$A$1:$BF$1,0))&amp;" Weapon"</f>
        <v>Primal Weapon</v>
      </c>
      <c r="E1902" s="693"/>
      <c r="F1902" s="693"/>
      <c r="G1902" s="694"/>
      <c r="H1902" s="8"/>
      <c r="I1902" s="458" t="str">
        <f>INDEX('W-S'!$A:$O,MATCH(I1901,'W-S'!$C:$C,0),MATCH("Description",'W-S'!$1:$1,0))</f>
        <v>Deals 4 hits of 143% water damage to enemies in a line, increases the user's strength by 20% for 15 seconds, and grants them the "Primal Dragalia" effect for 90 seconds. Primal Dragalia increases the user's strength by 15% and their attack rate by 5%. Primal Dragalia will not stack.</v>
      </c>
      <c r="J1902" s="460"/>
      <c r="K1902" s="239"/>
      <c r="L1902" s="711" t="str">
        <f>INDEX('W-S'!$A:$O,MATCH(I1901,'W-S'!$C:$C,0),MATCH("Description V3",'W-S'!$1:$1,0))</f>
        <v>Deals 4 hits of 375% water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902" s="712"/>
    </row>
    <row r="1903" spans="1:13" ht="22.5" x14ac:dyDescent="0.2">
      <c r="B1903" s="701" t="e" vm="292">
        <f>+_xlfn.IMAGE("https://natalie.tf/wp-content/uploads/2023/10/DLV3_Icon_Weapon_"&amp;B1902&amp;".png")</f>
        <v>#VALUE!</v>
      </c>
      <c r="C1903" s="240"/>
      <c r="D1903" s="692" t="str">
        <f>INDEX(WEAP!$A:$AN,MATCH(B1902,WEAP!$A:$A,0),MATCH("Element",WEAP!$A$1:$BF$1,0))&amp;" "&amp;INDEX(WEAP!$A:$AN,MATCH(B1902,WEAP!$A:$A,0),MATCH("Type",WEAP!$A$1:$BF$1,0))</f>
        <v>Water Staff</v>
      </c>
      <c r="E1903" s="693"/>
      <c r="F1903" s="693"/>
      <c r="G1903" s="694"/>
      <c r="H1903" s="8"/>
      <c r="I1903" s="461"/>
      <c r="J1903" s="463"/>
      <c r="K1903" s="9"/>
      <c r="L1903" s="713"/>
      <c r="M1903" s="714"/>
    </row>
    <row r="1904" spans="1:13" ht="22.5" x14ac:dyDescent="0.35">
      <c r="B1904" s="702"/>
      <c r="C1904" s="239"/>
      <c r="D1904" s="703" t="s">
        <v>10760</v>
      </c>
      <c r="E1904" s="704"/>
      <c r="F1904" s="235" t="s">
        <v>10761</v>
      </c>
      <c r="G1904" s="235" t="s">
        <v>10762</v>
      </c>
      <c r="I1904" s="461"/>
      <c r="J1904" s="463"/>
      <c r="K1904" s="239"/>
      <c r="L1904" s="713"/>
      <c r="M1904" s="714"/>
    </row>
    <row r="1905" spans="1:13" ht="22.5" x14ac:dyDescent="0.35">
      <c r="B1905" s="702"/>
      <c r="C1905" s="239"/>
      <c r="D1905" s="705" t="s">
        <v>96</v>
      </c>
      <c r="E1905" s="706"/>
      <c r="F1905" s="236">
        <f>INDEX(WEAP!$A:$AN,MATCH(B1902,WEAP!$A:$A,0),MATCH("HP",WEAP!$A$1:$BF$1,0))</f>
        <v>312</v>
      </c>
      <c r="G1905" s="237">
        <f>INDEX(WEAP!$A:$AN,MATCH(B1902,WEAP!$A:$A,0),MATCH("HP V3",WEAP!$A$1:$BF$1,0))</f>
        <v>325</v>
      </c>
      <c r="I1905" s="461"/>
      <c r="J1905" s="463"/>
      <c r="K1905" s="239"/>
      <c r="L1905" s="713"/>
      <c r="M1905" s="714"/>
    </row>
    <row r="1906" spans="1:13" ht="22.5" x14ac:dyDescent="0.35">
      <c r="B1906" s="702"/>
      <c r="C1906" s="239"/>
      <c r="D1906" s="707" t="s">
        <v>97</v>
      </c>
      <c r="E1906" s="708"/>
      <c r="F1906" s="236">
        <f>INDEX(WEAP!$A:$AN,MATCH(B1902,WEAP!$A:$A,0),MATCH("Str",WEAP!$A$1:$BF$1,0))</f>
        <v>1676</v>
      </c>
      <c r="G1906" s="237">
        <f>INDEX(WEAP!$A:$AN,MATCH(B1902,WEAP!$A:$A,0),MATCH("Str V3",WEAP!$A$1:$BF$1,0))</f>
        <v>1680</v>
      </c>
      <c r="I1906" s="464"/>
      <c r="J1906" s="466"/>
      <c r="K1906" s="239"/>
      <c r="L1906" s="715"/>
      <c r="M1906" s="716"/>
    </row>
    <row r="1907" spans="1:13" s="245" customFormat="1" ht="7.5" customHeight="1" x14ac:dyDescent="0.2">
      <c r="A1907" s="245" t="s">
        <v>10763</v>
      </c>
    </row>
    <row r="1908" spans="1:13" ht="22.5" x14ac:dyDescent="0.35">
      <c r="A1908" s="244" t="str">
        <f>TEXT(A1901+1,"000")</f>
        <v>273</v>
      </c>
      <c r="B1908" s="238" t="str">
        <f>"W-"&amp;A1908</f>
        <v>W-273</v>
      </c>
      <c r="C1908" s="239"/>
      <c r="D1908" s="692" t="str">
        <f>+INDEX(WEAP!$A:$AN,MATCH(B1909,WEAP!$A:$A,0),MATCH("Name",WEAP!$A$1:$BF$1,0))</f>
        <v>Aquamarine Trigger</v>
      </c>
      <c r="E1908" s="693"/>
      <c r="F1908" s="693"/>
      <c r="G1908" s="694"/>
      <c r="I1908" s="241" t="str">
        <f>+INDEX(WEAP!$A:$AN,MATCH(B1909,WEAP!$A:$A,0),MATCH("Weapon Skill",WEAP!$A$1:$BF$1,0))</f>
        <v>Aquamarine Shell</v>
      </c>
      <c r="J1908" s="243">
        <f>INDEX('W-S'!$A:$N,MATCH(I1908,'W-S'!$C:$C,0),MATCH("SP Cost",'W-S'!$1:$1,0))</f>
        <v>7316</v>
      </c>
      <c r="K1908" s="9"/>
      <c r="L1908" s="241" t="str">
        <f>+I1908</f>
        <v>Aquamarine Shell</v>
      </c>
      <c r="M1908" s="243">
        <f>INDEX('W-S'!$A:$N,MATCH(L1908,'W-S'!$C:$C,0),MATCH("SP Cost V3",'W-S'!$1:$1,0))</f>
        <v>6000</v>
      </c>
    </row>
    <row r="1909" spans="1:13" ht="22.5" customHeight="1" x14ac:dyDescent="0.35">
      <c r="B1909" s="238" t="str">
        <f>+INDEX(WEAP!$A:$AN,MATCH(B1908,WEAP!$B:$B,0),MATCH("ID",WEAP!$A$1:$BF$1,0))</f>
        <v>309042_01</v>
      </c>
      <c r="C1909" s="240"/>
      <c r="D1909" s="692" t="str">
        <f>+INDEX(WEAP!$A:$AN,MATCH(B1908,WEAP!$B:$B,0),MATCH("Family",WEAP!$A$1:$BF$1,0))&amp;" Weapon"</f>
        <v>Primal Weapon</v>
      </c>
      <c r="E1909" s="693"/>
      <c r="F1909" s="693"/>
      <c r="G1909" s="694"/>
      <c r="H1909" s="8"/>
      <c r="I1909" s="458" t="str">
        <f>INDEX('W-S'!$A:$O,MATCH(I1908,'W-S'!$C:$C,0),MATCH("Description",'W-S'!$1:$1,0))</f>
        <v>Deals 25 hits of 41% water damage to enemies directly ahead, increases the user's strength by 20% for 15 seconds, and grants them the "Primal Dragalia" effect for 90 seconds. Primal Dragalia increases the user's strength by 15% and their attack rate by 5%. Primal Dragalia will not stack.</v>
      </c>
      <c r="J1909" s="460"/>
      <c r="K1909" s="239"/>
      <c r="L1909" s="711" t="str">
        <f>INDEX('W-S'!$A:$O,MATCH(I1908,'W-S'!$C:$C,0),MATCH("Description V3",'W-S'!$1:$1,0))</f>
        <v>Deals 25 hits of 60% water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909" s="712"/>
    </row>
    <row r="1910" spans="1:13" ht="22.5" x14ac:dyDescent="0.2">
      <c r="B1910" s="701" t="e" vm="293">
        <f>+_xlfn.IMAGE("https://natalie.tf/wp-content/uploads/2023/10/DLV3_Icon_Weapon_"&amp;B1909&amp;".png")</f>
        <v>#VALUE!</v>
      </c>
      <c r="C1910" s="240"/>
      <c r="D1910" s="692" t="str">
        <f>INDEX(WEAP!$A:$AN,MATCH(B1909,WEAP!$A:$A,0),MATCH("Element",WEAP!$A$1:$BF$1,0))&amp;" "&amp;INDEX(WEAP!$A:$AN,MATCH(B1909,WEAP!$A:$A,0),MATCH("Type",WEAP!$A$1:$BF$1,0))</f>
        <v>Water Manacaster</v>
      </c>
      <c r="E1910" s="693"/>
      <c r="F1910" s="693"/>
      <c r="G1910" s="694"/>
      <c r="H1910" s="8"/>
      <c r="I1910" s="461"/>
      <c r="J1910" s="463"/>
      <c r="K1910" s="9"/>
      <c r="L1910" s="713"/>
      <c r="M1910" s="714"/>
    </row>
    <row r="1911" spans="1:13" ht="22.5" x14ac:dyDescent="0.35">
      <c r="B1911" s="702"/>
      <c r="C1911" s="239"/>
      <c r="D1911" s="703" t="s">
        <v>10760</v>
      </c>
      <c r="E1911" s="704"/>
      <c r="F1911" s="235" t="s">
        <v>10761</v>
      </c>
      <c r="G1911" s="235" t="s">
        <v>10762</v>
      </c>
      <c r="I1911" s="461"/>
      <c r="J1911" s="463"/>
      <c r="K1911" s="239"/>
      <c r="L1911" s="713"/>
      <c r="M1911" s="714"/>
    </row>
    <row r="1912" spans="1:13" ht="22.5" x14ac:dyDescent="0.35">
      <c r="B1912" s="702"/>
      <c r="C1912" s="239"/>
      <c r="D1912" s="705" t="s">
        <v>96</v>
      </c>
      <c r="E1912" s="706"/>
      <c r="F1912" s="236">
        <f>INDEX(WEAP!$A:$AN,MATCH(B1909,WEAP!$A:$A,0),MATCH("HP",WEAP!$A$1:$BF$1,0))</f>
        <v>275</v>
      </c>
      <c r="G1912" s="237">
        <f>INDEX(WEAP!$A:$AN,MATCH(B1909,WEAP!$A:$A,0),MATCH("HP V3",WEAP!$A$1:$BF$1,0))</f>
        <v>275</v>
      </c>
      <c r="I1912" s="461"/>
      <c r="J1912" s="463"/>
      <c r="K1912" s="239"/>
      <c r="L1912" s="713"/>
      <c r="M1912" s="714"/>
    </row>
    <row r="1913" spans="1:13" ht="22.5" x14ac:dyDescent="0.35">
      <c r="B1913" s="702"/>
      <c r="C1913" s="239"/>
      <c r="D1913" s="707" t="s">
        <v>97</v>
      </c>
      <c r="E1913" s="708"/>
      <c r="F1913" s="236">
        <f>INDEX(WEAP!$A:$AN,MATCH(B1909,WEAP!$A:$A,0),MATCH("Str",WEAP!$A$1:$BF$1,0))</f>
        <v>1835</v>
      </c>
      <c r="G1913" s="237">
        <f>INDEX(WEAP!$A:$AN,MATCH(B1909,WEAP!$A:$A,0),MATCH("Str V3",WEAP!$A$1:$BF$1,0))</f>
        <v>1835</v>
      </c>
      <c r="I1913" s="464"/>
      <c r="J1913" s="466"/>
      <c r="K1913" s="239"/>
      <c r="L1913" s="715"/>
      <c r="M1913" s="716"/>
    </row>
    <row r="1914" spans="1:13" s="245" customFormat="1" ht="7.5" customHeight="1" x14ac:dyDescent="0.2">
      <c r="A1914" s="245" t="s">
        <v>10763</v>
      </c>
    </row>
    <row r="1915" spans="1:13" ht="22.5" x14ac:dyDescent="0.35">
      <c r="A1915" s="244" t="str">
        <f>TEXT(A1908+1,"000")</f>
        <v>274</v>
      </c>
      <c r="B1915" s="238" t="str">
        <f>"W-"&amp;A1915</f>
        <v>W-274</v>
      </c>
      <c r="C1915" s="239"/>
      <c r="D1915" s="692" t="str">
        <f>+INDEX(WEAP!$A:$AN,MATCH(B1916,WEAP!$A:$A,0),MATCH("Name",WEAP!$A$1:$BF$1,0))</f>
        <v>Primal Tempest</v>
      </c>
      <c r="E1915" s="693"/>
      <c r="F1915" s="693"/>
      <c r="G1915" s="694"/>
      <c r="I1915" s="241" t="str">
        <f>+INDEX(WEAP!$A:$AN,MATCH(B1916,WEAP!$A:$A,0),MATCH("Weapon Skill",WEAP!$A$1:$BF$1,0))</f>
        <v>Ultimate Tempest</v>
      </c>
      <c r="J1915" s="243">
        <f>INDEX('W-S'!$A:$N,MATCH(I1915,'W-S'!$C:$C,0),MATCH("SP Cost",'W-S'!$1:$1,0))</f>
        <v>6418</v>
      </c>
      <c r="K1915" s="9"/>
      <c r="L1915" s="241" t="str">
        <f>+I1915</f>
        <v>Ultimate Tempest</v>
      </c>
      <c r="M1915" s="243">
        <f>INDEX('W-S'!$A:$N,MATCH(L1915,'W-S'!$C:$C,0),MATCH("SP Cost V3",'W-S'!$1:$1,0))</f>
        <v>6000</v>
      </c>
    </row>
    <row r="1916" spans="1:13" ht="22.5" customHeight="1" x14ac:dyDescent="0.35">
      <c r="B1916" s="238" t="str">
        <f>+INDEX(WEAP!$A:$AN,MATCH(B1915,WEAP!$B:$B,0),MATCH("ID",WEAP!$A$1:$BF$1,0))</f>
        <v>301161_01</v>
      </c>
      <c r="C1916" s="240"/>
      <c r="D1916" s="692" t="str">
        <f>+INDEX(WEAP!$A:$AN,MATCH(B1915,WEAP!$B:$B,0),MATCH("Family",WEAP!$A$1:$BF$1,0))&amp;" Weapon"</f>
        <v>Primal Weapon</v>
      </c>
      <c r="E1916" s="693"/>
      <c r="F1916" s="693"/>
      <c r="G1916" s="694"/>
      <c r="H1916" s="8"/>
      <c r="I1916" s="458" t="str">
        <f>INDEX('W-S'!$A:$O,MATCH(I1915,'W-S'!$C:$C,0),MATCH("Description",'W-S'!$1:$1,0))</f>
        <v>Deals 3 hits of 248% wind damage to surrounding enemies, increases the user's strength by 20% for 15 seconds, and grants them the "Primal Dragalia" effect for 90 seconds. Primal Dragalia increases the user's strength by 15% and their attack rate by 5%. Primal Dragalia will not stack.</v>
      </c>
      <c r="J1916" s="460"/>
      <c r="K1916" s="239"/>
      <c r="L1916" s="711" t="str">
        <f>INDEX('W-S'!$A:$O,MATCH(I1915,'W-S'!$C:$C,0),MATCH("Description V3",'W-S'!$1:$1,0))</f>
        <v>Deals 3 hits of 500% wind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916" s="712"/>
    </row>
    <row r="1917" spans="1:13" ht="22.5" x14ac:dyDescent="0.2">
      <c r="B1917" s="701" t="e" vm="294">
        <f>+_xlfn.IMAGE("https://natalie.tf/wp-content/uploads/2023/10/DLV3_Icon_Weapon_"&amp;B1916&amp;".png")</f>
        <v>#VALUE!</v>
      </c>
      <c r="C1917" s="240"/>
      <c r="D1917" s="692" t="str">
        <f>INDEX(WEAP!$A:$AN,MATCH(B1916,WEAP!$A:$A,0),MATCH("Element",WEAP!$A$1:$BF$1,0))&amp;" "&amp;INDEX(WEAP!$A:$AN,MATCH(B1916,WEAP!$A:$A,0),MATCH("Type",WEAP!$A$1:$BF$1,0))</f>
        <v>Wind Sword</v>
      </c>
      <c r="E1917" s="693"/>
      <c r="F1917" s="693"/>
      <c r="G1917" s="694"/>
      <c r="H1917" s="8"/>
      <c r="I1917" s="461"/>
      <c r="J1917" s="463"/>
      <c r="K1917" s="9"/>
      <c r="L1917" s="713"/>
      <c r="M1917" s="714"/>
    </row>
    <row r="1918" spans="1:13" ht="22.5" x14ac:dyDescent="0.35">
      <c r="B1918" s="702"/>
      <c r="C1918" s="239"/>
      <c r="D1918" s="703" t="s">
        <v>10760</v>
      </c>
      <c r="E1918" s="704"/>
      <c r="F1918" s="235" t="s">
        <v>10761</v>
      </c>
      <c r="G1918" s="235" t="s">
        <v>10762</v>
      </c>
      <c r="I1918" s="461"/>
      <c r="J1918" s="463"/>
      <c r="K1918" s="239"/>
      <c r="L1918" s="713"/>
      <c r="M1918" s="714"/>
    </row>
    <row r="1919" spans="1:13" ht="22.5" x14ac:dyDescent="0.35">
      <c r="B1919" s="702"/>
      <c r="C1919" s="239"/>
      <c r="D1919" s="705" t="s">
        <v>96</v>
      </c>
      <c r="E1919" s="706"/>
      <c r="F1919" s="236">
        <f>INDEX(WEAP!$A:$AN,MATCH(B1916,WEAP!$A:$A,0),MATCH("HP",WEAP!$A$1:$BF$1,0))</f>
        <v>284</v>
      </c>
      <c r="G1919" s="237">
        <f>INDEX(WEAP!$A:$AN,MATCH(B1916,WEAP!$A:$A,0),MATCH("HP V3",WEAP!$A$1:$BF$1,0))</f>
        <v>285</v>
      </c>
      <c r="I1919" s="461"/>
      <c r="J1919" s="463"/>
      <c r="K1919" s="239"/>
      <c r="L1919" s="713"/>
      <c r="M1919" s="714"/>
    </row>
    <row r="1920" spans="1:13" ht="22.5" x14ac:dyDescent="0.35">
      <c r="B1920" s="702"/>
      <c r="C1920" s="239"/>
      <c r="D1920" s="707" t="s">
        <v>97</v>
      </c>
      <c r="E1920" s="708"/>
      <c r="F1920" s="236">
        <f>INDEX(WEAP!$A:$AN,MATCH(B1916,WEAP!$A:$A,0),MATCH("Str",WEAP!$A$1:$BF$1,0))</f>
        <v>1764</v>
      </c>
      <c r="G1920" s="237">
        <f>INDEX(WEAP!$A:$AN,MATCH(B1916,WEAP!$A:$A,0),MATCH("Str V3",WEAP!$A$1:$BF$1,0))</f>
        <v>1765</v>
      </c>
      <c r="I1920" s="464"/>
      <c r="J1920" s="466"/>
      <c r="K1920" s="239"/>
      <c r="L1920" s="715"/>
      <c r="M1920" s="716"/>
    </row>
    <row r="1921" spans="1:13" s="245" customFormat="1" ht="7.5" customHeight="1" x14ac:dyDescent="0.2">
      <c r="A1921" s="245" t="s">
        <v>10763</v>
      </c>
    </row>
    <row r="1922" spans="1:13" ht="22.5" x14ac:dyDescent="0.35">
      <c r="A1922" s="244" t="str">
        <f>TEXT(A1915+1,"000")</f>
        <v>275</v>
      </c>
      <c r="B1922" s="238" t="str">
        <f>"W-"&amp;A1922</f>
        <v>W-275</v>
      </c>
      <c r="C1922" s="239"/>
      <c r="D1922" s="692" t="str">
        <f>+INDEX(WEAP!$A:$AN,MATCH(B1923,WEAP!$A:$A,0),MATCH("Name",WEAP!$A$1:$BF$1,0))</f>
        <v>Noble Horizon</v>
      </c>
      <c r="E1922" s="693"/>
      <c r="F1922" s="693"/>
      <c r="G1922" s="694"/>
      <c r="I1922" s="241" t="str">
        <f>+INDEX(WEAP!$A:$AN,MATCH(B1923,WEAP!$A:$A,0),MATCH("Weapon Skill",WEAP!$A$1:$BF$1,0))</f>
        <v>Noble Blade</v>
      </c>
      <c r="J1922" s="243">
        <f>INDEX('W-S'!$A:$N,MATCH(I1922,'W-S'!$C:$C,0),MATCH("SP Cost",'W-S'!$1:$1,0))</f>
        <v>7582</v>
      </c>
      <c r="K1922" s="9"/>
      <c r="L1922" s="241" t="str">
        <f>+I1922</f>
        <v>Noble Blade</v>
      </c>
      <c r="M1922" s="243">
        <f>INDEX('W-S'!$A:$N,MATCH(L1922,'W-S'!$C:$C,0),MATCH("SP Cost V3",'W-S'!$1:$1,0))</f>
        <v>6000</v>
      </c>
    </row>
    <row r="1923" spans="1:13" ht="22.5" customHeight="1" x14ac:dyDescent="0.35">
      <c r="B1923" s="238" t="str">
        <f>+INDEX(WEAP!$A:$AN,MATCH(B1922,WEAP!$B:$B,0),MATCH("ID",WEAP!$A$1:$BF$1,0))</f>
        <v>302150_01</v>
      </c>
      <c r="C1923" s="240"/>
      <c r="D1923" s="692" t="str">
        <f>+INDEX(WEAP!$A:$AN,MATCH(B1922,WEAP!$B:$B,0),MATCH("Family",WEAP!$A$1:$BF$1,0))&amp;" Weapon"</f>
        <v>Primal Weapon</v>
      </c>
      <c r="E1923" s="693"/>
      <c r="F1923" s="693"/>
      <c r="G1923" s="694"/>
      <c r="H1923" s="8"/>
      <c r="I1923" s="458" t="str">
        <f>INDEX('W-S'!$A:$O,MATCH(I1922,'W-S'!$C:$C,0),MATCH("Description",'W-S'!$1:$1,0))</f>
        <v>Deals 1 hit of 957% wind damage to surrounding enemies, increases the user's strength by 20% for 15 seconds, and grants them the "Primal Dragalia" effect for 90 seconds. Primal Dragalia increases the user's strength by 15% and their attack rate by 5%. Primal Dragalia will not stack.</v>
      </c>
      <c r="J1923" s="460"/>
      <c r="K1923" s="239"/>
      <c r="L1923" s="711" t="str">
        <f>INDEX('W-S'!$A:$O,MATCH(I1922,'W-S'!$C:$C,0),MATCH("Description V3",'W-S'!$1:$1,0))</f>
        <v>Deals 1 hit of 1500% wind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923" s="712"/>
    </row>
    <row r="1924" spans="1:13" ht="22.5" x14ac:dyDescent="0.2">
      <c r="B1924" s="701" t="e" vm="295">
        <f>+_xlfn.IMAGE("https://natalie.tf/wp-content/uploads/2023/10/DLV3_Icon_Weapon_"&amp;B1923&amp;".png")</f>
        <v>#VALUE!</v>
      </c>
      <c r="C1924" s="240"/>
      <c r="D1924" s="692" t="str">
        <f>INDEX(WEAP!$A:$AN,MATCH(B1923,WEAP!$A:$A,0),MATCH("Element",WEAP!$A$1:$BF$1,0))&amp;" "&amp;INDEX(WEAP!$A:$AN,MATCH(B1923,WEAP!$A:$A,0),MATCH("Type",WEAP!$A$1:$BF$1,0))</f>
        <v>Wind Blade</v>
      </c>
      <c r="E1924" s="693"/>
      <c r="F1924" s="693"/>
      <c r="G1924" s="694"/>
      <c r="H1924" s="8"/>
      <c r="I1924" s="461"/>
      <c r="J1924" s="463"/>
      <c r="K1924" s="9"/>
      <c r="L1924" s="713"/>
      <c r="M1924" s="714"/>
    </row>
    <row r="1925" spans="1:13" ht="22.5" x14ac:dyDescent="0.35">
      <c r="B1925" s="702"/>
      <c r="C1925" s="239"/>
      <c r="D1925" s="703" t="s">
        <v>10760</v>
      </c>
      <c r="E1925" s="704"/>
      <c r="F1925" s="235" t="s">
        <v>10761</v>
      </c>
      <c r="G1925" s="235" t="s">
        <v>10762</v>
      </c>
      <c r="I1925" s="461"/>
      <c r="J1925" s="463"/>
      <c r="K1925" s="239"/>
      <c r="L1925" s="713"/>
      <c r="M1925" s="714"/>
    </row>
    <row r="1926" spans="1:13" ht="22.5" x14ac:dyDescent="0.35">
      <c r="B1926" s="702"/>
      <c r="C1926" s="239"/>
      <c r="D1926" s="705" t="s">
        <v>96</v>
      </c>
      <c r="E1926" s="706"/>
      <c r="F1926" s="236">
        <f>INDEX(WEAP!$A:$AN,MATCH(B1923,WEAP!$A:$A,0),MATCH("HP",WEAP!$A$1:$BF$1,0))</f>
        <v>251</v>
      </c>
      <c r="G1926" s="237">
        <f>INDEX(WEAP!$A:$AN,MATCH(B1923,WEAP!$A:$A,0),MATCH("HP V3",WEAP!$A$1:$BF$1,0))</f>
        <v>255</v>
      </c>
      <c r="I1926" s="461"/>
      <c r="J1926" s="463"/>
      <c r="K1926" s="239"/>
      <c r="L1926" s="713"/>
      <c r="M1926" s="714"/>
    </row>
    <row r="1927" spans="1:13" ht="22.5" x14ac:dyDescent="0.35">
      <c r="B1927" s="702"/>
      <c r="C1927" s="239"/>
      <c r="D1927" s="707" t="s">
        <v>97</v>
      </c>
      <c r="E1927" s="708"/>
      <c r="F1927" s="236">
        <f>INDEX(WEAP!$A:$AN,MATCH(B1923,WEAP!$A:$A,0),MATCH("Str",WEAP!$A$1:$BF$1,0))</f>
        <v>1870</v>
      </c>
      <c r="G1927" s="237">
        <f>INDEX(WEAP!$A:$AN,MATCH(B1923,WEAP!$A:$A,0),MATCH("Str V3",WEAP!$A$1:$BF$1,0))</f>
        <v>1870</v>
      </c>
      <c r="I1927" s="464"/>
      <c r="J1927" s="466"/>
      <c r="K1927" s="239"/>
      <c r="L1927" s="715"/>
      <c r="M1927" s="716"/>
    </row>
    <row r="1928" spans="1:13" ht="33.75" customHeight="1" x14ac:dyDescent="0.2">
      <c r="A1928" t="s">
        <v>10763</v>
      </c>
    </row>
    <row r="1929" spans="1:13" ht="22.5" x14ac:dyDescent="0.35">
      <c r="A1929" s="244" t="str">
        <f>TEXT(A1922+1,"000")</f>
        <v>276</v>
      </c>
      <c r="B1929" s="238" t="str">
        <f>"W-"&amp;A1929</f>
        <v>W-276</v>
      </c>
      <c r="C1929" s="239"/>
      <c r="D1929" s="692" t="str">
        <f>+INDEX(WEAP!$A:$AN,MATCH(B1930,WEAP!$A:$A,0),MATCH("Name",WEAP!$A$1:$BF$1,0))</f>
        <v>Windruler's Fang</v>
      </c>
      <c r="E1929" s="693"/>
      <c r="F1929" s="693"/>
      <c r="G1929" s="694"/>
      <c r="I1929" s="241" t="str">
        <f>+INDEX(WEAP!$A:$AN,MATCH(B1930,WEAP!$A:$A,0),MATCH("Weapon Skill",WEAP!$A$1:$BF$1,0))</f>
        <v>Ruthless Windruler</v>
      </c>
      <c r="J1929" s="243">
        <f>INDEX('W-S'!$A:$N,MATCH(I1929,'W-S'!$C:$C,0),MATCH("SP Cost",'W-S'!$1:$1,0))</f>
        <v>6145</v>
      </c>
      <c r="K1929" s="9"/>
      <c r="L1929" s="241" t="str">
        <f>+I1929</f>
        <v>Ruthless Windruler</v>
      </c>
      <c r="M1929" s="243">
        <f>INDEX('W-S'!$A:$N,MATCH(L1929,'W-S'!$C:$C,0),MATCH("SP Cost V3",'W-S'!$1:$1,0))</f>
        <v>6000</v>
      </c>
    </row>
    <row r="1930" spans="1:13" ht="22.5" customHeight="1" x14ac:dyDescent="0.35">
      <c r="B1930" s="238" t="str">
        <f>+INDEX(WEAP!$A:$AN,MATCH(B1929,WEAP!$B:$B,0),MATCH("ID",WEAP!$A$1:$BF$1,0))</f>
        <v>303149_01</v>
      </c>
      <c r="C1930" s="240"/>
      <c r="D1930" s="692" t="str">
        <f>+INDEX(WEAP!$A:$AN,MATCH(B1929,WEAP!$B:$B,0),MATCH("Family",WEAP!$A$1:$BF$1,0))&amp;" Weapon"</f>
        <v>Primal Weapon</v>
      </c>
      <c r="E1930" s="693"/>
      <c r="F1930" s="693"/>
      <c r="G1930" s="694"/>
      <c r="H1930" s="8"/>
      <c r="I1930" s="458" t="str">
        <f>INDEX('W-S'!$A:$O,MATCH(I1929,'W-S'!$C:$C,0),MATCH("Description",'W-S'!$1:$1,0))</f>
        <v>Deals 5 hits of 164% wind damage to enemies directly ahead, increases the user's strength by 20% for 15 seconds, and grants them the "Primal Dragalia" effect for 90 seconds. Primal Dragalia increases the user's strength by 15% and their attack rate by 5%. Primal Dragalia will not stack.</v>
      </c>
      <c r="J1930" s="460"/>
      <c r="K1930" s="239"/>
      <c r="L1930" s="711" t="str">
        <f>INDEX('W-S'!$A:$O,MATCH(I1929,'W-S'!$C:$C,0),MATCH("Description V3",'W-S'!$1:$1,0))</f>
        <v>Deals 5 hits of 300% wind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930" s="712"/>
    </row>
    <row r="1931" spans="1:13" ht="22.5" x14ac:dyDescent="0.2">
      <c r="B1931" s="701" t="e" vm="296">
        <f>+_xlfn.IMAGE("https://natalie.tf/wp-content/uploads/2023/10/DLV3_Icon_Weapon_"&amp;B1930&amp;".png")</f>
        <v>#VALUE!</v>
      </c>
      <c r="C1931" s="240"/>
      <c r="D1931" s="692" t="str">
        <f>INDEX(WEAP!$A:$AN,MATCH(B1930,WEAP!$A:$A,0),MATCH("Element",WEAP!$A$1:$BF$1,0))&amp;" "&amp;INDEX(WEAP!$A:$AN,MATCH(B1930,WEAP!$A:$A,0),MATCH("Type",WEAP!$A$1:$BF$1,0))</f>
        <v>Wind Dagger</v>
      </c>
      <c r="E1931" s="693"/>
      <c r="F1931" s="693"/>
      <c r="G1931" s="694"/>
      <c r="H1931" s="8"/>
      <c r="I1931" s="461"/>
      <c r="J1931" s="463"/>
      <c r="K1931" s="9"/>
      <c r="L1931" s="713"/>
      <c r="M1931" s="714"/>
    </row>
    <row r="1932" spans="1:13" ht="22.5" x14ac:dyDescent="0.35">
      <c r="B1932" s="702"/>
      <c r="C1932" s="239"/>
      <c r="D1932" s="703" t="s">
        <v>10760</v>
      </c>
      <c r="E1932" s="704"/>
      <c r="F1932" s="235" t="s">
        <v>10761</v>
      </c>
      <c r="G1932" s="235" t="s">
        <v>10762</v>
      </c>
      <c r="I1932" s="461"/>
      <c r="J1932" s="463"/>
      <c r="K1932" s="239"/>
      <c r="L1932" s="713"/>
      <c r="M1932" s="714"/>
    </row>
    <row r="1933" spans="1:13" ht="22.5" x14ac:dyDescent="0.35">
      <c r="B1933" s="702"/>
      <c r="C1933" s="239"/>
      <c r="D1933" s="705" t="s">
        <v>96</v>
      </c>
      <c r="E1933" s="706"/>
      <c r="F1933" s="236">
        <f>INDEX(WEAP!$A:$AN,MATCH(B1930,WEAP!$A:$A,0),MATCH("HP",WEAP!$A$1:$BF$1,0))</f>
        <v>287</v>
      </c>
      <c r="G1933" s="237">
        <f>INDEX(WEAP!$A:$AN,MATCH(B1930,WEAP!$A:$A,0),MATCH("HP V3",WEAP!$A$1:$BF$1,0))</f>
        <v>290</v>
      </c>
      <c r="I1933" s="461"/>
      <c r="J1933" s="463"/>
      <c r="K1933" s="239"/>
      <c r="L1933" s="713"/>
      <c r="M1933" s="714"/>
    </row>
    <row r="1934" spans="1:13" ht="22.5" x14ac:dyDescent="0.35">
      <c r="B1934" s="702"/>
      <c r="C1934" s="239"/>
      <c r="D1934" s="707" t="s">
        <v>97</v>
      </c>
      <c r="E1934" s="708"/>
      <c r="F1934" s="236">
        <f>INDEX(WEAP!$A:$AN,MATCH(B1930,WEAP!$A:$A,0),MATCH("Str",WEAP!$A$1:$BF$1,0))</f>
        <v>1728</v>
      </c>
      <c r="G1934" s="237">
        <f>INDEX(WEAP!$A:$AN,MATCH(B1930,WEAP!$A:$A,0),MATCH("Str V3",WEAP!$A$1:$BF$1,0))</f>
        <v>1730</v>
      </c>
      <c r="I1934" s="464"/>
      <c r="J1934" s="466"/>
      <c r="K1934" s="239"/>
      <c r="L1934" s="715"/>
      <c r="M1934" s="716"/>
    </row>
    <row r="1935" spans="1:13" s="245" customFormat="1" ht="7.5" customHeight="1" x14ac:dyDescent="0.2">
      <c r="A1935" s="245" t="s">
        <v>10763</v>
      </c>
    </row>
    <row r="1936" spans="1:13" ht="22.5" x14ac:dyDescent="0.35">
      <c r="A1936" s="242" t="str">
        <f>TEXT(A1929+1,"000")</f>
        <v>277</v>
      </c>
      <c r="B1936" s="238" t="str">
        <f>"W-"&amp;A1936</f>
        <v>W-277</v>
      </c>
      <c r="C1936" s="239"/>
      <c r="D1936" s="692" t="str">
        <f>+INDEX(WEAP!$A:$AN,MATCH(B1937,WEAP!$A:$A,0),MATCH("Name",WEAP!$A$1:$BF$1,0))</f>
        <v>Tempest's Guide</v>
      </c>
      <c r="E1936" s="693"/>
      <c r="F1936" s="693"/>
      <c r="G1936" s="694"/>
      <c r="I1936" s="241" t="str">
        <f>+INDEX(WEAP!$A:$AN,MATCH(B1937,WEAP!$A:$A,0),MATCH("Weapon Skill",WEAP!$A$1:$BF$1,0))</f>
        <v>Tempest's Wisdom</v>
      </c>
      <c r="J1936" s="243">
        <f>INDEX('W-S'!$A:$N,MATCH(I1936,'W-S'!$C:$C,0),MATCH("SP Cost",'W-S'!$1:$1,0))</f>
        <v>8895</v>
      </c>
      <c r="K1936" s="9"/>
      <c r="L1936" s="241" t="str">
        <f>+I1936</f>
        <v>Tempest's Wisdom</v>
      </c>
      <c r="M1936" s="243">
        <f>INDEX('W-S'!$A:$N,MATCH(L1936,'W-S'!$C:$C,0),MATCH("SP Cost V3",'W-S'!$1:$1,0))</f>
        <v>6000</v>
      </c>
    </row>
    <row r="1937" spans="1:13" ht="22.5" customHeight="1" x14ac:dyDescent="0.35">
      <c r="B1937" s="238" t="str">
        <f>+INDEX(WEAP!$A:$AN,MATCH(B1936,WEAP!$B:$B,0),MATCH("ID",WEAP!$A$1:$BF$1,0))</f>
        <v>304146_01</v>
      </c>
      <c r="C1937" s="240"/>
      <c r="D1937" s="692" t="str">
        <f>+INDEX(WEAP!$A:$AN,MATCH(B1936,WEAP!$B:$B,0),MATCH("Family",WEAP!$A$1:$BF$1,0))&amp;" Weapon"</f>
        <v>Primal Weapon</v>
      </c>
      <c r="E1937" s="693"/>
      <c r="F1937" s="693"/>
      <c r="G1937" s="694"/>
      <c r="H1937" s="8"/>
      <c r="I1937" s="458" t="str">
        <f>INDEX('W-S'!$A:$O,MATCH(I1936,'W-S'!$C:$C,0),MATCH("Description",'W-S'!$1:$1,0))</f>
        <v>Deals 3 hits of 418% wind damage to enemies directly ahead, increases the user's strength by 20% for 15 seconds, and grants them the "Primal Dragalia" effect for 90 seconds. Primal Dragalia increases the user's strength by 15% and their attack rate by 5%. Primal Dragalia will not stack.</v>
      </c>
      <c r="J1937" s="460"/>
      <c r="K1937" s="239"/>
      <c r="L1937" s="711" t="str">
        <f>INDEX('W-S'!$A:$O,MATCH(I1936,'W-S'!$C:$C,0),MATCH("Description V3",'W-S'!$1:$1,0))</f>
        <v>Deals 3 hits of 500% wind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937" s="712"/>
    </row>
    <row r="1938" spans="1:13" ht="22.5" x14ac:dyDescent="0.2">
      <c r="B1938" s="701" t="e" vm="297">
        <f>+_xlfn.IMAGE("https://natalie.tf/wp-content/uploads/2023/10/DLV3_Icon_Weapon_"&amp;B1937&amp;".png")</f>
        <v>#VALUE!</v>
      </c>
      <c r="C1938" s="240"/>
      <c r="D1938" s="692" t="str">
        <f>INDEX(WEAP!$A:$AN,MATCH(B1937,WEAP!$A:$A,0),MATCH("Element",WEAP!$A$1:$BF$1,0))&amp;" "&amp;INDEX(WEAP!$A:$AN,MATCH(B1937,WEAP!$A:$A,0),MATCH("Type",WEAP!$A$1:$BF$1,0))</f>
        <v>Wind Axe</v>
      </c>
      <c r="E1938" s="693"/>
      <c r="F1938" s="693"/>
      <c r="G1938" s="694"/>
      <c r="H1938" s="8"/>
      <c r="I1938" s="461"/>
      <c r="J1938" s="463"/>
      <c r="K1938" s="9"/>
      <c r="L1938" s="713"/>
      <c r="M1938" s="714"/>
    </row>
    <row r="1939" spans="1:13" ht="22.5" x14ac:dyDescent="0.35">
      <c r="B1939" s="702"/>
      <c r="C1939" s="239"/>
      <c r="D1939" s="703" t="s">
        <v>10760</v>
      </c>
      <c r="E1939" s="704"/>
      <c r="F1939" s="235" t="s">
        <v>10761</v>
      </c>
      <c r="G1939" s="235" t="s">
        <v>10762</v>
      </c>
      <c r="I1939" s="461"/>
      <c r="J1939" s="463"/>
      <c r="K1939" s="239"/>
      <c r="L1939" s="713"/>
      <c r="M1939" s="714"/>
    </row>
    <row r="1940" spans="1:13" ht="22.5" x14ac:dyDescent="0.35">
      <c r="B1940" s="702"/>
      <c r="C1940" s="239"/>
      <c r="D1940" s="705" t="s">
        <v>96</v>
      </c>
      <c r="E1940" s="706"/>
      <c r="F1940" s="236">
        <f>INDEX(WEAP!$A:$AN,MATCH(B1937,WEAP!$A:$A,0),MATCH("HP",WEAP!$A$1:$BF$1,0))</f>
        <v>292</v>
      </c>
      <c r="G1940" s="237">
        <f>INDEX(WEAP!$A:$AN,MATCH(B1937,WEAP!$A:$A,0),MATCH("HP V3",WEAP!$A$1:$BF$1,0))</f>
        <v>300</v>
      </c>
      <c r="I1940" s="461"/>
      <c r="J1940" s="463"/>
      <c r="K1940" s="239"/>
      <c r="L1940" s="713"/>
      <c r="M1940" s="714"/>
    </row>
    <row r="1941" spans="1:13" ht="22.5" x14ac:dyDescent="0.35">
      <c r="B1941" s="702"/>
      <c r="C1941" s="239"/>
      <c r="D1941" s="707" t="s">
        <v>97</v>
      </c>
      <c r="E1941" s="708"/>
      <c r="F1941" s="236">
        <f>INDEX(WEAP!$A:$AN,MATCH(B1937,WEAP!$A:$A,0),MATCH("Str",WEAP!$A$1:$BF$1,0))</f>
        <v>1852</v>
      </c>
      <c r="G1941" s="237">
        <f>INDEX(WEAP!$A:$AN,MATCH(B1937,WEAP!$A:$A,0),MATCH("Str V3",WEAP!$A$1:$BF$1,0))</f>
        <v>1855</v>
      </c>
      <c r="I1941" s="464"/>
      <c r="J1941" s="466"/>
      <c r="K1941" s="239"/>
      <c r="L1941" s="715"/>
      <c r="M1941" s="716"/>
    </row>
    <row r="1942" spans="1:13" s="245" customFormat="1" ht="7.5" customHeight="1" x14ac:dyDescent="0.2">
      <c r="A1942" s="245" t="s">
        <v>10763</v>
      </c>
    </row>
    <row r="1943" spans="1:13" ht="22.5" x14ac:dyDescent="0.35">
      <c r="A1943" s="244" t="str">
        <f>TEXT(A1936+1,"000")</f>
        <v>278</v>
      </c>
      <c r="B1943" s="238" t="str">
        <f>"W-"&amp;A1943</f>
        <v>W-278</v>
      </c>
      <c r="C1943" s="239"/>
      <c r="D1943" s="692" t="str">
        <f>+INDEX(WEAP!$A:$AN,MATCH(B1944,WEAP!$A:$A,0),MATCH("Name",WEAP!$A$1:$BF$1,0))</f>
        <v>Gale's Aid</v>
      </c>
      <c r="E1943" s="693"/>
      <c r="F1943" s="693"/>
      <c r="G1943" s="694"/>
      <c r="I1943" s="241" t="str">
        <f>+INDEX(WEAP!$A:$AN,MATCH(B1944,WEAP!$A:$A,0),MATCH("Weapon Skill",WEAP!$A$1:$BF$1,0))</f>
        <v>Magnificent Gale</v>
      </c>
      <c r="J1943" s="243">
        <f>INDEX('W-S'!$A:$N,MATCH(I1943,'W-S'!$C:$C,0),MATCH("SP Cost",'W-S'!$1:$1,0))</f>
        <v>6762</v>
      </c>
      <c r="K1943" s="9"/>
      <c r="L1943" s="241" t="str">
        <f>+I1943</f>
        <v>Magnificent Gale</v>
      </c>
      <c r="M1943" s="243">
        <f>INDEX('W-S'!$A:$N,MATCH(L1943,'W-S'!$C:$C,0),MATCH("SP Cost V3",'W-S'!$1:$1,0))</f>
        <v>6000</v>
      </c>
    </row>
    <row r="1944" spans="1:13" ht="22.5" customHeight="1" x14ac:dyDescent="0.35">
      <c r="B1944" s="238" t="str">
        <f>+INDEX(WEAP!$A:$AN,MATCH(B1943,WEAP!$B:$B,0),MATCH("ID",WEAP!$A$1:$BF$1,0))</f>
        <v>305156_01</v>
      </c>
      <c r="C1944" s="240"/>
      <c r="D1944" s="692" t="str">
        <f>+INDEX(WEAP!$A:$AN,MATCH(B1943,WEAP!$B:$B,0),MATCH("Family",WEAP!$A$1:$BF$1,0))&amp;" Weapon"</f>
        <v>Primal Weapon</v>
      </c>
      <c r="E1944" s="693"/>
      <c r="F1944" s="693"/>
      <c r="G1944" s="694"/>
      <c r="H1944" s="8"/>
      <c r="I1944" s="458" t="str">
        <f>INDEX('W-S'!$A:$O,MATCH(I1943,'W-S'!$C:$C,0),MATCH("Description",'W-S'!$1:$1,0))</f>
        <v>Deals 10 hits of 92% wind damage to enemies directly ahead, increases the user's strength by 20% for 15 seconds, and grants them the "Primal Dragalia" effect for 90 seconds. Primal Dragalia increases the user's strength by 15% and their attack rate by 5%. Primal Dragalia will not stack.</v>
      </c>
      <c r="J1944" s="460"/>
      <c r="K1944" s="239"/>
      <c r="L1944" s="711" t="str">
        <f>INDEX('W-S'!$A:$O,MATCH(I1943,'W-S'!$C:$C,0),MATCH("Description V3",'W-S'!$1:$1,0))</f>
        <v>Deals 10 hits of 150% wind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944" s="712"/>
    </row>
    <row r="1945" spans="1:13" ht="22.5" x14ac:dyDescent="0.2">
      <c r="B1945" s="701" t="e" vm="298">
        <f>+_xlfn.IMAGE("https://natalie.tf/wp-content/uploads/2023/10/DLV3_Icon_Weapon_"&amp;B1944&amp;".png")</f>
        <v>#VALUE!</v>
      </c>
      <c r="C1945" s="240"/>
      <c r="D1945" s="692" t="str">
        <f>INDEX(WEAP!$A:$AN,MATCH(B1944,WEAP!$A:$A,0),MATCH("Element",WEAP!$A$1:$BF$1,0))&amp;" "&amp;INDEX(WEAP!$A:$AN,MATCH(B1944,WEAP!$A:$A,0),MATCH("Type",WEAP!$A$1:$BF$1,0))</f>
        <v>Wind Lance</v>
      </c>
      <c r="E1945" s="693"/>
      <c r="F1945" s="693"/>
      <c r="G1945" s="694"/>
      <c r="H1945" s="8"/>
      <c r="I1945" s="461"/>
      <c r="J1945" s="463"/>
      <c r="K1945" s="9"/>
      <c r="L1945" s="713"/>
      <c r="M1945" s="714"/>
    </row>
    <row r="1946" spans="1:13" ht="22.5" x14ac:dyDescent="0.35">
      <c r="B1946" s="702"/>
      <c r="C1946" s="239"/>
      <c r="D1946" s="703" t="s">
        <v>10760</v>
      </c>
      <c r="E1946" s="704"/>
      <c r="F1946" s="235" t="s">
        <v>10761</v>
      </c>
      <c r="G1946" s="235" t="s">
        <v>10762</v>
      </c>
      <c r="I1946" s="461"/>
      <c r="J1946" s="463"/>
      <c r="K1946" s="239"/>
      <c r="L1946" s="713"/>
      <c r="M1946" s="714"/>
    </row>
    <row r="1947" spans="1:13" ht="22.5" x14ac:dyDescent="0.35">
      <c r="B1947" s="702"/>
      <c r="C1947" s="239"/>
      <c r="D1947" s="705" t="s">
        <v>96</v>
      </c>
      <c r="E1947" s="706"/>
      <c r="F1947" s="236">
        <f>INDEX(WEAP!$A:$AN,MATCH(B1944,WEAP!$A:$A,0),MATCH("HP",WEAP!$A$1:$BF$1,0))</f>
        <v>290</v>
      </c>
      <c r="G1947" s="237">
        <f>INDEX(WEAP!$A:$AN,MATCH(B1944,WEAP!$A:$A,0),MATCH("HP V3",WEAP!$A$1:$BF$1,0))</f>
        <v>290</v>
      </c>
      <c r="I1947" s="461"/>
      <c r="J1947" s="463"/>
      <c r="K1947" s="239"/>
      <c r="L1947" s="713"/>
      <c r="M1947" s="714"/>
    </row>
    <row r="1948" spans="1:13" ht="22.5" x14ac:dyDescent="0.35">
      <c r="B1948" s="702"/>
      <c r="C1948" s="239"/>
      <c r="D1948" s="707" t="s">
        <v>97</v>
      </c>
      <c r="E1948" s="708"/>
      <c r="F1948" s="236">
        <f>INDEX(WEAP!$A:$AN,MATCH(B1944,WEAP!$A:$A,0),MATCH("Str",WEAP!$A$1:$BF$1,0))</f>
        <v>1799</v>
      </c>
      <c r="G1948" s="237">
        <f>INDEX(WEAP!$A:$AN,MATCH(B1944,WEAP!$A:$A,0),MATCH("Str V3",WEAP!$A$1:$BF$1,0))</f>
        <v>1800</v>
      </c>
      <c r="I1948" s="464"/>
      <c r="J1948" s="466"/>
      <c r="K1948" s="239"/>
      <c r="L1948" s="715"/>
      <c r="M1948" s="716"/>
    </row>
    <row r="1949" spans="1:13" s="245" customFormat="1" ht="7.5" customHeight="1" x14ac:dyDescent="0.2">
      <c r="A1949" s="245" t="s">
        <v>10763</v>
      </c>
    </row>
    <row r="1950" spans="1:13" ht="22.5" x14ac:dyDescent="0.35">
      <c r="A1950" s="244" t="str">
        <f>TEXT(A1943+1,"000")</f>
        <v>279</v>
      </c>
      <c r="B1950" s="238" t="str">
        <f>"W-"&amp;A1950</f>
        <v>W-279</v>
      </c>
      <c r="C1950" s="239"/>
      <c r="D1950" s="692" t="str">
        <f>+INDEX(WEAP!$A:$AN,MATCH(B1951,WEAP!$A:$A,0),MATCH("Name",WEAP!$A$1:$BF$1,0))</f>
        <v>Jormungand's Wrath</v>
      </c>
      <c r="E1950" s="693"/>
      <c r="F1950" s="693"/>
      <c r="G1950" s="694"/>
      <c r="I1950" s="241" t="str">
        <f>+INDEX(WEAP!$A:$AN,MATCH(B1951,WEAP!$A:$A,0),MATCH("Weapon Skill",WEAP!$A$1:$BF$1,0))</f>
        <v>Jormungand's Boundless Heavens</v>
      </c>
      <c r="J1950" s="243">
        <f>INDEX('W-S'!$A:$N,MATCH(I1950,'W-S'!$C:$C,0),MATCH("SP Cost",'W-S'!$1:$1,0))</f>
        <v>6750</v>
      </c>
      <c r="K1950" s="9"/>
      <c r="L1950" s="241" t="str">
        <f>+I1950</f>
        <v>Jormungand's Boundless Heavens</v>
      </c>
      <c r="M1950" s="243">
        <f>INDEX('W-S'!$A:$N,MATCH(L1950,'W-S'!$C:$C,0),MATCH("SP Cost V3",'W-S'!$1:$1,0))</f>
        <v>6000</v>
      </c>
    </row>
    <row r="1951" spans="1:13" ht="22.5" customHeight="1" x14ac:dyDescent="0.35">
      <c r="B1951" s="238" t="str">
        <f>+INDEX(WEAP!$A:$AN,MATCH(B1950,WEAP!$B:$B,0),MATCH("ID",WEAP!$A$1:$BF$1,0))</f>
        <v>306148_01</v>
      </c>
      <c r="C1951" s="240"/>
      <c r="D1951" s="692" t="str">
        <f>+INDEX(WEAP!$A:$AN,MATCH(B1950,WEAP!$B:$B,0),MATCH("Family",WEAP!$A$1:$BF$1,0))&amp;" Weapon"</f>
        <v>Primal Weapon</v>
      </c>
      <c r="E1951" s="693"/>
      <c r="F1951" s="693"/>
      <c r="G1951" s="694"/>
      <c r="H1951" s="8"/>
      <c r="I1951" s="458" t="str">
        <f>INDEX('W-S'!$A:$O,MATCH(I1950,'W-S'!$C:$C,0),MATCH("Description",'W-S'!$1:$1,0))</f>
        <v>Deals 3 hits of 316% wind damage to enemies in a line, increases the user's strength by 20% for 15 seconds, and grants them the "Primal Dragalia" effect for 90 seconds. Primal Dragalia increases the user's strength by 15% and their attack rate by 5%. Primal Dragalia will not stack.</v>
      </c>
      <c r="J1951" s="460"/>
      <c r="K1951" s="239"/>
      <c r="L1951" s="711" t="str">
        <f>INDEX('W-S'!$A:$O,MATCH(I1950,'W-S'!$C:$C,0),MATCH("Description V3",'W-S'!$1:$1,0))</f>
        <v>Deals 3 hits of 500% wind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951" s="712"/>
    </row>
    <row r="1952" spans="1:13" ht="22.5" x14ac:dyDescent="0.2">
      <c r="B1952" s="701" t="e" vm="299">
        <f>+_xlfn.IMAGE("https://natalie.tf/wp-content/uploads/2023/10/DLV3_Icon_Weapon_"&amp;B1951&amp;".png")</f>
        <v>#VALUE!</v>
      </c>
      <c r="C1952" s="240"/>
      <c r="D1952" s="692" t="str">
        <f>INDEX(WEAP!$A:$AN,MATCH(B1951,WEAP!$A:$A,0),MATCH("Element",WEAP!$A$1:$BF$1,0))&amp;" "&amp;INDEX(WEAP!$A:$AN,MATCH(B1951,WEAP!$A:$A,0),MATCH("Type",WEAP!$A$1:$BF$1,0))</f>
        <v>Wind Bow</v>
      </c>
      <c r="E1952" s="693"/>
      <c r="F1952" s="693"/>
      <c r="G1952" s="694"/>
      <c r="H1952" s="8"/>
      <c r="I1952" s="461"/>
      <c r="J1952" s="463"/>
      <c r="K1952" s="9"/>
      <c r="L1952" s="713"/>
      <c r="M1952" s="714"/>
    </row>
    <row r="1953" spans="1:13" ht="22.5" x14ac:dyDescent="0.35">
      <c r="B1953" s="702"/>
      <c r="C1953" s="239"/>
      <c r="D1953" s="703" t="s">
        <v>10760</v>
      </c>
      <c r="E1953" s="704"/>
      <c r="F1953" s="235" t="s">
        <v>10761</v>
      </c>
      <c r="G1953" s="235" t="s">
        <v>10762</v>
      </c>
      <c r="I1953" s="461"/>
      <c r="J1953" s="463"/>
      <c r="K1953" s="239"/>
      <c r="L1953" s="713"/>
      <c r="M1953" s="714"/>
    </row>
    <row r="1954" spans="1:13" ht="22.5" x14ac:dyDescent="0.35">
      <c r="B1954" s="702"/>
      <c r="C1954" s="239"/>
      <c r="D1954" s="705" t="s">
        <v>96</v>
      </c>
      <c r="E1954" s="706"/>
      <c r="F1954" s="236">
        <f>INDEX(WEAP!$A:$AN,MATCH(B1951,WEAP!$A:$A,0),MATCH("HP",WEAP!$A$1:$BF$1,0))</f>
        <v>278</v>
      </c>
      <c r="G1954" s="237">
        <f>INDEX(WEAP!$A:$AN,MATCH(B1951,WEAP!$A:$A,0),MATCH("HP V3",WEAP!$A$1:$BF$1,0))</f>
        <v>280</v>
      </c>
      <c r="I1954" s="461"/>
      <c r="J1954" s="463"/>
      <c r="K1954" s="239"/>
      <c r="L1954" s="713"/>
      <c r="M1954" s="714"/>
    </row>
    <row r="1955" spans="1:13" ht="22.5" x14ac:dyDescent="0.35">
      <c r="B1955" s="702"/>
      <c r="C1955" s="239"/>
      <c r="D1955" s="707" t="s">
        <v>97</v>
      </c>
      <c r="E1955" s="708"/>
      <c r="F1955" s="236">
        <f>INDEX(WEAP!$A:$AN,MATCH(B1951,WEAP!$A:$A,0),MATCH("Str",WEAP!$A$1:$BF$1,0))</f>
        <v>1694</v>
      </c>
      <c r="G1955" s="237">
        <f>INDEX(WEAP!$A:$AN,MATCH(B1951,WEAP!$A:$A,0),MATCH("Str V3",WEAP!$A$1:$BF$1,0))</f>
        <v>1700</v>
      </c>
      <c r="I1955" s="464"/>
      <c r="J1955" s="466"/>
      <c r="K1955" s="239"/>
      <c r="L1955" s="715"/>
      <c r="M1955" s="716"/>
    </row>
    <row r="1956" spans="1:13" s="245" customFormat="1" ht="7.5" customHeight="1" x14ac:dyDescent="0.2">
      <c r="A1956" s="245" t="s">
        <v>10763</v>
      </c>
    </row>
    <row r="1957" spans="1:13" ht="22.5" x14ac:dyDescent="0.35">
      <c r="A1957" s="244" t="str">
        <f>TEXT(A1950+1,"000")</f>
        <v>280</v>
      </c>
      <c r="B1957" s="238" t="str">
        <f>"W-"&amp;A1957</f>
        <v>W-280</v>
      </c>
      <c r="C1957" s="239"/>
      <c r="D1957" s="692" t="str">
        <f>+INDEX(WEAP!$A:$AN,MATCH(B1958,WEAP!$A:$A,0),MATCH("Name",WEAP!$A$1:$BF$1,0))</f>
        <v>Storm Chaser</v>
      </c>
      <c r="E1957" s="693"/>
      <c r="F1957" s="693"/>
      <c r="G1957" s="694"/>
      <c r="I1957" s="241" t="str">
        <f>+INDEX(WEAP!$A:$AN,MATCH(B1958,WEAP!$A:$A,0),MATCH("Weapon Skill",WEAP!$A$1:$BF$1,0))</f>
        <v>Furious Cyclone</v>
      </c>
      <c r="J1957" s="243">
        <f>INDEX('W-S'!$A:$N,MATCH(I1957,'W-S'!$C:$C,0),MATCH("SP Cost",'W-S'!$1:$1,0))</f>
        <v>7635</v>
      </c>
      <c r="K1957" s="9"/>
      <c r="L1957" s="241" t="str">
        <f>+I1957</f>
        <v>Furious Cyclone</v>
      </c>
      <c r="M1957" s="243">
        <f>INDEX('W-S'!$A:$N,MATCH(L1957,'W-S'!$C:$C,0),MATCH("SP Cost V3",'W-S'!$1:$1,0))</f>
        <v>6000</v>
      </c>
    </row>
    <row r="1958" spans="1:13" ht="22.5" customHeight="1" x14ac:dyDescent="0.35">
      <c r="B1958" s="238" t="str">
        <f>+INDEX(WEAP!$A:$AN,MATCH(B1957,WEAP!$B:$B,0),MATCH("ID",WEAP!$A$1:$BF$1,0))</f>
        <v>307155_01</v>
      </c>
      <c r="C1958" s="240"/>
      <c r="D1958" s="692" t="str">
        <f>+INDEX(WEAP!$A:$AN,MATCH(B1957,WEAP!$B:$B,0),MATCH("Family",WEAP!$A$1:$BF$1,0))&amp;" Weapon"</f>
        <v>Primal Weapon</v>
      </c>
      <c r="E1958" s="693"/>
      <c r="F1958" s="693"/>
      <c r="G1958" s="694"/>
      <c r="H1958" s="8"/>
      <c r="I1958" s="458" t="str">
        <f>INDEX('W-S'!$A:$O,MATCH(I1957,'W-S'!$C:$C,0),MATCH("Description",'W-S'!$1:$1,0))</f>
        <v>Deals 4 hits of 243% wind damage to enemies in a line, increases the user's strength by 20% for 15 seconds, and grants them the "Primal Dragalia" effect for 90 seconds. Primal Dragalia increases the user's strength by 15% and their attack rate by 5%. Primal Dragalia will not stack.</v>
      </c>
      <c r="J1958" s="460"/>
      <c r="K1958" s="239"/>
      <c r="L1958" s="711" t="str">
        <f>INDEX('W-S'!$A:$O,MATCH(I1957,'W-S'!$C:$C,0),MATCH("Description V3",'W-S'!$1:$1,0))</f>
        <v>Deals 4 hits of 375% wind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958" s="712"/>
    </row>
    <row r="1959" spans="1:13" ht="22.5" x14ac:dyDescent="0.2">
      <c r="B1959" s="701" t="e" vm="300">
        <f>+_xlfn.IMAGE("https://natalie.tf/wp-content/uploads/2023/10/DLV3_Icon_Weapon_"&amp;B1958&amp;".png")</f>
        <v>#VALUE!</v>
      </c>
      <c r="C1959" s="240"/>
      <c r="D1959" s="692" t="str">
        <f>INDEX(WEAP!$A:$AN,MATCH(B1958,WEAP!$A:$A,0),MATCH("Element",WEAP!$A$1:$BF$1,0))&amp;" "&amp;INDEX(WEAP!$A:$AN,MATCH(B1958,WEAP!$A:$A,0),MATCH("Type",WEAP!$A$1:$BF$1,0))</f>
        <v>Wind Wand</v>
      </c>
      <c r="E1959" s="693"/>
      <c r="F1959" s="693"/>
      <c r="G1959" s="694"/>
      <c r="H1959" s="8"/>
      <c r="I1959" s="461"/>
      <c r="J1959" s="463"/>
      <c r="K1959" s="9"/>
      <c r="L1959" s="713"/>
      <c r="M1959" s="714"/>
    </row>
    <row r="1960" spans="1:13" ht="22.5" x14ac:dyDescent="0.35">
      <c r="B1960" s="702"/>
      <c r="C1960" s="239"/>
      <c r="D1960" s="703" t="s">
        <v>10760</v>
      </c>
      <c r="E1960" s="704"/>
      <c r="F1960" s="235" t="s">
        <v>10761</v>
      </c>
      <c r="G1960" s="235" t="s">
        <v>10762</v>
      </c>
      <c r="I1960" s="461"/>
      <c r="J1960" s="463"/>
      <c r="K1960" s="239"/>
      <c r="L1960" s="713"/>
      <c r="M1960" s="714"/>
    </row>
    <row r="1961" spans="1:13" ht="22.5" x14ac:dyDescent="0.35">
      <c r="B1961" s="702"/>
      <c r="C1961" s="239"/>
      <c r="D1961" s="705" t="s">
        <v>96</v>
      </c>
      <c r="E1961" s="706"/>
      <c r="F1961" s="236">
        <f>INDEX(WEAP!$A:$AN,MATCH(B1958,WEAP!$A:$A,0),MATCH("HP",WEAP!$A$1:$BF$1,0))</f>
        <v>268</v>
      </c>
      <c r="G1961" s="237">
        <f>INDEX(WEAP!$A:$AN,MATCH(B1958,WEAP!$A:$A,0),MATCH("HP V3",WEAP!$A$1:$BF$1,0))</f>
        <v>275</v>
      </c>
      <c r="I1961" s="461"/>
      <c r="J1961" s="463"/>
      <c r="K1961" s="239"/>
      <c r="L1961" s="713"/>
      <c r="M1961" s="714"/>
    </row>
    <row r="1962" spans="1:13" ht="22.5" x14ac:dyDescent="0.35">
      <c r="B1962" s="702"/>
      <c r="C1962" s="239"/>
      <c r="D1962" s="707" t="s">
        <v>97</v>
      </c>
      <c r="E1962" s="708"/>
      <c r="F1962" s="236">
        <f>INDEX(WEAP!$A:$AN,MATCH(B1958,WEAP!$A:$A,0),MATCH("Str",WEAP!$A$1:$BF$1,0))</f>
        <v>1817</v>
      </c>
      <c r="G1962" s="237">
        <f>INDEX(WEAP!$A:$AN,MATCH(B1958,WEAP!$A:$A,0),MATCH("Str V3",WEAP!$A$1:$BF$1,0))</f>
        <v>1820</v>
      </c>
      <c r="I1962" s="464"/>
      <c r="J1962" s="466"/>
      <c r="K1962" s="239"/>
      <c r="L1962" s="715"/>
      <c r="M1962" s="716"/>
    </row>
    <row r="1963" spans="1:13" ht="33.75" customHeight="1" x14ac:dyDescent="0.2">
      <c r="A1963" t="s">
        <v>10763</v>
      </c>
    </row>
    <row r="1964" spans="1:13" ht="22.5" x14ac:dyDescent="0.35">
      <c r="A1964" s="244" t="str">
        <f>TEXT(A1957+1,"000")</f>
        <v>281</v>
      </c>
      <c r="B1964" s="238" t="str">
        <f>"W-"&amp;A1964</f>
        <v>W-281</v>
      </c>
      <c r="C1964" s="239"/>
      <c r="D1964" s="692" t="str">
        <f>+INDEX(WEAP!$A:$AN,MATCH(B1965,WEAP!$A:$A,0),MATCH("Name",WEAP!$A$1:$BF$1,0))</f>
        <v>Squallruler</v>
      </c>
      <c r="E1964" s="693"/>
      <c r="F1964" s="693"/>
      <c r="G1964" s="694"/>
      <c r="I1964" s="241" t="str">
        <f>+INDEX(WEAP!$A:$AN,MATCH(B1965,WEAP!$A:$A,0),MATCH("Weapon Skill",WEAP!$A$1:$BF$1,0))</f>
        <v>Steering Storm</v>
      </c>
      <c r="J1964" s="243">
        <f>INDEX('W-S'!$A:$N,MATCH(I1964,'W-S'!$C:$C,0),MATCH("SP Cost",'W-S'!$1:$1,0))</f>
        <v>14186</v>
      </c>
      <c r="K1964" s="9"/>
      <c r="L1964" s="241" t="str">
        <f>+I1964</f>
        <v>Steering Storm</v>
      </c>
      <c r="M1964" s="243">
        <f>INDEX('W-S'!$A:$N,MATCH(L1964,'W-S'!$C:$C,0),MATCH("SP Cost V3",'W-S'!$1:$1,0))</f>
        <v>6000</v>
      </c>
    </row>
    <row r="1965" spans="1:13" ht="22.5" customHeight="1" x14ac:dyDescent="0.35">
      <c r="B1965" s="238" t="str">
        <f>+INDEX(WEAP!$A:$AN,MATCH(B1964,WEAP!$B:$B,0),MATCH("ID",WEAP!$A$1:$BF$1,0))</f>
        <v>308147_01</v>
      </c>
      <c r="C1965" s="240"/>
      <c r="D1965" s="692" t="str">
        <f>+INDEX(WEAP!$A:$AN,MATCH(B1964,WEAP!$B:$B,0),MATCH("Family",WEAP!$A$1:$BF$1,0))&amp;" Weapon"</f>
        <v>Primal Weapon</v>
      </c>
      <c r="E1965" s="693"/>
      <c r="F1965" s="693"/>
      <c r="G1965" s="694"/>
      <c r="H1965" s="8"/>
      <c r="I1965" s="458" t="str">
        <f>INDEX('W-S'!$A:$O,MATCH(I1964,'W-S'!$C:$C,0),MATCH("Description",'W-S'!$1:$1,0))</f>
        <v>Deals 4 hits of 143% wind damage to enemies in a line, increases the user's strength by 20% for 15 seconds, and grants them the "Primal Dragalia" effect for 90 seconds. Primal Dragalia increases the user's strength by 15% and their attack rate by 5%. Primal Dragalia will not stack.</v>
      </c>
      <c r="J1965" s="460"/>
      <c r="K1965" s="239"/>
      <c r="L1965" s="711" t="str">
        <f>INDEX('W-S'!$A:$O,MATCH(I1964,'W-S'!$C:$C,0),MATCH("Description V3",'W-S'!$1:$1,0))</f>
        <v>Deals 4 hits of 375% wind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965" s="712"/>
    </row>
    <row r="1966" spans="1:13" ht="22.5" x14ac:dyDescent="0.2">
      <c r="B1966" s="701" t="e" vm="301">
        <f>+_xlfn.IMAGE("https://natalie.tf/wp-content/uploads/2023/10/DLV3_Icon_Weapon_"&amp;B1965&amp;".png")</f>
        <v>#VALUE!</v>
      </c>
      <c r="C1966" s="240"/>
      <c r="D1966" s="692" t="str">
        <f>INDEX(WEAP!$A:$AN,MATCH(B1965,WEAP!$A:$A,0),MATCH("Element",WEAP!$A$1:$BF$1,0))&amp;" "&amp;INDEX(WEAP!$A:$AN,MATCH(B1965,WEAP!$A:$A,0),MATCH("Type",WEAP!$A$1:$BF$1,0))</f>
        <v>Wind Staff</v>
      </c>
      <c r="E1966" s="693"/>
      <c r="F1966" s="693"/>
      <c r="G1966" s="694"/>
      <c r="H1966" s="8"/>
      <c r="I1966" s="461"/>
      <c r="J1966" s="463"/>
      <c r="K1966" s="9"/>
      <c r="L1966" s="713"/>
      <c r="M1966" s="714"/>
    </row>
    <row r="1967" spans="1:13" ht="22.5" x14ac:dyDescent="0.35">
      <c r="B1967" s="702"/>
      <c r="C1967" s="239"/>
      <c r="D1967" s="703" t="s">
        <v>10760</v>
      </c>
      <c r="E1967" s="704"/>
      <c r="F1967" s="235" t="s">
        <v>10761</v>
      </c>
      <c r="G1967" s="235" t="s">
        <v>10762</v>
      </c>
      <c r="I1967" s="461"/>
      <c r="J1967" s="463"/>
      <c r="K1967" s="239"/>
      <c r="L1967" s="713"/>
      <c r="M1967" s="714"/>
    </row>
    <row r="1968" spans="1:13" ht="22.5" x14ac:dyDescent="0.35">
      <c r="B1968" s="702"/>
      <c r="C1968" s="239"/>
      <c r="D1968" s="705" t="s">
        <v>96</v>
      </c>
      <c r="E1968" s="706"/>
      <c r="F1968" s="236">
        <f>INDEX(WEAP!$A:$AN,MATCH(B1965,WEAP!$A:$A,0),MATCH("HP",WEAP!$A$1:$BF$1,0))</f>
        <v>312</v>
      </c>
      <c r="G1968" s="237">
        <f>INDEX(WEAP!$A:$AN,MATCH(B1965,WEAP!$A:$A,0),MATCH("HP V3",WEAP!$A$1:$BF$1,0))</f>
        <v>325</v>
      </c>
      <c r="I1968" s="461"/>
      <c r="J1968" s="463"/>
      <c r="K1968" s="239"/>
      <c r="L1968" s="713"/>
      <c r="M1968" s="714"/>
    </row>
    <row r="1969" spans="1:13" ht="22.5" x14ac:dyDescent="0.35">
      <c r="B1969" s="702"/>
      <c r="C1969" s="239"/>
      <c r="D1969" s="707" t="s">
        <v>97</v>
      </c>
      <c r="E1969" s="708"/>
      <c r="F1969" s="236">
        <f>INDEX(WEAP!$A:$AN,MATCH(B1965,WEAP!$A:$A,0),MATCH("Str",WEAP!$A$1:$BF$1,0))</f>
        <v>1676</v>
      </c>
      <c r="G1969" s="237">
        <f>INDEX(WEAP!$A:$AN,MATCH(B1965,WEAP!$A:$A,0),MATCH("Str V3",WEAP!$A$1:$BF$1,0))</f>
        <v>1680</v>
      </c>
      <c r="I1969" s="464"/>
      <c r="J1969" s="466"/>
      <c r="K1969" s="239"/>
      <c r="L1969" s="715"/>
      <c r="M1969" s="716"/>
    </row>
    <row r="1970" spans="1:13" s="245" customFormat="1" ht="7.5" customHeight="1" x14ac:dyDescent="0.2">
      <c r="A1970" s="245" t="s">
        <v>10763</v>
      </c>
    </row>
    <row r="1971" spans="1:13" ht="22.5" x14ac:dyDescent="0.35">
      <c r="A1971" s="242" t="str">
        <f>TEXT(A1964+1,"000")</f>
        <v>282</v>
      </c>
      <c r="B1971" s="238" t="str">
        <f>"W-"&amp;A1971</f>
        <v>W-282</v>
      </c>
      <c r="C1971" s="239"/>
      <c r="D1971" s="692" t="str">
        <f>+INDEX(WEAP!$A:$AN,MATCH(B1972,WEAP!$A:$A,0),MATCH("Name",WEAP!$A$1:$BF$1,0))</f>
        <v>Cyclone Trigger</v>
      </c>
      <c r="E1971" s="693"/>
      <c r="F1971" s="693"/>
      <c r="G1971" s="694"/>
      <c r="I1971" s="241" t="str">
        <f>+INDEX(WEAP!$A:$AN,MATCH(B1972,WEAP!$A:$A,0),MATCH("Weapon Skill",WEAP!$A$1:$BF$1,0))</f>
        <v>Tempest Shell</v>
      </c>
      <c r="J1971" s="243">
        <f>INDEX('W-S'!$A:$N,MATCH(I1971,'W-S'!$C:$C,0),MATCH("SP Cost",'W-S'!$1:$1,0))</f>
        <v>7316</v>
      </c>
      <c r="K1971" s="9"/>
      <c r="L1971" s="241" t="str">
        <f>+I1971</f>
        <v>Tempest Shell</v>
      </c>
      <c r="M1971" s="243">
        <f>INDEX('W-S'!$A:$N,MATCH(L1971,'W-S'!$C:$C,0),MATCH("SP Cost V3",'W-S'!$1:$1,0))</f>
        <v>6000</v>
      </c>
    </row>
    <row r="1972" spans="1:13" ht="22.5" customHeight="1" x14ac:dyDescent="0.35">
      <c r="B1972" s="238" t="str">
        <f>+INDEX(WEAP!$A:$AN,MATCH(B1971,WEAP!$B:$B,0),MATCH("ID",WEAP!$A$1:$BF$1,0))</f>
        <v>309043_01</v>
      </c>
      <c r="C1972" s="240"/>
      <c r="D1972" s="692" t="str">
        <f>+INDEX(WEAP!$A:$AN,MATCH(B1971,WEAP!$B:$B,0),MATCH("Family",WEAP!$A$1:$BF$1,0))&amp;" Weapon"</f>
        <v>Primal Weapon</v>
      </c>
      <c r="E1972" s="693"/>
      <c r="F1972" s="693"/>
      <c r="G1972" s="694"/>
      <c r="H1972" s="8"/>
      <c r="I1972" s="458" t="str">
        <f>INDEX('W-S'!$A:$O,MATCH(I1971,'W-S'!$C:$C,0),MATCH("Description",'W-S'!$1:$1,0))</f>
        <v>Deals 25 hits of 41% wind damage to enemies directly ahead, increases the user's strength by 20% for 15 seconds, and grants them the "Primal Dragalia" effect for 90 seconds. Primal Dragalia increases the user's strength by 15% and their attack rate by 5%. Primal Dragalia will not stack.</v>
      </c>
      <c r="J1972" s="460"/>
      <c r="K1972" s="239"/>
      <c r="L1972" s="711" t="str">
        <f>INDEX('W-S'!$A:$O,MATCH(I1971,'W-S'!$C:$C,0),MATCH("Description V3",'W-S'!$1:$1,0))</f>
        <v>Deals 25 hits of 60% wind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972" s="712"/>
    </row>
    <row r="1973" spans="1:13" ht="22.5" x14ac:dyDescent="0.2">
      <c r="B1973" s="701" t="e" vm="302">
        <f>+_xlfn.IMAGE("https://natalie.tf/wp-content/uploads/2023/10/DLV3_Icon_Weapon_"&amp;B1972&amp;".png")</f>
        <v>#VALUE!</v>
      </c>
      <c r="C1973" s="240"/>
      <c r="D1973" s="692" t="str">
        <f>INDEX(WEAP!$A:$AN,MATCH(B1972,WEAP!$A:$A,0),MATCH("Element",WEAP!$A$1:$BF$1,0))&amp;" "&amp;INDEX(WEAP!$A:$AN,MATCH(B1972,WEAP!$A:$A,0),MATCH("Type",WEAP!$A$1:$BF$1,0))</f>
        <v>Wind Manacaster</v>
      </c>
      <c r="E1973" s="693"/>
      <c r="F1973" s="693"/>
      <c r="G1973" s="694"/>
      <c r="H1973" s="8"/>
      <c r="I1973" s="461"/>
      <c r="J1973" s="463"/>
      <c r="K1973" s="9"/>
      <c r="L1973" s="713"/>
      <c r="M1973" s="714"/>
    </row>
    <row r="1974" spans="1:13" ht="22.5" x14ac:dyDescent="0.35">
      <c r="B1974" s="702"/>
      <c r="C1974" s="239"/>
      <c r="D1974" s="703" t="s">
        <v>10760</v>
      </c>
      <c r="E1974" s="704"/>
      <c r="F1974" s="235" t="s">
        <v>10761</v>
      </c>
      <c r="G1974" s="235" t="s">
        <v>10762</v>
      </c>
      <c r="I1974" s="461"/>
      <c r="J1974" s="463"/>
      <c r="K1974" s="239"/>
      <c r="L1974" s="713"/>
      <c r="M1974" s="714"/>
    </row>
    <row r="1975" spans="1:13" ht="22.5" x14ac:dyDescent="0.35">
      <c r="B1975" s="702"/>
      <c r="C1975" s="239"/>
      <c r="D1975" s="705" t="s">
        <v>96</v>
      </c>
      <c r="E1975" s="706"/>
      <c r="F1975" s="236">
        <f>INDEX(WEAP!$A:$AN,MATCH(B1972,WEAP!$A:$A,0),MATCH("HP",WEAP!$A$1:$BF$1,0))</f>
        <v>275</v>
      </c>
      <c r="G1975" s="237">
        <f>INDEX(WEAP!$A:$AN,MATCH(B1972,WEAP!$A:$A,0),MATCH("HP V3",WEAP!$A$1:$BF$1,0))</f>
        <v>275</v>
      </c>
      <c r="I1975" s="461"/>
      <c r="J1975" s="463"/>
      <c r="K1975" s="239"/>
      <c r="L1975" s="713"/>
      <c r="M1975" s="714"/>
    </row>
    <row r="1976" spans="1:13" ht="22.5" x14ac:dyDescent="0.35">
      <c r="B1976" s="702"/>
      <c r="C1976" s="239"/>
      <c r="D1976" s="707" t="s">
        <v>97</v>
      </c>
      <c r="E1976" s="708"/>
      <c r="F1976" s="236">
        <f>INDEX(WEAP!$A:$AN,MATCH(B1972,WEAP!$A:$A,0),MATCH("Str",WEAP!$A$1:$BF$1,0))</f>
        <v>1835</v>
      </c>
      <c r="G1976" s="237">
        <f>INDEX(WEAP!$A:$AN,MATCH(B1972,WEAP!$A:$A,0),MATCH("Str V3",WEAP!$A$1:$BF$1,0))</f>
        <v>1835</v>
      </c>
      <c r="I1976" s="464"/>
      <c r="J1976" s="466"/>
      <c r="K1976" s="239"/>
      <c r="L1976" s="715"/>
      <c r="M1976" s="716"/>
    </row>
    <row r="1977" spans="1:13" s="245" customFormat="1" ht="7.5" customHeight="1" x14ac:dyDescent="0.2">
      <c r="A1977" s="245" t="s">
        <v>10763</v>
      </c>
    </row>
    <row r="1978" spans="1:13" ht="22.5" x14ac:dyDescent="0.35">
      <c r="A1978" s="244" t="str">
        <f>TEXT(A1971+1,"000")</f>
        <v>283</v>
      </c>
      <c r="B1978" s="238" t="str">
        <f>"W-"&amp;A1978</f>
        <v>W-283</v>
      </c>
      <c r="C1978" s="239"/>
      <c r="D1978" s="692" t="str">
        <f>+INDEX(WEAP!$A:$AN,MATCH(B1979,WEAP!$A:$A,0),MATCH("Name",WEAP!$A$1:$BF$1,0))</f>
        <v>Primal Lightning</v>
      </c>
      <c r="E1978" s="693"/>
      <c r="F1978" s="693"/>
      <c r="G1978" s="694"/>
      <c r="I1978" s="241" t="str">
        <f>+INDEX(WEAP!$A:$AN,MATCH(B1979,WEAP!$A:$A,0),MATCH("Weapon Skill",WEAP!$A$1:$BF$1,0))</f>
        <v>Ultimate Lightning</v>
      </c>
      <c r="J1978" s="243">
        <f>INDEX('W-S'!$A:$N,MATCH(I1978,'W-S'!$C:$C,0),MATCH("SP Cost",'W-S'!$1:$1,0))</f>
        <v>6418</v>
      </c>
      <c r="K1978" s="9"/>
      <c r="L1978" s="241" t="str">
        <f>+I1978</f>
        <v>Ultimate Lightning</v>
      </c>
      <c r="M1978" s="243">
        <f>INDEX('W-S'!$A:$N,MATCH(L1978,'W-S'!$C:$C,0),MATCH("SP Cost V3",'W-S'!$1:$1,0))</f>
        <v>6000</v>
      </c>
    </row>
    <row r="1979" spans="1:13" ht="22.5" customHeight="1" x14ac:dyDescent="0.35">
      <c r="B1979" s="238" t="str">
        <f>+INDEX(WEAP!$A:$AN,MATCH(B1978,WEAP!$B:$B,0),MATCH("ID",WEAP!$A$1:$BF$1,0))</f>
        <v>301162_01</v>
      </c>
      <c r="C1979" s="240"/>
      <c r="D1979" s="692" t="str">
        <f>+INDEX(WEAP!$A:$AN,MATCH(B1978,WEAP!$B:$B,0),MATCH("Family",WEAP!$A$1:$BF$1,0))&amp;" Weapon"</f>
        <v>Primal Weapon</v>
      </c>
      <c r="E1979" s="693"/>
      <c r="F1979" s="693"/>
      <c r="G1979" s="694"/>
      <c r="H1979" s="8"/>
      <c r="I1979" s="458" t="str">
        <f>INDEX('W-S'!$A:$O,MATCH(I1978,'W-S'!$C:$C,0),MATCH("Description",'W-S'!$1:$1,0))</f>
        <v>Deals 3 hits of 248% light damage to surrounding enemies, increases the user's strength by 20% for 15 seconds, and grants them the "Primal Dragalia" effect for 90 seconds. Primal Dragalia increases the user's strength by 15% and their attack rate by 5%. Primal Dragalia will not stack.</v>
      </c>
      <c r="J1979" s="460"/>
      <c r="K1979" s="239"/>
      <c r="L1979" s="711" t="str">
        <f>INDEX('W-S'!$A:$O,MATCH(I1978,'W-S'!$C:$C,0),MATCH("Description V3",'W-S'!$1:$1,0))</f>
        <v>Deals 3 hits of 500% light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979" s="712"/>
    </row>
    <row r="1980" spans="1:13" ht="22.5" x14ac:dyDescent="0.2">
      <c r="B1980" s="701" t="e" vm="303">
        <f>+_xlfn.IMAGE("https://natalie.tf/wp-content/uploads/2023/10/DLV3_Icon_Weapon_"&amp;B1979&amp;".png")</f>
        <v>#VALUE!</v>
      </c>
      <c r="C1980" s="240"/>
      <c r="D1980" s="692" t="str">
        <f>INDEX(WEAP!$A:$AN,MATCH(B1979,WEAP!$A:$A,0),MATCH("Element",WEAP!$A$1:$BF$1,0))&amp;" "&amp;INDEX(WEAP!$A:$AN,MATCH(B1979,WEAP!$A:$A,0),MATCH("Type",WEAP!$A$1:$BF$1,0))</f>
        <v>Light Sword</v>
      </c>
      <c r="E1980" s="693"/>
      <c r="F1980" s="693"/>
      <c r="G1980" s="694"/>
      <c r="H1980" s="8"/>
      <c r="I1980" s="461"/>
      <c r="J1980" s="463"/>
      <c r="K1980" s="9"/>
      <c r="L1980" s="713"/>
      <c r="M1980" s="714"/>
    </row>
    <row r="1981" spans="1:13" ht="22.5" x14ac:dyDescent="0.35">
      <c r="B1981" s="702"/>
      <c r="C1981" s="239"/>
      <c r="D1981" s="703" t="s">
        <v>10760</v>
      </c>
      <c r="E1981" s="704"/>
      <c r="F1981" s="235" t="s">
        <v>10761</v>
      </c>
      <c r="G1981" s="235" t="s">
        <v>10762</v>
      </c>
      <c r="I1981" s="461"/>
      <c r="J1981" s="463"/>
      <c r="K1981" s="239"/>
      <c r="L1981" s="713"/>
      <c r="M1981" s="714"/>
    </row>
    <row r="1982" spans="1:13" ht="22.5" x14ac:dyDescent="0.35">
      <c r="B1982" s="702"/>
      <c r="C1982" s="239"/>
      <c r="D1982" s="705" t="s">
        <v>96</v>
      </c>
      <c r="E1982" s="706"/>
      <c r="F1982" s="236">
        <f>INDEX(WEAP!$A:$AN,MATCH(B1979,WEAP!$A:$A,0),MATCH("HP",WEAP!$A$1:$BF$1,0))</f>
        <v>284</v>
      </c>
      <c r="G1982" s="237">
        <f>INDEX(WEAP!$A:$AN,MATCH(B1979,WEAP!$A:$A,0),MATCH("HP V3",WEAP!$A$1:$BF$1,0))</f>
        <v>285</v>
      </c>
      <c r="I1982" s="461"/>
      <c r="J1982" s="463"/>
      <c r="K1982" s="239"/>
      <c r="L1982" s="713"/>
      <c r="M1982" s="714"/>
    </row>
    <row r="1983" spans="1:13" ht="22.5" x14ac:dyDescent="0.35">
      <c r="B1983" s="702"/>
      <c r="C1983" s="239"/>
      <c r="D1983" s="707" t="s">
        <v>97</v>
      </c>
      <c r="E1983" s="708"/>
      <c r="F1983" s="236">
        <f>INDEX(WEAP!$A:$AN,MATCH(B1979,WEAP!$A:$A,0),MATCH("Str",WEAP!$A$1:$BF$1,0))</f>
        <v>1764</v>
      </c>
      <c r="G1983" s="237">
        <f>INDEX(WEAP!$A:$AN,MATCH(B1979,WEAP!$A:$A,0),MATCH("Str V3",WEAP!$A$1:$BF$1,0))</f>
        <v>1765</v>
      </c>
      <c r="I1983" s="464"/>
      <c r="J1983" s="466"/>
      <c r="K1983" s="239"/>
      <c r="L1983" s="715"/>
      <c r="M1983" s="716"/>
    </row>
    <row r="1984" spans="1:13" s="245" customFormat="1" ht="7.5" customHeight="1" x14ac:dyDescent="0.2">
      <c r="A1984" s="245" t="s">
        <v>10763</v>
      </c>
    </row>
    <row r="1985" spans="1:13" ht="22.5" x14ac:dyDescent="0.35">
      <c r="A1985" s="244" t="str">
        <f>TEXT(A1978+1,"000")</f>
        <v>284</v>
      </c>
      <c r="B1985" s="238" t="str">
        <f>"W-"&amp;A1985</f>
        <v>W-284</v>
      </c>
      <c r="C1985" s="239"/>
      <c r="D1985" s="692" t="str">
        <f>+INDEX(WEAP!$A:$AN,MATCH(B1986,WEAP!$A:$A,0),MATCH("Name",WEAP!$A$1:$BF$1,0))</f>
        <v>Daunting Flash</v>
      </c>
      <c r="E1985" s="693"/>
      <c r="F1985" s="693"/>
      <c r="G1985" s="694"/>
      <c r="I1985" s="241" t="str">
        <f>+INDEX(WEAP!$A:$AN,MATCH(B1986,WEAP!$A:$A,0),MATCH("Weapon Skill",WEAP!$A$1:$BF$1,0))</f>
        <v>Daunting Blade</v>
      </c>
      <c r="J1985" s="243">
        <f>INDEX('W-S'!$A:$N,MATCH(I1985,'W-S'!$C:$C,0),MATCH("SP Cost",'W-S'!$1:$1,0))</f>
        <v>6925</v>
      </c>
      <c r="K1985" s="9"/>
      <c r="L1985" s="241" t="str">
        <f>+I1985</f>
        <v>Daunting Blade</v>
      </c>
      <c r="M1985" s="243">
        <f>INDEX('W-S'!$A:$N,MATCH(L1985,'W-S'!$C:$C,0),MATCH("SP Cost V3",'W-S'!$1:$1,0))</f>
        <v>6000</v>
      </c>
    </row>
    <row r="1986" spans="1:13" ht="22.5" customHeight="1" x14ac:dyDescent="0.35">
      <c r="B1986" s="238" t="str">
        <f>+INDEX(WEAP!$A:$AN,MATCH(B1985,WEAP!$B:$B,0),MATCH("ID",WEAP!$A$1:$BF$1,0))</f>
        <v>302151_01</v>
      </c>
      <c r="C1986" s="240"/>
      <c r="D1986" s="692" t="str">
        <f>+INDEX(WEAP!$A:$AN,MATCH(B1985,WEAP!$B:$B,0),MATCH("Family",WEAP!$A$1:$BF$1,0))&amp;" Weapon"</f>
        <v>Primal Weapon</v>
      </c>
      <c r="E1986" s="693"/>
      <c r="F1986" s="693"/>
      <c r="G1986" s="694"/>
      <c r="H1986" s="8"/>
      <c r="I1986" s="458" t="str">
        <f>INDEX('W-S'!$A:$O,MATCH(I1985,'W-S'!$C:$C,0),MATCH("Description",'W-S'!$1:$1,0))</f>
        <v>Deals 5 hits of 213% light damage to enemies directly ahead, increases the user's strength by 20% for 15 seconds, and grants them the "Primal Dragalia" effect for 90 seconds. Primal Dragalia increases the user's strength by 15% and their attack rate by 5%. Primal Dragalia will not stack.</v>
      </c>
      <c r="J1986" s="460"/>
      <c r="K1986" s="239"/>
      <c r="L1986" s="711" t="str">
        <f>INDEX('W-S'!$A:$O,MATCH(I1985,'W-S'!$C:$C,0),MATCH("Description V3",'W-S'!$1:$1,0))</f>
        <v>Deals 5 hits of 300% light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986" s="712"/>
    </row>
    <row r="1987" spans="1:13" ht="22.5" x14ac:dyDescent="0.2">
      <c r="B1987" s="701" t="e" vm="304">
        <f>+_xlfn.IMAGE("https://natalie.tf/wp-content/uploads/2023/10/DLV3_Icon_Weapon_"&amp;B1986&amp;".png")</f>
        <v>#VALUE!</v>
      </c>
      <c r="C1987" s="240"/>
      <c r="D1987" s="692" t="str">
        <f>INDEX(WEAP!$A:$AN,MATCH(B1986,WEAP!$A:$A,0),MATCH("Element",WEAP!$A$1:$BF$1,0))&amp;" "&amp;INDEX(WEAP!$A:$AN,MATCH(B1986,WEAP!$A:$A,0),MATCH("Type",WEAP!$A$1:$BF$1,0))</f>
        <v>Light Blade</v>
      </c>
      <c r="E1987" s="693"/>
      <c r="F1987" s="693"/>
      <c r="G1987" s="694"/>
      <c r="H1987" s="8"/>
      <c r="I1987" s="461"/>
      <c r="J1987" s="463"/>
      <c r="K1987" s="9"/>
      <c r="L1987" s="713"/>
      <c r="M1987" s="714"/>
    </row>
    <row r="1988" spans="1:13" ht="22.5" x14ac:dyDescent="0.35">
      <c r="B1988" s="702"/>
      <c r="C1988" s="239"/>
      <c r="D1988" s="703" t="s">
        <v>10760</v>
      </c>
      <c r="E1988" s="704"/>
      <c r="F1988" s="235" t="s">
        <v>10761</v>
      </c>
      <c r="G1988" s="235" t="s">
        <v>10762</v>
      </c>
      <c r="I1988" s="461"/>
      <c r="J1988" s="463"/>
      <c r="K1988" s="239"/>
      <c r="L1988" s="713"/>
      <c r="M1988" s="714"/>
    </row>
    <row r="1989" spans="1:13" ht="22.5" x14ac:dyDescent="0.35">
      <c r="B1989" s="702"/>
      <c r="C1989" s="239"/>
      <c r="D1989" s="705" t="s">
        <v>96</v>
      </c>
      <c r="E1989" s="706"/>
      <c r="F1989" s="236">
        <f>INDEX(WEAP!$A:$AN,MATCH(B1986,WEAP!$A:$A,0),MATCH("HP",WEAP!$A$1:$BF$1,0))</f>
        <v>251</v>
      </c>
      <c r="G1989" s="237">
        <f>INDEX(WEAP!$A:$AN,MATCH(B1986,WEAP!$A:$A,0),MATCH("HP V3",WEAP!$A$1:$BF$1,0))</f>
        <v>255</v>
      </c>
      <c r="I1989" s="461"/>
      <c r="J1989" s="463"/>
      <c r="K1989" s="239"/>
      <c r="L1989" s="713"/>
      <c r="M1989" s="714"/>
    </row>
    <row r="1990" spans="1:13" ht="22.5" x14ac:dyDescent="0.35">
      <c r="B1990" s="702"/>
      <c r="C1990" s="239"/>
      <c r="D1990" s="707" t="s">
        <v>97</v>
      </c>
      <c r="E1990" s="708"/>
      <c r="F1990" s="236">
        <f>INDEX(WEAP!$A:$AN,MATCH(B1986,WEAP!$A:$A,0),MATCH("Str",WEAP!$A$1:$BF$1,0))</f>
        <v>1870</v>
      </c>
      <c r="G1990" s="237">
        <f>INDEX(WEAP!$A:$AN,MATCH(B1986,WEAP!$A:$A,0),MATCH("Str V3",WEAP!$A$1:$BF$1,0))</f>
        <v>1870</v>
      </c>
      <c r="I1990" s="464"/>
      <c r="J1990" s="466"/>
      <c r="K1990" s="239"/>
      <c r="L1990" s="715"/>
      <c r="M1990" s="716"/>
    </row>
    <row r="1991" spans="1:13" s="245" customFormat="1" ht="7.5" customHeight="1" x14ac:dyDescent="0.2">
      <c r="A1991" s="245" t="s">
        <v>10763</v>
      </c>
    </row>
    <row r="1992" spans="1:13" ht="22.5" x14ac:dyDescent="0.35">
      <c r="A1992" s="244" t="str">
        <f>TEXT(A1985+1,"000")</f>
        <v>285</v>
      </c>
      <c r="B1992" s="238" t="str">
        <f>"W-"&amp;A1992</f>
        <v>W-285</v>
      </c>
      <c r="C1992" s="239"/>
      <c r="D1992" s="692" t="str">
        <f>+INDEX(WEAP!$A:$AN,MATCH(B1993,WEAP!$A:$A,0),MATCH("Name",WEAP!$A$1:$BF$1,0))</f>
        <v>Fulminator's Fang</v>
      </c>
      <c r="E1992" s="693"/>
      <c r="F1992" s="693"/>
      <c r="G1992" s="694"/>
      <c r="I1992" s="241" t="str">
        <f>+INDEX(WEAP!$A:$AN,MATCH(B1993,WEAP!$A:$A,0),MATCH("Weapon Skill",WEAP!$A$1:$BF$1,0))</f>
        <v>Roaring Fulminator</v>
      </c>
      <c r="J1992" s="243">
        <f>INDEX('W-S'!$A:$N,MATCH(I1992,'W-S'!$C:$C,0),MATCH("SP Cost",'W-S'!$1:$1,0))</f>
        <v>6145</v>
      </c>
      <c r="K1992" s="9"/>
      <c r="L1992" s="241" t="str">
        <f>+I1992</f>
        <v>Roaring Fulminator</v>
      </c>
      <c r="M1992" s="243">
        <f>INDEX('W-S'!$A:$N,MATCH(L1992,'W-S'!$C:$C,0),MATCH("SP Cost V3",'W-S'!$1:$1,0))</f>
        <v>6000</v>
      </c>
    </row>
    <row r="1993" spans="1:13" ht="22.5" customHeight="1" x14ac:dyDescent="0.35">
      <c r="B1993" s="238" t="str">
        <f>+INDEX(WEAP!$A:$AN,MATCH(B1992,WEAP!$B:$B,0),MATCH("ID",WEAP!$A$1:$BF$1,0))</f>
        <v>303150_01</v>
      </c>
      <c r="C1993" s="240"/>
      <c r="D1993" s="692" t="str">
        <f>+INDEX(WEAP!$A:$AN,MATCH(B1992,WEAP!$B:$B,0),MATCH("Family",WEAP!$A$1:$BF$1,0))&amp;" Weapon"</f>
        <v>Primal Weapon</v>
      </c>
      <c r="E1993" s="693"/>
      <c r="F1993" s="693"/>
      <c r="G1993" s="694"/>
      <c r="H1993" s="8"/>
      <c r="I1993" s="458" t="str">
        <f>INDEX('W-S'!$A:$O,MATCH(I1992,'W-S'!$C:$C,0),MATCH("Description",'W-S'!$1:$1,0))</f>
        <v>Deals 5 hits of 164% light damage to enemies directly ahead, increases the user's strength by 20% for 15 seconds, and grants them the "Primal Dragalia" effect for 90 seconds. Primal Dragalia increases the user's strength by 15% and their attack rate by 5%. Primal Dragalia will not stack.</v>
      </c>
      <c r="J1993" s="460"/>
      <c r="K1993" s="239"/>
      <c r="L1993" s="711" t="str">
        <f>INDEX('W-S'!$A:$O,MATCH(I1992,'W-S'!$C:$C,0),MATCH("Description V3",'W-S'!$1:$1,0))</f>
        <v>Deals 5 hits of 300% light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1993" s="712"/>
    </row>
    <row r="1994" spans="1:13" ht="22.5" x14ac:dyDescent="0.2">
      <c r="B1994" s="701" t="e" vm="305">
        <f>+_xlfn.IMAGE("https://natalie.tf/wp-content/uploads/2023/10/DLV3_Icon_Weapon_"&amp;B1993&amp;".png")</f>
        <v>#VALUE!</v>
      </c>
      <c r="C1994" s="240"/>
      <c r="D1994" s="692" t="str">
        <f>INDEX(WEAP!$A:$AN,MATCH(B1993,WEAP!$A:$A,0),MATCH("Element",WEAP!$A$1:$BF$1,0))&amp;" "&amp;INDEX(WEAP!$A:$AN,MATCH(B1993,WEAP!$A:$A,0),MATCH("Type",WEAP!$A$1:$BF$1,0))</f>
        <v>Light Dagger</v>
      </c>
      <c r="E1994" s="693"/>
      <c r="F1994" s="693"/>
      <c r="G1994" s="694"/>
      <c r="H1994" s="8"/>
      <c r="I1994" s="461"/>
      <c r="J1994" s="463"/>
      <c r="K1994" s="9"/>
      <c r="L1994" s="713"/>
      <c r="M1994" s="714"/>
    </row>
    <row r="1995" spans="1:13" ht="22.5" x14ac:dyDescent="0.35">
      <c r="B1995" s="702"/>
      <c r="C1995" s="239"/>
      <c r="D1995" s="703" t="s">
        <v>10760</v>
      </c>
      <c r="E1995" s="704"/>
      <c r="F1995" s="235" t="s">
        <v>10761</v>
      </c>
      <c r="G1995" s="235" t="s">
        <v>10762</v>
      </c>
      <c r="I1995" s="461"/>
      <c r="J1995" s="463"/>
      <c r="K1995" s="239"/>
      <c r="L1995" s="713"/>
      <c r="M1995" s="714"/>
    </row>
    <row r="1996" spans="1:13" ht="22.5" x14ac:dyDescent="0.35">
      <c r="B1996" s="702"/>
      <c r="C1996" s="239"/>
      <c r="D1996" s="705" t="s">
        <v>96</v>
      </c>
      <c r="E1996" s="706"/>
      <c r="F1996" s="236">
        <f>INDEX(WEAP!$A:$AN,MATCH(B1993,WEAP!$A:$A,0),MATCH("HP",WEAP!$A$1:$BF$1,0))</f>
        <v>287</v>
      </c>
      <c r="G1996" s="237">
        <f>INDEX(WEAP!$A:$AN,MATCH(B1993,WEAP!$A:$A,0),MATCH("HP V3",WEAP!$A$1:$BF$1,0))</f>
        <v>290</v>
      </c>
      <c r="I1996" s="461"/>
      <c r="J1996" s="463"/>
      <c r="K1996" s="239"/>
      <c r="L1996" s="713"/>
      <c r="M1996" s="714"/>
    </row>
    <row r="1997" spans="1:13" ht="22.5" x14ac:dyDescent="0.35">
      <c r="B1997" s="702"/>
      <c r="C1997" s="239"/>
      <c r="D1997" s="707" t="s">
        <v>97</v>
      </c>
      <c r="E1997" s="708"/>
      <c r="F1997" s="236">
        <f>INDEX(WEAP!$A:$AN,MATCH(B1993,WEAP!$A:$A,0),MATCH("Str",WEAP!$A$1:$BF$1,0))</f>
        <v>1728</v>
      </c>
      <c r="G1997" s="237">
        <f>INDEX(WEAP!$A:$AN,MATCH(B1993,WEAP!$A:$A,0),MATCH("Str V3",WEAP!$A$1:$BF$1,0))</f>
        <v>1730</v>
      </c>
      <c r="I1997" s="464"/>
      <c r="J1997" s="466"/>
      <c r="K1997" s="239"/>
      <c r="L1997" s="715"/>
      <c r="M1997" s="716"/>
    </row>
    <row r="1998" spans="1:13" ht="33.75" customHeight="1" x14ac:dyDescent="0.2">
      <c r="A1998" t="s">
        <v>10763</v>
      </c>
    </row>
    <row r="1999" spans="1:13" ht="22.5" x14ac:dyDescent="0.35">
      <c r="A1999" s="244" t="str">
        <f>TEXT(A1992+1,"000")</f>
        <v>286</v>
      </c>
      <c r="B1999" s="238" t="str">
        <f>"W-"&amp;A1999</f>
        <v>W-286</v>
      </c>
      <c r="C1999" s="239"/>
      <c r="D1999" s="717" t="str">
        <f>+INDEX(WEAP!$A:$AN,MATCH(B2000,WEAP!$A:$A,0),MATCH("Name",WEAP!$A$1:$BF$1,0))</f>
        <v>Indomitable Thundercrash</v>
      </c>
      <c r="E1999" s="718"/>
      <c r="F1999" s="718"/>
      <c r="G1999" s="719"/>
      <c r="I1999" s="241" t="str">
        <f>+INDEX(WEAP!$A:$AN,MATCH(B2000,WEAP!$A:$A,0),MATCH("Weapon Skill",WEAP!$A$1:$BF$1,0))</f>
        <v>Indomitable Thunder's Delight</v>
      </c>
      <c r="J1999" s="243">
        <f>INDEX('W-S'!$A:$N,MATCH(I1999,'W-S'!$C:$C,0),MATCH("SP Cost",'W-S'!$1:$1,0))</f>
        <v>8260</v>
      </c>
      <c r="K1999" s="9"/>
      <c r="L1999" s="241" t="str">
        <f>+I1999</f>
        <v>Indomitable Thunder's Delight</v>
      </c>
      <c r="M1999" s="243">
        <f>INDEX('W-S'!$A:$N,MATCH(L1999,'W-S'!$C:$C,0),MATCH("SP Cost V3",'W-S'!$1:$1,0))</f>
        <v>6000</v>
      </c>
    </row>
    <row r="2000" spans="1:13" ht="22.5" customHeight="1" x14ac:dyDescent="0.35">
      <c r="B2000" s="238" t="str">
        <f>+INDEX(WEAP!$A:$AN,MATCH(B1999,WEAP!$B:$B,0),MATCH("ID",WEAP!$A$1:$BF$1,0))</f>
        <v>304147_01</v>
      </c>
      <c r="C2000" s="240"/>
      <c r="D2000" s="692" t="str">
        <f>+INDEX(WEAP!$A:$AN,MATCH(B1999,WEAP!$B:$B,0),MATCH("Family",WEAP!$A$1:$BF$1,0))&amp;" Weapon"</f>
        <v>Primal Weapon</v>
      </c>
      <c r="E2000" s="693"/>
      <c r="F2000" s="693"/>
      <c r="G2000" s="694"/>
      <c r="H2000" s="8"/>
      <c r="I2000" s="458" t="str">
        <f>INDEX('W-S'!$A:$O,MATCH(I1999,'W-S'!$C:$C,0),MATCH("Description",'W-S'!$1:$1,0))</f>
        <v>Deals 5 hits of 226% light damage to enemies directly ahead, increases the user's strength by 20% for 15 seconds, and grants them the "Primal Dragalia" effect for 90 seconds. Primal Dragalia increases the user's strength by 15% and their attack rate by 5%. Primal Dragalia will not stack.</v>
      </c>
      <c r="J2000" s="460"/>
      <c r="K2000" s="239"/>
      <c r="L2000" s="711" t="str">
        <f>INDEX('W-S'!$A:$O,MATCH(I1999,'W-S'!$C:$C,0),MATCH("Description V3",'W-S'!$1:$1,0))</f>
        <v>Deals 5 hits of 300% light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2000" s="712"/>
    </row>
    <row r="2001" spans="1:13" ht="22.5" x14ac:dyDescent="0.2">
      <c r="B2001" s="701" t="e" vm="306">
        <f>+_xlfn.IMAGE("https://natalie.tf/wp-content/uploads/2023/10/DLV3_Icon_Weapon_"&amp;B2000&amp;".png")</f>
        <v>#VALUE!</v>
      </c>
      <c r="C2001" s="240"/>
      <c r="D2001" s="692" t="str">
        <f>INDEX(WEAP!$A:$AN,MATCH(B2000,WEAP!$A:$A,0),MATCH("Element",WEAP!$A$1:$BF$1,0))&amp;" "&amp;INDEX(WEAP!$A:$AN,MATCH(B2000,WEAP!$A:$A,0),MATCH("Type",WEAP!$A$1:$BF$1,0))</f>
        <v>Light Axe</v>
      </c>
      <c r="E2001" s="693"/>
      <c r="F2001" s="693"/>
      <c r="G2001" s="694"/>
      <c r="H2001" s="8"/>
      <c r="I2001" s="461"/>
      <c r="J2001" s="463"/>
      <c r="K2001" s="9"/>
      <c r="L2001" s="713"/>
      <c r="M2001" s="714"/>
    </row>
    <row r="2002" spans="1:13" ht="22.5" x14ac:dyDescent="0.35">
      <c r="B2002" s="702"/>
      <c r="C2002" s="239"/>
      <c r="D2002" s="703" t="s">
        <v>10760</v>
      </c>
      <c r="E2002" s="704"/>
      <c r="F2002" s="235" t="s">
        <v>10761</v>
      </c>
      <c r="G2002" s="235" t="s">
        <v>10762</v>
      </c>
      <c r="I2002" s="461"/>
      <c r="J2002" s="463"/>
      <c r="K2002" s="239"/>
      <c r="L2002" s="713"/>
      <c r="M2002" s="714"/>
    </row>
    <row r="2003" spans="1:13" ht="22.5" x14ac:dyDescent="0.35">
      <c r="B2003" s="702"/>
      <c r="C2003" s="239"/>
      <c r="D2003" s="705" t="s">
        <v>96</v>
      </c>
      <c r="E2003" s="706"/>
      <c r="F2003" s="236">
        <f>INDEX(WEAP!$A:$AN,MATCH(B2000,WEAP!$A:$A,0),MATCH("HP",WEAP!$A$1:$BF$1,0))</f>
        <v>292</v>
      </c>
      <c r="G2003" s="237">
        <f>INDEX(WEAP!$A:$AN,MATCH(B2000,WEAP!$A:$A,0),MATCH("HP V3",WEAP!$A$1:$BF$1,0))</f>
        <v>300</v>
      </c>
      <c r="I2003" s="461"/>
      <c r="J2003" s="463"/>
      <c r="K2003" s="239"/>
      <c r="L2003" s="713"/>
      <c r="M2003" s="714"/>
    </row>
    <row r="2004" spans="1:13" ht="22.5" x14ac:dyDescent="0.35">
      <c r="B2004" s="702"/>
      <c r="C2004" s="239"/>
      <c r="D2004" s="707" t="s">
        <v>97</v>
      </c>
      <c r="E2004" s="708"/>
      <c r="F2004" s="236">
        <f>INDEX(WEAP!$A:$AN,MATCH(B2000,WEAP!$A:$A,0),MATCH("Str",WEAP!$A$1:$BF$1,0))</f>
        <v>1852</v>
      </c>
      <c r="G2004" s="237">
        <f>INDEX(WEAP!$A:$AN,MATCH(B2000,WEAP!$A:$A,0),MATCH("Str V3",WEAP!$A$1:$BF$1,0))</f>
        <v>1855</v>
      </c>
      <c r="I2004" s="464"/>
      <c r="J2004" s="466"/>
      <c r="K2004" s="239"/>
      <c r="L2004" s="715"/>
      <c r="M2004" s="716"/>
    </row>
    <row r="2005" spans="1:13" s="245" customFormat="1" ht="7.5" customHeight="1" x14ac:dyDescent="0.2">
      <c r="A2005" s="245" t="s">
        <v>10763</v>
      </c>
    </row>
    <row r="2006" spans="1:13" ht="22.5" x14ac:dyDescent="0.35">
      <c r="A2006" s="242" t="str">
        <f>TEXT(A1999+1,"000")</f>
        <v>287</v>
      </c>
      <c r="B2006" s="238" t="str">
        <f>"W-"&amp;A2006</f>
        <v>W-287</v>
      </c>
      <c r="C2006" s="239"/>
      <c r="D2006" s="692" t="str">
        <f>+INDEX(WEAP!$A:$AN,MATCH(B2007,WEAP!$A:$A,0),MATCH("Name",WEAP!$A$1:$BF$1,0))</f>
        <v>Radiant Lightflash</v>
      </c>
      <c r="E2006" s="693"/>
      <c r="F2006" s="693"/>
      <c r="G2006" s="694"/>
      <c r="I2006" s="241" t="str">
        <f>+INDEX(WEAP!$A:$AN,MATCH(B2007,WEAP!$A:$A,0),MATCH("Weapon Skill",WEAP!$A$1:$BF$1,0))</f>
        <v>Radiant Thunder</v>
      </c>
      <c r="J2006" s="243">
        <f>INDEX('W-S'!$A:$N,MATCH(I2006,'W-S'!$C:$C,0),MATCH("SP Cost",'W-S'!$1:$1,0))</f>
        <v>6762</v>
      </c>
      <c r="K2006" s="9"/>
      <c r="L2006" s="241" t="str">
        <f>+I2006</f>
        <v>Radiant Thunder</v>
      </c>
      <c r="M2006" s="243">
        <f>INDEX('W-S'!$A:$N,MATCH(L2006,'W-S'!$C:$C,0),MATCH("SP Cost V3",'W-S'!$1:$1,0))</f>
        <v>6000</v>
      </c>
    </row>
    <row r="2007" spans="1:13" ht="22.5" customHeight="1" x14ac:dyDescent="0.35">
      <c r="B2007" s="238" t="str">
        <f>+INDEX(WEAP!$A:$AN,MATCH(B2006,WEAP!$B:$B,0),MATCH("ID",WEAP!$A$1:$BF$1,0))</f>
        <v>305157_01</v>
      </c>
      <c r="C2007" s="240"/>
      <c r="D2007" s="692" t="str">
        <f>+INDEX(WEAP!$A:$AN,MATCH(B2006,WEAP!$B:$B,0),MATCH("Family",WEAP!$A$1:$BF$1,0))&amp;" Weapon"</f>
        <v>Primal Weapon</v>
      </c>
      <c r="E2007" s="693"/>
      <c r="F2007" s="693"/>
      <c r="G2007" s="694"/>
      <c r="H2007" s="8"/>
      <c r="I2007" s="458" t="str">
        <f>INDEX('W-S'!$A:$O,MATCH(I2006,'W-S'!$C:$C,0),MATCH("Description",'W-S'!$1:$1,0))</f>
        <v>Deals 2 hits of 414% light damage to surrounding enemies, increases the user's strength by 20% for 15 seconds, and grants them the "Primal Dragalia" effect for 90 seconds. Primal Dragalia increases the user's strength by 15% and their attack rate by 5%. Primal Dragalia will not stack.</v>
      </c>
      <c r="J2007" s="460"/>
      <c r="K2007" s="239"/>
      <c r="L2007" s="711" t="str">
        <f>INDEX('W-S'!$A:$O,MATCH(I2006,'W-S'!$C:$C,0),MATCH("Description V3",'W-S'!$1:$1,0))</f>
        <v>Deals 2 hits of 750% light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2007" s="712"/>
    </row>
    <row r="2008" spans="1:13" ht="22.5" x14ac:dyDescent="0.2">
      <c r="B2008" s="701" t="e" vm="307">
        <f>+_xlfn.IMAGE("https://natalie.tf/wp-content/uploads/2023/10/DLV3_Icon_Weapon_"&amp;B2007&amp;".png")</f>
        <v>#VALUE!</v>
      </c>
      <c r="C2008" s="240"/>
      <c r="D2008" s="692" t="str">
        <f>INDEX(WEAP!$A:$AN,MATCH(B2007,WEAP!$A:$A,0),MATCH("Element",WEAP!$A$1:$BF$1,0))&amp;" "&amp;INDEX(WEAP!$A:$AN,MATCH(B2007,WEAP!$A:$A,0),MATCH("Type",WEAP!$A$1:$BF$1,0))</f>
        <v>Light Lance</v>
      </c>
      <c r="E2008" s="693"/>
      <c r="F2008" s="693"/>
      <c r="G2008" s="694"/>
      <c r="H2008" s="8"/>
      <c r="I2008" s="461"/>
      <c r="J2008" s="463"/>
      <c r="K2008" s="9"/>
      <c r="L2008" s="713"/>
      <c r="M2008" s="714"/>
    </row>
    <row r="2009" spans="1:13" ht="22.5" x14ac:dyDescent="0.35">
      <c r="B2009" s="702"/>
      <c r="C2009" s="239"/>
      <c r="D2009" s="703" t="s">
        <v>10760</v>
      </c>
      <c r="E2009" s="704"/>
      <c r="F2009" s="235" t="s">
        <v>10761</v>
      </c>
      <c r="G2009" s="235" t="s">
        <v>10762</v>
      </c>
      <c r="I2009" s="461"/>
      <c r="J2009" s="463"/>
      <c r="K2009" s="239"/>
      <c r="L2009" s="713"/>
      <c r="M2009" s="714"/>
    </row>
    <row r="2010" spans="1:13" ht="22.5" x14ac:dyDescent="0.35">
      <c r="B2010" s="702"/>
      <c r="C2010" s="239"/>
      <c r="D2010" s="705" t="s">
        <v>96</v>
      </c>
      <c r="E2010" s="706"/>
      <c r="F2010" s="236">
        <f>INDEX(WEAP!$A:$AN,MATCH(B2007,WEAP!$A:$A,0),MATCH("HP",WEAP!$A$1:$BF$1,0))</f>
        <v>290</v>
      </c>
      <c r="G2010" s="237">
        <f>INDEX(WEAP!$A:$AN,MATCH(B2007,WEAP!$A:$A,0),MATCH("HP V3",WEAP!$A$1:$BF$1,0))</f>
        <v>290</v>
      </c>
      <c r="I2010" s="461"/>
      <c r="J2010" s="463"/>
      <c r="K2010" s="239"/>
      <c r="L2010" s="713"/>
      <c r="M2010" s="714"/>
    </row>
    <row r="2011" spans="1:13" ht="22.5" x14ac:dyDescent="0.35">
      <c r="B2011" s="702"/>
      <c r="C2011" s="239"/>
      <c r="D2011" s="707" t="s">
        <v>97</v>
      </c>
      <c r="E2011" s="708"/>
      <c r="F2011" s="236">
        <f>INDEX(WEAP!$A:$AN,MATCH(B2007,WEAP!$A:$A,0),MATCH("Str",WEAP!$A$1:$BF$1,0))</f>
        <v>1799</v>
      </c>
      <c r="G2011" s="237">
        <f>INDEX(WEAP!$A:$AN,MATCH(B2007,WEAP!$A:$A,0),MATCH("Str V3",WEAP!$A$1:$BF$1,0))</f>
        <v>1800</v>
      </c>
      <c r="I2011" s="464"/>
      <c r="J2011" s="466"/>
      <c r="K2011" s="239"/>
      <c r="L2011" s="715"/>
      <c r="M2011" s="716"/>
    </row>
    <row r="2012" spans="1:13" s="245" customFormat="1" ht="7.5" customHeight="1" x14ac:dyDescent="0.2">
      <c r="A2012" s="245" t="s">
        <v>10763</v>
      </c>
    </row>
    <row r="2013" spans="1:13" ht="22.5" x14ac:dyDescent="0.35">
      <c r="A2013" s="244" t="str">
        <f>TEXT(A2006+1,"000")</f>
        <v>288</v>
      </c>
      <c r="B2013" s="238" t="str">
        <f>"W-"&amp;A2013</f>
        <v>W-288</v>
      </c>
      <c r="C2013" s="239"/>
      <c r="D2013" s="692" t="str">
        <f>+INDEX(WEAP!$A:$AN,MATCH(B2014,WEAP!$A:$A,0),MATCH("Name",WEAP!$A$1:$BF$1,0))</f>
        <v>Jupiter's Shimmer</v>
      </c>
      <c r="E2013" s="693"/>
      <c r="F2013" s="693"/>
      <c r="G2013" s="694"/>
      <c r="I2013" s="241" t="str">
        <f>+INDEX(WEAP!$A:$AN,MATCH(B2014,WEAP!$A:$A,0),MATCH("Weapon Skill",WEAP!$A$1:$BF$1,0))</f>
        <v>Jupiter's Shimmering Protection</v>
      </c>
      <c r="J2013" s="243">
        <f>INDEX('W-S'!$A:$N,MATCH(I2013,'W-S'!$C:$C,0),MATCH("SP Cost",'W-S'!$1:$1,0))</f>
        <v>7267</v>
      </c>
      <c r="K2013" s="9"/>
      <c r="L2013" s="241" t="str">
        <f>+I2013</f>
        <v>Jupiter's Shimmering Protection</v>
      </c>
      <c r="M2013" s="243">
        <f>INDEX('W-S'!$A:$N,MATCH(L2013,'W-S'!$C:$C,0),MATCH("SP Cost V3",'W-S'!$1:$1,0))</f>
        <v>6000</v>
      </c>
    </row>
    <row r="2014" spans="1:13" ht="22.5" customHeight="1" x14ac:dyDescent="0.35">
      <c r="B2014" s="238" t="str">
        <f>+INDEX(WEAP!$A:$AN,MATCH(B2013,WEAP!$B:$B,0),MATCH("ID",WEAP!$A$1:$BF$1,0))</f>
        <v>306149_01</v>
      </c>
      <c r="C2014" s="240"/>
      <c r="D2014" s="692" t="str">
        <f>+INDEX(WEAP!$A:$AN,MATCH(B2013,WEAP!$B:$B,0),MATCH("Family",WEAP!$A$1:$BF$1,0))&amp;" Weapon"</f>
        <v>Primal Weapon</v>
      </c>
      <c r="E2014" s="693"/>
      <c r="F2014" s="693"/>
      <c r="G2014" s="694"/>
      <c r="H2014" s="8"/>
      <c r="I2014" s="458" t="str">
        <f>INDEX('W-S'!$A:$O,MATCH(I2013,'W-S'!$C:$C,0),MATCH("Description",'W-S'!$1:$1,0))</f>
        <v>Deals 1 hit of 949% light damage to the target, increases the user's strength by 20% for 15 seconds, and grants them the "Primal Dragalia" effect for 90 seconds. Primal Dragalia increases the user's strength by 15% and their attack rate by 5%. Primal Dragalia will not stack.</v>
      </c>
      <c r="J2014" s="460"/>
      <c r="K2014" s="239"/>
      <c r="L2014" s="711" t="str">
        <f>INDEX('W-S'!$A:$O,MATCH(I2013,'W-S'!$C:$C,0),MATCH("Description V3",'W-S'!$1:$1,0))</f>
        <v>Deals 1 hit of 1500% light damage to the target,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2014" s="712"/>
    </row>
    <row r="2015" spans="1:13" ht="22.5" x14ac:dyDescent="0.2">
      <c r="B2015" s="701" t="e" vm="308">
        <f>+_xlfn.IMAGE("https://natalie.tf/wp-content/uploads/2023/10/DLV3_Icon_Weapon_"&amp;B2014&amp;".png")</f>
        <v>#VALUE!</v>
      </c>
      <c r="C2015" s="240"/>
      <c r="D2015" s="692" t="str">
        <f>INDEX(WEAP!$A:$AN,MATCH(B2014,WEAP!$A:$A,0),MATCH("Element",WEAP!$A$1:$BF$1,0))&amp;" "&amp;INDEX(WEAP!$A:$AN,MATCH(B2014,WEAP!$A:$A,0),MATCH("Type",WEAP!$A$1:$BF$1,0))</f>
        <v>Light Bow</v>
      </c>
      <c r="E2015" s="693"/>
      <c r="F2015" s="693"/>
      <c r="G2015" s="694"/>
      <c r="H2015" s="8"/>
      <c r="I2015" s="461"/>
      <c r="J2015" s="463"/>
      <c r="K2015" s="9"/>
      <c r="L2015" s="713"/>
      <c r="M2015" s="714"/>
    </row>
    <row r="2016" spans="1:13" ht="22.5" x14ac:dyDescent="0.35">
      <c r="B2016" s="702"/>
      <c r="C2016" s="239"/>
      <c r="D2016" s="703" t="s">
        <v>10760</v>
      </c>
      <c r="E2016" s="704"/>
      <c r="F2016" s="235" t="s">
        <v>10761</v>
      </c>
      <c r="G2016" s="235" t="s">
        <v>10762</v>
      </c>
      <c r="I2016" s="461"/>
      <c r="J2016" s="463"/>
      <c r="K2016" s="239"/>
      <c r="L2016" s="713"/>
      <c r="M2016" s="714"/>
    </row>
    <row r="2017" spans="1:13" ht="22.5" x14ac:dyDescent="0.35">
      <c r="B2017" s="702"/>
      <c r="C2017" s="239"/>
      <c r="D2017" s="705" t="s">
        <v>96</v>
      </c>
      <c r="E2017" s="706"/>
      <c r="F2017" s="236">
        <f>INDEX(WEAP!$A:$AN,MATCH(B2014,WEAP!$A:$A,0),MATCH("HP",WEAP!$A$1:$BF$1,0))</f>
        <v>278</v>
      </c>
      <c r="G2017" s="237">
        <f>INDEX(WEAP!$A:$AN,MATCH(B2014,WEAP!$A:$A,0),MATCH("HP V3",WEAP!$A$1:$BF$1,0))</f>
        <v>280</v>
      </c>
      <c r="I2017" s="461"/>
      <c r="J2017" s="463"/>
      <c r="K2017" s="239"/>
      <c r="L2017" s="713"/>
      <c r="M2017" s="714"/>
    </row>
    <row r="2018" spans="1:13" ht="22.5" x14ac:dyDescent="0.35">
      <c r="B2018" s="702"/>
      <c r="C2018" s="239"/>
      <c r="D2018" s="707" t="s">
        <v>97</v>
      </c>
      <c r="E2018" s="708"/>
      <c r="F2018" s="236">
        <f>INDEX(WEAP!$A:$AN,MATCH(B2014,WEAP!$A:$A,0),MATCH("Str",WEAP!$A$1:$BF$1,0))</f>
        <v>1694</v>
      </c>
      <c r="G2018" s="237">
        <f>INDEX(WEAP!$A:$AN,MATCH(B2014,WEAP!$A:$A,0),MATCH("Str V3",WEAP!$A$1:$BF$1,0))</f>
        <v>1700</v>
      </c>
      <c r="I2018" s="464"/>
      <c r="J2018" s="466"/>
      <c r="K2018" s="239"/>
      <c r="L2018" s="715"/>
      <c r="M2018" s="716"/>
    </row>
    <row r="2019" spans="1:13" s="245" customFormat="1" ht="7.5" customHeight="1" x14ac:dyDescent="0.2">
      <c r="A2019" s="245" t="s">
        <v>10763</v>
      </c>
    </row>
    <row r="2020" spans="1:13" ht="22.5" x14ac:dyDescent="0.35">
      <c r="A2020" s="244" t="str">
        <f>TEXT(A2013+1,"000")</f>
        <v>289</v>
      </c>
      <c r="B2020" s="238" t="str">
        <f>"W-"&amp;A2020</f>
        <v>W-289</v>
      </c>
      <c r="C2020" s="239"/>
      <c r="D2020" s="692" t="str">
        <f>+INDEX(WEAP!$A:$AN,MATCH(B2021,WEAP!$A:$A,0),MATCH("Name",WEAP!$A$1:$BF$1,0))</f>
        <v>Electron Burst</v>
      </c>
      <c r="E2020" s="693"/>
      <c r="F2020" s="693"/>
      <c r="G2020" s="694"/>
      <c r="I2020" s="241" t="str">
        <f>+INDEX(WEAP!$A:$AN,MATCH(B2021,WEAP!$A:$A,0),MATCH("Weapon Skill",WEAP!$A$1:$BF$1,0))</f>
        <v>Rapturous Lightning</v>
      </c>
      <c r="J2020" s="243">
        <f>INDEX('W-S'!$A:$N,MATCH(I2020,'W-S'!$C:$C,0),MATCH("SP Cost",'W-S'!$1:$1,0))</f>
        <v>7881</v>
      </c>
      <c r="K2020" s="9"/>
      <c r="L2020" s="241" t="str">
        <f>+I2020</f>
        <v>Rapturous Lightning</v>
      </c>
      <c r="M2020" s="243">
        <f>INDEX('W-S'!$A:$N,MATCH(L2020,'W-S'!$C:$C,0),MATCH("SP Cost V3",'W-S'!$1:$1,0))</f>
        <v>6000</v>
      </c>
    </row>
    <row r="2021" spans="1:13" ht="22.5" customHeight="1" x14ac:dyDescent="0.35">
      <c r="B2021" s="238" t="str">
        <f>+INDEX(WEAP!$A:$AN,MATCH(B2020,WEAP!$B:$B,0),MATCH("ID",WEAP!$A$1:$BF$1,0))</f>
        <v>307156_01</v>
      </c>
      <c r="C2021" s="240"/>
      <c r="D2021" s="692" t="str">
        <f>+INDEX(WEAP!$A:$AN,MATCH(B2020,WEAP!$B:$B,0),MATCH("Family",WEAP!$A$1:$BF$1,0))&amp;" Weapon"</f>
        <v>Primal Weapon</v>
      </c>
      <c r="E2021" s="693"/>
      <c r="F2021" s="693"/>
      <c r="G2021" s="694"/>
      <c r="H2021" s="8"/>
      <c r="I2021" s="458" t="str">
        <f>INDEX('W-S'!$A:$O,MATCH(I2020,'W-S'!$C:$C,0),MATCH("Description",'W-S'!$1:$1,0))</f>
        <v>Deals 4 hits of 271% light damage to the target and nearby enemies, increases the user's strength by 20% for 15 seconds, and grants them the "Primal Dragalia" effect for 90 seconds. Primal Dragalia increases the user's strength by 15% and their attack rate by 5%. Primal Dragalia will not stack.</v>
      </c>
      <c r="J2021" s="460"/>
      <c r="K2021" s="239"/>
      <c r="L2021" s="711" t="str">
        <f>INDEX('W-S'!$A:$O,MATCH(I2020,'W-S'!$C:$C,0),MATCH("Description V3",'W-S'!$1:$1,0))</f>
        <v>Deals 4 hits of 375% light damage to the target and nearby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2021" s="712"/>
    </row>
    <row r="2022" spans="1:13" ht="22.5" x14ac:dyDescent="0.2">
      <c r="B2022" s="701" t="e" vm="309">
        <f>+_xlfn.IMAGE("https://natalie.tf/wp-content/uploads/2023/10/DLV3_Icon_Weapon_"&amp;B2021&amp;".png")</f>
        <v>#VALUE!</v>
      </c>
      <c r="C2022" s="240"/>
      <c r="D2022" s="692" t="str">
        <f>INDEX(WEAP!$A:$AN,MATCH(B2021,WEAP!$A:$A,0),MATCH("Element",WEAP!$A$1:$BF$1,0))&amp;" "&amp;INDEX(WEAP!$A:$AN,MATCH(B2021,WEAP!$A:$A,0),MATCH("Type",WEAP!$A$1:$BF$1,0))</f>
        <v>Light Wand</v>
      </c>
      <c r="E2022" s="693"/>
      <c r="F2022" s="693"/>
      <c r="G2022" s="694"/>
      <c r="H2022" s="8"/>
      <c r="I2022" s="461"/>
      <c r="J2022" s="463"/>
      <c r="K2022" s="9"/>
      <c r="L2022" s="713"/>
      <c r="M2022" s="714"/>
    </row>
    <row r="2023" spans="1:13" ht="22.5" x14ac:dyDescent="0.35">
      <c r="B2023" s="702"/>
      <c r="C2023" s="239"/>
      <c r="D2023" s="703" t="s">
        <v>10760</v>
      </c>
      <c r="E2023" s="704"/>
      <c r="F2023" s="235" t="s">
        <v>10761</v>
      </c>
      <c r="G2023" s="235" t="s">
        <v>10762</v>
      </c>
      <c r="I2023" s="461"/>
      <c r="J2023" s="463"/>
      <c r="K2023" s="239"/>
      <c r="L2023" s="713"/>
      <c r="M2023" s="714"/>
    </row>
    <row r="2024" spans="1:13" ht="22.5" x14ac:dyDescent="0.35">
      <c r="B2024" s="702"/>
      <c r="C2024" s="239"/>
      <c r="D2024" s="705" t="s">
        <v>96</v>
      </c>
      <c r="E2024" s="706"/>
      <c r="F2024" s="236">
        <f>INDEX(WEAP!$A:$AN,MATCH(B2021,WEAP!$A:$A,0),MATCH("HP",WEAP!$A$1:$BF$1,0))</f>
        <v>268</v>
      </c>
      <c r="G2024" s="237">
        <f>INDEX(WEAP!$A:$AN,MATCH(B2021,WEAP!$A:$A,0),MATCH("HP V3",WEAP!$A$1:$BF$1,0))</f>
        <v>275</v>
      </c>
      <c r="I2024" s="461"/>
      <c r="J2024" s="463"/>
      <c r="K2024" s="239"/>
      <c r="L2024" s="713"/>
      <c r="M2024" s="714"/>
    </row>
    <row r="2025" spans="1:13" ht="22.5" x14ac:dyDescent="0.35">
      <c r="B2025" s="702"/>
      <c r="C2025" s="239"/>
      <c r="D2025" s="707" t="s">
        <v>97</v>
      </c>
      <c r="E2025" s="708"/>
      <c r="F2025" s="236">
        <f>INDEX(WEAP!$A:$AN,MATCH(B2021,WEAP!$A:$A,0),MATCH("Str",WEAP!$A$1:$BF$1,0))</f>
        <v>1817</v>
      </c>
      <c r="G2025" s="237">
        <f>INDEX(WEAP!$A:$AN,MATCH(B2021,WEAP!$A:$A,0),MATCH("Str V3",WEAP!$A$1:$BF$1,0))</f>
        <v>1820</v>
      </c>
      <c r="I2025" s="464"/>
      <c r="J2025" s="466"/>
      <c r="K2025" s="239"/>
      <c r="L2025" s="715"/>
      <c r="M2025" s="716"/>
    </row>
    <row r="2026" spans="1:13" s="245" customFormat="1" ht="7.5" customHeight="1" x14ac:dyDescent="0.2">
      <c r="A2026" s="245" t="s">
        <v>10763</v>
      </c>
    </row>
    <row r="2027" spans="1:13" ht="22.5" x14ac:dyDescent="0.35">
      <c r="A2027" s="244" t="str">
        <f>TEXT(A2020+1,"000")</f>
        <v>290</v>
      </c>
      <c r="B2027" s="238" t="str">
        <f>"W-"&amp;A2027</f>
        <v>W-290</v>
      </c>
      <c r="C2027" s="239"/>
      <c r="D2027" s="692" t="str">
        <f>+INDEX(WEAP!$A:$AN,MATCH(B2028,WEAP!$A:$A,0),MATCH("Name",WEAP!$A$1:$BF$1,0))</f>
        <v>Cosmic Ruler</v>
      </c>
      <c r="E2027" s="693"/>
      <c r="F2027" s="693"/>
      <c r="G2027" s="694"/>
      <c r="I2027" s="241" t="str">
        <f>+INDEX(WEAP!$A:$AN,MATCH(B2028,WEAP!$A:$A,0),MATCH("Weapon Skill",WEAP!$A$1:$BF$1,0))</f>
        <v>Heaven's Decree</v>
      </c>
      <c r="J2027" s="243">
        <f>INDEX('W-S'!$A:$N,MATCH(I2027,'W-S'!$C:$C,0),MATCH("SP Cost",'W-S'!$1:$1,0))</f>
        <v>13684</v>
      </c>
      <c r="K2027" s="9"/>
      <c r="L2027" s="241" t="str">
        <f>+I2027</f>
        <v>Heaven's Decree</v>
      </c>
      <c r="M2027" s="243">
        <f>INDEX('W-S'!$A:$N,MATCH(L2027,'W-S'!$C:$C,0),MATCH("SP Cost V3",'W-S'!$1:$1,0))</f>
        <v>6000</v>
      </c>
    </row>
    <row r="2028" spans="1:13" ht="22.5" customHeight="1" x14ac:dyDescent="0.35">
      <c r="B2028" s="238" t="str">
        <f>+INDEX(WEAP!$A:$AN,MATCH(B2027,WEAP!$B:$B,0),MATCH("ID",WEAP!$A$1:$BF$1,0))</f>
        <v>308148_01</v>
      </c>
      <c r="C2028" s="240"/>
      <c r="D2028" s="692" t="str">
        <f>+INDEX(WEAP!$A:$AN,MATCH(B2027,WEAP!$B:$B,0),MATCH("Family",WEAP!$A$1:$BF$1,0))&amp;" Weapon"</f>
        <v>Primal Weapon</v>
      </c>
      <c r="E2028" s="693"/>
      <c r="F2028" s="693"/>
      <c r="G2028" s="694"/>
      <c r="H2028" s="8"/>
      <c r="I2028" s="458" t="str">
        <f>INDEX('W-S'!$A:$O,MATCH(I2027,'W-S'!$C:$C,0),MATCH("Description",'W-S'!$1:$1,0))</f>
        <v>Deals 1 hit of 755% light damage to surrounding enemies, increases the user's strength by 20% for 15 seconds, and grants them the "Primal Dragalia" effect for 90 seconds. Primal Dragalia increases the user's strength by 15% and their attack rate by 5%. Primal Dragalia will not stack.</v>
      </c>
      <c r="J2028" s="460"/>
      <c r="K2028" s="239"/>
      <c r="L2028" s="711" t="str">
        <f>INDEX('W-S'!$A:$O,MATCH(I2027,'W-S'!$C:$C,0),MATCH("Description V3",'W-S'!$1:$1,0))</f>
        <v>Deals 1 hit of 1500% light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2028" s="712"/>
    </row>
    <row r="2029" spans="1:13" ht="22.5" x14ac:dyDescent="0.2">
      <c r="B2029" s="701" t="e" vm="310">
        <f>+_xlfn.IMAGE("https://natalie.tf/wp-content/uploads/2023/10/DLV3_Icon_Weapon_"&amp;B2028&amp;".png")</f>
        <v>#VALUE!</v>
      </c>
      <c r="C2029" s="240"/>
      <c r="D2029" s="692" t="str">
        <f>INDEX(WEAP!$A:$AN,MATCH(B2028,WEAP!$A:$A,0),MATCH("Element",WEAP!$A$1:$BF$1,0))&amp;" "&amp;INDEX(WEAP!$A:$AN,MATCH(B2028,WEAP!$A:$A,0),MATCH("Type",WEAP!$A$1:$BF$1,0))</f>
        <v>Light Staff</v>
      </c>
      <c r="E2029" s="693"/>
      <c r="F2029" s="693"/>
      <c r="G2029" s="694"/>
      <c r="H2029" s="8"/>
      <c r="I2029" s="461"/>
      <c r="J2029" s="463"/>
      <c r="K2029" s="9"/>
      <c r="L2029" s="713"/>
      <c r="M2029" s="714"/>
    </row>
    <row r="2030" spans="1:13" ht="22.5" x14ac:dyDescent="0.35">
      <c r="B2030" s="702"/>
      <c r="C2030" s="239"/>
      <c r="D2030" s="703" t="s">
        <v>10760</v>
      </c>
      <c r="E2030" s="704"/>
      <c r="F2030" s="235" t="s">
        <v>10761</v>
      </c>
      <c r="G2030" s="235" t="s">
        <v>10762</v>
      </c>
      <c r="I2030" s="461"/>
      <c r="J2030" s="463"/>
      <c r="K2030" s="239"/>
      <c r="L2030" s="713"/>
      <c r="M2030" s="714"/>
    </row>
    <row r="2031" spans="1:13" ht="22.5" x14ac:dyDescent="0.35">
      <c r="B2031" s="702"/>
      <c r="C2031" s="239"/>
      <c r="D2031" s="705" t="s">
        <v>96</v>
      </c>
      <c r="E2031" s="706"/>
      <c r="F2031" s="236">
        <f>INDEX(WEAP!$A:$AN,MATCH(B2028,WEAP!$A:$A,0),MATCH("HP",WEAP!$A$1:$BF$1,0))</f>
        <v>312</v>
      </c>
      <c r="G2031" s="237">
        <f>INDEX(WEAP!$A:$AN,MATCH(B2028,WEAP!$A:$A,0),MATCH("HP V3",WEAP!$A$1:$BF$1,0))</f>
        <v>325</v>
      </c>
      <c r="I2031" s="461"/>
      <c r="J2031" s="463"/>
      <c r="K2031" s="239"/>
      <c r="L2031" s="713"/>
      <c r="M2031" s="714"/>
    </row>
    <row r="2032" spans="1:13" ht="22.5" x14ac:dyDescent="0.35">
      <c r="B2032" s="702"/>
      <c r="C2032" s="239"/>
      <c r="D2032" s="707" t="s">
        <v>97</v>
      </c>
      <c r="E2032" s="708"/>
      <c r="F2032" s="236">
        <f>INDEX(WEAP!$A:$AN,MATCH(B2028,WEAP!$A:$A,0),MATCH("Str",WEAP!$A$1:$BF$1,0))</f>
        <v>1676</v>
      </c>
      <c r="G2032" s="237">
        <f>INDEX(WEAP!$A:$AN,MATCH(B2028,WEAP!$A:$A,0),MATCH("Str V3",WEAP!$A$1:$BF$1,0))</f>
        <v>1680</v>
      </c>
      <c r="I2032" s="464"/>
      <c r="J2032" s="466"/>
      <c r="K2032" s="239"/>
      <c r="L2032" s="715"/>
      <c r="M2032" s="716"/>
    </row>
    <row r="2033" spans="1:13" ht="33.75" customHeight="1" x14ac:dyDescent="0.2">
      <c r="A2033" t="s">
        <v>10763</v>
      </c>
    </row>
    <row r="2034" spans="1:13" ht="22.5" x14ac:dyDescent="0.35">
      <c r="A2034" s="244" t="str">
        <f>TEXT(A2027+1,"000")</f>
        <v>291</v>
      </c>
      <c r="B2034" s="238" t="str">
        <f>"W-"&amp;A2034</f>
        <v>W-291</v>
      </c>
      <c r="C2034" s="239"/>
      <c r="D2034" s="692" t="str">
        <f>+INDEX(WEAP!$A:$AN,MATCH(B2035,WEAP!$A:$A,0),MATCH("Name",WEAP!$A$1:$BF$1,0))</f>
        <v>Divine Trigger</v>
      </c>
      <c r="E2034" s="693"/>
      <c r="F2034" s="693"/>
      <c r="G2034" s="694"/>
      <c r="I2034" s="241" t="str">
        <f>+INDEX(WEAP!$A:$AN,MATCH(B2035,WEAP!$A:$A,0),MATCH("Weapon Skill",WEAP!$A$1:$BF$1,0))</f>
        <v>Divine Shell</v>
      </c>
      <c r="J2034" s="243">
        <f>INDEX('W-S'!$A:$N,MATCH(I2034,'W-S'!$C:$C,0),MATCH("SP Cost",'W-S'!$1:$1,0))</f>
        <v>8779</v>
      </c>
      <c r="K2034" s="9"/>
      <c r="L2034" s="241" t="str">
        <f>+I2034</f>
        <v>Divine Shell</v>
      </c>
      <c r="M2034" s="243">
        <f>INDEX('W-S'!$A:$N,MATCH(L2034,'W-S'!$C:$C,0),MATCH("SP Cost V3",'W-S'!$1:$1,0))</f>
        <v>6000</v>
      </c>
    </row>
    <row r="2035" spans="1:13" ht="22.5" customHeight="1" x14ac:dyDescent="0.35">
      <c r="B2035" s="238" t="str">
        <f>+INDEX(WEAP!$A:$AN,MATCH(B2034,WEAP!$B:$B,0),MATCH("ID",WEAP!$A$1:$BF$1,0))</f>
        <v>309044_01</v>
      </c>
      <c r="C2035" s="240"/>
      <c r="D2035" s="692" t="str">
        <f>+INDEX(WEAP!$A:$AN,MATCH(B2034,WEAP!$B:$B,0),MATCH("Family",WEAP!$A$1:$BF$1,0))&amp;" Weapon"</f>
        <v>Primal Weapon</v>
      </c>
      <c r="E2035" s="693"/>
      <c r="F2035" s="693"/>
      <c r="G2035" s="694"/>
      <c r="H2035" s="8"/>
      <c r="I2035" s="458" t="str">
        <f>INDEX('W-S'!$A:$O,MATCH(I2034,'W-S'!$C:$C,0),MATCH("Description",'W-S'!$1:$1,0))</f>
        <v>Deals 1 hit of 929% light damage to enemies in a line, increases the user's strength by 20% for 15 seconds, and grants them the "Primal Dragalia" effect for 90 seconds. Primal Dragalia increases the user's strength by 15% and their attack rate by 5%. Primal Dragalia will not stack.</v>
      </c>
      <c r="J2035" s="460"/>
      <c r="K2035" s="239"/>
      <c r="L2035" s="711" t="str">
        <f>INDEX('W-S'!$A:$O,MATCH(I2034,'W-S'!$C:$C,0),MATCH("Description V3",'W-S'!$1:$1,0))</f>
        <v>Deals 1 hit of 1500% light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2035" s="712"/>
    </row>
    <row r="2036" spans="1:13" ht="22.5" x14ac:dyDescent="0.2">
      <c r="B2036" s="701" t="e" vm="311">
        <f>+_xlfn.IMAGE("https://natalie.tf/wp-content/uploads/2023/10/DLV3_Icon_Weapon_"&amp;B2035&amp;".png")</f>
        <v>#VALUE!</v>
      </c>
      <c r="C2036" s="240"/>
      <c r="D2036" s="692" t="str">
        <f>INDEX(WEAP!$A:$AN,MATCH(B2035,WEAP!$A:$A,0),MATCH("Element",WEAP!$A$1:$BF$1,0))&amp;" "&amp;INDEX(WEAP!$A:$AN,MATCH(B2035,WEAP!$A:$A,0),MATCH("Type",WEAP!$A$1:$BF$1,0))</f>
        <v>Light Manacaster</v>
      </c>
      <c r="E2036" s="693"/>
      <c r="F2036" s="693"/>
      <c r="G2036" s="694"/>
      <c r="H2036" s="8"/>
      <c r="I2036" s="461"/>
      <c r="J2036" s="463"/>
      <c r="K2036" s="9"/>
      <c r="L2036" s="713"/>
      <c r="M2036" s="714"/>
    </row>
    <row r="2037" spans="1:13" ht="22.5" x14ac:dyDescent="0.35">
      <c r="B2037" s="702"/>
      <c r="C2037" s="239"/>
      <c r="D2037" s="703" t="s">
        <v>10760</v>
      </c>
      <c r="E2037" s="704"/>
      <c r="F2037" s="235" t="s">
        <v>10761</v>
      </c>
      <c r="G2037" s="235" t="s">
        <v>10762</v>
      </c>
      <c r="I2037" s="461"/>
      <c r="J2037" s="463"/>
      <c r="K2037" s="239"/>
      <c r="L2037" s="713"/>
      <c r="M2037" s="714"/>
    </row>
    <row r="2038" spans="1:13" ht="22.5" x14ac:dyDescent="0.35">
      <c r="B2038" s="702"/>
      <c r="C2038" s="239"/>
      <c r="D2038" s="705" t="s">
        <v>96</v>
      </c>
      <c r="E2038" s="706"/>
      <c r="F2038" s="236">
        <f>INDEX(WEAP!$A:$AN,MATCH(B2035,WEAP!$A:$A,0),MATCH("HP",WEAP!$A$1:$BF$1,0))</f>
        <v>275</v>
      </c>
      <c r="G2038" s="237">
        <f>INDEX(WEAP!$A:$AN,MATCH(B2035,WEAP!$A:$A,0),MATCH("HP V3",WEAP!$A$1:$BF$1,0))</f>
        <v>275</v>
      </c>
      <c r="I2038" s="461"/>
      <c r="J2038" s="463"/>
      <c r="K2038" s="239"/>
      <c r="L2038" s="713"/>
      <c r="M2038" s="714"/>
    </row>
    <row r="2039" spans="1:13" ht="22.5" x14ac:dyDescent="0.35">
      <c r="B2039" s="702"/>
      <c r="C2039" s="239"/>
      <c r="D2039" s="707" t="s">
        <v>97</v>
      </c>
      <c r="E2039" s="708"/>
      <c r="F2039" s="236">
        <f>INDEX(WEAP!$A:$AN,MATCH(B2035,WEAP!$A:$A,0),MATCH("Str",WEAP!$A$1:$BF$1,0))</f>
        <v>1835</v>
      </c>
      <c r="G2039" s="237">
        <f>INDEX(WEAP!$A:$AN,MATCH(B2035,WEAP!$A:$A,0),MATCH("Str V3",WEAP!$A$1:$BF$1,0))</f>
        <v>1835</v>
      </c>
      <c r="I2039" s="464"/>
      <c r="J2039" s="466"/>
      <c r="K2039" s="239"/>
      <c r="L2039" s="715"/>
      <c r="M2039" s="716"/>
    </row>
    <row r="2040" spans="1:13" s="245" customFormat="1" ht="7.5" customHeight="1" x14ac:dyDescent="0.2">
      <c r="A2040" s="245" t="s">
        <v>10763</v>
      </c>
    </row>
    <row r="2041" spans="1:13" ht="22.5" x14ac:dyDescent="0.35">
      <c r="A2041" s="242" t="str">
        <f>TEXT(A2034+1,"000")</f>
        <v>292</v>
      </c>
      <c r="B2041" s="238" t="str">
        <f>"W-"&amp;A2041</f>
        <v>W-292</v>
      </c>
      <c r="C2041" s="239"/>
      <c r="D2041" s="692" t="str">
        <f>+INDEX(WEAP!$A:$AN,MATCH(B2042,WEAP!$A:$A,0),MATCH("Name",WEAP!$A$1:$BF$1,0))</f>
        <v>Primal Hex</v>
      </c>
      <c r="E2041" s="693"/>
      <c r="F2041" s="693"/>
      <c r="G2041" s="694"/>
      <c r="I2041" s="241" t="str">
        <f>+INDEX(WEAP!$A:$AN,MATCH(B2042,WEAP!$A:$A,0),MATCH("Weapon Skill",WEAP!$A$1:$BF$1,0))</f>
        <v>Ultimate Hex</v>
      </c>
      <c r="J2041" s="243">
        <f>INDEX('W-S'!$A:$N,MATCH(I2041,'W-S'!$C:$C,0),MATCH("SP Cost",'W-S'!$1:$1,0))</f>
        <v>6163</v>
      </c>
      <c r="K2041" s="9"/>
      <c r="L2041" s="241" t="str">
        <f>+I2041</f>
        <v>Ultimate Hex</v>
      </c>
      <c r="M2041" s="243">
        <f>INDEX('W-S'!$A:$N,MATCH(L2041,'W-S'!$C:$C,0),MATCH("SP Cost V3",'W-S'!$1:$1,0))</f>
        <v>6000</v>
      </c>
    </row>
    <row r="2042" spans="1:13" ht="22.5" customHeight="1" x14ac:dyDescent="0.35">
      <c r="B2042" s="238" t="str">
        <f>+INDEX(WEAP!$A:$AN,MATCH(B2041,WEAP!$B:$B,0),MATCH("ID",WEAP!$A$1:$BF$1,0))</f>
        <v>301163_01</v>
      </c>
      <c r="C2042" s="240"/>
      <c r="D2042" s="692" t="str">
        <f>+INDEX(WEAP!$A:$AN,MATCH(B2041,WEAP!$B:$B,0),MATCH("Family",WEAP!$A$1:$BF$1,0))&amp;" Weapon"</f>
        <v>Primal Weapon</v>
      </c>
      <c r="E2042" s="693"/>
      <c r="F2042" s="693"/>
      <c r="G2042" s="694"/>
      <c r="H2042" s="8"/>
      <c r="I2042" s="458" t="str">
        <f>INDEX('W-S'!$A:$O,MATCH(I2041,'W-S'!$C:$C,0),MATCH("Description",'W-S'!$1:$1,0))</f>
        <v>Deals 5 hits of 165% shadow damage to enemies directly ahead, increases the user's strength by 20% for 15 seconds, and grants them the "Primal Dragalia" effect for 90 seconds. Primal Dragalia increases the user's strength by 15% and their attack rate by 5%. Primal Dragalia will not stack.</v>
      </c>
      <c r="J2042" s="460"/>
      <c r="K2042" s="239"/>
      <c r="L2042" s="711" t="str">
        <f>INDEX('W-S'!$A:$O,MATCH(I2041,'W-S'!$C:$C,0),MATCH("Description V3",'W-S'!$1:$1,0))</f>
        <v>Deals 5 hits of 300% shadow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2042" s="712"/>
    </row>
    <row r="2043" spans="1:13" ht="22.5" x14ac:dyDescent="0.2">
      <c r="B2043" s="701" t="e" vm="312">
        <f>+_xlfn.IMAGE("https://natalie.tf/wp-content/uploads/2023/10/DLV3_Icon_Weapon_"&amp;B2042&amp;".png")</f>
        <v>#VALUE!</v>
      </c>
      <c r="C2043" s="240"/>
      <c r="D2043" s="692" t="str">
        <f>INDEX(WEAP!$A:$AN,MATCH(B2042,WEAP!$A:$A,0),MATCH("Element",WEAP!$A$1:$BF$1,0))&amp;" "&amp;INDEX(WEAP!$A:$AN,MATCH(B2042,WEAP!$A:$A,0),MATCH("Type",WEAP!$A$1:$BF$1,0))</f>
        <v>Shadow Sword</v>
      </c>
      <c r="E2043" s="693"/>
      <c r="F2043" s="693"/>
      <c r="G2043" s="694"/>
      <c r="H2043" s="8"/>
      <c r="I2043" s="461"/>
      <c r="J2043" s="463"/>
      <c r="K2043" s="9"/>
      <c r="L2043" s="713"/>
      <c r="M2043" s="714"/>
    </row>
    <row r="2044" spans="1:13" ht="22.5" x14ac:dyDescent="0.35">
      <c r="B2044" s="702"/>
      <c r="C2044" s="239"/>
      <c r="D2044" s="703" t="s">
        <v>10760</v>
      </c>
      <c r="E2044" s="704"/>
      <c r="F2044" s="235" t="s">
        <v>10761</v>
      </c>
      <c r="G2044" s="235" t="s">
        <v>10762</v>
      </c>
      <c r="I2044" s="461"/>
      <c r="J2044" s="463"/>
      <c r="K2044" s="239"/>
      <c r="L2044" s="713"/>
      <c r="M2044" s="714"/>
    </row>
    <row r="2045" spans="1:13" ht="22.5" x14ac:dyDescent="0.35">
      <c r="B2045" s="702"/>
      <c r="C2045" s="239"/>
      <c r="D2045" s="705" t="s">
        <v>96</v>
      </c>
      <c r="E2045" s="706"/>
      <c r="F2045" s="236">
        <f>INDEX(WEAP!$A:$AN,MATCH(B2042,WEAP!$A:$A,0),MATCH("HP",WEAP!$A$1:$BF$1,0))</f>
        <v>284</v>
      </c>
      <c r="G2045" s="237">
        <f>INDEX(WEAP!$A:$AN,MATCH(B2042,WEAP!$A:$A,0),MATCH("HP V3",WEAP!$A$1:$BF$1,0))</f>
        <v>285</v>
      </c>
      <c r="I2045" s="461"/>
      <c r="J2045" s="463"/>
      <c r="K2045" s="239"/>
      <c r="L2045" s="713"/>
      <c r="M2045" s="714"/>
    </row>
    <row r="2046" spans="1:13" ht="22.5" x14ac:dyDescent="0.35">
      <c r="B2046" s="702"/>
      <c r="C2046" s="239"/>
      <c r="D2046" s="707" t="s">
        <v>97</v>
      </c>
      <c r="E2046" s="708"/>
      <c r="F2046" s="236">
        <f>INDEX(WEAP!$A:$AN,MATCH(B2042,WEAP!$A:$A,0),MATCH("Str",WEAP!$A$1:$BF$1,0))</f>
        <v>1764</v>
      </c>
      <c r="G2046" s="237">
        <f>INDEX(WEAP!$A:$AN,MATCH(B2042,WEAP!$A:$A,0),MATCH("Str V3",WEAP!$A$1:$BF$1,0))</f>
        <v>1765</v>
      </c>
      <c r="I2046" s="464"/>
      <c r="J2046" s="466"/>
      <c r="K2046" s="239"/>
      <c r="L2046" s="715"/>
      <c r="M2046" s="716"/>
    </row>
    <row r="2047" spans="1:13" s="245" customFormat="1" ht="7.5" customHeight="1" x14ac:dyDescent="0.2">
      <c r="A2047" s="245" t="s">
        <v>10763</v>
      </c>
    </row>
    <row r="2048" spans="1:13" ht="22.5" x14ac:dyDescent="0.35">
      <c r="A2048" s="244" t="str">
        <f>TEXT(A2041+1,"000")</f>
        <v>293</v>
      </c>
      <c r="B2048" s="238" t="str">
        <f>"W-"&amp;A2048</f>
        <v>W-293</v>
      </c>
      <c r="C2048" s="239"/>
      <c r="D2048" s="692" t="str">
        <f>+INDEX(WEAP!$A:$AN,MATCH(B2049,WEAP!$A:$A,0),MATCH("Name",WEAP!$A$1:$BF$1,0))</f>
        <v>Eternal Abyss</v>
      </c>
      <c r="E2048" s="693"/>
      <c r="F2048" s="693"/>
      <c r="G2048" s="694"/>
      <c r="I2048" s="241" t="str">
        <f>+INDEX(WEAP!$A:$AN,MATCH(B2049,WEAP!$A:$A,0),MATCH("Weapon Skill",WEAP!$A$1:$BF$1,0))</f>
        <v>Damnation Blade</v>
      </c>
      <c r="J2048" s="243">
        <f>INDEX('W-S'!$A:$N,MATCH(I2048,'W-S'!$C:$C,0),MATCH("SP Cost",'W-S'!$1:$1,0))</f>
        <v>6925</v>
      </c>
      <c r="K2048" s="9"/>
      <c r="L2048" s="241" t="str">
        <f>+I2048</f>
        <v>Damnation Blade</v>
      </c>
      <c r="M2048" s="243">
        <f>INDEX('W-S'!$A:$N,MATCH(L2048,'W-S'!$C:$C,0),MATCH("SP Cost V3",'W-S'!$1:$1,0))</f>
        <v>6000</v>
      </c>
    </row>
    <row r="2049" spans="1:13" ht="22.5" customHeight="1" x14ac:dyDescent="0.35">
      <c r="B2049" s="238" t="str">
        <f>+INDEX(WEAP!$A:$AN,MATCH(B2048,WEAP!$B:$B,0),MATCH("ID",WEAP!$A$1:$BF$1,0))</f>
        <v>302152_01</v>
      </c>
      <c r="C2049" s="240"/>
      <c r="D2049" s="692" t="str">
        <f>+INDEX(WEAP!$A:$AN,MATCH(B2048,WEAP!$B:$B,0),MATCH("Family",WEAP!$A$1:$BF$1,0))&amp;" Weapon"</f>
        <v>Primal Weapon</v>
      </c>
      <c r="E2049" s="693"/>
      <c r="F2049" s="693"/>
      <c r="G2049" s="694"/>
      <c r="H2049" s="8"/>
      <c r="I2049" s="458" t="str">
        <f>INDEX('W-S'!$A:$O,MATCH(I2048,'W-S'!$C:$C,0),MATCH("Description",'W-S'!$1:$1,0))</f>
        <v>Deals 5 hits of 213% shadow damage to enemies directly ahead, increases the user's strength by 20% for 15 seconds, and grants them the "Primal Dragalia" effect for 90 seconds. Primal Dragalia increases the user's strength by 15% and their attack rate by 5%. Primal Dragalia will not stack.</v>
      </c>
      <c r="J2049" s="460"/>
      <c r="K2049" s="239"/>
      <c r="L2049" s="711" t="str">
        <f>INDEX('W-S'!$A:$O,MATCH(I2048,'W-S'!$C:$C,0),MATCH("Description V3",'W-S'!$1:$1,0))</f>
        <v>Deals 5 hits of 300% shadow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2049" s="712"/>
    </row>
    <row r="2050" spans="1:13" ht="22.5" x14ac:dyDescent="0.2">
      <c r="B2050" s="701" t="e" vm="313">
        <f>+_xlfn.IMAGE("https://natalie.tf/wp-content/uploads/2023/10/DLV3_Icon_Weapon_"&amp;B2049&amp;".png")</f>
        <v>#VALUE!</v>
      </c>
      <c r="C2050" s="240"/>
      <c r="D2050" s="692" t="str">
        <f>INDEX(WEAP!$A:$AN,MATCH(B2049,WEAP!$A:$A,0),MATCH("Element",WEAP!$A$1:$BF$1,0))&amp;" "&amp;INDEX(WEAP!$A:$AN,MATCH(B2049,WEAP!$A:$A,0),MATCH("Type",WEAP!$A$1:$BF$1,0))</f>
        <v>Shadow Blade</v>
      </c>
      <c r="E2050" s="693"/>
      <c r="F2050" s="693"/>
      <c r="G2050" s="694"/>
      <c r="H2050" s="8"/>
      <c r="I2050" s="461"/>
      <c r="J2050" s="463"/>
      <c r="K2050" s="9"/>
      <c r="L2050" s="713"/>
      <c r="M2050" s="714"/>
    </row>
    <row r="2051" spans="1:13" ht="22.5" x14ac:dyDescent="0.35">
      <c r="B2051" s="702"/>
      <c r="C2051" s="239"/>
      <c r="D2051" s="703" t="s">
        <v>10760</v>
      </c>
      <c r="E2051" s="704"/>
      <c r="F2051" s="235" t="s">
        <v>10761</v>
      </c>
      <c r="G2051" s="235" t="s">
        <v>10762</v>
      </c>
      <c r="I2051" s="461"/>
      <c r="J2051" s="463"/>
      <c r="K2051" s="239"/>
      <c r="L2051" s="713"/>
      <c r="M2051" s="714"/>
    </row>
    <row r="2052" spans="1:13" ht="22.5" x14ac:dyDescent="0.35">
      <c r="B2052" s="702"/>
      <c r="C2052" s="239"/>
      <c r="D2052" s="705" t="s">
        <v>96</v>
      </c>
      <c r="E2052" s="706"/>
      <c r="F2052" s="236">
        <f>INDEX(WEAP!$A:$AN,MATCH(B2049,WEAP!$A:$A,0),MATCH("HP",WEAP!$A$1:$BF$1,0))</f>
        <v>251</v>
      </c>
      <c r="G2052" s="237">
        <f>INDEX(WEAP!$A:$AN,MATCH(B2049,WEAP!$A:$A,0),MATCH("HP V3",WEAP!$A$1:$BF$1,0))</f>
        <v>255</v>
      </c>
      <c r="I2052" s="461"/>
      <c r="J2052" s="463"/>
      <c r="K2052" s="239"/>
      <c r="L2052" s="713"/>
      <c r="M2052" s="714"/>
    </row>
    <row r="2053" spans="1:13" ht="22.5" x14ac:dyDescent="0.35">
      <c r="B2053" s="702"/>
      <c r="C2053" s="239"/>
      <c r="D2053" s="707" t="s">
        <v>97</v>
      </c>
      <c r="E2053" s="708"/>
      <c r="F2053" s="236">
        <f>INDEX(WEAP!$A:$AN,MATCH(B2049,WEAP!$A:$A,0),MATCH("Str",WEAP!$A$1:$BF$1,0))</f>
        <v>1870</v>
      </c>
      <c r="G2053" s="237">
        <f>INDEX(WEAP!$A:$AN,MATCH(B2049,WEAP!$A:$A,0),MATCH("Str V3",WEAP!$A$1:$BF$1,0))</f>
        <v>1870</v>
      </c>
      <c r="I2053" s="464"/>
      <c r="J2053" s="466"/>
      <c r="K2053" s="239"/>
      <c r="L2053" s="715"/>
      <c r="M2053" s="716"/>
    </row>
    <row r="2054" spans="1:13" s="245" customFormat="1" ht="7.5" customHeight="1" x14ac:dyDescent="0.2">
      <c r="A2054" s="245" t="s">
        <v>10763</v>
      </c>
    </row>
    <row r="2055" spans="1:13" ht="22.5" x14ac:dyDescent="0.35">
      <c r="A2055" s="244" t="str">
        <f>TEXT(A2048+1,"000")</f>
        <v>294</v>
      </c>
      <c r="B2055" s="238" t="str">
        <f>"W-"&amp;A2055</f>
        <v>W-294</v>
      </c>
      <c r="C2055" s="239"/>
      <c r="D2055" s="692" t="str">
        <f>+INDEX(WEAP!$A:$AN,MATCH(B2056,WEAP!$A:$A,0),MATCH("Name",WEAP!$A$1:$BF$1,0))</f>
        <v>Shaderuler's Fang</v>
      </c>
      <c r="E2055" s="693"/>
      <c r="F2055" s="693"/>
      <c r="G2055" s="694"/>
      <c r="I2055" s="241" t="str">
        <f>+INDEX(WEAP!$A:$AN,MATCH(B2056,WEAP!$A:$A,0),MATCH("Weapon Skill",WEAP!$A$1:$BF$1,0))</f>
        <v>Ravenous Shadowruler</v>
      </c>
      <c r="J2055" s="243">
        <f>INDEX('W-S'!$A:$N,MATCH(I2055,'W-S'!$C:$C,0),MATCH("SP Cost",'W-S'!$1:$1,0))</f>
        <v>6590</v>
      </c>
      <c r="K2055" s="9"/>
      <c r="L2055" s="241" t="str">
        <f>+I2055</f>
        <v>Ravenous Shadowruler</v>
      </c>
      <c r="M2055" s="243">
        <f>INDEX('W-S'!$A:$N,MATCH(L2055,'W-S'!$C:$C,0),MATCH("SP Cost V3",'W-S'!$1:$1,0))</f>
        <v>6000</v>
      </c>
    </row>
    <row r="2056" spans="1:13" ht="22.5" customHeight="1" x14ac:dyDescent="0.35">
      <c r="B2056" s="238" t="str">
        <f>+INDEX(WEAP!$A:$AN,MATCH(B2055,WEAP!$B:$B,0),MATCH("ID",WEAP!$A$1:$BF$1,0))</f>
        <v>303151_01</v>
      </c>
      <c r="C2056" s="240"/>
      <c r="D2056" s="692" t="str">
        <f>+INDEX(WEAP!$A:$AN,MATCH(B2055,WEAP!$B:$B,0),MATCH("Family",WEAP!$A$1:$BF$1,0))&amp;" Weapon"</f>
        <v>Primal Weapon</v>
      </c>
      <c r="E2056" s="693"/>
      <c r="F2056" s="693"/>
      <c r="G2056" s="694"/>
      <c r="H2056" s="8"/>
      <c r="I2056" s="458" t="str">
        <f>INDEX('W-S'!$A:$O,MATCH(I2055,'W-S'!$C:$C,0),MATCH("Description",'W-S'!$1:$1,0))</f>
        <v>Deals 5 hits of 173% shadow damage to surrounding enemies, increases the user's strength by 20% for 15 seconds, and grants them the "Primal Dragalia" effect for 90 seconds. Primal Dragalia increases the user's strength by 15% and their attack rate by 5%. Primal Dragalia will not stack.</v>
      </c>
      <c r="J2056" s="460"/>
      <c r="K2056" s="239"/>
      <c r="L2056" s="711" t="str">
        <f>INDEX('W-S'!$A:$O,MATCH(I2055,'W-S'!$C:$C,0),MATCH("Description V3",'W-S'!$1:$1,0))</f>
        <v>Deals 5 hits of 300% shadow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2056" s="712"/>
    </row>
    <row r="2057" spans="1:13" ht="22.5" x14ac:dyDescent="0.2">
      <c r="B2057" s="701" t="e" vm="314">
        <f>+_xlfn.IMAGE("https://natalie.tf/wp-content/uploads/2023/10/DLV3_Icon_Weapon_"&amp;B2056&amp;".png")</f>
        <v>#VALUE!</v>
      </c>
      <c r="C2057" s="240"/>
      <c r="D2057" s="692" t="str">
        <f>INDEX(WEAP!$A:$AN,MATCH(B2056,WEAP!$A:$A,0),MATCH("Element",WEAP!$A$1:$BF$1,0))&amp;" "&amp;INDEX(WEAP!$A:$AN,MATCH(B2056,WEAP!$A:$A,0),MATCH("Type",WEAP!$A$1:$BF$1,0))</f>
        <v>Shadow Dagger</v>
      </c>
      <c r="E2057" s="693"/>
      <c r="F2057" s="693"/>
      <c r="G2057" s="694"/>
      <c r="H2057" s="8"/>
      <c r="I2057" s="461"/>
      <c r="J2057" s="463"/>
      <c r="K2057" s="9"/>
      <c r="L2057" s="713"/>
      <c r="M2057" s="714"/>
    </row>
    <row r="2058" spans="1:13" ht="22.5" x14ac:dyDescent="0.35">
      <c r="B2058" s="702"/>
      <c r="C2058" s="239"/>
      <c r="D2058" s="703" t="s">
        <v>10760</v>
      </c>
      <c r="E2058" s="704"/>
      <c r="F2058" s="235" t="s">
        <v>10761</v>
      </c>
      <c r="G2058" s="235" t="s">
        <v>10762</v>
      </c>
      <c r="I2058" s="461"/>
      <c r="J2058" s="463"/>
      <c r="K2058" s="239"/>
      <c r="L2058" s="713"/>
      <c r="M2058" s="714"/>
    </row>
    <row r="2059" spans="1:13" ht="22.5" x14ac:dyDescent="0.35">
      <c r="B2059" s="702"/>
      <c r="C2059" s="239"/>
      <c r="D2059" s="705" t="s">
        <v>96</v>
      </c>
      <c r="E2059" s="706"/>
      <c r="F2059" s="236">
        <f>INDEX(WEAP!$A:$AN,MATCH(B2056,WEAP!$A:$A,0),MATCH("HP",WEAP!$A$1:$BF$1,0))</f>
        <v>287</v>
      </c>
      <c r="G2059" s="237">
        <f>INDEX(WEAP!$A:$AN,MATCH(B2056,WEAP!$A:$A,0),MATCH("HP V3",WEAP!$A$1:$BF$1,0))</f>
        <v>290</v>
      </c>
      <c r="I2059" s="461"/>
      <c r="J2059" s="463"/>
      <c r="K2059" s="239"/>
      <c r="L2059" s="713"/>
      <c r="M2059" s="714"/>
    </row>
    <row r="2060" spans="1:13" ht="22.5" x14ac:dyDescent="0.35">
      <c r="B2060" s="702"/>
      <c r="C2060" s="239"/>
      <c r="D2060" s="707" t="s">
        <v>97</v>
      </c>
      <c r="E2060" s="708"/>
      <c r="F2060" s="236">
        <f>INDEX(WEAP!$A:$AN,MATCH(B2056,WEAP!$A:$A,0),MATCH("Str",WEAP!$A$1:$BF$1,0))</f>
        <v>1728</v>
      </c>
      <c r="G2060" s="237">
        <f>INDEX(WEAP!$A:$AN,MATCH(B2056,WEAP!$A:$A,0),MATCH("Str V3",WEAP!$A$1:$BF$1,0))</f>
        <v>1730</v>
      </c>
      <c r="I2060" s="464"/>
      <c r="J2060" s="466"/>
      <c r="K2060" s="239"/>
      <c r="L2060" s="715"/>
      <c r="M2060" s="716"/>
    </row>
    <row r="2061" spans="1:13" s="245" customFormat="1" ht="7.5" customHeight="1" x14ac:dyDescent="0.2">
      <c r="A2061" s="245" t="s">
        <v>10763</v>
      </c>
    </row>
    <row r="2062" spans="1:13" ht="22.5" x14ac:dyDescent="0.35">
      <c r="A2062" s="244" t="str">
        <f>TEXT(A2055+1,"000")</f>
        <v>295</v>
      </c>
      <c r="B2062" s="238" t="str">
        <f>"W-"&amp;A2062</f>
        <v>W-295</v>
      </c>
      <c r="C2062" s="239"/>
      <c r="D2062" s="692" t="str">
        <f>+INDEX(WEAP!$A:$AN,MATCH(B2063,WEAP!$A:$A,0),MATCH("Name",WEAP!$A$1:$BF$1,0))</f>
        <v>Nightfall's Darkbite Axe</v>
      </c>
      <c r="E2062" s="693"/>
      <c r="F2062" s="693"/>
      <c r="G2062" s="694"/>
      <c r="I2062" s="241" t="str">
        <f>+INDEX(WEAP!$A:$AN,MATCH(B2063,WEAP!$A:$A,0),MATCH("Weapon Skill",WEAP!$A$1:$BF$1,0))</f>
        <v>Nightfall's Curse</v>
      </c>
      <c r="J2062" s="243">
        <f>INDEX('W-S'!$A:$N,MATCH(I2062,'W-S'!$C:$C,0),MATCH("SP Cost",'W-S'!$1:$1,0))</f>
        <v>8895</v>
      </c>
      <c r="K2062" s="9"/>
      <c r="L2062" s="241" t="str">
        <f>+I2062</f>
        <v>Nightfall's Curse</v>
      </c>
      <c r="M2062" s="243">
        <f>INDEX('W-S'!$A:$N,MATCH(L2062,'W-S'!$C:$C,0),MATCH("SP Cost V3",'W-S'!$1:$1,0))</f>
        <v>6000</v>
      </c>
    </row>
    <row r="2063" spans="1:13" ht="22.5" customHeight="1" x14ac:dyDescent="0.35">
      <c r="B2063" s="238" t="str">
        <f>+INDEX(WEAP!$A:$AN,MATCH(B2062,WEAP!$B:$B,0),MATCH("ID",WEAP!$A$1:$BF$1,0))</f>
        <v>304148_01</v>
      </c>
      <c r="C2063" s="240"/>
      <c r="D2063" s="692" t="str">
        <f>+INDEX(WEAP!$A:$AN,MATCH(B2062,WEAP!$B:$B,0),MATCH("Family",WEAP!$A$1:$BF$1,0))&amp;" Weapon"</f>
        <v>Primal Weapon</v>
      </c>
      <c r="E2063" s="693"/>
      <c r="F2063" s="693"/>
      <c r="G2063" s="694"/>
      <c r="H2063" s="8"/>
      <c r="I2063" s="458" t="str">
        <f>INDEX('W-S'!$A:$O,MATCH(I2062,'W-S'!$C:$C,0),MATCH("Description",'W-S'!$1:$1,0))</f>
        <v>Deals 3 hits of 418% shadow damage to enemies directly ahead, increases the user's strength by 20% for 15 seconds, and grants them the "Primal Dragalia" effect for 90 seconds. Primal Dragalia increases the user's strength by 15% and their attack rate by 5%. Primal Dragalia will not stack.</v>
      </c>
      <c r="J2063" s="460"/>
      <c r="K2063" s="239"/>
      <c r="L2063" s="711" t="str">
        <f>INDEX('W-S'!$A:$O,MATCH(I2062,'W-S'!$C:$C,0),MATCH("Description V3",'W-S'!$1:$1,0))</f>
        <v>Deals 3 hits of 500% shadow damage to enemies directly ahead,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2063" s="712"/>
    </row>
    <row r="2064" spans="1:13" ht="22.5" x14ac:dyDescent="0.2">
      <c r="B2064" s="701" t="e" vm="315">
        <f>+_xlfn.IMAGE("https://natalie.tf/wp-content/uploads/2023/10/DLV3_Icon_Weapon_"&amp;B2063&amp;".png")</f>
        <v>#VALUE!</v>
      </c>
      <c r="C2064" s="240"/>
      <c r="D2064" s="692" t="str">
        <f>INDEX(WEAP!$A:$AN,MATCH(B2063,WEAP!$A:$A,0),MATCH("Element",WEAP!$A$1:$BF$1,0))&amp;" "&amp;INDEX(WEAP!$A:$AN,MATCH(B2063,WEAP!$A:$A,0),MATCH("Type",WEAP!$A$1:$BF$1,0))</f>
        <v>Shadow Axe</v>
      </c>
      <c r="E2064" s="693"/>
      <c r="F2064" s="693"/>
      <c r="G2064" s="694"/>
      <c r="H2064" s="8"/>
      <c r="I2064" s="461"/>
      <c r="J2064" s="463"/>
      <c r="K2064" s="9"/>
      <c r="L2064" s="713"/>
      <c r="M2064" s="714"/>
    </row>
    <row r="2065" spans="1:13" ht="22.5" x14ac:dyDescent="0.35">
      <c r="B2065" s="702"/>
      <c r="C2065" s="239"/>
      <c r="D2065" s="703" t="s">
        <v>10760</v>
      </c>
      <c r="E2065" s="704"/>
      <c r="F2065" s="235" t="s">
        <v>10761</v>
      </c>
      <c r="G2065" s="235" t="s">
        <v>10762</v>
      </c>
      <c r="I2065" s="461"/>
      <c r="J2065" s="463"/>
      <c r="K2065" s="239"/>
      <c r="L2065" s="713"/>
      <c r="M2065" s="714"/>
    </row>
    <row r="2066" spans="1:13" ht="22.5" x14ac:dyDescent="0.35">
      <c r="B2066" s="702"/>
      <c r="C2066" s="239"/>
      <c r="D2066" s="705" t="s">
        <v>96</v>
      </c>
      <c r="E2066" s="706"/>
      <c r="F2066" s="236">
        <f>INDEX(WEAP!$A:$AN,MATCH(B2063,WEAP!$A:$A,0),MATCH("HP",WEAP!$A$1:$BF$1,0))</f>
        <v>292</v>
      </c>
      <c r="G2066" s="237">
        <f>INDEX(WEAP!$A:$AN,MATCH(B2063,WEAP!$A:$A,0),MATCH("HP V3",WEAP!$A$1:$BF$1,0))</f>
        <v>300</v>
      </c>
      <c r="I2066" s="461"/>
      <c r="J2066" s="463"/>
      <c r="K2066" s="239"/>
      <c r="L2066" s="713"/>
      <c r="M2066" s="714"/>
    </row>
    <row r="2067" spans="1:13" ht="22.5" x14ac:dyDescent="0.35">
      <c r="B2067" s="702"/>
      <c r="C2067" s="239"/>
      <c r="D2067" s="707" t="s">
        <v>97</v>
      </c>
      <c r="E2067" s="708"/>
      <c r="F2067" s="236">
        <f>INDEX(WEAP!$A:$AN,MATCH(B2063,WEAP!$A:$A,0),MATCH("Str",WEAP!$A$1:$BF$1,0))</f>
        <v>1852</v>
      </c>
      <c r="G2067" s="237">
        <f>INDEX(WEAP!$A:$AN,MATCH(B2063,WEAP!$A:$A,0),MATCH("Str V3",WEAP!$A$1:$BF$1,0))</f>
        <v>1855</v>
      </c>
      <c r="I2067" s="464"/>
      <c r="J2067" s="466"/>
      <c r="K2067" s="239"/>
      <c r="L2067" s="715"/>
      <c r="M2067" s="716"/>
    </row>
    <row r="2068" spans="1:13" ht="33.75" customHeight="1" x14ac:dyDescent="0.2">
      <c r="A2068" t="s">
        <v>10763</v>
      </c>
    </row>
    <row r="2069" spans="1:13" ht="22.5" x14ac:dyDescent="0.35">
      <c r="A2069" s="244" t="str">
        <f>TEXT(A2062+1,"000")</f>
        <v>296</v>
      </c>
      <c r="B2069" s="238" t="str">
        <f>"W-"&amp;A2069</f>
        <v>W-296</v>
      </c>
      <c r="C2069" s="239"/>
      <c r="D2069" s="692" t="str">
        <f>+INDEX(WEAP!$A:$AN,MATCH(B2070,WEAP!$A:$A,0),MATCH("Name",WEAP!$A$1:$BF$1,0))</f>
        <v>Ebon Plague Lance</v>
      </c>
      <c r="E2069" s="693"/>
      <c r="F2069" s="693"/>
      <c r="G2069" s="694"/>
      <c r="I2069" s="241" t="str">
        <f>+INDEX(WEAP!$A:$AN,MATCH(B2070,WEAP!$A:$A,0),MATCH("Weapon Skill",WEAP!$A$1:$BF$1,0))</f>
        <v>Umbral Hex</v>
      </c>
      <c r="J2069" s="243">
        <f>INDEX('W-S'!$A:$N,MATCH(I2069,'W-S'!$C:$C,0),MATCH("SP Cost",'W-S'!$1:$1,0))</f>
        <v>7299</v>
      </c>
      <c r="K2069" s="9"/>
      <c r="L2069" s="241" t="str">
        <f>+I2069</f>
        <v>Umbral Hex</v>
      </c>
      <c r="M2069" s="243">
        <f>INDEX('W-S'!$A:$N,MATCH(L2069,'W-S'!$C:$C,0),MATCH("SP Cost V3",'W-S'!$1:$1,0))</f>
        <v>6000</v>
      </c>
    </row>
    <row r="2070" spans="1:13" ht="22.5" customHeight="1" x14ac:dyDescent="0.35">
      <c r="B2070" s="238" t="str">
        <f>+INDEX(WEAP!$A:$AN,MATCH(B2069,WEAP!$B:$B,0),MATCH("ID",WEAP!$A$1:$BF$1,0))</f>
        <v>305158_01</v>
      </c>
      <c r="C2070" s="240"/>
      <c r="D2070" s="692" t="str">
        <f>+INDEX(WEAP!$A:$AN,MATCH(B2069,WEAP!$B:$B,0),MATCH("Family",WEAP!$A$1:$BF$1,0))&amp;" Weapon"</f>
        <v>Primal Weapon</v>
      </c>
      <c r="E2070" s="693"/>
      <c r="F2070" s="693"/>
      <c r="G2070" s="694"/>
      <c r="H2070" s="8"/>
      <c r="I2070" s="458" t="str">
        <f>INDEX('W-S'!$A:$O,MATCH(I2069,'W-S'!$C:$C,0),MATCH("Description",'W-S'!$1:$1,0))</f>
        <v>Deals 2 hits of 461% shadow damage to the target and nearby enemies, increases the user's strength by 20% for 15 seconds, and grants them the "Primal Dragalia" effect for 90 seconds. Primal Dragalia increases the user's strength by 15% and their attack rate by 5%. Primal Dragalia will not stack.</v>
      </c>
      <c r="J2070" s="460"/>
      <c r="K2070" s="239"/>
      <c r="L2070" s="711" t="str">
        <f>INDEX('W-S'!$A:$O,MATCH(I2069,'W-S'!$C:$C,0),MATCH("Description V3",'W-S'!$1:$1,0))</f>
        <v>Deals 2 hits of 750% shadow damage to the target and nearby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2070" s="712"/>
    </row>
    <row r="2071" spans="1:13" ht="22.5" x14ac:dyDescent="0.2">
      <c r="B2071" s="701" t="e" vm="316">
        <f>+_xlfn.IMAGE("https://natalie.tf/wp-content/uploads/2023/10/DLV3_Icon_Weapon_"&amp;B2070&amp;".png")</f>
        <v>#VALUE!</v>
      </c>
      <c r="C2071" s="240"/>
      <c r="D2071" s="692" t="str">
        <f>INDEX(WEAP!$A:$AN,MATCH(B2070,WEAP!$A:$A,0),MATCH("Element",WEAP!$A$1:$BF$1,0))&amp;" "&amp;INDEX(WEAP!$A:$AN,MATCH(B2070,WEAP!$A:$A,0),MATCH("Type",WEAP!$A$1:$BF$1,0))</f>
        <v>Shadow Lance</v>
      </c>
      <c r="E2071" s="693"/>
      <c r="F2071" s="693"/>
      <c r="G2071" s="694"/>
      <c r="H2071" s="8"/>
      <c r="I2071" s="461"/>
      <c r="J2071" s="463"/>
      <c r="K2071" s="9"/>
      <c r="L2071" s="713"/>
      <c r="M2071" s="714"/>
    </row>
    <row r="2072" spans="1:13" ht="22.5" x14ac:dyDescent="0.35">
      <c r="B2072" s="702"/>
      <c r="C2072" s="239"/>
      <c r="D2072" s="703" t="s">
        <v>10760</v>
      </c>
      <c r="E2072" s="704"/>
      <c r="F2072" s="235" t="s">
        <v>10761</v>
      </c>
      <c r="G2072" s="235" t="s">
        <v>10762</v>
      </c>
      <c r="I2072" s="461"/>
      <c r="J2072" s="463"/>
      <c r="K2072" s="239"/>
      <c r="L2072" s="713"/>
      <c r="M2072" s="714"/>
    </row>
    <row r="2073" spans="1:13" ht="22.5" x14ac:dyDescent="0.35">
      <c r="B2073" s="702"/>
      <c r="C2073" s="239"/>
      <c r="D2073" s="705" t="s">
        <v>96</v>
      </c>
      <c r="E2073" s="706"/>
      <c r="F2073" s="236">
        <f>INDEX(WEAP!$A:$AN,MATCH(B2070,WEAP!$A:$A,0),MATCH("HP",WEAP!$A$1:$BF$1,0))</f>
        <v>290</v>
      </c>
      <c r="G2073" s="237">
        <f>INDEX(WEAP!$A:$AN,MATCH(B2070,WEAP!$A:$A,0),MATCH("HP V3",WEAP!$A$1:$BF$1,0))</f>
        <v>290</v>
      </c>
      <c r="I2073" s="461"/>
      <c r="J2073" s="463"/>
      <c r="K2073" s="239"/>
      <c r="L2073" s="713"/>
      <c r="M2073" s="714"/>
    </row>
    <row r="2074" spans="1:13" ht="22.5" x14ac:dyDescent="0.35">
      <c r="B2074" s="702"/>
      <c r="C2074" s="239"/>
      <c r="D2074" s="707" t="s">
        <v>97</v>
      </c>
      <c r="E2074" s="708"/>
      <c r="F2074" s="236">
        <f>INDEX(WEAP!$A:$AN,MATCH(B2070,WEAP!$A:$A,0),MATCH("Str",WEAP!$A$1:$BF$1,0))</f>
        <v>1799</v>
      </c>
      <c r="G2074" s="237">
        <f>INDEX(WEAP!$A:$AN,MATCH(B2070,WEAP!$A:$A,0),MATCH("Str V3",WEAP!$A$1:$BF$1,0))</f>
        <v>1800</v>
      </c>
      <c r="I2074" s="464"/>
      <c r="J2074" s="466"/>
      <c r="K2074" s="239"/>
      <c r="L2074" s="715"/>
      <c r="M2074" s="716"/>
    </row>
    <row r="2075" spans="1:13" s="245" customFormat="1" ht="7.5" customHeight="1" x14ac:dyDescent="0.2">
      <c r="A2075" s="245" t="s">
        <v>10763</v>
      </c>
    </row>
    <row r="2076" spans="1:13" ht="22.5" x14ac:dyDescent="0.35">
      <c r="A2076" s="242" t="str">
        <f>TEXT(A2069+1,"000")</f>
        <v>297</v>
      </c>
      <c r="B2076" s="238" t="str">
        <f>"W-"&amp;A2076</f>
        <v>W-297</v>
      </c>
      <c r="C2076" s="239"/>
      <c r="D2076" s="692" t="str">
        <f>+INDEX(WEAP!$A:$AN,MATCH(B2077,WEAP!$A:$A,0),MATCH("Name",WEAP!$A$1:$BF$1,0))</f>
        <v>Nightmare Prophecy</v>
      </c>
      <c r="E2076" s="693"/>
      <c r="F2076" s="693"/>
      <c r="G2076" s="694"/>
      <c r="I2076" s="241" t="str">
        <f>+INDEX(WEAP!$A:$AN,MATCH(B2077,WEAP!$A:$A,0),MATCH("Weapon Skill",WEAP!$A$1:$BF$1,0))</f>
        <v>Prophecy's Unholy Guidance</v>
      </c>
      <c r="J2076" s="243">
        <f>INDEX('W-S'!$A:$N,MATCH(I2076,'W-S'!$C:$C,0),MATCH("SP Cost",'W-S'!$1:$1,0))</f>
        <v>6750</v>
      </c>
      <c r="K2076" s="9"/>
      <c r="L2076" s="241" t="str">
        <f>+I2076</f>
        <v>Prophecy's Unholy Guidance</v>
      </c>
      <c r="M2076" s="243">
        <f>INDEX('W-S'!$A:$N,MATCH(L2076,'W-S'!$C:$C,0),MATCH("SP Cost V3",'W-S'!$1:$1,0))</f>
        <v>6000</v>
      </c>
    </row>
    <row r="2077" spans="1:13" ht="22.5" customHeight="1" x14ac:dyDescent="0.35">
      <c r="B2077" s="238" t="str">
        <f>+INDEX(WEAP!$A:$AN,MATCH(B2076,WEAP!$B:$B,0),MATCH("ID",WEAP!$A$1:$BF$1,0))</f>
        <v>306150_01</v>
      </c>
      <c r="C2077" s="240"/>
      <c r="D2077" s="692" t="str">
        <f>+INDEX(WEAP!$A:$AN,MATCH(B2076,WEAP!$B:$B,0),MATCH("Family",WEAP!$A$1:$BF$1,0))&amp;" Weapon"</f>
        <v>Primal Weapon</v>
      </c>
      <c r="E2077" s="693"/>
      <c r="F2077" s="693"/>
      <c r="G2077" s="694"/>
      <c r="H2077" s="8"/>
      <c r="I2077" s="458" t="str">
        <f>INDEX('W-S'!$A:$O,MATCH(I2076,'W-S'!$C:$C,0),MATCH("Description",'W-S'!$1:$1,0))</f>
        <v>Deals 1 hit of 854% shadow damage to enemies in a line, increases the user's strength by 20% for 15 seconds, and grants them the "Primal Dragalia" effect for 90 seconds. Primal Dragalia increases the user's strength by 15% and their attack rate by 5%. Primal Dragalia will not stack.</v>
      </c>
      <c r="J2077" s="460"/>
      <c r="K2077" s="239"/>
      <c r="L2077" s="711" t="str">
        <f>INDEX('W-S'!$A:$O,MATCH(I2076,'W-S'!$C:$C,0),MATCH("Description V3",'W-S'!$1:$1,0))</f>
        <v>Deals 1 hit of 1500% shadow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2077" s="712"/>
    </row>
    <row r="2078" spans="1:13" ht="22.5" x14ac:dyDescent="0.2">
      <c r="B2078" s="701" t="e" vm="317">
        <f>+_xlfn.IMAGE("https://natalie.tf/wp-content/uploads/2023/10/DLV3_Icon_Weapon_"&amp;B2077&amp;".png")</f>
        <v>#VALUE!</v>
      </c>
      <c r="C2078" s="240"/>
      <c r="D2078" s="692" t="str">
        <f>INDEX(WEAP!$A:$AN,MATCH(B2077,WEAP!$A:$A,0),MATCH("Element",WEAP!$A$1:$BF$1,0))&amp;" "&amp;INDEX(WEAP!$A:$AN,MATCH(B2077,WEAP!$A:$A,0),MATCH("Type",WEAP!$A$1:$BF$1,0))</f>
        <v>Shadow Bow</v>
      </c>
      <c r="E2078" s="693"/>
      <c r="F2078" s="693"/>
      <c r="G2078" s="694"/>
      <c r="H2078" s="8"/>
      <c r="I2078" s="461"/>
      <c r="J2078" s="463"/>
      <c r="K2078" s="9"/>
      <c r="L2078" s="713"/>
      <c r="M2078" s="714"/>
    </row>
    <row r="2079" spans="1:13" ht="22.5" x14ac:dyDescent="0.35">
      <c r="B2079" s="702"/>
      <c r="C2079" s="239"/>
      <c r="D2079" s="703" t="s">
        <v>10760</v>
      </c>
      <c r="E2079" s="704"/>
      <c r="F2079" s="235" t="s">
        <v>10761</v>
      </c>
      <c r="G2079" s="235" t="s">
        <v>10762</v>
      </c>
      <c r="I2079" s="461"/>
      <c r="J2079" s="463"/>
      <c r="K2079" s="239"/>
      <c r="L2079" s="713"/>
      <c r="M2079" s="714"/>
    </row>
    <row r="2080" spans="1:13" ht="22.5" x14ac:dyDescent="0.35">
      <c r="B2080" s="702"/>
      <c r="C2080" s="239"/>
      <c r="D2080" s="705" t="s">
        <v>96</v>
      </c>
      <c r="E2080" s="706"/>
      <c r="F2080" s="236">
        <f>INDEX(WEAP!$A:$AN,MATCH(B2077,WEAP!$A:$A,0),MATCH("HP",WEAP!$A$1:$BF$1,0))</f>
        <v>278</v>
      </c>
      <c r="G2080" s="237">
        <f>INDEX(WEAP!$A:$AN,MATCH(B2077,WEAP!$A:$A,0),MATCH("HP V3",WEAP!$A$1:$BF$1,0))</f>
        <v>280</v>
      </c>
      <c r="I2080" s="461"/>
      <c r="J2080" s="463"/>
      <c r="K2080" s="239"/>
      <c r="L2080" s="713"/>
      <c r="M2080" s="714"/>
    </row>
    <row r="2081" spans="1:13" ht="22.5" x14ac:dyDescent="0.35">
      <c r="B2081" s="702"/>
      <c r="C2081" s="239"/>
      <c r="D2081" s="707" t="s">
        <v>97</v>
      </c>
      <c r="E2081" s="708"/>
      <c r="F2081" s="236">
        <f>INDEX(WEAP!$A:$AN,MATCH(B2077,WEAP!$A:$A,0),MATCH("Str",WEAP!$A$1:$BF$1,0))</f>
        <v>1694</v>
      </c>
      <c r="G2081" s="237">
        <f>INDEX(WEAP!$A:$AN,MATCH(B2077,WEAP!$A:$A,0),MATCH("Str V3",WEAP!$A$1:$BF$1,0))</f>
        <v>1700</v>
      </c>
      <c r="I2081" s="464"/>
      <c r="J2081" s="466"/>
      <c r="K2081" s="239"/>
      <c r="L2081" s="715"/>
      <c r="M2081" s="716"/>
    </row>
    <row r="2082" spans="1:13" s="245" customFormat="1" ht="7.5" customHeight="1" x14ac:dyDescent="0.2">
      <c r="A2082" s="245" t="s">
        <v>10763</v>
      </c>
    </row>
    <row r="2083" spans="1:13" ht="22.5" x14ac:dyDescent="0.35">
      <c r="A2083" s="244" t="str">
        <f>TEXT(A2076+1,"000")</f>
        <v>298</v>
      </c>
      <c r="B2083" s="238" t="str">
        <f>"W-"&amp;A2083</f>
        <v>W-298</v>
      </c>
      <c r="C2083" s="239"/>
      <c r="D2083" s="692" t="str">
        <f>+INDEX(WEAP!$A:$AN,MATCH(B2084,WEAP!$A:$A,0),MATCH("Name",WEAP!$A$1:$BF$1,0))</f>
        <v>Umbral Chaser</v>
      </c>
      <c r="E2083" s="693"/>
      <c r="F2083" s="693"/>
      <c r="G2083" s="694"/>
      <c r="I2083" s="241" t="str">
        <f>+INDEX(WEAP!$A:$AN,MATCH(B2084,WEAP!$A:$A,0),MATCH("Weapon Skill",WEAP!$A$1:$BF$1,0))</f>
        <v>Pursuing Darkness</v>
      </c>
      <c r="J2083" s="243">
        <f>INDEX('W-S'!$A:$N,MATCH(I2083,'W-S'!$C:$C,0),MATCH("SP Cost",'W-S'!$1:$1,0))</f>
        <v>7635</v>
      </c>
      <c r="K2083" s="9"/>
      <c r="L2083" s="241" t="str">
        <f>+I2083</f>
        <v>Pursuing Darkness</v>
      </c>
      <c r="M2083" s="243">
        <f>INDEX('W-S'!$A:$N,MATCH(L2083,'W-S'!$C:$C,0),MATCH("SP Cost V3",'W-S'!$1:$1,0))</f>
        <v>6000</v>
      </c>
    </row>
    <row r="2084" spans="1:13" ht="22.5" customHeight="1" x14ac:dyDescent="0.35">
      <c r="B2084" s="238" t="str">
        <f>+INDEX(WEAP!$A:$AN,MATCH(B2083,WEAP!$B:$B,0),MATCH("ID",WEAP!$A$1:$BF$1,0))</f>
        <v>307157_01</v>
      </c>
      <c r="C2084" s="240"/>
      <c r="D2084" s="692" t="str">
        <f>+INDEX(WEAP!$A:$AN,MATCH(B2083,WEAP!$B:$B,0),MATCH("Family",WEAP!$A$1:$BF$1,0))&amp;" Weapon"</f>
        <v>Primal Weapon</v>
      </c>
      <c r="E2084" s="693"/>
      <c r="F2084" s="693"/>
      <c r="G2084" s="694"/>
      <c r="H2084" s="8"/>
      <c r="I2084" s="458" t="str">
        <f>INDEX('W-S'!$A:$O,MATCH(I2083,'W-S'!$C:$C,0),MATCH("Description",'W-S'!$1:$1,0))</f>
        <v>Deals 1 hit of 974% shadow damage to surrounding enemies, increases the user's strength by 20% for 15 seconds, and grants them the "Primal Dragalia" effect for 90 seconds. Primal Dragalia increases the user's strength by 15% and their attack rate by 5%. Primal Dragalia will not stack.</v>
      </c>
      <c r="J2084" s="460"/>
      <c r="K2084" s="239"/>
      <c r="L2084" s="711" t="str">
        <f>INDEX('W-S'!$A:$O,MATCH(I2083,'W-S'!$C:$C,0),MATCH("Description V3",'W-S'!$1:$1,0))</f>
        <v>Deals 1 hit of 1500% shadow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2084" s="712"/>
    </row>
    <row r="2085" spans="1:13" ht="22.5" x14ac:dyDescent="0.2">
      <c r="B2085" s="701" t="e" vm="318">
        <f>+_xlfn.IMAGE("https://natalie.tf/wp-content/uploads/2023/10/DLV3_Icon_Weapon_"&amp;B2084&amp;".png")</f>
        <v>#VALUE!</v>
      </c>
      <c r="C2085" s="240"/>
      <c r="D2085" s="692" t="str">
        <f>INDEX(WEAP!$A:$AN,MATCH(B2084,WEAP!$A:$A,0),MATCH("Element",WEAP!$A$1:$BF$1,0))&amp;" "&amp;INDEX(WEAP!$A:$AN,MATCH(B2084,WEAP!$A:$A,0),MATCH("Type",WEAP!$A$1:$BF$1,0))</f>
        <v>Shadow Wand</v>
      </c>
      <c r="E2085" s="693"/>
      <c r="F2085" s="693"/>
      <c r="G2085" s="694"/>
      <c r="H2085" s="8"/>
      <c r="I2085" s="461"/>
      <c r="J2085" s="463"/>
      <c r="K2085" s="9"/>
      <c r="L2085" s="713"/>
      <c r="M2085" s="714"/>
    </row>
    <row r="2086" spans="1:13" ht="22.5" x14ac:dyDescent="0.35">
      <c r="B2086" s="702"/>
      <c r="C2086" s="239"/>
      <c r="D2086" s="703" t="s">
        <v>10760</v>
      </c>
      <c r="E2086" s="704"/>
      <c r="F2086" s="235" t="s">
        <v>10761</v>
      </c>
      <c r="G2086" s="235" t="s">
        <v>10762</v>
      </c>
      <c r="I2086" s="461"/>
      <c r="J2086" s="463"/>
      <c r="K2086" s="239"/>
      <c r="L2086" s="713"/>
      <c r="M2086" s="714"/>
    </row>
    <row r="2087" spans="1:13" ht="22.5" x14ac:dyDescent="0.35">
      <c r="B2087" s="702"/>
      <c r="C2087" s="239"/>
      <c r="D2087" s="705" t="s">
        <v>96</v>
      </c>
      <c r="E2087" s="706"/>
      <c r="F2087" s="236">
        <f>INDEX(WEAP!$A:$AN,MATCH(B2084,WEAP!$A:$A,0),MATCH("HP",WEAP!$A$1:$BF$1,0))</f>
        <v>268</v>
      </c>
      <c r="G2087" s="237">
        <f>INDEX(WEAP!$A:$AN,MATCH(B2084,WEAP!$A:$A,0),MATCH("HP V3",WEAP!$A$1:$BF$1,0))</f>
        <v>275</v>
      </c>
      <c r="I2087" s="461"/>
      <c r="J2087" s="463"/>
      <c r="K2087" s="239"/>
      <c r="L2087" s="713"/>
      <c r="M2087" s="714"/>
    </row>
    <row r="2088" spans="1:13" ht="22.5" x14ac:dyDescent="0.35">
      <c r="B2088" s="702"/>
      <c r="C2088" s="239"/>
      <c r="D2088" s="707" t="s">
        <v>97</v>
      </c>
      <c r="E2088" s="708"/>
      <c r="F2088" s="236">
        <f>INDEX(WEAP!$A:$AN,MATCH(B2084,WEAP!$A:$A,0),MATCH("Str",WEAP!$A$1:$BF$1,0))</f>
        <v>1817</v>
      </c>
      <c r="G2088" s="237">
        <f>INDEX(WEAP!$A:$AN,MATCH(B2084,WEAP!$A:$A,0),MATCH("Str V3",WEAP!$A$1:$BF$1,0))</f>
        <v>1820</v>
      </c>
      <c r="I2088" s="464"/>
      <c r="J2088" s="466"/>
      <c r="K2088" s="239"/>
      <c r="L2088" s="715"/>
      <c r="M2088" s="716"/>
    </row>
    <row r="2089" spans="1:13" s="245" customFormat="1" ht="7.5" customHeight="1" x14ac:dyDescent="0.2">
      <c r="A2089" s="245" t="s">
        <v>10763</v>
      </c>
    </row>
    <row r="2090" spans="1:13" ht="22.5" x14ac:dyDescent="0.35">
      <c r="A2090" s="244" t="str">
        <f>TEXT(A2083+1,"000")</f>
        <v>299</v>
      </c>
      <c r="B2090" s="238" t="str">
        <f>"W-"&amp;A2090</f>
        <v>W-299</v>
      </c>
      <c r="C2090" s="239"/>
      <c r="D2090" s="692" t="str">
        <f>+INDEX(WEAP!$A:$AN,MATCH(B2091,WEAP!$A:$A,0),MATCH("Name",WEAP!$A$1:$BF$1,0))</f>
        <v>Consuming Darkness</v>
      </c>
      <c r="E2090" s="693"/>
      <c r="F2090" s="693"/>
      <c r="G2090" s="694"/>
      <c r="I2090" s="241" t="str">
        <f>+INDEX(WEAP!$A:$AN,MATCH(B2091,WEAP!$A:$A,0),MATCH("Weapon Skill",WEAP!$A$1:$BF$1,0))</f>
        <v>Hell's Oppressor</v>
      </c>
      <c r="J2090" s="243">
        <f>INDEX('W-S'!$A:$N,MATCH(I2090,'W-S'!$C:$C,0),MATCH("SP Cost",'W-S'!$1:$1,0))</f>
        <v>13684</v>
      </c>
      <c r="K2090" s="9"/>
      <c r="L2090" s="241" t="str">
        <f>+I2090</f>
        <v>Hell's Oppressor</v>
      </c>
      <c r="M2090" s="243">
        <f>INDEX('W-S'!$A:$N,MATCH(L2090,'W-S'!$C:$C,0),MATCH("SP Cost V3",'W-S'!$1:$1,0))</f>
        <v>6000</v>
      </c>
    </row>
    <row r="2091" spans="1:13" ht="22.5" customHeight="1" x14ac:dyDescent="0.35">
      <c r="B2091" s="238" t="str">
        <f>+INDEX(WEAP!$A:$AN,MATCH(B2090,WEAP!$B:$B,0),MATCH("ID",WEAP!$A$1:$BF$1,0))</f>
        <v>308149_01</v>
      </c>
      <c r="C2091" s="240"/>
      <c r="D2091" s="692" t="str">
        <f>+INDEX(WEAP!$A:$AN,MATCH(B2090,WEAP!$B:$B,0),MATCH("Family",WEAP!$A$1:$BF$1,0))&amp;" Weapon"</f>
        <v>Primal Weapon</v>
      </c>
      <c r="E2091" s="693"/>
      <c r="F2091" s="693"/>
      <c r="G2091" s="694"/>
      <c r="H2091" s="8"/>
      <c r="I2091" s="458" t="str">
        <f>INDEX('W-S'!$A:$O,MATCH(I2090,'W-S'!$C:$C,0),MATCH("Description",'W-S'!$1:$1,0))</f>
        <v>Deals 1 hit of 755% shadow damage to surrounding enemies, increases the user's strength by 20% for 15 seconds, and grants them the "Primal Dragalia" effect for 90 seconds. Primal Dragalia increases the user's strength by 15% and their attack rate by 5%. Primal Dragalia will not stack.</v>
      </c>
      <c r="J2091" s="460"/>
      <c r="K2091" s="239"/>
      <c r="L2091" s="711" t="str">
        <f>INDEX('W-S'!$A:$O,MATCH(I2090,'W-S'!$C:$C,0),MATCH("Description V3",'W-S'!$1:$1,0))</f>
        <v>Deals 1 hit of 1500% shadow damage to surrounding enemies,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2091" s="712"/>
    </row>
    <row r="2092" spans="1:13" ht="22.5" x14ac:dyDescent="0.2">
      <c r="B2092" s="701" t="e" vm="319">
        <f>+_xlfn.IMAGE("https://natalie.tf/wp-content/uploads/2023/10/DLV3_Icon_Weapon_"&amp;B2091&amp;".png")</f>
        <v>#VALUE!</v>
      </c>
      <c r="C2092" s="240"/>
      <c r="D2092" s="692" t="str">
        <f>INDEX(WEAP!$A:$AN,MATCH(B2091,WEAP!$A:$A,0),MATCH("Element",WEAP!$A$1:$BF$1,0))&amp;" "&amp;INDEX(WEAP!$A:$AN,MATCH(B2091,WEAP!$A:$A,0),MATCH("Type",WEAP!$A$1:$BF$1,0))</f>
        <v>Shadow Staff</v>
      </c>
      <c r="E2092" s="693"/>
      <c r="F2092" s="693"/>
      <c r="G2092" s="694"/>
      <c r="H2092" s="8"/>
      <c r="I2092" s="461"/>
      <c r="J2092" s="463"/>
      <c r="K2092" s="9"/>
      <c r="L2092" s="713"/>
      <c r="M2092" s="714"/>
    </row>
    <row r="2093" spans="1:13" ht="22.5" x14ac:dyDescent="0.35">
      <c r="B2093" s="702"/>
      <c r="C2093" s="239"/>
      <c r="D2093" s="703" t="s">
        <v>10760</v>
      </c>
      <c r="E2093" s="704"/>
      <c r="F2093" s="235" t="s">
        <v>10761</v>
      </c>
      <c r="G2093" s="235" t="s">
        <v>10762</v>
      </c>
      <c r="I2093" s="461"/>
      <c r="J2093" s="463"/>
      <c r="K2093" s="239"/>
      <c r="L2093" s="713"/>
      <c r="M2093" s="714"/>
    </row>
    <row r="2094" spans="1:13" ht="22.5" x14ac:dyDescent="0.35">
      <c r="B2094" s="702"/>
      <c r="C2094" s="239"/>
      <c r="D2094" s="705" t="s">
        <v>96</v>
      </c>
      <c r="E2094" s="706"/>
      <c r="F2094" s="236">
        <f>INDEX(WEAP!$A:$AN,MATCH(B2091,WEAP!$A:$A,0),MATCH("HP",WEAP!$A$1:$BF$1,0))</f>
        <v>312</v>
      </c>
      <c r="G2094" s="237">
        <f>INDEX(WEAP!$A:$AN,MATCH(B2091,WEAP!$A:$A,0),MATCH("HP V3",WEAP!$A$1:$BF$1,0))</f>
        <v>325</v>
      </c>
      <c r="I2094" s="461"/>
      <c r="J2094" s="463"/>
      <c r="K2094" s="239"/>
      <c r="L2094" s="713"/>
      <c r="M2094" s="714"/>
    </row>
    <row r="2095" spans="1:13" ht="22.5" x14ac:dyDescent="0.35">
      <c r="B2095" s="702"/>
      <c r="C2095" s="239"/>
      <c r="D2095" s="707" t="s">
        <v>97</v>
      </c>
      <c r="E2095" s="708"/>
      <c r="F2095" s="236">
        <f>INDEX(WEAP!$A:$AN,MATCH(B2091,WEAP!$A:$A,0),MATCH("Str",WEAP!$A$1:$BF$1,0))</f>
        <v>1676</v>
      </c>
      <c r="G2095" s="237">
        <f>INDEX(WEAP!$A:$AN,MATCH(B2091,WEAP!$A:$A,0),MATCH("Str V3",WEAP!$A$1:$BF$1,0))</f>
        <v>1680</v>
      </c>
      <c r="I2095" s="464"/>
      <c r="J2095" s="466"/>
      <c r="K2095" s="239"/>
      <c r="L2095" s="715"/>
      <c r="M2095" s="716"/>
    </row>
    <row r="2096" spans="1:13" s="245" customFormat="1" ht="7.5" customHeight="1" x14ac:dyDescent="0.2">
      <c r="A2096" s="245" t="s">
        <v>10763</v>
      </c>
    </row>
    <row r="2097" spans="1:13" ht="22.5" x14ac:dyDescent="0.35">
      <c r="A2097" s="244" t="str">
        <f>TEXT(A2090+1,"000")</f>
        <v>300</v>
      </c>
      <c r="B2097" s="238" t="str">
        <f>"W-"&amp;A2097</f>
        <v>W-300</v>
      </c>
      <c r="C2097" s="239"/>
      <c r="D2097" s="692" t="str">
        <f>+INDEX(WEAP!$A:$AN,MATCH(B2098,WEAP!$A:$A,0),MATCH("Name",WEAP!$A$1:$BF$1,0))</f>
        <v>Dusk Trigger</v>
      </c>
      <c r="E2097" s="693"/>
      <c r="F2097" s="693"/>
      <c r="G2097" s="694"/>
      <c r="I2097" s="241" t="str">
        <f>+INDEX(WEAP!$A:$AN,MATCH(B2098,WEAP!$A:$A,0),MATCH("Weapon Skill",WEAP!$A$1:$BF$1,0))</f>
        <v>Dusk Shell</v>
      </c>
      <c r="J2097" s="243">
        <f>INDEX('W-S'!$A:$N,MATCH(I2097,'W-S'!$C:$C,0),MATCH("SP Cost",'W-S'!$1:$1,0))</f>
        <v>8779</v>
      </c>
      <c r="K2097" s="9"/>
      <c r="L2097" s="241" t="str">
        <f>+I2097</f>
        <v>Dusk Shell</v>
      </c>
      <c r="M2097" s="243">
        <f>INDEX('W-S'!$A:$N,MATCH(L2097,'W-S'!$C:$C,0),MATCH("SP Cost V3",'W-S'!$1:$1,0))</f>
        <v>6000</v>
      </c>
    </row>
    <row r="2098" spans="1:13" ht="22.5" customHeight="1" x14ac:dyDescent="0.35">
      <c r="B2098" s="238" t="str">
        <f>+INDEX(WEAP!$A:$AN,MATCH(B2097,WEAP!$B:$B,0),MATCH("ID",WEAP!$A$1:$BF$1,0))</f>
        <v>309045_01</v>
      </c>
      <c r="C2098" s="240"/>
      <c r="D2098" s="692" t="str">
        <f>+INDEX(WEAP!$A:$AN,MATCH(B2097,WEAP!$B:$B,0),MATCH("Family",WEAP!$A$1:$BF$1,0))&amp;" Weapon"</f>
        <v>Primal Weapon</v>
      </c>
      <c r="E2098" s="693"/>
      <c r="F2098" s="693"/>
      <c r="G2098" s="694"/>
      <c r="H2098" s="8"/>
      <c r="I2098" s="458" t="str">
        <f>INDEX('W-S'!$A:$O,MATCH(I2097,'W-S'!$C:$C,0),MATCH("Description",'W-S'!$1:$1,0))</f>
        <v>Deals 1 hit of 929% shadow damage to enemies in a line, increases the user's strength by 20% for 15 seconds, and grants them the "Primal Dragalia" effect for 90 seconds. Primal Dragalia increases the user's strength by 15% and their attack rate by 5%. Primal Dragalia will not stack.</v>
      </c>
      <c r="J2098" s="460"/>
      <c r="K2098" s="239"/>
      <c r="L2098" s="711" t="str">
        <f>INDEX('W-S'!$A:$O,MATCH(I2097,'W-S'!$C:$C,0),MATCH("Description V3",'W-S'!$1:$1,0))</f>
        <v>Deals 1 hit of 1500% shadow damage to enemies in a line, increases the user's strength by 15% for 15 seconds, raises the dragon gauge by 30 DP if the attack connects, and grants them the "Primal Dragalia" effect for 90 seconds. Primal Dragalia increases the user's strength by 20% and their attack rate by 10%. Primal Dragalia will not stack.</v>
      </c>
      <c r="M2098" s="712"/>
    </row>
    <row r="2099" spans="1:13" ht="22.5" x14ac:dyDescent="0.2">
      <c r="B2099" s="701" t="e" vm="320">
        <f>+_xlfn.IMAGE("https://natalie.tf/wp-content/uploads/2023/10/DLV3_Icon_Weapon_"&amp;B2098&amp;".png")</f>
        <v>#VALUE!</v>
      </c>
      <c r="C2099" s="240"/>
      <c r="D2099" s="692" t="str">
        <f>INDEX(WEAP!$A:$AN,MATCH(B2098,WEAP!$A:$A,0),MATCH("Element",WEAP!$A$1:$BF$1,0))&amp;" "&amp;INDEX(WEAP!$A:$AN,MATCH(B2098,WEAP!$A:$A,0),MATCH("Type",WEAP!$A$1:$BF$1,0))</f>
        <v>Shadow Manacaster</v>
      </c>
      <c r="E2099" s="693"/>
      <c r="F2099" s="693"/>
      <c r="G2099" s="694"/>
      <c r="H2099" s="8"/>
      <c r="I2099" s="461"/>
      <c r="J2099" s="463"/>
      <c r="K2099" s="9"/>
      <c r="L2099" s="713"/>
      <c r="M2099" s="714"/>
    </row>
    <row r="2100" spans="1:13" ht="22.5" x14ac:dyDescent="0.35">
      <c r="B2100" s="702"/>
      <c r="C2100" s="239"/>
      <c r="D2100" s="703" t="s">
        <v>10760</v>
      </c>
      <c r="E2100" s="704"/>
      <c r="F2100" s="235" t="s">
        <v>10761</v>
      </c>
      <c r="G2100" s="235" t="s">
        <v>10762</v>
      </c>
      <c r="I2100" s="461"/>
      <c r="J2100" s="463"/>
      <c r="K2100" s="239"/>
      <c r="L2100" s="713"/>
      <c r="M2100" s="714"/>
    </row>
    <row r="2101" spans="1:13" ht="22.5" x14ac:dyDescent="0.35">
      <c r="B2101" s="702"/>
      <c r="C2101" s="239"/>
      <c r="D2101" s="705" t="s">
        <v>96</v>
      </c>
      <c r="E2101" s="706"/>
      <c r="F2101" s="236">
        <f>INDEX(WEAP!$A:$AN,MATCH(B2098,WEAP!$A:$A,0),MATCH("HP",WEAP!$A$1:$BF$1,0))</f>
        <v>275</v>
      </c>
      <c r="G2101" s="237">
        <f>INDEX(WEAP!$A:$AN,MATCH(B2098,WEAP!$A:$A,0),MATCH("HP V3",WEAP!$A$1:$BF$1,0))</f>
        <v>275</v>
      </c>
      <c r="I2101" s="461"/>
      <c r="J2101" s="463"/>
      <c r="K2101" s="239"/>
      <c r="L2101" s="713"/>
      <c r="M2101" s="714"/>
    </row>
    <row r="2102" spans="1:13" ht="22.5" x14ac:dyDescent="0.35">
      <c r="B2102" s="702"/>
      <c r="C2102" s="239"/>
      <c r="D2102" s="707" t="s">
        <v>97</v>
      </c>
      <c r="E2102" s="708"/>
      <c r="F2102" s="236">
        <f>INDEX(WEAP!$A:$AN,MATCH(B2098,WEAP!$A:$A,0),MATCH("Str",WEAP!$A$1:$BF$1,0))</f>
        <v>1835</v>
      </c>
      <c r="G2102" s="237">
        <f>INDEX(WEAP!$A:$AN,MATCH(B2098,WEAP!$A:$A,0),MATCH("Str V3",WEAP!$A$1:$BF$1,0))</f>
        <v>1835</v>
      </c>
      <c r="I2102" s="464"/>
      <c r="J2102" s="466"/>
      <c r="K2102" s="239"/>
      <c r="L2102" s="715"/>
      <c r="M2102" s="716"/>
    </row>
  </sheetData>
  <mergeCells count="2703">
    <mergeCell ref="I33:J37"/>
    <mergeCell ref="L19:M23"/>
    <mergeCell ref="L33:M37"/>
    <mergeCell ref="L26:M30"/>
    <mergeCell ref="D32:G32"/>
    <mergeCell ref="D33:G33"/>
    <mergeCell ref="B13:B16"/>
    <mergeCell ref="D13:G13"/>
    <mergeCell ref="D15:E15"/>
    <mergeCell ref="D16:E16"/>
    <mergeCell ref="B27:B30"/>
    <mergeCell ref="D27:G27"/>
    <mergeCell ref="D29:E29"/>
    <mergeCell ref="D30:E30"/>
    <mergeCell ref="B20:B23"/>
    <mergeCell ref="D20:G20"/>
    <mergeCell ref="D22:E22"/>
    <mergeCell ref="D23:E23"/>
    <mergeCell ref="D21:E21"/>
    <mergeCell ref="D28:E28"/>
    <mergeCell ref="B34:B37"/>
    <mergeCell ref="D34:G34"/>
    <mergeCell ref="D36:E36"/>
    <mergeCell ref="D37:E37"/>
    <mergeCell ref="D35:E35"/>
    <mergeCell ref="B41:B44"/>
    <mergeCell ref="D41:G41"/>
    <mergeCell ref="D42:E42"/>
    <mergeCell ref="D43:E43"/>
    <mergeCell ref="D44:E44"/>
    <mergeCell ref="I2:J2"/>
    <mergeCell ref="L2:M2"/>
    <mergeCell ref="D39:G39"/>
    <mergeCell ref="D40:G40"/>
    <mergeCell ref="I40:J44"/>
    <mergeCell ref="L40:M44"/>
    <mergeCell ref="D18:G18"/>
    <mergeCell ref="D19:G19"/>
    <mergeCell ref="D25:G25"/>
    <mergeCell ref="D26:G26"/>
    <mergeCell ref="L5:M9"/>
    <mergeCell ref="L12:M16"/>
    <mergeCell ref="I5:J9"/>
    <mergeCell ref="I12:J16"/>
    <mergeCell ref="I19:J23"/>
    <mergeCell ref="I26:J30"/>
    <mergeCell ref="B2:G2"/>
    <mergeCell ref="D7:E7"/>
    <mergeCell ref="D14:E14"/>
    <mergeCell ref="D11:G11"/>
    <mergeCell ref="D12:G12"/>
    <mergeCell ref="D4:G4"/>
    <mergeCell ref="D5:G5"/>
    <mergeCell ref="D6:G6"/>
    <mergeCell ref="D8:E8"/>
    <mergeCell ref="D9:E9"/>
    <mergeCell ref="B6:B9"/>
    <mergeCell ref="D53:G53"/>
    <mergeCell ref="D54:G54"/>
    <mergeCell ref="I54:J58"/>
    <mergeCell ref="L54:M58"/>
    <mergeCell ref="B55:B58"/>
    <mergeCell ref="D55:G55"/>
    <mergeCell ref="D56:E56"/>
    <mergeCell ref="D57:E57"/>
    <mergeCell ref="D58:E58"/>
    <mergeCell ref="D46:G46"/>
    <mergeCell ref="D47:G47"/>
    <mergeCell ref="I47:J51"/>
    <mergeCell ref="L47:M51"/>
    <mergeCell ref="B48:B51"/>
    <mergeCell ref="D48:G48"/>
    <mergeCell ref="D49:E49"/>
    <mergeCell ref="D50:E50"/>
    <mergeCell ref="D51:E51"/>
    <mergeCell ref="D67:G67"/>
    <mergeCell ref="D68:G68"/>
    <mergeCell ref="I68:J72"/>
    <mergeCell ref="L68:M72"/>
    <mergeCell ref="B69:B72"/>
    <mergeCell ref="D69:G69"/>
    <mergeCell ref="D70:E70"/>
    <mergeCell ref="D71:E71"/>
    <mergeCell ref="D72:E72"/>
    <mergeCell ref="D60:G60"/>
    <mergeCell ref="D61:G61"/>
    <mergeCell ref="I61:J65"/>
    <mergeCell ref="L61:M65"/>
    <mergeCell ref="B62:B65"/>
    <mergeCell ref="D62:G62"/>
    <mergeCell ref="D63:E63"/>
    <mergeCell ref="D64:E64"/>
    <mergeCell ref="D65:E65"/>
    <mergeCell ref="D81:G81"/>
    <mergeCell ref="D82:G82"/>
    <mergeCell ref="I82:J86"/>
    <mergeCell ref="L82:M86"/>
    <mergeCell ref="B83:B86"/>
    <mergeCell ref="D83:G83"/>
    <mergeCell ref="D84:E84"/>
    <mergeCell ref="D85:E85"/>
    <mergeCell ref="D86:E86"/>
    <mergeCell ref="D74:G74"/>
    <mergeCell ref="D75:G75"/>
    <mergeCell ref="I75:J79"/>
    <mergeCell ref="L75:M79"/>
    <mergeCell ref="B76:B79"/>
    <mergeCell ref="D76:G76"/>
    <mergeCell ref="D77:E77"/>
    <mergeCell ref="D78:E78"/>
    <mergeCell ref="D79:E79"/>
    <mergeCell ref="D95:G95"/>
    <mergeCell ref="D96:G96"/>
    <mergeCell ref="I96:J100"/>
    <mergeCell ref="L96:M100"/>
    <mergeCell ref="B97:B100"/>
    <mergeCell ref="D97:G97"/>
    <mergeCell ref="D98:E98"/>
    <mergeCell ref="D99:E99"/>
    <mergeCell ref="D100:E100"/>
    <mergeCell ref="D88:G88"/>
    <mergeCell ref="D89:G89"/>
    <mergeCell ref="I89:J93"/>
    <mergeCell ref="L89:M93"/>
    <mergeCell ref="B90:B93"/>
    <mergeCell ref="D90:G90"/>
    <mergeCell ref="D91:E91"/>
    <mergeCell ref="D92:E92"/>
    <mergeCell ref="D93:E93"/>
    <mergeCell ref="D109:G109"/>
    <mergeCell ref="D110:G110"/>
    <mergeCell ref="I110:J114"/>
    <mergeCell ref="L110:M114"/>
    <mergeCell ref="B111:B114"/>
    <mergeCell ref="D111:G111"/>
    <mergeCell ref="D112:E112"/>
    <mergeCell ref="D113:E113"/>
    <mergeCell ref="D114:E114"/>
    <mergeCell ref="D102:G102"/>
    <mergeCell ref="D103:G103"/>
    <mergeCell ref="I103:J107"/>
    <mergeCell ref="L103:M107"/>
    <mergeCell ref="B104:B107"/>
    <mergeCell ref="D104:G104"/>
    <mergeCell ref="D105:E105"/>
    <mergeCell ref="D106:E106"/>
    <mergeCell ref="D107:E107"/>
    <mergeCell ref="D123:G123"/>
    <mergeCell ref="D124:G124"/>
    <mergeCell ref="I124:J128"/>
    <mergeCell ref="L124:M128"/>
    <mergeCell ref="B125:B128"/>
    <mergeCell ref="D125:G125"/>
    <mergeCell ref="D126:E126"/>
    <mergeCell ref="D127:E127"/>
    <mergeCell ref="D128:E128"/>
    <mergeCell ref="D116:G116"/>
    <mergeCell ref="D117:G117"/>
    <mergeCell ref="I117:J121"/>
    <mergeCell ref="L117:M121"/>
    <mergeCell ref="B118:B121"/>
    <mergeCell ref="D118:G118"/>
    <mergeCell ref="D119:E119"/>
    <mergeCell ref="D120:E120"/>
    <mergeCell ref="D121:E121"/>
    <mergeCell ref="D137:G137"/>
    <mergeCell ref="D138:G138"/>
    <mergeCell ref="I138:J142"/>
    <mergeCell ref="L138:M142"/>
    <mergeCell ref="B139:B142"/>
    <mergeCell ref="D139:G139"/>
    <mergeCell ref="D140:E140"/>
    <mergeCell ref="D141:E141"/>
    <mergeCell ref="D142:E142"/>
    <mergeCell ref="D130:G130"/>
    <mergeCell ref="D131:G131"/>
    <mergeCell ref="I131:J135"/>
    <mergeCell ref="L131:M135"/>
    <mergeCell ref="B132:B135"/>
    <mergeCell ref="D132:G132"/>
    <mergeCell ref="D133:E133"/>
    <mergeCell ref="D134:E134"/>
    <mergeCell ref="D135:E135"/>
    <mergeCell ref="D151:G151"/>
    <mergeCell ref="D152:G152"/>
    <mergeCell ref="I152:J156"/>
    <mergeCell ref="L152:M156"/>
    <mergeCell ref="B153:B156"/>
    <mergeCell ref="D153:G153"/>
    <mergeCell ref="D154:E154"/>
    <mergeCell ref="D155:E155"/>
    <mergeCell ref="D156:E156"/>
    <mergeCell ref="D144:G144"/>
    <mergeCell ref="D145:G145"/>
    <mergeCell ref="I145:J149"/>
    <mergeCell ref="L145:M149"/>
    <mergeCell ref="B146:B149"/>
    <mergeCell ref="D146:G146"/>
    <mergeCell ref="D147:E147"/>
    <mergeCell ref="D148:E148"/>
    <mergeCell ref="D149:E149"/>
    <mergeCell ref="D165:G165"/>
    <mergeCell ref="D166:G166"/>
    <mergeCell ref="I166:J170"/>
    <mergeCell ref="L166:M170"/>
    <mergeCell ref="B167:B170"/>
    <mergeCell ref="D167:G167"/>
    <mergeCell ref="D168:E168"/>
    <mergeCell ref="D169:E169"/>
    <mergeCell ref="D170:E170"/>
    <mergeCell ref="D158:G158"/>
    <mergeCell ref="D159:G159"/>
    <mergeCell ref="I159:J163"/>
    <mergeCell ref="L159:M163"/>
    <mergeCell ref="B160:B163"/>
    <mergeCell ref="D160:G160"/>
    <mergeCell ref="D161:E161"/>
    <mergeCell ref="D162:E162"/>
    <mergeCell ref="D163:E163"/>
    <mergeCell ref="D179:G179"/>
    <mergeCell ref="D180:G180"/>
    <mergeCell ref="I180:J184"/>
    <mergeCell ref="L180:M184"/>
    <mergeCell ref="B181:B184"/>
    <mergeCell ref="D181:G181"/>
    <mergeCell ref="D182:E182"/>
    <mergeCell ref="D183:E183"/>
    <mergeCell ref="D184:E184"/>
    <mergeCell ref="D172:G172"/>
    <mergeCell ref="D173:G173"/>
    <mergeCell ref="I173:J177"/>
    <mergeCell ref="L173:M177"/>
    <mergeCell ref="B174:B177"/>
    <mergeCell ref="D174:G174"/>
    <mergeCell ref="D175:E175"/>
    <mergeCell ref="D176:E176"/>
    <mergeCell ref="D177:E177"/>
    <mergeCell ref="D193:G193"/>
    <mergeCell ref="D194:G194"/>
    <mergeCell ref="I194:J198"/>
    <mergeCell ref="L194:M198"/>
    <mergeCell ref="B195:B198"/>
    <mergeCell ref="D195:G195"/>
    <mergeCell ref="D196:E196"/>
    <mergeCell ref="D197:E197"/>
    <mergeCell ref="D198:E198"/>
    <mergeCell ref="D186:G186"/>
    <mergeCell ref="D187:G187"/>
    <mergeCell ref="I187:J191"/>
    <mergeCell ref="L187:M191"/>
    <mergeCell ref="B188:B191"/>
    <mergeCell ref="D188:G188"/>
    <mergeCell ref="D189:E189"/>
    <mergeCell ref="D190:E190"/>
    <mergeCell ref="D191:E191"/>
    <mergeCell ref="D207:G207"/>
    <mergeCell ref="D208:G208"/>
    <mergeCell ref="I208:J212"/>
    <mergeCell ref="L208:M212"/>
    <mergeCell ref="B209:B212"/>
    <mergeCell ref="D209:G209"/>
    <mergeCell ref="D210:E210"/>
    <mergeCell ref="D211:E211"/>
    <mergeCell ref="D212:E212"/>
    <mergeCell ref="D200:G200"/>
    <mergeCell ref="D201:G201"/>
    <mergeCell ref="I201:J205"/>
    <mergeCell ref="L201:M205"/>
    <mergeCell ref="B202:B205"/>
    <mergeCell ref="D202:G202"/>
    <mergeCell ref="D203:E203"/>
    <mergeCell ref="D204:E204"/>
    <mergeCell ref="D205:E205"/>
    <mergeCell ref="D221:G221"/>
    <mergeCell ref="D222:G222"/>
    <mergeCell ref="I222:J226"/>
    <mergeCell ref="L222:M226"/>
    <mergeCell ref="B223:B226"/>
    <mergeCell ref="D223:G223"/>
    <mergeCell ref="D224:E224"/>
    <mergeCell ref="D225:E225"/>
    <mergeCell ref="D226:E226"/>
    <mergeCell ref="D214:G214"/>
    <mergeCell ref="D215:G215"/>
    <mergeCell ref="I215:J219"/>
    <mergeCell ref="L215:M219"/>
    <mergeCell ref="B216:B219"/>
    <mergeCell ref="D216:G216"/>
    <mergeCell ref="D217:E217"/>
    <mergeCell ref="D218:E218"/>
    <mergeCell ref="D219:E219"/>
    <mergeCell ref="D235:G235"/>
    <mergeCell ref="D236:G236"/>
    <mergeCell ref="I236:J240"/>
    <mergeCell ref="L236:M240"/>
    <mergeCell ref="B237:B240"/>
    <mergeCell ref="D237:G237"/>
    <mergeCell ref="D238:E238"/>
    <mergeCell ref="D239:E239"/>
    <mergeCell ref="D240:E240"/>
    <mergeCell ref="D228:G228"/>
    <mergeCell ref="D229:G229"/>
    <mergeCell ref="I229:J233"/>
    <mergeCell ref="L229:M233"/>
    <mergeCell ref="B230:B233"/>
    <mergeCell ref="D230:G230"/>
    <mergeCell ref="D231:E231"/>
    <mergeCell ref="D232:E232"/>
    <mergeCell ref="D233:E233"/>
    <mergeCell ref="D249:G249"/>
    <mergeCell ref="D250:G250"/>
    <mergeCell ref="I250:J254"/>
    <mergeCell ref="L250:M254"/>
    <mergeCell ref="B251:B254"/>
    <mergeCell ref="D251:G251"/>
    <mergeCell ref="D252:E252"/>
    <mergeCell ref="D253:E253"/>
    <mergeCell ref="D254:E254"/>
    <mergeCell ref="D242:G242"/>
    <mergeCell ref="D243:G243"/>
    <mergeCell ref="I243:J247"/>
    <mergeCell ref="L243:M247"/>
    <mergeCell ref="B244:B247"/>
    <mergeCell ref="D244:G244"/>
    <mergeCell ref="D245:E245"/>
    <mergeCell ref="D246:E246"/>
    <mergeCell ref="D247:E247"/>
    <mergeCell ref="D263:G263"/>
    <mergeCell ref="D264:G264"/>
    <mergeCell ref="I264:J268"/>
    <mergeCell ref="L264:M268"/>
    <mergeCell ref="B265:B268"/>
    <mergeCell ref="D265:G265"/>
    <mergeCell ref="D266:E266"/>
    <mergeCell ref="D267:E267"/>
    <mergeCell ref="D268:E268"/>
    <mergeCell ref="D256:G256"/>
    <mergeCell ref="D257:G257"/>
    <mergeCell ref="I257:J261"/>
    <mergeCell ref="L257:M261"/>
    <mergeCell ref="B258:B261"/>
    <mergeCell ref="D258:G258"/>
    <mergeCell ref="D259:E259"/>
    <mergeCell ref="D260:E260"/>
    <mergeCell ref="D261:E261"/>
    <mergeCell ref="D277:G277"/>
    <mergeCell ref="D278:G278"/>
    <mergeCell ref="I278:J282"/>
    <mergeCell ref="L278:M282"/>
    <mergeCell ref="B279:B282"/>
    <mergeCell ref="D279:G279"/>
    <mergeCell ref="D280:E280"/>
    <mergeCell ref="D281:E281"/>
    <mergeCell ref="D282:E282"/>
    <mergeCell ref="D270:G270"/>
    <mergeCell ref="D271:G271"/>
    <mergeCell ref="I271:J275"/>
    <mergeCell ref="L271:M275"/>
    <mergeCell ref="B272:B275"/>
    <mergeCell ref="D272:G272"/>
    <mergeCell ref="D273:E273"/>
    <mergeCell ref="D274:E274"/>
    <mergeCell ref="D275:E275"/>
    <mergeCell ref="D291:G291"/>
    <mergeCell ref="D292:G292"/>
    <mergeCell ref="I292:J296"/>
    <mergeCell ref="L292:M296"/>
    <mergeCell ref="B293:B296"/>
    <mergeCell ref="D293:G293"/>
    <mergeCell ref="D294:E294"/>
    <mergeCell ref="D295:E295"/>
    <mergeCell ref="D296:E296"/>
    <mergeCell ref="D284:G284"/>
    <mergeCell ref="D285:G285"/>
    <mergeCell ref="I285:J289"/>
    <mergeCell ref="L285:M289"/>
    <mergeCell ref="B286:B289"/>
    <mergeCell ref="D286:G286"/>
    <mergeCell ref="D287:E287"/>
    <mergeCell ref="D288:E288"/>
    <mergeCell ref="D289:E289"/>
    <mergeCell ref="D305:G305"/>
    <mergeCell ref="D306:G306"/>
    <mergeCell ref="I306:J310"/>
    <mergeCell ref="L306:M310"/>
    <mergeCell ref="B307:B310"/>
    <mergeCell ref="D307:G307"/>
    <mergeCell ref="D308:E308"/>
    <mergeCell ref="D309:E309"/>
    <mergeCell ref="D310:E310"/>
    <mergeCell ref="D298:G298"/>
    <mergeCell ref="D299:G299"/>
    <mergeCell ref="I299:J303"/>
    <mergeCell ref="L299:M303"/>
    <mergeCell ref="B300:B303"/>
    <mergeCell ref="D300:G300"/>
    <mergeCell ref="D301:E301"/>
    <mergeCell ref="D302:E302"/>
    <mergeCell ref="D303:E303"/>
    <mergeCell ref="D319:G319"/>
    <mergeCell ref="D320:G320"/>
    <mergeCell ref="I320:J324"/>
    <mergeCell ref="L320:M324"/>
    <mergeCell ref="B321:B324"/>
    <mergeCell ref="D321:G321"/>
    <mergeCell ref="D322:E322"/>
    <mergeCell ref="D323:E323"/>
    <mergeCell ref="D324:E324"/>
    <mergeCell ref="D312:G312"/>
    <mergeCell ref="D313:G313"/>
    <mergeCell ref="I313:J317"/>
    <mergeCell ref="L313:M317"/>
    <mergeCell ref="B314:B317"/>
    <mergeCell ref="D314:G314"/>
    <mergeCell ref="D315:E315"/>
    <mergeCell ref="D316:E316"/>
    <mergeCell ref="D317:E317"/>
    <mergeCell ref="D333:G333"/>
    <mergeCell ref="D334:G334"/>
    <mergeCell ref="I334:J338"/>
    <mergeCell ref="L334:M338"/>
    <mergeCell ref="B335:B338"/>
    <mergeCell ref="D335:G335"/>
    <mergeCell ref="D336:E336"/>
    <mergeCell ref="D337:E337"/>
    <mergeCell ref="D338:E338"/>
    <mergeCell ref="D326:G326"/>
    <mergeCell ref="D327:G327"/>
    <mergeCell ref="I327:J331"/>
    <mergeCell ref="L327:M331"/>
    <mergeCell ref="B328:B331"/>
    <mergeCell ref="D328:G328"/>
    <mergeCell ref="D329:E329"/>
    <mergeCell ref="D330:E330"/>
    <mergeCell ref="D331:E331"/>
    <mergeCell ref="D347:G347"/>
    <mergeCell ref="D348:G348"/>
    <mergeCell ref="I348:J352"/>
    <mergeCell ref="L348:M352"/>
    <mergeCell ref="B349:B352"/>
    <mergeCell ref="D349:G349"/>
    <mergeCell ref="D350:E350"/>
    <mergeCell ref="D351:E351"/>
    <mergeCell ref="D352:E352"/>
    <mergeCell ref="D340:G340"/>
    <mergeCell ref="D341:G341"/>
    <mergeCell ref="I341:J345"/>
    <mergeCell ref="L341:M345"/>
    <mergeCell ref="B342:B345"/>
    <mergeCell ref="D342:G342"/>
    <mergeCell ref="D343:E343"/>
    <mergeCell ref="D344:E344"/>
    <mergeCell ref="D345:E345"/>
    <mergeCell ref="D361:G361"/>
    <mergeCell ref="D362:G362"/>
    <mergeCell ref="I362:J366"/>
    <mergeCell ref="L362:M366"/>
    <mergeCell ref="B363:B366"/>
    <mergeCell ref="D363:G363"/>
    <mergeCell ref="D364:E364"/>
    <mergeCell ref="D365:E365"/>
    <mergeCell ref="D366:E366"/>
    <mergeCell ref="D354:G354"/>
    <mergeCell ref="D355:G355"/>
    <mergeCell ref="I355:J359"/>
    <mergeCell ref="L355:M359"/>
    <mergeCell ref="B356:B359"/>
    <mergeCell ref="D356:G356"/>
    <mergeCell ref="D357:E357"/>
    <mergeCell ref="D358:E358"/>
    <mergeCell ref="D359:E359"/>
    <mergeCell ref="D375:G375"/>
    <mergeCell ref="D376:G376"/>
    <mergeCell ref="I376:J380"/>
    <mergeCell ref="L376:M380"/>
    <mergeCell ref="B377:B380"/>
    <mergeCell ref="D377:G377"/>
    <mergeCell ref="D378:E378"/>
    <mergeCell ref="D379:E379"/>
    <mergeCell ref="D380:E380"/>
    <mergeCell ref="D368:G368"/>
    <mergeCell ref="D369:G369"/>
    <mergeCell ref="I369:J373"/>
    <mergeCell ref="L369:M373"/>
    <mergeCell ref="B370:B373"/>
    <mergeCell ref="D370:G370"/>
    <mergeCell ref="D371:E371"/>
    <mergeCell ref="D372:E372"/>
    <mergeCell ref="D373:E373"/>
    <mergeCell ref="D389:G389"/>
    <mergeCell ref="D390:G390"/>
    <mergeCell ref="I390:J394"/>
    <mergeCell ref="L390:M394"/>
    <mergeCell ref="B391:B394"/>
    <mergeCell ref="D391:G391"/>
    <mergeCell ref="D392:E392"/>
    <mergeCell ref="D393:E393"/>
    <mergeCell ref="D394:E394"/>
    <mergeCell ref="D382:G382"/>
    <mergeCell ref="D383:G383"/>
    <mergeCell ref="I383:J387"/>
    <mergeCell ref="L383:M387"/>
    <mergeCell ref="B384:B387"/>
    <mergeCell ref="D384:G384"/>
    <mergeCell ref="D385:E385"/>
    <mergeCell ref="D386:E386"/>
    <mergeCell ref="D387:E387"/>
    <mergeCell ref="D403:G403"/>
    <mergeCell ref="D404:G404"/>
    <mergeCell ref="I404:J408"/>
    <mergeCell ref="L404:M408"/>
    <mergeCell ref="B405:B408"/>
    <mergeCell ref="D405:G405"/>
    <mergeCell ref="D406:E406"/>
    <mergeCell ref="D407:E407"/>
    <mergeCell ref="D408:E408"/>
    <mergeCell ref="D396:G396"/>
    <mergeCell ref="D397:G397"/>
    <mergeCell ref="I397:J401"/>
    <mergeCell ref="L397:M401"/>
    <mergeCell ref="B398:B401"/>
    <mergeCell ref="D398:G398"/>
    <mergeCell ref="D399:E399"/>
    <mergeCell ref="D400:E400"/>
    <mergeCell ref="D401:E401"/>
    <mergeCell ref="D417:G417"/>
    <mergeCell ref="D418:G418"/>
    <mergeCell ref="I418:J422"/>
    <mergeCell ref="L418:M422"/>
    <mergeCell ref="B419:B422"/>
    <mergeCell ref="D419:G419"/>
    <mergeCell ref="D420:E420"/>
    <mergeCell ref="D421:E421"/>
    <mergeCell ref="D422:E422"/>
    <mergeCell ref="D410:G410"/>
    <mergeCell ref="D411:G411"/>
    <mergeCell ref="I411:J415"/>
    <mergeCell ref="L411:M415"/>
    <mergeCell ref="B412:B415"/>
    <mergeCell ref="D412:G412"/>
    <mergeCell ref="D413:E413"/>
    <mergeCell ref="D414:E414"/>
    <mergeCell ref="D415:E415"/>
    <mergeCell ref="D431:G431"/>
    <mergeCell ref="D432:G432"/>
    <mergeCell ref="I432:J436"/>
    <mergeCell ref="L432:M436"/>
    <mergeCell ref="B433:B436"/>
    <mergeCell ref="D433:G433"/>
    <mergeCell ref="D434:E434"/>
    <mergeCell ref="D435:E435"/>
    <mergeCell ref="D436:E436"/>
    <mergeCell ref="D424:G424"/>
    <mergeCell ref="D425:G425"/>
    <mergeCell ref="I425:J429"/>
    <mergeCell ref="L425:M429"/>
    <mergeCell ref="B426:B429"/>
    <mergeCell ref="D426:G426"/>
    <mergeCell ref="D427:E427"/>
    <mergeCell ref="D428:E428"/>
    <mergeCell ref="D429:E429"/>
    <mergeCell ref="D445:G445"/>
    <mergeCell ref="D446:G446"/>
    <mergeCell ref="I446:J450"/>
    <mergeCell ref="L446:M450"/>
    <mergeCell ref="B447:B450"/>
    <mergeCell ref="D447:G447"/>
    <mergeCell ref="D448:E448"/>
    <mergeCell ref="D449:E449"/>
    <mergeCell ref="D450:E450"/>
    <mergeCell ref="D438:G438"/>
    <mergeCell ref="D439:G439"/>
    <mergeCell ref="I439:J443"/>
    <mergeCell ref="L439:M443"/>
    <mergeCell ref="B440:B443"/>
    <mergeCell ref="D440:G440"/>
    <mergeCell ref="D441:E441"/>
    <mergeCell ref="D442:E442"/>
    <mergeCell ref="D443:E443"/>
    <mergeCell ref="D459:G459"/>
    <mergeCell ref="D460:G460"/>
    <mergeCell ref="I460:J464"/>
    <mergeCell ref="L460:M464"/>
    <mergeCell ref="B461:B464"/>
    <mergeCell ref="D461:G461"/>
    <mergeCell ref="D462:E462"/>
    <mergeCell ref="D463:E463"/>
    <mergeCell ref="D464:E464"/>
    <mergeCell ref="D452:G452"/>
    <mergeCell ref="D453:G453"/>
    <mergeCell ref="I453:J457"/>
    <mergeCell ref="L453:M457"/>
    <mergeCell ref="B454:B457"/>
    <mergeCell ref="D454:G454"/>
    <mergeCell ref="D455:E455"/>
    <mergeCell ref="D456:E456"/>
    <mergeCell ref="D457:E457"/>
    <mergeCell ref="D473:G473"/>
    <mergeCell ref="D474:G474"/>
    <mergeCell ref="I474:J478"/>
    <mergeCell ref="L474:M478"/>
    <mergeCell ref="B475:B478"/>
    <mergeCell ref="D475:G475"/>
    <mergeCell ref="D476:E476"/>
    <mergeCell ref="D477:E477"/>
    <mergeCell ref="D478:E478"/>
    <mergeCell ref="D466:G466"/>
    <mergeCell ref="D467:G467"/>
    <mergeCell ref="I467:J471"/>
    <mergeCell ref="L467:M471"/>
    <mergeCell ref="B468:B471"/>
    <mergeCell ref="D468:G468"/>
    <mergeCell ref="D469:E469"/>
    <mergeCell ref="D470:E470"/>
    <mergeCell ref="D471:E471"/>
    <mergeCell ref="D487:G487"/>
    <mergeCell ref="D488:G488"/>
    <mergeCell ref="I488:J492"/>
    <mergeCell ref="L488:M492"/>
    <mergeCell ref="B489:B492"/>
    <mergeCell ref="D489:G489"/>
    <mergeCell ref="D490:E490"/>
    <mergeCell ref="D491:E491"/>
    <mergeCell ref="D492:E492"/>
    <mergeCell ref="D480:G480"/>
    <mergeCell ref="D481:G481"/>
    <mergeCell ref="I481:J485"/>
    <mergeCell ref="L481:M485"/>
    <mergeCell ref="B482:B485"/>
    <mergeCell ref="D482:G482"/>
    <mergeCell ref="D483:E483"/>
    <mergeCell ref="D484:E484"/>
    <mergeCell ref="D485:E485"/>
    <mergeCell ref="D501:G501"/>
    <mergeCell ref="D502:G502"/>
    <mergeCell ref="I502:J506"/>
    <mergeCell ref="L502:M506"/>
    <mergeCell ref="B503:B506"/>
    <mergeCell ref="D503:G503"/>
    <mergeCell ref="D504:E504"/>
    <mergeCell ref="D505:E505"/>
    <mergeCell ref="D506:E506"/>
    <mergeCell ref="D494:G494"/>
    <mergeCell ref="D495:G495"/>
    <mergeCell ref="I495:J499"/>
    <mergeCell ref="L495:M499"/>
    <mergeCell ref="B496:B499"/>
    <mergeCell ref="D496:G496"/>
    <mergeCell ref="D497:E497"/>
    <mergeCell ref="D498:E498"/>
    <mergeCell ref="D499:E499"/>
    <mergeCell ref="D515:G515"/>
    <mergeCell ref="D516:G516"/>
    <mergeCell ref="I516:J520"/>
    <mergeCell ref="L516:M520"/>
    <mergeCell ref="B517:B520"/>
    <mergeCell ref="D517:G517"/>
    <mergeCell ref="D518:E518"/>
    <mergeCell ref="D519:E519"/>
    <mergeCell ref="D520:E520"/>
    <mergeCell ref="D508:G508"/>
    <mergeCell ref="D509:G509"/>
    <mergeCell ref="I509:J513"/>
    <mergeCell ref="L509:M513"/>
    <mergeCell ref="B510:B513"/>
    <mergeCell ref="D510:G510"/>
    <mergeCell ref="D511:E511"/>
    <mergeCell ref="D512:E512"/>
    <mergeCell ref="D513:E513"/>
    <mergeCell ref="D529:G529"/>
    <mergeCell ref="D530:G530"/>
    <mergeCell ref="I530:J534"/>
    <mergeCell ref="L530:M534"/>
    <mergeCell ref="B531:B534"/>
    <mergeCell ref="D531:G531"/>
    <mergeCell ref="D532:E532"/>
    <mergeCell ref="D533:E533"/>
    <mergeCell ref="D534:E534"/>
    <mergeCell ref="D522:G522"/>
    <mergeCell ref="D523:G523"/>
    <mergeCell ref="I523:J527"/>
    <mergeCell ref="L523:M527"/>
    <mergeCell ref="B524:B527"/>
    <mergeCell ref="D524:G524"/>
    <mergeCell ref="D525:E525"/>
    <mergeCell ref="D526:E526"/>
    <mergeCell ref="D527:E527"/>
    <mergeCell ref="D543:G543"/>
    <mergeCell ref="D544:G544"/>
    <mergeCell ref="I544:J548"/>
    <mergeCell ref="L544:M548"/>
    <mergeCell ref="B545:B548"/>
    <mergeCell ref="D545:G545"/>
    <mergeCell ref="D546:E546"/>
    <mergeCell ref="D547:E547"/>
    <mergeCell ref="D548:E548"/>
    <mergeCell ref="D536:G536"/>
    <mergeCell ref="D537:G537"/>
    <mergeCell ref="I537:J541"/>
    <mergeCell ref="L537:M541"/>
    <mergeCell ref="B538:B541"/>
    <mergeCell ref="D538:G538"/>
    <mergeCell ref="D539:E539"/>
    <mergeCell ref="D540:E540"/>
    <mergeCell ref="D541:E541"/>
    <mergeCell ref="D557:G557"/>
    <mergeCell ref="D558:G558"/>
    <mergeCell ref="I558:J562"/>
    <mergeCell ref="L558:M562"/>
    <mergeCell ref="B559:B562"/>
    <mergeCell ref="D559:G559"/>
    <mergeCell ref="D560:E560"/>
    <mergeCell ref="D561:E561"/>
    <mergeCell ref="D562:E562"/>
    <mergeCell ref="D550:G550"/>
    <mergeCell ref="D551:G551"/>
    <mergeCell ref="I551:J555"/>
    <mergeCell ref="L551:M555"/>
    <mergeCell ref="B552:B555"/>
    <mergeCell ref="D552:G552"/>
    <mergeCell ref="D553:E553"/>
    <mergeCell ref="D554:E554"/>
    <mergeCell ref="D555:E555"/>
    <mergeCell ref="D571:G571"/>
    <mergeCell ref="D572:G572"/>
    <mergeCell ref="I572:J576"/>
    <mergeCell ref="L572:M576"/>
    <mergeCell ref="B573:B576"/>
    <mergeCell ref="D573:G573"/>
    <mergeCell ref="D574:E574"/>
    <mergeCell ref="D575:E575"/>
    <mergeCell ref="D576:E576"/>
    <mergeCell ref="D564:G564"/>
    <mergeCell ref="D565:G565"/>
    <mergeCell ref="I565:J569"/>
    <mergeCell ref="L565:M569"/>
    <mergeCell ref="B566:B569"/>
    <mergeCell ref="D566:G566"/>
    <mergeCell ref="D567:E567"/>
    <mergeCell ref="D568:E568"/>
    <mergeCell ref="D569:E569"/>
    <mergeCell ref="D585:G585"/>
    <mergeCell ref="D586:G586"/>
    <mergeCell ref="I586:J590"/>
    <mergeCell ref="L586:M590"/>
    <mergeCell ref="B587:B590"/>
    <mergeCell ref="D587:G587"/>
    <mergeCell ref="D588:E588"/>
    <mergeCell ref="D589:E589"/>
    <mergeCell ref="D590:E590"/>
    <mergeCell ref="D578:G578"/>
    <mergeCell ref="D579:G579"/>
    <mergeCell ref="I579:J583"/>
    <mergeCell ref="L579:M583"/>
    <mergeCell ref="B580:B583"/>
    <mergeCell ref="D580:G580"/>
    <mergeCell ref="D581:E581"/>
    <mergeCell ref="D582:E582"/>
    <mergeCell ref="D583:E583"/>
    <mergeCell ref="D599:G599"/>
    <mergeCell ref="D600:G600"/>
    <mergeCell ref="I600:J604"/>
    <mergeCell ref="L600:M604"/>
    <mergeCell ref="B601:B604"/>
    <mergeCell ref="D601:G601"/>
    <mergeCell ref="D602:E602"/>
    <mergeCell ref="D603:E603"/>
    <mergeCell ref="D604:E604"/>
    <mergeCell ref="D592:G592"/>
    <mergeCell ref="D593:G593"/>
    <mergeCell ref="I593:J597"/>
    <mergeCell ref="L593:M597"/>
    <mergeCell ref="B594:B597"/>
    <mergeCell ref="D594:G594"/>
    <mergeCell ref="D595:E595"/>
    <mergeCell ref="D596:E596"/>
    <mergeCell ref="D597:E597"/>
    <mergeCell ref="D613:G613"/>
    <mergeCell ref="D614:G614"/>
    <mergeCell ref="I614:J618"/>
    <mergeCell ref="L614:M618"/>
    <mergeCell ref="B615:B618"/>
    <mergeCell ref="D615:G615"/>
    <mergeCell ref="D616:E616"/>
    <mergeCell ref="D617:E617"/>
    <mergeCell ref="D618:E618"/>
    <mergeCell ref="D606:G606"/>
    <mergeCell ref="D607:G607"/>
    <mergeCell ref="I607:J611"/>
    <mergeCell ref="L607:M611"/>
    <mergeCell ref="B608:B611"/>
    <mergeCell ref="D608:G608"/>
    <mergeCell ref="D609:E609"/>
    <mergeCell ref="D610:E610"/>
    <mergeCell ref="D611:E611"/>
    <mergeCell ref="D627:G627"/>
    <mergeCell ref="D628:G628"/>
    <mergeCell ref="I628:J632"/>
    <mergeCell ref="L628:M632"/>
    <mergeCell ref="B629:B632"/>
    <mergeCell ref="D629:G629"/>
    <mergeCell ref="D630:E630"/>
    <mergeCell ref="D631:E631"/>
    <mergeCell ref="D632:E632"/>
    <mergeCell ref="D620:G620"/>
    <mergeCell ref="D621:G621"/>
    <mergeCell ref="I621:J625"/>
    <mergeCell ref="L621:M625"/>
    <mergeCell ref="B622:B625"/>
    <mergeCell ref="D622:G622"/>
    <mergeCell ref="D623:E623"/>
    <mergeCell ref="D624:E624"/>
    <mergeCell ref="D625:E625"/>
    <mergeCell ref="D641:G641"/>
    <mergeCell ref="D642:G642"/>
    <mergeCell ref="I642:J646"/>
    <mergeCell ref="L642:M646"/>
    <mergeCell ref="B643:B646"/>
    <mergeCell ref="D643:G643"/>
    <mergeCell ref="D644:E644"/>
    <mergeCell ref="D645:E645"/>
    <mergeCell ref="D646:E646"/>
    <mergeCell ref="D634:G634"/>
    <mergeCell ref="D635:G635"/>
    <mergeCell ref="I635:J639"/>
    <mergeCell ref="L635:M639"/>
    <mergeCell ref="B636:B639"/>
    <mergeCell ref="D636:G636"/>
    <mergeCell ref="D637:E637"/>
    <mergeCell ref="D638:E638"/>
    <mergeCell ref="D639:E639"/>
    <mergeCell ref="D655:G655"/>
    <mergeCell ref="D656:G656"/>
    <mergeCell ref="I656:J660"/>
    <mergeCell ref="L656:M660"/>
    <mergeCell ref="B657:B660"/>
    <mergeCell ref="D657:G657"/>
    <mergeCell ref="D658:E658"/>
    <mergeCell ref="D659:E659"/>
    <mergeCell ref="D660:E660"/>
    <mergeCell ref="D648:G648"/>
    <mergeCell ref="D649:G649"/>
    <mergeCell ref="I649:J653"/>
    <mergeCell ref="L649:M653"/>
    <mergeCell ref="B650:B653"/>
    <mergeCell ref="D650:G650"/>
    <mergeCell ref="D651:E651"/>
    <mergeCell ref="D652:E652"/>
    <mergeCell ref="D653:E653"/>
    <mergeCell ref="D669:G669"/>
    <mergeCell ref="D670:G670"/>
    <mergeCell ref="I670:J674"/>
    <mergeCell ref="L670:M674"/>
    <mergeCell ref="B671:B674"/>
    <mergeCell ref="D671:G671"/>
    <mergeCell ref="D672:E672"/>
    <mergeCell ref="D673:E673"/>
    <mergeCell ref="D674:E674"/>
    <mergeCell ref="D662:G662"/>
    <mergeCell ref="D663:G663"/>
    <mergeCell ref="I663:J667"/>
    <mergeCell ref="L663:M667"/>
    <mergeCell ref="B664:B667"/>
    <mergeCell ref="D664:G664"/>
    <mergeCell ref="D665:E665"/>
    <mergeCell ref="D666:E666"/>
    <mergeCell ref="D667:E667"/>
    <mergeCell ref="D683:G683"/>
    <mergeCell ref="D684:G684"/>
    <mergeCell ref="I684:J688"/>
    <mergeCell ref="L684:M688"/>
    <mergeCell ref="B685:B688"/>
    <mergeCell ref="D685:G685"/>
    <mergeCell ref="D686:E686"/>
    <mergeCell ref="D687:E687"/>
    <mergeCell ref="D688:E688"/>
    <mergeCell ref="D676:G676"/>
    <mergeCell ref="D677:G677"/>
    <mergeCell ref="I677:J681"/>
    <mergeCell ref="L677:M681"/>
    <mergeCell ref="B678:B681"/>
    <mergeCell ref="D678:G678"/>
    <mergeCell ref="D679:E679"/>
    <mergeCell ref="D680:E680"/>
    <mergeCell ref="D681:E681"/>
    <mergeCell ref="D697:G697"/>
    <mergeCell ref="D698:G698"/>
    <mergeCell ref="I698:J702"/>
    <mergeCell ref="L698:M702"/>
    <mergeCell ref="B699:B702"/>
    <mergeCell ref="D699:G699"/>
    <mergeCell ref="D700:E700"/>
    <mergeCell ref="D701:E701"/>
    <mergeCell ref="D702:E702"/>
    <mergeCell ref="D690:G690"/>
    <mergeCell ref="D691:G691"/>
    <mergeCell ref="I691:J695"/>
    <mergeCell ref="L691:M695"/>
    <mergeCell ref="B692:B695"/>
    <mergeCell ref="D692:G692"/>
    <mergeCell ref="D693:E693"/>
    <mergeCell ref="D694:E694"/>
    <mergeCell ref="D695:E695"/>
    <mergeCell ref="D711:G711"/>
    <mergeCell ref="D712:G712"/>
    <mergeCell ref="I712:J716"/>
    <mergeCell ref="L712:M716"/>
    <mergeCell ref="B713:B716"/>
    <mergeCell ref="D713:G713"/>
    <mergeCell ref="D714:E714"/>
    <mergeCell ref="D715:E715"/>
    <mergeCell ref="D716:E716"/>
    <mergeCell ref="D704:G704"/>
    <mergeCell ref="D705:G705"/>
    <mergeCell ref="I705:J709"/>
    <mergeCell ref="L705:M709"/>
    <mergeCell ref="B706:B709"/>
    <mergeCell ref="D706:G706"/>
    <mergeCell ref="D707:E707"/>
    <mergeCell ref="D708:E708"/>
    <mergeCell ref="D709:E709"/>
    <mergeCell ref="D725:G725"/>
    <mergeCell ref="D726:G726"/>
    <mergeCell ref="I726:J730"/>
    <mergeCell ref="L726:M730"/>
    <mergeCell ref="B727:B730"/>
    <mergeCell ref="D727:G727"/>
    <mergeCell ref="D728:E728"/>
    <mergeCell ref="D729:E729"/>
    <mergeCell ref="D730:E730"/>
    <mergeCell ref="D718:G718"/>
    <mergeCell ref="D719:G719"/>
    <mergeCell ref="I719:J723"/>
    <mergeCell ref="L719:M723"/>
    <mergeCell ref="B720:B723"/>
    <mergeCell ref="D720:G720"/>
    <mergeCell ref="D721:E721"/>
    <mergeCell ref="D722:E722"/>
    <mergeCell ref="D723:E723"/>
    <mergeCell ref="D739:G739"/>
    <mergeCell ref="D740:G740"/>
    <mergeCell ref="I740:J744"/>
    <mergeCell ref="L740:M744"/>
    <mergeCell ref="B741:B744"/>
    <mergeCell ref="D741:G741"/>
    <mergeCell ref="D742:E742"/>
    <mergeCell ref="D743:E743"/>
    <mergeCell ref="D744:E744"/>
    <mergeCell ref="D732:G732"/>
    <mergeCell ref="D733:G733"/>
    <mergeCell ref="I733:J737"/>
    <mergeCell ref="L733:M737"/>
    <mergeCell ref="B734:B737"/>
    <mergeCell ref="D734:G734"/>
    <mergeCell ref="D735:E735"/>
    <mergeCell ref="D736:E736"/>
    <mergeCell ref="D737:E737"/>
    <mergeCell ref="D753:G753"/>
    <mergeCell ref="D754:G754"/>
    <mergeCell ref="I754:J758"/>
    <mergeCell ref="L754:M758"/>
    <mergeCell ref="B755:B758"/>
    <mergeCell ref="D755:G755"/>
    <mergeCell ref="D756:E756"/>
    <mergeCell ref="D757:E757"/>
    <mergeCell ref="D758:E758"/>
    <mergeCell ref="D746:G746"/>
    <mergeCell ref="D747:G747"/>
    <mergeCell ref="I747:J751"/>
    <mergeCell ref="L747:M751"/>
    <mergeCell ref="B748:B751"/>
    <mergeCell ref="D748:G748"/>
    <mergeCell ref="D749:E749"/>
    <mergeCell ref="D750:E750"/>
    <mergeCell ref="D751:E751"/>
    <mergeCell ref="D767:G767"/>
    <mergeCell ref="D768:G768"/>
    <mergeCell ref="I768:J772"/>
    <mergeCell ref="L768:M772"/>
    <mergeCell ref="B769:B772"/>
    <mergeCell ref="D769:G769"/>
    <mergeCell ref="D770:E770"/>
    <mergeCell ref="D771:E771"/>
    <mergeCell ref="D772:E772"/>
    <mergeCell ref="D760:G760"/>
    <mergeCell ref="D761:G761"/>
    <mergeCell ref="I761:J765"/>
    <mergeCell ref="L761:M765"/>
    <mergeCell ref="B762:B765"/>
    <mergeCell ref="D762:G762"/>
    <mergeCell ref="D763:E763"/>
    <mergeCell ref="D764:E764"/>
    <mergeCell ref="D765:E765"/>
    <mergeCell ref="D781:G781"/>
    <mergeCell ref="D782:G782"/>
    <mergeCell ref="I782:J786"/>
    <mergeCell ref="L782:M786"/>
    <mergeCell ref="B783:B786"/>
    <mergeCell ref="D783:G783"/>
    <mergeCell ref="D784:E784"/>
    <mergeCell ref="D785:E785"/>
    <mergeCell ref="D786:E786"/>
    <mergeCell ref="D774:G774"/>
    <mergeCell ref="D775:G775"/>
    <mergeCell ref="I775:J779"/>
    <mergeCell ref="L775:M779"/>
    <mergeCell ref="B776:B779"/>
    <mergeCell ref="D776:G776"/>
    <mergeCell ref="D777:E777"/>
    <mergeCell ref="D778:E778"/>
    <mergeCell ref="D779:E779"/>
    <mergeCell ref="D795:G795"/>
    <mergeCell ref="D796:G796"/>
    <mergeCell ref="I796:J800"/>
    <mergeCell ref="L796:M800"/>
    <mergeCell ref="B797:B800"/>
    <mergeCell ref="D797:G797"/>
    <mergeCell ref="D798:E798"/>
    <mergeCell ref="D799:E799"/>
    <mergeCell ref="D800:E800"/>
    <mergeCell ref="D788:G788"/>
    <mergeCell ref="D789:G789"/>
    <mergeCell ref="I789:J793"/>
    <mergeCell ref="L789:M793"/>
    <mergeCell ref="B790:B793"/>
    <mergeCell ref="D790:G790"/>
    <mergeCell ref="D791:E791"/>
    <mergeCell ref="D792:E792"/>
    <mergeCell ref="D793:E793"/>
    <mergeCell ref="D809:G809"/>
    <mergeCell ref="D810:G810"/>
    <mergeCell ref="I810:J814"/>
    <mergeCell ref="L810:M814"/>
    <mergeCell ref="B811:B814"/>
    <mergeCell ref="D811:G811"/>
    <mergeCell ref="D812:E812"/>
    <mergeCell ref="D813:E813"/>
    <mergeCell ref="D814:E814"/>
    <mergeCell ref="D802:G802"/>
    <mergeCell ref="D803:G803"/>
    <mergeCell ref="I803:J807"/>
    <mergeCell ref="L803:M807"/>
    <mergeCell ref="B804:B807"/>
    <mergeCell ref="D804:G804"/>
    <mergeCell ref="D805:E805"/>
    <mergeCell ref="D806:E806"/>
    <mergeCell ref="D807:E807"/>
    <mergeCell ref="D823:G823"/>
    <mergeCell ref="D824:G824"/>
    <mergeCell ref="I824:J828"/>
    <mergeCell ref="L824:M828"/>
    <mergeCell ref="B825:B828"/>
    <mergeCell ref="D825:G825"/>
    <mergeCell ref="D826:E826"/>
    <mergeCell ref="D827:E827"/>
    <mergeCell ref="D828:E828"/>
    <mergeCell ref="D816:G816"/>
    <mergeCell ref="D817:G817"/>
    <mergeCell ref="I817:J821"/>
    <mergeCell ref="L817:M821"/>
    <mergeCell ref="B818:B821"/>
    <mergeCell ref="D818:G818"/>
    <mergeCell ref="D819:E819"/>
    <mergeCell ref="D820:E820"/>
    <mergeCell ref="D821:E821"/>
    <mergeCell ref="D837:G837"/>
    <mergeCell ref="D838:G838"/>
    <mergeCell ref="I838:J842"/>
    <mergeCell ref="L838:M842"/>
    <mergeCell ref="B839:B842"/>
    <mergeCell ref="D839:G839"/>
    <mergeCell ref="D840:E840"/>
    <mergeCell ref="D841:E841"/>
    <mergeCell ref="D842:E842"/>
    <mergeCell ref="D830:G830"/>
    <mergeCell ref="D831:G831"/>
    <mergeCell ref="I831:J835"/>
    <mergeCell ref="L831:M835"/>
    <mergeCell ref="B832:B835"/>
    <mergeCell ref="D832:G832"/>
    <mergeCell ref="D833:E833"/>
    <mergeCell ref="D834:E834"/>
    <mergeCell ref="D835:E835"/>
    <mergeCell ref="D851:G851"/>
    <mergeCell ref="D852:G852"/>
    <mergeCell ref="I852:J856"/>
    <mergeCell ref="L852:M856"/>
    <mergeCell ref="B853:B856"/>
    <mergeCell ref="D853:G853"/>
    <mergeCell ref="D854:E854"/>
    <mergeCell ref="D855:E855"/>
    <mergeCell ref="D856:E856"/>
    <mergeCell ref="D844:G844"/>
    <mergeCell ref="D845:G845"/>
    <mergeCell ref="I845:J849"/>
    <mergeCell ref="L845:M849"/>
    <mergeCell ref="B846:B849"/>
    <mergeCell ref="D846:G846"/>
    <mergeCell ref="D847:E847"/>
    <mergeCell ref="D848:E848"/>
    <mergeCell ref="D849:E849"/>
    <mergeCell ref="D865:G865"/>
    <mergeCell ref="D866:G866"/>
    <mergeCell ref="I866:J870"/>
    <mergeCell ref="L866:M870"/>
    <mergeCell ref="B867:B870"/>
    <mergeCell ref="D867:G867"/>
    <mergeCell ref="D868:E868"/>
    <mergeCell ref="D869:E869"/>
    <mergeCell ref="D870:E870"/>
    <mergeCell ref="D858:G858"/>
    <mergeCell ref="D859:G859"/>
    <mergeCell ref="I859:J863"/>
    <mergeCell ref="L859:M863"/>
    <mergeCell ref="B860:B863"/>
    <mergeCell ref="D860:G860"/>
    <mergeCell ref="D861:E861"/>
    <mergeCell ref="D862:E862"/>
    <mergeCell ref="D863:E863"/>
    <mergeCell ref="D879:G879"/>
    <mergeCell ref="D880:G880"/>
    <mergeCell ref="I880:J884"/>
    <mergeCell ref="L880:M884"/>
    <mergeCell ref="B881:B884"/>
    <mergeCell ref="D881:G881"/>
    <mergeCell ref="D882:E882"/>
    <mergeCell ref="D883:E883"/>
    <mergeCell ref="D884:E884"/>
    <mergeCell ref="D872:G872"/>
    <mergeCell ref="D873:G873"/>
    <mergeCell ref="I873:J877"/>
    <mergeCell ref="L873:M877"/>
    <mergeCell ref="B874:B877"/>
    <mergeCell ref="D874:G874"/>
    <mergeCell ref="D875:E875"/>
    <mergeCell ref="D876:E876"/>
    <mergeCell ref="D877:E877"/>
    <mergeCell ref="D893:G893"/>
    <mergeCell ref="D894:G894"/>
    <mergeCell ref="I894:J898"/>
    <mergeCell ref="L894:M898"/>
    <mergeCell ref="B895:B898"/>
    <mergeCell ref="D895:G895"/>
    <mergeCell ref="D896:E896"/>
    <mergeCell ref="D897:E897"/>
    <mergeCell ref="D898:E898"/>
    <mergeCell ref="D886:G886"/>
    <mergeCell ref="D887:G887"/>
    <mergeCell ref="I887:J891"/>
    <mergeCell ref="L887:M891"/>
    <mergeCell ref="B888:B891"/>
    <mergeCell ref="D888:G888"/>
    <mergeCell ref="D889:E889"/>
    <mergeCell ref="D890:E890"/>
    <mergeCell ref="D891:E891"/>
    <mergeCell ref="D907:G907"/>
    <mergeCell ref="D908:G908"/>
    <mergeCell ref="I908:J912"/>
    <mergeCell ref="L908:M912"/>
    <mergeCell ref="B909:B912"/>
    <mergeCell ref="D909:G909"/>
    <mergeCell ref="D910:E910"/>
    <mergeCell ref="D911:E911"/>
    <mergeCell ref="D912:E912"/>
    <mergeCell ref="D900:G900"/>
    <mergeCell ref="D901:G901"/>
    <mergeCell ref="I901:J905"/>
    <mergeCell ref="L901:M905"/>
    <mergeCell ref="B902:B905"/>
    <mergeCell ref="D902:G902"/>
    <mergeCell ref="D903:E903"/>
    <mergeCell ref="D904:E904"/>
    <mergeCell ref="D905:E905"/>
    <mergeCell ref="D921:G921"/>
    <mergeCell ref="D922:G922"/>
    <mergeCell ref="I922:J926"/>
    <mergeCell ref="L922:M926"/>
    <mergeCell ref="B923:B926"/>
    <mergeCell ref="D923:G923"/>
    <mergeCell ref="D924:E924"/>
    <mergeCell ref="D925:E925"/>
    <mergeCell ref="D926:E926"/>
    <mergeCell ref="D914:G914"/>
    <mergeCell ref="D915:G915"/>
    <mergeCell ref="I915:J919"/>
    <mergeCell ref="L915:M919"/>
    <mergeCell ref="B916:B919"/>
    <mergeCell ref="D916:G916"/>
    <mergeCell ref="D917:E917"/>
    <mergeCell ref="D918:E918"/>
    <mergeCell ref="D919:E919"/>
    <mergeCell ref="D935:G935"/>
    <mergeCell ref="D936:G936"/>
    <mergeCell ref="I936:J940"/>
    <mergeCell ref="L936:M940"/>
    <mergeCell ref="B937:B940"/>
    <mergeCell ref="D937:G937"/>
    <mergeCell ref="D938:E938"/>
    <mergeCell ref="D939:E939"/>
    <mergeCell ref="D940:E940"/>
    <mergeCell ref="D928:G928"/>
    <mergeCell ref="D929:G929"/>
    <mergeCell ref="I929:J933"/>
    <mergeCell ref="L929:M933"/>
    <mergeCell ref="B930:B933"/>
    <mergeCell ref="D930:G930"/>
    <mergeCell ref="D931:E931"/>
    <mergeCell ref="D932:E932"/>
    <mergeCell ref="D933:E933"/>
    <mergeCell ref="D949:G949"/>
    <mergeCell ref="D950:G950"/>
    <mergeCell ref="I950:J954"/>
    <mergeCell ref="L950:M954"/>
    <mergeCell ref="B951:B954"/>
    <mergeCell ref="D951:G951"/>
    <mergeCell ref="D952:E952"/>
    <mergeCell ref="D953:E953"/>
    <mergeCell ref="D954:E954"/>
    <mergeCell ref="D942:G942"/>
    <mergeCell ref="D943:G943"/>
    <mergeCell ref="I943:J947"/>
    <mergeCell ref="L943:M947"/>
    <mergeCell ref="B944:B947"/>
    <mergeCell ref="D944:G944"/>
    <mergeCell ref="D945:E945"/>
    <mergeCell ref="D946:E946"/>
    <mergeCell ref="D947:E947"/>
    <mergeCell ref="D963:G963"/>
    <mergeCell ref="D964:G964"/>
    <mergeCell ref="I964:J968"/>
    <mergeCell ref="L964:M968"/>
    <mergeCell ref="B965:B968"/>
    <mergeCell ref="D965:G965"/>
    <mergeCell ref="D966:E966"/>
    <mergeCell ref="D967:E967"/>
    <mergeCell ref="D968:E968"/>
    <mergeCell ref="D956:G956"/>
    <mergeCell ref="D957:G957"/>
    <mergeCell ref="I957:J961"/>
    <mergeCell ref="L957:M961"/>
    <mergeCell ref="B958:B961"/>
    <mergeCell ref="D958:G958"/>
    <mergeCell ref="D959:E959"/>
    <mergeCell ref="D960:E960"/>
    <mergeCell ref="D961:E961"/>
    <mergeCell ref="D977:G977"/>
    <mergeCell ref="D978:G978"/>
    <mergeCell ref="I978:J982"/>
    <mergeCell ref="L978:M982"/>
    <mergeCell ref="B979:B982"/>
    <mergeCell ref="D979:G979"/>
    <mergeCell ref="D980:E980"/>
    <mergeCell ref="D981:E981"/>
    <mergeCell ref="D982:E982"/>
    <mergeCell ref="D970:G970"/>
    <mergeCell ref="D971:G971"/>
    <mergeCell ref="I971:J975"/>
    <mergeCell ref="L971:M975"/>
    <mergeCell ref="B972:B975"/>
    <mergeCell ref="D972:G972"/>
    <mergeCell ref="D973:E973"/>
    <mergeCell ref="D974:E974"/>
    <mergeCell ref="D975:E975"/>
    <mergeCell ref="D991:G991"/>
    <mergeCell ref="D992:G992"/>
    <mergeCell ref="I992:J996"/>
    <mergeCell ref="L992:M996"/>
    <mergeCell ref="B993:B996"/>
    <mergeCell ref="D993:G993"/>
    <mergeCell ref="D994:E994"/>
    <mergeCell ref="D995:E995"/>
    <mergeCell ref="D996:E996"/>
    <mergeCell ref="D984:G984"/>
    <mergeCell ref="D985:G985"/>
    <mergeCell ref="I985:J989"/>
    <mergeCell ref="L985:M989"/>
    <mergeCell ref="B986:B989"/>
    <mergeCell ref="D986:G986"/>
    <mergeCell ref="D987:E987"/>
    <mergeCell ref="D988:E988"/>
    <mergeCell ref="D989:E989"/>
    <mergeCell ref="D1005:G1005"/>
    <mergeCell ref="D1006:G1006"/>
    <mergeCell ref="I1006:J1010"/>
    <mergeCell ref="L1006:M1010"/>
    <mergeCell ref="B1007:B1010"/>
    <mergeCell ref="D1007:G1007"/>
    <mergeCell ref="D1008:E1008"/>
    <mergeCell ref="D1009:E1009"/>
    <mergeCell ref="D1010:E1010"/>
    <mergeCell ref="D998:G998"/>
    <mergeCell ref="D999:G999"/>
    <mergeCell ref="I999:J1003"/>
    <mergeCell ref="L999:M1003"/>
    <mergeCell ref="B1000:B1003"/>
    <mergeCell ref="D1000:G1000"/>
    <mergeCell ref="D1001:E1001"/>
    <mergeCell ref="D1002:E1002"/>
    <mergeCell ref="D1003:E1003"/>
    <mergeCell ref="D1019:G1019"/>
    <mergeCell ref="D1020:G1020"/>
    <mergeCell ref="I1020:J1024"/>
    <mergeCell ref="L1020:M1024"/>
    <mergeCell ref="B1021:B1024"/>
    <mergeCell ref="D1021:G1021"/>
    <mergeCell ref="D1022:E1022"/>
    <mergeCell ref="D1023:E1023"/>
    <mergeCell ref="D1024:E1024"/>
    <mergeCell ref="D1012:G1012"/>
    <mergeCell ref="D1013:G1013"/>
    <mergeCell ref="I1013:J1017"/>
    <mergeCell ref="L1013:M1017"/>
    <mergeCell ref="B1014:B1017"/>
    <mergeCell ref="D1014:G1014"/>
    <mergeCell ref="D1015:E1015"/>
    <mergeCell ref="D1016:E1016"/>
    <mergeCell ref="D1017:E1017"/>
    <mergeCell ref="D1033:G1033"/>
    <mergeCell ref="D1034:G1034"/>
    <mergeCell ref="I1034:J1038"/>
    <mergeCell ref="L1034:M1038"/>
    <mergeCell ref="B1035:B1038"/>
    <mergeCell ref="D1035:G1035"/>
    <mergeCell ref="D1036:E1036"/>
    <mergeCell ref="D1037:E1037"/>
    <mergeCell ref="D1038:E1038"/>
    <mergeCell ref="D1026:G1026"/>
    <mergeCell ref="D1027:G1027"/>
    <mergeCell ref="I1027:J1031"/>
    <mergeCell ref="L1027:M1031"/>
    <mergeCell ref="B1028:B1031"/>
    <mergeCell ref="D1028:G1028"/>
    <mergeCell ref="D1029:E1029"/>
    <mergeCell ref="D1030:E1030"/>
    <mergeCell ref="D1031:E1031"/>
    <mergeCell ref="D1047:G1047"/>
    <mergeCell ref="D1048:G1048"/>
    <mergeCell ref="I1048:J1052"/>
    <mergeCell ref="L1048:M1052"/>
    <mergeCell ref="B1049:B1052"/>
    <mergeCell ref="D1049:G1049"/>
    <mergeCell ref="D1050:E1050"/>
    <mergeCell ref="D1051:E1051"/>
    <mergeCell ref="D1052:E1052"/>
    <mergeCell ref="D1040:G1040"/>
    <mergeCell ref="D1041:G1041"/>
    <mergeCell ref="I1041:J1045"/>
    <mergeCell ref="L1041:M1045"/>
    <mergeCell ref="B1042:B1045"/>
    <mergeCell ref="D1042:G1042"/>
    <mergeCell ref="D1043:E1043"/>
    <mergeCell ref="D1044:E1044"/>
    <mergeCell ref="D1045:E1045"/>
    <mergeCell ref="D1061:G1061"/>
    <mergeCell ref="D1062:G1062"/>
    <mergeCell ref="I1062:J1066"/>
    <mergeCell ref="L1062:M1066"/>
    <mergeCell ref="B1063:B1066"/>
    <mergeCell ref="D1063:G1063"/>
    <mergeCell ref="D1064:E1064"/>
    <mergeCell ref="D1065:E1065"/>
    <mergeCell ref="D1066:E1066"/>
    <mergeCell ref="D1054:G1054"/>
    <mergeCell ref="D1055:G1055"/>
    <mergeCell ref="I1055:J1059"/>
    <mergeCell ref="L1055:M1059"/>
    <mergeCell ref="B1056:B1059"/>
    <mergeCell ref="D1056:G1056"/>
    <mergeCell ref="D1057:E1057"/>
    <mergeCell ref="D1058:E1058"/>
    <mergeCell ref="D1059:E1059"/>
    <mergeCell ref="D1075:G1075"/>
    <mergeCell ref="D1076:G1076"/>
    <mergeCell ref="I1076:J1080"/>
    <mergeCell ref="L1076:M1080"/>
    <mergeCell ref="B1077:B1080"/>
    <mergeCell ref="D1077:G1077"/>
    <mergeCell ref="D1078:E1078"/>
    <mergeCell ref="D1079:E1079"/>
    <mergeCell ref="D1080:E1080"/>
    <mergeCell ref="D1068:G1068"/>
    <mergeCell ref="D1069:G1069"/>
    <mergeCell ref="I1069:J1073"/>
    <mergeCell ref="L1069:M1073"/>
    <mergeCell ref="B1070:B1073"/>
    <mergeCell ref="D1070:G1070"/>
    <mergeCell ref="D1071:E1071"/>
    <mergeCell ref="D1072:E1072"/>
    <mergeCell ref="D1073:E1073"/>
    <mergeCell ref="D1089:G1089"/>
    <mergeCell ref="D1090:G1090"/>
    <mergeCell ref="I1090:J1094"/>
    <mergeCell ref="L1090:M1094"/>
    <mergeCell ref="B1091:B1094"/>
    <mergeCell ref="D1091:G1091"/>
    <mergeCell ref="D1092:E1092"/>
    <mergeCell ref="D1093:E1093"/>
    <mergeCell ref="D1094:E1094"/>
    <mergeCell ref="D1082:G1082"/>
    <mergeCell ref="D1083:G1083"/>
    <mergeCell ref="I1083:J1087"/>
    <mergeCell ref="L1083:M1087"/>
    <mergeCell ref="B1084:B1087"/>
    <mergeCell ref="D1084:G1084"/>
    <mergeCell ref="D1085:E1085"/>
    <mergeCell ref="D1086:E1086"/>
    <mergeCell ref="D1087:E1087"/>
    <mergeCell ref="D1103:G1103"/>
    <mergeCell ref="D1104:G1104"/>
    <mergeCell ref="I1104:J1108"/>
    <mergeCell ref="L1104:M1108"/>
    <mergeCell ref="B1105:B1108"/>
    <mergeCell ref="D1105:G1105"/>
    <mergeCell ref="D1106:E1106"/>
    <mergeCell ref="D1107:E1107"/>
    <mergeCell ref="D1108:E1108"/>
    <mergeCell ref="D1096:G1096"/>
    <mergeCell ref="D1097:G1097"/>
    <mergeCell ref="I1097:J1101"/>
    <mergeCell ref="L1097:M1101"/>
    <mergeCell ref="B1098:B1101"/>
    <mergeCell ref="D1098:G1098"/>
    <mergeCell ref="D1099:E1099"/>
    <mergeCell ref="D1100:E1100"/>
    <mergeCell ref="D1101:E1101"/>
    <mergeCell ref="D1117:G1117"/>
    <mergeCell ref="D1118:G1118"/>
    <mergeCell ref="I1118:J1122"/>
    <mergeCell ref="L1118:M1122"/>
    <mergeCell ref="B1119:B1122"/>
    <mergeCell ref="D1119:G1119"/>
    <mergeCell ref="D1120:E1120"/>
    <mergeCell ref="D1121:E1121"/>
    <mergeCell ref="D1122:E1122"/>
    <mergeCell ref="D1110:G1110"/>
    <mergeCell ref="D1111:G1111"/>
    <mergeCell ref="I1111:J1115"/>
    <mergeCell ref="L1111:M1115"/>
    <mergeCell ref="B1112:B1115"/>
    <mergeCell ref="D1112:G1112"/>
    <mergeCell ref="D1113:E1113"/>
    <mergeCell ref="D1114:E1114"/>
    <mergeCell ref="D1115:E1115"/>
    <mergeCell ref="D1131:G1131"/>
    <mergeCell ref="D1132:G1132"/>
    <mergeCell ref="I1132:J1136"/>
    <mergeCell ref="L1132:M1136"/>
    <mergeCell ref="B1133:B1136"/>
    <mergeCell ref="D1133:G1133"/>
    <mergeCell ref="D1134:E1134"/>
    <mergeCell ref="D1135:E1135"/>
    <mergeCell ref="D1136:E1136"/>
    <mergeCell ref="D1124:G1124"/>
    <mergeCell ref="D1125:G1125"/>
    <mergeCell ref="I1125:J1129"/>
    <mergeCell ref="L1125:M1129"/>
    <mergeCell ref="B1126:B1129"/>
    <mergeCell ref="D1126:G1126"/>
    <mergeCell ref="D1127:E1127"/>
    <mergeCell ref="D1128:E1128"/>
    <mergeCell ref="D1129:E1129"/>
    <mergeCell ref="D1145:G1145"/>
    <mergeCell ref="D1146:G1146"/>
    <mergeCell ref="I1146:J1150"/>
    <mergeCell ref="L1146:M1150"/>
    <mergeCell ref="B1147:B1150"/>
    <mergeCell ref="D1147:G1147"/>
    <mergeCell ref="D1148:E1148"/>
    <mergeCell ref="D1149:E1149"/>
    <mergeCell ref="D1150:E1150"/>
    <mergeCell ref="D1138:G1138"/>
    <mergeCell ref="D1139:G1139"/>
    <mergeCell ref="I1139:J1143"/>
    <mergeCell ref="L1139:M1143"/>
    <mergeCell ref="B1140:B1143"/>
    <mergeCell ref="D1140:G1140"/>
    <mergeCell ref="D1141:E1141"/>
    <mergeCell ref="D1142:E1142"/>
    <mergeCell ref="D1143:E1143"/>
    <mergeCell ref="D1159:G1159"/>
    <mergeCell ref="D1160:G1160"/>
    <mergeCell ref="I1160:J1164"/>
    <mergeCell ref="L1160:M1164"/>
    <mergeCell ref="B1161:B1164"/>
    <mergeCell ref="D1161:G1161"/>
    <mergeCell ref="D1162:E1162"/>
    <mergeCell ref="D1163:E1163"/>
    <mergeCell ref="D1164:E1164"/>
    <mergeCell ref="D1152:G1152"/>
    <mergeCell ref="D1153:G1153"/>
    <mergeCell ref="I1153:J1157"/>
    <mergeCell ref="L1153:M1157"/>
    <mergeCell ref="B1154:B1157"/>
    <mergeCell ref="D1154:G1154"/>
    <mergeCell ref="D1155:E1155"/>
    <mergeCell ref="D1156:E1156"/>
    <mergeCell ref="D1157:E1157"/>
    <mergeCell ref="D1173:G1173"/>
    <mergeCell ref="D1174:G1174"/>
    <mergeCell ref="I1174:J1178"/>
    <mergeCell ref="L1174:M1178"/>
    <mergeCell ref="B1175:B1178"/>
    <mergeCell ref="D1175:G1175"/>
    <mergeCell ref="D1176:E1176"/>
    <mergeCell ref="D1177:E1177"/>
    <mergeCell ref="D1178:E1178"/>
    <mergeCell ref="D1166:G1166"/>
    <mergeCell ref="D1167:G1167"/>
    <mergeCell ref="I1167:J1171"/>
    <mergeCell ref="L1167:M1171"/>
    <mergeCell ref="B1168:B1171"/>
    <mergeCell ref="D1168:G1168"/>
    <mergeCell ref="D1169:E1169"/>
    <mergeCell ref="D1170:E1170"/>
    <mergeCell ref="D1171:E1171"/>
    <mergeCell ref="D1187:G1187"/>
    <mergeCell ref="D1188:G1188"/>
    <mergeCell ref="I1188:J1192"/>
    <mergeCell ref="L1188:M1192"/>
    <mergeCell ref="B1189:B1192"/>
    <mergeCell ref="D1189:G1189"/>
    <mergeCell ref="D1190:E1190"/>
    <mergeCell ref="D1191:E1191"/>
    <mergeCell ref="D1192:E1192"/>
    <mergeCell ref="D1180:G1180"/>
    <mergeCell ref="D1181:G1181"/>
    <mergeCell ref="I1181:J1185"/>
    <mergeCell ref="L1181:M1185"/>
    <mergeCell ref="B1182:B1185"/>
    <mergeCell ref="D1182:G1182"/>
    <mergeCell ref="D1183:E1183"/>
    <mergeCell ref="D1184:E1184"/>
    <mergeCell ref="D1185:E1185"/>
    <mergeCell ref="D1201:G1201"/>
    <mergeCell ref="D1202:G1202"/>
    <mergeCell ref="I1202:J1206"/>
    <mergeCell ref="L1202:M1206"/>
    <mergeCell ref="B1203:B1206"/>
    <mergeCell ref="D1203:G1203"/>
    <mergeCell ref="D1204:E1204"/>
    <mergeCell ref="D1205:E1205"/>
    <mergeCell ref="D1206:E1206"/>
    <mergeCell ref="D1194:G1194"/>
    <mergeCell ref="D1195:G1195"/>
    <mergeCell ref="I1195:J1199"/>
    <mergeCell ref="L1195:M1199"/>
    <mergeCell ref="B1196:B1199"/>
    <mergeCell ref="D1196:G1196"/>
    <mergeCell ref="D1197:E1197"/>
    <mergeCell ref="D1198:E1198"/>
    <mergeCell ref="D1199:E1199"/>
    <mergeCell ref="D1215:G1215"/>
    <mergeCell ref="D1216:G1216"/>
    <mergeCell ref="I1216:J1220"/>
    <mergeCell ref="L1216:M1220"/>
    <mergeCell ref="B1217:B1220"/>
    <mergeCell ref="D1217:G1217"/>
    <mergeCell ref="D1218:E1218"/>
    <mergeCell ref="D1219:E1219"/>
    <mergeCell ref="D1220:E1220"/>
    <mergeCell ref="D1208:G1208"/>
    <mergeCell ref="D1209:G1209"/>
    <mergeCell ref="I1209:J1213"/>
    <mergeCell ref="L1209:M1213"/>
    <mergeCell ref="B1210:B1213"/>
    <mergeCell ref="D1210:G1210"/>
    <mergeCell ref="D1211:E1211"/>
    <mergeCell ref="D1212:E1212"/>
    <mergeCell ref="D1213:E1213"/>
    <mergeCell ref="D1229:G1229"/>
    <mergeCell ref="D1230:G1230"/>
    <mergeCell ref="I1230:J1234"/>
    <mergeCell ref="L1230:M1234"/>
    <mergeCell ref="B1231:B1234"/>
    <mergeCell ref="D1231:G1231"/>
    <mergeCell ref="D1232:E1232"/>
    <mergeCell ref="D1233:E1233"/>
    <mergeCell ref="D1234:E1234"/>
    <mergeCell ref="D1222:G1222"/>
    <mergeCell ref="D1223:G1223"/>
    <mergeCell ref="I1223:J1227"/>
    <mergeCell ref="L1223:M1227"/>
    <mergeCell ref="B1224:B1227"/>
    <mergeCell ref="D1224:G1224"/>
    <mergeCell ref="D1225:E1225"/>
    <mergeCell ref="D1226:E1226"/>
    <mergeCell ref="D1227:E1227"/>
    <mergeCell ref="D1243:G1243"/>
    <mergeCell ref="D1244:G1244"/>
    <mergeCell ref="I1244:J1248"/>
    <mergeCell ref="L1244:M1248"/>
    <mergeCell ref="B1245:B1248"/>
    <mergeCell ref="D1245:G1245"/>
    <mergeCell ref="D1246:E1246"/>
    <mergeCell ref="D1247:E1247"/>
    <mergeCell ref="D1248:E1248"/>
    <mergeCell ref="D1236:G1236"/>
    <mergeCell ref="D1237:G1237"/>
    <mergeCell ref="I1237:J1241"/>
    <mergeCell ref="L1237:M1241"/>
    <mergeCell ref="B1238:B1241"/>
    <mergeCell ref="D1238:G1238"/>
    <mergeCell ref="D1239:E1239"/>
    <mergeCell ref="D1240:E1240"/>
    <mergeCell ref="D1241:E1241"/>
    <mergeCell ref="D1257:G1257"/>
    <mergeCell ref="D1258:G1258"/>
    <mergeCell ref="I1258:J1262"/>
    <mergeCell ref="L1258:M1262"/>
    <mergeCell ref="B1259:B1262"/>
    <mergeCell ref="D1259:G1259"/>
    <mergeCell ref="D1260:E1260"/>
    <mergeCell ref="D1261:E1261"/>
    <mergeCell ref="D1262:E1262"/>
    <mergeCell ref="D1250:G1250"/>
    <mergeCell ref="D1251:G1251"/>
    <mergeCell ref="I1251:J1255"/>
    <mergeCell ref="L1251:M1255"/>
    <mergeCell ref="B1252:B1255"/>
    <mergeCell ref="D1252:G1252"/>
    <mergeCell ref="D1253:E1253"/>
    <mergeCell ref="D1254:E1254"/>
    <mergeCell ref="D1255:E1255"/>
    <mergeCell ref="D1271:G1271"/>
    <mergeCell ref="D1272:G1272"/>
    <mergeCell ref="I1272:J1276"/>
    <mergeCell ref="L1272:M1276"/>
    <mergeCell ref="B1273:B1276"/>
    <mergeCell ref="D1273:G1273"/>
    <mergeCell ref="D1274:E1274"/>
    <mergeCell ref="D1275:E1275"/>
    <mergeCell ref="D1276:E1276"/>
    <mergeCell ref="D1264:G1264"/>
    <mergeCell ref="D1265:G1265"/>
    <mergeCell ref="I1265:J1269"/>
    <mergeCell ref="L1265:M1269"/>
    <mergeCell ref="B1266:B1269"/>
    <mergeCell ref="D1266:G1266"/>
    <mergeCell ref="D1267:E1267"/>
    <mergeCell ref="D1268:E1268"/>
    <mergeCell ref="D1269:E1269"/>
    <mergeCell ref="D1285:G1285"/>
    <mergeCell ref="D1286:G1286"/>
    <mergeCell ref="I1286:J1290"/>
    <mergeCell ref="L1286:M1290"/>
    <mergeCell ref="B1287:B1290"/>
    <mergeCell ref="D1287:G1287"/>
    <mergeCell ref="D1288:E1288"/>
    <mergeCell ref="D1289:E1289"/>
    <mergeCell ref="D1290:E1290"/>
    <mergeCell ref="D1278:G1278"/>
    <mergeCell ref="D1279:G1279"/>
    <mergeCell ref="I1279:J1283"/>
    <mergeCell ref="L1279:M1283"/>
    <mergeCell ref="B1280:B1283"/>
    <mergeCell ref="D1280:G1280"/>
    <mergeCell ref="D1281:E1281"/>
    <mergeCell ref="D1282:E1282"/>
    <mergeCell ref="D1283:E1283"/>
    <mergeCell ref="D1299:G1299"/>
    <mergeCell ref="D1300:G1300"/>
    <mergeCell ref="I1300:J1304"/>
    <mergeCell ref="L1300:M1304"/>
    <mergeCell ref="B1301:B1304"/>
    <mergeCell ref="D1301:G1301"/>
    <mergeCell ref="D1302:E1302"/>
    <mergeCell ref="D1303:E1303"/>
    <mergeCell ref="D1304:E1304"/>
    <mergeCell ref="D1292:G1292"/>
    <mergeCell ref="D1293:G1293"/>
    <mergeCell ref="I1293:J1297"/>
    <mergeCell ref="L1293:M1297"/>
    <mergeCell ref="B1294:B1297"/>
    <mergeCell ref="D1294:G1294"/>
    <mergeCell ref="D1295:E1295"/>
    <mergeCell ref="D1296:E1296"/>
    <mergeCell ref="D1297:E1297"/>
    <mergeCell ref="D1313:G1313"/>
    <mergeCell ref="D1314:G1314"/>
    <mergeCell ref="I1314:J1318"/>
    <mergeCell ref="L1314:M1318"/>
    <mergeCell ref="B1315:B1318"/>
    <mergeCell ref="D1315:G1315"/>
    <mergeCell ref="D1316:E1316"/>
    <mergeCell ref="D1317:E1317"/>
    <mergeCell ref="D1318:E1318"/>
    <mergeCell ref="D1306:G1306"/>
    <mergeCell ref="D1307:G1307"/>
    <mergeCell ref="I1307:J1311"/>
    <mergeCell ref="L1307:M1311"/>
    <mergeCell ref="B1308:B1311"/>
    <mergeCell ref="D1308:G1308"/>
    <mergeCell ref="D1309:E1309"/>
    <mergeCell ref="D1310:E1310"/>
    <mergeCell ref="D1311:E1311"/>
    <mergeCell ref="D1327:G1327"/>
    <mergeCell ref="D1328:G1328"/>
    <mergeCell ref="I1328:J1332"/>
    <mergeCell ref="L1328:M1332"/>
    <mergeCell ref="B1329:B1332"/>
    <mergeCell ref="D1329:G1329"/>
    <mergeCell ref="D1330:E1330"/>
    <mergeCell ref="D1331:E1331"/>
    <mergeCell ref="D1332:E1332"/>
    <mergeCell ref="D1320:G1320"/>
    <mergeCell ref="D1321:G1321"/>
    <mergeCell ref="I1321:J1325"/>
    <mergeCell ref="L1321:M1325"/>
    <mergeCell ref="B1322:B1325"/>
    <mergeCell ref="D1322:G1322"/>
    <mergeCell ref="D1323:E1323"/>
    <mergeCell ref="D1324:E1324"/>
    <mergeCell ref="D1325:E1325"/>
    <mergeCell ref="D1341:G1341"/>
    <mergeCell ref="D1342:G1342"/>
    <mergeCell ref="I1342:J1346"/>
    <mergeCell ref="L1342:M1346"/>
    <mergeCell ref="B1343:B1346"/>
    <mergeCell ref="D1343:G1343"/>
    <mergeCell ref="D1344:E1344"/>
    <mergeCell ref="D1345:E1345"/>
    <mergeCell ref="D1346:E1346"/>
    <mergeCell ref="D1334:G1334"/>
    <mergeCell ref="D1335:G1335"/>
    <mergeCell ref="I1335:J1339"/>
    <mergeCell ref="L1335:M1339"/>
    <mergeCell ref="B1336:B1339"/>
    <mergeCell ref="D1336:G1336"/>
    <mergeCell ref="D1337:E1337"/>
    <mergeCell ref="D1338:E1338"/>
    <mergeCell ref="D1339:E1339"/>
    <mergeCell ref="D1355:G1355"/>
    <mergeCell ref="D1356:G1356"/>
    <mergeCell ref="I1356:J1360"/>
    <mergeCell ref="L1356:M1360"/>
    <mergeCell ref="B1357:B1360"/>
    <mergeCell ref="D1357:G1357"/>
    <mergeCell ref="D1358:E1358"/>
    <mergeCell ref="D1359:E1359"/>
    <mergeCell ref="D1360:E1360"/>
    <mergeCell ref="D1348:G1348"/>
    <mergeCell ref="D1349:G1349"/>
    <mergeCell ref="I1349:J1353"/>
    <mergeCell ref="L1349:M1353"/>
    <mergeCell ref="B1350:B1353"/>
    <mergeCell ref="D1350:G1350"/>
    <mergeCell ref="D1351:E1351"/>
    <mergeCell ref="D1352:E1352"/>
    <mergeCell ref="D1353:E1353"/>
    <mergeCell ref="D1369:G1369"/>
    <mergeCell ref="D1370:G1370"/>
    <mergeCell ref="I1370:J1374"/>
    <mergeCell ref="L1370:M1374"/>
    <mergeCell ref="B1371:B1374"/>
    <mergeCell ref="D1371:G1371"/>
    <mergeCell ref="D1372:E1372"/>
    <mergeCell ref="D1373:E1373"/>
    <mergeCell ref="D1374:E1374"/>
    <mergeCell ref="D1362:G1362"/>
    <mergeCell ref="D1363:G1363"/>
    <mergeCell ref="I1363:J1367"/>
    <mergeCell ref="L1363:M1367"/>
    <mergeCell ref="B1364:B1367"/>
    <mergeCell ref="D1364:G1364"/>
    <mergeCell ref="D1365:E1365"/>
    <mergeCell ref="D1366:E1366"/>
    <mergeCell ref="D1367:E1367"/>
    <mergeCell ref="D1383:G1383"/>
    <mergeCell ref="D1384:G1384"/>
    <mergeCell ref="I1384:J1388"/>
    <mergeCell ref="L1384:M1388"/>
    <mergeCell ref="B1385:B1388"/>
    <mergeCell ref="D1385:G1385"/>
    <mergeCell ref="D1386:E1386"/>
    <mergeCell ref="D1387:E1387"/>
    <mergeCell ref="D1388:E1388"/>
    <mergeCell ref="D1376:G1376"/>
    <mergeCell ref="D1377:G1377"/>
    <mergeCell ref="I1377:J1381"/>
    <mergeCell ref="L1377:M1381"/>
    <mergeCell ref="B1378:B1381"/>
    <mergeCell ref="D1378:G1378"/>
    <mergeCell ref="D1379:E1379"/>
    <mergeCell ref="D1380:E1380"/>
    <mergeCell ref="D1381:E1381"/>
    <mergeCell ref="D1397:G1397"/>
    <mergeCell ref="D1398:G1398"/>
    <mergeCell ref="I1398:J1402"/>
    <mergeCell ref="L1398:M1402"/>
    <mergeCell ref="B1399:B1402"/>
    <mergeCell ref="D1399:G1399"/>
    <mergeCell ref="D1400:E1400"/>
    <mergeCell ref="D1401:E1401"/>
    <mergeCell ref="D1402:E1402"/>
    <mergeCell ref="D1390:G1390"/>
    <mergeCell ref="D1391:G1391"/>
    <mergeCell ref="I1391:J1395"/>
    <mergeCell ref="L1391:M1395"/>
    <mergeCell ref="B1392:B1395"/>
    <mergeCell ref="D1392:G1392"/>
    <mergeCell ref="D1393:E1393"/>
    <mergeCell ref="D1394:E1394"/>
    <mergeCell ref="D1395:E1395"/>
    <mergeCell ref="D1411:G1411"/>
    <mergeCell ref="D1412:G1412"/>
    <mergeCell ref="I1412:J1416"/>
    <mergeCell ref="L1412:M1416"/>
    <mergeCell ref="B1413:B1416"/>
    <mergeCell ref="D1413:G1413"/>
    <mergeCell ref="D1414:E1414"/>
    <mergeCell ref="D1415:E1415"/>
    <mergeCell ref="D1416:E1416"/>
    <mergeCell ref="D1404:G1404"/>
    <mergeCell ref="D1405:G1405"/>
    <mergeCell ref="I1405:J1409"/>
    <mergeCell ref="L1405:M1409"/>
    <mergeCell ref="B1406:B1409"/>
    <mergeCell ref="D1406:G1406"/>
    <mergeCell ref="D1407:E1407"/>
    <mergeCell ref="D1408:E1408"/>
    <mergeCell ref="D1409:E1409"/>
    <mergeCell ref="D1425:G1425"/>
    <mergeCell ref="D1426:G1426"/>
    <mergeCell ref="I1426:J1430"/>
    <mergeCell ref="L1426:M1430"/>
    <mergeCell ref="B1427:B1430"/>
    <mergeCell ref="D1427:G1427"/>
    <mergeCell ref="D1428:E1428"/>
    <mergeCell ref="D1429:E1429"/>
    <mergeCell ref="D1430:E1430"/>
    <mergeCell ref="D1418:G1418"/>
    <mergeCell ref="D1419:G1419"/>
    <mergeCell ref="I1419:J1423"/>
    <mergeCell ref="L1419:M1423"/>
    <mergeCell ref="B1420:B1423"/>
    <mergeCell ref="D1420:G1420"/>
    <mergeCell ref="D1421:E1421"/>
    <mergeCell ref="D1422:E1422"/>
    <mergeCell ref="D1423:E1423"/>
    <mergeCell ref="D1439:G1439"/>
    <mergeCell ref="D1440:G1440"/>
    <mergeCell ref="I1440:J1444"/>
    <mergeCell ref="L1440:M1444"/>
    <mergeCell ref="B1441:B1444"/>
    <mergeCell ref="D1441:G1441"/>
    <mergeCell ref="D1442:E1442"/>
    <mergeCell ref="D1443:E1443"/>
    <mergeCell ref="D1444:E1444"/>
    <mergeCell ref="D1432:G1432"/>
    <mergeCell ref="D1433:G1433"/>
    <mergeCell ref="I1433:J1437"/>
    <mergeCell ref="L1433:M1437"/>
    <mergeCell ref="B1434:B1437"/>
    <mergeCell ref="D1434:G1434"/>
    <mergeCell ref="D1435:E1435"/>
    <mergeCell ref="D1436:E1436"/>
    <mergeCell ref="D1437:E1437"/>
    <mergeCell ref="D1453:G1453"/>
    <mergeCell ref="D1454:G1454"/>
    <mergeCell ref="I1454:J1458"/>
    <mergeCell ref="L1454:M1458"/>
    <mergeCell ref="B1455:B1458"/>
    <mergeCell ref="D1455:G1455"/>
    <mergeCell ref="D1456:E1456"/>
    <mergeCell ref="D1457:E1457"/>
    <mergeCell ref="D1458:E1458"/>
    <mergeCell ref="D1446:G1446"/>
    <mergeCell ref="D1447:G1447"/>
    <mergeCell ref="I1447:J1451"/>
    <mergeCell ref="L1447:M1451"/>
    <mergeCell ref="B1448:B1451"/>
    <mergeCell ref="D1448:G1448"/>
    <mergeCell ref="D1449:E1449"/>
    <mergeCell ref="D1450:E1450"/>
    <mergeCell ref="D1451:E1451"/>
    <mergeCell ref="D1467:G1467"/>
    <mergeCell ref="D1468:G1468"/>
    <mergeCell ref="I1468:J1472"/>
    <mergeCell ref="L1468:M1472"/>
    <mergeCell ref="B1469:B1472"/>
    <mergeCell ref="D1469:G1469"/>
    <mergeCell ref="D1470:E1470"/>
    <mergeCell ref="D1471:E1471"/>
    <mergeCell ref="D1472:E1472"/>
    <mergeCell ref="D1460:G1460"/>
    <mergeCell ref="D1461:G1461"/>
    <mergeCell ref="I1461:J1465"/>
    <mergeCell ref="L1461:M1465"/>
    <mergeCell ref="B1462:B1465"/>
    <mergeCell ref="D1462:G1462"/>
    <mergeCell ref="D1463:E1463"/>
    <mergeCell ref="D1464:E1464"/>
    <mergeCell ref="D1465:E1465"/>
    <mergeCell ref="D1481:G1481"/>
    <mergeCell ref="D1482:G1482"/>
    <mergeCell ref="I1482:J1486"/>
    <mergeCell ref="L1482:M1486"/>
    <mergeCell ref="B1483:B1486"/>
    <mergeCell ref="D1483:G1483"/>
    <mergeCell ref="D1484:E1484"/>
    <mergeCell ref="D1485:E1485"/>
    <mergeCell ref="D1486:E1486"/>
    <mergeCell ref="D1474:G1474"/>
    <mergeCell ref="D1475:G1475"/>
    <mergeCell ref="I1475:J1479"/>
    <mergeCell ref="L1475:M1479"/>
    <mergeCell ref="B1476:B1479"/>
    <mergeCell ref="D1476:G1476"/>
    <mergeCell ref="D1477:E1477"/>
    <mergeCell ref="D1478:E1478"/>
    <mergeCell ref="D1479:E1479"/>
    <mergeCell ref="D1495:G1495"/>
    <mergeCell ref="D1496:G1496"/>
    <mergeCell ref="I1496:J1500"/>
    <mergeCell ref="L1496:M1500"/>
    <mergeCell ref="B1497:B1500"/>
    <mergeCell ref="D1497:G1497"/>
    <mergeCell ref="D1498:E1498"/>
    <mergeCell ref="D1499:E1499"/>
    <mergeCell ref="D1500:E1500"/>
    <mergeCell ref="D1488:G1488"/>
    <mergeCell ref="D1489:G1489"/>
    <mergeCell ref="I1489:J1493"/>
    <mergeCell ref="L1489:M1493"/>
    <mergeCell ref="B1490:B1493"/>
    <mergeCell ref="D1490:G1490"/>
    <mergeCell ref="D1491:E1491"/>
    <mergeCell ref="D1492:E1492"/>
    <mergeCell ref="D1493:E1493"/>
    <mergeCell ref="D1509:G1509"/>
    <mergeCell ref="D1510:G1510"/>
    <mergeCell ref="I1510:J1514"/>
    <mergeCell ref="L1510:M1514"/>
    <mergeCell ref="B1511:B1514"/>
    <mergeCell ref="D1511:G1511"/>
    <mergeCell ref="D1512:E1512"/>
    <mergeCell ref="D1513:E1513"/>
    <mergeCell ref="D1514:E1514"/>
    <mergeCell ref="D1502:G1502"/>
    <mergeCell ref="D1503:G1503"/>
    <mergeCell ref="I1503:J1507"/>
    <mergeCell ref="L1503:M1507"/>
    <mergeCell ref="B1504:B1507"/>
    <mergeCell ref="D1504:G1504"/>
    <mergeCell ref="D1505:E1505"/>
    <mergeCell ref="D1506:E1506"/>
    <mergeCell ref="D1507:E1507"/>
    <mergeCell ref="D1523:G1523"/>
    <mergeCell ref="D1524:G1524"/>
    <mergeCell ref="I1524:J1528"/>
    <mergeCell ref="L1524:M1528"/>
    <mergeCell ref="B1525:B1528"/>
    <mergeCell ref="D1525:G1525"/>
    <mergeCell ref="D1526:E1526"/>
    <mergeCell ref="D1527:E1527"/>
    <mergeCell ref="D1528:E1528"/>
    <mergeCell ref="D1516:G1516"/>
    <mergeCell ref="D1517:G1517"/>
    <mergeCell ref="I1517:J1521"/>
    <mergeCell ref="L1517:M1521"/>
    <mergeCell ref="B1518:B1521"/>
    <mergeCell ref="D1518:G1518"/>
    <mergeCell ref="D1519:E1519"/>
    <mergeCell ref="D1520:E1520"/>
    <mergeCell ref="D1521:E1521"/>
    <mergeCell ref="D1537:G1537"/>
    <mergeCell ref="D1538:G1538"/>
    <mergeCell ref="I1538:J1542"/>
    <mergeCell ref="L1538:M1542"/>
    <mergeCell ref="B1539:B1542"/>
    <mergeCell ref="D1539:G1539"/>
    <mergeCell ref="D1540:E1540"/>
    <mergeCell ref="D1541:E1541"/>
    <mergeCell ref="D1542:E1542"/>
    <mergeCell ref="D1530:G1530"/>
    <mergeCell ref="D1531:G1531"/>
    <mergeCell ref="I1531:J1535"/>
    <mergeCell ref="L1531:M1535"/>
    <mergeCell ref="B1532:B1535"/>
    <mergeCell ref="D1532:G1532"/>
    <mergeCell ref="D1533:E1533"/>
    <mergeCell ref="D1534:E1534"/>
    <mergeCell ref="D1535:E1535"/>
    <mergeCell ref="D1551:G1551"/>
    <mergeCell ref="D1552:G1552"/>
    <mergeCell ref="I1552:J1556"/>
    <mergeCell ref="L1552:M1556"/>
    <mergeCell ref="B1553:B1556"/>
    <mergeCell ref="D1553:G1553"/>
    <mergeCell ref="D1554:E1554"/>
    <mergeCell ref="D1555:E1555"/>
    <mergeCell ref="D1556:E1556"/>
    <mergeCell ref="D1544:G1544"/>
    <mergeCell ref="D1545:G1545"/>
    <mergeCell ref="I1545:J1549"/>
    <mergeCell ref="L1545:M1549"/>
    <mergeCell ref="B1546:B1549"/>
    <mergeCell ref="D1546:G1546"/>
    <mergeCell ref="D1547:E1547"/>
    <mergeCell ref="D1548:E1548"/>
    <mergeCell ref="D1549:E1549"/>
    <mergeCell ref="D1565:G1565"/>
    <mergeCell ref="D1566:G1566"/>
    <mergeCell ref="I1566:J1570"/>
    <mergeCell ref="L1566:M1570"/>
    <mergeCell ref="B1567:B1570"/>
    <mergeCell ref="D1567:G1567"/>
    <mergeCell ref="D1568:E1568"/>
    <mergeCell ref="D1569:E1569"/>
    <mergeCell ref="D1570:E1570"/>
    <mergeCell ref="D1558:G1558"/>
    <mergeCell ref="D1559:G1559"/>
    <mergeCell ref="I1559:J1563"/>
    <mergeCell ref="L1559:M1563"/>
    <mergeCell ref="B1560:B1563"/>
    <mergeCell ref="D1560:G1560"/>
    <mergeCell ref="D1561:E1561"/>
    <mergeCell ref="D1562:E1562"/>
    <mergeCell ref="D1563:E1563"/>
    <mergeCell ref="D1579:G1579"/>
    <mergeCell ref="D1580:G1580"/>
    <mergeCell ref="I1580:J1584"/>
    <mergeCell ref="L1580:M1584"/>
    <mergeCell ref="B1581:B1584"/>
    <mergeCell ref="D1581:G1581"/>
    <mergeCell ref="D1582:E1582"/>
    <mergeCell ref="D1583:E1583"/>
    <mergeCell ref="D1584:E1584"/>
    <mergeCell ref="D1572:G1572"/>
    <mergeCell ref="D1573:G1573"/>
    <mergeCell ref="I1573:J1577"/>
    <mergeCell ref="L1573:M1577"/>
    <mergeCell ref="B1574:B1577"/>
    <mergeCell ref="D1574:G1574"/>
    <mergeCell ref="D1575:E1575"/>
    <mergeCell ref="D1576:E1576"/>
    <mergeCell ref="D1577:E1577"/>
    <mergeCell ref="D1593:G1593"/>
    <mergeCell ref="D1594:G1594"/>
    <mergeCell ref="I1594:J1598"/>
    <mergeCell ref="L1594:M1598"/>
    <mergeCell ref="B1595:B1598"/>
    <mergeCell ref="D1595:G1595"/>
    <mergeCell ref="D1596:E1596"/>
    <mergeCell ref="D1597:E1597"/>
    <mergeCell ref="D1598:E1598"/>
    <mergeCell ref="D1586:G1586"/>
    <mergeCell ref="D1587:G1587"/>
    <mergeCell ref="I1587:J1591"/>
    <mergeCell ref="L1587:M1591"/>
    <mergeCell ref="B1588:B1591"/>
    <mergeCell ref="D1588:G1588"/>
    <mergeCell ref="D1589:E1589"/>
    <mergeCell ref="D1590:E1590"/>
    <mergeCell ref="D1591:E1591"/>
    <mergeCell ref="D1607:G1607"/>
    <mergeCell ref="D1608:G1608"/>
    <mergeCell ref="I1608:J1612"/>
    <mergeCell ref="L1608:M1612"/>
    <mergeCell ref="B1609:B1612"/>
    <mergeCell ref="D1609:G1609"/>
    <mergeCell ref="D1610:E1610"/>
    <mergeCell ref="D1611:E1611"/>
    <mergeCell ref="D1612:E1612"/>
    <mergeCell ref="D1600:G1600"/>
    <mergeCell ref="D1601:G1601"/>
    <mergeCell ref="I1601:J1605"/>
    <mergeCell ref="L1601:M1605"/>
    <mergeCell ref="B1602:B1605"/>
    <mergeCell ref="D1602:G1602"/>
    <mergeCell ref="D1603:E1603"/>
    <mergeCell ref="D1604:E1604"/>
    <mergeCell ref="D1605:E1605"/>
    <mergeCell ref="D1621:G1621"/>
    <mergeCell ref="D1622:G1622"/>
    <mergeCell ref="I1622:J1626"/>
    <mergeCell ref="L1622:M1626"/>
    <mergeCell ref="B1623:B1626"/>
    <mergeCell ref="D1623:G1623"/>
    <mergeCell ref="D1624:E1624"/>
    <mergeCell ref="D1625:E1625"/>
    <mergeCell ref="D1626:E1626"/>
    <mergeCell ref="D1614:G1614"/>
    <mergeCell ref="D1615:G1615"/>
    <mergeCell ref="I1615:J1619"/>
    <mergeCell ref="L1615:M1619"/>
    <mergeCell ref="B1616:B1619"/>
    <mergeCell ref="D1616:G1616"/>
    <mergeCell ref="D1617:E1617"/>
    <mergeCell ref="D1618:E1618"/>
    <mergeCell ref="D1619:E1619"/>
    <mergeCell ref="D1635:G1635"/>
    <mergeCell ref="D1636:G1636"/>
    <mergeCell ref="I1636:J1640"/>
    <mergeCell ref="L1636:M1640"/>
    <mergeCell ref="B1637:B1640"/>
    <mergeCell ref="D1637:G1637"/>
    <mergeCell ref="D1638:E1638"/>
    <mergeCell ref="D1639:E1639"/>
    <mergeCell ref="D1640:E1640"/>
    <mergeCell ref="D1628:G1628"/>
    <mergeCell ref="D1629:G1629"/>
    <mergeCell ref="I1629:J1633"/>
    <mergeCell ref="L1629:M1633"/>
    <mergeCell ref="B1630:B1633"/>
    <mergeCell ref="D1630:G1630"/>
    <mergeCell ref="D1631:E1631"/>
    <mergeCell ref="D1632:E1632"/>
    <mergeCell ref="D1633:E1633"/>
    <mergeCell ref="D1649:G1649"/>
    <mergeCell ref="D1650:G1650"/>
    <mergeCell ref="I1650:J1654"/>
    <mergeCell ref="L1650:M1654"/>
    <mergeCell ref="B1651:B1654"/>
    <mergeCell ref="D1651:G1651"/>
    <mergeCell ref="D1652:E1652"/>
    <mergeCell ref="D1653:E1653"/>
    <mergeCell ref="D1654:E1654"/>
    <mergeCell ref="D1642:G1642"/>
    <mergeCell ref="D1643:G1643"/>
    <mergeCell ref="I1643:J1647"/>
    <mergeCell ref="L1643:M1647"/>
    <mergeCell ref="B1644:B1647"/>
    <mergeCell ref="D1644:G1644"/>
    <mergeCell ref="D1645:E1645"/>
    <mergeCell ref="D1646:E1646"/>
    <mergeCell ref="D1647:E1647"/>
    <mergeCell ref="D1663:G1663"/>
    <mergeCell ref="D1664:G1664"/>
    <mergeCell ref="I1664:J1668"/>
    <mergeCell ref="L1664:M1668"/>
    <mergeCell ref="B1665:B1668"/>
    <mergeCell ref="D1665:G1665"/>
    <mergeCell ref="D1666:E1666"/>
    <mergeCell ref="D1667:E1667"/>
    <mergeCell ref="D1668:E1668"/>
    <mergeCell ref="D1656:G1656"/>
    <mergeCell ref="D1657:G1657"/>
    <mergeCell ref="I1657:J1661"/>
    <mergeCell ref="L1657:M1661"/>
    <mergeCell ref="B1658:B1661"/>
    <mergeCell ref="D1658:G1658"/>
    <mergeCell ref="D1659:E1659"/>
    <mergeCell ref="D1660:E1660"/>
    <mergeCell ref="D1661:E1661"/>
    <mergeCell ref="D1677:G1677"/>
    <mergeCell ref="D1678:G1678"/>
    <mergeCell ref="I1678:J1682"/>
    <mergeCell ref="L1678:M1682"/>
    <mergeCell ref="B1679:B1682"/>
    <mergeCell ref="D1679:G1679"/>
    <mergeCell ref="D1680:E1680"/>
    <mergeCell ref="D1681:E1681"/>
    <mergeCell ref="D1682:E1682"/>
    <mergeCell ref="D1670:G1670"/>
    <mergeCell ref="D1671:G1671"/>
    <mergeCell ref="I1671:J1675"/>
    <mergeCell ref="L1671:M1675"/>
    <mergeCell ref="B1672:B1675"/>
    <mergeCell ref="D1672:G1672"/>
    <mergeCell ref="D1673:E1673"/>
    <mergeCell ref="D1674:E1674"/>
    <mergeCell ref="D1675:E1675"/>
    <mergeCell ref="D1691:G1691"/>
    <mergeCell ref="D1692:G1692"/>
    <mergeCell ref="I1692:J1696"/>
    <mergeCell ref="L1692:M1696"/>
    <mergeCell ref="B1693:B1696"/>
    <mergeCell ref="D1693:G1693"/>
    <mergeCell ref="D1694:E1694"/>
    <mergeCell ref="D1695:E1695"/>
    <mergeCell ref="D1696:E1696"/>
    <mergeCell ref="D1684:G1684"/>
    <mergeCell ref="D1685:G1685"/>
    <mergeCell ref="I1685:J1689"/>
    <mergeCell ref="L1685:M1689"/>
    <mergeCell ref="B1686:B1689"/>
    <mergeCell ref="D1686:G1686"/>
    <mergeCell ref="D1687:E1687"/>
    <mergeCell ref="D1688:E1688"/>
    <mergeCell ref="D1689:E1689"/>
    <mergeCell ref="D1705:G1705"/>
    <mergeCell ref="D1706:G1706"/>
    <mergeCell ref="I1706:J1710"/>
    <mergeCell ref="L1706:M1710"/>
    <mergeCell ref="B1707:B1710"/>
    <mergeCell ref="D1707:G1707"/>
    <mergeCell ref="D1708:E1708"/>
    <mergeCell ref="D1709:E1709"/>
    <mergeCell ref="D1710:E1710"/>
    <mergeCell ref="D1698:G1698"/>
    <mergeCell ref="D1699:G1699"/>
    <mergeCell ref="I1699:J1703"/>
    <mergeCell ref="L1699:M1703"/>
    <mergeCell ref="B1700:B1703"/>
    <mergeCell ref="D1700:G1700"/>
    <mergeCell ref="D1701:E1701"/>
    <mergeCell ref="D1702:E1702"/>
    <mergeCell ref="D1703:E1703"/>
    <mergeCell ref="D1719:G1719"/>
    <mergeCell ref="D1720:G1720"/>
    <mergeCell ref="I1720:J1724"/>
    <mergeCell ref="L1720:M1724"/>
    <mergeCell ref="B1721:B1724"/>
    <mergeCell ref="D1721:G1721"/>
    <mergeCell ref="D1722:E1722"/>
    <mergeCell ref="D1723:E1723"/>
    <mergeCell ref="D1724:E1724"/>
    <mergeCell ref="D1712:G1712"/>
    <mergeCell ref="D1713:G1713"/>
    <mergeCell ref="I1713:J1717"/>
    <mergeCell ref="L1713:M1717"/>
    <mergeCell ref="B1714:B1717"/>
    <mergeCell ref="D1714:G1714"/>
    <mergeCell ref="D1715:E1715"/>
    <mergeCell ref="D1716:E1716"/>
    <mergeCell ref="D1717:E1717"/>
    <mergeCell ref="D1733:G1733"/>
    <mergeCell ref="D1734:G1734"/>
    <mergeCell ref="I1734:J1738"/>
    <mergeCell ref="L1734:M1738"/>
    <mergeCell ref="B1735:B1738"/>
    <mergeCell ref="D1735:G1735"/>
    <mergeCell ref="D1736:E1736"/>
    <mergeCell ref="D1737:E1737"/>
    <mergeCell ref="D1738:E1738"/>
    <mergeCell ref="D1726:G1726"/>
    <mergeCell ref="D1727:G1727"/>
    <mergeCell ref="I1727:J1731"/>
    <mergeCell ref="L1727:M1731"/>
    <mergeCell ref="B1728:B1731"/>
    <mergeCell ref="D1728:G1728"/>
    <mergeCell ref="D1729:E1729"/>
    <mergeCell ref="D1730:E1730"/>
    <mergeCell ref="D1731:E1731"/>
    <mergeCell ref="D1747:G1747"/>
    <mergeCell ref="D1748:G1748"/>
    <mergeCell ref="I1748:J1752"/>
    <mergeCell ref="L1748:M1752"/>
    <mergeCell ref="B1749:B1752"/>
    <mergeCell ref="D1749:G1749"/>
    <mergeCell ref="D1750:E1750"/>
    <mergeCell ref="D1751:E1751"/>
    <mergeCell ref="D1752:E1752"/>
    <mergeCell ref="D1740:G1740"/>
    <mergeCell ref="D1741:G1741"/>
    <mergeCell ref="I1741:J1745"/>
    <mergeCell ref="L1741:M1745"/>
    <mergeCell ref="B1742:B1745"/>
    <mergeCell ref="D1742:G1742"/>
    <mergeCell ref="D1743:E1743"/>
    <mergeCell ref="D1744:E1744"/>
    <mergeCell ref="D1745:E1745"/>
    <mergeCell ref="D1761:G1761"/>
    <mergeCell ref="D1762:G1762"/>
    <mergeCell ref="I1762:J1766"/>
    <mergeCell ref="L1762:M1766"/>
    <mergeCell ref="B1763:B1766"/>
    <mergeCell ref="D1763:G1763"/>
    <mergeCell ref="D1764:E1764"/>
    <mergeCell ref="D1765:E1765"/>
    <mergeCell ref="D1766:E1766"/>
    <mergeCell ref="D1754:G1754"/>
    <mergeCell ref="D1755:G1755"/>
    <mergeCell ref="I1755:J1759"/>
    <mergeCell ref="L1755:M1759"/>
    <mergeCell ref="B1756:B1759"/>
    <mergeCell ref="D1756:G1756"/>
    <mergeCell ref="D1757:E1757"/>
    <mergeCell ref="D1758:E1758"/>
    <mergeCell ref="D1759:E1759"/>
    <mergeCell ref="D1775:G1775"/>
    <mergeCell ref="D1776:G1776"/>
    <mergeCell ref="I1776:J1780"/>
    <mergeCell ref="L1776:M1780"/>
    <mergeCell ref="B1777:B1780"/>
    <mergeCell ref="D1777:G1777"/>
    <mergeCell ref="D1778:E1778"/>
    <mergeCell ref="D1779:E1779"/>
    <mergeCell ref="D1780:E1780"/>
    <mergeCell ref="D1768:G1768"/>
    <mergeCell ref="D1769:G1769"/>
    <mergeCell ref="I1769:J1773"/>
    <mergeCell ref="L1769:M1773"/>
    <mergeCell ref="B1770:B1773"/>
    <mergeCell ref="D1770:G1770"/>
    <mergeCell ref="D1771:E1771"/>
    <mergeCell ref="D1772:E1772"/>
    <mergeCell ref="D1773:E1773"/>
    <mergeCell ref="D1789:G1789"/>
    <mergeCell ref="D1790:G1790"/>
    <mergeCell ref="I1790:J1794"/>
    <mergeCell ref="L1790:M1794"/>
    <mergeCell ref="B1791:B1794"/>
    <mergeCell ref="D1791:G1791"/>
    <mergeCell ref="D1792:E1792"/>
    <mergeCell ref="D1793:E1793"/>
    <mergeCell ref="D1794:E1794"/>
    <mergeCell ref="D1782:G1782"/>
    <mergeCell ref="D1783:G1783"/>
    <mergeCell ref="I1783:J1787"/>
    <mergeCell ref="L1783:M1787"/>
    <mergeCell ref="B1784:B1787"/>
    <mergeCell ref="D1784:G1784"/>
    <mergeCell ref="D1785:E1785"/>
    <mergeCell ref="D1786:E1786"/>
    <mergeCell ref="D1787:E1787"/>
    <mergeCell ref="D1803:G1803"/>
    <mergeCell ref="D1804:G1804"/>
    <mergeCell ref="I1804:J1808"/>
    <mergeCell ref="L1804:M1808"/>
    <mergeCell ref="B1805:B1808"/>
    <mergeCell ref="D1805:G1805"/>
    <mergeCell ref="D1806:E1806"/>
    <mergeCell ref="D1807:E1807"/>
    <mergeCell ref="D1808:E1808"/>
    <mergeCell ref="D1796:G1796"/>
    <mergeCell ref="D1797:G1797"/>
    <mergeCell ref="I1797:J1801"/>
    <mergeCell ref="L1797:M1801"/>
    <mergeCell ref="B1798:B1801"/>
    <mergeCell ref="D1798:G1798"/>
    <mergeCell ref="D1799:E1799"/>
    <mergeCell ref="D1800:E1800"/>
    <mergeCell ref="D1801:E1801"/>
    <mergeCell ref="D1817:G1817"/>
    <mergeCell ref="D1818:G1818"/>
    <mergeCell ref="I1818:J1822"/>
    <mergeCell ref="L1818:M1822"/>
    <mergeCell ref="B1819:B1822"/>
    <mergeCell ref="D1819:G1819"/>
    <mergeCell ref="D1820:E1820"/>
    <mergeCell ref="D1821:E1821"/>
    <mergeCell ref="D1822:E1822"/>
    <mergeCell ref="D1810:G1810"/>
    <mergeCell ref="D1811:G1811"/>
    <mergeCell ref="I1811:J1815"/>
    <mergeCell ref="L1811:M1815"/>
    <mergeCell ref="B1812:B1815"/>
    <mergeCell ref="D1812:G1812"/>
    <mergeCell ref="D1813:E1813"/>
    <mergeCell ref="D1814:E1814"/>
    <mergeCell ref="D1815:E1815"/>
    <mergeCell ref="D1831:G1831"/>
    <mergeCell ref="D1832:G1832"/>
    <mergeCell ref="I1832:J1836"/>
    <mergeCell ref="L1832:M1836"/>
    <mergeCell ref="B1833:B1836"/>
    <mergeCell ref="D1833:G1833"/>
    <mergeCell ref="D1834:E1834"/>
    <mergeCell ref="D1835:E1835"/>
    <mergeCell ref="D1836:E1836"/>
    <mergeCell ref="D1824:G1824"/>
    <mergeCell ref="D1825:G1825"/>
    <mergeCell ref="I1825:J1829"/>
    <mergeCell ref="L1825:M1829"/>
    <mergeCell ref="B1826:B1829"/>
    <mergeCell ref="D1826:G1826"/>
    <mergeCell ref="D1827:E1827"/>
    <mergeCell ref="D1828:E1828"/>
    <mergeCell ref="D1829:E1829"/>
    <mergeCell ref="D1845:G1845"/>
    <mergeCell ref="D1846:G1846"/>
    <mergeCell ref="I1846:J1850"/>
    <mergeCell ref="L1846:M1850"/>
    <mergeCell ref="B1847:B1850"/>
    <mergeCell ref="D1847:G1847"/>
    <mergeCell ref="D1848:E1848"/>
    <mergeCell ref="D1849:E1849"/>
    <mergeCell ref="D1850:E1850"/>
    <mergeCell ref="D1838:G1838"/>
    <mergeCell ref="D1839:G1839"/>
    <mergeCell ref="I1839:J1843"/>
    <mergeCell ref="L1839:M1843"/>
    <mergeCell ref="B1840:B1843"/>
    <mergeCell ref="D1840:G1840"/>
    <mergeCell ref="D1841:E1841"/>
    <mergeCell ref="D1842:E1842"/>
    <mergeCell ref="D1843:E1843"/>
    <mergeCell ref="D1859:G1859"/>
    <mergeCell ref="D1860:G1860"/>
    <mergeCell ref="I1860:J1864"/>
    <mergeCell ref="L1860:M1864"/>
    <mergeCell ref="B1861:B1864"/>
    <mergeCell ref="D1861:G1861"/>
    <mergeCell ref="D1862:E1862"/>
    <mergeCell ref="D1863:E1863"/>
    <mergeCell ref="D1864:E1864"/>
    <mergeCell ref="D1852:G1852"/>
    <mergeCell ref="D1853:G1853"/>
    <mergeCell ref="I1853:J1857"/>
    <mergeCell ref="L1853:M1857"/>
    <mergeCell ref="B1854:B1857"/>
    <mergeCell ref="D1854:G1854"/>
    <mergeCell ref="D1855:E1855"/>
    <mergeCell ref="D1856:E1856"/>
    <mergeCell ref="D1857:E1857"/>
    <mergeCell ref="D1873:G1873"/>
    <mergeCell ref="D1874:G1874"/>
    <mergeCell ref="I1874:J1878"/>
    <mergeCell ref="L1874:M1878"/>
    <mergeCell ref="B1875:B1878"/>
    <mergeCell ref="D1875:G1875"/>
    <mergeCell ref="D1876:E1876"/>
    <mergeCell ref="D1877:E1877"/>
    <mergeCell ref="D1878:E1878"/>
    <mergeCell ref="D1866:G1866"/>
    <mergeCell ref="D1867:G1867"/>
    <mergeCell ref="I1867:J1871"/>
    <mergeCell ref="L1867:M1871"/>
    <mergeCell ref="B1868:B1871"/>
    <mergeCell ref="D1868:G1868"/>
    <mergeCell ref="D1869:E1869"/>
    <mergeCell ref="D1870:E1870"/>
    <mergeCell ref="D1871:E1871"/>
    <mergeCell ref="D1887:G1887"/>
    <mergeCell ref="D1888:G1888"/>
    <mergeCell ref="I1888:J1892"/>
    <mergeCell ref="L1888:M1892"/>
    <mergeCell ref="B1889:B1892"/>
    <mergeCell ref="D1889:G1889"/>
    <mergeCell ref="D1890:E1890"/>
    <mergeCell ref="D1891:E1891"/>
    <mergeCell ref="D1892:E1892"/>
    <mergeCell ref="D1880:G1880"/>
    <mergeCell ref="D1881:G1881"/>
    <mergeCell ref="I1881:J1885"/>
    <mergeCell ref="L1881:M1885"/>
    <mergeCell ref="B1882:B1885"/>
    <mergeCell ref="D1882:G1882"/>
    <mergeCell ref="D1883:E1883"/>
    <mergeCell ref="D1884:E1884"/>
    <mergeCell ref="D1885:E1885"/>
    <mergeCell ref="D1901:G1901"/>
    <mergeCell ref="D1902:G1902"/>
    <mergeCell ref="I1902:J1906"/>
    <mergeCell ref="L1902:M1906"/>
    <mergeCell ref="B1903:B1906"/>
    <mergeCell ref="D1903:G1903"/>
    <mergeCell ref="D1904:E1904"/>
    <mergeCell ref="D1905:E1905"/>
    <mergeCell ref="D1906:E1906"/>
    <mergeCell ref="D1894:G1894"/>
    <mergeCell ref="D1895:G1895"/>
    <mergeCell ref="I1895:J1899"/>
    <mergeCell ref="L1895:M1899"/>
    <mergeCell ref="B1896:B1899"/>
    <mergeCell ref="D1896:G1896"/>
    <mergeCell ref="D1897:E1897"/>
    <mergeCell ref="D1898:E1898"/>
    <mergeCell ref="D1899:E1899"/>
    <mergeCell ref="D1915:G1915"/>
    <mergeCell ref="D1916:G1916"/>
    <mergeCell ref="I1916:J1920"/>
    <mergeCell ref="L1916:M1920"/>
    <mergeCell ref="B1917:B1920"/>
    <mergeCell ref="D1917:G1917"/>
    <mergeCell ref="D1918:E1918"/>
    <mergeCell ref="D1919:E1919"/>
    <mergeCell ref="D1920:E1920"/>
    <mergeCell ref="D1908:G1908"/>
    <mergeCell ref="D1909:G1909"/>
    <mergeCell ref="I1909:J1913"/>
    <mergeCell ref="L1909:M1913"/>
    <mergeCell ref="B1910:B1913"/>
    <mergeCell ref="D1910:G1910"/>
    <mergeCell ref="D1911:E1911"/>
    <mergeCell ref="D1912:E1912"/>
    <mergeCell ref="D1913:E1913"/>
    <mergeCell ref="D1929:G1929"/>
    <mergeCell ref="D1930:G1930"/>
    <mergeCell ref="I1930:J1934"/>
    <mergeCell ref="L1930:M1934"/>
    <mergeCell ref="B1931:B1934"/>
    <mergeCell ref="D1931:G1931"/>
    <mergeCell ref="D1932:E1932"/>
    <mergeCell ref="D1933:E1933"/>
    <mergeCell ref="D1934:E1934"/>
    <mergeCell ref="D1922:G1922"/>
    <mergeCell ref="D1923:G1923"/>
    <mergeCell ref="I1923:J1927"/>
    <mergeCell ref="L1923:M1927"/>
    <mergeCell ref="B1924:B1927"/>
    <mergeCell ref="D1924:G1924"/>
    <mergeCell ref="D1925:E1925"/>
    <mergeCell ref="D1926:E1926"/>
    <mergeCell ref="D1927:E1927"/>
    <mergeCell ref="D1943:G1943"/>
    <mergeCell ref="D1944:G1944"/>
    <mergeCell ref="I1944:J1948"/>
    <mergeCell ref="L1944:M1948"/>
    <mergeCell ref="B1945:B1948"/>
    <mergeCell ref="D1945:G1945"/>
    <mergeCell ref="D1946:E1946"/>
    <mergeCell ref="D1947:E1947"/>
    <mergeCell ref="D1948:E1948"/>
    <mergeCell ref="D1936:G1936"/>
    <mergeCell ref="D1937:G1937"/>
    <mergeCell ref="I1937:J1941"/>
    <mergeCell ref="L1937:M1941"/>
    <mergeCell ref="B1938:B1941"/>
    <mergeCell ref="D1938:G1938"/>
    <mergeCell ref="D1939:E1939"/>
    <mergeCell ref="D1940:E1940"/>
    <mergeCell ref="D1941:E1941"/>
    <mergeCell ref="D1957:G1957"/>
    <mergeCell ref="D1958:G1958"/>
    <mergeCell ref="I1958:J1962"/>
    <mergeCell ref="L1958:M1962"/>
    <mergeCell ref="B1959:B1962"/>
    <mergeCell ref="D1959:G1959"/>
    <mergeCell ref="D1960:E1960"/>
    <mergeCell ref="D1961:E1961"/>
    <mergeCell ref="D1962:E1962"/>
    <mergeCell ref="D1950:G1950"/>
    <mergeCell ref="D1951:G1951"/>
    <mergeCell ref="I1951:J1955"/>
    <mergeCell ref="L1951:M1955"/>
    <mergeCell ref="B1952:B1955"/>
    <mergeCell ref="D1952:G1952"/>
    <mergeCell ref="D1953:E1953"/>
    <mergeCell ref="D1954:E1954"/>
    <mergeCell ref="D1955:E1955"/>
    <mergeCell ref="D1971:G1971"/>
    <mergeCell ref="D1972:G1972"/>
    <mergeCell ref="I1972:J1976"/>
    <mergeCell ref="L1972:M1976"/>
    <mergeCell ref="B1973:B1976"/>
    <mergeCell ref="D1973:G1973"/>
    <mergeCell ref="D1974:E1974"/>
    <mergeCell ref="D1975:E1975"/>
    <mergeCell ref="D1976:E1976"/>
    <mergeCell ref="D1964:G1964"/>
    <mergeCell ref="D1965:G1965"/>
    <mergeCell ref="I1965:J1969"/>
    <mergeCell ref="L1965:M1969"/>
    <mergeCell ref="B1966:B1969"/>
    <mergeCell ref="D1966:G1966"/>
    <mergeCell ref="D1967:E1967"/>
    <mergeCell ref="D1968:E1968"/>
    <mergeCell ref="D1969:E1969"/>
    <mergeCell ref="D1985:G1985"/>
    <mergeCell ref="D1986:G1986"/>
    <mergeCell ref="I1986:J1990"/>
    <mergeCell ref="L1986:M1990"/>
    <mergeCell ref="B1987:B1990"/>
    <mergeCell ref="D1987:G1987"/>
    <mergeCell ref="D1988:E1988"/>
    <mergeCell ref="D1989:E1989"/>
    <mergeCell ref="D1990:E1990"/>
    <mergeCell ref="D1978:G1978"/>
    <mergeCell ref="D1979:G1979"/>
    <mergeCell ref="I1979:J1983"/>
    <mergeCell ref="L1979:M1983"/>
    <mergeCell ref="B1980:B1983"/>
    <mergeCell ref="D1980:G1980"/>
    <mergeCell ref="D1981:E1981"/>
    <mergeCell ref="D1982:E1982"/>
    <mergeCell ref="D1983:E1983"/>
    <mergeCell ref="D1999:G1999"/>
    <mergeCell ref="D2000:G2000"/>
    <mergeCell ref="I2000:J2004"/>
    <mergeCell ref="L2000:M2004"/>
    <mergeCell ref="B2001:B2004"/>
    <mergeCell ref="D2001:G2001"/>
    <mergeCell ref="D2002:E2002"/>
    <mergeCell ref="D2003:E2003"/>
    <mergeCell ref="D2004:E2004"/>
    <mergeCell ref="D1992:G1992"/>
    <mergeCell ref="D1993:G1993"/>
    <mergeCell ref="I1993:J1997"/>
    <mergeCell ref="L1993:M1997"/>
    <mergeCell ref="B1994:B1997"/>
    <mergeCell ref="D1994:G1994"/>
    <mergeCell ref="D1995:E1995"/>
    <mergeCell ref="D1996:E1996"/>
    <mergeCell ref="D1997:E1997"/>
    <mergeCell ref="D2013:G2013"/>
    <mergeCell ref="D2014:G2014"/>
    <mergeCell ref="I2014:J2018"/>
    <mergeCell ref="L2014:M2018"/>
    <mergeCell ref="B2015:B2018"/>
    <mergeCell ref="D2015:G2015"/>
    <mergeCell ref="D2016:E2016"/>
    <mergeCell ref="D2017:E2017"/>
    <mergeCell ref="D2018:E2018"/>
    <mergeCell ref="D2006:G2006"/>
    <mergeCell ref="D2007:G2007"/>
    <mergeCell ref="I2007:J2011"/>
    <mergeCell ref="L2007:M2011"/>
    <mergeCell ref="B2008:B2011"/>
    <mergeCell ref="D2008:G2008"/>
    <mergeCell ref="D2009:E2009"/>
    <mergeCell ref="D2010:E2010"/>
    <mergeCell ref="D2011:E2011"/>
    <mergeCell ref="D2027:G2027"/>
    <mergeCell ref="D2028:G2028"/>
    <mergeCell ref="I2028:J2032"/>
    <mergeCell ref="L2028:M2032"/>
    <mergeCell ref="B2029:B2032"/>
    <mergeCell ref="D2029:G2029"/>
    <mergeCell ref="D2030:E2030"/>
    <mergeCell ref="D2031:E2031"/>
    <mergeCell ref="D2032:E2032"/>
    <mergeCell ref="D2020:G2020"/>
    <mergeCell ref="D2021:G2021"/>
    <mergeCell ref="I2021:J2025"/>
    <mergeCell ref="L2021:M2025"/>
    <mergeCell ref="B2022:B2025"/>
    <mergeCell ref="D2022:G2022"/>
    <mergeCell ref="D2023:E2023"/>
    <mergeCell ref="D2024:E2024"/>
    <mergeCell ref="D2025:E2025"/>
    <mergeCell ref="D2041:G2041"/>
    <mergeCell ref="D2042:G2042"/>
    <mergeCell ref="I2042:J2046"/>
    <mergeCell ref="L2042:M2046"/>
    <mergeCell ref="B2043:B2046"/>
    <mergeCell ref="D2043:G2043"/>
    <mergeCell ref="D2044:E2044"/>
    <mergeCell ref="D2045:E2045"/>
    <mergeCell ref="D2046:E2046"/>
    <mergeCell ref="D2034:G2034"/>
    <mergeCell ref="D2035:G2035"/>
    <mergeCell ref="I2035:J2039"/>
    <mergeCell ref="L2035:M2039"/>
    <mergeCell ref="B2036:B2039"/>
    <mergeCell ref="D2036:G2036"/>
    <mergeCell ref="D2037:E2037"/>
    <mergeCell ref="D2038:E2038"/>
    <mergeCell ref="D2039:E2039"/>
    <mergeCell ref="D2055:G2055"/>
    <mergeCell ref="D2056:G2056"/>
    <mergeCell ref="I2056:J2060"/>
    <mergeCell ref="L2056:M2060"/>
    <mergeCell ref="B2057:B2060"/>
    <mergeCell ref="D2057:G2057"/>
    <mergeCell ref="D2058:E2058"/>
    <mergeCell ref="D2059:E2059"/>
    <mergeCell ref="D2060:E2060"/>
    <mergeCell ref="D2048:G2048"/>
    <mergeCell ref="D2049:G2049"/>
    <mergeCell ref="I2049:J2053"/>
    <mergeCell ref="L2049:M2053"/>
    <mergeCell ref="B2050:B2053"/>
    <mergeCell ref="D2050:G2050"/>
    <mergeCell ref="D2051:E2051"/>
    <mergeCell ref="D2052:E2052"/>
    <mergeCell ref="D2053:E2053"/>
    <mergeCell ref="D2069:G2069"/>
    <mergeCell ref="D2070:G2070"/>
    <mergeCell ref="I2070:J2074"/>
    <mergeCell ref="L2070:M2074"/>
    <mergeCell ref="B2071:B2074"/>
    <mergeCell ref="D2071:G2071"/>
    <mergeCell ref="D2072:E2072"/>
    <mergeCell ref="D2073:E2073"/>
    <mergeCell ref="D2074:E2074"/>
    <mergeCell ref="D2062:G2062"/>
    <mergeCell ref="D2063:G2063"/>
    <mergeCell ref="I2063:J2067"/>
    <mergeCell ref="L2063:M2067"/>
    <mergeCell ref="B2064:B2067"/>
    <mergeCell ref="D2064:G2064"/>
    <mergeCell ref="D2065:E2065"/>
    <mergeCell ref="D2066:E2066"/>
    <mergeCell ref="D2067:E2067"/>
    <mergeCell ref="D2083:G2083"/>
    <mergeCell ref="D2084:G2084"/>
    <mergeCell ref="I2084:J2088"/>
    <mergeCell ref="L2084:M2088"/>
    <mergeCell ref="B2085:B2088"/>
    <mergeCell ref="D2085:G2085"/>
    <mergeCell ref="D2086:E2086"/>
    <mergeCell ref="D2087:E2087"/>
    <mergeCell ref="D2088:E2088"/>
    <mergeCell ref="D2076:G2076"/>
    <mergeCell ref="D2077:G2077"/>
    <mergeCell ref="I2077:J2081"/>
    <mergeCell ref="L2077:M2081"/>
    <mergeCell ref="B2078:B2081"/>
    <mergeCell ref="D2078:G2078"/>
    <mergeCell ref="D2079:E2079"/>
    <mergeCell ref="D2080:E2080"/>
    <mergeCell ref="D2081:E2081"/>
    <mergeCell ref="D2097:G2097"/>
    <mergeCell ref="D2098:G2098"/>
    <mergeCell ref="I2098:J2102"/>
    <mergeCell ref="L2098:M2102"/>
    <mergeCell ref="B2099:B2102"/>
    <mergeCell ref="D2099:G2099"/>
    <mergeCell ref="D2100:E2100"/>
    <mergeCell ref="D2101:E2101"/>
    <mergeCell ref="D2102:E2102"/>
    <mergeCell ref="D2090:G2090"/>
    <mergeCell ref="D2091:G2091"/>
    <mergeCell ref="I2091:J2095"/>
    <mergeCell ref="L2091:M2095"/>
    <mergeCell ref="B2092:B2095"/>
    <mergeCell ref="D2092:G2092"/>
    <mergeCell ref="D2093:E2093"/>
    <mergeCell ref="D2094:E2094"/>
    <mergeCell ref="D2095:E2095"/>
  </mergeCells>
  <printOptions horizontalCentered="1"/>
  <pageMargins left="0" right="0" top="0" bottom="0" header="0" footer="0"/>
  <pageSetup scale="78" fitToHeight="0" orientation="landscape"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C5BCF2-C5B8-4831-BA80-97553ABECF30}">
  <sheetPr>
    <pageSetUpPr fitToPage="1"/>
  </sheetPr>
  <dimension ref="A1:Q301"/>
  <sheetViews>
    <sheetView zoomScaleNormal="100" workbookViewId="0"/>
  </sheetViews>
  <sheetFormatPr defaultRowHeight="14.25" outlineLevelCol="1" x14ac:dyDescent="0.2"/>
  <cols>
    <col min="1" max="1" width="9.875" bestFit="1" customWidth="1"/>
    <col min="2" max="2" width="6.625" bestFit="1" customWidth="1"/>
    <col min="3" max="3" width="22.625" bestFit="1" customWidth="1"/>
    <col min="4" max="4" width="2.625" bestFit="1" customWidth="1"/>
    <col min="5" max="5" width="7.125" bestFit="1" customWidth="1"/>
    <col min="6" max="6" width="9.75" bestFit="1" customWidth="1"/>
    <col min="7" max="7" width="7" bestFit="1" customWidth="1"/>
    <col min="8" max="8" width="3.875" bestFit="1" customWidth="1"/>
    <col min="9" max="9" width="4.875" bestFit="1" customWidth="1"/>
    <col min="10" max="10" width="5.875" bestFit="1" customWidth="1"/>
    <col min="11" max="11" width="6.5" bestFit="1" customWidth="1"/>
    <col min="12" max="12" width="29.125" bestFit="1" customWidth="1"/>
    <col min="13" max="13" width="28.625" hidden="1" customWidth="1" outlineLevel="1"/>
    <col min="14" max="14" width="20.375" hidden="1" customWidth="1" outlineLevel="1"/>
    <col min="15" max="15" width="10.625" style="59" bestFit="1" customWidth="1" collapsed="1"/>
    <col min="16" max="16" width="21.875" bestFit="1" customWidth="1"/>
    <col min="17" max="17" width="25.625" bestFit="1" customWidth="1"/>
  </cols>
  <sheetData>
    <row r="1" spans="1:17" x14ac:dyDescent="0.2">
      <c r="A1" s="95" t="s">
        <v>87</v>
      </c>
      <c r="B1" s="67" t="s">
        <v>88</v>
      </c>
      <c r="C1" s="67" t="s">
        <v>89</v>
      </c>
      <c r="D1" s="67" t="s">
        <v>10764</v>
      </c>
      <c r="E1" s="67" t="s">
        <v>8662</v>
      </c>
      <c r="F1" s="67" t="s">
        <v>10266</v>
      </c>
      <c r="G1" s="67" t="s">
        <v>23</v>
      </c>
      <c r="H1" s="95" t="s">
        <v>96</v>
      </c>
      <c r="I1" s="97" t="s">
        <v>97</v>
      </c>
      <c r="J1" s="95" t="s">
        <v>98</v>
      </c>
      <c r="K1" s="97" t="s">
        <v>99</v>
      </c>
      <c r="L1" s="817" t="s">
        <v>10765</v>
      </c>
      <c r="M1" s="817" t="s">
        <v>10766</v>
      </c>
      <c r="N1" s="817" t="s">
        <v>10767</v>
      </c>
      <c r="O1" s="818" t="s">
        <v>10756</v>
      </c>
      <c r="P1" s="818" t="s">
        <v>10757</v>
      </c>
      <c r="Q1" s="819" t="s">
        <v>10758</v>
      </c>
    </row>
    <row r="2" spans="1:17" x14ac:dyDescent="0.2">
      <c r="A2" s="267" t="s">
        <v>10768</v>
      </c>
      <c r="B2" s="268" t="s">
        <v>10769</v>
      </c>
      <c r="C2" s="268" t="s">
        <v>10770</v>
      </c>
      <c r="D2" s="268">
        <v>1</v>
      </c>
      <c r="E2" s="268" t="s">
        <v>10771</v>
      </c>
      <c r="F2" s="268" t="s">
        <v>123</v>
      </c>
      <c r="G2" s="268" t="s">
        <v>10772</v>
      </c>
      <c r="H2" s="267">
        <v>0</v>
      </c>
      <c r="I2" s="342">
        <v>0</v>
      </c>
      <c r="J2" s="267">
        <v>0</v>
      </c>
      <c r="K2" s="342">
        <v>0</v>
      </c>
      <c r="L2" s="268" t="s">
        <v>137</v>
      </c>
      <c r="M2" s="268"/>
      <c r="N2" s="268"/>
      <c r="O2" s="820">
        <v>0</v>
      </c>
      <c r="P2" s="820" t="s">
        <v>137</v>
      </c>
      <c r="Q2" s="821" t="s">
        <v>10773</v>
      </c>
    </row>
    <row r="3" spans="1:17" x14ac:dyDescent="0.2">
      <c r="A3" s="306" t="s">
        <v>10774</v>
      </c>
      <c r="B3" s="261" t="s">
        <v>10775</v>
      </c>
      <c r="C3" s="261" t="s">
        <v>10776</v>
      </c>
      <c r="D3" s="261">
        <v>1</v>
      </c>
      <c r="E3" s="261" t="s">
        <v>10771</v>
      </c>
      <c r="F3" s="261" t="s">
        <v>330</v>
      </c>
      <c r="G3" s="261" t="s">
        <v>10772</v>
      </c>
      <c r="H3" s="306">
        <v>0</v>
      </c>
      <c r="I3" s="330">
        <v>0</v>
      </c>
      <c r="J3" s="306">
        <v>0</v>
      </c>
      <c r="K3" s="330">
        <v>0</v>
      </c>
      <c r="L3" s="261" t="s">
        <v>137</v>
      </c>
      <c r="M3" s="261"/>
      <c r="N3" s="261"/>
      <c r="O3" s="816">
        <v>0</v>
      </c>
      <c r="P3" s="816" t="s">
        <v>137</v>
      </c>
      <c r="Q3" s="822" t="s">
        <v>10773</v>
      </c>
    </row>
    <row r="4" spans="1:17" x14ac:dyDescent="0.2">
      <c r="A4" s="306" t="s">
        <v>10777</v>
      </c>
      <c r="B4" s="261" t="s">
        <v>10778</v>
      </c>
      <c r="C4" s="261" t="s">
        <v>10779</v>
      </c>
      <c r="D4" s="261">
        <v>1</v>
      </c>
      <c r="E4" s="261" t="s">
        <v>10771</v>
      </c>
      <c r="F4" s="261" t="s">
        <v>429</v>
      </c>
      <c r="G4" s="261" t="s">
        <v>10772</v>
      </c>
      <c r="H4" s="306">
        <v>0</v>
      </c>
      <c r="I4" s="330">
        <v>0</v>
      </c>
      <c r="J4" s="306">
        <v>0</v>
      </c>
      <c r="K4" s="330">
        <v>0</v>
      </c>
      <c r="L4" s="261" t="s">
        <v>137</v>
      </c>
      <c r="M4" s="261"/>
      <c r="N4" s="261"/>
      <c r="O4" s="816">
        <v>0</v>
      </c>
      <c r="P4" s="816" t="s">
        <v>137</v>
      </c>
      <c r="Q4" s="822" t="s">
        <v>10773</v>
      </c>
    </row>
    <row r="5" spans="1:17" x14ac:dyDescent="0.2">
      <c r="A5" s="306" t="s">
        <v>10780</v>
      </c>
      <c r="B5" s="261" t="s">
        <v>10781</v>
      </c>
      <c r="C5" s="261" t="s">
        <v>10782</v>
      </c>
      <c r="D5" s="261">
        <v>1</v>
      </c>
      <c r="E5" s="261" t="s">
        <v>10771</v>
      </c>
      <c r="F5" s="261" t="s">
        <v>543</v>
      </c>
      <c r="G5" s="261" t="s">
        <v>10772</v>
      </c>
      <c r="H5" s="306">
        <v>0</v>
      </c>
      <c r="I5" s="330">
        <v>0</v>
      </c>
      <c r="J5" s="306">
        <v>0</v>
      </c>
      <c r="K5" s="330">
        <v>0</v>
      </c>
      <c r="L5" s="261" t="s">
        <v>137</v>
      </c>
      <c r="M5" s="261"/>
      <c r="N5" s="261"/>
      <c r="O5" s="816">
        <v>0</v>
      </c>
      <c r="P5" s="816" t="s">
        <v>137</v>
      </c>
      <c r="Q5" s="822" t="s">
        <v>10773</v>
      </c>
    </row>
    <row r="6" spans="1:17" x14ac:dyDescent="0.2">
      <c r="A6" s="306" t="s">
        <v>10783</v>
      </c>
      <c r="B6" s="261" t="s">
        <v>10784</v>
      </c>
      <c r="C6" s="261" t="s">
        <v>10785</v>
      </c>
      <c r="D6" s="261">
        <v>1</v>
      </c>
      <c r="E6" s="261" t="s">
        <v>10771</v>
      </c>
      <c r="F6" s="261" t="s">
        <v>645</v>
      </c>
      <c r="G6" s="261" t="s">
        <v>10772</v>
      </c>
      <c r="H6" s="306">
        <v>0</v>
      </c>
      <c r="I6" s="330">
        <v>0</v>
      </c>
      <c r="J6" s="306">
        <v>0</v>
      </c>
      <c r="K6" s="330">
        <v>0</v>
      </c>
      <c r="L6" s="261" t="s">
        <v>137</v>
      </c>
      <c r="M6" s="261"/>
      <c r="N6" s="261"/>
      <c r="O6" s="816">
        <v>0</v>
      </c>
      <c r="P6" s="816" t="s">
        <v>137</v>
      </c>
      <c r="Q6" s="822" t="s">
        <v>10773</v>
      </c>
    </row>
    <row r="7" spans="1:17" x14ac:dyDescent="0.2">
      <c r="A7" s="306" t="s">
        <v>10786</v>
      </c>
      <c r="B7" s="261" t="s">
        <v>10787</v>
      </c>
      <c r="C7" s="261" t="s">
        <v>10788</v>
      </c>
      <c r="D7" s="261">
        <v>1</v>
      </c>
      <c r="E7" s="261" t="s">
        <v>10771</v>
      </c>
      <c r="F7" s="261" t="s">
        <v>759</v>
      </c>
      <c r="G7" s="261" t="s">
        <v>10772</v>
      </c>
      <c r="H7" s="306">
        <v>0</v>
      </c>
      <c r="I7" s="330">
        <v>0</v>
      </c>
      <c r="J7" s="306">
        <v>0</v>
      </c>
      <c r="K7" s="330">
        <v>0</v>
      </c>
      <c r="L7" s="261" t="s">
        <v>137</v>
      </c>
      <c r="M7" s="261"/>
      <c r="N7" s="261"/>
      <c r="O7" s="816">
        <v>0</v>
      </c>
      <c r="P7" s="816" t="s">
        <v>137</v>
      </c>
      <c r="Q7" s="822" t="s">
        <v>10773</v>
      </c>
    </row>
    <row r="8" spans="1:17" x14ac:dyDescent="0.2">
      <c r="A8" s="306" t="s">
        <v>10789</v>
      </c>
      <c r="B8" s="261" t="s">
        <v>10790</v>
      </c>
      <c r="C8" s="261" t="s">
        <v>10791</v>
      </c>
      <c r="D8" s="261">
        <v>1</v>
      </c>
      <c r="E8" s="261" t="s">
        <v>10771</v>
      </c>
      <c r="F8" s="261" t="s">
        <v>839</v>
      </c>
      <c r="G8" s="261" t="s">
        <v>10772</v>
      </c>
      <c r="H8" s="306">
        <v>0</v>
      </c>
      <c r="I8" s="330">
        <v>0</v>
      </c>
      <c r="J8" s="306">
        <v>0</v>
      </c>
      <c r="K8" s="330">
        <v>0</v>
      </c>
      <c r="L8" s="261" t="s">
        <v>137</v>
      </c>
      <c r="M8" s="261"/>
      <c r="N8" s="261"/>
      <c r="O8" s="816">
        <v>0</v>
      </c>
      <c r="P8" s="816" t="s">
        <v>137</v>
      </c>
      <c r="Q8" s="822" t="s">
        <v>10773</v>
      </c>
    </row>
    <row r="9" spans="1:17" x14ac:dyDescent="0.2">
      <c r="A9" s="306" t="s">
        <v>10792</v>
      </c>
      <c r="B9" s="261" t="s">
        <v>10793</v>
      </c>
      <c r="C9" s="261" t="s">
        <v>10794</v>
      </c>
      <c r="D9" s="261">
        <v>1</v>
      </c>
      <c r="E9" s="261" t="s">
        <v>10771</v>
      </c>
      <c r="F9" s="261" t="s">
        <v>949</v>
      </c>
      <c r="G9" s="261" t="s">
        <v>10772</v>
      </c>
      <c r="H9" s="306">
        <v>0</v>
      </c>
      <c r="I9" s="330">
        <v>0</v>
      </c>
      <c r="J9" s="306">
        <v>0</v>
      </c>
      <c r="K9" s="330">
        <v>0</v>
      </c>
      <c r="L9" s="261" t="s">
        <v>137</v>
      </c>
      <c r="M9" s="261"/>
      <c r="N9" s="261"/>
      <c r="O9" s="816">
        <v>0</v>
      </c>
      <c r="P9" s="816" t="s">
        <v>137</v>
      </c>
      <c r="Q9" s="822" t="s">
        <v>10773</v>
      </c>
    </row>
    <row r="10" spans="1:17" x14ac:dyDescent="0.2">
      <c r="A10" s="306" t="s">
        <v>10795</v>
      </c>
      <c r="B10" s="261" t="s">
        <v>10796</v>
      </c>
      <c r="C10" s="261" t="s">
        <v>10797</v>
      </c>
      <c r="D10" s="261">
        <v>1</v>
      </c>
      <c r="E10" s="261" t="s">
        <v>10771</v>
      </c>
      <c r="F10" s="261" t="s">
        <v>1054</v>
      </c>
      <c r="G10" s="261" t="s">
        <v>10772</v>
      </c>
      <c r="H10" s="306">
        <v>0</v>
      </c>
      <c r="I10" s="330">
        <v>0</v>
      </c>
      <c r="J10" s="306">
        <v>0</v>
      </c>
      <c r="K10" s="330">
        <v>0</v>
      </c>
      <c r="L10" s="261" t="s">
        <v>137</v>
      </c>
      <c r="M10" s="261"/>
      <c r="N10" s="261"/>
      <c r="O10" s="816">
        <v>0</v>
      </c>
      <c r="P10" s="816" t="s">
        <v>137</v>
      </c>
      <c r="Q10" s="822" t="s">
        <v>10773</v>
      </c>
    </row>
    <row r="11" spans="1:17" x14ac:dyDescent="0.2">
      <c r="A11" s="306" t="s">
        <v>10798</v>
      </c>
      <c r="B11" s="261" t="s">
        <v>10799</v>
      </c>
      <c r="C11" s="261" t="s">
        <v>10800</v>
      </c>
      <c r="D11" s="261">
        <v>3</v>
      </c>
      <c r="E11" s="261" t="s">
        <v>10801</v>
      </c>
      <c r="F11" s="261" t="s">
        <v>123</v>
      </c>
      <c r="G11" s="261" t="s">
        <v>10772</v>
      </c>
      <c r="H11" s="306">
        <v>37</v>
      </c>
      <c r="I11" s="330">
        <v>133</v>
      </c>
      <c r="J11" s="306">
        <v>40</v>
      </c>
      <c r="K11" s="330">
        <v>135</v>
      </c>
      <c r="L11" s="261" t="s">
        <v>10802</v>
      </c>
      <c r="M11" s="261"/>
      <c r="N11" s="261"/>
      <c r="O11" s="816">
        <v>1000</v>
      </c>
      <c r="P11" s="816" t="s">
        <v>137</v>
      </c>
      <c r="Q11" s="822" t="s">
        <v>10803</v>
      </c>
    </row>
    <row r="12" spans="1:17" x14ac:dyDescent="0.2">
      <c r="A12" s="306" t="s">
        <v>10804</v>
      </c>
      <c r="B12" s="261" t="s">
        <v>10805</v>
      </c>
      <c r="C12" s="261" t="s">
        <v>10806</v>
      </c>
      <c r="D12" s="261">
        <v>3</v>
      </c>
      <c r="E12" s="261" t="s">
        <v>10801</v>
      </c>
      <c r="F12" s="261" t="s">
        <v>330</v>
      </c>
      <c r="G12" s="261" t="s">
        <v>10772</v>
      </c>
      <c r="H12" s="306">
        <v>31</v>
      </c>
      <c r="I12" s="330">
        <v>145</v>
      </c>
      <c r="J12" s="306">
        <v>35</v>
      </c>
      <c r="K12" s="330">
        <v>145</v>
      </c>
      <c r="L12" s="261" t="s">
        <v>10807</v>
      </c>
      <c r="M12" s="261"/>
      <c r="N12" s="261"/>
      <c r="O12" s="816">
        <v>1000</v>
      </c>
      <c r="P12" s="816" t="s">
        <v>137</v>
      </c>
      <c r="Q12" s="822" t="s">
        <v>10803</v>
      </c>
    </row>
    <row r="13" spans="1:17" x14ac:dyDescent="0.2">
      <c r="A13" s="306" t="s">
        <v>10808</v>
      </c>
      <c r="B13" s="261" t="s">
        <v>10809</v>
      </c>
      <c r="C13" s="261" t="s">
        <v>10810</v>
      </c>
      <c r="D13" s="261">
        <v>3</v>
      </c>
      <c r="E13" s="261" t="s">
        <v>10801</v>
      </c>
      <c r="F13" s="261" t="s">
        <v>429</v>
      </c>
      <c r="G13" s="261" t="s">
        <v>10772</v>
      </c>
      <c r="H13" s="306">
        <v>37</v>
      </c>
      <c r="I13" s="330">
        <v>130</v>
      </c>
      <c r="J13" s="306">
        <v>40</v>
      </c>
      <c r="K13" s="330">
        <v>130</v>
      </c>
      <c r="L13" s="261" t="s">
        <v>10811</v>
      </c>
      <c r="M13" s="261"/>
      <c r="N13" s="261"/>
      <c r="O13" s="816">
        <v>1000</v>
      </c>
      <c r="P13" s="816" t="s">
        <v>137</v>
      </c>
      <c r="Q13" s="822" t="s">
        <v>10803</v>
      </c>
    </row>
    <row r="14" spans="1:17" x14ac:dyDescent="0.2">
      <c r="A14" s="306" t="s">
        <v>10812</v>
      </c>
      <c r="B14" s="261" t="s">
        <v>10813</v>
      </c>
      <c r="C14" s="261" t="s">
        <v>10814</v>
      </c>
      <c r="D14" s="261">
        <v>3</v>
      </c>
      <c r="E14" s="261" t="s">
        <v>10801</v>
      </c>
      <c r="F14" s="261" t="s">
        <v>543</v>
      </c>
      <c r="G14" s="261" t="s">
        <v>10772</v>
      </c>
      <c r="H14" s="306">
        <v>40</v>
      </c>
      <c r="I14" s="330">
        <v>135</v>
      </c>
      <c r="J14" s="306">
        <v>40</v>
      </c>
      <c r="K14" s="330">
        <v>135</v>
      </c>
      <c r="L14" s="261" t="s">
        <v>10815</v>
      </c>
      <c r="M14" s="261"/>
      <c r="N14" s="261"/>
      <c r="O14" s="816">
        <v>1000</v>
      </c>
      <c r="P14" s="816" t="s">
        <v>137</v>
      </c>
      <c r="Q14" s="822" t="s">
        <v>10803</v>
      </c>
    </row>
    <row r="15" spans="1:17" x14ac:dyDescent="0.2">
      <c r="A15" s="306" t="s">
        <v>10816</v>
      </c>
      <c r="B15" s="261" t="s">
        <v>10817</v>
      </c>
      <c r="C15" s="261" t="s">
        <v>10818</v>
      </c>
      <c r="D15" s="261">
        <v>3</v>
      </c>
      <c r="E15" s="261" t="s">
        <v>10801</v>
      </c>
      <c r="F15" s="261" t="s">
        <v>645</v>
      </c>
      <c r="G15" s="261" t="s">
        <v>10772</v>
      </c>
      <c r="H15" s="306">
        <v>38</v>
      </c>
      <c r="I15" s="330">
        <v>136</v>
      </c>
      <c r="J15" s="306">
        <v>40</v>
      </c>
      <c r="K15" s="330">
        <v>140</v>
      </c>
      <c r="L15" s="261" t="s">
        <v>10819</v>
      </c>
      <c r="M15" s="261"/>
      <c r="N15" s="261"/>
      <c r="O15" s="816">
        <v>1000</v>
      </c>
      <c r="P15" s="816" t="s">
        <v>137</v>
      </c>
      <c r="Q15" s="822" t="s">
        <v>10803</v>
      </c>
    </row>
    <row r="16" spans="1:17" x14ac:dyDescent="0.2">
      <c r="A16" s="306" t="s">
        <v>10820</v>
      </c>
      <c r="B16" s="261" t="s">
        <v>10821</v>
      </c>
      <c r="C16" s="261" t="s">
        <v>10822</v>
      </c>
      <c r="D16" s="261">
        <v>3</v>
      </c>
      <c r="E16" s="261" t="s">
        <v>10801</v>
      </c>
      <c r="F16" s="261" t="s">
        <v>759</v>
      </c>
      <c r="G16" s="261" t="s">
        <v>10772</v>
      </c>
      <c r="H16" s="306">
        <v>36</v>
      </c>
      <c r="I16" s="330">
        <v>128</v>
      </c>
      <c r="J16" s="306">
        <v>40</v>
      </c>
      <c r="K16" s="330">
        <v>130</v>
      </c>
      <c r="L16" s="261" t="s">
        <v>10823</v>
      </c>
      <c r="M16" s="261"/>
      <c r="N16" s="261"/>
      <c r="O16" s="816">
        <v>1000</v>
      </c>
      <c r="P16" s="816" t="s">
        <v>137</v>
      </c>
      <c r="Q16" s="822" t="s">
        <v>10803</v>
      </c>
    </row>
    <row r="17" spans="1:17" x14ac:dyDescent="0.2">
      <c r="A17" s="306" t="s">
        <v>10824</v>
      </c>
      <c r="B17" s="261" t="s">
        <v>10825</v>
      </c>
      <c r="C17" s="261" t="s">
        <v>10826</v>
      </c>
      <c r="D17" s="261">
        <v>3</v>
      </c>
      <c r="E17" s="261" t="s">
        <v>10801</v>
      </c>
      <c r="F17" s="261" t="s">
        <v>839</v>
      </c>
      <c r="G17" s="261" t="s">
        <v>10772</v>
      </c>
      <c r="H17" s="306">
        <v>33</v>
      </c>
      <c r="I17" s="330">
        <v>141</v>
      </c>
      <c r="J17" s="306">
        <v>35</v>
      </c>
      <c r="K17" s="330">
        <v>145</v>
      </c>
      <c r="L17" s="261" t="s">
        <v>10827</v>
      </c>
      <c r="M17" s="261"/>
      <c r="N17" s="261"/>
      <c r="O17" s="816">
        <v>1000</v>
      </c>
      <c r="P17" s="816" t="s">
        <v>137</v>
      </c>
      <c r="Q17" s="822" t="s">
        <v>10803</v>
      </c>
    </row>
    <row r="18" spans="1:17" x14ac:dyDescent="0.2">
      <c r="A18" s="306" t="s">
        <v>10828</v>
      </c>
      <c r="B18" s="261" t="s">
        <v>10829</v>
      </c>
      <c r="C18" s="261" t="s">
        <v>10830</v>
      </c>
      <c r="D18" s="261">
        <v>3</v>
      </c>
      <c r="E18" s="261" t="s">
        <v>10801</v>
      </c>
      <c r="F18" s="261" t="s">
        <v>949</v>
      </c>
      <c r="G18" s="261" t="s">
        <v>10772</v>
      </c>
      <c r="H18" s="306">
        <v>44</v>
      </c>
      <c r="I18" s="330">
        <v>120</v>
      </c>
      <c r="J18" s="306">
        <v>45</v>
      </c>
      <c r="K18" s="330">
        <v>120</v>
      </c>
      <c r="L18" s="261" t="s">
        <v>10831</v>
      </c>
      <c r="M18" s="261"/>
      <c r="N18" s="261"/>
      <c r="O18" s="816">
        <v>1000</v>
      </c>
      <c r="P18" s="816" t="s">
        <v>137</v>
      </c>
      <c r="Q18" s="822" t="s">
        <v>10803</v>
      </c>
    </row>
    <row r="19" spans="1:17" x14ac:dyDescent="0.2">
      <c r="A19" s="306" t="s">
        <v>10832</v>
      </c>
      <c r="B19" s="261" t="s">
        <v>10833</v>
      </c>
      <c r="C19" s="261" t="s">
        <v>10834</v>
      </c>
      <c r="D19" s="261">
        <v>4</v>
      </c>
      <c r="E19" s="261" t="s">
        <v>10835</v>
      </c>
      <c r="F19" s="261" t="s">
        <v>123</v>
      </c>
      <c r="G19" s="261" t="s">
        <v>10772</v>
      </c>
      <c r="H19" s="306">
        <v>89</v>
      </c>
      <c r="I19" s="330">
        <v>323</v>
      </c>
      <c r="J19" s="306">
        <v>90</v>
      </c>
      <c r="K19" s="330">
        <v>325</v>
      </c>
      <c r="L19" s="261" t="s">
        <v>10836</v>
      </c>
      <c r="M19" s="261"/>
      <c r="N19" s="261"/>
      <c r="O19" s="816">
        <v>2500</v>
      </c>
      <c r="P19" s="816" t="s">
        <v>137</v>
      </c>
      <c r="Q19" s="822" t="s">
        <v>10837</v>
      </c>
    </row>
    <row r="20" spans="1:17" x14ac:dyDescent="0.2">
      <c r="A20" s="306" t="s">
        <v>10838</v>
      </c>
      <c r="B20" s="261" t="s">
        <v>10839</v>
      </c>
      <c r="C20" s="261" t="s">
        <v>10840</v>
      </c>
      <c r="D20" s="261">
        <v>4</v>
      </c>
      <c r="E20" s="261" t="s">
        <v>10835</v>
      </c>
      <c r="F20" s="261" t="s">
        <v>330</v>
      </c>
      <c r="G20" s="261" t="s">
        <v>10772</v>
      </c>
      <c r="H20" s="306">
        <v>75</v>
      </c>
      <c r="I20" s="330">
        <v>352</v>
      </c>
      <c r="J20" s="306">
        <v>75</v>
      </c>
      <c r="K20" s="330">
        <v>355</v>
      </c>
      <c r="L20" s="261" t="s">
        <v>10841</v>
      </c>
      <c r="M20" s="261"/>
      <c r="N20" s="261"/>
      <c r="O20" s="816">
        <v>2500</v>
      </c>
      <c r="P20" s="816" t="s">
        <v>137</v>
      </c>
      <c r="Q20" s="822" t="s">
        <v>10837</v>
      </c>
    </row>
    <row r="21" spans="1:17" x14ac:dyDescent="0.2">
      <c r="A21" s="306" t="s">
        <v>10842</v>
      </c>
      <c r="B21" s="261" t="s">
        <v>10843</v>
      </c>
      <c r="C21" s="261" t="s">
        <v>10844</v>
      </c>
      <c r="D21" s="261">
        <v>4</v>
      </c>
      <c r="E21" s="261" t="s">
        <v>10835</v>
      </c>
      <c r="F21" s="261" t="s">
        <v>429</v>
      </c>
      <c r="G21" s="261" t="s">
        <v>10772</v>
      </c>
      <c r="H21" s="306">
        <v>90</v>
      </c>
      <c r="I21" s="330">
        <v>316</v>
      </c>
      <c r="J21" s="306">
        <v>90</v>
      </c>
      <c r="K21" s="330">
        <v>320</v>
      </c>
      <c r="L21" s="261" t="s">
        <v>10845</v>
      </c>
      <c r="M21" s="261"/>
      <c r="N21" s="261"/>
      <c r="O21" s="816">
        <v>2500</v>
      </c>
      <c r="P21" s="816" t="s">
        <v>137</v>
      </c>
      <c r="Q21" s="822" t="s">
        <v>10837</v>
      </c>
    </row>
    <row r="22" spans="1:17" x14ac:dyDescent="0.2">
      <c r="A22" s="306" t="s">
        <v>10846</v>
      </c>
      <c r="B22" s="261" t="s">
        <v>10847</v>
      </c>
      <c r="C22" s="261" t="s">
        <v>10848</v>
      </c>
      <c r="D22" s="261">
        <v>4</v>
      </c>
      <c r="E22" s="261" t="s">
        <v>10835</v>
      </c>
      <c r="F22" s="261" t="s">
        <v>543</v>
      </c>
      <c r="G22" s="261" t="s">
        <v>10772</v>
      </c>
      <c r="H22" s="306">
        <v>96</v>
      </c>
      <c r="I22" s="330">
        <v>329</v>
      </c>
      <c r="J22" s="306">
        <v>100</v>
      </c>
      <c r="K22" s="330">
        <v>330</v>
      </c>
      <c r="L22" s="261" t="s">
        <v>10849</v>
      </c>
      <c r="M22" s="261"/>
      <c r="N22" s="261"/>
      <c r="O22" s="816">
        <v>2500</v>
      </c>
      <c r="P22" s="816" t="s">
        <v>137</v>
      </c>
      <c r="Q22" s="822" t="s">
        <v>10837</v>
      </c>
    </row>
    <row r="23" spans="1:17" x14ac:dyDescent="0.2">
      <c r="A23" s="306" t="s">
        <v>10850</v>
      </c>
      <c r="B23" s="261" t="s">
        <v>10851</v>
      </c>
      <c r="C23" s="261" t="s">
        <v>10852</v>
      </c>
      <c r="D23" s="261">
        <v>4</v>
      </c>
      <c r="E23" s="261" t="s">
        <v>10835</v>
      </c>
      <c r="F23" s="261" t="s">
        <v>645</v>
      </c>
      <c r="G23" s="261" t="s">
        <v>10772</v>
      </c>
      <c r="H23" s="306">
        <v>91</v>
      </c>
      <c r="I23" s="330">
        <v>329</v>
      </c>
      <c r="J23" s="306">
        <v>95</v>
      </c>
      <c r="K23" s="330">
        <v>330</v>
      </c>
      <c r="L23" s="261" t="s">
        <v>10853</v>
      </c>
      <c r="M23" s="261"/>
      <c r="N23" s="261"/>
      <c r="O23" s="816">
        <v>2500</v>
      </c>
      <c r="P23" s="816" t="s">
        <v>137</v>
      </c>
      <c r="Q23" s="822" t="s">
        <v>10837</v>
      </c>
    </row>
    <row r="24" spans="1:17" x14ac:dyDescent="0.2">
      <c r="A24" s="306" t="s">
        <v>10854</v>
      </c>
      <c r="B24" s="261" t="s">
        <v>10855</v>
      </c>
      <c r="C24" s="261" t="s">
        <v>10856</v>
      </c>
      <c r="D24" s="261">
        <v>4</v>
      </c>
      <c r="E24" s="261" t="s">
        <v>10835</v>
      </c>
      <c r="F24" s="261" t="s">
        <v>759</v>
      </c>
      <c r="G24" s="261" t="s">
        <v>10772</v>
      </c>
      <c r="H24" s="306">
        <v>87</v>
      </c>
      <c r="I24" s="330">
        <v>310</v>
      </c>
      <c r="J24" s="306">
        <v>90</v>
      </c>
      <c r="K24" s="330">
        <v>310</v>
      </c>
      <c r="L24" s="261" t="s">
        <v>10857</v>
      </c>
      <c r="M24" s="261"/>
      <c r="N24" s="261"/>
      <c r="O24" s="816">
        <v>2500</v>
      </c>
      <c r="P24" s="816" t="s">
        <v>137</v>
      </c>
      <c r="Q24" s="822" t="s">
        <v>10837</v>
      </c>
    </row>
    <row r="25" spans="1:17" x14ac:dyDescent="0.2">
      <c r="A25" s="306" t="s">
        <v>10858</v>
      </c>
      <c r="B25" s="261" t="s">
        <v>10859</v>
      </c>
      <c r="C25" s="261" t="s">
        <v>10860</v>
      </c>
      <c r="D25" s="261">
        <v>4</v>
      </c>
      <c r="E25" s="261" t="s">
        <v>10835</v>
      </c>
      <c r="F25" s="261" t="s">
        <v>839</v>
      </c>
      <c r="G25" s="261" t="s">
        <v>10772</v>
      </c>
      <c r="H25" s="306">
        <v>80</v>
      </c>
      <c r="I25" s="330">
        <v>342</v>
      </c>
      <c r="J25" s="306">
        <v>80</v>
      </c>
      <c r="K25" s="330">
        <v>345</v>
      </c>
      <c r="L25" s="261" t="s">
        <v>10861</v>
      </c>
      <c r="M25" s="261"/>
      <c r="N25" s="261"/>
      <c r="O25" s="816">
        <v>2500</v>
      </c>
      <c r="P25" s="816" t="s">
        <v>137</v>
      </c>
      <c r="Q25" s="822" t="s">
        <v>10837</v>
      </c>
    </row>
    <row r="26" spans="1:17" x14ac:dyDescent="0.2">
      <c r="A26" s="306" t="s">
        <v>10862</v>
      </c>
      <c r="B26" s="261" t="s">
        <v>10863</v>
      </c>
      <c r="C26" s="261" t="s">
        <v>10864</v>
      </c>
      <c r="D26" s="261">
        <v>4</v>
      </c>
      <c r="E26" s="261" t="s">
        <v>10835</v>
      </c>
      <c r="F26" s="261" t="s">
        <v>949</v>
      </c>
      <c r="G26" s="261" t="s">
        <v>10772</v>
      </c>
      <c r="H26" s="306">
        <v>106</v>
      </c>
      <c r="I26" s="330">
        <v>291</v>
      </c>
      <c r="J26" s="306">
        <v>110</v>
      </c>
      <c r="K26" s="330">
        <v>295</v>
      </c>
      <c r="L26" s="261" t="s">
        <v>10865</v>
      </c>
      <c r="M26" s="261"/>
      <c r="N26" s="261"/>
      <c r="O26" s="816">
        <v>2500</v>
      </c>
      <c r="P26" s="816" t="s">
        <v>137</v>
      </c>
      <c r="Q26" s="822" t="s">
        <v>10837</v>
      </c>
    </row>
    <row r="27" spans="1:17" x14ac:dyDescent="0.2">
      <c r="A27" s="306" t="s">
        <v>10866</v>
      </c>
      <c r="B27" s="261" t="s">
        <v>10867</v>
      </c>
      <c r="C27" s="261" t="s">
        <v>10868</v>
      </c>
      <c r="D27" s="261">
        <v>4</v>
      </c>
      <c r="E27" s="261" t="s">
        <v>10835</v>
      </c>
      <c r="F27" s="261" t="s">
        <v>1054</v>
      </c>
      <c r="G27" s="261" t="s">
        <v>10772</v>
      </c>
      <c r="H27" s="306">
        <v>82</v>
      </c>
      <c r="I27" s="330">
        <v>335</v>
      </c>
      <c r="J27" s="306">
        <v>85</v>
      </c>
      <c r="K27" s="330">
        <v>335</v>
      </c>
      <c r="L27" s="261" t="s">
        <v>10869</v>
      </c>
      <c r="M27" s="261"/>
      <c r="N27" s="261"/>
      <c r="O27" s="816">
        <v>2500</v>
      </c>
      <c r="P27" s="816" t="s">
        <v>137</v>
      </c>
      <c r="Q27" s="822" t="s">
        <v>10837</v>
      </c>
    </row>
    <row r="28" spans="1:17" x14ac:dyDescent="0.2">
      <c r="A28" s="306" t="s">
        <v>10870</v>
      </c>
      <c r="B28" s="261" t="s">
        <v>10871</v>
      </c>
      <c r="C28" s="261" t="s">
        <v>10872</v>
      </c>
      <c r="D28" s="261">
        <v>5</v>
      </c>
      <c r="E28" s="261" t="s">
        <v>10873</v>
      </c>
      <c r="F28" s="261" t="s">
        <v>123</v>
      </c>
      <c r="G28" s="261" t="s">
        <v>10772</v>
      </c>
      <c r="H28" s="306">
        <v>126</v>
      </c>
      <c r="I28" s="330">
        <v>452</v>
      </c>
      <c r="J28" s="306">
        <v>130</v>
      </c>
      <c r="K28" s="330">
        <v>455</v>
      </c>
      <c r="L28" s="261" t="s">
        <v>10874</v>
      </c>
      <c r="M28" s="261"/>
      <c r="N28" s="261"/>
      <c r="O28" s="816">
        <v>5000</v>
      </c>
      <c r="P28" s="816" t="s">
        <v>137</v>
      </c>
      <c r="Q28" s="822" t="s">
        <v>10875</v>
      </c>
    </row>
    <row r="29" spans="1:17" x14ac:dyDescent="0.2">
      <c r="A29" s="306" t="s">
        <v>10876</v>
      </c>
      <c r="B29" s="261" t="s">
        <v>10877</v>
      </c>
      <c r="C29" s="261" t="s">
        <v>10878</v>
      </c>
      <c r="D29" s="261">
        <v>5</v>
      </c>
      <c r="E29" s="261" t="s">
        <v>10873</v>
      </c>
      <c r="F29" s="261" t="s">
        <v>330</v>
      </c>
      <c r="G29" s="261" t="s">
        <v>10772</v>
      </c>
      <c r="H29" s="306">
        <v>105</v>
      </c>
      <c r="I29" s="330">
        <v>494</v>
      </c>
      <c r="J29" s="306">
        <v>105</v>
      </c>
      <c r="K29" s="330">
        <v>500</v>
      </c>
      <c r="L29" s="261" t="s">
        <v>10879</v>
      </c>
      <c r="M29" s="261"/>
      <c r="N29" s="261"/>
      <c r="O29" s="816">
        <v>5000</v>
      </c>
      <c r="P29" s="816" t="s">
        <v>137</v>
      </c>
      <c r="Q29" s="822" t="s">
        <v>10875</v>
      </c>
    </row>
    <row r="30" spans="1:17" x14ac:dyDescent="0.2">
      <c r="A30" s="306" t="s">
        <v>10880</v>
      </c>
      <c r="B30" s="261" t="s">
        <v>10881</v>
      </c>
      <c r="C30" s="261" t="s">
        <v>10882</v>
      </c>
      <c r="D30" s="261">
        <v>5</v>
      </c>
      <c r="E30" s="261" t="s">
        <v>10873</v>
      </c>
      <c r="F30" s="261" t="s">
        <v>429</v>
      </c>
      <c r="G30" s="261" t="s">
        <v>10772</v>
      </c>
      <c r="H30" s="306">
        <v>127</v>
      </c>
      <c r="I30" s="330">
        <v>443</v>
      </c>
      <c r="J30" s="306">
        <v>130</v>
      </c>
      <c r="K30" s="330">
        <v>445</v>
      </c>
      <c r="L30" s="261" t="s">
        <v>10883</v>
      </c>
      <c r="M30" s="261"/>
      <c r="N30" s="261"/>
      <c r="O30" s="816">
        <v>5000</v>
      </c>
      <c r="P30" s="816" t="s">
        <v>137</v>
      </c>
      <c r="Q30" s="822" t="s">
        <v>10875</v>
      </c>
    </row>
    <row r="31" spans="1:17" x14ac:dyDescent="0.2">
      <c r="A31" s="306" t="s">
        <v>10884</v>
      </c>
      <c r="B31" s="261" t="s">
        <v>10885</v>
      </c>
      <c r="C31" s="261" t="s">
        <v>10886</v>
      </c>
      <c r="D31" s="261">
        <v>5</v>
      </c>
      <c r="E31" s="261" t="s">
        <v>10873</v>
      </c>
      <c r="F31" s="261" t="s">
        <v>543</v>
      </c>
      <c r="G31" s="261" t="s">
        <v>10772</v>
      </c>
      <c r="H31" s="306">
        <v>136</v>
      </c>
      <c r="I31" s="330">
        <v>461</v>
      </c>
      <c r="J31" s="306">
        <v>140</v>
      </c>
      <c r="K31" s="330">
        <v>465</v>
      </c>
      <c r="L31" s="261" t="s">
        <v>10887</v>
      </c>
      <c r="M31" s="261"/>
      <c r="N31" s="261"/>
      <c r="O31" s="816">
        <v>5000</v>
      </c>
      <c r="P31" s="816" t="s">
        <v>137</v>
      </c>
      <c r="Q31" s="822" t="s">
        <v>10875</v>
      </c>
    </row>
    <row r="32" spans="1:17" x14ac:dyDescent="0.2">
      <c r="A32" s="306" t="s">
        <v>10888</v>
      </c>
      <c r="B32" s="261" t="s">
        <v>10889</v>
      </c>
      <c r="C32" s="261" t="s">
        <v>10890</v>
      </c>
      <c r="D32" s="261">
        <v>5</v>
      </c>
      <c r="E32" s="261" t="s">
        <v>10873</v>
      </c>
      <c r="F32" s="261" t="s">
        <v>645</v>
      </c>
      <c r="G32" s="261" t="s">
        <v>10772</v>
      </c>
      <c r="H32" s="306">
        <v>128</v>
      </c>
      <c r="I32" s="330">
        <v>461</v>
      </c>
      <c r="J32" s="306">
        <v>130</v>
      </c>
      <c r="K32" s="330">
        <v>465</v>
      </c>
      <c r="L32" s="261" t="s">
        <v>10891</v>
      </c>
      <c r="M32" s="261"/>
      <c r="N32" s="261"/>
      <c r="O32" s="816">
        <v>5000</v>
      </c>
      <c r="P32" s="816" t="s">
        <v>137</v>
      </c>
      <c r="Q32" s="822" t="s">
        <v>10875</v>
      </c>
    </row>
    <row r="33" spans="1:17" x14ac:dyDescent="0.2">
      <c r="A33" s="306" t="s">
        <v>10892</v>
      </c>
      <c r="B33" s="261" t="s">
        <v>10893</v>
      </c>
      <c r="C33" s="261" t="s">
        <v>10894</v>
      </c>
      <c r="D33" s="261">
        <v>5</v>
      </c>
      <c r="E33" s="261" t="s">
        <v>10873</v>
      </c>
      <c r="F33" s="261" t="s">
        <v>759</v>
      </c>
      <c r="G33" s="261" t="s">
        <v>10772</v>
      </c>
      <c r="H33" s="306">
        <v>123</v>
      </c>
      <c r="I33" s="330">
        <v>434</v>
      </c>
      <c r="J33" s="306">
        <v>165</v>
      </c>
      <c r="K33" s="330">
        <v>590</v>
      </c>
      <c r="L33" s="261" t="s">
        <v>10895</v>
      </c>
      <c r="M33" s="261"/>
      <c r="N33" s="261"/>
      <c r="O33" s="816">
        <v>5000</v>
      </c>
      <c r="P33" s="816" t="s">
        <v>137</v>
      </c>
      <c r="Q33" s="822" t="s">
        <v>10875</v>
      </c>
    </row>
    <row r="34" spans="1:17" x14ac:dyDescent="0.2">
      <c r="A34" s="306" t="s">
        <v>10896</v>
      </c>
      <c r="B34" s="261" t="s">
        <v>10897</v>
      </c>
      <c r="C34" s="261" t="s">
        <v>10898</v>
      </c>
      <c r="D34" s="261">
        <v>5</v>
      </c>
      <c r="E34" s="261" t="s">
        <v>10873</v>
      </c>
      <c r="F34" s="261" t="s">
        <v>839</v>
      </c>
      <c r="G34" s="261" t="s">
        <v>10772</v>
      </c>
      <c r="H34" s="306">
        <v>112</v>
      </c>
      <c r="I34" s="330">
        <v>480</v>
      </c>
      <c r="J34" s="306">
        <v>115</v>
      </c>
      <c r="K34" s="330">
        <v>480</v>
      </c>
      <c r="L34" s="261" t="s">
        <v>10899</v>
      </c>
      <c r="M34" s="261"/>
      <c r="N34" s="261"/>
      <c r="O34" s="816">
        <v>5000</v>
      </c>
      <c r="P34" s="816" t="s">
        <v>137</v>
      </c>
      <c r="Q34" s="822" t="s">
        <v>10875</v>
      </c>
    </row>
    <row r="35" spans="1:17" x14ac:dyDescent="0.2">
      <c r="A35" s="306" t="s">
        <v>10900</v>
      </c>
      <c r="B35" s="261" t="s">
        <v>10901</v>
      </c>
      <c r="C35" s="261" t="s">
        <v>10902</v>
      </c>
      <c r="D35" s="261">
        <v>5</v>
      </c>
      <c r="E35" s="261" t="s">
        <v>10873</v>
      </c>
      <c r="F35" s="261" t="s">
        <v>949</v>
      </c>
      <c r="G35" s="261" t="s">
        <v>10772</v>
      </c>
      <c r="H35" s="306">
        <v>149</v>
      </c>
      <c r="I35" s="330">
        <v>408</v>
      </c>
      <c r="J35" s="306">
        <v>150</v>
      </c>
      <c r="K35" s="330">
        <v>410</v>
      </c>
      <c r="L35" s="261" t="s">
        <v>10903</v>
      </c>
      <c r="M35" s="261"/>
      <c r="N35" s="261"/>
      <c r="O35" s="816">
        <v>5000</v>
      </c>
      <c r="P35" s="816" t="s">
        <v>137</v>
      </c>
      <c r="Q35" s="822" t="s">
        <v>10875</v>
      </c>
    </row>
    <row r="36" spans="1:17" x14ac:dyDescent="0.2">
      <c r="A36" s="306" t="s">
        <v>10904</v>
      </c>
      <c r="B36" s="261" t="s">
        <v>10905</v>
      </c>
      <c r="C36" s="261" t="s">
        <v>10906</v>
      </c>
      <c r="D36" s="261">
        <v>5</v>
      </c>
      <c r="E36" s="261" t="s">
        <v>10873</v>
      </c>
      <c r="F36" s="261" t="s">
        <v>1054</v>
      </c>
      <c r="G36" s="261" t="s">
        <v>10772</v>
      </c>
      <c r="H36" s="306">
        <v>116</v>
      </c>
      <c r="I36" s="330">
        <v>470</v>
      </c>
      <c r="J36" s="306">
        <v>120</v>
      </c>
      <c r="K36" s="330">
        <v>470</v>
      </c>
      <c r="L36" s="261" t="s">
        <v>10907</v>
      </c>
      <c r="M36" s="261"/>
      <c r="N36" s="261"/>
      <c r="O36" s="816">
        <v>5000</v>
      </c>
      <c r="P36" s="816" t="s">
        <v>137</v>
      </c>
      <c r="Q36" s="822" t="s">
        <v>10875</v>
      </c>
    </row>
    <row r="37" spans="1:17" x14ac:dyDescent="0.2">
      <c r="A37" s="306" t="s">
        <v>10908</v>
      </c>
      <c r="B37" s="261" t="s">
        <v>10909</v>
      </c>
      <c r="C37" s="261" t="s">
        <v>10910</v>
      </c>
      <c r="D37" s="261">
        <v>5</v>
      </c>
      <c r="E37" s="261" t="s">
        <v>10911</v>
      </c>
      <c r="F37" s="261" t="s">
        <v>123</v>
      </c>
      <c r="G37" s="261" t="s">
        <v>122</v>
      </c>
      <c r="H37" s="306">
        <v>157</v>
      </c>
      <c r="I37" s="330">
        <v>612</v>
      </c>
      <c r="J37" s="306">
        <v>175</v>
      </c>
      <c r="K37" s="330">
        <v>615</v>
      </c>
      <c r="L37" s="261" t="s">
        <v>10912</v>
      </c>
      <c r="M37" s="261"/>
      <c r="N37" s="261"/>
      <c r="O37" s="816">
        <v>10000</v>
      </c>
      <c r="P37" s="816" t="s">
        <v>10913</v>
      </c>
      <c r="Q37" s="822" t="s">
        <v>10914</v>
      </c>
    </row>
    <row r="38" spans="1:17" x14ac:dyDescent="0.2">
      <c r="A38" s="306" t="s">
        <v>10915</v>
      </c>
      <c r="B38" s="261" t="s">
        <v>10916</v>
      </c>
      <c r="C38" s="261" t="s">
        <v>10917</v>
      </c>
      <c r="D38" s="261">
        <v>5</v>
      </c>
      <c r="E38" s="261" t="s">
        <v>10911</v>
      </c>
      <c r="F38" s="261" t="s">
        <v>330</v>
      </c>
      <c r="G38" s="261" t="s">
        <v>122</v>
      </c>
      <c r="H38" s="306">
        <v>145</v>
      </c>
      <c r="I38" s="330">
        <v>630</v>
      </c>
      <c r="J38" s="306">
        <v>160</v>
      </c>
      <c r="K38" s="330">
        <v>650</v>
      </c>
      <c r="L38" s="261" t="s">
        <v>10918</v>
      </c>
      <c r="M38" s="261"/>
      <c r="N38" s="261"/>
      <c r="O38" s="816">
        <v>10000</v>
      </c>
      <c r="P38" s="816" t="s">
        <v>10913</v>
      </c>
      <c r="Q38" s="822" t="s">
        <v>10919</v>
      </c>
    </row>
    <row r="39" spans="1:17" x14ac:dyDescent="0.2">
      <c r="A39" s="306" t="s">
        <v>10920</v>
      </c>
      <c r="B39" s="261" t="s">
        <v>10921</v>
      </c>
      <c r="C39" s="261" t="s">
        <v>10922</v>
      </c>
      <c r="D39" s="261">
        <v>5</v>
      </c>
      <c r="E39" s="261" t="s">
        <v>10911</v>
      </c>
      <c r="F39" s="261" t="s">
        <v>429</v>
      </c>
      <c r="G39" s="261" t="s">
        <v>122</v>
      </c>
      <c r="H39" s="306">
        <v>158</v>
      </c>
      <c r="I39" s="330">
        <v>600</v>
      </c>
      <c r="J39" s="306">
        <v>170</v>
      </c>
      <c r="K39" s="330">
        <v>600</v>
      </c>
      <c r="L39" s="261" t="s">
        <v>10923</v>
      </c>
      <c r="M39" s="261"/>
      <c r="N39" s="261"/>
      <c r="O39" s="816">
        <v>10000</v>
      </c>
      <c r="P39" s="816" t="s">
        <v>10913</v>
      </c>
      <c r="Q39" s="822" t="s">
        <v>10924</v>
      </c>
    </row>
    <row r="40" spans="1:17" x14ac:dyDescent="0.2">
      <c r="A40" s="306" t="s">
        <v>10925</v>
      </c>
      <c r="B40" s="261" t="s">
        <v>10926</v>
      </c>
      <c r="C40" s="261" t="s">
        <v>10927</v>
      </c>
      <c r="D40" s="261">
        <v>5</v>
      </c>
      <c r="E40" s="261" t="s">
        <v>10911</v>
      </c>
      <c r="F40" s="261" t="s">
        <v>543</v>
      </c>
      <c r="G40" s="261" t="s">
        <v>122</v>
      </c>
      <c r="H40" s="306">
        <v>170</v>
      </c>
      <c r="I40" s="330">
        <v>624</v>
      </c>
      <c r="J40" s="306">
        <v>170</v>
      </c>
      <c r="K40" s="330">
        <v>625</v>
      </c>
      <c r="L40" s="261" t="s">
        <v>10928</v>
      </c>
      <c r="M40" s="261"/>
      <c r="N40" s="261"/>
      <c r="O40" s="816">
        <v>10000</v>
      </c>
      <c r="P40" s="816" t="s">
        <v>10913</v>
      </c>
      <c r="Q40" s="822" t="s">
        <v>10929</v>
      </c>
    </row>
    <row r="41" spans="1:17" x14ac:dyDescent="0.2">
      <c r="A41" s="306" t="s">
        <v>10930</v>
      </c>
      <c r="B41" s="261" t="s">
        <v>10931</v>
      </c>
      <c r="C41" s="261" t="s">
        <v>10932</v>
      </c>
      <c r="D41" s="261">
        <v>5</v>
      </c>
      <c r="E41" s="261" t="s">
        <v>10911</v>
      </c>
      <c r="F41" s="261" t="s">
        <v>645</v>
      </c>
      <c r="G41" s="261" t="s">
        <v>122</v>
      </c>
      <c r="H41" s="306">
        <v>160</v>
      </c>
      <c r="I41" s="330">
        <v>624</v>
      </c>
      <c r="J41" s="306">
        <v>185</v>
      </c>
      <c r="K41" s="330">
        <v>625</v>
      </c>
      <c r="L41" s="261" t="s">
        <v>10933</v>
      </c>
      <c r="M41" s="261"/>
      <c r="N41" s="261"/>
      <c r="O41" s="816">
        <v>10000</v>
      </c>
      <c r="P41" s="816" t="s">
        <v>10913</v>
      </c>
      <c r="Q41" s="822" t="s">
        <v>10934</v>
      </c>
    </row>
    <row r="42" spans="1:17" x14ac:dyDescent="0.2">
      <c r="A42" s="306" t="s">
        <v>10935</v>
      </c>
      <c r="B42" s="261" t="s">
        <v>10936</v>
      </c>
      <c r="C42" s="261" t="s">
        <v>10937</v>
      </c>
      <c r="D42" s="261">
        <v>5</v>
      </c>
      <c r="E42" s="261" t="s">
        <v>10911</v>
      </c>
      <c r="F42" s="261" t="s">
        <v>759</v>
      </c>
      <c r="G42" s="261" t="s">
        <v>122</v>
      </c>
      <c r="H42" s="306">
        <v>162</v>
      </c>
      <c r="I42" s="330">
        <v>570</v>
      </c>
      <c r="J42" s="306">
        <v>165</v>
      </c>
      <c r="K42" s="330">
        <v>590</v>
      </c>
      <c r="L42" s="261" t="s">
        <v>10938</v>
      </c>
      <c r="M42" s="261"/>
      <c r="N42" s="261"/>
      <c r="O42" s="816">
        <v>10000</v>
      </c>
      <c r="P42" s="816" t="s">
        <v>10913</v>
      </c>
      <c r="Q42" s="822" t="s">
        <v>10939</v>
      </c>
    </row>
    <row r="43" spans="1:17" x14ac:dyDescent="0.2">
      <c r="A43" s="306" t="s">
        <v>10940</v>
      </c>
      <c r="B43" s="261" t="s">
        <v>10941</v>
      </c>
      <c r="C43" s="261" t="s">
        <v>10942</v>
      </c>
      <c r="D43" s="261">
        <v>5</v>
      </c>
      <c r="E43" s="261" t="s">
        <v>10911</v>
      </c>
      <c r="F43" s="261" t="s">
        <v>839</v>
      </c>
      <c r="G43" s="261" t="s">
        <v>122</v>
      </c>
      <c r="H43" s="306">
        <v>168</v>
      </c>
      <c r="I43" s="330">
        <v>581</v>
      </c>
      <c r="J43" s="306">
        <v>170</v>
      </c>
      <c r="K43" s="330">
        <v>630</v>
      </c>
      <c r="L43" s="261" t="s">
        <v>10943</v>
      </c>
      <c r="M43" s="261"/>
      <c r="N43" s="261"/>
      <c r="O43" s="816">
        <v>10000</v>
      </c>
      <c r="P43" s="816" t="s">
        <v>10913</v>
      </c>
      <c r="Q43" s="822" t="s">
        <v>10944</v>
      </c>
    </row>
    <row r="44" spans="1:17" x14ac:dyDescent="0.2">
      <c r="A44" s="306" t="s">
        <v>10945</v>
      </c>
      <c r="B44" s="261" t="s">
        <v>10946</v>
      </c>
      <c r="C44" s="261" t="s">
        <v>10947</v>
      </c>
      <c r="D44" s="261">
        <v>5</v>
      </c>
      <c r="E44" s="261" t="s">
        <v>10911</v>
      </c>
      <c r="F44" s="261" t="s">
        <v>949</v>
      </c>
      <c r="G44" s="261" t="s">
        <v>122</v>
      </c>
      <c r="H44" s="306">
        <v>196</v>
      </c>
      <c r="I44" s="330">
        <v>536</v>
      </c>
      <c r="J44" s="306">
        <v>200</v>
      </c>
      <c r="K44" s="330">
        <v>565</v>
      </c>
      <c r="L44" s="261" t="s">
        <v>10948</v>
      </c>
      <c r="M44" s="261"/>
      <c r="N44" s="261"/>
      <c r="O44" s="816">
        <v>10000</v>
      </c>
      <c r="P44" s="816" t="s">
        <v>10913</v>
      </c>
      <c r="Q44" s="822" t="s">
        <v>10949</v>
      </c>
    </row>
    <row r="45" spans="1:17" x14ac:dyDescent="0.2">
      <c r="A45" s="306" t="s">
        <v>10950</v>
      </c>
      <c r="B45" s="261" t="s">
        <v>10951</v>
      </c>
      <c r="C45" s="261" t="s">
        <v>10952</v>
      </c>
      <c r="D45" s="261">
        <v>5</v>
      </c>
      <c r="E45" s="261" t="s">
        <v>10911</v>
      </c>
      <c r="F45" s="261" t="s">
        <v>1054</v>
      </c>
      <c r="G45" s="261" t="s">
        <v>122</v>
      </c>
      <c r="H45" s="306">
        <v>144</v>
      </c>
      <c r="I45" s="330">
        <v>636</v>
      </c>
      <c r="J45" s="306">
        <v>165</v>
      </c>
      <c r="K45" s="330">
        <v>620</v>
      </c>
      <c r="L45" s="261" t="s">
        <v>10953</v>
      </c>
      <c r="M45" s="261"/>
      <c r="N45" s="261"/>
      <c r="O45" s="816">
        <v>10000</v>
      </c>
      <c r="P45" s="816" t="s">
        <v>10913</v>
      </c>
      <c r="Q45" s="822" t="s">
        <v>10954</v>
      </c>
    </row>
    <row r="46" spans="1:17" x14ac:dyDescent="0.2">
      <c r="A46" s="306" t="s">
        <v>10955</v>
      </c>
      <c r="B46" s="261" t="s">
        <v>10956</v>
      </c>
      <c r="C46" s="261" t="s">
        <v>10957</v>
      </c>
      <c r="D46" s="261">
        <v>5</v>
      </c>
      <c r="E46" s="261" t="s">
        <v>10911</v>
      </c>
      <c r="F46" s="261" t="s">
        <v>123</v>
      </c>
      <c r="G46" s="261" t="s">
        <v>1103</v>
      </c>
      <c r="H46" s="306">
        <v>157</v>
      </c>
      <c r="I46" s="330">
        <v>612</v>
      </c>
      <c r="J46" s="306">
        <v>175</v>
      </c>
      <c r="K46" s="330">
        <v>615</v>
      </c>
      <c r="L46" s="261" t="s">
        <v>10958</v>
      </c>
      <c r="M46" s="261"/>
      <c r="N46" s="261"/>
      <c r="O46" s="816">
        <v>10000</v>
      </c>
      <c r="P46" s="816" t="s">
        <v>10913</v>
      </c>
      <c r="Q46" s="822" t="s">
        <v>10914</v>
      </c>
    </row>
    <row r="47" spans="1:17" x14ac:dyDescent="0.2">
      <c r="A47" s="306" t="s">
        <v>10959</v>
      </c>
      <c r="B47" s="261" t="s">
        <v>10960</v>
      </c>
      <c r="C47" s="261" t="s">
        <v>10961</v>
      </c>
      <c r="D47" s="261">
        <v>5</v>
      </c>
      <c r="E47" s="261" t="s">
        <v>10911</v>
      </c>
      <c r="F47" s="261" t="s">
        <v>330</v>
      </c>
      <c r="G47" s="261" t="s">
        <v>1103</v>
      </c>
      <c r="H47" s="306">
        <v>157</v>
      </c>
      <c r="I47" s="330">
        <v>598</v>
      </c>
      <c r="J47" s="306">
        <v>160</v>
      </c>
      <c r="K47" s="330">
        <v>650</v>
      </c>
      <c r="L47" s="261" t="s">
        <v>10962</v>
      </c>
      <c r="M47" s="261"/>
      <c r="N47" s="261"/>
      <c r="O47" s="816">
        <v>10000</v>
      </c>
      <c r="P47" s="816" t="s">
        <v>10913</v>
      </c>
      <c r="Q47" s="822" t="s">
        <v>10919</v>
      </c>
    </row>
    <row r="48" spans="1:17" x14ac:dyDescent="0.2">
      <c r="A48" s="306" t="s">
        <v>10963</v>
      </c>
      <c r="B48" s="261" t="s">
        <v>10964</v>
      </c>
      <c r="C48" s="261" t="s">
        <v>10965</v>
      </c>
      <c r="D48" s="261">
        <v>5</v>
      </c>
      <c r="E48" s="261" t="s">
        <v>10911</v>
      </c>
      <c r="F48" s="261" t="s">
        <v>429</v>
      </c>
      <c r="G48" s="261" t="s">
        <v>1103</v>
      </c>
      <c r="H48" s="306">
        <v>167</v>
      </c>
      <c r="I48" s="330">
        <v>582</v>
      </c>
      <c r="J48" s="306">
        <v>170</v>
      </c>
      <c r="K48" s="330">
        <v>600</v>
      </c>
      <c r="L48" s="261" t="s">
        <v>10966</v>
      </c>
      <c r="M48" s="261"/>
      <c r="N48" s="261"/>
      <c r="O48" s="816">
        <v>10000</v>
      </c>
      <c r="P48" s="816" t="s">
        <v>10913</v>
      </c>
      <c r="Q48" s="822" t="s">
        <v>10924</v>
      </c>
    </row>
    <row r="49" spans="1:17" x14ac:dyDescent="0.2">
      <c r="A49" s="306" t="s">
        <v>10967</v>
      </c>
      <c r="B49" s="261" t="s">
        <v>10968</v>
      </c>
      <c r="C49" s="261" t="s">
        <v>10969</v>
      </c>
      <c r="D49" s="261">
        <v>5</v>
      </c>
      <c r="E49" s="261" t="s">
        <v>10911</v>
      </c>
      <c r="F49" s="261" t="s">
        <v>543</v>
      </c>
      <c r="G49" s="261" t="s">
        <v>1103</v>
      </c>
      <c r="H49" s="306">
        <v>161</v>
      </c>
      <c r="I49" s="330">
        <v>642</v>
      </c>
      <c r="J49" s="306">
        <v>170</v>
      </c>
      <c r="K49" s="330">
        <v>645</v>
      </c>
      <c r="L49" s="261" t="s">
        <v>10970</v>
      </c>
      <c r="M49" s="261"/>
      <c r="N49" s="261"/>
      <c r="O49" s="816">
        <v>10000</v>
      </c>
      <c r="P49" s="816" t="s">
        <v>10913</v>
      </c>
      <c r="Q49" s="822" t="s">
        <v>10929</v>
      </c>
    </row>
    <row r="50" spans="1:17" x14ac:dyDescent="0.2">
      <c r="A50" s="306" t="s">
        <v>10971</v>
      </c>
      <c r="B50" s="261" t="s">
        <v>10972</v>
      </c>
      <c r="C50" s="261" t="s">
        <v>10973</v>
      </c>
      <c r="D50" s="261">
        <v>5</v>
      </c>
      <c r="E50" s="261" t="s">
        <v>10911</v>
      </c>
      <c r="F50" s="261" t="s">
        <v>645</v>
      </c>
      <c r="G50" s="261" t="s">
        <v>1103</v>
      </c>
      <c r="H50" s="306">
        <v>182</v>
      </c>
      <c r="I50" s="330">
        <v>576</v>
      </c>
      <c r="J50" s="306">
        <v>185</v>
      </c>
      <c r="K50" s="330">
        <v>625</v>
      </c>
      <c r="L50" s="261" t="s">
        <v>10974</v>
      </c>
      <c r="M50" s="261"/>
      <c r="N50" s="261"/>
      <c r="O50" s="816">
        <v>10000</v>
      </c>
      <c r="P50" s="816" t="s">
        <v>10913</v>
      </c>
      <c r="Q50" s="822" t="s">
        <v>10934</v>
      </c>
    </row>
    <row r="51" spans="1:17" x14ac:dyDescent="0.2">
      <c r="A51" s="306" t="s">
        <v>10975</v>
      </c>
      <c r="B51" s="261" t="s">
        <v>10750</v>
      </c>
      <c r="C51" s="261" t="s">
        <v>10976</v>
      </c>
      <c r="D51" s="261">
        <v>5</v>
      </c>
      <c r="E51" s="261" t="s">
        <v>10911</v>
      </c>
      <c r="F51" s="261" t="s">
        <v>759</v>
      </c>
      <c r="G51" s="261" t="s">
        <v>1103</v>
      </c>
      <c r="H51" s="306">
        <v>162</v>
      </c>
      <c r="I51" s="330">
        <v>570</v>
      </c>
      <c r="J51" s="306">
        <v>165</v>
      </c>
      <c r="K51" s="330">
        <v>590</v>
      </c>
      <c r="L51" s="261" t="s">
        <v>10977</v>
      </c>
      <c r="M51" s="261"/>
      <c r="N51" s="261"/>
      <c r="O51" s="816">
        <v>10000</v>
      </c>
      <c r="P51" s="816" t="s">
        <v>10913</v>
      </c>
      <c r="Q51" s="822" t="s">
        <v>10939</v>
      </c>
    </row>
    <row r="52" spans="1:17" x14ac:dyDescent="0.2">
      <c r="A52" s="306" t="s">
        <v>10978</v>
      </c>
      <c r="B52" s="261" t="s">
        <v>10979</v>
      </c>
      <c r="C52" s="261" t="s">
        <v>10980</v>
      </c>
      <c r="D52" s="261">
        <v>5</v>
      </c>
      <c r="E52" s="261" t="s">
        <v>10911</v>
      </c>
      <c r="F52" s="261" t="s">
        <v>839</v>
      </c>
      <c r="G52" s="261" t="s">
        <v>1103</v>
      </c>
      <c r="H52" s="306">
        <v>147</v>
      </c>
      <c r="I52" s="330">
        <v>630</v>
      </c>
      <c r="J52" s="306">
        <v>170</v>
      </c>
      <c r="K52" s="330">
        <v>630</v>
      </c>
      <c r="L52" s="261" t="s">
        <v>10981</v>
      </c>
      <c r="M52" s="261"/>
      <c r="N52" s="261"/>
      <c r="O52" s="816">
        <v>10000</v>
      </c>
      <c r="P52" s="816" t="s">
        <v>10913</v>
      </c>
      <c r="Q52" s="822" t="s">
        <v>10944</v>
      </c>
    </row>
    <row r="53" spans="1:17" x14ac:dyDescent="0.2">
      <c r="A53" s="306" t="s">
        <v>10982</v>
      </c>
      <c r="B53" s="261" t="s">
        <v>10983</v>
      </c>
      <c r="C53" s="261" t="s">
        <v>10984</v>
      </c>
      <c r="D53" s="261">
        <v>5</v>
      </c>
      <c r="E53" s="261" t="s">
        <v>10911</v>
      </c>
      <c r="F53" s="261" t="s">
        <v>949</v>
      </c>
      <c r="G53" s="261" t="s">
        <v>1103</v>
      </c>
      <c r="H53" s="306">
        <v>196</v>
      </c>
      <c r="I53" s="330">
        <v>536</v>
      </c>
      <c r="J53" s="306">
        <v>200</v>
      </c>
      <c r="K53" s="330">
        <v>565</v>
      </c>
      <c r="L53" s="261" t="s">
        <v>10985</v>
      </c>
      <c r="M53" s="261"/>
      <c r="N53" s="261"/>
      <c r="O53" s="816">
        <v>10000</v>
      </c>
      <c r="P53" s="816" t="s">
        <v>10913</v>
      </c>
      <c r="Q53" s="822" t="s">
        <v>10949</v>
      </c>
    </row>
    <row r="54" spans="1:17" x14ac:dyDescent="0.2">
      <c r="A54" s="306" t="s">
        <v>10986</v>
      </c>
      <c r="B54" s="261" t="s">
        <v>10987</v>
      </c>
      <c r="C54" s="261" t="s">
        <v>10988</v>
      </c>
      <c r="D54" s="261">
        <v>5</v>
      </c>
      <c r="E54" s="261" t="s">
        <v>10911</v>
      </c>
      <c r="F54" s="261" t="s">
        <v>1054</v>
      </c>
      <c r="G54" s="261" t="s">
        <v>1103</v>
      </c>
      <c r="H54" s="306">
        <v>164</v>
      </c>
      <c r="I54" s="330">
        <v>587</v>
      </c>
      <c r="J54" s="306">
        <v>165</v>
      </c>
      <c r="K54" s="330">
        <v>620</v>
      </c>
      <c r="L54" s="261" t="s">
        <v>10989</v>
      </c>
      <c r="M54" s="261"/>
      <c r="N54" s="261"/>
      <c r="O54" s="816">
        <v>10000</v>
      </c>
      <c r="P54" s="816" t="s">
        <v>10913</v>
      </c>
      <c r="Q54" s="822" t="s">
        <v>10954</v>
      </c>
    </row>
    <row r="55" spans="1:17" x14ac:dyDescent="0.2">
      <c r="A55" s="306" t="s">
        <v>10990</v>
      </c>
      <c r="B55" s="261" t="s">
        <v>10991</v>
      </c>
      <c r="C55" s="261" t="s">
        <v>10992</v>
      </c>
      <c r="D55" s="261">
        <v>5</v>
      </c>
      <c r="E55" s="261" t="s">
        <v>10911</v>
      </c>
      <c r="F55" s="261" t="s">
        <v>123</v>
      </c>
      <c r="G55" s="261" t="s">
        <v>1947</v>
      </c>
      <c r="H55" s="306">
        <v>173</v>
      </c>
      <c r="I55" s="330">
        <v>576</v>
      </c>
      <c r="J55" s="306">
        <v>175</v>
      </c>
      <c r="K55" s="330">
        <v>615</v>
      </c>
      <c r="L55" s="261" t="s">
        <v>10993</v>
      </c>
      <c r="M55" s="261"/>
      <c r="N55" s="261"/>
      <c r="O55" s="816">
        <v>10000</v>
      </c>
      <c r="P55" s="816" t="s">
        <v>10913</v>
      </c>
      <c r="Q55" s="822" t="s">
        <v>10914</v>
      </c>
    </row>
    <row r="56" spans="1:17" x14ac:dyDescent="0.2">
      <c r="A56" s="306" t="s">
        <v>10994</v>
      </c>
      <c r="B56" s="261" t="s">
        <v>10995</v>
      </c>
      <c r="C56" s="261" t="s">
        <v>10996</v>
      </c>
      <c r="D56" s="261">
        <v>5</v>
      </c>
      <c r="E56" s="261" t="s">
        <v>10911</v>
      </c>
      <c r="F56" s="261" t="s">
        <v>330</v>
      </c>
      <c r="G56" s="261" t="s">
        <v>1947</v>
      </c>
      <c r="H56" s="306">
        <v>145</v>
      </c>
      <c r="I56" s="330">
        <v>630</v>
      </c>
      <c r="J56" s="306">
        <v>160</v>
      </c>
      <c r="K56" s="330">
        <v>650</v>
      </c>
      <c r="L56" s="261" t="s">
        <v>10997</v>
      </c>
      <c r="M56" s="261"/>
      <c r="N56" s="261"/>
      <c r="O56" s="816">
        <v>10000</v>
      </c>
      <c r="P56" s="816" t="s">
        <v>10913</v>
      </c>
      <c r="Q56" s="822" t="s">
        <v>10919</v>
      </c>
    </row>
    <row r="57" spans="1:17" x14ac:dyDescent="0.2">
      <c r="A57" s="306" t="s">
        <v>10998</v>
      </c>
      <c r="B57" s="261" t="s">
        <v>10999</v>
      </c>
      <c r="C57" s="261" t="s">
        <v>11000</v>
      </c>
      <c r="D57" s="261">
        <v>5</v>
      </c>
      <c r="E57" s="261" t="s">
        <v>10911</v>
      </c>
      <c r="F57" s="261" t="s">
        <v>429</v>
      </c>
      <c r="G57" s="261" t="s">
        <v>1947</v>
      </c>
      <c r="H57" s="306">
        <v>158</v>
      </c>
      <c r="I57" s="330">
        <v>600</v>
      </c>
      <c r="J57" s="306">
        <v>170</v>
      </c>
      <c r="K57" s="330">
        <v>600</v>
      </c>
      <c r="L57" s="261" t="s">
        <v>11001</v>
      </c>
      <c r="M57" s="261"/>
      <c r="N57" s="261"/>
      <c r="O57" s="816">
        <v>10000</v>
      </c>
      <c r="P57" s="816" t="s">
        <v>10913</v>
      </c>
      <c r="Q57" s="822" t="s">
        <v>10924</v>
      </c>
    </row>
    <row r="58" spans="1:17" x14ac:dyDescent="0.2">
      <c r="A58" s="306" t="s">
        <v>11002</v>
      </c>
      <c r="B58" s="261" t="s">
        <v>11003</v>
      </c>
      <c r="C58" s="261" t="s">
        <v>11004</v>
      </c>
      <c r="D58" s="261">
        <v>5</v>
      </c>
      <c r="E58" s="261" t="s">
        <v>10911</v>
      </c>
      <c r="F58" s="261" t="s">
        <v>543</v>
      </c>
      <c r="G58" s="261" t="s">
        <v>1947</v>
      </c>
      <c r="H58" s="306">
        <v>161</v>
      </c>
      <c r="I58" s="330">
        <v>642</v>
      </c>
      <c r="J58" s="306">
        <v>170</v>
      </c>
      <c r="K58" s="330">
        <v>645</v>
      </c>
      <c r="L58" s="261" t="s">
        <v>11005</v>
      </c>
      <c r="M58" s="261"/>
      <c r="N58" s="261"/>
      <c r="O58" s="816">
        <v>10000</v>
      </c>
      <c r="P58" s="816" t="s">
        <v>10913</v>
      </c>
      <c r="Q58" s="822" t="s">
        <v>10929</v>
      </c>
    </row>
    <row r="59" spans="1:17" x14ac:dyDescent="0.2">
      <c r="A59" s="306" t="s">
        <v>11006</v>
      </c>
      <c r="B59" s="261" t="s">
        <v>11007</v>
      </c>
      <c r="C59" s="261" t="s">
        <v>11008</v>
      </c>
      <c r="D59" s="261">
        <v>5</v>
      </c>
      <c r="E59" s="261" t="s">
        <v>10911</v>
      </c>
      <c r="F59" s="261" t="s">
        <v>645</v>
      </c>
      <c r="G59" s="261" t="s">
        <v>1947</v>
      </c>
      <c r="H59" s="306">
        <v>182</v>
      </c>
      <c r="I59" s="330">
        <v>576</v>
      </c>
      <c r="J59" s="306">
        <v>185</v>
      </c>
      <c r="K59" s="330">
        <v>625</v>
      </c>
      <c r="L59" s="261" t="s">
        <v>11009</v>
      </c>
      <c r="M59" s="261"/>
      <c r="N59" s="261"/>
      <c r="O59" s="816">
        <v>10000</v>
      </c>
      <c r="P59" s="816" t="s">
        <v>10913</v>
      </c>
      <c r="Q59" s="822" t="s">
        <v>10934</v>
      </c>
    </row>
    <row r="60" spans="1:17" x14ac:dyDescent="0.2">
      <c r="A60" s="306" t="s">
        <v>11010</v>
      </c>
      <c r="B60" s="261" t="s">
        <v>11011</v>
      </c>
      <c r="C60" s="261" t="s">
        <v>11012</v>
      </c>
      <c r="D60" s="261">
        <v>5</v>
      </c>
      <c r="E60" s="261" t="s">
        <v>10911</v>
      </c>
      <c r="F60" s="261" t="s">
        <v>759</v>
      </c>
      <c r="G60" s="261" t="s">
        <v>1947</v>
      </c>
      <c r="H60" s="306">
        <v>162</v>
      </c>
      <c r="I60" s="330">
        <v>570</v>
      </c>
      <c r="J60" s="306">
        <v>165</v>
      </c>
      <c r="K60" s="330">
        <v>590</v>
      </c>
      <c r="L60" s="261" t="s">
        <v>11013</v>
      </c>
      <c r="M60" s="261"/>
      <c r="N60" s="261"/>
      <c r="O60" s="816">
        <v>10000</v>
      </c>
      <c r="P60" s="816" t="s">
        <v>10913</v>
      </c>
      <c r="Q60" s="822" t="s">
        <v>10939</v>
      </c>
    </row>
    <row r="61" spans="1:17" x14ac:dyDescent="0.2">
      <c r="A61" s="306" t="s">
        <v>11014</v>
      </c>
      <c r="B61" s="261" t="s">
        <v>11015</v>
      </c>
      <c r="C61" s="261" t="s">
        <v>11016</v>
      </c>
      <c r="D61" s="261">
        <v>5</v>
      </c>
      <c r="E61" s="261" t="s">
        <v>10911</v>
      </c>
      <c r="F61" s="261" t="s">
        <v>839</v>
      </c>
      <c r="G61" s="261" t="s">
        <v>1947</v>
      </c>
      <c r="H61" s="306">
        <v>168</v>
      </c>
      <c r="I61" s="330">
        <v>581</v>
      </c>
      <c r="J61" s="306">
        <v>170</v>
      </c>
      <c r="K61" s="330">
        <v>630</v>
      </c>
      <c r="L61" s="261" t="s">
        <v>11017</v>
      </c>
      <c r="M61" s="261"/>
      <c r="N61" s="261"/>
      <c r="O61" s="816">
        <v>10000</v>
      </c>
      <c r="P61" s="816" t="s">
        <v>10913</v>
      </c>
      <c r="Q61" s="822" t="s">
        <v>10944</v>
      </c>
    </row>
    <row r="62" spans="1:17" x14ac:dyDescent="0.2">
      <c r="A62" s="306" t="s">
        <v>11018</v>
      </c>
      <c r="B62" s="261" t="s">
        <v>11019</v>
      </c>
      <c r="C62" s="261" t="s">
        <v>11020</v>
      </c>
      <c r="D62" s="261">
        <v>5</v>
      </c>
      <c r="E62" s="261" t="s">
        <v>10911</v>
      </c>
      <c r="F62" s="261" t="s">
        <v>949</v>
      </c>
      <c r="G62" s="261" t="s">
        <v>1947</v>
      </c>
      <c r="H62" s="306">
        <v>196</v>
      </c>
      <c r="I62" s="330">
        <v>536</v>
      </c>
      <c r="J62" s="306">
        <v>200</v>
      </c>
      <c r="K62" s="330">
        <v>565</v>
      </c>
      <c r="L62" s="261" t="s">
        <v>11021</v>
      </c>
      <c r="M62" s="261"/>
      <c r="N62" s="261"/>
      <c r="O62" s="816">
        <v>10000</v>
      </c>
      <c r="P62" s="816" t="s">
        <v>10913</v>
      </c>
      <c r="Q62" s="822" t="s">
        <v>10949</v>
      </c>
    </row>
    <row r="63" spans="1:17" x14ac:dyDescent="0.2">
      <c r="A63" s="306" t="s">
        <v>11022</v>
      </c>
      <c r="B63" s="261" t="s">
        <v>11023</v>
      </c>
      <c r="C63" s="261" t="s">
        <v>11024</v>
      </c>
      <c r="D63" s="261">
        <v>5</v>
      </c>
      <c r="E63" s="261" t="s">
        <v>10911</v>
      </c>
      <c r="F63" s="261" t="s">
        <v>1054</v>
      </c>
      <c r="G63" s="261" t="s">
        <v>1947</v>
      </c>
      <c r="H63" s="306">
        <v>159</v>
      </c>
      <c r="I63" s="330">
        <v>599</v>
      </c>
      <c r="J63" s="306">
        <v>165</v>
      </c>
      <c r="K63" s="330">
        <v>620</v>
      </c>
      <c r="L63" s="261" t="s">
        <v>11025</v>
      </c>
      <c r="M63" s="261"/>
      <c r="N63" s="261"/>
      <c r="O63" s="816">
        <v>10000</v>
      </c>
      <c r="P63" s="816" t="s">
        <v>10913</v>
      </c>
      <c r="Q63" s="822" t="s">
        <v>10954</v>
      </c>
    </row>
    <row r="64" spans="1:17" x14ac:dyDescent="0.2">
      <c r="A64" s="306" t="s">
        <v>11026</v>
      </c>
      <c r="B64" s="261" t="s">
        <v>11027</v>
      </c>
      <c r="C64" s="261" t="s">
        <v>11028</v>
      </c>
      <c r="D64" s="261">
        <v>5</v>
      </c>
      <c r="E64" s="261" t="s">
        <v>10911</v>
      </c>
      <c r="F64" s="261" t="s">
        <v>123</v>
      </c>
      <c r="G64" s="261" t="s">
        <v>2837</v>
      </c>
      <c r="H64" s="306">
        <v>157</v>
      </c>
      <c r="I64" s="330">
        <v>612</v>
      </c>
      <c r="J64" s="306">
        <v>175</v>
      </c>
      <c r="K64" s="330">
        <v>615</v>
      </c>
      <c r="L64" s="261" t="s">
        <v>11029</v>
      </c>
      <c r="M64" s="261"/>
      <c r="N64" s="261"/>
      <c r="O64" s="816">
        <v>10000</v>
      </c>
      <c r="P64" s="816" t="s">
        <v>10913</v>
      </c>
      <c r="Q64" s="822" t="s">
        <v>10914</v>
      </c>
    </row>
    <row r="65" spans="1:17" x14ac:dyDescent="0.2">
      <c r="A65" s="306" t="s">
        <v>11030</v>
      </c>
      <c r="B65" s="261" t="s">
        <v>11031</v>
      </c>
      <c r="C65" s="261" t="s">
        <v>11032</v>
      </c>
      <c r="D65" s="261">
        <v>5</v>
      </c>
      <c r="E65" s="261" t="s">
        <v>10911</v>
      </c>
      <c r="F65" s="261" t="s">
        <v>330</v>
      </c>
      <c r="G65" s="261" t="s">
        <v>2837</v>
      </c>
      <c r="H65" s="306">
        <v>157</v>
      </c>
      <c r="I65" s="330">
        <v>598</v>
      </c>
      <c r="J65" s="306">
        <v>160</v>
      </c>
      <c r="K65" s="330">
        <v>650</v>
      </c>
      <c r="L65" s="261" t="s">
        <v>11033</v>
      </c>
      <c r="M65" s="261"/>
      <c r="N65" s="261"/>
      <c r="O65" s="816">
        <v>10000</v>
      </c>
      <c r="P65" s="816" t="s">
        <v>10913</v>
      </c>
      <c r="Q65" s="822" t="s">
        <v>10919</v>
      </c>
    </row>
    <row r="66" spans="1:17" x14ac:dyDescent="0.2">
      <c r="A66" s="306" t="s">
        <v>11034</v>
      </c>
      <c r="B66" s="261" t="s">
        <v>11035</v>
      </c>
      <c r="C66" s="261" t="s">
        <v>11036</v>
      </c>
      <c r="D66" s="261">
        <v>5</v>
      </c>
      <c r="E66" s="261" t="s">
        <v>10911</v>
      </c>
      <c r="F66" s="261" t="s">
        <v>429</v>
      </c>
      <c r="G66" s="261" t="s">
        <v>2837</v>
      </c>
      <c r="H66" s="306">
        <v>167</v>
      </c>
      <c r="I66" s="330">
        <v>582</v>
      </c>
      <c r="J66" s="306">
        <v>170</v>
      </c>
      <c r="K66" s="330">
        <v>600</v>
      </c>
      <c r="L66" s="261" t="s">
        <v>11037</v>
      </c>
      <c r="M66" s="261"/>
      <c r="N66" s="261"/>
      <c r="O66" s="816">
        <v>10000</v>
      </c>
      <c r="P66" s="816" t="s">
        <v>10913</v>
      </c>
      <c r="Q66" s="822" t="s">
        <v>10924</v>
      </c>
    </row>
    <row r="67" spans="1:17" x14ac:dyDescent="0.2">
      <c r="A67" s="306" t="s">
        <v>11038</v>
      </c>
      <c r="B67" s="261" t="s">
        <v>11039</v>
      </c>
      <c r="C67" s="261" t="s">
        <v>11040</v>
      </c>
      <c r="D67" s="261">
        <v>5</v>
      </c>
      <c r="E67" s="261" t="s">
        <v>10911</v>
      </c>
      <c r="F67" s="261" t="s">
        <v>543</v>
      </c>
      <c r="G67" s="261" t="s">
        <v>2837</v>
      </c>
      <c r="H67" s="306">
        <v>161</v>
      </c>
      <c r="I67" s="330">
        <v>642</v>
      </c>
      <c r="J67" s="306">
        <v>170</v>
      </c>
      <c r="K67" s="330">
        <v>645</v>
      </c>
      <c r="L67" s="261" t="s">
        <v>11041</v>
      </c>
      <c r="M67" s="261"/>
      <c r="N67" s="261"/>
      <c r="O67" s="816">
        <v>10000</v>
      </c>
      <c r="P67" s="816" t="s">
        <v>10913</v>
      </c>
      <c r="Q67" s="822" t="s">
        <v>10929</v>
      </c>
    </row>
    <row r="68" spans="1:17" x14ac:dyDescent="0.2">
      <c r="A68" s="306" t="s">
        <v>11042</v>
      </c>
      <c r="B68" s="261" t="s">
        <v>11043</v>
      </c>
      <c r="C68" s="261" t="s">
        <v>11044</v>
      </c>
      <c r="D68" s="261">
        <v>5</v>
      </c>
      <c r="E68" s="261" t="s">
        <v>10911</v>
      </c>
      <c r="F68" s="261" t="s">
        <v>645</v>
      </c>
      <c r="G68" s="261" t="s">
        <v>2837</v>
      </c>
      <c r="H68" s="306">
        <v>160</v>
      </c>
      <c r="I68" s="330">
        <v>624</v>
      </c>
      <c r="J68" s="306">
        <v>185</v>
      </c>
      <c r="K68" s="330">
        <v>625</v>
      </c>
      <c r="L68" s="261" t="s">
        <v>11045</v>
      </c>
      <c r="M68" s="261"/>
      <c r="N68" s="261"/>
      <c r="O68" s="816">
        <v>10000</v>
      </c>
      <c r="P68" s="816" t="s">
        <v>10913</v>
      </c>
      <c r="Q68" s="822" t="s">
        <v>10934</v>
      </c>
    </row>
    <row r="69" spans="1:17" x14ac:dyDescent="0.2">
      <c r="A69" s="306" t="s">
        <v>11046</v>
      </c>
      <c r="B69" s="261" t="s">
        <v>11047</v>
      </c>
      <c r="C69" s="261" t="s">
        <v>11048</v>
      </c>
      <c r="D69" s="261">
        <v>5</v>
      </c>
      <c r="E69" s="261" t="s">
        <v>10911</v>
      </c>
      <c r="F69" s="261" t="s">
        <v>759</v>
      </c>
      <c r="G69" s="261" t="s">
        <v>2837</v>
      </c>
      <c r="H69" s="306">
        <v>154</v>
      </c>
      <c r="I69" s="330">
        <v>587</v>
      </c>
      <c r="J69" s="306">
        <v>165</v>
      </c>
      <c r="K69" s="330">
        <v>590</v>
      </c>
      <c r="L69" s="261" t="s">
        <v>11049</v>
      </c>
      <c r="M69" s="261"/>
      <c r="N69" s="261"/>
      <c r="O69" s="816">
        <v>10000</v>
      </c>
      <c r="P69" s="816" t="s">
        <v>10913</v>
      </c>
      <c r="Q69" s="822" t="s">
        <v>10939</v>
      </c>
    </row>
    <row r="70" spans="1:17" x14ac:dyDescent="0.2">
      <c r="A70" s="306" t="s">
        <v>11050</v>
      </c>
      <c r="B70" s="261" t="s">
        <v>11051</v>
      </c>
      <c r="C70" s="261" t="s">
        <v>11052</v>
      </c>
      <c r="D70" s="261">
        <v>5</v>
      </c>
      <c r="E70" s="261" t="s">
        <v>10911</v>
      </c>
      <c r="F70" s="261" t="s">
        <v>839</v>
      </c>
      <c r="G70" s="261" t="s">
        <v>2837</v>
      </c>
      <c r="H70" s="306">
        <v>147</v>
      </c>
      <c r="I70" s="330">
        <v>630</v>
      </c>
      <c r="J70" s="306">
        <v>170</v>
      </c>
      <c r="K70" s="330">
        <v>630</v>
      </c>
      <c r="L70" s="261" t="s">
        <v>11053</v>
      </c>
      <c r="M70" s="261"/>
      <c r="N70" s="261"/>
      <c r="O70" s="816">
        <v>10000</v>
      </c>
      <c r="P70" s="816" t="s">
        <v>10913</v>
      </c>
      <c r="Q70" s="822" t="s">
        <v>10944</v>
      </c>
    </row>
    <row r="71" spans="1:17" x14ac:dyDescent="0.2">
      <c r="A71" s="306" t="s">
        <v>11054</v>
      </c>
      <c r="B71" s="261" t="s">
        <v>11055</v>
      </c>
      <c r="C71" s="261" t="s">
        <v>11056</v>
      </c>
      <c r="D71" s="261">
        <v>5</v>
      </c>
      <c r="E71" s="261" t="s">
        <v>10911</v>
      </c>
      <c r="F71" s="261" t="s">
        <v>949</v>
      </c>
      <c r="G71" s="261" t="s">
        <v>2837</v>
      </c>
      <c r="H71" s="306">
        <v>182</v>
      </c>
      <c r="I71" s="330">
        <v>564</v>
      </c>
      <c r="J71" s="306">
        <v>200</v>
      </c>
      <c r="K71" s="330">
        <v>565</v>
      </c>
      <c r="L71" s="261" t="s">
        <v>11057</v>
      </c>
      <c r="M71" s="261"/>
      <c r="N71" s="261"/>
      <c r="O71" s="816">
        <v>10000</v>
      </c>
      <c r="P71" s="816" t="s">
        <v>10913</v>
      </c>
      <c r="Q71" s="822" t="s">
        <v>10949</v>
      </c>
    </row>
    <row r="72" spans="1:17" x14ac:dyDescent="0.2">
      <c r="A72" s="306" t="s">
        <v>11058</v>
      </c>
      <c r="B72" s="261" t="s">
        <v>11059</v>
      </c>
      <c r="C72" s="261" t="s">
        <v>11060</v>
      </c>
      <c r="D72" s="261">
        <v>5</v>
      </c>
      <c r="E72" s="261" t="s">
        <v>10911</v>
      </c>
      <c r="F72" s="261" t="s">
        <v>1054</v>
      </c>
      <c r="G72" s="261" t="s">
        <v>2837</v>
      </c>
      <c r="H72" s="306">
        <v>152</v>
      </c>
      <c r="I72" s="330">
        <v>618</v>
      </c>
      <c r="J72" s="306">
        <v>165</v>
      </c>
      <c r="K72" s="330">
        <v>620</v>
      </c>
      <c r="L72" s="261" t="s">
        <v>11061</v>
      </c>
      <c r="M72" s="261"/>
      <c r="N72" s="261"/>
      <c r="O72" s="816">
        <v>10000</v>
      </c>
      <c r="P72" s="816" t="s">
        <v>10913</v>
      </c>
      <c r="Q72" s="822" t="s">
        <v>10954</v>
      </c>
    </row>
    <row r="73" spans="1:17" x14ac:dyDescent="0.2">
      <c r="A73" s="306" t="s">
        <v>11062</v>
      </c>
      <c r="B73" s="261" t="s">
        <v>11063</v>
      </c>
      <c r="C73" s="261" t="s">
        <v>11064</v>
      </c>
      <c r="D73" s="261">
        <v>5</v>
      </c>
      <c r="E73" s="261" t="s">
        <v>10911</v>
      </c>
      <c r="F73" s="261" t="s">
        <v>123</v>
      </c>
      <c r="G73" s="261" t="s">
        <v>3779</v>
      </c>
      <c r="H73" s="306">
        <v>173</v>
      </c>
      <c r="I73" s="330">
        <v>576</v>
      </c>
      <c r="J73" s="306">
        <v>175</v>
      </c>
      <c r="K73" s="330">
        <v>615</v>
      </c>
      <c r="L73" s="261" t="s">
        <v>11065</v>
      </c>
      <c r="M73" s="261"/>
      <c r="N73" s="261"/>
      <c r="O73" s="816">
        <v>10000</v>
      </c>
      <c r="P73" s="816" t="s">
        <v>10913</v>
      </c>
      <c r="Q73" s="822" t="s">
        <v>10914</v>
      </c>
    </row>
    <row r="74" spans="1:17" x14ac:dyDescent="0.2">
      <c r="A74" s="306" t="s">
        <v>11066</v>
      </c>
      <c r="B74" s="261" t="s">
        <v>11067</v>
      </c>
      <c r="C74" s="261" t="s">
        <v>11068</v>
      </c>
      <c r="D74" s="261">
        <v>5</v>
      </c>
      <c r="E74" s="261" t="s">
        <v>10911</v>
      </c>
      <c r="F74" s="261" t="s">
        <v>330</v>
      </c>
      <c r="G74" s="261" t="s">
        <v>3779</v>
      </c>
      <c r="H74" s="306">
        <v>138</v>
      </c>
      <c r="I74" s="330">
        <v>649</v>
      </c>
      <c r="J74" s="306">
        <v>160</v>
      </c>
      <c r="K74" s="330">
        <v>650</v>
      </c>
      <c r="L74" s="261" t="s">
        <v>11069</v>
      </c>
      <c r="M74" s="261"/>
      <c r="N74" s="261"/>
      <c r="O74" s="816">
        <v>10000</v>
      </c>
      <c r="P74" s="816" t="s">
        <v>10913</v>
      </c>
      <c r="Q74" s="822" t="s">
        <v>10919</v>
      </c>
    </row>
    <row r="75" spans="1:17" x14ac:dyDescent="0.2">
      <c r="A75" s="306" t="s">
        <v>11070</v>
      </c>
      <c r="B75" s="261" t="s">
        <v>11071</v>
      </c>
      <c r="C75" s="261" t="s">
        <v>11072</v>
      </c>
      <c r="D75" s="261">
        <v>5</v>
      </c>
      <c r="E75" s="261" t="s">
        <v>10911</v>
      </c>
      <c r="F75" s="261" t="s">
        <v>429</v>
      </c>
      <c r="G75" s="261" t="s">
        <v>3779</v>
      </c>
      <c r="H75" s="306">
        <v>158</v>
      </c>
      <c r="I75" s="330">
        <v>600</v>
      </c>
      <c r="J75" s="306">
        <v>170</v>
      </c>
      <c r="K75" s="330">
        <v>600</v>
      </c>
      <c r="L75" s="261" t="s">
        <v>11073</v>
      </c>
      <c r="M75" s="261"/>
      <c r="N75" s="261"/>
      <c r="O75" s="816">
        <v>10000</v>
      </c>
      <c r="P75" s="816" t="s">
        <v>10913</v>
      </c>
      <c r="Q75" s="822" t="s">
        <v>10924</v>
      </c>
    </row>
    <row r="76" spans="1:17" x14ac:dyDescent="0.2">
      <c r="A76" s="306" t="s">
        <v>11074</v>
      </c>
      <c r="B76" s="261" t="s">
        <v>11075</v>
      </c>
      <c r="C76" s="261" t="s">
        <v>11076</v>
      </c>
      <c r="D76" s="261">
        <v>5</v>
      </c>
      <c r="E76" s="261" t="s">
        <v>10911</v>
      </c>
      <c r="F76" s="261" t="s">
        <v>543</v>
      </c>
      <c r="G76" s="261" t="s">
        <v>3779</v>
      </c>
      <c r="H76" s="306">
        <v>170</v>
      </c>
      <c r="I76" s="330">
        <v>624</v>
      </c>
      <c r="J76" s="306">
        <v>170</v>
      </c>
      <c r="K76" s="330">
        <v>645</v>
      </c>
      <c r="L76" s="261" t="s">
        <v>11077</v>
      </c>
      <c r="M76" s="261"/>
      <c r="N76" s="261"/>
      <c r="O76" s="816">
        <v>10000</v>
      </c>
      <c r="P76" s="816" t="s">
        <v>10913</v>
      </c>
      <c r="Q76" s="822" t="s">
        <v>10929</v>
      </c>
    </row>
    <row r="77" spans="1:17" x14ac:dyDescent="0.2">
      <c r="A77" s="306" t="s">
        <v>11078</v>
      </c>
      <c r="B77" s="261" t="s">
        <v>11079</v>
      </c>
      <c r="C77" s="261" t="s">
        <v>11080</v>
      </c>
      <c r="D77" s="261">
        <v>5</v>
      </c>
      <c r="E77" s="261" t="s">
        <v>10911</v>
      </c>
      <c r="F77" s="261" t="s">
        <v>645</v>
      </c>
      <c r="G77" s="261" t="s">
        <v>3779</v>
      </c>
      <c r="H77" s="306">
        <v>160</v>
      </c>
      <c r="I77" s="330">
        <v>624</v>
      </c>
      <c r="J77" s="306">
        <v>185</v>
      </c>
      <c r="K77" s="330">
        <v>625</v>
      </c>
      <c r="L77" s="261" t="s">
        <v>11081</v>
      </c>
      <c r="M77" s="261"/>
      <c r="N77" s="261"/>
      <c r="O77" s="816">
        <v>10000</v>
      </c>
      <c r="P77" s="816" t="s">
        <v>10913</v>
      </c>
      <c r="Q77" s="822" t="s">
        <v>10934</v>
      </c>
    </row>
    <row r="78" spans="1:17" x14ac:dyDescent="0.2">
      <c r="A78" s="306" t="s">
        <v>11082</v>
      </c>
      <c r="B78" s="261" t="s">
        <v>11083</v>
      </c>
      <c r="C78" s="261" t="s">
        <v>11084</v>
      </c>
      <c r="D78" s="261">
        <v>5</v>
      </c>
      <c r="E78" s="261" t="s">
        <v>10911</v>
      </c>
      <c r="F78" s="261" t="s">
        <v>759</v>
      </c>
      <c r="G78" s="261" t="s">
        <v>3779</v>
      </c>
      <c r="H78" s="306">
        <v>154</v>
      </c>
      <c r="I78" s="330">
        <v>587</v>
      </c>
      <c r="J78" s="306">
        <v>165</v>
      </c>
      <c r="K78" s="330">
        <v>590</v>
      </c>
      <c r="L78" s="261" t="s">
        <v>11085</v>
      </c>
      <c r="M78" s="261"/>
      <c r="N78" s="261"/>
      <c r="O78" s="816">
        <v>10000</v>
      </c>
      <c r="P78" s="816" t="s">
        <v>10913</v>
      </c>
      <c r="Q78" s="822" t="s">
        <v>10939</v>
      </c>
    </row>
    <row r="79" spans="1:17" x14ac:dyDescent="0.2">
      <c r="A79" s="306" t="s">
        <v>11086</v>
      </c>
      <c r="B79" s="261" t="s">
        <v>11087</v>
      </c>
      <c r="C79" s="261" t="s">
        <v>11088</v>
      </c>
      <c r="D79" s="261">
        <v>5</v>
      </c>
      <c r="E79" s="261" t="s">
        <v>10911</v>
      </c>
      <c r="F79" s="261" t="s">
        <v>839</v>
      </c>
      <c r="G79" s="261" t="s">
        <v>3779</v>
      </c>
      <c r="H79" s="306">
        <v>168</v>
      </c>
      <c r="I79" s="330">
        <v>581</v>
      </c>
      <c r="J79" s="306">
        <v>170</v>
      </c>
      <c r="K79" s="330">
        <v>630</v>
      </c>
      <c r="L79" s="261" t="s">
        <v>11089</v>
      </c>
      <c r="M79" s="261"/>
      <c r="N79" s="261"/>
      <c r="O79" s="816">
        <v>10000</v>
      </c>
      <c r="P79" s="816" t="s">
        <v>10913</v>
      </c>
      <c r="Q79" s="822" t="s">
        <v>10944</v>
      </c>
    </row>
    <row r="80" spans="1:17" x14ac:dyDescent="0.2">
      <c r="A80" s="306" t="s">
        <v>11090</v>
      </c>
      <c r="B80" s="261" t="s">
        <v>11091</v>
      </c>
      <c r="C80" s="261" t="s">
        <v>11092</v>
      </c>
      <c r="D80" s="261">
        <v>5</v>
      </c>
      <c r="E80" s="261" t="s">
        <v>10911</v>
      </c>
      <c r="F80" s="261" t="s">
        <v>949</v>
      </c>
      <c r="G80" s="261" t="s">
        <v>3779</v>
      </c>
      <c r="H80" s="306">
        <v>182</v>
      </c>
      <c r="I80" s="330">
        <v>564</v>
      </c>
      <c r="J80" s="306">
        <v>200</v>
      </c>
      <c r="K80" s="330">
        <v>565</v>
      </c>
      <c r="L80" s="261" t="s">
        <v>11093</v>
      </c>
      <c r="M80" s="261"/>
      <c r="N80" s="261"/>
      <c r="O80" s="816">
        <v>10000</v>
      </c>
      <c r="P80" s="816" t="s">
        <v>10913</v>
      </c>
      <c r="Q80" s="822" t="s">
        <v>10949</v>
      </c>
    </row>
    <row r="81" spans="1:17" x14ac:dyDescent="0.2">
      <c r="A81" s="306" t="s">
        <v>11094</v>
      </c>
      <c r="B81" s="261" t="s">
        <v>11095</v>
      </c>
      <c r="C81" s="261" t="s">
        <v>11096</v>
      </c>
      <c r="D81" s="261">
        <v>5</v>
      </c>
      <c r="E81" s="261" t="s">
        <v>10911</v>
      </c>
      <c r="F81" s="261" t="s">
        <v>1054</v>
      </c>
      <c r="G81" s="261" t="s">
        <v>3779</v>
      </c>
      <c r="H81" s="306">
        <v>152</v>
      </c>
      <c r="I81" s="330">
        <v>618</v>
      </c>
      <c r="J81" s="306">
        <v>165</v>
      </c>
      <c r="K81" s="330">
        <v>620</v>
      </c>
      <c r="L81" s="261" t="s">
        <v>11097</v>
      </c>
      <c r="M81" s="261"/>
      <c r="N81" s="261"/>
      <c r="O81" s="816">
        <v>10000</v>
      </c>
      <c r="P81" s="816" t="s">
        <v>10913</v>
      </c>
      <c r="Q81" s="822" t="s">
        <v>10954</v>
      </c>
    </row>
    <row r="82" spans="1:17" x14ac:dyDescent="0.2">
      <c r="A82" s="306" t="s">
        <v>11098</v>
      </c>
      <c r="B82" s="261" t="s">
        <v>11099</v>
      </c>
      <c r="C82" s="261" t="s">
        <v>11100</v>
      </c>
      <c r="D82" s="261">
        <v>5</v>
      </c>
      <c r="E82" s="261" t="s">
        <v>11101</v>
      </c>
      <c r="F82" s="261" t="s">
        <v>123</v>
      </c>
      <c r="G82" s="261" t="s">
        <v>122</v>
      </c>
      <c r="H82" s="306">
        <v>172</v>
      </c>
      <c r="I82" s="330">
        <v>673</v>
      </c>
      <c r="J82" s="306">
        <v>200</v>
      </c>
      <c r="K82" s="330">
        <v>675</v>
      </c>
      <c r="L82" s="261" t="s">
        <v>137</v>
      </c>
      <c r="M82" s="261" t="s">
        <v>11102</v>
      </c>
      <c r="N82" s="261"/>
      <c r="O82" s="816">
        <v>65000</v>
      </c>
      <c r="P82" s="816" t="s">
        <v>137</v>
      </c>
      <c r="Q82" s="822" t="s">
        <v>10914</v>
      </c>
    </row>
    <row r="83" spans="1:17" x14ac:dyDescent="0.2">
      <c r="A83" s="306" t="s">
        <v>11103</v>
      </c>
      <c r="B83" s="261" t="s">
        <v>11104</v>
      </c>
      <c r="C83" s="261" t="s">
        <v>11105</v>
      </c>
      <c r="D83" s="261">
        <v>5</v>
      </c>
      <c r="E83" s="261" t="s">
        <v>11101</v>
      </c>
      <c r="F83" s="261" t="s">
        <v>330</v>
      </c>
      <c r="G83" s="261" t="s">
        <v>122</v>
      </c>
      <c r="H83" s="306">
        <v>172</v>
      </c>
      <c r="I83" s="330">
        <v>658</v>
      </c>
      <c r="J83" s="306">
        <v>175</v>
      </c>
      <c r="K83" s="330">
        <v>715</v>
      </c>
      <c r="L83" s="261" t="s">
        <v>137</v>
      </c>
      <c r="M83" s="261" t="s">
        <v>11102</v>
      </c>
      <c r="N83" s="261"/>
      <c r="O83" s="816">
        <v>65000</v>
      </c>
      <c r="P83" s="816" t="s">
        <v>137</v>
      </c>
      <c r="Q83" s="822" t="s">
        <v>10919</v>
      </c>
    </row>
    <row r="84" spans="1:17" x14ac:dyDescent="0.2">
      <c r="A84" s="306" t="s">
        <v>11106</v>
      </c>
      <c r="B84" s="261" t="s">
        <v>11107</v>
      </c>
      <c r="C84" s="261" t="s">
        <v>11108</v>
      </c>
      <c r="D84" s="261">
        <v>5</v>
      </c>
      <c r="E84" s="261" t="s">
        <v>11101</v>
      </c>
      <c r="F84" s="261" t="s">
        <v>429</v>
      </c>
      <c r="G84" s="261" t="s">
        <v>122</v>
      </c>
      <c r="H84" s="306">
        <v>174</v>
      </c>
      <c r="I84" s="330">
        <v>660</v>
      </c>
      <c r="J84" s="306">
        <v>200</v>
      </c>
      <c r="K84" s="330">
        <v>660</v>
      </c>
      <c r="L84" s="261" t="s">
        <v>137</v>
      </c>
      <c r="M84" s="261" t="s">
        <v>11102</v>
      </c>
      <c r="N84" s="261"/>
      <c r="O84" s="816">
        <v>65000</v>
      </c>
      <c r="P84" s="816" t="s">
        <v>137</v>
      </c>
      <c r="Q84" s="822" t="s">
        <v>10924</v>
      </c>
    </row>
    <row r="85" spans="1:17" x14ac:dyDescent="0.2">
      <c r="A85" s="306" t="s">
        <v>11109</v>
      </c>
      <c r="B85" s="261" t="s">
        <v>11110</v>
      </c>
      <c r="C85" s="261" t="s">
        <v>11111</v>
      </c>
      <c r="D85" s="261">
        <v>5</v>
      </c>
      <c r="E85" s="261" t="s">
        <v>11101</v>
      </c>
      <c r="F85" s="261" t="s">
        <v>543</v>
      </c>
      <c r="G85" s="261" t="s">
        <v>122</v>
      </c>
      <c r="H85" s="306">
        <v>178</v>
      </c>
      <c r="I85" s="330">
        <v>707</v>
      </c>
      <c r="J85" s="306">
        <v>200</v>
      </c>
      <c r="K85" s="330">
        <v>710</v>
      </c>
      <c r="L85" s="261" t="s">
        <v>137</v>
      </c>
      <c r="M85" s="261" t="s">
        <v>11102</v>
      </c>
      <c r="N85" s="261"/>
      <c r="O85" s="816">
        <v>65000</v>
      </c>
      <c r="P85" s="816" t="s">
        <v>137</v>
      </c>
      <c r="Q85" s="822" t="s">
        <v>10929</v>
      </c>
    </row>
    <row r="86" spans="1:17" x14ac:dyDescent="0.2">
      <c r="A86" s="306" t="s">
        <v>11112</v>
      </c>
      <c r="B86" s="261" t="s">
        <v>11113</v>
      </c>
      <c r="C86" s="261" t="s">
        <v>11114</v>
      </c>
      <c r="D86" s="261">
        <v>5</v>
      </c>
      <c r="E86" s="261" t="s">
        <v>11101</v>
      </c>
      <c r="F86" s="261" t="s">
        <v>645</v>
      </c>
      <c r="G86" s="261" t="s">
        <v>122</v>
      </c>
      <c r="H86" s="306">
        <v>185</v>
      </c>
      <c r="I86" s="330">
        <v>666</v>
      </c>
      <c r="J86" s="306">
        <v>200</v>
      </c>
      <c r="K86" s="330">
        <v>670</v>
      </c>
      <c r="L86" s="261" t="s">
        <v>137</v>
      </c>
      <c r="M86" s="261" t="s">
        <v>11102</v>
      </c>
      <c r="N86" s="261"/>
      <c r="O86" s="816">
        <v>65000</v>
      </c>
      <c r="P86" s="816" t="s">
        <v>137</v>
      </c>
      <c r="Q86" s="822" t="s">
        <v>10934</v>
      </c>
    </row>
    <row r="87" spans="1:17" x14ac:dyDescent="0.2">
      <c r="A87" s="306" t="s">
        <v>11115</v>
      </c>
      <c r="B87" s="261" t="s">
        <v>11116</v>
      </c>
      <c r="C87" s="261" t="s">
        <v>11117</v>
      </c>
      <c r="D87" s="261">
        <v>5</v>
      </c>
      <c r="E87" s="261" t="s">
        <v>11101</v>
      </c>
      <c r="F87" s="261" t="s">
        <v>759</v>
      </c>
      <c r="G87" s="261" t="s">
        <v>122</v>
      </c>
      <c r="H87" s="306">
        <v>187</v>
      </c>
      <c r="I87" s="330">
        <v>608</v>
      </c>
      <c r="J87" s="306">
        <v>190</v>
      </c>
      <c r="K87" s="330">
        <v>630</v>
      </c>
      <c r="L87" s="261" t="s">
        <v>137</v>
      </c>
      <c r="M87" s="261" t="s">
        <v>11102</v>
      </c>
      <c r="N87" s="261"/>
      <c r="O87" s="816">
        <v>65000</v>
      </c>
      <c r="P87" s="816" t="s">
        <v>137</v>
      </c>
      <c r="Q87" s="822" t="s">
        <v>10939</v>
      </c>
    </row>
    <row r="88" spans="1:17" x14ac:dyDescent="0.2">
      <c r="A88" s="306" t="s">
        <v>11118</v>
      </c>
      <c r="B88" s="261" t="s">
        <v>11119</v>
      </c>
      <c r="C88" s="261" t="s">
        <v>11120</v>
      </c>
      <c r="D88" s="261">
        <v>5</v>
      </c>
      <c r="E88" s="261" t="s">
        <v>11101</v>
      </c>
      <c r="F88" s="261" t="s">
        <v>839</v>
      </c>
      <c r="G88" s="261" t="s">
        <v>122</v>
      </c>
      <c r="H88" s="306">
        <v>179</v>
      </c>
      <c r="I88" s="330">
        <v>653</v>
      </c>
      <c r="J88" s="306">
        <v>185</v>
      </c>
      <c r="K88" s="330">
        <v>695</v>
      </c>
      <c r="L88" s="261" t="s">
        <v>137</v>
      </c>
      <c r="M88" s="261" t="s">
        <v>11102</v>
      </c>
      <c r="N88" s="261"/>
      <c r="O88" s="816">
        <v>65000</v>
      </c>
      <c r="P88" s="816" t="s">
        <v>137</v>
      </c>
      <c r="Q88" s="822" t="s">
        <v>10944</v>
      </c>
    </row>
    <row r="89" spans="1:17" x14ac:dyDescent="0.2">
      <c r="A89" s="306" t="s">
        <v>11121</v>
      </c>
      <c r="B89" s="261" t="s">
        <v>11122</v>
      </c>
      <c r="C89" s="261" t="s">
        <v>11123</v>
      </c>
      <c r="D89" s="261">
        <v>5</v>
      </c>
      <c r="E89" s="261" t="s">
        <v>11101</v>
      </c>
      <c r="F89" s="261" t="s">
        <v>949</v>
      </c>
      <c r="G89" s="261" t="s">
        <v>122</v>
      </c>
      <c r="H89" s="306">
        <v>216</v>
      </c>
      <c r="I89" s="330">
        <v>590</v>
      </c>
      <c r="J89" s="306">
        <v>220</v>
      </c>
      <c r="K89" s="330">
        <v>590</v>
      </c>
      <c r="L89" s="261" t="s">
        <v>137</v>
      </c>
      <c r="M89" s="261" t="s">
        <v>11102</v>
      </c>
      <c r="N89" s="261"/>
      <c r="O89" s="816">
        <v>65000</v>
      </c>
      <c r="P89" s="816" t="s">
        <v>137</v>
      </c>
      <c r="Q89" s="822" t="s">
        <v>10949</v>
      </c>
    </row>
    <row r="90" spans="1:17" x14ac:dyDescent="0.2">
      <c r="A90" s="306" t="s">
        <v>11124</v>
      </c>
      <c r="B90" s="261" t="s">
        <v>11125</v>
      </c>
      <c r="C90" s="261" t="s">
        <v>11126</v>
      </c>
      <c r="D90" s="261">
        <v>5</v>
      </c>
      <c r="E90" s="261" t="s">
        <v>11101</v>
      </c>
      <c r="F90" s="261" t="s">
        <v>123</v>
      </c>
      <c r="G90" s="261" t="s">
        <v>1103</v>
      </c>
      <c r="H90" s="306">
        <v>172</v>
      </c>
      <c r="I90" s="330">
        <v>673</v>
      </c>
      <c r="J90" s="306">
        <v>200</v>
      </c>
      <c r="K90" s="330">
        <v>675</v>
      </c>
      <c r="L90" s="261" t="s">
        <v>137</v>
      </c>
      <c r="M90" s="261" t="s">
        <v>11127</v>
      </c>
      <c r="N90" s="261"/>
      <c r="O90" s="816">
        <v>65000</v>
      </c>
      <c r="P90" s="816" t="s">
        <v>137</v>
      </c>
      <c r="Q90" s="822" t="s">
        <v>10914</v>
      </c>
    </row>
    <row r="91" spans="1:17" x14ac:dyDescent="0.2">
      <c r="A91" s="306" t="s">
        <v>11128</v>
      </c>
      <c r="B91" s="261" t="s">
        <v>11129</v>
      </c>
      <c r="C91" s="261" t="s">
        <v>11130</v>
      </c>
      <c r="D91" s="261">
        <v>5</v>
      </c>
      <c r="E91" s="261" t="s">
        <v>11101</v>
      </c>
      <c r="F91" s="261" t="s">
        <v>330</v>
      </c>
      <c r="G91" s="261" t="s">
        <v>1103</v>
      </c>
      <c r="H91" s="306">
        <v>168</v>
      </c>
      <c r="I91" s="330">
        <v>672</v>
      </c>
      <c r="J91" s="306">
        <v>175</v>
      </c>
      <c r="K91" s="330">
        <v>715</v>
      </c>
      <c r="L91" s="261" t="s">
        <v>137</v>
      </c>
      <c r="M91" s="261" t="s">
        <v>11127</v>
      </c>
      <c r="N91" s="261"/>
      <c r="O91" s="816">
        <v>65000</v>
      </c>
      <c r="P91" s="816" t="s">
        <v>137</v>
      </c>
      <c r="Q91" s="822" t="s">
        <v>10919</v>
      </c>
    </row>
    <row r="92" spans="1:17" x14ac:dyDescent="0.2">
      <c r="A92" s="306" t="s">
        <v>11131</v>
      </c>
      <c r="B92" s="261" t="s">
        <v>11132</v>
      </c>
      <c r="C92" s="261" t="s">
        <v>11133</v>
      </c>
      <c r="D92" s="261">
        <v>5</v>
      </c>
      <c r="E92" s="261" t="s">
        <v>11101</v>
      </c>
      <c r="F92" s="261" t="s">
        <v>429</v>
      </c>
      <c r="G92" s="261" t="s">
        <v>1103</v>
      </c>
      <c r="H92" s="306">
        <v>183</v>
      </c>
      <c r="I92" s="330">
        <v>640</v>
      </c>
      <c r="J92" s="306">
        <v>200</v>
      </c>
      <c r="K92" s="330">
        <v>660</v>
      </c>
      <c r="L92" s="261" t="s">
        <v>137</v>
      </c>
      <c r="M92" s="261" t="s">
        <v>11127</v>
      </c>
      <c r="N92" s="261"/>
      <c r="O92" s="816">
        <v>65000</v>
      </c>
      <c r="P92" s="816" t="s">
        <v>137</v>
      </c>
      <c r="Q92" s="822" t="s">
        <v>10924</v>
      </c>
    </row>
    <row r="93" spans="1:17" x14ac:dyDescent="0.2">
      <c r="A93" s="306" t="s">
        <v>11134</v>
      </c>
      <c r="B93" s="261" t="s">
        <v>11135</v>
      </c>
      <c r="C93" s="261" t="s">
        <v>11136</v>
      </c>
      <c r="D93" s="261">
        <v>5</v>
      </c>
      <c r="E93" s="261" t="s">
        <v>11101</v>
      </c>
      <c r="F93" s="261" t="s">
        <v>543</v>
      </c>
      <c r="G93" s="261" t="s">
        <v>1103</v>
      </c>
      <c r="H93" s="306">
        <v>196</v>
      </c>
      <c r="I93" s="330">
        <v>665</v>
      </c>
      <c r="J93" s="306">
        <v>200</v>
      </c>
      <c r="K93" s="330">
        <v>710</v>
      </c>
      <c r="L93" s="261" t="s">
        <v>137</v>
      </c>
      <c r="M93" s="261" t="s">
        <v>11127</v>
      </c>
      <c r="N93" s="261"/>
      <c r="O93" s="816">
        <v>65000</v>
      </c>
      <c r="P93" s="816" t="s">
        <v>137</v>
      </c>
      <c r="Q93" s="822" t="s">
        <v>10929</v>
      </c>
    </row>
    <row r="94" spans="1:17" x14ac:dyDescent="0.2">
      <c r="A94" s="306" t="s">
        <v>11137</v>
      </c>
      <c r="B94" s="261" t="s">
        <v>11138</v>
      </c>
      <c r="C94" s="261" t="s">
        <v>11139</v>
      </c>
      <c r="D94" s="261">
        <v>5</v>
      </c>
      <c r="E94" s="261" t="s">
        <v>11101</v>
      </c>
      <c r="F94" s="261" t="s">
        <v>645</v>
      </c>
      <c r="G94" s="261" t="s">
        <v>1103</v>
      </c>
      <c r="H94" s="306">
        <v>194</v>
      </c>
      <c r="I94" s="330">
        <v>646</v>
      </c>
      <c r="J94" s="306">
        <v>200</v>
      </c>
      <c r="K94" s="330">
        <v>670</v>
      </c>
      <c r="L94" s="261" t="s">
        <v>137</v>
      </c>
      <c r="M94" s="261" t="s">
        <v>11127</v>
      </c>
      <c r="N94" s="261"/>
      <c r="O94" s="816">
        <v>65000</v>
      </c>
      <c r="P94" s="816" t="s">
        <v>137</v>
      </c>
      <c r="Q94" s="822" t="s">
        <v>10934</v>
      </c>
    </row>
    <row r="95" spans="1:17" x14ac:dyDescent="0.2">
      <c r="A95" s="306" t="s">
        <v>11140</v>
      </c>
      <c r="B95" s="261" t="s">
        <v>11141</v>
      </c>
      <c r="C95" s="261" t="s">
        <v>11142</v>
      </c>
      <c r="D95" s="261">
        <v>5</v>
      </c>
      <c r="E95" s="261" t="s">
        <v>11101</v>
      </c>
      <c r="F95" s="261" t="s">
        <v>759</v>
      </c>
      <c r="G95" s="261" t="s">
        <v>1103</v>
      </c>
      <c r="H95" s="306">
        <v>178</v>
      </c>
      <c r="I95" s="330">
        <v>627</v>
      </c>
      <c r="J95" s="306">
        <v>190</v>
      </c>
      <c r="K95" s="330">
        <v>630</v>
      </c>
      <c r="L95" s="261" t="s">
        <v>137</v>
      </c>
      <c r="M95" s="261" t="s">
        <v>11127</v>
      </c>
      <c r="N95" s="261"/>
      <c r="O95" s="816">
        <v>65000</v>
      </c>
      <c r="P95" s="816" t="s">
        <v>137</v>
      </c>
      <c r="Q95" s="822" t="s">
        <v>10939</v>
      </c>
    </row>
    <row r="96" spans="1:17" x14ac:dyDescent="0.2">
      <c r="A96" s="306" t="s">
        <v>11143</v>
      </c>
      <c r="B96" s="261" t="s">
        <v>11144</v>
      </c>
      <c r="C96" s="261" t="s">
        <v>11145</v>
      </c>
      <c r="D96" s="261">
        <v>5</v>
      </c>
      <c r="E96" s="261" t="s">
        <v>11101</v>
      </c>
      <c r="F96" s="261" t="s">
        <v>839</v>
      </c>
      <c r="G96" s="261" t="s">
        <v>1103</v>
      </c>
      <c r="H96" s="306">
        <v>184</v>
      </c>
      <c r="I96" s="330">
        <v>639</v>
      </c>
      <c r="J96" s="306">
        <v>185</v>
      </c>
      <c r="K96" s="330">
        <v>695</v>
      </c>
      <c r="L96" s="261" t="s">
        <v>137</v>
      </c>
      <c r="M96" s="261" t="s">
        <v>11127</v>
      </c>
      <c r="N96" s="261"/>
      <c r="O96" s="816">
        <v>65000</v>
      </c>
      <c r="P96" s="816" t="s">
        <v>137</v>
      </c>
      <c r="Q96" s="822" t="s">
        <v>10944</v>
      </c>
    </row>
    <row r="97" spans="1:17" x14ac:dyDescent="0.2">
      <c r="A97" s="306" t="s">
        <v>11146</v>
      </c>
      <c r="B97" s="261" t="s">
        <v>11147</v>
      </c>
      <c r="C97" s="261" t="s">
        <v>11148</v>
      </c>
      <c r="D97" s="261">
        <v>5</v>
      </c>
      <c r="E97" s="261" t="s">
        <v>11101</v>
      </c>
      <c r="F97" s="261" t="s">
        <v>949</v>
      </c>
      <c r="G97" s="261" t="s">
        <v>1103</v>
      </c>
      <c r="H97" s="306">
        <v>216</v>
      </c>
      <c r="I97" s="330">
        <v>590</v>
      </c>
      <c r="J97" s="306">
        <v>220</v>
      </c>
      <c r="K97" s="330">
        <v>590</v>
      </c>
      <c r="L97" s="261" t="s">
        <v>137</v>
      </c>
      <c r="M97" s="261" t="s">
        <v>11127</v>
      </c>
      <c r="N97" s="261"/>
      <c r="O97" s="816">
        <v>65000</v>
      </c>
      <c r="P97" s="816" t="s">
        <v>137</v>
      </c>
      <c r="Q97" s="822" t="s">
        <v>10949</v>
      </c>
    </row>
    <row r="98" spans="1:17" x14ac:dyDescent="0.2">
      <c r="A98" s="306" t="s">
        <v>11149</v>
      </c>
      <c r="B98" s="261" t="s">
        <v>11150</v>
      </c>
      <c r="C98" s="261" t="s">
        <v>11151</v>
      </c>
      <c r="D98" s="261">
        <v>5</v>
      </c>
      <c r="E98" s="261" t="s">
        <v>11101</v>
      </c>
      <c r="F98" s="261" t="s">
        <v>123</v>
      </c>
      <c r="G98" s="261" t="s">
        <v>1947</v>
      </c>
      <c r="H98" s="306">
        <v>196</v>
      </c>
      <c r="I98" s="330">
        <v>621</v>
      </c>
      <c r="J98" s="306">
        <v>200</v>
      </c>
      <c r="K98" s="330">
        <v>675</v>
      </c>
      <c r="L98" s="261" t="s">
        <v>137</v>
      </c>
      <c r="M98" s="261" t="s">
        <v>11152</v>
      </c>
      <c r="N98" s="261"/>
      <c r="O98" s="816">
        <v>65000</v>
      </c>
      <c r="P98" s="816" t="s">
        <v>137</v>
      </c>
      <c r="Q98" s="822" t="s">
        <v>10914</v>
      </c>
    </row>
    <row r="99" spans="1:17" x14ac:dyDescent="0.2">
      <c r="A99" s="306" t="s">
        <v>11153</v>
      </c>
      <c r="B99" s="261" t="s">
        <v>11154</v>
      </c>
      <c r="C99" s="261" t="s">
        <v>11155</v>
      </c>
      <c r="D99" s="261">
        <v>5</v>
      </c>
      <c r="E99" s="261" t="s">
        <v>11101</v>
      </c>
      <c r="F99" s="261" t="s">
        <v>330</v>
      </c>
      <c r="G99" s="261" t="s">
        <v>1947</v>
      </c>
      <c r="H99" s="306">
        <v>160</v>
      </c>
      <c r="I99" s="330">
        <v>693</v>
      </c>
      <c r="J99" s="306">
        <v>175</v>
      </c>
      <c r="K99" s="330">
        <v>715</v>
      </c>
      <c r="L99" s="261" t="s">
        <v>137</v>
      </c>
      <c r="M99" s="261" t="s">
        <v>11152</v>
      </c>
      <c r="N99" s="261"/>
      <c r="O99" s="816">
        <v>65000</v>
      </c>
      <c r="P99" s="816" t="s">
        <v>137</v>
      </c>
      <c r="Q99" s="822" t="s">
        <v>10919</v>
      </c>
    </row>
    <row r="100" spans="1:17" x14ac:dyDescent="0.2">
      <c r="A100" s="306" t="s">
        <v>11156</v>
      </c>
      <c r="B100" s="261" t="s">
        <v>11157</v>
      </c>
      <c r="C100" s="261" t="s">
        <v>11158</v>
      </c>
      <c r="D100" s="261">
        <v>5</v>
      </c>
      <c r="E100" s="261" t="s">
        <v>11101</v>
      </c>
      <c r="F100" s="261" t="s">
        <v>429</v>
      </c>
      <c r="G100" s="261" t="s">
        <v>1947</v>
      </c>
      <c r="H100" s="306">
        <v>174</v>
      </c>
      <c r="I100" s="330">
        <v>660</v>
      </c>
      <c r="J100" s="306">
        <v>200</v>
      </c>
      <c r="K100" s="330">
        <v>660</v>
      </c>
      <c r="L100" s="261" t="s">
        <v>137</v>
      </c>
      <c r="M100" s="261" t="s">
        <v>11152</v>
      </c>
      <c r="N100" s="261"/>
      <c r="O100" s="816">
        <v>65000</v>
      </c>
      <c r="P100" s="816" t="s">
        <v>137</v>
      </c>
      <c r="Q100" s="822" t="s">
        <v>10924</v>
      </c>
    </row>
    <row r="101" spans="1:17" x14ac:dyDescent="0.2">
      <c r="A101" s="306" t="s">
        <v>11159</v>
      </c>
      <c r="B101" s="261" t="s">
        <v>11160</v>
      </c>
      <c r="C101" s="261" t="s">
        <v>11161</v>
      </c>
      <c r="D101" s="261">
        <v>5</v>
      </c>
      <c r="E101" s="261" t="s">
        <v>11101</v>
      </c>
      <c r="F101" s="261" t="s">
        <v>543</v>
      </c>
      <c r="G101" s="261" t="s">
        <v>1947</v>
      </c>
      <c r="H101" s="306">
        <v>196</v>
      </c>
      <c r="I101" s="330">
        <v>665</v>
      </c>
      <c r="J101" s="306">
        <v>200</v>
      </c>
      <c r="K101" s="330">
        <v>710</v>
      </c>
      <c r="L101" s="261" t="s">
        <v>137</v>
      </c>
      <c r="M101" s="261" t="s">
        <v>11152</v>
      </c>
      <c r="N101" s="261"/>
      <c r="O101" s="816">
        <v>65000</v>
      </c>
      <c r="P101" s="816" t="s">
        <v>137</v>
      </c>
      <c r="Q101" s="822" t="s">
        <v>10929</v>
      </c>
    </row>
    <row r="102" spans="1:17" x14ac:dyDescent="0.2">
      <c r="A102" s="306" t="s">
        <v>11162</v>
      </c>
      <c r="B102" s="261" t="s">
        <v>11163</v>
      </c>
      <c r="C102" s="261" t="s">
        <v>11164</v>
      </c>
      <c r="D102" s="261">
        <v>5</v>
      </c>
      <c r="E102" s="261" t="s">
        <v>11101</v>
      </c>
      <c r="F102" s="261" t="s">
        <v>645</v>
      </c>
      <c r="G102" s="261" t="s">
        <v>1947</v>
      </c>
      <c r="H102" s="306">
        <v>194</v>
      </c>
      <c r="I102" s="330">
        <v>646</v>
      </c>
      <c r="J102" s="306">
        <v>200</v>
      </c>
      <c r="K102" s="330">
        <v>670</v>
      </c>
      <c r="L102" s="261" t="s">
        <v>137</v>
      </c>
      <c r="M102" s="261" t="s">
        <v>11152</v>
      </c>
      <c r="N102" s="261"/>
      <c r="O102" s="816">
        <v>65000</v>
      </c>
      <c r="P102" s="816" t="s">
        <v>137</v>
      </c>
      <c r="Q102" s="822" t="s">
        <v>10934</v>
      </c>
    </row>
    <row r="103" spans="1:17" x14ac:dyDescent="0.2">
      <c r="A103" s="306" t="s">
        <v>11165</v>
      </c>
      <c r="B103" s="261" t="s">
        <v>11166</v>
      </c>
      <c r="C103" s="261" t="s">
        <v>11167</v>
      </c>
      <c r="D103" s="261">
        <v>5</v>
      </c>
      <c r="E103" s="261" t="s">
        <v>11101</v>
      </c>
      <c r="F103" s="261" t="s">
        <v>759</v>
      </c>
      <c r="G103" s="261" t="s">
        <v>1947</v>
      </c>
      <c r="H103" s="306">
        <v>178</v>
      </c>
      <c r="I103" s="330">
        <v>627</v>
      </c>
      <c r="J103" s="306">
        <v>190</v>
      </c>
      <c r="K103" s="330">
        <v>630</v>
      </c>
      <c r="L103" s="261" t="s">
        <v>137</v>
      </c>
      <c r="M103" s="261" t="s">
        <v>11152</v>
      </c>
      <c r="N103" s="261"/>
      <c r="O103" s="816">
        <v>65000</v>
      </c>
      <c r="P103" s="816" t="s">
        <v>137</v>
      </c>
      <c r="Q103" s="822" t="s">
        <v>10939</v>
      </c>
    </row>
    <row r="104" spans="1:17" x14ac:dyDescent="0.2">
      <c r="A104" s="306" t="s">
        <v>11168</v>
      </c>
      <c r="B104" s="261" t="s">
        <v>11169</v>
      </c>
      <c r="C104" s="261" t="s">
        <v>11170</v>
      </c>
      <c r="D104" s="261">
        <v>5</v>
      </c>
      <c r="E104" s="261" t="s">
        <v>11101</v>
      </c>
      <c r="F104" s="261" t="s">
        <v>839</v>
      </c>
      <c r="G104" s="261" t="s">
        <v>1947</v>
      </c>
      <c r="H104" s="306">
        <v>162</v>
      </c>
      <c r="I104" s="330">
        <v>693</v>
      </c>
      <c r="J104" s="306">
        <v>185</v>
      </c>
      <c r="K104" s="330">
        <v>695</v>
      </c>
      <c r="L104" s="261" t="s">
        <v>137</v>
      </c>
      <c r="M104" s="261" t="s">
        <v>11152</v>
      </c>
      <c r="N104" s="261"/>
      <c r="O104" s="816">
        <v>65000</v>
      </c>
      <c r="P104" s="816" t="s">
        <v>137</v>
      </c>
      <c r="Q104" s="822" t="s">
        <v>10944</v>
      </c>
    </row>
    <row r="105" spans="1:17" x14ac:dyDescent="0.2">
      <c r="A105" s="306" t="s">
        <v>11171</v>
      </c>
      <c r="B105" s="261" t="s">
        <v>11172</v>
      </c>
      <c r="C105" s="261" t="s">
        <v>11173</v>
      </c>
      <c r="D105" s="261">
        <v>5</v>
      </c>
      <c r="E105" s="261" t="s">
        <v>11101</v>
      </c>
      <c r="F105" s="261" t="s">
        <v>949</v>
      </c>
      <c r="G105" s="261" t="s">
        <v>1947</v>
      </c>
      <c r="H105" s="306">
        <v>216</v>
      </c>
      <c r="I105" s="330">
        <v>590</v>
      </c>
      <c r="J105" s="306">
        <v>220</v>
      </c>
      <c r="K105" s="330">
        <v>590</v>
      </c>
      <c r="L105" s="261" t="s">
        <v>137</v>
      </c>
      <c r="M105" s="261" t="s">
        <v>11152</v>
      </c>
      <c r="N105" s="261"/>
      <c r="O105" s="816">
        <v>65000</v>
      </c>
      <c r="P105" s="816" t="s">
        <v>137</v>
      </c>
      <c r="Q105" s="822" t="s">
        <v>10949</v>
      </c>
    </row>
    <row r="106" spans="1:17" x14ac:dyDescent="0.2">
      <c r="A106" s="306" t="s">
        <v>11174</v>
      </c>
      <c r="B106" s="261" t="s">
        <v>11175</v>
      </c>
      <c r="C106" s="261" t="s">
        <v>11176</v>
      </c>
      <c r="D106" s="261">
        <v>5</v>
      </c>
      <c r="E106" s="261" t="s">
        <v>11101</v>
      </c>
      <c r="F106" s="261" t="s">
        <v>123</v>
      </c>
      <c r="G106" s="261" t="s">
        <v>2837</v>
      </c>
      <c r="H106" s="306">
        <v>172</v>
      </c>
      <c r="I106" s="330">
        <v>673</v>
      </c>
      <c r="J106" s="306">
        <v>200</v>
      </c>
      <c r="K106" s="330">
        <v>675</v>
      </c>
      <c r="L106" s="261" t="s">
        <v>137</v>
      </c>
      <c r="M106" s="261" t="s">
        <v>11177</v>
      </c>
      <c r="N106" s="261"/>
      <c r="O106" s="816">
        <v>65000</v>
      </c>
      <c r="P106" s="816" t="s">
        <v>137</v>
      </c>
      <c r="Q106" s="822" t="s">
        <v>10914</v>
      </c>
    </row>
    <row r="107" spans="1:17" x14ac:dyDescent="0.2">
      <c r="A107" s="306" t="s">
        <v>11178</v>
      </c>
      <c r="B107" s="261" t="s">
        <v>11179</v>
      </c>
      <c r="C107" s="261" t="s">
        <v>11180</v>
      </c>
      <c r="D107" s="261">
        <v>5</v>
      </c>
      <c r="E107" s="261" t="s">
        <v>11101</v>
      </c>
      <c r="F107" s="261" t="s">
        <v>330</v>
      </c>
      <c r="G107" s="261" t="s">
        <v>2837</v>
      </c>
      <c r="H107" s="306">
        <v>152</v>
      </c>
      <c r="I107" s="330">
        <v>713</v>
      </c>
      <c r="J107" s="306">
        <v>175</v>
      </c>
      <c r="K107" s="330">
        <v>715</v>
      </c>
      <c r="L107" s="261" t="s">
        <v>137</v>
      </c>
      <c r="M107" s="261" t="s">
        <v>11177</v>
      </c>
      <c r="N107" s="261"/>
      <c r="O107" s="816">
        <v>65000</v>
      </c>
      <c r="P107" s="816" t="s">
        <v>137</v>
      </c>
      <c r="Q107" s="822" t="s">
        <v>10919</v>
      </c>
    </row>
    <row r="108" spans="1:17" x14ac:dyDescent="0.2">
      <c r="A108" s="306" t="s">
        <v>11181</v>
      </c>
      <c r="B108" s="261" t="s">
        <v>11182</v>
      </c>
      <c r="C108" s="261" t="s">
        <v>11183</v>
      </c>
      <c r="D108" s="261">
        <v>5</v>
      </c>
      <c r="E108" s="261" t="s">
        <v>11101</v>
      </c>
      <c r="F108" s="261" t="s">
        <v>429</v>
      </c>
      <c r="G108" s="261" t="s">
        <v>2837</v>
      </c>
      <c r="H108" s="306">
        <v>198</v>
      </c>
      <c r="I108" s="330">
        <v>608</v>
      </c>
      <c r="J108" s="306">
        <v>200</v>
      </c>
      <c r="K108" s="330">
        <v>660</v>
      </c>
      <c r="L108" s="261" t="s">
        <v>137</v>
      </c>
      <c r="M108" s="261" t="s">
        <v>11177</v>
      </c>
      <c r="N108" s="261"/>
      <c r="O108" s="816">
        <v>65000</v>
      </c>
      <c r="P108" s="816" t="s">
        <v>137</v>
      </c>
      <c r="Q108" s="822" t="s">
        <v>10924</v>
      </c>
    </row>
    <row r="109" spans="1:17" x14ac:dyDescent="0.2">
      <c r="A109" s="306" t="s">
        <v>11184</v>
      </c>
      <c r="B109" s="261" t="s">
        <v>11185</v>
      </c>
      <c r="C109" s="261" t="s">
        <v>11186</v>
      </c>
      <c r="D109" s="261">
        <v>5</v>
      </c>
      <c r="E109" s="261" t="s">
        <v>11101</v>
      </c>
      <c r="F109" s="261" t="s">
        <v>543</v>
      </c>
      <c r="G109" s="261" t="s">
        <v>2837</v>
      </c>
      <c r="H109" s="306">
        <v>196</v>
      </c>
      <c r="I109" s="330">
        <v>665</v>
      </c>
      <c r="J109" s="306">
        <v>200</v>
      </c>
      <c r="K109" s="330">
        <v>710</v>
      </c>
      <c r="L109" s="261" t="s">
        <v>137</v>
      </c>
      <c r="M109" s="261" t="s">
        <v>11177</v>
      </c>
      <c r="N109" s="261"/>
      <c r="O109" s="816">
        <v>65000</v>
      </c>
      <c r="P109" s="816" t="s">
        <v>137</v>
      </c>
      <c r="Q109" s="822" t="s">
        <v>10929</v>
      </c>
    </row>
    <row r="110" spans="1:17" x14ac:dyDescent="0.2">
      <c r="A110" s="306" t="s">
        <v>11187</v>
      </c>
      <c r="B110" s="261" t="s">
        <v>11188</v>
      </c>
      <c r="C110" s="261" t="s">
        <v>11189</v>
      </c>
      <c r="D110" s="261">
        <v>5</v>
      </c>
      <c r="E110" s="261" t="s">
        <v>11101</v>
      </c>
      <c r="F110" s="261" t="s">
        <v>645</v>
      </c>
      <c r="G110" s="261" t="s">
        <v>2837</v>
      </c>
      <c r="H110" s="306">
        <v>185</v>
      </c>
      <c r="I110" s="330">
        <v>666</v>
      </c>
      <c r="J110" s="306">
        <v>200</v>
      </c>
      <c r="K110" s="330">
        <v>670</v>
      </c>
      <c r="L110" s="261" t="s">
        <v>137</v>
      </c>
      <c r="M110" s="261" t="s">
        <v>11177</v>
      </c>
      <c r="N110" s="261"/>
      <c r="O110" s="816">
        <v>65000</v>
      </c>
      <c r="P110" s="816" t="s">
        <v>137</v>
      </c>
      <c r="Q110" s="822" t="s">
        <v>10934</v>
      </c>
    </row>
    <row r="111" spans="1:17" x14ac:dyDescent="0.2">
      <c r="A111" s="306" t="s">
        <v>11190</v>
      </c>
      <c r="B111" s="261" t="s">
        <v>11191</v>
      </c>
      <c r="C111" s="261" t="s">
        <v>11192</v>
      </c>
      <c r="D111" s="261">
        <v>5</v>
      </c>
      <c r="E111" s="261" t="s">
        <v>11101</v>
      </c>
      <c r="F111" s="261" t="s">
        <v>759</v>
      </c>
      <c r="G111" s="261" t="s">
        <v>2837</v>
      </c>
      <c r="H111" s="306">
        <v>178</v>
      </c>
      <c r="I111" s="330">
        <v>627</v>
      </c>
      <c r="J111" s="306">
        <v>190</v>
      </c>
      <c r="K111" s="330">
        <v>630</v>
      </c>
      <c r="L111" s="261" t="s">
        <v>137</v>
      </c>
      <c r="M111" s="261" t="s">
        <v>11177</v>
      </c>
      <c r="N111" s="261"/>
      <c r="O111" s="816">
        <v>65000</v>
      </c>
      <c r="P111" s="816" t="s">
        <v>137</v>
      </c>
      <c r="Q111" s="822" t="s">
        <v>10939</v>
      </c>
    </row>
    <row r="112" spans="1:17" x14ac:dyDescent="0.2">
      <c r="A112" s="306" t="s">
        <v>11193</v>
      </c>
      <c r="B112" s="261" t="s">
        <v>11194</v>
      </c>
      <c r="C112" s="261" t="s">
        <v>11195</v>
      </c>
      <c r="D112" s="261">
        <v>5</v>
      </c>
      <c r="E112" s="261" t="s">
        <v>11101</v>
      </c>
      <c r="F112" s="261" t="s">
        <v>839</v>
      </c>
      <c r="G112" s="261" t="s">
        <v>2837</v>
      </c>
      <c r="H112" s="306">
        <v>179</v>
      </c>
      <c r="I112" s="330">
        <v>653</v>
      </c>
      <c r="J112" s="306">
        <v>185</v>
      </c>
      <c r="K112" s="330">
        <v>695</v>
      </c>
      <c r="L112" s="261" t="s">
        <v>137</v>
      </c>
      <c r="M112" s="261" t="s">
        <v>11177</v>
      </c>
      <c r="N112" s="261"/>
      <c r="O112" s="816">
        <v>65000</v>
      </c>
      <c r="P112" s="816" t="s">
        <v>137</v>
      </c>
      <c r="Q112" s="822" t="s">
        <v>10944</v>
      </c>
    </row>
    <row r="113" spans="1:17" x14ac:dyDescent="0.2">
      <c r="A113" s="306" t="s">
        <v>11196</v>
      </c>
      <c r="B113" s="261" t="s">
        <v>11197</v>
      </c>
      <c r="C113" s="261" t="s">
        <v>11198</v>
      </c>
      <c r="D113" s="261">
        <v>5</v>
      </c>
      <c r="E113" s="261" t="s">
        <v>11101</v>
      </c>
      <c r="F113" s="261" t="s">
        <v>949</v>
      </c>
      <c r="G113" s="261" t="s">
        <v>2837</v>
      </c>
      <c r="H113" s="306">
        <v>216</v>
      </c>
      <c r="I113" s="330">
        <v>590</v>
      </c>
      <c r="J113" s="306">
        <v>220</v>
      </c>
      <c r="K113" s="330">
        <v>590</v>
      </c>
      <c r="L113" s="261" t="s">
        <v>137</v>
      </c>
      <c r="M113" s="261" t="s">
        <v>11199</v>
      </c>
      <c r="N113" s="261"/>
      <c r="O113" s="816">
        <v>65000</v>
      </c>
      <c r="P113" s="816" t="s">
        <v>137</v>
      </c>
      <c r="Q113" s="822" t="s">
        <v>10949</v>
      </c>
    </row>
    <row r="114" spans="1:17" x14ac:dyDescent="0.2">
      <c r="A114" s="306" t="s">
        <v>11200</v>
      </c>
      <c r="B114" s="261" t="s">
        <v>11201</v>
      </c>
      <c r="C114" s="261" t="s">
        <v>11202</v>
      </c>
      <c r="D114" s="261">
        <v>5</v>
      </c>
      <c r="E114" s="261" t="s">
        <v>11101</v>
      </c>
      <c r="F114" s="261" t="s">
        <v>123</v>
      </c>
      <c r="G114" s="261" t="s">
        <v>3779</v>
      </c>
      <c r="H114" s="306">
        <v>182</v>
      </c>
      <c r="I114" s="330">
        <v>653</v>
      </c>
      <c r="J114" s="306">
        <v>200</v>
      </c>
      <c r="K114" s="330">
        <v>675</v>
      </c>
      <c r="L114" s="261" t="s">
        <v>137</v>
      </c>
      <c r="M114" s="261" t="s">
        <v>11203</v>
      </c>
      <c r="N114" s="261"/>
      <c r="O114" s="816">
        <v>65000</v>
      </c>
      <c r="P114" s="816" t="s">
        <v>137</v>
      </c>
      <c r="Q114" s="822" t="s">
        <v>10914</v>
      </c>
    </row>
    <row r="115" spans="1:17" x14ac:dyDescent="0.2">
      <c r="A115" s="306" t="s">
        <v>11204</v>
      </c>
      <c r="B115" s="261" t="s">
        <v>11205</v>
      </c>
      <c r="C115" s="261" t="s">
        <v>11206</v>
      </c>
      <c r="D115" s="261">
        <v>5</v>
      </c>
      <c r="E115" s="261" t="s">
        <v>11101</v>
      </c>
      <c r="F115" s="261" t="s">
        <v>330</v>
      </c>
      <c r="G115" s="261" t="s">
        <v>3779</v>
      </c>
      <c r="H115" s="306">
        <v>152</v>
      </c>
      <c r="I115" s="330">
        <v>713</v>
      </c>
      <c r="J115" s="306">
        <v>175</v>
      </c>
      <c r="K115" s="330">
        <v>715</v>
      </c>
      <c r="L115" s="261" t="s">
        <v>137</v>
      </c>
      <c r="M115" s="261" t="s">
        <v>11203</v>
      </c>
      <c r="N115" s="261"/>
      <c r="O115" s="816">
        <v>65000</v>
      </c>
      <c r="P115" s="816" t="s">
        <v>137</v>
      </c>
      <c r="Q115" s="822" t="s">
        <v>10919</v>
      </c>
    </row>
    <row r="116" spans="1:17" x14ac:dyDescent="0.2">
      <c r="A116" s="306" t="s">
        <v>11207</v>
      </c>
      <c r="B116" s="261" t="s">
        <v>11208</v>
      </c>
      <c r="C116" s="261" t="s">
        <v>11209</v>
      </c>
      <c r="D116" s="261">
        <v>5</v>
      </c>
      <c r="E116" s="261" t="s">
        <v>11101</v>
      </c>
      <c r="F116" s="261" t="s">
        <v>429</v>
      </c>
      <c r="G116" s="261" t="s">
        <v>3779</v>
      </c>
      <c r="H116" s="306">
        <v>192</v>
      </c>
      <c r="I116" s="330">
        <v>621</v>
      </c>
      <c r="J116" s="306">
        <v>200</v>
      </c>
      <c r="K116" s="330">
        <v>660</v>
      </c>
      <c r="L116" s="261" t="s">
        <v>137</v>
      </c>
      <c r="M116" s="261" t="s">
        <v>11203</v>
      </c>
      <c r="N116" s="261"/>
      <c r="O116" s="816">
        <v>65000</v>
      </c>
      <c r="P116" s="816" t="s">
        <v>137</v>
      </c>
      <c r="Q116" s="822" t="s">
        <v>10924</v>
      </c>
    </row>
    <row r="117" spans="1:17" x14ac:dyDescent="0.2">
      <c r="A117" s="306" t="s">
        <v>11210</v>
      </c>
      <c r="B117" s="261" t="s">
        <v>11211</v>
      </c>
      <c r="C117" s="261" t="s">
        <v>11212</v>
      </c>
      <c r="D117" s="261">
        <v>5</v>
      </c>
      <c r="E117" s="261" t="s">
        <v>11101</v>
      </c>
      <c r="F117" s="261" t="s">
        <v>543</v>
      </c>
      <c r="G117" s="261" t="s">
        <v>3779</v>
      </c>
      <c r="H117" s="306">
        <v>178</v>
      </c>
      <c r="I117" s="330">
        <v>707</v>
      </c>
      <c r="J117" s="306">
        <v>200</v>
      </c>
      <c r="K117" s="330">
        <v>710</v>
      </c>
      <c r="L117" s="261" t="s">
        <v>137</v>
      </c>
      <c r="M117" s="261" t="s">
        <v>11203</v>
      </c>
      <c r="N117" s="261"/>
      <c r="O117" s="816">
        <v>65000</v>
      </c>
      <c r="P117" s="816" t="s">
        <v>137</v>
      </c>
      <c r="Q117" s="822" t="s">
        <v>10929</v>
      </c>
    </row>
    <row r="118" spans="1:17" x14ac:dyDescent="0.2">
      <c r="A118" s="306" t="s">
        <v>11213</v>
      </c>
      <c r="B118" s="261" t="s">
        <v>11214</v>
      </c>
      <c r="C118" s="261" t="s">
        <v>11215</v>
      </c>
      <c r="D118" s="261">
        <v>5</v>
      </c>
      <c r="E118" s="261" t="s">
        <v>11101</v>
      </c>
      <c r="F118" s="261" t="s">
        <v>645</v>
      </c>
      <c r="G118" s="261" t="s">
        <v>3779</v>
      </c>
      <c r="H118" s="306">
        <v>200</v>
      </c>
      <c r="I118" s="330">
        <v>633</v>
      </c>
      <c r="J118" s="306">
        <v>200</v>
      </c>
      <c r="K118" s="330">
        <v>670</v>
      </c>
      <c r="L118" s="261" t="s">
        <v>137</v>
      </c>
      <c r="M118" s="261" t="s">
        <v>11203</v>
      </c>
      <c r="N118" s="261"/>
      <c r="O118" s="816">
        <v>65000</v>
      </c>
      <c r="P118" s="816" t="s">
        <v>137</v>
      </c>
      <c r="Q118" s="822" t="s">
        <v>10934</v>
      </c>
    </row>
    <row r="119" spans="1:17" x14ac:dyDescent="0.2">
      <c r="A119" s="306" t="s">
        <v>11216</v>
      </c>
      <c r="B119" s="261" t="s">
        <v>11217</v>
      </c>
      <c r="C119" s="261" t="s">
        <v>11218</v>
      </c>
      <c r="D119" s="261">
        <v>5</v>
      </c>
      <c r="E119" s="261" t="s">
        <v>11101</v>
      </c>
      <c r="F119" s="261" t="s">
        <v>759</v>
      </c>
      <c r="G119" s="261" t="s">
        <v>3779</v>
      </c>
      <c r="H119" s="306">
        <v>178</v>
      </c>
      <c r="I119" s="330">
        <v>627</v>
      </c>
      <c r="J119" s="306">
        <v>190</v>
      </c>
      <c r="K119" s="330">
        <v>630</v>
      </c>
      <c r="L119" s="261" t="s">
        <v>137</v>
      </c>
      <c r="M119" s="261" t="s">
        <v>11203</v>
      </c>
      <c r="N119" s="261"/>
      <c r="O119" s="816">
        <v>65000</v>
      </c>
      <c r="P119" s="816" t="s">
        <v>137</v>
      </c>
      <c r="Q119" s="822" t="s">
        <v>10939</v>
      </c>
    </row>
    <row r="120" spans="1:17" x14ac:dyDescent="0.2">
      <c r="A120" s="306" t="s">
        <v>11219</v>
      </c>
      <c r="B120" s="261" t="s">
        <v>11220</v>
      </c>
      <c r="C120" s="261" t="s">
        <v>11221</v>
      </c>
      <c r="D120" s="261">
        <v>5</v>
      </c>
      <c r="E120" s="261" t="s">
        <v>11101</v>
      </c>
      <c r="F120" s="261" t="s">
        <v>839</v>
      </c>
      <c r="G120" s="261" t="s">
        <v>3779</v>
      </c>
      <c r="H120" s="306">
        <v>179</v>
      </c>
      <c r="I120" s="330">
        <v>653</v>
      </c>
      <c r="J120" s="306">
        <v>185</v>
      </c>
      <c r="K120" s="330">
        <v>695</v>
      </c>
      <c r="L120" s="261" t="s">
        <v>137</v>
      </c>
      <c r="M120" s="261" t="s">
        <v>11203</v>
      </c>
      <c r="N120" s="261"/>
      <c r="O120" s="816">
        <v>65000</v>
      </c>
      <c r="P120" s="816" t="s">
        <v>137</v>
      </c>
      <c r="Q120" s="822" t="s">
        <v>10944</v>
      </c>
    </row>
    <row r="121" spans="1:17" x14ac:dyDescent="0.2">
      <c r="A121" s="306" t="s">
        <v>11222</v>
      </c>
      <c r="B121" s="261" t="s">
        <v>11223</v>
      </c>
      <c r="C121" s="261" t="s">
        <v>11224</v>
      </c>
      <c r="D121" s="261">
        <v>5</v>
      </c>
      <c r="E121" s="261" t="s">
        <v>11101</v>
      </c>
      <c r="F121" s="261" t="s">
        <v>949</v>
      </c>
      <c r="G121" s="261" t="s">
        <v>3779</v>
      </c>
      <c r="H121" s="306">
        <v>216</v>
      </c>
      <c r="I121" s="330">
        <v>590</v>
      </c>
      <c r="J121" s="306">
        <v>220</v>
      </c>
      <c r="K121" s="330">
        <v>590</v>
      </c>
      <c r="L121" s="261" t="s">
        <v>137</v>
      </c>
      <c r="M121" s="261" t="s">
        <v>11225</v>
      </c>
      <c r="N121" s="261"/>
      <c r="O121" s="816">
        <v>65000</v>
      </c>
      <c r="P121" s="816" t="s">
        <v>137</v>
      </c>
      <c r="Q121" s="822" t="s">
        <v>10949</v>
      </c>
    </row>
    <row r="122" spans="1:17" x14ac:dyDescent="0.2">
      <c r="A122" s="306" t="s">
        <v>11226</v>
      </c>
      <c r="B122" s="261" t="s">
        <v>11227</v>
      </c>
      <c r="C122" s="261" t="s">
        <v>11228</v>
      </c>
      <c r="D122" s="261">
        <v>5</v>
      </c>
      <c r="E122" s="261" t="s">
        <v>11229</v>
      </c>
      <c r="F122" s="261" t="s">
        <v>123</v>
      </c>
      <c r="G122" s="261" t="s">
        <v>122</v>
      </c>
      <c r="H122" s="306">
        <v>270</v>
      </c>
      <c r="I122" s="330">
        <v>972</v>
      </c>
      <c r="J122" s="306">
        <v>270</v>
      </c>
      <c r="K122" s="330">
        <v>1210</v>
      </c>
      <c r="L122" s="261" t="s">
        <v>137</v>
      </c>
      <c r="M122" s="261" t="s">
        <v>11230</v>
      </c>
      <c r="N122" s="261"/>
      <c r="O122" s="816">
        <v>80000</v>
      </c>
      <c r="P122" s="816" t="s">
        <v>11231</v>
      </c>
      <c r="Q122" s="822" t="s">
        <v>10914</v>
      </c>
    </row>
    <row r="123" spans="1:17" x14ac:dyDescent="0.2">
      <c r="A123" s="306" t="s">
        <v>11232</v>
      </c>
      <c r="B123" s="261" t="s">
        <v>11233</v>
      </c>
      <c r="C123" s="261" t="s">
        <v>11234</v>
      </c>
      <c r="D123" s="261">
        <v>5</v>
      </c>
      <c r="E123" s="261" t="s">
        <v>11229</v>
      </c>
      <c r="F123" s="261" t="s">
        <v>330</v>
      </c>
      <c r="G123" s="261" t="s">
        <v>122</v>
      </c>
      <c r="H123" s="306">
        <v>135</v>
      </c>
      <c r="I123" s="330">
        <v>1061</v>
      </c>
      <c r="J123" s="306">
        <v>250</v>
      </c>
      <c r="K123" s="330">
        <v>1280</v>
      </c>
      <c r="L123" s="261" t="s">
        <v>137</v>
      </c>
      <c r="M123" s="261" t="s">
        <v>11230</v>
      </c>
      <c r="N123" s="261"/>
      <c r="O123" s="816">
        <v>80000</v>
      </c>
      <c r="P123" s="816" t="s">
        <v>11231</v>
      </c>
      <c r="Q123" s="822" t="s">
        <v>10919</v>
      </c>
    </row>
    <row r="124" spans="1:17" x14ac:dyDescent="0.2">
      <c r="A124" s="306" t="s">
        <v>11235</v>
      </c>
      <c r="B124" s="261" t="s">
        <v>11236</v>
      </c>
      <c r="C124" s="261" t="s">
        <v>11237</v>
      </c>
      <c r="D124" s="261">
        <v>5</v>
      </c>
      <c r="E124" s="261" t="s">
        <v>11229</v>
      </c>
      <c r="F124" s="261" t="s">
        <v>429</v>
      </c>
      <c r="G124" s="261" t="s">
        <v>122</v>
      </c>
      <c r="H124" s="306">
        <v>155</v>
      </c>
      <c r="I124" s="330">
        <v>981</v>
      </c>
      <c r="J124" s="306">
        <v>275</v>
      </c>
      <c r="K124" s="330">
        <v>1185</v>
      </c>
      <c r="L124" s="261" t="s">
        <v>137</v>
      </c>
      <c r="M124" s="261" t="s">
        <v>11230</v>
      </c>
      <c r="N124" s="261"/>
      <c r="O124" s="816">
        <v>80000</v>
      </c>
      <c r="P124" s="816" t="s">
        <v>11231</v>
      </c>
      <c r="Q124" s="822" t="s">
        <v>10924</v>
      </c>
    </row>
    <row r="125" spans="1:17" x14ac:dyDescent="0.2">
      <c r="A125" s="306" t="s">
        <v>11238</v>
      </c>
      <c r="B125" s="261" t="s">
        <v>11239</v>
      </c>
      <c r="C125" s="261" t="s">
        <v>11240</v>
      </c>
      <c r="D125" s="261">
        <v>5</v>
      </c>
      <c r="E125" s="261" t="s">
        <v>11229</v>
      </c>
      <c r="F125" s="261" t="s">
        <v>543</v>
      </c>
      <c r="G125" s="261" t="s">
        <v>122</v>
      </c>
      <c r="H125" s="306">
        <v>159</v>
      </c>
      <c r="I125" s="330">
        <v>1051</v>
      </c>
      <c r="J125" s="306">
        <v>295</v>
      </c>
      <c r="K125" s="330">
        <v>1270</v>
      </c>
      <c r="L125" s="261" t="s">
        <v>137</v>
      </c>
      <c r="M125" s="261" t="s">
        <v>11230</v>
      </c>
      <c r="N125" s="261"/>
      <c r="O125" s="816">
        <v>80000</v>
      </c>
      <c r="P125" s="816" t="s">
        <v>11231</v>
      </c>
      <c r="Q125" s="822" t="s">
        <v>10929</v>
      </c>
    </row>
    <row r="126" spans="1:17" x14ac:dyDescent="0.2">
      <c r="A126" s="306" t="s">
        <v>11241</v>
      </c>
      <c r="B126" s="261" t="s">
        <v>11242</v>
      </c>
      <c r="C126" s="261" t="s">
        <v>11243</v>
      </c>
      <c r="D126" s="261">
        <v>5</v>
      </c>
      <c r="E126" s="261" t="s">
        <v>11229</v>
      </c>
      <c r="F126" s="261" t="s">
        <v>645</v>
      </c>
      <c r="G126" s="261" t="s">
        <v>122</v>
      </c>
      <c r="H126" s="306">
        <v>174</v>
      </c>
      <c r="I126" s="330">
        <v>962</v>
      </c>
      <c r="J126" s="306">
        <v>275</v>
      </c>
      <c r="K126" s="330">
        <v>1230</v>
      </c>
      <c r="L126" s="261" t="s">
        <v>137</v>
      </c>
      <c r="M126" s="261" t="s">
        <v>11230</v>
      </c>
      <c r="N126" s="261"/>
      <c r="O126" s="816">
        <v>80000</v>
      </c>
      <c r="P126" s="816" t="s">
        <v>11231</v>
      </c>
      <c r="Q126" s="822" t="s">
        <v>10934</v>
      </c>
    </row>
    <row r="127" spans="1:17" x14ac:dyDescent="0.2">
      <c r="A127" s="306" t="s">
        <v>11244</v>
      </c>
      <c r="B127" s="261" t="s">
        <v>11245</v>
      </c>
      <c r="C127" s="261" t="s">
        <v>11246</v>
      </c>
      <c r="D127" s="261">
        <v>5</v>
      </c>
      <c r="E127" s="261" t="s">
        <v>11229</v>
      </c>
      <c r="F127" s="261" t="s">
        <v>759</v>
      </c>
      <c r="G127" s="261" t="s">
        <v>122</v>
      </c>
      <c r="H127" s="306">
        <v>151</v>
      </c>
      <c r="I127" s="330">
        <v>961</v>
      </c>
      <c r="J127" s="306">
        <v>280</v>
      </c>
      <c r="K127" s="330">
        <v>1160</v>
      </c>
      <c r="L127" s="261" t="s">
        <v>137</v>
      </c>
      <c r="M127" s="261" t="s">
        <v>11230</v>
      </c>
      <c r="N127" s="261"/>
      <c r="O127" s="816">
        <v>80000</v>
      </c>
      <c r="P127" s="816" t="s">
        <v>11231</v>
      </c>
      <c r="Q127" s="822" t="s">
        <v>10939</v>
      </c>
    </row>
    <row r="128" spans="1:17" x14ac:dyDescent="0.2">
      <c r="A128" s="306" t="s">
        <v>11247</v>
      </c>
      <c r="B128" s="261" t="s">
        <v>11248</v>
      </c>
      <c r="C128" s="261" t="s">
        <v>11249</v>
      </c>
      <c r="D128" s="261">
        <v>5</v>
      </c>
      <c r="E128" s="261" t="s">
        <v>11229</v>
      </c>
      <c r="F128" s="261" t="s">
        <v>839</v>
      </c>
      <c r="G128" s="261" t="s">
        <v>122</v>
      </c>
      <c r="H128" s="306">
        <v>152</v>
      </c>
      <c r="I128" s="330">
        <v>1001</v>
      </c>
      <c r="J128" s="306">
        <v>275</v>
      </c>
      <c r="K128" s="330">
        <v>1245</v>
      </c>
      <c r="L128" s="261" t="s">
        <v>137</v>
      </c>
      <c r="M128" s="261" t="s">
        <v>11230</v>
      </c>
      <c r="N128" s="261"/>
      <c r="O128" s="816">
        <v>80000</v>
      </c>
      <c r="P128" s="816" t="s">
        <v>11231</v>
      </c>
      <c r="Q128" s="822" t="s">
        <v>10944</v>
      </c>
    </row>
    <row r="129" spans="1:17" x14ac:dyDescent="0.2">
      <c r="A129" s="306" t="s">
        <v>11250</v>
      </c>
      <c r="B129" s="261" t="s">
        <v>11251</v>
      </c>
      <c r="C129" s="261" t="s">
        <v>11252</v>
      </c>
      <c r="D129" s="261">
        <v>5</v>
      </c>
      <c r="E129" s="261" t="s">
        <v>11229</v>
      </c>
      <c r="F129" s="261" t="s">
        <v>949</v>
      </c>
      <c r="G129" s="261" t="s">
        <v>122</v>
      </c>
      <c r="H129" s="306">
        <v>225</v>
      </c>
      <c r="I129" s="330">
        <v>877</v>
      </c>
      <c r="J129" s="306">
        <v>325</v>
      </c>
      <c r="K129" s="330">
        <v>1110</v>
      </c>
      <c r="L129" s="261" t="s">
        <v>137</v>
      </c>
      <c r="M129" s="261" t="s">
        <v>11230</v>
      </c>
      <c r="N129" s="261"/>
      <c r="O129" s="816">
        <v>80000</v>
      </c>
      <c r="P129" s="816" t="s">
        <v>11231</v>
      </c>
      <c r="Q129" s="822" t="s">
        <v>10949</v>
      </c>
    </row>
    <row r="130" spans="1:17" x14ac:dyDescent="0.2">
      <c r="A130" s="306" t="s">
        <v>11253</v>
      </c>
      <c r="B130" s="261" t="s">
        <v>11254</v>
      </c>
      <c r="C130" s="261" t="s">
        <v>11255</v>
      </c>
      <c r="D130" s="261">
        <v>5</v>
      </c>
      <c r="E130" s="261" t="s">
        <v>11229</v>
      </c>
      <c r="F130" s="261" t="s">
        <v>1054</v>
      </c>
      <c r="G130" s="261" t="s">
        <v>122</v>
      </c>
      <c r="H130" s="306">
        <v>236</v>
      </c>
      <c r="I130" s="330">
        <v>1041</v>
      </c>
      <c r="J130" s="306">
        <v>270</v>
      </c>
      <c r="K130" s="330">
        <v>1255</v>
      </c>
      <c r="L130" s="261" t="s">
        <v>137</v>
      </c>
      <c r="M130" s="261" t="s">
        <v>11230</v>
      </c>
      <c r="N130" s="261"/>
      <c r="O130" s="816">
        <v>80000</v>
      </c>
      <c r="P130" s="816" t="s">
        <v>11231</v>
      </c>
      <c r="Q130" s="822" t="s">
        <v>10954</v>
      </c>
    </row>
    <row r="131" spans="1:17" x14ac:dyDescent="0.2">
      <c r="A131" s="306" t="s">
        <v>11256</v>
      </c>
      <c r="B131" s="261" t="s">
        <v>11257</v>
      </c>
      <c r="C131" s="261" t="s">
        <v>11258</v>
      </c>
      <c r="D131" s="261">
        <v>5</v>
      </c>
      <c r="E131" s="261" t="s">
        <v>11229</v>
      </c>
      <c r="F131" s="261" t="s">
        <v>123</v>
      </c>
      <c r="G131" s="261" t="s">
        <v>1103</v>
      </c>
      <c r="H131" s="306">
        <v>257</v>
      </c>
      <c r="I131" s="330">
        <v>1001</v>
      </c>
      <c r="J131" s="306">
        <v>270</v>
      </c>
      <c r="K131" s="330">
        <v>1210</v>
      </c>
      <c r="L131" s="261" t="s">
        <v>137</v>
      </c>
      <c r="M131" s="261" t="s">
        <v>11259</v>
      </c>
      <c r="N131" s="261"/>
      <c r="O131" s="816">
        <v>80000</v>
      </c>
      <c r="P131" s="816" t="s">
        <v>11231</v>
      </c>
      <c r="Q131" s="822" t="s">
        <v>10914</v>
      </c>
    </row>
    <row r="132" spans="1:17" x14ac:dyDescent="0.2">
      <c r="A132" s="306" t="s">
        <v>11260</v>
      </c>
      <c r="B132" s="261" t="s">
        <v>11261</v>
      </c>
      <c r="C132" s="261" t="s">
        <v>11262</v>
      </c>
      <c r="D132" s="261">
        <v>5</v>
      </c>
      <c r="E132" s="261" t="s">
        <v>11229</v>
      </c>
      <c r="F132" s="261" t="s">
        <v>330</v>
      </c>
      <c r="G132" s="261" t="s">
        <v>1103</v>
      </c>
      <c r="H132" s="306">
        <v>249</v>
      </c>
      <c r="I132" s="330">
        <v>999</v>
      </c>
      <c r="J132" s="306">
        <v>250</v>
      </c>
      <c r="K132" s="330">
        <v>1280</v>
      </c>
      <c r="L132" s="261" t="s">
        <v>137</v>
      </c>
      <c r="M132" s="261" t="s">
        <v>11259</v>
      </c>
      <c r="N132" s="261"/>
      <c r="O132" s="816">
        <v>80000</v>
      </c>
      <c r="P132" s="816" t="s">
        <v>11231</v>
      </c>
      <c r="Q132" s="822" t="s">
        <v>10919</v>
      </c>
    </row>
    <row r="133" spans="1:17" x14ac:dyDescent="0.2">
      <c r="A133" s="306" t="s">
        <v>11263</v>
      </c>
      <c r="B133" s="261" t="s">
        <v>11264</v>
      </c>
      <c r="C133" s="261" t="s">
        <v>11265</v>
      </c>
      <c r="D133" s="261">
        <v>5</v>
      </c>
      <c r="E133" s="261" t="s">
        <v>11229</v>
      </c>
      <c r="F133" s="261" t="s">
        <v>429</v>
      </c>
      <c r="G133" s="261" t="s">
        <v>1103</v>
      </c>
      <c r="H133" s="306">
        <v>164</v>
      </c>
      <c r="I133" s="330">
        <v>953</v>
      </c>
      <c r="J133" s="306">
        <v>275</v>
      </c>
      <c r="K133" s="330">
        <v>1185</v>
      </c>
      <c r="L133" s="261" t="s">
        <v>137</v>
      </c>
      <c r="M133" s="261" t="s">
        <v>11259</v>
      </c>
      <c r="N133" s="261"/>
      <c r="O133" s="816">
        <v>80000</v>
      </c>
      <c r="P133" s="816" t="s">
        <v>11231</v>
      </c>
      <c r="Q133" s="822" t="s">
        <v>10924</v>
      </c>
    </row>
    <row r="134" spans="1:17" x14ac:dyDescent="0.2">
      <c r="A134" s="306" t="s">
        <v>11266</v>
      </c>
      <c r="B134" s="261" t="s">
        <v>11267</v>
      </c>
      <c r="C134" s="261" t="s">
        <v>11268</v>
      </c>
      <c r="D134" s="261">
        <v>5</v>
      </c>
      <c r="E134" s="261" t="s">
        <v>11229</v>
      </c>
      <c r="F134" s="261" t="s">
        <v>543</v>
      </c>
      <c r="G134" s="261" t="s">
        <v>1103</v>
      </c>
      <c r="H134" s="306">
        <v>175</v>
      </c>
      <c r="I134" s="330">
        <v>990</v>
      </c>
      <c r="J134" s="306">
        <v>295</v>
      </c>
      <c r="K134" s="330">
        <v>1270</v>
      </c>
      <c r="L134" s="261" t="s">
        <v>137</v>
      </c>
      <c r="M134" s="261" t="s">
        <v>11259</v>
      </c>
      <c r="N134" s="261"/>
      <c r="O134" s="816">
        <v>80000</v>
      </c>
      <c r="P134" s="816" t="s">
        <v>11231</v>
      </c>
      <c r="Q134" s="822" t="s">
        <v>10929</v>
      </c>
    </row>
    <row r="135" spans="1:17" x14ac:dyDescent="0.2">
      <c r="A135" s="306" t="s">
        <v>11269</v>
      </c>
      <c r="B135" s="261" t="s">
        <v>11270</v>
      </c>
      <c r="C135" s="261" t="s">
        <v>11271</v>
      </c>
      <c r="D135" s="261">
        <v>5</v>
      </c>
      <c r="E135" s="261" t="s">
        <v>11229</v>
      </c>
      <c r="F135" s="261" t="s">
        <v>645</v>
      </c>
      <c r="G135" s="261" t="s">
        <v>1103</v>
      </c>
      <c r="H135" s="306">
        <v>165</v>
      </c>
      <c r="I135" s="330">
        <v>991</v>
      </c>
      <c r="J135" s="306">
        <v>275</v>
      </c>
      <c r="K135" s="330">
        <v>1230</v>
      </c>
      <c r="L135" s="261" t="s">
        <v>137</v>
      </c>
      <c r="M135" s="261" t="s">
        <v>11259</v>
      </c>
      <c r="N135" s="261"/>
      <c r="O135" s="816">
        <v>80000</v>
      </c>
      <c r="P135" s="816" t="s">
        <v>11231</v>
      </c>
      <c r="Q135" s="822" t="s">
        <v>10934</v>
      </c>
    </row>
    <row r="136" spans="1:17" x14ac:dyDescent="0.2">
      <c r="A136" s="306" t="s">
        <v>11272</v>
      </c>
      <c r="B136" s="261" t="s">
        <v>11273</v>
      </c>
      <c r="C136" s="261" t="s">
        <v>11274</v>
      </c>
      <c r="D136" s="261">
        <v>5</v>
      </c>
      <c r="E136" s="261" t="s">
        <v>11229</v>
      </c>
      <c r="F136" s="261" t="s">
        <v>759</v>
      </c>
      <c r="G136" s="261" t="s">
        <v>1103</v>
      </c>
      <c r="H136" s="306">
        <v>251</v>
      </c>
      <c r="I136" s="330">
        <v>961</v>
      </c>
      <c r="J136" s="306">
        <v>280</v>
      </c>
      <c r="K136" s="330">
        <v>1160</v>
      </c>
      <c r="L136" s="261" t="s">
        <v>137</v>
      </c>
      <c r="M136" s="261" t="s">
        <v>11259</v>
      </c>
      <c r="N136" s="261"/>
      <c r="O136" s="816">
        <v>80000</v>
      </c>
      <c r="P136" s="816" t="s">
        <v>11231</v>
      </c>
      <c r="Q136" s="822" t="s">
        <v>10939</v>
      </c>
    </row>
    <row r="137" spans="1:17" x14ac:dyDescent="0.2">
      <c r="A137" s="306" t="s">
        <v>11275</v>
      </c>
      <c r="B137" s="261" t="s">
        <v>11276</v>
      </c>
      <c r="C137" s="261" t="s">
        <v>11277</v>
      </c>
      <c r="D137" s="261">
        <v>5</v>
      </c>
      <c r="E137" s="261" t="s">
        <v>11229</v>
      </c>
      <c r="F137" s="261" t="s">
        <v>839</v>
      </c>
      <c r="G137" s="261" t="s">
        <v>1103</v>
      </c>
      <c r="H137" s="306">
        <v>274</v>
      </c>
      <c r="I137" s="330">
        <v>951</v>
      </c>
      <c r="J137" s="306">
        <v>275</v>
      </c>
      <c r="K137" s="330">
        <v>1245</v>
      </c>
      <c r="L137" s="261" t="s">
        <v>137</v>
      </c>
      <c r="M137" s="261" t="s">
        <v>11259</v>
      </c>
      <c r="N137" s="261"/>
      <c r="O137" s="816">
        <v>80000</v>
      </c>
      <c r="P137" s="816" t="s">
        <v>11231</v>
      </c>
      <c r="Q137" s="822" t="s">
        <v>10944</v>
      </c>
    </row>
    <row r="138" spans="1:17" x14ac:dyDescent="0.2">
      <c r="A138" s="306" t="s">
        <v>11278</v>
      </c>
      <c r="B138" s="261" t="s">
        <v>11279</v>
      </c>
      <c r="C138" s="261" t="s">
        <v>11280</v>
      </c>
      <c r="D138" s="261">
        <v>5</v>
      </c>
      <c r="E138" s="261" t="s">
        <v>11229</v>
      </c>
      <c r="F138" s="261" t="s">
        <v>949</v>
      </c>
      <c r="G138" s="261" t="s">
        <v>1103</v>
      </c>
      <c r="H138" s="306">
        <v>192</v>
      </c>
      <c r="I138" s="330">
        <v>877</v>
      </c>
      <c r="J138" s="306">
        <v>325</v>
      </c>
      <c r="K138" s="330">
        <v>1110</v>
      </c>
      <c r="L138" s="261" t="s">
        <v>137</v>
      </c>
      <c r="M138" s="261" t="s">
        <v>11259</v>
      </c>
      <c r="N138" s="261"/>
      <c r="O138" s="816">
        <v>80000</v>
      </c>
      <c r="P138" s="816" t="s">
        <v>11231</v>
      </c>
      <c r="Q138" s="822" t="s">
        <v>10949</v>
      </c>
    </row>
    <row r="139" spans="1:17" x14ac:dyDescent="0.2">
      <c r="A139" s="306" t="s">
        <v>11281</v>
      </c>
      <c r="B139" s="261" t="s">
        <v>11282</v>
      </c>
      <c r="C139" s="261" t="s">
        <v>11283</v>
      </c>
      <c r="D139" s="261">
        <v>5</v>
      </c>
      <c r="E139" s="261" t="s">
        <v>11229</v>
      </c>
      <c r="F139" s="261" t="s">
        <v>1054</v>
      </c>
      <c r="G139" s="261" t="s">
        <v>1103</v>
      </c>
      <c r="H139" s="306">
        <v>268</v>
      </c>
      <c r="I139" s="330">
        <v>960</v>
      </c>
      <c r="J139" s="306">
        <v>270</v>
      </c>
      <c r="K139" s="330">
        <v>1255</v>
      </c>
      <c r="L139" s="261" t="s">
        <v>137</v>
      </c>
      <c r="M139" s="261" t="s">
        <v>11259</v>
      </c>
      <c r="N139" s="261"/>
      <c r="O139" s="816">
        <v>80000</v>
      </c>
      <c r="P139" s="816" t="s">
        <v>11231</v>
      </c>
      <c r="Q139" s="822" t="s">
        <v>10954</v>
      </c>
    </row>
    <row r="140" spans="1:17" x14ac:dyDescent="0.2">
      <c r="A140" s="306" t="s">
        <v>11284</v>
      </c>
      <c r="B140" s="261" t="s">
        <v>11285</v>
      </c>
      <c r="C140" s="261" t="s">
        <v>11286</v>
      </c>
      <c r="D140" s="261">
        <v>5</v>
      </c>
      <c r="E140" s="261" t="s">
        <v>11229</v>
      </c>
      <c r="F140" s="261" t="s">
        <v>123</v>
      </c>
      <c r="G140" s="261" t="s">
        <v>1947</v>
      </c>
      <c r="H140" s="306">
        <v>270</v>
      </c>
      <c r="I140" s="330">
        <v>972</v>
      </c>
      <c r="J140" s="306">
        <v>270</v>
      </c>
      <c r="K140" s="330">
        <v>1210</v>
      </c>
      <c r="L140" s="261" t="s">
        <v>137</v>
      </c>
      <c r="M140" s="261" t="s">
        <v>11287</v>
      </c>
      <c r="N140" s="261"/>
      <c r="O140" s="816">
        <v>80000</v>
      </c>
      <c r="P140" s="816" t="s">
        <v>11231</v>
      </c>
      <c r="Q140" s="822" t="s">
        <v>10914</v>
      </c>
    </row>
    <row r="141" spans="1:17" x14ac:dyDescent="0.2">
      <c r="A141" s="306" t="s">
        <v>11288</v>
      </c>
      <c r="B141" s="261" t="s">
        <v>11289</v>
      </c>
      <c r="C141" s="261" t="s">
        <v>11290</v>
      </c>
      <c r="D141" s="261">
        <v>5</v>
      </c>
      <c r="E141" s="261" t="s">
        <v>11229</v>
      </c>
      <c r="F141" s="261" t="s">
        <v>330</v>
      </c>
      <c r="G141" s="261" t="s">
        <v>1947</v>
      </c>
      <c r="H141" s="306">
        <v>226</v>
      </c>
      <c r="I141" s="330">
        <v>1061</v>
      </c>
      <c r="J141" s="306">
        <v>250</v>
      </c>
      <c r="K141" s="330">
        <v>1280</v>
      </c>
      <c r="L141" s="261" t="s">
        <v>137</v>
      </c>
      <c r="M141" s="261" t="s">
        <v>11287</v>
      </c>
      <c r="N141" s="261"/>
      <c r="O141" s="816">
        <v>80000</v>
      </c>
      <c r="P141" s="816" t="s">
        <v>11231</v>
      </c>
      <c r="Q141" s="822" t="s">
        <v>10919</v>
      </c>
    </row>
    <row r="142" spans="1:17" x14ac:dyDescent="0.2">
      <c r="A142" s="306" t="s">
        <v>11291</v>
      </c>
      <c r="B142" s="261" t="s">
        <v>11292</v>
      </c>
      <c r="C142" s="261" t="s">
        <v>11293</v>
      </c>
      <c r="D142" s="261">
        <v>5</v>
      </c>
      <c r="E142" s="261" t="s">
        <v>11229</v>
      </c>
      <c r="F142" s="261" t="s">
        <v>429</v>
      </c>
      <c r="G142" s="261" t="s">
        <v>1947</v>
      </c>
      <c r="H142" s="306">
        <v>273</v>
      </c>
      <c r="I142" s="330">
        <v>953</v>
      </c>
      <c r="J142" s="306">
        <v>275</v>
      </c>
      <c r="K142" s="330">
        <v>1185</v>
      </c>
      <c r="L142" s="261" t="s">
        <v>137</v>
      </c>
      <c r="M142" s="261" t="s">
        <v>11287</v>
      </c>
      <c r="N142" s="261"/>
      <c r="O142" s="816">
        <v>80000</v>
      </c>
      <c r="P142" s="816" t="s">
        <v>11231</v>
      </c>
      <c r="Q142" s="822" t="s">
        <v>10924</v>
      </c>
    </row>
    <row r="143" spans="1:17" x14ac:dyDescent="0.2">
      <c r="A143" s="306" t="s">
        <v>11294</v>
      </c>
      <c r="B143" s="261" t="s">
        <v>11295</v>
      </c>
      <c r="C143" s="261" t="s">
        <v>11296</v>
      </c>
      <c r="D143" s="261">
        <v>5</v>
      </c>
      <c r="E143" s="261" t="s">
        <v>11229</v>
      </c>
      <c r="F143" s="261" t="s">
        <v>543</v>
      </c>
      <c r="G143" s="261" t="s">
        <v>1947</v>
      </c>
      <c r="H143" s="306">
        <v>292</v>
      </c>
      <c r="I143" s="330">
        <v>990</v>
      </c>
      <c r="J143" s="306">
        <v>295</v>
      </c>
      <c r="K143" s="330">
        <v>1270</v>
      </c>
      <c r="L143" s="261" t="s">
        <v>137</v>
      </c>
      <c r="M143" s="261" t="s">
        <v>11287</v>
      </c>
      <c r="N143" s="261"/>
      <c r="O143" s="816">
        <v>80000</v>
      </c>
      <c r="P143" s="816" t="s">
        <v>11231</v>
      </c>
      <c r="Q143" s="822" t="s">
        <v>10929</v>
      </c>
    </row>
    <row r="144" spans="1:17" x14ac:dyDescent="0.2">
      <c r="A144" s="306" t="s">
        <v>11297</v>
      </c>
      <c r="B144" s="261" t="s">
        <v>11298</v>
      </c>
      <c r="C144" s="261" t="s">
        <v>11299</v>
      </c>
      <c r="D144" s="261">
        <v>5</v>
      </c>
      <c r="E144" s="261" t="s">
        <v>11229</v>
      </c>
      <c r="F144" s="261" t="s">
        <v>645</v>
      </c>
      <c r="G144" s="261" t="s">
        <v>1947</v>
      </c>
      <c r="H144" s="306">
        <v>262</v>
      </c>
      <c r="I144" s="330">
        <v>1021</v>
      </c>
      <c r="J144" s="306">
        <v>275</v>
      </c>
      <c r="K144" s="330">
        <v>1230</v>
      </c>
      <c r="L144" s="261" t="s">
        <v>137</v>
      </c>
      <c r="M144" s="261" t="s">
        <v>11287</v>
      </c>
      <c r="N144" s="261"/>
      <c r="O144" s="816">
        <v>80000</v>
      </c>
      <c r="P144" s="816" t="s">
        <v>11231</v>
      </c>
      <c r="Q144" s="822" t="s">
        <v>10934</v>
      </c>
    </row>
    <row r="145" spans="1:17" x14ac:dyDescent="0.2">
      <c r="A145" s="306" t="s">
        <v>11300</v>
      </c>
      <c r="B145" s="261" t="s">
        <v>11301</v>
      </c>
      <c r="C145" s="261" t="s">
        <v>11302</v>
      </c>
      <c r="D145" s="261">
        <v>5</v>
      </c>
      <c r="E145" s="261" t="s">
        <v>11229</v>
      </c>
      <c r="F145" s="261" t="s">
        <v>759</v>
      </c>
      <c r="G145" s="261" t="s">
        <v>1947</v>
      </c>
      <c r="H145" s="306">
        <v>278</v>
      </c>
      <c r="I145" s="330">
        <v>905</v>
      </c>
      <c r="J145" s="306">
        <v>280</v>
      </c>
      <c r="K145" s="330">
        <v>1160</v>
      </c>
      <c r="L145" s="261" t="s">
        <v>137</v>
      </c>
      <c r="M145" s="261" t="s">
        <v>11287</v>
      </c>
      <c r="N145" s="261"/>
      <c r="O145" s="816">
        <v>80000</v>
      </c>
      <c r="P145" s="816" t="s">
        <v>11231</v>
      </c>
      <c r="Q145" s="822" t="s">
        <v>10939</v>
      </c>
    </row>
    <row r="146" spans="1:17" x14ac:dyDescent="0.2">
      <c r="A146" s="306" t="s">
        <v>11303</v>
      </c>
      <c r="B146" s="261" t="s">
        <v>11304</v>
      </c>
      <c r="C146" s="261" t="s">
        <v>11305</v>
      </c>
      <c r="D146" s="261">
        <v>5</v>
      </c>
      <c r="E146" s="261" t="s">
        <v>11229</v>
      </c>
      <c r="F146" s="261" t="s">
        <v>839</v>
      </c>
      <c r="G146" s="261" t="s">
        <v>1947</v>
      </c>
      <c r="H146" s="306">
        <v>241</v>
      </c>
      <c r="I146" s="330">
        <v>1031</v>
      </c>
      <c r="J146" s="306">
        <v>275</v>
      </c>
      <c r="K146" s="330">
        <v>1245</v>
      </c>
      <c r="L146" s="261" t="s">
        <v>137</v>
      </c>
      <c r="M146" s="261" t="s">
        <v>11287</v>
      </c>
      <c r="N146" s="261"/>
      <c r="O146" s="816">
        <v>80000</v>
      </c>
      <c r="P146" s="816" t="s">
        <v>11231</v>
      </c>
      <c r="Q146" s="822" t="s">
        <v>10944</v>
      </c>
    </row>
    <row r="147" spans="1:17" x14ac:dyDescent="0.2">
      <c r="A147" s="306" t="s">
        <v>11306</v>
      </c>
      <c r="B147" s="261" t="s">
        <v>11307</v>
      </c>
      <c r="C147" s="261" t="s">
        <v>11308</v>
      </c>
      <c r="D147" s="261">
        <v>5</v>
      </c>
      <c r="E147" s="261" t="s">
        <v>11229</v>
      </c>
      <c r="F147" s="261" t="s">
        <v>949</v>
      </c>
      <c r="G147" s="261" t="s">
        <v>1947</v>
      </c>
      <c r="H147" s="306">
        <v>321</v>
      </c>
      <c r="I147" s="330">
        <v>877</v>
      </c>
      <c r="J147" s="306">
        <v>325</v>
      </c>
      <c r="K147" s="330">
        <v>1110</v>
      </c>
      <c r="L147" s="261" t="s">
        <v>137</v>
      </c>
      <c r="M147" s="261" t="s">
        <v>11287</v>
      </c>
      <c r="N147" s="261"/>
      <c r="O147" s="816">
        <v>80000</v>
      </c>
      <c r="P147" s="816" t="s">
        <v>11231</v>
      </c>
      <c r="Q147" s="822" t="s">
        <v>10949</v>
      </c>
    </row>
    <row r="148" spans="1:17" x14ac:dyDescent="0.2">
      <c r="A148" s="306" t="s">
        <v>11309</v>
      </c>
      <c r="B148" s="261" t="s">
        <v>11310</v>
      </c>
      <c r="C148" s="261" t="s">
        <v>11311</v>
      </c>
      <c r="D148" s="261">
        <v>5</v>
      </c>
      <c r="E148" s="261" t="s">
        <v>11229</v>
      </c>
      <c r="F148" s="261" t="s">
        <v>1054</v>
      </c>
      <c r="G148" s="261" t="s">
        <v>1947</v>
      </c>
      <c r="H148" s="306">
        <v>261</v>
      </c>
      <c r="I148" s="330">
        <v>981</v>
      </c>
      <c r="J148" s="306">
        <v>270</v>
      </c>
      <c r="K148" s="330">
        <v>1255</v>
      </c>
      <c r="L148" s="261" t="s">
        <v>137</v>
      </c>
      <c r="M148" s="261" t="s">
        <v>11287</v>
      </c>
      <c r="N148" s="261"/>
      <c r="O148" s="816">
        <v>80000</v>
      </c>
      <c r="P148" s="816" t="s">
        <v>11231</v>
      </c>
      <c r="Q148" s="822" t="s">
        <v>10954</v>
      </c>
    </row>
    <row r="149" spans="1:17" x14ac:dyDescent="0.2">
      <c r="A149" s="306" t="s">
        <v>11312</v>
      </c>
      <c r="B149" s="261" t="s">
        <v>11313</v>
      </c>
      <c r="C149" s="261" t="s">
        <v>11314</v>
      </c>
      <c r="D149" s="261">
        <v>5</v>
      </c>
      <c r="E149" s="261" t="s">
        <v>11229</v>
      </c>
      <c r="F149" s="261" t="s">
        <v>123</v>
      </c>
      <c r="G149" s="261" t="s">
        <v>2837</v>
      </c>
      <c r="H149" s="306">
        <v>270</v>
      </c>
      <c r="I149" s="330">
        <v>972</v>
      </c>
      <c r="J149" s="306">
        <v>270</v>
      </c>
      <c r="K149" s="330">
        <v>1210</v>
      </c>
      <c r="L149" s="261" t="s">
        <v>137</v>
      </c>
      <c r="M149" s="261" t="s">
        <v>11315</v>
      </c>
      <c r="N149" s="261"/>
      <c r="O149" s="816">
        <v>80000</v>
      </c>
      <c r="P149" s="816" t="s">
        <v>11231</v>
      </c>
      <c r="Q149" s="822" t="s">
        <v>10914</v>
      </c>
    </row>
    <row r="150" spans="1:17" x14ac:dyDescent="0.2">
      <c r="A150" s="306" t="s">
        <v>11316</v>
      </c>
      <c r="B150" s="261" t="s">
        <v>11317</v>
      </c>
      <c r="C150" s="261" t="s">
        <v>11318</v>
      </c>
      <c r="D150" s="261">
        <v>5</v>
      </c>
      <c r="E150" s="261" t="s">
        <v>11229</v>
      </c>
      <c r="F150" s="261" t="s">
        <v>330</v>
      </c>
      <c r="G150" s="261" t="s">
        <v>2837</v>
      </c>
      <c r="H150" s="306">
        <v>238</v>
      </c>
      <c r="I150" s="330">
        <v>1030</v>
      </c>
      <c r="J150" s="306">
        <v>250</v>
      </c>
      <c r="K150" s="330">
        <v>1280</v>
      </c>
      <c r="L150" s="261" t="s">
        <v>137</v>
      </c>
      <c r="M150" s="261" t="s">
        <v>11315</v>
      </c>
      <c r="N150" s="261"/>
      <c r="O150" s="816">
        <v>80000</v>
      </c>
      <c r="P150" s="816" t="s">
        <v>11231</v>
      </c>
      <c r="Q150" s="822" t="s">
        <v>10919</v>
      </c>
    </row>
    <row r="151" spans="1:17" x14ac:dyDescent="0.2">
      <c r="A151" s="306" t="s">
        <v>11319</v>
      </c>
      <c r="B151" s="261" t="s">
        <v>11320</v>
      </c>
      <c r="C151" s="261" t="s">
        <v>11321</v>
      </c>
      <c r="D151" s="261">
        <v>5</v>
      </c>
      <c r="E151" s="261" t="s">
        <v>11229</v>
      </c>
      <c r="F151" s="261" t="s">
        <v>429</v>
      </c>
      <c r="G151" s="261" t="s">
        <v>2837</v>
      </c>
      <c r="H151" s="306">
        <v>273</v>
      </c>
      <c r="I151" s="330">
        <v>953</v>
      </c>
      <c r="J151" s="306">
        <v>275</v>
      </c>
      <c r="K151" s="330">
        <v>1185</v>
      </c>
      <c r="L151" s="261" t="s">
        <v>137</v>
      </c>
      <c r="M151" s="261" t="s">
        <v>11315</v>
      </c>
      <c r="N151" s="261"/>
      <c r="O151" s="816">
        <v>80000</v>
      </c>
      <c r="P151" s="816" t="s">
        <v>11231</v>
      </c>
      <c r="Q151" s="822" t="s">
        <v>10924</v>
      </c>
    </row>
    <row r="152" spans="1:17" x14ac:dyDescent="0.2">
      <c r="A152" s="306" t="s">
        <v>11322</v>
      </c>
      <c r="B152" s="261" t="s">
        <v>11323</v>
      </c>
      <c r="C152" s="261" t="s">
        <v>11324</v>
      </c>
      <c r="D152" s="261">
        <v>5</v>
      </c>
      <c r="E152" s="261" t="s">
        <v>11229</v>
      </c>
      <c r="F152" s="261" t="s">
        <v>543</v>
      </c>
      <c r="G152" s="261" t="s">
        <v>2837</v>
      </c>
      <c r="H152" s="306">
        <v>278</v>
      </c>
      <c r="I152" s="330">
        <v>1021</v>
      </c>
      <c r="J152" s="306">
        <v>295</v>
      </c>
      <c r="K152" s="330">
        <v>1270</v>
      </c>
      <c r="L152" s="261" t="s">
        <v>137</v>
      </c>
      <c r="M152" s="261" t="s">
        <v>11315</v>
      </c>
      <c r="N152" s="261"/>
      <c r="O152" s="816">
        <v>80000</v>
      </c>
      <c r="P152" s="816" t="s">
        <v>11231</v>
      </c>
      <c r="Q152" s="822" t="s">
        <v>10929</v>
      </c>
    </row>
    <row r="153" spans="1:17" x14ac:dyDescent="0.2">
      <c r="A153" s="306" t="s">
        <v>11325</v>
      </c>
      <c r="B153" s="261" t="s">
        <v>11326</v>
      </c>
      <c r="C153" s="261" t="s">
        <v>11327</v>
      </c>
      <c r="D153" s="261">
        <v>5</v>
      </c>
      <c r="E153" s="261" t="s">
        <v>11229</v>
      </c>
      <c r="F153" s="261" t="s">
        <v>645</v>
      </c>
      <c r="G153" s="261" t="s">
        <v>2837</v>
      </c>
      <c r="H153" s="306">
        <v>275</v>
      </c>
      <c r="I153" s="330">
        <v>991</v>
      </c>
      <c r="J153" s="306">
        <v>275</v>
      </c>
      <c r="K153" s="330">
        <v>1230</v>
      </c>
      <c r="L153" s="261" t="s">
        <v>137</v>
      </c>
      <c r="M153" s="261" t="s">
        <v>11315</v>
      </c>
      <c r="N153" s="261"/>
      <c r="O153" s="816">
        <v>80000</v>
      </c>
      <c r="P153" s="816" t="s">
        <v>11231</v>
      </c>
      <c r="Q153" s="822" t="s">
        <v>10934</v>
      </c>
    </row>
    <row r="154" spans="1:17" x14ac:dyDescent="0.2">
      <c r="A154" s="306" t="s">
        <v>11328</v>
      </c>
      <c r="B154" s="261" t="s">
        <v>11329</v>
      </c>
      <c r="C154" s="261" t="s">
        <v>11330</v>
      </c>
      <c r="D154" s="261">
        <v>5</v>
      </c>
      <c r="E154" s="261" t="s">
        <v>11229</v>
      </c>
      <c r="F154" s="261" t="s">
        <v>759</v>
      </c>
      <c r="G154" s="261" t="s">
        <v>2837</v>
      </c>
      <c r="H154" s="306">
        <v>265</v>
      </c>
      <c r="I154" s="330">
        <v>933</v>
      </c>
      <c r="J154" s="306">
        <v>280</v>
      </c>
      <c r="K154" s="330">
        <v>1160</v>
      </c>
      <c r="L154" s="261" t="s">
        <v>137</v>
      </c>
      <c r="M154" s="261" t="s">
        <v>11315</v>
      </c>
      <c r="N154" s="261"/>
      <c r="O154" s="816">
        <v>80000</v>
      </c>
      <c r="P154" s="816" t="s">
        <v>11231</v>
      </c>
      <c r="Q154" s="822" t="s">
        <v>10939</v>
      </c>
    </row>
    <row r="155" spans="1:17" x14ac:dyDescent="0.2">
      <c r="A155" s="306" t="s">
        <v>11331</v>
      </c>
      <c r="B155" s="261" t="s">
        <v>11332</v>
      </c>
      <c r="C155" s="261" t="s">
        <v>11333</v>
      </c>
      <c r="D155" s="261">
        <v>5</v>
      </c>
      <c r="E155" s="261" t="s">
        <v>11229</v>
      </c>
      <c r="F155" s="261" t="s">
        <v>839</v>
      </c>
      <c r="G155" s="261" t="s">
        <v>2837</v>
      </c>
      <c r="H155" s="306">
        <v>254</v>
      </c>
      <c r="I155" s="330">
        <v>1001</v>
      </c>
      <c r="J155" s="306">
        <v>275</v>
      </c>
      <c r="K155" s="330">
        <v>1245</v>
      </c>
      <c r="L155" s="261" t="s">
        <v>137</v>
      </c>
      <c r="M155" s="261" t="s">
        <v>11315</v>
      </c>
      <c r="N155" s="261"/>
      <c r="O155" s="816">
        <v>80000</v>
      </c>
      <c r="P155" s="816" t="s">
        <v>11231</v>
      </c>
      <c r="Q155" s="822" t="s">
        <v>10944</v>
      </c>
    </row>
    <row r="156" spans="1:17" x14ac:dyDescent="0.2">
      <c r="A156" s="306" t="s">
        <v>11334</v>
      </c>
      <c r="B156" s="261" t="s">
        <v>11335</v>
      </c>
      <c r="C156" s="261" t="s">
        <v>11336</v>
      </c>
      <c r="D156" s="261">
        <v>5</v>
      </c>
      <c r="E156" s="261" t="s">
        <v>11229</v>
      </c>
      <c r="F156" s="261" t="s">
        <v>949</v>
      </c>
      <c r="G156" s="261" t="s">
        <v>2837</v>
      </c>
      <c r="H156" s="306">
        <v>297</v>
      </c>
      <c r="I156" s="330">
        <v>923</v>
      </c>
      <c r="J156" s="306">
        <v>325</v>
      </c>
      <c r="K156" s="330">
        <v>1110</v>
      </c>
      <c r="L156" s="261" t="s">
        <v>137</v>
      </c>
      <c r="M156" s="261" t="s">
        <v>11315</v>
      </c>
      <c r="N156" s="261"/>
      <c r="O156" s="816">
        <v>80000</v>
      </c>
      <c r="P156" s="816" t="s">
        <v>11231</v>
      </c>
      <c r="Q156" s="822" t="s">
        <v>10949</v>
      </c>
    </row>
    <row r="157" spans="1:17" x14ac:dyDescent="0.2">
      <c r="A157" s="306" t="s">
        <v>11337</v>
      </c>
      <c r="B157" s="261" t="s">
        <v>11338</v>
      </c>
      <c r="C157" s="261" t="s">
        <v>11339</v>
      </c>
      <c r="D157" s="261">
        <v>5</v>
      </c>
      <c r="E157" s="261" t="s">
        <v>11229</v>
      </c>
      <c r="F157" s="261" t="s">
        <v>1054</v>
      </c>
      <c r="G157" s="261" t="s">
        <v>2837</v>
      </c>
      <c r="H157" s="306">
        <v>248</v>
      </c>
      <c r="I157" s="330">
        <v>1011</v>
      </c>
      <c r="J157" s="306">
        <v>270</v>
      </c>
      <c r="K157" s="330">
        <v>1255</v>
      </c>
      <c r="L157" s="261" t="s">
        <v>137</v>
      </c>
      <c r="M157" s="261" t="s">
        <v>11315</v>
      </c>
      <c r="N157" s="261"/>
      <c r="O157" s="816">
        <v>80000</v>
      </c>
      <c r="P157" s="816" t="s">
        <v>11231</v>
      </c>
      <c r="Q157" s="822" t="s">
        <v>10954</v>
      </c>
    </row>
    <row r="158" spans="1:17" x14ac:dyDescent="0.2">
      <c r="A158" s="306" t="s">
        <v>11340</v>
      </c>
      <c r="B158" s="261" t="s">
        <v>11341</v>
      </c>
      <c r="C158" s="261" t="s">
        <v>11342</v>
      </c>
      <c r="D158" s="261">
        <v>5</v>
      </c>
      <c r="E158" s="261" t="s">
        <v>11229</v>
      </c>
      <c r="F158" s="261" t="s">
        <v>123</v>
      </c>
      <c r="G158" s="261" t="s">
        <v>3779</v>
      </c>
      <c r="H158" s="306">
        <v>270</v>
      </c>
      <c r="I158" s="330">
        <v>972</v>
      </c>
      <c r="J158" s="306">
        <v>270</v>
      </c>
      <c r="K158" s="330">
        <v>1210</v>
      </c>
      <c r="L158" s="261" t="s">
        <v>137</v>
      </c>
      <c r="M158" s="261" t="s">
        <v>11343</v>
      </c>
      <c r="N158" s="261"/>
      <c r="O158" s="816">
        <v>80000</v>
      </c>
      <c r="P158" s="816" t="s">
        <v>11231</v>
      </c>
      <c r="Q158" s="822" t="s">
        <v>10914</v>
      </c>
    </row>
    <row r="159" spans="1:17" x14ac:dyDescent="0.2">
      <c r="A159" s="306" t="s">
        <v>11344</v>
      </c>
      <c r="B159" s="261" t="s">
        <v>11345</v>
      </c>
      <c r="C159" s="261" t="s">
        <v>11346</v>
      </c>
      <c r="D159" s="261">
        <v>5</v>
      </c>
      <c r="E159" s="261" t="s">
        <v>11229</v>
      </c>
      <c r="F159" s="261" t="s">
        <v>330</v>
      </c>
      <c r="G159" s="261" t="s">
        <v>3779</v>
      </c>
      <c r="H159" s="306">
        <v>238</v>
      </c>
      <c r="I159" s="330">
        <v>1030</v>
      </c>
      <c r="J159" s="306">
        <v>250</v>
      </c>
      <c r="K159" s="330">
        <v>1280</v>
      </c>
      <c r="L159" s="261" t="s">
        <v>137</v>
      </c>
      <c r="M159" s="261" t="s">
        <v>11343</v>
      </c>
      <c r="N159" s="261"/>
      <c r="O159" s="816">
        <v>80000</v>
      </c>
      <c r="P159" s="816" t="s">
        <v>11231</v>
      </c>
      <c r="Q159" s="822" t="s">
        <v>10919</v>
      </c>
    </row>
    <row r="160" spans="1:17" x14ac:dyDescent="0.2">
      <c r="A160" s="306" t="s">
        <v>11347</v>
      </c>
      <c r="B160" s="261" t="s">
        <v>11348</v>
      </c>
      <c r="C160" s="261" t="s">
        <v>11349</v>
      </c>
      <c r="D160" s="261">
        <v>5</v>
      </c>
      <c r="E160" s="261" t="s">
        <v>11229</v>
      </c>
      <c r="F160" s="261" t="s">
        <v>429</v>
      </c>
      <c r="G160" s="261" t="s">
        <v>3779</v>
      </c>
      <c r="H160" s="306">
        <v>273</v>
      </c>
      <c r="I160" s="330">
        <v>953</v>
      </c>
      <c r="J160" s="306">
        <v>275</v>
      </c>
      <c r="K160" s="330">
        <v>1185</v>
      </c>
      <c r="L160" s="261" t="s">
        <v>137</v>
      </c>
      <c r="M160" s="261" t="s">
        <v>11343</v>
      </c>
      <c r="N160" s="261"/>
      <c r="O160" s="816">
        <v>80000</v>
      </c>
      <c r="P160" s="816" t="s">
        <v>11231</v>
      </c>
      <c r="Q160" s="822" t="s">
        <v>10924</v>
      </c>
    </row>
    <row r="161" spans="1:17" x14ac:dyDescent="0.2">
      <c r="A161" s="306" t="s">
        <v>11350</v>
      </c>
      <c r="B161" s="261" t="s">
        <v>11351</v>
      </c>
      <c r="C161" s="261" t="s">
        <v>11352</v>
      </c>
      <c r="D161" s="261">
        <v>5</v>
      </c>
      <c r="E161" s="261" t="s">
        <v>11229</v>
      </c>
      <c r="F161" s="261" t="s">
        <v>543</v>
      </c>
      <c r="G161" s="261" t="s">
        <v>3779</v>
      </c>
      <c r="H161" s="306">
        <v>278</v>
      </c>
      <c r="I161" s="330">
        <v>1021</v>
      </c>
      <c r="J161" s="306">
        <v>295</v>
      </c>
      <c r="K161" s="330">
        <v>1270</v>
      </c>
      <c r="L161" s="261" t="s">
        <v>137</v>
      </c>
      <c r="M161" s="261" t="s">
        <v>11343</v>
      </c>
      <c r="N161" s="261"/>
      <c r="O161" s="816">
        <v>80000</v>
      </c>
      <c r="P161" s="816" t="s">
        <v>11231</v>
      </c>
      <c r="Q161" s="822" t="s">
        <v>10929</v>
      </c>
    </row>
    <row r="162" spans="1:17" x14ac:dyDescent="0.2">
      <c r="A162" s="306" t="s">
        <v>11353</v>
      </c>
      <c r="B162" s="261" t="s">
        <v>11354</v>
      </c>
      <c r="C162" s="261" t="s">
        <v>11355</v>
      </c>
      <c r="D162" s="261">
        <v>5</v>
      </c>
      <c r="E162" s="261" t="s">
        <v>11229</v>
      </c>
      <c r="F162" s="261" t="s">
        <v>645</v>
      </c>
      <c r="G162" s="261" t="s">
        <v>3779</v>
      </c>
      <c r="H162" s="306">
        <v>275</v>
      </c>
      <c r="I162" s="330">
        <v>991</v>
      </c>
      <c r="J162" s="306">
        <v>275</v>
      </c>
      <c r="K162" s="330">
        <v>1230</v>
      </c>
      <c r="L162" s="261" t="s">
        <v>137</v>
      </c>
      <c r="M162" s="261" t="s">
        <v>11343</v>
      </c>
      <c r="N162" s="261"/>
      <c r="O162" s="816">
        <v>80000</v>
      </c>
      <c r="P162" s="816" t="s">
        <v>11231</v>
      </c>
      <c r="Q162" s="822" t="s">
        <v>10934</v>
      </c>
    </row>
    <row r="163" spans="1:17" x14ac:dyDescent="0.2">
      <c r="A163" s="306" t="s">
        <v>11356</v>
      </c>
      <c r="B163" s="261" t="s">
        <v>11357</v>
      </c>
      <c r="C163" s="261" t="s">
        <v>11358</v>
      </c>
      <c r="D163" s="261">
        <v>5</v>
      </c>
      <c r="E163" s="261" t="s">
        <v>11229</v>
      </c>
      <c r="F163" s="261" t="s">
        <v>759</v>
      </c>
      <c r="G163" s="261" t="s">
        <v>3779</v>
      </c>
      <c r="H163" s="306">
        <v>265</v>
      </c>
      <c r="I163" s="330">
        <v>933</v>
      </c>
      <c r="J163" s="306">
        <v>280</v>
      </c>
      <c r="K163" s="330">
        <v>1160</v>
      </c>
      <c r="L163" s="261" t="s">
        <v>137</v>
      </c>
      <c r="M163" s="261" t="s">
        <v>11343</v>
      </c>
      <c r="N163" s="261"/>
      <c r="O163" s="816">
        <v>80000</v>
      </c>
      <c r="P163" s="816" t="s">
        <v>11231</v>
      </c>
      <c r="Q163" s="822" t="s">
        <v>10939</v>
      </c>
    </row>
    <row r="164" spans="1:17" x14ac:dyDescent="0.2">
      <c r="A164" s="306" t="s">
        <v>11359</v>
      </c>
      <c r="B164" s="261" t="s">
        <v>11360</v>
      </c>
      <c r="C164" s="261" t="s">
        <v>11361</v>
      </c>
      <c r="D164" s="261">
        <v>5</v>
      </c>
      <c r="E164" s="261" t="s">
        <v>11229</v>
      </c>
      <c r="F164" s="261" t="s">
        <v>839</v>
      </c>
      <c r="G164" s="261" t="s">
        <v>3779</v>
      </c>
      <c r="H164" s="306">
        <v>254</v>
      </c>
      <c r="I164" s="330">
        <v>1001</v>
      </c>
      <c r="J164" s="306">
        <v>275</v>
      </c>
      <c r="K164" s="330">
        <v>1245</v>
      </c>
      <c r="L164" s="261" t="s">
        <v>137</v>
      </c>
      <c r="M164" s="261" t="s">
        <v>11343</v>
      </c>
      <c r="N164" s="261"/>
      <c r="O164" s="816">
        <v>80000</v>
      </c>
      <c r="P164" s="816" t="s">
        <v>11231</v>
      </c>
      <c r="Q164" s="822" t="s">
        <v>10944</v>
      </c>
    </row>
    <row r="165" spans="1:17" x14ac:dyDescent="0.2">
      <c r="A165" s="306" t="s">
        <v>11362</v>
      </c>
      <c r="B165" s="261" t="s">
        <v>11363</v>
      </c>
      <c r="C165" s="261" t="s">
        <v>11364</v>
      </c>
      <c r="D165" s="261">
        <v>5</v>
      </c>
      <c r="E165" s="261" t="s">
        <v>11229</v>
      </c>
      <c r="F165" s="261" t="s">
        <v>949</v>
      </c>
      <c r="G165" s="261" t="s">
        <v>3779</v>
      </c>
      <c r="H165" s="306">
        <v>297</v>
      </c>
      <c r="I165" s="330">
        <v>923</v>
      </c>
      <c r="J165" s="306">
        <v>325</v>
      </c>
      <c r="K165" s="330">
        <v>1110</v>
      </c>
      <c r="L165" s="261" t="s">
        <v>137</v>
      </c>
      <c r="M165" s="261" t="s">
        <v>11343</v>
      </c>
      <c r="N165" s="261"/>
      <c r="O165" s="816">
        <v>80000</v>
      </c>
      <c r="P165" s="816" t="s">
        <v>11231</v>
      </c>
      <c r="Q165" s="822" t="s">
        <v>10949</v>
      </c>
    </row>
    <row r="166" spans="1:17" x14ac:dyDescent="0.2">
      <c r="A166" s="306" t="s">
        <v>11365</v>
      </c>
      <c r="B166" s="261" t="s">
        <v>11366</v>
      </c>
      <c r="C166" s="261" t="s">
        <v>11367</v>
      </c>
      <c r="D166" s="261">
        <v>5</v>
      </c>
      <c r="E166" s="261" t="s">
        <v>11229</v>
      </c>
      <c r="F166" s="261" t="s">
        <v>1054</v>
      </c>
      <c r="G166" s="261" t="s">
        <v>3779</v>
      </c>
      <c r="H166" s="306">
        <v>248</v>
      </c>
      <c r="I166" s="330">
        <v>1011</v>
      </c>
      <c r="J166" s="306">
        <v>270</v>
      </c>
      <c r="K166" s="330">
        <v>1255</v>
      </c>
      <c r="L166" s="261" t="s">
        <v>137</v>
      </c>
      <c r="M166" s="261" t="s">
        <v>11343</v>
      </c>
      <c r="N166" s="261"/>
      <c r="O166" s="816">
        <v>80000</v>
      </c>
      <c r="P166" s="816" t="s">
        <v>11231</v>
      </c>
      <c r="Q166" s="822" t="s">
        <v>10954</v>
      </c>
    </row>
    <row r="167" spans="1:17" x14ac:dyDescent="0.2">
      <c r="A167" s="306" t="s">
        <v>11368</v>
      </c>
      <c r="B167" s="261" t="s">
        <v>11369</v>
      </c>
      <c r="C167" s="261" t="s">
        <v>11370</v>
      </c>
      <c r="D167" s="261">
        <v>5</v>
      </c>
      <c r="E167" s="261" t="s">
        <v>11371</v>
      </c>
      <c r="F167" s="261" t="s">
        <v>123</v>
      </c>
      <c r="G167" s="261" t="s">
        <v>122</v>
      </c>
      <c r="H167" s="306">
        <v>235</v>
      </c>
      <c r="I167" s="330">
        <v>1530</v>
      </c>
      <c r="J167" s="306">
        <v>270</v>
      </c>
      <c r="K167" s="330">
        <v>1530</v>
      </c>
      <c r="L167" s="261" t="s">
        <v>11372</v>
      </c>
      <c r="M167" s="261"/>
      <c r="N167" s="261"/>
      <c r="O167" s="816">
        <v>120000</v>
      </c>
      <c r="P167" s="816" t="s">
        <v>11373</v>
      </c>
      <c r="Q167" s="822" t="s">
        <v>11374</v>
      </c>
    </row>
    <row r="168" spans="1:17" x14ac:dyDescent="0.2">
      <c r="A168" s="306" t="s">
        <v>11375</v>
      </c>
      <c r="B168" s="261" t="s">
        <v>11376</v>
      </c>
      <c r="C168" s="261" t="s">
        <v>11377</v>
      </c>
      <c r="D168" s="261">
        <v>5</v>
      </c>
      <c r="E168" s="261" t="s">
        <v>11371</v>
      </c>
      <c r="F168" s="261" t="s">
        <v>330</v>
      </c>
      <c r="G168" s="261" t="s">
        <v>122</v>
      </c>
      <c r="H168" s="306">
        <v>207</v>
      </c>
      <c r="I168" s="330">
        <v>1621</v>
      </c>
      <c r="J168" s="306">
        <v>250</v>
      </c>
      <c r="K168" s="330">
        <v>1625</v>
      </c>
      <c r="L168" s="261" t="s">
        <v>11378</v>
      </c>
      <c r="M168" s="261"/>
      <c r="N168" s="261"/>
      <c r="O168" s="816">
        <v>120000</v>
      </c>
      <c r="P168" s="816" t="s">
        <v>11373</v>
      </c>
      <c r="Q168" s="822" t="s">
        <v>11379</v>
      </c>
    </row>
    <row r="169" spans="1:17" x14ac:dyDescent="0.2">
      <c r="A169" s="306" t="s">
        <v>11380</v>
      </c>
      <c r="B169" s="261" t="s">
        <v>11381</v>
      </c>
      <c r="C169" s="261" t="s">
        <v>11382</v>
      </c>
      <c r="D169" s="261">
        <v>5</v>
      </c>
      <c r="E169" s="261" t="s">
        <v>11371</v>
      </c>
      <c r="F169" s="261" t="s">
        <v>429</v>
      </c>
      <c r="G169" s="261" t="s">
        <v>122</v>
      </c>
      <c r="H169" s="306">
        <v>250</v>
      </c>
      <c r="I169" s="330">
        <v>1455</v>
      </c>
      <c r="J169" s="306">
        <v>275</v>
      </c>
      <c r="K169" s="330">
        <v>1455</v>
      </c>
      <c r="L169" s="261" t="s">
        <v>11383</v>
      </c>
      <c r="M169" s="261"/>
      <c r="N169" s="261"/>
      <c r="O169" s="816">
        <v>120000</v>
      </c>
      <c r="P169" s="816" t="s">
        <v>11373</v>
      </c>
      <c r="Q169" s="822" t="s">
        <v>11384</v>
      </c>
    </row>
    <row r="170" spans="1:17" x14ac:dyDescent="0.2">
      <c r="A170" s="306" t="s">
        <v>11385</v>
      </c>
      <c r="B170" s="261" t="s">
        <v>11386</v>
      </c>
      <c r="C170" s="261" t="s">
        <v>11387</v>
      </c>
      <c r="D170" s="261">
        <v>5</v>
      </c>
      <c r="E170" s="261" t="s">
        <v>11371</v>
      </c>
      <c r="F170" s="261" t="s">
        <v>543</v>
      </c>
      <c r="G170" s="261" t="s">
        <v>122</v>
      </c>
      <c r="H170" s="306">
        <v>255</v>
      </c>
      <c r="I170" s="330">
        <v>1559</v>
      </c>
      <c r="J170" s="306">
        <v>295</v>
      </c>
      <c r="K170" s="330">
        <v>1610</v>
      </c>
      <c r="L170" s="261" t="s">
        <v>11388</v>
      </c>
      <c r="M170" s="261"/>
      <c r="N170" s="261"/>
      <c r="O170" s="816">
        <v>120000</v>
      </c>
      <c r="P170" s="816" t="s">
        <v>11373</v>
      </c>
      <c r="Q170" s="822" t="s">
        <v>11389</v>
      </c>
    </row>
    <row r="171" spans="1:17" x14ac:dyDescent="0.2">
      <c r="A171" s="306" t="s">
        <v>11390</v>
      </c>
      <c r="B171" s="261" t="s">
        <v>11391</v>
      </c>
      <c r="C171" s="261" t="s">
        <v>11392</v>
      </c>
      <c r="D171" s="261">
        <v>5</v>
      </c>
      <c r="E171" s="261" t="s">
        <v>11371</v>
      </c>
      <c r="F171" s="261" t="s">
        <v>645</v>
      </c>
      <c r="G171" s="261" t="s">
        <v>122</v>
      </c>
      <c r="H171" s="306">
        <v>240</v>
      </c>
      <c r="I171" s="330">
        <v>1560</v>
      </c>
      <c r="J171" s="306">
        <v>275</v>
      </c>
      <c r="K171" s="330">
        <v>1560</v>
      </c>
      <c r="L171" s="261" t="s">
        <v>11393</v>
      </c>
      <c r="M171" s="261"/>
      <c r="N171" s="261"/>
      <c r="O171" s="816">
        <v>120000</v>
      </c>
      <c r="P171" s="816" t="s">
        <v>11373</v>
      </c>
      <c r="Q171" s="822" t="s">
        <v>11394</v>
      </c>
    </row>
    <row r="172" spans="1:17" x14ac:dyDescent="0.2">
      <c r="A172" s="306" t="s">
        <v>11395</v>
      </c>
      <c r="B172" s="261" t="s">
        <v>11396</v>
      </c>
      <c r="C172" s="261" t="s">
        <v>11397</v>
      </c>
      <c r="D172" s="261">
        <v>5</v>
      </c>
      <c r="E172" s="261" t="s">
        <v>11371</v>
      </c>
      <c r="F172" s="261" t="s">
        <v>759</v>
      </c>
      <c r="G172" s="261" t="s">
        <v>122</v>
      </c>
      <c r="H172" s="306">
        <v>230</v>
      </c>
      <c r="I172" s="330">
        <v>1468</v>
      </c>
      <c r="J172" s="306">
        <v>280</v>
      </c>
      <c r="K172" s="330">
        <v>1470</v>
      </c>
      <c r="L172" s="261" t="s">
        <v>11398</v>
      </c>
      <c r="M172" s="261"/>
      <c r="N172" s="261"/>
      <c r="O172" s="816">
        <v>120000</v>
      </c>
      <c r="P172" s="816" t="s">
        <v>11373</v>
      </c>
      <c r="Q172" s="822" t="s">
        <v>11399</v>
      </c>
    </row>
    <row r="173" spans="1:17" x14ac:dyDescent="0.2">
      <c r="A173" s="306" t="s">
        <v>11400</v>
      </c>
      <c r="B173" s="261" t="s">
        <v>11401</v>
      </c>
      <c r="C173" s="261" t="s">
        <v>11402</v>
      </c>
      <c r="D173" s="261">
        <v>5</v>
      </c>
      <c r="E173" s="261" t="s">
        <v>11371</v>
      </c>
      <c r="F173" s="261" t="s">
        <v>839</v>
      </c>
      <c r="G173" s="261" t="s">
        <v>122</v>
      </c>
      <c r="H173" s="306">
        <v>251</v>
      </c>
      <c r="I173" s="330">
        <v>1453</v>
      </c>
      <c r="J173" s="306">
        <v>275</v>
      </c>
      <c r="K173" s="330">
        <v>1575</v>
      </c>
      <c r="L173" s="261" t="s">
        <v>11403</v>
      </c>
      <c r="M173" s="261"/>
      <c r="N173" s="261"/>
      <c r="O173" s="816">
        <v>120000</v>
      </c>
      <c r="P173" s="816" t="s">
        <v>11373</v>
      </c>
      <c r="Q173" s="822" t="s">
        <v>11404</v>
      </c>
    </row>
    <row r="174" spans="1:17" x14ac:dyDescent="0.2">
      <c r="A174" s="306" t="s">
        <v>11405</v>
      </c>
      <c r="B174" s="261" t="s">
        <v>11406</v>
      </c>
      <c r="C174" s="261" t="s">
        <v>11407</v>
      </c>
      <c r="D174" s="261">
        <v>5</v>
      </c>
      <c r="E174" s="261" t="s">
        <v>11371</v>
      </c>
      <c r="F174" s="261" t="s">
        <v>949</v>
      </c>
      <c r="G174" s="261" t="s">
        <v>122</v>
      </c>
      <c r="H174" s="306">
        <v>286</v>
      </c>
      <c r="I174" s="330">
        <v>1368</v>
      </c>
      <c r="J174" s="306">
        <v>325</v>
      </c>
      <c r="K174" s="330">
        <v>1370</v>
      </c>
      <c r="L174" s="261" t="s">
        <v>11408</v>
      </c>
      <c r="M174" s="261"/>
      <c r="N174" s="261"/>
      <c r="O174" s="816">
        <v>120000</v>
      </c>
      <c r="P174" s="816" t="s">
        <v>11373</v>
      </c>
      <c r="Q174" s="822" t="s">
        <v>11409</v>
      </c>
    </row>
    <row r="175" spans="1:17" x14ac:dyDescent="0.2">
      <c r="A175" s="306" t="s">
        <v>11410</v>
      </c>
      <c r="B175" s="261" t="s">
        <v>11411</v>
      </c>
      <c r="C175" s="261" t="s">
        <v>11412</v>
      </c>
      <c r="D175" s="261">
        <v>5</v>
      </c>
      <c r="E175" s="261" t="s">
        <v>11371</v>
      </c>
      <c r="F175" s="261" t="s">
        <v>1054</v>
      </c>
      <c r="G175" s="261" t="s">
        <v>122</v>
      </c>
      <c r="H175" s="306">
        <v>216</v>
      </c>
      <c r="I175" s="330">
        <v>1591</v>
      </c>
      <c r="J175" s="306">
        <v>270</v>
      </c>
      <c r="K175" s="330">
        <v>1595</v>
      </c>
      <c r="L175" s="261" t="s">
        <v>11413</v>
      </c>
      <c r="M175" s="261"/>
      <c r="N175" s="261"/>
      <c r="O175" s="816">
        <v>120000</v>
      </c>
      <c r="P175" s="816" t="s">
        <v>11373</v>
      </c>
      <c r="Q175" s="822" t="s">
        <v>11414</v>
      </c>
    </row>
    <row r="176" spans="1:17" x14ac:dyDescent="0.2">
      <c r="A176" s="306" t="s">
        <v>11415</v>
      </c>
      <c r="B176" s="261" t="s">
        <v>11416</v>
      </c>
      <c r="C176" s="261" t="s">
        <v>11417</v>
      </c>
      <c r="D176" s="261">
        <v>5</v>
      </c>
      <c r="E176" s="261" t="s">
        <v>11371</v>
      </c>
      <c r="F176" s="261" t="s">
        <v>123</v>
      </c>
      <c r="G176" s="261" t="s">
        <v>1103</v>
      </c>
      <c r="H176" s="306">
        <v>235</v>
      </c>
      <c r="I176" s="330">
        <v>1530</v>
      </c>
      <c r="J176" s="306">
        <v>270</v>
      </c>
      <c r="K176" s="330">
        <v>1530</v>
      </c>
      <c r="L176" s="261" t="s">
        <v>11418</v>
      </c>
      <c r="M176" s="261"/>
      <c r="N176" s="261"/>
      <c r="O176" s="816">
        <v>120000</v>
      </c>
      <c r="P176" s="816" t="s">
        <v>11373</v>
      </c>
      <c r="Q176" s="822" t="s">
        <v>11419</v>
      </c>
    </row>
    <row r="177" spans="1:17" x14ac:dyDescent="0.2">
      <c r="A177" s="306" t="s">
        <v>11420</v>
      </c>
      <c r="B177" s="261" t="s">
        <v>11421</v>
      </c>
      <c r="C177" s="261" t="s">
        <v>11422</v>
      </c>
      <c r="D177" s="261">
        <v>5</v>
      </c>
      <c r="E177" s="261" t="s">
        <v>11371</v>
      </c>
      <c r="F177" s="261" t="s">
        <v>330</v>
      </c>
      <c r="G177" s="261" t="s">
        <v>1103</v>
      </c>
      <c r="H177" s="306">
        <v>228</v>
      </c>
      <c r="I177" s="330">
        <v>1527</v>
      </c>
      <c r="J177" s="306">
        <v>250</v>
      </c>
      <c r="K177" s="330">
        <v>1625</v>
      </c>
      <c r="L177" s="261" t="s">
        <v>11423</v>
      </c>
      <c r="M177" s="261"/>
      <c r="N177" s="261"/>
      <c r="O177" s="816">
        <v>120000</v>
      </c>
      <c r="P177" s="816" t="s">
        <v>11373</v>
      </c>
      <c r="Q177" s="822" t="s">
        <v>11424</v>
      </c>
    </row>
    <row r="178" spans="1:17" x14ac:dyDescent="0.2">
      <c r="A178" s="306" t="s">
        <v>11425</v>
      </c>
      <c r="B178" s="261" t="s">
        <v>11426</v>
      </c>
      <c r="C178" s="261" t="s">
        <v>11427</v>
      </c>
      <c r="D178" s="261">
        <v>5</v>
      </c>
      <c r="E178" s="261" t="s">
        <v>11371</v>
      </c>
      <c r="F178" s="261" t="s">
        <v>429</v>
      </c>
      <c r="G178" s="261" t="s">
        <v>1103</v>
      </c>
      <c r="H178" s="306">
        <v>250</v>
      </c>
      <c r="I178" s="330">
        <v>1455</v>
      </c>
      <c r="J178" s="306">
        <v>275</v>
      </c>
      <c r="K178" s="330">
        <v>1455</v>
      </c>
      <c r="L178" s="261" t="s">
        <v>11428</v>
      </c>
      <c r="M178" s="261"/>
      <c r="N178" s="261"/>
      <c r="O178" s="816">
        <v>120000</v>
      </c>
      <c r="P178" s="816" t="s">
        <v>11373</v>
      </c>
      <c r="Q178" s="822" t="s">
        <v>11429</v>
      </c>
    </row>
    <row r="179" spans="1:17" x14ac:dyDescent="0.2">
      <c r="A179" s="306" t="s">
        <v>11430</v>
      </c>
      <c r="B179" s="261" t="s">
        <v>11431</v>
      </c>
      <c r="C179" s="261" t="s">
        <v>11432</v>
      </c>
      <c r="D179" s="261">
        <v>5</v>
      </c>
      <c r="E179" s="261" t="s">
        <v>11371</v>
      </c>
      <c r="F179" s="261" t="s">
        <v>543</v>
      </c>
      <c r="G179" s="261" t="s">
        <v>1103</v>
      </c>
      <c r="H179" s="306">
        <v>267</v>
      </c>
      <c r="I179" s="330">
        <v>1512</v>
      </c>
      <c r="J179" s="306">
        <v>295</v>
      </c>
      <c r="K179" s="330">
        <v>1610</v>
      </c>
      <c r="L179" s="261" t="s">
        <v>11433</v>
      </c>
      <c r="M179" s="261"/>
      <c r="N179" s="261"/>
      <c r="O179" s="816">
        <v>120000</v>
      </c>
      <c r="P179" s="816" t="s">
        <v>11373</v>
      </c>
      <c r="Q179" s="822" t="s">
        <v>11434</v>
      </c>
    </row>
    <row r="180" spans="1:17" x14ac:dyDescent="0.2">
      <c r="A180" s="306" t="s">
        <v>11435</v>
      </c>
      <c r="B180" s="261" t="s">
        <v>11436</v>
      </c>
      <c r="C180" s="261" t="s">
        <v>11437</v>
      </c>
      <c r="D180" s="261">
        <v>5</v>
      </c>
      <c r="E180" s="261" t="s">
        <v>11371</v>
      </c>
      <c r="F180" s="261" t="s">
        <v>645</v>
      </c>
      <c r="G180" s="261" t="s">
        <v>1103</v>
      </c>
      <c r="H180" s="306">
        <v>240</v>
      </c>
      <c r="I180" s="330">
        <v>1560</v>
      </c>
      <c r="J180" s="306">
        <v>275</v>
      </c>
      <c r="K180" s="330">
        <v>1560</v>
      </c>
      <c r="L180" s="261" t="s">
        <v>11438</v>
      </c>
      <c r="M180" s="261"/>
      <c r="N180" s="261"/>
      <c r="O180" s="816">
        <v>120000</v>
      </c>
      <c r="P180" s="816" t="s">
        <v>11373</v>
      </c>
      <c r="Q180" s="822" t="s">
        <v>11439</v>
      </c>
    </row>
    <row r="181" spans="1:17" x14ac:dyDescent="0.2">
      <c r="A181" s="306" t="s">
        <v>11440</v>
      </c>
      <c r="B181" s="261" t="s">
        <v>11441</v>
      </c>
      <c r="C181" s="261" t="s">
        <v>11442</v>
      </c>
      <c r="D181" s="261">
        <v>5</v>
      </c>
      <c r="E181" s="261" t="s">
        <v>11371</v>
      </c>
      <c r="F181" s="261" t="s">
        <v>759</v>
      </c>
      <c r="G181" s="261" t="s">
        <v>1103</v>
      </c>
      <c r="H181" s="306">
        <v>242</v>
      </c>
      <c r="I181" s="330">
        <v>1426</v>
      </c>
      <c r="J181" s="306">
        <v>280</v>
      </c>
      <c r="K181" s="330">
        <v>1470</v>
      </c>
      <c r="L181" s="261" t="s">
        <v>11443</v>
      </c>
      <c r="M181" s="261"/>
      <c r="N181" s="261"/>
      <c r="O181" s="816">
        <v>120000</v>
      </c>
      <c r="P181" s="816" t="s">
        <v>11373</v>
      </c>
      <c r="Q181" s="822" t="s">
        <v>11444</v>
      </c>
    </row>
    <row r="182" spans="1:17" x14ac:dyDescent="0.2">
      <c r="A182" s="306" t="s">
        <v>11445</v>
      </c>
      <c r="B182" s="261" t="s">
        <v>11446</v>
      </c>
      <c r="C182" s="261" t="s">
        <v>11447</v>
      </c>
      <c r="D182" s="261">
        <v>5</v>
      </c>
      <c r="E182" s="261" t="s">
        <v>11371</v>
      </c>
      <c r="F182" s="261" t="s">
        <v>839</v>
      </c>
      <c r="G182" s="261" t="s">
        <v>1103</v>
      </c>
      <c r="H182" s="306">
        <v>251</v>
      </c>
      <c r="I182" s="330">
        <v>1453</v>
      </c>
      <c r="J182" s="306">
        <v>275</v>
      </c>
      <c r="K182" s="330">
        <v>1575</v>
      </c>
      <c r="L182" s="261" t="s">
        <v>11448</v>
      </c>
      <c r="M182" s="261"/>
      <c r="N182" s="261"/>
      <c r="O182" s="816">
        <v>120000</v>
      </c>
      <c r="P182" s="816" t="s">
        <v>11373</v>
      </c>
      <c r="Q182" s="822" t="s">
        <v>11449</v>
      </c>
    </row>
    <row r="183" spans="1:17" x14ac:dyDescent="0.2">
      <c r="A183" s="306" t="s">
        <v>11450</v>
      </c>
      <c r="B183" s="261" t="s">
        <v>11451</v>
      </c>
      <c r="C183" s="261" t="s">
        <v>11452</v>
      </c>
      <c r="D183" s="261">
        <v>5</v>
      </c>
      <c r="E183" s="261" t="s">
        <v>11371</v>
      </c>
      <c r="F183" s="261" t="s">
        <v>949</v>
      </c>
      <c r="G183" s="261" t="s">
        <v>1103</v>
      </c>
      <c r="H183" s="306">
        <v>294</v>
      </c>
      <c r="I183" s="330">
        <v>1340</v>
      </c>
      <c r="J183" s="306">
        <v>325</v>
      </c>
      <c r="K183" s="330">
        <v>1370</v>
      </c>
      <c r="L183" s="261" t="s">
        <v>11453</v>
      </c>
      <c r="M183" s="261"/>
      <c r="N183" s="261"/>
      <c r="O183" s="816">
        <v>120000</v>
      </c>
      <c r="P183" s="816" t="s">
        <v>11373</v>
      </c>
      <c r="Q183" s="822" t="s">
        <v>11454</v>
      </c>
    </row>
    <row r="184" spans="1:17" x14ac:dyDescent="0.2">
      <c r="A184" s="306" t="s">
        <v>11455</v>
      </c>
      <c r="B184" s="261" t="s">
        <v>11456</v>
      </c>
      <c r="C184" s="261" t="s">
        <v>11457</v>
      </c>
      <c r="D184" s="261">
        <v>5</v>
      </c>
      <c r="E184" s="261" t="s">
        <v>11371</v>
      </c>
      <c r="F184" s="261" t="s">
        <v>1054</v>
      </c>
      <c r="G184" s="261" t="s">
        <v>1103</v>
      </c>
      <c r="H184" s="306">
        <v>246</v>
      </c>
      <c r="I184" s="330">
        <v>1467</v>
      </c>
      <c r="J184" s="306">
        <v>270</v>
      </c>
      <c r="K184" s="330">
        <v>1595</v>
      </c>
      <c r="L184" s="261" t="s">
        <v>11458</v>
      </c>
      <c r="M184" s="261"/>
      <c r="N184" s="261"/>
      <c r="O184" s="816">
        <v>120000</v>
      </c>
      <c r="P184" s="816" t="s">
        <v>11373</v>
      </c>
      <c r="Q184" s="822" t="s">
        <v>11414</v>
      </c>
    </row>
    <row r="185" spans="1:17" x14ac:dyDescent="0.2">
      <c r="A185" s="306" t="s">
        <v>11459</v>
      </c>
      <c r="B185" s="261" t="s">
        <v>11460</v>
      </c>
      <c r="C185" s="261" t="s">
        <v>11461</v>
      </c>
      <c r="D185" s="261">
        <v>5</v>
      </c>
      <c r="E185" s="261" t="s">
        <v>11371</v>
      </c>
      <c r="F185" s="261" t="s">
        <v>123</v>
      </c>
      <c r="G185" s="261" t="s">
        <v>1947</v>
      </c>
      <c r="H185" s="306">
        <v>267</v>
      </c>
      <c r="I185" s="330">
        <v>1411</v>
      </c>
      <c r="J185" s="306">
        <v>270</v>
      </c>
      <c r="K185" s="330">
        <v>1530</v>
      </c>
      <c r="L185" s="261" t="s">
        <v>11462</v>
      </c>
      <c r="M185" s="261"/>
      <c r="N185" s="261"/>
      <c r="O185" s="816">
        <v>120000</v>
      </c>
      <c r="P185" s="816" t="s">
        <v>11373</v>
      </c>
      <c r="Q185" s="822" t="s">
        <v>11463</v>
      </c>
    </row>
    <row r="186" spans="1:17" x14ac:dyDescent="0.2">
      <c r="A186" s="306" t="s">
        <v>11464</v>
      </c>
      <c r="B186" s="261" t="s">
        <v>11465</v>
      </c>
      <c r="C186" s="261" t="s">
        <v>11466</v>
      </c>
      <c r="D186" s="261">
        <v>5</v>
      </c>
      <c r="E186" s="261" t="s">
        <v>11371</v>
      </c>
      <c r="F186" s="261" t="s">
        <v>330</v>
      </c>
      <c r="G186" s="261" t="s">
        <v>1947</v>
      </c>
      <c r="H186" s="306">
        <v>218</v>
      </c>
      <c r="I186" s="330">
        <v>1574</v>
      </c>
      <c r="J186" s="306">
        <v>250</v>
      </c>
      <c r="K186" s="330">
        <v>1625</v>
      </c>
      <c r="L186" s="261" t="s">
        <v>11467</v>
      </c>
      <c r="M186" s="261"/>
      <c r="N186" s="261"/>
      <c r="O186" s="816">
        <v>120000</v>
      </c>
      <c r="P186" s="816" t="s">
        <v>11373</v>
      </c>
      <c r="Q186" s="822" t="s">
        <v>11468</v>
      </c>
    </row>
    <row r="187" spans="1:17" x14ac:dyDescent="0.2">
      <c r="A187" s="306" t="s">
        <v>11469</v>
      </c>
      <c r="B187" s="261" t="s">
        <v>11470</v>
      </c>
      <c r="C187" s="261" t="s">
        <v>11471</v>
      </c>
      <c r="D187" s="261">
        <v>5</v>
      </c>
      <c r="E187" s="261" t="s">
        <v>11371</v>
      </c>
      <c r="F187" s="261" t="s">
        <v>429</v>
      </c>
      <c r="G187" s="261" t="s">
        <v>1947</v>
      </c>
      <c r="H187" s="306">
        <v>270</v>
      </c>
      <c r="I187" s="330">
        <v>1383</v>
      </c>
      <c r="J187" s="306">
        <v>275</v>
      </c>
      <c r="K187" s="330">
        <v>1455</v>
      </c>
      <c r="L187" s="261" t="s">
        <v>11472</v>
      </c>
      <c r="M187" s="261"/>
      <c r="N187" s="261"/>
      <c r="O187" s="816">
        <v>120000</v>
      </c>
      <c r="P187" s="816" t="s">
        <v>11373</v>
      </c>
      <c r="Q187" s="822" t="s">
        <v>11473</v>
      </c>
    </row>
    <row r="188" spans="1:17" x14ac:dyDescent="0.2">
      <c r="A188" s="306" t="s">
        <v>11474</v>
      </c>
      <c r="B188" s="261" t="s">
        <v>11475</v>
      </c>
      <c r="C188" s="261" t="s">
        <v>11476</v>
      </c>
      <c r="D188" s="261">
        <v>5</v>
      </c>
      <c r="E188" s="261" t="s">
        <v>11371</v>
      </c>
      <c r="F188" s="261" t="s">
        <v>543</v>
      </c>
      <c r="G188" s="261" t="s">
        <v>1947</v>
      </c>
      <c r="H188" s="306">
        <v>267</v>
      </c>
      <c r="I188" s="330">
        <v>1512</v>
      </c>
      <c r="J188" s="306">
        <v>295</v>
      </c>
      <c r="K188" s="330">
        <v>1610</v>
      </c>
      <c r="L188" s="261" t="s">
        <v>11477</v>
      </c>
      <c r="M188" s="261"/>
      <c r="N188" s="261"/>
      <c r="O188" s="816">
        <v>120000</v>
      </c>
      <c r="P188" s="816" t="s">
        <v>11373</v>
      </c>
      <c r="Q188" s="822" t="s">
        <v>11478</v>
      </c>
    </row>
    <row r="189" spans="1:17" x14ac:dyDescent="0.2">
      <c r="A189" s="306" t="s">
        <v>11479</v>
      </c>
      <c r="B189" s="261" t="s">
        <v>11480</v>
      </c>
      <c r="C189" s="261" t="s">
        <v>11481</v>
      </c>
      <c r="D189" s="261">
        <v>5</v>
      </c>
      <c r="E189" s="261" t="s">
        <v>11371</v>
      </c>
      <c r="F189" s="261" t="s">
        <v>645</v>
      </c>
      <c r="G189" s="261" t="s">
        <v>1947</v>
      </c>
      <c r="H189" s="306">
        <v>252</v>
      </c>
      <c r="I189" s="330">
        <v>1515</v>
      </c>
      <c r="J189" s="306">
        <v>275</v>
      </c>
      <c r="K189" s="330">
        <v>1560</v>
      </c>
      <c r="L189" s="261" t="s">
        <v>11482</v>
      </c>
      <c r="M189" s="261"/>
      <c r="N189" s="261"/>
      <c r="O189" s="816">
        <v>120000</v>
      </c>
      <c r="P189" s="816" t="s">
        <v>11373</v>
      </c>
      <c r="Q189" s="822" t="s">
        <v>11483</v>
      </c>
    </row>
    <row r="190" spans="1:17" x14ac:dyDescent="0.2">
      <c r="A190" s="306" t="s">
        <v>11484</v>
      </c>
      <c r="B190" s="261" t="s">
        <v>11485</v>
      </c>
      <c r="C190" s="261" t="s">
        <v>11486</v>
      </c>
      <c r="D190" s="261">
        <v>5</v>
      </c>
      <c r="E190" s="261" t="s">
        <v>11371</v>
      </c>
      <c r="F190" s="261" t="s">
        <v>759</v>
      </c>
      <c r="G190" s="261" t="s">
        <v>1947</v>
      </c>
      <c r="H190" s="306">
        <v>242</v>
      </c>
      <c r="I190" s="330">
        <v>1426</v>
      </c>
      <c r="J190" s="306">
        <v>280</v>
      </c>
      <c r="K190" s="330">
        <v>1470</v>
      </c>
      <c r="L190" s="261" t="s">
        <v>11487</v>
      </c>
      <c r="M190" s="261"/>
      <c r="N190" s="261"/>
      <c r="O190" s="816">
        <v>120000</v>
      </c>
      <c r="P190" s="816" t="s">
        <v>11373</v>
      </c>
      <c r="Q190" s="822" t="s">
        <v>11488</v>
      </c>
    </row>
    <row r="191" spans="1:17" x14ac:dyDescent="0.2">
      <c r="A191" s="306" t="s">
        <v>11489</v>
      </c>
      <c r="B191" s="261" t="s">
        <v>11490</v>
      </c>
      <c r="C191" s="261" t="s">
        <v>9273</v>
      </c>
      <c r="D191" s="261">
        <v>5</v>
      </c>
      <c r="E191" s="261" t="s">
        <v>11371</v>
      </c>
      <c r="F191" s="261" t="s">
        <v>839</v>
      </c>
      <c r="G191" s="261" t="s">
        <v>1947</v>
      </c>
      <c r="H191" s="306">
        <v>221</v>
      </c>
      <c r="I191" s="330">
        <v>1575</v>
      </c>
      <c r="J191" s="306">
        <v>275</v>
      </c>
      <c r="K191" s="330">
        <v>1575</v>
      </c>
      <c r="L191" s="261" t="s">
        <v>11491</v>
      </c>
      <c r="M191" s="261"/>
      <c r="N191" s="261"/>
      <c r="O191" s="816">
        <v>120000</v>
      </c>
      <c r="P191" s="816" t="s">
        <v>11373</v>
      </c>
      <c r="Q191" s="822" t="s">
        <v>11492</v>
      </c>
    </row>
    <row r="192" spans="1:17" x14ac:dyDescent="0.2">
      <c r="A192" s="306" t="s">
        <v>11493</v>
      </c>
      <c r="B192" s="261" t="s">
        <v>11494</v>
      </c>
      <c r="C192" s="261" t="s">
        <v>11495</v>
      </c>
      <c r="D192" s="261">
        <v>5</v>
      </c>
      <c r="E192" s="261" t="s">
        <v>11371</v>
      </c>
      <c r="F192" s="261" t="s">
        <v>949</v>
      </c>
      <c r="G192" s="261" t="s">
        <v>1947</v>
      </c>
      <c r="H192" s="306">
        <v>294</v>
      </c>
      <c r="I192" s="330">
        <v>1340</v>
      </c>
      <c r="J192" s="306">
        <v>325</v>
      </c>
      <c r="K192" s="330">
        <v>1370</v>
      </c>
      <c r="L192" s="261" t="s">
        <v>11496</v>
      </c>
      <c r="M192" s="261"/>
      <c r="N192" s="261"/>
      <c r="O192" s="816">
        <v>120000</v>
      </c>
      <c r="P192" s="816" t="s">
        <v>11373</v>
      </c>
      <c r="Q192" s="822" t="s">
        <v>11497</v>
      </c>
    </row>
    <row r="193" spans="1:17" x14ac:dyDescent="0.2">
      <c r="A193" s="306" t="s">
        <v>11498</v>
      </c>
      <c r="B193" s="261" t="s">
        <v>11499</v>
      </c>
      <c r="C193" s="261" t="s">
        <v>11500</v>
      </c>
      <c r="D193" s="261">
        <v>5</v>
      </c>
      <c r="E193" s="261" t="s">
        <v>11371</v>
      </c>
      <c r="F193" s="261" t="s">
        <v>1054</v>
      </c>
      <c r="G193" s="261" t="s">
        <v>1947</v>
      </c>
      <c r="H193" s="306">
        <v>239</v>
      </c>
      <c r="I193" s="330">
        <v>1498</v>
      </c>
      <c r="J193" s="306">
        <v>270</v>
      </c>
      <c r="K193" s="330">
        <v>1595</v>
      </c>
      <c r="L193" s="261" t="s">
        <v>11501</v>
      </c>
      <c r="M193" s="261"/>
      <c r="N193" s="261"/>
      <c r="O193" s="816">
        <v>120000</v>
      </c>
      <c r="P193" s="816" t="s">
        <v>11373</v>
      </c>
      <c r="Q193" s="822" t="s">
        <v>11414</v>
      </c>
    </row>
    <row r="194" spans="1:17" x14ac:dyDescent="0.2">
      <c r="A194" s="306" t="s">
        <v>11502</v>
      </c>
      <c r="B194" s="261" t="s">
        <v>11503</v>
      </c>
      <c r="C194" s="261" t="s">
        <v>11504</v>
      </c>
      <c r="D194" s="261">
        <v>5</v>
      </c>
      <c r="E194" s="261" t="s">
        <v>11371</v>
      </c>
      <c r="F194" s="261" t="s">
        <v>123</v>
      </c>
      <c r="G194" s="261" t="s">
        <v>2837</v>
      </c>
      <c r="H194" s="306">
        <v>247</v>
      </c>
      <c r="I194" s="330">
        <v>1485</v>
      </c>
      <c r="J194" s="306">
        <v>270</v>
      </c>
      <c r="K194" s="330">
        <v>1530</v>
      </c>
      <c r="L194" s="261" t="s">
        <v>11505</v>
      </c>
      <c r="M194" s="261"/>
      <c r="N194" s="261"/>
      <c r="O194" s="816">
        <v>120000</v>
      </c>
      <c r="P194" s="816" t="s">
        <v>11373</v>
      </c>
      <c r="Q194" s="822" t="s">
        <v>11506</v>
      </c>
    </row>
    <row r="195" spans="1:17" x14ac:dyDescent="0.2">
      <c r="A195" s="306" t="s">
        <v>11507</v>
      </c>
      <c r="B195" s="261" t="s">
        <v>11508</v>
      </c>
      <c r="C195" s="261" t="s">
        <v>11509</v>
      </c>
      <c r="D195" s="261">
        <v>5</v>
      </c>
      <c r="E195" s="261" t="s">
        <v>11371</v>
      </c>
      <c r="F195" s="261" t="s">
        <v>330</v>
      </c>
      <c r="G195" s="261" t="s">
        <v>2837</v>
      </c>
      <c r="H195" s="306">
        <v>235</v>
      </c>
      <c r="I195" s="330">
        <v>1495</v>
      </c>
      <c r="J195" s="306">
        <v>250</v>
      </c>
      <c r="K195" s="330">
        <v>1625</v>
      </c>
      <c r="L195" s="261" t="s">
        <v>11510</v>
      </c>
      <c r="M195" s="261"/>
      <c r="N195" s="261"/>
      <c r="O195" s="816">
        <v>120000</v>
      </c>
      <c r="P195" s="816" t="s">
        <v>11373</v>
      </c>
      <c r="Q195" s="822" t="s">
        <v>11511</v>
      </c>
    </row>
    <row r="196" spans="1:17" x14ac:dyDescent="0.2">
      <c r="A196" s="306" t="s">
        <v>11512</v>
      </c>
      <c r="B196" s="261" t="s">
        <v>11513</v>
      </c>
      <c r="C196" s="261" t="s">
        <v>11514</v>
      </c>
      <c r="D196" s="261">
        <v>5</v>
      </c>
      <c r="E196" s="261" t="s">
        <v>11371</v>
      </c>
      <c r="F196" s="261" t="s">
        <v>429</v>
      </c>
      <c r="G196" s="261" t="s">
        <v>2837</v>
      </c>
      <c r="H196" s="306">
        <v>262</v>
      </c>
      <c r="I196" s="330">
        <v>1412</v>
      </c>
      <c r="J196" s="306">
        <v>275</v>
      </c>
      <c r="K196" s="330">
        <v>1455</v>
      </c>
      <c r="L196" s="261" t="s">
        <v>11515</v>
      </c>
      <c r="M196" s="261"/>
      <c r="N196" s="261"/>
      <c r="O196" s="816">
        <v>120000</v>
      </c>
      <c r="P196" s="816" t="s">
        <v>11373</v>
      </c>
      <c r="Q196" s="822" t="s">
        <v>11516</v>
      </c>
    </row>
    <row r="197" spans="1:17" x14ac:dyDescent="0.2">
      <c r="A197" s="306" t="s">
        <v>11517</v>
      </c>
      <c r="B197" s="261" t="s">
        <v>11518</v>
      </c>
      <c r="C197" s="261" t="s">
        <v>11519</v>
      </c>
      <c r="D197" s="261">
        <v>5</v>
      </c>
      <c r="E197" s="261" t="s">
        <v>11371</v>
      </c>
      <c r="F197" s="261" t="s">
        <v>543</v>
      </c>
      <c r="G197" s="261" t="s">
        <v>2837</v>
      </c>
      <c r="H197" s="306">
        <v>242</v>
      </c>
      <c r="I197" s="330">
        <v>1606</v>
      </c>
      <c r="J197" s="306">
        <v>295</v>
      </c>
      <c r="K197" s="330">
        <v>1610</v>
      </c>
      <c r="L197" s="261" t="s">
        <v>11520</v>
      </c>
      <c r="M197" s="261"/>
      <c r="N197" s="261"/>
      <c r="O197" s="816">
        <v>120000</v>
      </c>
      <c r="P197" s="816" t="s">
        <v>11373</v>
      </c>
      <c r="Q197" s="822" t="s">
        <v>11521</v>
      </c>
    </row>
    <row r="198" spans="1:17" x14ac:dyDescent="0.2">
      <c r="A198" s="306" t="s">
        <v>11522</v>
      </c>
      <c r="B198" s="261" t="s">
        <v>11523</v>
      </c>
      <c r="C198" s="261" t="s">
        <v>11524</v>
      </c>
      <c r="D198" s="261">
        <v>5</v>
      </c>
      <c r="E198" s="261" t="s">
        <v>11371</v>
      </c>
      <c r="F198" s="261" t="s">
        <v>645</v>
      </c>
      <c r="G198" s="261" t="s">
        <v>2837</v>
      </c>
      <c r="H198" s="306">
        <v>240</v>
      </c>
      <c r="I198" s="330">
        <v>1560</v>
      </c>
      <c r="J198" s="306">
        <v>275</v>
      </c>
      <c r="K198" s="330">
        <v>1560</v>
      </c>
      <c r="L198" s="261" t="s">
        <v>11525</v>
      </c>
      <c r="M198" s="261"/>
      <c r="N198" s="261"/>
      <c r="O198" s="816">
        <v>120000</v>
      </c>
      <c r="P198" s="816" t="s">
        <v>11373</v>
      </c>
      <c r="Q198" s="822" t="s">
        <v>11526</v>
      </c>
    </row>
    <row r="199" spans="1:17" x14ac:dyDescent="0.2">
      <c r="A199" s="306" t="s">
        <v>11527</v>
      </c>
      <c r="B199" s="261" t="s">
        <v>11528</v>
      </c>
      <c r="C199" s="261" t="s">
        <v>11529</v>
      </c>
      <c r="D199" s="261">
        <v>5</v>
      </c>
      <c r="E199" s="261" t="s">
        <v>11371</v>
      </c>
      <c r="F199" s="261" t="s">
        <v>759</v>
      </c>
      <c r="G199" s="261" t="s">
        <v>2837</v>
      </c>
      <c r="H199" s="306">
        <v>262</v>
      </c>
      <c r="I199" s="330">
        <v>1354</v>
      </c>
      <c r="J199" s="306">
        <v>280</v>
      </c>
      <c r="K199" s="330">
        <v>1470</v>
      </c>
      <c r="L199" s="261" t="s">
        <v>11530</v>
      </c>
      <c r="M199" s="261"/>
      <c r="N199" s="261"/>
      <c r="O199" s="816">
        <v>120000</v>
      </c>
      <c r="P199" s="816" t="s">
        <v>11373</v>
      </c>
      <c r="Q199" s="822" t="s">
        <v>11531</v>
      </c>
    </row>
    <row r="200" spans="1:17" x14ac:dyDescent="0.2">
      <c r="A200" s="306" t="s">
        <v>11532</v>
      </c>
      <c r="B200" s="261" t="s">
        <v>11533</v>
      </c>
      <c r="C200" s="261" t="s">
        <v>11534</v>
      </c>
      <c r="D200" s="261">
        <v>5</v>
      </c>
      <c r="E200" s="261" t="s">
        <v>11371</v>
      </c>
      <c r="F200" s="261" t="s">
        <v>839</v>
      </c>
      <c r="G200" s="261" t="s">
        <v>2837</v>
      </c>
      <c r="H200" s="306">
        <v>232</v>
      </c>
      <c r="I200" s="330">
        <v>1530</v>
      </c>
      <c r="J200" s="306">
        <v>275</v>
      </c>
      <c r="K200" s="330">
        <v>1575</v>
      </c>
      <c r="L200" s="261" t="s">
        <v>11535</v>
      </c>
      <c r="M200" s="261"/>
      <c r="N200" s="261"/>
      <c r="O200" s="816">
        <v>120000</v>
      </c>
      <c r="P200" s="816" t="s">
        <v>11373</v>
      </c>
      <c r="Q200" s="822" t="s">
        <v>11536</v>
      </c>
    </row>
    <row r="201" spans="1:17" x14ac:dyDescent="0.2">
      <c r="A201" s="306" t="s">
        <v>11537</v>
      </c>
      <c r="B201" s="261" t="s">
        <v>11538</v>
      </c>
      <c r="C201" s="261" t="s">
        <v>11539</v>
      </c>
      <c r="D201" s="261">
        <v>5</v>
      </c>
      <c r="E201" s="261" t="s">
        <v>11371</v>
      </c>
      <c r="F201" s="261" t="s">
        <v>949</v>
      </c>
      <c r="G201" s="261" t="s">
        <v>2837</v>
      </c>
      <c r="H201" s="306">
        <v>294</v>
      </c>
      <c r="I201" s="330">
        <v>1340</v>
      </c>
      <c r="J201" s="306">
        <v>325</v>
      </c>
      <c r="K201" s="330">
        <v>1370</v>
      </c>
      <c r="L201" s="261" t="s">
        <v>11540</v>
      </c>
      <c r="M201" s="261"/>
      <c r="N201" s="261"/>
      <c r="O201" s="816">
        <v>120000</v>
      </c>
      <c r="P201" s="816" t="s">
        <v>11373</v>
      </c>
      <c r="Q201" s="822" t="s">
        <v>11541</v>
      </c>
    </row>
    <row r="202" spans="1:17" x14ac:dyDescent="0.2">
      <c r="A202" s="306" t="s">
        <v>11542</v>
      </c>
      <c r="B202" s="261" t="s">
        <v>11543</v>
      </c>
      <c r="C202" s="261" t="s">
        <v>11544</v>
      </c>
      <c r="D202" s="261">
        <v>5</v>
      </c>
      <c r="E202" s="261" t="s">
        <v>11371</v>
      </c>
      <c r="F202" s="261" t="s">
        <v>1054</v>
      </c>
      <c r="G202" s="261" t="s">
        <v>2837</v>
      </c>
      <c r="H202" s="306">
        <v>227</v>
      </c>
      <c r="I202" s="330">
        <v>1544</v>
      </c>
      <c r="J202" s="306">
        <v>270</v>
      </c>
      <c r="K202" s="330">
        <v>1595</v>
      </c>
      <c r="L202" s="261" t="s">
        <v>11545</v>
      </c>
      <c r="M202" s="261"/>
      <c r="N202" s="261"/>
      <c r="O202" s="816">
        <v>120000</v>
      </c>
      <c r="P202" s="816" t="s">
        <v>11373</v>
      </c>
      <c r="Q202" s="822" t="s">
        <v>11414</v>
      </c>
    </row>
    <row r="203" spans="1:17" x14ac:dyDescent="0.2">
      <c r="A203" s="306" t="s">
        <v>11546</v>
      </c>
      <c r="B203" s="261" t="s">
        <v>11547</v>
      </c>
      <c r="C203" s="261" t="s">
        <v>11548</v>
      </c>
      <c r="D203" s="261">
        <v>5</v>
      </c>
      <c r="E203" s="261" t="s">
        <v>11371</v>
      </c>
      <c r="F203" s="261" t="s">
        <v>123</v>
      </c>
      <c r="G203" s="261" t="s">
        <v>3779</v>
      </c>
      <c r="H203" s="306">
        <v>247</v>
      </c>
      <c r="I203" s="330">
        <v>1485</v>
      </c>
      <c r="J203" s="306">
        <v>270</v>
      </c>
      <c r="K203" s="330">
        <v>1530</v>
      </c>
      <c r="L203" s="261" t="s">
        <v>11549</v>
      </c>
      <c r="M203" s="261"/>
      <c r="N203" s="261"/>
      <c r="O203" s="816">
        <v>120000</v>
      </c>
      <c r="P203" s="816" t="s">
        <v>11373</v>
      </c>
      <c r="Q203" s="822" t="s">
        <v>11550</v>
      </c>
    </row>
    <row r="204" spans="1:17" x14ac:dyDescent="0.2">
      <c r="A204" s="306" t="s">
        <v>11551</v>
      </c>
      <c r="B204" s="261" t="s">
        <v>11552</v>
      </c>
      <c r="C204" s="261" t="s">
        <v>11553</v>
      </c>
      <c r="D204" s="261">
        <v>5</v>
      </c>
      <c r="E204" s="261" t="s">
        <v>11371</v>
      </c>
      <c r="F204" s="261" t="s">
        <v>330</v>
      </c>
      <c r="G204" s="261" t="s">
        <v>3779</v>
      </c>
      <c r="H204" s="306">
        <v>207</v>
      </c>
      <c r="I204" s="330">
        <v>1621</v>
      </c>
      <c r="J204" s="306">
        <v>250</v>
      </c>
      <c r="K204" s="330">
        <v>1625</v>
      </c>
      <c r="L204" s="261" t="s">
        <v>11554</v>
      </c>
      <c r="M204" s="261"/>
      <c r="N204" s="261"/>
      <c r="O204" s="816">
        <v>120000</v>
      </c>
      <c r="P204" s="816" t="s">
        <v>11373</v>
      </c>
      <c r="Q204" s="822" t="s">
        <v>11555</v>
      </c>
    </row>
    <row r="205" spans="1:17" x14ac:dyDescent="0.2">
      <c r="A205" s="306" t="s">
        <v>11556</v>
      </c>
      <c r="B205" s="261" t="s">
        <v>11557</v>
      </c>
      <c r="C205" s="261" t="s">
        <v>11558</v>
      </c>
      <c r="D205" s="261">
        <v>5</v>
      </c>
      <c r="E205" s="261" t="s">
        <v>11371</v>
      </c>
      <c r="F205" s="261" t="s">
        <v>429</v>
      </c>
      <c r="G205" s="261" t="s">
        <v>3779</v>
      </c>
      <c r="H205" s="306">
        <v>262</v>
      </c>
      <c r="I205" s="330">
        <v>1412</v>
      </c>
      <c r="J205" s="306">
        <v>275</v>
      </c>
      <c r="K205" s="330">
        <v>1455</v>
      </c>
      <c r="L205" s="261" t="s">
        <v>11559</v>
      </c>
      <c r="M205" s="261"/>
      <c r="N205" s="261"/>
      <c r="O205" s="816">
        <v>120000</v>
      </c>
      <c r="P205" s="816" t="s">
        <v>11373</v>
      </c>
      <c r="Q205" s="822" t="s">
        <v>11560</v>
      </c>
    </row>
    <row r="206" spans="1:17" x14ac:dyDescent="0.2">
      <c r="A206" s="306" t="s">
        <v>11561</v>
      </c>
      <c r="B206" s="261" t="s">
        <v>11562</v>
      </c>
      <c r="C206" s="261" t="s">
        <v>11563</v>
      </c>
      <c r="D206" s="261">
        <v>5</v>
      </c>
      <c r="E206" s="261" t="s">
        <v>11371</v>
      </c>
      <c r="F206" s="261" t="s">
        <v>543</v>
      </c>
      <c r="G206" s="261" t="s">
        <v>3779</v>
      </c>
      <c r="H206" s="306">
        <v>242</v>
      </c>
      <c r="I206" s="330">
        <v>1606</v>
      </c>
      <c r="J206" s="306">
        <v>295</v>
      </c>
      <c r="K206" s="330">
        <v>1610</v>
      </c>
      <c r="L206" s="261" t="s">
        <v>11564</v>
      </c>
      <c r="M206" s="261"/>
      <c r="N206" s="261"/>
      <c r="O206" s="816">
        <v>120000</v>
      </c>
      <c r="P206" s="816" t="s">
        <v>11373</v>
      </c>
      <c r="Q206" s="822" t="s">
        <v>11565</v>
      </c>
    </row>
    <row r="207" spans="1:17" x14ac:dyDescent="0.2">
      <c r="A207" s="306" t="s">
        <v>11566</v>
      </c>
      <c r="B207" s="261" t="s">
        <v>11567</v>
      </c>
      <c r="C207" s="261" t="s">
        <v>11568</v>
      </c>
      <c r="D207" s="261">
        <v>5</v>
      </c>
      <c r="E207" s="261" t="s">
        <v>11371</v>
      </c>
      <c r="F207" s="261" t="s">
        <v>645</v>
      </c>
      <c r="G207" s="261" t="s">
        <v>3779</v>
      </c>
      <c r="H207" s="306">
        <v>272</v>
      </c>
      <c r="I207" s="330">
        <v>1439</v>
      </c>
      <c r="J207" s="306">
        <v>275</v>
      </c>
      <c r="K207" s="330">
        <v>1560</v>
      </c>
      <c r="L207" s="261" t="s">
        <v>11569</v>
      </c>
      <c r="M207" s="261"/>
      <c r="N207" s="261"/>
      <c r="O207" s="816">
        <v>120000</v>
      </c>
      <c r="P207" s="816" t="s">
        <v>11373</v>
      </c>
      <c r="Q207" s="822" t="s">
        <v>11570</v>
      </c>
    </row>
    <row r="208" spans="1:17" x14ac:dyDescent="0.2">
      <c r="A208" s="306" t="s">
        <v>11571</v>
      </c>
      <c r="B208" s="261" t="s">
        <v>11572</v>
      </c>
      <c r="C208" s="261" t="s">
        <v>11573</v>
      </c>
      <c r="D208" s="261">
        <v>5</v>
      </c>
      <c r="E208" s="261" t="s">
        <v>11371</v>
      </c>
      <c r="F208" s="261" t="s">
        <v>759</v>
      </c>
      <c r="G208" s="261" t="s">
        <v>3779</v>
      </c>
      <c r="H208" s="306">
        <v>242</v>
      </c>
      <c r="I208" s="330">
        <v>1426</v>
      </c>
      <c r="J208" s="306">
        <v>280</v>
      </c>
      <c r="K208" s="330">
        <v>1470</v>
      </c>
      <c r="L208" s="261" t="s">
        <v>11574</v>
      </c>
      <c r="M208" s="261"/>
      <c r="N208" s="261"/>
      <c r="O208" s="816">
        <v>120000</v>
      </c>
      <c r="P208" s="816" t="s">
        <v>11373</v>
      </c>
      <c r="Q208" s="822" t="s">
        <v>11575</v>
      </c>
    </row>
    <row r="209" spans="1:17" x14ac:dyDescent="0.2">
      <c r="A209" s="306" t="s">
        <v>11576</v>
      </c>
      <c r="B209" s="261" t="s">
        <v>11577</v>
      </c>
      <c r="C209" s="261" t="s">
        <v>11578</v>
      </c>
      <c r="D209" s="261">
        <v>5</v>
      </c>
      <c r="E209" s="261" t="s">
        <v>11371</v>
      </c>
      <c r="F209" s="261" t="s">
        <v>839</v>
      </c>
      <c r="G209" s="261" t="s">
        <v>3779</v>
      </c>
      <c r="H209" s="306">
        <v>244</v>
      </c>
      <c r="I209" s="330">
        <v>1484</v>
      </c>
      <c r="J209" s="306">
        <v>275</v>
      </c>
      <c r="K209" s="330">
        <v>1575</v>
      </c>
      <c r="L209" s="261" t="s">
        <v>11579</v>
      </c>
      <c r="M209" s="261"/>
      <c r="N209" s="261"/>
      <c r="O209" s="816">
        <v>120000</v>
      </c>
      <c r="P209" s="816" t="s">
        <v>11373</v>
      </c>
      <c r="Q209" s="822" t="s">
        <v>11580</v>
      </c>
    </row>
    <row r="210" spans="1:17" x14ac:dyDescent="0.2">
      <c r="A210" s="306" t="s">
        <v>11581</v>
      </c>
      <c r="B210" s="261" t="s">
        <v>11582</v>
      </c>
      <c r="C210" s="261" t="s">
        <v>11583</v>
      </c>
      <c r="D210" s="261">
        <v>5</v>
      </c>
      <c r="E210" s="261" t="s">
        <v>11371</v>
      </c>
      <c r="F210" s="261" t="s">
        <v>949</v>
      </c>
      <c r="G210" s="261" t="s">
        <v>3779</v>
      </c>
      <c r="H210" s="306">
        <v>294</v>
      </c>
      <c r="I210" s="330">
        <v>1340</v>
      </c>
      <c r="J210" s="306">
        <v>325</v>
      </c>
      <c r="K210" s="330">
        <v>1370</v>
      </c>
      <c r="L210" s="261" t="s">
        <v>11584</v>
      </c>
      <c r="M210" s="261"/>
      <c r="N210" s="261"/>
      <c r="O210" s="816">
        <v>120000</v>
      </c>
      <c r="P210" s="816" t="s">
        <v>11373</v>
      </c>
      <c r="Q210" s="822" t="s">
        <v>11585</v>
      </c>
    </row>
    <row r="211" spans="1:17" x14ac:dyDescent="0.2">
      <c r="A211" s="306" t="s">
        <v>11586</v>
      </c>
      <c r="B211" s="261" t="s">
        <v>11587</v>
      </c>
      <c r="C211" s="261" t="s">
        <v>11588</v>
      </c>
      <c r="D211" s="261">
        <v>5</v>
      </c>
      <c r="E211" s="261" t="s">
        <v>11371</v>
      </c>
      <c r="F211" s="261" t="s">
        <v>1054</v>
      </c>
      <c r="G211" s="261" t="s">
        <v>3779</v>
      </c>
      <c r="H211" s="306">
        <v>227</v>
      </c>
      <c r="I211" s="330">
        <v>1544</v>
      </c>
      <c r="J211" s="306">
        <v>270</v>
      </c>
      <c r="K211" s="330">
        <v>1595</v>
      </c>
      <c r="L211" s="261" t="s">
        <v>11589</v>
      </c>
      <c r="M211" s="261"/>
      <c r="N211" s="261"/>
      <c r="O211" s="816">
        <v>120000</v>
      </c>
      <c r="P211" s="816" t="s">
        <v>11373</v>
      </c>
      <c r="Q211" s="822" t="s">
        <v>11414</v>
      </c>
    </row>
    <row r="212" spans="1:17" x14ac:dyDescent="0.2">
      <c r="A212" s="306" t="s">
        <v>11590</v>
      </c>
      <c r="B212" s="261" t="s">
        <v>11591</v>
      </c>
      <c r="C212" s="261" t="s">
        <v>11592</v>
      </c>
      <c r="D212" s="261">
        <v>6</v>
      </c>
      <c r="E212" s="261" t="s">
        <v>11593</v>
      </c>
      <c r="F212" s="261" t="s">
        <v>123</v>
      </c>
      <c r="G212" s="261" t="s">
        <v>122</v>
      </c>
      <c r="H212" s="306">
        <v>270</v>
      </c>
      <c r="I212" s="330">
        <v>1720</v>
      </c>
      <c r="J212" s="306">
        <v>270</v>
      </c>
      <c r="K212" s="330">
        <v>1720</v>
      </c>
      <c r="L212" s="261" t="s">
        <v>11594</v>
      </c>
      <c r="M212" s="261" t="s">
        <v>11595</v>
      </c>
      <c r="N212" s="261" t="s">
        <v>11596</v>
      </c>
      <c r="O212" s="816">
        <v>200000</v>
      </c>
      <c r="P212" s="816" t="s">
        <v>11597</v>
      </c>
      <c r="Q212" s="822" t="s">
        <v>11598</v>
      </c>
    </row>
    <row r="213" spans="1:17" x14ac:dyDescent="0.2">
      <c r="A213" s="306" t="s">
        <v>11599</v>
      </c>
      <c r="B213" s="261" t="s">
        <v>11600</v>
      </c>
      <c r="C213" s="261" t="s">
        <v>11601</v>
      </c>
      <c r="D213" s="261">
        <v>6</v>
      </c>
      <c r="E213" s="261" t="s">
        <v>11593</v>
      </c>
      <c r="F213" s="261" t="s">
        <v>330</v>
      </c>
      <c r="G213" s="261" t="s">
        <v>122</v>
      </c>
      <c r="H213" s="306">
        <v>239</v>
      </c>
      <c r="I213" s="330">
        <v>1822</v>
      </c>
      <c r="J213" s="306">
        <v>250</v>
      </c>
      <c r="K213" s="330">
        <v>1825</v>
      </c>
      <c r="L213" s="261" t="s">
        <v>11594</v>
      </c>
      <c r="M213" s="261" t="s">
        <v>11595</v>
      </c>
      <c r="N213" s="261" t="s">
        <v>11596</v>
      </c>
      <c r="O213" s="816">
        <v>200000</v>
      </c>
      <c r="P213" s="816" t="s">
        <v>11597</v>
      </c>
      <c r="Q213" s="822" t="s">
        <v>11602</v>
      </c>
    </row>
    <row r="214" spans="1:17" x14ac:dyDescent="0.2">
      <c r="A214" s="306" t="s">
        <v>11603</v>
      </c>
      <c r="B214" s="261" t="s">
        <v>11604</v>
      </c>
      <c r="C214" s="261" t="s">
        <v>11605</v>
      </c>
      <c r="D214" s="261">
        <v>6</v>
      </c>
      <c r="E214" s="261" t="s">
        <v>11593</v>
      </c>
      <c r="F214" s="261" t="s">
        <v>429</v>
      </c>
      <c r="G214" s="261" t="s">
        <v>122</v>
      </c>
      <c r="H214" s="306">
        <v>273</v>
      </c>
      <c r="I214" s="330">
        <v>1686</v>
      </c>
      <c r="J214" s="306">
        <v>275</v>
      </c>
      <c r="K214" s="330">
        <v>1690</v>
      </c>
      <c r="L214" s="261" t="s">
        <v>11594</v>
      </c>
      <c r="M214" s="261" t="s">
        <v>11595</v>
      </c>
      <c r="N214" s="261" t="s">
        <v>11596</v>
      </c>
      <c r="O214" s="816">
        <v>200000</v>
      </c>
      <c r="P214" s="816" t="s">
        <v>11597</v>
      </c>
      <c r="Q214" s="822" t="s">
        <v>11606</v>
      </c>
    </row>
    <row r="215" spans="1:17" x14ac:dyDescent="0.2">
      <c r="A215" s="306" t="s">
        <v>11607</v>
      </c>
      <c r="B215" s="261" t="s">
        <v>11608</v>
      </c>
      <c r="C215" s="261" t="s">
        <v>11609</v>
      </c>
      <c r="D215" s="261">
        <v>6</v>
      </c>
      <c r="E215" s="261" t="s">
        <v>11593</v>
      </c>
      <c r="F215" s="261" t="s">
        <v>543</v>
      </c>
      <c r="G215" s="261" t="s">
        <v>122</v>
      </c>
      <c r="H215" s="306">
        <v>278</v>
      </c>
      <c r="I215" s="330">
        <v>1805</v>
      </c>
      <c r="J215" s="306">
        <v>295</v>
      </c>
      <c r="K215" s="330">
        <v>1805</v>
      </c>
      <c r="L215" s="261" t="s">
        <v>11594</v>
      </c>
      <c r="M215" s="261" t="s">
        <v>11595</v>
      </c>
      <c r="N215" s="261" t="s">
        <v>11596</v>
      </c>
      <c r="O215" s="816">
        <v>200000</v>
      </c>
      <c r="P215" s="816" t="s">
        <v>11597</v>
      </c>
      <c r="Q215" s="822" t="s">
        <v>11610</v>
      </c>
    </row>
    <row r="216" spans="1:17" x14ac:dyDescent="0.2">
      <c r="A216" s="306" t="s">
        <v>11611</v>
      </c>
      <c r="B216" s="261" t="s">
        <v>11612</v>
      </c>
      <c r="C216" s="261" t="s">
        <v>11613</v>
      </c>
      <c r="D216" s="261">
        <v>6</v>
      </c>
      <c r="E216" s="261" t="s">
        <v>11593</v>
      </c>
      <c r="F216" s="261" t="s">
        <v>645</v>
      </c>
      <c r="G216" s="261" t="s">
        <v>122</v>
      </c>
      <c r="H216" s="306">
        <v>276</v>
      </c>
      <c r="I216" s="330">
        <v>1754</v>
      </c>
      <c r="J216" s="306">
        <v>280</v>
      </c>
      <c r="K216" s="330">
        <v>1755</v>
      </c>
      <c r="L216" s="261" t="s">
        <v>11594</v>
      </c>
      <c r="M216" s="261" t="s">
        <v>11595</v>
      </c>
      <c r="N216" s="261" t="s">
        <v>11596</v>
      </c>
      <c r="O216" s="816">
        <v>200000</v>
      </c>
      <c r="P216" s="816" t="s">
        <v>11597</v>
      </c>
      <c r="Q216" s="822" t="s">
        <v>11614</v>
      </c>
    </row>
    <row r="217" spans="1:17" x14ac:dyDescent="0.2">
      <c r="A217" s="306" t="s">
        <v>11615</v>
      </c>
      <c r="B217" s="261" t="s">
        <v>11616</v>
      </c>
      <c r="C217" s="261" t="s">
        <v>11617</v>
      </c>
      <c r="D217" s="261">
        <v>6</v>
      </c>
      <c r="E217" s="261" t="s">
        <v>11593</v>
      </c>
      <c r="F217" s="261" t="s">
        <v>759</v>
      </c>
      <c r="G217" s="261" t="s">
        <v>122</v>
      </c>
      <c r="H217" s="306">
        <v>265</v>
      </c>
      <c r="I217" s="330">
        <v>1653</v>
      </c>
      <c r="J217" s="306">
        <v>280</v>
      </c>
      <c r="K217" s="330">
        <v>1655</v>
      </c>
      <c r="L217" s="261" t="s">
        <v>11594</v>
      </c>
      <c r="M217" s="261" t="s">
        <v>11595</v>
      </c>
      <c r="N217" s="261" t="s">
        <v>11596</v>
      </c>
      <c r="O217" s="816">
        <v>200000</v>
      </c>
      <c r="P217" s="816" t="s">
        <v>11597</v>
      </c>
      <c r="Q217" s="822" t="s">
        <v>11618</v>
      </c>
    </row>
    <row r="218" spans="1:17" x14ac:dyDescent="0.2">
      <c r="A218" s="306" t="s">
        <v>11619</v>
      </c>
      <c r="B218" s="261" t="s">
        <v>11620</v>
      </c>
      <c r="C218" s="261" t="s">
        <v>11621</v>
      </c>
      <c r="D218" s="261">
        <v>6</v>
      </c>
      <c r="E218" s="261" t="s">
        <v>11593</v>
      </c>
      <c r="F218" s="261" t="s">
        <v>839</v>
      </c>
      <c r="G218" s="261" t="s">
        <v>122</v>
      </c>
      <c r="H218" s="306">
        <v>255</v>
      </c>
      <c r="I218" s="330">
        <v>1771</v>
      </c>
      <c r="J218" s="306">
        <v>275</v>
      </c>
      <c r="K218" s="330">
        <v>1775</v>
      </c>
      <c r="L218" s="261" t="s">
        <v>11594</v>
      </c>
      <c r="M218" s="261" t="s">
        <v>11595</v>
      </c>
      <c r="N218" s="261" t="s">
        <v>11596</v>
      </c>
      <c r="O218" s="816">
        <v>200000</v>
      </c>
      <c r="P218" s="816" t="s">
        <v>11597</v>
      </c>
      <c r="Q218" s="822" t="s">
        <v>11622</v>
      </c>
    </row>
    <row r="219" spans="1:17" x14ac:dyDescent="0.2">
      <c r="A219" s="306" t="s">
        <v>11623</v>
      </c>
      <c r="B219" s="261" t="s">
        <v>11624</v>
      </c>
      <c r="C219" s="261" t="s">
        <v>11625</v>
      </c>
      <c r="D219" s="261">
        <v>6</v>
      </c>
      <c r="E219" s="261" t="s">
        <v>11593</v>
      </c>
      <c r="F219" s="261" t="s">
        <v>949</v>
      </c>
      <c r="G219" s="261" t="s">
        <v>122</v>
      </c>
      <c r="H219" s="306">
        <v>297</v>
      </c>
      <c r="I219" s="330">
        <v>1636</v>
      </c>
      <c r="J219" s="306">
        <v>325</v>
      </c>
      <c r="K219" s="330">
        <v>1640</v>
      </c>
      <c r="L219" s="261" t="s">
        <v>11594</v>
      </c>
      <c r="M219" s="261" t="s">
        <v>11595</v>
      </c>
      <c r="N219" s="261" t="s">
        <v>11596</v>
      </c>
      <c r="O219" s="816">
        <v>200000</v>
      </c>
      <c r="P219" s="816" t="s">
        <v>11597</v>
      </c>
      <c r="Q219" s="822" t="s">
        <v>11626</v>
      </c>
    </row>
    <row r="220" spans="1:17" x14ac:dyDescent="0.2">
      <c r="A220" s="306" t="s">
        <v>11627</v>
      </c>
      <c r="B220" s="261" t="s">
        <v>11628</v>
      </c>
      <c r="C220" s="261" t="s">
        <v>11629</v>
      </c>
      <c r="D220" s="261">
        <v>6</v>
      </c>
      <c r="E220" s="261" t="s">
        <v>11593</v>
      </c>
      <c r="F220" s="261" t="s">
        <v>1054</v>
      </c>
      <c r="G220" s="261" t="s">
        <v>122</v>
      </c>
      <c r="H220" s="306">
        <v>262</v>
      </c>
      <c r="I220" s="330">
        <v>1737</v>
      </c>
      <c r="J220" s="306">
        <v>270</v>
      </c>
      <c r="K220" s="330">
        <v>1740</v>
      </c>
      <c r="L220" s="261" t="s">
        <v>11594</v>
      </c>
      <c r="M220" s="261" t="s">
        <v>11595</v>
      </c>
      <c r="N220" s="261" t="s">
        <v>11596</v>
      </c>
      <c r="O220" s="816">
        <v>200000</v>
      </c>
      <c r="P220" s="816" t="s">
        <v>11597</v>
      </c>
      <c r="Q220" s="822" t="s">
        <v>11630</v>
      </c>
    </row>
    <row r="221" spans="1:17" x14ac:dyDescent="0.2">
      <c r="A221" s="306" t="s">
        <v>11631</v>
      </c>
      <c r="B221" s="261" t="s">
        <v>11632</v>
      </c>
      <c r="C221" s="261" t="s">
        <v>11633</v>
      </c>
      <c r="D221" s="261">
        <v>6</v>
      </c>
      <c r="E221" s="261" t="s">
        <v>11593</v>
      </c>
      <c r="F221" s="261" t="s">
        <v>123</v>
      </c>
      <c r="G221" s="261" t="s">
        <v>1103</v>
      </c>
      <c r="H221" s="306">
        <v>270</v>
      </c>
      <c r="I221" s="330">
        <v>1720</v>
      </c>
      <c r="J221" s="306">
        <v>270</v>
      </c>
      <c r="K221" s="330">
        <v>1720</v>
      </c>
      <c r="L221" s="261" t="s">
        <v>11634</v>
      </c>
      <c r="M221" s="261" t="s">
        <v>11635</v>
      </c>
      <c r="N221" s="261" t="s">
        <v>11636</v>
      </c>
      <c r="O221" s="816">
        <v>200000</v>
      </c>
      <c r="P221" s="816" t="s">
        <v>11597</v>
      </c>
      <c r="Q221" s="822" t="s">
        <v>11637</v>
      </c>
    </row>
    <row r="222" spans="1:17" x14ac:dyDescent="0.2">
      <c r="A222" s="306" t="s">
        <v>11638</v>
      </c>
      <c r="B222" s="261" t="s">
        <v>11639</v>
      </c>
      <c r="C222" s="261" t="s">
        <v>11640</v>
      </c>
      <c r="D222" s="261">
        <v>6</v>
      </c>
      <c r="E222" s="261" t="s">
        <v>11593</v>
      </c>
      <c r="F222" s="261" t="s">
        <v>330</v>
      </c>
      <c r="G222" s="261" t="s">
        <v>1103</v>
      </c>
      <c r="H222" s="306">
        <v>239</v>
      </c>
      <c r="I222" s="330">
        <v>1822</v>
      </c>
      <c r="J222" s="306">
        <v>250</v>
      </c>
      <c r="K222" s="330">
        <v>1825</v>
      </c>
      <c r="L222" s="261" t="s">
        <v>11634</v>
      </c>
      <c r="M222" s="261" t="s">
        <v>11635</v>
      </c>
      <c r="N222" s="261" t="s">
        <v>11636</v>
      </c>
      <c r="O222" s="816">
        <v>200000</v>
      </c>
      <c r="P222" s="816" t="s">
        <v>11597</v>
      </c>
      <c r="Q222" s="822" t="s">
        <v>11641</v>
      </c>
    </row>
    <row r="223" spans="1:17" x14ac:dyDescent="0.2">
      <c r="A223" s="306" t="s">
        <v>11642</v>
      </c>
      <c r="B223" s="261" t="s">
        <v>11643</v>
      </c>
      <c r="C223" s="261" t="s">
        <v>11644</v>
      </c>
      <c r="D223" s="261">
        <v>6</v>
      </c>
      <c r="E223" s="261" t="s">
        <v>11593</v>
      </c>
      <c r="F223" s="261" t="s">
        <v>429</v>
      </c>
      <c r="G223" s="261" t="s">
        <v>1103</v>
      </c>
      <c r="H223" s="306">
        <v>273</v>
      </c>
      <c r="I223" s="330">
        <v>1686</v>
      </c>
      <c r="J223" s="306">
        <v>275</v>
      </c>
      <c r="K223" s="330">
        <v>1690</v>
      </c>
      <c r="L223" s="261" t="s">
        <v>11634</v>
      </c>
      <c r="M223" s="261" t="s">
        <v>11635</v>
      </c>
      <c r="N223" s="261" t="s">
        <v>11636</v>
      </c>
      <c r="O223" s="816">
        <v>200000</v>
      </c>
      <c r="P223" s="816" t="s">
        <v>11597</v>
      </c>
      <c r="Q223" s="822" t="s">
        <v>11645</v>
      </c>
    </row>
    <row r="224" spans="1:17" x14ac:dyDescent="0.2">
      <c r="A224" s="306" t="s">
        <v>11646</v>
      </c>
      <c r="B224" s="261" t="s">
        <v>11647</v>
      </c>
      <c r="C224" s="261" t="s">
        <v>11648</v>
      </c>
      <c r="D224" s="261">
        <v>6</v>
      </c>
      <c r="E224" s="261" t="s">
        <v>11593</v>
      </c>
      <c r="F224" s="261" t="s">
        <v>543</v>
      </c>
      <c r="G224" s="261" t="s">
        <v>1103</v>
      </c>
      <c r="H224" s="306">
        <v>278</v>
      </c>
      <c r="I224" s="330">
        <v>1805</v>
      </c>
      <c r="J224" s="306">
        <v>295</v>
      </c>
      <c r="K224" s="330">
        <v>1805</v>
      </c>
      <c r="L224" s="261" t="s">
        <v>11634</v>
      </c>
      <c r="M224" s="261" t="s">
        <v>11635</v>
      </c>
      <c r="N224" s="261" t="s">
        <v>11636</v>
      </c>
      <c r="O224" s="816">
        <v>200000</v>
      </c>
      <c r="P224" s="816" t="s">
        <v>11597</v>
      </c>
      <c r="Q224" s="822" t="s">
        <v>11649</v>
      </c>
    </row>
    <row r="225" spans="1:17" x14ac:dyDescent="0.2">
      <c r="A225" s="306" t="s">
        <v>11650</v>
      </c>
      <c r="B225" s="261" t="s">
        <v>11651</v>
      </c>
      <c r="C225" s="261" t="s">
        <v>11652</v>
      </c>
      <c r="D225" s="261">
        <v>6</v>
      </c>
      <c r="E225" s="261" t="s">
        <v>11593</v>
      </c>
      <c r="F225" s="261" t="s">
        <v>645</v>
      </c>
      <c r="G225" s="261" t="s">
        <v>1103</v>
      </c>
      <c r="H225" s="306">
        <v>276</v>
      </c>
      <c r="I225" s="330">
        <v>1754</v>
      </c>
      <c r="J225" s="306">
        <v>280</v>
      </c>
      <c r="K225" s="330">
        <v>1755</v>
      </c>
      <c r="L225" s="261" t="s">
        <v>11634</v>
      </c>
      <c r="M225" s="261" t="s">
        <v>11635</v>
      </c>
      <c r="N225" s="261" t="s">
        <v>11636</v>
      </c>
      <c r="O225" s="816">
        <v>200000</v>
      </c>
      <c r="P225" s="816" t="s">
        <v>11597</v>
      </c>
      <c r="Q225" s="822" t="s">
        <v>11653</v>
      </c>
    </row>
    <row r="226" spans="1:17" x14ac:dyDescent="0.2">
      <c r="A226" s="306" t="s">
        <v>11654</v>
      </c>
      <c r="B226" s="261" t="s">
        <v>11655</v>
      </c>
      <c r="C226" s="261" t="s">
        <v>11656</v>
      </c>
      <c r="D226" s="261">
        <v>6</v>
      </c>
      <c r="E226" s="261" t="s">
        <v>11593</v>
      </c>
      <c r="F226" s="261" t="s">
        <v>759</v>
      </c>
      <c r="G226" s="261" t="s">
        <v>1103</v>
      </c>
      <c r="H226" s="306">
        <v>265</v>
      </c>
      <c r="I226" s="330">
        <v>1653</v>
      </c>
      <c r="J226" s="306">
        <v>280</v>
      </c>
      <c r="K226" s="330">
        <v>1655</v>
      </c>
      <c r="L226" s="261" t="s">
        <v>11634</v>
      </c>
      <c r="M226" s="261" t="s">
        <v>11635</v>
      </c>
      <c r="N226" s="261" t="s">
        <v>11636</v>
      </c>
      <c r="O226" s="816">
        <v>200000</v>
      </c>
      <c r="P226" s="816" t="s">
        <v>11597</v>
      </c>
      <c r="Q226" s="822" t="s">
        <v>11657</v>
      </c>
    </row>
    <row r="227" spans="1:17" x14ac:dyDescent="0.2">
      <c r="A227" s="306" t="s">
        <v>11658</v>
      </c>
      <c r="B227" s="261" t="s">
        <v>11659</v>
      </c>
      <c r="C227" s="261" t="s">
        <v>11660</v>
      </c>
      <c r="D227" s="261">
        <v>6</v>
      </c>
      <c r="E227" s="261" t="s">
        <v>11593</v>
      </c>
      <c r="F227" s="261" t="s">
        <v>839</v>
      </c>
      <c r="G227" s="261" t="s">
        <v>1103</v>
      </c>
      <c r="H227" s="306">
        <v>255</v>
      </c>
      <c r="I227" s="330">
        <v>1771</v>
      </c>
      <c r="J227" s="306">
        <v>275</v>
      </c>
      <c r="K227" s="330">
        <v>1775</v>
      </c>
      <c r="L227" s="261" t="s">
        <v>11634</v>
      </c>
      <c r="M227" s="261" t="s">
        <v>11635</v>
      </c>
      <c r="N227" s="261" t="s">
        <v>11636</v>
      </c>
      <c r="O227" s="816">
        <v>200000</v>
      </c>
      <c r="P227" s="816" t="s">
        <v>11597</v>
      </c>
      <c r="Q227" s="822" t="s">
        <v>11661</v>
      </c>
    </row>
    <row r="228" spans="1:17" x14ac:dyDescent="0.2">
      <c r="A228" s="306" t="s">
        <v>11662</v>
      </c>
      <c r="B228" s="261" t="s">
        <v>11663</v>
      </c>
      <c r="C228" s="261" t="s">
        <v>11664</v>
      </c>
      <c r="D228" s="261">
        <v>6</v>
      </c>
      <c r="E228" s="261" t="s">
        <v>11593</v>
      </c>
      <c r="F228" s="261" t="s">
        <v>949</v>
      </c>
      <c r="G228" s="261" t="s">
        <v>1103</v>
      </c>
      <c r="H228" s="306">
        <v>297</v>
      </c>
      <c r="I228" s="330">
        <v>1636</v>
      </c>
      <c r="J228" s="306">
        <v>325</v>
      </c>
      <c r="K228" s="330">
        <v>1640</v>
      </c>
      <c r="L228" s="261" t="s">
        <v>11634</v>
      </c>
      <c r="M228" s="261" t="s">
        <v>11635</v>
      </c>
      <c r="N228" s="261" t="s">
        <v>11636</v>
      </c>
      <c r="O228" s="816">
        <v>200000</v>
      </c>
      <c r="P228" s="816" t="s">
        <v>11597</v>
      </c>
      <c r="Q228" s="822" t="s">
        <v>11665</v>
      </c>
    </row>
    <row r="229" spans="1:17" x14ac:dyDescent="0.2">
      <c r="A229" s="306" t="s">
        <v>11666</v>
      </c>
      <c r="B229" s="261" t="s">
        <v>11667</v>
      </c>
      <c r="C229" s="261" t="s">
        <v>11668</v>
      </c>
      <c r="D229" s="261">
        <v>6</v>
      </c>
      <c r="E229" s="261" t="s">
        <v>11593</v>
      </c>
      <c r="F229" s="261" t="s">
        <v>1054</v>
      </c>
      <c r="G229" s="261" t="s">
        <v>1103</v>
      </c>
      <c r="H229" s="306">
        <v>262</v>
      </c>
      <c r="I229" s="330">
        <v>1737</v>
      </c>
      <c r="J229" s="306">
        <v>270</v>
      </c>
      <c r="K229" s="330">
        <v>1740</v>
      </c>
      <c r="L229" s="261" t="s">
        <v>11634</v>
      </c>
      <c r="M229" s="261" t="s">
        <v>11635</v>
      </c>
      <c r="N229" s="261" t="s">
        <v>11636</v>
      </c>
      <c r="O229" s="816">
        <v>200000</v>
      </c>
      <c r="P229" s="816" t="s">
        <v>11597</v>
      </c>
      <c r="Q229" s="822" t="s">
        <v>11669</v>
      </c>
    </row>
    <row r="230" spans="1:17" x14ac:dyDescent="0.2">
      <c r="A230" s="306" t="s">
        <v>11670</v>
      </c>
      <c r="B230" s="261" t="s">
        <v>11671</v>
      </c>
      <c r="C230" s="261" t="s">
        <v>11672</v>
      </c>
      <c r="D230" s="261">
        <v>6</v>
      </c>
      <c r="E230" s="261" t="s">
        <v>11593</v>
      </c>
      <c r="F230" s="261" t="s">
        <v>123</v>
      </c>
      <c r="G230" s="261" t="s">
        <v>1947</v>
      </c>
      <c r="H230" s="306">
        <v>270</v>
      </c>
      <c r="I230" s="330">
        <v>1720</v>
      </c>
      <c r="J230" s="306">
        <v>270</v>
      </c>
      <c r="K230" s="330">
        <v>1720</v>
      </c>
      <c r="L230" s="261" t="s">
        <v>11673</v>
      </c>
      <c r="M230" s="261" t="s">
        <v>11674</v>
      </c>
      <c r="N230" s="261" t="s">
        <v>11675</v>
      </c>
      <c r="O230" s="816">
        <v>200000</v>
      </c>
      <c r="P230" s="816" t="s">
        <v>11597</v>
      </c>
      <c r="Q230" s="822" t="s">
        <v>11676</v>
      </c>
    </row>
    <row r="231" spans="1:17" x14ac:dyDescent="0.2">
      <c r="A231" s="306" t="s">
        <v>11677</v>
      </c>
      <c r="B231" s="261" t="s">
        <v>11678</v>
      </c>
      <c r="C231" s="261" t="s">
        <v>11679</v>
      </c>
      <c r="D231" s="261">
        <v>6</v>
      </c>
      <c r="E231" s="261" t="s">
        <v>11593</v>
      </c>
      <c r="F231" s="261" t="s">
        <v>330</v>
      </c>
      <c r="G231" s="261" t="s">
        <v>1947</v>
      </c>
      <c r="H231" s="306">
        <v>239</v>
      </c>
      <c r="I231" s="330">
        <v>1822</v>
      </c>
      <c r="J231" s="306">
        <v>250</v>
      </c>
      <c r="K231" s="330">
        <v>1825</v>
      </c>
      <c r="L231" s="261" t="s">
        <v>11673</v>
      </c>
      <c r="M231" s="261" t="s">
        <v>11674</v>
      </c>
      <c r="N231" s="261" t="s">
        <v>11675</v>
      </c>
      <c r="O231" s="816">
        <v>200000</v>
      </c>
      <c r="P231" s="816" t="s">
        <v>11597</v>
      </c>
      <c r="Q231" s="822" t="s">
        <v>11680</v>
      </c>
    </row>
    <row r="232" spans="1:17" x14ac:dyDescent="0.2">
      <c r="A232" s="306" t="s">
        <v>11681</v>
      </c>
      <c r="B232" s="261" t="s">
        <v>11682</v>
      </c>
      <c r="C232" s="261" t="s">
        <v>11683</v>
      </c>
      <c r="D232" s="261">
        <v>6</v>
      </c>
      <c r="E232" s="261" t="s">
        <v>11593</v>
      </c>
      <c r="F232" s="261" t="s">
        <v>429</v>
      </c>
      <c r="G232" s="261" t="s">
        <v>1947</v>
      </c>
      <c r="H232" s="306">
        <v>273</v>
      </c>
      <c r="I232" s="330">
        <v>1686</v>
      </c>
      <c r="J232" s="306">
        <v>275</v>
      </c>
      <c r="K232" s="330">
        <v>1690</v>
      </c>
      <c r="L232" s="261" t="s">
        <v>11673</v>
      </c>
      <c r="M232" s="261" t="s">
        <v>11674</v>
      </c>
      <c r="N232" s="261" t="s">
        <v>11675</v>
      </c>
      <c r="O232" s="816">
        <v>200000</v>
      </c>
      <c r="P232" s="816" t="s">
        <v>11597</v>
      </c>
      <c r="Q232" s="822" t="s">
        <v>11684</v>
      </c>
    </row>
    <row r="233" spans="1:17" x14ac:dyDescent="0.2">
      <c r="A233" s="306" t="s">
        <v>11685</v>
      </c>
      <c r="B233" s="261" t="s">
        <v>11686</v>
      </c>
      <c r="C233" s="261" t="s">
        <v>11687</v>
      </c>
      <c r="D233" s="261">
        <v>6</v>
      </c>
      <c r="E233" s="261" t="s">
        <v>11593</v>
      </c>
      <c r="F233" s="261" t="s">
        <v>543</v>
      </c>
      <c r="G233" s="261" t="s">
        <v>1947</v>
      </c>
      <c r="H233" s="306">
        <v>278</v>
      </c>
      <c r="I233" s="330">
        <v>1805</v>
      </c>
      <c r="J233" s="306">
        <v>295</v>
      </c>
      <c r="K233" s="330">
        <v>1805</v>
      </c>
      <c r="L233" s="261" t="s">
        <v>11673</v>
      </c>
      <c r="M233" s="261" t="s">
        <v>11674</v>
      </c>
      <c r="N233" s="261" t="s">
        <v>11675</v>
      </c>
      <c r="O233" s="816">
        <v>200000</v>
      </c>
      <c r="P233" s="816" t="s">
        <v>11597</v>
      </c>
      <c r="Q233" s="822" t="s">
        <v>11688</v>
      </c>
    </row>
    <row r="234" spans="1:17" x14ac:dyDescent="0.2">
      <c r="A234" s="306" t="s">
        <v>11689</v>
      </c>
      <c r="B234" s="261" t="s">
        <v>11690</v>
      </c>
      <c r="C234" s="261" t="s">
        <v>11691</v>
      </c>
      <c r="D234" s="261">
        <v>6</v>
      </c>
      <c r="E234" s="261" t="s">
        <v>11593</v>
      </c>
      <c r="F234" s="261" t="s">
        <v>645</v>
      </c>
      <c r="G234" s="261" t="s">
        <v>1947</v>
      </c>
      <c r="H234" s="306">
        <v>276</v>
      </c>
      <c r="I234" s="330">
        <v>1754</v>
      </c>
      <c r="J234" s="306">
        <v>280</v>
      </c>
      <c r="K234" s="330">
        <v>1755</v>
      </c>
      <c r="L234" s="261" t="s">
        <v>11673</v>
      </c>
      <c r="M234" s="261" t="s">
        <v>11674</v>
      </c>
      <c r="N234" s="261" t="s">
        <v>11675</v>
      </c>
      <c r="O234" s="816">
        <v>200000</v>
      </c>
      <c r="P234" s="816" t="s">
        <v>11597</v>
      </c>
      <c r="Q234" s="822" t="s">
        <v>11692</v>
      </c>
    </row>
    <row r="235" spans="1:17" x14ac:dyDescent="0.2">
      <c r="A235" s="306" t="s">
        <v>11693</v>
      </c>
      <c r="B235" s="261" t="s">
        <v>11694</v>
      </c>
      <c r="C235" s="261" t="s">
        <v>11695</v>
      </c>
      <c r="D235" s="261">
        <v>6</v>
      </c>
      <c r="E235" s="261" t="s">
        <v>11593</v>
      </c>
      <c r="F235" s="261" t="s">
        <v>759</v>
      </c>
      <c r="G235" s="261" t="s">
        <v>1947</v>
      </c>
      <c r="H235" s="306">
        <v>265</v>
      </c>
      <c r="I235" s="330">
        <v>1653</v>
      </c>
      <c r="J235" s="306">
        <v>280</v>
      </c>
      <c r="K235" s="330">
        <v>1655</v>
      </c>
      <c r="L235" s="261" t="s">
        <v>11673</v>
      </c>
      <c r="M235" s="261" t="s">
        <v>11674</v>
      </c>
      <c r="N235" s="261" t="s">
        <v>11675</v>
      </c>
      <c r="O235" s="816">
        <v>200000</v>
      </c>
      <c r="P235" s="816" t="s">
        <v>11597</v>
      </c>
      <c r="Q235" s="822" t="s">
        <v>11696</v>
      </c>
    </row>
    <row r="236" spans="1:17" x14ac:dyDescent="0.2">
      <c r="A236" s="306" t="s">
        <v>11697</v>
      </c>
      <c r="B236" s="261" t="s">
        <v>11698</v>
      </c>
      <c r="C236" s="261" t="s">
        <v>11699</v>
      </c>
      <c r="D236" s="261">
        <v>6</v>
      </c>
      <c r="E236" s="261" t="s">
        <v>11593</v>
      </c>
      <c r="F236" s="261" t="s">
        <v>839</v>
      </c>
      <c r="G236" s="261" t="s">
        <v>1947</v>
      </c>
      <c r="H236" s="306">
        <v>255</v>
      </c>
      <c r="I236" s="330">
        <v>1771</v>
      </c>
      <c r="J236" s="306">
        <v>275</v>
      </c>
      <c r="K236" s="330">
        <v>1775</v>
      </c>
      <c r="L236" s="261" t="s">
        <v>11673</v>
      </c>
      <c r="M236" s="261" t="s">
        <v>11674</v>
      </c>
      <c r="N236" s="261" t="s">
        <v>11675</v>
      </c>
      <c r="O236" s="816">
        <v>200000</v>
      </c>
      <c r="P236" s="816" t="s">
        <v>11597</v>
      </c>
      <c r="Q236" s="822" t="s">
        <v>11700</v>
      </c>
    </row>
    <row r="237" spans="1:17" x14ac:dyDescent="0.2">
      <c r="A237" s="306" t="s">
        <v>11701</v>
      </c>
      <c r="B237" s="261" t="s">
        <v>11702</v>
      </c>
      <c r="C237" s="261" t="s">
        <v>11703</v>
      </c>
      <c r="D237" s="261">
        <v>6</v>
      </c>
      <c r="E237" s="261" t="s">
        <v>11593</v>
      </c>
      <c r="F237" s="261" t="s">
        <v>949</v>
      </c>
      <c r="G237" s="261" t="s">
        <v>1947</v>
      </c>
      <c r="H237" s="306">
        <v>297</v>
      </c>
      <c r="I237" s="330">
        <v>1636</v>
      </c>
      <c r="J237" s="306">
        <v>325</v>
      </c>
      <c r="K237" s="330">
        <v>1640</v>
      </c>
      <c r="L237" s="261" t="s">
        <v>11673</v>
      </c>
      <c r="M237" s="261" t="s">
        <v>11674</v>
      </c>
      <c r="N237" s="261" t="s">
        <v>11675</v>
      </c>
      <c r="O237" s="816">
        <v>200000</v>
      </c>
      <c r="P237" s="816" t="s">
        <v>11597</v>
      </c>
      <c r="Q237" s="822" t="s">
        <v>11704</v>
      </c>
    </row>
    <row r="238" spans="1:17" x14ac:dyDescent="0.2">
      <c r="A238" s="306" t="s">
        <v>11705</v>
      </c>
      <c r="B238" s="261" t="s">
        <v>11706</v>
      </c>
      <c r="C238" s="261" t="s">
        <v>11707</v>
      </c>
      <c r="D238" s="261">
        <v>6</v>
      </c>
      <c r="E238" s="261" t="s">
        <v>11593</v>
      </c>
      <c r="F238" s="261" t="s">
        <v>1054</v>
      </c>
      <c r="G238" s="261" t="s">
        <v>1947</v>
      </c>
      <c r="H238" s="306">
        <v>262</v>
      </c>
      <c r="I238" s="330">
        <v>1737</v>
      </c>
      <c r="J238" s="306">
        <v>270</v>
      </c>
      <c r="K238" s="330">
        <v>1740</v>
      </c>
      <c r="L238" s="261" t="s">
        <v>11673</v>
      </c>
      <c r="M238" s="261" t="s">
        <v>11674</v>
      </c>
      <c r="N238" s="261" t="s">
        <v>11675</v>
      </c>
      <c r="O238" s="816">
        <v>200000</v>
      </c>
      <c r="P238" s="816" t="s">
        <v>11597</v>
      </c>
      <c r="Q238" s="822" t="s">
        <v>11708</v>
      </c>
    </row>
    <row r="239" spans="1:17" x14ac:dyDescent="0.2">
      <c r="A239" s="306" t="s">
        <v>11709</v>
      </c>
      <c r="B239" s="261" t="s">
        <v>11710</v>
      </c>
      <c r="C239" s="261" t="s">
        <v>11711</v>
      </c>
      <c r="D239" s="261">
        <v>6</v>
      </c>
      <c r="E239" s="261" t="s">
        <v>11593</v>
      </c>
      <c r="F239" s="261" t="s">
        <v>123</v>
      </c>
      <c r="G239" s="261" t="s">
        <v>2837</v>
      </c>
      <c r="H239" s="306">
        <v>270</v>
      </c>
      <c r="I239" s="330">
        <v>1720</v>
      </c>
      <c r="J239" s="306">
        <v>270</v>
      </c>
      <c r="K239" s="330">
        <v>1720</v>
      </c>
      <c r="L239" s="261" t="s">
        <v>11712</v>
      </c>
      <c r="M239" s="261" t="s">
        <v>11713</v>
      </c>
      <c r="N239" s="261" t="s">
        <v>11714</v>
      </c>
      <c r="O239" s="816">
        <v>200000</v>
      </c>
      <c r="P239" s="816" t="s">
        <v>11597</v>
      </c>
      <c r="Q239" s="822" t="s">
        <v>11715</v>
      </c>
    </row>
    <row r="240" spans="1:17" x14ac:dyDescent="0.2">
      <c r="A240" s="306" t="s">
        <v>11716</v>
      </c>
      <c r="B240" s="261" t="s">
        <v>11717</v>
      </c>
      <c r="C240" s="261" t="s">
        <v>11718</v>
      </c>
      <c r="D240" s="261">
        <v>6</v>
      </c>
      <c r="E240" s="261" t="s">
        <v>11593</v>
      </c>
      <c r="F240" s="261" t="s">
        <v>330</v>
      </c>
      <c r="G240" s="261" t="s">
        <v>2837</v>
      </c>
      <c r="H240" s="306">
        <v>239</v>
      </c>
      <c r="I240" s="330">
        <v>1822</v>
      </c>
      <c r="J240" s="306">
        <v>250</v>
      </c>
      <c r="K240" s="330">
        <v>1825</v>
      </c>
      <c r="L240" s="261" t="s">
        <v>11712</v>
      </c>
      <c r="M240" s="261" t="s">
        <v>11713</v>
      </c>
      <c r="N240" s="261" t="s">
        <v>11714</v>
      </c>
      <c r="O240" s="816">
        <v>200000</v>
      </c>
      <c r="P240" s="816" t="s">
        <v>11597</v>
      </c>
      <c r="Q240" s="822" t="s">
        <v>11719</v>
      </c>
    </row>
    <row r="241" spans="1:17" x14ac:dyDescent="0.2">
      <c r="A241" s="306" t="s">
        <v>11720</v>
      </c>
      <c r="B241" s="261" t="s">
        <v>11721</v>
      </c>
      <c r="C241" s="261" t="s">
        <v>11722</v>
      </c>
      <c r="D241" s="261">
        <v>6</v>
      </c>
      <c r="E241" s="261" t="s">
        <v>11593</v>
      </c>
      <c r="F241" s="261" t="s">
        <v>429</v>
      </c>
      <c r="G241" s="261" t="s">
        <v>2837</v>
      </c>
      <c r="H241" s="306">
        <v>273</v>
      </c>
      <c r="I241" s="330">
        <v>1686</v>
      </c>
      <c r="J241" s="306">
        <v>275</v>
      </c>
      <c r="K241" s="330">
        <v>1690</v>
      </c>
      <c r="L241" s="261" t="s">
        <v>11712</v>
      </c>
      <c r="M241" s="261" t="s">
        <v>11713</v>
      </c>
      <c r="N241" s="261" t="s">
        <v>11714</v>
      </c>
      <c r="O241" s="816">
        <v>200000</v>
      </c>
      <c r="P241" s="816" t="s">
        <v>11597</v>
      </c>
      <c r="Q241" s="822" t="s">
        <v>11723</v>
      </c>
    </row>
    <row r="242" spans="1:17" x14ac:dyDescent="0.2">
      <c r="A242" s="306" t="s">
        <v>11724</v>
      </c>
      <c r="B242" s="261" t="s">
        <v>11725</v>
      </c>
      <c r="C242" s="261" t="s">
        <v>11726</v>
      </c>
      <c r="D242" s="261">
        <v>6</v>
      </c>
      <c r="E242" s="261" t="s">
        <v>11593</v>
      </c>
      <c r="F242" s="261" t="s">
        <v>543</v>
      </c>
      <c r="G242" s="261" t="s">
        <v>2837</v>
      </c>
      <c r="H242" s="306">
        <v>278</v>
      </c>
      <c r="I242" s="330">
        <v>1805</v>
      </c>
      <c r="J242" s="306">
        <v>295</v>
      </c>
      <c r="K242" s="330">
        <v>1805</v>
      </c>
      <c r="L242" s="261" t="s">
        <v>11712</v>
      </c>
      <c r="M242" s="261" t="s">
        <v>11713</v>
      </c>
      <c r="N242" s="261" t="s">
        <v>11714</v>
      </c>
      <c r="O242" s="816">
        <v>200000</v>
      </c>
      <c r="P242" s="816" t="s">
        <v>11597</v>
      </c>
      <c r="Q242" s="822" t="s">
        <v>11727</v>
      </c>
    </row>
    <row r="243" spans="1:17" x14ac:dyDescent="0.2">
      <c r="A243" s="306" t="s">
        <v>11728</v>
      </c>
      <c r="B243" s="261" t="s">
        <v>11729</v>
      </c>
      <c r="C243" s="261" t="s">
        <v>11730</v>
      </c>
      <c r="D243" s="261">
        <v>6</v>
      </c>
      <c r="E243" s="261" t="s">
        <v>11593</v>
      </c>
      <c r="F243" s="261" t="s">
        <v>645</v>
      </c>
      <c r="G243" s="261" t="s">
        <v>2837</v>
      </c>
      <c r="H243" s="306">
        <v>276</v>
      </c>
      <c r="I243" s="330">
        <v>1754</v>
      </c>
      <c r="J243" s="306">
        <v>280</v>
      </c>
      <c r="K243" s="330">
        <v>1755</v>
      </c>
      <c r="L243" s="261" t="s">
        <v>11712</v>
      </c>
      <c r="M243" s="261" t="s">
        <v>11713</v>
      </c>
      <c r="N243" s="261" t="s">
        <v>11714</v>
      </c>
      <c r="O243" s="816">
        <v>200000</v>
      </c>
      <c r="P243" s="816" t="s">
        <v>11597</v>
      </c>
      <c r="Q243" s="822" t="s">
        <v>11731</v>
      </c>
    </row>
    <row r="244" spans="1:17" x14ac:dyDescent="0.2">
      <c r="A244" s="306" t="s">
        <v>11732</v>
      </c>
      <c r="B244" s="261" t="s">
        <v>11733</v>
      </c>
      <c r="C244" s="261" t="s">
        <v>11734</v>
      </c>
      <c r="D244" s="261">
        <v>6</v>
      </c>
      <c r="E244" s="261" t="s">
        <v>11593</v>
      </c>
      <c r="F244" s="261" t="s">
        <v>759</v>
      </c>
      <c r="G244" s="261" t="s">
        <v>2837</v>
      </c>
      <c r="H244" s="306">
        <v>265</v>
      </c>
      <c r="I244" s="330">
        <v>1653</v>
      </c>
      <c r="J244" s="306">
        <v>280</v>
      </c>
      <c r="K244" s="330">
        <v>1655</v>
      </c>
      <c r="L244" s="261" t="s">
        <v>11712</v>
      </c>
      <c r="M244" s="261" t="s">
        <v>11713</v>
      </c>
      <c r="N244" s="261" t="s">
        <v>11714</v>
      </c>
      <c r="O244" s="816">
        <v>200000</v>
      </c>
      <c r="P244" s="816" t="s">
        <v>11597</v>
      </c>
      <c r="Q244" s="822" t="s">
        <v>11735</v>
      </c>
    </row>
    <row r="245" spans="1:17" x14ac:dyDescent="0.2">
      <c r="A245" s="306" t="s">
        <v>11736</v>
      </c>
      <c r="B245" s="261" t="s">
        <v>11737</v>
      </c>
      <c r="C245" s="261" t="s">
        <v>11738</v>
      </c>
      <c r="D245" s="261">
        <v>6</v>
      </c>
      <c r="E245" s="261" t="s">
        <v>11593</v>
      </c>
      <c r="F245" s="261" t="s">
        <v>839</v>
      </c>
      <c r="G245" s="261" t="s">
        <v>2837</v>
      </c>
      <c r="H245" s="306">
        <v>255</v>
      </c>
      <c r="I245" s="330">
        <v>1771</v>
      </c>
      <c r="J245" s="306">
        <v>275</v>
      </c>
      <c r="K245" s="330">
        <v>1775</v>
      </c>
      <c r="L245" s="261" t="s">
        <v>11712</v>
      </c>
      <c r="M245" s="261" t="s">
        <v>11713</v>
      </c>
      <c r="N245" s="261" t="s">
        <v>11714</v>
      </c>
      <c r="O245" s="816">
        <v>200000</v>
      </c>
      <c r="P245" s="816" t="s">
        <v>11597</v>
      </c>
      <c r="Q245" s="822" t="s">
        <v>11739</v>
      </c>
    </row>
    <row r="246" spans="1:17" x14ac:dyDescent="0.2">
      <c r="A246" s="306" t="s">
        <v>11740</v>
      </c>
      <c r="B246" s="261" t="s">
        <v>11741</v>
      </c>
      <c r="C246" s="261" t="s">
        <v>11742</v>
      </c>
      <c r="D246" s="261">
        <v>6</v>
      </c>
      <c r="E246" s="261" t="s">
        <v>11593</v>
      </c>
      <c r="F246" s="261" t="s">
        <v>949</v>
      </c>
      <c r="G246" s="261" t="s">
        <v>2837</v>
      </c>
      <c r="H246" s="306">
        <v>297</v>
      </c>
      <c r="I246" s="330">
        <v>1636</v>
      </c>
      <c r="J246" s="306">
        <v>325</v>
      </c>
      <c r="K246" s="330">
        <v>1640</v>
      </c>
      <c r="L246" s="261" t="s">
        <v>11712</v>
      </c>
      <c r="M246" s="261" t="s">
        <v>11713</v>
      </c>
      <c r="N246" s="261" t="s">
        <v>11714</v>
      </c>
      <c r="O246" s="816">
        <v>200000</v>
      </c>
      <c r="P246" s="816" t="s">
        <v>11597</v>
      </c>
      <c r="Q246" s="822" t="s">
        <v>11743</v>
      </c>
    </row>
    <row r="247" spans="1:17" x14ac:dyDescent="0.2">
      <c r="A247" s="306" t="s">
        <v>11744</v>
      </c>
      <c r="B247" s="261" t="s">
        <v>11745</v>
      </c>
      <c r="C247" s="261" t="s">
        <v>11746</v>
      </c>
      <c r="D247" s="261">
        <v>6</v>
      </c>
      <c r="E247" s="261" t="s">
        <v>11593</v>
      </c>
      <c r="F247" s="261" t="s">
        <v>1054</v>
      </c>
      <c r="G247" s="261" t="s">
        <v>2837</v>
      </c>
      <c r="H247" s="306">
        <v>262</v>
      </c>
      <c r="I247" s="330">
        <v>1737</v>
      </c>
      <c r="J247" s="306">
        <v>270</v>
      </c>
      <c r="K247" s="330">
        <v>1740</v>
      </c>
      <c r="L247" s="261" t="s">
        <v>11712</v>
      </c>
      <c r="M247" s="261" t="s">
        <v>11713</v>
      </c>
      <c r="N247" s="261" t="s">
        <v>11714</v>
      </c>
      <c r="O247" s="816">
        <v>200000</v>
      </c>
      <c r="P247" s="816" t="s">
        <v>11597</v>
      </c>
      <c r="Q247" s="822" t="s">
        <v>11747</v>
      </c>
    </row>
    <row r="248" spans="1:17" x14ac:dyDescent="0.2">
      <c r="A248" s="306" t="s">
        <v>11748</v>
      </c>
      <c r="B248" s="261" t="s">
        <v>11749</v>
      </c>
      <c r="C248" s="261" t="s">
        <v>11750</v>
      </c>
      <c r="D248" s="261">
        <v>6</v>
      </c>
      <c r="E248" s="261" t="s">
        <v>11593</v>
      </c>
      <c r="F248" s="261" t="s">
        <v>123</v>
      </c>
      <c r="G248" s="261" t="s">
        <v>3779</v>
      </c>
      <c r="H248" s="306">
        <v>270</v>
      </c>
      <c r="I248" s="330">
        <v>1720</v>
      </c>
      <c r="J248" s="306">
        <v>270</v>
      </c>
      <c r="K248" s="330">
        <v>1720</v>
      </c>
      <c r="L248" s="261" t="s">
        <v>11751</v>
      </c>
      <c r="M248" s="261" t="s">
        <v>11752</v>
      </c>
      <c r="N248" s="261" t="s">
        <v>11753</v>
      </c>
      <c r="O248" s="816">
        <v>200000</v>
      </c>
      <c r="P248" s="816" t="s">
        <v>11597</v>
      </c>
      <c r="Q248" s="822" t="s">
        <v>11754</v>
      </c>
    </row>
    <row r="249" spans="1:17" x14ac:dyDescent="0.2">
      <c r="A249" s="306" t="s">
        <v>11755</v>
      </c>
      <c r="B249" s="261" t="s">
        <v>11756</v>
      </c>
      <c r="C249" s="261" t="s">
        <v>11757</v>
      </c>
      <c r="D249" s="261">
        <v>6</v>
      </c>
      <c r="E249" s="261" t="s">
        <v>11593</v>
      </c>
      <c r="F249" s="261" t="s">
        <v>330</v>
      </c>
      <c r="G249" s="261" t="s">
        <v>3779</v>
      </c>
      <c r="H249" s="306">
        <v>239</v>
      </c>
      <c r="I249" s="330">
        <v>1822</v>
      </c>
      <c r="J249" s="306">
        <v>250</v>
      </c>
      <c r="K249" s="330">
        <v>1825</v>
      </c>
      <c r="L249" s="261" t="s">
        <v>11751</v>
      </c>
      <c r="M249" s="261" t="s">
        <v>11752</v>
      </c>
      <c r="N249" s="261" t="s">
        <v>11753</v>
      </c>
      <c r="O249" s="816">
        <v>200000</v>
      </c>
      <c r="P249" s="816" t="s">
        <v>11597</v>
      </c>
      <c r="Q249" s="822" t="s">
        <v>11758</v>
      </c>
    </row>
    <row r="250" spans="1:17" x14ac:dyDescent="0.2">
      <c r="A250" s="306" t="s">
        <v>11759</v>
      </c>
      <c r="B250" s="261" t="s">
        <v>11760</v>
      </c>
      <c r="C250" s="261" t="s">
        <v>11761</v>
      </c>
      <c r="D250" s="261">
        <v>6</v>
      </c>
      <c r="E250" s="261" t="s">
        <v>11593</v>
      </c>
      <c r="F250" s="261" t="s">
        <v>429</v>
      </c>
      <c r="G250" s="261" t="s">
        <v>3779</v>
      </c>
      <c r="H250" s="306">
        <v>273</v>
      </c>
      <c r="I250" s="330">
        <v>1686</v>
      </c>
      <c r="J250" s="306">
        <v>275</v>
      </c>
      <c r="K250" s="330">
        <v>1690</v>
      </c>
      <c r="L250" s="261" t="s">
        <v>11751</v>
      </c>
      <c r="M250" s="261" t="s">
        <v>11752</v>
      </c>
      <c r="N250" s="261" t="s">
        <v>11753</v>
      </c>
      <c r="O250" s="816">
        <v>200000</v>
      </c>
      <c r="P250" s="816" t="s">
        <v>11597</v>
      </c>
      <c r="Q250" s="822" t="s">
        <v>11762</v>
      </c>
    </row>
    <row r="251" spans="1:17" x14ac:dyDescent="0.2">
      <c r="A251" s="306" t="s">
        <v>11763</v>
      </c>
      <c r="B251" s="261" t="s">
        <v>11764</v>
      </c>
      <c r="C251" s="261" t="s">
        <v>11765</v>
      </c>
      <c r="D251" s="261">
        <v>6</v>
      </c>
      <c r="E251" s="261" t="s">
        <v>11593</v>
      </c>
      <c r="F251" s="261" t="s">
        <v>543</v>
      </c>
      <c r="G251" s="261" t="s">
        <v>3779</v>
      </c>
      <c r="H251" s="306">
        <v>278</v>
      </c>
      <c r="I251" s="330">
        <v>1805</v>
      </c>
      <c r="J251" s="306">
        <v>295</v>
      </c>
      <c r="K251" s="330">
        <v>1805</v>
      </c>
      <c r="L251" s="261" t="s">
        <v>11751</v>
      </c>
      <c r="M251" s="261" t="s">
        <v>11752</v>
      </c>
      <c r="N251" s="261" t="s">
        <v>11753</v>
      </c>
      <c r="O251" s="816">
        <v>200000</v>
      </c>
      <c r="P251" s="816" t="s">
        <v>11597</v>
      </c>
      <c r="Q251" s="822" t="s">
        <v>11766</v>
      </c>
    </row>
    <row r="252" spans="1:17" x14ac:dyDescent="0.2">
      <c r="A252" s="306" t="s">
        <v>11767</v>
      </c>
      <c r="B252" s="261" t="s">
        <v>11768</v>
      </c>
      <c r="C252" s="261" t="s">
        <v>11769</v>
      </c>
      <c r="D252" s="261">
        <v>6</v>
      </c>
      <c r="E252" s="261" t="s">
        <v>11593</v>
      </c>
      <c r="F252" s="261" t="s">
        <v>645</v>
      </c>
      <c r="G252" s="261" t="s">
        <v>3779</v>
      </c>
      <c r="H252" s="306">
        <v>276</v>
      </c>
      <c r="I252" s="330">
        <v>1754</v>
      </c>
      <c r="J252" s="306">
        <v>280</v>
      </c>
      <c r="K252" s="330">
        <v>1755</v>
      </c>
      <c r="L252" s="261" t="s">
        <v>11751</v>
      </c>
      <c r="M252" s="261" t="s">
        <v>11752</v>
      </c>
      <c r="N252" s="261" t="s">
        <v>11753</v>
      </c>
      <c r="O252" s="816">
        <v>200000</v>
      </c>
      <c r="P252" s="816" t="s">
        <v>11597</v>
      </c>
      <c r="Q252" s="822" t="s">
        <v>11770</v>
      </c>
    </row>
    <row r="253" spans="1:17" x14ac:dyDescent="0.2">
      <c r="A253" s="306" t="s">
        <v>11771</v>
      </c>
      <c r="B253" s="261" t="s">
        <v>11772</v>
      </c>
      <c r="C253" s="261" t="s">
        <v>11773</v>
      </c>
      <c r="D253" s="261">
        <v>6</v>
      </c>
      <c r="E253" s="261" t="s">
        <v>11593</v>
      </c>
      <c r="F253" s="261" t="s">
        <v>759</v>
      </c>
      <c r="G253" s="261" t="s">
        <v>3779</v>
      </c>
      <c r="H253" s="306">
        <v>265</v>
      </c>
      <c r="I253" s="330">
        <v>1653</v>
      </c>
      <c r="J253" s="306">
        <v>280</v>
      </c>
      <c r="K253" s="330">
        <v>1655</v>
      </c>
      <c r="L253" s="261" t="s">
        <v>11751</v>
      </c>
      <c r="M253" s="261" t="s">
        <v>11752</v>
      </c>
      <c r="N253" s="261" t="s">
        <v>11753</v>
      </c>
      <c r="O253" s="816">
        <v>200000</v>
      </c>
      <c r="P253" s="816" t="s">
        <v>11597</v>
      </c>
      <c r="Q253" s="822" t="s">
        <v>11774</v>
      </c>
    </row>
    <row r="254" spans="1:17" x14ac:dyDescent="0.2">
      <c r="A254" s="306" t="s">
        <v>11775</v>
      </c>
      <c r="B254" s="261" t="s">
        <v>11776</v>
      </c>
      <c r="C254" s="261" t="s">
        <v>11777</v>
      </c>
      <c r="D254" s="261">
        <v>6</v>
      </c>
      <c r="E254" s="261" t="s">
        <v>11593</v>
      </c>
      <c r="F254" s="261" t="s">
        <v>839</v>
      </c>
      <c r="G254" s="261" t="s">
        <v>3779</v>
      </c>
      <c r="H254" s="306">
        <v>255</v>
      </c>
      <c r="I254" s="330">
        <v>1771</v>
      </c>
      <c r="J254" s="306">
        <v>275</v>
      </c>
      <c r="K254" s="330">
        <v>1775</v>
      </c>
      <c r="L254" s="261" t="s">
        <v>11751</v>
      </c>
      <c r="M254" s="261" t="s">
        <v>11752</v>
      </c>
      <c r="N254" s="261" t="s">
        <v>11753</v>
      </c>
      <c r="O254" s="816">
        <v>200000</v>
      </c>
      <c r="P254" s="816" t="s">
        <v>11597</v>
      </c>
      <c r="Q254" s="822" t="s">
        <v>11778</v>
      </c>
    </row>
    <row r="255" spans="1:17" x14ac:dyDescent="0.2">
      <c r="A255" s="306" t="s">
        <v>11779</v>
      </c>
      <c r="B255" s="261" t="s">
        <v>11780</v>
      </c>
      <c r="C255" s="261" t="s">
        <v>11781</v>
      </c>
      <c r="D255" s="261">
        <v>6</v>
      </c>
      <c r="E255" s="261" t="s">
        <v>11593</v>
      </c>
      <c r="F255" s="261" t="s">
        <v>949</v>
      </c>
      <c r="G255" s="261" t="s">
        <v>3779</v>
      </c>
      <c r="H255" s="306">
        <v>297</v>
      </c>
      <c r="I255" s="330">
        <v>1636</v>
      </c>
      <c r="J255" s="306">
        <v>325</v>
      </c>
      <c r="K255" s="330">
        <v>1640</v>
      </c>
      <c r="L255" s="261" t="s">
        <v>11751</v>
      </c>
      <c r="M255" s="261" t="s">
        <v>11752</v>
      </c>
      <c r="N255" s="261" t="s">
        <v>11753</v>
      </c>
      <c r="O255" s="816">
        <v>200000</v>
      </c>
      <c r="P255" s="816" t="s">
        <v>11597</v>
      </c>
      <c r="Q255" s="822" t="s">
        <v>11782</v>
      </c>
    </row>
    <row r="256" spans="1:17" x14ac:dyDescent="0.2">
      <c r="A256" s="306" t="s">
        <v>11783</v>
      </c>
      <c r="B256" s="261" t="s">
        <v>11784</v>
      </c>
      <c r="C256" s="261" t="s">
        <v>11785</v>
      </c>
      <c r="D256" s="261">
        <v>6</v>
      </c>
      <c r="E256" s="261" t="s">
        <v>11593</v>
      </c>
      <c r="F256" s="261" t="s">
        <v>1054</v>
      </c>
      <c r="G256" s="261" t="s">
        <v>3779</v>
      </c>
      <c r="H256" s="306">
        <v>262</v>
      </c>
      <c r="I256" s="330">
        <v>1737</v>
      </c>
      <c r="J256" s="306">
        <v>270</v>
      </c>
      <c r="K256" s="330">
        <v>1740</v>
      </c>
      <c r="L256" s="261" t="s">
        <v>11751</v>
      </c>
      <c r="M256" s="261" t="s">
        <v>11752</v>
      </c>
      <c r="N256" s="261" t="s">
        <v>11753</v>
      </c>
      <c r="O256" s="816">
        <v>200000</v>
      </c>
      <c r="P256" s="816" t="s">
        <v>11597</v>
      </c>
      <c r="Q256" s="822" t="s">
        <v>11786</v>
      </c>
    </row>
    <row r="257" spans="1:17" x14ac:dyDescent="0.2">
      <c r="A257" s="306" t="s">
        <v>11787</v>
      </c>
      <c r="B257" s="261" t="s">
        <v>11788</v>
      </c>
      <c r="C257" s="261" t="s">
        <v>11789</v>
      </c>
      <c r="D257" s="261">
        <v>6</v>
      </c>
      <c r="E257" s="261" t="s">
        <v>11790</v>
      </c>
      <c r="F257" s="261" t="s">
        <v>123</v>
      </c>
      <c r="G257" s="261" t="s">
        <v>122</v>
      </c>
      <c r="H257" s="306">
        <v>284</v>
      </c>
      <c r="I257" s="330">
        <v>1764</v>
      </c>
      <c r="J257" s="306">
        <v>285</v>
      </c>
      <c r="K257" s="330">
        <v>1765</v>
      </c>
      <c r="L257" s="261" t="s">
        <v>11791</v>
      </c>
      <c r="M257" s="261" t="s">
        <v>11792</v>
      </c>
      <c r="N257" s="261"/>
      <c r="O257" s="816">
        <v>300000</v>
      </c>
      <c r="P257" s="816" t="s">
        <v>11793</v>
      </c>
      <c r="Q257" s="822" t="s">
        <v>11794</v>
      </c>
    </row>
    <row r="258" spans="1:17" x14ac:dyDescent="0.2">
      <c r="A258" s="306" t="s">
        <v>11795</v>
      </c>
      <c r="B258" s="261" t="s">
        <v>11796</v>
      </c>
      <c r="C258" s="261" t="s">
        <v>11797</v>
      </c>
      <c r="D258" s="261">
        <v>6</v>
      </c>
      <c r="E258" s="261" t="s">
        <v>11790</v>
      </c>
      <c r="F258" s="261" t="s">
        <v>330</v>
      </c>
      <c r="G258" s="261" t="s">
        <v>122</v>
      </c>
      <c r="H258" s="306">
        <v>251</v>
      </c>
      <c r="I258" s="330">
        <v>1870</v>
      </c>
      <c r="J258" s="306">
        <v>255</v>
      </c>
      <c r="K258" s="330">
        <v>1870</v>
      </c>
      <c r="L258" s="261" t="s">
        <v>11798</v>
      </c>
      <c r="M258" s="261" t="s">
        <v>11792</v>
      </c>
      <c r="N258" s="261"/>
      <c r="O258" s="816">
        <v>300000</v>
      </c>
      <c r="P258" s="816" t="s">
        <v>11793</v>
      </c>
      <c r="Q258" s="822" t="s">
        <v>11799</v>
      </c>
    </row>
    <row r="259" spans="1:17" x14ac:dyDescent="0.2">
      <c r="A259" s="306" t="s">
        <v>11800</v>
      </c>
      <c r="B259" s="261" t="s">
        <v>11801</v>
      </c>
      <c r="C259" s="261" t="s">
        <v>11802</v>
      </c>
      <c r="D259" s="261">
        <v>6</v>
      </c>
      <c r="E259" s="261" t="s">
        <v>11790</v>
      </c>
      <c r="F259" s="261" t="s">
        <v>429</v>
      </c>
      <c r="G259" s="261" t="s">
        <v>122</v>
      </c>
      <c r="H259" s="306">
        <v>287</v>
      </c>
      <c r="I259" s="330">
        <v>1728</v>
      </c>
      <c r="J259" s="306">
        <v>290</v>
      </c>
      <c r="K259" s="330">
        <v>1730</v>
      </c>
      <c r="L259" s="261" t="s">
        <v>11803</v>
      </c>
      <c r="M259" s="261" t="s">
        <v>11792</v>
      </c>
      <c r="N259" s="261"/>
      <c r="O259" s="816">
        <v>300000</v>
      </c>
      <c r="P259" s="816" t="s">
        <v>11793</v>
      </c>
      <c r="Q259" s="822" t="s">
        <v>11804</v>
      </c>
    </row>
    <row r="260" spans="1:17" x14ac:dyDescent="0.2">
      <c r="A260" s="306" t="s">
        <v>11805</v>
      </c>
      <c r="B260" s="261" t="s">
        <v>11806</v>
      </c>
      <c r="C260" s="261" t="s">
        <v>11807</v>
      </c>
      <c r="D260" s="261">
        <v>6</v>
      </c>
      <c r="E260" s="261" t="s">
        <v>11790</v>
      </c>
      <c r="F260" s="261" t="s">
        <v>543</v>
      </c>
      <c r="G260" s="261" t="s">
        <v>122</v>
      </c>
      <c r="H260" s="306">
        <v>292</v>
      </c>
      <c r="I260" s="330">
        <v>1852</v>
      </c>
      <c r="J260" s="306">
        <v>300</v>
      </c>
      <c r="K260" s="330">
        <v>1855</v>
      </c>
      <c r="L260" s="261" t="s">
        <v>11808</v>
      </c>
      <c r="M260" s="261" t="s">
        <v>11792</v>
      </c>
      <c r="N260" s="261"/>
      <c r="O260" s="816">
        <v>300000</v>
      </c>
      <c r="P260" s="816" t="s">
        <v>11793</v>
      </c>
      <c r="Q260" s="822" t="s">
        <v>11809</v>
      </c>
    </row>
    <row r="261" spans="1:17" x14ac:dyDescent="0.2">
      <c r="A261" s="306" t="s">
        <v>11810</v>
      </c>
      <c r="B261" s="261" t="s">
        <v>11811</v>
      </c>
      <c r="C261" s="261" t="s">
        <v>11812</v>
      </c>
      <c r="D261" s="261">
        <v>6</v>
      </c>
      <c r="E261" s="261" t="s">
        <v>11790</v>
      </c>
      <c r="F261" s="261" t="s">
        <v>645</v>
      </c>
      <c r="G261" s="261" t="s">
        <v>122</v>
      </c>
      <c r="H261" s="306">
        <v>290</v>
      </c>
      <c r="I261" s="330">
        <v>1799</v>
      </c>
      <c r="J261" s="306">
        <v>290</v>
      </c>
      <c r="K261" s="330">
        <v>1800</v>
      </c>
      <c r="L261" s="261" t="s">
        <v>11813</v>
      </c>
      <c r="M261" s="261" t="s">
        <v>11792</v>
      </c>
      <c r="N261" s="261"/>
      <c r="O261" s="816">
        <v>300000</v>
      </c>
      <c r="P261" s="816" t="s">
        <v>11793</v>
      </c>
      <c r="Q261" s="822" t="s">
        <v>11814</v>
      </c>
    </row>
    <row r="262" spans="1:17" x14ac:dyDescent="0.2">
      <c r="A262" s="306" t="s">
        <v>11815</v>
      </c>
      <c r="B262" s="261" t="s">
        <v>11816</v>
      </c>
      <c r="C262" s="261" t="s">
        <v>11817</v>
      </c>
      <c r="D262" s="261">
        <v>6</v>
      </c>
      <c r="E262" s="261" t="s">
        <v>11790</v>
      </c>
      <c r="F262" s="261" t="s">
        <v>759</v>
      </c>
      <c r="G262" s="261" t="s">
        <v>122</v>
      </c>
      <c r="H262" s="306">
        <v>278</v>
      </c>
      <c r="I262" s="330">
        <v>1694</v>
      </c>
      <c r="J262" s="306">
        <v>280</v>
      </c>
      <c r="K262" s="330">
        <v>1700</v>
      </c>
      <c r="L262" s="261" t="s">
        <v>11818</v>
      </c>
      <c r="M262" s="261" t="s">
        <v>11792</v>
      </c>
      <c r="N262" s="261"/>
      <c r="O262" s="816">
        <v>300000</v>
      </c>
      <c r="P262" s="816" t="s">
        <v>11793</v>
      </c>
      <c r="Q262" s="822" t="s">
        <v>11819</v>
      </c>
    </row>
    <row r="263" spans="1:17" x14ac:dyDescent="0.2">
      <c r="A263" s="306" t="s">
        <v>11820</v>
      </c>
      <c r="B263" s="261" t="s">
        <v>11821</v>
      </c>
      <c r="C263" s="261" t="s">
        <v>11822</v>
      </c>
      <c r="D263" s="261">
        <v>6</v>
      </c>
      <c r="E263" s="261" t="s">
        <v>11790</v>
      </c>
      <c r="F263" s="261" t="s">
        <v>839</v>
      </c>
      <c r="G263" s="261" t="s">
        <v>122</v>
      </c>
      <c r="H263" s="306">
        <v>268</v>
      </c>
      <c r="I263" s="330">
        <v>1817</v>
      </c>
      <c r="J263" s="306">
        <v>275</v>
      </c>
      <c r="K263" s="330">
        <v>1820</v>
      </c>
      <c r="L263" s="261" t="s">
        <v>11823</v>
      </c>
      <c r="M263" s="261" t="s">
        <v>11792</v>
      </c>
      <c r="N263" s="261"/>
      <c r="O263" s="816">
        <v>300000</v>
      </c>
      <c r="P263" s="816" t="s">
        <v>11793</v>
      </c>
      <c r="Q263" s="822" t="s">
        <v>11824</v>
      </c>
    </row>
    <row r="264" spans="1:17" x14ac:dyDescent="0.2">
      <c r="A264" s="306" t="s">
        <v>11825</v>
      </c>
      <c r="B264" s="261" t="s">
        <v>11826</v>
      </c>
      <c r="C264" s="261" t="s">
        <v>11827</v>
      </c>
      <c r="D264" s="261">
        <v>6</v>
      </c>
      <c r="E264" s="261" t="s">
        <v>11790</v>
      </c>
      <c r="F264" s="261" t="s">
        <v>949</v>
      </c>
      <c r="G264" s="261" t="s">
        <v>122</v>
      </c>
      <c r="H264" s="306">
        <v>312</v>
      </c>
      <c r="I264" s="330">
        <v>1676</v>
      </c>
      <c r="J264" s="306">
        <v>325</v>
      </c>
      <c r="K264" s="330">
        <v>1680</v>
      </c>
      <c r="L264" s="261" t="s">
        <v>11828</v>
      </c>
      <c r="M264" s="261" t="s">
        <v>11792</v>
      </c>
      <c r="N264" s="261"/>
      <c r="O264" s="816">
        <v>300000</v>
      </c>
      <c r="P264" s="816" t="s">
        <v>11793</v>
      </c>
      <c r="Q264" s="822" t="s">
        <v>11829</v>
      </c>
    </row>
    <row r="265" spans="1:17" x14ac:dyDescent="0.2">
      <c r="A265" s="306" t="s">
        <v>11830</v>
      </c>
      <c r="B265" s="261" t="s">
        <v>11831</v>
      </c>
      <c r="C265" s="261" t="s">
        <v>11832</v>
      </c>
      <c r="D265" s="261">
        <v>6</v>
      </c>
      <c r="E265" s="261" t="s">
        <v>11790</v>
      </c>
      <c r="F265" s="261" t="s">
        <v>1054</v>
      </c>
      <c r="G265" s="261" t="s">
        <v>122</v>
      </c>
      <c r="H265" s="306">
        <v>275</v>
      </c>
      <c r="I265" s="330">
        <v>1835</v>
      </c>
      <c r="J265" s="306">
        <v>275</v>
      </c>
      <c r="K265" s="330">
        <v>1835</v>
      </c>
      <c r="L265" s="261" t="s">
        <v>11833</v>
      </c>
      <c r="M265" s="261" t="s">
        <v>11792</v>
      </c>
      <c r="N265" s="261"/>
      <c r="O265" s="816">
        <v>300000</v>
      </c>
      <c r="P265" s="816" t="s">
        <v>11793</v>
      </c>
      <c r="Q265" s="822" t="s">
        <v>11834</v>
      </c>
    </row>
    <row r="266" spans="1:17" x14ac:dyDescent="0.2">
      <c r="A266" s="306" t="s">
        <v>11835</v>
      </c>
      <c r="B266" s="261" t="s">
        <v>11836</v>
      </c>
      <c r="C266" s="261" t="s">
        <v>11837</v>
      </c>
      <c r="D266" s="261">
        <v>6</v>
      </c>
      <c r="E266" s="261" t="s">
        <v>11790</v>
      </c>
      <c r="F266" s="261" t="s">
        <v>123</v>
      </c>
      <c r="G266" s="261" t="s">
        <v>1103</v>
      </c>
      <c r="H266" s="306">
        <v>284</v>
      </c>
      <c r="I266" s="330">
        <v>1764</v>
      </c>
      <c r="J266" s="306">
        <v>285</v>
      </c>
      <c r="K266" s="330">
        <v>1765</v>
      </c>
      <c r="L266" s="261" t="s">
        <v>11838</v>
      </c>
      <c r="M266" s="261" t="s">
        <v>11792</v>
      </c>
      <c r="N266" s="261"/>
      <c r="O266" s="816">
        <v>300000</v>
      </c>
      <c r="P266" s="816" t="s">
        <v>11793</v>
      </c>
      <c r="Q266" s="822" t="s">
        <v>11839</v>
      </c>
    </row>
    <row r="267" spans="1:17" x14ac:dyDescent="0.2">
      <c r="A267" s="306" t="s">
        <v>11840</v>
      </c>
      <c r="B267" s="261" t="s">
        <v>11841</v>
      </c>
      <c r="C267" s="261" t="s">
        <v>11842</v>
      </c>
      <c r="D267" s="261">
        <v>6</v>
      </c>
      <c r="E267" s="261" t="s">
        <v>11790</v>
      </c>
      <c r="F267" s="261" t="s">
        <v>330</v>
      </c>
      <c r="G267" s="261" t="s">
        <v>1103</v>
      </c>
      <c r="H267" s="306">
        <v>251</v>
      </c>
      <c r="I267" s="330">
        <v>1870</v>
      </c>
      <c r="J267" s="306">
        <v>255</v>
      </c>
      <c r="K267" s="330">
        <v>1870</v>
      </c>
      <c r="L267" s="261" t="s">
        <v>11843</v>
      </c>
      <c r="M267" s="261" t="s">
        <v>11792</v>
      </c>
      <c r="N267" s="261"/>
      <c r="O267" s="816">
        <v>300000</v>
      </c>
      <c r="P267" s="816" t="s">
        <v>11793</v>
      </c>
      <c r="Q267" s="822" t="s">
        <v>11844</v>
      </c>
    </row>
    <row r="268" spans="1:17" x14ac:dyDescent="0.2">
      <c r="A268" s="306" t="s">
        <v>11845</v>
      </c>
      <c r="B268" s="261" t="s">
        <v>11846</v>
      </c>
      <c r="C268" s="261" t="s">
        <v>11847</v>
      </c>
      <c r="D268" s="261">
        <v>6</v>
      </c>
      <c r="E268" s="261" t="s">
        <v>11790</v>
      </c>
      <c r="F268" s="261" t="s">
        <v>429</v>
      </c>
      <c r="G268" s="261" t="s">
        <v>1103</v>
      </c>
      <c r="H268" s="306">
        <v>287</v>
      </c>
      <c r="I268" s="330">
        <v>1728</v>
      </c>
      <c r="J268" s="306">
        <v>290</v>
      </c>
      <c r="K268" s="330">
        <v>1730</v>
      </c>
      <c r="L268" s="261" t="s">
        <v>11848</v>
      </c>
      <c r="M268" s="261" t="s">
        <v>11792</v>
      </c>
      <c r="N268" s="261"/>
      <c r="O268" s="816">
        <v>300000</v>
      </c>
      <c r="P268" s="816" t="s">
        <v>11793</v>
      </c>
      <c r="Q268" s="822" t="s">
        <v>11849</v>
      </c>
    </row>
    <row r="269" spans="1:17" x14ac:dyDescent="0.2">
      <c r="A269" s="306" t="s">
        <v>11850</v>
      </c>
      <c r="B269" s="261" t="s">
        <v>11851</v>
      </c>
      <c r="C269" s="261" t="s">
        <v>11852</v>
      </c>
      <c r="D269" s="261">
        <v>6</v>
      </c>
      <c r="E269" s="261" t="s">
        <v>11790</v>
      </c>
      <c r="F269" s="261" t="s">
        <v>543</v>
      </c>
      <c r="G269" s="261" t="s">
        <v>1103</v>
      </c>
      <c r="H269" s="306">
        <v>292</v>
      </c>
      <c r="I269" s="330">
        <v>1852</v>
      </c>
      <c r="J269" s="306">
        <v>300</v>
      </c>
      <c r="K269" s="330">
        <v>1855</v>
      </c>
      <c r="L269" s="261" t="s">
        <v>11853</v>
      </c>
      <c r="M269" s="261" t="s">
        <v>11792</v>
      </c>
      <c r="N269" s="261"/>
      <c r="O269" s="816">
        <v>300000</v>
      </c>
      <c r="P269" s="816" t="s">
        <v>11793</v>
      </c>
      <c r="Q269" s="822" t="s">
        <v>11854</v>
      </c>
    </row>
    <row r="270" spans="1:17" x14ac:dyDescent="0.2">
      <c r="A270" s="306" t="s">
        <v>11855</v>
      </c>
      <c r="B270" s="261" t="s">
        <v>11856</v>
      </c>
      <c r="C270" s="261" t="s">
        <v>11857</v>
      </c>
      <c r="D270" s="261">
        <v>6</v>
      </c>
      <c r="E270" s="261" t="s">
        <v>11790</v>
      </c>
      <c r="F270" s="261" t="s">
        <v>645</v>
      </c>
      <c r="G270" s="261" t="s">
        <v>1103</v>
      </c>
      <c r="H270" s="306">
        <v>290</v>
      </c>
      <c r="I270" s="330">
        <v>1799</v>
      </c>
      <c r="J270" s="306">
        <v>290</v>
      </c>
      <c r="K270" s="330">
        <v>1800</v>
      </c>
      <c r="L270" s="261" t="s">
        <v>11858</v>
      </c>
      <c r="M270" s="261" t="s">
        <v>11792</v>
      </c>
      <c r="N270" s="261"/>
      <c r="O270" s="816">
        <v>300000</v>
      </c>
      <c r="P270" s="816" t="s">
        <v>11793</v>
      </c>
      <c r="Q270" s="822" t="s">
        <v>11859</v>
      </c>
    </row>
    <row r="271" spans="1:17" x14ac:dyDescent="0.2">
      <c r="A271" s="306" t="s">
        <v>11860</v>
      </c>
      <c r="B271" s="261" t="s">
        <v>11861</v>
      </c>
      <c r="C271" s="261" t="s">
        <v>11862</v>
      </c>
      <c r="D271" s="261">
        <v>6</v>
      </c>
      <c r="E271" s="261" t="s">
        <v>11790</v>
      </c>
      <c r="F271" s="261" t="s">
        <v>759</v>
      </c>
      <c r="G271" s="261" t="s">
        <v>1103</v>
      </c>
      <c r="H271" s="306">
        <v>278</v>
      </c>
      <c r="I271" s="330">
        <v>1694</v>
      </c>
      <c r="J271" s="306">
        <v>280</v>
      </c>
      <c r="K271" s="330">
        <v>1700</v>
      </c>
      <c r="L271" s="261" t="s">
        <v>11863</v>
      </c>
      <c r="M271" s="261" t="s">
        <v>11792</v>
      </c>
      <c r="N271" s="261"/>
      <c r="O271" s="816">
        <v>300000</v>
      </c>
      <c r="P271" s="816" t="s">
        <v>11793</v>
      </c>
      <c r="Q271" s="822" t="s">
        <v>11864</v>
      </c>
    </row>
    <row r="272" spans="1:17" x14ac:dyDescent="0.2">
      <c r="A272" s="306" t="s">
        <v>11865</v>
      </c>
      <c r="B272" s="261" t="s">
        <v>11866</v>
      </c>
      <c r="C272" s="261" t="s">
        <v>11867</v>
      </c>
      <c r="D272" s="261">
        <v>6</v>
      </c>
      <c r="E272" s="261" t="s">
        <v>11790</v>
      </c>
      <c r="F272" s="261" t="s">
        <v>839</v>
      </c>
      <c r="G272" s="261" t="s">
        <v>1103</v>
      </c>
      <c r="H272" s="306">
        <v>268</v>
      </c>
      <c r="I272" s="330">
        <v>1817</v>
      </c>
      <c r="J272" s="306">
        <v>275</v>
      </c>
      <c r="K272" s="330">
        <v>1820</v>
      </c>
      <c r="L272" s="261" t="s">
        <v>11868</v>
      </c>
      <c r="M272" s="261" t="s">
        <v>11792</v>
      </c>
      <c r="N272" s="261"/>
      <c r="O272" s="816">
        <v>300000</v>
      </c>
      <c r="P272" s="816" t="s">
        <v>11793</v>
      </c>
      <c r="Q272" s="822" t="s">
        <v>11869</v>
      </c>
    </row>
    <row r="273" spans="1:17" x14ac:dyDescent="0.2">
      <c r="A273" s="306" t="s">
        <v>11870</v>
      </c>
      <c r="B273" s="261" t="s">
        <v>11871</v>
      </c>
      <c r="C273" s="261" t="s">
        <v>11872</v>
      </c>
      <c r="D273" s="261">
        <v>6</v>
      </c>
      <c r="E273" s="261" t="s">
        <v>11790</v>
      </c>
      <c r="F273" s="261" t="s">
        <v>949</v>
      </c>
      <c r="G273" s="261" t="s">
        <v>1103</v>
      </c>
      <c r="H273" s="306">
        <v>312</v>
      </c>
      <c r="I273" s="330">
        <v>1676</v>
      </c>
      <c r="J273" s="306">
        <v>325</v>
      </c>
      <c r="K273" s="330">
        <v>1680</v>
      </c>
      <c r="L273" s="261" t="s">
        <v>11873</v>
      </c>
      <c r="M273" s="261" t="s">
        <v>11792</v>
      </c>
      <c r="N273" s="261"/>
      <c r="O273" s="816">
        <v>300000</v>
      </c>
      <c r="P273" s="816" t="s">
        <v>11793</v>
      </c>
      <c r="Q273" s="822" t="s">
        <v>11874</v>
      </c>
    </row>
    <row r="274" spans="1:17" x14ac:dyDescent="0.2">
      <c r="A274" s="306" t="s">
        <v>11875</v>
      </c>
      <c r="B274" s="261" t="s">
        <v>11876</v>
      </c>
      <c r="C274" s="261" t="s">
        <v>11877</v>
      </c>
      <c r="D274" s="261">
        <v>6</v>
      </c>
      <c r="E274" s="261" t="s">
        <v>11790</v>
      </c>
      <c r="F274" s="261" t="s">
        <v>1054</v>
      </c>
      <c r="G274" s="261" t="s">
        <v>1103</v>
      </c>
      <c r="H274" s="306">
        <v>275</v>
      </c>
      <c r="I274" s="330">
        <v>1835</v>
      </c>
      <c r="J274" s="306">
        <v>275</v>
      </c>
      <c r="K274" s="330">
        <v>1835</v>
      </c>
      <c r="L274" s="261" t="s">
        <v>11878</v>
      </c>
      <c r="M274" s="261" t="s">
        <v>11792</v>
      </c>
      <c r="N274" s="261"/>
      <c r="O274" s="816">
        <v>300000</v>
      </c>
      <c r="P274" s="816" t="s">
        <v>11793</v>
      </c>
      <c r="Q274" s="822" t="s">
        <v>11879</v>
      </c>
    </row>
    <row r="275" spans="1:17" x14ac:dyDescent="0.2">
      <c r="A275" s="306" t="s">
        <v>11880</v>
      </c>
      <c r="B275" s="261" t="s">
        <v>11881</v>
      </c>
      <c r="C275" s="261" t="s">
        <v>10175</v>
      </c>
      <c r="D275" s="261">
        <v>6</v>
      </c>
      <c r="E275" s="261" t="s">
        <v>11790</v>
      </c>
      <c r="F275" s="261" t="s">
        <v>123</v>
      </c>
      <c r="G275" s="261" t="s">
        <v>1947</v>
      </c>
      <c r="H275" s="306">
        <v>284</v>
      </c>
      <c r="I275" s="330">
        <v>1764</v>
      </c>
      <c r="J275" s="306">
        <v>285</v>
      </c>
      <c r="K275" s="330">
        <v>1765</v>
      </c>
      <c r="L275" s="261" t="s">
        <v>11882</v>
      </c>
      <c r="M275" s="261" t="s">
        <v>11792</v>
      </c>
      <c r="N275" s="261"/>
      <c r="O275" s="816">
        <v>300000</v>
      </c>
      <c r="P275" s="816" t="s">
        <v>11793</v>
      </c>
      <c r="Q275" s="822" t="s">
        <v>11883</v>
      </c>
    </row>
    <row r="276" spans="1:17" x14ac:dyDescent="0.2">
      <c r="A276" s="306" t="s">
        <v>11884</v>
      </c>
      <c r="B276" s="261" t="s">
        <v>11885</v>
      </c>
      <c r="C276" s="261" t="s">
        <v>11886</v>
      </c>
      <c r="D276" s="261">
        <v>6</v>
      </c>
      <c r="E276" s="261" t="s">
        <v>11790</v>
      </c>
      <c r="F276" s="261" t="s">
        <v>330</v>
      </c>
      <c r="G276" s="261" t="s">
        <v>1947</v>
      </c>
      <c r="H276" s="306">
        <v>251</v>
      </c>
      <c r="I276" s="330">
        <v>1870</v>
      </c>
      <c r="J276" s="306">
        <v>255</v>
      </c>
      <c r="K276" s="330">
        <v>1870</v>
      </c>
      <c r="L276" s="261" t="s">
        <v>11887</v>
      </c>
      <c r="M276" s="261" t="s">
        <v>11792</v>
      </c>
      <c r="N276" s="261"/>
      <c r="O276" s="816">
        <v>300000</v>
      </c>
      <c r="P276" s="816" t="s">
        <v>11793</v>
      </c>
      <c r="Q276" s="822" t="s">
        <v>11888</v>
      </c>
    </row>
    <row r="277" spans="1:17" x14ac:dyDescent="0.2">
      <c r="A277" s="306" t="s">
        <v>11889</v>
      </c>
      <c r="B277" s="261" t="s">
        <v>11890</v>
      </c>
      <c r="C277" s="261" t="s">
        <v>11891</v>
      </c>
      <c r="D277" s="261">
        <v>6</v>
      </c>
      <c r="E277" s="261" t="s">
        <v>11790</v>
      </c>
      <c r="F277" s="261" t="s">
        <v>429</v>
      </c>
      <c r="G277" s="261" t="s">
        <v>1947</v>
      </c>
      <c r="H277" s="306">
        <v>287</v>
      </c>
      <c r="I277" s="330">
        <v>1728</v>
      </c>
      <c r="J277" s="306">
        <v>290</v>
      </c>
      <c r="K277" s="330">
        <v>1730</v>
      </c>
      <c r="L277" s="261" t="s">
        <v>11892</v>
      </c>
      <c r="M277" s="261" t="s">
        <v>11792</v>
      </c>
      <c r="N277" s="261"/>
      <c r="O277" s="816">
        <v>300000</v>
      </c>
      <c r="P277" s="816" t="s">
        <v>11793</v>
      </c>
      <c r="Q277" s="822" t="s">
        <v>11893</v>
      </c>
    </row>
    <row r="278" spans="1:17" x14ac:dyDescent="0.2">
      <c r="A278" s="306" t="s">
        <v>11894</v>
      </c>
      <c r="B278" s="261" t="s">
        <v>11895</v>
      </c>
      <c r="C278" s="261" t="s">
        <v>11896</v>
      </c>
      <c r="D278" s="261">
        <v>6</v>
      </c>
      <c r="E278" s="261" t="s">
        <v>11790</v>
      </c>
      <c r="F278" s="261" t="s">
        <v>543</v>
      </c>
      <c r="G278" s="261" t="s">
        <v>1947</v>
      </c>
      <c r="H278" s="306">
        <v>292</v>
      </c>
      <c r="I278" s="330">
        <v>1852</v>
      </c>
      <c r="J278" s="306">
        <v>300</v>
      </c>
      <c r="K278" s="330">
        <v>1855</v>
      </c>
      <c r="L278" s="261" t="s">
        <v>11897</v>
      </c>
      <c r="M278" s="261" t="s">
        <v>11792</v>
      </c>
      <c r="N278" s="261"/>
      <c r="O278" s="816">
        <v>300000</v>
      </c>
      <c r="P278" s="816" t="s">
        <v>11793</v>
      </c>
      <c r="Q278" s="822" t="s">
        <v>11898</v>
      </c>
    </row>
    <row r="279" spans="1:17" x14ac:dyDescent="0.2">
      <c r="A279" s="306" t="s">
        <v>11899</v>
      </c>
      <c r="B279" s="261" t="s">
        <v>11900</v>
      </c>
      <c r="C279" s="261" t="s">
        <v>11901</v>
      </c>
      <c r="D279" s="261">
        <v>6</v>
      </c>
      <c r="E279" s="261" t="s">
        <v>11790</v>
      </c>
      <c r="F279" s="261" t="s">
        <v>645</v>
      </c>
      <c r="G279" s="261" t="s">
        <v>1947</v>
      </c>
      <c r="H279" s="306">
        <v>290</v>
      </c>
      <c r="I279" s="330">
        <v>1799</v>
      </c>
      <c r="J279" s="306">
        <v>290</v>
      </c>
      <c r="K279" s="330">
        <v>1800</v>
      </c>
      <c r="L279" s="261" t="s">
        <v>11902</v>
      </c>
      <c r="M279" s="261" t="s">
        <v>11792</v>
      </c>
      <c r="N279" s="261"/>
      <c r="O279" s="816">
        <v>300000</v>
      </c>
      <c r="P279" s="816" t="s">
        <v>11793</v>
      </c>
      <c r="Q279" s="822" t="s">
        <v>11903</v>
      </c>
    </row>
    <row r="280" spans="1:17" x14ac:dyDescent="0.2">
      <c r="A280" s="306" t="s">
        <v>11904</v>
      </c>
      <c r="B280" s="261" t="s">
        <v>11905</v>
      </c>
      <c r="C280" s="261" t="s">
        <v>11906</v>
      </c>
      <c r="D280" s="261">
        <v>6</v>
      </c>
      <c r="E280" s="261" t="s">
        <v>11790</v>
      </c>
      <c r="F280" s="261" t="s">
        <v>759</v>
      </c>
      <c r="G280" s="261" t="s">
        <v>1947</v>
      </c>
      <c r="H280" s="306">
        <v>278</v>
      </c>
      <c r="I280" s="330">
        <v>1694</v>
      </c>
      <c r="J280" s="306">
        <v>280</v>
      </c>
      <c r="K280" s="330">
        <v>1700</v>
      </c>
      <c r="L280" s="261" t="s">
        <v>11907</v>
      </c>
      <c r="M280" s="261" t="s">
        <v>11792</v>
      </c>
      <c r="N280" s="261"/>
      <c r="O280" s="816">
        <v>300000</v>
      </c>
      <c r="P280" s="816" t="s">
        <v>11793</v>
      </c>
      <c r="Q280" s="822" t="s">
        <v>11908</v>
      </c>
    </row>
    <row r="281" spans="1:17" x14ac:dyDescent="0.2">
      <c r="A281" s="306" t="s">
        <v>11909</v>
      </c>
      <c r="B281" s="261" t="s">
        <v>11910</v>
      </c>
      <c r="C281" s="261" t="s">
        <v>11911</v>
      </c>
      <c r="D281" s="261">
        <v>6</v>
      </c>
      <c r="E281" s="261" t="s">
        <v>11790</v>
      </c>
      <c r="F281" s="261" t="s">
        <v>839</v>
      </c>
      <c r="G281" s="261" t="s">
        <v>1947</v>
      </c>
      <c r="H281" s="306">
        <v>268</v>
      </c>
      <c r="I281" s="330">
        <v>1817</v>
      </c>
      <c r="J281" s="306">
        <v>275</v>
      </c>
      <c r="K281" s="330">
        <v>1820</v>
      </c>
      <c r="L281" s="261" t="s">
        <v>11912</v>
      </c>
      <c r="M281" s="261" t="s">
        <v>11792</v>
      </c>
      <c r="N281" s="261"/>
      <c r="O281" s="816">
        <v>300000</v>
      </c>
      <c r="P281" s="816" t="s">
        <v>11793</v>
      </c>
      <c r="Q281" s="822" t="s">
        <v>11913</v>
      </c>
    </row>
    <row r="282" spans="1:17" x14ac:dyDescent="0.2">
      <c r="A282" s="306" t="s">
        <v>11914</v>
      </c>
      <c r="B282" s="261" t="s">
        <v>11915</v>
      </c>
      <c r="C282" s="261" t="s">
        <v>11916</v>
      </c>
      <c r="D282" s="261">
        <v>6</v>
      </c>
      <c r="E282" s="261" t="s">
        <v>11790</v>
      </c>
      <c r="F282" s="261" t="s">
        <v>949</v>
      </c>
      <c r="G282" s="261" t="s">
        <v>1947</v>
      </c>
      <c r="H282" s="306">
        <v>312</v>
      </c>
      <c r="I282" s="330">
        <v>1676</v>
      </c>
      <c r="J282" s="306">
        <v>325</v>
      </c>
      <c r="K282" s="330">
        <v>1680</v>
      </c>
      <c r="L282" s="261" t="s">
        <v>11917</v>
      </c>
      <c r="M282" s="261" t="s">
        <v>11792</v>
      </c>
      <c r="N282" s="261"/>
      <c r="O282" s="816">
        <v>300000</v>
      </c>
      <c r="P282" s="816" t="s">
        <v>11793</v>
      </c>
      <c r="Q282" s="822" t="s">
        <v>11918</v>
      </c>
    </row>
    <row r="283" spans="1:17" x14ac:dyDescent="0.2">
      <c r="A283" s="306" t="s">
        <v>11919</v>
      </c>
      <c r="B283" s="261" t="s">
        <v>11920</v>
      </c>
      <c r="C283" s="261" t="s">
        <v>11921</v>
      </c>
      <c r="D283" s="261">
        <v>6</v>
      </c>
      <c r="E283" s="261" t="s">
        <v>11790</v>
      </c>
      <c r="F283" s="261" t="s">
        <v>1054</v>
      </c>
      <c r="G283" s="261" t="s">
        <v>1947</v>
      </c>
      <c r="H283" s="306">
        <v>275</v>
      </c>
      <c r="I283" s="330">
        <v>1835</v>
      </c>
      <c r="J283" s="306">
        <v>275</v>
      </c>
      <c r="K283" s="330">
        <v>1835</v>
      </c>
      <c r="L283" s="261" t="s">
        <v>11922</v>
      </c>
      <c r="M283" s="261" t="s">
        <v>11792</v>
      </c>
      <c r="N283" s="261"/>
      <c r="O283" s="816">
        <v>300000</v>
      </c>
      <c r="P283" s="816" t="s">
        <v>11793</v>
      </c>
      <c r="Q283" s="822" t="s">
        <v>11923</v>
      </c>
    </row>
    <row r="284" spans="1:17" x14ac:dyDescent="0.2">
      <c r="A284" s="306" t="s">
        <v>11924</v>
      </c>
      <c r="B284" s="261" t="s">
        <v>11925</v>
      </c>
      <c r="C284" s="261" t="s">
        <v>11926</v>
      </c>
      <c r="D284" s="261">
        <v>6</v>
      </c>
      <c r="E284" s="261" t="s">
        <v>11790</v>
      </c>
      <c r="F284" s="261" t="s">
        <v>123</v>
      </c>
      <c r="G284" s="261" t="s">
        <v>2837</v>
      </c>
      <c r="H284" s="306">
        <v>284</v>
      </c>
      <c r="I284" s="330">
        <v>1764</v>
      </c>
      <c r="J284" s="306">
        <v>285</v>
      </c>
      <c r="K284" s="330">
        <v>1765</v>
      </c>
      <c r="L284" s="261" t="s">
        <v>11927</v>
      </c>
      <c r="M284" s="261" t="s">
        <v>11792</v>
      </c>
      <c r="N284" s="261"/>
      <c r="O284" s="816">
        <v>300000</v>
      </c>
      <c r="P284" s="816" t="s">
        <v>11793</v>
      </c>
      <c r="Q284" s="822" t="s">
        <v>11928</v>
      </c>
    </row>
    <row r="285" spans="1:17" x14ac:dyDescent="0.2">
      <c r="A285" s="306" t="s">
        <v>11929</v>
      </c>
      <c r="B285" s="261" t="s">
        <v>11930</v>
      </c>
      <c r="C285" s="261" t="s">
        <v>11931</v>
      </c>
      <c r="D285" s="261">
        <v>6</v>
      </c>
      <c r="E285" s="261" t="s">
        <v>11790</v>
      </c>
      <c r="F285" s="261" t="s">
        <v>330</v>
      </c>
      <c r="G285" s="261" t="s">
        <v>2837</v>
      </c>
      <c r="H285" s="306">
        <v>251</v>
      </c>
      <c r="I285" s="330">
        <v>1870</v>
      </c>
      <c r="J285" s="306">
        <v>255</v>
      </c>
      <c r="K285" s="330">
        <v>1870</v>
      </c>
      <c r="L285" s="261" t="s">
        <v>11932</v>
      </c>
      <c r="M285" s="261" t="s">
        <v>11792</v>
      </c>
      <c r="N285" s="261"/>
      <c r="O285" s="816">
        <v>300000</v>
      </c>
      <c r="P285" s="816" t="s">
        <v>11793</v>
      </c>
      <c r="Q285" s="822" t="s">
        <v>11933</v>
      </c>
    </row>
    <row r="286" spans="1:17" x14ac:dyDescent="0.2">
      <c r="A286" s="306" t="s">
        <v>11934</v>
      </c>
      <c r="B286" s="261" t="s">
        <v>11935</v>
      </c>
      <c r="C286" s="261" t="s">
        <v>11936</v>
      </c>
      <c r="D286" s="261">
        <v>6</v>
      </c>
      <c r="E286" s="261" t="s">
        <v>11790</v>
      </c>
      <c r="F286" s="261" t="s">
        <v>429</v>
      </c>
      <c r="G286" s="261" t="s">
        <v>2837</v>
      </c>
      <c r="H286" s="306">
        <v>287</v>
      </c>
      <c r="I286" s="330">
        <v>1728</v>
      </c>
      <c r="J286" s="306">
        <v>290</v>
      </c>
      <c r="K286" s="330">
        <v>1730</v>
      </c>
      <c r="L286" s="261" t="s">
        <v>11937</v>
      </c>
      <c r="M286" s="261" t="s">
        <v>11792</v>
      </c>
      <c r="N286" s="261"/>
      <c r="O286" s="816">
        <v>300000</v>
      </c>
      <c r="P286" s="816" t="s">
        <v>11793</v>
      </c>
      <c r="Q286" s="822" t="s">
        <v>11938</v>
      </c>
    </row>
    <row r="287" spans="1:17" x14ac:dyDescent="0.2">
      <c r="A287" s="306" t="s">
        <v>11939</v>
      </c>
      <c r="B287" s="261" t="s">
        <v>11940</v>
      </c>
      <c r="C287" s="261" t="s">
        <v>11941</v>
      </c>
      <c r="D287" s="261">
        <v>6</v>
      </c>
      <c r="E287" s="261" t="s">
        <v>11790</v>
      </c>
      <c r="F287" s="261" t="s">
        <v>543</v>
      </c>
      <c r="G287" s="261" t="s">
        <v>2837</v>
      </c>
      <c r="H287" s="306">
        <v>292</v>
      </c>
      <c r="I287" s="330">
        <v>1852</v>
      </c>
      <c r="J287" s="306">
        <v>300</v>
      </c>
      <c r="K287" s="330">
        <v>1855</v>
      </c>
      <c r="L287" s="261" t="s">
        <v>11942</v>
      </c>
      <c r="M287" s="261" t="s">
        <v>11792</v>
      </c>
      <c r="N287" s="261"/>
      <c r="O287" s="816">
        <v>300000</v>
      </c>
      <c r="P287" s="816" t="s">
        <v>11793</v>
      </c>
      <c r="Q287" s="822" t="s">
        <v>11943</v>
      </c>
    </row>
    <row r="288" spans="1:17" x14ac:dyDescent="0.2">
      <c r="A288" s="306" t="s">
        <v>11944</v>
      </c>
      <c r="B288" s="261" t="s">
        <v>11945</v>
      </c>
      <c r="C288" s="261" t="s">
        <v>11946</v>
      </c>
      <c r="D288" s="261">
        <v>6</v>
      </c>
      <c r="E288" s="261" t="s">
        <v>11790</v>
      </c>
      <c r="F288" s="261" t="s">
        <v>645</v>
      </c>
      <c r="G288" s="261" t="s">
        <v>2837</v>
      </c>
      <c r="H288" s="306">
        <v>290</v>
      </c>
      <c r="I288" s="330">
        <v>1799</v>
      </c>
      <c r="J288" s="306">
        <v>290</v>
      </c>
      <c r="K288" s="330">
        <v>1800</v>
      </c>
      <c r="L288" s="261" t="s">
        <v>11947</v>
      </c>
      <c r="M288" s="261" t="s">
        <v>11792</v>
      </c>
      <c r="N288" s="261"/>
      <c r="O288" s="816">
        <v>300000</v>
      </c>
      <c r="P288" s="816" t="s">
        <v>11793</v>
      </c>
      <c r="Q288" s="822" t="s">
        <v>11948</v>
      </c>
    </row>
    <row r="289" spans="1:17" x14ac:dyDescent="0.2">
      <c r="A289" s="306" t="s">
        <v>11949</v>
      </c>
      <c r="B289" s="261" t="s">
        <v>11950</v>
      </c>
      <c r="C289" s="261" t="s">
        <v>11951</v>
      </c>
      <c r="D289" s="261">
        <v>6</v>
      </c>
      <c r="E289" s="261" t="s">
        <v>11790</v>
      </c>
      <c r="F289" s="261" t="s">
        <v>759</v>
      </c>
      <c r="G289" s="261" t="s">
        <v>2837</v>
      </c>
      <c r="H289" s="306">
        <v>278</v>
      </c>
      <c r="I289" s="330">
        <v>1694</v>
      </c>
      <c r="J289" s="306">
        <v>280</v>
      </c>
      <c r="K289" s="330">
        <v>1700</v>
      </c>
      <c r="L289" s="261" t="s">
        <v>11952</v>
      </c>
      <c r="M289" s="261" t="s">
        <v>11792</v>
      </c>
      <c r="N289" s="261"/>
      <c r="O289" s="816">
        <v>300000</v>
      </c>
      <c r="P289" s="816" t="s">
        <v>11793</v>
      </c>
      <c r="Q289" s="822" t="s">
        <v>11953</v>
      </c>
    </row>
    <row r="290" spans="1:17" x14ac:dyDescent="0.2">
      <c r="A290" s="306" t="s">
        <v>11954</v>
      </c>
      <c r="B290" s="261" t="s">
        <v>11955</v>
      </c>
      <c r="C290" s="261" t="s">
        <v>11956</v>
      </c>
      <c r="D290" s="261">
        <v>6</v>
      </c>
      <c r="E290" s="261" t="s">
        <v>11790</v>
      </c>
      <c r="F290" s="261" t="s">
        <v>839</v>
      </c>
      <c r="G290" s="261" t="s">
        <v>2837</v>
      </c>
      <c r="H290" s="306">
        <v>268</v>
      </c>
      <c r="I290" s="330">
        <v>1817</v>
      </c>
      <c r="J290" s="306">
        <v>275</v>
      </c>
      <c r="K290" s="330">
        <v>1820</v>
      </c>
      <c r="L290" s="261" t="s">
        <v>11957</v>
      </c>
      <c r="M290" s="261" t="s">
        <v>11792</v>
      </c>
      <c r="N290" s="261"/>
      <c r="O290" s="816">
        <v>300000</v>
      </c>
      <c r="P290" s="816" t="s">
        <v>11793</v>
      </c>
      <c r="Q290" s="822" t="s">
        <v>11958</v>
      </c>
    </row>
    <row r="291" spans="1:17" x14ac:dyDescent="0.2">
      <c r="A291" s="306" t="s">
        <v>11959</v>
      </c>
      <c r="B291" s="261" t="s">
        <v>11960</v>
      </c>
      <c r="C291" s="261" t="s">
        <v>11961</v>
      </c>
      <c r="D291" s="261">
        <v>6</v>
      </c>
      <c r="E291" s="261" t="s">
        <v>11790</v>
      </c>
      <c r="F291" s="261" t="s">
        <v>949</v>
      </c>
      <c r="G291" s="261" t="s">
        <v>2837</v>
      </c>
      <c r="H291" s="306">
        <v>312</v>
      </c>
      <c r="I291" s="330">
        <v>1676</v>
      </c>
      <c r="J291" s="306">
        <v>325</v>
      </c>
      <c r="K291" s="330">
        <v>1680</v>
      </c>
      <c r="L291" s="261" t="s">
        <v>11962</v>
      </c>
      <c r="M291" s="261" t="s">
        <v>11792</v>
      </c>
      <c r="N291" s="261"/>
      <c r="O291" s="816">
        <v>300000</v>
      </c>
      <c r="P291" s="816" t="s">
        <v>11793</v>
      </c>
      <c r="Q291" s="822" t="s">
        <v>11963</v>
      </c>
    </row>
    <row r="292" spans="1:17" x14ac:dyDescent="0.2">
      <c r="A292" s="306" t="s">
        <v>11964</v>
      </c>
      <c r="B292" s="261" t="s">
        <v>11965</v>
      </c>
      <c r="C292" s="261" t="s">
        <v>11966</v>
      </c>
      <c r="D292" s="261">
        <v>6</v>
      </c>
      <c r="E292" s="261" t="s">
        <v>11790</v>
      </c>
      <c r="F292" s="261" t="s">
        <v>1054</v>
      </c>
      <c r="G292" s="261" t="s">
        <v>2837</v>
      </c>
      <c r="H292" s="306">
        <v>275</v>
      </c>
      <c r="I292" s="330">
        <v>1835</v>
      </c>
      <c r="J292" s="306">
        <v>275</v>
      </c>
      <c r="K292" s="330">
        <v>1835</v>
      </c>
      <c r="L292" s="261" t="s">
        <v>11967</v>
      </c>
      <c r="M292" s="261" t="s">
        <v>11792</v>
      </c>
      <c r="N292" s="261"/>
      <c r="O292" s="816">
        <v>300000</v>
      </c>
      <c r="P292" s="816" t="s">
        <v>11793</v>
      </c>
      <c r="Q292" s="822" t="s">
        <v>11968</v>
      </c>
    </row>
    <row r="293" spans="1:17" x14ac:dyDescent="0.2">
      <c r="A293" s="306" t="s">
        <v>11969</v>
      </c>
      <c r="B293" s="261" t="s">
        <v>11970</v>
      </c>
      <c r="C293" s="261" t="s">
        <v>11971</v>
      </c>
      <c r="D293" s="261">
        <v>6</v>
      </c>
      <c r="E293" s="261" t="s">
        <v>11790</v>
      </c>
      <c r="F293" s="261" t="s">
        <v>123</v>
      </c>
      <c r="G293" s="261" t="s">
        <v>3779</v>
      </c>
      <c r="H293" s="306">
        <v>284</v>
      </c>
      <c r="I293" s="330">
        <v>1764</v>
      </c>
      <c r="J293" s="306">
        <v>285</v>
      </c>
      <c r="K293" s="330">
        <v>1765</v>
      </c>
      <c r="L293" s="261" t="s">
        <v>11972</v>
      </c>
      <c r="M293" s="261" t="s">
        <v>11792</v>
      </c>
      <c r="N293" s="261"/>
      <c r="O293" s="816">
        <v>300000</v>
      </c>
      <c r="P293" s="816" t="s">
        <v>11793</v>
      </c>
      <c r="Q293" s="822" t="s">
        <v>11973</v>
      </c>
    </row>
    <row r="294" spans="1:17" x14ac:dyDescent="0.2">
      <c r="A294" s="306" t="s">
        <v>11974</v>
      </c>
      <c r="B294" s="261" t="s">
        <v>11975</v>
      </c>
      <c r="C294" s="261" t="s">
        <v>11976</v>
      </c>
      <c r="D294" s="261">
        <v>6</v>
      </c>
      <c r="E294" s="261" t="s">
        <v>11790</v>
      </c>
      <c r="F294" s="261" t="s">
        <v>330</v>
      </c>
      <c r="G294" s="261" t="s">
        <v>3779</v>
      </c>
      <c r="H294" s="306">
        <v>251</v>
      </c>
      <c r="I294" s="330">
        <v>1870</v>
      </c>
      <c r="J294" s="306">
        <v>255</v>
      </c>
      <c r="K294" s="330">
        <v>1870</v>
      </c>
      <c r="L294" s="261" t="s">
        <v>11977</v>
      </c>
      <c r="M294" s="261" t="s">
        <v>11792</v>
      </c>
      <c r="N294" s="261"/>
      <c r="O294" s="816">
        <v>300000</v>
      </c>
      <c r="P294" s="816" t="s">
        <v>11793</v>
      </c>
      <c r="Q294" s="822" t="s">
        <v>11978</v>
      </c>
    </row>
    <row r="295" spans="1:17" x14ac:dyDescent="0.2">
      <c r="A295" s="306" t="s">
        <v>11979</v>
      </c>
      <c r="B295" s="261" t="s">
        <v>11980</v>
      </c>
      <c r="C295" s="261" t="s">
        <v>11981</v>
      </c>
      <c r="D295" s="261">
        <v>6</v>
      </c>
      <c r="E295" s="261" t="s">
        <v>11790</v>
      </c>
      <c r="F295" s="261" t="s">
        <v>429</v>
      </c>
      <c r="G295" s="261" t="s">
        <v>3779</v>
      </c>
      <c r="H295" s="306">
        <v>287</v>
      </c>
      <c r="I295" s="330">
        <v>1728</v>
      </c>
      <c r="J295" s="306">
        <v>290</v>
      </c>
      <c r="K295" s="330">
        <v>1730</v>
      </c>
      <c r="L295" s="261" t="s">
        <v>11982</v>
      </c>
      <c r="M295" s="261" t="s">
        <v>11792</v>
      </c>
      <c r="N295" s="261"/>
      <c r="O295" s="816">
        <v>300000</v>
      </c>
      <c r="P295" s="816" t="s">
        <v>11793</v>
      </c>
      <c r="Q295" s="822" t="s">
        <v>11983</v>
      </c>
    </row>
    <row r="296" spans="1:17" x14ac:dyDescent="0.2">
      <c r="A296" s="306" t="s">
        <v>11984</v>
      </c>
      <c r="B296" s="261" t="s">
        <v>11985</v>
      </c>
      <c r="C296" s="261" t="s">
        <v>11986</v>
      </c>
      <c r="D296" s="261">
        <v>6</v>
      </c>
      <c r="E296" s="261" t="s">
        <v>11790</v>
      </c>
      <c r="F296" s="261" t="s">
        <v>543</v>
      </c>
      <c r="G296" s="261" t="s">
        <v>3779</v>
      </c>
      <c r="H296" s="306">
        <v>292</v>
      </c>
      <c r="I296" s="330">
        <v>1852</v>
      </c>
      <c r="J296" s="306">
        <v>300</v>
      </c>
      <c r="K296" s="330">
        <v>1855</v>
      </c>
      <c r="L296" s="261" t="s">
        <v>11987</v>
      </c>
      <c r="M296" s="261" t="s">
        <v>11792</v>
      </c>
      <c r="N296" s="261"/>
      <c r="O296" s="816">
        <v>300000</v>
      </c>
      <c r="P296" s="816" t="s">
        <v>11793</v>
      </c>
      <c r="Q296" s="822" t="s">
        <v>11988</v>
      </c>
    </row>
    <row r="297" spans="1:17" x14ac:dyDescent="0.2">
      <c r="A297" s="306" t="s">
        <v>11989</v>
      </c>
      <c r="B297" s="261" t="s">
        <v>11990</v>
      </c>
      <c r="C297" s="261" t="s">
        <v>11991</v>
      </c>
      <c r="D297" s="261">
        <v>6</v>
      </c>
      <c r="E297" s="261" t="s">
        <v>11790</v>
      </c>
      <c r="F297" s="261" t="s">
        <v>645</v>
      </c>
      <c r="G297" s="261" t="s">
        <v>3779</v>
      </c>
      <c r="H297" s="306">
        <v>290</v>
      </c>
      <c r="I297" s="330">
        <v>1799</v>
      </c>
      <c r="J297" s="306">
        <v>290</v>
      </c>
      <c r="K297" s="330">
        <v>1800</v>
      </c>
      <c r="L297" s="261" t="s">
        <v>11992</v>
      </c>
      <c r="M297" s="261" t="s">
        <v>11792</v>
      </c>
      <c r="N297" s="261"/>
      <c r="O297" s="816">
        <v>300000</v>
      </c>
      <c r="P297" s="816" t="s">
        <v>11793</v>
      </c>
      <c r="Q297" s="822" t="s">
        <v>11993</v>
      </c>
    </row>
    <row r="298" spans="1:17" x14ac:dyDescent="0.2">
      <c r="A298" s="306" t="s">
        <v>11994</v>
      </c>
      <c r="B298" s="261" t="s">
        <v>11995</v>
      </c>
      <c r="C298" s="261" t="s">
        <v>11996</v>
      </c>
      <c r="D298" s="261">
        <v>6</v>
      </c>
      <c r="E298" s="261" t="s">
        <v>11790</v>
      </c>
      <c r="F298" s="261" t="s">
        <v>759</v>
      </c>
      <c r="G298" s="261" t="s">
        <v>3779</v>
      </c>
      <c r="H298" s="306">
        <v>278</v>
      </c>
      <c r="I298" s="330">
        <v>1694</v>
      </c>
      <c r="J298" s="306">
        <v>280</v>
      </c>
      <c r="K298" s="330">
        <v>1700</v>
      </c>
      <c r="L298" s="261" t="s">
        <v>11997</v>
      </c>
      <c r="M298" s="261" t="s">
        <v>11792</v>
      </c>
      <c r="N298" s="261"/>
      <c r="O298" s="816">
        <v>300000</v>
      </c>
      <c r="P298" s="816" t="s">
        <v>11793</v>
      </c>
      <c r="Q298" s="822" t="s">
        <v>11998</v>
      </c>
    </row>
    <row r="299" spans="1:17" x14ac:dyDescent="0.2">
      <c r="A299" s="306" t="s">
        <v>11999</v>
      </c>
      <c r="B299" s="261" t="s">
        <v>12000</v>
      </c>
      <c r="C299" s="261" t="s">
        <v>12001</v>
      </c>
      <c r="D299" s="261">
        <v>6</v>
      </c>
      <c r="E299" s="261" t="s">
        <v>11790</v>
      </c>
      <c r="F299" s="261" t="s">
        <v>839</v>
      </c>
      <c r="G299" s="261" t="s">
        <v>3779</v>
      </c>
      <c r="H299" s="306">
        <v>268</v>
      </c>
      <c r="I299" s="330">
        <v>1817</v>
      </c>
      <c r="J299" s="306">
        <v>275</v>
      </c>
      <c r="K299" s="330">
        <v>1820</v>
      </c>
      <c r="L299" s="261" t="s">
        <v>12002</v>
      </c>
      <c r="M299" s="261" t="s">
        <v>11792</v>
      </c>
      <c r="N299" s="261"/>
      <c r="O299" s="816">
        <v>300000</v>
      </c>
      <c r="P299" s="816" t="s">
        <v>11793</v>
      </c>
      <c r="Q299" s="822" t="s">
        <v>12003</v>
      </c>
    </row>
    <row r="300" spans="1:17" x14ac:dyDescent="0.2">
      <c r="A300" s="306" t="s">
        <v>12004</v>
      </c>
      <c r="B300" s="261" t="s">
        <v>12005</v>
      </c>
      <c r="C300" s="261" t="s">
        <v>12006</v>
      </c>
      <c r="D300" s="261">
        <v>6</v>
      </c>
      <c r="E300" s="261" t="s">
        <v>11790</v>
      </c>
      <c r="F300" s="261" t="s">
        <v>949</v>
      </c>
      <c r="G300" s="261" t="s">
        <v>3779</v>
      </c>
      <c r="H300" s="306">
        <v>312</v>
      </c>
      <c r="I300" s="330">
        <v>1676</v>
      </c>
      <c r="J300" s="306">
        <v>325</v>
      </c>
      <c r="K300" s="330">
        <v>1680</v>
      </c>
      <c r="L300" s="261" t="s">
        <v>12007</v>
      </c>
      <c r="M300" s="261" t="s">
        <v>11792</v>
      </c>
      <c r="N300" s="261"/>
      <c r="O300" s="816">
        <v>300000</v>
      </c>
      <c r="P300" s="816" t="s">
        <v>11793</v>
      </c>
      <c r="Q300" s="822" t="s">
        <v>12008</v>
      </c>
    </row>
    <row r="301" spans="1:17" x14ac:dyDescent="0.2">
      <c r="A301" s="272" t="s">
        <v>12009</v>
      </c>
      <c r="B301" s="264" t="s">
        <v>12010</v>
      </c>
      <c r="C301" s="264" t="s">
        <v>12011</v>
      </c>
      <c r="D301" s="264">
        <v>6</v>
      </c>
      <c r="E301" s="264" t="s">
        <v>11790</v>
      </c>
      <c r="F301" s="264" t="s">
        <v>1054</v>
      </c>
      <c r="G301" s="264" t="s">
        <v>3779</v>
      </c>
      <c r="H301" s="272">
        <v>275</v>
      </c>
      <c r="I301" s="332">
        <v>1835</v>
      </c>
      <c r="J301" s="272">
        <v>275</v>
      </c>
      <c r="K301" s="332">
        <v>1835</v>
      </c>
      <c r="L301" s="264" t="s">
        <v>12012</v>
      </c>
      <c r="M301" s="264" t="s">
        <v>11792</v>
      </c>
      <c r="N301" s="264"/>
      <c r="O301" s="823">
        <v>300000</v>
      </c>
      <c r="P301" s="823" t="s">
        <v>11793</v>
      </c>
      <c r="Q301" s="824" t="s">
        <v>12013</v>
      </c>
    </row>
  </sheetData>
  <phoneticPr fontId="26" type="noConversion"/>
  <pageMargins left="0.25" right="0.25" top="0.5" bottom="0.25" header="0.3" footer="0.3"/>
  <pageSetup scale="70" fitToHeight="0" orientation="landscape" r:id="rId1"/>
  <headerFooter>
    <oddHeader>&amp;L&amp;"-,Bold"&amp;14Dragalia Lost V3 Re;Works Weapon List</oddHead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28916B-CE1E-4227-8E9D-3D55EA3040FF}">
  <dimension ref="A1:Q208"/>
  <sheetViews>
    <sheetView workbookViewId="0"/>
  </sheetViews>
  <sheetFormatPr defaultRowHeight="14.25" x14ac:dyDescent="0.2"/>
  <cols>
    <col min="1" max="1" width="7.375" bestFit="1" customWidth="1"/>
    <col min="2" max="2" width="3.875" bestFit="1" customWidth="1"/>
    <col min="3" max="3" width="26.5" bestFit="1" customWidth="1"/>
    <col min="4" max="4" width="22.625" bestFit="1" customWidth="1"/>
    <col min="5" max="5" width="9.75" bestFit="1" customWidth="1"/>
    <col min="6" max="6" width="7" bestFit="1" customWidth="1"/>
    <col min="7" max="7" width="8.25" bestFit="1" customWidth="1"/>
    <col min="8" max="8" width="6.625" bestFit="1" customWidth="1"/>
    <col min="9" max="9" width="9.375" bestFit="1" customWidth="1"/>
    <col min="10" max="10" width="10.625" bestFit="1" customWidth="1"/>
    <col min="11" max="11" width="10.5" customWidth="1"/>
    <col min="12" max="12" width="17.875" customWidth="1"/>
    <col min="13" max="13" width="33.875" bestFit="1" customWidth="1"/>
    <col min="14" max="14" width="27.375" customWidth="1"/>
  </cols>
  <sheetData>
    <row r="1" spans="1:17" x14ac:dyDescent="0.2">
      <c r="A1" s="67" t="s">
        <v>88</v>
      </c>
      <c r="B1" s="67" t="s">
        <v>4597</v>
      </c>
      <c r="C1" s="67" t="s">
        <v>89</v>
      </c>
      <c r="D1" s="67" t="s">
        <v>12014</v>
      </c>
      <c r="E1" s="67" t="s">
        <v>95</v>
      </c>
      <c r="F1" s="67" t="s">
        <v>23</v>
      </c>
      <c r="G1" s="67" t="s">
        <v>8662</v>
      </c>
      <c r="H1" s="67" t="s">
        <v>4599</v>
      </c>
      <c r="I1" s="67" t="s">
        <v>12015</v>
      </c>
      <c r="J1" s="67" t="s">
        <v>4600</v>
      </c>
      <c r="K1" s="67" t="s">
        <v>80</v>
      </c>
      <c r="L1" s="67" t="s">
        <v>4601</v>
      </c>
      <c r="M1" s="67" t="s">
        <v>12016</v>
      </c>
      <c r="N1" s="1"/>
      <c r="O1" s="1"/>
      <c r="P1" s="1"/>
      <c r="Q1" s="1"/>
    </row>
    <row r="2" spans="1:17" x14ac:dyDescent="0.2">
      <c r="A2" t="s">
        <v>10799</v>
      </c>
      <c r="B2" s="6" t="s">
        <v>4633</v>
      </c>
      <c r="C2" t="s">
        <v>10802</v>
      </c>
      <c r="D2" t="s">
        <v>10800</v>
      </c>
      <c r="E2" t="s">
        <v>123</v>
      </c>
      <c r="F2" t="s">
        <v>10772</v>
      </c>
      <c r="G2" t="s">
        <v>10801</v>
      </c>
      <c r="H2">
        <v>7330</v>
      </c>
      <c r="I2">
        <v>6000</v>
      </c>
      <c r="J2" t="s">
        <v>4700</v>
      </c>
      <c r="K2" t="s">
        <v>12017</v>
      </c>
      <c r="L2" s="3" t="s">
        <v>12018</v>
      </c>
      <c r="M2" t="s">
        <v>12019</v>
      </c>
    </row>
    <row r="3" spans="1:17" x14ac:dyDescent="0.2">
      <c r="A3" t="s">
        <v>10805</v>
      </c>
      <c r="B3" s="6" t="s">
        <v>4711</v>
      </c>
      <c r="C3" t="s">
        <v>10807</v>
      </c>
      <c r="D3" t="s">
        <v>10806</v>
      </c>
      <c r="E3" t="s">
        <v>330</v>
      </c>
      <c r="F3" t="s">
        <v>10772</v>
      </c>
      <c r="G3" t="s">
        <v>10801</v>
      </c>
      <c r="H3">
        <v>7920</v>
      </c>
      <c r="I3">
        <v>6000</v>
      </c>
      <c r="J3" t="s">
        <v>4712</v>
      </c>
      <c r="K3" t="s">
        <v>12020</v>
      </c>
      <c r="L3" s="3" t="s">
        <v>12021</v>
      </c>
      <c r="M3" t="s">
        <v>12022</v>
      </c>
    </row>
    <row r="4" spans="1:17" x14ac:dyDescent="0.2">
      <c r="A4" t="s">
        <v>10809</v>
      </c>
      <c r="B4" s="6" t="s">
        <v>4648</v>
      </c>
      <c r="C4" t="s">
        <v>10811</v>
      </c>
      <c r="D4" t="s">
        <v>10810</v>
      </c>
      <c r="E4" t="s">
        <v>429</v>
      </c>
      <c r="F4" t="s">
        <v>10772</v>
      </c>
      <c r="G4" t="s">
        <v>10801</v>
      </c>
      <c r="H4">
        <v>6770</v>
      </c>
      <c r="I4">
        <v>6000</v>
      </c>
      <c r="J4" t="s">
        <v>4629</v>
      </c>
      <c r="K4" t="s">
        <v>12023</v>
      </c>
      <c r="L4" s="3" t="s">
        <v>12024</v>
      </c>
      <c r="M4" t="s">
        <v>12025</v>
      </c>
    </row>
    <row r="5" spans="1:17" x14ac:dyDescent="0.2">
      <c r="A5" t="s">
        <v>10813</v>
      </c>
      <c r="B5" s="6" t="s">
        <v>4659</v>
      </c>
      <c r="C5" t="s">
        <v>10815</v>
      </c>
      <c r="D5" t="s">
        <v>10814</v>
      </c>
      <c r="E5" t="s">
        <v>543</v>
      </c>
      <c r="F5" t="s">
        <v>10772</v>
      </c>
      <c r="G5" t="s">
        <v>10801</v>
      </c>
      <c r="H5">
        <v>8603</v>
      </c>
      <c r="I5">
        <v>6000</v>
      </c>
      <c r="J5" t="s">
        <v>4660</v>
      </c>
      <c r="K5" t="s">
        <v>12026</v>
      </c>
      <c r="L5" s="3" t="s">
        <v>12027</v>
      </c>
      <c r="M5" t="s">
        <v>12028</v>
      </c>
    </row>
    <row r="6" spans="1:17" x14ac:dyDescent="0.2">
      <c r="A6" t="s">
        <v>10817</v>
      </c>
      <c r="B6" s="6" t="s">
        <v>5070</v>
      </c>
      <c r="C6" t="s">
        <v>10819</v>
      </c>
      <c r="D6" t="s">
        <v>10818</v>
      </c>
      <c r="E6" t="s">
        <v>645</v>
      </c>
      <c r="F6" t="s">
        <v>10772</v>
      </c>
      <c r="G6" t="s">
        <v>10801</v>
      </c>
      <c r="H6">
        <v>7054</v>
      </c>
      <c r="I6">
        <v>6000</v>
      </c>
      <c r="J6" t="s">
        <v>4869</v>
      </c>
      <c r="K6" t="s">
        <v>12029</v>
      </c>
      <c r="L6" s="3" t="s">
        <v>12030</v>
      </c>
      <c r="M6" t="s">
        <v>12031</v>
      </c>
    </row>
    <row r="7" spans="1:17" x14ac:dyDescent="0.2">
      <c r="A7" t="s">
        <v>10821</v>
      </c>
      <c r="B7" s="6" t="s">
        <v>4845</v>
      </c>
      <c r="C7" t="s">
        <v>10823</v>
      </c>
      <c r="D7" t="s">
        <v>10822</v>
      </c>
      <c r="E7" t="s">
        <v>759</v>
      </c>
      <c r="F7" t="s">
        <v>10772</v>
      </c>
      <c r="G7" t="s">
        <v>10801</v>
      </c>
      <c r="H7">
        <v>7185</v>
      </c>
      <c r="I7">
        <v>6000</v>
      </c>
      <c r="J7" t="s">
        <v>4842</v>
      </c>
      <c r="K7" t="s">
        <v>12032</v>
      </c>
      <c r="L7" s="3" t="s">
        <v>12033</v>
      </c>
      <c r="M7" t="s">
        <v>12034</v>
      </c>
    </row>
    <row r="8" spans="1:17" x14ac:dyDescent="0.2">
      <c r="A8" t="s">
        <v>10825</v>
      </c>
      <c r="B8" s="6" t="s">
        <v>4852</v>
      </c>
      <c r="C8" t="s">
        <v>10827</v>
      </c>
      <c r="D8" t="s">
        <v>10826</v>
      </c>
      <c r="E8" t="s">
        <v>839</v>
      </c>
      <c r="F8" t="s">
        <v>10772</v>
      </c>
      <c r="G8" t="s">
        <v>10801</v>
      </c>
      <c r="H8">
        <v>8355</v>
      </c>
      <c r="I8">
        <v>6000</v>
      </c>
      <c r="J8" t="s">
        <v>4869</v>
      </c>
      <c r="K8" t="s">
        <v>12035</v>
      </c>
      <c r="L8" s="3" t="s">
        <v>12036</v>
      </c>
      <c r="M8" t="s">
        <v>12037</v>
      </c>
    </row>
    <row r="9" spans="1:17" x14ac:dyDescent="0.2">
      <c r="A9" t="s">
        <v>10829</v>
      </c>
      <c r="B9" s="6" t="s">
        <v>4877</v>
      </c>
      <c r="C9" t="s">
        <v>10831</v>
      </c>
      <c r="D9" t="s">
        <v>10830</v>
      </c>
      <c r="E9" t="s">
        <v>949</v>
      </c>
      <c r="F9" t="s">
        <v>10772</v>
      </c>
      <c r="G9" t="s">
        <v>10801</v>
      </c>
      <c r="H9">
        <v>13822</v>
      </c>
      <c r="I9">
        <v>6000</v>
      </c>
      <c r="J9" t="s">
        <v>4776</v>
      </c>
      <c r="K9" t="s">
        <v>12038</v>
      </c>
      <c r="L9" s="3" t="s">
        <v>12039</v>
      </c>
      <c r="M9" t="s">
        <v>12040</v>
      </c>
    </row>
    <row r="10" spans="1:17" x14ac:dyDescent="0.2">
      <c r="A10" t="s">
        <v>10833</v>
      </c>
      <c r="B10" s="6" t="s">
        <v>4654</v>
      </c>
      <c r="C10" t="s">
        <v>10836</v>
      </c>
      <c r="D10" t="s">
        <v>10834</v>
      </c>
      <c r="E10" t="s">
        <v>123</v>
      </c>
      <c r="F10" t="s">
        <v>10772</v>
      </c>
      <c r="G10" t="s">
        <v>10835</v>
      </c>
      <c r="H10">
        <v>7508</v>
      </c>
      <c r="I10">
        <v>6000</v>
      </c>
      <c r="J10" t="s">
        <v>4712</v>
      </c>
      <c r="K10" t="s">
        <v>12041</v>
      </c>
      <c r="L10" s="3" t="s">
        <v>12042</v>
      </c>
      <c r="M10" t="s">
        <v>12043</v>
      </c>
    </row>
    <row r="11" spans="1:17" x14ac:dyDescent="0.2">
      <c r="A11" t="s">
        <v>10839</v>
      </c>
      <c r="B11" s="6" t="s">
        <v>4659</v>
      </c>
      <c r="C11" t="s">
        <v>10841</v>
      </c>
      <c r="D11" t="s">
        <v>10840</v>
      </c>
      <c r="E11" t="s">
        <v>330</v>
      </c>
      <c r="F11" t="s">
        <v>10772</v>
      </c>
      <c r="G11" t="s">
        <v>10835</v>
      </c>
      <c r="H11">
        <v>8178</v>
      </c>
      <c r="I11">
        <v>6000</v>
      </c>
      <c r="J11" t="s">
        <v>4629</v>
      </c>
      <c r="K11" t="s">
        <v>12044</v>
      </c>
      <c r="L11" s="3" t="s">
        <v>12045</v>
      </c>
      <c r="M11" t="s">
        <v>12046</v>
      </c>
    </row>
    <row r="12" spans="1:17" x14ac:dyDescent="0.2">
      <c r="A12" t="s">
        <v>10843</v>
      </c>
      <c r="B12" s="6" t="s">
        <v>4659</v>
      </c>
      <c r="C12" t="s">
        <v>10845</v>
      </c>
      <c r="D12" t="s">
        <v>10844</v>
      </c>
      <c r="E12" t="s">
        <v>429</v>
      </c>
      <c r="F12" t="s">
        <v>10772</v>
      </c>
      <c r="G12" t="s">
        <v>10835</v>
      </c>
      <c r="H12">
        <v>7028</v>
      </c>
      <c r="I12">
        <v>6000</v>
      </c>
      <c r="J12" t="s">
        <v>4776</v>
      </c>
      <c r="K12" t="s">
        <v>12047</v>
      </c>
      <c r="L12" s="3" t="s">
        <v>12048</v>
      </c>
      <c r="M12" t="s">
        <v>12049</v>
      </c>
    </row>
    <row r="13" spans="1:17" x14ac:dyDescent="0.2">
      <c r="A13" t="s">
        <v>10847</v>
      </c>
      <c r="B13" s="6" t="s">
        <v>4699</v>
      </c>
      <c r="C13" t="s">
        <v>10849</v>
      </c>
      <c r="D13" t="s">
        <v>10848</v>
      </c>
      <c r="E13" t="s">
        <v>543</v>
      </c>
      <c r="F13" t="s">
        <v>10772</v>
      </c>
      <c r="G13" t="s">
        <v>10835</v>
      </c>
      <c r="H13">
        <v>9025</v>
      </c>
      <c r="I13">
        <v>6000</v>
      </c>
      <c r="J13" t="s">
        <v>4629</v>
      </c>
      <c r="K13" t="s">
        <v>12050</v>
      </c>
      <c r="L13" s="3" t="s">
        <v>12051</v>
      </c>
      <c r="M13" t="s">
        <v>12052</v>
      </c>
    </row>
    <row r="14" spans="1:17" x14ac:dyDescent="0.2">
      <c r="A14" t="s">
        <v>10851</v>
      </c>
      <c r="B14" s="6" t="s">
        <v>4811</v>
      </c>
      <c r="C14" t="s">
        <v>10853</v>
      </c>
      <c r="D14" t="s">
        <v>10852</v>
      </c>
      <c r="E14" t="s">
        <v>645</v>
      </c>
      <c r="F14" t="s">
        <v>10772</v>
      </c>
      <c r="G14" t="s">
        <v>10835</v>
      </c>
      <c r="H14">
        <v>7282</v>
      </c>
      <c r="I14">
        <v>6000</v>
      </c>
      <c r="J14" t="s">
        <v>4622</v>
      </c>
      <c r="K14" t="s">
        <v>12053</v>
      </c>
      <c r="L14" s="3" t="s">
        <v>12054</v>
      </c>
      <c r="M14" t="s">
        <v>12055</v>
      </c>
    </row>
    <row r="15" spans="1:17" x14ac:dyDescent="0.2">
      <c r="A15" t="s">
        <v>10855</v>
      </c>
      <c r="B15" s="6" t="s">
        <v>4696</v>
      </c>
      <c r="C15" t="s">
        <v>10857</v>
      </c>
      <c r="D15" t="s">
        <v>10856</v>
      </c>
      <c r="E15" t="s">
        <v>759</v>
      </c>
      <c r="F15" t="s">
        <v>10772</v>
      </c>
      <c r="G15" t="s">
        <v>10835</v>
      </c>
      <c r="H15">
        <v>11213</v>
      </c>
      <c r="I15">
        <v>12000</v>
      </c>
      <c r="J15" t="s">
        <v>4629</v>
      </c>
      <c r="K15" t="s">
        <v>12056</v>
      </c>
      <c r="L15" s="3" t="s">
        <v>12057</v>
      </c>
      <c r="M15" t="s">
        <v>12058</v>
      </c>
    </row>
    <row r="16" spans="1:17" x14ac:dyDescent="0.2">
      <c r="A16" t="s">
        <v>10859</v>
      </c>
      <c r="B16" s="6" t="s">
        <v>4673</v>
      </c>
      <c r="C16" t="s">
        <v>10861</v>
      </c>
      <c r="D16" t="s">
        <v>10860</v>
      </c>
      <c r="E16" t="s">
        <v>839</v>
      </c>
      <c r="F16" t="s">
        <v>10772</v>
      </c>
      <c r="G16" t="s">
        <v>10835</v>
      </c>
      <c r="H16">
        <v>7316</v>
      </c>
      <c r="I16">
        <v>6000</v>
      </c>
      <c r="J16" t="s">
        <v>4776</v>
      </c>
      <c r="K16" t="s">
        <v>12059</v>
      </c>
      <c r="L16" s="3" t="s">
        <v>5199</v>
      </c>
      <c r="M16" t="s">
        <v>12060</v>
      </c>
    </row>
    <row r="17" spans="1:13" x14ac:dyDescent="0.2">
      <c r="A17" t="s">
        <v>10863</v>
      </c>
      <c r="B17" s="6" t="s">
        <v>4897</v>
      </c>
      <c r="C17" t="s">
        <v>10865</v>
      </c>
      <c r="D17" t="s">
        <v>10864</v>
      </c>
      <c r="E17" t="s">
        <v>949</v>
      </c>
      <c r="F17" t="s">
        <v>10772</v>
      </c>
      <c r="G17" t="s">
        <v>10835</v>
      </c>
      <c r="H17">
        <v>17748</v>
      </c>
      <c r="I17">
        <v>12000</v>
      </c>
      <c r="J17" t="s">
        <v>4776</v>
      </c>
      <c r="K17" t="s">
        <v>12061</v>
      </c>
      <c r="L17" s="3" t="s">
        <v>12062</v>
      </c>
      <c r="M17" t="s">
        <v>12063</v>
      </c>
    </row>
    <row r="18" spans="1:13" x14ac:dyDescent="0.2">
      <c r="A18" t="s">
        <v>10867</v>
      </c>
      <c r="B18" s="6" t="s">
        <v>4673</v>
      </c>
      <c r="C18" t="s">
        <v>10869</v>
      </c>
      <c r="D18" t="s">
        <v>10868</v>
      </c>
      <c r="E18" t="s">
        <v>1054</v>
      </c>
      <c r="F18" t="s">
        <v>10772</v>
      </c>
      <c r="G18" t="s">
        <v>10835</v>
      </c>
      <c r="H18">
        <v>6766</v>
      </c>
      <c r="I18">
        <v>6000</v>
      </c>
      <c r="J18" t="s">
        <v>4629</v>
      </c>
      <c r="K18" t="s">
        <v>12059</v>
      </c>
      <c r="L18" s="3" t="s">
        <v>4663</v>
      </c>
      <c r="M18" t="s">
        <v>12064</v>
      </c>
    </row>
    <row r="19" spans="1:13" x14ac:dyDescent="0.2">
      <c r="A19" t="s">
        <v>10871</v>
      </c>
      <c r="B19" s="6" t="s">
        <v>4648</v>
      </c>
      <c r="C19" t="s">
        <v>10874</v>
      </c>
      <c r="D19" t="s">
        <v>10872</v>
      </c>
      <c r="E19" t="s">
        <v>123</v>
      </c>
      <c r="F19" t="s">
        <v>10772</v>
      </c>
      <c r="G19" t="s">
        <v>10873</v>
      </c>
      <c r="H19">
        <v>6847</v>
      </c>
      <c r="I19">
        <v>6000</v>
      </c>
      <c r="J19" t="s">
        <v>4629</v>
      </c>
      <c r="K19" t="s">
        <v>12065</v>
      </c>
      <c r="L19" s="3" t="s">
        <v>12066</v>
      </c>
      <c r="M19" t="s">
        <v>12067</v>
      </c>
    </row>
    <row r="20" spans="1:13" x14ac:dyDescent="0.2">
      <c r="A20" t="s">
        <v>10877</v>
      </c>
      <c r="B20" s="6" t="s">
        <v>4648</v>
      </c>
      <c r="C20" t="s">
        <v>10879</v>
      </c>
      <c r="D20" t="s">
        <v>10878</v>
      </c>
      <c r="E20" t="s">
        <v>330</v>
      </c>
      <c r="F20" t="s">
        <v>10772</v>
      </c>
      <c r="G20" t="s">
        <v>10873</v>
      </c>
      <c r="H20">
        <v>7695</v>
      </c>
      <c r="I20">
        <v>6000</v>
      </c>
      <c r="J20" t="s">
        <v>4629</v>
      </c>
      <c r="K20" t="s">
        <v>12068</v>
      </c>
      <c r="L20" s="3" t="s">
        <v>12069</v>
      </c>
      <c r="M20" t="s">
        <v>12070</v>
      </c>
    </row>
    <row r="21" spans="1:13" x14ac:dyDescent="0.2">
      <c r="A21" t="s">
        <v>10881</v>
      </c>
      <c r="B21" s="6" t="s">
        <v>4628</v>
      </c>
      <c r="C21" t="s">
        <v>10883</v>
      </c>
      <c r="D21" t="s">
        <v>10882</v>
      </c>
      <c r="E21" t="s">
        <v>429</v>
      </c>
      <c r="F21" t="s">
        <v>10772</v>
      </c>
      <c r="G21" t="s">
        <v>10873</v>
      </c>
      <c r="H21">
        <v>7103</v>
      </c>
      <c r="I21">
        <v>6000</v>
      </c>
      <c r="J21" t="s">
        <v>4629</v>
      </c>
      <c r="K21" t="s">
        <v>12071</v>
      </c>
      <c r="L21" s="3" t="s">
        <v>12072</v>
      </c>
      <c r="M21" t="s">
        <v>12073</v>
      </c>
    </row>
    <row r="22" spans="1:13" x14ac:dyDescent="0.2">
      <c r="A22" t="s">
        <v>10885</v>
      </c>
      <c r="B22" s="6" t="s">
        <v>4633</v>
      </c>
      <c r="C22" t="s">
        <v>10887</v>
      </c>
      <c r="D22" t="s">
        <v>10886</v>
      </c>
      <c r="E22" t="s">
        <v>543</v>
      </c>
      <c r="F22" t="s">
        <v>10772</v>
      </c>
      <c r="G22" t="s">
        <v>10873</v>
      </c>
      <c r="H22">
        <v>9025</v>
      </c>
      <c r="I22">
        <v>6000</v>
      </c>
      <c r="J22" t="s">
        <v>4629</v>
      </c>
      <c r="K22" t="s">
        <v>12074</v>
      </c>
      <c r="L22" s="3" t="s">
        <v>12075</v>
      </c>
      <c r="M22" t="s">
        <v>12076</v>
      </c>
    </row>
    <row r="23" spans="1:13" x14ac:dyDescent="0.2">
      <c r="A23" t="s">
        <v>10889</v>
      </c>
      <c r="B23" s="6" t="s">
        <v>5070</v>
      </c>
      <c r="C23" t="s">
        <v>10891</v>
      </c>
      <c r="D23" t="s">
        <v>10890</v>
      </c>
      <c r="E23" t="s">
        <v>645</v>
      </c>
      <c r="F23" t="s">
        <v>10772</v>
      </c>
      <c r="G23" t="s">
        <v>10873</v>
      </c>
      <c r="H23">
        <v>8111</v>
      </c>
      <c r="I23">
        <v>6000</v>
      </c>
      <c r="J23" t="s">
        <v>4869</v>
      </c>
      <c r="K23" t="s">
        <v>12077</v>
      </c>
      <c r="L23" s="3" t="s">
        <v>12078</v>
      </c>
      <c r="M23" t="s">
        <v>12079</v>
      </c>
    </row>
    <row r="24" spans="1:13" x14ac:dyDescent="0.2">
      <c r="A24" t="s">
        <v>10893</v>
      </c>
      <c r="B24" s="6" t="s">
        <v>4845</v>
      </c>
      <c r="C24" t="s">
        <v>10895</v>
      </c>
      <c r="D24" t="s">
        <v>10894</v>
      </c>
      <c r="E24" t="s">
        <v>759</v>
      </c>
      <c r="F24" t="s">
        <v>10772</v>
      </c>
      <c r="G24" t="s">
        <v>10873</v>
      </c>
      <c r="H24">
        <v>7501</v>
      </c>
      <c r="I24">
        <v>6000</v>
      </c>
      <c r="J24" t="s">
        <v>4776</v>
      </c>
      <c r="K24" t="s">
        <v>12080</v>
      </c>
      <c r="L24" s="3" t="s">
        <v>12081</v>
      </c>
      <c r="M24" t="s">
        <v>12082</v>
      </c>
    </row>
    <row r="25" spans="1:13" x14ac:dyDescent="0.2">
      <c r="A25" t="s">
        <v>10897</v>
      </c>
      <c r="B25" s="6" t="s">
        <v>4897</v>
      </c>
      <c r="C25" t="s">
        <v>10899</v>
      </c>
      <c r="D25" t="s">
        <v>10898</v>
      </c>
      <c r="E25" t="s">
        <v>839</v>
      </c>
      <c r="F25" t="s">
        <v>10772</v>
      </c>
      <c r="G25" t="s">
        <v>10873</v>
      </c>
      <c r="H25">
        <v>12668</v>
      </c>
      <c r="I25">
        <v>12000</v>
      </c>
      <c r="J25" t="s">
        <v>4776</v>
      </c>
      <c r="K25" t="s">
        <v>12083</v>
      </c>
      <c r="L25" s="3" t="s">
        <v>12084</v>
      </c>
      <c r="M25" t="s">
        <v>12085</v>
      </c>
    </row>
    <row r="26" spans="1:13" x14ac:dyDescent="0.2">
      <c r="A26" t="s">
        <v>10901</v>
      </c>
      <c r="B26" s="6" t="s">
        <v>4877</v>
      </c>
      <c r="C26" t="s">
        <v>10903</v>
      </c>
      <c r="D26" t="s">
        <v>10902</v>
      </c>
      <c r="E26" t="s">
        <v>949</v>
      </c>
      <c r="F26" t="s">
        <v>10772</v>
      </c>
      <c r="G26" t="s">
        <v>10873</v>
      </c>
      <c r="H26">
        <v>15205</v>
      </c>
      <c r="I26">
        <v>6000</v>
      </c>
      <c r="J26" t="s">
        <v>4776</v>
      </c>
      <c r="K26" t="s">
        <v>12086</v>
      </c>
      <c r="L26" s="3" t="s">
        <v>12087</v>
      </c>
      <c r="M26" t="s">
        <v>12088</v>
      </c>
    </row>
    <row r="27" spans="1:13" x14ac:dyDescent="0.2">
      <c r="A27" t="s">
        <v>10905</v>
      </c>
      <c r="B27" s="6" t="s">
        <v>4628</v>
      </c>
      <c r="C27" t="s">
        <v>10907</v>
      </c>
      <c r="D27" t="s">
        <v>10906</v>
      </c>
      <c r="E27" t="s">
        <v>1054</v>
      </c>
      <c r="F27" t="s">
        <v>10772</v>
      </c>
      <c r="G27" t="s">
        <v>10873</v>
      </c>
      <c r="H27">
        <v>8413</v>
      </c>
      <c r="I27">
        <v>6000</v>
      </c>
      <c r="J27" t="s">
        <v>4629</v>
      </c>
      <c r="K27" t="s">
        <v>12089</v>
      </c>
      <c r="L27" s="3" t="s">
        <v>12090</v>
      </c>
      <c r="M27" t="s">
        <v>12091</v>
      </c>
    </row>
    <row r="28" spans="1:13" x14ac:dyDescent="0.2">
      <c r="A28" t="s">
        <v>10909</v>
      </c>
      <c r="B28" s="6" t="s">
        <v>4648</v>
      </c>
      <c r="C28" t="s">
        <v>10912</v>
      </c>
      <c r="D28" t="s">
        <v>10910</v>
      </c>
      <c r="E28" t="s">
        <v>123</v>
      </c>
      <c r="F28" t="s">
        <v>122</v>
      </c>
      <c r="G28" t="s">
        <v>10911</v>
      </c>
      <c r="H28">
        <v>6847</v>
      </c>
      <c r="I28">
        <v>6000</v>
      </c>
      <c r="J28" t="s">
        <v>4629</v>
      </c>
      <c r="K28" t="s">
        <v>12092</v>
      </c>
      <c r="L28" s="3" t="s">
        <v>12093</v>
      </c>
      <c r="M28" t="s">
        <v>12094</v>
      </c>
    </row>
    <row r="29" spans="1:13" x14ac:dyDescent="0.2">
      <c r="A29" t="s">
        <v>10916</v>
      </c>
      <c r="B29" s="6" t="s">
        <v>4729</v>
      </c>
      <c r="C29" t="s">
        <v>10918</v>
      </c>
      <c r="D29" t="s">
        <v>10917</v>
      </c>
      <c r="E29" t="s">
        <v>330</v>
      </c>
      <c r="F29" t="s">
        <v>122</v>
      </c>
      <c r="G29" t="s">
        <v>10911</v>
      </c>
      <c r="H29">
        <v>8030</v>
      </c>
      <c r="I29">
        <v>6000</v>
      </c>
      <c r="J29" t="s">
        <v>4668</v>
      </c>
      <c r="K29" t="s">
        <v>12095</v>
      </c>
      <c r="L29" s="3" t="s">
        <v>12096</v>
      </c>
      <c r="M29" t="s">
        <v>12094</v>
      </c>
    </row>
    <row r="30" spans="1:13" x14ac:dyDescent="0.2">
      <c r="A30" t="s">
        <v>10921</v>
      </c>
      <c r="B30" s="6" t="s">
        <v>4648</v>
      </c>
      <c r="C30" t="s">
        <v>10923</v>
      </c>
      <c r="D30" t="s">
        <v>10922</v>
      </c>
      <c r="E30" t="s">
        <v>429</v>
      </c>
      <c r="F30" t="s">
        <v>122</v>
      </c>
      <c r="G30" t="s">
        <v>10911</v>
      </c>
      <c r="H30">
        <v>7323</v>
      </c>
      <c r="I30">
        <v>6000</v>
      </c>
      <c r="J30" t="s">
        <v>4629</v>
      </c>
      <c r="K30" t="s">
        <v>12097</v>
      </c>
      <c r="L30" s="3" t="s">
        <v>12093</v>
      </c>
      <c r="M30" t="s">
        <v>12094</v>
      </c>
    </row>
    <row r="31" spans="1:13" x14ac:dyDescent="0.2">
      <c r="A31" t="s">
        <v>10926</v>
      </c>
      <c r="B31" s="6" t="s">
        <v>4696</v>
      </c>
      <c r="C31" t="s">
        <v>10928</v>
      </c>
      <c r="D31" t="s">
        <v>10927</v>
      </c>
      <c r="E31" t="s">
        <v>543</v>
      </c>
      <c r="F31" t="s">
        <v>122</v>
      </c>
      <c r="G31" t="s">
        <v>10911</v>
      </c>
      <c r="H31">
        <v>4711</v>
      </c>
      <c r="I31">
        <v>6000</v>
      </c>
      <c r="J31" t="s">
        <v>4629</v>
      </c>
      <c r="K31" t="s">
        <v>12098</v>
      </c>
      <c r="L31" s="3" t="s">
        <v>12099</v>
      </c>
      <c r="M31" t="s">
        <v>12100</v>
      </c>
    </row>
    <row r="32" spans="1:13" x14ac:dyDescent="0.2">
      <c r="A32" t="s">
        <v>10931</v>
      </c>
      <c r="B32" s="6" t="s">
        <v>5070</v>
      </c>
      <c r="C32" t="s">
        <v>10933</v>
      </c>
      <c r="D32" t="s">
        <v>10932</v>
      </c>
      <c r="E32" t="s">
        <v>645</v>
      </c>
      <c r="F32" t="s">
        <v>122</v>
      </c>
      <c r="G32" t="s">
        <v>10911</v>
      </c>
      <c r="H32">
        <v>8111</v>
      </c>
      <c r="I32">
        <v>6000</v>
      </c>
      <c r="J32" t="s">
        <v>4869</v>
      </c>
      <c r="K32" t="s">
        <v>12101</v>
      </c>
      <c r="L32" s="3" t="s">
        <v>12102</v>
      </c>
      <c r="M32" t="s">
        <v>12094</v>
      </c>
    </row>
    <row r="33" spans="1:13" x14ac:dyDescent="0.2">
      <c r="A33" t="s">
        <v>10936</v>
      </c>
      <c r="B33" s="6" t="s">
        <v>4696</v>
      </c>
      <c r="C33" t="s">
        <v>10938</v>
      </c>
      <c r="D33" t="s">
        <v>10937</v>
      </c>
      <c r="E33" t="s">
        <v>759</v>
      </c>
      <c r="F33" t="s">
        <v>122</v>
      </c>
      <c r="G33" t="s">
        <v>10911</v>
      </c>
      <c r="H33">
        <v>7316</v>
      </c>
      <c r="I33">
        <v>6000</v>
      </c>
      <c r="J33" t="s">
        <v>4629</v>
      </c>
      <c r="K33" t="s">
        <v>12103</v>
      </c>
      <c r="L33" s="3" t="s">
        <v>12104</v>
      </c>
      <c r="M33" t="s">
        <v>12105</v>
      </c>
    </row>
    <row r="34" spans="1:13" x14ac:dyDescent="0.2">
      <c r="A34" t="s">
        <v>10941</v>
      </c>
      <c r="B34" s="6" t="s">
        <v>4897</v>
      </c>
      <c r="C34" t="s">
        <v>10943</v>
      </c>
      <c r="D34" t="s">
        <v>10942</v>
      </c>
      <c r="E34" t="s">
        <v>839</v>
      </c>
      <c r="F34" t="s">
        <v>122</v>
      </c>
      <c r="G34" t="s">
        <v>10911</v>
      </c>
      <c r="H34">
        <v>12668</v>
      </c>
      <c r="I34">
        <v>12000</v>
      </c>
      <c r="J34" t="s">
        <v>4776</v>
      </c>
      <c r="K34" t="s">
        <v>12083</v>
      </c>
      <c r="L34" s="3" t="s">
        <v>12106</v>
      </c>
      <c r="M34" t="s">
        <v>12107</v>
      </c>
    </row>
    <row r="35" spans="1:13" x14ac:dyDescent="0.2">
      <c r="A35" t="s">
        <v>10946</v>
      </c>
      <c r="B35" s="6" t="s">
        <v>4696</v>
      </c>
      <c r="C35" t="s">
        <v>10948</v>
      </c>
      <c r="D35" t="s">
        <v>10947</v>
      </c>
      <c r="E35" t="s">
        <v>949</v>
      </c>
      <c r="F35" t="s">
        <v>122</v>
      </c>
      <c r="G35" t="s">
        <v>10911</v>
      </c>
      <c r="H35">
        <v>17748</v>
      </c>
      <c r="I35">
        <v>12000</v>
      </c>
      <c r="J35" t="s">
        <v>4629</v>
      </c>
      <c r="K35" t="s">
        <v>12108</v>
      </c>
      <c r="L35" s="3" t="s">
        <v>12109</v>
      </c>
      <c r="M35" t="s">
        <v>12110</v>
      </c>
    </row>
    <row r="36" spans="1:13" x14ac:dyDescent="0.2">
      <c r="A36" t="s">
        <v>10951</v>
      </c>
      <c r="B36" s="6" t="s">
        <v>5202</v>
      </c>
      <c r="C36" t="s">
        <v>10953</v>
      </c>
      <c r="D36" t="s">
        <v>10952</v>
      </c>
      <c r="E36" t="s">
        <v>1054</v>
      </c>
      <c r="F36" t="s">
        <v>122</v>
      </c>
      <c r="G36" t="s">
        <v>10911</v>
      </c>
      <c r="H36">
        <v>7316</v>
      </c>
      <c r="I36">
        <v>6000</v>
      </c>
      <c r="J36" t="s">
        <v>4842</v>
      </c>
      <c r="K36" t="s">
        <v>12111</v>
      </c>
      <c r="L36" s="3" t="s">
        <v>12112</v>
      </c>
      <c r="M36" t="s">
        <v>12094</v>
      </c>
    </row>
    <row r="37" spans="1:13" x14ac:dyDescent="0.2">
      <c r="A37" t="s">
        <v>10956</v>
      </c>
      <c r="B37" s="6" t="s">
        <v>4648</v>
      </c>
      <c r="C37" t="s">
        <v>10958</v>
      </c>
      <c r="D37" t="s">
        <v>10957</v>
      </c>
      <c r="E37" t="s">
        <v>123</v>
      </c>
      <c r="F37" t="s">
        <v>1103</v>
      </c>
      <c r="G37" t="s">
        <v>10911</v>
      </c>
      <c r="H37">
        <v>6847</v>
      </c>
      <c r="I37">
        <v>6000</v>
      </c>
      <c r="J37" t="s">
        <v>4629</v>
      </c>
      <c r="K37" t="s">
        <v>12113</v>
      </c>
      <c r="L37" s="3" t="s">
        <v>12114</v>
      </c>
      <c r="M37" t="s">
        <v>12094</v>
      </c>
    </row>
    <row r="38" spans="1:13" x14ac:dyDescent="0.2">
      <c r="A38" t="s">
        <v>10960</v>
      </c>
      <c r="B38" s="6" t="s">
        <v>4897</v>
      </c>
      <c r="C38" t="s">
        <v>10962</v>
      </c>
      <c r="D38" t="s">
        <v>10961</v>
      </c>
      <c r="E38" t="s">
        <v>330</v>
      </c>
      <c r="F38" t="s">
        <v>1103</v>
      </c>
      <c r="G38" t="s">
        <v>10911</v>
      </c>
      <c r="H38">
        <v>12841</v>
      </c>
      <c r="I38">
        <v>12000</v>
      </c>
      <c r="J38" t="s">
        <v>4776</v>
      </c>
      <c r="K38" t="s">
        <v>12083</v>
      </c>
      <c r="L38" s="3" t="s">
        <v>12115</v>
      </c>
      <c r="M38" t="s">
        <v>12107</v>
      </c>
    </row>
    <row r="39" spans="1:13" x14ac:dyDescent="0.2">
      <c r="A39" t="s">
        <v>10964</v>
      </c>
      <c r="B39" s="6" t="s">
        <v>4628</v>
      </c>
      <c r="C39" t="s">
        <v>10966</v>
      </c>
      <c r="D39" t="s">
        <v>10965</v>
      </c>
      <c r="E39" t="s">
        <v>429</v>
      </c>
      <c r="F39" t="s">
        <v>1103</v>
      </c>
      <c r="G39" t="s">
        <v>10911</v>
      </c>
      <c r="H39">
        <v>7103</v>
      </c>
      <c r="I39">
        <v>6000</v>
      </c>
      <c r="J39" t="s">
        <v>4629</v>
      </c>
      <c r="K39" t="s">
        <v>12116</v>
      </c>
      <c r="L39" s="3" t="s">
        <v>12117</v>
      </c>
      <c r="M39" t="s">
        <v>12118</v>
      </c>
    </row>
    <row r="40" spans="1:13" x14ac:dyDescent="0.2">
      <c r="A40" t="s">
        <v>10968</v>
      </c>
      <c r="B40" s="6" t="s">
        <v>4633</v>
      </c>
      <c r="C40" t="s">
        <v>10970</v>
      </c>
      <c r="D40" t="s">
        <v>10969</v>
      </c>
      <c r="E40" t="s">
        <v>543</v>
      </c>
      <c r="F40" t="s">
        <v>1103</v>
      </c>
      <c r="G40" t="s">
        <v>10911</v>
      </c>
      <c r="H40">
        <v>9025</v>
      </c>
      <c r="I40">
        <v>6000</v>
      </c>
      <c r="J40" t="s">
        <v>4629</v>
      </c>
      <c r="K40" t="s">
        <v>12119</v>
      </c>
      <c r="L40" s="3" t="s">
        <v>12120</v>
      </c>
      <c r="M40" t="s">
        <v>12094</v>
      </c>
    </row>
    <row r="41" spans="1:13" x14ac:dyDescent="0.2">
      <c r="A41" t="s">
        <v>10972</v>
      </c>
      <c r="B41" s="6" t="s">
        <v>4897</v>
      </c>
      <c r="C41" t="s">
        <v>10974</v>
      </c>
      <c r="D41" t="s">
        <v>10973</v>
      </c>
      <c r="E41" t="s">
        <v>645</v>
      </c>
      <c r="F41" t="s">
        <v>1103</v>
      </c>
      <c r="G41" t="s">
        <v>10911</v>
      </c>
      <c r="H41">
        <v>14410</v>
      </c>
      <c r="I41">
        <v>12000</v>
      </c>
      <c r="J41" t="s">
        <v>4776</v>
      </c>
      <c r="K41" t="s">
        <v>12121</v>
      </c>
      <c r="L41" s="3" t="s">
        <v>12122</v>
      </c>
      <c r="M41" t="s">
        <v>12123</v>
      </c>
    </row>
    <row r="42" spans="1:13" x14ac:dyDescent="0.2">
      <c r="A42" t="s">
        <v>10750</v>
      </c>
      <c r="B42" s="6" t="s">
        <v>4696</v>
      </c>
      <c r="C42" t="s">
        <v>10977</v>
      </c>
      <c r="D42" t="s">
        <v>10976</v>
      </c>
      <c r="E42" t="s">
        <v>759</v>
      </c>
      <c r="F42" t="s">
        <v>1103</v>
      </c>
      <c r="G42" t="s">
        <v>10911</v>
      </c>
      <c r="H42">
        <v>7316</v>
      </c>
      <c r="I42">
        <v>6000</v>
      </c>
      <c r="J42" t="s">
        <v>4629</v>
      </c>
      <c r="K42" t="s">
        <v>12103</v>
      </c>
      <c r="L42" s="3" t="s">
        <v>12124</v>
      </c>
      <c r="M42" t="s">
        <v>12105</v>
      </c>
    </row>
    <row r="43" spans="1:13" x14ac:dyDescent="0.2">
      <c r="A43" t="s">
        <v>10979</v>
      </c>
      <c r="B43" s="6" t="s">
        <v>4852</v>
      </c>
      <c r="C43" t="s">
        <v>10981</v>
      </c>
      <c r="D43" t="s">
        <v>10980</v>
      </c>
      <c r="E43" t="s">
        <v>839</v>
      </c>
      <c r="F43" t="s">
        <v>1103</v>
      </c>
      <c r="G43" t="s">
        <v>10911</v>
      </c>
      <c r="H43">
        <v>8757</v>
      </c>
      <c r="I43">
        <v>6000</v>
      </c>
      <c r="J43" t="s">
        <v>4869</v>
      </c>
      <c r="K43" t="s">
        <v>12125</v>
      </c>
      <c r="L43" s="3" t="s">
        <v>12126</v>
      </c>
      <c r="M43" t="s">
        <v>12094</v>
      </c>
    </row>
    <row r="44" spans="1:13" x14ac:dyDescent="0.2">
      <c r="A44" t="s">
        <v>10983</v>
      </c>
      <c r="B44" s="6" t="s">
        <v>4696</v>
      </c>
      <c r="C44" t="s">
        <v>10985</v>
      </c>
      <c r="D44" t="s">
        <v>10984</v>
      </c>
      <c r="E44" t="s">
        <v>949</v>
      </c>
      <c r="F44" t="s">
        <v>1103</v>
      </c>
      <c r="G44" t="s">
        <v>10911</v>
      </c>
      <c r="H44">
        <v>17748</v>
      </c>
      <c r="I44">
        <v>12000</v>
      </c>
      <c r="J44" t="s">
        <v>4629</v>
      </c>
      <c r="K44" t="s">
        <v>12108</v>
      </c>
      <c r="L44" s="3" t="s">
        <v>12127</v>
      </c>
      <c r="M44" t="s">
        <v>12110</v>
      </c>
    </row>
    <row r="45" spans="1:13" x14ac:dyDescent="0.2">
      <c r="A45" t="s">
        <v>10987</v>
      </c>
      <c r="B45" s="6" t="s">
        <v>5202</v>
      </c>
      <c r="C45" t="s">
        <v>10989</v>
      </c>
      <c r="D45" t="s">
        <v>10988</v>
      </c>
      <c r="E45" t="s">
        <v>1054</v>
      </c>
      <c r="F45" t="s">
        <v>1103</v>
      </c>
      <c r="G45" t="s">
        <v>10911</v>
      </c>
      <c r="H45">
        <v>7316</v>
      </c>
      <c r="I45">
        <v>6000</v>
      </c>
      <c r="J45" t="s">
        <v>4842</v>
      </c>
      <c r="K45" t="s">
        <v>12128</v>
      </c>
      <c r="L45" s="3" t="s">
        <v>12129</v>
      </c>
      <c r="M45" t="s">
        <v>12094</v>
      </c>
    </row>
    <row r="46" spans="1:13" x14ac:dyDescent="0.2">
      <c r="A46" t="s">
        <v>10991</v>
      </c>
      <c r="B46" s="6" t="s">
        <v>4673</v>
      </c>
      <c r="C46" t="s">
        <v>10993</v>
      </c>
      <c r="D46" t="s">
        <v>10992</v>
      </c>
      <c r="E46" t="s">
        <v>123</v>
      </c>
      <c r="F46" t="s">
        <v>1947</v>
      </c>
      <c r="G46" t="s">
        <v>10911</v>
      </c>
      <c r="H46">
        <v>7316</v>
      </c>
      <c r="I46">
        <v>6000</v>
      </c>
      <c r="J46" t="s">
        <v>4629</v>
      </c>
      <c r="K46" t="s">
        <v>12130</v>
      </c>
      <c r="L46" s="3" t="s">
        <v>12131</v>
      </c>
      <c r="M46" t="s">
        <v>12132</v>
      </c>
    </row>
    <row r="47" spans="1:13" x14ac:dyDescent="0.2">
      <c r="A47" t="s">
        <v>10995</v>
      </c>
      <c r="B47" s="6" t="s">
        <v>4729</v>
      </c>
      <c r="C47" t="s">
        <v>10997</v>
      </c>
      <c r="D47" t="s">
        <v>10996</v>
      </c>
      <c r="E47" t="s">
        <v>330</v>
      </c>
      <c r="F47" t="s">
        <v>1947</v>
      </c>
      <c r="G47" t="s">
        <v>10911</v>
      </c>
      <c r="H47">
        <v>8030</v>
      </c>
      <c r="I47">
        <v>6000</v>
      </c>
      <c r="J47" t="s">
        <v>4668</v>
      </c>
      <c r="K47" t="s">
        <v>12133</v>
      </c>
      <c r="L47" s="3" t="s">
        <v>12134</v>
      </c>
      <c r="M47" t="s">
        <v>12094</v>
      </c>
    </row>
    <row r="48" spans="1:13" x14ac:dyDescent="0.2">
      <c r="A48" t="s">
        <v>10999</v>
      </c>
      <c r="B48" s="6" t="s">
        <v>4648</v>
      </c>
      <c r="C48" t="s">
        <v>11001</v>
      </c>
      <c r="D48" t="s">
        <v>11000</v>
      </c>
      <c r="E48" t="s">
        <v>429</v>
      </c>
      <c r="F48" t="s">
        <v>1947</v>
      </c>
      <c r="G48" t="s">
        <v>10911</v>
      </c>
      <c r="H48">
        <v>7323</v>
      </c>
      <c r="I48">
        <v>6000</v>
      </c>
      <c r="J48" t="s">
        <v>4629</v>
      </c>
      <c r="K48" t="s">
        <v>12135</v>
      </c>
      <c r="L48" s="3" t="s">
        <v>12136</v>
      </c>
      <c r="M48" t="s">
        <v>12094</v>
      </c>
    </row>
    <row r="49" spans="1:13" x14ac:dyDescent="0.2">
      <c r="A49" t="s">
        <v>11003</v>
      </c>
      <c r="B49" s="6" t="s">
        <v>4633</v>
      </c>
      <c r="C49" t="s">
        <v>11005</v>
      </c>
      <c r="D49" t="s">
        <v>11004</v>
      </c>
      <c r="E49" t="s">
        <v>543</v>
      </c>
      <c r="F49" t="s">
        <v>1947</v>
      </c>
      <c r="G49" t="s">
        <v>10911</v>
      </c>
      <c r="H49">
        <v>9025</v>
      </c>
      <c r="I49">
        <v>6000</v>
      </c>
      <c r="J49" t="s">
        <v>4629</v>
      </c>
      <c r="K49" t="s">
        <v>12137</v>
      </c>
      <c r="L49" s="3" t="s">
        <v>12138</v>
      </c>
      <c r="M49" t="s">
        <v>12094</v>
      </c>
    </row>
    <row r="50" spans="1:13" x14ac:dyDescent="0.2">
      <c r="A50" t="s">
        <v>11007</v>
      </c>
      <c r="B50" s="6" t="s">
        <v>4897</v>
      </c>
      <c r="C50" t="s">
        <v>11009</v>
      </c>
      <c r="D50" t="s">
        <v>11008</v>
      </c>
      <c r="E50" t="s">
        <v>645</v>
      </c>
      <c r="F50" t="s">
        <v>1947</v>
      </c>
      <c r="G50" t="s">
        <v>10911</v>
      </c>
      <c r="H50">
        <v>14410</v>
      </c>
      <c r="I50">
        <v>12000</v>
      </c>
      <c r="J50" t="s">
        <v>4776</v>
      </c>
      <c r="K50" t="s">
        <v>12121</v>
      </c>
      <c r="L50" s="3" t="s">
        <v>12139</v>
      </c>
      <c r="M50" t="s">
        <v>12123</v>
      </c>
    </row>
    <row r="51" spans="1:13" x14ac:dyDescent="0.2">
      <c r="A51" t="s">
        <v>11011</v>
      </c>
      <c r="B51" s="6" t="s">
        <v>4696</v>
      </c>
      <c r="C51" t="s">
        <v>11013</v>
      </c>
      <c r="D51" t="s">
        <v>11012</v>
      </c>
      <c r="E51" t="s">
        <v>759</v>
      </c>
      <c r="F51" t="s">
        <v>1947</v>
      </c>
      <c r="G51" t="s">
        <v>10911</v>
      </c>
      <c r="H51">
        <v>7316</v>
      </c>
      <c r="I51">
        <v>6000</v>
      </c>
      <c r="J51" t="s">
        <v>4629</v>
      </c>
      <c r="K51" t="s">
        <v>12103</v>
      </c>
      <c r="L51" s="3" t="s">
        <v>12140</v>
      </c>
      <c r="M51" t="s">
        <v>12105</v>
      </c>
    </row>
    <row r="52" spans="1:13" x14ac:dyDescent="0.2">
      <c r="A52" t="s">
        <v>11015</v>
      </c>
      <c r="B52" s="6" t="s">
        <v>4897</v>
      </c>
      <c r="C52" t="s">
        <v>11017</v>
      </c>
      <c r="D52" t="s">
        <v>11016</v>
      </c>
      <c r="E52" t="s">
        <v>839</v>
      </c>
      <c r="F52" t="s">
        <v>1947</v>
      </c>
      <c r="G52" t="s">
        <v>10911</v>
      </c>
      <c r="H52">
        <v>12668</v>
      </c>
      <c r="I52">
        <v>12000</v>
      </c>
      <c r="J52" t="s">
        <v>4776</v>
      </c>
      <c r="K52" t="s">
        <v>12083</v>
      </c>
      <c r="L52" s="3" t="s">
        <v>12141</v>
      </c>
      <c r="M52" t="s">
        <v>12107</v>
      </c>
    </row>
    <row r="53" spans="1:13" x14ac:dyDescent="0.2">
      <c r="A53" t="s">
        <v>11019</v>
      </c>
      <c r="B53" s="6" t="s">
        <v>4696</v>
      </c>
      <c r="C53" t="s">
        <v>11021</v>
      </c>
      <c r="D53" t="s">
        <v>11020</v>
      </c>
      <c r="E53" t="s">
        <v>949</v>
      </c>
      <c r="F53" t="s">
        <v>1947</v>
      </c>
      <c r="G53" t="s">
        <v>10911</v>
      </c>
      <c r="H53">
        <v>17748</v>
      </c>
      <c r="I53">
        <v>12000</v>
      </c>
      <c r="J53" t="s">
        <v>4629</v>
      </c>
      <c r="K53" t="s">
        <v>12108</v>
      </c>
      <c r="L53" s="3" t="s">
        <v>12142</v>
      </c>
      <c r="M53" t="s">
        <v>12110</v>
      </c>
    </row>
    <row r="54" spans="1:13" x14ac:dyDescent="0.2">
      <c r="A54" t="s">
        <v>11023</v>
      </c>
      <c r="B54" s="6" t="s">
        <v>5202</v>
      </c>
      <c r="C54" t="s">
        <v>11025</v>
      </c>
      <c r="D54" t="s">
        <v>11024</v>
      </c>
      <c r="E54" t="s">
        <v>1054</v>
      </c>
      <c r="F54" t="s">
        <v>1947</v>
      </c>
      <c r="G54" t="s">
        <v>10911</v>
      </c>
      <c r="H54">
        <v>7316</v>
      </c>
      <c r="I54">
        <v>6000</v>
      </c>
      <c r="J54" t="s">
        <v>4842</v>
      </c>
      <c r="K54" t="s">
        <v>12143</v>
      </c>
      <c r="L54" s="3" t="s">
        <v>12144</v>
      </c>
      <c r="M54" t="s">
        <v>12094</v>
      </c>
    </row>
    <row r="55" spans="1:13" x14ac:dyDescent="0.2">
      <c r="A55" t="s">
        <v>11027</v>
      </c>
      <c r="B55" s="6" t="s">
        <v>4648</v>
      </c>
      <c r="C55" t="s">
        <v>11029</v>
      </c>
      <c r="D55" t="s">
        <v>11028</v>
      </c>
      <c r="E55" t="s">
        <v>123</v>
      </c>
      <c r="F55" t="s">
        <v>2837</v>
      </c>
      <c r="G55" t="s">
        <v>10911</v>
      </c>
      <c r="H55">
        <v>6847</v>
      </c>
      <c r="I55">
        <v>6000</v>
      </c>
      <c r="J55" t="s">
        <v>4629</v>
      </c>
      <c r="K55" t="s">
        <v>12145</v>
      </c>
      <c r="L55" s="3" t="s">
        <v>12146</v>
      </c>
      <c r="M55" t="s">
        <v>12094</v>
      </c>
    </row>
    <row r="56" spans="1:13" x14ac:dyDescent="0.2">
      <c r="A56" t="s">
        <v>11031</v>
      </c>
      <c r="B56" s="6" t="s">
        <v>4897</v>
      </c>
      <c r="C56" t="s">
        <v>11033</v>
      </c>
      <c r="D56" t="s">
        <v>11032</v>
      </c>
      <c r="E56" t="s">
        <v>330</v>
      </c>
      <c r="F56" t="s">
        <v>2837</v>
      </c>
      <c r="G56" t="s">
        <v>10911</v>
      </c>
      <c r="H56">
        <v>12841</v>
      </c>
      <c r="I56">
        <v>12000</v>
      </c>
      <c r="J56" t="s">
        <v>4776</v>
      </c>
      <c r="K56" t="s">
        <v>12083</v>
      </c>
      <c r="L56" s="3" t="s">
        <v>12147</v>
      </c>
      <c r="M56" t="s">
        <v>12107</v>
      </c>
    </row>
    <row r="57" spans="1:13" x14ac:dyDescent="0.2">
      <c r="A57" t="s">
        <v>11035</v>
      </c>
      <c r="B57" s="6" t="s">
        <v>4628</v>
      </c>
      <c r="C57" t="s">
        <v>11037</v>
      </c>
      <c r="D57" t="s">
        <v>11036</v>
      </c>
      <c r="E57" t="s">
        <v>429</v>
      </c>
      <c r="F57" t="s">
        <v>2837</v>
      </c>
      <c r="G57" t="s">
        <v>10911</v>
      </c>
      <c r="H57">
        <v>7103</v>
      </c>
      <c r="I57">
        <v>6000</v>
      </c>
      <c r="J57" t="s">
        <v>4629</v>
      </c>
      <c r="K57" t="s">
        <v>12116</v>
      </c>
      <c r="L57" s="3" t="s">
        <v>12148</v>
      </c>
      <c r="M57" t="s">
        <v>12118</v>
      </c>
    </row>
    <row r="58" spans="1:13" x14ac:dyDescent="0.2">
      <c r="A58" t="s">
        <v>11039</v>
      </c>
      <c r="B58" s="6" t="s">
        <v>4696</v>
      </c>
      <c r="C58" t="s">
        <v>11041</v>
      </c>
      <c r="D58" t="s">
        <v>11040</v>
      </c>
      <c r="E58" t="s">
        <v>543</v>
      </c>
      <c r="F58" t="s">
        <v>2837</v>
      </c>
      <c r="G58" t="s">
        <v>10911</v>
      </c>
      <c r="H58">
        <v>4711</v>
      </c>
      <c r="I58">
        <v>6000</v>
      </c>
      <c r="J58" t="s">
        <v>4629</v>
      </c>
      <c r="K58" t="s">
        <v>12098</v>
      </c>
      <c r="L58" s="3" t="s">
        <v>12149</v>
      </c>
      <c r="M58" t="s">
        <v>12100</v>
      </c>
    </row>
    <row r="59" spans="1:13" x14ac:dyDescent="0.2">
      <c r="A59" t="s">
        <v>11043</v>
      </c>
      <c r="B59" s="6" t="s">
        <v>5070</v>
      </c>
      <c r="C59" t="s">
        <v>11045</v>
      </c>
      <c r="D59" t="s">
        <v>11044</v>
      </c>
      <c r="E59" t="s">
        <v>645</v>
      </c>
      <c r="F59" t="s">
        <v>2837</v>
      </c>
      <c r="G59" t="s">
        <v>10911</v>
      </c>
      <c r="H59">
        <v>8111</v>
      </c>
      <c r="I59">
        <v>6000</v>
      </c>
      <c r="J59" t="s">
        <v>4869</v>
      </c>
      <c r="K59" t="s">
        <v>12150</v>
      </c>
      <c r="L59" s="3" t="s">
        <v>12151</v>
      </c>
      <c r="M59" t="s">
        <v>12094</v>
      </c>
    </row>
    <row r="60" spans="1:13" x14ac:dyDescent="0.2">
      <c r="A60" t="s">
        <v>11047</v>
      </c>
      <c r="B60" s="6" t="s">
        <v>4841</v>
      </c>
      <c r="C60" t="s">
        <v>11049</v>
      </c>
      <c r="D60" t="s">
        <v>11048</v>
      </c>
      <c r="E60" t="s">
        <v>759</v>
      </c>
      <c r="F60" t="s">
        <v>2837</v>
      </c>
      <c r="G60" t="s">
        <v>10911</v>
      </c>
      <c r="H60">
        <v>8075</v>
      </c>
      <c r="I60">
        <v>6000</v>
      </c>
      <c r="J60" t="s">
        <v>4629</v>
      </c>
      <c r="K60" t="s">
        <v>12152</v>
      </c>
      <c r="L60" s="3" t="s">
        <v>12153</v>
      </c>
      <c r="M60" t="s">
        <v>12094</v>
      </c>
    </row>
    <row r="61" spans="1:13" x14ac:dyDescent="0.2">
      <c r="A61" t="s">
        <v>11051</v>
      </c>
      <c r="B61" s="6" t="s">
        <v>4852</v>
      </c>
      <c r="C61" t="s">
        <v>11053</v>
      </c>
      <c r="D61" t="s">
        <v>11052</v>
      </c>
      <c r="E61" t="s">
        <v>839</v>
      </c>
      <c r="F61" t="s">
        <v>2837</v>
      </c>
      <c r="G61" t="s">
        <v>10911</v>
      </c>
      <c r="H61">
        <v>8757</v>
      </c>
      <c r="I61">
        <v>6000</v>
      </c>
      <c r="J61" t="s">
        <v>4869</v>
      </c>
      <c r="K61" t="s">
        <v>12154</v>
      </c>
      <c r="L61" s="3" t="s">
        <v>12155</v>
      </c>
      <c r="M61" t="s">
        <v>12094</v>
      </c>
    </row>
    <row r="62" spans="1:13" x14ac:dyDescent="0.2">
      <c r="A62" t="s">
        <v>11055</v>
      </c>
      <c r="B62" s="6" t="s">
        <v>4877</v>
      </c>
      <c r="C62" t="s">
        <v>11057</v>
      </c>
      <c r="D62" t="s">
        <v>11056</v>
      </c>
      <c r="E62" t="s">
        <v>949</v>
      </c>
      <c r="F62" t="s">
        <v>2837</v>
      </c>
      <c r="G62" t="s">
        <v>10911</v>
      </c>
      <c r="H62">
        <v>15205</v>
      </c>
      <c r="I62">
        <v>6000</v>
      </c>
      <c r="J62" t="s">
        <v>4776</v>
      </c>
      <c r="K62" t="s">
        <v>12156</v>
      </c>
      <c r="L62" s="3" t="s">
        <v>12157</v>
      </c>
      <c r="M62" t="s">
        <v>12094</v>
      </c>
    </row>
    <row r="63" spans="1:13" x14ac:dyDescent="0.2">
      <c r="A63" t="s">
        <v>11059</v>
      </c>
      <c r="B63" s="6" t="s">
        <v>5202</v>
      </c>
      <c r="C63" t="s">
        <v>11061</v>
      </c>
      <c r="D63" t="s">
        <v>11060</v>
      </c>
      <c r="E63" t="s">
        <v>1054</v>
      </c>
      <c r="F63" t="s">
        <v>2837</v>
      </c>
      <c r="G63" t="s">
        <v>10911</v>
      </c>
      <c r="H63">
        <v>7316</v>
      </c>
      <c r="I63">
        <v>6000</v>
      </c>
      <c r="J63" t="s">
        <v>4842</v>
      </c>
      <c r="K63" t="s">
        <v>12158</v>
      </c>
      <c r="L63" s="3" t="s">
        <v>12159</v>
      </c>
      <c r="M63" t="s">
        <v>12094</v>
      </c>
    </row>
    <row r="64" spans="1:13" x14ac:dyDescent="0.2">
      <c r="A64" t="s">
        <v>11063</v>
      </c>
      <c r="B64" s="6" t="s">
        <v>4673</v>
      </c>
      <c r="C64" t="s">
        <v>11065</v>
      </c>
      <c r="D64" t="s">
        <v>11064</v>
      </c>
      <c r="E64" t="s">
        <v>123</v>
      </c>
      <c r="F64" t="s">
        <v>3779</v>
      </c>
      <c r="G64" t="s">
        <v>10911</v>
      </c>
      <c r="H64">
        <v>7316</v>
      </c>
      <c r="I64">
        <v>6000</v>
      </c>
      <c r="J64" t="s">
        <v>4629</v>
      </c>
      <c r="K64" t="s">
        <v>12130</v>
      </c>
      <c r="L64" s="3" t="s">
        <v>12160</v>
      </c>
      <c r="M64" t="s">
        <v>12132</v>
      </c>
    </row>
    <row r="65" spans="1:13" x14ac:dyDescent="0.2">
      <c r="A65" t="s">
        <v>11067</v>
      </c>
      <c r="B65" s="6" t="s">
        <v>4648</v>
      </c>
      <c r="C65" t="s">
        <v>11069</v>
      </c>
      <c r="D65" t="s">
        <v>11068</v>
      </c>
      <c r="E65" t="s">
        <v>330</v>
      </c>
      <c r="F65" t="s">
        <v>3779</v>
      </c>
      <c r="G65" t="s">
        <v>10911</v>
      </c>
      <c r="H65">
        <v>7695</v>
      </c>
      <c r="I65">
        <v>6000</v>
      </c>
      <c r="J65" t="s">
        <v>4629</v>
      </c>
      <c r="K65" t="s">
        <v>12161</v>
      </c>
      <c r="L65" s="3" t="s">
        <v>12162</v>
      </c>
      <c r="M65" t="s">
        <v>12094</v>
      </c>
    </row>
    <row r="66" spans="1:13" x14ac:dyDescent="0.2">
      <c r="A66" t="s">
        <v>11071</v>
      </c>
      <c r="B66" s="6" t="s">
        <v>4648</v>
      </c>
      <c r="C66" t="s">
        <v>11073</v>
      </c>
      <c r="D66" t="s">
        <v>11072</v>
      </c>
      <c r="E66" t="s">
        <v>429</v>
      </c>
      <c r="F66" t="s">
        <v>3779</v>
      </c>
      <c r="G66" t="s">
        <v>10911</v>
      </c>
      <c r="H66">
        <v>7323</v>
      </c>
      <c r="I66">
        <v>6000</v>
      </c>
      <c r="J66" t="s">
        <v>4629</v>
      </c>
      <c r="K66" t="s">
        <v>12163</v>
      </c>
      <c r="L66" s="3" t="s">
        <v>12162</v>
      </c>
      <c r="M66" t="s">
        <v>12094</v>
      </c>
    </row>
    <row r="67" spans="1:13" x14ac:dyDescent="0.2">
      <c r="A67" t="s">
        <v>11075</v>
      </c>
      <c r="B67" s="6" t="s">
        <v>4696</v>
      </c>
      <c r="C67" t="s">
        <v>11077</v>
      </c>
      <c r="D67" t="s">
        <v>11076</v>
      </c>
      <c r="E67" t="s">
        <v>543</v>
      </c>
      <c r="F67" t="s">
        <v>3779</v>
      </c>
      <c r="G67" t="s">
        <v>10911</v>
      </c>
      <c r="H67">
        <v>4711</v>
      </c>
      <c r="I67">
        <v>6000</v>
      </c>
      <c r="J67" t="s">
        <v>4629</v>
      </c>
      <c r="K67" t="s">
        <v>12098</v>
      </c>
      <c r="L67" s="3" t="s">
        <v>12164</v>
      </c>
      <c r="M67" t="s">
        <v>12100</v>
      </c>
    </row>
    <row r="68" spans="1:13" x14ac:dyDescent="0.2">
      <c r="A68" t="s">
        <v>11079</v>
      </c>
      <c r="B68" s="6" t="s">
        <v>5070</v>
      </c>
      <c r="C68" t="s">
        <v>11081</v>
      </c>
      <c r="D68" t="s">
        <v>11080</v>
      </c>
      <c r="E68" t="s">
        <v>645</v>
      </c>
      <c r="F68" t="s">
        <v>3779</v>
      </c>
      <c r="G68" t="s">
        <v>10911</v>
      </c>
      <c r="H68">
        <v>8111</v>
      </c>
      <c r="I68">
        <v>6000</v>
      </c>
      <c r="J68" t="s">
        <v>4869</v>
      </c>
      <c r="K68" t="s">
        <v>12165</v>
      </c>
      <c r="L68" s="3" t="s">
        <v>12166</v>
      </c>
      <c r="M68" t="s">
        <v>12094</v>
      </c>
    </row>
    <row r="69" spans="1:13" x14ac:dyDescent="0.2">
      <c r="A69" t="s">
        <v>11083</v>
      </c>
      <c r="B69" s="6" t="s">
        <v>4845</v>
      </c>
      <c r="C69" t="s">
        <v>11085</v>
      </c>
      <c r="D69" t="s">
        <v>11084</v>
      </c>
      <c r="E69" t="s">
        <v>759</v>
      </c>
      <c r="F69" t="s">
        <v>3779</v>
      </c>
      <c r="G69" t="s">
        <v>10911</v>
      </c>
      <c r="H69">
        <v>7501</v>
      </c>
      <c r="I69">
        <v>6000</v>
      </c>
      <c r="J69" t="s">
        <v>4629</v>
      </c>
      <c r="K69" t="s">
        <v>12167</v>
      </c>
      <c r="L69" s="3" t="s">
        <v>12168</v>
      </c>
      <c r="M69" t="s">
        <v>12094</v>
      </c>
    </row>
    <row r="70" spans="1:13" x14ac:dyDescent="0.2">
      <c r="A70" t="s">
        <v>11087</v>
      </c>
      <c r="B70" s="6" t="s">
        <v>4897</v>
      </c>
      <c r="C70" t="s">
        <v>11089</v>
      </c>
      <c r="D70" t="s">
        <v>11088</v>
      </c>
      <c r="E70" t="s">
        <v>839</v>
      </c>
      <c r="F70" t="s">
        <v>3779</v>
      </c>
      <c r="G70" t="s">
        <v>10911</v>
      </c>
      <c r="H70">
        <v>12668</v>
      </c>
      <c r="I70">
        <v>12000</v>
      </c>
      <c r="J70" t="s">
        <v>4776</v>
      </c>
      <c r="K70" t="s">
        <v>12083</v>
      </c>
      <c r="L70" s="3" t="s">
        <v>12169</v>
      </c>
      <c r="M70" t="s">
        <v>12107</v>
      </c>
    </row>
    <row r="71" spans="1:13" x14ac:dyDescent="0.2">
      <c r="A71" t="s">
        <v>11091</v>
      </c>
      <c r="B71" s="6" t="s">
        <v>4877</v>
      </c>
      <c r="C71" t="s">
        <v>11093</v>
      </c>
      <c r="D71" t="s">
        <v>11092</v>
      </c>
      <c r="E71" t="s">
        <v>949</v>
      </c>
      <c r="F71" t="s">
        <v>3779</v>
      </c>
      <c r="G71" t="s">
        <v>10911</v>
      </c>
      <c r="H71">
        <v>15205</v>
      </c>
      <c r="I71">
        <v>6000</v>
      </c>
      <c r="J71" t="s">
        <v>4776</v>
      </c>
      <c r="K71" t="s">
        <v>12170</v>
      </c>
      <c r="L71" s="3" t="s">
        <v>12171</v>
      </c>
      <c r="M71" t="s">
        <v>12094</v>
      </c>
    </row>
    <row r="72" spans="1:13" x14ac:dyDescent="0.2">
      <c r="A72" t="s">
        <v>11095</v>
      </c>
      <c r="B72" s="6" t="s">
        <v>5202</v>
      </c>
      <c r="C72" t="s">
        <v>11097</v>
      </c>
      <c r="D72" t="s">
        <v>11096</v>
      </c>
      <c r="E72" t="s">
        <v>1054</v>
      </c>
      <c r="F72" t="s">
        <v>3779</v>
      </c>
      <c r="G72" t="s">
        <v>10911</v>
      </c>
      <c r="H72">
        <v>7316</v>
      </c>
      <c r="I72">
        <v>6000</v>
      </c>
      <c r="J72" t="s">
        <v>4842</v>
      </c>
      <c r="K72" t="s">
        <v>12172</v>
      </c>
      <c r="L72" s="3" t="s">
        <v>12173</v>
      </c>
      <c r="M72" t="s">
        <v>12094</v>
      </c>
    </row>
    <row r="73" spans="1:13" x14ac:dyDescent="0.2">
      <c r="A73" t="s">
        <v>11369</v>
      </c>
      <c r="B73" s="6" t="s">
        <v>4648</v>
      </c>
      <c r="C73" t="s">
        <v>11372</v>
      </c>
      <c r="D73" t="s">
        <v>11370</v>
      </c>
      <c r="E73" t="s">
        <v>123</v>
      </c>
      <c r="F73" t="s">
        <v>122</v>
      </c>
      <c r="G73" t="s">
        <v>11371</v>
      </c>
      <c r="H73">
        <v>6163</v>
      </c>
      <c r="I73">
        <v>6000</v>
      </c>
      <c r="J73" t="s">
        <v>4613</v>
      </c>
      <c r="K73" t="s">
        <v>12174</v>
      </c>
      <c r="L73" s="3" t="s">
        <v>12175</v>
      </c>
      <c r="M73" t="s">
        <v>12176</v>
      </c>
    </row>
    <row r="74" spans="1:13" x14ac:dyDescent="0.2">
      <c r="A74" t="s">
        <v>11376</v>
      </c>
      <c r="B74" s="6" t="s">
        <v>4729</v>
      </c>
      <c r="C74" t="s">
        <v>11378</v>
      </c>
      <c r="D74" t="s">
        <v>11377</v>
      </c>
      <c r="E74" t="s">
        <v>330</v>
      </c>
      <c r="F74" t="s">
        <v>122</v>
      </c>
      <c r="G74" t="s">
        <v>11371</v>
      </c>
      <c r="H74">
        <v>7227</v>
      </c>
      <c r="I74">
        <v>6000</v>
      </c>
      <c r="J74" t="s">
        <v>4641</v>
      </c>
      <c r="K74" t="s">
        <v>12095</v>
      </c>
      <c r="L74" s="3" t="s">
        <v>12177</v>
      </c>
      <c r="M74" t="s">
        <v>12176</v>
      </c>
    </row>
    <row r="75" spans="1:13" x14ac:dyDescent="0.2">
      <c r="A75" t="s">
        <v>11381</v>
      </c>
      <c r="B75" s="6" t="s">
        <v>4648</v>
      </c>
      <c r="C75" t="s">
        <v>11383</v>
      </c>
      <c r="D75" t="s">
        <v>11382</v>
      </c>
      <c r="E75" t="s">
        <v>429</v>
      </c>
      <c r="F75" t="s">
        <v>122</v>
      </c>
      <c r="G75" t="s">
        <v>11371</v>
      </c>
      <c r="H75">
        <v>6590</v>
      </c>
      <c r="I75">
        <v>6000</v>
      </c>
      <c r="J75" t="s">
        <v>4613</v>
      </c>
      <c r="K75" t="s">
        <v>12178</v>
      </c>
      <c r="L75" s="3" t="s">
        <v>12179</v>
      </c>
      <c r="M75" t="s">
        <v>12176</v>
      </c>
    </row>
    <row r="76" spans="1:13" x14ac:dyDescent="0.2">
      <c r="A76" t="s">
        <v>11386</v>
      </c>
      <c r="B76" s="6" t="s">
        <v>4633</v>
      </c>
      <c r="C76" t="s">
        <v>11388</v>
      </c>
      <c r="D76" t="s">
        <v>11387</v>
      </c>
      <c r="E76" t="s">
        <v>543</v>
      </c>
      <c r="F76" t="s">
        <v>122</v>
      </c>
      <c r="G76" t="s">
        <v>11371</v>
      </c>
      <c r="H76">
        <v>8895</v>
      </c>
      <c r="I76">
        <v>6000</v>
      </c>
      <c r="J76" t="s">
        <v>4608</v>
      </c>
      <c r="K76" t="s">
        <v>12180</v>
      </c>
      <c r="L76" s="3" t="s">
        <v>12181</v>
      </c>
      <c r="M76" t="s">
        <v>12176</v>
      </c>
    </row>
    <row r="77" spans="1:13" x14ac:dyDescent="0.2">
      <c r="A77" t="s">
        <v>11391</v>
      </c>
      <c r="B77" s="6" t="s">
        <v>5070</v>
      </c>
      <c r="C77" t="s">
        <v>11393</v>
      </c>
      <c r="D77" t="s">
        <v>11392</v>
      </c>
      <c r="E77" t="s">
        <v>645</v>
      </c>
      <c r="F77" t="s">
        <v>122</v>
      </c>
      <c r="G77" t="s">
        <v>11371</v>
      </c>
      <c r="H77">
        <v>7299</v>
      </c>
      <c r="I77">
        <v>6000</v>
      </c>
      <c r="J77" t="s">
        <v>4693</v>
      </c>
      <c r="K77" t="s">
        <v>12101</v>
      </c>
      <c r="L77" s="3" t="s">
        <v>12182</v>
      </c>
      <c r="M77" t="s">
        <v>12176</v>
      </c>
    </row>
    <row r="78" spans="1:13" x14ac:dyDescent="0.2">
      <c r="A78" t="s">
        <v>11396</v>
      </c>
      <c r="B78" s="6" t="s">
        <v>4845</v>
      </c>
      <c r="C78" t="s">
        <v>11398</v>
      </c>
      <c r="D78" t="s">
        <v>11397</v>
      </c>
      <c r="E78" t="s">
        <v>759</v>
      </c>
      <c r="F78" t="s">
        <v>122</v>
      </c>
      <c r="G78" t="s">
        <v>11371</v>
      </c>
      <c r="H78">
        <v>6750</v>
      </c>
      <c r="I78">
        <v>6000</v>
      </c>
      <c r="J78" t="s">
        <v>4608</v>
      </c>
      <c r="K78" t="s">
        <v>12183</v>
      </c>
      <c r="L78" s="3" t="s">
        <v>12184</v>
      </c>
      <c r="M78" t="s">
        <v>12176</v>
      </c>
    </row>
    <row r="79" spans="1:13" x14ac:dyDescent="0.2">
      <c r="A79" t="s">
        <v>11401</v>
      </c>
      <c r="B79" s="6" t="s">
        <v>4692</v>
      </c>
      <c r="C79" t="s">
        <v>11403</v>
      </c>
      <c r="D79" t="s">
        <v>11402</v>
      </c>
      <c r="E79" t="s">
        <v>839</v>
      </c>
      <c r="F79" t="s">
        <v>122</v>
      </c>
      <c r="G79" t="s">
        <v>11371</v>
      </c>
      <c r="H79">
        <v>7635</v>
      </c>
      <c r="I79">
        <v>6000</v>
      </c>
      <c r="J79" t="s">
        <v>4668</v>
      </c>
      <c r="K79" t="s">
        <v>12185</v>
      </c>
      <c r="L79" s="3" t="s">
        <v>12186</v>
      </c>
      <c r="M79" t="s">
        <v>12176</v>
      </c>
    </row>
    <row r="80" spans="1:13" x14ac:dyDescent="0.2">
      <c r="A80" t="s">
        <v>11406</v>
      </c>
      <c r="B80" s="6" t="s">
        <v>4692</v>
      </c>
      <c r="C80" t="s">
        <v>11408</v>
      </c>
      <c r="D80" t="s">
        <v>11407</v>
      </c>
      <c r="E80" t="s">
        <v>949</v>
      </c>
      <c r="F80" t="s">
        <v>122</v>
      </c>
      <c r="G80" t="s">
        <v>11371</v>
      </c>
      <c r="H80">
        <v>13684</v>
      </c>
      <c r="I80">
        <v>6000</v>
      </c>
      <c r="J80" t="s">
        <v>4668</v>
      </c>
      <c r="K80" t="s">
        <v>12187</v>
      </c>
      <c r="L80" s="3" t="s">
        <v>12186</v>
      </c>
      <c r="M80" t="s">
        <v>12176</v>
      </c>
    </row>
    <row r="81" spans="1:13" x14ac:dyDescent="0.2">
      <c r="A81" t="s">
        <v>11411</v>
      </c>
      <c r="B81" s="6" t="s">
        <v>4931</v>
      </c>
      <c r="C81" t="s">
        <v>11413</v>
      </c>
      <c r="D81" t="s">
        <v>11412</v>
      </c>
      <c r="E81" t="s">
        <v>1054</v>
      </c>
      <c r="F81" t="s">
        <v>122</v>
      </c>
      <c r="G81" t="s">
        <v>11371</v>
      </c>
      <c r="H81">
        <v>7316</v>
      </c>
      <c r="I81">
        <v>6000</v>
      </c>
      <c r="J81" t="s">
        <v>4842</v>
      </c>
      <c r="K81" t="s">
        <v>12188</v>
      </c>
      <c r="L81" s="3" t="s">
        <v>12189</v>
      </c>
      <c r="M81" t="s">
        <v>12176</v>
      </c>
    </row>
    <row r="82" spans="1:13" x14ac:dyDescent="0.2">
      <c r="A82" t="s">
        <v>11416</v>
      </c>
      <c r="B82" s="6" t="s">
        <v>4659</v>
      </c>
      <c r="C82" t="s">
        <v>11418</v>
      </c>
      <c r="D82" t="s">
        <v>11417</v>
      </c>
      <c r="E82" t="s">
        <v>123</v>
      </c>
      <c r="F82" t="s">
        <v>1103</v>
      </c>
      <c r="G82" t="s">
        <v>11371</v>
      </c>
      <c r="H82">
        <v>6418</v>
      </c>
      <c r="I82">
        <v>6000</v>
      </c>
      <c r="J82" t="s">
        <v>4629</v>
      </c>
      <c r="K82" t="s">
        <v>12190</v>
      </c>
      <c r="L82" s="3" t="s">
        <v>12191</v>
      </c>
      <c r="M82" t="s">
        <v>12176</v>
      </c>
    </row>
    <row r="83" spans="1:13" x14ac:dyDescent="0.2">
      <c r="A83" t="s">
        <v>11421</v>
      </c>
      <c r="B83" s="6" t="s">
        <v>4729</v>
      </c>
      <c r="C83" t="s">
        <v>11423</v>
      </c>
      <c r="D83" t="s">
        <v>11422</v>
      </c>
      <c r="E83" t="s">
        <v>330</v>
      </c>
      <c r="F83" t="s">
        <v>1103</v>
      </c>
      <c r="G83" t="s">
        <v>11371</v>
      </c>
      <c r="H83">
        <v>7227</v>
      </c>
      <c r="I83">
        <v>6000</v>
      </c>
      <c r="J83" t="s">
        <v>4641</v>
      </c>
      <c r="K83" t="s">
        <v>12192</v>
      </c>
      <c r="L83" s="3" t="s">
        <v>12193</v>
      </c>
      <c r="M83" t="s">
        <v>12176</v>
      </c>
    </row>
    <row r="84" spans="1:13" x14ac:dyDescent="0.2">
      <c r="A84" t="s">
        <v>11426</v>
      </c>
      <c r="B84" s="6" t="s">
        <v>4648</v>
      </c>
      <c r="C84" t="s">
        <v>11428</v>
      </c>
      <c r="D84" t="s">
        <v>11427</v>
      </c>
      <c r="E84" t="s">
        <v>429</v>
      </c>
      <c r="F84" t="s">
        <v>1103</v>
      </c>
      <c r="G84" t="s">
        <v>11371</v>
      </c>
      <c r="H84">
        <v>6590</v>
      </c>
      <c r="I84">
        <v>6000</v>
      </c>
      <c r="J84" t="s">
        <v>4613</v>
      </c>
      <c r="K84" t="s">
        <v>12194</v>
      </c>
      <c r="L84" s="3" t="s">
        <v>12195</v>
      </c>
      <c r="M84" t="s">
        <v>12176</v>
      </c>
    </row>
    <row r="85" spans="1:13" x14ac:dyDescent="0.2">
      <c r="A85" t="s">
        <v>11431</v>
      </c>
      <c r="B85" s="6" t="s">
        <v>4648</v>
      </c>
      <c r="C85" t="s">
        <v>11433</v>
      </c>
      <c r="D85" t="s">
        <v>11432</v>
      </c>
      <c r="E85" t="s">
        <v>543</v>
      </c>
      <c r="F85" t="s">
        <v>1103</v>
      </c>
      <c r="G85" t="s">
        <v>11371</v>
      </c>
      <c r="H85">
        <v>8260</v>
      </c>
      <c r="I85">
        <v>6000</v>
      </c>
      <c r="J85" t="s">
        <v>4613</v>
      </c>
      <c r="K85" t="s">
        <v>12196</v>
      </c>
      <c r="L85" s="3" t="s">
        <v>12197</v>
      </c>
      <c r="M85" t="s">
        <v>12176</v>
      </c>
    </row>
    <row r="86" spans="1:13" x14ac:dyDescent="0.2">
      <c r="A86" t="s">
        <v>11436</v>
      </c>
      <c r="B86" s="6" t="s">
        <v>5653</v>
      </c>
      <c r="C86" t="s">
        <v>11438</v>
      </c>
      <c r="D86" t="s">
        <v>11437</v>
      </c>
      <c r="E86" t="s">
        <v>645</v>
      </c>
      <c r="F86" t="s">
        <v>1103</v>
      </c>
      <c r="G86" t="s">
        <v>11371</v>
      </c>
      <c r="H86">
        <v>6762</v>
      </c>
      <c r="I86">
        <v>6000</v>
      </c>
      <c r="J86" t="s">
        <v>4608</v>
      </c>
      <c r="K86" t="s">
        <v>12198</v>
      </c>
      <c r="L86" s="3" t="s">
        <v>12199</v>
      </c>
      <c r="M86" t="s">
        <v>12176</v>
      </c>
    </row>
    <row r="87" spans="1:13" x14ac:dyDescent="0.2">
      <c r="A87" t="s">
        <v>11441</v>
      </c>
      <c r="B87" s="6" t="s">
        <v>5138</v>
      </c>
      <c r="C87" t="s">
        <v>11443</v>
      </c>
      <c r="D87" t="s">
        <v>11442</v>
      </c>
      <c r="E87" t="s">
        <v>759</v>
      </c>
      <c r="F87" t="s">
        <v>1103</v>
      </c>
      <c r="G87" t="s">
        <v>11371</v>
      </c>
      <c r="H87">
        <v>7267</v>
      </c>
      <c r="I87">
        <v>6000</v>
      </c>
      <c r="J87" t="s">
        <v>4723</v>
      </c>
      <c r="K87" t="s">
        <v>12200</v>
      </c>
      <c r="L87" s="3" t="s">
        <v>12201</v>
      </c>
      <c r="M87" t="s">
        <v>12176</v>
      </c>
    </row>
    <row r="88" spans="1:13" x14ac:dyDescent="0.2">
      <c r="A88" t="s">
        <v>11446</v>
      </c>
      <c r="B88" s="6" t="s">
        <v>4692</v>
      </c>
      <c r="C88" t="s">
        <v>11448</v>
      </c>
      <c r="D88" t="s">
        <v>11447</v>
      </c>
      <c r="E88" t="s">
        <v>839</v>
      </c>
      <c r="F88" t="s">
        <v>1103</v>
      </c>
      <c r="G88" t="s">
        <v>11371</v>
      </c>
      <c r="H88">
        <v>7635</v>
      </c>
      <c r="I88">
        <v>6000</v>
      </c>
      <c r="J88" t="s">
        <v>4668</v>
      </c>
      <c r="K88" t="s">
        <v>12202</v>
      </c>
      <c r="L88" s="3" t="s">
        <v>12203</v>
      </c>
      <c r="M88" t="s">
        <v>12176</v>
      </c>
    </row>
    <row r="89" spans="1:13" x14ac:dyDescent="0.2">
      <c r="A89" t="s">
        <v>11451</v>
      </c>
      <c r="B89" s="6" t="s">
        <v>4692</v>
      </c>
      <c r="C89" t="s">
        <v>11453</v>
      </c>
      <c r="D89" t="s">
        <v>11452</v>
      </c>
      <c r="E89" t="s">
        <v>949</v>
      </c>
      <c r="F89" t="s">
        <v>1103</v>
      </c>
      <c r="G89" t="s">
        <v>11371</v>
      </c>
      <c r="H89">
        <v>13684</v>
      </c>
      <c r="I89">
        <v>6000</v>
      </c>
      <c r="J89" t="s">
        <v>4668</v>
      </c>
      <c r="K89" t="s">
        <v>12204</v>
      </c>
      <c r="L89" s="3" t="s">
        <v>12203</v>
      </c>
      <c r="M89" t="s">
        <v>12176</v>
      </c>
    </row>
    <row r="90" spans="1:13" x14ac:dyDescent="0.2">
      <c r="A90" t="s">
        <v>11456</v>
      </c>
      <c r="B90" s="6" t="s">
        <v>4931</v>
      </c>
      <c r="C90" t="s">
        <v>11458</v>
      </c>
      <c r="D90" t="s">
        <v>11457</v>
      </c>
      <c r="E90" t="s">
        <v>1054</v>
      </c>
      <c r="F90" t="s">
        <v>1103</v>
      </c>
      <c r="G90" t="s">
        <v>11371</v>
      </c>
      <c r="H90">
        <v>7316</v>
      </c>
      <c r="I90">
        <v>6000</v>
      </c>
      <c r="J90" t="s">
        <v>4842</v>
      </c>
      <c r="K90" t="s">
        <v>12205</v>
      </c>
      <c r="L90" s="3" t="s">
        <v>12206</v>
      </c>
      <c r="M90" t="s">
        <v>12176</v>
      </c>
    </row>
    <row r="91" spans="1:13" x14ac:dyDescent="0.2">
      <c r="A91" t="s">
        <v>11460</v>
      </c>
      <c r="B91" s="6" t="s">
        <v>4659</v>
      </c>
      <c r="C91" t="s">
        <v>11462</v>
      </c>
      <c r="D91" t="s">
        <v>11461</v>
      </c>
      <c r="E91" t="s">
        <v>123</v>
      </c>
      <c r="F91" t="s">
        <v>1947</v>
      </c>
      <c r="G91" t="s">
        <v>11371</v>
      </c>
      <c r="H91">
        <v>6418</v>
      </c>
      <c r="I91">
        <v>6000</v>
      </c>
      <c r="J91" t="s">
        <v>4629</v>
      </c>
      <c r="K91" t="s">
        <v>12207</v>
      </c>
      <c r="L91" s="3" t="s">
        <v>12208</v>
      </c>
      <c r="M91" t="s">
        <v>12176</v>
      </c>
    </row>
    <row r="92" spans="1:13" x14ac:dyDescent="0.2">
      <c r="A92" t="s">
        <v>11465</v>
      </c>
      <c r="B92" s="6" t="s">
        <v>4659</v>
      </c>
      <c r="C92" t="s">
        <v>11467</v>
      </c>
      <c r="D92" t="s">
        <v>11466</v>
      </c>
      <c r="E92" t="s">
        <v>330</v>
      </c>
      <c r="F92" t="s">
        <v>1947</v>
      </c>
      <c r="G92" t="s">
        <v>11371</v>
      </c>
      <c r="H92">
        <v>7582</v>
      </c>
      <c r="I92">
        <v>6000</v>
      </c>
      <c r="J92" t="s">
        <v>4629</v>
      </c>
      <c r="K92" t="s">
        <v>12209</v>
      </c>
      <c r="L92" s="3" t="s">
        <v>12210</v>
      </c>
      <c r="M92" t="s">
        <v>12176</v>
      </c>
    </row>
    <row r="93" spans="1:13" x14ac:dyDescent="0.2">
      <c r="A93" t="s">
        <v>11470</v>
      </c>
      <c r="B93" s="6" t="s">
        <v>4648</v>
      </c>
      <c r="C93" t="s">
        <v>11472</v>
      </c>
      <c r="D93" t="s">
        <v>11471</v>
      </c>
      <c r="E93" t="s">
        <v>429</v>
      </c>
      <c r="F93" t="s">
        <v>1947</v>
      </c>
      <c r="G93" t="s">
        <v>11371</v>
      </c>
      <c r="H93">
        <v>6145</v>
      </c>
      <c r="I93">
        <v>6000</v>
      </c>
      <c r="J93" t="s">
        <v>4608</v>
      </c>
      <c r="K93" t="s">
        <v>12135</v>
      </c>
      <c r="L93" s="3" t="s">
        <v>12211</v>
      </c>
      <c r="M93" t="s">
        <v>12176</v>
      </c>
    </row>
    <row r="94" spans="1:13" x14ac:dyDescent="0.2">
      <c r="A94" t="s">
        <v>11475</v>
      </c>
      <c r="B94" s="6" t="s">
        <v>4633</v>
      </c>
      <c r="C94" t="s">
        <v>11477</v>
      </c>
      <c r="D94" t="s">
        <v>11476</v>
      </c>
      <c r="E94" t="s">
        <v>543</v>
      </c>
      <c r="F94" t="s">
        <v>1947</v>
      </c>
      <c r="G94" t="s">
        <v>11371</v>
      </c>
      <c r="H94">
        <v>8895</v>
      </c>
      <c r="I94">
        <v>6000</v>
      </c>
      <c r="J94" t="s">
        <v>4608</v>
      </c>
      <c r="K94" t="s">
        <v>12137</v>
      </c>
      <c r="L94" s="3" t="s">
        <v>12212</v>
      </c>
      <c r="M94" t="s">
        <v>12176</v>
      </c>
    </row>
    <row r="95" spans="1:13" x14ac:dyDescent="0.2">
      <c r="A95" t="s">
        <v>11480</v>
      </c>
      <c r="B95" s="6" t="s">
        <v>4811</v>
      </c>
      <c r="C95" t="s">
        <v>11482</v>
      </c>
      <c r="D95" t="s">
        <v>11481</v>
      </c>
      <c r="E95" t="s">
        <v>645</v>
      </c>
      <c r="F95" t="s">
        <v>1947</v>
      </c>
      <c r="G95" t="s">
        <v>11371</v>
      </c>
      <c r="H95">
        <v>6762</v>
      </c>
      <c r="I95">
        <v>6000</v>
      </c>
      <c r="J95" t="s">
        <v>5440</v>
      </c>
      <c r="K95" t="s">
        <v>12213</v>
      </c>
      <c r="L95" s="3" t="s">
        <v>12214</v>
      </c>
      <c r="M95" t="s">
        <v>12176</v>
      </c>
    </row>
    <row r="96" spans="1:13" x14ac:dyDescent="0.2">
      <c r="A96" t="s">
        <v>11485</v>
      </c>
      <c r="B96" s="6" t="s">
        <v>4845</v>
      </c>
      <c r="C96" t="s">
        <v>11487</v>
      </c>
      <c r="D96" t="s">
        <v>11486</v>
      </c>
      <c r="E96" t="s">
        <v>759</v>
      </c>
      <c r="F96" t="s">
        <v>1947</v>
      </c>
      <c r="G96" t="s">
        <v>11371</v>
      </c>
      <c r="H96">
        <v>6750</v>
      </c>
      <c r="I96">
        <v>6000</v>
      </c>
      <c r="J96" t="s">
        <v>4629</v>
      </c>
      <c r="K96" t="s">
        <v>12215</v>
      </c>
      <c r="L96" s="3" t="s">
        <v>12216</v>
      </c>
      <c r="M96" t="s">
        <v>12176</v>
      </c>
    </row>
    <row r="97" spans="1:13" x14ac:dyDescent="0.2">
      <c r="A97" t="s">
        <v>11490</v>
      </c>
      <c r="B97" s="6" t="s">
        <v>4692</v>
      </c>
      <c r="C97" t="s">
        <v>11491</v>
      </c>
      <c r="D97" t="s">
        <v>9273</v>
      </c>
      <c r="E97" t="s">
        <v>839</v>
      </c>
      <c r="F97" t="s">
        <v>1947</v>
      </c>
      <c r="G97" t="s">
        <v>11371</v>
      </c>
      <c r="H97">
        <v>7635</v>
      </c>
      <c r="I97">
        <v>6000</v>
      </c>
      <c r="J97" t="s">
        <v>4668</v>
      </c>
      <c r="K97" t="s">
        <v>12217</v>
      </c>
      <c r="L97" s="3" t="s">
        <v>12218</v>
      </c>
      <c r="M97" t="s">
        <v>12176</v>
      </c>
    </row>
    <row r="98" spans="1:13" x14ac:dyDescent="0.2">
      <c r="A98" t="s">
        <v>11494</v>
      </c>
      <c r="B98" s="6" t="s">
        <v>4692</v>
      </c>
      <c r="C98" t="s">
        <v>11496</v>
      </c>
      <c r="D98" t="s">
        <v>11495</v>
      </c>
      <c r="E98" t="s">
        <v>949</v>
      </c>
      <c r="F98" t="s">
        <v>1947</v>
      </c>
      <c r="G98" t="s">
        <v>11371</v>
      </c>
      <c r="H98">
        <v>14186</v>
      </c>
      <c r="I98">
        <v>6000</v>
      </c>
      <c r="J98" t="s">
        <v>4668</v>
      </c>
      <c r="K98" t="s">
        <v>12219</v>
      </c>
      <c r="L98" s="3" t="s">
        <v>12218</v>
      </c>
      <c r="M98" t="s">
        <v>12176</v>
      </c>
    </row>
    <row r="99" spans="1:13" x14ac:dyDescent="0.2">
      <c r="A99" t="s">
        <v>11499</v>
      </c>
      <c r="B99" s="6" t="s">
        <v>4931</v>
      </c>
      <c r="C99" t="s">
        <v>11501</v>
      </c>
      <c r="D99" t="s">
        <v>11500</v>
      </c>
      <c r="E99" t="s">
        <v>1054</v>
      </c>
      <c r="F99" t="s">
        <v>1947</v>
      </c>
      <c r="G99" t="s">
        <v>11371</v>
      </c>
      <c r="H99">
        <v>7316</v>
      </c>
      <c r="I99">
        <v>6000</v>
      </c>
      <c r="J99" t="s">
        <v>4842</v>
      </c>
      <c r="K99" t="s">
        <v>12220</v>
      </c>
      <c r="L99" s="3" t="s">
        <v>12221</v>
      </c>
      <c r="M99" t="s">
        <v>12176</v>
      </c>
    </row>
    <row r="100" spans="1:13" x14ac:dyDescent="0.2">
      <c r="A100" t="s">
        <v>11503</v>
      </c>
      <c r="B100" s="6" t="s">
        <v>4659</v>
      </c>
      <c r="C100" t="s">
        <v>11505</v>
      </c>
      <c r="D100" t="s">
        <v>11504</v>
      </c>
      <c r="E100" t="s">
        <v>123</v>
      </c>
      <c r="F100" t="s">
        <v>2837</v>
      </c>
      <c r="G100" t="s">
        <v>11371</v>
      </c>
      <c r="H100">
        <v>6418</v>
      </c>
      <c r="I100">
        <v>6000</v>
      </c>
      <c r="J100" t="s">
        <v>4629</v>
      </c>
      <c r="K100" t="s">
        <v>12222</v>
      </c>
      <c r="L100" s="3" t="s">
        <v>12223</v>
      </c>
      <c r="M100" t="s">
        <v>12176</v>
      </c>
    </row>
    <row r="101" spans="1:13" x14ac:dyDescent="0.2">
      <c r="A101" t="s">
        <v>11508</v>
      </c>
      <c r="B101" s="6" t="s">
        <v>4648</v>
      </c>
      <c r="C101" t="s">
        <v>11510</v>
      </c>
      <c r="D101" t="s">
        <v>11509</v>
      </c>
      <c r="E101" t="s">
        <v>330</v>
      </c>
      <c r="F101" t="s">
        <v>2837</v>
      </c>
      <c r="G101" t="s">
        <v>11371</v>
      </c>
      <c r="H101">
        <v>6925</v>
      </c>
      <c r="I101">
        <v>6000</v>
      </c>
      <c r="J101" t="s">
        <v>4629</v>
      </c>
      <c r="K101" t="s">
        <v>12224</v>
      </c>
      <c r="L101" s="3" t="s">
        <v>12225</v>
      </c>
      <c r="M101" t="s">
        <v>12176</v>
      </c>
    </row>
    <row r="102" spans="1:13" x14ac:dyDescent="0.2">
      <c r="A102" t="s">
        <v>11513</v>
      </c>
      <c r="B102" s="6" t="s">
        <v>4648</v>
      </c>
      <c r="C102" t="s">
        <v>11515</v>
      </c>
      <c r="D102" t="s">
        <v>11514</v>
      </c>
      <c r="E102" t="s">
        <v>429</v>
      </c>
      <c r="F102" t="s">
        <v>2837</v>
      </c>
      <c r="G102" t="s">
        <v>11371</v>
      </c>
      <c r="H102">
        <v>6145</v>
      </c>
      <c r="I102">
        <v>6000</v>
      </c>
      <c r="J102" t="s">
        <v>4608</v>
      </c>
      <c r="K102" t="s">
        <v>12226</v>
      </c>
      <c r="L102" s="3" t="s">
        <v>12225</v>
      </c>
      <c r="M102" t="s">
        <v>12176</v>
      </c>
    </row>
    <row r="103" spans="1:13" x14ac:dyDescent="0.2">
      <c r="A103" t="s">
        <v>11518</v>
      </c>
      <c r="B103" s="6" t="s">
        <v>4648</v>
      </c>
      <c r="C103" t="s">
        <v>11520</v>
      </c>
      <c r="D103" t="s">
        <v>11519</v>
      </c>
      <c r="E103" t="s">
        <v>543</v>
      </c>
      <c r="F103" t="s">
        <v>2837</v>
      </c>
      <c r="G103" t="s">
        <v>11371</v>
      </c>
      <c r="H103">
        <v>8260</v>
      </c>
      <c r="I103">
        <v>6000</v>
      </c>
      <c r="J103" t="s">
        <v>4613</v>
      </c>
      <c r="K103" t="s">
        <v>12227</v>
      </c>
      <c r="L103" s="3" t="s">
        <v>12225</v>
      </c>
      <c r="M103" t="s">
        <v>12176</v>
      </c>
    </row>
    <row r="104" spans="1:13" x14ac:dyDescent="0.2">
      <c r="A104" t="s">
        <v>11523</v>
      </c>
      <c r="B104" s="6" t="s">
        <v>5653</v>
      </c>
      <c r="C104" t="s">
        <v>11525</v>
      </c>
      <c r="D104" t="s">
        <v>11524</v>
      </c>
      <c r="E104" t="s">
        <v>645</v>
      </c>
      <c r="F104" t="s">
        <v>2837</v>
      </c>
      <c r="G104" t="s">
        <v>11371</v>
      </c>
      <c r="H104">
        <v>6762</v>
      </c>
      <c r="I104">
        <v>6000</v>
      </c>
      <c r="J104" t="s">
        <v>4608</v>
      </c>
      <c r="K104" t="s">
        <v>12228</v>
      </c>
      <c r="L104" s="3" t="s">
        <v>12229</v>
      </c>
      <c r="M104" t="s">
        <v>12176</v>
      </c>
    </row>
    <row r="105" spans="1:13" x14ac:dyDescent="0.2">
      <c r="A105" t="s">
        <v>11528</v>
      </c>
      <c r="B105" s="6" t="s">
        <v>5138</v>
      </c>
      <c r="C105" t="s">
        <v>11530</v>
      </c>
      <c r="D105" t="s">
        <v>11529</v>
      </c>
      <c r="E105" t="s">
        <v>759</v>
      </c>
      <c r="F105" t="s">
        <v>2837</v>
      </c>
      <c r="G105" t="s">
        <v>11371</v>
      </c>
      <c r="H105">
        <v>7267</v>
      </c>
      <c r="I105">
        <v>6000</v>
      </c>
      <c r="J105" t="s">
        <v>4723</v>
      </c>
      <c r="K105" t="s">
        <v>12230</v>
      </c>
      <c r="L105" s="3" t="s">
        <v>12231</v>
      </c>
      <c r="M105" t="s">
        <v>12176</v>
      </c>
    </row>
    <row r="106" spans="1:13" x14ac:dyDescent="0.2">
      <c r="A106" t="s">
        <v>11533</v>
      </c>
      <c r="B106" s="6" t="s">
        <v>4852</v>
      </c>
      <c r="C106" t="s">
        <v>11535</v>
      </c>
      <c r="D106" t="s">
        <v>11534</v>
      </c>
      <c r="E106" t="s">
        <v>839</v>
      </c>
      <c r="F106" t="s">
        <v>2837</v>
      </c>
      <c r="G106" t="s">
        <v>11371</v>
      </c>
      <c r="H106">
        <v>7881</v>
      </c>
      <c r="I106">
        <v>6000</v>
      </c>
      <c r="J106" t="s">
        <v>4629</v>
      </c>
      <c r="K106" t="s">
        <v>12154</v>
      </c>
      <c r="L106" s="3" t="s">
        <v>12232</v>
      </c>
      <c r="M106" t="s">
        <v>12176</v>
      </c>
    </row>
    <row r="107" spans="1:13" x14ac:dyDescent="0.2">
      <c r="A107" t="s">
        <v>11538</v>
      </c>
      <c r="B107" s="6" t="s">
        <v>4877</v>
      </c>
      <c r="C107" t="s">
        <v>11540</v>
      </c>
      <c r="D107" t="s">
        <v>11539</v>
      </c>
      <c r="E107" t="s">
        <v>949</v>
      </c>
      <c r="F107" t="s">
        <v>2837</v>
      </c>
      <c r="G107" t="s">
        <v>11371</v>
      </c>
      <c r="H107">
        <v>13684</v>
      </c>
      <c r="I107">
        <v>6000</v>
      </c>
      <c r="J107" t="s">
        <v>4629</v>
      </c>
      <c r="K107" t="s">
        <v>12156</v>
      </c>
      <c r="L107" s="3" t="s">
        <v>12233</v>
      </c>
      <c r="M107" t="s">
        <v>12176</v>
      </c>
    </row>
    <row r="108" spans="1:13" x14ac:dyDescent="0.2">
      <c r="A108" t="s">
        <v>11543</v>
      </c>
      <c r="B108" s="6" t="s">
        <v>6055</v>
      </c>
      <c r="C108" t="s">
        <v>11545</v>
      </c>
      <c r="D108" t="s">
        <v>11544</v>
      </c>
      <c r="E108" t="s">
        <v>1054</v>
      </c>
      <c r="F108" t="s">
        <v>2837</v>
      </c>
      <c r="G108" t="s">
        <v>11371</v>
      </c>
      <c r="H108">
        <v>8779</v>
      </c>
      <c r="I108">
        <v>6000</v>
      </c>
      <c r="J108" t="s">
        <v>4842</v>
      </c>
      <c r="K108" t="s">
        <v>12234</v>
      </c>
      <c r="L108" s="3" t="s">
        <v>12235</v>
      </c>
      <c r="M108" t="s">
        <v>12176</v>
      </c>
    </row>
    <row r="109" spans="1:13" x14ac:dyDescent="0.2">
      <c r="A109" t="s">
        <v>11547</v>
      </c>
      <c r="B109" s="6" t="s">
        <v>4648</v>
      </c>
      <c r="C109" t="s">
        <v>11549</v>
      </c>
      <c r="D109" t="s">
        <v>11548</v>
      </c>
      <c r="E109" t="s">
        <v>123</v>
      </c>
      <c r="F109" t="s">
        <v>3779</v>
      </c>
      <c r="G109" t="s">
        <v>11371</v>
      </c>
      <c r="H109">
        <v>6163</v>
      </c>
      <c r="I109">
        <v>6000</v>
      </c>
      <c r="J109" t="s">
        <v>4613</v>
      </c>
      <c r="K109" t="s">
        <v>12236</v>
      </c>
      <c r="L109" s="3" t="s">
        <v>12237</v>
      </c>
      <c r="M109" t="s">
        <v>12176</v>
      </c>
    </row>
    <row r="110" spans="1:13" x14ac:dyDescent="0.2">
      <c r="A110" t="s">
        <v>11552</v>
      </c>
      <c r="B110" s="6" t="s">
        <v>4648</v>
      </c>
      <c r="C110" t="s">
        <v>11554</v>
      </c>
      <c r="D110" t="s">
        <v>11553</v>
      </c>
      <c r="E110" t="s">
        <v>330</v>
      </c>
      <c r="F110" t="s">
        <v>3779</v>
      </c>
      <c r="G110" t="s">
        <v>11371</v>
      </c>
      <c r="H110">
        <v>6925</v>
      </c>
      <c r="I110">
        <v>6000</v>
      </c>
      <c r="J110" t="s">
        <v>4629</v>
      </c>
      <c r="K110" t="s">
        <v>12161</v>
      </c>
      <c r="L110" s="3" t="s">
        <v>12237</v>
      </c>
      <c r="M110" t="s">
        <v>12176</v>
      </c>
    </row>
    <row r="111" spans="1:13" x14ac:dyDescent="0.2">
      <c r="A111" t="s">
        <v>11557</v>
      </c>
      <c r="B111" s="6" t="s">
        <v>4659</v>
      </c>
      <c r="C111" t="s">
        <v>11559</v>
      </c>
      <c r="D111" t="s">
        <v>11558</v>
      </c>
      <c r="E111" t="s">
        <v>429</v>
      </c>
      <c r="F111" t="s">
        <v>3779</v>
      </c>
      <c r="G111" t="s">
        <v>11371</v>
      </c>
      <c r="H111">
        <v>6590</v>
      </c>
      <c r="I111">
        <v>6000</v>
      </c>
      <c r="J111" t="s">
        <v>4618</v>
      </c>
      <c r="K111" t="s">
        <v>12238</v>
      </c>
      <c r="L111" s="3" t="s">
        <v>12239</v>
      </c>
      <c r="M111" t="s">
        <v>12176</v>
      </c>
    </row>
    <row r="112" spans="1:13" x14ac:dyDescent="0.2">
      <c r="A112" t="s">
        <v>11562</v>
      </c>
      <c r="B112" s="6" t="s">
        <v>4633</v>
      </c>
      <c r="C112" t="s">
        <v>11564</v>
      </c>
      <c r="D112" t="s">
        <v>11563</v>
      </c>
      <c r="E112" t="s">
        <v>543</v>
      </c>
      <c r="F112" t="s">
        <v>3779</v>
      </c>
      <c r="G112" t="s">
        <v>11371</v>
      </c>
      <c r="H112">
        <v>8895</v>
      </c>
      <c r="I112">
        <v>6000</v>
      </c>
      <c r="J112" t="s">
        <v>4608</v>
      </c>
      <c r="K112" t="s">
        <v>12240</v>
      </c>
      <c r="L112" s="3" t="s">
        <v>12241</v>
      </c>
      <c r="M112" t="s">
        <v>12176</v>
      </c>
    </row>
    <row r="113" spans="1:13" x14ac:dyDescent="0.2">
      <c r="A113" t="s">
        <v>11567</v>
      </c>
      <c r="B113" s="6" t="s">
        <v>5070</v>
      </c>
      <c r="C113" t="s">
        <v>11569</v>
      </c>
      <c r="D113" t="s">
        <v>11568</v>
      </c>
      <c r="E113" t="s">
        <v>645</v>
      </c>
      <c r="F113" t="s">
        <v>3779</v>
      </c>
      <c r="G113" t="s">
        <v>11371</v>
      </c>
      <c r="H113">
        <v>7299</v>
      </c>
      <c r="I113">
        <v>6000</v>
      </c>
      <c r="J113" t="s">
        <v>4693</v>
      </c>
      <c r="K113" t="s">
        <v>12165</v>
      </c>
      <c r="L113" s="3" t="s">
        <v>12242</v>
      </c>
      <c r="M113" t="s">
        <v>12176</v>
      </c>
    </row>
    <row r="114" spans="1:13" x14ac:dyDescent="0.2">
      <c r="A114" t="s">
        <v>11572</v>
      </c>
      <c r="B114" s="6" t="s">
        <v>4841</v>
      </c>
      <c r="C114" t="s">
        <v>11574</v>
      </c>
      <c r="D114" t="s">
        <v>11573</v>
      </c>
      <c r="E114" t="s">
        <v>759</v>
      </c>
      <c r="F114" t="s">
        <v>3779</v>
      </c>
      <c r="G114" t="s">
        <v>11371</v>
      </c>
      <c r="H114">
        <v>6750</v>
      </c>
      <c r="I114">
        <v>6000</v>
      </c>
      <c r="J114" t="s">
        <v>4842</v>
      </c>
      <c r="K114" t="s">
        <v>12243</v>
      </c>
      <c r="L114" s="3" t="s">
        <v>12244</v>
      </c>
      <c r="M114" t="s">
        <v>12176</v>
      </c>
    </row>
    <row r="115" spans="1:13" x14ac:dyDescent="0.2">
      <c r="A115" t="s">
        <v>11577</v>
      </c>
      <c r="B115" s="6" t="s">
        <v>4877</v>
      </c>
      <c r="C115" t="s">
        <v>11579</v>
      </c>
      <c r="D115" t="s">
        <v>11578</v>
      </c>
      <c r="E115" t="s">
        <v>839</v>
      </c>
      <c r="F115" t="s">
        <v>3779</v>
      </c>
      <c r="G115" t="s">
        <v>11371</v>
      </c>
      <c r="H115">
        <v>7635</v>
      </c>
      <c r="I115">
        <v>6000</v>
      </c>
      <c r="J115" t="s">
        <v>4629</v>
      </c>
      <c r="K115" t="s">
        <v>12245</v>
      </c>
      <c r="L115" s="3" t="s">
        <v>12246</v>
      </c>
      <c r="M115" t="s">
        <v>12176</v>
      </c>
    </row>
    <row r="116" spans="1:13" x14ac:dyDescent="0.2">
      <c r="A116" t="s">
        <v>11582</v>
      </c>
      <c r="B116" s="6" t="s">
        <v>4877</v>
      </c>
      <c r="C116" t="s">
        <v>11584</v>
      </c>
      <c r="D116" t="s">
        <v>11583</v>
      </c>
      <c r="E116" t="s">
        <v>949</v>
      </c>
      <c r="F116" t="s">
        <v>3779</v>
      </c>
      <c r="G116" t="s">
        <v>11371</v>
      </c>
      <c r="H116">
        <v>13684</v>
      </c>
      <c r="I116">
        <v>6000</v>
      </c>
      <c r="J116" t="s">
        <v>4629</v>
      </c>
      <c r="K116" t="s">
        <v>12170</v>
      </c>
      <c r="L116" s="3" t="s">
        <v>12246</v>
      </c>
      <c r="M116" t="s">
        <v>12176</v>
      </c>
    </row>
    <row r="117" spans="1:13" x14ac:dyDescent="0.2">
      <c r="A117" t="s">
        <v>11587</v>
      </c>
      <c r="B117" s="6" t="s">
        <v>6055</v>
      </c>
      <c r="C117" t="s">
        <v>11589</v>
      </c>
      <c r="D117" t="s">
        <v>11588</v>
      </c>
      <c r="E117" t="s">
        <v>1054</v>
      </c>
      <c r="F117" t="s">
        <v>3779</v>
      </c>
      <c r="G117" t="s">
        <v>11371</v>
      </c>
      <c r="H117">
        <v>8779</v>
      </c>
      <c r="I117">
        <v>6000</v>
      </c>
      <c r="J117" t="s">
        <v>4842</v>
      </c>
      <c r="K117" t="s">
        <v>12247</v>
      </c>
      <c r="L117" s="3" t="s">
        <v>12244</v>
      </c>
      <c r="M117" t="s">
        <v>12176</v>
      </c>
    </row>
    <row r="118" spans="1:13" x14ac:dyDescent="0.2">
      <c r="A118" t="s">
        <v>11591</v>
      </c>
      <c r="B118" s="6" t="s">
        <v>4628</v>
      </c>
      <c r="C118" t="s">
        <v>11594</v>
      </c>
      <c r="D118" t="s">
        <v>11592</v>
      </c>
      <c r="E118" t="s">
        <v>123</v>
      </c>
      <c r="F118" t="s">
        <v>122</v>
      </c>
      <c r="G118" t="s">
        <v>11593</v>
      </c>
      <c r="H118">
        <v>3000</v>
      </c>
      <c r="I118">
        <v>3000</v>
      </c>
      <c r="J118" t="s">
        <v>4629</v>
      </c>
      <c r="K118" t="s">
        <v>12248</v>
      </c>
      <c r="L118" s="3" t="s">
        <v>12249</v>
      </c>
      <c r="M118" t="s">
        <v>12250</v>
      </c>
    </row>
    <row r="119" spans="1:13" x14ac:dyDescent="0.2">
      <c r="A119" t="s">
        <v>11600</v>
      </c>
      <c r="B119" s="6" t="s">
        <v>4628</v>
      </c>
      <c r="C119" t="s">
        <v>11594</v>
      </c>
      <c r="D119" t="s">
        <v>11601</v>
      </c>
      <c r="E119" t="s">
        <v>330</v>
      </c>
      <c r="F119" t="s">
        <v>122</v>
      </c>
      <c r="G119" t="s">
        <v>11593</v>
      </c>
      <c r="H119">
        <v>3000</v>
      </c>
      <c r="I119">
        <v>3000</v>
      </c>
      <c r="J119" t="s">
        <v>4629</v>
      </c>
      <c r="K119" t="s">
        <v>12248</v>
      </c>
      <c r="L119" s="3" t="s">
        <v>12249</v>
      </c>
      <c r="M119" t="s">
        <v>12250</v>
      </c>
    </row>
    <row r="120" spans="1:13" x14ac:dyDescent="0.2">
      <c r="A120" t="s">
        <v>11604</v>
      </c>
      <c r="B120" s="6" t="s">
        <v>4628</v>
      </c>
      <c r="C120" t="s">
        <v>11594</v>
      </c>
      <c r="D120" t="s">
        <v>11605</v>
      </c>
      <c r="E120" t="s">
        <v>429</v>
      </c>
      <c r="F120" t="s">
        <v>122</v>
      </c>
      <c r="G120" t="s">
        <v>11593</v>
      </c>
      <c r="H120">
        <v>3000</v>
      </c>
      <c r="I120">
        <v>3000</v>
      </c>
      <c r="J120" t="s">
        <v>4629</v>
      </c>
      <c r="K120" t="s">
        <v>12248</v>
      </c>
      <c r="L120" s="3" t="s">
        <v>12249</v>
      </c>
      <c r="M120" t="s">
        <v>12250</v>
      </c>
    </row>
    <row r="121" spans="1:13" x14ac:dyDescent="0.2">
      <c r="A121" t="s">
        <v>11608</v>
      </c>
      <c r="B121" s="6" t="s">
        <v>4628</v>
      </c>
      <c r="C121" t="s">
        <v>11594</v>
      </c>
      <c r="D121" t="s">
        <v>11609</v>
      </c>
      <c r="E121" t="s">
        <v>543</v>
      </c>
      <c r="F121" t="s">
        <v>122</v>
      </c>
      <c r="G121" t="s">
        <v>11593</v>
      </c>
      <c r="H121">
        <v>3000</v>
      </c>
      <c r="I121">
        <v>3000</v>
      </c>
      <c r="J121" t="s">
        <v>4629</v>
      </c>
      <c r="K121" t="s">
        <v>12248</v>
      </c>
      <c r="L121" s="3" t="s">
        <v>12249</v>
      </c>
      <c r="M121" t="s">
        <v>12250</v>
      </c>
    </row>
    <row r="122" spans="1:13" x14ac:dyDescent="0.2">
      <c r="A122" t="s">
        <v>11612</v>
      </c>
      <c r="B122" s="6" t="s">
        <v>4628</v>
      </c>
      <c r="C122" t="s">
        <v>11594</v>
      </c>
      <c r="D122" t="s">
        <v>11613</v>
      </c>
      <c r="E122" t="s">
        <v>645</v>
      </c>
      <c r="F122" t="s">
        <v>122</v>
      </c>
      <c r="G122" t="s">
        <v>11593</v>
      </c>
      <c r="H122">
        <v>3000</v>
      </c>
      <c r="I122">
        <v>3000</v>
      </c>
      <c r="J122" t="s">
        <v>4629</v>
      </c>
      <c r="K122" t="s">
        <v>12248</v>
      </c>
      <c r="L122" s="3" t="s">
        <v>12249</v>
      </c>
      <c r="M122" t="s">
        <v>12250</v>
      </c>
    </row>
    <row r="123" spans="1:13" x14ac:dyDescent="0.2">
      <c r="A123" t="s">
        <v>11616</v>
      </c>
      <c r="B123" s="6" t="s">
        <v>4628</v>
      </c>
      <c r="C123" t="s">
        <v>11594</v>
      </c>
      <c r="D123" t="s">
        <v>11617</v>
      </c>
      <c r="E123" t="s">
        <v>759</v>
      </c>
      <c r="F123" t="s">
        <v>122</v>
      </c>
      <c r="G123" t="s">
        <v>11593</v>
      </c>
      <c r="H123">
        <v>3000</v>
      </c>
      <c r="I123">
        <v>3000</v>
      </c>
      <c r="J123" t="s">
        <v>4629</v>
      </c>
      <c r="K123" t="s">
        <v>12248</v>
      </c>
      <c r="L123" s="3" t="s">
        <v>12249</v>
      </c>
      <c r="M123" t="s">
        <v>12250</v>
      </c>
    </row>
    <row r="124" spans="1:13" x14ac:dyDescent="0.2">
      <c r="A124" t="s">
        <v>11620</v>
      </c>
      <c r="B124" s="6" t="s">
        <v>4628</v>
      </c>
      <c r="C124" t="s">
        <v>11594</v>
      </c>
      <c r="D124" t="s">
        <v>11621</v>
      </c>
      <c r="E124" t="s">
        <v>839</v>
      </c>
      <c r="F124" t="s">
        <v>122</v>
      </c>
      <c r="G124" t="s">
        <v>11593</v>
      </c>
      <c r="H124">
        <v>3000</v>
      </c>
      <c r="I124">
        <v>3000</v>
      </c>
      <c r="J124" t="s">
        <v>4629</v>
      </c>
      <c r="K124" t="s">
        <v>12248</v>
      </c>
      <c r="L124" s="3" t="s">
        <v>12249</v>
      </c>
      <c r="M124" t="s">
        <v>12250</v>
      </c>
    </row>
    <row r="125" spans="1:13" x14ac:dyDescent="0.2">
      <c r="A125" t="s">
        <v>11624</v>
      </c>
      <c r="B125" s="6" t="s">
        <v>4628</v>
      </c>
      <c r="C125" t="s">
        <v>11594</v>
      </c>
      <c r="D125" t="s">
        <v>11625</v>
      </c>
      <c r="E125" t="s">
        <v>949</v>
      </c>
      <c r="F125" t="s">
        <v>122</v>
      </c>
      <c r="G125" t="s">
        <v>11593</v>
      </c>
      <c r="H125">
        <v>3000</v>
      </c>
      <c r="I125">
        <v>3000</v>
      </c>
      <c r="J125" t="s">
        <v>4629</v>
      </c>
      <c r="K125" t="s">
        <v>12248</v>
      </c>
      <c r="L125" s="3" t="s">
        <v>12249</v>
      </c>
      <c r="M125" t="s">
        <v>12250</v>
      </c>
    </row>
    <row r="126" spans="1:13" x14ac:dyDescent="0.2">
      <c r="A126" t="s">
        <v>11628</v>
      </c>
      <c r="B126" s="6" t="s">
        <v>4628</v>
      </c>
      <c r="C126" t="s">
        <v>11594</v>
      </c>
      <c r="D126" t="s">
        <v>11629</v>
      </c>
      <c r="E126" t="s">
        <v>1054</v>
      </c>
      <c r="F126" t="s">
        <v>122</v>
      </c>
      <c r="G126" t="s">
        <v>11593</v>
      </c>
      <c r="H126">
        <v>3000</v>
      </c>
      <c r="I126">
        <v>3000</v>
      </c>
      <c r="J126" t="s">
        <v>4629</v>
      </c>
      <c r="K126" t="s">
        <v>12248</v>
      </c>
      <c r="L126" s="3" t="s">
        <v>12249</v>
      </c>
      <c r="M126" t="s">
        <v>12250</v>
      </c>
    </row>
    <row r="127" spans="1:13" x14ac:dyDescent="0.2">
      <c r="A127" t="s">
        <v>11632</v>
      </c>
      <c r="B127" s="6" t="s">
        <v>4696</v>
      </c>
      <c r="C127" t="s">
        <v>11634</v>
      </c>
      <c r="D127" t="s">
        <v>11633</v>
      </c>
      <c r="E127" t="s">
        <v>123</v>
      </c>
      <c r="F127" t="s">
        <v>1103</v>
      </c>
      <c r="G127" t="s">
        <v>11593</v>
      </c>
      <c r="H127">
        <v>3000</v>
      </c>
      <c r="I127">
        <v>3000</v>
      </c>
      <c r="J127" t="s">
        <v>4629</v>
      </c>
      <c r="K127" t="s">
        <v>12251</v>
      </c>
      <c r="L127" s="3" t="s">
        <v>12252</v>
      </c>
      <c r="M127" t="s">
        <v>12253</v>
      </c>
    </row>
    <row r="128" spans="1:13" x14ac:dyDescent="0.2">
      <c r="A128" t="s">
        <v>11639</v>
      </c>
      <c r="B128" s="6" t="s">
        <v>4696</v>
      </c>
      <c r="C128" t="s">
        <v>11634</v>
      </c>
      <c r="D128" t="s">
        <v>11640</v>
      </c>
      <c r="E128" t="s">
        <v>330</v>
      </c>
      <c r="F128" t="s">
        <v>1103</v>
      </c>
      <c r="G128" t="s">
        <v>11593</v>
      </c>
      <c r="H128">
        <v>3000</v>
      </c>
      <c r="I128">
        <v>3000</v>
      </c>
      <c r="J128" t="s">
        <v>4629</v>
      </c>
      <c r="K128" t="s">
        <v>12251</v>
      </c>
      <c r="L128" s="3" t="s">
        <v>12252</v>
      </c>
      <c r="M128" t="s">
        <v>12253</v>
      </c>
    </row>
    <row r="129" spans="1:13" x14ac:dyDescent="0.2">
      <c r="A129" t="s">
        <v>11643</v>
      </c>
      <c r="B129" s="6" t="s">
        <v>4696</v>
      </c>
      <c r="C129" t="s">
        <v>11634</v>
      </c>
      <c r="D129" t="s">
        <v>11644</v>
      </c>
      <c r="E129" t="s">
        <v>429</v>
      </c>
      <c r="F129" t="s">
        <v>1103</v>
      </c>
      <c r="G129" t="s">
        <v>11593</v>
      </c>
      <c r="H129">
        <v>3000</v>
      </c>
      <c r="I129">
        <v>3000</v>
      </c>
      <c r="J129" t="s">
        <v>4629</v>
      </c>
      <c r="K129" t="s">
        <v>12251</v>
      </c>
      <c r="L129" s="3" t="s">
        <v>12252</v>
      </c>
      <c r="M129" t="s">
        <v>12253</v>
      </c>
    </row>
    <row r="130" spans="1:13" x14ac:dyDescent="0.2">
      <c r="A130" t="s">
        <v>11647</v>
      </c>
      <c r="B130" s="6" t="s">
        <v>4696</v>
      </c>
      <c r="C130" t="s">
        <v>11634</v>
      </c>
      <c r="D130" t="s">
        <v>11648</v>
      </c>
      <c r="E130" t="s">
        <v>543</v>
      </c>
      <c r="F130" t="s">
        <v>1103</v>
      </c>
      <c r="G130" t="s">
        <v>11593</v>
      </c>
      <c r="H130">
        <v>3000</v>
      </c>
      <c r="I130">
        <v>3000</v>
      </c>
      <c r="J130" t="s">
        <v>4629</v>
      </c>
      <c r="K130" t="s">
        <v>12251</v>
      </c>
      <c r="L130" s="3" t="s">
        <v>12252</v>
      </c>
      <c r="M130" t="s">
        <v>12253</v>
      </c>
    </row>
    <row r="131" spans="1:13" x14ac:dyDescent="0.2">
      <c r="A131" t="s">
        <v>11651</v>
      </c>
      <c r="B131" s="6" t="s">
        <v>4696</v>
      </c>
      <c r="C131" t="s">
        <v>11634</v>
      </c>
      <c r="D131" t="s">
        <v>11652</v>
      </c>
      <c r="E131" t="s">
        <v>645</v>
      </c>
      <c r="F131" t="s">
        <v>1103</v>
      </c>
      <c r="G131" t="s">
        <v>11593</v>
      </c>
      <c r="H131">
        <v>3000</v>
      </c>
      <c r="I131">
        <v>3000</v>
      </c>
      <c r="J131" t="s">
        <v>4629</v>
      </c>
      <c r="K131" t="s">
        <v>12251</v>
      </c>
      <c r="L131" s="3" t="s">
        <v>12252</v>
      </c>
      <c r="M131" t="s">
        <v>12253</v>
      </c>
    </row>
    <row r="132" spans="1:13" x14ac:dyDescent="0.2">
      <c r="A132" t="s">
        <v>11655</v>
      </c>
      <c r="B132" s="6" t="s">
        <v>4696</v>
      </c>
      <c r="C132" t="s">
        <v>11634</v>
      </c>
      <c r="D132" t="s">
        <v>11656</v>
      </c>
      <c r="E132" t="s">
        <v>759</v>
      </c>
      <c r="F132" t="s">
        <v>1103</v>
      </c>
      <c r="G132" t="s">
        <v>11593</v>
      </c>
      <c r="H132">
        <v>3000</v>
      </c>
      <c r="I132">
        <v>3000</v>
      </c>
      <c r="J132" t="s">
        <v>4629</v>
      </c>
      <c r="K132" t="s">
        <v>12251</v>
      </c>
      <c r="L132" s="3" t="s">
        <v>12252</v>
      </c>
      <c r="M132" t="s">
        <v>12253</v>
      </c>
    </row>
    <row r="133" spans="1:13" x14ac:dyDescent="0.2">
      <c r="A133" t="s">
        <v>11659</v>
      </c>
      <c r="B133" s="6" t="s">
        <v>4696</v>
      </c>
      <c r="C133" t="s">
        <v>11634</v>
      </c>
      <c r="D133" t="s">
        <v>11660</v>
      </c>
      <c r="E133" t="s">
        <v>839</v>
      </c>
      <c r="F133" t="s">
        <v>1103</v>
      </c>
      <c r="G133" t="s">
        <v>11593</v>
      </c>
      <c r="H133">
        <v>3000</v>
      </c>
      <c r="I133">
        <v>3000</v>
      </c>
      <c r="J133" t="s">
        <v>4629</v>
      </c>
      <c r="K133" t="s">
        <v>12251</v>
      </c>
      <c r="L133" s="3" t="s">
        <v>12252</v>
      </c>
      <c r="M133" t="s">
        <v>12253</v>
      </c>
    </row>
    <row r="134" spans="1:13" x14ac:dyDescent="0.2">
      <c r="A134" t="s">
        <v>11663</v>
      </c>
      <c r="B134" s="6" t="s">
        <v>4696</v>
      </c>
      <c r="C134" t="s">
        <v>11634</v>
      </c>
      <c r="D134" t="s">
        <v>11664</v>
      </c>
      <c r="E134" t="s">
        <v>949</v>
      </c>
      <c r="F134" t="s">
        <v>1103</v>
      </c>
      <c r="G134" t="s">
        <v>11593</v>
      </c>
      <c r="H134">
        <v>3000</v>
      </c>
      <c r="I134">
        <v>3000</v>
      </c>
      <c r="J134" t="s">
        <v>4629</v>
      </c>
      <c r="K134" t="s">
        <v>12251</v>
      </c>
      <c r="L134" s="3" t="s">
        <v>12252</v>
      </c>
      <c r="M134" t="s">
        <v>12253</v>
      </c>
    </row>
    <row r="135" spans="1:13" x14ac:dyDescent="0.2">
      <c r="A135" t="s">
        <v>11667</v>
      </c>
      <c r="B135" s="6" t="s">
        <v>4696</v>
      </c>
      <c r="C135" t="s">
        <v>11634</v>
      </c>
      <c r="D135" t="s">
        <v>11668</v>
      </c>
      <c r="E135" t="s">
        <v>1054</v>
      </c>
      <c r="F135" t="s">
        <v>1103</v>
      </c>
      <c r="G135" t="s">
        <v>11593</v>
      </c>
      <c r="H135">
        <v>3000</v>
      </c>
      <c r="I135">
        <v>3000</v>
      </c>
      <c r="J135" t="s">
        <v>4629</v>
      </c>
      <c r="K135" t="s">
        <v>12251</v>
      </c>
      <c r="L135" s="3" t="s">
        <v>12252</v>
      </c>
      <c r="M135" t="s">
        <v>12253</v>
      </c>
    </row>
    <row r="136" spans="1:13" x14ac:dyDescent="0.2">
      <c r="A136" t="s">
        <v>11671</v>
      </c>
      <c r="B136" s="6" t="s">
        <v>4628</v>
      </c>
      <c r="C136" t="s">
        <v>11673</v>
      </c>
      <c r="D136" t="s">
        <v>11672</v>
      </c>
      <c r="E136" t="s">
        <v>123</v>
      </c>
      <c r="F136" t="s">
        <v>1947</v>
      </c>
      <c r="G136" t="s">
        <v>11593</v>
      </c>
      <c r="H136">
        <v>3000</v>
      </c>
      <c r="I136">
        <v>3000</v>
      </c>
      <c r="J136" t="s">
        <v>4629</v>
      </c>
      <c r="K136" t="s">
        <v>12254</v>
      </c>
      <c r="L136" s="3" t="s">
        <v>12255</v>
      </c>
      <c r="M136" t="s">
        <v>12256</v>
      </c>
    </row>
    <row r="137" spans="1:13" x14ac:dyDescent="0.2">
      <c r="A137" t="s">
        <v>11678</v>
      </c>
      <c r="B137" s="6" t="s">
        <v>4628</v>
      </c>
      <c r="C137" t="s">
        <v>11673</v>
      </c>
      <c r="D137" t="s">
        <v>11679</v>
      </c>
      <c r="E137" t="s">
        <v>330</v>
      </c>
      <c r="F137" t="s">
        <v>1947</v>
      </c>
      <c r="G137" t="s">
        <v>11593</v>
      </c>
      <c r="H137">
        <v>3000</v>
      </c>
      <c r="I137">
        <v>3000</v>
      </c>
      <c r="J137" t="s">
        <v>4629</v>
      </c>
      <c r="K137" t="s">
        <v>12254</v>
      </c>
      <c r="L137" s="3" t="s">
        <v>12255</v>
      </c>
      <c r="M137" t="s">
        <v>12256</v>
      </c>
    </row>
    <row r="138" spans="1:13" x14ac:dyDescent="0.2">
      <c r="A138" t="s">
        <v>11682</v>
      </c>
      <c r="B138" s="6" t="s">
        <v>4628</v>
      </c>
      <c r="C138" t="s">
        <v>11673</v>
      </c>
      <c r="D138" t="s">
        <v>11683</v>
      </c>
      <c r="E138" t="s">
        <v>429</v>
      </c>
      <c r="F138" t="s">
        <v>1947</v>
      </c>
      <c r="G138" t="s">
        <v>11593</v>
      </c>
      <c r="H138">
        <v>3000</v>
      </c>
      <c r="I138">
        <v>3000</v>
      </c>
      <c r="J138" t="s">
        <v>4629</v>
      </c>
      <c r="K138" t="s">
        <v>12254</v>
      </c>
      <c r="L138" s="3" t="s">
        <v>12255</v>
      </c>
      <c r="M138" t="s">
        <v>12256</v>
      </c>
    </row>
    <row r="139" spans="1:13" x14ac:dyDescent="0.2">
      <c r="A139" t="s">
        <v>11686</v>
      </c>
      <c r="B139" s="6" t="s">
        <v>4628</v>
      </c>
      <c r="C139" t="s">
        <v>11673</v>
      </c>
      <c r="D139" t="s">
        <v>11687</v>
      </c>
      <c r="E139" t="s">
        <v>543</v>
      </c>
      <c r="F139" t="s">
        <v>1947</v>
      </c>
      <c r="G139" t="s">
        <v>11593</v>
      </c>
      <c r="H139">
        <v>3000</v>
      </c>
      <c r="I139">
        <v>3000</v>
      </c>
      <c r="J139" t="s">
        <v>4629</v>
      </c>
      <c r="K139" t="s">
        <v>12254</v>
      </c>
      <c r="L139" s="3" t="s">
        <v>12255</v>
      </c>
      <c r="M139" t="s">
        <v>12256</v>
      </c>
    </row>
    <row r="140" spans="1:13" x14ac:dyDescent="0.2">
      <c r="A140" t="s">
        <v>11690</v>
      </c>
      <c r="B140" s="6" t="s">
        <v>4628</v>
      </c>
      <c r="C140" t="s">
        <v>11673</v>
      </c>
      <c r="D140" t="s">
        <v>11691</v>
      </c>
      <c r="E140" t="s">
        <v>645</v>
      </c>
      <c r="F140" t="s">
        <v>1947</v>
      </c>
      <c r="G140" t="s">
        <v>11593</v>
      </c>
      <c r="H140">
        <v>3000</v>
      </c>
      <c r="I140">
        <v>3000</v>
      </c>
      <c r="J140" t="s">
        <v>4629</v>
      </c>
      <c r="K140" t="s">
        <v>12254</v>
      </c>
      <c r="L140" s="3" t="s">
        <v>12255</v>
      </c>
      <c r="M140" t="s">
        <v>12256</v>
      </c>
    </row>
    <row r="141" spans="1:13" x14ac:dyDescent="0.2">
      <c r="A141" t="s">
        <v>11694</v>
      </c>
      <c r="B141" s="6" t="s">
        <v>4628</v>
      </c>
      <c r="C141" t="s">
        <v>11673</v>
      </c>
      <c r="D141" t="s">
        <v>11695</v>
      </c>
      <c r="E141" t="s">
        <v>759</v>
      </c>
      <c r="F141" t="s">
        <v>1947</v>
      </c>
      <c r="G141" t="s">
        <v>11593</v>
      </c>
      <c r="H141">
        <v>3000</v>
      </c>
      <c r="I141">
        <v>3000</v>
      </c>
      <c r="J141" t="s">
        <v>4629</v>
      </c>
      <c r="K141" t="s">
        <v>12254</v>
      </c>
      <c r="L141" s="3" t="s">
        <v>12255</v>
      </c>
      <c r="M141" t="s">
        <v>12256</v>
      </c>
    </row>
    <row r="142" spans="1:13" x14ac:dyDescent="0.2">
      <c r="A142" t="s">
        <v>11698</v>
      </c>
      <c r="B142" s="6" t="s">
        <v>4628</v>
      </c>
      <c r="C142" t="s">
        <v>11673</v>
      </c>
      <c r="D142" t="s">
        <v>11699</v>
      </c>
      <c r="E142" t="s">
        <v>839</v>
      </c>
      <c r="F142" t="s">
        <v>1947</v>
      </c>
      <c r="G142" t="s">
        <v>11593</v>
      </c>
      <c r="H142">
        <v>3000</v>
      </c>
      <c r="I142">
        <v>3000</v>
      </c>
      <c r="J142" t="s">
        <v>4629</v>
      </c>
      <c r="K142" t="s">
        <v>12254</v>
      </c>
      <c r="L142" s="3" t="s">
        <v>12255</v>
      </c>
      <c r="M142" t="s">
        <v>12256</v>
      </c>
    </row>
    <row r="143" spans="1:13" x14ac:dyDescent="0.2">
      <c r="A143" t="s">
        <v>11702</v>
      </c>
      <c r="B143" s="6" t="s">
        <v>4628</v>
      </c>
      <c r="C143" t="s">
        <v>11673</v>
      </c>
      <c r="D143" t="s">
        <v>11703</v>
      </c>
      <c r="E143" t="s">
        <v>949</v>
      </c>
      <c r="F143" t="s">
        <v>1947</v>
      </c>
      <c r="G143" t="s">
        <v>11593</v>
      </c>
      <c r="H143">
        <v>3000</v>
      </c>
      <c r="I143">
        <v>3000</v>
      </c>
      <c r="J143" t="s">
        <v>4629</v>
      </c>
      <c r="K143" t="s">
        <v>12254</v>
      </c>
      <c r="L143" s="3" t="s">
        <v>12255</v>
      </c>
      <c r="M143" t="s">
        <v>12256</v>
      </c>
    </row>
    <row r="144" spans="1:13" x14ac:dyDescent="0.2">
      <c r="A144" t="s">
        <v>11706</v>
      </c>
      <c r="B144" s="6" t="s">
        <v>4628</v>
      </c>
      <c r="C144" t="s">
        <v>11673</v>
      </c>
      <c r="D144" t="s">
        <v>11707</v>
      </c>
      <c r="E144" t="s">
        <v>1054</v>
      </c>
      <c r="F144" t="s">
        <v>1947</v>
      </c>
      <c r="G144" t="s">
        <v>11593</v>
      </c>
      <c r="H144">
        <v>3000</v>
      </c>
      <c r="I144">
        <v>3000</v>
      </c>
      <c r="J144" t="s">
        <v>4629</v>
      </c>
      <c r="K144" t="s">
        <v>12254</v>
      </c>
      <c r="L144" s="3" t="s">
        <v>12255</v>
      </c>
      <c r="M144" t="s">
        <v>12256</v>
      </c>
    </row>
    <row r="145" spans="1:13" x14ac:dyDescent="0.2">
      <c r="A145" t="s">
        <v>11710</v>
      </c>
      <c r="B145" s="6" t="s">
        <v>4628</v>
      </c>
      <c r="C145" t="s">
        <v>11712</v>
      </c>
      <c r="D145" t="s">
        <v>11711</v>
      </c>
      <c r="E145" t="s">
        <v>123</v>
      </c>
      <c r="F145" t="s">
        <v>2837</v>
      </c>
      <c r="G145" t="s">
        <v>11593</v>
      </c>
      <c r="H145">
        <v>3000</v>
      </c>
      <c r="I145">
        <v>3000</v>
      </c>
      <c r="J145" t="s">
        <v>4629</v>
      </c>
      <c r="K145" t="s">
        <v>12257</v>
      </c>
      <c r="L145" s="3" t="s">
        <v>12258</v>
      </c>
      <c r="M145" t="s">
        <v>12259</v>
      </c>
    </row>
    <row r="146" spans="1:13" x14ac:dyDescent="0.2">
      <c r="A146" t="s">
        <v>11717</v>
      </c>
      <c r="B146" s="6" t="s">
        <v>4628</v>
      </c>
      <c r="C146" t="s">
        <v>11712</v>
      </c>
      <c r="D146" t="s">
        <v>11718</v>
      </c>
      <c r="E146" t="s">
        <v>330</v>
      </c>
      <c r="F146" t="s">
        <v>2837</v>
      </c>
      <c r="G146" t="s">
        <v>11593</v>
      </c>
      <c r="H146">
        <v>3000</v>
      </c>
      <c r="I146">
        <v>3000</v>
      </c>
      <c r="J146" t="s">
        <v>4629</v>
      </c>
      <c r="K146" t="s">
        <v>12260</v>
      </c>
      <c r="L146" s="3" t="s">
        <v>12261</v>
      </c>
      <c r="M146" t="s">
        <v>12259</v>
      </c>
    </row>
    <row r="147" spans="1:13" x14ac:dyDescent="0.2">
      <c r="A147" t="s">
        <v>11721</v>
      </c>
      <c r="B147" s="6" t="s">
        <v>4628</v>
      </c>
      <c r="C147" t="s">
        <v>11712</v>
      </c>
      <c r="D147" t="s">
        <v>11722</v>
      </c>
      <c r="E147" t="s">
        <v>429</v>
      </c>
      <c r="F147" t="s">
        <v>2837</v>
      </c>
      <c r="G147" t="s">
        <v>11593</v>
      </c>
      <c r="H147">
        <v>3000</v>
      </c>
      <c r="I147">
        <v>3000</v>
      </c>
      <c r="J147" t="s">
        <v>4629</v>
      </c>
      <c r="K147" t="s">
        <v>12262</v>
      </c>
      <c r="L147" s="3" t="s">
        <v>12261</v>
      </c>
      <c r="M147" t="s">
        <v>12259</v>
      </c>
    </row>
    <row r="148" spans="1:13" x14ac:dyDescent="0.2">
      <c r="A148" t="s">
        <v>11725</v>
      </c>
      <c r="B148" s="6" t="s">
        <v>4628</v>
      </c>
      <c r="C148" t="s">
        <v>11712</v>
      </c>
      <c r="D148" t="s">
        <v>11726</v>
      </c>
      <c r="E148" t="s">
        <v>543</v>
      </c>
      <c r="F148" t="s">
        <v>2837</v>
      </c>
      <c r="G148" t="s">
        <v>11593</v>
      </c>
      <c r="H148">
        <v>3000</v>
      </c>
      <c r="I148">
        <v>3000</v>
      </c>
      <c r="J148" t="s">
        <v>4629</v>
      </c>
      <c r="K148" t="s">
        <v>12263</v>
      </c>
      <c r="L148" s="3" t="s">
        <v>12261</v>
      </c>
      <c r="M148" t="s">
        <v>12259</v>
      </c>
    </row>
    <row r="149" spans="1:13" x14ac:dyDescent="0.2">
      <c r="A149" t="s">
        <v>11729</v>
      </c>
      <c r="B149" s="6" t="s">
        <v>4628</v>
      </c>
      <c r="C149" t="s">
        <v>11712</v>
      </c>
      <c r="D149" t="s">
        <v>11730</v>
      </c>
      <c r="E149" t="s">
        <v>645</v>
      </c>
      <c r="F149" t="s">
        <v>2837</v>
      </c>
      <c r="G149" t="s">
        <v>11593</v>
      </c>
      <c r="H149">
        <v>3000</v>
      </c>
      <c r="I149">
        <v>3000</v>
      </c>
      <c r="J149" t="s">
        <v>4629</v>
      </c>
      <c r="K149" t="s">
        <v>12264</v>
      </c>
      <c r="L149" s="3" t="s">
        <v>12261</v>
      </c>
      <c r="M149" t="s">
        <v>12259</v>
      </c>
    </row>
    <row r="150" spans="1:13" x14ac:dyDescent="0.2">
      <c r="A150" t="s">
        <v>11733</v>
      </c>
      <c r="B150" s="6" t="s">
        <v>4628</v>
      </c>
      <c r="C150" t="s">
        <v>11712</v>
      </c>
      <c r="D150" t="s">
        <v>11734</v>
      </c>
      <c r="E150" t="s">
        <v>759</v>
      </c>
      <c r="F150" t="s">
        <v>2837</v>
      </c>
      <c r="G150" t="s">
        <v>11593</v>
      </c>
      <c r="H150">
        <v>3000</v>
      </c>
      <c r="I150">
        <v>3000</v>
      </c>
      <c r="J150" t="s">
        <v>4629</v>
      </c>
      <c r="K150" t="s">
        <v>12265</v>
      </c>
      <c r="L150" s="3" t="s">
        <v>12266</v>
      </c>
      <c r="M150" t="s">
        <v>12259</v>
      </c>
    </row>
    <row r="151" spans="1:13" x14ac:dyDescent="0.2">
      <c r="A151" t="s">
        <v>11737</v>
      </c>
      <c r="B151" s="6" t="s">
        <v>4628</v>
      </c>
      <c r="C151" t="s">
        <v>11712</v>
      </c>
      <c r="D151" t="s">
        <v>11738</v>
      </c>
      <c r="E151" t="s">
        <v>839</v>
      </c>
      <c r="F151" t="s">
        <v>2837</v>
      </c>
      <c r="G151" t="s">
        <v>11593</v>
      </c>
      <c r="H151">
        <v>3000</v>
      </c>
      <c r="I151">
        <v>3000</v>
      </c>
      <c r="J151" t="s">
        <v>4629</v>
      </c>
      <c r="K151" t="s">
        <v>12267</v>
      </c>
      <c r="L151" s="3" t="s">
        <v>12266</v>
      </c>
      <c r="M151" t="s">
        <v>12259</v>
      </c>
    </row>
    <row r="152" spans="1:13" x14ac:dyDescent="0.2">
      <c r="A152" t="s">
        <v>11741</v>
      </c>
      <c r="B152" s="6" t="s">
        <v>4628</v>
      </c>
      <c r="C152" t="s">
        <v>11712</v>
      </c>
      <c r="D152" t="s">
        <v>11742</v>
      </c>
      <c r="E152" t="s">
        <v>949</v>
      </c>
      <c r="F152" t="s">
        <v>2837</v>
      </c>
      <c r="G152" t="s">
        <v>11593</v>
      </c>
      <c r="H152">
        <v>3000</v>
      </c>
      <c r="I152">
        <v>3000</v>
      </c>
      <c r="J152" t="s">
        <v>4629</v>
      </c>
      <c r="K152" t="s">
        <v>12268</v>
      </c>
      <c r="L152" s="3" t="s">
        <v>12261</v>
      </c>
      <c r="M152" t="s">
        <v>12259</v>
      </c>
    </row>
    <row r="153" spans="1:13" x14ac:dyDescent="0.2">
      <c r="A153" t="s">
        <v>11745</v>
      </c>
      <c r="B153" s="6" t="s">
        <v>4628</v>
      </c>
      <c r="C153" t="s">
        <v>11712</v>
      </c>
      <c r="D153" t="s">
        <v>11746</v>
      </c>
      <c r="E153" t="s">
        <v>1054</v>
      </c>
      <c r="F153" t="s">
        <v>2837</v>
      </c>
      <c r="G153" t="s">
        <v>11593</v>
      </c>
      <c r="H153">
        <v>3000</v>
      </c>
      <c r="I153">
        <v>3000</v>
      </c>
      <c r="J153" t="s">
        <v>4629</v>
      </c>
      <c r="K153" t="s">
        <v>12269</v>
      </c>
      <c r="L153" s="3" t="s">
        <v>12270</v>
      </c>
      <c r="M153" t="s">
        <v>12259</v>
      </c>
    </row>
    <row r="154" spans="1:13" x14ac:dyDescent="0.2">
      <c r="A154" t="s">
        <v>11749</v>
      </c>
      <c r="B154" s="6" t="s">
        <v>4696</v>
      </c>
      <c r="C154" t="s">
        <v>11751</v>
      </c>
      <c r="D154" t="s">
        <v>11750</v>
      </c>
      <c r="E154" t="s">
        <v>123</v>
      </c>
      <c r="F154" t="s">
        <v>3779</v>
      </c>
      <c r="G154" t="s">
        <v>11593</v>
      </c>
      <c r="H154">
        <v>3000</v>
      </c>
      <c r="I154">
        <v>3000</v>
      </c>
      <c r="J154" t="s">
        <v>4629</v>
      </c>
      <c r="K154" t="s">
        <v>12271</v>
      </c>
      <c r="L154" s="3" t="s">
        <v>12272</v>
      </c>
      <c r="M154" t="s">
        <v>12273</v>
      </c>
    </row>
    <row r="155" spans="1:13" x14ac:dyDescent="0.2">
      <c r="A155" t="s">
        <v>11756</v>
      </c>
      <c r="B155" s="6" t="s">
        <v>4696</v>
      </c>
      <c r="C155" t="s">
        <v>11751</v>
      </c>
      <c r="D155" t="s">
        <v>11757</v>
      </c>
      <c r="E155" t="s">
        <v>330</v>
      </c>
      <c r="F155" t="s">
        <v>3779</v>
      </c>
      <c r="G155" t="s">
        <v>11593</v>
      </c>
      <c r="H155">
        <v>3000</v>
      </c>
      <c r="I155">
        <v>3000</v>
      </c>
      <c r="J155" t="s">
        <v>4629</v>
      </c>
      <c r="K155" t="s">
        <v>12271</v>
      </c>
      <c r="L155" s="3" t="s">
        <v>12272</v>
      </c>
      <c r="M155" t="s">
        <v>12273</v>
      </c>
    </row>
    <row r="156" spans="1:13" x14ac:dyDescent="0.2">
      <c r="A156" t="s">
        <v>11760</v>
      </c>
      <c r="B156" s="6" t="s">
        <v>4696</v>
      </c>
      <c r="C156" t="s">
        <v>11751</v>
      </c>
      <c r="D156" t="s">
        <v>11761</v>
      </c>
      <c r="E156" t="s">
        <v>429</v>
      </c>
      <c r="F156" t="s">
        <v>3779</v>
      </c>
      <c r="G156" t="s">
        <v>11593</v>
      </c>
      <c r="H156">
        <v>3000</v>
      </c>
      <c r="I156">
        <v>3000</v>
      </c>
      <c r="J156" t="s">
        <v>4629</v>
      </c>
      <c r="K156" t="s">
        <v>12271</v>
      </c>
      <c r="L156" s="3" t="s">
        <v>12272</v>
      </c>
      <c r="M156" t="s">
        <v>12273</v>
      </c>
    </row>
    <row r="157" spans="1:13" x14ac:dyDescent="0.2">
      <c r="A157" t="s">
        <v>11764</v>
      </c>
      <c r="B157" s="6" t="s">
        <v>4696</v>
      </c>
      <c r="C157" t="s">
        <v>11751</v>
      </c>
      <c r="D157" t="s">
        <v>11765</v>
      </c>
      <c r="E157" t="s">
        <v>543</v>
      </c>
      <c r="F157" t="s">
        <v>3779</v>
      </c>
      <c r="G157" t="s">
        <v>11593</v>
      </c>
      <c r="H157">
        <v>3000</v>
      </c>
      <c r="I157">
        <v>3000</v>
      </c>
      <c r="J157" t="s">
        <v>4629</v>
      </c>
      <c r="K157" t="s">
        <v>12271</v>
      </c>
      <c r="L157" s="3" t="s">
        <v>12272</v>
      </c>
      <c r="M157" t="s">
        <v>12273</v>
      </c>
    </row>
    <row r="158" spans="1:13" x14ac:dyDescent="0.2">
      <c r="A158" t="s">
        <v>11768</v>
      </c>
      <c r="B158" s="6" t="s">
        <v>4696</v>
      </c>
      <c r="C158" t="s">
        <v>11751</v>
      </c>
      <c r="D158" t="s">
        <v>11769</v>
      </c>
      <c r="E158" t="s">
        <v>645</v>
      </c>
      <c r="F158" t="s">
        <v>3779</v>
      </c>
      <c r="G158" t="s">
        <v>11593</v>
      </c>
      <c r="H158">
        <v>3000</v>
      </c>
      <c r="I158">
        <v>3000</v>
      </c>
      <c r="J158" t="s">
        <v>4629</v>
      </c>
      <c r="K158" t="s">
        <v>12271</v>
      </c>
      <c r="L158" s="3" t="s">
        <v>12272</v>
      </c>
      <c r="M158" t="s">
        <v>12273</v>
      </c>
    </row>
    <row r="159" spans="1:13" x14ac:dyDescent="0.2">
      <c r="A159" t="s">
        <v>11772</v>
      </c>
      <c r="B159" s="6" t="s">
        <v>4696</v>
      </c>
      <c r="C159" t="s">
        <v>11751</v>
      </c>
      <c r="D159" t="s">
        <v>11773</v>
      </c>
      <c r="E159" t="s">
        <v>759</v>
      </c>
      <c r="F159" t="s">
        <v>3779</v>
      </c>
      <c r="G159" t="s">
        <v>11593</v>
      </c>
      <c r="H159">
        <v>3000</v>
      </c>
      <c r="I159">
        <v>3000</v>
      </c>
      <c r="J159" t="s">
        <v>4629</v>
      </c>
      <c r="K159" t="s">
        <v>12271</v>
      </c>
      <c r="L159" s="3" t="s">
        <v>12272</v>
      </c>
      <c r="M159" t="s">
        <v>12273</v>
      </c>
    </row>
    <row r="160" spans="1:13" x14ac:dyDescent="0.2">
      <c r="A160" t="s">
        <v>11776</v>
      </c>
      <c r="B160" s="6" t="s">
        <v>4696</v>
      </c>
      <c r="C160" t="s">
        <v>11751</v>
      </c>
      <c r="D160" t="s">
        <v>11777</v>
      </c>
      <c r="E160" t="s">
        <v>839</v>
      </c>
      <c r="F160" t="s">
        <v>3779</v>
      </c>
      <c r="G160" t="s">
        <v>11593</v>
      </c>
      <c r="H160">
        <v>3000</v>
      </c>
      <c r="I160">
        <v>3000</v>
      </c>
      <c r="J160" t="s">
        <v>4629</v>
      </c>
      <c r="K160" t="s">
        <v>12271</v>
      </c>
      <c r="L160" s="3" t="s">
        <v>12272</v>
      </c>
      <c r="M160" t="s">
        <v>12273</v>
      </c>
    </row>
    <row r="161" spans="1:13" x14ac:dyDescent="0.2">
      <c r="A161" t="s">
        <v>11780</v>
      </c>
      <c r="B161" s="6" t="s">
        <v>4696</v>
      </c>
      <c r="C161" t="s">
        <v>11751</v>
      </c>
      <c r="D161" t="s">
        <v>11781</v>
      </c>
      <c r="E161" t="s">
        <v>949</v>
      </c>
      <c r="F161" t="s">
        <v>3779</v>
      </c>
      <c r="G161" t="s">
        <v>11593</v>
      </c>
      <c r="H161">
        <v>3000</v>
      </c>
      <c r="I161">
        <v>3000</v>
      </c>
      <c r="J161" t="s">
        <v>4629</v>
      </c>
      <c r="K161" t="s">
        <v>12271</v>
      </c>
      <c r="L161" s="3" t="s">
        <v>12272</v>
      </c>
      <c r="M161" t="s">
        <v>12273</v>
      </c>
    </row>
    <row r="162" spans="1:13" x14ac:dyDescent="0.2">
      <c r="A162" t="s">
        <v>11784</v>
      </c>
      <c r="B162" s="6" t="s">
        <v>4696</v>
      </c>
      <c r="C162" t="s">
        <v>11751</v>
      </c>
      <c r="D162" t="s">
        <v>11785</v>
      </c>
      <c r="E162" t="s">
        <v>1054</v>
      </c>
      <c r="F162" t="s">
        <v>3779</v>
      </c>
      <c r="G162" t="s">
        <v>11593</v>
      </c>
      <c r="H162">
        <v>3000</v>
      </c>
      <c r="I162">
        <v>3000</v>
      </c>
      <c r="J162" t="s">
        <v>4629</v>
      </c>
      <c r="K162" t="s">
        <v>12271</v>
      </c>
      <c r="L162" s="3" t="s">
        <v>12272</v>
      </c>
      <c r="M162" t="s">
        <v>12273</v>
      </c>
    </row>
    <row r="163" spans="1:13" x14ac:dyDescent="0.2">
      <c r="A163" t="s">
        <v>11788</v>
      </c>
      <c r="B163" s="6" t="s">
        <v>4648</v>
      </c>
      <c r="C163" t="s">
        <v>11791</v>
      </c>
      <c r="D163" t="s">
        <v>11789</v>
      </c>
      <c r="E163" t="s">
        <v>123</v>
      </c>
      <c r="F163" t="s">
        <v>122</v>
      </c>
      <c r="G163" t="s">
        <v>11790</v>
      </c>
      <c r="H163">
        <v>6163</v>
      </c>
      <c r="I163">
        <v>6000</v>
      </c>
      <c r="J163" t="s">
        <v>4613</v>
      </c>
      <c r="K163" t="s">
        <v>12274</v>
      </c>
      <c r="L163" s="3" t="s">
        <v>12275</v>
      </c>
      <c r="M163" t="s">
        <v>12276</v>
      </c>
    </row>
    <row r="164" spans="1:13" x14ac:dyDescent="0.2">
      <c r="A164" t="s">
        <v>11796</v>
      </c>
      <c r="B164" s="6" t="s">
        <v>4729</v>
      </c>
      <c r="C164" t="s">
        <v>11798</v>
      </c>
      <c r="D164" t="s">
        <v>11797</v>
      </c>
      <c r="E164" t="s">
        <v>330</v>
      </c>
      <c r="F164" t="s">
        <v>122</v>
      </c>
      <c r="G164" t="s">
        <v>11790</v>
      </c>
      <c r="H164">
        <v>7227</v>
      </c>
      <c r="I164">
        <v>6000</v>
      </c>
      <c r="J164" t="s">
        <v>4641</v>
      </c>
      <c r="K164" t="s">
        <v>12277</v>
      </c>
      <c r="L164" s="3" t="s">
        <v>12278</v>
      </c>
      <c r="M164" t="s">
        <v>12276</v>
      </c>
    </row>
    <row r="165" spans="1:13" x14ac:dyDescent="0.2">
      <c r="A165" t="s">
        <v>11801</v>
      </c>
      <c r="B165" s="6" t="s">
        <v>4648</v>
      </c>
      <c r="C165" t="s">
        <v>11803</v>
      </c>
      <c r="D165" t="s">
        <v>11802</v>
      </c>
      <c r="E165" t="s">
        <v>429</v>
      </c>
      <c r="F165" t="s">
        <v>122</v>
      </c>
      <c r="G165" t="s">
        <v>11790</v>
      </c>
      <c r="H165">
        <v>6590</v>
      </c>
      <c r="I165">
        <v>6000</v>
      </c>
      <c r="J165" t="s">
        <v>4613</v>
      </c>
      <c r="K165" t="s">
        <v>12279</v>
      </c>
      <c r="L165" s="3" t="s">
        <v>12280</v>
      </c>
      <c r="M165" t="s">
        <v>12276</v>
      </c>
    </row>
    <row r="166" spans="1:13" x14ac:dyDescent="0.2">
      <c r="A166" t="s">
        <v>11806</v>
      </c>
      <c r="B166" s="6" t="s">
        <v>4633</v>
      </c>
      <c r="C166" t="s">
        <v>11808</v>
      </c>
      <c r="D166" t="s">
        <v>11807</v>
      </c>
      <c r="E166" t="s">
        <v>543</v>
      </c>
      <c r="F166" t="s">
        <v>122</v>
      </c>
      <c r="G166" t="s">
        <v>11790</v>
      </c>
      <c r="H166">
        <v>8895</v>
      </c>
      <c r="I166">
        <v>6000</v>
      </c>
      <c r="J166" t="s">
        <v>4608</v>
      </c>
      <c r="K166" t="s">
        <v>12281</v>
      </c>
      <c r="L166" s="3" t="s">
        <v>12282</v>
      </c>
      <c r="M166" t="s">
        <v>12276</v>
      </c>
    </row>
    <row r="167" spans="1:13" x14ac:dyDescent="0.2">
      <c r="A167" t="s">
        <v>11811</v>
      </c>
      <c r="B167" s="6" t="s">
        <v>5070</v>
      </c>
      <c r="C167" t="s">
        <v>11813</v>
      </c>
      <c r="D167" t="s">
        <v>11812</v>
      </c>
      <c r="E167" t="s">
        <v>645</v>
      </c>
      <c r="F167" t="s">
        <v>122</v>
      </c>
      <c r="G167" t="s">
        <v>11790</v>
      </c>
      <c r="H167">
        <v>7299</v>
      </c>
      <c r="I167">
        <v>6000</v>
      </c>
      <c r="J167" t="s">
        <v>4693</v>
      </c>
      <c r="K167" t="s">
        <v>12283</v>
      </c>
      <c r="L167" s="3" t="s">
        <v>12284</v>
      </c>
      <c r="M167" t="s">
        <v>12276</v>
      </c>
    </row>
    <row r="168" spans="1:13" x14ac:dyDescent="0.2">
      <c r="A168" t="s">
        <v>11816</v>
      </c>
      <c r="B168" s="6" t="s">
        <v>4845</v>
      </c>
      <c r="C168" t="s">
        <v>11818</v>
      </c>
      <c r="D168" t="s">
        <v>11817</v>
      </c>
      <c r="E168" t="s">
        <v>759</v>
      </c>
      <c r="F168" t="s">
        <v>122</v>
      </c>
      <c r="G168" t="s">
        <v>11790</v>
      </c>
      <c r="H168">
        <v>6750</v>
      </c>
      <c r="I168">
        <v>6000</v>
      </c>
      <c r="J168" t="s">
        <v>4608</v>
      </c>
      <c r="K168" t="s">
        <v>12285</v>
      </c>
      <c r="L168" s="3" t="s">
        <v>12286</v>
      </c>
      <c r="M168" t="s">
        <v>12276</v>
      </c>
    </row>
    <row r="169" spans="1:13" x14ac:dyDescent="0.2">
      <c r="A169" t="s">
        <v>11821</v>
      </c>
      <c r="B169" s="6" t="s">
        <v>4692</v>
      </c>
      <c r="C169" t="s">
        <v>11823</v>
      </c>
      <c r="D169" t="s">
        <v>11822</v>
      </c>
      <c r="E169" t="s">
        <v>839</v>
      </c>
      <c r="F169" t="s">
        <v>122</v>
      </c>
      <c r="G169" t="s">
        <v>11790</v>
      </c>
      <c r="H169">
        <v>7635</v>
      </c>
      <c r="I169">
        <v>6000</v>
      </c>
      <c r="J169" t="s">
        <v>4668</v>
      </c>
      <c r="K169" t="s">
        <v>12287</v>
      </c>
      <c r="L169" s="3" t="s">
        <v>12288</v>
      </c>
      <c r="M169" t="s">
        <v>12276</v>
      </c>
    </row>
    <row r="170" spans="1:13" x14ac:dyDescent="0.2">
      <c r="A170" t="s">
        <v>11826</v>
      </c>
      <c r="B170" s="6" t="s">
        <v>4692</v>
      </c>
      <c r="C170" t="s">
        <v>11828</v>
      </c>
      <c r="D170" t="s">
        <v>11827</v>
      </c>
      <c r="E170" t="s">
        <v>949</v>
      </c>
      <c r="F170" t="s">
        <v>122</v>
      </c>
      <c r="G170" t="s">
        <v>11790</v>
      </c>
      <c r="H170">
        <v>13684</v>
      </c>
      <c r="I170">
        <v>6000</v>
      </c>
      <c r="J170" t="s">
        <v>4668</v>
      </c>
      <c r="K170" t="s">
        <v>12289</v>
      </c>
      <c r="L170" s="3" t="s">
        <v>12288</v>
      </c>
      <c r="M170" t="s">
        <v>12276</v>
      </c>
    </row>
    <row r="171" spans="1:13" x14ac:dyDescent="0.2">
      <c r="A171" t="s">
        <v>11831</v>
      </c>
      <c r="B171" s="6" t="s">
        <v>4931</v>
      </c>
      <c r="C171" t="s">
        <v>11833</v>
      </c>
      <c r="D171" t="s">
        <v>11832</v>
      </c>
      <c r="E171" t="s">
        <v>1054</v>
      </c>
      <c r="F171" t="s">
        <v>122</v>
      </c>
      <c r="G171" t="s">
        <v>11790</v>
      </c>
      <c r="H171">
        <v>7316</v>
      </c>
      <c r="I171">
        <v>6000</v>
      </c>
      <c r="J171" t="s">
        <v>4842</v>
      </c>
      <c r="K171" t="s">
        <v>12290</v>
      </c>
      <c r="L171" s="3" t="s">
        <v>12291</v>
      </c>
      <c r="M171" t="s">
        <v>12276</v>
      </c>
    </row>
    <row r="172" spans="1:13" x14ac:dyDescent="0.2">
      <c r="A172" t="s">
        <v>11836</v>
      </c>
      <c r="B172" s="6" t="s">
        <v>4659</v>
      </c>
      <c r="C172" t="s">
        <v>11838</v>
      </c>
      <c r="D172" t="s">
        <v>11837</v>
      </c>
      <c r="E172" t="s">
        <v>123</v>
      </c>
      <c r="F172" t="s">
        <v>1103</v>
      </c>
      <c r="G172" t="s">
        <v>11790</v>
      </c>
      <c r="H172">
        <v>6418</v>
      </c>
      <c r="I172">
        <v>6000</v>
      </c>
      <c r="J172" t="s">
        <v>4629</v>
      </c>
      <c r="K172" t="s">
        <v>12292</v>
      </c>
      <c r="L172" s="3" t="s">
        <v>12293</v>
      </c>
      <c r="M172" t="s">
        <v>12276</v>
      </c>
    </row>
    <row r="173" spans="1:13" x14ac:dyDescent="0.2">
      <c r="A173" t="s">
        <v>11841</v>
      </c>
      <c r="B173" s="6" t="s">
        <v>4729</v>
      </c>
      <c r="C173" t="s">
        <v>11843</v>
      </c>
      <c r="D173" t="s">
        <v>11842</v>
      </c>
      <c r="E173" t="s">
        <v>330</v>
      </c>
      <c r="F173" t="s">
        <v>1103</v>
      </c>
      <c r="G173" t="s">
        <v>11790</v>
      </c>
      <c r="H173">
        <v>7227</v>
      </c>
      <c r="I173">
        <v>6000</v>
      </c>
      <c r="J173" t="s">
        <v>4641</v>
      </c>
      <c r="K173" t="s">
        <v>12294</v>
      </c>
      <c r="L173" s="3" t="s">
        <v>12295</v>
      </c>
      <c r="M173" t="s">
        <v>12276</v>
      </c>
    </row>
    <row r="174" spans="1:13" x14ac:dyDescent="0.2">
      <c r="A174" t="s">
        <v>11846</v>
      </c>
      <c r="B174" s="6" t="s">
        <v>4648</v>
      </c>
      <c r="C174" t="s">
        <v>11848</v>
      </c>
      <c r="D174" t="s">
        <v>11847</v>
      </c>
      <c r="E174" t="s">
        <v>429</v>
      </c>
      <c r="F174" t="s">
        <v>1103</v>
      </c>
      <c r="G174" t="s">
        <v>11790</v>
      </c>
      <c r="H174">
        <v>6590</v>
      </c>
      <c r="I174">
        <v>6000</v>
      </c>
      <c r="J174" t="s">
        <v>4613</v>
      </c>
      <c r="K174" t="s">
        <v>12296</v>
      </c>
      <c r="L174" s="3" t="s">
        <v>12297</v>
      </c>
      <c r="M174" t="s">
        <v>12276</v>
      </c>
    </row>
    <row r="175" spans="1:13" x14ac:dyDescent="0.2">
      <c r="A175" t="s">
        <v>11851</v>
      </c>
      <c r="B175" s="6" t="s">
        <v>4648</v>
      </c>
      <c r="C175" t="s">
        <v>11853</v>
      </c>
      <c r="D175" t="s">
        <v>11852</v>
      </c>
      <c r="E175" t="s">
        <v>543</v>
      </c>
      <c r="F175" t="s">
        <v>1103</v>
      </c>
      <c r="G175" t="s">
        <v>11790</v>
      </c>
      <c r="H175">
        <v>8260</v>
      </c>
      <c r="I175">
        <v>6000</v>
      </c>
      <c r="J175" t="s">
        <v>4613</v>
      </c>
      <c r="K175" t="s">
        <v>12298</v>
      </c>
      <c r="L175" s="3" t="s">
        <v>12299</v>
      </c>
      <c r="M175" t="s">
        <v>12276</v>
      </c>
    </row>
    <row r="176" spans="1:13" x14ac:dyDescent="0.2">
      <c r="A176" t="s">
        <v>11856</v>
      </c>
      <c r="B176" s="6" t="s">
        <v>5653</v>
      </c>
      <c r="C176" t="s">
        <v>11858</v>
      </c>
      <c r="D176" t="s">
        <v>11857</v>
      </c>
      <c r="E176" t="s">
        <v>645</v>
      </c>
      <c r="F176" t="s">
        <v>1103</v>
      </c>
      <c r="G176" t="s">
        <v>11790</v>
      </c>
      <c r="H176">
        <v>6762</v>
      </c>
      <c r="I176">
        <v>6000</v>
      </c>
      <c r="J176" t="s">
        <v>4608</v>
      </c>
      <c r="K176" t="s">
        <v>12300</v>
      </c>
      <c r="L176" s="3" t="s">
        <v>12301</v>
      </c>
      <c r="M176" t="s">
        <v>12276</v>
      </c>
    </row>
    <row r="177" spans="1:13" x14ac:dyDescent="0.2">
      <c r="A177" t="s">
        <v>11861</v>
      </c>
      <c r="B177" s="6" t="s">
        <v>5138</v>
      </c>
      <c r="C177" t="s">
        <v>11863</v>
      </c>
      <c r="D177" t="s">
        <v>11862</v>
      </c>
      <c r="E177" t="s">
        <v>759</v>
      </c>
      <c r="F177" t="s">
        <v>1103</v>
      </c>
      <c r="G177" t="s">
        <v>11790</v>
      </c>
      <c r="H177">
        <v>7267</v>
      </c>
      <c r="I177">
        <v>6000</v>
      </c>
      <c r="J177" t="s">
        <v>4723</v>
      </c>
      <c r="K177" t="s">
        <v>12302</v>
      </c>
      <c r="L177" s="3" t="s">
        <v>12303</v>
      </c>
      <c r="M177" t="s">
        <v>12276</v>
      </c>
    </row>
    <row r="178" spans="1:13" x14ac:dyDescent="0.2">
      <c r="A178" t="s">
        <v>11866</v>
      </c>
      <c r="B178" s="6" t="s">
        <v>4692</v>
      </c>
      <c r="C178" t="s">
        <v>11868</v>
      </c>
      <c r="D178" t="s">
        <v>11867</v>
      </c>
      <c r="E178" t="s">
        <v>839</v>
      </c>
      <c r="F178" t="s">
        <v>1103</v>
      </c>
      <c r="G178" t="s">
        <v>11790</v>
      </c>
      <c r="H178">
        <v>7635</v>
      </c>
      <c r="I178">
        <v>6000</v>
      </c>
      <c r="J178" t="s">
        <v>4668</v>
      </c>
      <c r="K178" t="s">
        <v>12304</v>
      </c>
      <c r="L178" s="3" t="s">
        <v>12305</v>
      </c>
      <c r="M178" t="s">
        <v>12276</v>
      </c>
    </row>
    <row r="179" spans="1:13" x14ac:dyDescent="0.2">
      <c r="A179" t="s">
        <v>11871</v>
      </c>
      <c r="B179" s="6" t="s">
        <v>4692</v>
      </c>
      <c r="C179" t="s">
        <v>11873</v>
      </c>
      <c r="D179" t="s">
        <v>11872</v>
      </c>
      <c r="E179" t="s">
        <v>949</v>
      </c>
      <c r="F179" t="s">
        <v>1103</v>
      </c>
      <c r="G179" t="s">
        <v>11790</v>
      </c>
      <c r="H179">
        <v>13684</v>
      </c>
      <c r="I179">
        <v>6000</v>
      </c>
      <c r="J179" t="s">
        <v>4668</v>
      </c>
      <c r="K179" t="s">
        <v>12306</v>
      </c>
      <c r="L179" s="3" t="s">
        <v>12305</v>
      </c>
      <c r="M179" t="s">
        <v>12276</v>
      </c>
    </row>
    <row r="180" spans="1:13" x14ac:dyDescent="0.2">
      <c r="A180" t="s">
        <v>11876</v>
      </c>
      <c r="B180" s="6" t="s">
        <v>4931</v>
      </c>
      <c r="C180" t="s">
        <v>11878</v>
      </c>
      <c r="D180" t="s">
        <v>11877</v>
      </c>
      <c r="E180" t="s">
        <v>1054</v>
      </c>
      <c r="F180" t="s">
        <v>1103</v>
      </c>
      <c r="G180" t="s">
        <v>11790</v>
      </c>
      <c r="H180">
        <v>7316</v>
      </c>
      <c r="I180">
        <v>6000</v>
      </c>
      <c r="J180" t="s">
        <v>4842</v>
      </c>
      <c r="K180" t="s">
        <v>12307</v>
      </c>
      <c r="L180" s="3" t="s">
        <v>12308</v>
      </c>
      <c r="M180" t="s">
        <v>12276</v>
      </c>
    </row>
    <row r="181" spans="1:13" x14ac:dyDescent="0.2">
      <c r="A181" t="s">
        <v>11881</v>
      </c>
      <c r="B181" s="6" t="s">
        <v>4659</v>
      </c>
      <c r="C181" t="s">
        <v>11882</v>
      </c>
      <c r="D181" t="s">
        <v>10175</v>
      </c>
      <c r="E181" t="s">
        <v>123</v>
      </c>
      <c r="F181" t="s">
        <v>1947</v>
      </c>
      <c r="G181" t="s">
        <v>11790</v>
      </c>
      <c r="H181">
        <v>6418</v>
      </c>
      <c r="I181">
        <v>6000</v>
      </c>
      <c r="J181" t="s">
        <v>4629</v>
      </c>
      <c r="K181" t="s">
        <v>12309</v>
      </c>
      <c r="L181" s="3" t="s">
        <v>12310</v>
      </c>
      <c r="M181" t="s">
        <v>12276</v>
      </c>
    </row>
    <row r="182" spans="1:13" x14ac:dyDescent="0.2">
      <c r="A182" t="s">
        <v>11885</v>
      </c>
      <c r="B182" s="6" t="s">
        <v>4659</v>
      </c>
      <c r="C182" t="s">
        <v>11887</v>
      </c>
      <c r="D182" t="s">
        <v>11886</v>
      </c>
      <c r="E182" t="s">
        <v>330</v>
      </c>
      <c r="F182" t="s">
        <v>1947</v>
      </c>
      <c r="G182" t="s">
        <v>11790</v>
      </c>
      <c r="H182">
        <v>7582</v>
      </c>
      <c r="I182">
        <v>6000</v>
      </c>
      <c r="J182" t="s">
        <v>4629</v>
      </c>
      <c r="K182" t="s">
        <v>12311</v>
      </c>
      <c r="L182" s="3" t="s">
        <v>12312</v>
      </c>
      <c r="M182" t="s">
        <v>12276</v>
      </c>
    </row>
    <row r="183" spans="1:13" x14ac:dyDescent="0.2">
      <c r="A183" t="s">
        <v>11890</v>
      </c>
      <c r="B183" s="6" t="s">
        <v>4648</v>
      </c>
      <c r="C183" t="s">
        <v>11892</v>
      </c>
      <c r="D183" t="s">
        <v>11891</v>
      </c>
      <c r="E183" t="s">
        <v>429</v>
      </c>
      <c r="F183" t="s">
        <v>1947</v>
      </c>
      <c r="G183" t="s">
        <v>11790</v>
      </c>
      <c r="H183">
        <v>6145</v>
      </c>
      <c r="I183">
        <v>6000</v>
      </c>
      <c r="J183" t="s">
        <v>4608</v>
      </c>
      <c r="K183" t="s">
        <v>12313</v>
      </c>
      <c r="L183" s="3" t="s">
        <v>12314</v>
      </c>
      <c r="M183" t="s">
        <v>12276</v>
      </c>
    </row>
    <row r="184" spans="1:13" x14ac:dyDescent="0.2">
      <c r="A184" t="s">
        <v>11895</v>
      </c>
      <c r="B184" s="6" t="s">
        <v>4633</v>
      </c>
      <c r="C184" t="s">
        <v>11897</v>
      </c>
      <c r="D184" t="s">
        <v>11896</v>
      </c>
      <c r="E184" t="s">
        <v>543</v>
      </c>
      <c r="F184" t="s">
        <v>1947</v>
      </c>
      <c r="G184" t="s">
        <v>11790</v>
      </c>
      <c r="H184">
        <v>8895</v>
      </c>
      <c r="I184">
        <v>6000</v>
      </c>
      <c r="J184" t="s">
        <v>4608</v>
      </c>
      <c r="K184" t="s">
        <v>12315</v>
      </c>
      <c r="L184" s="3" t="s">
        <v>12316</v>
      </c>
      <c r="M184" t="s">
        <v>12276</v>
      </c>
    </row>
    <row r="185" spans="1:13" x14ac:dyDescent="0.2">
      <c r="A185" t="s">
        <v>11900</v>
      </c>
      <c r="B185" s="6" t="s">
        <v>4811</v>
      </c>
      <c r="C185" t="s">
        <v>11902</v>
      </c>
      <c r="D185" t="s">
        <v>11901</v>
      </c>
      <c r="E185" t="s">
        <v>645</v>
      </c>
      <c r="F185" t="s">
        <v>1947</v>
      </c>
      <c r="G185" t="s">
        <v>11790</v>
      </c>
      <c r="H185">
        <v>6762</v>
      </c>
      <c r="I185">
        <v>6000</v>
      </c>
      <c r="J185" t="s">
        <v>5440</v>
      </c>
      <c r="K185" t="s">
        <v>12317</v>
      </c>
      <c r="L185" s="3" t="s">
        <v>12318</v>
      </c>
      <c r="M185" t="s">
        <v>12276</v>
      </c>
    </row>
    <row r="186" spans="1:13" x14ac:dyDescent="0.2">
      <c r="A186" t="s">
        <v>11905</v>
      </c>
      <c r="B186" s="6" t="s">
        <v>4845</v>
      </c>
      <c r="C186" t="s">
        <v>11907</v>
      </c>
      <c r="D186" t="s">
        <v>11906</v>
      </c>
      <c r="E186" t="s">
        <v>759</v>
      </c>
      <c r="F186" t="s">
        <v>1947</v>
      </c>
      <c r="G186" t="s">
        <v>11790</v>
      </c>
      <c r="H186">
        <v>6750</v>
      </c>
      <c r="I186">
        <v>6000</v>
      </c>
      <c r="J186" t="s">
        <v>4629</v>
      </c>
      <c r="K186" t="s">
        <v>12319</v>
      </c>
      <c r="L186" s="3" t="s">
        <v>12320</v>
      </c>
      <c r="M186" t="s">
        <v>12276</v>
      </c>
    </row>
    <row r="187" spans="1:13" x14ac:dyDescent="0.2">
      <c r="A187" t="s">
        <v>11910</v>
      </c>
      <c r="B187" s="6" t="s">
        <v>4692</v>
      </c>
      <c r="C187" t="s">
        <v>11912</v>
      </c>
      <c r="D187" t="s">
        <v>11911</v>
      </c>
      <c r="E187" t="s">
        <v>839</v>
      </c>
      <c r="F187" t="s">
        <v>1947</v>
      </c>
      <c r="G187" t="s">
        <v>11790</v>
      </c>
      <c r="H187">
        <v>7635</v>
      </c>
      <c r="I187">
        <v>6000</v>
      </c>
      <c r="J187" t="s">
        <v>4668</v>
      </c>
      <c r="K187" t="s">
        <v>12321</v>
      </c>
      <c r="L187" s="3" t="s">
        <v>12322</v>
      </c>
      <c r="M187" t="s">
        <v>12276</v>
      </c>
    </row>
    <row r="188" spans="1:13" x14ac:dyDescent="0.2">
      <c r="A188" t="s">
        <v>11915</v>
      </c>
      <c r="B188" s="6" t="s">
        <v>4692</v>
      </c>
      <c r="C188" t="s">
        <v>11917</v>
      </c>
      <c r="D188" t="s">
        <v>11916</v>
      </c>
      <c r="E188" t="s">
        <v>949</v>
      </c>
      <c r="F188" t="s">
        <v>1947</v>
      </c>
      <c r="G188" t="s">
        <v>11790</v>
      </c>
      <c r="H188">
        <v>14186</v>
      </c>
      <c r="I188">
        <v>6000</v>
      </c>
      <c r="J188" t="s">
        <v>4668</v>
      </c>
      <c r="K188" t="s">
        <v>12323</v>
      </c>
      <c r="L188" s="3" t="s">
        <v>12322</v>
      </c>
      <c r="M188" t="s">
        <v>12276</v>
      </c>
    </row>
    <row r="189" spans="1:13" x14ac:dyDescent="0.2">
      <c r="A189" t="s">
        <v>11920</v>
      </c>
      <c r="B189" s="6" t="s">
        <v>4931</v>
      </c>
      <c r="C189" t="s">
        <v>11922</v>
      </c>
      <c r="D189" t="s">
        <v>11921</v>
      </c>
      <c r="E189" t="s">
        <v>1054</v>
      </c>
      <c r="F189" t="s">
        <v>1947</v>
      </c>
      <c r="G189" t="s">
        <v>11790</v>
      </c>
      <c r="H189">
        <v>7316</v>
      </c>
      <c r="I189">
        <v>6000</v>
      </c>
      <c r="J189" t="s">
        <v>4842</v>
      </c>
      <c r="K189" t="s">
        <v>12324</v>
      </c>
      <c r="L189" s="3" t="s">
        <v>12325</v>
      </c>
      <c r="M189" t="s">
        <v>12276</v>
      </c>
    </row>
    <row r="190" spans="1:13" x14ac:dyDescent="0.2">
      <c r="A190" t="s">
        <v>11925</v>
      </c>
      <c r="B190" s="6" t="s">
        <v>4659</v>
      </c>
      <c r="C190" t="s">
        <v>11927</v>
      </c>
      <c r="D190" t="s">
        <v>11926</v>
      </c>
      <c r="E190" t="s">
        <v>123</v>
      </c>
      <c r="F190" t="s">
        <v>2837</v>
      </c>
      <c r="G190" t="s">
        <v>11790</v>
      </c>
      <c r="H190">
        <v>6418</v>
      </c>
      <c r="I190">
        <v>6000</v>
      </c>
      <c r="J190" t="s">
        <v>4629</v>
      </c>
      <c r="K190" t="s">
        <v>12326</v>
      </c>
      <c r="L190" s="3" t="s">
        <v>12327</v>
      </c>
      <c r="M190" t="s">
        <v>12276</v>
      </c>
    </row>
    <row r="191" spans="1:13" x14ac:dyDescent="0.2">
      <c r="A191" t="s">
        <v>11930</v>
      </c>
      <c r="B191" s="6" t="s">
        <v>4648</v>
      </c>
      <c r="C191" t="s">
        <v>11932</v>
      </c>
      <c r="D191" t="s">
        <v>11931</v>
      </c>
      <c r="E191" t="s">
        <v>330</v>
      </c>
      <c r="F191" t="s">
        <v>2837</v>
      </c>
      <c r="G191" t="s">
        <v>11790</v>
      </c>
      <c r="H191">
        <v>6925</v>
      </c>
      <c r="I191">
        <v>6000</v>
      </c>
      <c r="J191" t="s">
        <v>4629</v>
      </c>
      <c r="K191" t="s">
        <v>12328</v>
      </c>
      <c r="L191" s="3" t="s">
        <v>12329</v>
      </c>
      <c r="M191" t="s">
        <v>12276</v>
      </c>
    </row>
    <row r="192" spans="1:13" x14ac:dyDescent="0.2">
      <c r="A192" t="s">
        <v>11935</v>
      </c>
      <c r="B192" s="6" t="s">
        <v>4648</v>
      </c>
      <c r="C192" t="s">
        <v>11937</v>
      </c>
      <c r="D192" t="s">
        <v>11936</v>
      </c>
      <c r="E192" t="s">
        <v>429</v>
      </c>
      <c r="F192" t="s">
        <v>2837</v>
      </c>
      <c r="G192" t="s">
        <v>11790</v>
      </c>
      <c r="H192">
        <v>6145</v>
      </c>
      <c r="I192">
        <v>6000</v>
      </c>
      <c r="J192" t="s">
        <v>4608</v>
      </c>
      <c r="K192" t="s">
        <v>12330</v>
      </c>
      <c r="L192" s="3" t="s">
        <v>12329</v>
      </c>
      <c r="M192" t="s">
        <v>12276</v>
      </c>
    </row>
    <row r="193" spans="1:13" x14ac:dyDescent="0.2">
      <c r="A193" t="s">
        <v>11940</v>
      </c>
      <c r="B193" s="6" t="s">
        <v>4648</v>
      </c>
      <c r="C193" t="s">
        <v>11942</v>
      </c>
      <c r="D193" t="s">
        <v>11941</v>
      </c>
      <c r="E193" t="s">
        <v>543</v>
      </c>
      <c r="F193" t="s">
        <v>2837</v>
      </c>
      <c r="G193" t="s">
        <v>11790</v>
      </c>
      <c r="H193">
        <v>8260</v>
      </c>
      <c r="I193">
        <v>6000</v>
      </c>
      <c r="J193" t="s">
        <v>4613</v>
      </c>
      <c r="K193" t="s">
        <v>12331</v>
      </c>
      <c r="L193" s="3" t="s">
        <v>12329</v>
      </c>
      <c r="M193" t="s">
        <v>12276</v>
      </c>
    </row>
    <row r="194" spans="1:13" x14ac:dyDescent="0.2">
      <c r="A194" t="s">
        <v>11945</v>
      </c>
      <c r="B194" s="6" t="s">
        <v>5653</v>
      </c>
      <c r="C194" t="s">
        <v>11947</v>
      </c>
      <c r="D194" t="s">
        <v>11946</v>
      </c>
      <c r="E194" t="s">
        <v>645</v>
      </c>
      <c r="F194" t="s">
        <v>2837</v>
      </c>
      <c r="G194" t="s">
        <v>11790</v>
      </c>
      <c r="H194">
        <v>6762</v>
      </c>
      <c r="I194">
        <v>6000</v>
      </c>
      <c r="J194" t="s">
        <v>4608</v>
      </c>
      <c r="K194" t="s">
        <v>12332</v>
      </c>
      <c r="L194" s="3" t="s">
        <v>12333</v>
      </c>
      <c r="M194" t="s">
        <v>12276</v>
      </c>
    </row>
    <row r="195" spans="1:13" x14ac:dyDescent="0.2">
      <c r="A195" t="s">
        <v>11950</v>
      </c>
      <c r="B195" s="6" t="s">
        <v>5138</v>
      </c>
      <c r="C195" t="s">
        <v>11952</v>
      </c>
      <c r="D195" t="s">
        <v>11951</v>
      </c>
      <c r="E195" t="s">
        <v>759</v>
      </c>
      <c r="F195" t="s">
        <v>2837</v>
      </c>
      <c r="G195" t="s">
        <v>11790</v>
      </c>
      <c r="H195">
        <v>7267</v>
      </c>
      <c r="I195">
        <v>6000</v>
      </c>
      <c r="J195" t="s">
        <v>4723</v>
      </c>
      <c r="K195" t="s">
        <v>12334</v>
      </c>
      <c r="L195" s="3" t="s">
        <v>12335</v>
      </c>
      <c r="M195" t="s">
        <v>12276</v>
      </c>
    </row>
    <row r="196" spans="1:13" x14ac:dyDescent="0.2">
      <c r="A196" t="s">
        <v>11955</v>
      </c>
      <c r="B196" s="6" t="s">
        <v>4852</v>
      </c>
      <c r="C196" t="s">
        <v>11957</v>
      </c>
      <c r="D196" t="s">
        <v>11956</v>
      </c>
      <c r="E196" t="s">
        <v>839</v>
      </c>
      <c r="F196" t="s">
        <v>2837</v>
      </c>
      <c r="G196" t="s">
        <v>11790</v>
      </c>
      <c r="H196">
        <v>7881</v>
      </c>
      <c r="I196">
        <v>6000</v>
      </c>
      <c r="J196" t="s">
        <v>4629</v>
      </c>
      <c r="K196" t="s">
        <v>12336</v>
      </c>
      <c r="L196" s="3" t="s">
        <v>12337</v>
      </c>
      <c r="M196" t="s">
        <v>12276</v>
      </c>
    </row>
    <row r="197" spans="1:13" x14ac:dyDescent="0.2">
      <c r="A197" t="s">
        <v>11960</v>
      </c>
      <c r="B197" s="6" t="s">
        <v>4877</v>
      </c>
      <c r="C197" t="s">
        <v>11962</v>
      </c>
      <c r="D197" t="s">
        <v>11961</v>
      </c>
      <c r="E197" t="s">
        <v>949</v>
      </c>
      <c r="F197" t="s">
        <v>2837</v>
      </c>
      <c r="G197" t="s">
        <v>11790</v>
      </c>
      <c r="H197">
        <v>13684</v>
      </c>
      <c r="I197">
        <v>6000</v>
      </c>
      <c r="J197" t="s">
        <v>4629</v>
      </c>
      <c r="K197" t="s">
        <v>12338</v>
      </c>
      <c r="L197" s="3" t="s">
        <v>12339</v>
      </c>
      <c r="M197" t="s">
        <v>12276</v>
      </c>
    </row>
    <row r="198" spans="1:13" x14ac:dyDescent="0.2">
      <c r="A198" t="s">
        <v>11965</v>
      </c>
      <c r="B198" s="6" t="s">
        <v>6055</v>
      </c>
      <c r="C198" t="s">
        <v>11967</v>
      </c>
      <c r="D198" t="s">
        <v>11966</v>
      </c>
      <c r="E198" t="s">
        <v>1054</v>
      </c>
      <c r="F198" t="s">
        <v>2837</v>
      </c>
      <c r="G198" t="s">
        <v>11790</v>
      </c>
      <c r="H198">
        <v>8779</v>
      </c>
      <c r="I198">
        <v>6000</v>
      </c>
      <c r="J198" t="s">
        <v>4842</v>
      </c>
      <c r="K198" t="s">
        <v>12340</v>
      </c>
      <c r="L198" s="3" t="s">
        <v>12341</v>
      </c>
      <c r="M198" t="s">
        <v>12276</v>
      </c>
    </row>
    <row r="199" spans="1:13" x14ac:dyDescent="0.2">
      <c r="A199" t="s">
        <v>11970</v>
      </c>
      <c r="B199" s="6" t="s">
        <v>4648</v>
      </c>
      <c r="C199" t="s">
        <v>11972</v>
      </c>
      <c r="D199" t="s">
        <v>11971</v>
      </c>
      <c r="E199" t="s">
        <v>123</v>
      </c>
      <c r="F199" t="s">
        <v>3779</v>
      </c>
      <c r="G199" t="s">
        <v>11790</v>
      </c>
      <c r="H199">
        <v>6163</v>
      </c>
      <c r="I199">
        <v>6000</v>
      </c>
      <c r="J199" t="s">
        <v>4613</v>
      </c>
      <c r="K199" t="s">
        <v>12342</v>
      </c>
      <c r="L199" s="3" t="s">
        <v>12343</v>
      </c>
      <c r="M199" t="s">
        <v>12276</v>
      </c>
    </row>
    <row r="200" spans="1:13" x14ac:dyDescent="0.2">
      <c r="A200" t="s">
        <v>11975</v>
      </c>
      <c r="B200" s="6" t="s">
        <v>4648</v>
      </c>
      <c r="C200" t="s">
        <v>11977</v>
      </c>
      <c r="D200" t="s">
        <v>11976</v>
      </c>
      <c r="E200" t="s">
        <v>330</v>
      </c>
      <c r="F200" t="s">
        <v>3779</v>
      </c>
      <c r="G200" t="s">
        <v>11790</v>
      </c>
      <c r="H200">
        <v>6925</v>
      </c>
      <c r="I200">
        <v>6000</v>
      </c>
      <c r="J200" t="s">
        <v>4629</v>
      </c>
      <c r="K200" t="s">
        <v>12344</v>
      </c>
      <c r="L200" s="3" t="s">
        <v>12343</v>
      </c>
      <c r="M200" t="s">
        <v>12276</v>
      </c>
    </row>
    <row r="201" spans="1:13" x14ac:dyDescent="0.2">
      <c r="A201" t="s">
        <v>11980</v>
      </c>
      <c r="B201" s="6" t="s">
        <v>4659</v>
      </c>
      <c r="C201" t="s">
        <v>11982</v>
      </c>
      <c r="D201" t="s">
        <v>11981</v>
      </c>
      <c r="E201" t="s">
        <v>429</v>
      </c>
      <c r="F201" t="s">
        <v>3779</v>
      </c>
      <c r="G201" t="s">
        <v>11790</v>
      </c>
      <c r="H201">
        <v>6590</v>
      </c>
      <c r="I201">
        <v>6000</v>
      </c>
      <c r="J201" t="s">
        <v>4618</v>
      </c>
      <c r="K201" t="s">
        <v>12345</v>
      </c>
      <c r="L201" s="3" t="s">
        <v>12346</v>
      </c>
      <c r="M201" t="s">
        <v>12276</v>
      </c>
    </row>
    <row r="202" spans="1:13" x14ac:dyDescent="0.2">
      <c r="A202" t="s">
        <v>11985</v>
      </c>
      <c r="B202" s="6" t="s">
        <v>4633</v>
      </c>
      <c r="C202" t="s">
        <v>11987</v>
      </c>
      <c r="D202" t="s">
        <v>11986</v>
      </c>
      <c r="E202" t="s">
        <v>543</v>
      </c>
      <c r="F202" t="s">
        <v>3779</v>
      </c>
      <c r="G202" t="s">
        <v>11790</v>
      </c>
      <c r="H202">
        <v>8895</v>
      </c>
      <c r="I202">
        <v>6000</v>
      </c>
      <c r="J202" t="s">
        <v>4608</v>
      </c>
      <c r="K202" t="s">
        <v>12347</v>
      </c>
      <c r="L202" s="3" t="s">
        <v>12348</v>
      </c>
      <c r="M202" t="s">
        <v>12276</v>
      </c>
    </row>
    <row r="203" spans="1:13" x14ac:dyDescent="0.2">
      <c r="A203" t="s">
        <v>11990</v>
      </c>
      <c r="B203" s="6" t="s">
        <v>5070</v>
      </c>
      <c r="C203" t="s">
        <v>11992</v>
      </c>
      <c r="D203" t="s">
        <v>11991</v>
      </c>
      <c r="E203" t="s">
        <v>645</v>
      </c>
      <c r="F203" t="s">
        <v>3779</v>
      </c>
      <c r="G203" t="s">
        <v>11790</v>
      </c>
      <c r="H203">
        <v>7299</v>
      </c>
      <c r="I203">
        <v>6000</v>
      </c>
      <c r="J203" t="s">
        <v>4693</v>
      </c>
      <c r="K203" t="s">
        <v>12349</v>
      </c>
      <c r="L203" s="3" t="s">
        <v>12350</v>
      </c>
      <c r="M203" t="s">
        <v>12276</v>
      </c>
    </row>
    <row r="204" spans="1:13" x14ac:dyDescent="0.2">
      <c r="A204" t="s">
        <v>11995</v>
      </c>
      <c r="B204" s="6" t="s">
        <v>4841</v>
      </c>
      <c r="C204" t="s">
        <v>11997</v>
      </c>
      <c r="D204" t="s">
        <v>11996</v>
      </c>
      <c r="E204" t="s">
        <v>759</v>
      </c>
      <c r="F204" t="s">
        <v>3779</v>
      </c>
      <c r="G204" t="s">
        <v>11790</v>
      </c>
      <c r="H204">
        <v>6750</v>
      </c>
      <c r="I204">
        <v>6000</v>
      </c>
      <c r="J204" t="s">
        <v>4842</v>
      </c>
      <c r="K204" t="s">
        <v>12351</v>
      </c>
      <c r="L204" s="3" t="s">
        <v>12352</v>
      </c>
      <c r="M204" t="s">
        <v>12276</v>
      </c>
    </row>
    <row r="205" spans="1:13" x14ac:dyDescent="0.2">
      <c r="A205" t="s">
        <v>12000</v>
      </c>
      <c r="B205" s="6" t="s">
        <v>4877</v>
      </c>
      <c r="C205" t="s">
        <v>12002</v>
      </c>
      <c r="D205" t="s">
        <v>12001</v>
      </c>
      <c r="E205" t="s">
        <v>839</v>
      </c>
      <c r="F205" t="s">
        <v>3779</v>
      </c>
      <c r="G205" t="s">
        <v>11790</v>
      </c>
      <c r="H205">
        <v>7635</v>
      </c>
      <c r="I205">
        <v>6000</v>
      </c>
      <c r="J205" t="s">
        <v>4629</v>
      </c>
      <c r="K205" t="s">
        <v>12353</v>
      </c>
      <c r="L205" s="3" t="s">
        <v>12354</v>
      </c>
      <c r="M205" t="s">
        <v>12276</v>
      </c>
    </row>
    <row r="206" spans="1:13" x14ac:dyDescent="0.2">
      <c r="A206" t="s">
        <v>12005</v>
      </c>
      <c r="B206" s="6" t="s">
        <v>4877</v>
      </c>
      <c r="C206" t="s">
        <v>12007</v>
      </c>
      <c r="D206" t="s">
        <v>12006</v>
      </c>
      <c r="E206" t="s">
        <v>949</v>
      </c>
      <c r="F206" t="s">
        <v>3779</v>
      </c>
      <c r="G206" t="s">
        <v>11790</v>
      </c>
      <c r="H206">
        <v>13684</v>
      </c>
      <c r="I206">
        <v>6000</v>
      </c>
      <c r="J206" t="s">
        <v>4629</v>
      </c>
      <c r="K206" t="s">
        <v>12355</v>
      </c>
      <c r="L206" s="3" t="s">
        <v>12354</v>
      </c>
      <c r="M206" t="s">
        <v>12276</v>
      </c>
    </row>
    <row r="207" spans="1:13" x14ac:dyDescent="0.2">
      <c r="A207" t="s">
        <v>12010</v>
      </c>
      <c r="B207" s="6" t="s">
        <v>6055</v>
      </c>
      <c r="C207" t="s">
        <v>12012</v>
      </c>
      <c r="D207" t="s">
        <v>12011</v>
      </c>
      <c r="E207" t="s">
        <v>1054</v>
      </c>
      <c r="F207" t="s">
        <v>3779</v>
      </c>
      <c r="G207" t="s">
        <v>11790</v>
      </c>
      <c r="H207">
        <v>8779</v>
      </c>
      <c r="I207">
        <v>6000</v>
      </c>
      <c r="J207" t="s">
        <v>4842</v>
      </c>
      <c r="K207" t="s">
        <v>12356</v>
      </c>
      <c r="L207" s="3" t="s">
        <v>12352</v>
      </c>
      <c r="M207" t="s">
        <v>12276</v>
      </c>
    </row>
    <row r="208" spans="1:13" x14ac:dyDescent="0.2">
      <c r="C208" t="s">
        <v>137</v>
      </c>
      <c r="H208">
        <v>0</v>
      </c>
      <c r="I208">
        <v>0</v>
      </c>
      <c r="K208" t="s">
        <v>12357</v>
      </c>
      <c r="L208" t="s">
        <v>12357</v>
      </c>
    </row>
  </sheetData>
  <autoFilter ref="A1:M208" xr:uid="{7E28916B-CE1E-4227-8E9D-3D55EA3040FF}">
    <sortState xmlns:xlrd2="http://schemas.microsoft.com/office/spreadsheetml/2017/richdata2" ref="A2:M207">
      <sortCondition ref="A1:A207"/>
    </sortState>
  </autoFilter>
  <phoneticPr fontId="26" type="noConversion"/>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8B1AEB-A65B-453F-B2A4-58ACB20A6C6E}">
  <dimension ref="A1:Q207"/>
  <sheetViews>
    <sheetView topLeftCell="A85" workbookViewId="0">
      <selection activeCell="L126" sqref="L126"/>
    </sheetView>
  </sheetViews>
  <sheetFormatPr defaultRowHeight="14.25" x14ac:dyDescent="0.2"/>
  <cols>
    <col min="1" max="1" width="7.375" bestFit="1" customWidth="1"/>
    <col min="2" max="2" width="3.875" bestFit="1" customWidth="1"/>
    <col min="3" max="3" width="26.5" bestFit="1" customWidth="1"/>
    <col min="4" max="4" width="22.625" bestFit="1" customWidth="1"/>
    <col min="5" max="5" width="9.75" bestFit="1" customWidth="1"/>
    <col min="6" max="6" width="7" bestFit="1" customWidth="1"/>
    <col min="7" max="7" width="8.25" bestFit="1" customWidth="1"/>
    <col min="8" max="8" width="6.625" bestFit="1" customWidth="1"/>
    <col min="9" max="9" width="9.375" bestFit="1" customWidth="1"/>
    <col min="10" max="10" width="10.625" bestFit="1" customWidth="1"/>
    <col min="11" max="11" width="10.5" customWidth="1"/>
    <col min="12" max="12" width="17.875" customWidth="1"/>
    <col min="13" max="13" width="33.875" bestFit="1" customWidth="1"/>
    <col min="14" max="14" width="27.375" customWidth="1"/>
  </cols>
  <sheetData>
    <row r="1" spans="1:17" x14ac:dyDescent="0.2">
      <c r="A1" s="67" t="s">
        <v>88</v>
      </c>
      <c r="B1" s="67" t="s">
        <v>4597</v>
      </c>
      <c r="C1" s="67" t="s">
        <v>89</v>
      </c>
      <c r="D1" s="67" t="s">
        <v>12358</v>
      </c>
      <c r="E1" s="67" t="s">
        <v>95</v>
      </c>
      <c r="F1" s="67" t="s">
        <v>23</v>
      </c>
      <c r="G1" s="67" t="s">
        <v>8662</v>
      </c>
      <c r="H1" s="67" t="s">
        <v>4599</v>
      </c>
      <c r="I1" s="67" t="s">
        <v>12015</v>
      </c>
      <c r="J1" s="67" t="s">
        <v>4600</v>
      </c>
      <c r="K1" s="67" t="s">
        <v>80</v>
      </c>
      <c r="L1" s="67" t="s">
        <v>4601</v>
      </c>
      <c r="M1" s="1" t="s">
        <v>12016</v>
      </c>
      <c r="N1" s="1"/>
      <c r="O1" s="1" t="s">
        <v>12359</v>
      </c>
      <c r="P1" s="1" t="s">
        <v>12360</v>
      </c>
      <c r="Q1" s="1" t="s">
        <v>12361</v>
      </c>
    </row>
    <row r="2" spans="1:17" x14ac:dyDescent="0.2">
      <c r="A2" t="s">
        <v>12362</v>
      </c>
      <c r="B2" s="6" t="s">
        <v>4633</v>
      </c>
      <c r="C2" t="s">
        <v>10802</v>
      </c>
      <c r="D2" t="s">
        <v>10800</v>
      </c>
      <c r="E2" t="s">
        <v>123</v>
      </c>
      <c r="F2" t="s">
        <v>10772</v>
      </c>
      <c r="G2" t="s">
        <v>10801</v>
      </c>
      <c r="H2">
        <v>7330</v>
      </c>
      <c r="I2">
        <v>6000</v>
      </c>
      <c r="J2" t="s">
        <v>4700</v>
      </c>
      <c r="K2" t="s">
        <v>12017</v>
      </c>
      <c r="L2" s="3" t="s">
        <v>12018</v>
      </c>
      <c r="M2" t="s">
        <v>12019</v>
      </c>
    </row>
    <row r="3" spans="1:17" x14ac:dyDescent="0.2">
      <c r="A3" t="s">
        <v>12363</v>
      </c>
      <c r="B3" s="6" t="s">
        <v>4711</v>
      </c>
      <c r="C3" t="s">
        <v>10807</v>
      </c>
      <c r="D3" t="s">
        <v>10806</v>
      </c>
      <c r="E3" t="s">
        <v>330</v>
      </c>
      <c r="F3" t="s">
        <v>10772</v>
      </c>
      <c r="G3" t="s">
        <v>10801</v>
      </c>
      <c r="H3">
        <v>7920</v>
      </c>
      <c r="I3">
        <v>6000</v>
      </c>
      <c r="J3" t="s">
        <v>4712</v>
      </c>
      <c r="K3" t="s">
        <v>12020</v>
      </c>
      <c r="L3" s="3" t="s">
        <v>12021</v>
      </c>
      <c r="M3" t="s">
        <v>12022</v>
      </c>
    </row>
    <row r="4" spans="1:17" x14ac:dyDescent="0.2">
      <c r="A4" t="s">
        <v>12364</v>
      </c>
      <c r="B4" s="6" t="s">
        <v>4648</v>
      </c>
      <c r="C4" t="s">
        <v>10811</v>
      </c>
      <c r="D4" t="s">
        <v>10810</v>
      </c>
      <c r="E4" t="s">
        <v>429</v>
      </c>
      <c r="F4" t="s">
        <v>10772</v>
      </c>
      <c r="G4" t="s">
        <v>10801</v>
      </c>
      <c r="H4">
        <v>6770</v>
      </c>
      <c r="I4">
        <v>6000</v>
      </c>
      <c r="J4" t="s">
        <v>4629</v>
      </c>
      <c r="K4" t="s">
        <v>12023</v>
      </c>
      <c r="L4" s="3" t="s">
        <v>12024</v>
      </c>
      <c r="M4" t="s">
        <v>12025</v>
      </c>
    </row>
    <row r="5" spans="1:17" x14ac:dyDescent="0.2">
      <c r="A5" t="s">
        <v>12365</v>
      </c>
      <c r="B5" s="6" t="s">
        <v>4659</v>
      </c>
      <c r="C5" t="s">
        <v>10815</v>
      </c>
      <c r="D5" t="s">
        <v>10814</v>
      </c>
      <c r="E5" t="s">
        <v>543</v>
      </c>
      <c r="F5" t="s">
        <v>10772</v>
      </c>
      <c r="G5" t="s">
        <v>10801</v>
      </c>
      <c r="H5">
        <v>8603</v>
      </c>
      <c r="I5">
        <v>6000</v>
      </c>
      <c r="J5" t="s">
        <v>4660</v>
      </c>
      <c r="K5" t="s">
        <v>12026</v>
      </c>
      <c r="L5" s="3" t="s">
        <v>12027</v>
      </c>
      <c r="M5" t="s">
        <v>12028</v>
      </c>
    </row>
    <row r="6" spans="1:17" x14ac:dyDescent="0.2">
      <c r="A6" t="s">
        <v>12366</v>
      </c>
      <c r="B6" s="6" t="s">
        <v>5070</v>
      </c>
      <c r="C6" t="s">
        <v>10819</v>
      </c>
      <c r="D6" t="s">
        <v>10818</v>
      </c>
      <c r="E6" t="s">
        <v>645</v>
      </c>
      <c r="F6" t="s">
        <v>10772</v>
      </c>
      <c r="G6" t="s">
        <v>10801</v>
      </c>
      <c r="H6">
        <v>7054</v>
      </c>
      <c r="I6">
        <v>6000</v>
      </c>
      <c r="J6" t="s">
        <v>4869</v>
      </c>
      <c r="K6" t="s">
        <v>12029</v>
      </c>
      <c r="L6" s="3" t="s">
        <v>12030</v>
      </c>
      <c r="M6" t="s">
        <v>12031</v>
      </c>
    </row>
    <row r="7" spans="1:17" x14ac:dyDescent="0.2">
      <c r="A7" t="s">
        <v>12367</v>
      </c>
      <c r="B7" s="6" t="s">
        <v>4845</v>
      </c>
      <c r="C7" t="s">
        <v>10823</v>
      </c>
      <c r="D7" t="s">
        <v>10822</v>
      </c>
      <c r="E7" t="s">
        <v>759</v>
      </c>
      <c r="F7" t="s">
        <v>10772</v>
      </c>
      <c r="G7" t="s">
        <v>10801</v>
      </c>
      <c r="H7">
        <v>7185</v>
      </c>
      <c r="I7">
        <v>6000</v>
      </c>
      <c r="J7" t="s">
        <v>4842</v>
      </c>
      <c r="K7" t="s">
        <v>12368</v>
      </c>
      <c r="L7" s="3" t="s">
        <v>12033</v>
      </c>
      <c r="M7" t="s">
        <v>12034</v>
      </c>
    </row>
    <row r="8" spans="1:17" x14ac:dyDescent="0.2">
      <c r="A8" t="s">
        <v>12369</v>
      </c>
      <c r="B8" s="6" t="s">
        <v>4852</v>
      </c>
      <c r="C8" t="s">
        <v>10827</v>
      </c>
      <c r="D8" t="s">
        <v>10826</v>
      </c>
      <c r="E8" t="s">
        <v>839</v>
      </c>
      <c r="F8" t="s">
        <v>10772</v>
      </c>
      <c r="G8" t="s">
        <v>10801</v>
      </c>
      <c r="H8">
        <v>8355</v>
      </c>
      <c r="I8">
        <v>6000</v>
      </c>
      <c r="J8" t="s">
        <v>4869</v>
      </c>
      <c r="K8" t="s">
        <v>12035</v>
      </c>
      <c r="L8" s="3" t="s">
        <v>12036</v>
      </c>
      <c r="M8" t="s">
        <v>12037</v>
      </c>
    </row>
    <row r="9" spans="1:17" x14ac:dyDescent="0.2">
      <c r="A9" t="s">
        <v>12370</v>
      </c>
      <c r="B9" s="6" t="s">
        <v>4877</v>
      </c>
      <c r="C9" t="s">
        <v>10831</v>
      </c>
      <c r="D9" t="s">
        <v>10830</v>
      </c>
      <c r="E9" t="s">
        <v>949</v>
      </c>
      <c r="F9" t="s">
        <v>10772</v>
      </c>
      <c r="G9" t="s">
        <v>10801</v>
      </c>
      <c r="H9">
        <v>13822</v>
      </c>
      <c r="I9">
        <v>6000</v>
      </c>
      <c r="J9" t="s">
        <v>4776</v>
      </c>
      <c r="K9" t="s">
        <v>12038</v>
      </c>
      <c r="L9" s="3" t="s">
        <v>12039</v>
      </c>
      <c r="M9" t="s">
        <v>12040</v>
      </c>
    </row>
    <row r="10" spans="1:17" x14ac:dyDescent="0.2">
      <c r="A10" t="s">
        <v>12371</v>
      </c>
      <c r="B10" s="6" t="s">
        <v>4654</v>
      </c>
      <c r="C10" t="s">
        <v>10836</v>
      </c>
      <c r="D10" t="s">
        <v>10834</v>
      </c>
      <c r="E10" t="s">
        <v>123</v>
      </c>
      <c r="F10" t="s">
        <v>10772</v>
      </c>
      <c r="G10" t="s">
        <v>10835</v>
      </c>
      <c r="H10">
        <v>7508</v>
      </c>
      <c r="I10">
        <v>6000</v>
      </c>
      <c r="J10" t="s">
        <v>4712</v>
      </c>
      <c r="K10" t="s">
        <v>12041</v>
      </c>
      <c r="L10" s="3" t="s">
        <v>12042</v>
      </c>
      <c r="M10" t="s">
        <v>12043</v>
      </c>
    </row>
    <row r="11" spans="1:17" x14ac:dyDescent="0.2">
      <c r="A11" t="s">
        <v>12372</v>
      </c>
      <c r="B11" s="6" t="s">
        <v>4659</v>
      </c>
      <c r="C11" t="s">
        <v>10841</v>
      </c>
      <c r="D11" t="s">
        <v>10840</v>
      </c>
      <c r="E11" t="s">
        <v>330</v>
      </c>
      <c r="F11" t="s">
        <v>10772</v>
      </c>
      <c r="G11" t="s">
        <v>10835</v>
      </c>
      <c r="H11">
        <v>8178</v>
      </c>
      <c r="I11">
        <v>6000</v>
      </c>
      <c r="J11" t="s">
        <v>4629</v>
      </c>
      <c r="K11" t="s">
        <v>12044</v>
      </c>
      <c r="L11" s="3" t="s">
        <v>12045</v>
      </c>
      <c r="M11" t="s">
        <v>12046</v>
      </c>
    </row>
    <row r="12" spans="1:17" x14ac:dyDescent="0.2">
      <c r="A12" t="s">
        <v>12373</v>
      </c>
      <c r="B12" s="6" t="s">
        <v>4659</v>
      </c>
      <c r="C12" t="s">
        <v>10845</v>
      </c>
      <c r="D12" t="s">
        <v>10844</v>
      </c>
      <c r="E12" t="s">
        <v>429</v>
      </c>
      <c r="F12" t="s">
        <v>10772</v>
      </c>
      <c r="G12" t="s">
        <v>10835</v>
      </c>
      <c r="H12">
        <v>7028</v>
      </c>
      <c r="I12">
        <v>6000</v>
      </c>
      <c r="J12" t="s">
        <v>4776</v>
      </c>
      <c r="K12" t="s">
        <v>12047</v>
      </c>
      <c r="L12" s="3" t="s">
        <v>12048</v>
      </c>
      <c r="M12" t="s">
        <v>12049</v>
      </c>
    </row>
    <row r="13" spans="1:17" x14ac:dyDescent="0.2">
      <c r="A13" t="s">
        <v>12374</v>
      </c>
      <c r="B13" s="6" t="s">
        <v>4699</v>
      </c>
      <c r="C13" t="s">
        <v>10849</v>
      </c>
      <c r="D13" t="s">
        <v>10848</v>
      </c>
      <c r="E13" t="s">
        <v>543</v>
      </c>
      <c r="F13" t="s">
        <v>10772</v>
      </c>
      <c r="G13" t="s">
        <v>10835</v>
      </c>
      <c r="H13">
        <v>9025</v>
      </c>
      <c r="I13">
        <v>6000</v>
      </c>
      <c r="J13" t="s">
        <v>4629</v>
      </c>
      <c r="K13" t="s">
        <v>12050</v>
      </c>
      <c r="L13" s="3" t="s">
        <v>12051</v>
      </c>
      <c r="M13" t="s">
        <v>12052</v>
      </c>
    </row>
    <row r="14" spans="1:17" x14ac:dyDescent="0.2">
      <c r="A14" t="s">
        <v>12375</v>
      </c>
      <c r="B14" s="6" t="s">
        <v>4811</v>
      </c>
      <c r="C14" t="s">
        <v>10853</v>
      </c>
      <c r="D14" t="s">
        <v>10852</v>
      </c>
      <c r="E14" t="s">
        <v>645</v>
      </c>
      <c r="F14" t="s">
        <v>10772</v>
      </c>
      <c r="G14" t="s">
        <v>10835</v>
      </c>
      <c r="H14">
        <v>7282</v>
      </c>
      <c r="I14">
        <v>6000</v>
      </c>
      <c r="J14" t="s">
        <v>4622</v>
      </c>
      <c r="K14" t="s">
        <v>12053</v>
      </c>
      <c r="L14" s="3" t="s">
        <v>12054</v>
      </c>
      <c r="M14" t="s">
        <v>12055</v>
      </c>
    </row>
    <row r="15" spans="1:17" x14ac:dyDescent="0.2">
      <c r="A15" t="s">
        <v>12376</v>
      </c>
      <c r="B15" s="6" t="s">
        <v>4696</v>
      </c>
      <c r="C15" t="s">
        <v>10857</v>
      </c>
      <c r="D15" t="s">
        <v>10856</v>
      </c>
      <c r="E15" t="s">
        <v>759</v>
      </c>
      <c r="F15" t="s">
        <v>10772</v>
      </c>
      <c r="G15" t="s">
        <v>10835</v>
      </c>
      <c r="H15">
        <v>11213</v>
      </c>
      <c r="I15">
        <v>12000</v>
      </c>
      <c r="J15" t="s">
        <v>4629</v>
      </c>
      <c r="K15" t="s">
        <v>12056</v>
      </c>
      <c r="L15" s="3" t="s">
        <v>12057</v>
      </c>
      <c r="M15" t="s">
        <v>12058</v>
      </c>
    </row>
    <row r="16" spans="1:17" x14ac:dyDescent="0.2">
      <c r="A16" t="s">
        <v>12377</v>
      </c>
      <c r="B16" s="6" t="s">
        <v>4673</v>
      </c>
      <c r="C16" t="s">
        <v>10861</v>
      </c>
      <c r="D16" t="s">
        <v>10860</v>
      </c>
      <c r="E16" t="s">
        <v>839</v>
      </c>
      <c r="F16" t="s">
        <v>10772</v>
      </c>
      <c r="G16" t="s">
        <v>10835</v>
      </c>
      <c r="H16">
        <v>7316</v>
      </c>
      <c r="I16">
        <v>6000</v>
      </c>
      <c r="J16" t="s">
        <v>4776</v>
      </c>
      <c r="K16" t="s">
        <v>12059</v>
      </c>
      <c r="L16" s="3" t="s">
        <v>5199</v>
      </c>
      <c r="M16" t="s">
        <v>12060</v>
      </c>
    </row>
    <row r="17" spans="1:13" x14ac:dyDescent="0.2">
      <c r="A17" t="s">
        <v>12378</v>
      </c>
      <c r="B17" s="6" t="s">
        <v>4897</v>
      </c>
      <c r="C17" t="s">
        <v>10865</v>
      </c>
      <c r="D17" t="s">
        <v>10864</v>
      </c>
      <c r="E17" t="s">
        <v>949</v>
      </c>
      <c r="F17" t="s">
        <v>10772</v>
      </c>
      <c r="G17" t="s">
        <v>10835</v>
      </c>
      <c r="H17">
        <v>17748</v>
      </c>
      <c r="I17">
        <v>12000</v>
      </c>
      <c r="J17" t="s">
        <v>4776</v>
      </c>
      <c r="K17" t="s">
        <v>12061</v>
      </c>
      <c r="L17" s="3" t="s">
        <v>12062</v>
      </c>
      <c r="M17" t="s">
        <v>12063</v>
      </c>
    </row>
    <row r="18" spans="1:13" x14ac:dyDescent="0.2">
      <c r="A18" t="s">
        <v>12379</v>
      </c>
      <c r="B18" s="6" t="s">
        <v>4673</v>
      </c>
      <c r="C18" t="s">
        <v>10869</v>
      </c>
      <c r="D18" t="s">
        <v>10868</v>
      </c>
      <c r="E18" t="s">
        <v>1054</v>
      </c>
      <c r="F18" t="s">
        <v>10772</v>
      </c>
      <c r="G18" t="s">
        <v>10835</v>
      </c>
      <c r="H18">
        <v>6766</v>
      </c>
      <c r="I18">
        <v>6000</v>
      </c>
      <c r="J18" t="s">
        <v>4629</v>
      </c>
      <c r="K18" t="s">
        <v>12059</v>
      </c>
      <c r="L18" s="3" t="s">
        <v>4663</v>
      </c>
      <c r="M18" t="s">
        <v>12064</v>
      </c>
    </row>
    <row r="19" spans="1:13" x14ac:dyDescent="0.2">
      <c r="A19" t="s">
        <v>12380</v>
      </c>
      <c r="B19" s="6" t="s">
        <v>4648</v>
      </c>
      <c r="C19" t="s">
        <v>10874</v>
      </c>
      <c r="D19" t="s">
        <v>10872</v>
      </c>
      <c r="E19" t="s">
        <v>123</v>
      </c>
      <c r="F19" t="s">
        <v>10772</v>
      </c>
      <c r="G19" t="s">
        <v>10873</v>
      </c>
      <c r="H19">
        <v>6847</v>
      </c>
      <c r="I19">
        <v>6000</v>
      </c>
      <c r="J19" t="s">
        <v>4629</v>
      </c>
      <c r="K19" t="s">
        <v>12065</v>
      </c>
      <c r="L19" s="3" t="s">
        <v>12066</v>
      </c>
      <c r="M19" t="s">
        <v>12067</v>
      </c>
    </row>
    <row r="20" spans="1:13" x14ac:dyDescent="0.2">
      <c r="A20" t="s">
        <v>12381</v>
      </c>
      <c r="B20" s="6" t="s">
        <v>4648</v>
      </c>
      <c r="C20" t="s">
        <v>10879</v>
      </c>
      <c r="D20" t="s">
        <v>10878</v>
      </c>
      <c r="E20" t="s">
        <v>330</v>
      </c>
      <c r="F20" t="s">
        <v>10772</v>
      </c>
      <c r="G20" t="s">
        <v>10873</v>
      </c>
      <c r="H20">
        <v>7695</v>
      </c>
      <c r="I20">
        <v>6000</v>
      </c>
      <c r="J20" t="s">
        <v>4629</v>
      </c>
      <c r="K20" t="s">
        <v>12068</v>
      </c>
      <c r="L20" s="3" t="s">
        <v>12069</v>
      </c>
      <c r="M20" t="s">
        <v>12070</v>
      </c>
    </row>
    <row r="21" spans="1:13" x14ac:dyDescent="0.2">
      <c r="A21" t="s">
        <v>12382</v>
      </c>
      <c r="B21" s="6" t="s">
        <v>4628</v>
      </c>
      <c r="C21" t="s">
        <v>10883</v>
      </c>
      <c r="D21" t="s">
        <v>10882</v>
      </c>
      <c r="E21" t="s">
        <v>429</v>
      </c>
      <c r="F21" t="s">
        <v>10772</v>
      </c>
      <c r="G21" t="s">
        <v>10873</v>
      </c>
      <c r="H21">
        <v>7103</v>
      </c>
      <c r="I21">
        <v>6000</v>
      </c>
      <c r="J21" t="s">
        <v>4629</v>
      </c>
      <c r="K21" t="s">
        <v>12071</v>
      </c>
      <c r="L21" s="3" t="s">
        <v>12072</v>
      </c>
      <c r="M21" t="s">
        <v>12073</v>
      </c>
    </row>
    <row r="22" spans="1:13" x14ac:dyDescent="0.2">
      <c r="A22" t="s">
        <v>12383</v>
      </c>
      <c r="B22" s="6" t="s">
        <v>4633</v>
      </c>
      <c r="C22" t="s">
        <v>10887</v>
      </c>
      <c r="D22" t="s">
        <v>10886</v>
      </c>
      <c r="E22" t="s">
        <v>543</v>
      </c>
      <c r="F22" t="s">
        <v>10772</v>
      </c>
      <c r="G22" t="s">
        <v>10873</v>
      </c>
      <c r="H22">
        <v>9025</v>
      </c>
      <c r="I22">
        <v>6000</v>
      </c>
      <c r="J22" t="s">
        <v>4629</v>
      </c>
      <c r="K22" t="s">
        <v>12074</v>
      </c>
      <c r="L22" s="3" t="s">
        <v>12075</v>
      </c>
      <c r="M22" t="s">
        <v>12076</v>
      </c>
    </row>
    <row r="23" spans="1:13" x14ac:dyDescent="0.2">
      <c r="A23" t="s">
        <v>12384</v>
      </c>
      <c r="B23" s="6" t="s">
        <v>5070</v>
      </c>
      <c r="C23" t="s">
        <v>10891</v>
      </c>
      <c r="D23" t="s">
        <v>10890</v>
      </c>
      <c r="E23" t="s">
        <v>645</v>
      </c>
      <c r="F23" t="s">
        <v>10772</v>
      </c>
      <c r="G23" t="s">
        <v>10873</v>
      </c>
      <c r="H23">
        <v>8111</v>
      </c>
      <c r="I23">
        <v>6000</v>
      </c>
      <c r="J23" t="s">
        <v>4869</v>
      </c>
      <c r="K23" t="s">
        <v>12077</v>
      </c>
      <c r="L23" s="3" t="s">
        <v>12078</v>
      </c>
      <c r="M23" t="s">
        <v>12079</v>
      </c>
    </row>
    <row r="24" spans="1:13" x14ac:dyDescent="0.2">
      <c r="A24" t="s">
        <v>12385</v>
      </c>
      <c r="B24" s="6" t="s">
        <v>4845</v>
      </c>
      <c r="C24" t="s">
        <v>10895</v>
      </c>
      <c r="D24" t="s">
        <v>10894</v>
      </c>
      <c r="E24" t="s">
        <v>759</v>
      </c>
      <c r="F24" t="s">
        <v>10772</v>
      </c>
      <c r="G24" t="s">
        <v>10873</v>
      </c>
      <c r="H24">
        <v>7501</v>
      </c>
      <c r="I24">
        <v>6000</v>
      </c>
      <c r="J24" t="s">
        <v>4776</v>
      </c>
      <c r="K24" t="s">
        <v>12080</v>
      </c>
      <c r="L24" s="3" t="s">
        <v>12081</v>
      </c>
      <c r="M24" t="s">
        <v>12082</v>
      </c>
    </row>
    <row r="25" spans="1:13" x14ac:dyDescent="0.2">
      <c r="A25" t="s">
        <v>12386</v>
      </c>
      <c r="B25" s="6" t="s">
        <v>4897</v>
      </c>
      <c r="C25" t="s">
        <v>10899</v>
      </c>
      <c r="D25" t="s">
        <v>10898</v>
      </c>
      <c r="E25" t="s">
        <v>839</v>
      </c>
      <c r="F25" t="s">
        <v>10772</v>
      </c>
      <c r="G25" t="s">
        <v>10873</v>
      </c>
      <c r="H25">
        <v>12668</v>
      </c>
      <c r="I25">
        <v>12000</v>
      </c>
      <c r="J25" t="s">
        <v>4776</v>
      </c>
      <c r="K25" t="s">
        <v>12083</v>
      </c>
      <c r="L25" s="3" t="s">
        <v>12084</v>
      </c>
      <c r="M25" t="s">
        <v>12085</v>
      </c>
    </row>
    <row r="26" spans="1:13" x14ac:dyDescent="0.2">
      <c r="A26" t="s">
        <v>12387</v>
      </c>
      <c r="B26" s="6" t="s">
        <v>4877</v>
      </c>
      <c r="C26" t="s">
        <v>10903</v>
      </c>
      <c r="D26" t="s">
        <v>10902</v>
      </c>
      <c r="E26" t="s">
        <v>949</v>
      </c>
      <c r="F26" t="s">
        <v>10772</v>
      </c>
      <c r="G26" t="s">
        <v>10873</v>
      </c>
      <c r="H26">
        <v>15205</v>
      </c>
      <c r="I26">
        <v>6000</v>
      </c>
      <c r="J26" t="s">
        <v>4776</v>
      </c>
      <c r="K26" t="s">
        <v>12086</v>
      </c>
      <c r="L26" s="3" t="s">
        <v>12087</v>
      </c>
      <c r="M26" t="s">
        <v>12088</v>
      </c>
    </row>
    <row r="27" spans="1:13" x14ac:dyDescent="0.2">
      <c r="A27" t="s">
        <v>12388</v>
      </c>
      <c r="B27" s="6" t="s">
        <v>4628</v>
      </c>
      <c r="C27" t="s">
        <v>10907</v>
      </c>
      <c r="D27" t="s">
        <v>10906</v>
      </c>
      <c r="E27" t="s">
        <v>1054</v>
      </c>
      <c r="F27" t="s">
        <v>10772</v>
      </c>
      <c r="G27" t="s">
        <v>10873</v>
      </c>
      <c r="H27">
        <v>8413</v>
      </c>
      <c r="I27">
        <v>6000</v>
      </c>
      <c r="J27" t="s">
        <v>4629</v>
      </c>
      <c r="K27" t="s">
        <v>12089</v>
      </c>
      <c r="L27" s="3" t="s">
        <v>12090</v>
      </c>
      <c r="M27" t="s">
        <v>12091</v>
      </c>
    </row>
    <row r="28" spans="1:13" x14ac:dyDescent="0.2">
      <c r="A28" t="s">
        <v>12389</v>
      </c>
      <c r="B28" s="6" t="s">
        <v>4648</v>
      </c>
      <c r="C28" t="s">
        <v>10912</v>
      </c>
      <c r="D28" t="s">
        <v>10910</v>
      </c>
      <c r="E28" t="s">
        <v>123</v>
      </c>
      <c r="F28" t="s">
        <v>122</v>
      </c>
      <c r="G28" t="s">
        <v>10911</v>
      </c>
      <c r="H28">
        <v>6847</v>
      </c>
      <c r="I28">
        <v>6000</v>
      </c>
      <c r="J28" t="s">
        <v>4629</v>
      </c>
      <c r="K28" t="s">
        <v>12092</v>
      </c>
      <c r="L28" s="3" t="s">
        <v>12093</v>
      </c>
      <c r="M28" t="s">
        <v>12094</v>
      </c>
    </row>
    <row r="29" spans="1:13" x14ac:dyDescent="0.2">
      <c r="A29" t="s">
        <v>12390</v>
      </c>
      <c r="B29" s="6" t="s">
        <v>4729</v>
      </c>
      <c r="C29" t="s">
        <v>10918</v>
      </c>
      <c r="D29" t="s">
        <v>10917</v>
      </c>
      <c r="E29" t="s">
        <v>330</v>
      </c>
      <c r="F29" t="s">
        <v>122</v>
      </c>
      <c r="G29" t="s">
        <v>10911</v>
      </c>
      <c r="H29">
        <v>8030</v>
      </c>
      <c r="I29">
        <v>6000</v>
      </c>
      <c r="J29" t="s">
        <v>4668</v>
      </c>
      <c r="K29" t="s">
        <v>12095</v>
      </c>
      <c r="L29" s="3" t="s">
        <v>12096</v>
      </c>
      <c r="M29" t="s">
        <v>12094</v>
      </c>
    </row>
    <row r="30" spans="1:13" x14ac:dyDescent="0.2">
      <c r="A30" t="s">
        <v>12391</v>
      </c>
      <c r="B30" s="6" t="s">
        <v>4648</v>
      </c>
      <c r="C30" t="s">
        <v>10923</v>
      </c>
      <c r="D30" t="s">
        <v>10922</v>
      </c>
      <c r="E30" t="s">
        <v>429</v>
      </c>
      <c r="F30" t="s">
        <v>122</v>
      </c>
      <c r="G30" t="s">
        <v>10911</v>
      </c>
      <c r="H30">
        <v>7323</v>
      </c>
      <c r="I30">
        <v>6000</v>
      </c>
      <c r="J30" t="s">
        <v>4629</v>
      </c>
      <c r="K30" t="s">
        <v>12097</v>
      </c>
      <c r="L30" s="3" t="s">
        <v>12093</v>
      </c>
      <c r="M30" t="s">
        <v>12094</v>
      </c>
    </row>
    <row r="31" spans="1:13" x14ac:dyDescent="0.2">
      <c r="A31" t="s">
        <v>12392</v>
      </c>
      <c r="B31" s="6" t="s">
        <v>4696</v>
      </c>
      <c r="C31" t="s">
        <v>10928</v>
      </c>
      <c r="D31" t="s">
        <v>10927</v>
      </c>
      <c r="E31" t="s">
        <v>543</v>
      </c>
      <c r="F31" t="s">
        <v>122</v>
      </c>
      <c r="G31" t="s">
        <v>10911</v>
      </c>
      <c r="H31">
        <v>4711</v>
      </c>
      <c r="I31">
        <v>6000</v>
      </c>
      <c r="J31" t="s">
        <v>4629</v>
      </c>
      <c r="K31" t="s">
        <v>12098</v>
      </c>
      <c r="L31" s="3" t="s">
        <v>12099</v>
      </c>
      <c r="M31" t="s">
        <v>12100</v>
      </c>
    </row>
    <row r="32" spans="1:13" x14ac:dyDescent="0.2">
      <c r="A32" t="s">
        <v>12393</v>
      </c>
      <c r="B32" s="6" t="s">
        <v>5070</v>
      </c>
      <c r="C32" t="s">
        <v>10933</v>
      </c>
      <c r="D32" t="s">
        <v>10932</v>
      </c>
      <c r="E32" t="s">
        <v>645</v>
      </c>
      <c r="F32" t="s">
        <v>122</v>
      </c>
      <c r="G32" t="s">
        <v>10911</v>
      </c>
      <c r="H32">
        <v>8111</v>
      </c>
      <c r="I32">
        <v>6000</v>
      </c>
      <c r="J32" t="s">
        <v>4869</v>
      </c>
      <c r="K32" t="s">
        <v>12101</v>
      </c>
      <c r="L32" s="3" t="s">
        <v>12102</v>
      </c>
      <c r="M32" t="s">
        <v>12094</v>
      </c>
    </row>
    <row r="33" spans="1:13" x14ac:dyDescent="0.2">
      <c r="A33" t="s">
        <v>12394</v>
      </c>
      <c r="B33" s="6" t="s">
        <v>4696</v>
      </c>
      <c r="C33" t="s">
        <v>10938</v>
      </c>
      <c r="D33" t="s">
        <v>10937</v>
      </c>
      <c r="E33" t="s">
        <v>759</v>
      </c>
      <c r="F33" t="s">
        <v>122</v>
      </c>
      <c r="G33" t="s">
        <v>10911</v>
      </c>
      <c r="H33">
        <v>7316</v>
      </c>
      <c r="I33">
        <v>6000</v>
      </c>
      <c r="J33" t="s">
        <v>4629</v>
      </c>
      <c r="K33" t="s">
        <v>12103</v>
      </c>
      <c r="L33" s="3" t="s">
        <v>12104</v>
      </c>
      <c r="M33" t="s">
        <v>12105</v>
      </c>
    </row>
    <row r="34" spans="1:13" x14ac:dyDescent="0.2">
      <c r="A34" t="s">
        <v>12395</v>
      </c>
      <c r="B34" s="6" t="s">
        <v>4897</v>
      </c>
      <c r="C34" t="s">
        <v>10943</v>
      </c>
      <c r="D34" t="s">
        <v>10942</v>
      </c>
      <c r="E34" t="s">
        <v>839</v>
      </c>
      <c r="F34" t="s">
        <v>122</v>
      </c>
      <c r="G34" t="s">
        <v>10911</v>
      </c>
      <c r="H34">
        <v>12668</v>
      </c>
      <c r="I34">
        <v>12000</v>
      </c>
      <c r="J34" t="s">
        <v>4776</v>
      </c>
      <c r="K34" t="s">
        <v>12083</v>
      </c>
      <c r="L34" s="3" t="s">
        <v>12106</v>
      </c>
      <c r="M34" t="s">
        <v>12107</v>
      </c>
    </row>
    <row r="35" spans="1:13" x14ac:dyDescent="0.2">
      <c r="A35" t="s">
        <v>12396</v>
      </c>
      <c r="B35" s="6" t="s">
        <v>4696</v>
      </c>
      <c r="C35" t="s">
        <v>10948</v>
      </c>
      <c r="D35" t="s">
        <v>10947</v>
      </c>
      <c r="E35" t="s">
        <v>949</v>
      </c>
      <c r="F35" t="s">
        <v>122</v>
      </c>
      <c r="G35" t="s">
        <v>10911</v>
      </c>
      <c r="H35">
        <v>17748</v>
      </c>
      <c r="I35">
        <v>12000</v>
      </c>
      <c r="J35" t="s">
        <v>4629</v>
      </c>
      <c r="K35" t="s">
        <v>12108</v>
      </c>
      <c r="L35" s="3" t="s">
        <v>12109</v>
      </c>
      <c r="M35" t="s">
        <v>12110</v>
      </c>
    </row>
    <row r="36" spans="1:13" x14ac:dyDescent="0.2">
      <c r="A36" t="s">
        <v>12397</v>
      </c>
      <c r="B36" s="6" t="s">
        <v>5202</v>
      </c>
      <c r="C36" t="s">
        <v>10953</v>
      </c>
      <c r="D36" t="s">
        <v>10952</v>
      </c>
      <c r="E36" t="s">
        <v>1054</v>
      </c>
      <c r="F36" t="s">
        <v>122</v>
      </c>
      <c r="G36" t="s">
        <v>10911</v>
      </c>
      <c r="H36">
        <v>7316</v>
      </c>
      <c r="I36">
        <v>6000</v>
      </c>
      <c r="J36" t="s">
        <v>4842</v>
      </c>
      <c r="K36" t="s">
        <v>12111</v>
      </c>
      <c r="L36" s="3" t="s">
        <v>12112</v>
      </c>
      <c r="M36" t="s">
        <v>12094</v>
      </c>
    </row>
    <row r="37" spans="1:13" x14ac:dyDescent="0.2">
      <c r="A37" t="s">
        <v>12398</v>
      </c>
      <c r="B37" s="6" t="s">
        <v>4648</v>
      </c>
      <c r="C37" t="s">
        <v>10958</v>
      </c>
      <c r="D37" t="s">
        <v>10957</v>
      </c>
      <c r="E37" t="s">
        <v>123</v>
      </c>
      <c r="F37" t="s">
        <v>1103</v>
      </c>
      <c r="G37" t="s">
        <v>10911</v>
      </c>
      <c r="H37">
        <v>6847</v>
      </c>
      <c r="I37">
        <v>6000</v>
      </c>
      <c r="J37" t="s">
        <v>4629</v>
      </c>
      <c r="K37" t="s">
        <v>12113</v>
      </c>
      <c r="L37" s="3" t="s">
        <v>12114</v>
      </c>
      <c r="M37" t="s">
        <v>12094</v>
      </c>
    </row>
    <row r="38" spans="1:13" x14ac:dyDescent="0.2">
      <c r="A38" t="s">
        <v>12399</v>
      </c>
      <c r="B38" s="6" t="s">
        <v>4897</v>
      </c>
      <c r="C38" t="s">
        <v>10962</v>
      </c>
      <c r="D38" t="s">
        <v>10961</v>
      </c>
      <c r="E38" t="s">
        <v>330</v>
      </c>
      <c r="F38" t="s">
        <v>1103</v>
      </c>
      <c r="G38" t="s">
        <v>10911</v>
      </c>
      <c r="H38">
        <v>12841</v>
      </c>
      <c r="I38">
        <v>12000</v>
      </c>
      <c r="J38" t="s">
        <v>4776</v>
      </c>
      <c r="K38" t="s">
        <v>12083</v>
      </c>
      <c r="L38" s="3" t="s">
        <v>12115</v>
      </c>
      <c r="M38" t="s">
        <v>12107</v>
      </c>
    </row>
    <row r="39" spans="1:13" x14ac:dyDescent="0.2">
      <c r="A39" t="s">
        <v>12400</v>
      </c>
      <c r="B39" s="6" t="s">
        <v>4628</v>
      </c>
      <c r="C39" t="s">
        <v>10966</v>
      </c>
      <c r="D39" t="s">
        <v>10965</v>
      </c>
      <c r="E39" t="s">
        <v>429</v>
      </c>
      <c r="F39" t="s">
        <v>1103</v>
      </c>
      <c r="G39" t="s">
        <v>10911</v>
      </c>
      <c r="H39">
        <v>7103</v>
      </c>
      <c r="I39">
        <v>6000</v>
      </c>
      <c r="J39" t="s">
        <v>4629</v>
      </c>
      <c r="K39" t="s">
        <v>12116</v>
      </c>
      <c r="L39" s="3" t="s">
        <v>12117</v>
      </c>
      <c r="M39" t="s">
        <v>12118</v>
      </c>
    </row>
    <row r="40" spans="1:13" x14ac:dyDescent="0.2">
      <c r="A40" t="s">
        <v>12401</v>
      </c>
      <c r="B40" s="6" t="s">
        <v>4633</v>
      </c>
      <c r="C40" t="s">
        <v>10970</v>
      </c>
      <c r="D40" t="s">
        <v>10969</v>
      </c>
      <c r="E40" t="s">
        <v>543</v>
      </c>
      <c r="F40" t="s">
        <v>1103</v>
      </c>
      <c r="G40" t="s">
        <v>10911</v>
      </c>
      <c r="H40">
        <v>9025</v>
      </c>
      <c r="I40">
        <v>6000</v>
      </c>
      <c r="J40" t="s">
        <v>4629</v>
      </c>
      <c r="K40" t="s">
        <v>12119</v>
      </c>
      <c r="L40" s="3" t="s">
        <v>12120</v>
      </c>
      <c r="M40" t="s">
        <v>12094</v>
      </c>
    </row>
    <row r="41" spans="1:13" x14ac:dyDescent="0.2">
      <c r="A41" t="s">
        <v>12402</v>
      </c>
      <c r="B41" s="6" t="s">
        <v>4897</v>
      </c>
      <c r="C41" t="s">
        <v>10974</v>
      </c>
      <c r="D41" t="s">
        <v>10973</v>
      </c>
      <c r="E41" t="s">
        <v>645</v>
      </c>
      <c r="F41" t="s">
        <v>1103</v>
      </c>
      <c r="G41" t="s">
        <v>10911</v>
      </c>
      <c r="H41">
        <v>14410</v>
      </c>
      <c r="I41">
        <v>12000</v>
      </c>
      <c r="J41" t="s">
        <v>4776</v>
      </c>
      <c r="K41" t="s">
        <v>12121</v>
      </c>
      <c r="L41" s="3" t="s">
        <v>12403</v>
      </c>
      <c r="M41" t="s">
        <v>12123</v>
      </c>
    </row>
    <row r="42" spans="1:13" x14ac:dyDescent="0.2">
      <c r="A42" t="s">
        <v>12404</v>
      </c>
      <c r="B42" s="6" t="s">
        <v>4696</v>
      </c>
      <c r="C42" t="s">
        <v>10977</v>
      </c>
      <c r="D42" t="s">
        <v>10976</v>
      </c>
      <c r="E42" t="s">
        <v>759</v>
      </c>
      <c r="F42" t="s">
        <v>1103</v>
      </c>
      <c r="G42" t="s">
        <v>10911</v>
      </c>
      <c r="H42">
        <v>7316</v>
      </c>
      <c r="I42">
        <v>6000</v>
      </c>
      <c r="J42" t="s">
        <v>4629</v>
      </c>
      <c r="K42" t="s">
        <v>12103</v>
      </c>
      <c r="L42" s="3" t="s">
        <v>12124</v>
      </c>
      <c r="M42" t="s">
        <v>12105</v>
      </c>
    </row>
    <row r="43" spans="1:13" x14ac:dyDescent="0.2">
      <c r="A43" t="s">
        <v>12405</v>
      </c>
      <c r="B43" s="6" t="s">
        <v>4852</v>
      </c>
      <c r="C43" t="s">
        <v>10981</v>
      </c>
      <c r="D43" t="s">
        <v>10980</v>
      </c>
      <c r="E43" t="s">
        <v>839</v>
      </c>
      <c r="F43" t="s">
        <v>1103</v>
      </c>
      <c r="G43" t="s">
        <v>10911</v>
      </c>
      <c r="H43">
        <v>8757</v>
      </c>
      <c r="I43">
        <v>6000</v>
      </c>
      <c r="J43" t="s">
        <v>4869</v>
      </c>
      <c r="K43" t="s">
        <v>12125</v>
      </c>
      <c r="L43" s="3" t="s">
        <v>12126</v>
      </c>
      <c r="M43" t="s">
        <v>12094</v>
      </c>
    </row>
    <row r="44" spans="1:13" x14ac:dyDescent="0.2">
      <c r="A44" t="s">
        <v>12406</v>
      </c>
      <c r="B44" s="6" t="s">
        <v>4696</v>
      </c>
      <c r="C44" t="s">
        <v>10985</v>
      </c>
      <c r="D44" t="s">
        <v>10984</v>
      </c>
      <c r="E44" t="s">
        <v>949</v>
      </c>
      <c r="F44" t="s">
        <v>1103</v>
      </c>
      <c r="G44" t="s">
        <v>10911</v>
      </c>
      <c r="H44">
        <v>17748</v>
      </c>
      <c r="I44">
        <v>12000</v>
      </c>
      <c r="J44" t="s">
        <v>4629</v>
      </c>
      <c r="K44" t="s">
        <v>12108</v>
      </c>
      <c r="L44" s="3" t="s">
        <v>12127</v>
      </c>
      <c r="M44" t="s">
        <v>12110</v>
      </c>
    </row>
    <row r="45" spans="1:13" x14ac:dyDescent="0.2">
      <c r="A45" t="s">
        <v>12407</v>
      </c>
      <c r="B45" s="6" t="s">
        <v>5202</v>
      </c>
      <c r="C45" t="s">
        <v>10989</v>
      </c>
      <c r="D45" t="s">
        <v>10988</v>
      </c>
      <c r="E45" t="s">
        <v>1054</v>
      </c>
      <c r="F45" t="s">
        <v>1103</v>
      </c>
      <c r="G45" t="s">
        <v>10911</v>
      </c>
      <c r="H45">
        <v>7316</v>
      </c>
      <c r="I45">
        <v>6000</v>
      </c>
      <c r="J45" t="s">
        <v>4842</v>
      </c>
      <c r="K45" t="s">
        <v>12128</v>
      </c>
      <c r="L45" s="3" t="s">
        <v>12129</v>
      </c>
      <c r="M45" t="s">
        <v>12094</v>
      </c>
    </row>
    <row r="46" spans="1:13" x14ac:dyDescent="0.2">
      <c r="A46" t="s">
        <v>12408</v>
      </c>
      <c r="B46" s="6" t="s">
        <v>4673</v>
      </c>
      <c r="C46" t="s">
        <v>10993</v>
      </c>
      <c r="D46" t="s">
        <v>10992</v>
      </c>
      <c r="E46" t="s">
        <v>123</v>
      </c>
      <c r="F46" t="s">
        <v>1947</v>
      </c>
      <c r="G46" t="s">
        <v>10911</v>
      </c>
      <c r="H46">
        <v>7316</v>
      </c>
      <c r="I46">
        <v>6000</v>
      </c>
      <c r="J46" t="s">
        <v>4629</v>
      </c>
      <c r="K46" t="s">
        <v>12130</v>
      </c>
      <c r="L46" s="3" t="s">
        <v>12131</v>
      </c>
      <c r="M46" t="s">
        <v>12132</v>
      </c>
    </row>
    <row r="47" spans="1:13" x14ac:dyDescent="0.2">
      <c r="A47" t="s">
        <v>12409</v>
      </c>
      <c r="B47" s="6" t="s">
        <v>4729</v>
      </c>
      <c r="C47" t="s">
        <v>10997</v>
      </c>
      <c r="D47" t="s">
        <v>10996</v>
      </c>
      <c r="E47" t="s">
        <v>330</v>
      </c>
      <c r="F47" t="s">
        <v>1947</v>
      </c>
      <c r="G47" t="s">
        <v>10911</v>
      </c>
      <c r="H47">
        <v>8030</v>
      </c>
      <c r="I47">
        <v>6000</v>
      </c>
      <c r="J47" t="s">
        <v>4668</v>
      </c>
      <c r="K47" t="s">
        <v>12133</v>
      </c>
      <c r="L47" s="3" t="s">
        <v>12134</v>
      </c>
      <c r="M47" t="s">
        <v>12094</v>
      </c>
    </row>
    <row r="48" spans="1:13" x14ac:dyDescent="0.2">
      <c r="A48" t="s">
        <v>12410</v>
      </c>
      <c r="B48" s="6" t="s">
        <v>4648</v>
      </c>
      <c r="C48" t="s">
        <v>11001</v>
      </c>
      <c r="D48" t="s">
        <v>11000</v>
      </c>
      <c r="E48" t="s">
        <v>429</v>
      </c>
      <c r="F48" t="s">
        <v>1947</v>
      </c>
      <c r="G48" t="s">
        <v>10911</v>
      </c>
      <c r="H48">
        <v>7323</v>
      </c>
      <c r="I48">
        <v>6000</v>
      </c>
      <c r="J48" t="s">
        <v>4629</v>
      </c>
      <c r="K48" t="s">
        <v>12135</v>
      </c>
      <c r="L48" s="3" t="s">
        <v>12136</v>
      </c>
      <c r="M48" t="s">
        <v>12094</v>
      </c>
    </row>
    <row r="49" spans="1:13" x14ac:dyDescent="0.2">
      <c r="A49" t="s">
        <v>12411</v>
      </c>
      <c r="B49" s="6" t="s">
        <v>4633</v>
      </c>
      <c r="C49" t="s">
        <v>11005</v>
      </c>
      <c r="D49" t="s">
        <v>11004</v>
      </c>
      <c r="E49" t="s">
        <v>543</v>
      </c>
      <c r="F49" t="s">
        <v>1947</v>
      </c>
      <c r="G49" t="s">
        <v>10911</v>
      </c>
      <c r="H49">
        <v>9025</v>
      </c>
      <c r="I49">
        <v>6000</v>
      </c>
      <c r="J49" t="s">
        <v>4629</v>
      </c>
      <c r="K49" t="s">
        <v>12137</v>
      </c>
      <c r="L49" s="3" t="s">
        <v>12138</v>
      </c>
      <c r="M49" t="s">
        <v>12094</v>
      </c>
    </row>
    <row r="50" spans="1:13" x14ac:dyDescent="0.2">
      <c r="A50" t="s">
        <v>12412</v>
      </c>
      <c r="B50" s="6" t="s">
        <v>4897</v>
      </c>
      <c r="C50" t="s">
        <v>11009</v>
      </c>
      <c r="D50" t="s">
        <v>11008</v>
      </c>
      <c r="E50" t="s">
        <v>645</v>
      </c>
      <c r="F50" t="s">
        <v>1947</v>
      </c>
      <c r="G50" t="s">
        <v>10911</v>
      </c>
      <c r="H50">
        <v>14410</v>
      </c>
      <c r="I50">
        <v>12000</v>
      </c>
      <c r="J50" t="s">
        <v>4776</v>
      </c>
      <c r="K50" t="s">
        <v>12121</v>
      </c>
      <c r="L50" s="3" t="s">
        <v>12413</v>
      </c>
      <c r="M50" t="s">
        <v>12123</v>
      </c>
    </row>
    <row r="51" spans="1:13" x14ac:dyDescent="0.2">
      <c r="A51" t="s">
        <v>12414</v>
      </c>
      <c r="B51" s="6" t="s">
        <v>4696</v>
      </c>
      <c r="C51" t="s">
        <v>11013</v>
      </c>
      <c r="D51" t="s">
        <v>11012</v>
      </c>
      <c r="E51" t="s">
        <v>759</v>
      </c>
      <c r="F51" t="s">
        <v>1947</v>
      </c>
      <c r="G51" t="s">
        <v>10911</v>
      </c>
      <c r="H51">
        <v>7316</v>
      </c>
      <c r="I51">
        <v>6000</v>
      </c>
      <c r="J51" t="s">
        <v>4629</v>
      </c>
      <c r="K51" t="s">
        <v>12103</v>
      </c>
      <c r="L51" s="3" t="s">
        <v>12140</v>
      </c>
      <c r="M51" t="s">
        <v>12105</v>
      </c>
    </row>
    <row r="52" spans="1:13" x14ac:dyDescent="0.2">
      <c r="A52" t="s">
        <v>12415</v>
      </c>
      <c r="B52" s="6" t="s">
        <v>4897</v>
      </c>
      <c r="C52" t="s">
        <v>11017</v>
      </c>
      <c r="D52" t="s">
        <v>11016</v>
      </c>
      <c r="E52" t="s">
        <v>839</v>
      </c>
      <c r="F52" t="s">
        <v>1947</v>
      </c>
      <c r="G52" t="s">
        <v>10911</v>
      </c>
      <c r="H52">
        <v>12668</v>
      </c>
      <c r="I52">
        <v>12000</v>
      </c>
      <c r="J52" t="s">
        <v>4776</v>
      </c>
      <c r="K52" t="s">
        <v>12083</v>
      </c>
      <c r="L52" s="3" t="s">
        <v>12141</v>
      </c>
      <c r="M52" t="s">
        <v>12107</v>
      </c>
    </row>
    <row r="53" spans="1:13" x14ac:dyDescent="0.2">
      <c r="A53" t="s">
        <v>12416</v>
      </c>
      <c r="B53" s="6" t="s">
        <v>4696</v>
      </c>
      <c r="C53" t="s">
        <v>11021</v>
      </c>
      <c r="D53" t="s">
        <v>11020</v>
      </c>
      <c r="E53" t="s">
        <v>949</v>
      </c>
      <c r="F53" t="s">
        <v>1947</v>
      </c>
      <c r="G53" t="s">
        <v>10911</v>
      </c>
      <c r="H53">
        <v>17748</v>
      </c>
      <c r="I53">
        <v>12000</v>
      </c>
      <c r="J53" t="s">
        <v>4629</v>
      </c>
      <c r="K53" t="s">
        <v>12108</v>
      </c>
      <c r="L53" s="3" t="s">
        <v>12142</v>
      </c>
      <c r="M53" t="s">
        <v>12110</v>
      </c>
    </row>
    <row r="54" spans="1:13" x14ac:dyDescent="0.2">
      <c r="A54" t="s">
        <v>12417</v>
      </c>
      <c r="B54" s="6" t="s">
        <v>5202</v>
      </c>
      <c r="C54" t="s">
        <v>11025</v>
      </c>
      <c r="D54" t="s">
        <v>11024</v>
      </c>
      <c r="E54" t="s">
        <v>1054</v>
      </c>
      <c r="F54" t="s">
        <v>1947</v>
      </c>
      <c r="G54" t="s">
        <v>10911</v>
      </c>
      <c r="H54">
        <v>7316</v>
      </c>
      <c r="I54">
        <v>6000</v>
      </c>
      <c r="J54" t="s">
        <v>4842</v>
      </c>
      <c r="K54" t="s">
        <v>12143</v>
      </c>
      <c r="L54" s="3" t="s">
        <v>12144</v>
      </c>
      <c r="M54" t="s">
        <v>12094</v>
      </c>
    </row>
    <row r="55" spans="1:13" x14ac:dyDescent="0.2">
      <c r="A55" t="s">
        <v>12418</v>
      </c>
      <c r="B55" s="6" t="s">
        <v>4648</v>
      </c>
      <c r="C55" t="s">
        <v>11029</v>
      </c>
      <c r="D55" t="s">
        <v>11028</v>
      </c>
      <c r="E55" t="s">
        <v>123</v>
      </c>
      <c r="F55" t="s">
        <v>2837</v>
      </c>
      <c r="G55" t="s">
        <v>10911</v>
      </c>
      <c r="H55">
        <v>6847</v>
      </c>
      <c r="I55">
        <v>6000</v>
      </c>
      <c r="J55" t="s">
        <v>4629</v>
      </c>
      <c r="K55" t="s">
        <v>12145</v>
      </c>
      <c r="L55" s="3" t="s">
        <v>12146</v>
      </c>
      <c r="M55" t="s">
        <v>12094</v>
      </c>
    </row>
    <row r="56" spans="1:13" x14ac:dyDescent="0.2">
      <c r="A56" t="s">
        <v>12419</v>
      </c>
      <c r="B56" s="6" t="s">
        <v>4897</v>
      </c>
      <c r="C56" t="s">
        <v>11033</v>
      </c>
      <c r="D56" t="s">
        <v>11032</v>
      </c>
      <c r="E56" t="s">
        <v>330</v>
      </c>
      <c r="F56" t="s">
        <v>2837</v>
      </c>
      <c r="G56" t="s">
        <v>10911</v>
      </c>
      <c r="H56">
        <v>12841</v>
      </c>
      <c r="I56">
        <v>12000</v>
      </c>
      <c r="J56" t="s">
        <v>4776</v>
      </c>
      <c r="K56" t="s">
        <v>12083</v>
      </c>
      <c r="L56" s="3" t="s">
        <v>12147</v>
      </c>
      <c r="M56" t="s">
        <v>12107</v>
      </c>
    </row>
    <row r="57" spans="1:13" x14ac:dyDescent="0.2">
      <c r="A57" t="s">
        <v>12420</v>
      </c>
      <c r="B57" s="6" t="s">
        <v>4628</v>
      </c>
      <c r="C57" t="s">
        <v>11037</v>
      </c>
      <c r="D57" t="s">
        <v>11036</v>
      </c>
      <c r="E57" t="s">
        <v>429</v>
      </c>
      <c r="F57" t="s">
        <v>2837</v>
      </c>
      <c r="G57" t="s">
        <v>10911</v>
      </c>
      <c r="H57">
        <v>7103</v>
      </c>
      <c r="I57">
        <v>6000</v>
      </c>
      <c r="J57" t="s">
        <v>4629</v>
      </c>
      <c r="K57" t="s">
        <v>12116</v>
      </c>
      <c r="L57" s="3" t="s">
        <v>12148</v>
      </c>
      <c r="M57" t="s">
        <v>12118</v>
      </c>
    </row>
    <row r="58" spans="1:13" x14ac:dyDescent="0.2">
      <c r="A58" t="s">
        <v>12421</v>
      </c>
      <c r="B58" s="6" t="s">
        <v>4696</v>
      </c>
      <c r="C58" t="s">
        <v>11041</v>
      </c>
      <c r="D58" t="s">
        <v>11040</v>
      </c>
      <c r="E58" t="s">
        <v>543</v>
      </c>
      <c r="F58" t="s">
        <v>2837</v>
      </c>
      <c r="G58" t="s">
        <v>10911</v>
      </c>
      <c r="H58">
        <v>4711</v>
      </c>
      <c r="I58">
        <v>6000</v>
      </c>
      <c r="J58" t="s">
        <v>4629</v>
      </c>
      <c r="K58" t="s">
        <v>12098</v>
      </c>
      <c r="L58" s="3" t="s">
        <v>12149</v>
      </c>
      <c r="M58" t="s">
        <v>12100</v>
      </c>
    </row>
    <row r="59" spans="1:13" x14ac:dyDescent="0.2">
      <c r="A59" t="s">
        <v>12422</v>
      </c>
      <c r="B59" s="6" t="s">
        <v>5070</v>
      </c>
      <c r="C59" t="s">
        <v>11045</v>
      </c>
      <c r="D59" t="s">
        <v>11044</v>
      </c>
      <c r="E59" t="s">
        <v>645</v>
      </c>
      <c r="F59" t="s">
        <v>2837</v>
      </c>
      <c r="G59" t="s">
        <v>10911</v>
      </c>
      <c r="H59">
        <v>8111</v>
      </c>
      <c r="I59">
        <v>6000</v>
      </c>
      <c r="J59" t="s">
        <v>4869</v>
      </c>
      <c r="K59" t="s">
        <v>12150</v>
      </c>
      <c r="L59" s="3" t="s">
        <v>12151</v>
      </c>
      <c r="M59" t="s">
        <v>12094</v>
      </c>
    </row>
    <row r="60" spans="1:13" x14ac:dyDescent="0.2">
      <c r="A60" t="s">
        <v>12423</v>
      </c>
      <c r="B60" s="6" t="s">
        <v>4841</v>
      </c>
      <c r="C60" t="s">
        <v>11049</v>
      </c>
      <c r="D60" t="s">
        <v>11048</v>
      </c>
      <c r="E60" t="s">
        <v>759</v>
      </c>
      <c r="F60" t="s">
        <v>2837</v>
      </c>
      <c r="G60" t="s">
        <v>10911</v>
      </c>
      <c r="H60">
        <v>8075</v>
      </c>
      <c r="I60">
        <v>6000</v>
      </c>
      <c r="J60" t="s">
        <v>4629</v>
      </c>
      <c r="K60" t="s">
        <v>12152</v>
      </c>
      <c r="L60" s="3" t="s">
        <v>12153</v>
      </c>
      <c r="M60" t="s">
        <v>12094</v>
      </c>
    </row>
    <row r="61" spans="1:13" x14ac:dyDescent="0.2">
      <c r="A61" t="s">
        <v>12424</v>
      </c>
      <c r="B61" s="6" t="s">
        <v>4852</v>
      </c>
      <c r="C61" t="s">
        <v>11053</v>
      </c>
      <c r="D61" t="s">
        <v>11052</v>
      </c>
      <c r="E61" t="s">
        <v>839</v>
      </c>
      <c r="F61" t="s">
        <v>2837</v>
      </c>
      <c r="G61" t="s">
        <v>10911</v>
      </c>
      <c r="H61">
        <v>8757</v>
      </c>
      <c r="I61">
        <v>6000</v>
      </c>
      <c r="J61" t="s">
        <v>4869</v>
      </c>
      <c r="K61" t="s">
        <v>12154</v>
      </c>
      <c r="L61" s="3" t="s">
        <v>12155</v>
      </c>
      <c r="M61" t="s">
        <v>12094</v>
      </c>
    </row>
    <row r="62" spans="1:13" x14ac:dyDescent="0.2">
      <c r="A62" t="s">
        <v>12425</v>
      </c>
      <c r="B62" s="6" t="s">
        <v>4877</v>
      </c>
      <c r="C62" t="s">
        <v>11057</v>
      </c>
      <c r="D62" t="s">
        <v>11056</v>
      </c>
      <c r="E62" t="s">
        <v>949</v>
      </c>
      <c r="F62" t="s">
        <v>2837</v>
      </c>
      <c r="G62" t="s">
        <v>10911</v>
      </c>
      <c r="H62">
        <v>15205</v>
      </c>
      <c r="I62">
        <v>6000</v>
      </c>
      <c r="J62" t="s">
        <v>4776</v>
      </c>
      <c r="K62" t="s">
        <v>12156</v>
      </c>
      <c r="L62" s="3" t="s">
        <v>12157</v>
      </c>
      <c r="M62" t="s">
        <v>12094</v>
      </c>
    </row>
    <row r="63" spans="1:13" x14ac:dyDescent="0.2">
      <c r="A63" t="s">
        <v>12426</v>
      </c>
      <c r="B63" s="6" t="s">
        <v>5202</v>
      </c>
      <c r="C63" t="s">
        <v>11061</v>
      </c>
      <c r="D63" t="s">
        <v>11060</v>
      </c>
      <c r="E63" t="s">
        <v>1054</v>
      </c>
      <c r="F63" t="s">
        <v>2837</v>
      </c>
      <c r="G63" t="s">
        <v>10911</v>
      </c>
      <c r="H63">
        <v>7316</v>
      </c>
      <c r="I63">
        <v>6000</v>
      </c>
      <c r="J63" t="s">
        <v>4842</v>
      </c>
      <c r="K63" t="s">
        <v>12158</v>
      </c>
      <c r="L63" s="3" t="s">
        <v>12159</v>
      </c>
      <c r="M63" t="s">
        <v>12094</v>
      </c>
    </row>
    <row r="64" spans="1:13" x14ac:dyDescent="0.2">
      <c r="A64" t="s">
        <v>12427</v>
      </c>
      <c r="B64" s="6" t="s">
        <v>4673</v>
      </c>
      <c r="C64" t="s">
        <v>11065</v>
      </c>
      <c r="D64" t="s">
        <v>11064</v>
      </c>
      <c r="E64" t="s">
        <v>123</v>
      </c>
      <c r="F64" t="s">
        <v>3779</v>
      </c>
      <c r="G64" t="s">
        <v>10911</v>
      </c>
      <c r="H64">
        <v>7316</v>
      </c>
      <c r="I64">
        <v>6000</v>
      </c>
      <c r="J64" t="s">
        <v>4629</v>
      </c>
      <c r="K64" t="s">
        <v>12130</v>
      </c>
      <c r="L64" s="3" t="s">
        <v>12160</v>
      </c>
      <c r="M64" t="s">
        <v>12132</v>
      </c>
    </row>
    <row r="65" spans="1:13" x14ac:dyDescent="0.2">
      <c r="A65" t="s">
        <v>12428</v>
      </c>
      <c r="B65" s="6" t="s">
        <v>4648</v>
      </c>
      <c r="C65" t="s">
        <v>11069</v>
      </c>
      <c r="D65" t="s">
        <v>11068</v>
      </c>
      <c r="E65" t="s">
        <v>330</v>
      </c>
      <c r="F65" t="s">
        <v>3779</v>
      </c>
      <c r="G65" t="s">
        <v>10911</v>
      </c>
      <c r="H65">
        <v>7695</v>
      </c>
      <c r="I65">
        <v>6000</v>
      </c>
      <c r="J65" t="s">
        <v>4629</v>
      </c>
      <c r="K65" t="s">
        <v>12161</v>
      </c>
      <c r="L65" s="3" t="s">
        <v>12162</v>
      </c>
      <c r="M65" t="s">
        <v>12094</v>
      </c>
    </row>
    <row r="66" spans="1:13" x14ac:dyDescent="0.2">
      <c r="A66" t="s">
        <v>12429</v>
      </c>
      <c r="B66" s="6" t="s">
        <v>4648</v>
      </c>
      <c r="C66" t="s">
        <v>11073</v>
      </c>
      <c r="D66" t="s">
        <v>11072</v>
      </c>
      <c r="E66" t="s">
        <v>429</v>
      </c>
      <c r="F66" t="s">
        <v>3779</v>
      </c>
      <c r="G66" t="s">
        <v>10911</v>
      </c>
      <c r="H66">
        <v>7323</v>
      </c>
      <c r="I66">
        <v>6000</v>
      </c>
      <c r="J66" t="s">
        <v>4629</v>
      </c>
      <c r="K66" t="s">
        <v>12163</v>
      </c>
      <c r="L66" s="3" t="s">
        <v>12162</v>
      </c>
      <c r="M66" t="s">
        <v>12094</v>
      </c>
    </row>
    <row r="67" spans="1:13" x14ac:dyDescent="0.2">
      <c r="A67" t="s">
        <v>12430</v>
      </c>
      <c r="B67" s="6" t="s">
        <v>4696</v>
      </c>
      <c r="C67" t="s">
        <v>11077</v>
      </c>
      <c r="D67" t="s">
        <v>11076</v>
      </c>
      <c r="E67" t="s">
        <v>543</v>
      </c>
      <c r="F67" t="s">
        <v>3779</v>
      </c>
      <c r="G67" t="s">
        <v>10911</v>
      </c>
      <c r="H67">
        <v>4711</v>
      </c>
      <c r="I67">
        <v>6000</v>
      </c>
      <c r="J67" t="s">
        <v>4629</v>
      </c>
      <c r="K67" t="s">
        <v>12098</v>
      </c>
      <c r="L67" s="3" t="s">
        <v>12164</v>
      </c>
      <c r="M67" t="s">
        <v>12100</v>
      </c>
    </row>
    <row r="68" spans="1:13" x14ac:dyDescent="0.2">
      <c r="A68" t="s">
        <v>12431</v>
      </c>
      <c r="B68" s="6" t="s">
        <v>5070</v>
      </c>
      <c r="C68" t="s">
        <v>11081</v>
      </c>
      <c r="D68" t="s">
        <v>11080</v>
      </c>
      <c r="E68" t="s">
        <v>645</v>
      </c>
      <c r="F68" t="s">
        <v>3779</v>
      </c>
      <c r="G68" t="s">
        <v>10911</v>
      </c>
      <c r="H68">
        <v>8111</v>
      </c>
      <c r="I68">
        <v>6000</v>
      </c>
      <c r="J68" t="s">
        <v>4869</v>
      </c>
      <c r="K68" t="s">
        <v>12165</v>
      </c>
      <c r="L68" s="3" t="s">
        <v>12166</v>
      </c>
      <c r="M68" t="s">
        <v>12094</v>
      </c>
    </row>
    <row r="69" spans="1:13" x14ac:dyDescent="0.2">
      <c r="A69" t="s">
        <v>12432</v>
      </c>
      <c r="B69" s="6" t="s">
        <v>4845</v>
      </c>
      <c r="C69" t="s">
        <v>11085</v>
      </c>
      <c r="D69" t="s">
        <v>11084</v>
      </c>
      <c r="E69" t="s">
        <v>759</v>
      </c>
      <c r="F69" t="s">
        <v>3779</v>
      </c>
      <c r="G69" t="s">
        <v>10911</v>
      </c>
      <c r="H69">
        <v>7501</v>
      </c>
      <c r="I69">
        <v>6000</v>
      </c>
      <c r="J69" t="s">
        <v>4629</v>
      </c>
      <c r="K69" t="s">
        <v>12167</v>
      </c>
      <c r="L69" s="3" t="s">
        <v>12168</v>
      </c>
      <c r="M69" t="s">
        <v>12094</v>
      </c>
    </row>
    <row r="70" spans="1:13" x14ac:dyDescent="0.2">
      <c r="A70" t="s">
        <v>12433</v>
      </c>
      <c r="B70" s="6" t="s">
        <v>4897</v>
      </c>
      <c r="C70" t="s">
        <v>11089</v>
      </c>
      <c r="D70" t="s">
        <v>11088</v>
      </c>
      <c r="E70" t="s">
        <v>839</v>
      </c>
      <c r="F70" t="s">
        <v>3779</v>
      </c>
      <c r="G70" t="s">
        <v>10911</v>
      </c>
      <c r="H70">
        <v>12668</v>
      </c>
      <c r="I70">
        <v>12000</v>
      </c>
      <c r="J70" t="s">
        <v>4776</v>
      </c>
      <c r="K70" t="s">
        <v>12083</v>
      </c>
      <c r="L70" s="3" t="s">
        <v>12169</v>
      </c>
      <c r="M70" t="s">
        <v>12107</v>
      </c>
    </row>
    <row r="71" spans="1:13" x14ac:dyDescent="0.2">
      <c r="A71" t="s">
        <v>12434</v>
      </c>
      <c r="B71" s="6" t="s">
        <v>4877</v>
      </c>
      <c r="C71" t="s">
        <v>11093</v>
      </c>
      <c r="D71" t="s">
        <v>11092</v>
      </c>
      <c r="E71" t="s">
        <v>949</v>
      </c>
      <c r="F71" t="s">
        <v>3779</v>
      </c>
      <c r="G71" t="s">
        <v>10911</v>
      </c>
      <c r="H71">
        <v>15205</v>
      </c>
      <c r="I71">
        <v>6000</v>
      </c>
      <c r="J71" t="s">
        <v>4776</v>
      </c>
      <c r="K71" t="s">
        <v>12170</v>
      </c>
      <c r="L71" s="3" t="s">
        <v>12171</v>
      </c>
      <c r="M71" t="s">
        <v>12094</v>
      </c>
    </row>
    <row r="72" spans="1:13" x14ac:dyDescent="0.2">
      <c r="A72" t="s">
        <v>12435</v>
      </c>
      <c r="B72" s="6" t="s">
        <v>5202</v>
      </c>
      <c r="C72" t="s">
        <v>11097</v>
      </c>
      <c r="D72" t="s">
        <v>11096</v>
      </c>
      <c r="E72" t="s">
        <v>1054</v>
      </c>
      <c r="F72" t="s">
        <v>3779</v>
      </c>
      <c r="G72" t="s">
        <v>10911</v>
      </c>
      <c r="H72">
        <v>7316</v>
      </c>
      <c r="I72">
        <v>6000</v>
      </c>
      <c r="J72" t="s">
        <v>4842</v>
      </c>
      <c r="K72" t="s">
        <v>12172</v>
      </c>
      <c r="L72" s="3" t="s">
        <v>12173</v>
      </c>
      <c r="M72" t="s">
        <v>12094</v>
      </c>
    </row>
    <row r="73" spans="1:13" x14ac:dyDescent="0.2">
      <c r="A73" t="s">
        <v>12436</v>
      </c>
      <c r="B73" s="6" t="s">
        <v>4648</v>
      </c>
      <c r="C73" t="s">
        <v>11372</v>
      </c>
      <c r="D73" t="s">
        <v>11370</v>
      </c>
      <c r="E73" t="s">
        <v>123</v>
      </c>
      <c r="F73" t="s">
        <v>122</v>
      </c>
      <c r="G73" t="s">
        <v>11371</v>
      </c>
      <c r="H73">
        <v>6163</v>
      </c>
      <c r="I73">
        <v>6000</v>
      </c>
      <c r="J73" t="s">
        <v>4613</v>
      </c>
      <c r="K73" t="s">
        <v>12174</v>
      </c>
      <c r="L73" s="3" t="s">
        <v>12175</v>
      </c>
      <c r="M73" t="s">
        <v>12176</v>
      </c>
    </row>
    <row r="74" spans="1:13" x14ac:dyDescent="0.2">
      <c r="A74" t="s">
        <v>12437</v>
      </c>
      <c r="B74" s="6" t="s">
        <v>4729</v>
      </c>
      <c r="C74" t="s">
        <v>11378</v>
      </c>
      <c r="D74" t="s">
        <v>11377</v>
      </c>
      <c r="E74" t="s">
        <v>330</v>
      </c>
      <c r="F74" t="s">
        <v>122</v>
      </c>
      <c r="G74" t="s">
        <v>11371</v>
      </c>
      <c r="H74">
        <v>7227</v>
      </c>
      <c r="I74">
        <v>6000</v>
      </c>
      <c r="J74" t="s">
        <v>4641</v>
      </c>
      <c r="K74" t="s">
        <v>12095</v>
      </c>
      <c r="L74" s="3" t="s">
        <v>12177</v>
      </c>
      <c r="M74" t="s">
        <v>12176</v>
      </c>
    </row>
    <row r="75" spans="1:13" x14ac:dyDescent="0.2">
      <c r="A75" t="s">
        <v>12438</v>
      </c>
      <c r="B75" s="6" t="s">
        <v>4648</v>
      </c>
      <c r="C75" t="s">
        <v>11383</v>
      </c>
      <c r="D75" t="s">
        <v>11382</v>
      </c>
      <c r="E75" t="s">
        <v>429</v>
      </c>
      <c r="F75" t="s">
        <v>122</v>
      </c>
      <c r="G75" t="s">
        <v>11371</v>
      </c>
      <c r="H75">
        <v>6590</v>
      </c>
      <c r="I75">
        <v>6000</v>
      </c>
      <c r="J75" t="s">
        <v>4613</v>
      </c>
      <c r="K75" t="s">
        <v>12178</v>
      </c>
      <c r="L75" s="3" t="s">
        <v>12179</v>
      </c>
      <c r="M75" t="s">
        <v>12176</v>
      </c>
    </row>
    <row r="76" spans="1:13" x14ac:dyDescent="0.2">
      <c r="A76" t="s">
        <v>12439</v>
      </c>
      <c r="B76" s="6" t="s">
        <v>4633</v>
      </c>
      <c r="C76" t="s">
        <v>11388</v>
      </c>
      <c r="D76" t="s">
        <v>11387</v>
      </c>
      <c r="E76" t="s">
        <v>543</v>
      </c>
      <c r="F76" t="s">
        <v>122</v>
      </c>
      <c r="G76" t="s">
        <v>11371</v>
      </c>
      <c r="H76">
        <v>8895</v>
      </c>
      <c r="I76">
        <v>6000</v>
      </c>
      <c r="J76" t="s">
        <v>4608</v>
      </c>
      <c r="K76" t="s">
        <v>12180</v>
      </c>
      <c r="L76" s="3" t="s">
        <v>12181</v>
      </c>
      <c r="M76" t="s">
        <v>12176</v>
      </c>
    </row>
    <row r="77" spans="1:13" x14ac:dyDescent="0.2">
      <c r="A77" t="s">
        <v>12440</v>
      </c>
      <c r="B77" s="6" t="s">
        <v>5070</v>
      </c>
      <c r="C77" t="s">
        <v>11393</v>
      </c>
      <c r="D77" t="s">
        <v>11392</v>
      </c>
      <c r="E77" t="s">
        <v>645</v>
      </c>
      <c r="F77" t="s">
        <v>122</v>
      </c>
      <c r="G77" t="s">
        <v>11371</v>
      </c>
      <c r="H77">
        <v>7299</v>
      </c>
      <c r="I77">
        <v>6000</v>
      </c>
      <c r="J77" t="s">
        <v>4693</v>
      </c>
      <c r="K77" t="s">
        <v>12101</v>
      </c>
      <c r="L77" s="3" t="s">
        <v>12182</v>
      </c>
      <c r="M77" t="s">
        <v>12176</v>
      </c>
    </row>
    <row r="78" spans="1:13" x14ac:dyDescent="0.2">
      <c r="A78" t="s">
        <v>12441</v>
      </c>
      <c r="B78" s="6" t="s">
        <v>4845</v>
      </c>
      <c r="C78" t="s">
        <v>11398</v>
      </c>
      <c r="D78" t="s">
        <v>11397</v>
      </c>
      <c r="E78" t="s">
        <v>759</v>
      </c>
      <c r="F78" t="s">
        <v>122</v>
      </c>
      <c r="G78" t="s">
        <v>11371</v>
      </c>
      <c r="H78">
        <v>6750</v>
      </c>
      <c r="I78">
        <v>6000</v>
      </c>
      <c r="J78" t="s">
        <v>4608</v>
      </c>
      <c r="K78" t="s">
        <v>12183</v>
      </c>
      <c r="L78" s="3" t="s">
        <v>12184</v>
      </c>
      <c r="M78" t="s">
        <v>12176</v>
      </c>
    </row>
    <row r="79" spans="1:13" x14ac:dyDescent="0.2">
      <c r="A79" t="s">
        <v>12442</v>
      </c>
      <c r="B79" s="6" t="s">
        <v>4692</v>
      </c>
      <c r="C79" t="s">
        <v>11403</v>
      </c>
      <c r="D79" t="s">
        <v>11402</v>
      </c>
      <c r="E79" t="s">
        <v>839</v>
      </c>
      <c r="F79" t="s">
        <v>122</v>
      </c>
      <c r="G79" t="s">
        <v>11371</v>
      </c>
      <c r="H79">
        <v>7635</v>
      </c>
      <c r="I79">
        <v>6000</v>
      </c>
      <c r="J79" t="s">
        <v>4668</v>
      </c>
      <c r="K79" t="s">
        <v>12185</v>
      </c>
      <c r="L79" s="3" t="s">
        <v>12186</v>
      </c>
      <c r="M79" t="s">
        <v>12176</v>
      </c>
    </row>
    <row r="80" spans="1:13" x14ac:dyDescent="0.2">
      <c r="A80" t="s">
        <v>12443</v>
      </c>
      <c r="B80" s="6" t="s">
        <v>4692</v>
      </c>
      <c r="C80" t="s">
        <v>11408</v>
      </c>
      <c r="D80" t="s">
        <v>11407</v>
      </c>
      <c r="E80" t="s">
        <v>949</v>
      </c>
      <c r="F80" t="s">
        <v>122</v>
      </c>
      <c r="G80" t="s">
        <v>11371</v>
      </c>
      <c r="H80">
        <v>13684</v>
      </c>
      <c r="I80">
        <v>6000</v>
      </c>
      <c r="J80" t="s">
        <v>4668</v>
      </c>
      <c r="K80" t="s">
        <v>12187</v>
      </c>
      <c r="L80" s="3" t="s">
        <v>12186</v>
      </c>
      <c r="M80" t="s">
        <v>12176</v>
      </c>
    </row>
    <row r="81" spans="1:13" x14ac:dyDescent="0.2">
      <c r="A81" t="s">
        <v>12444</v>
      </c>
      <c r="B81" s="6" t="s">
        <v>4931</v>
      </c>
      <c r="C81" t="s">
        <v>11413</v>
      </c>
      <c r="D81" t="s">
        <v>11412</v>
      </c>
      <c r="E81" t="s">
        <v>1054</v>
      </c>
      <c r="F81" t="s">
        <v>122</v>
      </c>
      <c r="G81" t="s">
        <v>11371</v>
      </c>
      <c r="H81">
        <v>7316</v>
      </c>
      <c r="I81">
        <v>6000</v>
      </c>
      <c r="J81" t="s">
        <v>4842</v>
      </c>
      <c r="K81" t="s">
        <v>12188</v>
      </c>
      <c r="L81" s="3" t="s">
        <v>12189</v>
      </c>
      <c r="M81" t="s">
        <v>12176</v>
      </c>
    </row>
    <row r="82" spans="1:13" x14ac:dyDescent="0.2">
      <c r="A82" t="s">
        <v>12445</v>
      </c>
      <c r="B82" s="6" t="s">
        <v>4659</v>
      </c>
      <c r="C82" t="s">
        <v>11418</v>
      </c>
      <c r="D82" t="s">
        <v>11417</v>
      </c>
      <c r="E82" t="s">
        <v>123</v>
      </c>
      <c r="F82" t="s">
        <v>1103</v>
      </c>
      <c r="G82" t="s">
        <v>11371</v>
      </c>
      <c r="H82">
        <v>6418</v>
      </c>
      <c r="I82">
        <v>6000</v>
      </c>
      <c r="J82" t="s">
        <v>4629</v>
      </c>
      <c r="K82" t="s">
        <v>12190</v>
      </c>
      <c r="L82" s="3" t="s">
        <v>12191</v>
      </c>
      <c r="M82" t="s">
        <v>12176</v>
      </c>
    </row>
    <row r="83" spans="1:13" x14ac:dyDescent="0.2">
      <c r="A83" t="s">
        <v>12446</v>
      </c>
      <c r="B83" s="6" t="s">
        <v>4729</v>
      </c>
      <c r="C83" t="s">
        <v>11423</v>
      </c>
      <c r="D83" t="s">
        <v>11422</v>
      </c>
      <c r="E83" t="s">
        <v>330</v>
      </c>
      <c r="F83" t="s">
        <v>1103</v>
      </c>
      <c r="G83" t="s">
        <v>11371</v>
      </c>
      <c r="H83">
        <v>7227</v>
      </c>
      <c r="I83">
        <v>6000</v>
      </c>
      <c r="J83" t="s">
        <v>4641</v>
      </c>
      <c r="K83" t="s">
        <v>12192</v>
      </c>
      <c r="L83" s="3" t="s">
        <v>12193</v>
      </c>
      <c r="M83" t="s">
        <v>12176</v>
      </c>
    </row>
    <row r="84" spans="1:13" x14ac:dyDescent="0.2">
      <c r="A84" t="s">
        <v>12447</v>
      </c>
      <c r="B84" s="6" t="s">
        <v>4648</v>
      </c>
      <c r="C84" t="s">
        <v>11428</v>
      </c>
      <c r="D84" t="s">
        <v>11427</v>
      </c>
      <c r="E84" t="s">
        <v>429</v>
      </c>
      <c r="F84" t="s">
        <v>1103</v>
      </c>
      <c r="G84" t="s">
        <v>11371</v>
      </c>
      <c r="H84">
        <v>6590</v>
      </c>
      <c r="I84">
        <v>6000</v>
      </c>
      <c r="J84" t="s">
        <v>4613</v>
      </c>
      <c r="K84" t="s">
        <v>12194</v>
      </c>
      <c r="L84" s="3" t="s">
        <v>12195</v>
      </c>
      <c r="M84" t="s">
        <v>12176</v>
      </c>
    </row>
    <row r="85" spans="1:13" x14ac:dyDescent="0.2">
      <c r="A85" t="s">
        <v>12448</v>
      </c>
      <c r="B85" s="6" t="s">
        <v>4648</v>
      </c>
      <c r="C85" t="s">
        <v>11433</v>
      </c>
      <c r="D85" t="s">
        <v>11432</v>
      </c>
      <c r="E85" t="s">
        <v>543</v>
      </c>
      <c r="F85" t="s">
        <v>1103</v>
      </c>
      <c r="G85" t="s">
        <v>11371</v>
      </c>
      <c r="H85">
        <v>8260</v>
      </c>
      <c r="I85">
        <v>6000</v>
      </c>
      <c r="J85" t="s">
        <v>4613</v>
      </c>
      <c r="K85" t="s">
        <v>12196</v>
      </c>
      <c r="L85" s="3" t="s">
        <v>12197</v>
      </c>
      <c r="M85" t="s">
        <v>12176</v>
      </c>
    </row>
    <row r="86" spans="1:13" x14ac:dyDescent="0.2">
      <c r="A86" t="s">
        <v>12449</v>
      </c>
      <c r="B86" s="6" t="s">
        <v>5653</v>
      </c>
      <c r="C86" t="s">
        <v>11438</v>
      </c>
      <c r="D86" t="s">
        <v>11437</v>
      </c>
      <c r="E86" t="s">
        <v>645</v>
      </c>
      <c r="F86" t="s">
        <v>1103</v>
      </c>
      <c r="G86" t="s">
        <v>11371</v>
      </c>
      <c r="H86">
        <v>6762</v>
      </c>
      <c r="I86">
        <v>6000</v>
      </c>
      <c r="J86" t="s">
        <v>4608</v>
      </c>
      <c r="K86" t="s">
        <v>12198</v>
      </c>
      <c r="L86" s="3" t="s">
        <v>12199</v>
      </c>
      <c r="M86" t="s">
        <v>12176</v>
      </c>
    </row>
    <row r="87" spans="1:13" x14ac:dyDescent="0.2">
      <c r="A87" t="s">
        <v>12450</v>
      </c>
      <c r="B87" s="6" t="s">
        <v>5138</v>
      </c>
      <c r="C87" t="s">
        <v>11443</v>
      </c>
      <c r="D87" t="s">
        <v>11442</v>
      </c>
      <c r="E87" t="s">
        <v>759</v>
      </c>
      <c r="F87" t="s">
        <v>1103</v>
      </c>
      <c r="G87" t="s">
        <v>11371</v>
      </c>
      <c r="H87">
        <v>7267</v>
      </c>
      <c r="I87">
        <v>6000</v>
      </c>
      <c r="J87" t="s">
        <v>4723</v>
      </c>
      <c r="K87" t="s">
        <v>12200</v>
      </c>
      <c r="L87" s="3" t="s">
        <v>12201</v>
      </c>
      <c r="M87" t="s">
        <v>12176</v>
      </c>
    </row>
    <row r="88" spans="1:13" x14ac:dyDescent="0.2">
      <c r="A88" t="s">
        <v>12451</v>
      </c>
      <c r="B88" s="6" t="s">
        <v>4692</v>
      </c>
      <c r="C88" t="s">
        <v>11448</v>
      </c>
      <c r="D88" t="s">
        <v>11447</v>
      </c>
      <c r="E88" t="s">
        <v>839</v>
      </c>
      <c r="F88" t="s">
        <v>1103</v>
      </c>
      <c r="G88" t="s">
        <v>11371</v>
      </c>
      <c r="H88">
        <v>7635</v>
      </c>
      <c r="I88">
        <v>6000</v>
      </c>
      <c r="J88" t="s">
        <v>4668</v>
      </c>
      <c r="K88" t="s">
        <v>12202</v>
      </c>
      <c r="L88" s="3" t="s">
        <v>12203</v>
      </c>
      <c r="M88" t="s">
        <v>12176</v>
      </c>
    </row>
    <row r="89" spans="1:13" x14ac:dyDescent="0.2">
      <c r="A89" t="s">
        <v>12452</v>
      </c>
      <c r="B89" s="6" t="s">
        <v>4692</v>
      </c>
      <c r="C89" t="s">
        <v>11453</v>
      </c>
      <c r="D89" t="s">
        <v>11452</v>
      </c>
      <c r="E89" t="s">
        <v>949</v>
      </c>
      <c r="F89" t="s">
        <v>1103</v>
      </c>
      <c r="G89" t="s">
        <v>11371</v>
      </c>
      <c r="H89">
        <v>13684</v>
      </c>
      <c r="I89">
        <v>6000</v>
      </c>
      <c r="J89" t="s">
        <v>4668</v>
      </c>
      <c r="K89" t="s">
        <v>12204</v>
      </c>
      <c r="L89" s="3" t="s">
        <v>12203</v>
      </c>
      <c r="M89" t="s">
        <v>12176</v>
      </c>
    </row>
    <row r="90" spans="1:13" x14ac:dyDescent="0.2">
      <c r="A90" t="s">
        <v>12453</v>
      </c>
      <c r="B90" s="6" t="s">
        <v>4931</v>
      </c>
      <c r="C90" t="s">
        <v>11458</v>
      </c>
      <c r="D90" t="s">
        <v>11457</v>
      </c>
      <c r="E90" t="s">
        <v>1054</v>
      </c>
      <c r="F90" t="s">
        <v>1103</v>
      </c>
      <c r="G90" t="s">
        <v>11371</v>
      </c>
      <c r="H90">
        <v>7316</v>
      </c>
      <c r="I90">
        <v>6000</v>
      </c>
      <c r="J90" t="s">
        <v>4842</v>
      </c>
      <c r="K90" t="s">
        <v>12205</v>
      </c>
      <c r="L90" s="3" t="s">
        <v>12206</v>
      </c>
      <c r="M90" t="s">
        <v>12176</v>
      </c>
    </row>
    <row r="91" spans="1:13" x14ac:dyDescent="0.2">
      <c r="A91" t="s">
        <v>12454</v>
      </c>
      <c r="B91" s="6" t="s">
        <v>4659</v>
      </c>
      <c r="C91" t="s">
        <v>11462</v>
      </c>
      <c r="D91" t="s">
        <v>11461</v>
      </c>
      <c r="E91" t="s">
        <v>123</v>
      </c>
      <c r="F91" t="s">
        <v>1947</v>
      </c>
      <c r="G91" t="s">
        <v>11371</v>
      </c>
      <c r="H91">
        <v>6418</v>
      </c>
      <c r="I91">
        <v>6000</v>
      </c>
      <c r="J91" t="s">
        <v>4629</v>
      </c>
      <c r="K91" t="s">
        <v>12207</v>
      </c>
      <c r="L91" s="3" t="s">
        <v>12208</v>
      </c>
      <c r="M91" t="s">
        <v>12176</v>
      </c>
    </row>
    <row r="92" spans="1:13" x14ac:dyDescent="0.2">
      <c r="A92" t="s">
        <v>12455</v>
      </c>
      <c r="B92" s="6" t="s">
        <v>4659</v>
      </c>
      <c r="C92" t="s">
        <v>11467</v>
      </c>
      <c r="D92" t="s">
        <v>11466</v>
      </c>
      <c r="E92" t="s">
        <v>330</v>
      </c>
      <c r="F92" t="s">
        <v>1947</v>
      </c>
      <c r="G92" t="s">
        <v>11371</v>
      </c>
      <c r="H92">
        <v>7582</v>
      </c>
      <c r="I92">
        <v>6000</v>
      </c>
      <c r="J92" t="s">
        <v>4629</v>
      </c>
      <c r="K92" t="s">
        <v>12209</v>
      </c>
      <c r="L92" s="3" t="s">
        <v>12210</v>
      </c>
      <c r="M92" t="s">
        <v>12176</v>
      </c>
    </row>
    <row r="93" spans="1:13" x14ac:dyDescent="0.2">
      <c r="A93" t="s">
        <v>12456</v>
      </c>
      <c r="B93" s="6" t="s">
        <v>4648</v>
      </c>
      <c r="C93" t="s">
        <v>11472</v>
      </c>
      <c r="D93" t="s">
        <v>11471</v>
      </c>
      <c r="E93" t="s">
        <v>429</v>
      </c>
      <c r="F93" t="s">
        <v>1947</v>
      </c>
      <c r="G93" t="s">
        <v>11371</v>
      </c>
      <c r="H93">
        <v>6145</v>
      </c>
      <c r="I93">
        <v>6000</v>
      </c>
      <c r="J93" t="s">
        <v>4608</v>
      </c>
      <c r="K93" t="s">
        <v>12135</v>
      </c>
      <c r="L93" s="3" t="s">
        <v>12211</v>
      </c>
      <c r="M93" t="s">
        <v>12176</v>
      </c>
    </row>
    <row r="94" spans="1:13" x14ac:dyDescent="0.2">
      <c r="A94" t="s">
        <v>12457</v>
      </c>
      <c r="B94" s="6" t="s">
        <v>4633</v>
      </c>
      <c r="C94" t="s">
        <v>11477</v>
      </c>
      <c r="D94" t="s">
        <v>11476</v>
      </c>
      <c r="E94" t="s">
        <v>543</v>
      </c>
      <c r="F94" t="s">
        <v>1947</v>
      </c>
      <c r="G94" t="s">
        <v>11371</v>
      </c>
      <c r="H94">
        <v>8895</v>
      </c>
      <c r="I94">
        <v>6000</v>
      </c>
      <c r="J94" t="s">
        <v>4608</v>
      </c>
      <c r="K94" t="s">
        <v>12137</v>
      </c>
      <c r="L94" s="3" t="s">
        <v>12212</v>
      </c>
      <c r="M94" t="s">
        <v>12176</v>
      </c>
    </row>
    <row r="95" spans="1:13" x14ac:dyDescent="0.2">
      <c r="A95" t="s">
        <v>12458</v>
      </c>
      <c r="B95" s="6" t="s">
        <v>4811</v>
      </c>
      <c r="C95" t="s">
        <v>11482</v>
      </c>
      <c r="D95" t="s">
        <v>11481</v>
      </c>
      <c r="E95" t="s">
        <v>645</v>
      </c>
      <c r="F95" t="s">
        <v>1947</v>
      </c>
      <c r="G95" t="s">
        <v>11371</v>
      </c>
      <c r="H95">
        <v>6762</v>
      </c>
      <c r="I95">
        <v>6000</v>
      </c>
      <c r="J95" t="s">
        <v>5440</v>
      </c>
      <c r="K95" t="s">
        <v>12213</v>
      </c>
      <c r="L95" s="3" t="s">
        <v>12214</v>
      </c>
      <c r="M95" t="s">
        <v>12176</v>
      </c>
    </row>
    <row r="96" spans="1:13" x14ac:dyDescent="0.2">
      <c r="A96" t="s">
        <v>12459</v>
      </c>
      <c r="B96" s="6" t="s">
        <v>4845</v>
      </c>
      <c r="C96" t="s">
        <v>11487</v>
      </c>
      <c r="D96" t="s">
        <v>11486</v>
      </c>
      <c r="E96" t="s">
        <v>759</v>
      </c>
      <c r="F96" t="s">
        <v>1947</v>
      </c>
      <c r="G96" t="s">
        <v>11371</v>
      </c>
      <c r="H96">
        <v>6750</v>
      </c>
      <c r="I96">
        <v>6000</v>
      </c>
      <c r="J96" t="s">
        <v>4629</v>
      </c>
      <c r="K96" t="s">
        <v>12215</v>
      </c>
      <c r="L96" s="3" t="s">
        <v>12216</v>
      </c>
      <c r="M96" t="s">
        <v>12176</v>
      </c>
    </row>
    <row r="97" spans="1:13" x14ac:dyDescent="0.2">
      <c r="A97" t="s">
        <v>12460</v>
      </c>
      <c r="B97" s="6" t="s">
        <v>4692</v>
      </c>
      <c r="C97" t="s">
        <v>11491</v>
      </c>
      <c r="D97" t="s">
        <v>9273</v>
      </c>
      <c r="E97" t="s">
        <v>839</v>
      </c>
      <c r="F97" t="s">
        <v>1947</v>
      </c>
      <c r="G97" t="s">
        <v>11371</v>
      </c>
      <c r="H97">
        <v>7635</v>
      </c>
      <c r="I97">
        <v>6000</v>
      </c>
      <c r="J97" t="s">
        <v>4668</v>
      </c>
      <c r="K97" t="s">
        <v>12217</v>
      </c>
      <c r="L97" s="3" t="s">
        <v>12218</v>
      </c>
      <c r="M97" t="s">
        <v>12176</v>
      </c>
    </row>
    <row r="98" spans="1:13" x14ac:dyDescent="0.2">
      <c r="A98" t="s">
        <v>12461</v>
      </c>
      <c r="B98" s="6" t="s">
        <v>4692</v>
      </c>
      <c r="C98" t="s">
        <v>11496</v>
      </c>
      <c r="D98" t="s">
        <v>11495</v>
      </c>
      <c r="E98" t="s">
        <v>949</v>
      </c>
      <c r="F98" t="s">
        <v>1947</v>
      </c>
      <c r="G98" t="s">
        <v>11371</v>
      </c>
      <c r="H98">
        <v>14186</v>
      </c>
      <c r="I98">
        <v>6000</v>
      </c>
      <c r="J98" t="s">
        <v>4668</v>
      </c>
      <c r="K98" t="s">
        <v>12219</v>
      </c>
      <c r="L98" s="3" t="s">
        <v>12218</v>
      </c>
      <c r="M98" t="s">
        <v>12176</v>
      </c>
    </row>
    <row r="99" spans="1:13" x14ac:dyDescent="0.2">
      <c r="A99" t="s">
        <v>12462</v>
      </c>
      <c r="B99" s="6" t="s">
        <v>4931</v>
      </c>
      <c r="C99" t="s">
        <v>11501</v>
      </c>
      <c r="D99" t="s">
        <v>11500</v>
      </c>
      <c r="E99" t="s">
        <v>1054</v>
      </c>
      <c r="F99" t="s">
        <v>1947</v>
      </c>
      <c r="G99" t="s">
        <v>11371</v>
      </c>
      <c r="H99">
        <v>7316</v>
      </c>
      <c r="I99">
        <v>6000</v>
      </c>
      <c r="J99" t="s">
        <v>4842</v>
      </c>
      <c r="K99" t="s">
        <v>12220</v>
      </c>
      <c r="L99" s="3" t="s">
        <v>12221</v>
      </c>
      <c r="M99" t="s">
        <v>12176</v>
      </c>
    </row>
    <row r="100" spans="1:13" x14ac:dyDescent="0.2">
      <c r="A100" t="s">
        <v>12463</v>
      </c>
      <c r="B100" s="6" t="s">
        <v>4659</v>
      </c>
      <c r="C100" t="s">
        <v>11505</v>
      </c>
      <c r="D100" t="s">
        <v>11504</v>
      </c>
      <c r="E100" t="s">
        <v>123</v>
      </c>
      <c r="F100" t="s">
        <v>2837</v>
      </c>
      <c r="G100" t="s">
        <v>11371</v>
      </c>
      <c r="H100">
        <v>6418</v>
      </c>
      <c r="I100">
        <v>6000</v>
      </c>
      <c r="J100" t="s">
        <v>4629</v>
      </c>
      <c r="K100" t="s">
        <v>12222</v>
      </c>
      <c r="L100" s="3" t="s">
        <v>12223</v>
      </c>
      <c r="M100" t="s">
        <v>12176</v>
      </c>
    </row>
    <row r="101" spans="1:13" x14ac:dyDescent="0.2">
      <c r="A101" t="s">
        <v>12464</v>
      </c>
      <c r="B101" s="6" t="s">
        <v>4648</v>
      </c>
      <c r="C101" t="s">
        <v>11510</v>
      </c>
      <c r="D101" t="s">
        <v>11509</v>
      </c>
      <c r="E101" t="s">
        <v>330</v>
      </c>
      <c r="F101" t="s">
        <v>2837</v>
      </c>
      <c r="G101" t="s">
        <v>11371</v>
      </c>
      <c r="H101">
        <v>6925</v>
      </c>
      <c r="I101">
        <v>6000</v>
      </c>
      <c r="J101" t="s">
        <v>4629</v>
      </c>
      <c r="K101" t="s">
        <v>12224</v>
      </c>
      <c r="L101" s="3" t="s">
        <v>12225</v>
      </c>
      <c r="M101" t="s">
        <v>12176</v>
      </c>
    </row>
    <row r="102" spans="1:13" x14ac:dyDescent="0.2">
      <c r="A102" t="s">
        <v>12465</v>
      </c>
      <c r="B102" s="6" t="s">
        <v>4648</v>
      </c>
      <c r="C102" t="s">
        <v>11515</v>
      </c>
      <c r="D102" t="s">
        <v>11514</v>
      </c>
      <c r="E102" t="s">
        <v>429</v>
      </c>
      <c r="F102" t="s">
        <v>2837</v>
      </c>
      <c r="G102" t="s">
        <v>11371</v>
      </c>
      <c r="H102">
        <v>6145</v>
      </c>
      <c r="I102">
        <v>6000</v>
      </c>
      <c r="J102" t="s">
        <v>4608</v>
      </c>
      <c r="K102" t="s">
        <v>12226</v>
      </c>
      <c r="L102" s="3" t="s">
        <v>12225</v>
      </c>
      <c r="M102" t="s">
        <v>12176</v>
      </c>
    </row>
    <row r="103" spans="1:13" x14ac:dyDescent="0.2">
      <c r="A103" t="s">
        <v>12466</v>
      </c>
      <c r="B103" s="6" t="s">
        <v>4648</v>
      </c>
      <c r="C103" t="s">
        <v>11520</v>
      </c>
      <c r="D103" t="s">
        <v>11519</v>
      </c>
      <c r="E103" t="s">
        <v>543</v>
      </c>
      <c r="F103" t="s">
        <v>2837</v>
      </c>
      <c r="G103" t="s">
        <v>11371</v>
      </c>
      <c r="H103">
        <v>8260</v>
      </c>
      <c r="I103">
        <v>6000</v>
      </c>
      <c r="J103" t="s">
        <v>4613</v>
      </c>
      <c r="K103" t="s">
        <v>12227</v>
      </c>
      <c r="L103" s="3" t="s">
        <v>12225</v>
      </c>
      <c r="M103" t="s">
        <v>12176</v>
      </c>
    </row>
    <row r="104" spans="1:13" x14ac:dyDescent="0.2">
      <c r="A104" t="s">
        <v>12467</v>
      </c>
      <c r="B104" s="6" t="s">
        <v>5653</v>
      </c>
      <c r="C104" t="s">
        <v>11525</v>
      </c>
      <c r="D104" t="s">
        <v>11524</v>
      </c>
      <c r="E104" t="s">
        <v>645</v>
      </c>
      <c r="F104" t="s">
        <v>2837</v>
      </c>
      <c r="G104" t="s">
        <v>11371</v>
      </c>
      <c r="H104">
        <v>6762</v>
      </c>
      <c r="I104">
        <v>6000</v>
      </c>
      <c r="J104" t="s">
        <v>4608</v>
      </c>
      <c r="K104" t="s">
        <v>12228</v>
      </c>
      <c r="L104" s="3" t="s">
        <v>12229</v>
      </c>
      <c r="M104" t="s">
        <v>12176</v>
      </c>
    </row>
    <row r="105" spans="1:13" x14ac:dyDescent="0.2">
      <c r="A105" t="s">
        <v>12468</v>
      </c>
      <c r="B105" s="6" t="s">
        <v>5138</v>
      </c>
      <c r="C105" t="s">
        <v>11530</v>
      </c>
      <c r="D105" t="s">
        <v>11529</v>
      </c>
      <c r="E105" t="s">
        <v>759</v>
      </c>
      <c r="F105" t="s">
        <v>2837</v>
      </c>
      <c r="G105" t="s">
        <v>11371</v>
      </c>
      <c r="H105">
        <v>7267</v>
      </c>
      <c r="I105">
        <v>6000</v>
      </c>
      <c r="J105" t="s">
        <v>4723</v>
      </c>
      <c r="K105" t="s">
        <v>12230</v>
      </c>
      <c r="L105" s="3" t="s">
        <v>12231</v>
      </c>
      <c r="M105" t="s">
        <v>12176</v>
      </c>
    </row>
    <row r="106" spans="1:13" x14ac:dyDescent="0.2">
      <c r="A106" t="s">
        <v>12469</v>
      </c>
      <c r="B106" s="6" t="s">
        <v>4852</v>
      </c>
      <c r="C106" t="s">
        <v>11535</v>
      </c>
      <c r="D106" t="s">
        <v>11534</v>
      </c>
      <c r="E106" t="s">
        <v>839</v>
      </c>
      <c r="F106" t="s">
        <v>2837</v>
      </c>
      <c r="G106" t="s">
        <v>11371</v>
      </c>
      <c r="H106">
        <v>7881</v>
      </c>
      <c r="I106">
        <v>6000</v>
      </c>
      <c r="J106" t="s">
        <v>4629</v>
      </c>
      <c r="K106" t="s">
        <v>12154</v>
      </c>
      <c r="L106" s="3" t="s">
        <v>12232</v>
      </c>
      <c r="M106" t="s">
        <v>12176</v>
      </c>
    </row>
    <row r="107" spans="1:13" x14ac:dyDescent="0.2">
      <c r="A107" t="s">
        <v>12470</v>
      </c>
      <c r="B107" s="6" t="s">
        <v>4877</v>
      </c>
      <c r="C107" t="s">
        <v>11540</v>
      </c>
      <c r="D107" t="s">
        <v>11539</v>
      </c>
      <c r="E107" t="s">
        <v>949</v>
      </c>
      <c r="F107" t="s">
        <v>2837</v>
      </c>
      <c r="G107" t="s">
        <v>11371</v>
      </c>
      <c r="H107">
        <v>13684</v>
      </c>
      <c r="I107">
        <v>6000</v>
      </c>
      <c r="J107" t="s">
        <v>4629</v>
      </c>
      <c r="K107" t="s">
        <v>12156</v>
      </c>
      <c r="L107" s="3" t="s">
        <v>12233</v>
      </c>
      <c r="M107" t="s">
        <v>12176</v>
      </c>
    </row>
    <row r="108" spans="1:13" x14ac:dyDescent="0.2">
      <c r="A108" t="s">
        <v>12471</v>
      </c>
      <c r="B108" s="6" t="s">
        <v>6055</v>
      </c>
      <c r="C108" t="s">
        <v>11545</v>
      </c>
      <c r="D108" t="s">
        <v>11544</v>
      </c>
      <c r="E108" t="s">
        <v>1054</v>
      </c>
      <c r="F108" t="s">
        <v>2837</v>
      </c>
      <c r="G108" t="s">
        <v>11371</v>
      </c>
      <c r="H108">
        <v>8779</v>
      </c>
      <c r="I108">
        <v>6000</v>
      </c>
      <c r="J108" t="s">
        <v>4842</v>
      </c>
      <c r="K108" t="s">
        <v>12234</v>
      </c>
      <c r="L108" s="3" t="s">
        <v>12235</v>
      </c>
      <c r="M108" t="s">
        <v>12176</v>
      </c>
    </row>
    <row r="109" spans="1:13" x14ac:dyDescent="0.2">
      <c r="A109" t="s">
        <v>12472</v>
      </c>
      <c r="B109" s="6" t="s">
        <v>4648</v>
      </c>
      <c r="C109" t="s">
        <v>11549</v>
      </c>
      <c r="D109" t="s">
        <v>11548</v>
      </c>
      <c r="E109" t="s">
        <v>123</v>
      </c>
      <c r="F109" t="s">
        <v>3779</v>
      </c>
      <c r="G109" t="s">
        <v>11371</v>
      </c>
      <c r="H109">
        <v>6163</v>
      </c>
      <c r="I109">
        <v>6000</v>
      </c>
      <c r="J109" t="s">
        <v>4613</v>
      </c>
      <c r="K109" t="s">
        <v>12236</v>
      </c>
      <c r="L109" s="3" t="s">
        <v>12237</v>
      </c>
      <c r="M109" t="s">
        <v>12176</v>
      </c>
    </row>
    <row r="110" spans="1:13" x14ac:dyDescent="0.2">
      <c r="A110" t="s">
        <v>12473</v>
      </c>
      <c r="B110" s="6" t="s">
        <v>4648</v>
      </c>
      <c r="C110" t="s">
        <v>11554</v>
      </c>
      <c r="D110" t="s">
        <v>11553</v>
      </c>
      <c r="E110" t="s">
        <v>330</v>
      </c>
      <c r="F110" t="s">
        <v>3779</v>
      </c>
      <c r="G110" t="s">
        <v>11371</v>
      </c>
      <c r="H110">
        <v>6925</v>
      </c>
      <c r="I110">
        <v>6000</v>
      </c>
      <c r="J110" t="s">
        <v>4629</v>
      </c>
      <c r="K110" t="s">
        <v>12161</v>
      </c>
      <c r="L110" s="3" t="s">
        <v>12237</v>
      </c>
      <c r="M110" t="s">
        <v>12176</v>
      </c>
    </row>
    <row r="111" spans="1:13" x14ac:dyDescent="0.2">
      <c r="A111" t="s">
        <v>12474</v>
      </c>
      <c r="B111" s="6" t="s">
        <v>4659</v>
      </c>
      <c r="C111" t="s">
        <v>11559</v>
      </c>
      <c r="D111" t="s">
        <v>11558</v>
      </c>
      <c r="E111" t="s">
        <v>429</v>
      </c>
      <c r="F111" t="s">
        <v>3779</v>
      </c>
      <c r="G111" t="s">
        <v>11371</v>
      </c>
      <c r="H111">
        <v>6590</v>
      </c>
      <c r="I111">
        <v>6000</v>
      </c>
      <c r="J111" t="s">
        <v>4618</v>
      </c>
      <c r="K111" t="s">
        <v>12238</v>
      </c>
      <c r="L111" s="3" t="s">
        <v>12239</v>
      </c>
      <c r="M111" t="s">
        <v>12176</v>
      </c>
    </row>
    <row r="112" spans="1:13" x14ac:dyDescent="0.2">
      <c r="A112" t="s">
        <v>12475</v>
      </c>
      <c r="B112" s="6" t="s">
        <v>4633</v>
      </c>
      <c r="C112" t="s">
        <v>11564</v>
      </c>
      <c r="D112" t="s">
        <v>11563</v>
      </c>
      <c r="E112" t="s">
        <v>543</v>
      </c>
      <c r="F112" t="s">
        <v>3779</v>
      </c>
      <c r="G112" t="s">
        <v>11371</v>
      </c>
      <c r="H112">
        <v>8895</v>
      </c>
      <c r="I112">
        <v>6000</v>
      </c>
      <c r="J112" t="s">
        <v>4608</v>
      </c>
      <c r="K112" t="s">
        <v>12240</v>
      </c>
      <c r="L112" s="3" t="s">
        <v>12241</v>
      </c>
      <c r="M112" t="s">
        <v>12176</v>
      </c>
    </row>
    <row r="113" spans="1:13" x14ac:dyDescent="0.2">
      <c r="A113" t="s">
        <v>12476</v>
      </c>
      <c r="B113" s="6" t="s">
        <v>5070</v>
      </c>
      <c r="C113" t="s">
        <v>11569</v>
      </c>
      <c r="D113" t="s">
        <v>11568</v>
      </c>
      <c r="E113" t="s">
        <v>645</v>
      </c>
      <c r="F113" t="s">
        <v>3779</v>
      </c>
      <c r="G113" t="s">
        <v>11371</v>
      </c>
      <c r="H113">
        <v>7299</v>
      </c>
      <c r="I113">
        <v>6000</v>
      </c>
      <c r="J113" t="s">
        <v>4693</v>
      </c>
      <c r="K113" t="s">
        <v>12165</v>
      </c>
      <c r="L113" s="3" t="s">
        <v>12242</v>
      </c>
      <c r="M113" t="s">
        <v>12176</v>
      </c>
    </row>
    <row r="114" spans="1:13" x14ac:dyDescent="0.2">
      <c r="A114" t="s">
        <v>12477</v>
      </c>
      <c r="B114" s="6" t="s">
        <v>4841</v>
      </c>
      <c r="C114" t="s">
        <v>11574</v>
      </c>
      <c r="D114" t="s">
        <v>11573</v>
      </c>
      <c r="E114" t="s">
        <v>759</v>
      </c>
      <c r="F114" t="s">
        <v>3779</v>
      </c>
      <c r="G114" t="s">
        <v>11371</v>
      </c>
      <c r="H114">
        <v>6750</v>
      </c>
      <c r="I114">
        <v>6000</v>
      </c>
      <c r="J114" t="s">
        <v>4842</v>
      </c>
      <c r="K114" t="s">
        <v>12243</v>
      </c>
      <c r="L114" s="3" t="s">
        <v>12244</v>
      </c>
      <c r="M114" t="s">
        <v>12176</v>
      </c>
    </row>
    <row r="115" spans="1:13" x14ac:dyDescent="0.2">
      <c r="A115" t="s">
        <v>12478</v>
      </c>
      <c r="B115" s="6" t="s">
        <v>4877</v>
      </c>
      <c r="C115" t="s">
        <v>11579</v>
      </c>
      <c r="D115" t="s">
        <v>11578</v>
      </c>
      <c r="E115" t="s">
        <v>839</v>
      </c>
      <c r="F115" t="s">
        <v>3779</v>
      </c>
      <c r="G115" t="s">
        <v>11371</v>
      </c>
      <c r="H115">
        <v>7635</v>
      </c>
      <c r="I115">
        <v>6000</v>
      </c>
      <c r="J115" t="s">
        <v>4629</v>
      </c>
      <c r="K115" t="s">
        <v>12245</v>
      </c>
      <c r="L115" s="3" t="s">
        <v>12246</v>
      </c>
      <c r="M115" t="s">
        <v>12176</v>
      </c>
    </row>
    <row r="116" spans="1:13" x14ac:dyDescent="0.2">
      <c r="A116" t="s">
        <v>12479</v>
      </c>
      <c r="B116" s="6" t="s">
        <v>4877</v>
      </c>
      <c r="C116" t="s">
        <v>11584</v>
      </c>
      <c r="D116" t="s">
        <v>11583</v>
      </c>
      <c r="E116" t="s">
        <v>949</v>
      </c>
      <c r="F116" t="s">
        <v>3779</v>
      </c>
      <c r="G116" t="s">
        <v>11371</v>
      </c>
      <c r="H116">
        <v>13684</v>
      </c>
      <c r="I116">
        <v>6000</v>
      </c>
      <c r="J116" t="s">
        <v>4629</v>
      </c>
      <c r="K116" t="s">
        <v>12170</v>
      </c>
      <c r="L116" s="3" t="s">
        <v>12246</v>
      </c>
      <c r="M116" t="s">
        <v>12176</v>
      </c>
    </row>
    <row r="117" spans="1:13" x14ac:dyDescent="0.2">
      <c r="A117" t="s">
        <v>12480</v>
      </c>
      <c r="B117" s="6" t="s">
        <v>6055</v>
      </c>
      <c r="C117" t="s">
        <v>11589</v>
      </c>
      <c r="D117" t="s">
        <v>11588</v>
      </c>
      <c r="E117" t="s">
        <v>1054</v>
      </c>
      <c r="F117" t="s">
        <v>3779</v>
      </c>
      <c r="G117" t="s">
        <v>11371</v>
      </c>
      <c r="H117">
        <v>8779</v>
      </c>
      <c r="I117">
        <v>6000</v>
      </c>
      <c r="J117" t="s">
        <v>4842</v>
      </c>
      <c r="K117" t="s">
        <v>12247</v>
      </c>
      <c r="L117" s="3" t="s">
        <v>12244</v>
      </c>
      <c r="M117" t="s">
        <v>12176</v>
      </c>
    </row>
    <row r="118" spans="1:13" x14ac:dyDescent="0.2">
      <c r="A118" t="s">
        <v>12481</v>
      </c>
      <c r="B118" s="6" t="s">
        <v>4628</v>
      </c>
      <c r="C118" t="s">
        <v>11594</v>
      </c>
      <c r="D118" t="s">
        <v>11592</v>
      </c>
      <c r="E118" t="s">
        <v>123</v>
      </c>
      <c r="F118" t="s">
        <v>122</v>
      </c>
      <c r="G118" t="s">
        <v>11593</v>
      </c>
      <c r="H118">
        <v>3000</v>
      </c>
      <c r="I118">
        <v>3000</v>
      </c>
      <c r="J118" t="s">
        <v>4629</v>
      </c>
      <c r="K118" t="s">
        <v>12248</v>
      </c>
      <c r="L118" s="3" t="s">
        <v>12249</v>
      </c>
      <c r="M118" t="s">
        <v>12250</v>
      </c>
    </row>
    <row r="119" spans="1:13" x14ac:dyDescent="0.2">
      <c r="A119" t="s">
        <v>12482</v>
      </c>
      <c r="B119" s="6" t="s">
        <v>4628</v>
      </c>
      <c r="C119" t="s">
        <v>11594</v>
      </c>
      <c r="D119" t="s">
        <v>11601</v>
      </c>
      <c r="E119" t="s">
        <v>330</v>
      </c>
      <c r="F119" t="s">
        <v>122</v>
      </c>
      <c r="G119" t="s">
        <v>11593</v>
      </c>
      <c r="H119">
        <v>3000</v>
      </c>
      <c r="I119">
        <v>3000</v>
      </c>
      <c r="J119" t="s">
        <v>4629</v>
      </c>
      <c r="K119" t="s">
        <v>12248</v>
      </c>
      <c r="L119" s="3" t="s">
        <v>12249</v>
      </c>
      <c r="M119" t="s">
        <v>12250</v>
      </c>
    </row>
    <row r="120" spans="1:13" x14ac:dyDescent="0.2">
      <c r="A120" t="s">
        <v>12483</v>
      </c>
      <c r="B120" s="6" t="s">
        <v>4628</v>
      </c>
      <c r="C120" t="s">
        <v>11594</v>
      </c>
      <c r="D120" t="s">
        <v>11605</v>
      </c>
      <c r="E120" t="s">
        <v>429</v>
      </c>
      <c r="F120" t="s">
        <v>122</v>
      </c>
      <c r="G120" t="s">
        <v>11593</v>
      </c>
      <c r="H120">
        <v>3000</v>
      </c>
      <c r="I120">
        <v>3000</v>
      </c>
      <c r="J120" t="s">
        <v>4629</v>
      </c>
      <c r="K120" t="s">
        <v>12248</v>
      </c>
      <c r="L120" s="3" t="s">
        <v>12249</v>
      </c>
      <c r="M120" t="s">
        <v>12250</v>
      </c>
    </row>
    <row r="121" spans="1:13" x14ac:dyDescent="0.2">
      <c r="A121" t="s">
        <v>12484</v>
      </c>
      <c r="B121" s="6" t="s">
        <v>4628</v>
      </c>
      <c r="C121" t="s">
        <v>11594</v>
      </c>
      <c r="D121" t="s">
        <v>11609</v>
      </c>
      <c r="E121" t="s">
        <v>543</v>
      </c>
      <c r="F121" t="s">
        <v>122</v>
      </c>
      <c r="G121" t="s">
        <v>11593</v>
      </c>
      <c r="H121">
        <v>3000</v>
      </c>
      <c r="I121">
        <v>3000</v>
      </c>
      <c r="J121" t="s">
        <v>4629</v>
      </c>
      <c r="K121" t="s">
        <v>12248</v>
      </c>
      <c r="L121" s="3" t="s">
        <v>12249</v>
      </c>
      <c r="M121" t="s">
        <v>12250</v>
      </c>
    </row>
    <row r="122" spans="1:13" x14ac:dyDescent="0.2">
      <c r="A122" t="s">
        <v>12485</v>
      </c>
      <c r="B122" s="6" t="s">
        <v>4628</v>
      </c>
      <c r="C122" t="s">
        <v>11594</v>
      </c>
      <c r="D122" t="s">
        <v>11613</v>
      </c>
      <c r="E122" t="s">
        <v>645</v>
      </c>
      <c r="F122" t="s">
        <v>122</v>
      </c>
      <c r="G122" t="s">
        <v>11593</v>
      </c>
      <c r="H122">
        <v>3000</v>
      </c>
      <c r="I122">
        <v>3000</v>
      </c>
      <c r="J122" t="s">
        <v>4629</v>
      </c>
      <c r="K122" t="s">
        <v>12248</v>
      </c>
      <c r="L122" s="3" t="s">
        <v>12249</v>
      </c>
      <c r="M122" t="s">
        <v>12250</v>
      </c>
    </row>
    <row r="123" spans="1:13" x14ac:dyDescent="0.2">
      <c r="A123" t="s">
        <v>12486</v>
      </c>
      <c r="B123" s="6" t="s">
        <v>4628</v>
      </c>
      <c r="C123" t="s">
        <v>11594</v>
      </c>
      <c r="D123" t="s">
        <v>11617</v>
      </c>
      <c r="E123" t="s">
        <v>759</v>
      </c>
      <c r="F123" t="s">
        <v>122</v>
      </c>
      <c r="G123" t="s">
        <v>11593</v>
      </c>
      <c r="H123">
        <v>3000</v>
      </c>
      <c r="I123">
        <v>3000</v>
      </c>
      <c r="J123" t="s">
        <v>4629</v>
      </c>
      <c r="K123" t="s">
        <v>12248</v>
      </c>
      <c r="L123" s="3" t="s">
        <v>12249</v>
      </c>
      <c r="M123" t="s">
        <v>12250</v>
      </c>
    </row>
    <row r="124" spans="1:13" x14ac:dyDescent="0.2">
      <c r="A124" t="s">
        <v>12487</v>
      </c>
      <c r="B124" s="6" t="s">
        <v>4628</v>
      </c>
      <c r="C124" t="s">
        <v>11594</v>
      </c>
      <c r="D124" t="s">
        <v>11621</v>
      </c>
      <c r="E124" t="s">
        <v>839</v>
      </c>
      <c r="F124" t="s">
        <v>122</v>
      </c>
      <c r="G124" t="s">
        <v>11593</v>
      </c>
      <c r="H124">
        <v>3000</v>
      </c>
      <c r="I124">
        <v>3000</v>
      </c>
      <c r="J124" t="s">
        <v>4629</v>
      </c>
      <c r="K124" t="s">
        <v>12248</v>
      </c>
      <c r="L124" s="3" t="s">
        <v>12249</v>
      </c>
      <c r="M124" t="s">
        <v>12250</v>
      </c>
    </row>
    <row r="125" spans="1:13" x14ac:dyDescent="0.2">
      <c r="A125" t="s">
        <v>12488</v>
      </c>
      <c r="B125" s="6" t="s">
        <v>4628</v>
      </c>
      <c r="C125" t="s">
        <v>11594</v>
      </c>
      <c r="D125" t="s">
        <v>11625</v>
      </c>
      <c r="E125" t="s">
        <v>949</v>
      </c>
      <c r="F125" t="s">
        <v>122</v>
      </c>
      <c r="G125" t="s">
        <v>11593</v>
      </c>
      <c r="H125">
        <v>3000</v>
      </c>
      <c r="I125">
        <v>3000</v>
      </c>
      <c r="J125" t="s">
        <v>4629</v>
      </c>
      <c r="K125" t="s">
        <v>12248</v>
      </c>
      <c r="L125" s="3" t="s">
        <v>12249</v>
      </c>
      <c r="M125" t="s">
        <v>12250</v>
      </c>
    </row>
    <row r="126" spans="1:13" x14ac:dyDescent="0.2">
      <c r="A126" t="s">
        <v>12489</v>
      </c>
      <c r="B126" s="6" t="s">
        <v>4628</v>
      </c>
      <c r="C126" t="s">
        <v>11594</v>
      </c>
      <c r="D126" t="s">
        <v>11629</v>
      </c>
      <c r="E126" t="s">
        <v>1054</v>
      </c>
      <c r="F126" t="s">
        <v>122</v>
      </c>
      <c r="G126" t="s">
        <v>11593</v>
      </c>
      <c r="H126">
        <v>3000</v>
      </c>
      <c r="I126">
        <v>3000</v>
      </c>
      <c r="J126" t="s">
        <v>4629</v>
      </c>
      <c r="K126" t="s">
        <v>12248</v>
      </c>
      <c r="L126" s="3" t="s">
        <v>12249</v>
      </c>
      <c r="M126" t="s">
        <v>12250</v>
      </c>
    </row>
    <row r="127" spans="1:13" x14ac:dyDescent="0.2">
      <c r="A127" t="s">
        <v>12490</v>
      </c>
      <c r="B127" s="6" t="s">
        <v>4696</v>
      </c>
      <c r="C127" t="s">
        <v>11634</v>
      </c>
      <c r="D127" t="s">
        <v>11633</v>
      </c>
      <c r="E127" t="s">
        <v>123</v>
      </c>
      <c r="F127" t="s">
        <v>1103</v>
      </c>
      <c r="G127" t="s">
        <v>11593</v>
      </c>
      <c r="H127">
        <v>3000</v>
      </c>
      <c r="I127">
        <v>3000</v>
      </c>
      <c r="J127" t="s">
        <v>4629</v>
      </c>
      <c r="K127" t="s">
        <v>12251</v>
      </c>
      <c r="L127" s="3" t="s">
        <v>12252</v>
      </c>
      <c r="M127" t="s">
        <v>12253</v>
      </c>
    </row>
    <row r="128" spans="1:13" x14ac:dyDescent="0.2">
      <c r="A128" t="s">
        <v>12491</v>
      </c>
      <c r="B128" s="6" t="s">
        <v>4696</v>
      </c>
      <c r="C128" t="s">
        <v>11634</v>
      </c>
      <c r="D128" t="s">
        <v>11640</v>
      </c>
      <c r="E128" t="s">
        <v>330</v>
      </c>
      <c r="F128" t="s">
        <v>1103</v>
      </c>
      <c r="G128" t="s">
        <v>11593</v>
      </c>
      <c r="H128">
        <v>3000</v>
      </c>
      <c r="I128">
        <v>3000</v>
      </c>
      <c r="J128" t="s">
        <v>4629</v>
      </c>
      <c r="K128" t="s">
        <v>12251</v>
      </c>
      <c r="L128" s="3" t="s">
        <v>12252</v>
      </c>
      <c r="M128" t="s">
        <v>12253</v>
      </c>
    </row>
    <row r="129" spans="1:13" x14ac:dyDescent="0.2">
      <c r="A129" t="s">
        <v>12492</v>
      </c>
      <c r="B129" s="6" t="s">
        <v>4696</v>
      </c>
      <c r="C129" t="s">
        <v>11634</v>
      </c>
      <c r="D129" t="s">
        <v>11644</v>
      </c>
      <c r="E129" t="s">
        <v>429</v>
      </c>
      <c r="F129" t="s">
        <v>1103</v>
      </c>
      <c r="G129" t="s">
        <v>11593</v>
      </c>
      <c r="H129">
        <v>3000</v>
      </c>
      <c r="I129">
        <v>3000</v>
      </c>
      <c r="J129" t="s">
        <v>4629</v>
      </c>
      <c r="K129" t="s">
        <v>12251</v>
      </c>
      <c r="L129" s="3" t="s">
        <v>12252</v>
      </c>
      <c r="M129" t="s">
        <v>12253</v>
      </c>
    </row>
    <row r="130" spans="1:13" x14ac:dyDescent="0.2">
      <c r="A130" t="s">
        <v>12493</v>
      </c>
      <c r="B130" s="6" t="s">
        <v>4696</v>
      </c>
      <c r="C130" t="s">
        <v>11634</v>
      </c>
      <c r="D130" t="s">
        <v>11648</v>
      </c>
      <c r="E130" t="s">
        <v>543</v>
      </c>
      <c r="F130" t="s">
        <v>1103</v>
      </c>
      <c r="G130" t="s">
        <v>11593</v>
      </c>
      <c r="H130">
        <v>3000</v>
      </c>
      <c r="I130">
        <v>3000</v>
      </c>
      <c r="J130" t="s">
        <v>4629</v>
      </c>
      <c r="K130" t="s">
        <v>12251</v>
      </c>
      <c r="L130" s="3" t="s">
        <v>12252</v>
      </c>
      <c r="M130" t="s">
        <v>12253</v>
      </c>
    </row>
    <row r="131" spans="1:13" x14ac:dyDescent="0.2">
      <c r="A131" t="s">
        <v>12494</v>
      </c>
      <c r="B131" s="6" t="s">
        <v>4696</v>
      </c>
      <c r="C131" t="s">
        <v>11634</v>
      </c>
      <c r="D131" t="s">
        <v>11652</v>
      </c>
      <c r="E131" t="s">
        <v>645</v>
      </c>
      <c r="F131" t="s">
        <v>1103</v>
      </c>
      <c r="G131" t="s">
        <v>11593</v>
      </c>
      <c r="H131">
        <v>3000</v>
      </c>
      <c r="I131">
        <v>3000</v>
      </c>
      <c r="J131" t="s">
        <v>4629</v>
      </c>
      <c r="K131" t="s">
        <v>12251</v>
      </c>
      <c r="L131" s="3" t="s">
        <v>12252</v>
      </c>
      <c r="M131" t="s">
        <v>12253</v>
      </c>
    </row>
    <row r="132" spans="1:13" x14ac:dyDescent="0.2">
      <c r="A132" t="s">
        <v>12495</v>
      </c>
      <c r="B132" s="6" t="s">
        <v>4696</v>
      </c>
      <c r="C132" t="s">
        <v>11634</v>
      </c>
      <c r="D132" t="s">
        <v>11656</v>
      </c>
      <c r="E132" t="s">
        <v>759</v>
      </c>
      <c r="F132" t="s">
        <v>1103</v>
      </c>
      <c r="G132" t="s">
        <v>11593</v>
      </c>
      <c r="H132">
        <v>3000</v>
      </c>
      <c r="I132">
        <v>3000</v>
      </c>
      <c r="J132" t="s">
        <v>4629</v>
      </c>
      <c r="K132" t="s">
        <v>12251</v>
      </c>
      <c r="L132" s="3" t="s">
        <v>12252</v>
      </c>
      <c r="M132" t="s">
        <v>12253</v>
      </c>
    </row>
    <row r="133" spans="1:13" x14ac:dyDescent="0.2">
      <c r="A133" t="s">
        <v>12496</v>
      </c>
      <c r="B133" s="6" t="s">
        <v>4696</v>
      </c>
      <c r="C133" t="s">
        <v>11634</v>
      </c>
      <c r="D133" t="s">
        <v>11660</v>
      </c>
      <c r="E133" t="s">
        <v>839</v>
      </c>
      <c r="F133" t="s">
        <v>1103</v>
      </c>
      <c r="G133" t="s">
        <v>11593</v>
      </c>
      <c r="H133">
        <v>3000</v>
      </c>
      <c r="I133">
        <v>3000</v>
      </c>
      <c r="J133" t="s">
        <v>4629</v>
      </c>
      <c r="K133" t="s">
        <v>12251</v>
      </c>
      <c r="L133" s="3" t="s">
        <v>12252</v>
      </c>
      <c r="M133" t="s">
        <v>12253</v>
      </c>
    </row>
    <row r="134" spans="1:13" x14ac:dyDescent="0.2">
      <c r="A134" t="s">
        <v>12497</v>
      </c>
      <c r="B134" s="6" t="s">
        <v>4696</v>
      </c>
      <c r="C134" t="s">
        <v>11634</v>
      </c>
      <c r="D134" t="s">
        <v>11664</v>
      </c>
      <c r="E134" t="s">
        <v>949</v>
      </c>
      <c r="F134" t="s">
        <v>1103</v>
      </c>
      <c r="G134" t="s">
        <v>11593</v>
      </c>
      <c r="H134">
        <v>3000</v>
      </c>
      <c r="I134">
        <v>3000</v>
      </c>
      <c r="J134" t="s">
        <v>4629</v>
      </c>
      <c r="K134" t="s">
        <v>12251</v>
      </c>
      <c r="L134" s="3" t="s">
        <v>12252</v>
      </c>
      <c r="M134" t="s">
        <v>12253</v>
      </c>
    </row>
    <row r="135" spans="1:13" x14ac:dyDescent="0.2">
      <c r="A135" t="s">
        <v>12498</v>
      </c>
      <c r="B135" s="6" t="s">
        <v>4696</v>
      </c>
      <c r="C135" t="s">
        <v>11634</v>
      </c>
      <c r="D135" t="s">
        <v>11668</v>
      </c>
      <c r="E135" t="s">
        <v>1054</v>
      </c>
      <c r="F135" t="s">
        <v>1103</v>
      </c>
      <c r="G135" t="s">
        <v>11593</v>
      </c>
      <c r="H135">
        <v>3000</v>
      </c>
      <c r="I135">
        <v>3000</v>
      </c>
      <c r="J135" t="s">
        <v>4629</v>
      </c>
      <c r="K135" t="s">
        <v>12251</v>
      </c>
      <c r="L135" s="3" t="s">
        <v>12252</v>
      </c>
      <c r="M135" t="s">
        <v>12253</v>
      </c>
    </row>
    <row r="136" spans="1:13" x14ac:dyDescent="0.2">
      <c r="A136" t="s">
        <v>12499</v>
      </c>
      <c r="B136" s="6" t="s">
        <v>4628</v>
      </c>
      <c r="C136" t="s">
        <v>11673</v>
      </c>
      <c r="D136" t="s">
        <v>11672</v>
      </c>
      <c r="E136" t="s">
        <v>123</v>
      </c>
      <c r="F136" t="s">
        <v>1947</v>
      </c>
      <c r="G136" t="s">
        <v>11593</v>
      </c>
      <c r="H136">
        <v>3000</v>
      </c>
      <c r="I136">
        <v>3000</v>
      </c>
      <c r="J136" t="s">
        <v>4629</v>
      </c>
      <c r="K136" t="s">
        <v>12254</v>
      </c>
      <c r="L136" s="3" t="s">
        <v>12255</v>
      </c>
      <c r="M136" t="s">
        <v>12256</v>
      </c>
    </row>
    <row r="137" spans="1:13" x14ac:dyDescent="0.2">
      <c r="A137" t="s">
        <v>12500</v>
      </c>
      <c r="B137" s="6" t="s">
        <v>4628</v>
      </c>
      <c r="C137" t="s">
        <v>11673</v>
      </c>
      <c r="D137" t="s">
        <v>11679</v>
      </c>
      <c r="E137" t="s">
        <v>330</v>
      </c>
      <c r="F137" t="s">
        <v>1947</v>
      </c>
      <c r="G137" t="s">
        <v>11593</v>
      </c>
      <c r="H137">
        <v>3000</v>
      </c>
      <c r="I137">
        <v>3000</v>
      </c>
      <c r="J137" t="s">
        <v>4629</v>
      </c>
      <c r="K137" t="s">
        <v>12254</v>
      </c>
      <c r="L137" s="3" t="s">
        <v>12255</v>
      </c>
      <c r="M137" t="s">
        <v>12256</v>
      </c>
    </row>
    <row r="138" spans="1:13" x14ac:dyDescent="0.2">
      <c r="A138" t="s">
        <v>12501</v>
      </c>
      <c r="B138" s="6" t="s">
        <v>4628</v>
      </c>
      <c r="C138" t="s">
        <v>11673</v>
      </c>
      <c r="D138" t="s">
        <v>11683</v>
      </c>
      <c r="E138" t="s">
        <v>429</v>
      </c>
      <c r="F138" t="s">
        <v>1947</v>
      </c>
      <c r="G138" t="s">
        <v>11593</v>
      </c>
      <c r="H138">
        <v>3000</v>
      </c>
      <c r="I138">
        <v>3000</v>
      </c>
      <c r="J138" t="s">
        <v>4629</v>
      </c>
      <c r="K138" t="s">
        <v>12254</v>
      </c>
      <c r="L138" s="3" t="s">
        <v>12255</v>
      </c>
      <c r="M138" t="s">
        <v>12256</v>
      </c>
    </row>
    <row r="139" spans="1:13" x14ac:dyDescent="0.2">
      <c r="A139" t="s">
        <v>12502</v>
      </c>
      <c r="B139" s="6" t="s">
        <v>4628</v>
      </c>
      <c r="C139" t="s">
        <v>11673</v>
      </c>
      <c r="D139" t="s">
        <v>11687</v>
      </c>
      <c r="E139" t="s">
        <v>543</v>
      </c>
      <c r="F139" t="s">
        <v>1947</v>
      </c>
      <c r="G139" t="s">
        <v>11593</v>
      </c>
      <c r="H139">
        <v>3000</v>
      </c>
      <c r="I139">
        <v>3000</v>
      </c>
      <c r="J139" t="s">
        <v>4629</v>
      </c>
      <c r="K139" t="s">
        <v>12254</v>
      </c>
      <c r="L139" s="3" t="s">
        <v>12255</v>
      </c>
      <c r="M139" t="s">
        <v>12256</v>
      </c>
    </row>
    <row r="140" spans="1:13" x14ac:dyDescent="0.2">
      <c r="A140" t="s">
        <v>12503</v>
      </c>
      <c r="B140" s="6" t="s">
        <v>4628</v>
      </c>
      <c r="C140" t="s">
        <v>11673</v>
      </c>
      <c r="D140" t="s">
        <v>11691</v>
      </c>
      <c r="E140" t="s">
        <v>645</v>
      </c>
      <c r="F140" t="s">
        <v>1947</v>
      </c>
      <c r="G140" t="s">
        <v>11593</v>
      </c>
      <c r="H140">
        <v>3000</v>
      </c>
      <c r="I140">
        <v>3000</v>
      </c>
      <c r="J140" t="s">
        <v>4629</v>
      </c>
      <c r="K140" t="s">
        <v>12254</v>
      </c>
      <c r="L140" s="3" t="s">
        <v>12255</v>
      </c>
      <c r="M140" t="s">
        <v>12256</v>
      </c>
    </row>
    <row r="141" spans="1:13" x14ac:dyDescent="0.2">
      <c r="A141" t="s">
        <v>12504</v>
      </c>
      <c r="B141" s="6" t="s">
        <v>4628</v>
      </c>
      <c r="C141" t="s">
        <v>11673</v>
      </c>
      <c r="D141" t="s">
        <v>11695</v>
      </c>
      <c r="E141" t="s">
        <v>759</v>
      </c>
      <c r="F141" t="s">
        <v>1947</v>
      </c>
      <c r="G141" t="s">
        <v>11593</v>
      </c>
      <c r="H141">
        <v>3000</v>
      </c>
      <c r="I141">
        <v>3000</v>
      </c>
      <c r="J141" t="s">
        <v>4629</v>
      </c>
      <c r="K141" t="s">
        <v>12254</v>
      </c>
      <c r="L141" s="3" t="s">
        <v>12255</v>
      </c>
      <c r="M141" t="s">
        <v>12256</v>
      </c>
    </row>
    <row r="142" spans="1:13" x14ac:dyDescent="0.2">
      <c r="A142" t="s">
        <v>12505</v>
      </c>
      <c r="B142" s="6" t="s">
        <v>4628</v>
      </c>
      <c r="C142" t="s">
        <v>11673</v>
      </c>
      <c r="D142" t="s">
        <v>11699</v>
      </c>
      <c r="E142" t="s">
        <v>839</v>
      </c>
      <c r="F142" t="s">
        <v>1947</v>
      </c>
      <c r="G142" t="s">
        <v>11593</v>
      </c>
      <c r="H142">
        <v>3000</v>
      </c>
      <c r="I142">
        <v>3000</v>
      </c>
      <c r="J142" t="s">
        <v>4629</v>
      </c>
      <c r="K142" t="s">
        <v>12254</v>
      </c>
      <c r="L142" s="3" t="s">
        <v>12255</v>
      </c>
      <c r="M142" t="s">
        <v>12256</v>
      </c>
    </row>
    <row r="143" spans="1:13" x14ac:dyDescent="0.2">
      <c r="A143" t="s">
        <v>12506</v>
      </c>
      <c r="B143" s="6" t="s">
        <v>4628</v>
      </c>
      <c r="C143" t="s">
        <v>11673</v>
      </c>
      <c r="D143" t="s">
        <v>11703</v>
      </c>
      <c r="E143" t="s">
        <v>949</v>
      </c>
      <c r="F143" t="s">
        <v>1947</v>
      </c>
      <c r="G143" t="s">
        <v>11593</v>
      </c>
      <c r="H143">
        <v>3000</v>
      </c>
      <c r="I143">
        <v>3000</v>
      </c>
      <c r="J143" t="s">
        <v>4629</v>
      </c>
      <c r="K143" t="s">
        <v>12254</v>
      </c>
      <c r="L143" s="3" t="s">
        <v>12255</v>
      </c>
      <c r="M143" t="s">
        <v>12256</v>
      </c>
    </row>
    <row r="144" spans="1:13" x14ac:dyDescent="0.2">
      <c r="A144" t="s">
        <v>12507</v>
      </c>
      <c r="B144" s="6" t="s">
        <v>4628</v>
      </c>
      <c r="C144" t="s">
        <v>11673</v>
      </c>
      <c r="D144" t="s">
        <v>11707</v>
      </c>
      <c r="E144" t="s">
        <v>1054</v>
      </c>
      <c r="F144" t="s">
        <v>1947</v>
      </c>
      <c r="G144" t="s">
        <v>11593</v>
      </c>
      <c r="H144">
        <v>3000</v>
      </c>
      <c r="I144">
        <v>3000</v>
      </c>
      <c r="J144" t="s">
        <v>4629</v>
      </c>
      <c r="K144" t="s">
        <v>12254</v>
      </c>
      <c r="L144" s="3" t="s">
        <v>12255</v>
      </c>
      <c r="M144" t="s">
        <v>12256</v>
      </c>
    </row>
    <row r="145" spans="1:13" x14ac:dyDescent="0.2">
      <c r="A145" t="s">
        <v>12508</v>
      </c>
      <c r="B145" s="6" t="s">
        <v>4628</v>
      </c>
      <c r="C145" t="s">
        <v>11712</v>
      </c>
      <c r="D145" t="s">
        <v>11711</v>
      </c>
      <c r="E145" t="s">
        <v>123</v>
      </c>
      <c r="F145" t="s">
        <v>2837</v>
      </c>
      <c r="G145" t="s">
        <v>11593</v>
      </c>
      <c r="H145">
        <v>3000</v>
      </c>
      <c r="I145">
        <v>3000</v>
      </c>
      <c r="J145" t="s">
        <v>4629</v>
      </c>
      <c r="K145" t="s">
        <v>12257</v>
      </c>
      <c r="L145" s="3" t="s">
        <v>12258</v>
      </c>
      <c r="M145" t="s">
        <v>12259</v>
      </c>
    </row>
    <row r="146" spans="1:13" x14ac:dyDescent="0.2">
      <c r="A146" t="s">
        <v>12509</v>
      </c>
      <c r="B146" s="6" t="s">
        <v>4628</v>
      </c>
      <c r="C146" t="s">
        <v>11712</v>
      </c>
      <c r="D146" t="s">
        <v>11718</v>
      </c>
      <c r="E146" t="s">
        <v>330</v>
      </c>
      <c r="F146" t="s">
        <v>2837</v>
      </c>
      <c r="G146" t="s">
        <v>11593</v>
      </c>
      <c r="H146">
        <v>3000</v>
      </c>
      <c r="I146">
        <v>3000</v>
      </c>
      <c r="J146" t="s">
        <v>4629</v>
      </c>
      <c r="K146" t="s">
        <v>12260</v>
      </c>
      <c r="L146" s="3" t="s">
        <v>12261</v>
      </c>
      <c r="M146" t="s">
        <v>12259</v>
      </c>
    </row>
    <row r="147" spans="1:13" x14ac:dyDescent="0.2">
      <c r="A147" t="s">
        <v>12510</v>
      </c>
      <c r="B147" s="6" t="s">
        <v>4628</v>
      </c>
      <c r="C147" t="s">
        <v>11712</v>
      </c>
      <c r="D147" t="s">
        <v>11722</v>
      </c>
      <c r="E147" t="s">
        <v>429</v>
      </c>
      <c r="F147" t="s">
        <v>2837</v>
      </c>
      <c r="G147" t="s">
        <v>11593</v>
      </c>
      <c r="H147">
        <v>3000</v>
      </c>
      <c r="I147">
        <v>3000</v>
      </c>
      <c r="J147" t="s">
        <v>4629</v>
      </c>
      <c r="K147" t="s">
        <v>12262</v>
      </c>
      <c r="L147" s="3" t="s">
        <v>12261</v>
      </c>
      <c r="M147" t="s">
        <v>12259</v>
      </c>
    </row>
    <row r="148" spans="1:13" x14ac:dyDescent="0.2">
      <c r="A148" t="s">
        <v>12511</v>
      </c>
      <c r="B148" s="6" t="s">
        <v>4628</v>
      </c>
      <c r="C148" t="s">
        <v>11712</v>
      </c>
      <c r="D148" t="s">
        <v>11726</v>
      </c>
      <c r="E148" t="s">
        <v>543</v>
      </c>
      <c r="F148" t="s">
        <v>2837</v>
      </c>
      <c r="G148" t="s">
        <v>11593</v>
      </c>
      <c r="H148">
        <v>3000</v>
      </c>
      <c r="I148">
        <v>3000</v>
      </c>
      <c r="J148" t="s">
        <v>4629</v>
      </c>
      <c r="K148" t="s">
        <v>12263</v>
      </c>
      <c r="L148" s="3" t="s">
        <v>12261</v>
      </c>
      <c r="M148" t="s">
        <v>12259</v>
      </c>
    </row>
    <row r="149" spans="1:13" x14ac:dyDescent="0.2">
      <c r="A149" t="s">
        <v>12512</v>
      </c>
      <c r="B149" s="6" t="s">
        <v>4628</v>
      </c>
      <c r="C149" t="s">
        <v>11712</v>
      </c>
      <c r="D149" t="s">
        <v>11730</v>
      </c>
      <c r="E149" t="s">
        <v>645</v>
      </c>
      <c r="F149" t="s">
        <v>2837</v>
      </c>
      <c r="G149" t="s">
        <v>11593</v>
      </c>
      <c r="H149">
        <v>3000</v>
      </c>
      <c r="I149">
        <v>3000</v>
      </c>
      <c r="J149" t="s">
        <v>4629</v>
      </c>
      <c r="K149" t="s">
        <v>12264</v>
      </c>
      <c r="L149" s="3" t="s">
        <v>12261</v>
      </c>
      <c r="M149" t="s">
        <v>12259</v>
      </c>
    </row>
    <row r="150" spans="1:13" x14ac:dyDescent="0.2">
      <c r="A150" t="s">
        <v>12513</v>
      </c>
      <c r="B150" s="6" t="s">
        <v>4628</v>
      </c>
      <c r="C150" t="s">
        <v>11712</v>
      </c>
      <c r="D150" t="s">
        <v>11734</v>
      </c>
      <c r="E150" t="s">
        <v>759</v>
      </c>
      <c r="F150" t="s">
        <v>2837</v>
      </c>
      <c r="G150" t="s">
        <v>11593</v>
      </c>
      <c r="H150">
        <v>3000</v>
      </c>
      <c r="I150">
        <v>3000</v>
      </c>
      <c r="J150" t="s">
        <v>4629</v>
      </c>
      <c r="K150" t="s">
        <v>12265</v>
      </c>
      <c r="L150" s="3" t="s">
        <v>12266</v>
      </c>
      <c r="M150" t="s">
        <v>12259</v>
      </c>
    </row>
    <row r="151" spans="1:13" x14ac:dyDescent="0.2">
      <c r="A151" t="s">
        <v>12514</v>
      </c>
      <c r="B151" s="6" t="s">
        <v>4628</v>
      </c>
      <c r="C151" t="s">
        <v>11712</v>
      </c>
      <c r="D151" t="s">
        <v>11738</v>
      </c>
      <c r="E151" t="s">
        <v>839</v>
      </c>
      <c r="F151" t="s">
        <v>2837</v>
      </c>
      <c r="G151" t="s">
        <v>11593</v>
      </c>
      <c r="H151">
        <v>3000</v>
      </c>
      <c r="I151">
        <v>3000</v>
      </c>
      <c r="J151" t="s">
        <v>4629</v>
      </c>
      <c r="K151" t="s">
        <v>12267</v>
      </c>
      <c r="L151" s="3" t="s">
        <v>12266</v>
      </c>
      <c r="M151" t="s">
        <v>12259</v>
      </c>
    </row>
    <row r="152" spans="1:13" x14ac:dyDescent="0.2">
      <c r="A152" t="s">
        <v>12515</v>
      </c>
      <c r="B152" s="6" t="s">
        <v>4628</v>
      </c>
      <c r="C152" t="s">
        <v>11712</v>
      </c>
      <c r="D152" t="s">
        <v>11742</v>
      </c>
      <c r="E152" t="s">
        <v>949</v>
      </c>
      <c r="F152" t="s">
        <v>2837</v>
      </c>
      <c r="G152" t="s">
        <v>11593</v>
      </c>
      <c r="H152">
        <v>3000</v>
      </c>
      <c r="I152">
        <v>3000</v>
      </c>
      <c r="J152" t="s">
        <v>4629</v>
      </c>
      <c r="K152" t="s">
        <v>12268</v>
      </c>
      <c r="L152" s="3" t="s">
        <v>12261</v>
      </c>
      <c r="M152" t="s">
        <v>12259</v>
      </c>
    </row>
    <row r="153" spans="1:13" x14ac:dyDescent="0.2">
      <c r="A153" t="s">
        <v>12516</v>
      </c>
      <c r="B153" s="6" t="s">
        <v>4628</v>
      </c>
      <c r="C153" t="s">
        <v>11712</v>
      </c>
      <c r="D153" t="s">
        <v>11746</v>
      </c>
      <c r="E153" t="s">
        <v>1054</v>
      </c>
      <c r="F153" t="s">
        <v>2837</v>
      </c>
      <c r="G153" t="s">
        <v>11593</v>
      </c>
      <c r="H153">
        <v>3000</v>
      </c>
      <c r="I153">
        <v>3000</v>
      </c>
      <c r="J153" t="s">
        <v>4629</v>
      </c>
      <c r="K153" t="s">
        <v>12269</v>
      </c>
      <c r="L153" s="3" t="s">
        <v>12270</v>
      </c>
      <c r="M153" t="s">
        <v>12259</v>
      </c>
    </row>
    <row r="154" spans="1:13" x14ac:dyDescent="0.2">
      <c r="A154" t="s">
        <v>12517</v>
      </c>
      <c r="B154" s="6" t="s">
        <v>4696</v>
      </c>
      <c r="C154" t="s">
        <v>11751</v>
      </c>
      <c r="D154" t="s">
        <v>11750</v>
      </c>
      <c r="E154" t="s">
        <v>123</v>
      </c>
      <c r="F154" t="s">
        <v>3779</v>
      </c>
      <c r="G154" t="s">
        <v>11593</v>
      </c>
      <c r="H154">
        <v>3000</v>
      </c>
      <c r="I154">
        <v>3000</v>
      </c>
      <c r="J154" t="s">
        <v>4629</v>
      </c>
      <c r="K154" t="s">
        <v>12271</v>
      </c>
      <c r="L154" s="3" t="s">
        <v>12272</v>
      </c>
      <c r="M154" t="s">
        <v>12273</v>
      </c>
    </row>
    <row r="155" spans="1:13" x14ac:dyDescent="0.2">
      <c r="A155" t="s">
        <v>12518</v>
      </c>
      <c r="B155" s="6" t="s">
        <v>4696</v>
      </c>
      <c r="C155" t="s">
        <v>11751</v>
      </c>
      <c r="D155" t="s">
        <v>11757</v>
      </c>
      <c r="E155" t="s">
        <v>330</v>
      </c>
      <c r="F155" t="s">
        <v>3779</v>
      </c>
      <c r="G155" t="s">
        <v>11593</v>
      </c>
      <c r="H155">
        <v>3000</v>
      </c>
      <c r="I155">
        <v>3000</v>
      </c>
      <c r="J155" t="s">
        <v>4629</v>
      </c>
      <c r="K155" t="s">
        <v>12271</v>
      </c>
      <c r="L155" s="3" t="s">
        <v>12272</v>
      </c>
      <c r="M155" t="s">
        <v>12273</v>
      </c>
    </row>
    <row r="156" spans="1:13" x14ac:dyDescent="0.2">
      <c r="A156" t="s">
        <v>12519</v>
      </c>
      <c r="B156" s="6" t="s">
        <v>4696</v>
      </c>
      <c r="C156" t="s">
        <v>11751</v>
      </c>
      <c r="D156" t="s">
        <v>11761</v>
      </c>
      <c r="E156" t="s">
        <v>429</v>
      </c>
      <c r="F156" t="s">
        <v>3779</v>
      </c>
      <c r="G156" t="s">
        <v>11593</v>
      </c>
      <c r="H156">
        <v>3000</v>
      </c>
      <c r="I156">
        <v>3000</v>
      </c>
      <c r="J156" t="s">
        <v>4629</v>
      </c>
      <c r="K156" t="s">
        <v>12271</v>
      </c>
      <c r="L156" s="3" t="s">
        <v>12272</v>
      </c>
      <c r="M156" t="s">
        <v>12273</v>
      </c>
    </row>
    <row r="157" spans="1:13" x14ac:dyDescent="0.2">
      <c r="A157" t="s">
        <v>12520</v>
      </c>
      <c r="B157" s="6" t="s">
        <v>4696</v>
      </c>
      <c r="C157" t="s">
        <v>11751</v>
      </c>
      <c r="D157" t="s">
        <v>11765</v>
      </c>
      <c r="E157" t="s">
        <v>543</v>
      </c>
      <c r="F157" t="s">
        <v>3779</v>
      </c>
      <c r="G157" t="s">
        <v>11593</v>
      </c>
      <c r="H157">
        <v>3000</v>
      </c>
      <c r="I157">
        <v>3000</v>
      </c>
      <c r="J157" t="s">
        <v>4629</v>
      </c>
      <c r="K157" t="s">
        <v>12271</v>
      </c>
      <c r="L157" s="3" t="s">
        <v>12272</v>
      </c>
      <c r="M157" t="s">
        <v>12273</v>
      </c>
    </row>
    <row r="158" spans="1:13" x14ac:dyDescent="0.2">
      <c r="A158" t="s">
        <v>12521</v>
      </c>
      <c r="B158" s="6" t="s">
        <v>4696</v>
      </c>
      <c r="C158" t="s">
        <v>11751</v>
      </c>
      <c r="D158" t="s">
        <v>11769</v>
      </c>
      <c r="E158" t="s">
        <v>645</v>
      </c>
      <c r="F158" t="s">
        <v>3779</v>
      </c>
      <c r="G158" t="s">
        <v>11593</v>
      </c>
      <c r="H158">
        <v>3000</v>
      </c>
      <c r="I158">
        <v>3000</v>
      </c>
      <c r="J158" t="s">
        <v>4629</v>
      </c>
      <c r="K158" t="s">
        <v>12271</v>
      </c>
      <c r="L158" s="3" t="s">
        <v>12272</v>
      </c>
      <c r="M158" t="s">
        <v>12273</v>
      </c>
    </row>
    <row r="159" spans="1:13" x14ac:dyDescent="0.2">
      <c r="A159" t="s">
        <v>12522</v>
      </c>
      <c r="B159" s="6" t="s">
        <v>4696</v>
      </c>
      <c r="C159" t="s">
        <v>11751</v>
      </c>
      <c r="D159" t="s">
        <v>11773</v>
      </c>
      <c r="E159" t="s">
        <v>759</v>
      </c>
      <c r="F159" t="s">
        <v>3779</v>
      </c>
      <c r="G159" t="s">
        <v>11593</v>
      </c>
      <c r="H159">
        <v>3000</v>
      </c>
      <c r="I159">
        <v>3000</v>
      </c>
      <c r="J159" t="s">
        <v>4629</v>
      </c>
      <c r="K159" t="s">
        <v>12271</v>
      </c>
      <c r="L159" s="3" t="s">
        <v>12272</v>
      </c>
      <c r="M159" t="s">
        <v>12273</v>
      </c>
    </row>
    <row r="160" spans="1:13" x14ac:dyDescent="0.2">
      <c r="A160" t="s">
        <v>12523</v>
      </c>
      <c r="B160" s="6" t="s">
        <v>4696</v>
      </c>
      <c r="C160" t="s">
        <v>11751</v>
      </c>
      <c r="D160" t="s">
        <v>11777</v>
      </c>
      <c r="E160" t="s">
        <v>839</v>
      </c>
      <c r="F160" t="s">
        <v>3779</v>
      </c>
      <c r="G160" t="s">
        <v>11593</v>
      </c>
      <c r="H160">
        <v>3000</v>
      </c>
      <c r="I160">
        <v>3000</v>
      </c>
      <c r="J160" t="s">
        <v>4629</v>
      </c>
      <c r="K160" t="s">
        <v>12271</v>
      </c>
      <c r="L160" s="3" t="s">
        <v>12272</v>
      </c>
      <c r="M160" t="s">
        <v>12273</v>
      </c>
    </row>
    <row r="161" spans="1:13" x14ac:dyDescent="0.2">
      <c r="A161" t="s">
        <v>12524</v>
      </c>
      <c r="B161" s="6" t="s">
        <v>4696</v>
      </c>
      <c r="C161" t="s">
        <v>11751</v>
      </c>
      <c r="D161" t="s">
        <v>11781</v>
      </c>
      <c r="E161" t="s">
        <v>949</v>
      </c>
      <c r="F161" t="s">
        <v>3779</v>
      </c>
      <c r="G161" t="s">
        <v>11593</v>
      </c>
      <c r="H161">
        <v>3000</v>
      </c>
      <c r="I161">
        <v>3000</v>
      </c>
      <c r="J161" t="s">
        <v>4629</v>
      </c>
      <c r="K161" t="s">
        <v>12271</v>
      </c>
      <c r="L161" s="3" t="s">
        <v>12272</v>
      </c>
      <c r="M161" t="s">
        <v>12273</v>
      </c>
    </row>
    <row r="162" spans="1:13" x14ac:dyDescent="0.2">
      <c r="A162" t="s">
        <v>12525</v>
      </c>
      <c r="B162" s="6" t="s">
        <v>4696</v>
      </c>
      <c r="C162" t="s">
        <v>11751</v>
      </c>
      <c r="D162" t="s">
        <v>11785</v>
      </c>
      <c r="E162" t="s">
        <v>1054</v>
      </c>
      <c r="F162" t="s">
        <v>3779</v>
      </c>
      <c r="G162" t="s">
        <v>11593</v>
      </c>
      <c r="H162">
        <v>3000</v>
      </c>
      <c r="I162">
        <v>3000</v>
      </c>
      <c r="J162" t="s">
        <v>4629</v>
      </c>
      <c r="K162" t="s">
        <v>12271</v>
      </c>
      <c r="L162" s="3" t="s">
        <v>12272</v>
      </c>
      <c r="M162" t="s">
        <v>12273</v>
      </c>
    </row>
    <row r="163" spans="1:13" x14ac:dyDescent="0.2">
      <c r="A163" t="s">
        <v>12526</v>
      </c>
      <c r="B163" s="6" t="s">
        <v>4648</v>
      </c>
      <c r="C163" t="s">
        <v>11791</v>
      </c>
      <c r="D163" t="s">
        <v>11789</v>
      </c>
      <c r="E163" t="s">
        <v>123</v>
      </c>
      <c r="F163" t="s">
        <v>122</v>
      </c>
      <c r="G163" t="s">
        <v>11790</v>
      </c>
      <c r="H163">
        <v>6163</v>
      </c>
      <c r="I163">
        <v>6000</v>
      </c>
      <c r="J163" t="s">
        <v>4613</v>
      </c>
      <c r="K163" t="s">
        <v>12274</v>
      </c>
      <c r="L163" s="3" t="s">
        <v>12275</v>
      </c>
      <c r="M163" t="s">
        <v>12276</v>
      </c>
    </row>
    <row r="164" spans="1:13" x14ac:dyDescent="0.2">
      <c r="A164" t="s">
        <v>12527</v>
      </c>
      <c r="B164" s="6" t="s">
        <v>4729</v>
      </c>
      <c r="C164" t="s">
        <v>11798</v>
      </c>
      <c r="D164" t="s">
        <v>11797</v>
      </c>
      <c r="E164" t="s">
        <v>330</v>
      </c>
      <c r="F164" t="s">
        <v>122</v>
      </c>
      <c r="G164" t="s">
        <v>11790</v>
      </c>
      <c r="H164">
        <v>7227</v>
      </c>
      <c r="I164">
        <v>6000</v>
      </c>
      <c r="J164" t="s">
        <v>4641</v>
      </c>
      <c r="K164" t="s">
        <v>12277</v>
      </c>
      <c r="L164" s="3" t="s">
        <v>12278</v>
      </c>
      <c r="M164" t="s">
        <v>12276</v>
      </c>
    </row>
    <row r="165" spans="1:13" x14ac:dyDescent="0.2">
      <c r="A165" t="s">
        <v>12528</v>
      </c>
      <c r="B165" s="6" t="s">
        <v>4648</v>
      </c>
      <c r="C165" t="s">
        <v>11803</v>
      </c>
      <c r="D165" t="s">
        <v>11802</v>
      </c>
      <c r="E165" t="s">
        <v>429</v>
      </c>
      <c r="F165" t="s">
        <v>122</v>
      </c>
      <c r="G165" t="s">
        <v>11790</v>
      </c>
      <c r="H165">
        <v>6590</v>
      </c>
      <c r="I165">
        <v>6000</v>
      </c>
      <c r="J165" t="s">
        <v>4613</v>
      </c>
      <c r="K165" t="s">
        <v>12279</v>
      </c>
      <c r="L165" s="3" t="s">
        <v>12280</v>
      </c>
      <c r="M165" t="s">
        <v>12276</v>
      </c>
    </row>
    <row r="166" spans="1:13" x14ac:dyDescent="0.2">
      <c r="A166" t="s">
        <v>12529</v>
      </c>
      <c r="B166" s="6" t="s">
        <v>4633</v>
      </c>
      <c r="C166" t="s">
        <v>11808</v>
      </c>
      <c r="D166" t="s">
        <v>11807</v>
      </c>
      <c r="E166" t="s">
        <v>543</v>
      </c>
      <c r="F166" t="s">
        <v>122</v>
      </c>
      <c r="G166" t="s">
        <v>11790</v>
      </c>
      <c r="H166">
        <v>8895</v>
      </c>
      <c r="I166">
        <v>6000</v>
      </c>
      <c r="J166" t="s">
        <v>4608</v>
      </c>
      <c r="K166" t="s">
        <v>12281</v>
      </c>
      <c r="L166" s="3" t="s">
        <v>12282</v>
      </c>
      <c r="M166" t="s">
        <v>12276</v>
      </c>
    </row>
    <row r="167" spans="1:13" x14ac:dyDescent="0.2">
      <c r="A167" t="s">
        <v>12530</v>
      </c>
      <c r="B167" s="6" t="s">
        <v>5070</v>
      </c>
      <c r="C167" t="s">
        <v>11813</v>
      </c>
      <c r="D167" t="s">
        <v>11812</v>
      </c>
      <c r="E167" t="s">
        <v>645</v>
      </c>
      <c r="F167" t="s">
        <v>122</v>
      </c>
      <c r="G167" t="s">
        <v>11790</v>
      </c>
      <c r="H167">
        <v>7299</v>
      </c>
      <c r="I167">
        <v>6000</v>
      </c>
      <c r="J167" t="s">
        <v>4693</v>
      </c>
      <c r="K167" t="s">
        <v>12283</v>
      </c>
      <c r="L167" s="3" t="s">
        <v>12284</v>
      </c>
      <c r="M167" t="s">
        <v>12276</v>
      </c>
    </row>
    <row r="168" spans="1:13" x14ac:dyDescent="0.2">
      <c r="A168" t="s">
        <v>12531</v>
      </c>
      <c r="B168" s="6" t="s">
        <v>4845</v>
      </c>
      <c r="C168" t="s">
        <v>11818</v>
      </c>
      <c r="D168" t="s">
        <v>11817</v>
      </c>
      <c r="E168" t="s">
        <v>759</v>
      </c>
      <c r="F168" t="s">
        <v>122</v>
      </c>
      <c r="G168" t="s">
        <v>11790</v>
      </c>
      <c r="H168">
        <v>6750</v>
      </c>
      <c r="I168">
        <v>6000</v>
      </c>
      <c r="J168" t="s">
        <v>4608</v>
      </c>
      <c r="K168" t="s">
        <v>12285</v>
      </c>
      <c r="L168" s="3" t="s">
        <v>12286</v>
      </c>
      <c r="M168" t="s">
        <v>12276</v>
      </c>
    </row>
    <row r="169" spans="1:13" x14ac:dyDescent="0.2">
      <c r="A169" t="s">
        <v>12532</v>
      </c>
      <c r="B169" s="6" t="s">
        <v>4692</v>
      </c>
      <c r="C169" t="s">
        <v>11823</v>
      </c>
      <c r="D169" t="s">
        <v>11822</v>
      </c>
      <c r="E169" t="s">
        <v>839</v>
      </c>
      <c r="F169" t="s">
        <v>122</v>
      </c>
      <c r="G169" t="s">
        <v>11790</v>
      </c>
      <c r="H169">
        <v>7635</v>
      </c>
      <c r="I169">
        <v>6000</v>
      </c>
      <c r="J169" t="s">
        <v>4668</v>
      </c>
      <c r="K169" t="s">
        <v>12287</v>
      </c>
      <c r="L169" s="3" t="s">
        <v>12288</v>
      </c>
      <c r="M169" t="s">
        <v>12276</v>
      </c>
    </row>
    <row r="170" spans="1:13" x14ac:dyDescent="0.2">
      <c r="A170" t="s">
        <v>12533</v>
      </c>
      <c r="B170" s="6" t="s">
        <v>4692</v>
      </c>
      <c r="C170" t="s">
        <v>11828</v>
      </c>
      <c r="D170" t="s">
        <v>11827</v>
      </c>
      <c r="E170" t="s">
        <v>949</v>
      </c>
      <c r="F170" t="s">
        <v>122</v>
      </c>
      <c r="G170" t="s">
        <v>11790</v>
      </c>
      <c r="H170">
        <v>13684</v>
      </c>
      <c r="I170">
        <v>6000</v>
      </c>
      <c r="J170" t="s">
        <v>4668</v>
      </c>
      <c r="K170" t="s">
        <v>12289</v>
      </c>
      <c r="L170" s="3" t="s">
        <v>12288</v>
      </c>
      <c r="M170" t="s">
        <v>12276</v>
      </c>
    </row>
    <row r="171" spans="1:13" x14ac:dyDescent="0.2">
      <c r="A171" t="s">
        <v>12534</v>
      </c>
      <c r="B171" s="6" t="s">
        <v>4931</v>
      </c>
      <c r="C171" t="s">
        <v>11833</v>
      </c>
      <c r="D171" t="s">
        <v>11832</v>
      </c>
      <c r="E171" t="s">
        <v>1054</v>
      </c>
      <c r="F171" t="s">
        <v>122</v>
      </c>
      <c r="G171" t="s">
        <v>11790</v>
      </c>
      <c r="H171">
        <v>7316</v>
      </c>
      <c r="I171">
        <v>6000</v>
      </c>
      <c r="J171" t="s">
        <v>4842</v>
      </c>
      <c r="K171" t="s">
        <v>12290</v>
      </c>
      <c r="L171" s="3" t="s">
        <v>12291</v>
      </c>
      <c r="M171" t="s">
        <v>12276</v>
      </c>
    </row>
    <row r="172" spans="1:13" x14ac:dyDescent="0.2">
      <c r="A172" t="s">
        <v>12535</v>
      </c>
      <c r="B172" s="6" t="s">
        <v>4659</v>
      </c>
      <c r="C172" t="s">
        <v>11838</v>
      </c>
      <c r="D172" t="s">
        <v>11837</v>
      </c>
      <c r="E172" t="s">
        <v>123</v>
      </c>
      <c r="F172" t="s">
        <v>1103</v>
      </c>
      <c r="G172" t="s">
        <v>11790</v>
      </c>
      <c r="H172">
        <v>6418</v>
      </c>
      <c r="I172">
        <v>6000</v>
      </c>
      <c r="J172" t="s">
        <v>4629</v>
      </c>
      <c r="K172" t="s">
        <v>12292</v>
      </c>
      <c r="L172" s="3" t="s">
        <v>12293</v>
      </c>
      <c r="M172" t="s">
        <v>12276</v>
      </c>
    </row>
    <row r="173" spans="1:13" x14ac:dyDescent="0.2">
      <c r="A173" t="s">
        <v>12536</v>
      </c>
      <c r="B173" s="6" t="s">
        <v>4729</v>
      </c>
      <c r="C173" t="s">
        <v>11843</v>
      </c>
      <c r="D173" t="s">
        <v>11842</v>
      </c>
      <c r="E173" t="s">
        <v>330</v>
      </c>
      <c r="F173" t="s">
        <v>1103</v>
      </c>
      <c r="G173" t="s">
        <v>11790</v>
      </c>
      <c r="H173">
        <v>7227</v>
      </c>
      <c r="I173">
        <v>6000</v>
      </c>
      <c r="J173" t="s">
        <v>4641</v>
      </c>
      <c r="K173" t="s">
        <v>12294</v>
      </c>
      <c r="L173" s="3" t="s">
        <v>12295</v>
      </c>
      <c r="M173" t="s">
        <v>12276</v>
      </c>
    </row>
    <row r="174" spans="1:13" x14ac:dyDescent="0.2">
      <c r="A174" t="s">
        <v>12537</v>
      </c>
      <c r="B174" s="6" t="s">
        <v>4648</v>
      </c>
      <c r="C174" t="s">
        <v>11848</v>
      </c>
      <c r="D174" t="s">
        <v>11847</v>
      </c>
      <c r="E174" t="s">
        <v>429</v>
      </c>
      <c r="F174" t="s">
        <v>1103</v>
      </c>
      <c r="G174" t="s">
        <v>11790</v>
      </c>
      <c r="H174">
        <v>6590</v>
      </c>
      <c r="I174">
        <v>6000</v>
      </c>
      <c r="J174" t="s">
        <v>4613</v>
      </c>
      <c r="K174" t="s">
        <v>12296</v>
      </c>
      <c r="L174" s="3" t="s">
        <v>12297</v>
      </c>
      <c r="M174" t="s">
        <v>12276</v>
      </c>
    </row>
    <row r="175" spans="1:13" x14ac:dyDescent="0.2">
      <c r="A175" t="s">
        <v>12538</v>
      </c>
      <c r="B175" s="6" t="s">
        <v>4648</v>
      </c>
      <c r="C175" t="s">
        <v>11853</v>
      </c>
      <c r="D175" t="s">
        <v>11852</v>
      </c>
      <c r="E175" t="s">
        <v>543</v>
      </c>
      <c r="F175" t="s">
        <v>1103</v>
      </c>
      <c r="G175" t="s">
        <v>11790</v>
      </c>
      <c r="H175">
        <v>8260</v>
      </c>
      <c r="I175">
        <v>6000</v>
      </c>
      <c r="J175" t="s">
        <v>4613</v>
      </c>
      <c r="K175" t="s">
        <v>12298</v>
      </c>
      <c r="L175" s="3" t="s">
        <v>12299</v>
      </c>
      <c r="M175" t="s">
        <v>12276</v>
      </c>
    </row>
    <row r="176" spans="1:13" x14ac:dyDescent="0.2">
      <c r="A176" t="s">
        <v>12539</v>
      </c>
      <c r="B176" s="6" t="s">
        <v>5653</v>
      </c>
      <c r="C176" t="s">
        <v>11858</v>
      </c>
      <c r="D176" t="s">
        <v>11857</v>
      </c>
      <c r="E176" t="s">
        <v>645</v>
      </c>
      <c r="F176" t="s">
        <v>1103</v>
      </c>
      <c r="G176" t="s">
        <v>11790</v>
      </c>
      <c r="H176">
        <v>6762</v>
      </c>
      <c r="I176">
        <v>6000</v>
      </c>
      <c r="J176" t="s">
        <v>4608</v>
      </c>
      <c r="K176" t="s">
        <v>12300</v>
      </c>
      <c r="L176" s="3" t="s">
        <v>12301</v>
      </c>
      <c r="M176" t="s">
        <v>12276</v>
      </c>
    </row>
    <row r="177" spans="1:13" x14ac:dyDescent="0.2">
      <c r="A177" t="s">
        <v>12540</v>
      </c>
      <c r="B177" s="6" t="s">
        <v>5138</v>
      </c>
      <c r="C177" t="s">
        <v>11863</v>
      </c>
      <c r="D177" t="s">
        <v>11862</v>
      </c>
      <c r="E177" t="s">
        <v>759</v>
      </c>
      <c r="F177" t="s">
        <v>1103</v>
      </c>
      <c r="G177" t="s">
        <v>11790</v>
      </c>
      <c r="H177">
        <v>7267</v>
      </c>
      <c r="I177">
        <v>6000</v>
      </c>
      <c r="J177" t="s">
        <v>4723</v>
      </c>
      <c r="K177" t="s">
        <v>12302</v>
      </c>
      <c r="L177" s="3" t="s">
        <v>12303</v>
      </c>
      <c r="M177" t="s">
        <v>12276</v>
      </c>
    </row>
    <row r="178" spans="1:13" x14ac:dyDescent="0.2">
      <c r="A178" t="s">
        <v>12541</v>
      </c>
      <c r="B178" s="6" t="s">
        <v>4692</v>
      </c>
      <c r="C178" t="s">
        <v>11868</v>
      </c>
      <c r="D178" t="s">
        <v>11867</v>
      </c>
      <c r="E178" t="s">
        <v>839</v>
      </c>
      <c r="F178" t="s">
        <v>1103</v>
      </c>
      <c r="G178" t="s">
        <v>11790</v>
      </c>
      <c r="H178">
        <v>7635</v>
      </c>
      <c r="I178">
        <v>6000</v>
      </c>
      <c r="J178" t="s">
        <v>4668</v>
      </c>
      <c r="K178" t="s">
        <v>12304</v>
      </c>
      <c r="L178" s="3" t="s">
        <v>12305</v>
      </c>
      <c r="M178" t="s">
        <v>12276</v>
      </c>
    </row>
    <row r="179" spans="1:13" x14ac:dyDescent="0.2">
      <c r="A179" t="s">
        <v>12542</v>
      </c>
      <c r="B179" s="6" t="s">
        <v>4692</v>
      </c>
      <c r="C179" t="s">
        <v>11873</v>
      </c>
      <c r="D179" t="s">
        <v>11872</v>
      </c>
      <c r="E179" t="s">
        <v>949</v>
      </c>
      <c r="F179" t="s">
        <v>1103</v>
      </c>
      <c r="G179" t="s">
        <v>11790</v>
      </c>
      <c r="H179">
        <v>13684</v>
      </c>
      <c r="I179">
        <v>6000</v>
      </c>
      <c r="J179" t="s">
        <v>4668</v>
      </c>
      <c r="K179" t="s">
        <v>12306</v>
      </c>
      <c r="L179" s="3" t="s">
        <v>12305</v>
      </c>
      <c r="M179" t="s">
        <v>12276</v>
      </c>
    </row>
    <row r="180" spans="1:13" x14ac:dyDescent="0.2">
      <c r="A180" t="s">
        <v>12543</v>
      </c>
      <c r="B180" s="6" t="s">
        <v>4931</v>
      </c>
      <c r="C180" t="s">
        <v>11878</v>
      </c>
      <c r="D180" t="s">
        <v>11877</v>
      </c>
      <c r="E180" t="s">
        <v>1054</v>
      </c>
      <c r="F180" t="s">
        <v>1103</v>
      </c>
      <c r="G180" t="s">
        <v>11790</v>
      </c>
      <c r="H180">
        <v>7316</v>
      </c>
      <c r="I180">
        <v>6000</v>
      </c>
      <c r="J180" t="s">
        <v>4842</v>
      </c>
      <c r="K180" t="s">
        <v>12307</v>
      </c>
      <c r="L180" s="3" t="s">
        <v>12308</v>
      </c>
      <c r="M180" t="s">
        <v>12276</v>
      </c>
    </row>
    <row r="181" spans="1:13" x14ac:dyDescent="0.2">
      <c r="A181" t="s">
        <v>12544</v>
      </c>
      <c r="B181" s="6" t="s">
        <v>4659</v>
      </c>
      <c r="C181" t="s">
        <v>11882</v>
      </c>
      <c r="D181" t="s">
        <v>10175</v>
      </c>
      <c r="E181" t="s">
        <v>123</v>
      </c>
      <c r="F181" t="s">
        <v>1947</v>
      </c>
      <c r="G181" t="s">
        <v>11790</v>
      </c>
      <c r="H181">
        <v>6418</v>
      </c>
      <c r="I181">
        <v>6000</v>
      </c>
      <c r="J181" t="s">
        <v>4629</v>
      </c>
      <c r="K181" t="s">
        <v>12309</v>
      </c>
      <c r="L181" s="3" t="s">
        <v>12310</v>
      </c>
      <c r="M181" t="s">
        <v>12276</v>
      </c>
    </row>
    <row r="182" spans="1:13" x14ac:dyDescent="0.2">
      <c r="A182" t="s">
        <v>12545</v>
      </c>
      <c r="B182" s="6" t="s">
        <v>4659</v>
      </c>
      <c r="C182" t="s">
        <v>11887</v>
      </c>
      <c r="D182" t="s">
        <v>11886</v>
      </c>
      <c r="E182" t="s">
        <v>330</v>
      </c>
      <c r="F182" t="s">
        <v>1947</v>
      </c>
      <c r="G182" t="s">
        <v>11790</v>
      </c>
      <c r="H182">
        <v>7582</v>
      </c>
      <c r="I182">
        <v>6000</v>
      </c>
      <c r="J182" t="s">
        <v>4629</v>
      </c>
      <c r="K182" t="s">
        <v>12311</v>
      </c>
      <c r="L182" s="3" t="s">
        <v>12312</v>
      </c>
      <c r="M182" t="s">
        <v>12276</v>
      </c>
    </row>
    <row r="183" spans="1:13" x14ac:dyDescent="0.2">
      <c r="A183" t="s">
        <v>12546</v>
      </c>
      <c r="B183" s="6" t="s">
        <v>4648</v>
      </c>
      <c r="C183" t="s">
        <v>11892</v>
      </c>
      <c r="D183" t="s">
        <v>11891</v>
      </c>
      <c r="E183" t="s">
        <v>429</v>
      </c>
      <c r="F183" t="s">
        <v>1947</v>
      </c>
      <c r="G183" t="s">
        <v>11790</v>
      </c>
      <c r="H183">
        <v>6145</v>
      </c>
      <c r="I183">
        <v>6000</v>
      </c>
      <c r="J183" t="s">
        <v>4608</v>
      </c>
      <c r="K183" t="s">
        <v>12313</v>
      </c>
      <c r="L183" s="3" t="s">
        <v>12314</v>
      </c>
      <c r="M183" t="s">
        <v>12276</v>
      </c>
    </row>
    <row r="184" spans="1:13" x14ac:dyDescent="0.2">
      <c r="A184" t="s">
        <v>12547</v>
      </c>
      <c r="B184" s="6" t="s">
        <v>4633</v>
      </c>
      <c r="C184" t="s">
        <v>11897</v>
      </c>
      <c r="D184" t="s">
        <v>11896</v>
      </c>
      <c r="E184" t="s">
        <v>543</v>
      </c>
      <c r="F184" t="s">
        <v>1947</v>
      </c>
      <c r="G184" t="s">
        <v>11790</v>
      </c>
      <c r="H184">
        <v>8895</v>
      </c>
      <c r="I184">
        <v>6000</v>
      </c>
      <c r="J184" t="s">
        <v>4608</v>
      </c>
      <c r="K184" t="s">
        <v>12315</v>
      </c>
      <c r="L184" s="3" t="s">
        <v>12316</v>
      </c>
      <c r="M184" t="s">
        <v>12276</v>
      </c>
    </row>
    <row r="185" spans="1:13" x14ac:dyDescent="0.2">
      <c r="A185" t="s">
        <v>12548</v>
      </c>
      <c r="B185" s="6" t="s">
        <v>4811</v>
      </c>
      <c r="C185" t="s">
        <v>11902</v>
      </c>
      <c r="D185" t="s">
        <v>11901</v>
      </c>
      <c r="E185" t="s">
        <v>645</v>
      </c>
      <c r="F185" t="s">
        <v>1947</v>
      </c>
      <c r="G185" t="s">
        <v>11790</v>
      </c>
      <c r="H185">
        <v>6762</v>
      </c>
      <c r="I185">
        <v>6000</v>
      </c>
      <c r="J185" t="s">
        <v>5440</v>
      </c>
      <c r="K185" t="s">
        <v>12317</v>
      </c>
      <c r="L185" s="3" t="s">
        <v>12318</v>
      </c>
      <c r="M185" t="s">
        <v>12276</v>
      </c>
    </row>
    <row r="186" spans="1:13" x14ac:dyDescent="0.2">
      <c r="A186" t="s">
        <v>12549</v>
      </c>
      <c r="B186" s="6" t="s">
        <v>4845</v>
      </c>
      <c r="C186" t="s">
        <v>11907</v>
      </c>
      <c r="D186" t="s">
        <v>11906</v>
      </c>
      <c r="E186" t="s">
        <v>759</v>
      </c>
      <c r="F186" t="s">
        <v>1947</v>
      </c>
      <c r="G186" t="s">
        <v>11790</v>
      </c>
      <c r="H186">
        <v>6750</v>
      </c>
      <c r="I186">
        <v>6000</v>
      </c>
      <c r="J186" t="s">
        <v>4629</v>
      </c>
      <c r="K186" t="s">
        <v>12319</v>
      </c>
      <c r="L186" s="3" t="s">
        <v>12320</v>
      </c>
      <c r="M186" t="s">
        <v>12276</v>
      </c>
    </row>
    <row r="187" spans="1:13" x14ac:dyDescent="0.2">
      <c r="A187" t="s">
        <v>12550</v>
      </c>
      <c r="B187" s="6" t="s">
        <v>4692</v>
      </c>
      <c r="C187" t="s">
        <v>11912</v>
      </c>
      <c r="D187" t="s">
        <v>11911</v>
      </c>
      <c r="E187" t="s">
        <v>839</v>
      </c>
      <c r="F187" t="s">
        <v>1947</v>
      </c>
      <c r="G187" t="s">
        <v>11790</v>
      </c>
      <c r="H187">
        <v>7635</v>
      </c>
      <c r="I187">
        <v>6000</v>
      </c>
      <c r="J187" t="s">
        <v>4668</v>
      </c>
      <c r="K187" t="s">
        <v>12321</v>
      </c>
      <c r="L187" s="3" t="s">
        <v>12322</v>
      </c>
      <c r="M187" t="s">
        <v>12276</v>
      </c>
    </row>
    <row r="188" spans="1:13" x14ac:dyDescent="0.2">
      <c r="A188" t="s">
        <v>12551</v>
      </c>
      <c r="B188" s="6" t="s">
        <v>4692</v>
      </c>
      <c r="C188" t="s">
        <v>11917</v>
      </c>
      <c r="D188" t="s">
        <v>11916</v>
      </c>
      <c r="E188" t="s">
        <v>949</v>
      </c>
      <c r="F188" t="s">
        <v>1947</v>
      </c>
      <c r="G188" t="s">
        <v>11790</v>
      </c>
      <c r="H188">
        <v>14186</v>
      </c>
      <c r="I188">
        <v>6000</v>
      </c>
      <c r="J188" t="s">
        <v>4668</v>
      </c>
      <c r="K188" t="s">
        <v>12323</v>
      </c>
      <c r="L188" s="3" t="s">
        <v>12322</v>
      </c>
      <c r="M188" t="s">
        <v>12276</v>
      </c>
    </row>
    <row r="189" spans="1:13" x14ac:dyDescent="0.2">
      <c r="A189" t="s">
        <v>12552</v>
      </c>
      <c r="B189" s="6" t="s">
        <v>4931</v>
      </c>
      <c r="C189" t="s">
        <v>11922</v>
      </c>
      <c r="D189" t="s">
        <v>11921</v>
      </c>
      <c r="E189" t="s">
        <v>1054</v>
      </c>
      <c r="F189" t="s">
        <v>1947</v>
      </c>
      <c r="G189" t="s">
        <v>11790</v>
      </c>
      <c r="H189">
        <v>7316</v>
      </c>
      <c r="I189">
        <v>6000</v>
      </c>
      <c r="J189" t="s">
        <v>4842</v>
      </c>
      <c r="K189" t="s">
        <v>12324</v>
      </c>
      <c r="L189" s="3" t="s">
        <v>12325</v>
      </c>
      <c r="M189" t="s">
        <v>12276</v>
      </c>
    </row>
    <row r="190" spans="1:13" x14ac:dyDescent="0.2">
      <c r="A190" t="s">
        <v>12553</v>
      </c>
      <c r="B190" s="6" t="s">
        <v>4659</v>
      </c>
      <c r="C190" t="s">
        <v>11927</v>
      </c>
      <c r="D190" t="s">
        <v>11926</v>
      </c>
      <c r="E190" t="s">
        <v>123</v>
      </c>
      <c r="F190" t="s">
        <v>2837</v>
      </c>
      <c r="G190" t="s">
        <v>11790</v>
      </c>
      <c r="H190">
        <v>6418</v>
      </c>
      <c r="I190">
        <v>6000</v>
      </c>
      <c r="J190" t="s">
        <v>4629</v>
      </c>
      <c r="K190" t="s">
        <v>12326</v>
      </c>
      <c r="L190" s="3" t="s">
        <v>12327</v>
      </c>
      <c r="M190" t="s">
        <v>12276</v>
      </c>
    </row>
    <row r="191" spans="1:13" x14ac:dyDescent="0.2">
      <c r="A191" t="s">
        <v>12554</v>
      </c>
      <c r="B191" s="6" t="s">
        <v>4648</v>
      </c>
      <c r="C191" t="s">
        <v>11932</v>
      </c>
      <c r="D191" t="s">
        <v>11931</v>
      </c>
      <c r="E191" t="s">
        <v>330</v>
      </c>
      <c r="F191" t="s">
        <v>2837</v>
      </c>
      <c r="G191" t="s">
        <v>11790</v>
      </c>
      <c r="H191">
        <v>6925</v>
      </c>
      <c r="I191">
        <v>6000</v>
      </c>
      <c r="J191" t="s">
        <v>4629</v>
      </c>
      <c r="K191" t="s">
        <v>12328</v>
      </c>
      <c r="L191" s="3" t="s">
        <v>12329</v>
      </c>
      <c r="M191" t="s">
        <v>12276</v>
      </c>
    </row>
    <row r="192" spans="1:13" x14ac:dyDescent="0.2">
      <c r="A192" t="s">
        <v>12555</v>
      </c>
      <c r="B192" s="6" t="s">
        <v>4648</v>
      </c>
      <c r="C192" t="s">
        <v>11937</v>
      </c>
      <c r="D192" t="s">
        <v>11936</v>
      </c>
      <c r="E192" t="s">
        <v>429</v>
      </c>
      <c r="F192" t="s">
        <v>2837</v>
      </c>
      <c r="G192" t="s">
        <v>11790</v>
      </c>
      <c r="H192">
        <v>6145</v>
      </c>
      <c r="I192">
        <v>6000</v>
      </c>
      <c r="J192" t="s">
        <v>4608</v>
      </c>
      <c r="K192" t="s">
        <v>12330</v>
      </c>
      <c r="L192" s="3" t="s">
        <v>12329</v>
      </c>
      <c r="M192" t="s">
        <v>12276</v>
      </c>
    </row>
    <row r="193" spans="1:13" x14ac:dyDescent="0.2">
      <c r="A193" t="s">
        <v>12556</v>
      </c>
      <c r="B193" s="6" t="s">
        <v>4648</v>
      </c>
      <c r="C193" t="s">
        <v>11942</v>
      </c>
      <c r="D193" t="s">
        <v>11941</v>
      </c>
      <c r="E193" t="s">
        <v>543</v>
      </c>
      <c r="F193" t="s">
        <v>2837</v>
      </c>
      <c r="G193" t="s">
        <v>11790</v>
      </c>
      <c r="H193">
        <v>8260</v>
      </c>
      <c r="I193">
        <v>6000</v>
      </c>
      <c r="J193" t="s">
        <v>4613</v>
      </c>
      <c r="K193" t="s">
        <v>12331</v>
      </c>
      <c r="L193" s="3" t="s">
        <v>12329</v>
      </c>
      <c r="M193" t="s">
        <v>12276</v>
      </c>
    </row>
    <row r="194" spans="1:13" x14ac:dyDescent="0.2">
      <c r="A194" t="s">
        <v>12557</v>
      </c>
      <c r="B194" s="6" t="s">
        <v>5653</v>
      </c>
      <c r="C194" t="s">
        <v>11947</v>
      </c>
      <c r="D194" t="s">
        <v>11946</v>
      </c>
      <c r="E194" t="s">
        <v>645</v>
      </c>
      <c r="F194" t="s">
        <v>2837</v>
      </c>
      <c r="G194" t="s">
        <v>11790</v>
      </c>
      <c r="H194">
        <v>6762</v>
      </c>
      <c r="I194">
        <v>6000</v>
      </c>
      <c r="J194" t="s">
        <v>4608</v>
      </c>
      <c r="K194" t="s">
        <v>12332</v>
      </c>
      <c r="L194" s="3" t="s">
        <v>12333</v>
      </c>
      <c r="M194" t="s">
        <v>12276</v>
      </c>
    </row>
    <row r="195" spans="1:13" x14ac:dyDescent="0.2">
      <c r="A195" t="s">
        <v>12558</v>
      </c>
      <c r="B195" s="6" t="s">
        <v>5138</v>
      </c>
      <c r="C195" t="s">
        <v>11952</v>
      </c>
      <c r="D195" t="s">
        <v>11951</v>
      </c>
      <c r="E195" t="s">
        <v>759</v>
      </c>
      <c r="F195" t="s">
        <v>2837</v>
      </c>
      <c r="G195" t="s">
        <v>11790</v>
      </c>
      <c r="H195">
        <v>7267</v>
      </c>
      <c r="I195">
        <v>6000</v>
      </c>
      <c r="J195" t="s">
        <v>4723</v>
      </c>
      <c r="K195" t="s">
        <v>12334</v>
      </c>
      <c r="L195" s="3" t="s">
        <v>12335</v>
      </c>
      <c r="M195" t="s">
        <v>12276</v>
      </c>
    </row>
    <row r="196" spans="1:13" x14ac:dyDescent="0.2">
      <c r="A196" t="s">
        <v>12559</v>
      </c>
      <c r="B196" s="6" t="s">
        <v>4852</v>
      </c>
      <c r="C196" t="s">
        <v>11957</v>
      </c>
      <c r="D196" t="s">
        <v>11956</v>
      </c>
      <c r="E196" t="s">
        <v>839</v>
      </c>
      <c r="F196" t="s">
        <v>2837</v>
      </c>
      <c r="G196" t="s">
        <v>11790</v>
      </c>
      <c r="H196">
        <v>7881</v>
      </c>
      <c r="I196">
        <v>6000</v>
      </c>
      <c r="J196" t="s">
        <v>4629</v>
      </c>
      <c r="K196" t="s">
        <v>12336</v>
      </c>
      <c r="L196" s="3" t="s">
        <v>12337</v>
      </c>
      <c r="M196" t="s">
        <v>12276</v>
      </c>
    </row>
    <row r="197" spans="1:13" x14ac:dyDescent="0.2">
      <c r="A197" t="s">
        <v>12560</v>
      </c>
      <c r="B197" s="6" t="s">
        <v>4877</v>
      </c>
      <c r="C197" t="s">
        <v>11962</v>
      </c>
      <c r="D197" t="s">
        <v>11961</v>
      </c>
      <c r="E197" t="s">
        <v>949</v>
      </c>
      <c r="F197" t="s">
        <v>2837</v>
      </c>
      <c r="G197" t="s">
        <v>11790</v>
      </c>
      <c r="H197">
        <v>13684</v>
      </c>
      <c r="I197">
        <v>6000</v>
      </c>
      <c r="J197" t="s">
        <v>4629</v>
      </c>
      <c r="K197" t="s">
        <v>12338</v>
      </c>
      <c r="L197" s="3" t="s">
        <v>12339</v>
      </c>
      <c r="M197" t="s">
        <v>12276</v>
      </c>
    </row>
    <row r="198" spans="1:13" x14ac:dyDescent="0.2">
      <c r="A198" t="s">
        <v>12561</v>
      </c>
      <c r="B198" s="6" t="s">
        <v>6055</v>
      </c>
      <c r="C198" t="s">
        <v>11967</v>
      </c>
      <c r="D198" t="s">
        <v>11966</v>
      </c>
      <c r="E198" t="s">
        <v>1054</v>
      </c>
      <c r="F198" t="s">
        <v>2837</v>
      </c>
      <c r="G198" t="s">
        <v>11790</v>
      </c>
      <c r="H198">
        <v>8779</v>
      </c>
      <c r="I198">
        <v>6000</v>
      </c>
      <c r="J198" t="s">
        <v>4842</v>
      </c>
      <c r="K198" t="s">
        <v>12340</v>
      </c>
      <c r="L198" s="3" t="s">
        <v>12341</v>
      </c>
      <c r="M198" t="s">
        <v>12276</v>
      </c>
    </row>
    <row r="199" spans="1:13" x14ac:dyDescent="0.2">
      <c r="A199" t="s">
        <v>12562</v>
      </c>
      <c r="B199" s="6" t="s">
        <v>4648</v>
      </c>
      <c r="C199" t="s">
        <v>11972</v>
      </c>
      <c r="D199" t="s">
        <v>11971</v>
      </c>
      <c r="E199" t="s">
        <v>123</v>
      </c>
      <c r="F199" t="s">
        <v>3779</v>
      </c>
      <c r="G199" t="s">
        <v>11790</v>
      </c>
      <c r="H199">
        <v>6163</v>
      </c>
      <c r="I199">
        <v>6000</v>
      </c>
      <c r="J199" t="s">
        <v>4613</v>
      </c>
      <c r="K199" t="s">
        <v>12342</v>
      </c>
      <c r="L199" s="3" t="s">
        <v>12343</v>
      </c>
      <c r="M199" t="s">
        <v>12276</v>
      </c>
    </row>
    <row r="200" spans="1:13" x14ac:dyDescent="0.2">
      <c r="A200" t="s">
        <v>12563</v>
      </c>
      <c r="B200" s="6" t="s">
        <v>4648</v>
      </c>
      <c r="C200" t="s">
        <v>11977</v>
      </c>
      <c r="D200" t="s">
        <v>11976</v>
      </c>
      <c r="E200" t="s">
        <v>330</v>
      </c>
      <c r="F200" t="s">
        <v>3779</v>
      </c>
      <c r="G200" t="s">
        <v>11790</v>
      </c>
      <c r="H200">
        <v>6925</v>
      </c>
      <c r="I200">
        <v>6000</v>
      </c>
      <c r="J200" t="s">
        <v>4629</v>
      </c>
      <c r="K200" t="s">
        <v>12344</v>
      </c>
      <c r="L200" s="3" t="s">
        <v>12343</v>
      </c>
      <c r="M200" t="s">
        <v>12276</v>
      </c>
    </row>
    <row r="201" spans="1:13" x14ac:dyDescent="0.2">
      <c r="A201" t="s">
        <v>12564</v>
      </c>
      <c r="B201" s="6" t="s">
        <v>4659</v>
      </c>
      <c r="C201" t="s">
        <v>11982</v>
      </c>
      <c r="D201" t="s">
        <v>11981</v>
      </c>
      <c r="E201" t="s">
        <v>429</v>
      </c>
      <c r="F201" t="s">
        <v>3779</v>
      </c>
      <c r="G201" t="s">
        <v>11790</v>
      </c>
      <c r="H201">
        <v>6590</v>
      </c>
      <c r="I201">
        <v>6000</v>
      </c>
      <c r="J201" t="s">
        <v>4618</v>
      </c>
      <c r="K201" t="s">
        <v>12345</v>
      </c>
      <c r="L201" s="3" t="s">
        <v>12346</v>
      </c>
      <c r="M201" t="s">
        <v>12276</v>
      </c>
    </row>
    <row r="202" spans="1:13" x14ac:dyDescent="0.2">
      <c r="A202" t="s">
        <v>12565</v>
      </c>
      <c r="B202" s="6" t="s">
        <v>4633</v>
      </c>
      <c r="C202" t="s">
        <v>11987</v>
      </c>
      <c r="D202" t="s">
        <v>11986</v>
      </c>
      <c r="E202" t="s">
        <v>543</v>
      </c>
      <c r="F202" t="s">
        <v>3779</v>
      </c>
      <c r="G202" t="s">
        <v>11790</v>
      </c>
      <c r="H202">
        <v>8895</v>
      </c>
      <c r="I202">
        <v>6000</v>
      </c>
      <c r="J202" t="s">
        <v>4608</v>
      </c>
      <c r="K202" t="s">
        <v>12347</v>
      </c>
      <c r="L202" s="3" t="s">
        <v>12348</v>
      </c>
      <c r="M202" t="s">
        <v>12276</v>
      </c>
    </row>
    <row r="203" spans="1:13" x14ac:dyDescent="0.2">
      <c r="A203" t="s">
        <v>12566</v>
      </c>
      <c r="B203" s="6" t="s">
        <v>5070</v>
      </c>
      <c r="C203" t="s">
        <v>11992</v>
      </c>
      <c r="D203" t="s">
        <v>11991</v>
      </c>
      <c r="E203" t="s">
        <v>645</v>
      </c>
      <c r="F203" t="s">
        <v>3779</v>
      </c>
      <c r="G203" t="s">
        <v>11790</v>
      </c>
      <c r="H203">
        <v>7299</v>
      </c>
      <c r="I203">
        <v>6000</v>
      </c>
      <c r="J203" t="s">
        <v>4693</v>
      </c>
      <c r="K203" t="s">
        <v>12349</v>
      </c>
      <c r="L203" s="3" t="s">
        <v>12350</v>
      </c>
      <c r="M203" t="s">
        <v>12276</v>
      </c>
    </row>
    <row r="204" spans="1:13" x14ac:dyDescent="0.2">
      <c r="A204" t="s">
        <v>12567</v>
      </c>
      <c r="B204" s="6" t="s">
        <v>4841</v>
      </c>
      <c r="C204" t="s">
        <v>11997</v>
      </c>
      <c r="D204" t="s">
        <v>11996</v>
      </c>
      <c r="E204" t="s">
        <v>759</v>
      </c>
      <c r="F204" t="s">
        <v>3779</v>
      </c>
      <c r="G204" t="s">
        <v>11790</v>
      </c>
      <c r="H204">
        <v>6750</v>
      </c>
      <c r="I204">
        <v>6000</v>
      </c>
      <c r="J204" t="s">
        <v>4842</v>
      </c>
      <c r="K204" t="s">
        <v>12351</v>
      </c>
      <c r="L204" s="3" t="s">
        <v>12352</v>
      </c>
      <c r="M204" t="s">
        <v>12276</v>
      </c>
    </row>
    <row r="205" spans="1:13" x14ac:dyDescent="0.2">
      <c r="A205" t="s">
        <v>12568</v>
      </c>
      <c r="B205" s="6" t="s">
        <v>4877</v>
      </c>
      <c r="C205" t="s">
        <v>12002</v>
      </c>
      <c r="D205" t="s">
        <v>12001</v>
      </c>
      <c r="E205" t="s">
        <v>839</v>
      </c>
      <c r="F205" t="s">
        <v>3779</v>
      </c>
      <c r="G205" t="s">
        <v>11790</v>
      </c>
      <c r="H205">
        <v>7635</v>
      </c>
      <c r="I205">
        <v>6000</v>
      </c>
      <c r="J205" t="s">
        <v>4629</v>
      </c>
      <c r="K205" t="s">
        <v>12353</v>
      </c>
      <c r="L205" s="3" t="s">
        <v>12354</v>
      </c>
      <c r="M205" t="s">
        <v>12276</v>
      </c>
    </row>
    <row r="206" spans="1:13" x14ac:dyDescent="0.2">
      <c r="A206" t="s">
        <v>12569</v>
      </c>
      <c r="B206" s="6" t="s">
        <v>4877</v>
      </c>
      <c r="C206" t="s">
        <v>12007</v>
      </c>
      <c r="D206" t="s">
        <v>12006</v>
      </c>
      <c r="E206" t="s">
        <v>949</v>
      </c>
      <c r="F206" t="s">
        <v>3779</v>
      </c>
      <c r="G206" t="s">
        <v>11790</v>
      </c>
      <c r="H206">
        <v>13684</v>
      </c>
      <c r="I206">
        <v>6000</v>
      </c>
      <c r="J206" t="s">
        <v>4629</v>
      </c>
      <c r="K206" t="s">
        <v>12355</v>
      </c>
      <c r="L206" s="3" t="s">
        <v>12354</v>
      </c>
      <c r="M206" t="s">
        <v>12276</v>
      </c>
    </row>
    <row r="207" spans="1:13" x14ac:dyDescent="0.2">
      <c r="A207" t="s">
        <v>12570</v>
      </c>
      <c r="B207" s="6" t="s">
        <v>6055</v>
      </c>
      <c r="C207" t="s">
        <v>12012</v>
      </c>
      <c r="D207" t="s">
        <v>12011</v>
      </c>
      <c r="E207" t="s">
        <v>1054</v>
      </c>
      <c r="F207" t="s">
        <v>3779</v>
      </c>
      <c r="G207" t="s">
        <v>11790</v>
      </c>
      <c r="H207">
        <v>8779</v>
      </c>
      <c r="I207">
        <v>6000</v>
      </c>
      <c r="J207" t="s">
        <v>4842</v>
      </c>
      <c r="K207" t="s">
        <v>12356</v>
      </c>
      <c r="L207" s="3" t="s">
        <v>12352</v>
      </c>
      <c r="M207" t="s">
        <v>12276</v>
      </c>
    </row>
  </sheetData>
  <autoFilter ref="A1:M207" xr:uid="{7E28916B-CE1E-4227-8E9D-3D55EA3040FF}">
    <sortState xmlns:xlrd2="http://schemas.microsoft.com/office/spreadsheetml/2017/richdata2" ref="A2:M207">
      <sortCondition ref="A1:A207"/>
    </sortState>
  </autoFilter>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F7C616-9CA1-4BB0-9C4D-28C10080DB71}">
  <dimension ref="A1:F42"/>
  <sheetViews>
    <sheetView zoomScaleNormal="100" workbookViewId="0"/>
  </sheetViews>
  <sheetFormatPr defaultRowHeight="14.25" x14ac:dyDescent="0.2"/>
  <cols>
    <col min="1" max="1" width="28.625" bestFit="1" customWidth="1"/>
    <col min="3" max="3" width="4.875" bestFit="1" customWidth="1"/>
    <col min="4" max="4" width="8" hidden="1" customWidth="1"/>
    <col min="5" max="5" width="8.25" hidden="1" customWidth="1"/>
    <col min="6" max="6" width="82" customWidth="1"/>
  </cols>
  <sheetData>
    <row r="1" spans="1:6" x14ac:dyDescent="0.2">
      <c r="A1" s="95" t="s">
        <v>10544</v>
      </c>
      <c r="B1" s="67" t="s">
        <v>4597</v>
      </c>
      <c r="C1" s="67" t="s">
        <v>6974</v>
      </c>
      <c r="D1" s="67" t="s">
        <v>12571</v>
      </c>
      <c r="E1" s="97" t="s">
        <v>6975</v>
      </c>
      <c r="F1" s="97" t="s">
        <v>80</v>
      </c>
    </row>
    <row r="2" spans="1:6" x14ac:dyDescent="0.2">
      <c r="A2" s="44" t="s">
        <v>11102</v>
      </c>
      <c r="B2">
        <v>1010007</v>
      </c>
      <c r="C2" t="s">
        <v>6068</v>
      </c>
      <c r="D2">
        <f>+COUNTIF(WEAP!M:N,'W-A'!A2)</f>
        <v>8</v>
      </c>
      <c r="E2">
        <f>+COUNTIF('W-U'!B:B,'W-A'!A2)</f>
        <v>0</v>
      </c>
      <c r="F2" s="170" t="s">
        <v>12572</v>
      </c>
    </row>
    <row r="3" spans="1:6" x14ac:dyDescent="0.2">
      <c r="A3" s="44" t="s">
        <v>11152</v>
      </c>
      <c r="B3">
        <v>1010007</v>
      </c>
      <c r="C3" t="s">
        <v>6068</v>
      </c>
      <c r="D3">
        <f>+COUNTIF(WEAP!M:N,'W-A'!A3)</f>
        <v>8</v>
      </c>
      <c r="E3">
        <f>+COUNTIF('W-U'!B:B,'W-A'!A3)</f>
        <v>0</v>
      </c>
      <c r="F3" s="170" t="s">
        <v>12573</v>
      </c>
    </row>
    <row r="4" spans="1:6" ht="28.5" x14ac:dyDescent="0.2">
      <c r="A4" s="44" t="s">
        <v>11230</v>
      </c>
      <c r="B4">
        <v>1020002</v>
      </c>
      <c r="C4" t="s">
        <v>6068</v>
      </c>
      <c r="D4">
        <f>+COUNTIF(WEAP!M:N,'W-A'!A4)</f>
        <v>9</v>
      </c>
      <c r="E4">
        <f>+COUNTIF('W-U'!B:B,'W-A'!A4)</f>
        <v>0</v>
      </c>
      <c r="F4" s="170" t="s">
        <v>12574</v>
      </c>
    </row>
    <row r="5" spans="1:6" ht="28.5" x14ac:dyDescent="0.2">
      <c r="A5" s="44" t="s">
        <v>11259</v>
      </c>
      <c r="B5">
        <v>1020002</v>
      </c>
      <c r="C5" t="s">
        <v>6068</v>
      </c>
      <c r="D5">
        <f>+COUNTIF(WEAP!M:N,'W-A'!A5)</f>
        <v>9</v>
      </c>
      <c r="E5">
        <f>+COUNTIF('W-U'!B:B,'W-A'!A5)</f>
        <v>0</v>
      </c>
      <c r="F5" s="170" t="s">
        <v>12575</v>
      </c>
    </row>
    <row r="6" spans="1:6" ht="28.5" x14ac:dyDescent="0.2">
      <c r="A6" s="44" t="s">
        <v>11287</v>
      </c>
      <c r="B6">
        <v>1020002</v>
      </c>
      <c r="C6" t="s">
        <v>6068</v>
      </c>
      <c r="D6">
        <f>+COUNTIF(WEAP!M:N,'W-A'!A6)</f>
        <v>9</v>
      </c>
      <c r="E6">
        <f>+COUNTIF('W-U'!B:B,'W-A'!A6)</f>
        <v>0</v>
      </c>
      <c r="F6" s="170" t="s">
        <v>12576</v>
      </c>
    </row>
    <row r="7" spans="1:6" ht="28.5" x14ac:dyDescent="0.2">
      <c r="A7" s="44" t="s">
        <v>11315</v>
      </c>
      <c r="B7">
        <v>1020002</v>
      </c>
      <c r="C7" t="s">
        <v>6068</v>
      </c>
      <c r="D7">
        <f>+COUNTIF(WEAP!M:N,'W-A'!A7)</f>
        <v>9</v>
      </c>
      <c r="E7">
        <f>+COUNTIF('W-U'!B:B,'W-A'!A7)</f>
        <v>0</v>
      </c>
      <c r="F7" s="170" t="s">
        <v>12577</v>
      </c>
    </row>
    <row r="8" spans="1:6" ht="28.5" x14ac:dyDescent="0.2">
      <c r="A8" s="44" t="s">
        <v>11343</v>
      </c>
      <c r="B8">
        <v>1020002</v>
      </c>
      <c r="C8" t="s">
        <v>6068</v>
      </c>
      <c r="D8">
        <f>+COUNTIF(WEAP!M:N,'W-A'!A8)</f>
        <v>9</v>
      </c>
      <c r="E8">
        <f>+COUNTIF('W-U'!B:B,'W-A'!A8)</f>
        <v>0</v>
      </c>
      <c r="F8" s="170" t="s">
        <v>12578</v>
      </c>
    </row>
    <row r="9" spans="1:6" x14ac:dyDescent="0.2">
      <c r="A9" s="44" t="s">
        <v>11127</v>
      </c>
      <c r="B9">
        <v>1020003</v>
      </c>
      <c r="C9" t="s">
        <v>6068</v>
      </c>
      <c r="D9">
        <f>+COUNTIF(WEAP!M:N,'W-A'!A9)</f>
        <v>8</v>
      </c>
      <c r="E9">
        <f>+COUNTIF('W-U'!B:B,'W-A'!A9)</f>
        <v>0</v>
      </c>
      <c r="F9" s="170" t="s">
        <v>12579</v>
      </c>
    </row>
    <row r="10" spans="1:6" x14ac:dyDescent="0.2">
      <c r="A10" s="44" t="s">
        <v>11177</v>
      </c>
      <c r="B10">
        <v>1020003</v>
      </c>
      <c r="C10" t="s">
        <v>6068</v>
      </c>
      <c r="D10">
        <f>+COUNTIF(WEAP!M:N,'W-A'!A10)</f>
        <v>7</v>
      </c>
      <c r="E10">
        <f>+COUNTIF('W-U'!B:B,'W-A'!A10)</f>
        <v>0</v>
      </c>
      <c r="F10" s="170" t="s">
        <v>12580</v>
      </c>
    </row>
    <row r="11" spans="1:6" x14ac:dyDescent="0.2">
      <c r="A11" s="44" t="s">
        <v>11203</v>
      </c>
      <c r="B11">
        <v>1020003</v>
      </c>
      <c r="C11" t="s">
        <v>6068</v>
      </c>
      <c r="D11">
        <f>+COUNTIF(WEAP!M:N,'W-A'!A11)</f>
        <v>7</v>
      </c>
      <c r="E11">
        <f>+COUNTIF('W-U'!B:B,'W-A'!A11)</f>
        <v>0</v>
      </c>
      <c r="F11" s="170" t="s">
        <v>12581</v>
      </c>
    </row>
    <row r="12" spans="1:6" x14ac:dyDescent="0.2">
      <c r="A12" s="44" t="s">
        <v>11199</v>
      </c>
      <c r="B12">
        <v>1020009</v>
      </c>
      <c r="C12" t="s">
        <v>6068</v>
      </c>
      <c r="D12">
        <f>+COUNTIF(WEAP!M:N,'W-A'!A12)</f>
        <v>1</v>
      </c>
      <c r="E12">
        <f>+COUNTIF('W-U'!B:B,'W-A'!A12)</f>
        <v>0</v>
      </c>
      <c r="F12" s="170" t="s">
        <v>12582</v>
      </c>
    </row>
    <row r="13" spans="1:6" ht="28.5" x14ac:dyDescent="0.2">
      <c r="A13" s="44" t="s">
        <v>11225</v>
      </c>
      <c r="B13">
        <v>1020009</v>
      </c>
      <c r="C13" t="s">
        <v>6068</v>
      </c>
      <c r="D13">
        <f>+COUNTIF(WEAP!M:N,'W-A'!A13)</f>
        <v>1</v>
      </c>
      <c r="E13">
        <f>+COUNTIF('W-U'!B:B,'W-A'!A13)</f>
        <v>0</v>
      </c>
      <c r="F13" s="170" t="s">
        <v>12583</v>
      </c>
    </row>
    <row r="14" spans="1:6" ht="28.5" x14ac:dyDescent="0.2">
      <c r="A14" s="44" t="s">
        <v>11752</v>
      </c>
      <c r="B14">
        <v>1020010</v>
      </c>
      <c r="C14" t="s">
        <v>6068</v>
      </c>
      <c r="D14">
        <f>+COUNTIF(WEAP!M:N,'W-A'!A14)</f>
        <v>9</v>
      </c>
      <c r="E14">
        <f>+COUNTIF('W-U'!B:B,'W-A'!A14)</f>
        <v>0</v>
      </c>
      <c r="F14" s="170" t="s">
        <v>12584</v>
      </c>
    </row>
    <row r="15" spans="1:6" ht="28.5" x14ac:dyDescent="0.2">
      <c r="A15" s="44" t="s">
        <v>11595</v>
      </c>
      <c r="B15">
        <v>1020036</v>
      </c>
      <c r="C15" t="s">
        <v>6068</v>
      </c>
      <c r="D15">
        <f>+COUNTIF(WEAP!M:N,'W-A'!A15)</f>
        <v>9</v>
      </c>
      <c r="E15">
        <f>+COUNTIF('W-U'!B:B,'W-A'!A15)</f>
        <v>0</v>
      </c>
      <c r="F15" s="170" t="s">
        <v>12585</v>
      </c>
    </row>
    <row r="16" spans="1:6" ht="28.5" x14ac:dyDescent="0.2">
      <c r="A16" s="44" t="s">
        <v>11635</v>
      </c>
      <c r="B16">
        <v>1020036</v>
      </c>
      <c r="C16" t="s">
        <v>6068</v>
      </c>
      <c r="D16">
        <f>+COUNTIF(WEAP!M:N,'W-A'!A16)</f>
        <v>9</v>
      </c>
      <c r="E16">
        <f>+COUNTIF('W-U'!B:B,'W-A'!A16)</f>
        <v>0</v>
      </c>
      <c r="F16" s="170" t="s">
        <v>12586</v>
      </c>
    </row>
    <row r="17" spans="1:6" ht="28.5" x14ac:dyDescent="0.2">
      <c r="A17" s="44" t="s">
        <v>11674</v>
      </c>
      <c r="B17">
        <v>1020036</v>
      </c>
      <c r="C17" t="s">
        <v>6068</v>
      </c>
      <c r="D17">
        <f>+COUNTIF(WEAP!M:N,'W-A'!A17)</f>
        <v>9</v>
      </c>
      <c r="E17">
        <f>+COUNTIF('W-U'!B:B,'W-A'!A17)</f>
        <v>0</v>
      </c>
      <c r="F17" s="170" t="s">
        <v>12587</v>
      </c>
    </row>
    <row r="18" spans="1:6" ht="28.5" x14ac:dyDescent="0.2">
      <c r="A18" s="44" t="s">
        <v>11713</v>
      </c>
      <c r="B18">
        <v>1020036</v>
      </c>
      <c r="C18" t="s">
        <v>6068</v>
      </c>
      <c r="D18">
        <f>+COUNTIF(WEAP!M:N,'W-A'!A18)</f>
        <v>9</v>
      </c>
      <c r="E18">
        <f>+COUNTIF('W-U'!B:B,'W-A'!A18)</f>
        <v>0</v>
      </c>
      <c r="F18" s="170" t="s">
        <v>12588</v>
      </c>
    </row>
    <row r="19" spans="1:6" ht="28.5" x14ac:dyDescent="0.2">
      <c r="A19" s="44" t="s">
        <v>11753</v>
      </c>
      <c r="B19">
        <v>1010011</v>
      </c>
      <c r="C19" t="s">
        <v>6068</v>
      </c>
      <c r="D19">
        <f>+COUNTIF(WEAP!M:N,'W-A'!A19)</f>
        <v>9</v>
      </c>
      <c r="E19">
        <f>+COUNTIF('W-U'!B:B,'W-A'!A19)</f>
        <v>0</v>
      </c>
      <c r="F19" s="170" t="s">
        <v>12589</v>
      </c>
    </row>
    <row r="20" spans="1:6" ht="28.5" x14ac:dyDescent="0.2">
      <c r="A20" s="44" t="s">
        <v>11596</v>
      </c>
      <c r="B20">
        <v>1020003</v>
      </c>
      <c r="C20" t="s">
        <v>6068</v>
      </c>
      <c r="D20">
        <f>+COUNTIF(WEAP!M:N,'W-A'!A20)</f>
        <v>9</v>
      </c>
      <c r="E20">
        <f>+COUNTIF('W-U'!B:B,'W-A'!A20)</f>
        <v>0</v>
      </c>
      <c r="F20" s="170" t="s">
        <v>12590</v>
      </c>
    </row>
    <row r="21" spans="1:6" ht="28.5" x14ac:dyDescent="0.2">
      <c r="A21" s="44" t="s">
        <v>11636</v>
      </c>
      <c r="B21">
        <v>1010011</v>
      </c>
      <c r="C21" t="s">
        <v>6068</v>
      </c>
      <c r="D21">
        <f>+COUNTIF(WEAP!M:N,'W-A'!A21)</f>
        <v>9</v>
      </c>
      <c r="E21">
        <f>+COUNTIF('W-U'!B:B,'W-A'!A21)</f>
        <v>0</v>
      </c>
      <c r="F21" s="170" t="s">
        <v>12591</v>
      </c>
    </row>
    <row r="22" spans="1:6" ht="28.5" x14ac:dyDescent="0.2">
      <c r="A22" s="44" t="s">
        <v>11675</v>
      </c>
      <c r="B22">
        <v>1010011</v>
      </c>
      <c r="C22" t="s">
        <v>6068</v>
      </c>
      <c r="D22">
        <f>+COUNTIF(WEAP!M:N,'W-A'!A22)</f>
        <v>9</v>
      </c>
      <c r="E22">
        <f>+COUNTIF('W-U'!B:B,'W-A'!A22)</f>
        <v>0</v>
      </c>
      <c r="F22" s="170" t="s">
        <v>12592</v>
      </c>
    </row>
    <row r="23" spans="1:6" ht="28.5" x14ac:dyDescent="0.2">
      <c r="A23" s="44" t="s">
        <v>11714</v>
      </c>
      <c r="B23">
        <v>1010011</v>
      </c>
      <c r="C23" t="s">
        <v>6068</v>
      </c>
      <c r="D23">
        <f>+COUNTIF(WEAP!M:N,'W-A'!A23)</f>
        <v>9</v>
      </c>
      <c r="E23">
        <f>+COUNTIF('W-U'!B:B,'W-A'!A23)</f>
        <v>0</v>
      </c>
      <c r="F23" s="170" t="s">
        <v>12593</v>
      </c>
    </row>
    <row r="24" spans="1:6" x14ac:dyDescent="0.2">
      <c r="A24" s="44" t="s">
        <v>12594</v>
      </c>
      <c r="B24">
        <v>1020036</v>
      </c>
      <c r="C24" t="s">
        <v>6068</v>
      </c>
      <c r="D24">
        <f>+COUNTIF(WEAP!M:N,'W-A'!A24)</f>
        <v>0</v>
      </c>
      <c r="E24">
        <f>+COUNTIF('W-U'!B:B,'W-A'!A24)</f>
        <v>45</v>
      </c>
      <c r="F24" s="170" t="s">
        <v>12595</v>
      </c>
    </row>
    <row r="25" spans="1:6" x14ac:dyDescent="0.2">
      <c r="A25" s="46" t="s">
        <v>11792</v>
      </c>
      <c r="B25" s="47">
        <v>1020036</v>
      </c>
      <c r="C25" s="47" t="s">
        <v>6068</v>
      </c>
      <c r="D25" s="47">
        <f>+COUNTIF(WEAP!M:N,'W-A'!A25)</f>
        <v>45</v>
      </c>
      <c r="E25">
        <f>+COUNTIF('W-U'!B:B,'W-A'!A25)</f>
        <v>45</v>
      </c>
      <c r="F25" s="171" t="s">
        <v>12596</v>
      </c>
    </row>
    <row r="26" spans="1:6" x14ac:dyDescent="0.2">
      <c r="A26" s="64" t="s">
        <v>12597</v>
      </c>
      <c r="B26" s="65">
        <v>1030013</v>
      </c>
      <c r="C26" s="65" t="s">
        <v>6064</v>
      </c>
      <c r="D26" s="65">
        <f>+COUNTIF(WEAP!M:N,'W-A'!A26)</f>
        <v>0</v>
      </c>
      <c r="E26" s="65">
        <f>+COUNTIF('W-U'!B:B,'W-A'!A26)</f>
        <v>45</v>
      </c>
      <c r="F26" s="246" t="s">
        <v>12598</v>
      </c>
    </row>
    <row r="27" spans="1:6" x14ac:dyDescent="0.2">
      <c r="A27" s="44" t="s">
        <v>12599</v>
      </c>
      <c r="B27">
        <v>1070011</v>
      </c>
      <c r="C27" t="s">
        <v>6064</v>
      </c>
      <c r="D27">
        <f>+COUNTIF(WEAP!M:N,'W-A'!A27)</f>
        <v>0</v>
      </c>
      <c r="E27">
        <f>+COUNTIF('W-U'!B:B,'W-A'!A27)</f>
        <v>45</v>
      </c>
      <c r="F27" s="170" t="s">
        <v>12600</v>
      </c>
    </row>
    <row r="28" spans="1:6" x14ac:dyDescent="0.2">
      <c r="A28" s="44" t="s">
        <v>12601</v>
      </c>
      <c r="B28">
        <v>1030020</v>
      </c>
      <c r="C28" t="s">
        <v>6064</v>
      </c>
      <c r="D28">
        <f>+COUNTIF(WEAP!M:N,'W-A'!A28)</f>
        <v>0</v>
      </c>
      <c r="E28">
        <f>+COUNTIF('W-U'!B:B,'W-A'!A28)</f>
        <v>45</v>
      </c>
      <c r="F28" s="170" t="s">
        <v>12602</v>
      </c>
    </row>
    <row r="29" spans="1:6" x14ac:dyDescent="0.2">
      <c r="A29" s="44" t="s">
        <v>12603</v>
      </c>
      <c r="B29">
        <v>1140004</v>
      </c>
      <c r="C29" t="s">
        <v>6064</v>
      </c>
      <c r="D29">
        <f>+COUNTIF(WEAP!M:N,'W-A'!A29)</f>
        <v>0</v>
      </c>
      <c r="E29">
        <f>+COUNTIF('W-U'!B:B,'W-A'!A29)</f>
        <v>45</v>
      </c>
      <c r="F29" s="170" t="s">
        <v>12604</v>
      </c>
    </row>
    <row r="30" spans="1:6" x14ac:dyDescent="0.2">
      <c r="A30" s="44" t="s">
        <v>12605</v>
      </c>
      <c r="B30">
        <v>1030008</v>
      </c>
      <c r="C30" t="s">
        <v>6064</v>
      </c>
      <c r="D30">
        <f>+COUNTIF(WEAP!M:N,'W-A'!A30)</f>
        <v>0</v>
      </c>
      <c r="E30">
        <f>+COUNTIF('W-U'!B:B,'W-A'!A30)</f>
        <v>45</v>
      </c>
      <c r="F30" s="170" t="s">
        <v>12606</v>
      </c>
    </row>
    <row r="31" spans="1:6" x14ac:dyDescent="0.2">
      <c r="A31" s="44" t="s">
        <v>12607</v>
      </c>
      <c r="B31">
        <v>1140001</v>
      </c>
      <c r="C31" t="s">
        <v>6064</v>
      </c>
      <c r="D31">
        <f>+COUNTIF(WEAP!M:N,'W-A'!A31)</f>
        <v>0</v>
      </c>
      <c r="E31">
        <f>+COUNTIF('W-U'!B:B,'W-A'!A31)</f>
        <v>45</v>
      </c>
      <c r="F31" s="170" t="s">
        <v>12608</v>
      </c>
    </row>
    <row r="32" spans="1:6" x14ac:dyDescent="0.2">
      <c r="A32" s="44" t="s">
        <v>12609</v>
      </c>
      <c r="B32">
        <v>1140002</v>
      </c>
      <c r="C32" t="s">
        <v>6064</v>
      </c>
      <c r="D32">
        <f>+COUNTIF(WEAP!M:N,'W-A'!A32)</f>
        <v>0</v>
      </c>
      <c r="E32">
        <f>+COUNTIF('W-U'!B:B,'W-A'!A32)</f>
        <v>45</v>
      </c>
      <c r="F32" s="170" t="s">
        <v>12610</v>
      </c>
    </row>
    <row r="33" spans="1:6" ht="42.75" x14ac:dyDescent="0.2">
      <c r="A33" s="44" t="s">
        <v>12611</v>
      </c>
      <c r="B33">
        <v>1100002</v>
      </c>
      <c r="C33" t="s">
        <v>6064</v>
      </c>
      <c r="D33">
        <f>+COUNTIF(WEAP!M:N,'W-A'!A33)</f>
        <v>0</v>
      </c>
      <c r="E33">
        <f>+COUNTIF('W-U'!B:B,'W-A'!A33)</f>
        <v>45</v>
      </c>
      <c r="F33" s="170" t="s">
        <v>12612</v>
      </c>
    </row>
    <row r="34" spans="1:6" x14ac:dyDescent="0.2">
      <c r="A34" s="44" t="s">
        <v>12613</v>
      </c>
      <c r="B34">
        <v>1100001</v>
      </c>
      <c r="C34" t="s">
        <v>6064</v>
      </c>
      <c r="D34">
        <f>+COUNTIF(WEAP!M:N,'W-A'!A34)</f>
        <v>0</v>
      </c>
      <c r="E34">
        <f>+COUNTIF('W-U'!B:B,'W-A'!A34)</f>
        <v>45</v>
      </c>
      <c r="F34" s="170" t="s">
        <v>12614</v>
      </c>
    </row>
    <row r="35" spans="1:6" ht="28.5" x14ac:dyDescent="0.2">
      <c r="A35" s="44" t="s">
        <v>12615</v>
      </c>
      <c r="B35">
        <v>1030024</v>
      </c>
      <c r="C35" t="s">
        <v>6064</v>
      </c>
      <c r="D35">
        <f>+COUNTIF(WEAP!M:N,'W-A'!A35)</f>
        <v>0</v>
      </c>
      <c r="E35">
        <f>+COUNTIF('W-U'!B:B,'W-A'!A35)</f>
        <v>45</v>
      </c>
      <c r="F35" s="170" t="s">
        <v>12616</v>
      </c>
    </row>
    <row r="36" spans="1:6" x14ac:dyDescent="0.2">
      <c r="A36" s="44" t="s">
        <v>12617</v>
      </c>
      <c r="B36">
        <v>1100001</v>
      </c>
      <c r="C36" t="s">
        <v>6064</v>
      </c>
      <c r="D36">
        <f>+COUNTIF(WEAP!M:N,'W-A'!A36)</f>
        <v>0</v>
      </c>
      <c r="E36">
        <f>+COUNTIF('W-U'!B:B,'W-A'!A36)</f>
        <v>45</v>
      </c>
      <c r="F36" s="170" t="s">
        <v>12618</v>
      </c>
    </row>
    <row r="37" spans="1:6" x14ac:dyDescent="0.2">
      <c r="A37" s="44" t="s">
        <v>12619</v>
      </c>
      <c r="B37">
        <v>1100001</v>
      </c>
      <c r="C37" t="s">
        <v>6064</v>
      </c>
      <c r="D37">
        <f>+COUNTIF(WEAP!M:N,'W-A'!A37)</f>
        <v>0</v>
      </c>
      <c r="E37">
        <f>+COUNTIF('W-U'!B:B,'W-A'!A37)</f>
        <v>45</v>
      </c>
      <c r="F37" s="170" t="s">
        <v>12620</v>
      </c>
    </row>
    <row r="38" spans="1:6" x14ac:dyDescent="0.2">
      <c r="A38" s="44" t="s">
        <v>7211</v>
      </c>
      <c r="B38">
        <v>1020003</v>
      </c>
      <c r="C38" t="s">
        <v>6064</v>
      </c>
      <c r="D38">
        <f>+COUNTIF(WEAP!M:N,'W-A'!A38)</f>
        <v>0</v>
      </c>
      <c r="E38">
        <f>+COUNTIF('W-U'!B:B,'W-A'!A38)</f>
        <v>45</v>
      </c>
      <c r="F38" s="170" t="s">
        <v>7212</v>
      </c>
    </row>
    <row r="39" spans="1:6" x14ac:dyDescent="0.2">
      <c r="A39" s="44" t="s">
        <v>1591</v>
      </c>
      <c r="B39">
        <v>1010007</v>
      </c>
      <c r="C39" t="s">
        <v>6064</v>
      </c>
      <c r="D39">
        <f>+COUNTIF(WEAP!M:N,'W-A'!A39)</f>
        <v>0</v>
      </c>
      <c r="E39">
        <f>+COUNTIF('W-U'!B:B,'W-A'!A39)</f>
        <v>45</v>
      </c>
      <c r="F39" s="170" t="s">
        <v>6451</v>
      </c>
    </row>
    <row r="40" spans="1:6" x14ac:dyDescent="0.2">
      <c r="A40" s="46" t="s">
        <v>7912</v>
      </c>
      <c r="B40" s="47">
        <v>1020009</v>
      </c>
      <c r="C40" s="47" t="s">
        <v>6064</v>
      </c>
      <c r="D40" s="47">
        <f>+COUNTIF(WEAP!M:N,'W-A'!A40)</f>
        <v>0</v>
      </c>
      <c r="E40" s="47">
        <f>+COUNTIF('W-U'!B:B,'W-A'!A40)</f>
        <v>45</v>
      </c>
      <c r="F40" s="171" t="s">
        <v>7913</v>
      </c>
    </row>
    <row r="42" spans="1:6" hidden="1" x14ac:dyDescent="0.2">
      <c r="A42" s="67" t="s">
        <v>12621</v>
      </c>
      <c r="B42" s="67"/>
      <c r="C42" s="67"/>
      <c r="D42" s="67">
        <f>SUM(D2:D41)</f>
        <v>220</v>
      </c>
      <c r="E42" s="67">
        <f>SUM(E2:E41)</f>
        <v>765</v>
      </c>
    </row>
  </sheetData>
  <pageMargins left="0.2" right="0.2" top="0.5" bottom="0.2" header="0.21875" footer="0.3"/>
  <pageSetup orientation="landscape" r:id="rId1"/>
  <headerFooter>
    <oddHeader>&amp;L&amp;"-,Bold"&amp;14Dragalia Lost V3 Re;Works - Weapon Ability List</oddHead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B7A942-9813-4A29-BA68-6E68A585B582}">
  <dimension ref="A1:X817"/>
  <sheetViews>
    <sheetView zoomScaleNormal="100" workbookViewId="0">
      <selection activeCell="B4" sqref="B4"/>
    </sheetView>
  </sheetViews>
  <sheetFormatPr defaultRowHeight="14.25" x14ac:dyDescent="0.2"/>
  <cols>
    <col min="1" max="1" width="7.875" bestFit="1" customWidth="1"/>
    <col min="2" max="2" width="21.5" bestFit="1" customWidth="1"/>
    <col min="3" max="3" width="10.25" bestFit="1" customWidth="1"/>
    <col min="4" max="4" width="10.5" bestFit="1" customWidth="1"/>
    <col min="5" max="5" width="9.5" bestFit="1" customWidth="1"/>
    <col min="6" max="6" width="9.875" bestFit="1" customWidth="1"/>
    <col min="7" max="7" width="25.375" bestFit="1" customWidth="1"/>
    <col min="8" max="8" width="18.625" hidden="1" customWidth="1"/>
    <col min="9" max="9" width="2.5" customWidth="1"/>
    <col min="10" max="10" width="7.625" bestFit="1" customWidth="1"/>
    <col min="11" max="11" width="7.875" bestFit="1" customWidth="1"/>
    <col min="12" max="12" width="9.25" bestFit="1" customWidth="1"/>
    <col min="13" max="13" width="10" bestFit="1" customWidth="1"/>
    <col min="14" max="14" width="10.25" bestFit="1" customWidth="1"/>
    <col min="15" max="15" width="9.875" bestFit="1" customWidth="1"/>
    <col min="16" max="16" width="23.25" bestFit="1" customWidth="1"/>
    <col min="17" max="17" width="2.5" customWidth="1"/>
    <col min="18" max="18" width="7.5" bestFit="1" customWidth="1"/>
    <col min="19" max="19" width="12.5" bestFit="1" customWidth="1"/>
    <col min="20" max="20" width="9.125" bestFit="1" customWidth="1"/>
    <col min="21" max="21" width="9.875" bestFit="1" customWidth="1"/>
    <col min="22" max="22" width="10.125" bestFit="1" customWidth="1"/>
    <col min="23" max="23" width="9.875" bestFit="1" customWidth="1"/>
    <col min="24" max="24" width="20.125" bestFit="1" customWidth="1"/>
  </cols>
  <sheetData>
    <row r="1" spans="1:24" ht="15" thickBot="1" x14ac:dyDescent="0.25">
      <c r="A1" s="841" t="s">
        <v>12622</v>
      </c>
      <c r="B1" s="842" t="s">
        <v>12623</v>
      </c>
      <c r="C1" s="842" t="s">
        <v>12624</v>
      </c>
      <c r="D1" s="842" t="s">
        <v>12625</v>
      </c>
      <c r="E1" s="842" t="s">
        <v>12626</v>
      </c>
      <c r="F1" s="842" t="s">
        <v>12627</v>
      </c>
      <c r="G1" s="843" t="s">
        <v>12628</v>
      </c>
      <c r="H1" s="137" t="s">
        <v>12629</v>
      </c>
      <c r="J1" s="841" t="s">
        <v>12630</v>
      </c>
      <c r="K1" s="842" t="s">
        <v>12631</v>
      </c>
      <c r="L1" s="842" t="s">
        <v>12632</v>
      </c>
      <c r="M1" s="842" t="s">
        <v>12633</v>
      </c>
      <c r="N1" s="842" t="s">
        <v>12634</v>
      </c>
      <c r="O1" s="842" t="s">
        <v>12635</v>
      </c>
      <c r="P1" s="843" t="s">
        <v>12636</v>
      </c>
      <c r="R1" s="825" t="s">
        <v>12637</v>
      </c>
      <c r="S1" s="826" t="s">
        <v>12638</v>
      </c>
      <c r="T1" s="826" t="s">
        <v>12639</v>
      </c>
      <c r="U1" s="826" t="s">
        <v>12640</v>
      </c>
      <c r="V1" s="826" t="s">
        <v>12641</v>
      </c>
      <c r="W1" s="826" t="s">
        <v>12642</v>
      </c>
      <c r="X1" s="827" t="s">
        <v>12643</v>
      </c>
    </row>
    <row r="2" spans="1:24" x14ac:dyDescent="0.2">
      <c r="A2" s="828" t="s">
        <v>12644</v>
      </c>
      <c r="B2" s="829" t="s">
        <v>12597</v>
      </c>
      <c r="C2" s="829" t="s">
        <v>123</v>
      </c>
      <c r="D2" s="829" t="s">
        <v>122</v>
      </c>
      <c r="E2" s="829" t="s">
        <v>11101</v>
      </c>
      <c r="F2" s="830">
        <v>10000</v>
      </c>
      <c r="G2" s="831" t="s">
        <v>12645</v>
      </c>
      <c r="H2" s="138"/>
      <c r="J2" s="828" t="s">
        <v>12646</v>
      </c>
      <c r="K2" s="838">
        <v>5.0000000000000001E-3</v>
      </c>
      <c r="L2" s="829" t="s">
        <v>10911</v>
      </c>
      <c r="M2" s="829" t="s">
        <v>123</v>
      </c>
      <c r="N2" s="829" t="s">
        <v>122</v>
      </c>
      <c r="O2" s="830">
        <v>50000</v>
      </c>
      <c r="P2" s="831" t="s">
        <v>12647</v>
      </c>
      <c r="R2" s="828" t="s">
        <v>12362</v>
      </c>
      <c r="S2" s="829" t="s">
        <v>12648</v>
      </c>
      <c r="T2" s="829" t="s">
        <v>11593</v>
      </c>
      <c r="U2" s="829" t="s">
        <v>123</v>
      </c>
      <c r="V2" s="829" t="s">
        <v>122</v>
      </c>
      <c r="W2" s="830">
        <v>100000</v>
      </c>
      <c r="X2" s="831" t="s">
        <v>12649</v>
      </c>
    </row>
    <row r="3" spans="1:24" x14ac:dyDescent="0.2">
      <c r="A3" s="832" t="s">
        <v>12650</v>
      </c>
      <c r="B3" s="261" t="s">
        <v>12599</v>
      </c>
      <c r="C3" s="261" t="s">
        <v>123</v>
      </c>
      <c r="D3" s="261" t="s">
        <v>122</v>
      </c>
      <c r="E3" s="261" t="s">
        <v>11101</v>
      </c>
      <c r="F3" s="279">
        <v>10000</v>
      </c>
      <c r="G3" s="833" t="s">
        <v>12651</v>
      </c>
      <c r="H3" s="138"/>
      <c r="J3" s="832" t="s">
        <v>12652</v>
      </c>
      <c r="K3" s="839">
        <v>5.0000000000000001E-3</v>
      </c>
      <c r="L3" s="261" t="s">
        <v>11101</v>
      </c>
      <c r="M3" s="261" t="s">
        <v>123</v>
      </c>
      <c r="N3" s="261" t="s">
        <v>122</v>
      </c>
      <c r="O3" s="279">
        <v>50000</v>
      </c>
      <c r="P3" s="833" t="s">
        <v>12653</v>
      </c>
      <c r="R3" s="832" t="s">
        <v>12363</v>
      </c>
      <c r="S3" s="261" t="s">
        <v>12654</v>
      </c>
      <c r="T3" s="261" t="s">
        <v>11593</v>
      </c>
      <c r="U3" s="261" t="s">
        <v>123</v>
      </c>
      <c r="V3" s="261" t="s">
        <v>122</v>
      </c>
      <c r="W3" s="279">
        <v>100000</v>
      </c>
      <c r="X3" s="833" t="s">
        <v>12655</v>
      </c>
    </row>
    <row r="4" spans="1:24" x14ac:dyDescent="0.2">
      <c r="A4" s="832" t="s">
        <v>12656</v>
      </c>
      <c r="B4" s="261" t="s">
        <v>12601</v>
      </c>
      <c r="C4" s="261" t="s">
        <v>123</v>
      </c>
      <c r="D4" s="261" t="s">
        <v>122</v>
      </c>
      <c r="E4" s="261" t="s">
        <v>11101</v>
      </c>
      <c r="F4" s="279">
        <v>10000</v>
      </c>
      <c r="G4" s="833" t="s">
        <v>12657</v>
      </c>
      <c r="H4" s="138"/>
      <c r="J4" s="832" t="s">
        <v>12658</v>
      </c>
      <c r="K4" s="839">
        <v>5.0000000000000001E-3</v>
      </c>
      <c r="L4" s="261" t="s">
        <v>11229</v>
      </c>
      <c r="M4" s="261" t="s">
        <v>123</v>
      </c>
      <c r="N4" s="261" t="s">
        <v>122</v>
      </c>
      <c r="O4" s="279">
        <v>90000</v>
      </c>
      <c r="P4" s="833" t="s">
        <v>12659</v>
      </c>
      <c r="R4" s="832" t="s">
        <v>12364</v>
      </c>
      <c r="S4" s="261" t="s">
        <v>12648</v>
      </c>
      <c r="T4" s="261" t="s">
        <v>11790</v>
      </c>
      <c r="U4" s="261" t="s">
        <v>123</v>
      </c>
      <c r="V4" s="261" t="s">
        <v>122</v>
      </c>
      <c r="W4" s="279">
        <v>100000</v>
      </c>
      <c r="X4" s="833" t="s">
        <v>12649</v>
      </c>
    </row>
    <row r="5" spans="1:24" x14ac:dyDescent="0.2">
      <c r="A5" s="832" t="s">
        <v>12660</v>
      </c>
      <c r="B5" s="261" t="s">
        <v>12603</v>
      </c>
      <c r="C5" s="261" t="s">
        <v>123</v>
      </c>
      <c r="D5" s="261" t="s">
        <v>122</v>
      </c>
      <c r="E5" s="261" t="s">
        <v>11101</v>
      </c>
      <c r="F5" s="279">
        <v>10000</v>
      </c>
      <c r="G5" s="833" t="s">
        <v>12645</v>
      </c>
      <c r="H5" s="138"/>
      <c r="J5" s="832" t="s">
        <v>12661</v>
      </c>
      <c r="K5" s="839">
        <v>1.4999999999999999E-2</v>
      </c>
      <c r="L5" s="261" t="s">
        <v>11371</v>
      </c>
      <c r="M5" s="261" t="s">
        <v>123</v>
      </c>
      <c r="N5" s="261" t="s">
        <v>122</v>
      </c>
      <c r="O5" s="279">
        <v>150000</v>
      </c>
      <c r="P5" s="833" t="s">
        <v>12662</v>
      </c>
      <c r="R5" s="832" t="s">
        <v>12365</v>
      </c>
      <c r="S5" s="261" t="s">
        <v>12654</v>
      </c>
      <c r="T5" s="261" t="s">
        <v>11790</v>
      </c>
      <c r="U5" s="261" t="s">
        <v>123</v>
      </c>
      <c r="V5" s="261" t="s">
        <v>122</v>
      </c>
      <c r="W5" s="279">
        <v>100000</v>
      </c>
      <c r="X5" s="833" t="s">
        <v>12655</v>
      </c>
    </row>
    <row r="6" spans="1:24" x14ac:dyDescent="0.2">
      <c r="A6" s="832" t="s">
        <v>12663</v>
      </c>
      <c r="B6" s="261" t="s">
        <v>12605</v>
      </c>
      <c r="C6" s="261" t="s">
        <v>123</v>
      </c>
      <c r="D6" s="261" t="s">
        <v>122</v>
      </c>
      <c r="E6" s="261" t="s">
        <v>11101</v>
      </c>
      <c r="F6" s="279">
        <v>10000</v>
      </c>
      <c r="G6" s="833" t="s">
        <v>12651</v>
      </c>
      <c r="H6" s="138"/>
      <c r="J6" s="832" t="s">
        <v>12664</v>
      </c>
      <c r="K6" s="839">
        <v>1.4999999999999999E-2</v>
      </c>
      <c r="L6" s="261" t="s">
        <v>11593</v>
      </c>
      <c r="M6" s="261" t="s">
        <v>123</v>
      </c>
      <c r="N6" s="261" t="s">
        <v>122</v>
      </c>
      <c r="O6" s="279">
        <v>100000</v>
      </c>
      <c r="P6" s="833" t="s">
        <v>12665</v>
      </c>
      <c r="R6" s="832" t="s">
        <v>12366</v>
      </c>
      <c r="S6" s="261" t="s">
        <v>12648</v>
      </c>
      <c r="T6" s="261" t="s">
        <v>11593</v>
      </c>
      <c r="U6" s="261" t="s">
        <v>330</v>
      </c>
      <c r="V6" s="261" t="s">
        <v>122</v>
      </c>
      <c r="W6" s="279">
        <v>100000</v>
      </c>
      <c r="X6" s="833" t="s">
        <v>12649</v>
      </c>
    </row>
    <row r="7" spans="1:24" x14ac:dyDescent="0.2">
      <c r="A7" s="832" t="s">
        <v>12666</v>
      </c>
      <c r="B7" s="261" t="s">
        <v>12607</v>
      </c>
      <c r="C7" s="261" t="s">
        <v>123</v>
      </c>
      <c r="D7" s="261" t="s">
        <v>122</v>
      </c>
      <c r="E7" s="261" t="s">
        <v>11101</v>
      </c>
      <c r="F7" s="279">
        <v>10000</v>
      </c>
      <c r="G7" s="833" t="s">
        <v>12657</v>
      </c>
      <c r="H7" s="138"/>
      <c r="J7" s="832" t="s">
        <v>12667</v>
      </c>
      <c r="K7" s="839">
        <v>1.4999999999999999E-2</v>
      </c>
      <c r="L7" s="261" t="s">
        <v>11790</v>
      </c>
      <c r="M7" s="261" t="s">
        <v>123</v>
      </c>
      <c r="N7" s="261" t="s">
        <v>122</v>
      </c>
      <c r="O7" s="279">
        <v>300000</v>
      </c>
      <c r="P7" s="833" t="s">
        <v>12668</v>
      </c>
      <c r="R7" s="832" t="s">
        <v>12367</v>
      </c>
      <c r="S7" s="261" t="s">
        <v>12654</v>
      </c>
      <c r="T7" s="261" t="s">
        <v>11593</v>
      </c>
      <c r="U7" s="261" t="s">
        <v>330</v>
      </c>
      <c r="V7" s="261" t="s">
        <v>122</v>
      </c>
      <c r="W7" s="279">
        <v>100000</v>
      </c>
      <c r="X7" s="833" t="s">
        <v>12655</v>
      </c>
    </row>
    <row r="8" spans="1:24" x14ac:dyDescent="0.2">
      <c r="A8" s="832" t="s">
        <v>12669</v>
      </c>
      <c r="B8" s="261" t="s">
        <v>12609</v>
      </c>
      <c r="C8" s="261" t="s">
        <v>123</v>
      </c>
      <c r="D8" s="261" t="s">
        <v>122</v>
      </c>
      <c r="E8" s="261" t="s">
        <v>11101</v>
      </c>
      <c r="F8" s="279">
        <v>25000</v>
      </c>
      <c r="G8" s="833" t="s">
        <v>12670</v>
      </c>
      <c r="H8" s="138"/>
      <c r="J8" s="832" t="s">
        <v>12671</v>
      </c>
      <c r="K8" s="839">
        <v>5.0000000000000001E-3</v>
      </c>
      <c r="L8" s="261" t="s">
        <v>10911</v>
      </c>
      <c r="M8" s="261" t="s">
        <v>330</v>
      </c>
      <c r="N8" s="261" t="s">
        <v>122</v>
      </c>
      <c r="O8" s="279">
        <v>50000</v>
      </c>
      <c r="P8" s="833" t="s">
        <v>12647</v>
      </c>
      <c r="R8" s="832" t="s">
        <v>12369</v>
      </c>
      <c r="S8" s="261" t="s">
        <v>12648</v>
      </c>
      <c r="T8" s="261" t="s">
        <v>11790</v>
      </c>
      <c r="U8" s="261" t="s">
        <v>330</v>
      </c>
      <c r="V8" s="261" t="s">
        <v>122</v>
      </c>
      <c r="W8" s="279">
        <v>100000</v>
      </c>
      <c r="X8" s="833" t="s">
        <v>12649</v>
      </c>
    </row>
    <row r="9" spans="1:24" x14ac:dyDescent="0.2">
      <c r="A9" s="832" t="s">
        <v>12672</v>
      </c>
      <c r="B9" s="261" t="s">
        <v>12611</v>
      </c>
      <c r="C9" s="261" t="s">
        <v>123</v>
      </c>
      <c r="D9" s="261" t="s">
        <v>122</v>
      </c>
      <c r="E9" s="261" t="s">
        <v>11101</v>
      </c>
      <c r="F9" s="279">
        <v>25000</v>
      </c>
      <c r="G9" s="833" t="s">
        <v>12673</v>
      </c>
      <c r="H9" s="138"/>
      <c r="J9" s="832" t="s">
        <v>12674</v>
      </c>
      <c r="K9" s="839">
        <v>5.0000000000000001E-3</v>
      </c>
      <c r="L9" s="261" t="s">
        <v>11101</v>
      </c>
      <c r="M9" s="261" t="s">
        <v>330</v>
      </c>
      <c r="N9" s="261" t="s">
        <v>122</v>
      </c>
      <c r="O9" s="279">
        <v>50000</v>
      </c>
      <c r="P9" s="833" t="s">
        <v>12653</v>
      </c>
      <c r="R9" s="832" t="s">
        <v>12370</v>
      </c>
      <c r="S9" s="261" t="s">
        <v>12654</v>
      </c>
      <c r="T9" s="261" t="s">
        <v>11790</v>
      </c>
      <c r="U9" s="261" t="s">
        <v>330</v>
      </c>
      <c r="V9" s="261" t="s">
        <v>122</v>
      </c>
      <c r="W9" s="279">
        <v>100000</v>
      </c>
      <c r="X9" s="833" t="s">
        <v>12655</v>
      </c>
    </row>
    <row r="10" spans="1:24" x14ac:dyDescent="0.2">
      <c r="A10" s="832" t="s">
        <v>12675</v>
      </c>
      <c r="B10" s="261" t="s">
        <v>12613</v>
      </c>
      <c r="C10" s="261" t="s">
        <v>123</v>
      </c>
      <c r="D10" s="261" t="s">
        <v>122</v>
      </c>
      <c r="E10" s="261" t="s">
        <v>11101</v>
      </c>
      <c r="F10" s="279">
        <v>25000</v>
      </c>
      <c r="G10" s="833" t="s">
        <v>12676</v>
      </c>
      <c r="H10" s="138"/>
      <c r="J10" s="832" t="s">
        <v>12677</v>
      </c>
      <c r="K10" s="839">
        <v>5.0000000000000001E-3</v>
      </c>
      <c r="L10" s="261" t="s">
        <v>11229</v>
      </c>
      <c r="M10" s="261" t="s">
        <v>330</v>
      </c>
      <c r="N10" s="261" t="s">
        <v>122</v>
      </c>
      <c r="O10" s="279">
        <v>90000</v>
      </c>
      <c r="P10" s="833" t="s">
        <v>12659</v>
      </c>
      <c r="R10" s="832" t="s">
        <v>12371</v>
      </c>
      <c r="S10" s="261" t="s">
        <v>12648</v>
      </c>
      <c r="T10" s="261" t="s">
        <v>11593</v>
      </c>
      <c r="U10" s="261" t="s">
        <v>429</v>
      </c>
      <c r="V10" s="261" t="s">
        <v>122</v>
      </c>
      <c r="W10" s="279">
        <v>100000</v>
      </c>
      <c r="X10" s="833" t="s">
        <v>12649</v>
      </c>
    </row>
    <row r="11" spans="1:24" x14ac:dyDescent="0.2">
      <c r="A11" s="832" t="s">
        <v>12678</v>
      </c>
      <c r="B11" s="261" t="s">
        <v>12615</v>
      </c>
      <c r="C11" s="261" t="s">
        <v>123</v>
      </c>
      <c r="D11" s="261" t="s">
        <v>122</v>
      </c>
      <c r="E11" s="261" t="s">
        <v>11101</v>
      </c>
      <c r="F11" s="279">
        <v>25000</v>
      </c>
      <c r="G11" s="833" t="s">
        <v>12670</v>
      </c>
      <c r="H11" s="138"/>
      <c r="J11" s="832" t="s">
        <v>12679</v>
      </c>
      <c r="K11" s="839">
        <v>1.4999999999999999E-2</v>
      </c>
      <c r="L11" s="261" t="s">
        <v>11371</v>
      </c>
      <c r="M11" s="261" t="s">
        <v>330</v>
      </c>
      <c r="N11" s="261" t="s">
        <v>122</v>
      </c>
      <c r="O11" s="279">
        <v>150000</v>
      </c>
      <c r="P11" s="833" t="s">
        <v>12662</v>
      </c>
      <c r="R11" s="832" t="s">
        <v>12372</v>
      </c>
      <c r="S11" s="261" t="s">
        <v>12654</v>
      </c>
      <c r="T11" s="261" t="s">
        <v>11593</v>
      </c>
      <c r="U11" s="261" t="s">
        <v>429</v>
      </c>
      <c r="V11" s="261" t="s">
        <v>122</v>
      </c>
      <c r="W11" s="279">
        <v>100000</v>
      </c>
      <c r="X11" s="833" t="s">
        <v>12655</v>
      </c>
    </row>
    <row r="12" spans="1:24" x14ac:dyDescent="0.2">
      <c r="A12" s="832" t="s">
        <v>12680</v>
      </c>
      <c r="B12" s="261" t="s">
        <v>12617</v>
      </c>
      <c r="C12" s="261" t="s">
        <v>123</v>
      </c>
      <c r="D12" s="261" t="s">
        <v>122</v>
      </c>
      <c r="E12" s="261" t="s">
        <v>11101</v>
      </c>
      <c r="F12" s="279">
        <v>25000</v>
      </c>
      <c r="G12" s="833" t="s">
        <v>12681</v>
      </c>
      <c r="H12" s="138"/>
      <c r="J12" s="832" t="s">
        <v>12682</v>
      </c>
      <c r="K12" s="839">
        <v>1.4999999999999999E-2</v>
      </c>
      <c r="L12" s="261" t="s">
        <v>11593</v>
      </c>
      <c r="M12" s="261" t="s">
        <v>330</v>
      </c>
      <c r="N12" s="261" t="s">
        <v>122</v>
      </c>
      <c r="O12" s="279">
        <v>100000</v>
      </c>
      <c r="P12" s="833" t="s">
        <v>12665</v>
      </c>
      <c r="R12" s="832" t="s">
        <v>12373</v>
      </c>
      <c r="S12" s="261" t="s">
        <v>12648</v>
      </c>
      <c r="T12" s="261" t="s">
        <v>11790</v>
      </c>
      <c r="U12" s="261" t="s">
        <v>429</v>
      </c>
      <c r="V12" s="261" t="s">
        <v>122</v>
      </c>
      <c r="W12" s="279">
        <v>100000</v>
      </c>
      <c r="X12" s="833" t="s">
        <v>12649</v>
      </c>
    </row>
    <row r="13" spans="1:24" x14ac:dyDescent="0.2">
      <c r="A13" s="832" t="s">
        <v>12683</v>
      </c>
      <c r="B13" s="261" t="s">
        <v>12619</v>
      </c>
      <c r="C13" s="261" t="s">
        <v>123</v>
      </c>
      <c r="D13" s="261" t="s">
        <v>122</v>
      </c>
      <c r="E13" s="261" t="s">
        <v>11101</v>
      </c>
      <c r="F13" s="279">
        <v>50000</v>
      </c>
      <c r="G13" s="833" t="s">
        <v>12684</v>
      </c>
      <c r="H13" s="138"/>
      <c r="J13" s="832" t="s">
        <v>12685</v>
      </c>
      <c r="K13" s="839">
        <v>1.4999999999999999E-2</v>
      </c>
      <c r="L13" s="261" t="s">
        <v>11790</v>
      </c>
      <c r="M13" s="261" t="s">
        <v>330</v>
      </c>
      <c r="N13" s="261" t="s">
        <v>122</v>
      </c>
      <c r="O13" s="279">
        <v>300000</v>
      </c>
      <c r="P13" s="833" t="s">
        <v>12668</v>
      </c>
      <c r="R13" s="832" t="s">
        <v>12374</v>
      </c>
      <c r="S13" s="261" t="s">
        <v>12654</v>
      </c>
      <c r="T13" s="261" t="s">
        <v>11790</v>
      </c>
      <c r="U13" s="261" t="s">
        <v>429</v>
      </c>
      <c r="V13" s="261" t="s">
        <v>122</v>
      </c>
      <c r="W13" s="279">
        <v>100000</v>
      </c>
      <c r="X13" s="833" t="s">
        <v>12655</v>
      </c>
    </row>
    <row r="14" spans="1:24" x14ac:dyDescent="0.2">
      <c r="A14" s="832" t="s">
        <v>12686</v>
      </c>
      <c r="B14" s="261" t="s">
        <v>7211</v>
      </c>
      <c r="C14" s="261" t="s">
        <v>123</v>
      </c>
      <c r="D14" s="261" t="s">
        <v>122</v>
      </c>
      <c r="E14" s="261" t="s">
        <v>11101</v>
      </c>
      <c r="F14" s="279">
        <v>50000</v>
      </c>
      <c r="G14" s="833" t="s">
        <v>12673</v>
      </c>
      <c r="H14" s="138"/>
      <c r="J14" s="832" t="s">
        <v>12687</v>
      </c>
      <c r="K14" s="839">
        <v>5.0000000000000001E-3</v>
      </c>
      <c r="L14" s="261" t="s">
        <v>10911</v>
      </c>
      <c r="M14" s="261" t="s">
        <v>429</v>
      </c>
      <c r="N14" s="261" t="s">
        <v>122</v>
      </c>
      <c r="O14" s="279">
        <v>50000</v>
      </c>
      <c r="P14" s="833" t="s">
        <v>12647</v>
      </c>
      <c r="R14" s="832" t="s">
        <v>12375</v>
      </c>
      <c r="S14" s="261" t="s">
        <v>12648</v>
      </c>
      <c r="T14" s="261" t="s">
        <v>11593</v>
      </c>
      <c r="U14" s="261" t="s">
        <v>543</v>
      </c>
      <c r="V14" s="261" t="s">
        <v>122</v>
      </c>
      <c r="W14" s="279">
        <v>100000</v>
      </c>
      <c r="X14" s="833" t="s">
        <v>12649</v>
      </c>
    </row>
    <row r="15" spans="1:24" x14ac:dyDescent="0.2">
      <c r="A15" s="832" t="s">
        <v>12688</v>
      </c>
      <c r="B15" s="261" t="s">
        <v>1591</v>
      </c>
      <c r="C15" s="261" t="s">
        <v>123</v>
      </c>
      <c r="D15" s="261" t="s">
        <v>122</v>
      </c>
      <c r="E15" s="261" t="s">
        <v>11101</v>
      </c>
      <c r="F15" s="279">
        <v>50000</v>
      </c>
      <c r="G15" s="833" t="s">
        <v>12676</v>
      </c>
      <c r="H15" s="138"/>
      <c r="J15" s="832" t="s">
        <v>12689</v>
      </c>
      <c r="K15" s="839">
        <v>5.0000000000000001E-3</v>
      </c>
      <c r="L15" s="261" t="s">
        <v>11101</v>
      </c>
      <c r="M15" s="261" t="s">
        <v>429</v>
      </c>
      <c r="N15" s="261" t="s">
        <v>122</v>
      </c>
      <c r="O15" s="279">
        <v>50000</v>
      </c>
      <c r="P15" s="833" t="s">
        <v>12653</v>
      </c>
      <c r="R15" s="832" t="s">
        <v>12376</v>
      </c>
      <c r="S15" s="261" t="s">
        <v>12654</v>
      </c>
      <c r="T15" s="261" t="s">
        <v>11593</v>
      </c>
      <c r="U15" s="261" t="s">
        <v>543</v>
      </c>
      <c r="V15" s="261" t="s">
        <v>122</v>
      </c>
      <c r="W15" s="279">
        <v>100000</v>
      </c>
      <c r="X15" s="833" t="s">
        <v>12655</v>
      </c>
    </row>
    <row r="16" spans="1:24" x14ac:dyDescent="0.2">
      <c r="A16" s="832" t="s">
        <v>12690</v>
      </c>
      <c r="B16" s="261" t="s">
        <v>7912</v>
      </c>
      <c r="C16" s="261" t="s">
        <v>123</v>
      </c>
      <c r="D16" s="261" t="s">
        <v>122</v>
      </c>
      <c r="E16" s="261" t="s">
        <v>11101</v>
      </c>
      <c r="F16" s="279">
        <v>50000</v>
      </c>
      <c r="G16" s="833" t="s">
        <v>12681</v>
      </c>
      <c r="H16" s="138"/>
      <c r="J16" s="832" t="s">
        <v>12691</v>
      </c>
      <c r="K16" s="839">
        <v>5.0000000000000001E-3</v>
      </c>
      <c r="L16" s="261" t="s">
        <v>11229</v>
      </c>
      <c r="M16" s="261" t="s">
        <v>429</v>
      </c>
      <c r="N16" s="261" t="s">
        <v>122</v>
      </c>
      <c r="O16" s="279">
        <v>90000</v>
      </c>
      <c r="P16" s="833" t="s">
        <v>12659</v>
      </c>
      <c r="R16" s="832" t="s">
        <v>12377</v>
      </c>
      <c r="S16" s="261" t="s">
        <v>12648</v>
      </c>
      <c r="T16" s="261" t="s">
        <v>11790</v>
      </c>
      <c r="U16" s="261" t="s">
        <v>543</v>
      </c>
      <c r="V16" s="261" t="s">
        <v>122</v>
      </c>
      <c r="W16" s="279">
        <v>100000</v>
      </c>
      <c r="X16" s="833" t="s">
        <v>12649</v>
      </c>
    </row>
    <row r="17" spans="1:24" x14ac:dyDescent="0.2">
      <c r="A17" s="832" t="s">
        <v>12692</v>
      </c>
      <c r="B17" s="261" t="s">
        <v>12594</v>
      </c>
      <c r="C17" s="261" t="s">
        <v>123</v>
      </c>
      <c r="D17" s="261" t="s">
        <v>122</v>
      </c>
      <c r="E17" s="261" t="s">
        <v>11593</v>
      </c>
      <c r="F17" s="279">
        <v>200000</v>
      </c>
      <c r="G17" s="833" t="s">
        <v>12693</v>
      </c>
      <c r="H17" s="138"/>
      <c r="J17" s="832" t="s">
        <v>12694</v>
      </c>
      <c r="K17" s="839">
        <v>1.4999999999999999E-2</v>
      </c>
      <c r="L17" s="261" t="s">
        <v>11371</v>
      </c>
      <c r="M17" s="261" t="s">
        <v>429</v>
      </c>
      <c r="N17" s="261" t="s">
        <v>122</v>
      </c>
      <c r="O17" s="279">
        <v>150000</v>
      </c>
      <c r="P17" s="833" t="s">
        <v>12662</v>
      </c>
      <c r="R17" s="832" t="s">
        <v>12378</v>
      </c>
      <c r="S17" s="261" t="s">
        <v>12654</v>
      </c>
      <c r="T17" s="261" t="s">
        <v>11790</v>
      </c>
      <c r="U17" s="261" t="s">
        <v>543</v>
      </c>
      <c r="V17" s="261" t="s">
        <v>122</v>
      </c>
      <c r="W17" s="279">
        <v>100000</v>
      </c>
      <c r="X17" s="833" t="s">
        <v>12655</v>
      </c>
    </row>
    <row r="18" spans="1:24" x14ac:dyDescent="0.2">
      <c r="A18" s="832" t="s">
        <v>12695</v>
      </c>
      <c r="B18" s="261" t="s">
        <v>11792</v>
      </c>
      <c r="C18" s="261" t="s">
        <v>123</v>
      </c>
      <c r="D18" s="261" t="s">
        <v>122</v>
      </c>
      <c r="E18" s="261" t="s">
        <v>11790</v>
      </c>
      <c r="F18" s="279">
        <v>300000</v>
      </c>
      <c r="G18" s="833" t="s">
        <v>12668</v>
      </c>
      <c r="H18" s="138" t="s">
        <v>12696</v>
      </c>
      <c r="J18" s="832" t="s">
        <v>12697</v>
      </c>
      <c r="K18" s="839">
        <v>1.4999999999999999E-2</v>
      </c>
      <c r="L18" s="261" t="s">
        <v>11593</v>
      </c>
      <c r="M18" s="261" t="s">
        <v>429</v>
      </c>
      <c r="N18" s="261" t="s">
        <v>122</v>
      </c>
      <c r="O18" s="279">
        <v>100000</v>
      </c>
      <c r="P18" s="833" t="s">
        <v>12665</v>
      </c>
      <c r="R18" s="832" t="s">
        <v>12379</v>
      </c>
      <c r="S18" s="261" t="s">
        <v>12648</v>
      </c>
      <c r="T18" s="261" t="s">
        <v>11593</v>
      </c>
      <c r="U18" s="261" t="s">
        <v>645</v>
      </c>
      <c r="V18" s="261" t="s">
        <v>122</v>
      </c>
      <c r="W18" s="279">
        <v>100000</v>
      </c>
      <c r="X18" s="833" t="s">
        <v>12649</v>
      </c>
    </row>
    <row r="19" spans="1:24" x14ac:dyDescent="0.2">
      <c r="A19" s="832" t="s">
        <v>12698</v>
      </c>
      <c r="B19" s="261" t="s">
        <v>12597</v>
      </c>
      <c r="C19" s="261" t="s">
        <v>330</v>
      </c>
      <c r="D19" s="261" t="s">
        <v>122</v>
      </c>
      <c r="E19" s="261" t="s">
        <v>11101</v>
      </c>
      <c r="F19" s="279">
        <v>10000</v>
      </c>
      <c r="G19" s="833" t="s">
        <v>12645</v>
      </c>
      <c r="H19" s="138"/>
      <c r="J19" s="832" t="s">
        <v>12699</v>
      </c>
      <c r="K19" s="839">
        <v>1.4999999999999999E-2</v>
      </c>
      <c r="L19" s="261" t="s">
        <v>11790</v>
      </c>
      <c r="M19" s="261" t="s">
        <v>429</v>
      </c>
      <c r="N19" s="261" t="s">
        <v>122</v>
      </c>
      <c r="O19" s="279">
        <v>300000</v>
      </c>
      <c r="P19" s="833" t="s">
        <v>12668</v>
      </c>
      <c r="R19" s="832" t="s">
        <v>12380</v>
      </c>
      <c r="S19" s="261" t="s">
        <v>12654</v>
      </c>
      <c r="T19" s="261" t="s">
        <v>11593</v>
      </c>
      <c r="U19" s="261" t="s">
        <v>645</v>
      </c>
      <c r="V19" s="261" t="s">
        <v>122</v>
      </c>
      <c r="W19" s="279">
        <v>100000</v>
      </c>
      <c r="X19" s="833" t="s">
        <v>12655</v>
      </c>
    </row>
    <row r="20" spans="1:24" x14ac:dyDescent="0.2">
      <c r="A20" s="832" t="s">
        <v>12700</v>
      </c>
      <c r="B20" s="261" t="s">
        <v>12599</v>
      </c>
      <c r="C20" s="261" t="s">
        <v>330</v>
      </c>
      <c r="D20" s="261" t="s">
        <v>122</v>
      </c>
      <c r="E20" s="261" t="s">
        <v>11101</v>
      </c>
      <c r="F20" s="279">
        <v>10000</v>
      </c>
      <c r="G20" s="833" t="s">
        <v>12651</v>
      </c>
      <c r="H20" s="138"/>
      <c r="J20" s="832" t="s">
        <v>12701</v>
      </c>
      <c r="K20" s="839">
        <v>5.0000000000000001E-3</v>
      </c>
      <c r="L20" s="261" t="s">
        <v>10911</v>
      </c>
      <c r="M20" s="261" t="s">
        <v>543</v>
      </c>
      <c r="N20" s="261" t="s">
        <v>122</v>
      </c>
      <c r="O20" s="279">
        <v>50000</v>
      </c>
      <c r="P20" s="833" t="s">
        <v>12647</v>
      </c>
      <c r="R20" s="832" t="s">
        <v>12381</v>
      </c>
      <c r="S20" s="261" t="s">
        <v>12648</v>
      </c>
      <c r="T20" s="261" t="s">
        <v>11790</v>
      </c>
      <c r="U20" s="261" t="s">
        <v>645</v>
      </c>
      <c r="V20" s="261" t="s">
        <v>122</v>
      </c>
      <c r="W20" s="279">
        <v>100000</v>
      </c>
      <c r="X20" s="833" t="s">
        <v>12649</v>
      </c>
    </row>
    <row r="21" spans="1:24" x14ac:dyDescent="0.2">
      <c r="A21" s="832" t="s">
        <v>12702</v>
      </c>
      <c r="B21" s="261" t="s">
        <v>12601</v>
      </c>
      <c r="C21" s="261" t="s">
        <v>330</v>
      </c>
      <c r="D21" s="261" t="s">
        <v>122</v>
      </c>
      <c r="E21" s="261" t="s">
        <v>11101</v>
      </c>
      <c r="F21" s="279">
        <v>10000</v>
      </c>
      <c r="G21" s="833" t="s">
        <v>12657</v>
      </c>
      <c r="H21" s="138"/>
      <c r="J21" s="832" t="s">
        <v>12703</v>
      </c>
      <c r="K21" s="839">
        <v>5.0000000000000001E-3</v>
      </c>
      <c r="L21" s="261" t="s">
        <v>11101</v>
      </c>
      <c r="M21" s="261" t="s">
        <v>543</v>
      </c>
      <c r="N21" s="261" t="s">
        <v>122</v>
      </c>
      <c r="O21" s="279">
        <v>50000</v>
      </c>
      <c r="P21" s="833" t="s">
        <v>12653</v>
      </c>
      <c r="R21" s="832" t="s">
        <v>12382</v>
      </c>
      <c r="S21" s="261" t="s">
        <v>12654</v>
      </c>
      <c r="T21" s="261" t="s">
        <v>11790</v>
      </c>
      <c r="U21" s="261" t="s">
        <v>645</v>
      </c>
      <c r="V21" s="261" t="s">
        <v>122</v>
      </c>
      <c r="W21" s="279">
        <v>100000</v>
      </c>
      <c r="X21" s="833" t="s">
        <v>12655</v>
      </c>
    </row>
    <row r="22" spans="1:24" x14ac:dyDescent="0.2">
      <c r="A22" s="832" t="s">
        <v>12704</v>
      </c>
      <c r="B22" s="261" t="s">
        <v>12603</v>
      </c>
      <c r="C22" s="261" t="s">
        <v>330</v>
      </c>
      <c r="D22" s="261" t="s">
        <v>122</v>
      </c>
      <c r="E22" s="261" t="s">
        <v>11101</v>
      </c>
      <c r="F22" s="279">
        <v>10000</v>
      </c>
      <c r="G22" s="833" t="s">
        <v>12645</v>
      </c>
      <c r="H22" s="138"/>
      <c r="J22" s="832" t="s">
        <v>12705</v>
      </c>
      <c r="K22" s="839">
        <v>5.0000000000000001E-3</v>
      </c>
      <c r="L22" s="261" t="s">
        <v>11229</v>
      </c>
      <c r="M22" s="261" t="s">
        <v>543</v>
      </c>
      <c r="N22" s="261" t="s">
        <v>122</v>
      </c>
      <c r="O22" s="279">
        <v>90000</v>
      </c>
      <c r="P22" s="833" t="s">
        <v>12659</v>
      </c>
      <c r="R22" s="832" t="s">
        <v>12383</v>
      </c>
      <c r="S22" s="261" t="s">
        <v>12648</v>
      </c>
      <c r="T22" s="261" t="s">
        <v>11593</v>
      </c>
      <c r="U22" s="261" t="s">
        <v>759</v>
      </c>
      <c r="V22" s="261" t="s">
        <v>122</v>
      </c>
      <c r="W22" s="279">
        <v>100000</v>
      </c>
      <c r="X22" s="833" t="s">
        <v>12649</v>
      </c>
    </row>
    <row r="23" spans="1:24" x14ac:dyDescent="0.2">
      <c r="A23" s="832" t="s">
        <v>12706</v>
      </c>
      <c r="B23" s="261" t="s">
        <v>12605</v>
      </c>
      <c r="C23" s="261" t="s">
        <v>330</v>
      </c>
      <c r="D23" s="261" t="s">
        <v>122</v>
      </c>
      <c r="E23" s="261" t="s">
        <v>11101</v>
      </c>
      <c r="F23" s="279">
        <v>10000</v>
      </c>
      <c r="G23" s="833" t="s">
        <v>12651</v>
      </c>
      <c r="H23" s="138"/>
      <c r="J23" s="832" t="s">
        <v>12707</v>
      </c>
      <c r="K23" s="839">
        <v>1.4999999999999999E-2</v>
      </c>
      <c r="L23" s="261" t="s">
        <v>11371</v>
      </c>
      <c r="M23" s="261" t="s">
        <v>543</v>
      </c>
      <c r="N23" s="261" t="s">
        <v>122</v>
      </c>
      <c r="O23" s="279">
        <v>150000</v>
      </c>
      <c r="P23" s="833" t="s">
        <v>12662</v>
      </c>
      <c r="R23" s="832" t="s">
        <v>12384</v>
      </c>
      <c r="S23" s="261" t="s">
        <v>12654</v>
      </c>
      <c r="T23" s="261" t="s">
        <v>11593</v>
      </c>
      <c r="U23" s="261" t="s">
        <v>759</v>
      </c>
      <c r="V23" s="261" t="s">
        <v>122</v>
      </c>
      <c r="W23" s="279">
        <v>100000</v>
      </c>
      <c r="X23" s="833" t="s">
        <v>12655</v>
      </c>
    </row>
    <row r="24" spans="1:24" x14ac:dyDescent="0.2">
      <c r="A24" s="832" t="s">
        <v>12708</v>
      </c>
      <c r="B24" s="261" t="s">
        <v>12607</v>
      </c>
      <c r="C24" s="261" t="s">
        <v>330</v>
      </c>
      <c r="D24" s="261" t="s">
        <v>122</v>
      </c>
      <c r="E24" s="261" t="s">
        <v>11101</v>
      </c>
      <c r="F24" s="279">
        <v>10000</v>
      </c>
      <c r="G24" s="833" t="s">
        <v>12657</v>
      </c>
      <c r="H24" s="138"/>
      <c r="J24" s="832" t="s">
        <v>12709</v>
      </c>
      <c r="K24" s="839">
        <v>1.4999999999999999E-2</v>
      </c>
      <c r="L24" s="261" t="s">
        <v>11593</v>
      </c>
      <c r="M24" s="261" t="s">
        <v>543</v>
      </c>
      <c r="N24" s="261" t="s">
        <v>122</v>
      </c>
      <c r="O24" s="279">
        <v>100000</v>
      </c>
      <c r="P24" s="833" t="s">
        <v>12665</v>
      </c>
      <c r="R24" s="832" t="s">
        <v>12385</v>
      </c>
      <c r="S24" s="261" t="s">
        <v>12648</v>
      </c>
      <c r="T24" s="261" t="s">
        <v>11790</v>
      </c>
      <c r="U24" s="261" t="s">
        <v>759</v>
      </c>
      <c r="V24" s="261" t="s">
        <v>122</v>
      </c>
      <c r="W24" s="279">
        <v>100000</v>
      </c>
      <c r="X24" s="833" t="s">
        <v>12649</v>
      </c>
    </row>
    <row r="25" spans="1:24" x14ac:dyDescent="0.2">
      <c r="A25" s="832" t="s">
        <v>12710</v>
      </c>
      <c r="B25" s="261" t="s">
        <v>12609</v>
      </c>
      <c r="C25" s="261" t="s">
        <v>330</v>
      </c>
      <c r="D25" s="261" t="s">
        <v>122</v>
      </c>
      <c r="E25" s="261" t="s">
        <v>11101</v>
      </c>
      <c r="F25" s="279">
        <v>25000</v>
      </c>
      <c r="G25" s="833" t="s">
        <v>12670</v>
      </c>
      <c r="H25" s="138"/>
      <c r="J25" s="832" t="s">
        <v>12711</v>
      </c>
      <c r="K25" s="839">
        <v>1.4999999999999999E-2</v>
      </c>
      <c r="L25" s="261" t="s">
        <v>11790</v>
      </c>
      <c r="M25" s="261" t="s">
        <v>543</v>
      </c>
      <c r="N25" s="261" t="s">
        <v>122</v>
      </c>
      <c r="O25" s="279">
        <v>300000</v>
      </c>
      <c r="P25" s="833" t="s">
        <v>12668</v>
      </c>
      <c r="R25" s="832" t="s">
        <v>12386</v>
      </c>
      <c r="S25" s="261" t="s">
        <v>12654</v>
      </c>
      <c r="T25" s="261" t="s">
        <v>11790</v>
      </c>
      <c r="U25" s="261" t="s">
        <v>759</v>
      </c>
      <c r="V25" s="261" t="s">
        <v>122</v>
      </c>
      <c r="W25" s="279">
        <v>100000</v>
      </c>
      <c r="X25" s="833" t="s">
        <v>12655</v>
      </c>
    </row>
    <row r="26" spans="1:24" x14ac:dyDescent="0.2">
      <c r="A26" s="832" t="s">
        <v>12712</v>
      </c>
      <c r="B26" s="261" t="s">
        <v>12611</v>
      </c>
      <c r="C26" s="261" t="s">
        <v>330</v>
      </c>
      <c r="D26" s="261" t="s">
        <v>122</v>
      </c>
      <c r="E26" s="261" t="s">
        <v>11101</v>
      </c>
      <c r="F26" s="279">
        <v>25000</v>
      </c>
      <c r="G26" s="833" t="s">
        <v>12673</v>
      </c>
      <c r="H26" s="138"/>
      <c r="J26" s="832" t="s">
        <v>12713</v>
      </c>
      <c r="K26" s="839">
        <v>5.0000000000000001E-3</v>
      </c>
      <c r="L26" s="261" t="s">
        <v>10911</v>
      </c>
      <c r="M26" s="261" t="s">
        <v>645</v>
      </c>
      <c r="N26" s="261" t="s">
        <v>122</v>
      </c>
      <c r="O26" s="279">
        <v>50000</v>
      </c>
      <c r="P26" s="833" t="s">
        <v>12647</v>
      </c>
      <c r="R26" s="832" t="s">
        <v>12387</v>
      </c>
      <c r="S26" s="261" t="s">
        <v>12648</v>
      </c>
      <c r="T26" s="261" t="s">
        <v>11593</v>
      </c>
      <c r="U26" s="261" t="s">
        <v>839</v>
      </c>
      <c r="V26" s="261" t="s">
        <v>122</v>
      </c>
      <c r="W26" s="279">
        <v>100000</v>
      </c>
      <c r="X26" s="833" t="s">
        <v>12649</v>
      </c>
    </row>
    <row r="27" spans="1:24" x14ac:dyDescent="0.2">
      <c r="A27" s="832" t="s">
        <v>12714</v>
      </c>
      <c r="B27" s="261" t="s">
        <v>12613</v>
      </c>
      <c r="C27" s="261" t="s">
        <v>330</v>
      </c>
      <c r="D27" s="261" t="s">
        <v>122</v>
      </c>
      <c r="E27" s="261" t="s">
        <v>11101</v>
      </c>
      <c r="F27" s="279">
        <v>25000</v>
      </c>
      <c r="G27" s="833" t="s">
        <v>12676</v>
      </c>
      <c r="H27" s="138"/>
      <c r="J27" s="832" t="s">
        <v>12715</v>
      </c>
      <c r="K27" s="839">
        <v>5.0000000000000001E-3</v>
      </c>
      <c r="L27" s="261" t="s">
        <v>11101</v>
      </c>
      <c r="M27" s="261" t="s">
        <v>645</v>
      </c>
      <c r="N27" s="261" t="s">
        <v>122</v>
      </c>
      <c r="O27" s="279">
        <v>50000</v>
      </c>
      <c r="P27" s="833" t="s">
        <v>12653</v>
      </c>
      <c r="R27" s="832" t="s">
        <v>12388</v>
      </c>
      <c r="S27" s="261" t="s">
        <v>12654</v>
      </c>
      <c r="T27" s="261" t="s">
        <v>11593</v>
      </c>
      <c r="U27" s="261" t="s">
        <v>839</v>
      </c>
      <c r="V27" s="261" t="s">
        <v>122</v>
      </c>
      <c r="W27" s="279">
        <v>100000</v>
      </c>
      <c r="X27" s="833" t="s">
        <v>12655</v>
      </c>
    </row>
    <row r="28" spans="1:24" x14ac:dyDescent="0.2">
      <c r="A28" s="832" t="s">
        <v>12716</v>
      </c>
      <c r="B28" s="261" t="s">
        <v>12615</v>
      </c>
      <c r="C28" s="261" t="s">
        <v>330</v>
      </c>
      <c r="D28" s="261" t="s">
        <v>122</v>
      </c>
      <c r="E28" s="261" t="s">
        <v>11101</v>
      </c>
      <c r="F28" s="279">
        <v>25000</v>
      </c>
      <c r="G28" s="833" t="s">
        <v>12670</v>
      </c>
      <c r="H28" s="138"/>
      <c r="J28" s="832" t="s">
        <v>12717</v>
      </c>
      <c r="K28" s="839">
        <v>5.0000000000000001E-3</v>
      </c>
      <c r="L28" s="261" t="s">
        <v>11229</v>
      </c>
      <c r="M28" s="261" t="s">
        <v>645</v>
      </c>
      <c r="N28" s="261" t="s">
        <v>122</v>
      </c>
      <c r="O28" s="279">
        <v>90000</v>
      </c>
      <c r="P28" s="833" t="s">
        <v>12659</v>
      </c>
      <c r="R28" s="832" t="s">
        <v>12389</v>
      </c>
      <c r="S28" s="261" t="s">
        <v>12648</v>
      </c>
      <c r="T28" s="261" t="s">
        <v>11790</v>
      </c>
      <c r="U28" s="261" t="s">
        <v>839</v>
      </c>
      <c r="V28" s="261" t="s">
        <v>122</v>
      </c>
      <c r="W28" s="279">
        <v>100000</v>
      </c>
      <c r="X28" s="833" t="s">
        <v>12649</v>
      </c>
    </row>
    <row r="29" spans="1:24" x14ac:dyDescent="0.2">
      <c r="A29" s="832" t="s">
        <v>12718</v>
      </c>
      <c r="B29" s="261" t="s">
        <v>12617</v>
      </c>
      <c r="C29" s="261" t="s">
        <v>330</v>
      </c>
      <c r="D29" s="261" t="s">
        <v>122</v>
      </c>
      <c r="E29" s="261" t="s">
        <v>11101</v>
      </c>
      <c r="F29" s="279">
        <v>25000</v>
      </c>
      <c r="G29" s="833" t="s">
        <v>12681</v>
      </c>
      <c r="H29" s="138"/>
      <c r="J29" s="832" t="s">
        <v>12719</v>
      </c>
      <c r="K29" s="839">
        <v>1.4999999999999999E-2</v>
      </c>
      <c r="L29" s="261" t="s">
        <v>11371</v>
      </c>
      <c r="M29" s="261" t="s">
        <v>645</v>
      </c>
      <c r="N29" s="261" t="s">
        <v>122</v>
      </c>
      <c r="O29" s="279">
        <v>150000</v>
      </c>
      <c r="P29" s="833" t="s">
        <v>12662</v>
      </c>
      <c r="R29" s="832" t="s">
        <v>12390</v>
      </c>
      <c r="S29" s="261" t="s">
        <v>12654</v>
      </c>
      <c r="T29" s="261" t="s">
        <v>11790</v>
      </c>
      <c r="U29" s="261" t="s">
        <v>839</v>
      </c>
      <c r="V29" s="261" t="s">
        <v>122</v>
      </c>
      <c r="W29" s="279">
        <v>100000</v>
      </c>
      <c r="X29" s="833" t="s">
        <v>12655</v>
      </c>
    </row>
    <row r="30" spans="1:24" x14ac:dyDescent="0.2">
      <c r="A30" s="832" t="s">
        <v>12720</v>
      </c>
      <c r="B30" s="261" t="s">
        <v>12619</v>
      </c>
      <c r="C30" s="261" t="s">
        <v>330</v>
      </c>
      <c r="D30" s="261" t="s">
        <v>122</v>
      </c>
      <c r="E30" s="261" t="s">
        <v>11101</v>
      </c>
      <c r="F30" s="279">
        <v>50000</v>
      </c>
      <c r="G30" s="833" t="s">
        <v>12684</v>
      </c>
      <c r="H30" s="138"/>
      <c r="J30" s="832" t="s">
        <v>12721</v>
      </c>
      <c r="K30" s="839">
        <v>1.4999999999999999E-2</v>
      </c>
      <c r="L30" s="261" t="s">
        <v>11593</v>
      </c>
      <c r="M30" s="261" t="s">
        <v>645</v>
      </c>
      <c r="N30" s="261" t="s">
        <v>122</v>
      </c>
      <c r="O30" s="279">
        <v>100000</v>
      </c>
      <c r="P30" s="833" t="s">
        <v>12665</v>
      </c>
      <c r="R30" s="832" t="s">
        <v>12391</v>
      </c>
      <c r="S30" s="261" t="s">
        <v>12648</v>
      </c>
      <c r="T30" s="261" t="s">
        <v>11593</v>
      </c>
      <c r="U30" s="261" t="s">
        <v>949</v>
      </c>
      <c r="V30" s="261" t="s">
        <v>122</v>
      </c>
      <c r="W30" s="279">
        <v>100000</v>
      </c>
      <c r="X30" s="833" t="s">
        <v>12649</v>
      </c>
    </row>
    <row r="31" spans="1:24" x14ac:dyDescent="0.2">
      <c r="A31" s="832" t="s">
        <v>12722</v>
      </c>
      <c r="B31" s="261" t="s">
        <v>7211</v>
      </c>
      <c r="C31" s="261" t="s">
        <v>330</v>
      </c>
      <c r="D31" s="261" t="s">
        <v>122</v>
      </c>
      <c r="E31" s="261" t="s">
        <v>11101</v>
      </c>
      <c r="F31" s="279">
        <v>50000</v>
      </c>
      <c r="G31" s="833" t="s">
        <v>12673</v>
      </c>
      <c r="H31" s="138"/>
      <c r="J31" s="832" t="s">
        <v>12723</v>
      </c>
      <c r="K31" s="839">
        <v>1.4999999999999999E-2</v>
      </c>
      <c r="L31" s="261" t="s">
        <v>11790</v>
      </c>
      <c r="M31" s="261" t="s">
        <v>645</v>
      </c>
      <c r="N31" s="261" t="s">
        <v>122</v>
      </c>
      <c r="O31" s="279">
        <v>300000</v>
      </c>
      <c r="P31" s="833" t="s">
        <v>12668</v>
      </c>
      <c r="R31" s="832" t="s">
        <v>12392</v>
      </c>
      <c r="S31" s="261" t="s">
        <v>12654</v>
      </c>
      <c r="T31" s="261" t="s">
        <v>11593</v>
      </c>
      <c r="U31" s="261" t="s">
        <v>949</v>
      </c>
      <c r="V31" s="261" t="s">
        <v>122</v>
      </c>
      <c r="W31" s="279">
        <v>100000</v>
      </c>
      <c r="X31" s="833" t="s">
        <v>12655</v>
      </c>
    </row>
    <row r="32" spans="1:24" x14ac:dyDescent="0.2">
      <c r="A32" s="832" t="s">
        <v>12724</v>
      </c>
      <c r="B32" s="261" t="s">
        <v>1591</v>
      </c>
      <c r="C32" s="261" t="s">
        <v>330</v>
      </c>
      <c r="D32" s="261" t="s">
        <v>122</v>
      </c>
      <c r="E32" s="261" t="s">
        <v>11101</v>
      </c>
      <c r="F32" s="279">
        <v>50000</v>
      </c>
      <c r="G32" s="833" t="s">
        <v>12676</v>
      </c>
      <c r="H32" s="138"/>
      <c r="J32" s="832" t="s">
        <v>12725</v>
      </c>
      <c r="K32" s="839">
        <v>5.0000000000000001E-3</v>
      </c>
      <c r="L32" s="261" t="s">
        <v>10911</v>
      </c>
      <c r="M32" s="261" t="s">
        <v>759</v>
      </c>
      <c r="N32" s="261" t="s">
        <v>122</v>
      </c>
      <c r="O32" s="279">
        <v>50000</v>
      </c>
      <c r="P32" s="833" t="s">
        <v>12647</v>
      </c>
      <c r="R32" s="832" t="s">
        <v>12393</v>
      </c>
      <c r="S32" s="261" t="s">
        <v>12648</v>
      </c>
      <c r="T32" s="261" t="s">
        <v>11790</v>
      </c>
      <c r="U32" s="261" t="s">
        <v>949</v>
      </c>
      <c r="V32" s="261" t="s">
        <v>122</v>
      </c>
      <c r="W32" s="279">
        <v>100000</v>
      </c>
      <c r="X32" s="833" t="s">
        <v>12649</v>
      </c>
    </row>
    <row r="33" spans="1:24" x14ac:dyDescent="0.2">
      <c r="A33" s="832" t="s">
        <v>12726</v>
      </c>
      <c r="B33" s="261" t="s">
        <v>7912</v>
      </c>
      <c r="C33" s="261" t="s">
        <v>330</v>
      </c>
      <c r="D33" s="261" t="s">
        <v>122</v>
      </c>
      <c r="E33" s="261" t="s">
        <v>11101</v>
      </c>
      <c r="F33" s="279">
        <v>50000</v>
      </c>
      <c r="G33" s="833" t="s">
        <v>12681</v>
      </c>
      <c r="H33" s="138"/>
      <c r="J33" s="832" t="s">
        <v>12727</v>
      </c>
      <c r="K33" s="839">
        <v>5.0000000000000001E-3</v>
      </c>
      <c r="L33" s="261" t="s">
        <v>11101</v>
      </c>
      <c r="M33" s="261" t="s">
        <v>759</v>
      </c>
      <c r="N33" s="261" t="s">
        <v>122</v>
      </c>
      <c r="O33" s="279">
        <v>50000</v>
      </c>
      <c r="P33" s="833" t="s">
        <v>12653</v>
      </c>
      <c r="R33" s="832" t="s">
        <v>12394</v>
      </c>
      <c r="S33" s="261" t="s">
        <v>12654</v>
      </c>
      <c r="T33" s="261" t="s">
        <v>11790</v>
      </c>
      <c r="U33" s="261" t="s">
        <v>949</v>
      </c>
      <c r="V33" s="261" t="s">
        <v>122</v>
      </c>
      <c r="W33" s="279">
        <v>100000</v>
      </c>
      <c r="X33" s="833" t="s">
        <v>12655</v>
      </c>
    </row>
    <row r="34" spans="1:24" x14ac:dyDescent="0.2">
      <c r="A34" s="832" t="s">
        <v>12728</v>
      </c>
      <c r="B34" s="261" t="s">
        <v>12594</v>
      </c>
      <c r="C34" s="261" t="s">
        <v>330</v>
      </c>
      <c r="D34" s="261" t="s">
        <v>122</v>
      </c>
      <c r="E34" s="261" t="s">
        <v>11593</v>
      </c>
      <c r="F34" s="279">
        <v>200000</v>
      </c>
      <c r="G34" s="833" t="s">
        <v>12693</v>
      </c>
      <c r="H34" s="138"/>
      <c r="J34" s="832" t="s">
        <v>12729</v>
      </c>
      <c r="K34" s="839">
        <v>5.0000000000000001E-3</v>
      </c>
      <c r="L34" s="261" t="s">
        <v>11229</v>
      </c>
      <c r="M34" s="261" t="s">
        <v>759</v>
      </c>
      <c r="N34" s="261" t="s">
        <v>122</v>
      </c>
      <c r="O34" s="279">
        <v>90000</v>
      </c>
      <c r="P34" s="833" t="s">
        <v>12659</v>
      </c>
      <c r="R34" s="832" t="s">
        <v>12395</v>
      </c>
      <c r="S34" s="261" t="s">
        <v>12648</v>
      </c>
      <c r="T34" s="261" t="s">
        <v>11593</v>
      </c>
      <c r="U34" s="261" t="s">
        <v>1054</v>
      </c>
      <c r="V34" s="261" t="s">
        <v>122</v>
      </c>
      <c r="W34" s="279">
        <v>100000</v>
      </c>
      <c r="X34" s="833" t="s">
        <v>12649</v>
      </c>
    </row>
    <row r="35" spans="1:24" x14ac:dyDescent="0.2">
      <c r="A35" s="832" t="s">
        <v>12730</v>
      </c>
      <c r="B35" s="261" t="s">
        <v>11792</v>
      </c>
      <c r="C35" s="261" t="s">
        <v>330</v>
      </c>
      <c r="D35" s="261" t="s">
        <v>122</v>
      </c>
      <c r="E35" s="261" t="s">
        <v>11790</v>
      </c>
      <c r="F35" s="279">
        <v>300000</v>
      </c>
      <c r="G35" s="833" t="s">
        <v>12668</v>
      </c>
      <c r="H35" s="138" t="s">
        <v>12696</v>
      </c>
      <c r="J35" s="832" t="s">
        <v>12731</v>
      </c>
      <c r="K35" s="839">
        <v>1.4999999999999999E-2</v>
      </c>
      <c r="L35" s="261" t="s">
        <v>11371</v>
      </c>
      <c r="M35" s="261" t="s">
        <v>759</v>
      </c>
      <c r="N35" s="261" t="s">
        <v>122</v>
      </c>
      <c r="O35" s="279">
        <v>150000</v>
      </c>
      <c r="P35" s="833" t="s">
        <v>12662</v>
      </c>
      <c r="R35" s="832" t="s">
        <v>12396</v>
      </c>
      <c r="S35" s="261" t="s">
        <v>12654</v>
      </c>
      <c r="T35" s="261" t="s">
        <v>11593</v>
      </c>
      <c r="U35" s="261" t="s">
        <v>1054</v>
      </c>
      <c r="V35" s="261" t="s">
        <v>122</v>
      </c>
      <c r="W35" s="279">
        <v>100000</v>
      </c>
      <c r="X35" s="833" t="s">
        <v>12655</v>
      </c>
    </row>
    <row r="36" spans="1:24" x14ac:dyDescent="0.2">
      <c r="A36" s="832" t="s">
        <v>12732</v>
      </c>
      <c r="B36" s="261" t="s">
        <v>12597</v>
      </c>
      <c r="C36" s="261" t="s">
        <v>429</v>
      </c>
      <c r="D36" s="261" t="s">
        <v>122</v>
      </c>
      <c r="E36" s="261" t="s">
        <v>11101</v>
      </c>
      <c r="F36" s="279">
        <v>10000</v>
      </c>
      <c r="G36" s="833" t="s">
        <v>12645</v>
      </c>
      <c r="H36" s="138"/>
      <c r="J36" s="832" t="s">
        <v>12733</v>
      </c>
      <c r="K36" s="839">
        <v>1.4999999999999999E-2</v>
      </c>
      <c r="L36" s="261" t="s">
        <v>11593</v>
      </c>
      <c r="M36" s="261" t="s">
        <v>759</v>
      </c>
      <c r="N36" s="261" t="s">
        <v>122</v>
      </c>
      <c r="O36" s="279">
        <v>100000</v>
      </c>
      <c r="P36" s="833" t="s">
        <v>12665</v>
      </c>
      <c r="R36" s="832" t="s">
        <v>12397</v>
      </c>
      <c r="S36" s="261" t="s">
        <v>12648</v>
      </c>
      <c r="T36" s="261" t="s">
        <v>11790</v>
      </c>
      <c r="U36" s="261" t="s">
        <v>1054</v>
      </c>
      <c r="V36" s="261" t="s">
        <v>122</v>
      </c>
      <c r="W36" s="279">
        <v>100000</v>
      </c>
      <c r="X36" s="833" t="s">
        <v>12649</v>
      </c>
    </row>
    <row r="37" spans="1:24" x14ac:dyDescent="0.2">
      <c r="A37" s="832" t="s">
        <v>12734</v>
      </c>
      <c r="B37" s="261" t="s">
        <v>12599</v>
      </c>
      <c r="C37" s="261" t="s">
        <v>429</v>
      </c>
      <c r="D37" s="261" t="s">
        <v>122</v>
      </c>
      <c r="E37" s="261" t="s">
        <v>11101</v>
      </c>
      <c r="F37" s="279">
        <v>10000</v>
      </c>
      <c r="G37" s="833" t="s">
        <v>12651</v>
      </c>
      <c r="H37" s="138"/>
      <c r="J37" s="832" t="s">
        <v>12735</v>
      </c>
      <c r="K37" s="839">
        <v>1.4999999999999999E-2</v>
      </c>
      <c r="L37" s="261" t="s">
        <v>11790</v>
      </c>
      <c r="M37" s="261" t="s">
        <v>759</v>
      </c>
      <c r="N37" s="261" t="s">
        <v>122</v>
      </c>
      <c r="O37" s="279">
        <v>300000</v>
      </c>
      <c r="P37" s="833" t="s">
        <v>12668</v>
      </c>
      <c r="R37" s="832" t="s">
        <v>12398</v>
      </c>
      <c r="S37" s="261" t="s">
        <v>12654</v>
      </c>
      <c r="T37" s="261" t="s">
        <v>11790</v>
      </c>
      <c r="U37" s="261" t="s">
        <v>1054</v>
      </c>
      <c r="V37" s="261" t="s">
        <v>122</v>
      </c>
      <c r="W37" s="279">
        <v>100000</v>
      </c>
      <c r="X37" s="833" t="s">
        <v>12655</v>
      </c>
    </row>
    <row r="38" spans="1:24" x14ac:dyDescent="0.2">
      <c r="A38" s="832" t="s">
        <v>12736</v>
      </c>
      <c r="B38" s="261" t="s">
        <v>12601</v>
      </c>
      <c r="C38" s="261" t="s">
        <v>429</v>
      </c>
      <c r="D38" s="261" t="s">
        <v>122</v>
      </c>
      <c r="E38" s="261" t="s">
        <v>11101</v>
      </c>
      <c r="F38" s="279">
        <v>10000</v>
      </c>
      <c r="G38" s="833" t="s">
        <v>12657</v>
      </c>
      <c r="H38" s="138"/>
      <c r="J38" s="832" t="s">
        <v>12737</v>
      </c>
      <c r="K38" s="839">
        <v>5.0000000000000001E-3</v>
      </c>
      <c r="L38" s="261" t="s">
        <v>10911</v>
      </c>
      <c r="M38" s="261" t="s">
        <v>839</v>
      </c>
      <c r="N38" s="261" t="s">
        <v>122</v>
      </c>
      <c r="O38" s="279">
        <v>50000</v>
      </c>
      <c r="P38" s="833" t="s">
        <v>12647</v>
      </c>
      <c r="R38" s="832" t="s">
        <v>12399</v>
      </c>
      <c r="S38" s="261" t="s">
        <v>12648</v>
      </c>
      <c r="T38" s="261" t="s">
        <v>11593</v>
      </c>
      <c r="U38" s="261" t="s">
        <v>123</v>
      </c>
      <c r="V38" s="261" t="s">
        <v>1103</v>
      </c>
      <c r="W38" s="279">
        <v>100000</v>
      </c>
      <c r="X38" s="833" t="s">
        <v>12649</v>
      </c>
    </row>
    <row r="39" spans="1:24" x14ac:dyDescent="0.2">
      <c r="A39" s="832" t="s">
        <v>12738</v>
      </c>
      <c r="B39" s="261" t="s">
        <v>12603</v>
      </c>
      <c r="C39" s="261" t="s">
        <v>429</v>
      </c>
      <c r="D39" s="261" t="s">
        <v>122</v>
      </c>
      <c r="E39" s="261" t="s">
        <v>11101</v>
      </c>
      <c r="F39" s="279">
        <v>10000</v>
      </c>
      <c r="G39" s="833" t="s">
        <v>12645</v>
      </c>
      <c r="H39" s="138"/>
      <c r="J39" s="832" t="s">
        <v>12739</v>
      </c>
      <c r="K39" s="839">
        <v>5.0000000000000001E-3</v>
      </c>
      <c r="L39" s="261" t="s">
        <v>11101</v>
      </c>
      <c r="M39" s="261" t="s">
        <v>839</v>
      </c>
      <c r="N39" s="261" t="s">
        <v>122</v>
      </c>
      <c r="O39" s="279">
        <v>50000</v>
      </c>
      <c r="P39" s="833" t="s">
        <v>12653</v>
      </c>
      <c r="R39" s="832" t="s">
        <v>12400</v>
      </c>
      <c r="S39" s="261" t="s">
        <v>12654</v>
      </c>
      <c r="T39" s="261" t="s">
        <v>11593</v>
      </c>
      <c r="U39" s="261" t="s">
        <v>123</v>
      </c>
      <c r="V39" s="261" t="s">
        <v>1103</v>
      </c>
      <c r="W39" s="279">
        <v>100000</v>
      </c>
      <c r="X39" s="833" t="s">
        <v>12655</v>
      </c>
    </row>
    <row r="40" spans="1:24" x14ac:dyDescent="0.2">
      <c r="A40" s="832" t="s">
        <v>12740</v>
      </c>
      <c r="B40" s="261" t="s">
        <v>12605</v>
      </c>
      <c r="C40" s="261" t="s">
        <v>429</v>
      </c>
      <c r="D40" s="261" t="s">
        <v>122</v>
      </c>
      <c r="E40" s="261" t="s">
        <v>11101</v>
      </c>
      <c r="F40" s="279">
        <v>10000</v>
      </c>
      <c r="G40" s="833" t="s">
        <v>12651</v>
      </c>
      <c r="H40" s="138"/>
      <c r="J40" s="832" t="s">
        <v>12741</v>
      </c>
      <c r="K40" s="839">
        <v>5.0000000000000001E-3</v>
      </c>
      <c r="L40" s="261" t="s">
        <v>11229</v>
      </c>
      <c r="M40" s="261" t="s">
        <v>839</v>
      </c>
      <c r="N40" s="261" t="s">
        <v>122</v>
      </c>
      <c r="O40" s="279">
        <v>90000</v>
      </c>
      <c r="P40" s="833" t="s">
        <v>12659</v>
      </c>
      <c r="R40" s="832" t="s">
        <v>12401</v>
      </c>
      <c r="S40" s="261" t="s">
        <v>12648</v>
      </c>
      <c r="T40" s="261" t="s">
        <v>11790</v>
      </c>
      <c r="U40" s="261" t="s">
        <v>123</v>
      </c>
      <c r="V40" s="261" t="s">
        <v>1103</v>
      </c>
      <c r="W40" s="279">
        <v>100000</v>
      </c>
      <c r="X40" s="833" t="s">
        <v>12649</v>
      </c>
    </row>
    <row r="41" spans="1:24" x14ac:dyDescent="0.2">
      <c r="A41" s="832" t="s">
        <v>12742</v>
      </c>
      <c r="B41" s="261" t="s">
        <v>12607</v>
      </c>
      <c r="C41" s="261" t="s">
        <v>429</v>
      </c>
      <c r="D41" s="261" t="s">
        <v>122</v>
      </c>
      <c r="E41" s="261" t="s">
        <v>11101</v>
      </c>
      <c r="F41" s="279">
        <v>10000</v>
      </c>
      <c r="G41" s="833" t="s">
        <v>12657</v>
      </c>
      <c r="H41" s="138"/>
      <c r="J41" s="832" t="s">
        <v>12743</v>
      </c>
      <c r="K41" s="839">
        <v>1.4999999999999999E-2</v>
      </c>
      <c r="L41" s="261" t="s">
        <v>11371</v>
      </c>
      <c r="M41" s="261" t="s">
        <v>839</v>
      </c>
      <c r="N41" s="261" t="s">
        <v>122</v>
      </c>
      <c r="O41" s="279">
        <v>150000</v>
      </c>
      <c r="P41" s="833" t="s">
        <v>12662</v>
      </c>
      <c r="R41" s="832" t="s">
        <v>12402</v>
      </c>
      <c r="S41" s="261" t="s">
        <v>12654</v>
      </c>
      <c r="T41" s="261" t="s">
        <v>11790</v>
      </c>
      <c r="U41" s="261" t="s">
        <v>123</v>
      </c>
      <c r="V41" s="261" t="s">
        <v>1103</v>
      </c>
      <c r="W41" s="279">
        <v>100000</v>
      </c>
      <c r="X41" s="833" t="s">
        <v>12655</v>
      </c>
    </row>
    <row r="42" spans="1:24" x14ac:dyDescent="0.2">
      <c r="A42" s="832" t="s">
        <v>12744</v>
      </c>
      <c r="B42" s="261" t="s">
        <v>12609</v>
      </c>
      <c r="C42" s="261" t="s">
        <v>429</v>
      </c>
      <c r="D42" s="261" t="s">
        <v>122</v>
      </c>
      <c r="E42" s="261" t="s">
        <v>11101</v>
      </c>
      <c r="F42" s="279">
        <v>25000</v>
      </c>
      <c r="G42" s="833" t="s">
        <v>12670</v>
      </c>
      <c r="H42" s="138"/>
      <c r="J42" s="832" t="s">
        <v>12745</v>
      </c>
      <c r="K42" s="839">
        <v>1.4999999999999999E-2</v>
      </c>
      <c r="L42" s="261" t="s">
        <v>11593</v>
      </c>
      <c r="M42" s="261" t="s">
        <v>839</v>
      </c>
      <c r="N42" s="261" t="s">
        <v>122</v>
      </c>
      <c r="O42" s="279">
        <v>100000</v>
      </c>
      <c r="P42" s="833" t="s">
        <v>12665</v>
      </c>
      <c r="R42" s="832" t="s">
        <v>12404</v>
      </c>
      <c r="S42" s="261" t="s">
        <v>12648</v>
      </c>
      <c r="T42" s="261" t="s">
        <v>11593</v>
      </c>
      <c r="U42" s="261" t="s">
        <v>330</v>
      </c>
      <c r="V42" s="261" t="s">
        <v>1103</v>
      </c>
      <c r="W42" s="279">
        <v>100000</v>
      </c>
      <c r="X42" s="833" t="s">
        <v>12649</v>
      </c>
    </row>
    <row r="43" spans="1:24" x14ac:dyDescent="0.2">
      <c r="A43" s="832" t="s">
        <v>12746</v>
      </c>
      <c r="B43" s="261" t="s">
        <v>12611</v>
      </c>
      <c r="C43" s="261" t="s">
        <v>429</v>
      </c>
      <c r="D43" s="261" t="s">
        <v>122</v>
      </c>
      <c r="E43" s="261" t="s">
        <v>11101</v>
      </c>
      <c r="F43" s="279">
        <v>25000</v>
      </c>
      <c r="G43" s="833" t="s">
        <v>12673</v>
      </c>
      <c r="H43" s="138"/>
      <c r="J43" s="832" t="s">
        <v>12747</v>
      </c>
      <c r="K43" s="839">
        <v>1.4999999999999999E-2</v>
      </c>
      <c r="L43" s="261" t="s">
        <v>11790</v>
      </c>
      <c r="M43" s="261" t="s">
        <v>839</v>
      </c>
      <c r="N43" s="261" t="s">
        <v>122</v>
      </c>
      <c r="O43" s="279">
        <v>300000</v>
      </c>
      <c r="P43" s="833" t="s">
        <v>12668</v>
      </c>
      <c r="R43" s="832" t="s">
        <v>12405</v>
      </c>
      <c r="S43" s="261" t="s">
        <v>12654</v>
      </c>
      <c r="T43" s="261" t="s">
        <v>11593</v>
      </c>
      <c r="U43" s="261" t="s">
        <v>330</v>
      </c>
      <c r="V43" s="261" t="s">
        <v>1103</v>
      </c>
      <c r="W43" s="279">
        <v>100000</v>
      </c>
      <c r="X43" s="833" t="s">
        <v>12655</v>
      </c>
    </row>
    <row r="44" spans="1:24" x14ac:dyDescent="0.2">
      <c r="A44" s="832" t="s">
        <v>12748</v>
      </c>
      <c r="B44" s="261" t="s">
        <v>12613</v>
      </c>
      <c r="C44" s="261" t="s">
        <v>429</v>
      </c>
      <c r="D44" s="261" t="s">
        <v>122</v>
      </c>
      <c r="E44" s="261" t="s">
        <v>11101</v>
      </c>
      <c r="F44" s="279">
        <v>25000</v>
      </c>
      <c r="G44" s="833" t="s">
        <v>12676</v>
      </c>
      <c r="H44" s="138"/>
      <c r="J44" s="832" t="s">
        <v>12749</v>
      </c>
      <c r="K44" s="839">
        <v>5.0000000000000001E-3</v>
      </c>
      <c r="L44" s="261" t="s">
        <v>10911</v>
      </c>
      <c r="M44" s="261" t="s">
        <v>949</v>
      </c>
      <c r="N44" s="261" t="s">
        <v>122</v>
      </c>
      <c r="O44" s="279">
        <v>50000</v>
      </c>
      <c r="P44" s="833" t="s">
        <v>12647</v>
      </c>
      <c r="R44" s="832" t="s">
        <v>12406</v>
      </c>
      <c r="S44" s="261" t="s">
        <v>12648</v>
      </c>
      <c r="T44" s="261" t="s">
        <v>11790</v>
      </c>
      <c r="U44" s="261" t="s">
        <v>330</v>
      </c>
      <c r="V44" s="261" t="s">
        <v>1103</v>
      </c>
      <c r="W44" s="279">
        <v>100000</v>
      </c>
      <c r="X44" s="833" t="s">
        <v>12649</v>
      </c>
    </row>
    <row r="45" spans="1:24" x14ac:dyDescent="0.2">
      <c r="A45" s="832" t="s">
        <v>12750</v>
      </c>
      <c r="B45" s="261" t="s">
        <v>12615</v>
      </c>
      <c r="C45" s="261" t="s">
        <v>429</v>
      </c>
      <c r="D45" s="261" t="s">
        <v>122</v>
      </c>
      <c r="E45" s="261" t="s">
        <v>11101</v>
      </c>
      <c r="F45" s="279">
        <v>25000</v>
      </c>
      <c r="G45" s="833" t="s">
        <v>12670</v>
      </c>
      <c r="H45" s="138"/>
      <c r="J45" s="832" t="s">
        <v>12751</v>
      </c>
      <c r="K45" s="839">
        <v>5.0000000000000001E-3</v>
      </c>
      <c r="L45" s="261" t="s">
        <v>11101</v>
      </c>
      <c r="M45" s="261" t="s">
        <v>949</v>
      </c>
      <c r="N45" s="261" t="s">
        <v>122</v>
      </c>
      <c r="O45" s="279">
        <v>50000</v>
      </c>
      <c r="P45" s="833" t="s">
        <v>12653</v>
      </c>
      <c r="R45" s="832" t="s">
        <v>12407</v>
      </c>
      <c r="S45" s="261" t="s">
        <v>12654</v>
      </c>
      <c r="T45" s="261" t="s">
        <v>11790</v>
      </c>
      <c r="U45" s="261" t="s">
        <v>330</v>
      </c>
      <c r="V45" s="261" t="s">
        <v>1103</v>
      </c>
      <c r="W45" s="279">
        <v>100000</v>
      </c>
      <c r="X45" s="833" t="s">
        <v>12655</v>
      </c>
    </row>
    <row r="46" spans="1:24" x14ac:dyDescent="0.2">
      <c r="A46" s="832" t="s">
        <v>12752</v>
      </c>
      <c r="B46" s="261" t="s">
        <v>12617</v>
      </c>
      <c r="C46" s="261" t="s">
        <v>429</v>
      </c>
      <c r="D46" s="261" t="s">
        <v>122</v>
      </c>
      <c r="E46" s="261" t="s">
        <v>11101</v>
      </c>
      <c r="F46" s="279">
        <v>25000</v>
      </c>
      <c r="G46" s="833" t="s">
        <v>12681</v>
      </c>
      <c r="H46" s="138"/>
      <c r="J46" s="832" t="s">
        <v>12753</v>
      </c>
      <c r="K46" s="839">
        <v>5.0000000000000001E-3</v>
      </c>
      <c r="L46" s="261" t="s">
        <v>11229</v>
      </c>
      <c r="M46" s="261" t="s">
        <v>949</v>
      </c>
      <c r="N46" s="261" t="s">
        <v>122</v>
      </c>
      <c r="O46" s="279">
        <v>90000</v>
      </c>
      <c r="P46" s="833" t="s">
        <v>12659</v>
      </c>
      <c r="R46" s="832" t="s">
        <v>12408</v>
      </c>
      <c r="S46" s="261" t="s">
        <v>12648</v>
      </c>
      <c r="T46" s="261" t="s">
        <v>11593</v>
      </c>
      <c r="U46" s="261" t="s">
        <v>429</v>
      </c>
      <c r="V46" s="261" t="s">
        <v>1103</v>
      </c>
      <c r="W46" s="279">
        <v>100000</v>
      </c>
      <c r="X46" s="833" t="s">
        <v>12649</v>
      </c>
    </row>
    <row r="47" spans="1:24" x14ac:dyDescent="0.2">
      <c r="A47" s="832" t="s">
        <v>12754</v>
      </c>
      <c r="B47" s="261" t="s">
        <v>12619</v>
      </c>
      <c r="C47" s="261" t="s">
        <v>429</v>
      </c>
      <c r="D47" s="261" t="s">
        <v>122</v>
      </c>
      <c r="E47" s="261" t="s">
        <v>11101</v>
      </c>
      <c r="F47" s="279">
        <v>50000</v>
      </c>
      <c r="G47" s="833" t="s">
        <v>12684</v>
      </c>
      <c r="H47" s="138"/>
      <c r="J47" s="832" t="s">
        <v>12755</v>
      </c>
      <c r="K47" s="839">
        <v>1.4999999999999999E-2</v>
      </c>
      <c r="L47" s="261" t="s">
        <v>11371</v>
      </c>
      <c r="M47" s="261" t="s">
        <v>949</v>
      </c>
      <c r="N47" s="261" t="s">
        <v>122</v>
      </c>
      <c r="O47" s="279">
        <v>150000</v>
      </c>
      <c r="P47" s="833" t="s">
        <v>12662</v>
      </c>
      <c r="R47" s="832" t="s">
        <v>12409</v>
      </c>
      <c r="S47" s="261" t="s">
        <v>12654</v>
      </c>
      <c r="T47" s="261" t="s">
        <v>11593</v>
      </c>
      <c r="U47" s="261" t="s">
        <v>429</v>
      </c>
      <c r="V47" s="261" t="s">
        <v>1103</v>
      </c>
      <c r="W47" s="279">
        <v>100000</v>
      </c>
      <c r="X47" s="833" t="s">
        <v>12655</v>
      </c>
    </row>
    <row r="48" spans="1:24" x14ac:dyDescent="0.2">
      <c r="A48" s="832" t="s">
        <v>12756</v>
      </c>
      <c r="B48" s="261" t="s">
        <v>7211</v>
      </c>
      <c r="C48" s="261" t="s">
        <v>429</v>
      </c>
      <c r="D48" s="261" t="s">
        <v>122</v>
      </c>
      <c r="E48" s="261" t="s">
        <v>11101</v>
      </c>
      <c r="F48" s="279">
        <v>50000</v>
      </c>
      <c r="G48" s="833" t="s">
        <v>12673</v>
      </c>
      <c r="H48" s="138"/>
      <c r="J48" s="832" t="s">
        <v>12757</v>
      </c>
      <c r="K48" s="839">
        <v>1.4999999999999999E-2</v>
      </c>
      <c r="L48" s="261" t="s">
        <v>11593</v>
      </c>
      <c r="M48" s="261" t="s">
        <v>949</v>
      </c>
      <c r="N48" s="261" t="s">
        <v>122</v>
      </c>
      <c r="O48" s="279">
        <v>100000</v>
      </c>
      <c r="P48" s="833" t="s">
        <v>12665</v>
      </c>
      <c r="R48" s="832" t="s">
        <v>12410</v>
      </c>
      <c r="S48" s="261" t="s">
        <v>12648</v>
      </c>
      <c r="T48" s="261" t="s">
        <v>11790</v>
      </c>
      <c r="U48" s="261" t="s">
        <v>429</v>
      </c>
      <c r="V48" s="261" t="s">
        <v>1103</v>
      </c>
      <c r="W48" s="279">
        <v>100000</v>
      </c>
      <c r="X48" s="833" t="s">
        <v>12649</v>
      </c>
    </row>
    <row r="49" spans="1:24" x14ac:dyDescent="0.2">
      <c r="A49" s="832" t="s">
        <v>12758</v>
      </c>
      <c r="B49" s="261" t="s">
        <v>1591</v>
      </c>
      <c r="C49" s="261" t="s">
        <v>429</v>
      </c>
      <c r="D49" s="261" t="s">
        <v>122</v>
      </c>
      <c r="E49" s="261" t="s">
        <v>11101</v>
      </c>
      <c r="F49" s="279">
        <v>50000</v>
      </c>
      <c r="G49" s="833" t="s">
        <v>12676</v>
      </c>
      <c r="H49" s="138"/>
      <c r="J49" s="832" t="s">
        <v>12759</v>
      </c>
      <c r="K49" s="839">
        <v>1.4999999999999999E-2</v>
      </c>
      <c r="L49" s="261" t="s">
        <v>11790</v>
      </c>
      <c r="M49" s="261" t="s">
        <v>949</v>
      </c>
      <c r="N49" s="261" t="s">
        <v>122</v>
      </c>
      <c r="O49" s="279">
        <v>300000</v>
      </c>
      <c r="P49" s="833" t="s">
        <v>12668</v>
      </c>
      <c r="R49" s="832" t="s">
        <v>12411</v>
      </c>
      <c r="S49" s="261" t="s">
        <v>12654</v>
      </c>
      <c r="T49" s="261" t="s">
        <v>11790</v>
      </c>
      <c r="U49" s="261" t="s">
        <v>429</v>
      </c>
      <c r="V49" s="261" t="s">
        <v>1103</v>
      </c>
      <c r="W49" s="279">
        <v>100000</v>
      </c>
      <c r="X49" s="833" t="s">
        <v>12655</v>
      </c>
    </row>
    <row r="50" spans="1:24" x14ac:dyDescent="0.2">
      <c r="A50" s="832" t="s">
        <v>12760</v>
      </c>
      <c r="B50" s="261" t="s">
        <v>7912</v>
      </c>
      <c r="C50" s="261" t="s">
        <v>429</v>
      </c>
      <c r="D50" s="261" t="s">
        <v>122</v>
      </c>
      <c r="E50" s="261" t="s">
        <v>11101</v>
      </c>
      <c r="F50" s="279">
        <v>50000</v>
      </c>
      <c r="G50" s="833" t="s">
        <v>12681</v>
      </c>
      <c r="H50" s="138"/>
      <c r="J50" s="832" t="s">
        <v>12761</v>
      </c>
      <c r="K50" s="839">
        <v>5.0000000000000001E-3</v>
      </c>
      <c r="L50" s="261" t="s">
        <v>10911</v>
      </c>
      <c r="M50" s="261" t="s">
        <v>1054</v>
      </c>
      <c r="N50" s="261" t="s">
        <v>122</v>
      </c>
      <c r="O50" s="279">
        <v>50000</v>
      </c>
      <c r="P50" s="833" t="s">
        <v>12647</v>
      </c>
      <c r="R50" s="832" t="s">
        <v>12412</v>
      </c>
      <c r="S50" s="261" t="s">
        <v>12648</v>
      </c>
      <c r="T50" s="261" t="s">
        <v>11593</v>
      </c>
      <c r="U50" s="261" t="s">
        <v>543</v>
      </c>
      <c r="V50" s="261" t="s">
        <v>1103</v>
      </c>
      <c r="W50" s="279">
        <v>100000</v>
      </c>
      <c r="X50" s="833" t="s">
        <v>12649</v>
      </c>
    </row>
    <row r="51" spans="1:24" x14ac:dyDescent="0.2">
      <c r="A51" s="832" t="s">
        <v>12762</v>
      </c>
      <c r="B51" s="261" t="s">
        <v>12594</v>
      </c>
      <c r="C51" s="261" t="s">
        <v>429</v>
      </c>
      <c r="D51" s="261" t="s">
        <v>122</v>
      </c>
      <c r="E51" s="261" t="s">
        <v>11593</v>
      </c>
      <c r="F51" s="279">
        <v>200000</v>
      </c>
      <c r="G51" s="833" t="s">
        <v>12693</v>
      </c>
      <c r="H51" s="138"/>
      <c r="J51" s="832" t="s">
        <v>12763</v>
      </c>
      <c r="K51" s="839">
        <v>5.0000000000000001E-3</v>
      </c>
      <c r="L51" s="261" t="s">
        <v>11229</v>
      </c>
      <c r="M51" s="261" t="s">
        <v>1054</v>
      </c>
      <c r="N51" s="261" t="s">
        <v>122</v>
      </c>
      <c r="O51" s="279">
        <v>90000</v>
      </c>
      <c r="P51" s="833" t="s">
        <v>12659</v>
      </c>
      <c r="R51" s="832" t="s">
        <v>12414</v>
      </c>
      <c r="S51" s="261" t="s">
        <v>12654</v>
      </c>
      <c r="T51" s="261" t="s">
        <v>11593</v>
      </c>
      <c r="U51" s="261" t="s">
        <v>543</v>
      </c>
      <c r="V51" s="261" t="s">
        <v>1103</v>
      </c>
      <c r="W51" s="279">
        <v>100000</v>
      </c>
      <c r="X51" s="833" t="s">
        <v>12655</v>
      </c>
    </row>
    <row r="52" spans="1:24" x14ac:dyDescent="0.2">
      <c r="A52" s="832" t="s">
        <v>12764</v>
      </c>
      <c r="B52" s="261" t="s">
        <v>11792</v>
      </c>
      <c r="C52" s="261" t="s">
        <v>429</v>
      </c>
      <c r="D52" s="261" t="s">
        <v>122</v>
      </c>
      <c r="E52" s="261" t="s">
        <v>11790</v>
      </c>
      <c r="F52" s="279">
        <v>300000</v>
      </c>
      <c r="G52" s="833" t="s">
        <v>12668</v>
      </c>
      <c r="H52" s="138" t="s">
        <v>12696</v>
      </c>
      <c r="J52" s="832" t="s">
        <v>12765</v>
      </c>
      <c r="K52" s="839">
        <v>1.4999999999999999E-2</v>
      </c>
      <c r="L52" s="261" t="s">
        <v>11371</v>
      </c>
      <c r="M52" s="261" t="s">
        <v>1054</v>
      </c>
      <c r="N52" s="261" t="s">
        <v>122</v>
      </c>
      <c r="O52" s="279">
        <v>150000</v>
      </c>
      <c r="P52" s="833" t="s">
        <v>12662</v>
      </c>
      <c r="R52" s="832" t="s">
        <v>12415</v>
      </c>
      <c r="S52" s="261" t="s">
        <v>12648</v>
      </c>
      <c r="T52" s="261" t="s">
        <v>11790</v>
      </c>
      <c r="U52" s="261" t="s">
        <v>543</v>
      </c>
      <c r="V52" s="261" t="s">
        <v>1103</v>
      </c>
      <c r="W52" s="279">
        <v>100000</v>
      </c>
      <c r="X52" s="833" t="s">
        <v>12649</v>
      </c>
    </row>
    <row r="53" spans="1:24" x14ac:dyDescent="0.2">
      <c r="A53" s="832" t="s">
        <v>12766</v>
      </c>
      <c r="B53" s="261" t="s">
        <v>12597</v>
      </c>
      <c r="C53" s="261" t="s">
        <v>543</v>
      </c>
      <c r="D53" s="261" t="s">
        <v>122</v>
      </c>
      <c r="E53" s="261" t="s">
        <v>11101</v>
      </c>
      <c r="F53" s="279">
        <v>10000</v>
      </c>
      <c r="G53" s="833" t="s">
        <v>12645</v>
      </c>
      <c r="H53" s="138"/>
      <c r="J53" s="832" t="s">
        <v>12767</v>
      </c>
      <c r="K53" s="839">
        <v>1.4999999999999999E-2</v>
      </c>
      <c r="L53" s="261" t="s">
        <v>11593</v>
      </c>
      <c r="M53" s="261" t="s">
        <v>1054</v>
      </c>
      <c r="N53" s="261" t="s">
        <v>122</v>
      </c>
      <c r="O53" s="279">
        <v>100000</v>
      </c>
      <c r="P53" s="833" t="s">
        <v>12665</v>
      </c>
      <c r="R53" s="832" t="s">
        <v>12416</v>
      </c>
      <c r="S53" s="261" t="s">
        <v>12654</v>
      </c>
      <c r="T53" s="261" t="s">
        <v>11790</v>
      </c>
      <c r="U53" s="261" t="s">
        <v>543</v>
      </c>
      <c r="V53" s="261" t="s">
        <v>1103</v>
      </c>
      <c r="W53" s="279">
        <v>100000</v>
      </c>
      <c r="X53" s="833" t="s">
        <v>12655</v>
      </c>
    </row>
    <row r="54" spans="1:24" x14ac:dyDescent="0.2">
      <c r="A54" s="832" t="s">
        <v>12768</v>
      </c>
      <c r="B54" s="261" t="s">
        <v>12599</v>
      </c>
      <c r="C54" s="261" t="s">
        <v>543</v>
      </c>
      <c r="D54" s="261" t="s">
        <v>122</v>
      </c>
      <c r="E54" s="261" t="s">
        <v>11101</v>
      </c>
      <c r="F54" s="279">
        <v>10000</v>
      </c>
      <c r="G54" s="833" t="s">
        <v>12651</v>
      </c>
      <c r="H54" s="138"/>
      <c r="J54" s="832" t="s">
        <v>12769</v>
      </c>
      <c r="K54" s="839">
        <v>1.4999999999999999E-2</v>
      </c>
      <c r="L54" s="261" t="s">
        <v>11790</v>
      </c>
      <c r="M54" s="261" t="s">
        <v>1054</v>
      </c>
      <c r="N54" s="261" t="s">
        <v>122</v>
      </c>
      <c r="O54" s="279">
        <v>300000</v>
      </c>
      <c r="P54" s="833" t="s">
        <v>12668</v>
      </c>
      <c r="R54" s="832" t="s">
        <v>12417</v>
      </c>
      <c r="S54" s="261" t="s">
        <v>12648</v>
      </c>
      <c r="T54" s="261" t="s">
        <v>11593</v>
      </c>
      <c r="U54" s="261" t="s">
        <v>645</v>
      </c>
      <c r="V54" s="261" t="s">
        <v>1103</v>
      </c>
      <c r="W54" s="279">
        <v>100000</v>
      </c>
      <c r="X54" s="833" t="s">
        <v>12649</v>
      </c>
    </row>
    <row r="55" spans="1:24" x14ac:dyDescent="0.2">
      <c r="A55" s="832" t="s">
        <v>12770</v>
      </c>
      <c r="B55" s="261" t="s">
        <v>12601</v>
      </c>
      <c r="C55" s="261" t="s">
        <v>543</v>
      </c>
      <c r="D55" s="261" t="s">
        <v>122</v>
      </c>
      <c r="E55" s="261" t="s">
        <v>11101</v>
      </c>
      <c r="F55" s="279">
        <v>10000</v>
      </c>
      <c r="G55" s="833" t="s">
        <v>12657</v>
      </c>
      <c r="H55" s="138"/>
      <c r="J55" s="832" t="s">
        <v>12771</v>
      </c>
      <c r="K55" s="839">
        <v>5.0000000000000001E-3</v>
      </c>
      <c r="L55" s="261" t="s">
        <v>10911</v>
      </c>
      <c r="M55" s="261" t="s">
        <v>123</v>
      </c>
      <c r="N55" s="261" t="s">
        <v>1103</v>
      </c>
      <c r="O55" s="279">
        <v>50000</v>
      </c>
      <c r="P55" s="833" t="s">
        <v>12647</v>
      </c>
      <c r="R55" s="832" t="s">
        <v>12418</v>
      </c>
      <c r="S55" s="261" t="s">
        <v>12654</v>
      </c>
      <c r="T55" s="261" t="s">
        <v>11593</v>
      </c>
      <c r="U55" s="261" t="s">
        <v>645</v>
      </c>
      <c r="V55" s="261" t="s">
        <v>1103</v>
      </c>
      <c r="W55" s="279">
        <v>100000</v>
      </c>
      <c r="X55" s="833" t="s">
        <v>12655</v>
      </c>
    </row>
    <row r="56" spans="1:24" x14ac:dyDescent="0.2">
      <c r="A56" s="832" t="s">
        <v>12772</v>
      </c>
      <c r="B56" s="261" t="s">
        <v>12603</v>
      </c>
      <c r="C56" s="261" t="s">
        <v>543</v>
      </c>
      <c r="D56" s="261" t="s">
        <v>122</v>
      </c>
      <c r="E56" s="261" t="s">
        <v>11101</v>
      </c>
      <c r="F56" s="279">
        <v>10000</v>
      </c>
      <c r="G56" s="833" t="s">
        <v>12645</v>
      </c>
      <c r="H56" s="138"/>
      <c r="J56" s="832" t="s">
        <v>12773</v>
      </c>
      <c r="K56" s="839">
        <v>5.0000000000000001E-3</v>
      </c>
      <c r="L56" s="261" t="s">
        <v>11101</v>
      </c>
      <c r="M56" s="261" t="s">
        <v>123</v>
      </c>
      <c r="N56" s="261" t="s">
        <v>1103</v>
      </c>
      <c r="O56" s="279">
        <v>50000</v>
      </c>
      <c r="P56" s="833" t="s">
        <v>12653</v>
      </c>
      <c r="R56" s="832" t="s">
        <v>12419</v>
      </c>
      <c r="S56" s="261" t="s">
        <v>12648</v>
      </c>
      <c r="T56" s="261" t="s">
        <v>11790</v>
      </c>
      <c r="U56" s="261" t="s">
        <v>645</v>
      </c>
      <c r="V56" s="261" t="s">
        <v>1103</v>
      </c>
      <c r="W56" s="279">
        <v>100000</v>
      </c>
      <c r="X56" s="833" t="s">
        <v>12649</v>
      </c>
    </row>
    <row r="57" spans="1:24" x14ac:dyDescent="0.2">
      <c r="A57" s="832" t="s">
        <v>12774</v>
      </c>
      <c r="B57" s="261" t="s">
        <v>12605</v>
      </c>
      <c r="C57" s="261" t="s">
        <v>543</v>
      </c>
      <c r="D57" s="261" t="s">
        <v>122</v>
      </c>
      <c r="E57" s="261" t="s">
        <v>11101</v>
      </c>
      <c r="F57" s="279">
        <v>10000</v>
      </c>
      <c r="G57" s="833" t="s">
        <v>12651</v>
      </c>
      <c r="H57" s="138"/>
      <c r="J57" s="832" t="s">
        <v>12775</v>
      </c>
      <c r="K57" s="839">
        <v>5.0000000000000001E-3</v>
      </c>
      <c r="L57" s="261" t="s">
        <v>11229</v>
      </c>
      <c r="M57" s="261" t="s">
        <v>123</v>
      </c>
      <c r="N57" s="261" t="s">
        <v>1103</v>
      </c>
      <c r="O57" s="279">
        <v>90000</v>
      </c>
      <c r="P57" s="833" t="s">
        <v>12659</v>
      </c>
      <c r="R57" s="832" t="s">
        <v>12420</v>
      </c>
      <c r="S57" s="261" t="s">
        <v>12654</v>
      </c>
      <c r="T57" s="261" t="s">
        <v>11790</v>
      </c>
      <c r="U57" s="261" t="s">
        <v>645</v>
      </c>
      <c r="V57" s="261" t="s">
        <v>1103</v>
      </c>
      <c r="W57" s="279">
        <v>100000</v>
      </c>
      <c r="X57" s="833" t="s">
        <v>12655</v>
      </c>
    </row>
    <row r="58" spans="1:24" x14ac:dyDescent="0.2">
      <c r="A58" s="832" t="s">
        <v>12776</v>
      </c>
      <c r="B58" s="261" t="s">
        <v>12607</v>
      </c>
      <c r="C58" s="261" t="s">
        <v>543</v>
      </c>
      <c r="D58" s="261" t="s">
        <v>122</v>
      </c>
      <c r="E58" s="261" t="s">
        <v>11101</v>
      </c>
      <c r="F58" s="279">
        <v>10000</v>
      </c>
      <c r="G58" s="833" t="s">
        <v>12657</v>
      </c>
      <c r="H58" s="138"/>
      <c r="J58" s="832" t="s">
        <v>12777</v>
      </c>
      <c r="K58" s="839">
        <v>1.4999999999999999E-2</v>
      </c>
      <c r="L58" s="261" t="s">
        <v>11371</v>
      </c>
      <c r="M58" s="261" t="s">
        <v>123</v>
      </c>
      <c r="N58" s="261" t="s">
        <v>1103</v>
      </c>
      <c r="O58" s="279">
        <v>150000</v>
      </c>
      <c r="P58" s="833" t="s">
        <v>12662</v>
      </c>
      <c r="R58" s="832" t="s">
        <v>12421</v>
      </c>
      <c r="S58" s="261" t="s">
        <v>12648</v>
      </c>
      <c r="T58" s="261" t="s">
        <v>11593</v>
      </c>
      <c r="U58" s="261" t="s">
        <v>759</v>
      </c>
      <c r="V58" s="261" t="s">
        <v>1103</v>
      </c>
      <c r="W58" s="279">
        <v>100000</v>
      </c>
      <c r="X58" s="833" t="s">
        <v>12649</v>
      </c>
    </row>
    <row r="59" spans="1:24" x14ac:dyDescent="0.2">
      <c r="A59" s="832" t="s">
        <v>12778</v>
      </c>
      <c r="B59" s="261" t="s">
        <v>12609</v>
      </c>
      <c r="C59" s="261" t="s">
        <v>543</v>
      </c>
      <c r="D59" s="261" t="s">
        <v>122</v>
      </c>
      <c r="E59" s="261" t="s">
        <v>11101</v>
      </c>
      <c r="F59" s="279">
        <v>25000</v>
      </c>
      <c r="G59" s="833" t="s">
        <v>12670</v>
      </c>
      <c r="H59" s="138"/>
      <c r="J59" s="832" t="s">
        <v>12779</v>
      </c>
      <c r="K59" s="839">
        <v>1.4999999999999999E-2</v>
      </c>
      <c r="L59" s="261" t="s">
        <v>11593</v>
      </c>
      <c r="M59" s="261" t="s">
        <v>123</v>
      </c>
      <c r="N59" s="261" t="s">
        <v>1103</v>
      </c>
      <c r="O59" s="279">
        <v>100000</v>
      </c>
      <c r="P59" s="833" t="s">
        <v>12665</v>
      </c>
      <c r="R59" s="832" t="s">
        <v>12422</v>
      </c>
      <c r="S59" s="261" t="s">
        <v>12654</v>
      </c>
      <c r="T59" s="261" t="s">
        <v>11593</v>
      </c>
      <c r="U59" s="261" t="s">
        <v>759</v>
      </c>
      <c r="V59" s="261" t="s">
        <v>1103</v>
      </c>
      <c r="W59" s="279">
        <v>100000</v>
      </c>
      <c r="X59" s="833" t="s">
        <v>12655</v>
      </c>
    </row>
    <row r="60" spans="1:24" x14ac:dyDescent="0.2">
      <c r="A60" s="832" t="s">
        <v>12780</v>
      </c>
      <c r="B60" s="261" t="s">
        <v>12611</v>
      </c>
      <c r="C60" s="261" t="s">
        <v>543</v>
      </c>
      <c r="D60" s="261" t="s">
        <v>122</v>
      </c>
      <c r="E60" s="261" t="s">
        <v>11101</v>
      </c>
      <c r="F60" s="279">
        <v>25000</v>
      </c>
      <c r="G60" s="833" t="s">
        <v>12673</v>
      </c>
      <c r="H60" s="138"/>
      <c r="J60" s="832" t="s">
        <v>12781</v>
      </c>
      <c r="K60" s="839">
        <v>1.4999999999999999E-2</v>
      </c>
      <c r="L60" s="261" t="s">
        <v>11790</v>
      </c>
      <c r="M60" s="261" t="s">
        <v>123</v>
      </c>
      <c r="N60" s="261" t="s">
        <v>1103</v>
      </c>
      <c r="O60" s="279">
        <v>300000</v>
      </c>
      <c r="P60" s="833" t="s">
        <v>12668</v>
      </c>
      <c r="R60" s="832" t="s">
        <v>12423</v>
      </c>
      <c r="S60" s="261" t="s">
        <v>12648</v>
      </c>
      <c r="T60" s="261" t="s">
        <v>11790</v>
      </c>
      <c r="U60" s="261" t="s">
        <v>759</v>
      </c>
      <c r="V60" s="261" t="s">
        <v>1103</v>
      </c>
      <c r="W60" s="279">
        <v>100000</v>
      </c>
      <c r="X60" s="833" t="s">
        <v>12649</v>
      </c>
    </row>
    <row r="61" spans="1:24" x14ac:dyDescent="0.2">
      <c r="A61" s="832" t="s">
        <v>12782</v>
      </c>
      <c r="B61" s="261" t="s">
        <v>12613</v>
      </c>
      <c r="C61" s="261" t="s">
        <v>543</v>
      </c>
      <c r="D61" s="261" t="s">
        <v>122</v>
      </c>
      <c r="E61" s="261" t="s">
        <v>11101</v>
      </c>
      <c r="F61" s="279">
        <v>25000</v>
      </c>
      <c r="G61" s="833" t="s">
        <v>12676</v>
      </c>
      <c r="H61" s="138"/>
      <c r="J61" s="832" t="s">
        <v>12783</v>
      </c>
      <c r="K61" s="839">
        <v>5.0000000000000001E-3</v>
      </c>
      <c r="L61" s="261" t="s">
        <v>10911</v>
      </c>
      <c r="M61" s="261" t="s">
        <v>330</v>
      </c>
      <c r="N61" s="261" t="s">
        <v>1103</v>
      </c>
      <c r="O61" s="279">
        <v>50000</v>
      </c>
      <c r="P61" s="833" t="s">
        <v>12647</v>
      </c>
      <c r="R61" s="832" t="s">
        <v>12424</v>
      </c>
      <c r="S61" s="261" t="s">
        <v>12654</v>
      </c>
      <c r="T61" s="261" t="s">
        <v>11790</v>
      </c>
      <c r="U61" s="261" t="s">
        <v>759</v>
      </c>
      <c r="V61" s="261" t="s">
        <v>1103</v>
      </c>
      <c r="W61" s="279">
        <v>100000</v>
      </c>
      <c r="X61" s="833" t="s">
        <v>12655</v>
      </c>
    </row>
    <row r="62" spans="1:24" x14ac:dyDescent="0.2">
      <c r="A62" s="832" t="s">
        <v>12784</v>
      </c>
      <c r="B62" s="261" t="s">
        <v>12615</v>
      </c>
      <c r="C62" s="261" t="s">
        <v>543</v>
      </c>
      <c r="D62" s="261" t="s">
        <v>122</v>
      </c>
      <c r="E62" s="261" t="s">
        <v>11101</v>
      </c>
      <c r="F62" s="279">
        <v>25000</v>
      </c>
      <c r="G62" s="833" t="s">
        <v>12670</v>
      </c>
      <c r="H62" s="138"/>
      <c r="J62" s="832" t="s">
        <v>12785</v>
      </c>
      <c r="K62" s="839">
        <v>5.0000000000000001E-3</v>
      </c>
      <c r="L62" s="261" t="s">
        <v>11101</v>
      </c>
      <c r="M62" s="261" t="s">
        <v>330</v>
      </c>
      <c r="N62" s="261" t="s">
        <v>1103</v>
      </c>
      <c r="O62" s="279">
        <v>50000</v>
      </c>
      <c r="P62" s="833" t="s">
        <v>12653</v>
      </c>
      <c r="R62" s="832" t="s">
        <v>12425</v>
      </c>
      <c r="S62" s="261" t="s">
        <v>12648</v>
      </c>
      <c r="T62" s="261" t="s">
        <v>11593</v>
      </c>
      <c r="U62" s="261" t="s">
        <v>839</v>
      </c>
      <c r="V62" s="261" t="s">
        <v>1103</v>
      </c>
      <c r="W62" s="279">
        <v>100000</v>
      </c>
      <c r="X62" s="833" t="s">
        <v>12649</v>
      </c>
    </row>
    <row r="63" spans="1:24" x14ac:dyDescent="0.2">
      <c r="A63" s="832" t="s">
        <v>12786</v>
      </c>
      <c r="B63" s="261" t="s">
        <v>12617</v>
      </c>
      <c r="C63" s="261" t="s">
        <v>543</v>
      </c>
      <c r="D63" s="261" t="s">
        <v>122</v>
      </c>
      <c r="E63" s="261" t="s">
        <v>11101</v>
      </c>
      <c r="F63" s="279">
        <v>25000</v>
      </c>
      <c r="G63" s="833" t="s">
        <v>12681</v>
      </c>
      <c r="H63" s="138"/>
      <c r="J63" s="832" t="s">
        <v>12787</v>
      </c>
      <c r="K63" s="839">
        <v>5.0000000000000001E-3</v>
      </c>
      <c r="L63" s="261" t="s">
        <v>11229</v>
      </c>
      <c r="M63" s="261" t="s">
        <v>330</v>
      </c>
      <c r="N63" s="261" t="s">
        <v>1103</v>
      </c>
      <c r="O63" s="279">
        <v>90000</v>
      </c>
      <c r="P63" s="833" t="s">
        <v>12659</v>
      </c>
      <c r="R63" s="832" t="s">
        <v>12426</v>
      </c>
      <c r="S63" s="261" t="s">
        <v>12654</v>
      </c>
      <c r="T63" s="261" t="s">
        <v>11593</v>
      </c>
      <c r="U63" s="261" t="s">
        <v>839</v>
      </c>
      <c r="V63" s="261" t="s">
        <v>1103</v>
      </c>
      <c r="W63" s="279">
        <v>100000</v>
      </c>
      <c r="X63" s="833" t="s">
        <v>12655</v>
      </c>
    </row>
    <row r="64" spans="1:24" x14ac:dyDescent="0.2">
      <c r="A64" s="832" t="s">
        <v>12788</v>
      </c>
      <c r="B64" s="261" t="s">
        <v>12619</v>
      </c>
      <c r="C64" s="261" t="s">
        <v>543</v>
      </c>
      <c r="D64" s="261" t="s">
        <v>122</v>
      </c>
      <c r="E64" s="261" t="s">
        <v>11101</v>
      </c>
      <c r="F64" s="279">
        <v>50000</v>
      </c>
      <c r="G64" s="833" t="s">
        <v>12684</v>
      </c>
      <c r="H64" s="138"/>
      <c r="J64" s="832" t="s">
        <v>12789</v>
      </c>
      <c r="K64" s="839">
        <v>1.4999999999999999E-2</v>
      </c>
      <c r="L64" s="261" t="s">
        <v>11371</v>
      </c>
      <c r="M64" s="261" t="s">
        <v>330</v>
      </c>
      <c r="N64" s="261" t="s">
        <v>1103</v>
      </c>
      <c r="O64" s="279">
        <v>150000</v>
      </c>
      <c r="P64" s="833" t="s">
        <v>12662</v>
      </c>
      <c r="R64" s="832" t="s">
        <v>12427</v>
      </c>
      <c r="S64" s="261" t="s">
        <v>12648</v>
      </c>
      <c r="T64" s="261" t="s">
        <v>11790</v>
      </c>
      <c r="U64" s="261" t="s">
        <v>839</v>
      </c>
      <c r="V64" s="261" t="s">
        <v>1103</v>
      </c>
      <c r="W64" s="279">
        <v>100000</v>
      </c>
      <c r="X64" s="833" t="s">
        <v>12649</v>
      </c>
    </row>
    <row r="65" spans="1:24" x14ac:dyDescent="0.2">
      <c r="A65" s="832" t="s">
        <v>12790</v>
      </c>
      <c r="B65" s="261" t="s">
        <v>7211</v>
      </c>
      <c r="C65" s="261" t="s">
        <v>543</v>
      </c>
      <c r="D65" s="261" t="s">
        <v>122</v>
      </c>
      <c r="E65" s="261" t="s">
        <v>11101</v>
      </c>
      <c r="F65" s="279">
        <v>50000</v>
      </c>
      <c r="G65" s="833" t="s">
        <v>12673</v>
      </c>
      <c r="H65" s="138"/>
      <c r="J65" s="832" t="s">
        <v>12791</v>
      </c>
      <c r="K65" s="839">
        <v>1.4999999999999999E-2</v>
      </c>
      <c r="L65" s="261" t="s">
        <v>11593</v>
      </c>
      <c r="M65" s="261" t="s">
        <v>330</v>
      </c>
      <c r="N65" s="261" t="s">
        <v>1103</v>
      </c>
      <c r="O65" s="279">
        <v>100000</v>
      </c>
      <c r="P65" s="833" t="s">
        <v>12665</v>
      </c>
      <c r="R65" s="832" t="s">
        <v>12428</v>
      </c>
      <c r="S65" s="261" t="s">
        <v>12654</v>
      </c>
      <c r="T65" s="261" t="s">
        <v>11790</v>
      </c>
      <c r="U65" s="261" t="s">
        <v>839</v>
      </c>
      <c r="V65" s="261" t="s">
        <v>1103</v>
      </c>
      <c r="W65" s="279">
        <v>100000</v>
      </c>
      <c r="X65" s="833" t="s">
        <v>12655</v>
      </c>
    </row>
    <row r="66" spans="1:24" x14ac:dyDescent="0.2">
      <c r="A66" s="832" t="s">
        <v>12792</v>
      </c>
      <c r="B66" s="261" t="s">
        <v>1591</v>
      </c>
      <c r="C66" s="261" t="s">
        <v>543</v>
      </c>
      <c r="D66" s="261" t="s">
        <v>122</v>
      </c>
      <c r="E66" s="261" t="s">
        <v>11101</v>
      </c>
      <c r="F66" s="279">
        <v>50000</v>
      </c>
      <c r="G66" s="833" t="s">
        <v>12676</v>
      </c>
      <c r="H66" s="138"/>
      <c r="J66" s="832" t="s">
        <v>12793</v>
      </c>
      <c r="K66" s="839">
        <v>1.4999999999999999E-2</v>
      </c>
      <c r="L66" s="261" t="s">
        <v>11790</v>
      </c>
      <c r="M66" s="261" t="s">
        <v>330</v>
      </c>
      <c r="N66" s="261" t="s">
        <v>1103</v>
      </c>
      <c r="O66" s="279">
        <v>300000</v>
      </c>
      <c r="P66" s="833" t="s">
        <v>12668</v>
      </c>
      <c r="R66" s="832" t="s">
        <v>12429</v>
      </c>
      <c r="S66" s="261" t="s">
        <v>12648</v>
      </c>
      <c r="T66" s="261" t="s">
        <v>11593</v>
      </c>
      <c r="U66" s="261" t="s">
        <v>949</v>
      </c>
      <c r="V66" s="261" t="s">
        <v>1103</v>
      </c>
      <c r="W66" s="279">
        <v>100000</v>
      </c>
      <c r="X66" s="833" t="s">
        <v>12649</v>
      </c>
    </row>
    <row r="67" spans="1:24" x14ac:dyDescent="0.2">
      <c r="A67" s="832" t="s">
        <v>12794</v>
      </c>
      <c r="B67" s="261" t="s">
        <v>7912</v>
      </c>
      <c r="C67" s="261" t="s">
        <v>543</v>
      </c>
      <c r="D67" s="261" t="s">
        <v>122</v>
      </c>
      <c r="E67" s="261" t="s">
        <v>11101</v>
      </c>
      <c r="F67" s="279">
        <v>50000</v>
      </c>
      <c r="G67" s="833" t="s">
        <v>12681</v>
      </c>
      <c r="H67" s="138"/>
      <c r="J67" s="832" t="s">
        <v>12795</v>
      </c>
      <c r="K67" s="839">
        <v>5.0000000000000001E-3</v>
      </c>
      <c r="L67" s="261" t="s">
        <v>10911</v>
      </c>
      <c r="M67" s="261" t="s">
        <v>429</v>
      </c>
      <c r="N67" s="261" t="s">
        <v>1103</v>
      </c>
      <c r="O67" s="279">
        <v>50000</v>
      </c>
      <c r="P67" s="833" t="s">
        <v>12647</v>
      </c>
      <c r="R67" s="832" t="s">
        <v>12430</v>
      </c>
      <c r="S67" s="261" t="s">
        <v>12654</v>
      </c>
      <c r="T67" s="261" t="s">
        <v>11593</v>
      </c>
      <c r="U67" s="261" t="s">
        <v>949</v>
      </c>
      <c r="V67" s="261" t="s">
        <v>1103</v>
      </c>
      <c r="W67" s="279">
        <v>100000</v>
      </c>
      <c r="X67" s="833" t="s">
        <v>12655</v>
      </c>
    </row>
    <row r="68" spans="1:24" x14ac:dyDescent="0.2">
      <c r="A68" s="832" t="s">
        <v>12796</v>
      </c>
      <c r="B68" s="261" t="s">
        <v>12594</v>
      </c>
      <c r="C68" s="261" t="s">
        <v>543</v>
      </c>
      <c r="D68" s="261" t="s">
        <v>122</v>
      </c>
      <c r="E68" s="261" t="s">
        <v>11593</v>
      </c>
      <c r="F68" s="279">
        <v>200000</v>
      </c>
      <c r="G68" s="833" t="s">
        <v>12693</v>
      </c>
      <c r="H68" s="138"/>
      <c r="J68" s="832" t="s">
        <v>12797</v>
      </c>
      <c r="K68" s="839">
        <v>5.0000000000000001E-3</v>
      </c>
      <c r="L68" s="261" t="s">
        <v>11101</v>
      </c>
      <c r="M68" s="261" t="s">
        <v>429</v>
      </c>
      <c r="N68" s="261" t="s">
        <v>1103</v>
      </c>
      <c r="O68" s="279">
        <v>50000</v>
      </c>
      <c r="P68" s="833" t="s">
        <v>12653</v>
      </c>
      <c r="R68" s="832" t="s">
        <v>12431</v>
      </c>
      <c r="S68" s="261" t="s">
        <v>12648</v>
      </c>
      <c r="T68" s="261" t="s">
        <v>11790</v>
      </c>
      <c r="U68" s="261" t="s">
        <v>949</v>
      </c>
      <c r="V68" s="261" t="s">
        <v>1103</v>
      </c>
      <c r="W68" s="279">
        <v>100000</v>
      </c>
      <c r="X68" s="833" t="s">
        <v>12649</v>
      </c>
    </row>
    <row r="69" spans="1:24" x14ac:dyDescent="0.2">
      <c r="A69" s="832" t="s">
        <v>12798</v>
      </c>
      <c r="B69" s="261" t="s">
        <v>11792</v>
      </c>
      <c r="C69" s="261" t="s">
        <v>543</v>
      </c>
      <c r="D69" s="261" t="s">
        <v>122</v>
      </c>
      <c r="E69" s="261" t="s">
        <v>11790</v>
      </c>
      <c r="F69" s="279">
        <v>300000</v>
      </c>
      <c r="G69" s="833" t="s">
        <v>12668</v>
      </c>
      <c r="H69" s="138" t="s">
        <v>12696</v>
      </c>
      <c r="J69" s="832" t="s">
        <v>12799</v>
      </c>
      <c r="K69" s="839">
        <v>5.0000000000000001E-3</v>
      </c>
      <c r="L69" s="261" t="s">
        <v>11229</v>
      </c>
      <c r="M69" s="261" t="s">
        <v>429</v>
      </c>
      <c r="N69" s="261" t="s">
        <v>1103</v>
      </c>
      <c r="O69" s="279">
        <v>90000</v>
      </c>
      <c r="P69" s="833" t="s">
        <v>12659</v>
      </c>
      <c r="R69" s="832" t="s">
        <v>12432</v>
      </c>
      <c r="S69" s="261" t="s">
        <v>12654</v>
      </c>
      <c r="T69" s="261" t="s">
        <v>11790</v>
      </c>
      <c r="U69" s="261" t="s">
        <v>949</v>
      </c>
      <c r="V69" s="261" t="s">
        <v>1103</v>
      </c>
      <c r="W69" s="279">
        <v>100000</v>
      </c>
      <c r="X69" s="833" t="s">
        <v>12655</v>
      </c>
    </row>
    <row r="70" spans="1:24" x14ac:dyDescent="0.2">
      <c r="A70" s="832" t="s">
        <v>12800</v>
      </c>
      <c r="B70" s="261" t="s">
        <v>12597</v>
      </c>
      <c r="C70" s="261" t="s">
        <v>645</v>
      </c>
      <c r="D70" s="261" t="s">
        <v>122</v>
      </c>
      <c r="E70" s="261" t="s">
        <v>11101</v>
      </c>
      <c r="F70" s="279">
        <v>10000</v>
      </c>
      <c r="G70" s="833" t="s">
        <v>12645</v>
      </c>
      <c r="H70" s="138"/>
      <c r="J70" s="832" t="s">
        <v>12801</v>
      </c>
      <c r="K70" s="839">
        <v>1.4999999999999999E-2</v>
      </c>
      <c r="L70" s="261" t="s">
        <v>11371</v>
      </c>
      <c r="M70" s="261" t="s">
        <v>429</v>
      </c>
      <c r="N70" s="261" t="s">
        <v>1103</v>
      </c>
      <c r="O70" s="279">
        <v>150000</v>
      </c>
      <c r="P70" s="833" t="s">
        <v>12662</v>
      </c>
      <c r="R70" s="832" t="s">
        <v>12433</v>
      </c>
      <c r="S70" s="261" t="s">
        <v>12648</v>
      </c>
      <c r="T70" s="261" t="s">
        <v>11593</v>
      </c>
      <c r="U70" s="261" t="s">
        <v>1054</v>
      </c>
      <c r="V70" s="261" t="s">
        <v>1103</v>
      </c>
      <c r="W70" s="279">
        <v>100000</v>
      </c>
      <c r="X70" s="833" t="s">
        <v>12649</v>
      </c>
    </row>
    <row r="71" spans="1:24" x14ac:dyDescent="0.2">
      <c r="A71" s="832" t="s">
        <v>12802</v>
      </c>
      <c r="B71" s="261" t="s">
        <v>12599</v>
      </c>
      <c r="C71" s="261" t="s">
        <v>645</v>
      </c>
      <c r="D71" s="261" t="s">
        <v>122</v>
      </c>
      <c r="E71" s="261" t="s">
        <v>11101</v>
      </c>
      <c r="F71" s="279">
        <v>10000</v>
      </c>
      <c r="G71" s="833" t="s">
        <v>12651</v>
      </c>
      <c r="H71" s="138"/>
      <c r="J71" s="832" t="s">
        <v>12803</v>
      </c>
      <c r="K71" s="839">
        <v>1.4999999999999999E-2</v>
      </c>
      <c r="L71" s="261" t="s">
        <v>11593</v>
      </c>
      <c r="M71" s="261" t="s">
        <v>429</v>
      </c>
      <c r="N71" s="261" t="s">
        <v>1103</v>
      </c>
      <c r="O71" s="279">
        <v>100000</v>
      </c>
      <c r="P71" s="833" t="s">
        <v>12665</v>
      </c>
      <c r="R71" s="832" t="s">
        <v>12434</v>
      </c>
      <c r="S71" s="261" t="s">
        <v>12654</v>
      </c>
      <c r="T71" s="261" t="s">
        <v>11593</v>
      </c>
      <c r="U71" s="261" t="s">
        <v>1054</v>
      </c>
      <c r="V71" s="261" t="s">
        <v>1103</v>
      </c>
      <c r="W71" s="279">
        <v>100000</v>
      </c>
      <c r="X71" s="833" t="s">
        <v>12655</v>
      </c>
    </row>
    <row r="72" spans="1:24" x14ac:dyDescent="0.2">
      <c r="A72" s="832" t="s">
        <v>12804</v>
      </c>
      <c r="B72" s="261" t="s">
        <v>12601</v>
      </c>
      <c r="C72" s="261" t="s">
        <v>645</v>
      </c>
      <c r="D72" s="261" t="s">
        <v>122</v>
      </c>
      <c r="E72" s="261" t="s">
        <v>11101</v>
      </c>
      <c r="F72" s="279">
        <v>10000</v>
      </c>
      <c r="G72" s="833" t="s">
        <v>12657</v>
      </c>
      <c r="H72" s="138"/>
      <c r="J72" s="832" t="s">
        <v>12805</v>
      </c>
      <c r="K72" s="839">
        <v>1.4999999999999999E-2</v>
      </c>
      <c r="L72" s="261" t="s">
        <v>11790</v>
      </c>
      <c r="M72" s="261" t="s">
        <v>429</v>
      </c>
      <c r="N72" s="261" t="s">
        <v>1103</v>
      </c>
      <c r="O72" s="279">
        <v>300000</v>
      </c>
      <c r="P72" s="833" t="s">
        <v>12668</v>
      </c>
      <c r="R72" s="832" t="s">
        <v>12435</v>
      </c>
      <c r="S72" s="261" t="s">
        <v>12648</v>
      </c>
      <c r="T72" s="261" t="s">
        <v>11790</v>
      </c>
      <c r="U72" s="261" t="s">
        <v>1054</v>
      </c>
      <c r="V72" s="261" t="s">
        <v>1103</v>
      </c>
      <c r="W72" s="279">
        <v>100000</v>
      </c>
      <c r="X72" s="833" t="s">
        <v>12649</v>
      </c>
    </row>
    <row r="73" spans="1:24" x14ac:dyDescent="0.2">
      <c r="A73" s="832" t="s">
        <v>12806</v>
      </c>
      <c r="B73" s="261" t="s">
        <v>12603</v>
      </c>
      <c r="C73" s="261" t="s">
        <v>645</v>
      </c>
      <c r="D73" s="261" t="s">
        <v>122</v>
      </c>
      <c r="E73" s="261" t="s">
        <v>11101</v>
      </c>
      <c r="F73" s="279">
        <v>10000</v>
      </c>
      <c r="G73" s="833" t="s">
        <v>12645</v>
      </c>
      <c r="H73" s="138"/>
      <c r="J73" s="832" t="s">
        <v>12807</v>
      </c>
      <c r="K73" s="839">
        <v>5.0000000000000001E-3</v>
      </c>
      <c r="L73" s="261" t="s">
        <v>10911</v>
      </c>
      <c r="M73" s="261" t="s">
        <v>543</v>
      </c>
      <c r="N73" s="261" t="s">
        <v>1103</v>
      </c>
      <c r="O73" s="279">
        <v>50000</v>
      </c>
      <c r="P73" s="833" t="s">
        <v>12647</v>
      </c>
      <c r="R73" s="832" t="s">
        <v>12436</v>
      </c>
      <c r="S73" s="261" t="s">
        <v>12654</v>
      </c>
      <c r="T73" s="261" t="s">
        <v>11790</v>
      </c>
      <c r="U73" s="261" t="s">
        <v>1054</v>
      </c>
      <c r="V73" s="261" t="s">
        <v>1103</v>
      </c>
      <c r="W73" s="279">
        <v>100000</v>
      </c>
      <c r="X73" s="833" t="s">
        <v>12655</v>
      </c>
    </row>
    <row r="74" spans="1:24" x14ac:dyDescent="0.2">
      <c r="A74" s="832" t="s">
        <v>12808</v>
      </c>
      <c r="B74" s="261" t="s">
        <v>12605</v>
      </c>
      <c r="C74" s="261" t="s">
        <v>645</v>
      </c>
      <c r="D74" s="261" t="s">
        <v>122</v>
      </c>
      <c r="E74" s="261" t="s">
        <v>11101</v>
      </c>
      <c r="F74" s="279">
        <v>10000</v>
      </c>
      <c r="G74" s="833" t="s">
        <v>12651</v>
      </c>
      <c r="H74" s="138"/>
      <c r="J74" s="832" t="s">
        <v>12809</v>
      </c>
      <c r="K74" s="839">
        <v>5.0000000000000001E-3</v>
      </c>
      <c r="L74" s="261" t="s">
        <v>11101</v>
      </c>
      <c r="M74" s="261" t="s">
        <v>543</v>
      </c>
      <c r="N74" s="261" t="s">
        <v>1103</v>
      </c>
      <c r="O74" s="279">
        <v>50000</v>
      </c>
      <c r="P74" s="833" t="s">
        <v>12653</v>
      </c>
      <c r="R74" s="832" t="s">
        <v>12437</v>
      </c>
      <c r="S74" s="261" t="s">
        <v>12648</v>
      </c>
      <c r="T74" s="261" t="s">
        <v>11593</v>
      </c>
      <c r="U74" s="261" t="s">
        <v>123</v>
      </c>
      <c r="V74" s="261" t="s">
        <v>1947</v>
      </c>
      <c r="W74" s="279">
        <v>100000</v>
      </c>
      <c r="X74" s="833" t="s">
        <v>12649</v>
      </c>
    </row>
    <row r="75" spans="1:24" x14ac:dyDescent="0.2">
      <c r="A75" s="832" t="s">
        <v>12810</v>
      </c>
      <c r="B75" s="261" t="s">
        <v>12607</v>
      </c>
      <c r="C75" s="261" t="s">
        <v>645</v>
      </c>
      <c r="D75" s="261" t="s">
        <v>122</v>
      </c>
      <c r="E75" s="261" t="s">
        <v>11101</v>
      </c>
      <c r="F75" s="279">
        <v>10000</v>
      </c>
      <c r="G75" s="833" t="s">
        <v>12657</v>
      </c>
      <c r="H75" s="138"/>
      <c r="J75" s="832" t="s">
        <v>12811</v>
      </c>
      <c r="K75" s="839">
        <v>5.0000000000000001E-3</v>
      </c>
      <c r="L75" s="261" t="s">
        <v>11229</v>
      </c>
      <c r="M75" s="261" t="s">
        <v>543</v>
      </c>
      <c r="N75" s="261" t="s">
        <v>1103</v>
      </c>
      <c r="O75" s="279">
        <v>90000</v>
      </c>
      <c r="P75" s="833" t="s">
        <v>12659</v>
      </c>
      <c r="R75" s="832" t="s">
        <v>12438</v>
      </c>
      <c r="S75" s="261" t="s">
        <v>12654</v>
      </c>
      <c r="T75" s="261" t="s">
        <v>11593</v>
      </c>
      <c r="U75" s="261" t="s">
        <v>123</v>
      </c>
      <c r="V75" s="261" t="s">
        <v>1947</v>
      </c>
      <c r="W75" s="279">
        <v>100000</v>
      </c>
      <c r="X75" s="833" t="s">
        <v>12655</v>
      </c>
    </row>
    <row r="76" spans="1:24" x14ac:dyDescent="0.2">
      <c r="A76" s="832" t="s">
        <v>12812</v>
      </c>
      <c r="B76" s="261" t="s">
        <v>12609</v>
      </c>
      <c r="C76" s="261" t="s">
        <v>645</v>
      </c>
      <c r="D76" s="261" t="s">
        <v>122</v>
      </c>
      <c r="E76" s="261" t="s">
        <v>11101</v>
      </c>
      <c r="F76" s="279">
        <v>25000</v>
      </c>
      <c r="G76" s="833" t="s">
        <v>12670</v>
      </c>
      <c r="H76" s="138"/>
      <c r="J76" s="832" t="s">
        <v>12813</v>
      </c>
      <c r="K76" s="839">
        <v>1.4999999999999999E-2</v>
      </c>
      <c r="L76" s="261" t="s">
        <v>11371</v>
      </c>
      <c r="M76" s="261" t="s">
        <v>543</v>
      </c>
      <c r="N76" s="261" t="s">
        <v>1103</v>
      </c>
      <c r="O76" s="279">
        <v>150000</v>
      </c>
      <c r="P76" s="833" t="s">
        <v>12662</v>
      </c>
      <c r="R76" s="832" t="s">
        <v>12439</v>
      </c>
      <c r="S76" s="261" t="s">
        <v>12648</v>
      </c>
      <c r="T76" s="261" t="s">
        <v>11790</v>
      </c>
      <c r="U76" s="261" t="s">
        <v>123</v>
      </c>
      <c r="V76" s="261" t="s">
        <v>1947</v>
      </c>
      <c r="W76" s="279">
        <v>100000</v>
      </c>
      <c r="X76" s="833" t="s">
        <v>12649</v>
      </c>
    </row>
    <row r="77" spans="1:24" x14ac:dyDescent="0.2">
      <c r="A77" s="832" t="s">
        <v>12814</v>
      </c>
      <c r="B77" s="261" t="s">
        <v>12611</v>
      </c>
      <c r="C77" s="261" t="s">
        <v>645</v>
      </c>
      <c r="D77" s="261" t="s">
        <v>122</v>
      </c>
      <c r="E77" s="261" t="s">
        <v>11101</v>
      </c>
      <c r="F77" s="279">
        <v>25000</v>
      </c>
      <c r="G77" s="833" t="s">
        <v>12673</v>
      </c>
      <c r="H77" s="138"/>
      <c r="J77" s="832" t="s">
        <v>12815</v>
      </c>
      <c r="K77" s="839">
        <v>1.4999999999999999E-2</v>
      </c>
      <c r="L77" s="261" t="s">
        <v>11593</v>
      </c>
      <c r="M77" s="261" t="s">
        <v>543</v>
      </c>
      <c r="N77" s="261" t="s">
        <v>1103</v>
      </c>
      <c r="O77" s="279">
        <v>100000</v>
      </c>
      <c r="P77" s="833" t="s">
        <v>12665</v>
      </c>
      <c r="R77" s="832" t="s">
        <v>12440</v>
      </c>
      <c r="S77" s="261" t="s">
        <v>12654</v>
      </c>
      <c r="T77" s="261" t="s">
        <v>11790</v>
      </c>
      <c r="U77" s="261" t="s">
        <v>123</v>
      </c>
      <c r="V77" s="261" t="s">
        <v>1947</v>
      </c>
      <c r="W77" s="279">
        <v>100000</v>
      </c>
      <c r="X77" s="833" t="s">
        <v>12655</v>
      </c>
    </row>
    <row r="78" spans="1:24" x14ac:dyDescent="0.2">
      <c r="A78" s="832" t="s">
        <v>12816</v>
      </c>
      <c r="B78" s="261" t="s">
        <v>12613</v>
      </c>
      <c r="C78" s="261" t="s">
        <v>645</v>
      </c>
      <c r="D78" s="261" t="s">
        <v>122</v>
      </c>
      <c r="E78" s="261" t="s">
        <v>11101</v>
      </c>
      <c r="F78" s="279">
        <v>25000</v>
      </c>
      <c r="G78" s="833" t="s">
        <v>12676</v>
      </c>
      <c r="H78" s="138"/>
      <c r="J78" s="832" t="s">
        <v>12817</v>
      </c>
      <c r="K78" s="839">
        <v>1.4999999999999999E-2</v>
      </c>
      <c r="L78" s="261" t="s">
        <v>11790</v>
      </c>
      <c r="M78" s="261" t="s">
        <v>543</v>
      </c>
      <c r="N78" s="261" t="s">
        <v>1103</v>
      </c>
      <c r="O78" s="279">
        <v>300000</v>
      </c>
      <c r="P78" s="833" t="s">
        <v>12668</v>
      </c>
      <c r="R78" s="832" t="s">
        <v>12441</v>
      </c>
      <c r="S78" s="261" t="s">
        <v>12648</v>
      </c>
      <c r="T78" s="261" t="s">
        <v>11593</v>
      </c>
      <c r="U78" s="261" t="s">
        <v>330</v>
      </c>
      <c r="V78" s="261" t="s">
        <v>1947</v>
      </c>
      <c r="W78" s="279">
        <v>100000</v>
      </c>
      <c r="X78" s="833" t="s">
        <v>12649</v>
      </c>
    </row>
    <row r="79" spans="1:24" x14ac:dyDescent="0.2">
      <c r="A79" s="832" t="s">
        <v>12818</v>
      </c>
      <c r="B79" s="261" t="s">
        <v>12615</v>
      </c>
      <c r="C79" s="261" t="s">
        <v>645</v>
      </c>
      <c r="D79" s="261" t="s">
        <v>122</v>
      </c>
      <c r="E79" s="261" t="s">
        <v>11101</v>
      </c>
      <c r="F79" s="279">
        <v>25000</v>
      </c>
      <c r="G79" s="833" t="s">
        <v>12670</v>
      </c>
      <c r="H79" s="138"/>
      <c r="J79" s="832" t="s">
        <v>12819</v>
      </c>
      <c r="K79" s="839">
        <v>5.0000000000000001E-3</v>
      </c>
      <c r="L79" s="261" t="s">
        <v>10911</v>
      </c>
      <c r="M79" s="261" t="s">
        <v>645</v>
      </c>
      <c r="N79" s="261" t="s">
        <v>1103</v>
      </c>
      <c r="O79" s="279">
        <v>50000</v>
      </c>
      <c r="P79" s="833" t="s">
        <v>12647</v>
      </c>
      <c r="R79" s="832" t="s">
        <v>12442</v>
      </c>
      <c r="S79" s="261" t="s">
        <v>12654</v>
      </c>
      <c r="T79" s="261" t="s">
        <v>11593</v>
      </c>
      <c r="U79" s="261" t="s">
        <v>330</v>
      </c>
      <c r="V79" s="261" t="s">
        <v>1947</v>
      </c>
      <c r="W79" s="279">
        <v>100000</v>
      </c>
      <c r="X79" s="833" t="s">
        <v>12655</v>
      </c>
    </row>
    <row r="80" spans="1:24" x14ac:dyDescent="0.2">
      <c r="A80" s="832" t="s">
        <v>12820</v>
      </c>
      <c r="B80" s="261" t="s">
        <v>12617</v>
      </c>
      <c r="C80" s="261" t="s">
        <v>645</v>
      </c>
      <c r="D80" s="261" t="s">
        <v>122</v>
      </c>
      <c r="E80" s="261" t="s">
        <v>11101</v>
      </c>
      <c r="F80" s="279">
        <v>25000</v>
      </c>
      <c r="G80" s="833" t="s">
        <v>12681</v>
      </c>
      <c r="H80" s="138"/>
      <c r="J80" s="832" t="s">
        <v>12821</v>
      </c>
      <c r="K80" s="839">
        <v>5.0000000000000001E-3</v>
      </c>
      <c r="L80" s="261" t="s">
        <v>11101</v>
      </c>
      <c r="M80" s="261" t="s">
        <v>645</v>
      </c>
      <c r="N80" s="261" t="s">
        <v>1103</v>
      </c>
      <c r="O80" s="279">
        <v>50000</v>
      </c>
      <c r="P80" s="833" t="s">
        <v>12653</v>
      </c>
      <c r="R80" s="832" t="s">
        <v>12443</v>
      </c>
      <c r="S80" s="261" t="s">
        <v>12648</v>
      </c>
      <c r="T80" s="261" t="s">
        <v>11790</v>
      </c>
      <c r="U80" s="261" t="s">
        <v>330</v>
      </c>
      <c r="V80" s="261" t="s">
        <v>1947</v>
      </c>
      <c r="W80" s="279">
        <v>100000</v>
      </c>
      <c r="X80" s="833" t="s">
        <v>12649</v>
      </c>
    </row>
    <row r="81" spans="1:24" x14ac:dyDescent="0.2">
      <c r="A81" s="832" t="s">
        <v>12822</v>
      </c>
      <c r="B81" s="261" t="s">
        <v>12619</v>
      </c>
      <c r="C81" s="261" t="s">
        <v>645</v>
      </c>
      <c r="D81" s="261" t="s">
        <v>122</v>
      </c>
      <c r="E81" s="261" t="s">
        <v>11101</v>
      </c>
      <c r="F81" s="279">
        <v>50000</v>
      </c>
      <c r="G81" s="833" t="s">
        <v>12684</v>
      </c>
      <c r="H81" s="138"/>
      <c r="J81" s="832" t="s">
        <v>12823</v>
      </c>
      <c r="K81" s="839">
        <v>5.0000000000000001E-3</v>
      </c>
      <c r="L81" s="261" t="s">
        <v>11229</v>
      </c>
      <c r="M81" s="261" t="s">
        <v>645</v>
      </c>
      <c r="N81" s="261" t="s">
        <v>1103</v>
      </c>
      <c r="O81" s="279">
        <v>90000</v>
      </c>
      <c r="P81" s="833" t="s">
        <v>12659</v>
      </c>
      <c r="R81" s="832" t="s">
        <v>12444</v>
      </c>
      <c r="S81" s="261" t="s">
        <v>12654</v>
      </c>
      <c r="T81" s="261" t="s">
        <v>11790</v>
      </c>
      <c r="U81" s="261" t="s">
        <v>330</v>
      </c>
      <c r="V81" s="261" t="s">
        <v>1947</v>
      </c>
      <c r="W81" s="279">
        <v>100000</v>
      </c>
      <c r="X81" s="833" t="s">
        <v>12655</v>
      </c>
    </row>
    <row r="82" spans="1:24" x14ac:dyDescent="0.2">
      <c r="A82" s="832" t="s">
        <v>12824</v>
      </c>
      <c r="B82" s="261" t="s">
        <v>7211</v>
      </c>
      <c r="C82" s="261" t="s">
        <v>645</v>
      </c>
      <c r="D82" s="261" t="s">
        <v>122</v>
      </c>
      <c r="E82" s="261" t="s">
        <v>11101</v>
      </c>
      <c r="F82" s="279">
        <v>50000</v>
      </c>
      <c r="G82" s="833" t="s">
        <v>12673</v>
      </c>
      <c r="H82" s="138"/>
      <c r="J82" s="832" t="s">
        <v>12825</v>
      </c>
      <c r="K82" s="839">
        <v>1.4999999999999999E-2</v>
      </c>
      <c r="L82" s="261" t="s">
        <v>11371</v>
      </c>
      <c r="M82" s="261" t="s">
        <v>645</v>
      </c>
      <c r="N82" s="261" t="s">
        <v>1103</v>
      </c>
      <c r="O82" s="279">
        <v>150000</v>
      </c>
      <c r="P82" s="833" t="s">
        <v>12662</v>
      </c>
      <c r="R82" s="832" t="s">
        <v>12445</v>
      </c>
      <c r="S82" s="261" t="s">
        <v>12648</v>
      </c>
      <c r="T82" s="261" t="s">
        <v>11593</v>
      </c>
      <c r="U82" s="261" t="s">
        <v>429</v>
      </c>
      <c r="V82" s="261" t="s">
        <v>1947</v>
      </c>
      <c r="W82" s="279">
        <v>100000</v>
      </c>
      <c r="X82" s="833" t="s">
        <v>12649</v>
      </c>
    </row>
    <row r="83" spans="1:24" x14ac:dyDescent="0.2">
      <c r="A83" s="832" t="s">
        <v>12826</v>
      </c>
      <c r="B83" s="261" t="s">
        <v>1591</v>
      </c>
      <c r="C83" s="261" t="s">
        <v>645</v>
      </c>
      <c r="D83" s="261" t="s">
        <v>122</v>
      </c>
      <c r="E83" s="261" t="s">
        <v>11101</v>
      </c>
      <c r="F83" s="279">
        <v>50000</v>
      </c>
      <c r="G83" s="833" t="s">
        <v>12676</v>
      </c>
      <c r="H83" s="138"/>
      <c r="J83" s="832" t="s">
        <v>12827</v>
      </c>
      <c r="K83" s="839">
        <v>1.4999999999999999E-2</v>
      </c>
      <c r="L83" s="261" t="s">
        <v>11593</v>
      </c>
      <c r="M83" s="261" t="s">
        <v>645</v>
      </c>
      <c r="N83" s="261" t="s">
        <v>1103</v>
      </c>
      <c r="O83" s="279">
        <v>100000</v>
      </c>
      <c r="P83" s="833" t="s">
        <v>12665</v>
      </c>
      <c r="R83" s="832" t="s">
        <v>12446</v>
      </c>
      <c r="S83" s="261" t="s">
        <v>12654</v>
      </c>
      <c r="T83" s="261" t="s">
        <v>11593</v>
      </c>
      <c r="U83" s="261" t="s">
        <v>429</v>
      </c>
      <c r="V83" s="261" t="s">
        <v>1947</v>
      </c>
      <c r="W83" s="279">
        <v>100000</v>
      </c>
      <c r="X83" s="833" t="s">
        <v>12655</v>
      </c>
    </row>
    <row r="84" spans="1:24" x14ac:dyDescent="0.2">
      <c r="A84" s="832" t="s">
        <v>12828</v>
      </c>
      <c r="B84" s="261" t="s">
        <v>7912</v>
      </c>
      <c r="C84" s="261" t="s">
        <v>645</v>
      </c>
      <c r="D84" s="261" t="s">
        <v>122</v>
      </c>
      <c r="E84" s="261" t="s">
        <v>11101</v>
      </c>
      <c r="F84" s="279">
        <v>50000</v>
      </c>
      <c r="G84" s="833" t="s">
        <v>12681</v>
      </c>
      <c r="H84" s="138"/>
      <c r="J84" s="832" t="s">
        <v>12829</v>
      </c>
      <c r="K84" s="839">
        <v>1.4999999999999999E-2</v>
      </c>
      <c r="L84" s="261" t="s">
        <v>11790</v>
      </c>
      <c r="M84" s="261" t="s">
        <v>645</v>
      </c>
      <c r="N84" s="261" t="s">
        <v>1103</v>
      </c>
      <c r="O84" s="279">
        <v>300000</v>
      </c>
      <c r="P84" s="833" t="s">
        <v>12668</v>
      </c>
      <c r="R84" s="832" t="s">
        <v>12447</v>
      </c>
      <c r="S84" s="261" t="s">
        <v>12648</v>
      </c>
      <c r="T84" s="261" t="s">
        <v>11790</v>
      </c>
      <c r="U84" s="261" t="s">
        <v>429</v>
      </c>
      <c r="V84" s="261" t="s">
        <v>1947</v>
      </c>
      <c r="W84" s="279">
        <v>100000</v>
      </c>
      <c r="X84" s="833" t="s">
        <v>12649</v>
      </c>
    </row>
    <row r="85" spans="1:24" x14ac:dyDescent="0.2">
      <c r="A85" s="832" t="s">
        <v>12830</v>
      </c>
      <c r="B85" s="261" t="s">
        <v>12594</v>
      </c>
      <c r="C85" s="261" t="s">
        <v>645</v>
      </c>
      <c r="D85" s="261" t="s">
        <v>122</v>
      </c>
      <c r="E85" s="261" t="s">
        <v>11593</v>
      </c>
      <c r="F85" s="279">
        <v>200000</v>
      </c>
      <c r="G85" s="833" t="s">
        <v>12693</v>
      </c>
      <c r="H85" s="138"/>
      <c r="J85" s="832" t="s">
        <v>12831</v>
      </c>
      <c r="K85" s="839">
        <v>5.0000000000000001E-3</v>
      </c>
      <c r="L85" s="261" t="s">
        <v>10911</v>
      </c>
      <c r="M85" s="261" t="s">
        <v>759</v>
      </c>
      <c r="N85" s="261" t="s">
        <v>1103</v>
      </c>
      <c r="O85" s="279">
        <v>50000</v>
      </c>
      <c r="P85" s="833" t="s">
        <v>12647</v>
      </c>
      <c r="R85" s="832" t="s">
        <v>12448</v>
      </c>
      <c r="S85" s="261" t="s">
        <v>12654</v>
      </c>
      <c r="T85" s="261" t="s">
        <v>11790</v>
      </c>
      <c r="U85" s="261" t="s">
        <v>429</v>
      </c>
      <c r="V85" s="261" t="s">
        <v>1947</v>
      </c>
      <c r="W85" s="279">
        <v>100000</v>
      </c>
      <c r="X85" s="833" t="s">
        <v>12655</v>
      </c>
    </row>
    <row r="86" spans="1:24" x14ac:dyDescent="0.2">
      <c r="A86" s="832" t="s">
        <v>12832</v>
      </c>
      <c r="B86" s="261" t="s">
        <v>11792</v>
      </c>
      <c r="C86" s="261" t="s">
        <v>645</v>
      </c>
      <c r="D86" s="261" t="s">
        <v>122</v>
      </c>
      <c r="E86" s="261" t="s">
        <v>11790</v>
      </c>
      <c r="F86" s="279">
        <v>300000</v>
      </c>
      <c r="G86" s="833" t="s">
        <v>12668</v>
      </c>
      <c r="H86" s="138" t="s">
        <v>12696</v>
      </c>
      <c r="J86" s="832" t="s">
        <v>12833</v>
      </c>
      <c r="K86" s="839">
        <v>5.0000000000000001E-3</v>
      </c>
      <c r="L86" s="261" t="s">
        <v>11101</v>
      </c>
      <c r="M86" s="261" t="s">
        <v>759</v>
      </c>
      <c r="N86" s="261" t="s">
        <v>1103</v>
      </c>
      <c r="O86" s="279">
        <v>50000</v>
      </c>
      <c r="P86" s="833" t="s">
        <v>12653</v>
      </c>
      <c r="R86" s="832" t="s">
        <v>12449</v>
      </c>
      <c r="S86" s="261" t="s">
        <v>12648</v>
      </c>
      <c r="T86" s="261" t="s">
        <v>11593</v>
      </c>
      <c r="U86" s="261" t="s">
        <v>543</v>
      </c>
      <c r="V86" s="261" t="s">
        <v>1947</v>
      </c>
      <c r="W86" s="279">
        <v>100000</v>
      </c>
      <c r="X86" s="833" t="s">
        <v>12649</v>
      </c>
    </row>
    <row r="87" spans="1:24" x14ac:dyDescent="0.2">
      <c r="A87" s="832" t="s">
        <v>12834</v>
      </c>
      <c r="B87" s="261" t="s">
        <v>12597</v>
      </c>
      <c r="C87" s="261" t="s">
        <v>759</v>
      </c>
      <c r="D87" s="261" t="s">
        <v>122</v>
      </c>
      <c r="E87" s="261" t="s">
        <v>11101</v>
      </c>
      <c r="F87" s="279">
        <v>10000</v>
      </c>
      <c r="G87" s="833" t="s">
        <v>12645</v>
      </c>
      <c r="H87" s="138"/>
      <c r="J87" s="832" t="s">
        <v>12835</v>
      </c>
      <c r="K87" s="839">
        <v>5.0000000000000001E-3</v>
      </c>
      <c r="L87" s="261" t="s">
        <v>11229</v>
      </c>
      <c r="M87" s="261" t="s">
        <v>759</v>
      </c>
      <c r="N87" s="261" t="s">
        <v>1103</v>
      </c>
      <c r="O87" s="279">
        <v>90000</v>
      </c>
      <c r="P87" s="833" t="s">
        <v>12659</v>
      </c>
      <c r="R87" s="832" t="s">
        <v>12450</v>
      </c>
      <c r="S87" s="261" t="s">
        <v>12654</v>
      </c>
      <c r="T87" s="261" t="s">
        <v>11593</v>
      </c>
      <c r="U87" s="261" t="s">
        <v>543</v>
      </c>
      <c r="V87" s="261" t="s">
        <v>1947</v>
      </c>
      <c r="W87" s="279">
        <v>100000</v>
      </c>
      <c r="X87" s="833" t="s">
        <v>12655</v>
      </c>
    </row>
    <row r="88" spans="1:24" x14ac:dyDescent="0.2">
      <c r="A88" s="832" t="s">
        <v>12836</v>
      </c>
      <c r="B88" s="261" t="s">
        <v>12599</v>
      </c>
      <c r="C88" s="261" t="s">
        <v>759</v>
      </c>
      <c r="D88" s="261" t="s">
        <v>122</v>
      </c>
      <c r="E88" s="261" t="s">
        <v>11101</v>
      </c>
      <c r="F88" s="279">
        <v>10000</v>
      </c>
      <c r="G88" s="833" t="s">
        <v>12651</v>
      </c>
      <c r="H88" s="138"/>
      <c r="J88" s="832" t="s">
        <v>12837</v>
      </c>
      <c r="K88" s="839">
        <v>1.4999999999999999E-2</v>
      </c>
      <c r="L88" s="261" t="s">
        <v>11371</v>
      </c>
      <c r="M88" s="261" t="s">
        <v>759</v>
      </c>
      <c r="N88" s="261" t="s">
        <v>1103</v>
      </c>
      <c r="O88" s="279">
        <v>150000</v>
      </c>
      <c r="P88" s="833" t="s">
        <v>12662</v>
      </c>
      <c r="R88" s="832" t="s">
        <v>12451</v>
      </c>
      <c r="S88" s="261" t="s">
        <v>12648</v>
      </c>
      <c r="T88" s="261" t="s">
        <v>11790</v>
      </c>
      <c r="U88" s="261" t="s">
        <v>543</v>
      </c>
      <c r="V88" s="261" t="s">
        <v>1947</v>
      </c>
      <c r="W88" s="279">
        <v>100000</v>
      </c>
      <c r="X88" s="833" t="s">
        <v>12649</v>
      </c>
    </row>
    <row r="89" spans="1:24" x14ac:dyDescent="0.2">
      <c r="A89" s="832" t="s">
        <v>12838</v>
      </c>
      <c r="B89" s="261" t="s">
        <v>12601</v>
      </c>
      <c r="C89" s="261" t="s">
        <v>759</v>
      </c>
      <c r="D89" s="261" t="s">
        <v>122</v>
      </c>
      <c r="E89" s="261" t="s">
        <v>11101</v>
      </c>
      <c r="F89" s="279">
        <v>10000</v>
      </c>
      <c r="G89" s="833" t="s">
        <v>12657</v>
      </c>
      <c r="H89" s="138"/>
      <c r="J89" s="832" t="s">
        <v>12839</v>
      </c>
      <c r="K89" s="839">
        <v>1.4999999999999999E-2</v>
      </c>
      <c r="L89" s="261" t="s">
        <v>11593</v>
      </c>
      <c r="M89" s="261" t="s">
        <v>759</v>
      </c>
      <c r="N89" s="261" t="s">
        <v>1103</v>
      </c>
      <c r="O89" s="279">
        <v>100000</v>
      </c>
      <c r="P89" s="833" t="s">
        <v>12665</v>
      </c>
      <c r="R89" s="832" t="s">
        <v>12452</v>
      </c>
      <c r="S89" s="261" t="s">
        <v>12654</v>
      </c>
      <c r="T89" s="261" t="s">
        <v>11790</v>
      </c>
      <c r="U89" s="261" t="s">
        <v>543</v>
      </c>
      <c r="V89" s="261" t="s">
        <v>1947</v>
      </c>
      <c r="W89" s="279">
        <v>100000</v>
      </c>
      <c r="X89" s="833" t="s">
        <v>12655</v>
      </c>
    </row>
    <row r="90" spans="1:24" x14ac:dyDescent="0.2">
      <c r="A90" s="832" t="s">
        <v>12840</v>
      </c>
      <c r="B90" s="261" t="s">
        <v>12603</v>
      </c>
      <c r="C90" s="261" t="s">
        <v>759</v>
      </c>
      <c r="D90" s="261" t="s">
        <v>122</v>
      </c>
      <c r="E90" s="261" t="s">
        <v>11101</v>
      </c>
      <c r="F90" s="279">
        <v>10000</v>
      </c>
      <c r="G90" s="833" t="s">
        <v>12645</v>
      </c>
      <c r="H90" s="138"/>
      <c r="J90" s="832" t="s">
        <v>12841</v>
      </c>
      <c r="K90" s="839">
        <v>1.4999999999999999E-2</v>
      </c>
      <c r="L90" s="261" t="s">
        <v>11790</v>
      </c>
      <c r="M90" s="261" t="s">
        <v>759</v>
      </c>
      <c r="N90" s="261" t="s">
        <v>1103</v>
      </c>
      <c r="O90" s="279">
        <v>300000</v>
      </c>
      <c r="P90" s="833" t="s">
        <v>12668</v>
      </c>
      <c r="R90" s="832" t="s">
        <v>12453</v>
      </c>
      <c r="S90" s="261" t="s">
        <v>12648</v>
      </c>
      <c r="T90" s="261" t="s">
        <v>11593</v>
      </c>
      <c r="U90" s="261" t="s">
        <v>645</v>
      </c>
      <c r="V90" s="261" t="s">
        <v>1947</v>
      </c>
      <c r="W90" s="279">
        <v>100000</v>
      </c>
      <c r="X90" s="833" t="s">
        <v>12649</v>
      </c>
    </row>
    <row r="91" spans="1:24" x14ac:dyDescent="0.2">
      <c r="A91" s="832" t="s">
        <v>12842</v>
      </c>
      <c r="B91" s="261" t="s">
        <v>12605</v>
      </c>
      <c r="C91" s="261" t="s">
        <v>759</v>
      </c>
      <c r="D91" s="261" t="s">
        <v>122</v>
      </c>
      <c r="E91" s="261" t="s">
        <v>11101</v>
      </c>
      <c r="F91" s="279">
        <v>10000</v>
      </c>
      <c r="G91" s="833" t="s">
        <v>12651</v>
      </c>
      <c r="H91" s="138"/>
      <c r="J91" s="832" t="s">
        <v>12843</v>
      </c>
      <c r="K91" s="839">
        <v>5.0000000000000001E-3</v>
      </c>
      <c r="L91" s="261" t="s">
        <v>10911</v>
      </c>
      <c r="M91" s="261" t="s">
        <v>839</v>
      </c>
      <c r="N91" s="261" t="s">
        <v>1103</v>
      </c>
      <c r="O91" s="279">
        <v>50000</v>
      </c>
      <c r="P91" s="833" t="s">
        <v>12647</v>
      </c>
      <c r="R91" s="832" t="s">
        <v>12454</v>
      </c>
      <c r="S91" s="261" t="s">
        <v>12654</v>
      </c>
      <c r="T91" s="261" t="s">
        <v>11593</v>
      </c>
      <c r="U91" s="261" t="s">
        <v>645</v>
      </c>
      <c r="V91" s="261" t="s">
        <v>1947</v>
      </c>
      <c r="W91" s="279">
        <v>100000</v>
      </c>
      <c r="X91" s="833" t="s">
        <v>12655</v>
      </c>
    </row>
    <row r="92" spans="1:24" x14ac:dyDescent="0.2">
      <c r="A92" s="832" t="s">
        <v>12844</v>
      </c>
      <c r="B92" s="261" t="s">
        <v>12607</v>
      </c>
      <c r="C92" s="261" t="s">
        <v>759</v>
      </c>
      <c r="D92" s="261" t="s">
        <v>122</v>
      </c>
      <c r="E92" s="261" t="s">
        <v>11101</v>
      </c>
      <c r="F92" s="279">
        <v>10000</v>
      </c>
      <c r="G92" s="833" t="s">
        <v>12657</v>
      </c>
      <c r="H92" s="138"/>
      <c r="J92" s="832" t="s">
        <v>12845</v>
      </c>
      <c r="K92" s="839">
        <v>5.0000000000000001E-3</v>
      </c>
      <c r="L92" s="261" t="s">
        <v>11101</v>
      </c>
      <c r="M92" s="261" t="s">
        <v>839</v>
      </c>
      <c r="N92" s="261" t="s">
        <v>1103</v>
      </c>
      <c r="O92" s="279">
        <v>50000</v>
      </c>
      <c r="P92" s="833" t="s">
        <v>12653</v>
      </c>
      <c r="R92" s="832" t="s">
        <v>12455</v>
      </c>
      <c r="S92" s="261" t="s">
        <v>12648</v>
      </c>
      <c r="T92" s="261" t="s">
        <v>11790</v>
      </c>
      <c r="U92" s="261" t="s">
        <v>645</v>
      </c>
      <c r="V92" s="261" t="s">
        <v>1947</v>
      </c>
      <c r="W92" s="279">
        <v>100000</v>
      </c>
      <c r="X92" s="833" t="s">
        <v>12649</v>
      </c>
    </row>
    <row r="93" spans="1:24" x14ac:dyDescent="0.2">
      <c r="A93" s="832" t="s">
        <v>12846</v>
      </c>
      <c r="B93" s="261" t="s">
        <v>12609</v>
      </c>
      <c r="C93" s="261" t="s">
        <v>759</v>
      </c>
      <c r="D93" s="261" t="s">
        <v>122</v>
      </c>
      <c r="E93" s="261" t="s">
        <v>11101</v>
      </c>
      <c r="F93" s="279">
        <v>25000</v>
      </c>
      <c r="G93" s="833" t="s">
        <v>12670</v>
      </c>
      <c r="H93" s="138"/>
      <c r="J93" s="832" t="s">
        <v>12847</v>
      </c>
      <c r="K93" s="839">
        <v>5.0000000000000001E-3</v>
      </c>
      <c r="L93" s="261" t="s">
        <v>11229</v>
      </c>
      <c r="M93" s="261" t="s">
        <v>839</v>
      </c>
      <c r="N93" s="261" t="s">
        <v>1103</v>
      </c>
      <c r="O93" s="279">
        <v>90000</v>
      </c>
      <c r="P93" s="833" t="s">
        <v>12659</v>
      </c>
      <c r="R93" s="832" t="s">
        <v>12456</v>
      </c>
      <c r="S93" s="261" t="s">
        <v>12654</v>
      </c>
      <c r="T93" s="261" t="s">
        <v>11790</v>
      </c>
      <c r="U93" s="261" t="s">
        <v>645</v>
      </c>
      <c r="V93" s="261" t="s">
        <v>1947</v>
      </c>
      <c r="W93" s="279">
        <v>100000</v>
      </c>
      <c r="X93" s="833" t="s">
        <v>12655</v>
      </c>
    </row>
    <row r="94" spans="1:24" x14ac:dyDescent="0.2">
      <c r="A94" s="832" t="s">
        <v>12848</v>
      </c>
      <c r="B94" s="261" t="s">
        <v>12611</v>
      </c>
      <c r="C94" s="261" t="s">
        <v>759</v>
      </c>
      <c r="D94" s="261" t="s">
        <v>122</v>
      </c>
      <c r="E94" s="261" t="s">
        <v>11101</v>
      </c>
      <c r="F94" s="279">
        <v>25000</v>
      </c>
      <c r="G94" s="833" t="s">
        <v>12673</v>
      </c>
      <c r="H94" s="138"/>
      <c r="J94" s="832" t="s">
        <v>12849</v>
      </c>
      <c r="K94" s="839">
        <v>1.4999999999999999E-2</v>
      </c>
      <c r="L94" s="261" t="s">
        <v>11371</v>
      </c>
      <c r="M94" s="261" t="s">
        <v>839</v>
      </c>
      <c r="N94" s="261" t="s">
        <v>1103</v>
      </c>
      <c r="O94" s="279">
        <v>150000</v>
      </c>
      <c r="P94" s="833" t="s">
        <v>12662</v>
      </c>
      <c r="R94" s="832" t="s">
        <v>12457</v>
      </c>
      <c r="S94" s="261" t="s">
        <v>12648</v>
      </c>
      <c r="T94" s="261" t="s">
        <v>11593</v>
      </c>
      <c r="U94" s="261" t="s">
        <v>759</v>
      </c>
      <c r="V94" s="261" t="s">
        <v>1947</v>
      </c>
      <c r="W94" s="279">
        <v>100000</v>
      </c>
      <c r="X94" s="833" t="s">
        <v>12649</v>
      </c>
    </row>
    <row r="95" spans="1:24" x14ac:dyDescent="0.2">
      <c r="A95" s="832" t="s">
        <v>12850</v>
      </c>
      <c r="B95" s="261" t="s">
        <v>12613</v>
      </c>
      <c r="C95" s="261" t="s">
        <v>759</v>
      </c>
      <c r="D95" s="261" t="s">
        <v>122</v>
      </c>
      <c r="E95" s="261" t="s">
        <v>11101</v>
      </c>
      <c r="F95" s="279">
        <v>25000</v>
      </c>
      <c r="G95" s="833" t="s">
        <v>12676</v>
      </c>
      <c r="H95" s="138"/>
      <c r="J95" s="832" t="s">
        <v>12851</v>
      </c>
      <c r="K95" s="839">
        <v>1.4999999999999999E-2</v>
      </c>
      <c r="L95" s="261" t="s">
        <v>11593</v>
      </c>
      <c r="M95" s="261" t="s">
        <v>839</v>
      </c>
      <c r="N95" s="261" t="s">
        <v>1103</v>
      </c>
      <c r="O95" s="279">
        <v>100000</v>
      </c>
      <c r="P95" s="833" t="s">
        <v>12665</v>
      </c>
      <c r="R95" s="832" t="s">
        <v>12458</v>
      </c>
      <c r="S95" s="261" t="s">
        <v>12654</v>
      </c>
      <c r="T95" s="261" t="s">
        <v>11593</v>
      </c>
      <c r="U95" s="261" t="s">
        <v>759</v>
      </c>
      <c r="V95" s="261" t="s">
        <v>1947</v>
      </c>
      <c r="W95" s="279">
        <v>100000</v>
      </c>
      <c r="X95" s="833" t="s">
        <v>12655</v>
      </c>
    </row>
    <row r="96" spans="1:24" x14ac:dyDescent="0.2">
      <c r="A96" s="832" t="s">
        <v>12852</v>
      </c>
      <c r="B96" s="261" t="s">
        <v>12615</v>
      </c>
      <c r="C96" s="261" t="s">
        <v>759</v>
      </c>
      <c r="D96" s="261" t="s">
        <v>122</v>
      </c>
      <c r="E96" s="261" t="s">
        <v>11101</v>
      </c>
      <c r="F96" s="279">
        <v>25000</v>
      </c>
      <c r="G96" s="833" t="s">
        <v>12670</v>
      </c>
      <c r="H96" s="138"/>
      <c r="J96" s="832" t="s">
        <v>12853</v>
      </c>
      <c r="K96" s="839">
        <v>1.4999999999999999E-2</v>
      </c>
      <c r="L96" s="261" t="s">
        <v>11790</v>
      </c>
      <c r="M96" s="261" t="s">
        <v>839</v>
      </c>
      <c r="N96" s="261" t="s">
        <v>1103</v>
      </c>
      <c r="O96" s="279">
        <v>300000</v>
      </c>
      <c r="P96" s="833" t="s">
        <v>12668</v>
      </c>
      <c r="R96" s="832" t="s">
        <v>12459</v>
      </c>
      <c r="S96" s="261" t="s">
        <v>12648</v>
      </c>
      <c r="T96" s="261" t="s">
        <v>11790</v>
      </c>
      <c r="U96" s="261" t="s">
        <v>759</v>
      </c>
      <c r="V96" s="261" t="s">
        <v>1947</v>
      </c>
      <c r="W96" s="279">
        <v>100000</v>
      </c>
      <c r="X96" s="833" t="s">
        <v>12649</v>
      </c>
    </row>
    <row r="97" spans="1:24" x14ac:dyDescent="0.2">
      <c r="A97" s="832" t="s">
        <v>12854</v>
      </c>
      <c r="B97" s="261" t="s">
        <v>12617</v>
      </c>
      <c r="C97" s="261" t="s">
        <v>759</v>
      </c>
      <c r="D97" s="261" t="s">
        <v>122</v>
      </c>
      <c r="E97" s="261" t="s">
        <v>11101</v>
      </c>
      <c r="F97" s="279">
        <v>25000</v>
      </c>
      <c r="G97" s="833" t="s">
        <v>12681</v>
      </c>
      <c r="H97" s="138"/>
      <c r="J97" s="832" t="s">
        <v>12855</v>
      </c>
      <c r="K97" s="839">
        <v>5.0000000000000001E-3</v>
      </c>
      <c r="L97" s="261" t="s">
        <v>10911</v>
      </c>
      <c r="M97" s="261" t="s">
        <v>949</v>
      </c>
      <c r="N97" s="261" t="s">
        <v>1103</v>
      </c>
      <c r="O97" s="279">
        <v>50000</v>
      </c>
      <c r="P97" s="833" t="s">
        <v>12647</v>
      </c>
      <c r="R97" s="832" t="s">
        <v>12460</v>
      </c>
      <c r="S97" s="261" t="s">
        <v>12654</v>
      </c>
      <c r="T97" s="261" t="s">
        <v>11790</v>
      </c>
      <c r="U97" s="261" t="s">
        <v>759</v>
      </c>
      <c r="V97" s="261" t="s">
        <v>1947</v>
      </c>
      <c r="W97" s="279">
        <v>100000</v>
      </c>
      <c r="X97" s="833" t="s">
        <v>12655</v>
      </c>
    </row>
    <row r="98" spans="1:24" x14ac:dyDescent="0.2">
      <c r="A98" s="832" t="s">
        <v>12856</v>
      </c>
      <c r="B98" s="261" t="s">
        <v>12619</v>
      </c>
      <c r="C98" s="261" t="s">
        <v>759</v>
      </c>
      <c r="D98" s="261" t="s">
        <v>122</v>
      </c>
      <c r="E98" s="261" t="s">
        <v>11101</v>
      </c>
      <c r="F98" s="279">
        <v>50000</v>
      </c>
      <c r="G98" s="833" t="s">
        <v>12684</v>
      </c>
      <c r="H98" s="138"/>
      <c r="J98" s="832" t="s">
        <v>12857</v>
      </c>
      <c r="K98" s="839">
        <v>5.0000000000000001E-3</v>
      </c>
      <c r="L98" s="261" t="s">
        <v>11101</v>
      </c>
      <c r="M98" s="261" t="s">
        <v>949</v>
      </c>
      <c r="N98" s="261" t="s">
        <v>1103</v>
      </c>
      <c r="O98" s="279">
        <v>50000</v>
      </c>
      <c r="P98" s="833" t="s">
        <v>12653</v>
      </c>
      <c r="R98" s="832" t="s">
        <v>12461</v>
      </c>
      <c r="S98" s="261" t="s">
        <v>12648</v>
      </c>
      <c r="T98" s="261" t="s">
        <v>11593</v>
      </c>
      <c r="U98" s="261" t="s">
        <v>839</v>
      </c>
      <c r="V98" s="261" t="s">
        <v>1947</v>
      </c>
      <c r="W98" s="279">
        <v>100000</v>
      </c>
      <c r="X98" s="833" t="s">
        <v>12649</v>
      </c>
    </row>
    <row r="99" spans="1:24" x14ac:dyDescent="0.2">
      <c r="A99" s="832" t="s">
        <v>12858</v>
      </c>
      <c r="B99" s="261" t="s">
        <v>7211</v>
      </c>
      <c r="C99" s="261" t="s">
        <v>759</v>
      </c>
      <c r="D99" s="261" t="s">
        <v>122</v>
      </c>
      <c r="E99" s="261" t="s">
        <v>11101</v>
      </c>
      <c r="F99" s="279">
        <v>50000</v>
      </c>
      <c r="G99" s="833" t="s">
        <v>12673</v>
      </c>
      <c r="H99" s="138"/>
      <c r="J99" s="832" t="s">
        <v>12859</v>
      </c>
      <c r="K99" s="839">
        <v>5.0000000000000001E-3</v>
      </c>
      <c r="L99" s="261" t="s">
        <v>11229</v>
      </c>
      <c r="M99" s="261" t="s">
        <v>949</v>
      </c>
      <c r="N99" s="261" t="s">
        <v>1103</v>
      </c>
      <c r="O99" s="279">
        <v>90000</v>
      </c>
      <c r="P99" s="833" t="s">
        <v>12659</v>
      </c>
      <c r="R99" s="832" t="s">
        <v>12462</v>
      </c>
      <c r="S99" s="261" t="s">
        <v>12654</v>
      </c>
      <c r="T99" s="261" t="s">
        <v>11593</v>
      </c>
      <c r="U99" s="261" t="s">
        <v>839</v>
      </c>
      <c r="V99" s="261" t="s">
        <v>1947</v>
      </c>
      <c r="W99" s="279">
        <v>100000</v>
      </c>
      <c r="X99" s="833" t="s">
        <v>12655</v>
      </c>
    </row>
    <row r="100" spans="1:24" x14ac:dyDescent="0.2">
      <c r="A100" s="832" t="s">
        <v>12860</v>
      </c>
      <c r="B100" s="261" t="s">
        <v>1591</v>
      </c>
      <c r="C100" s="261" t="s">
        <v>759</v>
      </c>
      <c r="D100" s="261" t="s">
        <v>122</v>
      </c>
      <c r="E100" s="261" t="s">
        <v>11101</v>
      </c>
      <c r="F100" s="279">
        <v>50000</v>
      </c>
      <c r="G100" s="833" t="s">
        <v>12676</v>
      </c>
      <c r="H100" s="138"/>
      <c r="J100" s="832" t="s">
        <v>12861</v>
      </c>
      <c r="K100" s="839">
        <v>1.4999999999999999E-2</v>
      </c>
      <c r="L100" s="261" t="s">
        <v>11371</v>
      </c>
      <c r="M100" s="261" t="s">
        <v>949</v>
      </c>
      <c r="N100" s="261" t="s">
        <v>1103</v>
      </c>
      <c r="O100" s="279">
        <v>150000</v>
      </c>
      <c r="P100" s="833" t="s">
        <v>12662</v>
      </c>
      <c r="R100" s="832" t="s">
        <v>12463</v>
      </c>
      <c r="S100" s="261" t="s">
        <v>12648</v>
      </c>
      <c r="T100" s="261" t="s">
        <v>11790</v>
      </c>
      <c r="U100" s="261" t="s">
        <v>839</v>
      </c>
      <c r="V100" s="261" t="s">
        <v>1947</v>
      </c>
      <c r="W100" s="279">
        <v>100000</v>
      </c>
      <c r="X100" s="833" t="s">
        <v>12649</v>
      </c>
    </row>
    <row r="101" spans="1:24" x14ac:dyDescent="0.2">
      <c r="A101" s="832" t="s">
        <v>12862</v>
      </c>
      <c r="B101" s="261" t="s">
        <v>7912</v>
      </c>
      <c r="C101" s="261" t="s">
        <v>759</v>
      </c>
      <c r="D101" s="261" t="s">
        <v>122</v>
      </c>
      <c r="E101" s="261" t="s">
        <v>11101</v>
      </c>
      <c r="F101" s="279">
        <v>50000</v>
      </c>
      <c r="G101" s="833" t="s">
        <v>12681</v>
      </c>
      <c r="H101" s="138"/>
      <c r="J101" s="832" t="s">
        <v>12863</v>
      </c>
      <c r="K101" s="839">
        <v>1.4999999999999999E-2</v>
      </c>
      <c r="L101" s="261" t="s">
        <v>11593</v>
      </c>
      <c r="M101" s="261" t="s">
        <v>949</v>
      </c>
      <c r="N101" s="261" t="s">
        <v>1103</v>
      </c>
      <c r="O101" s="279">
        <v>100000</v>
      </c>
      <c r="P101" s="833" t="s">
        <v>12665</v>
      </c>
      <c r="R101" s="832" t="s">
        <v>12464</v>
      </c>
      <c r="S101" s="261" t="s">
        <v>12654</v>
      </c>
      <c r="T101" s="261" t="s">
        <v>11790</v>
      </c>
      <c r="U101" s="261" t="s">
        <v>839</v>
      </c>
      <c r="V101" s="261" t="s">
        <v>1947</v>
      </c>
      <c r="W101" s="279">
        <v>100000</v>
      </c>
      <c r="X101" s="833" t="s">
        <v>12655</v>
      </c>
    </row>
    <row r="102" spans="1:24" x14ac:dyDescent="0.2">
      <c r="A102" s="832" t="s">
        <v>12864</v>
      </c>
      <c r="B102" s="261" t="s">
        <v>12594</v>
      </c>
      <c r="C102" s="261" t="s">
        <v>759</v>
      </c>
      <c r="D102" s="261" t="s">
        <v>122</v>
      </c>
      <c r="E102" s="261" t="s">
        <v>11593</v>
      </c>
      <c r="F102" s="279">
        <v>200000</v>
      </c>
      <c r="G102" s="833" t="s">
        <v>12693</v>
      </c>
      <c r="H102" s="138"/>
      <c r="J102" s="832" t="s">
        <v>12865</v>
      </c>
      <c r="K102" s="839">
        <v>1.4999999999999999E-2</v>
      </c>
      <c r="L102" s="261" t="s">
        <v>11790</v>
      </c>
      <c r="M102" s="261" t="s">
        <v>949</v>
      </c>
      <c r="N102" s="261" t="s">
        <v>1103</v>
      </c>
      <c r="O102" s="279">
        <v>300000</v>
      </c>
      <c r="P102" s="833" t="s">
        <v>12668</v>
      </c>
      <c r="R102" s="832" t="s">
        <v>12465</v>
      </c>
      <c r="S102" s="261" t="s">
        <v>12648</v>
      </c>
      <c r="T102" s="261" t="s">
        <v>11593</v>
      </c>
      <c r="U102" s="261" t="s">
        <v>949</v>
      </c>
      <c r="V102" s="261" t="s">
        <v>1947</v>
      </c>
      <c r="W102" s="279">
        <v>100000</v>
      </c>
      <c r="X102" s="833" t="s">
        <v>12649</v>
      </c>
    </row>
    <row r="103" spans="1:24" x14ac:dyDescent="0.2">
      <c r="A103" s="832" t="s">
        <v>12866</v>
      </c>
      <c r="B103" s="261" t="s">
        <v>11792</v>
      </c>
      <c r="C103" s="261" t="s">
        <v>759</v>
      </c>
      <c r="D103" s="261" t="s">
        <v>122</v>
      </c>
      <c r="E103" s="261" t="s">
        <v>11790</v>
      </c>
      <c r="F103" s="279">
        <v>300000</v>
      </c>
      <c r="G103" s="833" t="s">
        <v>12668</v>
      </c>
      <c r="H103" s="138" t="s">
        <v>12696</v>
      </c>
      <c r="J103" s="832" t="s">
        <v>12867</v>
      </c>
      <c r="K103" s="839">
        <v>5.0000000000000001E-3</v>
      </c>
      <c r="L103" s="261" t="s">
        <v>10911</v>
      </c>
      <c r="M103" s="261" t="s">
        <v>1054</v>
      </c>
      <c r="N103" s="261" t="s">
        <v>1103</v>
      </c>
      <c r="O103" s="279">
        <v>50000</v>
      </c>
      <c r="P103" s="833" t="s">
        <v>12647</v>
      </c>
      <c r="R103" s="832" t="s">
        <v>12466</v>
      </c>
      <c r="S103" s="261" t="s">
        <v>12654</v>
      </c>
      <c r="T103" s="261" t="s">
        <v>11593</v>
      </c>
      <c r="U103" s="261" t="s">
        <v>949</v>
      </c>
      <c r="V103" s="261" t="s">
        <v>1947</v>
      </c>
      <c r="W103" s="279">
        <v>100000</v>
      </c>
      <c r="X103" s="833" t="s">
        <v>12655</v>
      </c>
    </row>
    <row r="104" spans="1:24" x14ac:dyDescent="0.2">
      <c r="A104" s="832" t="s">
        <v>12868</v>
      </c>
      <c r="B104" s="261" t="s">
        <v>12597</v>
      </c>
      <c r="C104" s="261" t="s">
        <v>839</v>
      </c>
      <c r="D104" s="261" t="s">
        <v>122</v>
      </c>
      <c r="E104" s="261" t="s">
        <v>11101</v>
      </c>
      <c r="F104" s="279">
        <v>10000</v>
      </c>
      <c r="G104" s="833" t="s">
        <v>12645</v>
      </c>
      <c r="H104" s="138"/>
      <c r="J104" s="832" t="s">
        <v>12869</v>
      </c>
      <c r="K104" s="839">
        <v>5.0000000000000001E-3</v>
      </c>
      <c r="L104" s="261" t="s">
        <v>11229</v>
      </c>
      <c r="M104" s="261" t="s">
        <v>1054</v>
      </c>
      <c r="N104" s="261" t="s">
        <v>1103</v>
      </c>
      <c r="O104" s="279">
        <v>90000</v>
      </c>
      <c r="P104" s="833" t="s">
        <v>12659</v>
      </c>
      <c r="R104" s="832" t="s">
        <v>12467</v>
      </c>
      <c r="S104" s="261" t="s">
        <v>12648</v>
      </c>
      <c r="T104" s="261" t="s">
        <v>11790</v>
      </c>
      <c r="U104" s="261" t="s">
        <v>949</v>
      </c>
      <c r="V104" s="261" t="s">
        <v>1947</v>
      </c>
      <c r="W104" s="279">
        <v>100000</v>
      </c>
      <c r="X104" s="833" t="s">
        <v>12649</v>
      </c>
    </row>
    <row r="105" spans="1:24" x14ac:dyDescent="0.2">
      <c r="A105" s="832" t="s">
        <v>12870</v>
      </c>
      <c r="B105" s="261" t="s">
        <v>12599</v>
      </c>
      <c r="C105" s="261" t="s">
        <v>839</v>
      </c>
      <c r="D105" s="261" t="s">
        <v>122</v>
      </c>
      <c r="E105" s="261" t="s">
        <v>11101</v>
      </c>
      <c r="F105" s="279">
        <v>10000</v>
      </c>
      <c r="G105" s="833" t="s">
        <v>12651</v>
      </c>
      <c r="H105" s="138"/>
      <c r="J105" s="832" t="s">
        <v>12871</v>
      </c>
      <c r="K105" s="839">
        <v>1.4999999999999999E-2</v>
      </c>
      <c r="L105" s="261" t="s">
        <v>11371</v>
      </c>
      <c r="M105" s="261" t="s">
        <v>1054</v>
      </c>
      <c r="N105" s="261" t="s">
        <v>1103</v>
      </c>
      <c r="O105" s="279">
        <v>150000</v>
      </c>
      <c r="P105" s="833" t="s">
        <v>12662</v>
      </c>
      <c r="R105" s="832" t="s">
        <v>12468</v>
      </c>
      <c r="S105" s="261" t="s">
        <v>12654</v>
      </c>
      <c r="T105" s="261" t="s">
        <v>11790</v>
      </c>
      <c r="U105" s="261" t="s">
        <v>949</v>
      </c>
      <c r="V105" s="261" t="s">
        <v>1947</v>
      </c>
      <c r="W105" s="279">
        <v>100000</v>
      </c>
      <c r="X105" s="833" t="s">
        <v>12655</v>
      </c>
    </row>
    <row r="106" spans="1:24" x14ac:dyDescent="0.2">
      <c r="A106" s="832" t="s">
        <v>12872</v>
      </c>
      <c r="B106" s="261" t="s">
        <v>12601</v>
      </c>
      <c r="C106" s="261" t="s">
        <v>839</v>
      </c>
      <c r="D106" s="261" t="s">
        <v>122</v>
      </c>
      <c r="E106" s="261" t="s">
        <v>11101</v>
      </c>
      <c r="F106" s="279">
        <v>10000</v>
      </c>
      <c r="G106" s="833" t="s">
        <v>12657</v>
      </c>
      <c r="H106" s="138"/>
      <c r="J106" s="832" t="s">
        <v>12873</v>
      </c>
      <c r="K106" s="839">
        <v>1.4999999999999999E-2</v>
      </c>
      <c r="L106" s="261" t="s">
        <v>11593</v>
      </c>
      <c r="M106" s="261" t="s">
        <v>1054</v>
      </c>
      <c r="N106" s="261" t="s">
        <v>1103</v>
      </c>
      <c r="O106" s="279">
        <v>100000</v>
      </c>
      <c r="P106" s="833" t="s">
        <v>12665</v>
      </c>
      <c r="R106" s="832" t="s">
        <v>12469</v>
      </c>
      <c r="S106" s="261" t="s">
        <v>12648</v>
      </c>
      <c r="T106" s="261" t="s">
        <v>11593</v>
      </c>
      <c r="U106" s="261" t="s">
        <v>1054</v>
      </c>
      <c r="V106" s="261" t="s">
        <v>1947</v>
      </c>
      <c r="W106" s="279">
        <v>100000</v>
      </c>
      <c r="X106" s="833" t="s">
        <v>12649</v>
      </c>
    </row>
    <row r="107" spans="1:24" x14ac:dyDescent="0.2">
      <c r="A107" s="832" t="s">
        <v>12874</v>
      </c>
      <c r="B107" s="261" t="s">
        <v>12603</v>
      </c>
      <c r="C107" s="261" t="s">
        <v>839</v>
      </c>
      <c r="D107" s="261" t="s">
        <v>122</v>
      </c>
      <c r="E107" s="261" t="s">
        <v>11101</v>
      </c>
      <c r="F107" s="279">
        <v>10000</v>
      </c>
      <c r="G107" s="833" t="s">
        <v>12645</v>
      </c>
      <c r="H107" s="138"/>
      <c r="J107" s="832" t="s">
        <v>12875</v>
      </c>
      <c r="K107" s="839">
        <v>1.4999999999999999E-2</v>
      </c>
      <c r="L107" s="261" t="s">
        <v>11790</v>
      </c>
      <c r="M107" s="261" t="s">
        <v>1054</v>
      </c>
      <c r="N107" s="261" t="s">
        <v>1103</v>
      </c>
      <c r="O107" s="279">
        <v>300000</v>
      </c>
      <c r="P107" s="833" t="s">
        <v>12668</v>
      </c>
      <c r="R107" s="832" t="s">
        <v>12470</v>
      </c>
      <c r="S107" s="261" t="s">
        <v>12654</v>
      </c>
      <c r="T107" s="261" t="s">
        <v>11593</v>
      </c>
      <c r="U107" s="261" t="s">
        <v>1054</v>
      </c>
      <c r="V107" s="261" t="s">
        <v>1947</v>
      </c>
      <c r="W107" s="279">
        <v>100000</v>
      </c>
      <c r="X107" s="833" t="s">
        <v>12655</v>
      </c>
    </row>
    <row r="108" spans="1:24" x14ac:dyDescent="0.2">
      <c r="A108" s="832" t="s">
        <v>12876</v>
      </c>
      <c r="B108" s="261" t="s">
        <v>12605</v>
      </c>
      <c r="C108" s="261" t="s">
        <v>839</v>
      </c>
      <c r="D108" s="261" t="s">
        <v>122</v>
      </c>
      <c r="E108" s="261" t="s">
        <v>11101</v>
      </c>
      <c r="F108" s="279">
        <v>10000</v>
      </c>
      <c r="G108" s="833" t="s">
        <v>12651</v>
      </c>
      <c r="H108" s="138"/>
      <c r="J108" s="832" t="s">
        <v>12877</v>
      </c>
      <c r="K108" s="839">
        <v>5.0000000000000001E-3</v>
      </c>
      <c r="L108" s="261" t="s">
        <v>10911</v>
      </c>
      <c r="M108" s="261" t="s">
        <v>123</v>
      </c>
      <c r="N108" s="261" t="s">
        <v>1947</v>
      </c>
      <c r="O108" s="279">
        <v>50000</v>
      </c>
      <c r="P108" s="833" t="s">
        <v>12647</v>
      </c>
      <c r="R108" s="832" t="s">
        <v>12471</v>
      </c>
      <c r="S108" s="261" t="s">
        <v>12648</v>
      </c>
      <c r="T108" s="261" t="s">
        <v>11790</v>
      </c>
      <c r="U108" s="261" t="s">
        <v>1054</v>
      </c>
      <c r="V108" s="261" t="s">
        <v>1947</v>
      </c>
      <c r="W108" s="279">
        <v>100000</v>
      </c>
      <c r="X108" s="833" t="s">
        <v>12649</v>
      </c>
    </row>
    <row r="109" spans="1:24" x14ac:dyDescent="0.2">
      <c r="A109" s="832" t="s">
        <v>12878</v>
      </c>
      <c r="B109" s="261" t="s">
        <v>12607</v>
      </c>
      <c r="C109" s="261" t="s">
        <v>839</v>
      </c>
      <c r="D109" s="261" t="s">
        <v>122</v>
      </c>
      <c r="E109" s="261" t="s">
        <v>11101</v>
      </c>
      <c r="F109" s="279">
        <v>10000</v>
      </c>
      <c r="G109" s="833" t="s">
        <v>12657</v>
      </c>
      <c r="H109" s="138"/>
      <c r="J109" s="832" t="s">
        <v>12879</v>
      </c>
      <c r="K109" s="839">
        <v>5.0000000000000001E-3</v>
      </c>
      <c r="L109" s="261" t="s">
        <v>11101</v>
      </c>
      <c r="M109" s="261" t="s">
        <v>123</v>
      </c>
      <c r="N109" s="261" t="s">
        <v>1947</v>
      </c>
      <c r="O109" s="279">
        <v>50000</v>
      </c>
      <c r="P109" s="833" t="s">
        <v>12653</v>
      </c>
      <c r="R109" s="832" t="s">
        <v>12472</v>
      </c>
      <c r="S109" s="261" t="s">
        <v>12654</v>
      </c>
      <c r="T109" s="261" t="s">
        <v>11790</v>
      </c>
      <c r="U109" s="261" t="s">
        <v>1054</v>
      </c>
      <c r="V109" s="261" t="s">
        <v>1947</v>
      </c>
      <c r="W109" s="279">
        <v>100000</v>
      </c>
      <c r="X109" s="833" t="s">
        <v>12655</v>
      </c>
    </row>
    <row r="110" spans="1:24" x14ac:dyDescent="0.2">
      <c r="A110" s="832" t="s">
        <v>12880</v>
      </c>
      <c r="B110" s="261" t="s">
        <v>12609</v>
      </c>
      <c r="C110" s="261" t="s">
        <v>839</v>
      </c>
      <c r="D110" s="261" t="s">
        <v>122</v>
      </c>
      <c r="E110" s="261" t="s">
        <v>11101</v>
      </c>
      <c r="F110" s="279">
        <v>25000</v>
      </c>
      <c r="G110" s="833" t="s">
        <v>12670</v>
      </c>
      <c r="H110" s="138"/>
      <c r="J110" s="832" t="s">
        <v>12881</v>
      </c>
      <c r="K110" s="839">
        <v>5.0000000000000001E-3</v>
      </c>
      <c r="L110" s="261" t="s">
        <v>11229</v>
      </c>
      <c r="M110" s="261" t="s">
        <v>123</v>
      </c>
      <c r="N110" s="261" t="s">
        <v>1947</v>
      </c>
      <c r="O110" s="279">
        <v>90000</v>
      </c>
      <c r="P110" s="833" t="s">
        <v>12659</v>
      </c>
      <c r="R110" s="832" t="s">
        <v>12473</v>
      </c>
      <c r="S110" s="261" t="s">
        <v>12648</v>
      </c>
      <c r="T110" s="261" t="s">
        <v>11593</v>
      </c>
      <c r="U110" s="261" t="s">
        <v>123</v>
      </c>
      <c r="V110" s="261" t="s">
        <v>2837</v>
      </c>
      <c r="W110" s="279">
        <v>100000</v>
      </c>
      <c r="X110" s="833" t="s">
        <v>12649</v>
      </c>
    </row>
    <row r="111" spans="1:24" x14ac:dyDescent="0.2">
      <c r="A111" s="832" t="s">
        <v>12882</v>
      </c>
      <c r="B111" s="261" t="s">
        <v>12611</v>
      </c>
      <c r="C111" s="261" t="s">
        <v>839</v>
      </c>
      <c r="D111" s="261" t="s">
        <v>122</v>
      </c>
      <c r="E111" s="261" t="s">
        <v>11101</v>
      </c>
      <c r="F111" s="279">
        <v>25000</v>
      </c>
      <c r="G111" s="833" t="s">
        <v>12673</v>
      </c>
      <c r="H111" s="138"/>
      <c r="J111" s="832" t="s">
        <v>12883</v>
      </c>
      <c r="K111" s="839">
        <v>1.4999999999999999E-2</v>
      </c>
      <c r="L111" s="261" t="s">
        <v>11371</v>
      </c>
      <c r="M111" s="261" t="s">
        <v>123</v>
      </c>
      <c r="N111" s="261" t="s">
        <v>1947</v>
      </c>
      <c r="O111" s="279">
        <v>150000</v>
      </c>
      <c r="P111" s="833" t="s">
        <v>12662</v>
      </c>
      <c r="R111" s="832" t="s">
        <v>12474</v>
      </c>
      <c r="S111" s="261" t="s">
        <v>12654</v>
      </c>
      <c r="T111" s="261" t="s">
        <v>11593</v>
      </c>
      <c r="U111" s="261" t="s">
        <v>123</v>
      </c>
      <c r="V111" s="261" t="s">
        <v>2837</v>
      </c>
      <c r="W111" s="279">
        <v>100000</v>
      </c>
      <c r="X111" s="833" t="s">
        <v>12655</v>
      </c>
    </row>
    <row r="112" spans="1:24" x14ac:dyDescent="0.2">
      <c r="A112" s="832" t="s">
        <v>12884</v>
      </c>
      <c r="B112" s="261" t="s">
        <v>12613</v>
      </c>
      <c r="C112" s="261" t="s">
        <v>839</v>
      </c>
      <c r="D112" s="261" t="s">
        <v>122</v>
      </c>
      <c r="E112" s="261" t="s">
        <v>11101</v>
      </c>
      <c r="F112" s="279">
        <v>25000</v>
      </c>
      <c r="G112" s="833" t="s">
        <v>12676</v>
      </c>
      <c r="H112" s="138"/>
      <c r="J112" s="832" t="s">
        <v>12885</v>
      </c>
      <c r="K112" s="839">
        <v>1.4999999999999999E-2</v>
      </c>
      <c r="L112" s="261" t="s">
        <v>11593</v>
      </c>
      <c r="M112" s="261" t="s">
        <v>123</v>
      </c>
      <c r="N112" s="261" t="s">
        <v>1947</v>
      </c>
      <c r="O112" s="279">
        <v>100000</v>
      </c>
      <c r="P112" s="833" t="s">
        <v>12665</v>
      </c>
      <c r="R112" s="832" t="s">
        <v>12475</v>
      </c>
      <c r="S112" s="261" t="s">
        <v>12648</v>
      </c>
      <c r="T112" s="261" t="s">
        <v>11790</v>
      </c>
      <c r="U112" s="261" t="s">
        <v>123</v>
      </c>
      <c r="V112" s="261" t="s">
        <v>2837</v>
      </c>
      <c r="W112" s="279">
        <v>100000</v>
      </c>
      <c r="X112" s="833" t="s">
        <v>12649</v>
      </c>
    </row>
    <row r="113" spans="1:24" x14ac:dyDescent="0.2">
      <c r="A113" s="832" t="s">
        <v>12886</v>
      </c>
      <c r="B113" s="261" t="s">
        <v>12615</v>
      </c>
      <c r="C113" s="261" t="s">
        <v>839</v>
      </c>
      <c r="D113" s="261" t="s">
        <v>122</v>
      </c>
      <c r="E113" s="261" t="s">
        <v>11101</v>
      </c>
      <c r="F113" s="279">
        <v>25000</v>
      </c>
      <c r="G113" s="833" t="s">
        <v>12670</v>
      </c>
      <c r="H113" s="138"/>
      <c r="J113" s="832" t="s">
        <v>12887</v>
      </c>
      <c r="K113" s="839">
        <v>1.4999999999999999E-2</v>
      </c>
      <c r="L113" s="261" t="s">
        <v>11790</v>
      </c>
      <c r="M113" s="261" t="s">
        <v>123</v>
      </c>
      <c r="N113" s="261" t="s">
        <v>1947</v>
      </c>
      <c r="O113" s="279">
        <v>300000</v>
      </c>
      <c r="P113" s="833" t="s">
        <v>12668</v>
      </c>
      <c r="R113" s="832" t="s">
        <v>12476</v>
      </c>
      <c r="S113" s="261" t="s">
        <v>12654</v>
      </c>
      <c r="T113" s="261" t="s">
        <v>11790</v>
      </c>
      <c r="U113" s="261" t="s">
        <v>123</v>
      </c>
      <c r="V113" s="261" t="s">
        <v>2837</v>
      </c>
      <c r="W113" s="279">
        <v>100000</v>
      </c>
      <c r="X113" s="833" t="s">
        <v>12655</v>
      </c>
    </row>
    <row r="114" spans="1:24" x14ac:dyDescent="0.2">
      <c r="A114" s="832" t="s">
        <v>12888</v>
      </c>
      <c r="B114" s="261" t="s">
        <v>12617</v>
      </c>
      <c r="C114" s="261" t="s">
        <v>839</v>
      </c>
      <c r="D114" s="261" t="s">
        <v>122</v>
      </c>
      <c r="E114" s="261" t="s">
        <v>11101</v>
      </c>
      <c r="F114" s="279">
        <v>25000</v>
      </c>
      <c r="G114" s="833" t="s">
        <v>12681</v>
      </c>
      <c r="H114" s="138"/>
      <c r="J114" s="832" t="s">
        <v>12889</v>
      </c>
      <c r="K114" s="839">
        <v>5.0000000000000001E-3</v>
      </c>
      <c r="L114" s="261" t="s">
        <v>10911</v>
      </c>
      <c r="M114" s="261" t="s">
        <v>330</v>
      </c>
      <c r="N114" s="261" t="s">
        <v>1947</v>
      </c>
      <c r="O114" s="279">
        <v>50000</v>
      </c>
      <c r="P114" s="833" t="s">
        <v>12647</v>
      </c>
      <c r="R114" s="832" t="s">
        <v>12477</v>
      </c>
      <c r="S114" s="261" t="s">
        <v>12648</v>
      </c>
      <c r="T114" s="261" t="s">
        <v>11593</v>
      </c>
      <c r="U114" s="261" t="s">
        <v>330</v>
      </c>
      <c r="V114" s="261" t="s">
        <v>2837</v>
      </c>
      <c r="W114" s="279">
        <v>100000</v>
      </c>
      <c r="X114" s="833" t="s">
        <v>12649</v>
      </c>
    </row>
    <row r="115" spans="1:24" x14ac:dyDescent="0.2">
      <c r="A115" s="832" t="s">
        <v>12890</v>
      </c>
      <c r="B115" s="261" t="s">
        <v>12619</v>
      </c>
      <c r="C115" s="261" t="s">
        <v>839</v>
      </c>
      <c r="D115" s="261" t="s">
        <v>122</v>
      </c>
      <c r="E115" s="261" t="s">
        <v>11101</v>
      </c>
      <c r="F115" s="279">
        <v>50000</v>
      </c>
      <c r="G115" s="833" t="s">
        <v>12684</v>
      </c>
      <c r="H115" s="138"/>
      <c r="J115" s="832" t="s">
        <v>12891</v>
      </c>
      <c r="K115" s="839">
        <v>5.0000000000000001E-3</v>
      </c>
      <c r="L115" s="261" t="s">
        <v>11101</v>
      </c>
      <c r="M115" s="261" t="s">
        <v>330</v>
      </c>
      <c r="N115" s="261" t="s">
        <v>1947</v>
      </c>
      <c r="O115" s="279">
        <v>50000</v>
      </c>
      <c r="P115" s="833" t="s">
        <v>12653</v>
      </c>
      <c r="R115" s="832" t="s">
        <v>12478</v>
      </c>
      <c r="S115" s="261" t="s">
        <v>12654</v>
      </c>
      <c r="T115" s="261" t="s">
        <v>11593</v>
      </c>
      <c r="U115" s="261" t="s">
        <v>330</v>
      </c>
      <c r="V115" s="261" t="s">
        <v>2837</v>
      </c>
      <c r="W115" s="279">
        <v>100000</v>
      </c>
      <c r="X115" s="833" t="s">
        <v>12655</v>
      </c>
    </row>
    <row r="116" spans="1:24" x14ac:dyDescent="0.2">
      <c r="A116" s="832" t="s">
        <v>12892</v>
      </c>
      <c r="B116" s="261" t="s">
        <v>7211</v>
      </c>
      <c r="C116" s="261" t="s">
        <v>839</v>
      </c>
      <c r="D116" s="261" t="s">
        <v>122</v>
      </c>
      <c r="E116" s="261" t="s">
        <v>11101</v>
      </c>
      <c r="F116" s="279">
        <v>50000</v>
      </c>
      <c r="G116" s="833" t="s">
        <v>12673</v>
      </c>
      <c r="H116" s="138"/>
      <c r="J116" s="832" t="s">
        <v>12893</v>
      </c>
      <c r="K116" s="839">
        <v>5.0000000000000001E-3</v>
      </c>
      <c r="L116" s="261" t="s">
        <v>11229</v>
      </c>
      <c r="M116" s="261" t="s">
        <v>330</v>
      </c>
      <c r="N116" s="261" t="s">
        <v>1947</v>
      </c>
      <c r="O116" s="279">
        <v>90000</v>
      </c>
      <c r="P116" s="833" t="s">
        <v>12659</v>
      </c>
      <c r="R116" s="832" t="s">
        <v>12479</v>
      </c>
      <c r="S116" s="261" t="s">
        <v>12648</v>
      </c>
      <c r="T116" s="261" t="s">
        <v>11790</v>
      </c>
      <c r="U116" s="261" t="s">
        <v>330</v>
      </c>
      <c r="V116" s="261" t="s">
        <v>2837</v>
      </c>
      <c r="W116" s="279">
        <v>100000</v>
      </c>
      <c r="X116" s="833" t="s">
        <v>12649</v>
      </c>
    </row>
    <row r="117" spans="1:24" x14ac:dyDescent="0.2">
      <c r="A117" s="832" t="s">
        <v>12894</v>
      </c>
      <c r="B117" s="261" t="s">
        <v>1591</v>
      </c>
      <c r="C117" s="261" t="s">
        <v>839</v>
      </c>
      <c r="D117" s="261" t="s">
        <v>122</v>
      </c>
      <c r="E117" s="261" t="s">
        <v>11101</v>
      </c>
      <c r="F117" s="279">
        <v>50000</v>
      </c>
      <c r="G117" s="833" t="s">
        <v>12676</v>
      </c>
      <c r="H117" s="138"/>
      <c r="J117" s="832" t="s">
        <v>12895</v>
      </c>
      <c r="K117" s="839">
        <v>1.4999999999999999E-2</v>
      </c>
      <c r="L117" s="261" t="s">
        <v>11371</v>
      </c>
      <c r="M117" s="261" t="s">
        <v>330</v>
      </c>
      <c r="N117" s="261" t="s">
        <v>1947</v>
      </c>
      <c r="O117" s="279">
        <v>150000</v>
      </c>
      <c r="P117" s="833" t="s">
        <v>12662</v>
      </c>
      <c r="R117" s="832" t="s">
        <v>12480</v>
      </c>
      <c r="S117" s="261" t="s">
        <v>12654</v>
      </c>
      <c r="T117" s="261" t="s">
        <v>11790</v>
      </c>
      <c r="U117" s="261" t="s">
        <v>330</v>
      </c>
      <c r="V117" s="261" t="s">
        <v>2837</v>
      </c>
      <c r="W117" s="279">
        <v>100000</v>
      </c>
      <c r="X117" s="833" t="s">
        <v>12655</v>
      </c>
    </row>
    <row r="118" spans="1:24" x14ac:dyDescent="0.2">
      <c r="A118" s="832" t="s">
        <v>12896</v>
      </c>
      <c r="B118" s="261" t="s">
        <v>7912</v>
      </c>
      <c r="C118" s="261" t="s">
        <v>839</v>
      </c>
      <c r="D118" s="261" t="s">
        <v>122</v>
      </c>
      <c r="E118" s="261" t="s">
        <v>11101</v>
      </c>
      <c r="F118" s="279">
        <v>50000</v>
      </c>
      <c r="G118" s="833" t="s">
        <v>12681</v>
      </c>
      <c r="H118" s="138"/>
      <c r="J118" s="832" t="s">
        <v>12897</v>
      </c>
      <c r="K118" s="839">
        <v>1.4999999999999999E-2</v>
      </c>
      <c r="L118" s="261" t="s">
        <v>11593</v>
      </c>
      <c r="M118" s="261" t="s">
        <v>330</v>
      </c>
      <c r="N118" s="261" t="s">
        <v>1947</v>
      </c>
      <c r="O118" s="279">
        <v>100000</v>
      </c>
      <c r="P118" s="833" t="s">
        <v>12665</v>
      </c>
      <c r="R118" s="832" t="s">
        <v>12481</v>
      </c>
      <c r="S118" s="261" t="s">
        <v>12648</v>
      </c>
      <c r="T118" s="261" t="s">
        <v>11593</v>
      </c>
      <c r="U118" s="261" t="s">
        <v>429</v>
      </c>
      <c r="V118" s="261" t="s">
        <v>2837</v>
      </c>
      <c r="W118" s="279">
        <v>100000</v>
      </c>
      <c r="X118" s="833" t="s">
        <v>12649</v>
      </c>
    </row>
    <row r="119" spans="1:24" x14ac:dyDescent="0.2">
      <c r="A119" s="832" t="s">
        <v>12898</v>
      </c>
      <c r="B119" s="261" t="s">
        <v>12594</v>
      </c>
      <c r="C119" s="261" t="s">
        <v>839</v>
      </c>
      <c r="D119" s="261" t="s">
        <v>122</v>
      </c>
      <c r="E119" s="261" t="s">
        <v>11593</v>
      </c>
      <c r="F119" s="279">
        <v>200000</v>
      </c>
      <c r="G119" s="833" t="s">
        <v>12693</v>
      </c>
      <c r="H119" s="138"/>
      <c r="J119" s="832" t="s">
        <v>12899</v>
      </c>
      <c r="K119" s="839">
        <v>1.4999999999999999E-2</v>
      </c>
      <c r="L119" s="261" t="s">
        <v>11790</v>
      </c>
      <c r="M119" s="261" t="s">
        <v>330</v>
      </c>
      <c r="N119" s="261" t="s">
        <v>1947</v>
      </c>
      <c r="O119" s="279">
        <v>300000</v>
      </c>
      <c r="P119" s="833" t="s">
        <v>12668</v>
      </c>
      <c r="R119" s="832" t="s">
        <v>12482</v>
      </c>
      <c r="S119" s="261" t="s">
        <v>12654</v>
      </c>
      <c r="T119" s="261" t="s">
        <v>11593</v>
      </c>
      <c r="U119" s="261" t="s">
        <v>429</v>
      </c>
      <c r="V119" s="261" t="s">
        <v>2837</v>
      </c>
      <c r="W119" s="279">
        <v>100000</v>
      </c>
      <c r="X119" s="833" t="s">
        <v>12655</v>
      </c>
    </row>
    <row r="120" spans="1:24" x14ac:dyDescent="0.2">
      <c r="A120" s="832" t="s">
        <v>12900</v>
      </c>
      <c r="B120" s="261" t="s">
        <v>11792</v>
      </c>
      <c r="C120" s="261" t="s">
        <v>839</v>
      </c>
      <c r="D120" s="261" t="s">
        <v>122</v>
      </c>
      <c r="E120" s="261" t="s">
        <v>11790</v>
      </c>
      <c r="F120" s="279">
        <v>300000</v>
      </c>
      <c r="G120" s="833" t="s">
        <v>12668</v>
      </c>
      <c r="H120" s="138" t="s">
        <v>12696</v>
      </c>
      <c r="J120" s="832" t="s">
        <v>12901</v>
      </c>
      <c r="K120" s="839">
        <v>5.0000000000000001E-3</v>
      </c>
      <c r="L120" s="261" t="s">
        <v>10911</v>
      </c>
      <c r="M120" s="261" t="s">
        <v>429</v>
      </c>
      <c r="N120" s="261" t="s">
        <v>1947</v>
      </c>
      <c r="O120" s="279">
        <v>50000</v>
      </c>
      <c r="P120" s="833" t="s">
        <v>12647</v>
      </c>
      <c r="R120" s="832" t="s">
        <v>12483</v>
      </c>
      <c r="S120" s="261" t="s">
        <v>12648</v>
      </c>
      <c r="T120" s="261" t="s">
        <v>11790</v>
      </c>
      <c r="U120" s="261" t="s">
        <v>429</v>
      </c>
      <c r="V120" s="261" t="s">
        <v>2837</v>
      </c>
      <c r="W120" s="279">
        <v>100000</v>
      </c>
      <c r="X120" s="833" t="s">
        <v>12649</v>
      </c>
    </row>
    <row r="121" spans="1:24" x14ac:dyDescent="0.2">
      <c r="A121" s="832" t="s">
        <v>12902</v>
      </c>
      <c r="B121" s="261" t="s">
        <v>12597</v>
      </c>
      <c r="C121" s="261" t="s">
        <v>949</v>
      </c>
      <c r="D121" s="261" t="s">
        <v>122</v>
      </c>
      <c r="E121" s="261" t="s">
        <v>11101</v>
      </c>
      <c r="F121" s="279">
        <v>10000</v>
      </c>
      <c r="G121" s="833" t="s">
        <v>12645</v>
      </c>
      <c r="H121" s="138"/>
      <c r="J121" s="832" t="s">
        <v>12903</v>
      </c>
      <c r="K121" s="839">
        <v>5.0000000000000001E-3</v>
      </c>
      <c r="L121" s="261" t="s">
        <v>11101</v>
      </c>
      <c r="M121" s="261" t="s">
        <v>429</v>
      </c>
      <c r="N121" s="261" t="s">
        <v>1947</v>
      </c>
      <c r="O121" s="279">
        <v>50000</v>
      </c>
      <c r="P121" s="833" t="s">
        <v>12653</v>
      </c>
      <c r="R121" s="832" t="s">
        <v>12484</v>
      </c>
      <c r="S121" s="261" t="s">
        <v>12654</v>
      </c>
      <c r="T121" s="261" t="s">
        <v>11790</v>
      </c>
      <c r="U121" s="261" t="s">
        <v>429</v>
      </c>
      <c r="V121" s="261" t="s">
        <v>2837</v>
      </c>
      <c r="W121" s="279">
        <v>100000</v>
      </c>
      <c r="X121" s="833" t="s">
        <v>12655</v>
      </c>
    </row>
    <row r="122" spans="1:24" x14ac:dyDescent="0.2">
      <c r="A122" s="832" t="s">
        <v>12904</v>
      </c>
      <c r="B122" s="261" t="s">
        <v>12599</v>
      </c>
      <c r="C122" s="261" t="s">
        <v>949</v>
      </c>
      <c r="D122" s="261" t="s">
        <v>122</v>
      </c>
      <c r="E122" s="261" t="s">
        <v>11101</v>
      </c>
      <c r="F122" s="279">
        <v>10000</v>
      </c>
      <c r="G122" s="833" t="s">
        <v>12651</v>
      </c>
      <c r="H122" s="138"/>
      <c r="J122" s="832" t="s">
        <v>12905</v>
      </c>
      <c r="K122" s="839">
        <v>5.0000000000000001E-3</v>
      </c>
      <c r="L122" s="261" t="s">
        <v>11229</v>
      </c>
      <c r="M122" s="261" t="s">
        <v>429</v>
      </c>
      <c r="N122" s="261" t="s">
        <v>1947</v>
      </c>
      <c r="O122" s="279">
        <v>90000</v>
      </c>
      <c r="P122" s="833" t="s">
        <v>12659</v>
      </c>
      <c r="R122" s="832" t="s">
        <v>12485</v>
      </c>
      <c r="S122" s="261" t="s">
        <v>12648</v>
      </c>
      <c r="T122" s="261" t="s">
        <v>11593</v>
      </c>
      <c r="U122" s="261" t="s">
        <v>543</v>
      </c>
      <c r="V122" s="261" t="s">
        <v>2837</v>
      </c>
      <c r="W122" s="279">
        <v>100000</v>
      </c>
      <c r="X122" s="833" t="s">
        <v>12649</v>
      </c>
    </row>
    <row r="123" spans="1:24" x14ac:dyDescent="0.2">
      <c r="A123" s="832" t="s">
        <v>12906</v>
      </c>
      <c r="B123" s="261" t="s">
        <v>12601</v>
      </c>
      <c r="C123" s="261" t="s">
        <v>949</v>
      </c>
      <c r="D123" s="261" t="s">
        <v>122</v>
      </c>
      <c r="E123" s="261" t="s">
        <v>11101</v>
      </c>
      <c r="F123" s="279">
        <v>10000</v>
      </c>
      <c r="G123" s="833" t="s">
        <v>12657</v>
      </c>
      <c r="H123" s="138"/>
      <c r="J123" s="832" t="s">
        <v>12907</v>
      </c>
      <c r="K123" s="839">
        <v>1.4999999999999999E-2</v>
      </c>
      <c r="L123" s="261" t="s">
        <v>11371</v>
      </c>
      <c r="M123" s="261" t="s">
        <v>429</v>
      </c>
      <c r="N123" s="261" t="s">
        <v>1947</v>
      </c>
      <c r="O123" s="279">
        <v>150000</v>
      </c>
      <c r="P123" s="833" t="s">
        <v>12662</v>
      </c>
      <c r="R123" s="832" t="s">
        <v>12486</v>
      </c>
      <c r="S123" s="261" t="s">
        <v>12654</v>
      </c>
      <c r="T123" s="261" t="s">
        <v>11593</v>
      </c>
      <c r="U123" s="261" t="s">
        <v>543</v>
      </c>
      <c r="V123" s="261" t="s">
        <v>2837</v>
      </c>
      <c r="W123" s="279">
        <v>100000</v>
      </c>
      <c r="X123" s="833" t="s">
        <v>12655</v>
      </c>
    </row>
    <row r="124" spans="1:24" x14ac:dyDescent="0.2">
      <c r="A124" s="832" t="s">
        <v>12908</v>
      </c>
      <c r="B124" s="261" t="s">
        <v>12603</v>
      </c>
      <c r="C124" s="261" t="s">
        <v>949</v>
      </c>
      <c r="D124" s="261" t="s">
        <v>122</v>
      </c>
      <c r="E124" s="261" t="s">
        <v>11101</v>
      </c>
      <c r="F124" s="279">
        <v>10000</v>
      </c>
      <c r="G124" s="833" t="s">
        <v>12645</v>
      </c>
      <c r="H124" s="138"/>
      <c r="J124" s="832" t="s">
        <v>12909</v>
      </c>
      <c r="K124" s="839">
        <v>1.4999999999999999E-2</v>
      </c>
      <c r="L124" s="261" t="s">
        <v>11593</v>
      </c>
      <c r="M124" s="261" t="s">
        <v>429</v>
      </c>
      <c r="N124" s="261" t="s">
        <v>1947</v>
      </c>
      <c r="O124" s="279">
        <v>100000</v>
      </c>
      <c r="P124" s="833" t="s">
        <v>12665</v>
      </c>
      <c r="R124" s="832" t="s">
        <v>12487</v>
      </c>
      <c r="S124" s="261" t="s">
        <v>12648</v>
      </c>
      <c r="T124" s="261" t="s">
        <v>11790</v>
      </c>
      <c r="U124" s="261" t="s">
        <v>543</v>
      </c>
      <c r="V124" s="261" t="s">
        <v>2837</v>
      </c>
      <c r="W124" s="279">
        <v>100000</v>
      </c>
      <c r="X124" s="833" t="s">
        <v>12649</v>
      </c>
    </row>
    <row r="125" spans="1:24" x14ac:dyDescent="0.2">
      <c r="A125" s="832" t="s">
        <v>12910</v>
      </c>
      <c r="B125" s="261" t="s">
        <v>12605</v>
      </c>
      <c r="C125" s="261" t="s">
        <v>949</v>
      </c>
      <c r="D125" s="261" t="s">
        <v>122</v>
      </c>
      <c r="E125" s="261" t="s">
        <v>11101</v>
      </c>
      <c r="F125" s="279">
        <v>10000</v>
      </c>
      <c r="G125" s="833" t="s">
        <v>12651</v>
      </c>
      <c r="H125" s="138"/>
      <c r="J125" s="832" t="s">
        <v>12911</v>
      </c>
      <c r="K125" s="839">
        <v>1.4999999999999999E-2</v>
      </c>
      <c r="L125" s="261" t="s">
        <v>11790</v>
      </c>
      <c r="M125" s="261" t="s">
        <v>429</v>
      </c>
      <c r="N125" s="261" t="s">
        <v>1947</v>
      </c>
      <c r="O125" s="279">
        <v>300000</v>
      </c>
      <c r="P125" s="833" t="s">
        <v>12668</v>
      </c>
      <c r="R125" s="832" t="s">
        <v>12488</v>
      </c>
      <c r="S125" s="261" t="s">
        <v>12654</v>
      </c>
      <c r="T125" s="261" t="s">
        <v>11790</v>
      </c>
      <c r="U125" s="261" t="s">
        <v>543</v>
      </c>
      <c r="V125" s="261" t="s">
        <v>2837</v>
      </c>
      <c r="W125" s="279">
        <v>100000</v>
      </c>
      <c r="X125" s="833" t="s">
        <v>12655</v>
      </c>
    </row>
    <row r="126" spans="1:24" x14ac:dyDescent="0.2">
      <c r="A126" s="832" t="s">
        <v>12912</v>
      </c>
      <c r="B126" s="261" t="s">
        <v>12607</v>
      </c>
      <c r="C126" s="261" t="s">
        <v>949</v>
      </c>
      <c r="D126" s="261" t="s">
        <v>122</v>
      </c>
      <c r="E126" s="261" t="s">
        <v>11101</v>
      </c>
      <c r="F126" s="279">
        <v>10000</v>
      </c>
      <c r="G126" s="833" t="s">
        <v>12657</v>
      </c>
      <c r="H126" s="138"/>
      <c r="J126" s="832" t="s">
        <v>12913</v>
      </c>
      <c r="K126" s="839">
        <v>5.0000000000000001E-3</v>
      </c>
      <c r="L126" s="261" t="s">
        <v>10911</v>
      </c>
      <c r="M126" s="261" t="s">
        <v>543</v>
      </c>
      <c r="N126" s="261" t="s">
        <v>1947</v>
      </c>
      <c r="O126" s="279">
        <v>50000</v>
      </c>
      <c r="P126" s="833" t="s">
        <v>12647</v>
      </c>
      <c r="R126" s="832" t="s">
        <v>12489</v>
      </c>
      <c r="S126" s="261" t="s">
        <v>12648</v>
      </c>
      <c r="T126" s="261" t="s">
        <v>11593</v>
      </c>
      <c r="U126" s="261" t="s">
        <v>645</v>
      </c>
      <c r="V126" s="261" t="s">
        <v>2837</v>
      </c>
      <c r="W126" s="279">
        <v>100000</v>
      </c>
      <c r="X126" s="833" t="s">
        <v>12649</v>
      </c>
    </row>
    <row r="127" spans="1:24" x14ac:dyDescent="0.2">
      <c r="A127" s="832" t="s">
        <v>12914</v>
      </c>
      <c r="B127" s="261" t="s">
        <v>12609</v>
      </c>
      <c r="C127" s="261" t="s">
        <v>949</v>
      </c>
      <c r="D127" s="261" t="s">
        <v>122</v>
      </c>
      <c r="E127" s="261" t="s">
        <v>11101</v>
      </c>
      <c r="F127" s="279">
        <v>25000</v>
      </c>
      <c r="G127" s="833" t="s">
        <v>12670</v>
      </c>
      <c r="H127" s="138"/>
      <c r="J127" s="832" t="s">
        <v>12915</v>
      </c>
      <c r="K127" s="839">
        <v>5.0000000000000001E-3</v>
      </c>
      <c r="L127" s="261" t="s">
        <v>11101</v>
      </c>
      <c r="M127" s="261" t="s">
        <v>543</v>
      </c>
      <c r="N127" s="261" t="s">
        <v>1947</v>
      </c>
      <c r="O127" s="279">
        <v>50000</v>
      </c>
      <c r="P127" s="833" t="s">
        <v>12653</v>
      </c>
      <c r="R127" s="832" t="s">
        <v>12490</v>
      </c>
      <c r="S127" s="261" t="s">
        <v>12654</v>
      </c>
      <c r="T127" s="261" t="s">
        <v>11593</v>
      </c>
      <c r="U127" s="261" t="s">
        <v>645</v>
      </c>
      <c r="V127" s="261" t="s">
        <v>2837</v>
      </c>
      <c r="W127" s="279">
        <v>100000</v>
      </c>
      <c r="X127" s="833" t="s">
        <v>12655</v>
      </c>
    </row>
    <row r="128" spans="1:24" x14ac:dyDescent="0.2">
      <c r="A128" s="832" t="s">
        <v>12916</v>
      </c>
      <c r="B128" s="261" t="s">
        <v>12611</v>
      </c>
      <c r="C128" s="261" t="s">
        <v>949</v>
      </c>
      <c r="D128" s="261" t="s">
        <v>122</v>
      </c>
      <c r="E128" s="261" t="s">
        <v>11101</v>
      </c>
      <c r="F128" s="279">
        <v>25000</v>
      </c>
      <c r="G128" s="833" t="s">
        <v>12673</v>
      </c>
      <c r="H128" s="138"/>
      <c r="J128" s="832" t="s">
        <v>12917</v>
      </c>
      <c r="K128" s="839">
        <v>5.0000000000000001E-3</v>
      </c>
      <c r="L128" s="261" t="s">
        <v>11229</v>
      </c>
      <c r="M128" s="261" t="s">
        <v>543</v>
      </c>
      <c r="N128" s="261" t="s">
        <v>1947</v>
      </c>
      <c r="O128" s="279">
        <v>90000</v>
      </c>
      <c r="P128" s="833" t="s">
        <v>12659</v>
      </c>
      <c r="R128" s="832" t="s">
        <v>12491</v>
      </c>
      <c r="S128" s="261" t="s">
        <v>12648</v>
      </c>
      <c r="T128" s="261" t="s">
        <v>11790</v>
      </c>
      <c r="U128" s="261" t="s">
        <v>645</v>
      </c>
      <c r="V128" s="261" t="s">
        <v>2837</v>
      </c>
      <c r="W128" s="279">
        <v>100000</v>
      </c>
      <c r="X128" s="833" t="s">
        <v>12649</v>
      </c>
    </row>
    <row r="129" spans="1:24" x14ac:dyDescent="0.2">
      <c r="A129" s="832" t="s">
        <v>12918</v>
      </c>
      <c r="B129" s="261" t="s">
        <v>12613</v>
      </c>
      <c r="C129" s="261" t="s">
        <v>949</v>
      </c>
      <c r="D129" s="261" t="s">
        <v>122</v>
      </c>
      <c r="E129" s="261" t="s">
        <v>11101</v>
      </c>
      <c r="F129" s="279">
        <v>25000</v>
      </c>
      <c r="G129" s="833" t="s">
        <v>12676</v>
      </c>
      <c r="H129" s="138"/>
      <c r="J129" s="832" t="s">
        <v>12919</v>
      </c>
      <c r="K129" s="839">
        <v>1.4999999999999999E-2</v>
      </c>
      <c r="L129" s="261" t="s">
        <v>11371</v>
      </c>
      <c r="M129" s="261" t="s">
        <v>543</v>
      </c>
      <c r="N129" s="261" t="s">
        <v>1947</v>
      </c>
      <c r="O129" s="279">
        <v>150000</v>
      </c>
      <c r="P129" s="833" t="s">
        <v>12662</v>
      </c>
      <c r="R129" s="832" t="s">
        <v>12492</v>
      </c>
      <c r="S129" s="261" t="s">
        <v>12654</v>
      </c>
      <c r="T129" s="261" t="s">
        <v>11790</v>
      </c>
      <c r="U129" s="261" t="s">
        <v>645</v>
      </c>
      <c r="V129" s="261" t="s">
        <v>2837</v>
      </c>
      <c r="W129" s="279">
        <v>100000</v>
      </c>
      <c r="X129" s="833" t="s">
        <v>12655</v>
      </c>
    </row>
    <row r="130" spans="1:24" x14ac:dyDescent="0.2">
      <c r="A130" s="832" t="s">
        <v>12920</v>
      </c>
      <c r="B130" s="261" t="s">
        <v>12615</v>
      </c>
      <c r="C130" s="261" t="s">
        <v>949</v>
      </c>
      <c r="D130" s="261" t="s">
        <v>122</v>
      </c>
      <c r="E130" s="261" t="s">
        <v>11101</v>
      </c>
      <c r="F130" s="279">
        <v>25000</v>
      </c>
      <c r="G130" s="833" t="s">
        <v>12670</v>
      </c>
      <c r="H130" s="138"/>
      <c r="J130" s="832" t="s">
        <v>12921</v>
      </c>
      <c r="K130" s="839">
        <v>1.4999999999999999E-2</v>
      </c>
      <c r="L130" s="261" t="s">
        <v>11593</v>
      </c>
      <c r="M130" s="261" t="s">
        <v>543</v>
      </c>
      <c r="N130" s="261" t="s">
        <v>1947</v>
      </c>
      <c r="O130" s="279">
        <v>100000</v>
      </c>
      <c r="P130" s="833" t="s">
        <v>12665</v>
      </c>
      <c r="R130" s="832" t="s">
        <v>12493</v>
      </c>
      <c r="S130" s="261" t="s">
        <v>12648</v>
      </c>
      <c r="T130" s="261" t="s">
        <v>11593</v>
      </c>
      <c r="U130" s="261" t="s">
        <v>759</v>
      </c>
      <c r="V130" s="261" t="s">
        <v>2837</v>
      </c>
      <c r="W130" s="279">
        <v>100000</v>
      </c>
      <c r="X130" s="833" t="s">
        <v>12649</v>
      </c>
    </row>
    <row r="131" spans="1:24" x14ac:dyDescent="0.2">
      <c r="A131" s="832" t="s">
        <v>12922</v>
      </c>
      <c r="B131" s="261" t="s">
        <v>12617</v>
      </c>
      <c r="C131" s="261" t="s">
        <v>949</v>
      </c>
      <c r="D131" s="261" t="s">
        <v>122</v>
      </c>
      <c r="E131" s="261" t="s">
        <v>11101</v>
      </c>
      <c r="F131" s="279">
        <v>25000</v>
      </c>
      <c r="G131" s="833" t="s">
        <v>12681</v>
      </c>
      <c r="H131" s="138"/>
      <c r="J131" s="832" t="s">
        <v>12923</v>
      </c>
      <c r="K131" s="839">
        <v>1.4999999999999999E-2</v>
      </c>
      <c r="L131" s="261" t="s">
        <v>11790</v>
      </c>
      <c r="M131" s="261" t="s">
        <v>543</v>
      </c>
      <c r="N131" s="261" t="s">
        <v>1947</v>
      </c>
      <c r="O131" s="279">
        <v>300000</v>
      </c>
      <c r="P131" s="833" t="s">
        <v>12668</v>
      </c>
      <c r="R131" s="832" t="s">
        <v>12494</v>
      </c>
      <c r="S131" s="261" t="s">
        <v>12654</v>
      </c>
      <c r="T131" s="261" t="s">
        <v>11593</v>
      </c>
      <c r="U131" s="261" t="s">
        <v>759</v>
      </c>
      <c r="V131" s="261" t="s">
        <v>2837</v>
      </c>
      <c r="W131" s="279">
        <v>100000</v>
      </c>
      <c r="X131" s="833" t="s">
        <v>12655</v>
      </c>
    </row>
    <row r="132" spans="1:24" x14ac:dyDescent="0.2">
      <c r="A132" s="832" t="s">
        <v>12924</v>
      </c>
      <c r="B132" s="261" t="s">
        <v>12619</v>
      </c>
      <c r="C132" s="261" t="s">
        <v>949</v>
      </c>
      <c r="D132" s="261" t="s">
        <v>122</v>
      </c>
      <c r="E132" s="261" t="s">
        <v>11101</v>
      </c>
      <c r="F132" s="279">
        <v>50000</v>
      </c>
      <c r="G132" s="833" t="s">
        <v>12684</v>
      </c>
      <c r="H132" s="138"/>
      <c r="J132" s="832" t="s">
        <v>12925</v>
      </c>
      <c r="K132" s="839">
        <v>5.0000000000000001E-3</v>
      </c>
      <c r="L132" s="261" t="s">
        <v>10911</v>
      </c>
      <c r="M132" s="261" t="s">
        <v>645</v>
      </c>
      <c r="N132" s="261" t="s">
        <v>1947</v>
      </c>
      <c r="O132" s="279">
        <v>50000</v>
      </c>
      <c r="P132" s="833" t="s">
        <v>12647</v>
      </c>
      <c r="R132" s="832" t="s">
        <v>12495</v>
      </c>
      <c r="S132" s="261" t="s">
        <v>12648</v>
      </c>
      <c r="T132" s="261" t="s">
        <v>11790</v>
      </c>
      <c r="U132" s="261" t="s">
        <v>759</v>
      </c>
      <c r="V132" s="261" t="s">
        <v>2837</v>
      </c>
      <c r="W132" s="279">
        <v>100000</v>
      </c>
      <c r="X132" s="833" t="s">
        <v>12649</v>
      </c>
    </row>
    <row r="133" spans="1:24" x14ac:dyDescent="0.2">
      <c r="A133" s="832" t="s">
        <v>12926</v>
      </c>
      <c r="B133" s="261" t="s">
        <v>7211</v>
      </c>
      <c r="C133" s="261" t="s">
        <v>949</v>
      </c>
      <c r="D133" s="261" t="s">
        <v>122</v>
      </c>
      <c r="E133" s="261" t="s">
        <v>11101</v>
      </c>
      <c r="F133" s="279">
        <v>50000</v>
      </c>
      <c r="G133" s="833" t="s">
        <v>12673</v>
      </c>
      <c r="H133" s="138"/>
      <c r="J133" s="832" t="s">
        <v>12927</v>
      </c>
      <c r="K133" s="839">
        <v>5.0000000000000001E-3</v>
      </c>
      <c r="L133" s="261" t="s">
        <v>11101</v>
      </c>
      <c r="M133" s="261" t="s">
        <v>645</v>
      </c>
      <c r="N133" s="261" t="s">
        <v>1947</v>
      </c>
      <c r="O133" s="279">
        <v>50000</v>
      </c>
      <c r="P133" s="833" t="s">
        <v>12653</v>
      </c>
      <c r="R133" s="832" t="s">
        <v>12496</v>
      </c>
      <c r="S133" s="261" t="s">
        <v>12654</v>
      </c>
      <c r="T133" s="261" t="s">
        <v>11790</v>
      </c>
      <c r="U133" s="261" t="s">
        <v>759</v>
      </c>
      <c r="V133" s="261" t="s">
        <v>2837</v>
      </c>
      <c r="W133" s="279">
        <v>100000</v>
      </c>
      <c r="X133" s="833" t="s">
        <v>12655</v>
      </c>
    </row>
    <row r="134" spans="1:24" x14ac:dyDescent="0.2">
      <c r="A134" s="832" t="s">
        <v>12928</v>
      </c>
      <c r="B134" s="261" t="s">
        <v>1591</v>
      </c>
      <c r="C134" s="261" t="s">
        <v>949</v>
      </c>
      <c r="D134" s="261" t="s">
        <v>122</v>
      </c>
      <c r="E134" s="261" t="s">
        <v>11101</v>
      </c>
      <c r="F134" s="279">
        <v>50000</v>
      </c>
      <c r="G134" s="833" t="s">
        <v>12676</v>
      </c>
      <c r="H134" s="138"/>
      <c r="J134" s="832" t="s">
        <v>12929</v>
      </c>
      <c r="K134" s="839">
        <v>5.0000000000000001E-3</v>
      </c>
      <c r="L134" s="261" t="s">
        <v>11229</v>
      </c>
      <c r="M134" s="261" t="s">
        <v>645</v>
      </c>
      <c r="N134" s="261" t="s">
        <v>1947</v>
      </c>
      <c r="O134" s="279">
        <v>90000</v>
      </c>
      <c r="P134" s="833" t="s">
        <v>12659</v>
      </c>
      <c r="R134" s="832" t="s">
        <v>12497</v>
      </c>
      <c r="S134" s="261" t="s">
        <v>12648</v>
      </c>
      <c r="T134" s="261" t="s">
        <v>11593</v>
      </c>
      <c r="U134" s="261" t="s">
        <v>839</v>
      </c>
      <c r="V134" s="261" t="s">
        <v>2837</v>
      </c>
      <c r="W134" s="279">
        <v>100000</v>
      </c>
      <c r="X134" s="833" t="s">
        <v>12649</v>
      </c>
    </row>
    <row r="135" spans="1:24" x14ac:dyDescent="0.2">
      <c r="A135" s="832" t="s">
        <v>12930</v>
      </c>
      <c r="B135" s="261" t="s">
        <v>7912</v>
      </c>
      <c r="C135" s="261" t="s">
        <v>949</v>
      </c>
      <c r="D135" s="261" t="s">
        <v>122</v>
      </c>
      <c r="E135" s="261" t="s">
        <v>11101</v>
      </c>
      <c r="F135" s="279">
        <v>50000</v>
      </c>
      <c r="G135" s="833" t="s">
        <v>12681</v>
      </c>
      <c r="H135" s="138"/>
      <c r="J135" s="832" t="s">
        <v>12931</v>
      </c>
      <c r="K135" s="839">
        <v>1.4999999999999999E-2</v>
      </c>
      <c r="L135" s="261" t="s">
        <v>11371</v>
      </c>
      <c r="M135" s="261" t="s">
        <v>645</v>
      </c>
      <c r="N135" s="261" t="s">
        <v>1947</v>
      </c>
      <c r="O135" s="279">
        <v>150000</v>
      </c>
      <c r="P135" s="833" t="s">
        <v>12662</v>
      </c>
      <c r="R135" s="832" t="s">
        <v>12498</v>
      </c>
      <c r="S135" s="261" t="s">
        <v>12654</v>
      </c>
      <c r="T135" s="261" t="s">
        <v>11593</v>
      </c>
      <c r="U135" s="261" t="s">
        <v>839</v>
      </c>
      <c r="V135" s="261" t="s">
        <v>2837</v>
      </c>
      <c r="W135" s="279">
        <v>100000</v>
      </c>
      <c r="X135" s="833" t="s">
        <v>12655</v>
      </c>
    </row>
    <row r="136" spans="1:24" x14ac:dyDescent="0.2">
      <c r="A136" s="832" t="s">
        <v>12932</v>
      </c>
      <c r="B136" s="261" t="s">
        <v>12594</v>
      </c>
      <c r="C136" s="261" t="s">
        <v>949</v>
      </c>
      <c r="D136" s="261" t="s">
        <v>122</v>
      </c>
      <c r="E136" s="261" t="s">
        <v>11593</v>
      </c>
      <c r="F136" s="279">
        <v>200000</v>
      </c>
      <c r="G136" s="833" t="s">
        <v>12693</v>
      </c>
      <c r="H136" s="138"/>
      <c r="J136" s="832" t="s">
        <v>12933</v>
      </c>
      <c r="K136" s="839">
        <v>1.4999999999999999E-2</v>
      </c>
      <c r="L136" s="261" t="s">
        <v>11593</v>
      </c>
      <c r="M136" s="261" t="s">
        <v>645</v>
      </c>
      <c r="N136" s="261" t="s">
        <v>1947</v>
      </c>
      <c r="O136" s="279">
        <v>100000</v>
      </c>
      <c r="P136" s="833" t="s">
        <v>12665</v>
      </c>
      <c r="R136" s="832" t="s">
        <v>12499</v>
      </c>
      <c r="S136" s="261" t="s">
        <v>12648</v>
      </c>
      <c r="T136" s="261" t="s">
        <v>11790</v>
      </c>
      <c r="U136" s="261" t="s">
        <v>839</v>
      </c>
      <c r="V136" s="261" t="s">
        <v>2837</v>
      </c>
      <c r="W136" s="279">
        <v>100000</v>
      </c>
      <c r="X136" s="833" t="s">
        <v>12649</v>
      </c>
    </row>
    <row r="137" spans="1:24" x14ac:dyDescent="0.2">
      <c r="A137" s="832" t="s">
        <v>12934</v>
      </c>
      <c r="B137" s="261" t="s">
        <v>11792</v>
      </c>
      <c r="C137" s="261" t="s">
        <v>949</v>
      </c>
      <c r="D137" s="261" t="s">
        <v>122</v>
      </c>
      <c r="E137" s="261" t="s">
        <v>11790</v>
      </c>
      <c r="F137" s="279">
        <v>300000</v>
      </c>
      <c r="G137" s="833" t="s">
        <v>12668</v>
      </c>
      <c r="H137" s="138" t="s">
        <v>12696</v>
      </c>
      <c r="J137" s="832" t="s">
        <v>12935</v>
      </c>
      <c r="K137" s="839">
        <v>1.4999999999999999E-2</v>
      </c>
      <c r="L137" s="261" t="s">
        <v>11790</v>
      </c>
      <c r="M137" s="261" t="s">
        <v>645</v>
      </c>
      <c r="N137" s="261" t="s">
        <v>1947</v>
      </c>
      <c r="O137" s="279">
        <v>300000</v>
      </c>
      <c r="P137" s="833" t="s">
        <v>12668</v>
      </c>
      <c r="R137" s="832" t="s">
        <v>12500</v>
      </c>
      <c r="S137" s="261" t="s">
        <v>12654</v>
      </c>
      <c r="T137" s="261" t="s">
        <v>11790</v>
      </c>
      <c r="U137" s="261" t="s">
        <v>839</v>
      </c>
      <c r="V137" s="261" t="s">
        <v>2837</v>
      </c>
      <c r="W137" s="279">
        <v>100000</v>
      </c>
      <c r="X137" s="833" t="s">
        <v>12655</v>
      </c>
    </row>
    <row r="138" spans="1:24" x14ac:dyDescent="0.2">
      <c r="A138" s="832" t="s">
        <v>12936</v>
      </c>
      <c r="B138" s="261" t="s">
        <v>12597</v>
      </c>
      <c r="C138" s="261" t="s">
        <v>1054</v>
      </c>
      <c r="D138" s="261" t="s">
        <v>122</v>
      </c>
      <c r="E138" s="261" t="s">
        <v>11101</v>
      </c>
      <c r="F138" s="279">
        <v>10000</v>
      </c>
      <c r="G138" s="833" t="s">
        <v>12645</v>
      </c>
      <c r="H138" s="138"/>
      <c r="J138" s="832" t="s">
        <v>12937</v>
      </c>
      <c r="K138" s="839">
        <v>5.0000000000000001E-3</v>
      </c>
      <c r="L138" s="261" t="s">
        <v>10911</v>
      </c>
      <c r="M138" s="261" t="s">
        <v>759</v>
      </c>
      <c r="N138" s="261" t="s">
        <v>1947</v>
      </c>
      <c r="O138" s="279">
        <v>50000</v>
      </c>
      <c r="P138" s="833" t="s">
        <v>12647</v>
      </c>
      <c r="R138" s="832" t="s">
        <v>12501</v>
      </c>
      <c r="S138" s="261" t="s">
        <v>12648</v>
      </c>
      <c r="T138" s="261" t="s">
        <v>11593</v>
      </c>
      <c r="U138" s="261" t="s">
        <v>949</v>
      </c>
      <c r="V138" s="261" t="s">
        <v>2837</v>
      </c>
      <c r="W138" s="279">
        <v>100000</v>
      </c>
      <c r="X138" s="833" t="s">
        <v>12649</v>
      </c>
    </row>
    <row r="139" spans="1:24" x14ac:dyDescent="0.2">
      <c r="A139" s="832" t="s">
        <v>12938</v>
      </c>
      <c r="B139" s="261" t="s">
        <v>12599</v>
      </c>
      <c r="C139" s="261" t="s">
        <v>1054</v>
      </c>
      <c r="D139" s="261" t="s">
        <v>122</v>
      </c>
      <c r="E139" s="261" t="s">
        <v>11101</v>
      </c>
      <c r="F139" s="279">
        <v>10000</v>
      </c>
      <c r="G139" s="833" t="s">
        <v>12651</v>
      </c>
      <c r="H139" s="138"/>
      <c r="J139" s="832" t="s">
        <v>12939</v>
      </c>
      <c r="K139" s="839">
        <v>5.0000000000000001E-3</v>
      </c>
      <c r="L139" s="261" t="s">
        <v>11101</v>
      </c>
      <c r="M139" s="261" t="s">
        <v>759</v>
      </c>
      <c r="N139" s="261" t="s">
        <v>1947</v>
      </c>
      <c r="O139" s="279">
        <v>50000</v>
      </c>
      <c r="P139" s="833" t="s">
        <v>12653</v>
      </c>
      <c r="R139" s="832" t="s">
        <v>12502</v>
      </c>
      <c r="S139" s="261" t="s">
        <v>12654</v>
      </c>
      <c r="T139" s="261" t="s">
        <v>11593</v>
      </c>
      <c r="U139" s="261" t="s">
        <v>949</v>
      </c>
      <c r="V139" s="261" t="s">
        <v>2837</v>
      </c>
      <c r="W139" s="279">
        <v>100000</v>
      </c>
      <c r="X139" s="833" t="s">
        <v>12655</v>
      </c>
    </row>
    <row r="140" spans="1:24" x14ac:dyDescent="0.2">
      <c r="A140" s="832" t="s">
        <v>12940</v>
      </c>
      <c r="B140" s="261" t="s">
        <v>12601</v>
      </c>
      <c r="C140" s="261" t="s">
        <v>1054</v>
      </c>
      <c r="D140" s="261" t="s">
        <v>122</v>
      </c>
      <c r="E140" s="261" t="s">
        <v>11101</v>
      </c>
      <c r="F140" s="279">
        <v>10000</v>
      </c>
      <c r="G140" s="833" t="s">
        <v>12657</v>
      </c>
      <c r="H140" s="138"/>
      <c r="J140" s="832" t="s">
        <v>12941</v>
      </c>
      <c r="K140" s="839">
        <v>5.0000000000000001E-3</v>
      </c>
      <c r="L140" s="261" t="s">
        <v>11229</v>
      </c>
      <c r="M140" s="261" t="s">
        <v>759</v>
      </c>
      <c r="N140" s="261" t="s">
        <v>1947</v>
      </c>
      <c r="O140" s="279">
        <v>90000</v>
      </c>
      <c r="P140" s="833" t="s">
        <v>12659</v>
      </c>
      <c r="R140" s="832" t="s">
        <v>12503</v>
      </c>
      <c r="S140" s="261" t="s">
        <v>12648</v>
      </c>
      <c r="T140" s="261" t="s">
        <v>11790</v>
      </c>
      <c r="U140" s="261" t="s">
        <v>949</v>
      </c>
      <c r="V140" s="261" t="s">
        <v>2837</v>
      </c>
      <c r="W140" s="279">
        <v>100000</v>
      </c>
      <c r="X140" s="833" t="s">
        <v>12649</v>
      </c>
    </row>
    <row r="141" spans="1:24" x14ac:dyDescent="0.2">
      <c r="A141" s="832" t="s">
        <v>12942</v>
      </c>
      <c r="B141" s="261" t="s">
        <v>12603</v>
      </c>
      <c r="C141" s="261" t="s">
        <v>1054</v>
      </c>
      <c r="D141" s="261" t="s">
        <v>122</v>
      </c>
      <c r="E141" s="261" t="s">
        <v>11101</v>
      </c>
      <c r="F141" s="279">
        <v>10000</v>
      </c>
      <c r="G141" s="833" t="s">
        <v>12645</v>
      </c>
      <c r="H141" s="138"/>
      <c r="J141" s="832" t="s">
        <v>12943</v>
      </c>
      <c r="K141" s="839">
        <v>1.4999999999999999E-2</v>
      </c>
      <c r="L141" s="261" t="s">
        <v>11371</v>
      </c>
      <c r="M141" s="261" t="s">
        <v>759</v>
      </c>
      <c r="N141" s="261" t="s">
        <v>1947</v>
      </c>
      <c r="O141" s="279">
        <v>150000</v>
      </c>
      <c r="P141" s="833" t="s">
        <v>12662</v>
      </c>
      <c r="R141" s="832" t="s">
        <v>12504</v>
      </c>
      <c r="S141" s="261" t="s">
        <v>12654</v>
      </c>
      <c r="T141" s="261" t="s">
        <v>11790</v>
      </c>
      <c r="U141" s="261" t="s">
        <v>949</v>
      </c>
      <c r="V141" s="261" t="s">
        <v>2837</v>
      </c>
      <c r="W141" s="279">
        <v>100000</v>
      </c>
      <c r="X141" s="833" t="s">
        <v>12655</v>
      </c>
    </row>
    <row r="142" spans="1:24" x14ac:dyDescent="0.2">
      <c r="A142" s="832" t="s">
        <v>12944</v>
      </c>
      <c r="B142" s="261" t="s">
        <v>12605</v>
      </c>
      <c r="C142" s="261" t="s">
        <v>1054</v>
      </c>
      <c r="D142" s="261" t="s">
        <v>122</v>
      </c>
      <c r="E142" s="261" t="s">
        <v>11101</v>
      </c>
      <c r="F142" s="279">
        <v>10000</v>
      </c>
      <c r="G142" s="833" t="s">
        <v>12651</v>
      </c>
      <c r="H142" s="138"/>
      <c r="J142" s="832" t="s">
        <v>12945</v>
      </c>
      <c r="K142" s="839">
        <v>1.4999999999999999E-2</v>
      </c>
      <c r="L142" s="261" t="s">
        <v>11593</v>
      </c>
      <c r="M142" s="261" t="s">
        <v>759</v>
      </c>
      <c r="N142" s="261" t="s">
        <v>1947</v>
      </c>
      <c r="O142" s="279">
        <v>100000</v>
      </c>
      <c r="P142" s="833" t="s">
        <v>12665</v>
      </c>
      <c r="R142" s="832" t="s">
        <v>12505</v>
      </c>
      <c r="S142" s="261" t="s">
        <v>12648</v>
      </c>
      <c r="T142" s="261" t="s">
        <v>11593</v>
      </c>
      <c r="U142" s="261" t="s">
        <v>1054</v>
      </c>
      <c r="V142" s="261" t="s">
        <v>2837</v>
      </c>
      <c r="W142" s="279">
        <v>100000</v>
      </c>
      <c r="X142" s="833" t="s">
        <v>12649</v>
      </c>
    </row>
    <row r="143" spans="1:24" x14ac:dyDescent="0.2">
      <c r="A143" s="832" t="s">
        <v>12946</v>
      </c>
      <c r="B143" s="261" t="s">
        <v>12607</v>
      </c>
      <c r="C143" s="261" t="s">
        <v>1054</v>
      </c>
      <c r="D143" s="261" t="s">
        <v>122</v>
      </c>
      <c r="E143" s="261" t="s">
        <v>11101</v>
      </c>
      <c r="F143" s="279">
        <v>10000</v>
      </c>
      <c r="G143" s="833" t="s">
        <v>12657</v>
      </c>
      <c r="H143" s="138"/>
      <c r="J143" s="832" t="s">
        <v>12947</v>
      </c>
      <c r="K143" s="839">
        <v>1.4999999999999999E-2</v>
      </c>
      <c r="L143" s="261" t="s">
        <v>11790</v>
      </c>
      <c r="M143" s="261" t="s">
        <v>759</v>
      </c>
      <c r="N143" s="261" t="s">
        <v>1947</v>
      </c>
      <c r="O143" s="279">
        <v>300000</v>
      </c>
      <c r="P143" s="833" t="s">
        <v>12668</v>
      </c>
      <c r="R143" s="832" t="s">
        <v>12506</v>
      </c>
      <c r="S143" s="261" t="s">
        <v>12654</v>
      </c>
      <c r="T143" s="261" t="s">
        <v>11593</v>
      </c>
      <c r="U143" s="261" t="s">
        <v>1054</v>
      </c>
      <c r="V143" s="261" t="s">
        <v>2837</v>
      </c>
      <c r="W143" s="279">
        <v>100000</v>
      </c>
      <c r="X143" s="833" t="s">
        <v>12655</v>
      </c>
    </row>
    <row r="144" spans="1:24" x14ac:dyDescent="0.2">
      <c r="A144" s="832" t="s">
        <v>12948</v>
      </c>
      <c r="B144" s="261" t="s">
        <v>12609</v>
      </c>
      <c r="C144" s="261" t="s">
        <v>1054</v>
      </c>
      <c r="D144" s="261" t="s">
        <v>122</v>
      </c>
      <c r="E144" s="261" t="s">
        <v>11101</v>
      </c>
      <c r="F144" s="279">
        <v>25000</v>
      </c>
      <c r="G144" s="833" t="s">
        <v>12670</v>
      </c>
      <c r="H144" s="138"/>
      <c r="J144" s="832" t="s">
        <v>12949</v>
      </c>
      <c r="K144" s="839">
        <v>5.0000000000000001E-3</v>
      </c>
      <c r="L144" s="261" t="s">
        <v>10911</v>
      </c>
      <c r="M144" s="261" t="s">
        <v>839</v>
      </c>
      <c r="N144" s="261" t="s">
        <v>1947</v>
      </c>
      <c r="O144" s="279">
        <v>50000</v>
      </c>
      <c r="P144" s="833" t="s">
        <v>12647</v>
      </c>
      <c r="R144" s="832" t="s">
        <v>12507</v>
      </c>
      <c r="S144" s="261" t="s">
        <v>12648</v>
      </c>
      <c r="T144" s="261" t="s">
        <v>11790</v>
      </c>
      <c r="U144" s="261" t="s">
        <v>1054</v>
      </c>
      <c r="V144" s="261" t="s">
        <v>2837</v>
      </c>
      <c r="W144" s="279">
        <v>100000</v>
      </c>
      <c r="X144" s="833" t="s">
        <v>12649</v>
      </c>
    </row>
    <row r="145" spans="1:24" x14ac:dyDescent="0.2">
      <c r="A145" s="832" t="s">
        <v>12950</v>
      </c>
      <c r="B145" s="261" t="s">
        <v>12611</v>
      </c>
      <c r="C145" s="261" t="s">
        <v>1054</v>
      </c>
      <c r="D145" s="261" t="s">
        <v>122</v>
      </c>
      <c r="E145" s="261" t="s">
        <v>11101</v>
      </c>
      <c r="F145" s="279">
        <v>25000</v>
      </c>
      <c r="G145" s="833" t="s">
        <v>12673</v>
      </c>
      <c r="H145" s="138"/>
      <c r="J145" s="832" t="s">
        <v>12951</v>
      </c>
      <c r="K145" s="839">
        <v>5.0000000000000001E-3</v>
      </c>
      <c r="L145" s="261" t="s">
        <v>11101</v>
      </c>
      <c r="M145" s="261" t="s">
        <v>839</v>
      </c>
      <c r="N145" s="261" t="s">
        <v>1947</v>
      </c>
      <c r="O145" s="279">
        <v>50000</v>
      </c>
      <c r="P145" s="833" t="s">
        <v>12653</v>
      </c>
      <c r="R145" s="832" t="s">
        <v>12508</v>
      </c>
      <c r="S145" s="261" t="s">
        <v>12654</v>
      </c>
      <c r="T145" s="261" t="s">
        <v>11790</v>
      </c>
      <c r="U145" s="261" t="s">
        <v>1054</v>
      </c>
      <c r="V145" s="261" t="s">
        <v>2837</v>
      </c>
      <c r="W145" s="279">
        <v>100000</v>
      </c>
      <c r="X145" s="833" t="s">
        <v>12655</v>
      </c>
    </row>
    <row r="146" spans="1:24" x14ac:dyDescent="0.2">
      <c r="A146" s="832" t="s">
        <v>12952</v>
      </c>
      <c r="B146" s="261" t="s">
        <v>12613</v>
      </c>
      <c r="C146" s="261" t="s">
        <v>1054</v>
      </c>
      <c r="D146" s="261" t="s">
        <v>122</v>
      </c>
      <c r="E146" s="261" t="s">
        <v>11101</v>
      </c>
      <c r="F146" s="279">
        <v>25000</v>
      </c>
      <c r="G146" s="833" t="s">
        <v>12676</v>
      </c>
      <c r="H146" s="138"/>
      <c r="J146" s="832" t="s">
        <v>12953</v>
      </c>
      <c r="K146" s="839">
        <v>5.0000000000000001E-3</v>
      </c>
      <c r="L146" s="261" t="s">
        <v>11229</v>
      </c>
      <c r="M146" s="261" t="s">
        <v>839</v>
      </c>
      <c r="N146" s="261" t="s">
        <v>1947</v>
      </c>
      <c r="O146" s="279">
        <v>90000</v>
      </c>
      <c r="P146" s="833" t="s">
        <v>12659</v>
      </c>
      <c r="R146" s="832" t="s">
        <v>12509</v>
      </c>
      <c r="S146" s="261" t="s">
        <v>12648</v>
      </c>
      <c r="T146" s="261" t="s">
        <v>11593</v>
      </c>
      <c r="U146" s="261" t="s">
        <v>123</v>
      </c>
      <c r="V146" s="261" t="s">
        <v>3779</v>
      </c>
      <c r="W146" s="279">
        <v>100000</v>
      </c>
      <c r="X146" s="833" t="s">
        <v>12649</v>
      </c>
    </row>
    <row r="147" spans="1:24" x14ac:dyDescent="0.2">
      <c r="A147" s="832" t="s">
        <v>12954</v>
      </c>
      <c r="B147" s="261" t="s">
        <v>12615</v>
      </c>
      <c r="C147" s="261" t="s">
        <v>1054</v>
      </c>
      <c r="D147" s="261" t="s">
        <v>122</v>
      </c>
      <c r="E147" s="261" t="s">
        <v>11101</v>
      </c>
      <c r="F147" s="279">
        <v>25000</v>
      </c>
      <c r="G147" s="833" t="s">
        <v>12670</v>
      </c>
      <c r="H147" s="138"/>
      <c r="J147" s="832" t="s">
        <v>12955</v>
      </c>
      <c r="K147" s="839">
        <v>1.4999999999999999E-2</v>
      </c>
      <c r="L147" s="261" t="s">
        <v>11371</v>
      </c>
      <c r="M147" s="261" t="s">
        <v>839</v>
      </c>
      <c r="N147" s="261" t="s">
        <v>1947</v>
      </c>
      <c r="O147" s="279">
        <v>150000</v>
      </c>
      <c r="P147" s="833" t="s">
        <v>12662</v>
      </c>
      <c r="R147" s="832" t="s">
        <v>12510</v>
      </c>
      <c r="S147" s="261" t="s">
        <v>12654</v>
      </c>
      <c r="T147" s="261" t="s">
        <v>11593</v>
      </c>
      <c r="U147" s="261" t="s">
        <v>123</v>
      </c>
      <c r="V147" s="261" t="s">
        <v>3779</v>
      </c>
      <c r="W147" s="279">
        <v>100000</v>
      </c>
      <c r="X147" s="833" t="s">
        <v>12655</v>
      </c>
    </row>
    <row r="148" spans="1:24" x14ac:dyDescent="0.2">
      <c r="A148" s="832" t="s">
        <v>12956</v>
      </c>
      <c r="B148" s="261" t="s">
        <v>12617</v>
      </c>
      <c r="C148" s="261" t="s">
        <v>1054</v>
      </c>
      <c r="D148" s="261" t="s">
        <v>122</v>
      </c>
      <c r="E148" s="261" t="s">
        <v>11101</v>
      </c>
      <c r="F148" s="279">
        <v>25000</v>
      </c>
      <c r="G148" s="833" t="s">
        <v>12681</v>
      </c>
      <c r="H148" s="138"/>
      <c r="J148" s="832" t="s">
        <v>12957</v>
      </c>
      <c r="K148" s="839">
        <v>1.4999999999999999E-2</v>
      </c>
      <c r="L148" s="261" t="s">
        <v>11593</v>
      </c>
      <c r="M148" s="261" t="s">
        <v>839</v>
      </c>
      <c r="N148" s="261" t="s">
        <v>1947</v>
      </c>
      <c r="O148" s="279">
        <v>100000</v>
      </c>
      <c r="P148" s="833" t="s">
        <v>12665</v>
      </c>
      <c r="R148" s="832" t="s">
        <v>12511</v>
      </c>
      <c r="S148" s="261" t="s">
        <v>12648</v>
      </c>
      <c r="T148" s="261" t="s">
        <v>11790</v>
      </c>
      <c r="U148" s="261" t="s">
        <v>123</v>
      </c>
      <c r="V148" s="261" t="s">
        <v>3779</v>
      </c>
      <c r="W148" s="279">
        <v>100000</v>
      </c>
      <c r="X148" s="833" t="s">
        <v>12649</v>
      </c>
    </row>
    <row r="149" spans="1:24" x14ac:dyDescent="0.2">
      <c r="A149" s="832" t="s">
        <v>12958</v>
      </c>
      <c r="B149" s="261" t="s">
        <v>12619</v>
      </c>
      <c r="C149" s="261" t="s">
        <v>1054</v>
      </c>
      <c r="D149" s="261" t="s">
        <v>122</v>
      </c>
      <c r="E149" s="261" t="s">
        <v>11101</v>
      </c>
      <c r="F149" s="279">
        <v>50000</v>
      </c>
      <c r="G149" s="833" t="s">
        <v>12684</v>
      </c>
      <c r="H149" s="138"/>
      <c r="J149" s="832" t="s">
        <v>12959</v>
      </c>
      <c r="K149" s="839">
        <v>1.4999999999999999E-2</v>
      </c>
      <c r="L149" s="261" t="s">
        <v>11790</v>
      </c>
      <c r="M149" s="261" t="s">
        <v>839</v>
      </c>
      <c r="N149" s="261" t="s">
        <v>1947</v>
      </c>
      <c r="O149" s="279">
        <v>300000</v>
      </c>
      <c r="P149" s="833" t="s">
        <v>12668</v>
      </c>
      <c r="R149" s="832" t="s">
        <v>12512</v>
      </c>
      <c r="S149" s="261" t="s">
        <v>12654</v>
      </c>
      <c r="T149" s="261" t="s">
        <v>11790</v>
      </c>
      <c r="U149" s="261" t="s">
        <v>123</v>
      </c>
      <c r="V149" s="261" t="s">
        <v>3779</v>
      </c>
      <c r="W149" s="279">
        <v>100000</v>
      </c>
      <c r="X149" s="833" t="s">
        <v>12655</v>
      </c>
    </row>
    <row r="150" spans="1:24" x14ac:dyDescent="0.2">
      <c r="A150" s="832" t="s">
        <v>12960</v>
      </c>
      <c r="B150" s="261" t="s">
        <v>7211</v>
      </c>
      <c r="C150" s="261" t="s">
        <v>1054</v>
      </c>
      <c r="D150" s="261" t="s">
        <v>122</v>
      </c>
      <c r="E150" s="261" t="s">
        <v>11101</v>
      </c>
      <c r="F150" s="279">
        <v>50000</v>
      </c>
      <c r="G150" s="833" t="s">
        <v>12673</v>
      </c>
      <c r="H150" s="138"/>
      <c r="J150" s="832" t="s">
        <v>12961</v>
      </c>
      <c r="K150" s="839">
        <v>5.0000000000000001E-3</v>
      </c>
      <c r="L150" s="261" t="s">
        <v>10911</v>
      </c>
      <c r="M150" s="261" t="s">
        <v>949</v>
      </c>
      <c r="N150" s="261" t="s">
        <v>1947</v>
      </c>
      <c r="O150" s="279">
        <v>50000</v>
      </c>
      <c r="P150" s="833" t="s">
        <v>12647</v>
      </c>
      <c r="R150" s="832" t="s">
        <v>12513</v>
      </c>
      <c r="S150" s="261" t="s">
        <v>12648</v>
      </c>
      <c r="T150" s="261" t="s">
        <v>11593</v>
      </c>
      <c r="U150" s="261" t="s">
        <v>330</v>
      </c>
      <c r="V150" s="261" t="s">
        <v>3779</v>
      </c>
      <c r="W150" s="279">
        <v>100000</v>
      </c>
      <c r="X150" s="833" t="s">
        <v>12649</v>
      </c>
    </row>
    <row r="151" spans="1:24" x14ac:dyDescent="0.2">
      <c r="A151" s="832" t="s">
        <v>12962</v>
      </c>
      <c r="B151" s="261" t="s">
        <v>1591</v>
      </c>
      <c r="C151" s="261" t="s">
        <v>1054</v>
      </c>
      <c r="D151" s="261" t="s">
        <v>122</v>
      </c>
      <c r="E151" s="261" t="s">
        <v>11101</v>
      </c>
      <c r="F151" s="279">
        <v>50000</v>
      </c>
      <c r="G151" s="833" t="s">
        <v>12676</v>
      </c>
      <c r="H151" s="138"/>
      <c r="J151" s="832" t="s">
        <v>12963</v>
      </c>
      <c r="K151" s="839">
        <v>5.0000000000000001E-3</v>
      </c>
      <c r="L151" s="261" t="s">
        <v>11101</v>
      </c>
      <c r="M151" s="261" t="s">
        <v>949</v>
      </c>
      <c r="N151" s="261" t="s">
        <v>1947</v>
      </c>
      <c r="O151" s="279">
        <v>50000</v>
      </c>
      <c r="P151" s="833" t="s">
        <v>12653</v>
      </c>
      <c r="R151" s="832" t="s">
        <v>12514</v>
      </c>
      <c r="S151" s="261" t="s">
        <v>12654</v>
      </c>
      <c r="T151" s="261" t="s">
        <v>11593</v>
      </c>
      <c r="U151" s="261" t="s">
        <v>330</v>
      </c>
      <c r="V151" s="261" t="s">
        <v>3779</v>
      </c>
      <c r="W151" s="279">
        <v>100000</v>
      </c>
      <c r="X151" s="833" t="s">
        <v>12655</v>
      </c>
    </row>
    <row r="152" spans="1:24" x14ac:dyDescent="0.2">
      <c r="A152" s="832" t="s">
        <v>12964</v>
      </c>
      <c r="B152" s="261" t="s">
        <v>7912</v>
      </c>
      <c r="C152" s="261" t="s">
        <v>1054</v>
      </c>
      <c r="D152" s="261" t="s">
        <v>122</v>
      </c>
      <c r="E152" s="261" t="s">
        <v>11101</v>
      </c>
      <c r="F152" s="279">
        <v>50000</v>
      </c>
      <c r="G152" s="833" t="s">
        <v>12681</v>
      </c>
      <c r="H152" s="138"/>
      <c r="J152" s="832" t="s">
        <v>12965</v>
      </c>
      <c r="K152" s="839">
        <v>5.0000000000000001E-3</v>
      </c>
      <c r="L152" s="261" t="s">
        <v>11229</v>
      </c>
      <c r="M152" s="261" t="s">
        <v>949</v>
      </c>
      <c r="N152" s="261" t="s">
        <v>1947</v>
      </c>
      <c r="O152" s="279">
        <v>90000</v>
      </c>
      <c r="P152" s="833" t="s">
        <v>12659</v>
      </c>
      <c r="R152" s="832" t="s">
        <v>12515</v>
      </c>
      <c r="S152" s="261" t="s">
        <v>12648</v>
      </c>
      <c r="T152" s="261" t="s">
        <v>11790</v>
      </c>
      <c r="U152" s="261" t="s">
        <v>330</v>
      </c>
      <c r="V152" s="261" t="s">
        <v>3779</v>
      </c>
      <c r="W152" s="279">
        <v>100000</v>
      </c>
      <c r="X152" s="833" t="s">
        <v>12649</v>
      </c>
    </row>
    <row r="153" spans="1:24" x14ac:dyDescent="0.2">
      <c r="A153" s="832" t="s">
        <v>12966</v>
      </c>
      <c r="B153" s="261" t="s">
        <v>12594</v>
      </c>
      <c r="C153" s="261" t="s">
        <v>1054</v>
      </c>
      <c r="D153" s="261" t="s">
        <v>122</v>
      </c>
      <c r="E153" s="261" t="s">
        <v>11593</v>
      </c>
      <c r="F153" s="279">
        <v>200000</v>
      </c>
      <c r="G153" s="833" t="s">
        <v>12693</v>
      </c>
      <c r="H153" s="138"/>
      <c r="J153" s="832" t="s">
        <v>12967</v>
      </c>
      <c r="K153" s="839">
        <v>1.4999999999999999E-2</v>
      </c>
      <c r="L153" s="261" t="s">
        <v>11371</v>
      </c>
      <c r="M153" s="261" t="s">
        <v>949</v>
      </c>
      <c r="N153" s="261" t="s">
        <v>1947</v>
      </c>
      <c r="O153" s="279">
        <v>150000</v>
      </c>
      <c r="P153" s="833" t="s">
        <v>12662</v>
      </c>
      <c r="R153" s="832" t="s">
        <v>12516</v>
      </c>
      <c r="S153" s="261" t="s">
        <v>12654</v>
      </c>
      <c r="T153" s="261" t="s">
        <v>11790</v>
      </c>
      <c r="U153" s="261" t="s">
        <v>330</v>
      </c>
      <c r="V153" s="261" t="s">
        <v>3779</v>
      </c>
      <c r="W153" s="279">
        <v>100000</v>
      </c>
      <c r="X153" s="833" t="s">
        <v>12655</v>
      </c>
    </row>
    <row r="154" spans="1:24" x14ac:dyDescent="0.2">
      <c r="A154" s="832" t="s">
        <v>12968</v>
      </c>
      <c r="B154" s="261" t="s">
        <v>11792</v>
      </c>
      <c r="C154" s="261" t="s">
        <v>1054</v>
      </c>
      <c r="D154" s="261" t="s">
        <v>122</v>
      </c>
      <c r="E154" s="261" t="s">
        <v>11790</v>
      </c>
      <c r="F154" s="279">
        <v>300000</v>
      </c>
      <c r="G154" s="833" t="s">
        <v>12668</v>
      </c>
      <c r="H154" s="138" t="s">
        <v>12696</v>
      </c>
      <c r="J154" s="832" t="s">
        <v>12969</v>
      </c>
      <c r="K154" s="839">
        <v>1.4999999999999999E-2</v>
      </c>
      <c r="L154" s="261" t="s">
        <v>11593</v>
      </c>
      <c r="M154" s="261" t="s">
        <v>949</v>
      </c>
      <c r="N154" s="261" t="s">
        <v>1947</v>
      </c>
      <c r="O154" s="279">
        <v>100000</v>
      </c>
      <c r="P154" s="833" t="s">
        <v>12665</v>
      </c>
      <c r="R154" s="832" t="s">
        <v>12517</v>
      </c>
      <c r="S154" s="261" t="s">
        <v>12648</v>
      </c>
      <c r="T154" s="261" t="s">
        <v>11593</v>
      </c>
      <c r="U154" s="261" t="s">
        <v>429</v>
      </c>
      <c r="V154" s="261" t="s">
        <v>3779</v>
      </c>
      <c r="W154" s="279">
        <v>100000</v>
      </c>
      <c r="X154" s="833" t="s">
        <v>12649</v>
      </c>
    </row>
    <row r="155" spans="1:24" x14ac:dyDescent="0.2">
      <c r="A155" s="832" t="s">
        <v>12970</v>
      </c>
      <c r="B155" s="261" t="s">
        <v>12597</v>
      </c>
      <c r="C155" s="261" t="s">
        <v>123</v>
      </c>
      <c r="D155" s="261" t="s">
        <v>1103</v>
      </c>
      <c r="E155" s="261" t="s">
        <v>11101</v>
      </c>
      <c r="F155" s="279">
        <v>10000</v>
      </c>
      <c r="G155" s="833" t="s">
        <v>12645</v>
      </c>
      <c r="H155" s="138"/>
      <c r="J155" s="832" t="s">
        <v>12971</v>
      </c>
      <c r="K155" s="839">
        <v>1.4999999999999999E-2</v>
      </c>
      <c r="L155" s="261" t="s">
        <v>11790</v>
      </c>
      <c r="M155" s="261" t="s">
        <v>949</v>
      </c>
      <c r="N155" s="261" t="s">
        <v>1947</v>
      </c>
      <c r="O155" s="279">
        <v>300000</v>
      </c>
      <c r="P155" s="833" t="s">
        <v>12668</v>
      </c>
      <c r="R155" s="832" t="s">
        <v>12518</v>
      </c>
      <c r="S155" s="261" t="s">
        <v>12654</v>
      </c>
      <c r="T155" s="261" t="s">
        <v>11593</v>
      </c>
      <c r="U155" s="261" t="s">
        <v>429</v>
      </c>
      <c r="V155" s="261" t="s">
        <v>3779</v>
      </c>
      <c r="W155" s="279">
        <v>100000</v>
      </c>
      <c r="X155" s="833" t="s">
        <v>12655</v>
      </c>
    </row>
    <row r="156" spans="1:24" x14ac:dyDescent="0.2">
      <c r="A156" s="832" t="s">
        <v>12972</v>
      </c>
      <c r="B156" s="261" t="s">
        <v>12599</v>
      </c>
      <c r="C156" s="261" t="s">
        <v>123</v>
      </c>
      <c r="D156" s="261" t="s">
        <v>1103</v>
      </c>
      <c r="E156" s="261" t="s">
        <v>11101</v>
      </c>
      <c r="F156" s="279">
        <v>10000</v>
      </c>
      <c r="G156" s="833" t="s">
        <v>12651</v>
      </c>
      <c r="H156" s="138"/>
      <c r="J156" s="832" t="s">
        <v>12973</v>
      </c>
      <c r="K156" s="839">
        <v>5.0000000000000001E-3</v>
      </c>
      <c r="L156" s="261" t="s">
        <v>10911</v>
      </c>
      <c r="M156" s="261" t="s">
        <v>1054</v>
      </c>
      <c r="N156" s="261" t="s">
        <v>1947</v>
      </c>
      <c r="O156" s="279">
        <v>50000</v>
      </c>
      <c r="P156" s="833" t="s">
        <v>12647</v>
      </c>
      <c r="R156" s="832" t="s">
        <v>12519</v>
      </c>
      <c r="S156" s="261" t="s">
        <v>12648</v>
      </c>
      <c r="T156" s="261" t="s">
        <v>11790</v>
      </c>
      <c r="U156" s="261" t="s">
        <v>429</v>
      </c>
      <c r="V156" s="261" t="s">
        <v>3779</v>
      </c>
      <c r="W156" s="279">
        <v>100000</v>
      </c>
      <c r="X156" s="833" t="s">
        <v>12649</v>
      </c>
    </row>
    <row r="157" spans="1:24" x14ac:dyDescent="0.2">
      <c r="A157" s="832" t="s">
        <v>12974</v>
      </c>
      <c r="B157" s="261" t="s">
        <v>12601</v>
      </c>
      <c r="C157" s="261" t="s">
        <v>123</v>
      </c>
      <c r="D157" s="261" t="s">
        <v>1103</v>
      </c>
      <c r="E157" s="261" t="s">
        <v>11101</v>
      </c>
      <c r="F157" s="279">
        <v>10000</v>
      </c>
      <c r="G157" s="833" t="s">
        <v>12657</v>
      </c>
      <c r="H157" s="138"/>
      <c r="J157" s="832" t="s">
        <v>12975</v>
      </c>
      <c r="K157" s="839">
        <v>5.0000000000000001E-3</v>
      </c>
      <c r="L157" s="261" t="s">
        <v>11229</v>
      </c>
      <c r="M157" s="261" t="s">
        <v>1054</v>
      </c>
      <c r="N157" s="261" t="s">
        <v>1947</v>
      </c>
      <c r="O157" s="279">
        <v>90000</v>
      </c>
      <c r="P157" s="833" t="s">
        <v>12659</v>
      </c>
      <c r="R157" s="832" t="s">
        <v>12520</v>
      </c>
      <c r="S157" s="261" t="s">
        <v>12654</v>
      </c>
      <c r="T157" s="261" t="s">
        <v>11790</v>
      </c>
      <c r="U157" s="261" t="s">
        <v>429</v>
      </c>
      <c r="V157" s="261" t="s">
        <v>3779</v>
      </c>
      <c r="W157" s="279">
        <v>100000</v>
      </c>
      <c r="X157" s="833" t="s">
        <v>12655</v>
      </c>
    </row>
    <row r="158" spans="1:24" x14ac:dyDescent="0.2">
      <c r="A158" s="832" t="s">
        <v>12976</v>
      </c>
      <c r="B158" s="261" t="s">
        <v>12603</v>
      </c>
      <c r="C158" s="261" t="s">
        <v>123</v>
      </c>
      <c r="D158" s="261" t="s">
        <v>1103</v>
      </c>
      <c r="E158" s="261" t="s">
        <v>11101</v>
      </c>
      <c r="F158" s="279">
        <v>10000</v>
      </c>
      <c r="G158" s="833" t="s">
        <v>12645</v>
      </c>
      <c r="H158" s="138"/>
      <c r="J158" s="832" t="s">
        <v>12977</v>
      </c>
      <c r="K158" s="839">
        <v>1.4999999999999999E-2</v>
      </c>
      <c r="L158" s="261" t="s">
        <v>11371</v>
      </c>
      <c r="M158" s="261" t="s">
        <v>1054</v>
      </c>
      <c r="N158" s="261" t="s">
        <v>1947</v>
      </c>
      <c r="O158" s="279">
        <v>150000</v>
      </c>
      <c r="P158" s="833" t="s">
        <v>12662</v>
      </c>
      <c r="R158" s="832" t="s">
        <v>12521</v>
      </c>
      <c r="S158" s="261" t="s">
        <v>12648</v>
      </c>
      <c r="T158" s="261" t="s">
        <v>11593</v>
      </c>
      <c r="U158" s="261" t="s">
        <v>543</v>
      </c>
      <c r="V158" s="261" t="s">
        <v>3779</v>
      </c>
      <c r="W158" s="279">
        <v>100000</v>
      </c>
      <c r="X158" s="833" t="s">
        <v>12649</v>
      </c>
    </row>
    <row r="159" spans="1:24" x14ac:dyDescent="0.2">
      <c r="A159" s="832" t="s">
        <v>12978</v>
      </c>
      <c r="B159" s="261" t="s">
        <v>12605</v>
      </c>
      <c r="C159" s="261" t="s">
        <v>123</v>
      </c>
      <c r="D159" s="261" t="s">
        <v>1103</v>
      </c>
      <c r="E159" s="261" t="s">
        <v>11101</v>
      </c>
      <c r="F159" s="279">
        <v>10000</v>
      </c>
      <c r="G159" s="833" t="s">
        <v>12651</v>
      </c>
      <c r="H159" s="138"/>
      <c r="J159" s="832" t="s">
        <v>12979</v>
      </c>
      <c r="K159" s="839">
        <v>1.4999999999999999E-2</v>
      </c>
      <c r="L159" s="261" t="s">
        <v>11593</v>
      </c>
      <c r="M159" s="261" t="s">
        <v>1054</v>
      </c>
      <c r="N159" s="261" t="s">
        <v>1947</v>
      </c>
      <c r="O159" s="279">
        <v>100000</v>
      </c>
      <c r="P159" s="833" t="s">
        <v>12665</v>
      </c>
      <c r="R159" s="832" t="s">
        <v>12522</v>
      </c>
      <c r="S159" s="261" t="s">
        <v>12654</v>
      </c>
      <c r="T159" s="261" t="s">
        <v>11593</v>
      </c>
      <c r="U159" s="261" t="s">
        <v>543</v>
      </c>
      <c r="V159" s="261" t="s">
        <v>3779</v>
      </c>
      <c r="W159" s="279">
        <v>100000</v>
      </c>
      <c r="X159" s="833" t="s">
        <v>12655</v>
      </c>
    </row>
    <row r="160" spans="1:24" x14ac:dyDescent="0.2">
      <c r="A160" s="832" t="s">
        <v>12980</v>
      </c>
      <c r="B160" s="261" t="s">
        <v>12607</v>
      </c>
      <c r="C160" s="261" t="s">
        <v>123</v>
      </c>
      <c r="D160" s="261" t="s">
        <v>1103</v>
      </c>
      <c r="E160" s="261" t="s">
        <v>11101</v>
      </c>
      <c r="F160" s="279">
        <v>10000</v>
      </c>
      <c r="G160" s="833" t="s">
        <v>12657</v>
      </c>
      <c r="H160" s="138"/>
      <c r="J160" s="832" t="s">
        <v>12981</v>
      </c>
      <c r="K160" s="839">
        <v>1.4999999999999999E-2</v>
      </c>
      <c r="L160" s="261" t="s">
        <v>11790</v>
      </c>
      <c r="M160" s="261" t="s">
        <v>1054</v>
      </c>
      <c r="N160" s="261" t="s">
        <v>1947</v>
      </c>
      <c r="O160" s="279">
        <v>300000</v>
      </c>
      <c r="P160" s="833" t="s">
        <v>12668</v>
      </c>
      <c r="R160" s="832" t="s">
        <v>12523</v>
      </c>
      <c r="S160" s="261" t="s">
        <v>12648</v>
      </c>
      <c r="T160" s="261" t="s">
        <v>11790</v>
      </c>
      <c r="U160" s="261" t="s">
        <v>543</v>
      </c>
      <c r="V160" s="261" t="s">
        <v>3779</v>
      </c>
      <c r="W160" s="279">
        <v>100000</v>
      </c>
      <c r="X160" s="833" t="s">
        <v>12649</v>
      </c>
    </row>
    <row r="161" spans="1:24" x14ac:dyDescent="0.2">
      <c r="A161" s="832" t="s">
        <v>12982</v>
      </c>
      <c r="B161" s="261" t="s">
        <v>12609</v>
      </c>
      <c r="C161" s="261" t="s">
        <v>123</v>
      </c>
      <c r="D161" s="261" t="s">
        <v>1103</v>
      </c>
      <c r="E161" s="261" t="s">
        <v>11101</v>
      </c>
      <c r="F161" s="279">
        <v>25000</v>
      </c>
      <c r="G161" s="833" t="s">
        <v>12670</v>
      </c>
      <c r="H161" s="138"/>
      <c r="J161" s="832" t="s">
        <v>12983</v>
      </c>
      <c r="K161" s="839">
        <v>5.0000000000000001E-3</v>
      </c>
      <c r="L161" s="261" t="s">
        <v>10911</v>
      </c>
      <c r="M161" s="261" t="s">
        <v>123</v>
      </c>
      <c r="N161" s="261" t="s">
        <v>2837</v>
      </c>
      <c r="O161" s="279">
        <v>50000</v>
      </c>
      <c r="P161" s="833" t="s">
        <v>12647</v>
      </c>
      <c r="R161" s="832" t="s">
        <v>12524</v>
      </c>
      <c r="S161" s="261" t="s">
        <v>12654</v>
      </c>
      <c r="T161" s="261" t="s">
        <v>11790</v>
      </c>
      <c r="U161" s="261" t="s">
        <v>543</v>
      </c>
      <c r="V161" s="261" t="s">
        <v>3779</v>
      </c>
      <c r="W161" s="279">
        <v>100000</v>
      </c>
      <c r="X161" s="833" t="s">
        <v>12655</v>
      </c>
    </row>
    <row r="162" spans="1:24" x14ac:dyDescent="0.2">
      <c r="A162" s="832" t="s">
        <v>12984</v>
      </c>
      <c r="B162" s="261" t="s">
        <v>12611</v>
      </c>
      <c r="C162" s="261" t="s">
        <v>123</v>
      </c>
      <c r="D162" s="261" t="s">
        <v>1103</v>
      </c>
      <c r="E162" s="261" t="s">
        <v>11101</v>
      </c>
      <c r="F162" s="279">
        <v>25000</v>
      </c>
      <c r="G162" s="833" t="s">
        <v>12673</v>
      </c>
      <c r="H162" s="138"/>
      <c r="J162" s="832" t="s">
        <v>12985</v>
      </c>
      <c r="K162" s="839">
        <v>5.0000000000000001E-3</v>
      </c>
      <c r="L162" s="261" t="s">
        <v>11101</v>
      </c>
      <c r="M162" s="261" t="s">
        <v>123</v>
      </c>
      <c r="N162" s="261" t="s">
        <v>2837</v>
      </c>
      <c r="O162" s="279">
        <v>50000</v>
      </c>
      <c r="P162" s="833" t="s">
        <v>12653</v>
      </c>
      <c r="R162" s="832" t="s">
        <v>12525</v>
      </c>
      <c r="S162" s="261" t="s">
        <v>12648</v>
      </c>
      <c r="T162" s="261" t="s">
        <v>11593</v>
      </c>
      <c r="U162" s="261" t="s">
        <v>645</v>
      </c>
      <c r="V162" s="261" t="s">
        <v>3779</v>
      </c>
      <c r="W162" s="279">
        <v>100000</v>
      </c>
      <c r="X162" s="833" t="s">
        <v>12649</v>
      </c>
    </row>
    <row r="163" spans="1:24" x14ac:dyDescent="0.2">
      <c r="A163" s="832" t="s">
        <v>12986</v>
      </c>
      <c r="B163" s="261" t="s">
        <v>12613</v>
      </c>
      <c r="C163" s="261" t="s">
        <v>123</v>
      </c>
      <c r="D163" s="261" t="s">
        <v>1103</v>
      </c>
      <c r="E163" s="261" t="s">
        <v>11101</v>
      </c>
      <c r="F163" s="279">
        <v>25000</v>
      </c>
      <c r="G163" s="833" t="s">
        <v>12676</v>
      </c>
      <c r="H163" s="138"/>
      <c r="J163" s="832" t="s">
        <v>12987</v>
      </c>
      <c r="K163" s="839">
        <v>5.0000000000000001E-3</v>
      </c>
      <c r="L163" s="261" t="s">
        <v>11229</v>
      </c>
      <c r="M163" s="261" t="s">
        <v>123</v>
      </c>
      <c r="N163" s="261" t="s">
        <v>2837</v>
      </c>
      <c r="O163" s="279">
        <v>90000</v>
      </c>
      <c r="P163" s="833" t="s">
        <v>12659</v>
      </c>
      <c r="R163" s="832" t="s">
        <v>12526</v>
      </c>
      <c r="S163" s="261" t="s">
        <v>12654</v>
      </c>
      <c r="T163" s="261" t="s">
        <v>11593</v>
      </c>
      <c r="U163" s="261" t="s">
        <v>645</v>
      </c>
      <c r="V163" s="261" t="s">
        <v>3779</v>
      </c>
      <c r="W163" s="279">
        <v>100000</v>
      </c>
      <c r="X163" s="833" t="s">
        <v>12655</v>
      </c>
    </row>
    <row r="164" spans="1:24" x14ac:dyDescent="0.2">
      <c r="A164" s="832" t="s">
        <v>12988</v>
      </c>
      <c r="B164" s="261" t="s">
        <v>12615</v>
      </c>
      <c r="C164" s="261" t="s">
        <v>123</v>
      </c>
      <c r="D164" s="261" t="s">
        <v>1103</v>
      </c>
      <c r="E164" s="261" t="s">
        <v>11101</v>
      </c>
      <c r="F164" s="279">
        <v>25000</v>
      </c>
      <c r="G164" s="833" t="s">
        <v>12670</v>
      </c>
      <c r="H164" s="138"/>
      <c r="J164" s="832" t="s">
        <v>12989</v>
      </c>
      <c r="K164" s="839">
        <v>1.4999999999999999E-2</v>
      </c>
      <c r="L164" s="261" t="s">
        <v>11371</v>
      </c>
      <c r="M164" s="261" t="s">
        <v>123</v>
      </c>
      <c r="N164" s="261" t="s">
        <v>2837</v>
      </c>
      <c r="O164" s="279">
        <v>150000</v>
      </c>
      <c r="P164" s="833" t="s">
        <v>12662</v>
      </c>
      <c r="R164" s="832" t="s">
        <v>12527</v>
      </c>
      <c r="S164" s="261" t="s">
        <v>12648</v>
      </c>
      <c r="T164" s="261" t="s">
        <v>11790</v>
      </c>
      <c r="U164" s="261" t="s">
        <v>645</v>
      </c>
      <c r="V164" s="261" t="s">
        <v>3779</v>
      </c>
      <c r="W164" s="279">
        <v>100000</v>
      </c>
      <c r="X164" s="833" t="s">
        <v>12649</v>
      </c>
    </row>
    <row r="165" spans="1:24" x14ac:dyDescent="0.2">
      <c r="A165" s="832" t="s">
        <v>12990</v>
      </c>
      <c r="B165" s="261" t="s">
        <v>12617</v>
      </c>
      <c r="C165" s="261" t="s">
        <v>123</v>
      </c>
      <c r="D165" s="261" t="s">
        <v>1103</v>
      </c>
      <c r="E165" s="261" t="s">
        <v>11101</v>
      </c>
      <c r="F165" s="279">
        <v>25000</v>
      </c>
      <c r="G165" s="833" t="s">
        <v>12681</v>
      </c>
      <c r="H165" s="138"/>
      <c r="J165" s="832" t="s">
        <v>12991</v>
      </c>
      <c r="K165" s="839">
        <v>1.4999999999999999E-2</v>
      </c>
      <c r="L165" s="261" t="s">
        <v>11593</v>
      </c>
      <c r="M165" s="261" t="s">
        <v>123</v>
      </c>
      <c r="N165" s="261" t="s">
        <v>2837</v>
      </c>
      <c r="O165" s="279">
        <v>100000</v>
      </c>
      <c r="P165" s="833" t="s">
        <v>12665</v>
      </c>
      <c r="R165" s="832" t="s">
        <v>12528</v>
      </c>
      <c r="S165" s="261" t="s">
        <v>12654</v>
      </c>
      <c r="T165" s="261" t="s">
        <v>11790</v>
      </c>
      <c r="U165" s="261" t="s">
        <v>645</v>
      </c>
      <c r="V165" s="261" t="s">
        <v>3779</v>
      </c>
      <c r="W165" s="279">
        <v>100000</v>
      </c>
      <c r="X165" s="833" t="s">
        <v>12655</v>
      </c>
    </row>
    <row r="166" spans="1:24" x14ac:dyDescent="0.2">
      <c r="A166" s="832" t="s">
        <v>12992</v>
      </c>
      <c r="B166" s="261" t="s">
        <v>12619</v>
      </c>
      <c r="C166" s="261" t="s">
        <v>123</v>
      </c>
      <c r="D166" s="261" t="s">
        <v>1103</v>
      </c>
      <c r="E166" s="261" t="s">
        <v>11101</v>
      </c>
      <c r="F166" s="279">
        <v>50000</v>
      </c>
      <c r="G166" s="833" t="s">
        <v>12684</v>
      </c>
      <c r="H166" s="138"/>
      <c r="J166" s="832" t="s">
        <v>12993</v>
      </c>
      <c r="K166" s="839">
        <v>1.4999999999999999E-2</v>
      </c>
      <c r="L166" s="261" t="s">
        <v>11790</v>
      </c>
      <c r="M166" s="261" t="s">
        <v>123</v>
      </c>
      <c r="N166" s="261" t="s">
        <v>2837</v>
      </c>
      <c r="O166" s="279">
        <v>300000</v>
      </c>
      <c r="P166" s="833" t="s">
        <v>12668</v>
      </c>
      <c r="R166" s="832" t="s">
        <v>12529</v>
      </c>
      <c r="S166" s="261" t="s">
        <v>12648</v>
      </c>
      <c r="T166" s="261" t="s">
        <v>11593</v>
      </c>
      <c r="U166" s="261" t="s">
        <v>759</v>
      </c>
      <c r="V166" s="261" t="s">
        <v>3779</v>
      </c>
      <c r="W166" s="279">
        <v>100000</v>
      </c>
      <c r="X166" s="833" t="s">
        <v>12649</v>
      </c>
    </row>
    <row r="167" spans="1:24" x14ac:dyDescent="0.2">
      <c r="A167" s="832" t="s">
        <v>12994</v>
      </c>
      <c r="B167" s="261" t="s">
        <v>7211</v>
      </c>
      <c r="C167" s="261" t="s">
        <v>123</v>
      </c>
      <c r="D167" s="261" t="s">
        <v>1103</v>
      </c>
      <c r="E167" s="261" t="s">
        <v>11101</v>
      </c>
      <c r="F167" s="279">
        <v>50000</v>
      </c>
      <c r="G167" s="833" t="s">
        <v>12673</v>
      </c>
      <c r="H167" s="138"/>
      <c r="J167" s="832" t="s">
        <v>12995</v>
      </c>
      <c r="K167" s="839">
        <v>5.0000000000000001E-3</v>
      </c>
      <c r="L167" s="261" t="s">
        <v>10911</v>
      </c>
      <c r="M167" s="261" t="s">
        <v>330</v>
      </c>
      <c r="N167" s="261" t="s">
        <v>2837</v>
      </c>
      <c r="O167" s="279">
        <v>50000</v>
      </c>
      <c r="P167" s="833" t="s">
        <v>12647</v>
      </c>
      <c r="R167" s="832" t="s">
        <v>12530</v>
      </c>
      <c r="S167" s="261" t="s">
        <v>12654</v>
      </c>
      <c r="T167" s="261" t="s">
        <v>11593</v>
      </c>
      <c r="U167" s="261" t="s">
        <v>759</v>
      </c>
      <c r="V167" s="261" t="s">
        <v>3779</v>
      </c>
      <c r="W167" s="279">
        <v>100000</v>
      </c>
      <c r="X167" s="833" t="s">
        <v>12655</v>
      </c>
    </row>
    <row r="168" spans="1:24" x14ac:dyDescent="0.2">
      <c r="A168" s="832" t="s">
        <v>12996</v>
      </c>
      <c r="B168" s="261" t="s">
        <v>1591</v>
      </c>
      <c r="C168" s="261" t="s">
        <v>123</v>
      </c>
      <c r="D168" s="261" t="s">
        <v>1103</v>
      </c>
      <c r="E168" s="261" t="s">
        <v>11101</v>
      </c>
      <c r="F168" s="279">
        <v>50000</v>
      </c>
      <c r="G168" s="833" t="s">
        <v>12676</v>
      </c>
      <c r="H168" s="138"/>
      <c r="J168" s="832" t="s">
        <v>12997</v>
      </c>
      <c r="K168" s="839">
        <v>5.0000000000000001E-3</v>
      </c>
      <c r="L168" s="261" t="s">
        <v>11101</v>
      </c>
      <c r="M168" s="261" t="s">
        <v>330</v>
      </c>
      <c r="N168" s="261" t="s">
        <v>2837</v>
      </c>
      <c r="O168" s="279">
        <v>50000</v>
      </c>
      <c r="P168" s="833" t="s">
        <v>12653</v>
      </c>
      <c r="R168" s="832" t="s">
        <v>12531</v>
      </c>
      <c r="S168" s="261" t="s">
        <v>12648</v>
      </c>
      <c r="T168" s="261" t="s">
        <v>11790</v>
      </c>
      <c r="U168" s="261" t="s">
        <v>759</v>
      </c>
      <c r="V168" s="261" t="s">
        <v>3779</v>
      </c>
      <c r="W168" s="279">
        <v>100000</v>
      </c>
      <c r="X168" s="833" t="s">
        <v>12649</v>
      </c>
    </row>
    <row r="169" spans="1:24" x14ac:dyDescent="0.2">
      <c r="A169" s="832" t="s">
        <v>12998</v>
      </c>
      <c r="B169" s="261" t="s">
        <v>7912</v>
      </c>
      <c r="C169" s="261" t="s">
        <v>123</v>
      </c>
      <c r="D169" s="261" t="s">
        <v>1103</v>
      </c>
      <c r="E169" s="261" t="s">
        <v>11101</v>
      </c>
      <c r="F169" s="279">
        <v>50000</v>
      </c>
      <c r="G169" s="833" t="s">
        <v>12681</v>
      </c>
      <c r="H169" s="138"/>
      <c r="J169" s="832" t="s">
        <v>12999</v>
      </c>
      <c r="K169" s="839">
        <v>5.0000000000000001E-3</v>
      </c>
      <c r="L169" s="261" t="s">
        <v>11229</v>
      </c>
      <c r="M169" s="261" t="s">
        <v>330</v>
      </c>
      <c r="N169" s="261" t="s">
        <v>2837</v>
      </c>
      <c r="O169" s="279">
        <v>90000</v>
      </c>
      <c r="P169" s="833" t="s">
        <v>12659</v>
      </c>
      <c r="R169" s="832" t="s">
        <v>12532</v>
      </c>
      <c r="S169" s="261" t="s">
        <v>12654</v>
      </c>
      <c r="T169" s="261" t="s">
        <v>11790</v>
      </c>
      <c r="U169" s="261" t="s">
        <v>759</v>
      </c>
      <c r="V169" s="261" t="s">
        <v>3779</v>
      </c>
      <c r="W169" s="279">
        <v>100000</v>
      </c>
      <c r="X169" s="833" t="s">
        <v>12655</v>
      </c>
    </row>
    <row r="170" spans="1:24" x14ac:dyDescent="0.2">
      <c r="A170" s="832" t="s">
        <v>13000</v>
      </c>
      <c r="B170" s="261" t="s">
        <v>12594</v>
      </c>
      <c r="C170" s="261" t="s">
        <v>123</v>
      </c>
      <c r="D170" s="261" t="s">
        <v>1103</v>
      </c>
      <c r="E170" s="261" t="s">
        <v>11593</v>
      </c>
      <c r="F170" s="279">
        <v>200000</v>
      </c>
      <c r="G170" s="833" t="s">
        <v>12693</v>
      </c>
      <c r="H170" s="138"/>
      <c r="J170" s="832" t="s">
        <v>13001</v>
      </c>
      <c r="K170" s="839">
        <v>1.4999999999999999E-2</v>
      </c>
      <c r="L170" s="261" t="s">
        <v>11371</v>
      </c>
      <c r="M170" s="261" t="s">
        <v>330</v>
      </c>
      <c r="N170" s="261" t="s">
        <v>2837</v>
      </c>
      <c r="O170" s="279">
        <v>150000</v>
      </c>
      <c r="P170" s="833" t="s">
        <v>12662</v>
      </c>
      <c r="R170" s="832" t="s">
        <v>12533</v>
      </c>
      <c r="S170" s="261" t="s">
        <v>12648</v>
      </c>
      <c r="T170" s="261" t="s">
        <v>11593</v>
      </c>
      <c r="U170" s="261" t="s">
        <v>839</v>
      </c>
      <c r="V170" s="261" t="s">
        <v>3779</v>
      </c>
      <c r="W170" s="279">
        <v>100000</v>
      </c>
      <c r="X170" s="833" t="s">
        <v>12649</v>
      </c>
    </row>
    <row r="171" spans="1:24" x14ac:dyDescent="0.2">
      <c r="A171" s="832" t="s">
        <v>13002</v>
      </c>
      <c r="B171" s="261" t="s">
        <v>11792</v>
      </c>
      <c r="C171" s="261" t="s">
        <v>123</v>
      </c>
      <c r="D171" s="261" t="s">
        <v>1103</v>
      </c>
      <c r="E171" s="261" t="s">
        <v>11790</v>
      </c>
      <c r="F171" s="279">
        <v>300000</v>
      </c>
      <c r="G171" s="833" t="s">
        <v>12668</v>
      </c>
      <c r="H171" s="138" t="s">
        <v>12696</v>
      </c>
      <c r="J171" s="832" t="s">
        <v>13003</v>
      </c>
      <c r="K171" s="839">
        <v>1.4999999999999999E-2</v>
      </c>
      <c r="L171" s="261" t="s">
        <v>11593</v>
      </c>
      <c r="M171" s="261" t="s">
        <v>330</v>
      </c>
      <c r="N171" s="261" t="s">
        <v>2837</v>
      </c>
      <c r="O171" s="279">
        <v>100000</v>
      </c>
      <c r="P171" s="833" t="s">
        <v>12665</v>
      </c>
      <c r="R171" s="832" t="s">
        <v>12534</v>
      </c>
      <c r="S171" s="261" t="s">
        <v>12654</v>
      </c>
      <c r="T171" s="261" t="s">
        <v>11593</v>
      </c>
      <c r="U171" s="261" t="s">
        <v>839</v>
      </c>
      <c r="V171" s="261" t="s">
        <v>3779</v>
      </c>
      <c r="W171" s="279">
        <v>100000</v>
      </c>
      <c r="X171" s="833" t="s">
        <v>12655</v>
      </c>
    </row>
    <row r="172" spans="1:24" x14ac:dyDescent="0.2">
      <c r="A172" s="832" t="s">
        <v>13004</v>
      </c>
      <c r="B172" s="261" t="s">
        <v>12597</v>
      </c>
      <c r="C172" s="261" t="s">
        <v>330</v>
      </c>
      <c r="D172" s="261" t="s">
        <v>1103</v>
      </c>
      <c r="E172" s="261" t="s">
        <v>11101</v>
      </c>
      <c r="F172" s="279">
        <v>10000</v>
      </c>
      <c r="G172" s="833" t="s">
        <v>12645</v>
      </c>
      <c r="H172" s="138"/>
      <c r="J172" s="832" t="s">
        <v>13005</v>
      </c>
      <c r="K172" s="839">
        <v>1.4999999999999999E-2</v>
      </c>
      <c r="L172" s="261" t="s">
        <v>11790</v>
      </c>
      <c r="M172" s="261" t="s">
        <v>330</v>
      </c>
      <c r="N172" s="261" t="s">
        <v>2837</v>
      </c>
      <c r="O172" s="279">
        <v>300000</v>
      </c>
      <c r="P172" s="833" t="s">
        <v>12668</v>
      </c>
      <c r="R172" s="832" t="s">
        <v>12535</v>
      </c>
      <c r="S172" s="261" t="s">
        <v>12648</v>
      </c>
      <c r="T172" s="261" t="s">
        <v>11790</v>
      </c>
      <c r="U172" s="261" t="s">
        <v>839</v>
      </c>
      <c r="V172" s="261" t="s">
        <v>3779</v>
      </c>
      <c r="W172" s="279">
        <v>100000</v>
      </c>
      <c r="X172" s="833" t="s">
        <v>12649</v>
      </c>
    </row>
    <row r="173" spans="1:24" x14ac:dyDescent="0.2">
      <c r="A173" s="832" t="s">
        <v>13006</v>
      </c>
      <c r="B173" s="261" t="s">
        <v>12599</v>
      </c>
      <c r="C173" s="261" t="s">
        <v>330</v>
      </c>
      <c r="D173" s="261" t="s">
        <v>1103</v>
      </c>
      <c r="E173" s="261" t="s">
        <v>11101</v>
      </c>
      <c r="F173" s="279">
        <v>10000</v>
      </c>
      <c r="G173" s="833" t="s">
        <v>12651</v>
      </c>
      <c r="H173" s="138"/>
      <c r="J173" s="832" t="s">
        <v>13007</v>
      </c>
      <c r="K173" s="839">
        <v>5.0000000000000001E-3</v>
      </c>
      <c r="L173" s="261" t="s">
        <v>10911</v>
      </c>
      <c r="M173" s="261" t="s">
        <v>429</v>
      </c>
      <c r="N173" s="261" t="s">
        <v>2837</v>
      </c>
      <c r="O173" s="279">
        <v>50000</v>
      </c>
      <c r="P173" s="833" t="s">
        <v>12647</v>
      </c>
      <c r="R173" s="832" t="s">
        <v>12536</v>
      </c>
      <c r="S173" s="261" t="s">
        <v>12654</v>
      </c>
      <c r="T173" s="261" t="s">
        <v>11790</v>
      </c>
      <c r="U173" s="261" t="s">
        <v>839</v>
      </c>
      <c r="V173" s="261" t="s">
        <v>3779</v>
      </c>
      <c r="W173" s="279">
        <v>100000</v>
      </c>
      <c r="X173" s="833" t="s">
        <v>12655</v>
      </c>
    </row>
    <row r="174" spans="1:24" x14ac:dyDescent="0.2">
      <c r="A174" s="832" t="s">
        <v>13008</v>
      </c>
      <c r="B174" s="261" t="s">
        <v>12601</v>
      </c>
      <c r="C174" s="261" t="s">
        <v>330</v>
      </c>
      <c r="D174" s="261" t="s">
        <v>1103</v>
      </c>
      <c r="E174" s="261" t="s">
        <v>11101</v>
      </c>
      <c r="F174" s="279">
        <v>10000</v>
      </c>
      <c r="G174" s="833" t="s">
        <v>12657</v>
      </c>
      <c r="H174" s="138"/>
      <c r="J174" s="832" t="s">
        <v>13009</v>
      </c>
      <c r="K174" s="839">
        <v>5.0000000000000001E-3</v>
      </c>
      <c r="L174" s="261" t="s">
        <v>11101</v>
      </c>
      <c r="M174" s="261" t="s">
        <v>429</v>
      </c>
      <c r="N174" s="261" t="s">
        <v>2837</v>
      </c>
      <c r="O174" s="279">
        <v>50000</v>
      </c>
      <c r="P174" s="833" t="s">
        <v>12653</v>
      </c>
      <c r="R174" s="832" t="s">
        <v>12537</v>
      </c>
      <c r="S174" s="261" t="s">
        <v>12648</v>
      </c>
      <c r="T174" s="261" t="s">
        <v>11593</v>
      </c>
      <c r="U174" s="261" t="s">
        <v>949</v>
      </c>
      <c r="V174" s="261" t="s">
        <v>3779</v>
      </c>
      <c r="W174" s="279">
        <v>100000</v>
      </c>
      <c r="X174" s="833" t="s">
        <v>12649</v>
      </c>
    </row>
    <row r="175" spans="1:24" x14ac:dyDescent="0.2">
      <c r="A175" s="832" t="s">
        <v>13010</v>
      </c>
      <c r="B175" s="261" t="s">
        <v>12603</v>
      </c>
      <c r="C175" s="261" t="s">
        <v>330</v>
      </c>
      <c r="D175" s="261" t="s">
        <v>1103</v>
      </c>
      <c r="E175" s="261" t="s">
        <v>11101</v>
      </c>
      <c r="F175" s="279">
        <v>10000</v>
      </c>
      <c r="G175" s="833" t="s">
        <v>12645</v>
      </c>
      <c r="H175" s="138"/>
      <c r="J175" s="832" t="s">
        <v>13011</v>
      </c>
      <c r="K175" s="839">
        <v>5.0000000000000001E-3</v>
      </c>
      <c r="L175" s="261" t="s">
        <v>11229</v>
      </c>
      <c r="M175" s="261" t="s">
        <v>429</v>
      </c>
      <c r="N175" s="261" t="s">
        <v>2837</v>
      </c>
      <c r="O175" s="279">
        <v>90000</v>
      </c>
      <c r="P175" s="833" t="s">
        <v>12659</v>
      </c>
      <c r="R175" s="832" t="s">
        <v>12538</v>
      </c>
      <c r="S175" s="261" t="s">
        <v>12654</v>
      </c>
      <c r="T175" s="261" t="s">
        <v>11593</v>
      </c>
      <c r="U175" s="261" t="s">
        <v>949</v>
      </c>
      <c r="V175" s="261" t="s">
        <v>3779</v>
      </c>
      <c r="W175" s="279">
        <v>100000</v>
      </c>
      <c r="X175" s="833" t="s">
        <v>12655</v>
      </c>
    </row>
    <row r="176" spans="1:24" x14ac:dyDescent="0.2">
      <c r="A176" s="832" t="s">
        <v>13012</v>
      </c>
      <c r="B176" s="261" t="s">
        <v>12605</v>
      </c>
      <c r="C176" s="261" t="s">
        <v>330</v>
      </c>
      <c r="D176" s="261" t="s">
        <v>1103</v>
      </c>
      <c r="E176" s="261" t="s">
        <v>11101</v>
      </c>
      <c r="F176" s="279">
        <v>10000</v>
      </c>
      <c r="G176" s="833" t="s">
        <v>12651</v>
      </c>
      <c r="H176" s="138"/>
      <c r="J176" s="832" t="s">
        <v>13013</v>
      </c>
      <c r="K176" s="839">
        <v>1.4999999999999999E-2</v>
      </c>
      <c r="L176" s="261" t="s">
        <v>11371</v>
      </c>
      <c r="M176" s="261" t="s">
        <v>429</v>
      </c>
      <c r="N176" s="261" t="s">
        <v>2837</v>
      </c>
      <c r="O176" s="279">
        <v>150000</v>
      </c>
      <c r="P176" s="833" t="s">
        <v>12662</v>
      </c>
      <c r="R176" s="832" t="s">
        <v>12539</v>
      </c>
      <c r="S176" s="261" t="s">
        <v>12648</v>
      </c>
      <c r="T176" s="261" t="s">
        <v>11790</v>
      </c>
      <c r="U176" s="261" t="s">
        <v>949</v>
      </c>
      <c r="V176" s="261" t="s">
        <v>3779</v>
      </c>
      <c r="W176" s="279">
        <v>100000</v>
      </c>
      <c r="X176" s="833" t="s">
        <v>12649</v>
      </c>
    </row>
    <row r="177" spans="1:24" x14ac:dyDescent="0.2">
      <c r="A177" s="832" t="s">
        <v>13014</v>
      </c>
      <c r="B177" s="261" t="s">
        <v>12607</v>
      </c>
      <c r="C177" s="261" t="s">
        <v>330</v>
      </c>
      <c r="D177" s="261" t="s">
        <v>1103</v>
      </c>
      <c r="E177" s="261" t="s">
        <v>11101</v>
      </c>
      <c r="F177" s="279">
        <v>10000</v>
      </c>
      <c r="G177" s="833" t="s">
        <v>12657</v>
      </c>
      <c r="H177" s="138"/>
      <c r="J177" s="832" t="s">
        <v>13015</v>
      </c>
      <c r="K177" s="839">
        <v>1.4999999999999999E-2</v>
      </c>
      <c r="L177" s="261" t="s">
        <v>11593</v>
      </c>
      <c r="M177" s="261" t="s">
        <v>429</v>
      </c>
      <c r="N177" s="261" t="s">
        <v>2837</v>
      </c>
      <c r="O177" s="279">
        <v>100000</v>
      </c>
      <c r="P177" s="833" t="s">
        <v>12665</v>
      </c>
      <c r="R177" s="832" t="s">
        <v>12540</v>
      </c>
      <c r="S177" s="261" t="s">
        <v>12654</v>
      </c>
      <c r="T177" s="261" t="s">
        <v>11790</v>
      </c>
      <c r="U177" s="261" t="s">
        <v>949</v>
      </c>
      <c r="V177" s="261" t="s">
        <v>3779</v>
      </c>
      <c r="W177" s="279">
        <v>100000</v>
      </c>
      <c r="X177" s="833" t="s">
        <v>12655</v>
      </c>
    </row>
    <row r="178" spans="1:24" x14ac:dyDescent="0.2">
      <c r="A178" s="832" t="s">
        <v>13016</v>
      </c>
      <c r="B178" s="261" t="s">
        <v>12609</v>
      </c>
      <c r="C178" s="261" t="s">
        <v>330</v>
      </c>
      <c r="D178" s="261" t="s">
        <v>1103</v>
      </c>
      <c r="E178" s="261" t="s">
        <v>11101</v>
      </c>
      <c r="F178" s="279">
        <v>25000</v>
      </c>
      <c r="G178" s="833" t="s">
        <v>12670</v>
      </c>
      <c r="H178" s="138"/>
      <c r="J178" s="832" t="s">
        <v>13017</v>
      </c>
      <c r="K178" s="839">
        <v>1.4999999999999999E-2</v>
      </c>
      <c r="L178" s="261" t="s">
        <v>11790</v>
      </c>
      <c r="M178" s="261" t="s">
        <v>429</v>
      </c>
      <c r="N178" s="261" t="s">
        <v>2837</v>
      </c>
      <c r="O178" s="279">
        <v>300000</v>
      </c>
      <c r="P178" s="833" t="s">
        <v>12668</v>
      </c>
      <c r="R178" s="832" t="s">
        <v>12541</v>
      </c>
      <c r="S178" s="261" t="s">
        <v>12648</v>
      </c>
      <c r="T178" s="261" t="s">
        <v>11593</v>
      </c>
      <c r="U178" s="261" t="s">
        <v>1054</v>
      </c>
      <c r="V178" s="261" t="s">
        <v>3779</v>
      </c>
      <c r="W178" s="279">
        <v>100000</v>
      </c>
      <c r="X178" s="833" t="s">
        <v>12649</v>
      </c>
    </row>
    <row r="179" spans="1:24" x14ac:dyDescent="0.2">
      <c r="A179" s="832" t="s">
        <v>13018</v>
      </c>
      <c r="B179" s="261" t="s">
        <v>12611</v>
      </c>
      <c r="C179" s="261" t="s">
        <v>330</v>
      </c>
      <c r="D179" s="261" t="s">
        <v>1103</v>
      </c>
      <c r="E179" s="261" t="s">
        <v>11101</v>
      </c>
      <c r="F179" s="279">
        <v>25000</v>
      </c>
      <c r="G179" s="833" t="s">
        <v>12673</v>
      </c>
      <c r="H179" s="138"/>
      <c r="J179" s="832" t="s">
        <v>13019</v>
      </c>
      <c r="K179" s="839">
        <v>5.0000000000000001E-3</v>
      </c>
      <c r="L179" s="261" t="s">
        <v>10911</v>
      </c>
      <c r="M179" s="261" t="s">
        <v>543</v>
      </c>
      <c r="N179" s="261" t="s">
        <v>2837</v>
      </c>
      <c r="O179" s="279">
        <v>50000</v>
      </c>
      <c r="P179" s="833" t="s">
        <v>12647</v>
      </c>
      <c r="R179" s="832" t="s">
        <v>12542</v>
      </c>
      <c r="S179" s="261" t="s">
        <v>12654</v>
      </c>
      <c r="T179" s="261" t="s">
        <v>11593</v>
      </c>
      <c r="U179" s="261" t="s">
        <v>1054</v>
      </c>
      <c r="V179" s="261" t="s">
        <v>3779</v>
      </c>
      <c r="W179" s="279">
        <v>100000</v>
      </c>
      <c r="X179" s="833" t="s">
        <v>12655</v>
      </c>
    </row>
    <row r="180" spans="1:24" x14ac:dyDescent="0.2">
      <c r="A180" s="832" t="s">
        <v>13020</v>
      </c>
      <c r="B180" s="261" t="s">
        <v>12613</v>
      </c>
      <c r="C180" s="261" t="s">
        <v>330</v>
      </c>
      <c r="D180" s="261" t="s">
        <v>1103</v>
      </c>
      <c r="E180" s="261" t="s">
        <v>11101</v>
      </c>
      <c r="F180" s="279">
        <v>25000</v>
      </c>
      <c r="G180" s="833" t="s">
        <v>12676</v>
      </c>
      <c r="H180" s="138"/>
      <c r="J180" s="832" t="s">
        <v>13021</v>
      </c>
      <c r="K180" s="839">
        <v>5.0000000000000001E-3</v>
      </c>
      <c r="L180" s="261" t="s">
        <v>11101</v>
      </c>
      <c r="M180" s="261" t="s">
        <v>543</v>
      </c>
      <c r="N180" s="261" t="s">
        <v>2837</v>
      </c>
      <c r="O180" s="279">
        <v>50000</v>
      </c>
      <c r="P180" s="833" t="s">
        <v>12653</v>
      </c>
      <c r="R180" s="832" t="s">
        <v>12543</v>
      </c>
      <c r="S180" s="261" t="s">
        <v>12648</v>
      </c>
      <c r="T180" s="261" t="s">
        <v>11790</v>
      </c>
      <c r="U180" s="261" t="s">
        <v>1054</v>
      </c>
      <c r="V180" s="261" t="s">
        <v>3779</v>
      </c>
      <c r="W180" s="279">
        <v>100000</v>
      </c>
      <c r="X180" s="833" t="s">
        <v>12649</v>
      </c>
    </row>
    <row r="181" spans="1:24" ht="15" thickBot="1" x14ac:dyDescent="0.25">
      <c r="A181" s="832" t="s">
        <v>13022</v>
      </c>
      <c r="B181" s="261" t="s">
        <v>12615</v>
      </c>
      <c r="C181" s="261" t="s">
        <v>330</v>
      </c>
      <c r="D181" s="261" t="s">
        <v>1103</v>
      </c>
      <c r="E181" s="261" t="s">
        <v>11101</v>
      </c>
      <c r="F181" s="279">
        <v>25000</v>
      </c>
      <c r="G181" s="833" t="s">
        <v>12670</v>
      </c>
      <c r="H181" s="138"/>
      <c r="J181" s="832" t="s">
        <v>13023</v>
      </c>
      <c r="K181" s="839">
        <v>5.0000000000000001E-3</v>
      </c>
      <c r="L181" s="261" t="s">
        <v>11229</v>
      </c>
      <c r="M181" s="261" t="s">
        <v>543</v>
      </c>
      <c r="N181" s="261" t="s">
        <v>2837</v>
      </c>
      <c r="O181" s="279">
        <v>90000</v>
      </c>
      <c r="P181" s="833" t="s">
        <v>12659</v>
      </c>
      <c r="R181" s="834" t="s">
        <v>12544</v>
      </c>
      <c r="S181" s="835" t="s">
        <v>12654</v>
      </c>
      <c r="T181" s="835" t="s">
        <v>11790</v>
      </c>
      <c r="U181" s="835" t="s">
        <v>1054</v>
      </c>
      <c r="V181" s="835" t="s">
        <v>3779</v>
      </c>
      <c r="W181" s="836">
        <v>100000</v>
      </c>
      <c r="X181" s="837" t="s">
        <v>12655</v>
      </c>
    </row>
    <row r="182" spans="1:24" x14ac:dyDescent="0.2">
      <c r="A182" s="832" t="s">
        <v>13024</v>
      </c>
      <c r="B182" s="261" t="s">
        <v>12617</v>
      </c>
      <c r="C182" s="261" t="s">
        <v>330</v>
      </c>
      <c r="D182" s="261" t="s">
        <v>1103</v>
      </c>
      <c r="E182" s="261" t="s">
        <v>11101</v>
      </c>
      <c r="F182" s="279">
        <v>25000</v>
      </c>
      <c r="G182" s="833" t="s">
        <v>12681</v>
      </c>
      <c r="H182" s="138"/>
      <c r="J182" s="832" t="s">
        <v>13025</v>
      </c>
      <c r="K182" s="839">
        <v>1.4999999999999999E-2</v>
      </c>
      <c r="L182" s="261" t="s">
        <v>11371</v>
      </c>
      <c r="M182" s="261" t="s">
        <v>543</v>
      </c>
      <c r="N182" s="261" t="s">
        <v>2837</v>
      </c>
      <c r="O182" s="279">
        <v>150000</v>
      </c>
      <c r="P182" s="833" t="s">
        <v>12662</v>
      </c>
    </row>
    <row r="183" spans="1:24" x14ac:dyDescent="0.2">
      <c r="A183" s="832" t="s">
        <v>13026</v>
      </c>
      <c r="B183" s="261" t="s">
        <v>12619</v>
      </c>
      <c r="C183" s="261" t="s">
        <v>330</v>
      </c>
      <c r="D183" s="261" t="s">
        <v>1103</v>
      </c>
      <c r="E183" s="261" t="s">
        <v>11101</v>
      </c>
      <c r="F183" s="279">
        <v>50000</v>
      </c>
      <c r="G183" s="833" t="s">
        <v>12684</v>
      </c>
      <c r="H183" s="138"/>
      <c r="J183" s="832" t="s">
        <v>13027</v>
      </c>
      <c r="K183" s="839">
        <v>1.4999999999999999E-2</v>
      </c>
      <c r="L183" s="261" t="s">
        <v>11593</v>
      </c>
      <c r="M183" s="261" t="s">
        <v>543</v>
      </c>
      <c r="N183" s="261" t="s">
        <v>2837</v>
      </c>
      <c r="O183" s="279">
        <v>100000</v>
      </c>
      <c r="P183" s="833" t="s">
        <v>12665</v>
      </c>
      <c r="R183" s="67" t="s">
        <v>13028</v>
      </c>
      <c r="S183" s="67"/>
      <c r="T183" s="67"/>
      <c r="U183" s="67"/>
      <c r="V183" s="67"/>
      <c r="W183" s="165">
        <f>SUM(W2:W182)</f>
        <v>18000000</v>
      </c>
    </row>
    <row r="184" spans="1:24" x14ac:dyDescent="0.2">
      <c r="A184" s="832" t="s">
        <v>13029</v>
      </c>
      <c r="B184" s="261" t="s">
        <v>7211</v>
      </c>
      <c r="C184" s="261" t="s">
        <v>330</v>
      </c>
      <c r="D184" s="261" t="s">
        <v>1103</v>
      </c>
      <c r="E184" s="261" t="s">
        <v>11101</v>
      </c>
      <c r="F184" s="279">
        <v>50000</v>
      </c>
      <c r="G184" s="833" t="s">
        <v>12673</v>
      </c>
      <c r="H184" s="138"/>
      <c r="J184" s="832" t="s">
        <v>13030</v>
      </c>
      <c r="K184" s="839">
        <v>1.4999999999999999E-2</v>
      </c>
      <c r="L184" s="261" t="s">
        <v>11790</v>
      </c>
      <c r="M184" s="261" t="s">
        <v>543</v>
      </c>
      <c r="N184" s="261" t="s">
        <v>2837</v>
      </c>
      <c r="O184" s="279">
        <v>300000</v>
      </c>
      <c r="P184" s="833" t="s">
        <v>12668</v>
      </c>
    </row>
    <row r="185" spans="1:24" x14ac:dyDescent="0.2">
      <c r="A185" s="832" t="s">
        <v>13031</v>
      </c>
      <c r="B185" s="261" t="s">
        <v>1591</v>
      </c>
      <c r="C185" s="261" t="s">
        <v>330</v>
      </c>
      <c r="D185" s="261" t="s">
        <v>1103</v>
      </c>
      <c r="E185" s="261" t="s">
        <v>11101</v>
      </c>
      <c r="F185" s="279">
        <v>50000</v>
      </c>
      <c r="G185" s="833" t="s">
        <v>12676</v>
      </c>
      <c r="H185" s="138"/>
      <c r="J185" s="832" t="s">
        <v>13032</v>
      </c>
      <c r="K185" s="839">
        <v>5.0000000000000001E-3</v>
      </c>
      <c r="L185" s="261" t="s">
        <v>10911</v>
      </c>
      <c r="M185" s="261" t="s">
        <v>645</v>
      </c>
      <c r="N185" s="261" t="s">
        <v>2837</v>
      </c>
      <c r="O185" s="279">
        <v>50000</v>
      </c>
      <c r="P185" s="833" t="s">
        <v>12647</v>
      </c>
    </row>
    <row r="186" spans="1:24" x14ac:dyDescent="0.2">
      <c r="A186" s="832" t="s">
        <v>13033</v>
      </c>
      <c r="B186" s="261" t="s">
        <v>7912</v>
      </c>
      <c r="C186" s="261" t="s">
        <v>330</v>
      </c>
      <c r="D186" s="261" t="s">
        <v>1103</v>
      </c>
      <c r="E186" s="261" t="s">
        <v>11101</v>
      </c>
      <c r="F186" s="279">
        <v>50000</v>
      </c>
      <c r="G186" s="833" t="s">
        <v>12681</v>
      </c>
      <c r="H186" s="138"/>
      <c r="J186" s="832" t="s">
        <v>13034</v>
      </c>
      <c r="K186" s="839">
        <v>5.0000000000000001E-3</v>
      </c>
      <c r="L186" s="261" t="s">
        <v>11101</v>
      </c>
      <c r="M186" s="261" t="s">
        <v>645</v>
      </c>
      <c r="N186" s="261" t="s">
        <v>2837</v>
      </c>
      <c r="O186" s="279">
        <v>50000</v>
      </c>
      <c r="P186" s="833" t="s">
        <v>12653</v>
      </c>
    </row>
    <row r="187" spans="1:24" x14ac:dyDescent="0.2">
      <c r="A187" s="832" t="s">
        <v>13035</v>
      </c>
      <c r="B187" s="261" t="s">
        <v>12594</v>
      </c>
      <c r="C187" s="261" t="s">
        <v>330</v>
      </c>
      <c r="D187" s="261" t="s">
        <v>1103</v>
      </c>
      <c r="E187" s="261" t="s">
        <v>11593</v>
      </c>
      <c r="F187" s="279">
        <v>200000</v>
      </c>
      <c r="G187" s="833" t="s">
        <v>12693</v>
      </c>
      <c r="H187" s="138"/>
      <c r="J187" s="832" t="s">
        <v>13036</v>
      </c>
      <c r="K187" s="839">
        <v>5.0000000000000001E-3</v>
      </c>
      <c r="L187" s="261" t="s">
        <v>11229</v>
      </c>
      <c r="M187" s="261" t="s">
        <v>645</v>
      </c>
      <c r="N187" s="261" t="s">
        <v>2837</v>
      </c>
      <c r="O187" s="279">
        <v>90000</v>
      </c>
      <c r="P187" s="833" t="s">
        <v>12659</v>
      </c>
    </row>
    <row r="188" spans="1:24" x14ac:dyDescent="0.2">
      <c r="A188" s="832" t="s">
        <v>13037</v>
      </c>
      <c r="B188" s="261" t="s">
        <v>11792</v>
      </c>
      <c r="C188" s="261" t="s">
        <v>330</v>
      </c>
      <c r="D188" s="261" t="s">
        <v>1103</v>
      </c>
      <c r="E188" s="261" t="s">
        <v>11790</v>
      </c>
      <c r="F188" s="279">
        <v>300000</v>
      </c>
      <c r="G188" s="833" t="s">
        <v>12668</v>
      </c>
      <c r="H188" s="138" t="s">
        <v>12696</v>
      </c>
      <c r="J188" s="832" t="s">
        <v>13038</v>
      </c>
      <c r="K188" s="839">
        <v>1.4999999999999999E-2</v>
      </c>
      <c r="L188" s="261" t="s">
        <v>11371</v>
      </c>
      <c r="M188" s="261" t="s">
        <v>645</v>
      </c>
      <c r="N188" s="261" t="s">
        <v>2837</v>
      </c>
      <c r="O188" s="279">
        <v>150000</v>
      </c>
      <c r="P188" s="833" t="s">
        <v>12662</v>
      </c>
    </row>
    <row r="189" spans="1:24" x14ac:dyDescent="0.2">
      <c r="A189" s="832" t="s">
        <v>13039</v>
      </c>
      <c r="B189" s="261" t="s">
        <v>12597</v>
      </c>
      <c r="C189" s="261" t="s">
        <v>429</v>
      </c>
      <c r="D189" s="261" t="s">
        <v>1103</v>
      </c>
      <c r="E189" s="261" t="s">
        <v>11101</v>
      </c>
      <c r="F189" s="279">
        <v>10000</v>
      </c>
      <c r="G189" s="833" t="s">
        <v>12645</v>
      </c>
      <c r="H189" s="138"/>
      <c r="J189" s="832" t="s">
        <v>13040</v>
      </c>
      <c r="K189" s="839">
        <v>1.4999999999999999E-2</v>
      </c>
      <c r="L189" s="261" t="s">
        <v>11593</v>
      </c>
      <c r="M189" s="261" t="s">
        <v>645</v>
      </c>
      <c r="N189" s="261" t="s">
        <v>2837</v>
      </c>
      <c r="O189" s="279">
        <v>100000</v>
      </c>
      <c r="P189" s="833" t="s">
        <v>12665</v>
      </c>
    </row>
    <row r="190" spans="1:24" x14ac:dyDescent="0.2">
      <c r="A190" s="832" t="s">
        <v>13041</v>
      </c>
      <c r="B190" s="261" t="s">
        <v>12599</v>
      </c>
      <c r="C190" s="261" t="s">
        <v>429</v>
      </c>
      <c r="D190" s="261" t="s">
        <v>1103</v>
      </c>
      <c r="E190" s="261" t="s">
        <v>11101</v>
      </c>
      <c r="F190" s="279">
        <v>10000</v>
      </c>
      <c r="G190" s="833" t="s">
        <v>12651</v>
      </c>
      <c r="H190" s="138"/>
      <c r="J190" s="832" t="s">
        <v>13042</v>
      </c>
      <c r="K190" s="839">
        <v>1.4999999999999999E-2</v>
      </c>
      <c r="L190" s="261" t="s">
        <v>11790</v>
      </c>
      <c r="M190" s="261" t="s">
        <v>645</v>
      </c>
      <c r="N190" s="261" t="s">
        <v>2837</v>
      </c>
      <c r="O190" s="279">
        <v>300000</v>
      </c>
      <c r="P190" s="833" t="s">
        <v>12668</v>
      </c>
    </row>
    <row r="191" spans="1:24" x14ac:dyDescent="0.2">
      <c r="A191" s="832" t="s">
        <v>13043</v>
      </c>
      <c r="B191" s="261" t="s">
        <v>12601</v>
      </c>
      <c r="C191" s="261" t="s">
        <v>429</v>
      </c>
      <c r="D191" s="261" t="s">
        <v>1103</v>
      </c>
      <c r="E191" s="261" t="s">
        <v>11101</v>
      </c>
      <c r="F191" s="279">
        <v>10000</v>
      </c>
      <c r="G191" s="833" t="s">
        <v>12657</v>
      </c>
      <c r="H191" s="138"/>
      <c r="J191" s="832" t="s">
        <v>13044</v>
      </c>
      <c r="K191" s="839">
        <v>5.0000000000000001E-3</v>
      </c>
      <c r="L191" s="261" t="s">
        <v>10911</v>
      </c>
      <c r="M191" s="261" t="s">
        <v>759</v>
      </c>
      <c r="N191" s="261" t="s">
        <v>2837</v>
      </c>
      <c r="O191" s="279">
        <v>50000</v>
      </c>
      <c r="P191" s="833" t="s">
        <v>12647</v>
      </c>
    </row>
    <row r="192" spans="1:24" x14ac:dyDescent="0.2">
      <c r="A192" s="832" t="s">
        <v>13045</v>
      </c>
      <c r="B192" s="261" t="s">
        <v>12603</v>
      </c>
      <c r="C192" s="261" t="s">
        <v>429</v>
      </c>
      <c r="D192" s="261" t="s">
        <v>1103</v>
      </c>
      <c r="E192" s="261" t="s">
        <v>11101</v>
      </c>
      <c r="F192" s="279">
        <v>10000</v>
      </c>
      <c r="G192" s="833" t="s">
        <v>12645</v>
      </c>
      <c r="H192" s="138"/>
      <c r="J192" s="832" t="s">
        <v>13046</v>
      </c>
      <c r="K192" s="839">
        <v>5.0000000000000001E-3</v>
      </c>
      <c r="L192" s="261" t="s">
        <v>11101</v>
      </c>
      <c r="M192" s="261" t="s">
        <v>759</v>
      </c>
      <c r="N192" s="261" t="s">
        <v>2837</v>
      </c>
      <c r="O192" s="279">
        <v>50000</v>
      </c>
      <c r="P192" s="833" t="s">
        <v>12653</v>
      </c>
    </row>
    <row r="193" spans="1:16" x14ac:dyDescent="0.2">
      <c r="A193" s="832" t="s">
        <v>13047</v>
      </c>
      <c r="B193" s="261" t="s">
        <v>12605</v>
      </c>
      <c r="C193" s="261" t="s">
        <v>429</v>
      </c>
      <c r="D193" s="261" t="s">
        <v>1103</v>
      </c>
      <c r="E193" s="261" t="s">
        <v>11101</v>
      </c>
      <c r="F193" s="279">
        <v>10000</v>
      </c>
      <c r="G193" s="833" t="s">
        <v>12651</v>
      </c>
      <c r="H193" s="138"/>
      <c r="J193" s="832" t="s">
        <v>13048</v>
      </c>
      <c r="K193" s="839">
        <v>5.0000000000000001E-3</v>
      </c>
      <c r="L193" s="261" t="s">
        <v>11229</v>
      </c>
      <c r="M193" s="261" t="s">
        <v>759</v>
      </c>
      <c r="N193" s="261" t="s">
        <v>2837</v>
      </c>
      <c r="O193" s="279">
        <v>90000</v>
      </c>
      <c r="P193" s="833" t="s">
        <v>12659</v>
      </c>
    </row>
    <row r="194" spans="1:16" x14ac:dyDescent="0.2">
      <c r="A194" s="832" t="s">
        <v>13049</v>
      </c>
      <c r="B194" s="261" t="s">
        <v>12607</v>
      </c>
      <c r="C194" s="261" t="s">
        <v>429</v>
      </c>
      <c r="D194" s="261" t="s">
        <v>1103</v>
      </c>
      <c r="E194" s="261" t="s">
        <v>11101</v>
      </c>
      <c r="F194" s="279">
        <v>10000</v>
      </c>
      <c r="G194" s="833" t="s">
        <v>12657</v>
      </c>
      <c r="H194" s="138"/>
      <c r="J194" s="832" t="s">
        <v>13050</v>
      </c>
      <c r="K194" s="839">
        <v>1.4999999999999999E-2</v>
      </c>
      <c r="L194" s="261" t="s">
        <v>11371</v>
      </c>
      <c r="M194" s="261" t="s">
        <v>759</v>
      </c>
      <c r="N194" s="261" t="s">
        <v>2837</v>
      </c>
      <c r="O194" s="279">
        <v>150000</v>
      </c>
      <c r="P194" s="833" t="s">
        <v>12662</v>
      </c>
    </row>
    <row r="195" spans="1:16" x14ac:dyDescent="0.2">
      <c r="A195" s="832" t="s">
        <v>13051</v>
      </c>
      <c r="B195" s="261" t="s">
        <v>12609</v>
      </c>
      <c r="C195" s="261" t="s">
        <v>429</v>
      </c>
      <c r="D195" s="261" t="s">
        <v>1103</v>
      </c>
      <c r="E195" s="261" t="s">
        <v>11101</v>
      </c>
      <c r="F195" s="279">
        <v>25000</v>
      </c>
      <c r="G195" s="833" t="s">
        <v>12670</v>
      </c>
      <c r="H195" s="138"/>
      <c r="J195" s="832" t="s">
        <v>13052</v>
      </c>
      <c r="K195" s="839">
        <v>1.4999999999999999E-2</v>
      </c>
      <c r="L195" s="261" t="s">
        <v>11593</v>
      </c>
      <c r="M195" s="261" t="s">
        <v>759</v>
      </c>
      <c r="N195" s="261" t="s">
        <v>2837</v>
      </c>
      <c r="O195" s="279">
        <v>100000</v>
      </c>
      <c r="P195" s="833" t="s">
        <v>12665</v>
      </c>
    </row>
    <row r="196" spans="1:16" x14ac:dyDescent="0.2">
      <c r="A196" s="832" t="s">
        <v>13053</v>
      </c>
      <c r="B196" s="261" t="s">
        <v>12611</v>
      </c>
      <c r="C196" s="261" t="s">
        <v>429</v>
      </c>
      <c r="D196" s="261" t="s">
        <v>1103</v>
      </c>
      <c r="E196" s="261" t="s">
        <v>11101</v>
      </c>
      <c r="F196" s="279">
        <v>25000</v>
      </c>
      <c r="G196" s="833" t="s">
        <v>12673</v>
      </c>
      <c r="H196" s="138"/>
      <c r="J196" s="832" t="s">
        <v>13054</v>
      </c>
      <c r="K196" s="839">
        <v>1.4999999999999999E-2</v>
      </c>
      <c r="L196" s="261" t="s">
        <v>11790</v>
      </c>
      <c r="M196" s="261" t="s">
        <v>759</v>
      </c>
      <c r="N196" s="261" t="s">
        <v>2837</v>
      </c>
      <c r="O196" s="279">
        <v>300000</v>
      </c>
      <c r="P196" s="833" t="s">
        <v>12668</v>
      </c>
    </row>
    <row r="197" spans="1:16" x14ac:dyDescent="0.2">
      <c r="A197" s="832" t="s">
        <v>13055</v>
      </c>
      <c r="B197" s="261" t="s">
        <v>12613</v>
      </c>
      <c r="C197" s="261" t="s">
        <v>429</v>
      </c>
      <c r="D197" s="261" t="s">
        <v>1103</v>
      </c>
      <c r="E197" s="261" t="s">
        <v>11101</v>
      </c>
      <c r="F197" s="279">
        <v>25000</v>
      </c>
      <c r="G197" s="833" t="s">
        <v>12676</v>
      </c>
      <c r="H197" s="138"/>
      <c r="J197" s="832" t="s">
        <v>13056</v>
      </c>
      <c r="K197" s="839">
        <v>5.0000000000000001E-3</v>
      </c>
      <c r="L197" s="261" t="s">
        <v>10911</v>
      </c>
      <c r="M197" s="261" t="s">
        <v>839</v>
      </c>
      <c r="N197" s="261" t="s">
        <v>2837</v>
      </c>
      <c r="O197" s="279">
        <v>50000</v>
      </c>
      <c r="P197" s="833" t="s">
        <v>12647</v>
      </c>
    </row>
    <row r="198" spans="1:16" x14ac:dyDescent="0.2">
      <c r="A198" s="832" t="s">
        <v>13057</v>
      </c>
      <c r="B198" s="261" t="s">
        <v>12615</v>
      </c>
      <c r="C198" s="261" t="s">
        <v>429</v>
      </c>
      <c r="D198" s="261" t="s">
        <v>1103</v>
      </c>
      <c r="E198" s="261" t="s">
        <v>11101</v>
      </c>
      <c r="F198" s="279">
        <v>25000</v>
      </c>
      <c r="G198" s="833" t="s">
        <v>12670</v>
      </c>
      <c r="H198" s="138"/>
      <c r="J198" s="832" t="s">
        <v>13058</v>
      </c>
      <c r="K198" s="839">
        <v>5.0000000000000001E-3</v>
      </c>
      <c r="L198" s="261" t="s">
        <v>11101</v>
      </c>
      <c r="M198" s="261" t="s">
        <v>839</v>
      </c>
      <c r="N198" s="261" t="s">
        <v>2837</v>
      </c>
      <c r="O198" s="279">
        <v>50000</v>
      </c>
      <c r="P198" s="833" t="s">
        <v>12653</v>
      </c>
    </row>
    <row r="199" spans="1:16" x14ac:dyDescent="0.2">
      <c r="A199" s="832" t="s">
        <v>13059</v>
      </c>
      <c r="B199" s="261" t="s">
        <v>12617</v>
      </c>
      <c r="C199" s="261" t="s">
        <v>429</v>
      </c>
      <c r="D199" s="261" t="s">
        <v>1103</v>
      </c>
      <c r="E199" s="261" t="s">
        <v>11101</v>
      </c>
      <c r="F199" s="279">
        <v>25000</v>
      </c>
      <c r="G199" s="833" t="s">
        <v>12681</v>
      </c>
      <c r="H199" s="138"/>
      <c r="J199" s="832" t="s">
        <v>13060</v>
      </c>
      <c r="K199" s="839">
        <v>5.0000000000000001E-3</v>
      </c>
      <c r="L199" s="261" t="s">
        <v>11229</v>
      </c>
      <c r="M199" s="261" t="s">
        <v>839</v>
      </c>
      <c r="N199" s="261" t="s">
        <v>2837</v>
      </c>
      <c r="O199" s="279">
        <v>90000</v>
      </c>
      <c r="P199" s="833" t="s">
        <v>12659</v>
      </c>
    </row>
    <row r="200" spans="1:16" x14ac:dyDescent="0.2">
      <c r="A200" s="832" t="s">
        <v>13061</v>
      </c>
      <c r="B200" s="261" t="s">
        <v>12619</v>
      </c>
      <c r="C200" s="261" t="s">
        <v>429</v>
      </c>
      <c r="D200" s="261" t="s">
        <v>1103</v>
      </c>
      <c r="E200" s="261" t="s">
        <v>11101</v>
      </c>
      <c r="F200" s="279">
        <v>50000</v>
      </c>
      <c r="G200" s="833" t="s">
        <v>12684</v>
      </c>
      <c r="H200" s="138"/>
      <c r="J200" s="832" t="s">
        <v>13062</v>
      </c>
      <c r="K200" s="839">
        <v>1.4999999999999999E-2</v>
      </c>
      <c r="L200" s="261" t="s">
        <v>11371</v>
      </c>
      <c r="M200" s="261" t="s">
        <v>839</v>
      </c>
      <c r="N200" s="261" t="s">
        <v>2837</v>
      </c>
      <c r="O200" s="279">
        <v>150000</v>
      </c>
      <c r="P200" s="833" t="s">
        <v>12662</v>
      </c>
    </row>
    <row r="201" spans="1:16" x14ac:dyDescent="0.2">
      <c r="A201" s="832" t="s">
        <v>13063</v>
      </c>
      <c r="B201" s="261" t="s">
        <v>7211</v>
      </c>
      <c r="C201" s="261" t="s">
        <v>429</v>
      </c>
      <c r="D201" s="261" t="s">
        <v>1103</v>
      </c>
      <c r="E201" s="261" t="s">
        <v>11101</v>
      </c>
      <c r="F201" s="279">
        <v>50000</v>
      </c>
      <c r="G201" s="833" t="s">
        <v>12673</v>
      </c>
      <c r="H201" s="138"/>
      <c r="J201" s="832" t="s">
        <v>13064</v>
      </c>
      <c r="K201" s="839">
        <v>1.4999999999999999E-2</v>
      </c>
      <c r="L201" s="261" t="s">
        <v>11593</v>
      </c>
      <c r="M201" s="261" t="s">
        <v>839</v>
      </c>
      <c r="N201" s="261" t="s">
        <v>2837</v>
      </c>
      <c r="O201" s="279">
        <v>100000</v>
      </c>
      <c r="P201" s="833" t="s">
        <v>12665</v>
      </c>
    </row>
    <row r="202" spans="1:16" x14ac:dyDescent="0.2">
      <c r="A202" s="832" t="s">
        <v>13065</v>
      </c>
      <c r="B202" s="261" t="s">
        <v>1591</v>
      </c>
      <c r="C202" s="261" t="s">
        <v>429</v>
      </c>
      <c r="D202" s="261" t="s">
        <v>1103</v>
      </c>
      <c r="E202" s="261" t="s">
        <v>11101</v>
      </c>
      <c r="F202" s="279">
        <v>50000</v>
      </c>
      <c r="G202" s="833" t="s">
        <v>12676</v>
      </c>
      <c r="H202" s="138"/>
      <c r="J202" s="832" t="s">
        <v>13066</v>
      </c>
      <c r="K202" s="839">
        <v>1.4999999999999999E-2</v>
      </c>
      <c r="L202" s="261" t="s">
        <v>11790</v>
      </c>
      <c r="M202" s="261" t="s">
        <v>839</v>
      </c>
      <c r="N202" s="261" t="s">
        <v>2837</v>
      </c>
      <c r="O202" s="279">
        <v>300000</v>
      </c>
      <c r="P202" s="833" t="s">
        <v>12668</v>
      </c>
    </row>
    <row r="203" spans="1:16" x14ac:dyDescent="0.2">
      <c r="A203" s="832" t="s">
        <v>13067</v>
      </c>
      <c r="B203" s="261" t="s">
        <v>7912</v>
      </c>
      <c r="C203" s="261" t="s">
        <v>429</v>
      </c>
      <c r="D203" s="261" t="s">
        <v>1103</v>
      </c>
      <c r="E203" s="261" t="s">
        <v>11101</v>
      </c>
      <c r="F203" s="279">
        <v>50000</v>
      </c>
      <c r="G203" s="833" t="s">
        <v>12681</v>
      </c>
      <c r="H203" s="138"/>
      <c r="J203" s="832" t="s">
        <v>13068</v>
      </c>
      <c r="K203" s="839">
        <v>5.0000000000000001E-3</v>
      </c>
      <c r="L203" s="261" t="s">
        <v>10911</v>
      </c>
      <c r="M203" s="261" t="s">
        <v>949</v>
      </c>
      <c r="N203" s="261" t="s">
        <v>2837</v>
      </c>
      <c r="O203" s="279">
        <v>50000</v>
      </c>
      <c r="P203" s="833" t="s">
        <v>12647</v>
      </c>
    </row>
    <row r="204" spans="1:16" x14ac:dyDescent="0.2">
      <c r="A204" s="832" t="s">
        <v>13069</v>
      </c>
      <c r="B204" s="261" t="s">
        <v>12594</v>
      </c>
      <c r="C204" s="261" t="s">
        <v>429</v>
      </c>
      <c r="D204" s="261" t="s">
        <v>1103</v>
      </c>
      <c r="E204" s="261" t="s">
        <v>11593</v>
      </c>
      <c r="F204" s="279">
        <v>200000</v>
      </c>
      <c r="G204" s="833" t="s">
        <v>12693</v>
      </c>
      <c r="H204" s="138"/>
      <c r="J204" s="832" t="s">
        <v>13070</v>
      </c>
      <c r="K204" s="839">
        <v>5.0000000000000001E-3</v>
      </c>
      <c r="L204" s="261" t="s">
        <v>11101</v>
      </c>
      <c r="M204" s="261" t="s">
        <v>949</v>
      </c>
      <c r="N204" s="261" t="s">
        <v>2837</v>
      </c>
      <c r="O204" s="279">
        <v>50000</v>
      </c>
      <c r="P204" s="833" t="s">
        <v>12653</v>
      </c>
    </row>
    <row r="205" spans="1:16" x14ac:dyDescent="0.2">
      <c r="A205" s="832" t="s">
        <v>13071</v>
      </c>
      <c r="B205" s="261" t="s">
        <v>11792</v>
      </c>
      <c r="C205" s="261" t="s">
        <v>429</v>
      </c>
      <c r="D205" s="261" t="s">
        <v>1103</v>
      </c>
      <c r="E205" s="261" t="s">
        <v>11790</v>
      </c>
      <c r="F205" s="279">
        <v>300000</v>
      </c>
      <c r="G205" s="833" t="s">
        <v>12668</v>
      </c>
      <c r="H205" s="138" t="s">
        <v>12696</v>
      </c>
      <c r="J205" s="832" t="s">
        <v>13072</v>
      </c>
      <c r="K205" s="839">
        <v>5.0000000000000001E-3</v>
      </c>
      <c r="L205" s="261" t="s">
        <v>11229</v>
      </c>
      <c r="M205" s="261" t="s">
        <v>949</v>
      </c>
      <c r="N205" s="261" t="s">
        <v>2837</v>
      </c>
      <c r="O205" s="279">
        <v>90000</v>
      </c>
      <c r="P205" s="833" t="s">
        <v>12659</v>
      </c>
    </row>
    <row r="206" spans="1:16" x14ac:dyDescent="0.2">
      <c r="A206" s="832" t="s">
        <v>13073</v>
      </c>
      <c r="B206" s="261" t="s">
        <v>12597</v>
      </c>
      <c r="C206" s="261" t="s">
        <v>543</v>
      </c>
      <c r="D206" s="261" t="s">
        <v>1103</v>
      </c>
      <c r="E206" s="261" t="s">
        <v>11101</v>
      </c>
      <c r="F206" s="279">
        <v>10000</v>
      </c>
      <c r="G206" s="833" t="s">
        <v>12645</v>
      </c>
      <c r="H206" s="138"/>
      <c r="J206" s="832" t="s">
        <v>13074</v>
      </c>
      <c r="K206" s="839">
        <v>1.4999999999999999E-2</v>
      </c>
      <c r="L206" s="261" t="s">
        <v>11371</v>
      </c>
      <c r="M206" s="261" t="s">
        <v>949</v>
      </c>
      <c r="N206" s="261" t="s">
        <v>2837</v>
      </c>
      <c r="O206" s="279">
        <v>150000</v>
      </c>
      <c r="P206" s="833" t="s">
        <v>12662</v>
      </c>
    </row>
    <row r="207" spans="1:16" x14ac:dyDescent="0.2">
      <c r="A207" s="832" t="s">
        <v>13075</v>
      </c>
      <c r="B207" s="261" t="s">
        <v>12599</v>
      </c>
      <c r="C207" s="261" t="s">
        <v>543</v>
      </c>
      <c r="D207" s="261" t="s">
        <v>1103</v>
      </c>
      <c r="E207" s="261" t="s">
        <v>11101</v>
      </c>
      <c r="F207" s="279">
        <v>10000</v>
      </c>
      <c r="G207" s="833" t="s">
        <v>12651</v>
      </c>
      <c r="H207" s="138"/>
      <c r="J207" s="832" t="s">
        <v>13076</v>
      </c>
      <c r="K207" s="839">
        <v>1.4999999999999999E-2</v>
      </c>
      <c r="L207" s="261" t="s">
        <v>11593</v>
      </c>
      <c r="M207" s="261" t="s">
        <v>949</v>
      </c>
      <c r="N207" s="261" t="s">
        <v>2837</v>
      </c>
      <c r="O207" s="279">
        <v>100000</v>
      </c>
      <c r="P207" s="833" t="s">
        <v>12665</v>
      </c>
    </row>
    <row r="208" spans="1:16" x14ac:dyDescent="0.2">
      <c r="A208" s="832" t="s">
        <v>13077</v>
      </c>
      <c r="B208" s="261" t="s">
        <v>12601</v>
      </c>
      <c r="C208" s="261" t="s">
        <v>543</v>
      </c>
      <c r="D208" s="261" t="s">
        <v>1103</v>
      </c>
      <c r="E208" s="261" t="s">
        <v>11101</v>
      </c>
      <c r="F208" s="279">
        <v>10000</v>
      </c>
      <c r="G208" s="833" t="s">
        <v>12657</v>
      </c>
      <c r="H208" s="138"/>
      <c r="J208" s="832" t="s">
        <v>13078</v>
      </c>
      <c r="K208" s="839">
        <v>1.4999999999999999E-2</v>
      </c>
      <c r="L208" s="261" t="s">
        <v>11790</v>
      </c>
      <c r="M208" s="261" t="s">
        <v>949</v>
      </c>
      <c r="N208" s="261" t="s">
        <v>2837</v>
      </c>
      <c r="O208" s="279">
        <v>300000</v>
      </c>
      <c r="P208" s="833" t="s">
        <v>12668</v>
      </c>
    </row>
    <row r="209" spans="1:16" x14ac:dyDescent="0.2">
      <c r="A209" s="832" t="s">
        <v>13079</v>
      </c>
      <c r="B209" s="261" t="s">
        <v>12603</v>
      </c>
      <c r="C209" s="261" t="s">
        <v>543</v>
      </c>
      <c r="D209" s="261" t="s">
        <v>1103</v>
      </c>
      <c r="E209" s="261" t="s">
        <v>11101</v>
      </c>
      <c r="F209" s="279">
        <v>10000</v>
      </c>
      <c r="G209" s="833" t="s">
        <v>12645</v>
      </c>
      <c r="H209" s="138"/>
      <c r="J209" s="832" t="s">
        <v>13080</v>
      </c>
      <c r="K209" s="839">
        <v>5.0000000000000001E-3</v>
      </c>
      <c r="L209" s="261" t="s">
        <v>10911</v>
      </c>
      <c r="M209" s="261" t="s">
        <v>1054</v>
      </c>
      <c r="N209" s="261" t="s">
        <v>2837</v>
      </c>
      <c r="O209" s="279">
        <v>50000</v>
      </c>
      <c r="P209" s="833" t="s">
        <v>12647</v>
      </c>
    </row>
    <row r="210" spans="1:16" x14ac:dyDescent="0.2">
      <c r="A210" s="832" t="s">
        <v>13081</v>
      </c>
      <c r="B210" s="261" t="s">
        <v>12605</v>
      </c>
      <c r="C210" s="261" t="s">
        <v>543</v>
      </c>
      <c r="D210" s="261" t="s">
        <v>1103</v>
      </c>
      <c r="E210" s="261" t="s">
        <v>11101</v>
      </c>
      <c r="F210" s="279">
        <v>10000</v>
      </c>
      <c r="G210" s="833" t="s">
        <v>12651</v>
      </c>
      <c r="H210" s="138"/>
      <c r="J210" s="832" t="s">
        <v>13082</v>
      </c>
      <c r="K210" s="839">
        <v>5.0000000000000001E-3</v>
      </c>
      <c r="L210" s="261" t="s">
        <v>11229</v>
      </c>
      <c r="M210" s="261" t="s">
        <v>1054</v>
      </c>
      <c r="N210" s="261" t="s">
        <v>2837</v>
      </c>
      <c r="O210" s="279">
        <v>90000</v>
      </c>
      <c r="P210" s="833" t="s">
        <v>12659</v>
      </c>
    </row>
    <row r="211" spans="1:16" x14ac:dyDescent="0.2">
      <c r="A211" s="832" t="s">
        <v>13083</v>
      </c>
      <c r="B211" s="261" t="s">
        <v>12607</v>
      </c>
      <c r="C211" s="261" t="s">
        <v>543</v>
      </c>
      <c r="D211" s="261" t="s">
        <v>1103</v>
      </c>
      <c r="E211" s="261" t="s">
        <v>11101</v>
      </c>
      <c r="F211" s="279">
        <v>10000</v>
      </c>
      <c r="G211" s="833" t="s">
        <v>12657</v>
      </c>
      <c r="H211" s="138"/>
      <c r="J211" s="832" t="s">
        <v>13084</v>
      </c>
      <c r="K211" s="839">
        <v>1.4999999999999999E-2</v>
      </c>
      <c r="L211" s="261" t="s">
        <v>11371</v>
      </c>
      <c r="M211" s="261" t="s">
        <v>1054</v>
      </c>
      <c r="N211" s="261" t="s">
        <v>2837</v>
      </c>
      <c r="O211" s="279">
        <v>150000</v>
      </c>
      <c r="P211" s="833" t="s">
        <v>12662</v>
      </c>
    </row>
    <row r="212" spans="1:16" x14ac:dyDescent="0.2">
      <c r="A212" s="832" t="s">
        <v>13085</v>
      </c>
      <c r="B212" s="261" t="s">
        <v>12609</v>
      </c>
      <c r="C212" s="261" t="s">
        <v>543</v>
      </c>
      <c r="D212" s="261" t="s">
        <v>1103</v>
      </c>
      <c r="E212" s="261" t="s">
        <v>11101</v>
      </c>
      <c r="F212" s="279">
        <v>25000</v>
      </c>
      <c r="G212" s="833" t="s">
        <v>12670</v>
      </c>
      <c r="H212" s="138"/>
      <c r="J212" s="832" t="s">
        <v>13086</v>
      </c>
      <c r="K212" s="839">
        <v>1.4999999999999999E-2</v>
      </c>
      <c r="L212" s="261" t="s">
        <v>11593</v>
      </c>
      <c r="M212" s="261" t="s">
        <v>1054</v>
      </c>
      <c r="N212" s="261" t="s">
        <v>2837</v>
      </c>
      <c r="O212" s="279">
        <v>100000</v>
      </c>
      <c r="P212" s="833" t="s">
        <v>12665</v>
      </c>
    </row>
    <row r="213" spans="1:16" x14ac:dyDescent="0.2">
      <c r="A213" s="832" t="s">
        <v>13087</v>
      </c>
      <c r="B213" s="261" t="s">
        <v>12611</v>
      </c>
      <c r="C213" s="261" t="s">
        <v>543</v>
      </c>
      <c r="D213" s="261" t="s">
        <v>1103</v>
      </c>
      <c r="E213" s="261" t="s">
        <v>11101</v>
      </c>
      <c r="F213" s="279">
        <v>25000</v>
      </c>
      <c r="G213" s="833" t="s">
        <v>12673</v>
      </c>
      <c r="H213" s="138"/>
      <c r="J213" s="832" t="s">
        <v>13088</v>
      </c>
      <c r="K213" s="839">
        <v>1.4999999999999999E-2</v>
      </c>
      <c r="L213" s="261" t="s">
        <v>11790</v>
      </c>
      <c r="M213" s="261" t="s">
        <v>1054</v>
      </c>
      <c r="N213" s="261" t="s">
        <v>2837</v>
      </c>
      <c r="O213" s="279">
        <v>300000</v>
      </c>
      <c r="P213" s="833" t="s">
        <v>12668</v>
      </c>
    </row>
    <row r="214" spans="1:16" x14ac:dyDescent="0.2">
      <c r="A214" s="832" t="s">
        <v>13089</v>
      </c>
      <c r="B214" s="261" t="s">
        <v>12613</v>
      </c>
      <c r="C214" s="261" t="s">
        <v>543</v>
      </c>
      <c r="D214" s="261" t="s">
        <v>1103</v>
      </c>
      <c r="E214" s="261" t="s">
        <v>11101</v>
      </c>
      <c r="F214" s="279">
        <v>25000</v>
      </c>
      <c r="G214" s="833" t="s">
        <v>12676</v>
      </c>
      <c r="H214" s="138"/>
      <c r="J214" s="832" t="s">
        <v>13090</v>
      </c>
      <c r="K214" s="839">
        <v>5.0000000000000001E-3</v>
      </c>
      <c r="L214" s="261" t="s">
        <v>10911</v>
      </c>
      <c r="M214" s="261" t="s">
        <v>123</v>
      </c>
      <c r="N214" s="261" t="s">
        <v>3779</v>
      </c>
      <c r="O214" s="279">
        <v>50000</v>
      </c>
      <c r="P214" s="833" t="s">
        <v>12647</v>
      </c>
    </row>
    <row r="215" spans="1:16" x14ac:dyDescent="0.2">
      <c r="A215" s="832" t="s">
        <v>13091</v>
      </c>
      <c r="B215" s="261" t="s">
        <v>12615</v>
      </c>
      <c r="C215" s="261" t="s">
        <v>543</v>
      </c>
      <c r="D215" s="261" t="s">
        <v>1103</v>
      </c>
      <c r="E215" s="261" t="s">
        <v>11101</v>
      </c>
      <c r="F215" s="279">
        <v>25000</v>
      </c>
      <c r="G215" s="833" t="s">
        <v>12670</v>
      </c>
      <c r="H215" s="138"/>
      <c r="J215" s="832" t="s">
        <v>13092</v>
      </c>
      <c r="K215" s="839">
        <v>5.0000000000000001E-3</v>
      </c>
      <c r="L215" s="261" t="s">
        <v>11101</v>
      </c>
      <c r="M215" s="261" t="s">
        <v>123</v>
      </c>
      <c r="N215" s="261" t="s">
        <v>3779</v>
      </c>
      <c r="O215" s="279">
        <v>50000</v>
      </c>
      <c r="P215" s="833" t="s">
        <v>12653</v>
      </c>
    </row>
    <row r="216" spans="1:16" x14ac:dyDescent="0.2">
      <c r="A216" s="832" t="s">
        <v>13093</v>
      </c>
      <c r="B216" s="261" t="s">
        <v>12617</v>
      </c>
      <c r="C216" s="261" t="s">
        <v>543</v>
      </c>
      <c r="D216" s="261" t="s">
        <v>1103</v>
      </c>
      <c r="E216" s="261" t="s">
        <v>11101</v>
      </c>
      <c r="F216" s="279">
        <v>25000</v>
      </c>
      <c r="G216" s="833" t="s">
        <v>12681</v>
      </c>
      <c r="H216" s="138"/>
      <c r="J216" s="832" t="s">
        <v>13094</v>
      </c>
      <c r="K216" s="839">
        <v>5.0000000000000001E-3</v>
      </c>
      <c r="L216" s="261" t="s">
        <v>11229</v>
      </c>
      <c r="M216" s="261" t="s">
        <v>123</v>
      </c>
      <c r="N216" s="261" t="s">
        <v>3779</v>
      </c>
      <c r="O216" s="279">
        <v>90000</v>
      </c>
      <c r="P216" s="833" t="s">
        <v>12659</v>
      </c>
    </row>
    <row r="217" spans="1:16" x14ac:dyDescent="0.2">
      <c r="A217" s="832" t="s">
        <v>13095</v>
      </c>
      <c r="B217" s="261" t="s">
        <v>12619</v>
      </c>
      <c r="C217" s="261" t="s">
        <v>543</v>
      </c>
      <c r="D217" s="261" t="s">
        <v>1103</v>
      </c>
      <c r="E217" s="261" t="s">
        <v>11101</v>
      </c>
      <c r="F217" s="279">
        <v>50000</v>
      </c>
      <c r="G217" s="833" t="s">
        <v>12684</v>
      </c>
      <c r="H217" s="138"/>
      <c r="J217" s="832" t="s">
        <v>13096</v>
      </c>
      <c r="K217" s="839">
        <v>1.4999999999999999E-2</v>
      </c>
      <c r="L217" s="261" t="s">
        <v>11371</v>
      </c>
      <c r="M217" s="261" t="s">
        <v>123</v>
      </c>
      <c r="N217" s="261" t="s">
        <v>3779</v>
      </c>
      <c r="O217" s="279">
        <v>150000</v>
      </c>
      <c r="P217" s="833" t="s">
        <v>12662</v>
      </c>
    </row>
    <row r="218" spans="1:16" x14ac:dyDescent="0.2">
      <c r="A218" s="832" t="s">
        <v>13097</v>
      </c>
      <c r="B218" s="261" t="s">
        <v>7211</v>
      </c>
      <c r="C218" s="261" t="s">
        <v>543</v>
      </c>
      <c r="D218" s="261" t="s">
        <v>1103</v>
      </c>
      <c r="E218" s="261" t="s">
        <v>11101</v>
      </c>
      <c r="F218" s="279">
        <v>50000</v>
      </c>
      <c r="G218" s="833" t="s">
        <v>12673</v>
      </c>
      <c r="H218" s="138"/>
      <c r="J218" s="832" t="s">
        <v>13098</v>
      </c>
      <c r="K218" s="839">
        <v>1.4999999999999999E-2</v>
      </c>
      <c r="L218" s="261" t="s">
        <v>11593</v>
      </c>
      <c r="M218" s="261" t="s">
        <v>123</v>
      </c>
      <c r="N218" s="261" t="s">
        <v>3779</v>
      </c>
      <c r="O218" s="279">
        <v>100000</v>
      </c>
      <c r="P218" s="833" t="s">
        <v>12665</v>
      </c>
    </row>
    <row r="219" spans="1:16" x14ac:dyDescent="0.2">
      <c r="A219" s="832" t="s">
        <v>13099</v>
      </c>
      <c r="B219" s="261" t="s">
        <v>1591</v>
      </c>
      <c r="C219" s="261" t="s">
        <v>543</v>
      </c>
      <c r="D219" s="261" t="s">
        <v>1103</v>
      </c>
      <c r="E219" s="261" t="s">
        <v>11101</v>
      </c>
      <c r="F219" s="279">
        <v>50000</v>
      </c>
      <c r="G219" s="833" t="s">
        <v>12676</v>
      </c>
      <c r="H219" s="138"/>
      <c r="J219" s="832" t="s">
        <v>13100</v>
      </c>
      <c r="K219" s="839">
        <v>1.4999999999999999E-2</v>
      </c>
      <c r="L219" s="261" t="s">
        <v>11790</v>
      </c>
      <c r="M219" s="261" t="s">
        <v>123</v>
      </c>
      <c r="N219" s="261" t="s">
        <v>3779</v>
      </c>
      <c r="O219" s="279">
        <v>300000</v>
      </c>
      <c r="P219" s="833" t="s">
        <v>12668</v>
      </c>
    </row>
    <row r="220" spans="1:16" x14ac:dyDescent="0.2">
      <c r="A220" s="832" t="s">
        <v>13101</v>
      </c>
      <c r="B220" s="261" t="s">
        <v>7912</v>
      </c>
      <c r="C220" s="261" t="s">
        <v>543</v>
      </c>
      <c r="D220" s="261" t="s">
        <v>1103</v>
      </c>
      <c r="E220" s="261" t="s">
        <v>11101</v>
      </c>
      <c r="F220" s="279">
        <v>50000</v>
      </c>
      <c r="G220" s="833" t="s">
        <v>12681</v>
      </c>
      <c r="H220" s="138"/>
      <c r="J220" s="832" t="s">
        <v>13102</v>
      </c>
      <c r="K220" s="839">
        <v>5.0000000000000001E-3</v>
      </c>
      <c r="L220" s="261" t="s">
        <v>10911</v>
      </c>
      <c r="M220" s="261" t="s">
        <v>330</v>
      </c>
      <c r="N220" s="261" t="s">
        <v>3779</v>
      </c>
      <c r="O220" s="279">
        <v>50000</v>
      </c>
      <c r="P220" s="833" t="s">
        <v>12647</v>
      </c>
    </row>
    <row r="221" spans="1:16" x14ac:dyDescent="0.2">
      <c r="A221" s="832" t="s">
        <v>13103</v>
      </c>
      <c r="B221" s="261" t="s">
        <v>12594</v>
      </c>
      <c r="C221" s="261" t="s">
        <v>543</v>
      </c>
      <c r="D221" s="261" t="s">
        <v>1103</v>
      </c>
      <c r="E221" s="261" t="s">
        <v>11593</v>
      </c>
      <c r="F221" s="279">
        <v>200000</v>
      </c>
      <c r="G221" s="833" t="s">
        <v>12693</v>
      </c>
      <c r="H221" s="138"/>
      <c r="J221" s="832" t="s">
        <v>13104</v>
      </c>
      <c r="K221" s="839">
        <v>5.0000000000000001E-3</v>
      </c>
      <c r="L221" s="261" t="s">
        <v>11101</v>
      </c>
      <c r="M221" s="261" t="s">
        <v>330</v>
      </c>
      <c r="N221" s="261" t="s">
        <v>3779</v>
      </c>
      <c r="O221" s="279">
        <v>50000</v>
      </c>
      <c r="P221" s="833" t="s">
        <v>12653</v>
      </c>
    </row>
    <row r="222" spans="1:16" x14ac:dyDescent="0.2">
      <c r="A222" s="832" t="s">
        <v>13105</v>
      </c>
      <c r="B222" s="261" t="s">
        <v>11792</v>
      </c>
      <c r="C222" s="261" t="s">
        <v>543</v>
      </c>
      <c r="D222" s="261" t="s">
        <v>1103</v>
      </c>
      <c r="E222" s="261" t="s">
        <v>11790</v>
      </c>
      <c r="F222" s="279">
        <v>300000</v>
      </c>
      <c r="G222" s="833" t="s">
        <v>12668</v>
      </c>
      <c r="H222" s="138" t="s">
        <v>12696</v>
      </c>
      <c r="J222" s="832" t="s">
        <v>13106</v>
      </c>
      <c r="K222" s="839">
        <v>5.0000000000000001E-3</v>
      </c>
      <c r="L222" s="261" t="s">
        <v>11229</v>
      </c>
      <c r="M222" s="261" t="s">
        <v>330</v>
      </c>
      <c r="N222" s="261" t="s">
        <v>3779</v>
      </c>
      <c r="O222" s="279">
        <v>90000</v>
      </c>
      <c r="P222" s="833" t="s">
        <v>12659</v>
      </c>
    </row>
    <row r="223" spans="1:16" x14ac:dyDescent="0.2">
      <c r="A223" s="832" t="s">
        <v>13107</v>
      </c>
      <c r="B223" s="261" t="s">
        <v>12597</v>
      </c>
      <c r="C223" s="261" t="s">
        <v>645</v>
      </c>
      <c r="D223" s="261" t="s">
        <v>1103</v>
      </c>
      <c r="E223" s="261" t="s">
        <v>11101</v>
      </c>
      <c r="F223" s="279">
        <v>10000</v>
      </c>
      <c r="G223" s="833" t="s">
        <v>12645</v>
      </c>
      <c r="H223" s="138"/>
      <c r="J223" s="832" t="s">
        <v>13108</v>
      </c>
      <c r="K223" s="839">
        <v>1.4999999999999999E-2</v>
      </c>
      <c r="L223" s="261" t="s">
        <v>11371</v>
      </c>
      <c r="M223" s="261" t="s">
        <v>330</v>
      </c>
      <c r="N223" s="261" t="s">
        <v>3779</v>
      </c>
      <c r="O223" s="279">
        <v>150000</v>
      </c>
      <c r="P223" s="833" t="s">
        <v>12662</v>
      </c>
    </row>
    <row r="224" spans="1:16" x14ac:dyDescent="0.2">
      <c r="A224" s="832" t="s">
        <v>13109</v>
      </c>
      <c r="B224" s="261" t="s">
        <v>12599</v>
      </c>
      <c r="C224" s="261" t="s">
        <v>645</v>
      </c>
      <c r="D224" s="261" t="s">
        <v>1103</v>
      </c>
      <c r="E224" s="261" t="s">
        <v>11101</v>
      </c>
      <c r="F224" s="279">
        <v>10000</v>
      </c>
      <c r="G224" s="833" t="s">
        <v>12651</v>
      </c>
      <c r="H224" s="138"/>
      <c r="J224" s="832" t="s">
        <v>13110</v>
      </c>
      <c r="K224" s="839">
        <v>1.4999999999999999E-2</v>
      </c>
      <c r="L224" s="261" t="s">
        <v>11593</v>
      </c>
      <c r="M224" s="261" t="s">
        <v>330</v>
      </c>
      <c r="N224" s="261" t="s">
        <v>3779</v>
      </c>
      <c r="O224" s="279">
        <v>100000</v>
      </c>
      <c r="P224" s="833" t="s">
        <v>12665</v>
      </c>
    </row>
    <row r="225" spans="1:16" x14ac:dyDescent="0.2">
      <c r="A225" s="832" t="s">
        <v>13111</v>
      </c>
      <c r="B225" s="261" t="s">
        <v>12601</v>
      </c>
      <c r="C225" s="261" t="s">
        <v>645</v>
      </c>
      <c r="D225" s="261" t="s">
        <v>1103</v>
      </c>
      <c r="E225" s="261" t="s">
        <v>11101</v>
      </c>
      <c r="F225" s="279">
        <v>10000</v>
      </c>
      <c r="G225" s="833" t="s">
        <v>12657</v>
      </c>
      <c r="H225" s="138"/>
      <c r="J225" s="832" t="s">
        <v>13112</v>
      </c>
      <c r="K225" s="839">
        <v>1.4999999999999999E-2</v>
      </c>
      <c r="L225" s="261" t="s">
        <v>11790</v>
      </c>
      <c r="M225" s="261" t="s">
        <v>330</v>
      </c>
      <c r="N225" s="261" t="s">
        <v>3779</v>
      </c>
      <c r="O225" s="279">
        <v>300000</v>
      </c>
      <c r="P225" s="833" t="s">
        <v>12668</v>
      </c>
    </row>
    <row r="226" spans="1:16" x14ac:dyDescent="0.2">
      <c r="A226" s="832" t="s">
        <v>13113</v>
      </c>
      <c r="B226" s="261" t="s">
        <v>12603</v>
      </c>
      <c r="C226" s="261" t="s">
        <v>645</v>
      </c>
      <c r="D226" s="261" t="s">
        <v>1103</v>
      </c>
      <c r="E226" s="261" t="s">
        <v>11101</v>
      </c>
      <c r="F226" s="279">
        <v>10000</v>
      </c>
      <c r="G226" s="833" t="s">
        <v>12645</v>
      </c>
      <c r="H226" s="138"/>
      <c r="J226" s="832" t="s">
        <v>13114</v>
      </c>
      <c r="K226" s="839">
        <v>5.0000000000000001E-3</v>
      </c>
      <c r="L226" s="261" t="s">
        <v>10911</v>
      </c>
      <c r="M226" s="261" t="s">
        <v>429</v>
      </c>
      <c r="N226" s="261" t="s">
        <v>3779</v>
      </c>
      <c r="O226" s="279">
        <v>50000</v>
      </c>
      <c r="P226" s="833" t="s">
        <v>12647</v>
      </c>
    </row>
    <row r="227" spans="1:16" x14ac:dyDescent="0.2">
      <c r="A227" s="832" t="s">
        <v>13115</v>
      </c>
      <c r="B227" s="261" t="s">
        <v>12605</v>
      </c>
      <c r="C227" s="261" t="s">
        <v>645</v>
      </c>
      <c r="D227" s="261" t="s">
        <v>1103</v>
      </c>
      <c r="E227" s="261" t="s">
        <v>11101</v>
      </c>
      <c r="F227" s="279">
        <v>10000</v>
      </c>
      <c r="G227" s="833" t="s">
        <v>12651</v>
      </c>
      <c r="H227" s="138"/>
      <c r="J227" s="832" t="s">
        <v>13116</v>
      </c>
      <c r="K227" s="839">
        <v>5.0000000000000001E-3</v>
      </c>
      <c r="L227" s="261" t="s">
        <v>11101</v>
      </c>
      <c r="M227" s="261" t="s">
        <v>429</v>
      </c>
      <c r="N227" s="261" t="s">
        <v>3779</v>
      </c>
      <c r="O227" s="279">
        <v>50000</v>
      </c>
      <c r="P227" s="833" t="s">
        <v>12653</v>
      </c>
    </row>
    <row r="228" spans="1:16" x14ac:dyDescent="0.2">
      <c r="A228" s="832" t="s">
        <v>13117</v>
      </c>
      <c r="B228" s="261" t="s">
        <v>12607</v>
      </c>
      <c r="C228" s="261" t="s">
        <v>645</v>
      </c>
      <c r="D228" s="261" t="s">
        <v>1103</v>
      </c>
      <c r="E228" s="261" t="s">
        <v>11101</v>
      </c>
      <c r="F228" s="279">
        <v>10000</v>
      </c>
      <c r="G228" s="833" t="s">
        <v>12657</v>
      </c>
      <c r="H228" s="138"/>
      <c r="J228" s="832" t="s">
        <v>13118</v>
      </c>
      <c r="K228" s="839">
        <v>5.0000000000000001E-3</v>
      </c>
      <c r="L228" s="261" t="s">
        <v>11229</v>
      </c>
      <c r="M228" s="261" t="s">
        <v>429</v>
      </c>
      <c r="N228" s="261" t="s">
        <v>3779</v>
      </c>
      <c r="O228" s="279">
        <v>90000</v>
      </c>
      <c r="P228" s="833" t="s">
        <v>12659</v>
      </c>
    </row>
    <row r="229" spans="1:16" x14ac:dyDescent="0.2">
      <c r="A229" s="832" t="s">
        <v>13119</v>
      </c>
      <c r="B229" s="261" t="s">
        <v>12609</v>
      </c>
      <c r="C229" s="261" t="s">
        <v>645</v>
      </c>
      <c r="D229" s="261" t="s">
        <v>1103</v>
      </c>
      <c r="E229" s="261" t="s">
        <v>11101</v>
      </c>
      <c r="F229" s="279">
        <v>25000</v>
      </c>
      <c r="G229" s="833" t="s">
        <v>12670</v>
      </c>
      <c r="H229" s="138"/>
      <c r="J229" s="832" t="s">
        <v>13120</v>
      </c>
      <c r="K229" s="839">
        <v>1.4999999999999999E-2</v>
      </c>
      <c r="L229" s="261" t="s">
        <v>11371</v>
      </c>
      <c r="M229" s="261" t="s">
        <v>429</v>
      </c>
      <c r="N229" s="261" t="s">
        <v>3779</v>
      </c>
      <c r="O229" s="279">
        <v>150000</v>
      </c>
      <c r="P229" s="833" t="s">
        <v>12662</v>
      </c>
    </row>
    <row r="230" spans="1:16" x14ac:dyDescent="0.2">
      <c r="A230" s="832" t="s">
        <v>13121</v>
      </c>
      <c r="B230" s="261" t="s">
        <v>12611</v>
      </c>
      <c r="C230" s="261" t="s">
        <v>645</v>
      </c>
      <c r="D230" s="261" t="s">
        <v>1103</v>
      </c>
      <c r="E230" s="261" t="s">
        <v>11101</v>
      </c>
      <c r="F230" s="279">
        <v>25000</v>
      </c>
      <c r="G230" s="833" t="s">
        <v>12673</v>
      </c>
      <c r="H230" s="138"/>
      <c r="J230" s="832" t="s">
        <v>13122</v>
      </c>
      <c r="K230" s="839">
        <v>1.4999999999999999E-2</v>
      </c>
      <c r="L230" s="261" t="s">
        <v>11593</v>
      </c>
      <c r="M230" s="261" t="s">
        <v>429</v>
      </c>
      <c r="N230" s="261" t="s">
        <v>3779</v>
      </c>
      <c r="O230" s="279">
        <v>100000</v>
      </c>
      <c r="P230" s="833" t="s">
        <v>12665</v>
      </c>
    </row>
    <row r="231" spans="1:16" x14ac:dyDescent="0.2">
      <c r="A231" s="832" t="s">
        <v>13123</v>
      </c>
      <c r="B231" s="261" t="s">
        <v>12613</v>
      </c>
      <c r="C231" s="261" t="s">
        <v>645</v>
      </c>
      <c r="D231" s="261" t="s">
        <v>1103</v>
      </c>
      <c r="E231" s="261" t="s">
        <v>11101</v>
      </c>
      <c r="F231" s="279">
        <v>25000</v>
      </c>
      <c r="G231" s="833" t="s">
        <v>12676</v>
      </c>
      <c r="H231" s="138"/>
      <c r="J231" s="832" t="s">
        <v>13124</v>
      </c>
      <c r="K231" s="839">
        <v>1.4999999999999999E-2</v>
      </c>
      <c r="L231" s="261" t="s">
        <v>11790</v>
      </c>
      <c r="M231" s="261" t="s">
        <v>429</v>
      </c>
      <c r="N231" s="261" t="s">
        <v>3779</v>
      </c>
      <c r="O231" s="279">
        <v>300000</v>
      </c>
      <c r="P231" s="833" t="s">
        <v>12668</v>
      </c>
    </row>
    <row r="232" spans="1:16" x14ac:dyDescent="0.2">
      <c r="A232" s="832" t="s">
        <v>13125</v>
      </c>
      <c r="B232" s="261" t="s">
        <v>12615</v>
      </c>
      <c r="C232" s="261" t="s">
        <v>645</v>
      </c>
      <c r="D232" s="261" t="s">
        <v>1103</v>
      </c>
      <c r="E232" s="261" t="s">
        <v>11101</v>
      </c>
      <c r="F232" s="279">
        <v>25000</v>
      </c>
      <c r="G232" s="833" t="s">
        <v>12670</v>
      </c>
      <c r="H232" s="138"/>
      <c r="J232" s="832" t="s">
        <v>13126</v>
      </c>
      <c r="K232" s="839">
        <v>5.0000000000000001E-3</v>
      </c>
      <c r="L232" s="261" t="s">
        <v>10911</v>
      </c>
      <c r="M232" s="261" t="s">
        <v>543</v>
      </c>
      <c r="N232" s="261" t="s">
        <v>3779</v>
      </c>
      <c r="O232" s="279">
        <v>50000</v>
      </c>
      <c r="P232" s="833" t="s">
        <v>12647</v>
      </c>
    </row>
    <row r="233" spans="1:16" x14ac:dyDescent="0.2">
      <c r="A233" s="832" t="s">
        <v>13127</v>
      </c>
      <c r="B233" s="261" t="s">
        <v>12617</v>
      </c>
      <c r="C233" s="261" t="s">
        <v>645</v>
      </c>
      <c r="D233" s="261" t="s">
        <v>1103</v>
      </c>
      <c r="E233" s="261" t="s">
        <v>11101</v>
      </c>
      <c r="F233" s="279">
        <v>25000</v>
      </c>
      <c r="G233" s="833" t="s">
        <v>12681</v>
      </c>
      <c r="H233" s="138"/>
      <c r="J233" s="832" t="s">
        <v>13128</v>
      </c>
      <c r="K233" s="839">
        <v>5.0000000000000001E-3</v>
      </c>
      <c r="L233" s="261" t="s">
        <v>11101</v>
      </c>
      <c r="M233" s="261" t="s">
        <v>543</v>
      </c>
      <c r="N233" s="261" t="s">
        <v>3779</v>
      </c>
      <c r="O233" s="279">
        <v>50000</v>
      </c>
      <c r="P233" s="833" t="s">
        <v>12653</v>
      </c>
    </row>
    <row r="234" spans="1:16" x14ac:dyDescent="0.2">
      <c r="A234" s="832" t="s">
        <v>13129</v>
      </c>
      <c r="B234" s="261" t="s">
        <v>12619</v>
      </c>
      <c r="C234" s="261" t="s">
        <v>645</v>
      </c>
      <c r="D234" s="261" t="s">
        <v>1103</v>
      </c>
      <c r="E234" s="261" t="s">
        <v>11101</v>
      </c>
      <c r="F234" s="279">
        <v>50000</v>
      </c>
      <c r="G234" s="833" t="s">
        <v>12684</v>
      </c>
      <c r="H234" s="138"/>
      <c r="J234" s="832" t="s">
        <v>13130</v>
      </c>
      <c r="K234" s="839">
        <v>5.0000000000000001E-3</v>
      </c>
      <c r="L234" s="261" t="s">
        <v>11229</v>
      </c>
      <c r="M234" s="261" t="s">
        <v>543</v>
      </c>
      <c r="N234" s="261" t="s">
        <v>3779</v>
      </c>
      <c r="O234" s="279">
        <v>90000</v>
      </c>
      <c r="P234" s="833" t="s">
        <v>12659</v>
      </c>
    </row>
    <row r="235" spans="1:16" x14ac:dyDescent="0.2">
      <c r="A235" s="832" t="s">
        <v>13131</v>
      </c>
      <c r="B235" s="261" t="s">
        <v>7211</v>
      </c>
      <c r="C235" s="261" t="s">
        <v>645</v>
      </c>
      <c r="D235" s="261" t="s">
        <v>1103</v>
      </c>
      <c r="E235" s="261" t="s">
        <v>11101</v>
      </c>
      <c r="F235" s="279">
        <v>50000</v>
      </c>
      <c r="G235" s="833" t="s">
        <v>12673</v>
      </c>
      <c r="H235" s="138"/>
      <c r="J235" s="832" t="s">
        <v>13132</v>
      </c>
      <c r="K235" s="839">
        <v>1.4999999999999999E-2</v>
      </c>
      <c r="L235" s="261" t="s">
        <v>11371</v>
      </c>
      <c r="M235" s="261" t="s">
        <v>543</v>
      </c>
      <c r="N235" s="261" t="s">
        <v>3779</v>
      </c>
      <c r="O235" s="279">
        <v>150000</v>
      </c>
      <c r="P235" s="833" t="s">
        <v>12662</v>
      </c>
    </row>
    <row r="236" spans="1:16" x14ac:dyDescent="0.2">
      <c r="A236" s="832" t="s">
        <v>13133</v>
      </c>
      <c r="B236" s="261" t="s">
        <v>1591</v>
      </c>
      <c r="C236" s="261" t="s">
        <v>645</v>
      </c>
      <c r="D236" s="261" t="s">
        <v>1103</v>
      </c>
      <c r="E236" s="261" t="s">
        <v>11101</v>
      </c>
      <c r="F236" s="279">
        <v>50000</v>
      </c>
      <c r="G236" s="833" t="s">
        <v>12676</v>
      </c>
      <c r="H236" s="138"/>
      <c r="J236" s="832" t="s">
        <v>13134</v>
      </c>
      <c r="K236" s="839">
        <v>1.4999999999999999E-2</v>
      </c>
      <c r="L236" s="261" t="s">
        <v>11593</v>
      </c>
      <c r="M236" s="261" t="s">
        <v>543</v>
      </c>
      <c r="N236" s="261" t="s">
        <v>3779</v>
      </c>
      <c r="O236" s="279">
        <v>100000</v>
      </c>
      <c r="P236" s="833" t="s">
        <v>12665</v>
      </c>
    </row>
    <row r="237" spans="1:16" x14ac:dyDescent="0.2">
      <c r="A237" s="832" t="s">
        <v>13135</v>
      </c>
      <c r="B237" s="261" t="s">
        <v>7912</v>
      </c>
      <c r="C237" s="261" t="s">
        <v>645</v>
      </c>
      <c r="D237" s="261" t="s">
        <v>1103</v>
      </c>
      <c r="E237" s="261" t="s">
        <v>11101</v>
      </c>
      <c r="F237" s="279">
        <v>50000</v>
      </c>
      <c r="G237" s="833" t="s">
        <v>12681</v>
      </c>
      <c r="H237" s="138"/>
      <c r="J237" s="832" t="s">
        <v>13136</v>
      </c>
      <c r="K237" s="839">
        <v>1.4999999999999999E-2</v>
      </c>
      <c r="L237" s="261" t="s">
        <v>11790</v>
      </c>
      <c r="M237" s="261" t="s">
        <v>543</v>
      </c>
      <c r="N237" s="261" t="s">
        <v>3779</v>
      </c>
      <c r="O237" s="279">
        <v>300000</v>
      </c>
      <c r="P237" s="833" t="s">
        <v>12668</v>
      </c>
    </row>
    <row r="238" spans="1:16" x14ac:dyDescent="0.2">
      <c r="A238" s="832" t="s">
        <v>13137</v>
      </c>
      <c r="B238" s="261" t="s">
        <v>12594</v>
      </c>
      <c r="C238" s="261" t="s">
        <v>645</v>
      </c>
      <c r="D238" s="261" t="s">
        <v>1103</v>
      </c>
      <c r="E238" s="261" t="s">
        <v>11593</v>
      </c>
      <c r="F238" s="279">
        <v>200000</v>
      </c>
      <c r="G238" s="833" t="s">
        <v>12693</v>
      </c>
      <c r="H238" s="138"/>
      <c r="J238" s="832" t="s">
        <v>13138</v>
      </c>
      <c r="K238" s="839">
        <v>5.0000000000000001E-3</v>
      </c>
      <c r="L238" s="261" t="s">
        <v>10911</v>
      </c>
      <c r="M238" s="261" t="s">
        <v>645</v>
      </c>
      <c r="N238" s="261" t="s">
        <v>3779</v>
      </c>
      <c r="O238" s="279">
        <v>50000</v>
      </c>
      <c r="P238" s="833" t="s">
        <v>12647</v>
      </c>
    </row>
    <row r="239" spans="1:16" x14ac:dyDescent="0.2">
      <c r="A239" s="832" t="s">
        <v>13139</v>
      </c>
      <c r="B239" s="261" t="s">
        <v>11792</v>
      </c>
      <c r="C239" s="261" t="s">
        <v>645</v>
      </c>
      <c r="D239" s="261" t="s">
        <v>1103</v>
      </c>
      <c r="E239" s="261" t="s">
        <v>11790</v>
      </c>
      <c r="F239" s="279">
        <v>300000</v>
      </c>
      <c r="G239" s="833" t="s">
        <v>12668</v>
      </c>
      <c r="H239" s="138" t="s">
        <v>12696</v>
      </c>
      <c r="J239" s="832" t="s">
        <v>13140</v>
      </c>
      <c r="K239" s="839">
        <v>5.0000000000000001E-3</v>
      </c>
      <c r="L239" s="261" t="s">
        <v>11101</v>
      </c>
      <c r="M239" s="261" t="s">
        <v>645</v>
      </c>
      <c r="N239" s="261" t="s">
        <v>3779</v>
      </c>
      <c r="O239" s="279">
        <v>50000</v>
      </c>
      <c r="P239" s="833" t="s">
        <v>12653</v>
      </c>
    </row>
    <row r="240" spans="1:16" x14ac:dyDescent="0.2">
      <c r="A240" s="832" t="s">
        <v>13141</v>
      </c>
      <c r="B240" s="261" t="s">
        <v>12597</v>
      </c>
      <c r="C240" s="261" t="s">
        <v>759</v>
      </c>
      <c r="D240" s="261" t="s">
        <v>1103</v>
      </c>
      <c r="E240" s="261" t="s">
        <v>11101</v>
      </c>
      <c r="F240" s="279">
        <v>10000</v>
      </c>
      <c r="G240" s="833" t="s">
        <v>12645</v>
      </c>
      <c r="H240" s="138"/>
      <c r="J240" s="832" t="s">
        <v>13142</v>
      </c>
      <c r="K240" s="839">
        <v>5.0000000000000001E-3</v>
      </c>
      <c r="L240" s="261" t="s">
        <v>11229</v>
      </c>
      <c r="M240" s="261" t="s">
        <v>645</v>
      </c>
      <c r="N240" s="261" t="s">
        <v>3779</v>
      </c>
      <c r="O240" s="279">
        <v>90000</v>
      </c>
      <c r="P240" s="833" t="s">
        <v>12659</v>
      </c>
    </row>
    <row r="241" spans="1:16" x14ac:dyDescent="0.2">
      <c r="A241" s="832" t="s">
        <v>13143</v>
      </c>
      <c r="B241" s="261" t="s">
        <v>12599</v>
      </c>
      <c r="C241" s="261" t="s">
        <v>759</v>
      </c>
      <c r="D241" s="261" t="s">
        <v>1103</v>
      </c>
      <c r="E241" s="261" t="s">
        <v>11101</v>
      </c>
      <c r="F241" s="279">
        <v>10000</v>
      </c>
      <c r="G241" s="833" t="s">
        <v>12651</v>
      </c>
      <c r="H241" s="138"/>
      <c r="J241" s="832" t="s">
        <v>13144</v>
      </c>
      <c r="K241" s="839">
        <v>1.4999999999999999E-2</v>
      </c>
      <c r="L241" s="261" t="s">
        <v>11371</v>
      </c>
      <c r="M241" s="261" t="s">
        <v>645</v>
      </c>
      <c r="N241" s="261" t="s">
        <v>3779</v>
      </c>
      <c r="O241" s="279">
        <v>150000</v>
      </c>
      <c r="P241" s="833" t="s">
        <v>12662</v>
      </c>
    </row>
    <row r="242" spans="1:16" x14ac:dyDescent="0.2">
      <c r="A242" s="832" t="s">
        <v>13145</v>
      </c>
      <c r="B242" s="261" t="s">
        <v>12601</v>
      </c>
      <c r="C242" s="261" t="s">
        <v>759</v>
      </c>
      <c r="D242" s="261" t="s">
        <v>1103</v>
      </c>
      <c r="E242" s="261" t="s">
        <v>11101</v>
      </c>
      <c r="F242" s="279">
        <v>10000</v>
      </c>
      <c r="G242" s="833" t="s">
        <v>12657</v>
      </c>
      <c r="H242" s="138"/>
      <c r="J242" s="832" t="s">
        <v>13146</v>
      </c>
      <c r="K242" s="839">
        <v>1.4999999999999999E-2</v>
      </c>
      <c r="L242" s="261" t="s">
        <v>11593</v>
      </c>
      <c r="M242" s="261" t="s">
        <v>645</v>
      </c>
      <c r="N242" s="261" t="s">
        <v>3779</v>
      </c>
      <c r="O242" s="279">
        <v>100000</v>
      </c>
      <c r="P242" s="833" t="s">
        <v>12665</v>
      </c>
    </row>
    <row r="243" spans="1:16" x14ac:dyDescent="0.2">
      <c r="A243" s="832" t="s">
        <v>13147</v>
      </c>
      <c r="B243" s="261" t="s">
        <v>12603</v>
      </c>
      <c r="C243" s="261" t="s">
        <v>759</v>
      </c>
      <c r="D243" s="261" t="s">
        <v>1103</v>
      </c>
      <c r="E243" s="261" t="s">
        <v>11101</v>
      </c>
      <c r="F243" s="279">
        <v>10000</v>
      </c>
      <c r="G243" s="833" t="s">
        <v>12645</v>
      </c>
      <c r="H243" s="138"/>
      <c r="J243" s="832" t="s">
        <v>13148</v>
      </c>
      <c r="K243" s="839">
        <v>1.4999999999999999E-2</v>
      </c>
      <c r="L243" s="261" t="s">
        <v>11790</v>
      </c>
      <c r="M243" s="261" t="s">
        <v>645</v>
      </c>
      <c r="N243" s="261" t="s">
        <v>3779</v>
      </c>
      <c r="O243" s="279">
        <v>300000</v>
      </c>
      <c r="P243" s="833" t="s">
        <v>12668</v>
      </c>
    </row>
    <row r="244" spans="1:16" x14ac:dyDescent="0.2">
      <c r="A244" s="832" t="s">
        <v>13149</v>
      </c>
      <c r="B244" s="261" t="s">
        <v>12605</v>
      </c>
      <c r="C244" s="261" t="s">
        <v>759</v>
      </c>
      <c r="D244" s="261" t="s">
        <v>1103</v>
      </c>
      <c r="E244" s="261" t="s">
        <v>11101</v>
      </c>
      <c r="F244" s="279">
        <v>10000</v>
      </c>
      <c r="G244" s="833" t="s">
        <v>12651</v>
      </c>
      <c r="H244" s="138"/>
      <c r="J244" s="832" t="s">
        <v>13150</v>
      </c>
      <c r="K244" s="839">
        <v>5.0000000000000001E-3</v>
      </c>
      <c r="L244" s="261" t="s">
        <v>10911</v>
      </c>
      <c r="M244" s="261" t="s">
        <v>759</v>
      </c>
      <c r="N244" s="261" t="s">
        <v>3779</v>
      </c>
      <c r="O244" s="279">
        <v>50000</v>
      </c>
      <c r="P244" s="833" t="s">
        <v>12647</v>
      </c>
    </row>
    <row r="245" spans="1:16" x14ac:dyDescent="0.2">
      <c r="A245" s="832" t="s">
        <v>13151</v>
      </c>
      <c r="B245" s="261" t="s">
        <v>12607</v>
      </c>
      <c r="C245" s="261" t="s">
        <v>759</v>
      </c>
      <c r="D245" s="261" t="s">
        <v>1103</v>
      </c>
      <c r="E245" s="261" t="s">
        <v>11101</v>
      </c>
      <c r="F245" s="279">
        <v>10000</v>
      </c>
      <c r="G245" s="833" t="s">
        <v>12657</v>
      </c>
      <c r="H245" s="138"/>
      <c r="J245" s="832" t="s">
        <v>13152</v>
      </c>
      <c r="K245" s="839">
        <v>5.0000000000000001E-3</v>
      </c>
      <c r="L245" s="261" t="s">
        <v>11101</v>
      </c>
      <c r="M245" s="261" t="s">
        <v>759</v>
      </c>
      <c r="N245" s="261" t="s">
        <v>3779</v>
      </c>
      <c r="O245" s="279">
        <v>50000</v>
      </c>
      <c r="P245" s="833" t="s">
        <v>12653</v>
      </c>
    </row>
    <row r="246" spans="1:16" x14ac:dyDescent="0.2">
      <c r="A246" s="832" t="s">
        <v>13153</v>
      </c>
      <c r="B246" s="261" t="s">
        <v>12609</v>
      </c>
      <c r="C246" s="261" t="s">
        <v>759</v>
      </c>
      <c r="D246" s="261" t="s">
        <v>1103</v>
      </c>
      <c r="E246" s="261" t="s">
        <v>11101</v>
      </c>
      <c r="F246" s="279">
        <v>25000</v>
      </c>
      <c r="G246" s="833" t="s">
        <v>12670</v>
      </c>
      <c r="H246" s="138"/>
      <c r="J246" s="832" t="s">
        <v>13154</v>
      </c>
      <c r="K246" s="839">
        <v>5.0000000000000001E-3</v>
      </c>
      <c r="L246" s="261" t="s">
        <v>11229</v>
      </c>
      <c r="M246" s="261" t="s">
        <v>759</v>
      </c>
      <c r="N246" s="261" t="s">
        <v>3779</v>
      </c>
      <c r="O246" s="279">
        <v>90000</v>
      </c>
      <c r="P246" s="833" t="s">
        <v>12659</v>
      </c>
    </row>
    <row r="247" spans="1:16" x14ac:dyDescent="0.2">
      <c r="A247" s="832" t="s">
        <v>13155</v>
      </c>
      <c r="B247" s="261" t="s">
        <v>12611</v>
      </c>
      <c r="C247" s="261" t="s">
        <v>759</v>
      </c>
      <c r="D247" s="261" t="s">
        <v>1103</v>
      </c>
      <c r="E247" s="261" t="s">
        <v>11101</v>
      </c>
      <c r="F247" s="279">
        <v>25000</v>
      </c>
      <c r="G247" s="833" t="s">
        <v>12673</v>
      </c>
      <c r="H247" s="138"/>
      <c r="J247" s="832" t="s">
        <v>13156</v>
      </c>
      <c r="K247" s="839">
        <v>1.4999999999999999E-2</v>
      </c>
      <c r="L247" s="261" t="s">
        <v>11371</v>
      </c>
      <c r="M247" s="261" t="s">
        <v>759</v>
      </c>
      <c r="N247" s="261" t="s">
        <v>3779</v>
      </c>
      <c r="O247" s="279">
        <v>150000</v>
      </c>
      <c r="P247" s="833" t="s">
        <v>12662</v>
      </c>
    </row>
    <row r="248" spans="1:16" x14ac:dyDescent="0.2">
      <c r="A248" s="832" t="s">
        <v>13157</v>
      </c>
      <c r="B248" s="261" t="s">
        <v>12613</v>
      </c>
      <c r="C248" s="261" t="s">
        <v>759</v>
      </c>
      <c r="D248" s="261" t="s">
        <v>1103</v>
      </c>
      <c r="E248" s="261" t="s">
        <v>11101</v>
      </c>
      <c r="F248" s="279">
        <v>25000</v>
      </c>
      <c r="G248" s="833" t="s">
        <v>12676</v>
      </c>
      <c r="H248" s="138"/>
      <c r="J248" s="832" t="s">
        <v>13158</v>
      </c>
      <c r="K248" s="839">
        <v>1.4999999999999999E-2</v>
      </c>
      <c r="L248" s="261" t="s">
        <v>11593</v>
      </c>
      <c r="M248" s="261" t="s">
        <v>759</v>
      </c>
      <c r="N248" s="261" t="s">
        <v>3779</v>
      </c>
      <c r="O248" s="279">
        <v>100000</v>
      </c>
      <c r="P248" s="833" t="s">
        <v>12665</v>
      </c>
    </row>
    <row r="249" spans="1:16" x14ac:dyDescent="0.2">
      <c r="A249" s="832" t="s">
        <v>13159</v>
      </c>
      <c r="B249" s="261" t="s">
        <v>12615</v>
      </c>
      <c r="C249" s="261" t="s">
        <v>759</v>
      </c>
      <c r="D249" s="261" t="s">
        <v>1103</v>
      </c>
      <c r="E249" s="261" t="s">
        <v>11101</v>
      </c>
      <c r="F249" s="279">
        <v>25000</v>
      </c>
      <c r="G249" s="833" t="s">
        <v>12670</v>
      </c>
      <c r="H249" s="138"/>
      <c r="J249" s="832" t="s">
        <v>13160</v>
      </c>
      <c r="K249" s="839">
        <v>1.4999999999999999E-2</v>
      </c>
      <c r="L249" s="261" t="s">
        <v>11790</v>
      </c>
      <c r="M249" s="261" t="s">
        <v>759</v>
      </c>
      <c r="N249" s="261" t="s">
        <v>3779</v>
      </c>
      <c r="O249" s="279">
        <v>300000</v>
      </c>
      <c r="P249" s="833" t="s">
        <v>12668</v>
      </c>
    </row>
    <row r="250" spans="1:16" x14ac:dyDescent="0.2">
      <c r="A250" s="832" t="s">
        <v>13161</v>
      </c>
      <c r="B250" s="261" t="s">
        <v>12617</v>
      </c>
      <c r="C250" s="261" t="s">
        <v>759</v>
      </c>
      <c r="D250" s="261" t="s">
        <v>1103</v>
      </c>
      <c r="E250" s="261" t="s">
        <v>11101</v>
      </c>
      <c r="F250" s="279">
        <v>25000</v>
      </c>
      <c r="G250" s="833" t="s">
        <v>12681</v>
      </c>
      <c r="H250" s="138"/>
      <c r="J250" s="832" t="s">
        <v>13162</v>
      </c>
      <c r="K250" s="839">
        <v>5.0000000000000001E-3</v>
      </c>
      <c r="L250" s="261" t="s">
        <v>10911</v>
      </c>
      <c r="M250" s="261" t="s">
        <v>839</v>
      </c>
      <c r="N250" s="261" t="s">
        <v>3779</v>
      </c>
      <c r="O250" s="279">
        <v>50000</v>
      </c>
      <c r="P250" s="833" t="s">
        <v>12647</v>
      </c>
    </row>
    <row r="251" spans="1:16" x14ac:dyDescent="0.2">
      <c r="A251" s="832" t="s">
        <v>13163</v>
      </c>
      <c r="B251" s="261" t="s">
        <v>12619</v>
      </c>
      <c r="C251" s="261" t="s">
        <v>759</v>
      </c>
      <c r="D251" s="261" t="s">
        <v>1103</v>
      </c>
      <c r="E251" s="261" t="s">
        <v>11101</v>
      </c>
      <c r="F251" s="279">
        <v>50000</v>
      </c>
      <c r="G251" s="833" t="s">
        <v>12684</v>
      </c>
      <c r="H251" s="138"/>
      <c r="J251" s="832" t="s">
        <v>13164</v>
      </c>
      <c r="K251" s="839">
        <v>5.0000000000000001E-3</v>
      </c>
      <c r="L251" s="261" t="s">
        <v>11101</v>
      </c>
      <c r="M251" s="261" t="s">
        <v>839</v>
      </c>
      <c r="N251" s="261" t="s">
        <v>3779</v>
      </c>
      <c r="O251" s="279">
        <v>50000</v>
      </c>
      <c r="P251" s="833" t="s">
        <v>12653</v>
      </c>
    </row>
    <row r="252" spans="1:16" x14ac:dyDescent="0.2">
      <c r="A252" s="832" t="s">
        <v>13165</v>
      </c>
      <c r="B252" s="261" t="s">
        <v>7211</v>
      </c>
      <c r="C252" s="261" t="s">
        <v>759</v>
      </c>
      <c r="D252" s="261" t="s">
        <v>1103</v>
      </c>
      <c r="E252" s="261" t="s">
        <v>11101</v>
      </c>
      <c r="F252" s="279">
        <v>50000</v>
      </c>
      <c r="G252" s="833" t="s">
        <v>12673</v>
      </c>
      <c r="H252" s="138"/>
      <c r="J252" s="832" t="s">
        <v>13166</v>
      </c>
      <c r="K252" s="839">
        <v>5.0000000000000001E-3</v>
      </c>
      <c r="L252" s="261" t="s">
        <v>11229</v>
      </c>
      <c r="M252" s="261" t="s">
        <v>839</v>
      </c>
      <c r="N252" s="261" t="s">
        <v>3779</v>
      </c>
      <c r="O252" s="279">
        <v>90000</v>
      </c>
      <c r="P252" s="833" t="s">
        <v>12659</v>
      </c>
    </row>
    <row r="253" spans="1:16" x14ac:dyDescent="0.2">
      <c r="A253" s="832" t="s">
        <v>13167</v>
      </c>
      <c r="B253" s="261" t="s">
        <v>1591</v>
      </c>
      <c r="C253" s="261" t="s">
        <v>759</v>
      </c>
      <c r="D253" s="261" t="s">
        <v>1103</v>
      </c>
      <c r="E253" s="261" t="s">
        <v>11101</v>
      </c>
      <c r="F253" s="279">
        <v>50000</v>
      </c>
      <c r="G253" s="833" t="s">
        <v>12676</v>
      </c>
      <c r="H253" s="138"/>
      <c r="J253" s="832" t="s">
        <v>13168</v>
      </c>
      <c r="K253" s="839">
        <v>1.4999999999999999E-2</v>
      </c>
      <c r="L253" s="261" t="s">
        <v>11371</v>
      </c>
      <c r="M253" s="261" t="s">
        <v>839</v>
      </c>
      <c r="N253" s="261" t="s">
        <v>3779</v>
      </c>
      <c r="O253" s="279">
        <v>150000</v>
      </c>
      <c r="P253" s="833" t="s">
        <v>12662</v>
      </c>
    </row>
    <row r="254" spans="1:16" x14ac:dyDescent="0.2">
      <c r="A254" s="832" t="s">
        <v>13169</v>
      </c>
      <c r="B254" s="261" t="s">
        <v>7912</v>
      </c>
      <c r="C254" s="261" t="s">
        <v>759</v>
      </c>
      <c r="D254" s="261" t="s">
        <v>1103</v>
      </c>
      <c r="E254" s="261" t="s">
        <v>11101</v>
      </c>
      <c r="F254" s="279">
        <v>50000</v>
      </c>
      <c r="G254" s="833" t="s">
        <v>12681</v>
      </c>
      <c r="H254" s="138"/>
      <c r="J254" s="832" t="s">
        <v>13170</v>
      </c>
      <c r="K254" s="839">
        <v>1.4999999999999999E-2</v>
      </c>
      <c r="L254" s="261" t="s">
        <v>11593</v>
      </c>
      <c r="M254" s="261" t="s">
        <v>839</v>
      </c>
      <c r="N254" s="261" t="s">
        <v>3779</v>
      </c>
      <c r="O254" s="279">
        <v>100000</v>
      </c>
      <c r="P254" s="833" t="s">
        <v>12665</v>
      </c>
    </row>
    <row r="255" spans="1:16" x14ac:dyDescent="0.2">
      <c r="A255" s="832" t="s">
        <v>13171</v>
      </c>
      <c r="B255" s="261" t="s">
        <v>12594</v>
      </c>
      <c r="C255" s="261" t="s">
        <v>759</v>
      </c>
      <c r="D255" s="261" t="s">
        <v>1103</v>
      </c>
      <c r="E255" s="261" t="s">
        <v>11593</v>
      </c>
      <c r="F255" s="279">
        <v>200000</v>
      </c>
      <c r="G255" s="833" t="s">
        <v>12693</v>
      </c>
      <c r="H255" s="138"/>
      <c r="J255" s="832" t="s">
        <v>13172</v>
      </c>
      <c r="K255" s="839">
        <v>1.4999999999999999E-2</v>
      </c>
      <c r="L255" s="261" t="s">
        <v>11790</v>
      </c>
      <c r="M255" s="261" t="s">
        <v>839</v>
      </c>
      <c r="N255" s="261" t="s">
        <v>3779</v>
      </c>
      <c r="O255" s="279">
        <v>300000</v>
      </c>
      <c r="P255" s="833" t="s">
        <v>12668</v>
      </c>
    </row>
    <row r="256" spans="1:16" x14ac:dyDescent="0.2">
      <c r="A256" s="832" t="s">
        <v>13173</v>
      </c>
      <c r="B256" s="261" t="s">
        <v>11792</v>
      </c>
      <c r="C256" s="261" t="s">
        <v>759</v>
      </c>
      <c r="D256" s="261" t="s">
        <v>1103</v>
      </c>
      <c r="E256" s="261" t="s">
        <v>11790</v>
      </c>
      <c r="F256" s="279">
        <v>300000</v>
      </c>
      <c r="G256" s="833" t="s">
        <v>12668</v>
      </c>
      <c r="H256" s="138" t="s">
        <v>12696</v>
      </c>
      <c r="J256" s="832" t="s">
        <v>13174</v>
      </c>
      <c r="K256" s="839">
        <v>5.0000000000000001E-3</v>
      </c>
      <c r="L256" s="261" t="s">
        <v>10911</v>
      </c>
      <c r="M256" s="261" t="s">
        <v>949</v>
      </c>
      <c r="N256" s="261" t="s">
        <v>3779</v>
      </c>
      <c r="O256" s="279">
        <v>50000</v>
      </c>
      <c r="P256" s="833" t="s">
        <v>12647</v>
      </c>
    </row>
    <row r="257" spans="1:16" x14ac:dyDescent="0.2">
      <c r="A257" s="832" t="s">
        <v>13175</v>
      </c>
      <c r="B257" s="261" t="s">
        <v>12597</v>
      </c>
      <c r="C257" s="261" t="s">
        <v>839</v>
      </c>
      <c r="D257" s="261" t="s">
        <v>1103</v>
      </c>
      <c r="E257" s="261" t="s">
        <v>11101</v>
      </c>
      <c r="F257" s="279">
        <v>10000</v>
      </c>
      <c r="G257" s="833" t="s">
        <v>12645</v>
      </c>
      <c r="H257" s="138"/>
      <c r="J257" s="832" t="s">
        <v>13176</v>
      </c>
      <c r="K257" s="839">
        <v>5.0000000000000001E-3</v>
      </c>
      <c r="L257" s="261" t="s">
        <v>11101</v>
      </c>
      <c r="M257" s="261" t="s">
        <v>949</v>
      </c>
      <c r="N257" s="261" t="s">
        <v>3779</v>
      </c>
      <c r="O257" s="279">
        <v>50000</v>
      </c>
      <c r="P257" s="833" t="s">
        <v>12653</v>
      </c>
    </row>
    <row r="258" spans="1:16" x14ac:dyDescent="0.2">
      <c r="A258" s="832" t="s">
        <v>13177</v>
      </c>
      <c r="B258" s="261" t="s">
        <v>12599</v>
      </c>
      <c r="C258" s="261" t="s">
        <v>839</v>
      </c>
      <c r="D258" s="261" t="s">
        <v>1103</v>
      </c>
      <c r="E258" s="261" t="s">
        <v>11101</v>
      </c>
      <c r="F258" s="279">
        <v>10000</v>
      </c>
      <c r="G258" s="833" t="s">
        <v>12651</v>
      </c>
      <c r="H258" s="138"/>
      <c r="J258" s="832" t="s">
        <v>13178</v>
      </c>
      <c r="K258" s="839">
        <v>5.0000000000000001E-3</v>
      </c>
      <c r="L258" s="261" t="s">
        <v>11229</v>
      </c>
      <c r="M258" s="261" t="s">
        <v>949</v>
      </c>
      <c r="N258" s="261" t="s">
        <v>3779</v>
      </c>
      <c r="O258" s="279">
        <v>90000</v>
      </c>
      <c r="P258" s="833" t="s">
        <v>12659</v>
      </c>
    </row>
    <row r="259" spans="1:16" x14ac:dyDescent="0.2">
      <c r="A259" s="832" t="s">
        <v>13179</v>
      </c>
      <c r="B259" s="261" t="s">
        <v>12601</v>
      </c>
      <c r="C259" s="261" t="s">
        <v>839</v>
      </c>
      <c r="D259" s="261" t="s">
        <v>1103</v>
      </c>
      <c r="E259" s="261" t="s">
        <v>11101</v>
      </c>
      <c r="F259" s="279">
        <v>10000</v>
      </c>
      <c r="G259" s="833" t="s">
        <v>12657</v>
      </c>
      <c r="H259" s="138"/>
      <c r="J259" s="832" t="s">
        <v>13180</v>
      </c>
      <c r="K259" s="839">
        <v>1.4999999999999999E-2</v>
      </c>
      <c r="L259" s="261" t="s">
        <v>11371</v>
      </c>
      <c r="M259" s="261" t="s">
        <v>949</v>
      </c>
      <c r="N259" s="261" t="s">
        <v>3779</v>
      </c>
      <c r="O259" s="279">
        <v>150000</v>
      </c>
      <c r="P259" s="833" t="s">
        <v>12662</v>
      </c>
    </row>
    <row r="260" spans="1:16" x14ac:dyDescent="0.2">
      <c r="A260" s="832" t="s">
        <v>13181</v>
      </c>
      <c r="B260" s="261" t="s">
        <v>12603</v>
      </c>
      <c r="C260" s="261" t="s">
        <v>839</v>
      </c>
      <c r="D260" s="261" t="s">
        <v>1103</v>
      </c>
      <c r="E260" s="261" t="s">
        <v>11101</v>
      </c>
      <c r="F260" s="279">
        <v>10000</v>
      </c>
      <c r="G260" s="833" t="s">
        <v>12645</v>
      </c>
      <c r="H260" s="138"/>
      <c r="J260" s="832" t="s">
        <v>13182</v>
      </c>
      <c r="K260" s="839">
        <v>1.4999999999999999E-2</v>
      </c>
      <c r="L260" s="261" t="s">
        <v>11593</v>
      </c>
      <c r="M260" s="261" t="s">
        <v>949</v>
      </c>
      <c r="N260" s="261" t="s">
        <v>3779</v>
      </c>
      <c r="O260" s="279">
        <v>100000</v>
      </c>
      <c r="P260" s="833" t="s">
        <v>12665</v>
      </c>
    </row>
    <row r="261" spans="1:16" x14ac:dyDescent="0.2">
      <c r="A261" s="832" t="s">
        <v>13183</v>
      </c>
      <c r="B261" s="261" t="s">
        <v>12605</v>
      </c>
      <c r="C261" s="261" t="s">
        <v>839</v>
      </c>
      <c r="D261" s="261" t="s">
        <v>1103</v>
      </c>
      <c r="E261" s="261" t="s">
        <v>11101</v>
      </c>
      <c r="F261" s="279">
        <v>10000</v>
      </c>
      <c r="G261" s="833" t="s">
        <v>12651</v>
      </c>
      <c r="H261" s="138"/>
      <c r="J261" s="832" t="s">
        <v>13184</v>
      </c>
      <c r="K261" s="839">
        <v>1.4999999999999999E-2</v>
      </c>
      <c r="L261" s="261" t="s">
        <v>11790</v>
      </c>
      <c r="M261" s="261" t="s">
        <v>949</v>
      </c>
      <c r="N261" s="261" t="s">
        <v>3779</v>
      </c>
      <c r="O261" s="279">
        <v>300000</v>
      </c>
      <c r="P261" s="833" t="s">
        <v>12668</v>
      </c>
    </row>
    <row r="262" spans="1:16" x14ac:dyDescent="0.2">
      <c r="A262" s="832" t="s">
        <v>13185</v>
      </c>
      <c r="B262" s="261" t="s">
        <v>12607</v>
      </c>
      <c r="C262" s="261" t="s">
        <v>839</v>
      </c>
      <c r="D262" s="261" t="s">
        <v>1103</v>
      </c>
      <c r="E262" s="261" t="s">
        <v>11101</v>
      </c>
      <c r="F262" s="279">
        <v>10000</v>
      </c>
      <c r="G262" s="833" t="s">
        <v>12657</v>
      </c>
      <c r="H262" s="138"/>
      <c r="J262" s="832" t="s">
        <v>13186</v>
      </c>
      <c r="K262" s="839">
        <v>5.0000000000000001E-3</v>
      </c>
      <c r="L262" s="261" t="s">
        <v>10911</v>
      </c>
      <c r="M262" s="261" t="s">
        <v>1054</v>
      </c>
      <c r="N262" s="261" t="s">
        <v>3779</v>
      </c>
      <c r="O262" s="279">
        <v>50000</v>
      </c>
      <c r="P262" s="833" t="s">
        <v>12647</v>
      </c>
    </row>
    <row r="263" spans="1:16" x14ac:dyDescent="0.2">
      <c r="A263" s="832" t="s">
        <v>13187</v>
      </c>
      <c r="B263" s="261" t="s">
        <v>12609</v>
      </c>
      <c r="C263" s="261" t="s">
        <v>839</v>
      </c>
      <c r="D263" s="261" t="s">
        <v>1103</v>
      </c>
      <c r="E263" s="261" t="s">
        <v>11101</v>
      </c>
      <c r="F263" s="279">
        <v>25000</v>
      </c>
      <c r="G263" s="833" t="s">
        <v>12670</v>
      </c>
      <c r="H263" s="138"/>
      <c r="J263" s="832" t="s">
        <v>13188</v>
      </c>
      <c r="K263" s="839">
        <v>5.0000000000000001E-3</v>
      </c>
      <c r="L263" s="261" t="s">
        <v>11229</v>
      </c>
      <c r="M263" s="261" t="s">
        <v>1054</v>
      </c>
      <c r="N263" s="261" t="s">
        <v>3779</v>
      </c>
      <c r="O263" s="279">
        <v>90000</v>
      </c>
      <c r="P263" s="833" t="s">
        <v>12659</v>
      </c>
    </row>
    <row r="264" spans="1:16" x14ac:dyDescent="0.2">
      <c r="A264" s="832" t="s">
        <v>13189</v>
      </c>
      <c r="B264" s="261" t="s">
        <v>12611</v>
      </c>
      <c r="C264" s="261" t="s">
        <v>839</v>
      </c>
      <c r="D264" s="261" t="s">
        <v>1103</v>
      </c>
      <c r="E264" s="261" t="s">
        <v>11101</v>
      </c>
      <c r="F264" s="279">
        <v>25000</v>
      </c>
      <c r="G264" s="833" t="s">
        <v>12673</v>
      </c>
      <c r="H264" s="138"/>
      <c r="J264" s="832" t="s">
        <v>13190</v>
      </c>
      <c r="K264" s="839">
        <v>1.4999999999999999E-2</v>
      </c>
      <c r="L264" s="261" t="s">
        <v>11371</v>
      </c>
      <c r="M264" s="261" t="s">
        <v>1054</v>
      </c>
      <c r="N264" s="261" t="s">
        <v>3779</v>
      </c>
      <c r="O264" s="279">
        <v>150000</v>
      </c>
      <c r="P264" s="833" t="s">
        <v>12662</v>
      </c>
    </row>
    <row r="265" spans="1:16" x14ac:dyDescent="0.2">
      <c r="A265" s="832" t="s">
        <v>13191</v>
      </c>
      <c r="B265" s="261" t="s">
        <v>12613</v>
      </c>
      <c r="C265" s="261" t="s">
        <v>839</v>
      </c>
      <c r="D265" s="261" t="s">
        <v>1103</v>
      </c>
      <c r="E265" s="261" t="s">
        <v>11101</v>
      </c>
      <c r="F265" s="279">
        <v>25000</v>
      </c>
      <c r="G265" s="833" t="s">
        <v>12676</v>
      </c>
      <c r="H265" s="138"/>
      <c r="J265" s="832" t="s">
        <v>13192</v>
      </c>
      <c r="K265" s="839">
        <v>1.4999999999999999E-2</v>
      </c>
      <c r="L265" s="261" t="s">
        <v>11593</v>
      </c>
      <c r="M265" s="261" t="s">
        <v>1054</v>
      </c>
      <c r="N265" s="261" t="s">
        <v>3779</v>
      </c>
      <c r="O265" s="279">
        <v>100000</v>
      </c>
      <c r="P265" s="833" t="s">
        <v>12665</v>
      </c>
    </row>
    <row r="266" spans="1:16" ht="15" thickBot="1" x14ac:dyDescent="0.25">
      <c r="A266" s="832" t="s">
        <v>13193</v>
      </c>
      <c r="B266" s="261" t="s">
        <v>12615</v>
      </c>
      <c r="C266" s="261" t="s">
        <v>839</v>
      </c>
      <c r="D266" s="261" t="s">
        <v>1103</v>
      </c>
      <c r="E266" s="261" t="s">
        <v>11101</v>
      </c>
      <c r="F266" s="279">
        <v>25000</v>
      </c>
      <c r="G266" s="833" t="s">
        <v>12670</v>
      </c>
      <c r="H266" s="138"/>
      <c r="J266" s="834" t="s">
        <v>13194</v>
      </c>
      <c r="K266" s="840">
        <v>1.4999999999999999E-2</v>
      </c>
      <c r="L266" s="835" t="s">
        <v>11790</v>
      </c>
      <c r="M266" s="835" t="s">
        <v>1054</v>
      </c>
      <c r="N266" s="835" t="s">
        <v>3779</v>
      </c>
      <c r="O266" s="836">
        <v>300000</v>
      </c>
      <c r="P266" s="837" t="s">
        <v>12668</v>
      </c>
    </row>
    <row r="267" spans="1:16" x14ac:dyDescent="0.2">
      <c r="A267" s="832" t="s">
        <v>13195</v>
      </c>
      <c r="B267" s="261" t="s">
        <v>12617</v>
      </c>
      <c r="C267" s="261" t="s">
        <v>839</v>
      </c>
      <c r="D267" s="261" t="s">
        <v>1103</v>
      </c>
      <c r="E267" s="261" t="s">
        <v>11101</v>
      </c>
      <c r="F267" s="279">
        <v>25000</v>
      </c>
      <c r="G267" s="833" t="s">
        <v>12681</v>
      </c>
      <c r="H267" s="138"/>
    </row>
    <row r="268" spans="1:16" x14ac:dyDescent="0.2">
      <c r="A268" s="832" t="s">
        <v>13196</v>
      </c>
      <c r="B268" s="261" t="s">
        <v>12619</v>
      </c>
      <c r="C268" s="261" t="s">
        <v>839</v>
      </c>
      <c r="D268" s="261" t="s">
        <v>1103</v>
      </c>
      <c r="E268" s="261" t="s">
        <v>11101</v>
      </c>
      <c r="F268" s="279">
        <v>50000</v>
      </c>
      <c r="G268" s="833" t="s">
        <v>12684</v>
      </c>
      <c r="H268" s="138"/>
      <c r="J268" s="67" t="s">
        <v>13197</v>
      </c>
      <c r="K268" s="67"/>
      <c r="L268" s="67"/>
      <c r="M268" s="67"/>
      <c r="N268" s="67"/>
      <c r="O268" s="165">
        <f>SUM(O2:O267)</f>
        <v>33050000</v>
      </c>
    </row>
    <row r="269" spans="1:16" x14ac:dyDescent="0.2">
      <c r="A269" s="832" t="s">
        <v>13198</v>
      </c>
      <c r="B269" s="261" t="s">
        <v>7211</v>
      </c>
      <c r="C269" s="261" t="s">
        <v>839</v>
      </c>
      <c r="D269" s="261" t="s">
        <v>1103</v>
      </c>
      <c r="E269" s="261" t="s">
        <v>11101</v>
      </c>
      <c r="F269" s="279">
        <v>50000</v>
      </c>
      <c r="G269" s="833" t="s">
        <v>12673</v>
      </c>
      <c r="H269" s="138"/>
    </row>
    <row r="270" spans="1:16" x14ac:dyDescent="0.2">
      <c r="A270" s="832" t="s">
        <v>13199</v>
      </c>
      <c r="B270" s="261" t="s">
        <v>1591</v>
      </c>
      <c r="C270" s="261" t="s">
        <v>839</v>
      </c>
      <c r="D270" s="261" t="s">
        <v>1103</v>
      </c>
      <c r="E270" s="261" t="s">
        <v>11101</v>
      </c>
      <c r="F270" s="279">
        <v>50000</v>
      </c>
      <c r="G270" s="833" t="s">
        <v>12676</v>
      </c>
      <c r="H270" s="138"/>
      <c r="J270" s="67" t="s">
        <v>13200</v>
      </c>
      <c r="K270" s="67"/>
      <c r="L270" s="67"/>
      <c r="M270" s="67"/>
      <c r="N270" s="67"/>
      <c r="O270" s="256">
        <f>+SUMIF($M$2:$M$266,"Sword",$K$2:$K$266)</f>
        <v>0.30000000000000016</v>
      </c>
    </row>
    <row r="271" spans="1:16" x14ac:dyDescent="0.2">
      <c r="A271" s="832" t="s">
        <v>13201</v>
      </c>
      <c r="B271" s="261" t="s">
        <v>7912</v>
      </c>
      <c r="C271" s="261" t="s">
        <v>839</v>
      </c>
      <c r="D271" s="261" t="s">
        <v>1103</v>
      </c>
      <c r="E271" s="261" t="s">
        <v>11101</v>
      </c>
      <c r="F271" s="279">
        <v>50000</v>
      </c>
      <c r="G271" s="833" t="s">
        <v>12681</v>
      </c>
      <c r="H271" s="138"/>
      <c r="J271" s="67" t="s">
        <v>13202</v>
      </c>
      <c r="K271" s="67"/>
      <c r="L271" s="67"/>
      <c r="M271" s="67"/>
      <c r="N271" s="67"/>
      <c r="O271" s="256">
        <f>+SUMIF($M$2:$M$266,"Blade",$K$2:$K$266)</f>
        <v>0.30000000000000016</v>
      </c>
    </row>
    <row r="272" spans="1:16" x14ac:dyDescent="0.2">
      <c r="A272" s="832" t="s">
        <v>13203</v>
      </c>
      <c r="B272" s="261" t="s">
        <v>12594</v>
      </c>
      <c r="C272" s="261" t="s">
        <v>839</v>
      </c>
      <c r="D272" s="261" t="s">
        <v>1103</v>
      </c>
      <c r="E272" s="261" t="s">
        <v>11593</v>
      </c>
      <c r="F272" s="279">
        <v>200000</v>
      </c>
      <c r="G272" s="833" t="s">
        <v>12693</v>
      </c>
      <c r="H272" s="138"/>
      <c r="J272" s="67" t="s">
        <v>13204</v>
      </c>
      <c r="K272" s="67"/>
      <c r="L272" s="67"/>
      <c r="M272" s="67"/>
      <c r="N272" s="67"/>
      <c r="O272" s="256">
        <f>+SUMIF($M$2:$M$266,"Dagger",$K$2:$K$266)</f>
        <v>0.30000000000000016</v>
      </c>
    </row>
    <row r="273" spans="1:15" x14ac:dyDescent="0.2">
      <c r="A273" s="832" t="s">
        <v>13205</v>
      </c>
      <c r="B273" s="261" t="s">
        <v>11792</v>
      </c>
      <c r="C273" s="261" t="s">
        <v>839</v>
      </c>
      <c r="D273" s="261" t="s">
        <v>1103</v>
      </c>
      <c r="E273" s="261" t="s">
        <v>11790</v>
      </c>
      <c r="F273" s="279">
        <v>300000</v>
      </c>
      <c r="G273" s="833" t="s">
        <v>12668</v>
      </c>
      <c r="H273" s="138" t="s">
        <v>12696</v>
      </c>
      <c r="J273" s="67" t="s">
        <v>13206</v>
      </c>
      <c r="K273" s="67"/>
      <c r="L273" s="67"/>
      <c r="M273" s="67"/>
      <c r="N273" s="67"/>
      <c r="O273" s="256">
        <f>+SUMIF($M$2:$M$266,"Axe",$K$2:$K$266)</f>
        <v>0.30000000000000016</v>
      </c>
    </row>
    <row r="274" spans="1:15" x14ac:dyDescent="0.2">
      <c r="A274" s="832" t="s">
        <v>13207</v>
      </c>
      <c r="B274" s="261" t="s">
        <v>12597</v>
      </c>
      <c r="C274" s="261" t="s">
        <v>949</v>
      </c>
      <c r="D274" s="261" t="s">
        <v>1103</v>
      </c>
      <c r="E274" s="261" t="s">
        <v>11101</v>
      </c>
      <c r="F274" s="279">
        <v>10000</v>
      </c>
      <c r="G274" s="833" t="s">
        <v>12645</v>
      </c>
      <c r="H274" s="138"/>
      <c r="J274" s="67" t="s">
        <v>13208</v>
      </c>
      <c r="K274" s="67"/>
      <c r="L274" s="67"/>
      <c r="M274" s="67"/>
      <c r="N274" s="67"/>
      <c r="O274" s="256">
        <f>+SUMIF($M$2:$M$266,"Lance",$K$2:$K$266)</f>
        <v>0.30000000000000016</v>
      </c>
    </row>
    <row r="275" spans="1:15" x14ac:dyDescent="0.2">
      <c r="A275" s="832" t="s">
        <v>13209</v>
      </c>
      <c r="B275" s="261" t="s">
        <v>12599</v>
      </c>
      <c r="C275" s="261" t="s">
        <v>949</v>
      </c>
      <c r="D275" s="261" t="s">
        <v>1103</v>
      </c>
      <c r="E275" s="261" t="s">
        <v>11101</v>
      </c>
      <c r="F275" s="279">
        <v>10000</v>
      </c>
      <c r="G275" s="833" t="s">
        <v>12651</v>
      </c>
      <c r="H275" s="138"/>
      <c r="J275" s="67" t="s">
        <v>13210</v>
      </c>
      <c r="K275" s="67"/>
      <c r="L275" s="67"/>
      <c r="M275" s="67"/>
      <c r="N275" s="67"/>
      <c r="O275" s="256">
        <f>+SUMIF($M$2:$M$266,"Bow",$K$2:$K$266)</f>
        <v>0.30000000000000016</v>
      </c>
    </row>
    <row r="276" spans="1:15" x14ac:dyDescent="0.2">
      <c r="A276" s="832" t="s">
        <v>13211</v>
      </c>
      <c r="B276" s="261" t="s">
        <v>12601</v>
      </c>
      <c r="C276" s="261" t="s">
        <v>949</v>
      </c>
      <c r="D276" s="261" t="s">
        <v>1103</v>
      </c>
      <c r="E276" s="261" t="s">
        <v>11101</v>
      </c>
      <c r="F276" s="279">
        <v>10000</v>
      </c>
      <c r="G276" s="833" t="s">
        <v>12657</v>
      </c>
      <c r="H276" s="138"/>
      <c r="J276" s="67" t="s">
        <v>13212</v>
      </c>
      <c r="K276" s="67"/>
      <c r="L276" s="67"/>
      <c r="M276" s="67"/>
      <c r="N276" s="67"/>
      <c r="O276" s="256">
        <f>+SUMIF($M$2:$M$266,"Wand",$K$2:$K$266)</f>
        <v>0.30000000000000016</v>
      </c>
    </row>
    <row r="277" spans="1:15" x14ac:dyDescent="0.2">
      <c r="A277" s="832" t="s">
        <v>13213</v>
      </c>
      <c r="B277" s="261" t="s">
        <v>12603</v>
      </c>
      <c r="C277" s="261" t="s">
        <v>949</v>
      </c>
      <c r="D277" s="261" t="s">
        <v>1103</v>
      </c>
      <c r="E277" s="261" t="s">
        <v>11101</v>
      </c>
      <c r="F277" s="279">
        <v>10000</v>
      </c>
      <c r="G277" s="833" t="s">
        <v>12645</v>
      </c>
      <c r="H277" s="138"/>
      <c r="J277" s="67" t="s">
        <v>13214</v>
      </c>
      <c r="K277" s="67"/>
      <c r="L277" s="67"/>
      <c r="M277" s="67"/>
      <c r="N277" s="67"/>
      <c r="O277" s="256">
        <f>+SUMIF($M$2:$M$266,"Staff",$K$2:$K$266)</f>
        <v>0.30000000000000016</v>
      </c>
    </row>
    <row r="278" spans="1:15" x14ac:dyDescent="0.2">
      <c r="A278" s="832" t="s">
        <v>13215</v>
      </c>
      <c r="B278" s="261" t="s">
        <v>12605</v>
      </c>
      <c r="C278" s="261" t="s">
        <v>949</v>
      </c>
      <c r="D278" s="261" t="s">
        <v>1103</v>
      </c>
      <c r="E278" s="261" t="s">
        <v>11101</v>
      </c>
      <c r="F278" s="279">
        <v>10000</v>
      </c>
      <c r="G278" s="833" t="s">
        <v>12651</v>
      </c>
      <c r="H278" s="138"/>
      <c r="J278" s="67" t="s">
        <v>13216</v>
      </c>
      <c r="K278" s="67"/>
      <c r="L278" s="67"/>
      <c r="M278" s="67"/>
      <c r="N278" s="67"/>
      <c r="O278" s="256">
        <f>+SUMIF($M$2:$M$266,"Manacaster",$K$2:$K$266)</f>
        <v>0.27500000000000013</v>
      </c>
    </row>
    <row r="279" spans="1:15" x14ac:dyDescent="0.2">
      <c r="A279" s="832" t="s">
        <v>13217</v>
      </c>
      <c r="B279" s="261" t="s">
        <v>12607</v>
      </c>
      <c r="C279" s="261" t="s">
        <v>949</v>
      </c>
      <c r="D279" s="261" t="s">
        <v>1103</v>
      </c>
      <c r="E279" s="261" t="s">
        <v>11101</v>
      </c>
      <c r="F279" s="279">
        <v>10000</v>
      </c>
      <c r="G279" s="833" t="s">
        <v>12657</v>
      </c>
      <c r="H279" s="138"/>
      <c r="O279" s="89"/>
    </row>
    <row r="280" spans="1:15" x14ac:dyDescent="0.2">
      <c r="A280" s="832" t="s">
        <v>13218</v>
      </c>
      <c r="B280" s="261" t="s">
        <v>12609</v>
      </c>
      <c r="C280" s="261" t="s">
        <v>949</v>
      </c>
      <c r="D280" s="261" t="s">
        <v>1103</v>
      </c>
      <c r="E280" s="261" t="s">
        <v>11101</v>
      </c>
      <c r="F280" s="279">
        <v>25000</v>
      </c>
      <c r="G280" s="833" t="s">
        <v>12670</v>
      </c>
      <c r="H280" s="138"/>
      <c r="J280" t="s">
        <v>24546</v>
      </c>
      <c r="O280" s="89"/>
    </row>
    <row r="281" spans="1:15" x14ac:dyDescent="0.2">
      <c r="A281" s="832" t="s">
        <v>13219</v>
      </c>
      <c r="B281" s="261" t="s">
        <v>12611</v>
      </c>
      <c r="C281" s="261" t="s">
        <v>949</v>
      </c>
      <c r="D281" s="261" t="s">
        <v>1103</v>
      </c>
      <c r="E281" s="261" t="s">
        <v>11101</v>
      </c>
      <c r="F281" s="279">
        <v>25000</v>
      </c>
      <c r="G281" s="833" t="s">
        <v>12673</v>
      </c>
      <c r="H281" s="138"/>
      <c r="O281" s="89"/>
    </row>
    <row r="282" spans="1:15" x14ac:dyDescent="0.2">
      <c r="A282" s="832" t="s">
        <v>13220</v>
      </c>
      <c r="B282" s="261" t="s">
        <v>12613</v>
      </c>
      <c r="C282" s="261" t="s">
        <v>949</v>
      </c>
      <c r="D282" s="261" t="s">
        <v>1103</v>
      </c>
      <c r="E282" s="261" t="s">
        <v>11101</v>
      </c>
      <c r="F282" s="279">
        <v>25000</v>
      </c>
      <c r="G282" s="833" t="s">
        <v>12676</v>
      </c>
      <c r="H282" s="138"/>
      <c r="O282" s="89"/>
    </row>
    <row r="283" spans="1:15" x14ac:dyDescent="0.2">
      <c r="A283" s="832" t="s">
        <v>13221</v>
      </c>
      <c r="B283" s="261" t="s">
        <v>12615</v>
      </c>
      <c r="C283" s="261" t="s">
        <v>949</v>
      </c>
      <c r="D283" s="261" t="s">
        <v>1103</v>
      </c>
      <c r="E283" s="261" t="s">
        <v>11101</v>
      </c>
      <c r="F283" s="279">
        <v>25000</v>
      </c>
      <c r="G283" s="833" t="s">
        <v>12670</v>
      </c>
      <c r="H283" s="138"/>
      <c r="O283" s="89"/>
    </row>
    <row r="284" spans="1:15" x14ac:dyDescent="0.2">
      <c r="A284" s="832" t="s">
        <v>13222</v>
      </c>
      <c r="B284" s="261" t="s">
        <v>12617</v>
      </c>
      <c r="C284" s="261" t="s">
        <v>949</v>
      </c>
      <c r="D284" s="261" t="s">
        <v>1103</v>
      </c>
      <c r="E284" s="261" t="s">
        <v>11101</v>
      </c>
      <c r="F284" s="279">
        <v>25000</v>
      </c>
      <c r="G284" s="833" t="s">
        <v>12681</v>
      </c>
      <c r="H284" s="138"/>
      <c r="O284" s="89"/>
    </row>
    <row r="285" spans="1:15" x14ac:dyDescent="0.2">
      <c r="A285" s="832" t="s">
        <v>13223</v>
      </c>
      <c r="B285" s="261" t="s">
        <v>12619</v>
      </c>
      <c r="C285" s="261" t="s">
        <v>949</v>
      </c>
      <c r="D285" s="261" t="s">
        <v>1103</v>
      </c>
      <c r="E285" s="261" t="s">
        <v>11101</v>
      </c>
      <c r="F285" s="279">
        <v>50000</v>
      </c>
      <c r="G285" s="833" t="s">
        <v>12684</v>
      </c>
      <c r="H285" s="138"/>
      <c r="O285" s="89"/>
    </row>
    <row r="286" spans="1:15" x14ac:dyDescent="0.2">
      <c r="A286" s="832" t="s">
        <v>13224</v>
      </c>
      <c r="B286" s="261" t="s">
        <v>7211</v>
      </c>
      <c r="C286" s="261" t="s">
        <v>949</v>
      </c>
      <c r="D286" s="261" t="s">
        <v>1103</v>
      </c>
      <c r="E286" s="261" t="s">
        <v>11101</v>
      </c>
      <c r="F286" s="279">
        <v>50000</v>
      </c>
      <c r="G286" s="833" t="s">
        <v>12673</v>
      </c>
      <c r="H286" s="138"/>
      <c r="O286" s="89"/>
    </row>
    <row r="287" spans="1:15" x14ac:dyDescent="0.2">
      <c r="A287" s="832" t="s">
        <v>13225</v>
      </c>
      <c r="B287" s="261" t="s">
        <v>1591</v>
      </c>
      <c r="C287" s="261" t="s">
        <v>949</v>
      </c>
      <c r="D287" s="261" t="s">
        <v>1103</v>
      </c>
      <c r="E287" s="261" t="s">
        <v>11101</v>
      </c>
      <c r="F287" s="279">
        <v>50000</v>
      </c>
      <c r="G287" s="833" t="s">
        <v>12676</v>
      </c>
      <c r="H287" s="138"/>
      <c r="O287" s="89"/>
    </row>
    <row r="288" spans="1:15" x14ac:dyDescent="0.2">
      <c r="A288" s="832" t="s">
        <v>13226</v>
      </c>
      <c r="B288" s="261" t="s">
        <v>7912</v>
      </c>
      <c r="C288" s="261" t="s">
        <v>949</v>
      </c>
      <c r="D288" s="261" t="s">
        <v>1103</v>
      </c>
      <c r="E288" s="261" t="s">
        <v>11101</v>
      </c>
      <c r="F288" s="279">
        <v>50000</v>
      </c>
      <c r="G288" s="833" t="s">
        <v>12681</v>
      </c>
      <c r="H288" s="138"/>
      <c r="O288" s="89"/>
    </row>
    <row r="289" spans="1:15" x14ac:dyDescent="0.2">
      <c r="A289" s="832" t="s">
        <v>13227</v>
      </c>
      <c r="B289" s="261" t="s">
        <v>12594</v>
      </c>
      <c r="C289" s="261" t="s">
        <v>949</v>
      </c>
      <c r="D289" s="261" t="s">
        <v>1103</v>
      </c>
      <c r="E289" s="261" t="s">
        <v>11593</v>
      </c>
      <c r="F289" s="279">
        <v>200000</v>
      </c>
      <c r="G289" s="833" t="s">
        <v>12693</v>
      </c>
      <c r="H289" s="138"/>
      <c r="O289" s="89"/>
    </row>
    <row r="290" spans="1:15" x14ac:dyDescent="0.2">
      <c r="A290" s="832" t="s">
        <v>13228</v>
      </c>
      <c r="B290" s="261" t="s">
        <v>11792</v>
      </c>
      <c r="C290" s="261" t="s">
        <v>949</v>
      </c>
      <c r="D290" s="261" t="s">
        <v>1103</v>
      </c>
      <c r="E290" s="261" t="s">
        <v>11790</v>
      </c>
      <c r="F290" s="279">
        <v>300000</v>
      </c>
      <c r="G290" s="833" t="s">
        <v>12668</v>
      </c>
      <c r="H290" s="138" t="s">
        <v>12696</v>
      </c>
    </row>
    <row r="291" spans="1:15" x14ac:dyDescent="0.2">
      <c r="A291" s="832" t="s">
        <v>13229</v>
      </c>
      <c r="B291" s="261" t="s">
        <v>12597</v>
      </c>
      <c r="C291" s="261" t="s">
        <v>1054</v>
      </c>
      <c r="D291" s="261" t="s">
        <v>1103</v>
      </c>
      <c r="E291" s="261" t="s">
        <v>11101</v>
      </c>
      <c r="F291" s="279">
        <v>10000</v>
      </c>
      <c r="G291" s="833" t="s">
        <v>12645</v>
      </c>
      <c r="H291" s="138"/>
    </row>
    <row r="292" spans="1:15" x14ac:dyDescent="0.2">
      <c r="A292" s="832" t="s">
        <v>13230</v>
      </c>
      <c r="B292" s="261" t="s">
        <v>12599</v>
      </c>
      <c r="C292" s="261" t="s">
        <v>1054</v>
      </c>
      <c r="D292" s="261" t="s">
        <v>1103</v>
      </c>
      <c r="E292" s="261" t="s">
        <v>11101</v>
      </c>
      <c r="F292" s="279">
        <v>10000</v>
      </c>
      <c r="G292" s="833" t="s">
        <v>12651</v>
      </c>
      <c r="H292" s="138"/>
    </row>
    <row r="293" spans="1:15" x14ac:dyDescent="0.2">
      <c r="A293" s="832" t="s">
        <v>13231</v>
      </c>
      <c r="B293" s="261" t="s">
        <v>12601</v>
      </c>
      <c r="C293" s="261" t="s">
        <v>1054</v>
      </c>
      <c r="D293" s="261" t="s">
        <v>1103</v>
      </c>
      <c r="E293" s="261" t="s">
        <v>11101</v>
      </c>
      <c r="F293" s="279">
        <v>10000</v>
      </c>
      <c r="G293" s="833" t="s">
        <v>12657</v>
      </c>
      <c r="H293" s="138"/>
    </row>
    <row r="294" spans="1:15" x14ac:dyDescent="0.2">
      <c r="A294" s="832" t="s">
        <v>13232</v>
      </c>
      <c r="B294" s="261" t="s">
        <v>12603</v>
      </c>
      <c r="C294" s="261" t="s">
        <v>1054</v>
      </c>
      <c r="D294" s="261" t="s">
        <v>1103</v>
      </c>
      <c r="E294" s="261" t="s">
        <v>11101</v>
      </c>
      <c r="F294" s="279">
        <v>10000</v>
      </c>
      <c r="G294" s="833" t="s">
        <v>12645</v>
      </c>
      <c r="H294" s="138"/>
    </row>
    <row r="295" spans="1:15" x14ac:dyDescent="0.2">
      <c r="A295" s="832" t="s">
        <v>13233</v>
      </c>
      <c r="B295" s="261" t="s">
        <v>12605</v>
      </c>
      <c r="C295" s="261" t="s">
        <v>1054</v>
      </c>
      <c r="D295" s="261" t="s">
        <v>1103</v>
      </c>
      <c r="E295" s="261" t="s">
        <v>11101</v>
      </c>
      <c r="F295" s="279">
        <v>10000</v>
      </c>
      <c r="G295" s="833" t="s">
        <v>12651</v>
      </c>
      <c r="H295" s="138"/>
    </row>
    <row r="296" spans="1:15" x14ac:dyDescent="0.2">
      <c r="A296" s="832" t="s">
        <v>13234</v>
      </c>
      <c r="B296" s="261" t="s">
        <v>12607</v>
      </c>
      <c r="C296" s="261" t="s">
        <v>1054</v>
      </c>
      <c r="D296" s="261" t="s">
        <v>1103</v>
      </c>
      <c r="E296" s="261" t="s">
        <v>11101</v>
      </c>
      <c r="F296" s="279">
        <v>10000</v>
      </c>
      <c r="G296" s="833" t="s">
        <v>12657</v>
      </c>
      <c r="H296" s="138"/>
    </row>
    <row r="297" spans="1:15" x14ac:dyDescent="0.2">
      <c r="A297" s="832" t="s">
        <v>13235</v>
      </c>
      <c r="B297" s="261" t="s">
        <v>12609</v>
      </c>
      <c r="C297" s="261" t="s">
        <v>1054</v>
      </c>
      <c r="D297" s="261" t="s">
        <v>1103</v>
      </c>
      <c r="E297" s="261" t="s">
        <v>11101</v>
      </c>
      <c r="F297" s="279">
        <v>25000</v>
      </c>
      <c r="G297" s="833" t="s">
        <v>12670</v>
      </c>
      <c r="H297" s="138"/>
    </row>
    <row r="298" spans="1:15" x14ac:dyDescent="0.2">
      <c r="A298" s="832" t="s">
        <v>13236</v>
      </c>
      <c r="B298" s="261" t="s">
        <v>12611</v>
      </c>
      <c r="C298" s="261" t="s">
        <v>1054</v>
      </c>
      <c r="D298" s="261" t="s">
        <v>1103</v>
      </c>
      <c r="E298" s="261" t="s">
        <v>11101</v>
      </c>
      <c r="F298" s="279">
        <v>25000</v>
      </c>
      <c r="G298" s="833" t="s">
        <v>12673</v>
      </c>
      <c r="H298" s="138"/>
    </row>
    <row r="299" spans="1:15" x14ac:dyDescent="0.2">
      <c r="A299" s="832" t="s">
        <v>13237</v>
      </c>
      <c r="B299" s="261" t="s">
        <v>12613</v>
      </c>
      <c r="C299" s="261" t="s">
        <v>1054</v>
      </c>
      <c r="D299" s="261" t="s">
        <v>1103</v>
      </c>
      <c r="E299" s="261" t="s">
        <v>11101</v>
      </c>
      <c r="F299" s="279">
        <v>25000</v>
      </c>
      <c r="G299" s="833" t="s">
        <v>12676</v>
      </c>
      <c r="H299" s="138"/>
    </row>
    <row r="300" spans="1:15" x14ac:dyDescent="0.2">
      <c r="A300" s="832" t="s">
        <v>13238</v>
      </c>
      <c r="B300" s="261" t="s">
        <v>12615</v>
      </c>
      <c r="C300" s="261" t="s">
        <v>1054</v>
      </c>
      <c r="D300" s="261" t="s">
        <v>1103</v>
      </c>
      <c r="E300" s="261" t="s">
        <v>11101</v>
      </c>
      <c r="F300" s="279">
        <v>25000</v>
      </c>
      <c r="G300" s="833" t="s">
        <v>12670</v>
      </c>
      <c r="H300" s="138"/>
    </row>
    <row r="301" spans="1:15" x14ac:dyDescent="0.2">
      <c r="A301" s="832" t="s">
        <v>13239</v>
      </c>
      <c r="B301" s="261" t="s">
        <v>12617</v>
      </c>
      <c r="C301" s="261" t="s">
        <v>1054</v>
      </c>
      <c r="D301" s="261" t="s">
        <v>1103</v>
      </c>
      <c r="E301" s="261" t="s">
        <v>11101</v>
      </c>
      <c r="F301" s="279">
        <v>25000</v>
      </c>
      <c r="G301" s="833" t="s">
        <v>12681</v>
      </c>
      <c r="H301" s="138"/>
    </row>
    <row r="302" spans="1:15" x14ac:dyDescent="0.2">
      <c r="A302" s="832" t="s">
        <v>13240</v>
      </c>
      <c r="B302" s="261" t="s">
        <v>12619</v>
      </c>
      <c r="C302" s="261" t="s">
        <v>1054</v>
      </c>
      <c r="D302" s="261" t="s">
        <v>1103</v>
      </c>
      <c r="E302" s="261" t="s">
        <v>11101</v>
      </c>
      <c r="F302" s="279">
        <v>50000</v>
      </c>
      <c r="G302" s="833" t="s">
        <v>12684</v>
      </c>
      <c r="H302" s="138"/>
    </row>
    <row r="303" spans="1:15" x14ac:dyDescent="0.2">
      <c r="A303" s="832" t="s">
        <v>13241</v>
      </c>
      <c r="B303" s="261" t="s">
        <v>7211</v>
      </c>
      <c r="C303" s="261" t="s">
        <v>1054</v>
      </c>
      <c r="D303" s="261" t="s">
        <v>1103</v>
      </c>
      <c r="E303" s="261" t="s">
        <v>11101</v>
      </c>
      <c r="F303" s="279">
        <v>50000</v>
      </c>
      <c r="G303" s="833" t="s">
        <v>12673</v>
      </c>
      <c r="H303" s="138"/>
    </row>
    <row r="304" spans="1:15" x14ac:dyDescent="0.2">
      <c r="A304" s="832" t="s">
        <v>13242</v>
      </c>
      <c r="B304" s="261" t="s">
        <v>1591</v>
      </c>
      <c r="C304" s="261" t="s">
        <v>1054</v>
      </c>
      <c r="D304" s="261" t="s">
        <v>1103</v>
      </c>
      <c r="E304" s="261" t="s">
        <v>11101</v>
      </c>
      <c r="F304" s="279">
        <v>50000</v>
      </c>
      <c r="G304" s="833" t="s">
        <v>12676</v>
      </c>
      <c r="H304" s="138"/>
    </row>
    <row r="305" spans="1:8" x14ac:dyDescent="0.2">
      <c r="A305" s="832" t="s">
        <v>13243</v>
      </c>
      <c r="B305" s="261" t="s">
        <v>7912</v>
      </c>
      <c r="C305" s="261" t="s">
        <v>1054</v>
      </c>
      <c r="D305" s="261" t="s">
        <v>1103</v>
      </c>
      <c r="E305" s="261" t="s">
        <v>11101</v>
      </c>
      <c r="F305" s="279">
        <v>50000</v>
      </c>
      <c r="G305" s="833" t="s">
        <v>12681</v>
      </c>
      <c r="H305" s="138"/>
    </row>
    <row r="306" spans="1:8" x14ac:dyDescent="0.2">
      <c r="A306" s="832" t="s">
        <v>13244</v>
      </c>
      <c r="B306" s="261" t="s">
        <v>12594</v>
      </c>
      <c r="C306" s="261" t="s">
        <v>1054</v>
      </c>
      <c r="D306" s="261" t="s">
        <v>1103</v>
      </c>
      <c r="E306" s="261" t="s">
        <v>11593</v>
      </c>
      <c r="F306" s="279">
        <v>200000</v>
      </c>
      <c r="G306" s="833" t="s">
        <v>12693</v>
      </c>
      <c r="H306" s="138"/>
    </row>
    <row r="307" spans="1:8" x14ac:dyDescent="0.2">
      <c r="A307" s="832" t="s">
        <v>13245</v>
      </c>
      <c r="B307" s="261" t="s">
        <v>11792</v>
      </c>
      <c r="C307" s="261" t="s">
        <v>1054</v>
      </c>
      <c r="D307" s="261" t="s">
        <v>1103</v>
      </c>
      <c r="E307" s="261" t="s">
        <v>11790</v>
      </c>
      <c r="F307" s="279">
        <v>300000</v>
      </c>
      <c r="G307" s="833" t="s">
        <v>12668</v>
      </c>
      <c r="H307" s="138" t="s">
        <v>12696</v>
      </c>
    </row>
    <row r="308" spans="1:8" x14ac:dyDescent="0.2">
      <c r="A308" s="832" t="s">
        <v>13246</v>
      </c>
      <c r="B308" s="261" t="s">
        <v>12597</v>
      </c>
      <c r="C308" s="261" t="s">
        <v>123</v>
      </c>
      <c r="D308" s="261" t="s">
        <v>1947</v>
      </c>
      <c r="E308" s="261" t="s">
        <v>11101</v>
      </c>
      <c r="F308" s="279">
        <v>10000</v>
      </c>
      <c r="G308" s="833" t="s">
        <v>12645</v>
      </c>
      <c r="H308" s="138"/>
    </row>
    <row r="309" spans="1:8" x14ac:dyDescent="0.2">
      <c r="A309" s="832" t="s">
        <v>13247</v>
      </c>
      <c r="B309" s="261" t="s">
        <v>12599</v>
      </c>
      <c r="C309" s="261" t="s">
        <v>123</v>
      </c>
      <c r="D309" s="261" t="s">
        <v>1947</v>
      </c>
      <c r="E309" s="261" t="s">
        <v>11101</v>
      </c>
      <c r="F309" s="279">
        <v>10000</v>
      </c>
      <c r="G309" s="833" t="s">
        <v>12651</v>
      </c>
      <c r="H309" s="138"/>
    </row>
    <row r="310" spans="1:8" x14ac:dyDescent="0.2">
      <c r="A310" s="832" t="s">
        <v>13248</v>
      </c>
      <c r="B310" s="261" t="s">
        <v>12601</v>
      </c>
      <c r="C310" s="261" t="s">
        <v>123</v>
      </c>
      <c r="D310" s="261" t="s">
        <v>1947</v>
      </c>
      <c r="E310" s="261" t="s">
        <v>11101</v>
      </c>
      <c r="F310" s="279">
        <v>10000</v>
      </c>
      <c r="G310" s="833" t="s">
        <v>12657</v>
      </c>
      <c r="H310" s="138"/>
    </row>
    <row r="311" spans="1:8" x14ac:dyDescent="0.2">
      <c r="A311" s="832" t="s">
        <v>13249</v>
      </c>
      <c r="B311" s="261" t="s">
        <v>12603</v>
      </c>
      <c r="C311" s="261" t="s">
        <v>123</v>
      </c>
      <c r="D311" s="261" t="s">
        <v>1947</v>
      </c>
      <c r="E311" s="261" t="s">
        <v>11101</v>
      </c>
      <c r="F311" s="279">
        <v>10000</v>
      </c>
      <c r="G311" s="833" t="s">
        <v>12645</v>
      </c>
      <c r="H311" s="138"/>
    </row>
    <row r="312" spans="1:8" x14ac:dyDescent="0.2">
      <c r="A312" s="832" t="s">
        <v>13250</v>
      </c>
      <c r="B312" s="261" t="s">
        <v>12605</v>
      </c>
      <c r="C312" s="261" t="s">
        <v>123</v>
      </c>
      <c r="D312" s="261" t="s">
        <v>1947</v>
      </c>
      <c r="E312" s="261" t="s">
        <v>11101</v>
      </c>
      <c r="F312" s="279">
        <v>10000</v>
      </c>
      <c r="G312" s="833" t="s">
        <v>12651</v>
      </c>
      <c r="H312" s="138"/>
    </row>
    <row r="313" spans="1:8" x14ac:dyDescent="0.2">
      <c r="A313" s="832" t="s">
        <v>13251</v>
      </c>
      <c r="B313" s="261" t="s">
        <v>12607</v>
      </c>
      <c r="C313" s="261" t="s">
        <v>123</v>
      </c>
      <c r="D313" s="261" t="s">
        <v>1947</v>
      </c>
      <c r="E313" s="261" t="s">
        <v>11101</v>
      </c>
      <c r="F313" s="279">
        <v>10000</v>
      </c>
      <c r="G313" s="833" t="s">
        <v>12657</v>
      </c>
      <c r="H313" s="138"/>
    </row>
    <row r="314" spans="1:8" x14ac:dyDescent="0.2">
      <c r="A314" s="832" t="s">
        <v>13252</v>
      </c>
      <c r="B314" s="261" t="s">
        <v>12609</v>
      </c>
      <c r="C314" s="261" t="s">
        <v>123</v>
      </c>
      <c r="D314" s="261" t="s">
        <v>1947</v>
      </c>
      <c r="E314" s="261" t="s">
        <v>11101</v>
      </c>
      <c r="F314" s="279">
        <v>25000</v>
      </c>
      <c r="G314" s="833" t="s">
        <v>12670</v>
      </c>
      <c r="H314" s="138"/>
    </row>
    <row r="315" spans="1:8" x14ac:dyDescent="0.2">
      <c r="A315" s="832" t="s">
        <v>13253</v>
      </c>
      <c r="B315" s="261" t="s">
        <v>12611</v>
      </c>
      <c r="C315" s="261" t="s">
        <v>123</v>
      </c>
      <c r="D315" s="261" t="s">
        <v>1947</v>
      </c>
      <c r="E315" s="261" t="s">
        <v>11101</v>
      </c>
      <c r="F315" s="279">
        <v>25000</v>
      </c>
      <c r="G315" s="833" t="s">
        <v>12673</v>
      </c>
      <c r="H315" s="138"/>
    </row>
    <row r="316" spans="1:8" x14ac:dyDescent="0.2">
      <c r="A316" s="832" t="s">
        <v>13254</v>
      </c>
      <c r="B316" s="261" t="s">
        <v>12613</v>
      </c>
      <c r="C316" s="261" t="s">
        <v>123</v>
      </c>
      <c r="D316" s="261" t="s">
        <v>1947</v>
      </c>
      <c r="E316" s="261" t="s">
        <v>11101</v>
      </c>
      <c r="F316" s="279">
        <v>25000</v>
      </c>
      <c r="G316" s="833" t="s">
        <v>12676</v>
      </c>
      <c r="H316" s="138"/>
    </row>
    <row r="317" spans="1:8" x14ac:dyDescent="0.2">
      <c r="A317" s="832" t="s">
        <v>13255</v>
      </c>
      <c r="B317" s="261" t="s">
        <v>12615</v>
      </c>
      <c r="C317" s="261" t="s">
        <v>123</v>
      </c>
      <c r="D317" s="261" t="s">
        <v>1947</v>
      </c>
      <c r="E317" s="261" t="s">
        <v>11101</v>
      </c>
      <c r="F317" s="279">
        <v>25000</v>
      </c>
      <c r="G317" s="833" t="s">
        <v>12670</v>
      </c>
      <c r="H317" s="138"/>
    </row>
    <row r="318" spans="1:8" x14ac:dyDescent="0.2">
      <c r="A318" s="832" t="s">
        <v>13256</v>
      </c>
      <c r="B318" s="261" t="s">
        <v>12617</v>
      </c>
      <c r="C318" s="261" t="s">
        <v>123</v>
      </c>
      <c r="D318" s="261" t="s">
        <v>1947</v>
      </c>
      <c r="E318" s="261" t="s">
        <v>11101</v>
      </c>
      <c r="F318" s="279">
        <v>25000</v>
      </c>
      <c r="G318" s="833" t="s">
        <v>12681</v>
      </c>
      <c r="H318" s="138"/>
    </row>
    <row r="319" spans="1:8" x14ac:dyDescent="0.2">
      <c r="A319" s="832" t="s">
        <v>13257</v>
      </c>
      <c r="B319" s="261" t="s">
        <v>12619</v>
      </c>
      <c r="C319" s="261" t="s">
        <v>123</v>
      </c>
      <c r="D319" s="261" t="s">
        <v>1947</v>
      </c>
      <c r="E319" s="261" t="s">
        <v>11101</v>
      </c>
      <c r="F319" s="279">
        <v>50000</v>
      </c>
      <c r="G319" s="833" t="s">
        <v>12684</v>
      </c>
      <c r="H319" s="138"/>
    </row>
    <row r="320" spans="1:8" x14ac:dyDescent="0.2">
      <c r="A320" s="832" t="s">
        <v>13258</v>
      </c>
      <c r="B320" s="261" t="s">
        <v>7211</v>
      </c>
      <c r="C320" s="261" t="s">
        <v>123</v>
      </c>
      <c r="D320" s="261" t="s">
        <v>1947</v>
      </c>
      <c r="E320" s="261" t="s">
        <v>11101</v>
      </c>
      <c r="F320" s="279">
        <v>50000</v>
      </c>
      <c r="G320" s="833" t="s">
        <v>12673</v>
      </c>
      <c r="H320" s="138"/>
    </row>
    <row r="321" spans="1:8" x14ac:dyDescent="0.2">
      <c r="A321" s="832" t="s">
        <v>13259</v>
      </c>
      <c r="B321" s="261" t="s">
        <v>1591</v>
      </c>
      <c r="C321" s="261" t="s">
        <v>123</v>
      </c>
      <c r="D321" s="261" t="s">
        <v>1947</v>
      </c>
      <c r="E321" s="261" t="s">
        <v>11101</v>
      </c>
      <c r="F321" s="279">
        <v>50000</v>
      </c>
      <c r="G321" s="833" t="s">
        <v>12676</v>
      </c>
      <c r="H321" s="138"/>
    </row>
    <row r="322" spans="1:8" x14ac:dyDescent="0.2">
      <c r="A322" s="832" t="s">
        <v>13260</v>
      </c>
      <c r="B322" s="261" t="s">
        <v>7912</v>
      </c>
      <c r="C322" s="261" t="s">
        <v>123</v>
      </c>
      <c r="D322" s="261" t="s">
        <v>1947</v>
      </c>
      <c r="E322" s="261" t="s">
        <v>11101</v>
      </c>
      <c r="F322" s="279">
        <v>50000</v>
      </c>
      <c r="G322" s="833" t="s">
        <v>12681</v>
      </c>
      <c r="H322" s="138"/>
    </row>
    <row r="323" spans="1:8" x14ac:dyDescent="0.2">
      <c r="A323" s="832" t="s">
        <v>13261</v>
      </c>
      <c r="B323" s="261" t="s">
        <v>12594</v>
      </c>
      <c r="C323" s="261" t="s">
        <v>123</v>
      </c>
      <c r="D323" s="261" t="s">
        <v>1947</v>
      </c>
      <c r="E323" s="261" t="s">
        <v>11593</v>
      </c>
      <c r="F323" s="279">
        <v>200000</v>
      </c>
      <c r="G323" s="833" t="s">
        <v>12693</v>
      </c>
      <c r="H323" s="138"/>
    </row>
    <row r="324" spans="1:8" x14ac:dyDescent="0.2">
      <c r="A324" s="832" t="s">
        <v>13262</v>
      </c>
      <c r="B324" s="261" t="s">
        <v>11792</v>
      </c>
      <c r="C324" s="261" t="s">
        <v>123</v>
      </c>
      <c r="D324" s="261" t="s">
        <v>1947</v>
      </c>
      <c r="E324" s="261" t="s">
        <v>11790</v>
      </c>
      <c r="F324" s="279">
        <v>300000</v>
      </c>
      <c r="G324" s="833" t="s">
        <v>12668</v>
      </c>
      <c r="H324" s="138" t="s">
        <v>12696</v>
      </c>
    </row>
    <row r="325" spans="1:8" x14ac:dyDescent="0.2">
      <c r="A325" s="832" t="s">
        <v>13263</v>
      </c>
      <c r="B325" s="261" t="s">
        <v>12597</v>
      </c>
      <c r="C325" s="261" t="s">
        <v>330</v>
      </c>
      <c r="D325" s="261" t="s">
        <v>1947</v>
      </c>
      <c r="E325" s="261" t="s">
        <v>11101</v>
      </c>
      <c r="F325" s="279">
        <v>10000</v>
      </c>
      <c r="G325" s="833" t="s">
        <v>12645</v>
      </c>
      <c r="H325" s="138"/>
    </row>
    <row r="326" spans="1:8" x14ac:dyDescent="0.2">
      <c r="A326" s="832" t="s">
        <v>13264</v>
      </c>
      <c r="B326" s="261" t="s">
        <v>12599</v>
      </c>
      <c r="C326" s="261" t="s">
        <v>330</v>
      </c>
      <c r="D326" s="261" t="s">
        <v>1947</v>
      </c>
      <c r="E326" s="261" t="s">
        <v>11101</v>
      </c>
      <c r="F326" s="279">
        <v>10000</v>
      </c>
      <c r="G326" s="833" t="s">
        <v>12651</v>
      </c>
      <c r="H326" s="138"/>
    </row>
    <row r="327" spans="1:8" x14ac:dyDescent="0.2">
      <c r="A327" s="832" t="s">
        <v>13265</v>
      </c>
      <c r="B327" s="261" t="s">
        <v>12601</v>
      </c>
      <c r="C327" s="261" t="s">
        <v>330</v>
      </c>
      <c r="D327" s="261" t="s">
        <v>1947</v>
      </c>
      <c r="E327" s="261" t="s">
        <v>11101</v>
      </c>
      <c r="F327" s="279">
        <v>10000</v>
      </c>
      <c r="G327" s="833" t="s">
        <v>12657</v>
      </c>
      <c r="H327" s="138"/>
    </row>
    <row r="328" spans="1:8" x14ac:dyDescent="0.2">
      <c r="A328" s="832" t="s">
        <v>13266</v>
      </c>
      <c r="B328" s="261" t="s">
        <v>12603</v>
      </c>
      <c r="C328" s="261" t="s">
        <v>330</v>
      </c>
      <c r="D328" s="261" t="s">
        <v>1947</v>
      </c>
      <c r="E328" s="261" t="s">
        <v>11101</v>
      </c>
      <c r="F328" s="279">
        <v>10000</v>
      </c>
      <c r="G328" s="833" t="s">
        <v>12645</v>
      </c>
      <c r="H328" s="138"/>
    </row>
    <row r="329" spans="1:8" x14ac:dyDescent="0.2">
      <c r="A329" s="832" t="s">
        <v>13267</v>
      </c>
      <c r="B329" s="261" t="s">
        <v>12605</v>
      </c>
      <c r="C329" s="261" t="s">
        <v>330</v>
      </c>
      <c r="D329" s="261" t="s">
        <v>1947</v>
      </c>
      <c r="E329" s="261" t="s">
        <v>11101</v>
      </c>
      <c r="F329" s="279">
        <v>10000</v>
      </c>
      <c r="G329" s="833" t="s">
        <v>12651</v>
      </c>
      <c r="H329" s="138"/>
    </row>
    <row r="330" spans="1:8" x14ac:dyDescent="0.2">
      <c r="A330" s="832" t="s">
        <v>13268</v>
      </c>
      <c r="B330" s="261" t="s">
        <v>12607</v>
      </c>
      <c r="C330" s="261" t="s">
        <v>330</v>
      </c>
      <c r="D330" s="261" t="s">
        <v>1947</v>
      </c>
      <c r="E330" s="261" t="s">
        <v>11101</v>
      </c>
      <c r="F330" s="279">
        <v>10000</v>
      </c>
      <c r="G330" s="833" t="s">
        <v>12657</v>
      </c>
      <c r="H330" s="138"/>
    </row>
    <row r="331" spans="1:8" x14ac:dyDescent="0.2">
      <c r="A331" s="832" t="s">
        <v>13269</v>
      </c>
      <c r="B331" s="261" t="s">
        <v>12609</v>
      </c>
      <c r="C331" s="261" t="s">
        <v>330</v>
      </c>
      <c r="D331" s="261" t="s">
        <v>1947</v>
      </c>
      <c r="E331" s="261" t="s">
        <v>11101</v>
      </c>
      <c r="F331" s="279">
        <v>25000</v>
      </c>
      <c r="G331" s="833" t="s">
        <v>12670</v>
      </c>
      <c r="H331" s="138"/>
    </row>
    <row r="332" spans="1:8" x14ac:dyDescent="0.2">
      <c r="A332" s="832" t="s">
        <v>13270</v>
      </c>
      <c r="B332" s="261" t="s">
        <v>12611</v>
      </c>
      <c r="C332" s="261" t="s">
        <v>330</v>
      </c>
      <c r="D332" s="261" t="s">
        <v>1947</v>
      </c>
      <c r="E332" s="261" t="s">
        <v>11101</v>
      </c>
      <c r="F332" s="279">
        <v>25000</v>
      </c>
      <c r="G332" s="833" t="s">
        <v>12673</v>
      </c>
      <c r="H332" s="138"/>
    </row>
    <row r="333" spans="1:8" x14ac:dyDescent="0.2">
      <c r="A333" s="832" t="s">
        <v>13271</v>
      </c>
      <c r="B333" s="261" t="s">
        <v>12613</v>
      </c>
      <c r="C333" s="261" t="s">
        <v>330</v>
      </c>
      <c r="D333" s="261" t="s">
        <v>1947</v>
      </c>
      <c r="E333" s="261" t="s">
        <v>11101</v>
      </c>
      <c r="F333" s="279">
        <v>25000</v>
      </c>
      <c r="G333" s="833" t="s">
        <v>12676</v>
      </c>
      <c r="H333" s="138"/>
    </row>
    <row r="334" spans="1:8" x14ac:dyDescent="0.2">
      <c r="A334" s="832" t="s">
        <v>13272</v>
      </c>
      <c r="B334" s="261" t="s">
        <v>12615</v>
      </c>
      <c r="C334" s="261" t="s">
        <v>330</v>
      </c>
      <c r="D334" s="261" t="s">
        <v>1947</v>
      </c>
      <c r="E334" s="261" t="s">
        <v>11101</v>
      </c>
      <c r="F334" s="279">
        <v>25000</v>
      </c>
      <c r="G334" s="833" t="s">
        <v>12670</v>
      </c>
      <c r="H334" s="138"/>
    </row>
    <row r="335" spans="1:8" x14ac:dyDescent="0.2">
      <c r="A335" s="832" t="s">
        <v>13273</v>
      </c>
      <c r="B335" s="261" t="s">
        <v>12617</v>
      </c>
      <c r="C335" s="261" t="s">
        <v>330</v>
      </c>
      <c r="D335" s="261" t="s">
        <v>1947</v>
      </c>
      <c r="E335" s="261" t="s">
        <v>11101</v>
      </c>
      <c r="F335" s="279">
        <v>25000</v>
      </c>
      <c r="G335" s="833" t="s">
        <v>12681</v>
      </c>
      <c r="H335" s="138"/>
    </row>
    <row r="336" spans="1:8" x14ac:dyDescent="0.2">
      <c r="A336" s="832" t="s">
        <v>13274</v>
      </c>
      <c r="B336" s="261" t="s">
        <v>12619</v>
      </c>
      <c r="C336" s="261" t="s">
        <v>330</v>
      </c>
      <c r="D336" s="261" t="s">
        <v>1947</v>
      </c>
      <c r="E336" s="261" t="s">
        <v>11101</v>
      </c>
      <c r="F336" s="279">
        <v>50000</v>
      </c>
      <c r="G336" s="833" t="s">
        <v>12684</v>
      </c>
      <c r="H336" s="138"/>
    </row>
    <row r="337" spans="1:8" x14ac:dyDescent="0.2">
      <c r="A337" s="832" t="s">
        <v>13275</v>
      </c>
      <c r="B337" s="261" t="s">
        <v>7211</v>
      </c>
      <c r="C337" s="261" t="s">
        <v>330</v>
      </c>
      <c r="D337" s="261" t="s">
        <v>1947</v>
      </c>
      <c r="E337" s="261" t="s">
        <v>11101</v>
      </c>
      <c r="F337" s="279">
        <v>50000</v>
      </c>
      <c r="G337" s="833" t="s">
        <v>12673</v>
      </c>
      <c r="H337" s="138"/>
    </row>
    <row r="338" spans="1:8" x14ac:dyDescent="0.2">
      <c r="A338" s="832" t="s">
        <v>13276</v>
      </c>
      <c r="B338" s="261" t="s">
        <v>1591</v>
      </c>
      <c r="C338" s="261" t="s">
        <v>330</v>
      </c>
      <c r="D338" s="261" t="s">
        <v>1947</v>
      </c>
      <c r="E338" s="261" t="s">
        <v>11101</v>
      </c>
      <c r="F338" s="279">
        <v>50000</v>
      </c>
      <c r="G338" s="833" t="s">
        <v>12676</v>
      </c>
      <c r="H338" s="138"/>
    </row>
    <row r="339" spans="1:8" x14ac:dyDescent="0.2">
      <c r="A339" s="832" t="s">
        <v>13277</v>
      </c>
      <c r="B339" s="261" t="s">
        <v>7912</v>
      </c>
      <c r="C339" s="261" t="s">
        <v>330</v>
      </c>
      <c r="D339" s="261" t="s">
        <v>1947</v>
      </c>
      <c r="E339" s="261" t="s">
        <v>11101</v>
      </c>
      <c r="F339" s="279">
        <v>50000</v>
      </c>
      <c r="G339" s="833" t="s">
        <v>12681</v>
      </c>
      <c r="H339" s="138"/>
    </row>
    <row r="340" spans="1:8" x14ac:dyDescent="0.2">
      <c r="A340" s="832" t="s">
        <v>13278</v>
      </c>
      <c r="B340" s="261" t="s">
        <v>12594</v>
      </c>
      <c r="C340" s="261" t="s">
        <v>330</v>
      </c>
      <c r="D340" s="261" t="s">
        <v>1947</v>
      </c>
      <c r="E340" s="261" t="s">
        <v>11593</v>
      </c>
      <c r="F340" s="279">
        <v>200000</v>
      </c>
      <c r="G340" s="833" t="s">
        <v>12693</v>
      </c>
      <c r="H340" s="138"/>
    </row>
    <row r="341" spans="1:8" x14ac:dyDescent="0.2">
      <c r="A341" s="832" t="s">
        <v>13279</v>
      </c>
      <c r="B341" s="261" t="s">
        <v>11792</v>
      </c>
      <c r="C341" s="261" t="s">
        <v>330</v>
      </c>
      <c r="D341" s="261" t="s">
        <v>1947</v>
      </c>
      <c r="E341" s="261" t="s">
        <v>11790</v>
      </c>
      <c r="F341" s="279">
        <v>300000</v>
      </c>
      <c r="G341" s="833" t="s">
        <v>12668</v>
      </c>
      <c r="H341" s="138" t="s">
        <v>12696</v>
      </c>
    </row>
    <row r="342" spans="1:8" x14ac:dyDescent="0.2">
      <c r="A342" s="832" t="s">
        <v>13280</v>
      </c>
      <c r="B342" s="261" t="s">
        <v>12597</v>
      </c>
      <c r="C342" s="261" t="s">
        <v>429</v>
      </c>
      <c r="D342" s="261" t="s">
        <v>1947</v>
      </c>
      <c r="E342" s="261" t="s">
        <v>11101</v>
      </c>
      <c r="F342" s="279">
        <v>10000</v>
      </c>
      <c r="G342" s="833" t="s">
        <v>12645</v>
      </c>
      <c r="H342" s="138"/>
    </row>
    <row r="343" spans="1:8" x14ac:dyDescent="0.2">
      <c r="A343" s="832" t="s">
        <v>13281</v>
      </c>
      <c r="B343" s="261" t="s">
        <v>12599</v>
      </c>
      <c r="C343" s="261" t="s">
        <v>429</v>
      </c>
      <c r="D343" s="261" t="s">
        <v>1947</v>
      </c>
      <c r="E343" s="261" t="s">
        <v>11101</v>
      </c>
      <c r="F343" s="279">
        <v>10000</v>
      </c>
      <c r="G343" s="833" t="s">
        <v>12651</v>
      </c>
      <c r="H343" s="138"/>
    </row>
    <row r="344" spans="1:8" x14ac:dyDescent="0.2">
      <c r="A344" s="832" t="s">
        <v>13282</v>
      </c>
      <c r="B344" s="261" t="s">
        <v>12601</v>
      </c>
      <c r="C344" s="261" t="s">
        <v>429</v>
      </c>
      <c r="D344" s="261" t="s">
        <v>1947</v>
      </c>
      <c r="E344" s="261" t="s">
        <v>11101</v>
      </c>
      <c r="F344" s="279">
        <v>10000</v>
      </c>
      <c r="G344" s="833" t="s">
        <v>12657</v>
      </c>
      <c r="H344" s="138"/>
    </row>
    <row r="345" spans="1:8" x14ac:dyDescent="0.2">
      <c r="A345" s="832" t="s">
        <v>13283</v>
      </c>
      <c r="B345" s="261" t="s">
        <v>12603</v>
      </c>
      <c r="C345" s="261" t="s">
        <v>429</v>
      </c>
      <c r="D345" s="261" t="s">
        <v>1947</v>
      </c>
      <c r="E345" s="261" t="s">
        <v>11101</v>
      </c>
      <c r="F345" s="279">
        <v>10000</v>
      </c>
      <c r="G345" s="833" t="s">
        <v>12645</v>
      </c>
      <c r="H345" s="138"/>
    </row>
    <row r="346" spans="1:8" x14ac:dyDescent="0.2">
      <c r="A346" s="832" t="s">
        <v>13284</v>
      </c>
      <c r="B346" s="261" t="s">
        <v>12605</v>
      </c>
      <c r="C346" s="261" t="s">
        <v>429</v>
      </c>
      <c r="D346" s="261" t="s">
        <v>1947</v>
      </c>
      <c r="E346" s="261" t="s">
        <v>11101</v>
      </c>
      <c r="F346" s="279">
        <v>10000</v>
      </c>
      <c r="G346" s="833" t="s">
        <v>12651</v>
      </c>
      <c r="H346" s="138"/>
    </row>
    <row r="347" spans="1:8" x14ac:dyDescent="0.2">
      <c r="A347" s="832" t="s">
        <v>13285</v>
      </c>
      <c r="B347" s="261" t="s">
        <v>12607</v>
      </c>
      <c r="C347" s="261" t="s">
        <v>429</v>
      </c>
      <c r="D347" s="261" t="s">
        <v>1947</v>
      </c>
      <c r="E347" s="261" t="s">
        <v>11101</v>
      </c>
      <c r="F347" s="279">
        <v>10000</v>
      </c>
      <c r="G347" s="833" t="s">
        <v>12657</v>
      </c>
      <c r="H347" s="138"/>
    </row>
    <row r="348" spans="1:8" x14ac:dyDescent="0.2">
      <c r="A348" s="832" t="s">
        <v>13286</v>
      </c>
      <c r="B348" s="261" t="s">
        <v>12609</v>
      </c>
      <c r="C348" s="261" t="s">
        <v>429</v>
      </c>
      <c r="D348" s="261" t="s">
        <v>1947</v>
      </c>
      <c r="E348" s="261" t="s">
        <v>11101</v>
      </c>
      <c r="F348" s="279">
        <v>25000</v>
      </c>
      <c r="G348" s="833" t="s">
        <v>12670</v>
      </c>
      <c r="H348" s="138"/>
    </row>
    <row r="349" spans="1:8" x14ac:dyDescent="0.2">
      <c r="A349" s="832" t="s">
        <v>13287</v>
      </c>
      <c r="B349" s="261" t="s">
        <v>12611</v>
      </c>
      <c r="C349" s="261" t="s">
        <v>429</v>
      </c>
      <c r="D349" s="261" t="s">
        <v>1947</v>
      </c>
      <c r="E349" s="261" t="s">
        <v>11101</v>
      </c>
      <c r="F349" s="279">
        <v>25000</v>
      </c>
      <c r="G349" s="833" t="s">
        <v>12673</v>
      </c>
      <c r="H349" s="138"/>
    </row>
    <row r="350" spans="1:8" x14ac:dyDescent="0.2">
      <c r="A350" s="832" t="s">
        <v>13288</v>
      </c>
      <c r="B350" s="261" t="s">
        <v>12613</v>
      </c>
      <c r="C350" s="261" t="s">
        <v>429</v>
      </c>
      <c r="D350" s="261" t="s">
        <v>1947</v>
      </c>
      <c r="E350" s="261" t="s">
        <v>11101</v>
      </c>
      <c r="F350" s="279">
        <v>25000</v>
      </c>
      <c r="G350" s="833" t="s">
        <v>12676</v>
      </c>
      <c r="H350" s="138"/>
    </row>
    <row r="351" spans="1:8" x14ac:dyDescent="0.2">
      <c r="A351" s="832" t="s">
        <v>13289</v>
      </c>
      <c r="B351" s="261" t="s">
        <v>12615</v>
      </c>
      <c r="C351" s="261" t="s">
        <v>429</v>
      </c>
      <c r="D351" s="261" t="s">
        <v>1947</v>
      </c>
      <c r="E351" s="261" t="s">
        <v>11101</v>
      </c>
      <c r="F351" s="279">
        <v>25000</v>
      </c>
      <c r="G351" s="833" t="s">
        <v>12670</v>
      </c>
      <c r="H351" s="138"/>
    </row>
    <row r="352" spans="1:8" x14ac:dyDescent="0.2">
      <c r="A352" s="832" t="s">
        <v>13290</v>
      </c>
      <c r="B352" s="261" t="s">
        <v>12617</v>
      </c>
      <c r="C352" s="261" t="s">
        <v>429</v>
      </c>
      <c r="D352" s="261" t="s">
        <v>1947</v>
      </c>
      <c r="E352" s="261" t="s">
        <v>11101</v>
      </c>
      <c r="F352" s="279">
        <v>25000</v>
      </c>
      <c r="G352" s="833" t="s">
        <v>12681</v>
      </c>
      <c r="H352" s="138"/>
    </row>
    <row r="353" spans="1:8" x14ac:dyDescent="0.2">
      <c r="A353" s="832" t="s">
        <v>13291</v>
      </c>
      <c r="B353" s="261" t="s">
        <v>12619</v>
      </c>
      <c r="C353" s="261" t="s">
        <v>429</v>
      </c>
      <c r="D353" s="261" t="s">
        <v>1947</v>
      </c>
      <c r="E353" s="261" t="s">
        <v>11101</v>
      </c>
      <c r="F353" s="279">
        <v>50000</v>
      </c>
      <c r="G353" s="833" t="s">
        <v>12684</v>
      </c>
      <c r="H353" s="138"/>
    </row>
    <row r="354" spans="1:8" x14ac:dyDescent="0.2">
      <c r="A354" s="832" t="s">
        <v>13292</v>
      </c>
      <c r="B354" s="261" t="s">
        <v>7211</v>
      </c>
      <c r="C354" s="261" t="s">
        <v>429</v>
      </c>
      <c r="D354" s="261" t="s">
        <v>1947</v>
      </c>
      <c r="E354" s="261" t="s">
        <v>11101</v>
      </c>
      <c r="F354" s="279">
        <v>50000</v>
      </c>
      <c r="G354" s="833" t="s">
        <v>12673</v>
      </c>
      <c r="H354" s="138"/>
    </row>
    <row r="355" spans="1:8" x14ac:dyDescent="0.2">
      <c r="A355" s="832" t="s">
        <v>13293</v>
      </c>
      <c r="B355" s="261" t="s">
        <v>1591</v>
      </c>
      <c r="C355" s="261" t="s">
        <v>429</v>
      </c>
      <c r="D355" s="261" t="s">
        <v>1947</v>
      </c>
      <c r="E355" s="261" t="s">
        <v>11101</v>
      </c>
      <c r="F355" s="279">
        <v>50000</v>
      </c>
      <c r="G355" s="833" t="s">
        <v>12676</v>
      </c>
      <c r="H355" s="138"/>
    </row>
    <row r="356" spans="1:8" x14ac:dyDescent="0.2">
      <c r="A356" s="832" t="s">
        <v>13294</v>
      </c>
      <c r="B356" s="261" t="s">
        <v>7912</v>
      </c>
      <c r="C356" s="261" t="s">
        <v>429</v>
      </c>
      <c r="D356" s="261" t="s">
        <v>1947</v>
      </c>
      <c r="E356" s="261" t="s">
        <v>11101</v>
      </c>
      <c r="F356" s="279">
        <v>50000</v>
      </c>
      <c r="G356" s="833" t="s">
        <v>12681</v>
      </c>
      <c r="H356" s="138"/>
    </row>
    <row r="357" spans="1:8" x14ac:dyDescent="0.2">
      <c r="A357" s="832" t="s">
        <v>13295</v>
      </c>
      <c r="B357" s="261" t="s">
        <v>12594</v>
      </c>
      <c r="C357" s="261" t="s">
        <v>429</v>
      </c>
      <c r="D357" s="261" t="s">
        <v>1947</v>
      </c>
      <c r="E357" s="261" t="s">
        <v>11593</v>
      </c>
      <c r="F357" s="279">
        <v>200000</v>
      </c>
      <c r="G357" s="833" t="s">
        <v>12693</v>
      </c>
      <c r="H357" s="138"/>
    </row>
    <row r="358" spans="1:8" x14ac:dyDescent="0.2">
      <c r="A358" s="832" t="s">
        <v>13296</v>
      </c>
      <c r="B358" s="261" t="s">
        <v>11792</v>
      </c>
      <c r="C358" s="261" t="s">
        <v>429</v>
      </c>
      <c r="D358" s="261" t="s">
        <v>1947</v>
      </c>
      <c r="E358" s="261" t="s">
        <v>11790</v>
      </c>
      <c r="F358" s="279">
        <v>300000</v>
      </c>
      <c r="G358" s="833" t="s">
        <v>12668</v>
      </c>
      <c r="H358" s="138" t="s">
        <v>12696</v>
      </c>
    </row>
    <row r="359" spans="1:8" x14ac:dyDescent="0.2">
      <c r="A359" s="832" t="s">
        <v>13297</v>
      </c>
      <c r="B359" s="261" t="s">
        <v>12597</v>
      </c>
      <c r="C359" s="261" t="s">
        <v>543</v>
      </c>
      <c r="D359" s="261" t="s">
        <v>1947</v>
      </c>
      <c r="E359" s="261" t="s">
        <v>11101</v>
      </c>
      <c r="F359" s="279">
        <v>10000</v>
      </c>
      <c r="G359" s="833" t="s">
        <v>12645</v>
      </c>
      <c r="H359" s="138"/>
    </row>
    <row r="360" spans="1:8" x14ac:dyDescent="0.2">
      <c r="A360" s="832" t="s">
        <v>13298</v>
      </c>
      <c r="B360" s="261" t="s">
        <v>12599</v>
      </c>
      <c r="C360" s="261" t="s">
        <v>543</v>
      </c>
      <c r="D360" s="261" t="s">
        <v>1947</v>
      </c>
      <c r="E360" s="261" t="s">
        <v>11101</v>
      </c>
      <c r="F360" s="279">
        <v>10000</v>
      </c>
      <c r="G360" s="833" t="s">
        <v>12651</v>
      </c>
      <c r="H360" s="138"/>
    </row>
    <row r="361" spans="1:8" x14ac:dyDescent="0.2">
      <c r="A361" s="832" t="s">
        <v>13299</v>
      </c>
      <c r="B361" s="261" t="s">
        <v>12601</v>
      </c>
      <c r="C361" s="261" t="s">
        <v>543</v>
      </c>
      <c r="D361" s="261" t="s">
        <v>1947</v>
      </c>
      <c r="E361" s="261" t="s">
        <v>11101</v>
      </c>
      <c r="F361" s="279">
        <v>10000</v>
      </c>
      <c r="G361" s="833" t="s">
        <v>12657</v>
      </c>
      <c r="H361" s="138"/>
    </row>
    <row r="362" spans="1:8" x14ac:dyDescent="0.2">
      <c r="A362" s="832" t="s">
        <v>13300</v>
      </c>
      <c r="B362" s="261" t="s">
        <v>12603</v>
      </c>
      <c r="C362" s="261" t="s">
        <v>543</v>
      </c>
      <c r="D362" s="261" t="s">
        <v>1947</v>
      </c>
      <c r="E362" s="261" t="s">
        <v>11101</v>
      </c>
      <c r="F362" s="279">
        <v>10000</v>
      </c>
      <c r="G362" s="833" t="s">
        <v>12645</v>
      </c>
      <c r="H362" s="138"/>
    </row>
    <row r="363" spans="1:8" x14ac:dyDescent="0.2">
      <c r="A363" s="832" t="s">
        <v>13301</v>
      </c>
      <c r="B363" s="261" t="s">
        <v>12605</v>
      </c>
      <c r="C363" s="261" t="s">
        <v>543</v>
      </c>
      <c r="D363" s="261" t="s">
        <v>1947</v>
      </c>
      <c r="E363" s="261" t="s">
        <v>11101</v>
      </c>
      <c r="F363" s="279">
        <v>10000</v>
      </c>
      <c r="G363" s="833" t="s">
        <v>12651</v>
      </c>
      <c r="H363" s="138"/>
    </row>
    <row r="364" spans="1:8" x14ac:dyDescent="0.2">
      <c r="A364" s="832" t="s">
        <v>13302</v>
      </c>
      <c r="B364" s="261" t="s">
        <v>12607</v>
      </c>
      <c r="C364" s="261" t="s">
        <v>543</v>
      </c>
      <c r="D364" s="261" t="s">
        <v>1947</v>
      </c>
      <c r="E364" s="261" t="s">
        <v>11101</v>
      </c>
      <c r="F364" s="279">
        <v>10000</v>
      </c>
      <c r="G364" s="833" t="s">
        <v>12657</v>
      </c>
      <c r="H364" s="138"/>
    </row>
    <row r="365" spans="1:8" x14ac:dyDescent="0.2">
      <c r="A365" s="832" t="s">
        <v>13303</v>
      </c>
      <c r="B365" s="261" t="s">
        <v>12609</v>
      </c>
      <c r="C365" s="261" t="s">
        <v>543</v>
      </c>
      <c r="D365" s="261" t="s">
        <v>1947</v>
      </c>
      <c r="E365" s="261" t="s">
        <v>11101</v>
      </c>
      <c r="F365" s="279">
        <v>25000</v>
      </c>
      <c r="G365" s="833" t="s">
        <v>12670</v>
      </c>
      <c r="H365" s="138"/>
    </row>
    <row r="366" spans="1:8" x14ac:dyDescent="0.2">
      <c r="A366" s="832" t="s">
        <v>13304</v>
      </c>
      <c r="B366" s="261" t="s">
        <v>12611</v>
      </c>
      <c r="C366" s="261" t="s">
        <v>543</v>
      </c>
      <c r="D366" s="261" t="s">
        <v>1947</v>
      </c>
      <c r="E366" s="261" t="s">
        <v>11101</v>
      </c>
      <c r="F366" s="279">
        <v>25000</v>
      </c>
      <c r="G366" s="833" t="s">
        <v>12673</v>
      </c>
      <c r="H366" s="138"/>
    </row>
    <row r="367" spans="1:8" x14ac:dyDescent="0.2">
      <c r="A367" s="832" t="s">
        <v>13305</v>
      </c>
      <c r="B367" s="261" t="s">
        <v>12613</v>
      </c>
      <c r="C367" s="261" t="s">
        <v>543</v>
      </c>
      <c r="D367" s="261" t="s">
        <v>1947</v>
      </c>
      <c r="E367" s="261" t="s">
        <v>11101</v>
      </c>
      <c r="F367" s="279">
        <v>25000</v>
      </c>
      <c r="G367" s="833" t="s">
        <v>12676</v>
      </c>
      <c r="H367" s="138"/>
    </row>
    <row r="368" spans="1:8" x14ac:dyDescent="0.2">
      <c r="A368" s="832" t="s">
        <v>13306</v>
      </c>
      <c r="B368" s="261" t="s">
        <v>12615</v>
      </c>
      <c r="C368" s="261" t="s">
        <v>543</v>
      </c>
      <c r="D368" s="261" t="s">
        <v>1947</v>
      </c>
      <c r="E368" s="261" t="s">
        <v>11101</v>
      </c>
      <c r="F368" s="279">
        <v>25000</v>
      </c>
      <c r="G368" s="833" t="s">
        <v>12670</v>
      </c>
      <c r="H368" s="138"/>
    </row>
    <row r="369" spans="1:8" x14ac:dyDescent="0.2">
      <c r="A369" s="832" t="s">
        <v>13307</v>
      </c>
      <c r="B369" s="261" t="s">
        <v>12617</v>
      </c>
      <c r="C369" s="261" t="s">
        <v>543</v>
      </c>
      <c r="D369" s="261" t="s">
        <v>1947</v>
      </c>
      <c r="E369" s="261" t="s">
        <v>11101</v>
      </c>
      <c r="F369" s="279">
        <v>25000</v>
      </c>
      <c r="G369" s="833" t="s">
        <v>12681</v>
      </c>
      <c r="H369" s="138"/>
    </row>
    <row r="370" spans="1:8" x14ac:dyDescent="0.2">
      <c r="A370" s="832" t="s">
        <v>13308</v>
      </c>
      <c r="B370" s="261" t="s">
        <v>12619</v>
      </c>
      <c r="C370" s="261" t="s">
        <v>543</v>
      </c>
      <c r="D370" s="261" t="s">
        <v>1947</v>
      </c>
      <c r="E370" s="261" t="s">
        <v>11101</v>
      </c>
      <c r="F370" s="279">
        <v>50000</v>
      </c>
      <c r="G370" s="833" t="s">
        <v>12684</v>
      </c>
      <c r="H370" s="138"/>
    </row>
    <row r="371" spans="1:8" x14ac:dyDescent="0.2">
      <c r="A371" s="832" t="s">
        <v>13309</v>
      </c>
      <c r="B371" s="261" t="s">
        <v>7211</v>
      </c>
      <c r="C371" s="261" t="s">
        <v>543</v>
      </c>
      <c r="D371" s="261" t="s">
        <v>1947</v>
      </c>
      <c r="E371" s="261" t="s">
        <v>11101</v>
      </c>
      <c r="F371" s="279">
        <v>50000</v>
      </c>
      <c r="G371" s="833" t="s">
        <v>12673</v>
      </c>
      <c r="H371" s="138"/>
    </row>
    <row r="372" spans="1:8" x14ac:dyDescent="0.2">
      <c r="A372" s="832" t="s">
        <v>13310</v>
      </c>
      <c r="B372" s="261" t="s">
        <v>1591</v>
      </c>
      <c r="C372" s="261" t="s">
        <v>543</v>
      </c>
      <c r="D372" s="261" t="s">
        <v>1947</v>
      </c>
      <c r="E372" s="261" t="s">
        <v>11101</v>
      </c>
      <c r="F372" s="279">
        <v>50000</v>
      </c>
      <c r="G372" s="833" t="s">
        <v>12676</v>
      </c>
      <c r="H372" s="138"/>
    </row>
    <row r="373" spans="1:8" x14ac:dyDescent="0.2">
      <c r="A373" s="832" t="s">
        <v>13311</v>
      </c>
      <c r="B373" s="261" t="s">
        <v>7912</v>
      </c>
      <c r="C373" s="261" t="s">
        <v>543</v>
      </c>
      <c r="D373" s="261" t="s">
        <v>1947</v>
      </c>
      <c r="E373" s="261" t="s">
        <v>11101</v>
      </c>
      <c r="F373" s="279">
        <v>50000</v>
      </c>
      <c r="G373" s="833" t="s">
        <v>12681</v>
      </c>
      <c r="H373" s="138"/>
    </row>
    <row r="374" spans="1:8" x14ac:dyDescent="0.2">
      <c r="A374" s="832" t="s">
        <v>13312</v>
      </c>
      <c r="B374" s="261" t="s">
        <v>12594</v>
      </c>
      <c r="C374" s="261" t="s">
        <v>543</v>
      </c>
      <c r="D374" s="261" t="s">
        <v>1947</v>
      </c>
      <c r="E374" s="261" t="s">
        <v>11593</v>
      </c>
      <c r="F374" s="279">
        <v>200000</v>
      </c>
      <c r="G374" s="833" t="s">
        <v>12693</v>
      </c>
      <c r="H374" s="138"/>
    </row>
    <row r="375" spans="1:8" x14ac:dyDescent="0.2">
      <c r="A375" s="832" t="s">
        <v>13313</v>
      </c>
      <c r="B375" s="261" t="s">
        <v>11792</v>
      </c>
      <c r="C375" s="261" t="s">
        <v>543</v>
      </c>
      <c r="D375" s="261" t="s">
        <v>1947</v>
      </c>
      <c r="E375" s="261" t="s">
        <v>11790</v>
      </c>
      <c r="F375" s="279">
        <v>300000</v>
      </c>
      <c r="G375" s="833" t="s">
        <v>12668</v>
      </c>
      <c r="H375" s="138" t="s">
        <v>12696</v>
      </c>
    </row>
    <row r="376" spans="1:8" x14ac:dyDescent="0.2">
      <c r="A376" s="832" t="s">
        <v>13314</v>
      </c>
      <c r="B376" s="261" t="s">
        <v>12597</v>
      </c>
      <c r="C376" s="261" t="s">
        <v>645</v>
      </c>
      <c r="D376" s="261" t="s">
        <v>1947</v>
      </c>
      <c r="E376" s="261" t="s">
        <v>11101</v>
      </c>
      <c r="F376" s="279">
        <v>10000</v>
      </c>
      <c r="G376" s="833" t="s">
        <v>12645</v>
      </c>
      <c r="H376" s="138"/>
    </row>
    <row r="377" spans="1:8" x14ac:dyDescent="0.2">
      <c r="A377" s="832" t="s">
        <v>13315</v>
      </c>
      <c r="B377" s="261" t="s">
        <v>12599</v>
      </c>
      <c r="C377" s="261" t="s">
        <v>645</v>
      </c>
      <c r="D377" s="261" t="s">
        <v>1947</v>
      </c>
      <c r="E377" s="261" t="s">
        <v>11101</v>
      </c>
      <c r="F377" s="279">
        <v>10000</v>
      </c>
      <c r="G377" s="833" t="s">
        <v>12651</v>
      </c>
      <c r="H377" s="138"/>
    </row>
    <row r="378" spans="1:8" x14ac:dyDescent="0.2">
      <c r="A378" s="832" t="s">
        <v>13316</v>
      </c>
      <c r="B378" s="261" t="s">
        <v>12601</v>
      </c>
      <c r="C378" s="261" t="s">
        <v>645</v>
      </c>
      <c r="D378" s="261" t="s">
        <v>1947</v>
      </c>
      <c r="E378" s="261" t="s">
        <v>11101</v>
      </c>
      <c r="F378" s="279">
        <v>10000</v>
      </c>
      <c r="G378" s="833" t="s">
        <v>12657</v>
      </c>
      <c r="H378" s="138"/>
    </row>
    <row r="379" spans="1:8" x14ac:dyDescent="0.2">
      <c r="A379" s="832" t="s">
        <v>13317</v>
      </c>
      <c r="B379" s="261" t="s">
        <v>12603</v>
      </c>
      <c r="C379" s="261" t="s">
        <v>645</v>
      </c>
      <c r="D379" s="261" t="s">
        <v>1947</v>
      </c>
      <c r="E379" s="261" t="s">
        <v>11101</v>
      </c>
      <c r="F379" s="279">
        <v>10000</v>
      </c>
      <c r="G379" s="833" t="s">
        <v>12645</v>
      </c>
      <c r="H379" s="138"/>
    </row>
    <row r="380" spans="1:8" x14ac:dyDescent="0.2">
      <c r="A380" s="832" t="s">
        <v>13318</v>
      </c>
      <c r="B380" s="261" t="s">
        <v>12605</v>
      </c>
      <c r="C380" s="261" t="s">
        <v>645</v>
      </c>
      <c r="D380" s="261" t="s">
        <v>1947</v>
      </c>
      <c r="E380" s="261" t="s">
        <v>11101</v>
      </c>
      <c r="F380" s="279">
        <v>10000</v>
      </c>
      <c r="G380" s="833" t="s">
        <v>12651</v>
      </c>
      <c r="H380" s="138"/>
    </row>
    <row r="381" spans="1:8" x14ac:dyDescent="0.2">
      <c r="A381" s="832" t="s">
        <v>13319</v>
      </c>
      <c r="B381" s="261" t="s">
        <v>12607</v>
      </c>
      <c r="C381" s="261" t="s">
        <v>645</v>
      </c>
      <c r="D381" s="261" t="s">
        <v>1947</v>
      </c>
      <c r="E381" s="261" t="s">
        <v>11101</v>
      </c>
      <c r="F381" s="279">
        <v>10000</v>
      </c>
      <c r="G381" s="833" t="s">
        <v>12657</v>
      </c>
      <c r="H381" s="138"/>
    </row>
    <row r="382" spans="1:8" x14ac:dyDescent="0.2">
      <c r="A382" s="832" t="s">
        <v>13320</v>
      </c>
      <c r="B382" s="261" t="s">
        <v>12609</v>
      </c>
      <c r="C382" s="261" t="s">
        <v>645</v>
      </c>
      <c r="D382" s="261" t="s">
        <v>1947</v>
      </c>
      <c r="E382" s="261" t="s">
        <v>11101</v>
      </c>
      <c r="F382" s="279">
        <v>25000</v>
      </c>
      <c r="G382" s="833" t="s">
        <v>12670</v>
      </c>
      <c r="H382" s="138"/>
    </row>
    <row r="383" spans="1:8" x14ac:dyDescent="0.2">
      <c r="A383" s="832" t="s">
        <v>13321</v>
      </c>
      <c r="B383" s="261" t="s">
        <v>12611</v>
      </c>
      <c r="C383" s="261" t="s">
        <v>645</v>
      </c>
      <c r="D383" s="261" t="s">
        <v>1947</v>
      </c>
      <c r="E383" s="261" t="s">
        <v>11101</v>
      </c>
      <c r="F383" s="279">
        <v>25000</v>
      </c>
      <c r="G383" s="833" t="s">
        <v>12673</v>
      </c>
      <c r="H383" s="138"/>
    </row>
    <row r="384" spans="1:8" x14ac:dyDescent="0.2">
      <c r="A384" s="832" t="s">
        <v>13322</v>
      </c>
      <c r="B384" s="261" t="s">
        <v>12613</v>
      </c>
      <c r="C384" s="261" t="s">
        <v>645</v>
      </c>
      <c r="D384" s="261" t="s">
        <v>1947</v>
      </c>
      <c r="E384" s="261" t="s">
        <v>11101</v>
      </c>
      <c r="F384" s="279">
        <v>25000</v>
      </c>
      <c r="G384" s="833" t="s">
        <v>12676</v>
      </c>
      <c r="H384" s="138"/>
    </row>
    <row r="385" spans="1:8" x14ac:dyDescent="0.2">
      <c r="A385" s="832" t="s">
        <v>13323</v>
      </c>
      <c r="B385" s="261" t="s">
        <v>12615</v>
      </c>
      <c r="C385" s="261" t="s">
        <v>645</v>
      </c>
      <c r="D385" s="261" t="s">
        <v>1947</v>
      </c>
      <c r="E385" s="261" t="s">
        <v>11101</v>
      </c>
      <c r="F385" s="279">
        <v>25000</v>
      </c>
      <c r="G385" s="833" t="s">
        <v>12670</v>
      </c>
      <c r="H385" s="138"/>
    </row>
    <row r="386" spans="1:8" x14ac:dyDescent="0.2">
      <c r="A386" s="832" t="s">
        <v>13324</v>
      </c>
      <c r="B386" s="261" t="s">
        <v>12617</v>
      </c>
      <c r="C386" s="261" t="s">
        <v>645</v>
      </c>
      <c r="D386" s="261" t="s">
        <v>1947</v>
      </c>
      <c r="E386" s="261" t="s">
        <v>11101</v>
      </c>
      <c r="F386" s="279">
        <v>25000</v>
      </c>
      <c r="G386" s="833" t="s">
        <v>12681</v>
      </c>
      <c r="H386" s="138"/>
    </row>
    <row r="387" spans="1:8" x14ac:dyDescent="0.2">
      <c r="A387" s="832" t="s">
        <v>13325</v>
      </c>
      <c r="B387" s="261" t="s">
        <v>12619</v>
      </c>
      <c r="C387" s="261" t="s">
        <v>645</v>
      </c>
      <c r="D387" s="261" t="s">
        <v>1947</v>
      </c>
      <c r="E387" s="261" t="s">
        <v>11101</v>
      </c>
      <c r="F387" s="279">
        <v>50000</v>
      </c>
      <c r="G387" s="833" t="s">
        <v>12684</v>
      </c>
      <c r="H387" s="138"/>
    </row>
    <row r="388" spans="1:8" x14ac:dyDescent="0.2">
      <c r="A388" s="832" t="s">
        <v>13326</v>
      </c>
      <c r="B388" s="261" t="s">
        <v>7211</v>
      </c>
      <c r="C388" s="261" t="s">
        <v>645</v>
      </c>
      <c r="D388" s="261" t="s">
        <v>1947</v>
      </c>
      <c r="E388" s="261" t="s">
        <v>11101</v>
      </c>
      <c r="F388" s="279">
        <v>50000</v>
      </c>
      <c r="G388" s="833" t="s">
        <v>12673</v>
      </c>
      <c r="H388" s="138"/>
    </row>
    <row r="389" spans="1:8" x14ac:dyDescent="0.2">
      <c r="A389" s="832" t="s">
        <v>13327</v>
      </c>
      <c r="B389" s="261" t="s">
        <v>1591</v>
      </c>
      <c r="C389" s="261" t="s">
        <v>645</v>
      </c>
      <c r="D389" s="261" t="s">
        <v>1947</v>
      </c>
      <c r="E389" s="261" t="s">
        <v>11101</v>
      </c>
      <c r="F389" s="279">
        <v>50000</v>
      </c>
      <c r="G389" s="833" t="s">
        <v>12676</v>
      </c>
      <c r="H389" s="138"/>
    </row>
    <row r="390" spans="1:8" x14ac:dyDescent="0.2">
      <c r="A390" s="832" t="s">
        <v>13328</v>
      </c>
      <c r="B390" s="261" t="s">
        <v>7912</v>
      </c>
      <c r="C390" s="261" t="s">
        <v>645</v>
      </c>
      <c r="D390" s="261" t="s">
        <v>1947</v>
      </c>
      <c r="E390" s="261" t="s">
        <v>11101</v>
      </c>
      <c r="F390" s="279">
        <v>50000</v>
      </c>
      <c r="G390" s="833" t="s">
        <v>12681</v>
      </c>
      <c r="H390" s="138"/>
    </row>
    <row r="391" spans="1:8" x14ac:dyDescent="0.2">
      <c r="A391" s="832" t="s">
        <v>13329</v>
      </c>
      <c r="B391" s="261" t="s">
        <v>12594</v>
      </c>
      <c r="C391" s="261" t="s">
        <v>645</v>
      </c>
      <c r="D391" s="261" t="s">
        <v>1947</v>
      </c>
      <c r="E391" s="261" t="s">
        <v>11593</v>
      </c>
      <c r="F391" s="279">
        <v>200000</v>
      </c>
      <c r="G391" s="833" t="s">
        <v>12693</v>
      </c>
      <c r="H391" s="138"/>
    </row>
    <row r="392" spans="1:8" x14ac:dyDescent="0.2">
      <c r="A392" s="832" t="s">
        <v>13330</v>
      </c>
      <c r="B392" s="261" t="s">
        <v>11792</v>
      </c>
      <c r="C392" s="261" t="s">
        <v>645</v>
      </c>
      <c r="D392" s="261" t="s">
        <v>1947</v>
      </c>
      <c r="E392" s="261" t="s">
        <v>11790</v>
      </c>
      <c r="F392" s="279">
        <v>300000</v>
      </c>
      <c r="G392" s="833" t="s">
        <v>12668</v>
      </c>
      <c r="H392" s="138" t="s">
        <v>12696</v>
      </c>
    </row>
    <row r="393" spans="1:8" x14ac:dyDescent="0.2">
      <c r="A393" s="832" t="s">
        <v>13331</v>
      </c>
      <c r="B393" s="261" t="s">
        <v>12597</v>
      </c>
      <c r="C393" s="261" t="s">
        <v>759</v>
      </c>
      <c r="D393" s="261" t="s">
        <v>1947</v>
      </c>
      <c r="E393" s="261" t="s">
        <v>11101</v>
      </c>
      <c r="F393" s="279">
        <v>10000</v>
      </c>
      <c r="G393" s="833" t="s">
        <v>12645</v>
      </c>
      <c r="H393" s="138"/>
    </row>
    <row r="394" spans="1:8" x14ac:dyDescent="0.2">
      <c r="A394" s="832" t="s">
        <v>13332</v>
      </c>
      <c r="B394" s="261" t="s">
        <v>12599</v>
      </c>
      <c r="C394" s="261" t="s">
        <v>759</v>
      </c>
      <c r="D394" s="261" t="s">
        <v>1947</v>
      </c>
      <c r="E394" s="261" t="s">
        <v>11101</v>
      </c>
      <c r="F394" s="279">
        <v>10000</v>
      </c>
      <c r="G394" s="833" t="s">
        <v>12651</v>
      </c>
      <c r="H394" s="138"/>
    </row>
    <row r="395" spans="1:8" x14ac:dyDescent="0.2">
      <c r="A395" s="832" t="s">
        <v>13333</v>
      </c>
      <c r="B395" s="261" t="s">
        <v>12601</v>
      </c>
      <c r="C395" s="261" t="s">
        <v>759</v>
      </c>
      <c r="D395" s="261" t="s">
        <v>1947</v>
      </c>
      <c r="E395" s="261" t="s">
        <v>11101</v>
      </c>
      <c r="F395" s="279">
        <v>10000</v>
      </c>
      <c r="G395" s="833" t="s">
        <v>12657</v>
      </c>
      <c r="H395" s="138"/>
    </row>
    <row r="396" spans="1:8" x14ac:dyDescent="0.2">
      <c r="A396" s="832" t="s">
        <v>13334</v>
      </c>
      <c r="B396" s="261" t="s">
        <v>12603</v>
      </c>
      <c r="C396" s="261" t="s">
        <v>759</v>
      </c>
      <c r="D396" s="261" t="s">
        <v>1947</v>
      </c>
      <c r="E396" s="261" t="s">
        <v>11101</v>
      </c>
      <c r="F396" s="279">
        <v>10000</v>
      </c>
      <c r="G396" s="833" t="s">
        <v>12645</v>
      </c>
      <c r="H396" s="138"/>
    </row>
    <row r="397" spans="1:8" x14ac:dyDescent="0.2">
      <c r="A397" s="832" t="s">
        <v>13335</v>
      </c>
      <c r="B397" s="261" t="s">
        <v>12605</v>
      </c>
      <c r="C397" s="261" t="s">
        <v>759</v>
      </c>
      <c r="D397" s="261" t="s">
        <v>1947</v>
      </c>
      <c r="E397" s="261" t="s">
        <v>11101</v>
      </c>
      <c r="F397" s="279">
        <v>10000</v>
      </c>
      <c r="G397" s="833" t="s">
        <v>12651</v>
      </c>
      <c r="H397" s="138"/>
    </row>
    <row r="398" spans="1:8" x14ac:dyDescent="0.2">
      <c r="A398" s="832" t="s">
        <v>13336</v>
      </c>
      <c r="B398" s="261" t="s">
        <v>12607</v>
      </c>
      <c r="C398" s="261" t="s">
        <v>759</v>
      </c>
      <c r="D398" s="261" t="s">
        <v>1947</v>
      </c>
      <c r="E398" s="261" t="s">
        <v>11101</v>
      </c>
      <c r="F398" s="279">
        <v>10000</v>
      </c>
      <c r="G398" s="833" t="s">
        <v>12657</v>
      </c>
      <c r="H398" s="138"/>
    </row>
    <row r="399" spans="1:8" x14ac:dyDescent="0.2">
      <c r="A399" s="832" t="s">
        <v>13337</v>
      </c>
      <c r="B399" s="261" t="s">
        <v>12609</v>
      </c>
      <c r="C399" s="261" t="s">
        <v>759</v>
      </c>
      <c r="D399" s="261" t="s">
        <v>1947</v>
      </c>
      <c r="E399" s="261" t="s">
        <v>11101</v>
      </c>
      <c r="F399" s="279">
        <v>25000</v>
      </c>
      <c r="G399" s="833" t="s">
        <v>12670</v>
      </c>
      <c r="H399" s="138"/>
    </row>
    <row r="400" spans="1:8" x14ac:dyDescent="0.2">
      <c r="A400" s="832" t="s">
        <v>13338</v>
      </c>
      <c r="B400" s="261" t="s">
        <v>12611</v>
      </c>
      <c r="C400" s="261" t="s">
        <v>759</v>
      </c>
      <c r="D400" s="261" t="s">
        <v>1947</v>
      </c>
      <c r="E400" s="261" t="s">
        <v>11101</v>
      </c>
      <c r="F400" s="279">
        <v>25000</v>
      </c>
      <c r="G400" s="833" t="s">
        <v>12673</v>
      </c>
      <c r="H400" s="138"/>
    </row>
    <row r="401" spans="1:8" x14ac:dyDescent="0.2">
      <c r="A401" s="832" t="s">
        <v>13339</v>
      </c>
      <c r="B401" s="261" t="s">
        <v>12613</v>
      </c>
      <c r="C401" s="261" t="s">
        <v>759</v>
      </c>
      <c r="D401" s="261" t="s">
        <v>1947</v>
      </c>
      <c r="E401" s="261" t="s">
        <v>11101</v>
      </c>
      <c r="F401" s="279">
        <v>25000</v>
      </c>
      <c r="G401" s="833" t="s">
        <v>12676</v>
      </c>
      <c r="H401" s="138"/>
    </row>
    <row r="402" spans="1:8" x14ac:dyDescent="0.2">
      <c r="A402" s="832" t="s">
        <v>13340</v>
      </c>
      <c r="B402" s="261" t="s">
        <v>12615</v>
      </c>
      <c r="C402" s="261" t="s">
        <v>759</v>
      </c>
      <c r="D402" s="261" t="s">
        <v>1947</v>
      </c>
      <c r="E402" s="261" t="s">
        <v>11101</v>
      </c>
      <c r="F402" s="279">
        <v>25000</v>
      </c>
      <c r="G402" s="833" t="s">
        <v>12670</v>
      </c>
      <c r="H402" s="138"/>
    </row>
    <row r="403" spans="1:8" x14ac:dyDescent="0.2">
      <c r="A403" s="832" t="s">
        <v>13341</v>
      </c>
      <c r="B403" s="261" t="s">
        <v>12617</v>
      </c>
      <c r="C403" s="261" t="s">
        <v>759</v>
      </c>
      <c r="D403" s="261" t="s">
        <v>1947</v>
      </c>
      <c r="E403" s="261" t="s">
        <v>11101</v>
      </c>
      <c r="F403" s="279">
        <v>25000</v>
      </c>
      <c r="G403" s="833" t="s">
        <v>12681</v>
      </c>
      <c r="H403" s="138"/>
    </row>
    <row r="404" spans="1:8" x14ac:dyDescent="0.2">
      <c r="A404" s="832" t="s">
        <v>13342</v>
      </c>
      <c r="B404" s="261" t="s">
        <v>12619</v>
      </c>
      <c r="C404" s="261" t="s">
        <v>759</v>
      </c>
      <c r="D404" s="261" t="s">
        <v>1947</v>
      </c>
      <c r="E404" s="261" t="s">
        <v>11101</v>
      </c>
      <c r="F404" s="279">
        <v>50000</v>
      </c>
      <c r="G404" s="833" t="s">
        <v>12684</v>
      </c>
      <c r="H404" s="138"/>
    </row>
    <row r="405" spans="1:8" x14ac:dyDescent="0.2">
      <c r="A405" s="832" t="s">
        <v>13343</v>
      </c>
      <c r="B405" s="261" t="s">
        <v>7211</v>
      </c>
      <c r="C405" s="261" t="s">
        <v>759</v>
      </c>
      <c r="D405" s="261" t="s">
        <v>1947</v>
      </c>
      <c r="E405" s="261" t="s">
        <v>11101</v>
      </c>
      <c r="F405" s="279">
        <v>50000</v>
      </c>
      <c r="G405" s="833" t="s">
        <v>12673</v>
      </c>
      <c r="H405" s="138"/>
    </row>
    <row r="406" spans="1:8" x14ac:dyDescent="0.2">
      <c r="A406" s="832" t="s">
        <v>13344</v>
      </c>
      <c r="B406" s="261" t="s">
        <v>1591</v>
      </c>
      <c r="C406" s="261" t="s">
        <v>759</v>
      </c>
      <c r="D406" s="261" t="s">
        <v>1947</v>
      </c>
      <c r="E406" s="261" t="s">
        <v>11101</v>
      </c>
      <c r="F406" s="279">
        <v>50000</v>
      </c>
      <c r="G406" s="833" t="s">
        <v>12676</v>
      </c>
      <c r="H406" s="138"/>
    </row>
    <row r="407" spans="1:8" x14ac:dyDescent="0.2">
      <c r="A407" s="832" t="s">
        <v>13345</v>
      </c>
      <c r="B407" s="261" t="s">
        <v>7912</v>
      </c>
      <c r="C407" s="261" t="s">
        <v>759</v>
      </c>
      <c r="D407" s="261" t="s">
        <v>1947</v>
      </c>
      <c r="E407" s="261" t="s">
        <v>11101</v>
      </c>
      <c r="F407" s="279">
        <v>50000</v>
      </c>
      <c r="G407" s="833" t="s">
        <v>12681</v>
      </c>
      <c r="H407" s="138"/>
    </row>
    <row r="408" spans="1:8" x14ac:dyDescent="0.2">
      <c r="A408" s="832" t="s">
        <v>13346</v>
      </c>
      <c r="B408" s="261" t="s">
        <v>12594</v>
      </c>
      <c r="C408" s="261" t="s">
        <v>759</v>
      </c>
      <c r="D408" s="261" t="s">
        <v>1947</v>
      </c>
      <c r="E408" s="261" t="s">
        <v>11593</v>
      </c>
      <c r="F408" s="279">
        <v>200000</v>
      </c>
      <c r="G408" s="833" t="s">
        <v>12693</v>
      </c>
      <c r="H408" s="138"/>
    </row>
    <row r="409" spans="1:8" x14ac:dyDescent="0.2">
      <c r="A409" s="832" t="s">
        <v>13347</v>
      </c>
      <c r="B409" s="261" t="s">
        <v>11792</v>
      </c>
      <c r="C409" s="261" t="s">
        <v>759</v>
      </c>
      <c r="D409" s="261" t="s">
        <v>1947</v>
      </c>
      <c r="E409" s="261" t="s">
        <v>11790</v>
      </c>
      <c r="F409" s="279">
        <v>300000</v>
      </c>
      <c r="G409" s="833" t="s">
        <v>12668</v>
      </c>
      <c r="H409" s="138" t="s">
        <v>12696</v>
      </c>
    </row>
    <row r="410" spans="1:8" x14ac:dyDescent="0.2">
      <c r="A410" s="832" t="s">
        <v>13348</v>
      </c>
      <c r="B410" s="261" t="s">
        <v>12597</v>
      </c>
      <c r="C410" s="261" t="s">
        <v>839</v>
      </c>
      <c r="D410" s="261" t="s">
        <v>1947</v>
      </c>
      <c r="E410" s="261" t="s">
        <v>11101</v>
      </c>
      <c r="F410" s="279">
        <v>10000</v>
      </c>
      <c r="G410" s="833" t="s">
        <v>12645</v>
      </c>
      <c r="H410" s="138"/>
    </row>
    <row r="411" spans="1:8" x14ac:dyDescent="0.2">
      <c r="A411" s="832" t="s">
        <v>13349</v>
      </c>
      <c r="B411" s="261" t="s">
        <v>12599</v>
      </c>
      <c r="C411" s="261" t="s">
        <v>839</v>
      </c>
      <c r="D411" s="261" t="s">
        <v>1947</v>
      </c>
      <c r="E411" s="261" t="s">
        <v>11101</v>
      </c>
      <c r="F411" s="279">
        <v>10000</v>
      </c>
      <c r="G411" s="833" t="s">
        <v>12651</v>
      </c>
      <c r="H411" s="138"/>
    </row>
    <row r="412" spans="1:8" x14ac:dyDescent="0.2">
      <c r="A412" s="832" t="s">
        <v>13350</v>
      </c>
      <c r="B412" s="261" t="s">
        <v>12601</v>
      </c>
      <c r="C412" s="261" t="s">
        <v>839</v>
      </c>
      <c r="D412" s="261" t="s">
        <v>1947</v>
      </c>
      <c r="E412" s="261" t="s">
        <v>11101</v>
      </c>
      <c r="F412" s="279">
        <v>10000</v>
      </c>
      <c r="G412" s="833" t="s">
        <v>12657</v>
      </c>
      <c r="H412" s="138"/>
    </row>
    <row r="413" spans="1:8" x14ac:dyDescent="0.2">
      <c r="A413" s="832" t="s">
        <v>13351</v>
      </c>
      <c r="B413" s="261" t="s">
        <v>12603</v>
      </c>
      <c r="C413" s="261" t="s">
        <v>839</v>
      </c>
      <c r="D413" s="261" t="s">
        <v>1947</v>
      </c>
      <c r="E413" s="261" t="s">
        <v>11101</v>
      </c>
      <c r="F413" s="279">
        <v>10000</v>
      </c>
      <c r="G413" s="833" t="s">
        <v>12645</v>
      </c>
      <c r="H413" s="138"/>
    </row>
    <row r="414" spans="1:8" x14ac:dyDescent="0.2">
      <c r="A414" s="832" t="s">
        <v>13352</v>
      </c>
      <c r="B414" s="261" t="s">
        <v>12605</v>
      </c>
      <c r="C414" s="261" t="s">
        <v>839</v>
      </c>
      <c r="D414" s="261" t="s">
        <v>1947</v>
      </c>
      <c r="E414" s="261" t="s">
        <v>11101</v>
      </c>
      <c r="F414" s="279">
        <v>10000</v>
      </c>
      <c r="G414" s="833" t="s">
        <v>12651</v>
      </c>
      <c r="H414" s="138"/>
    </row>
    <row r="415" spans="1:8" x14ac:dyDescent="0.2">
      <c r="A415" s="832" t="s">
        <v>13353</v>
      </c>
      <c r="B415" s="261" t="s">
        <v>12607</v>
      </c>
      <c r="C415" s="261" t="s">
        <v>839</v>
      </c>
      <c r="D415" s="261" t="s">
        <v>1947</v>
      </c>
      <c r="E415" s="261" t="s">
        <v>11101</v>
      </c>
      <c r="F415" s="279">
        <v>10000</v>
      </c>
      <c r="G415" s="833" t="s">
        <v>12657</v>
      </c>
      <c r="H415" s="138"/>
    </row>
    <row r="416" spans="1:8" x14ac:dyDescent="0.2">
      <c r="A416" s="832" t="s">
        <v>13354</v>
      </c>
      <c r="B416" s="261" t="s">
        <v>12609</v>
      </c>
      <c r="C416" s="261" t="s">
        <v>839</v>
      </c>
      <c r="D416" s="261" t="s">
        <v>1947</v>
      </c>
      <c r="E416" s="261" t="s">
        <v>11101</v>
      </c>
      <c r="F416" s="279">
        <v>25000</v>
      </c>
      <c r="G416" s="833" t="s">
        <v>12670</v>
      </c>
      <c r="H416" s="138"/>
    </row>
    <row r="417" spans="1:8" x14ac:dyDescent="0.2">
      <c r="A417" s="832" t="s">
        <v>13355</v>
      </c>
      <c r="B417" s="261" t="s">
        <v>12611</v>
      </c>
      <c r="C417" s="261" t="s">
        <v>839</v>
      </c>
      <c r="D417" s="261" t="s">
        <v>1947</v>
      </c>
      <c r="E417" s="261" t="s">
        <v>11101</v>
      </c>
      <c r="F417" s="279">
        <v>25000</v>
      </c>
      <c r="G417" s="833" t="s">
        <v>12673</v>
      </c>
      <c r="H417" s="138"/>
    </row>
    <row r="418" spans="1:8" x14ac:dyDescent="0.2">
      <c r="A418" s="832" t="s">
        <v>13356</v>
      </c>
      <c r="B418" s="261" t="s">
        <v>12613</v>
      </c>
      <c r="C418" s="261" t="s">
        <v>839</v>
      </c>
      <c r="D418" s="261" t="s">
        <v>1947</v>
      </c>
      <c r="E418" s="261" t="s">
        <v>11101</v>
      </c>
      <c r="F418" s="279">
        <v>25000</v>
      </c>
      <c r="G418" s="833" t="s">
        <v>12676</v>
      </c>
      <c r="H418" s="138"/>
    </row>
    <row r="419" spans="1:8" x14ac:dyDescent="0.2">
      <c r="A419" s="832" t="s">
        <v>13357</v>
      </c>
      <c r="B419" s="261" t="s">
        <v>12615</v>
      </c>
      <c r="C419" s="261" t="s">
        <v>839</v>
      </c>
      <c r="D419" s="261" t="s">
        <v>1947</v>
      </c>
      <c r="E419" s="261" t="s">
        <v>11101</v>
      </c>
      <c r="F419" s="279">
        <v>25000</v>
      </c>
      <c r="G419" s="833" t="s">
        <v>12670</v>
      </c>
      <c r="H419" s="138"/>
    </row>
    <row r="420" spans="1:8" x14ac:dyDescent="0.2">
      <c r="A420" s="832" t="s">
        <v>13358</v>
      </c>
      <c r="B420" s="261" t="s">
        <v>12617</v>
      </c>
      <c r="C420" s="261" t="s">
        <v>839</v>
      </c>
      <c r="D420" s="261" t="s">
        <v>1947</v>
      </c>
      <c r="E420" s="261" t="s">
        <v>11101</v>
      </c>
      <c r="F420" s="279">
        <v>25000</v>
      </c>
      <c r="G420" s="833" t="s">
        <v>12681</v>
      </c>
      <c r="H420" s="138"/>
    </row>
    <row r="421" spans="1:8" x14ac:dyDescent="0.2">
      <c r="A421" s="832" t="s">
        <v>13359</v>
      </c>
      <c r="B421" s="261" t="s">
        <v>12619</v>
      </c>
      <c r="C421" s="261" t="s">
        <v>839</v>
      </c>
      <c r="D421" s="261" t="s">
        <v>1947</v>
      </c>
      <c r="E421" s="261" t="s">
        <v>11101</v>
      </c>
      <c r="F421" s="279">
        <v>50000</v>
      </c>
      <c r="G421" s="833" t="s">
        <v>12684</v>
      </c>
      <c r="H421" s="138"/>
    </row>
    <row r="422" spans="1:8" x14ac:dyDescent="0.2">
      <c r="A422" s="832" t="s">
        <v>13360</v>
      </c>
      <c r="B422" s="261" t="s">
        <v>7211</v>
      </c>
      <c r="C422" s="261" t="s">
        <v>839</v>
      </c>
      <c r="D422" s="261" t="s">
        <v>1947</v>
      </c>
      <c r="E422" s="261" t="s">
        <v>11101</v>
      </c>
      <c r="F422" s="279">
        <v>50000</v>
      </c>
      <c r="G422" s="833" t="s">
        <v>12673</v>
      </c>
      <c r="H422" s="138"/>
    </row>
    <row r="423" spans="1:8" x14ac:dyDescent="0.2">
      <c r="A423" s="832" t="s">
        <v>13361</v>
      </c>
      <c r="B423" s="261" t="s">
        <v>1591</v>
      </c>
      <c r="C423" s="261" t="s">
        <v>839</v>
      </c>
      <c r="D423" s="261" t="s">
        <v>1947</v>
      </c>
      <c r="E423" s="261" t="s">
        <v>11101</v>
      </c>
      <c r="F423" s="279">
        <v>50000</v>
      </c>
      <c r="G423" s="833" t="s">
        <v>12676</v>
      </c>
      <c r="H423" s="138"/>
    </row>
    <row r="424" spans="1:8" x14ac:dyDescent="0.2">
      <c r="A424" s="832" t="s">
        <v>13362</v>
      </c>
      <c r="B424" s="261" t="s">
        <v>7912</v>
      </c>
      <c r="C424" s="261" t="s">
        <v>839</v>
      </c>
      <c r="D424" s="261" t="s">
        <v>1947</v>
      </c>
      <c r="E424" s="261" t="s">
        <v>11101</v>
      </c>
      <c r="F424" s="279">
        <v>50000</v>
      </c>
      <c r="G424" s="833" t="s">
        <v>12681</v>
      </c>
      <c r="H424" s="138"/>
    </row>
    <row r="425" spans="1:8" x14ac:dyDescent="0.2">
      <c r="A425" s="832" t="s">
        <v>13363</v>
      </c>
      <c r="B425" s="261" t="s">
        <v>12594</v>
      </c>
      <c r="C425" s="261" t="s">
        <v>839</v>
      </c>
      <c r="D425" s="261" t="s">
        <v>1947</v>
      </c>
      <c r="E425" s="261" t="s">
        <v>11593</v>
      </c>
      <c r="F425" s="279">
        <v>200000</v>
      </c>
      <c r="G425" s="833" t="s">
        <v>12693</v>
      </c>
      <c r="H425" s="138"/>
    </row>
    <row r="426" spans="1:8" x14ac:dyDescent="0.2">
      <c r="A426" s="832" t="s">
        <v>13364</v>
      </c>
      <c r="B426" s="261" t="s">
        <v>11792</v>
      </c>
      <c r="C426" s="261" t="s">
        <v>839</v>
      </c>
      <c r="D426" s="261" t="s">
        <v>1947</v>
      </c>
      <c r="E426" s="261" t="s">
        <v>11790</v>
      </c>
      <c r="F426" s="279">
        <v>300000</v>
      </c>
      <c r="G426" s="833" t="s">
        <v>12668</v>
      </c>
      <c r="H426" s="138" t="s">
        <v>12696</v>
      </c>
    </row>
    <row r="427" spans="1:8" x14ac:dyDescent="0.2">
      <c r="A427" s="832" t="s">
        <v>13365</v>
      </c>
      <c r="B427" s="261" t="s">
        <v>12597</v>
      </c>
      <c r="C427" s="261" t="s">
        <v>949</v>
      </c>
      <c r="D427" s="261" t="s">
        <v>1947</v>
      </c>
      <c r="E427" s="261" t="s">
        <v>11101</v>
      </c>
      <c r="F427" s="279">
        <v>10000</v>
      </c>
      <c r="G427" s="833" t="s">
        <v>12645</v>
      </c>
      <c r="H427" s="138"/>
    </row>
    <row r="428" spans="1:8" x14ac:dyDescent="0.2">
      <c r="A428" s="832" t="s">
        <v>13366</v>
      </c>
      <c r="B428" s="261" t="s">
        <v>12599</v>
      </c>
      <c r="C428" s="261" t="s">
        <v>949</v>
      </c>
      <c r="D428" s="261" t="s">
        <v>1947</v>
      </c>
      <c r="E428" s="261" t="s">
        <v>11101</v>
      </c>
      <c r="F428" s="279">
        <v>10000</v>
      </c>
      <c r="G428" s="833" t="s">
        <v>12651</v>
      </c>
      <c r="H428" s="138"/>
    </row>
    <row r="429" spans="1:8" x14ac:dyDescent="0.2">
      <c r="A429" s="832" t="s">
        <v>13367</v>
      </c>
      <c r="B429" s="261" t="s">
        <v>12601</v>
      </c>
      <c r="C429" s="261" t="s">
        <v>949</v>
      </c>
      <c r="D429" s="261" t="s">
        <v>1947</v>
      </c>
      <c r="E429" s="261" t="s">
        <v>11101</v>
      </c>
      <c r="F429" s="279">
        <v>10000</v>
      </c>
      <c r="G429" s="833" t="s">
        <v>12657</v>
      </c>
      <c r="H429" s="138"/>
    </row>
    <row r="430" spans="1:8" x14ac:dyDescent="0.2">
      <c r="A430" s="832" t="s">
        <v>13368</v>
      </c>
      <c r="B430" s="261" t="s">
        <v>12603</v>
      </c>
      <c r="C430" s="261" t="s">
        <v>949</v>
      </c>
      <c r="D430" s="261" t="s">
        <v>1947</v>
      </c>
      <c r="E430" s="261" t="s">
        <v>11101</v>
      </c>
      <c r="F430" s="279">
        <v>10000</v>
      </c>
      <c r="G430" s="833" t="s">
        <v>12645</v>
      </c>
      <c r="H430" s="138"/>
    </row>
    <row r="431" spans="1:8" x14ac:dyDescent="0.2">
      <c r="A431" s="832" t="s">
        <v>13369</v>
      </c>
      <c r="B431" s="261" t="s">
        <v>12605</v>
      </c>
      <c r="C431" s="261" t="s">
        <v>949</v>
      </c>
      <c r="D431" s="261" t="s">
        <v>1947</v>
      </c>
      <c r="E431" s="261" t="s">
        <v>11101</v>
      </c>
      <c r="F431" s="279">
        <v>10000</v>
      </c>
      <c r="G431" s="833" t="s">
        <v>12651</v>
      </c>
      <c r="H431" s="138"/>
    </row>
    <row r="432" spans="1:8" x14ac:dyDescent="0.2">
      <c r="A432" s="832" t="s">
        <v>13370</v>
      </c>
      <c r="B432" s="261" t="s">
        <v>12607</v>
      </c>
      <c r="C432" s="261" t="s">
        <v>949</v>
      </c>
      <c r="D432" s="261" t="s">
        <v>1947</v>
      </c>
      <c r="E432" s="261" t="s">
        <v>11101</v>
      </c>
      <c r="F432" s="279">
        <v>10000</v>
      </c>
      <c r="G432" s="833" t="s">
        <v>12657</v>
      </c>
      <c r="H432" s="138"/>
    </row>
    <row r="433" spans="1:8" x14ac:dyDescent="0.2">
      <c r="A433" s="832" t="s">
        <v>13371</v>
      </c>
      <c r="B433" s="261" t="s">
        <v>12609</v>
      </c>
      <c r="C433" s="261" t="s">
        <v>949</v>
      </c>
      <c r="D433" s="261" t="s">
        <v>1947</v>
      </c>
      <c r="E433" s="261" t="s">
        <v>11101</v>
      </c>
      <c r="F433" s="279">
        <v>25000</v>
      </c>
      <c r="G433" s="833" t="s">
        <v>12670</v>
      </c>
      <c r="H433" s="138"/>
    </row>
    <row r="434" spans="1:8" x14ac:dyDescent="0.2">
      <c r="A434" s="832" t="s">
        <v>13372</v>
      </c>
      <c r="B434" s="261" t="s">
        <v>12611</v>
      </c>
      <c r="C434" s="261" t="s">
        <v>949</v>
      </c>
      <c r="D434" s="261" t="s">
        <v>1947</v>
      </c>
      <c r="E434" s="261" t="s">
        <v>11101</v>
      </c>
      <c r="F434" s="279">
        <v>25000</v>
      </c>
      <c r="G434" s="833" t="s">
        <v>12673</v>
      </c>
      <c r="H434" s="138"/>
    </row>
    <row r="435" spans="1:8" x14ac:dyDescent="0.2">
      <c r="A435" s="832" t="s">
        <v>13373</v>
      </c>
      <c r="B435" s="261" t="s">
        <v>12613</v>
      </c>
      <c r="C435" s="261" t="s">
        <v>949</v>
      </c>
      <c r="D435" s="261" t="s">
        <v>1947</v>
      </c>
      <c r="E435" s="261" t="s">
        <v>11101</v>
      </c>
      <c r="F435" s="279">
        <v>25000</v>
      </c>
      <c r="G435" s="833" t="s">
        <v>12676</v>
      </c>
      <c r="H435" s="138"/>
    </row>
    <row r="436" spans="1:8" x14ac:dyDescent="0.2">
      <c r="A436" s="832" t="s">
        <v>13374</v>
      </c>
      <c r="B436" s="261" t="s">
        <v>12615</v>
      </c>
      <c r="C436" s="261" t="s">
        <v>949</v>
      </c>
      <c r="D436" s="261" t="s">
        <v>1947</v>
      </c>
      <c r="E436" s="261" t="s">
        <v>11101</v>
      </c>
      <c r="F436" s="279">
        <v>25000</v>
      </c>
      <c r="G436" s="833" t="s">
        <v>12670</v>
      </c>
      <c r="H436" s="138"/>
    </row>
    <row r="437" spans="1:8" x14ac:dyDescent="0.2">
      <c r="A437" s="832" t="s">
        <v>13375</v>
      </c>
      <c r="B437" s="261" t="s">
        <v>12617</v>
      </c>
      <c r="C437" s="261" t="s">
        <v>949</v>
      </c>
      <c r="D437" s="261" t="s">
        <v>1947</v>
      </c>
      <c r="E437" s="261" t="s">
        <v>11101</v>
      </c>
      <c r="F437" s="279">
        <v>25000</v>
      </c>
      <c r="G437" s="833" t="s">
        <v>12681</v>
      </c>
      <c r="H437" s="138"/>
    </row>
    <row r="438" spans="1:8" x14ac:dyDescent="0.2">
      <c r="A438" s="832" t="s">
        <v>13376</v>
      </c>
      <c r="B438" s="261" t="s">
        <v>12619</v>
      </c>
      <c r="C438" s="261" t="s">
        <v>949</v>
      </c>
      <c r="D438" s="261" t="s">
        <v>1947</v>
      </c>
      <c r="E438" s="261" t="s">
        <v>11101</v>
      </c>
      <c r="F438" s="279">
        <v>50000</v>
      </c>
      <c r="G438" s="833" t="s">
        <v>12684</v>
      </c>
      <c r="H438" s="138"/>
    </row>
    <row r="439" spans="1:8" x14ac:dyDescent="0.2">
      <c r="A439" s="832" t="s">
        <v>13377</v>
      </c>
      <c r="B439" s="261" t="s">
        <v>7211</v>
      </c>
      <c r="C439" s="261" t="s">
        <v>949</v>
      </c>
      <c r="D439" s="261" t="s">
        <v>1947</v>
      </c>
      <c r="E439" s="261" t="s">
        <v>11101</v>
      </c>
      <c r="F439" s="279">
        <v>50000</v>
      </c>
      <c r="G439" s="833" t="s">
        <v>12673</v>
      </c>
      <c r="H439" s="138"/>
    </row>
    <row r="440" spans="1:8" x14ac:dyDescent="0.2">
      <c r="A440" s="832" t="s">
        <v>13378</v>
      </c>
      <c r="B440" s="261" t="s">
        <v>1591</v>
      </c>
      <c r="C440" s="261" t="s">
        <v>949</v>
      </c>
      <c r="D440" s="261" t="s">
        <v>1947</v>
      </c>
      <c r="E440" s="261" t="s">
        <v>11101</v>
      </c>
      <c r="F440" s="279">
        <v>50000</v>
      </c>
      <c r="G440" s="833" t="s">
        <v>12676</v>
      </c>
      <c r="H440" s="138"/>
    </row>
    <row r="441" spans="1:8" x14ac:dyDescent="0.2">
      <c r="A441" s="832" t="s">
        <v>13379</v>
      </c>
      <c r="B441" s="261" t="s">
        <v>7912</v>
      </c>
      <c r="C441" s="261" t="s">
        <v>949</v>
      </c>
      <c r="D441" s="261" t="s">
        <v>1947</v>
      </c>
      <c r="E441" s="261" t="s">
        <v>11101</v>
      </c>
      <c r="F441" s="279">
        <v>50000</v>
      </c>
      <c r="G441" s="833" t="s">
        <v>12681</v>
      </c>
      <c r="H441" s="138"/>
    </row>
    <row r="442" spans="1:8" x14ac:dyDescent="0.2">
      <c r="A442" s="832" t="s">
        <v>13380</v>
      </c>
      <c r="B442" s="261" t="s">
        <v>12594</v>
      </c>
      <c r="C442" s="261" t="s">
        <v>949</v>
      </c>
      <c r="D442" s="261" t="s">
        <v>1947</v>
      </c>
      <c r="E442" s="261" t="s">
        <v>11593</v>
      </c>
      <c r="F442" s="279">
        <v>200000</v>
      </c>
      <c r="G442" s="833" t="s">
        <v>12693</v>
      </c>
      <c r="H442" s="138"/>
    </row>
    <row r="443" spans="1:8" x14ac:dyDescent="0.2">
      <c r="A443" s="832" t="s">
        <v>13381</v>
      </c>
      <c r="B443" s="261" t="s">
        <v>11792</v>
      </c>
      <c r="C443" s="261" t="s">
        <v>949</v>
      </c>
      <c r="D443" s="261" t="s">
        <v>1947</v>
      </c>
      <c r="E443" s="261" t="s">
        <v>11790</v>
      </c>
      <c r="F443" s="279">
        <v>300000</v>
      </c>
      <c r="G443" s="833" t="s">
        <v>12668</v>
      </c>
      <c r="H443" s="138" t="s">
        <v>12696</v>
      </c>
    </row>
    <row r="444" spans="1:8" x14ac:dyDescent="0.2">
      <c r="A444" s="832" t="s">
        <v>13382</v>
      </c>
      <c r="B444" s="261" t="s">
        <v>12597</v>
      </c>
      <c r="C444" s="261" t="s">
        <v>1054</v>
      </c>
      <c r="D444" s="261" t="s">
        <v>1947</v>
      </c>
      <c r="E444" s="261" t="s">
        <v>11101</v>
      </c>
      <c r="F444" s="279">
        <v>10000</v>
      </c>
      <c r="G444" s="833" t="s">
        <v>12645</v>
      </c>
      <c r="H444" s="138"/>
    </row>
    <row r="445" spans="1:8" x14ac:dyDescent="0.2">
      <c r="A445" s="832" t="s">
        <v>13383</v>
      </c>
      <c r="B445" s="261" t="s">
        <v>12599</v>
      </c>
      <c r="C445" s="261" t="s">
        <v>1054</v>
      </c>
      <c r="D445" s="261" t="s">
        <v>1947</v>
      </c>
      <c r="E445" s="261" t="s">
        <v>11101</v>
      </c>
      <c r="F445" s="279">
        <v>10000</v>
      </c>
      <c r="G445" s="833" t="s">
        <v>12651</v>
      </c>
      <c r="H445" s="138"/>
    </row>
    <row r="446" spans="1:8" x14ac:dyDescent="0.2">
      <c r="A446" s="832" t="s">
        <v>13384</v>
      </c>
      <c r="B446" s="261" t="s">
        <v>12601</v>
      </c>
      <c r="C446" s="261" t="s">
        <v>1054</v>
      </c>
      <c r="D446" s="261" t="s">
        <v>1947</v>
      </c>
      <c r="E446" s="261" t="s">
        <v>11101</v>
      </c>
      <c r="F446" s="279">
        <v>10000</v>
      </c>
      <c r="G446" s="833" t="s">
        <v>12657</v>
      </c>
      <c r="H446" s="138"/>
    </row>
    <row r="447" spans="1:8" x14ac:dyDescent="0.2">
      <c r="A447" s="832" t="s">
        <v>13385</v>
      </c>
      <c r="B447" s="261" t="s">
        <v>12603</v>
      </c>
      <c r="C447" s="261" t="s">
        <v>1054</v>
      </c>
      <c r="D447" s="261" t="s">
        <v>1947</v>
      </c>
      <c r="E447" s="261" t="s">
        <v>11101</v>
      </c>
      <c r="F447" s="279">
        <v>10000</v>
      </c>
      <c r="G447" s="833" t="s">
        <v>12645</v>
      </c>
      <c r="H447" s="138"/>
    </row>
    <row r="448" spans="1:8" x14ac:dyDescent="0.2">
      <c r="A448" s="832" t="s">
        <v>13386</v>
      </c>
      <c r="B448" s="261" t="s">
        <v>12605</v>
      </c>
      <c r="C448" s="261" t="s">
        <v>1054</v>
      </c>
      <c r="D448" s="261" t="s">
        <v>1947</v>
      </c>
      <c r="E448" s="261" t="s">
        <v>11101</v>
      </c>
      <c r="F448" s="279">
        <v>10000</v>
      </c>
      <c r="G448" s="833" t="s">
        <v>12651</v>
      </c>
      <c r="H448" s="138"/>
    </row>
    <row r="449" spans="1:8" x14ac:dyDescent="0.2">
      <c r="A449" s="832" t="s">
        <v>13387</v>
      </c>
      <c r="B449" s="261" t="s">
        <v>12607</v>
      </c>
      <c r="C449" s="261" t="s">
        <v>1054</v>
      </c>
      <c r="D449" s="261" t="s">
        <v>1947</v>
      </c>
      <c r="E449" s="261" t="s">
        <v>11101</v>
      </c>
      <c r="F449" s="279">
        <v>10000</v>
      </c>
      <c r="G449" s="833" t="s">
        <v>12657</v>
      </c>
      <c r="H449" s="138"/>
    </row>
    <row r="450" spans="1:8" x14ac:dyDescent="0.2">
      <c r="A450" s="832" t="s">
        <v>13388</v>
      </c>
      <c r="B450" s="261" t="s">
        <v>12609</v>
      </c>
      <c r="C450" s="261" t="s">
        <v>1054</v>
      </c>
      <c r="D450" s="261" t="s">
        <v>1947</v>
      </c>
      <c r="E450" s="261" t="s">
        <v>11101</v>
      </c>
      <c r="F450" s="279">
        <v>25000</v>
      </c>
      <c r="G450" s="833" t="s">
        <v>12670</v>
      </c>
      <c r="H450" s="138"/>
    </row>
    <row r="451" spans="1:8" x14ac:dyDescent="0.2">
      <c r="A451" s="832" t="s">
        <v>13389</v>
      </c>
      <c r="B451" s="261" t="s">
        <v>12611</v>
      </c>
      <c r="C451" s="261" t="s">
        <v>1054</v>
      </c>
      <c r="D451" s="261" t="s">
        <v>1947</v>
      </c>
      <c r="E451" s="261" t="s">
        <v>11101</v>
      </c>
      <c r="F451" s="279">
        <v>25000</v>
      </c>
      <c r="G451" s="833" t="s">
        <v>12673</v>
      </c>
      <c r="H451" s="138"/>
    </row>
    <row r="452" spans="1:8" x14ac:dyDescent="0.2">
      <c r="A452" s="832" t="s">
        <v>13390</v>
      </c>
      <c r="B452" s="261" t="s">
        <v>12613</v>
      </c>
      <c r="C452" s="261" t="s">
        <v>1054</v>
      </c>
      <c r="D452" s="261" t="s">
        <v>1947</v>
      </c>
      <c r="E452" s="261" t="s">
        <v>11101</v>
      </c>
      <c r="F452" s="279">
        <v>25000</v>
      </c>
      <c r="G452" s="833" t="s">
        <v>12676</v>
      </c>
      <c r="H452" s="138"/>
    </row>
    <row r="453" spans="1:8" x14ac:dyDescent="0.2">
      <c r="A453" s="832" t="s">
        <v>13391</v>
      </c>
      <c r="B453" s="261" t="s">
        <v>12615</v>
      </c>
      <c r="C453" s="261" t="s">
        <v>1054</v>
      </c>
      <c r="D453" s="261" t="s">
        <v>1947</v>
      </c>
      <c r="E453" s="261" t="s">
        <v>11101</v>
      </c>
      <c r="F453" s="279">
        <v>25000</v>
      </c>
      <c r="G453" s="833" t="s">
        <v>12670</v>
      </c>
      <c r="H453" s="138"/>
    </row>
    <row r="454" spans="1:8" x14ac:dyDescent="0.2">
      <c r="A454" s="832" t="s">
        <v>13392</v>
      </c>
      <c r="B454" s="261" t="s">
        <v>12617</v>
      </c>
      <c r="C454" s="261" t="s">
        <v>1054</v>
      </c>
      <c r="D454" s="261" t="s">
        <v>1947</v>
      </c>
      <c r="E454" s="261" t="s">
        <v>11101</v>
      </c>
      <c r="F454" s="279">
        <v>25000</v>
      </c>
      <c r="G454" s="833" t="s">
        <v>12681</v>
      </c>
      <c r="H454" s="138"/>
    </row>
    <row r="455" spans="1:8" x14ac:dyDescent="0.2">
      <c r="A455" s="832" t="s">
        <v>13393</v>
      </c>
      <c r="B455" s="261" t="s">
        <v>12619</v>
      </c>
      <c r="C455" s="261" t="s">
        <v>1054</v>
      </c>
      <c r="D455" s="261" t="s">
        <v>1947</v>
      </c>
      <c r="E455" s="261" t="s">
        <v>11101</v>
      </c>
      <c r="F455" s="279">
        <v>50000</v>
      </c>
      <c r="G455" s="833" t="s">
        <v>12684</v>
      </c>
      <c r="H455" s="138"/>
    </row>
    <row r="456" spans="1:8" x14ac:dyDescent="0.2">
      <c r="A456" s="832" t="s">
        <v>13394</v>
      </c>
      <c r="B456" s="261" t="s">
        <v>7211</v>
      </c>
      <c r="C456" s="261" t="s">
        <v>1054</v>
      </c>
      <c r="D456" s="261" t="s">
        <v>1947</v>
      </c>
      <c r="E456" s="261" t="s">
        <v>11101</v>
      </c>
      <c r="F456" s="279">
        <v>50000</v>
      </c>
      <c r="G456" s="833" t="s">
        <v>12673</v>
      </c>
      <c r="H456" s="138"/>
    </row>
    <row r="457" spans="1:8" x14ac:dyDescent="0.2">
      <c r="A457" s="832" t="s">
        <v>13395</v>
      </c>
      <c r="B457" s="261" t="s">
        <v>1591</v>
      </c>
      <c r="C457" s="261" t="s">
        <v>1054</v>
      </c>
      <c r="D457" s="261" t="s">
        <v>1947</v>
      </c>
      <c r="E457" s="261" t="s">
        <v>11101</v>
      </c>
      <c r="F457" s="279">
        <v>50000</v>
      </c>
      <c r="G457" s="833" t="s">
        <v>12676</v>
      </c>
      <c r="H457" s="138"/>
    </row>
    <row r="458" spans="1:8" x14ac:dyDescent="0.2">
      <c r="A458" s="832" t="s">
        <v>13396</v>
      </c>
      <c r="B458" s="261" t="s">
        <v>7912</v>
      </c>
      <c r="C458" s="261" t="s">
        <v>1054</v>
      </c>
      <c r="D458" s="261" t="s">
        <v>1947</v>
      </c>
      <c r="E458" s="261" t="s">
        <v>11101</v>
      </c>
      <c r="F458" s="279">
        <v>50000</v>
      </c>
      <c r="G458" s="833" t="s">
        <v>12681</v>
      </c>
      <c r="H458" s="138"/>
    </row>
    <row r="459" spans="1:8" x14ac:dyDescent="0.2">
      <c r="A459" s="832" t="s">
        <v>13397</v>
      </c>
      <c r="B459" s="261" t="s">
        <v>12594</v>
      </c>
      <c r="C459" s="261" t="s">
        <v>1054</v>
      </c>
      <c r="D459" s="261" t="s">
        <v>1947</v>
      </c>
      <c r="E459" s="261" t="s">
        <v>11593</v>
      </c>
      <c r="F459" s="279">
        <v>200000</v>
      </c>
      <c r="G459" s="833" t="s">
        <v>12693</v>
      </c>
      <c r="H459" s="138"/>
    </row>
    <row r="460" spans="1:8" x14ac:dyDescent="0.2">
      <c r="A460" s="832" t="s">
        <v>13398</v>
      </c>
      <c r="B460" s="261" t="s">
        <v>11792</v>
      </c>
      <c r="C460" s="261" t="s">
        <v>1054</v>
      </c>
      <c r="D460" s="261" t="s">
        <v>1947</v>
      </c>
      <c r="E460" s="261" t="s">
        <v>11790</v>
      </c>
      <c r="F460" s="279">
        <v>300000</v>
      </c>
      <c r="G460" s="833" t="s">
        <v>12668</v>
      </c>
      <c r="H460" s="138" t="s">
        <v>12696</v>
      </c>
    </row>
    <row r="461" spans="1:8" x14ac:dyDescent="0.2">
      <c r="A461" s="832" t="s">
        <v>13399</v>
      </c>
      <c r="B461" s="261" t="s">
        <v>12597</v>
      </c>
      <c r="C461" s="261" t="s">
        <v>123</v>
      </c>
      <c r="D461" s="261" t="s">
        <v>2837</v>
      </c>
      <c r="E461" s="261" t="s">
        <v>11101</v>
      </c>
      <c r="F461" s="279">
        <v>10000</v>
      </c>
      <c r="G461" s="833" t="s">
        <v>12645</v>
      </c>
      <c r="H461" s="138"/>
    </row>
    <row r="462" spans="1:8" x14ac:dyDescent="0.2">
      <c r="A462" s="832" t="s">
        <v>13400</v>
      </c>
      <c r="B462" s="261" t="s">
        <v>12599</v>
      </c>
      <c r="C462" s="261" t="s">
        <v>123</v>
      </c>
      <c r="D462" s="261" t="s">
        <v>2837</v>
      </c>
      <c r="E462" s="261" t="s">
        <v>11101</v>
      </c>
      <c r="F462" s="279">
        <v>10000</v>
      </c>
      <c r="G462" s="833" t="s">
        <v>12651</v>
      </c>
      <c r="H462" s="138"/>
    </row>
    <row r="463" spans="1:8" x14ac:dyDescent="0.2">
      <c r="A463" s="832" t="s">
        <v>13401</v>
      </c>
      <c r="B463" s="261" t="s">
        <v>12601</v>
      </c>
      <c r="C463" s="261" t="s">
        <v>123</v>
      </c>
      <c r="D463" s="261" t="s">
        <v>2837</v>
      </c>
      <c r="E463" s="261" t="s">
        <v>11101</v>
      </c>
      <c r="F463" s="279">
        <v>10000</v>
      </c>
      <c r="G463" s="833" t="s">
        <v>12657</v>
      </c>
      <c r="H463" s="138"/>
    </row>
    <row r="464" spans="1:8" x14ac:dyDescent="0.2">
      <c r="A464" s="832" t="s">
        <v>13402</v>
      </c>
      <c r="B464" s="261" t="s">
        <v>12603</v>
      </c>
      <c r="C464" s="261" t="s">
        <v>123</v>
      </c>
      <c r="D464" s="261" t="s">
        <v>2837</v>
      </c>
      <c r="E464" s="261" t="s">
        <v>11101</v>
      </c>
      <c r="F464" s="279">
        <v>10000</v>
      </c>
      <c r="G464" s="833" t="s">
        <v>12645</v>
      </c>
      <c r="H464" s="138"/>
    </row>
    <row r="465" spans="1:8" x14ac:dyDescent="0.2">
      <c r="A465" s="832" t="s">
        <v>13403</v>
      </c>
      <c r="B465" s="261" t="s">
        <v>12605</v>
      </c>
      <c r="C465" s="261" t="s">
        <v>123</v>
      </c>
      <c r="D465" s="261" t="s">
        <v>2837</v>
      </c>
      <c r="E465" s="261" t="s">
        <v>11101</v>
      </c>
      <c r="F465" s="279">
        <v>10000</v>
      </c>
      <c r="G465" s="833" t="s">
        <v>12651</v>
      </c>
      <c r="H465" s="138"/>
    </row>
    <row r="466" spans="1:8" x14ac:dyDescent="0.2">
      <c r="A466" s="832" t="s">
        <v>13404</v>
      </c>
      <c r="B466" s="261" t="s">
        <v>12607</v>
      </c>
      <c r="C466" s="261" t="s">
        <v>123</v>
      </c>
      <c r="D466" s="261" t="s">
        <v>2837</v>
      </c>
      <c r="E466" s="261" t="s">
        <v>11101</v>
      </c>
      <c r="F466" s="279">
        <v>10000</v>
      </c>
      <c r="G466" s="833" t="s">
        <v>12657</v>
      </c>
      <c r="H466" s="138"/>
    </row>
    <row r="467" spans="1:8" x14ac:dyDescent="0.2">
      <c r="A467" s="832" t="s">
        <v>13405</v>
      </c>
      <c r="B467" s="261" t="s">
        <v>12609</v>
      </c>
      <c r="C467" s="261" t="s">
        <v>123</v>
      </c>
      <c r="D467" s="261" t="s">
        <v>2837</v>
      </c>
      <c r="E467" s="261" t="s">
        <v>11101</v>
      </c>
      <c r="F467" s="279">
        <v>25000</v>
      </c>
      <c r="G467" s="833" t="s">
        <v>12670</v>
      </c>
      <c r="H467" s="138"/>
    </row>
    <row r="468" spans="1:8" x14ac:dyDescent="0.2">
      <c r="A468" s="832" t="s">
        <v>13406</v>
      </c>
      <c r="B468" s="261" t="s">
        <v>12611</v>
      </c>
      <c r="C468" s="261" t="s">
        <v>123</v>
      </c>
      <c r="D468" s="261" t="s">
        <v>2837</v>
      </c>
      <c r="E468" s="261" t="s">
        <v>11101</v>
      </c>
      <c r="F468" s="279">
        <v>25000</v>
      </c>
      <c r="G468" s="833" t="s">
        <v>12673</v>
      </c>
      <c r="H468" s="138"/>
    </row>
    <row r="469" spans="1:8" x14ac:dyDescent="0.2">
      <c r="A469" s="832" t="s">
        <v>13407</v>
      </c>
      <c r="B469" s="261" t="s">
        <v>12613</v>
      </c>
      <c r="C469" s="261" t="s">
        <v>123</v>
      </c>
      <c r="D469" s="261" t="s">
        <v>2837</v>
      </c>
      <c r="E469" s="261" t="s">
        <v>11101</v>
      </c>
      <c r="F469" s="279">
        <v>25000</v>
      </c>
      <c r="G469" s="833" t="s">
        <v>12676</v>
      </c>
      <c r="H469" s="138"/>
    </row>
    <row r="470" spans="1:8" x14ac:dyDescent="0.2">
      <c r="A470" s="832" t="s">
        <v>13408</v>
      </c>
      <c r="B470" s="261" t="s">
        <v>12615</v>
      </c>
      <c r="C470" s="261" t="s">
        <v>123</v>
      </c>
      <c r="D470" s="261" t="s">
        <v>2837</v>
      </c>
      <c r="E470" s="261" t="s">
        <v>11101</v>
      </c>
      <c r="F470" s="279">
        <v>25000</v>
      </c>
      <c r="G470" s="833" t="s">
        <v>12670</v>
      </c>
      <c r="H470" s="138"/>
    </row>
    <row r="471" spans="1:8" x14ac:dyDescent="0.2">
      <c r="A471" s="832" t="s">
        <v>13409</v>
      </c>
      <c r="B471" s="261" t="s">
        <v>12617</v>
      </c>
      <c r="C471" s="261" t="s">
        <v>123</v>
      </c>
      <c r="D471" s="261" t="s">
        <v>2837</v>
      </c>
      <c r="E471" s="261" t="s">
        <v>11101</v>
      </c>
      <c r="F471" s="279">
        <v>25000</v>
      </c>
      <c r="G471" s="833" t="s">
        <v>12681</v>
      </c>
      <c r="H471" s="138"/>
    </row>
    <row r="472" spans="1:8" x14ac:dyDescent="0.2">
      <c r="A472" s="832" t="s">
        <v>13410</v>
      </c>
      <c r="B472" s="261" t="s">
        <v>12619</v>
      </c>
      <c r="C472" s="261" t="s">
        <v>123</v>
      </c>
      <c r="D472" s="261" t="s">
        <v>2837</v>
      </c>
      <c r="E472" s="261" t="s">
        <v>11101</v>
      </c>
      <c r="F472" s="279">
        <v>50000</v>
      </c>
      <c r="G472" s="833" t="s">
        <v>12684</v>
      </c>
      <c r="H472" s="138"/>
    </row>
    <row r="473" spans="1:8" x14ac:dyDescent="0.2">
      <c r="A473" s="832" t="s">
        <v>13411</v>
      </c>
      <c r="B473" s="261" t="s">
        <v>7211</v>
      </c>
      <c r="C473" s="261" t="s">
        <v>123</v>
      </c>
      <c r="D473" s="261" t="s">
        <v>2837</v>
      </c>
      <c r="E473" s="261" t="s">
        <v>11101</v>
      </c>
      <c r="F473" s="279">
        <v>50000</v>
      </c>
      <c r="G473" s="833" t="s">
        <v>12673</v>
      </c>
      <c r="H473" s="138"/>
    </row>
    <row r="474" spans="1:8" x14ac:dyDescent="0.2">
      <c r="A474" s="832" t="s">
        <v>13412</v>
      </c>
      <c r="B474" s="261" t="s">
        <v>1591</v>
      </c>
      <c r="C474" s="261" t="s">
        <v>123</v>
      </c>
      <c r="D474" s="261" t="s">
        <v>2837</v>
      </c>
      <c r="E474" s="261" t="s">
        <v>11101</v>
      </c>
      <c r="F474" s="279">
        <v>50000</v>
      </c>
      <c r="G474" s="833" t="s">
        <v>12676</v>
      </c>
      <c r="H474" s="138"/>
    </row>
    <row r="475" spans="1:8" x14ac:dyDescent="0.2">
      <c r="A475" s="832" t="s">
        <v>13413</v>
      </c>
      <c r="B475" s="261" t="s">
        <v>7912</v>
      </c>
      <c r="C475" s="261" t="s">
        <v>123</v>
      </c>
      <c r="D475" s="261" t="s">
        <v>2837</v>
      </c>
      <c r="E475" s="261" t="s">
        <v>11101</v>
      </c>
      <c r="F475" s="279">
        <v>50000</v>
      </c>
      <c r="G475" s="833" t="s">
        <v>12681</v>
      </c>
      <c r="H475" s="138"/>
    </row>
    <row r="476" spans="1:8" x14ac:dyDescent="0.2">
      <c r="A476" s="832" t="s">
        <v>13414</v>
      </c>
      <c r="B476" s="261" t="s">
        <v>12594</v>
      </c>
      <c r="C476" s="261" t="s">
        <v>123</v>
      </c>
      <c r="D476" s="261" t="s">
        <v>2837</v>
      </c>
      <c r="E476" s="261" t="s">
        <v>11593</v>
      </c>
      <c r="F476" s="279">
        <v>200000</v>
      </c>
      <c r="G476" s="833" t="s">
        <v>12693</v>
      </c>
      <c r="H476" s="138"/>
    </row>
    <row r="477" spans="1:8" x14ac:dyDescent="0.2">
      <c r="A477" s="832" t="s">
        <v>13415</v>
      </c>
      <c r="B477" s="261" t="s">
        <v>11792</v>
      </c>
      <c r="C477" s="261" t="s">
        <v>123</v>
      </c>
      <c r="D477" s="261" t="s">
        <v>2837</v>
      </c>
      <c r="E477" s="261" t="s">
        <v>11790</v>
      </c>
      <c r="F477" s="279">
        <v>300000</v>
      </c>
      <c r="G477" s="833" t="s">
        <v>12668</v>
      </c>
      <c r="H477" s="138" t="s">
        <v>12696</v>
      </c>
    </row>
    <row r="478" spans="1:8" x14ac:dyDescent="0.2">
      <c r="A478" s="832" t="s">
        <v>13416</v>
      </c>
      <c r="B478" s="261" t="s">
        <v>12597</v>
      </c>
      <c r="C478" s="261" t="s">
        <v>330</v>
      </c>
      <c r="D478" s="261" t="s">
        <v>2837</v>
      </c>
      <c r="E478" s="261" t="s">
        <v>11101</v>
      </c>
      <c r="F478" s="279">
        <v>10000</v>
      </c>
      <c r="G478" s="833" t="s">
        <v>12645</v>
      </c>
      <c r="H478" s="138"/>
    </row>
    <row r="479" spans="1:8" x14ac:dyDescent="0.2">
      <c r="A479" s="832" t="s">
        <v>13417</v>
      </c>
      <c r="B479" s="261" t="s">
        <v>12599</v>
      </c>
      <c r="C479" s="261" t="s">
        <v>330</v>
      </c>
      <c r="D479" s="261" t="s">
        <v>2837</v>
      </c>
      <c r="E479" s="261" t="s">
        <v>11101</v>
      </c>
      <c r="F479" s="279">
        <v>10000</v>
      </c>
      <c r="G479" s="833" t="s">
        <v>12651</v>
      </c>
      <c r="H479" s="138"/>
    </row>
    <row r="480" spans="1:8" x14ac:dyDescent="0.2">
      <c r="A480" s="832" t="s">
        <v>13418</v>
      </c>
      <c r="B480" s="261" t="s">
        <v>12601</v>
      </c>
      <c r="C480" s="261" t="s">
        <v>330</v>
      </c>
      <c r="D480" s="261" t="s">
        <v>2837</v>
      </c>
      <c r="E480" s="261" t="s">
        <v>11101</v>
      </c>
      <c r="F480" s="279">
        <v>10000</v>
      </c>
      <c r="G480" s="833" t="s">
        <v>12657</v>
      </c>
      <c r="H480" s="138"/>
    </row>
    <row r="481" spans="1:8" x14ac:dyDescent="0.2">
      <c r="A481" s="832" t="s">
        <v>13419</v>
      </c>
      <c r="B481" s="261" t="s">
        <v>12603</v>
      </c>
      <c r="C481" s="261" t="s">
        <v>330</v>
      </c>
      <c r="D481" s="261" t="s">
        <v>2837</v>
      </c>
      <c r="E481" s="261" t="s">
        <v>11101</v>
      </c>
      <c r="F481" s="279">
        <v>10000</v>
      </c>
      <c r="G481" s="833" t="s">
        <v>12645</v>
      </c>
      <c r="H481" s="138"/>
    </row>
    <row r="482" spans="1:8" x14ac:dyDescent="0.2">
      <c r="A482" s="832" t="s">
        <v>13420</v>
      </c>
      <c r="B482" s="261" t="s">
        <v>12605</v>
      </c>
      <c r="C482" s="261" t="s">
        <v>330</v>
      </c>
      <c r="D482" s="261" t="s">
        <v>2837</v>
      </c>
      <c r="E482" s="261" t="s">
        <v>11101</v>
      </c>
      <c r="F482" s="279">
        <v>10000</v>
      </c>
      <c r="G482" s="833" t="s">
        <v>12651</v>
      </c>
      <c r="H482" s="138"/>
    </row>
    <row r="483" spans="1:8" x14ac:dyDescent="0.2">
      <c r="A483" s="832" t="s">
        <v>13421</v>
      </c>
      <c r="B483" s="261" t="s">
        <v>12607</v>
      </c>
      <c r="C483" s="261" t="s">
        <v>330</v>
      </c>
      <c r="D483" s="261" t="s">
        <v>2837</v>
      </c>
      <c r="E483" s="261" t="s">
        <v>11101</v>
      </c>
      <c r="F483" s="279">
        <v>10000</v>
      </c>
      <c r="G483" s="833" t="s">
        <v>12657</v>
      </c>
      <c r="H483" s="138"/>
    </row>
    <row r="484" spans="1:8" x14ac:dyDescent="0.2">
      <c r="A484" s="832" t="s">
        <v>13422</v>
      </c>
      <c r="B484" s="261" t="s">
        <v>12609</v>
      </c>
      <c r="C484" s="261" t="s">
        <v>330</v>
      </c>
      <c r="D484" s="261" t="s">
        <v>2837</v>
      </c>
      <c r="E484" s="261" t="s">
        <v>11101</v>
      </c>
      <c r="F484" s="279">
        <v>25000</v>
      </c>
      <c r="G484" s="833" t="s">
        <v>12670</v>
      </c>
      <c r="H484" s="138"/>
    </row>
    <row r="485" spans="1:8" x14ac:dyDescent="0.2">
      <c r="A485" s="832" t="s">
        <v>13423</v>
      </c>
      <c r="B485" s="261" t="s">
        <v>12611</v>
      </c>
      <c r="C485" s="261" t="s">
        <v>330</v>
      </c>
      <c r="D485" s="261" t="s">
        <v>2837</v>
      </c>
      <c r="E485" s="261" t="s">
        <v>11101</v>
      </c>
      <c r="F485" s="279">
        <v>25000</v>
      </c>
      <c r="G485" s="833" t="s">
        <v>12673</v>
      </c>
      <c r="H485" s="138"/>
    </row>
    <row r="486" spans="1:8" x14ac:dyDescent="0.2">
      <c r="A486" s="832" t="s">
        <v>13424</v>
      </c>
      <c r="B486" s="261" t="s">
        <v>12613</v>
      </c>
      <c r="C486" s="261" t="s">
        <v>330</v>
      </c>
      <c r="D486" s="261" t="s">
        <v>2837</v>
      </c>
      <c r="E486" s="261" t="s">
        <v>11101</v>
      </c>
      <c r="F486" s="279">
        <v>25000</v>
      </c>
      <c r="G486" s="833" t="s">
        <v>12676</v>
      </c>
      <c r="H486" s="138"/>
    </row>
    <row r="487" spans="1:8" x14ac:dyDescent="0.2">
      <c r="A487" s="832" t="s">
        <v>13425</v>
      </c>
      <c r="B487" s="261" t="s">
        <v>12615</v>
      </c>
      <c r="C487" s="261" t="s">
        <v>330</v>
      </c>
      <c r="D487" s="261" t="s">
        <v>2837</v>
      </c>
      <c r="E487" s="261" t="s">
        <v>11101</v>
      </c>
      <c r="F487" s="279">
        <v>25000</v>
      </c>
      <c r="G487" s="833" t="s">
        <v>12670</v>
      </c>
      <c r="H487" s="138"/>
    </row>
    <row r="488" spans="1:8" x14ac:dyDescent="0.2">
      <c r="A488" s="832" t="s">
        <v>13426</v>
      </c>
      <c r="B488" s="261" t="s">
        <v>12617</v>
      </c>
      <c r="C488" s="261" t="s">
        <v>330</v>
      </c>
      <c r="D488" s="261" t="s">
        <v>2837</v>
      </c>
      <c r="E488" s="261" t="s">
        <v>11101</v>
      </c>
      <c r="F488" s="279">
        <v>25000</v>
      </c>
      <c r="G488" s="833" t="s">
        <v>12681</v>
      </c>
      <c r="H488" s="138"/>
    </row>
    <row r="489" spans="1:8" x14ac:dyDescent="0.2">
      <c r="A489" s="832" t="s">
        <v>13427</v>
      </c>
      <c r="B489" s="261" t="s">
        <v>12619</v>
      </c>
      <c r="C489" s="261" t="s">
        <v>330</v>
      </c>
      <c r="D489" s="261" t="s">
        <v>2837</v>
      </c>
      <c r="E489" s="261" t="s">
        <v>11101</v>
      </c>
      <c r="F489" s="279">
        <v>50000</v>
      </c>
      <c r="G489" s="833" t="s">
        <v>12684</v>
      </c>
      <c r="H489" s="138"/>
    </row>
    <row r="490" spans="1:8" x14ac:dyDescent="0.2">
      <c r="A490" s="832" t="s">
        <v>13428</v>
      </c>
      <c r="B490" s="261" t="s">
        <v>7211</v>
      </c>
      <c r="C490" s="261" t="s">
        <v>330</v>
      </c>
      <c r="D490" s="261" t="s">
        <v>2837</v>
      </c>
      <c r="E490" s="261" t="s">
        <v>11101</v>
      </c>
      <c r="F490" s="279">
        <v>50000</v>
      </c>
      <c r="G490" s="833" t="s">
        <v>12673</v>
      </c>
      <c r="H490" s="138"/>
    </row>
    <row r="491" spans="1:8" x14ac:dyDescent="0.2">
      <c r="A491" s="832" t="s">
        <v>13429</v>
      </c>
      <c r="B491" s="261" t="s">
        <v>1591</v>
      </c>
      <c r="C491" s="261" t="s">
        <v>330</v>
      </c>
      <c r="D491" s="261" t="s">
        <v>2837</v>
      </c>
      <c r="E491" s="261" t="s">
        <v>11101</v>
      </c>
      <c r="F491" s="279">
        <v>50000</v>
      </c>
      <c r="G491" s="833" t="s">
        <v>12676</v>
      </c>
      <c r="H491" s="138"/>
    </row>
    <row r="492" spans="1:8" x14ac:dyDescent="0.2">
      <c r="A492" s="832" t="s">
        <v>13430</v>
      </c>
      <c r="B492" s="261" t="s">
        <v>7912</v>
      </c>
      <c r="C492" s="261" t="s">
        <v>330</v>
      </c>
      <c r="D492" s="261" t="s">
        <v>2837</v>
      </c>
      <c r="E492" s="261" t="s">
        <v>11101</v>
      </c>
      <c r="F492" s="279">
        <v>50000</v>
      </c>
      <c r="G492" s="833" t="s">
        <v>12681</v>
      </c>
      <c r="H492" s="138"/>
    </row>
    <row r="493" spans="1:8" x14ac:dyDescent="0.2">
      <c r="A493" s="832" t="s">
        <v>13431</v>
      </c>
      <c r="B493" s="261" t="s">
        <v>12594</v>
      </c>
      <c r="C493" s="261" t="s">
        <v>330</v>
      </c>
      <c r="D493" s="261" t="s">
        <v>2837</v>
      </c>
      <c r="E493" s="261" t="s">
        <v>11593</v>
      </c>
      <c r="F493" s="279">
        <v>200000</v>
      </c>
      <c r="G493" s="833" t="s">
        <v>12693</v>
      </c>
      <c r="H493" s="138"/>
    </row>
    <row r="494" spans="1:8" x14ac:dyDescent="0.2">
      <c r="A494" s="832" t="s">
        <v>13432</v>
      </c>
      <c r="B494" s="261" t="s">
        <v>11792</v>
      </c>
      <c r="C494" s="261" t="s">
        <v>330</v>
      </c>
      <c r="D494" s="261" t="s">
        <v>2837</v>
      </c>
      <c r="E494" s="261" t="s">
        <v>11790</v>
      </c>
      <c r="F494" s="279">
        <v>300000</v>
      </c>
      <c r="G494" s="833" t="s">
        <v>12668</v>
      </c>
      <c r="H494" s="138" t="s">
        <v>12696</v>
      </c>
    </row>
    <row r="495" spans="1:8" x14ac:dyDescent="0.2">
      <c r="A495" s="832" t="s">
        <v>13433</v>
      </c>
      <c r="B495" s="261" t="s">
        <v>12597</v>
      </c>
      <c r="C495" s="261" t="s">
        <v>429</v>
      </c>
      <c r="D495" s="261" t="s">
        <v>2837</v>
      </c>
      <c r="E495" s="261" t="s">
        <v>11101</v>
      </c>
      <c r="F495" s="279">
        <v>10000</v>
      </c>
      <c r="G495" s="833" t="s">
        <v>12645</v>
      </c>
      <c r="H495" s="138"/>
    </row>
    <row r="496" spans="1:8" x14ac:dyDescent="0.2">
      <c r="A496" s="832" t="s">
        <v>13434</v>
      </c>
      <c r="B496" s="261" t="s">
        <v>12599</v>
      </c>
      <c r="C496" s="261" t="s">
        <v>429</v>
      </c>
      <c r="D496" s="261" t="s">
        <v>2837</v>
      </c>
      <c r="E496" s="261" t="s">
        <v>11101</v>
      </c>
      <c r="F496" s="279">
        <v>10000</v>
      </c>
      <c r="G496" s="833" t="s">
        <v>12651</v>
      </c>
      <c r="H496" s="138"/>
    </row>
    <row r="497" spans="1:8" x14ac:dyDescent="0.2">
      <c r="A497" s="832" t="s">
        <v>13435</v>
      </c>
      <c r="B497" s="261" t="s">
        <v>12601</v>
      </c>
      <c r="C497" s="261" t="s">
        <v>429</v>
      </c>
      <c r="D497" s="261" t="s">
        <v>2837</v>
      </c>
      <c r="E497" s="261" t="s">
        <v>11101</v>
      </c>
      <c r="F497" s="279">
        <v>10000</v>
      </c>
      <c r="G497" s="833" t="s">
        <v>12657</v>
      </c>
      <c r="H497" s="138"/>
    </row>
    <row r="498" spans="1:8" x14ac:dyDescent="0.2">
      <c r="A498" s="832" t="s">
        <v>13436</v>
      </c>
      <c r="B498" s="261" t="s">
        <v>12603</v>
      </c>
      <c r="C498" s="261" t="s">
        <v>429</v>
      </c>
      <c r="D498" s="261" t="s">
        <v>2837</v>
      </c>
      <c r="E498" s="261" t="s">
        <v>11101</v>
      </c>
      <c r="F498" s="279">
        <v>10000</v>
      </c>
      <c r="G498" s="833" t="s">
        <v>12645</v>
      </c>
      <c r="H498" s="138"/>
    </row>
    <row r="499" spans="1:8" x14ac:dyDescent="0.2">
      <c r="A499" s="832" t="s">
        <v>13437</v>
      </c>
      <c r="B499" s="261" t="s">
        <v>12605</v>
      </c>
      <c r="C499" s="261" t="s">
        <v>429</v>
      </c>
      <c r="D499" s="261" t="s">
        <v>2837</v>
      </c>
      <c r="E499" s="261" t="s">
        <v>11101</v>
      </c>
      <c r="F499" s="279">
        <v>10000</v>
      </c>
      <c r="G499" s="833" t="s">
        <v>12651</v>
      </c>
      <c r="H499" s="138"/>
    </row>
    <row r="500" spans="1:8" x14ac:dyDescent="0.2">
      <c r="A500" s="832" t="s">
        <v>13438</v>
      </c>
      <c r="B500" s="261" t="s">
        <v>12607</v>
      </c>
      <c r="C500" s="261" t="s">
        <v>429</v>
      </c>
      <c r="D500" s="261" t="s">
        <v>2837</v>
      </c>
      <c r="E500" s="261" t="s">
        <v>11101</v>
      </c>
      <c r="F500" s="279">
        <v>10000</v>
      </c>
      <c r="G500" s="833" t="s">
        <v>12657</v>
      </c>
      <c r="H500" s="138"/>
    </row>
    <row r="501" spans="1:8" x14ac:dyDescent="0.2">
      <c r="A501" s="832" t="s">
        <v>13439</v>
      </c>
      <c r="B501" s="261" t="s">
        <v>12609</v>
      </c>
      <c r="C501" s="261" t="s">
        <v>429</v>
      </c>
      <c r="D501" s="261" t="s">
        <v>2837</v>
      </c>
      <c r="E501" s="261" t="s">
        <v>11101</v>
      </c>
      <c r="F501" s="279">
        <v>25000</v>
      </c>
      <c r="G501" s="833" t="s">
        <v>12670</v>
      </c>
      <c r="H501" s="138"/>
    </row>
    <row r="502" spans="1:8" x14ac:dyDescent="0.2">
      <c r="A502" s="832" t="s">
        <v>13440</v>
      </c>
      <c r="B502" s="261" t="s">
        <v>12611</v>
      </c>
      <c r="C502" s="261" t="s">
        <v>429</v>
      </c>
      <c r="D502" s="261" t="s">
        <v>2837</v>
      </c>
      <c r="E502" s="261" t="s">
        <v>11101</v>
      </c>
      <c r="F502" s="279">
        <v>25000</v>
      </c>
      <c r="G502" s="833" t="s">
        <v>12673</v>
      </c>
      <c r="H502" s="138"/>
    </row>
    <row r="503" spans="1:8" x14ac:dyDescent="0.2">
      <c r="A503" s="832" t="s">
        <v>13441</v>
      </c>
      <c r="B503" s="261" t="s">
        <v>12613</v>
      </c>
      <c r="C503" s="261" t="s">
        <v>429</v>
      </c>
      <c r="D503" s="261" t="s">
        <v>2837</v>
      </c>
      <c r="E503" s="261" t="s">
        <v>11101</v>
      </c>
      <c r="F503" s="279">
        <v>25000</v>
      </c>
      <c r="G503" s="833" t="s">
        <v>12676</v>
      </c>
      <c r="H503" s="138"/>
    </row>
    <row r="504" spans="1:8" x14ac:dyDescent="0.2">
      <c r="A504" s="832" t="s">
        <v>13442</v>
      </c>
      <c r="B504" s="261" t="s">
        <v>12615</v>
      </c>
      <c r="C504" s="261" t="s">
        <v>429</v>
      </c>
      <c r="D504" s="261" t="s">
        <v>2837</v>
      </c>
      <c r="E504" s="261" t="s">
        <v>11101</v>
      </c>
      <c r="F504" s="279">
        <v>25000</v>
      </c>
      <c r="G504" s="833" t="s">
        <v>12670</v>
      </c>
      <c r="H504" s="138"/>
    </row>
    <row r="505" spans="1:8" x14ac:dyDescent="0.2">
      <c r="A505" s="832" t="s">
        <v>13443</v>
      </c>
      <c r="B505" s="261" t="s">
        <v>12617</v>
      </c>
      <c r="C505" s="261" t="s">
        <v>429</v>
      </c>
      <c r="D505" s="261" t="s">
        <v>2837</v>
      </c>
      <c r="E505" s="261" t="s">
        <v>11101</v>
      </c>
      <c r="F505" s="279">
        <v>25000</v>
      </c>
      <c r="G505" s="833" t="s">
        <v>12681</v>
      </c>
      <c r="H505" s="138"/>
    </row>
    <row r="506" spans="1:8" x14ac:dyDescent="0.2">
      <c r="A506" s="832" t="s">
        <v>13444</v>
      </c>
      <c r="B506" s="261" t="s">
        <v>12619</v>
      </c>
      <c r="C506" s="261" t="s">
        <v>429</v>
      </c>
      <c r="D506" s="261" t="s">
        <v>2837</v>
      </c>
      <c r="E506" s="261" t="s">
        <v>11101</v>
      </c>
      <c r="F506" s="279">
        <v>50000</v>
      </c>
      <c r="G506" s="833" t="s">
        <v>12684</v>
      </c>
      <c r="H506" s="138"/>
    </row>
    <row r="507" spans="1:8" x14ac:dyDescent="0.2">
      <c r="A507" s="832" t="s">
        <v>13445</v>
      </c>
      <c r="B507" s="261" t="s">
        <v>7211</v>
      </c>
      <c r="C507" s="261" t="s">
        <v>429</v>
      </c>
      <c r="D507" s="261" t="s">
        <v>2837</v>
      </c>
      <c r="E507" s="261" t="s">
        <v>11101</v>
      </c>
      <c r="F507" s="279">
        <v>50000</v>
      </c>
      <c r="G507" s="833" t="s">
        <v>12673</v>
      </c>
      <c r="H507" s="138"/>
    </row>
    <row r="508" spans="1:8" x14ac:dyDescent="0.2">
      <c r="A508" s="832" t="s">
        <v>13446</v>
      </c>
      <c r="B508" s="261" t="s">
        <v>1591</v>
      </c>
      <c r="C508" s="261" t="s">
        <v>429</v>
      </c>
      <c r="D508" s="261" t="s">
        <v>2837</v>
      </c>
      <c r="E508" s="261" t="s">
        <v>11101</v>
      </c>
      <c r="F508" s="279">
        <v>50000</v>
      </c>
      <c r="G508" s="833" t="s">
        <v>12676</v>
      </c>
      <c r="H508" s="138"/>
    </row>
    <row r="509" spans="1:8" x14ac:dyDescent="0.2">
      <c r="A509" s="832" t="s">
        <v>13447</v>
      </c>
      <c r="B509" s="261" t="s">
        <v>7912</v>
      </c>
      <c r="C509" s="261" t="s">
        <v>429</v>
      </c>
      <c r="D509" s="261" t="s">
        <v>2837</v>
      </c>
      <c r="E509" s="261" t="s">
        <v>11101</v>
      </c>
      <c r="F509" s="279">
        <v>50000</v>
      </c>
      <c r="G509" s="833" t="s">
        <v>12681</v>
      </c>
      <c r="H509" s="138"/>
    </row>
    <row r="510" spans="1:8" x14ac:dyDescent="0.2">
      <c r="A510" s="832" t="s">
        <v>13448</v>
      </c>
      <c r="B510" s="261" t="s">
        <v>12594</v>
      </c>
      <c r="C510" s="261" t="s">
        <v>429</v>
      </c>
      <c r="D510" s="261" t="s">
        <v>2837</v>
      </c>
      <c r="E510" s="261" t="s">
        <v>11593</v>
      </c>
      <c r="F510" s="279">
        <v>200000</v>
      </c>
      <c r="G510" s="833" t="s">
        <v>12693</v>
      </c>
      <c r="H510" s="138"/>
    </row>
    <row r="511" spans="1:8" x14ac:dyDescent="0.2">
      <c r="A511" s="832" t="s">
        <v>13449</v>
      </c>
      <c r="B511" s="261" t="s">
        <v>11792</v>
      </c>
      <c r="C511" s="261" t="s">
        <v>429</v>
      </c>
      <c r="D511" s="261" t="s">
        <v>2837</v>
      </c>
      <c r="E511" s="261" t="s">
        <v>11790</v>
      </c>
      <c r="F511" s="279">
        <v>300000</v>
      </c>
      <c r="G511" s="833" t="s">
        <v>12668</v>
      </c>
      <c r="H511" s="138" t="s">
        <v>12696</v>
      </c>
    </row>
    <row r="512" spans="1:8" x14ac:dyDescent="0.2">
      <c r="A512" s="832" t="s">
        <v>13450</v>
      </c>
      <c r="B512" s="261" t="s">
        <v>12597</v>
      </c>
      <c r="C512" s="261" t="s">
        <v>543</v>
      </c>
      <c r="D512" s="261" t="s">
        <v>2837</v>
      </c>
      <c r="E512" s="261" t="s">
        <v>11101</v>
      </c>
      <c r="F512" s="279">
        <v>10000</v>
      </c>
      <c r="G512" s="833" t="s">
        <v>12645</v>
      </c>
      <c r="H512" s="138"/>
    </row>
    <row r="513" spans="1:8" x14ac:dyDescent="0.2">
      <c r="A513" s="832" t="s">
        <v>13451</v>
      </c>
      <c r="B513" s="261" t="s">
        <v>12599</v>
      </c>
      <c r="C513" s="261" t="s">
        <v>543</v>
      </c>
      <c r="D513" s="261" t="s">
        <v>2837</v>
      </c>
      <c r="E513" s="261" t="s">
        <v>11101</v>
      </c>
      <c r="F513" s="279">
        <v>10000</v>
      </c>
      <c r="G513" s="833" t="s">
        <v>12651</v>
      </c>
      <c r="H513" s="138"/>
    </row>
    <row r="514" spans="1:8" x14ac:dyDescent="0.2">
      <c r="A514" s="832" t="s">
        <v>13452</v>
      </c>
      <c r="B514" s="261" t="s">
        <v>12601</v>
      </c>
      <c r="C514" s="261" t="s">
        <v>543</v>
      </c>
      <c r="D514" s="261" t="s">
        <v>2837</v>
      </c>
      <c r="E514" s="261" t="s">
        <v>11101</v>
      </c>
      <c r="F514" s="279">
        <v>10000</v>
      </c>
      <c r="G514" s="833" t="s">
        <v>12657</v>
      </c>
      <c r="H514" s="138"/>
    </row>
    <row r="515" spans="1:8" x14ac:dyDescent="0.2">
      <c r="A515" s="832" t="s">
        <v>13453</v>
      </c>
      <c r="B515" s="261" t="s">
        <v>12603</v>
      </c>
      <c r="C515" s="261" t="s">
        <v>543</v>
      </c>
      <c r="D515" s="261" t="s">
        <v>2837</v>
      </c>
      <c r="E515" s="261" t="s">
        <v>11101</v>
      </c>
      <c r="F515" s="279">
        <v>10000</v>
      </c>
      <c r="G515" s="833" t="s">
        <v>12645</v>
      </c>
      <c r="H515" s="138"/>
    </row>
    <row r="516" spans="1:8" x14ac:dyDescent="0.2">
      <c r="A516" s="832" t="s">
        <v>13454</v>
      </c>
      <c r="B516" s="261" t="s">
        <v>12605</v>
      </c>
      <c r="C516" s="261" t="s">
        <v>543</v>
      </c>
      <c r="D516" s="261" t="s">
        <v>2837</v>
      </c>
      <c r="E516" s="261" t="s">
        <v>11101</v>
      </c>
      <c r="F516" s="279">
        <v>10000</v>
      </c>
      <c r="G516" s="833" t="s">
        <v>12651</v>
      </c>
      <c r="H516" s="138"/>
    </row>
    <row r="517" spans="1:8" x14ac:dyDescent="0.2">
      <c r="A517" s="832" t="s">
        <v>13455</v>
      </c>
      <c r="B517" s="261" t="s">
        <v>12607</v>
      </c>
      <c r="C517" s="261" t="s">
        <v>543</v>
      </c>
      <c r="D517" s="261" t="s">
        <v>2837</v>
      </c>
      <c r="E517" s="261" t="s">
        <v>11101</v>
      </c>
      <c r="F517" s="279">
        <v>10000</v>
      </c>
      <c r="G517" s="833" t="s">
        <v>12657</v>
      </c>
      <c r="H517" s="138"/>
    </row>
    <row r="518" spans="1:8" x14ac:dyDescent="0.2">
      <c r="A518" s="832" t="s">
        <v>13456</v>
      </c>
      <c r="B518" s="261" t="s">
        <v>12609</v>
      </c>
      <c r="C518" s="261" t="s">
        <v>543</v>
      </c>
      <c r="D518" s="261" t="s">
        <v>2837</v>
      </c>
      <c r="E518" s="261" t="s">
        <v>11101</v>
      </c>
      <c r="F518" s="279">
        <v>25000</v>
      </c>
      <c r="G518" s="833" t="s">
        <v>12670</v>
      </c>
      <c r="H518" s="138"/>
    </row>
    <row r="519" spans="1:8" x14ac:dyDescent="0.2">
      <c r="A519" s="832" t="s">
        <v>13457</v>
      </c>
      <c r="B519" s="261" t="s">
        <v>12611</v>
      </c>
      <c r="C519" s="261" t="s">
        <v>543</v>
      </c>
      <c r="D519" s="261" t="s">
        <v>2837</v>
      </c>
      <c r="E519" s="261" t="s">
        <v>11101</v>
      </c>
      <c r="F519" s="279">
        <v>25000</v>
      </c>
      <c r="G519" s="833" t="s">
        <v>12673</v>
      </c>
      <c r="H519" s="138"/>
    </row>
    <row r="520" spans="1:8" x14ac:dyDescent="0.2">
      <c r="A520" s="832" t="s">
        <v>13458</v>
      </c>
      <c r="B520" s="261" t="s">
        <v>12613</v>
      </c>
      <c r="C520" s="261" t="s">
        <v>543</v>
      </c>
      <c r="D520" s="261" t="s">
        <v>2837</v>
      </c>
      <c r="E520" s="261" t="s">
        <v>11101</v>
      </c>
      <c r="F520" s="279">
        <v>25000</v>
      </c>
      <c r="G520" s="833" t="s">
        <v>12676</v>
      </c>
      <c r="H520" s="138"/>
    </row>
    <row r="521" spans="1:8" x14ac:dyDescent="0.2">
      <c r="A521" s="832" t="s">
        <v>13459</v>
      </c>
      <c r="B521" s="261" t="s">
        <v>12615</v>
      </c>
      <c r="C521" s="261" t="s">
        <v>543</v>
      </c>
      <c r="D521" s="261" t="s">
        <v>2837</v>
      </c>
      <c r="E521" s="261" t="s">
        <v>11101</v>
      </c>
      <c r="F521" s="279">
        <v>25000</v>
      </c>
      <c r="G521" s="833" t="s">
        <v>12670</v>
      </c>
      <c r="H521" s="138"/>
    </row>
    <row r="522" spans="1:8" x14ac:dyDescent="0.2">
      <c r="A522" s="832" t="s">
        <v>13460</v>
      </c>
      <c r="B522" s="261" t="s">
        <v>12617</v>
      </c>
      <c r="C522" s="261" t="s">
        <v>543</v>
      </c>
      <c r="D522" s="261" t="s">
        <v>2837</v>
      </c>
      <c r="E522" s="261" t="s">
        <v>11101</v>
      </c>
      <c r="F522" s="279">
        <v>25000</v>
      </c>
      <c r="G522" s="833" t="s">
        <v>12681</v>
      </c>
      <c r="H522" s="138"/>
    </row>
    <row r="523" spans="1:8" x14ac:dyDescent="0.2">
      <c r="A523" s="832" t="s">
        <v>13461</v>
      </c>
      <c r="B523" s="261" t="s">
        <v>12619</v>
      </c>
      <c r="C523" s="261" t="s">
        <v>543</v>
      </c>
      <c r="D523" s="261" t="s">
        <v>2837</v>
      </c>
      <c r="E523" s="261" t="s">
        <v>11101</v>
      </c>
      <c r="F523" s="279">
        <v>50000</v>
      </c>
      <c r="G523" s="833" t="s">
        <v>12684</v>
      </c>
      <c r="H523" s="138"/>
    </row>
    <row r="524" spans="1:8" x14ac:dyDescent="0.2">
      <c r="A524" s="832" t="s">
        <v>13462</v>
      </c>
      <c r="B524" s="261" t="s">
        <v>7211</v>
      </c>
      <c r="C524" s="261" t="s">
        <v>543</v>
      </c>
      <c r="D524" s="261" t="s">
        <v>2837</v>
      </c>
      <c r="E524" s="261" t="s">
        <v>11101</v>
      </c>
      <c r="F524" s="279">
        <v>50000</v>
      </c>
      <c r="G524" s="833" t="s">
        <v>12673</v>
      </c>
      <c r="H524" s="138"/>
    </row>
    <row r="525" spans="1:8" x14ac:dyDescent="0.2">
      <c r="A525" s="832" t="s">
        <v>13463</v>
      </c>
      <c r="B525" s="261" t="s">
        <v>1591</v>
      </c>
      <c r="C525" s="261" t="s">
        <v>543</v>
      </c>
      <c r="D525" s="261" t="s">
        <v>2837</v>
      </c>
      <c r="E525" s="261" t="s">
        <v>11101</v>
      </c>
      <c r="F525" s="279">
        <v>50000</v>
      </c>
      <c r="G525" s="833" t="s">
        <v>12676</v>
      </c>
      <c r="H525" s="138"/>
    </row>
    <row r="526" spans="1:8" x14ac:dyDescent="0.2">
      <c r="A526" s="832" t="s">
        <v>13464</v>
      </c>
      <c r="B526" s="261" t="s">
        <v>7912</v>
      </c>
      <c r="C526" s="261" t="s">
        <v>543</v>
      </c>
      <c r="D526" s="261" t="s">
        <v>2837</v>
      </c>
      <c r="E526" s="261" t="s">
        <v>11101</v>
      </c>
      <c r="F526" s="279">
        <v>50000</v>
      </c>
      <c r="G526" s="833" t="s">
        <v>12681</v>
      </c>
      <c r="H526" s="138"/>
    </row>
    <row r="527" spans="1:8" x14ac:dyDescent="0.2">
      <c r="A527" s="832" t="s">
        <v>13465</v>
      </c>
      <c r="B527" s="261" t="s">
        <v>12594</v>
      </c>
      <c r="C527" s="261" t="s">
        <v>543</v>
      </c>
      <c r="D527" s="261" t="s">
        <v>2837</v>
      </c>
      <c r="E527" s="261" t="s">
        <v>11593</v>
      </c>
      <c r="F527" s="279">
        <v>200000</v>
      </c>
      <c r="G527" s="833" t="s">
        <v>12693</v>
      </c>
      <c r="H527" s="138"/>
    </row>
    <row r="528" spans="1:8" x14ac:dyDescent="0.2">
      <c r="A528" s="832" t="s">
        <v>13466</v>
      </c>
      <c r="B528" s="261" t="s">
        <v>11792</v>
      </c>
      <c r="C528" s="261" t="s">
        <v>543</v>
      </c>
      <c r="D528" s="261" t="s">
        <v>2837</v>
      </c>
      <c r="E528" s="261" t="s">
        <v>11790</v>
      </c>
      <c r="F528" s="279">
        <v>300000</v>
      </c>
      <c r="G528" s="833" t="s">
        <v>12668</v>
      </c>
      <c r="H528" s="138" t="s">
        <v>12696</v>
      </c>
    </row>
    <row r="529" spans="1:8" x14ac:dyDescent="0.2">
      <c r="A529" s="832" t="s">
        <v>13467</v>
      </c>
      <c r="B529" s="261" t="s">
        <v>12597</v>
      </c>
      <c r="C529" s="261" t="s">
        <v>645</v>
      </c>
      <c r="D529" s="261" t="s">
        <v>2837</v>
      </c>
      <c r="E529" s="261" t="s">
        <v>11101</v>
      </c>
      <c r="F529" s="279">
        <v>10000</v>
      </c>
      <c r="G529" s="833" t="s">
        <v>12645</v>
      </c>
      <c r="H529" s="138"/>
    </row>
    <row r="530" spans="1:8" x14ac:dyDescent="0.2">
      <c r="A530" s="832" t="s">
        <v>13468</v>
      </c>
      <c r="B530" s="261" t="s">
        <v>12599</v>
      </c>
      <c r="C530" s="261" t="s">
        <v>645</v>
      </c>
      <c r="D530" s="261" t="s">
        <v>2837</v>
      </c>
      <c r="E530" s="261" t="s">
        <v>11101</v>
      </c>
      <c r="F530" s="279">
        <v>10000</v>
      </c>
      <c r="G530" s="833" t="s">
        <v>12651</v>
      </c>
      <c r="H530" s="138"/>
    </row>
    <row r="531" spans="1:8" x14ac:dyDescent="0.2">
      <c r="A531" s="832" t="s">
        <v>13469</v>
      </c>
      <c r="B531" s="261" t="s">
        <v>12601</v>
      </c>
      <c r="C531" s="261" t="s">
        <v>645</v>
      </c>
      <c r="D531" s="261" t="s">
        <v>2837</v>
      </c>
      <c r="E531" s="261" t="s">
        <v>11101</v>
      </c>
      <c r="F531" s="279">
        <v>10000</v>
      </c>
      <c r="G531" s="833" t="s">
        <v>12657</v>
      </c>
      <c r="H531" s="138"/>
    </row>
    <row r="532" spans="1:8" x14ac:dyDescent="0.2">
      <c r="A532" s="832" t="s">
        <v>13470</v>
      </c>
      <c r="B532" s="261" t="s">
        <v>12603</v>
      </c>
      <c r="C532" s="261" t="s">
        <v>645</v>
      </c>
      <c r="D532" s="261" t="s">
        <v>2837</v>
      </c>
      <c r="E532" s="261" t="s">
        <v>11101</v>
      </c>
      <c r="F532" s="279">
        <v>10000</v>
      </c>
      <c r="G532" s="833" t="s">
        <v>12645</v>
      </c>
      <c r="H532" s="138"/>
    </row>
    <row r="533" spans="1:8" x14ac:dyDescent="0.2">
      <c r="A533" s="832" t="s">
        <v>13471</v>
      </c>
      <c r="B533" s="261" t="s">
        <v>12605</v>
      </c>
      <c r="C533" s="261" t="s">
        <v>645</v>
      </c>
      <c r="D533" s="261" t="s">
        <v>2837</v>
      </c>
      <c r="E533" s="261" t="s">
        <v>11101</v>
      </c>
      <c r="F533" s="279">
        <v>10000</v>
      </c>
      <c r="G533" s="833" t="s">
        <v>12651</v>
      </c>
      <c r="H533" s="138"/>
    </row>
    <row r="534" spans="1:8" x14ac:dyDescent="0.2">
      <c r="A534" s="832" t="s">
        <v>13472</v>
      </c>
      <c r="B534" s="261" t="s">
        <v>12607</v>
      </c>
      <c r="C534" s="261" t="s">
        <v>645</v>
      </c>
      <c r="D534" s="261" t="s">
        <v>2837</v>
      </c>
      <c r="E534" s="261" t="s">
        <v>11101</v>
      </c>
      <c r="F534" s="279">
        <v>10000</v>
      </c>
      <c r="G534" s="833" t="s">
        <v>12657</v>
      </c>
      <c r="H534" s="138"/>
    </row>
    <row r="535" spans="1:8" x14ac:dyDescent="0.2">
      <c r="A535" s="832" t="s">
        <v>13473</v>
      </c>
      <c r="B535" s="261" t="s">
        <v>12609</v>
      </c>
      <c r="C535" s="261" t="s">
        <v>645</v>
      </c>
      <c r="D535" s="261" t="s">
        <v>2837</v>
      </c>
      <c r="E535" s="261" t="s">
        <v>11101</v>
      </c>
      <c r="F535" s="279">
        <v>25000</v>
      </c>
      <c r="G535" s="833" t="s">
        <v>12670</v>
      </c>
      <c r="H535" s="138"/>
    </row>
    <row r="536" spans="1:8" x14ac:dyDescent="0.2">
      <c r="A536" s="832" t="s">
        <v>13474</v>
      </c>
      <c r="B536" s="261" t="s">
        <v>12611</v>
      </c>
      <c r="C536" s="261" t="s">
        <v>645</v>
      </c>
      <c r="D536" s="261" t="s">
        <v>2837</v>
      </c>
      <c r="E536" s="261" t="s">
        <v>11101</v>
      </c>
      <c r="F536" s="279">
        <v>25000</v>
      </c>
      <c r="G536" s="833" t="s">
        <v>12673</v>
      </c>
      <c r="H536" s="138"/>
    </row>
    <row r="537" spans="1:8" x14ac:dyDescent="0.2">
      <c r="A537" s="832" t="s">
        <v>13475</v>
      </c>
      <c r="B537" s="261" t="s">
        <v>12613</v>
      </c>
      <c r="C537" s="261" t="s">
        <v>645</v>
      </c>
      <c r="D537" s="261" t="s">
        <v>2837</v>
      </c>
      <c r="E537" s="261" t="s">
        <v>11101</v>
      </c>
      <c r="F537" s="279">
        <v>25000</v>
      </c>
      <c r="G537" s="833" t="s">
        <v>12676</v>
      </c>
      <c r="H537" s="138"/>
    </row>
    <row r="538" spans="1:8" x14ac:dyDescent="0.2">
      <c r="A538" s="832" t="s">
        <v>13476</v>
      </c>
      <c r="B538" s="261" t="s">
        <v>12615</v>
      </c>
      <c r="C538" s="261" t="s">
        <v>645</v>
      </c>
      <c r="D538" s="261" t="s">
        <v>2837</v>
      </c>
      <c r="E538" s="261" t="s">
        <v>11101</v>
      </c>
      <c r="F538" s="279">
        <v>25000</v>
      </c>
      <c r="G538" s="833" t="s">
        <v>12670</v>
      </c>
      <c r="H538" s="138"/>
    </row>
    <row r="539" spans="1:8" x14ac:dyDescent="0.2">
      <c r="A539" s="832" t="s">
        <v>13477</v>
      </c>
      <c r="B539" s="261" t="s">
        <v>12617</v>
      </c>
      <c r="C539" s="261" t="s">
        <v>645</v>
      </c>
      <c r="D539" s="261" t="s">
        <v>2837</v>
      </c>
      <c r="E539" s="261" t="s">
        <v>11101</v>
      </c>
      <c r="F539" s="279">
        <v>25000</v>
      </c>
      <c r="G539" s="833" t="s">
        <v>12681</v>
      </c>
      <c r="H539" s="138"/>
    </row>
    <row r="540" spans="1:8" x14ac:dyDescent="0.2">
      <c r="A540" s="832" t="s">
        <v>13478</v>
      </c>
      <c r="B540" s="261" t="s">
        <v>12619</v>
      </c>
      <c r="C540" s="261" t="s">
        <v>645</v>
      </c>
      <c r="D540" s="261" t="s">
        <v>2837</v>
      </c>
      <c r="E540" s="261" t="s">
        <v>11101</v>
      </c>
      <c r="F540" s="279">
        <v>50000</v>
      </c>
      <c r="G540" s="833" t="s">
        <v>12684</v>
      </c>
      <c r="H540" s="138"/>
    </row>
    <row r="541" spans="1:8" x14ac:dyDescent="0.2">
      <c r="A541" s="832" t="s">
        <v>13479</v>
      </c>
      <c r="B541" s="261" t="s">
        <v>7211</v>
      </c>
      <c r="C541" s="261" t="s">
        <v>645</v>
      </c>
      <c r="D541" s="261" t="s">
        <v>2837</v>
      </c>
      <c r="E541" s="261" t="s">
        <v>11101</v>
      </c>
      <c r="F541" s="279">
        <v>50000</v>
      </c>
      <c r="G541" s="833" t="s">
        <v>12673</v>
      </c>
      <c r="H541" s="138"/>
    </row>
    <row r="542" spans="1:8" x14ac:dyDescent="0.2">
      <c r="A542" s="832" t="s">
        <v>13480</v>
      </c>
      <c r="B542" s="261" t="s">
        <v>1591</v>
      </c>
      <c r="C542" s="261" t="s">
        <v>645</v>
      </c>
      <c r="D542" s="261" t="s">
        <v>2837</v>
      </c>
      <c r="E542" s="261" t="s">
        <v>11101</v>
      </c>
      <c r="F542" s="279">
        <v>50000</v>
      </c>
      <c r="G542" s="833" t="s">
        <v>12676</v>
      </c>
      <c r="H542" s="138"/>
    </row>
    <row r="543" spans="1:8" x14ac:dyDescent="0.2">
      <c r="A543" s="832" t="s">
        <v>13481</v>
      </c>
      <c r="B543" s="261" t="s">
        <v>7912</v>
      </c>
      <c r="C543" s="261" t="s">
        <v>645</v>
      </c>
      <c r="D543" s="261" t="s">
        <v>2837</v>
      </c>
      <c r="E543" s="261" t="s">
        <v>11101</v>
      </c>
      <c r="F543" s="279">
        <v>50000</v>
      </c>
      <c r="G543" s="833" t="s">
        <v>12681</v>
      </c>
      <c r="H543" s="138"/>
    </row>
    <row r="544" spans="1:8" x14ac:dyDescent="0.2">
      <c r="A544" s="832" t="s">
        <v>13482</v>
      </c>
      <c r="B544" s="261" t="s">
        <v>12594</v>
      </c>
      <c r="C544" s="261" t="s">
        <v>645</v>
      </c>
      <c r="D544" s="261" t="s">
        <v>2837</v>
      </c>
      <c r="E544" s="261" t="s">
        <v>11593</v>
      </c>
      <c r="F544" s="279">
        <v>200000</v>
      </c>
      <c r="G544" s="833" t="s">
        <v>12693</v>
      </c>
      <c r="H544" s="138"/>
    </row>
    <row r="545" spans="1:8" x14ac:dyDescent="0.2">
      <c r="A545" s="832" t="s">
        <v>13483</v>
      </c>
      <c r="B545" s="261" t="s">
        <v>11792</v>
      </c>
      <c r="C545" s="261" t="s">
        <v>645</v>
      </c>
      <c r="D545" s="261" t="s">
        <v>2837</v>
      </c>
      <c r="E545" s="261" t="s">
        <v>11790</v>
      </c>
      <c r="F545" s="279">
        <v>300000</v>
      </c>
      <c r="G545" s="833" t="s">
        <v>12668</v>
      </c>
      <c r="H545" s="138" t="s">
        <v>12696</v>
      </c>
    </row>
    <row r="546" spans="1:8" x14ac:dyDescent="0.2">
      <c r="A546" s="832" t="s">
        <v>13484</v>
      </c>
      <c r="B546" s="261" t="s">
        <v>12597</v>
      </c>
      <c r="C546" s="261" t="s">
        <v>759</v>
      </c>
      <c r="D546" s="261" t="s">
        <v>2837</v>
      </c>
      <c r="E546" s="261" t="s">
        <v>11101</v>
      </c>
      <c r="F546" s="279">
        <v>10000</v>
      </c>
      <c r="G546" s="833" t="s">
        <v>12645</v>
      </c>
      <c r="H546" s="138"/>
    </row>
    <row r="547" spans="1:8" x14ac:dyDescent="0.2">
      <c r="A547" s="832" t="s">
        <v>13485</v>
      </c>
      <c r="B547" s="261" t="s">
        <v>12599</v>
      </c>
      <c r="C547" s="261" t="s">
        <v>759</v>
      </c>
      <c r="D547" s="261" t="s">
        <v>2837</v>
      </c>
      <c r="E547" s="261" t="s">
        <v>11101</v>
      </c>
      <c r="F547" s="279">
        <v>10000</v>
      </c>
      <c r="G547" s="833" t="s">
        <v>12651</v>
      </c>
      <c r="H547" s="138"/>
    </row>
    <row r="548" spans="1:8" x14ac:dyDescent="0.2">
      <c r="A548" s="832" t="s">
        <v>13486</v>
      </c>
      <c r="B548" s="261" t="s">
        <v>12601</v>
      </c>
      <c r="C548" s="261" t="s">
        <v>759</v>
      </c>
      <c r="D548" s="261" t="s">
        <v>2837</v>
      </c>
      <c r="E548" s="261" t="s">
        <v>11101</v>
      </c>
      <c r="F548" s="279">
        <v>10000</v>
      </c>
      <c r="G548" s="833" t="s">
        <v>12657</v>
      </c>
      <c r="H548" s="138"/>
    </row>
    <row r="549" spans="1:8" x14ac:dyDescent="0.2">
      <c r="A549" s="832" t="s">
        <v>13487</v>
      </c>
      <c r="B549" s="261" t="s">
        <v>12603</v>
      </c>
      <c r="C549" s="261" t="s">
        <v>759</v>
      </c>
      <c r="D549" s="261" t="s">
        <v>2837</v>
      </c>
      <c r="E549" s="261" t="s">
        <v>11101</v>
      </c>
      <c r="F549" s="279">
        <v>10000</v>
      </c>
      <c r="G549" s="833" t="s">
        <v>12645</v>
      </c>
      <c r="H549" s="138"/>
    </row>
    <row r="550" spans="1:8" x14ac:dyDescent="0.2">
      <c r="A550" s="832" t="s">
        <v>13488</v>
      </c>
      <c r="B550" s="261" t="s">
        <v>12605</v>
      </c>
      <c r="C550" s="261" t="s">
        <v>759</v>
      </c>
      <c r="D550" s="261" t="s">
        <v>2837</v>
      </c>
      <c r="E550" s="261" t="s">
        <v>11101</v>
      </c>
      <c r="F550" s="279">
        <v>10000</v>
      </c>
      <c r="G550" s="833" t="s">
        <v>12651</v>
      </c>
      <c r="H550" s="138"/>
    </row>
    <row r="551" spans="1:8" x14ac:dyDescent="0.2">
      <c r="A551" s="832" t="s">
        <v>13489</v>
      </c>
      <c r="B551" s="261" t="s">
        <v>12607</v>
      </c>
      <c r="C551" s="261" t="s">
        <v>759</v>
      </c>
      <c r="D551" s="261" t="s">
        <v>2837</v>
      </c>
      <c r="E551" s="261" t="s">
        <v>11101</v>
      </c>
      <c r="F551" s="279">
        <v>10000</v>
      </c>
      <c r="G551" s="833" t="s">
        <v>12657</v>
      </c>
      <c r="H551" s="138"/>
    </row>
    <row r="552" spans="1:8" x14ac:dyDescent="0.2">
      <c r="A552" s="832" t="s">
        <v>13490</v>
      </c>
      <c r="B552" s="261" t="s">
        <v>12609</v>
      </c>
      <c r="C552" s="261" t="s">
        <v>759</v>
      </c>
      <c r="D552" s="261" t="s">
        <v>2837</v>
      </c>
      <c r="E552" s="261" t="s">
        <v>11101</v>
      </c>
      <c r="F552" s="279">
        <v>25000</v>
      </c>
      <c r="G552" s="833" t="s">
        <v>12670</v>
      </c>
      <c r="H552" s="138"/>
    </row>
    <row r="553" spans="1:8" x14ac:dyDescent="0.2">
      <c r="A553" s="832" t="s">
        <v>13491</v>
      </c>
      <c r="B553" s="261" t="s">
        <v>12611</v>
      </c>
      <c r="C553" s="261" t="s">
        <v>759</v>
      </c>
      <c r="D553" s="261" t="s">
        <v>2837</v>
      </c>
      <c r="E553" s="261" t="s">
        <v>11101</v>
      </c>
      <c r="F553" s="279">
        <v>25000</v>
      </c>
      <c r="G553" s="833" t="s">
        <v>12673</v>
      </c>
      <c r="H553" s="138"/>
    </row>
    <row r="554" spans="1:8" x14ac:dyDescent="0.2">
      <c r="A554" s="832" t="s">
        <v>13492</v>
      </c>
      <c r="B554" s="261" t="s">
        <v>12613</v>
      </c>
      <c r="C554" s="261" t="s">
        <v>759</v>
      </c>
      <c r="D554" s="261" t="s">
        <v>2837</v>
      </c>
      <c r="E554" s="261" t="s">
        <v>11101</v>
      </c>
      <c r="F554" s="279">
        <v>25000</v>
      </c>
      <c r="G554" s="833" t="s">
        <v>12676</v>
      </c>
      <c r="H554" s="138"/>
    </row>
    <row r="555" spans="1:8" x14ac:dyDescent="0.2">
      <c r="A555" s="832" t="s">
        <v>13493</v>
      </c>
      <c r="B555" s="261" t="s">
        <v>12615</v>
      </c>
      <c r="C555" s="261" t="s">
        <v>759</v>
      </c>
      <c r="D555" s="261" t="s">
        <v>2837</v>
      </c>
      <c r="E555" s="261" t="s">
        <v>11101</v>
      </c>
      <c r="F555" s="279">
        <v>25000</v>
      </c>
      <c r="G555" s="833" t="s">
        <v>12670</v>
      </c>
      <c r="H555" s="138"/>
    </row>
    <row r="556" spans="1:8" x14ac:dyDescent="0.2">
      <c r="A556" s="832" t="s">
        <v>13494</v>
      </c>
      <c r="B556" s="261" t="s">
        <v>12617</v>
      </c>
      <c r="C556" s="261" t="s">
        <v>759</v>
      </c>
      <c r="D556" s="261" t="s">
        <v>2837</v>
      </c>
      <c r="E556" s="261" t="s">
        <v>11101</v>
      </c>
      <c r="F556" s="279">
        <v>25000</v>
      </c>
      <c r="G556" s="833" t="s">
        <v>12681</v>
      </c>
      <c r="H556" s="138"/>
    </row>
    <row r="557" spans="1:8" x14ac:dyDescent="0.2">
      <c r="A557" s="832" t="s">
        <v>13495</v>
      </c>
      <c r="B557" s="261" t="s">
        <v>12619</v>
      </c>
      <c r="C557" s="261" t="s">
        <v>759</v>
      </c>
      <c r="D557" s="261" t="s">
        <v>2837</v>
      </c>
      <c r="E557" s="261" t="s">
        <v>11101</v>
      </c>
      <c r="F557" s="279">
        <v>50000</v>
      </c>
      <c r="G557" s="833" t="s">
        <v>12684</v>
      </c>
      <c r="H557" s="138"/>
    </row>
    <row r="558" spans="1:8" x14ac:dyDescent="0.2">
      <c r="A558" s="832" t="s">
        <v>13496</v>
      </c>
      <c r="B558" s="261" t="s">
        <v>7211</v>
      </c>
      <c r="C558" s="261" t="s">
        <v>759</v>
      </c>
      <c r="D558" s="261" t="s">
        <v>2837</v>
      </c>
      <c r="E558" s="261" t="s">
        <v>11101</v>
      </c>
      <c r="F558" s="279">
        <v>50000</v>
      </c>
      <c r="G558" s="833" t="s">
        <v>12673</v>
      </c>
      <c r="H558" s="138"/>
    </row>
    <row r="559" spans="1:8" x14ac:dyDescent="0.2">
      <c r="A559" s="832" t="s">
        <v>13497</v>
      </c>
      <c r="B559" s="261" t="s">
        <v>1591</v>
      </c>
      <c r="C559" s="261" t="s">
        <v>759</v>
      </c>
      <c r="D559" s="261" t="s">
        <v>2837</v>
      </c>
      <c r="E559" s="261" t="s">
        <v>11101</v>
      </c>
      <c r="F559" s="279">
        <v>50000</v>
      </c>
      <c r="G559" s="833" t="s">
        <v>12676</v>
      </c>
      <c r="H559" s="138"/>
    </row>
    <row r="560" spans="1:8" x14ac:dyDescent="0.2">
      <c r="A560" s="832" t="s">
        <v>13498</v>
      </c>
      <c r="B560" s="261" t="s">
        <v>7912</v>
      </c>
      <c r="C560" s="261" t="s">
        <v>759</v>
      </c>
      <c r="D560" s="261" t="s">
        <v>2837</v>
      </c>
      <c r="E560" s="261" t="s">
        <v>11101</v>
      </c>
      <c r="F560" s="279">
        <v>50000</v>
      </c>
      <c r="G560" s="833" t="s">
        <v>12681</v>
      </c>
      <c r="H560" s="138"/>
    </row>
    <row r="561" spans="1:8" x14ac:dyDescent="0.2">
      <c r="A561" s="832" t="s">
        <v>13499</v>
      </c>
      <c r="B561" s="261" t="s">
        <v>12594</v>
      </c>
      <c r="C561" s="261" t="s">
        <v>759</v>
      </c>
      <c r="D561" s="261" t="s">
        <v>2837</v>
      </c>
      <c r="E561" s="261" t="s">
        <v>11593</v>
      </c>
      <c r="F561" s="279">
        <v>200000</v>
      </c>
      <c r="G561" s="833" t="s">
        <v>12693</v>
      </c>
      <c r="H561" s="138"/>
    </row>
    <row r="562" spans="1:8" x14ac:dyDescent="0.2">
      <c r="A562" s="832" t="s">
        <v>13500</v>
      </c>
      <c r="B562" s="261" t="s">
        <v>11792</v>
      </c>
      <c r="C562" s="261" t="s">
        <v>759</v>
      </c>
      <c r="D562" s="261" t="s">
        <v>2837</v>
      </c>
      <c r="E562" s="261" t="s">
        <v>11790</v>
      </c>
      <c r="F562" s="279">
        <v>300000</v>
      </c>
      <c r="G562" s="833" t="s">
        <v>12668</v>
      </c>
      <c r="H562" s="138" t="s">
        <v>12696</v>
      </c>
    </row>
    <row r="563" spans="1:8" x14ac:dyDescent="0.2">
      <c r="A563" s="832" t="s">
        <v>13501</v>
      </c>
      <c r="B563" s="261" t="s">
        <v>12597</v>
      </c>
      <c r="C563" s="261" t="s">
        <v>839</v>
      </c>
      <c r="D563" s="261" t="s">
        <v>2837</v>
      </c>
      <c r="E563" s="261" t="s">
        <v>11101</v>
      </c>
      <c r="F563" s="279">
        <v>10000</v>
      </c>
      <c r="G563" s="833" t="s">
        <v>12645</v>
      </c>
      <c r="H563" s="138"/>
    </row>
    <row r="564" spans="1:8" x14ac:dyDescent="0.2">
      <c r="A564" s="832" t="s">
        <v>13502</v>
      </c>
      <c r="B564" s="261" t="s">
        <v>12599</v>
      </c>
      <c r="C564" s="261" t="s">
        <v>839</v>
      </c>
      <c r="D564" s="261" t="s">
        <v>2837</v>
      </c>
      <c r="E564" s="261" t="s">
        <v>11101</v>
      </c>
      <c r="F564" s="279">
        <v>10000</v>
      </c>
      <c r="G564" s="833" t="s">
        <v>12651</v>
      </c>
      <c r="H564" s="138"/>
    </row>
    <row r="565" spans="1:8" x14ac:dyDescent="0.2">
      <c r="A565" s="832" t="s">
        <v>13503</v>
      </c>
      <c r="B565" s="261" t="s">
        <v>12601</v>
      </c>
      <c r="C565" s="261" t="s">
        <v>839</v>
      </c>
      <c r="D565" s="261" t="s">
        <v>2837</v>
      </c>
      <c r="E565" s="261" t="s">
        <v>11101</v>
      </c>
      <c r="F565" s="279">
        <v>10000</v>
      </c>
      <c r="G565" s="833" t="s">
        <v>12657</v>
      </c>
      <c r="H565" s="138"/>
    </row>
    <row r="566" spans="1:8" x14ac:dyDescent="0.2">
      <c r="A566" s="832" t="s">
        <v>13504</v>
      </c>
      <c r="B566" s="261" t="s">
        <v>12603</v>
      </c>
      <c r="C566" s="261" t="s">
        <v>839</v>
      </c>
      <c r="D566" s="261" t="s">
        <v>2837</v>
      </c>
      <c r="E566" s="261" t="s">
        <v>11101</v>
      </c>
      <c r="F566" s="279">
        <v>10000</v>
      </c>
      <c r="G566" s="833" t="s">
        <v>12645</v>
      </c>
      <c r="H566" s="138"/>
    </row>
    <row r="567" spans="1:8" x14ac:dyDescent="0.2">
      <c r="A567" s="832" t="s">
        <v>13505</v>
      </c>
      <c r="B567" s="261" t="s">
        <v>12605</v>
      </c>
      <c r="C567" s="261" t="s">
        <v>839</v>
      </c>
      <c r="D567" s="261" t="s">
        <v>2837</v>
      </c>
      <c r="E567" s="261" t="s">
        <v>11101</v>
      </c>
      <c r="F567" s="279">
        <v>10000</v>
      </c>
      <c r="G567" s="833" t="s">
        <v>12651</v>
      </c>
      <c r="H567" s="138"/>
    </row>
    <row r="568" spans="1:8" x14ac:dyDescent="0.2">
      <c r="A568" s="832" t="s">
        <v>13506</v>
      </c>
      <c r="B568" s="261" t="s">
        <v>12607</v>
      </c>
      <c r="C568" s="261" t="s">
        <v>839</v>
      </c>
      <c r="D568" s="261" t="s">
        <v>2837</v>
      </c>
      <c r="E568" s="261" t="s">
        <v>11101</v>
      </c>
      <c r="F568" s="279">
        <v>10000</v>
      </c>
      <c r="G568" s="833" t="s">
        <v>12657</v>
      </c>
      <c r="H568" s="138"/>
    </row>
    <row r="569" spans="1:8" x14ac:dyDescent="0.2">
      <c r="A569" s="832" t="s">
        <v>13507</v>
      </c>
      <c r="B569" s="261" t="s">
        <v>12609</v>
      </c>
      <c r="C569" s="261" t="s">
        <v>839</v>
      </c>
      <c r="D569" s="261" t="s">
        <v>2837</v>
      </c>
      <c r="E569" s="261" t="s">
        <v>11101</v>
      </c>
      <c r="F569" s="279">
        <v>25000</v>
      </c>
      <c r="G569" s="833" t="s">
        <v>12670</v>
      </c>
      <c r="H569" s="138"/>
    </row>
    <row r="570" spans="1:8" x14ac:dyDescent="0.2">
      <c r="A570" s="832" t="s">
        <v>13508</v>
      </c>
      <c r="B570" s="261" t="s">
        <v>12611</v>
      </c>
      <c r="C570" s="261" t="s">
        <v>839</v>
      </c>
      <c r="D570" s="261" t="s">
        <v>2837</v>
      </c>
      <c r="E570" s="261" t="s">
        <v>11101</v>
      </c>
      <c r="F570" s="279">
        <v>25000</v>
      </c>
      <c r="G570" s="833" t="s">
        <v>12673</v>
      </c>
      <c r="H570" s="138"/>
    </row>
    <row r="571" spans="1:8" x14ac:dyDescent="0.2">
      <c r="A571" s="832" t="s">
        <v>13509</v>
      </c>
      <c r="B571" s="261" t="s">
        <v>12613</v>
      </c>
      <c r="C571" s="261" t="s">
        <v>839</v>
      </c>
      <c r="D571" s="261" t="s">
        <v>2837</v>
      </c>
      <c r="E571" s="261" t="s">
        <v>11101</v>
      </c>
      <c r="F571" s="279">
        <v>25000</v>
      </c>
      <c r="G571" s="833" t="s">
        <v>12676</v>
      </c>
      <c r="H571" s="138"/>
    </row>
    <row r="572" spans="1:8" x14ac:dyDescent="0.2">
      <c r="A572" s="832" t="s">
        <v>13510</v>
      </c>
      <c r="B572" s="261" t="s">
        <v>12615</v>
      </c>
      <c r="C572" s="261" t="s">
        <v>839</v>
      </c>
      <c r="D572" s="261" t="s">
        <v>2837</v>
      </c>
      <c r="E572" s="261" t="s">
        <v>11101</v>
      </c>
      <c r="F572" s="279">
        <v>25000</v>
      </c>
      <c r="G572" s="833" t="s">
        <v>12670</v>
      </c>
      <c r="H572" s="138"/>
    </row>
    <row r="573" spans="1:8" x14ac:dyDescent="0.2">
      <c r="A573" s="832" t="s">
        <v>13511</v>
      </c>
      <c r="B573" s="261" t="s">
        <v>12617</v>
      </c>
      <c r="C573" s="261" t="s">
        <v>839</v>
      </c>
      <c r="D573" s="261" t="s">
        <v>2837</v>
      </c>
      <c r="E573" s="261" t="s">
        <v>11101</v>
      </c>
      <c r="F573" s="279">
        <v>25000</v>
      </c>
      <c r="G573" s="833" t="s">
        <v>12681</v>
      </c>
      <c r="H573" s="138"/>
    </row>
    <row r="574" spans="1:8" x14ac:dyDescent="0.2">
      <c r="A574" s="832" t="s">
        <v>13512</v>
      </c>
      <c r="B574" s="261" t="s">
        <v>12619</v>
      </c>
      <c r="C574" s="261" t="s">
        <v>839</v>
      </c>
      <c r="D574" s="261" t="s">
        <v>2837</v>
      </c>
      <c r="E574" s="261" t="s">
        <v>11101</v>
      </c>
      <c r="F574" s="279">
        <v>50000</v>
      </c>
      <c r="G574" s="833" t="s">
        <v>12684</v>
      </c>
      <c r="H574" s="138"/>
    </row>
    <row r="575" spans="1:8" x14ac:dyDescent="0.2">
      <c r="A575" s="832" t="s">
        <v>13513</v>
      </c>
      <c r="B575" s="261" t="s">
        <v>7211</v>
      </c>
      <c r="C575" s="261" t="s">
        <v>839</v>
      </c>
      <c r="D575" s="261" t="s">
        <v>2837</v>
      </c>
      <c r="E575" s="261" t="s">
        <v>11101</v>
      </c>
      <c r="F575" s="279">
        <v>50000</v>
      </c>
      <c r="G575" s="833" t="s">
        <v>12673</v>
      </c>
      <c r="H575" s="138"/>
    </row>
    <row r="576" spans="1:8" x14ac:dyDescent="0.2">
      <c r="A576" s="832" t="s">
        <v>13514</v>
      </c>
      <c r="B576" s="261" t="s">
        <v>1591</v>
      </c>
      <c r="C576" s="261" t="s">
        <v>839</v>
      </c>
      <c r="D576" s="261" t="s">
        <v>2837</v>
      </c>
      <c r="E576" s="261" t="s">
        <v>11101</v>
      </c>
      <c r="F576" s="279">
        <v>50000</v>
      </c>
      <c r="G576" s="833" t="s">
        <v>12676</v>
      </c>
      <c r="H576" s="138"/>
    </row>
    <row r="577" spans="1:8" x14ac:dyDescent="0.2">
      <c r="A577" s="832" t="s">
        <v>13515</v>
      </c>
      <c r="B577" s="261" t="s">
        <v>7912</v>
      </c>
      <c r="C577" s="261" t="s">
        <v>839</v>
      </c>
      <c r="D577" s="261" t="s">
        <v>2837</v>
      </c>
      <c r="E577" s="261" t="s">
        <v>11101</v>
      </c>
      <c r="F577" s="279">
        <v>50000</v>
      </c>
      <c r="G577" s="833" t="s">
        <v>12681</v>
      </c>
      <c r="H577" s="138"/>
    </row>
    <row r="578" spans="1:8" x14ac:dyDescent="0.2">
      <c r="A578" s="832" t="s">
        <v>13516</v>
      </c>
      <c r="B578" s="261" t="s">
        <v>12594</v>
      </c>
      <c r="C578" s="261" t="s">
        <v>839</v>
      </c>
      <c r="D578" s="261" t="s">
        <v>2837</v>
      </c>
      <c r="E578" s="261" t="s">
        <v>11593</v>
      </c>
      <c r="F578" s="279">
        <v>200000</v>
      </c>
      <c r="G578" s="833" t="s">
        <v>12693</v>
      </c>
      <c r="H578" s="138"/>
    </row>
    <row r="579" spans="1:8" x14ac:dyDescent="0.2">
      <c r="A579" s="832" t="s">
        <v>13517</v>
      </c>
      <c r="B579" s="261" t="s">
        <v>11792</v>
      </c>
      <c r="C579" s="261" t="s">
        <v>839</v>
      </c>
      <c r="D579" s="261" t="s">
        <v>2837</v>
      </c>
      <c r="E579" s="261" t="s">
        <v>11790</v>
      </c>
      <c r="F579" s="279">
        <v>300000</v>
      </c>
      <c r="G579" s="833" t="s">
        <v>12668</v>
      </c>
      <c r="H579" s="138" t="s">
        <v>12696</v>
      </c>
    </row>
    <row r="580" spans="1:8" x14ac:dyDescent="0.2">
      <c r="A580" s="832" t="s">
        <v>13518</v>
      </c>
      <c r="B580" s="261" t="s">
        <v>12597</v>
      </c>
      <c r="C580" s="261" t="s">
        <v>949</v>
      </c>
      <c r="D580" s="261" t="s">
        <v>2837</v>
      </c>
      <c r="E580" s="261" t="s">
        <v>11101</v>
      </c>
      <c r="F580" s="279">
        <v>10000</v>
      </c>
      <c r="G580" s="833" t="s">
        <v>12645</v>
      </c>
      <c r="H580" s="138"/>
    </row>
    <row r="581" spans="1:8" x14ac:dyDescent="0.2">
      <c r="A581" s="832" t="s">
        <v>13519</v>
      </c>
      <c r="B581" s="261" t="s">
        <v>12599</v>
      </c>
      <c r="C581" s="261" t="s">
        <v>949</v>
      </c>
      <c r="D581" s="261" t="s">
        <v>2837</v>
      </c>
      <c r="E581" s="261" t="s">
        <v>11101</v>
      </c>
      <c r="F581" s="279">
        <v>10000</v>
      </c>
      <c r="G581" s="833" t="s">
        <v>12651</v>
      </c>
      <c r="H581" s="138"/>
    </row>
    <row r="582" spans="1:8" x14ac:dyDescent="0.2">
      <c r="A582" s="832" t="s">
        <v>13520</v>
      </c>
      <c r="B582" s="261" t="s">
        <v>12601</v>
      </c>
      <c r="C582" s="261" t="s">
        <v>949</v>
      </c>
      <c r="D582" s="261" t="s">
        <v>2837</v>
      </c>
      <c r="E582" s="261" t="s">
        <v>11101</v>
      </c>
      <c r="F582" s="279">
        <v>10000</v>
      </c>
      <c r="G582" s="833" t="s">
        <v>12657</v>
      </c>
      <c r="H582" s="138"/>
    </row>
    <row r="583" spans="1:8" x14ac:dyDescent="0.2">
      <c r="A583" s="832" t="s">
        <v>13521</v>
      </c>
      <c r="B583" s="261" t="s">
        <v>12603</v>
      </c>
      <c r="C583" s="261" t="s">
        <v>949</v>
      </c>
      <c r="D583" s="261" t="s">
        <v>2837</v>
      </c>
      <c r="E583" s="261" t="s">
        <v>11101</v>
      </c>
      <c r="F583" s="279">
        <v>10000</v>
      </c>
      <c r="G583" s="833" t="s">
        <v>12645</v>
      </c>
      <c r="H583" s="138"/>
    </row>
    <row r="584" spans="1:8" x14ac:dyDescent="0.2">
      <c r="A584" s="832" t="s">
        <v>13522</v>
      </c>
      <c r="B584" s="261" t="s">
        <v>12605</v>
      </c>
      <c r="C584" s="261" t="s">
        <v>949</v>
      </c>
      <c r="D584" s="261" t="s">
        <v>2837</v>
      </c>
      <c r="E584" s="261" t="s">
        <v>11101</v>
      </c>
      <c r="F584" s="279">
        <v>10000</v>
      </c>
      <c r="G584" s="833" t="s">
        <v>12651</v>
      </c>
      <c r="H584" s="138"/>
    </row>
    <row r="585" spans="1:8" x14ac:dyDescent="0.2">
      <c r="A585" s="832" t="s">
        <v>13523</v>
      </c>
      <c r="B585" s="261" t="s">
        <v>12607</v>
      </c>
      <c r="C585" s="261" t="s">
        <v>949</v>
      </c>
      <c r="D585" s="261" t="s">
        <v>2837</v>
      </c>
      <c r="E585" s="261" t="s">
        <v>11101</v>
      </c>
      <c r="F585" s="279">
        <v>10000</v>
      </c>
      <c r="G585" s="833" t="s">
        <v>12657</v>
      </c>
      <c r="H585" s="138"/>
    </row>
    <row r="586" spans="1:8" x14ac:dyDescent="0.2">
      <c r="A586" s="832" t="s">
        <v>13524</v>
      </c>
      <c r="B586" s="261" t="s">
        <v>12609</v>
      </c>
      <c r="C586" s="261" t="s">
        <v>949</v>
      </c>
      <c r="D586" s="261" t="s">
        <v>2837</v>
      </c>
      <c r="E586" s="261" t="s">
        <v>11101</v>
      </c>
      <c r="F586" s="279">
        <v>25000</v>
      </c>
      <c r="G586" s="833" t="s">
        <v>12670</v>
      </c>
      <c r="H586" s="138"/>
    </row>
    <row r="587" spans="1:8" x14ac:dyDescent="0.2">
      <c r="A587" s="832" t="s">
        <v>13525</v>
      </c>
      <c r="B587" s="261" t="s">
        <v>12611</v>
      </c>
      <c r="C587" s="261" t="s">
        <v>949</v>
      </c>
      <c r="D587" s="261" t="s">
        <v>2837</v>
      </c>
      <c r="E587" s="261" t="s">
        <v>11101</v>
      </c>
      <c r="F587" s="279">
        <v>25000</v>
      </c>
      <c r="G587" s="833" t="s">
        <v>12673</v>
      </c>
      <c r="H587" s="138"/>
    </row>
    <row r="588" spans="1:8" x14ac:dyDescent="0.2">
      <c r="A588" s="832" t="s">
        <v>13526</v>
      </c>
      <c r="B588" s="261" t="s">
        <v>12613</v>
      </c>
      <c r="C588" s="261" t="s">
        <v>949</v>
      </c>
      <c r="D588" s="261" t="s">
        <v>2837</v>
      </c>
      <c r="E588" s="261" t="s">
        <v>11101</v>
      </c>
      <c r="F588" s="279">
        <v>25000</v>
      </c>
      <c r="G588" s="833" t="s">
        <v>12676</v>
      </c>
      <c r="H588" s="138"/>
    </row>
    <row r="589" spans="1:8" x14ac:dyDescent="0.2">
      <c r="A589" s="832" t="s">
        <v>13527</v>
      </c>
      <c r="B589" s="261" t="s">
        <v>12615</v>
      </c>
      <c r="C589" s="261" t="s">
        <v>949</v>
      </c>
      <c r="D589" s="261" t="s">
        <v>2837</v>
      </c>
      <c r="E589" s="261" t="s">
        <v>11101</v>
      </c>
      <c r="F589" s="279">
        <v>25000</v>
      </c>
      <c r="G589" s="833" t="s">
        <v>12670</v>
      </c>
      <c r="H589" s="138"/>
    </row>
    <row r="590" spans="1:8" x14ac:dyDescent="0.2">
      <c r="A590" s="832" t="s">
        <v>13528</v>
      </c>
      <c r="B590" s="261" t="s">
        <v>12617</v>
      </c>
      <c r="C590" s="261" t="s">
        <v>949</v>
      </c>
      <c r="D590" s="261" t="s">
        <v>2837</v>
      </c>
      <c r="E590" s="261" t="s">
        <v>11101</v>
      </c>
      <c r="F590" s="279">
        <v>25000</v>
      </c>
      <c r="G590" s="833" t="s">
        <v>12681</v>
      </c>
      <c r="H590" s="138"/>
    </row>
    <row r="591" spans="1:8" x14ac:dyDescent="0.2">
      <c r="A591" s="832" t="s">
        <v>13529</v>
      </c>
      <c r="B591" s="261" t="s">
        <v>12619</v>
      </c>
      <c r="C591" s="261" t="s">
        <v>949</v>
      </c>
      <c r="D591" s="261" t="s">
        <v>2837</v>
      </c>
      <c r="E591" s="261" t="s">
        <v>11101</v>
      </c>
      <c r="F591" s="279">
        <v>50000</v>
      </c>
      <c r="G591" s="833" t="s">
        <v>12684</v>
      </c>
      <c r="H591" s="138"/>
    </row>
    <row r="592" spans="1:8" x14ac:dyDescent="0.2">
      <c r="A592" s="832" t="s">
        <v>13530</v>
      </c>
      <c r="B592" s="261" t="s">
        <v>7211</v>
      </c>
      <c r="C592" s="261" t="s">
        <v>949</v>
      </c>
      <c r="D592" s="261" t="s">
        <v>2837</v>
      </c>
      <c r="E592" s="261" t="s">
        <v>11101</v>
      </c>
      <c r="F592" s="279">
        <v>50000</v>
      </c>
      <c r="G592" s="833" t="s">
        <v>12673</v>
      </c>
      <c r="H592" s="138"/>
    </row>
    <row r="593" spans="1:8" x14ac:dyDescent="0.2">
      <c r="A593" s="832" t="s">
        <v>13531</v>
      </c>
      <c r="B593" s="261" t="s">
        <v>1591</v>
      </c>
      <c r="C593" s="261" t="s">
        <v>949</v>
      </c>
      <c r="D593" s="261" t="s">
        <v>2837</v>
      </c>
      <c r="E593" s="261" t="s">
        <v>11101</v>
      </c>
      <c r="F593" s="279">
        <v>50000</v>
      </c>
      <c r="G593" s="833" t="s">
        <v>12676</v>
      </c>
      <c r="H593" s="138"/>
    </row>
    <row r="594" spans="1:8" x14ac:dyDescent="0.2">
      <c r="A594" s="832" t="s">
        <v>13532</v>
      </c>
      <c r="B594" s="261" t="s">
        <v>7912</v>
      </c>
      <c r="C594" s="261" t="s">
        <v>949</v>
      </c>
      <c r="D594" s="261" t="s">
        <v>2837</v>
      </c>
      <c r="E594" s="261" t="s">
        <v>11101</v>
      </c>
      <c r="F594" s="279">
        <v>50000</v>
      </c>
      <c r="G594" s="833" t="s">
        <v>12681</v>
      </c>
      <c r="H594" s="138"/>
    </row>
    <row r="595" spans="1:8" x14ac:dyDescent="0.2">
      <c r="A595" s="832" t="s">
        <v>13533</v>
      </c>
      <c r="B595" s="261" t="s">
        <v>12594</v>
      </c>
      <c r="C595" s="261" t="s">
        <v>949</v>
      </c>
      <c r="D595" s="261" t="s">
        <v>2837</v>
      </c>
      <c r="E595" s="261" t="s">
        <v>11593</v>
      </c>
      <c r="F595" s="279">
        <v>200000</v>
      </c>
      <c r="G595" s="833" t="s">
        <v>12693</v>
      </c>
      <c r="H595" s="138"/>
    </row>
    <row r="596" spans="1:8" x14ac:dyDescent="0.2">
      <c r="A596" s="832" t="s">
        <v>13534</v>
      </c>
      <c r="B596" s="261" t="s">
        <v>11792</v>
      </c>
      <c r="C596" s="261" t="s">
        <v>949</v>
      </c>
      <c r="D596" s="261" t="s">
        <v>2837</v>
      </c>
      <c r="E596" s="261" t="s">
        <v>11790</v>
      </c>
      <c r="F596" s="279">
        <v>300000</v>
      </c>
      <c r="G596" s="833" t="s">
        <v>12668</v>
      </c>
      <c r="H596" s="138" t="s">
        <v>12696</v>
      </c>
    </row>
    <row r="597" spans="1:8" x14ac:dyDescent="0.2">
      <c r="A597" s="832" t="s">
        <v>13535</v>
      </c>
      <c r="B597" s="261" t="s">
        <v>12597</v>
      </c>
      <c r="C597" s="261" t="s">
        <v>1054</v>
      </c>
      <c r="D597" s="261" t="s">
        <v>2837</v>
      </c>
      <c r="E597" s="261" t="s">
        <v>11101</v>
      </c>
      <c r="F597" s="279">
        <v>10000</v>
      </c>
      <c r="G597" s="833" t="s">
        <v>12645</v>
      </c>
      <c r="H597" s="138"/>
    </row>
    <row r="598" spans="1:8" x14ac:dyDescent="0.2">
      <c r="A598" s="832" t="s">
        <v>13536</v>
      </c>
      <c r="B598" s="261" t="s">
        <v>12599</v>
      </c>
      <c r="C598" s="261" t="s">
        <v>1054</v>
      </c>
      <c r="D598" s="261" t="s">
        <v>2837</v>
      </c>
      <c r="E598" s="261" t="s">
        <v>11101</v>
      </c>
      <c r="F598" s="279">
        <v>10000</v>
      </c>
      <c r="G598" s="833" t="s">
        <v>12651</v>
      </c>
      <c r="H598" s="138"/>
    </row>
    <row r="599" spans="1:8" x14ac:dyDescent="0.2">
      <c r="A599" s="832" t="s">
        <v>13537</v>
      </c>
      <c r="B599" s="261" t="s">
        <v>12601</v>
      </c>
      <c r="C599" s="261" t="s">
        <v>1054</v>
      </c>
      <c r="D599" s="261" t="s">
        <v>2837</v>
      </c>
      <c r="E599" s="261" t="s">
        <v>11101</v>
      </c>
      <c r="F599" s="279">
        <v>10000</v>
      </c>
      <c r="G599" s="833" t="s">
        <v>12657</v>
      </c>
      <c r="H599" s="138"/>
    </row>
    <row r="600" spans="1:8" x14ac:dyDescent="0.2">
      <c r="A600" s="832" t="s">
        <v>13538</v>
      </c>
      <c r="B600" s="261" t="s">
        <v>12603</v>
      </c>
      <c r="C600" s="261" t="s">
        <v>1054</v>
      </c>
      <c r="D600" s="261" t="s">
        <v>2837</v>
      </c>
      <c r="E600" s="261" t="s">
        <v>11101</v>
      </c>
      <c r="F600" s="279">
        <v>10000</v>
      </c>
      <c r="G600" s="833" t="s">
        <v>12645</v>
      </c>
      <c r="H600" s="138"/>
    </row>
    <row r="601" spans="1:8" x14ac:dyDescent="0.2">
      <c r="A601" s="832" t="s">
        <v>13539</v>
      </c>
      <c r="B601" s="261" t="s">
        <v>12605</v>
      </c>
      <c r="C601" s="261" t="s">
        <v>1054</v>
      </c>
      <c r="D601" s="261" t="s">
        <v>2837</v>
      </c>
      <c r="E601" s="261" t="s">
        <v>11101</v>
      </c>
      <c r="F601" s="279">
        <v>10000</v>
      </c>
      <c r="G601" s="833" t="s">
        <v>12651</v>
      </c>
      <c r="H601" s="138"/>
    </row>
    <row r="602" spans="1:8" x14ac:dyDescent="0.2">
      <c r="A602" s="832" t="s">
        <v>13540</v>
      </c>
      <c r="B602" s="261" t="s">
        <v>12607</v>
      </c>
      <c r="C602" s="261" t="s">
        <v>1054</v>
      </c>
      <c r="D602" s="261" t="s">
        <v>2837</v>
      </c>
      <c r="E602" s="261" t="s">
        <v>11101</v>
      </c>
      <c r="F602" s="279">
        <v>10000</v>
      </c>
      <c r="G602" s="833" t="s">
        <v>12657</v>
      </c>
      <c r="H602" s="138"/>
    </row>
    <row r="603" spans="1:8" x14ac:dyDescent="0.2">
      <c r="A603" s="832" t="s">
        <v>13541</v>
      </c>
      <c r="B603" s="261" t="s">
        <v>12609</v>
      </c>
      <c r="C603" s="261" t="s">
        <v>1054</v>
      </c>
      <c r="D603" s="261" t="s">
        <v>2837</v>
      </c>
      <c r="E603" s="261" t="s">
        <v>11101</v>
      </c>
      <c r="F603" s="279">
        <v>25000</v>
      </c>
      <c r="G603" s="833" t="s">
        <v>12670</v>
      </c>
      <c r="H603" s="138"/>
    </row>
    <row r="604" spans="1:8" x14ac:dyDescent="0.2">
      <c r="A604" s="832" t="s">
        <v>13542</v>
      </c>
      <c r="B604" s="261" t="s">
        <v>12611</v>
      </c>
      <c r="C604" s="261" t="s">
        <v>1054</v>
      </c>
      <c r="D604" s="261" t="s">
        <v>2837</v>
      </c>
      <c r="E604" s="261" t="s">
        <v>11101</v>
      </c>
      <c r="F604" s="279">
        <v>25000</v>
      </c>
      <c r="G604" s="833" t="s">
        <v>12673</v>
      </c>
      <c r="H604" s="138"/>
    </row>
    <row r="605" spans="1:8" x14ac:dyDescent="0.2">
      <c r="A605" s="832" t="s">
        <v>13543</v>
      </c>
      <c r="B605" s="261" t="s">
        <v>12613</v>
      </c>
      <c r="C605" s="261" t="s">
        <v>1054</v>
      </c>
      <c r="D605" s="261" t="s">
        <v>2837</v>
      </c>
      <c r="E605" s="261" t="s">
        <v>11101</v>
      </c>
      <c r="F605" s="279">
        <v>25000</v>
      </c>
      <c r="G605" s="833" t="s">
        <v>12676</v>
      </c>
      <c r="H605" s="138"/>
    </row>
    <row r="606" spans="1:8" x14ac:dyDescent="0.2">
      <c r="A606" s="832" t="s">
        <v>13544</v>
      </c>
      <c r="B606" s="261" t="s">
        <v>12615</v>
      </c>
      <c r="C606" s="261" t="s">
        <v>1054</v>
      </c>
      <c r="D606" s="261" t="s">
        <v>2837</v>
      </c>
      <c r="E606" s="261" t="s">
        <v>11101</v>
      </c>
      <c r="F606" s="279">
        <v>25000</v>
      </c>
      <c r="G606" s="833" t="s">
        <v>12670</v>
      </c>
      <c r="H606" s="138"/>
    </row>
    <row r="607" spans="1:8" x14ac:dyDescent="0.2">
      <c r="A607" s="832" t="s">
        <v>13545</v>
      </c>
      <c r="B607" s="261" t="s">
        <v>12617</v>
      </c>
      <c r="C607" s="261" t="s">
        <v>1054</v>
      </c>
      <c r="D607" s="261" t="s">
        <v>2837</v>
      </c>
      <c r="E607" s="261" t="s">
        <v>11101</v>
      </c>
      <c r="F607" s="279">
        <v>25000</v>
      </c>
      <c r="G607" s="833" t="s">
        <v>12681</v>
      </c>
      <c r="H607" s="138"/>
    </row>
    <row r="608" spans="1:8" x14ac:dyDescent="0.2">
      <c r="A608" s="832" t="s">
        <v>13546</v>
      </c>
      <c r="B608" s="261" t="s">
        <v>12619</v>
      </c>
      <c r="C608" s="261" t="s">
        <v>1054</v>
      </c>
      <c r="D608" s="261" t="s">
        <v>2837</v>
      </c>
      <c r="E608" s="261" t="s">
        <v>11101</v>
      </c>
      <c r="F608" s="279">
        <v>50000</v>
      </c>
      <c r="G608" s="833" t="s">
        <v>12684</v>
      </c>
      <c r="H608" s="138"/>
    </row>
    <row r="609" spans="1:8" x14ac:dyDescent="0.2">
      <c r="A609" s="832" t="s">
        <v>13547</v>
      </c>
      <c r="B609" s="261" t="s">
        <v>7211</v>
      </c>
      <c r="C609" s="261" t="s">
        <v>1054</v>
      </c>
      <c r="D609" s="261" t="s">
        <v>2837</v>
      </c>
      <c r="E609" s="261" t="s">
        <v>11101</v>
      </c>
      <c r="F609" s="279">
        <v>50000</v>
      </c>
      <c r="G609" s="833" t="s">
        <v>12673</v>
      </c>
      <c r="H609" s="138"/>
    </row>
    <row r="610" spans="1:8" x14ac:dyDescent="0.2">
      <c r="A610" s="832" t="s">
        <v>13548</v>
      </c>
      <c r="B610" s="261" t="s">
        <v>1591</v>
      </c>
      <c r="C610" s="261" t="s">
        <v>1054</v>
      </c>
      <c r="D610" s="261" t="s">
        <v>2837</v>
      </c>
      <c r="E610" s="261" t="s">
        <v>11101</v>
      </c>
      <c r="F610" s="279">
        <v>50000</v>
      </c>
      <c r="G610" s="833" t="s">
        <v>12676</v>
      </c>
      <c r="H610" s="138"/>
    </row>
    <row r="611" spans="1:8" x14ac:dyDescent="0.2">
      <c r="A611" s="832" t="s">
        <v>13549</v>
      </c>
      <c r="B611" s="261" t="s">
        <v>7912</v>
      </c>
      <c r="C611" s="261" t="s">
        <v>1054</v>
      </c>
      <c r="D611" s="261" t="s">
        <v>2837</v>
      </c>
      <c r="E611" s="261" t="s">
        <v>11101</v>
      </c>
      <c r="F611" s="279">
        <v>50000</v>
      </c>
      <c r="G611" s="833" t="s">
        <v>12681</v>
      </c>
      <c r="H611" s="138"/>
    </row>
    <row r="612" spans="1:8" x14ac:dyDescent="0.2">
      <c r="A612" s="832" t="s">
        <v>13550</v>
      </c>
      <c r="B612" s="261" t="s">
        <v>12594</v>
      </c>
      <c r="C612" s="261" t="s">
        <v>1054</v>
      </c>
      <c r="D612" s="261" t="s">
        <v>2837</v>
      </c>
      <c r="E612" s="261" t="s">
        <v>11593</v>
      </c>
      <c r="F612" s="279">
        <v>200000</v>
      </c>
      <c r="G612" s="833" t="s">
        <v>12693</v>
      </c>
      <c r="H612" s="138"/>
    </row>
    <row r="613" spans="1:8" x14ac:dyDescent="0.2">
      <c r="A613" s="832" t="s">
        <v>13551</v>
      </c>
      <c r="B613" s="261" t="s">
        <v>11792</v>
      </c>
      <c r="C613" s="261" t="s">
        <v>1054</v>
      </c>
      <c r="D613" s="261" t="s">
        <v>2837</v>
      </c>
      <c r="E613" s="261" t="s">
        <v>11790</v>
      </c>
      <c r="F613" s="279">
        <v>300000</v>
      </c>
      <c r="G613" s="833" t="s">
        <v>12668</v>
      </c>
      <c r="H613" s="138" t="s">
        <v>12696</v>
      </c>
    </row>
    <row r="614" spans="1:8" x14ac:dyDescent="0.2">
      <c r="A614" s="832" t="s">
        <v>13552</v>
      </c>
      <c r="B614" s="261" t="s">
        <v>12597</v>
      </c>
      <c r="C614" s="261" t="s">
        <v>123</v>
      </c>
      <c r="D614" s="261" t="s">
        <v>3779</v>
      </c>
      <c r="E614" s="261" t="s">
        <v>11101</v>
      </c>
      <c r="F614" s="279">
        <v>10000</v>
      </c>
      <c r="G614" s="833" t="s">
        <v>12645</v>
      </c>
      <c r="H614" s="138"/>
    </row>
    <row r="615" spans="1:8" x14ac:dyDescent="0.2">
      <c r="A615" s="832" t="s">
        <v>13553</v>
      </c>
      <c r="B615" s="261" t="s">
        <v>12599</v>
      </c>
      <c r="C615" s="261" t="s">
        <v>123</v>
      </c>
      <c r="D615" s="261" t="s">
        <v>3779</v>
      </c>
      <c r="E615" s="261" t="s">
        <v>11101</v>
      </c>
      <c r="F615" s="279">
        <v>10000</v>
      </c>
      <c r="G615" s="833" t="s">
        <v>12651</v>
      </c>
      <c r="H615" s="138"/>
    </row>
    <row r="616" spans="1:8" x14ac:dyDescent="0.2">
      <c r="A616" s="832" t="s">
        <v>13554</v>
      </c>
      <c r="B616" s="261" t="s">
        <v>12601</v>
      </c>
      <c r="C616" s="261" t="s">
        <v>123</v>
      </c>
      <c r="D616" s="261" t="s">
        <v>3779</v>
      </c>
      <c r="E616" s="261" t="s">
        <v>11101</v>
      </c>
      <c r="F616" s="279">
        <v>10000</v>
      </c>
      <c r="G616" s="833" t="s">
        <v>12657</v>
      </c>
      <c r="H616" s="138"/>
    </row>
    <row r="617" spans="1:8" x14ac:dyDescent="0.2">
      <c r="A617" s="832" t="s">
        <v>13555</v>
      </c>
      <c r="B617" s="261" t="s">
        <v>12603</v>
      </c>
      <c r="C617" s="261" t="s">
        <v>123</v>
      </c>
      <c r="D617" s="261" t="s">
        <v>3779</v>
      </c>
      <c r="E617" s="261" t="s">
        <v>11101</v>
      </c>
      <c r="F617" s="279">
        <v>10000</v>
      </c>
      <c r="G617" s="833" t="s">
        <v>12645</v>
      </c>
      <c r="H617" s="138"/>
    </row>
    <row r="618" spans="1:8" x14ac:dyDescent="0.2">
      <c r="A618" s="832" t="s">
        <v>13556</v>
      </c>
      <c r="B618" s="261" t="s">
        <v>12605</v>
      </c>
      <c r="C618" s="261" t="s">
        <v>123</v>
      </c>
      <c r="D618" s="261" t="s">
        <v>3779</v>
      </c>
      <c r="E618" s="261" t="s">
        <v>11101</v>
      </c>
      <c r="F618" s="279">
        <v>10000</v>
      </c>
      <c r="G618" s="833" t="s">
        <v>12651</v>
      </c>
      <c r="H618" s="138"/>
    </row>
    <row r="619" spans="1:8" x14ac:dyDescent="0.2">
      <c r="A619" s="832" t="s">
        <v>13557</v>
      </c>
      <c r="B619" s="261" t="s">
        <v>12607</v>
      </c>
      <c r="C619" s="261" t="s">
        <v>123</v>
      </c>
      <c r="D619" s="261" t="s">
        <v>3779</v>
      </c>
      <c r="E619" s="261" t="s">
        <v>11101</v>
      </c>
      <c r="F619" s="279">
        <v>10000</v>
      </c>
      <c r="G619" s="833" t="s">
        <v>12657</v>
      </c>
      <c r="H619" s="138"/>
    </row>
    <row r="620" spans="1:8" x14ac:dyDescent="0.2">
      <c r="A620" s="832" t="s">
        <v>13558</v>
      </c>
      <c r="B620" s="261" t="s">
        <v>12609</v>
      </c>
      <c r="C620" s="261" t="s">
        <v>123</v>
      </c>
      <c r="D620" s="261" t="s">
        <v>3779</v>
      </c>
      <c r="E620" s="261" t="s">
        <v>11101</v>
      </c>
      <c r="F620" s="279">
        <v>25000</v>
      </c>
      <c r="G620" s="833" t="s">
        <v>12670</v>
      </c>
      <c r="H620" s="138"/>
    </row>
    <row r="621" spans="1:8" x14ac:dyDescent="0.2">
      <c r="A621" s="832" t="s">
        <v>13559</v>
      </c>
      <c r="B621" s="261" t="s">
        <v>12611</v>
      </c>
      <c r="C621" s="261" t="s">
        <v>123</v>
      </c>
      <c r="D621" s="261" t="s">
        <v>3779</v>
      </c>
      <c r="E621" s="261" t="s">
        <v>11101</v>
      </c>
      <c r="F621" s="279">
        <v>25000</v>
      </c>
      <c r="G621" s="833" t="s">
        <v>12673</v>
      </c>
      <c r="H621" s="138"/>
    </row>
    <row r="622" spans="1:8" x14ac:dyDescent="0.2">
      <c r="A622" s="832" t="s">
        <v>13560</v>
      </c>
      <c r="B622" s="261" t="s">
        <v>12613</v>
      </c>
      <c r="C622" s="261" t="s">
        <v>123</v>
      </c>
      <c r="D622" s="261" t="s">
        <v>3779</v>
      </c>
      <c r="E622" s="261" t="s">
        <v>11101</v>
      </c>
      <c r="F622" s="279">
        <v>25000</v>
      </c>
      <c r="G622" s="833" t="s">
        <v>12676</v>
      </c>
      <c r="H622" s="138"/>
    </row>
    <row r="623" spans="1:8" x14ac:dyDescent="0.2">
      <c r="A623" s="832" t="s">
        <v>13561</v>
      </c>
      <c r="B623" s="261" t="s">
        <v>12615</v>
      </c>
      <c r="C623" s="261" t="s">
        <v>123</v>
      </c>
      <c r="D623" s="261" t="s">
        <v>3779</v>
      </c>
      <c r="E623" s="261" t="s">
        <v>11101</v>
      </c>
      <c r="F623" s="279">
        <v>25000</v>
      </c>
      <c r="G623" s="833" t="s">
        <v>12670</v>
      </c>
      <c r="H623" s="138"/>
    </row>
    <row r="624" spans="1:8" x14ac:dyDescent="0.2">
      <c r="A624" s="832" t="s">
        <v>13562</v>
      </c>
      <c r="B624" s="261" t="s">
        <v>12617</v>
      </c>
      <c r="C624" s="261" t="s">
        <v>123</v>
      </c>
      <c r="D624" s="261" t="s">
        <v>3779</v>
      </c>
      <c r="E624" s="261" t="s">
        <v>11101</v>
      </c>
      <c r="F624" s="279">
        <v>25000</v>
      </c>
      <c r="G624" s="833" t="s">
        <v>12681</v>
      </c>
      <c r="H624" s="138"/>
    </row>
    <row r="625" spans="1:8" x14ac:dyDescent="0.2">
      <c r="A625" s="832" t="s">
        <v>13563</v>
      </c>
      <c r="B625" s="261" t="s">
        <v>12619</v>
      </c>
      <c r="C625" s="261" t="s">
        <v>123</v>
      </c>
      <c r="D625" s="261" t="s">
        <v>3779</v>
      </c>
      <c r="E625" s="261" t="s">
        <v>11101</v>
      </c>
      <c r="F625" s="279">
        <v>50000</v>
      </c>
      <c r="G625" s="833" t="s">
        <v>12684</v>
      </c>
      <c r="H625" s="138"/>
    </row>
    <row r="626" spans="1:8" x14ac:dyDescent="0.2">
      <c r="A626" s="832" t="s">
        <v>13564</v>
      </c>
      <c r="B626" s="261" t="s">
        <v>7211</v>
      </c>
      <c r="C626" s="261" t="s">
        <v>123</v>
      </c>
      <c r="D626" s="261" t="s">
        <v>3779</v>
      </c>
      <c r="E626" s="261" t="s">
        <v>11101</v>
      </c>
      <c r="F626" s="279">
        <v>50000</v>
      </c>
      <c r="G626" s="833" t="s">
        <v>12673</v>
      </c>
      <c r="H626" s="138"/>
    </row>
    <row r="627" spans="1:8" x14ac:dyDescent="0.2">
      <c r="A627" s="832" t="s">
        <v>13565</v>
      </c>
      <c r="B627" s="261" t="s">
        <v>1591</v>
      </c>
      <c r="C627" s="261" t="s">
        <v>123</v>
      </c>
      <c r="D627" s="261" t="s">
        <v>3779</v>
      </c>
      <c r="E627" s="261" t="s">
        <v>11101</v>
      </c>
      <c r="F627" s="279">
        <v>50000</v>
      </c>
      <c r="G627" s="833" t="s">
        <v>12676</v>
      </c>
      <c r="H627" s="138"/>
    </row>
    <row r="628" spans="1:8" x14ac:dyDescent="0.2">
      <c r="A628" s="832" t="s">
        <v>13566</v>
      </c>
      <c r="B628" s="261" t="s">
        <v>7912</v>
      </c>
      <c r="C628" s="261" t="s">
        <v>123</v>
      </c>
      <c r="D628" s="261" t="s">
        <v>3779</v>
      </c>
      <c r="E628" s="261" t="s">
        <v>11101</v>
      </c>
      <c r="F628" s="279">
        <v>50000</v>
      </c>
      <c r="G628" s="833" t="s">
        <v>12681</v>
      </c>
      <c r="H628" s="138"/>
    </row>
    <row r="629" spans="1:8" x14ac:dyDescent="0.2">
      <c r="A629" s="832" t="s">
        <v>13567</v>
      </c>
      <c r="B629" s="261" t="s">
        <v>12594</v>
      </c>
      <c r="C629" s="261" t="s">
        <v>123</v>
      </c>
      <c r="D629" s="261" t="s">
        <v>3779</v>
      </c>
      <c r="E629" s="261" t="s">
        <v>11593</v>
      </c>
      <c r="F629" s="279">
        <v>200000</v>
      </c>
      <c r="G629" s="833" t="s">
        <v>12693</v>
      </c>
      <c r="H629" s="138"/>
    </row>
    <row r="630" spans="1:8" x14ac:dyDescent="0.2">
      <c r="A630" s="832" t="s">
        <v>13568</v>
      </c>
      <c r="B630" s="261" t="s">
        <v>11792</v>
      </c>
      <c r="C630" s="261" t="s">
        <v>123</v>
      </c>
      <c r="D630" s="261" t="s">
        <v>3779</v>
      </c>
      <c r="E630" s="261" t="s">
        <v>11790</v>
      </c>
      <c r="F630" s="279">
        <v>300000</v>
      </c>
      <c r="G630" s="833" t="s">
        <v>12668</v>
      </c>
      <c r="H630" s="138" t="s">
        <v>12696</v>
      </c>
    </row>
    <row r="631" spans="1:8" x14ac:dyDescent="0.2">
      <c r="A631" s="832" t="s">
        <v>13569</v>
      </c>
      <c r="B631" s="261" t="s">
        <v>12597</v>
      </c>
      <c r="C631" s="261" t="s">
        <v>330</v>
      </c>
      <c r="D631" s="261" t="s">
        <v>3779</v>
      </c>
      <c r="E631" s="261" t="s">
        <v>11101</v>
      </c>
      <c r="F631" s="279">
        <v>10000</v>
      </c>
      <c r="G631" s="833" t="s">
        <v>12645</v>
      </c>
      <c r="H631" s="138"/>
    </row>
    <row r="632" spans="1:8" x14ac:dyDescent="0.2">
      <c r="A632" s="832" t="s">
        <v>13570</v>
      </c>
      <c r="B632" s="261" t="s">
        <v>12599</v>
      </c>
      <c r="C632" s="261" t="s">
        <v>330</v>
      </c>
      <c r="D632" s="261" t="s">
        <v>3779</v>
      </c>
      <c r="E632" s="261" t="s">
        <v>11101</v>
      </c>
      <c r="F632" s="279">
        <v>10000</v>
      </c>
      <c r="G632" s="833" t="s">
        <v>12651</v>
      </c>
      <c r="H632" s="138"/>
    </row>
    <row r="633" spans="1:8" x14ac:dyDescent="0.2">
      <c r="A633" s="832" t="s">
        <v>13571</v>
      </c>
      <c r="B633" s="261" t="s">
        <v>12601</v>
      </c>
      <c r="C633" s="261" t="s">
        <v>330</v>
      </c>
      <c r="D633" s="261" t="s">
        <v>3779</v>
      </c>
      <c r="E633" s="261" t="s">
        <v>11101</v>
      </c>
      <c r="F633" s="279">
        <v>10000</v>
      </c>
      <c r="G633" s="833" t="s">
        <v>12657</v>
      </c>
      <c r="H633" s="138"/>
    </row>
    <row r="634" spans="1:8" x14ac:dyDescent="0.2">
      <c r="A634" s="832" t="s">
        <v>13572</v>
      </c>
      <c r="B634" s="261" t="s">
        <v>12603</v>
      </c>
      <c r="C634" s="261" t="s">
        <v>330</v>
      </c>
      <c r="D634" s="261" t="s">
        <v>3779</v>
      </c>
      <c r="E634" s="261" t="s">
        <v>11101</v>
      </c>
      <c r="F634" s="279">
        <v>10000</v>
      </c>
      <c r="G634" s="833" t="s">
        <v>12645</v>
      </c>
      <c r="H634" s="138"/>
    </row>
    <row r="635" spans="1:8" x14ac:dyDescent="0.2">
      <c r="A635" s="832" t="s">
        <v>13573</v>
      </c>
      <c r="B635" s="261" t="s">
        <v>12605</v>
      </c>
      <c r="C635" s="261" t="s">
        <v>330</v>
      </c>
      <c r="D635" s="261" t="s">
        <v>3779</v>
      </c>
      <c r="E635" s="261" t="s">
        <v>11101</v>
      </c>
      <c r="F635" s="279">
        <v>10000</v>
      </c>
      <c r="G635" s="833" t="s">
        <v>12651</v>
      </c>
      <c r="H635" s="138"/>
    </row>
    <row r="636" spans="1:8" x14ac:dyDescent="0.2">
      <c r="A636" s="832" t="s">
        <v>13574</v>
      </c>
      <c r="B636" s="261" t="s">
        <v>12607</v>
      </c>
      <c r="C636" s="261" t="s">
        <v>330</v>
      </c>
      <c r="D636" s="261" t="s">
        <v>3779</v>
      </c>
      <c r="E636" s="261" t="s">
        <v>11101</v>
      </c>
      <c r="F636" s="279">
        <v>10000</v>
      </c>
      <c r="G636" s="833" t="s">
        <v>12657</v>
      </c>
      <c r="H636" s="138"/>
    </row>
    <row r="637" spans="1:8" x14ac:dyDescent="0.2">
      <c r="A637" s="832" t="s">
        <v>13575</v>
      </c>
      <c r="B637" s="261" t="s">
        <v>12609</v>
      </c>
      <c r="C637" s="261" t="s">
        <v>330</v>
      </c>
      <c r="D637" s="261" t="s">
        <v>3779</v>
      </c>
      <c r="E637" s="261" t="s">
        <v>11101</v>
      </c>
      <c r="F637" s="279">
        <v>25000</v>
      </c>
      <c r="G637" s="833" t="s">
        <v>12670</v>
      </c>
      <c r="H637" s="138"/>
    </row>
    <row r="638" spans="1:8" x14ac:dyDescent="0.2">
      <c r="A638" s="832" t="s">
        <v>13576</v>
      </c>
      <c r="B638" s="261" t="s">
        <v>12611</v>
      </c>
      <c r="C638" s="261" t="s">
        <v>330</v>
      </c>
      <c r="D638" s="261" t="s">
        <v>3779</v>
      </c>
      <c r="E638" s="261" t="s">
        <v>11101</v>
      </c>
      <c r="F638" s="279">
        <v>25000</v>
      </c>
      <c r="G638" s="833" t="s">
        <v>12673</v>
      </c>
      <c r="H638" s="138"/>
    </row>
    <row r="639" spans="1:8" x14ac:dyDescent="0.2">
      <c r="A639" s="832" t="s">
        <v>13577</v>
      </c>
      <c r="B639" s="261" t="s">
        <v>12613</v>
      </c>
      <c r="C639" s="261" t="s">
        <v>330</v>
      </c>
      <c r="D639" s="261" t="s">
        <v>3779</v>
      </c>
      <c r="E639" s="261" t="s">
        <v>11101</v>
      </c>
      <c r="F639" s="279">
        <v>25000</v>
      </c>
      <c r="G639" s="833" t="s">
        <v>12676</v>
      </c>
      <c r="H639" s="138"/>
    </row>
    <row r="640" spans="1:8" x14ac:dyDescent="0.2">
      <c r="A640" s="832" t="s">
        <v>13578</v>
      </c>
      <c r="B640" s="261" t="s">
        <v>12615</v>
      </c>
      <c r="C640" s="261" t="s">
        <v>330</v>
      </c>
      <c r="D640" s="261" t="s">
        <v>3779</v>
      </c>
      <c r="E640" s="261" t="s">
        <v>11101</v>
      </c>
      <c r="F640" s="279">
        <v>25000</v>
      </c>
      <c r="G640" s="833" t="s">
        <v>12670</v>
      </c>
      <c r="H640" s="138"/>
    </row>
    <row r="641" spans="1:8" x14ac:dyDescent="0.2">
      <c r="A641" s="832" t="s">
        <v>13579</v>
      </c>
      <c r="B641" s="261" t="s">
        <v>12617</v>
      </c>
      <c r="C641" s="261" t="s">
        <v>330</v>
      </c>
      <c r="D641" s="261" t="s">
        <v>3779</v>
      </c>
      <c r="E641" s="261" t="s">
        <v>11101</v>
      </c>
      <c r="F641" s="279">
        <v>25000</v>
      </c>
      <c r="G641" s="833" t="s">
        <v>12681</v>
      </c>
      <c r="H641" s="138"/>
    </row>
    <row r="642" spans="1:8" x14ac:dyDescent="0.2">
      <c r="A642" s="832" t="s">
        <v>13580</v>
      </c>
      <c r="B642" s="261" t="s">
        <v>12619</v>
      </c>
      <c r="C642" s="261" t="s">
        <v>330</v>
      </c>
      <c r="D642" s="261" t="s">
        <v>3779</v>
      </c>
      <c r="E642" s="261" t="s">
        <v>11101</v>
      </c>
      <c r="F642" s="279">
        <v>50000</v>
      </c>
      <c r="G642" s="833" t="s">
        <v>12684</v>
      </c>
      <c r="H642" s="138"/>
    </row>
    <row r="643" spans="1:8" x14ac:dyDescent="0.2">
      <c r="A643" s="832" t="s">
        <v>13581</v>
      </c>
      <c r="B643" s="261" t="s">
        <v>7211</v>
      </c>
      <c r="C643" s="261" t="s">
        <v>330</v>
      </c>
      <c r="D643" s="261" t="s">
        <v>3779</v>
      </c>
      <c r="E643" s="261" t="s">
        <v>11101</v>
      </c>
      <c r="F643" s="279">
        <v>50000</v>
      </c>
      <c r="G643" s="833" t="s">
        <v>12673</v>
      </c>
      <c r="H643" s="138"/>
    </row>
    <row r="644" spans="1:8" x14ac:dyDescent="0.2">
      <c r="A644" s="832" t="s">
        <v>13582</v>
      </c>
      <c r="B644" s="261" t="s">
        <v>1591</v>
      </c>
      <c r="C644" s="261" t="s">
        <v>330</v>
      </c>
      <c r="D644" s="261" t="s">
        <v>3779</v>
      </c>
      <c r="E644" s="261" t="s">
        <v>11101</v>
      </c>
      <c r="F644" s="279">
        <v>50000</v>
      </c>
      <c r="G644" s="833" t="s">
        <v>12676</v>
      </c>
      <c r="H644" s="138"/>
    </row>
    <row r="645" spans="1:8" x14ac:dyDescent="0.2">
      <c r="A645" s="832" t="s">
        <v>13583</v>
      </c>
      <c r="B645" s="261" t="s">
        <v>7912</v>
      </c>
      <c r="C645" s="261" t="s">
        <v>330</v>
      </c>
      <c r="D645" s="261" t="s">
        <v>3779</v>
      </c>
      <c r="E645" s="261" t="s">
        <v>11101</v>
      </c>
      <c r="F645" s="279">
        <v>50000</v>
      </c>
      <c r="G645" s="833" t="s">
        <v>12681</v>
      </c>
      <c r="H645" s="138"/>
    </row>
    <row r="646" spans="1:8" x14ac:dyDescent="0.2">
      <c r="A646" s="832" t="s">
        <v>13584</v>
      </c>
      <c r="B646" s="261" t="s">
        <v>12594</v>
      </c>
      <c r="C646" s="261" t="s">
        <v>330</v>
      </c>
      <c r="D646" s="261" t="s">
        <v>3779</v>
      </c>
      <c r="E646" s="261" t="s">
        <v>11593</v>
      </c>
      <c r="F646" s="279">
        <v>200000</v>
      </c>
      <c r="G646" s="833" t="s">
        <v>12693</v>
      </c>
      <c r="H646" s="138"/>
    </row>
    <row r="647" spans="1:8" x14ac:dyDescent="0.2">
      <c r="A647" s="832" t="s">
        <v>13585</v>
      </c>
      <c r="B647" s="261" t="s">
        <v>11792</v>
      </c>
      <c r="C647" s="261" t="s">
        <v>330</v>
      </c>
      <c r="D647" s="261" t="s">
        <v>3779</v>
      </c>
      <c r="E647" s="261" t="s">
        <v>11790</v>
      </c>
      <c r="F647" s="279">
        <v>300000</v>
      </c>
      <c r="G647" s="833" t="s">
        <v>12668</v>
      </c>
      <c r="H647" s="138" t="s">
        <v>12696</v>
      </c>
    </row>
    <row r="648" spans="1:8" x14ac:dyDescent="0.2">
      <c r="A648" s="832" t="s">
        <v>13586</v>
      </c>
      <c r="B648" s="261" t="s">
        <v>12597</v>
      </c>
      <c r="C648" s="261" t="s">
        <v>429</v>
      </c>
      <c r="D648" s="261" t="s">
        <v>3779</v>
      </c>
      <c r="E648" s="261" t="s">
        <v>11101</v>
      </c>
      <c r="F648" s="279">
        <v>10000</v>
      </c>
      <c r="G648" s="833" t="s">
        <v>12645</v>
      </c>
      <c r="H648" s="138"/>
    </row>
    <row r="649" spans="1:8" x14ac:dyDescent="0.2">
      <c r="A649" s="832" t="s">
        <v>13587</v>
      </c>
      <c r="B649" s="261" t="s">
        <v>12599</v>
      </c>
      <c r="C649" s="261" t="s">
        <v>429</v>
      </c>
      <c r="D649" s="261" t="s">
        <v>3779</v>
      </c>
      <c r="E649" s="261" t="s">
        <v>11101</v>
      </c>
      <c r="F649" s="279">
        <v>10000</v>
      </c>
      <c r="G649" s="833" t="s">
        <v>12651</v>
      </c>
      <c r="H649" s="138"/>
    </row>
    <row r="650" spans="1:8" x14ac:dyDescent="0.2">
      <c r="A650" s="832" t="s">
        <v>13588</v>
      </c>
      <c r="B650" s="261" t="s">
        <v>12601</v>
      </c>
      <c r="C650" s="261" t="s">
        <v>429</v>
      </c>
      <c r="D650" s="261" t="s">
        <v>3779</v>
      </c>
      <c r="E650" s="261" t="s">
        <v>11101</v>
      </c>
      <c r="F650" s="279">
        <v>10000</v>
      </c>
      <c r="G650" s="833" t="s">
        <v>12657</v>
      </c>
      <c r="H650" s="138"/>
    </row>
    <row r="651" spans="1:8" x14ac:dyDescent="0.2">
      <c r="A651" s="832" t="s">
        <v>13589</v>
      </c>
      <c r="B651" s="261" t="s">
        <v>12603</v>
      </c>
      <c r="C651" s="261" t="s">
        <v>429</v>
      </c>
      <c r="D651" s="261" t="s">
        <v>3779</v>
      </c>
      <c r="E651" s="261" t="s">
        <v>11101</v>
      </c>
      <c r="F651" s="279">
        <v>10000</v>
      </c>
      <c r="G651" s="833" t="s">
        <v>12645</v>
      </c>
      <c r="H651" s="138"/>
    </row>
    <row r="652" spans="1:8" x14ac:dyDescent="0.2">
      <c r="A652" s="832" t="s">
        <v>13590</v>
      </c>
      <c r="B652" s="261" t="s">
        <v>12605</v>
      </c>
      <c r="C652" s="261" t="s">
        <v>429</v>
      </c>
      <c r="D652" s="261" t="s">
        <v>3779</v>
      </c>
      <c r="E652" s="261" t="s">
        <v>11101</v>
      </c>
      <c r="F652" s="279">
        <v>10000</v>
      </c>
      <c r="G652" s="833" t="s">
        <v>12651</v>
      </c>
      <c r="H652" s="138"/>
    </row>
    <row r="653" spans="1:8" x14ac:dyDescent="0.2">
      <c r="A653" s="832" t="s">
        <v>13591</v>
      </c>
      <c r="B653" s="261" t="s">
        <v>12607</v>
      </c>
      <c r="C653" s="261" t="s">
        <v>429</v>
      </c>
      <c r="D653" s="261" t="s">
        <v>3779</v>
      </c>
      <c r="E653" s="261" t="s">
        <v>11101</v>
      </c>
      <c r="F653" s="279">
        <v>10000</v>
      </c>
      <c r="G653" s="833" t="s">
        <v>12657</v>
      </c>
      <c r="H653" s="138"/>
    </row>
    <row r="654" spans="1:8" x14ac:dyDescent="0.2">
      <c r="A654" s="832" t="s">
        <v>13592</v>
      </c>
      <c r="B654" s="261" t="s">
        <v>12609</v>
      </c>
      <c r="C654" s="261" t="s">
        <v>429</v>
      </c>
      <c r="D654" s="261" t="s">
        <v>3779</v>
      </c>
      <c r="E654" s="261" t="s">
        <v>11101</v>
      </c>
      <c r="F654" s="279">
        <v>25000</v>
      </c>
      <c r="G654" s="833" t="s">
        <v>12670</v>
      </c>
      <c r="H654" s="138"/>
    </row>
    <row r="655" spans="1:8" x14ac:dyDescent="0.2">
      <c r="A655" s="832" t="s">
        <v>13593</v>
      </c>
      <c r="B655" s="261" t="s">
        <v>12611</v>
      </c>
      <c r="C655" s="261" t="s">
        <v>429</v>
      </c>
      <c r="D655" s="261" t="s">
        <v>3779</v>
      </c>
      <c r="E655" s="261" t="s">
        <v>11101</v>
      </c>
      <c r="F655" s="279">
        <v>25000</v>
      </c>
      <c r="G655" s="833" t="s">
        <v>12673</v>
      </c>
      <c r="H655" s="138"/>
    </row>
    <row r="656" spans="1:8" x14ac:dyDescent="0.2">
      <c r="A656" s="832" t="s">
        <v>13594</v>
      </c>
      <c r="B656" s="261" t="s">
        <v>12613</v>
      </c>
      <c r="C656" s="261" t="s">
        <v>429</v>
      </c>
      <c r="D656" s="261" t="s">
        <v>3779</v>
      </c>
      <c r="E656" s="261" t="s">
        <v>11101</v>
      </c>
      <c r="F656" s="279">
        <v>25000</v>
      </c>
      <c r="G656" s="833" t="s">
        <v>12676</v>
      </c>
      <c r="H656" s="138"/>
    </row>
    <row r="657" spans="1:8" x14ac:dyDescent="0.2">
      <c r="A657" s="832" t="s">
        <v>13595</v>
      </c>
      <c r="B657" s="261" t="s">
        <v>12615</v>
      </c>
      <c r="C657" s="261" t="s">
        <v>429</v>
      </c>
      <c r="D657" s="261" t="s">
        <v>3779</v>
      </c>
      <c r="E657" s="261" t="s">
        <v>11101</v>
      </c>
      <c r="F657" s="279">
        <v>25000</v>
      </c>
      <c r="G657" s="833" t="s">
        <v>12670</v>
      </c>
      <c r="H657" s="138"/>
    </row>
    <row r="658" spans="1:8" x14ac:dyDescent="0.2">
      <c r="A658" s="832" t="s">
        <v>13596</v>
      </c>
      <c r="B658" s="261" t="s">
        <v>12617</v>
      </c>
      <c r="C658" s="261" t="s">
        <v>429</v>
      </c>
      <c r="D658" s="261" t="s">
        <v>3779</v>
      </c>
      <c r="E658" s="261" t="s">
        <v>11101</v>
      </c>
      <c r="F658" s="279">
        <v>25000</v>
      </c>
      <c r="G658" s="833" t="s">
        <v>12681</v>
      </c>
      <c r="H658" s="138"/>
    </row>
    <row r="659" spans="1:8" x14ac:dyDescent="0.2">
      <c r="A659" s="832" t="s">
        <v>13597</v>
      </c>
      <c r="B659" s="261" t="s">
        <v>12619</v>
      </c>
      <c r="C659" s="261" t="s">
        <v>429</v>
      </c>
      <c r="D659" s="261" t="s">
        <v>3779</v>
      </c>
      <c r="E659" s="261" t="s">
        <v>11101</v>
      </c>
      <c r="F659" s="279">
        <v>50000</v>
      </c>
      <c r="G659" s="833" t="s">
        <v>12684</v>
      </c>
      <c r="H659" s="138"/>
    </row>
    <row r="660" spans="1:8" x14ac:dyDescent="0.2">
      <c r="A660" s="832" t="s">
        <v>13598</v>
      </c>
      <c r="B660" s="261" t="s">
        <v>7211</v>
      </c>
      <c r="C660" s="261" t="s">
        <v>429</v>
      </c>
      <c r="D660" s="261" t="s">
        <v>3779</v>
      </c>
      <c r="E660" s="261" t="s">
        <v>11101</v>
      </c>
      <c r="F660" s="279">
        <v>50000</v>
      </c>
      <c r="G660" s="833" t="s">
        <v>12673</v>
      </c>
      <c r="H660" s="138"/>
    </row>
    <row r="661" spans="1:8" x14ac:dyDescent="0.2">
      <c r="A661" s="832" t="s">
        <v>13599</v>
      </c>
      <c r="B661" s="261" t="s">
        <v>1591</v>
      </c>
      <c r="C661" s="261" t="s">
        <v>429</v>
      </c>
      <c r="D661" s="261" t="s">
        <v>3779</v>
      </c>
      <c r="E661" s="261" t="s">
        <v>11101</v>
      </c>
      <c r="F661" s="279">
        <v>50000</v>
      </c>
      <c r="G661" s="833" t="s">
        <v>12676</v>
      </c>
      <c r="H661" s="138"/>
    </row>
    <row r="662" spans="1:8" x14ac:dyDescent="0.2">
      <c r="A662" s="832" t="s">
        <v>13600</v>
      </c>
      <c r="B662" s="261" t="s">
        <v>7912</v>
      </c>
      <c r="C662" s="261" t="s">
        <v>429</v>
      </c>
      <c r="D662" s="261" t="s">
        <v>3779</v>
      </c>
      <c r="E662" s="261" t="s">
        <v>11101</v>
      </c>
      <c r="F662" s="279">
        <v>50000</v>
      </c>
      <c r="G662" s="833" t="s">
        <v>12681</v>
      </c>
      <c r="H662" s="138"/>
    </row>
    <row r="663" spans="1:8" x14ac:dyDescent="0.2">
      <c r="A663" s="832" t="s">
        <v>13601</v>
      </c>
      <c r="B663" s="261" t="s">
        <v>12594</v>
      </c>
      <c r="C663" s="261" t="s">
        <v>429</v>
      </c>
      <c r="D663" s="261" t="s">
        <v>3779</v>
      </c>
      <c r="E663" s="261" t="s">
        <v>11593</v>
      </c>
      <c r="F663" s="279">
        <v>200000</v>
      </c>
      <c r="G663" s="833" t="s">
        <v>12693</v>
      </c>
      <c r="H663" s="138"/>
    </row>
    <row r="664" spans="1:8" x14ac:dyDescent="0.2">
      <c r="A664" s="832" t="s">
        <v>13602</v>
      </c>
      <c r="B664" s="261" t="s">
        <v>11792</v>
      </c>
      <c r="C664" s="261" t="s">
        <v>429</v>
      </c>
      <c r="D664" s="261" t="s">
        <v>3779</v>
      </c>
      <c r="E664" s="261" t="s">
        <v>11790</v>
      </c>
      <c r="F664" s="279">
        <v>300000</v>
      </c>
      <c r="G664" s="833" t="s">
        <v>12668</v>
      </c>
      <c r="H664" s="138" t="s">
        <v>12696</v>
      </c>
    </row>
    <row r="665" spans="1:8" x14ac:dyDescent="0.2">
      <c r="A665" s="832" t="s">
        <v>13603</v>
      </c>
      <c r="B665" s="261" t="s">
        <v>12597</v>
      </c>
      <c r="C665" s="261" t="s">
        <v>543</v>
      </c>
      <c r="D665" s="261" t="s">
        <v>3779</v>
      </c>
      <c r="E665" s="261" t="s">
        <v>11101</v>
      </c>
      <c r="F665" s="279">
        <v>10000</v>
      </c>
      <c r="G665" s="833" t="s">
        <v>12645</v>
      </c>
      <c r="H665" s="138"/>
    </row>
    <row r="666" spans="1:8" x14ac:dyDescent="0.2">
      <c r="A666" s="832" t="s">
        <v>13604</v>
      </c>
      <c r="B666" s="261" t="s">
        <v>12599</v>
      </c>
      <c r="C666" s="261" t="s">
        <v>543</v>
      </c>
      <c r="D666" s="261" t="s">
        <v>3779</v>
      </c>
      <c r="E666" s="261" t="s">
        <v>11101</v>
      </c>
      <c r="F666" s="279">
        <v>10000</v>
      </c>
      <c r="G666" s="833" t="s">
        <v>12651</v>
      </c>
      <c r="H666" s="138"/>
    </row>
    <row r="667" spans="1:8" x14ac:dyDescent="0.2">
      <c r="A667" s="832" t="s">
        <v>13605</v>
      </c>
      <c r="B667" s="261" t="s">
        <v>12601</v>
      </c>
      <c r="C667" s="261" t="s">
        <v>543</v>
      </c>
      <c r="D667" s="261" t="s">
        <v>3779</v>
      </c>
      <c r="E667" s="261" t="s">
        <v>11101</v>
      </c>
      <c r="F667" s="279">
        <v>10000</v>
      </c>
      <c r="G667" s="833" t="s">
        <v>12657</v>
      </c>
      <c r="H667" s="138"/>
    </row>
    <row r="668" spans="1:8" x14ac:dyDescent="0.2">
      <c r="A668" s="832" t="s">
        <v>13606</v>
      </c>
      <c r="B668" s="261" t="s">
        <v>12603</v>
      </c>
      <c r="C668" s="261" t="s">
        <v>543</v>
      </c>
      <c r="D668" s="261" t="s">
        <v>3779</v>
      </c>
      <c r="E668" s="261" t="s">
        <v>11101</v>
      </c>
      <c r="F668" s="279">
        <v>10000</v>
      </c>
      <c r="G668" s="833" t="s">
        <v>12645</v>
      </c>
      <c r="H668" s="138"/>
    </row>
    <row r="669" spans="1:8" x14ac:dyDescent="0.2">
      <c r="A669" s="832" t="s">
        <v>13607</v>
      </c>
      <c r="B669" s="261" t="s">
        <v>12605</v>
      </c>
      <c r="C669" s="261" t="s">
        <v>543</v>
      </c>
      <c r="D669" s="261" t="s">
        <v>3779</v>
      </c>
      <c r="E669" s="261" t="s">
        <v>11101</v>
      </c>
      <c r="F669" s="279">
        <v>10000</v>
      </c>
      <c r="G669" s="833" t="s">
        <v>12651</v>
      </c>
      <c r="H669" s="138"/>
    </row>
    <row r="670" spans="1:8" x14ac:dyDescent="0.2">
      <c r="A670" s="832" t="s">
        <v>13608</v>
      </c>
      <c r="B670" s="261" t="s">
        <v>12607</v>
      </c>
      <c r="C670" s="261" t="s">
        <v>543</v>
      </c>
      <c r="D670" s="261" t="s">
        <v>3779</v>
      </c>
      <c r="E670" s="261" t="s">
        <v>11101</v>
      </c>
      <c r="F670" s="279">
        <v>10000</v>
      </c>
      <c r="G670" s="833" t="s">
        <v>12657</v>
      </c>
      <c r="H670" s="138"/>
    </row>
    <row r="671" spans="1:8" x14ac:dyDescent="0.2">
      <c r="A671" s="832" t="s">
        <v>13609</v>
      </c>
      <c r="B671" s="261" t="s">
        <v>12609</v>
      </c>
      <c r="C671" s="261" t="s">
        <v>543</v>
      </c>
      <c r="D671" s="261" t="s">
        <v>3779</v>
      </c>
      <c r="E671" s="261" t="s">
        <v>11101</v>
      </c>
      <c r="F671" s="279">
        <v>25000</v>
      </c>
      <c r="G671" s="833" t="s">
        <v>12670</v>
      </c>
      <c r="H671" s="138"/>
    </row>
    <row r="672" spans="1:8" x14ac:dyDescent="0.2">
      <c r="A672" s="832" t="s">
        <v>13610</v>
      </c>
      <c r="B672" s="261" t="s">
        <v>12611</v>
      </c>
      <c r="C672" s="261" t="s">
        <v>543</v>
      </c>
      <c r="D672" s="261" t="s">
        <v>3779</v>
      </c>
      <c r="E672" s="261" t="s">
        <v>11101</v>
      </c>
      <c r="F672" s="279">
        <v>25000</v>
      </c>
      <c r="G672" s="833" t="s">
        <v>12673</v>
      </c>
      <c r="H672" s="138"/>
    </row>
    <row r="673" spans="1:8" x14ac:dyDescent="0.2">
      <c r="A673" s="832" t="s">
        <v>13611</v>
      </c>
      <c r="B673" s="261" t="s">
        <v>12613</v>
      </c>
      <c r="C673" s="261" t="s">
        <v>543</v>
      </c>
      <c r="D673" s="261" t="s">
        <v>3779</v>
      </c>
      <c r="E673" s="261" t="s">
        <v>11101</v>
      </c>
      <c r="F673" s="279">
        <v>25000</v>
      </c>
      <c r="G673" s="833" t="s">
        <v>12676</v>
      </c>
      <c r="H673" s="138"/>
    </row>
    <row r="674" spans="1:8" x14ac:dyDescent="0.2">
      <c r="A674" s="832" t="s">
        <v>13612</v>
      </c>
      <c r="B674" s="261" t="s">
        <v>12615</v>
      </c>
      <c r="C674" s="261" t="s">
        <v>543</v>
      </c>
      <c r="D674" s="261" t="s">
        <v>3779</v>
      </c>
      <c r="E674" s="261" t="s">
        <v>11101</v>
      </c>
      <c r="F674" s="279">
        <v>25000</v>
      </c>
      <c r="G674" s="833" t="s">
        <v>12670</v>
      </c>
      <c r="H674" s="138"/>
    </row>
    <row r="675" spans="1:8" x14ac:dyDescent="0.2">
      <c r="A675" s="832" t="s">
        <v>13613</v>
      </c>
      <c r="B675" s="261" t="s">
        <v>12617</v>
      </c>
      <c r="C675" s="261" t="s">
        <v>543</v>
      </c>
      <c r="D675" s="261" t="s">
        <v>3779</v>
      </c>
      <c r="E675" s="261" t="s">
        <v>11101</v>
      </c>
      <c r="F675" s="279">
        <v>25000</v>
      </c>
      <c r="G675" s="833" t="s">
        <v>12681</v>
      </c>
      <c r="H675" s="138"/>
    </row>
    <row r="676" spans="1:8" x14ac:dyDescent="0.2">
      <c r="A676" s="832" t="s">
        <v>13614</v>
      </c>
      <c r="B676" s="261" t="s">
        <v>12619</v>
      </c>
      <c r="C676" s="261" t="s">
        <v>543</v>
      </c>
      <c r="D676" s="261" t="s">
        <v>3779</v>
      </c>
      <c r="E676" s="261" t="s">
        <v>11101</v>
      </c>
      <c r="F676" s="279">
        <v>50000</v>
      </c>
      <c r="G676" s="833" t="s">
        <v>12684</v>
      </c>
      <c r="H676" s="138"/>
    </row>
    <row r="677" spans="1:8" x14ac:dyDescent="0.2">
      <c r="A677" s="832" t="s">
        <v>13615</v>
      </c>
      <c r="B677" s="261" t="s">
        <v>7211</v>
      </c>
      <c r="C677" s="261" t="s">
        <v>543</v>
      </c>
      <c r="D677" s="261" t="s">
        <v>3779</v>
      </c>
      <c r="E677" s="261" t="s">
        <v>11101</v>
      </c>
      <c r="F677" s="279">
        <v>50000</v>
      </c>
      <c r="G677" s="833" t="s">
        <v>12673</v>
      </c>
      <c r="H677" s="138"/>
    </row>
    <row r="678" spans="1:8" x14ac:dyDescent="0.2">
      <c r="A678" s="832" t="s">
        <v>13616</v>
      </c>
      <c r="B678" s="261" t="s">
        <v>1591</v>
      </c>
      <c r="C678" s="261" t="s">
        <v>543</v>
      </c>
      <c r="D678" s="261" t="s">
        <v>3779</v>
      </c>
      <c r="E678" s="261" t="s">
        <v>11101</v>
      </c>
      <c r="F678" s="279">
        <v>50000</v>
      </c>
      <c r="G678" s="833" t="s">
        <v>12676</v>
      </c>
      <c r="H678" s="138"/>
    </row>
    <row r="679" spans="1:8" x14ac:dyDescent="0.2">
      <c r="A679" s="832" t="s">
        <v>13617</v>
      </c>
      <c r="B679" s="261" t="s">
        <v>7912</v>
      </c>
      <c r="C679" s="261" t="s">
        <v>543</v>
      </c>
      <c r="D679" s="261" t="s">
        <v>3779</v>
      </c>
      <c r="E679" s="261" t="s">
        <v>11101</v>
      </c>
      <c r="F679" s="279">
        <v>50000</v>
      </c>
      <c r="G679" s="833" t="s">
        <v>12681</v>
      </c>
      <c r="H679" s="138"/>
    </row>
    <row r="680" spans="1:8" x14ac:dyDescent="0.2">
      <c r="A680" s="832" t="s">
        <v>13618</v>
      </c>
      <c r="B680" s="261" t="s">
        <v>12594</v>
      </c>
      <c r="C680" s="261" t="s">
        <v>543</v>
      </c>
      <c r="D680" s="261" t="s">
        <v>3779</v>
      </c>
      <c r="E680" s="261" t="s">
        <v>11593</v>
      </c>
      <c r="F680" s="279">
        <v>200000</v>
      </c>
      <c r="G680" s="833" t="s">
        <v>12693</v>
      </c>
      <c r="H680" s="138"/>
    </row>
    <row r="681" spans="1:8" x14ac:dyDescent="0.2">
      <c r="A681" s="832" t="s">
        <v>13619</v>
      </c>
      <c r="B681" s="261" t="s">
        <v>11792</v>
      </c>
      <c r="C681" s="261" t="s">
        <v>543</v>
      </c>
      <c r="D681" s="261" t="s">
        <v>3779</v>
      </c>
      <c r="E681" s="261" t="s">
        <v>11790</v>
      </c>
      <c r="F681" s="279">
        <v>300000</v>
      </c>
      <c r="G681" s="833" t="s">
        <v>12668</v>
      </c>
      <c r="H681" s="138" t="s">
        <v>12696</v>
      </c>
    </row>
    <row r="682" spans="1:8" x14ac:dyDescent="0.2">
      <c r="A682" s="832" t="s">
        <v>13620</v>
      </c>
      <c r="B682" s="261" t="s">
        <v>12597</v>
      </c>
      <c r="C682" s="261" t="s">
        <v>645</v>
      </c>
      <c r="D682" s="261" t="s">
        <v>3779</v>
      </c>
      <c r="E682" s="261" t="s">
        <v>11101</v>
      </c>
      <c r="F682" s="279">
        <v>10000</v>
      </c>
      <c r="G682" s="833" t="s">
        <v>12645</v>
      </c>
      <c r="H682" s="138"/>
    </row>
    <row r="683" spans="1:8" x14ac:dyDescent="0.2">
      <c r="A683" s="832" t="s">
        <v>13621</v>
      </c>
      <c r="B683" s="261" t="s">
        <v>12599</v>
      </c>
      <c r="C683" s="261" t="s">
        <v>645</v>
      </c>
      <c r="D683" s="261" t="s">
        <v>3779</v>
      </c>
      <c r="E683" s="261" t="s">
        <v>11101</v>
      </c>
      <c r="F683" s="279">
        <v>10000</v>
      </c>
      <c r="G683" s="833" t="s">
        <v>12651</v>
      </c>
      <c r="H683" s="138"/>
    </row>
    <row r="684" spans="1:8" x14ac:dyDescent="0.2">
      <c r="A684" s="832" t="s">
        <v>13622</v>
      </c>
      <c r="B684" s="261" t="s">
        <v>12601</v>
      </c>
      <c r="C684" s="261" t="s">
        <v>645</v>
      </c>
      <c r="D684" s="261" t="s">
        <v>3779</v>
      </c>
      <c r="E684" s="261" t="s">
        <v>11101</v>
      </c>
      <c r="F684" s="279">
        <v>10000</v>
      </c>
      <c r="G684" s="833" t="s">
        <v>12657</v>
      </c>
      <c r="H684" s="138"/>
    </row>
    <row r="685" spans="1:8" x14ac:dyDescent="0.2">
      <c r="A685" s="832" t="s">
        <v>13623</v>
      </c>
      <c r="B685" s="261" t="s">
        <v>12603</v>
      </c>
      <c r="C685" s="261" t="s">
        <v>645</v>
      </c>
      <c r="D685" s="261" t="s">
        <v>3779</v>
      </c>
      <c r="E685" s="261" t="s">
        <v>11101</v>
      </c>
      <c r="F685" s="279">
        <v>10000</v>
      </c>
      <c r="G685" s="833" t="s">
        <v>12645</v>
      </c>
      <c r="H685" s="138"/>
    </row>
    <row r="686" spans="1:8" x14ac:dyDescent="0.2">
      <c r="A686" s="832" t="s">
        <v>13624</v>
      </c>
      <c r="B686" s="261" t="s">
        <v>12605</v>
      </c>
      <c r="C686" s="261" t="s">
        <v>645</v>
      </c>
      <c r="D686" s="261" t="s">
        <v>3779</v>
      </c>
      <c r="E686" s="261" t="s">
        <v>11101</v>
      </c>
      <c r="F686" s="279">
        <v>10000</v>
      </c>
      <c r="G686" s="833" t="s">
        <v>12651</v>
      </c>
      <c r="H686" s="138"/>
    </row>
    <row r="687" spans="1:8" x14ac:dyDescent="0.2">
      <c r="A687" s="832" t="s">
        <v>13625</v>
      </c>
      <c r="B687" s="261" t="s">
        <v>12607</v>
      </c>
      <c r="C687" s="261" t="s">
        <v>645</v>
      </c>
      <c r="D687" s="261" t="s">
        <v>3779</v>
      </c>
      <c r="E687" s="261" t="s">
        <v>11101</v>
      </c>
      <c r="F687" s="279">
        <v>10000</v>
      </c>
      <c r="G687" s="833" t="s">
        <v>12657</v>
      </c>
      <c r="H687" s="138"/>
    </row>
    <row r="688" spans="1:8" x14ac:dyDescent="0.2">
      <c r="A688" s="832" t="s">
        <v>13626</v>
      </c>
      <c r="B688" s="261" t="s">
        <v>12609</v>
      </c>
      <c r="C688" s="261" t="s">
        <v>645</v>
      </c>
      <c r="D688" s="261" t="s">
        <v>3779</v>
      </c>
      <c r="E688" s="261" t="s">
        <v>11101</v>
      </c>
      <c r="F688" s="279">
        <v>25000</v>
      </c>
      <c r="G688" s="833" t="s">
        <v>12670</v>
      </c>
      <c r="H688" s="138"/>
    </row>
    <row r="689" spans="1:8" x14ac:dyDescent="0.2">
      <c r="A689" s="832" t="s">
        <v>13627</v>
      </c>
      <c r="B689" s="261" t="s">
        <v>12611</v>
      </c>
      <c r="C689" s="261" t="s">
        <v>645</v>
      </c>
      <c r="D689" s="261" t="s">
        <v>3779</v>
      </c>
      <c r="E689" s="261" t="s">
        <v>11101</v>
      </c>
      <c r="F689" s="279">
        <v>25000</v>
      </c>
      <c r="G689" s="833" t="s">
        <v>12673</v>
      </c>
      <c r="H689" s="138"/>
    </row>
    <row r="690" spans="1:8" x14ac:dyDescent="0.2">
      <c r="A690" s="832" t="s">
        <v>13628</v>
      </c>
      <c r="B690" s="261" t="s">
        <v>12613</v>
      </c>
      <c r="C690" s="261" t="s">
        <v>645</v>
      </c>
      <c r="D690" s="261" t="s">
        <v>3779</v>
      </c>
      <c r="E690" s="261" t="s">
        <v>11101</v>
      </c>
      <c r="F690" s="279">
        <v>25000</v>
      </c>
      <c r="G690" s="833" t="s">
        <v>12676</v>
      </c>
      <c r="H690" s="138"/>
    </row>
    <row r="691" spans="1:8" x14ac:dyDescent="0.2">
      <c r="A691" s="832" t="s">
        <v>13629</v>
      </c>
      <c r="B691" s="261" t="s">
        <v>12615</v>
      </c>
      <c r="C691" s="261" t="s">
        <v>645</v>
      </c>
      <c r="D691" s="261" t="s">
        <v>3779</v>
      </c>
      <c r="E691" s="261" t="s">
        <v>11101</v>
      </c>
      <c r="F691" s="279">
        <v>25000</v>
      </c>
      <c r="G691" s="833" t="s">
        <v>12670</v>
      </c>
      <c r="H691" s="138"/>
    </row>
    <row r="692" spans="1:8" x14ac:dyDescent="0.2">
      <c r="A692" s="832" t="s">
        <v>13630</v>
      </c>
      <c r="B692" s="261" t="s">
        <v>12617</v>
      </c>
      <c r="C692" s="261" t="s">
        <v>645</v>
      </c>
      <c r="D692" s="261" t="s">
        <v>3779</v>
      </c>
      <c r="E692" s="261" t="s">
        <v>11101</v>
      </c>
      <c r="F692" s="279">
        <v>25000</v>
      </c>
      <c r="G692" s="833" t="s">
        <v>12681</v>
      </c>
      <c r="H692" s="138"/>
    </row>
    <row r="693" spans="1:8" x14ac:dyDescent="0.2">
      <c r="A693" s="832" t="s">
        <v>13631</v>
      </c>
      <c r="B693" s="261" t="s">
        <v>12619</v>
      </c>
      <c r="C693" s="261" t="s">
        <v>645</v>
      </c>
      <c r="D693" s="261" t="s">
        <v>3779</v>
      </c>
      <c r="E693" s="261" t="s">
        <v>11101</v>
      </c>
      <c r="F693" s="279">
        <v>50000</v>
      </c>
      <c r="G693" s="833" t="s">
        <v>12684</v>
      </c>
      <c r="H693" s="138"/>
    </row>
    <row r="694" spans="1:8" x14ac:dyDescent="0.2">
      <c r="A694" s="832" t="s">
        <v>13632</v>
      </c>
      <c r="B694" s="261" t="s">
        <v>7211</v>
      </c>
      <c r="C694" s="261" t="s">
        <v>645</v>
      </c>
      <c r="D694" s="261" t="s">
        <v>3779</v>
      </c>
      <c r="E694" s="261" t="s">
        <v>11101</v>
      </c>
      <c r="F694" s="279">
        <v>50000</v>
      </c>
      <c r="G694" s="833" t="s">
        <v>12673</v>
      </c>
      <c r="H694" s="138"/>
    </row>
    <row r="695" spans="1:8" x14ac:dyDescent="0.2">
      <c r="A695" s="832" t="s">
        <v>13633</v>
      </c>
      <c r="B695" s="261" t="s">
        <v>1591</v>
      </c>
      <c r="C695" s="261" t="s">
        <v>645</v>
      </c>
      <c r="D695" s="261" t="s">
        <v>3779</v>
      </c>
      <c r="E695" s="261" t="s">
        <v>11101</v>
      </c>
      <c r="F695" s="279">
        <v>50000</v>
      </c>
      <c r="G695" s="833" t="s">
        <v>12676</v>
      </c>
      <c r="H695" s="138"/>
    </row>
    <row r="696" spans="1:8" x14ac:dyDescent="0.2">
      <c r="A696" s="832" t="s">
        <v>13634</v>
      </c>
      <c r="B696" s="261" t="s">
        <v>7912</v>
      </c>
      <c r="C696" s="261" t="s">
        <v>645</v>
      </c>
      <c r="D696" s="261" t="s">
        <v>3779</v>
      </c>
      <c r="E696" s="261" t="s">
        <v>11101</v>
      </c>
      <c r="F696" s="279">
        <v>50000</v>
      </c>
      <c r="G696" s="833" t="s">
        <v>12681</v>
      </c>
      <c r="H696" s="138"/>
    </row>
    <row r="697" spans="1:8" x14ac:dyDescent="0.2">
      <c r="A697" s="832" t="s">
        <v>13635</v>
      </c>
      <c r="B697" s="261" t="s">
        <v>12594</v>
      </c>
      <c r="C697" s="261" t="s">
        <v>645</v>
      </c>
      <c r="D697" s="261" t="s">
        <v>3779</v>
      </c>
      <c r="E697" s="261" t="s">
        <v>11593</v>
      </c>
      <c r="F697" s="279">
        <v>200000</v>
      </c>
      <c r="G697" s="833" t="s">
        <v>12693</v>
      </c>
      <c r="H697" s="138"/>
    </row>
    <row r="698" spans="1:8" x14ac:dyDescent="0.2">
      <c r="A698" s="832" t="s">
        <v>13636</v>
      </c>
      <c r="B698" s="261" t="s">
        <v>11792</v>
      </c>
      <c r="C698" s="261" t="s">
        <v>645</v>
      </c>
      <c r="D698" s="261" t="s">
        <v>3779</v>
      </c>
      <c r="E698" s="261" t="s">
        <v>11790</v>
      </c>
      <c r="F698" s="279">
        <v>300000</v>
      </c>
      <c r="G698" s="833" t="s">
        <v>12668</v>
      </c>
      <c r="H698" s="138" t="s">
        <v>12696</v>
      </c>
    </row>
    <row r="699" spans="1:8" x14ac:dyDescent="0.2">
      <c r="A699" s="832" t="s">
        <v>13637</v>
      </c>
      <c r="B699" s="261" t="s">
        <v>12597</v>
      </c>
      <c r="C699" s="261" t="s">
        <v>759</v>
      </c>
      <c r="D699" s="261" t="s">
        <v>3779</v>
      </c>
      <c r="E699" s="261" t="s">
        <v>11101</v>
      </c>
      <c r="F699" s="279">
        <v>10000</v>
      </c>
      <c r="G699" s="833" t="s">
        <v>12645</v>
      </c>
      <c r="H699" s="138"/>
    </row>
    <row r="700" spans="1:8" x14ac:dyDescent="0.2">
      <c r="A700" s="832" t="s">
        <v>13638</v>
      </c>
      <c r="B700" s="261" t="s">
        <v>12599</v>
      </c>
      <c r="C700" s="261" t="s">
        <v>759</v>
      </c>
      <c r="D700" s="261" t="s">
        <v>3779</v>
      </c>
      <c r="E700" s="261" t="s">
        <v>11101</v>
      </c>
      <c r="F700" s="279">
        <v>10000</v>
      </c>
      <c r="G700" s="833" t="s">
        <v>12651</v>
      </c>
      <c r="H700" s="138"/>
    </row>
    <row r="701" spans="1:8" x14ac:dyDescent="0.2">
      <c r="A701" s="832" t="s">
        <v>13639</v>
      </c>
      <c r="B701" s="261" t="s">
        <v>12601</v>
      </c>
      <c r="C701" s="261" t="s">
        <v>759</v>
      </c>
      <c r="D701" s="261" t="s">
        <v>3779</v>
      </c>
      <c r="E701" s="261" t="s">
        <v>11101</v>
      </c>
      <c r="F701" s="279">
        <v>10000</v>
      </c>
      <c r="G701" s="833" t="s">
        <v>12657</v>
      </c>
      <c r="H701" s="138"/>
    </row>
    <row r="702" spans="1:8" x14ac:dyDescent="0.2">
      <c r="A702" s="832" t="s">
        <v>13640</v>
      </c>
      <c r="B702" s="261" t="s">
        <v>12603</v>
      </c>
      <c r="C702" s="261" t="s">
        <v>759</v>
      </c>
      <c r="D702" s="261" t="s">
        <v>3779</v>
      </c>
      <c r="E702" s="261" t="s">
        <v>11101</v>
      </c>
      <c r="F702" s="279">
        <v>10000</v>
      </c>
      <c r="G702" s="833" t="s">
        <v>12645</v>
      </c>
      <c r="H702" s="138"/>
    </row>
    <row r="703" spans="1:8" x14ac:dyDescent="0.2">
      <c r="A703" s="832" t="s">
        <v>13641</v>
      </c>
      <c r="B703" s="261" t="s">
        <v>12605</v>
      </c>
      <c r="C703" s="261" t="s">
        <v>759</v>
      </c>
      <c r="D703" s="261" t="s">
        <v>3779</v>
      </c>
      <c r="E703" s="261" t="s">
        <v>11101</v>
      </c>
      <c r="F703" s="279">
        <v>10000</v>
      </c>
      <c r="G703" s="833" t="s">
        <v>12651</v>
      </c>
      <c r="H703" s="138"/>
    </row>
    <row r="704" spans="1:8" x14ac:dyDescent="0.2">
      <c r="A704" s="832" t="s">
        <v>13642</v>
      </c>
      <c r="B704" s="261" t="s">
        <v>12607</v>
      </c>
      <c r="C704" s="261" t="s">
        <v>759</v>
      </c>
      <c r="D704" s="261" t="s">
        <v>3779</v>
      </c>
      <c r="E704" s="261" t="s">
        <v>11101</v>
      </c>
      <c r="F704" s="279">
        <v>10000</v>
      </c>
      <c r="G704" s="833" t="s">
        <v>12657</v>
      </c>
      <c r="H704" s="138"/>
    </row>
    <row r="705" spans="1:8" x14ac:dyDescent="0.2">
      <c r="A705" s="832" t="s">
        <v>13643</v>
      </c>
      <c r="B705" s="261" t="s">
        <v>12609</v>
      </c>
      <c r="C705" s="261" t="s">
        <v>759</v>
      </c>
      <c r="D705" s="261" t="s">
        <v>3779</v>
      </c>
      <c r="E705" s="261" t="s">
        <v>11101</v>
      </c>
      <c r="F705" s="279">
        <v>25000</v>
      </c>
      <c r="G705" s="833" t="s">
        <v>12670</v>
      </c>
      <c r="H705" s="138"/>
    </row>
    <row r="706" spans="1:8" x14ac:dyDescent="0.2">
      <c r="A706" s="832" t="s">
        <v>13644</v>
      </c>
      <c r="B706" s="261" t="s">
        <v>12611</v>
      </c>
      <c r="C706" s="261" t="s">
        <v>759</v>
      </c>
      <c r="D706" s="261" t="s">
        <v>3779</v>
      </c>
      <c r="E706" s="261" t="s">
        <v>11101</v>
      </c>
      <c r="F706" s="279">
        <v>25000</v>
      </c>
      <c r="G706" s="833" t="s">
        <v>12673</v>
      </c>
      <c r="H706" s="138"/>
    </row>
    <row r="707" spans="1:8" x14ac:dyDescent="0.2">
      <c r="A707" s="832" t="s">
        <v>13645</v>
      </c>
      <c r="B707" s="261" t="s">
        <v>12613</v>
      </c>
      <c r="C707" s="261" t="s">
        <v>759</v>
      </c>
      <c r="D707" s="261" t="s">
        <v>3779</v>
      </c>
      <c r="E707" s="261" t="s">
        <v>11101</v>
      </c>
      <c r="F707" s="279">
        <v>25000</v>
      </c>
      <c r="G707" s="833" t="s">
        <v>12676</v>
      </c>
      <c r="H707" s="138"/>
    </row>
    <row r="708" spans="1:8" x14ac:dyDescent="0.2">
      <c r="A708" s="832" t="s">
        <v>13646</v>
      </c>
      <c r="B708" s="261" t="s">
        <v>12615</v>
      </c>
      <c r="C708" s="261" t="s">
        <v>759</v>
      </c>
      <c r="D708" s="261" t="s">
        <v>3779</v>
      </c>
      <c r="E708" s="261" t="s">
        <v>11101</v>
      </c>
      <c r="F708" s="279">
        <v>25000</v>
      </c>
      <c r="G708" s="833" t="s">
        <v>12670</v>
      </c>
      <c r="H708" s="138"/>
    </row>
    <row r="709" spans="1:8" x14ac:dyDescent="0.2">
      <c r="A709" s="832" t="s">
        <v>13647</v>
      </c>
      <c r="B709" s="261" t="s">
        <v>12617</v>
      </c>
      <c r="C709" s="261" t="s">
        <v>759</v>
      </c>
      <c r="D709" s="261" t="s">
        <v>3779</v>
      </c>
      <c r="E709" s="261" t="s">
        <v>11101</v>
      </c>
      <c r="F709" s="279">
        <v>25000</v>
      </c>
      <c r="G709" s="833" t="s">
        <v>12681</v>
      </c>
      <c r="H709" s="138"/>
    </row>
    <row r="710" spans="1:8" x14ac:dyDescent="0.2">
      <c r="A710" s="832" t="s">
        <v>13648</v>
      </c>
      <c r="B710" s="261" t="s">
        <v>12619</v>
      </c>
      <c r="C710" s="261" t="s">
        <v>759</v>
      </c>
      <c r="D710" s="261" t="s">
        <v>3779</v>
      </c>
      <c r="E710" s="261" t="s">
        <v>11101</v>
      </c>
      <c r="F710" s="279">
        <v>50000</v>
      </c>
      <c r="G710" s="833" t="s">
        <v>12684</v>
      </c>
      <c r="H710" s="138"/>
    </row>
    <row r="711" spans="1:8" x14ac:dyDescent="0.2">
      <c r="A711" s="832" t="s">
        <v>13649</v>
      </c>
      <c r="B711" s="261" t="s">
        <v>7211</v>
      </c>
      <c r="C711" s="261" t="s">
        <v>759</v>
      </c>
      <c r="D711" s="261" t="s">
        <v>3779</v>
      </c>
      <c r="E711" s="261" t="s">
        <v>11101</v>
      </c>
      <c r="F711" s="279">
        <v>50000</v>
      </c>
      <c r="G711" s="833" t="s">
        <v>12673</v>
      </c>
      <c r="H711" s="138"/>
    </row>
    <row r="712" spans="1:8" x14ac:dyDescent="0.2">
      <c r="A712" s="832" t="s">
        <v>13650</v>
      </c>
      <c r="B712" s="261" t="s">
        <v>1591</v>
      </c>
      <c r="C712" s="261" t="s">
        <v>759</v>
      </c>
      <c r="D712" s="261" t="s">
        <v>3779</v>
      </c>
      <c r="E712" s="261" t="s">
        <v>11101</v>
      </c>
      <c r="F712" s="279">
        <v>50000</v>
      </c>
      <c r="G712" s="833" t="s">
        <v>12676</v>
      </c>
      <c r="H712" s="138"/>
    </row>
    <row r="713" spans="1:8" x14ac:dyDescent="0.2">
      <c r="A713" s="832" t="s">
        <v>13651</v>
      </c>
      <c r="B713" s="261" t="s">
        <v>7912</v>
      </c>
      <c r="C713" s="261" t="s">
        <v>759</v>
      </c>
      <c r="D713" s="261" t="s">
        <v>3779</v>
      </c>
      <c r="E713" s="261" t="s">
        <v>11101</v>
      </c>
      <c r="F713" s="279">
        <v>50000</v>
      </c>
      <c r="G713" s="833" t="s">
        <v>12681</v>
      </c>
      <c r="H713" s="138"/>
    </row>
    <row r="714" spans="1:8" x14ac:dyDescent="0.2">
      <c r="A714" s="832" t="s">
        <v>13652</v>
      </c>
      <c r="B714" s="261" t="s">
        <v>12594</v>
      </c>
      <c r="C714" s="261" t="s">
        <v>759</v>
      </c>
      <c r="D714" s="261" t="s">
        <v>3779</v>
      </c>
      <c r="E714" s="261" t="s">
        <v>11593</v>
      </c>
      <c r="F714" s="279">
        <v>200000</v>
      </c>
      <c r="G714" s="833" t="s">
        <v>12693</v>
      </c>
      <c r="H714" s="138"/>
    </row>
    <row r="715" spans="1:8" x14ac:dyDescent="0.2">
      <c r="A715" s="832" t="s">
        <v>13653</v>
      </c>
      <c r="B715" s="261" t="s">
        <v>11792</v>
      </c>
      <c r="C715" s="261" t="s">
        <v>759</v>
      </c>
      <c r="D715" s="261" t="s">
        <v>3779</v>
      </c>
      <c r="E715" s="261" t="s">
        <v>11790</v>
      </c>
      <c r="F715" s="279">
        <v>300000</v>
      </c>
      <c r="G715" s="833" t="s">
        <v>12668</v>
      </c>
      <c r="H715" s="138" t="s">
        <v>12696</v>
      </c>
    </row>
    <row r="716" spans="1:8" x14ac:dyDescent="0.2">
      <c r="A716" s="832" t="s">
        <v>13654</v>
      </c>
      <c r="B716" s="261" t="s">
        <v>12597</v>
      </c>
      <c r="C716" s="261" t="s">
        <v>839</v>
      </c>
      <c r="D716" s="261" t="s">
        <v>3779</v>
      </c>
      <c r="E716" s="261" t="s">
        <v>11101</v>
      </c>
      <c r="F716" s="279">
        <v>10000</v>
      </c>
      <c r="G716" s="833" t="s">
        <v>12645</v>
      </c>
      <c r="H716" s="138"/>
    </row>
    <row r="717" spans="1:8" x14ac:dyDescent="0.2">
      <c r="A717" s="832" t="s">
        <v>13655</v>
      </c>
      <c r="B717" s="261" t="s">
        <v>12599</v>
      </c>
      <c r="C717" s="261" t="s">
        <v>839</v>
      </c>
      <c r="D717" s="261" t="s">
        <v>3779</v>
      </c>
      <c r="E717" s="261" t="s">
        <v>11101</v>
      </c>
      <c r="F717" s="279">
        <v>10000</v>
      </c>
      <c r="G717" s="833" t="s">
        <v>12651</v>
      </c>
      <c r="H717" s="138"/>
    </row>
    <row r="718" spans="1:8" x14ac:dyDescent="0.2">
      <c r="A718" s="832" t="s">
        <v>13656</v>
      </c>
      <c r="B718" s="261" t="s">
        <v>12601</v>
      </c>
      <c r="C718" s="261" t="s">
        <v>839</v>
      </c>
      <c r="D718" s="261" t="s">
        <v>3779</v>
      </c>
      <c r="E718" s="261" t="s">
        <v>11101</v>
      </c>
      <c r="F718" s="279">
        <v>10000</v>
      </c>
      <c r="G718" s="833" t="s">
        <v>12657</v>
      </c>
      <c r="H718" s="138"/>
    </row>
    <row r="719" spans="1:8" x14ac:dyDescent="0.2">
      <c r="A719" s="832" t="s">
        <v>13657</v>
      </c>
      <c r="B719" s="261" t="s">
        <v>12603</v>
      </c>
      <c r="C719" s="261" t="s">
        <v>839</v>
      </c>
      <c r="D719" s="261" t="s">
        <v>3779</v>
      </c>
      <c r="E719" s="261" t="s">
        <v>11101</v>
      </c>
      <c r="F719" s="279">
        <v>10000</v>
      </c>
      <c r="G719" s="833" t="s">
        <v>12645</v>
      </c>
      <c r="H719" s="138"/>
    </row>
    <row r="720" spans="1:8" x14ac:dyDescent="0.2">
      <c r="A720" s="832" t="s">
        <v>13658</v>
      </c>
      <c r="B720" s="261" t="s">
        <v>12605</v>
      </c>
      <c r="C720" s="261" t="s">
        <v>839</v>
      </c>
      <c r="D720" s="261" t="s">
        <v>3779</v>
      </c>
      <c r="E720" s="261" t="s">
        <v>11101</v>
      </c>
      <c r="F720" s="279">
        <v>10000</v>
      </c>
      <c r="G720" s="833" t="s">
        <v>12651</v>
      </c>
      <c r="H720" s="138"/>
    </row>
    <row r="721" spans="1:8" x14ac:dyDescent="0.2">
      <c r="A721" s="832" t="s">
        <v>13659</v>
      </c>
      <c r="B721" s="261" t="s">
        <v>12607</v>
      </c>
      <c r="C721" s="261" t="s">
        <v>839</v>
      </c>
      <c r="D721" s="261" t="s">
        <v>3779</v>
      </c>
      <c r="E721" s="261" t="s">
        <v>11101</v>
      </c>
      <c r="F721" s="279">
        <v>10000</v>
      </c>
      <c r="G721" s="833" t="s">
        <v>12657</v>
      </c>
      <c r="H721" s="138"/>
    </row>
    <row r="722" spans="1:8" x14ac:dyDescent="0.2">
      <c r="A722" s="832" t="s">
        <v>13660</v>
      </c>
      <c r="B722" s="261" t="s">
        <v>12609</v>
      </c>
      <c r="C722" s="261" t="s">
        <v>839</v>
      </c>
      <c r="D722" s="261" t="s">
        <v>3779</v>
      </c>
      <c r="E722" s="261" t="s">
        <v>11101</v>
      </c>
      <c r="F722" s="279">
        <v>25000</v>
      </c>
      <c r="G722" s="833" t="s">
        <v>12670</v>
      </c>
      <c r="H722" s="138"/>
    </row>
    <row r="723" spans="1:8" x14ac:dyDescent="0.2">
      <c r="A723" s="832" t="s">
        <v>13661</v>
      </c>
      <c r="B723" s="261" t="s">
        <v>12611</v>
      </c>
      <c r="C723" s="261" t="s">
        <v>839</v>
      </c>
      <c r="D723" s="261" t="s">
        <v>3779</v>
      </c>
      <c r="E723" s="261" t="s">
        <v>11101</v>
      </c>
      <c r="F723" s="279">
        <v>25000</v>
      </c>
      <c r="G723" s="833" t="s">
        <v>12673</v>
      </c>
      <c r="H723" s="138"/>
    </row>
    <row r="724" spans="1:8" x14ac:dyDescent="0.2">
      <c r="A724" s="832" t="s">
        <v>13662</v>
      </c>
      <c r="B724" s="261" t="s">
        <v>12613</v>
      </c>
      <c r="C724" s="261" t="s">
        <v>839</v>
      </c>
      <c r="D724" s="261" t="s">
        <v>3779</v>
      </c>
      <c r="E724" s="261" t="s">
        <v>11101</v>
      </c>
      <c r="F724" s="279">
        <v>25000</v>
      </c>
      <c r="G724" s="833" t="s">
        <v>12676</v>
      </c>
      <c r="H724" s="138"/>
    </row>
    <row r="725" spans="1:8" x14ac:dyDescent="0.2">
      <c r="A725" s="832" t="s">
        <v>13663</v>
      </c>
      <c r="B725" s="261" t="s">
        <v>12615</v>
      </c>
      <c r="C725" s="261" t="s">
        <v>839</v>
      </c>
      <c r="D725" s="261" t="s">
        <v>3779</v>
      </c>
      <c r="E725" s="261" t="s">
        <v>11101</v>
      </c>
      <c r="F725" s="279">
        <v>25000</v>
      </c>
      <c r="G725" s="833" t="s">
        <v>12670</v>
      </c>
      <c r="H725" s="138"/>
    </row>
    <row r="726" spans="1:8" x14ac:dyDescent="0.2">
      <c r="A726" s="832" t="s">
        <v>13664</v>
      </c>
      <c r="B726" s="261" t="s">
        <v>12617</v>
      </c>
      <c r="C726" s="261" t="s">
        <v>839</v>
      </c>
      <c r="D726" s="261" t="s">
        <v>3779</v>
      </c>
      <c r="E726" s="261" t="s">
        <v>11101</v>
      </c>
      <c r="F726" s="279">
        <v>25000</v>
      </c>
      <c r="G726" s="833" t="s">
        <v>12681</v>
      </c>
      <c r="H726" s="138"/>
    </row>
    <row r="727" spans="1:8" x14ac:dyDescent="0.2">
      <c r="A727" s="832" t="s">
        <v>13665</v>
      </c>
      <c r="B727" s="261" t="s">
        <v>12619</v>
      </c>
      <c r="C727" s="261" t="s">
        <v>839</v>
      </c>
      <c r="D727" s="261" t="s">
        <v>3779</v>
      </c>
      <c r="E727" s="261" t="s">
        <v>11101</v>
      </c>
      <c r="F727" s="279">
        <v>50000</v>
      </c>
      <c r="G727" s="833" t="s">
        <v>12684</v>
      </c>
      <c r="H727" s="138"/>
    </row>
    <row r="728" spans="1:8" x14ac:dyDescent="0.2">
      <c r="A728" s="832" t="s">
        <v>13666</v>
      </c>
      <c r="B728" s="261" t="s">
        <v>7211</v>
      </c>
      <c r="C728" s="261" t="s">
        <v>839</v>
      </c>
      <c r="D728" s="261" t="s">
        <v>3779</v>
      </c>
      <c r="E728" s="261" t="s">
        <v>11101</v>
      </c>
      <c r="F728" s="279">
        <v>50000</v>
      </c>
      <c r="G728" s="833" t="s">
        <v>12673</v>
      </c>
      <c r="H728" s="138"/>
    </row>
    <row r="729" spans="1:8" x14ac:dyDescent="0.2">
      <c r="A729" s="832" t="s">
        <v>13667</v>
      </c>
      <c r="B729" s="261" t="s">
        <v>1591</v>
      </c>
      <c r="C729" s="261" t="s">
        <v>839</v>
      </c>
      <c r="D729" s="261" t="s">
        <v>3779</v>
      </c>
      <c r="E729" s="261" t="s">
        <v>11101</v>
      </c>
      <c r="F729" s="279">
        <v>50000</v>
      </c>
      <c r="G729" s="833" t="s">
        <v>12676</v>
      </c>
      <c r="H729" s="138"/>
    </row>
    <row r="730" spans="1:8" x14ac:dyDescent="0.2">
      <c r="A730" s="832" t="s">
        <v>13668</v>
      </c>
      <c r="B730" s="261" t="s">
        <v>7912</v>
      </c>
      <c r="C730" s="261" t="s">
        <v>839</v>
      </c>
      <c r="D730" s="261" t="s">
        <v>3779</v>
      </c>
      <c r="E730" s="261" t="s">
        <v>11101</v>
      </c>
      <c r="F730" s="279">
        <v>50000</v>
      </c>
      <c r="G730" s="833" t="s">
        <v>12681</v>
      </c>
      <c r="H730" s="138"/>
    </row>
    <row r="731" spans="1:8" x14ac:dyDescent="0.2">
      <c r="A731" s="832" t="s">
        <v>13669</v>
      </c>
      <c r="B731" s="261" t="s">
        <v>12594</v>
      </c>
      <c r="C731" s="261" t="s">
        <v>839</v>
      </c>
      <c r="D731" s="261" t="s">
        <v>3779</v>
      </c>
      <c r="E731" s="261" t="s">
        <v>11593</v>
      </c>
      <c r="F731" s="279">
        <v>200000</v>
      </c>
      <c r="G731" s="833" t="s">
        <v>12693</v>
      </c>
      <c r="H731" s="138"/>
    </row>
    <row r="732" spans="1:8" x14ac:dyDescent="0.2">
      <c r="A732" s="832" t="s">
        <v>13670</v>
      </c>
      <c r="B732" s="261" t="s">
        <v>11792</v>
      </c>
      <c r="C732" s="261" t="s">
        <v>839</v>
      </c>
      <c r="D732" s="261" t="s">
        <v>3779</v>
      </c>
      <c r="E732" s="261" t="s">
        <v>11790</v>
      </c>
      <c r="F732" s="279">
        <v>300000</v>
      </c>
      <c r="G732" s="833" t="s">
        <v>12668</v>
      </c>
      <c r="H732" s="138" t="s">
        <v>12696</v>
      </c>
    </row>
    <row r="733" spans="1:8" x14ac:dyDescent="0.2">
      <c r="A733" s="832" t="s">
        <v>13671</v>
      </c>
      <c r="B733" s="261" t="s">
        <v>12597</v>
      </c>
      <c r="C733" s="261" t="s">
        <v>949</v>
      </c>
      <c r="D733" s="261" t="s">
        <v>3779</v>
      </c>
      <c r="E733" s="261" t="s">
        <v>11101</v>
      </c>
      <c r="F733" s="279">
        <v>10000</v>
      </c>
      <c r="G733" s="833" t="s">
        <v>12645</v>
      </c>
      <c r="H733" s="138"/>
    </row>
    <row r="734" spans="1:8" x14ac:dyDescent="0.2">
      <c r="A734" s="832" t="s">
        <v>13672</v>
      </c>
      <c r="B734" s="261" t="s">
        <v>12599</v>
      </c>
      <c r="C734" s="261" t="s">
        <v>949</v>
      </c>
      <c r="D734" s="261" t="s">
        <v>3779</v>
      </c>
      <c r="E734" s="261" t="s">
        <v>11101</v>
      </c>
      <c r="F734" s="279">
        <v>10000</v>
      </c>
      <c r="G734" s="833" t="s">
        <v>12651</v>
      </c>
      <c r="H734" s="138"/>
    </row>
    <row r="735" spans="1:8" x14ac:dyDescent="0.2">
      <c r="A735" s="832" t="s">
        <v>13673</v>
      </c>
      <c r="B735" s="261" t="s">
        <v>12601</v>
      </c>
      <c r="C735" s="261" t="s">
        <v>949</v>
      </c>
      <c r="D735" s="261" t="s">
        <v>3779</v>
      </c>
      <c r="E735" s="261" t="s">
        <v>11101</v>
      </c>
      <c r="F735" s="279">
        <v>10000</v>
      </c>
      <c r="G735" s="833" t="s">
        <v>12657</v>
      </c>
      <c r="H735" s="138"/>
    </row>
    <row r="736" spans="1:8" x14ac:dyDescent="0.2">
      <c r="A736" s="832" t="s">
        <v>13674</v>
      </c>
      <c r="B736" s="261" t="s">
        <v>12603</v>
      </c>
      <c r="C736" s="261" t="s">
        <v>949</v>
      </c>
      <c r="D736" s="261" t="s">
        <v>3779</v>
      </c>
      <c r="E736" s="261" t="s">
        <v>11101</v>
      </c>
      <c r="F736" s="279">
        <v>10000</v>
      </c>
      <c r="G736" s="833" t="s">
        <v>12645</v>
      </c>
      <c r="H736" s="138"/>
    </row>
    <row r="737" spans="1:8" x14ac:dyDescent="0.2">
      <c r="A737" s="832" t="s">
        <v>13675</v>
      </c>
      <c r="B737" s="261" t="s">
        <v>12605</v>
      </c>
      <c r="C737" s="261" t="s">
        <v>949</v>
      </c>
      <c r="D737" s="261" t="s">
        <v>3779</v>
      </c>
      <c r="E737" s="261" t="s">
        <v>11101</v>
      </c>
      <c r="F737" s="279">
        <v>10000</v>
      </c>
      <c r="G737" s="833" t="s">
        <v>12651</v>
      </c>
      <c r="H737" s="138"/>
    </row>
    <row r="738" spans="1:8" x14ac:dyDescent="0.2">
      <c r="A738" s="832" t="s">
        <v>13676</v>
      </c>
      <c r="B738" s="261" t="s">
        <v>12607</v>
      </c>
      <c r="C738" s="261" t="s">
        <v>949</v>
      </c>
      <c r="D738" s="261" t="s">
        <v>3779</v>
      </c>
      <c r="E738" s="261" t="s">
        <v>11101</v>
      </c>
      <c r="F738" s="279">
        <v>10000</v>
      </c>
      <c r="G738" s="833" t="s">
        <v>12657</v>
      </c>
      <c r="H738" s="138"/>
    </row>
    <row r="739" spans="1:8" x14ac:dyDescent="0.2">
      <c r="A739" s="832" t="s">
        <v>13677</v>
      </c>
      <c r="B739" s="261" t="s">
        <v>12609</v>
      </c>
      <c r="C739" s="261" t="s">
        <v>949</v>
      </c>
      <c r="D739" s="261" t="s">
        <v>3779</v>
      </c>
      <c r="E739" s="261" t="s">
        <v>11101</v>
      </c>
      <c r="F739" s="279">
        <v>25000</v>
      </c>
      <c r="G739" s="833" t="s">
        <v>12670</v>
      </c>
      <c r="H739" s="138"/>
    </row>
    <row r="740" spans="1:8" x14ac:dyDescent="0.2">
      <c r="A740" s="832" t="s">
        <v>13678</v>
      </c>
      <c r="B740" s="261" t="s">
        <v>12611</v>
      </c>
      <c r="C740" s="261" t="s">
        <v>949</v>
      </c>
      <c r="D740" s="261" t="s">
        <v>3779</v>
      </c>
      <c r="E740" s="261" t="s">
        <v>11101</v>
      </c>
      <c r="F740" s="279">
        <v>25000</v>
      </c>
      <c r="G740" s="833" t="s">
        <v>12673</v>
      </c>
      <c r="H740" s="138"/>
    </row>
    <row r="741" spans="1:8" x14ac:dyDescent="0.2">
      <c r="A741" s="832" t="s">
        <v>13679</v>
      </c>
      <c r="B741" s="261" t="s">
        <v>12613</v>
      </c>
      <c r="C741" s="261" t="s">
        <v>949</v>
      </c>
      <c r="D741" s="261" t="s">
        <v>3779</v>
      </c>
      <c r="E741" s="261" t="s">
        <v>11101</v>
      </c>
      <c r="F741" s="279">
        <v>25000</v>
      </c>
      <c r="G741" s="833" t="s">
        <v>12676</v>
      </c>
      <c r="H741" s="138"/>
    </row>
    <row r="742" spans="1:8" x14ac:dyDescent="0.2">
      <c r="A742" s="832" t="s">
        <v>13680</v>
      </c>
      <c r="B742" s="261" t="s">
        <v>12615</v>
      </c>
      <c r="C742" s="261" t="s">
        <v>949</v>
      </c>
      <c r="D742" s="261" t="s">
        <v>3779</v>
      </c>
      <c r="E742" s="261" t="s">
        <v>11101</v>
      </c>
      <c r="F742" s="279">
        <v>25000</v>
      </c>
      <c r="G742" s="833" t="s">
        <v>12670</v>
      </c>
      <c r="H742" s="138"/>
    </row>
    <row r="743" spans="1:8" x14ac:dyDescent="0.2">
      <c r="A743" s="832" t="s">
        <v>13681</v>
      </c>
      <c r="B743" s="261" t="s">
        <v>12617</v>
      </c>
      <c r="C743" s="261" t="s">
        <v>949</v>
      </c>
      <c r="D743" s="261" t="s">
        <v>3779</v>
      </c>
      <c r="E743" s="261" t="s">
        <v>11101</v>
      </c>
      <c r="F743" s="279">
        <v>25000</v>
      </c>
      <c r="G743" s="833" t="s">
        <v>12681</v>
      </c>
      <c r="H743" s="138"/>
    </row>
    <row r="744" spans="1:8" x14ac:dyDescent="0.2">
      <c r="A744" s="832" t="s">
        <v>13682</v>
      </c>
      <c r="B744" s="261" t="s">
        <v>12619</v>
      </c>
      <c r="C744" s="261" t="s">
        <v>949</v>
      </c>
      <c r="D744" s="261" t="s">
        <v>3779</v>
      </c>
      <c r="E744" s="261" t="s">
        <v>11101</v>
      </c>
      <c r="F744" s="279">
        <v>50000</v>
      </c>
      <c r="G744" s="833" t="s">
        <v>12684</v>
      </c>
      <c r="H744" s="138"/>
    </row>
    <row r="745" spans="1:8" x14ac:dyDescent="0.2">
      <c r="A745" s="832" t="s">
        <v>13683</v>
      </c>
      <c r="B745" s="261" t="s">
        <v>7211</v>
      </c>
      <c r="C745" s="261" t="s">
        <v>949</v>
      </c>
      <c r="D745" s="261" t="s">
        <v>3779</v>
      </c>
      <c r="E745" s="261" t="s">
        <v>11101</v>
      </c>
      <c r="F745" s="279">
        <v>50000</v>
      </c>
      <c r="G745" s="833" t="s">
        <v>12673</v>
      </c>
      <c r="H745" s="138"/>
    </row>
    <row r="746" spans="1:8" x14ac:dyDescent="0.2">
      <c r="A746" s="832" t="s">
        <v>13684</v>
      </c>
      <c r="B746" s="261" t="s">
        <v>1591</v>
      </c>
      <c r="C746" s="261" t="s">
        <v>949</v>
      </c>
      <c r="D746" s="261" t="s">
        <v>3779</v>
      </c>
      <c r="E746" s="261" t="s">
        <v>11101</v>
      </c>
      <c r="F746" s="279">
        <v>50000</v>
      </c>
      <c r="G746" s="833" t="s">
        <v>12676</v>
      </c>
      <c r="H746" s="138"/>
    </row>
    <row r="747" spans="1:8" x14ac:dyDescent="0.2">
      <c r="A747" s="832" t="s">
        <v>13685</v>
      </c>
      <c r="B747" s="261" t="s">
        <v>7912</v>
      </c>
      <c r="C747" s="261" t="s">
        <v>949</v>
      </c>
      <c r="D747" s="261" t="s">
        <v>3779</v>
      </c>
      <c r="E747" s="261" t="s">
        <v>11101</v>
      </c>
      <c r="F747" s="279">
        <v>50000</v>
      </c>
      <c r="G747" s="833" t="s">
        <v>12681</v>
      </c>
      <c r="H747" s="138"/>
    </row>
    <row r="748" spans="1:8" x14ac:dyDescent="0.2">
      <c r="A748" s="832" t="s">
        <v>13686</v>
      </c>
      <c r="B748" s="261" t="s">
        <v>12594</v>
      </c>
      <c r="C748" s="261" t="s">
        <v>949</v>
      </c>
      <c r="D748" s="261" t="s">
        <v>3779</v>
      </c>
      <c r="E748" s="261" t="s">
        <v>11593</v>
      </c>
      <c r="F748" s="279">
        <v>200000</v>
      </c>
      <c r="G748" s="833" t="s">
        <v>12693</v>
      </c>
      <c r="H748" s="138"/>
    </row>
    <row r="749" spans="1:8" x14ac:dyDescent="0.2">
      <c r="A749" s="832" t="s">
        <v>13687</v>
      </c>
      <c r="B749" s="261" t="s">
        <v>11792</v>
      </c>
      <c r="C749" s="261" t="s">
        <v>949</v>
      </c>
      <c r="D749" s="261" t="s">
        <v>3779</v>
      </c>
      <c r="E749" s="261" t="s">
        <v>11790</v>
      </c>
      <c r="F749" s="279">
        <v>300000</v>
      </c>
      <c r="G749" s="833" t="s">
        <v>12668</v>
      </c>
      <c r="H749" s="138" t="s">
        <v>12696</v>
      </c>
    </row>
    <row r="750" spans="1:8" x14ac:dyDescent="0.2">
      <c r="A750" s="832" t="s">
        <v>13688</v>
      </c>
      <c r="B750" s="261" t="s">
        <v>12597</v>
      </c>
      <c r="C750" s="261" t="s">
        <v>1054</v>
      </c>
      <c r="D750" s="261" t="s">
        <v>3779</v>
      </c>
      <c r="E750" s="261" t="s">
        <v>11101</v>
      </c>
      <c r="F750" s="279">
        <v>10000</v>
      </c>
      <c r="G750" s="833" t="s">
        <v>12645</v>
      </c>
      <c r="H750" s="138"/>
    </row>
    <row r="751" spans="1:8" x14ac:dyDescent="0.2">
      <c r="A751" s="832" t="s">
        <v>13689</v>
      </c>
      <c r="B751" s="261" t="s">
        <v>12599</v>
      </c>
      <c r="C751" s="261" t="s">
        <v>1054</v>
      </c>
      <c r="D751" s="261" t="s">
        <v>3779</v>
      </c>
      <c r="E751" s="261" t="s">
        <v>11101</v>
      </c>
      <c r="F751" s="279">
        <v>10000</v>
      </c>
      <c r="G751" s="833" t="s">
        <v>12651</v>
      </c>
      <c r="H751" s="138"/>
    </row>
    <row r="752" spans="1:8" x14ac:dyDescent="0.2">
      <c r="A752" s="832" t="s">
        <v>13690</v>
      </c>
      <c r="B752" s="261" t="s">
        <v>12601</v>
      </c>
      <c r="C752" s="261" t="s">
        <v>1054</v>
      </c>
      <c r="D752" s="261" t="s">
        <v>3779</v>
      </c>
      <c r="E752" s="261" t="s">
        <v>11101</v>
      </c>
      <c r="F752" s="279">
        <v>10000</v>
      </c>
      <c r="G752" s="833" t="s">
        <v>12657</v>
      </c>
      <c r="H752" s="138"/>
    </row>
    <row r="753" spans="1:8" x14ac:dyDescent="0.2">
      <c r="A753" s="832" t="s">
        <v>13691</v>
      </c>
      <c r="B753" s="261" t="s">
        <v>12603</v>
      </c>
      <c r="C753" s="261" t="s">
        <v>1054</v>
      </c>
      <c r="D753" s="261" t="s">
        <v>3779</v>
      </c>
      <c r="E753" s="261" t="s">
        <v>11101</v>
      </c>
      <c r="F753" s="279">
        <v>10000</v>
      </c>
      <c r="G753" s="833" t="s">
        <v>12645</v>
      </c>
      <c r="H753" s="138"/>
    </row>
    <row r="754" spans="1:8" x14ac:dyDescent="0.2">
      <c r="A754" s="832" t="s">
        <v>13692</v>
      </c>
      <c r="B754" s="261" t="s">
        <v>12605</v>
      </c>
      <c r="C754" s="261" t="s">
        <v>1054</v>
      </c>
      <c r="D754" s="261" t="s">
        <v>3779</v>
      </c>
      <c r="E754" s="261" t="s">
        <v>11101</v>
      </c>
      <c r="F754" s="279">
        <v>10000</v>
      </c>
      <c r="G754" s="833" t="s">
        <v>12651</v>
      </c>
      <c r="H754" s="138"/>
    </row>
    <row r="755" spans="1:8" x14ac:dyDescent="0.2">
      <c r="A755" s="832" t="s">
        <v>13693</v>
      </c>
      <c r="B755" s="261" t="s">
        <v>12607</v>
      </c>
      <c r="C755" s="261" t="s">
        <v>1054</v>
      </c>
      <c r="D755" s="261" t="s">
        <v>3779</v>
      </c>
      <c r="E755" s="261" t="s">
        <v>11101</v>
      </c>
      <c r="F755" s="279">
        <v>10000</v>
      </c>
      <c r="G755" s="833" t="s">
        <v>12657</v>
      </c>
      <c r="H755" s="138"/>
    </row>
    <row r="756" spans="1:8" x14ac:dyDescent="0.2">
      <c r="A756" s="832" t="s">
        <v>13694</v>
      </c>
      <c r="B756" s="261" t="s">
        <v>12609</v>
      </c>
      <c r="C756" s="261" t="s">
        <v>1054</v>
      </c>
      <c r="D756" s="261" t="s">
        <v>3779</v>
      </c>
      <c r="E756" s="261" t="s">
        <v>11101</v>
      </c>
      <c r="F756" s="279">
        <v>25000</v>
      </c>
      <c r="G756" s="833" t="s">
        <v>12670</v>
      </c>
      <c r="H756" s="138"/>
    </row>
    <row r="757" spans="1:8" x14ac:dyDescent="0.2">
      <c r="A757" s="832" t="s">
        <v>13695</v>
      </c>
      <c r="B757" s="261" t="s">
        <v>12611</v>
      </c>
      <c r="C757" s="261" t="s">
        <v>1054</v>
      </c>
      <c r="D757" s="261" t="s">
        <v>3779</v>
      </c>
      <c r="E757" s="261" t="s">
        <v>11101</v>
      </c>
      <c r="F757" s="279">
        <v>25000</v>
      </c>
      <c r="G757" s="833" t="s">
        <v>12673</v>
      </c>
      <c r="H757" s="138"/>
    </row>
    <row r="758" spans="1:8" x14ac:dyDescent="0.2">
      <c r="A758" s="832" t="s">
        <v>13696</v>
      </c>
      <c r="B758" s="261" t="s">
        <v>12613</v>
      </c>
      <c r="C758" s="261" t="s">
        <v>1054</v>
      </c>
      <c r="D758" s="261" t="s">
        <v>3779</v>
      </c>
      <c r="E758" s="261" t="s">
        <v>11101</v>
      </c>
      <c r="F758" s="279">
        <v>25000</v>
      </c>
      <c r="G758" s="833" t="s">
        <v>12676</v>
      </c>
      <c r="H758" s="138"/>
    </row>
    <row r="759" spans="1:8" x14ac:dyDescent="0.2">
      <c r="A759" s="832" t="s">
        <v>13697</v>
      </c>
      <c r="B759" s="261" t="s">
        <v>12615</v>
      </c>
      <c r="C759" s="261" t="s">
        <v>1054</v>
      </c>
      <c r="D759" s="261" t="s">
        <v>3779</v>
      </c>
      <c r="E759" s="261" t="s">
        <v>11101</v>
      </c>
      <c r="F759" s="279">
        <v>25000</v>
      </c>
      <c r="G759" s="833" t="s">
        <v>12670</v>
      </c>
      <c r="H759" s="138"/>
    </row>
    <row r="760" spans="1:8" x14ac:dyDescent="0.2">
      <c r="A760" s="832" t="s">
        <v>13698</v>
      </c>
      <c r="B760" s="261" t="s">
        <v>12617</v>
      </c>
      <c r="C760" s="261" t="s">
        <v>1054</v>
      </c>
      <c r="D760" s="261" t="s">
        <v>3779</v>
      </c>
      <c r="E760" s="261" t="s">
        <v>11101</v>
      </c>
      <c r="F760" s="279">
        <v>25000</v>
      </c>
      <c r="G760" s="833" t="s">
        <v>12681</v>
      </c>
      <c r="H760" s="138"/>
    </row>
    <row r="761" spans="1:8" x14ac:dyDescent="0.2">
      <c r="A761" s="832" t="s">
        <v>13699</v>
      </c>
      <c r="B761" s="261" t="s">
        <v>12619</v>
      </c>
      <c r="C761" s="261" t="s">
        <v>1054</v>
      </c>
      <c r="D761" s="261" t="s">
        <v>3779</v>
      </c>
      <c r="E761" s="261" t="s">
        <v>11101</v>
      </c>
      <c r="F761" s="279">
        <v>50000</v>
      </c>
      <c r="G761" s="833" t="s">
        <v>12684</v>
      </c>
      <c r="H761" s="138"/>
    </row>
    <row r="762" spans="1:8" x14ac:dyDescent="0.2">
      <c r="A762" s="832" t="s">
        <v>13700</v>
      </c>
      <c r="B762" s="261" t="s">
        <v>7211</v>
      </c>
      <c r="C762" s="261" t="s">
        <v>1054</v>
      </c>
      <c r="D762" s="261" t="s">
        <v>3779</v>
      </c>
      <c r="E762" s="261" t="s">
        <v>11101</v>
      </c>
      <c r="F762" s="279">
        <v>50000</v>
      </c>
      <c r="G762" s="833" t="s">
        <v>12673</v>
      </c>
      <c r="H762" s="138"/>
    </row>
    <row r="763" spans="1:8" x14ac:dyDescent="0.2">
      <c r="A763" s="832" t="s">
        <v>13701</v>
      </c>
      <c r="B763" s="261" t="s">
        <v>1591</v>
      </c>
      <c r="C763" s="261" t="s">
        <v>1054</v>
      </c>
      <c r="D763" s="261" t="s">
        <v>3779</v>
      </c>
      <c r="E763" s="261" t="s">
        <v>11101</v>
      </c>
      <c r="F763" s="279">
        <v>50000</v>
      </c>
      <c r="G763" s="833" t="s">
        <v>12676</v>
      </c>
      <c r="H763" s="138"/>
    </row>
    <row r="764" spans="1:8" x14ac:dyDescent="0.2">
      <c r="A764" s="832" t="s">
        <v>13702</v>
      </c>
      <c r="B764" s="261" t="s">
        <v>7912</v>
      </c>
      <c r="C764" s="261" t="s">
        <v>1054</v>
      </c>
      <c r="D764" s="261" t="s">
        <v>3779</v>
      </c>
      <c r="E764" s="261" t="s">
        <v>11101</v>
      </c>
      <c r="F764" s="279">
        <v>50000</v>
      </c>
      <c r="G764" s="833" t="s">
        <v>12681</v>
      </c>
      <c r="H764" s="138"/>
    </row>
    <row r="765" spans="1:8" x14ac:dyDescent="0.2">
      <c r="A765" s="832" t="s">
        <v>13703</v>
      </c>
      <c r="B765" s="261" t="s">
        <v>12594</v>
      </c>
      <c r="C765" s="261" t="s">
        <v>1054</v>
      </c>
      <c r="D765" s="261" t="s">
        <v>3779</v>
      </c>
      <c r="E765" s="261" t="s">
        <v>11593</v>
      </c>
      <c r="F765" s="279">
        <v>200000</v>
      </c>
      <c r="G765" s="833" t="s">
        <v>12693</v>
      </c>
      <c r="H765" s="138"/>
    </row>
    <row r="766" spans="1:8" ht="15" thickBot="1" x14ac:dyDescent="0.25">
      <c r="A766" s="834" t="s">
        <v>13704</v>
      </c>
      <c r="B766" s="835" t="s">
        <v>11792</v>
      </c>
      <c r="C766" s="835" t="s">
        <v>1054</v>
      </c>
      <c r="D766" s="835" t="s">
        <v>3779</v>
      </c>
      <c r="E766" s="835" t="s">
        <v>11790</v>
      </c>
      <c r="F766" s="836">
        <v>300000</v>
      </c>
      <c r="G766" s="837" t="s">
        <v>12668</v>
      </c>
      <c r="H766" s="139" t="s">
        <v>12696</v>
      </c>
    </row>
    <row r="767" spans="1:8" x14ac:dyDescent="0.2">
      <c r="F767" s="89"/>
    </row>
    <row r="768" spans="1:8" x14ac:dyDescent="0.2">
      <c r="A768" s="67" t="s">
        <v>13705</v>
      </c>
      <c r="B768" s="67"/>
      <c r="C768" s="67"/>
      <c r="D768" s="67"/>
      <c r="E768" s="67"/>
      <c r="F768" s="165">
        <f>SUM(F2:F767)</f>
        <v>39825000</v>
      </c>
    </row>
    <row r="769" spans="6:6" x14ac:dyDescent="0.2">
      <c r="F769" s="89"/>
    </row>
    <row r="770" spans="6:6" x14ac:dyDescent="0.2">
      <c r="F770" s="89"/>
    </row>
    <row r="771" spans="6:6" x14ac:dyDescent="0.2">
      <c r="F771" s="89"/>
    </row>
    <row r="772" spans="6:6" x14ac:dyDescent="0.2">
      <c r="F772" s="89"/>
    </row>
    <row r="773" spans="6:6" x14ac:dyDescent="0.2">
      <c r="F773" s="89"/>
    </row>
    <row r="774" spans="6:6" x14ac:dyDescent="0.2">
      <c r="F774" s="89"/>
    </row>
    <row r="775" spans="6:6" x14ac:dyDescent="0.2">
      <c r="F775" s="89"/>
    </row>
    <row r="776" spans="6:6" x14ac:dyDescent="0.2">
      <c r="F776" s="89"/>
    </row>
    <row r="777" spans="6:6" x14ac:dyDescent="0.2">
      <c r="F777" s="89"/>
    </row>
    <row r="778" spans="6:6" x14ac:dyDescent="0.2">
      <c r="F778" s="89"/>
    </row>
    <row r="779" spans="6:6" x14ac:dyDescent="0.2">
      <c r="F779" s="89"/>
    </row>
    <row r="780" spans="6:6" x14ac:dyDescent="0.2">
      <c r="F780" s="89"/>
    </row>
    <row r="781" spans="6:6" x14ac:dyDescent="0.2">
      <c r="F781" s="89"/>
    </row>
    <row r="782" spans="6:6" x14ac:dyDescent="0.2">
      <c r="F782" s="89"/>
    </row>
    <row r="783" spans="6:6" x14ac:dyDescent="0.2">
      <c r="F783" s="89"/>
    </row>
    <row r="784" spans="6:6" x14ac:dyDescent="0.2">
      <c r="F784" s="89"/>
    </row>
    <row r="785" spans="6:6" x14ac:dyDescent="0.2">
      <c r="F785" s="89"/>
    </row>
    <row r="786" spans="6:6" x14ac:dyDescent="0.2">
      <c r="F786" s="89"/>
    </row>
    <row r="787" spans="6:6" x14ac:dyDescent="0.2">
      <c r="F787" s="89"/>
    </row>
    <row r="788" spans="6:6" x14ac:dyDescent="0.2">
      <c r="F788" s="89"/>
    </row>
    <row r="789" spans="6:6" x14ac:dyDescent="0.2">
      <c r="F789" s="89"/>
    </row>
    <row r="790" spans="6:6" x14ac:dyDescent="0.2">
      <c r="F790" s="89"/>
    </row>
    <row r="791" spans="6:6" x14ac:dyDescent="0.2">
      <c r="F791" s="89"/>
    </row>
    <row r="792" spans="6:6" x14ac:dyDescent="0.2">
      <c r="F792" s="89"/>
    </row>
    <row r="793" spans="6:6" x14ac:dyDescent="0.2">
      <c r="F793" s="89"/>
    </row>
    <row r="794" spans="6:6" x14ac:dyDescent="0.2">
      <c r="F794" s="89"/>
    </row>
    <row r="795" spans="6:6" x14ac:dyDescent="0.2">
      <c r="F795" s="89"/>
    </row>
    <row r="796" spans="6:6" x14ac:dyDescent="0.2">
      <c r="F796" s="89"/>
    </row>
    <row r="797" spans="6:6" x14ac:dyDescent="0.2">
      <c r="F797" s="89"/>
    </row>
    <row r="798" spans="6:6" x14ac:dyDescent="0.2">
      <c r="F798" s="89"/>
    </row>
    <row r="799" spans="6:6" x14ac:dyDescent="0.2">
      <c r="F799" s="89"/>
    </row>
    <row r="800" spans="6:6" x14ac:dyDescent="0.2">
      <c r="F800" s="89"/>
    </row>
    <row r="801" spans="6:6" x14ac:dyDescent="0.2">
      <c r="F801" s="89"/>
    </row>
    <row r="802" spans="6:6" x14ac:dyDescent="0.2">
      <c r="F802" s="89"/>
    </row>
    <row r="803" spans="6:6" x14ac:dyDescent="0.2">
      <c r="F803" s="89"/>
    </row>
    <row r="804" spans="6:6" x14ac:dyDescent="0.2">
      <c r="F804" s="89"/>
    </row>
    <row r="805" spans="6:6" x14ac:dyDescent="0.2">
      <c r="F805" s="89"/>
    </row>
    <row r="806" spans="6:6" x14ac:dyDescent="0.2">
      <c r="F806" s="89"/>
    </row>
    <row r="807" spans="6:6" x14ac:dyDescent="0.2">
      <c r="F807" s="89"/>
    </row>
    <row r="808" spans="6:6" x14ac:dyDescent="0.2">
      <c r="F808" s="89"/>
    </row>
    <row r="809" spans="6:6" x14ac:dyDescent="0.2">
      <c r="F809" s="89"/>
    </row>
    <row r="810" spans="6:6" x14ac:dyDescent="0.2">
      <c r="F810" s="89"/>
    </row>
    <row r="811" spans="6:6" x14ac:dyDescent="0.2">
      <c r="F811" s="89"/>
    </row>
    <row r="812" spans="6:6" x14ac:dyDescent="0.2">
      <c r="F812" s="89"/>
    </row>
    <row r="813" spans="6:6" x14ac:dyDescent="0.2">
      <c r="F813" s="89"/>
    </row>
    <row r="814" spans="6:6" x14ac:dyDescent="0.2">
      <c r="F814" s="89"/>
    </row>
    <row r="815" spans="6:6" x14ac:dyDescent="0.2">
      <c r="F815" s="89"/>
    </row>
    <row r="816" spans="6:6" x14ac:dyDescent="0.2">
      <c r="F816" s="89"/>
    </row>
    <row r="817" spans="6:6" x14ac:dyDescent="0.2">
      <c r="F817" s="89"/>
    </row>
  </sheetData>
  <phoneticPr fontId="26" type="noConversion"/>
  <pageMargins left="0.2" right="0.2" top="0.5" bottom="0.2" header="0.19791666666666699" footer="0.3"/>
  <pageSetup orientation="portrait" r:id="rId1"/>
  <headerFooter>
    <oddHeader>&amp;L&amp;"-,Bold"&amp;14Dragalia Lost V3 Re;Works Weapon Ability List</oddHead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A4F288-D3A5-4199-AF9A-8691B795E34C}">
  <sheetPr>
    <outlinePr summaryBelow="0" summaryRight="0"/>
  </sheetPr>
  <dimension ref="A1:AJ992"/>
  <sheetViews>
    <sheetView workbookViewId="0"/>
  </sheetViews>
  <sheetFormatPr defaultColWidth="12.625" defaultRowHeight="14.25" x14ac:dyDescent="0.2"/>
  <cols>
    <col min="1" max="1" width="11.875" customWidth="1"/>
    <col min="2" max="2" width="3.125" bestFit="1" customWidth="1"/>
    <col min="3" max="3" width="10.875" bestFit="1" customWidth="1"/>
    <col min="4" max="4" width="27.875" bestFit="1" customWidth="1"/>
    <col min="5" max="5" width="4.375" hidden="1" customWidth="1"/>
    <col min="6" max="6" width="5" hidden="1" customWidth="1"/>
    <col min="7" max="7" width="7.5" hidden="1" customWidth="1"/>
    <col min="8" max="9" width="8.125" hidden="1" customWidth="1"/>
    <col min="10" max="10" width="8.75" hidden="1" customWidth="1"/>
    <col min="11" max="11" width="33.75" customWidth="1"/>
    <col min="12" max="12" width="38.625" customWidth="1"/>
    <col min="13" max="13" width="6.75" customWidth="1"/>
    <col min="14" max="14" width="16.25" bestFit="1" customWidth="1"/>
    <col min="15" max="15" width="19.625" customWidth="1"/>
  </cols>
  <sheetData>
    <row r="1" spans="1:36" x14ac:dyDescent="0.2">
      <c r="A1" s="1" t="s">
        <v>8662</v>
      </c>
      <c r="B1" s="1" t="s">
        <v>13706</v>
      </c>
      <c r="C1" s="78" t="s">
        <v>10756</v>
      </c>
      <c r="D1" s="1" t="s">
        <v>13707</v>
      </c>
      <c r="E1" s="1" t="s">
        <v>13708</v>
      </c>
      <c r="F1" s="1" t="s">
        <v>13709</v>
      </c>
      <c r="G1" s="1" t="s">
        <v>13710</v>
      </c>
      <c r="H1" s="1" t="s">
        <v>13711</v>
      </c>
      <c r="I1" s="1" t="s">
        <v>13712</v>
      </c>
      <c r="J1" s="1" t="s">
        <v>13713</v>
      </c>
      <c r="K1" s="1" t="s">
        <v>13714</v>
      </c>
      <c r="L1" s="1" t="s">
        <v>13715</v>
      </c>
      <c r="M1" s="88" t="s">
        <v>13716</v>
      </c>
      <c r="N1" s="1" t="s">
        <v>13717</v>
      </c>
      <c r="O1" s="1" t="s">
        <v>13718</v>
      </c>
      <c r="P1" s="1"/>
      <c r="Q1" s="1"/>
      <c r="R1" s="1"/>
      <c r="S1" s="1"/>
      <c r="T1" s="1"/>
      <c r="U1" s="1"/>
      <c r="V1" s="1"/>
      <c r="W1" s="1"/>
      <c r="X1" s="1"/>
      <c r="Y1" s="1"/>
      <c r="Z1" s="1"/>
      <c r="AA1" s="1"/>
      <c r="AB1" s="1"/>
      <c r="AC1" s="1"/>
      <c r="AD1" s="1"/>
      <c r="AE1" s="1"/>
      <c r="AF1" s="1"/>
      <c r="AG1" s="1"/>
      <c r="AH1" s="1"/>
      <c r="AI1" s="1"/>
      <c r="AJ1" s="1"/>
    </row>
    <row r="2" spans="1:36" x14ac:dyDescent="0.2">
      <c r="A2" t="s">
        <v>13719</v>
      </c>
      <c r="B2">
        <v>1</v>
      </c>
      <c r="C2" s="89"/>
      <c r="D2" t="s">
        <v>13720</v>
      </c>
      <c r="G2">
        <f>E2</f>
        <v>0</v>
      </c>
      <c r="H2">
        <f>F2</f>
        <v>0</v>
      </c>
      <c r="K2" t="s">
        <v>13720</v>
      </c>
      <c r="M2" s="90"/>
      <c r="N2" t="s">
        <v>13721</v>
      </c>
      <c r="O2" t="s">
        <v>13722</v>
      </c>
    </row>
    <row r="3" spans="1:36" x14ac:dyDescent="0.2">
      <c r="A3" t="s">
        <v>13719</v>
      </c>
      <c r="B3">
        <v>4</v>
      </c>
      <c r="C3" s="89">
        <v>0</v>
      </c>
      <c r="D3" t="s">
        <v>137</v>
      </c>
      <c r="E3">
        <v>37</v>
      </c>
      <c r="F3">
        <v>133</v>
      </c>
      <c r="G3">
        <f t="shared" ref="G3:H5" si="0">E3+G2</f>
        <v>37</v>
      </c>
      <c r="H3">
        <f t="shared" si="0"/>
        <v>133</v>
      </c>
      <c r="I3" s="87">
        <v>40</v>
      </c>
      <c r="J3" s="87">
        <v>135</v>
      </c>
      <c r="K3" s="87" t="s">
        <v>13723</v>
      </c>
      <c r="L3" t="s">
        <v>13724</v>
      </c>
      <c r="M3" s="90"/>
      <c r="N3" t="s">
        <v>13725</v>
      </c>
      <c r="O3" t="s">
        <v>13726</v>
      </c>
    </row>
    <row r="4" spans="1:36" x14ac:dyDescent="0.2">
      <c r="A4" t="s">
        <v>13719</v>
      </c>
      <c r="B4">
        <v>6</v>
      </c>
      <c r="C4" s="89">
        <v>0</v>
      </c>
      <c r="D4" t="s">
        <v>137</v>
      </c>
      <c r="E4">
        <v>52</v>
      </c>
      <c r="F4">
        <v>190</v>
      </c>
      <c r="G4">
        <f t="shared" si="0"/>
        <v>89</v>
      </c>
      <c r="H4">
        <f t="shared" si="0"/>
        <v>323</v>
      </c>
      <c r="I4" s="87">
        <v>90</v>
      </c>
      <c r="J4" s="87">
        <v>325</v>
      </c>
      <c r="K4" s="87" t="s">
        <v>13727</v>
      </c>
      <c r="L4" t="s">
        <v>13728</v>
      </c>
      <c r="M4" s="90"/>
      <c r="N4" t="s">
        <v>13729</v>
      </c>
      <c r="O4" t="s">
        <v>13730</v>
      </c>
    </row>
    <row r="5" spans="1:36" x14ac:dyDescent="0.2">
      <c r="A5" t="s">
        <v>13719</v>
      </c>
      <c r="B5">
        <v>8</v>
      </c>
      <c r="C5" s="89">
        <v>0</v>
      </c>
      <c r="D5" t="s">
        <v>137</v>
      </c>
      <c r="E5">
        <v>27</v>
      </c>
      <c r="F5">
        <v>129</v>
      </c>
      <c r="G5">
        <f t="shared" si="0"/>
        <v>116</v>
      </c>
      <c r="H5">
        <f t="shared" si="0"/>
        <v>452</v>
      </c>
      <c r="I5" s="87">
        <v>130</v>
      </c>
      <c r="J5" s="87">
        <v>455</v>
      </c>
      <c r="K5" s="87" t="s">
        <v>13731</v>
      </c>
      <c r="L5" t="s">
        <v>13732</v>
      </c>
      <c r="M5" s="90"/>
      <c r="N5" t="s">
        <v>13733</v>
      </c>
      <c r="O5" t="s">
        <v>13734</v>
      </c>
    </row>
    <row r="6" spans="1:36" x14ac:dyDescent="0.2">
      <c r="C6" s="89"/>
      <c r="I6" s="87"/>
      <c r="J6" s="87"/>
      <c r="M6" s="90"/>
    </row>
    <row r="7" spans="1:36" x14ac:dyDescent="0.2">
      <c r="A7" t="s">
        <v>13735</v>
      </c>
      <c r="C7" s="89"/>
      <c r="I7" s="87"/>
      <c r="J7" s="87"/>
      <c r="M7" s="90"/>
    </row>
    <row r="8" spans="1:36" x14ac:dyDescent="0.2">
      <c r="C8" s="89"/>
      <c r="I8" s="87"/>
      <c r="J8" s="87"/>
      <c r="M8" s="90"/>
    </row>
    <row r="9" spans="1:36" x14ac:dyDescent="0.2">
      <c r="A9" t="s">
        <v>13736</v>
      </c>
      <c r="B9">
        <v>1</v>
      </c>
      <c r="C9" s="89">
        <v>10000</v>
      </c>
      <c r="D9" t="s">
        <v>10913</v>
      </c>
      <c r="E9">
        <v>126</v>
      </c>
      <c r="F9">
        <v>452</v>
      </c>
      <c r="G9">
        <v>173</v>
      </c>
      <c r="H9">
        <v>612</v>
      </c>
      <c r="I9" s="87">
        <v>180</v>
      </c>
      <c r="J9" s="87">
        <v>620</v>
      </c>
      <c r="K9" t="s">
        <v>13737</v>
      </c>
      <c r="L9" t="s">
        <v>13738</v>
      </c>
      <c r="M9" s="90"/>
      <c r="N9" t="s">
        <v>13739</v>
      </c>
      <c r="O9" t="s">
        <v>13740</v>
      </c>
    </row>
    <row r="10" spans="1:36" x14ac:dyDescent="0.2">
      <c r="A10" t="s">
        <v>13736</v>
      </c>
      <c r="B10">
        <v>2</v>
      </c>
      <c r="C10" s="89">
        <v>50000</v>
      </c>
      <c r="D10" t="s">
        <v>12647</v>
      </c>
      <c r="G10">
        <f t="shared" ref="G10:G38" si="1">G9+E10</f>
        <v>173</v>
      </c>
      <c r="H10">
        <f t="shared" ref="H10:H38" si="2">H9+F10</f>
        <v>612</v>
      </c>
      <c r="I10" s="87"/>
      <c r="J10" s="87"/>
      <c r="K10" t="s">
        <v>13741</v>
      </c>
      <c r="L10" t="s">
        <v>13742</v>
      </c>
      <c r="M10" s="90">
        <v>5.0000000000000001E-3</v>
      </c>
      <c r="N10" t="s">
        <v>13743</v>
      </c>
    </row>
    <row r="11" spans="1:36" x14ac:dyDescent="0.2">
      <c r="A11" t="s">
        <v>11101</v>
      </c>
      <c r="B11" s="104" t="s">
        <v>13744</v>
      </c>
      <c r="C11" s="89">
        <v>65000</v>
      </c>
      <c r="D11" t="s">
        <v>137</v>
      </c>
      <c r="E11">
        <v>23</v>
      </c>
      <c r="F11">
        <v>61</v>
      </c>
      <c r="G11">
        <f>G10+E11</f>
        <v>196</v>
      </c>
      <c r="H11">
        <f>H10+F11</f>
        <v>673</v>
      </c>
      <c r="I11" s="87">
        <v>200</v>
      </c>
      <c r="J11" s="87">
        <v>680</v>
      </c>
      <c r="K11" t="s">
        <v>137</v>
      </c>
      <c r="M11" s="90"/>
      <c r="N11" t="s">
        <v>13745</v>
      </c>
      <c r="O11" t="s">
        <v>13746</v>
      </c>
    </row>
    <row r="12" spans="1:36" x14ac:dyDescent="0.2">
      <c r="A12" t="s">
        <v>11101</v>
      </c>
      <c r="B12" s="104" t="s">
        <v>13747</v>
      </c>
      <c r="C12" s="89">
        <v>10000</v>
      </c>
      <c r="D12" t="s">
        <v>12651</v>
      </c>
      <c r="G12">
        <f t="shared" ref="G12" si="3">G11+E12</f>
        <v>196</v>
      </c>
      <c r="H12">
        <f t="shared" ref="H12" si="4">H11+F12</f>
        <v>673</v>
      </c>
      <c r="I12" s="87"/>
      <c r="J12" s="87"/>
      <c r="K12" t="s">
        <v>13748</v>
      </c>
      <c r="L12" t="s">
        <v>12599</v>
      </c>
      <c r="M12" s="90"/>
      <c r="N12" t="s">
        <v>13749</v>
      </c>
      <c r="O12" t="s">
        <v>13750</v>
      </c>
    </row>
    <row r="13" spans="1:36" x14ac:dyDescent="0.2">
      <c r="A13" t="s">
        <v>11101</v>
      </c>
      <c r="B13" s="104" t="s">
        <v>13751</v>
      </c>
      <c r="C13" s="89">
        <v>10000</v>
      </c>
      <c r="D13" t="s">
        <v>12651</v>
      </c>
      <c r="G13">
        <f t="shared" ref="G13:G27" si="5">G12+E13</f>
        <v>196</v>
      </c>
      <c r="H13">
        <f t="shared" ref="H13:H27" si="6">H12+F13</f>
        <v>673</v>
      </c>
      <c r="I13" s="87"/>
      <c r="J13" s="87"/>
      <c r="K13" t="s">
        <v>13748</v>
      </c>
      <c r="L13" t="s">
        <v>12605</v>
      </c>
      <c r="M13" s="90"/>
    </row>
    <row r="14" spans="1:36" x14ac:dyDescent="0.2">
      <c r="A14" t="s">
        <v>11101</v>
      </c>
      <c r="B14" s="104" t="s">
        <v>13752</v>
      </c>
      <c r="C14" s="89">
        <v>10000</v>
      </c>
      <c r="D14" t="s">
        <v>12645</v>
      </c>
      <c r="G14">
        <f t="shared" si="5"/>
        <v>196</v>
      </c>
      <c r="H14">
        <f t="shared" si="6"/>
        <v>673</v>
      </c>
      <c r="I14" s="87"/>
      <c r="J14" s="87"/>
      <c r="K14" t="s">
        <v>13753</v>
      </c>
      <c r="L14" t="s">
        <v>12597</v>
      </c>
      <c r="M14" s="90"/>
      <c r="N14" t="s">
        <v>13754</v>
      </c>
    </row>
    <row r="15" spans="1:36" x14ac:dyDescent="0.2">
      <c r="A15" t="s">
        <v>11101</v>
      </c>
      <c r="B15" s="104" t="s">
        <v>13755</v>
      </c>
      <c r="C15" s="89">
        <v>10000</v>
      </c>
      <c r="D15" t="s">
        <v>12645</v>
      </c>
      <c r="G15">
        <f t="shared" si="5"/>
        <v>196</v>
      </c>
      <c r="H15">
        <f t="shared" si="6"/>
        <v>673</v>
      </c>
      <c r="I15" s="87"/>
      <c r="J15" s="87"/>
      <c r="K15" t="s">
        <v>13753</v>
      </c>
      <c r="L15" t="s">
        <v>12603</v>
      </c>
      <c r="M15" s="90"/>
    </row>
    <row r="16" spans="1:36" x14ac:dyDescent="0.2">
      <c r="A16" t="s">
        <v>11101</v>
      </c>
      <c r="B16" s="104" t="s">
        <v>13756</v>
      </c>
      <c r="C16" s="89">
        <v>10000</v>
      </c>
      <c r="D16" t="s">
        <v>12657</v>
      </c>
      <c r="G16">
        <f t="shared" si="5"/>
        <v>196</v>
      </c>
      <c r="H16">
        <f t="shared" si="6"/>
        <v>673</v>
      </c>
      <c r="I16" s="87"/>
      <c r="J16" s="87"/>
      <c r="K16" t="s">
        <v>13757</v>
      </c>
      <c r="L16" t="s">
        <v>12601</v>
      </c>
      <c r="M16" s="90"/>
      <c r="N16" t="s">
        <v>13758</v>
      </c>
    </row>
    <row r="17" spans="1:15" x14ac:dyDescent="0.2">
      <c r="A17" t="s">
        <v>11101</v>
      </c>
      <c r="B17" s="104" t="s">
        <v>13759</v>
      </c>
      <c r="C17" s="89">
        <v>10000</v>
      </c>
      <c r="D17" t="s">
        <v>12657</v>
      </c>
      <c r="G17">
        <f t="shared" si="5"/>
        <v>196</v>
      </c>
      <c r="H17">
        <f t="shared" si="6"/>
        <v>673</v>
      </c>
      <c r="I17" s="87"/>
      <c r="J17" s="87"/>
      <c r="K17" t="s">
        <v>13757</v>
      </c>
      <c r="L17" t="s">
        <v>12607</v>
      </c>
      <c r="M17" s="90"/>
    </row>
    <row r="18" spans="1:15" x14ac:dyDescent="0.2">
      <c r="A18" t="s">
        <v>11101</v>
      </c>
      <c r="B18" s="104" t="s">
        <v>13760</v>
      </c>
      <c r="C18" s="89">
        <v>25000</v>
      </c>
      <c r="D18" t="s">
        <v>12673</v>
      </c>
      <c r="G18">
        <f t="shared" si="5"/>
        <v>196</v>
      </c>
      <c r="H18">
        <f t="shared" si="6"/>
        <v>673</v>
      </c>
      <c r="I18" s="87"/>
      <c r="J18" s="87"/>
      <c r="K18" t="s">
        <v>13761</v>
      </c>
      <c r="L18" t="s">
        <v>13762</v>
      </c>
      <c r="M18" s="90"/>
      <c r="N18" t="s">
        <v>13763</v>
      </c>
    </row>
    <row r="19" spans="1:15" x14ac:dyDescent="0.2">
      <c r="A19" t="s">
        <v>11101</v>
      </c>
      <c r="B19" s="104" t="s">
        <v>13764</v>
      </c>
      <c r="C19" s="89">
        <v>50000</v>
      </c>
      <c r="D19" t="s">
        <v>12673</v>
      </c>
      <c r="G19">
        <f t="shared" si="5"/>
        <v>196</v>
      </c>
      <c r="H19">
        <f t="shared" si="6"/>
        <v>673</v>
      </c>
      <c r="I19" s="87"/>
      <c r="J19" s="87"/>
      <c r="K19" t="s">
        <v>13761</v>
      </c>
      <c r="L19" t="s">
        <v>13765</v>
      </c>
      <c r="M19" s="90"/>
      <c r="O19" t="s">
        <v>13766</v>
      </c>
    </row>
    <row r="20" spans="1:15" x14ac:dyDescent="0.2">
      <c r="A20" t="s">
        <v>11101</v>
      </c>
      <c r="B20" s="104" t="s">
        <v>13767</v>
      </c>
      <c r="C20" s="89">
        <v>25000</v>
      </c>
      <c r="D20" t="s">
        <v>12676</v>
      </c>
      <c r="G20">
        <f t="shared" si="5"/>
        <v>196</v>
      </c>
      <c r="H20">
        <f t="shared" si="6"/>
        <v>673</v>
      </c>
      <c r="I20" s="87"/>
      <c r="J20" s="87"/>
      <c r="K20" t="s">
        <v>13768</v>
      </c>
      <c r="L20" t="s">
        <v>12613</v>
      </c>
      <c r="M20" s="90"/>
      <c r="N20" t="s">
        <v>13769</v>
      </c>
    </row>
    <row r="21" spans="1:15" x14ac:dyDescent="0.2">
      <c r="A21" t="s">
        <v>11101</v>
      </c>
      <c r="B21" s="104" t="s">
        <v>13770</v>
      </c>
      <c r="C21" s="89">
        <v>50000</v>
      </c>
      <c r="D21" t="s">
        <v>12676</v>
      </c>
      <c r="G21">
        <f t="shared" si="5"/>
        <v>196</v>
      </c>
      <c r="H21">
        <f t="shared" si="6"/>
        <v>673</v>
      </c>
      <c r="I21" s="87"/>
      <c r="J21" s="87"/>
      <c r="K21" t="s">
        <v>13768</v>
      </c>
      <c r="L21" t="s">
        <v>1591</v>
      </c>
      <c r="M21" s="90"/>
      <c r="O21" t="s">
        <v>13771</v>
      </c>
    </row>
    <row r="22" spans="1:15" x14ac:dyDescent="0.2">
      <c r="A22" t="s">
        <v>11101</v>
      </c>
      <c r="B22" s="104" t="s">
        <v>13772</v>
      </c>
      <c r="C22" s="89">
        <v>25000</v>
      </c>
      <c r="D22" t="s">
        <v>12670</v>
      </c>
      <c r="G22">
        <f t="shared" si="5"/>
        <v>196</v>
      </c>
      <c r="H22">
        <f t="shared" si="6"/>
        <v>673</v>
      </c>
      <c r="I22" s="87"/>
      <c r="J22" s="87"/>
      <c r="K22" t="s">
        <v>13773</v>
      </c>
      <c r="L22" t="s">
        <v>12609</v>
      </c>
      <c r="M22" s="90"/>
      <c r="N22" t="s">
        <v>13774</v>
      </c>
    </row>
    <row r="23" spans="1:15" x14ac:dyDescent="0.2">
      <c r="A23" t="s">
        <v>11101</v>
      </c>
      <c r="B23" s="104" t="s">
        <v>13775</v>
      </c>
      <c r="C23" s="89">
        <v>25000</v>
      </c>
      <c r="D23" t="s">
        <v>12670</v>
      </c>
      <c r="G23">
        <f t="shared" si="5"/>
        <v>196</v>
      </c>
      <c r="H23">
        <f t="shared" si="6"/>
        <v>673</v>
      </c>
      <c r="I23" s="87"/>
      <c r="J23" s="87"/>
      <c r="K23" t="s">
        <v>13773</v>
      </c>
      <c r="L23" t="s">
        <v>12615</v>
      </c>
      <c r="M23" s="90"/>
    </row>
    <row r="24" spans="1:15" x14ac:dyDescent="0.2">
      <c r="A24" t="s">
        <v>11101</v>
      </c>
      <c r="B24" s="104" t="s">
        <v>4616</v>
      </c>
      <c r="C24" s="89">
        <v>50000</v>
      </c>
      <c r="D24" t="s">
        <v>12681</v>
      </c>
      <c r="G24">
        <f>G25+E24</f>
        <v>196</v>
      </c>
      <c r="H24">
        <f>H25+F24</f>
        <v>673</v>
      </c>
      <c r="I24" s="87"/>
      <c r="J24" s="87"/>
      <c r="K24" t="s">
        <v>13776</v>
      </c>
      <c r="L24" t="s">
        <v>7912</v>
      </c>
      <c r="M24" s="90"/>
      <c r="O24" t="s">
        <v>13777</v>
      </c>
    </row>
    <row r="25" spans="1:15" x14ac:dyDescent="0.2">
      <c r="A25" t="s">
        <v>11101</v>
      </c>
      <c r="B25" s="104" t="s">
        <v>13778</v>
      </c>
      <c r="C25" s="89">
        <v>25000</v>
      </c>
      <c r="D25" t="s">
        <v>12681</v>
      </c>
      <c r="G25">
        <f>G23+E25</f>
        <v>196</v>
      </c>
      <c r="H25">
        <f>H23+F25</f>
        <v>673</v>
      </c>
      <c r="I25" s="87"/>
      <c r="J25" s="87"/>
      <c r="K25" t="s">
        <v>13776</v>
      </c>
      <c r="L25" s="105" t="s">
        <v>13779</v>
      </c>
      <c r="M25" s="90"/>
      <c r="O25" t="s">
        <v>13780</v>
      </c>
    </row>
    <row r="26" spans="1:15" x14ac:dyDescent="0.2">
      <c r="A26" t="s">
        <v>11101</v>
      </c>
      <c r="B26" s="104" t="s">
        <v>13781</v>
      </c>
      <c r="C26" s="89">
        <v>50000</v>
      </c>
      <c r="D26" t="s">
        <v>12684</v>
      </c>
      <c r="G26">
        <f>G24+E26</f>
        <v>196</v>
      </c>
      <c r="H26">
        <f>H24+F26</f>
        <v>673</v>
      </c>
      <c r="I26" s="87"/>
      <c r="J26" s="87"/>
      <c r="K26" t="s">
        <v>13782</v>
      </c>
      <c r="L26" t="s">
        <v>12619</v>
      </c>
      <c r="M26" s="90"/>
    </row>
    <row r="27" spans="1:15" x14ac:dyDescent="0.2">
      <c r="A27" t="s">
        <v>11101</v>
      </c>
      <c r="B27" s="104" t="s">
        <v>13783</v>
      </c>
      <c r="C27" s="89">
        <v>50000</v>
      </c>
      <c r="D27" t="s">
        <v>12653</v>
      </c>
      <c r="G27">
        <f t="shared" si="5"/>
        <v>196</v>
      </c>
      <c r="H27">
        <f t="shared" si="6"/>
        <v>673</v>
      </c>
      <c r="I27" s="87"/>
      <c r="J27" s="87"/>
      <c r="K27" t="s">
        <v>13784</v>
      </c>
      <c r="L27" t="s">
        <v>13742</v>
      </c>
      <c r="M27" s="90">
        <v>5.0000000000000001E-3</v>
      </c>
    </row>
    <row r="28" spans="1:15" x14ac:dyDescent="0.2">
      <c r="A28" t="s">
        <v>11229</v>
      </c>
      <c r="B28">
        <v>1</v>
      </c>
      <c r="C28" s="89">
        <v>80000</v>
      </c>
      <c r="D28" t="s">
        <v>11231</v>
      </c>
      <c r="E28">
        <v>37</v>
      </c>
      <c r="F28">
        <v>164</v>
      </c>
      <c r="G28">
        <v>270</v>
      </c>
      <c r="H28">
        <v>1001</v>
      </c>
      <c r="I28" s="87">
        <v>270</v>
      </c>
      <c r="J28" s="87">
        <v>1010</v>
      </c>
      <c r="K28" t="s">
        <v>13785</v>
      </c>
      <c r="L28" t="s">
        <v>13786</v>
      </c>
      <c r="M28" s="90"/>
      <c r="N28" t="s">
        <v>13787</v>
      </c>
    </row>
    <row r="29" spans="1:15" x14ac:dyDescent="0.2">
      <c r="A29" t="s">
        <v>11229</v>
      </c>
      <c r="B29">
        <v>2</v>
      </c>
      <c r="C29" s="89">
        <v>90000</v>
      </c>
      <c r="D29" t="s">
        <v>12659</v>
      </c>
      <c r="G29">
        <f t="shared" si="1"/>
        <v>270</v>
      </c>
      <c r="H29">
        <f t="shared" si="2"/>
        <v>1001</v>
      </c>
      <c r="I29" s="87"/>
      <c r="J29" s="87"/>
      <c r="K29" t="s">
        <v>13788</v>
      </c>
      <c r="L29" t="s">
        <v>13742</v>
      </c>
      <c r="M29" s="90">
        <v>5.0000000000000001E-3</v>
      </c>
    </row>
    <row r="30" spans="1:15" x14ac:dyDescent="0.2">
      <c r="A30" t="s">
        <v>13789</v>
      </c>
      <c r="B30">
        <v>1</v>
      </c>
      <c r="C30" s="89">
        <v>120000</v>
      </c>
      <c r="D30" t="s">
        <v>11373</v>
      </c>
      <c r="E30">
        <v>0</v>
      </c>
      <c r="F30">
        <v>205</v>
      </c>
      <c r="G30">
        <f t="shared" si="1"/>
        <v>270</v>
      </c>
      <c r="H30">
        <f t="shared" si="2"/>
        <v>1206</v>
      </c>
      <c r="I30" s="87">
        <v>270</v>
      </c>
      <c r="J30" s="87">
        <v>1210</v>
      </c>
      <c r="K30" t="s">
        <v>13790</v>
      </c>
      <c r="L30" t="s">
        <v>13791</v>
      </c>
      <c r="M30" s="90"/>
    </row>
    <row r="31" spans="1:15" x14ac:dyDescent="0.2">
      <c r="A31" t="s">
        <v>13789</v>
      </c>
      <c r="B31">
        <v>2</v>
      </c>
      <c r="C31" s="89">
        <v>150000</v>
      </c>
      <c r="D31" t="s">
        <v>12662</v>
      </c>
      <c r="E31">
        <v>0</v>
      </c>
      <c r="F31">
        <v>205</v>
      </c>
      <c r="G31">
        <f>G30+E31</f>
        <v>270</v>
      </c>
      <c r="H31">
        <f>H30+F31</f>
        <v>1411</v>
      </c>
      <c r="I31" s="87">
        <v>270</v>
      </c>
      <c r="J31" s="87">
        <v>1420</v>
      </c>
      <c r="K31" t="s">
        <v>13792</v>
      </c>
      <c r="L31" t="s">
        <v>13742</v>
      </c>
      <c r="M31" s="90">
        <v>1.4999999999999999E-2</v>
      </c>
      <c r="N31" t="s">
        <v>13793</v>
      </c>
      <c r="O31" t="s">
        <v>13794</v>
      </c>
    </row>
    <row r="32" spans="1:15" x14ac:dyDescent="0.2">
      <c r="A32" t="s">
        <v>11593</v>
      </c>
      <c r="B32">
        <v>1</v>
      </c>
      <c r="C32" s="89">
        <v>200000</v>
      </c>
      <c r="D32" t="s">
        <v>11597</v>
      </c>
      <c r="E32">
        <v>10</v>
      </c>
      <c r="F32">
        <v>309</v>
      </c>
      <c r="G32">
        <f t="shared" si="1"/>
        <v>280</v>
      </c>
      <c r="H32">
        <f t="shared" si="2"/>
        <v>1720</v>
      </c>
      <c r="I32" s="87">
        <v>280</v>
      </c>
      <c r="J32" s="87">
        <v>1720</v>
      </c>
      <c r="K32" t="s">
        <v>13795</v>
      </c>
      <c r="L32" t="s">
        <v>13796</v>
      </c>
      <c r="M32" s="90"/>
      <c r="N32" t="s">
        <v>13797</v>
      </c>
    </row>
    <row r="33" spans="1:15" x14ac:dyDescent="0.2">
      <c r="A33" t="s">
        <v>11593</v>
      </c>
      <c r="B33">
        <v>2</v>
      </c>
      <c r="C33" s="89">
        <v>200000</v>
      </c>
      <c r="D33" t="s">
        <v>12693</v>
      </c>
      <c r="G33">
        <f t="shared" si="1"/>
        <v>280</v>
      </c>
      <c r="H33">
        <f t="shared" si="2"/>
        <v>1720</v>
      </c>
      <c r="I33" s="87"/>
      <c r="J33" s="87"/>
      <c r="K33" t="s">
        <v>13798</v>
      </c>
      <c r="L33" t="s">
        <v>13799</v>
      </c>
      <c r="M33" s="90"/>
    </row>
    <row r="34" spans="1:15" x14ac:dyDescent="0.2">
      <c r="A34" t="s">
        <v>11593</v>
      </c>
      <c r="B34">
        <v>3</v>
      </c>
      <c r="C34" s="89">
        <v>100000</v>
      </c>
      <c r="D34" t="s">
        <v>12665</v>
      </c>
      <c r="G34">
        <f t="shared" si="1"/>
        <v>280</v>
      </c>
      <c r="H34">
        <f t="shared" si="2"/>
        <v>1720</v>
      </c>
      <c r="I34" s="87"/>
      <c r="J34" s="87"/>
      <c r="K34" t="s">
        <v>13800</v>
      </c>
      <c r="L34" t="s">
        <v>13742</v>
      </c>
      <c r="M34" s="90">
        <v>1.4999999999999999E-2</v>
      </c>
      <c r="N34" t="s">
        <v>13801</v>
      </c>
    </row>
    <row r="35" spans="1:15" x14ac:dyDescent="0.2">
      <c r="A35" t="s">
        <v>11593</v>
      </c>
      <c r="B35" t="s">
        <v>13744</v>
      </c>
      <c r="C35" s="89">
        <v>100000</v>
      </c>
      <c r="D35" t="s">
        <v>12649</v>
      </c>
      <c r="G35">
        <f t="shared" si="1"/>
        <v>280</v>
      </c>
      <c r="H35">
        <f t="shared" si="2"/>
        <v>1720</v>
      </c>
      <c r="I35" s="87"/>
      <c r="J35" s="87"/>
      <c r="K35" t="s">
        <v>13802</v>
      </c>
      <c r="L35" t="s">
        <v>13803</v>
      </c>
      <c r="M35" s="90"/>
      <c r="O35" t="s">
        <v>13804</v>
      </c>
    </row>
    <row r="36" spans="1:15" x14ac:dyDescent="0.2">
      <c r="A36" t="s">
        <v>11593</v>
      </c>
      <c r="B36" t="s">
        <v>13747</v>
      </c>
      <c r="C36" s="89">
        <v>100000</v>
      </c>
      <c r="D36" t="s">
        <v>12655</v>
      </c>
      <c r="G36">
        <f t="shared" si="1"/>
        <v>280</v>
      </c>
      <c r="H36">
        <f t="shared" si="2"/>
        <v>1720</v>
      </c>
      <c r="I36" s="87"/>
      <c r="J36" s="87"/>
      <c r="K36" t="s">
        <v>13805</v>
      </c>
      <c r="L36" t="s">
        <v>13806</v>
      </c>
      <c r="M36" s="90"/>
      <c r="O36" t="s">
        <v>13804</v>
      </c>
    </row>
    <row r="37" spans="1:15" x14ac:dyDescent="0.2">
      <c r="A37" t="s">
        <v>11790</v>
      </c>
      <c r="B37">
        <v>1</v>
      </c>
      <c r="C37" s="89">
        <v>300000</v>
      </c>
      <c r="D37" t="s">
        <v>11793</v>
      </c>
      <c r="E37">
        <v>7</v>
      </c>
      <c r="F37">
        <v>22</v>
      </c>
      <c r="G37">
        <f t="shared" si="1"/>
        <v>287</v>
      </c>
      <c r="H37">
        <f t="shared" si="2"/>
        <v>1742</v>
      </c>
      <c r="I37" s="87">
        <v>290</v>
      </c>
      <c r="J37" s="87">
        <v>1745</v>
      </c>
      <c r="K37" t="s">
        <v>13807</v>
      </c>
      <c r="L37" t="s">
        <v>13808</v>
      </c>
      <c r="M37" s="90"/>
      <c r="N37" t="s">
        <v>13809</v>
      </c>
    </row>
    <row r="38" spans="1:15" x14ac:dyDescent="0.2">
      <c r="A38" t="s">
        <v>11790</v>
      </c>
      <c r="B38">
        <v>2</v>
      </c>
      <c r="C38" s="89">
        <v>300000</v>
      </c>
      <c r="D38" t="s">
        <v>12668</v>
      </c>
      <c r="E38">
        <v>7</v>
      </c>
      <c r="F38">
        <v>22</v>
      </c>
      <c r="G38">
        <f t="shared" si="1"/>
        <v>294</v>
      </c>
      <c r="H38">
        <f t="shared" si="2"/>
        <v>1764</v>
      </c>
      <c r="I38" s="87">
        <v>300</v>
      </c>
      <c r="J38" s="87">
        <v>1800</v>
      </c>
      <c r="K38" t="s">
        <v>13810</v>
      </c>
      <c r="L38" t="s">
        <v>13811</v>
      </c>
      <c r="M38" s="90">
        <v>1.4999999999999999E-2</v>
      </c>
    </row>
    <row r="39" spans="1:15" x14ac:dyDescent="0.2">
      <c r="A39" t="s">
        <v>11790</v>
      </c>
      <c r="B39" t="s">
        <v>13744</v>
      </c>
      <c r="C39" s="89">
        <v>100000</v>
      </c>
      <c r="D39" t="s">
        <v>12649</v>
      </c>
      <c r="G39">
        <f t="shared" ref="G39:G40" si="7">G38+E39</f>
        <v>294</v>
      </c>
      <c r="H39">
        <f t="shared" ref="H39:H40" si="8">H38+F39</f>
        <v>1764</v>
      </c>
      <c r="I39" s="87"/>
      <c r="J39" s="87"/>
      <c r="K39" t="s">
        <v>13802</v>
      </c>
      <c r="L39" t="s">
        <v>13803</v>
      </c>
      <c r="M39" s="90"/>
      <c r="O39" t="s">
        <v>13804</v>
      </c>
    </row>
    <row r="40" spans="1:15" x14ac:dyDescent="0.2">
      <c r="A40" t="s">
        <v>11790</v>
      </c>
      <c r="B40" t="s">
        <v>13747</v>
      </c>
      <c r="C40" s="89">
        <v>100000</v>
      </c>
      <c r="D40" t="s">
        <v>12655</v>
      </c>
      <c r="G40">
        <f t="shared" si="7"/>
        <v>294</v>
      </c>
      <c r="H40">
        <f t="shared" si="8"/>
        <v>1764</v>
      </c>
      <c r="I40" s="87"/>
      <c r="J40" s="87"/>
      <c r="K40" t="s">
        <v>13805</v>
      </c>
      <c r="L40" t="s">
        <v>13806</v>
      </c>
      <c r="M40" s="90"/>
      <c r="O40" t="s">
        <v>13804</v>
      </c>
    </row>
    <row r="41" spans="1:15" x14ac:dyDescent="0.2">
      <c r="C41" s="89"/>
      <c r="M41" s="90"/>
    </row>
    <row r="42" spans="1:15" x14ac:dyDescent="0.2">
      <c r="C42" s="91">
        <f>SUM(C9:C40)</f>
        <v>2500000</v>
      </c>
      <c r="D42" s="75" t="s">
        <v>13812</v>
      </c>
      <c r="M42" s="90"/>
    </row>
    <row r="43" spans="1:15" x14ac:dyDescent="0.2">
      <c r="C43" s="91">
        <f>C42*45</f>
        <v>112500000</v>
      </c>
      <c r="D43" s="75" t="s">
        <v>13813</v>
      </c>
      <c r="M43" s="90"/>
    </row>
    <row r="44" spans="1:15" x14ac:dyDescent="0.2">
      <c r="C44" s="89"/>
      <c r="M44" s="90"/>
    </row>
    <row r="45" spans="1:15" x14ac:dyDescent="0.2">
      <c r="C45" s="91">
        <f>Facility!P52</f>
        <v>53202500</v>
      </c>
      <c r="D45" s="75" t="s">
        <v>13814</v>
      </c>
      <c r="M45" s="90"/>
    </row>
    <row r="46" spans="1:15" x14ac:dyDescent="0.2">
      <c r="C46" s="89"/>
      <c r="M46" s="90"/>
    </row>
    <row r="47" spans="1:15" x14ac:dyDescent="0.2">
      <c r="C47" s="91">
        <f>C43+C45</f>
        <v>165702500</v>
      </c>
      <c r="D47" s="75" t="s">
        <v>13815</v>
      </c>
      <c r="M47" s="90"/>
    </row>
    <row r="48" spans="1:15" x14ac:dyDescent="0.2">
      <c r="C48" s="89"/>
      <c r="M48" s="90"/>
    </row>
    <row r="49" spans="1:13" x14ac:dyDescent="0.2">
      <c r="C49" s="91">
        <f>5*3+5*3+5*3+5*3</f>
        <v>60</v>
      </c>
      <c r="D49" s="75" t="s">
        <v>13816</v>
      </c>
      <c r="M49" s="90"/>
    </row>
    <row r="50" spans="1:13" x14ac:dyDescent="0.2">
      <c r="C50" s="91">
        <f>C49*9</f>
        <v>540</v>
      </c>
      <c r="D50" s="75" t="s">
        <v>13817</v>
      </c>
      <c r="M50" s="90"/>
    </row>
    <row r="51" spans="1:13" x14ac:dyDescent="0.2">
      <c r="A51" s="89"/>
      <c r="C51" s="91">
        <f>C50*100000</f>
        <v>54000000</v>
      </c>
      <c r="D51" s="75" t="s">
        <v>13818</v>
      </c>
      <c r="M51" s="90"/>
    </row>
    <row r="52" spans="1:13" x14ac:dyDescent="0.2">
      <c r="C52" s="89"/>
      <c r="M52" s="90"/>
    </row>
    <row r="53" spans="1:13" x14ac:dyDescent="0.2">
      <c r="C53" s="91">
        <f>26</f>
        <v>26</v>
      </c>
      <c r="D53" s="75" t="s">
        <v>13819</v>
      </c>
      <c r="M53" s="90"/>
    </row>
    <row r="54" spans="1:13" x14ac:dyDescent="0.2">
      <c r="A54" s="89"/>
      <c r="C54" s="91">
        <f>C53*100000</f>
        <v>2600000</v>
      </c>
      <c r="D54" s="75" t="s">
        <v>13818</v>
      </c>
      <c r="M54" s="90"/>
    </row>
    <row r="55" spans="1:13" x14ac:dyDescent="0.2">
      <c r="C55" s="89"/>
      <c r="M55" s="90"/>
    </row>
    <row r="56" spans="1:13" x14ac:dyDescent="0.2">
      <c r="A56" s="89"/>
      <c r="C56" s="91">
        <f>1000000*69</f>
        <v>69000000</v>
      </c>
      <c r="D56" s="75" t="s">
        <v>13820</v>
      </c>
      <c r="M56" s="90"/>
    </row>
    <row r="57" spans="1:13" x14ac:dyDescent="0.2">
      <c r="C57" s="89"/>
      <c r="M57" s="90"/>
    </row>
    <row r="58" spans="1:13" x14ac:dyDescent="0.2">
      <c r="C58" s="91">
        <v>20</v>
      </c>
      <c r="D58" s="75" t="s">
        <v>13821</v>
      </c>
      <c r="M58" s="90"/>
    </row>
    <row r="59" spans="1:13" x14ac:dyDescent="0.2">
      <c r="A59" s="89"/>
      <c r="C59" s="91">
        <f>C58*1000000</f>
        <v>20000000</v>
      </c>
      <c r="D59" s="75" t="s">
        <v>13822</v>
      </c>
      <c r="M59" s="90"/>
    </row>
    <row r="60" spans="1:13" x14ac:dyDescent="0.2">
      <c r="C60" s="89"/>
      <c r="M60" s="90"/>
    </row>
    <row r="61" spans="1:13" x14ac:dyDescent="0.2">
      <c r="C61" s="91">
        <v>26</v>
      </c>
      <c r="D61" s="75" t="s">
        <v>13823</v>
      </c>
      <c r="M61" s="90"/>
    </row>
    <row r="62" spans="1:13" x14ac:dyDescent="0.2">
      <c r="A62" s="89"/>
      <c r="C62" s="91">
        <f>C61*1000000</f>
        <v>26000000</v>
      </c>
      <c r="D62" s="75" t="s">
        <v>13822</v>
      </c>
      <c r="M62" s="90"/>
    </row>
    <row r="63" spans="1:13" x14ac:dyDescent="0.2">
      <c r="C63" s="89"/>
      <c r="M63" s="90"/>
    </row>
    <row r="64" spans="1:13" x14ac:dyDescent="0.2">
      <c r="C64" s="91">
        <v>26</v>
      </c>
      <c r="D64" s="75" t="s">
        <v>13824</v>
      </c>
      <c r="M64" s="90"/>
    </row>
    <row r="65" spans="1:13" x14ac:dyDescent="0.2">
      <c r="A65" s="89"/>
      <c r="C65" s="91">
        <f>C64*1000000</f>
        <v>26000000</v>
      </c>
      <c r="D65" s="75" t="s">
        <v>13822</v>
      </c>
      <c r="M65" s="90"/>
    </row>
    <row r="66" spans="1:13" x14ac:dyDescent="0.2">
      <c r="C66" s="89"/>
      <c r="M66" s="90"/>
    </row>
    <row r="67" spans="1:13" x14ac:dyDescent="0.2">
      <c r="C67" s="89"/>
      <c r="M67" s="90"/>
    </row>
    <row r="68" spans="1:13" x14ac:dyDescent="0.2">
      <c r="C68" s="89"/>
      <c r="M68" s="90"/>
    </row>
    <row r="69" spans="1:13" x14ac:dyDescent="0.2">
      <c r="C69" s="89"/>
      <c r="M69" s="90"/>
    </row>
    <row r="70" spans="1:13" x14ac:dyDescent="0.2">
      <c r="C70" s="89"/>
      <c r="M70" s="90"/>
    </row>
    <row r="71" spans="1:13" x14ac:dyDescent="0.2">
      <c r="C71" s="89"/>
      <c r="M71" s="90"/>
    </row>
    <row r="72" spans="1:13" x14ac:dyDescent="0.2">
      <c r="C72" s="89"/>
      <c r="M72" s="90"/>
    </row>
    <row r="73" spans="1:13" x14ac:dyDescent="0.2">
      <c r="C73" s="89"/>
      <c r="M73" s="90"/>
    </row>
    <row r="74" spans="1:13" x14ac:dyDescent="0.2">
      <c r="C74" s="89"/>
      <c r="M74" s="90"/>
    </row>
    <row r="75" spans="1:13" x14ac:dyDescent="0.2">
      <c r="C75" s="89"/>
      <c r="M75" s="90"/>
    </row>
    <row r="76" spans="1:13" x14ac:dyDescent="0.2">
      <c r="C76" s="89"/>
      <c r="M76" s="90"/>
    </row>
    <row r="77" spans="1:13" x14ac:dyDescent="0.2">
      <c r="C77" s="89"/>
      <c r="M77" s="90"/>
    </row>
    <row r="78" spans="1:13" x14ac:dyDescent="0.2">
      <c r="C78" s="89"/>
      <c r="M78" s="90"/>
    </row>
    <row r="79" spans="1:13" x14ac:dyDescent="0.2">
      <c r="C79" s="89"/>
      <c r="M79" s="90"/>
    </row>
    <row r="80" spans="1:13" x14ac:dyDescent="0.2">
      <c r="C80" s="89"/>
      <c r="M80" s="90"/>
    </row>
    <row r="81" spans="3:13" x14ac:dyDescent="0.2">
      <c r="C81" s="89"/>
      <c r="M81" s="90"/>
    </row>
    <row r="82" spans="3:13" x14ac:dyDescent="0.2">
      <c r="C82" s="89"/>
      <c r="M82" s="90"/>
    </row>
    <row r="83" spans="3:13" x14ac:dyDescent="0.2">
      <c r="C83" s="89"/>
      <c r="M83" s="90"/>
    </row>
    <row r="84" spans="3:13" x14ac:dyDescent="0.2">
      <c r="C84" s="89"/>
      <c r="M84" s="90"/>
    </row>
    <row r="85" spans="3:13" x14ac:dyDescent="0.2">
      <c r="C85" s="89"/>
      <c r="M85" s="90"/>
    </row>
    <row r="86" spans="3:13" x14ac:dyDescent="0.2">
      <c r="C86" s="89"/>
      <c r="M86" s="90"/>
    </row>
    <row r="87" spans="3:13" x14ac:dyDescent="0.2">
      <c r="C87" s="89"/>
      <c r="M87" s="90"/>
    </row>
    <row r="88" spans="3:13" x14ac:dyDescent="0.2">
      <c r="C88" s="89"/>
      <c r="M88" s="90"/>
    </row>
    <row r="89" spans="3:13" x14ac:dyDescent="0.2">
      <c r="C89" s="89"/>
      <c r="M89" s="90"/>
    </row>
    <row r="90" spans="3:13" x14ac:dyDescent="0.2">
      <c r="C90" s="89"/>
      <c r="M90" s="90"/>
    </row>
    <row r="91" spans="3:13" x14ac:dyDescent="0.2">
      <c r="C91" s="89"/>
      <c r="M91" s="90"/>
    </row>
    <row r="92" spans="3:13" x14ac:dyDescent="0.2">
      <c r="C92" s="89"/>
      <c r="M92" s="90"/>
    </row>
    <row r="93" spans="3:13" x14ac:dyDescent="0.2">
      <c r="C93" s="89"/>
      <c r="M93" s="90"/>
    </row>
    <row r="94" spans="3:13" x14ac:dyDescent="0.2">
      <c r="C94" s="89"/>
      <c r="M94" s="90"/>
    </row>
    <row r="95" spans="3:13" x14ac:dyDescent="0.2">
      <c r="C95" s="89"/>
      <c r="M95" s="90"/>
    </row>
    <row r="96" spans="3:13" x14ac:dyDescent="0.2">
      <c r="C96" s="89"/>
      <c r="M96" s="90"/>
    </row>
    <row r="97" spans="3:13" x14ac:dyDescent="0.2">
      <c r="C97" s="89"/>
      <c r="M97" s="90"/>
    </row>
    <row r="98" spans="3:13" x14ac:dyDescent="0.2">
      <c r="C98" s="89"/>
      <c r="M98" s="90"/>
    </row>
    <row r="99" spans="3:13" x14ac:dyDescent="0.2">
      <c r="C99" s="89"/>
      <c r="M99" s="90"/>
    </row>
    <row r="100" spans="3:13" x14ac:dyDescent="0.2">
      <c r="C100" s="89"/>
      <c r="M100" s="90"/>
    </row>
    <row r="101" spans="3:13" x14ac:dyDescent="0.2">
      <c r="C101" s="89"/>
      <c r="M101" s="90"/>
    </row>
    <row r="102" spans="3:13" x14ac:dyDescent="0.2">
      <c r="C102" s="89"/>
      <c r="M102" s="90"/>
    </row>
    <row r="103" spans="3:13" x14ac:dyDescent="0.2">
      <c r="C103" s="89"/>
      <c r="M103" s="90"/>
    </row>
    <row r="104" spans="3:13" x14ac:dyDescent="0.2">
      <c r="C104" s="89"/>
      <c r="M104" s="90"/>
    </row>
    <row r="105" spans="3:13" x14ac:dyDescent="0.2">
      <c r="C105" s="89"/>
      <c r="M105" s="90"/>
    </row>
    <row r="106" spans="3:13" x14ac:dyDescent="0.2">
      <c r="C106" s="89"/>
      <c r="M106" s="90"/>
    </row>
    <row r="107" spans="3:13" x14ac:dyDescent="0.2">
      <c r="C107" s="89"/>
      <c r="M107" s="90"/>
    </row>
    <row r="108" spans="3:13" x14ac:dyDescent="0.2">
      <c r="C108" s="89"/>
      <c r="M108" s="90"/>
    </row>
    <row r="109" spans="3:13" x14ac:dyDescent="0.2">
      <c r="C109" s="89"/>
      <c r="M109" s="90"/>
    </row>
    <row r="110" spans="3:13" x14ac:dyDescent="0.2">
      <c r="C110" s="89"/>
      <c r="M110" s="90"/>
    </row>
    <row r="111" spans="3:13" x14ac:dyDescent="0.2">
      <c r="C111" s="89"/>
      <c r="M111" s="90"/>
    </row>
    <row r="112" spans="3:13" x14ac:dyDescent="0.2">
      <c r="C112" s="89"/>
      <c r="M112" s="90"/>
    </row>
    <row r="113" spans="3:13" x14ac:dyDescent="0.2">
      <c r="C113" s="89"/>
      <c r="M113" s="90"/>
    </row>
    <row r="114" spans="3:13" x14ac:dyDescent="0.2">
      <c r="C114" s="89"/>
      <c r="M114" s="90"/>
    </row>
    <row r="115" spans="3:13" x14ac:dyDescent="0.2">
      <c r="C115" s="89"/>
      <c r="M115" s="90"/>
    </row>
    <row r="116" spans="3:13" x14ac:dyDescent="0.2">
      <c r="C116" s="89"/>
      <c r="M116" s="90"/>
    </row>
    <row r="117" spans="3:13" x14ac:dyDescent="0.2">
      <c r="C117" s="89"/>
      <c r="M117" s="90"/>
    </row>
    <row r="118" spans="3:13" x14ac:dyDescent="0.2">
      <c r="C118" s="89"/>
      <c r="M118" s="90"/>
    </row>
    <row r="119" spans="3:13" x14ac:dyDescent="0.2">
      <c r="C119" s="89"/>
      <c r="M119" s="90"/>
    </row>
    <row r="120" spans="3:13" x14ac:dyDescent="0.2">
      <c r="C120" s="89"/>
      <c r="M120" s="90"/>
    </row>
    <row r="121" spans="3:13" x14ac:dyDescent="0.2">
      <c r="C121" s="89"/>
      <c r="M121" s="90"/>
    </row>
    <row r="122" spans="3:13" x14ac:dyDescent="0.2">
      <c r="C122" s="89"/>
      <c r="M122" s="90"/>
    </row>
    <row r="123" spans="3:13" x14ac:dyDescent="0.2">
      <c r="C123" s="89"/>
      <c r="M123" s="90"/>
    </row>
    <row r="124" spans="3:13" x14ac:dyDescent="0.2">
      <c r="C124" s="89"/>
      <c r="M124" s="90"/>
    </row>
    <row r="125" spans="3:13" x14ac:dyDescent="0.2">
      <c r="C125" s="89"/>
      <c r="M125" s="90"/>
    </row>
    <row r="126" spans="3:13" x14ac:dyDescent="0.2">
      <c r="C126" s="89"/>
      <c r="M126" s="90"/>
    </row>
    <row r="127" spans="3:13" x14ac:dyDescent="0.2">
      <c r="C127" s="89"/>
      <c r="M127" s="90"/>
    </row>
    <row r="128" spans="3:13" x14ac:dyDescent="0.2">
      <c r="C128" s="89"/>
      <c r="M128" s="90"/>
    </row>
    <row r="129" spans="3:13" x14ac:dyDescent="0.2">
      <c r="C129" s="89"/>
      <c r="M129" s="90"/>
    </row>
    <row r="130" spans="3:13" x14ac:dyDescent="0.2">
      <c r="C130" s="89"/>
      <c r="M130" s="90"/>
    </row>
    <row r="131" spans="3:13" x14ac:dyDescent="0.2">
      <c r="C131" s="89"/>
      <c r="M131" s="90"/>
    </row>
    <row r="132" spans="3:13" x14ac:dyDescent="0.2">
      <c r="C132" s="89"/>
      <c r="M132" s="90"/>
    </row>
    <row r="133" spans="3:13" x14ac:dyDescent="0.2">
      <c r="C133" s="89"/>
      <c r="M133" s="90"/>
    </row>
    <row r="134" spans="3:13" x14ac:dyDescent="0.2">
      <c r="C134" s="89"/>
      <c r="M134" s="90"/>
    </row>
    <row r="135" spans="3:13" x14ac:dyDescent="0.2">
      <c r="C135" s="89"/>
      <c r="M135" s="90"/>
    </row>
    <row r="136" spans="3:13" x14ac:dyDescent="0.2">
      <c r="C136" s="89"/>
      <c r="M136" s="90"/>
    </row>
    <row r="137" spans="3:13" x14ac:dyDescent="0.2">
      <c r="C137" s="89"/>
      <c r="M137" s="90"/>
    </row>
    <row r="138" spans="3:13" x14ac:dyDescent="0.2">
      <c r="C138" s="89"/>
      <c r="M138" s="90"/>
    </row>
    <row r="139" spans="3:13" x14ac:dyDescent="0.2">
      <c r="C139" s="89"/>
      <c r="M139" s="90"/>
    </row>
    <row r="140" spans="3:13" x14ac:dyDescent="0.2">
      <c r="C140" s="89"/>
      <c r="M140" s="90"/>
    </row>
    <row r="141" spans="3:13" x14ac:dyDescent="0.2">
      <c r="C141" s="89"/>
      <c r="M141" s="90"/>
    </row>
    <row r="142" spans="3:13" x14ac:dyDescent="0.2">
      <c r="C142" s="89"/>
      <c r="M142" s="90"/>
    </row>
    <row r="143" spans="3:13" x14ac:dyDescent="0.2">
      <c r="C143" s="89"/>
      <c r="M143" s="90"/>
    </row>
    <row r="144" spans="3:13" x14ac:dyDescent="0.2">
      <c r="C144" s="89"/>
      <c r="M144" s="90"/>
    </row>
    <row r="145" spans="3:13" x14ac:dyDescent="0.2">
      <c r="C145" s="89"/>
      <c r="M145" s="90"/>
    </row>
    <row r="146" spans="3:13" x14ac:dyDescent="0.2">
      <c r="C146" s="89"/>
      <c r="M146" s="90"/>
    </row>
    <row r="147" spans="3:13" x14ac:dyDescent="0.2">
      <c r="C147" s="89"/>
      <c r="M147" s="90"/>
    </row>
    <row r="148" spans="3:13" x14ac:dyDescent="0.2">
      <c r="C148" s="89"/>
      <c r="M148" s="90"/>
    </row>
    <row r="149" spans="3:13" x14ac:dyDescent="0.2">
      <c r="C149" s="89"/>
      <c r="M149" s="90"/>
    </row>
    <row r="150" spans="3:13" x14ac:dyDescent="0.2">
      <c r="C150" s="89"/>
      <c r="M150" s="90"/>
    </row>
    <row r="151" spans="3:13" x14ac:dyDescent="0.2">
      <c r="C151" s="89"/>
      <c r="M151" s="90"/>
    </row>
    <row r="152" spans="3:13" x14ac:dyDescent="0.2">
      <c r="C152" s="89"/>
      <c r="M152" s="90"/>
    </row>
    <row r="153" spans="3:13" x14ac:dyDescent="0.2">
      <c r="C153" s="89"/>
      <c r="M153" s="90"/>
    </row>
    <row r="154" spans="3:13" x14ac:dyDescent="0.2">
      <c r="C154" s="89"/>
      <c r="M154" s="90"/>
    </row>
    <row r="155" spans="3:13" x14ac:dyDescent="0.2">
      <c r="C155" s="89"/>
      <c r="M155" s="90"/>
    </row>
    <row r="156" spans="3:13" x14ac:dyDescent="0.2">
      <c r="C156" s="89"/>
      <c r="M156" s="90"/>
    </row>
    <row r="157" spans="3:13" x14ac:dyDescent="0.2">
      <c r="C157" s="89"/>
      <c r="M157" s="90"/>
    </row>
    <row r="158" spans="3:13" x14ac:dyDescent="0.2">
      <c r="C158" s="89"/>
      <c r="M158" s="90"/>
    </row>
    <row r="159" spans="3:13" x14ac:dyDescent="0.2">
      <c r="C159" s="89"/>
      <c r="M159" s="90"/>
    </row>
    <row r="160" spans="3:13" x14ac:dyDescent="0.2">
      <c r="C160" s="89"/>
      <c r="M160" s="90"/>
    </row>
    <row r="161" spans="3:13" x14ac:dyDescent="0.2">
      <c r="C161" s="89"/>
      <c r="M161" s="90"/>
    </row>
    <row r="162" spans="3:13" x14ac:dyDescent="0.2">
      <c r="C162" s="89"/>
      <c r="M162" s="90"/>
    </row>
    <row r="163" spans="3:13" x14ac:dyDescent="0.2">
      <c r="C163" s="89"/>
      <c r="M163" s="90"/>
    </row>
    <row r="164" spans="3:13" x14ac:dyDescent="0.2">
      <c r="C164" s="89"/>
      <c r="M164" s="90"/>
    </row>
    <row r="165" spans="3:13" x14ac:dyDescent="0.2">
      <c r="C165" s="89"/>
      <c r="M165" s="90"/>
    </row>
    <row r="166" spans="3:13" x14ac:dyDescent="0.2">
      <c r="C166" s="89"/>
      <c r="M166" s="90"/>
    </row>
    <row r="167" spans="3:13" x14ac:dyDescent="0.2">
      <c r="C167" s="89"/>
      <c r="M167" s="90"/>
    </row>
    <row r="168" spans="3:13" x14ac:dyDescent="0.2">
      <c r="C168" s="89"/>
      <c r="M168" s="90"/>
    </row>
    <row r="169" spans="3:13" x14ac:dyDescent="0.2">
      <c r="C169" s="89"/>
      <c r="M169" s="90"/>
    </row>
    <row r="170" spans="3:13" x14ac:dyDescent="0.2">
      <c r="C170" s="89"/>
      <c r="M170" s="90"/>
    </row>
    <row r="171" spans="3:13" x14ac:dyDescent="0.2">
      <c r="C171" s="89"/>
      <c r="M171" s="90"/>
    </row>
    <row r="172" spans="3:13" x14ac:dyDescent="0.2">
      <c r="C172" s="89"/>
      <c r="M172" s="90"/>
    </row>
    <row r="173" spans="3:13" x14ac:dyDescent="0.2">
      <c r="C173" s="89"/>
      <c r="M173" s="90"/>
    </row>
    <row r="174" spans="3:13" x14ac:dyDescent="0.2">
      <c r="C174" s="89"/>
      <c r="M174" s="90"/>
    </row>
    <row r="175" spans="3:13" x14ac:dyDescent="0.2">
      <c r="C175" s="89"/>
      <c r="M175" s="90"/>
    </row>
    <row r="176" spans="3:13" x14ac:dyDescent="0.2">
      <c r="C176" s="89"/>
      <c r="M176" s="90"/>
    </row>
    <row r="177" spans="3:13" x14ac:dyDescent="0.2">
      <c r="C177" s="89"/>
      <c r="M177" s="90"/>
    </row>
    <row r="178" spans="3:13" x14ac:dyDescent="0.2">
      <c r="C178" s="89"/>
      <c r="M178" s="90"/>
    </row>
    <row r="179" spans="3:13" x14ac:dyDescent="0.2">
      <c r="C179" s="89"/>
      <c r="M179" s="90"/>
    </row>
    <row r="180" spans="3:13" x14ac:dyDescent="0.2">
      <c r="C180" s="89"/>
      <c r="M180" s="90"/>
    </row>
    <row r="181" spans="3:13" x14ac:dyDescent="0.2">
      <c r="C181" s="89"/>
      <c r="M181" s="90"/>
    </row>
    <row r="182" spans="3:13" x14ac:dyDescent="0.2">
      <c r="C182" s="89"/>
      <c r="M182" s="90"/>
    </row>
    <row r="183" spans="3:13" x14ac:dyDescent="0.2">
      <c r="C183" s="89"/>
      <c r="M183" s="90"/>
    </row>
    <row r="184" spans="3:13" x14ac:dyDescent="0.2">
      <c r="C184" s="89"/>
      <c r="M184" s="90"/>
    </row>
    <row r="185" spans="3:13" x14ac:dyDescent="0.2">
      <c r="C185" s="89"/>
      <c r="M185" s="90"/>
    </row>
    <row r="186" spans="3:13" x14ac:dyDescent="0.2">
      <c r="C186" s="89"/>
      <c r="M186" s="90"/>
    </row>
    <row r="187" spans="3:13" x14ac:dyDescent="0.2">
      <c r="C187" s="89"/>
      <c r="M187" s="90"/>
    </row>
    <row r="188" spans="3:13" x14ac:dyDescent="0.2">
      <c r="C188" s="89"/>
      <c r="M188" s="90"/>
    </row>
    <row r="189" spans="3:13" x14ac:dyDescent="0.2">
      <c r="C189" s="89"/>
      <c r="M189" s="90"/>
    </row>
    <row r="190" spans="3:13" x14ac:dyDescent="0.2">
      <c r="C190" s="89"/>
      <c r="M190" s="90"/>
    </row>
    <row r="191" spans="3:13" x14ac:dyDescent="0.2">
      <c r="C191" s="89"/>
      <c r="M191" s="90"/>
    </row>
    <row r="192" spans="3:13" x14ac:dyDescent="0.2">
      <c r="C192" s="89"/>
      <c r="M192" s="90"/>
    </row>
    <row r="193" spans="3:13" x14ac:dyDescent="0.2">
      <c r="C193" s="89"/>
      <c r="M193" s="90"/>
    </row>
    <row r="194" spans="3:13" x14ac:dyDescent="0.2">
      <c r="C194" s="89"/>
      <c r="M194" s="90"/>
    </row>
    <row r="195" spans="3:13" x14ac:dyDescent="0.2">
      <c r="C195" s="89"/>
      <c r="M195" s="90"/>
    </row>
    <row r="196" spans="3:13" x14ac:dyDescent="0.2">
      <c r="C196" s="89"/>
      <c r="M196" s="90"/>
    </row>
    <row r="197" spans="3:13" x14ac:dyDescent="0.2">
      <c r="C197" s="89"/>
      <c r="M197" s="90"/>
    </row>
    <row r="198" spans="3:13" x14ac:dyDescent="0.2">
      <c r="C198" s="89"/>
      <c r="M198" s="90"/>
    </row>
    <row r="199" spans="3:13" x14ac:dyDescent="0.2">
      <c r="C199" s="89"/>
      <c r="M199" s="90"/>
    </row>
    <row r="200" spans="3:13" x14ac:dyDescent="0.2">
      <c r="C200" s="89"/>
      <c r="M200" s="90"/>
    </row>
    <row r="201" spans="3:13" x14ac:dyDescent="0.2">
      <c r="C201" s="89"/>
      <c r="M201" s="90"/>
    </row>
    <row r="202" spans="3:13" x14ac:dyDescent="0.2">
      <c r="C202" s="89"/>
      <c r="M202" s="90"/>
    </row>
    <row r="203" spans="3:13" x14ac:dyDescent="0.2">
      <c r="C203" s="89"/>
      <c r="M203" s="90"/>
    </row>
    <row r="204" spans="3:13" x14ac:dyDescent="0.2">
      <c r="C204" s="89"/>
      <c r="M204" s="90"/>
    </row>
    <row r="205" spans="3:13" x14ac:dyDescent="0.2">
      <c r="C205" s="89"/>
      <c r="M205" s="90"/>
    </row>
    <row r="206" spans="3:13" x14ac:dyDescent="0.2">
      <c r="C206" s="89"/>
      <c r="M206" s="90"/>
    </row>
    <row r="207" spans="3:13" x14ac:dyDescent="0.2">
      <c r="C207" s="89"/>
      <c r="M207" s="90"/>
    </row>
    <row r="208" spans="3:13" x14ac:dyDescent="0.2">
      <c r="C208" s="89"/>
      <c r="M208" s="90"/>
    </row>
    <row r="209" spans="3:13" x14ac:dyDescent="0.2">
      <c r="C209" s="89"/>
      <c r="M209" s="90"/>
    </row>
    <row r="210" spans="3:13" x14ac:dyDescent="0.2">
      <c r="C210" s="89"/>
      <c r="M210" s="90"/>
    </row>
    <row r="211" spans="3:13" x14ac:dyDescent="0.2">
      <c r="C211" s="89"/>
      <c r="M211" s="90"/>
    </row>
    <row r="212" spans="3:13" x14ac:dyDescent="0.2">
      <c r="C212" s="89"/>
      <c r="M212" s="90"/>
    </row>
    <row r="213" spans="3:13" x14ac:dyDescent="0.2">
      <c r="C213" s="89"/>
      <c r="M213" s="90"/>
    </row>
    <row r="214" spans="3:13" x14ac:dyDescent="0.2">
      <c r="C214" s="89"/>
      <c r="M214" s="90"/>
    </row>
    <row r="215" spans="3:13" x14ac:dyDescent="0.2">
      <c r="C215" s="89"/>
      <c r="M215" s="90"/>
    </row>
    <row r="216" spans="3:13" x14ac:dyDescent="0.2">
      <c r="C216" s="89"/>
      <c r="M216" s="90"/>
    </row>
    <row r="217" spans="3:13" x14ac:dyDescent="0.2">
      <c r="C217" s="89"/>
      <c r="M217" s="90"/>
    </row>
    <row r="218" spans="3:13" x14ac:dyDescent="0.2">
      <c r="C218" s="89"/>
      <c r="M218" s="90"/>
    </row>
    <row r="219" spans="3:13" x14ac:dyDescent="0.2">
      <c r="C219" s="89"/>
      <c r="M219" s="90"/>
    </row>
    <row r="220" spans="3:13" x14ac:dyDescent="0.2">
      <c r="C220" s="89"/>
      <c r="M220" s="90"/>
    </row>
    <row r="221" spans="3:13" x14ac:dyDescent="0.2">
      <c r="C221" s="89"/>
      <c r="M221" s="90"/>
    </row>
    <row r="222" spans="3:13" x14ac:dyDescent="0.2">
      <c r="C222" s="89"/>
      <c r="M222" s="90"/>
    </row>
    <row r="223" spans="3:13" x14ac:dyDescent="0.2">
      <c r="C223" s="89"/>
      <c r="M223" s="90"/>
    </row>
    <row r="224" spans="3:13" x14ac:dyDescent="0.2">
      <c r="C224" s="89"/>
      <c r="M224" s="90"/>
    </row>
    <row r="225" spans="3:13" x14ac:dyDescent="0.2">
      <c r="C225" s="89"/>
      <c r="M225" s="90"/>
    </row>
    <row r="226" spans="3:13" x14ac:dyDescent="0.2">
      <c r="C226" s="89"/>
      <c r="M226" s="90"/>
    </row>
    <row r="227" spans="3:13" x14ac:dyDescent="0.2">
      <c r="C227" s="89"/>
      <c r="M227" s="90"/>
    </row>
    <row r="228" spans="3:13" x14ac:dyDescent="0.2">
      <c r="C228" s="89"/>
      <c r="M228" s="90"/>
    </row>
    <row r="229" spans="3:13" x14ac:dyDescent="0.2">
      <c r="C229" s="89"/>
      <c r="M229" s="90"/>
    </row>
    <row r="230" spans="3:13" x14ac:dyDescent="0.2">
      <c r="C230" s="89"/>
      <c r="M230" s="90"/>
    </row>
    <row r="231" spans="3:13" x14ac:dyDescent="0.2">
      <c r="C231" s="89"/>
      <c r="M231" s="90"/>
    </row>
    <row r="232" spans="3:13" x14ac:dyDescent="0.2">
      <c r="C232" s="89"/>
      <c r="M232" s="90"/>
    </row>
    <row r="233" spans="3:13" x14ac:dyDescent="0.2">
      <c r="C233" s="89"/>
      <c r="M233" s="90"/>
    </row>
    <row r="234" spans="3:13" x14ac:dyDescent="0.2">
      <c r="C234" s="89"/>
      <c r="M234" s="90"/>
    </row>
    <row r="235" spans="3:13" x14ac:dyDescent="0.2">
      <c r="C235" s="89"/>
      <c r="M235" s="90"/>
    </row>
    <row r="236" spans="3:13" x14ac:dyDescent="0.2">
      <c r="C236" s="89"/>
      <c r="M236" s="90"/>
    </row>
    <row r="237" spans="3:13" x14ac:dyDescent="0.2">
      <c r="C237" s="89"/>
      <c r="M237" s="90"/>
    </row>
    <row r="238" spans="3:13" x14ac:dyDescent="0.2">
      <c r="C238" s="89"/>
      <c r="M238" s="90"/>
    </row>
    <row r="239" spans="3:13" x14ac:dyDescent="0.2">
      <c r="C239" s="89"/>
      <c r="M239" s="90"/>
    </row>
    <row r="240" spans="3:13" x14ac:dyDescent="0.2">
      <c r="C240" s="89"/>
      <c r="M240" s="90"/>
    </row>
    <row r="241" spans="3:13" x14ac:dyDescent="0.2">
      <c r="C241" s="89"/>
      <c r="M241" s="90"/>
    </row>
    <row r="242" spans="3:13" x14ac:dyDescent="0.2">
      <c r="C242" s="89"/>
      <c r="M242" s="90"/>
    </row>
    <row r="243" spans="3:13" x14ac:dyDescent="0.2">
      <c r="C243" s="89"/>
      <c r="M243" s="90"/>
    </row>
    <row r="244" spans="3:13" x14ac:dyDescent="0.2">
      <c r="C244" s="89"/>
      <c r="M244" s="90"/>
    </row>
    <row r="245" spans="3:13" x14ac:dyDescent="0.2">
      <c r="C245" s="89"/>
      <c r="M245" s="90"/>
    </row>
    <row r="246" spans="3:13" x14ac:dyDescent="0.2">
      <c r="C246" s="89"/>
      <c r="M246" s="90"/>
    </row>
    <row r="247" spans="3:13" x14ac:dyDescent="0.2">
      <c r="C247" s="89"/>
      <c r="M247" s="90"/>
    </row>
    <row r="248" spans="3:13" x14ac:dyDescent="0.2">
      <c r="C248" s="89"/>
      <c r="M248" s="90"/>
    </row>
    <row r="249" spans="3:13" x14ac:dyDescent="0.2">
      <c r="C249" s="89"/>
      <c r="M249" s="90"/>
    </row>
    <row r="250" spans="3:13" x14ac:dyDescent="0.2">
      <c r="C250" s="89"/>
      <c r="M250" s="90"/>
    </row>
    <row r="251" spans="3:13" x14ac:dyDescent="0.2">
      <c r="C251" s="89"/>
      <c r="M251" s="90"/>
    </row>
    <row r="252" spans="3:13" x14ac:dyDescent="0.2">
      <c r="C252" s="89"/>
      <c r="M252" s="90"/>
    </row>
    <row r="253" spans="3:13" x14ac:dyDescent="0.2">
      <c r="C253" s="89"/>
      <c r="M253" s="90"/>
    </row>
    <row r="254" spans="3:13" x14ac:dyDescent="0.2">
      <c r="C254" s="89"/>
      <c r="M254" s="90"/>
    </row>
    <row r="255" spans="3:13" x14ac:dyDescent="0.2">
      <c r="C255" s="89"/>
      <c r="M255" s="90"/>
    </row>
    <row r="256" spans="3:13" x14ac:dyDescent="0.2">
      <c r="C256" s="89"/>
      <c r="M256" s="90"/>
    </row>
    <row r="257" spans="3:13" x14ac:dyDescent="0.2">
      <c r="C257" s="89"/>
      <c r="M257" s="90"/>
    </row>
    <row r="258" spans="3:13" x14ac:dyDescent="0.2">
      <c r="C258" s="89"/>
      <c r="M258" s="90"/>
    </row>
    <row r="259" spans="3:13" x14ac:dyDescent="0.2">
      <c r="C259" s="89"/>
      <c r="M259" s="90"/>
    </row>
    <row r="260" spans="3:13" x14ac:dyDescent="0.2">
      <c r="C260" s="89"/>
      <c r="M260" s="90"/>
    </row>
    <row r="261" spans="3:13" x14ac:dyDescent="0.2">
      <c r="C261" s="89"/>
      <c r="M261" s="90"/>
    </row>
    <row r="262" spans="3:13" x14ac:dyDescent="0.2">
      <c r="C262" s="89"/>
      <c r="M262" s="90"/>
    </row>
    <row r="263" spans="3:13" x14ac:dyDescent="0.2">
      <c r="C263" s="89"/>
      <c r="M263" s="90"/>
    </row>
    <row r="264" spans="3:13" x14ac:dyDescent="0.2">
      <c r="C264" s="89"/>
      <c r="M264" s="90"/>
    </row>
    <row r="265" spans="3:13" x14ac:dyDescent="0.2">
      <c r="C265" s="89"/>
      <c r="M265" s="90"/>
    </row>
    <row r="266" spans="3:13" x14ac:dyDescent="0.2">
      <c r="C266" s="89"/>
      <c r="M266" s="90"/>
    </row>
    <row r="267" spans="3:13" x14ac:dyDescent="0.2">
      <c r="C267" s="89"/>
      <c r="M267" s="90"/>
    </row>
    <row r="268" spans="3:13" x14ac:dyDescent="0.2">
      <c r="C268" s="89"/>
      <c r="M268" s="90"/>
    </row>
    <row r="269" spans="3:13" x14ac:dyDescent="0.2">
      <c r="C269" s="89"/>
      <c r="M269" s="90"/>
    </row>
    <row r="270" spans="3:13" x14ac:dyDescent="0.2">
      <c r="C270" s="89"/>
      <c r="M270" s="90"/>
    </row>
    <row r="271" spans="3:13" x14ac:dyDescent="0.2">
      <c r="C271" s="89"/>
      <c r="M271" s="90"/>
    </row>
    <row r="272" spans="3:13" x14ac:dyDescent="0.2">
      <c r="C272" s="89"/>
      <c r="M272" s="90"/>
    </row>
    <row r="273" spans="3:13" x14ac:dyDescent="0.2">
      <c r="C273" s="89"/>
      <c r="M273" s="90"/>
    </row>
    <row r="274" spans="3:13" x14ac:dyDescent="0.2">
      <c r="C274" s="89"/>
      <c r="M274" s="90"/>
    </row>
    <row r="275" spans="3:13" x14ac:dyDescent="0.2">
      <c r="C275" s="89"/>
      <c r="M275" s="90"/>
    </row>
    <row r="276" spans="3:13" x14ac:dyDescent="0.2">
      <c r="C276" s="89"/>
      <c r="M276" s="90"/>
    </row>
    <row r="277" spans="3:13" x14ac:dyDescent="0.2">
      <c r="C277" s="89"/>
      <c r="M277" s="90"/>
    </row>
    <row r="278" spans="3:13" x14ac:dyDescent="0.2">
      <c r="C278" s="89"/>
      <c r="M278" s="90"/>
    </row>
    <row r="279" spans="3:13" x14ac:dyDescent="0.2">
      <c r="C279" s="89"/>
      <c r="M279" s="90"/>
    </row>
    <row r="280" spans="3:13" x14ac:dyDescent="0.2">
      <c r="C280" s="89"/>
      <c r="M280" s="90"/>
    </row>
    <row r="281" spans="3:13" x14ac:dyDescent="0.2">
      <c r="C281" s="89"/>
      <c r="M281" s="90"/>
    </row>
    <row r="282" spans="3:13" x14ac:dyDescent="0.2">
      <c r="C282" s="89"/>
      <c r="M282" s="90"/>
    </row>
    <row r="283" spans="3:13" x14ac:dyDescent="0.2">
      <c r="C283" s="89"/>
      <c r="M283" s="90"/>
    </row>
    <row r="284" spans="3:13" x14ac:dyDescent="0.2">
      <c r="C284" s="89"/>
      <c r="M284" s="90"/>
    </row>
    <row r="285" spans="3:13" x14ac:dyDescent="0.2">
      <c r="C285" s="89"/>
      <c r="M285" s="90"/>
    </row>
    <row r="286" spans="3:13" x14ac:dyDescent="0.2">
      <c r="C286" s="89"/>
      <c r="M286" s="90"/>
    </row>
    <row r="287" spans="3:13" x14ac:dyDescent="0.2">
      <c r="C287" s="89"/>
      <c r="M287" s="90"/>
    </row>
    <row r="288" spans="3:13" x14ac:dyDescent="0.2">
      <c r="C288" s="89"/>
      <c r="M288" s="90"/>
    </row>
    <row r="289" spans="3:13" x14ac:dyDescent="0.2">
      <c r="C289" s="89"/>
      <c r="M289" s="90"/>
    </row>
    <row r="290" spans="3:13" x14ac:dyDescent="0.2">
      <c r="C290" s="89"/>
      <c r="M290" s="90"/>
    </row>
    <row r="291" spans="3:13" x14ac:dyDescent="0.2">
      <c r="C291" s="89"/>
      <c r="M291" s="90"/>
    </row>
    <row r="292" spans="3:13" x14ac:dyDescent="0.2">
      <c r="C292" s="89"/>
      <c r="M292" s="90"/>
    </row>
    <row r="293" spans="3:13" x14ac:dyDescent="0.2">
      <c r="C293" s="89"/>
      <c r="M293" s="90"/>
    </row>
    <row r="294" spans="3:13" x14ac:dyDescent="0.2">
      <c r="C294" s="89"/>
      <c r="M294" s="90"/>
    </row>
    <row r="295" spans="3:13" x14ac:dyDescent="0.2">
      <c r="C295" s="89"/>
      <c r="M295" s="90"/>
    </row>
    <row r="296" spans="3:13" x14ac:dyDescent="0.2">
      <c r="C296" s="89"/>
      <c r="M296" s="90"/>
    </row>
    <row r="297" spans="3:13" x14ac:dyDescent="0.2">
      <c r="C297" s="89"/>
      <c r="M297" s="90"/>
    </row>
    <row r="298" spans="3:13" x14ac:dyDescent="0.2">
      <c r="C298" s="89"/>
      <c r="M298" s="90"/>
    </row>
    <row r="299" spans="3:13" x14ac:dyDescent="0.2">
      <c r="C299" s="89"/>
      <c r="M299" s="90"/>
    </row>
    <row r="300" spans="3:13" x14ac:dyDescent="0.2">
      <c r="C300" s="89"/>
      <c r="M300" s="90"/>
    </row>
    <row r="301" spans="3:13" x14ac:dyDescent="0.2">
      <c r="C301" s="89"/>
      <c r="M301" s="90"/>
    </row>
    <row r="302" spans="3:13" x14ac:dyDescent="0.2">
      <c r="C302" s="89"/>
      <c r="M302" s="90"/>
    </row>
    <row r="303" spans="3:13" x14ac:dyDescent="0.2">
      <c r="C303" s="89"/>
      <c r="M303" s="90"/>
    </row>
    <row r="304" spans="3:13" x14ac:dyDescent="0.2">
      <c r="C304" s="89"/>
      <c r="M304" s="90"/>
    </row>
    <row r="305" spans="3:13" x14ac:dyDescent="0.2">
      <c r="C305" s="89"/>
      <c r="M305" s="90"/>
    </row>
    <row r="306" spans="3:13" x14ac:dyDescent="0.2">
      <c r="C306" s="89"/>
      <c r="M306" s="90"/>
    </row>
    <row r="307" spans="3:13" x14ac:dyDescent="0.2">
      <c r="C307" s="89"/>
      <c r="M307" s="90"/>
    </row>
    <row r="308" spans="3:13" x14ac:dyDescent="0.2">
      <c r="C308" s="89"/>
      <c r="M308" s="90"/>
    </row>
    <row r="309" spans="3:13" x14ac:dyDescent="0.2">
      <c r="C309" s="89"/>
      <c r="M309" s="90"/>
    </row>
    <row r="310" spans="3:13" x14ac:dyDescent="0.2">
      <c r="C310" s="89"/>
      <c r="M310" s="90"/>
    </row>
    <row r="311" spans="3:13" x14ac:dyDescent="0.2">
      <c r="C311" s="89"/>
      <c r="M311" s="90"/>
    </row>
    <row r="312" spans="3:13" x14ac:dyDescent="0.2">
      <c r="C312" s="89"/>
      <c r="M312" s="90"/>
    </row>
    <row r="313" spans="3:13" x14ac:dyDescent="0.2">
      <c r="C313" s="89"/>
      <c r="M313" s="90"/>
    </row>
    <row r="314" spans="3:13" x14ac:dyDescent="0.2">
      <c r="C314" s="89"/>
      <c r="M314" s="90"/>
    </row>
    <row r="315" spans="3:13" x14ac:dyDescent="0.2">
      <c r="C315" s="89"/>
      <c r="M315" s="90"/>
    </row>
    <row r="316" spans="3:13" x14ac:dyDescent="0.2">
      <c r="C316" s="89"/>
      <c r="M316" s="90"/>
    </row>
    <row r="317" spans="3:13" x14ac:dyDescent="0.2">
      <c r="C317" s="89"/>
      <c r="M317" s="90"/>
    </row>
    <row r="318" spans="3:13" x14ac:dyDescent="0.2">
      <c r="C318" s="89"/>
      <c r="M318" s="90"/>
    </row>
    <row r="319" spans="3:13" x14ac:dyDescent="0.2">
      <c r="C319" s="89"/>
      <c r="M319" s="90"/>
    </row>
    <row r="320" spans="3:13" x14ac:dyDescent="0.2">
      <c r="C320" s="89"/>
      <c r="M320" s="90"/>
    </row>
    <row r="321" spans="3:13" x14ac:dyDescent="0.2">
      <c r="C321" s="89"/>
      <c r="M321" s="90"/>
    </row>
    <row r="322" spans="3:13" x14ac:dyDescent="0.2">
      <c r="C322" s="89"/>
      <c r="M322" s="90"/>
    </row>
    <row r="323" spans="3:13" x14ac:dyDescent="0.2">
      <c r="C323" s="89"/>
      <c r="M323" s="90"/>
    </row>
    <row r="324" spans="3:13" x14ac:dyDescent="0.2">
      <c r="C324" s="89"/>
      <c r="M324" s="90"/>
    </row>
    <row r="325" spans="3:13" x14ac:dyDescent="0.2">
      <c r="C325" s="89"/>
      <c r="M325" s="90"/>
    </row>
    <row r="326" spans="3:13" x14ac:dyDescent="0.2">
      <c r="C326" s="89"/>
      <c r="M326" s="90"/>
    </row>
    <row r="327" spans="3:13" x14ac:dyDescent="0.2">
      <c r="C327" s="89"/>
      <c r="M327" s="90"/>
    </row>
    <row r="328" spans="3:13" x14ac:dyDescent="0.2">
      <c r="C328" s="89"/>
      <c r="M328" s="90"/>
    </row>
    <row r="329" spans="3:13" x14ac:dyDescent="0.2">
      <c r="C329" s="89"/>
      <c r="M329" s="90"/>
    </row>
    <row r="330" spans="3:13" x14ac:dyDescent="0.2">
      <c r="C330" s="89"/>
      <c r="M330" s="90"/>
    </row>
    <row r="331" spans="3:13" x14ac:dyDescent="0.2">
      <c r="C331" s="89"/>
      <c r="M331" s="90"/>
    </row>
    <row r="332" spans="3:13" x14ac:dyDescent="0.2">
      <c r="C332" s="89"/>
      <c r="M332" s="90"/>
    </row>
    <row r="333" spans="3:13" x14ac:dyDescent="0.2">
      <c r="C333" s="89"/>
      <c r="M333" s="90"/>
    </row>
    <row r="334" spans="3:13" x14ac:dyDescent="0.2">
      <c r="C334" s="89"/>
      <c r="M334" s="90"/>
    </row>
    <row r="335" spans="3:13" x14ac:dyDescent="0.2">
      <c r="C335" s="89"/>
      <c r="M335" s="90"/>
    </row>
    <row r="336" spans="3:13" x14ac:dyDescent="0.2">
      <c r="C336" s="89"/>
      <c r="M336" s="90"/>
    </row>
    <row r="337" spans="3:13" x14ac:dyDescent="0.2">
      <c r="C337" s="89"/>
      <c r="M337" s="90"/>
    </row>
    <row r="338" spans="3:13" x14ac:dyDescent="0.2">
      <c r="C338" s="89"/>
      <c r="M338" s="90"/>
    </row>
    <row r="339" spans="3:13" x14ac:dyDescent="0.2">
      <c r="C339" s="89"/>
      <c r="M339" s="90"/>
    </row>
    <row r="340" spans="3:13" x14ac:dyDescent="0.2">
      <c r="C340" s="89"/>
      <c r="M340" s="90"/>
    </row>
    <row r="341" spans="3:13" x14ac:dyDescent="0.2">
      <c r="C341" s="89"/>
      <c r="M341" s="90"/>
    </row>
    <row r="342" spans="3:13" x14ac:dyDescent="0.2">
      <c r="C342" s="89"/>
      <c r="M342" s="90"/>
    </row>
    <row r="343" spans="3:13" x14ac:dyDescent="0.2">
      <c r="C343" s="89"/>
      <c r="M343" s="90"/>
    </row>
    <row r="344" spans="3:13" x14ac:dyDescent="0.2">
      <c r="C344" s="89"/>
      <c r="M344" s="90"/>
    </row>
    <row r="345" spans="3:13" x14ac:dyDescent="0.2">
      <c r="C345" s="89"/>
      <c r="M345" s="90"/>
    </row>
    <row r="346" spans="3:13" x14ac:dyDescent="0.2">
      <c r="C346" s="89"/>
      <c r="M346" s="90"/>
    </row>
    <row r="347" spans="3:13" x14ac:dyDescent="0.2">
      <c r="C347" s="89"/>
      <c r="M347" s="90"/>
    </row>
    <row r="348" spans="3:13" x14ac:dyDescent="0.2">
      <c r="C348" s="89"/>
      <c r="M348" s="90"/>
    </row>
    <row r="349" spans="3:13" x14ac:dyDescent="0.2">
      <c r="C349" s="89"/>
      <c r="M349" s="90"/>
    </row>
    <row r="350" spans="3:13" x14ac:dyDescent="0.2">
      <c r="C350" s="89"/>
      <c r="M350" s="90"/>
    </row>
    <row r="351" spans="3:13" x14ac:dyDescent="0.2">
      <c r="C351" s="89"/>
      <c r="M351" s="90"/>
    </row>
    <row r="352" spans="3:13" x14ac:dyDescent="0.2">
      <c r="C352" s="89"/>
      <c r="M352" s="90"/>
    </row>
    <row r="353" spans="3:13" x14ac:dyDescent="0.2">
      <c r="C353" s="89"/>
      <c r="M353" s="90"/>
    </row>
    <row r="354" spans="3:13" x14ac:dyDescent="0.2">
      <c r="C354" s="89"/>
      <c r="M354" s="90"/>
    </row>
    <row r="355" spans="3:13" x14ac:dyDescent="0.2">
      <c r="C355" s="89"/>
      <c r="M355" s="90"/>
    </row>
    <row r="356" spans="3:13" x14ac:dyDescent="0.2">
      <c r="C356" s="89"/>
      <c r="M356" s="90"/>
    </row>
    <row r="357" spans="3:13" x14ac:dyDescent="0.2">
      <c r="C357" s="89"/>
      <c r="M357" s="90"/>
    </row>
    <row r="358" spans="3:13" x14ac:dyDescent="0.2">
      <c r="C358" s="89"/>
      <c r="M358" s="90"/>
    </row>
    <row r="359" spans="3:13" x14ac:dyDescent="0.2">
      <c r="C359" s="89"/>
      <c r="M359" s="90"/>
    </row>
    <row r="360" spans="3:13" x14ac:dyDescent="0.2">
      <c r="C360" s="89"/>
      <c r="M360" s="90"/>
    </row>
    <row r="361" spans="3:13" x14ac:dyDescent="0.2">
      <c r="C361" s="89"/>
      <c r="M361" s="90"/>
    </row>
    <row r="362" spans="3:13" x14ac:dyDescent="0.2">
      <c r="C362" s="89"/>
      <c r="M362" s="90"/>
    </row>
    <row r="363" spans="3:13" x14ac:dyDescent="0.2">
      <c r="C363" s="89"/>
      <c r="M363" s="90"/>
    </row>
    <row r="364" spans="3:13" x14ac:dyDescent="0.2">
      <c r="C364" s="89"/>
      <c r="M364" s="90"/>
    </row>
    <row r="365" spans="3:13" x14ac:dyDescent="0.2">
      <c r="C365" s="89"/>
      <c r="M365" s="90"/>
    </row>
    <row r="366" spans="3:13" x14ac:dyDescent="0.2">
      <c r="C366" s="89"/>
      <c r="M366" s="90"/>
    </row>
    <row r="367" spans="3:13" x14ac:dyDescent="0.2">
      <c r="C367" s="89"/>
      <c r="M367" s="90"/>
    </row>
    <row r="368" spans="3:13" x14ac:dyDescent="0.2">
      <c r="C368" s="89"/>
      <c r="M368" s="90"/>
    </row>
    <row r="369" spans="3:13" x14ac:dyDescent="0.2">
      <c r="C369" s="89"/>
      <c r="M369" s="90"/>
    </row>
    <row r="370" spans="3:13" x14ac:dyDescent="0.2">
      <c r="C370" s="89"/>
      <c r="M370" s="90"/>
    </row>
    <row r="371" spans="3:13" x14ac:dyDescent="0.2">
      <c r="C371" s="89"/>
      <c r="M371" s="90"/>
    </row>
    <row r="372" spans="3:13" x14ac:dyDescent="0.2">
      <c r="C372" s="89"/>
      <c r="M372" s="90"/>
    </row>
    <row r="373" spans="3:13" x14ac:dyDescent="0.2">
      <c r="C373" s="89"/>
      <c r="M373" s="90"/>
    </row>
    <row r="374" spans="3:13" x14ac:dyDescent="0.2">
      <c r="C374" s="89"/>
      <c r="M374" s="90"/>
    </row>
    <row r="375" spans="3:13" x14ac:dyDescent="0.2">
      <c r="C375" s="89"/>
      <c r="M375" s="90"/>
    </row>
    <row r="376" spans="3:13" x14ac:dyDescent="0.2">
      <c r="C376" s="89"/>
      <c r="M376" s="90"/>
    </row>
    <row r="377" spans="3:13" x14ac:dyDescent="0.2">
      <c r="C377" s="89"/>
      <c r="M377" s="90"/>
    </row>
    <row r="378" spans="3:13" x14ac:dyDescent="0.2">
      <c r="C378" s="89"/>
      <c r="M378" s="90"/>
    </row>
    <row r="379" spans="3:13" x14ac:dyDescent="0.2">
      <c r="C379" s="89"/>
      <c r="M379" s="90"/>
    </row>
    <row r="380" spans="3:13" x14ac:dyDescent="0.2">
      <c r="C380" s="89"/>
      <c r="M380" s="90"/>
    </row>
    <row r="381" spans="3:13" x14ac:dyDescent="0.2">
      <c r="C381" s="89"/>
      <c r="M381" s="90"/>
    </row>
    <row r="382" spans="3:13" x14ac:dyDescent="0.2">
      <c r="C382" s="89"/>
      <c r="M382" s="90"/>
    </row>
    <row r="383" spans="3:13" x14ac:dyDescent="0.2">
      <c r="C383" s="89"/>
      <c r="M383" s="90"/>
    </row>
    <row r="384" spans="3:13" x14ac:dyDescent="0.2">
      <c r="C384" s="89"/>
      <c r="M384" s="90"/>
    </row>
    <row r="385" spans="3:13" x14ac:dyDescent="0.2">
      <c r="C385" s="89"/>
      <c r="M385" s="90"/>
    </row>
    <row r="386" spans="3:13" x14ac:dyDescent="0.2">
      <c r="C386" s="89"/>
      <c r="M386" s="90"/>
    </row>
    <row r="387" spans="3:13" x14ac:dyDescent="0.2">
      <c r="C387" s="89"/>
      <c r="M387" s="90"/>
    </row>
    <row r="388" spans="3:13" x14ac:dyDescent="0.2">
      <c r="C388" s="89"/>
      <c r="M388" s="90"/>
    </row>
    <row r="389" spans="3:13" x14ac:dyDescent="0.2">
      <c r="C389" s="89"/>
      <c r="M389" s="90"/>
    </row>
    <row r="390" spans="3:13" x14ac:dyDescent="0.2">
      <c r="C390" s="89"/>
      <c r="M390" s="90"/>
    </row>
    <row r="391" spans="3:13" x14ac:dyDescent="0.2">
      <c r="C391" s="89"/>
      <c r="M391" s="90"/>
    </row>
    <row r="392" spans="3:13" x14ac:dyDescent="0.2">
      <c r="C392" s="89"/>
      <c r="M392" s="90"/>
    </row>
    <row r="393" spans="3:13" x14ac:dyDescent="0.2">
      <c r="C393" s="89"/>
      <c r="M393" s="90"/>
    </row>
    <row r="394" spans="3:13" x14ac:dyDescent="0.2">
      <c r="C394" s="89"/>
      <c r="M394" s="90"/>
    </row>
    <row r="395" spans="3:13" x14ac:dyDescent="0.2">
      <c r="C395" s="89"/>
      <c r="M395" s="90"/>
    </row>
    <row r="396" spans="3:13" x14ac:dyDescent="0.2">
      <c r="C396" s="89"/>
      <c r="M396" s="90"/>
    </row>
    <row r="397" spans="3:13" x14ac:dyDescent="0.2">
      <c r="C397" s="89"/>
      <c r="M397" s="90"/>
    </row>
    <row r="398" spans="3:13" x14ac:dyDescent="0.2">
      <c r="C398" s="89"/>
      <c r="M398" s="90"/>
    </row>
    <row r="399" spans="3:13" x14ac:dyDescent="0.2">
      <c r="C399" s="89"/>
      <c r="M399" s="90"/>
    </row>
    <row r="400" spans="3:13" x14ac:dyDescent="0.2">
      <c r="C400" s="89"/>
      <c r="M400" s="90"/>
    </row>
    <row r="401" spans="3:13" x14ac:dyDescent="0.2">
      <c r="C401" s="89"/>
      <c r="M401" s="90"/>
    </row>
    <row r="402" spans="3:13" x14ac:dyDescent="0.2">
      <c r="C402" s="89"/>
      <c r="M402" s="90"/>
    </row>
    <row r="403" spans="3:13" x14ac:dyDescent="0.2">
      <c r="C403" s="89"/>
      <c r="M403" s="90"/>
    </row>
    <row r="404" spans="3:13" x14ac:dyDescent="0.2">
      <c r="C404" s="89"/>
      <c r="M404" s="90"/>
    </row>
    <row r="405" spans="3:13" x14ac:dyDescent="0.2">
      <c r="C405" s="89"/>
      <c r="M405" s="90"/>
    </row>
    <row r="406" spans="3:13" x14ac:dyDescent="0.2">
      <c r="C406" s="89"/>
      <c r="M406" s="90"/>
    </row>
    <row r="407" spans="3:13" x14ac:dyDescent="0.2">
      <c r="C407" s="89"/>
      <c r="M407" s="90"/>
    </row>
    <row r="408" spans="3:13" x14ac:dyDescent="0.2">
      <c r="C408" s="89"/>
      <c r="M408" s="90"/>
    </row>
    <row r="409" spans="3:13" x14ac:dyDescent="0.2">
      <c r="C409" s="89"/>
      <c r="M409" s="90"/>
    </row>
    <row r="410" spans="3:13" x14ac:dyDescent="0.2">
      <c r="C410" s="89"/>
      <c r="M410" s="90"/>
    </row>
    <row r="411" spans="3:13" x14ac:dyDescent="0.2">
      <c r="C411" s="89"/>
      <c r="M411" s="90"/>
    </row>
    <row r="412" spans="3:13" x14ac:dyDescent="0.2">
      <c r="C412" s="89"/>
      <c r="M412" s="90"/>
    </row>
    <row r="413" spans="3:13" x14ac:dyDescent="0.2">
      <c r="C413" s="89"/>
      <c r="M413" s="90"/>
    </row>
    <row r="414" spans="3:13" x14ac:dyDescent="0.2">
      <c r="C414" s="89"/>
      <c r="M414" s="90"/>
    </row>
    <row r="415" spans="3:13" x14ac:dyDescent="0.2">
      <c r="C415" s="89"/>
      <c r="M415" s="90"/>
    </row>
    <row r="416" spans="3:13" x14ac:dyDescent="0.2">
      <c r="C416" s="89"/>
      <c r="M416" s="90"/>
    </row>
    <row r="417" spans="3:13" x14ac:dyDescent="0.2">
      <c r="C417" s="89"/>
      <c r="M417" s="90"/>
    </row>
    <row r="418" spans="3:13" x14ac:dyDescent="0.2">
      <c r="C418" s="89"/>
      <c r="M418" s="90"/>
    </row>
    <row r="419" spans="3:13" x14ac:dyDescent="0.2">
      <c r="C419" s="89"/>
      <c r="M419" s="90"/>
    </row>
    <row r="420" spans="3:13" x14ac:dyDescent="0.2">
      <c r="C420" s="89"/>
      <c r="M420" s="90"/>
    </row>
    <row r="421" spans="3:13" x14ac:dyDescent="0.2">
      <c r="C421" s="89"/>
      <c r="M421" s="90"/>
    </row>
    <row r="422" spans="3:13" x14ac:dyDescent="0.2">
      <c r="C422" s="89"/>
      <c r="M422" s="90"/>
    </row>
    <row r="423" spans="3:13" x14ac:dyDescent="0.2">
      <c r="C423" s="89"/>
      <c r="M423" s="90"/>
    </row>
    <row r="424" spans="3:13" x14ac:dyDescent="0.2">
      <c r="C424" s="89"/>
      <c r="M424" s="90"/>
    </row>
    <row r="425" spans="3:13" x14ac:dyDescent="0.2">
      <c r="C425" s="89"/>
      <c r="M425" s="90"/>
    </row>
    <row r="426" spans="3:13" x14ac:dyDescent="0.2">
      <c r="C426" s="89"/>
      <c r="M426" s="90"/>
    </row>
    <row r="427" spans="3:13" x14ac:dyDescent="0.2">
      <c r="C427" s="89"/>
      <c r="M427" s="90"/>
    </row>
    <row r="428" spans="3:13" x14ac:dyDescent="0.2">
      <c r="C428" s="89"/>
      <c r="M428" s="90"/>
    </row>
    <row r="429" spans="3:13" x14ac:dyDescent="0.2">
      <c r="C429" s="89"/>
      <c r="M429" s="90"/>
    </row>
    <row r="430" spans="3:13" x14ac:dyDescent="0.2">
      <c r="C430" s="89"/>
      <c r="M430" s="90"/>
    </row>
    <row r="431" spans="3:13" x14ac:dyDescent="0.2">
      <c r="C431" s="89"/>
      <c r="M431" s="90"/>
    </row>
    <row r="432" spans="3:13" x14ac:dyDescent="0.2">
      <c r="C432" s="89"/>
      <c r="M432" s="90"/>
    </row>
    <row r="433" spans="3:13" x14ac:dyDescent="0.2">
      <c r="C433" s="89"/>
      <c r="M433" s="90"/>
    </row>
    <row r="434" spans="3:13" x14ac:dyDescent="0.2">
      <c r="C434" s="89"/>
      <c r="M434" s="90"/>
    </row>
    <row r="435" spans="3:13" x14ac:dyDescent="0.2">
      <c r="C435" s="89"/>
      <c r="M435" s="90"/>
    </row>
    <row r="436" spans="3:13" x14ac:dyDescent="0.2">
      <c r="C436" s="89"/>
      <c r="M436" s="90"/>
    </row>
    <row r="437" spans="3:13" x14ac:dyDescent="0.2">
      <c r="C437" s="89"/>
      <c r="M437" s="90"/>
    </row>
    <row r="438" spans="3:13" x14ac:dyDescent="0.2">
      <c r="C438" s="89"/>
      <c r="M438" s="90"/>
    </row>
    <row r="439" spans="3:13" x14ac:dyDescent="0.2">
      <c r="C439" s="89"/>
      <c r="M439" s="90"/>
    </row>
    <row r="440" spans="3:13" x14ac:dyDescent="0.2">
      <c r="C440" s="89"/>
      <c r="M440" s="90"/>
    </row>
    <row r="441" spans="3:13" x14ac:dyDescent="0.2">
      <c r="C441" s="89"/>
      <c r="M441" s="90"/>
    </row>
    <row r="442" spans="3:13" x14ac:dyDescent="0.2">
      <c r="C442" s="89"/>
      <c r="M442" s="90"/>
    </row>
    <row r="443" spans="3:13" x14ac:dyDescent="0.2">
      <c r="C443" s="89"/>
      <c r="M443" s="90"/>
    </row>
    <row r="444" spans="3:13" x14ac:dyDescent="0.2">
      <c r="C444" s="89"/>
      <c r="M444" s="90"/>
    </row>
    <row r="445" spans="3:13" x14ac:dyDescent="0.2">
      <c r="C445" s="89"/>
      <c r="M445" s="90"/>
    </row>
    <row r="446" spans="3:13" x14ac:dyDescent="0.2">
      <c r="C446" s="89"/>
      <c r="M446" s="90"/>
    </row>
    <row r="447" spans="3:13" x14ac:dyDescent="0.2">
      <c r="C447" s="89"/>
      <c r="M447" s="90"/>
    </row>
    <row r="448" spans="3:13" x14ac:dyDescent="0.2">
      <c r="C448" s="89"/>
      <c r="M448" s="90"/>
    </row>
    <row r="449" spans="3:13" x14ac:dyDescent="0.2">
      <c r="C449" s="89"/>
      <c r="M449" s="90"/>
    </row>
    <row r="450" spans="3:13" x14ac:dyDescent="0.2">
      <c r="C450" s="89"/>
      <c r="M450" s="90"/>
    </row>
    <row r="451" spans="3:13" x14ac:dyDescent="0.2">
      <c r="C451" s="89"/>
      <c r="M451" s="90"/>
    </row>
    <row r="452" spans="3:13" x14ac:dyDescent="0.2">
      <c r="C452" s="89"/>
      <c r="M452" s="90"/>
    </row>
    <row r="453" spans="3:13" x14ac:dyDescent="0.2">
      <c r="C453" s="89"/>
      <c r="M453" s="90"/>
    </row>
    <row r="454" spans="3:13" x14ac:dyDescent="0.2">
      <c r="C454" s="89"/>
      <c r="M454" s="90"/>
    </row>
    <row r="455" spans="3:13" x14ac:dyDescent="0.2">
      <c r="C455" s="89"/>
      <c r="M455" s="90"/>
    </row>
    <row r="456" spans="3:13" x14ac:dyDescent="0.2">
      <c r="C456" s="89"/>
      <c r="M456" s="90"/>
    </row>
    <row r="457" spans="3:13" x14ac:dyDescent="0.2">
      <c r="C457" s="89"/>
      <c r="M457" s="90"/>
    </row>
    <row r="458" spans="3:13" x14ac:dyDescent="0.2">
      <c r="C458" s="89"/>
      <c r="M458" s="90"/>
    </row>
    <row r="459" spans="3:13" x14ac:dyDescent="0.2">
      <c r="C459" s="89"/>
      <c r="M459" s="90"/>
    </row>
    <row r="460" spans="3:13" x14ac:dyDescent="0.2">
      <c r="C460" s="89"/>
      <c r="M460" s="90"/>
    </row>
    <row r="461" spans="3:13" x14ac:dyDescent="0.2">
      <c r="C461" s="89"/>
      <c r="M461" s="90"/>
    </row>
    <row r="462" spans="3:13" x14ac:dyDescent="0.2">
      <c r="C462" s="89"/>
      <c r="M462" s="90"/>
    </row>
    <row r="463" spans="3:13" x14ac:dyDescent="0.2">
      <c r="C463" s="89"/>
      <c r="M463" s="90"/>
    </row>
    <row r="464" spans="3:13" x14ac:dyDescent="0.2">
      <c r="C464" s="89"/>
      <c r="M464" s="90"/>
    </row>
    <row r="465" spans="3:13" x14ac:dyDescent="0.2">
      <c r="C465" s="89"/>
      <c r="M465" s="90"/>
    </row>
    <row r="466" spans="3:13" x14ac:dyDescent="0.2">
      <c r="C466" s="89"/>
      <c r="M466" s="90"/>
    </row>
    <row r="467" spans="3:13" x14ac:dyDescent="0.2">
      <c r="C467" s="89"/>
      <c r="M467" s="90"/>
    </row>
    <row r="468" spans="3:13" x14ac:dyDescent="0.2">
      <c r="C468" s="89"/>
      <c r="M468" s="90"/>
    </row>
    <row r="469" spans="3:13" x14ac:dyDescent="0.2">
      <c r="C469" s="89"/>
      <c r="M469" s="90"/>
    </row>
    <row r="470" spans="3:13" x14ac:dyDescent="0.2">
      <c r="C470" s="89"/>
      <c r="M470" s="90"/>
    </row>
    <row r="471" spans="3:13" x14ac:dyDescent="0.2">
      <c r="C471" s="89"/>
      <c r="M471" s="90"/>
    </row>
    <row r="472" spans="3:13" x14ac:dyDescent="0.2">
      <c r="C472" s="89"/>
      <c r="M472" s="90"/>
    </row>
    <row r="473" spans="3:13" x14ac:dyDescent="0.2">
      <c r="C473" s="89"/>
      <c r="M473" s="90"/>
    </row>
    <row r="474" spans="3:13" x14ac:dyDescent="0.2">
      <c r="C474" s="89"/>
      <c r="M474" s="90"/>
    </row>
    <row r="475" spans="3:13" x14ac:dyDescent="0.2">
      <c r="C475" s="89"/>
      <c r="M475" s="90"/>
    </row>
    <row r="476" spans="3:13" x14ac:dyDescent="0.2">
      <c r="C476" s="89"/>
      <c r="M476" s="90"/>
    </row>
    <row r="477" spans="3:13" x14ac:dyDescent="0.2">
      <c r="C477" s="89"/>
      <c r="M477" s="90"/>
    </row>
    <row r="478" spans="3:13" x14ac:dyDescent="0.2">
      <c r="C478" s="89"/>
      <c r="M478" s="90"/>
    </row>
    <row r="479" spans="3:13" x14ac:dyDescent="0.2">
      <c r="C479" s="89"/>
      <c r="M479" s="90"/>
    </row>
    <row r="480" spans="3:13" x14ac:dyDescent="0.2">
      <c r="C480" s="89"/>
      <c r="M480" s="90"/>
    </row>
    <row r="481" spans="3:13" x14ac:dyDescent="0.2">
      <c r="C481" s="89"/>
      <c r="M481" s="90"/>
    </row>
    <row r="482" spans="3:13" x14ac:dyDescent="0.2">
      <c r="C482" s="89"/>
      <c r="M482" s="90"/>
    </row>
    <row r="483" spans="3:13" x14ac:dyDescent="0.2">
      <c r="C483" s="89"/>
      <c r="M483" s="90"/>
    </row>
    <row r="484" spans="3:13" x14ac:dyDescent="0.2">
      <c r="C484" s="89"/>
      <c r="M484" s="90"/>
    </row>
    <row r="485" spans="3:13" x14ac:dyDescent="0.2">
      <c r="C485" s="89"/>
      <c r="M485" s="90"/>
    </row>
    <row r="486" spans="3:13" x14ac:dyDescent="0.2">
      <c r="C486" s="89"/>
      <c r="M486" s="90"/>
    </row>
    <row r="487" spans="3:13" x14ac:dyDescent="0.2">
      <c r="C487" s="89"/>
      <c r="M487" s="90"/>
    </row>
    <row r="488" spans="3:13" x14ac:dyDescent="0.2">
      <c r="C488" s="89"/>
      <c r="M488" s="90"/>
    </row>
    <row r="489" spans="3:13" x14ac:dyDescent="0.2">
      <c r="C489" s="89"/>
      <c r="M489" s="90"/>
    </row>
    <row r="490" spans="3:13" x14ac:dyDescent="0.2">
      <c r="C490" s="89"/>
      <c r="M490" s="90"/>
    </row>
    <row r="491" spans="3:13" x14ac:dyDescent="0.2">
      <c r="C491" s="89"/>
      <c r="M491" s="90"/>
    </row>
    <row r="492" spans="3:13" x14ac:dyDescent="0.2">
      <c r="C492" s="89"/>
      <c r="M492" s="90"/>
    </row>
    <row r="493" spans="3:13" x14ac:dyDescent="0.2">
      <c r="C493" s="89"/>
      <c r="M493" s="90"/>
    </row>
    <row r="494" spans="3:13" x14ac:dyDescent="0.2">
      <c r="C494" s="89"/>
      <c r="M494" s="90"/>
    </row>
    <row r="495" spans="3:13" x14ac:dyDescent="0.2">
      <c r="C495" s="89"/>
      <c r="M495" s="90"/>
    </row>
    <row r="496" spans="3:13" x14ac:dyDescent="0.2">
      <c r="C496" s="89"/>
      <c r="M496" s="90"/>
    </row>
    <row r="497" spans="3:13" x14ac:dyDescent="0.2">
      <c r="C497" s="89"/>
      <c r="M497" s="90"/>
    </row>
    <row r="498" spans="3:13" x14ac:dyDescent="0.2">
      <c r="C498" s="89"/>
      <c r="M498" s="90"/>
    </row>
    <row r="499" spans="3:13" x14ac:dyDescent="0.2">
      <c r="C499" s="89"/>
      <c r="M499" s="90"/>
    </row>
    <row r="500" spans="3:13" x14ac:dyDescent="0.2">
      <c r="C500" s="89"/>
      <c r="M500" s="90"/>
    </row>
    <row r="501" spans="3:13" x14ac:dyDescent="0.2">
      <c r="C501" s="89"/>
      <c r="M501" s="90"/>
    </row>
    <row r="502" spans="3:13" x14ac:dyDescent="0.2">
      <c r="C502" s="89"/>
      <c r="M502" s="90"/>
    </row>
    <row r="503" spans="3:13" x14ac:dyDescent="0.2">
      <c r="C503" s="89"/>
      <c r="M503" s="90"/>
    </row>
    <row r="504" spans="3:13" x14ac:dyDescent="0.2">
      <c r="C504" s="89"/>
      <c r="M504" s="90"/>
    </row>
    <row r="505" spans="3:13" x14ac:dyDescent="0.2">
      <c r="C505" s="89"/>
      <c r="M505" s="90"/>
    </row>
    <row r="506" spans="3:13" x14ac:dyDescent="0.2">
      <c r="C506" s="89"/>
      <c r="M506" s="90"/>
    </row>
    <row r="507" spans="3:13" x14ac:dyDescent="0.2">
      <c r="C507" s="89"/>
      <c r="M507" s="90"/>
    </row>
    <row r="508" spans="3:13" x14ac:dyDescent="0.2">
      <c r="C508" s="89"/>
      <c r="M508" s="90"/>
    </row>
    <row r="509" spans="3:13" x14ac:dyDescent="0.2">
      <c r="C509" s="89"/>
      <c r="M509" s="90"/>
    </row>
    <row r="510" spans="3:13" x14ac:dyDescent="0.2">
      <c r="C510" s="89"/>
      <c r="M510" s="90"/>
    </row>
    <row r="511" spans="3:13" x14ac:dyDescent="0.2">
      <c r="C511" s="89"/>
      <c r="M511" s="90"/>
    </row>
    <row r="512" spans="3:13" x14ac:dyDescent="0.2">
      <c r="C512" s="89"/>
      <c r="M512" s="90"/>
    </row>
    <row r="513" spans="3:13" x14ac:dyDescent="0.2">
      <c r="C513" s="89"/>
      <c r="M513" s="90"/>
    </row>
    <row r="514" spans="3:13" x14ac:dyDescent="0.2">
      <c r="C514" s="89"/>
      <c r="M514" s="90"/>
    </row>
    <row r="515" spans="3:13" x14ac:dyDescent="0.2">
      <c r="C515" s="89"/>
      <c r="M515" s="90"/>
    </row>
    <row r="516" spans="3:13" x14ac:dyDescent="0.2">
      <c r="C516" s="89"/>
      <c r="M516" s="90"/>
    </row>
    <row r="517" spans="3:13" x14ac:dyDescent="0.2">
      <c r="C517" s="89"/>
      <c r="M517" s="90"/>
    </row>
    <row r="518" spans="3:13" x14ac:dyDescent="0.2">
      <c r="C518" s="89"/>
      <c r="M518" s="90"/>
    </row>
    <row r="519" spans="3:13" x14ac:dyDescent="0.2">
      <c r="C519" s="89"/>
      <c r="M519" s="90"/>
    </row>
    <row r="520" spans="3:13" x14ac:dyDescent="0.2">
      <c r="C520" s="89"/>
      <c r="M520" s="90"/>
    </row>
    <row r="521" spans="3:13" x14ac:dyDescent="0.2">
      <c r="C521" s="89"/>
      <c r="M521" s="90"/>
    </row>
    <row r="522" spans="3:13" x14ac:dyDescent="0.2">
      <c r="C522" s="89"/>
      <c r="M522" s="90"/>
    </row>
    <row r="523" spans="3:13" x14ac:dyDescent="0.2">
      <c r="C523" s="89"/>
      <c r="M523" s="90"/>
    </row>
    <row r="524" spans="3:13" x14ac:dyDescent="0.2">
      <c r="C524" s="89"/>
      <c r="M524" s="90"/>
    </row>
    <row r="525" spans="3:13" x14ac:dyDescent="0.2">
      <c r="C525" s="89"/>
      <c r="M525" s="90"/>
    </row>
    <row r="526" spans="3:13" x14ac:dyDescent="0.2">
      <c r="C526" s="89"/>
      <c r="M526" s="90"/>
    </row>
    <row r="527" spans="3:13" x14ac:dyDescent="0.2">
      <c r="C527" s="89"/>
      <c r="M527" s="90"/>
    </row>
    <row r="528" spans="3:13" x14ac:dyDescent="0.2">
      <c r="C528" s="89"/>
      <c r="M528" s="90"/>
    </row>
    <row r="529" spans="3:13" x14ac:dyDescent="0.2">
      <c r="C529" s="89"/>
      <c r="M529" s="90"/>
    </row>
    <row r="530" spans="3:13" x14ac:dyDescent="0.2">
      <c r="C530" s="89"/>
      <c r="M530" s="90"/>
    </row>
    <row r="531" spans="3:13" x14ac:dyDescent="0.2">
      <c r="C531" s="89"/>
      <c r="M531" s="90"/>
    </row>
    <row r="532" spans="3:13" x14ac:dyDescent="0.2">
      <c r="C532" s="89"/>
      <c r="M532" s="90"/>
    </row>
    <row r="533" spans="3:13" x14ac:dyDescent="0.2">
      <c r="C533" s="89"/>
      <c r="M533" s="90"/>
    </row>
    <row r="534" spans="3:13" x14ac:dyDescent="0.2">
      <c r="C534" s="89"/>
      <c r="M534" s="90"/>
    </row>
    <row r="535" spans="3:13" x14ac:dyDescent="0.2">
      <c r="C535" s="89"/>
      <c r="M535" s="90"/>
    </row>
    <row r="536" spans="3:13" x14ac:dyDescent="0.2">
      <c r="C536" s="89"/>
      <c r="M536" s="90"/>
    </row>
    <row r="537" spans="3:13" x14ac:dyDescent="0.2">
      <c r="C537" s="89"/>
      <c r="M537" s="90"/>
    </row>
    <row r="538" spans="3:13" x14ac:dyDescent="0.2">
      <c r="C538" s="89"/>
      <c r="M538" s="90"/>
    </row>
    <row r="539" spans="3:13" x14ac:dyDescent="0.2">
      <c r="C539" s="89"/>
      <c r="M539" s="90"/>
    </row>
    <row r="540" spans="3:13" x14ac:dyDescent="0.2">
      <c r="C540" s="89"/>
      <c r="M540" s="90"/>
    </row>
    <row r="541" spans="3:13" x14ac:dyDescent="0.2">
      <c r="C541" s="89"/>
      <c r="M541" s="90"/>
    </row>
    <row r="542" spans="3:13" x14ac:dyDescent="0.2">
      <c r="C542" s="89"/>
      <c r="M542" s="90"/>
    </row>
    <row r="543" spans="3:13" x14ac:dyDescent="0.2">
      <c r="C543" s="89"/>
      <c r="M543" s="90"/>
    </row>
    <row r="544" spans="3:13" x14ac:dyDescent="0.2">
      <c r="C544" s="89"/>
      <c r="M544" s="90"/>
    </row>
    <row r="545" spans="3:13" x14ac:dyDescent="0.2">
      <c r="C545" s="89"/>
      <c r="M545" s="90"/>
    </row>
    <row r="546" spans="3:13" x14ac:dyDescent="0.2">
      <c r="C546" s="89"/>
      <c r="M546" s="90"/>
    </row>
    <row r="547" spans="3:13" x14ac:dyDescent="0.2">
      <c r="C547" s="89"/>
      <c r="M547" s="90"/>
    </row>
    <row r="548" spans="3:13" x14ac:dyDescent="0.2">
      <c r="C548" s="89"/>
      <c r="M548" s="90"/>
    </row>
    <row r="549" spans="3:13" x14ac:dyDescent="0.2">
      <c r="C549" s="89"/>
      <c r="M549" s="90"/>
    </row>
    <row r="550" spans="3:13" x14ac:dyDescent="0.2">
      <c r="C550" s="89"/>
      <c r="M550" s="90"/>
    </row>
    <row r="551" spans="3:13" x14ac:dyDescent="0.2">
      <c r="C551" s="89"/>
      <c r="M551" s="90"/>
    </row>
    <row r="552" spans="3:13" x14ac:dyDescent="0.2">
      <c r="C552" s="89"/>
      <c r="M552" s="90"/>
    </row>
    <row r="553" spans="3:13" x14ac:dyDescent="0.2">
      <c r="C553" s="89"/>
      <c r="M553" s="90"/>
    </row>
    <row r="554" spans="3:13" x14ac:dyDescent="0.2">
      <c r="C554" s="89"/>
      <c r="M554" s="90"/>
    </row>
    <row r="555" spans="3:13" x14ac:dyDescent="0.2">
      <c r="C555" s="89"/>
      <c r="M555" s="90"/>
    </row>
    <row r="556" spans="3:13" x14ac:dyDescent="0.2">
      <c r="C556" s="89"/>
      <c r="M556" s="90"/>
    </row>
    <row r="557" spans="3:13" x14ac:dyDescent="0.2">
      <c r="C557" s="89"/>
      <c r="M557" s="90"/>
    </row>
    <row r="558" spans="3:13" x14ac:dyDescent="0.2">
      <c r="C558" s="89"/>
      <c r="M558" s="90"/>
    </row>
    <row r="559" spans="3:13" x14ac:dyDescent="0.2">
      <c r="C559" s="89"/>
      <c r="M559" s="90"/>
    </row>
    <row r="560" spans="3:13" x14ac:dyDescent="0.2">
      <c r="C560" s="89"/>
      <c r="M560" s="90"/>
    </row>
    <row r="561" spans="3:13" x14ac:dyDescent="0.2">
      <c r="C561" s="89"/>
      <c r="M561" s="90"/>
    </row>
    <row r="562" spans="3:13" x14ac:dyDescent="0.2">
      <c r="C562" s="89"/>
      <c r="M562" s="90"/>
    </row>
    <row r="563" spans="3:13" x14ac:dyDescent="0.2">
      <c r="C563" s="89"/>
      <c r="M563" s="90"/>
    </row>
    <row r="564" spans="3:13" x14ac:dyDescent="0.2">
      <c r="C564" s="89"/>
      <c r="M564" s="90"/>
    </row>
    <row r="565" spans="3:13" x14ac:dyDescent="0.2">
      <c r="C565" s="89"/>
      <c r="M565" s="90"/>
    </row>
    <row r="566" spans="3:13" x14ac:dyDescent="0.2">
      <c r="C566" s="89"/>
      <c r="M566" s="90"/>
    </row>
    <row r="567" spans="3:13" x14ac:dyDescent="0.2">
      <c r="C567" s="89"/>
      <c r="M567" s="90"/>
    </row>
    <row r="568" spans="3:13" x14ac:dyDescent="0.2">
      <c r="C568" s="89"/>
      <c r="M568" s="90"/>
    </row>
    <row r="569" spans="3:13" x14ac:dyDescent="0.2">
      <c r="C569" s="89"/>
      <c r="M569" s="90"/>
    </row>
    <row r="570" spans="3:13" x14ac:dyDescent="0.2">
      <c r="C570" s="89"/>
      <c r="M570" s="90"/>
    </row>
    <row r="571" spans="3:13" x14ac:dyDescent="0.2">
      <c r="C571" s="89"/>
      <c r="M571" s="90"/>
    </row>
    <row r="572" spans="3:13" x14ac:dyDescent="0.2">
      <c r="C572" s="89"/>
      <c r="M572" s="90"/>
    </row>
    <row r="573" spans="3:13" x14ac:dyDescent="0.2">
      <c r="C573" s="89"/>
      <c r="M573" s="90"/>
    </row>
    <row r="574" spans="3:13" x14ac:dyDescent="0.2">
      <c r="C574" s="89"/>
      <c r="M574" s="90"/>
    </row>
    <row r="575" spans="3:13" x14ac:dyDescent="0.2">
      <c r="C575" s="89"/>
      <c r="M575" s="90"/>
    </row>
    <row r="576" spans="3:13" x14ac:dyDescent="0.2">
      <c r="C576" s="89"/>
      <c r="M576" s="90"/>
    </row>
    <row r="577" spans="3:13" x14ac:dyDescent="0.2">
      <c r="C577" s="89"/>
      <c r="M577" s="90"/>
    </row>
    <row r="578" spans="3:13" x14ac:dyDescent="0.2">
      <c r="C578" s="89"/>
      <c r="M578" s="90"/>
    </row>
    <row r="579" spans="3:13" x14ac:dyDescent="0.2">
      <c r="C579" s="89"/>
      <c r="M579" s="90"/>
    </row>
    <row r="580" spans="3:13" x14ac:dyDescent="0.2">
      <c r="C580" s="89"/>
      <c r="M580" s="90"/>
    </row>
    <row r="581" spans="3:13" x14ac:dyDescent="0.2">
      <c r="C581" s="89"/>
      <c r="M581" s="90"/>
    </row>
    <row r="582" spans="3:13" x14ac:dyDescent="0.2">
      <c r="C582" s="89"/>
      <c r="M582" s="90"/>
    </row>
    <row r="583" spans="3:13" x14ac:dyDescent="0.2">
      <c r="C583" s="89"/>
      <c r="M583" s="90"/>
    </row>
    <row r="584" spans="3:13" x14ac:dyDescent="0.2">
      <c r="C584" s="89"/>
      <c r="M584" s="90"/>
    </row>
    <row r="585" spans="3:13" x14ac:dyDescent="0.2">
      <c r="C585" s="89"/>
      <c r="M585" s="90"/>
    </row>
    <row r="586" spans="3:13" x14ac:dyDescent="0.2">
      <c r="C586" s="89"/>
      <c r="M586" s="90"/>
    </row>
    <row r="587" spans="3:13" x14ac:dyDescent="0.2">
      <c r="C587" s="89"/>
      <c r="M587" s="90"/>
    </row>
    <row r="588" spans="3:13" x14ac:dyDescent="0.2">
      <c r="C588" s="89"/>
      <c r="M588" s="90"/>
    </row>
    <row r="589" spans="3:13" x14ac:dyDescent="0.2">
      <c r="C589" s="89"/>
      <c r="M589" s="90"/>
    </row>
    <row r="590" spans="3:13" x14ac:dyDescent="0.2">
      <c r="C590" s="89"/>
      <c r="M590" s="90"/>
    </row>
    <row r="591" spans="3:13" x14ac:dyDescent="0.2">
      <c r="C591" s="89"/>
      <c r="M591" s="90"/>
    </row>
    <row r="592" spans="3:13" x14ac:dyDescent="0.2">
      <c r="C592" s="89"/>
      <c r="M592" s="90"/>
    </row>
    <row r="593" spans="3:13" x14ac:dyDescent="0.2">
      <c r="C593" s="89"/>
      <c r="M593" s="90"/>
    </row>
    <row r="594" spans="3:13" x14ac:dyDescent="0.2">
      <c r="C594" s="89"/>
      <c r="M594" s="90"/>
    </row>
    <row r="595" spans="3:13" x14ac:dyDescent="0.2">
      <c r="C595" s="89"/>
      <c r="M595" s="90"/>
    </row>
    <row r="596" spans="3:13" x14ac:dyDescent="0.2">
      <c r="C596" s="89"/>
      <c r="M596" s="90"/>
    </row>
    <row r="597" spans="3:13" x14ac:dyDescent="0.2">
      <c r="C597" s="89"/>
      <c r="M597" s="90"/>
    </row>
    <row r="598" spans="3:13" x14ac:dyDescent="0.2">
      <c r="C598" s="89"/>
      <c r="M598" s="90"/>
    </row>
    <row r="599" spans="3:13" x14ac:dyDescent="0.2">
      <c r="C599" s="89"/>
      <c r="M599" s="90"/>
    </row>
    <row r="600" spans="3:13" x14ac:dyDescent="0.2">
      <c r="C600" s="89"/>
      <c r="M600" s="90"/>
    </row>
    <row r="601" spans="3:13" x14ac:dyDescent="0.2">
      <c r="C601" s="89"/>
      <c r="M601" s="90"/>
    </row>
    <row r="602" spans="3:13" x14ac:dyDescent="0.2">
      <c r="C602" s="89"/>
      <c r="M602" s="90"/>
    </row>
    <row r="603" spans="3:13" x14ac:dyDescent="0.2">
      <c r="C603" s="89"/>
      <c r="M603" s="90"/>
    </row>
    <row r="604" spans="3:13" x14ac:dyDescent="0.2">
      <c r="C604" s="89"/>
      <c r="M604" s="90"/>
    </row>
    <row r="605" spans="3:13" x14ac:dyDescent="0.2">
      <c r="C605" s="89"/>
      <c r="M605" s="90"/>
    </row>
    <row r="606" spans="3:13" x14ac:dyDescent="0.2">
      <c r="C606" s="89"/>
      <c r="M606" s="90"/>
    </row>
    <row r="607" spans="3:13" x14ac:dyDescent="0.2">
      <c r="C607" s="89"/>
      <c r="M607" s="90"/>
    </row>
    <row r="608" spans="3:13" x14ac:dyDescent="0.2">
      <c r="C608" s="89"/>
      <c r="M608" s="90"/>
    </row>
    <row r="609" spans="3:13" x14ac:dyDescent="0.2">
      <c r="C609" s="89"/>
      <c r="M609" s="90"/>
    </row>
    <row r="610" spans="3:13" x14ac:dyDescent="0.2">
      <c r="C610" s="89"/>
      <c r="M610" s="90"/>
    </row>
    <row r="611" spans="3:13" x14ac:dyDescent="0.2">
      <c r="C611" s="89"/>
      <c r="M611" s="90"/>
    </row>
    <row r="612" spans="3:13" x14ac:dyDescent="0.2">
      <c r="C612" s="89"/>
      <c r="M612" s="90"/>
    </row>
    <row r="613" spans="3:13" x14ac:dyDescent="0.2">
      <c r="C613" s="89"/>
      <c r="M613" s="90"/>
    </row>
    <row r="614" spans="3:13" x14ac:dyDescent="0.2">
      <c r="C614" s="89"/>
      <c r="M614" s="90"/>
    </row>
    <row r="615" spans="3:13" x14ac:dyDescent="0.2">
      <c r="C615" s="89"/>
      <c r="M615" s="90"/>
    </row>
    <row r="616" spans="3:13" x14ac:dyDescent="0.2">
      <c r="C616" s="89"/>
      <c r="M616" s="90"/>
    </row>
    <row r="617" spans="3:13" x14ac:dyDescent="0.2">
      <c r="C617" s="89"/>
      <c r="M617" s="90"/>
    </row>
    <row r="618" spans="3:13" x14ac:dyDescent="0.2">
      <c r="C618" s="89"/>
      <c r="M618" s="90"/>
    </row>
    <row r="619" spans="3:13" x14ac:dyDescent="0.2">
      <c r="C619" s="89"/>
      <c r="M619" s="90"/>
    </row>
    <row r="620" spans="3:13" x14ac:dyDescent="0.2">
      <c r="C620" s="89"/>
      <c r="M620" s="90"/>
    </row>
    <row r="621" spans="3:13" x14ac:dyDescent="0.2">
      <c r="C621" s="89"/>
      <c r="M621" s="90"/>
    </row>
    <row r="622" spans="3:13" x14ac:dyDescent="0.2">
      <c r="C622" s="89"/>
      <c r="M622" s="90"/>
    </row>
    <row r="623" spans="3:13" x14ac:dyDescent="0.2">
      <c r="C623" s="89"/>
      <c r="M623" s="90"/>
    </row>
    <row r="624" spans="3:13" x14ac:dyDescent="0.2">
      <c r="C624" s="89"/>
      <c r="M624" s="90"/>
    </row>
    <row r="625" spans="3:13" x14ac:dyDescent="0.2">
      <c r="C625" s="89"/>
      <c r="M625" s="90"/>
    </row>
    <row r="626" spans="3:13" x14ac:dyDescent="0.2">
      <c r="C626" s="89"/>
      <c r="M626" s="90"/>
    </row>
    <row r="627" spans="3:13" x14ac:dyDescent="0.2">
      <c r="C627" s="89"/>
      <c r="M627" s="90"/>
    </row>
    <row r="628" spans="3:13" x14ac:dyDescent="0.2">
      <c r="C628" s="89"/>
      <c r="M628" s="90"/>
    </row>
    <row r="629" spans="3:13" x14ac:dyDescent="0.2">
      <c r="C629" s="89"/>
      <c r="M629" s="90"/>
    </row>
    <row r="630" spans="3:13" x14ac:dyDescent="0.2">
      <c r="C630" s="89"/>
      <c r="M630" s="90"/>
    </row>
    <row r="631" spans="3:13" x14ac:dyDescent="0.2">
      <c r="C631" s="89"/>
      <c r="M631" s="90"/>
    </row>
    <row r="632" spans="3:13" x14ac:dyDescent="0.2">
      <c r="C632" s="89"/>
      <c r="M632" s="90"/>
    </row>
    <row r="633" spans="3:13" x14ac:dyDescent="0.2">
      <c r="C633" s="89"/>
      <c r="M633" s="90"/>
    </row>
    <row r="634" spans="3:13" x14ac:dyDescent="0.2">
      <c r="C634" s="89"/>
      <c r="M634" s="90"/>
    </row>
    <row r="635" spans="3:13" x14ac:dyDescent="0.2">
      <c r="C635" s="89"/>
      <c r="M635" s="90"/>
    </row>
    <row r="636" spans="3:13" x14ac:dyDescent="0.2">
      <c r="C636" s="89"/>
      <c r="M636" s="90"/>
    </row>
    <row r="637" spans="3:13" x14ac:dyDescent="0.2">
      <c r="C637" s="89"/>
      <c r="M637" s="90"/>
    </row>
    <row r="638" spans="3:13" x14ac:dyDescent="0.2">
      <c r="C638" s="89"/>
      <c r="M638" s="90"/>
    </row>
    <row r="639" spans="3:13" x14ac:dyDescent="0.2">
      <c r="C639" s="89"/>
      <c r="M639" s="90"/>
    </row>
    <row r="640" spans="3:13" x14ac:dyDescent="0.2">
      <c r="C640" s="89"/>
      <c r="M640" s="90"/>
    </row>
    <row r="641" spans="3:13" x14ac:dyDescent="0.2">
      <c r="C641" s="89"/>
      <c r="M641" s="90"/>
    </row>
    <row r="642" spans="3:13" x14ac:dyDescent="0.2">
      <c r="C642" s="89"/>
      <c r="M642" s="90"/>
    </row>
    <row r="643" spans="3:13" x14ac:dyDescent="0.2">
      <c r="C643" s="89"/>
      <c r="M643" s="90"/>
    </row>
    <row r="644" spans="3:13" x14ac:dyDescent="0.2">
      <c r="C644" s="89"/>
      <c r="M644" s="90"/>
    </row>
    <row r="645" spans="3:13" x14ac:dyDescent="0.2">
      <c r="C645" s="89"/>
      <c r="M645" s="90"/>
    </row>
    <row r="646" spans="3:13" x14ac:dyDescent="0.2">
      <c r="C646" s="89"/>
      <c r="M646" s="90"/>
    </row>
    <row r="647" spans="3:13" x14ac:dyDescent="0.2">
      <c r="C647" s="89"/>
      <c r="M647" s="90"/>
    </row>
    <row r="648" spans="3:13" x14ac:dyDescent="0.2">
      <c r="C648" s="89"/>
      <c r="M648" s="90"/>
    </row>
    <row r="649" spans="3:13" x14ac:dyDescent="0.2">
      <c r="C649" s="89"/>
      <c r="M649" s="90"/>
    </row>
    <row r="650" spans="3:13" x14ac:dyDescent="0.2">
      <c r="C650" s="89"/>
      <c r="M650" s="90"/>
    </row>
    <row r="651" spans="3:13" x14ac:dyDescent="0.2">
      <c r="C651" s="89"/>
      <c r="M651" s="90"/>
    </row>
    <row r="652" spans="3:13" x14ac:dyDescent="0.2">
      <c r="C652" s="89"/>
      <c r="M652" s="90"/>
    </row>
    <row r="653" spans="3:13" x14ac:dyDescent="0.2">
      <c r="C653" s="89"/>
      <c r="M653" s="90"/>
    </row>
    <row r="654" spans="3:13" x14ac:dyDescent="0.2">
      <c r="C654" s="89"/>
      <c r="M654" s="90"/>
    </row>
    <row r="655" spans="3:13" x14ac:dyDescent="0.2">
      <c r="C655" s="89"/>
      <c r="M655" s="90"/>
    </row>
    <row r="656" spans="3:13" x14ac:dyDescent="0.2">
      <c r="C656" s="89"/>
      <c r="M656" s="90"/>
    </row>
    <row r="657" spans="3:13" x14ac:dyDescent="0.2">
      <c r="C657" s="89"/>
      <c r="M657" s="90"/>
    </row>
    <row r="658" spans="3:13" x14ac:dyDescent="0.2">
      <c r="C658" s="89"/>
      <c r="M658" s="90"/>
    </row>
    <row r="659" spans="3:13" x14ac:dyDescent="0.2">
      <c r="C659" s="89"/>
      <c r="M659" s="90"/>
    </row>
    <row r="660" spans="3:13" x14ac:dyDescent="0.2">
      <c r="C660" s="89"/>
      <c r="M660" s="90"/>
    </row>
    <row r="661" spans="3:13" x14ac:dyDescent="0.2">
      <c r="C661" s="89"/>
      <c r="M661" s="90"/>
    </row>
    <row r="662" spans="3:13" x14ac:dyDescent="0.2">
      <c r="C662" s="89"/>
      <c r="M662" s="90"/>
    </row>
    <row r="663" spans="3:13" x14ac:dyDescent="0.2">
      <c r="C663" s="89"/>
      <c r="M663" s="90"/>
    </row>
    <row r="664" spans="3:13" x14ac:dyDescent="0.2">
      <c r="C664" s="89"/>
      <c r="M664" s="90"/>
    </row>
    <row r="665" spans="3:13" x14ac:dyDescent="0.2">
      <c r="C665" s="89"/>
      <c r="M665" s="90"/>
    </row>
    <row r="666" spans="3:13" x14ac:dyDescent="0.2">
      <c r="C666" s="89"/>
      <c r="M666" s="90"/>
    </row>
    <row r="667" spans="3:13" x14ac:dyDescent="0.2">
      <c r="C667" s="89"/>
      <c r="M667" s="90"/>
    </row>
    <row r="668" spans="3:13" x14ac:dyDescent="0.2">
      <c r="C668" s="89"/>
      <c r="M668" s="90"/>
    </row>
    <row r="669" spans="3:13" x14ac:dyDescent="0.2">
      <c r="C669" s="89"/>
      <c r="M669" s="90"/>
    </row>
    <row r="670" spans="3:13" x14ac:dyDescent="0.2">
      <c r="C670" s="89"/>
      <c r="M670" s="90"/>
    </row>
    <row r="671" spans="3:13" x14ac:dyDescent="0.2">
      <c r="C671" s="89"/>
      <c r="M671" s="90"/>
    </row>
    <row r="672" spans="3:13" x14ac:dyDescent="0.2">
      <c r="C672" s="89"/>
      <c r="M672" s="90"/>
    </row>
    <row r="673" spans="3:13" x14ac:dyDescent="0.2">
      <c r="C673" s="89"/>
      <c r="M673" s="90"/>
    </row>
    <row r="674" spans="3:13" x14ac:dyDescent="0.2">
      <c r="C674" s="89"/>
      <c r="M674" s="90"/>
    </row>
    <row r="675" spans="3:13" x14ac:dyDescent="0.2">
      <c r="C675" s="89"/>
      <c r="M675" s="90"/>
    </row>
    <row r="676" spans="3:13" x14ac:dyDescent="0.2">
      <c r="C676" s="89"/>
      <c r="M676" s="90"/>
    </row>
    <row r="677" spans="3:13" x14ac:dyDescent="0.2">
      <c r="C677" s="89"/>
      <c r="M677" s="90"/>
    </row>
    <row r="678" spans="3:13" x14ac:dyDescent="0.2">
      <c r="C678" s="89"/>
      <c r="M678" s="90"/>
    </row>
    <row r="679" spans="3:13" x14ac:dyDescent="0.2">
      <c r="C679" s="89"/>
      <c r="M679" s="90"/>
    </row>
    <row r="680" spans="3:13" x14ac:dyDescent="0.2">
      <c r="C680" s="89"/>
      <c r="M680" s="90"/>
    </row>
    <row r="681" spans="3:13" x14ac:dyDescent="0.2">
      <c r="C681" s="89"/>
      <c r="M681" s="90"/>
    </row>
    <row r="682" spans="3:13" x14ac:dyDescent="0.2">
      <c r="C682" s="89"/>
      <c r="M682" s="90"/>
    </row>
    <row r="683" spans="3:13" x14ac:dyDescent="0.2">
      <c r="C683" s="89"/>
      <c r="M683" s="90"/>
    </row>
    <row r="684" spans="3:13" x14ac:dyDescent="0.2">
      <c r="C684" s="89"/>
      <c r="M684" s="90"/>
    </row>
    <row r="685" spans="3:13" x14ac:dyDescent="0.2">
      <c r="C685" s="89"/>
      <c r="M685" s="90"/>
    </row>
    <row r="686" spans="3:13" x14ac:dyDescent="0.2">
      <c r="C686" s="89"/>
      <c r="M686" s="90"/>
    </row>
    <row r="687" spans="3:13" x14ac:dyDescent="0.2">
      <c r="C687" s="89"/>
      <c r="M687" s="90"/>
    </row>
    <row r="688" spans="3:13" x14ac:dyDescent="0.2">
      <c r="C688" s="89"/>
      <c r="M688" s="90"/>
    </row>
    <row r="689" spans="3:13" x14ac:dyDescent="0.2">
      <c r="C689" s="89"/>
      <c r="M689" s="90"/>
    </row>
    <row r="690" spans="3:13" x14ac:dyDescent="0.2">
      <c r="C690" s="89"/>
      <c r="M690" s="90"/>
    </row>
    <row r="691" spans="3:13" x14ac:dyDescent="0.2">
      <c r="C691" s="89"/>
      <c r="M691" s="90"/>
    </row>
    <row r="692" spans="3:13" x14ac:dyDescent="0.2">
      <c r="C692" s="89"/>
      <c r="M692" s="90"/>
    </row>
    <row r="693" spans="3:13" x14ac:dyDescent="0.2">
      <c r="C693" s="89"/>
      <c r="M693" s="90"/>
    </row>
    <row r="694" spans="3:13" x14ac:dyDescent="0.2">
      <c r="C694" s="89"/>
      <c r="M694" s="90"/>
    </row>
    <row r="695" spans="3:13" x14ac:dyDescent="0.2">
      <c r="C695" s="89"/>
      <c r="M695" s="90"/>
    </row>
    <row r="696" spans="3:13" x14ac:dyDescent="0.2">
      <c r="C696" s="89"/>
      <c r="M696" s="90"/>
    </row>
    <row r="697" spans="3:13" x14ac:dyDescent="0.2">
      <c r="C697" s="89"/>
      <c r="M697" s="90"/>
    </row>
    <row r="698" spans="3:13" x14ac:dyDescent="0.2">
      <c r="C698" s="89"/>
      <c r="M698" s="90"/>
    </row>
    <row r="699" spans="3:13" x14ac:dyDescent="0.2">
      <c r="C699" s="89"/>
      <c r="M699" s="90"/>
    </row>
    <row r="700" spans="3:13" x14ac:dyDescent="0.2">
      <c r="C700" s="89"/>
      <c r="M700" s="90"/>
    </row>
    <row r="701" spans="3:13" x14ac:dyDescent="0.2">
      <c r="C701" s="89"/>
      <c r="M701" s="90"/>
    </row>
    <row r="702" spans="3:13" x14ac:dyDescent="0.2">
      <c r="C702" s="89"/>
      <c r="M702" s="90"/>
    </row>
    <row r="703" spans="3:13" x14ac:dyDescent="0.2">
      <c r="C703" s="89"/>
      <c r="M703" s="90"/>
    </row>
    <row r="704" spans="3:13" x14ac:dyDescent="0.2">
      <c r="C704" s="89"/>
      <c r="M704" s="90"/>
    </row>
    <row r="705" spans="3:13" x14ac:dyDescent="0.2">
      <c r="C705" s="89"/>
      <c r="M705" s="90"/>
    </row>
    <row r="706" spans="3:13" x14ac:dyDescent="0.2">
      <c r="C706" s="89"/>
      <c r="M706" s="90"/>
    </row>
    <row r="707" spans="3:13" x14ac:dyDescent="0.2">
      <c r="C707" s="89"/>
      <c r="M707" s="90"/>
    </row>
    <row r="708" spans="3:13" x14ac:dyDescent="0.2">
      <c r="C708" s="89"/>
      <c r="M708" s="90"/>
    </row>
    <row r="709" spans="3:13" x14ac:dyDescent="0.2">
      <c r="C709" s="89"/>
      <c r="M709" s="90"/>
    </row>
    <row r="710" spans="3:13" x14ac:dyDescent="0.2">
      <c r="C710" s="89"/>
      <c r="M710" s="90"/>
    </row>
    <row r="711" spans="3:13" x14ac:dyDescent="0.2">
      <c r="C711" s="89"/>
      <c r="M711" s="90"/>
    </row>
    <row r="712" spans="3:13" x14ac:dyDescent="0.2">
      <c r="C712" s="89"/>
      <c r="M712" s="90"/>
    </row>
    <row r="713" spans="3:13" x14ac:dyDescent="0.2">
      <c r="C713" s="89"/>
      <c r="M713" s="90"/>
    </row>
    <row r="714" spans="3:13" x14ac:dyDescent="0.2">
      <c r="C714" s="89"/>
      <c r="M714" s="90"/>
    </row>
    <row r="715" spans="3:13" x14ac:dyDescent="0.2">
      <c r="C715" s="89"/>
      <c r="M715" s="90"/>
    </row>
    <row r="716" spans="3:13" x14ac:dyDescent="0.2">
      <c r="C716" s="89"/>
      <c r="M716" s="90"/>
    </row>
    <row r="717" spans="3:13" x14ac:dyDescent="0.2">
      <c r="C717" s="89"/>
      <c r="M717" s="90"/>
    </row>
    <row r="718" spans="3:13" x14ac:dyDescent="0.2">
      <c r="C718" s="89"/>
      <c r="M718" s="90"/>
    </row>
    <row r="719" spans="3:13" x14ac:dyDescent="0.2">
      <c r="C719" s="89"/>
      <c r="M719" s="90"/>
    </row>
    <row r="720" spans="3:13" x14ac:dyDescent="0.2">
      <c r="C720" s="89"/>
      <c r="M720" s="90"/>
    </row>
    <row r="721" spans="3:13" x14ac:dyDescent="0.2">
      <c r="C721" s="89"/>
      <c r="M721" s="90"/>
    </row>
    <row r="722" spans="3:13" x14ac:dyDescent="0.2">
      <c r="C722" s="89"/>
      <c r="M722" s="90"/>
    </row>
    <row r="723" spans="3:13" x14ac:dyDescent="0.2">
      <c r="C723" s="89"/>
      <c r="M723" s="90"/>
    </row>
    <row r="724" spans="3:13" x14ac:dyDescent="0.2">
      <c r="C724" s="89"/>
      <c r="M724" s="90"/>
    </row>
    <row r="725" spans="3:13" x14ac:dyDescent="0.2">
      <c r="C725" s="89"/>
      <c r="M725" s="90"/>
    </row>
    <row r="726" spans="3:13" x14ac:dyDescent="0.2">
      <c r="C726" s="89"/>
      <c r="M726" s="90"/>
    </row>
    <row r="727" spans="3:13" x14ac:dyDescent="0.2">
      <c r="C727" s="89"/>
      <c r="M727" s="90"/>
    </row>
    <row r="728" spans="3:13" x14ac:dyDescent="0.2">
      <c r="C728" s="89"/>
      <c r="M728" s="90"/>
    </row>
    <row r="729" spans="3:13" x14ac:dyDescent="0.2">
      <c r="C729" s="89"/>
      <c r="M729" s="90"/>
    </row>
    <row r="730" spans="3:13" x14ac:dyDescent="0.2">
      <c r="C730" s="89"/>
      <c r="M730" s="90"/>
    </row>
    <row r="731" spans="3:13" x14ac:dyDescent="0.2">
      <c r="C731" s="89"/>
      <c r="M731" s="90"/>
    </row>
    <row r="732" spans="3:13" x14ac:dyDescent="0.2">
      <c r="C732" s="89"/>
      <c r="M732" s="90"/>
    </row>
    <row r="733" spans="3:13" x14ac:dyDescent="0.2">
      <c r="C733" s="89"/>
      <c r="M733" s="90"/>
    </row>
    <row r="734" spans="3:13" x14ac:dyDescent="0.2">
      <c r="C734" s="89"/>
      <c r="M734" s="90"/>
    </row>
    <row r="735" spans="3:13" x14ac:dyDescent="0.2">
      <c r="C735" s="89"/>
      <c r="M735" s="90"/>
    </row>
    <row r="736" spans="3:13" x14ac:dyDescent="0.2">
      <c r="C736" s="89"/>
      <c r="M736" s="90"/>
    </row>
    <row r="737" spans="3:13" x14ac:dyDescent="0.2">
      <c r="C737" s="89"/>
      <c r="M737" s="90"/>
    </row>
    <row r="738" spans="3:13" x14ac:dyDescent="0.2">
      <c r="C738" s="89"/>
      <c r="M738" s="90"/>
    </row>
    <row r="739" spans="3:13" x14ac:dyDescent="0.2">
      <c r="C739" s="89"/>
      <c r="M739" s="90"/>
    </row>
    <row r="740" spans="3:13" x14ac:dyDescent="0.2">
      <c r="C740" s="89"/>
      <c r="M740" s="90"/>
    </row>
    <row r="741" spans="3:13" x14ac:dyDescent="0.2">
      <c r="C741" s="89"/>
      <c r="M741" s="90"/>
    </row>
    <row r="742" spans="3:13" x14ac:dyDescent="0.2">
      <c r="C742" s="89"/>
      <c r="M742" s="90"/>
    </row>
    <row r="743" spans="3:13" x14ac:dyDescent="0.2">
      <c r="C743" s="89"/>
      <c r="M743" s="90"/>
    </row>
    <row r="744" spans="3:13" x14ac:dyDescent="0.2">
      <c r="C744" s="89"/>
      <c r="M744" s="90"/>
    </row>
    <row r="745" spans="3:13" x14ac:dyDescent="0.2">
      <c r="C745" s="89"/>
      <c r="M745" s="90"/>
    </row>
    <row r="746" spans="3:13" x14ac:dyDescent="0.2">
      <c r="C746" s="89"/>
      <c r="M746" s="90"/>
    </row>
    <row r="747" spans="3:13" x14ac:dyDescent="0.2">
      <c r="C747" s="89"/>
      <c r="M747" s="90"/>
    </row>
    <row r="748" spans="3:13" x14ac:dyDescent="0.2">
      <c r="C748" s="89"/>
      <c r="M748" s="90"/>
    </row>
    <row r="749" spans="3:13" x14ac:dyDescent="0.2">
      <c r="C749" s="89"/>
      <c r="M749" s="90"/>
    </row>
    <row r="750" spans="3:13" x14ac:dyDescent="0.2">
      <c r="C750" s="89"/>
      <c r="M750" s="90"/>
    </row>
    <row r="751" spans="3:13" x14ac:dyDescent="0.2">
      <c r="C751" s="89"/>
      <c r="M751" s="90"/>
    </row>
    <row r="752" spans="3:13" x14ac:dyDescent="0.2">
      <c r="C752" s="89"/>
      <c r="M752" s="90"/>
    </row>
    <row r="753" spans="3:13" x14ac:dyDescent="0.2">
      <c r="C753" s="89"/>
      <c r="M753" s="90"/>
    </row>
    <row r="754" spans="3:13" x14ac:dyDescent="0.2">
      <c r="C754" s="89"/>
      <c r="M754" s="90"/>
    </row>
    <row r="755" spans="3:13" x14ac:dyDescent="0.2">
      <c r="C755" s="89"/>
      <c r="M755" s="90"/>
    </row>
    <row r="756" spans="3:13" x14ac:dyDescent="0.2">
      <c r="C756" s="89"/>
      <c r="M756" s="90"/>
    </row>
    <row r="757" spans="3:13" x14ac:dyDescent="0.2">
      <c r="C757" s="89"/>
      <c r="M757" s="90"/>
    </row>
    <row r="758" spans="3:13" x14ac:dyDescent="0.2">
      <c r="C758" s="89"/>
      <c r="M758" s="90"/>
    </row>
    <row r="759" spans="3:13" x14ac:dyDescent="0.2">
      <c r="C759" s="89"/>
      <c r="M759" s="90"/>
    </row>
    <row r="760" spans="3:13" x14ac:dyDescent="0.2">
      <c r="C760" s="89"/>
      <c r="M760" s="90"/>
    </row>
    <row r="761" spans="3:13" x14ac:dyDescent="0.2">
      <c r="C761" s="89"/>
      <c r="M761" s="90"/>
    </row>
    <row r="762" spans="3:13" x14ac:dyDescent="0.2">
      <c r="C762" s="89"/>
      <c r="M762" s="90"/>
    </row>
    <row r="763" spans="3:13" x14ac:dyDescent="0.2">
      <c r="C763" s="89"/>
      <c r="M763" s="90"/>
    </row>
    <row r="764" spans="3:13" x14ac:dyDescent="0.2">
      <c r="C764" s="89"/>
      <c r="M764" s="90"/>
    </row>
    <row r="765" spans="3:13" x14ac:dyDescent="0.2">
      <c r="C765" s="89"/>
      <c r="M765" s="90"/>
    </row>
    <row r="766" spans="3:13" x14ac:dyDescent="0.2">
      <c r="C766" s="89"/>
      <c r="M766" s="90"/>
    </row>
    <row r="767" spans="3:13" x14ac:dyDescent="0.2">
      <c r="C767" s="89"/>
      <c r="M767" s="90"/>
    </row>
    <row r="768" spans="3:13" x14ac:dyDescent="0.2">
      <c r="C768" s="89"/>
      <c r="M768" s="90"/>
    </row>
    <row r="769" spans="3:13" x14ac:dyDescent="0.2">
      <c r="C769" s="89"/>
      <c r="M769" s="90"/>
    </row>
    <row r="770" spans="3:13" x14ac:dyDescent="0.2">
      <c r="C770" s="89"/>
      <c r="M770" s="90"/>
    </row>
    <row r="771" spans="3:13" x14ac:dyDescent="0.2">
      <c r="C771" s="89"/>
      <c r="M771" s="90"/>
    </row>
    <row r="772" spans="3:13" x14ac:dyDescent="0.2">
      <c r="C772" s="89"/>
      <c r="M772" s="90"/>
    </row>
    <row r="773" spans="3:13" x14ac:dyDescent="0.2">
      <c r="C773" s="89"/>
      <c r="M773" s="90"/>
    </row>
    <row r="774" spans="3:13" x14ac:dyDescent="0.2">
      <c r="C774" s="89"/>
      <c r="M774" s="90"/>
    </row>
    <row r="775" spans="3:13" x14ac:dyDescent="0.2">
      <c r="C775" s="89"/>
      <c r="M775" s="90"/>
    </row>
    <row r="776" spans="3:13" x14ac:dyDescent="0.2">
      <c r="C776" s="89"/>
      <c r="M776" s="90"/>
    </row>
    <row r="777" spans="3:13" x14ac:dyDescent="0.2">
      <c r="C777" s="89"/>
      <c r="M777" s="90"/>
    </row>
    <row r="778" spans="3:13" x14ac:dyDescent="0.2">
      <c r="C778" s="89"/>
      <c r="M778" s="90"/>
    </row>
    <row r="779" spans="3:13" x14ac:dyDescent="0.2">
      <c r="C779" s="89"/>
      <c r="M779" s="90"/>
    </row>
    <row r="780" spans="3:13" x14ac:dyDescent="0.2">
      <c r="C780" s="89"/>
      <c r="M780" s="90"/>
    </row>
    <row r="781" spans="3:13" x14ac:dyDescent="0.2">
      <c r="C781" s="89"/>
      <c r="M781" s="90"/>
    </row>
    <row r="782" spans="3:13" x14ac:dyDescent="0.2">
      <c r="C782" s="89"/>
      <c r="M782" s="90"/>
    </row>
    <row r="783" spans="3:13" x14ac:dyDescent="0.2">
      <c r="C783" s="89"/>
      <c r="M783" s="90"/>
    </row>
    <row r="784" spans="3:13" x14ac:dyDescent="0.2">
      <c r="C784" s="89"/>
      <c r="M784" s="90"/>
    </row>
    <row r="785" spans="3:13" x14ac:dyDescent="0.2">
      <c r="C785" s="89"/>
      <c r="M785" s="90"/>
    </row>
    <row r="786" spans="3:13" x14ac:dyDescent="0.2">
      <c r="C786" s="89"/>
      <c r="M786" s="90"/>
    </row>
    <row r="787" spans="3:13" x14ac:dyDescent="0.2">
      <c r="C787" s="89"/>
      <c r="M787" s="90"/>
    </row>
    <row r="788" spans="3:13" x14ac:dyDescent="0.2">
      <c r="C788" s="89"/>
      <c r="M788" s="90"/>
    </row>
    <row r="789" spans="3:13" x14ac:dyDescent="0.2">
      <c r="C789" s="89"/>
      <c r="M789" s="90"/>
    </row>
    <row r="790" spans="3:13" x14ac:dyDescent="0.2">
      <c r="C790" s="89"/>
      <c r="M790" s="90"/>
    </row>
    <row r="791" spans="3:13" x14ac:dyDescent="0.2">
      <c r="C791" s="89"/>
      <c r="M791" s="90"/>
    </row>
    <row r="792" spans="3:13" x14ac:dyDescent="0.2">
      <c r="C792" s="89"/>
      <c r="M792" s="90"/>
    </row>
    <row r="793" spans="3:13" x14ac:dyDescent="0.2">
      <c r="C793" s="89"/>
      <c r="M793" s="90"/>
    </row>
    <row r="794" spans="3:13" x14ac:dyDescent="0.2">
      <c r="C794" s="89"/>
      <c r="M794" s="90"/>
    </row>
    <row r="795" spans="3:13" x14ac:dyDescent="0.2">
      <c r="C795" s="89"/>
      <c r="M795" s="90"/>
    </row>
    <row r="796" spans="3:13" x14ac:dyDescent="0.2">
      <c r="C796" s="89"/>
      <c r="M796" s="90"/>
    </row>
    <row r="797" spans="3:13" x14ac:dyDescent="0.2">
      <c r="C797" s="89"/>
      <c r="M797" s="90"/>
    </row>
    <row r="798" spans="3:13" x14ac:dyDescent="0.2">
      <c r="C798" s="89"/>
      <c r="M798" s="90"/>
    </row>
    <row r="799" spans="3:13" x14ac:dyDescent="0.2">
      <c r="C799" s="89"/>
      <c r="M799" s="90"/>
    </row>
    <row r="800" spans="3:13" x14ac:dyDescent="0.2">
      <c r="C800" s="89"/>
      <c r="M800" s="90"/>
    </row>
    <row r="801" spans="3:13" x14ac:dyDescent="0.2">
      <c r="C801" s="89"/>
      <c r="M801" s="90"/>
    </row>
    <row r="802" spans="3:13" x14ac:dyDescent="0.2">
      <c r="C802" s="89"/>
      <c r="M802" s="90"/>
    </row>
    <row r="803" spans="3:13" x14ac:dyDescent="0.2">
      <c r="C803" s="89"/>
      <c r="M803" s="90"/>
    </row>
    <row r="804" spans="3:13" x14ac:dyDescent="0.2">
      <c r="C804" s="89"/>
      <c r="M804" s="90"/>
    </row>
    <row r="805" spans="3:13" x14ac:dyDescent="0.2">
      <c r="C805" s="89"/>
      <c r="M805" s="90"/>
    </row>
    <row r="806" spans="3:13" x14ac:dyDescent="0.2">
      <c r="C806" s="89"/>
      <c r="M806" s="90"/>
    </row>
    <row r="807" spans="3:13" x14ac:dyDescent="0.2">
      <c r="C807" s="89"/>
      <c r="M807" s="90"/>
    </row>
    <row r="808" spans="3:13" x14ac:dyDescent="0.2">
      <c r="C808" s="89"/>
      <c r="M808" s="90"/>
    </row>
    <row r="809" spans="3:13" x14ac:dyDescent="0.2">
      <c r="C809" s="89"/>
      <c r="M809" s="90"/>
    </row>
    <row r="810" spans="3:13" x14ac:dyDescent="0.2">
      <c r="C810" s="89"/>
      <c r="M810" s="90"/>
    </row>
    <row r="811" spans="3:13" x14ac:dyDescent="0.2">
      <c r="C811" s="89"/>
      <c r="M811" s="90"/>
    </row>
    <row r="812" spans="3:13" x14ac:dyDescent="0.2">
      <c r="C812" s="89"/>
      <c r="M812" s="90"/>
    </row>
    <row r="813" spans="3:13" x14ac:dyDescent="0.2">
      <c r="C813" s="89"/>
      <c r="M813" s="90"/>
    </row>
    <row r="814" spans="3:13" x14ac:dyDescent="0.2">
      <c r="C814" s="89"/>
      <c r="M814" s="90"/>
    </row>
    <row r="815" spans="3:13" x14ac:dyDescent="0.2">
      <c r="C815" s="89"/>
      <c r="M815" s="90"/>
    </row>
    <row r="816" spans="3:13" x14ac:dyDescent="0.2">
      <c r="C816" s="89"/>
      <c r="M816" s="90"/>
    </row>
    <row r="817" spans="3:13" x14ac:dyDescent="0.2">
      <c r="C817" s="89"/>
      <c r="M817" s="90"/>
    </row>
    <row r="818" spans="3:13" x14ac:dyDescent="0.2">
      <c r="C818" s="89"/>
      <c r="M818" s="90"/>
    </row>
    <row r="819" spans="3:13" x14ac:dyDescent="0.2">
      <c r="C819" s="89"/>
      <c r="M819" s="90"/>
    </row>
    <row r="820" spans="3:13" x14ac:dyDescent="0.2">
      <c r="C820" s="89"/>
      <c r="M820" s="90"/>
    </row>
    <row r="821" spans="3:13" x14ac:dyDescent="0.2">
      <c r="C821" s="89"/>
      <c r="M821" s="90"/>
    </row>
    <row r="822" spans="3:13" x14ac:dyDescent="0.2">
      <c r="C822" s="89"/>
      <c r="M822" s="90"/>
    </row>
    <row r="823" spans="3:13" x14ac:dyDescent="0.2">
      <c r="C823" s="89"/>
      <c r="M823" s="90"/>
    </row>
    <row r="824" spans="3:13" x14ac:dyDescent="0.2">
      <c r="C824" s="89"/>
      <c r="M824" s="90"/>
    </row>
    <row r="825" spans="3:13" x14ac:dyDescent="0.2">
      <c r="C825" s="89"/>
      <c r="M825" s="90"/>
    </row>
    <row r="826" spans="3:13" x14ac:dyDescent="0.2">
      <c r="C826" s="89"/>
      <c r="M826" s="90"/>
    </row>
    <row r="827" spans="3:13" x14ac:dyDescent="0.2">
      <c r="C827" s="89"/>
      <c r="M827" s="90"/>
    </row>
    <row r="828" spans="3:13" x14ac:dyDescent="0.2">
      <c r="C828" s="89"/>
      <c r="M828" s="90"/>
    </row>
    <row r="829" spans="3:13" x14ac:dyDescent="0.2">
      <c r="C829" s="89"/>
      <c r="M829" s="90"/>
    </row>
    <row r="830" spans="3:13" x14ac:dyDescent="0.2">
      <c r="C830" s="89"/>
      <c r="M830" s="90"/>
    </row>
    <row r="831" spans="3:13" x14ac:dyDescent="0.2">
      <c r="C831" s="89"/>
      <c r="M831" s="90"/>
    </row>
    <row r="832" spans="3:13" x14ac:dyDescent="0.2">
      <c r="C832" s="89"/>
      <c r="M832" s="90"/>
    </row>
    <row r="833" spans="3:13" x14ac:dyDescent="0.2">
      <c r="C833" s="89"/>
      <c r="M833" s="90"/>
    </row>
    <row r="834" spans="3:13" x14ac:dyDescent="0.2">
      <c r="C834" s="89"/>
      <c r="M834" s="90"/>
    </row>
    <row r="835" spans="3:13" x14ac:dyDescent="0.2">
      <c r="C835" s="89"/>
      <c r="M835" s="90"/>
    </row>
    <row r="836" spans="3:13" x14ac:dyDescent="0.2">
      <c r="C836" s="89"/>
      <c r="M836" s="90"/>
    </row>
    <row r="837" spans="3:13" x14ac:dyDescent="0.2">
      <c r="C837" s="89"/>
      <c r="M837" s="90"/>
    </row>
    <row r="838" spans="3:13" x14ac:dyDescent="0.2">
      <c r="C838" s="89"/>
      <c r="M838" s="90"/>
    </row>
    <row r="839" spans="3:13" x14ac:dyDescent="0.2">
      <c r="C839" s="89"/>
      <c r="M839" s="90"/>
    </row>
    <row r="840" spans="3:13" x14ac:dyDescent="0.2">
      <c r="C840" s="89"/>
      <c r="M840" s="90"/>
    </row>
    <row r="841" spans="3:13" x14ac:dyDescent="0.2">
      <c r="C841" s="89"/>
      <c r="M841" s="90"/>
    </row>
    <row r="842" spans="3:13" x14ac:dyDescent="0.2">
      <c r="C842" s="89"/>
      <c r="M842" s="90"/>
    </row>
    <row r="843" spans="3:13" x14ac:dyDescent="0.2">
      <c r="C843" s="89"/>
      <c r="M843" s="90"/>
    </row>
    <row r="844" spans="3:13" x14ac:dyDescent="0.2">
      <c r="C844" s="89"/>
      <c r="M844" s="90"/>
    </row>
    <row r="845" spans="3:13" x14ac:dyDescent="0.2">
      <c r="C845" s="89"/>
      <c r="M845" s="90"/>
    </row>
    <row r="846" spans="3:13" x14ac:dyDescent="0.2">
      <c r="C846" s="89"/>
      <c r="M846" s="90"/>
    </row>
    <row r="847" spans="3:13" x14ac:dyDescent="0.2">
      <c r="C847" s="89"/>
      <c r="M847" s="90"/>
    </row>
    <row r="848" spans="3:13" x14ac:dyDescent="0.2">
      <c r="C848" s="89"/>
      <c r="M848" s="90"/>
    </row>
    <row r="849" spans="3:13" x14ac:dyDescent="0.2">
      <c r="C849" s="89"/>
      <c r="M849" s="90"/>
    </row>
    <row r="850" spans="3:13" x14ac:dyDescent="0.2">
      <c r="C850" s="89"/>
      <c r="M850" s="90"/>
    </row>
    <row r="851" spans="3:13" x14ac:dyDescent="0.2">
      <c r="C851" s="89"/>
      <c r="M851" s="90"/>
    </row>
    <row r="852" spans="3:13" x14ac:dyDescent="0.2">
      <c r="C852" s="89"/>
      <c r="M852" s="90"/>
    </row>
    <row r="853" spans="3:13" x14ac:dyDescent="0.2">
      <c r="C853" s="89"/>
      <c r="M853" s="90"/>
    </row>
    <row r="854" spans="3:13" x14ac:dyDescent="0.2">
      <c r="C854" s="89"/>
      <c r="M854" s="90"/>
    </row>
    <row r="855" spans="3:13" x14ac:dyDescent="0.2">
      <c r="C855" s="89"/>
      <c r="M855" s="90"/>
    </row>
    <row r="856" spans="3:13" x14ac:dyDescent="0.2">
      <c r="C856" s="89"/>
      <c r="M856" s="90"/>
    </row>
    <row r="857" spans="3:13" x14ac:dyDescent="0.2">
      <c r="C857" s="89"/>
      <c r="M857" s="90"/>
    </row>
    <row r="858" spans="3:13" x14ac:dyDescent="0.2">
      <c r="C858" s="89"/>
      <c r="M858" s="90"/>
    </row>
    <row r="859" spans="3:13" x14ac:dyDescent="0.2">
      <c r="C859" s="89"/>
      <c r="M859" s="90"/>
    </row>
    <row r="860" spans="3:13" x14ac:dyDescent="0.2">
      <c r="C860" s="89"/>
      <c r="M860" s="90"/>
    </row>
    <row r="861" spans="3:13" x14ac:dyDescent="0.2">
      <c r="C861" s="89"/>
      <c r="M861" s="90"/>
    </row>
    <row r="862" spans="3:13" x14ac:dyDescent="0.2">
      <c r="C862" s="89"/>
      <c r="M862" s="90"/>
    </row>
    <row r="863" spans="3:13" x14ac:dyDescent="0.2">
      <c r="C863" s="89"/>
      <c r="M863" s="90"/>
    </row>
    <row r="864" spans="3:13" x14ac:dyDescent="0.2">
      <c r="C864" s="89"/>
      <c r="M864" s="90"/>
    </row>
    <row r="865" spans="3:13" x14ac:dyDescent="0.2">
      <c r="C865" s="89"/>
      <c r="M865" s="90"/>
    </row>
    <row r="866" spans="3:13" x14ac:dyDescent="0.2">
      <c r="C866" s="89"/>
      <c r="M866" s="90"/>
    </row>
    <row r="867" spans="3:13" x14ac:dyDescent="0.2">
      <c r="C867" s="89"/>
      <c r="M867" s="90"/>
    </row>
    <row r="868" spans="3:13" x14ac:dyDescent="0.2">
      <c r="C868" s="89"/>
      <c r="M868" s="90"/>
    </row>
    <row r="869" spans="3:13" x14ac:dyDescent="0.2">
      <c r="C869" s="89"/>
      <c r="M869" s="90"/>
    </row>
    <row r="870" spans="3:13" x14ac:dyDescent="0.2">
      <c r="C870" s="89"/>
      <c r="M870" s="90"/>
    </row>
    <row r="871" spans="3:13" x14ac:dyDescent="0.2">
      <c r="C871" s="89"/>
      <c r="M871" s="90"/>
    </row>
    <row r="872" spans="3:13" x14ac:dyDescent="0.2">
      <c r="C872" s="89"/>
      <c r="M872" s="90"/>
    </row>
    <row r="873" spans="3:13" x14ac:dyDescent="0.2">
      <c r="C873" s="89"/>
      <c r="M873" s="90"/>
    </row>
    <row r="874" spans="3:13" x14ac:dyDescent="0.2">
      <c r="C874" s="89"/>
      <c r="M874" s="90"/>
    </row>
    <row r="875" spans="3:13" x14ac:dyDescent="0.2">
      <c r="C875" s="89"/>
      <c r="M875" s="90"/>
    </row>
    <row r="876" spans="3:13" x14ac:dyDescent="0.2">
      <c r="C876" s="89"/>
      <c r="M876" s="90"/>
    </row>
    <row r="877" spans="3:13" x14ac:dyDescent="0.2">
      <c r="C877" s="89"/>
      <c r="M877" s="90"/>
    </row>
    <row r="878" spans="3:13" x14ac:dyDescent="0.2">
      <c r="C878" s="89"/>
      <c r="M878" s="90"/>
    </row>
    <row r="879" spans="3:13" x14ac:dyDescent="0.2">
      <c r="C879" s="89"/>
      <c r="M879" s="90"/>
    </row>
    <row r="880" spans="3:13" x14ac:dyDescent="0.2">
      <c r="C880" s="89"/>
      <c r="M880" s="90"/>
    </row>
    <row r="881" spans="3:13" x14ac:dyDescent="0.2">
      <c r="C881" s="89"/>
      <c r="M881" s="90"/>
    </row>
    <row r="882" spans="3:13" x14ac:dyDescent="0.2">
      <c r="C882" s="89"/>
      <c r="M882" s="90"/>
    </row>
    <row r="883" spans="3:13" x14ac:dyDescent="0.2">
      <c r="C883" s="89"/>
      <c r="M883" s="90"/>
    </row>
    <row r="884" spans="3:13" x14ac:dyDescent="0.2">
      <c r="C884" s="89"/>
      <c r="M884" s="90"/>
    </row>
    <row r="885" spans="3:13" x14ac:dyDescent="0.2">
      <c r="C885" s="89"/>
      <c r="M885" s="90"/>
    </row>
    <row r="886" spans="3:13" x14ac:dyDescent="0.2">
      <c r="C886" s="89"/>
      <c r="M886" s="90"/>
    </row>
    <row r="887" spans="3:13" x14ac:dyDescent="0.2">
      <c r="C887" s="89"/>
      <c r="M887" s="90"/>
    </row>
    <row r="888" spans="3:13" x14ac:dyDescent="0.2">
      <c r="C888" s="89"/>
      <c r="M888" s="90"/>
    </row>
    <row r="889" spans="3:13" x14ac:dyDescent="0.2">
      <c r="C889" s="89"/>
      <c r="M889" s="90"/>
    </row>
    <row r="890" spans="3:13" x14ac:dyDescent="0.2">
      <c r="C890" s="89"/>
      <c r="M890" s="90"/>
    </row>
    <row r="891" spans="3:13" x14ac:dyDescent="0.2">
      <c r="C891" s="89"/>
      <c r="M891" s="90"/>
    </row>
    <row r="892" spans="3:13" x14ac:dyDescent="0.2">
      <c r="C892" s="89"/>
      <c r="M892" s="90"/>
    </row>
    <row r="893" spans="3:13" x14ac:dyDescent="0.2">
      <c r="C893" s="89"/>
      <c r="M893" s="90"/>
    </row>
    <row r="894" spans="3:13" x14ac:dyDescent="0.2">
      <c r="C894" s="89"/>
      <c r="M894" s="90"/>
    </row>
    <row r="895" spans="3:13" x14ac:dyDescent="0.2">
      <c r="C895" s="89"/>
      <c r="M895" s="90"/>
    </row>
    <row r="896" spans="3:13" x14ac:dyDescent="0.2">
      <c r="C896" s="89"/>
      <c r="M896" s="90"/>
    </row>
    <row r="897" spans="3:13" x14ac:dyDescent="0.2">
      <c r="C897" s="89"/>
      <c r="M897" s="90"/>
    </row>
    <row r="898" spans="3:13" x14ac:dyDescent="0.2">
      <c r="C898" s="89"/>
      <c r="M898" s="90"/>
    </row>
    <row r="899" spans="3:13" x14ac:dyDescent="0.2">
      <c r="C899" s="89"/>
      <c r="M899" s="90"/>
    </row>
    <row r="900" spans="3:13" x14ac:dyDescent="0.2">
      <c r="C900" s="89"/>
      <c r="M900" s="90"/>
    </row>
    <row r="901" spans="3:13" x14ac:dyDescent="0.2">
      <c r="C901" s="89"/>
      <c r="M901" s="90"/>
    </row>
    <row r="902" spans="3:13" x14ac:dyDescent="0.2">
      <c r="C902" s="89"/>
      <c r="M902" s="90"/>
    </row>
    <row r="903" spans="3:13" x14ac:dyDescent="0.2">
      <c r="C903" s="89"/>
      <c r="M903" s="90"/>
    </row>
    <row r="904" spans="3:13" x14ac:dyDescent="0.2">
      <c r="C904" s="89"/>
      <c r="M904" s="90"/>
    </row>
    <row r="905" spans="3:13" x14ac:dyDescent="0.2">
      <c r="C905" s="89"/>
      <c r="M905" s="90"/>
    </row>
    <row r="906" spans="3:13" x14ac:dyDescent="0.2">
      <c r="C906" s="89"/>
      <c r="M906" s="90"/>
    </row>
    <row r="907" spans="3:13" x14ac:dyDescent="0.2">
      <c r="C907" s="89"/>
      <c r="M907" s="90"/>
    </row>
    <row r="908" spans="3:13" x14ac:dyDescent="0.2">
      <c r="C908" s="89"/>
      <c r="M908" s="90"/>
    </row>
    <row r="909" spans="3:13" x14ac:dyDescent="0.2">
      <c r="C909" s="89"/>
      <c r="M909" s="90"/>
    </row>
    <row r="910" spans="3:13" x14ac:dyDescent="0.2">
      <c r="C910" s="89"/>
      <c r="M910" s="90"/>
    </row>
    <row r="911" spans="3:13" x14ac:dyDescent="0.2">
      <c r="C911" s="89"/>
      <c r="M911" s="90"/>
    </row>
    <row r="912" spans="3:13" x14ac:dyDescent="0.2">
      <c r="C912" s="89"/>
      <c r="M912" s="90"/>
    </row>
    <row r="913" spans="3:13" x14ac:dyDescent="0.2">
      <c r="C913" s="89"/>
      <c r="M913" s="90"/>
    </row>
    <row r="914" spans="3:13" x14ac:dyDescent="0.2">
      <c r="C914" s="89"/>
      <c r="M914" s="90"/>
    </row>
    <row r="915" spans="3:13" x14ac:dyDescent="0.2">
      <c r="C915" s="89"/>
      <c r="M915" s="90"/>
    </row>
    <row r="916" spans="3:13" x14ac:dyDescent="0.2">
      <c r="C916" s="89"/>
      <c r="M916" s="90"/>
    </row>
    <row r="917" spans="3:13" x14ac:dyDescent="0.2">
      <c r="C917" s="89"/>
      <c r="M917" s="90"/>
    </row>
    <row r="918" spans="3:13" x14ac:dyDescent="0.2">
      <c r="C918" s="89"/>
      <c r="M918" s="90"/>
    </row>
    <row r="919" spans="3:13" x14ac:dyDescent="0.2">
      <c r="C919" s="89"/>
      <c r="M919" s="90"/>
    </row>
    <row r="920" spans="3:13" x14ac:dyDescent="0.2">
      <c r="C920" s="89"/>
      <c r="M920" s="90"/>
    </row>
    <row r="921" spans="3:13" x14ac:dyDescent="0.2">
      <c r="C921" s="89"/>
      <c r="M921" s="90"/>
    </row>
    <row r="922" spans="3:13" x14ac:dyDescent="0.2">
      <c r="C922" s="89"/>
      <c r="M922" s="90"/>
    </row>
    <row r="923" spans="3:13" x14ac:dyDescent="0.2">
      <c r="C923" s="89"/>
      <c r="M923" s="90"/>
    </row>
    <row r="924" spans="3:13" x14ac:dyDescent="0.2">
      <c r="C924" s="89"/>
      <c r="M924" s="90"/>
    </row>
    <row r="925" spans="3:13" x14ac:dyDescent="0.2">
      <c r="C925" s="89"/>
      <c r="M925" s="90"/>
    </row>
    <row r="926" spans="3:13" x14ac:dyDescent="0.2">
      <c r="C926" s="89"/>
      <c r="M926" s="90"/>
    </row>
    <row r="927" spans="3:13" x14ac:dyDescent="0.2">
      <c r="C927" s="89"/>
      <c r="M927" s="90"/>
    </row>
    <row r="928" spans="3:13" x14ac:dyDescent="0.2">
      <c r="C928" s="89"/>
      <c r="M928" s="90"/>
    </row>
    <row r="929" spans="3:13" x14ac:dyDescent="0.2">
      <c r="C929" s="89"/>
      <c r="M929" s="90"/>
    </row>
    <row r="930" spans="3:13" x14ac:dyDescent="0.2">
      <c r="C930" s="89"/>
      <c r="M930" s="90"/>
    </row>
    <row r="931" spans="3:13" x14ac:dyDescent="0.2">
      <c r="C931" s="89"/>
      <c r="M931" s="90"/>
    </row>
    <row r="932" spans="3:13" x14ac:dyDescent="0.2">
      <c r="C932" s="89"/>
      <c r="M932" s="90"/>
    </row>
    <row r="933" spans="3:13" x14ac:dyDescent="0.2">
      <c r="C933" s="89"/>
      <c r="M933" s="90"/>
    </row>
    <row r="934" spans="3:13" x14ac:dyDescent="0.2">
      <c r="C934" s="89"/>
      <c r="M934" s="90"/>
    </row>
    <row r="935" spans="3:13" x14ac:dyDescent="0.2">
      <c r="C935" s="89"/>
      <c r="M935" s="90"/>
    </row>
    <row r="936" spans="3:13" x14ac:dyDescent="0.2">
      <c r="C936" s="89"/>
      <c r="M936" s="90"/>
    </row>
    <row r="937" spans="3:13" x14ac:dyDescent="0.2">
      <c r="C937" s="89"/>
      <c r="M937" s="90"/>
    </row>
    <row r="938" spans="3:13" x14ac:dyDescent="0.2">
      <c r="C938" s="89"/>
      <c r="M938" s="90"/>
    </row>
    <row r="939" spans="3:13" x14ac:dyDescent="0.2">
      <c r="C939" s="89"/>
      <c r="M939" s="90"/>
    </row>
    <row r="940" spans="3:13" x14ac:dyDescent="0.2">
      <c r="C940" s="89"/>
      <c r="M940" s="90"/>
    </row>
    <row r="941" spans="3:13" x14ac:dyDescent="0.2">
      <c r="C941" s="89"/>
      <c r="M941" s="90"/>
    </row>
    <row r="942" spans="3:13" x14ac:dyDescent="0.2">
      <c r="C942" s="89"/>
      <c r="M942" s="90"/>
    </row>
    <row r="943" spans="3:13" x14ac:dyDescent="0.2">
      <c r="C943" s="89"/>
      <c r="M943" s="90"/>
    </row>
    <row r="944" spans="3:13" x14ac:dyDescent="0.2">
      <c r="C944" s="89"/>
      <c r="M944" s="90"/>
    </row>
    <row r="945" spans="3:13" x14ac:dyDescent="0.2">
      <c r="C945" s="89"/>
      <c r="M945" s="90"/>
    </row>
    <row r="946" spans="3:13" x14ac:dyDescent="0.2">
      <c r="C946" s="89"/>
      <c r="M946" s="90"/>
    </row>
    <row r="947" spans="3:13" x14ac:dyDescent="0.2">
      <c r="C947" s="89"/>
      <c r="M947" s="90"/>
    </row>
    <row r="948" spans="3:13" x14ac:dyDescent="0.2">
      <c r="C948" s="89"/>
      <c r="M948" s="90"/>
    </row>
    <row r="949" spans="3:13" x14ac:dyDescent="0.2">
      <c r="C949" s="89"/>
      <c r="M949" s="90"/>
    </row>
    <row r="950" spans="3:13" x14ac:dyDescent="0.2">
      <c r="C950" s="89"/>
      <c r="M950" s="90"/>
    </row>
    <row r="951" spans="3:13" x14ac:dyDescent="0.2">
      <c r="C951" s="89"/>
      <c r="M951" s="90"/>
    </row>
    <row r="952" spans="3:13" x14ac:dyDescent="0.2">
      <c r="C952" s="89"/>
      <c r="M952" s="90"/>
    </row>
    <row r="953" spans="3:13" x14ac:dyDescent="0.2">
      <c r="C953" s="89"/>
      <c r="M953" s="90"/>
    </row>
    <row r="954" spans="3:13" x14ac:dyDescent="0.2">
      <c r="C954" s="89"/>
      <c r="M954" s="90"/>
    </row>
    <row r="955" spans="3:13" x14ac:dyDescent="0.2">
      <c r="C955" s="89"/>
      <c r="M955" s="90"/>
    </row>
    <row r="956" spans="3:13" x14ac:dyDescent="0.2">
      <c r="C956" s="89"/>
      <c r="M956" s="90"/>
    </row>
    <row r="957" spans="3:13" x14ac:dyDescent="0.2">
      <c r="C957" s="89"/>
      <c r="M957" s="90"/>
    </row>
    <row r="958" spans="3:13" x14ac:dyDescent="0.2">
      <c r="C958" s="89"/>
      <c r="M958" s="90"/>
    </row>
    <row r="959" spans="3:13" x14ac:dyDescent="0.2">
      <c r="C959" s="89"/>
      <c r="M959" s="90"/>
    </row>
    <row r="960" spans="3:13" x14ac:dyDescent="0.2">
      <c r="C960" s="89"/>
      <c r="M960" s="90"/>
    </row>
    <row r="961" spans="3:13" x14ac:dyDescent="0.2">
      <c r="C961" s="89"/>
      <c r="M961" s="90"/>
    </row>
    <row r="962" spans="3:13" x14ac:dyDescent="0.2">
      <c r="C962" s="89"/>
      <c r="M962" s="90"/>
    </row>
    <row r="963" spans="3:13" x14ac:dyDescent="0.2">
      <c r="C963" s="89"/>
      <c r="M963" s="90"/>
    </row>
    <row r="964" spans="3:13" x14ac:dyDescent="0.2">
      <c r="C964" s="89"/>
      <c r="M964" s="90"/>
    </row>
    <row r="965" spans="3:13" x14ac:dyDescent="0.2">
      <c r="C965" s="89"/>
      <c r="M965" s="90"/>
    </row>
    <row r="966" spans="3:13" x14ac:dyDescent="0.2">
      <c r="C966" s="89"/>
      <c r="M966" s="90"/>
    </row>
    <row r="967" spans="3:13" x14ac:dyDescent="0.2">
      <c r="C967" s="89"/>
      <c r="M967" s="90"/>
    </row>
    <row r="968" spans="3:13" x14ac:dyDescent="0.2">
      <c r="C968" s="89"/>
      <c r="M968" s="90"/>
    </row>
    <row r="969" spans="3:13" x14ac:dyDescent="0.2">
      <c r="C969" s="89"/>
      <c r="M969" s="90"/>
    </row>
    <row r="970" spans="3:13" x14ac:dyDescent="0.2">
      <c r="C970" s="89"/>
      <c r="M970" s="90"/>
    </row>
    <row r="971" spans="3:13" x14ac:dyDescent="0.2">
      <c r="C971" s="89"/>
      <c r="M971" s="90"/>
    </row>
    <row r="972" spans="3:13" x14ac:dyDescent="0.2">
      <c r="C972" s="89"/>
      <c r="M972" s="90"/>
    </row>
    <row r="973" spans="3:13" x14ac:dyDescent="0.2">
      <c r="C973" s="89"/>
      <c r="M973" s="90"/>
    </row>
    <row r="974" spans="3:13" x14ac:dyDescent="0.2">
      <c r="C974" s="89"/>
      <c r="M974" s="90"/>
    </row>
    <row r="975" spans="3:13" x14ac:dyDescent="0.2">
      <c r="C975" s="89"/>
      <c r="M975" s="90"/>
    </row>
    <row r="976" spans="3:13" x14ac:dyDescent="0.2">
      <c r="C976" s="89"/>
      <c r="M976" s="90"/>
    </row>
    <row r="977" spans="3:13" x14ac:dyDescent="0.2">
      <c r="C977" s="89"/>
      <c r="M977" s="90"/>
    </row>
    <row r="978" spans="3:13" x14ac:dyDescent="0.2">
      <c r="C978" s="89"/>
      <c r="M978" s="90"/>
    </row>
    <row r="979" spans="3:13" x14ac:dyDescent="0.2">
      <c r="C979" s="89"/>
      <c r="M979" s="90"/>
    </row>
    <row r="980" spans="3:13" x14ac:dyDescent="0.2">
      <c r="C980" s="89"/>
      <c r="M980" s="90"/>
    </row>
    <row r="981" spans="3:13" x14ac:dyDescent="0.2">
      <c r="C981" s="89"/>
      <c r="M981" s="90"/>
    </row>
    <row r="982" spans="3:13" x14ac:dyDescent="0.2">
      <c r="C982" s="89"/>
      <c r="M982" s="90"/>
    </row>
    <row r="983" spans="3:13" x14ac:dyDescent="0.2">
      <c r="C983" s="89"/>
      <c r="M983" s="90"/>
    </row>
    <row r="984" spans="3:13" x14ac:dyDescent="0.2">
      <c r="C984" s="89"/>
      <c r="M984" s="90"/>
    </row>
    <row r="985" spans="3:13" x14ac:dyDescent="0.2">
      <c r="C985" s="89"/>
      <c r="M985" s="90"/>
    </row>
    <row r="986" spans="3:13" x14ac:dyDescent="0.2">
      <c r="C986" s="89"/>
      <c r="M986" s="90"/>
    </row>
    <row r="987" spans="3:13" x14ac:dyDescent="0.2">
      <c r="C987" s="89"/>
      <c r="M987" s="90"/>
    </row>
    <row r="988" spans="3:13" x14ac:dyDescent="0.2">
      <c r="C988" s="89"/>
      <c r="M988" s="90"/>
    </row>
    <row r="989" spans="3:13" x14ac:dyDescent="0.2">
      <c r="C989" s="89"/>
      <c r="M989" s="90"/>
    </row>
    <row r="990" spans="3:13" x14ac:dyDescent="0.2">
      <c r="C990" s="89"/>
      <c r="M990" s="90"/>
    </row>
    <row r="991" spans="3:13" x14ac:dyDescent="0.2">
      <c r="C991" s="89"/>
      <c r="M991" s="90"/>
    </row>
    <row r="992" spans="3:13" x14ac:dyDescent="0.2">
      <c r="C992" s="89"/>
      <c r="M992" s="90"/>
    </row>
  </sheetData>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C8C01D-8BE6-4D1F-9453-25DBC8296204}">
  <dimension ref="B1:Q43"/>
  <sheetViews>
    <sheetView zoomScaleNormal="100" workbookViewId="0">
      <selection activeCell="H4" sqref="H4"/>
    </sheetView>
  </sheetViews>
  <sheetFormatPr defaultRowHeight="14.25" x14ac:dyDescent="0.2"/>
  <cols>
    <col min="2" max="2" width="7.5" customWidth="1"/>
    <col min="3" max="3" width="1.25" hidden="1" customWidth="1"/>
    <col min="4" max="4" width="7.5" customWidth="1"/>
    <col min="5" max="5" width="1.25" customWidth="1"/>
    <col min="6" max="6" width="10" customWidth="1"/>
    <col min="7" max="7" width="11.75" bestFit="1" customWidth="1"/>
    <col min="8" max="8" width="17.5" customWidth="1"/>
    <col min="9" max="9" width="1.25" customWidth="1"/>
    <col min="10" max="10" width="4.875" bestFit="1" customWidth="1"/>
    <col min="11" max="11" width="3.5" bestFit="1" customWidth="1"/>
    <col min="12" max="12" width="4.875" bestFit="1" customWidth="1"/>
    <col min="13" max="13" width="6" bestFit="1" customWidth="1"/>
    <col min="14" max="14" width="11" bestFit="1" customWidth="1"/>
    <col min="15" max="15" width="3.75" customWidth="1"/>
    <col min="16" max="16" width="38.75" customWidth="1"/>
    <col min="17" max="17" width="27.375" customWidth="1"/>
    <col min="18" max="18" width="42.875" bestFit="1" customWidth="1"/>
  </cols>
  <sheetData>
    <row r="1" spans="2:17" ht="23.25" x14ac:dyDescent="0.35">
      <c r="B1" s="736" t="s">
        <v>10759</v>
      </c>
      <c r="C1" s="737"/>
      <c r="D1" s="737"/>
      <c r="E1" s="737"/>
      <c r="F1" s="737"/>
      <c r="G1" s="737"/>
      <c r="H1" s="737"/>
      <c r="I1" s="223"/>
      <c r="J1" s="223"/>
      <c r="K1" s="220" t="s">
        <v>10764</v>
      </c>
      <c r="L1" s="220" t="s">
        <v>96</v>
      </c>
      <c r="M1" s="220" t="s">
        <v>97</v>
      </c>
      <c r="N1" s="220" t="s">
        <v>13825</v>
      </c>
      <c r="O1" s="220"/>
      <c r="P1" s="220" t="s">
        <v>10544</v>
      </c>
      <c r="Q1" s="220" t="s">
        <v>13826</v>
      </c>
    </row>
    <row r="2" spans="2:17" ht="7.5" customHeight="1" x14ac:dyDescent="0.2"/>
    <row r="3" spans="2:17" ht="22.5" customHeight="1" x14ac:dyDescent="0.2">
      <c r="B3" s="729" t="e" vm="321">
        <f>_xlfn.IMAGE("https://natalie.tf/wp-content/uploads/2023/10/DLV3_Icon_WP_"&amp;G4&amp;"_01.png")</f>
        <v>#VALUE!</v>
      </c>
      <c r="D3" s="730" t="e" vm="321">
        <f>_xlfn.IMAGE("https://natalie.tf/wp-content/uploads/2023/10/DLV3_Icon_WP_"&amp;G4&amp;"_01.png")</f>
        <v>#VALUE!</v>
      </c>
      <c r="F3" s="731" t="str">
        <f>+INDEX(WP!$A:$AN,MATCH(F4,WP!$B:$B,0),MATCH("Name",WP!$A$2:$AN$2,0))</f>
        <v>Crown of Light (Serpent's Boon)</v>
      </c>
      <c r="G3" s="732"/>
      <c r="H3" s="733"/>
      <c r="J3" s="180" t="s">
        <v>10761</v>
      </c>
      <c r="K3" s="201">
        <f>+INDEX(WP!$A:$AN,MATCH(F4,WP!$B:$B,0),5)</f>
        <v>9</v>
      </c>
      <c r="L3" s="202">
        <f>+INDEX(WP!$A:$AN,MATCH(F4,WP!$B:$B,0),6)</f>
        <v>44</v>
      </c>
      <c r="M3" s="202">
        <f>+INDEX(WP!$A:$AN,MATCH(F4,WP!$B:$B,0),7)</f>
        <v>25</v>
      </c>
      <c r="N3" s="203" t="str">
        <f>IF(INDEX(WP!$A:$AN,MATCH(F4,WP!$B:$B,0),8)=0,"None",INDEX(WP!$A:$AN,MATCH(F4,WP!$B:$B,0),8))</f>
        <v>Serpent</v>
      </c>
      <c r="O3" s="8" t="e" vm="322">
        <f>_xlfn.IMAGE("https://natalie.tf/wp-content/uploads/2023/10/DLV3_Icon_Ability_"&amp;INDEX('WP-A'!$A$1:$Z$498,MATCH('WP-Print BACKUP'!P3,'WP-A'!$A:$A,0),MATCH("Icon",'WP-A'!$A$1:$Z$1,0))&amp;".png")</f>
        <v>#VALUE!</v>
      </c>
      <c r="P3" s="231" t="str">
        <f>+INDEX(WP!$A:$AN,MATCH(F4,WP!$B:$B,0),MATCH("Ability",WP!$A$2:$AN$2,0))</f>
        <v>Skill Damage +20%</v>
      </c>
      <c r="Q3" s="734" t="str">
        <f>+INDEX(WP!$A:$AN,MATCH(F4,WP!$B:$B,0),MATCH("Obtain From",WP!$A$2:$AN$2,0))</f>
        <v>Clear Lilith's Encroaching Shadow: Standard (Rise of the Sinister Dominion)</v>
      </c>
    </row>
    <row r="4" spans="2:17" ht="22.5" customHeight="1" x14ac:dyDescent="0.2">
      <c r="B4" s="729"/>
      <c r="C4" s="8"/>
      <c r="D4" s="729"/>
      <c r="E4" s="8"/>
      <c r="F4" s="200" t="str">
        <f>"WP-"&amp;H4</f>
        <v>WP-001</v>
      </c>
      <c r="G4" s="200">
        <f>+INDEX(WP!$A:$AN,MATCH(F4,WP!$B:$B,0),MATCH("ID",WP!$A$2:$AN$2,0))</f>
        <v>400177</v>
      </c>
      <c r="H4" s="204" t="s">
        <v>5067</v>
      </c>
      <c r="I4" s="8"/>
      <c r="J4" s="180" t="s">
        <v>10762</v>
      </c>
      <c r="K4" s="201">
        <f>+INDEX(WP!$A:$AN,MATCH(F4,WP!$B:$B,0),14)</f>
        <v>9</v>
      </c>
      <c r="L4" s="202">
        <f>+INDEX(WP!$A:$AN,MATCH(F4,WP!$B:$B,0),15)</f>
        <v>100</v>
      </c>
      <c r="M4" s="202">
        <f>+INDEX(WP!$A:$AN,MATCH(F4,WP!$B:$B,0),16)</f>
        <v>70</v>
      </c>
      <c r="N4" s="203" t="str">
        <f>+INDEX(WP!$A:$AN,MATCH(F4,WP!$B:$B,0),17)</f>
        <v>Serpent</v>
      </c>
      <c r="O4" s="8" t="e" vm="322">
        <f>_xlfn.IMAGE("https://natalie.tf/wp-content/uploads/2023/10/DLV3_Icon_Ability_"&amp;INDEX('WP-A'!$A$1:$Z$498,MATCH('WP-Print BACKUP'!P4,'WP-A'!$A:$A,0),MATCH("Icon",'WP-A'!$A$1:$Z$1,0))&amp;".png")</f>
        <v>#VALUE!</v>
      </c>
      <c r="P4" s="231" t="str">
        <f>+INDEX(WP!$A:$AN,MATCH(F4,WP!$B:$B,0),MATCH("Ability V3",WP!$A$2:$AN$2,0))</f>
        <v>Skill Damage +20%</v>
      </c>
      <c r="Q4" s="735"/>
    </row>
    <row r="5" spans="2:17" ht="7.5" customHeight="1" x14ac:dyDescent="0.2"/>
    <row r="6" spans="2:17" ht="22.5" customHeight="1" x14ac:dyDescent="0.2">
      <c r="B6" s="729" t="e" vm="323">
        <f>_xlfn.IMAGE("https://natalie.tf/wp-content/uploads/2023/10/DLV3_Icon_WP_"&amp;G7&amp;"_01.png")</f>
        <v>#VALUE!</v>
      </c>
      <c r="D6" s="730" t="e" vm="323">
        <f>_xlfn.IMAGE("https://natalie.tf/wp-content/uploads/2023/10/DLV3_Icon_WP_"&amp;G7&amp;"_01.png")</f>
        <v>#VALUE!</v>
      </c>
      <c r="F6" s="731" t="str">
        <f>+INDEX(WP!$A:$AN,MATCH(F7,WP!$B:$B,0),MATCH("Name",WP!$A$2:$AN$2,0))</f>
        <v>Tutelary's Destiny (Wolf's Boon)</v>
      </c>
      <c r="G6" s="732"/>
      <c r="H6" s="733"/>
      <c r="J6" s="180" t="s">
        <v>10761</v>
      </c>
      <c r="K6" s="201">
        <f>+INDEX(WP!$A:$AN,MATCH(F7,WP!$B:$B,0),5)</f>
        <v>9</v>
      </c>
      <c r="L6" s="202">
        <f>+INDEX(WP!$A:$AN,MATCH(F7,WP!$B:$B,0),6)</f>
        <v>44</v>
      </c>
      <c r="M6" s="202">
        <f>+INDEX(WP!$A:$AN,MATCH(F7,WP!$B:$B,0),7)</f>
        <v>25</v>
      </c>
      <c r="N6" s="203" t="str">
        <f>IF(INDEX(WP!$A:$AN,MATCH(F7,WP!$B:$B,0),8)=0,"None",INDEX(WP!$A:$AN,MATCH(F7,WP!$B:$B,0),8))</f>
        <v>Wolf</v>
      </c>
      <c r="O6" s="8" t="e" vm="322">
        <f>_xlfn.IMAGE("https://natalie.tf/wp-content/uploads/2023/10/DLV3_Icon_Ability_"&amp;INDEX('WP-A'!$A$1:$Z$498,MATCH('WP-Print BACKUP'!P6,'WP-A'!$A:$A,0),MATCH("Icon",'WP-A'!$A$1:$Z$1,0))&amp;".png")</f>
        <v>#VALUE!</v>
      </c>
      <c r="P6" s="231" t="str">
        <f>+INDEX(WP!$A:$AN,MATCH(F7,WP!$B:$B,0),MATCH("Ability",WP!$A$2:$AN$2,0))</f>
        <v>Skill Damage +20%</v>
      </c>
      <c r="Q6" s="734" t="str">
        <f>+INDEX(WP!$A:$AN,MATCH(F7,WP!$B:$B,0),MATCH("Obtain From",WP!$A$2:$AN$2,0))</f>
        <v>Clear Lilith's Encroaching Shadow: Expert (Rise of the Sinister Dominion)</v>
      </c>
    </row>
    <row r="7" spans="2:17" ht="22.5" customHeight="1" x14ac:dyDescent="0.2">
      <c r="B7" s="729"/>
      <c r="C7" s="8"/>
      <c r="D7" s="729"/>
      <c r="E7" s="8"/>
      <c r="F7" s="200" t="str">
        <f>"WP-"&amp;H7</f>
        <v>WP-002</v>
      </c>
      <c r="G7" s="200">
        <f>+INDEX(WP!$A:$AN,MATCH(F7,WP!$B:$B,0),MATCH("ID",WP!$A$2:$AN$2,0))</f>
        <v>400359</v>
      </c>
      <c r="H7" s="204" t="str">
        <f>TEXT(H4+1,"000")</f>
        <v>002</v>
      </c>
      <c r="I7" s="8"/>
      <c r="J7" s="180" t="s">
        <v>10762</v>
      </c>
      <c r="K7" s="201">
        <f>+INDEX(WP!$A:$AN,MATCH(F7,WP!$B:$B,0),14)</f>
        <v>9</v>
      </c>
      <c r="L7" s="202">
        <f>+INDEX(WP!$A:$AN,MATCH(F7,WP!$B:$B,0),15)</f>
        <v>100</v>
      </c>
      <c r="M7" s="202">
        <f>+INDEX(WP!$A:$AN,MATCH(F7,WP!$B:$B,0),16)</f>
        <v>70</v>
      </c>
      <c r="N7" s="203" t="str">
        <f>+INDEX(WP!$A:$AN,MATCH(F7,WP!$B:$B,0),17)</f>
        <v>Wolf</v>
      </c>
      <c r="O7" s="8" t="e" vm="322">
        <f>_xlfn.IMAGE("https://natalie.tf/wp-content/uploads/2023/10/DLV3_Icon_Ability_"&amp;INDEX('WP-A'!$A$1:$Z$498,MATCH('WP-Print BACKUP'!P7,'WP-A'!$A:$A,0),MATCH("Icon",'WP-A'!$A$1:$Z$1,0))&amp;".png")</f>
        <v>#VALUE!</v>
      </c>
      <c r="P7" s="231" t="str">
        <f>+INDEX(WP!$A:$AN,MATCH(F7,WP!$B:$B,0),MATCH("Ability V3",WP!$A$2:$AN$2,0))</f>
        <v>Skill Damage +20%</v>
      </c>
      <c r="Q7" s="735"/>
    </row>
    <row r="8" spans="2:17" ht="7.5" customHeight="1" x14ac:dyDescent="0.2"/>
    <row r="9" spans="2:17" ht="22.5" customHeight="1" x14ac:dyDescent="0.2">
      <c r="B9" s="729" t="e" vm="324">
        <f>_xlfn.IMAGE("https://natalie.tf/wp-content/uploads/2023/10/DLV3_Icon_WP_"&amp;G10&amp;"_01.png")</f>
        <v>#VALUE!</v>
      </c>
      <c r="D9" s="730" t="e" vm="324">
        <f>_xlfn.IMAGE("https://natalie.tf/wp-content/uploads/2023/10/DLV3_Icon_WP_"&amp;G10&amp;"_01.png")</f>
        <v>#VALUE!</v>
      </c>
      <c r="F9" s="731" t="str">
        <f>+INDEX(WP!$A:$AN,MATCH(F10,WP!$B:$B,0),MATCH("Name",WP!$A$2:$AN$2,0))</f>
        <v>Her Beloved (Sword's Boon)</v>
      </c>
      <c r="G9" s="732"/>
      <c r="H9" s="733"/>
      <c r="J9" s="180" t="s">
        <v>10761</v>
      </c>
      <c r="K9" s="201">
        <f>+INDEX(WP!$A:$AN,MATCH(F10,WP!$B:$B,0),5)</f>
        <v>9</v>
      </c>
      <c r="L9" s="202">
        <f>+INDEX(WP!$A:$AN,MATCH(F10,WP!$B:$B,0),6)</f>
        <v>44</v>
      </c>
      <c r="M9" s="202">
        <f>+INDEX(WP!$A:$AN,MATCH(F10,WP!$B:$B,0),7)</f>
        <v>25</v>
      </c>
      <c r="N9" s="203" t="str">
        <f>IF(INDEX(WP!$A:$AN,MATCH(F10,WP!$B:$B,0),8)=0,"None",INDEX(WP!$A:$AN,MATCH(F10,WP!$B:$B,0),8))</f>
        <v>Sword</v>
      </c>
      <c r="O9" s="8" t="e" vm="20">
        <f>_xlfn.IMAGE("https://natalie.tf/wp-content/uploads/2023/10/DLV3_Icon_Ability_"&amp;INDEX('WP-A'!$A$1:$Z$498,MATCH('WP-Print BACKUP'!P9,'WP-A'!$A:$A,0),MATCH("Icon",'WP-A'!$A$1:$Z$1,0))&amp;".png")</f>
        <v>#VALUE!</v>
      </c>
      <c r="P9" s="231" t="str">
        <f>+INDEX(WP!$A:$AN,MATCH(F10,WP!$B:$B,0),MATCH("Ability",WP!$A$2:$AN$2,0))</f>
        <v>Forbidden Corrosion III</v>
      </c>
      <c r="Q9" s="734" t="str">
        <f>+INDEX(WP!$A:$AN,MATCH(F10,WP!$B:$B,0),MATCH("Obtain From",WP!$A$2:$AN$2,0))</f>
        <v>Clear Lilith's Encroaching Shadow: Expert (Rise of the Sinister Dominion)</v>
      </c>
    </row>
    <row r="10" spans="2:17" ht="22.5" customHeight="1" x14ac:dyDescent="0.2">
      <c r="B10" s="729"/>
      <c r="C10" s="8"/>
      <c r="D10" s="729"/>
      <c r="E10" s="8"/>
      <c r="F10" s="200" t="str">
        <f>"WP-"&amp;H10</f>
        <v>WP-003</v>
      </c>
      <c r="G10" s="200">
        <f>+INDEX(WP!$A:$AN,MATCH(F10,WP!$B:$B,0),MATCH("ID",WP!$A$2:$AN$2,0))</f>
        <v>400236</v>
      </c>
      <c r="H10" s="204" t="str">
        <f>TEXT(H7+1,"000")</f>
        <v>003</v>
      </c>
      <c r="I10" s="8"/>
      <c r="J10" s="180" t="s">
        <v>10762</v>
      </c>
      <c r="K10" s="201">
        <f>+INDEX(WP!$A:$AN,MATCH(F10,WP!$B:$B,0),14)</f>
        <v>9</v>
      </c>
      <c r="L10" s="202">
        <f>+INDEX(WP!$A:$AN,MATCH(F10,WP!$B:$B,0),15)</f>
        <v>100</v>
      </c>
      <c r="M10" s="202">
        <f>+INDEX(WP!$A:$AN,MATCH(F10,WP!$B:$B,0),16)</f>
        <v>70</v>
      </c>
      <c r="N10" s="203" t="str">
        <f>+INDEX(WP!$A:$AN,MATCH(F10,WP!$B:$B,0),17)</f>
        <v>Sword</v>
      </c>
      <c r="O10" s="8" t="e" vm="20">
        <f>_xlfn.IMAGE("https://natalie.tf/wp-content/uploads/2023/10/DLV3_Icon_Ability_"&amp;INDEX('WP-A'!$A$1:$Z$498,MATCH('WP-Print BACKUP'!P10,'WP-A'!$A:$A,0),MATCH("Icon",'WP-A'!$A$1:$Z$1,0))&amp;".png")</f>
        <v>#VALUE!</v>
      </c>
      <c r="P10" s="231" t="str">
        <f>+INDEX(WP!$A:$AN,MATCH(F10,WP!$B:$B,0),MATCH("Ability V3",WP!$A$2:$AN$2,0))</f>
        <v>Forbidden Corrosion III</v>
      </c>
      <c r="Q10" s="735"/>
    </row>
    <row r="11" spans="2:17" ht="7.5" customHeight="1" x14ac:dyDescent="0.2"/>
    <row r="12" spans="2:17" ht="22.5" customHeight="1" x14ac:dyDescent="0.2">
      <c r="B12" s="729" t="e" vm="325">
        <f>_xlfn.IMAGE("https://natalie.tf/wp-content/uploads/2023/10/DLV3_Icon_WP_"&amp;G13&amp;"_01.png")</f>
        <v>#VALUE!</v>
      </c>
      <c r="D12" s="730" t="e" vm="325">
        <f>_xlfn.IMAGE("https://natalie.tf/wp-content/uploads/2023/10/DLV3_Icon_WP_"&amp;G13&amp;"_01.png")</f>
        <v>#VALUE!</v>
      </c>
      <c r="F12" s="731" t="str">
        <f>+INDEX(WP!$A:$AN,MATCH(F13,WP!$B:$B,0),MATCH("Name",WP!$A$2:$AN$2,0))</f>
        <v>Mask of Determination (Lance's Boon)</v>
      </c>
      <c r="G12" s="732"/>
      <c r="H12" s="733"/>
      <c r="J12" s="180" t="s">
        <v>10761</v>
      </c>
      <c r="K12" s="201">
        <f>+INDEX(WP!$A:$AN,MATCH(F13,WP!$B:$B,0),5)</f>
        <v>9</v>
      </c>
      <c r="L12" s="202">
        <f>+INDEX(WP!$A:$AN,MATCH(F13,WP!$B:$B,0),6)</f>
        <v>44</v>
      </c>
      <c r="M12" s="202">
        <f>+INDEX(WP!$A:$AN,MATCH(F13,WP!$B:$B,0),7)</f>
        <v>25</v>
      </c>
      <c r="N12" s="203" t="str">
        <f>IF(INDEX(WP!$A:$AN,MATCH(F13,WP!$B:$B,0),8)=0,"None",INDEX(WP!$A:$AN,MATCH(F13,WP!$B:$B,0),8))</f>
        <v>Lance</v>
      </c>
      <c r="O12" s="8" t="e" vm="326">
        <f>_xlfn.IMAGE("https://natalie.tf/wp-content/uploads/2023/10/DLV3_Icon_Ability_"&amp;INDEX('WP-A'!$A$1:$Z$498,MATCH('WP-Print BACKUP'!P12,'WP-A'!$A:$A,0),MATCH("Icon",'WP-A'!$A$1:$Z$1,0))&amp;".png")</f>
        <v>#VALUE!</v>
      </c>
      <c r="P12" s="231" t="str">
        <f>+INDEX(WP!$A:$AN,MATCH(F13,WP!$B:$B,0),MATCH("Ability",WP!$A$2:$AN$2,0))</f>
        <v>Critical Rate +4%</v>
      </c>
      <c r="Q12" s="734" t="str">
        <f>+INDEX(WP!$A:$AN,MATCH(F13,WP!$B:$B,0),MATCH("Obtain From",WP!$A$2:$AN$2,0))</f>
        <v>Clear Lilith's Encroaching Shadow: Master (Rise of the Sinister Dominion)</v>
      </c>
    </row>
    <row r="13" spans="2:17" ht="22.5" customHeight="1" x14ac:dyDescent="0.2">
      <c r="B13" s="729"/>
      <c r="C13" s="8"/>
      <c r="D13" s="729"/>
      <c r="E13" s="8"/>
      <c r="F13" s="200" t="str">
        <f>"WP-"&amp;H13</f>
        <v>WP-004</v>
      </c>
      <c r="G13" s="200">
        <f>+INDEX(WP!$A:$AN,MATCH(F13,WP!$B:$B,0),MATCH("ID",WP!$A$2:$AN$2,0))</f>
        <v>400362</v>
      </c>
      <c r="H13" s="204" t="str">
        <f>TEXT(H10+1,"000")</f>
        <v>004</v>
      </c>
      <c r="I13" s="8"/>
      <c r="J13" s="180" t="s">
        <v>10762</v>
      </c>
      <c r="K13" s="201">
        <f>+INDEX(WP!$A:$AN,MATCH(F13,WP!$B:$B,0),14)</f>
        <v>9</v>
      </c>
      <c r="L13" s="202">
        <f>+INDEX(WP!$A:$AN,MATCH(F13,WP!$B:$B,0),15)</f>
        <v>100</v>
      </c>
      <c r="M13" s="202">
        <f>+INDEX(WP!$A:$AN,MATCH(F13,WP!$B:$B,0),16)</f>
        <v>70</v>
      </c>
      <c r="N13" s="203" t="str">
        <f>+INDEX(WP!$A:$AN,MATCH(F13,WP!$B:$B,0),17)</f>
        <v>Lance</v>
      </c>
      <c r="O13" s="8" t="e" vm="326">
        <f>_xlfn.IMAGE("https://natalie.tf/wp-content/uploads/2023/10/DLV3_Icon_Ability_"&amp;INDEX('WP-A'!$A$1:$Z$498,MATCH('WP-Print BACKUP'!P13,'WP-A'!$A:$A,0),MATCH("Icon",'WP-A'!$A$1:$Z$1,0))&amp;".png")</f>
        <v>#VALUE!</v>
      </c>
      <c r="P13" s="231" t="str">
        <f>+INDEX(WP!$A:$AN,MATCH(F13,WP!$B:$B,0),MATCH("Ability V3",WP!$A$2:$AN$2,0))</f>
        <v>Critical Rate +5%</v>
      </c>
      <c r="Q13" s="735"/>
    </row>
    <row r="14" spans="2:17" ht="7.5" customHeight="1" x14ac:dyDescent="0.2"/>
    <row r="15" spans="2:17" ht="22.5" customHeight="1" x14ac:dyDescent="0.2">
      <c r="B15" s="729" t="e" vm="324">
        <f>_xlfn.IMAGE("https://natalie.tf/wp-content/uploads/2023/10/DLV3_Icon_WP_"&amp;G16&amp;"_01.png")</f>
        <v>#VALUE!</v>
      </c>
      <c r="D15" s="730" t="e" vm="324">
        <f>_xlfn.IMAGE("https://natalie.tf/wp-content/uploads/2023/10/DLV3_Icon_WP_"&amp;G16&amp;"_01.png")</f>
        <v>#VALUE!</v>
      </c>
      <c r="F15" s="731" t="str">
        <f>+INDEX(WP!$A:$AN,MATCH(F16,WP!$B:$B,0),MATCH("Name",WP!$A$2:$AN$2,0))</f>
        <v>Her Beloved (Crown's Boon)</v>
      </c>
      <c r="G15" s="732"/>
      <c r="H15" s="733"/>
      <c r="J15" s="180" t="s">
        <v>10761</v>
      </c>
      <c r="K15" s="201">
        <f>+INDEX(WP!$A:$AN,MATCH(F16,WP!$B:$B,0),5)</f>
        <v>9</v>
      </c>
      <c r="L15" s="202">
        <f>+INDEX(WP!$A:$AN,MATCH(F16,WP!$B:$B,0),6)</f>
        <v>44</v>
      </c>
      <c r="M15" s="202">
        <f>+INDEX(WP!$A:$AN,MATCH(F16,WP!$B:$B,0),7)</f>
        <v>25</v>
      </c>
      <c r="N15" s="203" t="str">
        <f>IF(INDEX(WP!$A:$AN,MATCH(F16,WP!$B:$B,0),8)=0,"None",INDEX(WP!$A:$AN,MATCH(F16,WP!$B:$B,0),8))</f>
        <v>Crown</v>
      </c>
      <c r="O15" s="8" t="e" vm="20">
        <f>_xlfn.IMAGE("https://natalie.tf/wp-content/uploads/2023/10/DLV3_Icon_Ability_"&amp;INDEX('WP-A'!$A$1:$Z$498,MATCH('WP-Print BACKUP'!P15,'WP-A'!$A:$A,0),MATCH("Icon",'WP-A'!$A$1:$Z$1,0))&amp;".png")</f>
        <v>#VALUE!</v>
      </c>
      <c r="P15" s="231" t="str">
        <f>+INDEX(WP!$A:$AN,MATCH(F16,WP!$B:$B,0),MATCH("Ability",WP!$A$2:$AN$2,0))</f>
        <v>Forbidden Corrosion III</v>
      </c>
      <c r="Q15" s="734" t="str">
        <f>+INDEX(WP!$A:$AN,MATCH(F16,WP!$B:$B,0),MATCH("Obtain From",WP!$A$2:$AN$2,0))</f>
        <v>Clear Lilith's Encroaching Shadow: Master (Rise of the Sinister Dominion)</v>
      </c>
    </row>
    <row r="16" spans="2:17" ht="22.5" customHeight="1" x14ac:dyDescent="0.2">
      <c r="B16" s="729"/>
      <c r="C16" s="8"/>
      <c r="D16" s="729"/>
      <c r="E16" s="8"/>
      <c r="F16" s="200" t="str">
        <f>"WP-"&amp;H16</f>
        <v>WP-005</v>
      </c>
      <c r="G16" s="200">
        <f>+INDEX(WP!$A:$AN,MATCH(F16,WP!$B:$B,0),MATCH("ID",WP!$A$2:$AN$2,0))</f>
        <v>400236</v>
      </c>
      <c r="H16" s="204" t="str">
        <f>TEXT(H13+1,"000")</f>
        <v>005</v>
      </c>
      <c r="I16" s="8"/>
      <c r="J16" s="180" t="s">
        <v>10762</v>
      </c>
      <c r="K16" s="201">
        <f>+INDEX(WP!$A:$AN,MATCH(F16,WP!$B:$B,0),14)</f>
        <v>9</v>
      </c>
      <c r="L16" s="202">
        <f>+INDEX(WP!$A:$AN,MATCH(F16,WP!$B:$B,0),15)</f>
        <v>100</v>
      </c>
      <c r="M16" s="202">
        <f>+INDEX(WP!$A:$AN,MATCH(F16,WP!$B:$B,0),16)</f>
        <v>70</v>
      </c>
      <c r="N16" s="203" t="str">
        <f>+INDEX(WP!$A:$AN,MATCH(F16,WP!$B:$B,0),17)</f>
        <v>Crown</v>
      </c>
      <c r="O16" s="8" t="e" vm="20">
        <f>_xlfn.IMAGE("https://natalie.tf/wp-content/uploads/2023/10/DLV3_Icon_Ability_"&amp;INDEX('WP-A'!$A$1:$Z$498,MATCH('WP-Print BACKUP'!P16,'WP-A'!$A:$A,0),MATCH("Icon",'WP-A'!$A$1:$Z$1,0))&amp;".png")</f>
        <v>#VALUE!</v>
      </c>
      <c r="P16" s="231" t="str">
        <f>+INDEX(WP!$A:$AN,MATCH(F16,WP!$B:$B,0),MATCH("Ability V3",WP!$A$2:$AN$2,0))</f>
        <v>Forbidden Corrosion III</v>
      </c>
      <c r="Q16" s="735"/>
    </row>
    <row r="17" spans="2:17" ht="7.5" customHeight="1" x14ac:dyDescent="0.2"/>
    <row r="18" spans="2:17" ht="22.5" customHeight="1" x14ac:dyDescent="0.2">
      <c r="B18" s="729" t="e" vm="325">
        <f>_xlfn.IMAGE("https://natalie.tf/wp-content/uploads/2023/10/DLV3_Icon_WP_"&amp;G19&amp;"_01.png")</f>
        <v>#VALUE!</v>
      </c>
      <c r="D18" s="730" t="e" vm="325">
        <f>_xlfn.IMAGE("https://natalie.tf/wp-content/uploads/2023/10/DLV3_Icon_WP_"&amp;G19&amp;"_01.png")</f>
        <v>#VALUE!</v>
      </c>
      <c r="F18" s="731" t="str">
        <f>+INDEX(WP!$A:$AN,MATCH(F19,WP!$B:$B,0),MATCH("Name",WP!$A$2:$AN$2,0))</f>
        <v>Mask of Determination (Bow's Boon)</v>
      </c>
      <c r="G18" s="732"/>
      <c r="H18" s="733"/>
      <c r="J18" s="180" t="s">
        <v>10761</v>
      </c>
      <c r="K18" s="201">
        <f>+INDEX(WP!$A:$AN,MATCH(F19,WP!$B:$B,0),5)</f>
        <v>9</v>
      </c>
      <c r="L18" s="202">
        <f>+INDEX(WP!$A:$AN,MATCH(F19,WP!$B:$B,0),6)</f>
        <v>44</v>
      </c>
      <c r="M18" s="202">
        <f>+INDEX(WP!$A:$AN,MATCH(F19,WP!$B:$B,0),7)</f>
        <v>25</v>
      </c>
      <c r="N18" s="203" t="str">
        <f>IF(INDEX(WP!$A:$AN,MATCH(F19,WP!$B:$B,0),8)=0,"None",INDEX(WP!$A:$AN,MATCH(F19,WP!$B:$B,0),8))</f>
        <v>Bow</v>
      </c>
      <c r="O18" s="8" t="e" vm="327">
        <f>_xlfn.IMAGE("https://natalie.tf/wp-content/uploads/2023/10/DLV3_Icon_Ability_"&amp;INDEX('WP-A'!$A$1:$Z$498,MATCH('WP-Print BACKUP'!P18,'WP-A'!$A:$A,0),MATCH("Icon",'WP-A'!$A$1:$Z$1,0))&amp;".png")</f>
        <v>#VALUE!</v>
      </c>
      <c r="P18" s="231" t="str">
        <f>+INDEX(WP!$A:$AN,MATCH(F19,WP!$B:$B,0),MATCH("Ability",WP!$A$2:$AN$2,0))</f>
        <v>Sword's Psalm III</v>
      </c>
      <c r="Q18" s="734" t="str">
        <f>+INDEX(WP!$A:$AN,MATCH(F19,WP!$B:$B,0),MATCH("Obtain From",WP!$A$2:$AN$2,0))</f>
        <v>Clear Jaldabaoth's Piercing Gale: Legend (Rise of the Sinister Dominion)</v>
      </c>
    </row>
    <row r="19" spans="2:17" ht="22.5" customHeight="1" x14ac:dyDescent="0.2">
      <c r="B19" s="729"/>
      <c r="C19" s="8"/>
      <c r="D19" s="729"/>
      <c r="E19" s="8"/>
      <c r="F19" s="200" t="str">
        <f>"WP-"&amp;H19</f>
        <v>WP-006</v>
      </c>
      <c r="G19" s="200">
        <f>+INDEX(WP!$A:$AN,MATCH(F19,WP!$B:$B,0),MATCH("ID",WP!$A$2:$AN$2,0))</f>
        <v>400362</v>
      </c>
      <c r="H19" s="204" t="str">
        <f>TEXT(H16+1,"000")</f>
        <v>006</v>
      </c>
      <c r="I19" s="8"/>
      <c r="J19" s="180" t="s">
        <v>10762</v>
      </c>
      <c r="K19" s="201">
        <f>+INDEX(WP!$A:$AN,MATCH(F19,WP!$B:$B,0),14)</f>
        <v>9</v>
      </c>
      <c r="L19" s="202">
        <f>+INDEX(WP!$A:$AN,MATCH(F19,WP!$B:$B,0),15)</f>
        <v>100</v>
      </c>
      <c r="M19" s="202">
        <f>+INDEX(WP!$A:$AN,MATCH(F19,WP!$B:$B,0),16)</f>
        <v>70</v>
      </c>
      <c r="N19" s="203" t="str">
        <f>+INDEX(WP!$A:$AN,MATCH(F19,WP!$B:$B,0),17)</f>
        <v>Bow</v>
      </c>
      <c r="O19" s="8" t="e" vm="327">
        <f>_xlfn.IMAGE("https://natalie.tf/wp-content/uploads/2023/10/DLV3_Icon_Ability_"&amp;INDEX('WP-A'!$A$1:$Z$498,MATCH('WP-Print BACKUP'!P19,'WP-A'!$A:$A,0),MATCH("Icon",'WP-A'!$A$1:$Z$1,0))&amp;".png")</f>
        <v>#VALUE!</v>
      </c>
      <c r="P19" s="231" t="str">
        <f>+INDEX(WP!$A:$AN,MATCH(F19,WP!$B:$B,0),MATCH("Ability V3",WP!$A$2:$AN$2,0))</f>
        <v>Sword's Psalm III</v>
      </c>
      <c r="Q19" s="735"/>
    </row>
    <row r="20" spans="2:17" ht="7.5" customHeight="1" x14ac:dyDescent="0.2"/>
    <row r="21" spans="2:17" ht="22.5" customHeight="1" x14ac:dyDescent="0.2">
      <c r="B21" s="729" t="e" vm="328">
        <f>_xlfn.IMAGE("https://natalie.tf/wp-content/uploads/2023/10/DLV3_Icon_WP_"&amp;G22&amp;"_01.png")</f>
        <v>#VALUE!</v>
      </c>
      <c r="D21" s="730" t="e" vm="328">
        <f>_xlfn.IMAGE("https://natalie.tf/wp-content/uploads/2023/10/DLV3_Icon_WP_"&amp;G22&amp;"_01.png")</f>
        <v>#VALUE!</v>
      </c>
      <c r="F21" s="731" t="str">
        <f>+INDEX(WP!$A:$AN,MATCH(F22,WP!$B:$B,0),MATCH("Name",WP!$A$2:$AN$2,0))</f>
        <v>"A Knight's Dream" (Axe's Boon)</v>
      </c>
      <c r="G21" s="732"/>
      <c r="H21" s="733"/>
      <c r="J21" s="180" t="s">
        <v>10761</v>
      </c>
      <c r="K21" s="201">
        <f>+INDEX(WP!$A:$AN,MATCH(F22,WP!$B:$B,0),5)</f>
        <v>9</v>
      </c>
      <c r="L21" s="202">
        <f>+INDEX(WP!$A:$AN,MATCH(F22,WP!$B:$B,0),6)</f>
        <v>44</v>
      </c>
      <c r="M21" s="202">
        <f>+INDEX(WP!$A:$AN,MATCH(F22,WP!$B:$B,0),7)</f>
        <v>25</v>
      </c>
      <c r="N21" s="203" t="str">
        <f>IF(INDEX(WP!$A:$AN,MATCH(F22,WP!$B:$B,0),8)=0,"None",INDEX(WP!$A:$AN,MATCH(F22,WP!$B:$B,0),8))</f>
        <v>Axe</v>
      </c>
      <c r="O21" s="8" t="e" vm="322">
        <f>_xlfn.IMAGE("https://natalie.tf/wp-content/uploads/2023/10/DLV3_Icon_Ability_"&amp;INDEX('WP-A'!$A$1:$Z$498,MATCH('WP-Print BACKUP'!P21,'WP-A'!$A:$A,0),MATCH("Icon",'WP-A'!$A$1:$Z$1,0))&amp;".png")</f>
        <v>#VALUE!</v>
      </c>
      <c r="P21" s="231" t="str">
        <f>+INDEX(WP!$A:$AN,MATCH(F22,WP!$B:$B,0),MATCH("Ability",WP!$A$2:$AN$2,0))</f>
        <v>Skill Damage +20%</v>
      </c>
      <c r="Q21" s="734" t="str">
        <f>+INDEX(WP!$A:$AN,MATCH(F22,WP!$B:$B,0),MATCH("Obtain From",WP!$A$2:$AN$2,0))</f>
        <v>Clear Jaldabaoth's Piercing Gale: Standard (Rise of the Sinister Dominion)</v>
      </c>
    </row>
    <row r="22" spans="2:17" ht="22.5" customHeight="1" x14ac:dyDescent="0.2">
      <c r="B22" s="729"/>
      <c r="C22" s="8"/>
      <c r="D22" s="729"/>
      <c r="E22" s="8"/>
      <c r="F22" s="200" t="str">
        <f>"WP-"&amp;H22</f>
        <v>WP-007</v>
      </c>
      <c r="G22" s="200">
        <f>+INDEX(WP!$A:$AN,MATCH(F22,WP!$B:$B,0),MATCH("ID",WP!$A$2:$AN$2,0))</f>
        <v>400178</v>
      </c>
      <c r="H22" s="204" t="str">
        <f>TEXT(H19+1,"000")</f>
        <v>007</v>
      </c>
      <c r="I22" s="8"/>
      <c r="J22" s="180" t="s">
        <v>10762</v>
      </c>
      <c r="K22" s="201">
        <f>+INDEX(WP!$A:$AN,MATCH(F22,WP!$B:$B,0),14)</f>
        <v>9</v>
      </c>
      <c r="L22" s="202">
        <f>+INDEX(WP!$A:$AN,MATCH(F22,WP!$B:$B,0),15)</f>
        <v>100</v>
      </c>
      <c r="M22" s="202">
        <f>+INDEX(WP!$A:$AN,MATCH(F22,WP!$B:$B,0),16)</f>
        <v>70</v>
      </c>
      <c r="N22" s="203" t="str">
        <f>+INDEX(WP!$A:$AN,MATCH(F22,WP!$B:$B,0),17)</f>
        <v>Axe</v>
      </c>
      <c r="O22" s="8" t="e" vm="322">
        <f>_xlfn.IMAGE("https://natalie.tf/wp-content/uploads/2023/10/DLV3_Icon_Ability_"&amp;INDEX('WP-A'!$A$1:$Z$498,MATCH('WP-Print BACKUP'!P22,'WP-A'!$A:$A,0),MATCH("Icon",'WP-A'!$A$1:$Z$1,0))&amp;".png")</f>
        <v>#VALUE!</v>
      </c>
      <c r="P22" s="231" t="str">
        <f>+INDEX(WP!$A:$AN,MATCH(F22,WP!$B:$B,0),MATCH("Ability V3",WP!$A$2:$AN$2,0))</f>
        <v>Skill Damage +20%</v>
      </c>
      <c r="Q22" s="735"/>
    </row>
    <row r="23" spans="2:17" ht="7.5" customHeight="1" x14ac:dyDescent="0.2"/>
    <row r="24" spans="2:17" ht="22.5" customHeight="1" x14ac:dyDescent="0.2">
      <c r="B24" s="729" t="e" vm="329">
        <f>_xlfn.IMAGE("https://natalie.tf/wp-content/uploads/2023/10/DLV3_Icon_WP_"&amp;G25&amp;"_01.png")</f>
        <v>#VALUE!</v>
      </c>
      <c r="D24" s="730" t="e" vm="329">
        <f>_xlfn.IMAGE("https://natalie.tf/wp-content/uploads/2023/10/DLV3_Icon_WP_"&amp;G25&amp;"_01.png")</f>
        <v>#VALUE!</v>
      </c>
      <c r="F24" s="731" t="str">
        <f>+INDEX(WP!$A:$AN,MATCH(F25,WP!$B:$B,0),MATCH("Name",WP!$A$2:$AN$2,0))</f>
        <v>Wind of Oaths (Eagle's Boon)</v>
      </c>
      <c r="G24" s="732"/>
      <c r="H24" s="733"/>
      <c r="J24" s="180" t="s">
        <v>10761</v>
      </c>
      <c r="K24" s="201">
        <f>+INDEX(WP!$A:$AN,MATCH(F25,WP!$B:$B,0),5)</f>
        <v>9</v>
      </c>
      <c r="L24" s="202">
        <f>+INDEX(WP!$A:$AN,MATCH(F25,WP!$B:$B,0),6)</f>
        <v>44</v>
      </c>
      <c r="M24" s="202">
        <f>+INDEX(WP!$A:$AN,MATCH(F25,WP!$B:$B,0),7)</f>
        <v>25</v>
      </c>
      <c r="N24" s="203" t="str">
        <f>IF(INDEX(WP!$A:$AN,MATCH(F25,WP!$B:$B,0),8)=0,"None",INDEX(WP!$A:$AN,MATCH(F25,WP!$B:$B,0),8))</f>
        <v>Eagle</v>
      </c>
      <c r="O24" s="8" t="e" vm="330">
        <f>_xlfn.IMAGE("https://natalie.tf/wp-content/uploads/2023/10/DLV3_Icon_Ability_"&amp;INDEX('WP-A'!$A$1:$Z$498,MATCH('WP-Print BACKUP'!P24,'WP-A'!$A:$A,0),MATCH("Icon",'WP-A'!$A$1:$Z$1,0))&amp;".png")</f>
        <v>#VALUE!</v>
      </c>
      <c r="P24" s="231" t="str">
        <f>+INDEX(WP!$A:$AN,MATCH(F25,WP!$B:$B,0),MATCH("Ability",WP!$A$2:$AN$2,0))</f>
        <v>Skill Haste +4%</v>
      </c>
      <c r="Q24" s="734" t="str">
        <f>+INDEX(WP!$A:$AN,MATCH(F25,WP!$B:$B,0),MATCH("Obtain From",WP!$A$2:$AN$2,0))</f>
        <v>Clear Jaldabaoth's Piercing Gale: Expert (Rise of the Sinister Dominion)</v>
      </c>
    </row>
    <row r="25" spans="2:17" ht="22.5" customHeight="1" x14ac:dyDescent="0.2">
      <c r="B25" s="729"/>
      <c r="C25" s="8"/>
      <c r="D25" s="729"/>
      <c r="E25" s="8"/>
      <c r="F25" s="200" t="str">
        <f>"WP-"&amp;H25</f>
        <v>WP-008</v>
      </c>
      <c r="G25" s="200">
        <f>+INDEX(WP!$A:$AN,MATCH(F25,WP!$B:$B,0),MATCH("ID",WP!$A$2:$AN$2,0))</f>
        <v>400258</v>
      </c>
      <c r="H25" s="204" t="str">
        <f>TEXT(H22+1,"000")</f>
        <v>008</v>
      </c>
      <c r="I25" s="8"/>
      <c r="J25" s="180" t="s">
        <v>10762</v>
      </c>
      <c r="K25" s="201">
        <f>+INDEX(WP!$A:$AN,MATCH(F25,WP!$B:$B,0),14)</f>
        <v>9</v>
      </c>
      <c r="L25" s="202">
        <f>+INDEX(WP!$A:$AN,MATCH(F25,WP!$B:$B,0),15)</f>
        <v>100</v>
      </c>
      <c r="M25" s="202">
        <f>+INDEX(WP!$A:$AN,MATCH(F25,WP!$B:$B,0),16)</f>
        <v>70</v>
      </c>
      <c r="N25" s="203" t="str">
        <f>+INDEX(WP!$A:$AN,MATCH(F25,WP!$B:$B,0),17)</f>
        <v>Eagle</v>
      </c>
      <c r="O25" s="8" t="e" vm="330">
        <f>_xlfn.IMAGE("https://natalie.tf/wp-content/uploads/2023/10/DLV3_Icon_Ability_"&amp;INDEX('WP-A'!$A$1:$Z$498,MATCH('WP-Print BACKUP'!P25,'WP-A'!$A:$A,0),MATCH("Icon",'WP-A'!$A$1:$Z$1,0))&amp;".png")</f>
        <v>#VALUE!</v>
      </c>
      <c r="P25" s="231" t="str">
        <f>+INDEX(WP!$A:$AN,MATCH(F25,WP!$B:$B,0),MATCH("Ability V3",WP!$A$2:$AN$2,0))</f>
        <v>Skill Haste +5%</v>
      </c>
      <c r="Q25" s="735"/>
    </row>
    <row r="26" spans="2:17" ht="7.5" customHeight="1" x14ac:dyDescent="0.2"/>
    <row r="27" spans="2:17" ht="22.5" customHeight="1" x14ac:dyDescent="0.2">
      <c r="B27" s="729" t="e" vm="331">
        <f>_xlfn.IMAGE("https://natalie.tf/wp-content/uploads/2023/10/DLV3_Icon_WP_"&amp;G28&amp;"_01.png")</f>
        <v>#VALUE!</v>
      </c>
      <c r="D27" s="730" t="e" vm="331">
        <f>_xlfn.IMAGE("https://natalie.tf/wp-content/uploads/2023/10/DLV3_Icon_WP_"&amp;G28&amp;"_01.png")</f>
        <v>#VALUE!</v>
      </c>
      <c r="F27" s="731" t="str">
        <f>+INDEX(WP!$A:$AN,MATCH(F28,WP!$B:$B,0),MATCH("Name",WP!$A$2:$AN$2,0))</f>
        <v>Beneath the Boughs (Wolf's Boon)</v>
      </c>
      <c r="G27" s="732"/>
      <c r="H27" s="733"/>
      <c r="J27" s="180" t="s">
        <v>10761</v>
      </c>
      <c r="K27" s="201">
        <f>+INDEX(WP!$A:$AN,MATCH(F28,WP!$B:$B,0),5)</f>
        <v>9</v>
      </c>
      <c r="L27" s="202">
        <f>+INDEX(WP!$A:$AN,MATCH(F28,WP!$B:$B,0),6)</f>
        <v>44</v>
      </c>
      <c r="M27" s="202">
        <f>+INDEX(WP!$A:$AN,MATCH(F28,WP!$B:$B,0),7)</f>
        <v>25</v>
      </c>
      <c r="N27" s="203" t="str">
        <f>IF(INDEX(WP!$A:$AN,MATCH(F28,WP!$B:$B,0),8)=0,"None",INDEX(WP!$A:$AN,MATCH(F28,WP!$B:$B,0),8))</f>
        <v>Wolf</v>
      </c>
      <c r="O27" s="8" t="e" vm="332">
        <f>_xlfn.IMAGE("https://natalie.tf/wp-content/uploads/2023/10/DLV3_Icon_Ability_"&amp;INDEX('WP-A'!$A$1:$Z$498,MATCH('WP-Print BACKUP'!P27,'WP-A'!$A:$A,0),MATCH("Icon",'WP-A'!$A$1:$Z$1,0))&amp;".png")</f>
        <v>#VALUE!</v>
      </c>
      <c r="P27" s="231" t="str">
        <f>+INDEX(WP!$A:$AN,MATCH(F28,WP!$B:$B,0),MATCH("Ability",WP!$A$2:$AN$2,0))</f>
        <v>Draconic Resurrection III</v>
      </c>
      <c r="Q27" s="734" t="str">
        <f>+INDEX(WP!$A:$AN,MATCH(F28,WP!$B:$B,0),MATCH("Obtain From",WP!$A$2:$AN$2,0))</f>
        <v>Clear Jaldabaoth's Piercing Gale: Expert (Rise of the Sinister Dominion)</v>
      </c>
    </row>
    <row r="28" spans="2:17" ht="22.5" customHeight="1" x14ac:dyDescent="0.2">
      <c r="B28" s="729"/>
      <c r="C28" s="8"/>
      <c r="D28" s="729"/>
      <c r="E28" s="8"/>
      <c r="F28" s="200" t="str">
        <f>"WP-"&amp;H28</f>
        <v>WP-009</v>
      </c>
      <c r="G28" s="200">
        <f>+INDEX(WP!$A:$AN,MATCH(F28,WP!$B:$B,0),MATCH("ID",WP!$A$2:$AN$2,0))</f>
        <v>400325</v>
      </c>
      <c r="H28" s="204" t="str">
        <f>TEXT(H25+1,"000")</f>
        <v>009</v>
      </c>
      <c r="I28" s="8"/>
      <c r="J28" s="180" t="s">
        <v>10762</v>
      </c>
      <c r="K28" s="201">
        <f>+INDEX(WP!$A:$AN,MATCH(F28,WP!$B:$B,0),14)</f>
        <v>9</v>
      </c>
      <c r="L28" s="202">
        <f>+INDEX(WP!$A:$AN,MATCH(F28,WP!$B:$B,0),15)</f>
        <v>100</v>
      </c>
      <c r="M28" s="202">
        <f>+INDEX(WP!$A:$AN,MATCH(F28,WP!$B:$B,0),16)</f>
        <v>70</v>
      </c>
      <c r="N28" s="203" t="str">
        <f>+INDEX(WP!$A:$AN,MATCH(F28,WP!$B:$B,0),17)</f>
        <v>Axe</v>
      </c>
      <c r="O28" s="8" t="e" vm="332">
        <f>_xlfn.IMAGE("https://natalie.tf/wp-content/uploads/2023/10/DLV3_Icon_Ability_"&amp;INDEX('WP-A'!$A$1:$Z$498,MATCH('WP-Print BACKUP'!P28,'WP-A'!$A:$A,0),MATCH("Icon",'WP-A'!$A$1:$Z$1,0))&amp;".png")</f>
        <v>#VALUE!</v>
      </c>
      <c r="P28" s="231" t="str">
        <f>+INDEX(WP!$A:$AN,MATCH(F28,WP!$B:$B,0),MATCH("Ability V3",WP!$A$2:$AN$2,0))</f>
        <v>Draconic Resurrection III</v>
      </c>
      <c r="Q28" s="735"/>
    </row>
    <row r="29" spans="2:17" ht="7.5" customHeight="1" x14ac:dyDescent="0.2"/>
    <row r="30" spans="2:17" ht="22.5" customHeight="1" x14ac:dyDescent="0.2">
      <c r="B30" s="729" t="e" vm="333">
        <f>_xlfn.IMAGE("https://natalie.tf/wp-content/uploads/2023/10/DLV3_Icon_WP_"&amp;G31&amp;"_01.png")</f>
        <v>#VALUE!</v>
      </c>
      <c r="D30" s="730" t="e" vm="333">
        <f>_xlfn.IMAGE("https://natalie.tf/wp-content/uploads/2023/10/DLV3_Icon_WP_"&amp;G31&amp;"_01.png")</f>
        <v>#VALUE!</v>
      </c>
      <c r="F30" s="731" t="str">
        <f>+INDEX(WP!$A:$AN,MATCH(F31,WP!$B:$B,0),MATCH("Name",WP!$A$2:$AN$2,0))</f>
        <v>Savage Hawk (Bow's Boon)</v>
      </c>
      <c r="G30" s="732"/>
      <c r="H30" s="733"/>
      <c r="J30" s="180" t="s">
        <v>10761</v>
      </c>
      <c r="K30" s="201">
        <f>+INDEX(WP!$A:$AN,MATCH(F31,WP!$B:$B,0),5)</f>
        <v>9</v>
      </c>
      <c r="L30" s="202">
        <f>+INDEX(WP!$A:$AN,MATCH(F31,WP!$B:$B,0),6)</f>
        <v>44</v>
      </c>
      <c r="M30" s="202">
        <f>+INDEX(WP!$A:$AN,MATCH(F31,WP!$B:$B,0),7)</f>
        <v>25</v>
      </c>
      <c r="N30" s="203" t="str">
        <f>IF(INDEX(WP!$A:$AN,MATCH(F31,WP!$B:$B,0),8)=0,"None",INDEX(WP!$A:$AN,MATCH(F31,WP!$B:$B,0),8))</f>
        <v>Bow</v>
      </c>
      <c r="O30" s="8" t="e" vm="334">
        <f>_xlfn.IMAGE("https://natalie.tf/wp-content/uploads/2023/10/DLV3_Icon_Ability_"&amp;INDEX('WP-A'!$A$1:$Z$498,MATCH('WP-Print BACKUP'!P30,'WP-A'!$A:$A,0),MATCH("Icon",'WP-A'!$A$1:$Z$1,0))&amp;".png")</f>
        <v>#VALUE!</v>
      </c>
      <c r="P30" s="231" t="str">
        <f>+INDEX(WP!$A:$AN,MATCH(F31,WP!$B:$B,0),MATCH("Ability",WP!$A$2:$AN$2,0))</f>
        <v>Stormlashed Punisher +10%</v>
      </c>
      <c r="Q30" s="734" t="str">
        <f>+INDEX(WP!$A:$AN,MATCH(F31,WP!$B:$B,0),MATCH("Obtain From",WP!$A$2:$AN$2,0))</f>
        <v>Clear Jaldabaoth's Piercing Gale: Master (Rise of the Sinister Dominion)</v>
      </c>
    </row>
    <row r="31" spans="2:17" ht="22.5" customHeight="1" x14ac:dyDescent="0.2">
      <c r="B31" s="729"/>
      <c r="C31" s="8"/>
      <c r="D31" s="729"/>
      <c r="E31" s="8"/>
      <c r="F31" s="200" t="str">
        <f>"WP-"&amp;H31</f>
        <v>WP-010</v>
      </c>
      <c r="G31" s="200">
        <f>+INDEX(WP!$A:$AN,MATCH(F31,WP!$B:$B,0),MATCH("ID",WP!$A$2:$AN$2,0))</f>
        <v>400214</v>
      </c>
      <c r="H31" s="204" t="str">
        <f>TEXT(H28+1,"000")</f>
        <v>010</v>
      </c>
      <c r="I31" s="8"/>
      <c r="J31" s="180" t="s">
        <v>10762</v>
      </c>
      <c r="K31" s="201">
        <f>+INDEX(WP!$A:$AN,MATCH(F31,WP!$B:$B,0),14)</f>
        <v>9</v>
      </c>
      <c r="L31" s="202">
        <f>+INDEX(WP!$A:$AN,MATCH(F31,WP!$B:$B,0),15)</f>
        <v>100</v>
      </c>
      <c r="M31" s="202">
        <f>+INDEX(WP!$A:$AN,MATCH(F31,WP!$B:$B,0),16)</f>
        <v>70</v>
      </c>
      <c r="N31" s="203" t="str">
        <f>+INDEX(WP!$A:$AN,MATCH(F31,WP!$B:$B,0),17)</f>
        <v>Bow</v>
      </c>
      <c r="O31" s="8" t="e" vm="330">
        <f>_xlfn.IMAGE("https://natalie.tf/wp-content/uploads/2023/10/DLV3_Icon_Ability_"&amp;INDEX('WP-A'!$A$1:$Z$498,MATCH('WP-Print BACKUP'!P31,'WP-A'!$A:$A,0),MATCH("Icon",'WP-A'!$A$1:$Z$1,0))&amp;".png")</f>
        <v>#VALUE!</v>
      </c>
      <c r="P31" s="231" t="str">
        <f>+INDEX(WP!$A:$AN,MATCH(F31,WP!$B:$B,0),MATCH("Ability V3",WP!$A$2:$AN$2,0))</f>
        <v>Skill Haste +5%</v>
      </c>
      <c r="Q31" s="735"/>
    </row>
    <row r="32" spans="2:17" ht="7.5" customHeight="1" x14ac:dyDescent="0.2"/>
    <row r="33" spans="2:17" ht="22.5" customHeight="1" x14ac:dyDescent="0.2">
      <c r="B33" s="729" t="e" vm="331">
        <f>_xlfn.IMAGE("https://natalie.tf/wp-content/uploads/2023/10/DLV3_Icon_WP_"&amp;G34&amp;"_01.png")</f>
        <v>#VALUE!</v>
      </c>
      <c r="D33" s="730" t="e" vm="331">
        <f>_xlfn.IMAGE("https://natalie.tf/wp-content/uploads/2023/10/DLV3_Icon_WP_"&amp;G34&amp;"_01.png")</f>
        <v>#VALUE!</v>
      </c>
      <c r="F33" s="731" t="str">
        <f>+INDEX(WP!$A:$AN,MATCH(F34,WP!$B:$B,0),MATCH("Name",WP!$A$2:$AN$2,0))</f>
        <v>Beneath the Boughs (Staff's Boon)</v>
      </c>
      <c r="G33" s="732"/>
      <c r="H33" s="733"/>
      <c r="J33" s="180" t="s">
        <v>10761</v>
      </c>
      <c r="K33" s="201">
        <f>+INDEX(WP!$A:$AN,MATCH(F34,WP!$B:$B,0),5)</f>
        <v>9</v>
      </c>
      <c r="L33" s="202">
        <f>+INDEX(WP!$A:$AN,MATCH(F34,WP!$B:$B,0),6)</f>
        <v>44</v>
      </c>
      <c r="M33" s="202">
        <f>+INDEX(WP!$A:$AN,MATCH(F34,WP!$B:$B,0),7)</f>
        <v>25</v>
      </c>
      <c r="N33" s="203" t="str">
        <f>IF(INDEX(WP!$A:$AN,MATCH(F34,WP!$B:$B,0),8)=0,"None",INDEX(WP!$A:$AN,MATCH(F34,WP!$B:$B,0),8))</f>
        <v>Staff</v>
      </c>
      <c r="O33" s="8" t="e" vm="332">
        <f>_xlfn.IMAGE("https://natalie.tf/wp-content/uploads/2023/10/DLV3_Icon_Ability_"&amp;INDEX('WP-A'!$A$1:$Z$498,MATCH('WP-Print BACKUP'!P33,'WP-A'!$A:$A,0),MATCH("Icon",'WP-A'!$A$1:$Z$1,0))&amp;".png")</f>
        <v>#VALUE!</v>
      </c>
      <c r="P33" s="231" t="str">
        <f>+INDEX(WP!$A:$AN,MATCH(F34,WP!$B:$B,0),MATCH("Ability",WP!$A$2:$AN$2,0))</f>
        <v>Draconic Resurrection III</v>
      </c>
      <c r="Q33" s="734" t="str">
        <f>+INDEX(WP!$A:$AN,MATCH(F34,WP!$B:$B,0),MATCH("Obtain From",WP!$A$2:$AN$2,0))</f>
        <v>Clear Jaldabaoth's Piercing Gale: Master (Rise of the Sinister Dominion)</v>
      </c>
    </row>
    <row r="34" spans="2:17" ht="22.5" customHeight="1" x14ac:dyDescent="0.2">
      <c r="B34" s="729"/>
      <c r="C34" s="8"/>
      <c r="D34" s="729"/>
      <c r="E34" s="8"/>
      <c r="F34" s="200" t="str">
        <f>"WP-"&amp;H34</f>
        <v>WP-011</v>
      </c>
      <c r="G34" s="200">
        <f>+INDEX(WP!$A:$AN,MATCH(F34,WP!$B:$B,0),MATCH("ID",WP!$A$2:$AN$2,0))</f>
        <v>400325</v>
      </c>
      <c r="H34" s="204" t="str">
        <f>TEXT(H31+1,"000")</f>
        <v>011</v>
      </c>
      <c r="I34" s="8"/>
      <c r="J34" s="180" t="s">
        <v>10762</v>
      </c>
      <c r="K34" s="201">
        <f>+INDEX(WP!$A:$AN,MATCH(F34,WP!$B:$B,0),14)</f>
        <v>9</v>
      </c>
      <c r="L34" s="202">
        <f>+INDEX(WP!$A:$AN,MATCH(F34,WP!$B:$B,0),15)</f>
        <v>100</v>
      </c>
      <c r="M34" s="202">
        <f>+INDEX(WP!$A:$AN,MATCH(F34,WP!$B:$B,0),16)</f>
        <v>70</v>
      </c>
      <c r="N34" s="203" t="str">
        <f>+INDEX(WP!$A:$AN,MATCH(F34,WP!$B:$B,0),17)</f>
        <v>Staff</v>
      </c>
      <c r="O34" s="8" t="e" vm="332">
        <f>_xlfn.IMAGE("https://natalie.tf/wp-content/uploads/2023/10/DLV3_Icon_Ability_"&amp;INDEX('WP-A'!$A$1:$Z$498,MATCH('WP-Print BACKUP'!P34,'WP-A'!$A:$A,0),MATCH("Icon",'WP-A'!$A$1:$Z$1,0))&amp;".png")</f>
        <v>#VALUE!</v>
      </c>
      <c r="P34" s="231" t="str">
        <f>+INDEX(WP!$A:$AN,MATCH(F34,WP!$B:$B,0),MATCH("Ability V3",WP!$A$2:$AN$2,0))</f>
        <v>Draconic Resurrection III</v>
      </c>
      <c r="Q34" s="735"/>
    </row>
    <row r="35" spans="2:17" ht="7.5" customHeight="1" x14ac:dyDescent="0.2"/>
    <row r="36" spans="2:17" ht="22.5" customHeight="1" x14ac:dyDescent="0.2">
      <c r="B36" s="729" t="e" vm="333">
        <f>_xlfn.IMAGE("https://natalie.tf/wp-content/uploads/2023/10/DLV3_Icon_WP_"&amp;G37&amp;"_01.png")</f>
        <v>#VALUE!</v>
      </c>
      <c r="D36" s="730" t="e" vm="333">
        <f>_xlfn.IMAGE("https://natalie.tf/wp-content/uploads/2023/10/DLV3_Icon_WP_"&amp;G37&amp;"_01.png")</f>
        <v>#VALUE!</v>
      </c>
      <c r="F36" s="731" t="str">
        <f>+INDEX(WP!$A:$AN,MATCH(F37,WP!$B:$B,0),MATCH("Name",WP!$A$2:$AN$2,0))</f>
        <v>Savage Hawk (Lance's Boon)</v>
      </c>
      <c r="G36" s="732"/>
      <c r="H36" s="733"/>
      <c r="J36" s="180" t="s">
        <v>10761</v>
      </c>
      <c r="K36" s="201">
        <f>+INDEX(WP!$A:$AN,MATCH(F37,WP!$B:$B,0),5)</f>
        <v>9</v>
      </c>
      <c r="L36" s="202">
        <f>+INDEX(WP!$A:$AN,MATCH(F37,WP!$B:$B,0),6)</f>
        <v>44</v>
      </c>
      <c r="M36" s="202">
        <f>+INDEX(WP!$A:$AN,MATCH(F37,WP!$B:$B,0),7)</f>
        <v>25</v>
      </c>
      <c r="N36" s="203" t="str">
        <f>IF(INDEX(WP!$A:$AN,MATCH(F37,WP!$B:$B,0),8)=0,"None",INDEX(WP!$A:$AN,MATCH(F37,WP!$B:$B,0),8))</f>
        <v>Lance</v>
      </c>
      <c r="O36" s="8" t="e" vm="327">
        <f>_xlfn.IMAGE("https://natalie.tf/wp-content/uploads/2023/10/DLV3_Icon_Ability_"&amp;INDEX('WP-A'!$A$1:$Z$498,MATCH('WP-Print BACKUP'!P36,'WP-A'!$A:$A,0),MATCH("Icon",'WP-A'!$A$1:$Z$1,0))&amp;".png")</f>
        <v>#VALUE!</v>
      </c>
      <c r="P36" s="231" t="str">
        <f>+INDEX(WP!$A:$AN,MATCH(F37,WP!$B:$B,0),MATCH("Ability",WP!$A$2:$AN$2,0))</f>
        <v>Sword's Psalm III</v>
      </c>
      <c r="Q36" s="734" t="str">
        <f>+INDEX(WP!$A:$AN,MATCH(F37,WP!$B:$B,0),MATCH("Obtain From",WP!$A$2:$AN$2,0))</f>
        <v>Clear Iblis's Surging Cascade: Standard (Rise of the Sinister Dominion)</v>
      </c>
    </row>
    <row r="37" spans="2:17" ht="22.5" customHeight="1" x14ac:dyDescent="0.2">
      <c r="B37" s="729"/>
      <c r="C37" s="8"/>
      <c r="D37" s="729"/>
      <c r="E37" s="8"/>
      <c r="F37" s="200" t="str">
        <f>"WP-"&amp;H37</f>
        <v>WP-012</v>
      </c>
      <c r="G37" s="200">
        <f>+INDEX(WP!$A:$AN,MATCH(F37,WP!$B:$B,0),MATCH("ID",WP!$A$2:$AN$2,0))</f>
        <v>400214</v>
      </c>
      <c r="H37" s="204" t="str">
        <f>TEXT(H34+1,"000")</f>
        <v>012</v>
      </c>
      <c r="I37" s="8"/>
      <c r="J37" s="180" t="s">
        <v>10762</v>
      </c>
      <c r="K37" s="201">
        <f>+INDEX(WP!$A:$AN,MATCH(F37,WP!$B:$B,0),14)</f>
        <v>9</v>
      </c>
      <c r="L37" s="202">
        <f>+INDEX(WP!$A:$AN,MATCH(F37,WP!$B:$B,0),15)</f>
        <v>100</v>
      </c>
      <c r="M37" s="202">
        <f>+INDEX(WP!$A:$AN,MATCH(F37,WP!$B:$B,0),16)</f>
        <v>70</v>
      </c>
      <c r="N37" s="203" t="str">
        <f>+INDEX(WP!$A:$AN,MATCH(F37,WP!$B:$B,0),17)</f>
        <v>Lance</v>
      </c>
      <c r="O37" s="8" t="e" vm="327">
        <f>_xlfn.IMAGE("https://natalie.tf/wp-content/uploads/2023/10/DLV3_Icon_Ability_"&amp;INDEX('WP-A'!$A$1:$Z$498,MATCH('WP-Print BACKUP'!P37,'WP-A'!$A:$A,0),MATCH("Icon",'WP-A'!$A$1:$Z$1,0))&amp;".png")</f>
        <v>#VALUE!</v>
      </c>
      <c r="P37" s="231" t="str">
        <f>+INDEX(WP!$A:$AN,MATCH(F37,WP!$B:$B,0),MATCH("Ability V3",WP!$A$2:$AN$2,0))</f>
        <v>Sword's Psalm III</v>
      </c>
      <c r="Q37" s="735"/>
    </row>
    <row r="38" spans="2:17" ht="7.5" customHeight="1" x14ac:dyDescent="0.2"/>
    <row r="39" spans="2:17" ht="22.5" customHeight="1" x14ac:dyDescent="0.2">
      <c r="B39" s="729" t="e" vm="335">
        <f>_xlfn.IMAGE("https://natalie.tf/wp-content/uploads/2023/10/DLV3_Icon_WP_"&amp;G40&amp;"_01.png")</f>
        <v>#VALUE!</v>
      </c>
      <c r="D39" s="730" t="e" vm="335">
        <f>_xlfn.IMAGE("https://natalie.tf/wp-content/uploads/2023/10/DLV3_Icon_WP_"&amp;G40&amp;"_01.png")</f>
        <v>#VALUE!</v>
      </c>
      <c r="F39" s="731" t="str">
        <f>+INDEX(WP!$A:$AN,MATCH(F40,WP!$B:$B,0),MATCH("Name",WP!$A$2:$AN$2,0))</f>
        <v>A Mercenary's Pride (Eagle's Boon)</v>
      </c>
      <c r="G39" s="732"/>
      <c r="H39" s="733"/>
      <c r="J39" s="180" t="s">
        <v>10761</v>
      </c>
      <c r="K39" s="201">
        <f>+INDEX(WP!$A:$AN,MATCH(F40,WP!$B:$B,0),5)</f>
        <v>9</v>
      </c>
      <c r="L39" s="202">
        <f>+INDEX(WP!$A:$AN,MATCH(F40,WP!$B:$B,0),6)</f>
        <v>44</v>
      </c>
      <c r="M39" s="202">
        <f>+INDEX(WP!$A:$AN,MATCH(F40,WP!$B:$B,0),7)</f>
        <v>25</v>
      </c>
      <c r="N39" s="203" t="str">
        <f>IF(INDEX(WP!$A:$AN,MATCH(F40,WP!$B:$B,0),8)=0,"None",INDEX(WP!$A:$AN,MATCH(F40,WP!$B:$B,0),8))</f>
        <v>Eagle</v>
      </c>
      <c r="O39" s="8" t="e" vm="322">
        <f>_xlfn.IMAGE("https://natalie.tf/wp-content/uploads/2023/10/DLV3_Icon_Ability_"&amp;INDEX('WP-A'!$A$1:$Z$498,MATCH('WP-Print BACKUP'!P39,'WP-A'!$A:$A,0),MATCH("Icon",'WP-A'!$A$1:$Z$1,0))&amp;".png")</f>
        <v>#VALUE!</v>
      </c>
      <c r="P39" s="231" t="str">
        <f>+INDEX(WP!$A:$AN,MATCH(F40,WP!$B:$B,0),MATCH("Ability",WP!$A$2:$AN$2,0))</f>
        <v>Skill Damage +20%</v>
      </c>
      <c r="Q39" s="734" t="str">
        <f>+INDEX(WP!$A:$AN,MATCH(F40,WP!$B:$B,0),MATCH("Obtain From",WP!$A$2:$AN$2,0))</f>
        <v>Clear Asura's Blinding Light: Standard (Rise of the Sinister Dominion)</v>
      </c>
    </row>
    <row r="40" spans="2:17" ht="22.5" customHeight="1" x14ac:dyDescent="0.2">
      <c r="B40" s="729"/>
      <c r="C40" s="8"/>
      <c r="D40" s="729"/>
      <c r="E40" s="8"/>
      <c r="F40" s="200" t="str">
        <f>"WP-"&amp;H40</f>
        <v>WP-013</v>
      </c>
      <c r="G40" s="200">
        <f>+INDEX(WP!$A:$AN,MATCH(F40,WP!$B:$B,0),MATCH("ID",WP!$A$2:$AN$2,0))</f>
        <v>400179</v>
      </c>
      <c r="H40" s="204" t="str">
        <f>TEXT(H37+1,"000")</f>
        <v>013</v>
      </c>
      <c r="I40" s="8"/>
      <c r="J40" s="180" t="s">
        <v>10762</v>
      </c>
      <c r="K40" s="201">
        <f>+INDEX(WP!$A:$AN,MATCH(F40,WP!$B:$B,0),14)</f>
        <v>9</v>
      </c>
      <c r="L40" s="202">
        <f>+INDEX(WP!$A:$AN,MATCH(F40,WP!$B:$B,0),15)</f>
        <v>100</v>
      </c>
      <c r="M40" s="202">
        <f>+INDEX(WP!$A:$AN,MATCH(F40,WP!$B:$B,0),16)</f>
        <v>70</v>
      </c>
      <c r="N40" s="203" t="str">
        <f>+INDEX(WP!$A:$AN,MATCH(F40,WP!$B:$B,0),17)</f>
        <v>Eagle</v>
      </c>
      <c r="O40" s="8" t="e" vm="322">
        <f>_xlfn.IMAGE("https://natalie.tf/wp-content/uploads/2023/10/DLV3_Icon_Ability_"&amp;INDEX('WP-A'!$A$1:$Z$498,MATCH('WP-Print BACKUP'!P40,'WP-A'!$A:$A,0),MATCH("Icon",'WP-A'!$A$1:$Z$1,0))&amp;".png")</f>
        <v>#VALUE!</v>
      </c>
      <c r="P40" s="231" t="str">
        <f>+INDEX(WP!$A:$AN,MATCH(F40,WP!$B:$B,0),MATCH("Ability V3",WP!$A$2:$AN$2,0))</f>
        <v>Skill Damage +20%</v>
      </c>
      <c r="Q40" s="735"/>
    </row>
    <row r="41" spans="2:17" ht="7.5" customHeight="1" x14ac:dyDescent="0.2"/>
    <row r="42" spans="2:17" ht="22.5" customHeight="1" x14ac:dyDescent="0.2">
      <c r="B42" s="729" t="e" vm="336">
        <f>_xlfn.IMAGE("https://natalie.tf/wp-content/uploads/2023/10/DLV3_Icon_WP_"&amp;G43&amp;"_01.png")</f>
        <v>#VALUE!</v>
      </c>
      <c r="D42" s="730" t="e" vm="336">
        <f>_xlfn.IMAGE("https://natalie.tf/wp-content/uploads/2023/10/DLV3_Icon_WP_"&amp;G43&amp;"_01.png")</f>
        <v>#VALUE!</v>
      </c>
      <c r="F42" s="731" t="str">
        <f>+INDEX(WP!$A:$AN,MATCH(F43,WP!$B:$B,0),MATCH("Name",WP!$A$2:$AN$2,0))</f>
        <v>Recital Invitation (Bull's Boon)</v>
      </c>
      <c r="G42" s="732"/>
      <c r="H42" s="733"/>
      <c r="J42" s="180" t="s">
        <v>10761</v>
      </c>
      <c r="K42" s="201">
        <f>+INDEX(WP!$A:$AN,MATCH(F43,WP!$B:$B,0),5)</f>
        <v>9</v>
      </c>
      <c r="L42" s="202">
        <f>+INDEX(WP!$A:$AN,MATCH(F43,WP!$B:$B,0),6)</f>
        <v>44</v>
      </c>
      <c r="M42" s="202">
        <f>+INDEX(WP!$A:$AN,MATCH(F43,WP!$B:$B,0),7)</f>
        <v>25</v>
      </c>
      <c r="N42" s="203" t="str">
        <f>IF(INDEX(WP!$A:$AN,MATCH(F43,WP!$B:$B,0),8)=0,"None",INDEX(WP!$A:$AN,MATCH(F43,WP!$B:$B,0),8))</f>
        <v>Bull</v>
      </c>
      <c r="O42" s="8" t="e" vm="330">
        <f>_xlfn.IMAGE("https://natalie.tf/wp-content/uploads/2023/10/DLV3_Icon_Ability_"&amp;INDEX('WP-A'!$A$1:$Z$498,MATCH('WP-Print BACKUP'!P42,'WP-A'!$A:$A,0),MATCH("Icon",'WP-A'!$A$1:$Z$1,0))&amp;".png")</f>
        <v>#VALUE!</v>
      </c>
      <c r="P42" s="231" t="str">
        <f>+INDEX(WP!$A:$AN,MATCH(F43,WP!$B:$B,0),MATCH("Ability",WP!$A$2:$AN$2,0))</f>
        <v>Skill Haste +4%</v>
      </c>
      <c r="Q42" s="734" t="str">
        <f>+INDEX(WP!$A:$AN,MATCH(F43,WP!$B:$B,0),MATCH("Obtain From",WP!$A$2:$AN$2,0))</f>
        <v>Clear Asura's Blinding Light: Expert (Rise of the Sinister Dominion)</v>
      </c>
    </row>
    <row r="43" spans="2:17" ht="22.5" customHeight="1" x14ac:dyDescent="0.2">
      <c r="B43" s="729"/>
      <c r="C43" s="8"/>
      <c r="D43" s="729"/>
      <c r="E43" s="8"/>
      <c r="F43" s="200" t="str">
        <f>"WP-"&amp;H43</f>
        <v>WP-014</v>
      </c>
      <c r="G43" s="200">
        <f>+INDEX(WP!$A:$AN,MATCH(F43,WP!$B:$B,0),MATCH("ID",WP!$A$2:$AN$2,0))</f>
        <v>400261</v>
      </c>
      <c r="H43" s="204" t="str">
        <f>TEXT(H40+1,"000")</f>
        <v>014</v>
      </c>
      <c r="I43" s="8"/>
      <c r="J43" s="180" t="s">
        <v>10762</v>
      </c>
      <c r="K43" s="201">
        <f>+INDEX(WP!$A:$AN,MATCH(F43,WP!$B:$B,0),14)</f>
        <v>9</v>
      </c>
      <c r="L43" s="202">
        <f>+INDEX(WP!$A:$AN,MATCH(F43,WP!$B:$B,0),15)</f>
        <v>100</v>
      </c>
      <c r="M43" s="202">
        <f>+INDEX(WP!$A:$AN,MATCH(F43,WP!$B:$B,0),16)</f>
        <v>70</v>
      </c>
      <c r="N43" s="203" t="str">
        <f>+INDEX(WP!$A:$AN,MATCH(F43,WP!$B:$B,0),17)</f>
        <v>Bull</v>
      </c>
      <c r="O43" s="8" t="e" vm="330">
        <f>_xlfn.IMAGE("https://natalie.tf/wp-content/uploads/2023/10/DLV3_Icon_Ability_"&amp;INDEX('WP-A'!$A$1:$Z$498,MATCH('WP-Print BACKUP'!P43,'WP-A'!$A:$A,0),MATCH("Icon",'WP-A'!$A$1:$Z$1,0))&amp;".png")</f>
        <v>#VALUE!</v>
      </c>
      <c r="P43" s="231" t="str">
        <f>+INDEX(WP!$A:$AN,MATCH(F43,WP!$B:$B,0),MATCH("Ability V3",WP!$A$2:$AN$2,0))</f>
        <v>Skill Haste +5%</v>
      </c>
      <c r="Q43" s="735"/>
    </row>
  </sheetData>
  <mergeCells count="57">
    <mergeCell ref="B6:B7"/>
    <mergeCell ref="D6:D7"/>
    <mergeCell ref="F6:H6"/>
    <mergeCell ref="Q6:Q7"/>
    <mergeCell ref="B1:H1"/>
    <mergeCell ref="B3:B4"/>
    <mergeCell ref="D3:D4"/>
    <mergeCell ref="F3:H3"/>
    <mergeCell ref="Q3:Q4"/>
    <mergeCell ref="B9:B10"/>
    <mergeCell ref="D9:D10"/>
    <mergeCell ref="F9:H9"/>
    <mergeCell ref="Q9:Q10"/>
    <mergeCell ref="B12:B13"/>
    <mergeCell ref="D12:D13"/>
    <mergeCell ref="F12:H12"/>
    <mergeCell ref="Q12:Q13"/>
    <mergeCell ref="B15:B16"/>
    <mergeCell ref="D15:D16"/>
    <mergeCell ref="F15:H15"/>
    <mergeCell ref="Q15:Q16"/>
    <mergeCell ref="B18:B19"/>
    <mergeCell ref="D18:D19"/>
    <mergeCell ref="F18:H18"/>
    <mergeCell ref="Q18:Q19"/>
    <mergeCell ref="B21:B22"/>
    <mergeCell ref="D21:D22"/>
    <mergeCell ref="F21:H21"/>
    <mergeCell ref="Q21:Q22"/>
    <mergeCell ref="B24:B25"/>
    <mergeCell ref="D24:D25"/>
    <mergeCell ref="F24:H24"/>
    <mergeCell ref="Q24:Q25"/>
    <mergeCell ref="B27:B28"/>
    <mergeCell ref="D27:D28"/>
    <mergeCell ref="F27:H27"/>
    <mergeCell ref="Q27:Q28"/>
    <mergeCell ref="B30:B31"/>
    <mergeCell ref="D30:D31"/>
    <mergeCell ref="F30:H30"/>
    <mergeCell ref="Q30:Q31"/>
    <mergeCell ref="B33:B34"/>
    <mergeCell ref="D33:D34"/>
    <mergeCell ref="F33:H33"/>
    <mergeCell ref="Q33:Q34"/>
    <mergeCell ref="B36:B37"/>
    <mergeCell ref="D36:D37"/>
    <mergeCell ref="F36:H36"/>
    <mergeCell ref="Q36:Q37"/>
    <mergeCell ref="B39:B40"/>
    <mergeCell ref="D39:D40"/>
    <mergeCell ref="F39:H39"/>
    <mergeCell ref="Q39:Q40"/>
    <mergeCell ref="B42:B43"/>
    <mergeCell ref="D42:D43"/>
    <mergeCell ref="F42:H42"/>
    <mergeCell ref="Q42:Q43"/>
  </mergeCells>
  <hyperlinks>
    <hyperlink ref="D3" r:id="rId1" display="https://natalie.tf/wp-content/uploads/2023/10/DLV3_Icon_WP_&quot;&amp;&amp;&quot;_01.png" xr:uid="{C713B3B2-FA46-49CB-975F-06F0EA51350E}"/>
    <hyperlink ref="D6" r:id="rId2" display="https://natalie.tf/wp-content/uploads/2023/10/DLV3_Icon_WP_&quot;&amp;&amp;&quot;_01.png" xr:uid="{EFA246C4-A5C0-4BEB-8BA0-75CEDDC73F3E}"/>
    <hyperlink ref="D9" r:id="rId3" display="https://natalie.tf/wp-content/uploads/2023/10/DLV3_Icon_WP_&quot;&amp;&amp;&quot;_01.png" xr:uid="{3577CB40-7624-458B-8E03-AFFD3039B875}"/>
    <hyperlink ref="D12" r:id="rId4" display="https://natalie.tf/wp-content/uploads/2023/10/DLV3_Icon_WP_&quot;&amp;&amp;&quot;_01.png" xr:uid="{3B5BEF2D-CE9A-488D-A67D-4F9F68C1CD76}"/>
    <hyperlink ref="D15" r:id="rId5" display="https://natalie.tf/wp-content/uploads/2023/10/DLV3_Icon_WP_&quot;&amp;&amp;&quot;_01.png" xr:uid="{FEE74286-FEAA-4DD7-8FF2-01CA2D67BC44}"/>
    <hyperlink ref="D18" r:id="rId6" display="https://natalie.tf/wp-content/uploads/2023/10/DLV3_Icon_WP_&quot;&amp;&amp;&quot;_01.png" xr:uid="{6ADE053E-C8EE-43AB-88EE-F565FD923834}"/>
    <hyperlink ref="D21" r:id="rId7" display="https://natalie.tf/wp-content/uploads/2023/10/DLV3_Icon_WP_&quot;&amp;&amp;&quot;_01.png" xr:uid="{5E61F90D-2DFD-4F57-AE90-E5144D640DCB}"/>
    <hyperlink ref="D24" r:id="rId8" display="https://natalie.tf/wp-content/uploads/2023/10/DLV3_Icon_WP_&quot;&amp;&amp;&quot;_01.png" xr:uid="{9146308E-39FE-430F-93F5-12536984F333}"/>
    <hyperlink ref="D27" r:id="rId9" display="https://natalie.tf/wp-content/uploads/2023/10/DLV3_Icon_WP_&quot;&amp;&amp;&quot;_01.png" xr:uid="{2A97366A-E6B2-4AAF-8FF3-968A225FA3E7}"/>
    <hyperlink ref="D30" r:id="rId10" display="https://natalie.tf/wp-content/uploads/2023/10/DLV3_Icon_WP_&quot;&amp;&amp;&quot;_01.png" xr:uid="{355751D9-9B24-4FB6-9E0A-7A548C8D67CF}"/>
    <hyperlink ref="D33" r:id="rId11" display="https://natalie.tf/wp-content/uploads/2023/10/DLV3_Icon_WP_&quot;&amp;&amp;&quot;_01.png" xr:uid="{8CC0DA94-527E-4B13-9833-10A411ECBC91}"/>
    <hyperlink ref="D36" r:id="rId12" display="https://natalie.tf/wp-content/uploads/2023/10/DLV3_Icon_WP_&quot;&amp;&amp;&quot;_01.png" xr:uid="{3ED0CF9F-AC6E-4AF2-A975-E9EBF43A08CA}"/>
    <hyperlink ref="D39" r:id="rId13" display="https://natalie.tf/wp-content/uploads/2023/10/DLV3_Icon_WP_&quot;&amp;&amp;&quot;_01.png" xr:uid="{1AA756DC-660E-4243-9BAA-1756F65552AE}"/>
    <hyperlink ref="D42" r:id="rId14" display="https://natalie.tf/wp-content/uploads/2023/10/DLV3_Icon_WP_&quot;&amp;&amp;&quot;_01.png" xr:uid="{084108AC-EE9D-464C-8CA2-3B1A81A0BD0E}"/>
  </hyperlinks>
  <printOptions horizontalCentered="1" verticalCentered="1"/>
  <pageMargins left="0" right="0" top="0" bottom="0" header="0" footer="0"/>
  <pageSetup scale="80" fitToHeight="0" orientation="landscape" r:id="rId15"/>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2AEC84-8D7C-4F50-AB8E-8F55F6CDEDAE}">
  <dimension ref="A1:R1053"/>
  <sheetViews>
    <sheetView showWhiteSpace="0" zoomScaleNormal="100" workbookViewId="0"/>
  </sheetViews>
  <sheetFormatPr defaultRowHeight="14.25" x14ac:dyDescent="0.2"/>
  <cols>
    <col min="2" max="2" width="7.5" customWidth="1"/>
    <col min="3" max="3" width="1.25" hidden="1" customWidth="1"/>
    <col min="4" max="4" width="7.5" customWidth="1"/>
    <col min="5" max="5" width="1.25" customWidth="1"/>
    <col min="6" max="6" width="10" customWidth="1"/>
    <col min="7" max="7" width="11.75" bestFit="1" customWidth="1"/>
    <col min="8" max="8" width="17.5" customWidth="1"/>
    <col min="9" max="9" width="1.25" customWidth="1"/>
    <col min="10" max="10" width="4.875" bestFit="1" customWidth="1"/>
    <col min="11" max="11" width="3.5" bestFit="1" customWidth="1"/>
    <col min="12" max="12" width="4.875" bestFit="1" customWidth="1"/>
    <col min="13" max="13" width="6" bestFit="1" customWidth="1"/>
    <col min="14" max="14" width="3.75" customWidth="1"/>
    <col min="15" max="15" width="11" bestFit="1" customWidth="1"/>
    <col min="16" max="16" width="3.75" customWidth="1"/>
    <col min="17" max="17" width="38.75" customWidth="1"/>
    <col min="18" max="18" width="27.375" customWidth="1"/>
    <col min="19" max="19" width="42.875" bestFit="1" customWidth="1"/>
  </cols>
  <sheetData>
    <row r="1" spans="1:18" ht="22.5" customHeight="1" x14ac:dyDescent="0.2">
      <c r="A1" t="s">
        <v>10763</v>
      </c>
    </row>
    <row r="2" spans="1:18" ht="23.25" x14ac:dyDescent="0.35">
      <c r="B2" s="736" t="s">
        <v>13827</v>
      </c>
      <c r="C2" s="737"/>
      <c r="D2" s="737"/>
      <c r="E2" s="737"/>
      <c r="F2" s="737"/>
      <c r="G2" s="737"/>
      <c r="H2" s="737"/>
      <c r="I2" s="223"/>
      <c r="J2" s="223"/>
      <c r="K2" s="220" t="s">
        <v>10764</v>
      </c>
      <c r="L2" s="220" t="s">
        <v>96</v>
      </c>
      <c r="M2" s="220" t="s">
        <v>97</v>
      </c>
      <c r="N2" s="220"/>
      <c r="O2" s="220" t="s">
        <v>13825</v>
      </c>
      <c r="P2" s="220"/>
      <c r="Q2" s="220" t="s">
        <v>10544</v>
      </c>
      <c r="R2" s="220" t="s">
        <v>13826</v>
      </c>
    </row>
    <row r="3" spans="1:18" ht="7.5" customHeight="1" x14ac:dyDescent="0.2"/>
    <row r="4" spans="1:18" ht="22.5" customHeight="1" x14ac:dyDescent="0.2">
      <c r="B4" s="729" t="e" vm="321">
        <f>_xlfn.IMAGE("https://natalie.tf/wp-content/uploads/2023/10/DLV3_Icon_WP_"&amp;G5&amp;"_01.png")</f>
        <v>#VALUE!</v>
      </c>
      <c r="D4" s="730" t="e" vm="321">
        <f>_xlfn.IMAGE("https://natalie.tf/wp-content/uploads/2023/10/DLV3_Icon_WP_"&amp;G5&amp;"_01.png")</f>
        <v>#VALUE!</v>
      </c>
      <c r="F4" s="717" t="str">
        <f>+INDEX(WP!$A:$AN,MATCH(F5,WP!$B:$B,0),MATCH("Name",WP!$A$2:$AN$2,0))</f>
        <v>Crown of Light (Serpent's Boon)</v>
      </c>
      <c r="G4" s="718"/>
      <c r="H4" s="719"/>
      <c r="J4" s="180" t="s">
        <v>10761</v>
      </c>
      <c r="K4" s="201">
        <f>+INDEX(WP!$A:$AN,MATCH(F5,WP!$B:$B,0),5)</f>
        <v>9</v>
      </c>
      <c r="L4" s="202">
        <f>+INDEX(WP!$A:$AN,MATCH(F5,WP!$B:$B,0),6)</f>
        <v>44</v>
      </c>
      <c r="M4" s="202">
        <f>+INDEX(WP!$A:$AN,MATCH(F5,WP!$B:$B,0),7)</f>
        <v>25</v>
      </c>
      <c r="N4" s="202" t="e" vm="337">
        <f>IFERROR(_xlfn.IMAGE("https://natalie.tf/wp-content/uploads/2023/11/DLV3_Icon_Affinity_"&amp;O4&amp;".png"),"")</f>
        <v>#VALUE!</v>
      </c>
      <c r="O4" s="203" t="str">
        <f>IF(INDEX(WP!$A:$AN,MATCH(F5,WP!$B:$B,0),8)=0,"None",INDEX(WP!$A:$AN,MATCH(F5,WP!$B:$B,0),8))</f>
        <v>Serpent</v>
      </c>
      <c r="P4" s="8" t="e" vm="322">
        <f>_xlfn.IMAGE("https://natalie.tf/wp-content/uploads/2023/10/DLV3_Icon_Ability_"&amp;INDEX('WP-A'!$A$1:$Z$498,MATCH('WP-Print'!Q4,'WP-A'!$A:$A,0),MATCH("Icon",'WP-A'!$A$1:$Z$1,0))&amp;".png")</f>
        <v>#VALUE!</v>
      </c>
      <c r="Q4" s="231" t="str">
        <f>+INDEX(WP!$A:$AN,MATCH(F5,WP!$B:$B,0),MATCH("Ability",WP!$A$2:$AN$2,0))</f>
        <v>Skill Damage +20%</v>
      </c>
      <c r="R4" s="734" t="str">
        <f>+INDEX(WP!$A:$AN,MATCH(F5,WP!$B:$B,0),MATCH("Obtain From",WP!$A$2:$AN$2,0))</f>
        <v>Clear Lilith's Encroaching Shadow: Standard (Rise of the Sinister Dominion)</v>
      </c>
    </row>
    <row r="5" spans="1:18" ht="22.5" customHeight="1" x14ac:dyDescent="0.2">
      <c r="A5" s="204" t="s">
        <v>5067</v>
      </c>
      <c r="B5" s="729"/>
      <c r="C5" s="8"/>
      <c r="D5" s="729"/>
      <c r="E5" s="8"/>
      <c r="F5" s="200" t="str">
        <f>"WP-"&amp;A5</f>
        <v>WP-001</v>
      </c>
      <c r="G5" s="200">
        <f>+INDEX(WP!$A:$AN,MATCH(F5,WP!$B:$B,0),MATCH("ID",WP!$A$2:$AN$2,0))</f>
        <v>400177</v>
      </c>
      <c r="I5" s="8"/>
      <c r="J5" s="180" t="s">
        <v>10762</v>
      </c>
      <c r="K5" s="201">
        <f>+INDEX(WP!$A:$AN,MATCH(F5,WP!$B:$B,0),14)</f>
        <v>9</v>
      </c>
      <c r="L5" s="202">
        <f>+INDEX(WP!$A:$AN,MATCH(F5,WP!$B:$B,0),15)</f>
        <v>100</v>
      </c>
      <c r="M5" s="202">
        <f>+INDEX(WP!$A:$AN,MATCH(F5,WP!$B:$B,0),16)</f>
        <v>70</v>
      </c>
      <c r="N5" s="202" t="e" vm="337">
        <f>IFERROR(_xlfn.IMAGE("https://natalie.tf/wp-content/uploads/2023/11/DLV3_Icon_Affinity_"&amp;O5&amp;".png"),"")</f>
        <v>#VALUE!</v>
      </c>
      <c r="O5" s="203" t="str">
        <f>+INDEX(WP!$A:$AN,MATCH(F5,WP!$B:$B,0),17)</f>
        <v>Serpent</v>
      </c>
      <c r="P5" s="8" t="e" vm="322">
        <f>_xlfn.IMAGE("https://natalie.tf/wp-content/uploads/2023/10/DLV3_Icon_Ability_"&amp;INDEX('WP-A'!$A$1:$Z$498,MATCH('WP-Print'!Q5,'WP-A'!$A:$A,0),MATCH("Icon",'WP-A'!$A$1:$Z$1,0))&amp;".png")</f>
        <v>#VALUE!</v>
      </c>
      <c r="Q5" s="231" t="str">
        <f>+INDEX(WP!$A:$AN,MATCH(F5,WP!$B:$B,0),MATCH("Ability V3",WP!$A$2:$AN$2,0))</f>
        <v>Skill Damage +20%</v>
      </c>
      <c r="R5" s="735"/>
    </row>
    <row r="6" spans="1:18" ht="7.5" customHeight="1" x14ac:dyDescent="0.2">
      <c r="A6" t="s">
        <v>10763</v>
      </c>
    </row>
    <row r="7" spans="1:18" ht="22.5" customHeight="1" x14ac:dyDescent="0.2">
      <c r="B7" s="729" t="e" vm="323">
        <f>_xlfn.IMAGE("https://natalie.tf/wp-content/uploads/2023/10/DLV3_Icon_WP_"&amp;G8&amp;"_01.png")</f>
        <v>#VALUE!</v>
      </c>
      <c r="D7" s="730" t="e" vm="323">
        <f>_xlfn.IMAGE("https://natalie.tf/wp-content/uploads/2023/10/DLV3_Icon_WP_"&amp;G8&amp;"_01.png")</f>
        <v>#VALUE!</v>
      </c>
      <c r="F7" s="717" t="str">
        <f>+INDEX(WP!$A:$AN,MATCH(F8,WP!$B:$B,0),MATCH("Name",WP!$A$2:$AN$2,0))</f>
        <v>Tutelary's Destiny (Wolf's Boon)</v>
      </c>
      <c r="G7" s="718"/>
      <c r="H7" s="719"/>
      <c r="J7" s="180" t="s">
        <v>10761</v>
      </c>
      <c r="K7" s="201">
        <f>+INDEX(WP!$A:$AN,MATCH(F8,WP!$B:$B,0),5)</f>
        <v>9</v>
      </c>
      <c r="L7" s="202">
        <f>+INDEX(WP!$A:$AN,MATCH(F8,WP!$B:$B,0),6)</f>
        <v>44</v>
      </c>
      <c r="M7" s="202">
        <f>+INDEX(WP!$A:$AN,MATCH(F8,WP!$B:$B,0),7)</f>
        <v>25</v>
      </c>
      <c r="N7" s="202" t="e" vm="338">
        <f>IFERROR(_xlfn.IMAGE("https://natalie.tf/wp-content/uploads/2023/11/DLV3_Icon_Affinity_"&amp;O7&amp;".png"),"")</f>
        <v>#VALUE!</v>
      </c>
      <c r="O7" s="203" t="str">
        <f>IF(INDEX(WP!$A:$AN,MATCH(F8,WP!$B:$B,0),8)=0,"None",INDEX(WP!$A:$AN,MATCH(F8,WP!$B:$B,0),8))</f>
        <v>Wolf</v>
      </c>
      <c r="P7" s="8" t="e" vm="322">
        <f>_xlfn.IMAGE("https://natalie.tf/wp-content/uploads/2023/10/DLV3_Icon_Ability_"&amp;INDEX('WP-A'!$A$1:$Z$498,MATCH('WP-Print'!Q7,'WP-A'!$A:$A,0),MATCH("Icon",'WP-A'!$A$1:$Z$1,0))&amp;".png")</f>
        <v>#VALUE!</v>
      </c>
      <c r="Q7" s="231" t="str">
        <f>+INDEX(WP!$A:$AN,MATCH(F8,WP!$B:$B,0),MATCH("Ability",WP!$A$2:$AN$2,0))</f>
        <v>Skill Damage +20%</v>
      </c>
      <c r="R7" s="734" t="str">
        <f>+INDEX(WP!$A:$AN,MATCH(F8,WP!$B:$B,0),MATCH("Obtain From",WP!$A$2:$AN$2,0))</f>
        <v>Clear Lilith's Encroaching Shadow: Expert (Rise of the Sinister Dominion)</v>
      </c>
    </row>
    <row r="8" spans="1:18" ht="22.5" customHeight="1" x14ac:dyDescent="0.2">
      <c r="A8" s="204" t="str">
        <f>TEXT(A5+1,"000")</f>
        <v>002</v>
      </c>
      <c r="B8" s="729"/>
      <c r="C8" s="8"/>
      <c r="D8" s="729"/>
      <c r="E8" s="8"/>
      <c r="F8" s="200" t="str">
        <f>"WP-"&amp;A8</f>
        <v>WP-002</v>
      </c>
      <c r="G8" s="200">
        <f>+INDEX(WP!$A:$AN,MATCH(F8,WP!$B:$B,0),MATCH("ID",WP!$A$2:$AN$2,0))</f>
        <v>400359</v>
      </c>
      <c r="I8" s="8"/>
      <c r="J8" s="180" t="s">
        <v>10762</v>
      </c>
      <c r="K8" s="201">
        <f>+INDEX(WP!$A:$AN,MATCH(F8,WP!$B:$B,0),14)</f>
        <v>9</v>
      </c>
      <c r="L8" s="202">
        <f>+INDEX(WP!$A:$AN,MATCH(F8,WP!$B:$B,0),15)</f>
        <v>100</v>
      </c>
      <c r="M8" s="202">
        <f>+INDEX(WP!$A:$AN,MATCH(F8,WP!$B:$B,0),16)</f>
        <v>70</v>
      </c>
      <c r="N8" s="202" t="e" vm="338">
        <f>IFERROR(_xlfn.IMAGE("https://natalie.tf/wp-content/uploads/2023/11/DLV3_Icon_Affinity_"&amp;O8&amp;".png"),"")</f>
        <v>#VALUE!</v>
      </c>
      <c r="O8" s="203" t="str">
        <f>+INDEX(WP!$A:$AN,MATCH(F8,WP!$B:$B,0),17)</f>
        <v>Wolf</v>
      </c>
      <c r="P8" s="8" t="e" vm="322">
        <f>_xlfn.IMAGE("https://natalie.tf/wp-content/uploads/2023/10/DLV3_Icon_Ability_"&amp;INDEX('WP-A'!$A$1:$Z$498,MATCH('WP-Print'!Q8,'WP-A'!$A:$A,0),MATCH("Icon",'WP-A'!$A$1:$Z$1,0))&amp;".png")</f>
        <v>#VALUE!</v>
      </c>
      <c r="Q8" s="231" t="str">
        <f>+INDEX(WP!$A:$AN,MATCH(F8,WP!$B:$B,0),MATCH("Ability V3",WP!$A$2:$AN$2,0))</f>
        <v>Skill Damage +20%</v>
      </c>
      <c r="R8" s="735"/>
    </row>
    <row r="9" spans="1:18" ht="7.5" customHeight="1" x14ac:dyDescent="0.2">
      <c r="A9" t="s">
        <v>10763</v>
      </c>
    </row>
    <row r="10" spans="1:18" ht="22.5" customHeight="1" x14ac:dyDescent="0.2">
      <c r="B10" s="729" t="e" vm="324">
        <f>_xlfn.IMAGE("https://natalie.tf/wp-content/uploads/2023/10/DLV3_Icon_WP_"&amp;G11&amp;"_01.png")</f>
        <v>#VALUE!</v>
      </c>
      <c r="D10" s="730" t="e" vm="324">
        <f>_xlfn.IMAGE("https://natalie.tf/wp-content/uploads/2023/10/DLV3_Icon_WP_"&amp;G11&amp;"_01.png")</f>
        <v>#VALUE!</v>
      </c>
      <c r="F10" s="717" t="str">
        <f>+INDEX(WP!$A:$AN,MATCH(F11,WP!$B:$B,0),MATCH("Name",WP!$A$2:$AN$2,0))</f>
        <v>Her Beloved (Sword's Boon)</v>
      </c>
      <c r="G10" s="718"/>
      <c r="H10" s="719"/>
      <c r="J10" s="180" t="s">
        <v>10761</v>
      </c>
      <c r="K10" s="201">
        <f>+INDEX(WP!$A:$AN,MATCH(F11,WP!$B:$B,0),5)</f>
        <v>9</v>
      </c>
      <c r="L10" s="202">
        <f>+INDEX(WP!$A:$AN,MATCH(F11,WP!$B:$B,0),6)</f>
        <v>44</v>
      </c>
      <c r="M10" s="202">
        <f>+INDEX(WP!$A:$AN,MATCH(F11,WP!$B:$B,0),7)</f>
        <v>25</v>
      </c>
      <c r="N10" s="202" t="e" vm="339">
        <f>IFERROR(_xlfn.IMAGE("https://natalie.tf/wp-content/uploads/2023/11/DLV3_Icon_Affinity_"&amp;O10&amp;".png"),"")</f>
        <v>#VALUE!</v>
      </c>
      <c r="O10" s="203" t="str">
        <f>IF(INDEX(WP!$A:$AN,MATCH(F11,WP!$B:$B,0),8)=0,"None",INDEX(WP!$A:$AN,MATCH(F11,WP!$B:$B,0),8))</f>
        <v>Sword</v>
      </c>
      <c r="P10" s="8" t="e" vm="20">
        <f>_xlfn.IMAGE("https://natalie.tf/wp-content/uploads/2023/10/DLV3_Icon_Ability_"&amp;INDEX('WP-A'!$A$1:$Z$498,MATCH('WP-Print'!Q10,'WP-A'!$A:$A,0),MATCH("Icon",'WP-A'!$A$1:$Z$1,0))&amp;".png")</f>
        <v>#VALUE!</v>
      </c>
      <c r="Q10" s="231" t="str">
        <f>+INDEX(WP!$A:$AN,MATCH(F11,WP!$B:$B,0),MATCH("Ability",WP!$A$2:$AN$2,0))</f>
        <v>Forbidden Corrosion III</v>
      </c>
      <c r="R10" s="734" t="str">
        <f>+INDEX(WP!$A:$AN,MATCH(F11,WP!$B:$B,0),MATCH("Obtain From",WP!$A$2:$AN$2,0))</f>
        <v>Clear Lilith's Encroaching Shadow: Expert (Rise of the Sinister Dominion)</v>
      </c>
    </row>
    <row r="11" spans="1:18" ht="22.5" customHeight="1" x14ac:dyDescent="0.2">
      <c r="A11" s="204" t="str">
        <f>TEXT(A8+1,"000")</f>
        <v>003</v>
      </c>
      <c r="B11" s="729"/>
      <c r="C11" s="8"/>
      <c r="D11" s="729"/>
      <c r="E11" s="8"/>
      <c r="F11" s="200" t="str">
        <f>"WP-"&amp;A11</f>
        <v>WP-003</v>
      </c>
      <c r="G11" s="200">
        <f>+INDEX(WP!$A:$AN,MATCH(F11,WP!$B:$B,0),MATCH("ID",WP!$A$2:$AN$2,0))</f>
        <v>400236</v>
      </c>
      <c r="I11" s="8"/>
      <c r="J11" s="180" t="s">
        <v>10762</v>
      </c>
      <c r="K11" s="201">
        <f>+INDEX(WP!$A:$AN,MATCH(F11,WP!$B:$B,0),14)</f>
        <v>9</v>
      </c>
      <c r="L11" s="202">
        <f>+INDEX(WP!$A:$AN,MATCH(F11,WP!$B:$B,0),15)</f>
        <v>100</v>
      </c>
      <c r="M11" s="202">
        <f>+INDEX(WP!$A:$AN,MATCH(F11,WP!$B:$B,0),16)</f>
        <v>70</v>
      </c>
      <c r="N11" s="202" t="e" vm="339">
        <f>IFERROR(_xlfn.IMAGE("https://natalie.tf/wp-content/uploads/2023/11/DLV3_Icon_Affinity_"&amp;O11&amp;".png"),"")</f>
        <v>#VALUE!</v>
      </c>
      <c r="O11" s="203" t="str">
        <f>+INDEX(WP!$A:$AN,MATCH(F11,WP!$B:$B,0),17)</f>
        <v>Sword</v>
      </c>
      <c r="P11" s="8" t="e" vm="20">
        <f>_xlfn.IMAGE("https://natalie.tf/wp-content/uploads/2023/10/DLV3_Icon_Ability_"&amp;INDEX('WP-A'!$A$1:$Z$498,MATCH('WP-Print'!Q11,'WP-A'!$A:$A,0),MATCH("Icon",'WP-A'!$A$1:$Z$1,0))&amp;".png")</f>
        <v>#VALUE!</v>
      </c>
      <c r="Q11" s="231" t="str">
        <f>+INDEX(WP!$A:$AN,MATCH(F11,WP!$B:$B,0),MATCH("Ability V3",WP!$A$2:$AN$2,0))</f>
        <v>Forbidden Corrosion III</v>
      </c>
      <c r="R11" s="735"/>
    </row>
    <row r="12" spans="1:18" ht="7.5" customHeight="1" x14ac:dyDescent="0.2">
      <c r="A12" t="s">
        <v>10763</v>
      </c>
    </row>
    <row r="13" spans="1:18" ht="22.5" customHeight="1" x14ac:dyDescent="0.2">
      <c r="B13" s="729" t="e" vm="325">
        <f>_xlfn.IMAGE("https://natalie.tf/wp-content/uploads/2023/10/DLV3_Icon_WP_"&amp;G14&amp;"_01.png")</f>
        <v>#VALUE!</v>
      </c>
      <c r="D13" s="730" t="e" vm="325">
        <f>_xlfn.IMAGE("https://natalie.tf/wp-content/uploads/2023/10/DLV3_Icon_WP_"&amp;G14&amp;"_01.png")</f>
        <v>#VALUE!</v>
      </c>
      <c r="F13" s="731" t="str">
        <f>+INDEX(WP!$A:$AN,MATCH(F14,WP!$B:$B,0),MATCH("Name",WP!$A$2:$AN$2,0))</f>
        <v>Mask of Determination (Lance's Boon)</v>
      </c>
      <c r="G13" s="732"/>
      <c r="H13" s="733"/>
      <c r="J13" s="180" t="s">
        <v>10761</v>
      </c>
      <c r="K13" s="201">
        <f>+INDEX(WP!$A:$AN,MATCH(F14,WP!$B:$B,0),5)</f>
        <v>9</v>
      </c>
      <c r="L13" s="202">
        <f>+INDEX(WP!$A:$AN,MATCH(F14,WP!$B:$B,0),6)</f>
        <v>44</v>
      </c>
      <c r="M13" s="202">
        <f>+INDEX(WP!$A:$AN,MATCH(F14,WP!$B:$B,0),7)</f>
        <v>25</v>
      </c>
      <c r="N13" s="202" t="e" vm="340">
        <f>IFERROR(_xlfn.IMAGE("https://natalie.tf/wp-content/uploads/2023/11/DLV3_Icon_Affinity_"&amp;O13&amp;".png"),"")</f>
        <v>#VALUE!</v>
      </c>
      <c r="O13" s="203" t="str">
        <f>IF(INDEX(WP!$A:$AN,MATCH(F14,WP!$B:$B,0),8)=0,"None",INDEX(WP!$A:$AN,MATCH(F14,WP!$B:$B,0),8))</f>
        <v>Lance</v>
      </c>
      <c r="P13" s="8" t="e" vm="326">
        <f>_xlfn.IMAGE("https://natalie.tf/wp-content/uploads/2023/10/DLV3_Icon_Ability_"&amp;INDEX('WP-A'!$A$1:$Z$498,MATCH('WP-Print'!Q13,'WP-A'!$A:$A,0),MATCH("Icon",'WP-A'!$A$1:$Z$1,0))&amp;".png")</f>
        <v>#VALUE!</v>
      </c>
      <c r="Q13" s="231" t="str">
        <f>+INDEX(WP!$A:$AN,MATCH(F14,WP!$B:$B,0),MATCH("Ability",WP!$A$2:$AN$2,0))</f>
        <v>Critical Rate +4%</v>
      </c>
      <c r="R13" s="734" t="str">
        <f>+INDEX(WP!$A:$AN,MATCH(F14,WP!$B:$B,0),MATCH("Obtain From",WP!$A$2:$AN$2,0))</f>
        <v>Clear Lilith's Encroaching Shadow: Master (Rise of the Sinister Dominion)</v>
      </c>
    </row>
    <row r="14" spans="1:18" ht="22.5" customHeight="1" x14ac:dyDescent="0.2">
      <c r="A14" s="204" t="str">
        <f>TEXT(A11+1,"000")</f>
        <v>004</v>
      </c>
      <c r="B14" s="729"/>
      <c r="C14" s="8"/>
      <c r="D14" s="729"/>
      <c r="E14" s="8"/>
      <c r="F14" s="200" t="str">
        <f>"WP-"&amp;A14</f>
        <v>WP-004</v>
      </c>
      <c r="G14" s="200">
        <f>+INDEX(WP!$A:$AN,MATCH(F14,WP!$B:$B,0),MATCH("ID",WP!$A$2:$AN$2,0))</f>
        <v>400362</v>
      </c>
      <c r="I14" s="8"/>
      <c r="J14" s="180" t="s">
        <v>10762</v>
      </c>
      <c r="K14" s="201">
        <f>+INDEX(WP!$A:$AN,MATCH(F14,WP!$B:$B,0),14)</f>
        <v>9</v>
      </c>
      <c r="L14" s="202">
        <f>+INDEX(WP!$A:$AN,MATCH(F14,WP!$B:$B,0),15)</f>
        <v>100</v>
      </c>
      <c r="M14" s="202">
        <f>+INDEX(WP!$A:$AN,MATCH(F14,WP!$B:$B,0),16)</f>
        <v>70</v>
      </c>
      <c r="N14" s="202" t="e" vm="340">
        <f>IFERROR(_xlfn.IMAGE("https://natalie.tf/wp-content/uploads/2023/11/DLV3_Icon_Affinity_"&amp;O14&amp;".png"),"")</f>
        <v>#VALUE!</v>
      </c>
      <c r="O14" s="203" t="str">
        <f>+INDEX(WP!$A:$AN,MATCH(F14,WP!$B:$B,0),17)</f>
        <v>Lance</v>
      </c>
      <c r="P14" s="8" t="e" vm="326">
        <f>_xlfn.IMAGE("https://natalie.tf/wp-content/uploads/2023/10/DLV3_Icon_Ability_"&amp;INDEX('WP-A'!$A$1:$Z$498,MATCH('WP-Print'!Q14,'WP-A'!$A:$A,0),MATCH("Icon",'WP-A'!$A$1:$Z$1,0))&amp;".png")</f>
        <v>#VALUE!</v>
      </c>
      <c r="Q14" s="231" t="str">
        <f>+INDEX(WP!$A:$AN,MATCH(F14,WP!$B:$B,0),MATCH("Ability V3",WP!$A$2:$AN$2,0))</f>
        <v>Critical Rate +5%</v>
      </c>
      <c r="R14" s="735"/>
    </row>
    <row r="15" spans="1:18" ht="7.5" customHeight="1" x14ac:dyDescent="0.2">
      <c r="A15" t="s">
        <v>10763</v>
      </c>
    </row>
    <row r="16" spans="1:18" ht="22.5" customHeight="1" x14ac:dyDescent="0.2">
      <c r="B16" s="729" t="e" vm="324">
        <f>_xlfn.IMAGE("https://natalie.tf/wp-content/uploads/2023/10/DLV3_Icon_WP_"&amp;G17&amp;"_01.png")</f>
        <v>#VALUE!</v>
      </c>
      <c r="D16" s="730" t="e" vm="324">
        <f>_xlfn.IMAGE("https://natalie.tf/wp-content/uploads/2023/10/DLV3_Icon_WP_"&amp;G17&amp;"_01.png")</f>
        <v>#VALUE!</v>
      </c>
      <c r="F16" s="717" t="str">
        <f>+INDEX(WP!$A:$AN,MATCH(F17,WP!$B:$B,0),MATCH("Name",WP!$A$2:$AN$2,0))</f>
        <v>Her Beloved (Crown's Boon)</v>
      </c>
      <c r="G16" s="718"/>
      <c r="H16" s="719"/>
      <c r="J16" s="180" t="s">
        <v>10761</v>
      </c>
      <c r="K16" s="201">
        <f>+INDEX(WP!$A:$AN,MATCH(F17,WP!$B:$B,0),5)</f>
        <v>9</v>
      </c>
      <c r="L16" s="202">
        <f>+INDEX(WP!$A:$AN,MATCH(F17,WP!$B:$B,0),6)</f>
        <v>44</v>
      </c>
      <c r="M16" s="202">
        <f>+INDEX(WP!$A:$AN,MATCH(F17,WP!$B:$B,0),7)</f>
        <v>25</v>
      </c>
      <c r="N16" s="202" t="e" vm="341">
        <f>IFERROR(_xlfn.IMAGE("https://natalie.tf/wp-content/uploads/2023/11/DLV3_Icon_Affinity_"&amp;O16&amp;".png"),"")</f>
        <v>#VALUE!</v>
      </c>
      <c r="O16" s="203" t="str">
        <f>IF(INDEX(WP!$A:$AN,MATCH(F17,WP!$B:$B,0),8)=0,"None",INDEX(WP!$A:$AN,MATCH(F17,WP!$B:$B,0),8))</f>
        <v>Crown</v>
      </c>
      <c r="P16" s="8" t="e" vm="20">
        <f>_xlfn.IMAGE("https://natalie.tf/wp-content/uploads/2023/10/DLV3_Icon_Ability_"&amp;INDEX('WP-A'!$A$1:$Z$498,MATCH('WP-Print'!Q16,'WP-A'!$A:$A,0),MATCH("Icon",'WP-A'!$A$1:$Z$1,0))&amp;".png")</f>
        <v>#VALUE!</v>
      </c>
      <c r="Q16" s="231" t="str">
        <f>+INDEX(WP!$A:$AN,MATCH(F17,WP!$B:$B,0),MATCH("Ability",WP!$A$2:$AN$2,0))</f>
        <v>Forbidden Corrosion III</v>
      </c>
      <c r="R16" s="734" t="str">
        <f>+INDEX(WP!$A:$AN,MATCH(F17,WP!$B:$B,0),MATCH("Obtain From",WP!$A$2:$AN$2,0))</f>
        <v>Clear Lilith's Encroaching Shadow: Master (Rise of the Sinister Dominion)</v>
      </c>
    </row>
    <row r="17" spans="1:18" ht="22.5" customHeight="1" x14ac:dyDescent="0.2">
      <c r="A17" s="204" t="str">
        <f>TEXT(A14+1,"000")</f>
        <v>005</v>
      </c>
      <c r="B17" s="729"/>
      <c r="C17" s="8"/>
      <c r="D17" s="729"/>
      <c r="E17" s="8"/>
      <c r="F17" s="200" t="str">
        <f>"WP-"&amp;A17</f>
        <v>WP-005</v>
      </c>
      <c r="G17" s="200">
        <f>+INDEX(WP!$A:$AN,MATCH(F17,WP!$B:$B,0),MATCH("ID",WP!$A$2:$AN$2,0))</f>
        <v>400236</v>
      </c>
      <c r="I17" s="8"/>
      <c r="J17" s="180" t="s">
        <v>10762</v>
      </c>
      <c r="K17" s="201">
        <f>+INDEX(WP!$A:$AN,MATCH(F17,WP!$B:$B,0),14)</f>
        <v>9</v>
      </c>
      <c r="L17" s="202">
        <f>+INDEX(WP!$A:$AN,MATCH(F17,WP!$B:$B,0),15)</f>
        <v>100</v>
      </c>
      <c r="M17" s="202">
        <f>+INDEX(WP!$A:$AN,MATCH(F17,WP!$B:$B,0),16)</f>
        <v>70</v>
      </c>
      <c r="N17" s="202" t="e" vm="341">
        <f>IFERROR(_xlfn.IMAGE("https://natalie.tf/wp-content/uploads/2023/11/DLV3_Icon_Affinity_"&amp;O17&amp;".png"),"")</f>
        <v>#VALUE!</v>
      </c>
      <c r="O17" s="203" t="str">
        <f>+INDEX(WP!$A:$AN,MATCH(F17,WP!$B:$B,0),17)</f>
        <v>Crown</v>
      </c>
      <c r="P17" s="8" t="e" vm="20">
        <f>_xlfn.IMAGE("https://natalie.tf/wp-content/uploads/2023/10/DLV3_Icon_Ability_"&amp;INDEX('WP-A'!$A$1:$Z$498,MATCH('WP-Print'!Q17,'WP-A'!$A:$A,0),MATCH("Icon",'WP-A'!$A$1:$Z$1,0))&amp;".png")</f>
        <v>#VALUE!</v>
      </c>
      <c r="Q17" s="231" t="str">
        <f>+INDEX(WP!$A:$AN,MATCH(F17,WP!$B:$B,0),MATCH("Ability V3",WP!$A$2:$AN$2,0))</f>
        <v>Forbidden Corrosion III</v>
      </c>
      <c r="R17" s="735"/>
    </row>
    <row r="18" spans="1:18" ht="7.5" customHeight="1" x14ac:dyDescent="0.2">
      <c r="A18" t="s">
        <v>10763</v>
      </c>
    </row>
    <row r="19" spans="1:18" ht="22.5" customHeight="1" x14ac:dyDescent="0.2">
      <c r="B19" s="729" t="e" vm="325">
        <f>_xlfn.IMAGE("https://natalie.tf/wp-content/uploads/2023/10/DLV3_Icon_WP_"&amp;G20&amp;"_01.png")</f>
        <v>#VALUE!</v>
      </c>
      <c r="D19" s="730" t="e" vm="325">
        <f>_xlfn.IMAGE("https://natalie.tf/wp-content/uploads/2023/10/DLV3_Icon_WP_"&amp;G20&amp;"_01.png")</f>
        <v>#VALUE!</v>
      </c>
      <c r="F19" s="731" t="str">
        <f>+INDEX(WP!$A:$AN,MATCH(F20,WP!$B:$B,0),MATCH("Name",WP!$A$2:$AN$2,0))</f>
        <v>Mask of Determination (Bow's Boon)</v>
      </c>
      <c r="G19" s="732"/>
      <c r="H19" s="733"/>
      <c r="J19" s="180" t="s">
        <v>10761</v>
      </c>
      <c r="K19" s="201">
        <f>+INDEX(WP!$A:$AN,MATCH(F20,WP!$B:$B,0),5)</f>
        <v>9</v>
      </c>
      <c r="L19" s="202">
        <f>+INDEX(WP!$A:$AN,MATCH(F20,WP!$B:$B,0),6)</f>
        <v>44</v>
      </c>
      <c r="M19" s="202">
        <f>+INDEX(WP!$A:$AN,MATCH(F20,WP!$B:$B,0),7)</f>
        <v>25</v>
      </c>
      <c r="N19" s="202" t="e" vm="342">
        <f>IFERROR(_xlfn.IMAGE("https://natalie.tf/wp-content/uploads/2023/11/DLV3_Icon_Affinity_"&amp;O19&amp;".png"),"")</f>
        <v>#VALUE!</v>
      </c>
      <c r="O19" s="203" t="str">
        <f>IF(INDEX(WP!$A:$AN,MATCH(F20,WP!$B:$B,0),8)=0,"None",INDEX(WP!$A:$AN,MATCH(F20,WP!$B:$B,0),8))</f>
        <v>Bow</v>
      </c>
      <c r="P19" s="8" t="e" vm="327">
        <f>_xlfn.IMAGE("https://natalie.tf/wp-content/uploads/2023/10/DLV3_Icon_Ability_"&amp;INDEX('WP-A'!$A$1:$Z$498,MATCH('WP-Print'!Q19,'WP-A'!$A:$A,0),MATCH("Icon",'WP-A'!$A$1:$Z$1,0))&amp;".png")</f>
        <v>#VALUE!</v>
      </c>
      <c r="Q19" s="231" t="str">
        <f>+INDEX(WP!$A:$AN,MATCH(F20,WP!$B:$B,0),MATCH("Ability",WP!$A$2:$AN$2,0))</f>
        <v>Sword's Psalm III</v>
      </c>
      <c r="R19" s="734" t="str">
        <f>+INDEX(WP!$A:$AN,MATCH(F20,WP!$B:$B,0),MATCH("Obtain From",WP!$A$2:$AN$2,0))</f>
        <v>Clear Jaldabaoth's Piercing Gale: Legend (Rise of the Sinister Dominion)</v>
      </c>
    </row>
    <row r="20" spans="1:18" ht="22.5" customHeight="1" x14ac:dyDescent="0.2">
      <c r="A20" s="204" t="str">
        <f>TEXT(A17+1,"000")</f>
        <v>006</v>
      </c>
      <c r="B20" s="729"/>
      <c r="C20" s="8"/>
      <c r="D20" s="729"/>
      <c r="E20" s="8"/>
      <c r="F20" s="200" t="str">
        <f>"WP-"&amp;A20</f>
        <v>WP-006</v>
      </c>
      <c r="G20" s="200">
        <f>+INDEX(WP!$A:$AN,MATCH(F20,WP!$B:$B,0),MATCH("ID",WP!$A$2:$AN$2,0))</f>
        <v>400362</v>
      </c>
      <c r="I20" s="8"/>
      <c r="J20" s="180" t="s">
        <v>10762</v>
      </c>
      <c r="K20" s="201">
        <f>+INDEX(WP!$A:$AN,MATCH(F20,WP!$B:$B,0),14)</f>
        <v>9</v>
      </c>
      <c r="L20" s="202">
        <f>+INDEX(WP!$A:$AN,MATCH(F20,WP!$B:$B,0),15)</f>
        <v>100</v>
      </c>
      <c r="M20" s="202">
        <f>+INDEX(WP!$A:$AN,MATCH(F20,WP!$B:$B,0),16)</f>
        <v>70</v>
      </c>
      <c r="N20" s="202" t="e" vm="342">
        <f>IFERROR(_xlfn.IMAGE("https://natalie.tf/wp-content/uploads/2023/11/DLV3_Icon_Affinity_"&amp;O20&amp;".png"),"")</f>
        <v>#VALUE!</v>
      </c>
      <c r="O20" s="203" t="str">
        <f>+INDEX(WP!$A:$AN,MATCH(F20,WP!$B:$B,0),17)</f>
        <v>Bow</v>
      </c>
      <c r="P20" s="8" t="e" vm="327">
        <f>_xlfn.IMAGE("https://natalie.tf/wp-content/uploads/2023/10/DLV3_Icon_Ability_"&amp;INDEX('WP-A'!$A$1:$Z$498,MATCH('WP-Print'!Q20,'WP-A'!$A:$A,0),MATCH("Icon",'WP-A'!$A$1:$Z$1,0))&amp;".png")</f>
        <v>#VALUE!</v>
      </c>
      <c r="Q20" s="231" t="str">
        <f>+INDEX(WP!$A:$AN,MATCH(F20,WP!$B:$B,0),MATCH("Ability V3",WP!$A$2:$AN$2,0))</f>
        <v>Sword's Psalm III</v>
      </c>
      <c r="R20" s="735"/>
    </row>
    <row r="21" spans="1:18" ht="7.5" customHeight="1" x14ac:dyDescent="0.2">
      <c r="A21" t="s">
        <v>10763</v>
      </c>
    </row>
    <row r="22" spans="1:18" ht="22.5" customHeight="1" x14ac:dyDescent="0.2">
      <c r="B22" s="729" t="e" vm="328">
        <f>_xlfn.IMAGE("https://natalie.tf/wp-content/uploads/2023/10/DLV3_Icon_WP_"&amp;G23&amp;"_01.png")</f>
        <v>#VALUE!</v>
      </c>
      <c r="D22" s="730" t="e" vm="328">
        <f>_xlfn.IMAGE("https://natalie.tf/wp-content/uploads/2023/10/DLV3_Icon_WP_"&amp;G23&amp;"_01.png")</f>
        <v>#VALUE!</v>
      </c>
      <c r="F22" s="717" t="str">
        <f>+INDEX(WP!$A:$AN,MATCH(F23,WP!$B:$B,0),MATCH("Name",WP!$A$2:$AN$2,0))</f>
        <v>"A Knight's Dream" (Axe's Boon)</v>
      </c>
      <c r="G22" s="718"/>
      <c r="H22" s="719"/>
      <c r="J22" s="180" t="s">
        <v>10761</v>
      </c>
      <c r="K22" s="201">
        <f>+INDEX(WP!$A:$AN,MATCH(F23,WP!$B:$B,0),5)</f>
        <v>9</v>
      </c>
      <c r="L22" s="202">
        <f>+INDEX(WP!$A:$AN,MATCH(F23,WP!$B:$B,0),6)</f>
        <v>44</v>
      </c>
      <c r="M22" s="202">
        <f>+INDEX(WP!$A:$AN,MATCH(F23,WP!$B:$B,0),7)</f>
        <v>25</v>
      </c>
      <c r="N22" s="202" t="e" vm="343">
        <f>IFERROR(_xlfn.IMAGE("https://natalie.tf/wp-content/uploads/2023/11/DLV3_Icon_Affinity_"&amp;O22&amp;".png"),"")</f>
        <v>#VALUE!</v>
      </c>
      <c r="O22" s="203" t="str">
        <f>IF(INDEX(WP!$A:$AN,MATCH(F23,WP!$B:$B,0),8)=0,"None",INDEX(WP!$A:$AN,MATCH(F23,WP!$B:$B,0),8))</f>
        <v>Axe</v>
      </c>
      <c r="P22" s="8" t="e" vm="322">
        <f>_xlfn.IMAGE("https://natalie.tf/wp-content/uploads/2023/10/DLV3_Icon_Ability_"&amp;INDEX('WP-A'!$A$1:$Z$498,MATCH('WP-Print'!Q22,'WP-A'!$A:$A,0),MATCH("Icon",'WP-A'!$A$1:$Z$1,0))&amp;".png")</f>
        <v>#VALUE!</v>
      </c>
      <c r="Q22" s="231" t="str">
        <f>+INDEX(WP!$A:$AN,MATCH(F23,WP!$B:$B,0),MATCH("Ability",WP!$A$2:$AN$2,0))</f>
        <v>Skill Damage +20%</v>
      </c>
      <c r="R22" s="734" t="str">
        <f>+INDEX(WP!$A:$AN,MATCH(F23,WP!$B:$B,0),MATCH("Obtain From",WP!$A$2:$AN$2,0))</f>
        <v>Clear Jaldabaoth's Piercing Gale: Standard (Rise of the Sinister Dominion)</v>
      </c>
    </row>
    <row r="23" spans="1:18" ht="22.5" customHeight="1" x14ac:dyDescent="0.2">
      <c r="A23" s="204" t="str">
        <f>TEXT(A20+1,"000")</f>
        <v>007</v>
      </c>
      <c r="B23" s="729"/>
      <c r="C23" s="8"/>
      <c r="D23" s="729"/>
      <c r="E23" s="8"/>
      <c r="F23" s="200" t="str">
        <f>"WP-"&amp;A23</f>
        <v>WP-007</v>
      </c>
      <c r="G23" s="200">
        <f>+INDEX(WP!$A:$AN,MATCH(F23,WP!$B:$B,0),MATCH("ID",WP!$A$2:$AN$2,0))</f>
        <v>400178</v>
      </c>
      <c r="I23" s="8"/>
      <c r="J23" s="180" t="s">
        <v>10762</v>
      </c>
      <c r="K23" s="201">
        <f>+INDEX(WP!$A:$AN,MATCH(F23,WP!$B:$B,0),14)</f>
        <v>9</v>
      </c>
      <c r="L23" s="202">
        <f>+INDEX(WP!$A:$AN,MATCH(F23,WP!$B:$B,0),15)</f>
        <v>100</v>
      </c>
      <c r="M23" s="202">
        <f>+INDEX(WP!$A:$AN,MATCH(F23,WP!$B:$B,0),16)</f>
        <v>70</v>
      </c>
      <c r="N23" s="202" t="e" vm="343">
        <f>IFERROR(_xlfn.IMAGE("https://natalie.tf/wp-content/uploads/2023/11/DLV3_Icon_Affinity_"&amp;O23&amp;".png"),"")</f>
        <v>#VALUE!</v>
      </c>
      <c r="O23" s="203" t="str">
        <f>+INDEX(WP!$A:$AN,MATCH(F23,WP!$B:$B,0),17)</f>
        <v>Axe</v>
      </c>
      <c r="P23" s="8" t="e" vm="322">
        <f>_xlfn.IMAGE("https://natalie.tf/wp-content/uploads/2023/10/DLV3_Icon_Ability_"&amp;INDEX('WP-A'!$A$1:$Z$498,MATCH('WP-Print'!Q23,'WP-A'!$A:$A,0),MATCH("Icon",'WP-A'!$A$1:$Z$1,0))&amp;".png")</f>
        <v>#VALUE!</v>
      </c>
      <c r="Q23" s="231" t="str">
        <f>+INDEX(WP!$A:$AN,MATCH(F23,WP!$B:$B,0),MATCH("Ability V3",WP!$A$2:$AN$2,0))</f>
        <v>Skill Damage +20%</v>
      </c>
      <c r="R23" s="735"/>
    </row>
    <row r="24" spans="1:18" ht="7.5" customHeight="1" x14ac:dyDescent="0.2">
      <c r="A24" t="s">
        <v>10763</v>
      </c>
    </row>
    <row r="25" spans="1:18" ht="22.5" customHeight="1" x14ac:dyDescent="0.2">
      <c r="B25" s="729" t="e" vm="329">
        <f>_xlfn.IMAGE("https://natalie.tf/wp-content/uploads/2023/10/DLV3_Icon_WP_"&amp;G26&amp;"_01.png")</f>
        <v>#VALUE!</v>
      </c>
      <c r="D25" s="730" t="e" vm="329">
        <f>_xlfn.IMAGE("https://natalie.tf/wp-content/uploads/2023/10/DLV3_Icon_WP_"&amp;G26&amp;"_01.png")</f>
        <v>#VALUE!</v>
      </c>
      <c r="F25" s="717" t="str">
        <f>+INDEX(WP!$A:$AN,MATCH(F26,WP!$B:$B,0),MATCH("Name",WP!$A$2:$AN$2,0))</f>
        <v>Wind of Oaths (Eagle's Boon)</v>
      </c>
      <c r="G25" s="718"/>
      <c r="H25" s="719"/>
      <c r="J25" s="180" t="s">
        <v>10761</v>
      </c>
      <c r="K25" s="201">
        <f>+INDEX(WP!$A:$AN,MATCH(F26,WP!$B:$B,0),5)</f>
        <v>9</v>
      </c>
      <c r="L25" s="202">
        <f>+INDEX(WP!$A:$AN,MATCH(F26,WP!$B:$B,0),6)</f>
        <v>44</v>
      </c>
      <c r="M25" s="202">
        <f>+INDEX(WP!$A:$AN,MATCH(F26,WP!$B:$B,0),7)</f>
        <v>25</v>
      </c>
      <c r="N25" s="202" t="e" vm="344">
        <f>IFERROR(_xlfn.IMAGE("https://natalie.tf/wp-content/uploads/2023/11/DLV3_Icon_Affinity_"&amp;O25&amp;".png"),"")</f>
        <v>#VALUE!</v>
      </c>
      <c r="O25" s="203" t="str">
        <f>IF(INDEX(WP!$A:$AN,MATCH(F26,WP!$B:$B,0),8)=0,"None",INDEX(WP!$A:$AN,MATCH(F26,WP!$B:$B,0),8))</f>
        <v>Eagle</v>
      </c>
      <c r="P25" s="8" t="e" vm="330">
        <f>_xlfn.IMAGE("https://natalie.tf/wp-content/uploads/2023/10/DLV3_Icon_Ability_"&amp;INDEX('WP-A'!$A$1:$Z$498,MATCH('WP-Print'!Q25,'WP-A'!$A:$A,0),MATCH("Icon",'WP-A'!$A$1:$Z$1,0))&amp;".png")</f>
        <v>#VALUE!</v>
      </c>
      <c r="Q25" s="231" t="str">
        <f>+INDEX(WP!$A:$AN,MATCH(F26,WP!$B:$B,0),MATCH("Ability",WP!$A$2:$AN$2,0))</f>
        <v>Skill Haste +4%</v>
      </c>
      <c r="R25" s="734" t="str">
        <f>+INDEX(WP!$A:$AN,MATCH(F26,WP!$B:$B,0),MATCH("Obtain From",WP!$A$2:$AN$2,0))</f>
        <v>Clear Jaldabaoth's Piercing Gale: Expert (Rise of the Sinister Dominion)</v>
      </c>
    </row>
    <row r="26" spans="1:18" ht="22.5" customHeight="1" x14ac:dyDescent="0.2">
      <c r="A26" s="204" t="str">
        <f>TEXT(A23+1,"000")</f>
        <v>008</v>
      </c>
      <c r="B26" s="729"/>
      <c r="C26" s="8"/>
      <c r="D26" s="729"/>
      <c r="E26" s="8"/>
      <c r="F26" s="200" t="str">
        <f>"WP-"&amp;A26</f>
        <v>WP-008</v>
      </c>
      <c r="G26" s="200">
        <f>+INDEX(WP!$A:$AN,MATCH(F26,WP!$B:$B,0),MATCH("ID",WP!$A$2:$AN$2,0))</f>
        <v>400258</v>
      </c>
      <c r="I26" s="8"/>
      <c r="J26" s="180" t="s">
        <v>10762</v>
      </c>
      <c r="K26" s="201">
        <f>+INDEX(WP!$A:$AN,MATCH(F26,WP!$B:$B,0),14)</f>
        <v>9</v>
      </c>
      <c r="L26" s="202">
        <f>+INDEX(WP!$A:$AN,MATCH(F26,WP!$B:$B,0),15)</f>
        <v>100</v>
      </c>
      <c r="M26" s="202">
        <f>+INDEX(WP!$A:$AN,MATCH(F26,WP!$B:$B,0),16)</f>
        <v>70</v>
      </c>
      <c r="N26" s="202" t="e" vm="344">
        <f>IFERROR(_xlfn.IMAGE("https://natalie.tf/wp-content/uploads/2023/11/DLV3_Icon_Affinity_"&amp;O26&amp;".png"),"")</f>
        <v>#VALUE!</v>
      </c>
      <c r="O26" s="203" t="str">
        <f>+INDEX(WP!$A:$AN,MATCH(F26,WP!$B:$B,0),17)</f>
        <v>Eagle</v>
      </c>
      <c r="P26" s="8" t="e" vm="330">
        <f>_xlfn.IMAGE("https://natalie.tf/wp-content/uploads/2023/10/DLV3_Icon_Ability_"&amp;INDEX('WP-A'!$A$1:$Z$498,MATCH('WP-Print'!Q26,'WP-A'!$A:$A,0),MATCH("Icon",'WP-A'!$A$1:$Z$1,0))&amp;".png")</f>
        <v>#VALUE!</v>
      </c>
      <c r="Q26" s="231" t="str">
        <f>+INDEX(WP!$A:$AN,MATCH(F26,WP!$B:$B,0),MATCH("Ability V3",WP!$A$2:$AN$2,0))</f>
        <v>Skill Haste +5%</v>
      </c>
      <c r="R26" s="735"/>
    </row>
    <row r="27" spans="1:18" ht="7.5" customHeight="1" x14ac:dyDescent="0.2">
      <c r="A27" t="s">
        <v>10763</v>
      </c>
    </row>
    <row r="28" spans="1:18" ht="22.5" customHeight="1" x14ac:dyDescent="0.2">
      <c r="B28" s="729" t="e" vm="331">
        <f>_xlfn.IMAGE("https://natalie.tf/wp-content/uploads/2023/10/DLV3_Icon_WP_"&amp;G29&amp;"_01.png")</f>
        <v>#VALUE!</v>
      </c>
      <c r="D28" s="730" t="e" vm="331">
        <f>_xlfn.IMAGE("https://natalie.tf/wp-content/uploads/2023/10/DLV3_Icon_WP_"&amp;G29&amp;"_01.png")</f>
        <v>#VALUE!</v>
      </c>
      <c r="F28" s="717" t="str">
        <f>+INDEX(WP!$A:$AN,MATCH(F29,WP!$B:$B,0),MATCH("Name",WP!$A$2:$AN$2,0))</f>
        <v>Beneath the Boughs (Wolf's Boon)</v>
      </c>
      <c r="G28" s="718"/>
      <c r="H28" s="719"/>
      <c r="J28" s="180" t="s">
        <v>10761</v>
      </c>
      <c r="K28" s="201">
        <f>+INDEX(WP!$A:$AN,MATCH(F29,WP!$B:$B,0),5)</f>
        <v>9</v>
      </c>
      <c r="L28" s="202">
        <f>+INDEX(WP!$A:$AN,MATCH(F29,WP!$B:$B,0),6)</f>
        <v>44</v>
      </c>
      <c r="M28" s="202">
        <f>+INDEX(WP!$A:$AN,MATCH(F29,WP!$B:$B,0),7)</f>
        <v>25</v>
      </c>
      <c r="N28" s="202" t="e" vm="338">
        <f>IFERROR(_xlfn.IMAGE("https://natalie.tf/wp-content/uploads/2023/11/DLV3_Icon_Affinity_"&amp;O28&amp;".png"),"")</f>
        <v>#VALUE!</v>
      </c>
      <c r="O28" s="203" t="str">
        <f>IF(INDEX(WP!$A:$AN,MATCH(F29,WP!$B:$B,0),8)=0,"None",INDEX(WP!$A:$AN,MATCH(F29,WP!$B:$B,0),8))</f>
        <v>Wolf</v>
      </c>
      <c r="P28" s="8" t="e" vm="332">
        <f>_xlfn.IMAGE("https://natalie.tf/wp-content/uploads/2023/10/DLV3_Icon_Ability_"&amp;INDEX('WP-A'!$A$1:$Z$498,MATCH('WP-Print'!Q28,'WP-A'!$A:$A,0),MATCH("Icon",'WP-A'!$A$1:$Z$1,0))&amp;".png")</f>
        <v>#VALUE!</v>
      </c>
      <c r="Q28" s="231" t="str">
        <f>+INDEX(WP!$A:$AN,MATCH(F29,WP!$B:$B,0),MATCH("Ability",WP!$A$2:$AN$2,0))</f>
        <v>Draconic Resurrection III</v>
      </c>
      <c r="R28" s="734" t="str">
        <f>+INDEX(WP!$A:$AN,MATCH(F29,WP!$B:$B,0),MATCH("Obtain From",WP!$A$2:$AN$2,0))</f>
        <v>Clear Jaldabaoth's Piercing Gale: Expert (Rise of the Sinister Dominion)</v>
      </c>
    </row>
    <row r="29" spans="1:18" ht="22.5" customHeight="1" x14ac:dyDescent="0.2">
      <c r="A29" s="204" t="str">
        <f>TEXT(A26+1,"000")</f>
        <v>009</v>
      </c>
      <c r="B29" s="729"/>
      <c r="C29" s="8"/>
      <c r="D29" s="729"/>
      <c r="E29" s="8"/>
      <c r="F29" s="200" t="str">
        <f>"WP-"&amp;A29</f>
        <v>WP-009</v>
      </c>
      <c r="G29" s="200">
        <f>+INDEX(WP!$A:$AN,MATCH(F29,WP!$B:$B,0),MATCH("ID",WP!$A$2:$AN$2,0))</f>
        <v>400325</v>
      </c>
      <c r="I29" s="8"/>
      <c r="J29" s="180" t="s">
        <v>10762</v>
      </c>
      <c r="K29" s="201">
        <f>+INDEX(WP!$A:$AN,MATCH(F29,WP!$B:$B,0),14)</f>
        <v>9</v>
      </c>
      <c r="L29" s="202">
        <f>+INDEX(WP!$A:$AN,MATCH(F29,WP!$B:$B,0),15)</f>
        <v>100</v>
      </c>
      <c r="M29" s="202">
        <f>+INDEX(WP!$A:$AN,MATCH(F29,WP!$B:$B,0),16)</f>
        <v>70</v>
      </c>
      <c r="N29" s="202" t="e" vm="343">
        <f>IFERROR(_xlfn.IMAGE("https://natalie.tf/wp-content/uploads/2023/11/DLV3_Icon_Affinity_"&amp;O29&amp;".png"),"")</f>
        <v>#VALUE!</v>
      </c>
      <c r="O29" s="203" t="str">
        <f>+INDEX(WP!$A:$AN,MATCH(F29,WP!$B:$B,0),17)</f>
        <v>Axe</v>
      </c>
      <c r="P29" s="8" t="e" vm="332">
        <f>_xlfn.IMAGE("https://natalie.tf/wp-content/uploads/2023/10/DLV3_Icon_Ability_"&amp;INDEX('WP-A'!$A$1:$Z$498,MATCH('WP-Print'!Q29,'WP-A'!$A:$A,0),MATCH("Icon",'WP-A'!$A$1:$Z$1,0))&amp;".png")</f>
        <v>#VALUE!</v>
      </c>
      <c r="Q29" s="231" t="str">
        <f>+INDEX(WP!$A:$AN,MATCH(F29,WP!$B:$B,0),MATCH("Ability V3",WP!$A$2:$AN$2,0))</f>
        <v>Draconic Resurrection III</v>
      </c>
      <c r="R29" s="735"/>
    </row>
    <row r="30" spans="1:18" ht="7.5" customHeight="1" x14ac:dyDescent="0.2">
      <c r="A30" t="s">
        <v>10763</v>
      </c>
    </row>
    <row r="31" spans="1:18" ht="22.5" customHeight="1" x14ac:dyDescent="0.2">
      <c r="B31" s="729" t="e" vm="333">
        <f>_xlfn.IMAGE("https://natalie.tf/wp-content/uploads/2023/10/DLV3_Icon_WP_"&amp;G32&amp;"_01.png")</f>
        <v>#VALUE!</v>
      </c>
      <c r="D31" s="730" t="e" vm="333">
        <f>_xlfn.IMAGE("https://natalie.tf/wp-content/uploads/2023/10/DLV3_Icon_WP_"&amp;G32&amp;"_01.png")</f>
        <v>#VALUE!</v>
      </c>
      <c r="F31" s="717" t="str">
        <f>+INDEX(WP!$A:$AN,MATCH(F32,WP!$B:$B,0),MATCH("Name",WP!$A$2:$AN$2,0))</f>
        <v>Savage Hawk (Bow's Boon)</v>
      </c>
      <c r="G31" s="718"/>
      <c r="H31" s="719"/>
      <c r="J31" s="180" t="s">
        <v>10761</v>
      </c>
      <c r="K31" s="201">
        <f>+INDEX(WP!$A:$AN,MATCH(F32,WP!$B:$B,0),5)</f>
        <v>9</v>
      </c>
      <c r="L31" s="202">
        <f>+INDEX(WP!$A:$AN,MATCH(F32,WP!$B:$B,0),6)</f>
        <v>44</v>
      </c>
      <c r="M31" s="202">
        <f>+INDEX(WP!$A:$AN,MATCH(F32,WP!$B:$B,0),7)</f>
        <v>25</v>
      </c>
      <c r="N31" s="202" t="e" vm="342">
        <f>IFERROR(_xlfn.IMAGE("https://natalie.tf/wp-content/uploads/2023/11/DLV3_Icon_Affinity_"&amp;O31&amp;".png"),"")</f>
        <v>#VALUE!</v>
      </c>
      <c r="O31" s="203" t="str">
        <f>IF(INDEX(WP!$A:$AN,MATCH(F32,WP!$B:$B,0),8)=0,"None",INDEX(WP!$A:$AN,MATCH(F32,WP!$B:$B,0),8))</f>
        <v>Bow</v>
      </c>
      <c r="P31" s="8" t="e" vm="334">
        <f>_xlfn.IMAGE("https://natalie.tf/wp-content/uploads/2023/10/DLV3_Icon_Ability_"&amp;INDEX('WP-A'!$A$1:$Z$498,MATCH('WP-Print'!Q31,'WP-A'!$A:$A,0),MATCH("Icon",'WP-A'!$A$1:$Z$1,0))&amp;".png")</f>
        <v>#VALUE!</v>
      </c>
      <c r="Q31" s="231" t="str">
        <f>+INDEX(WP!$A:$AN,MATCH(F32,WP!$B:$B,0),MATCH("Ability",WP!$A$2:$AN$2,0))</f>
        <v>Stormlashed Punisher +10%</v>
      </c>
      <c r="R31" s="734" t="str">
        <f>+INDEX(WP!$A:$AN,MATCH(F32,WP!$B:$B,0),MATCH("Obtain From",WP!$A$2:$AN$2,0))</f>
        <v>Clear Jaldabaoth's Piercing Gale: Master (Rise of the Sinister Dominion)</v>
      </c>
    </row>
    <row r="32" spans="1:18" ht="22.5" customHeight="1" x14ac:dyDescent="0.2">
      <c r="A32" s="204" t="str">
        <f>TEXT(A29+1,"000")</f>
        <v>010</v>
      </c>
      <c r="B32" s="729"/>
      <c r="C32" s="8"/>
      <c r="D32" s="729"/>
      <c r="E32" s="8"/>
      <c r="F32" s="200" t="str">
        <f>"WP-"&amp;A32</f>
        <v>WP-010</v>
      </c>
      <c r="G32" s="200">
        <f>+INDEX(WP!$A:$AN,MATCH(F32,WP!$B:$B,0),MATCH("ID",WP!$A$2:$AN$2,0))</f>
        <v>400214</v>
      </c>
      <c r="I32" s="8"/>
      <c r="J32" s="180" t="s">
        <v>10762</v>
      </c>
      <c r="K32" s="201">
        <f>+INDEX(WP!$A:$AN,MATCH(F32,WP!$B:$B,0),14)</f>
        <v>9</v>
      </c>
      <c r="L32" s="202">
        <f>+INDEX(WP!$A:$AN,MATCH(F32,WP!$B:$B,0),15)</f>
        <v>100</v>
      </c>
      <c r="M32" s="202">
        <f>+INDEX(WP!$A:$AN,MATCH(F32,WP!$B:$B,0),16)</f>
        <v>70</v>
      </c>
      <c r="N32" s="202" t="e" vm="342">
        <f>IFERROR(_xlfn.IMAGE("https://natalie.tf/wp-content/uploads/2023/11/DLV3_Icon_Affinity_"&amp;O32&amp;".png"),"")</f>
        <v>#VALUE!</v>
      </c>
      <c r="O32" s="203" t="str">
        <f>+INDEX(WP!$A:$AN,MATCH(F32,WP!$B:$B,0),17)</f>
        <v>Bow</v>
      </c>
      <c r="P32" s="8" t="e" vm="330">
        <f>_xlfn.IMAGE("https://natalie.tf/wp-content/uploads/2023/10/DLV3_Icon_Ability_"&amp;INDEX('WP-A'!$A$1:$Z$498,MATCH('WP-Print'!Q32,'WP-A'!$A:$A,0),MATCH("Icon",'WP-A'!$A$1:$Z$1,0))&amp;".png")</f>
        <v>#VALUE!</v>
      </c>
      <c r="Q32" s="231" t="str">
        <f>+INDEX(WP!$A:$AN,MATCH(F32,WP!$B:$B,0),MATCH("Ability V3",WP!$A$2:$AN$2,0))</f>
        <v>Skill Haste +5%</v>
      </c>
      <c r="R32" s="735"/>
    </row>
    <row r="33" spans="1:18" ht="7.5" customHeight="1" x14ac:dyDescent="0.2">
      <c r="A33" t="s">
        <v>10763</v>
      </c>
    </row>
    <row r="34" spans="1:18" ht="22.5" customHeight="1" x14ac:dyDescent="0.2">
      <c r="B34" s="729" t="e" vm="331">
        <f>_xlfn.IMAGE("https://natalie.tf/wp-content/uploads/2023/10/DLV3_Icon_WP_"&amp;G35&amp;"_01.png")</f>
        <v>#VALUE!</v>
      </c>
      <c r="D34" s="730" t="e" vm="331">
        <f>_xlfn.IMAGE("https://natalie.tf/wp-content/uploads/2023/10/DLV3_Icon_WP_"&amp;G35&amp;"_01.png")</f>
        <v>#VALUE!</v>
      </c>
      <c r="F34" s="717" t="str">
        <f>+INDEX(WP!$A:$AN,MATCH(F35,WP!$B:$B,0),MATCH("Name",WP!$A$2:$AN$2,0))</f>
        <v>Beneath the Boughs (Staff's Boon)</v>
      </c>
      <c r="G34" s="718"/>
      <c r="H34" s="719"/>
      <c r="J34" s="180" t="s">
        <v>10761</v>
      </c>
      <c r="K34" s="201">
        <f>+INDEX(WP!$A:$AN,MATCH(F35,WP!$B:$B,0),5)</f>
        <v>9</v>
      </c>
      <c r="L34" s="202">
        <f>+INDEX(WP!$A:$AN,MATCH(F35,WP!$B:$B,0),6)</f>
        <v>44</v>
      </c>
      <c r="M34" s="202">
        <f>+INDEX(WP!$A:$AN,MATCH(F35,WP!$B:$B,0),7)</f>
        <v>25</v>
      </c>
      <c r="N34" s="202" t="e" vm="345">
        <f>IFERROR(_xlfn.IMAGE("https://natalie.tf/wp-content/uploads/2023/11/DLV3_Icon_Affinity_"&amp;O34&amp;".png"),"")</f>
        <v>#VALUE!</v>
      </c>
      <c r="O34" s="203" t="str">
        <f>IF(INDEX(WP!$A:$AN,MATCH(F35,WP!$B:$B,0),8)=0,"None",INDEX(WP!$A:$AN,MATCH(F35,WP!$B:$B,0),8))</f>
        <v>Staff</v>
      </c>
      <c r="P34" s="8" t="e" vm="332">
        <f>_xlfn.IMAGE("https://natalie.tf/wp-content/uploads/2023/10/DLV3_Icon_Ability_"&amp;INDEX('WP-A'!$A$1:$Z$498,MATCH('WP-Print'!Q34,'WP-A'!$A:$A,0),MATCH("Icon",'WP-A'!$A$1:$Z$1,0))&amp;".png")</f>
        <v>#VALUE!</v>
      </c>
      <c r="Q34" s="231" t="str">
        <f>+INDEX(WP!$A:$AN,MATCH(F35,WP!$B:$B,0),MATCH("Ability",WP!$A$2:$AN$2,0))</f>
        <v>Draconic Resurrection III</v>
      </c>
      <c r="R34" s="734" t="str">
        <f>+INDEX(WP!$A:$AN,MATCH(F35,WP!$B:$B,0),MATCH("Obtain From",WP!$A$2:$AN$2,0))</f>
        <v>Clear Jaldabaoth's Piercing Gale: Master (Rise of the Sinister Dominion)</v>
      </c>
    </row>
    <row r="35" spans="1:18" ht="22.5" customHeight="1" x14ac:dyDescent="0.2">
      <c r="A35" s="204" t="str">
        <f>TEXT(A32+1,"000")</f>
        <v>011</v>
      </c>
      <c r="B35" s="729"/>
      <c r="C35" s="8"/>
      <c r="D35" s="729"/>
      <c r="E35" s="8"/>
      <c r="F35" s="200" t="str">
        <f>"WP-"&amp;A35</f>
        <v>WP-011</v>
      </c>
      <c r="G35" s="200">
        <f>+INDEX(WP!$A:$AN,MATCH(F35,WP!$B:$B,0),MATCH("ID",WP!$A$2:$AN$2,0))</f>
        <v>400325</v>
      </c>
      <c r="I35" s="8"/>
      <c r="J35" s="180" t="s">
        <v>10762</v>
      </c>
      <c r="K35" s="201">
        <f>+INDEX(WP!$A:$AN,MATCH(F35,WP!$B:$B,0),14)</f>
        <v>9</v>
      </c>
      <c r="L35" s="202">
        <f>+INDEX(WP!$A:$AN,MATCH(F35,WP!$B:$B,0),15)</f>
        <v>100</v>
      </c>
      <c r="M35" s="202">
        <f>+INDEX(WP!$A:$AN,MATCH(F35,WP!$B:$B,0),16)</f>
        <v>70</v>
      </c>
      <c r="N35" s="202" t="e" vm="345">
        <f>IFERROR(_xlfn.IMAGE("https://natalie.tf/wp-content/uploads/2023/11/DLV3_Icon_Affinity_"&amp;O35&amp;".png"),"")</f>
        <v>#VALUE!</v>
      </c>
      <c r="O35" s="203" t="str">
        <f>+INDEX(WP!$A:$AN,MATCH(F35,WP!$B:$B,0),17)</f>
        <v>Staff</v>
      </c>
      <c r="P35" s="8" t="e" vm="332">
        <f>_xlfn.IMAGE("https://natalie.tf/wp-content/uploads/2023/10/DLV3_Icon_Ability_"&amp;INDEX('WP-A'!$A$1:$Z$498,MATCH('WP-Print'!Q35,'WP-A'!$A:$A,0),MATCH("Icon",'WP-A'!$A$1:$Z$1,0))&amp;".png")</f>
        <v>#VALUE!</v>
      </c>
      <c r="Q35" s="231" t="str">
        <f>+INDEX(WP!$A:$AN,MATCH(F35,WP!$B:$B,0),MATCH("Ability V3",WP!$A$2:$AN$2,0))</f>
        <v>Draconic Resurrection III</v>
      </c>
      <c r="R35" s="735"/>
    </row>
    <row r="36" spans="1:18" ht="7.5" customHeight="1" x14ac:dyDescent="0.2">
      <c r="A36" t="s">
        <v>10763</v>
      </c>
    </row>
    <row r="37" spans="1:18" ht="22.5" customHeight="1" x14ac:dyDescent="0.2">
      <c r="B37" s="729" t="e" vm="333">
        <f>_xlfn.IMAGE("https://natalie.tf/wp-content/uploads/2023/10/DLV3_Icon_WP_"&amp;G38&amp;"_01.png")</f>
        <v>#VALUE!</v>
      </c>
      <c r="D37" s="730" t="e" vm="333">
        <f>_xlfn.IMAGE("https://natalie.tf/wp-content/uploads/2023/10/DLV3_Icon_WP_"&amp;G38&amp;"_01.png")</f>
        <v>#VALUE!</v>
      </c>
      <c r="F37" s="717" t="str">
        <f>+INDEX(WP!$A:$AN,MATCH(F38,WP!$B:$B,0),MATCH("Name",WP!$A$2:$AN$2,0))</f>
        <v>Savage Hawk (Lance's Boon)</v>
      </c>
      <c r="G37" s="718"/>
      <c r="H37" s="719"/>
      <c r="J37" s="180" t="s">
        <v>10761</v>
      </c>
      <c r="K37" s="201">
        <f>+INDEX(WP!$A:$AN,MATCH(F38,WP!$B:$B,0),5)</f>
        <v>9</v>
      </c>
      <c r="L37" s="202">
        <f>+INDEX(WP!$A:$AN,MATCH(F38,WP!$B:$B,0),6)</f>
        <v>44</v>
      </c>
      <c r="M37" s="202">
        <f>+INDEX(WP!$A:$AN,MATCH(F38,WP!$B:$B,0),7)</f>
        <v>25</v>
      </c>
      <c r="N37" s="202" t="e" vm="340">
        <f>IFERROR(_xlfn.IMAGE("https://natalie.tf/wp-content/uploads/2023/11/DLV3_Icon_Affinity_"&amp;O37&amp;".png"),"")</f>
        <v>#VALUE!</v>
      </c>
      <c r="O37" s="203" t="str">
        <f>IF(INDEX(WP!$A:$AN,MATCH(F38,WP!$B:$B,0),8)=0,"None",INDEX(WP!$A:$AN,MATCH(F38,WP!$B:$B,0),8))</f>
        <v>Lance</v>
      </c>
      <c r="P37" s="8" t="e" vm="327">
        <f>_xlfn.IMAGE("https://natalie.tf/wp-content/uploads/2023/10/DLV3_Icon_Ability_"&amp;INDEX('WP-A'!$A$1:$Z$498,MATCH('WP-Print'!Q37,'WP-A'!$A:$A,0),MATCH("Icon",'WP-A'!$A$1:$Z$1,0))&amp;".png")</f>
        <v>#VALUE!</v>
      </c>
      <c r="Q37" s="231" t="str">
        <f>+INDEX(WP!$A:$AN,MATCH(F38,WP!$B:$B,0),MATCH("Ability",WP!$A$2:$AN$2,0))</f>
        <v>Sword's Psalm III</v>
      </c>
      <c r="R37" s="734" t="str">
        <f>+INDEX(WP!$A:$AN,MATCH(F38,WP!$B:$B,0),MATCH("Obtain From",WP!$A$2:$AN$2,0))</f>
        <v>Clear Iblis's Surging Cascade: Standard (Rise of the Sinister Dominion)</v>
      </c>
    </row>
    <row r="38" spans="1:18" ht="22.5" customHeight="1" x14ac:dyDescent="0.2">
      <c r="A38" s="204" t="str">
        <f>TEXT(A35+1,"000")</f>
        <v>012</v>
      </c>
      <c r="B38" s="729"/>
      <c r="C38" s="8"/>
      <c r="D38" s="729"/>
      <c r="E38" s="8"/>
      <c r="F38" s="200" t="str">
        <f>"WP-"&amp;A38</f>
        <v>WP-012</v>
      </c>
      <c r="G38" s="200">
        <f>+INDEX(WP!$A:$AN,MATCH(F38,WP!$B:$B,0),MATCH("ID",WP!$A$2:$AN$2,0))</f>
        <v>400214</v>
      </c>
      <c r="I38" s="8"/>
      <c r="J38" s="180" t="s">
        <v>10762</v>
      </c>
      <c r="K38" s="201">
        <f>+INDEX(WP!$A:$AN,MATCH(F38,WP!$B:$B,0),14)</f>
        <v>9</v>
      </c>
      <c r="L38" s="202">
        <f>+INDEX(WP!$A:$AN,MATCH(F38,WP!$B:$B,0),15)</f>
        <v>100</v>
      </c>
      <c r="M38" s="202">
        <f>+INDEX(WP!$A:$AN,MATCH(F38,WP!$B:$B,0),16)</f>
        <v>70</v>
      </c>
      <c r="N38" s="202" t="e" vm="340">
        <f>IFERROR(_xlfn.IMAGE("https://natalie.tf/wp-content/uploads/2023/11/DLV3_Icon_Affinity_"&amp;O38&amp;".png"),"")</f>
        <v>#VALUE!</v>
      </c>
      <c r="O38" s="203" t="str">
        <f>+INDEX(WP!$A:$AN,MATCH(F38,WP!$B:$B,0),17)</f>
        <v>Lance</v>
      </c>
      <c r="P38" s="8" t="e" vm="327">
        <f>_xlfn.IMAGE("https://natalie.tf/wp-content/uploads/2023/10/DLV3_Icon_Ability_"&amp;INDEX('WP-A'!$A$1:$Z$498,MATCH('WP-Print'!Q38,'WP-A'!$A:$A,0),MATCH("Icon",'WP-A'!$A$1:$Z$1,0))&amp;".png")</f>
        <v>#VALUE!</v>
      </c>
      <c r="Q38" s="231" t="str">
        <f>+INDEX(WP!$A:$AN,MATCH(F38,WP!$B:$B,0),MATCH("Ability V3",WP!$A$2:$AN$2,0))</f>
        <v>Sword's Psalm III</v>
      </c>
      <c r="R38" s="735"/>
    </row>
    <row r="39" spans="1:18" ht="7.5" customHeight="1" x14ac:dyDescent="0.2">
      <c r="A39" t="s">
        <v>10763</v>
      </c>
    </row>
    <row r="40" spans="1:18" ht="22.5" customHeight="1" x14ac:dyDescent="0.2">
      <c r="B40" s="729" t="e" vm="335">
        <f>_xlfn.IMAGE("https://natalie.tf/wp-content/uploads/2023/10/DLV3_Icon_WP_"&amp;G41&amp;"_01.png")</f>
        <v>#VALUE!</v>
      </c>
      <c r="D40" s="730" t="e" vm="335">
        <f>_xlfn.IMAGE("https://natalie.tf/wp-content/uploads/2023/10/DLV3_Icon_WP_"&amp;G41&amp;"_01.png")</f>
        <v>#VALUE!</v>
      </c>
      <c r="F40" s="717" t="str">
        <f>+INDEX(WP!$A:$AN,MATCH(F41,WP!$B:$B,0),MATCH("Name",WP!$A$2:$AN$2,0))</f>
        <v>A Mercenary's Pride (Eagle's Boon)</v>
      </c>
      <c r="G40" s="718"/>
      <c r="H40" s="719"/>
      <c r="J40" s="180" t="s">
        <v>10761</v>
      </c>
      <c r="K40" s="201">
        <f>+INDEX(WP!$A:$AN,MATCH(F41,WP!$B:$B,0),5)</f>
        <v>9</v>
      </c>
      <c r="L40" s="202">
        <f>+INDEX(WP!$A:$AN,MATCH(F41,WP!$B:$B,0),6)</f>
        <v>44</v>
      </c>
      <c r="M40" s="202">
        <f>+INDEX(WP!$A:$AN,MATCH(F41,WP!$B:$B,0),7)</f>
        <v>25</v>
      </c>
      <c r="N40" s="202" t="e" vm="344">
        <f>IFERROR(_xlfn.IMAGE("https://natalie.tf/wp-content/uploads/2023/11/DLV3_Icon_Affinity_"&amp;O40&amp;".png"),"")</f>
        <v>#VALUE!</v>
      </c>
      <c r="O40" s="203" t="str">
        <f>IF(INDEX(WP!$A:$AN,MATCH(F41,WP!$B:$B,0),8)=0,"None",INDEX(WP!$A:$AN,MATCH(F41,WP!$B:$B,0),8))</f>
        <v>Eagle</v>
      </c>
      <c r="P40" s="8" t="e" vm="322">
        <f>_xlfn.IMAGE("https://natalie.tf/wp-content/uploads/2023/10/DLV3_Icon_Ability_"&amp;INDEX('WP-A'!$A$1:$Z$498,MATCH('WP-Print'!Q40,'WP-A'!$A:$A,0),MATCH("Icon",'WP-A'!$A$1:$Z$1,0))&amp;".png")</f>
        <v>#VALUE!</v>
      </c>
      <c r="Q40" s="231" t="str">
        <f>+INDEX(WP!$A:$AN,MATCH(F41,WP!$B:$B,0),MATCH("Ability",WP!$A$2:$AN$2,0))</f>
        <v>Skill Damage +20%</v>
      </c>
      <c r="R40" s="734" t="str">
        <f>+INDEX(WP!$A:$AN,MATCH(F41,WP!$B:$B,0),MATCH("Obtain From",WP!$A$2:$AN$2,0))</f>
        <v>Clear Asura's Blinding Light: Standard (Rise of the Sinister Dominion)</v>
      </c>
    </row>
    <row r="41" spans="1:18" ht="22.5" customHeight="1" x14ac:dyDescent="0.2">
      <c r="A41" s="204" t="str">
        <f>TEXT(A38+1,"000")</f>
        <v>013</v>
      </c>
      <c r="B41" s="729"/>
      <c r="C41" s="8"/>
      <c r="D41" s="729"/>
      <c r="E41" s="8"/>
      <c r="F41" s="200" t="str">
        <f>"WP-"&amp;A41</f>
        <v>WP-013</v>
      </c>
      <c r="G41" s="200">
        <f>+INDEX(WP!$A:$AN,MATCH(F41,WP!$B:$B,0),MATCH("ID",WP!$A$2:$AN$2,0))</f>
        <v>400179</v>
      </c>
      <c r="I41" s="8"/>
      <c r="J41" s="180" t="s">
        <v>10762</v>
      </c>
      <c r="K41" s="201">
        <f>+INDEX(WP!$A:$AN,MATCH(F41,WP!$B:$B,0),14)</f>
        <v>9</v>
      </c>
      <c r="L41" s="202">
        <f>+INDEX(WP!$A:$AN,MATCH(F41,WP!$B:$B,0),15)</f>
        <v>100</v>
      </c>
      <c r="M41" s="202">
        <f>+INDEX(WP!$A:$AN,MATCH(F41,WP!$B:$B,0),16)</f>
        <v>70</v>
      </c>
      <c r="N41" s="202" t="e" vm="344">
        <f>IFERROR(_xlfn.IMAGE("https://natalie.tf/wp-content/uploads/2023/11/DLV3_Icon_Affinity_"&amp;O41&amp;".png"),"")</f>
        <v>#VALUE!</v>
      </c>
      <c r="O41" s="203" t="str">
        <f>+INDEX(WP!$A:$AN,MATCH(F41,WP!$B:$B,0),17)</f>
        <v>Eagle</v>
      </c>
      <c r="P41" s="8" t="e" vm="322">
        <f>_xlfn.IMAGE("https://natalie.tf/wp-content/uploads/2023/10/DLV3_Icon_Ability_"&amp;INDEX('WP-A'!$A$1:$Z$498,MATCH('WP-Print'!Q41,'WP-A'!$A:$A,0),MATCH("Icon",'WP-A'!$A$1:$Z$1,0))&amp;".png")</f>
        <v>#VALUE!</v>
      </c>
      <c r="Q41" s="231" t="str">
        <f>+INDEX(WP!$A:$AN,MATCH(F41,WP!$B:$B,0),MATCH("Ability V3",WP!$A$2:$AN$2,0))</f>
        <v>Skill Damage +20%</v>
      </c>
      <c r="R41" s="735"/>
    </row>
    <row r="42" spans="1:18" ht="7.5" customHeight="1" x14ac:dyDescent="0.2">
      <c r="A42" t="s">
        <v>10763</v>
      </c>
    </row>
    <row r="43" spans="1:18" ht="22.5" customHeight="1" x14ac:dyDescent="0.2">
      <c r="B43" s="729" t="e" vm="336">
        <f>_xlfn.IMAGE("https://natalie.tf/wp-content/uploads/2023/10/DLV3_Icon_WP_"&amp;G44&amp;"_01.png")</f>
        <v>#VALUE!</v>
      </c>
      <c r="D43" s="730" t="e" vm="336">
        <f>_xlfn.IMAGE("https://natalie.tf/wp-content/uploads/2023/10/DLV3_Icon_WP_"&amp;G44&amp;"_01.png")</f>
        <v>#VALUE!</v>
      </c>
      <c r="F43" s="717" t="str">
        <f>+INDEX(WP!$A:$AN,MATCH(F44,WP!$B:$B,0),MATCH("Name",WP!$A$2:$AN$2,0))</f>
        <v>Recital Invitation (Bull's Boon)</v>
      </c>
      <c r="G43" s="718"/>
      <c r="H43" s="719"/>
      <c r="J43" s="180" t="s">
        <v>10761</v>
      </c>
      <c r="K43" s="201">
        <f>+INDEX(WP!$A:$AN,MATCH(F44,WP!$B:$B,0),5)</f>
        <v>9</v>
      </c>
      <c r="L43" s="202">
        <f>+INDEX(WP!$A:$AN,MATCH(F44,WP!$B:$B,0),6)</f>
        <v>44</v>
      </c>
      <c r="M43" s="202">
        <f>+INDEX(WP!$A:$AN,MATCH(F44,WP!$B:$B,0),7)</f>
        <v>25</v>
      </c>
      <c r="N43" s="202" t="e" vm="346">
        <f>IFERROR(_xlfn.IMAGE("https://natalie.tf/wp-content/uploads/2023/11/DLV3_Icon_Affinity_"&amp;O43&amp;".png"),"")</f>
        <v>#VALUE!</v>
      </c>
      <c r="O43" s="203" t="str">
        <f>IF(INDEX(WP!$A:$AN,MATCH(F44,WP!$B:$B,0),8)=0,"None",INDEX(WP!$A:$AN,MATCH(F44,WP!$B:$B,0),8))</f>
        <v>Bull</v>
      </c>
      <c r="P43" s="8" t="e" vm="330">
        <f>_xlfn.IMAGE("https://natalie.tf/wp-content/uploads/2023/10/DLV3_Icon_Ability_"&amp;INDEX('WP-A'!$A$1:$Z$498,MATCH('WP-Print'!Q43,'WP-A'!$A:$A,0),MATCH("Icon",'WP-A'!$A$1:$Z$1,0))&amp;".png")</f>
        <v>#VALUE!</v>
      </c>
      <c r="Q43" s="231" t="str">
        <f>+INDEX(WP!$A:$AN,MATCH(F44,WP!$B:$B,0),MATCH("Ability",WP!$A$2:$AN$2,0))</f>
        <v>Skill Haste +4%</v>
      </c>
      <c r="R43" s="734" t="str">
        <f>+INDEX(WP!$A:$AN,MATCH(F44,WP!$B:$B,0),MATCH("Obtain From",WP!$A$2:$AN$2,0))</f>
        <v>Clear Asura's Blinding Light: Expert (Rise of the Sinister Dominion)</v>
      </c>
    </row>
    <row r="44" spans="1:18" ht="22.5" customHeight="1" x14ac:dyDescent="0.2">
      <c r="A44" s="204" t="str">
        <f>TEXT(A41+1,"000")</f>
        <v>014</v>
      </c>
      <c r="B44" s="729"/>
      <c r="C44" s="8"/>
      <c r="D44" s="729"/>
      <c r="E44" s="8"/>
      <c r="F44" s="200" t="str">
        <f>"WP-"&amp;A44</f>
        <v>WP-014</v>
      </c>
      <c r="G44" s="200">
        <f>+INDEX(WP!$A:$AN,MATCH(F44,WP!$B:$B,0),MATCH("ID",WP!$A$2:$AN$2,0))</f>
        <v>400261</v>
      </c>
      <c r="I44" s="8"/>
      <c r="J44" s="180" t="s">
        <v>10762</v>
      </c>
      <c r="K44" s="201">
        <f>+INDEX(WP!$A:$AN,MATCH(F44,WP!$B:$B,0),14)</f>
        <v>9</v>
      </c>
      <c r="L44" s="202">
        <f>+INDEX(WP!$A:$AN,MATCH(F44,WP!$B:$B,0),15)</f>
        <v>100</v>
      </c>
      <c r="M44" s="202">
        <f>+INDEX(WP!$A:$AN,MATCH(F44,WP!$B:$B,0),16)</f>
        <v>70</v>
      </c>
      <c r="N44" s="202" t="e" vm="346">
        <f>IFERROR(_xlfn.IMAGE("https://natalie.tf/wp-content/uploads/2023/11/DLV3_Icon_Affinity_"&amp;O44&amp;".png"),"")</f>
        <v>#VALUE!</v>
      </c>
      <c r="O44" s="203" t="str">
        <f>+INDEX(WP!$A:$AN,MATCH(F44,WP!$B:$B,0),17)</f>
        <v>Bull</v>
      </c>
      <c r="P44" s="8" t="e" vm="330">
        <f>_xlfn.IMAGE("https://natalie.tf/wp-content/uploads/2023/10/DLV3_Icon_Ability_"&amp;INDEX('WP-A'!$A$1:$Z$498,MATCH('WP-Print'!Q44,'WP-A'!$A:$A,0),MATCH("Icon",'WP-A'!$A$1:$Z$1,0))&amp;".png")</f>
        <v>#VALUE!</v>
      </c>
      <c r="Q44" s="231" t="str">
        <f>+INDEX(WP!$A:$AN,MATCH(F44,WP!$B:$B,0),MATCH("Ability V3",WP!$A$2:$AN$2,0))</f>
        <v>Skill Haste +5%</v>
      </c>
      <c r="R44" s="735"/>
    </row>
    <row r="45" spans="1:18" ht="22.5" customHeight="1" x14ac:dyDescent="0.2">
      <c r="A45" t="s">
        <v>10763</v>
      </c>
    </row>
    <row r="46" spans="1:18" ht="22.5" customHeight="1" x14ac:dyDescent="0.2">
      <c r="B46" s="729" t="e" vm="347">
        <f>_xlfn.IMAGE("https://natalie.tf/wp-content/uploads/2023/10/DLV3_Icon_WP_"&amp;G47&amp;"_01.png")</f>
        <v>#VALUE!</v>
      </c>
      <c r="D46" s="730" t="e" vm="347">
        <f>_xlfn.IMAGE("https://natalie.tf/wp-content/uploads/2023/10/DLV3_Icon_WP_"&amp;G47&amp;"_01.png")</f>
        <v>#VALUE!</v>
      </c>
      <c r="F46" s="731" t="str">
        <f>+INDEX(WP!$A:$AN,MATCH(F47,WP!$B:$B,0),MATCH("Name",WP!$A$2:$AN$2,0))</f>
        <v>Thunderswift Lord's Blade (Axe's Boon)</v>
      </c>
      <c r="G46" s="732"/>
      <c r="H46" s="733"/>
      <c r="J46" s="180" t="s">
        <v>10761</v>
      </c>
      <c r="K46" s="201">
        <f>+INDEX(WP!$A:$AN,MATCH(F47,WP!$B:$B,0),5)</f>
        <v>9</v>
      </c>
      <c r="L46" s="202">
        <f>+INDEX(WP!$A:$AN,MATCH(F47,WP!$B:$B,0),6)</f>
        <v>44</v>
      </c>
      <c r="M46" s="202">
        <f>+INDEX(WP!$A:$AN,MATCH(F47,WP!$B:$B,0),7)</f>
        <v>25</v>
      </c>
      <c r="N46" s="202" t="e" vm="343">
        <f>IFERROR(_xlfn.IMAGE("https://natalie.tf/wp-content/uploads/2023/11/DLV3_Icon_Affinity_"&amp;O46&amp;".png"),"")</f>
        <v>#VALUE!</v>
      </c>
      <c r="O46" s="203" t="str">
        <f>IF(INDEX(WP!$A:$AN,MATCH(F47,WP!$B:$B,0),8)=0,"None",INDEX(WP!$A:$AN,MATCH(F47,WP!$B:$B,0),8))</f>
        <v>Axe</v>
      </c>
      <c r="P46" s="8" t="e" vm="322">
        <f>_xlfn.IMAGE("https://natalie.tf/wp-content/uploads/2023/10/DLV3_Icon_Ability_"&amp;INDEX('WP-A'!$A$1:$Z$498,MATCH('WP-Print'!Q46,'WP-A'!$A:$A,0),MATCH("Icon",'WP-A'!$A$1:$Z$1,0))&amp;".png")</f>
        <v>#VALUE!</v>
      </c>
      <c r="Q46" s="231" t="str">
        <f>+INDEX(WP!$A:$AN,MATCH(F47,WP!$B:$B,0),MATCH("Ability",WP!$A$2:$AN$2,0))</f>
        <v>Flash of Desperation III</v>
      </c>
      <c r="R46" s="734" t="str">
        <f>+INDEX(WP!$A:$AN,MATCH(F47,WP!$B:$B,0),MATCH("Obtain From",WP!$A$2:$AN$2,0))</f>
        <v>Clear Asura's Blinding Light: Expert (Rise of the Sinister Dominion)</v>
      </c>
    </row>
    <row r="47" spans="1:18" ht="22.5" customHeight="1" x14ac:dyDescent="0.2">
      <c r="A47" s="204" t="str">
        <f>TEXT(A44+1,"000")</f>
        <v>015</v>
      </c>
      <c r="B47" s="729"/>
      <c r="C47" s="8"/>
      <c r="D47" s="729"/>
      <c r="E47" s="8"/>
      <c r="F47" s="200" t="str">
        <f>"WP-"&amp;A47</f>
        <v>WP-015</v>
      </c>
      <c r="G47" s="200">
        <f>+INDEX(WP!$A:$AN,MATCH(F47,WP!$B:$B,0),MATCH("ID",WP!$A$2:$AN$2,0))</f>
        <v>400301</v>
      </c>
      <c r="I47" s="8"/>
      <c r="J47" s="180" t="s">
        <v>10762</v>
      </c>
      <c r="K47" s="201">
        <f>+INDEX(WP!$A:$AN,MATCH(F47,WP!$B:$B,0),14)</f>
        <v>9</v>
      </c>
      <c r="L47" s="202">
        <f>+INDEX(WP!$A:$AN,MATCH(F47,WP!$B:$B,0),15)</f>
        <v>100</v>
      </c>
      <c r="M47" s="202">
        <f>+INDEX(WP!$A:$AN,MATCH(F47,WP!$B:$B,0),16)</f>
        <v>70</v>
      </c>
      <c r="N47" s="202" t="e" vm="343">
        <f>IFERROR(_xlfn.IMAGE("https://natalie.tf/wp-content/uploads/2023/11/DLV3_Icon_Affinity_"&amp;O47&amp;".png"),"")</f>
        <v>#VALUE!</v>
      </c>
      <c r="O47" s="203" t="str">
        <f>+INDEX(WP!$A:$AN,MATCH(F47,WP!$B:$B,0),17)</f>
        <v>Axe</v>
      </c>
      <c r="P47" s="8" t="e" vm="322">
        <f>_xlfn.IMAGE("https://natalie.tf/wp-content/uploads/2023/10/DLV3_Icon_Ability_"&amp;INDEX('WP-A'!$A$1:$Z$498,MATCH('WP-Print'!Q47,'WP-A'!$A:$A,0),MATCH("Icon",'WP-A'!$A$1:$Z$1,0))&amp;".png")</f>
        <v>#VALUE!</v>
      </c>
      <c r="Q47" s="231" t="str">
        <f>+INDEX(WP!$A:$AN,MATCH(F47,WP!$B:$B,0),MATCH("Ability V3",WP!$A$2:$AN$2,0))</f>
        <v>Flash of Desperation III</v>
      </c>
      <c r="R47" s="735"/>
    </row>
    <row r="48" spans="1:18" ht="7.5" customHeight="1" x14ac:dyDescent="0.2">
      <c r="A48" t="s">
        <v>10763</v>
      </c>
    </row>
    <row r="49" spans="1:18" ht="22.5" customHeight="1" x14ac:dyDescent="0.2">
      <c r="B49" s="729" t="e" vm="348">
        <f>_xlfn.IMAGE("https://natalie.tf/wp-content/uploads/2023/10/DLV3_Icon_WP_"&amp;G50&amp;"_01.png")</f>
        <v>#VALUE!</v>
      </c>
      <c r="D49" s="730" t="e" vm="348">
        <f>_xlfn.IMAGE("https://natalie.tf/wp-content/uploads/2023/10/DLV3_Icon_WP_"&amp;G50&amp;"_01.png")</f>
        <v>#VALUE!</v>
      </c>
      <c r="F49" s="731" t="str">
        <f>+INDEX(WP!$A:$AN,MATCH(F50,WP!$B:$B,0),MATCH("Name",WP!$A$2:$AN$2,0))</f>
        <v>Promised Piety (Bow's Boon)</v>
      </c>
      <c r="G49" s="732"/>
      <c r="H49" s="733"/>
      <c r="J49" s="180" t="s">
        <v>10761</v>
      </c>
      <c r="K49" s="201">
        <f>+INDEX(WP!$A:$AN,MATCH(F50,WP!$B:$B,0),5)</f>
        <v>9</v>
      </c>
      <c r="L49" s="202">
        <f>+INDEX(WP!$A:$AN,MATCH(F50,WP!$B:$B,0),6)</f>
        <v>44</v>
      </c>
      <c r="M49" s="202">
        <f>+INDEX(WP!$A:$AN,MATCH(F50,WP!$B:$B,0),7)</f>
        <v>25</v>
      </c>
      <c r="N49" s="202" t="e" vm="342">
        <f>IFERROR(_xlfn.IMAGE("https://natalie.tf/wp-content/uploads/2023/11/DLV3_Icon_Affinity_"&amp;O49&amp;".png"),"")</f>
        <v>#VALUE!</v>
      </c>
      <c r="O49" s="203" t="str">
        <f>IF(INDEX(WP!$A:$AN,MATCH(F50,WP!$B:$B,0),8)=0,"None",INDEX(WP!$A:$AN,MATCH(F50,WP!$B:$B,0),8))</f>
        <v>Bow</v>
      </c>
      <c r="P49" s="8" t="e" vm="349">
        <f>_xlfn.IMAGE("https://natalie.tf/wp-content/uploads/2023/10/DLV3_Icon_Ability_"&amp;INDEX('WP-A'!$A$1:$Z$498,MATCH('WP-Print'!Q49,'WP-A'!$A:$A,0),MATCH("Icon",'WP-A'!$A$1:$Z$1,0))&amp;".png")</f>
        <v>#VALUE!</v>
      </c>
      <c r="Q49" s="231" t="str">
        <f>+INDEX(WP!$A:$AN,MATCH(F50,WP!$B:$B,0),MATCH("Ability",WP!$A$2:$AN$2,0))</f>
        <v>Recovery Potency +8%</v>
      </c>
      <c r="R49" s="734" t="str">
        <f>+INDEX(WP!$A:$AN,MATCH(F50,WP!$B:$B,0),MATCH("Obtain From",WP!$A$2:$AN$2,0))</f>
        <v>Clear Asura's Blinding Light: Master (Rise of the Sinister Dominion)</v>
      </c>
    </row>
    <row r="50" spans="1:18" ht="22.5" customHeight="1" x14ac:dyDescent="0.2">
      <c r="A50" s="204" t="str">
        <f>TEXT(A47+1,"000")</f>
        <v>016</v>
      </c>
      <c r="B50" s="729"/>
      <c r="C50" s="8"/>
      <c r="D50" s="729"/>
      <c r="E50" s="8"/>
      <c r="F50" s="200" t="str">
        <f>"WP-"&amp;A50</f>
        <v>WP-016</v>
      </c>
      <c r="G50" s="200">
        <f>+INDEX(WP!$A:$AN,MATCH(F50,WP!$B:$B,0),MATCH("ID",WP!$A$2:$AN$2,0))</f>
        <v>400226</v>
      </c>
      <c r="I50" s="8"/>
      <c r="J50" s="180" t="s">
        <v>10762</v>
      </c>
      <c r="K50" s="201">
        <f>+INDEX(WP!$A:$AN,MATCH(F50,WP!$B:$B,0),14)</f>
        <v>9</v>
      </c>
      <c r="L50" s="202">
        <f>+INDEX(WP!$A:$AN,MATCH(F50,WP!$B:$B,0),15)</f>
        <v>100</v>
      </c>
      <c r="M50" s="202">
        <f>+INDEX(WP!$A:$AN,MATCH(F50,WP!$B:$B,0),16)</f>
        <v>70</v>
      </c>
      <c r="N50" s="202" t="e" vm="342">
        <f>IFERROR(_xlfn.IMAGE("https://natalie.tf/wp-content/uploads/2023/11/DLV3_Icon_Affinity_"&amp;O50&amp;".png"),"")</f>
        <v>#VALUE!</v>
      </c>
      <c r="O50" s="203" t="str">
        <f>+INDEX(WP!$A:$AN,MATCH(F50,WP!$B:$B,0),17)</f>
        <v>Bow</v>
      </c>
      <c r="P50" s="8" t="e" vm="349">
        <f>_xlfn.IMAGE("https://natalie.tf/wp-content/uploads/2023/10/DLV3_Icon_Ability_"&amp;INDEX('WP-A'!$A$1:$Z$498,MATCH('WP-Print'!Q50,'WP-A'!$A:$A,0),MATCH("Icon",'WP-A'!$A$1:$Z$1,0))&amp;".png")</f>
        <v>#VALUE!</v>
      </c>
      <c r="Q50" s="231" t="str">
        <f>+INDEX(WP!$A:$AN,MATCH(F50,WP!$B:$B,0),MATCH("Ability V3",WP!$A$2:$AN$2,0))</f>
        <v>Recovery Potency +10%</v>
      </c>
      <c r="R50" s="735"/>
    </row>
    <row r="51" spans="1:18" ht="7.5" customHeight="1" x14ac:dyDescent="0.2">
      <c r="A51" t="s">
        <v>10763</v>
      </c>
    </row>
    <row r="52" spans="1:18" ht="22.5" customHeight="1" x14ac:dyDescent="0.2">
      <c r="B52" s="729" t="e" vm="347">
        <f>_xlfn.IMAGE("https://natalie.tf/wp-content/uploads/2023/10/DLV3_Icon_WP_"&amp;G53&amp;"_01.png")</f>
        <v>#VALUE!</v>
      </c>
      <c r="D52" s="730" t="e" vm="347">
        <f>_xlfn.IMAGE("https://natalie.tf/wp-content/uploads/2023/10/DLV3_Icon_WP_"&amp;G53&amp;"_01.png")</f>
        <v>#VALUE!</v>
      </c>
      <c r="F52" s="741" t="str">
        <f>+INDEX(WP!$A:$AN,MATCH(F53,WP!$B:$B,0),MATCH("Name",WP!$A$2:$AN$2,0))</f>
        <v>Thunderswift Lord's Blade (Lance's Boon)</v>
      </c>
      <c r="G52" s="742"/>
      <c r="H52" s="743"/>
      <c r="J52" s="180" t="s">
        <v>10761</v>
      </c>
      <c r="K52" s="201">
        <f>+INDEX(WP!$A:$AN,MATCH(F53,WP!$B:$B,0),5)</f>
        <v>9</v>
      </c>
      <c r="L52" s="202">
        <f>+INDEX(WP!$A:$AN,MATCH(F53,WP!$B:$B,0),6)</f>
        <v>44</v>
      </c>
      <c r="M52" s="202">
        <f>+INDEX(WP!$A:$AN,MATCH(F53,WP!$B:$B,0),7)</f>
        <v>25</v>
      </c>
      <c r="N52" s="202" t="e" vm="340">
        <f>IFERROR(_xlfn.IMAGE("https://natalie.tf/wp-content/uploads/2023/11/DLV3_Icon_Affinity_"&amp;O52&amp;".png"),"")</f>
        <v>#VALUE!</v>
      </c>
      <c r="O52" s="203" t="str">
        <f>IF(INDEX(WP!$A:$AN,MATCH(F53,WP!$B:$B,0),8)=0,"None",INDEX(WP!$A:$AN,MATCH(F53,WP!$B:$B,0),8))</f>
        <v>Lance</v>
      </c>
      <c r="P52" s="8" t="e" vm="322">
        <f>_xlfn.IMAGE("https://natalie.tf/wp-content/uploads/2023/10/DLV3_Icon_Ability_"&amp;INDEX('WP-A'!$A$1:$Z$498,MATCH('WP-Print'!Q52,'WP-A'!$A:$A,0),MATCH("Icon",'WP-A'!$A$1:$Z$1,0))&amp;".png")</f>
        <v>#VALUE!</v>
      </c>
      <c r="Q52" s="231" t="str">
        <f>+INDEX(WP!$A:$AN,MATCH(F53,WP!$B:$B,0),MATCH("Ability",WP!$A$2:$AN$2,0))</f>
        <v>Flash of Desperation III</v>
      </c>
      <c r="R52" s="734" t="str">
        <f>+INDEX(WP!$A:$AN,MATCH(F53,WP!$B:$B,0),MATCH("Obtain From",WP!$A$2:$AN$2,0))</f>
        <v>Clear Asura's Blinding Light: Master (Rise of the Sinister Dominion)</v>
      </c>
    </row>
    <row r="53" spans="1:18" ht="22.5" customHeight="1" x14ac:dyDescent="0.2">
      <c r="A53" s="204" t="str">
        <f>TEXT(A50+1,"000")</f>
        <v>017</v>
      </c>
      <c r="B53" s="729"/>
      <c r="C53" s="8"/>
      <c r="D53" s="729"/>
      <c r="E53" s="8"/>
      <c r="F53" s="200" t="str">
        <f>"WP-"&amp;A53</f>
        <v>WP-017</v>
      </c>
      <c r="G53" s="200">
        <f>+INDEX(WP!$A:$AN,MATCH(F53,WP!$B:$B,0),MATCH("ID",WP!$A$2:$AN$2,0))</f>
        <v>400301</v>
      </c>
      <c r="I53" s="8"/>
      <c r="J53" s="180" t="s">
        <v>10762</v>
      </c>
      <c r="K53" s="201">
        <f>+INDEX(WP!$A:$AN,MATCH(F53,WP!$B:$B,0),14)</f>
        <v>9</v>
      </c>
      <c r="L53" s="202">
        <f>+INDEX(WP!$A:$AN,MATCH(F53,WP!$B:$B,0),15)</f>
        <v>100</v>
      </c>
      <c r="M53" s="202">
        <f>+INDEX(WP!$A:$AN,MATCH(F53,WP!$B:$B,0),16)</f>
        <v>70</v>
      </c>
      <c r="N53" s="202" t="e" vm="340">
        <f>IFERROR(_xlfn.IMAGE("https://natalie.tf/wp-content/uploads/2023/11/DLV3_Icon_Affinity_"&amp;O53&amp;".png"),"")</f>
        <v>#VALUE!</v>
      </c>
      <c r="O53" s="203" t="str">
        <f>+INDEX(WP!$A:$AN,MATCH(F53,WP!$B:$B,0),17)</f>
        <v>Lance</v>
      </c>
      <c r="P53" s="8" t="e" vm="322">
        <f>_xlfn.IMAGE("https://natalie.tf/wp-content/uploads/2023/10/DLV3_Icon_Ability_"&amp;INDEX('WP-A'!$A$1:$Z$498,MATCH('WP-Print'!Q53,'WP-A'!$A:$A,0),MATCH("Icon",'WP-A'!$A$1:$Z$1,0))&amp;".png")</f>
        <v>#VALUE!</v>
      </c>
      <c r="Q53" s="231" t="str">
        <f>+INDEX(WP!$A:$AN,MATCH(F53,WP!$B:$B,0),MATCH("Ability V3",WP!$A$2:$AN$2,0))</f>
        <v>Flash of Desperation III</v>
      </c>
      <c r="R53" s="735"/>
    </row>
    <row r="54" spans="1:18" ht="7.5" customHeight="1" x14ac:dyDescent="0.2">
      <c r="A54" t="s">
        <v>10763</v>
      </c>
    </row>
    <row r="55" spans="1:18" ht="22.5" customHeight="1" x14ac:dyDescent="0.2">
      <c r="B55" s="729" t="e" vm="348">
        <f>_xlfn.IMAGE("https://natalie.tf/wp-content/uploads/2023/10/DLV3_Icon_WP_"&amp;G56&amp;"_01.png")</f>
        <v>#VALUE!</v>
      </c>
      <c r="D55" s="730" t="e" vm="348">
        <f>_xlfn.IMAGE("https://natalie.tf/wp-content/uploads/2023/10/DLV3_Icon_WP_"&amp;G56&amp;"_01.png")</f>
        <v>#VALUE!</v>
      </c>
      <c r="F55" s="717" t="str">
        <f>+INDEX(WP!$A:$AN,MATCH(F56,WP!$B:$B,0),MATCH("Name",WP!$A$2:$AN$2,0))</f>
        <v>Promised Piety (Staff's Boon)</v>
      </c>
      <c r="G55" s="718"/>
      <c r="H55" s="719"/>
      <c r="J55" s="180" t="s">
        <v>10761</v>
      </c>
      <c r="K55" s="201">
        <f>+INDEX(WP!$A:$AN,MATCH(F56,WP!$B:$B,0),5)</f>
        <v>9</v>
      </c>
      <c r="L55" s="202">
        <f>+INDEX(WP!$A:$AN,MATCH(F56,WP!$B:$B,0),6)</f>
        <v>44</v>
      </c>
      <c r="M55" s="202">
        <f>+INDEX(WP!$A:$AN,MATCH(F56,WP!$B:$B,0),7)</f>
        <v>25</v>
      </c>
      <c r="N55" s="202" t="e" vm="345">
        <f>IFERROR(_xlfn.IMAGE("https://natalie.tf/wp-content/uploads/2023/11/DLV3_Icon_Affinity_"&amp;O55&amp;".png"),"")</f>
        <v>#VALUE!</v>
      </c>
      <c r="O55" s="203" t="str">
        <f>IF(INDEX(WP!$A:$AN,MATCH(F56,WP!$B:$B,0),8)=0,"None",INDEX(WP!$A:$AN,MATCH(F56,WP!$B:$B,0),8))</f>
        <v>Staff</v>
      </c>
      <c r="P55" s="8" t="e" vm="350">
        <f>_xlfn.IMAGE("https://natalie.tf/wp-content/uploads/2023/10/DLV3_Icon_Ability_"&amp;INDEX('WP-A'!$A$1:$Z$498,MATCH('WP-Print'!Q55,'WP-A'!$A:$A,0),MATCH("Icon",'WP-A'!$A$1:$Z$1,0))&amp;".png")</f>
        <v>#VALUE!</v>
      </c>
      <c r="Q55" s="231" t="str">
        <f>+INDEX(WP!$A:$AN,MATCH(F56,WP!$B:$B,0),MATCH("Ability",WP!$A$2:$AN$2,0))</f>
        <v>Bow's Psalm III</v>
      </c>
      <c r="R55" s="734" t="str">
        <f>+INDEX(WP!$A:$AN,MATCH(F56,WP!$B:$B,0),MATCH("Obtain From",WP!$A$2:$AN$2,0))</f>
        <v>Clear Lilith's Encroaching Shadow: Standard (Rise of the Sinister Dominion)</v>
      </c>
    </row>
    <row r="56" spans="1:18" ht="22.5" customHeight="1" x14ac:dyDescent="0.2">
      <c r="A56" s="204" t="str">
        <f>TEXT(A53+1,"000")</f>
        <v>018</v>
      </c>
      <c r="B56" s="729"/>
      <c r="C56" s="8"/>
      <c r="D56" s="729"/>
      <c r="E56" s="8"/>
      <c r="F56" s="200" t="str">
        <f>"WP-"&amp;A56</f>
        <v>WP-018</v>
      </c>
      <c r="G56" s="200">
        <f>+INDEX(WP!$A:$AN,MATCH(F56,WP!$B:$B,0),MATCH("ID",WP!$A$2:$AN$2,0))</f>
        <v>400226</v>
      </c>
      <c r="I56" s="8"/>
      <c r="J56" s="180" t="s">
        <v>10762</v>
      </c>
      <c r="K56" s="201">
        <f>+INDEX(WP!$A:$AN,MATCH(F56,WP!$B:$B,0),14)</f>
        <v>9</v>
      </c>
      <c r="L56" s="202">
        <f>+INDEX(WP!$A:$AN,MATCH(F56,WP!$B:$B,0),15)</f>
        <v>100</v>
      </c>
      <c r="M56" s="202">
        <f>+INDEX(WP!$A:$AN,MATCH(F56,WP!$B:$B,0),16)</f>
        <v>70</v>
      </c>
      <c r="N56" s="202" t="e" vm="345">
        <f>IFERROR(_xlfn.IMAGE("https://natalie.tf/wp-content/uploads/2023/11/DLV3_Icon_Affinity_"&amp;O56&amp;".png"),"")</f>
        <v>#VALUE!</v>
      </c>
      <c r="O56" s="203" t="str">
        <f>+INDEX(WP!$A:$AN,MATCH(F56,WP!$B:$B,0),17)</f>
        <v>Staff</v>
      </c>
      <c r="P56" s="8" t="e" vm="350">
        <f>_xlfn.IMAGE("https://natalie.tf/wp-content/uploads/2023/10/DLV3_Icon_Ability_"&amp;INDEX('WP-A'!$A$1:$Z$498,MATCH('WP-Print'!Q56,'WP-A'!$A:$A,0),MATCH("Icon",'WP-A'!$A$1:$Z$1,0))&amp;".png")</f>
        <v>#VALUE!</v>
      </c>
      <c r="Q56" s="231" t="str">
        <f>+INDEX(WP!$A:$AN,MATCH(F56,WP!$B:$B,0),MATCH("Ability V3",WP!$A$2:$AN$2,0))</f>
        <v>Bow's Psalm III</v>
      </c>
      <c r="R56" s="735"/>
    </row>
    <row r="57" spans="1:18" ht="7.5" customHeight="1" x14ac:dyDescent="0.2">
      <c r="A57" t="s">
        <v>10763</v>
      </c>
    </row>
    <row r="58" spans="1:18" ht="22.5" customHeight="1" x14ac:dyDescent="0.2">
      <c r="B58" s="729" t="e" vm="351">
        <f>_xlfn.IMAGE("https://natalie.tf/wp-content/uploads/2023/10/DLV3_Icon_WP_"&amp;G59&amp;"_01.png")</f>
        <v>#VALUE!</v>
      </c>
      <c r="D58" s="730" t="e" vm="351">
        <f>_xlfn.IMAGE("https://natalie.tf/wp-content/uploads/2023/10/DLV3_Icon_WP_"&amp;G59&amp;"_01.png")</f>
        <v>#VALUE!</v>
      </c>
      <c r="F58" s="717" t="str">
        <f>+INDEX(WP!$A:$AN,MATCH(F59,WP!$B:$B,0),MATCH("Name",WP!$A$2:$AN$2,0))</f>
        <v>Testament of Eternity (Fish's Boon)</v>
      </c>
      <c r="G58" s="718"/>
      <c r="H58" s="719"/>
      <c r="J58" s="180" t="s">
        <v>10761</v>
      </c>
      <c r="K58" s="201">
        <f>+INDEX(WP!$A:$AN,MATCH(F59,WP!$B:$B,0),5)</f>
        <v>9</v>
      </c>
      <c r="L58" s="202">
        <f>+INDEX(WP!$A:$AN,MATCH(F59,WP!$B:$B,0),6)</f>
        <v>44</v>
      </c>
      <c r="M58" s="202">
        <f>+INDEX(WP!$A:$AN,MATCH(F59,WP!$B:$B,0),7)</f>
        <v>25</v>
      </c>
      <c r="N58" s="202" t="e" vm="352">
        <f>IFERROR(_xlfn.IMAGE("https://natalie.tf/wp-content/uploads/2023/11/DLV3_Icon_Affinity_"&amp;O58&amp;".png"),"")</f>
        <v>#VALUE!</v>
      </c>
      <c r="O58" s="203" t="str">
        <f>IF(INDEX(WP!$A:$AN,MATCH(F59,WP!$B:$B,0),8)=0,"None",INDEX(WP!$A:$AN,MATCH(F59,WP!$B:$B,0),8))</f>
        <v>Fish</v>
      </c>
      <c r="P58" s="8" t="e" vm="322">
        <f>_xlfn.IMAGE("https://natalie.tf/wp-content/uploads/2023/10/DLV3_Icon_Ability_"&amp;INDEX('WP-A'!$A$1:$Z$498,MATCH('WP-Print'!Q58,'WP-A'!$A:$A,0),MATCH("Icon",'WP-A'!$A$1:$Z$1,0))&amp;".png")</f>
        <v>#VALUE!</v>
      </c>
      <c r="Q58" s="231" t="str">
        <f>+INDEX(WP!$A:$AN,MATCH(F59,WP!$B:$B,0),MATCH("Ability",WP!$A$2:$AN$2,0))</f>
        <v>Skill Damage +20%</v>
      </c>
      <c r="R58" s="734" t="str">
        <f>+INDEX(WP!$A:$AN,MATCH(F59,WP!$B:$B,0),MATCH("Obtain From",WP!$A$2:$AN$2,0))</f>
        <v>Clear Iblis's Surging Cascade: Standard (Rise of the Sinister Dominion)</v>
      </c>
    </row>
    <row r="59" spans="1:18" ht="22.5" customHeight="1" x14ac:dyDescent="0.2">
      <c r="A59" s="204" t="str">
        <f>TEXT(A56+1,"000")</f>
        <v>019</v>
      </c>
      <c r="B59" s="729"/>
      <c r="C59" s="8"/>
      <c r="D59" s="729"/>
      <c r="E59" s="8"/>
      <c r="F59" s="200" t="str">
        <f>"WP-"&amp;A59</f>
        <v>WP-019</v>
      </c>
      <c r="G59" s="200">
        <f>+INDEX(WP!$A:$AN,MATCH(F59,WP!$B:$B,0),MATCH("ID",WP!$A$2:$AN$2,0))</f>
        <v>400180</v>
      </c>
      <c r="I59" s="8"/>
      <c r="J59" s="180" t="s">
        <v>10762</v>
      </c>
      <c r="K59" s="201">
        <f>+INDEX(WP!$A:$AN,MATCH(F59,WP!$B:$B,0),14)</f>
        <v>9</v>
      </c>
      <c r="L59" s="202">
        <f>+INDEX(WP!$A:$AN,MATCH(F59,WP!$B:$B,0),15)</f>
        <v>100</v>
      </c>
      <c r="M59" s="202">
        <f>+INDEX(WP!$A:$AN,MATCH(F59,WP!$B:$B,0),16)</f>
        <v>70</v>
      </c>
      <c r="N59" s="202" t="e" vm="352">
        <f>IFERROR(_xlfn.IMAGE("https://natalie.tf/wp-content/uploads/2023/11/DLV3_Icon_Affinity_"&amp;O59&amp;".png"),"")</f>
        <v>#VALUE!</v>
      </c>
      <c r="O59" s="203" t="str">
        <f>+INDEX(WP!$A:$AN,MATCH(F59,WP!$B:$B,0),17)</f>
        <v>Fish</v>
      </c>
      <c r="P59" s="8" t="e" vm="322">
        <f>_xlfn.IMAGE("https://natalie.tf/wp-content/uploads/2023/10/DLV3_Icon_Ability_"&amp;INDEX('WP-A'!$A$1:$Z$498,MATCH('WP-Print'!Q59,'WP-A'!$A:$A,0),MATCH("Icon",'WP-A'!$A$1:$Z$1,0))&amp;".png")</f>
        <v>#VALUE!</v>
      </c>
      <c r="Q59" s="231" t="str">
        <f>+INDEX(WP!$A:$AN,MATCH(F59,WP!$B:$B,0),MATCH("Ability V3",WP!$A$2:$AN$2,0))</f>
        <v>Skill Damage +20%</v>
      </c>
      <c r="R59" s="735"/>
    </row>
    <row r="60" spans="1:18" ht="7.5" customHeight="1" x14ac:dyDescent="0.2">
      <c r="A60" t="s">
        <v>10763</v>
      </c>
    </row>
    <row r="61" spans="1:18" ht="22.5" customHeight="1" x14ac:dyDescent="0.2">
      <c r="B61" s="729" t="e" vm="353">
        <f>_xlfn.IMAGE("https://natalie.tf/wp-content/uploads/2023/10/DLV3_Icon_WP_"&amp;G62&amp;"_01.png")</f>
        <v>#VALUE!</v>
      </c>
      <c r="D61" s="730" t="e" vm="353">
        <f>_xlfn.IMAGE("https://natalie.tf/wp-content/uploads/2023/10/DLV3_Icon_WP_"&amp;G62&amp;"_01.png")</f>
        <v>#VALUE!</v>
      </c>
      <c r="F61" s="738" t="str">
        <f>+INDEX(WP!$A:$AN,MATCH(F62,WP!$B:$B,0),MATCH("Name",WP!$A$2:$AN$2,0))</f>
        <v>Treasured Memory of the Sea (Butterfly's Boon)</v>
      </c>
      <c r="G61" s="739"/>
      <c r="H61" s="740"/>
      <c r="J61" s="180" t="s">
        <v>10761</v>
      </c>
      <c r="K61" s="201">
        <f>+INDEX(WP!$A:$AN,MATCH(F62,WP!$B:$B,0),5)</f>
        <v>9</v>
      </c>
      <c r="L61" s="202">
        <f>+INDEX(WP!$A:$AN,MATCH(F62,WP!$B:$B,0),6)</f>
        <v>44</v>
      </c>
      <c r="M61" s="202">
        <f>+INDEX(WP!$A:$AN,MATCH(F62,WP!$B:$B,0),7)</f>
        <v>25</v>
      </c>
      <c r="N61" s="202" t="e" vm="354">
        <f>IFERROR(_xlfn.IMAGE("https://natalie.tf/wp-content/uploads/2023/11/DLV3_Icon_Affinity_"&amp;O61&amp;".png"),"")</f>
        <v>#VALUE!</v>
      </c>
      <c r="O61" s="203" t="str">
        <f>IF(INDEX(WP!$A:$AN,MATCH(F62,WP!$B:$B,0),8)=0,"None",INDEX(WP!$A:$AN,MATCH(F62,WP!$B:$B,0),8))</f>
        <v>Butterfly</v>
      </c>
      <c r="P61" s="8" t="e" vm="330">
        <f>_xlfn.IMAGE("https://natalie.tf/wp-content/uploads/2023/10/DLV3_Icon_Ability_"&amp;INDEX('WP-A'!$A$1:$Z$498,MATCH('WP-Print'!Q61,'WP-A'!$A:$A,0),MATCH("Icon",'WP-A'!$A$1:$Z$1,0))&amp;".png")</f>
        <v>#VALUE!</v>
      </c>
      <c r="Q61" s="231" t="str">
        <f>+INDEX(WP!$A:$AN,MATCH(F62,WP!$B:$B,0),MATCH("Ability",WP!$A$2:$AN$2,0))</f>
        <v>Skill Haste +4%</v>
      </c>
      <c r="R61" s="734" t="str">
        <f>+INDEX(WP!$A:$AN,MATCH(F62,WP!$B:$B,0),MATCH("Obtain From",WP!$A$2:$AN$2,0))</f>
        <v>Clear Iblis's Surging Cascade: Expert (Rise of the Sinister Dominion)</v>
      </c>
    </row>
    <row r="62" spans="1:18" ht="22.5" customHeight="1" x14ac:dyDescent="0.2">
      <c r="A62" s="204" t="str">
        <f>TEXT(A59+1,"000")</f>
        <v>020</v>
      </c>
      <c r="B62" s="729"/>
      <c r="C62" s="8"/>
      <c r="D62" s="729"/>
      <c r="E62" s="8"/>
      <c r="F62" s="200" t="str">
        <f>"WP-"&amp;A62</f>
        <v>WP-020</v>
      </c>
      <c r="G62" s="200">
        <f>+INDEX(WP!$A:$AN,MATCH(F62,WP!$B:$B,0),MATCH("ID",WP!$A$2:$AN$2,0))</f>
        <v>400199</v>
      </c>
      <c r="I62" s="8"/>
      <c r="J62" s="180" t="s">
        <v>10762</v>
      </c>
      <c r="K62" s="201">
        <f>+INDEX(WP!$A:$AN,MATCH(F62,WP!$B:$B,0),14)</f>
        <v>9</v>
      </c>
      <c r="L62" s="202">
        <f>+INDEX(WP!$A:$AN,MATCH(F62,WP!$B:$B,0),15)</f>
        <v>100</v>
      </c>
      <c r="M62" s="202">
        <f>+INDEX(WP!$A:$AN,MATCH(F62,WP!$B:$B,0),16)</f>
        <v>70</v>
      </c>
      <c r="N62" s="202" t="e" vm="354">
        <f>IFERROR(_xlfn.IMAGE("https://natalie.tf/wp-content/uploads/2023/11/DLV3_Icon_Affinity_"&amp;O62&amp;".png"),"")</f>
        <v>#VALUE!</v>
      </c>
      <c r="O62" s="203" t="str">
        <f>+INDEX(WP!$A:$AN,MATCH(F62,WP!$B:$B,0),17)</f>
        <v>Butterfly</v>
      </c>
      <c r="P62" s="8" t="e" vm="330">
        <f>_xlfn.IMAGE("https://natalie.tf/wp-content/uploads/2023/10/DLV3_Icon_Ability_"&amp;INDEX('WP-A'!$A$1:$Z$498,MATCH('WP-Print'!Q62,'WP-A'!$A:$A,0),MATCH("Icon",'WP-A'!$A$1:$Z$1,0))&amp;".png")</f>
        <v>#VALUE!</v>
      </c>
      <c r="Q62" s="231" t="str">
        <f>+INDEX(WP!$A:$AN,MATCH(F62,WP!$B:$B,0),MATCH("Ability V3",WP!$A$2:$AN$2,0))</f>
        <v>Skill Haste +5%</v>
      </c>
      <c r="R62" s="735"/>
    </row>
    <row r="63" spans="1:18" ht="7.5" customHeight="1" x14ac:dyDescent="0.2">
      <c r="A63" t="s">
        <v>10763</v>
      </c>
    </row>
    <row r="64" spans="1:18" ht="22.5" customHeight="1" x14ac:dyDescent="0.2">
      <c r="B64" s="729" t="e" vm="355">
        <f>_xlfn.IMAGE("https://natalie.tf/wp-content/uploads/2023/10/DLV3_Icon_WP_"&amp;G65&amp;"_01.png")</f>
        <v>#VALUE!</v>
      </c>
      <c r="D64" s="730" t="e" vm="355">
        <f>_xlfn.IMAGE("https://natalie.tf/wp-content/uploads/2023/10/DLV3_Icon_WP_"&amp;G65&amp;"_01.png")</f>
        <v>#VALUE!</v>
      </c>
      <c r="F64" s="731" t="str">
        <f>+INDEX(WP!$A:$AN,MATCH(F65,WP!$B:$B,0),MATCH("Name",WP!$A$2:$AN$2,0))</f>
        <v>An Unfreezing Flower (Deer's Boon)</v>
      </c>
      <c r="G64" s="732"/>
      <c r="H64" s="733"/>
      <c r="J64" s="180" t="s">
        <v>10761</v>
      </c>
      <c r="K64" s="201">
        <f>+INDEX(WP!$A:$AN,MATCH(F65,WP!$B:$B,0),5)</f>
        <v>9</v>
      </c>
      <c r="L64" s="202">
        <f>+INDEX(WP!$A:$AN,MATCH(F65,WP!$B:$B,0),6)</f>
        <v>44</v>
      </c>
      <c r="M64" s="202">
        <f>+INDEX(WP!$A:$AN,MATCH(F65,WP!$B:$B,0),7)</f>
        <v>25</v>
      </c>
      <c r="N64" s="202" t="e" vm="356">
        <f>IFERROR(_xlfn.IMAGE("https://natalie.tf/wp-content/uploads/2023/11/DLV3_Icon_Affinity_"&amp;O64&amp;".png"),"")</f>
        <v>#VALUE!</v>
      </c>
      <c r="O64" s="203" t="str">
        <f>IF(INDEX(WP!$A:$AN,MATCH(F65,WP!$B:$B,0),8)=0,"None",INDEX(WP!$A:$AN,MATCH(F65,WP!$B:$B,0),8))</f>
        <v>Deer</v>
      </c>
      <c r="P64" s="8" t="e" vm="322">
        <f>_xlfn.IMAGE("https://natalie.tf/wp-content/uploads/2023/10/DLV3_Icon_Ability_"&amp;INDEX('WP-A'!$A$1:$Z$498,MATCH('WP-Print'!Q64,'WP-A'!$A:$A,0),MATCH("Icon",'WP-A'!$A$1:$Z$1,0))&amp;".png")</f>
        <v>#VALUE!</v>
      </c>
      <c r="Q64" s="231" t="str">
        <f>+INDEX(WP!$A:$AN,MATCH(F65,WP!$B:$B,0),MATCH("Ability",WP!$A$2:$AN$2,0))</f>
        <v>Skill Damage +20%</v>
      </c>
      <c r="R64" s="734" t="str">
        <f>+INDEX(WP!$A:$AN,MATCH(F65,WP!$B:$B,0),MATCH("Obtain From",WP!$A$2:$AN$2,0))</f>
        <v>Clear Iblis's Surging Cascade: Expert (Rise of the Sinister Dominion)</v>
      </c>
    </row>
    <row r="65" spans="1:18" ht="22.5" customHeight="1" x14ac:dyDescent="0.2">
      <c r="A65" s="204" t="str">
        <f>TEXT(A62+1,"000")</f>
        <v>021</v>
      </c>
      <c r="B65" s="729"/>
      <c r="C65" s="8"/>
      <c r="D65" s="729"/>
      <c r="E65" s="8"/>
      <c r="F65" s="200" t="str">
        <f>"WP-"&amp;A65</f>
        <v>WP-021</v>
      </c>
      <c r="G65" s="200">
        <f>+INDEX(WP!$A:$AN,MATCH(F65,WP!$B:$B,0),MATCH("ID",WP!$A$2:$AN$2,0))</f>
        <v>400247</v>
      </c>
      <c r="I65" s="8"/>
      <c r="J65" s="180" t="s">
        <v>10762</v>
      </c>
      <c r="K65" s="201">
        <f>+INDEX(WP!$A:$AN,MATCH(F65,WP!$B:$B,0),14)</f>
        <v>9</v>
      </c>
      <c r="L65" s="202">
        <f>+INDEX(WP!$A:$AN,MATCH(F65,WP!$B:$B,0),15)</f>
        <v>100</v>
      </c>
      <c r="M65" s="202">
        <f>+INDEX(WP!$A:$AN,MATCH(F65,WP!$B:$B,0),16)</f>
        <v>70</v>
      </c>
      <c r="N65" s="202" t="e" vm="356">
        <f>IFERROR(_xlfn.IMAGE("https://natalie.tf/wp-content/uploads/2023/11/DLV3_Icon_Affinity_"&amp;O65&amp;".png"),"")</f>
        <v>#VALUE!</v>
      </c>
      <c r="O65" s="203" t="str">
        <f>+INDEX(WP!$A:$AN,MATCH(F65,WP!$B:$B,0),17)</f>
        <v>Deer</v>
      </c>
      <c r="P65" s="8" t="e" vm="322">
        <f>_xlfn.IMAGE("https://natalie.tf/wp-content/uploads/2023/10/DLV3_Icon_Ability_"&amp;INDEX('WP-A'!$A$1:$Z$498,MATCH('WP-Print'!Q65,'WP-A'!$A:$A,0),MATCH("Icon",'WP-A'!$A$1:$Z$1,0))&amp;".png")</f>
        <v>#VALUE!</v>
      </c>
      <c r="Q65" s="231" t="str">
        <f>+INDEX(WP!$A:$AN,MATCH(F65,WP!$B:$B,0),MATCH("Ability V3",WP!$A$2:$AN$2,0))</f>
        <v>Skill Damage +20%</v>
      </c>
      <c r="R65" s="735"/>
    </row>
    <row r="66" spans="1:18" ht="7.5" customHeight="1" x14ac:dyDescent="0.2">
      <c r="A66" t="s">
        <v>10763</v>
      </c>
    </row>
    <row r="67" spans="1:18" ht="22.5" customHeight="1" x14ac:dyDescent="0.2">
      <c r="B67" s="729" t="e" vm="357">
        <f>_xlfn.IMAGE("https://natalie.tf/wp-content/uploads/2023/10/DLV3_Icon_WP_"&amp;G68&amp;"_01.png")</f>
        <v>#VALUE!</v>
      </c>
      <c r="D67" s="730" t="e" vm="357">
        <f>_xlfn.IMAGE("https://natalie.tf/wp-content/uploads/2023/10/DLV3_Icon_WP_"&amp;G68&amp;"_01.png")</f>
        <v>#VALUE!</v>
      </c>
      <c r="F67" s="717" t="str">
        <f>+INDEX(WP!$A:$AN,MATCH(F68,WP!$B:$B,0),MATCH("Name",WP!$A$2:$AN$2,0))</f>
        <v>A King's Pride (Staff's Boon)</v>
      </c>
      <c r="G67" s="718"/>
      <c r="H67" s="719"/>
      <c r="J67" s="180" t="s">
        <v>10761</v>
      </c>
      <c r="K67" s="201">
        <f>+INDEX(WP!$A:$AN,MATCH(F68,WP!$B:$B,0),5)</f>
        <v>9</v>
      </c>
      <c r="L67" s="202">
        <f>+INDEX(WP!$A:$AN,MATCH(F68,WP!$B:$B,0),6)</f>
        <v>44</v>
      </c>
      <c r="M67" s="202">
        <f>+INDEX(WP!$A:$AN,MATCH(F68,WP!$B:$B,0),7)</f>
        <v>25</v>
      </c>
      <c r="N67" s="202" t="e" vm="345">
        <f>IFERROR(_xlfn.IMAGE("https://natalie.tf/wp-content/uploads/2023/11/DLV3_Icon_Affinity_"&amp;O67&amp;".png"),"")</f>
        <v>#VALUE!</v>
      </c>
      <c r="O67" s="203" t="str">
        <f>IF(INDEX(WP!$A:$AN,MATCH(F68,WP!$B:$B,0),8)=0,"None",INDEX(WP!$A:$AN,MATCH(F68,WP!$B:$B,0),8))</f>
        <v>Staff</v>
      </c>
      <c r="P67" s="8" t="e" vm="358">
        <f>_xlfn.IMAGE("https://natalie.tf/wp-content/uploads/2023/10/DLV3_Icon_Ability_"&amp;INDEX('WP-A'!$A$1:$Z$498,MATCH('WP-Print'!Q67,'WP-A'!$A:$A,0),MATCH("Icon",'WP-A'!$A$1:$Z$1,0))&amp;".png")</f>
        <v>#VALUE!</v>
      </c>
      <c r="Q67" s="231" t="str">
        <f>+INDEX(WP!$A:$AN,MATCH(F68,WP!$B:$B,0),MATCH("Ability",WP!$A$2:$AN$2,0))</f>
        <v>Impregnable Fortress III</v>
      </c>
      <c r="R67" s="734" t="str">
        <f>+INDEX(WP!$A:$AN,MATCH(F68,WP!$B:$B,0),MATCH("Obtain From",WP!$A$2:$AN$2,0))</f>
        <v>Clear Iblis's Surging Cascade: Master (Rise of the Sinister Dominion)</v>
      </c>
    </row>
    <row r="68" spans="1:18" ht="22.5" customHeight="1" x14ac:dyDescent="0.2">
      <c r="A68" s="204" t="str">
        <f>TEXT(A65+1,"000")</f>
        <v>022</v>
      </c>
      <c r="B68" s="729"/>
      <c r="C68" s="8"/>
      <c r="D68" s="729"/>
      <c r="E68" s="8"/>
      <c r="F68" s="200" t="str">
        <f>"WP-"&amp;A68</f>
        <v>WP-022</v>
      </c>
      <c r="G68" s="200">
        <f>+INDEX(WP!$A:$AN,MATCH(F68,WP!$B:$B,0),MATCH("ID",WP!$A$2:$AN$2,0))</f>
        <v>400203</v>
      </c>
      <c r="I68" s="8"/>
      <c r="J68" s="180" t="s">
        <v>10762</v>
      </c>
      <c r="K68" s="201">
        <f>+INDEX(WP!$A:$AN,MATCH(F68,WP!$B:$B,0),14)</f>
        <v>9</v>
      </c>
      <c r="L68" s="202">
        <f>+INDEX(WP!$A:$AN,MATCH(F68,WP!$B:$B,0),15)</f>
        <v>100</v>
      </c>
      <c r="M68" s="202">
        <f>+INDEX(WP!$A:$AN,MATCH(F68,WP!$B:$B,0),16)</f>
        <v>70</v>
      </c>
      <c r="N68" s="202" t="e" vm="345">
        <f>IFERROR(_xlfn.IMAGE("https://natalie.tf/wp-content/uploads/2023/11/DLV3_Icon_Affinity_"&amp;O68&amp;".png"),"")</f>
        <v>#VALUE!</v>
      </c>
      <c r="O68" s="203" t="str">
        <f>+INDEX(WP!$A:$AN,MATCH(F68,WP!$B:$B,0),17)</f>
        <v>Staff</v>
      </c>
      <c r="P68" s="8" t="e" vm="358">
        <f>_xlfn.IMAGE("https://natalie.tf/wp-content/uploads/2023/10/DLV3_Icon_Ability_"&amp;INDEX('WP-A'!$A$1:$Z$498,MATCH('WP-Print'!Q68,'WP-A'!$A:$A,0),MATCH("Icon",'WP-A'!$A$1:$Z$1,0))&amp;".png")</f>
        <v>#VALUE!</v>
      </c>
      <c r="Q68" s="231" t="str">
        <f>+INDEX(WP!$A:$AN,MATCH(F68,WP!$B:$B,0),MATCH("Ability V3",WP!$A$2:$AN$2,0))</f>
        <v>Impregnable Fortress III</v>
      </c>
      <c r="R68" s="735"/>
    </row>
    <row r="69" spans="1:18" ht="7.5" customHeight="1" x14ac:dyDescent="0.2">
      <c r="A69" t="s">
        <v>10763</v>
      </c>
    </row>
    <row r="70" spans="1:18" ht="22.5" customHeight="1" x14ac:dyDescent="0.2">
      <c r="B70" s="729" t="e" vm="355">
        <f>_xlfn.IMAGE("https://natalie.tf/wp-content/uploads/2023/10/DLV3_Icon_WP_"&amp;G71&amp;"_01.png")</f>
        <v>#VALUE!</v>
      </c>
      <c r="D70" s="730" t="e" vm="355">
        <f>_xlfn.IMAGE("https://natalie.tf/wp-content/uploads/2023/10/DLV3_Icon_WP_"&amp;G71&amp;"_01.png")</f>
        <v>#VALUE!</v>
      </c>
      <c r="F70" s="731" t="str">
        <f>+INDEX(WP!$A:$AN,MATCH(F71,WP!$B:$B,0),MATCH("Name",WP!$A$2:$AN$2,0))</f>
        <v>An Unfreezing Flower (Axe's Boon)</v>
      </c>
      <c r="G70" s="732"/>
      <c r="H70" s="733"/>
      <c r="J70" s="180" t="s">
        <v>10761</v>
      </c>
      <c r="K70" s="201">
        <f>+INDEX(WP!$A:$AN,MATCH(F71,WP!$B:$B,0),5)</f>
        <v>9</v>
      </c>
      <c r="L70" s="202">
        <f>+INDEX(WP!$A:$AN,MATCH(F71,WP!$B:$B,0),6)</f>
        <v>44</v>
      </c>
      <c r="M70" s="202">
        <f>+INDEX(WP!$A:$AN,MATCH(F71,WP!$B:$B,0),7)</f>
        <v>25</v>
      </c>
      <c r="N70" s="202" t="e" vm="343">
        <f>IFERROR(_xlfn.IMAGE("https://natalie.tf/wp-content/uploads/2023/11/DLV3_Icon_Affinity_"&amp;O70&amp;".png"),"")</f>
        <v>#VALUE!</v>
      </c>
      <c r="O70" s="203" t="str">
        <f>IF(INDEX(WP!$A:$AN,MATCH(F71,WP!$B:$B,0),8)=0,"None",INDEX(WP!$A:$AN,MATCH(F71,WP!$B:$B,0),8))</f>
        <v>Axe</v>
      </c>
      <c r="P70" s="8" t="e" vm="359">
        <f>_xlfn.IMAGE("https://natalie.tf/wp-content/uploads/2023/10/DLV3_Icon_Ability_"&amp;INDEX('WP-A'!$A$1:$Z$498,MATCH('WP-Print'!Q70,'WP-A'!$A:$A,0),MATCH("Icon",'WP-A'!$A$1:$Z$1,0))&amp;".png")</f>
        <v>#VALUE!</v>
      </c>
      <c r="Q70" s="231" t="str">
        <f>+INDEX(WP!$A:$AN,MATCH(F71,WP!$B:$B,0),MATCH("Ability",WP!$A$2:$AN$2,0))</f>
        <v>Lance's Psalm III</v>
      </c>
      <c r="R70" s="734" t="str">
        <f>+INDEX(WP!$A:$AN,MATCH(F71,WP!$B:$B,0),MATCH("Obtain From",WP!$A$2:$AN$2,0))</f>
        <v>Clear Iblis's Surging Cascade: Master (Rise of the Sinister Dominion)</v>
      </c>
    </row>
    <row r="71" spans="1:18" ht="22.5" customHeight="1" x14ac:dyDescent="0.2">
      <c r="A71" s="204" t="str">
        <f>TEXT(A68+1,"000")</f>
        <v>023</v>
      </c>
      <c r="B71" s="729"/>
      <c r="C71" s="8"/>
      <c r="D71" s="729"/>
      <c r="E71" s="8"/>
      <c r="F71" s="200" t="str">
        <f>"WP-"&amp;A71</f>
        <v>WP-023</v>
      </c>
      <c r="G71" s="200">
        <f>+INDEX(WP!$A:$AN,MATCH(F71,WP!$B:$B,0),MATCH("ID",WP!$A$2:$AN$2,0))</f>
        <v>400247</v>
      </c>
      <c r="I71" s="8"/>
      <c r="J71" s="180" t="s">
        <v>10762</v>
      </c>
      <c r="K71" s="201">
        <f>+INDEX(WP!$A:$AN,MATCH(F71,WP!$B:$B,0),14)</f>
        <v>9</v>
      </c>
      <c r="L71" s="202">
        <f>+INDEX(WP!$A:$AN,MATCH(F71,WP!$B:$B,0),15)</f>
        <v>100</v>
      </c>
      <c r="M71" s="202">
        <f>+INDEX(WP!$A:$AN,MATCH(F71,WP!$B:$B,0),16)</f>
        <v>70</v>
      </c>
      <c r="N71" s="202" t="e" vm="343">
        <f>IFERROR(_xlfn.IMAGE("https://natalie.tf/wp-content/uploads/2023/11/DLV3_Icon_Affinity_"&amp;O71&amp;".png"),"")</f>
        <v>#VALUE!</v>
      </c>
      <c r="O71" s="203" t="str">
        <f>+INDEX(WP!$A:$AN,MATCH(F71,WP!$B:$B,0),17)</f>
        <v>Axe</v>
      </c>
      <c r="P71" s="8" t="e" vm="359">
        <f>_xlfn.IMAGE("https://natalie.tf/wp-content/uploads/2023/10/DLV3_Icon_Ability_"&amp;INDEX('WP-A'!$A$1:$Z$498,MATCH('WP-Print'!Q71,'WP-A'!$A:$A,0),MATCH("Icon",'WP-A'!$A$1:$Z$1,0))&amp;".png")</f>
        <v>#VALUE!</v>
      </c>
      <c r="Q71" s="231" t="str">
        <f>+INDEX(WP!$A:$AN,MATCH(F71,WP!$B:$B,0),MATCH("Ability V3",WP!$A$2:$AN$2,0))</f>
        <v>Lance's Psalm III</v>
      </c>
      <c r="R71" s="735"/>
    </row>
    <row r="72" spans="1:18" ht="7.5" customHeight="1" x14ac:dyDescent="0.2">
      <c r="A72" t="s">
        <v>10763</v>
      </c>
    </row>
    <row r="73" spans="1:18" ht="22.5" customHeight="1" x14ac:dyDescent="0.2">
      <c r="B73" s="729" t="e" vm="357">
        <f>_xlfn.IMAGE("https://natalie.tf/wp-content/uploads/2023/10/DLV3_Icon_WP_"&amp;G74&amp;"_01.png")</f>
        <v>#VALUE!</v>
      </c>
      <c r="D73" s="730" t="e" vm="357">
        <f>_xlfn.IMAGE("https://natalie.tf/wp-content/uploads/2023/10/DLV3_Icon_WP_"&amp;G74&amp;"_01.png")</f>
        <v>#VALUE!</v>
      </c>
      <c r="F73" s="717" t="str">
        <f>+INDEX(WP!$A:$AN,MATCH(F74,WP!$B:$B,0),MATCH("Name",WP!$A$2:$AN$2,0))</f>
        <v>A King's Pride (Sword's Boon)</v>
      </c>
      <c r="G73" s="718"/>
      <c r="H73" s="719"/>
      <c r="J73" s="180" t="s">
        <v>10761</v>
      </c>
      <c r="K73" s="201">
        <f>+INDEX(WP!$A:$AN,MATCH(F74,WP!$B:$B,0),5)</f>
        <v>9</v>
      </c>
      <c r="L73" s="202">
        <f>+INDEX(WP!$A:$AN,MATCH(F74,WP!$B:$B,0),6)</f>
        <v>44</v>
      </c>
      <c r="M73" s="202">
        <f>+INDEX(WP!$A:$AN,MATCH(F74,WP!$B:$B,0),7)</f>
        <v>25</v>
      </c>
      <c r="N73" s="202" t="e" vm="339">
        <f>IFERROR(_xlfn.IMAGE("https://natalie.tf/wp-content/uploads/2023/11/DLV3_Icon_Affinity_"&amp;O73&amp;".png"),"")</f>
        <v>#VALUE!</v>
      </c>
      <c r="O73" s="203" t="str">
        <f>IF(INDEX(WP!$A:$AN,MATCH(F74,WP!$B:$B,0),8)=0,"None",INDEX(WP!$A:$AN,MATCH(F74,WP!$B:$B,0),8))</f>
        <v>Sword</v>
      </c>
      <c r="P73" s="8" t="e" vm="358">
        <f>_xlfn.IMAGE("https://natalie.tf/wp-content/uploads/2023/10/DLV3_Icon_Ability_"&amp;INDEX('WP-A'!$A$1:$Z$498,MATCH('WP-Print'!Q73,'WP-A'!$A:$A,0),MATCH("Icon",'WP-A'!$A$1:$Z$1,0))&amp;".png")</f>
        <v>#VALUE!</v>
      </c>
      <c r="Q73" s="231" t="str">
        <f>+INDEX(WP!$A:$AN,MATCH(F74,WP!$B:$B,0),MATCH("Ability",WP!$A$2:$AN$2,0))</f>
        <v>Impregnable Fortress III</v>
      </c>
      <c r="R73" s="734" t="str">
        <f>+INDEX(WP!$A:$AN,MATCH(F74,WP!$B:$B,0),MATCH("Obtain From",WP!$A$2:$AN$2,0))</f>
        <v>Clear Surtr's Devouring Flame: Standard (Rise of the Sinister Dominion)</v>
      </c>
    </row>
    <row r="74" spans="1:18" ht="22.5" customHeight="1" x14ac:dyDescent="0.2">
      <c r="A74" s="204" t="str">
        <f>TEXT(A71+1,"000")</f>
        <v>024</v>
      </c>
      <c r="B74" s="729"/>
      <c r="C74" s="8"/>
      <c r="D74" s="729"/>
      <c r="E74" s="8"/>
      <c r="F74" s="200" t="str">
        <f>"WP-"&amp;A74</f>
        <v>WP-024</v>
      </c>
      <c r="G74" s="200">
        <f>+INDEX(WP!$A:$AN,MATCH(F74,WP!$B:$B,0),MATCH("ID",WP!$A$2:$AN$2,0))</f>
        <v>400203</v>
      </c>
      <c r="I74" s="8"/>
      <c r="J74" s="180" t="s">
        <v>10762</v>
      </c>
      <c r="K74" s="201">
        <f>+INDEX(WP!$A:$AN,MATCH(F74,WP!$B:$B,0),14)</f>
        <v>9</v>
      </c>
      <c r="L74" s="202">
        <f>+INDEX(WP!$A:$AN,MATCH(F74,WP!$B:$B,0),15)</f>
        <v>100</v>
      </c>
      <c r="M74" s="202">
        <f>+INDEX(WP!$A:$AN,MATCH(F74,WP!$B:$B,0),16)</f>
        <v>70</v>
      </c>
      <c r="N74" s="202" t="e" vm="339">
        <f>IFERROR(_xlfn.IMAGE("https://natalie.tf/wp-content/uploads/2023/11/DLV3_Icon_Affinity_"&amp;O74&amp;".png"),"")</f>
        <v>#VALUE!</v>
      </c>
      <c r="O74" s="203" t="str">
        <f>+INDEX(WP!$A:$AN,MATCH(F74,WP!$B:$B,0),17)</f>
        <v>Sword</v>
      </c>
      <c r="P74" s="8" t="e" vm="358">
        <f>_xlfn.IMAGE("https://natalie.tf/wp-content/uploads/2023/10/DLV3_Icon_Ability_"&amp;INDEX('WP-A'!$A$1:$Z$498,MATCH('WP-Print'!Q74,'WP-A'!$A:$A,0),MATCH("Icon",'WP-A'!$A$1:$Z$1,0))&amp;".png")</f>
        <v>#VALUE!</v>
      </c>
      <c r="Q74" s="231" t="str">
        <f>+INDEX(WP!$A:$AN,MATCH(F74,WP!$B:$B,0),MATCH("Ability V3",WP!$A$2:$AN$2,0))</f>
        <v>Impregnable Fortress III</v>
      </c>
      <c r="R74" s="735"/>
    </row>
    <row r="75" spans="1:18" ht="7.5" customHeight="1" x14ac:dyDescent="0.2">
      <c r="A75" t="s">
        <v>10763</v>
      </c>
    </row>
    <row r="76" spans="1:18" ht="22.5" customHeight="1" x14ac:dyDescent="0.2">
      <c r="B76" s="729" t="e" vm="360">
        <f>_xlfn.IMAGE("https://natalie.tf/wp-content/uploads/2023/10/DLV3_Icon_WP_"&amp;G77&amp;"_01.png")</f>
        <v>#VALUE!</v>
      </c>
      <c r="D76" s="730" t="e" vm="360">
        <f>_xlfn.IMAGE("https://natalie.tf/wp-content/uploads/2023/10/DLV3_Icon_WP_"&amp;G77&amp;"_01.png")</f>
        <v>#VALUE!</v>
      </c>
      <c r="F76" s="731" t="str">
        <f>+INDEX(WP!$A:$AN,MATCH(F77,WP!$B:$B,0),MATCH("Name",WP!$A$2:$AN$2,0))</f>
        <v>Apple-licious Dreams (Butterfly's Boon)</v>
      </c>
      <c r="G76" s="732"/>
      <c r="H76" s="733"/>
      <c r="J76" s="180" t="s">
        <v>10761</v>
      </c>
      <c r="K76" s="201">
        <f>+INDEX(WP!$A:$AN,MATCH(F77,WP!$B:$B,0),5)</f>
        <v>9</v>
      </c>
      <c r="L76" s="202">
        <f>+INDEX(WP!$A:$AN,MATCH(F77,WP!$B:$B,0),6)</f>
        <v>44</v>
      </c>
      <c r="M76" s="202">
        <f>+INDEX(WP!$A:$AN,MATCH(F77,WP!$B:$B,0),7)</f>
        <v>25</v>
      </c>
      <c r="N76" s="202" t="e" vm="354">
        <f>IFERROR(_xlfn.IMAGE("https://natalie.tf/wp-content/uploads/2023/11/DLV3_Icon_Affinity_"&amp;O76&amp;".png"),"")</f>
        <v>#VALUE!</v>
      </c>
      <c r="O76" s="203" t="str">
        <f>IF(INDEX(WP!$A:$AN,MATCH(F77,WP!$B:$B,0),8)=0,"None",INDEX(WP!$A:$AN,MATCH(F77,WP!$B:$B,0),8))</f>
        <v>Butterfly</v>
      </c>
      <c r="P76" s="8" t="e" vm="322">
        <f>_xlfn.IMAGE("https://natalie.tf/wp-content/uploads/2023/10/DLV3_Icon_Ability_"&amp;INDEX('WP-A'!$A$1:$Z$498,MATCH('WP-Print'!Q76,'WP-A'!$A:$A,0),MATCH("Icon",'WP-A'!$A$1:$Z$1,0))&amp;".png")</f>
        <v>#VALUE!</v>
      </c>
      <c r="Q76" s="231" t="str">
        <f>+INDEX(WP!$A:$AN,MATCH(F77,WP!$B:$B,0),MATCH("Ability",WP!$A$2:$AN$2,0))</f>
        <v>Skill Damage +20%</v>
      </c>
      <c r="R76" s="734" t="str">
        <f>+INDEX(WP!$A:$AN,MATCH(F77,WP!$B:$B,0),MATCH("Obtain From",WP!$A$2:$AN$2,0))</f>
        <v>Clear Surtr's Devouring Flame: Standard (Rise of the Sinister Dominion)</v>
      </c>
    </row>
    <row r="77" spans="1:18" ht="22.5" customHeight="1" x14ac:dyDescent="0.2">
      <c r="A77" s="204" t="str">
        <f>TEXT(A74+1,"000")</f>
        <v>025</v>
      </c>
      <c r="B77" s="729"/>
      <c r="C77" s="8"/>
      <c r="D77" s="729"/>
      <c r="E77" s="8"/>
      <c r="F77" s="200" t="str">
        <f>"WP-"&amp;A77</f>
        <v>WP-025</v>
      </c>
      <c r="G77" s="200">
        <f>+INDEX(WP!$A:$AN,MATCH(F77,WP!$B:$B,0),MATCH("ID",WP!$A$2:$AN$2,0))</f>
        <v>400181</v>
      </c>
      <c r="I77" s="8"/>
      <c r="J77" s="180" t="s">
        <v>10762</v>
      </c>
      <c r="K77" s="201">
        <f>+INDEX(WP!$A:$AN,MATCH(F77,WP!$B:$B,0),14)</f>
        <v>9</v>
      </c>
      <c r="L77" s="202">
        <f>+INDEX(WP!$A:$AN,MATCH(F77,WP!$B:$B,0),15)</f>
        <v>100</v>
      </c>
      <c r="M77" s="202">
        <f>+INDEX(WP!$A:$AN,MATCH(F77,WP!$B:$B,0),16)</f>
        <v>70</v>
      </c>
      <c r="N77" s="202" t="e" vm="354">
        <f>IFERROR(_xlfn.IMAGE("https://natalie.tf/wp-content/uploads/2023/11/DLV3_Icon_Affinity_"&amp;O77&amp;".png"),"")</f>
        <v>#VALUE!</v>
      </c>
      <c r="O77" s="203" t="str">
        <f>+INDEX(WP!$A:$AN,MATCH(F77,WP!$B:$B,0),17)</f>
        <v>Butterfly</v>
      </c>
      <c r="P77" s="8" t="e" vm="322">
        <f>_xlfn.IMAGE("https://natalie.tf/wp-content/uploads/2023/10/DLV3_Icon_Ability_"&amp;INDEX('WP-A'!$A$1:$Z$498,MATCH('WP-Print'!Q77,'WP-A'!$A:$A,0),MATCH("Icon",'WP-A'!$A$1:$Z$1,0))&amp;".png")</f>
        <v>#VALUE!</v>
      </c>
      <c r="Q77" s="231" t="str">
        <f>+INDEX(WP!$A:$AN,MATCH(F77,WP!$B:$B,0),MATCH("Ability V3",WP!$A$2:$AN$2,0))</f>
        <v>Skill Damage +20%</v>
      </c>
      <c r="R77" s="735"/>
    </row>
    <row r="78" spans="1:18" ht="7.5" customHeight="1" x14ac:dyDescent="0.2">
      <c r="A78" t="s">
        <v>10763</v>
      </c>
    </row>
    <row r="79" spans="1:18" ht="22.5" customHeight="1" x14ac:dyDescent="0.2">
      <c r="B79" s="729" t="e" vm="361">
        <f>_xlfn.IMAGE("https://natalie.tf/wp-content/uploads/2023/10/DLV3_Icon_WP_"&amp;G80&amp;"_01.png")</f>
        <v>#VALUE!</v>
      </c>
      <c r="D79" s="730" t="e" vm="361">
        <f>_xlfn.IMAGE("https://natalie.tf/wp-content/uploads/2023/10/DLV3_Icon_WP_"&amp;G80&amp;"_01.png")</f>
        <v>#VALUE!</v>
      </c>
      <c r="F79" s="717" t="str">
        <f>+INDEX(WP!$A:$AN,MATCH(F80,WP!$B:$B,0),MATCH("Name",WP!$A$2:$AN$2,0))</f>
        <v>Crystalline Blades (Bat's Boon)</v>
      </c>
      <c r="G79" s="718"/>
      <c r="H79" s="719"/>
      <c r="J79" s="180" t="s">
        <v>10761</v>
      </c>
      <c r="K79" s="201">
        <f>+INDEX(WP!$A:$AN,MATCH(F80,WP!$B:$B,0),5)</f>
        <v>9</v>
      </c>
      <c r="L79" s="202">
        <f>+INDEX(WP!$A:$AN,MATCH(F80,WP!$B:$B,0),6)</f>
        <v>44</v>
      </c>
      <c r="M79" s="202">
        <f>+INDEX(WP!$A:$AN,MATCH(F80,WP!$B:$B,0),7)</f>
        <v>25</v>
      </c>
      <c r="N79" s="202" t="e" vm="362">
        <f>IFERROR(_xlfn.IMAGE("https://natalie.tf/wp-content/uploads/2023/11/DLV3_Icon_Affinity_"&amp;O79&amp;".png"),"")</f>
        <v>#VALUE!</v>
      </c>
      <c r="O79" s="203" t="str">
        <f>IF(INDEX(WP!$A:$AN,MATCH(F80,WP!$B:$B,0),8)=0,"None",INDEX(WP!$A:$AN,MATCH(F80,WP!$B:$B,0),8))</f>
        <v>Bat</v>
      </c>
      <c r="P79" s="8" t="e" vm="330">
        <f>_xlfn.IMAGE("https://natalie.tf/wp-content/uploads/2023/10/DLV3_Icon_Ability_"&amp;INDEX('WP-A'!$A$1:$Z$498,MATCH('WP-Print'!Q79,'WP-A'!$A:$A,0),MATCH("Icon",'WP-A'!$A$1:$Z$1,0))&amp;".png")</f>
        <v>#VALUE!</v>
      </c>
      <c r="Q79" s="231" t="str">
        <f>+INDEX(WP!$A:$AN,MATCH(F80,WP!$B:$B,0),MATCH("Ability",WP!$A$2:$AN$2,0))</f>
        <v>Skill Haste +4%</v>
      </c>
      <c r="R79" s="734" t="str">
        <f>+INDEX(WP!$A:$AN,MATCH(F80,WP!$B:$B,0),MATCH("Obtain From",WP!$A$2:$AN$2,0))</f>
        <v>Clear Surtr's Devouring Flame: Expert (Rise of the Sinister Dominion)</v>
      </c>
    </row>
    <row r="80" spans="1:18" ht="22.5" customHeight="1" x14ac:dyDescent="0.2">
      <c r="A80" s="204" t="str">
        <f>TEXT(A77+1,"000")</f>
        <v>026</v>
      </c>
      <c r="B80" s="729"/>
      <c r="C80" s="8"/>
      <c r="D80" s="729"/>
      <c r="E80" s="8"/>
      <c r="F80" s="200" t="str">
        <f>"WP-"&amp;A80</f>
        <v>WP-026</v>
      </c>
      <c r="G80" s="200">
        <f>+INDEX(WP!$A:$AN,MATCH(F80,WP!$B:$B,0),MATCH("ID",WP!$A$2:$AN$2,0))</f>
        <v>400254</v>
      </c>
      <c r="I80" s="8"/>
      <c r="J80" s="180" t="s">
        <v>10762</v>
      </c>
      <c r="K80" s="201">
        <f>+INDEX(WP!$A:$AN,MATCH(F80,WP!$B:$B,0),14)</f>
        <v>9</v>
      </c>
      <c r="L80" s="202">
        <f>+INDEX(WP!$A:$AN,MATCH(F80,WP!$B:$B,0),15)</f>
        <v>100</v>
      </c>
      <c r="M80" s="202">
        <f>+INDEX(WP!$A:$AN,MATCH(F80,WP!$B:$B,0),16)</f>
        <v>70</v>
      </c>
      <c r="N80" s="202" t="e" vm="362">
        <f>IFERROR(_xlfn.IMAGE("https://natalie.tf/wp-content/uploads/2023/11/DLV3_Icon_Affinity_"&amp;O80&amp;".png"),"")</f>
        <v>#VALUE!</v>
      </c>
      <c r="O80" s="203" t="str">
        <f>+INDEX(WP!$A:$AN,MATCH(F80,WP!$B:$B,0),17)</f>
        <v>Bat</v>
      </c>
      <c r="P80" s="8" t="e" vm="330">
        <f>_xlfn.IMAGE("https://natalie.tf/wp-content/uploads/2023/10/DLV3_Icon_Ability_"&amp;INDEX('WP-A'!$A$1:$Z$498,MATCH('WP-Print'!Q80,'WP-A'!$A:$A,0),MATCH("Icon",'WP-A'!$A$1:$Z$1,0))&amp;".png")</f>
        <v>#VALUE!</v>
      </c>
      <c r="Q80" s="231" t="str">
        <f>+INDEX(WP!$A:$AN,MATCH(F80,WP!$B:$B,0),MATCH("Ability V3",WP!$A$2:$AN$2,0))</f>
        <v>Skill Haste +5%</v>
      </c>
      <c r="R80" s="735"/>
    </row>
    <row r="81" spans="1:18" ht="7.5" customHeight="1" x14ac:dyDescent="0.2">
      <c r="A81" t="s">
        <v>10763</v>
      </c>
    </row>
    <row r="82" spans="1:18" ht="22.5" customHeight="1" x14ac:dyDescent="0.2">
      <c r="B82" s="729" t="e" vm="363">
        <f>_xlfn.IMAGE("https://natalie.tf/wp-content/uploads/2023/10/DLV3_Icon_WP_"&amp;G83&amp;"_01.png")</f>
        <v>#VALUE!</v>
      </c>
      <c r="D82" s="730" t="e" vm="363">
        <f>_xlfn.IMAGE("https://natalie.tf/wp-content/uploads/2023/10/DLV3_Icon_WP_"&amp;G83&amp;"_01.png")</f>
        <v>#VALUE!</v>
      </c>
      <c r="F82" s="717" t="str">
        <f>+INDEX(WP!$A:$AN,MATCH(F83,WP!$B:$B,0),MATCH("Name",WP!$A$2:$AN$2,0))</f>
        <v>Ravenous Fire (Deer's Boon)</v>
      </c>
      <c r="G82" s="718"/>
      <c r="H82" s="719"/>
      <c r="J82" s="180" t="s">
        <v>10761</v>
      </c>
      <c r="K82" s="201">
        <f>+INDEX(WP!$A:$AN,MATCH(F83,WP!$B:$B,0),5)</f>
        <v>9</v>
      </c>
      <c r="L82" s="202">
        <f>+INDEX(WP!$A:$AN,MATCH(F83,WP!$B:$B,0),6)</f>
        <v>44</v>
      </c>
      <c r="M82" s="202">
        <f>+INDEX(WP!$A:$AN,MATCH(F83,WP!$B:$B,0),7)</f>
        <v>25</v>
      </c>
      <c r="N82" s="202" t="e" vm="356">
        <f>IFERROR(_xlfn.IMAGE("https://natalie.tf/wp-content/uploads/2023/11/DLV3_Icon_Affinity_"&amp;O82&amp;".png"),"")</f>
        <v>#VALUE!</v>
      </c>
      <c r="O82" s="203" t="str">
        <f>IF(INDEX(WP!$A:$AN,MATCH(F83,WP!$B:$B,0),8)=0,"None",INDEX(WP!$A:$AN,MATCH(F83,WP!$B:$B,0),8))</f>
        <v>Deer</v>
      </c>
      <c r="P82" s="8" t="e" vm="330">
        <f>_xlfn.IMAGE("https://natalie.tf/wp-content/uploads/2023/10/DLV3_Icon_Ability_"&amp;INDEX('WP-A'!$A$1:$Z$498,MATCH('WP-Print'!Q82,'WP-A'!$A:$A,0),MATCH("Icon",'WP-A'!$A$1:$Z$1,0))&amp;".png")</f>
        <v>#VALUE!</v>
      </c>
      <c r="Q82" s="231" t="str">
        <f>+INDEX(WP!$A:$AN,MATCH(F83,WP!$B:$B,0),MATCH("Ability",WP!$A$2:$AN$2,0))</f>
        <v>Skill Haste +4%</v>
      </c>
      <c r="R82" s="734" t="str">
        <f>+INDEX(WP!$A:$AN,MATCH(F83,WP!$B:$B,0),MATCH("Obtain From",WP!$A$2:$AN$2,0))</f>
        <v>Clear Surtr's Devouring Flame: Expert (Rise of the Sinister Dominion)</v>
      </c>
    </row>
    <row r="83" spans="1:18" ht="22.5" customHeight="1" x14ac:dyDescent="0.2">
      <c r="A83" s="204" t="str">
        <f>TEXT(A80+1,"000")</f>
        <v>027</v>
      </c>
      <c r="B83" s="729"/>
      <c r="C83" s="8"/>
      <c r="D83" s="729"/>
      <c r="E83" s="8"/>
      <c r="F83" s="200" t="str">
        <f>"WP-"&amp;A83</f>
        <v>WP-027</v>
      </c>
      <c r="G83" s="200">
        <f>+INDEX(WP!$A:$AN,MATCH(F83,WP!$B:$B,0),MATCH("ID",WP!$A$2:$AN$2,0))</f>
        <v>400191</v>
      </c>
      <c r="I83" s="8"/>
      <c r="J83" s="180" t="s">
        <v>10762</v>
      </c>
      <c r="K83" s="201">
        <f>+INDEX(WP!$A:$AN,MATCH(F83,WP!$B:$B,0),14)</f>
        <v>9</v>
      </c>
      <c r="L83" s="202">
        <f>+INDEX(WP!$A:$AN,MATCH(F83,WP!$B:$B,0),15)</f>
        <v>100</v>
      </c>
      <c r="M83" s="202">
        <f>+INDEX(WP!$A:$AN,MATCH(F83,WP!$B:$B,0),16)</f>
        <v>70</v>
      </c>
      <c r="N83" s="202" t="e" vm="356">
        <f>IFERROR(_xlfn.IMAGE("https://natalie.tf/wp-content/uploads/2023/11/DLV3_Icon_Affinity_"&amp;O83&amp;".png"),"")</f>
        <v>#VALUE!</v>
      </c>
      <c r="O83" s="203" t="str">
        <f>+INDEX(WP!$A:$AN,MATCH(F83,WP!$B:$B,0),17)</f>
        <v>Deer</v>
      </c>
      <c r="P83" s="8" t="e" vm="330">
        <f>_xlfn.IMAGE("https://natalie.tf/wp-content/uploads/2023/10/DLV3_Icon_Ability_"&amp;INDEX('WP-A'!$A$1:$Z$498,MATCH('WP-Print'!Q83,'WP-A'!$A:$A,0),MATCH("Icon",'WP-A'!$A$1:$Z$1,0))&amp;".png")</f>
        <v>#VALUE!</v>
      </c>
      <c r="Q83" s="231" t="str">
        <f>+INDEX(WP!$A:$AN,MATCH(F83,WP!$B:$B,0),MATCH("Ability V3",WP!$A$2:$AN$2,0))</f>
        <v>Skill Haste +5%</v>
      </c>
      <c r="R83" s="735"/>
    </row>
    <row r="84" spans="1:18" ht="7.5" customHeight="1" x14ac:dyDescent="0.2">
      <c r="A84" t="s">
        <v>10763</v>
      </c>
    </row>
    <row r="85" spans="1:18" ht="22.5" customHeight="1" x14ac:dyDescent="0.2">
      <c r="B85" s="729" t="e" vm="364">
        <f>_xlfn.IMAGE("https://natalie.tf/wp-content/uploads/2023/10/DLV3_Icon_WP_"&amp;G86&amp;"_01.png")</f>
        <v>#VALUE!</v>
      </c>
      <c r="D85" s="730" t="e" vm="364">
        <f>_xlfn.IMAGE("https://natalie.tf/wp-content/uploads/2023/10/DLV3_Icon_WP_"&amp;G86&amp;"_01.png")</f>
        <v>#VALUE!</v>
      </c>
      <c r="F85" s="717" t="str">
        <f>+INDEX(WP!$A:$AN,MATCH(F86,WP!$B:$B,0),MATCH("Name",WP!$A$2:$AN$2,0))</f>
        <v>The Genius Tactician (Bow's Boon)</v>
      </c>
      <c r="G85" s="718"/>
      <c r="H85" s="719"/>
      <c r="J85" s="180" t="s">
        <v>10761</v>
      </c>
      <c r="K85" s="201">
        <f>+INDEX(WP!$A:$AN,MATCH(F86,WP!$B:$B,0),5)</f>
        <v>9</v>
      </c>
      <c r="L85" s="202">
        <f>+INDEX(WP!$A:$AN,MATCH(F86,WP!$B:$B,0),6)</f>
        <v>44</v>
      </c>
      <c r="M85" s="202">
        <f>+INDEX(WP!$A:$AN,MATCH(F86,WP!$B:$B,0),7)</f>
        <v>25</v>
      </c>
      <c r="N85" s="202" t="e" vm="342">
        <f>IFERROR(_xlfn.IMAGE("https://natalie.tf/wp-content/uploads/2023/11/DLV3_Icon_Affinity_"&amp;O85&amp;".png"),"")</f>
        <v>#VALUE!</v>
      </c>
      <c r="O85" s="203" t="str">
        <f>IF(INDEX(WP!$A:$AN,MATCH(F86,WP!$B:$B,0),8)=0,"None",INDEX(WP!$A:$AN,MATCH(F86,WP!$B:$B,0),8))</f>
        <v>Bow</v>
      </c>
      <c r="P85" s="8" t="e" vm="365">
        <f>_xlfn.IMAGE("https://natalie.tf/wp-content/uploads/2023/10/DLV3_Icon_Ability_"&amp;INDEX('WP-A'!$A$1:$Z$498,MATCH('WP-Print'!Q85,'WP-A'!$A:$A,0),MATCH("Icon",'WP-A'!$A$1:$Z$1,0))&amp;".png")</f>
        <v>#VALUE!</v>
      </c>
      <c r="Q85" s="231" t="str">
        <f>+INDEX(WP!$A:$AN,MATCH(F86,WP!$B:$B,0),MATCH("Ability",WP!$A$2:$AN$2,0))</f>
        <v>Enemy Foresight III</v>
      </c>
      <c r="R85" s="734" t="str">
        <f>+INDEX(WP!$A:$AN,MATCH(F86,WP!$B:$B,0),MATCH("Obtain From",WP!$A$2:$AN$2,0))</f>
        <v>Clear Surtr's Devouring Flame: Master (Rise of the Sinister Dominion)</v>
      </c>
    </row>
    <row r="86" spans="1:18" ht="22.5" customHeight="1" x14ac:dyDescent="0.2">
      <c r="A86" s="204" t="str">
        <f>TEXT(A83+1,"000")</f>
        <v>028</v>
      </c>
      <c r="B86" s="729"/>
      <c r="C86" s="8"/>
      <c r="D86" s="729"/>
      <c r="E86" s="8"/>
      <c r="F86" s="200" t="str">
        <f>"WP-"&amp;A86</f>
        <v>WP-028</v>
      </c>
      <c r="G86" s="200">
        <f>+INDEX(WP!$A:$AN,MATCH(F86,WP!$B:$B,0),MATCH("ID",WP!$A$2:$AN$2,0))</f>
        <v>400192</v>
      </c>
      <c r="I86" s="8"/>
      <c r="J86" s="180" t="s">
        <v>10762</v>
      </c>
      <c r="K86" s="201">
        <f>+INDEX(WP!$A:$AN,MATCH(F86,WP!$B:$B,0),14)</f>
        <v>9</v>
      </c>
      <c r="L86" s="202">
        <f>+INDEX(WP!$A:$AN,MATCH(F86,WP!$B:$B,0),15)</f>
        <v>100</v>
      </c>
      <c r="M86" s="202">
        <f>+INDEX(WP!$A:$AN,MATCH(F86,WP!$B:$B,0),16)</f>
        <v>70</v>
      </c>
      <c r="N86" s="202" t="e" vm="342">
        <f>IFERROR(_xlfn.IMAGE("https://natalie.tf/wp-content/uploads/2023/11/DLV3_Icon_Affinity_"&amp;O86&amp;".png"),"")</f>
        <v>#VALUE!</v>
      </c>
      <c r="O86" s="203" t="str">
        <f>+INDEX(WP!$A:$AN,MATCH(F86,WP!$B:$B,0),17)</f>
        <v>Bow</v>
      </c>
      <c r="P86" s="8" t="e" vm="365">
        <f>_xlfn.IMAGE("https://natalie.tf/wp-content/uploads/2023/10/DLV3_Icon_Ability_"&amp;INDEX('WP-A'!$A$1:$Z$498,MATCH('WP-Print'!Q86,'WP-A'!$A:$A,0),MATCH("Icon",'WP-A'!$A$1:$Z$1,0))&amp;".png")</f>
        <v>#VALUE!</v>
      </c>
      <c r="Q86" s="231" t="str">
        <f>+INDEX(WP!$A:$AN,MATCH(F86,WP!$B:$B,0),MATCH("Ability V3",WP!$A$2:$AN$2,0))</f>
        <v>Enemy Foresight III</v>
      </c>
      <c r="R86" s="735"/>
    </row>
    <row r="87" spans="1:18" ht="22.5" customHeight="1" x14ac:dyDescent="0.2">
      <c r="A87" t="s">
        <v>10763</v>
      </c>
    </row>
    <row r="88" spans="1:18" ht="22.5" customHeight="1" x14ac:dyDescent="0.2">
      <c r="B88" s="729" t="e" vm="363">
        <f>_xlfn.IMAGE("https://natalie.tf/wp-content/uploads/2023/10/DLV3_Icon_WP_"&amp;G89&amp;"_01.png")</f>
        <v>#VALUE!</v>
      </c>
      <c r="D88" s="730" t="e" vm="363">
        <f>_xlfn.IMAGE("https://natalie.tf/wp-content/uploads/2023/10/DLV3_Icon_WP_"&amp;G89&amp;"_01.png")</f>
        <v>#VALUE!</v>
      </c>
      <c r="F88" s="717" t="str">
        <f>+INDEX(WP!$A:$AN,MATCH(F89,WP!$B:$B,0),MATCH("Name",WP!$A$2:$AN$2,0))</f>
        <v>Ravenous Fire (Crown's Boon)</v>
      </c>
      <c r="G88" s="718"/>
      <c r="H88" s="719"/>
      <c r="J88" s="180" t="s">
        <v>10761</v>
      </c>
      <c r="K88" s="201">
        <f>+INDEX(WP!$A:$AN,MATCH(F89,WP!$B:$B,0),5)</f>
        <v>9</v>
      </c>
      <c r="L88" s="202">
        <f>+INDEX(WP!$A:$AN,MATCH(F89,WP!$B:$B,0),6)</f>
        <v>44</v>
      </c>
      <c r="M88" s="202">
        <f>+INDEX(WP!$A:$AN,MATCH(F89,WP!$B:$B,0),7)</f>
        <v>25</v>
      </c>
      <c r="N88" s="202" t="e" vm="341">
        <f>IFERROR(_xlfn.IMAGE("https://natalie.tf/wp-content/uploads/2023/11/DLV3_Icon_Affinity_"&amp;O88&amp;".png"),"")</f>
        <v>#VALUE!</v>
      </c>
      <c r="O88" s="203" t="str">
        <f>IF(INDEX(WP!$A:$AN,MATCH(F89,WP!$B:$B,0),8)=0,"None",INDEX(WP!$A:$AN,MATCH(F89,WP!$B:$B,0),8))</f>
        <v>Crown</v>
      </c>
      <c r="P88" s="8" t="e" vm="366">
        <f>_xlfn.IMAGE("https://natalie.tf/wp-content/uploads/2023/10/DLV3_Icon_Ability_"&amp;INDEX('WP-A'!$A$1:$Z$498,MATCH('WP-Print'!Q88,'WP-A'!$A:$A,0),MATCH("Icon",'WP-A'!$A$1:$Z$1,0))&amp;".png")</f>
        <v>#VALUE!</v>
      </c>
      <c r="Q88" s="231" t="str">
        <f>+INDEX(WP!$A:$AN,MATCH(F89,WP!$B:$B,0),MATCH("Ability",WP!$A$2:$AN$2,0))</f>
        <v>Staff's Psalm III</v>
      </c>
      <c r="R88" s="734" t="str">
        <f>+INDEX(WP!$A:$AN,MATCH(F89,WP!$B:$B,0),MATCH("Obtain From",WP!$A$2:$AN$2,0))</f>
        <v>Clear Surtr's Devouring Flame: Master (Rise of the Sinister Dominion)</v>
      </c>
    </row>
    <row r="89" spans="1:18" ht="22.5" customHeight="1" x14ac:dyDescent="0.2">
      <c r="A89" s="204" t="str">
        <f>TEXT(A86+1,"000")</f>
        <v>029</v>
      </c>
      <c r="B89" s="729"/>
      <c r="C89" s="8"/>
      <c r="D89" s="729"/>
      <c r="E89" s="8"/>
      <c r="F89" s="200" t="str">
        <f>"WP-"&amp;A89</f>
        <v>WP-029</v>
      </c>
      <c r="G89" s="200">
        <f>+INDEX(WP!$A:$AN,MATCH(F89,WP!$B:$B,0),MATCH("ID",WP!$A$2:$AN$2,0))</f>
        <v>400191</v>
      </c>
      <c r="I89" s="8"/>
      <c r="J89" s="180" t="s">
        <v>10762</v>
      </c>
      <c r="K89" s="201">
        <f>+INDEX(WP!$A:$AN,MATCH(F89,WP!$B:$B,0),14)</f>
        <v>9</v>
      </c>
      <c r="L89" s="202">
        <f>+INDEX(WP!$A:$AN,MATCH(F89,WP!$B:$B,0),15)</f>
        <v>100</v>
      </c>
      <c r="M89" s="202">
        <f>+INDEX(WP!$A:$AN,MATCH(F89,WP!$B:$B,0),16)</f>
        <v>70</v>
      </c>
      <c r="N89" s="202" t="e" vm="341">
        <f>IFERROR(_xlfn.IMAGE("https://natalie.tf/wp-content/uploads/2023/11/DLV3_Icon_Affinity_"&amp;O89&amp;".png"),"")</f>
        <v>#VALUE!</v>
      </c>
      <c r="O89" s="203" t="str">
        <f>+INDEX(WP!$A:$AN,MATCH(F89,WP!$B:$B,0),17)</f>
        <v>Crown</v>
      </c>
      <c r="P89" s="8" t="e" vm="366">
        <f>_xlfn.IMAGE("https://natalie.tf/wp-content/uploads/2023/10/DLV3_Icon_Ability_"&amp;INDEX('WP-A'!$A$1:$Z$498,MATCH('WP-Print'!Q89,'WP-A'!$A:$A,0),MATCH("Icon",'WP-A'!$A$1:$Z$1,0))&amp;".png")</f>
        <v>#VALUE!</v>
      </c>
      <c r="Q89" s="231" t="str">
        <f>+INDEX(WP!$A:$AN,MATCH(F89,WP!$B:$B,0),MATCH("Ability V3",WP!$A$2:$AN$2,0))</f>
        <v>Staff's Psalm III</v>
      </c>
      <c r="R89" s="735"/>
    </row>
    <row r="90" spans="1:18" ht="7.5" customHeight="1" x14ac:dyDescent="0.2">
      <c r="A90" t="s">
        <v>10763</v>
      </c>
    </row>
    <row r="91" spans="1:18" ht="22.5" customHeight="1" x14ac:dyDescent="0.2">
      <c r="B91" s="729" t="e" vm="364">
        <f>_xlfn.IMAGE("https://natalie.tf/wp-content/uploads/2023/10/DLV3_Icon_WP_"&amp;G92&amp;"_01.png")</f>
        <v>#VALUE!</v>
      </c>
      <c r="D91" s="730" t="e" vm="364">
        <f>_xlfn.IMAGE("https://natalie.tf/wp-content/uploads/2023/10/DLV3_Icon_WP_"&amp;G92&amp;"_01.png")</f>
        <v>#VALUE!</v>
      </c>
      <c r="F91" s="731" t="str">
        <f>+INDEX(WP!$A:$AN,MATCH(F92,WP!$B:$B,0),MATCH("Name",WP!$A$2:$AN$2,0))</f>
        <v>The Genius Tactician (Spider's Boon)</v>
      </c>
      <c r="G91" s="732"/>
      <c r="H91" s="733"/>
      <c r="J91" s="180" t="s">
        <v>10761</v>
      </c>
      <c r="K91" s="201">
        <f>+INDEX(WP!$A:$AN,MATCH(F92,WP!$B:$B,0),5)</f>
        <v>9</v>
      </c>
      <c r="L91" s="202">
        <f>+INDEX(WP!$A:$AN,MATCH(F92,WP!$B:$B,0),6)</f>
        <v>44</v>
      </c>
      <c r="M91" s="202">
        <f>+INDEX(WP!$A:$AN,MATCH(F92,WP!$B:$B,0),7)</f>
        <v>25</v>
      </c>
      <c r="N91" s="202" t="e" vm="367">
        <f>IFERROR(_xlfn.IMAGE("https://natalie.tf/wp-content/uploads/2023/11/DLV3_Icon_Affinity_"&amp;O91&amp;".png"),"")</f>
        <v>#VALUE!</v>
      </c>
      <c r="O91" s="203" t="str">
        <f>IF(INDEX(WP!$A:$AN,MATCH(F92,WP!$B:$B,0),8)=0,"None",INDEX(WP!$A:$AN,MATCH(F92,WP!$B:$B,0),8))</f>
        <v>Spider</v>
      </c>
      <c r="P91" s="8" t="e" vm="365">
        <f>_xlfn.IMAGE("https://natalie.tf/wp-content/uploads/2023/10/DLV3_Icon_Ability_"&amp;INDEX('WP-A'!$A$1:$Z$498,MATCH('WP-Print'!Q91,'WP-A'!$A:$A,0),MATCH("Icon",'WP-A'!$A$1:$Z$1,0))&amp;".png")</f>
        <v>#VALUE!</v>
      </c>
      <c r="Q91" s="231" t="str">
        <f>+INDEX(WP!$A:$AN,MATCH(F92,WP!$B:$B,0),MATCH("Ability",WP!$A$2:$AN$2,0))</f>
        <v>Enemy Foresight III</v>
      </c>
      <c r="R91" s="734" t="str">
        <f>+INDEX(WP!$A:$AN,MATCH(F92,WP!$B:$B,0),MATCH("Obtain From",WP!$A$2:$AN$2,0))</f>
        <v>Clear Asura's Blinding Light: Standard (Rise of the Sinister Dominion)</v>
      </c>
    </row>
    <row r="92" spans="1:18" ht="22.5" customHeight="1" x14ac:dyDescent="0.2">
      <c r="A92" s="204" t="str">
        <f>TEXT(A89+1,"000")</f>
        <v>030</v>
      </c>
      <c r="B92" s="729"/>
      <c r="C92" s="8"/>
      <c r="D92" s="729"/>
      <c r="E92" s="8"/>
      <c r="F92" s="200" t="str">
        <f>"WP-"&amp;A92</f>
        <v>WP-030</v>
      </c>
      <c r="G92" s="200">
        <f>+INDEX(WP!$A:$AN,MATCH(F92,WP!$B:$B,0),MATCH("ID",WP!$A$2:$AN$2,0))</f>
        <v>400192</v>
      </c>
      <c r="I92" s="8"/>
      <c r="J92" s="180" t="s">
        <v>10762</v>
      </c>
      <c r="K92" s="201">
        <f>+INDEX(WP!$A:$AN,MATCH(F92,WP!$B:$B,0),14)</f>
        <v>9</v>
      </c>
      <c r="L92" s="202">
        <f>+INDEX(WP!$A:$AN,MATCH(F92,WP!$B:$B,0),15)</f>
        <v>100</v>
      </c>
      <c r="M92" s="202">
        <f>+INDEX(WP!$A:$AN,MATCH(F92,WP!$B:$B,0),16)</f>
        <v>70</v>
      </c>
      <c r="N92" s="202" t="e" vm="340">
        <f>IFERROR(_xlfn.IMAGE("https://natalie.tf/wp-content/uploads/2023/11/DLV3_Icon_Affinity_"&amp;O92&amp;".png"),"")</f>
        <v>#VALUE!</v>
      </c>
      <c r="O92" s="203" t="str">
        <f>+INDEX(WP!$A:$AN,MATCH(F92,WP!$B:$B,0),17)</f>
        <v>Lance</v>
      </c>
      <c r="P92" s="8" t="e" vm="365">
        <f>_xlfn.IMAGE("https://natalie.tf/wp-content/uploads/2023/10/DLV3_Icon_Ability_"&amp;INDEX('WP-A'!$A$1:$Z$498,MATCH('WP-Print'!Q92,'WP-A'!$A:$A,0),MATCH("Icon",'WP-A'!$A$1:$Z$1,0))&amp;".png")</f>
        <v>#VALUE!</v>
      </c>
      <c r="Q92" s="231" t="str">
        <f>+INDEX(WP!$A:$AN,MATCH(F92,WP!$B:$B,0),MATCH("Ability V3",WP!$A$2:$AN$2,0))</f>
        <v>Enemy Foresight III</v>
      </c>
      <c r="R92" s="735"/>
    </row>
    <row r="93" spans="1:18" ht="7.5" customHeight="1" x14ac:dyDescent="0.2">
      <c r="A93" t="s">
        <v>10763</v>
      </c>
    </row>
    <row r="94" spans="1:18" ht="22.5" customHeight="1" x14ac:dyDescent="0.2">
      <c r="B94" s="729" t="e" vm="368">
        <f>_xlfn.IMAGE("https://natalie.tf/wp-content/uploads/2023/10/DLV3_Icon_WP_"&amp;G95&amp;"_01.png")</f>
        <v>#VALUE!</v>
      </c>
      <c r="D94" s="730" t="e" vm="369">
        <f>_xlfn.IMAGE("https://natalie.tf/wp-content/uploads/2023/10/DLV3_Icon_WP_"&amp;G95&amp;"_02.png")</f>
        <v>#VALUE!</v>
      </c>
      <c r="F94" s="717" t="str">
        <f>+INDEX(WP!$A:$AN,MATCH(F95,WP!$B:$B,0),MATCH("Name",WP!$A$2:$AN$2,0))</f>
        <v>Valiant Crown</v>
      </c>
      <c r="G94" s="718"/>
      <c r="H94" s="719"/>
      <c r="J94" s="180" t="s">
        <v>10761</v>
      </c>
      <c r="K94" s="201">
        <f>+INDEX(WP!$A:$AN,MATCH(F95,WP!$B:$B,0),5)</f>
        <v>5</v>
      </c>
      <c r="L94" s="202">
        <f>+INDEX(WP!$A:$AN,MATCH(F95,WP!$B:$B,0),6)</f>
        <v>88</v>
      </c>
      <c r="M94" s="202">
        <f>+INDEX(WP!$A:$AN,MATCH(F95,WP!$B:$B,0),7)</f>
        <v>32</v>
      </c>
      <c r="N94" s="202" t="e" vm="341">
        <f>IFERROR(_xlfn.IMAGE("https://natalie.tf/wp-content/uploads/2023/11/DLV3_Icon_Affinity_"&amp;O94&amp;".png"),"")</f>
        <v>#VALUE!</v>
      </c>
      <c r="O94" s="203" t="str">
        <f>IF(INDEX(WP!$A:$AN,MATCH(F95,WP!$B:$B,0),8)=0,"None",INDEX(WP!$A:$AN,MATCH(F95,WP!$B:$B,0),8))</f>
        <v>Crown</v>
      </c>
      <c r="P94" s="8" t="e" vm="322">
        <f>_xlfn.IMAGE("https://natalie.tf/wp-content/uploads/2023/10/DLV3_Icon_Ability_"&amp;INDEX('WP-A'!$A$1:$Z$498,MATCH('WP-Print'!Q94,'WP-A'!$A:$A,0),MATCH("Icon",'WP-A'!$A$1:$Z$1,0))&amp;".png")</f>
        <v>#VALUE!</v>
      </c>
      <c r="Q94" s="231" t="str">
        <f>+INDEX(WP!$A:$AN,MATCH(F95,WP!$B:$B,0),MATCH("Ability",WP!$A$2:$AN$2,0))</f>
        <v>Skill Damage +30%</v>
      </c>
      <c r="R94" s="734" t="str">
        <f>+INDEX(WP!$A:$AN,MATCH(F95,WP!$B:$B,0),MATCH("Obtain From",WP!$A$2:$AN$2,0))</f>
        <v>Obtain From Ch. 02 EX 2 Chest (Hard) (Non-Endeavor)</v>
      </c>
    </row>
    <row r="95" spans="1:18" ht="22.5" customHeight="1" x14ac:dyDescent="0.2">
      <c r="A95" s="204" t="str">
        <f>TEXT(A92+1,"000")</f>
        <v>031</v>
      </c>
      <c r="B95" s="729"/>
      <c r="C95" s="8"/>
      <c r="D95" s="729"/>
      <c r="E95" s="8"/>
      <c r="F95" s="200" t="str">
        <f>"WP-"&amp;A95</f>
        <v>WP-031</v>
      </c>
      <c r="G95" s="200">
        <f>+INDEX(WP!$A:$AN,MATCH(F95,WP!$B:$B,0),MATCH("ID",WP!$A$2:$AN$2,0))</f>
        <v>400062</v>
      </c>
      <c r="I95" s="8"/>
      <c r="J95" s="180" t="s">
        <v>10762</v>
      </c>
      <c r="K95" s="201">
        <f>+INDEX(WP!$A:$AN,MATCH(F95,WP!$B:$B,0),14)</f>
        <v>5</v>
      </c>
      <c r="L95" s="202">
        <f>+INDEX(WP!$A:$AN,MATCH(F95,WP!$B:$B,0),15)</f>
        <v>150</v>
      </c>
      <c r="M95" s="202">
        <f>+INDEX(WP!$A:$AN,MATCH(F95,WP!$B:$B,0),16)</f>
        <v>90</v>
      </c>
      <c r="N95" s="202" t="e" vm="341">
        <f>IFERROR(_xlfn.IMAGE("https://natalie.tf/wp-content/uploads/2023/11/DLV3_Icon_Affinity_"&amp;O95&amp;".png"),"")</f>
        <v>#VALUE!</v>
      </c>
      <c r="O95" s="203" t="str">
        <f>+INDEX(WP!$A:$AN,MATCH(F95,WP!$B:$B,0),17)</f>
        <v>Crown</v>
      </c>
      <c r="P95" s="8" t="e" vm="322">
        <f>_xlfn.IMAGE("https://natalie.tf/wp-content/uploads/2023/10/DLV3_Icon_Ability_"&amp;INDEX('WP-A'!$A$1:$Z$498,MATCH('WP-Print'!Q95,'WP-A'!$A:$A,0),MATCH("Icon",'WP-A'!$A$1:$Z$1,0))&amp;".png")</f>
        <v>#VALUE!</v>
      </c>
      <c r="Q95" s="231" t="str">
        <f>+INDEX(WP!$A:$AN,MATCH(F95,WP!$B:$B,0),MATCH("Ability V3",WP!$A$2:$AN$2,0))</f>
        <v>Skill Damage +30%</v>
      </c>
      <c r="R95" s="735"/>
    </row>
    <row r="96" spans="1:18" ht="7.5" customHeight="1" x14ac:dyDescent="0.2">
      <c r="A96" t="s">
        <v>10763</v>
      </c>
    </row>
    <row r="97" spans="1:18" ht="22.5" customHeight="1" x14ac:dyDescent="0.2">
      <c r="B97" s="729" t="e" vm="370">
        <f>_xlfn.IMAGE("https://natalie.tf/wp-content/uploads/2023/10/DLV3_Icon_WP_"&amp;G98&amp;"_01.png")</f>
        <v>#VALUE!</v>
      </c>
      <c r="D97" s="730" t="e" vm="371">
        <f>_xlfn.IMAGE("https://natalie.tf/wp-content/uploads/2023/10/DLV3_Icon_WP_"&amp;G98&amp;"_02.png")</f>
        <v>#VALUE!</v>
      </c>
      <c r="F97" s="717" t="str">
        <f>+INDEX(WP!$A:$AN,MATCH(F98,WP!$B:$B,0),MATCH("Name",WP!$A$2:$AN$2,0))</f>
        <v>Flash of Genius</v>
      </c>
      <c r="G97" s="718"/>
      <c r="H97" s="719"/>
      <c r="J97" s="180" t="s">
        <v>10761</v>
      </c>
      <c r="K97" s="201">
        <f>+INDEX(WP!$A:$AN,MATCH(F98,WP!$B:$B,0),5)</f>
        <v>5</v>
      </c>
      <c r="L97" s="202">
        <f>+INDEX(WP!$A:$AN,MATCH(F98,WP!$B:$B,0),6)</f>
        <v>91</v>
      </c>
      <c r="M97" s="202">
        <f>+INDEX(WP!$A:$AN,MATCH(F98,WP!$B:$B,0),7)</f>
        <v>29</v>
      </c>
      <c r="N97" s="202" t="e" vm="340">
        <f>IFERROR(_xlfn.IMAGE("https://natalie.tf/wp-content/uploads/2023/11/DLV3_Icon_Affinity_"&amp;O97&amp;".png"),"")</f>
        <v>#VALUE!</v>
      </c>
      <c r="O97" s="203" t="str">
        <f>IF(INDEX(WP!$A:$AN,MATCH(F98,WP!$B:$B,0),8)=0,"None",INDEX(WP!$A:$AN,MATCH(F98,WP!$B:$B,0),8))</f>
        <v>Lance</v>
      </c>
      <c r="P97" s="8" t="e" vm="14">
        <f>_xlfn.IMAGE("https://natalie.tf/wp-content/uploads/2023/10/DLV3_Icon_Ability_"&amp;INDEX('WP-A'!$A$1:$Z$498,MATCH('WP-Print'!Q97,'WP-A'!$A:$A,0),MATCH("Icon",'WP-A'!$A$1:$Z$1,0))&amp;".png")</f>
        <v>#VALUE!</v>
      </c>
      <c r="Q97" s="231" t="str">
        <f>+INDEX(WP!$A:$AN,MATCH(F98,WP!$B:$B,0),MATCH("Ability",WP!$A$2:$AN$2,0))</f>
        <v>Flurry Strength +20%</v>
      </c>
      <c r="R97" s="734" t="str">
        <f>+INDEX(WP!$A:$AN,MATCH(F98,WP!$B:$B,0),MATCH("Obtain From",WP!$A$2:$AN$2,0))</f>
        <v>Clear Ch. 01 4-5 of the Main Campaign (Hard)</v>
      </c>
    </row>
    <row r="98" spans="1:18" ht="22.5" customHeight="1" x14ac:dyDescent="0.2">
      <c r="A98" s="204" t="str">
        <f>TEXT(A95+1,"000")</f>
        <v>032</v>
      </c>
      <c r="B98" s="729"/>
      <c r="C98" s="8"/>
      <c r="D98" s="729"/>
      <c r="E98" s="8"/>
      <c r="F98" s="200" t="str">
        <f>"WP-"&amp;A98</f>
        <v>WP-032</v>
      </c>
      <c r="G98" s="200">
        <f>+INDEX(WP!$A:$AN,MATCH(F98,WP!$B:$B,0),MATCH("ID",WP!$A$2:$AN$2,0))</f>
        <v>400063</v>
      </c>
      <c r="I98" s="8"/>
      <c r="J98" s="180" t="s">
        <v>10762</v>
      </c>
      <c r="K98" s="201">
        <f>+INDEX(WP!$A:$AN,MATCH(F98,WP!$B:$B,0),14)</f>
        <v>5</v>
      </c>
      <c r="L98" s="202">
        <f>+INDEX(WP!$A:$AN,MATCH(F98,WP!$B:$B,0),15)</f>
        <v>150</v>
      </c>
      <c r="M98" s="202">
        <f>+INDEX(WP!$A:$AN,MATCH(F98,WP!$B:$B,0),16)</f>
        <v>90</v>
      </c>
      <c r="N98" s="202" t="e" vm="340">
        <f>IFERROR(_xlfn.IMAGE("https://natalie.tf/wp-content/uploads/2023/11/DLV3_Icon_Affinity_"&amp;O98&amp;".png"),"")</f>
        <v>#VALUE!</v>
      </c>
      <c r="O98" s="203" t="str">
        <f>+INDEX(WP!$A:$AN,MATCH(F98,WP!$B:$B,0),17)</f>
        <v>Lance</v>
      </c>
      <c r="P98" s="8" t="e" vm="14">
        <f>_xlfn.IMAGE("https://natalie.tf/wp-content/uploads/2023/10/DLV3_Icon_Ability_"&amp;INDEX('WP-A'!$A$1:$Z$498,MATCH('WP-Print'!Q98,'WP-A'!$A:$A,0),MATCH("Icon",'WP-A'!$A$1:$Z$1,0))&amp;".png")</f>
        <v>#VALUE!</v>
      </c>
      <c r="Q98" s="231" t="str">
        <f>+INDEX(WP!$A:$AN,MATCH(F98,WP!$B:$B,0),MATCH("Ability V3",WP!$A$2:$AN$2,0))</f>
        <v>Flurry Strength +20%</v>
      </c>
      <c r="R98" s="735"/>
    </row>
    <row r="99" spans="1:18" ht="7.5" customHeight="1" x14ac:dyDescent="0.2">
      <c r="A99" t="s">
        <v>10763</v>
      </c>
    </row>
    <row r="100" spans="1:18" ht="22.5" customHeight="1" x14ac:dyDescent="0.2">
      <c r="B100" s="729" t="e" vm="372">
        <f>_xlfn.IMAGE("https://natalie.tf/wp-content/uploads/2023/10/DLV3_Icon_WP_"&amp;G101&amp;"_01.png")</f>
        <v>#VALUE!</v>
      </c>
      <c r="D100" s="730" t="e" vm="373">
        <f>_xlfn.IMAGE("https://natalie.tf/wp-content/uploads/2023/10/DLV3_Icon_WP_"&amp;G101&amp;"_02.png")</f>
        <v>#VALUE!</v>
      </c>
      <c r="F100" s="717" t="str">
        <f>+INDEX(WP!$A:$AN,MATCH(F101,WP!$B:$B,0),MATCH("Name",WP!$A$2:$AN$2,0))</f>
        <v>Evening of Luxury</v>
      </c>
      <c r="G100" s="718"/>
      <c r="H100" s="719"/>
      <c r="J100" s="180" t="s">
        <v>10761</v>
      </c>
      <c r="K100" s="201">
        <f>+INDEX(WP!$A:$AN,MATCH(F101,WP!$B:$B,0),5)</f>
        <v>5</v>
      </c>
      <c r="L100" s="202">
        <f>+INDEX(WP!$A:$AN,MATCH(F101,WP!$B:$B,0),6)</f>
        <v>88</v>
      </c>
      <c r="M100" s="202">
        <f>+INDEX(WP!$A:$AN,MATCH(F101,WP!$B:$B,0),7)</f>
        <v>32</v>
      </c>
      <c r="N100" s="202" t="e" vm="339">
        <f>IFERROR(_xlfn.IMAGE("https://natalie.tf/wp-content/uploads/2023/11/DLV3_Icon_Affinity_"&amp;O100&amp;".png"),"")</f>
        <v>#VALUE!</v>
      </c>
      <c r="O100" s="203" t="str">
        <f>IF(INDEX(WP!$A:$AN,MATCH(F101,WP!$B:$B,0),8)=0,"None",INDEX(WP!$A:$AN,MATCH(F101,WP!$B:$B,0),8))</f>
        <v>Sword</v>
      </c>
      <c r="P100" s="8" t="e" vm="14">
        <f>_xlfn.IMAGE("https://natalie.tf/wp-content/uploads/2023/10/DLV3_Icon_Ability_"&amp;INDEX('WP-A'!$A$1:$Z$498,MATCH('WP-Print'!Q100,'WP-A'!$A:$A,0),MATCH("Icon",'WP-A'!$A$1:$Z$1,0))&amp;".png")</f>
        <v>#VALUE!</v>
      </c>
      <c r="Q100" s="231" t="str">
        <f>+INDEX(WP!$A:$AN,MATCH(F101,WP!$B:$B,0),MATCH("Ability",WP!$A$2:$AN$2,0))</f>
        <v>Full HP = Strength +15%</v>
      </c>
      <c r="R100" s="734" t="str">
        <f>+INDEX(WP!$A:$AN,MATCH(F101,WP!$B:$B,0),MATCH("Obtain From",WP!$A$2:$AN$2,0))</f>
        <v>Obtain From Ch. 09 EX 1 Chest (Very Hard) (Non-Endeavor)</v>
      </c>
    </row>
    <row r="101" spans="1:18" ht="22.5" customHeight="1" x14ac:dyDescent="0.2">
      <c r="A101" s="204" t="str">
        <f>TEXT(A98+1,"000")</f>
        <v>033</v>
      </c>
      <c r="B101" s="729"/>
      <c r="C101" s="8"/>
      <c r="D101" s="729"/>
      <c r="E101" s="8"/>
      <c r="F101" s="200" t="str">
        <f>"WP-"&amp;A101</f>
        <v>WP-033</v>
      </c>
      <c r="G101" s="200">
        <f>+INDEX(WP!$A:$AN,MATCH(F101,WP!$B:$B,0),MATCH("ID",WP!$A$2:$AN$2,0))</f>
        <v>400064</v>
      </c>
      <c r="I101" s="8"/>
      <c r="J101" s="180" t="s">
        <v>10762</v>
      </c>
      <c r="K101" s="201">
        <f>+INDEX(WP!$A:$AN,MATCH(F101,WP!$B:$B,0),14)</f>
        <v>5</v>
      </c>
      <c r="L101" s="202">
        <f>+INDEX(WP!$A:$AN,MATCH(F101,WP!$B:$B,0),15)</f>
        <v>150</v>
      </c>
      <c r="M101" s="202">
        <f>+INDEX(WP!$A:$AN,MATCH(F101,WP!$B:$B,0),16)</f>
        <v>90</v>
      </c>
      <c r="N101" s="202" t="e" vm="339">
        <f>IFERROR(_xlfn.IMAGE("https://natalie.tf/wp-content/uploads/2023/11/DLV3_Icon_Affinity_"&amp;O101&amp;".png"),"")</f>
        <v>#VALUE!</v>
      </c>
      <c r="O101" s="203" t="str">
        <f>+INDEX(WP!$A:$AN,MATCH(F101,WP!$B:$B,0),17)</f>
        <v>Sword</v>
      </c>
      <c r="P101" s="8" t="e" vm="14">
        <f>_xlfn.IMAGE("https://natalie.tf/wp-content/uploads/2023/10/DLV3_Icon_Ability_"&amp;INDEX('WP-A'!$A$1:$Z$498,MATCH('WP-Print'!Q101,'WP-A'!$A:$A,0),MATCH("Icon",'WP-A'!$A$1:$Z$1,0))&amp;".png")</f>
        <v>#VALUE!</v>
      </c>
      <c r="Q101" s="231" t="str">
        <f>+INDEX(WP!$A:$AN,MATCH(F101,WP!$B:$B,0),MATCH("Ability V3",WP!$A$2:$AN$2,0))</f>
        <v>Strength +15%</v>
      </c>
      <c r="R101" s="735"/>
    </row>
    <row r="102" spans="1:18" ht="7.5" customHeight="1" x14ac:dyDescent="0.2">
      <c r="A102" t="s">
        <v>10763</v>
      </c>
    </row>
    <row r="103" spans="1:18" ht="22.5" customHeight="1" x14ac:dyDescent="0.2">
      <c r="B103" s="729" t="e" vm="374">
        <f>_xlfn.IMAGE("https://natalie.tf/wp-content/uploads/2023/10/DLV3_Icon_WP_"&amp;G104&amp;"_01.png")</f>
        <v>#VALUE!</v>
      </c>
      <c r="D103" s="730" t="e" vm="375">
        <f>_xlfn.IMAGE("https://natalie.tf/wp-content/uploads/2023/10/DLV3_Icon_WP_"&amp;G104&amp;"_02.png")</f>
        <v>#VALUE!</v>
      </c>
      <c r="F103" s="717" t="str">
        <f>+INDEX(WP!$A:$AN,MATCH(F104,WP!$B:$B,0),MATCH("Name",WP!$A$2:$AN$2,0))</f>
        <v>Worthy Rivals</v>
      </c>
      <c r="G103" s="718"/>
      <c r="H103" s="719"/>
      <c r="J103" s="180" t="s">
        <v>10761</v>
      </c>
      <c r="K103" s="201">
        <f>+INDEX(WP!$A:$AN,MATCH(F104,WP!$B:$B,0),5)</f>
        <v>5</v>
      </c>
      <c r="L103" s="202">
        <f>+INDEX(WP!$A:$AN,MATCH(F104,WP!$B:$B,0),6)</f>
        <v>88</v>
      </c>
      <c r="M103" s="202">
        <f>+INDEX(WP!$A:$AN,MATCH(F104,WP!$B:$B,0),7)</f>
        <v>32</v>
      </c>
      <c r="N103" s="202" t="e" vm="343">
        <f>IFERROR(_xlfn.IMAGE("https://natalie.tf/wp-content/uploads/2023/11/DLV3_Icon_Affinity_"&amp;O103&amp;".png"),"")</f>
        <v>#VALUE!</v>
      </c>
      <c r="O103" s="203" t="str">
        <f>IF(INDEX(WP!$A:$AN,MATCH(F104,WP!$B:$B,0),8)=0,"None",INDEX(WP!$A:$AN,MATCH(F104,WP!$B:$B,0),8))</f>
        <v>Axe</v>
      </c>
      <c r="P103" s="8" t="e" vm="376">
        <f>_xlfn.IMAGE("https://natalie.tf/wp-content/uploads/2023/10/DLV3_Icon_Ability_"&amp;INDEX('WP-A'!$A$1:$Z$498,MATCH('WP-Print'!Q103,'WP-A'!$A:$A,0),MATCH("Icon",'WP-A'!$A$1:$Z$1,0))&amp;".png")</f>
        <v>#VALUE!</v>
      </c>
      <c r="Q103" s="231" t="str">
        <f>+INDEX(WP!$A:$AN,MATCH(F104,WP!$B:$B,0),MATCH("Ability",WP!$A$2:$AN$2,0))</f>
        <v>Broken Punisher +30%</v>
      </c>
      <c r="R103" s="734" t="str">
        <f>+INDEX(WP!$A:$AN,MATCH(F104,WP!$B:$B,0),MATCH("Obtain From",WP!$A$2:$AN$2,0))</f>
        <v>Obtain From Ch. 07 EX 1 Chest (Normal) (Non-Endeavor)</v>
      </c>
    </row>
    <row r="104" spans="1:18" ht="22.5" customHeight="1" x14ac:dyDescent="0.2">
      <c r="A104" s="204" t="str">
        <f>TEXT(A101+1,"000")</f>
        <v>034</v>
      </c>
      <c r="B104" s="729"/>
      <c r="C104" s="8"/>
      <c r="D104" s="729"/>
      <c r="E104" s="8"/>
      <c r="F104" s="200" t="str">
        <f>"WP-"&amp;A104</f>
        <v>WP-034</v>
      </c>
      <c r="G104" s="200">
        <f>+INDEX(WP!$A:$AN,MATCH(F104,WP!$B:$B,0),MATCH("ID",WP!$A$2:$AN$2,0))</f>
        <v>400065</v>
      </c>
      <c r="I104" s="8"/>
      <c r="J104" s="180" t="s">
        <v>10762</v>
      </c>
      <c r="K104" s="201">
        <f>+INDEX(WP!$A:$AN,MATCH(F104,WP!$B:$B,0),14)</f>
        <v>5</v>
      </c>
      <c r="L104" s="202">
        <f>+INDEX(WP!$A:$AN,MATCH(F104,WP!$B:$B,0),15)</f>
        <v>150</v>
      </c>
      <c r="M104" s="202">
        <f>+INDEX(WP!$A:$AN,MATCH(F104,WP!$B:$B,0),16)</f>
        <v>90</v>
      </c>
      <c r="N104" s="202" t="e" vm="343">
        <f>IFERROR(_xlfn.IMAGE("https://natalie.tf/wp-content/uploads/2023/11/DLV3_Icon_Affinity_"&amp;O104&amp;".png"),"")</f>
        <v>#VALUE!</v>
      </c>
      <c r="O104" s="203" t="str">
        <f>+INDEX(WP!$A:$AN,MATCH(F104,WP!$B:$B,0),17)</f>
        <v>Axe</v>
      </c>
      <c r="P104" s="8" t="e" vm="376">
        <f>_xlfn.IMAGE("https://natalie.tf/wp-content/uploads/2023/10/DLV3_Icon_Ability_"&amp;INDEX('WP-A'!$A$1:$Z$498,MATCH('WP-Print'!Q104,'WP-A'!$A:$A,0),MATCH("Icon",'WP-A'!$A$1:$Z$1,0))&amp;".png")</f>
        <v>#VALUE!</v>
      </c>
      <c r="Q104" s="231" t="str">
        <f>+INDEX(WP!$A:$AN,MATCH(F104,WP!$B:$B,0),MATCH("Ability V3",WP!$A$2:$AN$2,0))</f>
        <v>Broken Punisher +30%</v>
      </c>
      <c r="R104" s="735"/>
    </row>
    <row r="105" spans="1:18" ht="7.5" customHeight="1" x14ac:dyDescent="0.2">
      <c r="A105" t="s">
        <v>10763</v>
      </c>
    </row>
    <row r="106" spans="1:18" ht="22.5" customHeight="1" x14ac:dyDescent="0.2">
      <c r="B106" s="729" t="e" vm="377">
        <f>_xlfn.IMAGE("https://natalie.tf/wp-content/uploads/2023/10/DLV3_Icon_WP_"&amp;G107&amp;"_01.png")</f>
        <v>#VALUE!</v>
      </c>
      <c r="D106" s="730" t="e" vm="378">
        <f>_xlfn.IMAGE("https://natalie.tf/wp-content/uploads/2023/10/DLV3_Icon_WP_"&amp;G107&amp;"_02.png")</f>
        <v>#VALUE!</v>
      </c>
      <c r="F106" s="717" t="str">
        <f>+INDEX(WP!$A:$AN,MATCH(F107,WP!$B:$B,0),MATCH("Name",WP!$A$2:$AN$2,0))</f>
        <v>Auspex's Prayer</v>
      </c>
      <c r="G106" s="718"/>
      <c r="H106" s="719"/>
      <c r="J106" s="180" t="s">
        <v>10761</v>
      </c>
      <c r="K106" s="201">
        <f>+INDEX(WP!$A:$AN,MATCH(F107,WP!$B:$B,0),5)</f>
        <v>5</v>
      </c>
      <c r="L106" s="202">
        <f>+INDEX(WP!$A:$AN,MATCH(F107,WP!$B:$B,0),6)</f>
        <v>94</v>
      </c>
      <c r="M106" s="202">
        <f>+INDEX(WP!$A:$AN,MATCH(F107,WP!$B:$B,0),7)</f>
        <v>26</v>
      </c>
      <c r="N106" s="202" t="e" vm="342">
        <f>IFERROR(_xlfn.IMAGE("https://natalie.tf/wp-content/uploads/2023/11/DLV3_Icon_Affinity_"&amp;O106&amp;".png"),"")</f>
        <v>#VALUE!</v>
      </c>
      <c r="O106" s="203" t="str">
        <f>IF(INDEX(WP!$A:$AN,MATCH(F107,WP!$B:$B,0),8)=0,"None",INDEX(WP!$A:$AN,MATCH(F107,WP!$B:$B,0),8))</f>
        <v>Bow</v>
      </c>
      <c r="P106" s="8" t="e" vm="349">
        <f>_xlfn.IMAGE("https://natalie.tf/wp-content/uploads/2023/10/DLV3_Icon_Ability_"&amp;INDEX('WP-A'!$A$1:$Z$498,MATCH('WP-Print'!Q106,'WP-A'!$A:$A,0),MATCH("Icon",'WP-A'!$A$1:$Z$1,0))&amp;".png")</f>
        <v>#VALUE!</v>
      </c>
      <c r="Q106" s="231" t="str">
        <f>+INDEX(WP!$A:$AN,MATCH(F107,WP!$B:$B,0),MATCH("Ability",WP!$A$2:$AN$2,0))</f>
        <v>Full HP = Healing +20%</v>
      </c>
      <c r="R106" s="734" t="str">
        <f>+INDEX(WP!$A:$AN,MATCH(F107,WP!$B:$B,0),MATCH("Obtain From",WP!$A$2:$AN$2,0))</f>
        <v>Obtain From Ch. 06 EX 1 Chest (Very Hard) (Non-Endeavor)</v>
      </c>
    </row>
    <row r="107" spans="1:18" ht="22.5" customHeight="1" x14ac:dyDescent="0.2">
      <c r="A107" s="204" t="str">
        <f>TEXT(A104+1,"000")</f>
        <v>035</v>
      </c>
      <c r="B107" s="729"/>
      <c r="C107" s="8"/>
      <c r="D107" s="729"/>
      <c r="E107" s="8"/>
      <c r="F107" s="200" t="str">
        <f>"WP-"&amp;A107</f>
        <v>WP-035</v>
      </c>
      <c r="G107" s="200">
        <f>+INDEX(WP!$A:$AN,MATCH(F107,WP!$B:$B,0),MATCH("ID",WP!$A$2:$AN$2,0))</f>
        <v>400066</v>
      </c>
      <c r="I107" s="8"/>
      <c r="J107" s="180" t="s">
        <v>10762</v>
      </c>
      <c r="K107" s="201">
        <f>+INDEX(WP!$A:$AN,MATCH(F107,WP!$B:$B,0),14)</f>
        <v>5</v>
      </c>
      <c r="L107" s="202">
        <f>+INDEX(WP!$A:$AN,MATCH(F107,WP!$B:$B,0),15)</f>
        <v>150</v>
      </c>
      <c r="M107" s="202">
        <f>+INDEX(WP!$A:$AN,MATCH(F107,WP!$B:$B,0),16)</f>
        <v>90</v>
      </c>
      <c r="N107" s="202" t="e" vm="342">
        <f>IFERROR(_xlfn.IMAGE("https://natalie.tf/wp-content/uploads/2023/11/DLV3_Icon_Affinity_"&amp;O107&amp;".png"),"")</f>
        <v>#VALUE!</v>
      </c>
      <c r="O107" s="203" t="str">
        <f>+INDEX(WP!$A:$AN,MATCH(F107,WP!$B:$B,0),17)</f>
        <v>Bow</v>
      </c>
      <c r="P107" s="8" t="e" vm="349">
        <f>_xlfn.IMAGE("https://natalie.tf/wp-content/uploads/2023/10/DLV3_Icon_Ability_"&amp;INDEX('WP-A'!$A$1:$Z$498,MATCH('WP-Print'!Q107,'WP-A'!$A:$A,0),MATCH("Icon",'WP-A'!$A$1:$Z$1,0))&amp;".png")</f>
        <v>#VALUE!</v>
      </c>
      <c r="Q107" s="231" t="str">
        <f>+INDEX(WP!$A:$AN,MATCH(F107,WP!$B:$B,0),MATCH("Ability V3",WP!$A$2:$AN$2,0))</f>
        <v>Recovery Potency +15%</v>
      </c>
      <c r="R107" s="735"/>
    </row>
    <row r="108" spans="1:18" ht="7.5" customHeight="1" x14ac:dyDescent="0.2">
      <c r="A108" t="s">
        <v>10763</v>
      </c>
    </row>
    <row r="109" spans="1:18" ht="22.5" customHeight="1" x14ac:dyDescent="0.2">
      <c r="B109" s="729" t="e" vm="379">
        <f>_xlfn.IMAGE("https://natalie.tf/wp-content/uploads/2023/10/DLV3_Icon_WP_"&amp;G110&amp;"_01.png")</f>
        <v>#VALUE!</v>
      </c>
      <c r="D109" s="730" t="e" vm="380">
        <f>_xlfn.IMAGE("https://natalie.tf/wp-content/uploads/2023/10/DLV3_Icon_WP_"&amp;G110&amp;"_02.png")</f>
        <v>#VALUE!</v>
      </c>
      <c r="F109" s="717" t="str">
        <f>+INDEX(WP!$A:$AN,MATCH(F110,WP!$B:$B,0),MATCH("Name",WP!$A$2:$AN$2,0))</f>
        <v>Dragon Brethren</v>
      </c>
      <c r="G109" s="718"/>
      <c r="H109" s="719"/>
      <c r="J109" s="180" t="s">
        <v>10761</v>
      </c>
      <c r="K109" s="201">
        <f>+INDEX(WP!$A:$AN,MATCH(F110,WP!$B:$B,0),5)</f>
        <v>5</v>
      </c>
      <c r="L109" s="202">
        <f>+INDEX(WP!$A:$AN,MATCH(F110,WP!$B:$B,0),6)</f>
        <v>92</v>
      </c>
      <c r="M109" s="202">
        <f>+INDEX(WP!$A:$AN,MATCH(F110,WP!$B:$B,0),7)</f>
        <v>28</v>
      </c>
      <c r="N109" s="202" t="e" vm="381">
        <f>IFERROR(_xlfn.IMAGE("https://natalie.tf/wp-content/uploads/2023/11/DLV3_Icon_Affinity_"&amp;O109&amp;".png"),"")</f>
        <v>#VALUE!</v>
      </c>
      <c r="O109" s="203" t="str">
        <f>IF(INDEX(WP!$A:$AN,MATCH(F110,WP!$B:$B,0),8)=0,"None",INDEX(WP!$A:$AN,MATCH(F110,WP!$B:$B,0),8))</f>
        <v>Dragon</v>
      </c>
      <c r="P109" s="8" t="e" vm="382">
        <f>_xlfn.IMAGE("https://natalie.tf/wp-content/uploads/2023/10/DLV3_Icon_Ability_"&amp;INDEX('WP-A'!$A$1:$Z$498,MATCH('WP-Print'!Q109,'WP-A'!$A:$A,0),MATCH("Icon",'WP-A'!$A$1:$Z$1,0))&amp;".png")</f>
        <v>#VALUE!</v>
      </c>
      <c r="Q109" s="231" t="str">
        <f>+INDEX(WP!$A:$AN,MATCH(F110,WP!$B:$B,0),MATCH("Ability",WP!$A$2:$AN$2,0))</f>
        <v>Dragon Time +20%</v>
      </c>
      <c r="R109" s="734" t="str">
        <f>+INDEX(WP!$A:$AN,MATCH(F110,WP!$B:$B,0),MATCH("Obtain From",WP!$A$2:$AN$2,0))</f>
        <v>Obtain From Ch. 07 EX 2 Chest (Very Hard) (Non-Endeavor)</v>
      </c>
    </row>
    <row r="110" spans="1:18" ht="22.5" customHeight="1" x14ac:dyDescent="0.2">
      <c r="A110" s="204" t="str">
        <f>TEXT(A107+1,"000")</f>
        <v>036</v>
      </c>
      <c r="B110" s="729"/>
      <c r="C110" s="8"/>
      <c r="D110" s="729"/>
      <c r="E110" s="8"/>
      <c r="F110" s="200" t="str">
        <f>"WP-"&amp;A110</f>
        <v>WP-036</v>
      </c>
      <c r="G110" s="200">
        <f>+INDEX(WP!$A:$AN,MATCH(F110,WP!$B:$B,0),MATCH("ID",WP!$A$2:$AN$2,0))</f>
        <v>400067</v>
      </c>
      <c r="I110" s="8"/>
      <c r="J110" s="180" t="s">
        <v>10762</v>
      </c>
      <c r="K110" s="201">
        <f>+INDEX(WP!$A:$AN,MATCH(F110,WP!$B:$B,0),14)</f>
        <v>5</v>
      </c>
      <c r="L110" s="202">
        <f>+INDEX(WP!$A:$AN,MATCH(F110,WP!$B:$B,0),15)</f>
        <v>150</v>
      </c>
      <c r="M110" s="202">
        <f>+INDEX(WP!$A:$AN,MATCH(F110,WP!$B:$B,0),16)</f>
        <v>90</v>
      </c>
      <c r="N110" s="202" t="e" vm="381">
        <f>IFERROR(_xlfn.IMAGE("https://natalie.tf/wp-content/uploads/2023/11/DLV3_Icon_Affinity_"&amp;O110&amp;".png"),"")</f>
        <v>#VALUE!</v>
      </c>
      <c r="O110" s="203" t="str">
        <f>+INDEX(WP!$A:$AN,MATCH(F110,WP!$B:$B,0),17)</f>
        <v>Dragon</v>
      </c>
      <c r="P110" s="8" t="e" vm="382">
        <f>_xlfn.IMAGE("https://natalie.tf/wp-content/uploads/2023/10/DLV3_Icon_Ability_"&amp;INDEX('WP-A'!$A$1:$Z$498,MATCH('WP-Print'!Q110,'WP-A'!$A:$A,0),MATCH("Icon",'WP-A'!$A$1:$Z$1,0))&amp;".png")</f>
        <v>#VALUE!</v>
      </c>
      <c r="Q110" s="231" t="str">
        <f>+INDEX(WP!$A:$AN,MATCH(F110,WP!$B:$B,0),MATCH("Ability V3",WP!$A$2:$AN$2,0))</f>
        <v>Dragon Time +20%</v>
      </c>
      <c r="R110" s="735"/>
    </row>
    <row r="111" spans="1:18" ht="7.5" customHeight="1" x14ac:dyDescent="0.2">
      <c r="A111" t="s">
        <v>10763</v>
      </c>
    </row>
    <row r="112" spans="1:18" ht="22.5" customHeight="1" x14ac:dyDescent="0.2">
      <c r="B112" s="729" t="e" vm="383">
        <f>_xlfn.IMAGE("https://natalie.tf/wp-content/uploads/2023/10/DLV3_Icon_WP_"&amp;G113&amp;"_01.png")</f>
        <v>#VALUE!</v>
      </c>
      <c r="D112" s="730" t="e" vm="384">
        <f>_xlfn.IMAGE("https://natalie.tf/wp-content/uploads/2023/10/DLV3_Icon_WP_"&amp;G113&amp;"_02.png")</f>
        <v>#VALUE!</v>
      </c>
      <c r="F112" s="717" t="str">
        <f>+INDEX(WP!$A:$AN,MATCH(F113,WP!$B:$B,0),MATCH("Name",WP!$A$2:$AN$2,0))</f>
        <v>Luca's Prank</v>
      </c>
      <c r="G112" s="718"/>
      <c r="H112" s="719"/>
      <c r="J112" s="180" t="s">
        <v>10761</v>
      </c>
      <c r="K112" s="201">
        <f>+INDEX(WP!$A:$AN,MATCH(F113,WP!$B:$B,0),5)</f>
        <v>5</v>
      </c>
      <c r="L112" s="202">
        <f>+INDEX(WP!$A:$AN,MATCH(F113,WP!$B:$B,0),6)</f>
        <v>91</v>
      </c>
      <c r="M112" s="202">
        <f>+INDEX(WP!$A:$AN,MATCH(F113,WP!$B:$B,0),7)</f>
        <v>29</v>
      </c>
      <c r="N112" s="202" t="e" vm="341">
        <f>IFERROR(_xlfn.IMAGE("https://natalie.tf/wp-content/uploads/2023/11/DLV3_Icon_Affinity_"&amp;O112&amp;".png"),"")</f>
        <v>#VALUE!</v>
      </c>
      <c r="O112" s="203" t="str">
        <f>IF(INDEX(WP!$A:$AN,MATCH(F113,WP!$B:$B,0),8)=0,"None",INDEX(WP!$A:$AN,MATCH(F113,WP!$B:$B,0),8))</f>
        <v>Crown</v>
      </c>
      <c r="P112" s="8" t="e" vm="322">
        <f>_xlfn.IMAGE("https://natalie.tf/wp-content/uploads/2023/10/DLV3_Icon_Ability_"&amp;INDEX('WP-A'!$A$1:$Z$498,MATCH('WP-Print'!Q112,'WP-A'!$A:$A,0),MATCH("Icon",'WP-A'!$A$1:$Z$1,0))&amp;".png")</f>
        <v>#VALUE!</v>
      </c>
      <c r="Q112" s="231" t="str">
        <f>+INDEX(WP!$A:$AN,MATCH(F113,WP!$B:$B,0),MATCH("Ability",WP!$A$2:$AN$2,0))</f>
        <v>Skill Damage +30%</v>
      </c>
      <c r="R112" s="734" t="str">
        <f>+INDEX(WP!$A:$AN,MATCH(F113,WP!$B:$B,0),MATCH("Obtain From",WP!$A$2:$AN$2,0))</f>
        <v>Obtain From Ch. 02 EX 2 Chest (Very hard) (Non-Endeavor)</v>
      </c>
    </row>
    <row r="113" spans="1:18" ht="22.5" customHeight="1" x14ac:dyDescent="0.2">
      <c r="A113" s="204" t="str">
        <f>TEXT(A110+1,"000")</f>
        <v>037</v>
      </c>
      <c r="B113" s="729"/>
      <c r="C113" s="8"/>
      <c r="D113" s="729"/>
      <c r="E113" s="8"/>
      <c r="F113" s="200" t="str">
        <f>"WP-"&amp;A113</f>
        <v>WP-037</v>
      </c>
      <c r="G113" s="200">
        <f>+INDEX(WP!$A:$AN,MATCH(F113,WP!$B:$B,0),MATCH("ID",WP!$A$2:$AN$2,0))</f>
        <v>400068</v>
      </c>
      <c r="I113" s="8"/>
      <c r="J113" s="180" t="s">
        <v>10762</v>
      </c>
      <c r="K113" s="201">
        <f>+INDEX(WP!$A:$AN,MATCH(F113,WP!$B:$B,0),14)</f>
        <v>5</v>
      </c>
      <c r="L113" s="202">
        <f>+INDEX(WP!$A:$AN,MATCH(F113,WP!$B:$B,0),15)</f>
        <v>150</v>
      </c>
      <c r="M113" s="202">
        <f>+INDEX(WP!$A:$AN,MATCH(F113,WP!$B:$B,0),16)</f>
        <v>90</v>
      </c>
      <c r="N113" s="202" t="e" vm="342">
        <f>IFERROR(_xlfn.IMAGE("https://natalie.tf/wp-content/uploads/2023/11/DLV3_Icon_Affinity_"&amp;O113&amp;".png"),"")</f>
        <v>#VALUE!</v>
      </c>
      <c r="O113" s="203" t="str">
        <f>+INDEX(WP!$A:$AN,MATCH(F113,WP!$B:$B,0),17)</f>
        <v>Bow</v>
      </c>
      <c r="P113" s="8" t="e" vm="322">
        <f>_xlfn.IMAGE("https://natalie.tf/wp-content/uploads/2023/10/DLV3_Icon_Ability_"&amp;INDEX('WP-A'!$A$1:$Z$498,MATCH('WP-Print'!Q113,'WP-A'!$A:$A,0),MATCH("Icon",'WP-A'!$A$1:$Z$1,0))&amp;".png")</f>
        <v>#VALUE!</v>
      </c>
      <c r="Q113" s="231" t="str">
        <f>+INDEX(WP!$A:$AN,MATCH(F113,WP!$B:$B,0),MATCH("Ability V3",WP!$A$2:$AN$2,0))</f>
        <v>(Wind) Skill Damage +35%</v>
      </c>
      <c r="R113" s="735"/>
    </row>
    <row r="114" spans="1:18" ht="7.5" customHeight="1" x14ac:dyDescent="0.2">
      <c r="A114" t="s">
        <v>10763</v>
      </c>
    </row>
    <row r="115" spans="1:18" ht="22.5" customHeight="1" x14ac:dyDescent="0.2">
      <c r="B115" s="729" t="e" vm="385">
        <f>_xlfn.IMAGE("https://natalie.tf/wp-content/uploads/2023/10/DLV3_Icon_WP_"&amp;G116&amp;"_01.png")</f>
        <v>#VALUE!</v>
      </c>
      <c r="D115" s="730" t="e" vm="386">
        <f>_xlfn.IMAGE("https://natalie.tf/wp-content/uploads/2023/10/DLV3_Icon_WP_"&amp;G116&amp;"_02.png")</f>
        <v>#VALUE!</v>
      </c>
      <c r="F115" s="717" t="str">
        <f>+INDEX(WP!$A:$AN,MATCH(F116,WP!$B:$B,0),MATCH("Name",WP!$A$2:$AN$2,0))</f>
        <v>Give Me Your Wounded</v>
      </c>
      <c r="G115" s="718"/>
      <c r="H115" s="719"/>
      <c r="J115" s="180" t="s">
        <v>10761</v>
      </c>
      <c r="K115" s="201">
        <f>+INDEX(WP!$A:$AN,MATCH(F116,WP!$B:$B,0),5)</f>
        <v>5</v>
      </c>
      <c r="L115" s="202">
        <f>+INDEX(WP!$A:$AN,MATCH(F116,WP!$B:$B,0),6)</f>
        <v>94</v>
      </c>
      <c r="M115" s="202">
        <f>+INDEX(WP!$A:$AN,MATCH(F116,WP!$B:$B,0),7)</f>
        <v>26</v>
      </c>
      <c r="N115" s="202" t="e" vm="345">
        <f>IFERROR(_xlfn.IMAGE("https://natalie.tf/wp-content/uploads/2023/11/DLV3_Icon_Affinity_"&amp;O115&amp;".png"),"")</f>
        <v>#VALUE!</v>
      </c>
      <c r="O115" s="203" t="str">
        <f>IF(INDEX(WP!$A:$AN,MATCH(F116,WP!$B:$B,0),8)=0,"None",INDEX(WP!$A:$AN,MATCH(F116,WP!$B:$B,0),8))</f>
        <v>Staff</v>
      </c>
      <c r="P115" s="8" t="e" vm="349">
        <f>_xlfn.IMAGE("https://natalie.tf/wp-content/uploads/2023/10/DLV3_Icon_Ability_"&amp;INDEX('WP-A'!$A$1:$Z$498,MATCH('WP-Print'!Q115,'WP-A'!$A:$A,0),MATCH("Icon",'WP-A'!$A$1:$Z$1,0))&amp;".png")</f>
        <v>#VALUE!</v>
      </c>
      <c r="Q115" s="231" t="str">
        <f>+INDEX(WP!$A:$AN,MATCH(F116,WP!$B:$B,0),MATCH("Ability",WP!$A$2:$AN$2,0))</f>
        <v>Recovery Potency +13%</v>
      </c>
      <c r="R115" s="734" t="str">
        <f>+INDEX(WP!$A:$AN,MATCH(F116,WP!$B:$B,0),MATCH("Obtain From",WP!$A$2:$AN$2,0))</f>
        <v>Clear Avenue to Power</v>
      </c>
    </row>
    <row r="116" spans="1:18" ht="22.5" customHeight="1" x14ac:dyDescent="0.2">
      <c r="A116" s="204" t="str">
        <f>TEXT(A113+1,"000")</f>
        <v>038</v>
      </c>
      <c r="B116" s="729"/>
      <c r="C116" s="8"/>
      <c r="D116" s="729"/>
      <c r="E116" s="8"/>
      <c r="F116" s="200" t="str">
        <f>"WP-"&amp;A116</f>
        <v>WP-038</v>
      </c>
      <c r="G116" s="200">
        <f>+INDEX(WP!$A:$AN,MATCH(F116,WP!$B:$B,0),MATCH("ID",WP!$A$2:$AN$2,0))</f>
        <v>400052</v>
      </c>
      <c r="I116" s="8"/>
      <c r="J116" s="180" t="s">
        <v>10762</v>
      </c>
      <c r="K116" s="201">
        <f>+INDEX(WP!$A:$AN,MATCH(F116,WP!$B:$B,0),14)</f>
        <v>5</v>
      </c>
      <c r="L116" s="202">
        <f>+INDEX(WP!$A:$AN,MATCH(F116,WP!$B:$B,0),15)</f>
        <v>150</v>
      </c>
      <c r="M116" s="202">
        <f>+INDEX(WP!$A:$AN,MATCH(F116,WP!$B:$B,0),16)</f>
        <v>90</v>
      </c>
      <c r="N116" s="202" t="e" vm="345">
        <f>IFERROR(_xlfn.IMAGE("https://natalie.tf/wp-content/uploads/2023/11/DLV3_Icon_Affinity_"&amp;O116&amp;".png"),"")</f>
        <v>#VALUE!</v>
      </c>
      <c r="O116" s="203" t="str">
        <f>+INDEX(WP!$A:$AN,MATCH(F116,WP!$B:$B,0),17)</f>
        <v>Staff</v>
      </c>
      <c r="P116" s="8" t="e" vm="349">
        <f>_xlfn.IMAGE("https://natalie.tf/wp-content/uploads/2023/10/DLV3_Icon_Ability_"&amp;INDEX('WP-A'!$A$1:$Z$498,MATCH('WP-Print'!Q116,'WP-A'!$A:$A,0),MATCH("Icon",'WP-A'!$A$1:$Z$1,0))&amp;".png")</f>
        <v>#VALUE!</v>
      </c>
      <c r="Q116" s="231" t="str">
        <f>+INDEX(WP!$A:$AN,MATCH(F116,WP!$B:$B,0),MATCH("Ability V3",WP!$A$2:$AN$2,0))</f>
        <v>(Staff) Recovery Potency +20%</v>
      </c>
      <c r="R116" s="735"/>
    </row>
    <row r="117" spans="1:18" ht="7.5" customHeight="1" x14ac:dyDescent="0.2">
      <c r="A117" t="s">
        <v>10763</v>
      </c>
    </row>
    <row r="118" spans="1:18" ht="22.5" customHeight="1" x14ac:dyDescent="0.2">
      <c r="B118" s="729" t="e" vm="387">
        <f>_xlfn.IMAGE("https://natalie.tf/wp-content/uploads/2023/10/DLV3_Icon_WP_"&amp;G119&amp;"_01.png")</f>
        <v>#VALUE!</v>
      </c>
      <c r="D118" s="730" t="e" vm="388">
        <f>_xlfn.IMAGE("https://natalie.tf/wp-content/uploads/2023/10/DLV3_Icon_WP_"&amp;G119&amp;"_02.png")</f>
        <v>#VALUE!</v>
      </c>
      <c r="F118" s="717" t="str">
        <f>+INDEX(WP!$A:$AN,MATCH(F119,WP!$B:$B,0),MATCH("Name",WP!$A$2:$AN$2,0))</f>
        <v>Levin's Champion</v>
      </c>
      <c r="G118" s="718"/>
      <c r="H118" s="719"/>
      <c r="J118" s="180" t="s">
        <v>10761</v>
      </c>
      <c r="K118" s="201">
        <f>+INDEX(WP!$A:$AN,MATCH(F119,WP!$B:$B,0),5)</f>
        <v>5</v>
      </c>
      <c r="L118" s="202">
        <f>+INDEX(WP!$A:$AN,MATCH(F119,WP!$B:$B,0),6)</f>
        <v>88</v>
      </c>
      <c r="M118" s="202">
        <f>+INDEX(WP!$A:$AN,MATCH(F119,WP!$B:$B,0),7)</f>
        <v>32</v>
      </c>
      <c r="N118" s="202" t="str">
        <f ca="1">IFERROR(_xlfn.IMAGE("https://natalie.tf/wp-content/uploads/2023/11/DLV3_Icon_Affinity_"&amp;O118&amp;".png"),"")</f>
        <v/>
      </c>
      <c r="O118" s="203" t="str">
        <f>IF(INDEX(WP!$A:$AN,MATCH(F119,WP!$B:$B,0),8)=0,"None",INDEX(WP!$A:$AN,MATCH(F119,WP!$B:$B,0),8))</f>
        <v>None</v>
      </c>
      <c r="P118" s="8" t="e" vm="326">
        <f>_xlfn.IMAGE("https://natalie.tf/wp-content/uploads/2023/10/DLV3_Icon_Ability_"&amp;INDEX('WP-A'!$A$1:$Z$498,MATCH('WP-Print'!Q118,'WP-A'!$A:$A,0),MATCH("Icon",'WP-A'!$A$1:$Z$1,0))&amp;".png")</f>
        <v>#VALUE!</v>
      </c>
      <c r="Q118" s="231" t="str">
        <f>+INDEX(WP!$A:$AN,MATCH(F119,WP!$B:$B,0),MATCH("Ability",WP!$A$2:$AN$2,0))</f>
        <v>HP 70% = Critical Rate +10%</v>
      </c>
      <c r="R118" s="734" t="str">
        <f>+INDEX(WP!$A:$AN,MATCH(F119,WP!$B:$B,0),MATCH("Obtain From",WP!$A$2:$AN$2,0))</f>
        <v>Clear Ch. 03 4-3 of the Main Campaign (Very Hard)</v>
      </c>
    </row>
    <row r="119" spans="1:18" ht="22.5" customHeight="1" x14ac:dyDescent="0.2">
      <c r="A119" s="204" t="str">
        <f>TEXT(A116+1,"000")</f>
        <v>039</v>
      </c>
      <c r="B119" s="729"/>
      <c r="C119" s="8"/>
      <c r="D119" s="729"/>
      <c r="E119" s="8"/>
      <c r="F119" s="200" t="str">
        <f>"WP-"&amp;A119</f>
        <v>WP-039</v>
      </c>
      <c r="G119" s="200">
        <f>+INDEX(WP!$A:$AN,MATCH(F119,WP!$B:$B,0),MATCH("ID",WP!$A$2:$AN$2,0))</f>
        <v>400070</v>
      </c>
      <c r="I119" s="8"/>
      <c r="J119" s="180" t="s">
        <v>10762</v>
      </c>
      <c r="K119" s="201">
        <f>+INDEX(WP!$A:$AN,MATCH(F119,WP!$B:$B,0),14)</f>
        <v>5</v>
      </c>
      <c r="L119" s="202">
        <f>+INDEX(WP!$A:$AN,MATCH(F119,WP!$B:$B,0),15)</f>
        <v>150</v>
      </c>
      <c r="M119" s="202">
        <f>+INDEX(WP!$A:$AN,MATCH(F119,WP!$B:$B,0),16)</f>
        <v>90</v>
      </c>
      <c r="N119" s="202" t="e" vm="339">
        <f>IFERROR(_xlfn.IMAGE("https://natalie.tf/wp-content/uploads/2023/11/DLV3_Icon_Affinity_"&amp;O119&amp;".png"),"")</f>
        <v>#VALUE!</v>
      </c>
      <c r="O119" s="203" t="str">
        <f>+INDEX(WP!$A:$AN,MATCH(F119,WP!$B:$B,0),17)</f>
        <v>Sword</v>
      </c>
      <c r="P119" s="8" t="e" vm="326">
        <f>_xlfn.IMAGE("https://natalie.tf/wp-content/uploads/2023/10/DLV3_Icon_Ability_"&amp;INDEX('WP-A'!$A$1:$Z$498,MATCH('WP-Print'!Q119,'WP-A'!$A:$A,0),MATCH("Icon",'WP-A'!$A$1:$Z$1,0))&amp;".png")</f>
        <v>#VALUE!</v>
      </c>
      <c r="Q119" s="231" t="str">
        <f>+INDEX(WP!$A:$AN,MATCH(F119,WP!$B:$B,0),MATCH("Ability V3",WP!$A$2:$AN$2,0))</f>
        <v>Critical Rate +10%</v>
      </c>
      <c r="R119" s="735"/>
    </row>
    <row r="120" spans="1:18" ht="7.5" customHeight="1" x14ac:dyDescent="0.2">
      <c r="A120" t="s">
        <v>10763</v>
      </c>
    </row>
    <row r="121" spans="1:18" ht="22.5" customHeight="1" x14ac:dyDescent="0.2">
      <c r="B121" s="729" t="e" vm="389">
        <f>_xlfn.IMAGE("https://natalie.tf/wp-content/uploads/2023/10/DLV3_Icon_WP_"&amp;G122&amp;"_01.png")</f>
        <v>#VALUE!</v>
      </c>
      <c r="D121" s="730" t="e" vm="390">
        <f>_xlfn.IMAGE("https://natalie.tf/wp-content/uploads/2023/10/DLV3_Icon_WP_"&amp;G122&amp;"_02.png")</f>
        <v>#VALUE!</v>
      </c>
      <c r="F121" s="717" t="str">
        <f>+INDEX(WP!$A:$AN,MATCH(F122,WP!$B:$B,0),MATCH("Name",WP!$A$2:$AN$2,0))</f>
        <v>Nightstalker</v>
      </c>
      <c r="G121" s="718"/>
      <c r="H121" s="719"/>
      <c r="J121" s="180" t="s">
        <v>10761</v>
      </c>
      <c r="K121" s="201">
        <f>+INDEX(WP!$A:$AN,MATCH(F122,WP!$B:$B,0),5)</f>
        <v>5</v>
      </c>
      <c r="L121" s="202">
        <f>+INDEX(WP!$A:$AN,MATCH(F122,WP!$B:$B,0),6)</f>
        <v>91</v>
      </c>
      <c r="M121" s="202">
        <f>+INDEX(WP!$A:$AN,MATCH(F122,WP!$B:$B,0),7)</f>
        <v>29</v>
      </c>
      <c r="N121" s="202" t="e" vm="340">
        <f>IFERROR(_xlfn.IMAGE("https://natalie.tf/wp-content/uploads/2023/11/DLV3_Icon_Affinity_"&amp;O121&amp;".png"),"")</f>
        <v>#VALUE!</v>
      </c>
      <c r="O121" s="203" t="str">
        <f>IF(INDEX(WP!$A:$AN,MATCH(F122,WP!$B:$B,0),8)=0,"None",INDEX(WP!$A:$AN,MATCH(F122,WP!$B:$B,0),8))</f>
        <v>Lance</v>
      </c>
      <c r="P121" s="8" t="e" vm="7">
        <f>_xlfn.IMAGE("https://natalie.tf/wp-content/uploads/2023/10/DLV3_Icon_Ability_"&amp;INDEX('WP-A'!$A$1:$Z$498,MATCH('WP-Print'!Q121,'WP-A'!$A:$A,0),MATCH("Icon",'WP-A'!$A$1:$Z$1,0))&amp;".png")</f>
        <v>#VALUE!</v>
      </c>
      <c r="Q121" s="231" t="str">
        <f>+INDEX(WP!$A:$AN,MATCH(F122,WP!$B:$B,0),MATCH("Ability",WP!$A$2:$AN$2,0))</f>
        <v>Force Strike +50%</v>
      </c>
      <c r="R121" s="734" t="str">
        <f>+INDEX(WP!$A:$AN,MATCH(F122,WP!$B:$B,0),MATCH("Obtain From",WP!$A$2:$AN$2,0))</f>
        <v>Clear Ch. 01 4-5 of the Main Campaign (Very Hard)</v>
      </c>
    </row>
    <row r="122" spans="1:18" ht="22.5" customHeight="1" x14ac:dyDescent="0.2">
      <c r="A122" s="204" t="str">
        <f>TEXT(A119+1,"000")</f>
        <v>040</v>
      </c>
      <c r="B122" s="729"/>
      <c r="C122" s="8"/>
      <c r="D122" s="729"/>
      <c r="E122" s="8"/>
      <c r="F122" s="200" t="str">
        <f>"WP-"&amp;A122</f>
        <v>WP-040</v>
      </c>
      <c r="G122" s="200">
        <f>+INDEX(WP!$A:$AN,MATCH(F122,WP!$B:$B,0),MATCH("ID",WP!$A$2:$AN$2,0))</f>
        <v>400071</v>
      </c>
      <c r="I122" s="8"/>
      <c r="J122" s="180" t="s">
        <v>10762</v>
      </c>
      <c r="K122" s="201">
        <f>+INDEX(WP!$A:$AN,MATCH(F122,WP!$B:$B,0),14)</f>
        <v>5</v>
      </c>
      <c r="L122" s="202">
        <f>+INDEX(WP!$A:$AN,MATCH(F122,WP!$B:$B,0),15)</f>
        <v>150</v>
      </c>
      <c r="M122" s="202">
        <f>+INDEX(WP!$A:$AN,MATCH(F122,WP!$B:$B,0),16)</f>
        <v>90</v>
      </c>
      <c r="N122" s="202" t="e" vm="340">
        <f>IFERROR(_xlfn.IMAGE("https://natalie.tf/wp-content/uploads/2023/11/DLV3_Icon_Affinity_"&amp;O122&amp;".png"),"")</f>
        <v>#VALUE!</v>
      </c>
      <c r="O122" s="203" t="str">
        <f>+INDEX(WP!$A:$AN,MATCH(F122,WP!$B:$B,0),17)</f>
        <v>Lance</v>
      </c>
      <c r="P122" s="8" t="e" vm="7">
        <f>_xlfn.IMAGE("https://natalie.tf/wp-content/uploads/2023/10/DLV3_Icon_Ability_"&amp;INDEX('WP-A'!$A$1:$Z$498,MATCH('WP-Print'!Q122,'WP-A'!$A:$A,0),MATCH("Icon",'WP-A'!$A$1:$Z$1,0))&amp;".png")</f>
        <v>#VALUE!</v>
      </c>
      <c r="Q122" s="231" t="str">
        <f>+INDEX(WP!$A:$AN,MATCH(F122,WP!$B:$B,0),MATCH("Ability V3",WP!$A$2:$AN$2,0))</f>
        <v>Force Strike +50%</v>
      </c>
      <c r="R122" s="735"/>
    </row>
    <row r="123" spans="1:18" ht="7.5" customHeight="1" x14ac:dyDescent="0.2">
      <c r="A123" t="s">
        <v>10763</v>
      </c>
    </row>
    <row r="124" spans="1:18" ht="22.5" customHeight="1" x14ac:dyDescent="0.2">
      <c r="B124" s="729" t="e" vm="391">
        <f>_xlfn.IMAGE("https://natalie.tf/wp-content/uploads/2023/10/DLV3_Icon_WP_"&amp;G125&amp;"_01.png")</f>
        <v>#VALUE!</v>
      </c>
      <c r="D124" s="730" t="e" vm="392">
        <f>_xlfn.IMAGE("https://natalie.tf/wp-content/uploads/2023/10/DLV3_Icon_WP_"&amp;G125&amp;"_02.png")</f>
        <v>#VALUE!</v>
      </c>
      <c r="F124" s="717" t="str">
        <f>+INDEX(WP!$A:$AN,MATCH(F125,WP!$B:$B,0),MATCH("Name",WP!$A$2:$AN$2,0))</f>
        <v>Glorious Tempest</v>
      </c>
      <c r="G124" s="718"/>
      <c r="H124" s="719"/>
      <c r="J124" s="180" t="s">
        <v>10761</v>
      </c>
      <c r="K124" s="201">
        <f>+INDEX(WP!$A:$AN,MATCH(F125,WP!$B:$B,0),5)</f>
        <v>5</v>
      </c>
      <c r="L124" s="202">
        <f>+INDEX(WP!$A:$AN,MATCH(F125,WP!$B:$B,0),6)</f>
        <v>83</v>
      </c>
      <c r="M124" s="202">
        <f>+INDEX(WP!$A:$AN,MATCH(F125,WP!$B:$B,0),7)</f>
        <v>20</v>
      </c>
      <c r="N124" s="202" t="str">
        <f ca="1">IFERROR(_xlfn.IMAGE("https://natalie.tf/wp-content/uploads/2023/11/DLV3_Icon_Affinity_"&amp;O124&amp;".png"),"")</f>
        <v/>
      </c>
      <c r="O124" s="203" t="str">
        <f>IF(INDEX(WP!$A:$AN,MATCH(F125,WP!$B:$B,0),8)=0,"None",INDEX(WP!$A:$AN,MATCH(F125,WP!$B:$B,0),8))</f>
        <v>None</v>
      </c>
      <c r="P124" s="8" t="e" vm="393">
        <f>_xlfn.IMAGE("https://natalie.tf/wp-content/uploads/2023/10/DLV3_Icon_Ability_"&amp;INDEX('WP-A'!$A$1:$Z$498,MATCH('WP-Print'!Q124,'WP-A'!$A:$A,0),MATCH("Icon",'WP-A'!$A$1:$Z$1,0))&amp;".png")</f>
        <v>#VALUE!</v>
      </c>
      <c r="Q124" s="231" t="str">
        <f>+INDEX(WP!$A:$AN,MATCH(F125,WP!$B:$B,0),MATCH("Ability",WP!$A$2:$AN$2,0))</f>
        <v>High Midgardsormr Res +25%</v>
      </c>
      <c r="R124" s="734" t="str">
        <f>+INDEX(WP!$A:$AN,MATCH(F125,WP!$B:$B,0),MATCH("Obtain From",WP!$A$2:$AN$2,0))</f>
        <v>Clear Battle at Myriage Lake: Beginner (The Imperial Onslaught)</v>
      </c>
    </row>
    <row r="125" spans="1:18" ht="22.5" customHeight="1" x14ac:dyDescent="0.2">
      <c r="A125" s="204" t="str">
        <f>TEXT(A122+1,"000")</f>
        <v>041</v>
      </c>
      <c r="B125" s="729"/>
      <c r="C125" s="8"/>
      <c r="D125" s="729"/>
      <c r="E125" s="8"/>
      <c r="F125" s="200" t="str">
        <f>"WP-"&amp;A125</f>
        <v>WP-041</v>
      </c>
      <c r="G125" s="200">
        <f>+INDEX(WP!$A:$AN,MATCH(F125,WP!$B:$B,0),MATCH("ID",WP!$A$2:$AN$2,0))</f>
        <v>400072</v>
      </c>
      <c r="I125" s="8"/>
      <c r="J125" s="180" t="s">
        <v>10762</v>
      </c>
      <c r="K125" s="201">
        <f>+INDEX(WP!$A:$AN,MATCH(F125,WP!$B:$B,0),14)</f>
        <v>5</v>
      </c>
      <c r="L125" s="202">
        <f>+INDEX(WP!$A:$AN,MATCH(F125,WP!$B:$B,0),15)</f>
        <v>150</v>
      </c>
      <c r="M125" s="202">
        <f>+INDEX(WP!$A:$AN,MATCH(F125,WP!$B:$B,0),16)</f>
        <v>90</v>
      </c>
      <c r="N125" s="202" t="e" vm="338">
        <f>IFERROR(_xlfn.IMAGE("https://natalie.tf/wp-content/uploads/2023/11/DLV3_Icon_Affinity_"&amp;O125&amp;".png"),"")</f>
        <v>#VALUE!</v>
      </c>
      <c r="O125" s="203" t="str">
        <f>+INDEX(WP!$A:$AN,MATCH(F125,WP!$B:$B,0),17)</f>
        <v>Wolf</v>
      </c>
      <c r="P125" s="8" t="e" vm="393">
        <f>_xlfn.IMAGE("https://natalie.tf/wp-content/uploads/2023/10/DLV3_Icon_Ability_"&amp;INDEX('WP-A'!$A$1:$Z$498,MATCH('WP-Print'!Q125,'WP-A'!$A:$A,0),MATCH("Icon",'WP-A'!$A$1:$Z$1,0))&amp;".png")</f>
        <v>#VALUE!</v>
      </c>
      <c r="Q125" s="231" t="str">
        <f>+INDEX(WP!$A:$AN,MATCH(F125,WP!$B:$B,0),MATCH("Ability V3",WP!$A$2:$AN$2,0))</f>
        <v>High Midgardsormr Res +25%</v>
      </c>
      <c r="R125" s="735"/>
    </row>
    <row r="126" spans="1:18" ht="7.5" customHeight="1" x14ac:dyDescent="0.2">
      <c r="A126" t="s">
        <v>10763</v>
      </c>
    </row>
    <row r="127" spans="1:18" ht="22.5" customHeight="1" x14ac:dyDescent="0.2">
      <c r="B127" s="729" t="e" vm="394">
        <f>_xlfn.IMAGE("https://natalie.tf/wp-content/uploads/2023/10/DLV3_Icon_WP_"&amp;G128&amp;"_01.png")</f>
        <v>#VALUE!</v>
      </c>
      <c r="D127" s="730" t="e" vm="395">
        <f>_xlfn.IMAGE("https://natalie.tf/wp-content/uploads/2023/10/DLV3_Icon_WP_"&amp;G128&amp;"_02.png")</f>
        <v>#VALUE!</v>
      </c>
      <c r="F127" s="717" t="str">
        <f>+INDEX(WP!$A:$AN,MATCH(F128,WP!$B:$B,0),MATCH("Name",WP!$A$2:$AN$2,0))</f>
        <v>Tough Love</v>
      </c>
      <c r="G127" s="718"/>
      <c r="H127" s="719"/>
      <c r="J127" s="180" t="s">
        <v>10761</v>
      </c>
      <c r="K127" s="201">
        <f>+INDEX(WP!$A:$AN,MATCH(F128,WP!$B:$B,0),5)</f>
        <v>5</v>
      </c>
      <c r="L127" s="202">
        <f>+INDEX(WP!$A:$AN,MATCH(F128,WP!$B:$B,0),6)</f>
        <v>88</v>
      </c>
      <c r="M127" s="202">
        <f>+INDEX(WP!$A:$AN,MATCH(F128,WP!$B:$B,0),7)</f>
        <v>32</v>
      </c>
      <c r="N127" s="202" t="e" vm="343">
        <f>IFERROR(_xlfn.IMAGE("https://natalie.tf/wp-content/uploads/2023/11/DLV3_Icon_Affinity_"&amp;O127&amp;".png"),"")</f>
        <v>#VALUE!</v>
      </c>
      <c r="O127" s="203" t="str">
        <f>IF(INDEX(WP!$A:$AN,MATCH(F128,WP!$B:$B,0),8)=0,"None",INDEX(WP!$A:$AN,MATCH(F128,WP!$B:$B,0),8))</f>
        <v>Axe</v>
      </c>
      <c r="P127" s="8" t="e" vm="14">
        <f>_xlfn.IMAGE("https://natalie.tf/wp-content/uploads/2023/10/DLV3_Icon_Ability_"&amp;INDEX('WP-A'!$A$1:$Z$498,MATCH('WP-Print'!Q127,'WP-A'!$A:$A,0),MATCH("Icon",'WP-A'!$A$1:$Z$1,0))&amp;".png")</f>
        <v>#VALUE!</v>
      </c>
      <c r="Q127" s="231" t="str">
        <f>+INDEX(WP!$A:$AN,MATCH(F128,WP!$B:$B,0),MATCH("Ability",WP!$A$2:$AN$2,0))</f>
        <v>Last Offense +50%</v>
      </c>
      <c r="R127" s="734" t="str">
        <f>+INDEX(WP!$A:$AN,MATCH(F128,WP!$B:$B,0),MATCH("Obtain From",WP!$A$2:$AN$2,0))</f>
        <v>Clear Phraeganoth Clash: Expert (Loyalty's Requiem)</v>
      </c>
    </row>
    <row r="128" spans="1:18" ht="22.5" customHeight="1" x14ac:dyDescent="0.2">
      <c r="A128" s="204" t="str">
        <f>TEXT(A125+1,"000")</f>
        <v>042</v>
      </c>
      <c r="B128" s="729"/>
      <c r="C128" s="8"/>
      <c r="D128" s="729"/>
      <c r="E128" s="8"/>
      <c r="F128" s="200" t="str">
        <f>"WP-"&amp;A128</f>
        <v>WP-042</v>
      </c>
      <c r="G128" s="200">
        <f>+INDEX(WP!$A:$AN,MATCH(F128,WP!$B:$B,0),MATCH("ID",WP!$A$2:$AN$2,0))</f>
        <v>400075</v>
      </c>
      <c r="I128" s="8"/>
      <c r="J128" s="180" t="s">
        <v>10762</v>
      </c>
      <c r="K128" s="201">
        <f>+INDEX(WP!$A:$AN,MATCH(F128,WP!$B:$B,0),14)</f>
        <v>5</v>
      </c>
      <c r="L128" s="202">
        <f>+INDEX(WP!$A:$AN,MATCH(F128,WP!$B:$B,0),15)</f>
        <v>150</v>
      </c>
      <c r="M128" s="202">
        <f>+INDEX(WP!$A:$AN,MATCH(F128,WP!$B:$B,0),16)</f>
        <v>90</v>
      </c>
      <c r="N128" s="202" t="e" vm="343">
        <f>IFERROR(_xlfn.IMAGE("https://natalie.tf/wp-content/uploads/2023/11/DLV3_Icon_Affinity_"&amp;O128&amp;".png"),"")</f>
        <v>#VALUE!</v>
      </c>
      <c r="O128" s="203" t="str">
        <f>+INDEX(WP!$A:$AN,MATCH(F128,WP!$B:$B,0),17)</f>
        <v>Axe</v>
      </c>
      <c r="P128" s="8" t="e" vm="14">
        <f>_xlfn.IMAGE("https://natalie.tf/wp-content/uploads/2023/10/DLV3_Icon_Ability_"&amp;INDEX('WP-A'!$A$1:$Z$498,MATCH('WP-Print'!Q128,'WP-A'!$A:$A,0),MATCH("Icon",'WP-A'!$A$1:$Z$1,0))&amp;".png")</f>
        <v>#VALUE!</v>
      </c>
      <c r="Q128" s="231" t="str">
        <f>+INDEX(WP!$A:$AN,MATCH(F128,WP!$B:$B,0),MATCH("Ability V3",WP!$A$2:$AN$2,0))</f>
        <v>Last Offense +60%</v>
      </c>
      <c r="R128" s="735"/>
    </row>
    <row r="129" spans="1:18" ht="22.5" customHeight="1" x14ac:dyDescent="0.2">
      <c r="A129" t="s">
        <v>10763</v>
      </c>
    </row>
    <row r="130" spans="1:18" ht="22.5" customHeight="1" x14ac:dyDescent="0.2">
      <c r="B130" s="729" t="e" vm="396">
        <f>_xlfn.IMAGE("https://natalie.tf/wp-content/uploads/2023/10/DLV3_Icon_WP_"&amp;G131&amp;"_01.png")</f>
        <v>#VALUE!</v>
      </c>
      <c r="D130" s="730" t="e" vm="397">
        <f>_xlfn.IMAGE("https://natalie.tf/wp-content/uploads/2023/10/DLV3_Icon_WP_"&amp;G131&amp;"_02.png")</f>
        <v>#VALUE!</v>
      </c>
      <c r="F130" s="717" t="str">
        <f>+INDEX(WP!$A:$AN,MATCH(F131,WP!$B:$B,0),MATCH("Name",WP!$A$2:$AN$2,0))</f>
        <v>Crystalian Envoy</v>
      </c>
      <c r="G130" s="718"/>
      <c r="H130" s="719"/>
      <c r="J130" s="180" t="s">
        <v>10761</v>
      </c>
      <c r="K130" s="201">
        <f>+INDEX(WP!$A:$AN,MATCH(F131,WP!$B:$B,0),5)</f>
        <v>5</v>
      </c>
      <c r="L130" s="202">
        <f>+INDEX(WP!$A:$AN,MATCH(F131,WP!$B:$B,0),6)</f>
        <v>91</v>
      </c>
      <c r="M130" s="202">
        <f>+INDEX(WP!$A:$AN,MATCH(F131,WP!$B:$B,0),7)</f>
        <v>29</v>
      </c>
      <c r="N130" s="202" t="str">
        <f ca="1">IFERROR(_xlfn.IMAGE("https://natalie.tf/wp-content/uploads/2023/11/DLV3_Icon_Affinity_"&amp;O130&amp;".png"),"")</f>
        <v/>
      </c>
      <c r="O130" s="203" t="str">
        <f>IF(INDEX(WP!$A:$AN,MATCH(F131,WP!$B:$B,0),8)=0,"None",INDEX(WP!$A:$AN,MATCH(F131,WP!$B:$B,0),8))</f>
        <v>None</v>
      </c>
      <c r="P130" s="8" t="e" vm="14">
        <f>_xlfn.IMAGE("https://natalie.tf/wp-content/uploads/2023/10/DLV3_Icon_Ability_"&amp;INDEX('WP-A'!$A$1:$Z$498,MATCH('WP-Print'!Q130,'WP-A'!$A:$A,0),MATCH("Icon",'WP-A'!$A$1:$Z$1,0))&amp;".png")</f>
        <v>#VALUE!</v>
      </c>
      <c r="Q130" s="231" t="str">
        <f>+INDEX(WP!$A:$AN,MATCH(F131,WP!$B:$B,0),MATCH("Ability",WP!$A$2:$AN$2,0))</f>
        <v>HP 70% = Strength +13%</v>
      </c>
      <c r="R130" s="734" t="str">
        <f>+INDEX(WP!$A:$AN,MATCH(F131,WP!$B:$B,0),MATCH("Obtain From",WP!$A$2:$AN$2,0))</f>
        <v>Obtain From Ch. 04 EX 1 Chest (Normal) (Non-Endeavor)</v>
      </c>
    </row>
    <row r="131" spans="1:18" ht="22.5" customHeight="1" x14ac:dyDescent="0.2">
      <c r="A131" s="204" t="str">
        <f>TEXT(A128+1,"000")</f>
        <v>043</v>
      </c>
      <c r="B131" s="729"/>
      <c r="C131" s="8"/>
      <c r="D131" s="729"/>
      <c r="E131" s="8"/>
      <c r="F131" s="200" t="str">
        <f>"WP-"&amp;A131</f>
        <v>WP-043</v>
      </c>
      <c r="G131" s="200">
        <f>+INDEX(WP!$A:$AN,MATCH(F131,WP!$B:$B,0),MATCH("ID",WP!$A$2:$AN$2,0))</f>
        <v>400076</v>
      </c>
      <c r="I131" s="8"/>
      <c r="J131" s="180" t="s">
        <v>10762</v>
      </c>
      <c r="K131" s="201">
        <f>+INDEX(WP!$A:$AN,MATCH(F131,WP!$B:$B,0),14)</f>
        <v>5</v>
      </c>
      <c r="L131" s="202">
        <f>+INDEX(WP!$A:$AN,MATCH(F131,WP!$B:$B,0),15)</f>
        <v>150</v>
      </c>
      <c r="M131" s="202">
        <f>+INDEX(WP!$A:$AN,MATCH(F131,WP!$B:$B,0),16)</f>
        <v>90</v>
      </c>
      <c r="N131" s="202" t="e" vm="343">
        <f>IFERROR(_xlfn.IMAGE("https://natalie.tf/wp-content/uploads/2023/11/DLV3_Icon_Affinity_"&amp;O131&amp;".png"),"")</f>
        <v>#VALUE!</v>
      </c>
      <c r="O131" s="203" t="str">
        <f>+INDEX(WP!$A:$AN,MATCH(F131,WP!$B:$B,0),17)</f>
        <v>Axe</v>
      </c>
      <c r="P131" s="8" t="e" vm="14">
        <f>_xlfn.IMAGE("https://natalie.tf/wp-content/uploads/2023/10/DLV3_Icon_Ability_"&amp;INDEX('WP-A'!$A$1:$Z$498,MATCH('WP-Print'!Q131,'WP-A'!$A:$A,0),MATCH("Icon",'WP-A'!$A$1:$Z$1,0))&amp;".png")</f>
        <v>#VALUE!</v>
      </c>
      <c r="Q131" s="231" t="str">
        <f>+INDEX(WP!$A:$AN,MATCH(F131,WP!$B:$B,0),MATCH("Ability V3",WP!$A$2:$AN$2,0))</f>
        <v>Strength +15%</v>
      </c>
      <c r="R131" s="735"/>
    </row>
    <row r="132" spans="1:18" ht="7.5" customHeight="1" x14ac:dyDescent="0.2">
      <c r="A132" t="s">
        <v>10763</v>
      </c>
    </row>
    <row r="133" spans="1:18" ht="22.5" customHeight="1" x14ac:dyDescent="0.2">
      <c r="B133" s="729" t="e" vm="398">
        <f>_xlfn.IMAGE("https://natalie.tf/wp-content/uploads/2023/10/DLV3_Icon_WP_"&amp;G134&amp;"_01.png")</f>
        <v>#VALUE!</v>
      </c>
      <c r="D133" s="730" t="e" vm="399">
        <f>_xlfn.IMAGE("https://natalie.tf/wp-content/uploads/2023/10/DLV3_Icon_WP_"&amp;G134&amp;"_02.png")</f>
        <v>#VALUE!</v>
      </c>
      <c r="F133" s="717" t="str">
        <f>+INDEX(WP!$A:$AN,MATCH(F134,WP!$B:$B,0),MATCH("Name",WP!$A$2:$AN$2,0))</f>
        <v>Witch's Kitchen</v>
      </c>
      <c r="G133" s="718"/>
      <c r="H133" s="719"/>
      <c r="J133" s="180" t="s">
        <v>10761</v>
      </c>
      <c r="K133" s="201">
        <f>+INDEX(WP!$A:$AN,MATCH(F134,WP!$B:$B,0),5)</f>
        <v>5</v>
      </c>
      <c r="L133" s="202">
        <f>+INDEX(WP!$A:$AN,MATCH(F134,WP!$B:$B,0),6)</f>
        <v>91</v>
      </c>
      <c r="M133" s="202">
        <f>+INDEX(WP!$A:$AN,MATCH(F134,WP!$B:$B,0),7)</f>
        <v>29</v>
      </c>
      <c r="N133" s="202" t="str">
        <f ca="1">IFERROR(_xlfn.IMAGE("https://natalie.tf/wp-content/uploads/2023/11/DLV3_Icon_Affinity_"&amp;O133&amp;".png"),"")</f>
        <v/>
      </c>
      <c r="O133" s="203" t="str">
        <f>IF(INDEX(WP!$A:$AN,MATCH(F134,WP!$B:$B,0),8)=0,"None",INDEX(WP!$A:$AN,MATCH(F134,WP!$B:$B,0),8))</f>
        <v>None</v>
      </c>
      <c r="P133" s="8" t="e" vm="322">
        <f>_xlfn.IMAGE("https://natalie.tf/wp-content/uploads/2023/10/DLV3_Icon_Ability_"&amp;INDEX('WP-A'!$A$1:$Z$498,MATCH('WP-Print'!Q133,'WP-A'!$A:$A,0),MATCH("Icon",'WP-A'!$A$1:$Z$1,0))&amp;".png")</f>
        <v>#VALUE!</v>
      </c>
      <c r="Q133" s="231" t="str">
        <f>+INDEX(WP!$A:$AN,MATCH(F134,WP!$B:$B,0),MATCH("Ability",WP!$A$2:$AN$2,0))</f>
        <v>Full HP = Skill Damage +40%</v>
      </c>
      <c r="R133" s="734" t="str">
        <f>+INDEX(WP!$A:$AN,MATCH(F134,WP!$B:$B,0),MATCH("Obtain From",WP!$A$2:$AN$2,0))</f>
        <v>Clear Squash the Pumpking: Standard (Trick or Treasure!)</v>
      </c>
    </row>
    <row r="134" spans="1:18" ht="22.5" customHeight="1" x14ac:dyDescent="0.2">
      <c r="A134" s="204" t="str">
        <f>TEXT(A131+1,"000")</f>
        <v>044</v>
      </c>
      <c r="B134" s="729"/>
      <c r="C134" s="8"/>
      <c r="D134" s="729"/>
      <c r="E134" s="8"/>
      <c r="F134" s="200" t="str">
        <f>"WP-"&amp;A134</f>
        <v>WP-044</v>
      </c>
      <c r="G134" s="200">
        <f>+INDEX(WP!$A:$AN,MATCH(F134,WP!$B:$B,0),MATCH("ID",WP!$A$2:$AN$2,0))</f>
        <v>400077</v>
      </c>
      <c r="I134" s="8"/>
      <c r="J134" s="180" t="s">
        <v>10762</v>
      </c>
      <c r="K134" s="201">
        <f>+INDEX(WP!$A:$AN,MATCH(F134,WP!$B:$B,0),14)</f>
        <v>5</v>
      </c>
      <c r="L134" s="202">
        <f>+INDEX(WP!$A:$AN,MATCH(F134,WP!$B:$B,0),15)</f>
        <v>150</v>
      </c>
      <c r="M134" s="202">
        <f>+INDEX(WP!$A:$AN,MATCH(F134,WP!$B:$B,0),16)</f>
        <v>90</v>
      </c>
      <c r="N134" s="202" t="e" vm="341">
        <f>IFERROR(_xlfn.IMAGE("https://natalie.tf/wp-content/uploads/2023/11/DLV3_Icon_Affinity_"&amp;O134&amp;".png"),"")</f>
        <v>#VALUE!</v>
      </c>
      <c r="O134" s="203" t="str">
        <f>+INDEX(WP!$A:$AN,MATCH(F134,WP!$B:$B,0),17)</f>
        <v>Crown</v>
      </c>
      <c r="P134" s="8" t="e" vm="326">
        <f>_xlfn.IMAGE("https://natalie.tf/wp-content/uploads/2023/10/DLV3_Icon_Ability_"&amp;INDEX('WP-A'!$A$1:$Z$498,MATCH('WP-Print'!Q134,'WP-A'!$A:$A,0),MATCH("Icon",'WP-A'!$A$1:$Z$1,0))&amp;".png")</f>
        <v>#VALUE!</v>
      </c>
      <c r="Q134" s="231" t="str">
        <f>+INDEX(WP!$A:$AN,MATCH(F134,WP!$B:$B,0),MATCH("Ability V3",WP!$A$2:$AN$2,0))</f>
        <v>Flurry Devastation +12%</v>
      </c>
      <c r="R134" s="735"/>
    </row>
    <row r="135" spans="1:18" ht="7.5" customHeight="1" x14ac:dyDescent="0.2">
      <c r="A135" t="s">
        <v>10763</v>
      </c>
    </row>
    <row r="136" spans="1:18" ht="22.5" customHeight="1" x14ac:dyDescent="0.2">
      <c r="B136" s="729" t="e" vm="400">
        <f>_xlfn.IMAGE("https://natalie.tf/wp-content/uploads/2023/10/DLV3_Icon_WP_"&amp;G137&amp;"_01.png")</f>
        <v>#VALUE!</v>
      </c>
      <c r="D136" s="730" t="e" vm="401">
        <f>_xlfn.IMAGE("https://natalie.tf/wp-content/uploads/2023/10/DLV3_Icon_WP_"&amp;G137&amp;"_02.png")</f>
        <v>#VALUE!</v>
      </c>
      <c r="F136" s="717" t="str">
        <f>+INDEX(WP!$A:$AN,MATCH(F137,WP!$B:$B,0),MATCH("Name",WP!$A$2:$AN$2,0))</f>
        <v>Of Tricks and Treats</v>
      </c>
      <c r="G136" s="718"/>
      <c r="H136" s="719"/>
      <c r="J136" s="180" t="s">
        <v>10761</v>
      </c>
      <c r="K136" s="201">
        <f>+INDEX(WP!$A:$AN,MATCH(F137,WP!$B:$B,0),5)</f>
        <v>5</v>
      </c>
      <c r="L136" s="202">
        <f>+INDEX(WP!$A:$AN,MATCH(F137,WP!$B:$B,0),6)</f>
        <v>92</v>
      </c>
      <c r="M136" s="202">
        <f>+INDEX(WP!$A:$AN,MATCH(F137,WP!$B:$B,0),7)</f>
        <v>28</v>
      </c>
      <c r="N136" s="202" t="str">
        <f ca="1">IFERROR(_xlfn.IMAGE("https://natalie.tf/wp-content/uploads/2023/11/DLV3_Icon_Affinity_"&amp;O136&amp;".png"),"")</f>
        <v/>
      </c>
      <c r="O136" s="203" t="str">
        <f>IF(INDEX(WP!$A:$AN,MATCH(F137,WP!$B:$B,0),8)=0,"None",INDEX(WP!$A:$AN,MATCH(F137,WP!$B:$B,0),8))</f>
        <v>None</v>
      </c>
      <c r="P136" s="8" t="e" vm="402">
        <f>_xlfn.IMAGE("https://natalie.tf/wp-content/uploads/2023/10/DLV3_Icon_Ability_"&amp;INDEX('WP-A'!$A$1:$Z$498,MATCH('WP-Print'!Q136,'WP-A'!$A:$A,0),MATCH("Icon",'WP-A'!$A$1:$Z$1,0))&amp;".png")</f>
        <v>#VALUE!</v>
      </c>
      <c r="Q136" s="231" t="str">
        <f>+INDEX(WP!$A:$AN,MATCH(F137,WP!$B:$B,0),MATCH("Ability",WP!$A$2:$AN$2,0))</f>
        <v>Shadow Res +10%</v>
      </c>
      <c r="R136" s="734" t="str">
        <f>+INDEX(WP!$A:$AN,MATCH(F137,WP!$B:$B,0),MATCH("Obtain From",WP!$A$2:$AN$2,0))</f>
        <v>Clear Squash the Pumpking: Expert (Trick or Treasure!)</v>
      </c>
    </row>
    <row r="137" spans="1:18" ht="22.5" customHeight="1" x14ac:dyDescent="0.2">
      <c r="A137" s="204" t="str">
        <f>TEXT(A134+1,"000")</f>
        <v>045</v>
      </c>
      <c r="B137" s="729"/>
      <c r="C137" s="8"/>
      <c r="D137" s="729"/>
      <c r="E137" s="8"/>
      <c r="F137" s="200" t="str">
        <f>"WP-"&amp;A137</f>
        <v>WP-045</v>
      </c>
      <c r="G137" s="200">
        <f>+INDEX(WP!$A:$AN,MATCH(F137,WP!$B:$B,0),MATCH("ID",WP!$A$2:$AN$2,0))</f>
        <v>400078</v>
      </c>
      <c r="I137" s="8"/>
      <c r="J137" s="180" t="s">
        <v>10762</v>
      </c>
      <c r="K137" s="201">
        <f>+INDEX(WP!$A:$AN,MATCH(F137,WP!$B:$B,0),14)</f>
        <v>5</v>
      </c>
      <c r="L137" s="202">
        <f>+INDEX(WP!$A:$AN,MATCH(F137,WP!$B:$B,0),15)</f>
        <v>150</v>
      </c>
      <c r="M137" s="202">
        <f>+INDEX(WP!$A:$AN,MATCH(F137,WP!$B:$B,0),16)</f>
        <v>90</v>
      </c>
      <c r="N137" s="202" t="e" vm="362">
        <f>IFERROR(_xlfn.IMAGE("https://natalie.tf/wp-content/uploads/2023/11/DLV3_Icon_Affinity_"&amp;O137&amp;".png"),"")</f>
        <v>#VALUE!</v>
      </c>
      <c r="O137" s="203" t="str">
        <f>+INDEX(WP!$A:$AN,MATCH(F137,WP!$B:$B,0),17)</f>
        <v>Bat</v>
      </c>
      <c r="P137" s="8" t="e" vm="402">
        <f>_xlfn.IMAGE("https://natalie.tf/wp-content/uploads/2023/10/DLV3_Icon_Ability_"&amp;INDEX('WP-A'!$A$1:$Z$498,MATCH('WP-Print'!Q137,'WP-A'!$A:$A,0),MATCH("Icon",'WP-A'!$A$1:$Z$1,0))&amp;".png")</f>
        <v>#VALUE!</v>
      </c>
      <c r="Q137" s="231" t="str">
        <f>+INDEX(WP!$A:$AN,MATCH(F137,WP!$B:$B,0),MATCH("Ability V3",WP!$A$2:$AN$2,0))</f>
        <v>(Light) Shadow Res +15%</v>
      </c>
      <c r="R137" s="735"/>
    </row>
    <row r="138" spans="1:18" ht="7.5" customHeight="1" x14ac:dyDescent="0.2">
      <c r="A138" t="s">
        <v>10763</v>
      </c>
    </row>
    <row r="139" spans="1:18" ht="22.5" customHeight="1" x14ac:dyDescent="0.2">
      <c r="B139" s="729" t="e" vm="403">
        <f>_xlfn.IMAGE("https://natalie.tf/wp-content/uploads/2023/10/DLV3_Icon_WP_"&amp;G140&amp;"_01.png")</f>
        <v>#VALUE!</v>
      </c>
      <c r="D139" s="730" t="e" vm="404">
        <f>_xlfn.IMAGE("https://natalie.tf/wp-content/uploads/2023/10/DLV3_Icon_WP_"&amp;G140&amp;"_02.png")</f>
        <v>#VALUE!</v>
      </c>
      <c r="F139" s="717" t="str">
        <f>+INDEX(WP!$A:$AN,MATCH(F140,WP!$B:$B,0),MATCH("Name",WP!$A$2:$AN$2,0))</f>
        <v>Plunder Pals</v>
      </c>
      <c r="G139" s="718"/>
      <c r="H139" s="719"/>
      <c r="J139" s="180" t="s">
        <v>10761</v>
      </c>
      <c r="K139" s="201">
        <f>+INDEX(WP!$A:$AN,MATCH(F140,WP!$B:$B,0),5)</f>
        <v>5</v>
      </c>
      <c r="L139" s="202">
        <f>+INDEX(WP!$A:$AN,MATCH(F140,WP!$B:$B,0),6)</f>
        <v>75</v>
      </c>
      <c r="M139" s="202">
        <f>+INDEX(WP!$A:$AN,MATCH(F140,WP!$B:$B,0),7)</f>
        <v>27</v>
      </c>
      <c r="N139" s="202" t="str">
        <f ca="1">IFERROR(_xlfn.IMAGE("https://natalie.tf/wp-content/uploads/2023/11/DLV3_Icon_Affinity_"&amp;O139&amp;".png"),"")</f>
        <v/>
      </c>
      <c r="O139" s="203" t="str">
        <f>IF(INDEX(WP!$A:$AN,MATCH(F140,WP!$B:$B,0),8)=0,"None",INDEX(WP!$A:$AN,MATCH(F140,WP!$B:$B,0),8))</f>
        <v>None</v>
      </c>
      <c r="P139" s="8" t="e" vm="322">
        <f>_xlfn.IMAGE("https://natalie.tf/wp-content/uploads/2023/10/DLV3_Icon_Ability_"&amp;INDEX('WP-A'!$A$1:$Z$498,MATCH('WP-Print'!Q139,'WP-A'!$A:$A,0),MATCH("Icon",'WP-A'!$A$1:$Z$1,0))&amp;".png")</f>
        <v>#VALUE!</v>
      </c>
      <c r="Q139" s="231" t="str">
        <f>+INDEX(WP!$A:$AN,MATCH(F140,WP!$B:$B,0),MATCH("Ability",WP!$A$2:$AN$2,0))</f>
        <v>Skill Damage +30%</v>
      </c>
      <c r="R139" s="734" t="str">
        <f>+INDEX(WP!$A:$AN,MATCH(F140,WP!$B:$B,0),MATCH("Obtain From",WP!$A$2:$AN$2,0))</f>
        <v>Clear Trees in the Twilight (Trick or Treasure!)</v>
      </c>
    </row>
    <row r="140" spans="1:18" ht="22.5" customHeight="1" x14ac:dyDescent="0.2">
      <c r="A140" s="204" t="str">
        <f>TEXT(A137+1,"000")</f>
        <v>046</v>
      </c>
      <c r="B140" s="729"/>
      <c r="C140" s="8"/>
      <c r="D140" s="729"/>
      <c r="E140" s="8"/>
      <c r="F140" s="200" t="str">
        <f>"WP-"&amp;A140</f>
        <v>WP-046</v>
      </c>
      <c r="G140" s="200">
        <f>+INDEX(WP!$A:$AN,MATCH(F140,WP!$B:$B,0),MATCH("ID",WP!$A$2:$AN$2,0))</f>
        <v>400087</v>
      </c>
      <c r="I140" s="8"/>
      <c r="J140" s="180" t="s">
        <v>10762</v>
      </c>
      <c r="K140" s="201">
        <f>+INDEX(WP!$A:$AN,MATCH(F140,WP!$B:$B,0),14)</f>
        <v>5</v>
      </c>
      <c r="L140" s="202">
        <f>+INDEX(WP!$A:$AN,MATCH(F140,WP!$B:$B,0),15)</f>
        <v>150</v>
      </c>
      <c r="M140" s="202">
        <f>+INDEX(WP!$A:$AN,MATCH(F140,WP!$B:$B,0),16)</f>
        <v>90</v>
      </c>
      <c r="N140" s="202" t="e" vm="343">
        <f>IFERROR(_xlfn.IMAGE("https://natalie.tf/wp-content/uploads/2023/11/DLV3_Icon_Affinity_"&amp;O140&amp;".png"),"")</f>
        <v>#VALUE!</v>
      </c>
      <c r="O140" s="203" t="str">
        <f>+INDEX(WP!$A:$AN,MATCH(F140,WP!$B:$B,0),17)</f>
        <v>Axe</v>
      </c>
      <c r="P140" s="8" t="e" vm="322">
        <f>_xlfn.IMAGE("https://natalie.tf/wp-content/uploads/2023/10/DLV3_Icon_Ability_"&amp;INDEX('WP-A'!$A$1:$Z$498,MATCH('WP-Print'!Q140,'WP-A'!$A:$A,0),MATCH("Icon",'WP-A'!$A$1:$Z$1,0))&amp;".png")</f>
        <v>#VALUE!</v>
      </c>
      <c r="Q140" s="231" t="str">
        <f>+INDEX(WP!$A:$AN,MATCH(F140,WP!$B:$B,0),MATCH("Ability V3",WP!$A$2:$AN$2,0))</f>
        <v>(Water) Skill Damage +35%</v>
      </c>
      <c r="R140" s="735"/>
    </row>
    <row r="141" spans="1:18" ht="7.5" customHeight="1" x14ac:dyDescent="0.2">
      <c r="A141" t="s">
        <v>10763</v>
      </c>
    </row>
    <row r="142" spans="1:18" ht="22.5" customHeight="1" x14ac:dyDescent="0.2">
      <c r="B142" s="729" t="e" vm="405">
        <f>_xlfn.IMAGE("https://natalie.tf/wp-content/uploads/2023/10/DLV3_Icon_WP_"&amp;G143&amp;"_01.png")</f>
        <v>#VALUE!</v>
      </c>
      <c r="D142" s="730" t="e" vm="406">
        <f>_xlfn.IMAGE("https://natalie.tf/wp-content/uploads/2023/10/DLV3_Icon_WP_"&amp;G143&amp;"_02.png")</f>
        <v>#VALUE!</v>
      </c>
      <c r="F142" s="717" t="str">
        <f>+INDEX(WP!$A:$AN,MATCH(F143,WP!$B:$B,0),MATCH("Name",WP!$A$2:$AN$2,0))</f>
        <v>Cleo's Ruse</v>
      </c>
      <c r="G142" s="718"/>
      <c r="H142" s="719"/>
      <c r="J142" s="180" t="s">
        <v>10761</v>
      </c>
      <c r="K142" s="201">
        <f>+INDEX(WP!$A:$AN,MATCH(F143,WP!$B:$B,0),5)</f>
        <v>5</v>
      </c>
      <c r="L142" s="202">
        <f>+INDEX(WP!$A:$AN,MATCH(F143,WP!$B:$B,0),6)</f>
        <v>94</v>
      </c>
      <c r="M142" s="202">
        <f>+INDEX(WP!$A:$AN,MATCH(F143,WP!$B:$B,0),7)</f>
        <v>26</v>
      </c>
      <c r="N142" s="202" t="e" vm="345">
        <f>IFERROR(_xlfn.IMAGE("https://natalie.tf/wp-content/uploads/2023/11/DLV3_Icon_Affinity_"&amp;O142&amp;".png"),"")</f>
        <v>#VALUE!</v>
      </c>
      <c r="O142" s="203" t="str">
        <f>IF(INDEX(WP!$A:$AN,MATCH(F143,WP!$B:$B,0),8)=0,"None",INDEX(WP!$A:$AN,MATCH(F143,WP!$B:$B,0),8))</f>
        <v>Staff</v>
      </c>
      <c r="P142" s="8" t="e" vm="349">
        <f>_xlfn.IMAGE("https://natalie.tf/wp-content/uploads/2023/10/DLV3_Icon_Ability_"&amp;INDEX('WP-A'!$A$1:$Z$498,MATCH('WP-Print'!Q142,'WP-A'!$A:$A,0),MATCH("Icon",'WP-A'!$A$1:$Z$1,0))&amp;".png")</f>
        <v>#VALUE!</v>
      </c>
      <c r="Q142" s="231" t="str">
        <f>+INDEX(WP!$A:$AN,MATCH(F143,WP!$B:$B,0),MATCH("Ability",WP!$A$2:$AN$2,0))</f>
        <v>HP 70% = Healing +15%</v>
      </c>
      <c r="R142" s="734" t="str">
        <f>+INDEX(WP!$A:$AN,MATCH(F143,WP!$B:$B,0),MATCH("Obtain From",WP!$A$2:$AN$2,0))</f>
        <v>Clear Hypnos Clash: Expert (Kindness and Captivity)</v>
      </c>
    </row>
    <row r="143" spans="1:18" ht="22.5" customHeight="1" x14ac:dyDescent="0.2">
      <c r="A143" s="204" t="str">
        <f>TEXT(A140+1,"000")</f>
        <v>047</v>
      </c>
      <c r="B143" s="729"/>
      <c r="C143" s="8"/>
      <c r="D143" s="729"/>
      <c r="E143" s="8"/>
      <c r="F143" s="200" t="str">
        <f>"WP-"&amp;A143</f>
        <v>WP-047</v>
      </c>
      <c r="G143" s="200">
        <f>+INDEX(WP!$A:$AN,MATCH(F143,WP!$B:$B,0),MATCH("ID",WP!$A$2:$AN$2,0))</f>
        <v>400074</v>
      </c>
      <c r="I143" s="8"/>
      <c r="J143" s="180" t="s">
        <v>10762</v>
      </c>
      <c r="K143" s="201">
        <f>+INDEX(WP!$A:$AN,MATCH(F143,WP!$B:$B,0),14)</f>
        <v>5</v>
      </c>
      <c r="L143" s="202">
        <f>+INDEX(WP!$A:$AN,MATCH(F143,WP!$B:$B,0),15)</f>
        <v>150</v>
      </c>
      <c r="M143" s="202">
        <f>+INDEX(WP!$A:$AN,MATCH(F143,WP!$B:$B,0),16)</f>
        <v>90</v>
      </c>
      <c r="N143" s="202" t="e" vm="345">
        <f>IFERROR(_xlfn.IMAGE("https://natalie.tf/wp-content/uploads/2023/11/DLV3_Icon_Affinity_"&amp;O143&amp;".png"),"")</f>
        <v>#VALUE!</v>
      </c>
      <c r="O143" s="203" t="str">
        <f>+INDEX(WP!$A:$AN,MATCH(F143,WP!$B:$B,0),17)</f>
        <v>Staff</v>
      </c>
      <c r="P143" s="8" t="e" vm="349">
        <f>_xlfn.IMAGE("https://natalie.tf/wp-content/uploads/2023/10/DLV3_Icon_Ability_"&amp;INDEX('WP-A'!$A$1:$Z$498,MATCH('WP-Print'!Q143,'WP-A'!$A:$A,0),MATCH("Icon",'WP-A'!$A$1:$Z$1,0))&amp;".png")</f>
        <v>#VALUE!</v>
      </c>
      <c r="Q143" s="231" t="str">
        <f>+INDEX(WP!$A:$AN,MATCH(F143,WP!$B:$B,0),MATCH("Ability V3",WP!$A$2:$AN$2,0))</f>
        <v>Recovery Potency +15%</v>
      </c>
      <c r="R143" s="735"/>
    </row>
    <row r="144" spans="1:18" ht="7.5" customHeight="1" x14ac:dyDescent="0.2">
      <c r="A144" t="s">
        <v>10763</v>
      </c>
    </row>
    <row r="145" spans="1:18" ht="22.5" customHeight="1" x14ac:dyDescent="0.2">
      <c r="B145" s="729" t="e" vm="407">
        <f>_xlfn.IMAGE("https://natalie.tf/wp-content/uploads/2023/10/DLV3_Icon_WP_"&amp;G146&amp;"_01.png")</f>
        <v>#VALUE!</v>
      </c>
      <c r="D145" s="730" t="e" vm="408">
        <f>_xlfn.IMAGE("https://natalie.tf/wp-content/uploads/2023/10/DLV3_Icon_WP_"&amp;G146&amp;"_02.png")</f>
        <v>#VALUE!</v>
      </c>
      <c r="F145" s="717" t="str">
        <f>+INDEX(WP!$A:$AN,MATCH(F146,WP!$B:$B,0),MATCH("Name",WP!$A$2:$AN$2,0))</f>
        <v>Jewels of the Sun</v>
      </c>
      <c r="G145" s="718"/>
      <c r="H145" s="719"/>
      <c r="J145" s="180" t="s">
        <v>10761</v>
      </c>
      <c r="K145" s="201">
        <f>+INDEX(WP!$A:$AN,MATCH(F146,WP!$B:$B,0),5)</f>
        <v>5</v>
      </c>
      <c r="L145" s="202">
        <f>+INDEX(WP!$A:$AN,MATCH(F146,WP!$B:$B,0),6)</f>
        <v>88</v>
      </c>
      <c r="M145" s="202">
        <f>+INDEX(WP!$A:$AN,MATCH(F146,WP!$B:$B,0),7)</f>
        <v>32</v>
      </c>
      <c r="N145" s="202" t="e" vm="342">
        <f>IFERROR(_xlfn.IMAGE("https://natalie.tf/wp-content/uploads/2023/11/DLV3_Icon_Affinity_"&amp;O145&amp;".png"),"")</f>
        <v>#VALUE!</v>
      </c>
      <c r="O145" s="203" t="str">
        <f>IF(INDEX(WP!$A:$AN,MATCH(F146,WP!$B:$B,0),8)=0,"None",INDEX(WP!$A:$AN,MATCH(F146,WP!$B:$B,0),8))</f>
        <v>Bow</v>
      </c>
      <c r="P145" s="8" t="e" vm="330">
        <f>_xlfn.IMAGE("https://natalie.tf/wp-content/uploads/2023/10/DLV3_Icon_Ability_"&amp;INDEX('WP-A'!$A$1:$Z$498,MATCH('WP-Print'!Q145,'WP-A'!$A:$A,0),MATCH("Icon",'WP-A'!$A$1:$Z$1,0))&amp;".png")</f>
        <v>#VALUE!</v>
      </c>
      <c r="Q145" s="231" t="str">
        <f>+INDEX(WP!$A:$AN,MATCH(F146,WP!$B:$B,0),MATCH("Ability",WP!$A$2:$AN$2,0))</f>
        <v>Skill Haste +8%</v>
      </c>
      <c r="R145" s="734" t="str">
        <f>+INDEX(WP!$A:$AN,MATCH(F146,WP!$B:$B,0),MATCH("Obtain From",WP!$A$2:$AN$2,0))</f>
        <v>Obtain From Ch. 12 EX 1 Chest (Normal) (Non-Endeavor)</v>
      </c>
    </row>
    <row r="146" spans="1:18" ht="22.5" customHeight="1" x14ac:dyDescent="0.2">
      <c r="A146" s="204" t="str">
        <f>TEXT(A143+1,"000")</f>
        <v>048</v>
      </c>
      <c r="B146" s="729"/>
      <c r="C146" s="8"/>
      <c r="D146" s="729"/>
      <c r="E146" s="8"/>
      <c r="F146" s="200" t="str">
        <f>"WP-"&amp;A146</f>
        <v>WP-048</v>
      </c>
      <c r="G146" s="200">
        <f>+INDEX(WP!$A:$AN,MATCH(F146,WP!$B:$B,0),MATCH("ID",WP!$A$2:$AN$2,0))</f>
        <v>400099</v>
      </c>
      <c r="I146" s="8"/>
      <c r="J146" s="180" t="s">
        <v>10762</v>
      </c>
      <c r="K146" s="201">
        <f>+INDEX(WP!$A:$AN,MATCH(F146,WP!$B:$B,0),14)</f>
        <v>5</v>
      </c>
      <c r="L146" s="202">
        <f>+INDEX(WP!$A:$AN,MATCH(F146,WP!$B:$B,0),15)</f>
        <v>150</v>
      </c>
      <c r="M146" s="202">
        <f>+INDEX(WP!$A:$AN,MATCH(F146,WP!$B:$B,0),16)</f>
        <v>90</v>
      </c>
      <c r="N146" s="202" t="e" vm="342">
        <f>IFERROR(_xlfn.IMAGE("https://natalie.tf/wp-content/uploads/2023/11/DLV3_Icon_Affinity_"&amp;O146&amp;".png"),"")</f>
        <v>#VALUE!</v>
      </c>
      <c r="O146" s="203" t="str">
        <f>+INDEX(WP!$A:$AN,MATCH(F146,WP!$B:$B,0),17)</f>
        <v>Bow</v>
      </c>
      <c r="P146" s="8" t="e" vm="330">
        <f>_xlfn.IMAGE("https://natalie.tf/wp-content/uploads/2023/10/DLV3_Icon_Ability_"&amp;INDEX('WP-A'!$A$1:$Z$498,MATCH('WP-Print'!Q146,'WP-A'!$A:$A,0),MATCH("Icon",'WP-A'!$A$1:$Z$1,0))&amp;".png")</f>
        <v>#VALUE!</v>
      </c>
      <c r="Q146" s="231" t="str">
        <f>+INDEX(WP!$A:$AN,MATCH(F146,WP!$B:$B,0),MATCH("Ability V3",WP!$A$2:$AN$2,0))</f>
        <v>Skill Haste +8%</v>
      </c>
      <c r="R146" s="735"/>
    </row>
    <row r="147" spans="1:18" ht="7.5" customHeight="1" x14ac:dyDescent="0.2">
      <c r="A147" t="s">
        <v>10763</v>
      </c>
    </row>
    <row r="148" spans="1:18" ht="22.5" customHeight="1" x14ac:dyDescent="0.2">
      <c r="B148" s="729" t="e" vm="409">
        <f>_xlfn.IMAGE("https://natalie.tf/wp-content/uploads/2023/10/DLV3_Icon_WP_"&amp;G149&amp;"_01.png")</f>
        <v>#VALUE!</v>
      </c>
      <c r="D148" s="730" t="e" vm="410">
        <f>_xlfn.IMAGE("https://natalie.tf/wp-content/uploads/2023/10/DLV3_Icon_WP_"&amp;G149&amp;"_02.png")</f>
        <v>#VALUE!</v>
      </c>
      <c r="F148" s="717" t="str">
        <f>+INDEX(WP!$A:$AN,MATCH(F149,WP!$B:$B,0),MATCH("Name",WP!$A$2:$AN$2,0))</f>
        <v>Gentle Winds</v>
      </c>
      <c r="G148" s="718"/>
      <c r="H148" s="719"/>
      <c r="J148" s="180" t="s">
        <v>10761</v>
      </c>
      <c r="K148" s="201">
        <f>+INDEX(WP!$A:$AN,MATCH(F149,WP!$B:$B,0),5)</f>
        <v>5</v>
      </c>
      <c r="L148" s="202">
        <f>+INDEX(WP!$A:$AN,MATCH(F149,WP!$B:$B,0),6)</f>
        <v>88</v>
      </c>
      <c r="M148" s="202">
        <f>+INDEX(WP!$A:$AN,MATCH(F149,WP!$B:$B,0),7)</f>
        <v>32</v>
      </c>
      <c r="N148" s="202" t="str">
        <f ca="1">IFERROR(_xlfn.IMAGE("https://natalie.tf/wp-content/uploads/2023/11/DLV3_Icon_Affinity_"&amp;O148&amp;".png"),"")</f>
        <v/>
      </c>
      <c r="O148" s="203" t="str">
        <f>IF(INDEX(WP!$A:$AN,MATCH(F149,WP!$B:$B,0),8)=0,"None",INDEX(WP!$A:$AN,MATCH(F149,WP!$B:$B,0),8))</f>
        <v>None</v>
      </c>
      <c r="P148" s="8" t="e" vm="411">
        <f>_xlfn.IMAGE("https://natalie.tf/wp-content/uploads/2023/10/DLV3_Icon_Ability_"&amp;INDEX('WP-A'!$A$1:$Z$498,MATCH('WP-Print'!Q148,'WP-A'!$A:$A,0),MATCH("Icon",'WP-A'!$A$1:$Z$1,0))&amp;".png")</f>
        <v>#VALUE!</v>
      </c>
      <c r="Q148" s="231" t="str">
        <f>+INDEX(WP!$A:$AN,MATCH(F149,WP!$B:$B,0),MATCH("Ability",WP!$A$2:$AN$2,0))</f>
        <v>Skill Prep +50%</v>
      </c>
      <c r="R148" s="734" t="str">
        <f>+INDEX(WP!$A:$AN,MATCH(F149,WP!$B:$B,0),MATCH("Obtain From",WP!$A$2:$AN$2,0))</f>
        <v>Clear Fiend Alert!: Expert (A Wish to the Winds)</v>
      </c>
    </row>
    <row r="149" spans="1:18" ht="22.5" customHeight="1" x14ac:dyDescent="0.2">
      <c r="A149" s="204" t="str">
        <f>TEXT(A146+1,"000")</f>
        <v>049</v>
      </c>
      <c r="B149" s="729"/>
      <c r="C149" s="8"/>
      <c r="D149" s="729"/>
      <c r="E149" s="8"/>
      <c r="F149" s="200" t="str">
        <f>"WP-"&amp;A149</f>
        <v>WP-049</v>
      </c>
      <c r="G149" s="200">
        <f>+INDEX(WP!$A:$AN,MATCH(F149,WP!$B:$B,0),MATCH("ID",WP!$A$2:$AN$2,0))</f>
        <v>400103</v>
      </c>
      <c r="I149" s="8"/>
      <c r="J149" s="180" t="s">
        <v>10762</v>
      </c>
      <c r="K149" s="201">
        <f>+INDEX(WP!$A:$AN,MATCH(F149,WP!$B:$B,0),14)</f>
        <v>5</v>
      </c>
      <c r="L149" s="202">
        <f>+INDEX(WP!$A:$AN,MATCH(F149,WP!$B:$B,0),15)</f>
        <v>150</v>
      </c>
      <c r="M149" s="202">
        <f>+INDEX(WP!$A:$AN,MATCH(F149,WP!$B:$B,0),16)</f>
        <v>90</v>
      </c>
      <c r="N149" s="202" t="e" vm="356">
        <f>IFERROR(_xlfn.IMAGE("https://natalie.tf/wp-content/uploads/2023/11/DLV3_Icon_Affinity_"&amp;O149&amp;".png"),"")</f>
        <v>#VALUE!</v>
      </c>
      <c r="O149" s="203" t="str">
        <f>+INDEX(WP!$A:$AN,MATCH(F149,WP!$B:$B,0),17)</f>
        <v>Deer</v>
      </c>
      <c r="P149" s="8" t="e" vm="411">
        <f>_xlfn.IMAGE("https://natalie.tf/wp-content/uploads/2023/10/DLV3_Icon_Ability_"&amp;INDEX('WP-A'!$A$1:$Z$498,MATCH('WP-Print'!Q149,'WP-A'!$A:$A,0),MATCH("Icon",'WP-A'!$A$1:$Z$1,0))&amp;".png")</f>
        <v>#VALUE!</v>
      </c>
      <c r="Q149" s="231" t="str">
        <f>+INDEX(WP!$A:$AN,MATCH(F149,WP!$B:$B,0),MATCH("Ability V3",WP!$A$2:$AN$2,0))</f>
        <v>Skill Prep +50%</v>
      </c>
      <c r="R149" s="735"/>
    </row>
    <row r="150" spans="1:18" ht="7.5" customHeight="1" x14ac:dyDescent="0.2">
      <c r="A150" t="s">
        <v>10763</v>
      </c>
    </row>
    <row r="151" spans="1:18" ht="22.5" customHeight="1" x14ac:dyDescent="0.2">
      <c r="B151" s="729" t="e" vm="412">
        <f>_xlfn.IMAGE("https://natalie.tf/wp-content/uploads/2023/10/DLV3_Icon_WP_"&amp;G152&amp;"_01.png")</f>
        <v>#VALUE!</v>
      </c>
      <c r="D151" s="730" t="e" vm="413">
        <f>_xlfn.IMAGE("https://natalie.tf/wp-content/uploads/2023/10/DLV3_Icon_WP_"&amp;G152&amp;"_02.png")</f>
        <v>#VALUE!</v>
      </c>
      <c r="F151" s="717" t="str">
        <f>+INDEX(WP!$A:$AN,MATCH(F152,WP!$B:$B,0),MATCH("Name",WP!$A$2:$AN$2,0))</f>
        <v>Gale of Beauty</v>
      </c>
      <c r="G151" s="718"/>
      <c r="H151" s="719"/>
      <c r="J151" s="180" t="s">
        <v>10761</v>
      </c>
      <c r="K151" s="201">
        <f>+INDEX(WP!$A:$AN,MATCH(F152,WP!$B:$B,0),5)</f>
        <v>5</v>
      </c>
      <c r="L151" s="202">
        <f>+INDEX(WP!$A:$AN,MATCH(F152,WP!$B:$B,0),6)</f>
        <v>88</v>
      </c>
      <c r="M151" s="202">
        <f>+INDEX(WP!$A:$AN,MATCH(F152,WP!$B:$B,0),7)</f>
        <v>32</v>
      </c>
      <c r="N151" s="202" t="str">
        <f ca="1">IFERROR(_xlfn.IMAGE("https://natalie.tf/wp-content/uploads/2023/11/DLV3_Icon_Affinity_"&amp;O151&amp;".png"),"")</f>
        <v/>
      </c>
      <c r="O151" s="203" t="str">
        <f>IF(INDEX(WP!$A:$AN,MATCH(F152,WP!$B:$B,0),8)=0,"None",INDEX(WP!$A:$AN,MATCH(F152,WP!$B:$B,0),8))</f>
        <v>None</v>
      </c>
      <c r="P151" s="8" t="e" vm="376">
        <f>_xlfn.IMAGE("https://natalie.tf/wp-content/uploads/2023/10/DLV3_Icon_Ability_"&amp;INDEX('WP-A'!$A$1:$Z$498,MATCH('WP-Print'!Q151,'WP-A'!$A:$A,0),MATCH("Icon",'WP-A'!$A$1:$Z$1,0))&amp;".png")</f>
        <v>#VALUE!</v>
      </c>
      <c r="Q151" s="231" t="str">
        <f>+INDEX(WP!$A:$AN,MATCH(F152,WP!$B:$B,0),MATCH("Ability",WP!$A$2:$AN$2,0))</f>
        <v>Broken Punisher +30%</v>
      </c>
      <c r="R151" s="734" t="str">
        <f>+INDEX(WP!$A:$AN,MATCH(F152,WP!$B:$B,0),MATCH("Obtain From",WP!$A$2:$AN$2,0))</f>
        <v>Clear Ruler of the Shore: Master (A Wish to the Winds)</v>
      </c>
    </row>
    <row r="152" spans="1:18" ht="22.5" customHeight="1" x14ac:dyDescent="0.2">
      <c r="A152" s="204" t="str">
        <f>TEXT(A149+1,"000")</f>
        <v>050</v>
      </c>
      <c r="B152" s="729"/>
      <c r="C152" s="8"/>
      <c r="D152" s="729"/>
      <c r="E152" s="8"/>
      <c r="F152" s="200" t="str">
        <f>"WP-"&amp;A152</f>
        <v>WP-050</v>
      </c>
      <c r="G152" s="200">
        <f>+INDEX(WP!$A:$AN,MATCH(F152,WP!$B:$B,0),MATCH("ID",WP!$A$2:$AN$2,0))</f>
        <v>400104</v>
      </c>
      <c r="I152" s="8"/>
      <c r="J152" s="180" t="s">
        <v>10762</v>
      </c>
      <c r="K152" s="201">
        <f>+INDEX(WP!$A:$AN,MATCH(F152,WP!$B:$B,0),14)</f>
        <v>5</v>
      </c>
      <c r="L152" s="202">
        <f>+INDEX(WP!$A:$AN,MATCH(F152,WP!$B:$B,0),15)</f>
        <v>150</v>
      </c>
      <c r="M152" s="202">
        <f>+INDEX(WP!$A:$AN,MATCH(F152,WP!$B:$B,0),16)</f>
        <v>90</v>
      </c>
      <c r="N152" s="202" t="e" vm="343">
        <f>IFERROR(_xlfn.IMAGE("https://natalie.tf/wp-content/uploads/2023/11/DLV3_Icon_Affinity_"&amp;O152&amp;".png"),"")</f>
        <v>#VALUE!</v>
      </c>
      <c r="O152" s="203" t="str">
        <f>+INDEX(WP!$A:$AN,MATCH(F152,WP!$B:$B,0),17)</f>
        <v>Axe</v>
      </c>
      <c r="P152" s="8" t="e" vm="414">
        <f>_xlfn.IMAGE("https://natalie.tf/wp-content/uploads/2023/10/DLV3_Icon_Ability_"&amp;INDEX('WP-A'!$A$1:$Z$498,MATCH('WP-Print'!Q152,'WP-A'!$A:$A,0),MATCH("Icon",'WP-A'!$A$1:$Z$1,0))&amp;".png")</f>
        <v>#VALUE!</v>
      </c>
      <c r="Q152" s="231" t="str">
        <f>+INDEX(WP!$A:$AN,MATCH(F152,WP!$B:$B,0),MATCH("Ability V3",WP!$A$2:$AN$2,0))</f>
        <v>(Blade) Critical Damage +25%</v>
      </c>
      <c r="R152" s="735"/>
    </row>
    <row r="153" spans="1:18" ht="7.5" customHeight="1" x14ac:dyDescent="0.2">
      <c r="A153" t="s">
        <v>10763</v>
      </c>
    </row>
    <row r="154" spans="1:18" ht="22.5" customHeight="1" x14ac:dyDescent="0.2">
      <c r="B154" s="729" t="e" vm="415">
        <f>_xlfn.IMAGE("https://natalie.tf/wp-content/uploads/2023/10/DLV3_Icon_WP_"&amp;G155&amp;"_01.png")</f>
        <v>#VALUE!</v>
      </c>
      <c r="D154" s="730" t="e" vm="416">
        <f>_xlfn.IMAGE("https://natalie.tf/wp-content/uploads/2023/10/DLV3_Icon_WP_"&amp;G155&amp;"_02.png")</f>
        <v>#VALUE!</v>
      </c>
      <c r="F154" s="717" t="str">
        <f>+INDEX(WP!$A:$AN,MATCH(F155,WP!$B:$B,0),MATCH("Name",WP!$A$2:$AN$2,0))</f>
        <v>Louise's Hobbies</v>
      </c>
      <c r="G154" s="718"/>
      <c r="H154" s="719"/>
      <c r="J154" s="180" t="s">
        <v>10761</v>
      </c>
      <c r="K154" s="201">
        <f>+INDEX(WP!$A:$AN,MATCH(F155,WP!$B:$B,0),5)</f>
        <v>5</v>
      </c>
      <c r="L154" s="202">
        <f>+INDEX(WP!$A:$AN,MATCH(F155,WP!$B:$B,0),6)</f>
        <v>77</v>
      </c>
      <c r="M154" s="202">
        <f>+INDEX(WP!$A:$AN,MATCH(F155,WP!$B:$B,0),7)</f>
        <v>25</v>
      </c>
      <c r="N154" s="202" t="str">
        <f ca="1">IFERROR(_xlfn.IMAGE("https://natalie.tf/wp-content/uploads/2023/11/DLV3_Icon_Affinity_"&amp;O154&amp;".png"),"")</f>
        <v/>
      </c>
      <c r="O154" s="203" t="str">
        <f>IF(INDEX(WP!$A:$AN,MATCH(F155,WP!$B:$B,0),8)=0,"None",INDEX(WP!$A:$AN,MATCH(F155,WP!$B:$B,0),8))</f>
        <v>None</v>
      </c>
      <c r="P154" s="8" t="e" vm="349">
        <f>_xlfn.IMAGE("https://natalie.tf/wp-content/uploads/2023/10/DLV3_Icon_Ability_"&amp;INDEX('WP-A'!$A$1:$Z$498,MATCH('WP-Print'!Q154,'WP-A'!$A:$A,0),MATCH("Icon",'WP-A'!$A$1:$Z$1,0))&amp;".png")</f>
        <v>#VALUE!</v>
      </c>
      <c r="Q154" s="231" t="str">
        <f>+INDEX(WP!$A:$AN,MATCH(F155,WP!$B:$B,0),MATCH("Ability",WP!$A$2:$AN$2,0))</f>
        <v>Recovery Potency +13%</v>
      </c>
      <c r="R154" s="734" t="str">
        <f>+INDEX(WP!$A:$AN,MATCH(F155,WP!$B:$B,0),MATCH("Obtain From",WP!$A$2:$AN$2,0))</f>
        <v>Clear a Boss Battle on Beginner (A Wish to the Winds)</v>
      </c>
    </row>
    <row r="155" spans="1:18" ht="22.5" customHeight="1" x14ac:dyDescent="0.2">
      <c r="A155" s="204" t="str">
        <f>TEXT(A152+1,"000")</f>
        <v>051</v>
      </c>
      <c r="B155" s="729"/>
      <c r="C155" s="8"/>
      <c r="D155" s="729"/>
      <c r="E155" s="8"/>
      <c r="F155" s="200" t="str">
        <f>"WP-"&amp;A155</f>
        <v>WP-051</v>
      </c>
      <c r="G155" s="200">
        <f>+INDEX(WP!$A:$AN,MATCH(F155,WP!$B:$B,0),MATCH("ID",WP!$A$2:$AN$2,0))</f>
        <v>400107</v>
      </c>
      <c r="I155" s="8"/>
      <c r="J155" s="180" t="s">
        <v>10762</v>
      </c>
      <c r="K155" s="201">
        <f>+INDEX(WP!$A:$AN,MATCH(F155,WP!$B:$B,0),14)</f>
        <v>5</v>
      </c>
      <c r="L155" s="202">
        <f>+INDEX(WP!$A:$AN,MATCH(F155,WP!$B:$B,0),15)</f>
        <v>150</v>
      </c>
      <c r="M155" s="202">
        <f>+INDEX(WP!$A:$AN,MATCH(F155,WP!$B:$B,0),16)</f>
        <v>90</v>
      </c>
      <c r="N155" s="202" t="e" vm="352">
        <f>IFERROR(_xlfn.IMAGE("https://natalie.tf/wp-content/uploads/2023/11/DLV3_Icon_Affinity_"&amp;O155&amp;".png"),"")</f>
        <v>#VALUE!</v>
      </c>
      <c r="O155" s="203" t="str">
        <f>+INDEX(WP!$A:$AN,MATCH(F155,WP!$B:$B,0),17)</f>
        <v>Fish</v>
      </c>
      <c r="P155" s="8" t="e" vm="349">
        <f>_xlfn.IMAGE("https://natalie.tf/wp-content/uploads/2023/10/DLV3_Icon_Ability_"&amp;INDEX('WP-A'!$A$1:$Z$498,MATCH('WP-Print'!Q155,'WP-A'!$A:$A,0),MATCH("Icon",'WP-A'!$A$1:$Z$1,0))&amp;".png")</f>
        <v>#VALUE!</v>
      </c>
      <c r="Q155" s="231" t="str">
        <f>+INDEX(WP!$A:$AN,MATCH(F155,WP!$B:$B,0),MATCH("Ability V3",WP!$A$2:$AN$2,0))</f>
        <v>Recovery Potency +15%</v>
      </c>
      <c r="R155" s="735"/>
    </row>
    <row r="156" spans="1:18" ht="7.5" customHeight="1" x14ac:dyDescent="0.2">
      <c r="A156" t="s">
        <v>10763</v>
      </c>
    </row>
    <row r="157" spans="1:18" ht="22.5" customHeight="1" x14ac:dyDescent="0.2">
      <c r="B157" s="729" t="e" vm="417">
        <f>_xlfn.IMAGE("https://natalie.tf/wp-content/uploads/2023/10/DLV3_Icon_WP_"&amp;G158&amp;"_01.png")</f>
        <v>#VALUE!</v>
      </c>
      <c r="D157" s="730" t="e" vm="418">
        <f>_xlfn.IMAGE("https://natalie.tf/wp-content/uploads/2023/10/DLV3_Icon_WP_"&amp;G158&amp;"_02.png")</f>
        <v>#VALUE!</v>
      </c>
      <c r="F157" s="717" t="str">
        <f>+INDEX(WP!$A:$AN,MATCH(F158,WP!$B:$B,0),MATCH("Name",WP!$A$2:$AN$2,0))</f>
        <v>Resounding Rendition</v>
      </c>
      <c r="G157" s="718"/>
      <c r="H157" s="719"/>
      <c r="J157" s="180" t="s">
        <v>10761</v>
      </c>
      <c r="K157" s="201">
        <f>+INDEX(WP!$A:$AN,MATCH(F158,WP!$B:$B,0),5)</f>
        <v>5</v>
      </c>
      <c r="L157" s="202">
        <f>+INDEX(WP!$A:$AN,MATCH(F158,WP!$B:$B,0),6)</f>
        <v>88</v>
      </c>
      <c r="M157" s="202">
        <f>+INDEX(WP!$A:$AN,MATCH(F158,WP!$B:$B,0),7)</f>
        <v>32</v>
      </c>
      <c r="N157" s="202" t="e" vm="341">
        <f>IFERROR(_xlfn.IMAGE("https://natalie.tf/wp-content/uploads/2023/11/DLV3_Icon_Affinity_"&amp;O157&amp;".png"),"")</f>
        <v>#VALUE!</v>
      </c>
      <c r="O157" s="203" t="str">
        <f>IF(INDEX(WP!$A:$AN,MATCH(F158,WP!$B:$B,0),8)=0,"None",INDEX(WP!$A:$AN,MATCH(F158,WP!$B:$B,0),8))</f>
        <v>Crown</v>
      </c>
      <c r="P157" s="8" t="e" vm="322">
        <f>_xlfn.IMAGE("https://natalie.tf/wp-content/uploads/2023/10/DLV3_Icon_Ability_"&amp;INDEX('WP-A'!$A$1:$Z$498,MATCH('WP-Print'!Q157,'WP-A'!$A:$A,0),MATCH("Icon",'WP-A'!$A$1:$Z$1,0))&amp;".png")</f>
        <v>#VALUE!</v>
      </c>
      <c r="Q157" s="231" t="str">
        <f>+INDEX(WP!$A:$AN,MATCH(F158,WP!$B:$B,0),MATCH("Ability",WP!$A$2:$AN$2,0))</f>
        <v>Skill Damage +30%</v>
      </c>
      <c r="R157" s="734" t="str">
        <f>+INDEX(WP!$A:$AN,MATCH(F158,WP!$B:$B,0),MATCH("Obtain From",WP!$A$2:$AN$2,0))</f>
        <v>Clear Sabnock Clash: Nightmare (Resplendent Refrain)</v>
      </c>
    </row>
    <row r="158" spans="1:18" ht="22.5" customHeight="1" x14ac:dyDescent="0.2">
      <c r="A158" s="204" t="str">
        <f>TEXT(A155+1,"000")</f>
        <v>052</v>
      </c>
      <c r="B158" s="729"/>
      <c r="C158" s="8"/>
      <c r="D158" s="729"/>
      <c r="E158" s="8"/>
      <c r="F158" s="200" t="str">
        <f>"WP-"&amp;A158</f>
        <v>WP-052</v>
      </c>
      <c r="G158" s="200">
        <f>+INDEX(WP!$A:$AN,MATCH(F158,WP!$B:$B,0),MATCH("ID",WP!$A$2:$AN$2,0))</f>
        <v>400110</v>
      </c>
      <c r="I158" s="8"/>
      <c r="J158" s="180" t="s">
        <v>10762</v>
      </c>
      <c r="K158" s="201">
        <f>+INDEX(WP!$A:$AN,MATCH(F158,WP!$B:$B,0),14)</f>
        <v>5</v>
      </c>
      <c r="L158" s="202">
        <f>+INDEX(WP!$A:$AN,MATCH(F158,WP!$B:$B,0),15)</f>
        <v>150</v>
      </c>
      <c r="M158" s="202">
        <f>+INDEX(WP!$A:$AN,MATCH(F158,WP!$B:$B,0),16)</f>
        <v>90</v>
      </c>
      <c r="N158" s="202" t="e" vm="345">
        <f>IFERROR(_xlfn.IMAGE("https://natalie.tf/wp-content/uploads/2023/11/DLV3_Icon_Affinity_"&amp;O158&amp;".png"),"")</f>
        <v>#VALUE!</v>
      </c>
      <c r="O158" s="203" t="str">
        <f>+INDEX(WP!$A:$AN,MATCH(F158,WP!$B:$B,0),17)</f>
        <v>Staff</v>
      </c>
      <c r="P158" s="8" t="e" vm="322">
        <f>_xlfn.IMAGE("https://natalie.tf/wp-content/uploads/2023/10/DLV3_Icon_Ability_"&amp;INDEX('WP-A'!$A$1:$Z$498,MATCH('WP-Print'!Q158,'WP-A'!$A:$A,0),MATCH("Icon",'WP-A'!$A$1:$Z$1,0))&amp;".png")</f>
        <v>#VALUE!</v>
      </c>
      <c r="Q158" s="231" t="str">
        <f>+INDEX(WP!$A:$AN,MATCH(F158,WP!$B:$B,0),MATCH("Ability V3",WP!$A$2:$AN$2,0))</f>
        <v>(Light) Skill Damage +35%</v>
      </c>
      <c r="R158" s="735"/>
    </row>
    <row r="159" spans="1:18" ht="7.5" customHeight="1" x14ac:dyDescent="0.2">
      <c r="A159" t="s">
        <v>10763</v>
      </c>
    </row>
    <row r="160" spans="1:18" ht="22.5" customHeight="1" x14ac:dyDescent="0.2">
      <c r="B160" s="729" t="e" vm="419">
        <f>_xlfn.IMAGE("https://natalie.tf/wp-content/uploads/2023/10/DLV3_Icon_WP_"&amp;G161&amp;"_01.png")</f>
        <v>#VALUE!</v>
      </c>
      <c r="D160" s="730" t="e" vm="420">
        <f>_xlfn.IMAGE("https://natalie.tf/wp-content/uploads/2023/10/DLV3_Icon_WP_"&amp;G161&amp;"_02.png")</f>
        <v>#VALUE!</v>
      </c>
      <c r="F160" s="717" t="str">
        <f>+INDEX(WP!$A:$AN,MATCH(F161,WP!$B:$B,0),MATCH("Name",WP!$A$2:$AN$2,0))</f>
        <v>Heavenly Holiday</v>
      </c>
      <c r="G160" s="718"/>
      <c r="H160" s="719"/>
      <c r="J160" s="180" t="s">
        <v>10761</v>
      </c>
      <c r="K160" s="201">
        <f>+INDEX(WP!$A:$AN,MATCH(F161,WP!$B:$B,0),5)</f>
        <v>5</v>
      </c>
      <c r="L160" s="202">
        <f>+INDEX(WP!$A:$AN,MATCH(F161,WP!$B:$B,0),6)</f>
        <v>97</v>
      </c>
      <c r="M160" s="202">
        <f>+INDEX(WP!$A:$AN,MATCH(F161,WP!$B:$B,0),7)</f>
        <v>23</v>
      </c>
      <c r="N160" s="202" t="str">
        <f ca="1">IFERROR(_xlfn.IMAGE("https://natalie.tf/wp-content/uploads/2023/11/DLV3_Icon_Affinity_"&amp;O160&amp;".png"),"")</f>
        <v/>
      </c>
      <c r="O160" s="203" t="str">
        <f>IF(INDEX(WP!$A:$AN,MATCH(F161,WP!$B:$B,0),8)=0,"None",INDEX(WP!$A:$AN,MATCH(F161,WP!$B:$B,0),8))</f>
        <v>None</v>
      </c>
      <c r="P160" s="8" t="e" vm="421">
        <f>_xlfn.IMAGE("https://natalie.tf/wp-content/uploads/2023/10/DLV3_Icon_Ability_"&amp;INDEX('WP-A'!$A$1:$Z$498,MATCH('WP-Print'!Q160,'WP-A'!$A:$A,0),MATCH("Icon",'WP-A'!$A$1:$Z$1,0))&amp;".png")</f>
        <v>#VALUE!</v>
      </c>
      <c r="Q160" s="231" t="str">
        <f>+INDEX(WP!$A:$AN,MATCH(F161,WP!$B:$B,0),MATCH("Ability",WP!$A$2:$AN$2,0))</f>
        <v>Curse Res +60%</v>
      </c>
      <c r="R160" s="734" t="str">
        <f>+INDEX(WP!$A:$AN,MATCH(F161,WP!$B:$B,0),MATCH("Obtain From",WP!$A$2:$AN$2,0))</f>
        <v>Clear Jupiter's Trial: Master</v>
      </c>
    </row>
    <row r="161" spans="1:18" ht="22.5" customHeight="1" x14ac:dyDescent="0.2">
      <c r="A161" s="204" t="str">
        <f>TEXT(A158+1,"000")</f>
        <v>053</v>
      </c>
      <c r="B161" s="729"/>
      <c r="C161" s="8"/>
      <c r="D161" s="729"/>
      <c r="E161" s="8"/>
      <c r="F161" s="200" t="str">
        <f>"WP-"&amp;A161</f>
        <v>WP-053</v>
      </c>
      <c r="G161" s="200">
        <f>+INDEX(WP!$A:$AN,MATCH(F161,WP!$B:$B,0),MATCH("ID",WP!$A$2:$AN$2,0))</f>
        <v>400111</v>
      </c>
      <c r="I161" s="8"/>
      <c r="J161" s="180" t="s">
        <v>10762</v>
      </c>
      <c r="K161" s="201">
        <f>+INDEX(WP!$A:$AN,MATCH(F161,WP!$B:$B,0),14)</f>
        <v>5</v>
      </c>
      <c r="L161" s="202">
        <f>+INDEX(WP!$A:$AN,MATCH(F161,WP!$B:$B,0),15)</f>
        <v>150</v>
      </c>
      <c r="M161" s="202">
        <f>+INDEX(WP!$A:$AN,MATCH(F161,WP!$B:$B,0),16)</f>
        <v>90</v>
      </c>
      <c r="N161" s="202" t="e" vm="367">
        <f>IFERROR(_xlfn.IMAGE("https://natalie.tf/wp-content/uploads/2023/11/DLV3_Icon_Affinity_"&amp;O161&amp;".png"),"")</f>
        <v>#VALUE!</v>
      </c>
      <c r="O161" s="203" t="str">
        <f>+INDEX(WP!$A:$AN,MATCH(F161,WP!$B:$B,0),17)</f>
        <v>Spider</v>
      </c>
      <c r="P161" s="8" t="e" vm="421">
        <f>_xlfn.IMAGE("https://natalie.tf/wp-content/uploads/2023/10/DLV3_Icon_Ability_"&amp;INDEX('WP-A'!$A$1:$Z$498,MATCH('WP-Print'!Q161,'WP-A'!$A:$A,0),MATCH("Icon",'WP-A'!$A$1:$Z$1,0))&amp;".png")</f>
        <v>#VALUE!</v>
      </c>
      <c r="Q161" s="231" t="str">
        <f>+INDEX(WP!$A:$AN,MATCH(F161,WP!$B:$B,0),MATCH("Ability V3",WP!$A$2:$AN$2,0))</f>
        <v>Curse Res +100%</v>
      </c>
      <c r="R161" s="735"/>
    </row>
    <row r="162" spans="1:18" ht="7.5" customHeight="1" x14ac:dyDescent="0.2">
      <c r="A162" t="s">
        <v>10763</v>
      </c>
    </row>
    <row r="163" spans="1:18" ht="22.5" customHeight="1" x14ac:dyDescent="0.2">
      <c r="B163" s="729" t="e" vm="422">
        <f>_xlfn.IMAGE("https://natalie.tf/wp-content/uploads/2023/10/DLV3_Icon_WP_"&amp;G164&amp;"_01.png")</f>
        <v>#VALUE!</v>
      </c>
      <c r="D163" s="730" t="e" vm="423">
        <f>_xlfn.IMAGE("https://natalie.tf/wp-content/uploads/2023/10/DLV3_Icon_WP_"&amp;G164&amp;"_02.png")</f>
        <v>#VALUE!</v>
      </c>
      <c r="F163" s="717" t="str">
        <f>+INDEX(WP!$A:$AN,MATCH(F164,WP!$B:$B,0),MATCH("Name",WP!$A$2:$AN$2,0))</f>
        <v>Volcanic Queen</v>
      </c>
      <c r="G163" s="718"/>
      <c r="H163" s="719"/>
      <c r="J163" s="180" t="s">
        <v>10761</v>
      </c>
      <c r="K163" s="201">
        <f>+INDEX(WP!$A:$AN,MATCH(F164,WP!$B:$B,0),5)</f>
        <v>5</v>
      </c>
      <c r="L163" s="202">
        <f>+INDEX(WP!$A:$AN,MATCH(F164,WP!$B:$B,0),6)</f>
        <v>83</v>
      </c>
      <c r="M163" s="202">
        <f>+INDEX(WP!$A:$AN,MATCH(F164,WP!$B:$B,0),7)</f>
        <v>20</v>
      </c>
      <c r="N163" s="202" t="str">
        <f ca="1">IFERROR(_xlfn.IMAGE("https://natalie.tf/wp-content/uploads/2023/11/DLV3_Icon_Affinity_"&amp;O163&amp;".png"),"")</f>
        <v/>
      </c>
      <c r="O163" s="203" t="str">
        <f>IF(INDEX(WP!$A:$AN,MATCH(F164,WP!$B:$B,0),8)=0,"None",INDEX(WP!$A:$AN,MATCH(F164,WP!$B:$B,0),8))</f>
        <v>None</v>
      </c>
      <c r="P163" s="8" t="e" vm="393">
        <f>_xlfn.IMAGE("https://natalie.tf/wp-content/uploads/2023/10/DLV3_Icon_Ability_"&amp;INDEX('WP-A'!$A$1:$Z$498,MATCH('WP-Print'!Q163,'WP-A'!$A:$A,0),MATCH("Icon",'WP-A'!$A$1:$Z$1,0))&amp;".png")</f>
        <v>#VALUE!</v>
      </c>
      <c r="Q163" s="231" t="str">
        <f>+INDEX(WP!$A:$AN,MATCH(F164,WP!$B:$B,0),MATCH("Ability",WP!$A$2:$AN$2,0))</f>
        <v>High Brunhilda Res +25%</v>
      </c>
      <c r="R163" s="734" t="str">
        <f>+INDEX(WP!$A:$AN,MATCH(F164,WP!$B:$B,0),MATCH("Obtain From",WP!$A$2:$AN$2,0))</f>
        <v>Clear Battle in the Dornith Mountains: Beginner (The Imperial Onslaught)</v>
      </c>
    </row>
    <row r="164" spans="1:18" ht="22.5" customHeight="1" x14ac:dyDescent="0.2">
      <c r="A164" s="204" t="str">
        <f>TEXT(A161+1,"000")</f>
        <v>054</v>
      </c>
      <c r="B164" s="729"/>
      <c r="C164" s="8"/>
      <c r="D164" s="729"/>
      <c r="E164" s="8"/>
      <c r="F164" s="200" t="str">
        <f>"WP-"&amp;A164</f>
        <v>WP-054</v>
      </c>
      <c r="G164" s="200">
        <f>+INDEX(WP!$A:$AN,MATCH(F164,WP!$B:$B,0),MATCH("ID",WP!$A$2:$AN$2,0))</f>
        <v>400121</v>
      </c>
      <c r="I164" s="8"/>
      <c r="J164" s="180" t="s">
        <v>10762</v>
      </c>
      <c r="K164" s="201">
        <f>+INDEX(WP!$A:$AN,MATCH(F164,WP!$B:$B,0),14)</f>
        <v>5</v>
      </c>
      <c r="L164" s="202">
        <f>+INDEX(WP!$A:$AN,MATCH(F164,WP!$B:$B,0),15)</f>
        <v>150</v>
      </c>
      <c r="M164" s="202">
        <f>+INDEX(WP!$A:$AN,MATCH(F164,WP!$B:$B,0),16)</f>
        <v>90</v>
      </c>
      <c r="N164" s="202" t="e" vm="344">
        <f>IFERROR(_xlfn.IMAGE("https://natalie.tf/wp-content/uploads/2023/11/DLV3_Icon_Affinity_"&amp;O164&amp;".png"),"")</f>
        <v>#VALUE!</v>
      </c>
      <c r="O164" s="203" t="str">
        <f>+INDEX(WP!$A:$AN,MATCH(F164,WP!$B:$B,0),17)</f>
        <v>Eagle</v>
      </c>
      <c r="P164" s="8" t="e" vm="393">
        <f>_xlfn.IMAGE("https://natalie.tf/wp-content/uploads/2023/10/DLV3_Icon_Ability_"&amp;INDEX('WP-A'!$A$1:$Z$498,MATCH('WP-Print'!Q164,'WP-A'!$A:$A,0),MATCH("Icon",'WP-A'!$A$1:$Z$1,0))&amp;".png")</f>
        <v>#VALUE!</v>
      </c>
      <c r="Q164" s="231" t="str">
        <f>+INDEX(WP!$A:$AN,MATCH(F164,WP!$B:$B,0),MATCH("Ability V3",WP!$A$2:$AN$2,0))</f>
        <v>High Brunhilda Res +25%</v>
      </c>
      <c r="R164" s="735"/>
    </row>
    <row r="165" spans="1:18" ht="7.5" customHeight="1" x14ac:dyDescent="0.2">
      <c r="A165" t="s">
        <v>10763</v>
      </c>
    </row>
    <row r="166" spans="1:18" ht="22.5" customHeight="1" x14ac:dyDescent="0.2">
      <c r="B166" s="729" t="e" vm="424">
        <f>_xlfn.IMAGE("https://natalie.tf/wp-content/uploads/2023/10/DLV3_Icon_WP_"&amp;G167&amp;"_01.png")</f>
        <v>#VALUE!</v>
      </c>
      <c r="D166" s="730" t="e" vm="425">
        <f>_xlfn.IMAGE("https://natalie.tf/wp-content/uploads/2023/10/DLV3_Icon_WP_"&amp;G167&amp;"_02.png")</f>
        <v>#VALUE!</v>
      </c>
      <c r="F166" s="717" t="str">
        <f>+INDEX(WP!$A:$AN,MATCH(F167,WP!$B:$B,0),MATCH("Name",WP!$A$2:$AN$2,0))</f>
        <v>A Wish Upon the Yuletree</v>
      </c>
      <c r="G166" s="718"/>
      <c r="H166" s="719"/>
      <c r="J166" s="180" t="s">
        <v>10761</v>
      </c>
      <c r="K166" s="201">
        <f>+INDEX(WP!$A:$AN,MATCH(F167,WP!$B:$B,0),5)</f>
        <v>5</v>
      </c>
      <c r="L166" s="202">
        <f>+INDEX(WP!$A:$AN,MATCH(F167,WP!$B:$B,0),6)</f>
        <v>95</v>
      </c>
      <c r="M166" s="202">
        <f>+INDEX(WP!$A:$AN,MATCH(F167,WP!$B:$B,0),7)</f>
        <v>26</v>
      </c>
      <c r="N166" s="202" t="str">
        <f ca="1">IFERROR(_xlfn.IMAGE("https://natalie.tf/wp-content/uploads/2023/11/DLV3_Icon_Affinity_"&amp;O166&amp;".png"),"")</f>
        <v/>
      </c>
      <c r="O166" s="203" t="str">
        <f>IF(INDEX(WP!$A:$AN,MATCH(F167,WP!$B:$B,0),8)=0,"None",INDEX(WP!$A:$AN,MATCH(F167,WP!$B:$B,0),8))</f>
        <v>None</v>
      </c>
      <c r="P166" s="8" t="e" vm="426">
        <f>_xlfn.IMAGE("https://natalie.tf/wp-content/uploads/2023/10/DLV3_Icon_Ability_"&amp;INDEX('WP-A'!$A$1:$Z$498,MATCH('WP-Print'!Q166,'WP-A'!$A:$A,0),MATCH("Icon",'WP-A'!$A$1:$Z$1,0))&amp;".png")</f>
        <v>#VALUE!</v>
      </c>
      <c r="Q166" s="231" t="str">
        <f>+INDEX(WP!$A:$AN,MATCH(F167,WP!$B:$B,0),MATCH("Ability",WP!$A$2:$AN$2,0))</f>
        <v>HP 70% = Defense +13%</v>
      </c>
      <c r="R166" s="734" t="str">
        <f>+INDEX(WP!$A:$AN,MATCH(F167,WP!$B:$B,0),MATCH("Obtain From",WP!$A$2:$AN$2,0))</f>
        <v>Read Episode 5 of the Event Story (The Miracle of Dragonyule)</v>
      </c>
    </row>
    <row r="167" spans="1:18" ht="22.5" customHeight="1" x14ac:dyDescent="0.2">
      <c r="A167" s="204" t="str">
        <f>TEXT(A164+1,"000")</f>
        <v>055</v>
      </c>
      <c r="B167" s="729"/>
      <c r="C167" s="8"/>
      <c r="D167" s="729"/>
      <c r="E167" s="8"/>
      <c r="F167" s="200" t="str">
        <f>"WP-"&amp;A167</f>
        <v>WP-055</v>
      </c>
      <c r="G167" s="200">
        <f>+INDEX(WP!$A:$AN,MATCH(F167,WP!$B:$B,0),MATCH("ID",WP!$A$2:$AN$2,0))</f>
        <v>400091</v>
      </c>
      <c r="I167" s="8"/>
      <c r="J167" s="180" t="s">
        <v>10762</v>
      </c>
      <c r="K167" s="201">
        <f>+INDEX(WP!$A:$AN,MATCH(F167,WP!$B:$B,0),14)</f>
        <v>5</v>
      </c>
      <c r="L167" s="202">
        <f>+INDEX(WP!$A:$AN,MATCH(F167,WP!$B:$B,0),15)</f>
        <v>150</v>
      </c>
      <c r="M167" s="202">
        <f>+INDEX(WP!$A:$AN,MATCH(F167,WP!$B:$B,0),16)</f>
        <v>90</v>
      </c>
      <c r="N167" s="202" t="e" vm="338">
        <f>IFERROR(_xlfn.IMAGE("https://natalie.tf/wp-content/uploads/2023/11/DLV3_Icon_Affinity_"&amp;O167&amp;".png"),"")</f>
        <v>#VALUE!</v>
      </c>
      <c r="O167" s="203" t="str">
        <f>+INDEX(WP!$A:$AN,MATCH(F167,WP!$B:$B,0),17)</f>
        <v>Wolf</v>
      </c>
      <c r="P167" s="8" t="e" vm="426">
        <f>_xlfn.IMAGE("https://natalie.tf/wp-content/uploads/2023/10/DLV3_Icon_Ability_"&amp;INDEX('WP-A'!$A$1:$Z$498,MATCH('WP-Print'!Q167,'WP-A'!$A:$A,0),MATCH("Icon",'WP-A'!$A$1:$Z$1,0))&amp;".png")</f>
        <v>#VALUE!</v>
      </c>
      <c r="Q167" s="231" t="str">
        <f>+INDEX(WP!$A:$AN,MATCH(F167,WP!$B:$B,0),MATCH("Ability V3",WP!$A$2:$AN$2,0))</f>
        <v>Defense +20%</v>
      </c>
      <c r="R167" s="735"/>
    </row>
    <row r="168" spans="1:18" ht="7.5" customHeight="1" x14ac:dyDescent="0.2">
      <c r="A168" t="s">
        <v>10763</v>
      </c>
    </row>
    <row r="169" spans="1:18" ht="22.5" customHeight="1" x14ac:dyDescent="0.2">
      <c r="B169" s="729" t="e" vm="427">
        <f>_xlfn.IMAGE("https://natalie.tf/wp-content/uploads/2023/10/DLV3_Icon_WP_"&amp;G170&amp;"_01.png")</f>
        <v>#VALUE!</v>
      </c>
      <c r="D169" s="730" t="e" vm="428">
        <f>_xlfn.IMAGE("https://natalie.tf/wp-content/uploads/2023/10/DLV3_Icon_WP_"&amp;G170&amp;"_02.png")</f>
        <v>#VALUE!</v>
      </c>
      <c r="F169" s="717" t="str">
        <f>+INDEX(WP!$A:$AN,MATCH(F170,WP!$B:$B,0),MATCH("Name",WP!$A$2:$AN$2,0))</f>
        <v>The Prince of Dragonyule</v>
      </c>
      <c r="G169" s="718"/>
      <c r="H169" s="719"/>
      <c r="J169" s="180" t="s">
        <v>10761</v>
      </c>
      <c r="K169" s="201">
        <f>+INDEX(WP!$A:$AN,MATCH(F170,WP!$B:$B,0),5)</f>
        <v>5</v>
      </c>
      <c r="L169" s="202">
        <f>+INDEX(WP!$A:$AN,MATCH(F170,WP!$B:$B,0),6)</f>
        <v>89</v>
      </c>
      <c r="M169" s="202">
        <f>+INDEX(WP!$A:$AN,MATCH(F170,WP!$B:$B,0),7)</f>
        <v>32</v>
      </c>
      <c r="N169" s="202" t="str">
        <f ca="1">IFERROR(_xlfn.IMAGE("https://natalie.tf/wp-content/uploads/2023/11/DLV3_Icon_Affinity_"&amp;O169&amp;".png"),"")</f>
        <v/>
      </c>
      <c r="O169" s="203" t="str">
        <f>IF(INDEX(WP!$A:$AN,MATCH(F170,WP!$B:$B,0),8)=0,"None",INDEX(WP!$A:$AN,MATCH(F170,WP!$B:$B,0),8))</f>
        <v>None</v>
      </c>
      <c r="P169" s="8" t="e" vm="326">
        <f>_xlfn.IMAGE("https://natalie.tf/wp-content/uploads/2023/10/DLV3_Icon_Ability_"&amp;INDEX('WP-A'!$A$1:$Z$498,MATCH('WP-Print'!Q169,'WP-A'!$A:$A,0),MATCH("Icon",'WP-A'!$A$1:$Z$1,0))&amp;".png")</f>
        <v>#VALUE!</v>
      </c>
      <c r="Q169" s="231" t="str">
        <f>+INDEX(WP!$A:$AN,MATCH(F170,WP!$B:$B,0),MATCH("Ability",WP!$A$2:$AN$2,0))</f>
        <v>(Water) Flurry Devastation +12%</v>
      </c>
      <c r="R169" s="734" t="str">
        <f>+INDEX(WP!$A:$AN,MATCH(F170,WP!$B:$B,0),MATCH("Obtain From",WP!$A$2:$AN$2,0))</f>
        <v>Read Episode 5 of the Event Story (The Miracle of Dragonyule)</v>
      </c>
    </row>
    <row r="170" spans="1:18" ht="22.5" customHeight="1" x14ac:dyDescent="0.2">
      <c r="A170" s="204" t="str">
        <f>TEXT(A167+1,"000")</f>
        <v>056</v>
      </c>
      <c r="B170" s="729"/>
      <c r="C170" s="8"/>
      <c r="D170" s="729"/>
      <c r="E170" s="8"/>
      <c r="F170" s="200" t="str">
        <f>"WP-"&amp;A170</f>
        <v>WP-056</v>
      </c>
      <c r="G170" s="200">
        <f>+INDEX(WP!$A:$AN,MATCH(F170,WP!$B:$B,0),MATCH("ID",WP!$A$2:$AN$2,0))</f>
        <v>400115</v>
      </c>
      <c r="I170" s="8"/>
      <c r="J170" s="180" t="s">
        <v>10762</v>
      </c>
      <c r="K170" s="201">
        <f>+INDEX(WP!$A:$AN,MATCH(F170,WP!$B:$B,0),14)</f>
        <v>5</v>
      </c>
      <c r="L170" s="202">
        <f>+INDEX(WP!$A:$AN,MATCH(F170,WP!$B:$B,0),15)</f>
        <v>150</v>
      </c>
      <c r="M170" s="202">
        <f>+INDEX(WP!$A:$AN,MATCH(F170,WP!$B:$B,0),16)</f>
        <v>90</v>
      </c>
      <c r="N170" s="202" t="e" vm="344">
        <f>IFERROR(_xlfn.IMAGE("https://natalie.tf/wp-content/uploads/2023/11/DLV3_Icon_Affinity_"&amp;O170&amp;".png"),"")</f>
        <v>#VALUE!</v>
      </c>
      <c r="O170" s="203" t="str">
        <f>+INDEX(WP!$A:$AN,MATCH(F170,WP!$B:$B,0),17)</f>
        <v>Eagle</v>
      </c>
      <c r="P170" s="8" t="e" vm="326">
        <f>_xlfn.IMAGE("https://natalie.tf/wp-content/uploads/2023/10/DLV3_Icon_Ability_"&amp;INDEX('WP-A'!$A$1:$Z$498,MATCH('WP-Print'!Q170,'WP-A'!$A:$A,0),MATCH("Icon",'WP-A'!$A$1:$Z$1,0))&amp;".png")</f>
        <v>#VALUE!</v>
      </c>
      <c r="Q170" s="231" t="str">
        <f>+INDEX(WP!$A:$AN,MATCH(F170,WP!$B:$B,0),MATCH("Ability V3",WP!$A$2:$AN$2,0))</f>
        <v>(Water) Flurry Devastation +15%</v>
      </c>
      <c r="R170" s="735"/>
    </row>
    <row r="171" spans="1:18" ht="22.5" customHeight="1" x14ac:dyDescent="0.2">
      <c r="A171" t="s">
        <v>10763</v>
      </c>
    </row>
    <row r="172" spans="1:18" ht="22.5" customHeight="1" x14ac:dyDescent="0.2">
      <c r="B172" s="729" t="e" vm="429">
        <f>_xlfn.IMAGE("https://natalie.tf/wp-content/uploads/2023/10/DLV3_Icon_WP_"&amp;G173&amp;"_01.png")</f>
        <v>#VALUE!</v>
      </c>
      <c r="D172" s="730" t="e" vm="430">
        <f>_xlfn.IMAGE("https://natalie.tf/wp-content/uploads/2023/10/DLV3_Icon_WP_"&amp;G173&amp;"_02.png")</f>
        <v>#VALUE!</v>
      </c>
      <c r="F172" s="717" t="str">
        <f>+INDEX(WP!$A:$AN,MATCH(F173,WP!$B:$B,0),MATCH("Name",WP!$A$2:$AN$2,0))</f>
        <v>A Slice of Dragonyule</v>
      </c>
      <c r="G172" s="718"/>
      <c r="H172" s="719"/>
      <c r="J172" s="180" t="s">
        <v>10761</v>
      </c>
      <c r="K172" s="201">
        <f>+INDEX(WP!$A:$AN,MATCH(F173,WP!$B:$B,0),5)</f>
        <v>5</v>
      </c>
      <c r="L172" s="202">
        <f>+INDEX(WP!$A:$AN,MATCH(F173,WP!$B:$B,0),6)</f>
        <v>76</v>
      </c>
      <c r="M172" s="202">
        <f>+INDEX(WP!$A:$AN,MATCH(F173,WP!$B:$B,0),7)</f>
        <v>26</v>
      </c>
      <c r="N172" s="202" t="str">
        <f ca="1">IFERROR(_xlfn.IMAGE("https://natalie.tf/wp-content/uploads/2023/11/DLV3_Icon_Affinity_"&amp;O172&amp;".png"),"")</f>
        <v/>
      </c>
      <c r="O172" s="203" t="str">
        <f>IF(INDEX(WP!$A:$AN,MATCH(F173,WP!$B:$B,0),8)=0,"None",INDEX(WP!$A:$AN,MATCH(F173,WP!$B:$B,0),8))</f>
        <v>None</v>
      </c>
      <c r="P172" s="8" t="e" vm="411">
        <f>_xlfn.IMAGE("https://natalie.tf/wp-content/uploads/2023/10/DLV3_Icon_Ability_"&amp;INDEX('WP-A'!$A$1:$Z$498,MATCH('WP-Print'!Q172,'WP-A'!$A:$A,0),MATCH("Icon",'WP-A'!$A$1:$Z$1,0))&amp;".png")</f>
        <v>#VALUE!</v>
      </c>
      <c r="Q172" s="231" t="str">
        <f>+INDEX(WP!$A:$AN,MATCH(F173,WP!$B:$B,0),MATCH("Ability",WP!$A$2:$AN$2,0))</f>
        <v>Skill Prep +50%</v>
      </c>
      <c r="R172" s="734" t="str">
        <f>+INDEX(WP!$A:$AN,MATCH(F173,WP!$B:$B,0),MATCH("Obtain From",WP!$A$2:$AN$2,0))</f>
        <v>Read Episode 5 of the Event Story (The Miracle of Dragonyule)</v>
      </c>
    </row>
    <row r="173" spans="1:18" ht="22.5" customHeight="1" x14ac:dyDescent="0.2">
      <c r="A173" s="204" t="str">
        <f>TEXT(A170+1,"000")</f>
        <v>057</v>
      </c>
      <c r="B173" s="729"/>
      <c r="C173" s="8"/>
      <c r="D173" s="729"/>
      <c r="E173" s="8"/>
      <c r="F173" s="200" t="str">
        <f>"WP-"&amp;A173</f>
        <v>WP-057</v>
      </c>
      <c r="G173" s="200">
        <f>+INDEX(WP!$A:$AN,MATCH(F173,WP!$B:$B,0),MATCH("ID",WP!$A$2:$AN$2,0))</f>
        <v>400118</v>
      </c>
      <c r="I173" s="8"/>
      <c r="J173" s="180" t="s">
        <v>10762</v>
      </c>
      <c r="K173" s="201">
        <f>+INDEX(WP!$A:$AN,MATCH(F173,WP!$B:$B,0),14)</f>
        <v>5</v>
      </c>
      <c r="L173" s="202">
        <f>+INDEX(WP!$A:$AN,MATCH(F173,WP!$B:$B,0),15)</f>
        <v>150</v>
      </c>
      <c r="M173" s="202">
        <f>+INDEX(WP!$A:$AN,MATCH(F173,WP!$B:$B,0),16)</f>
        <v>90</v>
      </c>
      <c r="N173" s="202" t="e" vm="344">
        <f>IFERROR(_xlfn.IMAGE("https://natalie.tf/wp-content/uploads/2023/11/DLV3_Icon_Affinity_"&amp;O173&amp;".png"),"")</f>
        <v>#VALUE!</v>
      </c>
      <c r="O173" s="203" t="str">
        <f>+INDEX(WP!$A:$AN,MATCH(F173,WP!$B:$B,0),17)</f>
        <v>Eagle</v>
      </c>
      <c r="P173" s="8" t="e" vm="411">
        <f>_xlfn.IMAGE("https://natalie.tf/wp-content/uploads/2023/10/DLV3_Icon_Ability_"&amp;INDEX('WP-A'!$A$1:$Z$498,MATCH('WP-Print'!Q173,'WP-A'!$A:$A,0),MATCH("Icon",'WP-A'!$A$1:$Z$1,0))&amp;".png")</f>
        <v>#VALUE!</v>
      </c>
      <c r="Q173" s="231" t="str">
        <f>+INDEX(WP!$A:$AN,MATCH(F173,WP!$B:$B,0),MATCH("Ability V3",WP!$A$2:$AN$2,0))</f>
        <v>Skill Prep +50%</v>
      </c>
      <c r="R173" s="735"/>
    </row>
    <row r="174" spans="1:18" ht="7.5" customHeight="1" x14ac:dyDescent="0.2">
      <c r="A174" t="s">
        <v>10763</v>
      </c>
    </row>
    <row r="175" spans="1:18" ht="22.5" customHeight="1" x14ac:dyDescent="0.2">
      <c r="B175" s="729" t="e" vm="431">
        <f>_xlfn.IMAGE("https://natalie.tf/wp-content/uploads/2023/10/DLV3_Icon_WP_"&amp;G176&amp;"_01.png")</f>
        <v>#VALUE!</v>
      </c>
      <c r="D175" s="730" t="e" vm="432">
        <f>_xlfn.IMAGE("https://natalie.tf/wp-content/uploads/2023/10/DLV3_Icon_WP_"&amp;G176&amp;"_02.png")</f>
        <v>#VALUE!</v>
      </c>
      <c r="F175" s="717" t="str">
        <f>+INDEX(WP!$A:$AN,MATCH(F176,WP!$B:$B,0),MATCH("Name",WP!$A$2:$AN$2,0))</f>
        <v>The Greatest Gift</v>
      </c>
      <c r="G175" s="718"/>
      <c r="H175" s="719"/>
      <c r="J175" s="180" t="s">
        <v>10761</v>
      </c>
      <c r="K175" s="201">
        <f>+INDEX(WP!$A:$AN,MATCH(F176,WP!$B:$B,0),5)</f>
        <v>5</v>
      </c>
      <c r="L175" s="202">
        <f>+INDEX(WP!$A:$AN,MATCH(F176,WP!$B:$B,0),6)</f>
        <v>76</v>
      </c>
      <c r="M175" s="202">
        <f>+INDEX(WP!$A:$AN,MATCH(F176,WP!$B:$B,0),7)</f>
        <v>26</v>
      </c>
      <c r="N175" s="202" t="str">
        <f ca="1">IFERROR(_xlfn.IMAGE("https://natalie.tf/wp-content/uploads/2023/11/DLV3_Icon_Affinity_"&amp;O175&amp;".png"),"")</f>
        <v/>
      </c>
      <c r="O175" s="203" t="str">
        <f>IF(INDEX(WP!$A:$AN,MATCH(F176,WP!$B:$B,0),8)=0,"None",INDEX(WP!$A:$AN,MATCH(F176,WP!$B:$B,0),8))</f>
        <v>None</v>
      </c>
      <c r="P175" s="8" t="e" vm="382">
        <f>_xlfn.IMAGE("https://natalie.tf/wp-content/uploads/2023/10/DLV3_Icon_Ability_"&amp;INDEX('WP-A'!$A$1:$Z$498,MATCH('WP-Print'!Q175,'WP-A'!$A:$A,0),MATCH("Icon",'WP-A'!$A$1:$Z$1,0))&amp;".png")</f>
        <v>#VALUE!</v>
      </c>
      <c r="Q175" s="231" t="str">
        <f>+INDEX(WP!$A:$AN,MATCH(F176,WP!$B:$B,0),MATCH("Ability",WP!$A$2:$AN$2,0))</f>
        <v>Player EXP +10%</v>
      </c>
      <c r="R175" s="734" t="str">
        <f>+INDEX(WP!$A:$AN,MATCH(F176,WP!$B:$B,0),MATCH("Obtain From",WP!$A$2:$AN$2,0))</f>
        <v>Read Episode 5 of the Event Story (The Miracle of Dragonyule)</v>
      </c>
    </row>
    <row r="176" spans="1:18" ht="22.5" customHeight="1" x14ac:dyDescent="0.2">
      <c r="A176" s="204" t="str">
        <f>TEXT(A173+1,"000")</f>
        <v>058</v>
      </c>
      <c r="B176" s="729"/>
      <c r="C176" s="8"/>
      <c r="D176" s="729"/>
      <c r="E176" s="8"/>
      <c r="F176" s="200" t="str">
        <f>"WP-"&amp;A176</f>
        <v>WP-058</v>
      </c>
      <c r="G176" s="200">
        <f>+INDEX(WP!$A:$AN,MATCH(F176,WP!$B:$B,0),MATCH("ID",WP!$A$2:$AN$2,0))</f>
        <v>400123</v>
      </c>
      <c r="I176" s="8"/>
      <c r="J176" s="180" t="s">
        <v>10762</v>
      </c>
      <c r="K176" s="201">
        <f>+INDEX(WP!$A:$AN,MATCH(F176,WP!$B:$B,0),14)</f>
        <v>5</v>
      </c>
      <c r="L176" s="202">
        <f>+INDEX(WP!$A:$AN,MATCH(F176,WP!$B:$B,0),15)</f>
        <v>150</v>
      </c>
      <c r="M176" s="202">
        <f>+INDEX(WP!$A:$AN,MATCH(F176,WP!$B:$B,0),16)</f>
        <v>90</v>
      </c>
      <c r="N176" s="202" t="e" vm="342">
        <f>IFERROR(_xlfn.IMAGE("https://natalie.tf/wp-content/uploads/2023/11/DLV3_Icon_Affinity_"&amp;O176&amp;".png"),"")</f>
        <v>#VALUE!</v>
      </c>
      <c r="O176" s="203" t="str">
        <f>+INDEX(WP!$A:$AN,MATCH(F176,WP!$B:$B,0),17)</f>
        <v>Bow</v>
      </c>
      <c r="P176" s="8" t="e" vm="326">
        <f>_xlfn.IMAGE("https://natalie.tf/wp-content/uploads/2023/10/DLV3_Icon_Ability_"&amp;INDEX('WP-A'!$A$1:$Z$498,MATCH('WP-Print'!Q176,'WP-A'!$A:$A,0),MATCH("Icon",'WP-A'!$A$1:$Z$1,0))&amp;".png")</f>
        <v>#VALUE!</v>
      </c>
      <c r="Q176" s="231" t="str">
        <f>+INDEX(WP!$A:$AN,MATCH(F176,WP!$B:$B,0),MATCH("Ability V3",WP!$A$2:$AN$2,0))</f>
        <v>(Staff) Critical Rate +15%</v>
      </c>
      <c r="R176" s="735"/>
    </row>
    <row r="177" spans="1:18" ht="7.5" customHeight="1" x14ac:dyDescent="0.2">
      <c r="A177" t="s">
        <v>10763</v>
      </c>
    </row>
    <row r="178" spans="1:18" ht="22.5" customHeight="1" x14ac:dyDescent="0.2">
      <c r="B178" s="729" t="e" vm="433">
        <f>_xlfn.IMAGE("https://natalie.tf/wp-content/uploads/2023/10/DLV3_Icon_WP_"&amp;G179&amp;"_01.png")</f>
        <v>#VALUE!</v>
      </c>
      <c r="D178" s="730" t="e" vm="434">
        <f>_xlfn.IMAGE("https://natalie.tf/wp-content/uploads/2023/10/DLV3_Icon_WP_"&amp;G179&amp;"_02.png")</f>
        <v>#VALUE!</v>
      </c>
      <c r="F178" s="717" t="str">
        <f>+INDEX(WP!$A:$AN,MATCH(F179,WP!$B:$B,0),MATCH("Name",WP!$A$2:$AN$2,0))</f>
        <v>Happy New Year!</v>
      </c>
      <c r="G178" s="718"/>
      <c r="H178" s="719"/>
      <c r="J178" s="180" t="s">
        <v>10761</v>
      </c>
      <c r="K178" s="201">
        <f>+INDEX(WP!$A:$AN,MATCH(F179,WP!$B:$B,0),5)</f>
        <v>5</v>
      </c>
      <c r="L178" s="202">
        <f>+INDEX(WP!$A:$AN,MATCH(F179,WP!$B:$B,0),6)</f>
        <v>97</v>
      </c>
      <c r="M178" s="202">
        <f>+INDEX(WP!$A:$AN,MATCH(F179,WP!$B:$B,0),7)</f>
        <v>23</v>
      </c>
      <c r="N178" s="202" t="str">
        <f ca="1">IFERROR(_xlfn.IMAGE("https://natalie.tf/wp-content/uploads/2023/11/DLV3_Icon_Affinity_"&amp;O178&amp;".png"),"")</f>
        <v/>
      </c>
      <c r="O178" s="203" t="str">
        <f>IF(INDEX(WP!$A:$AN,MATCH(F179,WP!$B:$B,0),8)=0,"None",INDEX(WP!$A:$AN,MATCH(F179,WP!$B:$B,0),8))</f>
        <v>None</v>
      </c>
      <c r="P178" s="8" t="e" vm="435">
        <f>_xlfn.IMAGE("https://natalie.tf/wp-content/uploads/2023/10/DLV3_Icon_Ability_"&amp;INDEX('WP-A'!$A$1:$Z$498,MATCH('WP-Print'!Q178,'WP-A'!$A:$A,0),MATCH("Icon",'WP-A'!$A$1:$Z$1,0))&amp;".png")</f>
        <v>#VALUE!</v>
      </c>
      <c r="Q178" s="231" t="str">
        <f>+INDEX(WP!$A:$AN,MATCH(F179,WP!$B:$B,0),MATCH("Ability",WP!$A$2:$AN$2,0))</f>
        <v>Light Res +13%</v>
      </c>
      <c r="R178" s="734" t="str">
        <f>+INDEX(WP!$A:$AN,MATCH(F179,WP!$B:$B,0),MATCH("Obtain From",WP!$A$2:$AN$2,0))</f>
        <v>Clear Shishimai Showdown: Nightmare (Fortune from Afar)</v>
      </c>
    </row>
    <row r="179" spans="1:18" ht="22.5" customHeight="1" x14ac:dyDescent="0.2">
      <c r="A179" s="204" t="str">
        <f>TEXT(A176+1,"000")</f>
        <v>059</v>
      </c>
      <c r="B179" s="729"/>
      <c r="C179" s="8"/>
      <c r="D179" s="729"/>
      <c r="E179" s="8"/>
      <c r="F179" s="200" t="str">
        <f>"WP-"&amp;A179</f>
        <v>WP-059</v>
      </c>
      <c r="G179" s="200">
        <f>+INDEX(WP!$A:$AN,MATCH(F179,WP!$B:$B,0),MATCH("ID",WP!$A$2:$AN$2,0))</f>
        <v>400124</v>
      </c>
      <c r="I179" s="8"/>
      <c r="J179" s="180" t="s">
        <v>10762</v>
      </c>
      <c r="K179" s="201">
        <f>+INDEX(WP!$A:$AN,MATCH(F179,WP!$B:$B,0),14)</f>
        <v>5</v>
      </c>
      <c r="L179" s="202">
        <f>+INDEX(WP!$A:$AN,MATCH(F179,WP!$B:$B,0),15)</f>
        <v>150</v>
      </c>
      <c r="M179" s="202">
        <f>+INDEX(WP!$A:$AN,MATCH(F179,WP!$B:$B,0),16)</f>
        <v>90</v>
      </c>
      <c r="N179" s="202" t="e" vm="346">
        <f>IFERROR(_xlfn.IMAGE("https://natalie.tf/wp-content/uploads/2023/11/DLV3_Icon_Affinity_"&amp;O179&amp;".png"),"")</f>
        <v>#VALUE!</v>
      </c>
      <c r="O179" s="203" t="str">
        <f>+INDEX(WP!$A:$AN,MATCH(F179,WP!$B:$B,0),17)</f>
        <v>Bull</v>
      </c>
      <c r="P179" s="8" t="e" vm="435">
        <f>_xlfn.IMAGE("https://natalie.tf/wp-content/uploads/2023/10/DLV3_Icon_Ability_"&amp;INDEX('WP-A'!$A$1:$Z$498,MATCH('WP-Print'!Q179,'WP-A'!$A:$A,0),MATCH("Icon",'WP-A'!$A$1:$Z$1,0))&amp;".png")</f>
        <v>#VALUE!</v>
      </c>
      <c r="Q179" s="231" t="str">
        <f>+INDEX(WP!$A:$AN,MATCH(F179,WP!$B:$B,0),MATCH("Ability V3",WP!$A$2:$AN$2,0))</f>
        <v>(Shadow) Light Res +15%</v>
      </c>
      <c r="R179" s="735"/>
    </row>
    <row r="180" spans="1:18" ht="7.5" customHeight="1" x14ac:dyDescent="0.2">
      <c r="A180" t="s">
        <v>10763</v>
      </c>
    </row>
    <row r="181" spans="1:18" ht="22.5" customHeight="1" x14ac:dyDescent="0.2">
      <c r="B181" s="729" t="e" vm="436">
        <f>_xlfn.IMAGE("https://natalie.tf/wp-content/uploads/2023/10/DLV3_Icon_WP_"&amp;G182&amp;"_01.png")</f>
        <v>#VALUE!</v>
      </c>
      <c r="D181" s="730" t="e" vm="437">
        <f>_xlfn.IMAGE("https://natalie.tf/wp-content/uploads/2023/10/DLV3_Icon_WP_"&amp;G182&amp;"_02.png")</f>
        <v>#VALUE!</v>
      </c>
      <c r="F181" s="717" t="str">
        <f>+INDEX(WP!$A:$AN,MATCH(F182,WP!$B:$B,0),MATCH("Name",WP!$A$2:$AN$2,0))</f>
        <v>Heralds of Hinomoto</v>
      </c>
      <c r="G181" s="718"/>
      <c r="H181" s="719"/>
      <c r="J181" s="180" t="s">
        <v>10761</v>
      </c>
      <c r="K181" s="201">
        <f>+INDEX(WP!$A:$AN,MATCH(F182,WP!$B:$B,0),5)</f>
        <v>5</v>
      </c>
      <c r="L181" s="202">
        <f>+INDEX(WP!$A:$AN,MATCH(F182,WP!$B:$B,0),6)</f>
        <v>88</v>
      </c>
      <c r="M181" s="202">
        <f>+INDEX(WP!$A:$AN,MATCH(F182,WP!$B:$B,0),7)</f>
        <v>32</v>
      </c>
      <c r="N181" s="202" t="e" vm="341">
        <f>IFERROR(_xlfn.IMAGE("https://natalie.tf/wp-content/uploads/2023/11/DLV3_Icon_Affinity_"&amp;O181&amp;".png"),"")</f>
        <v>#VALUE!</v>
      </c>
      <c r="O181" s="203" t="str">
        <f>IF(INDEX(WP!$A:$AN,MATCH(F182,WP!$B:$B,0),8)=0,"None",INDEX(WP!$A:$AN,MATCH(F182,WP!$B:$B,0),8))</f>
        <v>Crown</v>
      </c>
      <c r="P181" s="8" t="e" vm="322">
        <f>_xlfn.IMAGE("https://natalie.tf/wp-content/uploads/2023/10/DLV3_Icon_Ability_"&amp;INDEX('WP-A'!$A$1:$Z$498,MATCH('WP-Print'!Q181,'WP-A'!$A:$A,0),MATCH("Icon",'WP-A'!$A$1:$Z$1,0))&amp;".png")</f>
        <v>#VALUE!</v>
      </c>
      <c r="Q181" s="231" t="str">
        <f>+INDEX(WP!$A:$AN,MATCH(F182,WP!$B:$B,0),MATCH("Ability",WP!$A$2:$AN$2,0))</f>
        <v>Skill Damage +30%</v>
      </c>
      <c r="R181" s="734" t="str">
        <f>+INDEX(WP!$A:$AN,MATCH(F182,WP!$B:$B,0),MATCH("Obtain From",WP!$A$2:$AN$2,0))</f>
        <v>Clear Ieyasu's Crucible: Expert (Fortune from Afar)</v>
      </c>
    </row>
    <row r="182" spans="1:18" ht="22.5" customHeight="1" x14ac:dyDescent="0.2">
      <c r="A182" s="204" t="str">
        <f>TEXT(A179+1,"000")</f>
        <v>060</v>
      </c>
      <c r="B182" s="729"/>
      <c r="C182" s="8"/>
      <c r="D182" s="729"/>
      <c r="E182" s="8"/>
      <c r="F182" s="200" t="str">
        <f>"WP-"&amp;A182</f>
        <v>WP-060</v>
      </c>
      <c r="G182" s="200">
        <f>+INDEX(WP!$A:$AN,MATCH(F182,WP!$B:$B,0),MATCH("ID",WP!$A$2:$AN$2,0))</f>
        <v>400125</v>
      </c>
      <c r="I182" s="8"/>
      <c r="J182" s="180" t="s">
        <v>10762</v>
      </c>
      <c r="K182" s="201">
        <f>+INDEX(WP!$A:$AN,MATCH(F182,WP!$B:$B,0),14)</f>
        <v>5</v>
      </c>
      <c r="L182" s="202">
        <f>+INDEX(WP!$A:$AN,MATCH(F182,WP!$B:$B,0),15)</f>
        <v>150</v>
      </c>
      <c r="M182" s="202">
        <f>+INDEX(WP!$A:$AN,MATCH(F182,WP!$B:$B,0),16)</f>
        <v>90</v>
      </c>
      <c r="N182" s="202" t="e" vm="381">
        <f>IFERROR(_xlfn.IMAGE("https://natalie.tf/wp-content/uploads/2023/11/DLV3_Icon_Affinity_"&amp;O182&amp;".png"),"")</f>
        <v>#VALUE!</v>
      </c>
      <c r="O182" s="203" t="str">
        <f>+INDEX(WP!$A:$AN,MATCH(F182,WP!$B:$B,0),17)</f>
        <v>Dragon</v>
      </c>
      <c r="P182" s="8" t="e" vm="322">
        <f>_xlfn.IMAGE("https://natalie.tf/wp-content/uploads/2023/10/DLV3_Icon_Ability_"&amp;INDEX('WP-A'!$A$1:$Z$498,MATCH('WP-Print'!Q182,'WP-A'!$A:$A,0),MATCH("Icon",'WP-A'!$A$1:$Z$1,0))&amp;".png")</f>
        <v>#VALUE!</v>
      </c>
      <c r="Q182" s="231" t="str">
        <f>+INDEX(WP!$A:$AN,MATCH(F182,WP!$B:$B,0),MATCH("Ability V3",WP!$A$2:$AN$2,0))</f>
        <v>(Shadow) Skill Damage +35%</v>
      </c>
      <c r="R182" s="735"/>
    </row>
    <row r="183" spans="1:18" ht="7.5" customHeight="1" x14ac:dyDescent="0.2">
      <c r="A183" t="s">
        <v>10763</v>
      </c>
    </row>
    <row r="184" spans="1:18" ht="22.5" customHeight="1" x14ac:dyDescent="0.2">
      <c r="B184" s="729" t="e" vm="438">
        <f>_xlfn.IMAGE("https://natalie.tf/wp-content/uploads/2023/10/DLV3_Icon_WP_"&amp;G185&amp;"_01.png")</f>
        <v>#VALUE!</v>
      </c>
      <c r="D184" s="730" t="e" vm="439">
        <f>_xlfn.IMAGE("https://natalie.tf/wp-content/uploads/2023/10/DLV3_Icon_WP_"&amp;G185&amp;"_02.png")</f>
        <v>#VALUE!</v>
      </c>
      <c r="F184" s="717" t="str">
        <f>+INDEX(WP!$A:$AN,MATCH(F185,WP!$B:$B,0),MATCH("Name",WP!$A$2:$AN$2,0))</f>
        <v>Dragon and Tamer</v>
      </c>
      <c r="G184" s="718"/>
      <c r="H184" s="719"/>
      <c r="J184" s="180" t="s">
        <v>10761</v>
      </c>
      <c r="K184" s="201">
        <f>+INDEX(WP!$A:$AN,MATCH(F185,WP!$B:$B,0),5)</f>
        <v>5</v>
      </c>
      <c r="L184" s="202">
        <f>+INDEX(WP!$A:$AN,MATCH(F185,WP!$B:$B,0),6)</f>
        <v>91</v>
      </c>
      <c r="M184" s="202">
        <f>+INDEX(WP!$A:$AN,MATCH(F185,WP!$B:$B,0),7)</f>
        <v>29</v>
      </c>
      <c r="N184" s="202" t="str">
        <f ca="1">IFERROR(_xlfn.IMAGE("https://natalie.tf/wp-content/uploads/2023/11/DLV3_Icon_Affinity_"&amp;O184&amp;".png"),"")</f>
        <v/>
      </c>
      <c r="O184" s="203" t="str">
        <f>IF(INDEX(WP!$A:$AN,MATCH(F185,WP!$B:$B,0),8)=0,"None",INDEX(WP!$A:$AN,MATCH(F185,WP!$B:$B,0),8))</f>
        <v>None</v>
      </c>
      <c r="P184" s="8" t="e" vm="322">
        <f>_xlfn.IMAGE("https://natalie.tf/wp-content/uploads/2023/10/DLV3_Icon_Ability_"&amp;INDEX('WP-A'!$A$1:$Z$498,MATCH('WP-Print'!Q184,'WP-A'!$A:$A,0),MATCH("Icon",'WP-A'!$A$1:$Z$1,0))&amp;".png")</f>
        <v>#VALUE!</v>
      </c>
      <c r="Q184" s="231" t="str">
        <f>+INDEX(WP!$A:$AN,MATCH(F185,WP!$B:$B,0),MATCH("Ability",WP!$A$2:$AN$2,0))</f>
        <v>(Lance) Skill Damage +40%</v>
      </c>
      <c r="R184" s="734" t="str">
        <f>+INDEX(WP!$A:$AN,MATCH(F185,WP!$B:$B,0),MATCH("Obtain From",WP!$A$2:$AN$2,0))</f>
        <v>Clear Top Star Trial: Master (Dream Big Under the Big Top)</v>
      </c>
    </row>
    <row r="185" spans="1:18" ht="22.5" customHeight="1" x14ac:dyDescent="0.2">
      <c r="A185" s="204" t="str">
        <f>TEXT(A182+1,"000")</f>
        <v>061</v>
      </c>
      <c r="B185" s="729"/>
      <c r="C185" s="8"/>
      <c r="D185" s="729"/>
      <c r="E185" s="8"/>
      <c r="F185" s="200" t="str">
        <f>"WP-"&amp;A185</f>
        <v>WP-061</v>
      </c>
      <c r="G185" s="200">
        <f>+INDEX(WP!$A:$AN,MATCH(F185,WP!$B:$B,0),MATCH("ID",WP!$A$2:$AN$2,0))</f>
        <v>400128</v>
      </c>
      <c r="I185" s="8"/>
      <c r="J185" s="180" t="s">
        <v>10762</v>
      </c>
      <c r="K185" s="201">
        <f>+INDEX(WP!$A:$AN,MATCH(F185,WP!$B:$B,0),14)</f>
        <v>5</v>
      </c>
      <c r="L185" s="202">
        <f>+INDEX(WP!$A:$AN,MATCH(F185,WP!$B:$B,0),15)</f>
        <v>150</v>
      </c>
      <c r="M185" s="202">
        <f>+INDEX(WP!$A:$AN,MATCH(F185,WP!$B:$B,0),16)</f>
        <v>90</v>
      </c>
      <c r="N185" s="202" t="e" vm="340">
        <f>IFERROR(_xlfn.IMAGE("https://natalie.tf/wp-content/uploads/2023/11/DLV3_Icon_Affinity_"&amp;O185&amp;".png"),"")</f>
        <v>#VALUE!</v>
      </c>
      <c r="O185" s="203" t="str">
        <f>+INDEX(WP!$A:$AN,MATCH(F185,WP!$B:$B,0),17)</f>
        <v>Lance</v>
      </c>
      <c r="P185" s="8" t="e" vm="322">
        <f>_xlfn.IMAGE("https://natalie.tf/wp-content/uploads/2023/10/DLV3_Icon_Ability_"&amp;INDEX('WP-A'!$A$1:$Z$498,MATCH('WP-Print'!Q185,'WP-A'!$A:$A,0),MATCH("Icon",'WP-A'!$A$1:$Z$1,0))&amp;".png")</f>
        <v>#VALUE!</v>
      </c>
      <c r="Q185" s="231" t="str">
        <f>+INDEX(WP!$A:$AN,MATCH(F185,WP!$B:$B,0),MATCH("Ability V3",WP!$A$2:$AN$2,0))</f>
        <v>(Lance) Skill Damage +40%</v>
      </c>
      <c r="R185" s="735"/>
    </row>
    <row r="186" spans="1:18" ht="7.5" customHeight="1" x14ac:dyDescent="0.2">
      <c r="A186" t="s">
        <v>10763</v>
      </c>
    </row>
    <row r="187" spans="1:18" ht="22.5" customHeight="1" x14ac:dyDescent="0.2">
      <c r="B187" s="729" t="e" vm="440">
        <f>_xlfn.IMAGE("https://natalie.tf/wp-content/uploads/2023/10/DLV3_Icon_WP_"&amp;G188&amp;"_01.png")</f>
        <v>#VALUE!</v>
      </c>
      <c r="D187" s="730" t="e" vm="441">
        <f>_xlfn.IMAGE("https://natalie.tf/wp-content/uploads/2023/10/DLV3_Icon_WP_"&amp;G188&amp;"_02.png")</f>
        <v>#VALUE!</v>
      </c>
      <c r="F187" s="717" t="str">
        <f>+INDEX(WP!$A:$AN,MATCH(F188,WP!$B:$B,0),MATCH("Name",WP!$A$2:$AN$2,0))</f>
        <v>Stellar Show</v>
      </c>
      <c r="G187" s="718"/>
      <c r="H187" s="719"/>
      <c r="J187" s="180" t="s">
        <v>10761</v>
      </c>
      <c r="K187" s="201">
        <f>+INDEX(WP!$A:$AN,MATCH(F188,WP!$B:$B,0),5)</f>
        <v>5</v>
      </c>
      <c r="L187" s="202">
        <f>+INDEX(WP!$A:$AN,MATCH(F188,WP!$B:$B,0),6)</f>
        <v>88</v>
      </c>
      <c r="M187" s="202">
        <f>+INDEX(WP!$A:$AN,MATCH(F188,WP!$B:$B,0),7)</f>
        <v>32</v>
      </c>
      <c r="N187" s="202" t="str">
        <f ca="1">IFERROR(_xlfn.IMAGE("https://natalie.tf/wp-content/uploads/2023/11/DLV3_Icon_Affinity_"&amp;O187&amp;".png"),"")</f>
        <v/>
      </c>
      <c r="O187" s="203" t="str">
        <f>IF(INDEX(WP!$A:$AN,MATCH(F188,WP!$B:$B,0),8)=0,"None",INDEX(WP!$A:$AN,MATCH(F188,WP!$B:$B,0),8))</f>
        <v>None</v>
      </c>
      <c r="P187" s="8" t="e" vm="7">
        <f>_xlfn.IMAGE("https://natalie.tf/wp-content/uploads/2023/10/DLV3_Icon_Ability_"&amp;INDEX('WP-A'!$A$1:$Z$498,MATCH('WP-Print'!Q187,'WP-A'!$A:$A,0),MATCH("Icon",'WP-A'!$A$1:$Z$1,0))&amp;".png")</f>
        <v>#VALUE!</v>
      </c>
      <c r="Q187" s="231" t="str">
        <f>+INDEX(WP!$A:$AN,MATCH(F188,WP!$B:$B,0),MATCH("Ability",WP!$A$2:$AN$2,0))</f>
        <v>Force Strike +50%</v>
      </c>
      <c r="R187" s="734" t="str">
        <f>+INDEX(WP!$A:$AN,MATCH(F188,WP!$B:$B,0),MATCH("Obtain From",WP!$A$2:$AN$2,0))</f>
        <v>Clear Welcome to the Fiend Circus: Expert (Dream Big Under the Big Top)</v>
      </c>
    </row>
    <row r="188" spans="1:18" ht="22.5" customHeight="1" x14ac:dyDescent="0.2">
      <c r="A188" s="204" t="str">
        <f>TEXT(A185+1,"000")</f>
        <v>062</v>
      </c>
      <c r="B188" s="729"/>
      <c r="C188" s="8"/>
      <c r="D188" s="729"/>
      <c r="E188" s="8"/>
      <c r="F188" s="200" t="str">
        <f>"WP-"&amp;A188</f>
        <v>WP-062</v>
      </c>
      <c r="G188" s="200">
        <f>+INDEX(WP!$A:$AN,MATCH(F188,WP!$B:$B,0),MATCH("ID",WP!$A$2:$AN$2,0))</f>
        <v>400129</v>
      </c>
      <c r="I188" s="8"/>
      <c r="J188" s="180" t="s">
        <v>10762</v>
      </c>
      <c r="K188" s="201">
        <f>+INDEX(WP!$A:$AN,MATCH(F188,WP!$B:$B,0),14)</f>
        <v>5</v>
      </c>
      <c r="L188" s="202">
        <f>+INDEX(WP!$A:$AN,MATCH(F188,WP!$B:$B,0),15)</f>
        <v>150</v>
      </c>
      <c r="M188" s="202">
        <f>+INDEX(WP!$A:$AN,MATCH(F188,WP!$B:$B,0),16)</f>
        <v>90</v>
      </c>
      <c r="N188" s="202" t="e" vm="362">
        <f>IFERROR(_xlfn.IMAGE("https://natalie.tf/wp-content/uploads/2023/11/DLV3_Icon_Affinity_"&amp;O188&amp;".png"),"")</f>
        <v>#VALUE!</v>
      </c>
      <c r="O188" s="203" t="str">
        <f>+INDEX(WP!$A:$AN,MATCH(F188,WP!$B:$B,0),17)</f>
        <v>Bat</v>
      </c>
      <c r="P188" s="8" t="e" vm="7">
        <f>_xlfn.IMAGE("https://natalie.tf/wp-content/uploads/2023/10/DLV3_Icon_Ability_"&amp;INDEX('WP-A'!$A$1:$Z$498,MATCH('WP-Print'!Q188,'WP-A'!$A:$A,0),MATCH("Icon",'WP-A'!$A$1:$Z$1,0))&amp;".png")</f>
        <v>#VALUE!</v>
      </c>
      <c r="Q188" s="231" t="str">
        <f>+INDEX(WP!$A:$AN,MATCH(F188,WP!$B:$B,0),MATCH("Ability V3",WP!$A$2:$AN$2,0))</f>
        <v>Force Strike +50%</v>
      </c>
      <c r="R188" s="735"/>
    </row>
    <row r="189" spans="1:18" ht="7.5" customHeight="1" x14ac:dyDescent="0.2">
      <c r="A189" t="s">
        <v>10763</v>
      </c>
    </row>
    <row r="190" spans="1:18" ht="22.5" customHeight="1" x14ac:dyDescent="0.2">
      <c r="B190" s="729" t="e" vm="442">
        <f>_xlfn.IMAGE("https://natalie.tf/wp-content/uploads/2023/10/DLV3_Icon_WP_"&amp;G191&amp;"_01.png")</f>
        <v>#VALUE!</v>
      </c>
      <c r="D190" s="730" t="e" vm="443">
        <f>_xlfn.IMAGE("https://natalie.tf/wp-content/uploads/2023/10/DLV3_Icon_WP_"&amp;G191&amp;"_02.png")</f>
        <v>#VALUE!</v>
      </c>
      <c r="F190" s="717" t="str">
        <f>+INDEX(WP!$A:$AN,MATCH(F191,WP!$B:$B,0),MATCH("Name",WP!$A$2:$AN$2,0))</f>
        <v>Astounding Trick</v>
      </c>
      <c r="G190" s="718"/>
      <c r="H190" s="719"/>
      <c r="J190" s="180" t="s">
        <v>10761</v>
      </c>
      <c r="K190" s="201">
        <f>+INDEX(WP!$A:$AN,MATCH(F191,WP!$B:$B,0),5)</f>
        <v>5</v>
      </c>
      <c r="L190" s="202">
        <f>+INDEX(WP!$A:$AN,MATCH(F191,WP!$B:$B,0),6)</f>
        <v>75</v>
      </c>
      <c r="M190" s="202">
        <f>+INDEX(WP!$A:$AN,MATCH(F191,WP!$B:$B,0),7)</f>
        <v>27</v>
      </c>
      <c r="N190" s="202" t="str">
        <f ca="1">IFERROR(_xlfn.IMAGE("https://natalie.tf/wp-content/uploads/2023/11/DLV3_Icon_Affinity_"&amp;O190&amp;".png"),"")</f>
        <v/>
      </c>
      <c r="O190" s="203" t="str">
        <f>IF(INDEX(WP!$A:$AN,MATCH(F191,WP!$B:$B,0),8)=0,"None",INDEX(WP!$A:$AN,MATCH(F191,WP!$B:$B,0),8))</f>
        <v>None</v>
      </c>
      <c r="P190" s="8" t="e" vm="444">
        <f>_xlfn.IMAGE("https://natalie.tf/wp-content/uploads/2023/10/DLV3_Icon_Ability_"&amp;INDEX('WP-A'!$A$1:$Z$498,MATCH('WP-Print'!Q190,'WP-A'!$A:$A,0),MATCH("Icon",'WP-A'!$A$1:$Z$1,0))&amp;".png")</f>
        <v>#VALUE!</v>
      </c>
      <c r="Q190" s="231" t="str">
        <f>+INDEX(WP!$A:$AN,MATCH(F191,WP!$B:$B,0),MATCH("Ability",WP!$A$2:$AN$2,0))</f>
        <v>(Wind) Buff Skill Time +25%</v>
      </c>
      <c r="R190" s="734" t="str">
        <f>+INDEX(WP!$A:$AN,MATCH(F191,WP!$B:$B,0),MATCH("Obtain From",WP!$A$2:$AN$2,0))</f>
        <v>Clear Practice in the Poison Swamp (Dream Big Under the Big Top)</v>
      </c>
    </row>
    <row r="191" spans="1:18" ht="22.5" customHeight="1" x14ac:dyDescent="0.2">
      <c r="A191" s="204" t="str">
        <f>TEXT(A188+1,"000")</f>
        <v>063</v>
      </c>
      <c r="B191" s="729"/>
      <c r="C191" s="8"/>
      <c r="D191" s="729"/>
      <c r="E191" s="8"/>
      <c r="F191" s="200" t="str">
        <f>"WP-"&amp;A191</f>
        <v>WP-063</v>
      </c>
      <c r="G191" s="200">
        <f>+INDEX(WP!$A:$AN,MATCH(F191,WP!$B:$B,0),MATCH("ID",WP!$A$2:$AN$2,0))</f>
        <v>400131</v>
      </c>
      <c r="I191" s="8"/>
      <c r="J191" s="180" t="s">
        <v>10762</v>
      </c>
      <c r="K191" s="201">
        <f>+INDEX(WP!$A:$AN,MATCH(F191,WP!$B:$B,0),14)</f>
        <v>5</v>
      </c>
      <c r="L191" s="202">
        <f>+INDEX(WP!$A:$AN,MATCH(F191,WP!$B:$B,0),15)</f>
        <v>150</v>
      </c>
      <c r="M191" s="202">
        <f>+INDEX(WP!$A:$AN,MATCH(F191,WP!$B:$B,0),16)</f>
        <v>90</v>
      </c>
      <c r="N191" s="202" t="e" vm="352">
        <f>IFERROR(_xlfn.IMAGE("https://natalie.tf/wp-content/uploads/2023/11/DLV3_Icon_Affinity_"&amp;O191&amp;".png"),"")</f>
        <v>#VALUE!</v>
      </c>
      <c r="O191" s="203" t="str">
        <f>+INDEX(WP!$A:$AN,MATCH(F191,WP!$B:$B,0),17)</f>
        <v>Fish</v>
      </c>
      <c r="P191" s="8" t="e" vm="444">
        <f>_xlfn.IMAGE("https://natalie.tf/wp-content/uploads/2023/10/DLV3_Icon_Ability_"&amp;INDEX('WP-A'!$A$1:$Z$498,MATCH('WP-Print'!Q191,'WP-A'!$A:$A,0),MATCH("Icon",'WP-A'!$A$1:$Z$1,0))&amp;".png")</f>
        <v>#VALUE!</v>
      </c>
      <c r="Q191" s="231" t="str">
        <f>+INDEX(WP!$A:$AN,MATCH(F191,WP!$B:$B,0),MATCH("Ability V3",WP!$A$2:$AN$2,0))</f>
        <v>(Wind) Buff Skill Time +30%</v>
      </c>
      <c r="R191" s="735"/>
    </row>
    <row r="192" spans="1:18" ht="7.5" customHeight="1" x14ac:dyDescent="0.2">
      <c r="A192" t="s">
        <v>10763</v>
      </c>
    </row>
    <row r="193" spans="1:18" ht="22.5" customHeight="1" x14ac:dyDescent="0.2">
      <c r="B193" s="729" t="e" vm="445">
        <f>_xlfn.IMAGE("https://natalie.tf/wp-content/uploads/2023/10/DLV3_Icon_WP_"&amp;G194&amp;"_01.png")</f>
        <v>#VALUE!</v>
      </c>
      <c r="D193" s="730" t="e" vm="446">
        <f>_xlfn.IMAGE("https://natalie.tf/wp-content/uploads/2023/10/DLV3_Icon_WP_"&amp;G194&amp;"_02.png")</f>
        <v>#VALUE!</v>
      </c>
      <c r="F193" s="717" t="str">
        <f>+INDEX(WP!$A:$AN,MATCH(F194,WP!$B:$B,0),MATCH("Name",WP!$A$2:$AN$2,0))</f>
        <v>Warrior Maiden</v>
      </c>
      <c r="G193" s="718"/>
      <c r="H193" s="719"/>
      <c r="J193" s="180" t="s">
        <v>10761</v>
      </c>
      <c r="K193" s="201">
        <f>+INDEX(WP!$A:$AN,MATCH(F194,WP!$B:$B,0),5)</f>
        <v>5</v>
      </c>
      <c r="L193" s="202">
        <f>+INDEX(WP!$A:$AN,MATCH(F194,WP!$B:$B,0),6)</f>
        <v>90</v>
      </c>
      <c r="M193" s="202">
        <f>+INDEX(WP!$A:$AN,MATCH(F194,WP!$B:$B,0),7)</f>
        <v>30</v>
      </c>
      <c r="N193" s="202" t="e" vm="345">
        <f>IFERROR(_xlfn.IMAGE("https://natalie.tf/wp-content/uploads/2023/11/DLV3_Icon_Affinity_"&amp;O193&amp;".png"),"")</f>
        <v>#VALUE!</v>
      </c>
      <c r="O193" s="203" t="str">
        <f>IF(INDEX(WP!$A:$AN,MATCH(F194,WP!$B:$B,0),8)=0,"None",INDEX(WP!$A:$AN,MATCH(F194,WP!$B:$B,0),8))</f>
        <v>Staff</v>
      </c>
      <c r="P193" s="8" t="e" vm="349">
        <f>_xlfn.IMAGE("https://natalie.tf/wp-content/uploads/2023/10/DLV3_Icon_Ability_"&amp;INDEX('WP-A'!$A$1:$Z$498,MATCH('WP-Print'!Q193,'WP-A'!$A:$A,0),MATCH("Icon",'WP-A'!$A$1:$Z$1,0))&amp;".png")</f>
        <v>#VALUE!</v>
      </c>
      <c r="Q193" s="231" t="str">
        <f>+INDEX(WP!$A:$AN,MATCH(F194,WP!$B:$B,0),MATCH("Ability",WP!$A$2:$AN$2,0))</f>
        <v>Recovery Potency +13%</v>
      </c>
      <c r="R193" s="734" t="str">
        <f>+INDEX(WP!$A:$AN,MATCH(F194,WP!$B:$B,0),MATCH("Obtain From",WP!$A$2:$AN$2,0))</f>
        <v>Obtain From Ch. 04 EX 2 Chest (Very Hard) (Non-Endeavor)</v>
      </c>
    </row>
    <row r="194" spans="1:18" ht="22.5" customHeight="1" x14ac:dyDescent="0.2">
      <c r="A194" s="204" t="str">
        <f>TEXT(A191+1,"000")</f>
        <v>064</v>
      </c>
      <c r="B194" s="729"/>
      <c r="C194" s="8"/>
      <c r="D194" s="729"/>
      <c r="E194" s="8"/>
      <c r="F194" s="200" t="str">
        <f>"WP-"&amp;A194</f>
        <v>WP-064</v>
      </c>
      <c r="G194" s="200">
        <f>+INDEX(WP!$A:$AN,MATCH(F194,WP!$B:$B,0),MATCH("ID",WP!$A$2:$AN$2,0))</f>
        <v>400080</v>
      </c>
      <c r="I194" s="8"/>
      <c r="J194" s="180" t="s">
        <v>10762</v>
      </c>
      <c r="K194" s="201">
        <f>+INDEX(WP!$A:$AN,MATCH(F194,WP!$B:$B,0),14)</f>
        <v>5</v>
      </c>
      <c r="L194" s="202">
        <f>+INDEX(WP!$A:$AN,MATCH(F194,WP!$B:$B,0),15)</f>
        <v>150</v>
      </c>
      <c r="M194" s="202">
        <f>+INDEX(WP!$A:$AN,MATCH(F194,WP!$B:$B,0),16)</f>
        <v>90</v>
      </c>
      <c r="N194" s="202" t="e" vm="367">
        <f>IFERROR(_xlfn.IMAGE("https://natalie.tf/wp-content/uploads/2023/11/DLV3_Icon_Affinity_"&amp;O194&amp;".png"),"")</f>
        <v>#VALUE!</v>
      </c>
      <c r="O194" s="203" t="str">
        <f>+INDEX(WP!$A:$AN,MATCH(F194,WP!$B:$B,0),17)</f>
        <v>Spider</v>
      </c>
      <c r="P194" s="8" t="e" vm="349">
        <f>_xlfn.IMAGE("https://natalie.tf/wp-content/uploads/2023/10/DLV3_Icon_Ability_"&amp;INDEX('WP-A'!$A$1:$Z$498,MATCH('WP-Print'!Q194,'WP-A'!$A:$A,0),MATCH("Icon",'WP-A'!$A$1:$Z$1,0))&amp;".png")</f>
        <v>#VALUE!</v>
      </c>
      <c r="Q194" s="231" t="str">
        <f>+INDEX(WP!$A:$AN,MATCH(F194,WP!$B:$B,0),MATCH("Ability V3",WP!$A$2:$AN$2,0))</f>
        <v>Recovery Potency +15%</v>
      </c>
      <c r="R194" s="735"/>
    </row>
    <row r="195" spans="1:18" ht="7.5" customHeight="1" x14ac:dyDescent="0.2">
      <c r="A195" t="s">
        <v>10763</v>
      </c>
    </row>
    <row r="196" spans="1:18" ht="22.5" customHeight="1" x14ac:dyDescent="0.2">
      <c r="B196" s="729" t="e" vm="447">
        <f>_xlfn.IMAGE("https://natalie.tf/wp-content/uploads/2023/10/DLV3_Icon_WP_"&amp;G197&amp;"_01.png")</f>
        <v>#VALUE!</v>
      </c>
      <c r="D196" s="730" t="e" vm="448">
        <f>_xlfn.IMAGE("https://natalie.tf/wp-content/uploads/2023/10/DLV3_Icon_WP_"&amp;G197&amp;"_02.png")</f>
        <v>#VALUE!</v>
      </c>
      <c r="F196" s="717" t="str">
        <f>+INDEX(WP!$A:$AN,MATCH(F197,WP!$B:$B,0),MATCH("Name",WP!$A$2:$AN$2,0))</f>
        <v>Kung Fu Masters</v>
      </c>
      <c r="G196" s="718"/>
      <c r="H196" s="719"/>
      <c r="J196" s="180" t="s">
        <v>10761</v>
      </c>
      <c r="K196" s="201">
        <f>+INDEX(WP!$A:$AN,MATCH(F197,WP!$B:$B,0),5)</f>
        <v>5</v>
      </c>
      <c r="L196" s="202">
        <f>+INDEX(WP!$A:$AN,MATCH(F197,WP!$B:$B,0),6)</f>
        <v>88</v>
      </c>
      <c r="M196" s="202">
        <f>+INDEX(WP!$A:$AN,MATCH(F197,WP!$B:$B,0),7)</f>
        <v>32</v>
      </c>
      <c r="N196" s="202" t="str">
        <f ca="1">IFERROR(_xlfn.IMAGE("https://natalie.tf/wp-content/uploads/2023/11/DLV3_Icon_Affinity_"&amp;O196&amp;".png"),"")</f>
        <v/>
      </c>
      <c r="O196" s="203" t="str">
        <f>IF(INDEX(WP!$A:$AN,MATCH(F197,WP!$B:$B,0),8)=0,"None",INDEX(WP!$A:$AN,MATCH(F197,WP!$B:$B,0),8))</f>
        <v>None</v>
      </c>
      <c r="P196" s="8" t="e" vm="326">
        <f>_xlfn.IMAGE("https://natalie.tf/wp-content/uploads/2023/10/DLV3_Icon_Ability_"&amp;INDEX('WP-A'!$A$1:$Z$498,MATCH('WP-Print'!Q196,'WP-A'!$A:$A,0),MATCH("Icon",'WP-A'!$A$1:$Z$1,0))&amp;".png")</f>
        <v>#VALUE!</v>
      </c>
      <c r="Q196" s="231" t="str">
        <f>+INDEX(WP!$A:$AN,MATCH(F197,WP!$B:$B,0),MATCH("Ability",WP!$A$2:$AN$2,0))</f>
        <v>(Axe) Critical Rate +14%</v>
      </c>
      <c r="R196" s="734" t="str">
        <f>+INDEX(WP!$A:$AN,MATCH(F197,WP!$B:$B,0),MATCH("Obtain From",WP!$A$2:$AN$2,0))</f>
        <v>Clear Valfarre Clash: Nightmare (Skyborne Spectacle)</v>
      </c>
    </row>
    <row r="197" spans="1:18" ht="22.5" customHeight="1" x14ac:dyDescent="0.2">
      <c r="A197" s="204" t="str">
        <f>TEXT(A194+1,"000")</f>
        <v>065</v>
      </c>
      <c r="B197" s="729"/>
      <c r="C197" s="8"/>
      <c r="D197" s="729"/>
      <c r="E197" s="8"/>
      <c r="F197" s="200" t="str">
        <f>"WP-"&amp;A197</f>
        <v>WP-065</v>
      </c>
      <c r="G197" s="200">
        <f>+INDEX(WP!$A:$AN,MATCH(F197,WP!$B:$B,0),MATCH("ID",WP!$A$2:$AN$2,0))</f>
        <v>400163</v>
      </c>
      <c r="I197" s="8"/>
      <c r="J197" s="180" t="s">
        <v>10762</v>
      </c>
      <c r="K197" s="201">
        <f>+INDEX(WP!$A:$AN,MATCH(F197,WP!$B:$B,0),14)</f>
        <v>5</v>
      </c>
      <c r="L197" s="202">
        <f>+INDEX(WP!$A:$AN,MATCH(F197,WP!$B:$B,0),15)</f>
        <v>150</v>
      </c>
      <c r="M197" s="202">
        <f>+INDEX(WP!$A:$AN,MATCH(F197,WP!$B:$B,0),16)</f>
        <v>90</v>
      </c>
      <c r="N197" s="202" t="e" vm="339">
        <f>IFERROR(_xlfn.IMAGE("https://natalie.tf/wp-content/uploads/2023/11/DLV3_Icon_Affinity_"&amp;O197&amp;".png"),"")</f>
        <v>#VALUE!</v>
      </c>
      <c r="O197" s="203" t="str">
        <f>+INDEX(WP!$A:$AN,MATCH(F197,WP!$B:$B,0),17)</f>
        <v>Sword</v>
      </c>
      <c r="P197" s="8" t="e" vm="326">
        <f>_xlfn.IMAGE("https://natalie.tf/wp-content/uploads/2023/10/DLV3_Icon_Ability_"&amp;INDEX('WP-A'!$A$1:$Z$498,MATCH('WP-Print'!Q197,'WP-A'!$A:$A,0),MATCH("Icon",'WP-A'!$A$1:$Z$1,0))&amp;".png")</f>
        <v>#VALUE!</v>
      </c>
      <c r="Q197" s="231" t="str">
        <f>+INDEX(WP!$A:$AN,MATCH(F197,WP!$B:$B,0),MATCH("Ability V3",WP!$A$2:$AN$2,0))</f>
        <v>(Axe) Critical Rate +15%</v>
      </c>
      <c r="R197" s="735"/>
    </row>
    <row r="198" spans="1:18" ht="7.5" customHeight="1" x14ac:dyDescent="0.2">
      <c r="A198" t="s">
        <v>10763</v>
      </c>
    </row>
    <row r="199" spans="1:18" ht="22.5" customHeight="1" x14ac:dyDescent="0.2">
      <c r="B199" s="729" t="e" vm="449">
        <f>_xlfn.IMAGE("https://natalie.tf/wp-content/uploads/2023/10/DLV3_Icon_WP_"&amp;G200&amp;"_01.png")</f>
        <v>#VALUE!</v>
      </c>
      <c r="D199" s="730" t="e" vm="450">
        <f>_xlfn.IMAGE("https://natalie.tf/wp-content/uploads/2023/10/DLV3_Icon_WP_"&amp;G200&amp;"_02.png")</f>
        <v>#VALUE!</v>
      </c>
      <c r="F199" s="717" t="str">
        <f>+INDEX(WP!$A:$AN,MATCH(F200,WP!$B:$B,0),MATCH("Name",WP!$A$2:$AN$2,0))</f>
        <v>The Chocolatiers</v>
      </c>
      <c r="G199" s="718"/>
      <c r="H199" s="719"/>
      <c r="J199" s="180" t="s">
        <v>10761</v>
      </c>
      <c r="K199" s="201">
        <f>+INDEX(WP!$A:$AN,MATCH(F200,WP!$B:$B,0),5)</f>
        <v>5</v>
      </c>
      <c r="L199" s="202">
        <f>+INDEX(WP!$A:$AN,MATCH(F200,WP!$B:$B,0),6)</f>
        <v>89</v>
      </c>
      <c r="M199" s="202">
        <f>+INDEX(WP!$A:$AN,MATCH(F200,WP!$B:$B,0),7)</f>
        <v>31</v>
      </c>
      <c r="N199" s="202" t="str">
        <f ca="1">IFERROR(_xlfn.IMAGE("https://natalie.tf/wp-content/uploads/2023/11/DLV3_Icon_Affinity_"&amp;O199&amp;".png"),"")</f>
        <v/>
      </c>
      <c r="O199" s="203" t="str">
        <f>IF(INDEX(WP!$A:$AN,MATCH(F200,WP!$B:$B,0),8)=0,"None",INDEX(WP!$A:$AN,MATCH(F200,WP!$B:$B,0),8))</f>
        <v>None</v>
      </c>
      <c r="P199" s="8" t="e" vm="411">
        <f>_xlfn.IMAGE("https://natalie.tf/wp-content/uploads/2023/10/DLV3_Icon_Ability_"&amp;INDEX('WP-A'!$A$1:$Z$498,MATCH('WP-Print'!Q199,'WP-A'!$A:$A,0),MATCH("Icon",'WP-A'!$A$1:$Z$1,0))&amp;".png")</f>
        <v>#VALUE!</v>
      </c>
      <c r="Q199" s="231" t="str">
        <f>+INDEX(WP!$A:$AN,MATCH(F200,WP!$B:$B,0),MATCH("Ability",WP!$A$2:$AN$2,0))</f>
        <v>Skill Prep +50%</v>
      </c>
      <c r="R199" s="734" t="str">
        <f>+INDEX(WP!$A:$AN,MATCH(F200,WP!$B:$B,0),MATCH("Obtain From",WP!$A$2:$AN$2,0))</f>
        <v>Clear Midgardsormr's Trial: Master</v>
      </c>
    </row>
    <row r="200" spans="1:18" ht="22.5" customHeight="1" x14ac:dyDescent="0.2">
      <c r="A200" s="204" t="str">
        <f>TEXT(A197+1,"000")</f>
        <v>066</v>
      </c>
      <c r="B200" s="729"/>
      <c r="C200" s="8"/>
      <c r="D200" s="729"/>
      <c r="E200" s="8"/>
      <c r="F200" s="200" t="str">
        <f>"WP-"&amp;A200</f>
        <v>WP-066</v>
      </c>
      <c r="G200" s="200">
        <f>+INDEX(WP!$A:$AN,MATCH(F200,WP!$B:$B,0),MATCH("ID",WP!$A$2:$AN$2,0))</f>
        <v>400092</v>
      </c>
      <c r="I200" s="8"/>
      <c r="J200" s="180" t="s">
        <v>10762</v>
      </c>
      <c r="K200" s="201">
        <f>+INDEX(WP!$A:$AN,MATCH(F200,WP!$B:$B,0),14)</f>
        <v>5</v>
      </c>
      <c r="L200" s="202">
        <f>+INDEX(WP!$A:$AN,MATCH(F200,WP!$B:$B,0),15)</f>
        <v>150</v>
      </c>
      <c r="M200" s="202">
        <f>+INDEX(WP!$A:$AN,MATCH(F200,WP!$B:$B,0),16)</f>
        <v>90</v>
      </c>
      <c r="N200" s="202" t="e" vm="352">
        <f>IFERROR(_xlfn.IMAGE("https://natalie.tf/wp-content/uploads/2023/11/DLV3_Icon_Affinity_"&amp;O200&amp;".png"),"")</f>
        <v>#VALUE!</v>
      </c>
      <c r="O200" s="203" t="str">
        <f>+INDEX(WP!$A:$AN,MATCH(F200,WP!$B:$B,0),17)</f>
        <v>Fish</v>
      </c>
      <c r="P200" s="8" t="e" vm="411">
        <f>_xlfn.IMAGE("https://natalie.tf/wp-content/uploads/2023/10/DLV3_Icon_Ability_"&amp;INDEX('WP-A'!$A$1:$Z$498,MATCH('WP-Print'!Q200,'WP-A'!$A:$A,0),MATCH("Icon",'WP-A'!$A$1:$Z$1,0))&amp;".png")</f>
        <v>#VALUE!</v>
      </c>
      <c r="Q200" s="231" t="str">
        <f>+INDEX(WP!$A:$AN,MATCH(F200,WP!$B:$B,0),MATCH("Ability V3",WP!$A$2:$AN$2,0))</f>
        <v>Skill Prep +50%</v>
      </c>
      <c r="R200" s="735"/>
    </row>
    <row r="201" spans="1:18" ht="7.5" customHeight="1" x14ac:dyDescent="0.2">
      <c r="A201" t="s">
        <v>10763</v>
      </c>
    </row>
    <row r="202" spans="1:18" ht="22.5" customHeight="1" x14ac:dyDescent="0.2">
      <c r="B202" s="729" t="e" vm="451">
        <f>_xlfn.IMAGE("https://natalie.tf/wp-content/uploads/2023/10/DLV3_Icon_WP_"&amp;G203&amp;"_01.png")</f>
        <v>#VALUE!</v>
      </c>
      <c r="D202" s="730" t="e" vm="452">
        <f>_xlfn.IMAGE("https://natalie.tf/wp-content/uploads/2023/10/DLV3_Icon_WP_"&amp;G203&amp;"_02.png")</f>
        <v>#VALUE!</v>
      </c>
      <c r="F202" s="717" t="str">
        <f>+INDEX(WP!$A:$AN,MATCH(F203,WP!$B:$B,0),MATCH("Name",WP!$A$2:$AN$2,0))</f>
        <v>The Rose Prince</v>
      </c>
      <c r="G202" s="718"/>
      <c r="H202" s="719"/>
      <c r="J202" s="180" t="s">
        <v>10761</v>
      </c>
      <c r="K202" s="201">
        <f>+INDEX(WP!$A:$AN,MATCH(F203,WP!$B:$B,0),5)</f>
        <v>5</v>
      </c>
      <c r="L202" s="202">
        <f>+INDEX(WP!$A:$AN,MATCH(F203,WP!$B:$B,0),6)</f>
        <v>97</v>
      </c>
      <c r="M202" s="202">
        <f>+INDEX(WP!$A:$AN,MATCH(F203,WP!$B:$B,0),7)</f>
        <v>23</v>
      </c>
      <c r="N202" s="202" t="e" vm="338">
        <f>IFERROR(_xlfn.IMAGE("https://natalie.tf/wp-content/uploads/2023/11/DLV3_Icon_Affinity_"&amp;O202&amp;".png"),"")</f>
        <v>#VALUE!</v>
      </c>
      <c r="O202" s="203" t="str">
        <f>IF(INDEX(WP!$A:$AN,MATCH(F203,WP!$B:$B,0),8)=0,"None",INDEX(WP!$A:$AN,MATCH(F203,WP!$B:$B,0),8))</f>
        <v>Wolf</v>
      </c>
      <c r="P202" s="8" t="e" vm="453">
        <f>_xlfn.IMAGE("https://natalie.tf/wp-content/uploads/2023/10/DLV3_Icon_Ability_"&amp;INDEX('WP-A'!$A$1:$Z$498,MATCH('WP-Print'!Q202,'WP-A'!$A:$A,0),MATCH("Icon",'WP-A'!$A$1:$Z$1,0))&amp;".png")</f>
        <v>#VALUE!</v>
      </c>
      <c r="Q202" s="231" t="str">
        <f>+INDEX(WP!$A:$AN,MATCH(F203,WP!$B:$B,0),MATCH("Ability",WP!$A$2:$AN$2,0))</f>
        <v>(Flame) Affliction Guard III</v>
      </c>
      <c r="R202" s="734" t="str">
        <f>+INDEX(WP!$A:$AN,MATCH(F203,WP!$B:$B,0),MATCH("Obtain From",WP!$A$2:$AN$2,0))</f>
        <v>Clear Waterscour Ruins: Beginner (Elemental Ruins)</v>
      </c>
    </row>
    <row r="203" spans="1:18" ht="22.5" customHeight="1" x14ac:dyDescent="0.2">
      <c r="A203" s="204" t="str">
        <f>TEXT(A200+1,"000")</f>
        <v>067</v>
      </c>
      <c r="B203" s="729"/>
      <c r="C203" s="8"/>
      <c r="D203" s="729"/>
      <c r="E203" s="8"/>
      <c r="F203" s="200" t="str">
        <f>"WP-"&amp;A203</f>
        <v>WP-067</v>
      </c>
      <c r="G203" s="200">
        <f>+INDEX(WP!$A:$AN,MATCH(F203,WP!$B:$B,0),MATCH("ID",WP!$A$2:$AN$2,0))</f>
        <v>400139</v>
      </c>
      <c r="I203" s="8"/>
      <c r="J203" s="180" t="s">
        <v>10762</v>
      </c>
      <c r="K203" s="201">
        <f>+INDEX(WP!$A:$AN,MATCH(F203,WP!$B:$B,0),14)</f>
        <v>5</v>
      </c>
      <c r="L203" s="202">
        <f>+INDEX(WP!$A:$AN,MATCH(F203,WP!$B:$B,0),15)</f>
        <v>150</v>
      </c>
      <c r="M203" s="202">
        <f>+INDEX(WP!$A:$AN,MATCH(F203,WP!$B:$B,0),16)</f>
        <v>90</v>
      </c>
      <c r="N203" s="202" t="e" vm="338">
        <f>IFERROR(_xlfn.IMAGE("https://natalie.tf/wp-content/uploads/2023/11/DLV3_Icon_Affinity_"&amp;O203&amp;".png"),"")</f>
        <v>#VALUE!</v>
      </c>
      <c r="O203" s="203" t="str">
        <f>+INDEX(WP!$A:$AN,MATCH(F203,WP!$B:$B,0),17)</f>
        <v>Wolf</v>
      </c>
      <c r="P203" s="8" t="e" vm="453">
        <f>_xlfn.IMAGE("https://natalie.tf/wp-content/uploads/2023/10/DLV3_Icon_Ability_"&amp;INDEX('WP-A'!$A$1:$Z$498,MATCH('WP-Print'!Q203,'WP-A'!$A:$A,0),MATCH("Icon",'WP-A'!$A$1:$Z$1,0))&amp;".png")</f>
        <v>#VALUE!</v>
      </c>
      <c r="Q203" s="231" t="str">
        <f>+INDEX(WP!$A:$AN,MATCH(F203,WP!$B:$B,0),MATCH("Ability V3",WP!$A$2:$AN$2,0))</f>
        <v>(Flame) Affliction Guard</v>
      </c>
      <c r="R203" s="735"/>
    </row>
    <row r="204" spans="1:18" ht="7.5" customHeight="1" x14ac:dyDescent="0.2">
      <c r="A204" t="s">
        <v>10763</v>
      </c>
    </row>
    <row r="205" spans="1:18" ht="22.5" customHeight="1" x14ac:dyDescent="0.2">
      <c r="B205" s="729" t="e" vm="454">
        <f>_xlfn.IMAGE("https://natalie.tf/wp-content/uploads/2023/10/DLV3_Icon_WP_"&amp;G206&amp;"_01.png")</f>
        <v>#VALUE!</v>
      </c>
      <c r="D205" s="730" t="e" vm="455">
        <f>_xlfn.IMAGE("https://natalie.tf/wp-content/uploads/2023/10/DLV3_Icon_WP_"&amp;G206&amp;"_02.png")</f>
        <v>#VALUE!</v>
      </c>
      <c r="F205" s="717" t="str">
        <f>+INDEX(WP!$A:$AN,MATCH(F206,WP!$B:$B,0),MATCH("Name",WP!$A$2:$AN$2,0))</f>
        <v>The Petal Queen</v>
      </c>
      <c r="G205" s="718"/>
      <c r="H205" s="719"/>
      <c r="J205" s="180" t="s">
        <v>10761</v>
      </c>
      <c r="K205" s="201">
        <f>+INDEX(WP!$A:$AN,MATCH(F206,WP!$B:$B,0),5)</f>
        <v>5</v>
      </c>
      <c r="L205" s="202">
        <f>+INDEX(WP!$A:$AN,MATCH(F206,WP!$B:$B,0),6)</f>
        <v>76</v>
      </c>
      <c r="M205" s="202">
        <f>+INDEX(WP!$A:$AN,MATCH(F206,WP!$B:$B,0),7)</f>
        <v>26</v>
      </c>
      <c r="N205" s="202" t="str">
        <f ca="1">IFERROR(_xlfn.IMAGE("https://natalie.tf/wp-content/uploads/2023/11/DLV3_Icon_Affinity_"&amp;O205&amp;".png"),"")</f>
        <v/>
      </c>
      <c r="O205" s="203" t="str">
        <f>IF(INDEX(WP!$A:$AN,MATCH(F206,WP!$B:$B,0),8)=0,"None",INDEX(WP!$A:$AN,MATCH(F206,WP!$B:$B,0),8))</f>
        <v>None</v>
      </c>
      <c r="P205" s="8" t="e" vm="456">
        <f>_xlfn.IMAGE("https://natalie.tf/wp-content/uploads/2023/10/DLV3_Icon_Ability_"&amp;INDEX('WP-A'!$A$1:$Z$498,MATCH('WP-Print'!Q205,'WP-A'!$A:$A,0),MATCH("Icon",'WP-A'!$A$1:$Z$1,0))&amp;".png")</f>
        <v>#VALUE!</v>
      </c>
      <c r="Q205" s="231" t="str">
        <f>+INDEX(WP!$A:$AN,MATCH(F206,WP!$B:$B,0),MATCH("Ability",WP!$A$2:$AN$2,0))</f>
        <v>Energy Prep V</v>
      </c>
      <c r="R205" s="734" t="str">
        <f>+INDEX(WP!$A:$AN,MATCH(F206,WP!$B:$B,0),MATCH("Obtain From",WP!$A$2:$AN$2,0))</f>
        <v>Read the Epilogue (Valentine's Confections)</v>
      </c>
    </row>
    <row r="206" spans="1:18" ht="22.5" customHeight="1" x14ac:dyDescent="0.2">
      <c r="A206" s="204" t="str">
        <f>TEXT(A203+1,"000")</f>
        <v>068</v>
      </c>
      <c r="B206" s="729"/>
      <c r="C206" s="8"/>
      <c r="D206" s="729"/>
      <c r="E206" s="8"/>
      <c r="F206" s="200" t="str">
        <f>"WP-"&amp;A206</f>
        <v>WP-068</v>
      </c>
      <c r="G206" s="200">
        <f>+INDEX(WP!$A:$AN,MATCH(F206,WP!$B:$B,0),MATCH("ID",WP!$A$2:$AN$2,0))</f>
        <v>400142</v>
      </c>
      <c r="I206" s="8"/>
      <c r="J206" s="180" t="s">
        <v>10762</v>
      </c>
      <c r="K206" s="201">
        <f>+INDEX(WP!$A:$AN,MATCH(F206,WP!$B:$B,0),14)</f>
        <v>5</v>
      </c>
      <c r="L206" s="202">
        <f>+INDEX(WP!$A:$AN,MATCH(F206,WP!$B:$B,0),15)</f>
        <v>150</v>
      </c>
      <c r="M206" s="202">
        <f>+INDEX(WP!$A:$AN,MATCH(F206,WP!$B:$B,0),16)</f>
        <v>90</v>
      </c>
      <c r="N206" s="202" t="e" vm="340">
        <f>IFERROR(_xlfn.IMAGE("https://natalie.tf/wp-content/uploads/2023/11/DLV3_Icon_Affinity_"&amp;O206&amp;".png"),"")</f>
        <v>#VALUE!</v>
      </c>
      <c r="O206" s="203" t="str">
        <f>+INDEX(WP!$A:$AN,MATCH(F206,WP!$B:$B,0),17)</f>
        <v>Lance</v>
      </c>
      <c r="P206" s="8" t="e" vm="456">
        <f>_xlfn.IMAGE("https://natalie.tf/wp-content/uploads/2023/10/DLV3_Icon_Ability_"&amp;INDEX('WP-A'!$A$1:$Z$498,MATCH('WP-Print'!Q206,'WP-A'!$A:$A,0),MATCH("Icon",'WP-A'!$A$1:$Z$1,0))&amp;".png")</f>
        <v>#VALUE!</v>
      </c>
      <c r="Q206" s="231" t="str">
        <f>+INDEX(WP!$A:$AN,MATCH(F206,WP!$B:$B,0),MATCH("Ability V3",WP!$A$2:$AN$2,0))</f>
        <v>Energy Prep V</v>
      </c>
      <c r="R206" s="735"/>
    </row>
    <row r="207" spans="1:18" ht="7.5" customHeight="1" x14ac:dyDescent="0.2">
      <c r="A207" t="s">
        <v>10763</v>
      </c>
    </row>
    <row r="208" spans="1:18" ht="22.5" customHeight="1" x14ac:dyDescent="0.2">
      <c r="B208" s="729" t="e" vm="457">
        <f>_xlfn.IMAGE("https://natalie.tf/wp-content/uploads/2023/10/DLV3_Icon_WP_"&amp;G209&amp;"_01.png")</f>
        <v>#VALUE!</v>
      </c>
      <c r="D208" s="730" t="e" vm="458">
        <f>_xlfn.IMAGE("https://natalie.tf/wp-content/uploads/2023/10/DLV3_Icon_WP_"&amp;G209&amp;"_02.png")</f>
        <v>#VALUE!</v>
      </c>
      <c r="F208" s="717" t="str">
        <f>+INDEX(WP!$A:$AN,MATCH(F209,WP!$B:$B,0),MATCH("Name",WP!$A$2:$AN$2,0))</f>
        <v>A Heartfelt Gift</v>
      </c>
      <c r="G208" s="718"/>
      <c r="H208" s="719"/>
      <c r="J208" s="180" t="s">
        <v>10761</v>
      </c>
      <c r="K208" s="201">
        <f>+INDEX(WP!$A:$AN,MATCH(F209,WP!$B:$B,0),5)</f>
        <v>5</v>
      </c>
      <c r="L208" s="202">
        <f>+INDEX(WP!$A:$AN,MATCH(F209,WP!$B:$B,0),6)</f>
        <v>76</v>
      </c>
      <c r="M208" s="202">
        <f>+INDEX(WP!$A:$AN,MATCH(F209,WP!$B:$B,0),7)</f>
        <v>26</v>
      </c>
      <c r="N208" s="202" t="str">
        <f ca="1">IFERROR(_xlfn.IMAGE("https://natalie.tf/wp-content/uploads/2023/11/DLV3_Icon_Affinity_"&amp;O208&amp;".png"),"")</f>
        <v/>
      </c>
      <c r="O208" s="203" t="str">
        <f>IF(INDEX(WP!$A:$AN,MATCH(F209,WP!$B:$B,0),8)=0,"None",INDEX(WP!$A:$AN,MATCH(F209,WP!$B:$B,0),8))</f>
        <v>None</v>
      </c>
      <c r="P208" s="8" t="e" vm="382">
        <f>_xlfn.IMAGE("https://natalie.tf/wp-content/uploads/2023/10/DLV3_Icon_Ability_"&amp;INDEX('WP-A'!$A$1:$Z$498,MATCH('WP-Print'!Q208,'WP-A'!$A:$A,0),MATCH("Icon",'WP-A'!$A$1:$Z$1,0))&amp;".png")</f>
        <v>#VALUE!</v>
      </c>
      <c r="Q208" s="231" t="str">
        <f>+INDEX(WP!$A:$AN,MATCH(F209,WP!$B:$B,0),MATCH("Ability",WP!$A$2:$AN$2,0))</f>
        <v>Player EXP +10%</v>
      </c>
      <c r="R208" s="734" t="str">
        <f>+INDEX(WP!$A:$AN,MATCH(F209,WP!$B:$B,0),MATCH("Obtain From",WP!$A$2:$AN$2,0))</f>
        <v>Read the Epilogue (Valentine's Confections)</v>
      </c>
    </row>
    <row r="209" spans="1:18" ht="22.5" customHeight="1" x14ac:dyDescent="0.2">
      <c r="A209" s="204" t="str">
        <f>TEXT(A206+1,"000")</f>
        <v>069</v>
      </c>
      <c r="B209" s="729"/>
      <c r="C209" s="8"/>
      <c r="D209" s="729"/>
      <c r="E209" s="8"/>
      <c r="F209" s="200" t="str">
        <f>"WP-"&amp;A209</f>
        <v>WP-069</v>
      </c>
      <c r="G209" s="200">
        <f>+INDEX(WP!$A:$AN,MATCH(F209,WP!$B:$B,0),MATCH("ID",WP!$A$2:$AN$2,0))</f>
        <v>400143</v>
      </c>
      <c r="I209" s="8"/>
      <c r="J209" s="180" t="s">
        <v>10762</v>
      </c>
      <c r="K209" s="201">
        <f>+INDEX(WP!$A:$AN,MATCH(F209,WP!$B:$B,0),14)</f>
        <v>5</v>
      </c>
      <c r="L209" s="202">
        <f>+INDEX(WP!$A:$AN,MATCH(F209,WP!$B:$B,0),15)</f>
        <v>150</v>
      </c>
      <c r="M209" s="202">
        <f>+INDEX(WP!$A:$AN,MATCH(F209,WP!$B:$B,0),16)</f>
        <v>90</v>
      </c>
      <c r="N209" s="202" t="e" vm="340">
        <f>IFERROR(_xlfn.IMAGE("https://natalie.tf/wp-content/uploads/2023/11/DLV3_Icon_Affinity_"&amp;O209&amp;".png"),"")</f>
        <v>#VALUE!</v>
      </c>
      <c r="O209" s="203" t="str">
        <f>+INDEX(WP!$A:$AN,MATCH(F209,WP!$B:$B,0),17)</f>
        <v>Lance</v>
      </c>
      <c r="P209" s="8" t="e" vm="414">
        <f>_xlfn.IMAGE("https://natalie.tf/wp-content/uploads/2023/10/DLV3_Icon_Ability_"&amp;INDEX('WP-A'!$A$1:$Z$498,MATCH('WP-Print'!Q209,'WP-A'!$A:$A,0),MATCH("Icon",'WP-A'!$A$1:$Z$1,0))&amp;".png")</f>
        <v>#VALUE!</v>
      </c>
      <c r="Q209" s="231" t="str">
        <f>+INDEX(WP!$A:$AN,MATCH(F209,WP!$B:$B,0),MATCH("Ability V3",WP!$A$2:$AN$2,0))</f>
        <v>(Sword) Critical Damage +25%</v>
      </c>
      <c r="R209" s="735"/>
    </row>
    <row r="210" spans="1:18" ht="7.5" customHeight="1" x14ac:dyDescent="0.2">
      <c r="A210" t="s">
        <v>10763</v>
      </c>
    </row>
    <row r="211" spans="1:18" ht="22.5" customHeight="1" x14ac:dyDescent="0.2">
      <c r="B211" s="729" t="e" vm="459">
        <f>_xlfn.IMAGE("https://natalie.tf/wp-content/uploads/2023/10/DLV3_Icon_WP_"&amp;G212&amp;"_01.png")</f>
        <v>#VALUE!</v>
      </c>
      <c r="D211" s="730" t="e" vm="460">
        <f>_xlfn.IMAGE("https://natalie.tf/wp-content/uploads/2023/10/DLV3_Icon_WP_"&amp;G212&amp;"_02.png")</f>
        <v>#VALUE!</v>
      </c>
      <c r="F211" s="717" t="str">
        <f>+INDEX(WP!$A:$AN,MATCH(F212,WP!$B:$B,0),MATCH("Name",WP!$A$2:$AN$2,0))</f>
        <v>Valentine's Venture</v>
      </c>
      <c r="G211" s="718"/>
      <c r="H211" s="719"/>
      <c r="J211" s="180" t="s">
        <v>10761</v>
      </c>
      <c r="K211" s="201">
        <f>+INDEX(WP!$A:$AN,MATCH(F212,WP!$B:$B,0),5)</f>
        <v>5</v>
      </c>
      <c r="L211" s="202">
        <f>+INDEX(WP!$A:$AN,MATCH(F212,WP!$B:$B,0),6)</f>
        <v>75</v>
      </c>
      <c r="M211" s="202">
        <f>+INDEX(WP!$A:$AN,MATCH(F212,WP!$B:$B,0),7)</f>
        <v>27</v>
      </c>
      <c r="N211" s="202" t="str">
        <f ca="1">IFERROR(_xlfn.IMAGE("https://natalie.tf/wp-content/uploads/2023/11/DLV3_Icon_Affinity_"&amp;O211&amp;".png"),"")</f>
        <v/>
      </c>
      <c r="O211" s="203" t="str">
        <f>IF(INDEX(WP!$A:$AN,MATCH(F212,WP!$B:$B,0),8)=0,"None",INDEX(WP!$A:$AN,MATCH(F212,WP!$B:$B,0),8))</f>
        <v>None</v>
      </c>
      <c r="P211" s="8" t="e" vm="14">
        <f>_xlfn.IMAGE("https://natalie.tf/wp-content/uploads/2023/10/DLV3_Icon_Ability_"&amp;INDEX('WP-A'!$A$1:$Z$498,MATCH('WP-Print'!Q211,'WP-A'!$A:$A,0),MATCH("Icon",'WP-A'!$A$1:$Z$1,0))&amp;".png")</f>
        <v>#VALUE!</v>
      </c>
      <c r="Q211" s="231" t="str">
        <f>+INDEX(WP!$A:$AN,MATCH(F212,WP!$B:$B,0),MATCH("Ability",WP!$A$2:$AN$2,0))</f>
        <v>Last Offense +50%</v>
      </c>
      <c r="R211" s="734" t="str">
        <f>+INDEX(WP!$A:$AN,MATCH(F212,WP!$B:$B,0),MATCH("Obtain From",WP!$A$2:$AN$2,0))</f>
        <v>Read the Epilogue (Valentine's Confections)</v>
      </c>
    </row>
    <row r="212" spans="1:18" ht="22.5" customHeight="1" x14ac:dyDescent="0.2">
      <c r="A212" s="204" t="str">
        <f>TEXT(A209+1,"000")</f>
        <v>070</v>
      </c>
      <c r="B212" s="729"/>
      <c r="C212" s="8"/>
      <c r="D212" s="729"/>
      <c r="E212" s="8"/>
      <c r="F212" s="200" t="str">
        <f>"WP-"&amp;A212</f>
        <v>WP-070</v>
      </c>
      <c r="G212" s="200">
        <f>+INDEX(WP!$A:$AN,MATCH(F212,WP!$B:$B,0),MATCH("ID",WP!$A$2:$AN$2,0))</f>
        <v>400144</v>
      </c>
      <c r="I212" s="8"/>
      <c r="J212" s="180" t="s">
        <v>10762</v>
      </c>
      <c r="K212" s="201">
        <f>+INDEX(WP!$A:$AN,MATCH(F212,WP!$B:$B,0),14)</f>
        <v>5</v>
      </c>
      <c r="L212" s="202">
        <f>+INDEX(WP!$A:$AN,MATCH(F212,WP!$B:$B,0),15)</f>
        <v>150</v>
      </c>
      <c r="M212" s="202">
        <f>+INDEX(WP!$A:$AN,MATCH(F212,WP!$B:$B,0),16)</f>
        <v>90</v>
      </c>
      <c r="N212" s="202" t="e" vm="341">
        <f>IFERROR(_xlfn.IMAGE("https://natalie.tf/wp-content/uploads/2023/11/DLV3_Icon_Affinity_"&amp;O212&amp;".png"),"")</f>
        <v>#VALUE!</v>
      </c>
      <c r="O212" s="203" t="str">
        <f>+INDEX(WP!$A:$AN,MATCH(F212,WP!$B:$B,0),17)</f>
        <v>Crown</v>
      </c>
      <c r="P212" s="8" t="e" vm="14">
        <f>_xlfn.IMAGE("https://natalie.tf/wp-content/uploads/2023/10/DLV3_Icon_Ability_"&amp;INDEX('WP-A'!$A$1:$Z$498,MATCH('WP-Print'!Q212,'WP-A'!$A:$A,0),MATCH("Icon",'WP-A'!$A$1:$Z$1,0))&amp;".png")</f>
        <v>#VALUE!</v>
      </c>
      <c r="Q212" s="231" t="str">
        <f>+INDEX(WP!$A:$AN,MATCH(F212,WP!$B:$B,0),MATCH("Ability V3",WP!$A$2:$AN$2,0))</f>
        <v>Last Offense +60%</v>
      </c>
      <c r="R212" s="735"/>
    </row>
    <row r="213" spans="1:18" ht="22.5" customHeight="1" x14ac:dyDescent="0.2">
      <c r="A213" t="s">
        <v>10763</v>
      </c>
    </row>
    <row r="214" spans="1:18" ht="22.5" customHeight="1" x14ac:dyDescent="0.2">
      <c r="B214" s="729" t="e" vm="461">
        <f>_xlfn.IMAGE("https://natalie.tf/wp-content/uploads/2023/10/DLV3_Icon_WP_"&amp;G215&amp;"_01.png")</f>
        <v>#VALUE!</v>
      </c>
      <c r="D214" s="730" t="e" vm="462">
        <f>_xlfn.IMAGE("https://natalie.tf/wp-content/uploads/2023/10/DLV3_Icon_WP_"&amp;G215&amp;"_02.png")</f>
        <v>#VALUE!</v>
      </c>
      <c r="F214" s="717" t="str">
        <f>+INDEX(WP!$A:$AN,MATCH(F215,WP!$B:$B,0),MATCH("Name",WP!$A$2:$AN$2,0))</f>
        <v>An Indelible Date</v>
      </c>
      <c r="G214" s="718"/>
      <c r="H214" s="719"/>
      <c r="J214" s="180" t="s">
        <v>10761</v>
      </c>
      <c r="K214" s="201">
        <f>+INDEX(WP!$A:$AN,MATCH(F215,WP!$B:$B,0),5)</f>
        <v>5</v>
      </c>
      <c r="L214" s="202">
        <f>+INDEX(WP!$A:$AN,MATCH(F215,WP!$B:$B,0),6)</f>
        <v>75</v>
      </c>
      <c r="M214" s="202">
        <f>+INDEX(WP!$A:$AN,MATCH(F215,WP!$B:$B,0),7)</f>
        <v>27</v>
      </c>
      <c r="N214" s="202" t="str">
        <f ca="1">IFERROR(_xlfn.IMAGE("https://natalie.tf/wp-content/uploads/2023/11/DLV3_Icon_Affinity_"&amp;O214&amp;".png"),"")</f>
        <v/>
      </c>
      <c r="O214" s="203" t="str">
        <f>IF(INDEX(WP!$A:$AN,MATCH(F215,WP!$B:$B,0),8)=0,"None",INDEX(WP!$A:$AN,MATCH(F215,WP!$B:$B,0),8))</f>
        <v>None</v>
      </c>
      <c r="P214" s="8" t="e" vm="376">
        <f>_xlfn.IMAGE("https://natalie.tf/wp-content/uploads/2023/10/DLV3_Icon_Ability_"&amp;INDEX('WP-A'!$A$1:$Z$498,MATCH('WP-Print'!Q214,'WP-A'!$A:$A,0),MATCH("Icon",'WP-A'!$A$1:$Z$1,0))&amp;".png")</f>
        <v>#VALUE!</v>
      </c>
      <c r="Q214" s="231" t="str">
        <f>+INDEX(WP!$A:$AN,MATCH(F215,WP!$B:$B,0),MATCH("Ability",WP!$A$2:$AN$2,0))</f>
        <v>Broken Punisher +30%</v>
      </c>
      <c r="R214" s="734" t="str">
        <f>+INDEX(WP!$A:$AN,MATCH(F215,WP!$B:$B,0),MATCH("Obtain From",WP!$A$2:$AN$2,0))</f>
        <v>Read the Epilogue (Valentine's Confections)</v>
      </c>
    </row>
    <row r="215" spans="1:18" ht="22.5" customHeight="1" x14ac:dyDescent="0.2">
      <c r="A215" s="204" t="str">
        <f>TEXT(A212+1,"000")</f>
        <v>071</v>
      </c>
      <c r="B215" s="729"/>
      <c r="C215" s="8"/>
      <c r="D215" s="729"/>
      <c r="E215" s="8"/>
      <c r="F215" s="200" t="str">
        <f>"WP-"&amp;A215</f>
        <v>WP-071</v>
      </c>
      <c r="G215" s="200">
        <f>+INDEX(WP!$A:$AN,MATCH(F215,WP!$B:$B,0),MATCH("ID",WP!$A$2:$AN$2,0))</f>
        <v>400145</v>
      </c>
      <c r="I215" s="8"/>
      <c r="J215" s="180" t="s">
        <v>10762</v>
      </c>
      <c r="K215" s="201">
        <f>+INDEX(WP!$A:$AN,MATCH(F215,WP!$B:$B,0),14)</f>
        <v>5</v>
      </c>
      <c r="L215" s="202">
        <f>+INDEX(WP!$A:$AN,MATCH(F215,WP!$B:$B,0),15)</f>
        <v>150</v>
      </c>
      <c r="M215" s="202">
        <f>+INDEX(WP!$A:$AN,MATCH(F215,WP!$B:$B,0),16)</f>
        <v>90</v>
      </c>
      <c r="N215" s="202" t="e" vm="343">
        <f>IFERROR(_xlfn.IMAGE("https://natalie.tf/wp-content/uploads/2023/11/DLV3_Icon_Affinity_"&amp;O215&amp;".png"),"")</f>
        <v>#VALUE!</v>
      </c>
      <c r="O215" s="203" t="str">
        <f>+INDEX(WP!$A:$AN,MATCH(F215,WP!$B:$B,0),17)</f>
        <v>Axe</v>
      </c>
      <c r="P215" s="8" t="e" vm="414">
        <f>_xlfn.IMAGE("https://natalie.tf/wp-content/uploads/2023/10/DLV3_Icon_Ability_"&amp;INDEX('WP-A'!$A$1:$Z$498,MATCH('WP-Print'!Q215,'WP-A'!$A:$A,0),MATCH("Icon",'WP-A'!$A$1:$Z$1,0))&amp;".png")</f>
        <v>#VALUE!</v>
      </c>
      <c r="Q215" s="231" t="str">
        <f>+INDEX(WP!$A:$AN,MATCH(F215,WP!$B:$B,0),MATCH("Ability V3",WP!$A$2:$AN$2,0))</f>
        <v>(Axe) Critical Damage +25%</v>
      </c>
      <c r="R215" s="735"/>
    </row>
    <row r="216" spans="1:18" ht="7.5" customHeight="1" x14ac:dyDescent="0.2">
      <c r="A216" t="s">
        <v>10763</v>
      </c>
    </row>
    <row r="217" spans="1:18" ht="22.5" customHeight="1" x14ac:dyDescent="0.2">
      <c r="B217" s="729" t="e" vm="463">
        <f>_xlfn.IMAGE("https://natalie.tf/wp-content/uploads/2023/10/DLV3_Icon_WP_"&amp;G218&amp;"_01.png")</f>
        <v>#VALUE!</v>
      </c>
      <c r="D217" s="730" t="e" vm="464">
        <f>_xlfn.IMAGE("https://natalie.tf/wp-content/uploads/2023/10/DLV3_Icon_WP_"&amp;G218&amp;"_02.png")</f>
        <v>#VALUE!</v>
      </c>
      <c r="F217" s="717" t="str">
        <f>+INDEX(WP!$A:$AN,MATCH(F218,WP!$B:$B,0),MATCH("Name",WP!$A$2:$AN$2,0))</f>
        <v>Elegant Escort</v>
      </c>
      <c r="G217" s="718"/>
      <c r="H217" s="719"/>
      <c r="J217" s="180" t="s">
        <v>10761</v>
      </c>
      <c r="K217" s="201">
        <f>+INDEX(WP!$A:$AN,MATCH(F218,WP!$B:$B,0),5)</f>
        <v>5</v>
      </c>
      <c r="L217" s="202">
        <f>+INDEX(WP!$A:$AN,MATCH(F218,WP!$B:$B,0),6)</f>
        <v>75</v>
      </c>
      <c r="M217" s="202">
        <f>+INDEX(WP!$A:$AN,MATCH(F218,WP!$B:$B,0),7)</f>
        <v>27</v>
      </c>
      <c r="N217" s="202" t="str">
        <f ca="1">IFERROR(_xlfn.IMAGE("https://natalie.tf/wp-content/uploads/2023/11/DLV3_Icon_Affinity_"&amp;O217&amp;".png"),"")</f>
        <v/>
      </c>
      <c r="O217" s="203" t="str">
        <f>IF(INDEX(WP!$A:$AN,MATCH(F218,WP!$B:$B,0),8)=0,"None",INDEX(WP!$A:$AN,MATCH(F218,WP!$B:$B,0),8))</f>
        <v>None</v>
      </c>
      <c r="P217" s="8" t="e" vm="465">
        <f>_xlfn.IMAGE("https://natalie.tf/wp-content/uploads/2023/10/DLV3_Icon_Ability_"&amp;INDEX('WP-A'!$A$1:$Z$498,MATCH('WP-Print'!Q217,'WP-A'!$A:$A,0),MATCH("Icon",'WP-A'!$A$1:$Z$1,0))&amp;".png")</f>
        <v>#VALUE!</v>
      </c>
      <c r="Q217" s="231" t="str">
        <f>+INDEX(WP!$A:$AN,MATCH(F218,WP!$B:$B,0),MATCH("Ability",WP!$A$2:$AN$2,0))</f>
        <v>Burning Punisher +30%</v>
      </c>
      <c r="R217" s="734" t="str">
        <f>+INDEX(WP!$A:$AN,MATCH(F218,WP!$B:$B,0),MATCH("Obtain From",WP!$A$2:$AN$2,0))</f>
        <v>Read the Epilogue (Valentine's Confections)</v>
      </c>
    </row>
    <row r="218" spans="1:18" ht="22.5" customHeight="1" x14ac:dyDescent="0.2">
      <c r="A218" s="204" t="str">
        <f>TEXT(A215+1,"000")</f>
        <v>072</v>
      </c>
      <c r="B218" s="729"/>
      <c r="C218" s="8"/>
      <c r="D218" s="729"/>
      <c r="E218" s="8"/>
      <c r="F218" s="200" t="str">
        <f>"WP-"&amp;A218</f>
        <v>WP-072</v>
      </c>
      <c r="G218" s="200">
        <f>+INDEX(WP!$A:$AN,MATCH(F218,WP!$B:$B,0),MATCH("ID",WP!$A$2:$AN$2,0))</f>
        <v>400146</v>
      </c>
      <c r="I218" s="8"/>
      <c r="J218" s="180" t="s">
        <v>10762</v>
      </c>
      <c r="K218" s="201">
        <f>+INDEX(WP!$A:$AN,MATCH(F218,WP!$B:$B,0),14)</f>
        <v>4</v>
      </c>
      <c r="L218" s="202">
        <f>+INDEX(WP!$A:$AN,MATCH(F218,WP!$B:$B,0),15)</f>
        <v>130</v>
      </c>
      <c r="M218" s="202">
        <f>+INDEX(WP!$A:$AN,MATCH(F218,WP!$B:$B,0),16)</f>
        <v>80</v>
      </c>
      <c r="N218" s="202" t="e" vm="338">
        <f>IFERROR(_xlfn.IMAGE("https://natalie.tf/wp-content/uploads/2023/11/DLV3_Icon_Affinity_"&amp;O218&amp;".png"),"")</f>
        <v>#VALUE!</v>
      </c>
      <c r="O218" s="203" t="str">
        <f>+INDEX(WP!$A:$AN,MATCH(F218,WP!$B:$B,0),17)</f>
        <v>Wolf</v>
      </c>
      <c r="P218" s="8" t="e" vm="465">
        <f>_xlfn.IMAGE("https://natalie.tf/wp-content/uploads/2023/10/DLV3_Icon_Ability_"&amp;INDEX('WP-A'!$A$1:$Z$498,MATCH('WP-Print'!Q218,'WP-A'!$A:$A,0),MATCH("Icon",'WP-A'!$A$1:$Z$1,0))&amp;".png")</f>
        <v>#VALUE!</v>
      </c>
      <c r="Q218" s="231" t="str">
        <f>+INDEX(WP!$A:$AN,MATCH(F218,WP!$B:$B,0),MATCH("Ability V3",WP!$A$2:$AN$2,0))</f>
        <v>Burning Punisher +25%</v>
      </c>
      <c r="R218" s="735"/>
    </row>
    <row r="219" spans="1:18" ht="7.5" customHeight="1" x14ac:dyDescent="0.2">
      <c r="A219" t="s">
        <v>10763</v>
      </c>
    </row>
    <row r="220" spans="1:18" ht="22.5" customHeight="1" x14ac:dyDescent="0.2">
      <c r="B220" s="729" t="e" vm="466">
        <f>_xlfn.IMAGE("https://natalie.tf/wp-content/uploads/2023/10/DLV3_Icon_WP_"&amp;G221&amp;"_01.png")</f>
        <v>#VALUE!</v>
      </c>
      <c r="D220" s="730" t="e" vm="467">
        <f>_xlfn.IMAGE("https://natalie.tf/wp-content/uploads/2023/10/DLV3_Icon_WP_"&amp;G221&amp;"_02.png")</f>
        <v>#VALUE!</v>
      </c>
      <c r="F220" s="717" t="str">
        <f>+INDEX(WP!$A:$AN,MATCH(F221,WP!$B:$B,0),MATCH("Name",WP!$A$2:$AN$2,0))</f>
        <v>Take My Hand</v>
      </c>
      <c r="G220" s="718"/>
      <c r="H220" s="719"/>
      <c r="J220" s="180" t="s">
        <v>10761</v>
      </c>
      <c r="K220" s="201">
        <f>+INDEX(WP!$A:$AN,MATCH(F221,WP!$B:$B,0),5)</f>
        <v>5</v>
      </c>
      <c r="L220" s="202">
        <f>+INDEX(WP!$A:$AN,MATCH(F221,WP!$B:$B,0),6)</f>
        <v>77</v>
      </c>
      <c r="M220" s="202">
        <f>+INDEX(WP!$A:$AN,MATCH(F221,WP!$B:$B,0),7)</f>
        <v>25</v>
      </c>
      <c r="N220" s="202" t="str">
        <f ca="1">IFERROR(_xlfn.IMAGE("https://natalie.tf/wp-content/uploads/2023/11/DLV3_Icon_Affinity_"&amp;O220&amp;".png"),"")</f>
        <v/>
      </c>
      <c r="O220" s="203" t="str">
        <f>IF(INDEX(WP!$A:$AN,MATCH(F221,WP!$B:$B,0),8)=0,"None",INDEX(WP!$A:$AN,MATCH(F221,WP!$B:$B,0),8))</f>
        <v>None</v>
      </c>
      <c r="P220" s="8" t="e" vm="349">
        <f>_xlfn.IMAGE("https://natalie.tf/wp-content/uploads/2023/10/DLV3_Icon_Ability_"&amp;INDEX('WP-A'!$A$1:$Z$498,MATCH('WP-Print'!Q220,'WP-A'!$A:$A,0),MATCH("Icon",'WP-A'!$A$1:$Z$1,0))&amp;".png")</f>
        <v>#VALUE!</v>
      </c>
      <c r="Q220" s="231" t="str">
        <f>+INDEX(WP!$A:$AN,MATCH(F221,WP!$B:$B,0),MATCH("Ability",WP!$A$2:$AN$2,0))</f>
        <v>Recovery Potency +13%</v>
      </c>
      <c r="R220" s="734" t="str">
        <f>+INDEX(WP!$A:$AN,MATCH(F221,WP!$B:$B,0),MATCH("Obtain From",WP!$A$2:$AN$2,0))</f>
        <v>Read the Epilogue (Valentine's Confections)</v>
      </c>
    </row>
    <row r="221" spans="1:18" ht="22.5" customHeight="1" x14ac:dyDescent="0.2">
      <c r="A221" s="204" t="str">
        <f>TEXT(A218+1,"000")</f>
        <v>073</v>
      </c>
      <c r="B221" s="729"/>
      <c r="C221" s="8"/>
      <c r="D221" s="729"/>
      <c r="E221" s="8"/>
      <c r="F221" s="200" t="str">
        <f>"WP-"&amp;A221</f>
        <v>WP-073</v>
      </c>
      <c r="G221" s="200">
        <f>+INDEX(WP!$A:$AN,MATCH(F221,WP!$B:$B,0),MATCH("ID",WP!$A$2:$AN$2,0))</f>
        <v>400147</v>
      </c>
      <c r="I221" s="8"/>
      <c r="J221" s="180" t="s">
        <v>10762</v>
      </c>
      <c r="K221" s="201">
        <f>+INDEX(WP!$A:$AN,MATCH(F221,WP!$B:$B,0),14)</f>
        <v>5</v>
      </c>
      <c r="L221" s="202">
        <f>+INDEX(WP!$A:$AN,MATCH(F221,WP!$B:$B,0),15)</f>
        <v>150</v>
      </c>
      <c r="M221" s="202">
        <f>+INDEX(WP!$A:$AN,MATCH(F221,WP!$B:$B,0),16)</f>
        <v>90</v>
      </c>
      <c r="N221" s="202" t="e" vm="338">
        <f>IFERROR(_xlfn.IMAGE("https://natalie.tf/wp-content/uploads/2023/11/DLV3_Icon_Affinity_"&amp;O221&amp;".png"),"")</f>
        <v>#VALUE!</v>
      </c>
      <c r="O221" s="203" t="str">
        <f>+INDEX(WP!$A:$AN,MATCH(F221,WP!$B:$B,0),17)</f>
        <v>Wolf</v>
      </c>
      <c r="P221" s="8" t="e" vm="349">
        <f>_xlfn.IMAGE("https://natalie.tf/wp-content/uploads/2023/10/DLV3_Icon_Ability_"&amp;INDEX('WP-A'!$A$1:$Z$498,MATCH('WP-Print'!Q221,'WP-A'!$A:$A,0),MATCH("Icon",'WP-A'!$A$1:$Z$1,0))&amp;".png")</f>
        <v>#VALUE!</v>
      </c>
      <c r="Q221" s="231" t="str">
        <f>+INDEX(WP!$A:$AN,MATCH(F221,WP!$B:$B,0),MATCH("Ability V3",WP!$A$2:$AN$2,0))</f>
        <v>Recovery Potency +15%</v>
      </c>
      <c r="R221" s="735"/>
    </row>
    <row r="222" spans="1:18" ht="7.5" customHeight="1" x14ac:dyDescent="0.2">
      <c r="A222" t="s">
        <v>10763</v>
      </c>
    </row>
    <row r="223" spans="1:18" ht="22.5" customHeight="1" x14ac:dyDescent="0.2">
      <c r="B223" s="729" t="e" vm="468">
        <f>_xlfn.IMAGE("https://natalie.tf/wp-content/uploads/2023/10/DLV3_Icon_WP_"&amp;G224&amp;"_01.png")</f>
        <v>#VALUE!</v>
      </c>
      <c r="D223" s="730" t="e" vm="469">
        <f>_xlfn.IMAGE("https://natalie.tf/wp-content/uploads/2023/10/DLV3_Icon_WP_"&amp;G224&amp;"_02.png")</f>
        <v>#VALUE!</v>
      </c>
      <c r="F223" s="717" t="str">
        <f>+INDEX(WP!$A:$AN,MATCH(F224,WP!$B:$B,0),MATCH("Name",WP!$A$2:$AN$2,0))</f>
        <v>Honest Repose</v>
      </c>
      <c r="G223" s="718"/>
      <c r="H223" s="719"/>
      <c r="J223" s="180" t="s">
        <v>10761</v>
      </c>
      <c r="K223" s="201">
        <f>+INDEX(WP!$A:$AN,MATCH(F224,WP!$B:$B,0),5)</f>
        <v>5</v>
      </c>
      <c r="L223" s="202">
        <f>+INDEX(WP!$A:$AN,MATCH(F224,WP!$B:$B,0),6)</f>
        <v>76</v>
      </c>
      <c r="M223" s="202">
        <f>+INDEX(WP!$A:$AN,MATCH(F224,WP!$B:$B,0),7)</f>
        <v>26</v>
      </c>
      <c r="N223" s="202" t="str">
        <f ca="1">IFERROR(_xlfn.IMAGE("https://natalie.tf/wp-content/uploads/2023/11/DLV3_Icon_Affinity_"&amp;O223&amp;".png"),"")</f>
        <v/>
      </c>
      <c r="O223" s="203" t="str">
        <f>IF(INDEX(WP!$A:$AN,MATCH(F224,WP!$B:$B,0),8)=0,"None",INDEX(WP!$A:$AN,MATCH(F224,WP!$B:$B,0),8))</f>
        <v>None</v>
      </c>
      <c r="P223" s="8" t="e" vm="330">
        <f>_xlfn.IMAGE("https://natalie.tf/wp-content/uploads/2023/10/DLV3_Icon_Ability_"&amp;INDEX('WP-A'!$A$1:$Z$498,MATCH('WP-Print'!Q223,'WP-A'!$A:$A,0),MATCH("Icon",'WP-A'!$A$1:$Z$1,0))&amp;".png")</f>
        <v>#VALUE!</v>
      </c>
      <c r="Q223" s="231" t="str">
        <f>+INDEX(WP!$A:$AN,MATCH(F224,WP!$B:$B,0),MATCH("Ability",WP!$A$2:$AN$2,0))</f>
        <v>(Flame) Skill Haste +10%</v>
      </c>
      <c r="R223" s="734" t="str">
        <f>+INDEX(WP!$A:$AN,MATCH(F224,WP!$B:$B,0),MATCH("Obtain From",WP!$A$2:$AN$2,0))</f>
        <v>Participate in the Event (Valentine's Confections)</v>
      </c>
    </row>
    <row r="224" spans="1:18" ht="22.5" customHeight="1" x14ac:dyDescent="0.2">
      <c r="A224" s="204" t="str">
        <f>TEXT(A221+1,"000")</f>
        <v>074</v>
      </c>
      <c r="B224" s="729"/>
      <c r="C224" s="8"/>
      <c r="D224" s="729"/>
      <c r="E224" s="8"/>
      <c r="F224" s="200" t="str">
        <f>"WP-"&amp;A224</f>
        <v>WP-074</v>
      </c>
      <c r="G224" s="200">
        <f>+INDEX(WP!$A:$AN,MATCH(F224,WP!$B:$B,0),MATCH("ID",WP!$A$2:$AN$2,0))</f>
        <v>400148</v>
      </c>
      <c r="I224" s="8"/>
      <c r="J224" s="180" t="s">
        <v>10762</v>
      </c>
      <c r="K224" s="201">
        <f>+INDEX(WP!$A:$AN,MATCH(F224,WP!$B:$B,0),14)</f>
        <v>5</v>
      </c>
      <c r="L224" s="202">
        <f>+INDEX(WP!$A:$AN,MATCH(F224,WP!$B:$B,0),15)</f>
        <v>150</v>
      </c>
      <c r="M224" s="202">
        <f>+INDEX(WP!$A:$AN,MATCH(F224,WP!$B:$B,0),16)</f>
        <v>90</v>
      </c>
      <c r="N224" s="202" t="e" vm="354">
        <f>IFERROR(_xlfn.IMAGE("https://natalie.tf/wp-content/uploads/2023/11/DLV3_Icon_Affinity_"&amp;O224&amp;".png"),"")</f>
        <v>#VALUE!</v>
      </c>
      <c r="O224" s="203" t="str">
        <f>+INDEX(WP!$A:$AN,MATCH(F224,WP!$B:$B,0),17)</f>
        <v>Butterfly</v>
      </c>
      <c r="P224" s="8" t="e" vm="330">
        <f>_xlfn.IMAGE("https://natalie.tf/wp-content/uploads/2023/10/DLV3_Icon_Ability_"&amp;INDEX('WP-A'!$A$1:$Z$498,MATCH('WP-Print'!Q224,'WP-A'!$A:$A,0),MATCH("Icon",'WP-A'!$A$1:$Z$1,0))&amp;".png")</f>
        <v>#VALUE!</v>
      </c>
      <c r="Q224" s="231" t="str">
        <f>+INDEX(WP!$A:$AN,MATCH(F224,WP!$B:$B,0),MATCH("Ability V3",WP!$A$2:$AN$2,0))</f>
        <v>(Flame) Skill Haste +10%</v>
      </c>
      <c r="R224" s="735"/>
    </row>
    <row r="225" spans="1:18" ht="7.5" customHeight="1" x14ac:dyDescent="0.2">
      <c r="A225" t="s">
        <v>10763</v>
      </c>
    </row>
    <row r="226" spans="1:18" ht="22.5" customHeight="1" x14ac:dyDescent="0.2">
      <c r="B226" s="729" t="e" vm="470">
        <f>_xlfn.IMAGE("https://natalie.tf/wp-content/uploads/2023/10/DLV3_Icon_WP_"&amp;G227&amp;"_01.png")</f>
        <v>#VALUE!</v>
      </c>
      <c r="D226" s="730" t="e" vm="471">
        <f>_xlfn.IMAGE("https://natalie.tf/wp-content/uploads/2023/10/DLV3_Icon_WP_"&amp;G227&amp;"_02.png")</f>
        <v>#VALUE!</v>
      </c>
      <c r="F226" s="717" t="str">
        <f>+INDEX(WP!$A:$AN,MATCH(F227,WP!$B:$B,0),MATCH("Name",WP!$A$2:$AN$2,0))</f>
        <v>The Shining Overlord</v>
      </c>
      <c r="G226" s="718"/>
      <c r="H226" s="719"/>
      <c r="J226" s="180" t="s">
        <v>10761</v>
      </c>
      <c r="K226" s="201">
        <f>+INDEX(WP!$A:$AN,MATCH(F227,WP!$B:$B,0),5)</f>
        <v>5</v>
      </c>
      <c r="L226" s="202">
        <f>+INDEX(WP!$A:$AN,MATCH(F227,WP!$B:$B,0),6)</f>
        <v>88</v>
      </c>
      <c r="M226" s="202">
        <f>+INDEX(WP!$A:$AN,MATCH(F227,WP!$B:$B,0),7)</f>
        <v>32</v>
      </c>
      <c r="N226" s="202" t="str">
        <f ca="1">IFERROR(_xlfn.IMAGE("https://natalie.tf/wp-content/uploads/2023/11/DLV3_Icon_Affinity_"&amp;O226&amp;".png"),"")</f>
        <v/>
      </c>
      <c r="O226" s="203" t="str">
        <f>IF(INDEX(WP!$A:$AN,MATCH(F227,WP!$B:$B,0),8)=0,"None",INDEX(WP!$A:$AN,MATCH(F227,WP!$B:$B,0),8))</f>
        <v>None</v>
      </c>
      <c r="P226" s="8" t="e" vm="322">
        <f>_xlfn.IMAGE("https://natalie.tf/wp-content/uploads/2023/10/DLV3_Icon_Ability_"&amp;INDEX('WP-A'!$A$1:$Z$498,MATCH('WP-Print'!Q226,'WP-A'!$A:$A,0),MATCH("Icon",'WP-A'!$A$1:$Z$1,0))&amp;".png")</f>
        <v>#VALUE!</v>
      </c>
      <c r="Q226" s="231" t="str">
        <f>+INDEX(WP!$A:$AN,MATCH(F227,WP!$B:$B,0),MATCH("Ability",WP!$A$2:$AN$2,0))</f>
        <v>(Sword) Skill Damage +40%</v>
      </c>
      <c r="R226" s="734" t="str">
        <f>+INDEX(WP!$A:$AN,MATCH(F227,WP!$B:$B,0),MATCH("Obtain From",WP!$A$2:$AN$2,0))</f>
        <v>Clear Ch. 05 4-3 of the Main Campaign (Hard)</v>
      </c>
    </row>
    <row r="227" spans="1:18" ht="22.5" customHeight="1" x14ac:dyDescent="0.2">
      <c r="A227" s="204" t="str">
        <f>TEXT(A224+1,"000")</f>
        <v>075</v>
      </c>
      <c r="B227" s="729"/>
      <c r="C227" s="8"/>
      <c r="D227" s="729"/>
      <c r="E227" s="8"/>
      <c r="F227" s="200" t="str">
        <f>"WP-"&amp;A227</f>
        <v>WP-075</v>
      </c>
      <c r="G227" s="200">
        <f>+INDEX(WP!$A:$AN,MATCH(F227,WP!$B:$B,0),MATCH("ID",WP!$A$2:$AN$2,0))</f>
        <v>400167</v>
      </c>
      <c r="I227" s="8"/>
      <c r="J227" s="180" t="s">
        <v>10762</v>
      </c>
      <c r="K227" s="201">
        <f>+INDEX(WP!$A:$AN,MATCH(F227,WP!$B:$B,0),14)</f>
        <v>5</v>
      </c>
      <c r="L227" s="202">
        <f>+INDEX(WP!$A:$AN,MATCH(F227,WP!$B:$B,0),15)</f>
        <v>150</v>
      </c>
      <c r="M227" s="202">
        <f>+INDEX(WP!$A:$AN,MATCH(F227,WP!$B:$B,0),16)</f>
        <v>90</v>
      </c>
      <c r="N227" s="202" t="e" vm="339">
        <f>IFERROR(_xlfn.IMAGE("https://natalie.tf/wp-content/uploads/2023/11/DLV3_Icon_Affinity_"&amp;O227&amp;".png"),"")</f>
        <v>#VALUE!</v>
      </c>
      <c r="O227" s="203" t="str">
        <f>+INDEX(WP!$A:$AN,MATCH(F227,WP!$B:$B,0),17)</f>
        <v>Sword</v>
      </c>
      <c r="P227" s="8" t="e" vm="322">
        <f>_xlfn.IMAGE("https://natalie.tf/wp-content/uploads/2023/10/DLV3_Icon_Ability_"&amp;INDEX('WP-A'!$A$1:$Z$498,MATCH('WP-Print'!Q227,'WP-A'!$A:$A,0),MATCH("Icon",'WP-A'!$A$1:$Z$1,0))&amp;".png")</f>
        <v>#VALUE!</v>
      </c>
      <c r="Q227" s="231" t="str">
        <f>+INDEX(WP!$A:$AN,MATCH(F227,WP!$B:$B,0),MATCH("Ability V3",WP!$A$2:$AN$2,0))</f>
        <v>(Sword) Skill Damage +40%</v>
      </c>
      <c r="R227" s="735"/>
    </row>
    <row r="228" spans="1:18" ht="7.5" customHeight="1" x14ac:dyDescent="0.2">
      <c r="A228" t="s">
        <v>10763</v>
      </c>
    </row>
    <row r="229" spans="1:18" ht="22.5" customHeight="1" x14ac:dyDescent="0.2">
      <c r="B229" s="729" t="e" vm="472">
        <f>_xlfn.IMAGE("https://natalie.tf/wp-content/uploads/2023/10/DLV3_Icon_WP_"&amp;G230&amp;"_01.png")</f>
        <v>#VALUE!</v>
      </c>
      <c r="D229" s="730" t="e" vm="473">
        <f>_xlfn.IMAGE("https://natalie.tf/wp-content/uploads/2023/10/DLV3_Icon_WP_"&amp;G230&amp;"_02.png")</f>
        <v>#VALUE!</v>
      </c>
      <c r="F229" s="717" t="str">
        <f>+INDEX(WP!$A:$AN,MATCH(F230,WP!$B:$B,0),MATCH("Name",WP!$A$2:$AN$2,0))</f>
        <v>A Solitary Light</v>
      </c>
      <c r="G229" s="718"/>
      <c r="H229" s="719"/>
      <c r="J229" s="180" t="s">
        <v>10761</v>
      </c>
      <c r="K229" s="201">
        <f>+INDEX(WP!$A:$AN,MATCH(F230,WP!$B:$B,0),5)</f>
        <v>5</v>
      </c>
      <c r="L229" s="202">
        <f>+INDEX(WP!$A:$AN,MATCH(F230,WP!$B:$B,0),6)</f>
        <v>97</v>
      </c>
      <c r="M229" s="202">
        <f>+INDEX(WP!$A:$AN,MATCH(F230,WP!$B:$B,0),7)</f>
        <v>23</v>
      </c>
      <c r="N229" s="202" t="e" vm="337">
        <f>IFERROR(_xlfn.IMAGE("https://natalie.tf/wp-content/uploads/2023/11/DLV3_Icon_Affinity_"&amp;O229&amp;".png"),"")</f>
        <v>#VALUE!</v>
      </c>
      <c r="O229" s="203" t="str">
        <f>IF(INDEX(WP!$A:$AN,MATCH(F230,WP!$B:$B,0),8)=0,"None",INDEX(WP!$A:$AN,MATCH(F230,WP!$B:$B,0),8))</f>
        <v>Serpent</v>
      </c>
      <c r="P229" s="8" t="e" vm="453">
        <f>_xlfn.IMAGE("https://natalie.tf/wp-content/uploads/2023/10/DLV3_Icon_Ability_"&amp;INDEX('WP-A'!$A$1:$Z$498,MATCH('WP-Print'!Q229,'WP-A'!$A:$A,0),MATCH("Icon",'WP-A'!$A$1:$Z$1,0))&amp;".png")</f>
        <v>#VALUE!</v>
      </c>
      <c r="Q229" s="231" t="str">
        <f>+INDEX(WP!$A:$AN,MATCH(F230,WP!$B:$B,0),MATCH("Ability",WP!$A$2:$AN$2,0))</f>
        <v>(Light) Affliction Guard III</v>
      </c>
      <c r="R229" s="734" t="str">
        <f>+INDEX(WP!$A:$AN,MATCH(F230,WP!$B:$B,0),MATCH("Obtain From",WP!$A$2:$AN$2,0))</f>
        <v>Clear a Boss Battle on Expert (A Waltz with Fate)</v>
      </c>
    </row>
    <row r="230" spans="1:18" ht="22.5" customHeight="1" x14ac:dyDescent="0.2">
      <c r="A230" s="204" t="str">
        <f>TEXT(A227+1,"000")</f>
        <v>076</v>
      </c>
      <c r="B230" s="729"/>
      <c r="C230" s="8"/>
      <c r="D230" s="729"/>
      <c r="E230" s="8"/>
      <c r="F230" s="200" t="str">
        <f>"WP-"&amp;A230</f>
        <v>WP-076</v>
      </c>
      <c r="G230" s="200">
        <f>+INDEX(WP!$A:$AN,MATCH(F230,WP!$B:$B,0),MATCH("ID",WP!$A$2:$AN$2,0))</f>
        <v>400150</v>
      </c>
      <c r="I230" s="8"/>
      <c r="J230" s="180" t="s">
        <v>10762</v>
      </c>
      <c r="K230" s="201">
        <f>+INDEX(WP!$A:$AN,MATCH(F230,WP!$B:$B,0),14)</f>
        <v>5</v>
      </c>
      <c r="L230" s="202">
        <f>+INDEX(WP!$A:$AN,MATCH(F230,WP!$B:$B,0),15)</f>
        <v>150</v>
      </c>
      <c r="M230" s="202">
        <f>+INDEX(WP!$A:$AN,MATCH(F230,WP!$B:$B,0),16)</f>
        <v>90</v>
      </c>
      <c r="N230" s="202" t="e" vm="337">
        <f>IFERROR(_xlfn.IMAGE("https://natalie.tf/wp-content/uploads/2023/11/DLV3_Icon_Affinity_"&amp;O230&amp;".png"),"")</f>
        <v>#VALUE!</v>
      </c>
      <c r="O230" s="203" t="str">
        <f>+INDEX(WP!$A:$AN,MATCH(F230,WP!$B:$B,0),17)</f>
        <v>Serpent</v>
      </c>
      <c r="P230" s="8" t="e" vm="453">
        <f>_xlfn.IMAGE("https://natalie.tf/wp-content/uploads/2023/10/DLV3_Icon_Ability_"&amp;INDEX('WP-A'!$A$1:$Z$498,MATCH('WP-Print'!Q230,'WP-A'!$A:$A,0),MATCH("Icon",'WP-A'!$A$1:$Z$1,0))&amp;".png")</f>
        <v>#VALUE!</v>
      </c>
      <c r="Q230" s="231" t="str">
        <f>+INDEX(WP!$A:$AN,MATCH(F230,WP!$B:$B,0),MATCH("Ability V3",WP!$A$2:$AN$2,0))</f>
        <v>(Light) Affliction Guard</v>
      </c>
      <c r="R230" s="735"/>
    </row>
    <row r="231" spans="1:18" ht="7.5" customHeight="1" x14ac:dyDescent="0.2">
      <c r="A231" t="s">
        <v>10763</v>
      </c>
    </row>
    <row r="232" spans="1:18" ht="22.5" customHeight="1" x14ac:dyDescent="0.2">
      <c r="B232" s="729" t="e" vm="474">
        <f>_xlfn.IMAGE("https://natalie.tf/wp-content/uploads/2023/10/DLV3_Icon_WP_"&amp;G233&amp;"_01.png")</f>
        <v>#VALUE!</v>
      </c>
      <c r="D232" s="730" t="e" vm="475">
        <f>_xlfn.IMAGE("https://natalie.tf/wp-content/uploads/2023/10/DLV3_Icon_WP_"&amp;G233&amp;"_02.png")</f>
        <v>#VALUE!</v>
      </c>
      <c r="F232" s="717" t="str">
        <f>+INDEX(WP!$A:$AN,MATCH(F233,WP!$B:$B,0),MATCH("Name",WP!$A$2:$AN$2,0))</f>
        <v>The Fleeting Girl</v>
      </c>
      <c r="G232" s="718"/>
      <c r="H232" s="719"/>
      <c r="J232" s="180" t="s">
        <v>10761</v>
      </c>
      <c r="K232" s="201">
        <f>+INDEX(WP!$A:$AN,MATCH(F233,WP!$B:$B,0),5)</f>
        <v>5</v>
      </c>
      <c r="L232" s="202">
        <f>+INDEX(WP!$A:$AN,MATCH(F233,WP!$B:$B,0),6)</f>
        <v>94</v>
      </c>
      <c r="M232" s="202">
        <f>+INDEX(WP!$A:$AN,MATCH(F233,WP!$B:$B,0),7)</f>
        <v>26</v>
      </c>
      <c r="N232" s="202" t="str">
        <f ca="1">IFERROR(_xlfn.IMAGE("https://natalie.tf/wp-content/uploads/2023/11/DLV3_Icon_Affinity_"&amp;O232&amp;".png"),"")</f>
        <v/>
      </c>
      <c r="O232" s="203" t="str">
        <f>IF(INDEX(WP!$A:$AN,MATCH(F233,WP!$B:$B,0),8)=0,"None",INDEX(WP!$A:$AN,MATCH(F233,WP!$B:$B,0),8))</f>
        <v>None</v>
      </c>
      <c r="P232" s="8" t="e" vm="476">
        <f>_xlfn.IMAGE("https://natalie.tf/wp-content/uploads/2023/10/DLV3_Icon_Ability_"&amp;INDEX('WP-A'!$A$1:$Z$498,MATCH('WP-Print'!Q232,'WP-A'!$A:$A,0),MATCH("Icon",'WP-A'!$A$1:$Z$1,0))&amp;".png")</f>
        <v>#VALUE!</v>
      </c>
      <c r="Q232" s="231" t="str">
        <f>+INDEX(WP!$A:$AN,MATCH(F233,WP!$B:$B,0),MATCH("Ability",WP!$A$2:$AN$2,0))</f>
        <v>Last Recovery IV</v>
      </c>
      <c r="R232" s="734" t="str">
        <f>+INDEX(WP!$A:$AN,MATCH(F233,WP!$B:$B,0),MATCH("Obtain From",WP!$A$2:$AN$2,0))</f>
        <v>Clear Chaos's Calling: Master (The Accursed Archives)</v>
      </c>
    </row>
    <row r="233" spans="1:18" ht="22.5" customHeight="1" x14ac:dyDescent="0.2">
      <c r="A233" s="204" t="str">
        <f>TEXT(A230+1,"000")</f>
        <v>077</v>
      </c>
      <c r="B233" s="729"/>
      <c r="C233" s="8"/>
      <c r="D233" s="729"/>
      <c r="E233" s="8"/>
      <c r="F233" s="200" t="str">
        <f>"WP-"&amp;A233</f>
        <v>WP-077</v>
      </c>
      <c r="G233" s="200">
        <f>+INDEX(WP!$A:$AN,MATCH(F233,WP!$B:$B,0),MATCH("ID",WP!$A$2:$AN$2,0))</f>
        <v>400154</v>
      </c>
      <c r="I233" s="8"/>
      <c r="J233" s="180" t="s">
        <v>10762</v>
      </c>
      <c r="K233" s="201">
        <f>+INDEX(WP!$A:$AN,MATCH(F233,WP!$B:$B,0),14)</f>
        <v>5</v>
      </c>
      <c r="L233" s="202">
        <f>+INDEX(WP!$A:$AN,MATCH(F233,WP!$B:$B,0),15)</f>
        <v>150</v>
      </c>
      <c r="M233" s="202">
        <f>+INDEX(WP!$A:$AN,MATCH(F233,WP!$B:$B,0),16)</f>
        <v>90</v>
      </c>
      <c r="N233" s="202" t="e" vm="342">
        <f>IFERROR(_xlfn.IMAGE("https://natalie.tf/wp-content/uploads/2023/11/DLV3_Icon_Affinity_"&amp;O233&amp;".png"),"")</f>
        <v>#VALUE!</v>
      </c>
      <c r="O233" s="203" t="str">
        <f>+INDEX(WP!$A:$AN,MATCH(F233,WP!$B:$B,0),17)</f>
        <v>Bow</v>
      </c>
      <c r="P233" s="8" t="e" vm="476">
        <f>_xlfn.IMAGE("https://natalie.tf/wp-content/uploads/2023/10/DLV3_Icon_Ability_"&amp;INDEX('WP-A'!$A$1:$Z$498,MATCH('WP-Print'!Q233,'WP-A'!$A:$A,0),MATCH("Icon",'WP-A'!$A$1:$Z$1,0))&amp;".png")</f>
        <v>#VALUE!</v>
      </c>
      <c r="Q233" s="231" t="str">
        <f>+INDEX(WP!$A:$AN,MATCH(F233,WP!$B:$B,0),MATCH("Ability V3",WP!$A$2:$AN$2,0))</f>
        <v>Last Recovery IV</v>
      </c>
      <c r="R233" s="735"/>
    </row>
    <row r="234" spans="1:18" ht="7.5" customHeight="1" x14ac:dyDescent="0.2">
      <c r="A234" t="s">
        <v>10763</v>
      </c>
    </row>
    <row r="235" spans="1:18" ht="22.5" customHeight="1" x14ac:dyDescent="0.2">
      <c r="B235" s="729" t="e" vm="477">
        <f>_xlfn.IMAGE("https://natalie.tf/wp-content/uploads/2023/10/DLV3_Icon_WP_"&amp;G236&amp;"_01.png")</f>
        <v>#VALUE!</v>
      </c>
      <c r="D235" s="730" t="e" vm="478">
        <f>_xlfn.IMAGE("https://natalie.tf/wp-content/uploads/2023/10/DLV3_Icon_WP_"&amp;G236&amp;"_02.png")</f>
        <v>#VALUE!</v>
      </c>
      <c r="F235" s="717" t="str">
        <f>+INDEX(WP!$A:$AN,MATCH(F236,WP!$B:$B,0),MATCH("Name",WP!$A$2:$AN$2,0))</f>
        <v>Hitting the Books</v>
      </c>
      <c r="G235" s="718"/>
      <c r="H235" s="719"/>
      <c r="J235" s="180" t="s">
        <v>10761</v>
      </c>
      <c r="K235" s="201">
        <f>+INDEX(WP!$A:$AN,MATCH(F236,WP!$B:$B,0),5)</f>
        <v>5</v>
      </c>
      <c r="L235" s="202">
        <f>+INDEX(WP!$A:$AN,MATCH(F236,WP!$B:$B,0),6)</f>
        <v>75</v>
      </c>
      <c r="M235" s="202">
        <f>+INDEX(WP!$A:$AN,MATCH(F236,WP!$B:$B,0),7)</f>
        <v>27</v>
      </c>
      <c r="N235" s="202" t="str">
        <f ca="1">IFERROR(_xlfn.IMAGE("https://natalie.tf/wp-content/uploads/2023/11/DLV3_Icon_Affinity_"&amp;O235&amp;".png"),"")</f>
        <v/>
      </c>
      <c r="O235" s="203" t="str">
        <f>IF(INDEX(WP!$A:$AN,MATCH(F236,WP!$B:$B,0),8)=0,"None",INDEX(WP!$A:$AN,MATCH(F236,WP!$B:$B,0),8))</f>
        <v>None</v>
      </c>
      <c r="P235" s="8" t="e" vm="322">
        <f>_xlfn.IMAGE("https://natalie.tf/wp-content/uploads/2023/10/DLV3_Icon_Ability_"&amp;INDEX('WP-A'!$A$1:$Z$498,MATCH('WP-Print'!Q235,'WP-A'!$A:$A,0),MATCH("Icon",'WP-A'!$A$1:$Z$1,0))&amp;".png")</f>
        <v>#VALUE!</v>
      </c>
      <c r="Q235" s="231" t="str">
        <f>+INDEX(WP!$A:$AN,MATCH(F236,WP!$B:$B,0),MATCH("Ability",WP!$A$2:$AN$2,0))</f>
        <v>Skill Damage +30%</v>
      </c>
      <c r="R235" s="734" t="str">
        <f>+INDEX(WP!$A:$AN,MATCH(F236,WP!$B:$B,0),MATCH("Obtain From",WP!$A$2:$AN$2,0))</f>
        <v>Clear a Boss Battle on Beginner (The Accursed Archives)</v>
      </c>
    </row>
    <row r="236" spans="1:18" ht="22.5" customHeight="1" x14ac:dyDescent="0.2">
      <c r="A236" s="204" t="str">
        <f>TEXT(A233+1,"000")</f>
        <v>078</v>
      </c>
      <c r="B236" s="729"/>
      <c r="C236" s="8"/>
      <c r="D236" s="729"/>
      <c r="E236" s="8"/>
      <c r="F236" s="200" t="str">
        <f>"WP-"&amp;A236</f>
        <v>WP-078</v>
      </c>
      <c r="G236" s="200">
        <f>+INDEX(WP!$A:$AN,MATCH(F236,WP!$B:$B,0),MATCH("ID",WP!$A$2:$AN$2,0))</f>
        <v>400157</v>
      </c>
      <c r="I236" s="8"/>
      <c r="J236" s="180" t="s">
        <v>10762</v>
      </c>
      <c r="K236" s="201">
        <f>+INDEX(WP!$A:$AN,MATCH(F236,WP!$B:$B,0),14)</f>
        <v>5</v>
      </c>
      <c r="L236" s="202">
        <f>+INDEX(WP!$A:$AN,MATCH(F236,WP!$B:$B,0),15)</f>
        <v>150</v>
      </c>
      <c r="M236" s="202">
        <f>+INDEX(WP!$A:$AN,MATCH(F236,WP!$B:$B,0),16)</f>
        <v>90</v>
      </c>
      <c r="N236" s="202" t="e" vm="340">
        <f>IFERROR(_xlfn.IMAGE("https://natalie.tf/wp-content/uploads/2023/11/DLV3_Icon_Affinity_"&amp;O236&amp;".png"),"")</f>
        <v>#VALUE!</v>
      </c>
      <c r="O236" s="203" t="str">
        <f>+INDEX(WP!$A:$AN,MATCH(F236,WP!$B:$B,0),17)</f>
        <v>Lance</v>
      </c>
      <c r="P236" s="8" t="e" vm="322">
        <f>_xlfn.IMAGE("https://natalie.tf/wp-content/uploads/2023/10/DLV3_Icon_Ability_"&amp;INDEX('WP-A'!$A$1:$Z$498,MATCH('WP-Print'!Q236,'WP-A'!$A:$A,0),MATCH("Icon",'WP-A'!$A$1:$Z$1,0))&amp;".png")</f>
        <v>#VALUE!</v>
      </c>
      <c r="Q236" s="231" t="str">
        <f>+INDEX(WP!$A:$AN,MATCH(F236,WP!$B:$B,0),MATCH("Ability V3",WP!$A$2:$AN$2,0))</f>
        <v>(Flame) Skill Damage +35%</v>
      </c>
      <c r="R236" s="735"/>
    </row>
    <row r="237" spans="1:18" ht="7.5" customHeight="1" x14ac:dyDescent="0.2">
      <c r="A237" t="s">
        <v>10763</v>
      </c>
    </row>
    <row r="238" spans="1:18" ht="22.5" customHeight="1" x14ac:dyDescent="0.2">
      <c r="B238" s="729" t="e" vm="479">
        <f>_xlfn.IMAGE("https://natalie.tf/wp-content/uploads/2023/10/DLV3_Icon_WP_"&amp;G239&amp;"_01.png")</f>
        <v>#VALUE!</v>
      </c>
      <c r="D238" s="730" t="e" vm="480">
        <f>_xlfn.IMAGE("https://natalie.tf/wp-content/uploads/2023/10/DLV3_Icon_WP_"&amp;G239&amp;"_02.png")</f>
        <v>#VALUE!</v>
      </c>
      <c r="F238" s="717" t="str">
        <f>+INDEX(WP!$A:$AN,MATCH(F239,WP!$B:$B,0),MATCH("Name",WP!$A$2:$AN$2,0))</f>
        <v>Forest Bonds</v>
      </c>
      <c r="G238" s="718"/>
      <c r="H238" s="719"/>
      <c r="J238" s="180" t="s">
        <v>10761</v>
      </c>
      <c r="K238" s="201">
        <f>+INDEX(WP!$A:$AN,MATCH(F239,WP!$B:$B,0),5)</f>
        <v>5</v>
      </c>
      <c r="L238" s="202">
        <f>+INDEX(WP!$A:$AN,MATCH(F239,WP!$B:$B,0),6)</f>
        <v>88</v>
      </c>
      <c r="M238" s="202">
        <f>+INDEX(WP!$A:$AN,MATCH(F239,WP!$B:$B,0),7)</f>
        <v>32</v>
      </c>
      <c r="N238" s="202" t="str">
        <f ca="1">IFERROR(_xlfn.IMAGE("https://natalie.tf/wp-content/uploads/2023/11/DLV3_Icon_Affinity_"&amp;O238&amp;".png"),"")</f>
        <v/>
      </c>
      <c r="O238" s="203" t="str">
        <f>IF(INDEX(WP!$A:$AN,MATCH(F239,WP!$B:$B,0),8)=0,"None",INDEX(WP!$A:$AN,MATCH(F239,WP!$B:$B,0),8))</f>
        <v>None</v>
      </c>
      <c r="P238" s="8" t="e" vm="322">
        <f>_xlfn.IMAGE("https://natalie.tf/wp-content/uploads/2023/10/DLV3_Icon_Ability_"&amp;INDEX('WP-A'!$A$1:$Z$498,MATCH('WP-Print'!Q238,'WP-A'!$A:$A,0),MATCH("Icon",'WP-A'!$A$1:$Z$1,0))&amp;".png")</f>
        <v>#VALUE!</v>
      </c>
      <c r="Q238" s="231" t="str">
        <f>+INDEX(WP!$A:$AN,MATCH(F239,WP!$B:$B,0),MATCH("Ability",WP!$A$2:$AN$2,0))</f>
        <v>(Bow) Skill Damage +40%</v>
      </c>
      <c r="R238" s="734" t="str">
        <f>+INDEX(WP!$A:$AN,MATCH(F239,WP!$B:$B,0),MATCH("Obtain From",WP!$A$2:$AN$2,0))</f>
        <v>Clear The Vernal Games Warm-Ups: Beginner (The Hunt for Harmony)</v>
      </c>
    </row>
    <row r="239" spans="1:18" ht="22.5" customHeight="1" x14ac:dyDescent="0.2">
      <c r="A239" s="204" t="str">
        <f>TEXT(A236+1,"000")</f>
        <v>079</v>
      </c>
      <c r="B239" s="729"/>
      <c r="C239" s="8"/>
      <c r="D239" s="729"/>
      <c r="E239" s="8"/>
      <c r="F239" s="200" t="str">
        <f>"WP-"&amp;A239</f>
        <v>WP-079</v>
      </c>
      <c r="G239" s="200">
        <f>+INDEX(WP!$A:$AN,MATCH(F239,WP!$B:$B,0),MATCH("ID",WP!$A$2:$AN$2,0))</f>
        <v>400172</v>
      </c>
      <c r="I239" s="8"/>
      <c r="J239" s="180" t="s">
        <v>10762</v>
      </c>
      <c r="K239" s="201">
        <f>+INDEX(WP!$A:$AN,MATCH(F239,WP!$B:$B,0),14)</f>
        <v>5</v>
      </c>
      <c r="L239" s="202">
        <f>+INDEX(WP!$A:$AN,MATCH(F239,WP!$B:$B,0),15)</f>
        <v>150</v>
      </c>
      <c r="M239" s="202">
        <f>+INDEX(WP!$A:$AN,MATCH(F239,WP!$B:$B,0),16)</f>
        <v>90</v>
      </c>
      <c r="N239" s="202" t="e" vm="342">
        <f>IFERROR(_xlfn.IMAGE("https://natalie.tf/wp-content/uploads/2023/11/DLV3_Icon_Affinity_"&amp;O239&amp;".png"),"")</f>
        <v>#VALUE!</v>
      </c>
      <c r="O239" s="203" t="str">
        <f>+INDEX(WP!$A:$AN,MATCH(F239,WP!$B:$B,0),17)</f>
        <v>Bow</v>
      </c>
      <c r="P239" s="8" t="e" vm="322">
        <f>_xlfn.IMAGE("https://natalie.tf/wp-content/uploads/2023/10/DLV3_Icon_Ability_"&amp;INDEX('WP-A'!$A$1:$Z$498,MATCH('WP-Print'!Q239,'WP-A'!$A:$A,0),MATCH("Icon",'WP-A'!$A$1:$Z$1,0))&amp;".png")</f>
        <v>#VALUE!</v>
      </c>
      <c r="Q239" s="231" t="str">
        <f>+INDEX(WP!$A:$AN,MATCH(F239,WP!$B:$B,0),MATCH("Ability V3",WP!$A$2:$AN$2,0))</f>
        <v>(Bow) Skill Damage +40%</v>
      </c>
      <c r="R239" s="735"/>
    </row>
    <row r="240" spans="1:18" ht="7.5" customHeight="1" x14ac:dyDescent="0.2">
      <c r="A240" t="s">
        <v>10763</v>
      </c>
    </row>
    <row r="241" spans="1:18" ht="22.5" customHeight="1" x14ac:dyDescent="0.2">
      <c r="B241" s="729" t="e" vm="481">
        <f>_xlfn.IMAGE("https://natalie.tf/wp-content/uploads/2023/10/DLV3_Icon_WP_"&amp;G242&amp;"_01.png")</f>
        <v>#VALUE!</v>
      </c>
      <c r="D241" s="730" t="e" vm="482">
        <f>_xlfn.IMAGE("https://natalie.tf/wp-content/uploads/2023/10/DLV3_Icon_WP_"&amp;G242&amp;"_02.png")</f>
        <v>#VALUE!</v>
      </c>
      <c r="F241" s="717" t="str">
        <f>+INDEX(WP!$A:$AN,MATCH(F242,WP!$B:$B,0),MATCH("Name",WP!$A$2:$AN$2,0))</f>
        <v>A Mother's Love</v>
      </c>
      <c r="G241" s="718"/>
      <c r="H241" s="719"/>
      <c r="J241" s="180" t="s">
        <v>10761</v>
      </c>
      <c r="K241" s="201">
        <f>+INDEX(WP!$A:$AN,MATCH(F242,WP!$B:$B,0),5)</f>
        <v>5</v>
      </c>
      <c r="L241" s="202">
        <f>+INDEX(WP!$A:$AN,MATCH(F242,WP!$B:$B,0),6)</f>
        <v>76</v>
      </c>
      <c r="M241" s="202">
        <f>+INDEX(WP!$A:$AN,MATCH(F242,WP!$B:$B,0),7)</f>
        <v>26</v>
      </c>
      <c r="N241" s="202" t="str">
        <f ca="1">IFERROR(_xlfn.IMAGE("https://natalie.tf/wp-content/uploads/2023/11/DLV3_Icon_Affinity_"&amp;O241&amp;".png"),"")</f>
        <v/>
      </c>
      <c r="O241" s="203" t="str">
        <f>IF(INDEX(WP!$A:$AN,MATCH(F242,WP!$B:$B,0),8)=0,"None",INDEX(WP!$A:$AN,MATCH(F242,WP!$B:$B,0),8))</f>
        <v>None</v>
      </c>
      <c r="P241" s="8" t="e" vm="6">
        <f>_xlfn.IMAGE("https://natalie.tf/wp-content/uploads/2023/10/DLV3_Icon_Ability_"&amp;INDEX('WP-A'!$A$1:$Z$498,MATCH('WP-Print'!Q241,'WP-A'!$A:$A,0),MATCH("Icon",'WP-A'!$A$1:$Z$1,0))&amp;".png")</f>
        <v>#VALUE!</v>
      </c>
      <c r="Q241" s="231" t="str">
        <f>+INDEX(WP!$A:$AN,MATCH(F242,WP!$B:$B,0),MATCH("Ability",WP!$A$2:$AN$2,0))</f>
        <v>Gauge Accelerator +35%</v>
      </c>
      <c r="R241" s="734" t="str">
        <f>+INDEX(WP!$A:$AN,MATCH(F242,WP!$B:$B,0),MATCH("Obtain From",WP!$A$2:$AN$2,0))</f>
        <v>Clear a Boss Battle on Beginner (The Hunt for Harmony)</v>
      </c>
    </row>
    <row r="242" spans="1:18" ht="22.5" customHeight="1" x14ac:dyDescent="0.2">
      <c r="A242" s="204" t="str">
        <f>TEXT(A239+1,"000")</f>
        <v>080</v>
      </c>
      <c r="B242" s="729"/>
      <c r="C242" s="8"/>
      <c r="D242" s="729"/>
      <c r="E242" s="8"/>
      <c r="F242" s="200" t="str">
        <f>"WP-"&amp;A242</f>
        <v>WP-080</v>
      </c>
      <c r="G242" s="200">
        <f>+INDEX(WP!$A:$AN,MATCH(F242,WP!$B:$B,0),MATCH("ID",WP!$A$2:$AN$2,0))</f>
        <v>400176</v>
      </c>
      <c r="I242" s="8"/>
      <c r="J242" s="180" t="s">
        <v>10762</v>
      </c>
      <c r="K242" s="201">
        <f>+INDEX(WP!$A:$AN,MATCH(F242,WP!$B:$B,0),14)</f>
        <v>5</v>
      </c>
      <c r="L242" s="202">
        <f>+INDEX(WP!$A:$AN,MATCH(F242,WP!$B:$B,0),15)</f>
        <v>150</v>
      </c>
      <c r="M242" s="202">
        <f>+INDEX(WP!$A:$AN,MATCH(F242,WP!$B:$B,0),16)</f>
        <v>90</v>
      </c>
      <c r="N242" s="202" t="e" vm="337">
        <f>IFERROR(_xlfn.IMAGE("https://natalie.tf/wp-content/uploads/2023/11/DLV3_Icon_Affinity_"&amp;O242&amp;".png"),"")</f>
        <v>#VALUE!</v>
      </c>
      <c r="O242" s="203" t="str">
        <f>+INDEX(WP!$A:$AN,MATCH(F242,WP!$B:$B,0),17)</f>
        <v>Serpent</v>
      </c>
      <c r="P242" s="8" t="e" vm="6">
        <f>_xlfn.IMAGE("https://natalie.tf/wp-content/uploads/2023/10/DLV3_Icon_Ability_"&amp;INDEX('WP-A'!$A$1:$Z$498,MATCH('WP-Print'!Q242,'WP-A'!$A:$A,0),MATCH("Icon",'WP-A'!$A$1:$Z$1,0))&amp;".png")</f>
        <v>#VALUE!</v>
      </c>
      <c r="Q242" s="231" t="str">
        <f>+INDEX(WP!$A:$AN,MATCH(F242,WP!$B:$B,0),MATCH("Ability V3",WP!$A$2:$AN$2,0))</f>
        <v>Gauge Accelerator +35%</v>
      </c>
      <c r="R242" s="735"/>
    </row>
    <row r="243" spans="1:18" ht="7.5" customHeight="1" x14ac:dyDescent="0.2">
      <c r="A243" t="s">
        <v>10763</v>
      </c>
    </row>
    <row r="244" spans="1:18" ht="22.5" customHeight="1" x14ac:dyDescent="0.2">
      <c r="B244" s="729" t="e" vm="483">
        <f>_xlfn.IMAGE("https://natalie.tf/wp-content/uploads/2023/10/DLV3_Icon_WP_"&amp;G245&amp;"_01.png")</f>
        <v>#VALUE!</v>
      </c>
      <c r="D244" s="730" t="e" vm="484">
        <f>_xlfn.IMAGE("https://natalie.tf/wp-content/uploads/2023/10/DLV3_Icon_WP_"&amp;G245&amp;"_02.png")</f>
        <v>#VALUE!</v>
      </c>
      <c r="F244" s="717" t="str">
        <f>+INDEX(WP!$A:$AN,MATCH(F245,WP!$B:$B,0),MATCH("Name",WP!$A$2:$AN$2,0))</f>
        <v>Queen of the Blue Seas</v>
      </c>
      <c r="G244" s="718"/>
      <c r="H244" s="719"/>
      <c r="J244" s="180" t="s">
        <v>10761</v>
      </c>
      <c r="K244" s="201">
        <f>+INDEX(WP!$A:$AN,MATCH(F245,WP!$B:$B,0),5)</f>
        <v>5</v>
      </c>
      <c r="L244" s="202">
        <f>+INDEX(WP!$A:$AN,MATCH(F245,WP!$B:$B,0),6)</f>
        <v>83</v>
      </c>
      <c r="M244" s="202">
        <f>+INDEX(WP!$A:$AN,MATCH(F245,WP!$B:$B,0),7)</f>
        <v>20</v>
      </c>
      <c r="N244" s="202" t="str">
        <f ca="1">IFERROR(_xlfn.IMAGE("https://natalie.tf/wp-content/uploads/2023/11/DLV3_Icon_Affinity_"&amp;O244&amp;".png"),"")</f>
        <v/>
      </c>
      <c r="O244" s="203" t="str">
        <f>IF(INDEX(WP!$A:$AN,MATCH(F245,WP!$B:$B,0),8)=0,"None",INDEX(WP!$A:$AN,MATCH(F245,WP!$B:$B,0),8))</f>
        <v>None</v>
      </c>
      <c r="P244" s="8" t="e" vm="393">
        <f>_xlfn.IMAGE("https://natalie.tf/wp-content/uploads/2023/10/DLV3_Icon_Ability_"&amp;INDEX('WP-A'!$A$1:$Z$498,MATCH('WP-Print'!Q244,'WP-A'!$A:$A,0),MATCH("Icon",'WP-A'!$A$1:$Z$1,0))&amp;".png")</f>
        <v>#VALUE!</v>
      </c>
      <c r="Q244" s="231" t="str">
        <f>+INDEX(WP!$A:$AN,MATCH(F245,WP!$B:$B,0),MATCH("Ability",WP!$A$2:$AN$2,0))</f>
        <v>High Mercury Res +25%</v>
      </c>
      <c r="R244" s="734" t="str">
        <f>+INDEX(WP!$A:$AN,MATCH(F245,WP!$B:$B,0),MATCH("Obtain From",WP!$A$2:$AN$2,0))</f>
        <v>Clear Battle at the Wartarch Ruins: Beginner (The Imperial Onslaught)</v>
      </c>
    </row>
    <row r="245" spans="1:18" ht="22.5" customHeight="1" x14ac:dyDescent="0.2">
      <c r="A245" s="204" t="str">
        <f>TEXT(A242+1,"000")</f>
        <v>081</v>
      </c>
      <c r="B245" s="729"/>
      <c r="C245" s="8"/>
      <c r="D245" s="729"/>
      <c r="E245" s="8"/>
      <c r="F245" s="200" t="str">
        <f>"WP-"&amp;A245</f>
        <v>WP-081</v>
      </c>
      <c r="G245" s="200">
        <f>+INDEX(WP!$A:$AN,MATCH(F245,WP!$B:$B,0),MATCH("ID",WP!$A$2:$AN$2,0))</f>
        <v>400108</v>
      </c>
      <c r="I245" s="8"/>
      <c r="J245" s="180" t="s">
        <v>10762</v>
      </c>
      <c r="K245" s="201">
        <f>+INDEX(WP!$A:$AN,MATCH(F245,WP!$B:$B,0),14)</f>
        <v>5</v>
      </c>
      <c r="L245" s="202">
        <f>+INDEX(WP!$A:$AN,MATCH(F245,WP!$B:$B,0),15)</f>
        <v>150</v>
      </c>
      <c r="M245" s="202">
        <f>+INDEX(WP!$A:$AN,MATCH(F245,WP!$B:$B,0),16)</f>
        <v>90</v>
      </c>
      <c r="N245" s="202" t="e" vm="352">
        <f>IFERROR(_xlfn.IMAGE("https://natalie.tf/wp-content/uploads/2023/11/DLV3_Icon_Affinity_"&amp;O245&amp;".png"),"")</f>
        <v>#VALUE!</v>
      </c>
      <c r="O245" s="203" t="str">
        <f>+INDEX(WP!$A:$AN,MATCH(F245,WP!$B:$B,0),17)</f>
        <v>Fish</v>
      </c>
      <c r="P245" s="8" t="e" vm="393">
        <f>_xlfn.IMAGE("https://natalie.tf/wp-content/uploads/2023/10/DLV3_Icon_Ability_"&amp;INDEX('WP-A'!$A$1:$Z$498,MATCH('WP-Print'!Q245,'WP-A'!$A:$A,0),MATCH("Icon",'WP-A'!$A$1:$Z$1,0))&amp;".png")</f>
        <v>#VALUE!</v>
      </c>
      <c r="Q245" s="231" t="str">
        <f>+INDEX(WP!$A:$AN,MATCH(F245,WP!$B:$B,0),MATCH("Ability V3",WP!$A$2:$AN$2,0))</f>
        <v>High Mercury Res +25%</v>
      </c>
      <c r="R245" s="735"/>
    </row>
    <row r="246" spans="1:18" ht="7.5" customHeight="1" x14ac:dyDescent="0.2">
      <c r="A246" t="s">
        <v>10763</v>
      </c>
    </row>
    <row r="247" spans="1:18" ht="22.5" customHeight="1" x14ac:dyDescent="0.2">
      <c r="B247" s="729" t="e" vm="485">
        <f>_xlfn.IMAGE("https://natalie.tf/wp-content/uploads/2023/10/DLV3_Icon_WP_"&amp;G248&amp;"_01.png")</f>
        <v>#VALUE!</v>
      </c>
      <c r="D247" s="730" t="e" vm="486">
        <f>_xlfn.IMAGE("https://natalie.tf/wp-content/uploads/2023/10/DLV3_Icon_WP_"&amp;G248&amp;"_02.png")</f>
        <v>#VALUE!</v>
      </c>
      <c r="F247" s="717" t="str">
        <f>+INDEX(WP!$A:$AN,MATCH(F248,WP!$B:$B,0),MATCH("Name",WP!$A$2:$AN$2,0))</f>
        <v>The Heroes Arrive</v>
      </c>
      <c r="G247" s="718"/>
      <c r="H247" s="719"/>
      <c r="J247" s="180" t="s">
        <v>10761</v>
      </c>
      <c r="K247" s="201">
        <f>+INDEX(WP!$A:$AN,MATCH(F248,WP!$B:$B,0),5)</f>
        <v>5</v>
      </c>
      <c r="L247" s="202">
        <f>+INDEX(WP!$A:$AN,MATCH(F248,WP!$B:$B,0),6)</f>
        <v>88</v>
      </c>
      <c r="M247" s="202">
        <f>+INDEX(WP!$A:$AN,MATCH(F248,WP!$B:$B,0),7)</f>
        <v>32</v>
      </c>
      <c r="N247" s="202" t="str">
        <f ca="1">IFERROR(_xlfn.IMAGE("https://natalie.tf/wp-content/uploads/2023/11/DLV3_Icon_Affinity_"&amp;O247&amp;".png"),"")</f>
        <v/>
      </c>
      <c r="O247" s="203" t="str">
        <f>IF(INDEX(WP!$A:$AN,MATCH(F248,WP!$B:$B,0),8)=0,"None",INDEX(WP!$A:$AN,MATCH(F248,WP!$B:$B,0),8))</f>
        <v>None</v>
      </c>
      <c r="P247" s="8" t="e" vm="14">
        <f>_xlfn.IMAGE("https://natalie.tf/wp-content/uploads/2023/10/DLV3_Icon_Ability_"&amp;INDEX('WP-A'!$A$1:$Z$498,MATCH('WP-Print'!Q247,'WP-A'!$A:$A,0),MATCH("Icon",'WP-A'!$A$1:$Z$1,0))&amp;".png")</f>
        <v>#VALUE!</v>
      </c>
      <c r="Q247" s="231" t="str">
        <f>+INDEX(WP!$A:$AN,MATCH(F248,WP!$B:$B,0),MATCH("Ability",WP!$A$2:$AN$2,0))</f>
        <v>Slayer's Strength +6%</v>
      </c>
      <c r="R247" s="734" t="str">
        <f>+INDEX(WP!$A:$AN,MATCH(F248,WP!$B:$B,0),MATCH("Obtain From",WP!$A$2:$AN$2,0))</f>
        <v>Clear Repel the Empire! (Fire Emblem: Lost Heroes)</v>
      </c>
    </row>
    <row r="248" spans="1:18" ht="22.5" customHeight="1" x14ac:dyDescent="0.2">
      <c r="A248" s="204" t="str">
        <f>TEXT(A245+1,"000")</f>
        <v>082</v>
      </c>
      <c r="B248" s="729"/>
      <c r="C248" s="8"/>
      <c r="D248" s="729"/>
      <c r="E248" s="8"/>
      <c r="F248" s="200" t="str">
        <f>"WP-"&amp;A248</f>
        <v>WP-082</v>
      </c>
      <c r="G248" s="200">
        <f>+INDEX(WP!$A:$AN,MATCH(F248,WP!$B:$B,0),MATCH("ID",WP!$A$2:$AN$2,0))</f>
        <v>400277</v>
      </c>
      <c r="I248" s="8"/>
      <c r="J248" s="180" t="s">
        <v>10762</v>
      </c>
      <c r="K248" s="201">
        <f>+INDEX(WP!$A:$AN,MATCH(F248,WP!$B:$B,0),14)</f>
        <v>5</v>
      </c>
      <c r="L248" s="202">
        <f>+INDEX(WP!$A:$AN,MATCH(F248,WP!$B:$B,0),15)</f>
        <v>150</v>
      </c>
      <c r="M248" s="202">
        <f>+INDEX(WP!$A:$AN,MATCH(F248,WP!$B:$B,0),16)</f>
        <v>90</v>
      </c>
      <c r="N248" s="202" t="e" vm="356">
        <f>IFERROR(_xlfn.IMAGE("https://natalie.tf/wp-content/uploads/2023/11/DLV3_Icon_Affinity_"&amp;O248&amp;".png"),"")</f>
        <v>#VALUE!</v>
      </c>
      <c r="O248" s="203" t="str">
        <f>+INDEX(WP!$A:$AN,MATCH(F248,WP!$B:$B,0),17)</f>
        <v>Deer</v>
      </c>
      <c r="P248" s="8" t="e" vm="14">
        <f>_xlfn.IMAGE("https://natalie.tf/wp-content/uploads/2023/10/DLV3_Icon_Ability_"&amp;INDEX('WP-A'!$A$1:$Z$498,MATCH('WP-Print'!Q248,'WP-A'!$A:$A,0),MATCH("Icon",'WP-A'!$A$1:$Z$1,0))&amp;".png")</f>
        <v>#VALUE!</v>
      </c>
      <c r="Q248" s="231" t="str">
        <f>+INDEX(WP!$A:$AN,MATCH(F248,WP!$B:$B,0),MATCH("Ability V3",WP!$A$2:$AN$2,0))</f>
        <v>Slayer's Strength +6%</v>
      </c>
      <c r="R248" s="735"/>
    </row>
    <row r="249" spans="1:18" ht="7.5" customHeight="1" x14ac:dyDescent="0.2">
      <c r="A249" t="s">
        <v>10763</v>
      </c>
    </row>
    <row r="250" spans="1:18" ht="22.5" customHeight="1" x14ac:dyDescent="0.2">
      <c r="B250" s="729" t="e" vm="487">
        <f>_xlfn.IMAGE("https://natalie.tf/wp-content/uploads/2023/10/DLV3_Icon_WP_"&amp;G251&amp;"_01.png")</f>
        <v>#VALUE!</v>
      </c>
      <c r="D250" s="730" t="e" vm="488">
        <f>_xlfn.IMAGE("https://natalie.tf/wp-content/uploads/2023/10/DLV3_Icon_WP_"&amp;G251&amp;"_02.png")</f>
        <v>#VALUE!</v>
      </c>
      <c r="F250" s="717" t="str">
        <f>+INDEX(WP!$A:$AN,MATCH(F251,WP!$B:$B,0),MATCH("Name",WP!$A$2:$AN$2,0))</f>
        <v>Bonds Between Worlds</v>
      </c>
      <c r="G250" s="718"/>
      <c r="H250" s="719"/>
      <c r="J250" s="180" t="s">
        <v>10761</v>
      </c>
      <c r="K250" s="201">
        <f>+INDEX(WP!$A:$AN,MATCH(F251,WP!$B:$B,0),5)</f>
        <v>5</v>
      </c>
      <c r="L250" s="202">
        <f>+INDEX(WP!$A:$AN,MATCH(F251,WP!$B:$B,0),6)</f>
        <v>75</v>
      </c>
      <c r="M250" s="202">
        <f>+INDEX(WP!$A:$AN,MATCH(F251,WP!$B:$B,0),7)</f>
        <v>27</v>
      </c>
      <c r="N250" s="202" t="str">
        <f ca="1">IFERROR(_xlfn.IMAGE("https://natalie.tf/wp-content/uploads/2023/11/DLV3_Icon_Affinity_"&amp;O250&amp;".png"),"")</f>
        <v/>
      </c>
      <c r="O250" s="203" t="str">
        <f>IF(INDEX(WP!$A:$AN,MATCH(F251,WP!$B:$B,0),8)=0,"None",INDEX(WP!$A:$AN,MATCH(F251,WP!$B:$B,0),8))</f>
        <v>None</v>
      </c>
      <c r="P250" s="8" t="e" vm="14">
        <f>_xlfn.IMAGE("https://natalie.tf/wp-content/uploads/2023/10/DLV3_Icon_Ability_"&amp;INDEX('WP-A'!$A$1:$Z$498,MATCH('WP-Print'!Q250,'WP-A'!$A:$A,0),MATCH("Icon",'WP-A'!$A$1:$Z$1,0))&amp;".png")</f>
        <v>#VALUE!</v>
      </c>
      <c r="Q250" s="231" t="str">
        <f>+INDEX(WP!$A:$AN,MATCH(F251,WP!$B:$B,0),MATCH("Ability",WP!$A$2:$AN$2,0))</f>
        <v>HP 70% = Strength +13%</v>
      </c>
      <c r="R250" s="734" t="str">
        <f>+INDEX(WP!$A:$AN,MATCH(F251,WP!$B:$B,0),MATCH("Obtain From",WP!$A$2:$AN$2,0))</f>
        <v>Clear Veronica's Trial (Fire Emblem: Lost Heroes)</v>
      </c>
    </row>
    <row r="251" spans="1:18" ht="22.5" customHeight="1" x14ac:dyDescent="0.2">
      <c r="A251" s="204" t="str">
        <f>TEXT(A248+1,"000")</f>
        <v>083</v>
      </c>
      <c r="B251" s="729"/>
      <c r="C251" s="8"/>
      <c r="D251" s="729"/>
      <c r="E251" s="8"/>
      <c r="F251" s="200" t="str">
        <f>"WP-"&amp;A251</f>
        <v>WP-083</v>
      </c>
      <c r="G251" s="200">
        <f>+INDEX(WP!$A:$AN,MATCH(F251,WP!$B:$B,0),MATCH("ID",WP!$A$2:$AN$2,0))</f>
        <v>400280</v>
      </c>
      <c r="I251" s="8"/>
      <c r="J251" s="180" t="s">
        <v>10762</v>
      </c>
      <c r="K251" s="201">
        <f>+INDEX(WP!$A:$AN,MATCH(F251,WP!$B:$B,0),14)</f>
        <v>5</v>
      </c>
      <c r="L251" s="202">
        <f>+INDEX(WP!$A:$AN,MATCH(F251,WP!$B:$B,0),15)</f>
        <v>150</v>
      </c>
      <c r="M251" s="202">
        <f>+INDEX(WP!$A:$AN,MATCH(F251,WP!$B:$B,0),16)</f>
        <v>90</v>
      </c>
      <c r="N251" s="202" t="e" vm="367">
        <f>IFERROR(_xlfn.IMAGE("https://natalie.tf/wp-content/uploads/2023/11/DLV3_Icon_Affinity_"&amp;O251&amp;".png"),"")</f>
        <v>#VALUE!</v>
      </c>
      <c r="O251" s="203" t="str">
        <f>+INDEX(WP!$A:$AN,MATCH(F251,WP!$B:$B,0),17)</f>
        <v>Spider</v>
      </c>
      <c r="P251" s="8" t="e" vm="14">
        <f>_xlfn.IMAGE("https://natalie.tf/wp-content/uploads/2023/10/DLV3_Icon_Ability_"&amp;INDEX('WP-A'!$A$1:$Z$498,MATCH('WP-Print'!Q251,'WP-A'!$A:$A,0),MATCH("Icon",'WP-A'!$A$1:$Z$1,0))&amp;".png")</f>
        <v>#VALUE!</v>
      </c>
      <c r="Q251" s="231" t="str">
        <f>+INDEX(WP!$A:$AN,MATCH(F251,WP!$B:$B,0),MATCH("Ability V3",WP!$A$2:$AN$2,0))</f>
        <v>Strength +15%</v>
      </c>
      <c r="R251" s="735"/>
    </row>
    <row r="252" spans="1:18" ht="7.5" customHeight="1" x14ac:dyDescent="0.2">
      <c r="A252" t="s">
        <v>10763</v>
      </c>
    </row>
    <row r="253" spans="1:18" ht="22.5" customHeight="1" x14ac:dyDescent="0.2">
      <c r="B253" s="729" t="e" vm="489">
        <f>_xlfn.IMAGE("https://natalie.tf/wp-content/uploads/2023/10/DLV3_Icon_WP_"&amp;G254&amp;"_01.png")</f>
        <v>#VALUE!</v>
      </c>
      <c r="D253" s="730" t="e" vm="490">
        <f>_xlfn.IMAGE("https://natalie.tf/wp-content/uploads/2023/10/DLV3_Icon_WP_"&amp;G254&amp;"_02.png")</f>
        <v>#VALUE!</v>
      </c>
      <c r="F253" s="717" t="str">
        <f>+INDEX(WP!$A:$AN,MATCH(F254,WP!$B:$B,0),MATCH("Name",WP!$A$2:$AN$2,0))</f>
        <v>Partners in Truth</v>
      </c>
      <c r="G253" s="718"/>
      <c r="H253" s="719"/>
      <c r="J253" s="180" t="s">
        <v>10761</v>
      </c>
      <c r="K253" s="201">
        <f>+INDEX(WP!$A:$AN,MATCH(F254,WP!$B:$B,0),5)</f>
        <v>5</v>
      </c>
      <c r="L253" s="202">
        <f>+INDEX(WP!$A:$AN,MATCH(F254,WP!$B:$B,0),6)</f>
        <v>97</v>
      </c>
      <c r="M253" s="202">
        <f>+INDEX(WP!$A:$AN,MATCH(F254,WP!$B:$B,0),7)</f>
        <v>23</v>
      </c>
      <c r="N253" s="202" t="str">
        <f ca="1">IFERROR(_xlfn.IMAGE("https://natalie.tf/wp-content/uploads/2023/11/DLV3_Icon_Affinity_"&amp;O253&amp;".png"),"")</f>
        <v/>
      </c>
      <c r="O253" s="203" t="str">
        <f>IF(INDEX(WP!$A:$AN,MATCH(F254,WP!$B:$B,0),8)=0,"None",INDEX(WP!$A:$AN,MATCH(F254,WP!$B:$B,0),8))</f>
        <v>None</v>
      </c>
      <c r="P253" s="8" t="e" vm="491">
        <f>_xlfn.IMAGE("https://natalie.tf/wp-content/uploads/2023/10/DLV3_Icon_Ability_"&amp;INDEX('WP-A'!$A$1:$Z$498,MATCH('WP-Print'!Q253,'WP-A'!$A:$A,0),MATCH("Icon",'WP-A'!$A$1:$Z$1,0))&amp;".png")</f>
        <v>#VALUE!</v>
      </c>
      <c r="Q253" s="231" t="str">
        <f>+INDEX(WP!$A:$AN,MATCH(F254,WP!$B:$B,0),MATCH("Ability",WP!$A$2:$AN$2,0))</f>
        <v>Bog Res +60%</v>
      </c>
      <c r="R253" s="734" t="str">
        <f>+INDEX(WP!$A:$AN,MATCH(F254,WP!$B:$B,0),MATCH("Obtain From",WP!$A$2:$AN$2,0))</f>
        <v>Obtain From Ch. 08 EX 2 Chest (Normal) (Non-Endeavor)</v>
      </c>
    </row>
    <row r="254" spans="1:18" ht="22.5" customHeight="1" x14ac:dyDescent="0.2">
      <c r="A254" s="204" t="str">
        <f>TEXT(A251+1,"000")</f>
        <v>084</v>
      </c>
      <c r="B254" s="729"/>
      <c r="C254" s="8"/>
      <c r="D254" s="729"/>
      <c r="E254" s="8"/>
      <c r="F254" s="200" t="str">
        <f>"WP-"&amp;A254</f>
        <v>WP-084</v>
      </c>
      <c r="G254" s="200">
        <f>+INDEX(WP!$A:$AN,MATCH(F254,WP!$B:$B,0),MATCH("ID",WP!$A$2:$AN$2,0))</f>
        <v>400153</v>
      </c>
      <c r="I254" s="8"/>
      <c r="J254" s="180" t="s">
        <v>10762</v>
      </c>
      <c r="K254" s="201">
        <f>+INDEX(WP!$A:$AN,MATCH(F254,WP!$B:$B,0),14)</f>
        <v>5</v>
      </c>
      <c r="L254" s="202">
        <f>+INDEX(WP!$A:$AN,MATCH(F254,WP!$B:$B,0),15)</f>
        <v>150</v>
      </c>
      <c r="M254" s="202">
        <f>+INDEX(WP!$A:$AN,MATCH(F254,WP!$B:$B,0),16)</f>
        <v>90</v>
      </c>
      <c r="N254" s="202" t="e" vm="356">
        <f>IFERROR(_xlfn.IMAGE("https://natalie.tf/wp-content/uploads/2023/11/DLV3_Icon_Affinity_"&amp;O254&amp;".png"),"")</f>
        <v>#VALUE!</v>
      </c>
      <c r="O254" s="203" t="str">
        <f>+INDEX(WP!$A:$AN,MATCH(F254,WP!$B:$B,0),17)</f>
        <v>Deer</v>
      </c>
      <c r="P254" s="8" t="e" vm="491">
        <f>_xlfn.IMAGE("https://natalie.tf/wp-content/uploads/2023/10/DLV3_Icon_Ability_"&amp;INDEX('WP-A'!$A$1:$Z$498,MATCH('WP-Print'!Q254,'WP-A'!$A:$A,0),MATCH("Icon",'WP-A'!$A$1:$Z$1,0))&amp;".png")</f>
        <v>#VALUE!</v>
      </c>
      <c r="Q254" s="231" t="str">
        <f>+INDEX(WP!$A:$AN,MATCH(F254,WP!$B:$B,0),MATCH("Ability V3",WP!$A$2:$AN$2,0))</f>
        <v>Bog Res +100%</v>
      </c>
      <c r="R254" s="735"/>
    </row>
    <row r="255" spans="1:18" ht="22.5" customHeight="1" x14ac:dyDescent="0.2">
      <c r="A255" t="s">
        <v>10763</v>
      </c>
    </row>
    <row r="256" spans="1:18" ht="22.5" customHeight="1" x14ac:dyDescent="0.2">
      <c r="B256" s="729" t="e" vm="492">
        <f>_xlfn.IMAGE("https://natalie.tf/wp-content/uploads/2023/10/DLV3_Icon_WP_"&amp;G257&amp;"_01.png")</f>
        <v>#VALUE!</v>
      </c>
      <c r="D256" s="730" t="e" vm="493">
        <f>_xlfn.IMAGE("https://natalie.tf/wp-content/uploads/2023/10/DLV3_Icon_WP_"&amp;G257&amp;"_02.png")</f>
        <v>#VALUE!</v>
      </c>
      <c r="F256" s="717" t="str">
        <f>+INDEX(WP!$A:$AN,MATCH(F257,WP!$B:$B,0),MATCH("Name",WP!$A$2:$AN$2,0))</f>
        <v>After an Eternity</v>
      </c>
      <c r="G256" s="718"/>
      <c r="H256" s="719"/>
      <c r="J256" s="180" t="s">
        <v>10761</v>
      </c>
      <c r="K256" s="201">
        <f>+INDEX(WP!$A:$AN,MATCH(F257,WP!$B:$B,0),5)</f>
        <v>5</v>
      </c>
      <c r="L256" s="202">
        <f>+INDEX(WP!$A:$AN,MATCH(F257,WP!$B:$B,0),6)</f>
        <v>97</v>
      </c>
      <c r="M256" s="202">
        <f>+INDEX(WP!$A:$AN,MATCH(F257,WP!$B:$B,0),7)</f>
        <v>23</v>
      </c>
      <c r="N256" s="202" t="e" vm="346">
        <f>IFERROR(_xlfn.IMAGE("https://natalie.tf/wp-content/uploads/2023/11/DLV3_Icon_Affinity_"&amp;O256&amp;".png"),"")</f>
        <v>#VALUE!</v>
      </c>
      <c r="O256" s="203" t="str">
        <f>IF(INDEX(WP!$A:$AN,MATCH(F257,WP!$B:$B,0),8)=0,"None",INDEX(WP!$A:$AN,MATCH(F257,WP!$B:$B,0),8))</f>
        <v>Bull</v>
      </c>
      <c r="P256" s="8" t="e" vm="453">
        <f>_xlfn.IMAGE("https://natalie.tf/wp-content/uploads/2023/10/DLV3_Icon_Ability_"&amp;INDEX('WP-A'!$A$1:$Z$498,MATCH('WP-Print'!Q256,'WP-A'!$A:$A,0),MATCH("Icon",'WP-A'!$A$1:$Z$1,0))&amp;".png")</f>
        <v>#VALUE!</v>
      </c>
      <c r="Q256" s="231" t="str">
        <f>+INDEX(WP!$A:$AN,MATCH(F257,WP!$B:$B,0),MATCH("Ability",WP!$A$2:$AN$2,0))</f>
        <v>(Shadow) Affliction Guard III</v>
      </c>
      <c r="R256" s="734" t="str">
        <f>+INDEX(WP!$A:$AN,MATCH(F257,WP!$B:$B,0),MATCH("Obtain From",WP!$A$2:$AN$2,0))</f>
        <v>Clear an Elemental Ruin Using a Skip Ticket (Other Normal Endeavors)</v>
      </c>
    </row>
    <row r="257" spans="1:18" ht="22.5" customHeight="1" x14ac:dyDescent="0.2">
      <c r="A257" s="204" t="str">
        <f>TEXT(A254+1,"000")</f>
        <v>085</v>
      </c>
      <c r="B257" s="729"/>
      <c r="C257" s="8"/>
      <c r="D257" s="729"/>
      <c r="E257" s="8"/>
      <c r="F257" s="200" t="str">
        <f>"WP-"&amp;A257</f>
        <v>WP-085</v>
      </c>
      <c r="G257" s="200">
        <f>+INDEX(WP!$A:$AN,MATCH(F257,WP!$B:$B,0),MATCH("ID",WP!$A$2:$AN$2,0))</f>
        <v>400083</v>
      </c>
      <c r="I257" s="8"/>
      <c r="J257" s="180" t="s">
        <v>10762</v>
      </c>
      <c r="K257" s="201">
        <f>+INDEX(WP!$A:$AN,MATCH(F257,WP!$B:$B,0),14)</f>
        <v>5</v>
      </c>
      <c r="L257" s="202">
        <f>+INDEX(WP!$A:$AN,MATCH(F257,WP!$B:$B,0),15)</f>
        <v>150</v>
      </c>
      <c r="M257" s="202">
        <f>+INDEX(WP!$A:$AN,MATCH(F257,WP!$B:$B,0),16)</f>
        <v>90</v>
      </c>
      <c r="N257" s="202" t="e" vm="346">
        <f>IFERROR(_xlfn.IMAGE("https://natalie.tf/wp-content/uploads/2023/11/DLV3_Icon_Affinity_"&amp;O257&amp;".png"),"")</f>
        <v>#VALUE!</v>
      </c>
      <c r="O257" s="203" t="str">
        <f>+INDEX(WP!$A:$AN,MATCH(F257,WP!$B:$B,0),17)</f>
        <v>Bull</v>
      </c>
      <c r="P257" s="8" t="e" vm="453">
        <f>_xlfn.IMAGE("https://natalie.tf/wp-content/uploads/2023/10/DLV3_Icon_Ability_"&amp;INDEX('WP-A'!$A$1:$Z$498,MATCH('WP-Print'!Q257,'WP-A'!$A:$A,0),MATCH("Icon",'WP-A'!$A$1:$Z$1,0))&amp;".png")</f>
        <v>#VALUE!</v>
      </c>
      <c r="Q257" s="231" t="str">
        <f>+INDEX(WP!$A:$AN,MATCH(F257,WP!$B:$B,0),MATCH("Ability V3",WP!$A$2:$AN$2,0))</f>
        <v>(Shadow) Affliction Guard</v>
      </c>
      <c r="R257" s="735"/>
    </row>
    <row r="258" spans="1:18" ht="7.5" customHeight="1" x14ac:dyDescent="0.2">
      <c r="A258" t="s">
        <v>10763</v>
      </c>
    </row>
    <row r="259" spans="1:18" ht="22.5" customHeight="1" x14ac:dyDescent="0.2">
      <c r="B259" s="729" t="e" vm="494">
        <f>_xlfn.IMAGE("https://natalie.tf/wp-content/uploads/2023/10/DLV3_Icon_WP_"&amp;G260&amp;"_01.png")</f>
        <v>#VALUE!</v>
      </c>
      <c r="D259" s="730" t="e" vm="495">
        <f>_xlfn.IMAGE("https://natalie.tf/wp-content/uploads/2023/10/DLV3_Icon_WP_"&amp;G260&amp;"_02.png")</f>
        <v>#VALUE!</v>
      </c>
      <c r="F259" s="717" t="str">
        <f>+INDEX(WP!$A:$AN,MATCH(F260,WP!$B:$B,0),MATCH("Name",WP!$A$2:$AN$2,0))</f>
        <v>Study Rabbits</v>
      </c>
      <c r="G259" s="718"/>
      <c r="H259" s="719"/>
      <c r="J259" s="180" t="s">
        <v>10761</v>
      </c>
      <c r="K259" s="201">
        <f>+INDEX(WP!$A:$AN,MATCH(F260,WP!$B:$B,0),5)</f>
        <v>5</v>
      </c>
      <c r="L259" s="202">
        <f>+INDEX(WP!$A:$AN,MATCH(F260,WP!$B:$B,0),6)</f>
        <v>97</v>
      </c>
      <c r="M259" s="202">
        <f>+INDEX(WP!$A:$AN,MATCH(F260,WP!$B:$B,0),7)</f>
        <v>23</v>
      </c>
      <c r="N259" s="202" t="e" vm="345">
        <f>IFERROR(_xlfn.IMAGE("https://natalie.tf/wp-content/uploads/2023/11/DLV3_Icon_Affinity_"&amp;O259&amp;".png"),"")</f>
        <v>#VALUE!</v>
      </c>
      <c r="O259" s="203" t="str">
        <f>IF(INDEX(WP!$A:$AN,MATCH(F260,WP!$B:$B,0),8)=0,"None",INDEX(WP!$A:$AN,MATCH(F260,WP!$B:$B,0),8))</f>
        <v>Staff</v>
      </c>
      <c r="P259" s="8" t="e" vm="496">
        <f>_xlfn.IMAGE("https://natalie.tf/wp-content/uploads/2023/10/DLV3_Icon_Ability_"&amp;INDEX('WP-A'!$A$1:$Z$498,MATCH('WP-Print'!Q259,'WP-A'!$A:$A,0),MATCH("Icon",'WP-A'!$A$1:$Z$1,0))&amp;".png")</f>
        <v>#VALUE!</v>
      </c>
      <c r="Q259" s="231" t="str">
        <f>+INDEX(WP!$A:$AN,MATCH(F260,WP!$B:$B,0),MATCH("Ability",WP!$A$2:$AN$2,0))</f>
        <v>HP +8%</v>
      </c>
      <c r="R259" s="734" t="str">
        <f>+INDEX(WP!$A:$AN,MATCH(F260,WP!$B:$B,0),MATCH("Obtain From",WP!$A$2:$AN$2,0))</f>
        <v>Clear Midgardsormr's Trial: Beginner</v>
      </c>
    </row>
    <row r="260" spans="1:18" ht="22.5" customHeight="1" x14ac:dyDescent="0.2">
      <c r="A260" s="204" t="str">
        <f>TEXT(A257+1,"000")</f>
        <v>086</v>
      </c>
      <c r="B260" s="729"/>
      <c r="C260" s="8"/>
      <c r="D260" s="729"/>
      <c r="E260" s="8"/>
      <c r="F260" s="200" t="str">
        <f>"WP-"&amp;A260</f>
        <v>WP-086</v>
      </c>
      <c r="G260" s="200">
        <f>+INDEX(WP!$A:$AN,MATCH(F260,WP!$B:$B,0),MATCH("ID",WP!$A$2:$AN$2,0))</f>
        <v>400168</v>
      </c>
      <c r="I260" s="8"/>
      <c r="J260" s="180" t="s">
        <v>10762</v>
      </c>
      <c r="K260" s="201">
        <f>+INDEX(WP!$A:$AN,MATCH(F260,WP!$B:$B,0),14)</f>
        <v>5</v>
      </c>
      <c r="L260" s="202">
        <f>+INDEX(WP!$A:$AN,MATCH(F260,WP!$B:$B,0),15)</f>
        <v>150</v>
      </c>
      <c r="M260" s="202">
        <f>+INDEX(WP!$A:$AN,MATCH(F260,WP!$B:$B,0),16)</f>
        <v>90</v>
      </c>
      <c r="N260" s="202" t="e" vm="345">
        <f>IFERROR(_xlfn.IMAGE("https://natalie.tf/wp-content/uploads/2023/11/DLV3_Icon_Affinity_"&amp;O260&amp;".png"),"")</f>
        <v>#VALUE!</v>
      </c>
      <c r="O260" s="203" t="str">
        <f>+INDEX(WP!$A:$AN,MATCH(F260,WP!$B:$B,0),17)</f>
        <v>Staff</v>
      </c>
      <c r="P260" s="8" t="e" vm="496">
        <f>_xlfn.IMAGE("https://natalie.tf/wp-content/uploads/2023/10/DLV3_Icon_Ability_"&amp;INDEX('WP-A'!$A$1:$Z$498,MATCH('WP-Print'!Q260,'WP-A'!$A:$A,0),MATCH("Icon",'WP-A'!$A$1:$Z$1,0))&amp;".png")</f>
        <v>#VALUE!</v>
      </c>
      <c r="Q260" s="231" t="str">
        <f>+INDEX(WP!$A:$AN,MATCH(F260,WP!$B:$B,0),MATCH("Ability V3",WP!$A$2:$AN$2,0))</f>
        <v>HP +15%</v>
      </c>
      <c r="R260" s="735"/>
    </row>
    <row r="261" spans="1:18" ht="7.5" customHeight="1" x14ac:dyDescent="0.2">
      <c r="A261" t="s">
        <v>10763</v>
      </c>
    </row>
    <row r="262" spans="1:18" ht="22.5" customHeight="1" x14ac:dyDescent="0.2">
      <c r="B262" s="729" t="e" vm="497">
        <f>_xlfn.IMAGE("https://natalie.tf/wp-content/uploads/2023/10/DLV3_Icon_WP_"&amp;G263&amp;"_01.png")</f>
        <v>#VALUE!</v>
      </c>
      <c r="D262" s="730" t="e" vm="498">
        <f>_xlfn.IMAGE("https://natalie.tf/wp-content/uploads/2023/10/DLV3_Icon_WP_"&amp;G263&amp;"_02.png")</f>
        <v>#VALUE!</v>
      </c>
      <c r="F262" s="717" t="str">
        <f>+INDEX(WP!$A:$AN,MATCH(F263,WP!$B:$B,0),MATCH("Name",WP!$A$2:$AN$2,0))</f>
        <v>The Bridal Dragon</v>
      </c>
      <c r="G262" s="718"/>
      <c r="H262" s="719"/>
      <c r="J262" s="180" t="s">
        <v>10761</v>
      </c>
      <c r="K262" s="201">
        <f>+INDEX(WP!$A:$AN,MATCH(F263,WP!$B:$B,0),5)</f>
        <v>5</v>
      </c>
      <c r="L262" s="202">
        <f>+INDEX(WP!$A:$AN,MATCH(F263,WP!$B:$B,0),6)</f>
        <v>88</v>
      </c>
      <c r="M262" s="202">
        <f>+INDEX(WP!$A:$AN,MATCH(F263,WP!$B:$B,0),7)</f>
        <v>32</v>
      </c>
      <c r="N262" s="202" t="e" vm="381">
        <f>IFERROR(_xlfn.IMAGE("https://natalie.tf/wp-content/uploads/2023/11/DLV3_Icon_Affinity_"&amp;O262&amp;".png"),"")</f>
        <v>#VALUE!</v>
      </c>
      <c r="O262" s="203" t="str">
        <f>IF(INDEX(WP!$A:$AN,MATCH(F263,WP!$B:$B,0),8)=0,"None",INDEX(WP!$A:$AN,MATCH(F263,WP!$B:$B,0),8))</f>
        <v>Dragon</v>
      </c>
      <c r="P262" s="8" t="e" vm="14">
        <f>_xlfn.IMAGE("https://natalie.tf/wp-content/uploads/2023/10/DLV3_Icon_Ability_"&amp;INDEX('WP-A'!$A$1:$Z$498,MATCH('WP-Print'!Q262,'WP-A'!$A:$A,0),MATCH("Icon",'WP-A'!$A$1:$Z$1,0))&amp;".png")</f>
        <v>#VALUE!</v>
      </c>
      <c r="Q262" s="231" t="str">
        <f>+INDEX(WP!$A:$AN,MATCH(F263,WP!$B:$B,0),MATCH("Ability",WP!$A$2:$AN$2,0))</f>
        <v>Dragon Damage +18%</v>
      </c>
      <c r="R262" s="734" t="str">
        <f>+INDEX(WP!$A:$AN,MATCH(F263,WP!$B:$B,0),MATCH("Obtain From",WP!$A$2:$AN$2,0))</f>
        <v>Obtain From Ch. 06 EX 1 Chest (Normal) (Non-Endeavor)</v>
      </c>
    </row>
    <row r="263" spans="1:18" ht="22.5" customHeight="1" x14ac:dyDescent="0.2">
      <c r="A263" s="204" t="str">
        <f>TEXT(A260+1,"000")</f>
        <v>087</v>
      </c>
      <c r="B263" s="729"/>
      <c r="C263" s="8"/>
      <c r="D263" s="729"/>
      <c r="E263" s="8"/>
      <c r="F263" s="200" t="str">
        <f>"WP-"&amp;A263</f>
        <v>WP-087</v>
      </c>
      <c r="G263" s="200">
        <f>+INDEX(WP!$A:$AN,MATCH(F263,WP!$B:$B,0),MATCH("ID",WP!$A$2:$AN$2,0))</f>
        <v>400096</v>
      </c>
      <c r="I263" s="8"/>
      <c r="J263" s="180" t="s">
        <v>10762</v>
      </c>
      <c r="K263" s="201">
        <f>+INDEX(WP!$A:$AN,MATCH(F263,WP!$B:$B,0),14)</f>
        <v>5</v>
      </c>
      <c r="L263" s="202">
        <f>+INDEX(WP!$A:$AN,MATCH(F263,WP!$B:$B,0),15)</f>
        <v>150</v>
      </c>
      <c r="M263" s="202">
        <f>+INDEX(WP!$A:$AN,MATCH(F263,WP!$B:$B,0),16)</f>
        <v>90</v>
      </c>
      <c r="N263" s="202" t="e" vm="381">
        <f>IFERROR(_xlfn.IMAGE("https://natalie.tf/wp-content/uploads/2023/11/DLV3_Icon_Affinity_"&amp;O263&amp;".png"),"")</f>
        <v>#VALUE!</v>
      </c>
      <c r="O263" s="203" t="str">
        <f>+INDEX(WP!$A:$AN,MATCH(F263,WP!$B:$B,0),17)</f>
        <v>Dragon</v>
      </c>
      <c r="P263" s="8" t="e" vm="14">
        <f>_xlfn.IMAGE("https://natalie.tf/wp-content/uploads/2023/10/DLV3_Icon_Ability_"&amp;INDEX('WP-A'!$A$1:$Z$498,MATCH('WP-Print'!Q263,'WP-A'!$A:$A,0),MATCH("Icon",'WP-A'!$A$1:$Z$1,0))&amp;".png")</f>
        <v>#VALUE!</v>
      </c>
      <c r="Q263" s="231" t="str">
        <f>+INDEX(WP!$A:$AN,MATCH(F263,WP!$B:$B,0),MATCH("Ability V3",WP!$A$2:$AN$2,0))</f>
        <v>Dragon Damage +18%</v>
      </c>
      <c r="R263" s="735"/>
    </row>
    <row r="264" spans="1:18" ht="7.5" customHeight="1" x14ac:dyDescent="0.2">
      <c r="A264" t="s">
        <v>10763</v>
      </c>
    </row>
    <row r="265" spans="1:18" ht="22.5" customHeight="1" x14ac:dyDescent="0.2">
      <c r="B265" s="729" t="e" vm="499">
        <f>_xlfn.IMAGE("https://natalie.tf/wp-content/uploads/2023/10/DLV3_Icon_WP_"&amp;G266&amp;"_01.png")</f>
        <v>#VALUE!</v>
      </c>
      <c r="D265" s="730" t="e" vm="500">
        <f>_xlfn.IMAGE("https://natalie.tf/wp-content/uploads/2023/10/DLV3_Icon_WP_"&amp;G266&amp;"_02.png")</f>
        <v>#VALUE!</v>
      </c>
      <c r="F265" s="717" t="str">
        <f>+INDEX(WP!$A:$AN,MATCH(F266,WP!$B:$B,0),MATCH("Name",WP!$A$2:$AN$2,0))</f>
        <v>Indelible Summer</v>
      </c>
      <c r="G265" s="718"/>
      <c r="H265" s="719"/>
      <c r="J265" s="180" t="s">
        <v>10761</v>
      </c>
      <c r="K265" s="201">
        <f>+INDEX(WP!$A:$AN,MATCH(F266,WP!$B:$B,0),5)</f>
        <v>5</v>
      </c>
      <c r="L265" s="202">
        <f>+INDEX(WP!$A:$AN,MATCH(F266,WP!$B:$B,0),6)</f>
        <v>94</v>
      </c>
      <c r="M265" s="202">
        <f>+INDEX(WP!$A:$AN,MATCH(F266,WP!$B:$B,0),7)</f>
        <v>26</v>
      </c>
      <c r="N265" s="202" t="e" vm="338">
        <f>IFERROR(_xlfn.IMAGE("https://natalie.tf/wp-content/uploads/2023/11/DLV3_Icon_Affinity_"&amp;O265&amp;".png"),"")</f>
        <v>#VALUE!</v>
      </c>
      <c r="O265" s="203" t="str">
        <f>IF(INDEX(WP!$A:$AN,MATCH(F266,WP!$B:$B,0),8)=0,"None",INDEX(WP!$A:$AN,MATCH(F266,WP!$B:$B,0),8))</f>
        <v>Wolf</v>
      </c>
      <c r="P265" s="8" t="e" vm="453">
        <f>_xlfn.IMAGE("https://natalie.tf/wp-content/uploads/2023/10/DLV3_Icon_Ability_"&amp;INDEX('WP-A'!$A$1:$Z$498,MATCH('WP-Print'!Q265,'WP-A'!$A:$A,0),MATCH("Icon",'WP-A'!$A$1:$Z$1,0))&amp;".png")</f>
        <v>#VALUE!</v>
      </c>
      <c r="Q265" s="231" t="str">
        <f>+INDEX(WP!$A:$AN,MATCH(F266,WP!$B:$B,0),MATCH("Ability",WP!$A$2:$AN$2,0))</f>
        <v>(Water) Affliction Guard III</v>
      </c>
      <c r="R265" s="734" t="str">
        <f>+INDEX(WP!$A:$AN,MATCH(F266,WP!$B:$B,0),MATCH("Obtain From",WP!$A$2:$AN$2,0))</f>
        <v>Clear Windmaul Ruins: Beginner (Elemental Ruins)</v>
      </c>
    </row>
    <row r="266" spans="1:18" ht="22.5" customHeight="1" x14ac:dyDescent="0.2">
      <c r="A266" s="204" t="str">
        <f>TEXT(A263+1,"000")</f>
        <v>088</v>
      </c>
      <c r="B266" s="729"/>
      <c r="C266" s="8"/>
      <c r="D266" s="729"/>
      <c r="E266" s="8"/>
      <c r="F266" s="200" t="str">
        <f>"WP-"&amp;A266</f>
        <v>WP-088</v>
      </c>
      <c r="G266" s="200">
        <f>+INDEX(WP!$A:$AN,MATCH(F266,WP!$B:$B,0),MATCH("ID",WP!$A$2:$AN$2,0))</f>
        <v>400334</v>
      </c>
      <c r="I266" s="8"/>
      <c r="J266" s="180" t="s">
        <v>10762</v>
      </c>
      <c r="K266" s="201">
        <f>+INDEX(WP!$A:$AN,MATCH(F266,WP!$B:$B,0),14)</f>
        <v>5</v>
      </c>
      <c r="L266" s="202">
        <f>+INDEX(WP!$A:$AN,MATCH(F266,WP!$B:$B,0),15)</f>
        <v>150</v>
      </c>
      <c r="M266" s="202">
        <f>+INDEX(WP!$A:$AN,MATCH(F266,WP!$B:$B,0),16)</f>
        <v>90</v>
      </c>
      <c r="N266" s="202" t="e" vm="338">
        <f>IFERROR(_xlfn.IMAGE("https://natalie.tf/wp-content/uploads/2023/11/DLV3_Icon_Affinity_"&amp;O266&amp;".png"),"")</f>
        <v>#VALUE!</v>
      </c>
      <c r="O266" s="203" t="str">
        <f>+INDEX(WP!$A:$AN,MATCH(F266,WP!$B:$B,0),17)</f>
        <v>Wolf</v>
      </c>
      <c r="P266" s="8" t="e" vm="453">
        <f>_xlfn.IMAGE("https://natalie.tf/wp-content/uploads/2023/10/DLV3_Icon_Ability_"&amp;INDEX('WP-A'!$A$1:$Z$498,MATCH('WP-Print'!Q266,'WP-A'!$A:$A,0),MATCH("Icon",'WP-A'!$A$1:$Z$1,0))&amp;".png")</f>
        <v>#VALUE!</v>
      </c>
      <c r="Q266" s="231" t="str">
        <f>+INDEX(WP!$A:$AN,MATCH(F266,WP!$B:$B,0),MATCH("Ability V3",WP!$A$2:$AN$2,0))</f>
        <v>(Water) Affliction Guard</v>
      </c>
      <c r="R266" s="735"/>
    </row>
    <row r="267" spans="1:18" ht="7.5" customHeight="1" x14ac:dyDescent="0.2">
      <c r="A267" t="s">
        <v>10763</v>
      </c>
    </row>
    <row r="268" spans="1:18" ht="22.5" customHeight="1" x14ac:dyDescent="0.2">
      <c r="B268" s="729" t="e" vm="501">
        <f>_xlfn.IMAGE("https://natalie.tf/wp-content/uploads/2023/10/DLV3_Icon_WP_"&amp;G269&amp;"_01.png")</f>
        <v>#VALUE!</v>
      </c>
      <c r="D268" s="730" t="e" vm="502">
        <f>_xlfn.IMAGE("https://natalie.tf/wp-content/uploads/2023/10/DLV3_Icon_WP_"&amp;G269&amp;"_02.png")</f>
        <v>#VALUE!</v>
      </c>
      <c r="F268" s="717" t="str">
        <f>+INDEX(WP!$A:$AN,MATCH(F269,WP!$B:$B,0),MATCH("Name",WP!$A$2:$AN$2,0))</f>
        <v>Sisters' Day Out</v>
      </c>
      <c r="G268" s="718"/>
      <c r="H268" s="719"/>
      <c r="J268" s="180" t="s">
        <v>10761</v>
      </c>
      <c r="K268" s="201">
        <f>+INDEX(WP!$A:$AN,MATCH(F269,WP!$B:$B,0),5)</f>
        <v>5</v>
      </c>
      <c r="L268" s="202">
        <f>+INDEX(WP!$A:$AN,MATCH(F269,WP!$B:$B,0),6)</f>
        <v>88</v>
      </c>
      <c r="M268" s="202">
        <f>+INDEX(WP!$A:$AN,MATCH(F269,WP!$B:$B,0),7)</f>
        <v>32</v>
      </c>
      <c r="N268" s="202" t="str">
        <f ca="1">IFERROR(_xlfn.IMAGE("https://natalie.tf/wp-content/uploads/2023/11/DLV3_Icon_Affinity_"&amp;O268&amp;".png"),"")</f>
        <v/>
      </c>
      <c r="O268" s="203" t="str">
        <f>IF(INDEX(WP!$A:$AN,MATCH(F269,WP!$B:$B,0),8)=0,"None",INDEX(WP!$A:$AN,MATCH(F269,WP!$B:$B,0),8))</f>
        <v>None</v>
      </c>
      <c r="P268" s="8" t="e" vm="411">
        <f>_xlfn.IMAGE("https://natalie.tf/wp-content/uploads/2023/10/DLV3_Icon_Ability_"&amp;INDEX('WP-A'!$A$1:$Z$498,MATCH('WP-Print'!Q268,'WP-A'!$A:$A,0),MATCH("Icon",'WP-A'!$A$1:$Z$1,0))&amp;".png")</f>
        <v>#VALUE!</v>
      </c>
      <c r="Q268" s="231" t="str">
        <f>+INDEX(WP!$A:$AN,MATCH(F269,WP!$B:$B,0),MATCH("Ability",WP!$A$2:$AN$2,0))</f>
        <v>Force Charge III</v>
      </c>
      <c r="R268" s="734" t="str">
        <f>+INDEX(WP!$A:$AN,MATCH(F269,WP!$B:$B,0),MATCH("Obtain From",WP!$A$2:$AN$2,0))</f>
        <v>Clear The Path to Mastery: Master (Flames of Reflection)</v>
      </c>
    </row>
    <row r="269" spans="1:18" ht="22.5" customHeight="1" x14ac:dyDescent="0.2">
      <c r="A269" s="204" t="str">
        <f>TEXT(A266+1,"000")</f>
        <v>089</v>
      </c>
      <c r="B269" s="729"/>
      <c r="C269" s="8"/>
      <c r="D269" s="729"/>
      <c r="E269" s="8"/>
      <c r="F269" s="200" t="str">
        <f>"WP-"&amp;A269</f>
        <v>WP-089</v>
      </c>
      <c r="G269" s="200">
        <f>+INDEX(WP!$A:$AN,MATCH(F269,WP!$B:$B,0),MATCH("ID",WP!$A$2:$AN$2,0))</f>
        <v>400243</v>
      </c>
      <c r="I269" s="8"/>
      <c r="J269" s="180" t="s">
        <v>10762</v>
      </c>
      <c r="K269" s="201">
        <f>+INDEX(WP!$A:$AN,MATCH(F269,WP!$B:$B,0),14)</f>
        <v>5</v>
      </c>
      <c r="L269" s="202">
        <f>+INDEX(WP!$A:$AN,MATCH(F269,WP!$B:$B,0),15)</f>
        <v>150</v>
      </c>
      <c r="M269" s="202">
        <f>+INDEX(WP!$A:$AN,MATCH(F269,WP!$B:$B,0),16)</f>
        <v>90</v>
      </c>
      <c r="N269" s="202" t="e" vm="340">
        <f>IFERROR(_xlfn.IMAGE("https://natalie.tf/wp-content/uploads/2023/11/DLV3_Icon_Affinity_"&amp;O269&amp;".png"),"")</f>
        <v>#VALUE!</v>
      </c>
      <c r="O269" s="203" t="str">
        <f>+INDEX(WP!$A:$AN,MATCH(F269,WP!$B:$B,0),17)</f>
        <v>Lance</v>
      </c>
      <c r="P269" s="8" t="e" vm="411">
        <f>_xlfn.IMAGE("https://natalie.tf/wp-content/uploads/2023/10/DLV3_Icon_Ability_"&amp;INDEX('WP-A'!$A$1:$Z$498,MATCH('WP-Print'!Q269,'WP-A'!$A:$A,0),MATCH("Icon",'WP-A'!$A$1:$Z$1,0))&amp;".png")</f>
        <v>#VALUE!</v>
      </c>
      <c r="Q269" s="231" t="str">
        <f>+INDEX(WP!$A:$AN,MATCH(F269,WP!$B:$B,0),MATCH("Ability V3",WP!$A$2:$AN$2,0))</f>
        <v>Force Charge III</v>
      </c>
      <c r="R269" s="735"/>
    </row>
    <row r="270" spans="1:18" ht="7.5" customHeight="1" x14ac:dyDescent="0.2">
      <c r="A270" t="s">
        <v>10763</v>
      </c>
    </row>
    <row r="271" spans="1:18" ht="22.5" customHeight="1" x14ac:dyDescent="0.2">
      <c r="B271" s="729" t="e" vm="503">
        <f>_xlfn.IMAGE("https://natalie.tf/wp-content/uploads/2023/10/DLV3_Icon_WP_"&amp;G272&amp;"_01.png")</f>
        <v>#VALUE!</v>
      </c>
      <c r="D271" s="730" t="e" vm="504">
        <f>_xlfn.IMAGE("https://natalie.tf/wp-content/uploads/2023/10/DLV3_Icon_WP_"&amp;G272&amp;"_02.png")</f>
        <v>#VALUE!</v>
      </c>
      <c r="F271" s="717" t="str">
        <f>+INDEX(WP!$A:$AN,MATCH(F272,WP!$B:$B,0),MATCH("Name",WP!$A$2:$AN$2,0))</f>
        <v>The Dragon Smiths</v>
      </c>
      <c r="G271" s="718"/>
      <c r="H271" s="719"/>
      <c r="J271" s="180" t="s">
        <v>10761</v>
      </c>
      <c r="K271" s="201">
        <f>+INDEX(WP!$A:$AN,MATCH(F272,WP!$B:$B,0),5)</f>
        <v>5</v>
      </c>
      <c r="L271" s="202">
        <f>+INDEX(WP!$A:$AN,MATCH(F272,WP!$B:$B,0),6)</f>
        <v>77</v>
      </c>
      <c r="M271" s="202">
        <f>+INDEX(WP!$A:$AN,MATCH(F272,WP!$B:$B,0),7)</f>
        <v>25</v>
      </c>
      <c r="N271" s="202" t="str">
        <f ca="1">IFERROR(_xlfn.IMAGE("https://natalie.tf/wp-content/uploads/2023/11/DLV3_Icon_Affinity_"&amp;O271&amp;".png"),"")</f>
        <v/>
      </c>
      <c r="O271" s="203" t="str">
        <f>IF(INDEX(WP!$A:$AN,MATCH(F272,WP!$B:$B,0),8)=0,"None",INDEX(WP!$A:$AN,MATCH(F272,WP!$B:$B,0),8))</f>
        <v>None</v>
      </c>
      <c r="P271" s="8" t="e" vm="476">
        <f>_xlfn.IMAGE("https://natalie.tf/wp-content/uploads/2023/10/DLV3_Icon_Ability_"&amp;INDEX('WP-A'!$A$1:$Z$498,MATCH('WP-Print'!Q271,'WP-A'!$A:$A,0),MATCH("Icon",'WP-A'!$A$1:$Z$1,0))&amp;".png")</f>
        <v>#VALUE!</v>
      </c>
      <c r="Q271" s="231" t="str">
        <f>+INDEX(WP!$A:$AN,MATCH(F272,WP!$B:$B,0),MATCH("Ability",WP!$A$2:$AN$2,0))</f>
        <v>Healing Doublebuff III</v>
      </c>
      <c r="R271" s="734" t="str">
        <f>+INDEX(WP!$A:$AN,MATCH(F272,WP!$B:$B,0),MATCH("Obtain From",WP!$A$2:$AN$2,0))</f>
        <v>Clear A Deadly Drill (Flames of Reflection)</v>
      </c>
    </row>
    <row r="272" spans="1:18" ht="22.5" customHeight="1" x14ac:dyDescent="0.2">
      <c r="A272" s="204" t="str">
        <f>TEXT(A269+1,"000")</f>
        <v>090</v>
      </c>
      <c r="B272" s="729"/>
      <c r="C272" s="8"/>
      <c r="D272" s="729"/>
      <c r="E272" s="8"/>
      <c r="F272" s="200" t="str">
        <f>"WP-"&amp;A272</f>
        <v>WP-090</v>
      </c>
      <c r="G272" s="200">
        <f>+INDEX(WP!$A:$AN,MATCH(F272,WP!$B:$B,0),MATCH("ID",WP!$A$2:$AN$2,0))</f>
        <v>400245</v>
      </c>
      <c r="I272" s="8"/>
      <c r="J272" s="180" t="s">
        <v>10762</v>
      </c>
      <c r="K272" s="201">
        <f>+INDEX(WP!$A:$AN,MATCH(F272,WP!$B:$B,0),14)</f>
        <v>5</v>
      </c>
      <c r="L272" s="202">
        <f>+INDEX(WP!$A:$AN,MATCH(F272,WP!$B:$B,0),15)</f>
        <v>150</v>
      </c>
      <c r="M272" s="202">
        <f>+INDEX(WP!$A:$AN,MATCH(F272,WP!$B:$B,0),16)</f>
        <v>90</v>
      </c>
      <c r="N272" s="202" t="e" vm="340">
        <f>IFERROR(_xlfn.IMAGE("https://natalie.tf/wp-content/uploads/2023/11/DLV3_Icon_Affinity_"&amp;O272&amp;".png"),"")</f>
        <v>#VALUE!</v>
      </c>
      <c r="O272" s="203" t="str">
        <f>+INDEX(WP!$A:$AN,MATCH(F272,WP!$B:$B,0),17)</f>
        <v>Lance</v>
      </c>
      <c r="P272" s="8" t="e" vm="476">
        <f>_xlfn.IMAGE("https://natalie.tf/wp-content/uploads/2023/10/DLV3_Icon_Ability_"&amp;INDEX('WP-A'!$A$1:$Z$498,MATCH('WP-Print'!Q272,'WP-A'!$A:$A,0),MATCH("Icon",'WP-A'!$A$1:$Z$1,0))&amp;".png")</f>
        <v>#VALUE!</v>
      </c>
      <c r="Q272" s="231" t="str">
        <f>+INDEX(WP!$A:$AN,MATCH(F272,WP!$B:$B,0),MATCH("Ability V3",WP!$A$2:$AN$2,0))</f>
        <v>Healing Doublebuff III</v>
      </c>
      <c r="R272" s="735"/>
    </row>
    <row r="273" spans="1:18" ht="7.5" customHeight="1" x14ac:dyDescent="0.2">
      <c r="A273" t="s">
        <v>10763</v>
      </c>
    </row>
    <row r="274" spans="1:18" ht="22.5" customHeight="1" x14ac:dyDescent="0.2">
      <c r="B274" s="729" t="e" vm="505">
        <f>_xlfn.IMAGE("https://natalie.tf/wp-content/uploads/2023/10/DLV3_Icon_WP_"&amp;G275&amp;"_01.png")</f>
        <v>#VALUE!</v>
      </c>
      <c r="D274" s="730" t="e" vm="506">
        <f>_xlfn.IMAGE("https://natalie.tf/wp-content/uploads/2023/10/DLV3_Icon_WP_"&amp;G275&amp;"_02.png")</f>
        <v>#VALUE!</v>
      </c>
      <c r="F274" s="717" t="str">
        <f>+INDEX(WP!$A:$AN,MATCH(F275,WP!$B:$B,0),MATCH("Name",WP!$A$2:$AN$2,0))</f>
        <v>King of the Skies</v>
      </c>
      <c r="G274" s="718"/>
      <c r="H274" s="719"/>
      <c r="J274" s="180" t="s">
        <v>10761</v>
      </c>
      <c r="K274" s="201">
        <f>+INDEX(WP!$A:$AN,MATCH(F275,WP!$B:$B,0),5)</f>
        <v>5</v>
      </c>
      <c r="L274" s="202">
        <f>+INDEX(WP!$A:$AN,MATCH(F275,WP!$B:$B,0),6)</f>
        <v>83</v>
      </c>
      <c r="M274" s="202">
        <f>+INDEX(WP!$A:$AN,MATCH(F275,WP!$B:$B,0),7)</f>
        <v>20</v>
      </c>
      <c r="N274" s="202" t="str">
        <f ca="1">IFERROR(_xlfn.IMAGE("https://natalie.tf/wp-content/uploads/2023/11/DLV3_Icon_Affinity_"&amp;O274&amp;".png"),"")</f>
        <v/>
      </c>
      <c r="O274" s="203" t="str">
        <f>IF(INDEX(WP!$A:$AN,MATCH(F275,WP!$B:$B,0),8)=0,"None",INDEX(WP!$A:$AN,MATCH(F275,WP!$B:$B,0),8))</f>
        <v>None</v>
      </c>
      <c r="P274" s="8" t="e" vm="393">
        <f>_xlfn.IMAGE("https://natalie.tf/wp-content/uploads/2023/10/DLV3_Icon_Ability_"&amp;INDEX('WP-A'!$A$1:$Z$498,MATCH('WP-Print'!Q274,'WP-A'!$A:$A,0),MATCH("Icon",'WP-A'!$A$1:$Z$1,0))&amp;".png")</f>
        <v>#VALUE!</v>
      </c>
      <c r="Q274" s="231" t="str">
        <f>+INDEX(WP!$A:$AN,MATCH(F275,WP!$B:$B,0),MATCH("Ability",WP!$A$2:$AN$2,0))</f>
        <v>High Jupiter Res +25%</v>
      </c>
      <c r="R274" s="734" t="str">
        <f>+INDEX(WP!$A:$AN,MATCH(F275,WP!$B:$B,0),MATCH("Obtain From",WP!$A$2:$AN$2,0))</f>
        <v>Clear Scalding Shroom Strike (Void Battles)</v>
      </c>
    </row>
    <row r="275" spans="1:18" ht="22.5" customHeight="1" x14ac:dyDescent="0.2">
      <c r="A275" s="204" t="str">
        <f>TEXT(A272+1,"000")</f>
        <v>091</v>
      </c>
      <c r="B275" s="729"/>
      <c r="C275" s="8"/>
      <c r="D275" s="729"/>
      <c r="E275" s="8"/>
      <c r="F275" s="200" t="str">
        <f>"WP-"&amp;A275</f>
        <v>WP-091</v>
      </c>
      <c r="G275" s="200">
        <f>+INDEX(WP!$A:$AN,MATCH(F275,WP!$B:$B,0),MATCH("ID",WP!$A$2:$AN$2,0))</f>
        <v>400158</v>
      </c>
      <c r="I275" s="8"/>
      <c r="J275" s="180" t="s">
        <v>10762</v>
      </c>
      <c r="K275" s="201">
        <f>+INDEX(WP!$A:$AN,MATCH(F275,WP!$B:$B,0),14)</f>
        <v>5</v>
      </c>
      <c r="L275" s="202">
        <f>+INDEX(WP!$A:$AN,MATCH(F275,WP!$B:$B,0),15)</f>
        <v>150</v>
      </c>
      <c r="M275" s="202">
        <f>+INDEX(WP!$A:$AN,MATCH(F275,WP!$B:$B,0),16)</f>
        <v>90</v>
      </c>
      <c r="N275" s="202" t="e" vm="346">
        <f>IFERROR(_xlfn.IMAGE("https://natalie.tf/wp-content/uploads/2023/11/DLV3_Icon_Affinity_"&amp;O275&amp;".png"),"")</f>
        <v>#VALUE!</v>
      </c>
      <c r="O275" s="203" t="str">
        <f>+INDEX(WP!$A:$AN,MATCH(F275,WP!$B:$B,0),17)</f>
        <v>Bull</v>
      </c>
      <c r="P275" s="8" t="e" vm="393">
        <f>_xlfn.IMAGE("https://natalie.tf/wp-content/uploads/2023/10/DLV3_Icon_Ability_"&amp;INDEX('WP-A'!$A$1:$Z$498,MATCH('WP-Print'!Q275,'WP-A'!$A:$A,0),MATCH("Icon",'WP-A'!$A$1:$Z$1,0))&amp;".png")</f>
        <v>#VALUE!</v>
      </c>
      <c r="Q275" s="231" t="str">
        <f>+INDEX(WP!$A:$AN,MATCH(F275,WP!$B:$B,0),MATCH("Ability V3",WP!$A$2:$AN$2,0))</f>
        <v>High Jupiter Res +25%</v>
      </c>
      <c r="R275" s="735"/>
    </row>
    <row r="276" spans="1:18" ht="7.5" customHeight="1" x14ac:dyDescent="0.2">
      <c r="A276" t="s">
        <v>10763</v>
      </c>
    </row>
    <row r="277" spans="1:18" ht="22.5" customHeight="1" x14ac:dyDescent="0.2">
      <c r="B277" s="729" t="e" vm="507">
        <f>_xlfn.IMAGE("https://natalie.tf/wp-content/uploads/2023/10/DLV3_Icon_WP_"&amp;G278&amp;"_01.png")</f>
        <v>#VALUE!</v>
      </c>
      <c r="D277" s="730" t="e" vm="508">
        <f>_xlfn.IMAGE("https://natalie.tf/wp-content/uploads/2023/10/DLV3_Icon_WP_"&amp;G278&amp;"_02.png")</f>
        <v>#VALUE!</v>
      </c>
      <c r="F277" s="717" t="str">
        <f>+INDEX(WP!$A:$AN,MATCH(F278,WP!$B:$B,0),MATCH("Name",WP!$A$2:$AN$2,0))</f>
        <v>Summer Paladyns</v>
      </c>
      <c r="G277" s="718"/>
      <c r="H277" s="719"/>
      <c r="J277" s="180" t="s">
        <v>10761</v>
      </c>
      <c r="K277" s="201">
        <f>+INDEX(WP!$A:$AN,MATCH(F278,WP!$B:$B,0),5)</f>
        <v>5</v>
      </c>
      <c r="L277" s="202">
        <f>+INDEX(WP!$A:$AN,MATCH(F278,WP!$B:$B,0),6)</f>
        <v>88</v>
      </c>
      <c r="M277" s="202">
        <f>+INDEX(WP!$A:$AN,MATCH(F278,WP!$B:$B,0),7)</f>
        <v>32</v>
      </c>
      <c r="N277" s="202" t="str">
        <f ca="1">IFERROR(_xlfn.IMAGE("https://natalie.tf/wp-content/uploads/2023/11/DLV3_Icon_Affinity_"&amp;O277&amp;".png"),"")</f>
        <v/>
      </c>
      <c r="O277" s="203" t="str">
        <f>IF(INDEX(WP!$A:$AN,MATCH(F278,WP!$B:$B,0),8)=0,"None",INDEX(WP!$A:$AN,MATCH(F278,WP!$B:$B,0),8))</f>
        <v>None</v>
      </c>
      <c r="P277" s="8" t="e" vm="322">
        <f>_xlfn.IMAGE("https://natalie.tf/wp-content/uploads/2023/10/DLV3_Icon_Ability_"&amp;INDEX('WP-A'!$A$1:$Z$498,MATCH('WP-Print'!Q277,'WP-A'!$A:$A,0),MATCH("Icon",'WP-A'!$A$1:$Z$1,0))&amp;".png")</f>
        <v>#VALUE!</v>
      </c>
      <c r="Q277" s="231" t="str">
        <f>+INDEX(WP!$A:$AN,MATCH(F278,WP!$B:$B,0),MATCH("Ability",WP!$A$2:$AN$2,0))</f>
        <v>(Axe) Skill Damage +40%</v>
      </c>
      <c r="R277" s="734" t="str">
        <f>+INDEX(WP!$A:$AN,MATCH(F278,WP!$B:$B,0),MATCH("Obtain From",WP!$A$2:$AN$2,0))</f>
        <v>Clear Barbary Clash: Nightmare (A Splash of Adventure)</v>
      </c>
    </row>
    <row r="278" spans="1:18" ht="22.5" customHeight="1" x14ac:dyDescent="0.2">
      <c r="A278" s="204" t="str">
        <f>TEXT(A275+1,"000")</f>
        <v>092</v>
      </c>
      <c r="B278" s="729"/>
      <c r="C278" s="8"/>
      <c r="D278" s="729"/>
      <c r="E278" s="8"/>
      <c r="F278" s="200" t="str">
        <f>"WP-"&amp;A278</f>
        <v>WP-092</v>
      </c>
      <c r="G278" s="200">
        <f>+INDEX(WP!$A:$AN,MATCH(F278,WP!$B:$B,0),MATCH("ID",WP!$A$2:$AN$2,0))</f>
        <v>400098</v>
      </c>
      <c r="I278" s="8"/>
      <c r="J278" s="180" t="s">
        <v>10762</v>
      </c>
      <c r="K278" s="201">
        <f>+INDEX(WP!$A:$AN,MATCH(F278,WP!$B:$B,0),14)</f>
        <v>5</v>
      </c>
      <c r="L278" s="202">
        <f>+INDEX(WP!$A:$AN,MATCH(F278,WP!$B:$B,0),15)</f>
        <v>150</v>
      </c>
      <c r="M278" s="202">
        <f>+INDEX(WP!$A:$AN,MATCH(F278,WP!$B:$B,0),16)</f>
        <v>90</v>
      </c>
      <c r="N278" s="202" t="e" vm="343">
        <f>IFERROR(_xlfn.IMAGE("https://natalie.tf/wp-content/uploads/2023/11/DLV3_Icon_Affinity_"&amp;O278&amp;".png"),"")</f>
        <v>#VALUE!</v>
      </c>
      <c r="O278" s="203" t="str">
        <f>+INDEX(WP!$A:$AN,MATCH(F278,WP!$B:$B,0),17)</f>
        <v>Axe</v>
      </c>
      <c r="P278" s="8" t="e" vm="322">
        <f>_xlfn.IMAGE("https://natalie.tf/wp-content/uploads/2023/10/DLV3_Icon_Ability_"&amp;INDEX('WP-A'!$A$1:$Z$498,MATCH('WP-Print'!Q278,'WP-A'!$A:$A,0),MATCH("Icon",'WP-A'!$A$1:$Z$1,0))&amp;".png")</f>
        <v>#VALUE!</v>
      </c>
      <c r="Q278" s="231" t="str">
        <f>+INDEX(WP!$A:$AN,MATCH(F278,WP!$B:$B,0),MATCH("Ability V3",WP!$A$2:$AN$2,0))</f>
        <v>(Axe) Skill Damage +40%</v>
      </c>
      <c r="R278" s="735"/>
    </row>
    <row r="279" spans="1:18" ht="7.5" customHeight="1" x14ac:dyDescent="0.2">
      <c r="A279" t="s">
        <v>10763</v>
      </c>
    </row>
    <row r="280" spans="1:18" ht="22.5" customHeight="1" x14ac:dyDescent="0.2">
      <c r="B280" s="729" t="e" vm="509">
        <f>_xlfn.IMAGE("https://natalie.tf/wp-content/uploads/2023/10/DLV3_Icon_WP_"&amp;G281&amp;"_01.png")</f>
        <v>#VALUE!</v>
      </c>
      <c r="D280" s="730" t="e" vm="510">
        <f>_xlfn.IMAGE("https://natalie.tf/wp-content/uploads/2023/10/DLV3_Icon_WP_"&amp;G281&amp;"_02.png")</f>
        <v>#VALUE!</v>
      </c>
      <c r="F280" s="717" t="str">
        <f>+INDEX(WP!$A:$AN,MATCH(F281,WP!$B:$B,0),MATCH("Name",WP!$A$2:$AN$2,0))</f>
        <v>Seaside Princess</v>
      </c>
      <c r="G280" s="718"/>
      <c r="H280" s="719"/>
      <c r="J280" s="180" t="s">
        <v>10761</v>
      </c>
      <c r="K280" s="201">
        <f>+INDEX(WP!$A:$AN,MATCH(F281,WP!$B:$B,0),5)</f>
        <v>5</v>
      </c>
      <c r="L280" s="202">
        <f>+INDEX(WP!$A:$AN,MATCH(F281,WP!$B:$B,0),6)</f>
        <v>88</v>
      </c>
      <c r="M280" s="202">
        <f>+INDEX(WP!$A:$AN,MATCH(F281,WP!$B:$B,0),7)</f>
        <v>32</v>
      </c>
      <c r="N280" s="202" t="str">
        <f ca="1">IFERROR(_xlfn.IMAGE("https://natalie.tf/wp-content/uploads/2023/11/DLV3_Icon_Affinity_"&amp;O280&amp;".png"),"")</f>
        <v/>
      </c>
      <c r="O280" s="203" t="str">
        <f>IF(INDEX(WP!$A:$AN,MATCH(F281,WP!$B:$B,0),8)=0,"None",INDEX(WP!$A:$AN,MATCH(F281,WP!$B:$B,0),8))</f>
        <v>None</v>
      </c>
      <c r="P280" s="8" t="e" vm="414">
        <f>_xlfn.IMAGE("https://natalie.tf/wp-content/uploads/2023/10/DLV3_Icon_Ability_"&amp;INDEX('WP-A'!$A$1:$Z$498,MATCH('WP-Print'!Q280,'WP-A'!$A:$A,0),MATCH("Icon",'WP-A'!$A$1:$Z$1,0))&amp;".png")</f>
        <v>#VALUE!</v>
      </c>
      <c r="Q280" s="231" t="str">
        <f>+INDEX(WP!$A:$AN,MATCH(F281,WP!$B:$B,0),MATCH("Ability",WP!$A$2:$AN$2,0))</f>
        <v>Critical Damage +20%</v>
      </c>
      <c r="R280" s="734" t="str">
        <f>+INDEX(WP!$A:$AN,MATCH(F281,WP!$B:$B,0),MATCH("Obtain From",WP!$A$2:$AN$2,0))</f>
        <v>Clear A Fiendish Performance: Expert (A Crescendo of Courage)</v>
      </c>
    </row>
    <row r="281" spans="1:18" ht="22.5" customHeight="1" x14ac:dyDescent="0.2">
      <c r="A281" s="204" t="str">
        <f>TEXT(A278+1,"000")</f>
        <v>093</v>
      </c>
      <c r="B281" s="729"/>
      <c r="C281" s="8"/>
      <c r="D281" s="729"/>
      <c r="E281" s="8"/>
      <c r="F281" s="200" t="str">
        <f>"WP-"&amp;A281</f>
        <v>WP-093</v>
      </c>
      <c r="G281" s="200">
        <f>+INDEX(WP!$A:$AN,MATCH(F281,WP!$B:$B,0),MATCH("ID",WP!$A$2:$AN$2,0))</f>
        <v>400338</v>
      </c>
      <c r="I281" s="8"/>
      <c r="J281" s="180" t="s">
        <v>10762</v>
      </c>
      <c r="K281" s="201">
        <f>+INDEX(WP!$A:$AN,MATCH(F281,WP!$B:$B,0),14)</f>
        <v>5</v>
      </c>
      <c r="L281" s="202">
        <f>+INDEX(WP!$A:$AN,MATCH(F281,WP!$B:$B,0),15)</f>
        <v>150</v>
      </c>
      <c r="M281" s="202">
        <f>+INDEX(WP!$A:$AN,MATCH(F281,WP!$B:$B,0),16)</f>
        <v>90</v>
      </c>
      <c r="N281" s="202" t="e" vm="340">
        <f>IFERROR(_xlfn.IMAGE("https://natalie.tf/wp-content/uploads/2023/11/DLV3_Icon_Affinity_"&amp;O281&amp;".png"),"")</f>
        <v>#VALUE!</v>
      </c>
      <c r="O281" s="203" t="str">
        <f>+INDEX(WP!$A:$AN,MATCH(F281,WP!$B:$B,0),17)</f>
        <v>Lance</v>
      </c>
      <c r="P281" s="8" t="e" vm="414">
        <f>_xlfn.IMAGE("https://natalie.tf/wp-content/uploads/2023/10/DLV3_Icon_Ability_"&amp;INDEX('WP-A'!$A$1:$Z$498,MATCH('WP-Print'!Q281,'WP-A'!$A:$A,0),MATCH("Icon",'WP-A'!$A$1:$Z$1,0))&amp;".png")</f>
        <v>#VALUE!</v>
      </c>
      <c r="Q281" s="231" t="str">
        <f>+INDEX(WP!$A:$AN,MATCH(F281,WP!$B:$B,0),MATCH("Ability V3",WP!$A$2:$AN$2,0))</f>
        <v>Critical Damage +20%</v>
      </c>
      <c r="R281" s="735"/>
    </row>
    <row r="282" spans="1:18" ht="7.5" customHeight="1" x14ac:dyDescent="0.2">
      <c r="A282" t="s">
        <v>10763</v>
      </c>
    </row>
    <row r="283" spans="1:18" ht="22.5" customHeight="1" x14ac:dyDescent="0.2">
      <c r="B283" s="729" t="e" vm="511">
        <f>_xlfn.IMAGE("https://natalie.tf/wp-content/uploads/2023/10/DLV3_Icon_WP_"&amp;G284&amp;"_01.png")</f>
        <v>#VALUE!</v>
      </c>
      <c r="D283" s="730" t="e" vm="512">
        <f>_xlfn.IMAGE("https://natalie.tf/wp-content/uploads/2023/10/DLV3_Icon_WP_"&amp;G284&amp;"_02.png")</f>
        <v>#VALUE!</v>
      </c>
      <c r="F283" s="717" t="str">
        <f>+INDEX(WP!$A:$AN,MATCH(F284,WP!$B:$B,0),MATCH("Name",WP!$A$2:$AN$2,0))</f>
        <v>Surfing Siblings</v>
      </c>
      <c r="G283" s="718"/>
      <c r="H283" s="719"/>
      <c r="J283" s="180" t="s">
        <v>10761</v>
      </c>
      <c r="K283" s="201">
        <f>+INDEX(WP!$A:$AN,MATCH(F284,WP!$B:$B,0),5)</f>
        <v>5</v>
      </c>
      <c r="L283" s="202">
        <f>+INDEX(WP!$A:$AN,MATCH(F284,WP!$B:$B,0),6)</f>
        <v>75</v>
      </c>
      <c r="M283" s="202">
        <f>+INDEX(WP!$A:$AN,MATCH(F284,WP!$B:$B,0),7)</f>
        <v>27</v>
      </c>
      <c r="N283" s="202" t="str">
        <f ca="1">IFERROR(_xlfn.IMAGE("https://natalie.tf/wp-content/uploads/2023/11/DLV3_Icon_Affinity_"&amp;O283&amp;".png"),"")</f>
        <v/>
      </c>
      <c r="O283" s="203" t="str">
        <f>IF(INDEX(WP!$A:$AN,MATCH(F284,WP!$B:$B,0),8)=0,"None",INDEX(WP!$A:$AN,MATCH(F284,WP!$B:$B,0),8))</f>
        <v>None</v>
      </c>
      <c r="P283" s="8" t="e" vm="414">
        <f>_xlfn.IMAGE("https://natalie.tf/wp-content/uploads/2023/10/DLV3_Icon_Ability_"&amp;INDEX('WP-A'!$A$1:$Z$498,MATCH('WP-Print'!Q283,'WP-A'!$A:$A,0),MATCH("Icon",'WP-A'!$A$1:$Z$1,0))&amp;".png")</f>
        <v>#VALUE!</v>
      </c>
      <c r="Q283" s="231" t="str">
        <f>+INDEX(WP!$A:$AN,MATCH(F284,WP!$B:$B,0),MATCH("Ability",WP!$A$2:$AN$2,0))</f>
        <v>Full HP = Critical Damage +22%</v>
      </c>
      <c r="R283" s="734" t="str">
        <f>+INDEX(WP!$A:$AN,MATCH(F284,WP!$B:$B,0),MATCH("Obtain From",WP!$A$2:$AN$2,0))</f>
        <v>Clear A Fiendish Performance: Beginner (A Crescendo of Courage)</v>
      </c>
    </row>
    <row r="284" spans="1:18" ht="22.5" customHeight="1" x14ac:dyDescent="0.2">
      <c r="A284" s="204" t="str">
        <f>TEXT(A281+1,"000")</f>
        <v>094</v>
      </c>
      <c r="B284" s="729"/>
      <c r="C284" s="8"/>
      <c r="D284" s="729"/>
      <c r="E284" s="8"/>
      <c r="F284" s="200" t="str">
        <f>"WP-"&amp;A284</f>
        <v>WP-094</v>
      </c>
      <c r="G284" s="200">
        <f>+INDEX(WP!$A:$AN,MATCH(F284,WP!$B:$B,0),MATCH("ID",WP!$A$2:$AN$2,0))</f>
        <v>400340</v>
      </c>
      <c r="I284" s="8"/>
      <c r="J284" s="180" t="s">
        <v>10762</v>
      </c>
      <c r="K284" s="201">
        <f>+INDEX(WP!$A:$AN,MATCH(F284,WP!$B:$B,0),14)</f>
        <v>5</v>
      </c>
      <c r="L284" s="202">
        <f>+INDEX(WP!$A:$AN,MATCH(F284,WP!$B:$B,0),15)</f>
        <v>150</v>
      </c>
      <c r="M284" s="202">
        <f>+INDEX(WP!$A:$AN,MATCH(F284,WP!$B:$B,0),16)</f>
        <v>90</v>
      </c>
      <c r="N284" s="202" t="e" vm="342">
        <f>IFERROR(_xlfn.IMAGE("https://natalie.tf/wp-content/uploads/2023/11/DLV3_Icon_Affinity_"&amp;O284&amp;".png"),"")</f>
        <v>#VALUE!</v>
      </c>
      <c r="O284" s="203" t="str">
        <f>+INDEX(WP!$A:$AN,MATCH(F284,WP!$B:$B,0),17)</f>
        <v>Bow</v>
      </c>
      <c r="P284" s="8" t="e" vm="414">
        <f>_xlfn.IMAGE("https://natalie.tf/wp-content/uploads/2023/10/DLV3_Icon_Ability_"&amp;INDEX('WP-A'!$A$1:$Z$498,MATCH('WP-Print'!Q284,'WP-A'!$A:$A,0),MATCH("Icon",'WP-A'!$A$1:$Z$1,0))&amp;".png")</f>
        <v>#VALUE!</v>
      </c>
      <c r="Q284" s="231" t="str">
        <f>+INDEX(WP!$A:$AN,MATCH(F284,WP!$B:$B,0),MATCH("Ability V3",WP!$A$2:$AN$2,0))</f>
        <v>Critical Damage +20%</v>
      </c>
      <c r="R284" s="735"/>
    </row>
    <row r="285" spans="1:18" ht="7.5" customHeight="1" x14ac:dyDescent="0.2">
      <c r="A285" t="s">
        <v>10763</v>
      </c>
    </row>
    <row r="286" spans="1:18" ht="22.5" customHeight="1" x14ac:dyDescent="0.2">
      <c r="B286" s="729" t="e" vm="513">
        <f>_xlfn.IMAGE("https://natalie.tf/wp-content/uploads/2023/10/DLV3_Icon_WP_"&amp;G287&amp;"_01.png")</f>
        <v>#VALUE!</v>
      </c>
      <c r="D286" s="730" t="e" vm="514">
        <f>_xlfn.IMAGE("https://natalie.tf/wp-content/uploads/2023/10/DLV3_Icon_WP_"&amp;G287&amp;"_02.png")</f>
        <v>#VALUE!</v>
      </c>
      <c r="F286" s="717" t="str">
        <f>+INDEX(WP!$A:$AN,MATCH(F287,WP!$B:$B,0),MATCH("Name",WP!$A$2:$AN$2,0))</f>
        <v>Twinfold Bonds</v>
      </c>
      <c r="G286" s="718"/>
      <c r="H286" s="719"/>
      <c r="J286" s="180" t="s">
        <v>10761</v>
      </c>
      <c r="K286" s="201">
        <f>+INDEX(WP!$A:$AN,MATCH(F287,WP!$B:$B,0),5)</f>
        <v>5</v>
      </c>
      <c r="L286" s="202">
        <f>+INDEX(WP!$A:$AN,MATCH(F287,WP!$B:$B,0),6)</f>
        <v>88</v>
      </c>
      <c r="M286" s="202">
        <f>+INDEX(WP!$A:$AN,MATCH(F287,WP!$B:$B,0),7)</f>
        <v>32</v>
      </c>
      <c r="N286" s="202" t="str">
        <f ca="1">IFERROR(_xlfn.IMAGE("https://natalie.tf/wp-content/uploads/2023/11/DLV3_Icon_Affinity_"&amp;O286&amp;".png"),"")</f>
        <v/>
      </c>
      <c r="O286" s="203" t="str">
        <f>IF(INDEX(WP!$A:$AN,MATCH(F287,WP!$B:$B,0),8)=0,"None",INDEX(WP!$A:$AN,MATCH(F287,WP!$B:$B,0),8))</f>
        <v>None</v>
      </c>
      <c r="P286" s="8" t="e" vm="322">
        <f>_xlfn.IMAGE("https://natalie.tf/wp-content/uploads/2023/10/DLV3_Icon_Ability_"&amp;INDEX('WP-A'!$A$1:$Z$498,MATCH('WP-Print'!Q286,'WP-A'!$A:$A,0),MATCH("Icon",'WP-A'!$A$1:$Z$1,0))&amp;".png")</f>
        <v>#VALUE!</v>
      </c>
      <c r="Q286" s="231" t="str">
        <f>+INDEX(WP!$A:$AN,MATCH(F287,WP!$B:$B,0),MATCH("Ability",WP!$A$2:$AN$2,0))</f>
        <v>(Dagger) Skill Damage +40%</v>
      </c>
      <c r="R286" s="734" t="str">
        <f>+INDEX(WP!$A:$AN,MATCH(F287,WP!$B:$B,0),MATCH("Obtain From",WP!$A$2:$AN$2,0))</f>
        <v>Obtain From Ch. 07 EX 2 Chest (Hard) (Non-Endeavor)</v>
      </c>
    </row>
    <row r="287" spans="1:18" ht="22.5" customHeight="1" x14ac:dyDescent="0.2">
      <c r="A287" s="204" t="str">
        <f>TEXT(A284+1,"000")</f>
        <v>095</v>
      </c>
      <c r="B287" s="729"/>
      <c r="C287" s="8"/>
      <c r="D287" s="729"/>
      <c r="E287" s="8"/>
      <c r="F287" s="200" t="str">
        <f>"WP-"&amp;A287</f>
        <v>WP-095</v>
      </c>
      <c r="G287" s="200">
        <f>+INDEX(WP!$A:$AN,MATCH(F287,WP!$B:$B,0),MATCH("ID",WP!$A$2:$AN$2,0))</f>
        <v>400097</v>
      </c>
      <c r="I287" s="8"/>
      <c r="J287" s="180" t="s">
        <v>10762</v>
      </c>
      <c r="K287" s="201">
        <f>+INDEX(WP!$A:$AN,MATCH(F287,WP!$B:$B,0),14)</f>
        <v>5</v>
      </c>
      <c r="L287" s="202">
        <f>+INDEX(WP!$A:$AN,MATCH(F287,WP!$B:$B,0),15)</f>
        <v>150</v>
      </c>
      <c r="M287" s="202">
        <f>+INDEX(WP!$A:$AN,MATCH(F287,WP!$B:$B,0),16)</f>
        <v>90</v>
      </c>
      <c r="N287" s="202" t="e" vm="381">
        <f>IFERROR(_xlfn.IMAGE("https://natalie.tf/wp-content/uploads/2023/11/DLV3_Icon_Affinity_"&amp;O287&amp;".png"),"")</f>
        <v>#VALUE!</v>
      </c>
      <c r="O287" s="203" t="str">
        <f>+INDEX(WP!$A:$AN,MATCH(F287,WP!$B:$B,0),17)</f>
        <v>Dragon</v>
      </c>
      <c r="P287" s="8" t="e" vm="322">
        <f>_xlfn.IMAGE("https://natalie.tf/wp-content/uploads/2023/10/DLV3_Icon_Ability_"&amp;INDEX('WP-A'!$A$1:$Z$498,MATCH('WP-Print'!Q287,'WP-A'!$A:$A,0),MATCH("Icon",'WP-A'!$A$1:$Z$1,0))&amp;".png")</f>
        <v>#VALUE!</v>
      </c>
      <c r="Q287" s="231" t="str">
        <f>+INDEX(WP!$A:$AN,MATCH(F287,WP!$B:$B,0),MATCH("Ability V3",WP!$A$2:$AN$2,0))</f>
        <v>(Dagger) Skill Damage +40%</v>
      </c>
      <c r="R287" s="735"/>
    </row>
    <row r="288" spans="1:18" ht="7.5" customHeight="1" x14ac:dyDescent="0.2">
      <c r="A288" t="s">
        <v>10763</v>
      </c>
    </row>
    <row r="289" spans="1:18" ht="22.5" customHeight="1" x14ac:dyDescent="0.2">
      <c r="B289" s="729" t="e" vm="515">
        <f>_xlfn.IMAGE("https://natalie.tf/wp-content/uploads/2023/10/DLV3_Icon_WP_"&amp;G290&amp;"_01.png")</f>
        <v>#VALUE!</v>
      </c>
      <c r="D289" s="730" t="e" vm="516">
        <f>_xlfn.IMAGE("https://natalie.tf/wp-content/uploads/2023/10/DLV3_Icon_WP_"&amp;G290&amp;"_02.png")</f>
        <v>#VALUE!</v>
      </c>
      <c r="F289" s="717" t="str">
        <f>+INDEX(WP!$A:$AN,MATCH(F290,WP!$B:$B,0),MATCH("Name",WP!$A$2:$AN$2,0))</f>
        <v>Castle Cheer Corps</v>
      </c>
      <c r="G289" s="718"/>
      <c r="H289" s="719"/>
      <c r="J289" s="180" t="s">
        <v>10761</v>
      </c>
      <c r="K289" s="201">
        <f>+INDEX(WP!$A:$AN,MATCH(F290,WP!$B:$B,0),5)</f>
        <v>5</v>
      </c>
      <c r="L289" s="202">
        <f>+INDEX(WP!$A:$AN,MATCH(F290,WP!$B:$B,0),6)</f>
        <v>89</v>
      </c>
      <c r="M289" s="202">
        <f>+INDEX(WP!$A:$AN,MATCH(F290,WP!$B:$B,0),7)</f>
        <v>31</v>
      </c>
      <c r="N289" s="202" t="e" vm="342">
        <f>IFERROR(_xlfn.IMAGE("https://natalie.tf/wp-content/uploads/2023/11/DLV3_Icon_Affinity_"&amp;O289&amp;".png"),"")</f>
        <v>#VALUE!</v>
      </c>
      <c r="O289" s="203" t="str">
        <f>IF(INDEX(WP!$A:$AN,MATCH(F290,WP!$B:$B,0),8)=0,"None",INDEX(WP!$A:$AN,MATCH(F290,WP!$B:$B,0),8))</f>
        <v>Bow</v>
      </c>
      <c r="P289" s="8" t="e" vm="411">
        <f>_xlfn.IMAGE("https://natalie.tf/wp-content/uploads/2023/10/DLV3_Icon_Ability_"&amp;INDEX('WP-A'!$A$1:$Z$498,MATCH('WP-Print'!Q289,'WP-A'!$A:$A,0),MATCH("Icon",'WP-A'!$A$1:$Z$1,0))&amp;".png")</f>
        <v>#VALUE!</v>
      </c>
      <c r="Q289" s="231" t="str">
        <f>+INDEX(WP!$A:$AN,MATCH(F290,WP!$B:$B,0),MATCH("Ability",WP!$A$2:$AN$2,0))</f>
        <v>Force Charge III</v>
      </c>
      <c r="R289" s="734" t="str">
        <f>+INDEX(WP!$A:$AN,MATCH(F290,WP!$B:$B,0),MATCH("Obtain From",WP!$A$2:$AN$2,0))</f>
        <v>Clear Avenue to Fortune Three Times</v>
      </c>
    </row>
    <row r="290" spans="1:18" ht="22.5" customHeight="1" x14ac:dyDescent="0.2">
      <c r="A290" s="204" t="str">
        <f>TEXT(A287+1,"000")</f>
        <v>096</v>
      </c>
      <c r="B290" s="729"/>
      <c r="C290" s="8"/>
      <c r="D290" s="729"/>
      <c r="E290" s="8"/>
      <c r="F290" s="200" t="str">
        <f>"WP-"&amp;A290</f>
        <v>WP-096</v>
      </c>
      <c r="G290" s="200">
        <f>+INDEX(WP!$A:$AN,MATCH(F290,WP!$B:$B,0),MATCH("ID",WP!$A$2:$AN$2,0))</f>
        <v>400380</v>
      </c>
      <c r="I290" s="8"/>
      <c r="J290" s="180" t="s">
        <v>10762</v>
      </c>
      <c r="K290" s="201">
        <f>+INDEX(WP!$A:$AN,MATCH(F290,WP!$B:$B,0),14)</f>
        <v>5</v>
      </c>
      <c r="L290" s="202">
        <f>+INDEX(WP!$A:$AN,MATCH(F290,WP!$B:$B,0),15)</f>
        <v>150</v>
      </c>
      <c r="M290" s="202">
        <f>+INDEX(WP!$A:$AN,MATCH(F290,WP!$B:$B,0),16)</f>
        <v>90</v>
      </c>
      <c r="N290" s="202" t="e" vm="342">
        <f>IFERROR(_xlfn.IMAGE("https://natalie.tf/wp-content/uploads/2023/11/DLV3_Icon_Affinity_"&amp;O290&amp;".png"),"")</f>
        <v>#VALUE!</v>
      </c>
      <c r="O290" s="203" t="str">
        <f>+INDEX(WP!$A:$AN,MATCH(F290,WP!$B:$B,0),17)</f>
        <v>Bow</v>
      </c>
      <c r="P290" s="8" t="e" vm="411">
        <f>_xlfn.IMAGE("https://natalie.tf/wp-content/uploads/2023/10/DLV3_Icon_Ability_"&amp;INDEX('WP-A'!$A$1:$Z$498,MATCH('WP-Print'!Q290,'WP-A'!$A:$A,0),MATCH("Icon",'WP-A'!$A$1:$Z$1,0))&amp;".png")</f>
        <v>#VALUE!</v>
      </c>
      <c r="Q290" s="231" t="str">
        <f>+INDEX(WP!$A:$AN,MATCH(F290,WP!$B:$B,0),MATCH("Ability V3",WP!$A$2:$AN$2,0))</f>
        <v>Force Charge III</v>
      </c>
      <c r="R290" s="735"/>
    </row>
    <row r="291" spans="1:18" ht="7.5" customHeight="1" x14ac:dyDescent="0.2">
      <c r="A291" t="s">
        <v>10763</v>
      </c>
    </row>
    <row r="292" spans="1:18" ht="22.5" customHeight="1" x14ac:dyDescent="0.2">
      <c r="B292" s="729" t="e" vm="517">
        <f>_xlfn.IMAGE("https://natalie.tf/wp-content/uploads/2023/10/DLV3_Icon_WP_"&amp;G293&amp;"_01.png")</f>
        <v>#VALUE!</v>
      </c>
      <c r="D292" s="730" t="e" vm="518">
        <f>_xlfn.IMAGE("https://natalie.tf/wp-content/uploads/2023/10/DLV3_Icon_WP_"&amp;G293&amp;"_02.png")</f>
        <v>#VALUE!</v>
      </c>
      <c r="F292" s="717" t="str">
        <f>+INDEX(WP!$A:$AN,MATCH(F293,WP!$B:$B,0),MATCH("Name",WP!$A$2:$AN$2,0))</f>
        <v>Ruler of Darkness</v>
      </c>
      <c r="G292" s="718"/>
      <c r="H292" s="719"/>
      <c r="J292" s="180" t="s">
        <v>10761</v>
      </c>
      <c r="K292" s="201">
        <f>+INDEX(WP!$A:$AN,MATCH(F293,WP!$B:$B,0),5)</f>
        <v>5</v>
      </c>
      <c r="L292" s="202">
        <f>+INDEX(WP!$A:$AN,MATCH(F293,WP!$B:$B,0),6)</f>
        <v>83</v>
      </c>
      <c r="M292" s="202">
        <f>+INDEX(WP!$A:$AN,MATCH(F293,WP!$B:$B,0),7)</f>
        <v>20</v>
      </c>
      <c r="N292" s="202" t="str">
        <f ca="1">IFERROR(_xlfn.IMAGE("https://natalie.tf/wp-content/uploads/2023/11/DLV3_Icon_Affinity_"&amp;O292&amp;".png"),"")</f>
        <v/>
      </c>
      <c r="O292" s="203" t="str">
        <f>IF(INDEX(WP!$A:$AN,MATCH(F293,WP!$B:$B,0),8)=0,"None",INDEX(WP!$A:$AN,MATCH(F293,WP!$B:$B,0),8))</f>
        <v>None</v>
      </c>
      <c r="P292" s="8" t="e" vm="393">
        <f>_xlfn.IMAGE("https://natalie.tf/wp-content/uploads/2023/10/DLV3_Icon_Ability_"&amp;INDEX('WP-A'!$A$1:$Z$498,MATCH('WP-Print'!Q292,'WP-A'!$A:$A,0),MATCH("Icon",'WP-A'!$A$1:$Z$1,0))&amp;".png")</f>
        <v>#VALUE!</v>
      </c>
      <c r="Q292" s="231" t="str">
        <f>+INDEX(WP!$A:$AN,MATCH(F293,WP!$B:$B,0),MATCH("Ability",WP!$A$2:$AN$2,0))</f>
        <v>High Zodiark Res +25%</v>
      </c>
      <c r="R292" s="734" t="str">
        <f>+INDEX(WP!$A:$AN,MATCH(F293,WP!$B:$B,0),MATCH("Obtain From",WP!$A$2:$AN$2,0))</f>
        <v>Clear Battle in Rovetelle Forest: Beginner (The Imperial Onslaught)</v>
      </c>
    </row>
    <row r="293" spans="1:18" ht="22.5" customHeight="1" x14ac:dyDescent="0.2">
      <c r="A293" s="204" t="str">
        <f>TEXT(A290+1,"000")</f>
        <v>097</v>
      </c>
      <c r="B293" s="729"/>
      <c r="C293" s="8"/>
      <c r="D293" s="729"/>
      <c r="E293" s="8"/>
      <c r="F293" s="200" t="str">
        <f>"WP-"&amp;A293</f>
        <v>WP-097</v>
      </c>
      <c r="G293" s="200">
        <f>+INDEX(WP!$A:$AN,MATCH(F293,WP!$B:$B,0),MATCH("ID",WP!$A$2:$AN$2,0))</f>
        <v>400382</v>
      </c>
      <c r="I293" s="8"/>
      <c r="J293" s="180" t="s">
        <v>10762</v>
      </c>
      <c r="K293" s="201">
        <f>+INDEX(WP!$A:$AN,MATCH(F293,WP!$B:$B,0),14)</f>
        <v>5</v>
      </c>
      <c r="L293" s="202">
        <f>+INDEX(WP!$A:$AN,MATCH(F293,WP!$B:$B,0),15)</f>
        <v>150</v>
      </c>
      <c r="M293" s="202">
        <f>+INDEX(WP!$A:$AN,MATCH(F293,WP!$B:$B,0),16)</f>
        <v>90</v>
      </c>
      <c r="N293" s="202" t="e" vm="337">
        <f>IFERROR(_xlfn.IMAGE("https://natalie.tf/wp-content/uploads/2023/11/DLV3_Icon_Affinity_"&amp;O293&amp;".png"),"")</f>
        <v>#VALUE!</v>
      </c>
      <c r="O293" s="203" t="str">
        <f>+INDEX(WP!$A:$AN,MATCH(F293,WP!$B:$B,0),17)</f>
        <v>Serpent</v>
      </c>
      <c r="P293" s="8" t="e" vm="393">
        <f>_xlfn.IMAGE("https://natalie.tf/wp-content/uploads/2023/10/DLV3_Icon_Ability_"&amp;INDEX('WP-A'!$A$1:$Z$498,MATCH('WP-Print'!Q293,'WP-A'!$A:$A,0),MATCH("Icon",'WP-A'!$A$1:$Z$1,0))&amp;".png")</f>
        <v>#VALUE!</v>
      </c>
      <c r="Q293" s="231" t="str">
        <f>+INDEX(WP!$A:$AN,MATCH(F293,WP!$B:$B,0),MATCH("Ability V3",WP!$A$2:$AN$2,0))</f>
        <v>High Zodiark Res +25%</v>
      </c>
      <c r="R293" s="735"/>
    </row>
    <row r="294" spans="1:18" ht="7.5" customHeight="1" x14ac:dyDescent="0.2">
      <c r="A294" t="s">
        <v>10763</v>
      </c>
    </row>
    <row r="295" spans="1:18" ht="22.5" customHeight="1" x14ac:dyDescent="0.2">
      <c r="B295" s="729" t="e" vm="519">
        <f>_xlfn.IMAGE("https://natalie.tf/wp-content/uploads/2023/10/DLV3_Icon_WP_"&amp;G296&amp;"_01.png")</f>
        <v>#VALUE!</v>
      </c>
      <c r="D295" s="730" t="e" vm="520">
        <f>_xlfn.IMAGE("https://natalie.tf/wp-content/uploads/2023/10/DLV3_Icon_WP_"&amp;G296&amp;"_02.png")</f>
        <v>#VALUE!</v>
      </c>
      <c r="F295" s="717" t="str">
        <f>+INDEX(WP!$A:$AN,MATCH(F296,WP!$B:$B,0),MATCH("Name",WP!$A$2:$AN$2,0))</f>
        <v>United by One Vision</v>
      </c>
      <c r="G295" s="718"/>
      <c r="H295" s="719"/>
      <c r="J295" s="180" t="s">
        <v>10761</v>
      </c>
      <c r="K295" s="201">
        <f>+INDEX(WP!$A:$AN,MATCH(F296,WP!$B:$B,0),5)</f>
        <v>5</v>
      </c>
      <c r="L295" s="202">
        <f>+INDEX(WP!$A:$AN,MATCH(F296,WP!$B:$B,0),6)</f>
        <v>75</v>
      </c>
      <c r="M295" s="202">
        <f>+INDEX(WP!$A:$AN,MATCH(F296,WP!$B:$B,0),7)</f>
        <v>27</v>
      </c>
      <c r="N295" s="202" t="str">
        <f ca="1">IFERROR(_xlfn.IMAGE("https://natalie.tf/wp-content/uploads/2023/11/DLV3_Icon_Affinity_"&amp;O295&amp;".png"),"")</f>
        <v/>
      </c>
      <c r="O295" s="203" t="str">
        <f>IF(INDEX(WP!$A:$AN,MATCH(F296,WP!$B:$B,0),8)=0,"None",INDEX(WP!$A:$AN,MATCH(F296,WP!$B:$B,0),8))</f>
        <v>None</v>
      </c>
      <c r="P295" s="8" t="e" vm="330">
        <f>_xlfn.IMAGE("https://natalie.tf/wp-content/uploads/2023/10/DLV3_Icon_Ability_"&amp;INDEX('WP-A'!$A$1:$Z$498,MATCH('WP-Print'!Q295,'WP-A'!$A:$A,0),MATCH("Icon",'WP-A'!$A$1:$Z$1,0))&amp;".png")</f>
        <v>#VALUE!</v>
      </c>
      <c r="Q295" s="231" t="str">
        <f>+INDEX(WP!$A:$AN,MATCH(F296,WP!$B:$B,0),MATCH("Ability",WP!$A$2:$AN$2,0))</f>
        <v>United Haste I</v>
      </c>
      <c r="R295" s="734" t="str">
        <f>+INDEX(WP!$A:$AN,MATCH(F296,WP!$B:$B,0),MATCH("Obtain From",WP!$A$2:$AN$2,0))</f>
        <v>Clear Shining Cyclops Assault: Expert (Fractured Futures)</v>
      </c>
    </row>
    <row r="296" spans="1:18" ht="22.5" customHeight="1" x14ac:dyDescent="0.2">
      <c r="A296" s="204" t="str">
        <f>TEXT(A293+1,"000")</f>
        <v>098</v>
      </c>
      <c r="B296" s="729"/>
      <c r="C296" s="8"/>
      <c r="D296" s="729"/>
      <c r="E296" s="8"/>
      <c r="F296" s="200" t="str">
        <f>"WP-"&amp;A296</f>
        <v>WP-098</v>
      </c>
      <c r="G296" s="200">
        <f>+INDEX(WP!$A:$AN,MATCH(F296,WP!$B:$B,0),MATCH("ID",WP!$A$2:$AN$2,0))</f>
        <v>400073</v>
      </c>
      <c r="I296" s="8"/>
      <c r="J296" s="180" t="s">
        <v>10762</v>
      </c>
      <c r="K296" s="201">
        <f>+INDEX(WP!$A:$AN,MATCH(F296,WP!$B:$B,0),14)</f>
        <v>5</v>
      </c>
      <c r="L296" s="202">
        <f>+INDEX(WP!$A:$AN,MATCH(F296,WP!$B:$B,0),15)</f>
        <v>150</v>
      </c>
      <c r="M296" s="202">
        <f>+INDEX(WP!$A:$AN,MATCH(F296,WP!$B:$B,0),16)</f>
        <v>90</v>
      </c>
      <c r="N296" s="202" t="e" vm="342">
        <f>IFERROR(_xlfn.IMAGE("https://natalie.tf/wp-content/uploads/2023/11/DLV3_Icon_Affinity_"&amp;O296&amp;".png"),"")</f>
        <v>#VALUE!</v>
      </c>
      <c r="O296" s="203" t="str">
        <f>+INDEX(WP!$A:$AN,MATCH(F296,WP!$B:$B,0),17)</f>
        <v>Bow</v>
      </c>
      <c r="P296" s="8" t="e" vm="330">
        <f>_xlfn.IMAGE("https://natalie.tf/wp-content/uploads/2023/10/DLV3_Icon_Ability_"&amp;INDEX('WP-A'!$A$1:$Z$498,MATCH('WP-Print'!Q296,'WP-A'!$A:$A,0),MATCH("Icon",'WP-A'!$A$1:$Z$1,0))&amp;".png")</f>
        <v>#VALUE!</v>
      </c>
      <c r="Q296" s="231" t="str">
        <f>+INDEX(WP!$A:$AN,MATCH(F296,WP!$B:$B,0),MATCH("Ability V3",WP!$A$2:$AN$2,0))</f>
        <v>United Haste +9%</v>
      </c>
      <c r="R296" s="735"/>
    </row>
    <row r="297" spans="1:18" ht="22.5" customHeight="1" x14ac:dyDescent="0.2">
      <c r="A297" t="s">
        <v>10763</v>
      </c>
    </row>
    <row r="298" spans="1:18" ht="22.5" customHeight="1" x14ac:dyDescent="0.2">
      <c r="B298" s="729" t="e" vm="521">
        <f>_xlfn.IMAGE("https://natalie.tf/wp-content/uploads/2023/10/DLV3_Icon_WP_"&amp;G299&amp;"_01.png")</f>
        <v>#VALUE!</v>
      </c>
      <c r="D298" s="730" t="e" vm="522">
        <f>_xlfn.IMAGE("https://natalie.tf/wp-content/uploads/2023/10/DLV3_Icon_WP_"&amp;G299&amp;"_02.png")</f>
        <v>#VALUE!</v>
      </c>
      <c r="F298" s="717" t="str">
        <f>+INDEX(WP!$A:$AN,MATCH(F299,WP!$B:$B,0),MATCH("Name",WP!$A$2:$AN$2,0))</f>
        <v>Endless Waltz</v>
      </c>
      <c r="G298" s="718"/>
      <c r="H298" s="719"/>
      <c r="J298" s="180" t="s">
        <v>10761</v>
      </c>
      <c r="K298" s="201">
        <f>+INDEX(WP!$A:$AN,MATCH(F299,WP!$B:$B,0),5)</f>
        <v>5</v>
      </c>
      <c r="L298" s="202">
        <f>+INDEX(WP!$A:$AN,MATCH(F299,WP!$B:$B,0),6)</f>
        <v>88</v>
      </c>
      <c r="M298" s="202">
        <f>+INDEX(WP!$A:$AN,MATCH(F299,WP!$B:$B,0),7)</f>
        <v>32</v>
      </c>
      <c r="N298" s="202" t="e" vm="339">
        <f>IFERROR(_xlfn.IMAGE("https://natalie.tf/wp-content/uploads/2023/11/DLV3_Icon_Affinity_"&amp;O298&amp;".png"),"")</f>
        <v>#VALUE!</v>
      </c>
      <c r="O298" s="203" t="str">
        <f>IF(INDEX(WP!$A:$AN,MATCH(F299,WP!$B:$B,0),8)=0,"None",INDEX(WP!$A:$AN,MATCH(F299,WP!$B:$B,0),8))</f>
        <v>Sword</v>
      </c>
      <c r="P298" s="8" t="e" vm="14">
        <f>_xlfn.IMAGE("https://natalie.tf/wp-content/uploads/2023/10/DLV3_Icon_Ability_"&amp;INDEX('WP-A'!$A$1:$Z$498,MATCH('WP-Print'!Q298,'WP-A'!$A:$A,0),MATCH("Icon",'WP-A'!$A$1:$Z$1,0))&amp;".png")</f>
        <v>#VALUE!</v>
      </c>
      <c r="Q298" s="231" t="str">
        <f>+INDEX(WP!$A:$AN,MATCH(F299,WP!$B:$B,0),MATCH("Ability",WP!$A$2:$AN$2,0))</f>
        <v>Full HP = Strength +15%</v>
      </c>
      <c r="R298" s="734" t="str">
        <f>+INDEX(WP!$A:$AN,MATCH(F299,WP!$B:$B,0),MATCH("Obtain From",WP!$A$2:$AN$2,0))</f>
        <v>Obtain From Ch. 10 EX 1 Chest (Hard) (Non-Endeavor)</v>
      </c>
    </row>
    <row r="299" spans="1:18" ht="22.5" customHeight="1" x14ac:dyDescent="0.2">
      <c r="A299" s="204" t="str">
        <f>TEXT(A296+1,"000")</f>
        <v>099</v>
      </c>
      <c r="B299" s="729"/>
      <c r="C299" s="8"/>
      <c r="D299" s="729"/>
      <c r="E299" s="8"/>
      <c r="F299" s="200" t="str">
        <f>"WP-"&amp;A299</f>
        <v>WP-099</v>
      </c>
      <c r="G299" s="200">
        <f>+INDEX(WP!$A:$AN,MATCH(F299,WP!$B:$B,0),MATCH("ID",WP!$A$2:$AN$2,0))</f>
        <v>400384</v>
      </c>
      <c r="I299" s="8"/>
      <c r="J299" s="180" t="s">
        <v>10762</v>
      </c>
      <c r="K299" s="201">
        <f>+INDEX(WP!$A:$AN,MATCH(F299,WP!$B:$B,0),14)</f>
        <v>5</v>
      </c>
      <c r="L299" s="202">
        <f>+INDEX(WP!$A:$AN,MATCH(F299,WP!$B:$B,0),15)</f>
        <v>150</v>
      </c>
      <c r="M299" s="202">
        <f>+INDEX(WP!$A:$AN,MATCH(F299,WP!$B:$B,0),16)</f>
        <v>90</v>
      </c>
      <c r="N299" s="202" t="e" vm="341">
        <f>IFERROR(_xlfn.IMAGE("https://natalie.tf/wp-content/uploads/2023/11/DLV3_Icon_Affinity_"&amp;O299&amp;".png"),"")</f>
        <v>#VALUE!</v>
      </c>
      <c r="O299" s="203" t="str">
        <f>+INDEX(WP!$A:$AN,MATCH(F299,WP!$B:$B,0),17)</f>
        <v>Crown</v>
      </c>
      <c r="P299" s="8" t="e" vm="14">
        <f>_xlfn.IMAGE("https://natalie.tf/wp-content/uploads/2023/10/DLV3_Icon_Ability_"&amp;INDEX('WP-A'!$A$1:$Z$498,MATCH('WP-Print'!Q299,'WP-A'!$A:$A,0),MATCH("Icon",'WP-A'!$A$1:$Z$1,0))&amp;".png")</f>
        <v>#VALUE!</v>
      </c>
      <c r="Q299" s="231" t="str">
        <f>+INDEX(WP!$A:$AN,MATCH(F299,WP!$B:$B,0),MATCH("Ability V3",WP!$A$2:$AN$2,0))</f>
        <v>Strength +15%</v>
      </c>
      <c r="R299" s="735"/>
    </row>
    <row r="300" spans="1:18" ht="7.5" customHeight="1" x14ac:dyDescent="0.2">
      <c r="A300" t="s">
        <v>10763</v>
      </c>
    </row>
    <row r="301" spans="1:18" ht="22.5" customHeight="1" x14ac:dyDescent="0.2">
      <c r="B301" s="729" t="e" vm="523">
        <f>_xlfn.IMAGE("https://natalie.tf/wp-content/uploads/2023/10/DLV3_Icon_WP_"&amp;G302&amp;"_01.png")</f>
        <v>#VALUE!</v>
      </c>
      <c r="D301" s="730" t="e" vm="524">
        <f>_xlfn.IMAGE("https://natalie.tf/wp-content/uploads/2023/10/DLV3_Icon_WP_"&amp;G302&amp;"_02.png")</f>
        <v>#VALUE!</v>
      </c>
      <c r="F301" s="731" t="str">
        <f>+INDEX(WP!$A:$AN,MATCH(F302,WP!$B:$B,0),MATCH("Name",WP!$A$2:$AN$2,0))</f>
        <v>An Ancient Oath</v>
      </c>
      <c r="G301" s="732"/>
      <c r="H301" s="733"/>
      <c r="J301" s="180" t="s">
        <v>10761</v>
      </c>
      <c r="K301" s="201">
        <f>+INDEX(WP!$A:$AN,MATCH(F302,WP!$B:$B,0),5)</f>
        <v>5</v>
      </c>
      <c r="L301" s="202">
        <f>+INDEX(WP!$A:$AN,MATCH(F302,WP!$B:$B,0),6)</f>
        <v>88</v>
      </c>
      <c r="M301" s="202">
        <f>+INDEX(WP!$A:$AN,MATCH(F302,WP!$B:$B,0),7)</f>
        <v>32</v>
      </c>
      <c r="N301" s="202" t="e" vm="381">
        <f>IFERROR(_xlfn.IMAGE("https://natalie.tf/wp-content/uploads/2023/11/DLV3_Icon_Affinity_"&amp;O301&amp;".png"),"")</f>
        <v>#VALUE!</v>
      </c>
      <c r="O301" s="203" t="str">
        <f>IF(INDEX(WP!$A:$AN,MATCH(F302,WP!$B:$B,0),8)=0,"None",INDEX(WP!$A:$AN,MATCH(F302,WP!$B:$B,0),8))</f>
        <v>Dragon</v>
      </c>
      <c r="P301" s="8" t="e" vm="14">
        <f>_xlfn.IMAGE("https://natalie.tf/wp-content/uploads/2023/10/DLV3_Icon_Ability_"&amp;INDEX('WP-A'!$A$1:$Z$498,MATCH('WP-Print'!Q301,'WP-A'!$A:$A,0),MATCH("Icon",'WP-A'!$A$1:$Z$1,0))&amp;".png")</f>
        <v>#VALUE!</v>
      </c>
      <c r="Q301" s="231" t="str">
        <f>+INDEX(WP!$A:$AN,MATCH(F302,WP!$B:$B,0),MATCH("Ability",WP!$A$2:$AN$2,0))</f>
        <v>Dragon's Claws III</v>
      </c>
      <c r="R301" s="734" t="str">
        <f>+INDEX(WP!$A:$AN,MATCH(F302,WP!$B:$B,0),MATCH("Obtain From",WP!$A$2:$AN$2,0))</f>
        <v>Obtain From Ch. 10 EX 1 Chest (Very Hard) (Non-Endeavor)</v>
      </c>
    </row>
    <row r="302" spans="1:18" ht="22.5" customHeight="1" x14ac:dyDescent="0.2">
      <c r="A302" s="204" t="str">
        <f>TEXT(A299+1,"000")</f>
        <v>100</v>
      </c>
      <c r="B302" s="729"/>
      <c r="C302" s="8"/>
      <c r="D302" s="729"/>
      <c r="E302" s="8"/>
      <c r="F302" s="200" t="str">
        <f>"WP-"&amp;A302</f>
        <v>WP-100</v>
      </c>
      <c r="G302" s="200">
        <f>+INDEX(WP!$A:$AN,MATCH(F302,WP!$B:$B,0),MATCH("ID",WP!$A$2:$AN$2,0))</f>
        <v>400084</v>
      </c>
      <c r="I302" s="8"/>
      <c r="J302" s="180" t="s">
        <v>10762</v>
      </c>
      <c r="K302" s="201">
        <f>+INDEX(WP!$A:$AN,MATCH(F302,WP!$B:$B,0),14)</f>
        <v>5</v>
      </c>
      <c r="L302" s="202">
        <f>+INDEX(WP!$A:$AN,MATCH(F302,WP!$B:$B,0),15)</f>
        <v>150</v>
      </c>
      <c r="M302" s="202">
        <f>+INDEX(WP!$A:$AN,MATCH(F302,WP!$B:$B,0),16)</f>
        <v>90</v>
      </c>
      <c r="N302" s="202" t="e" vm="381">
        <f>IFERROR(_xlfn.IMAGE("https://natalie.tf/wp-content/uploads/2023/11/DLV3_Icon_Affinity_"&amp;O302&amp;".png"),"")</f>
        <v>#VALUE!</v>
      </c>
      <c r="O302" s="203" t="str">
        <f>+INDEX(WP!$A:$AN,MATCH(F302,WP!$B:$B,0),17)</f>
        <v>Dragon</v>
      </c>
      <c r="P302" s="8" t="e" vm="14">
        <f>_xlfn.IMAGE("https://natalie.tf/wp-content/uploads/2023/10/DLV3_Icon_Ability_"&amp;INDEX('WP-A'!$A$1:$Z$498,MATCH('WP-Print'!Q302,'WP-A'!$A:$A,0),MATCH("Icon",'WP-A'!$A$1:$Z$1,0))&amp;".png")</f>
        <v>#VALUE!</v>
      </c>
      <c r="Q302" s="231" t="str">
        <f>+INDEX(WP!$A:$AN,MATCH(F302,WP!$B:$B,0),MATCH("Ability V3",WP!$A$2:$AN$2,0))</f>
        <v>Dragon's Claws III</v>
      </c>
      <c r="R302" s="735"/>
    </row>
    <row r="303" spans="1:18" ht="7.5" customHeight="1" x14ac:dyDescent="0.2">
      <c r="A303" t="s">
        <v>10763</v>
      </c>
    </row>
    <row r="304" spans="1:18" ht="22.5" customHeight="1" x14ac:dyDescent="0.2">
      <c r="B304" s="729" t="e" vm="525">
        <f>_xlfn.IMAGE("https://natalie.tf/wp-content/uploads/2023/10/DLV3_Icon_WP_"&amp;G305&amp;"_01.png")</f>
        <v>#VALUE!</v>
      </c>
      <c r="D304" s="730" t="e" vm="526">
        <f>_xlfn.IMAGE("https://natalie.tf/wp-content/uploads/2023/10/DLV3_Icon_WP_"&amp;G305&amp;"_02.png")</f>
        <v>#VALUE!</v>
      </c>
      <c r="F304" s="717" t="str">
        <f>+INDEX(WP!$A:$AN,MATCH(F305,WP!$B:$B,0),MATCH("Name",WP!$A$2:$AN$2,0))</f>
        <v>Candy Couriers</v>
      </c>
      <c r="G304" s="718"/>
      <c r="H304" s="719"/>
      <c r="J304" s="180" t="s">
        <v>10761</v>
      </c>
      <c r="K304" s="201">
        <f>+INDEX(WP!$A:$AN,MATCH(F305,WP!$B:$B,0),5)</f>
        <v>5</v>
      </c>
      <c r="L304" s="202">
        <f>+INDEX(WP!$A:$AN,MATCH(F305,WP!$B:$B,0),6)</f>
        <v>88</v>
      </c>
      <c r="M304" s="202">
        <f>+INDEX(WP!$A:$AN,MATCH(F305,WP!$B:$B,0),7)</f>
        <v>32</v>
      </c>
      <c r="N304" s="202" t="str">
        <f ca="1">IFERROR(_xlfn.IMAGE("https://natalie.tf/wp-content/uploads/2023/11/DLV3_Icon_Affinity_"&amp;O304&amp;".png"),"")</f>
        <v/>
      </c>
      <c r="O304" s="203" t="str">
        <f>IF(INDEX(WP!$A:$AN,MATCH(F305,WP!$B:$B,0),8)=0,"None",INDEX(WP!$A:$AN,MATCH(F305,WP!$B:$B,0),8))</f>
        <v>None</v>
      </c>
      <c r="P304" s="8" t="e" vm="322">
        <f>_xlfn.IMAGE("https://natalie.tf/wp-content/uploads/2023/10/DLV3_Icon_Ability_"&amp;INDEX('WP-A'!$A$1:$Z$498,MATCH('WP-Print'!Q304,'WP-A'!$A:$A,0),MATCH("Icon",'WP-A'!$A$1:$Z$1,0))&amp;".png")</f>
        <v>#VALUE!</v>
      </c>
      <c r="Q304" s="231" t="str">
        <f>+INDEX(WP!$A:$AN,MATCH(F305,WP!$B:$B,0),MATCH("Ability",WP!$A$2:$AN$2,0))</f>
        <v>(Wand) Skill Damage +40%</v>
      </c>
      <c r="R304" s="734" t="str">
        <f>+INDEX(WP!$A:$AN,MATCH(F305,WP!$B:$B,0),MATCH("Obtain From",WP!$A$2:$AN$2,0))</f>
        <v>Obtain From Ch. 15 EX 1 Chest (Normal) (Non-Endeavor)</v>
      </c>
    </row>
    <row r="305" spans="1:18" ht="22.5" customHeight="1" x14ac:dyDescent="0.2">
      <c r="A305" s="204" t="str">
        <f>TEXT(A302+1,"000")</f>
        <v>101</v>
      </c>
      <c r="B305" s="729"/>
      <c r="C305" s="8"/>
      <c r="D305" s="729"/>
      <c r="E305" s="8"/>
      <c r="F305" s="200" t="str">
        <f>"WP-"&amp;A305</f>
        <v>WP-101</v>
      </c>
      <c r="G305" s="200">
        <f>+INDEX(WP!$A:$AN,MATCH(F305,WP!$B:$B,0),MATCH("ID",WP!$A$2:$AN$2,0))</f>
        <v>400135</v>
      </c>
      <c r="I305" s="8"/>
      <c r="J305" s="180" t="s">
        <v>10762</v>
      </c>
      <c r="K305" s="201">
        <f>+INDEX(WP!$A:$AN,MATCH(F305,WP!$B:$B,0),14)</f>
        <v>5</v>
      </c>
      <c r="L305" s="202">
        <f>+INDEX(WP!$A:$AN,MATCH(F305,WP!$B:$B,0),15)</f>
        <v>150</v>
      </c>
      <c r="M305" s="202">
        <f>+INDEX(WP!$A:$AN,MATCH(F305,WP!$B:$B,0),16)</f>
        <v>90</v>
      </c>
      <c r="N305" s="202" t="e" vm="341">
        <f>IFERROR(_xlfn.IMAGE("https://natalie.tf/wp-content/uploads/2023/11/DLV3_Icon_Affinity_"&amp;O305&amp;".png"),"")</f>
        <v>#VALUE!</v>
      </c>
      <c r="O305" s="203" t="str">
        <f>+INDEX(WP!$A:$AN,MATCH(F305,WP!$B:$B,0),17)</f>
        <v>Crown</v>
      </c>
      <c r="P305" s="8" t="e" vm="322">
        <f>_xlfn.IMAGE("https://natalie.tf/wp-content/uploads/2023/10/DLV3_Icon_Ability_"&amp;INDEX('WP-A'!$A$1:$Z$498,MATCH('WP-Print'!Q305,'WP-A'!$A:$A,0),MATCH("Icon",'WP-A'!$A$1:$Z$1,0))&amp;".png")</f>
        <v>#VALUE!</v>
      </c>
      <c r="Q305" s="231" t="str">
        <f>+INDEX(WP!$A:$AN,MATCH(F305,WP!$B:$B,0),MATCH("Ability V3",WP!$A$2:$AN$2,0))</f>
        <v>(Wand) Skill Damage +40%</v>
      </c>
      <c r="R305" s="735"/>
    </row>
    <row r="306" spans="1:18" ht="7.5" customHeight="1" x14ac:dyDescent="0.2">
      <c r="A306" t="s">
        <v>10763</v>
      </c>
    </row>
    <row r="307" spans="1:18" ht="22.5" customHeight="1" x14ac:dyDescent="0.2">
      <c r="B307" s="729" t="e" vm="527">
        <f>_xlfn.IMAGE("https://natalie.tf/wp-content/uploads/2023/10/DLV3_Icon_WP_"&amp;G308&amp;"_01.png")</f>
        <v>#VALUE!</v>
      </c>
      <c r="D307" s="730" t="e" vm="528">
        <f>_xlfn.IMAGE("https://natalie.tf/wp-content/uploads/2023/10/DLV3_Icon_WP_"&amp;G308&amp;"_02.png")</f>
        <v>#VALUE!</v>
      </c>
      <c r="F307" s="717" t="str">
        <f>+INDEX(WP!$A:$AN,MATCH(F308,WP!$B:$B,0),MATCH("Name",WP!$A$2:$AN$2,0))</f>
        <v>Prayers Unto Him</v>
      </c>
      <c r="G307" s="718"/>
      <c r="H307" s="719"/>
      <c r="J307" s="180" t="s">
        <v>10761</v>
      </c>
      <c r="K307" s="201">
        <f>+INDEX(WP!$A:$AN,MATCH(F308,WP!$B:$B,0),5)</f>
        <v>5</v>
      </c>
      <c r="L307" s="202">
        <f>+INDEX(WP!$A:$AN,MATCH(F308,WP!$B:$B,0),6)</f>
        <v>88</v>
      </c>
      <c r="M307" s="202">
        <f>+INDEX(WP!$A:$AN,MATCH(F308,WP!$B:$B,0),7)</f>
        <v>32</v>
      </c>
      <c r="N307" s="202" t="e" vm="381">
        <f>IFERROR(_xlfn.IMAGE("https://natalie.tf/wp-content/uploads/2023/11/DLV3_Icon_Affinity_"&amp;O307&amp;".png"),"")</f>
        <v>#VALUE!</v>
      </c>
      <c r="O307" s="203" t="str">
        <f>IF(INDEX(WP!$A:$AN,MATCH(F308,WP!$B:$B,0),8)=0,"None",INDEX(WP!$A:$AN,MATCH(F308,WP!$B:$B,0),8))</f>
        <v>Dragon</v>
      </c>
      <c r="P307" s="8" t="e" vm="14">
        <f>_xlfn.IMAGE("https://natalie.tf/wp-content/uploads/2023/10/DLV3_Icon_Ability_"&amp;INDEX('WP-A'!$A$1:$Z$498,MATCH('WP-Print'!Q307,'WP-A'!$A:$A,0),MATCH("Icon",'WP-A'!$A$1:$Z$1,0))&amp;".png")</f>
        <v>#VALUE!</v>
      </c>
      <c r="Q307" s="231" t="str">
        <f>+INDEX(WP!$A:$AN,MATCH(F308,WP!$B:$B,0),MATCH("Ability",WP!$A$2:$AN$2,0))</f>
        <v>Dragon Damage +18%</v>
      </c>
      <c r="R307" s="734" t="str">
        <f>+INDEX(WP!$A:$AN,MATCH(F308,WP!$B:$B,0),MATCH("Obtain From",WP!$A$2:$AN$2,0))</f>
        <v>Clear All-Out Assault: Expert (Stirring Shadows)</v>
      </c>
    </row>
    <row r="308" spans="1:18" ht="22.5" customHeight="1" x14ac:dyDescent="0.2">
      <c r="A308" s="204" t="str">
        <f>TEXT(A305+1,"000")</f>
        <v>102</v>
      </c>
      <c r="B308" s="729"/>
      <c r="C308" s="8"/>
      <c r="D308" s="729"/>
      <c r="E308" s="8"/>
      <c r="F308" s="200" t="str">
        <f>"WP-"&amp;A308</f>
        <v>WP-102</v>
      </c>
      <c r="G308" s="200">
        <f>+INDEX(WP!$A:$AN,MATCH(F308,WP!$B:$B,0),MATCH("ID",WP!$A$2:$AN$2,0))</f>
        <v>400389</v>
      </c>
      <c r="I308" s="8"/>
      <c r="J308" s="180" t="s">
        <v>10762</v>
      </c>
      <c r="K308" s="201">
        <f>+INDEX(WP!$A:$AN,MATCH(F308,WP!$B:$B,0),14)</f>
        <v>5</v>
      </c>
      <c r="L308" s="202">
        <f>+INDEX(WP!$A:$AN,MATCH(F308,WP!$B:$B,0),15)</f>
        <v>150</v>
      </c>
      <c r="M308" s="202">
        <f>+INDEX(WP!$A:$AN,MATCH(F308,WP!$B:$B,0),16)</f>
        <v>90</v>
      </c>
      <c r="N308" s="202" t="e" vm="381">
        <f>IFERROR(_xlfn.IMAGE("https://natalie.tf/wp-content/uploads/2023/11/DLV3_Icon_Affinity_"&amp;O308&amp;".png"),"")</f>
        <v>#VALUE!</v>
      </c>
      <c r="O308" s="203" t="str">
        <f>+INDEX(WP!$A:$AN,MATCH(F308,WP!$B:$B,0),17)</f>
        <v>Dragon</v>
      </c>
      <c r="P308" s="8" t="e" vm="414">
        <f>_xlfn.IMAGE("https://natalie.tf/wp-content/uploads/2023/10/DLV3_Icon_Ability_"&amp;INDEX('WP-A'!$A$1:$Z$498,MATCH('WP-Print'!Q308,'WP-A'!$A:$A,0),MATCH("Icon",'WP-A'!$A$1:$Z$1,0))&amp;".png")</f>
        <v>#VALUE!</v>
      </c>
      <c r="Q308" s="231" t="str">
        <f>+INDEX(WP!$A:$AN,MATCH(F308,WP!$B:$B,0),MATCH("Ability V3",WP!$A$2:$AN$2,0))</f>
        <v>(Lance) Critical Damage +25%</v>
      </c>
      <c r="R308" s="735"/>
    </row>
    <row r="309" spans="1:18" ht="7.5" customHeight="1" x14ac:dyDescent="0.2">
      <c r="A309" t="s">
        <v>10763</v>
      </c>
    </row>
    <row r="310" spans="1:18" ht="22.5" customHeight="1" x14ac:dyDescent="0.2">
      <c r="B310" s="729" t="e" vm="529">
        <f>_xlfn.IMAGE("https://natalie.tf/wp-content/uploads/2023/10/DLV3_Icon_WP_"&amp;G311&amp;"_01.png")</f>
        <v>#VALUE!</v>
      </c>
      <c r="D310" s="730" t="e" vm="529">
        <f>_xlfn.IMAGE("https://natalie.tf/wp-content/uploads/2023/10/DLV3_Icon_WP_"&amp;G311&amp;"_01.png")</f>
        <v>#VALUE!</v>
      </c>
      <c r="F310" s="717" t="str">
        <f>+INDEX(WP!$A:$AN,MATCH(F311,WP!$B:$B,0),MATCH("Name",WP!$A$2:$AN$2,0))</f>
        <v>In an Unending World</v>
      </c>
      <c r="G310" s="718"/>
      <c r="H310" s="719"/>
      <c r="J310" s="180" t="s">
        <v>10761</v>
      </c>
      <c r="K310" s="201">
        <f>+INDEX(WP!$A:$AN,MATCH(F311,WP!$B:$B,0),5)</f>
        <v>5</v>
      </c>
      <c r="L310" s="202">
        <f>+INDEX(WP!$A:$AN,MATCH(F311,WP!$B:$B,0),6)</f>
        <v>89</v>
      </c>
      <c r="M310" s="202">
        <f>+INDEX(WP!$A:$AN,MATCH(F311,WP!$B:$B,0),7)</f>
        <v>31</v>
      </c>
      <c r="N310" s="202" t="str">
        <f ca="1">IFERROR(_xlfn.IMAGE("https://natalie.tf/wp-content/uploads/2023/11/DLV3_Icon_Affinity_"&amp;O310&amp;".png"),"")</f>
        <v/>
      </c>
      <c r="O310" s="203" t="str">
        <f>IF(INDEX(WP!$A:$AN,MATCH(F311,WP!$B:$B,0),8)=0,"None",INDEX(WP!$A:$AN,MATCH(F311,WP!$B:$B,0),8))</f>
        <v>None</v>
      </c>
      <c r="P310" s="8" t="e" vm="382">
        <f>_xlfn.IMAGE("https://natalie.tf/wp-content/uploads/2023/10/DLV3_Icon_Ability_"&amp;INDEX('WP-A'!$A$1:$Z$498,MATCH('WP-Print'!Q310,'WP-A'!$A:$A,0),MATCH("Icon",'WP-A'!$A$1:$Z$1,0))&amp;".png")</f>
        <v>#VALUE!</v>
      </c>
      <c r="Q310" s="231" t="str">
        <f>+INDEX(WP!$A:$AN,MATCH(F311,WP!$B:$B,0),MATCH("Ability",WP!$A$2:$AN$2,0))</f>
        <v>Player EXP +10%</v>
      </c>
      <c r="R310" s="734" t="str">
        <f>+INDEX(WP!$A:$AN,MATCH(F311,WP!$B:$B,0),MATCH("Obtain From",WP!$A$2:$AN$2,0))</f>
        <v>Obtain From Ch. 16 EX 1 Chest (Normal) (Non-Endeavor)</v>
      </c>
    </row>
    <row r="311" spans="1:18" ht="22.5" customHeight="1" x14ac:dyDescent="0.2">
      <c r="A311" s="204" t="str">
        <f>TEXT(A308+1,"000")</f>
        <v>103</v>
      </c>
      <c r="B311" s="729"/>
      <c r="C311" s="8"/>
      <c r="D311" s="729"/>
      <c r="E311" s="8"/>
      <c r="F311" s="200" t="str">
        <f>"WP-"&amp;A311</f>
        <v>WP-103</v>
      </c>
      <c r="G311" s="200">
        <f>+INDEX(WP!$A:$AN,MATCH(F311,WP!$B:$B,0),MATCH("ID",WP!$A$2:$AN$2,0))</f>
        <v>400411</v>
      </c>
      <c r="I311" s="8"/>
      <c r="J311" s="180" t="s">
        <v>10762</v>
      </c>
      <c r="K311" s="201">
        <f>+INDEX(WP!$A:$AN,MATCH(F311,WP!$B:$B,0),14)</f>
        <v>5</v>
      </c>
      <c r="L311" s="202">
        <f>+INDEX(WP!$A:$AN,MATCH(F311,WP!$B:$B,0),15)</f>
        <v>150</v>
      </c>
      <c r="M311" s="202">
        <f>+INDEX(WP!$A:$AN,MATCH(F311,WP!$B:$B,0),16)</f>
        <v>90</v>
      </c>
      <c r="N311" s="202" t="e" vm="341">
        <f>IFERROR(_xlfn.IMAGE("https://natalie.tf/wp-content/uploads/2023/11/DLV3_Icon_Affinity_"&amp;O311&amp;".png"),"")</f>
        <v>#VALUE!</v>
      </c>
      <c r="O311" s="203" t="str">
        <f>+INDEX(WP!$A:$AN,MATCH(F311,WP!$B:$B,0),17)</f>
        <v>Crown</v>
      </c>
      <c r="P311" s="8" t="e" vm="414">
        <f>_xlfn.IMAGE("https://natalie.tf/wp-content/uploads/2023/10/DLV3_Icon_Ability_"&amp;INDEX('WP-A'!$A$1:$Z$498,MATCH('WP-Print'!Q311,'WP-A'!$A:$A,0),MATCH("Icon",'WP-A'!$A$1:$Z$1,0))&amp;".png")</f>
        <v>#VALUE!</v>
      </c>
      <c r="Q311" s="231" t="str">
        <f>+INDEX(WP!$A:$AN,MATCH(F311,WP!$B:$B,0),MATCH("Ability V3",WP!$A$2:$AN$2,0))</f>
        <v>(Wand) Critical Damage +25%</v>
      </c>
      <c r="R311" s="735"/>
    </row>
    <row r="312" spans="1:18" ht="7.5" customHeight="1" x14ac:dyDescent="0.2">
      <c r="A312" t="s">
        <v>10763</v>
      </c>
    </row>
    <row r="313" spans="1:18" ht="22.5" customHeight="1" x14ac:dyDescent="0.2">
      <c r="B313" s="729" t="e" vm="530">
        <f>_xlfn.IMAGE("https://natalie.tf/wp-content/uploads/2023/10/DLV3_Icon_WP_"&amp;G314&amp;"_01.png")</f>
        <v>#VALUE!</v>
      </c>
      <c r="D313" s="730" t="e" vm="531">
        <f>_xlfn.IMAGE("https://natalie.tf/wp-content/uploads/2023/10/DLV3_Icon_WP_"&amp;G314&amp;"_02.png")</f>
        <v>#VALUE!</v>
      </c>
      <c r="F313" s="717" t="str">
        <f>+INDEX(WP!$A:$AN,MATCH(F314,WP!$B:$B,0),MATCH("Name",WP!$A$2:$AN$2,0))</f>
        <v>Dear Diary</v>
      </c>
      <c r="G313" s="718"/>
      <c r="H313" s="719"/>
      <c r="J313" s="180" t="s">
        <v>10761</v>
      </c>
      <c r="K313" s="201">
        <f>+INDEX(WP!$A:$AN,MATCH(F314,WP!$B:$B,0),5)</f>
        <v>5</v>
      </c>
      <c r="L313" s="202">
        <f>+INDEX(WP!$A:$AN,MATCH(F314,WP!$B:$B,0),6)</f>
        <v>88</v>
      </c>
      <c r="M313" s="202">
        <f>+INDEX(WP!$A:$AN,MATCH(F314,WP!$B:$B,0),7)</f>
        <v>32</v>
      </c>
      <c r="N313" s="202" t="str">
        <f ca="1">IFERROR(_xlfn.IMAGE("https://natalie.tf/wp-content/uploads/2023/11/DLV3_Icon_Affinity_"&amp;O313&amp;".png"),"")</f>
        <v/>
      </c>
      <c r="O313" s="203" t="str">
        <f>IF(INDEX(WP!$A:$AN,MATCH(F314,WP!$B:$B,0),8)=0,"None",INDEX(WP!$A:$AN,MATCH(F314,WP!$B:$B,0),8))</f>
        <v>None</v>
      </c>
      <c r="P313" s="8" t="e" vm="326">
        <f>_xlfn.IMAGE("https://natalie.tf/wp-content/uploads/2023/10/DLV3_Icon_Ability_"&amp;INDEX('WP-A'!$A$1:$Z$498,MATCH('WP-Print'!Q313,'WP-A'!$A:$A,0),MATCH("Icon",'WP-A'!$A$1:$Z$1,0))&amp;".png")</f>
        <v>#VALUE!</v>
      </c>
      <c r="Q313" s="231" t="str">
        <f>+INDEX(WP!$A:$AN,MATCH(F314,WP!$B:$B,0),MATCH("Ability",WP!$A$2:$AN$2,0))</f>
        <v>(Bow) Critical Rate +14%</v>
      </c>
      <c r="R313" s="734" t="str">
        <f>+INDEX(WP!$A:$AN,MATCH(F314,WP!$B:$B,0),MATCH("Obtain From",WP!$A$2:$AN$2,0))</f>
        <v>Obtain From Ch. 13 EX 1 Chest (Normal) (Non-Endeavor)</v>
      </c>
    </row>
    <row r="314" spans="1:18" ht="22.5" customHeight="1" x14ac:dyDescent="0.2">
      <c r="A314" s="204" t="str">
        <f>TEXT(A311+1,"000")</f>
        <v>104</v>
      </c>
      <c r="B314" s="729"/>
      <c r="C314" s="8"/>
      <c r="D314" s="729"/>
      <c r="E314" s="8"/>
      <c r="F314" s="200" t="str">
        <f>"WP-"&amp;A314</f>
        <v>WP-104</v>
      </c>
      <c r="G314" s="200">
        <f>+INDEX(WP!$A:$AN,MATCH(F314,WP!$B:$B,0),MATCH("ID",WP!$A$2:$AN$2,0))</f>
        <v>400391</v>
      </c>
      <c r="I314" s="8"/>
      <c r="J314" s="180" t="s">
        <v>10762</v>
      </c>
      <c r="K314" s="201">
        <f>+INDEX(WP!$A:$AN,MATCH(F314,WP!$B:$B,0),14)</f>
        <v>5</v>
      </c>
      <c r="L314" s="202">
        <f>+INDEX(WP!$A:$AN,MATCH(F314,WP!$B:$B,0),15)</f>
        <v>150</v>
      </c>
      <c r="M314" s="202">
        <f>+INDEX(WP!$A:$AN,MATCH(F314,WP!$B:$B,0),16)</f>
        <v>90</v>
      </c>
      <c r="N314" s="202" t="e" vm="339">
        <f>IFERROR(_xlfn.IMAGE("https://natalie.tf/wp-content/uploads/2023/11/DLV3_Icon_Affinity_"&amp;O314&amp;".png"),"")</f>
        <v>#VALUE!</v>
      </c>
      <c r="O314" s="203" t="str">
        <f>+INDEX(WP!$A:$AN,MATCH(F314,WP!$B:$B,0),17)</f>
        <v>Sword</v>
      </c>
      <c r="P314" s="8" t="e" vm="326">
        <f>_xlfn.IMAGE("https://natalie.tf/wp-content/uploads/2023/10/DLV3_Icon_Ability_"&amp;INDEX('WP-A'!$A$1:$Z$498,MATCH('WP-Print'!Q314,'WP-A'!$A:$A,0),MATCH("Icon",'WP-A'!$A$1:$Z$1,0))&amp;".png")</f>
        <v>#VALUE!</v>
      </c>
      <c r="Q314" s="231" t="str">
        <f>+INDEX(WP!$A:$AN,MATCH(F314,WP!$B:$B,0),MATCH("Ability V3",WP!$A$2:$AN$2,0))</f>
        <v>(Bow) Critical Rate +15%</v>
      </c>
      <c r="R314" s="735"/>
    </row>
    <row r="315" spans="1:18" ht="7.5" customHeight="1" x14ac:dyDescent="0.2">
      <c r="A315" t="s">
        <v>10763</v>
      </c>
    </row>
    <row r="316" spans="1:18" ht="22.5" customHeight="1" x14ac:dyDescent="0.2">
      <c r="B316" s="729" t="e" vm="532">
        <f>_xlfn.IMAGE("https://natalie.tf/wp-content/uploads/2023/10/DLV3_Icon_WP_"&amp;G317&amp;"_01.png")</f>
        <v>#VALUE!</v>
      </c>
      <c r="D316" s="730" t="e" vm="533">
        <f>_xlfn.IMAGE("https://natalie.tf/wp-content/uploads/2023/10/DLV3_Icon_WP_"&amp;G317&amp;"_02.png")</f>
        <v>#VALUE!</v>
      </c>
      <c r="F316" s="717" t="str">
        <f>+INDEX(WP!$A:$AN,MATCH(F317,WP!$B:$B,0),MATCH("Name",WP!$A$2:$AN$2,0))</f>
        <v>Wily Warriors: Bubble &amp; Wood</v>
      </c>
      <c r="G316" s="718"/>
      <c r="H316" s="719"/>
      <c r="J316" s="180" t="s">
        <v>10761</v>
      </c>
      <c r="K316" s="201">
        <f>+INDEX(WP!$A:$AN,MATCH(F317,WP!$B:$B,0),5)</f>
        <v>5</v>
      </c>
      <c r="L316" s="202">
        <f>+INDEX(WP!$A:$AN,MATCH(F317,WP!$B:$B,0),6)</f>
        <v>75</v>
      </c>
      <c r="M316" s="202">
        <f>+INDEX(WP!$A:$AN,MATCH(F317,WP!$B:$B,0),7)</f>
        <v>27</v>
      </c>
      <c r="N316" s="202" t="str">
        <f ca="1">IFERROR(_xlfn.IMAGE("https://natalie.tf/wp-content/uploads/2023/11/DLV3_Icon_Affinity_"&amp;O316&amp;".png"),"")</f>
        <v/>
      </c>
      <c r="O316" s="203" t="str">
        <f>IF(INDEX(WP!$A:$AN,MATCH(F317,WP!$B:$B,0),8)=0,"None",INDEX(WP!$A:$AN,MATCH(F317,WP!$B:$B,0),8))</f>
        <v>None</v>
      </c>
      <c r="P316" s="8" t="e" vm="14">
        <f>_xlfn.IMAGE("https://natalie.tf/wp-content/uploads/2023/10/DLV3_Icon_Ability_"&amp;INDEX('WP-A'!$A$1:$Z$498,MATCH('WP-Print'!Q316,'WP-A'!$A:$A,0),MATCH("Icon",'WP-A'!$A$1:$Z$1,0))&amp;".png")</f>
        <v>#VALUE!</v>
      </c>
      <c r="Q316" s="231" t="str">
        <f>+INDEX(WP!$A:$AN,MATCH(F317,WP!$B:$B,0),MATCH("Ability",WP!$A$2:$AN$2,0))</f>
        <v>HP 70% = Strength +13%</v>
      </c>
      <c r="R316" s="734" t="str">
        <f>+INDEX(WP!$A:$AN,MATCH(F317,WP!$B:$B,0),MATCH("Obtain From",WP!$A$2:$AN$2,0))</f>
        <v>Clear Brainwashed Brunhilda: Beginner (Mega Man Chaos Protocol)</v>
      </c>
    </row>
    <row r="317" spans="1:18" ht="22.5" customHeight="1" x14ac:dyDescent="0.2">
      <c r="A317" s="204" t="str">
        <f>TEXT(A314+1,"000")</f>
        <v>105</v>
      </c>
      <c r="B317" s="729"/>
      <c r="C317" s="8"/>
      <c r="D317" s="729"/>
      <c r="E317" s="8"/>
      <c r="F317" s="200" t="str">
        <f>"WP-"&amp;A317</f>
        <v>WP-105</v>
      </c>
      <c r="G317" s="200">
        <f>+INDEX(WP!$A:$AN,MATCH(F317,WP!$B:$B,0),MATCH("ID",WP!$A$2:$AN$2,0))</f>
        <v>400398</v>
      </c>
      <c r="I317" s="8"/>
      <c r="J317" s="180" t="s">
        <v>10762</v>
      </c>
      <c r="K317" s="201">
        <f>+INDEX(WP!$A:$AN,MATCH(F317,WP!$B:$B,0),14)</f>
        <v>5</v>
      </c>
      <c r="L317" s="202">
        <f>+INDEX(WP!$A:$AN,MATCH(F317,WP!$B:$B,0),15)</f>
        <v>150</v>
      </c>
      <c r="M317" s="202">
        <f>+INDEX(WP!$A:$AN,MATCH(F317,WP!$B:$B,0),16)</f>
        <v>90</v>
      </c>
      <c r="N317" s="202" t="e" vm="352">
        <f>IFERROR(_xlfn.IMAGE("https://natalie.tf/wp-content/uploads/2023/11/DLV3_Icon_Affinity_"&amp;O317&amp;".png"),"")</f>
        <v>#VALUE!</v>
      </c>
      <c r="O317" s="203" t="str">
        <f>+INDEX(WP!$A:$AN,MATCH(F317,WP!$B:$B,0),17)</f>
        <v>Fish</v>
      </c>
      <c r="P317" s="8" t="e" vm="14">
        <f>_xlfn.IMAGE("https://natalie.tf/wp-content/uploads/2023/10/DLV3_Icon_Ability_"&amp;INDEX('WP-A'!$A$1:$Z$498,MATCH('WP-Print'!Q317,'WP-A'!$A:$A,0),MATCH("Icon",'WP-A'!$A$1:$Z$1,0))&amp;".png")</f>
        <v>#VALUE!</v>
      </c>
      <c r="Q317" s="231" t="str">
        <f>+INDEX(WP!$A:$AN,MATCH(F317,WP!$B:$B,0),MATCH("Ability V3",WP!$A$2:$AN$2,0))</f>
        <v>Strength +15%</v>
      </c>
      <c r="R317" s="735"/>
    </row>
    <row r="318" spans="1:18" ht="7.5" customHeight="1" x14ac:dyDescent="0.2">
      <c r="A318" t="s">
        <v>10763</v>
      </c>
    </row>
    <row r="319" spans="1:18" ht="22.5" customHeight="1" x14ac:dyDescent="0.2">
      <c r="B319" s="729" t="e" vm="534">
        <f>_xlfn.IMAGE("https://natalie.tf/wp-content/uploads/2023/10/DLV3_Icon_WP_"&amp;G320&amp;"_01.png")</f>
        <v>#VALUE!</v>
      </c>
      <c r="D319" s="730" t="e" vm="535">
        <f>_xlfn.IMAGE("https://natalie.tf/wp-content/uploads/2023/10/DLV3_Icon_WP_"&amp;G320&amp;"_02.png")</f>
        <v>#VALUE!</v>
      </c>
      <c r="F319" s="717" t="str">
        <f>+INDEX(WP!$A:$AN,MATCH(F320,WP!$B:$B,0),MATCH("Name",WP!$A$2:$AN$2,0))</f>
        <v>Wily Warriors: Air &amp; Crash</v>
      </c>
      <c r="G319" s="718"/>
      <c r="H319" s="719"/>
      <c r="J319" s="180" t="s">
        <v>10761</v>
      </c>
      <c r="K319" s="201">
        <f>+INDEX(WP!$A:$AN,MATCH(F320,WP!$B:$B,0),5)</f>
        <v>5</v>
      </c>
      <c r="L319" s="202">
        <f>+INDEX(WP!$A:$AN,MATCH(F320,WP!$B:$B,0),6)</f>
        <v>78</v>
      </c>
      <c r="M319" s="202">
        <f>+INDEX(WP!$A:$AN,MATCH(F320,WP!$B:$B,0),7)</f>
        <v>24</v>
      </c>
      <c r="N319" s="202" t="str">
        <f ca="1">IFERROR(_xlfn.IMAGE("https://natalie.tf/wp-content/uploads/2023/11/DLV3_Icon_Affinity_"&amp;O319&amp;".png"),"")</f>
        <v/>
      </c>
      <c r="O319" s="203" t="str">
        <f>IF(INDEX(WP!$A:$AN,MATCH(F320,WP!$B:$B,0),8)=0,"None",INDEX(WP!$A:$AN,MATCH(F320,WP!$B:$B,0),8))</f>
        <v>None</v>
      </c>
      <c r="P319" s="8" t="e" vm="14">
        <f>_xlfn.IMAGE("https://natalie.tf/wp-content/uploads/2023/10/DLV3_Icon_Ability_"&amp;INDEX('WP-A'!$A$1:$Z$498,MATCH('WP-Print'!Q319,'WP-A'!$A:$A,0),MATCH("Icon",'WP-A'!$A$1:$Z$1,0))&amp;".png")</f>
        <v>#VALUE!</v>
      </c>
      <c r="Q319" s="231" t="str">
        <f>+INDEX(WP!$A:$AN,MATCH(F320,WP!$B:$B,0),MATCH("Ability",WP!$A$2:$AN$2,0))</f>
        <v>Flurry Strength +20%</v>
      </c>
      <c r="R319" s="734" t="str">
        <f>+INDEX(WP!$A:$AN,MATCH(F320,WP!$B:$B,0),MATCH("Obtain From",WP!$A$2:$AN$2,0))</f>
        <v>Clear Brainwashed Mercury: Beginner (Mega Man Chaos Protocol)</v>
      </c>
    </row>
    <row r="320" spans="1:18" ht="22.5" customHeight="1" x14ac:dyDescent="0.2">
      <c r="A320" s="204" t="str">
        <f>TEXT(A317+1,"000")</f>
        <v>106</v>
      </c>
      <c r="B320" s="729"/>
      <c r="C320" s="8"/>
      <c r="D320" s="729"/>
      <c r="E320" s="8"/>
      <c r="F320" s="200" t="str">
        <f>"WP-"&amp;A320</f>
        <v>WP-106</v>
      </c>
      <c r="G320" s="200">
        <f>+INDEX(WP!$A:$AN,MATCH(F320,WP!$B:$B,0),MATCH("ID",WP!$A$2:$AN$2,0))</f>
        <v>400399</v>
      </c>
      <c r="I320" s="8"/>
      <c r="J320" s="180" t="s">
        <v>10762</v>
      </c>
      <c r="K320" s="201">
        <f>+INDEX(WP!$A:$AN,MATCH(F320,WP!$B:$B,0),14)</f>
        <v>5</v>
      </c>
      <c r="L320" s="202">
        <f>+INDEX(WP!$A:$AN,MATCH(F320,WP!$B:$B,0),15)</f>
        <v>150</v>
      </c>
      <c r="M320" s="202">
        <f>+INDEX(WP!$A:$AN,MATCH(F320,WP!$B:$B,0),16)</f>
        <v>90</v>
      </c>
      <c r="N320" s="202" t="e" vm="344">
        <f>IFERROR(_xlfn.IMAGE("https://natalie.tf/wp-content/uploads/2023/11/DLV3_Icon_Affinity_"&amp;O320&amp;".png"),"")</f>
        <v>#VALUE!</v>
      </c>
      <c r="O320" s="203" t="str">
        <f>+INDEX(WP!$A:$AN,MATCH(F320,WP!$B:$B,0),17)</f>
        <v>Eagle</v>
      </c>
      <c r="P320" s="8" t="e" vm="14">
        <f>_xlfn.IMAGE("https://natalie.tf/wp-content/uploads/2023/10/DLV3_Icon_Ability_"&amp;INDEX('WP-A'!$A$1:$Z$498,MATCH('WP-Print'!Q320,'WP-A'!$A:$A,0),MATCH("Icon",'WP-A'!$A$1:$Z$1,0))&amp;".png")</f>
        <v>#VALUE!</v>
      </c>
      <c r="Q320" s="231" t="str">
        <f>+INDEX(WP!$A:$AN,MATCH(F320,WP!$B:$B,0),MATCH("Ability V3",WP!$A$2:$AN$2,0))</f>
        <v>Flurry Strength +20%</v>
      </c>
      <c r="R320" s="735"/>
    </row>
    <row r="321" spans="1:18" ht="7.5" customHeight="1" x14ac:dyDescent="0.2">
      <c r="A321" t="s">
        <v>10763</v>
      </c>
    </row>
    <row r="322" spans="1:18" ht="22.5" customHeight="1" x14ac:dyDescent="0.2">
      <c r="B322" s="729" t="e" vm="536">
        <f>_xlfn.IMAGE("https://natalie.tf/wp-content/uploads/2023/10/DLV3_Icon_WP_"&amp;G323&amp;"_01.png")</f>
        <v>#VALUE!</v>
      </c>
      <c r="D322" s="730" t="e" vm="537">
        <f>_xlfn.IMAGE("https://natalie.tf/wp-content/uploads/2023/10/DLV3_Icon_WP_"&amp;G323&amp;"_02.png")</f>
        <v>#VALUE!</v>
      </c>
      <c r="F322" s="717" t="str">
        <f>+INDEX(WP!$A:$AN,MATCH(F323,WP!$B:$B,0),MATCH("Name",WP!$A$2:$AN$2,0))</f>
        <v>Wily Warriors: Metal &amp; Quick</v>
      </c>
      <c r="G322" s="718"/>
      <c r="H322" s="719"/>
      <c r="J322" s="180" t="s">
        <v>10761</v>
      </c>
      <c r="K322" s="201">
        <f>+INDEX(WP!$A:$AN,MATCH(F323,WP!$B:$B,0),5)</f>
        <v>5</v>
      </c>
      <c r="L322" s="202">
        <f>+INDEX(WP!$A:$AN,MATCH(F323,WP!$B:$B,0),6)</f>
        <v>75</v>
      </c>
      <c r="M322" s="202">
        <f>+INDEX(WP!$A:$AN,MATCH(F323,WP!$B:$B,0),7)</f>
        <v>28</v>
      </c>
      <c r="N322" s="202" t="str">
        <f ca="1">IFERROR(_xlfn.IMAGE("https://natalie.tf/wp-content/uploads/2023/11/DLV3_Icon_Affinity_"&amp;O322&amp;".png"),"")</f>
        <v/>
      </c>
      <c r="O322" s="203" t="str">
        <f>IF(INDEX(WP!$A:$AN,MATCH(F323,WP!$B:$B,0),8)=0,"None",INDEX(WP!$A:$AN,MATCH(F323,WP!$B:$B,0),8))</f>
        <v>None</v>
      </c>
      <c r="P322" s="8" t="e" vm="414">
        <f>_xlfn.IMAGE("https://natalie.tf/wp-content/uploads/2023/10/DLV3_Icon_Ability_"&amp;INDEX('WP-A'!$A$1:$Z$498,MATCH('WP-Print'!Q322,'WP-A'!$A:$A,0),MATCH("Icon",'WP-A'!$A$1:$Z$1,0))&amp;".png")</f>
        <v>#VALUE!</v>
      </c>
      <c r="Q322" s="231" t="str">
        <f>+INDEX(WP!$A:$AN,MATCH(F323,WP!$B:$B,0),MATCH("Ability",WP!$A$2:$AN$2,0))</f>
        <v>HP 70% = Critical Damage +22%</v>
      </c>
      <c r="R322" s="734" t="str">
        <f>+INDEX(WP!$A:$AN,MATCH(F323,WP!$B:$B,0),MATCH("Obtain From",WP!$A$2:$AN$2,0))</f>
        <v>Clear Brainwashed Zodiark: Beginner (Mega Man Chaos Protocol)</v>
      </c>
    </row>
    <row r="323" spans="1:18" ht="22.5" customHeight="1" x14ac:dyDescent="0.2">
      <c r="A323" s="204" t="str">
        <f>TEXT(A320+1,"000")</f>
        <v>107</v>
      </c>
      <c r="B323" s="729"/>
      <c r="C323" s="8"/>
      <c r="D323" s="729"/>
      <c r="E323" s="8"/>
      <c r="F323" s="200" t="str">
        <f>"WP-"&amp;A323</f>
        <v>WP-107</v>
      </c>
      <c r="G323" s="200">
        <f>+INDEX(WP!$A:$AN,MATCH(F323,WP!$B:$B,0),MATCH("ID",WP!$A$2:$AN$2,0))</f>
        <v>400400</v>
      </c>
      <c r="I323" s="8"/>
      <c r="J323" s="180" t="s">
        <v>10762</v>
      </c>
      <c r="K323" s="201">
        <f>+INDEX(WP!$A:$AN,MATCH(F323,WP!$B:$B,0),14)</f>
        <v>5</v>
      </c>
      <c r="L323" s="202">
        <f>+INDEX(WP!$A:$AN,MATCH(F323,WP!$B:$B,0),15)</f>
        <v>150</v>
      </c>
      <c r="M323" s="202">
        <f>+INDEX(WP!$A:$AN,MATCH(F323,WP!$B:$B,0),16)</f>
        <v>90</v>
      </c>
      <c r="N323" s="202" t="e" vm="343">
        <f>IFERROR(_xlfn.IMAGE("https://natalie.tf/wp-content/uploads/2023/11/DLV3_Icon_Affinity_"&amp;O323&amp;".png"),"")</f>
        <v>#VALUE!</v>
      </c>
      <c r="O323" s="203" t="str">
        <f>+INDEX(WP!$A:$AN,MATCH(F323,WP!$B:$B,0),17)</f>
        <v>Axe</v>
      </c>
      <c r="P323" s="8" t="e" vm="414">
        <f>_xlfn.IMAGE("https://natalie.tf/wp-content/uploads/2023/10/DLV3_Icon_Ability_"&amp;INDEX('WP-A'!$A$1:$Z$498,MATCH('WP-Print'!Q323,'WP-A'!$A:$A,0),MATCH("Icon",'WP-A'!$A$1:$Z$1,0))&amp;".png")</f>
        <v>#VALUE!</v>
      </c>
      <c r="Q323" s="231" t="str">
        <f>+INDEX(WP!$A:$AN,MATCH(F323,WP!$B:$B,0),MATCH("Ability V3",WP!$A$2:$AN$2,0))</f>
        <v>Critical Damage +20%</v>
      </c>
      <c r="R323" s="735"/>
    </row>
    <row r="324" spans="1:18" ht="7.5" customHeight="1" x14ac:dyDescent="0.2">
      <c r="A324" t="s">
        <v>10763</v>
      </c>
    </row>
    <row r="325" spans="1:18" ht="22.5" customHeight="1" x14ac:dyDescent="0.2">
      <c r="B325" s="729" t="e" vm="538">
        <f>_xlfn.IMAGE("https://natalie.tf/wp-content/uploads/2023/10/DLV3_Icon_WP_"&amp;G326&amp;"_01.png")</f>
        <v>#VALUE!</v>
      </c>
      <c r="D325" s="730" t="e" vm="539">
        <f>_xlfn.IMAGE("https://natalie.tf/wp-content/uploads/2023/10/DLV3_Icon_WP_"&amp;G326&amp;"_02.png")</f>
        <v>#VALUE!</v>
      </c>
      <c r="F325" s="717" t="str">
        <f>+INDEX(WP!$A:$AN,MATCH(F326,WP!$B:$B,0),MATCH("Name",WP!$A$2:$AN$2,0))</f>
        <v>Wily Warriors: Flash &amp; Heat</v>
      </c>
      <c r="G325" s="718"/>
      <c r="H325" s="719"/>
      <c r="J325" s="180" t="s">
        <v>10761</v>
      </c>
      <c r="K325" s="201">
        <f>+INDEX(WP!$A:$AN,MATCH(F326,WP!$B:$B,0),5)</f>
        <v>5</v>
      </c>
      <c r="L325" s="202">
        <f>+INDEX(WP!$A:$AN,MATCH(F326,WP!$B:$B,0),6)</f>
        <v>76</v>
      </c>
      <c r="M325" s="202">
        <f>+INDEX(WP!$A:$AN,MATCH(F326,WP!$B:$B,0),7)</f>
        <v>27</v>
      </c>
      <c r="N325" s="202" t="str">
        <f ca="1">IFERROR(_xlfn.IMAGE("https://natalie.tf/wp-content/uploads/2023/11/DLV3_Icon_Affinity_"&amp;O325&amp;".png"),"")</f>
        <v/>
      </c>
      <c r="O325" s="203" t="str">
        <f>IF(INDEX(WP!$A:$AN,MATCH(F326,WP!$B:$B,0),8)=0,"None",INDEX(WP!$A:$AN,MATCH(F326,WP!$B:$B,0),8))</f>
        <v>None</v>
      </c>
      <c r="P325" s="8" t="e" vm="330">
        <f>_xlfn.IMAGE("https://natalie.tf/wp-content/uploads/2023/10/DLV3_Icon_Ability_"&amp;INDEX('WP-A'!$A$1:$Z$498,MATCH('WP-Print'!Q325,'WP-A'!$A:$A,0),MATCH("Icon",'WP-A'!$A$1:$Z$1,0))&amp;".png")</f>
        <v>#VALUE!</v>
      </c>
      <c r="Q325" s="231" t="str">
        <f>+INDEX(WP!$A:$AN,MATCH(F326,WP!$B:$B,0),MATCH("Ability",WP!$A$2:$AN$2,0))</f>
        <v>Skill Haste +8%</v>
      </c>
      <c r="R325" s="734" t="str">
        <f>+INDEX(WP!$A:$AN,MATCH(F326,WP!$B:$B,0),MATCH("Obtain From",WP!$A$2:$AN$2,0))</f>
        <v>Clear Brainwashed Jupiter: Beginner (Mega Man Chaos Protocol)</v>
      </c>
    </row>
    <row r="326" spans="1:18" ht="22.5" customHeight="1" x14ac:dyDescent="0.2">
      <c r="A326" s="204" t="str">
        <f>TEXT(A323+1,"000")</f>
        <v>108</v>
      </c>
      <c r="B326" s="729"/>
      <c r="C326" s="8"/>
      <c r="D326" s="729"/>
      <c r="E326" s="8"/>
      <c r="F326" s="200" t="str">
        <f>"WP-"&amp;A326</f>
        <v>WP-108</v>
      </c>
      <c r="G326" s="200">
        <f>+INDEX(WP!$A:$AN,MATCH(F326,WP!$B:$B,0),MATCH("ID",WP!$A$2:$AN$2,0))</f>
        <v>400401</v>
      </c>
      <c r="I326" s="8"/>
      <c r="J326" s="180" t="s">
        <v>10762</v>
      </c>
      <c r="K326" s="201">
        <f>+INDEX(WP!$A:$AN,MATCH(F326,WP!$B:$B,0),14)</f>
        <v>5</v>
      </c>
      <c r="L326" s="202">
        <f>+INDEX(WP!$A:$AN,MATCH(F326,WP!$B:$B,0),15)</f>
        <v>150</v>
      </c>
      <c r="M326" s="202">
        <f>+INDEX(WP!$A:$AN,MATCH(F326,WP!$B:$B,0),16)</f>
        <v>90</v>
      </c>
      <c r="N326" s="202" t="e" vm="345">
        <f>IFERROR(_xlfn.IMAGE("https://natalie.tf/wp-content/uploads/2023/11/DLV3_Icon_Affinity_"&amp;O326&amp;".png"),"")</f>
        <v>#VALUE!</v>
      </c>
      <c r="O326" s="203" t="str">
        <f>+INDEX(WP!$A:$AN,MATCH(F326,WP!$B:$B,0),17)</f>
        <v>Staff</v>
      </c>
      <c r="P326" s="8" t="e" vm="330">
        <f>_xlfn.IMAGE("https://natalie.tf/wp-content/uploads/2023/10/DLV3_Icon_Ability_"&amp;INDEX('WP-A'!$A$1:$Z$498,MATCH('WP-Print'!Q326,'WP-A'!$A:$A,0),MATCH("Icon",'WP-A'!$A$1:$Z$1,0))&amp;".png")</f>
        <v>#VALUE!</v>
      </c>
      <c r="Q326" s="231" t="str">
        <f>+INDEX(WP!$A:$AN,MATCH(F326,WP!$B:$B,0),MATCH("Ability V3",WP!$A$2:$AN$2,0))</f>
        <v>Skill Haste +8%</v>
      </c>
      <c r="R326" s="735"/>
    </row>
    <row r="327" spans="1:18" ht="7.5" customHeight="1" x14ac:dyDescent="0.2">
      <c r="A327" t="s">
        <v>10763</v>
      </c>
    </row>
    <row r="328" spans="1:18" ht="22.5" customHeight="1" x14ac:dyDescent="0.2">
      <c r="B328" s="729" t="e" vm="540">
        <f>_xlfn.IMAGE("https://natalie.tf/wp-content/uploads/2023/10/DLV3_Icon_WP_"&amp;G329&amp;"_01.png")</f>
        <v>#VALUE!</v>
      </c>
      <c r="D328" s="730" t="e" vm="541">
        <f>_xlfn.IMAGE("https://natalie.tf/wp-content/uploads/2023/10/DLV3_Icon_WP_"&amp;G329&amp;"_02.png")</f>
        <v>#VALUE!</v>
      </c>
      <c r="F328" s="717" t="str">
        <f>+INDEX(WP!$A:$AN,MATCH(F329,WP!$B:$B,0),MATCH("Name",WP!$A$2:$AN$2,0))</f>
        <v>Roll On</v>
      </c>
      <c r="G328" s="718"/>
      <c r="H328" s="719"/>
      <c r="J328" s="180" t="s">
        <v>10761</v>
      </c>
      <c r="K328" s="201">
        <f>+INDEX(WP!$A:$AN,MATCH(F329,WP!$B:$B,0),5)</f>
        <v>5</v>
      </c>
      <c r="L328" s="202">
        <f>+INDEX(WP!$A:$AN,MATCH(F329,WP!$B:$B,0),6)</f>
        <v>76</v>
      </c>
      <c r="M328" s="202">
        <f>+INDEX(WP!$A:$AN,MATCH(F329,WP!$B:$B,0),7)</f>
        <v>27</v>
      </c>
      <c r="N328" s="202" t="str">
        <f ca="1">IFERROR(_xlfn.IMAGE("https://natalie.tf/wp-content/uploads/2023/11/DLV3_Icon_Affinity_"&amp;O328&amp;".png"),"")</f>
        <v/>
      </c>
      <c r="O328" s="203" t="str">
        <f>IF(INDEX(WP!$A:$AN,MATCH(F329,WP!$B:$B,0),8)=0,"None",INDEX(WP!$A:$AN,MATCH(F329,WP!$B:$B,0),8))</f>
        <v>None</v>
      </c>
      <c r="P328" s="8" t="e" vm="349">
        <f>_xlfn.IMAGE("https://natalie.tf/wp-content/uploads/2023/10/DLV3_Icon_Ability_"&amp;INDEX('WP-A'!$A$1:$Z$498,MATCH('WP-Print'!Q328,'WP-A'!$A:$A,0),MATCH("Icon",'WP-A'!$A$1:$Z$1,0))&amp;".png")</f>
        <v>#VALUE!</v>
      </c>
      <c r="Q328" s="231" t="str">
        <f>+INDEX(WP!$A:$AN,MATCH(F329,WP!$B:$B,0),MATCH("Ability",WP!$A$2:$AN$2,0))</f>
        <v>Recovery Potency +13%</v>
      </c>
      <c r="R328" s="734" t="str">
        <f>+INDEX(WP!$A:$AN,MATCH(F329,WP!$B:$B,0),MATCH("Obtain From",WP!$A$2:$AN$2,0))</f>
        <v>Clear Wily Machine 2: Beginner (Mega Man Chaos Protocol)</v>
      </c>
    </row>
    <row r="329" spans="1:18" ht="22.5" customHeight="1" x14ac:dyDescent="0.2">
      <c r="A329" s="204" t="str">
        <f>TEXT(A326+1,"000")</f>
        <v>109</v>
      </c>
      <c r="B329" s="729"/>
      <c r="C329" s="8"/>
      <c r="D329" s="729"/>
      <c r="E329" s="8"/>
      <c r="F329" s="200" t="str">
        <f>"WP-"&amp;A329</f>
        <v>WP-109</v>
      </c>
      <c r="G329" s="200">
        <f>+INDEX(WP!$A:$AN,MATCH(F329,WP!$B:$B,0),MATCH("ID",WP!$A$2:$AN$2,0))</f>
        <v>400412</v>
      </c>
      <c r="I329" s="8"/>
      <c r="J329" s="180" t="s">
        <v>10762</v>
      </c>
      <c r="K329" s="201">
        <f>+INDEX(WP!$A:$AN,MATCH(F329,WP!$B:$B,0),14)</f>
        <v>5</v>
      </c>
      <c r="L329" s="202">
        <f>+INDEX(WP!$A:$AN,MATCH(F329,WP!$B:$B,0),15)</f>
        <v>150</v>
      </c>
      <c r="M329" s="202">
        <f>+INDEX(WP!$A:$AN,MATCH(F329,WP!$B:$B,0),16)</f>
        <v>90</v>
      </c>
      <c r="N329" s="202" t="e" vm="337">
        <f>IFERROR(_xlfn.IMAGE("https://natalie.tf/wp-content/uploads/2023/11/DLV3_Icon_Affinity_"&amp;O329&amp;".png"),"")</f>
        <v>#VALUE!</v>
      </c>
      <c r="O329" s="203" t="str">
        <f>+INDEX(WP!$A:$AN,MATCH(F329,WP!$B:$B,0),17)</f>
        <v>Serpent</v>
      </c>
      <c r="P329" s="8" t="e" vm="349">
        <f>_xlfn.IMAGE("https://natalie.tf/wp-content/uploads/2023/10/DLV3_Icon_Ability_"&amp;INDEX('WP-A'!$A$1:$Z$498,MATCH('WP-Print'!Q329,'WP-A'!$A:$A,0),MATCH("Icon",'WP-A'!$A$1:$Z$1,0))&amp;".png")</f>
        <v>#VALUE!</v>
      </c>
      <c r="Q329" s="231" t="str">
        <f>+INDEX(WP!$A:$AN,MATCH(F329,WP!$B:$B,0),MATCH("Ability V3",WP!$A$2:$AN$2,0))</f>
        <v>Recovery Potency +15%</v>
      </c>
      <c r="R329" s="735"/>
    </row>
    <row r="330" spans="1:18" ht="7.5" customHeight="1" x14ac:dyDescent="0.2">
      <c r="A330" t="s">
        <v>10763</v>
      </c>
    </row>
    <row r="331" spans="1:18" ht="22.5" customHeight="1" x14ac:dyDescent="0.2">
      <c r="B331" s="729" t="e" vm="542">
        <f>_xlfn.IMAGE("https://natalie.tf/wp-content/uploads/2023/10/DLV3_Icon_WP_"&amp;G332&amp;"_01.png")</f>
        <v>#VALUE!</v>
      </c>
      <c r="D331" s="730" t="e" vm="543">
        <f>_xlfn.IMAGE("https://natalie.tf/wp-content/uploads/2023/10/DLV3_Icon_WP_"&amp;G332&amp;"_02.png")</f>
        <v>#VALUE!</v>
      </c>
      <c r="F331" s="717" t="str">
        <f>+INDEX(WP!$A:$AN,MATCH(F332,WP!$B:$B,0),MATCH("Name",WP!$A$2:$AN$2,0))</f>
        <v>Mega Friends</v>
      </c>
      <c r="G331" s="718"/>
      <c r="H331" s="719"/>
      <c r="J331" s="180" t="s">
        <v>10761</v>
      </c>
      <c r="K331" s="201">
        <f>+INDEX(WP!$A:$AN,MATCH(F332,WP!$B:$B,0),5)</f>
        <v>5</v>
      </c>
      <c r="L331" s="202">
        <f>+INDEX(WP!$A:$AN,MATCH(F332,WP!$B:$B,0),6)</f>
        <v>75</v>
      </c>
      <c r="M331" s="202">
        <f>+INDEX(WP!$A:$AN,MATCH(F332,WP!$B:$B,0),7)</f>
        <v>28</v>
      </c>
      <c r="N331" s="202" t="str">
        <f ca="1">IFERROR(_xlfn.IMAGE("https://natalie.tf/wp-content/uploads/2023/11/DLV3_Icon_Affinity_"&amp;O331&amp;".png"),"")</f>
        <v/>
      </c>
      <c r="O331" s="203" t="str">
        <f>IF(INDEX(WP!$A:$AN,MATCH(F332,WP!$B:$B,0),8)=0,"None",INDEX(WP!$A:$AN,MATCH(F332,WP!$B:$B,0),8))</f>
        <v>None</v>
      </c>
      <c r="P331" s="8" t="e" vm="322">
        <f>_xlfn.IMAGE("https://natalie.tf/wp-content/uploads/2023/10/DLV3_Icon_Ability_"&amp;INDEX('WP-A'!$A$1:$Z$498,MATCH('WP-Print'!Q331,'WP-A'!$A:$A,0),MATCH("Icon",'WP-A'!$A$1:$Z$1,0))&amp;".png")</f>
        <v>#VALUE!</v>
      </c>
      <c r="Q331" s="231" t="str">
        <f>+INDEX(WP!$A:$AN,MATCH(F332,WP!$B:$B,0),MATCH("Ability",WP!$A$2:$AN$2,0))</f>
        <v>Skill Damage +30%</v>
      </c>
      <c r="R331" s="734" t="str">
        <f>+INDEX(WP!$A:$AN,MATCH(F332,WP!$B:$B,0),MATCH("Obtain From",WP!$A$2:$AN$2,0))</f>
        <v>Participate in the Event (A Clawful Caper)</v>
      </c>
    </row>
    <row r="332" spans="1:18" ht="22.5" customHeight="1" x14ac:dyDescent="0.2">
      <c r="A332" s="204" t="str">
        <f>TEXT(A329+1,"000")</f>
        <v>110</v>
      </c>
      <c r="B332" s="729"/>
      <c r="C332" s="8"/>
      <c r="D332" s="729"/>
      <c r="E332" s="8"/>
      <c r="F332" s="200" t="str">
        <f>"WP-"&amp;A332</f>
        <v>WP-110</v>
      </c>
      <c r="G332" s="200">
        <f>+INDEX(WP!$A:$AN,MATCH(F332,WP!$B:$B,0),MATCH("ID",WP!$A$2:$AN$2,0))</f>
        <v>400397</v>
      </c>
      <c r="I332" s="8"/>
      <c r="J332" s="180" t="s">
        <v>10762</v>
      </c>
      <c r="K332" s="201">
        <f>+INDEX(WP!$A:$AN,MATCH(F332,WP!$B:$B,0),14)</f>
        <v>5</v>
      </c>
      <c r="L332" s="202">
        <f>+INDEX(WP!$A:$AN,MATCH(F332,WP!$B:$B,0),15)</f>
        <v>150</v>
      </c>
      <c r="M332" s="202">
        <f>+INDEX(WP!$A:$AN,MATCH(F332,WP!$B:$B,0),16)</f>
        <v>90</v>
      </c>
      <c r="N332" s="202" t="e" vm="342">
        <f>IFERROR(_xlfn.IMAGE("https://natalie.tf/wp-content/uploads/2023/11/DLV3_Icon_Affinity_"&amp;O332&amp;".png"),"")</f>
        <v>#VALUE!</v>
      </c>
      <c r="O332" s="203" t="str">
        <f>+INDEX(WP!$A:$AN,MATCH(F332,WP!$B:$B,0),17)</f>
        <v>Bow</v>
      </c>
      <c r="P332" s="8" t="e" vm="322">
        <f>_xlfn.IMAGE("https://natalie.tf/wp-content/uploads/2023/10/DLV3_Icon_Ability_"&amp;INDEX('WP-A'!$A$1:$Z$498,MATCH('WP-Print'!Q332,'WP-A'!$A:$A,0),MATCH("Icon",'WP-A'!$A$1:$Z$1,0))&amp;".png")</f>
        <v>#VALUE!</v>
      </c>
      <c r="Q332" s="231" t="str">
        <f>+INDEX(WP!$A:$AN,MATCH(F332,WP!$B:$B,0),MATCH("Ability V3",WP!$A$2:$AN$2,0))</f>
        <v>Skill Damage +30%</v>
      </c>
      <c r="R332" s="735"/>
    </row>
    <row r="333" spans="1:18" ht="7.5" customHeight="1" x14ac:dyDescent="0.2">
      <c r="A333" t="s">
        <v>10763</v>
      </c>
    </row>
    <row r="334" spans="1:18" ht="22.5" customHeight="1" x14ac:dyDescent="0.2">
      <c r="B334" s="729" t="e" vm="544">
        <f>_xlfn.IMAGE("https://natalie.tf/wp-content/uploads/2023/10/DLV3_Icon_WP_"&amp;G335&amp;"_01.png")</f>
        <v>#VALUE!</v>
      </c>
      <c r="D334" s="730" t="e" vm="545">
        <f>_xlfn.IMAGE("https://natalie.tf/wp-content/uploads/2023/10/DLV3_Icon_WP_"&amp;G335&amp;"_02.png")</f>
        <v>#VALUE!</v>
      </c>
      <c r="F334" s="717" t="str">
        <f>+INDEX(WP!$A:$AN,MATCH(F335,WP!$B:$B,0),MATCH("Name",WP!$A$2:$AN$2,0))</f>
        <v>Howling to the Heavens</v>
      </c>
      <c r="G334" s="718"/>
      <c r="H334" s="719"/>
      <c r="J334" s="180" t="s">
        <v>10761</v>
      </c>
      <c r="K334" s="201">
        <f>+INDEX(WP!$A:$AN,MATCH(F335,WP!$B:$B,0),5)</f>
        <v>5</v>
      </c>
      <c r="L334" s="202">
        <f>+INDEX(WP!$A:$AN,MATCH(F335,WP!$B:$B,0),6)</f>
        <v>88</v>
      </c>
      <c r="M334" s="202">
        <f>+INDEX(WP!$A:$AN,MATCH(F335,WP!$B:$B,0),7)</f>
        <v>32</v>
      </c>
      <c r="N334" s="202" t="str">
        <f ca="1">IFERROR(_xlfn.IMAGE("https://natalie.tf/wp-content/uploads/2023/11/DLV3_Icon_Affinity_"&amp;O334&amp;".png"),"")</f>
        <v/>
      </c>
      <c r="O334" s="203" t="str">
        <f>IF(INDEX(WP!$A:$AN,MATCH(F335,WP!$B:$B,0),8)=0,"None",INDEX(WP!$A:$AN,MATCH(F335,WP!$B:$B,0),8))</f>
        <v>None</v>
      </c>
      <c r="P334" s="8" t="e" vm="326">
        <f>_xlfn.IMAGE("https://natalie.tf/wp-content/uploads/2023/10/DLV3_Icon_Ability_"&amp;INDEX('WP-A'!$A$1:$Z$498,MATCH('WP-Print'!Q334,'WP-A'!$A:$A,0),MATCH("Icon",'WP-A'!$A$1:$Z$1,0))&amp;".png")</f>
        <v>#VALUE!</v>
      </c>
      <c r="Q334" s="231" t="str">
        <f>+INDEX(WP!$A:$AN,MATCH(F335,WP!$B:$B,0),MATCH("Ability",WP!$A$2:$AN$2,0))</f>
        <v>(Shadow) Flurry Devastation +12%</v>
      </c>
      <c r="R334" s="734" t="str">
        <f>+INDEX(WP!$A:$AN,MATCH(F335,WP!$B:$B,0),MATCH("Obtain From",WP!$A$2:$AN$2,0))</f>
        <v>Clear Shadowsteep Ruins: Expert (Elemental Ruins)</v>
      </c>
    </row>
    <row r="335" spans="1:18" ht="22.5" customHeight="1" x14ac:dyDescent="0.2">
      <c r="A335" s="204" t="str">
        <f>TEXT(A332+1,"000")</f>
        <v>111</v>
      </c>
      <c r="B335" s="729"/>
      <c r="C335" s="8"/>
      <c r="D335" s="729"/>
      <c r="E335" s="8"/>
      <c r="F335" s="200" t="str">
        <f>"WP-"&amp;A335</f>
        <v>WP-111</v>
      </c>
      <c r="G335" s="200">
        <f>+INDEX(WP!$A:$AN,MATCH(F335,WP!$B:$B,0),MATCH("ID",WP!$A$2:$AN$2,0))</f>
        <v>400395</v>
      </c>
      <c r="I335" s="8"/>
      <c r="J335" s="180" t="s">
        <v>10762</v>
      </c>
      <c r="K335" s="201">
        <f>+INDEX(WP!$A:$AN,MATCH(F335,WP!$B:$B,0),14)</f>
        <v>5</v>
      </c>
      <c r="L335" s="202">
        <f>+INDEX(WP!$A:$AN,MATCH(F335,WP!$B:$B,0),15)</f>
        <v>150</v>
      </c>
      <c r="M335" s="202">
        <f>+INDEX(WP!$A:$AN,MATCH(F335,WP!$B:$B,0),16)</f>
        <v>90</v>
      </c>
      <c r="N335" s="202" t="e" vm="362">
        <f>IFERROR(_xlfn.IMAGE("https://natalie.tf/wp-content/uploads/2023/11/DLV3_Icon_Affinity_"&amp;O335&amp;".png"),"")</f>
        <v>#VALUE!</v>
      </c>
      <c r="O335" s="203" t="str">
        <f>+INDEX(WP!$A:$AN,MATCH(F335,WP!$B:$B,0),17)</f>
        <v>Bat</v>
      </c>
      <c r="P335" s="8" t="e" vm="326">
        <f>_xlfn.IMAGE("https://natalie.tf/wp-content/uploads/2023/10/DLV3_Icon_Ability_"&amp;INDEX('WP-A'!$A$1:$Z$498,MATCH('WP-Print'!Q335,'WP-A'!$A:$A,0),MATCH("Icon",'WP-A'!$A$1:$Z$1,0))&amp;".png")</f>
        <v>#VALUE!</v>
      </c>
      <c r="Q335" s="231" t="str">
        <f>+INDEX(WP!$A:$AN,MATCH(F335,WP!$B:$B,0),MATCH("Ability V3",WP!$A$2:$AN$2,0))</f>
        <v>(Shadow) Flurry Devastation +15%</v>
      </c>
      <c r="R335" s="735"/>
    </row>
    <row r="336" spans="1:18" ht="7.5" customHeight="1" x14ac:dyDescent="0.2">
      <c r="A336" t="s">
        <v>10763</v>
      </c>
    </row>
    <row r="337" spans="1:18" ht="22.5" customHeight="1" x14ac:dyDescent="0.2">
      <c r="B337" s="729" t="e" vm="546">
        <f>_xlfn.IMAGE("https://natalie.tf/wp-content/uploads/2023/10/DLV3_Icon_WP_"&amp;G338&amp;"_01.png")</f>
        <v>#VALUE!</v>
      </c>
      <c r="D337" s="730" t="e" vm="547">
        <f>_xlfn.IMAGE("https://natalie.tf/wp-content/uploads/2023/10/DLV3_Icon_WP_"&amp;G338&amp;"_02.png")</f>
        <v>#VALUE!</v>
      </c>
      <c r="F337" s="717" t="str">
        <f>+INDEX(WP!$A:$AN,MATCH(F338,WP!$B:$B,0),MATCH("Name",WP!$A$2:$AN$2,0))</f>
        <v>Spirit of the Season</v>
      </c>
      <c r="G337" s="718"/>
      <c r="H337" s="719"/>
      <c r="J337" s="180" t="s">
        <v>10761</v>
      </c>
      <c r="K337" s="201">
        <f>+INDEX(WP!$A:$AN,MATCH(F338,WP!$B:$B,0),5)</f>
        <v>5</v>
      </c>
      <c r="L337" s="202">
        <f>+INDEX(WP!$A:$AN,MATCH(F338,WP!$B:$B,0),6)</f>
        <v>88</v>
      </c>
      <c r="M337" s="202">
        <f>+INDEX(WP!$A:$AN,MATCH(F338,WP!$B:$B,0),7)</f>
        <v>32</v>
      </c>
      <c r="N337" s="202" t="str">
        <f ca="1">IFERROR(_xlfn.IMAGE("https://natalie.tf/wp-content/uploads/2023/11/DLV3_Icon_Affinity_"&amp;O337&amp;".png"),"")</f>
        <v/>
      </c>
      <c r="O337" s="203" t="str">
        <f>IF(INDEX(WP!$A:$AN,MATCH(F338,WP!$B:$B,0),8)=0,"None",INDEX(WP!$A:$AN,MATCH(F338,WP!$B:$B,0),8))</f>
        <v>None</v>
      </c>
      <c r="P337" s="8" t="e" vm="548">
        <f>_xlfn.IMAGE("https://natalie.tf/wp-content/uploads/2023/10/DLV3_Icon_Ability_"&amp;INDEX('WP-A'!$A$1:$Z$498,MATCH('WP-Print'!Q337,'WP-A'!$A:$A,0),MATCH("Icon",'WP-A'!$A$1:$Z$1,0))&amp;".png")</f>
        <v>#VALUE!</v>
      </c>
      <c r="Q337" s="231" t="str">
        <f>+INDEX(WP!$A:$AN,MATCH(F338,WP!$B:$B,0),MATCH("Ability",WP!$A$2:$AN$2,0))</f>
        <v>Paralyzed Punisher +20%</v>
      </c>
      <c r="R337" s="734" t="str">
        <f>+INDEX(WP!$A:$AN,MATCH(F338,WP!$B:$B,0),MATCH("Obtain From",WP!$A$2:$AN$2,0))</f>
        <v>Read Episode 5 of the Event Story (The Miracle of Dragonyule)</v>
      </c>
    </row>
    <row r="338" spans="1:18" ht="22.5" customHeight="1" x14ac:dyDescent="0.2">
      <c r="A338" s="204" t="str">
        <f>TEXT(A335+1,"000")</f>
        <v>112</v>
      </c>
      <c r="B338" s="729"/>
      <c r="C338" s="8"/>
      <c r="D338" s="729"/>
      <c r="E338" s="8"/>
      <c r="F338" s="200" t="str">
        <f>"WP-"&amp;A338</f>
        <v>WP-112</v>
      </c>
      <c r="G338" s="200">
        <f>+INDEX(WP!$A:$AN,MATCH(F338,WP!$B:$B,0),MATCH("ID",WP!$A$2:$AN$2,0))</f>
        <v>400393</v>
      </c>
      <c r="I338" s="8"/>
      <c r="J338" s="180" t="s">
        <v>10762</v>
      </c>
      <c r="K338" s="201">
        <f>+INDEX(WP!$A:$AN,MATCH(F338,WP!$B:$B,0),14)</f>
        <v>5</v>
      </c>
      <c r="L338" s="202">
        <f>+INDEX(WP!$A:$AN,MATCH(F338,WP!$B:$B,0),15)</f>
        <v>150</v>
      </c>
      <c r="M338" s="202">
        <f>+INDEX(WP!$A:$AN,MATCH(F338,WP!$B:$B,0),16)</f>
        <v>90</v>
      </c>
      <c r="N338" s="202" t="e" vm="367">
        <f>IFERROR(_xlfn.IMAGE("https://natalie.tf/wp-content/uploads/2023/11/DLV3_Icon_Affinity_"&amp;O338&amp;".png"),"")</f>
        <v>#VALUE!</v>
      </c>
      <c r="O338" s="203" t="str">
        <f>+INDEX(WP!$A:$AN,MATCH(F338,WP!$B:$B,0),17)</f>
        <v>Spider</v>
      </c>
      <c r="P338" s="8" t="e" vm="548">
        <f>_xlfn.IMAGE("https://natalie.tf/wp-content/uploads/2023/10/DLV3_Icon_Ability_"&amp;INDEX('WP-A'!$A$1:$Z$498,MATCH('WP-Print'!Q338,'WP-A'!$A:$A,0),MATCH("Icon",'WP-A'!$A$1:$Z$1,0))&amp;".png")</f>
        <v>#VALUE!</v>
      </c>
      <c r="Q338" s="231" t="str">
        <f>+INDEX(WP!$A:$AN,MATCH(F338,WP!$B:$B,0),MATCH("Ability V3",WP!$A$2:$AN$2,0))</f>
        <v>Paralyzed Punisher +30%</v>
      </c>
      <c r="R338" s="735"/>
    </row>
    <row r="339" spans="1:18" ht="22.5" customHeight="1" x14ac:dyDescent="0.2">
      <c r="A339" t="s">
        <v>10763</v>
      </c>
    </row>
    <row r="340" spans="1:18" ht="22.5" customHeight="1" x14ac:dyDescent="0.2">
      <c r="B340" s="729" t="e" vm="549">
        <f>_xlfn.IMAGE("https://natalie.tf/wp-content/uploads/2023/10/DLV3_Icon_WP_"&amp;G341&amp;"_01.png")</f>
        <v>#VALUE!</v>
      </c>
      <c r="D340" s="730" t="e" vm="550">
        <f>_xlfn.IMAGE("https://natalie.tf/wp-content/uploads/2023/10/DLV3_Icon_WP_"&amp;G341&amp;"_02.png")</f>
        <v>#VALUE!</v>
      </c>
      <c r="F340" s="717" t="str">
        <f>+INDEX(WP!$A:$AN,MATCH(F341,WP!$B:$B,0),MATCH("Name",WP!$A$2:$AN$2,0))</f>
        <v>The Wyrmclan Duo</v>
      </c>
      <c r="G340" s="718"/>
      <c r="H340" s="719"/>
      <c r="J340" s="180" t="s">
        <v>10761</v>
      </c>
      <c r="K340" s="201">
        <f>+INDEX(WP!$A:$AN,MATCH(F341,WP!$B:$B,0),5)</f>
        <v>5</v>
      </c>
      <c r="L340" s="202">
        <f>+INDEX(WP!$A:$AN,MATCH(F341,WP!$B:$B,0),6)</f>
        <v>88</v>
      </c>
      <c r="M340" s="202">
        <f>+INDEX(WP!$A:$AN,MATCH(F341,WP!$B:$B,0),7)</f>
        <v>32</v>
      </c>
      <c r="N340" s="202" t="e" vm="341">
        <f>IFERROR(_xlfn.IMAGE("https://natalie.tf/wp-content/uploads/2023/11/DLV3_Icon_Affinity_"&amp;O340&amp;".png"),"")</f>
        <v>#VALUE!</v>
      </c>
      <c r="O340" s="203" t="str">
        <f>IF(INDEX(WP!$A:$AN,MATCH(F341,WP!$B:$B,0),8)=0,"None",INDEX(WP!$A:$AN,MATCH(F341,WP!$B:$B,0),8))</f>
        <v>Crown</v>
      </c>
      <c r="P340" s="8" t="e" vm="322">
        <f>_xlfn.IMAGE("https://natalie.tf/wp-content/uploads/2023/10/DLV3_Icon_Ability_"&amp;INDEX('WP-A'!$A$1:$Z$498,MATCH('WP-Print'!Q340,'WP-A'!$A:$A,0),MATCH("Icon",'WP-A'!$A$1:$Z$1,0))&amp;".png")</f>
        <v>#VALUE!</v>
      </c>
      <c r="Q340" s="231" t="str">
        <f>+INDEX(WP!$A:$AN,MATCH(F341,WP!$B:$B,0),MATCH("Ability",WP!$A$2:$AN$2,0))</f>
        <v>Skill Damage +30%</v>
      </c>
      <c r="R340" s="734" t="str">
        <f>+INDEX(WP!$A:$AN,MATCH(F341,WP!$B:$B,0),MATCH("Obtain From",WP!$A$2:$AN$2,0))</f>
        <v>Clear Ebisu Showdown: Nightmare (A Clawful Caper)</v>
      </c>
    </row>
    <row r="341" spans="1:18" ht="22.5" customHeight="1" x14ac:dyDescent="0.2">
      <c r="A341" s="204" t="str">
        <f>TEXT(A338+1,"000")</f>
        <v>113</v>
      </c>
      <c r="B341" s="729"/>
      <c r="C341" s="8"/>
      <c r="D341" s="729"/>
      <c r="E341" s="8"/>
      <c r="F341" s="200" t="str">
        <f>"WP-"&amp;A341</f>
        <v>WP-113</v>
      </c>
      <c r="G341" s="200">
        <f>+INDEX(WP!$A:$AN,MATCH(F341,WP!$B:$B,0),MATCH("ID",WP!$A$2:$AN$2,0))</f>
        <v>400407</v>
      </c>
      <c r="I341" s="8"/>
      <c r="J341" s="180" t="s">
        <v>10762</v>
      </c>
      <c r="K341" s="201">
        <f>+INDEX(WP!$A:$AN,MATCH(F341,WP!$B:$B,0),14)</f>
        <v>5</v>
      </c>
      <c r="L341" s="202">
        <f>+INDEX(WP!$A:$AN,MATCH(F341,WP!$B:$B,0),15)</f>
        <v>150</v>
      </c>
      <c r="M341" s="202">
        <f>+INDEX(WP!$A:$AN,MATCH(F341,WP!$B:$B,0),16)</f>
        <v>90</v>
      </c>
      <c r="N341" s="202" t="e" vm="339">
        <f>IFERROR(_xlfn.IMAGE("https://natalie.tf/wp-content/uploads/2023/11/DLV3_Icon_Affinity_"&amp;O341&amp;".png"),"")</f>
        <v>#VALUE!</v>
      </c>
      <c r="O341" s="203" t="str">
        <f>+INDEX(WP!$A:$AN,MATCH(F341,WP!$B:$B,0),17)</f>
        <v>Sword</v>
      </c>
      <c r="P341" s="8" t="e" vm="322">
        <f>_xlfn.IMAGE("https://natalie.tf/wp-content/uploads/2023/10/DLV3_Icon_Ability_"&amp;INDEX('WP-A'!$A$1:$Z$498,MATCH('WP-Print'!Q341,'WP-A'!$A:$A,0),MATCH("Icon",'WP-A'!$A$1:$Z$1,0))&amp;".png")</f>
        <v>#VALUE!</v>
      </c>
      <c r="Q341" s="231" t="str">
        <f>+INDEX(WP!$A:$AN,MATCH(F341,WP!$B:$B,0),MATCH("Ability V3",WP!$A$2:$AN$2,0))</f>
        <v>Skill Damage +30%</v>
      </c>
      <c r="R341" s="735"/>
    </row>
    <row r="342" spans="1:18" ht="7.5" customHeight="1" x14ac:dyDescent="0.2">
      <c r="A342" t="s">
        <v>10763</v>
      </c>
    </row>
    <row r="343" spans="1:18" ht="22.5" customHeight="1" x14ac:dyDescent="0.2">
      <c r="B343" s="729" t="e" vm="551">
        <f>_xlfn.IMAGE("https://natalie.tf/wp-content/uploads/2023/10/DLV3_Icon_WP_"&amp;G344&amp;"_01.png")</f>
        <v>#VALUE!</v>
      </c>
      <c r="D343" s="730" t="e" vm="552">
        <f>_xlfn.IMAGE("https://natalie.tf/wp-content/uploads/2023/10/DLV3_Icon_WP_"&amp;G344&amp;"_02.png")</f>
        <v>#VALUE!</v>
      </c>
      <c r="F343" s="717" t="str">
        <f>+INDEX(WP!$A:$AN,MATCH(F344,WP!$B:$B,0),MATCH("Name",WP!$A$2:$AN$2,0))</f>
        <v>A Dog's Day</v>
      </c>
      <c r="G343" s="718"/>
      <c r="H343" s="719"/>
      <c r="J343" s="180" t="s">
        <v>10761</v>
      </c>
      <c r="K343" s="201">
        <f>+INDEX(WP!$A:$AN,MATCH(F344,WP!$B:$B,0),5)</f>
        <v>5</v>
      </c>
      <c r="L343" s="202">
        <f>+INDEX(WP!$A:$AN,MATCH(F344,WP!$B:$B,0),6)</f>
        <v>89</v>
      </c>
      <c r="M343" s="202">
        <f>+INDEX(WP!$A:$AN,MATCH(F344,WP!$B:$B,0),7)</f>
        <v>31</v>
      </c>
      <c r="N343" s="202" t="str">
        <f ca="1">IFERROR(_xlfn.IMAGE("https://natalie.tf/wp-content/uploads/2023/11/DLV3_Icon_Affinity_"&amp;O343&amp;".png"),"")</f>
        <v/>
      </c>
      <c r="O343" s="203" t="str">
        <f>IF(INDEX(WP!$A:$AN,MATCH(F344,WP!$B:$B,0),8)=0,"None",INDEX(WP!$A:$AN,MATCH(F344,WP!$B:$B,0),8))</f>
        <v>None</v>
      </c>
      <c r="P343" s="8" t="e" vm="330">
        <f>_xlfn.IMAGE("https://natalie.tf/wp-content/uploads/2023/10/DLV3_Icon_Ability_"&amp;INDEX('WP-A'!$A$1:$Z$498,MATCH('WP-Print'!Q343,'WP-A'!$A:$A,0),MATCH("Icon",'WP-A'!$A$1:$Z$1,0))&amp;".png")</f>
        <v>#VALUE!</v>
      </c>
      <c r="Q343" s="231" t="str">
        <f>+INDEX(WP!$A:$AN,MATCH(F344,WP!$B:$B,0),MATCH("Ability",WP!$A$2:$AN$2,0))</f>
        <v>(Wind) Skill Haste +10%</v>
      </c>
      <c r="R343" s="734" t="str">
        <f>+INDEX(WP!$A:$AN,MATCH(F344,WP!$B:$B,0),MATCH("Obtain From",WP!$A$2:$AN$2,0))</f>
        <v>Obtain From Ch. 08 EX 2 Chest (Very Hard) (Non-Endeavor)</v>
      </c>
    </row>
    <row r="344" spans="1:18" ht="22.5" customHeight="1" x14ac:dyDescent="0.2">
      <c r="A344" s="204" t="str">
        <f>TEXT(A341+1,"000")</f>
        <v>114</v>
      </c>
      <c r="B344" s="729"/>
      <c r="C344" s="8"/>
      <c r="D344" s="729"/>
      <c r="E344" s="8"/>
      <c r="F344" s="200" t="str">
        <f>"WP-"&amp;A344</f>
        <v>WP-114</v>
      </c>
      <c r="G344" s="200">
        <f>+INDEX(WP!$A:$AN,MATCH(F344,WP!$B:$B,0),MATCH("ID",WP!$A$2:$AN$2,0))</f>
        <v>400409</v>
      </c>
      <c r="I344" s="8"/>
      <c r="J344" s="180" t="s">
        <v>10762</v>
      </c>
      <c r="K344" s="201">
        <f>+INDEX(WP!$A:$AN,MATCH(F344,WP!$B:$B,0),14)</f>
        <v>5</v>
      </c>
      <c r="L344" s="202">
        <f>+INDEX(WP!$A:$AN,MATCH(F344,WP!$B:$B,0),15)</f>
        <v>150</v>
      </c>
      <c r="M344" s="202">
        <f>+INDEX(WP!$A:$AN,MATCH(F344,WP!$B:$B,0),16)</f>
        <v>90</v>
      </c>
      <c r="N344" s="202" t="e" vm="356">
        <f>IFERROR(_xlfn.IMAGE("https://natalie.tf/wp-content/uploads/2023/11/DLV3_Icon_Affinity_"&amp;O344&amp;".png"),"")</f>
        <v>#VALUE!</v>
      </c>
      <c r="O344" s="203" t="str">
        <f>+INDEX(WP!$A:$AN,MATCH(F344,WP!$B:$B,0),17)</f>
        <v>Deer</v>
      </c>
      <c r="P344" s="8" t="e" vm="330">
        <f>_xlfn.IMAGE("https://natalie.tf/wp-content/uploads/2023/10/DLV3_Icon_Ability_"&amp;INDEX('WP-A'!$A$1:$Z$498,MATCH('WP-Print'!Q344,'WP-A'!$A:$A,0),MATCH("Icon",'WP-A'!$A$1:$Z$1,0))&amp;".png")</f>
        <v>#VALUE!</v>
      </c>
      <c r="Q344" s="231" t="str">
        <f>+INDEX(WP!$A:$AN,MATCH(F344,WP!$B:$B,0),MATCH("Ability V3",WP!$A$2:$AN$2,0))</f>
        <v>(Wind) Skill Haste +10%</v>
      </c>
      <c r="R344" s="735"/>
    </row>
    <row r="345" spans="1:18" ht="7.5" customHeight="1" x14ac:dyDescent="0.2">
      <c r="A345" t="s">
        <v>10763</v>
      </c>
    </row>
    <row r="346" spans="1:18" ht="22.5" customHeight="1" x14ac:dyDescent="0.2">
      <c r="B346" s="729" t="e" vm="553">
        <f>_xlfn.IMAGE("https://natalie.tf/wp-content/uploads/2023/10/DLV3_Icon_WP_"&amp;G347&amp;"_01.png")</f>
        <v>#VALUE!</v>
      </c>
      <c r="D346" s="730" t="e" vm="553">
        <f>_xlfn.IMAGE("https://natalie.tf/wp-content/uploads/2023/10/DLV3_Icon_WP_"&amp;G347&amp;"_01.png")</f>
        <v>#VALUE!</v>
      </c>
      <c r="F346" s="717" t="str">
        <f>+INDEX(WP!$A:$AN,MATCH(F347,WP!$B:$B,0),MATCH("Name",WP!$A$2:$AN$2,0))</f>
        <v>Blossoms in a New Year's Sky</v>
      </c>
      <c r="G346" s="718"/>
      <c r="H346" s="719"/>
      <c r="J346" s="180" t="s">
        <v>10761</v>
      </c>
      <c r="K346" s="201">
        <f>+INDEX(WP!$A:$AN,MATCH(F347,WP!$B:$B,0),5)</f>
        <v>5</v>
      </c>
      <c r="L346" s="202">
        <f>+INDEX(WP!$A:$AN,MATCH(F347,WP!$B:$B,0),6)</f>
        <v>76</v>
      </c>
      <c r="M346" s="202">
        <f>+INDEX(WP!$A:$AN,MATCH(F347,WP!$B:$B,0),7)</f>
        <v>26</v>
      </c>
      <c r="N346" s="202" t="str">
        <f ca="1">IFERROR(_xlfn.IMAGE("https://natalie.tf/wp-content/uploads/2023/11/DLV3_Icon_Affinity_"&amp;O346&amp;".png"),"")</f>
        <v/>
      </c>
      <c r="O346" s="203" t="str">
        <f>IF(INDEX(WP!$A:$AN,MATCH(F347,WP!$B:$B,0),8)=0,"None",INDEX(WP!$A:$AN,MATCH(F347,WP!$B:$B,0),8))</f>
        <v>None</v>
      </c>
      <c r="P346" s="8" t="e" vm="456">
        <f>_xlfn.IMAGE("https://natalie.tf/wp-content/uploads/2023/10/DLV3_Icon_Ability_"&amp;INDEX('WP-A'!$A$1:$Z$498,MATCH('WP-Print'!Q346,'WP-A'!$A:$A,0),MATCH("Icon",'WP-A'!$A$1:$Z$1,0))&amp;".png")</f>
        <v>#VALUE!</v>
      </c>
      <c r="Q346" s="231" t="str">
        <f>+INDEX(WP!$A:$AN,MATCH(F347,WP!$B:$B,0),MATCH("Ability",WP!$A$2:$AN$2,0))</f>
        <v>Energy Doublebuff I</v>
      </c>
      <c r="R346" s="734" t="str">
        <f>+INDEX(WP!$A:$AN,MATCH(F347,WP!$B:$B,0),MATCH("Obtain From",WP!$A$2:$AN$2,0))</f>
        <v>Clear Return to the Spring (Skyborne Spectacle)</v>
      </c>
    </row>
    <row r="347" spans="1:18" ht="22.5" customHeight="1" x14ac:dyDescent="0.2">
      <c r="A347" s="204" t="str">
        <f>TEXT(A344+1,"000")</f>
        <v>115</v>
      </c>
      <c r="B347" s="729"/>
      <c r="C347" s="8"/>
      <c r="D347" s="729"/>
      <c r="E347" s="8"/>
      <c r="F347" s="200" t="str">
        <f>"WP-"&amp;A347</f>
        <v>WP-115</v>
      </c>
      <c r="G347" s="200">
        <f>+INDEX(WP!$A:$AN,MATCH(F347,WP!$B:$B,0),MATCH("ID",WP!$A$2:$AN$2,0))</f>
        <v>400431</v>
      </c>
      <c r="I347" s="8"/>
      <c r="J347" s="180" t="s">
        <v>10762</v>
      </c>
      <c r="K347" s="201">
        <f>+INDEX(WP!$A:$AN,MATCH(F347,WP!$B:$B,0),14)</f>
        <v>5</v>
      </c>
      <c r="L347" s="202">
        <f>+INDEX(WP!$A:$AN,MATCH(F347,WP!$B:$B,0),15)</f>
        <v>150</v>
      </c>
      <c r="M347" s="202">
        <f>+INDEX(WP!$A:$AN,MATCH(F347,WP!$B:$B,0),16)</f>
        <v>90</v>
      </c>
      <c r="N347" s="202" t="e" vm="345">
        <f>IFERROR(_xlfn.IMAGE("https://natalie.tf/wp-content/uploads/2023/11/DLV3_Icon_Affinity_"&amp;O347&amp;".png"),"")</f>
        <v>#VALUE!</v>
      </c>
      <c r="O347" s="203" t="str">
        <f>+INDEX(WP!$A:$AN,MATCH(F347,WP!$B:$B,0),17)</f>
        <v>Staff</v>
      </c>
      <c r="P347" s="8" t="e" vm="456">
        <f>_xlfn.IMAGE("https://natalie.tf/wp-content/uploads/2023/10/DLV3_Icon_Ability_"&amp;INDEX('WP-A'!$A$1:$Z$498,MATCH('WP-Print'!Q347,'WP-A'!$A:$A,0),MATCH("Icon",'WP-A'!$A$1:$Z$1,0))&amp;".png")</f>
        <v>#VALUE!</v>
      </c>
      <c r="Q347" s="231" t="str">
        <f>+INDEX(WP!$A:$AN,MATCH(F347,WP!$B:$B,0),MATCH("Ability V3",WP!$A$2:$AN$2,0))</f>
        <v>Energy Doublebuff I</v>
      </c>
      <c r="R347" s="735"/>
    </row>
    <row r="348" spans="1:18" ht="7.5" customHeight="1" x14ac:dyDescent="0.2">
      <c r="A348" t="s">
        <v>10763</v>
      </c>
    </row>
    <row r="349" spans="1:18" ht="22.5" customHeight="1" x14ac:dyDescent="0.2">
      <c r="B349" s="729" t="e" vm="554">
        <f>_xlfn.IMAGE("https://natalie.tf/wp-content/uploads/2023/10/DLV3_Icon_WP_"&amp;G350&amp;"_01.png")</f>
        <v>#VALUE!</v>
      </c>
      <c r="D349" s="730" t="e" vm="555">
        <f>_xlfn.IMAGE("https://natalie.tf/wp-content/uploads/2023/10/DLV3_Icon_WP_"&amp;G350&amp;"_02.png")</f>
        <v>#VALUE!</v>
      </c>
      <c r="F349" s="717" t="str">
        <f>+INDEX(WP!$A:$AN,MATCH(F350,WP!$B:$B,0),MATCH("Name",WP!$A$2:$AN$2,0))</f>
        <v>Felyne Hospitality</v>
      </c>
      <c r="G349" s="718"/>
      <c r="H349" s="719"/>
      <c r="J349" s="180" t="s">
        <v>10761</v>
      </c>
      <c r="K349" s="201">
        <f>+INDEX(WP!$A:$AN,MATCH(F350,WP!$B:$B,0),5)</f>
        <v>5</v>
      </c>
      <c r="L349" s="202">
        <f>+INDEX(WP!$A:$AN,MATCH(F350,WP!$B:$B,0),6)</f>
        <v>88</v>
      </c>
      <c r="M349" s="202">
        <f>+INDEX(WP!$A:$AN,MATCH(F350,WP!$B:$B,0),7)</f>
        <v>32</v>
      </c>
      <c r="N349" s="202" t="str">
        <f ca="1">IFERROR(_xlfn.IMAGE("https://natalie.tf/wp-content/uploads/2023/11/DLV3_Icon_Affinity_"&amp;O349&amp;".png"),"")</f>
        <v/>
      </c>
      <c r="O349" s="203" t="str">
        <f>IF(INDEX(WP!$A:$AN,MATCH(F350,WP!$B:$B,0),8)=0,"None",INDEX(WP!$A:$AN,MATCH(F350,WP!$B:$B,0),8))</f>
        <v>None</v>
      </c>
      <c r="P349" s="8" t="e" vm="414">
        <f>_xlfn.IMAGE("https://natalie.tf/wp-content/uploads/2023/10/DLV3_Icon_Ability_"&amp;INDEX('WP-A'!$A$1:$Z$498,MATCH('WP-Print'!Q349,'WP-A'!$A:$A,0),MATCH("Icon",'WP-A'!$A$1:$Z$1,0))&amp;".png")</f>
        <v>#VALUE!</v>
      </c>
      <c r="Q349" s="231" t="str">
        <f>+INDEX(WP!$A:$AN,MATCH(F350,WP!$B:$B,0),MATCH("Ability",WP!$A$2:$AN$2,0))</f>
        <v>Critical Damage Doublebuff +15%</v>
      </c>
      <c r="R349" s="734" t="str">
        <f>+INDEX(WP!$A:$AN,MATCH(F350,WP!$B:$B,0),MATCH("Obtain From",WP!$A$2:$AN$2,0))</f>
        <v>Clear Trials: Advanced Trial (Monster Hunter Primal Crisis)</v>
      </c>
    </row>
    <row r="350" spans="1:18" ht="22.5" customHeight="1" x14ac:dyDescent="0.2">
      <c r="A350" s="204" t="str">
        <f>TEXT(A347+1,"000")</f>
        <v>116</v>
      </c>
      <c r="B350" s="729"/>
      <c r="C350" s="8"/>
      <c r="D350" s="729"/>
      <c r="E350" s="8"/>
      <c r="F350" s="200" t="str">
        <f>"WP-"&amp;A350</f>
        <v>WP-116</v>
      </c>
      <c r="G350" s="200">
        <f>+INDEX(WP!$A:$AN,MATCH(F350,WP!$B:$B,0),MATCH("ID",WP!$A$2:$AN$2,0))</f>
        <v>400417</v>
      </c>
      <c r="I350" s="8"/>
      <c r="J350" s="180" t="s">
        <v>10762</v>
      </c>
      <c r="K350" s="201">
        <f>+INDEX(WP!$A:$AN,MATCH(F350,WP!$B:$B,0),14)</f>
        <v>5</v>
      </c>
      <c r="L350" s="202">
        <f>+INDEX(WP!$A:$AN,MATCH(F350,WP!$B:$B,0),15)</f>
        <v>150</v>
      </c>
      <c r="M350" s="202">
        <f>+INDEX(WP!$A:$AN,MATCH(F350,WP!$B:$B,0),16)</f>
        <v>90</v>
      </c>
      <c r="N350" s="202" t="e" vm="340">
        <f>IFERROR(_xlfn.IMAGE("https://natalie.tf/wp-content/uploads/2023/11/DLV3_Icon_Affinity_"&amp;O350&amp;".png"),"")</f>
        <v>#VALUE!</v>
      </c>
      <c r="O350" s="203" t="str">
        <f>+INDEX(WP!$A:$AN,MATCH(F350,WP!$B:$B,0),17)</f>
        <v>Lance</v>
      </c>
      <c r="P350" s="8" t="e" vm="414">
        <f>_xlfn.IMAGE("https://natalie.tf/wp-content/uploads/2023/10/DLV3_Icon_Ability_"&amp;INDEX('WP-A'!$A$1:$Z$498,MATCH('WP-Print'!Q350,'WP-A'!$A:$A,0),MATCH("Icon",'WP-A'!$A$1:$Z$1,0))&amp;".png")</f>
        <v>#VALUE!</v>
      </c>
      <c r="Q350" s="231" t="str">
        <f>+INDEX(WP!$A:$AN,MATCH(F350,WP!$B:$B,0),MATCH("Ability V3",WP!$A$2:$AN$2,0))</f>
        <v>Critical Damage Doublebuff +15%</v>
      </c>
      <c r="R350" s="735"/>
    </row>
    <row r="351" spans="1:18" ht="7.5" customHeight="1" x14ac:dyDescent="0.2">
      <c r="A351" t="s">
        <v>10763</v>
      </c>
    </row>
    <row r="352" spans="1:18" ht="22.5" customHeight="1" x14ac:dyDescent="0.2">
      <c r="B352" s="729" t="e" vm="556">
        <f>_xlfn.IMAGE("https://natalie.tf/wp-content/uploads/2023/10/DLV3_Icon_WP_"&amp;G353&amp;"_01.png")</f>
        <v>#VALUE!</v>
      </c>
      <c r="D352" s="730" t="e" vm="557">
        <f>_xlfn.IMAGE("https://natalie.tf/wp-content/uploads/2023/10/DLV3_Icon_WP_"&amp;G353&amp;"_02.png")</f>
        <v>#VALUE!</v>
      </c>
      <c r="F352" s="717" t="str">
        <f>+INDEX(WP!$A:$AN,MATCH(F353,WP!$B:$B,0),MATCH("Name",WP!$A$2:$AN$2,0))</f>
        <v>A Suit of Midnight</v>
      </c>
      <c r="G352" s="718"/>
      <c r="H352" s="719"/>
      <c r="J352" s="180" t="s">
        <v>10761</v>
      </c>
      <c r="K352" s="201">
        <f>+INDEX(WP!$A:$AN,MATCH(F353,WP!$B:$B,0),5)</f>
        <v>5</v>
      </c>
      <c r="L352" s="202">
        <f>+INDEX(WP!$A:$AN,MATCH(F353,WP!$B:$B,0),6)</f>
        <v>94</v>
      </c>
      <c r="M352" s="202">
        <f>+INDEX(WP!$A:$AN,MATCH(F353,WP!$B:$B,0),7)</f>
        <v>26</v>
      </c>
      <c r="N352" s="202" t="str">
        <f ca="1">IFERROR(_xlfn.IMAGE("https://natalie.tf/wp-content/uploads/2023/11/DLV3_Icon_Affinity_"&amp;O352&amp;".png"),"")</f>
        <v/>
      </c>
      <c r="O352" s="203" t="str">
        <f>IF(INDEX(WP!$A:$AN,MATCH(F353,WP!$B:$B,0),8)=0,"None",INDEX(WP!$A:$AN,MATCH(F353,WP!$B:$B,0),8))</f>
        <v>None</v>
      </c>
      <c r="P352" s="8" t="e" vm="453">
        <f>_xlfn.IMAGE("https://natalie.tf/wp-content/uploads/2023/10/DLV3_Icon_Ability_"&amp;INDEX('WP-A'!$A$1:$Z$498,MATCH('WP-Print'!Q352,'WP-A'!$A:$A,0),MATCH("Icon",'WP-A'!$A$1:$Z$1,0))&amp;".png")</f>
        <v>#VALUE!</v>
      </c>
      <c r="Q352" s="231" t="str">
        <f>+INDEX(WP!$A:$AN,MATCH(F353,WP!$B:$B,0),MATCH("Ability",WP!$A$2:$AN$2,0))</f>
        <v>(Shadow) Affliction Guard III</v>
      </c>
      <c r="R352" s="734" t="str">
        <f>+INDEX(WP!$A:$AN,MATCH(F353,WP!$B:$B,0),MATCH("Obtain From",WP!$A$2:$AN$2,0))</f>
        <v>Clear Trials: Dreadking's Trial (Monster Hunter Primal Crisis)</v>
      </c>
    </row>
    <row r="353" spans="1:18" ht="22.5" customHeight="1" x14ac:dyDescent="0.2">
      <c r="A353" s="204" t="str">
        <f>TEXT(A350+1,"000")</f>
        <v>117</v>
      </c>
      <c r="B353" s="729"/>
      <c r="C353" s="8"/>
      <c r="D353" s="729"/>
      <c r="E353" s="8"/>
      <c r="F353" s="200" t="str">
        <f>"WP-"&amp;A353</f>
        <v>WP-117</v>
      </c>
      <c r="G353" s="200">
        <f>+INDEX(WP!$A:$AN,MATCH(F353,WP!$B:$B,0),MATCH("ID",WP!$A$2:$AN$2,0))</f>
        <v>400416</v>
      </c>
      <c r="I353" s="8"/>
      <c r="J353" s="180" t="s">
        <v>10762</v>
      </c>
      <c r="K353" s="201">
        <f>+INDEX(WP!$A:$AN,MATCH(F353,WP!$B:$B,0),14)</f>
        <v>5</v>
      </c>
      <c r="L353" s="202">
        <f>+INDEX(WP!$A:$AN,MATCH(F353,WP!$B:$B,0),15)</f>
        <v>150</v>
      </c>
      <c r="M353" s="202">
        <f>+INDEX(WP!$A:$AN,MATCH(F353,WP!$B:$B,0),16)</f>
        <v>90</v>
      </c>
      <c r="N353" s="202" t="e" vm="362">
        <f>IFERROR(_xlfn.IMAGE("https://natalie.tf/wp-content/uploads/2023/11/DLV3_Icon_Affinity_"&amp;O353&amp;".png"),"")</f>
        <v>#VALUE!</v>
      </c>
      <c r="O353" s="203" t="str">
        <f>+INDEX(WP!$A:$AN,MATCH(F353,WP!$B:$B,0),17)</f>
        <v>Bat</v>
      </c>
      <c r="P353" s="8" t="e" vm="453">
        <f>_xlfn.IMAGE("https://natalie.tf/wp-content/uploads/2023/10/DLV3_Icon_Ability_"&amp;INDEX('WP-A'!$A$1:$Z$498,MATCH('WP-Print'!Q353,'WP-A'!$A:$A,0),MATCH("Icon",'WP-A'!$A$1:$Z$1,0))&amp;".png")</f>
        <v>#VALUE!</v>
      </c>
      <c r="Q353" s="231" t="str">
        <f>+INDEX(WP!$A:$AN,MATCH(F353,WP!$B:$B,0),MATCH("Ability V3",WP!$A$2:$AN$2,0))</f>
        <v>(Shadow) Affliction Guard</v>
      </c>
      <c r="R353" s="735"/>
    </row>
    <row r="354" spans="1:18" ht="7.5" customHeight="1" x14ac:dyDescent="0.2">
      <c r="A354" t="s">
        <v>10763</v>
      </c>
    </row>
    <row r="355" spans="1:18" ht="22.5" customHeight="1" x14ac:dyDescent="0.2">
      <c r="B355" s="729" t="e" vm="558">
        <f>_xlfn.IMAGE("https://natalie.tf/wp-content/uploads/2023/10/DLV3_Icon_WP_"&amp;G356&amp;"_01.png")</f>
        <v>#VALUE!</v>
      </c>
      <c r="D355" s="730" t="e" vm="559">
        <f>_xlfn.IMAGE("https://natalie.tf/wp-content/uploads/2023/10/DLV3_Icon_WP_"&amp;G356&amp;"_02.png")</f>
        <v>#VALUE!</v>
      </c>
      <c r="F355" s="717" t="str">
        <f>+INDEX(WP!$A:$AN,MATCH(F356,WP!$B:$B,0),MATCH("Name",WP!$A$2:$AN$2,0))</f>
        <v>Unexpected Requests</v>
      </c>
      <c r="G355" s="718"/>
      <c r="H355" s="719"/>
      <c r="J355" s="180" t="s">
        <v>10761</v>
      </c>
      <c r="K355" s="201">
        <f>+INDEX(WP!$A:$AN,MATCH(F356,WP!$B:$B,0),5)</f>
        <v>5</v>
      </c>
      <c r="L355" s="202">
        <f>+INDEX(WP!$A:$AN,MATCH(F356,WP!$B:$B,0),6)</f>
        <v>88</v>
      </c>
      <c r="M355" s="202">
        <f>+INDEX(WP!$A:$AN,MATCH(F356,WP!$B:$B,0),7)</f>
        <v>32</v>
      </c>
      <c r="N355" s="202" t="e" vm="381">
        <f>IFERROR(_xlfn.IMAGE("https://natalie.tf/wp-content/uploads/2023/11/DLV3_Icon_Affinity_"&amp;O355&amp;".png"),"")</f>
        <v>#VALUE!</v>
      </c>
      <c r="O355" s="203" t="str">
        <f>IF(INDEX(WP!$A:$AN,MATCH(F356,WP!$B:$B,0),8)=0,"None",INDEX(WP!$A:$AN,MATCH(F356,WP!$B:$B,0),8))</f>
        <v>Dragon</v>
      </c>
      <c r="P355" s="8" t="e" vm="326">
        <f>_xlfn.IMAGE("https://natalie.tf/wp-content/uploads/2023/10/DLV3_Icon_Ability_"&amp;INDEX('WP-A'!$A$1:$Z$498,MATCH('WP-Print'!Q355,'WP-A'!$A:$A,0),MATCH("Icon",'WP-A'!$A$1:$Z$1,0))&amp;".png")</f>
        <v>#VALUE!</v>
      </c>
      <c r="Q355" s="231" t="str">
        <f>+INDEX(WP!$A:$AN,MATCH(F356,WP!$B:$B,0),MATCH("Ability",WP!$A$2:$AN$2,0))</f>
        <v>Last Devastation +30%</v>
      </c>
      <c r="R355" s="734" t="str">
        <f>+INDEX(WP!$A:$AN,MATCH(F356,WP!$B:$B,0),MATCH("Obtain From",WP!$A$2:$AN$2,0))</f>
        <v>Clear Fatalis Clash: G★★★ (Monster Hunter Primal Crisis)</v>
      </c>
    </row>
    <row r="356" spans="1:18" ht="22.5" customHeight="1" x14ac:dyDescent="0.2">
      <c r="A356" s="204" t="str">
        <f>TEXT(A353+1,"000")</f>
        <v>118</v>
      </c>
      <c r="B356" s="729"/>
      <c r="C356" s="8"/>
      <c r="D356" s="729"/>
      <c r="E356" s="8"/>
      <c r="F356" s="200" t="str">
        <f>"WP-"&amp;A356</f>
        <v>WP-118</v>
      </c>
      <c r="G356" s="200">
        <f>+INDEX(WP!$A:$AN,MATCH(F356,WP!$B:$B,0),MATCH("ID",WP!$A$2:$AN$2,0))</f>
        <v>400419</v>
      </c>
      <c r="I356" s="8"/>
      <c r="J356" s="180" t="s">
        <v>10762</v>
      </c>
      <c r="K356" s="201">
        <f>+INDEX(WP!$A:$AN,MATCH(F356,WP!$B:$B,0),14)</f>
        <v>5</v>
      </c>
      <c r="L356" s="202">
        <f>+INDEX(WP!$A:$AN,MATCH(F356,WP!$B:$B,0),15)</f>
        <v>150</v>
      </c>
      <c r="M356" s="202">
        <f>+INDEX(WP!$A:$AN,MATCH(F356,WP!$B:$B,0),16)</f>
        <v>90</v>
      </c>
      <c r="N356" s="202" t="e" vm="381">
        <f>IFERROR(_xlfn.IMAGE("https://natalie.tf/wp-content/uploads/2023/11/DLV3_Icon_Affinity_"&amp;O356&amp;".png"),"")</f>
        <v>#VALUE!</v>
      </c>
      <c r="O356" s="203" t="str">
        <f>+INDEX(WP!$A:$AN,MATCH(F356,WP!$B:$B,0),17)</f>
        <v>Dragon</v>
      </c>
      <c r="P356" s="8" t="e" vm="326">
        <f>_xlfn.IMAGE("https://natalie.tf/wp-content/uploads/2023/10/DLV3_Icon_Ability_"&amp;INDEX('WP-A'!$A$1:$Z$498,MATCH('WP-Print'!Q356,'WP-A'!$A:$A,0),MATCH("Icon",'WP-A'!$A$1:$Z$1,0))&amp;".png")</f>
        <v>#VALUE!</v>
      </c>
      <c r="Q356" s="231" t="str">
        <f>+INDEX(WP!$A:$AN,MATCH(F356,WP!$B:$B,0),MATCH("Ability V3",WP!$A$2:$AN$2,0))</f>
        <v>Last Devastation +40%</v>
      </c>
      <c r="R356" s="735"/>
    </row>
    <row r="357" spans="1:18" ht="7.5" customHeight="1" x14ac:dyDescent="0.2">
      <c r="A357" t="s">
        <v>10763</v>
      </c>
    </row>
    <row r="358" spans="1:18" ht="22.5" customHeight="1" x14ac:dyDescent="0.2">
      <c r="B358" s="729" t="e" vm="560">
        <f>_xlfn.IMAGE("https://natalie.tf/wp-content/uploads/2023/10/DLV3_Icon_WP_"&amp;G359&amp;"_01.png")</f>
        <v>#VALUE!</v>
      </c>
      <c r="D358" s="730" t="e" vm="560">
        <f>_xlfn.IMAGE("https://natalie.tf/wp-content/uploads/2023/10/DLV3_Icon_WP_"&amp;G359&amp;"_01.png")</f>
        <v>#VALUE!</v>
      </c>
      <c r="F358" s="717" t="str">
        <f>+INDEX(WP!$A:$AN,MATCH(F359,WP!$B:$B,0),MATCH("Name",WP!$A$2:$AN$2,0))</f>
        <v>Primal Crisis</v>
      </c>
      <c r="G358" s="718"/>
      <c r="H358" s="719"/>
      <c r="J358" s="180" t="s">
        <v>10761</v>
      </c>
      <c r="K358" s="201">
        <f>+INDEX(WP!$A:$AN,MATCH(F359,WP!$B:$B,0),5)</f>
        <v>5</v>
      </c>
      <c r="L358" s="202">
        <f>+INDEX(WP!$A:$AN,MATCH(F359,WP!$B:$B,0),6)</f>
        <v>75</v>
      </c>
      <c r="M358" s="202">
        <f>+INDEX(WP!$A:$AN,MATCH(F359,WP!$B:$B,0),7)</f>
        <v>28</v>
      </c>
      <c r="N358" s="202" t="str">
        <f ca="1">IFERROR(_xlfn.IMAGE("https://natalie.tf/wp-content/uploads/2023/11/DLV3_Icon_Affinity_"&amp;O358&amp;".png"),"")</f>
        <v/>
      </c>
      <c r="O358" s="203" t="str">
        <f>IF(INDEX(WP!$A:$AN,MATCH(F359,WP!$B:$B,0),8)=0,"None",INDEX(WP!$A:$AN,MATCH(F359,WP!$B:$B,0),8))</f>
        <v>None</v>
      </c>
      <c r="P358" s="8" t="e" vm="14">
        <f>_xlfn.IMAGE("https://natalie.tf/wp-content/uploads/2023/10/DLV3_Icon_Ability_"&amp;INDEX('WP-A'!$A$1:$Z$498,MATCH('WP-Print'!Q358,'WP-A'!$A:$A,0),MATCH("Icon",'WP-A'!$A$1:$Z$1,0))&amp;".png")</f>
        <v>#VALUE!</v>
      </c>
      <c r="Q358" s="231" t="str">
        <f>+INDEX(WP!$A:$AN,MATCH(F359,WP!$B:$B,0),MATCH("Ability",WP!$A$2:$AN$2,0))</f>
        <v>Flurry Strength +20%</v>
      </c>
      <c r="R358" s="734" t="str">
        <f>+INDEX(WP!$A:$AN,MATCH(F359,WP!$B:$B,0),MATCH("Obtain From",WP!$A$2:$AN$2,0))</f>
        <v>Clear Fatalis Clash: EX (Monster Hunter Primal Crisis)</v>
      </c>
    </row>
    <row r="359" spans="1:18" ht="22.5" customHeight="1" x14ac:dyDescent="0.2">
      <c r="A359" s="204" t="str">
        <f>TEXT(A356+1,"000")</f>
        <v>119</v>
      </c>
      <c r="B359" s="729"/>
      <c r="C359" s="8"/>
      <c r="D359" s="729"/>
      <c r="E359" s="8"/>
      <c r="F359" s="200" t="str">
        <f>"WP-"&amp;A359</f>
        <v>WP-119</v>
      </c>
      <c r="G359" s="200">
        <f>+INDEX(WP!$A:$AN,MATCH(F359,WP!$B:$B,0),MATCH("ID",WP!$A$2:$AN$2,0))</f>
        <v>400424</v>
      </c>
      <c r="I359" s="8"/>
      <c r="J359" s="180" t="s">
        <v>10762</v>
      </c>
      <c r="K359" s="201">
        <f>+INDEX(WP!$A:$AN,MATCH(F359,WP!$B:$B,0),14)</f>
        <v>5</v>
      </c>
      <c r="L359" s="202">
        <f>+INDEX(WP!$A:$AN,MATCH(F359,WP!$B:$B,0),15)</f>
        <v>150</v>
      </c>
      <c r="M359" s="202">
        <f>+INDEX(WP!$A:$AN,MATCH(F359,WP!$B:$B,0),16)</f>
        <v>90</v>
      </c>
      <c r="N359" s="202" t="e" vm="346">
        <f>IFERROR(_xlfn.IMAGE("https://natalie.tf/wp-content/uploads/2023/11/DLV3_Icon_Affinity_"&amp;O359&amp;".png"),"")</f>
        <v>#VALUE!</v>
      </c>
      <c r="O359" s="203" t="str">
        <f>+INDEX(WP!$A:$AN,MATCH(F359,WP!$B:$B,0),17)</f>
        <v>Bull</v>
      </c>
      <c r="P359" s="8" t="e" vm="14">
        <f>_xlfn.IMAGE("https://natalie.tf/wp-content/uploads/2023/10/DLV3_Icon_Ability_"&amp;INDEX('WP-A'!$A$1:$Z$498,MATCH('WP-Print'!Q359,'WP-A'!$A:$A,0),MATCH("Icon",'WP-A'!$A$1:$Z$1,0))&amp;".png")</f>
        <v>#VALUE!</v>
      </c>
      <c r="Q359" s="231" t="str">
        <f>+INDEX(WP!$A:$AN,MATCH(F359,WP!$B:$B,0),MATCH("Ability V3",WP!$A$2:$AN$2,0))</f>
        <v>Flurry Strength +20%</v>
      </c>
      <c r="R359" s="735"/>
    </row>
    <row r="360" spans="1:18" ht="7.5" customHeight="1" x14ac:dyDescent="0.2">
      <c r="A360" t="s">
        <v>10763</v>
      </c>
    </row>
    <row r="361" spans="1:18" ht="22.5" customHeight="1" x14ac:dyDescent="0.2">
      <c r="B361" s="729" t="e" vm="561">
        <f>_xlfn.IMAGE("https://natalie.tf/wp-content/uploads/2023/10/DLV3_Icon_WP_"&amp;G362&amp;"_01.png")</f>
        <v>#VALUE!</v>
      </c>
      <c r="D361" s="730" t="e" vm="562">
        <f>_xlfn.IMAGE("https://natalie.tf/wp-content/uploads/2023/10/DLV3_Icon_WP_"&amp;G362&amp;"_02.png")</f>
        <v>#VALUE!</v>
      </c>
      <c r="F361" s="717" t="str">
        <f>+INDEX(WP!$A:$AN,MATCH(F362,WP!$B:$B,0),MATCH("Name",WP!$A$2:$AN$2,0))</f>
        <v>The Lurker in the Woods</v>
      </c>
      <c r="G361" s="718"/>
      <c r="H361" s="719"/>
      <c r="J361" s="180" t="s">
        <v>10761</v>
      </c>
      <c r="K361" s="201">
        <f>+INDEX(WP!$A:$AN,MATCH(F362,WP!$B:$B,0),5)</f>
        <v>5</v>
      </c>
      <c r="L361" s="202">
        <f>+INDEX(WP!$A:$AN,MATCH(F362,WP!$B:$B,0),6)</f>
        <v>88</v>
      </c>
      <c r="M361" s="202">
        <f>+INDEX(WP!$A:$AN,MATCH(F362,WP!$B:$B,0),7)</f>
        <v>32</v>
      </c>
      <c r="N361" s="202" t="str">
        <f ca="1">IFERROR(_xlfn.IMAGE("https://natalie.tf/wp-content/uploads/2023/11/DLV3_Icon_Affinity_"&amp;O361&amp;".png"),"")</f>
        <v/>
      </c>
      <c r="O361" s="203" t="str">
        <f>IF(INDEX(WP!$A:$AN,MATCH(F362,WP!$B:$B,0),8)=0,"None",INDEX(WP!$A:$AN,MATCH(F362,WP!$B:$B,0),8))</f>
        <v>None</v>
      </c>
      <c r="P361" s="8" t="e" vm="7">
        <f>_xlfn.IMAGE("https://natalie.tf/wp-content/uploads/2023/10/DLV3_Icon_Ability_"&amp;INDEX('WP-A'!$A$1:$Z$498,MATCH('WP-Print'!Q361,'WP-A'!$A:$A,0),MATCH("Icon",'WP-A'!$A$1:$Z$1,0))&amp;".png")</f>
        <v>#VALUE!</v>
      </c>
      <c r="Q361" s="231" t="str">
        <f>+INDEX(WP!$A:$AN,MATCH(F362,WP!$B:$B,0),MATCH("Ability",WP!$A$2:$AN$2,0))</f>
        <v>Force Strike +50%</v>
      </c>
      <c r="R361" s="734" t="str">
        <f>+INDEX(WP!$A:$AN,MATCH(F362,WP!$B:$B,0),MATCH("Obtain From",WP!$A$2:$AN$2,0))</f>
        <v>Clear Trials: Rathalos's Trial (Monster Hunter Primal Crisis)</v>
      </c>
    </row>
    <row r="362" spans="1:18" ht="22.5" customHeight="1" x14ac:dyDescent="0.2">
      <c r="A362" s="204" t="str">
        <f>TEXT(A359+1,"000")</f>
        <v>120</v>
      </c>
      <c r="B362" s="729"/>
      <c r="C362" s="8"/>
      <c r="D362" s="729"/>
      <c r="E362" s="8"/>
      <c r="F362" s="200" t="str">
        <f>"WP-"&amp;A362</f>
        <v>WP-120</v>
      </c>
      <c r="G362" s="200">
        <f>+INDEX(WP!$A:$AN,MATCH(F362,WP!$B:$B,0),MATCH("ID",WP!$A$2:$AN$2,0))</f>
        <v>400418</v>
      </c>
      <c r="I362" s="8"/>
      <c r="J362" s="180" t="s">
        <v>10762</v>
      </c>
      <c r="K362" s="201">
        <f>+INDEX(WP!$A:$AN,MATCH(F362,WP!$B:$B,0),14)</f>
        <v>5</v>
      </c>
      <c r="L362" s="202">
        <f>+INDEX(WP!$A:$AN,MATCH(F362,WP!$B:$B,0),15)</f>
        <v>150</v>
      </c>
      <c r="M362" s="202">
        <f>+INDEX(WP!$A:$AN,MATCH(F362,WP!$B:$B,0),16)</f>
        <v>90</v>
      </c>
      <c r="N362" s="202" t="e" vm="354">
        <f>IFERROR(_xlfn.IMAGE("https://natalie.tf/wp-content/uploads/2023/11/DLV3_Icon_Affinity_"&amp;O362&amp;".png"),"")</f>
        <v>#VALUE!</v>
      </c>
      <c r="O362" s="203" t="str">
        <f>+INDEX(WP!$A:$AN,MATCH(F362,WP!$B:$B,0),17)</f>
        <v>Butterfly</v>
      </c>
      <c r="P362" s="8" t="e" vm="7">
        <f>_xlfn.IMAGE("https://natalie.tf/wp-content/uploads/2023/10/DLV3_Icon_Ability_"&amp;INDEX('WP-A'!$A$1:$Z$498,MATCH('WP-Print'!Q362,'WP-A'!$A:$A,0),MATCH("Icon",'WP-A'!$A$1:$Z$1,0))&amp;".png")</f>
        <v>#VALUE!</v>
      </c>
      <c r="Q362" s="231" t="str">
        <f>+INDEX(WP!$A:$AN,MATCH(F362,WP!$B:$B,0),MATCH("Ability V3",WP!$A$2:$AN$2,0))</f>
        <v>Force Strike +50%</v>
      </c>
      <c r="R362" s="735"/>
    </row>
    <row r="363" spans="1:18" ht="7.5" customHeight="1" x14ac:dyDescent="0.2">
      <c r="A363" t="s">
        <v>10763</v>
      </c>
    </row>
    <row r="364" spans="1:18" ht="22.5" customHeight="1" x14ac:dyDescent="0.2">
      <c r="B364" s="729" t="e" vm="563">
        <f>_xlfn.IMAGE("https://natalie.tf/wp-content/uploads/2023/10/DLV3_Icon_WP_"&amp;G365&amp;"_01.png")</f>
        <v>#VALUE!</v>
      </c>
      <c r="D364" s="730" t="e" vm="564">
        <f>_xlfn.IMAGE("https://natalie.tf/wp-content/uploads/2023/10/DLV3_Icon_WP_"&amp;G365&amp;"_02.png")</f>
        <v>#VALUE!</v>
      </c>
      <c r="F364" s="717" t="str">
        <f>+INDEX(WP!$A:$AN,MATCH(F365,WP!$B:$B,0),MATCH("Name",WP!$A$2:$AN$2,0))</f>
        <v>The Fires of Hate</v>
      </c>
      <c r="G364" s="718"/>
      <c r="H364" s="719"/>
      <c r="J364" s="180" t="s">
        <v>10761</v>
      </c>
      <c r="K364" s="201">
        <f>+INDEX(WP!$A:$AN,MATCH(F365,WP!$B:$B,0),5)</f>
        <v>5</v>
      </c>
      <c r="L364" s="202">
        <f>+INDEX(WP!$A:$AN,MATCH(F365,WP!$B:$B,0),6)</f>
        <v>88</v>
      </c>
      <c r="M364" s="202">
        <f>+INDEX(WP!$A:$AN,MATCH(F365,WP!$B:$B,0),7)</f>
        <v>32</v>
      </c>
      <c r="N364" s="202" t="e" vm="339">
        <f>IFERROR(_xlfn.IMAGE("https://natalie.tf/wp-content/uploads/2023/11/DLV3_Icon_Affinity_"&amp;O364&amp;".png"),"")</f>
        <v>#VALUE!</v>
      </c>
      <c r="O364" s="203" t="str">
        <f>IF(INDEX(WP!$A:$AN,MATCH(F365,WP!$B:$B,0),8)=0,"None",INDEX(WP!$A:$AN,MATCH(F365,WP!$B:$B,0),8))</f>
        <v>Sword</v>
      </c>
      <c r="P364" s="8" t="e" vm="14">
        <f>_xlfn.IMAGE("https://natalie.tf/wp-content/uploads/2023/10/DLV3_Icon_Ability_"&amp;INDEX('WP-A'!$A$1:$Z$498,MATCH('WP-Print'!Q364,'WP-A'!$A:$A,0),MATCH("Icon",'WP-A'!$A$1:$Z$1,0))&amp;".png")</f>
        <v>#VALUE!</v>
      </c>
      <c r="Q364" s="231" t="str">
        <f>+INDEX(WP!$A:$AN,MATCH(F365,WP!$B:$B,0),MATCH("Ability",WP!$A$2:$AN$2,0))</f>
        <v>Full HP = Strength +15%</v>
      </c>
      <c r="R364" s="734" t="str">
        <f>+INDEX(WP!$A:$AN,MATCH(F365,WP!$B:$B,0),MATCH("Obtain From",WP!$A$2:$AN$2,0))</f>
        <v>Obtain From Ch. 14 EX 1 Chest (Normal) (Non-Endeavor)</v>
      </c>
    </row>
    <row r="365" spans="1:18" ht="22.5" customHeight="1" x14ac:dyDescent="0.2">
      <c r="A365" s="204" t="str">
        <f>TEXT(A362+1,"000")</f>
        <v>121</v>
      </c>
      <c r="B365" s="729"/>
      <c r="C365" s="8"/>
      <c r="D365" s="729"/>
      <c r="E365" s="8"/>
      <c r="F365" s="200" t="str">
        <f>"WP-"&amp;A365</f>
        <v>WP-121</v>
      </c>
      <c r="G365" s="200">
        <f>+INDEX(WP!$A:$AN,MATCH(F365,WP!$B:$B,0),MATCH("ID",WP!$A$2:$AN$2,0))</f>
        <v>400413</v>
      </c>
      <c r="I365" s="8"/>
      <c r="J365" s="180" t="s">
        <v>10762</v>
      </c>
      <c r="K365" s="201">
        <f>+INDEX(WP!$A:$AN,MATCH(F365,WP!$B:$B,0),14)</f>
        <v>5</v>
      </c>
      <c r="L365" s="202">
        <f>+INDEX(WP!$A:$AN,MATCH(F365,WP!$B:$B,0),15)</f>
        <v>150</v>
      </c>
      <c r="M365" s="202">
        <f>+INDEX(WP!$A:$AN,MATCH(F365,WP!$B:$B,0),16)</f>
        <v>90</v>
      </c>
      <c r="N365" s="202" t="e" vm="343">
        <f>IFERROR(_xlfn.IMAGE("https://natalie.tf/wp-content/uploads/2023/11/DLV3_Icon_Affinity_"&amp;O365&amp;".png"),"")</f>
        <v>#VALUE!</v>
      </c>
      <c r="O365" s="203" t="str">
        <f>+INDEX(WP!$A:$AN,MATCH(F365,WP!$B:$B,0),17)</f>
        <v>Axe</v>
      </c>
      <c r="P365" s="8" t="e" vm="14">
        <f>_xlfn.IMAGE("https://natalie.tf/wp-content/uploads/2023/10/DLV3_Icon_Ability_"&amp;INDEX('WP-A'!$A$1:$Z$498,MATCH('WP-Print'!Q365,'WP-A'!$A:$A,0),MATCH("Icon",'WP-A'!$A$1:$Z$1,0))&amp;".png")</f>
        <v>#VALUE!</v>
      </c>
      <c r="Q365" s="231" t="str">
        <f>+INDEX(WP!$A:$AN,MATCH(F365,WP!$B:$B,0),MATCH("Ability V3",WP!$A$2:$AN$2,0))</f>
        <v>Strength +15%</v>
      </c>
      <c r="R365" s="735"/>
    </row>
    <row r="366" spans="1:18" ht="7.5" customHeight="1" x14ac:dyDescent="0.2">
      <c r="A366" t="s">
        <v>10763</v>
      </c>
    </row>
    <row r="367" spans="1:18" ht="22.5" customHeight="1" x14ac:dyDescent="0.2">
      <c r="B367" s="729" t="e" vm="565">
        <f>_xlfn.IMAGE("https://natalie.tf/wp-content/uploads/2023/10/DLV3_Icon_WP_"&amp;G368&amp;"_01.png")</f>
        <v>#VALUE!</v>
      </c>
      <c r="D367" s="730" t="e" vm="566">
        <f>_xlfn.IMAGE("https://natalie.tf/wp-content/uploads/2023/10/DLV3_Icon_WP_"&amp;G368&amp;"_02.png")</f>
        <v>#VALUE!</v>
      </c>
      <c r="F367" s="717" t="str">
        <f>+INDEX(WP!$A:$AN,MATCH(F368,WP!$B:$B,0),MATCH("Name",WP!$A$2:$AN$2,0))</f>
        <v>Berry Lovable Friends</v>
      </c>
      <c r="G367" s="718"/>
      <c r="H367" s="719"/>
      <c r="J367" s="180" t="s">
        <v>10761</v>
      </c>
      <c r="K367" s="201">
        <f>+INDEX(WP!$A:$AN,MATCH(F368,WP!$B:$B,0),5)</f>
        <v>5</v>
      </c>
      <c r="L367" s="202">
        <f>+INDEX(WP!$A:$AN,MATCH(F368,WP!$B:$B,0),6)</f>
        <v>75</v>
      </c>
      <c r="M367" s="202">
        <f>+INDEX(WP!$A:$AN,MATCH(F368,WP!$B:$B,0),7)</f>
        <v>27</v>
      </c>
      <c r="N367" s="202" t="str">
        <f ca="1">IFERROR(_xlfn.IMAGE("https://natalie.tf/wp-content/uploads/2023/11/DLV3_Icon_Affinity_"&amp;O367&amp;".png"),"")</f>
        <v/>
      </c>
      <c r="O367" s="203" t="str">
        <f>IF(INDEX(WP!$A:$AN,MATCH(F368,WP!$B:$B,0),8)=0,"None",INDEX(WP!$A:$AN,MATCH(F368,WP!$B:$B,0),8))</f>
        <v>None</v>
      </c>
      <c r="P367" s="8" t="e" vm="322">
        <f>_xlfn.IMAGE("https://natalie.tf/wp-content/uploads/2023/10/DLV3_Icon_Ability_"&amp;INDEX('WP-A'!$A$1:$Z$498,MATCH('WP-Print'!Q367,'WP-A'!$A:$A,0),MATCH("Icon",'WP-A'!$A$1:$Z$1,0))&amp;".png")</f>
        <v>#VALUE!</v>
      </c>
      <c r="Q367" s="231" t="str">
        <f>+INDEX(WP!$A:$AN,MATCH(F368,WP!$B:$B,0),MATCH("Ability",WP!$A$2:$AN$2,0))</f>
        <v>Full HP = Skill Damage +40%</v>
      </c>
      <c r="R367" s="734" t="str">
        <f>+INDEX(WP!$A:$AN,MATCH(F368,WP!$B:$B,0),MATCH("Obtain From",WP!$A$2:$AN$2,0))</f>
        <v>Clear Nature's Bounty - À La Carte: Beginner (A Dash of Disaster)</v>
      </c>
    </row>
    <row r="368" spans="1:18" ht="22.5" customHeight="1" x14ac:dyDescent="0.2">
      <c r="A368" s="204" t="str">
        <f>TEXT(A365+1,"000")</f>
        <v>122</v>
      </c>
      <c r="B368" s="729"/>
      <c r="C368" s="8"/>
      <c r="D368" s="729"/>
      <c r="E368" s="8"/>
      <c r="F368" s="200" t="str">
        <f>"WP-"&amp;A368</f>
        <v>WP-122</v>
      </c>
      <c r="G368" s="200">
        <f>+INDEX(WP!$A:$AN,MATCH(F368,WP!$B:$B,0),MATCH("ID",WP!$A$2:$AN$2,0))</f>
        <v>400288</v>
      </c>
      <c r="I368" s="8"/>
      <c r="J368" s="180" t="s">
        <v>10762</v>
      </c>
      <c r="K368" s="201">
        <f>+INDEX(WP!$A:$AN,MATCH(F368,WP!$B:$B,0),14)</f>
        <v>5</v>
      </c>
      <c r="L368" s="202">
        <f>+INDEX(WP!$A:$AN,MATCH(F368,WP!$B:$B,0),15)</f>
        <v>150</v>
      </c>
      <c r="M368" s="202">
        <f>+INDEX(WP!$A:$AN,MATCH(F368,WP!$B:$B,0),16)</f>
        <v>90</v>
      </c>
      <c r="N368" s="202" t="e" vm="338">
        <f>IFERROR(_xlfn.IMAGE("https://natalie.tf/wp-content/uploads/2023/11/DLV3_Icon_Affinity_"&amp;O368&amp;".png"),"")</f>
        <v>#VALUE!</v>
      </c>
      <c r="O368" s="203" t="str">
        <f>+INDEX(WP!$A:$AN,MATCH(F368,WP!$B:$B,0),17)</f>
        <v>Wolf</v>
      </c>
      <c r="P368" s="8" t="e" vm="322">
        <f>_xlfn.IMAGE("https://natalie.tf/wp-content/uploads/2023/10/DLV3_Icon_Ability_"&amp;INDEX('WP-A'!$A$1:$Z$498,MATCH('WP-Print'!Q368,'WP-A'!$A:$A,0),MATCH("Icon",'WP-A'!$A$1:$Z$1,0))&amp;".png")</f>
        <v>#VALUE!</v>
      </c>
      <c r="Q368" s="231" t="str">
        <f>+INDEX(WP!$A:$AN,MATCH(F368,WP!$B:$B,0),MATCH("Ability V3",WP!$A$2:$AN$2,0))</f>
        <v>Skill Damage +30%</v>
      </c>
      <c r="R368" s="735"/>
    </row>
    <row r="369" spans="1:18" ht="7.5" customHeight="1" x14ac:dyDescent="0.2">
      <c r="A369" t="s">
        <v>10763</v>
      </c>
    </row>
    <row r="370" spans="1:18" ht="22.5" customHeight="1" x14ac:dyDescent="0.2">
      <c r="B370" s="729" t="e" vm="567">
        <f>_xlfn.IMAGE("https://natalie.tf/wp-content/uploads/2023/10/DLV3_Icon_WP_"&amp;G371&amp;"_01.png")</f>
        <v>#VALUE!</v>
      </c>
      <c r="D370" s="730" t="e" vm="568">
        <f>_xlfn.IMAGE("https://natalie.tf/wp-content/uploads/2023/10/DLV3_Icon_WP_"&amp;G371&amp;"_02.png")</f>
        <v>#VALUE!</v>
      </c>
      <c r="F370" s="717" t="str">
        <f>+INDEX(WP!$A:$AN,MATCH(F371,WP!$B:$B,0),MATCH("Name",WP!$A$2:$AN$2,0))</f>
        <v>Breakfast at Valerio's</v>
      </c>
      <c r="G370" s="718"/>
      <c r="H370" s="719"/>
      <c r="J370" s="180" t="s">
        <v>10761</v>
      </c>
      <c r="K370" s="201">
        <f>+INDEX(WP!$A:$AN,MATCH(F371,WP!$B:$B,0),5)</f>
        <v>5</v>
      </c>
      <c r="L370" s="202">
        <f>+INDEX(WP!$A:$AN,MATCH(F371,WP!$B:$B,0),6)</f>
        <v>88</v>
      </c>
      <c r="M370" s="202">
        <f>+INDEX(WP!$A:$AN,MATCH(F371,WP!$B:$B,0),7)</f>
        <v>32</v>
      </c>
      <c r="N370" s="202" t="str">
        <f ca="1">IFERROR(_xlfn.IMAGE("https://natalie.tf/wp-content/uploads/2023/11/DLV3_Icon_Affinity_"&amp;O370&amp;".png"),"")</f>
        <v/>
      </c>
      <c r="O370" s="203" t="str">
        <f>IF(INDEX(WP!$A:$AN,MATCH(F371,WP!$B:$B,0),8)=0,"None",INDEX(WP!$A:$AN,MATCH(F371,WP!$B:$B,0),8))</f>
        <v>None</v>
      </c>
      <c r="P370" s="8" t="e" vm="14">
        <f>_xlfn.IMAGE("https://natalie.tf/wp-content/uploads/2023/10/DLV3_Icon_Ability_"&amp;INDEX('WP-A'!$A$1:$Z$498,MATCH('WP-Print'!Q370,'WP-A'!$A:$A,0),MATCH("Icon",'WP-A'!$A$1:$Z$1,0))&amp;".png")</f>
        <v>#VALUE!</v>
      </c>
      <c r="Q370" s="231" t="str">
        <f>+INDEX(WP!$A:$AN,MATCH(F371,WP!$B:$B,0),MATCH("Ability",WP!$A$2:$AN$2,0))</f>
        <v>Flurry Strength +20%</v>
      </c>
      <c r="R370" s="734" t="str">
        <f>+INDEX(WP!$A:$AN,MATCH(F371,WP!$B:$B,0),MATCH("Obtain From",WP!$A$2:$AN$2,0))</f>
        <v>Clear Nature's Bounty - À La Carte: Expert (A Dash of Disaster)</v>
      </c>
    </row>
    <row r="371" spans="1:18" ht="22.5" customHeight="1" x14ac:dyDescent="0.2">
      <c r="A371" s="204" t="str">
        <f>TEXT(A368+1,"000")</f>
        <v>123</v>
      </c>
      <c r="B371" s="729"/>
      <c r="C371" s="8"/>
      <c r="D371" s="729"/>
      <c r="E371" s="8"/>
      <c r="F371" s="200" t="str">
        <f>"WP-"&amp;A371</f>
        <v>WP-123</v>
      </c>
      <c r="G371" s="200">
        <f>+INDEX(WP!$A:$AN,MATCH(F371,WP!$B:$B,0),MATCH("ID",WP!$A$2:$AN$2,0))</f>
        <v>400285</v>
      </c>
      <c r="I371" s="8"/>
      <c r="J371" s="180" t="s">
        <v>10762</v>
      </c>
      <c r="K371" s="201">
        <f>+INDEX(WP!$A:$AN,MATCH(F371,WP!$B:$B,0),14)</f>
        <v>5</v>
      </c>
      <c r="L371" s="202">
        <f>+INDEX(WP!$A:$AN,MATCH(F371,WP!$B:$B,0),15)</f>
        <v>150</v>
      </c>
      <c r="M371" s="202">
        <f>+INDEX(WP!$A:$AN,MATCH(F371,WP!$B:$B,0),16)</f>
        <v>90</v>
      </c>
      <c r="N371" s="202" t="e" vm="341">
        <f>IFERROR(_xlfn.IMAGE("https://natalie.tf/wp-content/uploads/2023/11/DLV3_Icon_Affinity_"&amp;O371&amp;".png"),"")</f>
        <v>#VALUE!</v>
      </c>
      <c r="O371" s="203" t="str">
        <f>+INDEX(WP!$A:$AN,MATCH(F371,WP!$B:$B,0),17)</f>
        <v>Crown</v>
      </c>
      <c r="P371" s="8" t="e" vm="14">
        <f>_xlfn.IMAGE("https://natalie.tf/wp-content/uploads/2023/10/DLV3_Icon_Ability_"&amp;INDEX('WP-A'!$A$1:$Z$498,MATCH('WP-Print'!Q371,'WP-A'!$A:$A,0),MATCH("Icon",'WP-A'!$A$1:$Z$1,0))&amp;".png")</f>
        <v>#VALUE!</v>
      </c>
      <c r="Q371" s="231" t="str">
        <f>+INDEX(WP!$A:$AN,MATCH(F371,WP!$B:$B,0),MATCH("Ability V3",WP!$A$2:$AN$2,0))</f>
        <v>Flurry Strength +20%</v>
      </c>
      <c r="R371" s="735"/>
    </row>
    <row r="372" spans="1:18" ht="7.5" customHeight="1" x14ac:dyDescent="0.2">
      <c r="A372" t="s">
        <v>10763</v>
      </c>
    </row>
    <row r="373" spans="1:18" ht="22.5" customHeight="1" x14ac:dyDescent="0.2">
      <c r="B373" s="729" t="e" vm="569">
        <f>_xlfn.IMAGE("https://natalie.tf/wp-content/uploads/2023/10/DLV3_Icon_WP_"&amp;G374&amp;"_01.png")</f>
        <v>#VALUE!</v>
      </c>
      <c r="D373" s="730" t="e" vm="570">
        <f>_xlfn.IMAGE("https://natalie.tf/wp-content/uploads/2023/10/DLV3_Icon_WP_"&amp;G374&amp;"_02.png")</f>
        <v>#VALUE!</v>
      </c>
      <c r="F373" s="717" t="str">
        <f>+INDEX(WP!$A:$AN,MATCH(F374,WP!$B:$B,0),MATCH("Name",WP!$A$2:$AN$2,0))</f>
        <v>The Ilian Faithful</v>
      </c>
      <c r="G373" s="718"/>
      <c r="H373" s="719"/>
      <c r="J373" s="180" t="s">
        <v>10761</v>
      </c>
      <c r="K373" s="201">
        <f>+INDEX(WP!$A:$AN,MATCH(F374,WP!$B:$B,0),5)</f>
        <v>5</v>
      </c>
      <c r="L373" s="202">
        <f>+INDEX(WP!$A:$AN,MATCH(F374,WP!$B:$B,0),6)</f>
        <v>94</v>
      </c>
      <c r="M373" s="202">
        <f>+INDEX(WP!$A:$AN,MATCH(F374,WP!$B:$B,0),7)</f>
        <v>26</v>
      </c>
      <c r="N373" s="202" t="e" vm="356">
        <f>IFERROR(_xlfn.IMAGE("https://natalie.tf/wp-content/uploads/2023/11/DLV3_Icon_Affinity_"&amp;O373&amp;".png"),"")</f>
        <v>#VALUE!</v>
      </c>
      <c r="O373" s="203" t="str">
        <f>IF(INDEX(WP!$A:$AN,MATCH(F374,WP!$B:$B,0),8)=0,"None",INDEX(WP!$A:$AN,MATCH(F374,WP!$B:$B,0),8))</f>
        <v>Deer</v>
      </c>
      <c r="P373" s="8" t="e" vm="453">
        <f>_xlfn.IMAGE("https://natalie.tf/wp-content/uploads/2023/10/DLV3_Icon_Ability_"&amp;INDEX('WP-A'!$A$1:$Z$498,MATCH('WP-Print'!Q373,'WP-A'!$A:$A,0),MATCH("Icon",'WP-A'!$A$1:$Z$1,0))&amp;".png")</f>
        <v>#VALUE!</v>
      </c>
      <c r="Q373" s="231" t="str">
        <f>+INDEX(WP!$A:$AN,MATCH(F374,WP!$B:$B,0),MATCH("Ability",WP!$A$2:$AN$2,0))</f>
        <v>(Wind) Affliction Guard III</v>
      </c>
      <c r="R373" s="734" t="str">
        <f>+INDEX(WP!$A:$AN,MATCH(F374,WP!$B:$B,0),MATCH("Obtain From",WP!$A$2:$AN$2,0))</f>
        <v>Clear Windmaul Ruins: Standard (Elemental Ruins)</v>
      </c>
    </row>
    <row r="374" spans="1:18" ht="22.5" customHeight="1" x14ac:dyDescent="0.2">
      <c r="A374" s="204" t="str">
        <f>TEXT(A371+1,"000")</f>
        <v>124</v>
      </c>
      <c r="B374" s="729"/>
      <c r="C374" s="8"/>
      <c r="D374" s="729"/>
      <c r="E374" s="8"/>
      <c r="F374" s="200" t="str">
        <f>"WP-"&amp;A374</f>
        <v>WP-124</v>
      </c>
      <c r="G374" s="200">
        <f>+INDEX(WP!$A:$AN,MATCH(F374,WP!$B:$B,0),MATCH("ID",WP!$A$2:$AN$2,0))</f>
        <v>400420</v>
      </c>
      <c r="I374" s="8"/>
      <c r="J374" s="180" t="s">
        <v>10762</v>
      </c>
      <c r="K374" s="201">
        <f>+INDEX(WP!$A:$AN,MATCH(F374,WP!$B:$B,0),14)</f>
        <v>5</v>
      </c>
      <c r="L374" s="202">
        <f>+INDEX(WP!$A:$AN,MATCH(F374,WP!$B:$B,0),15)</f>
        <v>150</v>
      </c>
      <c r="M374" s="202">
        <f>+INDEX(WP!$A:$AN,MATCH(F374,WP!$B:$B,0),16)</f>
        <v>90</v>
      </c>
      <c r="N374" s="202" t="e" vm="356">
        <f>IFERROR(_xlfn.IMAGE("https://natalie.tf/wp-content/uploads/2023/11/DLV3_Icon_Affinity_"&amp;O374&amp;".png"),"")</f>
        <v>#VALUE!</v>
      </c>
      <c r="O374" s="203" t="str">
        <f>+INDEX(WP!$A:$AN,MATCH(F374,WP!$B:$B,0),17)</f>
        <v>Deer</v>
      </c>
      <c r="P374" s="8" t="e" vm="453">
        <f>_xlfn.IMAGE("https://natalie.tf/wp-content/uploads/2023/10/DLV3_Icon_Ability_"&amp;INDEX('WP-A'!$A$1:$Z$498,MATCH('WP-Print'!Q374,'WP-A'!$A:$A,0),MATCH("Icon",'WP-A'!$A$1:$Z$1,0))&amp;".png")</f>
        <v>#VALUE!</v>
      </c>
      <c r="Q374" s="231" t="str">
        <f>+INDEX(WP!$A:$AN,MATCH(F374,WP!$B:$B,0),MATCH("Ability V3",WP!$A$2:$AN$2,0))</f>
        <v>(Wind) Affliction Guard</v>
      </c>
      <c r="R374" s="735"/>
    </row>
    <row r="375" spans="1:18" ht="7.5" customHeight="1" x14ac:dyDescent="0.2">
      <c r="A375" t="s">
        <v>10763</v>
      </c>
    </row>
    <row r="376" spans="1:18" ht="22.5" customHeight="1" x14ac:dyDescent="0.2">
      <c r="B376" s="729" t="e" vm="571">
        <f>_xlfn.IMAGE("https://natalie.tf/wp-content/uploads/2023/10/DLV3_Icon_WP_"&amp;G377&amp;"_01.png")</f>
        <v>#VALUE!</v>
      </c>
      <c r="D376" s="730" t="e" vm="572">
        <f>_xlfn.IMAGE("https://natalie.tf/wp-content/uploads/2023/10/DLV3_Icon_WP_"&amp;G377&amp;"_02.png")</f>
        <v>#VALUE!</v>
      </c>
      <c r="F376" s="717" t="str">
        <f>+INDEX(WP!$A:$AN,MATCH(F377,WP!$B:$B,0),MATCH("Name",WP!$A$2:$AN$2,0))</f>
        <v>Dazzling Duet!</v>
      </c>
      <c r="G376" s="718"/>
      <c r="H376" s="719"/>
      <c r="J376" s="180" t="s">
        <v>10761</v>
      </c>
      <c r="K376" s="201">
        <f>+INDEX(WP!$A:$AN,MATCH(F377,WP!$B:$B,0),5)</f>
        <v>5</v>
      </c>
      <c r="L376" s="202">
        <f>+INDEX(WP!$A:$AN,MATCH(F377,WP!$B:$B,0),6)</f>
        <v>89</v>
      </c>
      <c r="M376" s="202">
        <f>+INDEX(WP!$A:$AN,MATCH(F377,WP!$B:$B,0),7)</f>
        <v>31</v>
      </c>
      <c r="N376" s="202" t="e" vm="339">
        <f>IFERROR(_xlfn.IMAGE("https://natalie.tf/wp-content/uploads/2023/11/DLV3_Icon_Affinity_"&amp;O376&amp;".png"),"")</f>
        <v>#VALUE!</v>
      </c>
      <c r="O376" s="203" t="str">
        <f>IF(INDEX(WP!$A:$AN,MATCH(F377,WP!$B:$B,0),8)=0,"None",INDEX(WP!$A:$AN,MATCH(F377,WP!$B:$B,0),8))</f>
        <v>Sword</v>
      </c>
      <c r="P376" s="8" t="e" vm="330">
        <f>_xlfn.IMAGE("https://natalie.tf/wp-content/uploads/2023/10/DLV3_Icon_Ability_"&amp;INDEX('WP-A'!$A$1:$Z$498,MATCH('WP-Print'!Q376,'WP-A'!$A:$A,0),MATCH("Icon",'WP-A'!$A$1:$Z$1,0))&amp;".png")</f>
        <v>#VALUE!</v>
      </c>
      <c r="Q376" s="231" t="str">
        <f>+INDEX(WP!$A:$AN,MATCH(F377,WP!$B:$B,0),MATCH("Ability",WP!$A$2:$AN$2,0))</f>
        <v>Striking Haste +15%</v>
      </c>
      <c r="R376" s="734" t="str">
        <f>+INDEX(WP!$A:$AN,MATCH(F377,WP!$B:$B,0),MATCH("Obtain From",WP!$A$2:$AN$2,0))</f>
        <v>Clear Ch. 03 4-3 of the Main Campaign (Hard)</v>
      </c>
    </row>
    <row r="377" spans="1:18" ht="22.5" customHeight="1" x14ac:dyDescent="0.2">
      <c r="A377" s="204" t="str">
        <f>TEXT(A374+1,"000")</f>
        <v>125</v>
      </c>
      <c r="B377" s="729"/>
      <c r="C377" s="8"/>
      <c r="D377" s="729"/>
      <c r="E377" s="8"/>
      <c r="F377" s="200" t="str">
        <f>"WP-"&amp;A377</f>
        <v>WP-125</v>
      </c>
      <c r="G377" s="200">
        <f>+INDEX(WP!$A:$AN,MATCH(F377,WP!$B:$B,0),MATCH("ID",WP!$A$2:$AN$2,0))</f>
        <v>400342</v>
      </c>
      <c r="I377" s="8"/>
      <c r="J377" s="180" t="s">
        <v>10762</v>
      </c>
      <c r="K377" s="201">
        <f>+INDEX(WP!$A:$AN,MATCH(F377,WP!$B:$B,0),14)</f>
        <v>5</v>
      </c>
      <c r="L377" s="202">
        <f>+INDEX(WP!$A:$AN,MATCH(F377,WP!$B:$B,0),15)</f>
        <v>150</v>
      </c>
      <c r="M377" s="202">
        <f>+INDEX(WP!$A:$AN,MATCH(F377,WP!$B:$B,0),16)</f>
        <v>90</v>
      </c>
      <c r="N377" s="202" t="e" vm="339">
        <f>IFERROR(_xlfn.IMAGE("https://natalie.tf/wp-content/uploads/2023/11/DLV3_Icon_Affinity_"&amp;O377&amp;".png"),"")</f>
        <v>#VALUE!</v>
      </c>
      <c r="O377" s="203" t="str">
        <f>+INDEX(WP!$A:$AN,MATCH(F377,WP!$B:$B,0),17)</f>
        <v>Sword</v>
      </c>
      <c r="P377" s="8" t="e" vm="330">
        <f>_xlfn.IMAGE("https://natalie.tf/wp-content/uploads/2023/10/DLV3_Icon_Ability_"&amp;INDEX('WP-A'!$A$1:$Z$498,MATCH('WP-Print'!Q377,'WP-A'!$A:$A,0),MATCH("Icon",'WP-A'!$A$1:$Z$1,0))&amp;".png")</f>
        <v>#VALUE!</v>
      </c>
      <c r="Q377" s="231" t="str">
        <f>+INDEX(WP!$A:$AN,MATCH(F377,WP!$B:$B,0),MATCH("Ability V3",WP!$A$2:$AN$2,0))</f>
        <v>Striking Haste +15%</v>
      </c>
      <c r="R377" s="735"/>
    </row>
    <row r="378" spans="1:18" ht="7.5" customHeight="1" x14ac:dyDescent="0.2">
      <c r="A378" t="s">
        <v>10763</v>
      </c>
    </row>
    <row r="379" spans="1:18" ht="22.5" customHeight="1" x14ac:dyDescent="0.2">
      <c r="B379" s="729" t="e" vm="573">
        <f>_xlfn.IMAGE("https://natalie.tf/wp-content/uploads/2023/10/DLV3_Icon_WP_"&amp;G380&amp;"_01.png")</f>
        <v>#VALUE!</v>
      </c>
      <c r="D379" s="730" t="e" vm="574">
        <f>_xlfn.IMAGE("https://natalie.tf/wp-content/uploads/2023/10/DLV3_Icon_WP_"&amp;G380&amp;"_02.png")</f>
        <v>#VALUE!</v>
      </c>
      <c r="F379" s="717" t="str">
        <f>+INDEX(WP!$A:$AN,MATCH(F380,WP!$B:$B,0),MATCH("Name",WP!$A$2:$AN$2,0))</f>
        <v>Brothers in Arms</v>
      </c>
      <c r="G379" s="718"/>
      <c r="H379" s="719"/>
      <c r="J379" s="180" t="s">
        <v>10761</v>
      </c>
      <c r="K379" s="201">
        <f>+INDEX(WP!$A:$AN,MATCH(F380,WP!$B:$B,0),5)</f>
        <v>5</v>
      </c>
      <c r="L379" s="202">
        <f>+INDEX(WP!$A:$AN,MATCH(F380,WP!$B:$B,0),6)</f>
        <v>88</v>
      </c>
      <c r="M379" s="202">
        <f>+INDEX(WP!$A:$AN,MATCH(F380,WP!$B:$B,0),7)</f>
        <v>32</v>
      </c>
      <c r="N379" s="202" t="str">
        <f ca="1">IFERROR(_xlfn.IMAGE("https://natalie.tf/wp-content/uploads/2023/11/DLV3_Icon_Affinity_"&amp;O379&amp;".png"),"")</f>
        <v/>
      </c>
      <c r="O379" s="203" t="str">
        <f>IF(INDEX(WP!$A:$AN,MATCH(F380,WP!$B:$B,0),8)=0,"None",INDEX(WP!$A:$AN,MATCH(F380,WP!$B:$B,0),8))</f>
        <v>None</v>
      </c>
      <c r="P379" s="8" t="e" vm="14">
        <f>_xlfn.IMAGE("https://natalie.tf/wp-content/uploads/2023/10/DLV3_Icon_Ability_"&amp;INDEX('WP-A'!$A$1:$Z$498,MATCH('WP-Print'!Q379,'WP-A'!$A:$A,0),MATCH("Icon",'WP-A'!$A$1:$Z$1,0))&amp;".png")</f>
        <v>#VALUE!</v>
      </c>
      <c r="Q379" s="231" t="str">
        <f>+INDEX(WP!$A:$AN,MATCH(F380,WP!$B:$B,0),MATCH("Ability",WP!$A$2:$AN$2,0))</f>
        <v>Strength Doublebuff +13%</v>
      </c>
      <c r="R379" s="734" t="str">
        <f>+INDEX(WP!$A:$AN,MATCH(F380,WP!$B:$B,0),MATCH("Obtain From",WP!$A$2:$AN$2,0))</f>
        <v>Clear Ch. 05 4-3 of the Main Campaign (Very Hard)</v>
      </c>
    </row>
    <row r="380" spans="1:18" ht="22.5" customHeight="1" x14ac:dyDescent="0.2">
      <c r="A380" s="204" t="str">
        <f>TEXT(A377+1,"000")</f>
        <v>126</v>
      </c>
      <c r="B380" s="729"/>
      <c r="C380" s="8"/>
      <c r="D380" s="729"/>
      <c r="E380" s="8"/>
      <c r="F380" s="200" t="str">
        <f>"WP-"&amp;A380</f>
        <v>WP-126</v>
      </c>
      <c r="G380" s="200">
        <f>+INDEX(WP!$A:$AN,MATCH(F380,WP!$B:$B,0),MATCH("ID",WP!$A$2:$AN$2,0))</f>
        <v>400402</v>
      </c>
      <c r="I380" s="8"/>
      <c r="J380" s="180" t="s">
        <v>10762</v>
      </c>
      <c r="K380" s="201">
        <f>+INDEX(WP!$A:$AN,MATCH(F380,WP!$B:$B,0),14)</f>
        <v>5</v>
      </c>
      <c r="L380" s="202">
        <f>+INDEX(WP!$A:$AN,MATCH(F380,WP!$B:$B,0),15)</f>
        <v>150</v>
      </c>
      <c r="M380" s="202">
        <f>+INDEX(WP!$A:$AN,MATCH(F380,WP!$B:$B,0),16)</f>
        <v>90</v>
      </c>
      <c r="N380" s="202" t="e" vm="339">
        <f>IFERROR(_xlfn.IMAGE("https://natalie.tf/wp-content/uploads/2023/11/DLV3_Icon_Affinity_"&amp;O380&amp;".png"),"")</f>
        <v>#VALUE!</v>
      </c>
      <c r="O380" s="203" t="str">
        <f>+INDEX(WP!$A:$AN,MATCH(F380,WP!$B:$B,0),17)</f>
        <v>Sword</v>
      </c>
      <c r="P380" s="8" t="e" vm="14">
        <f>_xlfn.IMAGE("https://natalie.tf/wp-content/uploads/2023/10/DLV3_Icon_Ability_"&amp;INDEX('WP-A'!$A$1:$Z$498,MATCH('WP-Print'!Q380,'WP-A'!$A:$A,0),MATCH("Icon",'WP-A'!$A$1:$Z$1,0))&amp;".png")</f>
        <v>#VALUE!</v>
      </c>
      <c r="Q380" s="231" t="str">
        <f>+INDEX(WP!$A:$AN,MATCH(F380,WP!$B:$B,0),MATCH("Ability V3",WP!$A$2:$AN$2,0))</f>
        <v>Strength Doublebuff +13%</v>
      </c>
      <c r="R380" s="735"/>
    </row>
    <row r="381" spans="1:18" ht="22.5" customHeight="1" x14ac:dyDescent="0.2">
      <c r="A381" t="s">
        <v>10763</v>
      </c>
    </row>
    <row r="382" spans="1:18" ht="22.5" customHeight="1" x14ac:dyDescent="0.2">
      <c r="B382" s="729" t="e" vm="575">
        <f>_xlfn.IMAGE("https://natalie.tf/wp-content/uploads/2023/10/DLV3_Icon_WP_"&amp;G383&amp;"_01.png")</f>
        <v>#VALUE!</v>
      </c>
      <c r="D382" s="730" t="e" vm="576">
        <f>_xlfn.IMAGE("https://natalie.tf/wp-content/uploads/2023/10/DLV3_Icon_WP_"&amp;G383&amp;"_02.png")</f>
        <v>#VALUE!</v>
      </c>
      <c r="F382" s="717" t="str">
        <f>+INDEX(WP!$A:$AN,MATCH(F383,WP!$B:$B,0),MATCH("Name",WP!$A$2:$AN$2,0))</f>
        <v>The Red Impulse</v>
      </c>
      <c r="G382" s="718"/>
      <c r="H382" s="719"/>
      <c r="J382" s="180" t="s">
        <v>10761</v>
      </c>
      <c r="K382" s="201">
        <f>+INDEX(WP!$A:$AN,MATCH(F383,WP!$B:$B,0),5)</f>
        <v>5</v>
      </c>
      <c r="L382" s="202">
        <f>+INDEX(WP!$A:$AN,MATCH(F383,WP!$B:$B,0),6)</f>
        <v>88</v>
      </c>
      <c r="M382" s="202">
        <f>+INDEX(WP!$A:$AN,MATCH(F383,WP!$B:$B,0),7)</f>
        <v>32</v>
      </c>
      <c r="N382" s="202" t="e" vm="381">
        <f>IFERROR(_xlfn.IMAGE("https://natalie.tf/wp-content/uploads/2023/11/DLV3_Icon_Affinity_"&amp;O382&amp;".png"),"")</f>
        <v>#VALUE!</v>
      </c>
      <c r="O382" s="203" t="str">
        <f>IF(INDEX(WP!$A:$AN,MATCH(F383,WP!$B:$B,0),8)=0,"None",INDEX(WP!$A:$AN,MATCH(F383,WP!$B:$B,0),8))</f>
        <v>Dragon</v>
      </c>
      <c r="P382" s="8" t="e" vm="322">
        <f>_xlfn.IMAGE("https://natalie.tf/wp-content/uploads/2023/10/DLV3_Icon_Ability_"&amp;INDEX('WP-A'!$A$1:$Z$498,MATCH('WP-Print'!Q382,'WP-A'!$A:$A,0),MATCH("Icon",'WP-A'!$A$1:$Z$1,0))&amp;".png")</f>
        <v>#VALUE!</v>
      </c>
      <c r="Q382" s="231" t="str">
        <f>+INDEX(WP!$A:$AN,MATCH(F383,WP!$B:$B,0),MATCH("Ability",WP!$A$2:$AN$2,0))</f>
        <v>Dragon's Skill III</v>
      </c>
      <c r="R382" s="734" t="str">
        <f>+INDEX(WP!$A:$AN,MATCH(F383,WP!$B:$B,0),MATCH("Obtain From",WP!$A$2:$AN$2,0))</f>
        <v>Obtain From Ch. 04 EX 2 Chest (Hard) (Non-Endeavor)</v>
      </c>
    </row>
    <row r="383" spans="1:18" ht="22.5" customHeight="1" x14ac:dyDescent="0.2">
      <c r="A383" s="204" t="str">
        <f>TEXT(A380+1,"000")</f>
        <v>127</v>
      </c>
      <c r="B383" s="729"/>
      <c r="C383" s="8"/>
      <c r="D383" s="729"/>
      <c r="E383" s="8"/>
      <c r="F383" s="200" t="str">
        <f>"WP-"&amp;A383</f>
        <v>WP-127</v>
      </c>
      <c r="G383" s="200">
        <f>+INDEX(WP!$A:$AN,MATCH(F383,WP!$B:$B,0),MATCH("ID",WP!$A$2:$AN$2,0))</f>
        <v>400088</v>
      </c>
      <c r="I383" s="8"/>
      <c r="J383" s="180" t="s">
        <v>10762</v>
      </c>
      <c r="K383" s="201">
        <f>+INDEX(WP!$A:$AN,MATCH(F383,WP!$B:$B,0),14)</f>
        <v>5</v>
      </c>
      <c r="L383" s="202">
        <f>+INDEX(WP!$A:$AN,MATCH(F383,WP!$B:$B,0),15)</f>
        <v>150</v>
      </c>
      <c r="M383" s="202">
        <f>+INDEX(WP!$A:$AN,MATCH(F383,WP!$B:$B,0),16)</f>
        <v>90</v>
      </c>
      <c r="N383" s="202" t="e" vm="381">
        <f>IFERROR(_xlfn.IMAGE("https://natalie.tf/wp-content/uploads/2023/11/DLV3_Icon_Affinity_"&amp;O383&amp;".png"),"")</f>
        <v>#VALUE!</v>
      </c>
      <c r="O383" s="203" t="str">
        <f>+INDEX(WP!$A:$AN,MATCH(F383,WP!$B:$B,0),17)</f>
        <v>Dragon</v>
      </c>
      <c r="P383" s="8" t="e" vm="322">
        <f>_xlfn.IMAGE("https://natalie.tf/wp-content/uploads/2023/10/DLV3_Icon_Ability_"&amp;INDEX('WP-A'!$A$1:$Z$498,MATCH('WP-Print'!Q383,'WP-A'!$A:$A,0),MATCH("Icon",'WP-A'!$A$1:$Z$1,0))&amp;".png")</f>
        <v>#VALUE!</v>
      </c>
      <c r="Q383" s="231" t="str">
        <f>+INDEX(WP!$A:$AN,MATCH(F383,WP!$B:$B,0),MATCH("Ability V3",WP!$A$2:$AN$2,0))</f>
        <v>Dragon's Skill III</v>
      </c>
      <c r="R383" s="735"/>
    </row>
    <row r="384" spans="1:18" ht="7.5" customHeight="1" x14ac:dyDescent="0.2">
      <c r="A384" t="s">
        <v>10763</v>
      </c>
    </row>
    <row r="385" spans="1:18" ht="22.5" customHeight="1" x14ac:dyDescent="0.2">
      <c r="B385" s="729" t="e" vm="577">
        <f>_xlfn.IMAGE("https://natalie.tf/wp-content/uploads/2023/10/DLV3_Icon_WP_"&amp;G386&amp;"_01.png")</f>
        <v>#VALUE!</v>
      </c>
      <c r="D385" s="730" t="e" vm="578">
        <f>_xlfn.IMAGE("https://natalie.tf/wp-content/uploads/2023/10/DLV3_Icon_WP_"&amp;G386&amp;"_02.png")</f>
        <v>#VALUE!</v>
      </c>
      <c r="F385" s="717" t="str">
        <f>+INDEX(WP!$A:$AN,MATCH(F386,WP!$B:$B,0),MATCH("Name",WP!$A$2:$AN$2,0))</f>
        <v>Memories of Youth</v>
      </c>
      <c r="G385" s="718"/>
      <c r="H385" s="719"/>
      <c r="J385" s="180" t="s">
        <v>10761</v>
      </c>
      <c r="K385" s="201">
        <f>+INDEX(WP!$A:$AN,MATCH(F386,WP!$B:$B,0),5)</f>
        <v>5</v>
      </c>
      <c r="L385" s="202">
        <f>+INDEX(WP!$A:$AN,MATCH(F386,WP!$B:$B,0),6)</f>
        <v>88</v>
      </c>
      <c r="M385" s="202">
        <f>+INDEX(WP!$A:$AN,MATCH(F386,WP!$B:$B,0),7)</f>
        <v>32</v>
      </c>
      <c r="N385" s="202" t="e" vm="343">
        <f>IFERROR(_xlfn.IMAGE("https://natalie.tf/wp-content/uploads/2023/11/DLV3_Icon_Affinity_"&amp;O385&amp;".png"),"")</f>
        <v>#VALUE!</v>
      </c>
      <c r="O385" s="203" t="str">
        <f>IF(INDEX(WP!$A:$AN,MATCH(F386,WP!$B:$B,0),8)=0,"None",INDEX(WP!$A:$AN,MATCH(F386,WP!$B:$B,0),8))</f>
        <v>Axe</v>
      </c>
      <c r="P385" s="8" t="e" vm="14">
        <f>_xlfn.IMAGE("https://natalie.tf/wp-content/uploads/2023/10/DLV3_Icon_Ability_"&amp;INDEX('WP-A'!$A$1:$Z$498,MATCH('WP-Print'!Q385,'WP-A'!$A:$A,0),MATCH("Icon",'WP-A'!$A$1:$Z$1,0))&amp;".png")</f>
        <v>#VALUE!</v>
      </c>
      <c r="Q385" s="231" t="str">
        <f>+INDEX(WP!$A:$AN,MATCH(F386,WP!$B:$B,0),MATCH("Ability",WP!$A$2:$AN$2,0))</f>
        <v>Striker's Strength +6%</v>
      </c>
      <c r="R385" s="734" t="str">
        <f>+INDEX(WP!$A:$AN,MATCH(F386,WP!$B:$B,0),MATCH("Obtain From",WP!$A$2:$AN$2,0))</f>
        <v>Obtain From Ch. 16 EX 1 Chest (Hard) (Non-Endeavor)</v>
      </c>
    </row>
    <row r="386" spans="1:18" ht="22.5" customHeight="1" x14ac:dyDescent="0.2">
      <c r="A386" s="204" t="str">
        <f>TEXT(A383+1,"000")</f>
        <v>128</v>
      </c>
      <c r="B386" s="729"/>
      <c r="C386" s="8"/>
      <c r="D386" s="729"/>
      <c r="E386" s="8"/>
      <c r="F386" s="200" t="str">
        <f>"WP-"&amp;A386</f>
        <v>WP-128</v>
      </c>
      <c r="G386" s="200">
        <f>+INDEX(WP!$A:$AN,MATCH(F386,WP!$B:$B,0),MATCH("ID",WP!$A$2:$AN$2,0))</f>
        <v>400237</v>
      </c>
      <c r="I386" s="8"/>
      <c r="J386" s="180" t="s">
        <v>10762</v>
      </c>
      <c r="K386" s="201">
        <f>+INDEX(WP!$A:$AN,MATCH(F386,WP!$B:$B,0),14)</f>
        <v>5</v>
      </c>
      <c r="L386" s="202">
        <f>+INDEX(WP!$A:$AN,MATCH(F386,WP!$B:$B,0),15)</f>
        <v>150</v>
      </c>
      <c r="M386" s="202">
        <f>+INDEX(WP!$A:$AN,MATCH(F386,WP!$B:$B,0),16)</f>
        <v>90</v>
      </c>
      <c r="N386" s="202" t="e" vm="343">
        <f>IFERROR(_xlfn.IMAGE("https://natalie.tf/wp-content/uploads/2023/11/DLV3_Icon_Affinity_"&amp;O386&amp;".png"),"")</f>
        <v>#VALUE!</v>
      </c>
      <c r="O386" s="203" t="str">
        <f>+INDEX(WP!$A:$AN,MATCH(F386,WP!$B:$B,0),17)</f>
        <v>Axe</v>
      </c>
      <c r="P386" s="8" t="e" vm="14">
        <f>_xlfn.IMAGE("https://natalie.tf/wp-content/uploads/2023/10/DLV3_Icon_Ability_"&amp;INDEX('WP-A'!$A$1:$Z$498,MATCH('WP-Print'!Q386,'WP-A'!$A:$A,0),MATCH("Icon",'WP-A'!$A$1:$Z$1,0))&amp;".png")</f>
        <v>#VALUE!</v>
      </c>
      <c r="Q386" s="231" t="str">
        <f>+INDEX(WP!$A:$AN,MATCH(F386,WP!$B:$B,0),MATCH("Ability V3",WP!$A$2:$AN$2,0))</f>
        <v>Striker's Strength +6%</v>
      </c>
      <c r="R386" s="735"/>
    </row>
    <row r="387" spans="1:18" ht="7.5" customHeight="1" x14ac:dyDescent="0.2">
      <c r="A387" t="s">
        <v>10763</v>
      </c>
    </row>
    <row r="388" spans="1:18" ht="22.5" customHeight="1" x14ac:dyDescent="0.2">
      <c r="B388" s="729" t="e" vm="579">
        <f>_xlfn.IMAGE("https://natalie.tf/wp-content/uploads/2023/10/DLV3_Icon_WP_"&amp;G389&amp;"_01.png")</f>
        <v>#VALUE!</v>
      </c>
      <c r="D388" s="730" t="e" vm="580">
        <f>_xlfn.IMAGE("https://natalie.tf/wp-content/uploads/2023/10/DLV3_Icon_WP_"&amp;G389&amp;"_02.png")</f>
        <v>#VALUE!</v>
      </c>
      <c r="F388" s="717" t="str">
        <f>+INDEX(WP!$A:$AN,MATCH(F389,WP!$B:$B,0),MATCH("Name",WP!$A$2:$AN$2,0))</f>
        <v>The Synthetic Dragon</v>
      </c>
      <c r="G388" s="718"/>
      <c r="H388" s="719"/>
      <c r="J388" s="180" t="s">
        <v>10761</v>
      </c>
      <c r="K388" s="201">
        <f>+INDEX(WP!$A:$AN,MATCH(F389,WP!$B:$B,0),5)</f>
        <v>5</v>
      </c>
      <c r="L388" s="202">
        <f>+INDEX(WP!$A:$AN,MATCH(F389,WP!$B:$B,0),6)</f>
        <v>94</v>
      </c>
      <c r="M388" s="202">
        <f>+INDEX(WP!$A:$AN,MATCH(F389,WP!$B:$B,0),7)</f>
        <v>26</v>
      </c>
      <c r="N388" s="202" t="e" vm="344">
        <f>IFERROR(_xlfn.IMAGE("https://natalie.tf/wp-content/uploads/2023/11/DLV3_Icon_Affinity_"&amp;O388&amp;".png"),"")</f>
        <v>#VALUE!</v>
      </c>
      <c r="O388" s="203" t="str">
        <f>IF(INDEX(WP!$A:$AN,MATCH(F389,WP!$B:$B,0),8)=0,"None",INDEX(WP!$A:$AN,MATCH(F389,WP!$B:$B,0),8))</f>
        <v>Eagle</v>
      </c>
      <c r="P388" s="8" t="e" vm="14">
        <f>_xlfn.IMAGE("https://natalie.tf/wp-content/uploads/2023/10/DLV3_Icon_Ability_"&amp;INDEX('WP-A'!$A$1:$Z$498,MATCH('WP-Print'!Q388,'WP-A'!$A:$A,0),MATCH("Icon",'WP-A'!$A$1:$Z$1,0))&amp;".png")</f>
        <v>#VALUE!</v>
      </c>
      <c r="Q388" s="231" t="str">
        <f>+INDEX(WP!$A:$AN,MATCH(F389,WP!$B:$B,0),MATCH("Ability",WP!$A$2:$AN$2,0))</f>
        <v>Resilient Offense +10%</v>
      </c>
      <c r="R388" s="734" t="str">
        <f>+INDEX(WP!$A:$AN,MATCH(F389,WP!$B:$B,0),MATCH("Obtain From",WP!$A$2:$AN$2,0))</f>
        <v>Clear Aspidochelone Clash: Nightmare (Scars of the Syndicate)</v>
      </c>
    </row>
    <row r="389" spans="1:18" ht="22.5" customHeight="1" x14ac:dyDescent="0.2">
      <c r="A389" s="204" t="str">
        <f>TEXT(A386+1,"000")</f>
        <v>129</v>
      </c>
      <c r="B389" s="729"/>
      <c r="C389" s="8"/>
      <c r="D389" s="729"/>
      <c r="E389" s="8"/>
      <c r="F389" s="200" t="str">
        <f>"WP-"&amp;A389</f>
        <v>WP-129</v>
      </c>
      <c r="G389" s="200">
        <f>+INDEX(WP!$A:$AN,MATCH(F389,WP!$B:$B,0),MATCH("ID",WP!$A$2:$AN$2,0))</f>
        <v>400239</v>
      </c>
      <c r="I389" s="8"/>
      <c r="J389" s="180" t="s">
        <v>10762</v>
      </c>
      <c r="K389" s="201">
        <f>+INDEX(WP!$A:$AN,MATCH(F389,WP!$B:$B,0),14)</f>
        <v>5</v>
      </c>
      <c r="L389" s="202">
        <f>+INDEX(WP!$A:$AN,MATCH(F389,WP!$B:$B,0),15)</f>
        <v>150</v>
      </c>
      <c r="M389" s="202">
        <f>+INDEX(WP!$A:$AN,MATCH(F389,WP!$B:$B,0),16)</f>
        <v>90</v>
      </c>
      <c r="N389" s="202" t="e" vm="344">
        <f>IFERROR(_xlfn.IMAGE("https://natalie.tf/wp-content/uploads/2023/11/DLV3_Icon_Affinity_"&amp;O389&amp;".png"),"")</f>
        <v>#VALUE!</v>
      </c>
      <c r="O389" s="203" t="str">
        <f>+INDEX(WP!$A:$AN,MATCH(F389,WP!$B:$B,0),17)</f>
        <v>Eagle</v>
      </c>
      <c r="P389" s="8" t="e" vm="14">
        <f>_xlfn.IMAGE("https://natalie.tf/wp-content/uploads/2023/10/DLV3_Icon_Ability_"&amp;INDEX('WP-A'!$A$1:$Z$498,MATCH('WP-Print'!Q389,'WP-A'!$A:$A,0),MATCH("Icon",'WP-A'!$A$1:$Z$1,0))&amp;".png")</f>
        <v>#VALUE!</v>
      </c>
      <c r="Q389" s="231" t="str">
        <f>+INDEX(WP!$A:$AN,MATCH(F389,WP!$B:$B,0),MATCH("Ability V3",WP!$A$2:$AN$2,0))</f>
        <v>Resilient Offense +10%</v>
      </c>
      <c r="R389" s="735"/>
    </row>
    <row r="390" spans="1:18" ht="7.5" customHeight="1" x14ac:dyDescent="0.2">
      <c r="A390" t="s">
        <v>10763</v>
      </c>
    </row>
    <row r="391" spans="1:18" ht="22.5" customHeight="1" x14ac:dyDescent="0.2">
      <c r="B391" s="729" t="e" vm="581">
        <f>_xlfn.IMAGE("https://natalie.tf/wp-content/uploads/2023/10/DLV3_Icon_WP_"&amp;G392&amp;"_01.png")</f>
        <v>#VALUE!</v>
      </c>
      <c r="D391" s="730" t="e" vm="582">
        <f>_xlfn.IMAGE("https://natalie.tf/wp-content/uploads/2023/10/DLV3_Icon_WP_"&amp;G392&amp;"_02.png")</f>
        <v>#VALUE!</v>
      </c>
      <c r="F391" s="717" t="str">
        <f>+INDEX(WP!$A:$AN,MATCH(F392,WP!$B:$B,0),MATCH("Name",WP!$A$2:$AN$2,0))</f>
        <v>Proper Maintenance</v>
      </c>
      <c r="G391" s="718"/>
      <c r="H391" s="719"/>
      <c r="J391" s="180" t="s">
        <v>10761</v>
      </c>
      <c r="K391" s="201">
        <f>+INDEX(WP!$A:$AN,MATCH(F392,WP!$B:$B,0),5)</f>
        <v>5</v>
      </c>
      <c r="L391" s="202">
        <f>+INDEX(WP!$A:$AN,MATCH(F392,WP!$B:$B,0),6)</f>
        <v>88</v>
      </c>
      <c r="M391" s="202">
        <f>+INDEX(WP!$A:$AN,MATCH(F392,WP!$B:$B,0),7)</f>
        <v>32</v>
      </c>
      <c r="N391" s="202" t="e" vm="339">
        <f>IFERROR(_xlfn.IMAGE("https://natalie.tf/wp-content/uploads/2023/11/DLV3_Icon_Affinity_"&amp;O391&amp;".png"),"")</f>
        <v>#VALUE!</v>
      </c>
      <c r="O391" s="203" t="str">
        <f>IF(INDEX(WP!$A:$AN,MATCH(F392,WP!$B:$B,0),8)=0,"None",INDEX(WP!$A:$AN,MATCH(F392,WP!$B:$B,0),8))</f>
        <v>Sword</v>
      </c>
      <c r="P391" s="8" t="e" vm="444">
        <f>_xlfn.IMAGE("https://natalie.tf/wp-content/uploads/2023/10/DLV3_Icon_Ability_"&amp;INDEX('WP-A'!$A$1:$Z$498,MATCH('WP-Print'!Q391,'WP-A'!$A:$A,0),MATCH("Icon",'WP-A'!$A$1:$Z$1,0))&amp;".png")</f>
        <v>#VALUE!</v>
      </c>
      <c r="Q391" s="231" t="str">
        <f>+INDEX(WP!$A:$AN,MATCH(F392,WP!$B:$B,0),MATCH("Ability",WP!$A$2:$AN$2,0))</f>
        <v>Buff Skill Time +20%</v>
      </c>
      <c r="R391" s="734" t="str">
        <f>+INDEX(WP!$A:$AN,MATCH(F392,WP!$B:$B,0),MATCH("Obtain From",WP!$A$2:$AN$2,0))</f>
        <v>Obtain From Ch. 11 EX 1 Chest (Very Hard) (Non-Endeavor)</v>
      </c>
    </row>
    <row r="392" spans="1:18" ht="22.5" customHeight="1" x14ac:dyDescent="0.2">
      <c r="A392" s="204" t="str">
        <f>TEXT(A389+1,"000")</f>
        <v>130</v>
      </c>
      <c r="B392" s="729"/>
      <c r="C392" s="8"/>
      <c r="D392" s="729"/>
      <c r="E392" s="8"/>
      <c r="F392" s="200" t="str">
        <f>"WP-"&amp;A392</f>
        <v>WP-130</v>
      </c>
      <c r="G392" s="200">
        <f>+INDEX(WP!$A:$AN,MATCH(F392,WP!$B:$B,0),MATCH("ID",WP!$A$2:$AN$2,0))</f>
        <v>400423</v>
      </c>
      <c r="I392" s="8"/>
      <c r="J392" s="180" t="s">
        <v>10762</v>
      </c>
      <c r="K392" s="201">
        <f>+INDEX(WP!$A:$AN,MATCH(F392,WP!$B:$B,0),14)</f>
        <v>5</v>
      </c>
      <c r="L392" s="202">
        <f>+INDEX(WP!$A:$AN,MATCH(F392,WP!$B:$B,0),15)</f>
        <v>150</v>
      </c>
      <c r="M392" s="202">
        <f>+INDEX(WP!$A:$AN,MATCH(F392,WP!$B:$B,0),16)</f>
        <v>90</v>
      </c>
      <c r="N392" s="202" t="e" vm="339">
        <f>IFERROR(_xlfn.IMAGE("https://natalie.tf/wp-content/uploads/2023/11/DLV3_Icon_Affinity_"&amp;O392&amp;".png"),"")</f>
        <v>#VALUE!</v>
      </c>
      <c r="O392" s="203" t="str">
        <f>+INDEX(WP!$A:$AN,MATCH(F392,WP!$B:$B,0),17)</f>
        <v>Sword</v>
      </c>
      <c r="P392" s="8" t="e" vm="444">
        <f>_xlfn.IMAGE("https://natalie.tf/wp-content/uploads/2023/10/DLV3_Icon_Ability_"&amp;INDEX('WP-A'!$A$1:$Z$498,MATCH('WP-Print'!Q392,'WP-A'!$A:$A,0),MATCH("Icon",'WP-A'!$A$1:$Z$1,0))&amp;".png")</f>
        <v>#VALUE!</v>
      </c>
      <c r="Q392" s="231" t="str">
        <f>+INDEX(WP!$A:$AN,MATCH(F392,WP!$B:$B,0),MATCH("Ability V3",WP!$A$2:$AN$2,0))</f>
        <v>Buff Skill Time +25%</v>
      </c>
      <c r="R392" s="735"/>
    </row>
    <row r="393" spans="1:18" ht="7.5" customHeight="1" x14ac:dyDescent="0.2">
      <c r="A393" t="s">
        <v>10763</v>
      </c>
    </row>
    <row r="394" spans="1:18" ht="22.5" customHeight="1" x14ac:dyDescent="0.2">
      <c r="B394" s="729" t="e" vm="583">
        <f>_xlfn.IMAGE("https://natalie.tf/wp-content/uploads/2023/10/DLV3_Icon_WP_"&amp;G395&amp;"_01.png")</f>
        <v>#VALUE!</v>
      </c>
      <c r="D394" s="730" t="e" vm="584">
        <f>_xlfn.IMAGE("https://natalie.tf/wp-content/uploads/2023/10/DLV3_Icon_WP_"&amp;G395&amp;"_02.png")</f>
        <v>#VALUE!</v>
      </c>
      <c r="F394" s="717" t="str">
        <f>+INDEX(WP!$A:$AN,MATCH(F395,WP!$B:$B,0),MATCH("Name",WP!$A$2:$AN$2,0))</f>
        <v>Welcome to the Halidom!</v>
      </c>
      <c r="G394" s="718"/>
      <c r="H394" s="719"/>
      <c r="J394" s="180" t="s">
        <v>10761</v>
      </c>
      <c r="K394" s="201">
        <f>+INDEX(WP!$A:$AN,MATCH(F395,WP!$B:$B,0),5)</f>
        <v>5</v>
      </c>
      <c r="L394" s="202">
        <f>+INDEX(WP!$A:$AN,MATCH(F395,WP!$B:$B,0),6)</f>
        <v>94</v>
      </c>
      <c r="M394" s="202">
        <f>+INDEX(WP!$A:$AN,MATCH(F395,WP!$B:$B,0),7)</f>
        <v>26</v>
      </c>
      <c r="N394" s="202" t="str">
        <f ca="1">IFERROR(_xlfn.IMAGE("https://natalie.tf/wp-content/uploads/2023/11/DLV3_Icon_Affinity_"&amp;O394&amp;".png"),"")</f>
        <v/>
      </c>
      <c r="O394" s="203" t="str">
        <f>IF(INDEX(WP!$A:$AN,MATCH(F395,WP!$B:$B,0),8)=0,"None",INDEX(WP!$A:$AN,MATCH(F395,WP!$B:$B,0),8))</f>
        <v>None</v>
      </c>
      <c r="P394" s="8" t="e" vm="476">
        <f>_xlfn.IMAGE("https://natalie.tf/wp-content/uploads/2023/10/DLV3_Icon_Ability_"&amp;INDEX('WP-A'!$A$1:$Z$498,MATCH('WP-Print'!Q394,'WP-A'!$A:$A,0),MATCH("Icon",'WP-A'!$A$1:$Z$1,0))&amp;".png")</f>
        <v>#VALUE!</v>
      </c>
      <c r="Q394" s="231" t="str">
        <f>+INDEX(WP!$A:$AN,MATCH(F395,WP!$B:$B,0),MATCH("Ability",WP!$A$2:$AN$2,0))</f>
        <v>Last Recovery IV</v>
      </c>
      <c r="R394" s="734" t="str">
        <f>+INDEX(WP!$A:$AN,MATCH(F395,WP!$B:$B,0),MATCH("Obtain From",WP!$A$2:$AN$2,0))</f>
        <v>Clear Thórr's Hammer (Fire Emblem: Kindred Ties)</v>
      </c>
    </row>
    <row r="395" spans="1:18" ht="22.5" customHeight="1" x14ac:dyDescent="0.2">
      <c r="A395" s="204" t="str">
        <f>TEXT(A392+1,"000")</f>
        <v>131</v>
      </c>
      <c r="B395" s="729"/>
      <c r="C395" s="8"/>
      <c r="D395" s="729"/>
      <c r="E395" s="8"/>
      <c r="F395" s="200" t="str">
        <f>"WP-"&amp;A395</f>
        <v>WP-131</v>
      </c>
      <c r="G395" s="200">
        <f>+INDEX(WP!$A:$AN,MATCH(F395,WP!$B:$B,0),MATCH("ID",WP!$A$2:$AN$2,0))</f>
        <v>400425</v>
      </c>
      <c r="I395" s="8"/>
      <c r="J395" s="180" t="s">
        <v>10762</v>
      </c>
      <c r="K395" s="201">
        <f>+INDEX(WP!$A:$AN,MATCH(F395,WP!$B:$B,0),14)</f>
        <v>5</v>
      </c>
      <c r="L395" s="202">
        <f>+INDEX(WP!$A:$AN,MATCH(F395,WP!$B:$B,0),15)</f>
        <v>150</v>
      </c>
      <c r="M395" s="202">
        <f>+INDEX(WP!$A:$AN,MATCH(F395,WP!$B:$B,0),16)</f>
        <v>90</v>
      </c>
      <c r="N395" s="202" t="e" vm="338">
        <f>IFERROR(_xlfn.IMAGE("https://natalie.tf/wp-content/uploads/2023/11/DLV3_Icon_Affinity_"&amp;O395&amp;".png"),"")</f>
        <v>#VALUE!</v>
      </c>
      <c r="O395" s="203" t="str">
        <f>+INDEX(WP!$A:$AN,MATCH(F395,WP!$B:$B,0),17)</f>
        <v>Wolf</v>
      </c>
      <c r="P395" s="8" t="e" vm="476">
        <f>_xlfn.IMAGE("https://natalie.tf/wp-content/uploads/2023/10/DLV3_Icon_Ability_"&amp;INDEX('WP-A'!$A$1:$Z$498,MATCH('WP-Print'!Q395,'WP-A'!$A:$A,0),MATCH("Icon",'WP-A'!$A$1:$Z$1,0))&amp;".png")</f>
        <v>#VALUE!</v>
      </c>
      <c r="Q395" s="231" t="str">
        <f>+INDEX(WP!$A:$AN,MATCH(F395,WP!$B:$B,0),MATCH("Ability V3",WP!$A$2:$AN$2,0))</f>
        <v>Last Recovery IV</v>
      </c>
      <c r="R395" s="735"/>
    </row>
    <row r="396" spans="1:18" ht="7.5" customHeight="1" x14ac:dyDescent="0.2">
      <c r="A396" t="s">
        <v>10763</v>
      </c>
    </row>
    <row r="397" spans="1:18" ht="22.5" customHeight="1" x14ac:dyDescent="0.2">
      <c r="B397" s="729" t="e" vm="585">
        <f>_xlfn.IMAGE("https://natalie.tf/wp-content/uploads/2023/10/DLV3_Icon_WP_"&amp;G398&amp;"_01.png")</f>
        <v>#VALUE!</v>
      </c>
      <c r="D397" s="730" t="e" vm="586">
        <f>_xlfn.IMAGE("https://natalie.tf/wp-content/uploads/2023/10/DLV3_Icon_WP_"&amp;G398&amp;"_02.png")</f>
        <v>#VALUE!</v>
      </c>
      <c r="F397" s="717" t="str">
        <f>+INDEX(WP!$A:$AN,MATCH(F398,WP!$B:$B,0),MATCH("Name",WP!$A$2:$AN$2,0))</f>
        <v>A New Look</v>
      </c>
      <c r="G397" s="718"/>
      <c r="H397" s="719"/>
      <c r="J397" s="180" t="s">
        <v>10761</v>
      </c>
      <c r="K397" s="201">
        <f>+INDEX(WP!$A:$AN,MATCH(F398,WP!$B:$B,0),5)</f>
        <v>5</v>
      </c>
      <c r="L397" s="202">
        <f>+INDEX(WP!$A:$AN,MATCH(F398,WP!$B:$B,0),6)</f>
        <v>88</v>
      </c>
      <c r="M397" s="202">
        <f>+INDEX(WP!$A:$AN,MATCH(F398,WP!$B:$B,0),7)</f>
        <v>32</v>
      </c>
      <c r="N397" s="202" t="str">
        <f ca="1">IFERROR(_xlfn.IMAGE("https://natalie.tf/wp-content/uploads/2023/11/DLV3_Icon_Affinity_"&amp;O397&amp;".png"),"")</f>
        <v/>
      </c>
      <c r="O397" s="203" t="str">
        <f>IF(INDEX(WP!$A:$AN,MATCH(F398,WP!$B:$B,0),8)=0,"None",INDEX(WP!$A:$AN,MATCH(F398,WP!$B:$B,0),8))</f>
        <v>None</v>
      </c>
      <c r="P397" s="8" t="e" vm="326">
        <f>_xlfn.IMAGE("https://natalie.tf/wp-content/uploads/2023/10/DLV3_Icon_Ability_"&amp;INDEX('WP-A'!$A$1:$Z$498,MATCH('WP-Print'!Q397,'WP-A'!$A:$A,0),MATCH("Icon",'WP-A'!$A$1:$Z$1,0))&amp;".png")</f>
        <v>#VALUE!</v>
      </c>
      <c r="Q397" s="231" t="str">
        <f>+INDEX(WP!$A:$AN,MATCH(F398,WP!$B:$B,0),MATCH("Ability",WP!$A$2:$AN$2,0))</f>
        <v>Slayer's Devastation +5%</v>
      </c>
      <c r="R397" s="734" t="str">
        <f>+INDEX(WP!$A:$AN,MATCH(F398,WP!$B:$B,0),MATCH("Obtain From",WP!$A$2:$AN$2,0))</f>
        <v>Participate in the Event (Timeworn Torment)</v>
      </c>
    </row>
    <row r="398" spans="1:18" ht="22.5" customHeight="1" x14ac:dyDescent="0.2">
      <c r="A398" s="204" t="str">
        <f>TEXT(A395+1,"000")</f>
        <v>132</v>
      </c>
      <c r="B398" s="729"/>
      <c r="C398" s="8"/>
      <c r="D398" s="729"/>
      <c r="E398" s="8"/>
      <c r="F398" s="200" t="str">
        <f>"WP-"&amp;A398</f>
        <v>WP-132</v>
      </c>
      <c r="G398" s="200">
        <f>+INDEX(WP!$A:$AN,MATCH(F398,WP!$B:$B,0),MATCH("ID",WP!$A$2:$AN$2,0))</f>
        <v>400441</v>
      </c>
      <c r="I398" s="8"/>
      <c r="J398" s="180" t="s">
        <v>10762</v>
      </c>
      <c r="K398" s="201">
        <f>+INDEX(WP!$A:$AN,MATCH(F398,WP!$B:$B,0),14)</f>
        <v>5</v>
      </c>
      <c r="L398" s="202">
        <f>+INDEX(WP!$A:$AN,MATCH(F398,WP!$B:$B,0),15)</f>
        <v>150</v>
      </c>
      <c r="M398" s="202">
        <f>+INDEX(WP!$A:$AN,MATCH(F398,WP!$B:$B,0),16)</f>
        <v>90</v>
      </c>
      <c r="N398" s="202" t="e" vm="341">
        <f>IFERROR(_xlfn.IMAGE("https://natalie.tf/wp-content/uploads/2023/11/DLV3_Icon_Affinity_"&amp;O398&amp;".png"),"")</f>
        <v>#VALUE!</v>
      </c>
      <c r="O398" s="203" t="str">
        <f>+INDEX(WP!$A:$AN,MATCH(F398,WP!$B:$B,0),17)</f>
        <v>Crown</v>
      </c>
      <c r="P398" s="8" t="e" vm="326">
        <f>_xlfn.IMAGE("https://natalie.tf/wp-content/uploads/2023/10/DLV3_Icon_Ability_"&amp;INDEX('WP-A'!$A$1:$Z$498,MATCH('WP-Print'!Q398,'WP-A'!$A:$A,0),MATCH("Icon",'WP-A'!$A$1:$Z$1,0))&amp;".png")</f>
        <v>#VALUE!</v>
      </c>
      <c r="Q398" s="231" t="str">
        <f>+INDEX(WP!$A:$AN,MATCH(F398,WP!$B:$B,0),MATCH("Ability V3",WP!$A$2:$AN$2,0))</f>
        <v>Slayer's Devastation +5%</v>
      </c>
      <c r="R398" s="735"/>
    </row>
    <row r="399" spans="1:18" ht="7.5" customHeight="1" x14ac:dyDescent="0.2">
      <c r="A399" t="s">
        <v>10763</v>
      </c>
    </row>
    <row r="400" spans="1:18" ht="22.5" customHeight="1" x14ac:dyDescent="0.2">
      <c r="B400" s="729" t="e" vm="587">
        <f>_xlfn.IMAGE("https://natalie.tf/wp-content/uploads/2023/10/DLV3_Icon_WP_"&amp;G401&amp;"_01.png")</f>
        <v>#VALUE!</v>
      </c>
      <c r="D400" s="730" t="e" vm="588">
        <f>_xlfn.IMAGE("https://natalie.tf/wp-content/uploads/2023/10/DLV3_Icon_WP_"&amp;G401&amp;"_02.png")</f>
        <v>#VALUE!</v>
      </c>
      <c r="F400" s="717" t="str">
        <f>+INDEX(WP!$A:$AN,MATCH(F401,WP!$B:$B,0),MATCH("Name",WP!$A$2:$AN$2,0))</f>
        <v>Memory of a Friend</v>
      </c>
      <c r="G400" s="718"/>
      <c r="H400" s="719"/>
      <c r="J400" s="180" t="s">
        <v>10761</v>
      </c>
      <c r="K400" s="201">
        <f>+INDEX(WP!$A:$AN,MATCH(F401,WP!$B:$B,0),5)</f>
        <v>5</v>
      </c>
      <c r="L400" s="202">
        <f>+INDEX(WP!$A:$AN,MATCH(F401,WP!$B:$B,0),6)</f>
        <v>88</v>
      </c>
      <c r="M400" s="202">
        <f>+INDEX(WP!$A:$AN,MATCH(F401,WP!$B:$B,0),7)</f>
        <v>32</v>
      </c>
      <c r="N400" s="202" t="e" vm="340">
        <f>IFERROR(_xlfn.IMAGE("https://natalie.tf/wp-content/uploads/2023/11/DLV3_Icon_Affinity_"&amp;O400&amp;".png"),"")</f>
        <v>#VALUE!</v>
      </c>
      <c r="O400" s="203" t="str">
        <f>IF(INDEX(WP!$A:$AN,MATCH(F401,WP!$B:$B,0),8)=0,"None",INDEX(WP!$A:$AN,MATCH(F401,WP!$B:$B,0),8))</f>
        <v>Lance</v>
      </c>
      <c r="P400" s="8" t="e" vm="14">
        <f>_xlfn.IMAGE("https://natalie.tf/wp-content/uploads/2023/10/DLV3_Icon_Ability_"&amp;INDEX('WP-A'!$A$1:$Z$498,MATCH('WP-Print'!Q400,'WP-A'!$A:$A,0),MATCH("Icon",'WP-A'!$A$1:$Z$1,0))&amp;".png")</f>
        <v>#VALUE!</v>
      </c>
      <c r="Q400" s="231" t="str">
        <f>+INDEX(WP!$A:$AN,MATCH(F401,WP!$B:$B,0),MATCH("Ability",WP!$A$2:$AN$2,0))</f>
        <v>Flurry Strength +20%</v>
      </c>
      <c r="R400" s="734" t="str">
        <f>+INDEX(WP!$A:$AN,MATCH(F401,WP!$B:$B,0),MATCH("Obtain From",WP!$A$2:$AN$2,0))</f>
        <v>Obtain From Ch. 09 EX 1 Chest (Normal) (Non-Endeavor)</v>
      </c>
    </row>
    <row r="401" spans="1:18" ht="22.5" customHeight="1" x14ac:dyDescent="0.2">
      <c r="A401" s="204" t="str">
        <f>TEXT(A398+1,"000")</f>
        <v>133</v>
      </c>
      <c r="B401" s="729"/>
      <c r="C401" s="8"/>
      <c r="D401" s="729"/>
      <c r="E401" s="8"/>
      <c r="F401" s="200" t="str">
        <f>"WP-"&amp;A401</f>
        <v>WP-133</v>
      </c>
      <c r="G401" s="200">
        <f>+INDEX(WP!$A:$AN,MATCH(F401,WP!$B:$B,0),MATCH("ID",WP!$A$2:$AN$2,0))</f>
        <v>400429</v>
      </c>
      <c r="I401" s="8"/>
      <c r="J401" s="180" t="s">
        <v>10762</v>
      </c>
      <c r="K401" s="201">
        <f>+INDEX(WP!$A:$AN,MATCH(F401,WP!$B:$B,0),14)</f>
        <v>5</v>
      </c>
      <c r="L401" s="202">
        <f>+INDEX(WP!$A:$AN,MATCH(F401,WP!$B:$B,0),15)</f>
        <v>150</v>
      </c>
      <c r="M401" s="202">
        <f>+INDEX(WP!$A:$AN,MATCH(F401,WP!$B:$B,0),16)</f>
        <v>90</v>
      </c>
      <c r="N401" s="202" t="e" vm="342">
        <f>IFERROR(_xlfn.IMAGE("https://natalie.tf/wp-content/uploads/2023/11/DLV3_Icon_Affinity_"&amp;O401&amp;".png"),"")</f>
        <v>#VALUE!</v>
      </c>
      <c r="O401" s="203" t="str">
        <f>+INDEX(WP!$A:$AN,MATCH(F401,WP!$B:$B,0),17)</f>
        <v>Bow</v>
      </c>
      <c r="P401" s="8" t="e" vm="14">
        <f>_xlfn.IMAGE("https://natalie.tf/wp-content/uploads/2023/10/DLV3_Icon_Ability_"&amp;INDEX('WP-A'!$A$1:$Z$498,MATCH('WP-Print'!Q401,'WP-A'!$A:$A,0),MATCH("Icon",'WP-A'!$A$1:$Z$1,0))&amp;".png")</f>
        <v>#VALUE!</v>
      </c>
      <c r="Q401" s="231" t="str">
        <f>+INDEX(WP!$A:$AN,MATCH(F401,WP!$B:$B,0),MATCH("Ability V3",WP!$A$2:$AN$2,0))</f>
        <v>Flurry Strength +20%</v>
      </c>
      <c r="R401" s="735"/>
    </row>
    <row r="402" spans="1:18" ht="7.5" customHeight="1" x14ac:dyDescent="0.2">
      <c r="A402" t="s">
        <v>10763</v>
      </c>
    </row>
    <row r="403" spans="1:18" ht="22.5" customHeight="1" x14ac:dyDescent="0.2">
      <c r="B403" s="729" t="e" vm="589">
        <f>_xlfn.IMAGE("https://natalie.tf/wp-content/uploads/2023/10/DLV3_Icon_WP_"&amp;G404&amp;"_01.png")</f>
        <v>#VALUE!</v>
      </c>
      <c r="D403" s="730" t="e" vm="590">
        <f>_xlfn.IMAGE("https://natalie.tf/wp-content/uploads/2023/10/DLV3_Icon_WP_"&amp;G404&amp;"_02.png")</f>
        <v>#VALUE!</v>
      </c>
      <c r="F403" s="717" t="str">
        <f>+INDEX(WP!$A:$AN,MATCH(F404,WP!$B:$B,0),MATCH("Name",WP!$A$2:$AN$2,0))</f>
        <v>Here Come the Sealers!</v>
      </c>
      <c r="G403" s="718"/>
      <c r="H403" s="719"/>
      <c r="J403" s="180" t="s">
        <v>10761</v>
      </c>
      <c r="K403" s="201">
        <f>+INDEX(WP!$A:$AN,MATCH(F404,WP!$B:$B,0),5)</f>
        <v>5</v>
      </c>
      <c r="L403" s="202">
        <f>+INDEX(WP!$A:$AN,MATCH(F404,WP!$B:$B,0),6)</f>
        <v>88</v>
      </c>
      <c r="M403" s="202">
        <f>+INDEX(WP!$A:$AN,MATCH(F404,WP!$B:$B,0),7)</f>
        <v>32</v>
      </c>
      <c r="N403" s="202" t="e" vm="340">
        <f>IFERROR(_xlfn.IMAGE("https://natalie.tf/wp-content/uploads/2023/11/DLV3_Icon_Affinity_"&amp;O403&amp;".png"),"")</f>
        <v>#VALUE!</v>
      </c>
      <c r="O403" s="203" t="str">
        <f>IF(INDEX(WP!$A:$AN,MATCH(F404,WP!$B:$B,0),8)=0,"None",INDEX(WP!$A:$AN,MATCH(F404,WP!$B:$B,0),8))</f>
        <v>Lance</v>
      </c>
      <c r="P403" s="8" t="e" vm="7">
        <f>_xlfn.IMAGE("https://natalie.tf/wp-content/uploads/2023/10/DLV3_Icon_Ability_"&amp;INDEX('WP-A'!$A$1:$Z$498,MATCH('WP-Print'!Q403,'WP-A'!$A:$A,0),MATCH("Icon",'WP-A'!$A$1:$Z$1,0))&amp;".png")</f>
        <v>#VALUE!</v>
      </c>
      <c r="Q403" s="231" t="str">
        <f>+INDEX(WP!$A:$AN,MATCH(F404,WP!$B:$B,0),MATCH("Ability",WP!$A$2:$AN$2,0))</f>
        <v>Force Strike +50%</v>
      </c>
      <c r="R403" s="734" t="str">
        <f>+INDEX(WP!$A:$AN,MATCH(F404,WP!$B:$B,0),MATCH("Obtain From",WP!$A$2:$AN$2,0))</f>
        <v>Clear Mei Hou Wang Clash: Nightmare (Timeworn Torment)</v>
      </c>
    </row>
    <row r="404" spans="1:18" ht="22.5" customHeight="1" x14ac:dyDescent="0.2">
      <c r="A404" s="204" t="str">
        <f>TEXT(A401+1,"000")</f>
        <v>134</v>
      </c>
      <c r="B404" s="729"/>
      <c r="C404" s="8"/>
      <c r="D404" s="729"/>
      <c r="E404" s="8"/>
      <c r="F404" s="200" t="str">
        <f>"WP-"&amp;A404</f>
        <v>WP-134</v>
      </c>
      <c r="G404" s="200">
        <f>+INDEX(WP!$A:$AN,MATCH(F404,WP!$B:$B,0),MATCH("ID",WP!$A$2:$AN$2,0))</f>
        <v>400433</v>
      </c>
      <c r="I404" s="8"/>
      <c r="J404" s="180" t="s">
        <v>10762</v>
      </c>
      <c r="K404" s="201">
        <f>+INDEX(WP!$A:$AN,MATCH(F404,WP!$B:$B,0),14)</f>
        <v>5</v>
      </c>
      <c r="L404" s="202">
        <f>+INDEX(WP!$A:$AN,MATCH(F404,WP!$B:$B,0),15)</f>
        <v>150</v>
      </c>
      <c r="M404" s="202">
        <f>+INDEX(WP!$A:$AN,MATCH(F404,WP!$B:$B,0),16)</f>
        <v>90</v>
      </c>
      <c r="N404" s="202" t="e" vm="343">
        <f>IFERROR(_xlfn.IMAGE("https://natalie.tf/wp-content/uploads/2023/11/DLV3_Icon_Affinity_"&amp;O404&amp;".png"),"")</f>
        <v>#VALUE!</v>
      </c>
      <c r="O404" s="203" t="str">
        <f>+INDEX(WP!$A:$AN,MATCH(F404,WP!$B:$B,0),17)</f>
        <v>Axe</v>
      </c>
      <c r="P404" s="8" t="e" vm="7">
        <f>_xlfn.IMAGE("https://natalie.tf/wp-content/uploads/2023/10/DLV3_Icon_Ability_"&amp;INDEX('WP-A'!$A$1:$Z$498,MATCH('WP-Print'!Q404,'WP-A'!$A:$A,0),MATCH("Icon",'WP-A'!$A$1:$Z$1,0))&amp;".png")</f>
        <v>#VALUE!</v>
      </c>
      <c r="Q404" s="231" t="str">
        <f>+INDEX(WP!$A:$AN,MATCH(F404,WP!$B:$B,0),MATCH("Ability V3",WP!$A$2:$AN$2,0))</f>
        <v>Force Strike +50%</v>
      </c>
      <c r="R404" s="735"/>
    </row>
    <row r="405" spans="1:18" ht="7.5" customHeight="1" x14ac:dyDescent="0.2">
      <c r="A405" t="s">
        <v>10763</v>
      </c>
    </row>
    <row r="406" spans="1:18" ht="22.5" customHeight="1" x14ac:dyDescent="0.2">
      <c r="B406" s="729" t="e" vm="591">
        <f>_xlfn.IMAGE("https://natalie.tf/wp-content/uploads/2023/10/DLV3_Icon_WP_"&amp;G407&amp;"_01.png")</f>
        <v>#VALUE!</v>
      </c>
      <c r="D406" s="730" t="e" vm="592">
        <f>_xlfn.IMAGE("https://natalie.tf/wp-content/uploads/2023/10/DLV3_Icon_WP_"&amp;G407&amp;"_02.png")</f>
        <v>#VALUE!</v>
      </c>
      <c r="F406" s="717" t="str">
        <f>+INDEX(WP!$A:$AN,MATCH(F407,WP!$B:$B,0),MATCH("Name",WP!$A$2:$AN$2,0))</f>
        <v>Me and My Bestie!</v>
      </c>
      <c r="G406" s="718"/>
      <c r="H406" s="719"/>
      <c r="J406" s="180" t="s">
        <v>10761</v>
      </c>
      <c r="K406" s="201">
        <f>+INDEX(WP!$A:$AN,MATCH(F407,WP!$B:$B,0),5)</f>
        <v>5</v>
      </c>
      <c r="L406" s="202">
        <f>+INDEX(WP!$A:$AN,MATCH(F407,WP!$B:$B,0),6)</f>
        <v>88</v>
      </c>
      <c r="M406" s="202">
        <f>+INDEX(WP!$A:$AN,MATCH(F407,WP!$B:$B,0),7)</f>
        <v>32</v>
      </c>
      <c r="N406" s="202" t="str">
        <f ca="1">IFERROR(_xlfn.IMAGE("https://natalie.tf/wp-content/uploads/2023/11/DLV3_Icon_Affinity_"&amp;O406&amp;".png"),"")</f>
        <v/>
      </c>
      <c r="O406" s="203" t="str">
        <f>IF(INDEX(WP!$A:$AN,MATCH(F407,WP!$B:$B,0),8)=0,"None",INDEX(WP!$A:$AN,MATCH(F407,WP!$B:$B,0),8))</f>
        <v>None</v>
      </c>
      <c r="P406" s="8" t="e" vm="465">
        <f>_xlfn.IMAGE("https://natalie.tf/wp-content/uploads/2023/10/DLV3_Icon_Ability_"&amp;INDEX('WP-A'!$A$1:$Z$498,MATCH('WP-Print'!Q406,'WP-A'!$A:$A,0),MATCH("Icon",'WP-A'!$A$1:$Z$1,0))&amp;".png")</f>
        <v>#VALUE!</v>
      </c>
      <c r="Q406" s="231" t="str">
        <f>+INDEX(WP!$A:$AN,MATCH(F407,WP!$B:$B,0),MATCH("Ability",WP!$A$2:$AN$2,0))</f>
        <v>Burning Punisher +30%</v>
      </c>
      <c r="R406" s="734" t="str">
        <f>+INDEX(WP!$A:$AN,MATCH(F407,WP!$B:$B,0),MATCH("Obtain From",WP!$A$2:$AN$2,0))</f>
        <v>Clear All-Out Assault: Master (Nadine and Linnea's United Front)</v>
      </c>
    </row>
    <row r="407" spans="1:18" ht="22.5" customHeight="1" x14ac:dyDescent="0.2">
      <c r="A407" s="204" t="str">
        <f>TEXT(A404+1,"000")</f>
        <v>135</v>
      </c>
      <c r="B407" s="729"/>
      <c r="C407" s="8"/>
      <c r="D407" s="729"/>
      <c r="E407" s="8"/>
      <c r="F407" s="200" t="str">
        <f>"WP-"&amp;A407</f>
        <v>WP-135</v>
      </c>
      <c r="G407" s="200">
        <f>+INDEX(WP!$A:$AN,MATCH(F407,WP!$B:$B,0),MATCH("ID",WP!$A$2:$AN$2,0))</f>
        <v>400435</v>
      </c>
      <c r="I407" s="8"/>
      <c r="J407" s="180" t="s">
        <v>10762</v>
      </c>
      <c r="K407" s="201">
        <f>+INDEX(WP!$A:$AN,MATCH(F407,WP!$B:$B,0),14)</f>
        <v>5</v>
      </c>
      <c r="L407" s="202">
        <f>+INDEX(WP!$A:$AN,MATCH(F407,WP!$B:$B,0),15)</f>
        <v>150</v>
      </c>
      <c r="M407" s="202">
        <f>+INDEX(WP!$A:$AN,MATCH(F407,WP!$B:$B,0),16)</f>
        <v>90</v>
      </c>
      <c r="N407" s="202" t="e" vm="354">
        <f>IFERROR(_xlfn.IMAGE("https://natalie.tf/wp-content/uploads/2023/11/DLV3_Icon_Affinity_"&amp;O407&amp;".png"),"")</f>
        <v>#VALUE!</v>
      </c>
      <c r="O407" s="203" t="str">
        <f>+INDEX(WP!$A:$AN,MATCH(F407,WP!$B:$B,0),17)</f>
        <v>Butterfly</v>
      </c>
      <c r="P407" s="8" t="e" vm="465">
        <f>_xlfn.IMAGE("https://natalie.tf/wp-content/uploads/2023/10/DLV3_Icon_Ability_"&amp;INDEX('WP-A'!$A$1:$Z$498,MATCH('WP-Print'!Q407,'WP-A'!$A:$A,0),MATCH("Icon",'WP-A'!$A$1:$Z$1,0))&amp;".png")</f>
        <v>#VALUE!</v>
      </c>
      <c r="Q407" s="231" t="str">
        <f>+INDEX(WP!$A:$AN,MATCH(F407,WP!$B:$B,0),MATCH("Ability V3",WP!$A$2:$AN$2,0))</f>
        <v>Burning Punisher +30%</v>
      </c>
      <c r="R407" s="735"/>
    </row>
    <row r="408" spans="1:18" ht="7.5" customHeight="1" x14ac:dyDescent="0.2">
      <c r="A408" t="s">
        <v>10763</v>
      </c>
    </row>
    <row r="409" spans="1:18" ht="22.5" customHeight="1" x14ac:dyDescent="0.2">
      <c r="B409" s="729" t="e" vm="593">
        <f>_xlfn.IMAGE("https://natalie.tf/wp-content/uploads/2023/10/DLV3_Icon_WP_"&amp;G410&amp;"_01.png")</f>
        <v>#VALUE!</v>
      </c>
      <c r="D409" s="730" t="e" vm="594">
        <f>_xlfn.IMAGE("https://natalie.tf/wp-content/uploads/2023/10/DLV3_Icon_WP_"&amp;G410&amp;"_02.png")</f>
        <v>#VALUE!</v>
      </c>
      <c r="F409" s="717" t="str">
        <f>+INDEX(WP!$A:$AN,MATCH(F410,WP!$B:$B,0),MATCH("Name",WP!$A$2:$AN$2,0))</f>
        <v>Best Buds</v>
      </c>
      <c r="G409" s="718"/>
      <c r="H409" s="719"/>
      <c r="J409" s="180" t="s">
        <v>10761</v>
      </c>
      <c r="K409" s="201">
        <f>+INDEX(WP!$A:$AN,MATCH(F410,WP!$B:$B,0),5)</f>
        <v>5</v>
      </c>
      <c r="L409" s="202">
        <f>+INDEX(WP!$A:$AN,MATCH(F410,WP!$B:$B,0),6)</f>
        <v>75</v>
      </c>
      <c r="M409" s="202">
        <f>+INDEX(WP!$A:$AN,MATCH(F410,WP!$B:$B,0),7)</f>
        <v>27</v>
      </c>
      <c r="N409" s="202" t="str">
        <f ca="1">IFERROR(_xlfn.IMAGE("https://natalie.tf/wp-content/uploads/2023/11/DLV3_Icon_Affinity_"&amp;O409&amp;".png"),"")</f>
        <v/>
      </c>
      <c r="O409" s="203" t="str">
        <f>IF(INDEX(WP!$A:$AN,MATCH(F410,WP!$B:$B,0),8)=0,"None",INDEX(WP!$A:$AN,MATCH(F410,WP!$B:$B,0),8))</f>
        <v>None</v>
      </c>
      <c r="P409" s="8" t="e" vm="326">
        <f>_xlfn.IMAGE("https://natalie.tf/wp-content/uploads/2023/10/DLV3_Icon_Ability_"&amp;INDEX('WP-A'!$A$1:$Z$498,MATCH('WP-Print'!Q409,'WP-A'!$A:$A,0),MATCH("Icon",'WP-A'!$A$1:$Z$1,0))&amp;".png")</f>
        <v>#VALUE!</v>
      </c>
      <c r="Q409" s="231" t="str">
        <f>+INDEX(WP!$A:$AN,MATCH(F410,WP!$B:$B,0),MATCH("Ability",WP!$A$2:$AN$2,0))</f>
        <v>Critical Rate +8%</v>
      </c>
      <c r="R409" s="734" t="str">
        <f>+INDEX(WP!$A:$AN,MATCH(F410,WP!$B:$B,0),MATCH("Obtain From",WP!$A$2:$AN$2,0))</f>
        <v>Clear Frenetic Fiend Festival: Standard (Rhythmic Resolutions)</v>
      </c>
    </row>
    <row r="410" spans="1:18" ht="22.5" customHeight="1" x14ac:dyDescent="0.2">
      <c r="A410" s="204" t="str">
        <f>TEXT(A407+1,"000")</f>
        <v>136</v>
      </c>
      <c r="B410" s="729"/>
      <c r="C410" s="8"/>
      <c r="D410" s="729"/>
      <c r="E410" s="8"/>
      <c r="F410" s="200" t="str">
        <f>"WP-"&amp;A410</f>
        <v>WP-136</v>
      </c>
      <c r="G410" s="200">
        <f>+INDEX(WP!$A:$AN,MATCH(F410,WP!$B:$B,0),MATCH("ID",WP!$A$2:$AN$2,0))</f>
        <v>400436</v>
      </c>
      <c r="I410" s="8"/>
      <c r="J410" s="180" t="s">
        <v>10762</v>
      </c>
      <c r="K410" s="201">
        <f>+INDEX(WP!$A:$AN,MATCH(F410,WP!$B:$B,0),14)</f>
        <v>5</v>
      </c>
      <c r="L410" s="202">
        <f>+INDEX(WP!$A:$AN,MATCH(F410,WP!$B:$B,0),15)</f>
        <v>150</v>
      </c>
      <c r="M410" s="202">
        <f>+INDEX(WP!$A:$AN,MATCH(F410,WP!$B:$B,0),16)</f>
        <v>90</v>
      </c>
      <c r="N410" s="202" t="e" vm="341">
        <f>IFERROR(_xlfn.IMAGE("https://natalie.tf/wp-content/uploads/2023/11/DLV3_Icon_Affinity_"&amp;O410&amp;".png"),"")</f>
        <v>#VALUE!</v>
      </c>
      <c r="O410" s="203" t="str">
        <f>+INDEX(WP!$A:$AN,MATCH(F410,WP!$B:$B,0),17)</f>
        <v>Crown</v>
      </c>
      <c r="P410" s="8" t="e" vm="326">
        <f>_xlfn.IMAGE("https://natalie.tf/wp-content/uploads/2023/10/DLV3_Icon_Ability_"&amp;INDEX('WP-A'!$A$1:$Z$498,MATCH('WP-Print'!Q410,'WP-A'!$A:$A,0),MATCH("Icon",'WP-A'!$A$1:$Z$1,0))&amp;".png")</f>
        <v>#VALUE!</v>
      </c>
      <c r="Q410" s="231" t="str">
        <f>+INDEX(WP!$A:$AN,MATCH(F410,WP!$B:$B,0),MATCH("Ability V3",WP!$A$2:$AN$2,0))</f>
        <v>Critical Rate +10%</v>
      </c>
      <c r="R410" s="735"/>
    </row>
    <row r="411" spans="1:18" ht="7.5" customHeight="1" x14ac:dyDescent="0.2">
      <c r="A411" t="s">
        <v>10763</v>
      </c>
    </row>
    <row r="412" spans="1:18" ht="22.5" customHeight="1" x14ac:dyDescent="0.2">
      <c r="B412" s="729" t="e" vm="595">
        <f>_xlfn.IMAGE("https://natalie.tf/wp-content/uploads/2023/10/DLV3_Icon_WP_"&amp;G413&amp;"_01.png")</f>
        <v>#VALUE!</v>
      </c>
      <c r="D412" s="730" t="e" vm="596">
        <f>_xlfn.IMAGE("https://natalie.tf/wp-content/uploads/2023/10/DLV3_Icon_WP_"&amp;G413&amp;"_02.png")</f>
        <v>#VALUE!</v>
      </c>
      <c r="F412" s="717" t="str">
        <f>+INDEX(WP!$A:$AN,MATCH(F413,WP!$B:$B,0),MATCH("Name",WP!$A$2:$AN$2,0))</f>
        <v>Once in a Lifetime</v>
      </c>
      <c r="G412" s="718"/>
      <c r="H412" s="719"/>
      <c r="J412" s="180" t="s">
        <v>10761</v>
      </c>
      <c r="K412" s="201">
        <f>+INDEX(WP!$A:$AN,MATCH(F413,WP!$B:$B,0),5)</f>
        <v>5</v>
      </c>
      <c r="L412" s="202">
        <f>+INDEX(WP!$A:$AN,MATCH(F413,WP!$B:$B,0),6)</f>
        <v>88</v>
      </c>
      <c r="M412" s="202">
        <f>+INDEX(WP!$A:$AN,MATCH(F413,WP!$B:$B,0),7)</f>
        <v>32</v>
      </c>
      <c r="N412" s="202" t="str">
        <f ca="1">IFERROR(_xlfn.IMAGE("https://natalie.tf/wp-content/uploads/2023/11/DLV3_Icon_Affinity_"&amp;O412&amp;".png"),"")</f>
        <v/>
      </c>
      <c r="O412" s="203" t="str">
        <f>IF(INDEX(WP!$A:$AN,MATCH(F413,WP!$B:$B,0),8)=0,"None",INDEX(WP!$A:$AN,MATCH(F413,WP!$B:$B,0),8))</f>
        <v>None</v>
      </c>
      <c r="P412" s="8" t="e" vm="330">
        <f>_xlfn.IMAGE("https://natalie.tf/wp-content/uploads/2023/10/DLV3_Icon_Ability_"&amp;INDEX('WP-A'!$A$1:$Z$498,MATCH('WP-Print'!Q412,'WP-A'!$A:$A,0),MATCH("Icon",'WP-A'!$A$1:$Z$1,0))&amp;".png")</f>
        <v>#VALUE!</v>
      </c>
      <c r="Q412" s="231" t="str">
        <f>+INDEX(WP!$A:$AN,MATCH(F413,WP!$B:$B,0),MATCH("Ability",WP!$A$2:$AN$2,0))</f>
        <v>(Water) Skill Haste +9%</v>
      </c>
      <c r="R412" s="734" t="str">
        <f>+INDEX(WP!$A:$AN,MATCH(F413,WP!$B:$B,0),MATCH("Obtain From",WP!$A$2:$AN$2,0))</f>
        <v>Clear Raging Festivities: Master (Rhythmic Resolutions)</v>
      </c>
    </row>
    <row r="413" spans="1:18" ht="22.5" customHeight="1" x14ac:dyDescent="0.2">
      <c r="A413" s="204" t="str">
        <f>TEXT(A410+1,"000")</f>
        <v>137</v>
      </c>
      <c r="B413" s="729"/>
      <c r="C413" s="8"/>
      <c r="D413" s="729"/>
      <c r="E413" s="8"/>
      <c r="F413" s="200" t="str">
        <f>"WP-"&amp;A413</f>
        <v>WP-137</v>
      </c>
      <c r="G413" s="200">
        <f>+INDEX(WP!$A:$AN,MATCH(F413,WP!$B:$B,0),MATCH("ID",WP!$A$2:$AN$2,0))</f>
        <v>400437</v>
      </c>
      <c r="I413" s="8"/>
      <c r="J413" s="180" t="s">
        <v>10762</v>
      </c>
      <c r="K413" s="201">
        <f>+INDEX(WP!$A:$AN,MATCH(F413,WP!$B:$B,0),14)</f>
        <v>5</v>
      </c>
      <c r="L413" s="202">
        <f>+INDEX(WP!$A:$AN,MATCH(F413,WP!$B:$B,0),15)</f>
        <v>150</v>
      </c>
      <c r="M413" s="202">
        <f>+INDEX(WP!$A:$AN,MATCH(F413,WP!$B:$B,0),16)</f>
        <v>90</v>
      </c>
      <c r="N413" s="202" t="e" vm="344">
        <f>IFERROR(_xlfn.IMAGE("https://natalie.tf/wp-content/uploads/2023/11/DLV3_Icon_Affinity_"&amp;O413&amp;".png"),"")</f>
        <v>#VALUE!</v>
      </c>
      <c r="O413" s="203" t="str">
        <f>+INDEX(WP!$A:$AN,MATCH(F413,WP!$B:$B,0),17)</f>
        <v>Eagle</v>
      </c>
      <c r="P413" s="8" t="e" vm="330">
        <f>_xlfn.IMAGE("https://natalie.tf/wp-content/uploads/2023/10/DLV3_Icon_Ability_"&amp;INDEX('WP-A'!$A$1:$Z$498,MATCH('WP-Print'!Q413,'WP-A'!$A:$A,0),MATCH("Icon",'WP-A'!$A$1:$Z$1,0))&amp;".png")</f>
        <v>#VALUE!</v>
      </c>
      <c r="Q413" s="231" t="str">
        <f>+INDEX(WP!$A:$AN,MATCH(F413,WP!$B:$B,0),MATCH("Ability V3",WP!$A$2:$AN$2,0))</f>
        <v>(Water) Skill Haste +10%</v>
      </c>
      <c r="R413" s="735"/>
    </row>
    <row r="414" spans="1:18" ht="7.5" customHeight="1" x14ac:dyDescent="0.2">
      <c r="A414" t="s">
        <v>10763</v>
      </c>
    </row>
    <row r="415" spans="1:18" ht="22.5" customHeight="1" x14ac:dyDescent="0.2">
      <c r="B415" s="729" t="e" vm="597">
        <f>_xlfn.IMAGE("https://natalie.tf/wp-content/uploads/2023/10/DLV3_Icon_WP_"&amp;G416&amp;"_01.png")</f>
        <v>#VALUE!</v>
      </c>
      <c r="D415" s="730" t="e" vm="598">
        <f>_xlfn.IMAGE("https://natalie.tf/wp-content/uploads/2023/10/DLV3_Icon_WP_"&amp;G416&amp;"_02.png")</f>
        <v>#VALUE!</v>
      </c>
      <c r="F415" s="717" t="str">
        <f>+INDEX(WP!$A:$AN,MATCH(F416,WP!$B:$B,0),MATCH("Name",WP!$A$2:$AN$2,0))</f>
        <v>Summertime, Feeling Feline</v>
      </c>
      <c r="G415" s="718"/>
      <c r="H415" s="719"/>
      <c r="J415" s="180" t="s">
        <v>10761</v>
      </c>
      <c r="K415" s="201">
        <f>+INDEX(WP!$A:$AN,MATCH(F416,WP!$B:$B,0),5)</f>
        <v>5</v>
      </c>
      <c r="L415" s="202">
        <f>+INDEX(WP!$A:$AN,MATCH(F416,WP!$B:$B,0),6)</f>
        <v>88</v>
      </c>
      <c r="M415" s="202">
        <f>+INDEX(WP!$A:$AN,MATCH(F416,WP!$B:$B,0),7)</f>
        <v>32</v>
      </c>
      <c r="N415" s="202" t="e" vm="345">
        <f>IFERROR(_xlfn.IMAGE("https://natalie.tf/wp-content/uploads/2023/11/DLV3_Icon_Affinity_"&amp;O415&amp;".png"),"")</f>
        <v>#VALUE!</v>
      </c>
      <c r="O415" s="203" t="str">
        <f>IF(INDEX(WP!$A:$AN,MATCH(F416,WP!$B:$B,0),8)=0,"None",INDEX(WP!$A:$AN,MATCH(F416,WP!$B:$B,0),8))</f>
        <v>Staff</v>
      </c>
      <c r="P415" s="8" t="e" vm="14">
        <f>_xlfn.IMAGE("https://natalie.tf/wp-content/uploads/2023/10/DLV3_Icon_Ability_"&amp;INDEX('WP-A'!$A$1:$Z$498,MATCH('WP-Print'!Q415,'WP-A'!$A:$A,0),MATCH("Icon",'WP-A'!$A$1:$Z$1,0))&amp;".png")</f>
        <v>#VALUE!</v>
      </c>
      <c r="Q415" s="231" t="str">
        <f>+INDEX(WP!$A:$AN,MATCH(F416,WP!$B:$B,0),MATCH("Ability",WP!$A$2:$AN$2,0))</f>
        <v>Striker's Strength +6%</v>
      </c>
      <c r="R415" s="734" t="str">
        <f>+INDEX(WP!$A:$AN,MATCH(F416,WP!$B:$B,0),MATCH("Obtain From",WP!$A$2:$AN$2,0))</f>
        <v>Clear Defensive Battle: Master (Summertime Saviors)</v>
      </c>
    </row>
    <row r="416" spans="1:18" ht="22.5" customHeight="1" x14ac:dyDescent="0.2">
      <c r="A416" s="204" t="str">
        <f>TEXT(A413+1,"000")</f>
        <v>138</v>
      </c>
      <c r="B416" s="729"/>
      <c r="C416" s="8"/>
      <c r="D416" s="729"/>
      <c r="E416" s="8"/>
      <c r="F416" s="200" t="str">
        <f>"WP-"&amp;A416</f>
        <v>WP-138</v>
      </c>
      <c r="G416" s="200">
        <f>+INDEX(WP!$A:$AN,MATCH(F416,WP!$B:$B,0),MATCH("ID",WP!$A$2:$AN$2,0))</f>
        <v>400442</v>
      </c>
      <c r="I416" s="8"/>
      <c r="J416" s="180" t="s">
        <v>10762</v>
      </c>
      <c r="K416" s="201">
        <f>+INDEX(WP!$A:$AN,MATCH(F416,WP!$B:$B,0),14)</f>
        <v>5</v>
      </c>
      <c r="L416" s="202">
        <f>+INDEX(WP!$A:$AN,MATCH(F416,WP!$B:$B,0),15)</f>
        <v>150</v>
      </c>
      <c r="M416" s="202">
        <f>+INDEX(WP!$A:$AN,MATCH(F416,WP!$B:$B,0),16)</f>
        <v>90</v>
      </c>
      <c r="N416" s="202" t="e" vm="345">
        <f>IFERROR(_xlfn.IMAGE("https://natalie.tf/wp-content/uploads/2023/11/DLV3_Icon_Affinity_"&amp;O416&amp;".png"),"")</f>
        <v>#VALUE!</v>
      </c>
      <c r="O416" s="203" t="str">
        <f>+INDEX(WP!$A:$AN,MATCH(F416,WP!$B:$B,0),17)</f>
        <v>Staff</v>
      </c>
      <c r="P416" s="8" t="e" vm="14">
        <f>_xlfn.IMAGE("https://natalie.tf/wp-content/uploads/2023/10/DLV3_Icon_Ability_"&amp;INDEX('WP-A'!$A$1:$Z$498,MATCH('WP-Print'!Q416,'WP-A'!$A:$A,0),MATCH("Icon",'WP-A'!$A$1:$Z$1,0))&amp;".png")</f>
        <v>#VALUE!</v>
      </c>
      <c r="Q416" s="231" t="str">
        <f>+INDEX(WP!$A:$AN,MATCH(F416,WP!$B:$B,0),MATCH("Ability V3",WP!$A$2:$AN$2,0))</f>
        <v>Striker's Strength +6%</v>
      </c>
      <c r="R416" s="735"/>
    </row>
    <row r="417" spans="1:18" ht="7.5" customHeight="1" x14ac:dyDescent="0.2">
      <c r="A417" t="s">
        <v>10763</v>
      </c>
    </row>
    <row r="418" spans="1:18" ht="22.5" customHeight="1" x14ac:dyDescent="0.2">
      <c r="B418" s="729" t="e" vm="599">
        <f>_xlfn.IMAGE("https://natalie.tf/wp-content/uploads/2023/10/DLV3_Icon_WP_"&amp;G419&amp;"_01.png")</f>
        <v>#VALUE!</v>
      </c>
      <c r="D418" s="730" t="e" vm="600">
        <f>_xlfn.IMAGE("https://natalie.tf/wp-content/uploads/2023/10/DLV3_Icon_WP_"&amp;G419&amp;"_02.png")</f>
        <v>#VALUE!</v>
      </c>
      <c r="F418" s="717" t="str">
        <f>+INDEX(WP!$A:$AN,MATCH(F419,WP!$B:$B,0),MATCH("Name",WP!$A$2:$AN$2,0))</f>
        <v>Blossoms on the Water's Edge</v>
      </c>
      <c r="G418" s="718"/>
      <c r="H418" s="719"/>
      <c r="J418" s="180" t="s">
        <v>10761</v>
      </c>
      <c r="K418" s="201">
        <f>+INDEX(WP!$A:$AN,MATCH(F419,WP!$B:$B,0),5)</f>
        <v>5</v>
      </c>
      <c r="L418" s="202">
        <f>+INDEX(WP!$A:$AN,MATCH(F419,WP!$B:$B,0),6)</f>
        <v>89</v>
      </c>
      <c r="M418" s="202">
        <f>+INDEX(WP!$A:$AN,MATCH(F419,WP!$B:$B,0),7)</f>
        <v>31</v>
      </c>
      <c r="N418" s="202" t="e" vm="381">
        <f>IFERROR(_xlfn.IMAGE("https://natalie.tf/wp-content/uploads/2023/11/DLV3_Icon_Affinity_"&amp;O418&amp;".png"),"")</f>
        <v>#VALUE!</v>
      </c>
      <c r="O418" s="203" t="str">
        <f>IF(INDEX(WP!$A:$AN,MATCH(F419,WP!$B:$B,0),8)=0,"None",INDEX(WP!$A:$AN,MATCH(F419,WP!$B:$B,0),8))</f>
        <v>Dragon</v>
      </c>
      <c r="P418" s="8" t="e" vm="601">
        <f>_xlfn.IMAGE("https://natalie.tf/wp-content/uploads/2023/10/DLV3_Icon_Ability_"&amp;INDEX('WP-A'!$A$1:$Z$498,MATCH('WP-Print'!Q418,'WP-A'!$A:$A,0),MATCH("Icon",'WP-A'!$A$1:$Z$1,0))&amp;".png")</f>
        <v>#VALUE!</v>
      </c>
      <c r="Q418" s="231" t="str">
        <f>+INDEX(WP!$A:$AN,MATCH(F419,WP!$B:$B,0),MATCH("Ability",WP!$A$2:$AN$2,0))</f>
        <v>Dragon Haste +8%</v>
      </c>
      <c r="R418" s="734" t="str">
        <f>+INDEX(WP!$A:$AN,MATCH(F419,WP!$B:$B,0),MATCH("Obtain From",WP!$A$2:$AN$2,0))</f>
        <v>Clear Scylla Clash: Nightmare (Doomsday Getaway)</v>
      </c>
    </row>
    <row r="419" spans="1:18" ht="22.5" customHeight="1" x14ac:dyDescent="0.2">
      <c r="A419" s="204" t="str">
        <f>TEXT(A416+1,"000")</f>
        <v>139</v>
      </c>
      <c r="B419" s="729"/>
      <c r="C419" s="8"/>
      <c r="D419" s="729"/>
      <c r="E419" s="8"/>
      <c r="F419" s="200" t="str">
        <f>"WP-"&amp;A419</f>
        <v>WP-139</v>
      </c>
      <c r="G419" s="200">
        <f>+INDEX(WP!$A:$AN,MATCH(F419,WP!$B:$B,0),MATCH("ID",WP!$A$2:$AN$2,0))</f>
        <v>400439</v>
      </c>
      <c r="I419" s="8"/>
      <c r="J419" s="180" t="s">
        <v>10762</v>
      </c>
      <c r="K419" s="201">
        <f>+INDEX(WP!$A:$AN,MATCH(F419,WP!$B:$B,0),14)</f>
        <v>5</v>
      </c>
      <c r="L419" s="202">
        <f>+INDEX(WP!$A:$AN,MATCH(F419,WP!$B:$B,0),15)</f>
        <v>150</v>
      </c>
      <c r="M419" s="202">
        <f>+INDEX(WP!$A:$AN,MATCH(F419,WP!$B:$B,0),16)</f>
        <v>90</v>
      </c>
      <c r="N419" s="202" t="e" vm="381">
        <f>IFERROR(_xlfn.IMAGE("https://natalie.tf/wp-content/uploads/2023/11/DLV3_Icon_Affinity_"&amp;O419&amp;".png"),"")</f>
        <v>#VALUE!</v>
      </c>
      <c r="O419" s="203" t="str">
        <f>+INDEX(WP!$A:$AN,MATCH(F419,WP!$B:$B,0),17)</f>
        <v>Dragon</v>
      </c>
      <c r="P419" s="8" t="e" vm="601">
        <f>_xlfn.IMAGE("https://natalie.tf/wp-content/uploads/2023/10/DLV3_Icon_Ability_"&amp;INDEX('WP-A'!$A$1:$Z$498,MATCH('WP-Print'!Q419,'WP-A'!$A:$A,0),MATCH("Icon",'WP-A'!$A$1:$Z$1,0))&amp;".png")</f>
        <v>#VALUE!</v>
      </c>
      <c r="Q419" s="231" t="str">
        <f>+INDEX(WP!$A:$AN,MATCH(F419,WP!$B:$B,0),MATCH("Ability V3",WP!$A$2:$AN$2,0))</f>
        <v>Dragon Haste +10%</v>
      </c>
      <c r="R419" s="735"/>
    </row>
    <row r="420" spans="1:18" ht="7.5" customHeight="1" x14ac:dyDescent="0.2">
      <c r="A420" t="s">
        <v>10763</v>
      </c>
    </row>
    <row r="421" spans="1:18" ht="22.5" customHeight="1" x14ac:dyDescent="0.2">
      <c r="B421" s="729" t="e" vm="602">
        <f>_xlfn.IMAGE("https://natalie.tf/wp-content/uploads/2023/10/DLV3_Icon_WP_"&amp;G422&amp;"_01.png")</f>
        <v>#VALUE!</v>
      </c>
      <c r="D421" s="730" t="e" vm="603">
        <f>_xlfn.IMAGE("https://natalie.tf/wp-content/uploads/2023/10/DLV3_Icon_WP_"&amp;G422&amp;"_02.png")</f>
        <v>#VALUE!</v>
      </c>
      <c r="F421" s="717" t="str">
        <f>+INDEX(WP!$A:$AN,MATCH(F422,WP!$B:$B,0),MATCH("Name",WP!$A$2:$AN$2,0))</f>
        <v>Memories of Summer's Dusk</v>
      </c>
      <c r="G421" s="718"/>
      <c r="H421" s="719"/>
      <c r="J421" s="180" t="s">
        <v>10761</v>
      </c>
      <c r="K421" s="201">
        <f>+INDEX(WP!$A:$AN,MATCH(F422,WP!$B:$B,0),5)</f>
        <v>5</v>
      </c>
      <c r="L421" s="202">
        <f>+INDEX(WP!$A:$AN,MATCH(F422,WP!$B:$B,0),6)</f>
        <v>88</v>
      </c>
      <c r="M421" s="202">
        <f>+INDEX(WP!$A:$AN,MATCH(F422,WP!$B:$B,0),7)</f>
        <v>32</v>
      </c>
      <c r="N421" s="202" t="e" vm="367">
        <f>IFERROR(_xlfn.IMAGE("https://natalie.tf/wp-content/uploads/2023/11/DLV3_Icon_Affinity_"&amp;O421&amp;".png"),"")</f>
        <v>#VALUE!</v>
      </c>
      <c r="O421" s="203" t="str">
        <f>IF(INDEX(WP!$A:$AN,MATCH(F422,WP!$B:$B,0),8)=0,"None",INDEX(WP!$A:$AN,MATCH(F422,WP!$B:$B,0),8))</f>
        <v>Spider</v>
      </c>
      <c r="P421" s="8" t="e" vm="604">
        <f>_xlfn.IMAGE("https://natalie.tf/wp-content/uploads/2023/10/DLV3_Icon_Ability_"&amp;INDEX('WP-A'!$A$1:$Z$498,MATCH('WP-Print'!Q421,'WP-A'!$A:$A,0),MATCH("Icon",'WP-A'!$A$1:$Z$1,0))&amp;".png")</f>
        <v>#VALUE!</v>
      </c>
      <c r="Q421" s="231" t="str">
        <f>+INDEX(WP!$A:$AN,MATCH(F422,WP!$B:$B,0),MATCH("Ability",WP!$A$2:$AN$2,0))</f>
        <v>Stunned Punisher +20%</v>
      </c>
      <c r="R421" s="734" t="str">
        <f>+INDEX(WP!$A:$AN,MATCH(F422,WP!$B:$B,0),MATCH("Obtain From",WP!$A$2:$AN$2,0))</f>
        <v>Clear All-Out Assault: Master (Twinkling Twilight)</v>
      </c>
    </row>
    <row r="422" spans="1:18" ht="22.5" customHeight="1" x14ac:dyDescent="0.2">
      <c r="A422" s="204" t="str">
        <f>TEXT(A419+1,"000")</f>
        <v>140</v>
      </c>
      <c r="B422" s="729"/>
      <c r="C422" s="8"/>
      <c r="D422" s="729"/>
      <c r="E422" s="8"/>
      <c r="F422" s="200" t="str">
        <f>"WP-"&amp;A422</f>
        <v>WP-140</v>
      </c>
      <c r="G422" s="200">
        <f>+INDEX(WP!$A:$AN,MATCH(F422,WP!$B:$B,0),MATCH("ID",WP!$A$2:$AN$2,0))</f>
        <v>400445</v>
      </c>
      <c r="I422" s="8"/>
      <c r="J422" s="180" t="s">
        <v>10762</v>
      </c>
      <c r="K422" s="201">
        <f>+INDEX(WP!$A:$AN,MATCH(F422,WP!$B:$B,0),14)</f>
        <v>5</v>
      </c>
      <c r="L422" s="202">
        <f>+INDEX(WP!$A:$AN,MATCH(F422,WP!$B:$B,0),15)</f>
        <v>150</v>
      </c>
      <c r="M422" s="202">
        <f>+INDEX(WP!$A:$AN,MATCH(F422,WP!$B:$B,0),16)</f>
        <v>90</v>
      </c>
      <c r="N422" s="202" t="e" vm="367">
        <f>IFERROR(_xlfn.IMAGE("https://natalie.tf/wp-content/uploads/2023/11/DLV3_Icon_Affinity_"&amp;O422&amp;".png"),"")</f>
        <v>#VALUE!</v>
      </c>
      <c r="O422" s="203" t="str">
        <f>+INDEX(WP!$A:$AN,MATCH(F422,WP!$B:$B,0),17)</f>
        <v>Spider</v>
      </c>
      <c r="P422" s="8" t="e" vm="604">
        <f>_xlfn.IMAGE("https://natalie.tf/wp-content/uploads/2023/10/DLV3_Icon_Ability_"&amp;INDEX('WP-A'!$A$1:$Z$498,MATCH('WP-Print'!Q422,'WP-A'!$A:$A,0),MATCH("Icon",'WP-A'!$A$1:$Z$1,0))&amp;".png")</f>
        <v>#VALUE!</v>
      </c>
      <c r="Q422" s="231" t="str">
        <f>+INDEX(WP!$A:$AN,MATCH(F422,WP!$B:$B,0),MATCH("Ability V3",WP!$A$2:$AN$2,0))</f>
        <v>Stunned Punisher +25%</v>
      </c>
      <c r="R422" s="735"/>
    </row>
    <row r="423" spans="1:18" ht="22.5" customHeight="1" x14ac:dyDescent="0.2">
      <c r="A423" t="s">
        <v>10763</v>
      </c>
    </row>
    <row r="424" spans="1:18" ht="22.5" customHeight="1" x14ac:dyDescent="0.2">
      <c r="B424" s="729" t="e" vm="605">
        <f>_xlfn.IMAGE("https://natalie.tf/wp-content/uploads/2023/10/DLV3_Icon_WP_"&amp;G425&amp;"_01.png")</f>
        <v>#VALUE!</v>
      </c>
      <c r="D424" s="730" t="e" vm="606">
        <f>_xlfn.IMAGE("https://natalie.tf/wp-content/uploads/2023/10/DLV3_Icon_WP_"&amp;G425&amp;"_02.png")</f>
        <v>#VALUE!</v>
      </c>
      <c r="F424" s="717" t="str">
        <f>+INDEX(WP!$A:$AN,MATCH(F425,WP!$B:$B,0),MATCH("Name",WP!$A$2:$AN$2,0))</f>
        <v>Wings in the Night</v>
      </c>
      <c r="G424" s="718"/>
      <c r="H424" s="719"/>
      <c r="J424" s="180" t="s">
        <v>10761</v>
      </c>
      <c r="K424" s="201">
        <f>+INDEX(WP!$A:$AN,MATCH(F425,WP!$B:$B,0),5)</f>
        <v>5</v>
      </c>
      <c r="L424" s="202">
        <f>+INDEX(WP!$A:$AN,MATCH(F425,WP!$B:$B,0),6)</f>
        <v>75</v>
      </c>
      <c r="M424" s="202">
        <f>+INDEX(WP!$A:$AN,MATCH(F425,WP!$B:$B,0),7)</f>
        <v>27</v>
      </c>
      <c r="N424" s="202" t="str">
        <f ca="1">IFERROR(_xlfn.IMAGE("https://natalie.tf/wp-content/uploads/2023/11/DLV3_Icon_Affinity_"&amp;O424&amp;".png"),"")</f>
        <v/>
      </c>
      <c r="O424" s="203" t="str">
        <f>IF(INDEX(WP!$A:$AN,MATCH(F425,WP!$B:$B,0),8)=0,"None",INDEX(WP!$A:$AN,MATCH(F425,WP!$B:$B,0),8))</f>
        <v>None</v>
      </c>
      <c r="P424" s="8" t="e" vm="330">
        <f>_xlfn.IMAGE("https://natalie.tf/wp-content/uploads/2023/10/DLV3_Icon_Ability_"&amp;INDEX('WP-A'!$A$1:$Z$498,MATCH('WP-Print'!Q424,'WP-A'!$A:$A,0),MATCH("Icon",'WP-A'!$A$1:$Z$1,0))&amp;".png")</f>
        <v>#VALUE!</v>
      </c>
      <c r="Q424" s="231" t="str">
        <f>+INDEX(WP!$A:$AN,MATCH(F425,WP!$B:$B,0),MATCH("Ability",WP!$A$2:$AN$2,0))</f>
        <v>Striking Haste +12%</v>
      </c>
      <c r="R424" s="734" t="str">
        <f>+INDEX(WP!$A:$AN,MATCH(F425,WP!$B:$B,0),MATCH("Obtain From",WP!$A$2:$AN$2,0))</f>
        <v>Clear The Goddess's Will: Beginner (Agents of the Goddess)</v>
      </c>
    </row>
    <row r="425" spans="1:18" ht="22.5" customHeight="1" x14ac:dyDescent="0.2">
      <c r="A425" s="204" t="str">
        <f>TEXT(A422+1,"000")</f>
        <v>141</v>
      </c>
      <c r="B425" s="729"/>
      <c r="C425" s="8"/>
      <c r="D425" s="729"/>
      <c r="E425" s="8"/>
      <c r="F425" s="200" t="str">
        <f>"WP-"&amp;A425</f>
        <v>WP-141</v>
      </c>
      <c r="G425" s="200">
        <f>+INDEX(WP!$A:$AN,MATCH(F425,WP!$B:$B,0),MATCH("ID",WP!$A$2:$AN$2,0))</f>
        <v>400447</v>
      </c>
      <c r="I425" s="8"/>
      <c r="J425" s="180" t="s">
        <v>10762</v>
      </c>
      <c r="K425" s="201">
        <f>+INDEX(WP!$A:$AN,MATCH(F425,WP!$B:$B,0),14)</f>
        <v>5</v>
      </c>
      <c r="L425" s="202">
        <f>+INDEX(WP!$A:$AN,MATCH(F425,WP!$B:$B,0),15)</f>
        <v>150</v>
      </c>
      <c r="M425" s="202">
        <f>+INDEX(WP!$A:$AN,MATCH(F425,WP!$B:$B,0),16)</f>
        <v>90</v>
      </c>
      <c r="N425" s="202" t="e" vm="341">
        <f>IFERROR(_xlfn.IMAGE("https://natalie.tf/wp-content/uploads/2023/11/DLV3_Icon_Affinity_"&amp;O425&amp;".png"),"")</f>
        <v>#VALUE!</v>
      </c>
      <c r="O425" s="203" t="str">
        <f>+INDEX(WP!$A:$AN,MATCH(F425,WP!$B:$B,0),17)</f>
        <v>Crown</v>
      </c>
      <c r="P425" s="8" t="e" vm="330">
        <f>_xlfn.IMAGE("https://natalie.tf/wp-content/uploads/2023/10/DLV3_Icon_Ability_"&amp;INDEX('WP-A'!$A$1:$Z$498,MATCH('WP-Print'!Q425,'WP-A'!$A:$A,0),MATCH("Icon",'WP-A'!$A$1:$Z$1,0))&amp;".png")</f>
        <v>#VALUE!</v>
      </c>
      <c r="Q425" s="231" t="str">
        <f>+INDEX(WP!$A:$AN,MATCH(F425,WP!$B:$B,0),MATCH("Ability V3",WP!$A$2:$AN$2,0))</f>
        <v>Striking Haste +15%</v>
      </c>
      <c r="R425" s="735"/>
    </row>
    <row r="426" spans="1:18" ht="7.5" customHeight="1" x14ac:dyDescent="0.2">
      <c r="A426" t="s">
        <v>10763</v>
      </c>
    </row>
    <row r="427" spans="1:18" ht="22.5" customHeight="1" x14ac:dyDescent="0.2">
      <c r="B427" s="729" t="e" vm="607">
        <f>_xlfn.IMAGE("https://natalie.tf/wp-content/uploads/2023/10/DLV3_Icon_WP_"&amp;G428&amp;"_01.png")</f>
        <v>#VALUE!</v>
      </c>
      <c r="D427" s="730" t="e" vm="608">
        <f>_xlfn.IMAGE("https://natalie.tf/wp-content/uploads/2023/10/DLV3_Icon_WP_"&amp;G428&amp;"_02.png")</f>
        <v>#VALUE!</v>
      </c>
      <c r="F427" s="717" t="str">
        <f>+INDEX(WP!$A:$AN,MATCH(F428,WP!$B:$B,0),MATCH("Name",WP!$A$2:$AN$2,0))</f>
        <v>A Day in Her Life</v>
      </c>
      <c r="G427" s="718"/>
      <c r="H427" s="719"/>
      <c r="J427" s="180" t="s">
        <v>10761</v>
      </c>
      <c r="K427" s="201">
        <f>+INDEX(WP!$A:$AN,MATCH(F428,WP!$B:$B,0),5)</f>
        <v>5</v>
      </c>
      <c r="L427" s="202">
        <f>+INDEX(WP!$A:$AN,MATCH(F428,WP!$B:$B,0),6)</f>
        <v>88</v>
      </c>
      <c r="M427" s="202">
        <f>+INDEX(WP!$A:$AN,MATCH(F428,WP!$B:$B,0),7)</f>
        <v>32</v>
      </c>
      <c r="N427" s="202" t="str">
        <f ca="1">IFERROR(_xlfn.IMAGE("https://natalie.tf/wp-content/uploads/2023/11/DLV3_Icon_Affinity_"&amp;O427&amp;".png"),"")</f>
        <v/>
      </c>
      <c r="O427" s="203" t="str">
        <f>IF(INDEX(WP!$A:$AN,MATCH(F428,WP!$B:$B,0),8)=0,"None",INDEX(WP!$A:$AN,MATCH(F428,WP!$B:$B,0),8))</f>
        <v>None</v>
      </c>
      <c r="P427" s="8" t="e" vm="609">
        <f>_xlfn.IMAGE("https://natalie.tf/wp-content/uploads/2023/10/DLV3_Icon_Ability_"&amp;INDEX('WP-A'!$A$1:$Z$498,MATCH('WP-Print'!Q427,'WP-A'!$A:$A,0),MATCH("Icon",'WP-A'!$A$1:$Z$1,0))&amp;".png")</f>
        <v>#VALUE!</v>
      </c>
      <c r="Q427" s="231" t="str">
        <f>+INDEX(WP!$A:$AN,MATCH(F428,WP!$B:$B,0),MATCH("Ability",WP!$A$2:$AN$2,0))</f>
        <v>(Shadow) Paralysis Res +75%</v>
      </c>
      <c r="R427" s="734" t="str">
        <f>+INDEX(WP!$A:$AN,MATCH(F428,WP!$B:$B,0),MATCH("Obtain From",WP!$A$2:$AN$2,0))</f>
        <v>Clear Divine Deliverance: Master (Agents of the Goddess)</v>
      </c>
    </row>
    <row r="428" spans="1:18" ht="22.5" customHeight="1" x14ac:dyDescent="0.2">
      <c r="A428" s="204" t="str">
        <f>TEXT(A425+1,"000")</f>
        <v>142</v>
      </c>
      <c r="B428" s="729"/>
      <c r="C428" s="8"/>
      <c r="D428" s="729"/>
      <c r="E428" s="8"/>
      <c r="F428" s="200" t="str">
        <f>"WP-"&amp;A428</f>
        <v>WP-142</v>
      </c>
      <c r="G428" s="200">
        <f>+INDEX(WP!$A:$AN,MATCH(F428,WP!$B:$B,0),MATCH("ID",WP!$A$2:$AN$2,0))</f>
        <v>400166</v>
      </c>
      <c r="I428" s="8"/>
      <c r="J428" s="180" t="s">
        <v>10762</v>
      </c>
      <c r="K428" s="201">
        <f>+INDEX(WP!$A:$AN,MATCH(F428,WP!$B:$B,0),14)</f>
        <v>5</v>
      </c>
      <c r="L428" s="202">
        <f>+INDEX(WP!$A:$AN,MATCH(F428,WP!$B:$B,0),15)</f>
        <v>150</v>
      </c>
      <c r="M428" s="202">
        <f>+INDEX(WP!$A:$AN,MATCH(F428,WP!$B:$B,0),16)</f>
        <v>90</v>
      </c>
      <c r="N428" s="202" t="e" vm="362">
        <f>IFERROR(_xlfn.IMAGE("https://natalie.tf/wp-content/uploads/2023/11/DLV3_Icon_Affinity_"&amp;O428&amp;".png"),"")</f>
        <v>#VALUE!</v>
      </c>
      <c r="O428" s="203" t="str">
        <f>+INDEX(WP!$A:$AN,MATCH(F428,WP!$B:$B,0),17)</f>
        <v>Bat</v>
      </c>
      <c r="P428" s="8" t="e" vm="609">
        <f>_xlfn.IMAGE("https://natalie.tf/wp-content/uploads/2023/10/DLV3_Icon_Ability_"&amp;INDEX('WP-A'!$A$1:$Z$498,MATCH('WP-Print'!Q428,'WP-A'!$A:$A,0),MATCH("Icon",'WP-A'!$A$1:$Z$1,0))&amp;".png")</f>
        <v>#VALUE!</v>
      </c>
      <c r="Q428" s="231" t="str">
        <f>+INDEX(WP!$A:$AN,MATCH(F428,WP!$B:$B,0),MATCH("Ability V3",WP!$A$2:$AN$2,0))</f>
        <v>Paralysis Res +100%</v>
      </c>
      <c r="R428" s="735"/>
    </row>
    <row r="429" spans="1:18" ht="7.5" customHeight="1" x14ac:dyDescent="0.2">
      <c r="A429" t="s">
        <v>10763</v>
      </c>
    </row>
    <row r="430" spans="1:18" ht="22.5" customHeight="1" x14ac:dyDescent="0.2">
      <c r="B430" s="729" t="e" vm="610">
        <f>_xlfn.IMAGE("https://natalie.tf/wp-content/uploads/2023/10/DLV3_Icon_WP_"&amp;G431&amp;"_01.png")</f>
        <v>#VALUE!</v>
      </c>
      <c r="D430" s="730" t="e" vm="611">
        <f>_xlfn.IMAGE("https://natalie.tf/wp-content/uploads/2023/10/DLV3_Icon_WP_"&amp;G431&amp;"_02.png")</f>
        <v>#VALUE!</v>
      </c>
      <c r="F430" s="717" t="str">
        <f>+INDEX(WP!$A:$AN,MATCH(F431,WP!$B:$B,0),MATCH("Name",WP!$A$2:$AN$2,0))</f>
        <v>Moonlight Party</v>
      </c>
      <c r="G430" s="718"/>
      <c r="H430" s="719"/>
      <c r="J430" s="180" t="s">
        <v>10761</v>
      </c>
      <c r="K430" s="201">
        <f>+INDEX(WP!$A:$AN,MATCH(F431,WP!$B:$B,0),5)</f>
        <v>5</v>
      </c>
      <c r="L430" s="202">
        <f>+INDEX(WP!$A:$AN,MATCH(F431,WP!$B:$B,0),6)</f>
        <v>88</v>
      </c>
      <c r="M430" s="202">
        <f>+INDEX(WP!$A:$AN,MATCH(F431,WP!$B:$B,0),7)</f>
        <v>32</v>
      </c>
      <c r="N430" s="202" t="str">
        <f ca="1">IFERROR(_xlfn.IMAGE("https://natalie.tf/wp-content/uploads/2023/11/DLV3_Icon_Affinity_"&amp;O430&amp;".png"),"")</f>
        <v/>
      </c>
      <c r="O430" s="203" t="str">
        <f>IF(INDEX(WP!$A:$AN,MATCH(F431,WP!$B:$B,0),8)=0,"None",INDEX(WP!$A:$AN,MATCH(F431,WP!$B:$B,0),8))</f>
        <v>None</v>
      </c>
      <c r="P430" s="8" t="e" vm="414">
        <f>_xlfn.IMAGE("https://natalie.tf/wp-content/uploads/2023/10/DLV3_Icon_Ability_"&amp;INDEX('WP-A'!$A$1:$Z$498,MATCH('WP-Print'!Q430,'WP-A'!$A:$A,0),MATCH("Icon",'WP-A'!$A$1:$Z$1,0))&amp;".png")</f>
        <v>#VALUE!</v>
      </c>
      <c r="Q430" s="231" t="str">
        <f>+INDEX(WP!$A:$AN,MATCH(F431,WP!$B:$B,0),MATCH("Ability",WP!$A$2:$AN$2,0))</f>
        <v>HP 70% = Critical Damage +22%</v>
      </c>
      <c r="R430" s="734" t="str">
        <f>+INDEX(WP!$A:$AN,MATCH(F431,WP!$B:$B,0),MATCH("Obtain From",WP!$A$2:$AN$2,0))</f>
        <v>Clear Defensive Battle: Master (Sands of Revelation)</v>
      </c>
    </row>
    <row r="431" spans="1:18" ht="22.5" customHeight="1" x14ac:dyDescent="0.2">
      <c r="A431" s="204" t="str">
        <f>TEXT(A428+1,"000")</f>
        <v>143</v>
      </c>
      <c r="B431" s="729"/>
      <c r="C431" s="8"/>
      <c r="D431" s="729"/>
      <c r="E431" s="8"/>
      <c r="F431" s="200" t="str">
        <f>"WP-"&amp;A431</f>
        <v>WP-143</v>
      </c>
      <c r="G431" s="200">
        <f>+INDEX(WP!$A:$AN,MATCH(F431,WP!$B:$B,0),MATCH("ID",WP!$A$2:$AN$2,0))</f>
        <v>400448</v>
      </c>
      <c r="I431" s="8"/>
      <c r="J431" s="180" t="s">
        <v>10762</v>
      </c>
      <c r="K431" s="201">
        <f>+INDEX(WP!$A:$AN,MATCH(F431,WP!$B:$B,0),14)</f>
        <v>5</v>
      </c>
      <c r="L431" s="202">
        <f>+INDEX(WP!$A:$AN,MATCH(F431,WP!$B:$B,0),15)</f>
        <v>150</v>
      </c>
      <c r="M431" s="202">
        <f>+INDEX(WP!$A:$AN,MATCH(F431,WP!$B:$B,0),16)</f>
        <v>90</v>
      </c>
      <c r="N431" s="202" t="e" vm="341">
        <f>IFERROR(_xlfn.IMAGE("https://natalie.tf/wp-content/uploads/2023/11/DLV3_Icon_Affinity_"&amp;O431&amp;".png"),"")</f>
        <v>#VALUE!</v>
      </c>
      <c r="O431" s="203" t="str">
        <f>+INDEX(WP!$A:$AN,MATCH(F431,WP!$B:$B,0),17)</f>
        <v>Crown</v>
      </c>
      <c r="P431" s="8" t="e" vm="414">
        <f>_xlfn.IMAGE("https://natalie.tf/wp-content/uploads/2023/10/DLV3_Icon_Ability_"&amp;INDEX('WP-A'!$A$1:$Z$498,MATCH('WP-Print'!Q431,'WP-A'!$A:$A,0),MATCH("Icon",'WP-A'!$A$1:$Z$1,0))&amp;".png")</f>
        <v>#VALUE!</v>
      </c>
      <c r="Q431" s="231" t="str">
        <f>+INDEX(WP!$A:$AN,MATCH(F431,WP!$B:$B,0),MATCH("Ability V3",WP!$A$2:$AN$2,0))</f>
        <v>Critical Damage +20%</v>
      </c>
      <c r="R431" s="735"/>
    </row>
    <row r="432" spans="1:18" ht="7.5" customHeight="1" x14ac:dyDescent="0.2">
      <c r="A432" t="s">
        <v>10763</v>
      </c>
    </row>
    <row r="433" spans="1:18" ht="22.5" customHeight="1" x14ac:dyDescent="0.2">
      <c r="B433" s="729" t="e" vm="612">
        <f>_xlfn.IMAGE("https://natalie.tf/wp-content/uploads/2023/10/DLV3_Icon_WP_"&amp;G434&amp;"_01.png")</f>
        <v>#VALUE!</v>
      </c>
      <c r="D433" s="730" t="e" vm="613">
        <f>_xlfn.IMAGE("https://natalie.tf/wp-content/uploads/2023/10/DLV3_Icon_WP_"&amp;G434&amp;"_02.png")</f>
        <v>#VALUE!</v>
      </c>
      <c r="F433" s="717" t="str">
        <f>+INDEX(WP!$A:$AN,MATCH(F434,WP!$B:$B,0),MATCH("Name",WP!$A$2:$AN$2,0))</f>
        <v>Guardian of the Bond</v>
      </c>
      <c r="G433" s="718"/>
      <c r="H433" s="719"/>
      <c r="J433" s="180" t="s">
        <v>10761</v>
      </c>
      <c r="K433" s="201">
        <f>+INDEX(WP!$A:$AN,MATCH(F434,WP!$B:$B,0),5)</f>
        <v>5</v>
      </c>
      <c r="L433" s="202">
        <f>+INDEX(WP!$A:$AN,MATCH(F434,WP!$B:$B,0),6)</f>
        <v>89</v>
      </c>
      <c r="M433" s="202">
        <f>+INDEX(WP!$A:$AN,MATCH(F434,WP!$B:$B,0),7)</f>
        <v>31</v>
      </c>
      <c r="N433" s="202" t="e" vm="381">
        <f>IFERROR(_xlfn.IMAGE("https://natalie.tf/wp-content/uploads/2023/11/DLV3_Icon_Affinity_"&amp;O433&amp;".png"),"")</f>
        <v>#VALUE!</v>
      </c>
      <c r="O433" s="203" t="str">
        <f>IF(INDEX(WP!$A:$AN,MATCH(F434,WP!$B:$B,0),8)=0,"None",INDEX(WP!$A:$AN,MATCH(F434,WP!$B:$B,0),8))</f>
        <v>Dragon</v>
      </c>
      <c r="P433" s="8" t="e" vm="426">
        <f>_xlfn.IMAGE("https://natalie.tf/wp-content/uploads/2023/10/DLV3_Icon_Ability_"&amp;INDEX('WP-A'!$A$1:$Z$498,MATCH('WP-Print'!Q433,'WP-A'!$A:$A,0),MATCH("Icon",'WP-A'!$A$1:$Z$1,0))&amp;".png")</f>
        <v>#VALUE!</v>
      </c>
      <c r="Q433" s="231" t="str">
        <f>+INDEX(WP!$A:$AN,MATCH(F434,WP!$B:$B,0),MATCH("Ability",WP!$A$2:$AN$2,0))</f>
        <v>Dragon's Scales III</v>
      </c>
      <c r="R433" s="734" t="str">
        <f>+INDEX(WP!$A:$AN,MATCH(F434,WP!$B:$B,0),MATCH("Obtain From",WP!$A$2:$AN$2,0))</f>
        <v>Clear Morsayati Clash: Expert (Forgotten Truths)</v>
      </c>
    </row>
    <row r="434" spans="1:18" ht="22.5" customHeight="1" x14ac:dyDescent="0.2">
      <c r="A434" s="204" t="str">
        <f>TEXT(A431+1,"000")</f>
        <v>144</v>
      </c>
      <c r="B434" s="729"/>
      <c r="C434" s="8"/>
      <c r="D434" s="729"/>
      <c r="E434" s="8"/>
      <c r="F434" s="200" t="str">
        <f>"WP-"&amp;A434</f>
        <v>WP-144</v>
      </c>
      <c r="G434" s="200">
        <f>+INDEX(WP!$A:$AN,MATCH(F434,WP!$B:$B,0),MATCH("ID",WP!$A$2:$AN$2,0))</f>
        <v>400452</v>
      </c>
      <c r="I434" s="8"/>
      <c r="J434" s="180" t="s">
        <v>10762</v>
      </c>
      <c r="K434" s="201">
        <f>+INDEX(WP!$A:$AN,MATCH(F434,WP!$B:$B,0),14)</f>
        <v>5</v>
      </c>
      <c r="L434" s="202">
        <f>+INDEX(WP!$A:$AN,MATCH(F434,WP!$B:$B,0),15)</f>
        <v>150</v>
      </c>
      <c r="M434" s="202">
        <f>+INDEX(WP!$A:$AN,MATCH(F434,WP!$B:$B,0),16)</f>
        <v>90</v>
      </c>
      <c r="N434" s="202" t="e" vm="381">
        <f>IFERROR(_xlfn.IMAGE("https://natalie.tf/wp-content/uploads/2023/11/DLV3_Icon_Affinity_"&amp;O434&amp;".png"),"")</f>
        <v>#VALUE!</v>
      </c>
      <c r="O434" s="203" t="str">
        <f>+INDEX(WP!$A:$AN,MATCH(F434,WP!$B:$B,0),17)</f>
        <v>Dragon</v>
      </c>
      <c r="P434" s="8" t="e" vm="426">
        <f>_xlfn.IMAGE("https://natalie.tf/wp-content/uploads/2023/10/DLV3_Icon_Ability_"&amp;INDEX('WP-A'!$A$1:$Z$498,MATCH('WP-Print'!Q434,'WP-A'!$A:$A,0),MATCH("Icon",'WP-A'!$A$1:$Z$1,0))&amp;".png")</f>
        <v>#VALUE!</v>
      </c>
      <c r="Q434" s="231" t="str">
        <f>+INDEX(WP!$A:$AN,MATCH(F434,WP!$B:$B,0),MATCH("Ability V3",WP!$A$2:$AN$2,0))</f>
        <v>Dragon's Scales III</v>
      </c>
      <c r="R434" s="735"/>
    </row>
    <row r="435" spans="1:18" ht="7.5" customHeight="1" x14ac:dyDescent="0.2">
      <c r="A435" t="s">
        <v>10763</v>
      </c>
    </row>
    <row r="436" spans="1:18" ht="22.5" customHeight="1" x14ac:dyDescent="0.2">
      <c r="B436" s="729" t="e" vm="614">
        <f>_xlfn.IMAGE("https://natalie.tf/wp-content/uploads/2023/10/DLV3_Icon_WP_"&amp;G437&amp;"_01.png")</f>
        <v>#VALUE!</v>
      </c>
      <c r="D436" s="730" t="e" vm="615">
        <f>_xlfn.IMAGE("https://natalie.tf/wp-content/uploads/2023/10/DLV3_Icon_WP_"&amp;G437&amp;"_02.png")</f>
        <v>#VALUE!</v>
      </c>
      <c r="F436" s="717" t="str">
        <f>+INDEX(WP!$A:$AN,MATCH(F437,WP!$B:$B,0),MATCH("Name",WP!$A$2:$AN$2,0))</f>
        <v>Second Anniversary</v>
      </c>
      <c r="G436" s="718"/>
      <c r="H436" s="719"/>
      <c r="J436" s="180" t="s">
        <v>10761</v>
      </c>
      <c r="K436" s="201">
        <f>+INDEX(WP!$A:$AN,MATCH(F437,WP!$B:$B,0),5)</f>
        <v>5</v>
      </c>
      <c r="L436" s="202">
        <f>+INDEX(WP!$A:$AN,MATCH(F437,WP!$B:$B,0),6)</f>
        <v>76</v>
      </c>
      <c r="M436" s="202">
        <f>+INDEX(WP!$A:$AN,MATCH(F437,WP!$B:$B,0),7)</f>
        <v>26</v>
      </c>
      <c r="N436" s="202" t="str">
        <f ca="1">IFERROR(_xlfn.IMAGE("https://natalie.tf/wp-content/uploads/2023/11/DLV3_Icon_Affinity_"&amp;O436&amp;".png"),"")</f>
        <v/>
      </c>
      <c r="O436" s="203" t="str">
        <f>IF(INDEX(WP!$A:$AN,MATCH(F437,WP!$B:$B,0),8)=0,"None",INDEX(WP!$A:$AN,MATCH(F437,WP!$B:$B,0),8))</f>
        <v>None</v>
      </c>
      <c r="P436" s="8" t="e" vm="14">
        <f>_xlfn.IMAGE("https://natalie.tf/wp-content/uploads/2023/10/DLV3_Icon_Ability_"&amp;INDEX('WP-A'!$A$1:$Z$498,MATCH('WP-Print'!Q436,'WP-A'!$A:$A,0),MATCH("Icon",'WP-A'!$A$1:$Z$1,0))&amp;".png")</f>
        <v>#VALUE!</v>
      </c>
      <c r="Q436" s="231" t="str">
        <f>+INDEX(WP!$A:$AN,MATCH(F437,WP!$B:$B,0),MATCH("Ability",WP!$A$2:$AN$2,0))</f>
        <v>United Strength I</v>
      </c>
      <c r="R436" s="734" t="str">
        <f>+INDEX(WP!$A:$AN,MATCH(F437,WP!$B:$B,0),MATCH("Obtain From",WP!$A$2:$AN$2,0))</f>
        <v>Clear Assault on Zephyr: Expert (Forgotten Truths)</v>
      </c>
    </row>
    <row r="437" spans="1:18" ht="22.5" customHeight="1" x14ac:dyDescent="0.2">
      <c r="A437" s="204" t="str">
        <f>TEXT(A434+1,"000")</f>
        <v>145</v>
      </c>
      <c r="B437" s="729"/>
      <c r="C437" s="8"/>
      <c r="D437" s="729"/>
      <c r="E437" s="8"/>
      <c r="F437" s="200" t="str">
        <f>"WP-"&amp;A437</f>
        <v>WP-145</v>
      </c>
      <c r="G437" s="200">
        <f>+INDEX(WP!$A:$AN,MATCH(F437,WP!$B:$B,0),MATCH("ID",WP!$A$2:$AN$2,0))</f>
        <v>400450</v>
      </c>
      <c r="I437" s="8"/>
      <c r="J437" s="180" t="s">
        <v>10762</v>
      </c>
      <c r="K437" s="201">
        <f>+INDEX(WP!$A:$AN,MATCH(F437,WP!$B:$B,0),14)</f>
        <v>5</v>
      </c>
      <c r="L437" s="202">
        <f>+INDEX(WP!$A:$AN,MATCH(F437,WP!$B:$B,0),15)</f>
        <v>150</v>
      </c>
      <c r="M437" s="202">
        <f>+INDEX(WP!$A:$AN,MATCH(F437,WP!$B:$B,0),16)</f>
        <v>90</v>
      </c>
      <c r="N437" s="202" t="e" vm="339">
        <f>IFERROR(_xlfn.IMAGE("https://natalie.tf/wp-content/uploads/2023/11/DLV3_Icon_Affinity_"&amp;O437&amp;".png"),"")</f>
        <v>#VALUE!</v>
      </c>
      <c r="O437" s="203" t="str">
        <f>+INDEX(WP!$A:$AN,MATCH(F437,WP!$B:$B,0),17)</f>
        <v>Sword</v>
      </c>
      <c r="P437" s="8" t="e" vm="14">
        <f>_xlfn.IMAGE("https://natalie.tf/wp-content/uploads/2023/10/DLV3_Icon_Ability_"&amp;INDEX('WP-A'!$A$1:$Z$498,MATCH('WP-Print'!Q437,'WP-A'!$A:$A,0),MATCH("Icon",'WP-A'!$A$1:$Z$1,0))&amp;".png")</f>
        <v>#VALUE!</v>
      </c>
      <c r="Q437" s="231" t="str">
        <f>+INDEX(WP!$A:$AN,MATCH(F437,WP!$B:$B,0),MATCH("Ability V3",WP!$A$2:$AN$2,0))</f>
        <v>United Strength +17%</v>
      </c>
      <c r="R437" s="735"/>
    </row>
    <row r="438" spans="1:18" ht="7.5" customHeight="1" x14ac:dyDescent="0.2">
      <c r="A438" t="s">
        <v>10763</v>
      </c>
    </row>
    <row r="439" spans="1:18" ht="22.5" customHeight="1" x14ac:dyDescent="0.2">
      <c r="B439" s="729" t="e" vm="616">
        <f>_xlfn.IMAGE("https://natalie.tf/wp-content/uploads/2023/10/DLV3_Icon_WP_"&amp;G440&amp;"_01.png")</f>
        <v>#VALUE!</v>
      </c>
      <c r="D439" s="730" t="e" vm="617">
        <f>_xlfn.IMAGE("https://natalie.tf/wp-content/uploads/2023/10/DLV3_Icon_WP_"&amp;G440&amp;"_02.png")</f>
        <v>#VALUE!</v>
      </c>
      <c r="F439" s="717" t="str">
        <f>+INDEX(WP!$A:$AN,MATCH(F440,WP!$B:$B,0),MATCH("Name",WP!$A$2:$AN$2,0))</f>
        <v>Secret Nightmare</v>
      </c>
      <c r="G439" s="718"/>
      <c r="H439" s="719"/>
      <c r="J439" s="180" t="s">
        <v>10761</v>
      </c>
      <c r="K439" s="201">
        <f>+INDEX(WP!$A:$AN,MATCH(F440,WP!$B:$B,0),5)</f>
        <v>5</v>
      </c>
      <c r="L439" s="202">
        <f>+INDEX(WP!$A:$AN,MATCH(F440,WP!$B:$B,0),6)</f>
        <v>89</v>
      </c>
      <c r="M439" s="202">
        <f>+INDEX(WP!$A:$AN,MATCH(F440,WP!$B:$B,0),7)</f>
        <v>32</v>
      </c>
      <c r="N439" s="202" t="str">
        <f ca="1">IFERROR(_xlfn.IMAGE("https://natalie.tf/wp-content/uploads/2023/11/DLV3_Icon_Affinity_"&amp;O439&amp;".png"),"")</f>
        <v/>
      </c>
      <c r="O439" s="203" t="str">
        <f>IF(INDEX(WP!$A:$AN,MATCH(F440,WP!$B:$B,0),8)=0,"None",INDEX(WP!$A:$AN,MATCH(F440,WP!$B:$B,0),8))</f>
        <v>None</v>
      </c>
      <c r="P439" s="8" t="e" vm="414">
        <f>_xlfn.IMAGE("https://natalie.tf/wp-content/uploads/2023/10/DLV3_Icon_Ability_"&amp;INDEX('WP-A'!$A$1:$Z$498,MATCH('WP-Print'!Q439,'WP-A'!$A:$A,0),MATCH("Icon",'WP-A'!$A$1:$Z$1,0))&amp;".png")</f>
        <v>#VALUE!</v>
      </c>
      <c r="Q439" s="231" t="str">
        <f>+INDEX(WP!$A:$AN,MATCH(F440,WP!$B:$B,0),MATCH("Ability",WP!$A$2:$AN$2,0))</f>
        <v>Poison = Critical Damage III</v>
      </c>
      <c r="R439" s="734" t="str">
        <f>+INDEX(WP!$A:$AN,MATCH(F440,WP!$B:$B,0),MATCH("Obtain From",WP!$A$2:$AN$2,0))</f>
        <v>Clear All-Out Assault: Master (Postmortem Panic)</v>
      </c>
    </row>
    <row r="440" spans="1:18" ht="22.5" customHeight="1" x14ac:dyDescent="0.2">
      <c r="A440" s="204" t="str">
        <f>TEXT(A437+1,"000")</f>
        <v>146</v>
      </c>
      <c r="B440" s="729"/>
      <c r="C440" s="8"/>
      <c r="D440" s="729"/>
      <c r="E440" s="8"/>
      <c r="F440" s="200" t="str">
        <f>"WP-"&amp;A440</f>
        <v>WP-146</v>
      </c>
      <c r="G440" s="200">
        <f>+INDEX(WP!$A:$AN,MATCH(F440,WP!$B:$B,0),MATCH("ID",WP!$A$2:$AN$2,0))</f>
        <v>400454</v>
      </c>
      <c r="I440" s="8"/>
      <c r="J440" s="180" t="s">
        <v>10762</v>
      </c>
      <c r="K440" s="201">
        <f>+INDEX(WP!$A:$AN,MATCH(F440,WP!$B:$B,0),14)</f>
        <v>5</v>
      </c>
      <c r="L440" s="202">
        <f>+INDEX(WP!$A:$AN,MATCH(F440,WP!$B:$B,0),15)</f>
        <v>150</v>
      </c>
      <c r="M440" s="202">
        <f>+INDEX(WP!$A:$AN,MATCH(F440,WP!$B:$B,0),16)</f>
        <v>90</v>
      </c>
      <c r="N440" s="202" t="e" vm="337">
        <f>IFERROR(_xlfn.IMAGE("https://natalie.tf/wp-content/uploads/2023/11/DLV3_Icon_Affinity_"&amp;O440&amp;".png"),"")</f>
        <v>#VALUE!</v>
      </c>
      <c r="O440" s="203" t="str">
        <f>+INDEX(WP!$A:$AN,MATCH(F440,WP!$B:$B,0),17)</f>
        <v>Serpent</v>
      </c>
      <c r="P440" s="8" t="e" vm="414">
        <f>_xlfn.IMAGE("https://natalie.tf/wp-content/uploads/2023/10/DLV3_Icon_Ability_"&amp;INDEX('WP-A'!$A$1:$Z$498,MATCH('WP-Print'!Q440,'WP-A'!$A:$A,0),MATCH("Icon",'WP-A'!$A$1:$Z$1,0))&amp;".png")</f>
        <v>#VALUE!</v>
      </c>
      <c r="Q440" s="231" t="str">
        <f>+INDEX(WP!$A:$AN,MATCH(F440,WP!$B:$B,0),MATCH("Ability V3",WP!$A$2:$AN$2,0))</f>
        <v>Poison = Critical Damage  +30%</v>
      </c>
      <c r="R440" s="735"/>
    </row>
    <row r="441" spans="1:18" ht="7.5" customHeight="1" x14ac:dyDescent="0.2">
      <c r="A441" t="s">
        <v>10763</v>
      </c>
    </row>
    <row r="442" spans="1:18" ht="22.5" customHeight="1" x14ac:dyDescent="0.2">
      <c r="B442" s="729" t="e" vm="618">
        <f>_xlfn.IMAGE("https://natalie.tf/wp-content/uploads/2023/10/DLV3_Icon_WP_"&amp;G443&amp;"_01.png")</f>
        <v>#VALUE!</v>
      </c>
      <c r="D442" s="730" t="e" vm="619">
        <f>_xlfn.IMAGE("https://natalie.tf/wp-content/uploads/2023/10/DLV3_Icon_WP_"&amp;G443&amp;"_02.png")</f>
        <v>#VALUE!</v>
      </c>
      <c r="F442" s="717" t="str">
        <f>+INDEX(WP!$A:$AN,MATCH(F443,WP!$B:$B,0),MATCH("Name",WP!$A$2:$AN$2,0))</f>
        <v>Free-Spirited Opera</v>
      </c>
      <c r="G442" s="718"/>
      <c r="H442" s="719"/>
      <c r="J442" s="180" t="s">
        <v>10761</v>
      </c>
      <c r="K442" s="201">
        <f>+INDEX(WP!$A:$AN,MATCH(F443,WP!$B:$B,0),5)</f>
        <v>5</v>
      </c>
      <c r="L442" s="202">
        <f>+INDEX(WP!$A:$AN,MATCH(F443,WP!$B:$B,0),6)</f>
        <v>76</v>
      </c>
      <c r="M442" s="202">
        <f>+INDEX(WP!$A:$AN,MATCH(F443,WP!$B:$B,0),7)</f>
        <v>26</v>
      </c>
      <c r="N442" s="202" t="str">
        <f ca="1">IFERROR(_xlfn.IMAGE("https://natalie.tf/wp-content/uploads/2023/11/DLV3_Icon_Affinity_"&amp;O442&amp;".png"),"")</f>
        <v/>
      </c>
      <c r="O442" s="203" t="str">
        <f>IF(INDEX(WP!$A:$AN,MATCH(F443,WP!$B:$B,0),8)=0,"None",INDEX(WP!$A:$AN,MATCH(F443,WP!$B:$B,0),8))</f>
        <v>None</v>
      </c>
      <c r="P442" s="8" t="e" vm="620">
        <f>_xlfn.IMAGE("https://natalie.tf/wp-content/uploads/2023/10/DLV3_Icon_Ability_"&amp;INDEX('WP-A'!$A$1:$Z$498,MATCH('WP-Print'!Q442,'WP-A'!$A:$A,0),MATCH("Icon",'WP-A'!$A$1:$Z$1,0))&amp;".png")</f>
        <v>#VALUE!</v>
      </c>
      <c r="Q442" s="231" t="str">
        <f>+INDEX(WP!$A:$AN,MATCH(F443,WP!$B:$B,0),MATCH("Ability",WP!$A$2:$AN$2,0))</f>
        <v>Strength -10% &amp; Strength Debilitator III</v>
      </c>
      <c r="R442" s="734" t="str">
        <f>+INDEX(WP!$A:$AN,MATCH(F443,WP!$B:$B,0),MATCH("Obtain From",WP!$A$2:$AN$2,0))</f>
        <v>Clear Fiend Opera Gala: Master (The Phantom's Ransom)</v>
      </c>
    </row>
    <row r="443" spans="1:18" ht="22.5" customHeight="1" x14ac:dyDescent="0.2">
      <c r="A443" s="204" t="str">
        <f>TEXT(A440+1,"000")</f>
        <v>147</v>
      </c>
      <c r="B443" s="729"/>
      <c r="C443" s="8"/>
      <c r="D443" s="729"/>
      <c r="E443" s="8"/>
      <c r="F443" s="200" t="str">
        <f>"WP-"&amp;A443</f>
        <v>WP-147</v>
      </c>
      <c r="G443" s="200">
        <f>+INDEX(WP!$A:$AN,MATCH(F443,WP!$B:$B,0),MATCH("ID",WP!$A$2:$AN$2,0))</f>
        <v>400456</v>
      </c>
      <c r="I443" s="8"/>
      <c r="J443" s="180" t="s">
        <v>10762</v>
      </c>
      <c r="K443" s="201">
        <f>+INDEX(WP!$A:$AN,MATCH(F443,WP!$B:$B,0),14)</f>
        <v>5</v>
      </c>
      <c r="L443" s="202">
        <f>+INDEX(WP!$A:$AN,MATCH(F443,WP!$B:$B,0),15)</f>
        <v>150</v>
      </c>
      <c r="M443" s="202">
        <f>+INDEX(WP!$A:$AN,MATCH(F443,WP!$B:$B,0),16)</f>
        <v>90</v>
      </c>
      <c r="N443" s="202" t="e" vm="345">
        <f>IFERROR(_xlfn.IMAGE("https://natalie.tf/wp-content/uploads/2023/11/DLV3_Icon_Affinity_"&amp;O443&amp;".png"),"")</f>
        <v>#VALUE!</v>
      </c>
      <c r="O443" s="203" t="str">
        <f>+INDEX(WP!$A:$AN,MATCH(F443,WP!$B:$B,0),17)</f>
        <v>Staff</v>
      </c>
      <c r="P443" s="8" t="e" vm="620">
        <f>_xlfn.IMAGE("https://natalie.tf/wp-content/uploads/2023/10/DLV3_Icon_Ability_"&amp;INDEX('WP-A'!$A$1:$Z$498,MATCH('WP-Print'!Q443,'WP-A'!$A:$A,0),MATCH("Icon",'WP-A'!$A$1:$Z$1,0))&amp;".png")</f>
        <v>#VALUE!</v>
      </c>
      <c r="Q443" s="231" t="str">
        <f>+INDEX(WP!$A:$AN,MATCH(F443,WP!$B:$B,0),MATCH("Ability V3",WP!$A$2:$AN$2,0))</f>
        <v>Strength -10% &amp; Strength Debilitator III</v>
      </c>
      <c r="R443" s="735"/>
    </row>
    <row r="444" spans="1:18" ht="7.5" customHeight="1" x14ac:dyDescent="0.2">
      <c r="A444" t="s">
        <v>10763</v>
      </c>
    </row>
    <row r="445" spans="1:18" ht="22.5" customHeight="1" x14ac:dyDescent="0.2">
      <c r="B445" s="729" t="e" vm="621">
        <f>_xlfn.IMAGE("https://natalie.tf/wp-content/uploads/2023/10/DLV3_Icon_WP_"&amp;G446&amp;"_01.png")</f>
        <v>#VALUE!</v>
      </c>
      <c r="D445" s="730" t="e" vm="622">
        <f>_xlfn.IMAGE("https://natalie.tf/wp-content/uploads/2023/10/DLV3_Icon_WP_"&amp;G446&amp;"_02.png")</f>
        <v>#VALUE!</v>
      </c>
      <c r="F445" s="717" t="str">
        <f>+INDEX(WP!$A:$AN,MATCH(F446,WP!$B:$B,0),MATCH("Name",WP!$A$2:$AN$2,0))</f>
        <v>Welcome to the Opera!</v>
      </c>
      <c r="G445" s="718"/>
      <c r="H445" s="719"/>
      <c r="J445" s="180" t="s">
        <v>10761</v>
      </c>
      <c r="K445" s="201">
        <f>+INDEX(WP!$A:$AN,MATCH(F446,WP!$B:$B,0),5)</f>
        <v>5</v>
      </c>
      <c r="L445" s="202">
        <f>+INDEX(WP!$A:$AN,MATCH(F446,WP!$B:$B,0),6)</f>
        <v>88</v>
      </c>
      <c r="M445" s="202">
        <f>+INDEX(WP!$A:$AN,MATCH(F446,WP!$B:$B,0),7)</f>
        <v>32</v>
      </c>
      <c r="N445" s="202" t="str">
        <f ca="1">IFERROR(_xlfn.IMAGE("https://natalie.tf/wp-content/uploads/2023/11/DLV3_Icon_Affinity_"&amp;O445&amp;".png"),"")</f>
        <v/>
      </c>
      <c r="O445" s="203" t="str">
        <f>IF(INDEX(WP!$A:$AN,MATCH(F446,WP!$B:$B,0),8)=0,"None",INDEX(WP!$A:$AN,MATCH(F446,WP!$B:$B,0),8))</f>
        <v>None</v>
      </c>
      <c r="P445" s="8" t="e" vm="8">
        <f>_xlfn.IMAGE("https://natalie.tf/wp-content/uploads/2023/10/DLV3_Icon_Ability_"&amp;INDEX('WP-A'!$A$1:$Z$498,MATCH('WP-Print'!Q445,'WP-A'!$A:$A,0),MATCH("Icon",'WP-A'!$A$1:$Z$1,0))&amp;".png")</f>
        <v>#VALUE!</v>
      </c>
      <c r="Q445" s="231" t="str">
        <f>+INDEX(WP!$A:$AN,MATCH(F446,WP!$B:$B,0),MATCH("Ability",WP!$A$2:$AN$2,0))</f>
        <v>Shadowblighted Punisher +25%</v>
      </c>
      <c r="R445" s="734" t="str">
        <f>+INDEX(WP!$A:$AN,MATCH(F446,WP!$B:$B,0),MATCH("Obtain From",WP!$A$2:$AN$2,0))</f>
        <v>Clear A Duel with the Phantom Thief: Standard (The Phantom's Ransom)</v>
      </c>
    </row>
    <row r="446" spans="1:18" ht="22.5" customHeight="1" x14ac:dyDescent="0.2">
      <c r="A446" s="204" t="str">
        <f>TEXT(A443+1,"000")</f>
        <v>148</v>
      </c>
      <c r="B446" s="729"/>
      <c r="C446" s="8"/>
      <c r="D446" s="729"/>
      <c r="E446" s="8"/>
      <c r="F446" s="200" t="str">
        <f>"WP-"&amp;A446</f>
        <v>WP-148</v>
      </c>
      <c r="G446" s="200">
        <f>+INDEX(WP!$A:$AN,MATCH(F446,WP!$B:$B,0),MATCH("ID",WP!$A$2:$AN$2,0))</f>
        <v>400457</v>
      </c>
      <c r="I446" s="8"/>
      <c r="J446" s="180" t="s">
        <v>10762</v>
      </c>
      <c r="K446" s="201">
        <f>+INDEX(WP!$A:$AN,MATCH(F446,WP!$B:$B,0),14)</f>
        <v>5</v>
      </c>
      <c r="L446" s="202">
        <f>+INDEX(WP!$A:$AN,MATCH(F446,WP!$B:$B,0),15)</f>
        <v>150</v>
      </c>
      <c r="M446" s="202">
        <f>+INDEX(WP!$A:$AN,MATCH(F446,WP!$B:$B,0),16)</f>
        <v>90</v>
      </c>
      <c r="N446" s="202" t="e" vm="346">
        <f>IFERROR(_xlfn.IMAGE("https://natalie.tf/wp-content/uploads/2023/11/DLV3_Icon_Affinity_"&amp;O446&amp;".png"),"")</f>
        <v>#VALUE!</v>
      </c>
      <c r="O446" s="203" t="str">
        <f>+INDEX(WP!$A:$AN,MATCH(F446,WP!$B:$B,0),17)</f>
        <v>Bull</v>
      </c>
      <c r="P446" s="8" t="e" vm="8">
        <f>_xlfn.IMAGE("https://natalie.tf/wp-content/uploads/2023/10/DLV3_Icon_Ability_"&amp;INDEX('WP-A'!$A$1:$Z$498,MATCH('WP-Print'!Q446,'WP-A'!$A:$A,0),MATCH("Icon",'WP-A'!$A$1:$Z$1,0))&amp;".png")</f>
        <v>#VALUE!</v>
      </c>
      <c r="Q446" s="231" t="str">
        <f>+INDEX(WP!$A:$AN,MATCH(F446,WP!$B:$B,0),MATCH("Ability V3",WP!$A$2:$AN$2,0))</f>
        <v>Shadowblighted Punisher +25%</v>
      </c>
      <c r="R446" s="735"/>
    </row>
    <row r="447" spans="1:18" ht="7.5" customHeight="1" x14ac:dyDescent="0.2">
      <c r="A447" t="s">
        <v>10763</v>
      </c>
    </row>
    <row r="448" spans="1:18" ht="22.5" customHeight="1" x14ac:dyDescent="0.2">
      <c r="B448" s="729" t="e" vm="623">
        <f>_xlfn.IMAGE("https://natalie.tf/wp-content/uploads/2023/10/DLV3_Icon_WP_"&amp;G449&amp;"_01.png")</f>
        <v>#VALUE!</v>
      </c>
      <c r="D448" s="730" t="e" vm="624">
        <f>_xlfn.IMAGE("https://natalie.tf/wp-content/uploads/2023/10/DLV3_Icon_WP_"&amp;G449&amp;"_02.png")</f>
        <v>#VALUE!</v>
      </c>
      <c r="F448" s="717" t="str">
        <f>+INDEX(WP!$A:$AN,MATCH(F449,WP!$B:$B,0),MATCH("Name",WP!$A$2:$AN$2,0))</f>
        <v>A Man Unchanging</v>
      </c>
      <c r="G448" s="718"/>
      <c r="H448" s="719"/>
      <c r="J448" s="180" t="s">
        <v>10761</v>
      </c>
      <c r="K448" s="201">
        <f>+INDEX(WP!$A:$AN,MATCH(F449,WP!$B:$B,0),5)</f>
        <v>5</v>
      </c>
      <c r="L448" s="202">
        <f>+INDEX(WP!$A:$AN,MATCH(F449,WP!$B:$B,0),6)</f>
        <v>88</v>
      </c>
      <c r="M448" s="202">
        <f>+INDEX(WP!$A:$AN,MATCH(F449,WP!$B:$B,0),7)</f>
        <v>32</v>
      </c>
      <c r="N448" s="202" t="str">
        <f ca="1">IFERROR(_xlfn.IMAGE("https://natalie.tf/wp-content/uploads/2023/11/DLV3_Icon_Affinity_"&amp;O448&amp;".png"),"")</f>
        <v/>
      </c>
      <c r="O448" s="203" t="str">
        <f>IF(INDEX(WP!$A:$AN,MATCH(F449,WP!$B:$B,0),8)=0,"None",INDEX(WP!$A:$AN,MATCH(F449,WP!$B:$B,0),8))</f>
        <v>None</v>
      </c>
      <c r="P448" s="8" t="e" vm="625">
        <f>_xlfn.IMAGE("https://natalie.tf/wp-content/uploads/2023/10/DLV3_Icon_Ability_"&amp;INDEX('WP-A'!$A$1:$Z$498,MATCH('WP-Print'!Q448,'WP-A'!$A:$A,0),MATCH("Icon",'WP-A'!$A$1:$Z$1,0))&amp;".png")</f>
        <v>#VALUE!</v>
      </c>
      <c r="Q448" s="231" t="str">
        <f>+INDEX(WP!$A:$AN,MATCH(F449,WP!$B:$B,0),MATCH("Ability",WP!$A$2:$AN$2,0))</f>
        <v>Poisoned Punisher +30%</v>
      </c>
      <c r="R448" s="734" t="str">
        <f>+INDEX(WP!$A:$AN,MATCH(F449,WP!$B:$B,0),MATCH("Obtain From",WP!$A$2:$AN$2,0))</f>
        <v>Clear a Quest on Beginner Three Times (Northern Negotiators)</v>
      </c>
    </row>
    <row r="449" spans="1:18" ht="22.5" customHeight="1" x14ac:dyDescent="0.2">
      <c r="A449" s="204" t="str">
        <f>TEXT(A446+1,"000")</f>
        <v>149</v>
      </c>
      <c r="B449" s="729"/>
      <c r="C449" s="8"/>
      <c r="D449" s="729"/>
      <c r="E449" s="8"/>
      <c r="F449" s="200" t="str">
        <f>"WP-"&amp;A449</f>
        <v>WP-149</v>
      </c>
      <c r="G449" s="200">
        <f>+INDEX(WP!$A:$AN,MATCH(F449,WP!$B:$B,0),MATCH("ID",WP!$A$2:$AN$2,0))</f>
        <v>400459</v>
      </c>
      <c r="I449" s="8"/>
      <c r="J449" s="180" t="s">
        <v>10762</v>
      </c>
      <c r="K449" s="201">
        <f>+INDEX(WP!$A:$AN,MATCH(F449,WP!$B:$B,0),14)</f>
        <v>5</v>
      </c>
      <c r="L449" s="202">
        <f>+INDEX(WP!$A:$AN,MATCH(F449,WP!$B:$B,0),15)</f>
        <v>150</v>
      </c>
      <c r="M449" s="202">
        <f>+INDEX(WP!$A:$AN,MATCH(F449,WP!$B:$B,0),16)</f>
        <v>90</v>
      </c>
      <c r="N449" s="202" t="e" vm="340">
        <f>IFERROR(_xlfn.IMAGE("https://natalie.tf/wp-content/uploads/2023/11/DLV3_Icon_Affinity_"&amp;O449&amp;".png"),"")</f>
        <v>#VALUE!</v>
      </c>
      <c r="O449" s="203" t="str">
        <f>+INDEX(WP!$A:$AN,MATCH(F449,WP!$B:$B,0),17)</f>
        <v>Lance</v>
      </c>
      <c r="P449" s="8" t="e" vm="625">
        <f>_xlfn.IMAGE("https://natalie.tf/wp-content/uploads/2023/10/DLV3_Icon_Ability_"&amp;INDEX('WP-A'!$A$1:$Z$498,MATCH('WP-Print'!Q449,'WP-A'!$A:$A,0),MATCH("Icon",'WP-A'!$A$1:$Z$1,0))&amp;".png")</f>
        <v>#VALUE!</v>
      </c>
      <c r="Q449" s="231" t="str">
        <f>+INDEX(WP!$A:$AN,MATCH(F449,WP!$B:$B,0),MATCH("Ability V3",WP!$A$2:$AN$2,0))</f>
        <v>Poisoned Punisher +30%</v>
      </c>
      <c r="R449" s="735"/>
    </row>
    <row r="450" spans="1:18" ht="7.5" customHeight="1" x14ac:dyDescent="0.2">
      <c r="A450" t="s">
        <v>10763</v>
      </c>
    </row>
    <row r="451" spans="1:18" ht="22.5" customHeight="1" x14ac:dyDescent="0.2">
      <c r="B451" s="729" t="e" vm="626">
        <f>_xlfn.IMAGE("https://natalie.tf/wp-content/uploads/2023/10/DLV3_Icon_WP_"&amp;G452&amp;"_01.png")</f>
        <v>#VALUE!</v>
      </c>
      <c r="D451" s="730" t="e" vm="627">
        <f>_xlfn.IMAGE("https://natalie.tf/wp-content/uploads/2023/10/DLV3_Icon_WP_"&amp;G452&amp;"_02.png")</f>
        <v>#VALUE!</v>
      </c>
      <c r="F451" s="717" t="str">
        <f>+INDEX(WP!$A:$AN,MATCH(F452,WP!$B:$B,0),MATCH("Name",WP!$A$2:$AN$2,0))</f>
        <v>Pecorine's Grand Adventure</v>
      </c>
      <c r="G451" s="718"/>
      <c r="H451" s="719"/>
      <c r="J451" s="180" t="s">
        <v>10761</v>
      </c>
      <c r="K451" s="201">
        <f>+INDEX(WP!$A:$AN,MATCH(F452,WP!$B:$B,0),5)</f>
        <v>5</v>
      </c>
      <c r="L451" s="202">
        <f>+INDEX(WP!$A:$AN,MATCH(F452,WP!$B:$B,0),6)</f>
        <v>76</v>
      </c>
      <c r="M451" s="202">
        <f>+INDEX(WP!$A:$AN,MATCH(F452,WP!$B:$B,0),7)</f>
        <v>26</v>
      </c>
      <c r="N451" s="202" t="e" vm="381">
        <f>IFERROR(_xlfn.IMAGE("https://natalie.tf/wp-content/uploads/2023/11/DLV3_Icon_Affinity_"&amp;O451&amp;".png"),"")</f>
        <v>#VALUE!</v>
      </c>
      <c r="O451" s="203" t="str">
        <f>IF(INDEX(WP!$A:$AN,MATCH(F452,WP!$B:$B,0),8)=0,"None",INDEX(WP!$A:$AN,MATCH(F452,WP!$B:$B,0),8))</f>
        <v>Dragon</v>
      </c>
      <c r="P451" s="8" t="e" vm="14">
        <f>_xlfn.IMAGE("https://natalie.tf/wp-content/uploads/2023/10/DLV3_Icon_Ability_"&amp;INDEX('WP-A'!$A$1:$Z$498,MATCH('WP-Print'!Q451,'WP-A'!$A:$A,0),MATCH("Icon",'WP-A'!$A$1:$Z$1,0))&amp;".png")</f>
        <v>#VALUE!</v>
      </c>
      <c r="Q451" s="231" t="str">
        <f>+INDEX(WP!$A:$AN,MATCH(F452,WP!$B:$B,0),MATCH("Ability",WP!$A$2:$AN$2,0))</f>
        <v>HP 70% = Strength +13%</v>
      </c>
      <c r="R451" s="734" t="str">
        <f>+INDEX(WP!$A:$AN,MATCH(F452,WP!$B:$B,0),MATCH("Obtain From",WP!$A$2:$AN$2,0))</f>
        <v>Clear A Pre-adventure Meal (Princess Connect! Re Dive A Voracious Visitor)</v>
      </c>
    </row>
    <row r="452" spans="1:18" ht="22.5" customHeight="1" x14ac:dyDescent="0.2">
      <c r="A452" s="204" t="str">
        <f>TEXT(A449+1,"000")</f>
        <v>150</v>
      </c>
      <c r="B452" s="729"/>
      <c r="C452" s="8"/>
      <c r="D452" s="729"/>
      <c r="E452" s="8"/>
      <c r="F452" s="200" t="str">
        <f>"WP-"&amp;A452</f>
        <v>WP-150</v>
      </c>
      <c r="G452" s="200">
        <f>+INDEX(WP!$A:$AN,MATCH(F452,WP!$B:$B,0),MATCH("ID",WP!$A$2:$AN$2,0))</f>
        <v>400462</v>
      </c>
      <c r="I452" s="8"/>
      <c r="J452" s="180" t="s">
        <v>10762</v>
      </c>
      <c r="K452" s="201">
        <f>+INDEX(WP!$A:$AN,MATCH(F452,WP!$B:$B,0),14)</f>
        <v>5</v>
      </c>
      <c r="L452" s="202">
        <f>+INDEX(WP!$A:$AN,MATCH(F452,WP!$B:$B,0),15)</f>
        <v>150</v>
      </c>
      <c r="M452" s="202">
        <f>+INDEX(WP!$A:$AN,MATCH(F452,WP!$B:$B,0),16)</f>
        <v>90</v>
      </c>
      <c r="N452" s="202" t="e" vm="381">
        <f>IFERROR(_xlfn.IMAGE("https://natalie.tf/wp-content/uploads/2023/11/DLV3_Icon_Affinity_"&amp;O452&amp;".png"),"")</f>
        <v>#VALUE!</v>
      </c>
      <c r="O452" s="203" t="str">
        <f>+INDEX(WP!$A:$AN,MATCH(F452,WP!$B:$B,0),17)</f>
        <v>Dragon</v>
      </c>
      <c r="P452" s="8" t="e" vm="14">
        <f>_xlfn.IMAGE("https://natalie.tf/wp-content/uploads/2023/10/DLV3_Icon_Ability_"&amp;INDEX('WP-A'!$A$1:$Z$498,MATCH('WP-Print'!Q452,'WP-A'!$A:$A,0),MATCH("Icon",'WP-A'!$A$1:$Z$1,0))&amp;".png")</f>
        <v>#VALUE!</v>
      </c>
      <c r="Q452" s="231" t="str">
        <f>+INDEX(WP!$A:$AN,MATCH(F452,WP!$B:$B,0),MATCH("Ability V3",WP!$A$2:$AN$2,0))</f>
        <v>Strength +15%</v>
      </c>
      <c r="R452" s="735"/>
    </row>
    <row r="453" spans="1:18" ht="7.5" customHeight="1" x14ac:dyDescent="0.2">
      <c r="A453" t="s">
        <v>10763</v>
      </c>
    </row>
    <row r="454" spans="1:18" ht="22.5" customHeight="1" x14ac:dyDescent="0.2">
      <c r="B454" s="729" t="e" vm="628">
        <f>_xlfn.IMAGE("https://natalie.tf/wp-content/uploads/2023/10/DLV3_Icon_WP_"&amp;G455&amp;"_01.png")</f>
        <v>#VALUE!</v>
      </c>
      <c r="D454" s="730" t="e" vm="629">
        <f>_xlfn.IMAGE("https://natalie.tf/wp-content/uploads/2023/10/DLV3_Icon_WP_"&amp;G455&amp;"_02.png")</f>
        <v>#VALUE!</v>
      </c>
      <c r="F454" s="717" t="str">
        <f>+INDEX(WP!$A:$AN,MATCH(F455,WP!$B:$B,0),MATCH("Name",WP!$A$2:$AN$2,0))</f>
        <v>Meanwhile, in Landosol...</v>
      </c>
      <c r="G454" s="718"/>
      <c r="H454" s="719"/>
      <c r="J454" s="180" t="s">
        <v>10761</v>
      </c>
      <c r="K454" s="201">
        <f>+INDEX(WP!$A:$AN,MATCH(F455,WP!$B:$B,0),5)</f>
        <v>5</v>
      </c>
      <c r="L454" s="202">
        <f>+INDEX(WP!$A:$AN,MATCH(F455,WP!$B:$B,0),6)</f>
        <v>89</v>
      </c>
      <c r="M454" s="202">
        <f>+INDEX(WP!$A:$AN,MATCH(F455,WP!$B:$B,0),7)</f>
        <v>31</v>
      </c>
      <c r="N454" s="202" t="e" vm="343">
        <f>IFERROR(_xlfn.IMAGE("https://natalie.tf/wp-content/uploads/2023/11/DLV3_Icon_Affinity_"&amp;O454&amp;".png"),"")</f>
        <v>#VALUE!</v>
      </c>
      <c r="O454" s="203" t="str">
        <f>IF(INDEX(WP!$A:$AN,MATCH(F455,WP!$B:$B,0),8)=0,"None",INDEX(WP!$A:$AN,MATCH(F455,WP!$B:$B,0),8))</f>
        <v>Axe</v>
      </c>
      <c r="P454" s="8" t="e" vm="330">
        <f>_xlfn.IMAGE("https://natalie.tf/wp-content/uploads/2023/10/DLV3_Icon_Ability_"&amp;INDEX('WP-A'!$A$1:$Z$498,MATCH('WP-Print'!Q454,'WP-A'!$A:$A,0),MATCH("Icon",'WP-A'!$A$1:$Z$1,0))&amp;".png")</f>
        <v>#VALUE!</v>
      </c>
      <c r="Q454" s="231" t="str">
        <f>+INDEX(WP!$A:$AN,MATCH(F455,WP!$B:$B,0),MATCH("Ability",WP!$A$2:$AN$2,0))</f>
        <v>Striking Haste +15%</v>
      </c>
      <c r="R454" s="734" t="str">
        <f>+INDEX(WP!$A:$AN,MATCH(F455,WP!$B:$B,0),MATCH("Obtain From",WP!$A$2:$AN$2,0))</f>
        <v>Clear Aether Clash: Nightmare (Princess Connect! Re Dive A Voracious Visitor)</v>
      </c>
    </row>
    <row r="455" spans="1:18" ht="22.5" customHeight="1" x14ac:dyDescent="0.2">
      <c r="A455" s="204" t="str">
        <f>TEXT(A452+1,"000")</f>
        <v>151</v>
      </c>
      <c r="B455" s="729"/>
      <c r="C455" s="8"/>
      <c r="D455" s="729"/>
      <c r="E455" s="8"/>
      <c r="F455" s="200" t="str">
        <f>"WP-"&amp;A455</f>
        <v>WP-151</v>
      </c>
      <c r="G455" s="200">
        <f>+INDEX(WP!$A:$AN,MATCH(F455,WP!$B:$B,0),MATCH("ID",WP!$A$2:$AN$2,0))</f>
        <v>400463</v>
      </c>
      <c r="I455" s="8"/>
      <c r="J455" s="180" t="s">
        <v>10762</v>
      </c>
      <c r="K455" s="201">
        <f>+INDEX(WP!$A:$AN,MATCH(F455,WP!$B:$B,0),14)</f>
        <v>5</v>
      </c>
      <c r="L455" s="202">
        <f>+INDEX(WP!$A:$AN,MATCH(F455,WP!$B:$B,0),15)</f>
        <v>150</v>
      </c>
      <c r="M455" s="202">
        <f>+INDEX(WP!$A:$AN,MATCH(F455,WP!$B:$B,0),16)</f>
        <v>90</v>
      </c>
      <c r="N455" s="202" t="e" vm="343">
        <f>IFERROR(_xlfn.IMAGE("https://natalie.tf/wp-content/uploads/2023/11/DLV3_Icon_Affinity_"&amp;O455&amp;".png"),"")</f>
        <v>#VALUE!</v>
      </c>
      <c r="O455" s="203" t="str">
        <f>+INDEX(WP!$A:$AN,MATCH(F455,WP!$B:$B,0),17)</f>
        <v>Axe</v>
      </c>
      <c r="P455" s="8" t="e" vm="330">
        <f>_xlfn.IMAGE("https://natalie.tf/wp-content/uploads/2023/10/DLV3_Icon_Ability_"&amp;INDEX('WP-A'!$A$1:$Z$498,MATCH('WP-Print'!Q455,'WP-A'!$A:$A,0),MATCH("Icon",'WP-A'!$A$1:$Z$1,0))&amp;".png")</f>
        <v>#VALUE!</v>
      </c>
      <c r="Q455" s="231" t="str">
        <f>+INDEX(WP!$A:$AN,MATCH(F455,WP!$B:$B,0),MATCH("Ability V3",WP!$A$2:$AN$2,0))</f>
        <v>Striking Haste +15%</v>
      </c>
      <c r="R455" s="735"/>
    </row>
    <row r="456" spans="1:18" ht="7.5" customHeight="1" x14ac:dyDescent="0.2">
      <c r="A456" t="s">
        <v>10763</v>
      </c>
    </row>
    <row r="457" spans="1:18" ht="22.5" customHeight="1" x14ac:dyDescent="0.2">
      <c r="B457" s="729" t="e" vm="630">
        <f>_xlfn.IMAGE("https://natalie.tf/wp-content/uploads/2023/10/DLV3_Icon_WP_"&amp;G458&amp;"_01.png")</f>
        <v>#VALUE!</v>
      </c>
      <c r="D457" s="730" t="e" vm="631">
        <f>_xlfn.IMAGE("https://natalie.tf/wp-content/uploads/2023/10/DLV3_Icon_WP_"&amp;G458&amp;"_02.png")</f>
        <v>#VALUE!</v>
      </c>
      <c r="F457" s="717" t="str">
        <f>+INDEX(WP!$A:$AN,MATCH(F458,WP!$B:$B,0),MATCH("Name",WP!$A$2:$AN$2,0))</f>
        <v>Dragonyule Dreaming</v>
      </c>
      <c r="G457" s="718"/>
      <c r="H457" s="719"/>
      <c r="J457" s="180" t="s">
        <v>10761</v>
      </c>
      <c r="K457" s="201">
        <f>+INDEX(WP!$A:$AN,MATCH(F458,WP!$B:$B,0),5)</f>
        <v>5</v>
      </c>
      <c r="L457" s="202">
        <f>+INDEX(WP!$A:$AN,MATCH(F458,WP!$B:$B,0),6)</f>
        <v>88</v>
      </c>
      <c r="M457" s="202">
        <f>+INDEX(WP!$A:$AN,MATCH(F458,WP!$B:$B,0),7)</f>
        <v>32</v>
      </c>
      <c r="N457" s="202" t="e" vm="342">
        <f>IFERROR(_xlfn.IMAGE("https://natalie.tf/wp-content/uploads/2023/11/DLV3_Icon_Affinity_"&amp;O457&amp;".png"),"")</f>
        <v>#VALUE!</v>
      </c>
      <c r="O457" s="203" t="str">
        <f>IF(INDEX(WP!$A:$AN,MATCH(F458,WP!$B:$B,0),8)=0,"None",INDEX(WP!$A:$AN,MATCH(F458,WP!$B:$B,0),8))</f>
        <v>Bow</v>
      </c>
      <c r="P457" s="8" t="e" vm="632">
        <f>_xlfn.IMAGE("https://natalie.tf/wp-content/uploads/2023/10/DLV3_Icon_Ability_"&amp;INDEX('WP-A'!$A$1:$Z$498,MATCH('WP-Print'!Q457,'WP-A'!$A:$A,0),MATCH("Icon",'WP-A'!$A$1:$Z$1,0))&amp;".png")</f>
        <v>#VALUE!</v>
      </c>
      <c r="Q457" s="231" t="str">
        <f>+INDEX(WP!$A:$AN,MATCH(F458,WP!$B:$B,0),MATCH("Ability",WP!$A$2:$AN$2,0))</f>
        <v>Bleeding Punisher +10%</v>
      </c>
      <c r="R457" s="734" t="str">
        <f>+INDEX(WP!$A:$AN,MATCH(F458,WP!$B:$B,0),MATCH("Obtain From",WP!$A$2:$AN$2,0))</f>
        <v>Clear a Quest on Standard Three Times (The Great Dragonyule Offensive)</v>
      </c>
    </row>
    <row r="458" spans="1:18" ht="22.5" customHeight="1" x14ac:dyDescent="0.2">
      <c r="A458" s="204" t="str">
        <f>TEXT(A455+1,"000")</f>
        <v>152</v>
      </c>
      <c r="B458" s="729"/>
      <c r="C458" s="8"/>
      <c r="D458" s="729"/>
      <c r="E458" s="8"/>
      <c r="F458" s="200" t="str">
        <f>"WP-"&amp;A458</f>
        <v>WP-152</v>
      </c>
      <c r="G458" s="200">
        <f>+INDEX(WP!$A:$AN,MATCH(F458,WP!$B:$B,0),MATCH("ID",WP!$A$2:$AN$2,0))</f>
        <v>400461</v>
      </c>
      <c r="I458" s="8"/>
      <c r="J458" s="180" t="s">
        <v>10762</v>
      </c>
      <c r="K458" s="201">
        <f>+INDEX(WP!$A:$AN,MATCH(F458,WP!$B:$B,0),14)</f>
        <v>5</v>
      </c>
      <c r="L458" s="202">
        <f>+INDEX(WP!$A:$AN,MATCH(F458,WP!$B:$B,0),15)</f>
        <v>150</v>
      </c>
      <c r="M458" s="202">
        <f>+INDEX(WP!$A:$AN,MATCH(F458,WP!$B:$B,0),16)</f>
        <v>90</v>
      </c>
      <c r="N458" s="202" t="e" vm="342">
        <f>IFERROR(_xlfn.IMAGE("https://natalie.tf/wp-content/uploads/2023/11/DLV3_Icon_Affinity_"&amp;O458&amp;".png"),"")</f>
        <v>#VALUE!</v>
      </c>
      <c r="O458" s="203" t="str">
        <f>+INDEX(WP!$A:$AN,MATCH(F458,WP!$B:$B,0),17)</f>
        <v>Bow</v>
      </c>
      <c r="P458" s="8" t="e" vm="632">
        <f>_xlfn.IMAGE("https://natalie.tf/wp-content/uploads/2023/10/DLV3_Icon_Ability_"&amp;INDEX('WP-A'!$A$1:$Z$498,MATCH('WP-Print'!Q458,'WP-A'!$A:$A,0),MATCH("Icon",'WP-A'!$A$1:$Z$1,0))&amp;".png")</f>
        <v>#VALUE!</v>
      </c>
      <c r="Q458" s="231" t="str">
        <f>+INDEX(WP!$A:$AN,MATCH(F458,WP!$B:$B,0),MATCH("Ability V3",WP!$A$2:$AN$2,0))</f>
        <v>Bleeding Punisher +15%</v>
      </c>
      <c r="R458" s="735"/>
    </row>
    <row r="459" spans="1:18" ht="7.5" customHeight="1" x14ac:dyDescent="0.2">
      <c r="A459" t="s">
        <v>10763</v>
      </c>
    </row>
    <row r="460" spans="1:18" ht="22.5" customHeight="1" x14ac:dyDescent="0.2">
      <c r="B460" s="729" t="e" vm="633">
        <f>_xlfn.IMAGE("https://natalie.tf/wp-content/uploads/2023/10/DLV3_Icon_WP_"&amp;G461&amp;"_01.png")</f>
        <v>#VALUE!</v>
      </c>
      <c r="D460" s="730" t="e" vm="634">
        <f>_xlfn.IMAGE("https://natalie.tf/wp-content/uploads/2023/10/DLV3_Icon_WP_"&amp;G461&amp;"_02.png")</f>
        <v>#VALUE!</v>
      </c>
      <c r="F460" s="717" t="str">
        <f>+INDEX(WP!$A:$AN,MATCH(F461,WP!$B:$B,0),MATCH("Name",WP!$A$2:$AN$2,0))</f>
        <v>The Cutie Competition</v>
      </c>
      <c r="G460" s="718"/>
      <c r="H460" s="719"/>
      <c r="J460" s="180" t="s">
        <v>10761</v>
      </c>
      <c r="K460" s="201">
        <f>+INDEX(WP!$A:$AN,MATCH(F461,WP!$B:$B,0),5)</f>
        <v>5</v>
      </c>
      <c r="L460" s="202">
        <f>+INDEX(WP!$A:$AN,MATCH(F461,WP!$B:$B,0),6)</f>
        <v>88</v>
      </c>
      <c r="M460" s="202">
        <f>+INDEX(WP!$A:$AN,MATCH(F461,WP!$B:$B,0),7)</f>
        <v>32</v>
      </c>
      <c r="N460" s="202" t="e" vm="345">
        <f>IFERROR(_xlfn.IMAGE("https://natalie.tf/wp-content/uploads/2023/11/DLV3_Icon_Affinity_"&amp;O460&amp;".png"),"")</f>
        <v>#VALUE!</v>
      </c>
      <c r="O460" s="203" t="str">
        <f>IF(INDEX(WP!$A:$AN,MATCH(F461,WP!$B:$B,0),8)=0,"None",INDEX(WP!$A:$AN,MATCH(F461,WP!$B:$B,0),8))</f>
        <v>Staff</v>
      </c>
      <c r="P460" s="8" t="e" vm="635">
        <f>_xlfn.IMAGE("https://natalie.tf/wp-content/uploads/2023/10/DLV3_Icon_Ability_"&amp;INDEX('WP-A'!$A$1:$Z$498,MATCH('WP-Print'!Q460,'WP-A'!$A:$A,0),MATCH("Icon",'WP-A'!$A$1:$Z$1,0))&amp;".png")</f>
        <v>#VALUE!</v>
      </c>
      <c r="Q460" s="231" t="str">
        <f>+INDEX(WP!$A:$AN,MATCH(F461,WP!$B:$B,0),MATCH("Ability",WP!$A$2:$AN$2,0))</f>
        <v>Scorchrent Punisher +25%</v>
      </c>
      <c r="R460" s="734" t="str">
        <f>+INDEX(WP!$A:$AN,MATCH(F461,WP!$B:$B,0),MATCH("Obtain From",WP!$A$2:$AN$2,0))</f>
        <v>Clear Shikigami Clash: Expert (Cursed Connections)</v>
      </c>
    </row>
    <row r="461" spans="1:18" ht="22.5" customHeight="1" x14ac:dyDescent="0.2">
      <c r="A461" s="204" t="str">
        <f>TEXT(A458+1,"000")</f>
        <v>153</v>
      </c>
      <c r="B461" s="729"/>
      <c r="C461" s="8"/>
      <c r="D461" s="729"/>
      <c r="E461" s="8"/>
      <c r="F461" s="200" t="str">
        <f>"WP-"&amp;A461</f>
        <v>WP-153</v>
      </c>
      <c r="G461" s="200">
        <f>+INDEX(WP!$A:$AN,MATCH(F461,WP!$B:$B,0),MATCH("ID",WP!$A$2:$AN$2,0))</f>
        <v>400465</v>
      </c>
      <c r="I461" s="8"/>
      <c r="J461" s="180" t="s">
        <v>10762</v>
      </c>
      <c r="K461" s="201">
        <f>+INDEX(WP!$A:$AN,MATCH(F461,WP!$B:$B,0),14)</f>
        <v>5</v>
      </c>
      <c r="L461" s="202">
        <f>+INDEX(WP!$A:$AN,MATCH(F461,WP!$B:$B,0),15)</f>
        <v>150</v>
      </c>
      <c r="M461" s="202">
        <f>+INDEX(WP!$A:$AN,MATCH(F461,WP!$B:$B,0),16)</f>
        <v>90</v>
      </c>
      <c r="N461" s="202" t="e" vm="345">
        <f>IFERROR(_xlfn.IMAGE("https://natalie.tf/wp-content/uploads/2023/11/DLV3_Icon_Affinity_"&amp;O461&amp;".png"),"")</f>
        <v>#VALUE!</v>
      </c>
      <c r="O461" s="203" t="str">
        <f>+INDEX(WP!$A:$AN,MATCH(F461,WP!$B:$B,0),17)</f>
        <v>Staff</v>
      </c>
      <c r="P461" s="8" t="e" vm="635">
        <f>_xlfn.IMAGE("https://natalie.tf/wp-content/uploads/2023/10/DLV3_Icon_Ability_"&amp;INDEX('WP-A'!$A$1:$Z$498,MATCH('WP-Print'!Q461,'WP-A'!$A:$A,0),MATCH("Icon",'WP-A'!$A$1:$Z$1,0))&amp;".png")</f>
        <v>#VALUE!</v>
      </c>
      <c r="Q461" s="231" t="str">
        <f>+INDEX(WP!$A:$AN,MATCH(F461,WP!$B:$B,0),MATCH("Ability V3",WP!$A$2:$AN$2,0))</f>
        <v>Scorchrent Punisher +25%</v>
      </c>
      <c r="R461" s="735"/>
    </row>
    <row r="462" spans="1:18" ht="7.5" customHeight="1" x14ac:dyDescent="0.2">
      <c r="A462" t="s">
        <v>10763</v>
      </c>
    </row>
    <row r="463" spans="1:18" ht="22.5" customHeight="1" x14ac:dyDescent="0.2">
      <c r="B463" s="729" t="e" vm="636">
        <f>_xlfn.IMAGE("https://natalie.tf/wp-content/uploads/2023/10/DLV3_Icon_WP_"&amp;G464&amp;"_01.png")</f>
        <v>#VALUE!</v>
      </c>
      <c r="D463" s="730" t="e" vm="636">
        <f>_xlfn.IMAGE("https://natalie.tf/wp-content/uploads/2023/10/DLV3_Icon_WP_"&amp;G464&amp;"_01.png")</f>
        <v>#VALUE!</v>
      </c>
      <c r="F463" s="717" t="str">
        <f>+INDEX(WP!$A:$AN,MATCH(F464,WP!$B:$B,0),MATCH("Name",WP!$A$2:$AN$2,0))</f>
        <v>Caged Desire</v>
      </c>
      <c r="G463" s="718"/>
      <c r="H463" s="719"/>
      <c r="J463" s="180" t="s">
        <v>10761</v>
      </c>
      <c r="K463" s="201">
        <f>+INDEX(WP!$A:$AN,MATCH(F464,WP!$B:$B,0),5)</f>
        <v>5</v>
      </c>
      <c r="L463" s="202">
        <f>+INDEX(WP!$A:$AN,MATCH(F464,WP!$B:$B,0),6)</f>
        <v>75</v>
      </c>
      <c r="M463" s="202">
        <f>+INDEX(WP!$A:$AN,MATCH(F464,WP!$B:$B,0),7)</f>
        <v>28</v>
      </c>
      <c r="N463" s="202" t="e" vm="341">
        <f>IFERROR(_xlfn.IMAGE("https://natalie.tf/wp-content/uploads/2023/11/DLV3_Icon_Affinity_"&amp;O463&amp;".png"),"")</f>
        <v>#VALUE!</v>
      </c>
      <c r="O463" s="203" t="str">
        <f>IF(INDEX(WP!$A:$AN,MATCH(F464,WP!$B:$B,0),8)=0,"None",INDEX(WP!$A:$AN,MATCH(F464,WP!$B:$B,0),8))</f>
        <v>Crown</v>
      </c>
      <c r="P463" s="8" t="e" vm="322">
        <f>_xlfn.IMAGE("https://natalie.tf/wp-content/uploads/2023/10/DLV3_Icon_Ability_"&amp;INDEX('WP-A'!$A$1:$Z$498,MATCH('WP-Print'!Q463,'WP-A'!$A:$A,0),MATCH("Icon",'WP-A'!$A$1:$Z$1,0))&amp;".png")</f>
        <v>#VALUE!</v>
      </c>
      <c r="Q463" s="231" t="str">
        <f>+INDEX(WP!$A:$AN,MATCH(F464,WP!$B:$B,0),MATCH("Ability",WP!$A$2:$AN$2,0))</f>
        <v>Skill Damage +30%</v>
      </c>
      <c r="R463" s="734" t="str">
        <f>+INDEX(WP!$A:$AN,MATCH(F464,WP!$B:$B,0),MATCH("Obtain From",WP!$A$2:$AN$2,0))</f>
        <v>Participate in the Event (Romance Under Siege)</v>
      </c>
    </row>
    <row r="464" spans="1:18" ht="22.5" customHeight="1" x14ac:dyDescent="0.2">
      <c r="A464" s="204" t="str">
        <f>TEXT(A461+1,"000")</f>
        <v>154</v>
      </c>
      <c r="B464" s="729"/>
      <c r="C464" s="8"/>
      <c r="D464" s="729"/>
      <c r="E464" s="8"/>
      <c r="F464" s="200" t="str">
        <f>"WP-"&amp;A464</f>
        <v>WP-154</v>
      </c>
      <c r="G464" s="200">
        <f>+INDEX(WP!$A:$AN,MATCH(F464,WP!$B:$B,0),MATCH("ID",WP!$A$2:$AN$2,0))</f>
        <v>400476</v>
      </c>
      <c r="I464" s="8"/>
      <c r="J464" s="180" t="s">
        <v>10762</v>
      </c>
      <c r="K464" s="201">
        <f>+INDEX(WP!$A:$AN,MATCH(F464,WP!$B:$B,0),14)</f>
        <v>5</v>
      </c>
      <c r="L464" s="202">
        <f>+INDEX(WP!$A:$AN,MATCH(F464,WP!$B:$B,0),15)</f>
        <v>150</v>
      </c>
      <c r="M464" s="202">
        <f>+INDEX(WP!$A:$AN,MATCH(F464,WP!$B:$B,0),16)</f>
        <v>90</v>
      </c>
      <c r="N464" s="202" t="e" vm="341">
        <f>IFERROR(_xlfn.IMAGE("https://natalie.tf/wp-content/uploads/2023/11/DLV3_Icon_Affinity_"&amp;O464&amp;".png"),"")</f>
        <v>#VALUE!</v>
      </c>
      <c r="O464" s="203" t="str">
        <f>+INDEX(WP!$A:$AN,MATCH(F464,WP!$B:$B,0),17)</f>
        <v>Crown</v>
      </c>
      <c r="P464" s="8" t="e" vm="322">
        <f>_xlfn.IMAGE("https://natalie.tf/wp-content/uploads/2023/10/DLV3_Icon_Ability_"&amp;INDEX('WP-A'!$A$1:$Z$498,MATCH('WP-Print'!Q464,'WP-A'!$A:$A,0),MATCH("Icon",'WP-A'!$A$1:$Z$1,0))&amp;".png")</f>
        <v>#VALUE!</v>
      </c>
      <c r="Q464" s="231" t="str">
        <f>+INDEX(WP!$A:$AN,MATCH(F464,WP!$B:$B,0),MATCH("Ability V3",WP!$A$2:$AN$2,0))</f>
        <v>Skill Damage +30%</v>
      </c>
      <c r="R464" s="735"/>
    </row>
    <row r="465" spans="1:18" ht="22.5" customHeight="1" x14ac:dyDescent="0.2">
      <c r="A465" t="s">
        <v>10763</v>
      </c>
    </row>
    <row r="466" spans="1:18" ht="22.5" customHeight="1" x14ac:dyDescent="0.2">
      <c r="B466" s="729" t="e" vm="637">
        <f>_xlfn.IMAGE("https://natalie.tf/wp-content/uploads/2023/10/DLV3_Icon_WP_"&amp;G467&amp;"_01.png")</f>
        <v>#VALUE!</v>
      </c>
      <c r="D466" s="730" t="e" vm="638">
        <f>_xlfn.IMAGE("https://natalie.tf/wp-content/uploads/2023/10/DLV3_Icon_WP_"&amp;G467&amp;"_02.png")</f>
        <v>#VALUE!</v>
      </c>
      <c r="F466" s="717" t="str">
        <f>+INDEX(WP!$A:$AN,MATCH(F467,WP!$B:$B,0),MATCH("Name",WP!$A$2:$AN$2,0))</f>
        <v>Showtime!</v>
      </c>
      <c r="G466" s="718"/>
      <c r="H466" s="719"/>
      <c r="J466" s="180" t="s">
        <v>10761</v>
      </c>
      <c r="K466" s="201">
        <f>+INDEX(WP!$A:$AN,MATCH(F467,WP!$B:$B,0),5)</f>
        <v>5</v>
      </c>
      <c r="L466" s="202">
        <f>+INDEX(WP!$A:$AN,MATCH(F467,WP!$B:$B,0),6)</f>
        <v>75</v>
      </c>
      <c r="M466" s="202">
        <f>+INDEX(WP!$A:$AN,MATCH(F467,WP!$B:$B,0),7)</f>
        <v>28</v>
      </c>
      <c r="N466" s="202" t="e" vm="340">
        <f>IFERROR(_xlfn.IMAGE("https://natalie.tf/wp-content/uploads/2023/11/DLV3_Icon_Affinity_"&amp;O466&amp;".png"),"")</f>
        <v>#VALUE!</v>
      </c>
      <c r="O466" s="203" t="str">
        <f>IF(INDEX(WP!$A:$AN,MATCH(F467,WP!$B:$B,0),8)=0,"None",INDEX(WP!$A:$AN,MATCH(F467,WP!$B:$B,0),8))</f>
        <v>Lance</v>
      </c>
      <c r="P466" s="8" t="e" vm="7">
        <f>_xlfn.IMAGE("https://natalie.tf/wp-content/uploads/2023/10/DLV3_Icon_Ability_"&amp;INDEX('WP-A'!$A$1:$Z$498,MATCH('WP-Print'!Q466,'WP-A'!$A:$A,0),MATCH("Icon",'WP-A'!$A$1:$Z$1,0))&amp;".png")</f>
        <v>#VALUE!</v>
      </c>
      <c r="Q466" s="231" t="str">
        <f>+INDEX(WP!$A:$AN,MATCH(F467,WP!$B:$B,0),MATCH("Ability",WP!$A$2:$AN$2,0))</f>
        <v>Force Strike +50%</v>
      </c>
      <c r="R466" s="734" t="str">
        <f>+INDEX(WP!$A:$AN,MATCH(F467,WP!$B:$B,0),MATCH("Obtain From",WP!$A$2:$AN$2,0))</f>
        <v>Clear Monarch Emile Clash: Expert (Persona 5 Strikers Caged Desire)</v>
      </c>
    </row>
    <row r="467" spans="1:18" ht="22.5" customHeight="1" x14ac:dyDescent="0.2">
      <c r="A467" s="204" t="str">
        <f>TEXT(A464+1,"000")</f>
        <v>155</v>
      </c>
      <c r="B467" s="729"/>
      <c r="C467" s="8"/>
      <c r="D467" s="729"/>
      <c r="E467" s="8"/>
      <c r="F467" s="200" t="str">
        <f>"WP-"&amp;A467</f>
        <v>WP-155</v>
      </c>
      <c r="G467" s="200">
        <f>+INDEX(WP!$A:$AN,MATCH(F467,WP!$B:$B,0),MATCH("ID",WP!$A$2:$AN$2,0))</f>
        <v>400469</v>
      </c>
      <c r="I467" s="8"/>
      <c r="J467" s="180" t="s">
        <v>10762</v>
      </c>
      <c r="K467" s="201">
        <f>+INDEX(WP!$A:$AN,MATCH(F467,WP!$B:$B,0),14)</f>
        <v>5</v>
      </c>
      <c r="L467" s="202">
        <f>+INDEX(WP!$A:$AN,MATCH(F467,WP!$B:$B,0),15)</f>
        <v>150</v>
      </c>
      <c r="M467" s="202">
        <f>+INDEX(WP!$A:$AN,MATCH(F467,WP!$B:$B,0),16)</f>
        <v>90</v>
      </c>
      <c r="N467" s="202" t="e" vm="340">
        <f>IFERROR(_xlfn.IMAGE("https://natalie.tf/wp-content/uploads/2023/11/DLV3_Icon_Affinity_"&amp;O467&amp;".png"),"")</f>
        <v>#VALUE!</v>
      </c>
      <c r="O467" s="203" t="str">
        <f>+INDEX(WP!$A:$AN,MATCH(F467,WP!$B:$B,0),17)</f>
        <v>Lance</v>
      </c>
      <c r="P467" s="8" t="e" vm="7">
        <f>_xlfn.IMAGE("https://natalie.tf/wp-content/uploads/2023/10/DLV3_Icon_Ability_"&amp;INDEX('WP-A'!$A$1:$Z$498,MATCH('WP-Print'!Q467,'WP-A'!$A:$A,0),MATCH("Icon",'WP-A'!$A$1:$Z$1,0))&amp;".png")</f>
        <v>#VALUE!</v>
      </c>
      <c r="Q467" s="231" t="str">
        <f>+INDEX(WP!$A:$AN,MATCH(F467,WP!$B:$B,0),MATCH("Ability V3",WP!$A$2:$AN$2,0))</f>
        <v>Force Strike +50%</v>
      </c>
      <c r="R467" s="735"/>
    </row>
    <row r="468" spans="1:18" ht="7.5" customHeight="1" x14ac:dyDescent="0.2">
      <c r="A468" t="s">
        <v>10763</v>
      </c>
    </row>
    <row r="469" spans="1:18" ht="22.5" customHeight="1" x14ac:dyDescent="0.2">
      <c r="B469" s="729" t="e" vm="639">
        <f>_xlfn.IMAGE("https://natalie.tf/wp-content/uploads/2023/10/DLV3_Icon_WP_"&amp;G470&amp;"_01.png")</f>
        <v>#VALUE!</v>
      </c>
      <c r="D469" s="730" t="e" vm="640">
        <f>_xlfn.IMAGE("https://natalie.tf/wp-content/uploads/2023/10/DLV3_Icon_WP_"&amp;G470&amp;"_02.png")</f>
        <v>#VALUE!</v>
      </c>
      <c r="F469" s="717" t="str">
        <f>+INDEX(WP!$A:$AN,MATCH(F470,WP!$B:$B,0),MATCH("Name",WP!$A$2:$AN$2,0))</f>
        <v>Sweet Surprise</v>
      </c>
      <c r="G469" s="718"/>
      <c r="H469" s="719"/>
      <c r="J469" s="180" t="s">
        <v>10761</v>
      </c>
      <c r="K469" s="201">
        <f>+INDEX(WP!$A:$AN,MATCH(F470,WP!$B:$B,0),5)</f>
        <v>5</v>
      </c>
      <c r="L469" s="202">
        <f>+INDEX(WP!$A:$AN,MATCH(F470,WP!$B:$B,0),6)</f>
        <v>88</v>
      </c>
      <c r="M469" s="202">
        <f>+INDEX(WP!$A:$AN,MATCH(F470,WP!$B:$B,0),7)</f>
        <v>32</v>
      </c>
      <c r="N469" s="202" t="e" vm="344">
        <f>IFERROR(_xlfn.IMAGE("https://natalie.tf/wp-content/uploads/2023/11/DLV3_Icon_Affinity_"&amp;O469&amp;".png"),"")</f>
        <v>#VALUE!</v>
      </c>
      <c r="O469" s="203" t="str">
        <f>IF(INDEX(WP!$A:$AN,MATCH(F470,WP!$B:$B,0),8)=0,"None",INDEX(WP!$A:$AN,MATCH(F470,WP!$B:$B,0),8))</f>
        <v>Eagle</v>
      </c>
      <c r="P469" s="8" t="e" vm="334">
        <f>_xlfn.IMAGE("https://natalie.tf/wp-content/uploads/2023/10/DLV3_Icon_Ability_"&amp;INDEX('WP-A'!$A$1:$Z$498,MATCH('WP-Print'!Q469,'WP-A'!$A:$A,0),MATCH("Icon",'WP-A'!$A$1:$Z$1,0))&amp;".png")</f>
        <v>#VALUE!</v>
      </c>
      <c r="Q469" s="231" t="str">
        <f>+INDEX(WP!$A:$AN,MATCH(F470,WP!$B:$B,0),MATCH("Ability",WP!$A$2:$AN$2,0))</f>
        <v>Stormlashed Punisher +25%</v>
      </c>
      <c r="R469" s="734" t="str">
        <f>+INDEX(WP!$A:$AN,MATCH(F470,WP!$B:$B,0),MATCH("Obtain From",WP!$A$2:$AN$2,0))</f>
        <v>Clear All-Out Assault: Master (Romance Under Siege)</v>
      </c>
    </row>
    <row r="470" spans="1:18" ht="22.5" customHeight="1" x14ac:dyDescent="0.2">
      <c r="A470" s="204" t="str">
        <f>TEXT(A467+1,"000")</f>
        <v>156</v>
      </c>
      <c r="B470" s="729"/>
      <c r="C470" s="8"/>
      <c r="D470" s="729"/>
      <c r="E470" s="8"/>
      <c r="F470" s="200" t="str">
        <f>"WP-"&amp;A470</f>
        <v>WP-156</v>
      </c>
      <c r="G470" s="200">
        <f>+INDEX(WP!$A:$AN,MATCH(F470,WP!$B:$B,0),MATCH("ID",WP!$A$2:$AN$2,0))</f>
        <v>400466</v>
      </c>
      <c r="I470" s="8"/>
      <c r="J470" s="180" t="s">
        <v>10762</v>
      </c>
      <c r="K470" s="201">
        <f>+INDEX(WP!$A:$AN,MATCH(F470,WP!$B:$B,0),14)</f>
        <v>5</v>
      </c>
      <c r="L470" s="202">
        <f>+INDEX(WP!$A:$AN,MATCH(F470,WP!$B:$B,0),15)</f>
        <v>150</v>
      </c>
      <c r="M470" s="202">
        <f>+INDEX(WP!$A:$AN,MATCH(F470,WP!$B:$B,0),16)</f>
        <v>90</v>
      </c>
      <c r="N470" s="202" t="e" vm="352">
        <f>IFERROR(_xlfn.IMAGE("https://natalie.tf/wp-content/uploads/2023/11/DLV3_Icon_Affinity_"&amp;O470&amp;".png"),"")</f>
        <v>#VALUE!</v>
      </c>
      <c r="O470" s="203" t="str">
        <f>+INDEX(WP!$A:$AN,MATCH(F470,WP!$B:$B,0),17)</f>
        <v>Fish</v>
      </c>
      <c r="P470" s="8" t="e" vm="334">
        <f>_xlfn.IMAGE("https://natalie.tf/wp-content/uploads/2023/10/DLV3_Icon_Ability_"&amp;INDEX('WP-A'!$A$1:$Z$498,MATCH('WP-Print'!Q470,'WP-A'!$A:$A,0),MATCH("Icon",'WP-A'!$A$1:$Z$1,0))&amp;".png")</f>
        <v>#VALUE!</v>
      </c>
      <c r="Q470" s="231" t="str">
        <f>+INDEX(WP!$A:$AN,MATCH(F470,WP!$B:$B,0),MATCH("Ability V3",WP!$A$2:$AN$2,0))</f>
        <v>Stormlashed Punisher +25%</v>
      </c>
      <c r="R470" s="735"/>
    </row>
    <row r="471" spans="1:18" ht="7.5" customHeight="1" x14ac:dyDescent="0.2">
      <c r="A471" t="s">
        <v>10763</v>
      </c>
    </row>
    <row r="472" spans="1:18" ht="22.5" customHeight="1" x14ac:dyDescent="0.2">
      <c r="B472" s="729" t="e" vm="641">
        <f>_xlfn.IMAGE("https://natalie.tf/wp-content/uploads/2023/10/DLV3_Icon_WP_"&amp;G473&amp;"_01.png")</f>
        <v>#VALUE!</v>
      </c>
      <c r="D472" s="730" t="e" vm="642">
        <f>_xlfn.IMAGE("https://natalie.tf/wp-content/uploads/2023/10/DLV3_Icon_WP_"&amp;G473&amp;"_02.png")</f>
        <v>#VALUE!</v>
      </c>
      <c r="F472" s="717" t="str">
        <f>+INDEX(WP!$A:$AN,MATCH(F473,WP!$B:$B,0),MATCH("Name",WP!$A$2:$AN$2,0))</f>
        <v>Rivalry of Kings</v>
      </c>
      <c r="G472" s="718"/>
      <c r="H472" s="719"/>
      <c r="J472" s="180" t="s">
        <v>10761</v>
      </c>
      <c r="K472" s="201">
        <f>+INDEX(WP!$A:$AN,MATCH(F473,WP!$B:$B,0),5)</f>
        <v>5</v>
      </c>
      <c r="L472" s="202">
        <f>+INDEX(WP!$A:$AN,MATCH(F473,WP!$B:$B,0),6)</f>
        <v>88</v>
      </c>
      <c r="M472" s="202">
        <f>+INDEX(WP!$A:$AN,MATCH(F473,WP!$B:$B,0),7)</f>
        <v>32</v>
      </c>
      <c r="N472" s="202" t="e" vm="381">
        <f>IFERROR(_xlfn.IMAGE("https://natalie.tf/wp-content/uploads/2023/11/DLV3_Icon_Affinity_"&amp;O472&amp;".png"),"")</f>
        <v>#VALUE!</v>
      </c>
      <c r="O472" s="203" t="str">
        <f>IF(INDEX(WP!$A:$AN,MATCH(F473,WP!$B:$B,0),8)=0,"None",INDEX(WP!$A:$AN,MATCH(F473,WP!$B:$B,0),8))</f>
        <v>Dragon</v>
      </c>
      <c r="P472" s="8" t="e" vm="322">
        <f>_xlfn.IMAGE("https://natalie.tf/wp-content/uploads/2023/10/DLV3_Icon_Ability_"&amp;INDEX('WP-A'!$A$1:$Z$498,MATCH('WP-Print'!Q472,'WP-A'!$A:$A,0),MATCH("Icon",'WP-A'!$A$1:$Z$1,0))&amp;".png")</f>
        <v>#VALUE!</v>
      </c>
      <c r="Q472" s="231" t="str">
        <f>+INDEX(WP!$A:$AN,MATCH(F473,WP!$B:$B,0),MATCH("Ability",WP!$A$2:$AN$2,0))</f>
        <v>(Manacaster) Skill Damage +40%</v>
      </c>
      <c r="R472" s="734" t="str">
        <f>+INDEX(WP!$A:$AN,MATCH(F473,WP!$B:$B,0),MATCH("Obtain From",WP!$A$2:$AN$2,0))</f>
        <v>Clear Active Investigation: Expert (Divine Deception)</v>
      </c>
    </row>
    <row r="473" spans="1:18" ht="22.5" customHeight="1" x14ac:dyDescent="0.2">
      <c r="A473" s="204" t="str">
        <f>TEXT(A470+1,"000")</f>
        <v>157</v>
      </c>
      <c r="B473" s="729"/>
      <c r="C473" s="8"/>
      <c r="D473" s="729"/>
      <c r="E473" s="8"/>
      <c r="F473" s="200" t="str">
        <f>"WP-"&amp;A473</f>
        <v>WP-157</v>
      </c>
      <c r="G473" s="200">
        <f>+INDEX(WP!$A:$AN,MATCH(F473,WP!$B:$B,0),MATCH("ID",WP!$A$2:$AN$2,0))</f>
        <v>400403</v>
      </c>
      <c r="I473" s="8"/>
      <c r="J473" s="180" t="s">
        <v>10762</v>
      </c>
      <c r="K473" s="201">
        <f>+INDEX(WP!$A:$AN,MATCH(F473,WP!$B:$B,0),14)</f>
        <v>5</v>
      </c>
      <c r="L473" s="202">
        <f>+INDEX(WP!$A:$AN,MATCH(F473,WP!$B:$B,0),15)</f>
        <v>150</v>
      </c>
      <c r="M473" s="202">
        <f>+INDEX(WP!$A:$AN,MATCH(F473,WP!$B:$B,0),16)</f>
        <v>90</v>
      </c>
      <c r="N473" s="202" t="e" vm="381">
        <f>IFERROR(_xlfn.IMAGE("https://natalie.tf/wp-content/uploads/2023/11/DLV3_Icon_Affinity_"&amp;O473&amp;".png"),"")</f>
        <v>#VALUE!</v>
      </c>
      <c r="O473" s="203" t="str">
        <f>+INDEX(WP!$A:$AN,MATCH(F473,WP!$B:$B,0),17)</f>
        <v>Dragon</v>
      </c>
      <c r="P473" s="8" t="e" vm="322">
        <f>_xlfn.IMAGE("https://natalie.tf/wp-content/uploads/2023/10/DLV3_Icon_Ability_"&amp;INDEX('WP-A'!$A$1:$Z$498,MATCH('WP-Print'!Q473,'WP-A'!$A:$A,0),MATCH("Icon",'WP-A'!$A$1:$Z$1,0))&amp;".png")</f>
        <v>#VALUE!</v>
      </c>
      <c r="Q473" s="231" t="str">
        <f>+INDEX(WP!$A:$AN,MATCH(F473,WP!$B:$B,0),MATCH("Ability V3",WP!$A$2:$AN$2,0))</f>
        <v>(Manacaster) Skill Damage +40%</v>
      </c>
      <c r="R473" s="735"/>
    </row>
    <row r="474" spans="1:18" ht="7.5" customHeight="1" x14ac:dyDescent="0.2">
      <c r="A474" t="s">
        <v>10763</v>
      </c>
    </row>
    <row r="475" spans="1:18" ht="22.5" customHeight="1" x14ac:dyDescent="0.2">
      <c r="B475" s="729" t="e" vm="643">
        <f>_xlfn.IMAGE("https://natalie.tf/wp-content/uploads/2023/10/DLV3_Icon_WP_"&amp;G476&amp;"_01.png")</f>
        <v>#VALUE!</v>
      </c>
      <c r="D475" s="730" t="e" vm="644">
        <f>_xlfn.IMAGE("https://natalie.tf/wp-content/uploads/2023/10/DLV3_Icon_WP_"&amp;G476&amp;"_02.png")</f>
        <v>#VALUE!</v>
      </c>
      <c r="F475" s="717" t="str">
        <f>+INDEX(WP!$A:$AN,MATCH(F476,WP!$B:$B,0),MATCH("Name",WP!$A$2:$AN$2,0))</f>
        <v>Extreme Teamwork</v>
      </c>
      <c r="G475" s="718"/>
      <c r="H475" s="719"/>
      <c r="J475" s="180" t="s">
        <v>10761</v>
      </c>
      <c r="K475" s="201">
        <f>+INDEX(WP!$A:$AN,MATCH(F476,WP!$B:$B,0),5)</f>
        <v>5</v>
      </c>
      <c r="L475" s="202">
        <f>+INDEX(WP!$A:$AN,MATCH(F476,WP!$B:$B,0),6)</f>
        <v>75</v>
      </c>
      <c r="M475" s="202">
        <f>+INDEX(WP!$A:$AN,MATCH(F476,WP!$B:$B,0),7)</f>
        <v>27</v>
      </c>
      <c r="N475" s="202" t="str">
        <f ca="1">IFERROR(_xlfn.IMAGE("https://natalie.tf/wp-content/uploads/2023/11/DLV3_Icon_Affinity_"&amp;O475&amp;".png"),"")</f>
        <v/>
      </c>
      <c r="O475" s="203" t="str">
        <f>IF(INDEX(WP!$A:$AN,MATCH(F476,WP!$B:$B,0),8)=0,"None",INDEX(WP!$A:$AN,MATCH(F476,WP!$B:$B,0),8))</f>
        <v>None</v>
      </c>
      <c r="P475" s="8" t="e" vm="645">
        <f>_xlfn.IMAGE("https://natalie.tf/wp-content/uploads/2023/10/DLV3_Icon_Ability_"&amp;INDEX('WP-A'!$A$1:$Z$498,MATCH('WP-Print'!Q475,'WP-A'!$A:$A,0),MATCH("Icon",'WP-A'!$A$1:$Z$1,0))&amp;".png")</f>
        <v>#VALUE!</v>
      </c>
      <c r="Q475" s="231" t="str">
        <f>+INDEX(WP!$A:$AN,MATCH(F476,WP!$B:$B,0),MATCH("Ability",WP!$A$2:$AN$2,0))</f>
        <v>Flashburned Punisher +25%</v>
      </c>
      <c r="R475" s="734" t="str">
        <f>+INDEX(WP!$A:$AN,MATCH(F476,WP!$B:$B,0),MATCH("Obtain From",WP!$A$2:$AN$2,0))</f>
        <v>Clear The False Demon's Revenge (Divine Deception)</v>
      </c>
    </row>
    <row r="476" spans="1:18" ht="22.5" customHeight="1" x14ac:dyDescent="0.2">
      <c r="A476" s="204" t="str">
        <f>TEXT(A473+1,"000")</f>
        <v>158</v>
      </c>
      <c r="B476" s="729"/>
      <c r="C476" s="8"/>
      <c r="D476" s="729"/>
      <c r="E476" s="8"/>
      <c r="F476" s="200" t="str">
        <f>"WP-"&amp;A476</f>
        <v>WP-158</v>
      </c>
      <c r="G476" s="200">
        <f>+INDEX(WP!$A:$AN,MATCH(F476,WP!$B:$B,0),MATCH("ID",WP!$A$2:$AN$2,0))</f>
        <v>400467</v>
      </c>
      <c r="I476" s="8"/>
      <c r="J476" s="180" t="s">
        <v>10762</v>
      </c>
      <c r="K476" s="201">
        <f>+INDEX(WP!$A:$AN,MATCH(F476,WP!$B:$B,0),14)</f>
        <v>5</v>
      </c>
      <c r="L476" s="202">
        <f>+INDEX(WP!$A:$AN,MATCH(F476,WP!$B:$B,0),15)</f>
        <v>150</v>
      </c>
      <c r="M476" s="202">
        <f>+INDEX(WP!$A:$AN,MATCH(F476,WP!$B:$B,0),16)</f>
        <v>90</v>
      </c>
      <c r="N476" s="202" t="e" vm="367">
        <f>IFERROR(_xlfn.IMAGE("https://natalie.tf/wp-content/uploads/2023/11/DLV3_Icon_Affinity_"&amp;O476&amp;".png"),"")</f>
        <v>#VALUE!</v>
      </c>
      <c r="O476" s="203" t="str">
        <f>+INDEX(WP!$A:$AN,MATCH(F476,WP!$B:$B,0),17)</f>
        <v>Spider</v>
      </c>
      <c r="P476" s="8" t="e" vm="645">
        <f>_xlfn.IMAGE("https://natalie.tf/wp-content/uploads/2023/10/DLV3_Icon_Ability_"&amp;INDEX('WP-A'!$A$1:$Z$498,MATCH('WP-Print'!Q476,'WP-A'!$A:$A,0),MATCH("Icon",'WP-A'!$A$1:$Z$1,0))&amp;".png")</f>
        <v>#VALUE!</v>
      </c>
      <c r="Q476" s="231" t="str">
        <f>+INDEX(WP!$A:$AN,MATCH(F476,WP!$B:$B,0),MATCH("Ability V3",WP!$A$2:$AN$2,0))</f>
        <v>Flashburned Punisher +25%</v>
      </c>
      <c r="R476" s="735"/>
    </row>
    <row r="477" spans="1:18" ht="7.5" customHeight="1" x14ac:dyDescent="0.2">
      <c r="A477" t="s">
        <v>10763</v>
      </c>
    </row>
    <row r="478" spans="1:18" ht="22.5" customHeight="1" x14ac:dyDescent="0.2">
      <c r="B478" s="729" t="e" vm="646">
        <f>_xlfn.IMAGE("https://natalie.tf/wp-content/uploads/2023/10/DLV3_Icon_WP_"&amp;G479&amp;"_01.png")</f>
        <v>#VALUE!</v>
      </c>
      <c r="D478" s="730" t="e" vm="647">
        <f>_xlfn.IMAGE("https://natalie.tf/wp-content/uploads/2023/10/DLV3_Icon_WP_"&amp;G479&amp;"_02.png")</f>
        <v>#VALUE!</v>
      </c>
      <c r="F478" s="731" t="str">
        <f>+INDEX(WP!$A:$AN,MATCH(F479,WP!$B:$B,0),MATCH("Name",WP!$A$2:$AN$2,0))</f>
        <v>Holywyrm's Advent</v>
      </c>
      <c r="G478" s="732"/>
      <c r="H478" s="733"/>
      <c r="J478" s="180" t="s">
        <v>10761</v>
      </c>
      <c r="K478" s="201">
        <f>+INDEX(WP!$A:$AN,MATCH(F479,WP!$B:$B,0),5)</f>
        <v>5</v>
      </c>
      <c r="L478" s="202">
        <f>+INDEX(WP!$A:$AN,MATCH(F479,WP!$B:$B,0),6)</f>
        <v>75</v>
      </c>
      <c r="M478" s="202">
        <f>+INDEX(WP!$A:$AN,MATCH(F479,WP!$B:$B,0),7)</f>
        <v>27</v>
      </c>
      <c r="N478" s="202" t="str">
        <f ca="1">IFERROR(_xlfn.IMAGE("https://natalie.tf/wp-content/uploads/2023/11/DLV3_Icon_Affinity_"&amp;O478&amp;".png"),"")</f>
        <v/>
      </c>
      <c r="O478" s="203" t="str">
        <f>IF(INDEX(WP!$A:$AN,MATCH(F479,WP!$B:$B,0),8)=0,"None",INDEX(WP!$A:$AN,MATCH(F479,WP!$B:$B,0),8))</f>
        <v>None</v>
      </c>
      <c r="P478" s="8" t="e" vm="648">
        <f>_xlfn.IMAGE("https://natalie.tf/wp-content/uploads/2023/10/DLV3_Icon_Ability_"&amp;INDEX('WP-A'!$A$1:$Z$498,MATCH('WP-Print'!Q478,'WP-A'!$A:$A,0),MATCH("Icon",'WP-A'!$A$1:$Z$1,0))&amp;".png")</f>
        <v>#VALUE!</v>
      </c>
      <c r="Q478" s="231" t="str">
        <f>+INDEX(WP!$A:$AN,MATCH(F479,WP!$B:$B,0),MATCH("Ability",WP!$A$2:$AN$2,0))</f>
        <v>Reduced DEF &amp; Enhanced SS III</v>
      </c>
      <c r="R478" s="734" t="str">
        <f>+INDEX(WP!$A:$AN,MATCH(F479,WP!$B:$B,0),MATCH("Obtain From",WP!$A$2:$AN$2,0))</f>
        <v>Clear Elysium Clash (Fixed) (Dawn of Dragalia)</v>
      </c>
    </row>
    <row r="479" spans="1:18" ht="22.5" customHeight="1" x14ac:dyDescent="0.2">
      <c r="A479" s="204" t="str">
        <f>TEXT(A476+1,"000")</f>
        <v>159</v>
      </c>
      <c r="B479" s="729"/>
      <c r="C479" s="8"/>
      <c r="D479" s="729"/>
      <c r="E479" s="8"/>
      <c r="F479" s="200" t="str">
        <f>"WP-"&amp;A479</f>
        <v>WP-159</v>
      </c>
      <c r="G479" s="200">
        <f>+INDEX(WP!$A:$AN,MATCH(F479,WP!$B:$B,0),MATCH("ID",WP!$A$2:$AN$2,0))</f>
        <v>400079</v>
      </c>
      <c r="I479" s="8"/>
      <c r="J479" s="180" t="s">
        <v>10762</v>
      </c>
      <c r="K479" s="201">
        <f>+INDEX(WP!$A:$AN,MATCH(F479,WP!$B:$B,0),14)</f>
        <v>5</v>
      </c>
      <c r="L479" s="202">
        <f>+INDEX(WP!$A:$AN,MATCH(F479,WP!$B:$B,0),15)</f>
        <v>150</v>
      </c>
      <c r="M479" s="202">
        <f>+INDEX(WP!$A:$AN,MATCH(F479,WP!$B:$B,0),16)</f>
        <v>90</v>
      </c>
      <c r="N479" s="202" t="e" vm="354">
        <f>IFERROR(_xlfn.IMAGE("https://natalie.tf/wp-content/uploads/2023/11/DLV3_Icon_Affinity_"&amp;O479&amp;".png"),"")</f>
        <v>#VALUE!</v>
      </c>
      <c r="O479" s="203" t="str">
        <f>+INDEX(WP!$A:$AN,MATCH(F479,WP!$B:$B,0),17)</f>
        <v>Butterfly</v>
      </c>
      <c r="P479" s="8" t="e" vm="648">
        <f>_xlfn.IMAGE("https://natalie.tf/wp-content/uploads/2023/10/DLV3_Icon_Ability_"&amp;INDEX('WP-A'!$A$1:$Z$498,MATCH('WP-Print'!Q479,'WP-A'!$A:$A,0),MATCH("Icon",'WP-A'!$A$1:$Z$1,0))&amp;".png")</f>
        <v>#VALUE!</v>
      </c>
      <c r="Q479" s="231" t="str">
        <f>+INDEX(WP!$A:$AN,MATCH(F479,WP!$B:$B,0),MATCH("Ability V3",WP!$A$2:$AN$2,0))</f>
        <v>Reduced DEF &amp; Enhanced SS III</v>
      </c>
      <c r="R479" s="735"/>
    </row>
    <row r="480" spans="1:18" ht="7.5" customHeight="1" x14ac:dyDescent="0.2">
      <c r="A480" t="s">
        <v>10763</v>
      </c>
    </row>
    <row r="481" spans="1:18" ht="22.5" customHeight="1" x14ac:dyDescent="0.2">
      <c r="B481" s="729" t="e" vm="649">
        <f>_xlfn.IMAGE("https://natalie.tf/wp-content/uploads/2023/10/DLV3_Icon_WP_"&amp;G482&amp;"_01.png")</f>
        <v>#VALUE!</v>
      </c>
      <c r="D481" s="730" t="e" vm="650">
        <f>_xlfn.IMAGE("https://natalie.tf/wp-content/uploads/2023/10/DLV3_Icon_WP_"&amp;G482&amp;"_02.png")</f>
        <v>#VALUE!</v>
      </c>
      <c r="F481" s="717" t="str">
        <f>+INDEX(WP!$A:$AN,MATCH(F482,WP!$B:$B,0),MATCH("Name",WP!$A$2:$AN$2,0))</f>
        <v>Springtime Breeze</v>
      </c>
      <c r="G481" s="718"/>
      <c r="H481" s="719"/>
      <c r="J481" s="180" t="s">
        <v>10761</v>
      </c>
      <c r="K481" s="201">
        <f>+INDEX(WP!$A:$AN,MATCH(F482,WP!$B:$B,0),5)</f>
        <v>5</v>
      </c>
      <c r="L481" s="202">
        <f>+INDEX(WP!$A:$AN,MATCH(F482,WP!$B:$B,0),6)</f>
        <v>88</v>
      </c>
      <c r="M481" s="202">
        <f>+INDEX(WP!$A:$AN,MATCH(F482,WP!$B:$B,0),7)</f>
        <v>32</v>
      </c>
      <c r="N481" s="202" t="str">
        <f ca="1">IFERROR(_xlfn.IMAGE("https://natalie.tf/wp-content/uploads/2023/11/DLV3_Icon_Affinity_"&amp;O481&amp;".png"),"")</f>
        <v/>
      </c>
      <c r="O481" s="203" t="str">
        <f>IF(INDEX(WP!$A:$AN,MATCH(F482,WP!$B:$B,0),8)=0,"None",INDEX(WP!$A:$AN,MATCH(F482,WP!$B:$B,0),8))</f>
        <v>None</v>
      </c>
      <c r="P481" s="8" t="e" vm="322">
        <f>_xlfn.IMAGE("https://natalie.tf/wp-content/uploads/2023/10/DLV3_Icon_Ability_"&amp;INDEX('WP-A'!$A$1:$Z$498,MATCH('WP-Print'!Q481,'WP-A'!$A:$A,0),MATCH("Icon",'WP-A'!$A$1:$Z$1,0))&amp;".png")</f>
        <v>#VALUE!</v>
      </c>
      <c r="Q481" s="231" t="str">
        <f>+INDEX(WP!$A:$AN,MATCH(F482,WP!$B:$B,0),MATCH("Ability",WP!$A$2:$AN$2,0))</f>
        <v>(Staff) Skill Damage +40%</v>
      </c>
      <c r="R481" s="734" t="str">
        <f>+INDEX(WP!$A:$AN,MATCH(F482,WP!$B:$B,0),MATCH("Obtain From",WP!$A$2:$AN$2,0))</f>
        <v>Clear Elysium Clash: Nightmare (Dawn of Dragalia)</v>
      </c>
    </row>
    <row r="482" spans="1:18" ht="22.5" customHeight="1" x14ac:dyDescent="0.2">
      <c r="A482" s="204" t="str">
        <f>TEXT(A479+1,"000")</f>
        <v>160</v>
      </c>
      <c r="B482" s="729"/>
      <c r="C482" s="8"/>
      <c r="D482" s="729"/>
      <c r="E482" s="8"/>
      <c r="F482" s="200" t="str">
        <f>"WP-"&amp;A482</f>
        <v>WP-160</v>
      </c>
      <c r="G482" s="200">
        <f>+INDEX(WP!$A:$AN,MATCH(F482,WP!$B:$B,0),MATCH("ID",WP!$A$2:$AN$2,0))</f>
        <v>400468</v>
      </c>
      <c r="I482" s="8"/>
      <c r="J482" s="180" t="s">
        <v>10762</v>
      </c>
      <c r="K482" s="201">
        <f>+INDEX(WP!$A:$AN,MATCH(F482,WP!$B:$B,0),14)</f>
        <v>5</v>
      </c>
      <c r="L482" s="202">
        <f>+INDEX(WP!$A:$AN,MATCH(F482,WP!$B:$B,0),15)</f>
        <v>150</v>
      </c>
      <c r="M482" s="202">
        <f>+INDEX(WP!$A:$AN,MATCH(F482,WP!$B:$B,0),16)</f>
        <v>90</v>
      </c>
      <c r="N482" s="202" t="e" vm="345">
        <f>IFERROR(_xlfn.IMAGE("https://natalie.tf/wp-content/uploads/2023/11/DLV3_Icon_Affinity_"&amp;O482&amp;".png"),"")</f>
        <v>#VALUE!</v>
      </c>
      <c r="O482" s="203" t="str">
        <f>+INDEX(WP!$A:$AN,MATCH(F482,WP!$B:$B,0),17)</f>
        <v>Staff</v>
      </c>
      <c r="P482" s="8" t="e" vm="322">
        <f>_xlfn.IMAGE("https://natalie.tf/wp-content/uploads/2023/10/DLV3_Icon_Ability_"&amp;INDEX('WP-A'!$A$1:$Z$498,MATCH('WP-Print'!Q482,'WP-A'!$A:$A,0),MATCH("Icon",'WP-A'!$A$1:$Z$1,0))&amp;".png")</f>
        <v>#VALUE!</v>
      </c>
      <c r="Q482" s="231" t="str">
        <f>+INDEX(WP!$A:$AN,MATCH(F482,WP!$B:$B,0),MATCH("Ability V3",WP!$A$2:$AN$2,0))</f>
        <v>(Staff) Skill Damage +40%</v>
      </c>
      <c r="R482" s="735"/>
    </row>
    <row r="483" spans="1:18" ht="7.5" customHeight="1" x14ac:dyDescent="0.2">
      <c r="A483" t="s">
        <v>10763</v>
      </c>
    </row>
    <row r="484" spans="1:18" ht="22.5" customHeight="1" x14ac:dyDescent="0.2">
      <c r="B484" s="729" t="e" vm="651">
        <f>_xlfn.IMAGE("https://natalie.tf/wp-content/uploads/2023/10/DLV3_Icon_WP_"&amp;G485&amp;"_01.png")</f>
        <v>#VALUE!</v>
      </c>
      <c r="D484" s="730" t="e" vm="652">
        <f>_xlfn.IMAGE("https://natalie.tf/wp-content/uploads/2023/10/DLV3_Icon_WP_"&amp;G485&amp;"_02.png")</f>
        <v>#VALUE!</v>
      </c>
      <c r="F484" s="717" t="str">
        <f>+INDEX(WP!$A:$AN,MATCH(F485,WP!$B:$B,0),MATCH("Name",WP!$A$2:$AN$2,0))</f>
        <v>Bloody Little Queen</v>
      </c>
      <c r="G484" s="718"/>
      <c r="H484" s="719"/>
      <c r="J484" s="180" t="s">
        <v>10761</v>
      </c>
      <c r="K484" s="201">
        <f>+INDEX(WP!$A:$AN,MATCH(F485,WP!$B:$B,0),5)</f>
        <v>5</v>
      </c>
      <c r="L484" s="202">
        <f>+INDEX(WP!$A:$AN,MATCH(F485,WP!$B:$B,0),6)</f>
        <v>88</v>
      </c>
      <c r="M484" s="202">
        <f>+INDEX(WP!$A:$AN,MATCH(F485,WP!$B:$B,0),7)</f>
        <v>32</v>
      </c>
      <c r="N484" s="202" t="str">
        <f ca="1">IFERROR(_xlfn.IMAGE("https://natalie.tf/wp-content/uploads/2023/11/DLV3_Icon_Affinity_"&amp;O484&amp;".png"),"")</f>
        <v/>
      </c>
      <c r="O484" s="203" t="str">
        <f>IF(INDEX(WP!$A:$AN,MATCH(F485,WP!$B:$B,0),8)=0,"None",INDEX(WP!$A:$AN,MATCH(F485,WP!$B:$B,0),8))</f>
        <v>None</v>
      </c>
      <c r="P484" s="8" t="e" vm="326">
        <f>_xlfn.IMAGE("https://natalie.tf/wp-content/uploads/2023/10/DLV3_Icon_Ability_"&amp;INDEX('WP-A'!$A$1:$Z$498,MATCH('WP-Print'!Q484,'WP-A'!$A:$A,0),MATCH("Icon",'WP-A'!$A$1:$Z$1,0))&amp;".png")</f>
        <v>#VALUE!</v>
      </c>
      <c r="Q484" s="231" t="str">
        <f>+INDEX(WP!$A:$AN,MATCH(F485,WP!$B:$B,0),MATCH("Ability",WP!$A$2:$AN$2,0))</f>
        <v>(Wand) Critical Rate +14%</v>
      </c>
      <c r="R484" s="734" t="str">
        <f>+INDEX(WP!$A:$AN,MATCH(F485,WP!$B:$B,0),MATCH("Obtain From",WP!$A$2:$AN$2,0))</f>
        <v>Clear Chronos Nyx Clash: Nightmare (Rage of Chronos)</v>
      </c>
    </row>
    <row r="485" spans="1:18" ht="22.5" customHeight="1" x14ac:dyDescent="0.2">
      <c r="A485" s="204" t="str">
        <f>TEXT(A482+1,"000")</f>
        <v>161</v>
      </c>
      <c r="B485" s="729"/>
      <c r="C485" s="8"/>
      <c r="D485" s="729"/>
      <c r="E485" s="8"/>
      <c r="F485" s="200" t="str">
        <f>"WP-"&amp;A485</f>
        <v>WP-161</v>
      </c>
      <c r="G485" s="200">
        <f>+INDEX(WP!$A:$AN,MATCH(F485,WP!$B:$B,0),MATCH("ID",WP!$A$2:$AN$2,0))</f>
        <v>400472</v>
      </c>
      <c r="I485" s="8"/>
      <c r="J485" s="180" t="s">
        <v>10762</v>
      </c>
      <c r="K485" s="201">
        <f>+INDEX(WP!$A:$AN,MATCH(F485,WP!$B:$B,0),14)</f>
        <v>5</v>
      </c>
      <c r="L485" s="202">
        <f>+INDEX(WP!$A:$AN,MATCH(F485,WP!$B:$B,0),15)</f>
        <v>150</v>
      </c>
      <c r="M485" s="202">
        <f>+INDEX(WP!$A:$AN,MATCH(F485,WP!$B:$B,0),16)</f>
        <v>90</v>
      </c>
      <c r="N485" s="202" t="e" vm="339">
        <f>IFERROR(_xlfn.IMAGE("https://natalie.tf/wp-content/uploads/2023/11/DLV3_Icon_Affinity_"&amp;O485&amp;".png"),"")</f>
        <v>#VALUE!</v>
      </c>
      <c r="O485" s="203" t="str">
        <f>+INDEX(WP!$A:$AN,MATCH(F485,WP!$B:$B,0),17)</f>
        <v>Sword</v>
      </c>
      <c r="P485" s="8" t="e" vm="326">
        <f>_xlfn.IMAGE("https://natalie.tf/wp-content/uploads/2023/10/DLV3_Icon_Ability_"&amp;INDEX('WP-A'!$A$1:$Z$498,MATCH('WP-Print'!Q485,'WP-A'!$A:$A,0),MATCH("Icon",'WP-A'!$A$1:$Z$1,0))&amp;".png")</f>
        <v>#VALUE!</v>
      </c>
      <c r="Q485" s="231" t="str">
        <f>+INDEX(WP!$A:$AN,MATCH(F485,WP!$B:$B,0),MATCH("Ability V3",WP!$A$2:$AN$2,0))</f>
        <v>(Wand) Critical Rate +15%</v>
      </c>
      <c r="R485" s="735"/>
    </row>
    <row r="486" spans="1:18" ht="7.5" customHeight="1" x14ac:dyDescent="0.2">
      <c r="A486" t="s">
        <v>10763</v>
      </c>
    </row>
    <row r="487" spans="1:18" ht="22.5" customHeight="1" x14ac:dyDescent="0.2">
      <c r="B487" s="729" t="e" vm="653">
        <f>_xlfn.IMAGE("https://natalie.tf/wp-content/uploads/2023/10/DLV3_Icon_WP_"&amp;G488&amp;"_01.png")</f>
        <v>#VALUE!</v>
      </c>
      <c r="D487" s="730" t="e" vm="654">
        <f>_xlfn.IMAGE("https://natalie.tf/wp-content/uploads/2023/10/DLV3_Icon_WP_"&amp;G488&amp;"_02.png")</f>
        <v>#VALUE!</v>
      </c>
      <c r="F487" s="717" t="str">
        <f>+INDEX(WP!$A:$AN,MATCH(F488,WP!$B:$B,0),MATCH("Name",WP!$A$2:$AN$2,0))</f>
        <v>Advent of the War God</v>
      </c>
      <c r="G487" s="718"/>
      <c r="H487" s="719"/>
      <c r="J487" s="180" t="s">
        <v>10761</v>
      </c>
      <c r="K487" s="201">
        <f>+INDEX(WP!$A:$AN,MATCH(F488,WP!$B:$B,0),5)</f>
        <v>5</v>
      </c>
      <c r="L487" s="202">
        <f>+INDEX(WP!$A:$AN,MATCH(F488,WP!$B:$B,0),6)</f>
        <v>88</v>
      </c>
      <c r="M487" s="202">
        <f>+INDEX(WP!$A:$AN,MATCH(F488,WP!$B:$B,0),7)</f>
        <v>32</v>
      </c>
      <c r="N487" s="202" t="str">
        <f ca="1">IFERROR(_xlfn.IMAGE("https://natalie.tf/wp-content/uploads/2023/11/DLV3_Icon_Affinity_"&amp;O487&amp;".png"),"")</f>
        <v/>
      </c>
      <c r="O487" s="203" t="str">
        <f>IF(INDEX(WP!$A:$AN,MATCH(F488,WP!$B:$B,0),8)=0,"None",INDEX(WP!$A:$AN,MATCH(F488,WP!$B:$B,0),8))</f>
        <v>None</v>
      </c>
      <c r="P487" s="8" t="e" vm="326">
        <f>_xlfn.IMAGE("https://natalie.tf/wp-content/uploads/2023/10/DLV3_Icon_Ability_"&amp;INDEX('WP-A'!$A$1:$Z$498,MATCH('WP-Print'!Q487,'WP-A'!$A:$A,0),MATCH("Icon",'WP-A'!$A$1:$Z$1,0))&amp;".png")</f>
        <v>#VALUE!</v>
      </c>
      <c r="Q487" s="231" t="str">
        <f>+INDEX(WP!$A:$AN,MATCH(F488,WP!$B:$B,0),MATCH("Ability",WP!$A$2:$AN$2,0))</f>
        <v>(Wind) Flurry Devastation +12%</v>
      </c>
      <c r="R487" s="734" t="str">
        <f>+INDEX(WP!$A:$AN,MATCH(F488,WP!$B:$B,0),MATCH("Obtain From",WP!$A$2:$AN$2,0))</f>
        <v>Clear Roar of the Mad Cyclone (Rage of Chronos)</v>
      </c>
    </row>
    <row r="488" spans="1:18" ht="22.5" customHeight="1" x14ac:dyDescent="0.2">
      <c r="A488" s="204" t="str">
        <f>TEXT(A485+1,"000")</f>
        <v>162</v>
      </c>
      <c r="B488" s="729"/>
      <c r="C488" s="8"/>
      <c r="D488" s="729"/>
      <c r="E488" s="8"/>
      <c r="F488" s="200" t="str">
        <f>"WP-"&amp;A488</f>
        <v>WP-162</v>
      </c>
      <c r="G488" s="200">
        <f>+INDEX(WP!$A:$AN,MATCH(F488,WP!$B:$B,0),MATCH("ID",WP!$A$2:$AN$2,0))</f>
        <v>400473</v>
      </c>
      <c r="I488" s="8"/>
      <c r="J488" s="180" t="s">
        <v>10762</v>
      </c>
      <c r="K488" s="201">
        <f>+INDEX(WP!$A:$AN,MATCH(F488,WP!$B:$B,0),14)</f>
        <v>5</v>
      </c>
      <c r="L488" s="202">
        <f>+INDEX(WP!$A:$AN,MATCH(F488,WP!$B:$B,0),15)</f>
        <v>150</v>
      </c>
      <c r="M488" s="202">
        <f>+INDEX(WP!$A:$AN,MATCH(F488,WP!$B:$B,0),16)</f>
        <v>90</v>
      </c>
      <c r="N488" s="202" t="e" vm="339">
        <f>IFERROR(_xlfn.IMAGE("https://natalie.tf/wp-content/uploads/2023/11/DLV3_Icon_Affinity_"&amp;O488&amp;".png"),"")</f>
        <v>#VALUE!</v>
      </c>
      <c r="O488" s="203" t="str">
        <f>+INDEX(WP!$A:$AN,MATCH(F488,WP!$B:$B,0),17)</f>
        <v>Sword</v>
      </c>
      <c r="P488" s="8" t="e" vm="326">
        <f>_xlfn.IMAGE("https://natalie.tf/wp-content/uploads/2023/10/DLV3_Icon_Ability_"&amp;INDEX('WP-A'!$A$1:$Z$498,MATCH('WP-Print'!Q488,'WP-A'!$A:$A,0),MATCH("Icon",'WP-A'!$A$1:$Z$1,0))&amp;".png")</f>
        <v>#VALUE!</v>
      </c>
      <c r="Q488" s="231" t="str">
        <f>+INDEX(WP!$A:$AN,MATCH(F488,WP!$B:$B,0),MATCH("Ability V3",WP!$A$2:$AN$2,0))</f>
        <v>(Wind) Flurry Devastation +15%</v>
      </c>
      <c r="R488" s="735"/>
    </row>
    <row r="489" spans="1:18" ht="7.5" customHeight="1" x14ac:dyDescent="0.2">
      <c r="A489" t="s">
        <v>10763</v>
      </c>
    </row>
    <row r="490" spans="1:18" ht="22.5" customHeight="1" x14ac:dyDescent="0.2">
      <c r="B490" s="729" t="e" vm="655">
        <f>_xlfn.IMAGE("https://natalie.tf/wp-content/uploads/2023/10/DLV3_Icon_WP_"&amp;G491&amp;"_01.png")</f>
        <v>#VALUE!</v>
      </c>
      <c r="D490" s="730" t="e" vm="656">
        <f>_xlfn.IMAGE("https://natalie.tf/wp-content/uploads/2023/10/DLV3_Icon_WP_"&amp;G491&amp;"_02.png")</f>
        <v>#VALUE!</v>
      </c>
      <c r="F490" s="717" t="str">
        <f>+INDEX(WP!$A:$AN,MATCH(F491,WP!$B:$B,0),MATCH("Name",WP!$A$2:$AN$2,0))</f>
        <v>Initio's Sentinel</v>
      </c>
      <c r="G490" s="718"/>
      <c r="H490" s="719"/>
      <c r="J490" s="180" t="s">
        <v>10761</v>
      </c>
      <c r="K490" s="201">
        <f>+INDEX(WP!$A:$AN,MATCH(F491,WP!$B:$B,0),5)</f>
        <v>5</v>
      </c>
      <c r="L490" s="202">
        <f>+INDEX(WP!$A:$AN,MATCH(F491,WP!$B:$B,0),6)</f>
        <v>75</v>
      </c>
      <c r="M490" s="202">
        <f>+INDEX(WP!$A:$AN,MATCH(F491,WP!$B:$B,0),7)</f>
        <v>28</v>
      </c>
      <c r="N490" s="202" t="e" vm="345">
        <f>IFERROR(_xlfn.IMAGE("https://natalie.tf/wp-content/uploads/2023/11/DLV3_Icon_Affinity_"&amp;O490&amp;".png"),"")</f>
        <v>#VALUE!</v>
      </c>
      <c r="O490" s="203" t="str">
        <f>IF(INDEX(WP!$A:$AN,MATCH(F491,WP!$B:$B,0),8)=0,"None",INDEX(WP!$A:$AN,MATCH(F491,WP!$B:$B,0),8))</f>
        <v>Staff</v>
      </c>
      <c r="P490" s="8" t="e" vm="414">
        <f>_xlfn.IMAGE("https://natalie.tf/wp-content/uploads/2023/10/DLV3_Icon_Ability_"&amp;INDEX('WP-A'!$A$1:$Z$498,MATCH('WP-Print'!Q490,'WP-A'!$A:$A,0),MATCH("Icon",'WP-A'!$A$1:$Z$1,0))&amp;".png")</f>
        <v>#VALUE!</v>
      </c>
      <c r="Q490" s="231" t="str">
        <f>+INDEX(WP!$A:$AN,MATCH(F491,WP!$B:$B,0),MATCH("Ability",WP!$A$2:$AN$2,0))</f>
        <v>(Bow) Critical Damage +25%</v>
      </c>
      <c r="R490" s="734" t="str">
        <f>+INDEX(WP!$A:$AN,MATCH(F491,WP!$B:$B,0),MATCH("Obtain From",WP!$A$2:$AN$2,0))</f>
        <v>Clear an Invasion on Standard (The Children of Yggdrasil)</v>
      </c>
    </row>
    <row r="491" spans="1:18" ht="22.5" customHeight="1" x14ac:dyDescent="0.2">
      <c r="A491" s="204" t="str">
        <f>TEXT(A488+1,"000")</f>
        <v>163</v>
      </c>
      <c r="B491" s="729"/>
      <c r="C491" s="8"/>
      <c r="D491" s="729"/>
      <c r="E491" s="8"/>
      <c r="F491" s="200" t="str">
        <f>"WP-"&amp;A491</f>
        <v>WP-163</v>
      </c>
      <c r="G491" s="200">
        <f>+INDEX(WP!$A:$AN,MATCH(F491,WP!$B:$B,0),MATCH("ID",WP!$A$2:$AN$2,0))</f>
        <v>400474</v>
      </c>
      <c r="I491" s="8"/>
      <c r="J491" s="180" t="s">
        <v>10762</v>
      </c>
      <c r="K491" s="201">
        <f>+INDEX(WP!$A:$AN,MATCH(F491,WP!$B:$B,0),14)</f>
        <v>5</v>
      </c>
      <c r="L491" s="202">
        <f>+INDEX(WP!$A:$AN,MATCH(F491,WP!$B:$B,0),15)</f>
        <v>150</v>
      </c>
      <c r="M491" s="202">
        <f>+INDEX(WP!$A:$AN,MATCH(F491,WP!$B:$B,0),16)</f>
        <v>90</v>
      </c>
      <c r="N491" s="202" t="e" vm="345">
        <f>IFERROR(_xlfn.IMAGE("https://natalie.tf/wp-content/uploads/2023/11/DLV3_Icon_Affinity_"&amp;O491&amp;".png"),"")</f>
        <v>#VALUE!</v>
      </c>
      <c r="O491" s="203" t="str">
        <f>+INDEX(WP!$A:$AN,MATCH(F491,WP!$B:$B,0),17)</f>
        <v>Staff</v>
      </c>
      <c r="P491" s="8" t="e" vm="414">
        <f>_xlfn.IMAGE("https://natalie.tf/wp-content/uploads/2023/10/DLV3_Icon_Ability_"&amp;INDEX('WP-A'!$A$1:$Z$498,MATCH('WP-Print'!Q491,'WP-A'!$A:$A,0),MATCH("Icon",'WP-A'!$A$1:$Z$1,0))&amp;".png")</f>
        <v>#VALUE!</v>
      </c>
      <c r="Q491" s="231" t="str">
        <f>+INDEX(WP!$A:$AN,MATCH(F491,WP!$B:$B,0),MATCH("Ability V3",WP!$A$2:$AN$2,0))</f>
        <v>(Bow) Critical Damage +25%</v>
      </c>
      <c r="R491" s="735"/>
    </row>
    <row r="492" spans="1:18" ht="7.5" customHeight="1" x14ac:dyDescent="0.2">
      <c r="A492" t="s">
        <v>10763</v>
      </c>
    </row>
    <row r="493" spans="1:18" ht="22.5" customHeight="1" x14ac:dyDescent="0.2">
      <c r="B493" s="729" t="e" vm="657">
        <f>_xlfn.IMAGE("https://natalie.tf/wp-content/uploads/2023/10/DLV3_Icon_WP_"&amp;G494&amp;"_01.png")</f>
        <v>#VALUE!</v>
      </c>
      <c r="D493" s="730" t="e" vm="658">
        <f>_xlfn.IMAGE("https://natalie.tf/wp-content/uploads/2023/10/DLV3_Icon_WP_"&amp;G494&amp;"_02.png")</f>
        <v>#VALUE!</v>
      </c>
      <c r="F493" s="717" t="str">
        <f>+INDEX(WP!$A:$AN,MATCH(F494,WP!$B:$B,0),MATCH("Name",WP!$A$2:$AN$2,0))</f>
        <v>A Rainy Day</v>
      </c>
      <c r="G493" s="718"/>
      <c r="H493" s="719"/>
      <c r="J493" s="180" t="s">
        <v>10761</v>
      </c>
      <c r="K493" s="201">
        <f>+INDEX(WP!$A:$AN,MATCH(F494,WP!$B:$B,0),5)</f>
        <v>5</v>
      </c>
      <c r="L493" s="202">
        <f>+INDEX(WP!$A:$AN,MATCH(F494,WP!$B:$B,0),6)</f>
        <v>88</v>
      </c>
      <c r="M493" s="202">
        <f>+INDEX(WP!$A:$AN,MATCH(F494,WP!$B:$B,0),7)</f>
        <v>32</v>
      </c>
      <c r="N493" s="202" t="e" vm="381">
        <f>IFERROR(_xlfn.IMAGE("https://natalie.tf/wp-content/uploads/2023/11/DLV3_Icon_Affinity_"&amp;O493&amp;".png"),"")</f>
        <v>#VALUE!</v>
      </c>
      <c r="O493" s="203" t="str">
        <f>IF(INDEX(WP!$A:$AN,MATCH(F494,WP!$B:$B,0),8)=0,"None",INDEX(WP!$A:$AN,MATCH(F494,WP!$B:$B,0),8))</f>
        <v>Dragon</v>
      </c>
      <c r="P493" s="8" t="e" vm="6">
        <f>_xlfn.IMAGE("https://natalie.tf/wp-content/uploads/2023/10/DLV3_Icon_Ability_"&amp;INDEX('WP-A'!$A$1:$Z$498,MATCH('WP-Print'!Q493,'WP-A'!$A:$A,0),MATCH("Icon",'WP-A'!$A$1:$Z$1,0))&amp;".png")</f>
        <v>#VALUE!</v>
      </c>
      <c r="Q493" s="231" t="str">
        <f>+INDEX(WP!$A:$AN,MATCH(F494,WP!$B:$B,0),MATCH("Ability",WP!$A$2:$AN$2,0))</f>
        <v>Gauge Accelerator +35%</v>
      </c>
      <c r="R493" s="734" t="str">
        <f>+INDEX(WP!$A:$AN,MATCH(F494,WP!$B:$B,0),MATCH("Obtain From",WP!$A$2:$AN$2,0))</f>
        <v>Obtain From Ch. 08 EX 2 Chest (Hard) (Non-Endeavor)</v>
      </c>
    </row>
    <row r="494" spans="1:18" ht="22.5" customHeight="1" x14ac:dyDescent="0.2">
      <c r="A494" s="204" t="str">
        <f>TEXT(A491+1,"000")</f>
        <v>164</v>
      </c>
      <c r="B494" s="729"/>
      <c r="C494" s="8"/>
      <c r="D494" s="729"/>
      <c r="E494" s="8"/>
      <c r="F494" s="200" t="str">
        <f>"WP-"&amp;A494</f>
        <v>WP-164</v>
      </c>
      <c r="G494" s="200">
        <f>+INDEX(WP!$A:$AN,MATCH(F494,WP!$B:$B,0),MATCH("ID",WP!$A$2:$AN$2,0))</f>
        <v>400475</v>
      </c>
      <c r="I494" s="8"/>
      <c r="J494" s="180" t="s">
        <v>10762</v>
      </c>
      <c r="K494" s="201">
        <f>+INDEX(WP!$A:$AN,MATCH(F494,WP!$B:$B,0),14)</f>
        <v>5</v>
      </c>
      <c r="L494" s="202">
        <f>+INDEX(WP!$A:$AN,MATCH(F494,WP!$B:$B,0),15)</f>
        <v>150</v>
      </c>
      <c r="M494" s="202">
        <f>+INDEX(WP!$A:$AN,MATCH(F494,WP!$B:$B,0),16)</f>
        <v>90</v>
      </c>
      <c r="N494" s="202" t="e" vm="381">
        <f>IFERROR(_xlfn.IMAGE("https://natalie.tf/wp-content/uploads/2023/11/DLV3_Icon_Affinity_"&amp;O494&amp;".png"),"")</f>
        <v>#VALUE!</v>
      </c>
      <c r="O494" s="203" t="str">
        <f>+INDEX(WP!$A:$AN,MATCH(F494,WP!$B:$B,0),17)</f>
        <v>Dragon</v>
      </c>
      <c r="P494" s="8" t="e" vm="6">
        <f>_xlfn.IMAGE("https://natalie.tf/wp-content/uploads/2023/10/DLV3_Icon_Ability_"&amp;INDEX('WP-A'!$A$1:$Z$498,MATCH('WP-Print'!Q494,'WP-A'!$A:$A,0),MATCH("Icon",'WP-A'!$A$1:$Z$1,0))&amp;".png")</f>
        <v>#VALUE!</v>
      </c>
      <c r="Q494" s="231" t="str">
        <f>+INDEX(WP!$A:$AN,MATCH(F494,WP!$B:$B,0),MATCH("Ability V3",WP!$A$2:$AN$2,0))</f>
        <v>Gauge Accelerator +35%</v>
      </c>
      <c r="R494" s="735"/>
    </row>
    <row r="495" spans="1:18" ht="7.5" customHeight="1" x14ac:dyDescent="0.2">
      <c r="A495" t="s">
        <v>10763</v>
      </c>
    </row>
    <row r="496" spans="1:18" ht="22.5" customHeight="1" x14ac:dyDescent="0.2">
      <c r="B496" s="729" t="e" vm="659">
        <f>_xlfn.IMAGE("https://natalie.tf/wp-content/uploads/2023/10/DLV3_Icon_WP_"&amp;G497&amp;"_01.png")</f>
        <v>#VALUE!</v>
      </c>
      <c r="D496" s="730" t="e" vm="660">
        <f>_xlfn.IMAGE("https://natalie.tf/wp-content/uploads/2023/10/DLV3_Icon_WP_"&amp;G497&amp;"_02.png")</f>
        <v>#VALUE!</v>
      </c>
      <c r="F496" s="717" t="str">
        <f>+INDEX(WP!$A:$AN,MATCH(F497,WP!$B:$B,0),MATCH("Name",WP!$A$2:$AN$2,0))</f>
        <v>Super Soaking Androids</v>
      </c>
      <c r="G496" s="718"/>
      <c r="H496" s="719"/>
      <c r="J496" s="180" t="s">
        <v>10761</v>
      </c>
      <c r="K496" s="201">
        <f>+INDEX(WP!$A:$AN,MATCH(F497,WP!$B:$B,0),5)</f>
        <v>5</v>
      </c>
      <c r="L496" s="202">
        <f>+INDEX(WP!$A:$AN,MATCH(F497,WP!$B:$B,0),6)</f>
        <v>88</v>
      </c>
      <c r="M496" s="202">
        <f>+INDEX(WP!$A:$AN,MATCH(F497,WP!$B:$B,0),7)</f>
        <v>32</v>
      </c>
      <c r="N496" s="202" t="str">
        <f ca="1">IFERROR(_xlfn.IMAGE("https://natalie.tf/wp-content/uploads/2023/11/DLV3_Icon_Affinity_"&amp;O496&amp;".png"),"")</f>
        <v/>
      </c>
      <c r="O496" s="203" t="str">
        <f>IF(INDEX(WP!$A:$AN,MATCH(F497,WP!$B:$B,0),8)=0,"None",INDEX(WP!$A:$AN,MATCH(F497,WP!$B:$B,0),8))</f>
        <v>None</v>
      </c>
      <c r="P496" s="8" t="e" vm="414">
        <f>_xlfn.IMAGE("https://natalie.tf/wp-content/uploads/2023/10/DLV3_Icon_Ability_"&amp;INDEX('WP-A'!$A$1:$Z$498,MATCH('WP-Print'!Q496,'WP-A'!$A:$A,0),MATCH("Icon",'WP-A'!$A$1:$Z$1,0))&amp;".png")</f>
        <v>#VALUE!</v>
      </c>
      <c r="Q496" s="231" t="str">
        <f>+INDEX(WP!$A:$AN,MATCH(F497,WP!$B:$B,0),MATCH("Ability",WP!$A$2:$AN$2,0))</f>
        <v>Critical Damage Doublebuff +15%</v>
      </c>
      <c r="R496" s="734" t="str">
        <f>+INDEX(WP!$A:$AN,MATCH(F497,WP!$B:$B,0),MATCH("Obtain From",WP!$A$2:$AN$2,0))</f>
        <v>Clear a Boss Battle on Beginner (Toll of the Deep)</v>
      </c>
    </row>
    <row r="497" spans="1:18" ht="22.5" customHeight="1" x14ac:dyDescent="0.2">
      <c r="A497" s="204" t="str">
        <f>TEXT(A494+1,"000")</f>
        <v>165</v>
      </c>
      <c r="B497" s="729"/>
      <c r="C497" s="8"/>
      <c r="D497" s="729"/>
      <c r="E497" s="8"/>
      <c r="F497" s="200" t="str">
        <f>"WP-"&amp;A497</f>
        <v>WP-165</v>
      </c>
      <c r="G497" s="200">
        <f>+INDEX(WP!$A:$AN,MATCH(F497,WP!$B:$B,0),MATCH("ID",WP!$A$2:$AN$2,0))</f>
        <v>400478</v>
      </c>
      <c r="I497" s="8"/>
      <c r="J497" s="180" t="s">
        <v>10762</v>
      </c>
      <c r="K497" s="201">
        <f>+INDEX(WP!$A:$AN,MATCH(F497,WP!$B:$B,0),14)</f>
        <v>5</v>
      </c>
      <c r="L497" s="202">
        <f>+INDEX(WP!$A:$AN,MATCH(F497,WP!$B:$B,0),15)</f>
        <v>150</v>
      </c>
      <c r="M497" s="202">
        <f>+INDEX(WP!$A:$AN,MATCH(F497,WP!$B:$B,0),16)</f>
        <v>90</v>
      </c>
      <c r="N497" s="202" t="e" vm="354">
        <f>IFERROR(_xlfn.IMAGE("https://natalie.tf/wp-content/uploads/2023/11/DLV3_Icon_Affinity_"&amp;O497&amp;".png"),"")</f>
        <v>#VALUE!</v>
      </c>
      <c r="O497" s="203" t="str">
        <f>+INDEX(WP!$A:$AN,MATCH(F497,WP!$B:$B,0),17)</f>
        <v>Butterfly</v>
      </c>
      <c r="P497" s="8" t="e" vm="414">
        <f>_xlfn.IMAGE("https://natalie.tf/wp-content/uploads/2023/10/DLV3_Icon_Ability_"&amp;INDEX('WP-A'!$A$1:$Z$498,MATCH('WP-Print'!Q497,'WP-A'!$A:$A,0),MATCH("Icon",'WP-A'!$A$1:$Z$1,0))&amp;".png")</f>
        <v>#VALUE!</v>
      </c>
      <c r="Q497" s="231" t="str">
        <f>+INDEX(WP!$A:$AN,MATCH(F497,WP!$B:$B,0),MATCH("Ability V3",WP!$A$2:$AN$2,0))</f>
        <v>Critical Damage Doublebuff +15%</v>
      </c>
      <c r="R497" s="735"/>
    </row>
    <row r="498" spans="1:18" ht="7.5" customHeight="1" x14ac:dyDescent="0.2">
      <c r="A498" t="s">
        <v>10763</v>
      </c>
    </row>
    <row r="499" spans="1:18" ht="22.5" customHeight="1" x14ac:dyDescent="0.2">
      <c r="B499" s="729" t="e" vm="661">
        <f>_xlfn.IMAGE("https://natalie.tf/wp-content/uploads/2023/10/DLV3_Icon_WP_"&amp;G500&amp;"_01.png")</f>
        <v>#VALUE!</v>
      </c>
      <c r="D499" s="730" t="e" vm="662">
        <f>_xlfn.IMAGE("https://natalie.tf/wp-content/uploads/2023/10/DLV3_Icon_WP_"&amp;G500&amp;"_02.png")</f>
        <v>#VALUE!</v>
      </c>
      <c r="F499" s="717" t="str">
        <f>+INDEX(WP!$A:$AN,MATCH(F500,WP!$B:$B,0),MATCH("Name",WP!$A$2:$AN$2,0))</f>
        <v>Superior Summer</v>
      </c>
      <c r="G499" s="718"/>
      <c r="H499" s="719"/>
      <c r="J499" s="180" t="s">
        <v>10761</v>
      </c>
      <c r="K499" s="201">
        <f>+INDEX(WP!$A:$AN,MATCH(F500,WP!$B:$B,0),5)</f>
        <v>5</v>
      </c>
      <c r="L499" s="202">
        <f>+INDEX(WP!$A:$AN,MATCH(F500,WP!$B:$B,0),6)</f>
        <v>75</v>
      </c>
      <c r="M499" s="202">
        <f>+INDEX(WP!$A:$AN,MATCH(F500,WP!$B:$B,0),7)</f>
        <v>28</v>
      </c>
      <c r="N499" s="202" t="e" vm="346">
        <f>IFERROR(_xlfn.IMAGE("https://natalie.tf/wp-content/uploads/2023/11/DLV3_Icon_Affinity_"&amp;O499&amp;".png"),"")</f>
        <v>#VALUE!</v>
      </c>
      <c r="O499" s="203" t="str">
        <f>IF(INDEX(WP!$A:$AN,MATCH(F500,WP!$B:$B,0),8)=0,"None",INDEX(WP!$A:$AN,MATCH(F500,WP!$B:$B,0),8))</f>
        <v>Bull</v>
      </c>
      <c r="P499" s="8" t="e" vm="411">
        <f>_xlfn.IMAGE("https://natalie.tf/wp-content/uploads/2023/10/DLV3_Icon_Ability_"&amp;INDEX('WP-A'!$A$1:$Z$498,MATCH('WP-Print'!Q499,'WP-A'!$A:$A,0),MATCH("Icon",'WP-A'!$A$1:$Z$1,0))&amp;".png")</f>
        <v>#VALUE!</v>
      </c>
      <c r="Q499" s="231" t="str">
        <f>+INDEX(WP!$A:$AN,MATCH(F500,WP!$B:$B,0),MATCH("Ability",WP!$A$2:$AN$2,0))</f>
        <v>Skill Prep +50%</v>
      </c>
      <c r="R499" s="734" t="str">
        <f>+INDEX(WP!$A:$AN,MATCH(F500,WP!$B:$B,0),MATCH("Obtain From",WP!$A$2:$AN$2,0))</f>
        <v>Clear Survival Island (Stranded Scions)</v>
      </c>
    </row>
    <row r="500" spans="1:18" ht="22.5" customHeight="1" x14ac:dyDescent="0.2">
      <c r="A500" s="204" t="str">
        <f>TEXT(A497+1,"000")</f>
        <v>166</v>
      </c>
      <c r="B500" s="729"/>
      <c r="C500" s="8"/>
      <c r="D500" s="729"/>
      <c r="E500" s="8"/>
      <c r="F500" s="200" t="str">
        <f>"WP-"&amp;A500</f>
        <v>WP-166</v>
      </c>
      <c r="G500" s="200">
        <f>+INDEX(WP!$A:$AN,MATCH(F500,WP!$B:$B,0),MATCH("ID",WP!$A$2:$AN$2,0))</f>
        <v>400479</v>
      </c>
      <c r="I500" s="8"/>
      <c r="J500" s="180" t="s">
        <v>10762</v>
      </c>
      <c r="K500" s="201">
        <f>+INDEX(WP!$A:$AN,MATCH(F500,WP!$B:$B,0),14)</f>
        <v>5</v>
      </c>
      <c r="L500" s="202">
        <f>+INDEX(WP!$A:$AN,MATCH(F500,WP!$B:$B,0),15)</f>
        <v>150</v>
      </c>
      <c r="M500" s="202">
        <f>+INDEX(WP!$A:$AN,MATCH(F500,WP!$B:$B,0),16)</f>
        <v>90</v>
      </c>
      <c r="N500" s="202" t="e" vm="346">
        <f>IFERROR(_xlfn.IMAGE("https://natalie.tf/wp-content/uploads/2023/11/DLV3_Icon_Affinity_"&amp;O500&amp;".png"),"")</f>
        <v>#VALUE!</v>
      </c>
      <c r="O500" s="203" t="str">
        <f>+INDEX(WP!$A:$AN,MATCH(F500,WP!$B:$B,0),17)</f>
        <v>Bull</v>
      </c>
      <c r="P500" s="8" t="e" vm="411">
        <f>_xlfn.IMAGE("https://natalie.tf/wp-content/uploads/2023/10/DLV3_Icon_Ability_"&amp;INDEX('WP-A'!$A$1:$Z$498,MATCH('WP-Print'!Q500,'WP-A'!$A:$A,0),MATCH("Icon",'WP-A'!$A$1:$Z$1,0))&amp;".png")</f>
        <v>#VALUE!</v>
      </c>
      <c r="Q500" s="231" t="str">
        <f>+INDEX(WP!$A:$AN,MATCH(F500,WP!$B:$B,0),MATCH("Ability V3",WP!$A$2:$AN$2,0))</f>
        <v>Skill Prep +50%</v>
      </c>
      <c r="R500" s="735"/>
    </row>
    <row r="501" spans="1:18" ht="7.5" customHeight="1" x14ac:dyDescent="0.2">
      <c r="A501" t="s">
        <v>10763</v>
      </c>
    </row>
    <row r="502" spans="1:18" ht="22.5" customHeight="1" x14ac:dyDescent="0.2">
      <c r="B502" s="729" t="e" vm="663">
        <f>_xlfn.IMAGE("https://natalie.tf/wp-content/uploads/2023/10/DLV3_Icon_WP_"&amp;G503&amp;"_01.png")</f>
        <v>#VALUE!</v>
      </c>
      <c r="D502" s="730" t="e" vm="664">
        <f>_xlfn.IMAGE("https://natalie.tf/wp-content/uploads/2023/10/DLV3_Icon_WP_"&amp;G503&amp;"_02.png")</f>
        <v>#VALUE!</v>
      </c>
      <c r="F502" s="717" t="str">
        <f>+INDEX(WP!$A:$AN,MATCH(F503,WP!$B:$B,0),MATCH("Name",WP!$A$2:$AN$2,0))</f>
        <v>In the Limelight</v>
      </c>
      <c r="G502" s="718"/>
      <c r="H502" s="719"/>
      <c r="J502" s="180" t="s">
        <v>10761</v>
      </c>
      <c r="K502" s="201">
        <f>+INDEX(WP!$A:$AN,MATCH(F503,WP!$B:$B,0),5)</f>
        <v>5</v>
      </c>
      <c r="L502" s="202">
        <f>+INDEX(WP!$A:$AN,MATCH(F503,WP!$B:$B,0),6)</f>
        <v>88</v>
      </c>
      <c r="M502" s="202">
        <f>+INDEX(WP!$A:$AN,MATCH(F503,WP!$B:$B,0),7)</f>
        <v>32</v>
      </c>
      <c r="N502" s="202" t="e" vm="345">
        <f>IFERROR(_xlfn.IMAGE("https://natalie.tf/wp-content/uploads/2023/11/DLV3_Icon_Affinity_"&amp;O502&amp;".png"),"")</f>
        <v>#VALUE!</v>
      </c>
      <c r="O502" s="203" t="str">
        <f>IF(INDEX(WP!$A:$AN,MATCH(F503,WP!$B:$B,0),8)=0,"None",INDEX(WP!$A:$AN,MATCH(F503,WP!$B:$B,0),8))</f>
        <v>Staff</v>
      </c>
      <c r="P502" s="8" t="e" vm="635">
        <f>_xlfn.IMAGE("https://natalie.tf/wp-content/uploads/2023/10/DLV3_Icon_Ability_"&amp;INDEX('WP-A'!$A$1:$Z$498,MATCH('WP-Print'!Q502,'WP-A'!$A:$A,0),MATCH("Icon",'WP-A'!$A$1:$Z$1,0))&amp;".png")</f>
        <v>#VALUE!</v>
      </c>
      <c r="Q502" s="231" t="str">
        <f>+INDEX(WP!$A:$AN,MATCH(F503,WP!$B:$B,0),MATCH("Ability",WP!$A$2:$AN$2,0))</f>
        <v>Scorchrent Punisher +25%</v>
      </c>
      <c r="R502" s="734" t="str">
        <f>+INDEX(WP!$A:$AN,MATCH(F503,WP!$B:$B,0),MATCH("Obtain From",WP!$A$2:$AN$2,0))</f>
        <v>Clear Kanaloa Clash: Nightmare (Stranded Scions)</v>
      </c>
    </row>
    <row r="503" spans="1:18" ht="22.5" customHeight="1" x14ac:dyDescent="0.2">
      <c r="A503" s="204" t="str">
        <f>TEXT(A500+1,"000")</f>
        <v>167</v>
      </c>
      <c r="B503" s="729"/>
      <c r="C503" s="8"/>
      <c r="D503" s="729"/>
      <c r="E503" s="8"/>
      <c r="F503" s="200" t="str">
        <f>"WP-"&amp;A503</f>
        <v>WP-167</v>
      </c>
      <c r="G503" s="200">
        <f>+INDEX(WP!$A:$AN,MATCH(F503,WP!$B:$B,0),MATCH("ID",WP!$A$2:$AN$2,0))</f>
        <v>400405</v>
      </c>
      <c r="I503" s="8"/>
      <c r="J503" s="180" t="s">
        <v>10762</v>
      </c>
      <c r="K503" s="201">
        <f>+INDEX(WP!$A:$AN,MATCH(F503,WP!$B:$B,0),14)</f>
        <v>5</v>
      </c>
      <c r="L503" s="202">
        <f>+INDEX(WP!$A:$AN,MATCH(F503,WP!$B:$B,0),15)</f>
        <v>150</v>
      </c>
      <c r="M503" s="202">
        <f>+INDEX(WP!$A:$AN,MATCH(F503,WP!$B:$B,0),16)</f>
        <v>90</v>
      </c>
      <c r="N503" s="202" t="e" vm="354">
        <f>IFERROR(_xlfn.IMAGE("https://natalie.tf/wp-content/uploads/2023/11/DLV3_Icon_Affinity_"&amp;O503&amp;".png"),"")</f>
        <v>#VALUE!</v>
      </c>
      <c r="O503" s="203" t="str">
        <f>+INDEX(WP!$A:$AN,MATCH(F503,WP!$B:$B,0),17)</f>
        <v>Butterfly</v>
      </c>
      <c r="P503" s="8" t="e" vm="635">
        <f>_xlfn.IMAGE("https://natalie.tf/wp-content/uploads/2023/10/DLV3_Icon_Ability_"&amp;INDEX('WP-A'!$A$1:$Z$498,MATCH('WP-Print'!Q503,'WP-A'!$A:$A,0),MATCH("Icon",'WP-A'!$A$1:$Z$1,0))&amp;".png")</f>
        <v>#VALUE!</v>
      </c>
      <c r="Q503" s="231" t="str">
        <f>+INDEX(WP!$A:$AN,MATCH(F503,WP!$B:$B,0),MATCH("Ability V3",WP!$A$2:$AN$2,0))</f>
        <v>Scorchrent Punisher +25%</v>
      </c>
      <c r="R503" s="735"/>
    </row>
    <row r="504" spans="1:18" ht="7.5" customHeight="1" x14ac:dyDescent="0.2">
      <c r="A504" t="s">
        <v>10763</v>
      </c>
    </row>
    <row r="505" spans="1:18" ht="22.5" customHeight="1" x14ac:dyDescent="0.2">
      <c r="B505" s="729" t="e" vm="665">
        <f>_xlfn.IMAGE("https://natalie.tf/wp-content/uploads/2023/10/DLV3_Icon_WP_"&amp;G506&amp;"_01.png")</f>
        <v>#VALUE!</v>
      </c>
      <c r="D505" s="730" t="e" vm="666">
        <f>_xlfn.IMAGE("https://natalie.tf/wp-content/uploads/2023/10/DLV3_Icon_WP_"&amp;G506&amp;"_02.png")</f>
        <v>#VALUE!</v>
      </c>
      <c r="F505" s="717" t="str">
        <f>+INDEX(WP!$A:$AN,MATCH(F506,WP!$B:$B,0),MATCH("Name",WP!$A$2:$AN$2,0))</f>
        <v>One-Winged Journey</v>
      </c>
      <c r="G505" s="718"/>
      <c r="H505" s="719"/>
      <c r="J505" s="180" t="s">
        <v>10761</v>
      </c>
      <c r="K505" s="201">
        <f>+INDEX(WP!$A:$AN,MATCH(F506,WP!$B:$B,0),5)</f>
        <v>5</v>
      </c>
      <c r="L505" s="202">
        <f>+INDEX(WP!$A:$AN,MATCH(F506,WP!$B:$B,0),6)</f>
        <v>75</v>
      </c>
      <c r="M505" s="202">
        <f>+INDEX(WP!$A:$AN,MATCH(F506,WP!$B:$B,0),7)</f>
        <v>28</v>
      </c>
      <c r="N505" s="202" t="str">
        <f ca="1">IFERROR(_xlfn.IMAGE("https://natalie.tf/wp-content/uploads/2023/11/DLV3_Icon_Affinity_"&amp;O505&amp;".png"),"")</f>
        <v/>
      </c>
      <c r="O505" s="203" t="str">
        <f>IF(INDEX(WP!$A:$AN,MATCH(F506,WP!$B:$B,0),8)=0,"None",INDEX(WP!$A:$AN,MATCH(F506,WP!$B:$B,0),8))</f>
        <v>None</v>
      </c>
      <c r="P505" s="8" t="e" vm="322">
        <f>_xlfn.IMAGE("https://natalie.tf/wp-content/uploads/2023/10/DLV3_Icon_Ability_"&amp;INDEX('WP-A'!$A$1:$Z$498,MATCH('WP-Print'!Q505,'WP-A'!$A:$A,0),MATCH("Icon",'WP-A'!$A$1:$Z$1,0))&amp;".png")</f>
        <v>#VALUE!</v>
      </c>
      <c r="Q505" s="231" t="str">
        <f>+INDEX(WP!$A:$AN,MATCH(F506,WP!$B:$B,0),MATCH("Ability",WP!$A$2:$AN$2,0))</f>
        <v>(Blade) Skill Damage +40%</v>
      </c>
      <c r="R505" s="734" t="str">
        <f>+INDEX(WP!$A:$AN,MATCH(F506,WP!$B:$B,0),MATCH("Obtain From",WP!$A$2:$AN$2,0))</f>
        <v>Clear an Invasion on Standard (Knights of Alberia)</v>
      </c>
    </row>
    <row r="506" spans="1:18" ht="22.5" customHeight="1" x14ac:dyDescent="0.2">
      <c r="A506" s="204" t="str">
        <f>TEXT(A503+1,"000")</f>
        <v>168</v>
      </c>
      <c r="B506" s="729"/>
      <c r="C506" s="8"/>
      <c r="D506" s="729"/>
      <c r="E506" s="8"/>
      <c r="F506" s="200" t="str">
        <f>"WP-"&amp;A506</f>
        <v>WP-168</v>
      </c>
      <c r="G506" s="200">
        <f>+INDEX(WP!$A:$AN,MATCH(F506,WP!$B:$B,0),MATCH("ID",WP!$A$2:$AN$2,0))</f>
        <v>400481</v>
      </c>
      <c r="I506" s="8"/>
      <c r="J506" s="180" t="s">
        <v>10762</v>
      </c>
      <c r="K506" s="201">
        <f>+INDEX(WP!$A:$AN,MATCH(F506,WP!$B:$B,0),14)</f>
        <v>5</v>
      </c>
      <c r="L506" s="202">
        <f>+INDEX(WP!$A:$AN,MATCH(F506,WP!$B:$B,0),15)</f>
        <v>150</v>
      </c>
      <c r="M506" s="202">
        <f>+INDEX(WP!$A:$AN,MATCH(F506,WP!$B:$B,0),16)</f>
        <v>90</v>
      </c>
      <c r="N506" s="202" t="e" vm="381">
        <f>IFERROR(_xlfn.IMAGE("https://natalie.tf/wp-content/uploads/2023/11/DLV3_Icon_Affinity_"&amp;O506&amp;".png"),"")</f>
        <v>#VALUE!</v>
      </c>
      <c r="O506" s="203" t="str">
        <f>+INDEX(WP!$A:$AN,MATCH(F506,WP!$B:$B,0),17)</f>
        <v>Dragon</v>
      </c>
      <c r="P506" s="8" t="e" vm="322">
        <f>_xlfn.IMAGE("https://natalie.tf/wp-content/uploads/2023/10/DLV3_Icon_Ability_"&amp;INDEX('WP-A'!$A$1:$Z$498,MATCH('WP-Print'!Q506,'WP-A'!$A:$A,0),MATCH("Icon",'WP-A'!$A$1:$Z$1,0))&amp;".png")</f>
        <v>#VALUE!</v>
      </c>
      <c r="Q506" s="231" t="str">
        <f>+INDEX(WP!$A:$AN,MATCH(F506,WP!$B:$B,0),MATCH("Ability V3",WP!$A$2:$AN$2,0))</f>
        <v>(Blade) Skill Damage +40%</v>
      </c>
      <c r="R506" s="735"/>
    </row>
    <row r="507" spans="1:18" ht="22.5" customHeight="1" x14ac:dyDescent="0.2">
      <c r="A507" t="s">
        <v>10763</v>
      </c>
    </row>
    <row r="508" spans="1:18" ht="22.5" customHeight="1" x14ac:dyDescent="0.2">
      <c r="B508" s="729" t="e" vm="667">
        <f>_xlfn.IMAGE("https://natalie.tf/wp-content/uploads/2023/10/DLV3_Icon_WP_"&amp;G509&amp;"_01.png")</f>
        <v>#VALUE!</v>
      </c>
      <c r="D508" s="730" t="e" vm="667">
        <f>_xlfn.IMAGE("https://natalie.tf/wp-content/uploads/2023/10/DLV3_Icon_WP_"&amp;G509&amp;"_01.png")</f>
        <v>#VALUE!</v>
      </c>
      <c r="F508" s="717" t="str">
        <f>+INDEX(WP!$A:$AN,MATCH(F509,WP!$B:$B,0),MATCH("Name",WP!$A$2:$AN$2,0))</f>
        <v>Third Anniversary!</v>
      </c>
      <c r="G508" s="718"/>
      <c r="H508" s="719"/>
      <c r="J508" s="180" t="s">
        <v>10761</v>
      </c>
      <c r="K508" s="201">
        <f>+INDEX(WP!$A:$AN,MATCH(F509,WP!$B:$B,0),5)</f>
        <v>5</v>
      </c>
      <c r="L508" s="202">
        <f>+INDEX(WP!$A:$AN,MATCH(F509,WP!$B:$B,0),6)</f>
        <v>75</v>
      </c>
      <c r="M508" s="202">
        <f>+INDEX(WP!$A:$AN,MATCH(F509,WP!$B:$B,0),7)</f>
        <v>28</v>
      </c>
      <c r="N508" s="202" t="str">
        <f ca="1">IFERROR(_xlfn.IMAGE("https://natalie.tf/wp-content/uploads/2023/11/DLV3_Icon_Affinity_"&amp;O508&amp;".png"),"")</f>
        <v/>
      </c>
      <c r="O508" s="203" t="str">
        <f>IF(INDEX(WP!$A:$AN,MATCH(F509,WP!$B:$B,0),8)=0,"None",INDEX(WP!$A:$AN,MATCH(F509,WP!$B:$B,0),8))</f>
        <v>None</v>
      </c>
      <c r="P508" s="8" t="e" vm="326">
        <f>_xlfn.IMAGE("https://natalie.tf/wp-content/uploads/2023/10/DLV3_Icon_Ability_"&amp;INDEX('WP-A'!$A$1:$Z$498,MATCH('WP-Print'!Q508,'WP-A'!$A:$A,0),MATCH("Icon",'WP-A'!$A$1:$Z$1,0))&amp;".png")</f>
        <v>#VALUE!</v>
      </c>
      <c r="Q508" s="231" t="str">
        <f>+INDEX(WP!$A:$AN,MATCH(F509,WP!$B:$B,0),MATCH("Ability",WP!$A$2:$AN$2,0))</f>
        <v>United Critical Rate I</v>
      </c>
      <c r="R508" s="734" t="str">
        <f>+INDEX(WP!$A:$AN,MATCH(F509,WP!$B:$B,0),MATCH("Obtain From",WP!$A$2:$AN$2,0))</f>
        <v>Clear a Boss Battle on Expert (Faith Forsaken (Part One))</v>
      </c>
    </row>
    <row r="509" spans="1:18" ht="22.5" customHeight="1" x14ac:dyDescent="0.2">
      <c r="A509" s="204" t="str">
        <f>TEXT(A506+1,"000")</f>
        <v>169</v>
      </c>
      <c r="B509" s="729"/>
      <c r="C509" s="8"/>
      <c r="D509" s="729"/>
      <c r="E509" s="8"/>
      <c r="F509" s="200" t="str">
        <f>"WP-"&amp;A509</f>
        <v>WP-169</v>
      </c>
      <c r="G509" s="200">
        <f>+INDEX(WP!$A:$AN,MATCH(F509,WP!$B:$B,0),MATCH("ID",WP!$A$2:$AN$2,0))</f>
        <v>400491</v>
      </c>
      <c r="I509" s="8"/>
      <c r="J509" s="180" t="s">
        <v>10762</v>
      </c>
      <c r="K509" s="201">
        <f>+INDEX(WP!$A:$AN,MATCH(F509,WP!$B:$B,0),14)</f>
        <v>5</v>
      </c>
      <c r="L509" s="202">
        <f>+INDEX(WP!$A:$AN,MATCH(F509,WP!$B:$B,0),15)</f>
        <v>150</v>
      </c>
      <c r="M509" s="202">
        <f>+INDEX(WP!$A:$AN,MATCH(F509,WP!$B:$B,0),16)</f>
        <v>90</v>
      </c>
      <c r="N509" s="202" t="e" vm="341">
        <f>IFERROR(_xlfn.IMAGE("https://natalie.tf/wp-content/uploads/2023/11/DLV3_Icon_Affinity_"&amp;O509&amp;".png"),"")</f>
        <v>#VALUE!</v>
      </c>
      <c r="O509" s="203" t="str">
        <f>+INDEX(WP!$A:$AN,MATCH(F509,WP!$B:$B,0),17)</f>
        <v>Crown</v>
      </c>
      <c r="P509" s="8" t="e" vm="326">
        <f>_xlfn.IMAGE("https://natalie.tf/wp-content/uploads/2023/10/DLV3_Icon_Ability_"&amp;INDEX('WP-A'!$A$1:$Z$498,MATCH('WP-Print'!Q509,'WP-A'!$A:$A,0),MATCH("Icon",'WP-A'!$A$1:$Z$1,0))&amp;".png")</f>
        <v>#VALUE!</v>
      </c>
      <c r="Q509" s="231" t="str">
        <f>+INDEX(WP!$A:$AN,MATCH(F509,WP!$B:$B,0),MATCH("Ability V3",WP!$A$2:$AN$2,0))</f>
        <v>United Critical Rate +12%</v>
      </c>
      <c r="R509" s="735"/>
    </row>
    <row r="510" spans="1:18" ht="7.5" customHeight="1" x14ac:dyDescent="0.2">
      <c r="A510" t="s">
        <v>10763</v>
      </c>
    </row>
    <row r="511" spans="1:18" ht="22.5" customHeight="1" x14ac:dyDescent="0.2">
      <c r="B511" s="729" t="e" vm="668">
        <f>_xlfn.IMAGE("https://natalie.tf/wp-content/uploads/2023/10/DLV3_Icon_WP_"&amp;G512&amp;"_01.png")</f>
        <v>#VALUE!</v>
      </c>
      <c r="D511" s="730" t="e" vm="669">
        <f>_xlfn.IMAGE("https://natalie.tf/wp-content/uploads/2023/10/DLV3_Icon_WP_"&amp;G512&amp;"_02.png")</f>
        <v>#VALUE!</v>
      </c>
      <c r="F511" s="717" t="str">
        <f>+INDEX(WP!$A:$AN,MATCH(F512,WP!$B:$B,0),MATCH("Name",WP!$A$2:$AN$2,0))</f>
        <v>Bonded by a Dream</v>
      </c>
      <c r="G511" s="718"/>
      <c r="H511" s="719"/>
      <c r="J511" s="180" t="s">
        <v>10761</v>
      </c>
      <c r="K511" s="201">
        <f>+INDEX(WP!$A:$AN,MATCH(F512,WP!$B:$B,0),5)</f>
        <v>5</v>
      </c>
      <c r="L511" s="202">
        <f>+INDEX(WP!$A:$AN,MATCH(F512,WP!$B:$B,0),6)</f>
        <v>75</v>
      </c>
      <c r="M511" s="202">
        <f>+INDEX(WP!$A:$AN,MATCH(F512,WP!$B:$B,0),7)</f>
        <v>28</v>
      </c>
      <c r="N511" s="202" t="str">
        <f ca="1">IFERROR(_xlfn.IMAGE("https://natalie.tf/wp-content/uploads/2023/11/DLV3_Icon_Affinity_"&amp;O511&amp;".png"),"")</f>
        <v/>
      </c>
      <c r="O511" s="203" t="str">
        <f>IF(INDEX(WP!$A:$AN,MATCH(F512,WP!$B:$B,0),8)=0,"None",INDEX(WP!$A:$AN,MATCH(F512,WP!$B:$B,0),8))</f>
        <v>None</v>
      </c>
      <c r="P511" s="8" t="e" vm="414">
        <f>_xlfn.IMAGE("https://natalie.tf/wp-content/uploads/2023/10/DLV3_Icon_Ability_"&amp;INDEX('WP-A'!$A$1:$Z$498,MATCH('WP-Print'!Q511,'WP-A'!$A:$A,0),MATCH("Icon",'WP-A'!$A$1:$Z$1,0))&amp;".png")</f>
        <v>#VALUE!</v>
      </c>
      <c r="Q511" s="231" t="str">
        <f>+INDEX(WP!$A:$AN,MATCH(F512,WP!$B:$B,0),MATCH("Ability",WP!$A$2:$AN$2,0))</f>
        <v>United Critical Damage I</v>
      </c>
      <c r="R511" s="734" t="str">
        <f>+INDEX(WP!$A:$AN,MATCH(F512,WP!$B:$B,0),MATCH("Obtain From",WP!$A$2:$AN$2,0))</f>
        <v>Clear The Might of Heaven (Faith Forsaken (Part One))</v>
      </c>
    </row>
    <row r="512" spans="1:18" ht="22.5" customHeight="1" x14ac:dyDescent="0.2">
      <c r="A512" s="204" t="str">
        <f>TEXT(A509+1,"000")</f>
        <v>170</v>
      </c>
      <c r="B512" s="729"/>
      <c r="C512" s="8"/>
      <c r="D512" s="729"/>
      <c r="E512" s="8"/>
      <c r="F512" s="200" t="str">
        <f>"WP-"&amp;A512</f>
        <v>WP-170</v>
      </c>
      <c r="G512" s="200">
        <f>+INDEX(WP!$A:$AN,MATCH(F512,WP!$B:$B,0),MATCH("ID",WP!$A$2:$AN$2,0))</f>
        <v>400484</v>
      </c>
      <c r="I512" s="8"/>
      <c r="J512" s="180" t="s">
        <v>10762</v>
      </c>
      <c r="K512" s="201">
        <f>+INDEX(WP!$A:$AN,MATCH(F512,WP!$B:$B,0),14)</f>
        <v>5</v>
      </c>
      <c r="L512" s="202">
        <f>+INDEX(WP!$A:$AN,MATCH(F512,WP!$B:$B,0),15)</f>
        <v>150</v>
      </c>
      <c r="M512" s="202">
        <f>+INDEX(WP!$A:$AN,MATCH(F512,WP!$B:$B,0),16)</f>
        <v>90</v>
      </c>
      <c r="N512" s="202" t="e" vm="343">
        <f>IFERROR(_xlfn.IMAGE("https://natalie.tf/wp-content/uploads/2023/11/DLV3_Icon_Affinity_"&amp;O512&amp;".png"),"")</f>
        <v>#VALUE!</v>
      </c>
      <c r="O512" s="203" t="str">
        <f>+INDEX(WP!$A:$AN,MATCH(F512,WP!$B:$B,0),17)</f>
        <v>Axe</v>
      </c>
      <c r="P512" s="8" t="e" vm="414">
        <f>_xlfn.IMAGE("https://natalie.tf/wp-content/uploads/2023/10/DLV3_Icon_Ability_"&amp;INDEX('WP-A'!$A$1:$Z$498,MATCH('WP-Print'!Q512,'WP-A'!$A:$A,0),MATCH("Icon",'WP-A'!$A$1:$Z$1,0))&amp;".png")</f>
        <v>#VALUE!</v>
      </c>
      <c r="Q512" s="231" t="str">
        <f>+INDEX(WP!$A:$AN,MATCH(F512,WP!$B:$B,0),MATCH("Ability V3",WP!$A$2:$AN$2,0))</f>
        <v>United Critical Damage +22%</v>
      </c>
      <c r="R512" s="735"/>
    </row>
    <row r="513" spans="1:18" ht="7.5" customHeight="1" x14ac:dyDescent="0.2">
      <c r="A513" t="s">
        <v>10763</v>
      </c>
    </row>
    <row r="514" spans="1:18" ht="22.5" customHeight="1" x14ac:dyDescent="0.2">
      <c r="B514" s="729" t="e" vm="670">
        <f>_xlfn.IMAGE("https://natalie.tf/wp-content/uploads/2023/10/DLV3_Icon_WP_"&amp;G515&amp;"_01.png")</f>
        <v>#VALUE!</v>
      </c>
      <c r="D514" s="730" t="e" vm="671">
        <f>_xlfn.IMAGE("https://natalie.tf/wp-content/uploads/2023/10/DLV3_Icon_WP_"&amp;G515&amp;"_02.png")</f>
        <v>#VALUE!</v>
      </c>
      <c r="F514" s="717" t="str">
        <f>+INDEX(WP!$A:$AN,MATCH(F515,WP!$B:$B,0),MATCH("Name",WP!$A$2:$AN$2,0))</f>
        <v>Emissaries of the Heavens</v>
      </c>
      <c r="G514" s="718"/>
      <c r="H514" s="719"/>
      <c r="J514" s="180" t="s">
        <v>10761</v>
      </c>
      <c r="K514" s="201">
        <f>+INDEX(WP!$A:$AN,MATCH(F515,WP!$B:$B,0),5)</f>
        <v>5</v>
      </c>
      <c r="L514" s="202">
        <f>+INDEX(WP!$A:$AN,MATCH(F515,WP!$B:$B,0),6)</f>
        <v>88</v>
      </c>
      <c r="M514" s="202">
        <f>+INDEX(WP!$A:$AN,MATCH(F515,WP!$B:$B,0),7)</f>
        <v>32</v>
      </c>
      <c r="N514" s="202" t="e" vm="338">
        <f>IFERROR(_xlfn.IMAGE("https://natalie.tf/wp-content/uploads/2023/11/DLV3_Icon_Affinity_"&amp;O514&amp;".png"),"")</f>
        <v>#VALUE!</v>
      </c>
      <c r="O514" s="203" t="str">
        <f>IF(INDEX(WP!$A:$AN,MATCH(F515,WP!$B:$B,0),8)=0,"None",INDEX(WP!$A:$AN,MATCH(F515,WP!$B:$B,0),8))</f>
        <v>Wolf</v>
      </c>
      <c r="P514" s="8" t="e" vm="14">
        <f>_xlfn.IMAGE("https://natalie.tf/wp-content/uploads/2023/10/DLV3_Icon_Ability_"&amp;INDEX('WP-A'!$A$1:$Z$498,MATCH('WP-Print'!Q514,'WP-A'!$A:$A,0),MATCH("Icon",'WP-A'!$A$1:$Z$1,0))&amp;".png")</f>
        <v>#VALUE!</v>
      </c>
      <c r="Q514" s="231" t="str">
        <f>+INDEX(WP!$A:$AN,MATCH(F515,WP!$B:$B,0),MATCH("Ability",WP!$A$2:$AN$2,0))</f>
        <v>Flurry Strength +20%</v>
      </c>
      <c r="R514" s="734" t="str">
        <f>+INDEX(WP!$A:$AN,MATCH(F515,WP!$B:$B,0),MATCH("Obtain From",WP!$A$2:$AN$2,0))</f>
        <v>Clear Asura Clash: Expert (Faith Forsaken (Part One))</v>
      </c>
    </row>
    <row r="515" spans="1:18" ht="22.5" customHeight="1" x14ac:dyDescent="0.2">
      <c r="A515" s="204" t="str">
        <f>TEXT(A512+1,"000")</f>
        <v>171</v>
      </c>
      <c r="B515" s="729"/>
      <c r="C515" s="8"/>
      <c r="D515" s="729"/>
      <c r="E515" s="8"/>
      <c r="F515" s="200" t="str">
        <f>"WP-"&amp;A515</f>
        <v>WP-171</v>
      </c>
      <c r="G515" s="200">
        <f>+INDEX(WP!$A:$AN,MATCH(F515,WP!$B:$B,0),MATCH("ID",WP!$A$2:$AN$2,0))</f>
        <v>400483</v>
      </c>
      <c r="I515" s="8"/>
      <c r="J515" s="180" t="s">
        <v>10762</v>
      </c>
      <c r="K515" s="201">
        <f>+INDEX(WP!$A:$AN,MATCH(F515,WP!$B:$B,0),14)</f>
        <v>5</v>
      </c>
      <c r="L515" s="202">
        <f>+INDEX(WP!$A:$AN,MATCH(F515,WP!$B:$B,0),15)</f>
        <v>150</v>
      </c>
      <c r="M515" s="202">
        <f>+INDEX(WP!$A:$AN,MATCH(F515,WP!$B:$B,0),16)</f>
        <v>90</v>
      </c>
      <c r="N515" s="202" t="e" vm="338">
        <f>IFERROR(_xlfn.IMAGE("https://natalie.tf/wp-content/uploads/2023/11/DLV3_Icon_Affinity_"&amp;O515&amp;".png"),"")</f>
        <v>#VALUE!</v>
      </c>
      <c r="O515" s="203" t="str">
        <f>+INDEX(WP!$A:$AN,MATCH(F515,WP!$B:$B,0),17)</f>
        <v>Wolf</v>
      </c>
      <c r="P515" s="8" t="e" vm="14">
        <f>_xlfn.IMAGE("https://natalie.tf/wp-content/uploads/2023/10/DLV3_Icon_Ability_"&amp;INDEX('WP-A'!$A$1:$Z$498,MATCH('WP-Print'!Q515,'WP-A'!$A:$A,0),MATCH("Icon",'WP-A'!$A$1:$Z$1,0))&amp;".png")</f>
        <v>#VALUE!</v>
      </c>
      <c r="Q515" s="231" t="str">
        <f>+INDEX(WP!$A:$AN,MATCH(F515,WP!$B:$B,0),MATCH("Ability V3",WP!$A$2:$AN$2,0))</f>
        <v>Flurry Strength +20%</v>
      </c>
      <c r="R515" s="735"/>
    </row>
    <row r="516" spans="1:18" ht="7.5" customHeight="1" x14ac:dyDescent="0.2">
      <c r="A516" t="s">
        <v>10763</v>
      </c>
    </row>
    <row r="517" spans="1:18" ht="22.5" customHeight="1" x14ac:dyDescent="0.2">
      <c r="B517" s="729" t="e" vm="672">
        <f>_xlfn.IMAGE("https://natalie.tf/wp-content/uploads/2023/10/DLV3_Icon_WP_"&amp;G518&amp;"_01.png")</f>
        <v>#VALUE!</v>
      </c>
      <c r="D517" s="730" t="e" vm="673">
        <f>_xlfn.IMAGE("https://natalie.tf/wp-content/uploads/2023/10/DLV3_Icon_WP_"&amp;G518&amp;"_02.png")</f>
        <v>#VALUE!</v>
      </c>
      <c r="F517" s="717" t="str">
        <f>+INDEX(WP!$A:$AN,MATCH(F518,WP!$B:$B,0),MATCH("Name",WP!$A$2:$AN$2,0))</f>
        <v>A Halloween Spectacular!</v>
      </c>
      <c r="G517" s="718"/>
      <c r="H517" s="719"/>
      <c r="J517" s="180" t="s">
        <v>10761</v>
      </c>
      <c r="K517" s="201">
        <f>+INDEX(WP!$A:$AN,MATCH(F518,WP!$B:$B,0),5)</f>
        <v>5</v>
      </c>
      <c r="L517" s="202">
        <f>+INDEX(WP!$A:$AN,MATCH(F518,WP!$B:$B,0),6)</f>
        <v>75</v>
      </c>
      <c r="M517" s="202">
        <f>+INDEX(WP!$A:$AN,MATCH(F518,WP!$B:$B,0),7)</f>
        <v>28</v>
      </c>
      <c r="N517" s="202" t="e" vm="341">
        <f>IFERROR(_xlfn.IMAGE("https://natalie.tf/wp-content/uploads/2023/11/DLV3_Icon_Affinity_"&amp;O517&amp;".png"),"")</f>
        <v>#VALUE!</v>
      </c>
      <c r="O517" s="203" t="str">
        <f>IF(INDEX(WP!$A:$AN,MATCH(F518,WP!$B:$B,0),8)=0,"None",INDEX(WP!$A:$AN,MATCH(F518,WP!$B:$B,0),8))</f>
        <v>Crown</v>
      </c>
      <c r="P517" s="8" t="e" vm="330">
        <f>_xlfn.IMAGE("https://natalie.tf/wp-content/uploads/2023/10/DLV3_Icon_Ability_"&amp;INDEX('WP-A'!$A$1:$Z$498,MATCH('WP-Print'!Q517,'WP-A'!$A:$A,0),MATCH("Icon",'WP-A'!$A$1:$Z$1,0))&amp;".png")</f>
        <v>#VALUE!</v>
      </c>
      <c r="Q517" s="231" t="str">
        <f>+INDEX(WP!$A:$AN,MATCH(F518,WP!$B:$B,0),MATCH("Ability",WP!$A$2:$AN$2,0))</f>
        <v>(Shadow) Skill Haste +10%</v>
      </c>
      <c r="R517" s="734" t="str">
        <f>+INDEX(WP!$A:$AN,MATCH(F518,WP!$B:$B,0),MATCH("Obtain From",WP!$A$2:$AN$2,0))</f>
        <v>Clear a Boss Battle on Beginner (The Clockwork Heart)</v>
      </c>
    </row>
    <row r="518" spans="1:18" ht="22.5" customHeight="1" x14ac:dyDescent="0.2">
      <c r="A518" s="204" t="str">
        <f>TEXT(A515+1,"000")</f>
        <v>172</v>
      </c>
      <c r="B518" s="729"/>
      <c r="C518" s="8"/>
      <c r="D518" s="729"/>
      <c r="E518" s="8"/>
      <c r="F518" s="200" t="str">
        <f>"WP-"&amp;A518</f>
        <v>WP-172</v>
      </c>
      <c r="G518" s="200">
        <f>+INDEX(WP!$A:$AN,MATCH(F518,WP!$B:$B,0),MATCH("ID",WP!$A$2:$AN$2,0))</f>
        <v>400485</v>
      </c>
      <c r="I518" s="8"/>
      <c r="J518" s="180" t="s">
        <v>10762</v>
      </c>
      <c r="K518" s="201">
        <f>+INDEX(WP!$A:$AN,MATCH(F518,WP!$B:$B,0),14)</f>
        <v>5</v>
      </c>
      <c r="L518" s="202">
        <f>+INDEX(WP!$A:$AN,MATCH(F518,WP!$B:$B,0),15)</f>
        <v>150</v>
      </c>
      <c r="M518" s="202">
        <f>+INDEX(WP!$A:$AN,MATCH(F518,WP!$B:$B,0),16)</f>
        <v>90</v>
      </c>
      <c r="N518" s="202" t="e" vm="362">
        <f>IFERROR(_xlfn.IMAGE("https://natalie.tf/wp-content/uploads/2023/11/DLV3_Icon_Affinity_"&amp;O518&amp;".png"),"")</f>
        <v>#VALUE!</v>
      </c>
      <c r="O518" s="203" t="str">
        <f>+INDEX(WP!$A:$AN,MATCH(F518,WP!$B:$B,0),17)</f>
        <v>Bat</v>
      </c>
      <c r="P518" s="8" t="e" vm="330">
        <f>_xlfn.IMAGE("https://natalie.tf/wp-content/uploads/2023/10/DLV3_Icon_Ability_"&amp;INDEX('WP-A'!$A$1:$Z$498,MATCH('WP-Print'!Q518,'WP-A'!$A:$A,0),MATCH("Icon",'WP-A'!$A$1:$Z$1,0))&amp;".png")</f>
        <v>#VALUE!</v>
      </c>
      <c r="Q518" s="231" t="str">
        <f>+INDEX(WP!$A:$AN,MATCH(F518,WP!$B:$B,0),MATCH("Ability V3",WP!$A$2:$AN$2,0))</f>
        <v>(Shadow) Skill Haste +10%</v>
      </c>
      <c r="R518" s="735"/>
    </row>
    <row r="519" spans="1:18" ht="7.5" customHeight="1" x14ac:dyDescent="0.2">
      <c r="A519" t="s">
        <v>10763</v>
      </c>
    </row>
    <row r="520" spans="1:18" ht="22.5" customHeight="1" x14ac:dyDescent="0.2">
      <c r="B520" s="729" t="e" vm="674">
        <f>_xlfn.IMAGE("https://natalie.tf/wp-content/uploads/2023/10/DLV3_Icon_WP_"&amp;G521&amp;"_01.png")</f>
        <v>#VALUE!</v>
      </c>
      <c r="D520" s="730" t="e" vm="675">
        <f>_xlfn.IMAGE("https://natalie.tf/wp-content/uploads/2023/10/DLV3_Icon_WP_"&amp;G521&amp;"_02.png")</f>
        <v>#VALUE!</v>
      </c>
      <c r="F520" s="717" t="str">
        <f>+INDEX(WP!$A:$AN,MATCH(F521,WP!$B:$B,0),MATCH("Name",WP!$A$2:$AN$2,0))</f>
        <v>Adventure in the Past</v>
      </c>
      <c r="G520" s="718"/>
      <c r="H520" s="719"/>
      <c r="J520" s="180" t="s">
        <v>10761</v>
      </c>
      <c r="K520" s="201">
        <f>+INDEX(WP!$A:$AN,MATCH(F521,WP!$B:$B,0),5)</f>
        <v>5</v>
      </c>
      <c r="L520" s="202">
        <f>+INDEX(WP!$A:$AN,MATCH(F521,WP!$B:$B,0),6)</f>
        <v>88</v>
      </c>
      <c r="M520" s="202">
        <f>+INDEX(WP!$A:$AN,MATCH(F521,WP!$B:$B,0),7)</f>
        <v>32</v>
      </c>
      <c r="N520" s="202" t="e" vm="339">
        <f>IFERROR(_xlfn.IMAGE("https://natalie.tf/wp-content/uploads/2023/11/DLV3_Icon_Affinity_"&amp;O520&amp;".png"),"")</f>
        <v>#VALUE!</v>
      </c>
      <c r="O520" s="203" t="str">
        <f>IF(INDEX(WP!$A:$AN,MATCH(F521,WP!$B:$B,0),8)=0,"None",INDEX(WP!$A:$AN,MATCH(F521,WP!$B:$B,0),8))</f>
        <v>Sword</v>
      </c>
      <c r="P520" s="8" t="e" vm="326">
        <f>_xlfn.IMAGE("https://natalie.tf/wp-content/uploads/2023/10/DLV3_Icon_Ability_"&amp;INDEX('WP-A'!$A$1:$Z$498,MATCH('WP-Print'!Q520,'WP-A'!$A:$A,0),MATCH("Icon",'WP-A'!$A$1:$Z$1,0))&amp;".png")</f>
        <v>#VALUE!</v>
      </c>
      <c r="Q520" s="231" t="str">
        <f>+INDEX(WP!$A:$AN,MATCH(F521,WP!$B:$B,0),MATCH("Ability",WP!$A$2:$AN$2,0))</f>
        <v>(Sword) Critical Rate +14%</v>
      </c>
      <c r="R520" s="734" t="str">
        <f>+INDEX(WP!$A:$AN,MATCH(F521,WP!$B:$B,0),MATCH("Obtain From",WP!$A$2:$AN$2,0))</f>
        <v>Clear Three Challenge Battles (The Clockwork Heart)</v>
      </c>
    </row>
    <row r="521" spans="1:18" ht="22.5" customHeight="1" x14ac:dyDescent="0.2">
      <c r="A521" s="204" t="str">
        <f>TEXT(A518+1,"000")</f>
        <v>173</v>
      </c>
      <c r="B521" s="729"/>
      <c r="C521" s="8"/>
      <c r="D521" s="729"/>
      <c r="E521" s="8"/>
      <c r="F521" s="200" t="str">
        <f>"WP-"&amp;A521</f>
        <v>WP-173</v>
      </c>
      <c r="G521" s="200">
        <f>+INDEX(WP!$A:$AN,MATCH(F521,WP!$B:$B,0),MATCH("ID",WP!$A$2:$AN$2,0))</f>
        <v>400486</v>
      </c>
      <c r="I521" s="8"/>
      <c r="J521" s="180" t="s">
        <v>10762</v>
      </c>
      <c r="K521" s="201">
        <f>+INDEX(WP!$A:$AN,MATCH(F521,WP!$B:$B,0),14)</f>
        <v>5</v>
      </c>
      <c r="L521" s="202">
        <f>+INDEX(WP!$A:$AN,MATCH(F521,WP!$B:$B,0),15)</f>
        <v>150</v>
      </c>
      <c r="M521" s="202">
        <f>+INDEX(WP!$A:$AN,MATCH(F521,WP!$B:$B,0),16)</f>
        <v>90</v>
      </c>
      <c r="N521" s="202" t="e" vm="339">
        <f>IFERROR(_xlfn.IMAGE("https://natalie.tf/wp-content/uploads/2023/11/DLV3_Icon_Affinity_"&amp;O521&amp;".png"),"")</f>
        <v>#VALUE!</v>
      </c>
      <c r="O521" s="203" t="str">
        <f>+INDEX(WP!$A:$AN,MATCH(F521,WP!$B:$B,0),17)</f>
        <v>Sword</v>
      </c>
      <c r="P521" s="8" t="e" vm="326">
        <f>_xlfn.IMAGE("https://natalie.tf/wp-content/uploads/2023/10/DLV3_Icon_Ability_"&amp;INDEX('WP-A'!$A$1:$Z$498,MATCH('WP-Print'!Q521,'WP-A'!$A:$A,0),MATCH("Icon",'WP-A'!$A$1:$Z$1,0))&amp;".png")</f>
        <v>#VALUE!</v>
      </c>
      <c r="Q521" s="231" t="str">
        <f>+INDEX(WP!$A:$AN,MATCH(F521,WP!$B:$B,0),MATCH("Ability V3",WP!$A$2:$AN$2,0))</f>
        <v>(Sword) Critical Rate +15%</v>
      </c>
      <c r="R521" s="735"/>
    </row>
    <row r="522" spans="1:18" ht="7.5" customHeight="1" x14ac:dyDescent="0.2">
      <c r="A522" t="s">
        <v>10763</v>
      </c>
    </row>
    <row r="523" spans="1:18" ht="22.5" customHeight="1" x14ac:dyDescent="0.2">
      <c r="B523" s="729" t="e" vm="676">
        <f>_xlfn.IMAGE("https://natalie.tf/wp-content/uploads/2023/10/DLV3_Icon_WP_"&amp;G524&amp;"_01.png")</f>
        <v>#VALUE!</v>
      </c>
      <c r="D523" s="730" t="e" vm="677">
        <f>_xlfn.IMAGE("https://natalie.tf/wp-content/uploads/2023/10/DLV3_Icon_WP_"&amp;G524&amp;"_02.png")</f>
        <v>#VALUE!</v>
      </c>
      <c r="F523" s="717" t="str">
        <f>+INDEX(WP!$A:$AN,MATCH(F524,WP!$B:$B,0),MATCH("Name",WP!$A$2:$AN$2,0))</f>
        <v>Going Undercover</v>
      </c>
      <c r="G523" s="718"/>
      <c r="H523" s="719"/>
      <c r="J523" s="180" t="s">
        <v>10761</v>
      </c>
      <c r="K523" s="201">
        <f>+INDEX(WP!$A:$AN,MATCH(F524,WP!$B:$B,0),5)</f>
        <v>5</v>
      </c>
      <c r="L523" s="202">
        <f>+INDEX(WP!$A:$AN,MATCH(F524,WP!$B:$B,0),6)</f>
        <v>88</v>
      </c>
      <c r="M523" s="202">
        <f>+INDEX(WP!$A:$AN,MATCH(F524,WP!$B:$B,0),7)</f>
        <v>32</v>
      </c>
      <c r="N523" s="202" t="e" vm="344">
        <f>IFERROR(_xlfn.IMAGE("https://natalie.tf/wp-content/uploads/2023/11/DLV3_Icon_Affinity_"&amp;O523&amp;".png"),"")</f>
        <v>#VALUE!</v>
      </c>
      <c r="O523" s="203" t="str">
        <f>IF(INDEX(WP!$A:$AN,MATCH(F524,WP!$B:$B,0),8)=0,"None",INDEX(WP!$A:$AN,MATCH(F524,WP!$B:$B,0),8))</f>
        <v>Eagle</v>
      </c>
      <c r="P523" s="8" t="e" vm="334">
        <f>_xlfn.IMAGE("https://natalie.tf/wp-content/uploads/2023/10/DLV3_Icon_Ability_"&amp;INDEX('WP-A'!$A$1:$Z$498,MATCH('WP-Print'!Q523,'WP-A'!$A:$A,0),MATCH("Icon",'WP-A'!$A$1:$Z$1,0))&amp;".png")</f>
        <v>#VALUE!</v>
      </c>
      <c r="Q523" s="231" t="str">
        <f>+INDEX(WP!$A:$AN,MATCH(F524,WP!$B:$B,0),MATCH("Ability",WP!$A$2:$AN$2,0))</f>
        <v>Stormlashed Punisher +25%</v>
      </c>
      <c r="R523" s="734" t="str">
        <f>+INDEX(WP!$A:$AN,MATCH(F524,WP!$B:$B,0),MATCH("Obtain From",WP!$A$2:$AN$2,0))</f>
        <v>Clear The Angelic Herald: Master (One Starry Dragonyule)</v>
      </c>
    </row>
    <row r="524" spans="1:18" ht="22.5" customHeight="1" x14ac:dyDescent="0.2">
      <c r="A524" s="204" t="str">
        <f>TEXT(A521+1,"000")</f>
        <v>174</v>
      </c>
      <c r="B524" s="729"/>
      <c r="C524" s="8"/>
      <c r="D524" s="729"/>
      <c r="E524" s="8"/>
      <c r="F524" s="200" t="str">
        <f>"WP-"&amp;A524</f>
        <v>WP-174</v>
      </c>
      <c r="G524" s="200">
        <f>+INDEX(WP!$A:$AN,MATCH(F524,WP!$B:$B,0),MATCH("ID",WP!$A$2:$AN$2,0))</f>
        <v>400490</v>
      </c>
      <c r="I524" s="8"/>
      <c r="J524" s="180" t="s">
        <v>10762</v>
      </c>
      <c r="K524" s="201">
        <f>+INDEX(WP!$A:$AN,MATCH(F524,WP!$B:$B,0),14)</f>
        <v>5</v>
      </c>
      <c r="L524" s="202">
        <f>+INDEX(WP!$A:$AN,MATCH(F524,WP!$B:$B,0),15)</f>
        <v>150</v>
      </c>
      <c r="M524" s="202">
        <f>+INDEX(WP!$A:$AN,MATCH(F524,WP!$B:$B,0),16)</f>
        <v>90</v>
      </c>
      <c r="N524" s="202" t="e" vm="356">
        <f>IFERROR(_xlfn.IMAGE("https://natalie.tf/wp-content/uploads/2023/11/DLV3_Icon_Affinity_"&amp;O524&amp;".png"),"")</f>
        <v>#VALUE!</v>
      </c>
      <c r="O524" s="203" t="str">
        <f>+INDEX(WP!$A:$AN,MATCH(F524,WP!$B:$B,0),17)</f>
        <v>Deer</v>
      </c>
      <c r="P524" s="8" t="e" vm="334">
        <f>_xlfn.IMAGE("https://natalie.tf/wp-content/uploads/2023/10/DLV3_Icon_Ability_"&amp;INDEX('WP-A'!$A$1:$Z$498,MATCH('WP-Print'!Q524,'WP-A'!$A:$A,0),MATCH("Icon",'WP-A'!$A$1:$Z$1,0))&amp;".png")</f>
        <v>#VALUE!</v>
      </c>
      <c r="Q524" s="231" t="str">
        <f>+INDEX(WP!$A:$AN,MATCH(F524,WP!$B:$B,0),MATCH("Ability V3",WP!$A$2:$AN$2,0))</f>
        <v>Stormlashed Punisher +25%</v>
      </c>
      <c r="R524" s="735"/>
    </row>
    <row r="525" spans="1:18" ht="7.5" customHeight="1" x14ac:dyDescent="0.2">
      <c r="A525" t="s">
        <v>10763</v>
      </c>
    </row>
    <row r="526" spans="1:18" ht="22.5" customHeight="1" x14ac:dyDescent="0.2">
      <c r="B526" s="729" t="e" vm="678">
        <f>_xlfn.IMAGE("https://natalie.tf/wp-content/uploads/2023/10/DLV3_Icon_WP_"&amp;G527&amp;"_01.png")</f>
        <v>#VALUE!</v>
      </c>
      <c r="D526" s="730" t="e" vm="679">
        <f>_xlfn.IMAGE("https://natalie.tf/wp-content/uploads/2023/10/DLV3_Icon_WP_"&amp;G527&amp;"_02.png")</f>
        <v>#VALUE!</v>
      </c>
      <c r="F526" s="717" t="str">
        <f>+INDEX(WP!$A:$AN,MATCH(F527,WP!$B:$B,0),MATCH("Name",WP!$A$2:$AN$2,0))</f>
        <v>A Dragonyule for Ilia</v>
      </c>
      <c r="G526" s="718"/>
      <c r="H526" s="719"/>
      <c r="J526" s="180" t="s">
        <v>10761</v>
      </c>
      <c r="K526" s="201">
        <f>+INDEX(WP!$A:$AN,MATCH(F527,WP!$B:$B,0),5)</f>
        <v>5</v>
      </c>
      <c r="L526" s="202">
        <f>+INDEX(WP!$A:$AN,MATCH(F527,WP!$B:$B,0),6)</f>
        <v>75</v>
      </c>
      <c r="M526" s="202">
        <f>+INDEX(WP!$A:$AN,MATCH(F527,WP!$B:$B,0),7)</f>
        <v>28</v>
      </c>
      <c r="N526" s="202" t="e" vm="337">
        <f>IFERROR(_xlfn.IMAGE("https://natalie.tf/wp-content/uploads/2023/11/DLV3_Icon_Affinity_"&amp;O526&amp;".png"),"")</f>
        <v>#VALUE!</v>
      </c>
      <c r="O526" s="203" t="str">
        <f>IF(INDEX(WP!$A:$AN,MATCH(F527,WP!$B:$B,0),8)=0,"None",INDEX(WP!$A:$AN,MATCH(F527,WP!$B:$B,0),8))</f>
        <v>Serpent</v>
      </c>
      <c r="P526" s="8" t="e" vm="330">
        <f>_xlfn.IMAGE("https://natalie.tf/wp-content/uploads/2023/10/DLV3_Icon_Ability_"&amp;INDEX('WP-A'!$A$1:$Z$498,MATCH('WP-Print'!Q526,'WP-A'!$A:$A,0),MATCH("Icon",'WP-A'!$A$1:$Z$1,0))&amp;".png")</f>
        <v>#VALUE!</v>
      </c>
      <c r="Q526" s="231" t="str">
        <f>+INDEX(WP!$A:$AN,MATCH(F527,WP!$B:$B,0),MATCH("Ability",WP!$A$2:$AN$2,0))</f>
        <v>(Light) Skill Haste +10%</v>
      </c>
      <c r="R526" s="734" t="str">
        <f>+INDEX(WP!$A:$AN,MATCH(F527,WP!$B:$B,0),MATCH("Obtain From",WP!$A$2:$AN$2,0))</f>
        <v>Clear an Invasion on Standard (One Starry Dragonyule)</v>
      </c>
    </row>
    <row r="527" spans="1:18" ht="22.5" customHeight="1" x14ac:dyDescent="0.2">
      <c r="A527" s="204" t="str">
        <f>TEXT(A524+1,"000")</f>
        <v>175</v>
      </c>
      <c r="B527" s="729"/>
      <c r="C527" s="8"/>
      <c r="D527" s="729"/>
      <c r="E527" s="8"/>
      <c r="F527" s="200" t="str">
        <f>"WP-"&amp;A527</f>
        <v>WP-175</v>
      </c>
      <c r="G527" s="200">
        <f>+INDEX(WP!$A:$AN,MATCH(F527,WP!$B:$B,0),MATCH("ID",WP!$A$2:$AN$2,0))</f>
        <v>400487</v>
      </c>
      <c r="I527" s="8"/>
      <c r="J527" s="180" t="s">
        <v>10762</v>
      </c>
      <c r="K527" s="201">
        <f>+INDEX(WP!$A:$AN,MATCH(F527,WP!$B:$B,0),14)</f>
        <v>5</v>
      </c>
      <c r="L527" s="202">
        <f>+INDEX(WP!$A:$AN,MATCH(F527,WP!$B:$B,0),15)</f>
        <v>150</v>
      </c>
      <c r="M527" s="202">
        <f>+INDEX(WP!$A:$AN,MATCH(F527,WP!$B:$B,0),16)</f>
        <v>90</v>
      </c>
      <c r="N527" s="202" t="e" vm="337">
        <f>IFERROR(_xlfn.IMAGE("https://natalie.tf/wp-content/uploads/2023/11/DLV3_Icon_Affinity_"&amp;O527&amp;".png"),"")</f>
        <v>#VALUE!</v>
      </c>
      <c r="O527" s="203" t="str">
        <f>+INDEX(WP!$A:$AN,MATCH(F527,WP!$B:$B,0),17)</f>
        <v>Serpent</v>
      </c>
      <c r="P527" s="8" t="e" vm="330">
        <f>_xlfn.IMAGE("https://natalie.tf/wp-content/uploads/2023/10/DLV3_Icon_Ability_"&amp;INDEX('WP-A'!$A$1:$Z$498,MATCH('WP-Print'!Q527,'WP-A'!$A:$A,0),MATCH("Icon",'WP-A'!$A$1:$Z$1,0))&amp;".png")</f>
        <v>#VALUE!</v>
      </c>
      <c r="Q527" s="231" t="str">
        <f>+INDEX(WP!$A:$AN,MATCH(F527,WP!$B:$B,0),MATCH("Ability V3",WP!$A$2:$AN$2,0))</f>
        <v>(Light) Skill Haste +10%</v>
      </c>
      <c r="R527" s="735"/>
    </row>
    <row r="528" spans="1:18" ht="7.5" customHeight="1" x14ac:dyDescent="0.2">
      <c r="A528" t="s">
        <v>10763</v>
      </c>
    </row>
    <row r="529" spans="1:18" ht="22.5" customHeight="1" x14ac:dyDescent="0.2">
      <c r="B529" s="729" t="e" vm="680">
        <f>_xlfn.IMAGE("https://natalie.tf/wp-content/uploads/2023/10/DLV3_Icon_WP_"&amp;G530&amp;"_01.png")</f>
        <v>#VALUE!</v>
      </c>
      <c r="D529" s="730" t="e" vm="681">
        <f>_xlfn.IMAGE("https://natalie.tf/wp-content/uploads/2023/10/DLV3_Icon_WP_"&amp;G530&amp;"_02.png")</f>
        <v>#VALUE!</v>
      </c>
      <c r="F529" s="717" t="str">
        <f>+INDEX(WP!$A:$AN,MATCH(F530,WP!$B:$B,0),MATCH("Name",WP!$A$2:$AN$2,0))</f>
        <v>Wings of Rebellion at Rest</v>
      </c>
      <c r="G529" s="718"/>
      <c r="H529" s="719"/>
      <c r="J529" s="180" t="s">
        <v>10761</v>
      </c>
      <c r="K529" s="201">
        <f>+INDEX(WP!$A:$AN,MATCH(F530,WP!$B:$B,0),5)</f>
        <v>5</v>
      </c>
      <c r="L529" s="202">
        <f>+INDEX(WP!$A:$AN,MATCH(F530,WP!$B:$B,0),6)</f>
        <v>88</v>
      </c>
      <c r="M529" s="202">
        <f>+INDEX(WP!$A:$AN,MATCH(F530,WP!$B:$B,0),7)</f>
        <v>32</v>
      </c>
      <c r="N529" s="202" t="e" vm="338">
        <f>IFERROR(_xlfn.IMAGE("https://natalie.tf/wp-content/uploads/2023/11/DLV3_Icon_Affinity_"&amp;O529&amp;".png"),"")</f>
        <v>#VALUE!</v>
      </c>
      <c r="O529" s="203" t="str">
        <f>IF(INDEX(WP!$A:$AN,MATCH(F530,WP!$B:$B,0),8)=0,"None",INDEX(WP!$A:$AN,MATCH(F530,WP!$B:$B,0),8))</f>
        <v>Wolf</v>
      </c>
      <c r="P529" s="8" t="e" vm="682">
        <f>_xlfn.IMAGE("https://natalie.tf/wp-content/uploads/2023/10/DLV3_Icon_Ability_"&amp;INDEX('WP-A'!$A$1:$Z$498,MATCH('WP-Print'!Q529,'WP-A'!$A:$A,0),MATCH("Icon",'WP-A'!$A$1:$Z$1,0))&amp;".png")</f>
        <v>#VALUE!</v>
      </c>
      <c r="Q529" s="231" t="str">
        <f>+INDEX(WP!$A:$AN,MATCH(F530,WP!$B:$B,0),MATCH("Ability",WP!$A$2:$AN$2,0))</f>
        <v>Frostbitten Punisher +25%</v>
      </c>
      <c r="R529" s="734" t="str">
        <f>+INDEX(WP!$A:$AN,MATCH(F530,WP!$B:$B,0),MATCH("Obtain From",WP!$A$2:$AN$2,0))</f>
        <v>Clear Tsukuyomi Clash: Expert (Celestial Showdown)</v>
      </c>
    </row>
    <row r="530" spans="1:18" ht="22.5" customHeight="1" x14ac:dyDescent="0.2">
      <c r="A530" s="204" t="str">
        <f>TEXT(A527+1,"000")</f>
        <v>176</v>
      </c>
      <c r="B530" s="729"/>
      <c r="C530" s="8"/>
      <c r="D530" s="729"/>
      <c r="E530" s="8"/>
      <c r="F530" s="200" t="str">
        <f>"WP-"&amp;A530</f>
        <v>WP-176</v>
      </c>
      <c r="G530" s="200">
        <f>+INDEX(WP!$A:$AN,MATCH(F530,WP!$B:$B,0),MATCH("ID",WP!$A$2:$AN$2,0))</f>
        <v>400493</v>
      </c>
      <c r="I530" s="8"/>
      <c r="J530" s="180" t="s">
        <v>10762</v>
      </c>
      <c r="K530" s="201">
        <f>+INDEX(WP!$A:$AN,MATCH(F530,WP!$B:$B,0),14)</f>
        <v>5</v>
      </c>
      <c r="L530" s="202">
        <f>+INDEX(WP!$A:$AN,MATCH(F530,WP!$B:$B,0),15)</f>
        <v>150</v>
      </c>
      <c r="M530" s="202">
        <f>+INDEX(WP!$A:$AN,MATCH(F530,WP!$B:$B,0),16)</f>
        <v>90</v>
      </c>
      <c r="N530" s="202" t="e" vm="338">
        <f>IFERROR(_xlfn.IMAGE("https://natalie.tf/wp-content/uploads/2023/11/DLV3_Icon_Affinity_"&amp;O530&amp;".png"),"")</f>
        <v>#VALUE!</v>
      </c>
      <c r="O530" s="203" t="str">
        <f>+INDEX(WP!$A:$AN,MATCH(F530,WP!$B:$B,0),17)</f>
        <v>Wolf</v>
      </c>
      <c r="P530" s="8" t="e" vm="682">
        <f>_xlfn.IMAGE("https://natalie.tf/wp-content/uploads/2023/10/DLV3_Icon_Ability_"&amp;INDEX('WP-A'!$A$1:$Z$498,MATCH('WP-Print'!Q530,'WP-A'!$A:$A,0),MATCH("Icon",'WP-A'!$A$1:$Z$1,0))&amp;".png")</f>
        <v>#VALUE!</v>
      </c>
      <c r="Q530" s="231" t="str">
        <f>+INDEX(WP!$A:$AN,MATCH(F530,WP!$B:$B,0),MATCH("Ability V3",WP!$A$2:$AN$2,0))</f>
        <v>Frostbitten Punisher +30%</v>
      </c>
      <c r="R530" s="735"/>
    </row>
    <row r="531" spans="1:18" ht="7.5" customHeight="1" x14ac:dyDescent="0.2">
      <c r="A531" t="s">
        <v>10763</v>
      </c>
    </row>
    <row r="532" spans="1:18" ht="22.5" customHeight="1" x14ac:dyDescent="0.2">
      <c r="B532" s="729" t="e" vm="683">
        <f>_xlfn.IMAGE("https://natalie.tf/wp-content/uploads/2023/10/DLV3_Icon_WP_"&amp;G533&amp;"_01.png")</f>
        <v>#VALUE!</v>
      </c>
      <c r="D532" s="730" t="e" vm="684">
        <f>_xlfn.IMAGE("https://natalie.tf/wp-content/uploads/2023/10/DLV3_Icon_WP_"&amp;G533&amp;"_02.png")</f>
        <v>#VALUE!</v>
      </c>
      <c r="F532" s="717" t="str">
        <f>+INDEX(WP!$A:$AN,MATCH(F533,WP!$B:$B,0),MATCH("Name",WP!$A$2:$AN$2,0))</f>
        <v>A Royal Tea Party</v>
      </c>
      <c r="G532" s="718"/>
      <c r="H532" s="719"/>
      <c r="J532" s="180" t="s">
        <v>10761</v>
      </c>
      <c r="K532" s="201">
        <f>+INDEX(WP!$A:$AN,MATCH(F533,WP!$B:$B,0),5)</f>
        <v>5</v>
      </c>
      <c r="L532" s="202">
        <f>+INDEX(WP!$A:$AN,MATCH(F533,WP!$B:$B,0),6)</f>
        <v>75</v>
      </c>
      <c r="M532" s="202">
        <f>+INDEX(WP!$A:$AN,MATCH(F533,WP!$B:$B,0),7)</f>
        <v>28</v>
      </c>
      <c r="N532" s="202" t="e" vm="340">
        <f>IFERROR(_xlfn.IMAGE("https://natalie.tf/wp-content/uploads/2023/11/DLV3_Icon_Affinity_"&amp;O532&amp;".png"),"")</f>
        <v>#VALUE!</v>
      </c>
      <c r="O532" s="203" t="str">
        <f>IF(INDEX(WP!$A:$AN,MATCH(F533,WP!$B:$B,0),8)=0,"None",INDEX(WP!$A:$AN,MATCH(F533,WP!$B:$B,0),8))</f>
        <v>Lance</v>
      </c>
      <c r="P532" s="8" t="e" vm="685">
        <f>_xlfn.IMAGE("https://natalie.tf/wp-content/uploads/2023/10/DLV3_Icon_Ability_"&amp;INDEX('WP-A'!$A$1:$Z$498,MATCH('WP-Print'!Q532,'WP-A'!$A:$A,0),MATCH("Icon",'WP-A'!$A$1:$Z$1,0))&amp;".png")</f>
        <v>#VALUE!</v>
      </c>
      <c r="Q532" s="231" t="str">
        <f>+INDEX(WP!$A:$AN,MATCH(F533,WP!$B:$B,0),MATCH("Ability",WP!$A$2:$AN$2,0))</f>
        <v>Debuff Skill Time +25%</v>
      </c>
      <c r="R532" s="734" t="str">
        <f>+INDEX(WP!$A:$AN,MATCH(F533,WP!$B:$B,0),MATCH("Obtain From",WP!$A$2:$AN$2,0))</f>
        <v>Clear A Twisted Hero: Master (The Blood That Binds)</v>
      </c>
    </row>
    <row r="533" spans="1:18" ht="22.5" customHeight="1" x14ac:dyDescent="0.2">
      <c r="A533" s="204" t="str">
        <f>TEXT(A530+1,"000")</f>
        <v>177</v>
      </c>
      <c r="B533" s="729"/>
      <c r="C533" s="8"/>
      <c r="D533" s="729"/>
      <c r="E533" s="8"/>
      <c r="F533" s="200" t="str">
        <f>"WP-"&amp;A533</f>
        <v>WP-177</v>
      </c>
      <c r="G533" s="200">
        <f>+INDEX(WP!$A:$AN,MATCH(F533,WP!$B:$B,0),MATCH("ID",WP!$A$2:$AN$2,0))</f>
        <v>400494</v>
      </c>
      <c r="I533" s="8"/>
      <c r="J533" s="180" t="s">
        <v>10762</v>
      </c>
      <c r="K533" s="201">
        <f>+INDEX(WP!$A:$AN,MATCH(F533,WP!$B:$B,0),14)</f>
        <v>5</v>
      </c>
      <c r="L533" s="202">
        <f>+INDEX(WP!$A:$AN,MATCH(F533,WP!$B:$B,0),15)</f>
        <v>150</v>
      </c>
      <c r="M533" s="202">
        <f>+INDEX(WP!$A:$AN,MATCH(F533,WP!$B:$B,0),16)</f>
        <v>90</v>
      </c>
      <c r="N533" s="202" t="e" vm="340">
        <f>IFERROR(_xlfn.IMAGE("https://natalie.tf/wp-content/uploads/2023/11/DLV3_Icon_Affinity_"&amp;O533&amp;".png"),"")</f>
        <v>#VALUE!</v>
      </c>
      <c r="O533" s="203" t="str">
        <f>+INDEX(WP!$A:$AN,MATCH(F533,WP!$B:$B,0),17)</f>
        <v>Lance</v>
      </c>
      <c r="P533" s="8" t="e" vm="685">
        <f>_xlfn.IMAGE("https://natalie.tf/wp-content/uploads/2023/10/DLV3_Icon_Ability_"&amp;INDEX('WP-A'!$A$1:$Z$498,MATCH('WP-Print'!Q533,'WP-A'!$A:$A,0),MATCH("Icon",'WP-A'!$A$1:$Z$1,0))&amp;".png")</f>
        <v>#VALUE!</v>
      </c>
      <c r="Q533" s="231" t="str">
        <f>+INDEX(WP!$A:$AN,MATCH(F533,WP!$B:$B,0),MATCH("Ability V3",WP!$A$2:$AN$2,0))</f>
        <v>Debuff Skill Time +30%</v>
      </c>
      <c r="R533" s="735"/>
    </row>
    <row r="534" spans="1:18" ht="7.5" customHeight="1" x14ac:dyDescent="0.2">
      <c r="A534" t="s">
        <v>10763</v>
      </c>
    </row>
    <row r="535" spans="1:18" ht="22.5" customHeight="1" x14ac:dyDescent="0.2">
      <c r="B535" s="729" t="e" vm="686">
        <f>_xlfn.IMAGE("https://natalie.tf/wp-content/uploads/2023/10/DLV3_Icon_WP_"&amp;G536&amp;"_01.png")</f>
        <v>#VALUE!</v>
      </c>
      <c r="D535" s="730" t="e" vm="687">
        <f>_xlfn.IMAGE("https://natalie.tf/wp-content/uploads/2023/10/DLV3_Icon_WP_"&amp;G536&amp;"_02.png")</f>
        <v>#VALUE!</v>
      </c>
      <c r="F535" s="717" t="str">
        <f>+INDEX(WP!$A:$AN,MATCH(F536,WP!$B:$B,0),MATCH("Name",WP!$A$2:$AN$2,0))</f>
        <v>A Wonderful Valentine's</v>
      </c>
      <c r="G535" s="718"/>
      <c r="H535" s="719"/>
      <c r="J535" s="180" t="s">
        <v>10761</v>
      </c>
      <c r="K535" s="201">
        <f>+INDEX(WP!$A:$AN,MATCH(F536,WP!$B:$B,0),5)</f>
        <v>5</v>
      </c>
      <c r="L535" s="202">
        <f>+INDEX(WP!$A:$AN,MATCH(F536,WP!$B:$B,0),6)</f>
        <v>88</v>
      </c>
      <c r="M535" s="202">
        <f>+INDEX(WP!$A:$AN,MATCH(F536,WP!$B:$B,0),7)</f>
        <v>32</v>
      </c>
      <c r="N535" s="202" t="e" vm="339">
        <f>IFERROR(_xlfn.IMAGE("https://natalie.tf/wp-content/uploads/2023/11/DLV3_Icon_Affinity_"&amp;O535&amp;".png"),"")</f>
        <v>#VALUE!</v>
      </c>
      <c r="O535" s="203" t="str">
        <f>IF(INDEX(WP!$A:$AN,MATCH(F536,WP!$B:$B,0),8)=0,"None",INDEX(WP!$A:$AN,MATCH(F536,WP!$B:$B,0),8))</f>
        <v>Sword</v>
      </c>
      <c r="P535" s="8" t="e" vm="688">
        <f>_xlfn.IMAGE("https://natalie.tf/wp-content/uploads/2023/10/DLV3_Icon_Ability_"&amp;INDEX('WP-A'!$A$1:$Z$498,MATCH('WP-Print'!Q535,'WP-A'!$A:$A,0),MATCH("Icon",'WP-A'!$A$1:$Z$1,0))&amp;".png")</f>
        <v>#VALUE!</v>
      </c>
      <c r="Q535" s="231" t="str">
        <f>+INDEX(WP!$A:$AN,MATCH(F536,WP!$B:$B,0),MATCH("Ability",WP!$A$2:$AN$2,0))</f>
        <v>Overdrive Punisher +15%</v>
      </c>
      <c r="R535" s="734" t="str">
        <f>+INDEX(WP!$A:$AN,MATCH(F536,WP!$B:$B,0),MATCH("Obtain From",WP!$A$2:$AN$2,0))</f>
        <v>Clear an Invasion on Standard (The Blood That Binds)</v>
      </c>
    </row>
    <row r="536" spans="1:18" ht="22.5" customHeight="1" x14ac:dyDescent="0.2">
      <c r="A536" s="204" t="str">
        <f>TEXT(A533+1,"000")</f>
        <v>178</v>
      </c>
      <c r="B536" s="729"/>
      <c r="C536" s="8"/>
      <c r="D536" s="729"/>
      <c r="E536" s="8"/>
      <c r="F536" s="200" t="str">
        <f>"WP-"&amp;A536</f>
        <v>WP-178</v>
      </c>
      <c r="G536" s="200">
        <f>+INDEX(WP!$A:$AN,MATCH(F536,WP!$B:$B,0),MATCH("ID",WP!$A$2:$AN$2,0))</f>
        <v>400496</v>
      </c>
      <c r="I536" s="8"/>
      <c r="J536" s="180" t="s">
        <v>10762</v>
      </c>
      <c r="K536" s="201">
        <f>+INDEX(WP!$A:$AN,MATCH(F536,WP!$B:$B,0),14)</f>
        <v>5</v>
      </c>
      <c r="L536" s="202">
        <f>+INDEX(WP!$A:$AN,MATCH(F536,WP!$B:$B,0),15)</f>
        <v>150</v>
      </c>
      <c r="M536" s="202">
        <f>+INDEX(WP!$A:$AN,MATCH(F536,WP!$B:$B,0),16)</f>
        <v>90</v>
      </c>
      <c r="N536" s="202" t="e" vm="339">
        <f>IFERROR(_xlfn.IMAGE("https://natalie.tf/wp-content/uploads/2023/11/DLV3_Icon_Affinity_"&amp;O536&amp;".png"),"")</f>
        <v>#VALUE!</v>
      </c>
      <c r="O536" s="203" t="str">
        <f>+INDEX(WP!$A:$AN,MATCH(F536,WP!$B:$B,0),17)</f>
        <v>Sword</v>
      </c>
      <c r="P536" s="8" t="e" vm="688">
        <f>_xlfn.IMAGE("https://natalie.tf/wp-content/uploads/2023/10/DLV3_Icon_Ability_"&amp;INDEX('WP-A'!$A$1:$Z$498,MATCH('WP-Print'!Q536,'WP-A'!$A:$A,0),MATCH("Icon",'WP-A'!$A$1:$Z$1,0))&amp;".png")</f>
        <v>#VALUE!</v>
      </c>
      <c r="Q536" s="231" t="str">
        <f>+INDEX(WP!$A:$AN,MATCH(F536,WP!$B:$B,0),MATCH("Ability V3",WP!$A$2:$AN$2,0))</f>
        <v>Overdrive Punisher +15%</v>
      </c>
      <c r="R536" s="735"/>
    </row>
    <row r="537" spans="1:18" ht="7.5" customHeight="1" x14ac:dyDescent="0.2">
      <c r="A537" t="s">
        <v>10763</v>
      </c>
    </row>
    <row r="538" spans="1:18" ht="22.5" customHeight="1" x14ac:dyDescent="0.2">
      <c r="B538" s="729" t="e" vm="689">
        <f>_xlfn.IMAGE("https://natalie.tf/wp-content/uploads/2023/10/DLV3_Icon_WP_"&amp;G539&amp;"_01.png")</f>
        <v>#VALUE!</v>
      </c>
      <c r="D538" s="730" t="e" vm="690">
        <f>_xlfn.IMAGE("https://natalie.tf/wp-content/uploads/2023/10/DLV3_Icon_WP_"&amp;G539&amp;"_02.png")</f>
        <v>#VALUE!</v>
      </c>
      <c r="F538" s="717" t="str">
        <f>+INDEX(WP!$A:$AN,MATCH(F539,WP!$B:$B,0),MATCH("Name",WP!$A$2:$AN$2,0))</f>
        <v>Hospitality &amp; Harmony</v>
      </c>
      <c r="G538" s="718"/>
      <c r="H538" s="719"/>
      <c r="J538" s="180" t="s">
        <v>10761</v>
      </c>
      <c r="K538" s="201">
        <f>+INDEX(WP!$A:$AN,MATCH(F539,WP!$B:$B,0),5)</f>
        <v>5</v>
      </c>
      <c r="L538" s="202">
        <f>+INDEX(WP!$A:$AN,MATCH(F539,WP!$B:$B,0),6)</f>
        <v>75</v>
      </c>
      <c r="M538" s="202">
        <f>+INDEX(WP!$A:$AN,MATCH(F539,WP!$B:$B,0),7)</f>
        <v>28</v>
      </c>
      <c r="N538" s="202" t="e" vm="342">
        <f>IFERROR(_xlfn.IMAGE("https://natalie.tf/wp-content/uploads/2023/11/DLV3_Icon_Affinity_"&amp;O538&amp;".png"),"")</f>
        <v>#VALUE!</v>
      </c>
      <c r="O538" s="203" t="str">
        <f>IF(INDEX(WP!$A:$AN,MATCH(F539,WP!$B:$B,0),8)=0,"None",INDEX(WP!$A:$AN,MATCH(F539,WP!$B:$B,0),8))</f>
        <v>Bow</v>
      </c>
      <c r="P538" s="8" t="e" vm="349">
        <f>_xlfn.IMAGE("https://natalie.tf/wp-content/uploads/2023/10/DLV3_Icon_Ability_"&amp;INDEX('WP-A'!$A$1:$Z$498,MATCH('WP-Print'!Q538,'WP-A'!$A:$A,0),MATCH("Icon",'WP-A'!$A$1:$Z$1,0))&amp;".png")</f>
        <v>#VALUE!</v>
      </c>
      <c r="Q538" s="231" t="str">
        <f>+INDEX(WP!$A:$AN,MATCH(F539,WP!$B:$B,0),MATCH("Ability",WP!$A$2:$AN$2,0))</f>
        <v>(Staff) Recovery Potency +20%</v>
      </c>
      <c r="R538" s="734" t="str">
        <f>+INDEX(WP!$A:$AN,MATCH(F539,WP!$B:$B,0),MATCH("Obtain From",WP!$A$2:$AN$2,0))</f>
        <v>Clear Emile's Trial: Master (Operation: At Your Service)</v>
      </c>
    </row>
    <row r="539" spans="1:18" ht="22.5" customHeight="1" x14ac:dyDescent="0.2">
      <c r="A539" s="204" t="str">
        <f>TEXT(A536+1,"000")</f>
        <v>179</v>
      </c>
      <c r="B539" s="729"/>
      <c r="C539" s="8"/>
      <c r="D539" s="729"/>
      <c r="E539" s="8"/>
      <c r="F539" s="200" t="str">
        <f>"WP-"&amp;A539</f>
        <v>WP-179</v>
      </c>
      <c r="G539" s="200">
        <f>+INDEX(WP!$A:$AN,MATCH(F539,WP!$B:$B,0),MATCH("ID",WP!$A$2:$AN$2,0))</f>
        <v>400497</v>
      </c>
      <c r="I539" s="8"/>
      <c r="J539" s="180" t="s">
        <v>10762</v>
      </c>
      <c r="K539" s="201">
        <f>+INDEX(WP!$A:$AN,MATCH(F539,WP!$B:$B,0),14)</f>
        <v>5</v>
      </c>
      <c r="L539" s="202">
        <f>+INDEX(WP!$A:$AN,MATCH(F539,WP!$B:$B,0),15)</f>
        <v>150</v>
      </c>
      <c r="M539" s="202">
        <f>+INDEX(WP!$A:$AN,MATCH(F539,WP!$B:$B,0),16)</f>
        <v>90</v>
      </c>
      <c r="N539" s="202" t="e" vm="342">
        <f>IFERROR(_xlfn.IMAGE("https://natalie.tf/wp-content/uploads/2023/11/DLV3_Icon_Affinity_"&amp;O539&amp;".png"),"")</f>
        <v>#VALUE!</v>
      </c>
      <c r="O539" s="203" t="str">
        <f>+INDEX(WP!$A:$AN,MATCH(F539,WP!$B:$B,0),17)</f>
        <v>Bow</v>
      </c>
      <c r="P539" s="8" t="e" vm="349">
        <f>_xlfn.IMAGE("https://natalie.tf/wp-content/uploads/2023/10/DLV3_Icon_Ability_"&amp;INDEX('WP-A'!$A$1:$Z$498,MATCH('WP-Print'!Q539,'WP-A'!$A:$A,0),MATCH("Icon",'WP-A'!$A$1:$Z$1,0))&amp;".png")</f>
        <v>#VALUE!</v>
      </c>
      <c r="Q539" s="231" t="str">
        <f>+INDEX(WP!$A:$AN,MATCH(F539,WP!$B:$B,0),MATCH("Ability V3",WP!$A$2:$AN$2,0))</f>
        <v>(Staff) Recovery Potency +20%</v>
      </c>
      <c r="R539" s="735"/>
    </row>
    <row r="540" spans="1:18" ht="7.5" customHeight="1" x14ac:dyDescent="0.2">
      <c r="A540" t="s">
        <v>10763</v>
      </c>
    </row>
    <row r="541" spans="1:18" ht="22.5" customHeight="1" x14ac:dyDescent="0.2">
      <c r="B541" s="729" t="e" vm="691">
        <f>_xlfn.IMAGE("https://natalie.tf/wp-content/uploads/2023/10/DLV3_Icon_WP_"&amp;G542&amp;"_01.png")</f>
        <v>#VALUE!</v>
      </c>
      <c r="D541" s="730" t="e" vm="692">
        <f>_xlfn.IMAGE("https://natalie.tf/wp-content/uploads/2023/10/DLV3_Icon_WP_"&amp;G542&amp;"_02.png")</f>
        <v>#VALUE!</v>
      </c>
      <c r="F541" s="717" t="str">
        <f>+INDEX(WP!$A:$AN,MATCH(F542,WP!$B:$B,0),MATCH("Name",WP!$A$2:$AN$2,0))</f>
        <v>What Dreams May Come</v>
      </c>
      <c r="G541" s="718"/>
      <c r="H541" s="719"/>
      <c r="J541" s="180" t="s">
        <v>10761</v>
      </c>
      <c r="K541" s="201">
        <f>+INDEX(WP!$A:$AN,MATCH(F542,WP!$B:$B,0),5)</f>
        <v>5</v>
      </c>
      <c r="L541" s="202">
        <f>+INDEX(WP!$A:$AN,MATCH(F542,WP!$B:$B,0),6)</f>
        <v>88</v>
      </c>
      <c r="M541" s="202">
        <f>+INDEX(WP!$A:$AN,MATCH(F542,WP!$B:$B,0),7)</f>
        <v>32</v>
      </c>
      <c r="N541" s="202" t="e" vm="342">
        <f>IFERROR(_xlfn.IMAGE("https://natalie.tf/wp-content/uploads/2023/11/DLV3_Icon_Affinity_"&amp;O541&amp;".png"),"")</f>
        <v>#VALUE!</v>
      </c>
      <c r="O541" s="203" t="str">
        <f>IF(INDEX(WP!$A:$AN,MATCH(F542,WP!$B:$B,0),8)=0,"None",INDEX(WP!$A:$AN,MATCH(F542,WP!$B:$B,0),8))</f>
        <v>Bow</v>
      </c>
      <c r="P541" s="8" t="e" vm="693">
        <f>_xlfn.IMAGE("https://natalie.tf/wp-content/uploads/2023/10/DLV3_Icon_Ability_"&amp;INDEX('WP-A'!$A$1:$Z$498,MATCH('WP-Print'!Q541,'WP-A'!$A:$A,0),MATCH("Icon",'WP-A'!$A$1:$Z$1,0))&amp;".png")</f>
        <v>#VALUE!</v>
      </c>
      <c r="Q541" s="231" t="str">
        <f>+INDEX(WP!$A:$AN,MATCH(F542,WP!$B:$B,0),MATCH("Ability",WP!$A$2:$AN$2,0))</f>
        <v>Combo Time +2</v>
      </c>
      <c r="R541" s="734" t="str">
        <f>+INDEX(WP!$A:$AN,MATCH(F542,WP!$B:$B,0),MATCH("Obtain From",WP!$A$2:$AN$2,0))</f>
        <v>Clear an Invasion on Standard (Operation: At Your Service)</v>
      </c>
    </row>
    <row r="542" spans="1:18" ht="22.5" customHeight="1" x14ac:dyDescent="0.2">
      <c r="A542" s="204" t="str">
        <f>TEXT(A539+1,"000")</f>
        <v>180</v>
      </c>
      <c r="B542" s="729"/>
      <c r="C542" s="8"/>
      <c r="D542" s="729"/>
      <c r="E542" s="8"/>
      <c r="F542" s="200" t="str">
        <f>"WP-"&amp;A542</f>
        <v>WP-180</v>
      </c>
      <c r="G542" s="200">
        <f>+INDEX(WP!$A:$AN,MATCH(F542,WP!$B:$B,0),MATCH("ID",WP!$A$2:$AN$2,0))</f>
        <v>400500</v>
      </c>
      <c r="I542" s="8"/>
      <c r="J542" s="180" t="s">
        <v>10762</v>
      </c>
      <c r="K542" s="201">
        <f>+INDEX(WP!$A:$AN,MATCH(F542,WP!$B:$B,0),14)</f>
        <v>5</v>
      </c>
      <c r="L542" s="202">
        <f>+INDEX(WP!$A:$AN,MATCH(F542,WP!$B:$B,0),15)</f>
        <v>150</v>
      </c>
      <c r="M542" s="202">
        <f>+INDEX(WP!$A:$AN,MATCH(F542,WP!$B:$B,0),16)</f>
        <v>90</v>
      </c>
      <c r="N542" s="202" t="e" vm="342">
        <f>IFERROR(_xlfn.IMAGE("https://natalie.tf/wp-content/uploads/2023/11/DLV3_Icon_Affinity_"&amp;O542&amp;".png"),"")</f>
        <v>#VALUE!</v>
      </c>
      <c r="O542" s="203" t="str">
        <f>+INDEX(WP!$A:$AN,MATCH(F542,WP!$B:$B,0),17)</f>
        <v>Bow</v>
      </c>
      <c r="P542" s="8" t="e" vm="693">
        <f>_xlfn.IMAGE("https://natalie.tf/wp-content/uploads/2023/10/DLV3_Icon_Ability_"&amp;INDEX('WP-A'!$A$1:$Z$498,MATCH('WP-Print'!Q542,'WP-A'!$A:$A,0),MATCH("Icon",'WP-A'!$A$1:$Z$1,0))&amp;".png")</f>
        <v>#VALUE!</v>
      </c>
      <c r="Q542" s="231" t="str">
        <f>+INDEX(WP!$A:$AN,MATCH(F542,WP!$B:$B,0),MATCH("Ability V3",WP!$A$2:$AN$2,0))</f>
        <v>Combo Time +2</v>
      </c>
      <c r="R542" s="735"/>
    </row>
    <row r="543" spans="1:18" ht="7.5" customHeight="1" x14ac:dyDescent="0.2">
      <c r="A543" t="s">
        <v>10763</v>
      </c>
    </row>
    <row r="544" spans="1:18" ht="22.5" customHeight="1" x14ac:dyDescent="0.2">
      <c r="B544" s="729" t="e" vm="694">
        <f>_xlfn.IMAGE("https://natalie.tf/wp-content/uploads/2023/10/DLV3_Icon_WP_"&amp;G545&amp;"_01.png")</f>
        <v>#VALUE!</v>
      </c>
      <c r="D544" s="730" t="e" vm="695">
        <f>_xlfn.IMAGE("https://natalie.tf/wp-content/uploads/2023/10/DLV3_Icon_WP_"&amp;G545&amp;"_02.png")</f>
        <v>#VALUE!</v>
      </c>
      <c r="F544" s="717" t="str">
        <f>+INDEX(WP!$A:$AN,MATCH(F545,WP!$B:$B,0),MATCH("Name",WP!$A$2:$AN$2,0))</f>
        <v>Getting Acquainted</v>
      </c>
      <c r="G544" s="718"/>
      <c r="H544" s="719"/>
      <c r="J544" s="180" t="s">
        <v>10761</v>
      </c>
      <c r="K544" s="201">
        <f>+INDEX(WP!$A:$AN,MATCH(F545,WP!$B:$B,0),5)</f>
        <v>5</v>
      </c>
      <c r="L544" s="202">
        <f>+INDEX(WP!$A:$AN,MATCH(F545,WP!$B:$B,0),6)</f>
        <v>88</v>
      </c>
      <c r="M544" s="202">
        <f>+INDEX(WP!$A:$AN,MATCH(F545,WP!$B:$B,0),7)</f>
        <v>32</v>
      </c>
      <c r="N544" s="202" t="str">
        <f ca="1">IFERROR(_xlfn.IMAGE("https://natalie.tf/wp-content/uploads/2023/11/DLV3_Icon_Affinity_"&amp;O544&amp;".png"),"")</f>
        <v/>
      </c>
      <c r="O544" s="203" t="str">
        <f>IF(INDEX(WP!$A:$AN,MATCH(F545,WP!$B:$B,0),8)=0,"None",INDEX(WP!$A:$AN,MATCH(F545,WP!$B:$B,0),8))</f>
        <v>None</v>
      </c>
      <c r="P544" s="8" t="e" vm="696">
        <f>_xlfn.IMAGE("https://natalie.tf/wp-content/uploads/2023/10/DLV3_Icon_Ability_"&amp;INDEX('WP-A'!$A$1:$Z$498,MATCH('WP-Print'!Q544,'WP-A'!$A:$A,0),MATCH("Icon",'WP-A'!$A$1:$Z$1,0))&amp;".png")</f>
        <v>#VALUE!</v>
      </c>
      <c r="Q544" s="231" t="str">
        <f>+INDEX(WP!$A:$AN,MATCH(F545,WP!$B:$B,0),MATCH("Ability",WP!$A$2:$AN$2,0))</f>
        <v>Elemental Res +10%</v>
      </c>
      <c r="R544" s="734" t="str">
        <f>+INDEX(WP!$A:$AN,MATCH(F545,WP!$B:$B,0),MATCH("Obtain From",WP!$A$2:$AN$2,0))</f>
        <v>Clear True Bahamut Clash: Expert (Advent of the Origin)</v>
      </c>
    </row>
    <row r="545" spans="1:18" ht="22.5" customHeight="1" x14ac:dyDescent="0.2">
      <c r="A545" s="204" t="str">
        <f>TEXT(A542+1,"000")</f>
        <v>181</v>
      </c>
      <c r="B545" s="729"/>
      <c r="C545" s="8"/>
      <c r="D545" s="729"/>
      <c r="E545" s="8"/>
      <c r="F545" s="200" t="str">
        <f>"WP-"&amp;A545</f>
        <v>WP-181</v>
      </c>
      <c r="G545" s="200">
        <f>+INDEX(WP!$A:$AN,MATCH(F545,WP!$B:$B,0),MATCH("ID",WP!$A$2:$AN$2,0))</f>
        <v>400502</v>
      </c>
      <c r="I545" s="8"/>
      <c r="J545" s="180" t="s">
        <v>10762</v>
      </c>
      <c r="K545" s="201">
        <f>+INDEX(WP!$A:$AN,MATCH(F545,WP!$B:$B,0),14)</f>
        <v>5</v>
      </c>
      <c r="L545" s="202">
        <f>+INDEX(WP!$A:$AN,MATCH(F545,WP!$B:$B,0),15)</f>
        <v>150</v>
      </c>
      <c r="M545" s="202">
        <f>+INDEX(WP!$A:$AN,MATCH(F545,WP!$B:$B,0),16)</f>
        <v>90</v>
      </c>
      <c r="N545" s="202" t="e" vm="340">
        <f>IFERROR(_xlfn.IMAGE("https://natalie.tf/wp-content/uploads/2023/11/DLV3_Icon_Affinity_"&amp;O545&amp;".png"),"")</f>
        <v>#VALUE!</v>
      </c>
      <c r="O545" s="203" t="str">
        <f>+INDEX(WP!$A:$AN,MATCH(F545,WP!$B:$B,0),17)</f>
        <v>Lance</v>
      </c>
      <c r="P545" s="8" t="e" vm="696">
        <f>_xlfn.IMAGE("https://natalie.tf/wp-content/uploads/2023/10/DLV3_Icon_Ability_"&amp;INDEX('WP-A'!$A$1:$Z$498,MATCH('WP-Print'!Q545,'WP-A'!$A:$A,0),MATCH("Icon",'WP-A'!$A$1:$Z$1,0))&amp;".png")</f>
        <v>#VALUE!</v>
      </c>
      <c r="Q545" s="231" t="str">
        <f>+INDEX(WP!$A:$AN,MATCH(F545,WP!$B:$B,0),MATCH("Ability V3",WP!$A$2:$AN$2,0))</f>
        <v>Elemental Res +10%</v>
      </c>
      <c r="R545" s="735"/>
    </row>
    <row r="546" spans="1:18" ht="7.5" customHeight="1" x14ac:dyDescent="0.2">
      <c r="A546" t="s">
        <v>10763</v>
      </c>
    </row>
    <row r="547" spans="1:18" ht="22.5" customHeight="1" x14ac:dyDescent="0.2">
      <c r="B547" s="729" t="e" vm="697">
        <f>_xlfn.IMAGE("https://natalie.tf/wp-content/uploads/2023/10/DLV3_Icon_WP_"&amp;G548&amp;"_01.png")</f>
        <v>#VALUE!</v>
      </c>
      <c r="D547" s="730" t="e" vm="698">
        <f>_xlfn.IMAGE("https://natalie.tf/wp-content/uploads/2023/10/DLV3_Icon_WP_"&amp;G548&amp;"_02.png")</f>
        <v>#VALUE!</v>
      </c>
      <c r="F547" s="717" t="str">
        <f>+INDEX(WP!$A:$AN,MATCH(F548,WP!$B:$B,0),MATCH("Name",WP!$A$2:$AN$2,0))</f>
        <v>The Wind's Guidance</v>
      </c>
      <c r="G547" s="718"/>
      <c r="H547" s="719"/>
      <c r="J547" s="180" t="s">
        <v>10761</v>
      </c>
      <c r="K547" s="201">
        <f>+INDEX(WP!$A:$AN,MATCH(F548,WP!$B:$B,0),5)</f>
        <v>5</v>
      </c>
      <c r="L547" s="202">
        <f>+INDEX(WP!$A:$AN,MATCH(F548,WP!$B:$B,0),6)</f>
        <v>75</v>
      </c>
      <c r="M547" s="202">
        <f>+INDEX(WP!$A:$AN,MATCH(F548,WP!$B:$B,0),7)</f>
        <v>28</v>
      </c>
      <c r="N547" s="202" t="e" vm="381">
        <f>IFERROR(_xlfn.IMAGE("https://natalie.tf/wp-content/uploads/2023/11/DLV3_Icon_Affinity_"&amp;O547&amp;".png"),"")</f>
        <v>#VALUE!</v>
      </c>
      <c r="O547" s="203" t="str">
        <f>IF(INDEX(WP!$A:$AN,MATCH(F548,WP!$B:$B,0),8)=0,"None",INDEX(WP!$A:$AN,MATCH(F548,WP!$B:$B,0),8))</f>
        <v>Dragon</v>
      </c>
      <c r="P547" s="8" t="e" vm="601">
        <f>_xlfn.IMAGE("https://natalie.tf/wp-content/uploads/2023/10/DLV3_Icon_Ability_"&amp;INDEX('WP-A'!$A$1:$Z$498,MATCH('WP-Print'!Q547,'WP-A'!$A:$A,0),MATCH("Icon",'WP-A'!$A$1:$Z$1,0))&amp;".png")</f>
        <v>#VALUE!</v>
      </c>
      <c r="Q547" s="231" t="str">
        <f>+INDEX(WP!$A:$AN,MATCH(F548,WP!$B:$B,0),MATCH("Ability",WP!$A$2:$AN$2,0))</f>
        <v>(Wind) Dragon Haste +15%</v>
      </c>
      <c r="R547" s="734" t="str">
        <f>+INDEX(WP!$A:$AN,MATCH(F548,WP!$B:$B,0),MATCH("Obtain From",WP!$A$2:$AN$2,0))</f>
        <v>Read the Epilogue (Advent of the Origin)</v>
      </c>
    </row>
    <row r="548" spans="1:18" ht="22.5" customHeight="1" x14ac:dyDescent="0.2">
      <c r="A548" s="204" t="str">
        <f>TEXT(A545+1,"000")</f>
        <v>182</v>
      </c>
      <c r="B548" s="729"/>
      <c r="C548" s="8"/>
      <c r="D548" s="729"/>
      <c r="E548" s="8"/>
      <c r="F548" s="200" t="str">
        <f>"WP-"&amp;A548</f>
        <v>WP-182</v>
      </c>
      <c r="G548" s="200">
        <f>+INDEX(WP!$A:$AN,MATCH(F548,WP!$B:$B,0),MATCH("ID",WP!$A$2:$AN$2,0))</f>
        <v>400501</v>
      </c>
      <c r="I548" s="8"/>
      <c r="J548" s="180" t="s">
        <v>10762</v>
      </c>
      <c r="K548" s="201">
        <f>+INDEX(WP!$A:$AN,MATCH(F548,WP!$B:$B,0),14)</f>
        <v>5</v>
      </c>
      <c r="L548" s="202">
        <f>+INDEX(WP!$A:$AN,MATCH(F548,WP!$B:$B,0),15)</f>
        <v>150</v>
      </c>
      <c r="M548" s="202">
        <f>+INDEX(WP!$A:$AN,MATCH(F548,WP!$B:$B,0),16)</f>
        <v>90</v>
      </c>
      <c r="N548" s="202" t="e" vm="381">
        <f>IFERROR(_xlfn.IMAGE("https://natalie.tf/wp-content/uploads/2023/11/DLV3_Icon_Affinity_"&amp;O548&amp;".png"),"")</f>
        <v>#VALUE!</v>
      </c>
      <c r="O548" s="203" t="str">
        <f>+INDEX(WP!$A:$AN,MATCH(F548,WP!$B:$B,0),17)</f>
        <v>Dragon</v>
      </c>
      <c r="P548" s="8" t="e" vm="601">
        <f>_xlfn.IMAGE("https://natalie.tf/wp-content/uploads/2023/10/DLV3_Icon_Ability_"&amp;INDEX('WP-A'!$A$1:$Z$498,MATCH('WP-Print'!Q548,'WP-A'!$A:$A,0),MATCH("Icon",'WP-A'!$A$1:$Z$1,0))&amp;".png")</f>
        <v>#VALUE!</v>
      </c>
      <c r="Q548" s="231" t="str">
        <f>+INDEX(WP!$A:$AN,MATCH(F548,WP!$B:$B,0),MATCH("Ability V3",WP!$A$2:$AN$2,0))</f>
        <v>(Wind) Dragon Haste +15%</v>
      </c>
      <c r="R548" s="735"/>
    </row>
    <row r="549" spans="1:18" ht="22.5" customHeight="1" x14ac:dyDescent="0.2">
      <c r="A549" t="s">
        <v>10763</v>
      </c>
    </row>
    <row r="550" spans="1:18" ht="22.5" customHeight="1" x14ac:dyDescent="0.2">
      <c r="B550" s="729" t="e" vm="699">
        <f>_xlfn.IMAGE("https://natalie.tf/wp-content/uploads/2023/10/DLV3_Icon_WP_"&amp;G551&amp;"_01.png")</f>
        <v>#VALUE!</v>
      </c>
      <c r="D550" s="730" t="e" vm="700">
        <f>_xlfn.IMAGE("https://natalie.tf/wp-content/uploads/2023/10/DLV3_Icon_WP_"&amp;G551&amp;"_02.png")</f>
        <v>#VALUE!</v>
      </c>
      <c r="F550" s="717" t="str">
        <f>+INDEX(WP!$A:$AN,MATCH(F551,WP!$B:$B,0),MATCH("Name",WP!$A$2:$AN$2,0))</f>
        <v>An Undying Memory</v>
      </c>
      <c r="G550" s="718"/>
      <c r="H550" s="719"/>
      <c r="J550" s="180" t="s">
        <v>10761</v>
      </c>
      <c r="K550" s="201">
        <f>+INDEX(WP!$A:$AN,MATCH(F551,WP!$B:$B,0),5)</f>
        <v>5</v>
      </c>
      <c r="L550" s="202">
        <f>+INDEX(WP!$A:$AN,MATCH(F551,WP!$B:$B,0),6)</f>
        <v>75</v>
      </c>
      <c r="M550" s="202">
        <f>+INDEX(WP!$A:$AN,MATCH(F551,WP!$B:$B,0),7)</f>
        <v>28</v>
      </c>
      <c r="N550" s="202" t="e" vm="381">
        <f>IFERROR(_xlfn.IMAGE("https://natalie.tf/wp-content/uploads/2023/11/DLV3_Icon_Affinity_"&amp;O550&amp;".png"),"")</f>
        <v>#VALUE!</v>
      </c>
      <c r="O550" s="203" t="str">
        <f>IF(INDEX(WP!$A:$AN,MATCH(F551,WP!$B:$B,0),8)=0,"None",INDEX(WP!$A:$AN,MATCH(F551,WP!$B:$B,0),8))</f>
        <v>Dragon</v>
      </c>
      <c r="P550" s="8" t="e" vm="601">
        <f>_xlfn.IMAGE("https://natalie.tf/wp-content/uploads/2023/10/DLV3_Icon_Ability_"&amp;INDEX('WP-A'!$A$1:$Z$498,MATCH('WP-Print'!Q550,'WP-A'!$A:$A,0),MATCH("Icon",'WP-A'!$A$1:$Z$1,0))&amp;".png")</f>
        <v>#VALUE!</v>
      </c>
      <c r="Q550" s="231" t="str">
        <f>+INDEX(WP!$A:$AN,MATCH(F551,WP!$B:$B,0),MATCH("Ability",WP!$A$2:$AN$2,0))</f>
        <v>(Flame) Dragon Haste +15%</v>
      </c>
      <c r="R550" s="734" t="str">
        <f>+INDEX(WP!$A:$AN,MATCH(F551,WP!$B:$B,0),MATCH("Obtain From",WP!$A$2:$AN$2,0))</f>
        <v>Read the Epilogue (Advent of the Origin)</v>
      </c>
    </row>
    <row r="551" spans="1:18" ht="22.5" customHeight="1" x14ac:dyDescent="0.2">
      <c r="A551" s="204" t="str">
        <f>TEXT(A548+1,"000")</f>
        <v>183</v>
      </c>
      <c r="B551" s="729"/>
      <c r="C551" s="8"/>
      <c r="D551" s="729"/>
      <c r="E551" s="8"/>
      <c r="F551" s="200" t="str">
        <f>"WP-"&amp;A551</f>
        <v>WP-183</v>
      </c>
      <c r="G551" s="200">
        <f>+INDEX(WP!$A:$AN,MATCH(F551,WP!$B:$B,0),MATCH("ID",WP!$A$2:$AN$2,0))</f>
        <v>400122</v>
      </c>
      <c r="I551" s="8"/>
      <c r="J551" s="180" t="s">
        <v>10762</v>
      </c>
      <c r="K551" s="201">
        <f>+INDEX(WP!$A:$AN,MATCH(F551,WP!$B:$B,0),14)</f>
        <v>5</v>
      </c>
      <c r="L551" s="202">
        <f>+INDEX(WP!$A:$AN,MATCH(F551,WP!$B:$B,0),15)</f>
        <v>150</v>
      </c>
      <c r="M551" s="202">
        <f>+INDEX(WP!$A:$AN,MATCH(F551,WP!$B:$B,0),16)</f>
        <v>90</v>
      </c>
      <c r="N551" s="202" t="e" vm="381">
        <f>IFERROR(_xlfn.IMAGE("https://natalie.tf/wp-content/uploads/2023/11/DLV3_Icon_Affinity_"&amp;O551&amp;".png"),"")</f>
        <v>#VALUE!</v>
      </c>
      <c r="O551" s="203" t="str">
        <f>+INDEX(WP!$A:$AN,MATCH(F551,WP!$B:$B,0),17)</f>
        <v>Dragon</v>
      </c>
      <c r="P551" s="8" t="e" vm="601">
        <f>_xlfn.IMAGE("https://natalie.tf/wp-content/uploads/2023/10/DLV3_Icon_Ability_"&amp;INDEX('WP-A'!$A$1:$Z$498,MATCH('WP-Print'!Q551,'WP-A'!$A:$A,0),MATCH("Icon",'WP-A'!$A$1:$Z$1,0))&amp;".png")</f>
        <v>#VALUE!</v>
      </c>
      <c r="Q551" s="231" t="str">
        <f>+INDEX(WP!$A:$AN,MATCH(F551,WP!$B:$B,0),MATCH("Ability V3",WP!$A$2:$AN$2,0))</f>
        <v>(Flame) Dragon Haste +15%</v>
      </c>
      <c r="R551" s="735"/>
    </row>
    <row r="552" spans="1:18" ht="7.5" customHeight="1" x14ac:dyDescent="0.2">
      <c r="A552" t="s">
        <v>10763</v>
      </c>
    </row>
    <row r="553" spans="1:18" ht="22.5" customHeight="1" x14ac:dyDescent="0.2">
      <c r="B553" s="729" t="e" vm="701">
        <f>_xlfn.IMAGE("https://natalie.tf/wp-content/uploads/2023/10/DLV3_Icon_WP_"&amp;G554&amp;"_01.png")</f>
        <v>#VALUE!</v>
      </c>
      <c r="D553" s="730" t="e" vm="702">
        <f>_xlfn.IMAGE("https://natalie.tf/wp-content/uploads/2023/10/DLV3_Icon_WP_"&amp;G554&amp;"_02.png")</f>
        <v>#VALUE!</v>
      </c>
      <c r="F553" s="717" t="str">
        <f>+INDEX(WP!$A:$AN,MATCH(F554,WP!$B:$B,0),MATCH("Name",WP!$A$2:$AN$2,0))</f>
        <v>Peaceful Waterfront</v>
      </c>
      <c r="G553" s="718"/>
      <c r="H553" s="719"/>
      <c r="J553" s="180" t="s">
        <v>10761</v>
      </c>
      <c r="K553" s="201">
        <f>+INDEX(WP!$A:$AN,MATCH(F554,WP!$B:$B,0),5)</f>
        <v>5</v>
      </c>
      <c r="L553" s="202">
        <f>+INDEX(WP!$A:$AN,MATCH(F554,WP!$B:$B,0),6)</f>
        <v>75</v>
      </c>
      <c r="M553" s="202">
        <f>+INDEX(WP!$A:$AN,MATCH(F554,WP!$B:$B,0),7)</f>
        <v>28</v>
      </c>
      <c r="N553" s="202" t="e" vm="381">
        <f>IFERROR(_xlfn.IMAGE("https://natalie.tf/wp-content/uploads/2023/11/DLV3_Icon_Affinity_"&amp;O553&amp;".png"),"")</f>
        <v>#VALUE!</v>
      </c>
      <c r="O553" s="203" t="str">
        <f>IF(INDEX(WP!$A:$AN,MATCH(F554,WP!$B:$B,0),8)=0,"None",INDEX(WP!$A:$AN,MATCH(F554,WP!$B:$B,0),8))</f>
        <v>Dragon</v>
      </c>
      <c r="P553" s="8" t="e" vm="601">
        <f>_xlfn.IMAGE("https://natalie.tf/wp-content/uploads/2023/10/DLV3_Icon_Ability_"&amp;INDEX('WP-A'!$A$1:$Z$498,MATCH('WP-Print'!Q553,'WP-A'!$A:$A,0),MATCH("Icon",'WP-A'!$A$1:$Z$1,0))&amp;".png")</f>
        <v>#VALUE!</v>
      </c>
      <c r="Q553" s="231" t="str">
        <f>+INDEX(WP!$A:$AN,MATCH(F554,WP!$B:$B,0),MATCH("Ability",WP!$A$2:$AN$2,0))</f>
        <v>(Water) Dragon Haste +15%</v>
      </c>
      <c r="R553" s="734" t="str">
        <f>+INDEX(WP!$A:$AN,MATCH(F554,WP!$B:$B,0),MATCH("Obtain From",WP!$A$2:$AN$2,0))</f>
        <v>Read the Epilogue (Advent of the Origin)</v>
      </c>
    </row>
    <row r="554" spans="1:18" ht="22.5" customHeight="1" x14ac:dyDescent="0.2">
      <c r="A554" s="204" t="str">
        <f>TEXT(A551+1,"000")</f>
        <v>184</v>
      </c>
      <c r="B554" s="729"/>
      <c r="C554" s="8"/>
      <c r="D554" s="729"/>
      <c r="E554" s="8"/>
      <c r="F554" s="200" t="str">
        <f>"WP-"&amp;A554</f>
        <v>WP-184</v>
      </c>
      <c r="G554" s="200">
        <f>+INDEX(WP!$A:$AN,MATCH(F554,WP!$B:$B,0),MATCH("ID",WP!$A$2:$AN$2,0))</f>
        <v>400134</v>
      </c>
      <c r="I554" s="8"/>
      <c r="J554" s="180" t="s">
        <v>10762</v>
      </c>
      <c r="K554" s="201">
        <f>+INDEX(WP!$A:$AN,MATCH(F554,WP!$B:$B,0),14)</f>
        <v>5</v>
      </c>
      <c r="L554" s="202">
        <f>+INDEX(WP!$A:$AN,MATCH(F554,WP!$B:$B,0),15)</f>
        <v>150</v>
      </c>
      <c r="M554" s="202">
        <f>+INDEX(WP!$A:$AN,MATCH(F554,WP!$B:$B,0),16)</f>
        <v>90</v>
      </c>
      <c r="N554" s="202" t="e" vm="381">
        <f>IFERROR(_xlfn.IMAGE("https://natalie.tf/wp-content/uploads/2023/11/DLV3_Icon_Affinity_"&amp;O554&amp;".png"),"")</f>
        <v>#VALUE!</v>
      </c>
      <c r="O554" s="203" t="str">
        <f>+INDEX(WP!$A:$AN,MATCH(F554,WP!$B:$B,0),17)</f>
        <v>Dragon</v>
      </c>
      <c r="P554" s="8" t="e" vm="601">
        <f>_xlfn.IMAGE("https://natalie.tf/wp-content/uploads/2023/10/DLV3_Icon_Ability_"&amp;INDEX('WP-A'!$A$1:$Z$498,MATCH('WP-Print'!Q554,'WP-A'!$A:$A,0),MATCH("Icon",'WP-A'!$A$1:$Z$1,0))&amp;".png")</f>
        <v>#VALUE!</v>
      </c>
      <c r="Q554" s="231" t="str">
        <f>+INDEX(WP!$A:$AN,MATCH(F554,WP!$B:$B,0),MATCH("Ability V3",WP!$A$2:$AN$2,0))</f>
        <v>(Water) Dragon Haste +15%</v>
      </c>
      <c r="R554" s="735"/>
    </row>
    <row r="555" spans="1:18" ht="7.5" customHeight="1" x14ac:dyDescent="0.2">
      <c r="A555" t="s">
        <v>10763</v>
      </c>
    </row>
    <row r="556" spans="1:18" ht="22.5" customHeight="1" x14ac:dyDescent="0.2">
      <c r="B556" s="729" t="e" vm="703">
        <f>_xlfn.IMAGE("https://natalie.tf/wp-content/uploads/2023/10/DLV3_Icon_WP_"&amp;G557&amp;"_01.png")</f>
        <v>#VALUE!</v>
      </c>
      <c r="D556" s="730" t="e" vm="704">
        <f>_xlfn.IMAGE("https://natalie.tf/wp-content/uploads/2023/10/DLV3_Icon_WP_"&amp;G557&amp;"_02.png")</f>
        <v>#VALUE!</v>
      </c>
      <c r="F556" s="717" t="str">
        <f>+INDEX(WP!$A:$AN,MATCH(F557,WP!$B:$B,0),MATCH("Name",WP!$A$2:$AN$2,0))</f>
        <v>Soaring Hope</v>
      </c>
      <c r="G556" s="718"/>
      <c r="H556" s="719"/>
      <c r="J556" s="180" t="s">
        <v>10761</v>
      </c>
      <c r="K556" s="201">
        <f>+INDEX(WP!$A:$AN,MATCH(F557,WP!$B:$B,0),5)</f>
        <v>5</v>
      </c>
      <c r="L556" s="202">
        <f>+INDEX(WP!$A:$AN,MATCH(F557,WP!$B:$B,0),6)</f>
        <v>75</v>
      </c>
      <c r="M556" s="202">
        <f>+INDEX(WP!$A:$AN,MATCH(F557,WP!$B:$B,0),7)</f>
        <v>28</v>
      </c>
      <c r="N556" s="202" t="e" vm="381">
        <f>IFERROR(_xlfn.IMAGE("https://natalie.tf/wp-content/uploads/2023/11/DLV3_Icon_Affinity_"&amp;O556&amp;".png"),"")</f>
        <v>#VALUE!</v>
      </c>
      <c r="O556" s="203" t="str">
        <f>IF(INDEX(WP!$A:$AN,MATCH(F557,WP!$B:$B,0),8)=0,"None",INDEX(WP!$A:$AN,MATCH(F557,WP!$B:$B,0),8))</f>
        <v>Dragon</v>
      </c>
      <c r="P556" s="8" t="e" vm="601">
        <f>_xlfn.IMAGE("https://natalie.tf/wp-content/uploads/2023/10/DLV3_Icon_Ability_"&amp;INDEX('WP-A'!$A$1:$Z$498,MATCH('WP-Print'!Q556,'WP-A'!$A:$A,0),MATCH("Icon",'WP-A'!$A$1:$Z$1,0))&amp;".png")</f>
        <v>#VALUE!</v>
      </c>
      <c r="Q556" s="231" t="str">
        <f>+INDEX(WP!$A:$AN,MATCH(F557,WP!$B:$B,0),MATCH("Ability",WP!$A$2:$AN$2,0))</f>
        <v>(Light) Dragon Haste +15%</v>
      </c>
      <c r="R556" s="734" t="str">
        <f>+INDEX(WP!$A:$AN,MATCH(F557,WP!$B:$B,0),MATCH("Obtain From",WP!$A$2:$AN$2,0))</f>
        <v>Read the Epilogue (Advent of the Origin)</v>
      </c>
    </row>
    <row r="557" spans="1:18" ht="22.5" customHeight="1" x14ac:dyDescent="0.2">
      <c r="A557" s="204" t="str">
        <f>TEXT(A554+1,"000")</f>
        <v>185</v>
      </c>
      <c r="B557" s="729"/>
      <c r="C557" s="8"/>
      <c r="D557" s="729"/>
      <c r="E557" s="8"/>
      <c r="F557" s="200" t="str">
        <f>"WP-"&amp;A557</f>
        <v>WP-185</v>
      </c>
      <c r="G557" s="200">
        <f>+INDEX(WP!$A:$AN,MATCH(F557,WP!$B:$B,0),MATCH("ID",WP!$A$2:$AN$2,0))</f>
        <v>400159</v>
      </c>
      <c r="I557" s="8"/>
      <c r="J557" s="180" t="s">
        <v>10762</v>
      </c>
      <c r="K557" s="201">
        <f>+INDEX(WP!$A:$AN,MATCH(F557,WP!$B:$B,0),14)</f>
        <v>5</v>
      </c>
      <c r="L557" s="202">
        <f>+INDEX(WP!$A:$AN,MATCH(F557,WP!$B:$B,0),15)</f>
        <v>150</v>
      </c>
      <c r="M557" s="202">
        <f>+INDEX(WP!$A:$AN,MATCH(F557,WP!$B:$B,0),16)</f>
        <v>90</v>
      </c>
      <c r="N557" s="202" t="e" vm="381">
        <f>IFERROR(_xlfn.IMAGE("https://natalie.tf/wp-content/uploads/2023/11/DLV3_Icon_Affinity_"&amp;O557&amp;".png"),"")</f>
        <v>#VALUE!</v>
      </c>
      <c r="O557" s="203" t="str">
        <f>+INDEX(WP!$A:$AN,MATCH(F557,WP!$B:$B,0),17)</f>
        <v>Dragon</v>
      </c>
      <c r="P557" s="8" t="e" vm="601">
        <f>_xlfn.IMAGE("https://natalie.tf/wp-content/uploads/2023/10/DLV3_Icon_Ability_"&amp;INDEX('WP-A'!$A$1:$Z$498,MATCH('WP-Print'!Q557,'WP-A'!$A:$A,0),MATCH("Icon",'WP-A'!$A$1:$Z$1,0))&amp;".png")</f>
        <v>#VALUE!</v>
      </c>
      <c r="Q557" s="231" t="str">
        <f>+INDEX(WP!$A:$AN,MATCH(F557,WP!$B:$B,0),MATCH("Ability V3",WP!$A$2:$AN$2,0))</f>
        <v>(Light) Dragon Haste +15%</v>
      </c>
      <c r="R557" s="735"/>
    </row>
    <row r="558" spans="1:18" ht="7.5" customHeight="1" x14ac:dyDescent="0.2">
      <c r="A558" t="s">
        <v>10763</v>
      </c>
    </row>
    <row r="559" spans="1:18" ht="22.5" customHeight="1" x14ac:dyDescent="0.2">
      <c r="B559" s="729" t="e" vm="705">
        <f>_xlfn.IMAGE("https://natalie.tf/wp-content/uploads/2023/10/DLV3_Icon_WP_"&amp;G560&amp;"_01.png")</f>
        <v>#VALUE!</v>
      </c>
      <c r="D559" s="730" t="e" vm="706">
        <f>_xlfn.IMAGE("https://natalie.tf/wp-content/uploads/2023/10/DLV3_Icon_WP_"&amp;G560&amp;"_02.png")</f>
        <v>#VALUE!</v>
      </c>
      <c r="F559" s="717" t="str">
        <f>+INDEX(WP!$A:$AN,MATCH(F560,WP!$B:$B,0),MATCH("Name",WP!$A$2:$AN$2,0))</f>
        <v>Unconditional Love</v>
      </c>
      <c r="G559" s="718"/>
      <c r="H559" s="719"/>
      <c r="J559" s="180" t="s">
        <v>10761</v>
      </c>
      <c r="K559" s="201">
        <f>+INDEX(WP!$A:$AN,MATCH(F560,WP!$B:$B,0),5)</f>
        <v>5</v>
      </c>
      <c r="L559" s="202">
        <f>+INDEX(WP!$A:$AN,MATCH(F560,WP!$B:$B,0),6)</f>
        <v>75</v>
      </c>
      <c r="M559" s="202">
        <f>+INDEX(WP!$A:$AN,MATCH(F560,WP!$B:$B,0),7)</f>
        <v>28</v>
      </c>
      <c r="N559" s="202" t="e" vm="381">
        <f>IFERROR(_xlfn.IMAGE("https://natalie.tf/wp-content/uploads/2023/11/DLV3_Icon_Affinity_"&amp;O559&amp;".png"),"")</f>
        <v>#VALUE!</v>
      </c>
      <c r="O559" s="203" t="str">
        <f>IF(INDEX(WP!$A:$AN,MATCH(F560,WP!$B:$B,0),8)=0,"None",INDEX(WP!$A:$AN,MATCH(F560,WP!$B:$B,0),8))</f>
        <v>Dragon</v>
      </c>
      <c r="P559" s="8" t="e" vm="601">
        <f>_xlfn.IMAGE("https://natalie.tf/wp-content/uploads/2023/10/DLV3_Icon_Ability_"&amp;INDEX('WP-A'!$A$1:$Z$498,MATCH('WP-Print'!Q559,'WP-A'!$A:$A,0),MATCH("Icon",'WP-A'!$A$1:$Z$1,0))&amp;".png")</f>
        <v>#VALUE!</v>
      </c>
      <c r="Q559" s="231" t="str">
        <f>+INDEX(WP!$A:$AN,MATCH(F560,WP!$B:$B,0),MATCH("Ability",WP!$A$2:$AN$2,0))</f>
        <v>(Shadow) Dragon Haste +15%</v>
      </c>
      <c r="R559" s="734" t="str">
        <f>+INDEX(WP!$A:$AN,MATCH(F560,WP!$B:$B,0),MATCH("Obtain From",WP!$A$2:$AN$2,0))</f>
        <v>Clear a Boss Battle on Expert (Advent of the Origin)</v>
      </c>
    </row>
    <row r="560" spans="1:18" ht="22.5" customHeight="1" x14ac:dyDescent="0.2">
      <c r="A560" s="204" t="str">
        <f>TEXT(A557+1,"000")</f>
        <v>186</v>
      </c>
      <c r="B560" s="729"/>
      <c r="C560" s="8"/>
      <c r="D560" s="729"/>
      <c r="E560" s="8"/>
      <c r="F560" s="200" t="str">
        <f>"WP-"&amp;A560</f>
        <v>WP-186</v>
      </c>
      <c r="G560" s="200">
        <f>+INDEX(WP!$A:$AN,MATCH(F560,WP!$B:$B,0),MATCH("ID",WP!$A$2:$AN$2,0))</f>
        <v>400383</v>
      </c>
      <c r="I560" s="8"/>
      <c r="J560" s="180" t="s">
        <v>10762</v>
      </c>
      <c r="K560" s="201">
        <f>+INDEX(WP!$A:$AN,MATCH(F560,WP!$B:$B,0),14)</f>
        <v>5</v>
      </c>
      <c r="L560" s="202">
        <f>+INDEX(WP!$A:$AN,MATCH(F560,WP!$B:$B,0),15)</f>
        <v>150</v>
      </c>
      <c r="M560" s="202">
        <f>+INDEX(WP!$A:$AN,MATCH(F560,WP!$B:$B,0),16)</f>
        <v>90</v>
      </c>
      <c r="N560" s="202" t="e" vm="381">
        <f>IFERROR(_xlfn.IMAGE("https://natalie.tf/wp-content/uploads/2023/11/DLV3_Icon_Affinity_"&amp;O560&amp;".png"),"")</f>
        <v>#VALUE!</v>
      </c>
      <c r="O560" s="203" t="str">
        <f>+INDEX(WP!$A:$AN,MATCH(F560,WP!$B:$B,0),17)</f>
        <v>Dragon</v>
      </c>
      <c r="P560" s="8" t="e" vm="601">
        <f>_xlfn.IMAGE("https://natalie.tf/wp-content/uploads/2023/10/DLV3_Icon_Ability_"&amp;INDEX('WP-A'!$A$1:$Z$498,MATCH('WP-Print'!Q560,'WP-A'!$A:$A,0),MATCH("Icon",'WP-A'!$A$1:$Z$1,0))&amp;".png")</f>
        <v>#VALUE!</v>
      </c>
      <c r="Q560" s="231" t="str">
        <f>+INDEX(WP!$A:$AN,MATCH(F560,WP!$B:$B,0),MATCH("Ability V3",WP!$A$2:$AN$2,0))</f>
        <v>(Shadow) Dragon Haste +15%</v>
      </c>
      <c r="R560" s="735"/>
    </row>
    <row r="561" spans="1:18" ht="7.5" customHeight="1" x14ac:dyDescent="0.2">
      <c r="A561" t="s">
        <v>10763</v>
      </c>
    </row>
    <row r="562" spans="1:18" ht="22.5" customHeight="1" x14ac:dyDescent="0.2">
      <c r="B562" s="729" t="e" vm="707">
        <f>_xlfn.IMAGE("https://natalie.tf/wp-content/uploads/2023/10/DLV3_Icon_WP_"&amp;G563&amp;"_01.png")</f>
        <v>#VALUE!</v>
      </c>
      <c r="D562" s="730" t="e" vm="708">
        <f>_xlfn.IMAGE("https://natalie.tf/wp-content/uploads/2023/10/DLV3_Icon_WP_"&amp;G563&amp;"_02.png")</f>
        <v>#VALUE!</v>
      </c>
      <c r="F562" s="717" t="str">
        <f>+INDEX(WP!$A:$AN,MATCH(F563,WP!$B:$B,0),MATCH("Name",WP!$A$2:$AN$2,0))</f>
        <v>Flower in the Fray</v>
      </c>
      <c r="G562" s="718"/>
      <c r="H562" s="719"/>
      <c r="J562" s="180" t="s">
        <v>10761</v>
      </c>
      <c r="K562" s="201">
        <f>+INDEX(WP!$A:$AN,MATCH(F563,WP!$B:$B,0),5)</f>
        <v>4</v>
      </c>
      <c r="L562" s="202">
        <f>+INDEX(WP!$A:$AN,MATCH(F563,WP!$B:$B,0),6)</f>
        <v>70</v>
      </c>
      <c r="M562" s="202">
        <f>+INDEX(WP!$A:$AN,MATCH(F563,WP!$B:$B,0),7)</f>
        <v>26</v>
      </c>
      <c r="N562" s="202" t="e" vm="339">
        <f>IFERROR(_xlfn.IMAGE("https://natalie.tf/wp-content/uploads/2023/11/DLV3_Icon_Affinity_"&amp;O562&amp;".png"),"")</f>
        <v>#VALUE!</v>
      </c>
      <c r="O562" s="203" t="str">
        <f>IF(INDEX(WP!$A:$AN,MATCH(F563,WP!$B:$B,0),8)=0,"None",INDEX(WP!$A:$AN,MATCH(F563,WP!$B:$B,0),8))</f>
        <v>Sword</v>
      </c>
      <c r="P562" s="8" t="e" vm="326">
        <f>_xlfn.IMAGE("https://natalie.tf/wp-content/uploads/2023/10/DLV3_Icon_Ability_"&amp;INDEX('WP-A'!$A$1:$Z$498,MATCH('WP-Print'!Q562,'WP-A'!$A:$A,0),MATCH("Icon",'WP-A'!$A$1:$Z$1,0))&amp;".png")</f>
        <v>#VALUE!</v>
      </c>
      <c r="Q562" s="231" t="str">
        <f>+INDEX(WP!$A:$AN,MATCH(F563,WP!$B:$B,0),MATCH("Ability",WP!$A$2:$AN$2,0))</f>
        <v>Full HP = Critical Rate +8%</v>
      </c>
      <c r="R562" s="734" t="str">
        <f>+INDEX(WP!$A:$AN,MATCH(F563,WP!$B:$B,0),MATCH("Obtain From",WP!$A$2:$AN$2,0))</f>
        <v>Obtain From Ch. 02 EX 2 Chest (Normal) (Non-Endeavor)</v>
      </c>
    </row>
    <row r="563" spans="1:18" ht="22.5" customHeight="1" x14ac:dyDescent="0.2">
      <c r="A563" s="204" t="str">
        <f>TEXT(A560+1,"000")</f>
        <v>187</v>
      </c>
      <c r="B563" s="729"/>
      <c r="C563" s="8"/>
      <c r="D563" s="729"/>
      <c r="E563" s="8"/>
      <c r="F563" s="200" t="str">
        <f>"WP-"&amp;A563</f>
        <v>WP-187</v>
      </c>
      <c r="G563" s="200">
        <f>+INDEX(WP!$A:$AN,MATCH(F563,WP!$B:$B,0),MATCH("ID",WP!$A$2:$AN$2,0))</f>
        <v>400033</v>
      </c>
      <c r="I563" s="8"/>
      <c r="J563" s="180" t="s">
        <v>10762</v>
      </c>
      <c r="K563" s="201">
        <f>+INDEX(WP!$A:$AN,MATCH(F563,WP!$B:$B,0),14)</f>
        <v>4</v>
      </c>
      <c r="L563" s="202">
        <f>+INDEX(WP!$A:$AN,MATCH(F563,WP!$B:$B,0),15)</f>
        <v>130</v>
      </c>
      <c r="M563" s="202">
        <f>+INDEX(WP!$A:$AN,MATCH(F563,WP!$B:$B,0),16)</f>
        <v>80</v>
      </c>
      <c r="N563" s="202" t="e" vm="339">
        <f>IFERROR(_xlfn.IMAGE("https://natalie.tf/wp-content/uploads/2023/11/DLV3_Icon_Affinity_"&amp;O563&amp;".png"),"")</f>
        <v>#VALUE!</v>
      </c>
      <c r="O563" s="203" t="str">
        <f>+INDEX(WP!$A:$AN,MATCH(F563,WP!$B:$B,0),17)</f>
        <v>Sword</v>
      </c>
      <c r="P563" s="8" t="e" vm="326">
        <f>_xlfn.IMAGE("https://natalie.tf/wp-content/uploads/2023/10/DLV3_Icon_Ability_"&amp;INDEX('WP-A'!$A$1:$Z$498,MATCH('WP-Print'!Q563,'WP-A'!$A:$A,0),MATCH("Icon",'WP-A'!$A$1:$Z$1,0))&amp;".png")</f>
        <v>#VALUE!</v>
      </c>
      <c r="Q563" s="231" t="str">
        <f>+INDEX(WP!$A:$AN,MATCH(F563,WP!$B:$B,0),MATCH("Ability V3",WP!$A$2:$AN$2,0))</f>
        <v>Critical Rate +8%</v>
      </c>
      <c r="R563" s="735"/>
    </row>
    <row r="564" spans="1:18" ht="7.5" customHeight="1" x14ac:dyDescent="0.2">
      <c r="A564" t="s">
        <v>10763</v>
      </c>
    </row>
    <row r="565" spans="1:18" ht="22.5" customHeight="1" x14ac:dyDescent="0.2">
      <c r="B565" s="729" t="e" vm="709">
        <f>_xlfn.IMAGE("https://natalie.tf/wp-content/uploads/2023/10/DLV3_Icon_WP_"&amp;G566&amp;"_01.png")</f>
        <v>#VALUE!</v>
      </c>
      <c r="D565" s="730" t="e" vm="710">
        <f>_xlfn.IMAGE("https://natalie.tf/wp-content/uploads/2023/10/DLV3_Icon_WP_"&amp;G566&amp;"_02.png")</f>
        <v>#VALUE!</v>
      </c>
      <c r="F565" s="717" t="str">
        <f>+INDEX(WP!$A:$AN,MATCH(F566,WP!$B:$B,0),MATCH("Name",WP!$A$2:$AN$2,0))</f>
        <v>Destiny's Hand</v>
      </c>
      <c r="G565" s="718"/>
      <c r="H565" s="719"/>
      <c r="J565" s="180" t="s">
        <v>10761</v>
      </c>
      <c r="K565" s="201">
        <f>+INDEX(WP!$A:$AN,MATCH(F566,WP!$B:$B,0),5)</f>
        <v>4</v>
      </c>
      <c r="L565" s="202">
        <f>+INDEX(WP!$A:$AN,MATCH(F566,WP!$B:$B,0),6)</f>
        <v>73</v>
      </c>
      <c r="M565" s="202">
        <f>+INDEX(WP!$A:$AN,MATCH(F566,WP!$B:$B,0),7)</f>
        <v>24</v>
      </c>
      <c r="N565" s="202" t="e" vm="362">
        <f>IFERROR(_xlfn.IMAGE("https://natalie.tf/wp-content/uploads/2023/11/DLV3_Icon_Affinity_"&amp;O565&amp;".png"),"")</f>
        <v>#VALUE!</v>
      </c>
      <c r="O565" s="203" t="str">
        <f>IF(INDEX(WP!$A:$AN,MATCH(F566,WP!$B:$B,0),8)=0,"None",INDEX(WP!$A:$AN,MATCH(F566,WP!$B:$B,0),8))</f>
        <v>Bat</v>
      </c>
      <c r="P565" s="8" t="e" vm="349">
        <f>_xlfn.IMAGE("https://natalie.tf/wp-content/uploads/2023/10/DLV3_Icon_Ability_"&amp;INDEX('WP-A'!$A$1:$Z$498,MATCH('WP-Print'!Q565,'WP-A'!$A:$A,0),MATCH("Icon",'WP-A'!$A$1:$Z$1,0))&amp;".png")</f>
        <v>#VALUE!</v>
      </c>
      <c r="Q565" s="231" t="str">
        <f>+INDEX(WP!$A:$AN,MATCH(F566,WP!$B:$B,0),MATCH("Ability",WP!$A$2:$AN$2,0))</f>
        <v>Recovery Potency +10%</v>
      </c>
      <c r="R565" s="734" t="str">
        <f>+INDEX(WP!$A:$AN,MATCH(F566,WP!$B:$B,0),MATCH("Obtain From",WP!$A$2:$AN$2,0))</f>
        <v>Clear Zodiark's Trial: Beginner</v>
      </c>
    </row>
    <row r="566" spans="1:18" ht="22.5" customHeight="1" x14ac:dyDescent="0.2">
      <c r="A566" s="204" t="str">
        <f>TEXT(A563+1,"000")</f>
        <v>188</v>
      </c>
      <c r="B566" s="729"/>
      <c r="C566" s="8"/>
      <c r="D566" s="729"/>
      <c r="E566" s="8"/>
      <c r="F566" s="200" t="str">
        <f>"WP-"&amp;A566</f>
        <v>WP-188</v>
      </c>
      <c r="G566" s="200">
        <f>+INDEX(WP!$A:$AN,MATCH(F566,WP!$B:$B,0),MATCH("ID",WP!$A$2:$AN$2,0))</f>
        <v>400034</v>
      </c>
      <c r="I566" s="8"/>
      <c r="J566" s="180" t="s">
        <v>10762</v>
      </c>
      <c r="K566" s="201">
        <f>+INDEX(WP!$A:$AN,MATCH(F566,WP!$B:$B,0),14)</f>
        <v>4</v>
      </c>
      <c r="L566" s="202">
        <f>+INDEX(WP!$A:$AN,MATCH(F566,WP!$B:$B,0),15)</f>
        <v>130</v>
      </c>
      <c r="M566" s="202">
        <f>+INDEX(WP!$A:$AN,MATCH(F566,WP!$B:$B,0),16)</f>
        <v>80</v>
      </c>
      <c r="N566" s="202" t="e" vm="362">
        <f>IFERROR(_xlfn.IMAGE("https://natalie.tf/wp-content/uploads/2023/11/DLV3_Icon_Affinity_"&amp;O566&amp;".png"),"")</f>
        <v>#VALUE!</v>
      </c>
      <c r="O566" s="203" t="str">
        <f>+INDEX(WP!$A:$AN,MATCH(F566,WP!$B:$B,0),17)</f>
        <v>Bat</v>
      </c>
      <c r="P566" s="8" t="e" vm="349">
        <f>_xlfn.IMAGE("https://natalie.tf/wp-content/uploads/2023/10/DLV3_Icon_Ability_"&amp;INDEX('WP-A'!$A$1:$Z$498,MATCH('WP-Print'!Q566,'WP-A'!$A:$A,0),MATCH("Icon",'WP-A'!$A$1:$Z$1,0))&amp;".png")</f>
        <v>#VALUE!</v>
      </c>
      <c r="Q566" s="231" t="str">
        <f>+INDEX(WP!$A:$AN,MATCH(F566,WP!$B:$B,0),MATCH("Ability V3",WP!$A$2:$AN$2,0))</f>
        <v>Recovery Potency +12%</v>
      </c>
      <c r="R566" s="735"/>
    </row>
    <row r="567" spans="1:18" ht="7.5" customHeight="1" x14ac:dyDescent="0.2">
      <c r="A567" t="s">
        <v>10763</v>
      </c>
    </row>
    <row r="568" spans="1:18" ht="22.5" customHeight="1" x14ac:dyDescent="0.2">
      <c r="B568" s="729" t="e" vm="711">
        <f>_xlfn.IMAGE("https://natalie.tf/wp-content/uploads/2023/10/DLV3_Icon_WP_"&amp;G569&amp;"_01.png")</f>
        <v>#VALUE!</v>
      </c>
      <c r="D568" s="730" t="e" vm="712">
        <f>_xlfn.IMAGE("https://natalie.tf/wp-content/uploads/2023/10/DLV3_Icon_WP_"&amp;G569&amp;"_02.png")</f>
        <v>#VALUE!</v>
      </c>
      <c r="F568" s="717" t="str">
        <f>+INDEX(WP!$A:$AN,MATCH(F569,WP!$B:$B,0),MATCH("Name",WP!$A$2:$AN$2,0))</f>
        <v>Sniper's Allure</v>
      </c>
      <c r="G568" s="718"/>
      <c r="H568" s="719"/>
      <c r="J568" s="180" t="s">
        <v>10761</v>
      </c>
      <c r="K568" s="201">
        <f>+INDEX(WP!$A:$AN,MATCH(F569,WP!$B:$B,0),5)</f>
        <v>4</v>
      </c>
      <c r="L568" s="202">
        <f>+INDEX(WP!$A:$AN,MATCH(F569,WP!$B:$B,0),6)</f>
        <v>71</v>
      </c>
      <c r="M568" s="202">
        <f>+INDEX(WP!$A:$AN,MATCH(F569,WP!$B:$B,0),7)</f>
        <v>25</v>
      </c>
      <c r="N568" s="202" t="e" vm="343">
        <f>IFERROR(_xlfn.IMAGE("https://natalie.tf/wp-content/uploads/2023/11/DLV3_Icon_Affinity_"&amp;O568&amp;".png"),"")</f>
        <v>#VALUE!</v>
      </c>
      <c r="O568" s="203" t="str">
        <f>IF(INDEX(WP!$A:$AN,MATCH(F569,WP!$B:$B,0),8)=0,"None",INDEX(WP!$A:$AN,MATCH(F569,WP!$B:$B,0),8))</f>
        <v>Axe</v>
      </c>
      <c r="P568" s="8" t="e" vm="376">
        <f>_xlfn.IMAGE("https://natalie.tf/wp-content/uploads/2023/10/DLV3_Icon_Ability_"&amp;INDEX('WP-A'!$A$1:$Z$498,MATCH('WP-Print'!Q568,'WP-A'!$A:$A,0),MATCH("Icon",'WP-A'!$A$1:$Z$1,0))&amp;".png")</f>
        <v>#VALUE!</v>
      </c>
      <c r="Q568" s="231" t="str">
        <f>+INDEX(WP!$A:$AN,MATCH(F569,WP!$B:$B,0),MATCH("Ability",WP!$A$2:$AN$2,0))</f>
        <v>Broken Punisher +25%</v>
      </c>
      <c r="R568" s="734" t="str">
        <f>+INDEX(WP!$A:$AN,MATCH(F569,WP!$B:$B,0),MATCH("Obtain From",WP!$A$2:$AN$2,0))</f>
        <v>Clear Avenue to Fortune: Master</v>
      </c>
    </row>
    <row r="569" spans="1:18" ht="22.5" customHeight="1" x14ac:dyDescent="0.2">
      <c r="A569" s="204" t="str">
        <f>TEXT(A566+1,"000")</f>
        <v>189</v>
      </c>
      <c r="B569" s="729"/>
      <c r="C569" s="8"/>
      <c r="D569" s="729"/>
      <c r="E569" s="8"/>
      <c r="F569" s="200" t="str">
        <f>"WP-"&amp;A569</f>
        <v>WP-189</v>
      </c>
      <c r="G569" s="200">
        <f>+INDEX(WP!$A:$AN,MATCH(F569,WP!$B:$B,0),MATCH("ID",WP!$A$2:$AN$2,0))</f>
        <v>400035</v>
      </c>
      <c r="I569" s="8"/>
      <c r="J569" s="180" t="s">
        <v>10762</v>
      </c>
      <c r="K569" s="201">
        <f>+INDEX(WP!$A:$AN,MATCH(F569,WP!$B:$B,0),14)</f>
        <v>4</v>
      </c>
      <c r="L569" s="202">
        <f>+INDEX(WP!$A:$AN,MATCH(F569,WP!$B:$B,0),15)</f>
        <v>130</v>
      </c>
      <c r="M569" s="202">
        <f>+INDEX(WP!$A:$AN,MATCH(F569,WP!$B:$B,0),16)</f>
        <v>80</v>
      </c>
      <c r="N569" s="202" t="e" vm="343">
        <f>IFERROR(_xlfn.IMAGE("https://natalie.tf/wp-content/uploads/2023/11/DLV3_Icon_Affinity_"&amp;O569&amp;".png"),"")</f>
        <v>#VALUE!</v>
      </c>
      <c r="O569" s="203" t="str">
        <f>+INDEX(WP!$A:$AN,MATCH(F569,WP!$B:$B,0),17)</f>
        <v>Axe</v>
      </c>
      <c r="P569" s="8" t="e" vm="376">
        <f>_xlfn.IMAGE("https://natalie.tf/wp-content/uploads/2023/10/DLV3_Icon_Ability_"&amp;INDEX('WP-A'!$A$1:$Z$498,MATCH('WP-Print'!Q569,'WP-A'!$A:$A,0),MATCH("Icon",'WP-A'!$A$1:$Z$1,0))&amp;".png")</f>
        <v>#VALUE!</v>
      </c>
      <c r="Q569" s="231" t="str">
        <f>+INDEX(WP!$A:$AN,MATCH(F569,WP!$B:$B,0),MATCH("Ability V3",WP!$A$2:$AN$2,0))</f>
        <v>Broken Punisher +25%</v>
      </c>
      <c r="R569" s="735"/>
    </row>
    <row r="570" spans="1:18" ht="7.5" customHeight="1" x14ac:dyDescent="0.2">
      <c r="A570" t="s">
        <v>10763</v>
      </c>
    </row>
    <row r="571" spans="1:18" ht="22.5" customHeight="1" x14ac:dyDescent="0.2">
      <c r="B571" s="729" t="e" vm="713">
        <f>_xlfn.IMAGE("https://natalie.tf/wp-content/uploads/2023/10/DLV3_Icon_WP_"&amp;G572&amp;"_01.png")</f>
        <v>#VALUE!</v>
      </c>
      <c r="D571" s="730" t="e" vm="714">
        <f>_xlfn.IMAGE("https://natalie.tf/wp-content/uploads/2023/10/DLV3_Icon_WP_"&amp;G572&amp;"_02.png")</f>
        <v>#VALUE!</v>
      </c>
      <c r="F571" s="717" t="str">
        <f>+INDEX(WP!$A:$AN,MATCH(F572,WP!$B:$B,0),MATCH("Name",WP!$A$2:$AN$2,0))</f>
        <v>Promises in the Rain</v>
      </c>
      <c r="G571" s="718"/>
      <c r="H571" s="719"/>
      <c r="J571" s="180" t="s">
        <v>10761</v>
      </c>
      <c r="K571" s="201">
        <f>+INDEX(WP!$A:$AN,MATCH(F572,WP!$B:$B,0),5)</f>
        <v>4</v>
      </c>
      <c r="L571" s="202">
        <f>+INDEX(WP!$A:$AN,MATCH(F572,WP!$B:$B,0),6)</f>
        <v>78</v>
      </c>
      <c r="M571" s="202">
        <f>+INDEX(WP!$A:$AN,MATCH(F572,WP!$B:$B,0),7)</f>
        <v>19</v>
      </c>
      <c r="N571" s="202" t="str">
        <f ca="1">IFERROR(_xlfn.IMAGE("https://natalie.tf/wp-content/uploads/2023/11/DLV3_Icon_Affinity_"&amp;O571&amp;".png"),"")</f>
        <v/>
      </c>
      <c r="O571" s="203" t="str">
        <f>IF(INDEX(WP!$A:$AN,MATCH(F572,WP!$B:$B,0),8)=0,"None",INDEX(WP!$A:$AN,MATCH(F572,WP!$B:$B,0),8))</f>
        <v>None</v>
      </c>
      <c r="P571" s="8" t="e" vm="491">
        <f>_xlfn.IMAGE("https://natalie.tf/wp-content/uploads/2023/10/DLV3_Icon_Ability_"&amp;INDEX('WP-A'!$A$1:$Z$498,MATCH('WP-Print'!Q571,'WP-A'!$A:$A,0),MATCH("Icon",'WP-A'!$A$1:$Z$1,0))&amp;".png")</f>
        <v>#VALUE!</v>
      </c>
      <c r="Q571" s="231" t="str">
        <f>+INDEX(WP!$A:$AN,MATCH(F572,WP!$B:$B,0),MATCH("Ability",WP!$A$2:$AN$2,0))</f>
        <v>Bog Res +50%</v>
      </c>
      <c r="R571" s="734" t="str">
        <f>+INDEX(WP!$A:$AN,MATCH(F572,WP!$B:$B,0),MATCH("Obtain From",WP!$A$2:$AN$2,0))</f>
        <v>Obtain From Ch. 08 EX 1 Chest (Hard) (Non-Endeavor)</v>
      </c>
    </row>
    <row r="572" spans="1:18" ht="22.5" customHeight="1" x14ac:dyDescent="0.2">
      <c r="A572" s="204" t="str">
        <f>TEXT(A569+1,"000")</f>
        <v>190</v>
      </c>
      <c r="B572" s="729"/>
      <c r="C572" s="8"/>
      <c r="D572" s="729"/>
      <c r="E572" s="8"/>
      <c r="F572" s="200" t="str">
        <f>"WP-"&amp;A572</f>
        <v>WP-190</v>
      </c>
      <c r="G572" s="200">
        <f>+INDEX(WP!$A:$AN,MATCH(F572,WP!$B:$B,0),MATCH("ID",WP!$A$2:$AN$2,0))</f>
        <v>400036</v>
      </c>
      <c r="I572" s="8"/>
      <c r="J572" s="180" t="s">
        <v>10762</v>
      </c>
      <c r="K572" s="201">
        <f>+INDEX(WP!$A:$AN,MATCH(F572,WP!$B:$B,0),14)</f>
        <v>4</v>
      </c>
      <c r="L572" s="202">
        <f>+INDEX(WP!$A:$AN,MATCH(F572,WP!$B:$B,0),15)</f>
        <v>130</v>
      </c>
      <c r="M572" s="202">
        <f>+INDEX(WP!$A:$AN,MATCH(F572,WP!$B:$B,0),16)</f>
        <v>80</v>
      </c>
      <c r="N572" s="202" t="e" vm="381">
        <f>IFERROR(_xlfn.IMAGE("https://natalie.tf/wp-content/uploads/2023/11/DLV3_Icon_Affinity_"&amp;O572&amp;".png"),"")</f>
        <v>#VALUE!</v>
      </c>
      <c r="O572" s="203" t="str">
        <f>+INDEX(WP!$A:$AN,MATCH(F572,WP!$B:$B,0),17)</f>
        <v>Dragon</v>
      </c>
      <c r="P572" s="8" t="e" vm="601">
        <f>_xlfn.IMAGE("https://natalie.tf/wp-content/uploads/2023/10/DLV3_Icon_Ability_"&amp;INDEX('WP-A'!$A$1:$Z$498,MATCH('WP-Print'!Q572,'WP-A'!$A:$A,0),MATCH("Icon",'WP-A'!$A$1:$Z$1,0))&amp;".png")</f>
        <v>#VALUE!</v>
      </c>
      <c r="Q572" s="231" t="str">
        <f>+INDEX(WP!$A:$AN,MATCH(F572,WP!$B:$B,0),MATCH("Ability V3",WP!$A$2:$AN$2,0))</f>
        <v>Dragon Haste +6%</v>
      </c>
      <c r="R572" s="735"/>
    </row>
    <row r="573" spans="1:18" ht="7.5" customHeight="1" x14ac:dyDescent="0.2">
      <c r="A573" t="s">
        <v>10763</v>
      </c>
    </row>
    <row r="574" spans="1:18" ht="22.5" customHeight="1" x14ac:dyDescent="0.2">
      <c r="B574" s="729" t="e" vm="715">
        <f>_xlfn.IMAGE("https://natalie.tf/wp-content/uploads/2023/10/DLV3_Icon_WP_"&amp;G575&amp;"_01.png")</f>
        <v>#VALUE!</v>
      </c>
      <c r="D574" s="730" t="e" vm="716">
        <f>_xlfn.IMAGE("https://natalie.tf/wp-content/uploads/2023/10/DLV3_Icon_WP_"&amp;G575&amp;"_02.png")</f>
        <v>#VALUE!</v>
      </c>
      <c r="F574" s="717" t="str">
        <f>+INDEX(WP!$A:$AN,MATCH(F575,WP!$B:$B,0),MATCH("Name",WP!$A$2:$AN$2,0))</f>
        <v>Fireside Gathering</v>
      </c>
      <c r="G574" s="718"/>
      <c r="H574" s="719"/>
      <c r="J574" s="180" t="s">
        <v>10761</v>
      </c>
      <c r="K574" s="201">
        <f>+INDEX(WP!$A:$AN,MATCH(F575,WP!$B:$B,0),5)</f>
        <v>4</v>
      </c>
      <c r="L574" s="202">
        <f>+INDEX(WP!$A:$AN,MATCH(F575,WP!$B:$B,0),6)</f>
        <v>78</v>
      </c>
      <c r="M574" s="202">
        <f>+INDEX(WP!$A:$AN,MATCH(F575,WP!$B:$B,0),7)</f>
        <v>19</v>
      </c>
      <c r="N574" s="202" t="str">
        <f ca="1">IFERROR(_xlfn.IMAGE("https://natalie.tf/wp-content/uploads/2023/11/DLV3_Icon_Affinity_"&amp;O574&amp;".png"),"")</f>
        <v/>
      </c>
      <c r="O574" s="203" t="str">
        <f>IF(INDEX(WP!$A:$AN,MATCH(F575,WP!$B:$B,0),8)=0,"None",INDEX(WP!$A:$AN,MATCH(F575,WP!$B:$B,0),8))</f>
        <v>None</v>
      </c>
      <c r="P574" s="8" t="e" vm="717">
        <f>_xlfn.IMAGE("https://natalie.tf/wp-content/uploads/2023/10/DLV3_Icon_Ability_"&amp;INDEX('WP-A'!$A$1:$Z$498,MATCH('WP-Print'!Q574,'WP-A'!$A:$A,0),MATCH("Icon",'WP-A'!$A$1:$Z$1,0))&amp;".png")</f>
        <v>#VALUE!</v>
      </c>
      <c r="Q574" s="231" t="str">
        <f>+INDEX(WP!$A:$AN,MATCH(F575,WP!$B:$B,0),MATCH("Ability",WP!$A$2:$AN$2,0))</f>
        <v>Burn Res +50%</v>
      </c>
      <c r="R574" s="734" t="str">
        <f>+INDEX(WP!$A:$AN,MATCH(F575,WP!$B:$B,0),MATCH("Obtain From",WP!$A$2:$AN$2,0))</f>
        <v>Clear Waterscour Ruins: Standard (Elemental Ruins)</v>
      </c>
    </row>
    <row r="575" spans="1:18" ht="22.5" customHeight="1" x14ac:dyDescent="0.2">
      <c r="A575" s="204" t="str">
        <f>TEXT(A572+1,"000")</f>
        <v>191</v>
      </c>
      <c r="B575" s="729"/>
      <c r="C575" s="8"/>
      <c r="D575" s="729"/>
      <c r="E575" s="8"/>
      <c r="F575" s="200" t="str">
        <f>"WP-"&amp;A575</f>
        <v>WP-191</v>
      </c>
      <c r="G575" s="200">
        <f>+INDEX(WP!$A:$AN,MATCH(F575,WP!$B:$B,0),MATCH("ID",WP!$A$2:$AN$2,0))</f>
        <v>400037</v>
      </c>
      <c r="I575" s="8"/>
      <c r="J575" s="180" t="s">
        <v>10762</v>
      </c>
      <c r="K575" s="201">
        <f>+INDEX(WP!$A:$AN,MATCH(F575,WP!$B:$B,0),14)</f>
        <v>4</v>
      </c>
      <c r="L575" s="202">
        <f>+INDEX(WP!$A:$AN,MATCH(F575,WP!$B:$B,0),15)</f>
        <v>130</v>
      </c>
      <c r="M575" s="202">
        <f>+INDEX(WP!$A:$AN,MATCH(F575,WP!$B:$B,0),16)</f>
        <v>80</v>
      </c>
      <c r="N575" s="202" t="e" vm="338">
        <f>IFERROR(_xlfn.IMAGE("https://natalie.tf/wp-content/uploads/2023/11/DLV3_Icon_Affinity_"&amp;O575&amp;".png"),"")</f>
        <v>#VALUE!</v>
      </c>
      <c r="O575" s="203" t="str">
        <f>+INDEX(WP!$A:$AN,MATCH(F575,WP!$B:$B,0),17)</f>
        <v>Wolf</v>
      </c>
      <c r="P575" s="8" t="e" vm="717">
        <f>_xlfn.IMAGE("https://natalie.tf/wp-content/uploads/2023/10/DLV3_Icon_Ability_"&amp;INDEX('WP-A'!$A$1:$Z$498,MATCH('WP-Print'!Q575,'WP-A'!$A:$A,0),MATCH("Icon",'WP-A'!$A$1:$Z$1,0))&amp;".png")</f>
        <v>#VALUE!</v>
      </c>
      <c r="Q575" s="231" t="str">
        <f>+INDEX(WP!$A:$AN,MATCH(F575,WP!$B:$B,0),MATCH("Ability V3",WP!$A$2:$AN$2,0))</f>
        <v>Burn Res +100%</v>
      </c>
      <c r="R575" s="735"/>
    </row>
    <row r="576" spans="1:18" ht="7.5" customHeight="1" x14ac:dyDescent="0.2">
      <c r="A576" t="s">
        <v>10763</v>
      </c>
    </row>
    <row r="577" spans="1:18" ht="22.5" customHeight="1" x14ac:dyDescent="0.2">
      <c r="B577" s="729" t="e" vm="718">
        <f>_xlfn.IMAGE("https://natalie.tf/wp-content/uploads/2023/10/DLV3_Icon_WP_"&amp;G578&amp;"_01.png")</f>
        <v>#VALUE!</v>
      </c>
      <c r="D577" s="730" t="e" vm="719">
        <f>_xlfn.IMAGE("https://natalie.tf/wp-content/uploads/2023/10/DLV3_Icon_WP_"&amp;G578&amp;"_02.png")</f>
        <v>#VALUE!</v>
      </c>
      <c r="F577" s="717" t="str">
        <f>+INDEX(WP!$A:$AN,MATCH(F578,WP!$B:$B,0),MATCH("Name",WP!$A$2:$AN$2,0))</f>
        <v>Trove of Knowledge</v>
      </c>
      <c r="G577" s="718"/>
      <c r="H577" s="719"/>
      <c r="J577" s="180" t="s">
        <v>10761</v>
      </c>
      <c r="K577" s="201">
        <f>+INDEX(WP!$A:$AN,MATCH(F578,WP!$B:$B,0),5)</f>
        <v>4</v>
      </c>
      <c r="L577" s="202">
        <f>+INDEX(WP!$A:$AN,MATCH(F578,WP!$B:$B,0),6)</f>
        <v>78</v>
      </c>
      <c r="M577" s="202">
        <f>+INDEX(WP!$A:$AN,MATCH(F578,WP!$B:$B,0),7)</f>
        <v>19</v>
      </c>
      <c r="N577" s="202" t="str">
        <f ca="1">IFERROR(_xlfn.IMAGE("https://natalie.tf/wp-content/uploads/2023/11/DLV3_Icon_Affinity_"&amp;O577&amp;".png"),"")</f>
        <v/>
      </c>
      <c r="O577" s="203" t="str">
        <f>IF(INDEX(WP!$A:$AN,MATCH(F578,WP!$B:$B,0),8)=0,"None",INDEX(WP!$A:$AN,MATCH(F578,WP!$B:$B,0),8))</f>
        <v>None</v>
      </c>
      <c r="P577" s="8" t="e" vm="720">
        <f>_xlfn.IMAGE("https://natalie.tf/wp-content/uploads/2023/10/DLV3_Icon_Ability_"&amp;INDEX('WP-A'!$A$1:$Z$498,MATCH('WP-Print'!Q577,'WP-A'!$A:$A,0),MATCH("Icon",'WP-A'!$A$1:$Z$1,0))&amp;".png")</f>
        <v>#VALUE!</v>
      </c>
      <c r="Q577" s="231" t="str">
        <f>+INDEX(WP!$A:$AN,MATCH(F578,WP!$B:$B,0),MATCH("Ability",WP!$A$2:$AN$2,0))</f>
        <v>Stun Res +50%</v>
      </c>
      <c r="R577" s="734" t="str">
        <f>+INDEX(WP!$A:$AN,MATCH(F578,WP!$B:$B,0),MATCH("Obtain From",WP!$A$2:$AN$2,0))</f>
        <v>Clear Brunhilda's Trial: Expert</v>
      </c>
    </row>
    <row r="578" spans="1:18" ht="22.5" customHeight="1" x14ac:dyDescent="0.2">
      <c r="A578" s="204" t="str">
        <f>TEXT(A575+1,"000")</f>
        <v>192</v>
      </c>
      <c r="B578" s="729"/>
      <c r="C578" s="8"/>
      <c r="D578" s="729"/>
      <c r="E578" s="8"/>
      <c r="F578" s="200" t="str">
        <f>"WP-"&amp;A578</f>
        <v>WP-192</v>
      </c>
      <c r="G578" s="200">
        <f>+INDEX(WP!$A:$AN,MATCH(F578,WP!$B:$B,0),MATCH("ID",WP!$A$2:$AN$2,0))</f>
        <v>400038</v>
      </c>
      <c r="I578" s="8"/>
      <c r="J578" s="180" t="s">
        <v>10762</v>
      </c>
      <c r="K578" s="201">
        <f>+INDEX(WP!$A:$AN,MATCH(F578,WP!$B:$B,0),14)</f>
        <v>4</v>
      </c>
      <c r="L578" s="202">
        <f>+INDEX(WP!$A:$AN,MATCH(F578,WP!$B:$B,0),15)</f>
        <v>130</v>
      </c>
      <c r="M578" s="202">
        <f>+INDEX(WP!$A:$AN,MATCH(F578,WP!$B:$B,0),16)</f>
        <v>80</v>
      </c>
      <c r="N578" s="202" t="e" vm="354">
        <f>IFERROR(_xlfn.IMAGE("https://natalie.tf/wp-content/uploads/2023/11/DLV3_Icon_Affinity_"&amp;O578&amp;".png"),"")</f>
        <v>#VALUE!</v>
      </c>
      <c r="O578" s="203" t="str">
        <f>+INDEX(WP!$A:$AN,MATCH(F578,WP!$B:$B,0),17)</f>
        <v>Butterfly</v>
      </c>
      <c r="P578" s="8" t="e" vm="720">
        <f>_xlfn.IMAGE("https://natalie.tf/wp-content/uploads/2023/10/DLV3_Icon_Ability_"&amp;INDEX('WP-A'!$A$1:$Z$498,MATCH('WP-Print'!Q578,'WP-A'!$A:$A,0),MATCH("Icon",'WP-A'!$A$1:$Z$1,0))&amp;".png")</f>
        <v>#VALUE!</v>
      </c>
      <c r="Q578" s="231" t="str">
        <f>+INDEX(WP!$A:$AN,MATCH(F578,WP!$B:$B,0),MATCH("Ability V3",WP!$A$2:$AN$2,0))</f>
        <v>Stun Res +100%</v>
      </c>
      <c r="R578" s="735"/>
    </row>
    <row r="579" spans="1:18" ht="7.5" customHeight="1" x14ac:dyDescent="0.2">
      <c r="A579" t="s">
        <v>10763</v>
      </c>
    </row>
    <row r="580" spans="1:18" ht="22.5" customHeight="1" x14ac:dyDescent="0.2">
      <c r="B580" s="729" t="e" vm="721">
        <f>_xlfn.IMAGE("https://natalie.tf/wp-content/uploads/2023/10/DLV3_Icon_WP_"&amp;G581&amp;"_01.png")</f>
        <v>#VALUE!</v>
      </c>
      <c r="D580" s="730" t="e" vm="722">
        <f>_xlfn.IMAGE("https://natalie.tf/wp-content/uploads/2023/10/DLV3_Icon_WP_"&amp;G581&amp;"_02.png")</f>
        <v>#VALUE!</v>
      </c>
      <c r="F580" s="717" t="str">
        <f>+INDEX(WP!$A:$AN,MATCH(F581,WP!$B:$B,0),MATCH("Name",WP!$A$2:$AN$2,0))</f>
        <v>Castaway's Journal</v>
      </c>
      <c r="G580" s="718"/>
      <c r="H580" s="719"/>
      <c r="J580" s="180" t="s">
        <v>10761</v>
      </c>
      <c r="K580" s="201">
        <f>+INDEX(WP!$A:$AN,MATCH(F581,WP!$B:$B,0),5)</f>
        <v>4</v>
      </c>
      <c r="L580" s="202">
        <f>+INDEX(WP!$A:$AN,MATCH(F581,WP!$B:$B,0),6)</f>
        <v>78</v>
      </c>
      <c r="M580" s="202">
        <f>+INDEX(WP!$A:$AN,MATCH(F581,WP!$B:$B,0),7)</f>
        <v>19</v>
      </c>
      <c r="N580" s="202" t="str">
        <f ca="1">IFERROR(_xlfn.IMAGE("https://natalie.tf/wp-content/uploads/2023/11/DLV3_Icon_Affinity_"&amp;O580&amp;".png"),"")</f>
        <v/>
      </c>
      <c r="O580" s="203" t="str">
        <f>IF(INDEX(WP!$A:$AN,MATCH(F581,WP!$B:$B,0),8)=0,"None",INDEX(WP!$A:$AN,MATCH(F581,WP!$B:$B,0),8))</f>
        <v>None</v>
      </c>
      <c r="P580" s="8" t="e" vm="609">
        <f>_xlfn.IMAGE("https://natalie.tf/wp-content/uploads/2023/10/DLV3_Icon_Ability_"&amp;INDEX('WP-A'!$A$1:$Z$498,MATCH('WP-Print'!Q580,'WP-A'!$A:$A,0),MATCH("Icon",'WP-A'!$A$1:$Z$1,0))&amp;".png")</f>
        <v>#VALUE!</v>
      </c>
      <c r="Q580" s="231" t="str">
        <f>+INDEX(WP!$A:$AN,MATCH(F581,WP!$B:$B,0),MATCH("Ability",WP!$A$2:$AN$2,0))</f>
        <v>Paralysis Res +50%</v>
      </c>
      <c r="R580" s="734" t="str">
        <f>+INDEX(WP!$A:$AN,MATCH(F581,WP!$B:$B,0),MATCH("Obtain From",WP!$A$2:$AN$2,0))</f>
        <v>Clear Shadowsteep Ruins: Standard (Elemental Ruins)</v>
      </c>
    </row>
    <row r="581" spans="1:18" ht="22.5" customHeight="1" x14ac:dyDescent="0.2">
      <c r="A581" s="204" t="str">
        <f>TEXT(A578+1,"000")</f>
        <v>193</v>
      </c>
      <c r="B581" s="729"/>
      <c r="C581" s="8"/>
      <c r="D581" s="729"/>
      <c r="E581" s="8"/>
      <c r="F581" s="200" t="str">
        <f>"WP-"&amp;A581</f>
        <v>WP-193</v>
      </c>
      <c r="G581" s="200">
        <f>+INDEX(WP!$A:$AN,MATCH(F581,WP!$B:$B,0),MATCH("ID",WP!$A$2:$AN$2,0))</f>
        <v>400039</v>
      </c>
      <c r="I581" s="8"/>
      <c r="J581" s="180" t="s">
        <v>10762</v>
      </c>
      <c r="K581" s="201">
        <f>+INDEX(WP!$A:$AN,MATCH(F581,WP!$B:$B,0),14)</f>
        <v>4</v>
      </c>
      <c r="L581" s="202">
        <f>+INDEX(WP!$A:$AN,MATCH(F581,WP!$B:$B,0),15)</f>
        <v>130</v>
      </c>
      <c r="M581" s="202">
        <f>+INDEX(WP!$A:$AN,MATCH(F581,WP!$B:$B,0),16)</f>
        <v>80</v>
      </c>
      <c r="N581" s="202" t="e" vm="343">
        <f>IFERROR(_xlfn.IMAGE("https://natalie.tf/wp-content/uploads/2023/11/DLV3_Icon_Affinity_"&amp;O581&amp;".png"),"")</f>
        <v>#VALUE!</v>
      </c>
      <c r="O581" s="203" t="str">
        <f>+INDEX(WP!$A:$AN,MATCH(F581,WP!$B:$B,0),17)</f>
        <v>Axe</v>
      </c>
      <c r="P581" s="8" t="e" vm="609">
        <f>_xlfn.IMAGE("https://natalie.tf/wp-content/uploads/2023/10/DLV3_Icon_Ability_"&amp;INDEX('WP-A'!$A$1:$Z$498,MATCH('WP-Print'!Q581,'WP-A'!$A:$A,0),MATCH("Icon",'WP-A'!$A$1:$Z$1,0))&amp;".png")</f>
        <v>#VALUE!</v>
      </c>
      <c r="Q581" s="231" t="str">
        <f>+INDEX(WP!$A:$AN,MATCH(F581,WP!$B:$B,0),MATCH("Ability V3",WP!$A$2:$AN$2,0))</f>
        <v>Paralysis Res +100%</v>
      </c>
      <c r="R581" s="735"/>
    </row>
    <row r="582" spans="1:18" ht="7.5" customHeight="1" x14ac:dyDescent="0.2">
      <c r="A582" t="s">
        <v>10763</v>
      </c>
    </row>
    <row r="583" spans="1:18" ht="22.5" customHeight="1" x14ac:dyDescent="0.2">
      <c r="B583" s="729" t="e" vm="723">
        <f>_xlfn.IMAGE("https://natalie.tf/wp-content/uploads/2023/10/DLV3_Icon_WP_"&amp;G584&amp;"_01.png")</f>
        <v>#VALUE!</v>
      </c>
      <c r="D583" s="730" t="e" vm="724">
        <f>_xlfn.IMAGE("https://natalie.tf/wp-content/uploads/2023/10/DLV3_Icon_WP_"&amp;G584&amp;"_02.png")</f>
        <v>#VALUE!</v>
      </c>
      <c r="F583" s="717" t="str">
        <f>+INDEX(WP!$A:$AN,MATCH(F584,WP!$B:$B,0),MATCH("Name",WP!$A$2:$AN$2,0))</f>
        <v>Lord of the Skies</v>
      </c>
      <c r="G583" s="718"/>
      <c r="H583" s="719"/>
      <c r="J583" s="180" t="s">
        <v>10761</v>
      </c>
      <c r="K583" s="201">
        <f>+INDEX(WP!$A:$AN,MATCH(F584,WP!$B:$B,0),5)</f>
        <v>4</v>
      </c>
      <c r="L583" s="202">
        <f>+INDEX(WP!$A:$AN,MATCH(F584,WP!$B:$B,0),6)</f>
        <v>73</v>
      </c>
      <c r="M583" s="202">
        <f>+INDEX(WP!$A:$AN,MATCH(F584,WP!$B:$B,0),7)</f>
        <v>23</v>
      </c>
      <c r="N583" s="202" t="str">
        <f ca="1">IFERROR(_xlfn.IMAGE("https://natalie.tf/wp-content/uploads/2023/11/DLV3_Icon_Affinity_"&amp;O583&amp;".png"),"")</f>
        <v/>
      </c>
      <c r="O583" s="203" t="str">
        <f>IF(INDEX(WP!$A:$AN,MATCH(F584,WP!$B:$B,0),8)=0,"None",INDEX(WP!$A:$AN,MATCH(F584,WP!$B:$B,0),8))</f>
        <v>None</v>
      </c>
      <c r="P583" s="8" t="e" vm="688">
        <f>_xlfn.IMAGE("https://natalie.tf/wp-content/uploads/2023/10/DLV3_Icon_Ability_"&amp;INDEX('WP-A'!$A$1:$Z$498,MATCH('WP-Print'!Q583,'WP-A'!$A:$A,0),MATCH("Icon",'WP-A'!$A$1:$Z$1,0))&amp;".png")</f>
        <v>#VALUE!</v>
      </c>
      <c r="Q583" s="231" t="str">
        <f>+INDEX(WP!$A:$AN,MATCH(F584,WP!$B:$B,0),MATCH("Ability",WP!$A$2:$AN$2,0))</f>
        <v>Overdrive Punisher +10%</v>
      </c>
      <c r="R583" s="734" t="str">
        <f>+INDEX(WP!$A:$AN,MATCH(F584,WP!$B:$B,0),MATCH("Obtain From",WP!$A$2:$AN$2,0))</f>
        <v>Obtain From Ch. 11 EX 1 Chest (Hard) (Non-Endeavor)</v>
      </c>
    </row>
    <row r="584" spans="1:18" ht="22.5" customHeight="1" x14ac:dyDescent="0.2">
      <c r="A584" s="204" t="str">
        <f>TEXT(A581+1,"000")</f>
        <v>194</v>
      </c>
      <c r="B584" s="729"/>
      <c r="C584" s="8"/>
      <c r="D584" s="729"/>
      <c r="E584" s="8"/>
      <c r="F584" s="200" t="str">
        <f>"WP-"&amp;A584</f>
        <v>WP-194</v>
      </c>
      <c r="G584" s="200">
        <f>+INDEX(WP!$A:$AN,MATCH(F584,WP!$B:$B,0),MATCH("ID",WP!$A$2:$AN$2,0))</f>
        <v>400040</v>
      </c>
      <c r="I584" s="8"/>
      <c r="J584" s="180" t="s">
        <v>10762</v>
      </c>
      <c r="K584" s="201">
        <f>+INDEX(WP!$A:$AN,MATCH(F584,WP!$B:$B,0),14)</f>
        <v>4</v>
      </c>
      <c r="L584" s="202">
        <f>+INDEX(WP!$A:$AN,MATCH(F584,WP!$B:$B,0),15)</f>
        <v>130</v>
      </c>
      <c r="M584" s="202">
        <f>+INDEX(WP!$A:$AN,MATCH(F584,WP!$B:$B,0),16)</f>
        <v>80</v>
      </c>
      <c r="N584" s="202" t="e" vm="341">
        <f>IFERROR(_xlfn.IMAGE("https://natalie.tf/wp-content/uploads/2023/11/DLV3_Icon_Affinity_"&amp;O584&amp;".png"),"")</f>
        <v>#VALUE!</v>
      </c>
      <c r="O584" s="203" t="str">
        <f>+INDEX(WP!$A:$AN,MATCH(F584,WP!$B:$B,0),17)</f>
        <v>Crown</v>
      </c>
      <c r="P584" s="8" t="e" vm="688">
        <f>_xlfn.IMAGE("https://natalie.tf/wp-content/uploads/2023/10/DLV3_Icon_Ability_"&amp;INDEX('WP-A'!$A$1:$Z$498,MATCH('WP-Print'!Q584,'WP-A'!$A:$A,0),MATCH("Icon",'WP-A'!$A$1:$Z$1,0))&amp;".png")</f>
        <v>#VALUE!</v>
      </c>
      <c r="Q584" s="231" t="str">
        <f>+INDEX(WP!$A:$AN,MATCH(F584,WP!$B:$B,0),MATCH("Ability V3",WP!$A$2:$AN$2,0))</f>
        <v>Overdrive Punisher +10%</v>
      </c>
      <c r="R584" s="735"/>
    </row>
    <row r="585" spans="1:18" ht="7.5" customHeight="1" x14ac:dyDescent="0.2">
      <c r="A585" t="s">
        <v>10763</v>
      </c>
    </row>
    <row r="586" spans="1:18" ht="22.5" customHeight="1" x14ac:dyDescent="0.2">
      <c r="B586" s="729" t="e" vm="725">
        <f>_xlfn.IMAGE("https://natalie.tf/wp-content/uploads/2023/10/DLV3_Icon_WP_"&amp;G587&amp;"_01.png")</f>
        <v>#VALUE!</v>
      </c>
      <c r="D586" s="730" t="e" vm="726">
        <f>_xlfn.IMAGE("https://natalie.tf/wp-content/uploads/2023/10/DLV3_Icon_WP_"&amp;G587&amp;"_02.png")</f>
        <v>#VALUE!</v>
      </c>
      <c r="F586" s="717" t="str">
        <f>+INDEX(WP!$A:$AN,MATCH(F587,WP!$B:$B,0),MATCH("Name",WP!$A$2:$AN$2,0))</f>
        <v>King's Countenance</v>
      </c>
      <c r="G586" s="718"/>
      <c r="H586" s="719"/>
      <c r="J586" s="180" t="s">
        <v>10761</v>
      </c>
      <c r="K586" s="201">
        <f>+INDEX(WP!$A:$AN,MATCH(F587,WP!$B:$B,0),5)</f>
        <v>4</v>
      </c>
      <c r="L586" s="202">
        <f>+INDEX(WP!$A:$AN,MATCH(F587,WP!$B:$B,0),6)</f>
        <v>75</v>
      </c>
      <c r="M586" s="202">
        <f>+INDEX(WP!$A:$AN,MATCH(F587,WP!$B:$B,0),7)</f>
        <v>21</v>
      </c>
      <c r="N586" s="202" t="str">
        <f ca="1">IFERROR(_xlfn.IMAGE("https://natalie.tf/wp-content/uploads/2023/11/DLV3_Icon_Affinity_"&amp;O586&amp;".png"),"")</f>
        <v/>
      </c>
      <c r="O586" s="203" t="str">
        <f>IF(INDEX(WP!$A:$AN,MATCH(F587,WP!$B:$B,0),8)=0,"None",INDEX(WP!$A:$AN,MATCH(F587,WP!$B:$B,0),8))</f>
        <v>None</v>
      </c>
      <c r="P586" s="8" t="e" vm="421">
        <f>_xlfn.IMAGE("https://natalie.tf/wp-content/uploads/2023/10/DLV3_Icon_Ability_"&amp;INDEX('WP-A'!$A$1:$Z$498,MATCH('WP-Print'!Q586,'WP-A'!$A:$A,0),MATCH("Icon",'WP-A'!$A$1:$Z$1,0))&amp;".png")</f>
        <v>#VALUE!</v>
      </c>
      <c r="Q586" s="231" t="str">
        <f>+INDEX(WP!$A:$AN,MATCH(F587,WP!$B:$B,0),MATCH("Ability",WP!$A$2:$AN$2,0))</f>
        <v>Curse Res +50%</v>
      </c>
      <c r="R586" s="734" t="str">
        <f>+INDEX(WP!$A:$AN,MATCH(F587,WP!$B:$B,0),MATCH("Obtain From",WP!$A$2:$AN$2,0))</f>
        <v>Clear Jupiter's Trial: Beginner</v>
      </c>
    </row>
    <row r="587" spans="1:18" ht="22.5" customHeight="1" x14ac:dyDescent="0.2">
      <c r="A587" s="204" t="str">
        <f>TEXT(A584+1,"000")</f>
        <v>195</v>
      </c>
      <c r="B587" s="729"/>
      <c r="C587" s="8"/>
      <c r="D587" s="729"/>
      <c r="E587" s="8"/>
      <c r="F587" s="200" t="str">
        <f>"WP-"&amp;A587</f>
        <v>WP-195</v>
      </c>
      <c r="G587" s="200">
        <f>+INDEX(WP!$A:$AN,MATCH(F587,WP!$B:$B,0),MATCH("ID",WP!$A$2:$AN$2,0))</f>
        <v>400041</v>
      </c>
      <c r="I587" s="8"/>
      <c r="J587" s="180" t="s">
        <v>10762</v>
      </c>
      <c r="K587" s="201">
        <f>+INDEX(WP!$A:$AN,MATCH(F587,WP!$B:$B,0),14)</f>
        <v>4</v>
      </c>
      <c r="L587" s="202">
        <f>+INDEX(WP!$A:$AN,MATCH(F587,WP!$B:$B,0),15)</f>
        <v>130</v>
      </c>
      <c r="M587" s="202">
        <f>+INDEX(WP!$A:$AN,MATCH(F587,WP!$B:$B,0),16)</f>
        <v>80</v>
      </c>
      <c r="N587" s="202" t="e" vm="341">
        <f>IFERROR(_xlfn.IMAGE("https://natalie.tf/wp-content/uploads/2023/11/DLV3_Icon_Affinity_"&amp;O587&amp;".png"),"")</f>
        <v>#VALUE!</v>
      </c>
      <c r="O587" s="203" t="str">
        <f>+INDEX(WP!$A:$AN,MATCH(F587,WP!$B:$B,0),17)</f>
        <v>Crown</v>
      </c>
      <c r="P587" s="8" t="e" vm="421">
        <f>_xlfn.IMAGE("https://natalie.tf/wp-content/uploads/2023/10/DLV3_Icon_Ability_"&amp;INDEX('WP-A'!$A$1:$Z$498,MATCH('WP-Print'!Q587,'WP-A'!$A:$A,0),MATCH("Icon",'WP-A'!$A$1:$Z$1,0))&amp;".png")</f>
        <v>#VALUE!</v>
      </c>
      <c r="Q587" s="231" t="str">
        <f>+INDEX(WP!$A:$AN,MATCH(F587,WP!$B:$B,0),MATCH("Ability V3",WP!$A$2:$AN$2,0))</f>
        <v>Curse Res +100%</v>
      </c>
      <c r="R587" s="735"/>
    </row>
    <row r="588" spans="1:18" ht="7.5" customHeight="1" x14ac:dyDescent="0.2">
      <c r="A588" t="s">
        <v>10763</v>
      </c>
    </row>
    <row r="589" spans="1:18" ht="22.5" customHeight="1" x14ac:dyDescent="0.2">
      <c r="B589" s="729" t="e" vm="727">
        <f>_xlfn.IMAGE("https://natalie.tf/wp-content/uploads/2023/10/DLV3_Icon_WP_"&amp;G590&amp;"_01.png")</f>
        <v>#VALUE!</v>
      </c>
      <c r="D589" s="730" t="e" vm="728">
        <f>_xlfn.IMAGE("https://natalie.tf/wp-content/uploads/2023/10/DLV3_Icon_WP_"&amp;G590&amp;"_02.png")</f>
        <v>#VALUE!</v>
      </c>
      <c r="F589" s="717" t="str">
        <f>+INDEX(WP!$A:$AN,MATCH(F590,WP!$B:$B,0),MATCH("Name",WP!$A$2:$AN$2,0))</f>
        <v>Braving the Unknown</v>
      </c>
      <c r="G589" s="718"/>
      <c r="H589" s="719"/>
      <c r="J589" s="180" t="s">
        <v>10761</v>
      </c>
      <c r="K589" s="201">
        <f>+INDEX(WP!$A:$AN,MATCH(F590,WP!$B:$B,0),5)</f>
        <v>4</v>
      </c>
      <c r="L589" s="202">
        <f>+INDEX(WP!$A:$AN,MATCH(F590,WP!$B:$B,0),6)</f>
        <v>78</v>
      </c>
      <c r="M589" s="202">
        <f>+INDEX(WP!$A:$AN,MATCH(F590,WP!$B:$B,0),7)</f>
        <v>19</v>
      </c>
      <c r="N589" s="202" t="str">
        <f ca="1">IFERROR(_xlfn.IMAGE("https://natalie.tf/wp-content/uploads/2023/11/DLV3_Icon_Affinity_"&amp;O589&amp;".png"),"")</f>
        <v/>
      </c>
      <c r="O589" s="203" t="str">
        <f>IF(INDEX(WP!$A:$AN,MATCH(F590,WP!$B:$B,0),8)=0,"None",INDEX(WP!$A:$AN,MATCH(F590,WP!$B:$B,0),8))</f>
        <v>None</v>
      </c>
      <c r="P589" s="8" t="e" vm="729">
        <f>_xlfn.IMAGE("https://natalie.tf/wp-content/uploads/2023/10/DLV3_Icon_Ability_"&amp;INDEX('WP-A'!$A$1:$Z$498,MATCH('WP-Print'!Q589,'WP-A'!$A:$A,0),MATCH("Icon",'WP-A'!$A$1:$Z$1,0))&amp;".png")</f>
        <v>#VALUE!</v>
      </c>
      <c r="Q589" s="231" t="str">
        <f>+INDEX(WP!$A:$AN,MATCH(F590,WP!$B:$B,0),MATCH("Ability",WP!$A$2:$AN$2,0))</f>
        <v>Poison Res +50%</v>
      </c>
      <c r="R589" s="734" t="str">
        <f>+INDEX(WP!$A:$AN,MATCH(F590,WP!$B:$B,0),MATCH("Obtain From",WP!$A$2:$AN$2,0))</f>
        <v>Clear Lightsunder Ruins: Standard (Elemental Ruins)</v>
      </c>
    </row>
    <row r="590" spans="1:18" ht="22.5" customHeight="1" x14ac:dyDescent="0.2">
      <c r="A590" s="204" t="str">
        <f>TEXT(A587+1,"000")</f>
        <v>196</v>
      </c>
      <c r="B590" s="729"/>
      <c r="C590" s="8"/>
      <c r="D590" s="729"/>
      <c r="E590" s="8"/>
      <c r="F590" s="200" t="str">
        <f>"WP-"&amp;A590</f>
        <v>WP-196</v>
      </c>
      <c r="G590" s="200">
        <f>+INDEX(WP!$A:$AN,MATCH(F590,WP!$B:$B,0),MATCH("ID",WP!$A$2:$AN$2,0))</f>
        <v>400042</v>
      </c>
      <c r="I590" s="8"/>
      <c r="J590" s="180" t="s">
        <v>10762</v>
      </c>
      <c r="K590" s="201">
        <f>+INDEX(WP!$A:$AN,MATCH(F590,WP!$B:$B,0),14)</f>
        <v>4</v>
      </c>
      <c r="L590" s="202">
        <f>+INDEX(WP!$A:$AN,MATCH(F590,WP!$B:$B,0),15)</f>
        <v>130</v>
      </c>
      <c r="M590" s="202">
        <f>+INDEX(WP!$A:$AN,MATCH(F590,WP!$B:$B,0),16)</f>
        <v>80</v>
      </c>
      <c r="N590" s="202" t="e" vm="342">
        <f>IFERROR(_xlfn.IMAGE("https://natalie.tf/wp-content/uploads/2023/11/DLV3_Icon_Affinity_"&amp;O590&amp;".png"),"")</f>
        <v>#VALUE!</v>
      </c>
      <c r="O590" s="203" t="str">
        <f>+INDEX(WP!$A:$AN,MATCH(F590,WP!$B:$B,0),17)</f>
        <v>Bow</v>
      </c>
      <c r="P590" s="8" t="e" vm="729">
        <f>_xlfn.IMAGE("https://natalie.tf/wp-content/uploads/2023/10/DLV3_Icon_Ability_"&amp;INDEX('WP-A'!$A$1:$Z$498,MATCH('WP-Print'!Q590,'WP-A'!$A:$A,0),MATCH("Icon",'WP-A'!$A$1:$Z$1,0))&amp;".png")</f>
        <v>#VALUE!</v>
      </c>
      <c r="Q590" s="231" t="str">
        <f>+INDEX(WP!$A:$AN,MATCH(F590,WP!$B:$B,0),MATCH("Ability V3",WP!$A$2:$AN$2,0))</f>
        <v>Poison Res +100%</v>
      </c>
      <c r="R590" s="735"/>
    </row>
    <row r="591" spans="1:18" ht="22.5" customHeight="1" x14ac:dyDescent="0.2">
      <c r="A591" t="s">
        <v>10763</v>
      </c>
    </row>
    <row r="592" spans="1:18" ht="22.5" customHeight="1" x14ac:dyDescent="0.2">
      <c r="B592" s="729" t="e" vm="730">
        <f>_xlfn.IMAGE("https://natalie.tf/wp-content/uploads/2023/10/DLV3_Icon_WP_"&amp;G593&amp;"_01.png")</f>
        <v>#VALUE!</v>
      </c>
      <c r="D592" s="730" t="e" vm="731">
        <f>_xlfn.IMAGE("https://natalie.tf/wp-content/uploads/2023/10/DLV3_Icon_WP_"&amp;G593&amp;"_02.png")</f>
        <v>#VALUE!</v>
      </c>
      <c r="F592" s="717" t="str">
        <f>+INDEX(WP!$A:$AN,MATCH(F593,WP!$B:$B,0),MATCH("Name",WP!$A$2:$AN$2,0))</f>
        <v>What a Handful!</v>
      </c>
      <c r="G592" s="718"/>
      <c r="H592" s="719"/>
      <c r="J592" s="180" t="s">
        <v>10761</v>
      </c>
      <c r="K592" s="201">
        <f>+INDEX(WP!$A:$AN,MATCH(F593,WP!$B:$B,0),5)</f>
        <v>4</v>
      </c>
      <c r="L592" s="202">
        <f>+INDEX(WP!$A:$AN,MATCH(F593,WP!$B:$B,0),6)</f>
        <v>75</v>
      </c>
      <c r="M592" s="202">
        <f>+INDEX(WP!$A:$AN,MATCH(F593,WP!$B:$B,0),7)</f>
        <v>21</v>
      </c>
      <c r="N592" s="202" t="e" vm="345">
        <f>IFERROR(_xlfn.IMAGE("https://natalie.tf/wp-content/uploads/2023/11/DLV3_Icon_Affinity_"&amp;O592&amp;".png"),"")</f>
        <v>#VALUE!</v>
      </c>
      <c r="O592" s="203" t="str">
        <f>IF(INDEX(WP!$A:$AN,MATCH(F593,WP!$B:$B,0),8)=0,"None",INDEX(WP!$A:$AN,MATCH(F593,WP!$B:$B,0),8))</f>
        <v>Staff</v>
      </c>
      <c r="P592" s="8" t="e" vm="349">
        <f>_xlfn.IMAGE("https://natalie.tf/wp-content/uploads/2023/10/DLV3_Icon_Ability_"&amp;INDEX('WP-A'!$A$1:$Z$498,MATCH('WP-Print'!Q592,'WP-A'!$A:$A,0),MATCH("Icon",'WP-A'!$A$1:$Z$1,0))&amp;".png")</f>
        <v>#VALUE!</v>
      </c>
      <c r="Q592" s="231" t="str">
        <f>+INDEX(WP!$A:$AN,MATCH(F593,WP!$B:$B,0),MATCH("Ability",WP!$A$2:$AN$2,0))</f>
        <v>Recovery Potency +10%</v>
      </c>
      <c r="R592" s="734" t="str">
        <f>+INDEX(WP!$A:$AN,MATCH(F593,WP!$B:$B,0),MATCH("Obtain From",WP!$A$2:$AN$2,0))</f>
        <v>Unlock 50 Mana Nodes for a Light-Attuned Adventurer</v>
      </c>
    </row>
    <row r="593" spans="1:18" ht="22.5" customHeight="1" x14ac:dyDescent="0.2">
      <c r="A593" s="204" t="str">
        <f>TEXT(A590+1,"000")</f>
        <v>197</v>
      </c>
      <c r="B593" s="729"/>
      <c r="C593" s="8"/>
      <c r="D593" s="729"/>
      <c r="E593" s="8"/>
      <c r="F593" s="200" t="str">
        <f>"WP-"&amp;A593</f>
        <v>WP-197</v>
      </c>
      <c r="G593" s="200">
        <f>+INDEX(WP!$A:$AN,MATCH(F593,WP!$B:$B,0),MATCH("ID",WP!$A$2:$AN$2,0))</f>
        <v>400043</v>
      </c>
      <c r="I593" s="8"/>
      <c r="J593" s="180" t="s">
        <v>10762</v>
      </c>
      <c r="K593" s="201">
        <f>+INDEX(WP!$A:$AN,MATCH(F593,WP!$B:$B,0),14)</f>
        <v>4</v>
      </c>
      <c r="L593" s="202">
        <f>+INDEX(WP!$A:$AN,MATCH(F593,WP!$B:$B,0),15)</f>
        <v>130</v>
      </c>
      <c r="M593" s="202">
        <f>+INDEX(WP!$A:$AN,MATCH(F593,WP!$B:$B,0),16)</f>
        <v>80</v>
      </c>
      <c r="N593" s="202" t="e" vm="342">
        <f>IFERROR(_xlfn.IMAGE("https://natalie.tf/wp-content/uploads/2023/11/DLV3_Icon_Affinity_"&amp;O593&amp;".png"),"")</f>
        <v>#VALUE!</v>
      </c>
      <c r="O593" s="203" t="str">
        <f>+INDEX(WP!$A:$AN,MATCH(F593,WP!$B:$B,0),17)</f>
        <v>Bow</v>
      </c>
      <c r="P593" s="8" t="e" vm="349">
        <f>_xlfn.IMAGE("https://natalie.tf/wp-content/uploads/2023/10/DLV3_Icon_Ability_"&amp;INDEX('WP-A'!$A$1:$Z$498,MATCH('WP-Print'!Q593,'WP-A'!$A:$A,0),MATCH("Icon",'WP-A'!$A$1:$Z$1,0))&amp;".png")</f>
        <v>#VALUE!</v>
      </c>
      <c r="Q593" s="231" t="str">
        <f>+INDEX(WP!$A:$AN,MATCH(F593,WP!$B:$B,0),MATCH("Ability V3",WP!$A$2:$AN$2,0))</f>
        <v>Recovery Potency +12%</v>
      </c>
      <c r="R593" s="735"/>
    </row>
    <row r="594" spans="1:18" ht="7.5" customHeight="1" x14ac:dyDescent="0.2">
      <c r="A594" t="s">
        <v>10763</v>
      </c>
    </row>
    <row r="595" spans="1:18" ht="22.5" customHeight="1" x14ac:dyDescent="0.2">
      <c r="B595" s="729" t="e" vm="732">
        <f>_xlfn.IMAGE("https://natalie.tf/wp-content/uploads/2023/10/DLV3_Icon_WP_"&amp;G596&amp;"_01.png")</f>
        <v>#VALUE!</v>
      </c>
      <c r="D595" s="730" t="e" vm="733">
        <f>_xlfn.IMAGE("https://natalie.tf/wp-content/uploads/2023/10/DLV3_Icon_WP_"&amp;G596&amp;"_02.png")</f>
        <v>#VALUE!</v>
      </c>
      <c r="F595" s="717" t="str">
        <f>+INDEX(WP!$A:$AN,MATCH(F596,WP!$B:$B,0),MATCH("Name",WP!$A$2:$AN$2,0))</f>
        <v>How to Flee Properly</v>
      </c>
      <c r="G595" s="718"/>
      <c r="H595" s="719"/>
      <c r="J595" s="180" t="s">
        <v>10761</v>
      </c>
      <c r="K595" s="201">
        <f>+INDEX(WP!$A:$AN,MATCH(F596,WP!$B:$B,0),5)</f>
        <v>4</v>
      </c>
      <c r="L595" s="202">
        <f>+INDEX(WP!$A:$AN,MATCH(F596,WP!$B:$B,0),6)</f>
        <v>76</v>
      </c>
      <c r="M595" s="202">
        <f>+INDEX(WP!$A:$AN,MATCH(F596,WP!$B:$B,0),7)</f>
        <v>20</v>
      </c>
      <c r="N595" s="202" t="e" vm="341">
        <f>IFERROR(_xlfn.IMAGE("https://natalie.tf/wp-content/uploads/2023/11/DLV3_Icon_Affinity_"&amp;O595&amp;".png"),"")</f>
        <v>#VALUE!</v>
      </c>
      <c r="O595" s="203" t="str">
        <f>IF(INDEX(WP!$A:$AN,MATCH(F596,WP!$B:$B,0),8)=0,"None",INDEX(WP!$A:$AN,MATCH(F596,WP!$B:$B,0),8))</f>
        <v>Crown</v>
      </c>
      <c r="P595" s="8" t="e" vm="426">
        <f>_xlfn.IMAGE("https://natalie.tf/wp-content/uploads/2023/10/DLV3_Icon_Ability_"&amp;INDEX('WP-A'!$A$1:$Z$498,MATCH('WP-Print'!Q595,'WP-A'!$A:$A,0),MATCH("Icon",'WP-A'!$A$1:$Z$1,0))&amp;".png")</f>
        <v>#VALUE!</v>
      </c>
      <c r="Q595" s="231" t="str">
        <f>+INDEX(WP!$A:$AN,MATCH(F596,WP!$B:$B,0),MATCH("Ability",WP!$A$2:$AN$2,0))</f>
        <v>Last Defense +60%</v>
      </c>
      <c r="R595" s="734" t="str">
        <f>+INDEX(WP!$A:$AN,MATCH(F596,WP!$B:$B,0),MATCH("Obtain From",WP!$A$2:$AN$2,0))</f>
        <v>Clear Brunhilda's Trial: Beginner</v>
      </c>
    </row>
    <row r="596" spans="1:18" ht="22.5" customHeight="1" x14ac:dyDescent="0.2">
      <c r="A596" s="204" t="str">
        <f>TEXT(A593+1,"000")</f>
        <v>198</v>
      </c>
      <c r="B596" s="729"/>
      <c r="C596" s="8"/>
      <c r="D596" s="729"/>
      <c r="E596" s="8"/>
      <c r="F596" s="200" t="str">
        <f>"WP-"&amp;A596</f>
        <v>WP-198</v>
      </c>
      <c r="G596" s="200">
        <f>+INDEX(WP!$A:$AN,MATCH(F596,WP!$B:$B,0),MATCH("ID",WP!$A$2:$AN$2,0))</f>
        <v>400044</v>
      </c>
      <c r="I596" s="8"/>
      <c r="J596" s="180" t="s">
        <v>10762</v>
      </c>
      <c r="K596" s="201">
        <f>+INDEX(WP!$A:$AN,MATCH(F596,WP!$B:$B,0),14)</f>
        <v>4</v>
      </c>
      <c r="L596" s="202">
        <f>+INDEX(WP!$A:$AN,MATCH(F596,WP!$B:$B,0),15)</f>
        <v>130</v>
      </c>
      <c r="M596" s="202">
        <f>+INDEX(WP!$A:$AN,MATCH(F596,WP!$B:$B,0),16)</f>
        <v>80</v>
      </c>
      <c r="N596" s="202" t="e" vm="340">
        <f>IFERROR(_xlfn.IMAGE("https://natalie.tf/wp-content/uploads/2023/11/DLV3_Icon_Affinity_"&amp;O596&amp;".png"),"")</f>
        <v>#VALUE!</v>
      </c>
      <c r="O596" s="203" t="str">
        <f>+INDEX(WP!$A:$AN,MATCH(F596,WP!$B:$B,0),17)</f>
        <v>Lance</v>
      </c>
      <c r="P596" s="8" t="e" vm="426">
        <f>_xlfn.IMAGE("https://natalie.tf/wp-content/uploads/2023/10/DLV3_Icon_Ability_"&amp;INDEX('WP-A'!$A$1:$Z$498,MATCH('WP-Print'!Q596,'WP-A'!$A:$A,0),MATCH("Icon",'WP-A'!$A$1:$Z$1,0))&amp;".png")</f>
        <v>#VALUE!</v>
      </c>
      <c r="Q596" s="231" t="str">
        <f>+INDEX(WP!$A:$AN,MATCH(F596,WP!$B:$B,0),MATCH("Ability V3",WP!$A$2:$AN$2,0))</f>
        <v>Last Defense +60%</v>
      </c>
      <c r="R596" s="735"/>
    </row>
    <row r="597" spans="1:18" ht="7.5" customHeight="1" x14ac:dyDescent="0.2">
      <c r="A597" t="s">
        <v>10763</v>
      </c>
    </row>
    <row r="598" spans="1:18" ht="22.5" customHeight="1" x14ac:dyDescent="0.2">
      <c r="B598" s="729" t="e" vm="734">
        <f>_xlfn.IMAGE("https://natalie.tf/wp-content/uploads/2023/10/DLV3_Icon_WP_"&amp;G599&amp;"_01.png")</f>
        <v>#VALUE!</v>
      </c>
      <c r="D598" s="730" t="e" vm="735">
        <f>_xlfn.IMAGE("https://natalie.tf/wp-content/uploads/2023/10/DLV3_Icon_WP_"&amp;G599&amp;"_02.png")</f>
        <v>#VALUE!</v>
      </c>
      <c r="F598" s="717" t="str">
        <f>+INDEX(WP!$A:$AN,MATCH(F599,WP!$B:$B,0),MATCH("Name",WP!$A$2:$AN$2,0))</f>
        <v>One with the Shadows</v>
      </c>
      <c r="G598" s="718"/>
      <c r="H598" s="719"/>
      <c r="J598" s="180" t="s">
        <v>10761</v>
      </c>
      <c r="K598" s="201">
        <f>+INDEX(WP!$A:$AN,MATCH(F599,WP!$B:$B,0),5)</f>
        <v>4</v>
      </c>
      <c r="L598" s="202">
        <f>+INDEX(WP!$A:$AN,MATCH(F599,WP!$B:$B,0),6)</f>
        <v>71</v>
      </c>
      <c r="M598" s="202">
        <f>+INDEX(WP!$A:$AN,MATCH(F599,WP!$B:$B,0),7)</f>
        <v>25</v>
      </c>
      <c r="N598" s="202" t="e" vm="354">
        <f>IFERROR(_xlfn.IMAGE("https://natalie.tf/wp-content/uploads/2023/11/DLV3_Icon_Affinity_"&amp;O598&amp;".png"),"")</f>
        <v>#VALUE!</v>
      </c>
      <c r="O598" s="203" t="str">
        <f>IF(INDEX(WP!$A:$AN,MATCH(F599,WP!$B:$B,0),8)=0,"None",INDEX(WP!$A:$AN,MATCH(F599,WP!$B:$B,0),8))</f>
        <v>Butterfly</v>
      </c>
      <c r="P598" s="8" t="e" vm="326">
        <f>_xlfn.IMAGE("https://natalie.tf/wp-content/uploads/2023/10/DLV3_Icon_Ability_"&amp;INDEX('WP-A'!$A$1:$Z$498,MATCH('WP-Print'!Q598,'WP-A'!$A:$A,0),MATCH("Icon",'WP-A'!$A$1:$Z$1,0))&amp;".png")</f>
        <v>#VALUE!</v>
      </c>
      <c r="Q598" s="231" t="str">
        <f>+INDEX(WP!$A:$AN,MATCH(F599,WP!$B:$B,0),MATCH("Ability",WP!$A$2:$AN$2,0))</f>
        <v>Critical Rate +6%</v>
      </c>
      <c r="R598" s="734" t="str">
        <f>+INDEX(WP!$A:$AN,MATCH(F599,WP!$B:$B,0),MATCH("Obtain From",WP!$A$2:$AN$2,0))</f>
        <v>Clear Waterscour Ruins: Expert (Elemental Ruins)</v>
      </c>
    </row>
    <row r="599" spans="1:18" ht="22.5" customHeight="1" x14ac:dyDescent="0.2">
      <c r="A599" s="204" t="str">
        <f>TEXT(A596+1,"000")</f>
        <v>199</v>
      </c>
      <c r="B599" s="729"/>
      <c r="C599" s="8"/>
      <c r="D599" s="729"/>
      <c r="E599" s="8"/>
      <c r="F599" s="200" t="str">
        <f>"WP-"&amp;A599</f>
        <v>WP-199</v>
      </c>
      <c r="G599" s="200">
        <f>+INDEX(WP!$A:$AN,MATCH(F599,WP!$B:$B,0),MATCH("ID",WP!$A$2:$AN$2,0))</f>
        <v>400045</v>
      </c>
      <c r="I599" s="8"/>
      <c r="J599" s="180" t="s">
        <v>10762</v>
      </c>
      <c r="K599" s="201">
        <f>+INDEX(WP!$A:$AN,MATCH(F599,WP!$B:$B,0),14)</f>
        <v>4</v>
      </c>
      <c r="L599" s="202">
        <f>+INDEX(WP!$A:$AN,MATCH(F599,WP!$B:$B,0),15)</f>
        <v>130</v>
      </c>
      <c r="M599" s="202">
        <f>+INDEX(WP!$A:$AN,MATCH(F599,WP!$B:$B,0),16)</f>
        <v>80</v>
      </c>
      <c r="N599" s="202" t="e" vm="343">
        <f>IFERROR(_xlfn.IMAGE("https://natalie.tf/wp-content/uploads/2023/11/DLV3_Icon_Affinity_"&amp;O599&amp;".png"),"")</f>
        <v>#VALUE!</v>
      </c>
      <c r="O599" s="203" t="str">
        <f>+INDEX(WP!$A:$AN,MATCH(F599,WP!$B:$B,0),17)</f>
        <v>Axe</v>
      </c>
      <c r="P599" s="8" t="e" vm="326">
        <f>_xlfn.IMAGE("https://natalie.tf/wp-content/uploads/2023/10/DLV3_Icon_Ability_"&amp;INDEX('WP-A'!$A$1:$Z$498,MATCH('WP-Print'!Q599,'WP-A'!$A:$A,0),MATCH("Icon",'WP-A'!$A$1:$Z$1,0))&amp;".png")</f>
        <v>#VALUE!</v>
      </c>
      <c r="Q599" s="231" t="str">
        <f>+INDEX(WP!$A:$AN,MATCH(F599,WP!$B:$B,0),MATCH("Ability V3",WP!$A$2:$AN$2,0))</f>
        <v>(Water) Critical Rate +10%</v>
      </c>
      <c r="R599" s="735"/>
    </row>
    <row r="600" spans="1:18" ht="7.5" customHeight="1" x14ac:dyDescent="0.2">
      <c r="A600" t="s">
        <v>10763</v>
      </c>
    </row>
    <row r="601" spans="1:18" ht="22.5" customHeight="1" x14ac:dyDescent="0.2">
      <c r="B601" s="729" t="e" vm="736">
        <f>_xlfn.IMAGE("https://natalie.tf/wp-content/uploads/2023/10/DLV3_Icon_WP_"&amp;G602&amp;"_01.png")</f>
        <v>#VALUE!</v>
      </c>
      <c r="D601" s="730" t="e" vm="737">
        <f>_xlfn.IMAGE("https://natalie.tf/wp-content/uploads/2023/10/DLV3_Icon_WP_"&amp;G602&amp;"_02.png")</f>
        <v>#VALUE!</v>
      </c>
      <c r="F601" s="717" t="str">
        <f>+INDEX(WP!$A:$AN,MATCH(F602,WP!$B:$B,0),MATCH("Name",WP!$A$2:$AN$2,0))</f>
        <v>Warlust</v>
      </c>
      <c r="G601" s="718"/>
      <c r="H601" s="719"/>
      <c r="J601" s="180" t="s">
        <v>10761</v>
      </c>
      <c r="K601" s="201">
        <f>+INDEX(WP!$A:$AN,MATCH(F602,WP!$B:$B,0),5)</f>
        <v>4</v>
      </c>
      <c r="L601" s="202">
        <f>+INDEX(WP!$A:$AN,MATCH(F602,WP!$B:$B,0),6)</f>
        <v>70</v>
      </c>
      <c r="M601" s="202">
        <f>+INDEX(WP!$A:$AN,MATCH(F602,WP!$B:$B,0),7)</f>
        <v>26</v>
      </c>
      <c r="N601" s="202" t="e" vm="341">
        <f>IFERROR(_xlfn.IMAGE("https://natalie.tf/wp-content/uploads/2023/11/DLV3_Icon_Affinity_"&amp;O601&amp;".png"),"")</f>
        <v>#VALUE!</v>
      </c>
      <c r="O601" s="203" t="str">
        <f>IF(INDEX(WP!$A:$AN,MATCH(F602,WP!$B:$B,0),8)=0,"None",INDEX(WP!$A:$AN,MATCH(F602,WP!$B:$B,0),8))</f>
        <v>Crown</v>
      </c>
      <c r="P601" s="8" t="e" vm="14">
        <f>_xlfn.IMAGE("https://natalie.tf/wp-content/uploads/2023/10/DLV3_Icon_Ability_"&amp;INDEX('WP-A'!$A$1:$Z$498,MATCH('WP-Print'!Q601,'WP-A'!$A:$A,0),MATCH("Icon",'WP-A'!$A$1:$Z$1,0))&amp;".png")</f>
        <v>#VALUE!</v>
      </c>
      <c r="Q601" s="231" t="str">
        <f>+INDEX(WP!$A:$AN,MATCH(F602,WP!$B:$B,0),MATCH("Ability",WP!$A$2:$AN$2,0))</f>
        <v>Last Offense +40%</v>
      </c>
      <c r="R601" s="734" t="str">
        <f>+INDEX(WP!$A:$AN,MATCH(F602,WP!$B:$B,0),MATCH("Obtain From",WP!$A$2:$AN$2,0))</f>
        <v>Obtain From Ch. 04 EX 2 Chest (Normal) (Non-Endeavor)</v>
      </c>
    </row>
    <row r="602" spans="1:18" ht="22.5" customHeight="1" x14ac:dyDescent="0.2">
      <c r="A602" s="204" t="str">
        <f>TEXT(A599+1,"000")</f>
        <v>200</v>
      </c>
      <c r="B602" s="729"/>
      <c r="C602" s="8"/>
      <c r="D602" s="729"/>
      <c r="E602" s="8"/>
      <c r="F602" s="200" t="str">
        <f>"WP-"&amp;A602</f>
        <v>WP-200</v>
      </c>
      <c r="G602" s="200">
        <f>+INDEX(WP!$A:$AN,MATCH(F602,WP!$B:$B,0),MATCH("ID",WP!$A$2:$AN$2,0))</f>
        <v>400046</v>
      </c>
      <c r="I602" s="8"/>
      <c r="J602" s="180" t="s">
        <v>10762</v>
      </c>
      <c r="K602" s="201">
        <f>+INDEX(WP!$A:$AN,MATCH(F602,WP!$B:$B,0),14)</f>
        <v>4</v>
      </c>
      <c r="L602" s="202">
        <f>+INDEX(WP!$A:$AN,MATCH(F602,WP!$B:$B,0),15)</f>
        <v>130</v>
      </c>
      <c r="M602" s="202">
        <f>+INDEX(WP!$A:$AN,MATCH(F602,WP!$B:$B,0),16)</f>
        <v>80</v>
      </c>
      <c r="N602" s="202" t="e" vm="341">
        <f>IFERROR(_xlfn.IMAGE("https://natalie.tf/wp-content/uploads/2023/11/DLV3_Icon_Affinity_"&amp;O602&amp;".png"),"")</f>
        <v>#VALUE!</v>
      </c>
      <c r="O602" s="203" t="str">
        <f>+INDEX(WP!$A:$AN,MATCH(F602,WP!$B:$B,0),17)</f>
        <v>Crown</v>
      </c>
      <c r="P602" s="8" t="e" vm="14">
        <f>_xlfn.IMAGE("https://natalie.tf/wp-content/uploads/2023/10/DLV3_Icon_Ability_"&amp;INDEX('WP-A'!$A$1:$Z$498,MATCH('WP-Print'!Q602,'WP-A'!$A:$A,0),MATCH("Icon",'WP-A'!$A$1:$Z$1,0))&amp;".png")</f>
        <v>#VALUE!</v>
      </c>
      <c r="Q602" s="231" t="str">
        <f>+INDEX(WP!$A:$AN,MATCH(F602,WP!$B:$B,0),MATCH("Ability V3",WP!$A$2:$AN$2,0))</f>
        <v>Last Offense +50%</v>
      </c>
      <c r="R602" s="735"/>
    </row>
    <row r="603" spans="1:18" ht="7.5" customHeight="1" x14ac:dyDescent="0.2">
      <c r="A603" t="s">
        <v>10763</v>
      </c>
    </row>
    <row r="604" spans="1:18" ht="22.5" customHeight="1" x14ac:dyDescent="0.2">
      <c r="B604" s="729" t="e" vm="738">
        <f>_xlfn.IMAGE("https://natalie.tf/wp-content/uploads/2023/10/DLV3_Icon_WP_"&amp;G605&amp;"_01.png")</f>
        <v>#VALUE!</v>
      </c>
      <c r="D604" s="730" t="e" vm="739">
        <f>_xlfn.IMAGE("https://natalie.tf/wp-content/uploads/2023/10/DLV3_Icon_WP_"&amp;G605&amp;"_02.png")</f>
        <v>#VALUE!</v>
      </c>
      <c r="F604" s="717" t="str">
        <f>+INDEX(WP!$A:$AN,MATCH(F605,WP!$B:$B,0),MATCH("Name",WP!$A$2:$AN$2,0))</f>
        <v>Armorer's Aspirations</v>
      </c>
      <c r="G604" s="718"/>
      <c r="H604" s="719"/>
      <c r="J604" s="180" t="s">
        <v>10761</v>
      </c>
      <c r="K604" s="201">
        <f>+INDEX(WP!$A:$AN,MATCH(F605,WP!$B:$B,0),5)</f>
        <v>4</v>
      </c>
      <c r="L604" s="202">
        <f>+INDEX(WP!$A:$AN,MATCH(F605,WP!$B:$B,0),6)</f>
        <v>78</v>
      </c>
      <c r="M604" s="202">
        <f>+INDEX(WP!$A:$AN,MATCH(F605,WP!$B:$B,0),7)</f>
        <v>19</v>
      </c>
      <c r="N604" s="202" t="e" vm="339">
        <f>IFERROR(_xlfn.IMAGE("https://natalie.tf/wp-content/uploads/2023/11/DLV3_Icon_Affinity_"&amp;O604&amp;".png"),"")</f>
        <v>#VALUE!</v>
      </c>
      <c r="O604" s="203" t="str">
        <f>IF(INDEX(WP!$A:$AN,MATCH(F605,WP!$B:$B,0),8)=0,"None",INDEX(WP!$A:$AN,MATCH(F605,WP!$B:$B,0),8))</f>
        <v>Sword</v>
      </c>
      <c r="P604" s="8" t="e" vm="426">
        <f>_xlfn.IMAGE("https://natalie.tf/wp-content/uploads/2023/10/DLV3_Icon_Ability_"&amp;INDEX('WP-A'!$A$1:$Z$498,MATCH('WP-Print'!Q604,'WP-A'!$A:$A,0),MATCH("Icon",'WP-A'!$A$1:$Z$1,0))&amp;".png")</f>
        <v>#VALUE!</v>
      </c>
      <c r="Q604" s="231" t="str">
        <f>+INDEX(WP!$A:$AN,MATCH(F605,WP!$B:$B,0),MATCH("Ability",WP!$A$2:$AN$2,0))</f>
        <v>Full HP = Defense +20%</v>
      </c>
      <c r="R604" s="734" t="str">
        <f>+INDEX(WP!$A:$AN,MATCH(F605,WP!$B:$B,0),MATCH("Obtain From",WP!$A$2:$AN$2,0))</f>
        <v>Unlock 50 Mana Nodes for a Shadow-Attuned Adventurer</v>
      </c>
    </row>
    <row r="605" spans="1:18" ht="22.5" customHeight="1" x14ac:dyDescent="0.2">
      <c r="A605" s="204" t="str">
        <f>TEXT(A602+1,"000")</f>
        <v>201</v>
      </c>
      <c r="B605" s="729"/>
      <c r="C605" s="8"/>
      <c r="D605" s="729"/>
      <c r="E605" s="8"/>
      <c r="F605" s="200" t="str">
        <f>"WP-"&amp;A605</f>
        <v>WP-201</v>
      </c>
      <c r="G605" s="200">
        <f>+INDEX(WP!$A:$AN,MATCH(F605,WP!$B:$B,0),MATCH("ID",WP!$A$2:$AN$2,0))</f>
        <v>400047</v>
      </c>
      <c r="I605" s="8"/>
      <c r="J605" s="180" t="s">
        <v>10762</v>
      </c>
      <c r="K605" s="201">
        <f>+INDEX(WP!$A:$AN,MATCH(F605,WP!$B:$B,0),14)</f>
        <v>4</v>
      </c>
      <c r="L605" s="202">
        <f>+INDEX(WP!$A:$AN,MATCH(F605,WP!$B:$B,0),15)</f>
        <v>130</v>
      </c>
      <c r="M605" s="202">
        <f>+INDEX(WP!$A:$AN,MATCH(F605,WP!$B:$B,0),16)</f>
        <v>80</v>
      </c>
      <c r="N605" s="202" t="e" vm="339">
        <f>IFERROR(_xlfn.IMAGE("https://natalie.tf/wp-content/uploads/2023/11/DLV3_Icon_Affinity_"&amp;O605&amp;".png"),"")</f>
        <v>#VALUE!</v>
      </c>
      <c r="O605" s="203" t="str">
        <f>+INDEX(WP!$A:$AN,MATCH(F605,WP!$B:$B,0),17)</f>
        <v>Sword</v>
      </c>
      <c r="P605" s="8" t="e" vm="426">
        <f>_xlfn.IMAGE("https://natalie.tf/wp-content/uploads/2023/10/DLV3_Icon_Ability_"&amp;INDEX('WP-A'!$A$1:$Z$498,MATCH('WP-Print'!Q605,'WP-A'!$A:$A,0),MATCH("Icon",'WP-A'!$A$1:$Z$1,0))&amp;".png")</f>
        <v>#VALUE!</v>
      </c>
      <c r="Q605" s="231" t="str">
        <f>+INDEX(WP!$A:$AN,MATCH(F605,WP!$B:$B,0),MATCH("Ability V3",WP!$A$2:$AN$2,0))</f>
        <v>Defense +15%</v>
      </c>
      <c r="R605" s="735"/>
    </row>
    <row r="606" spans="1:18" ht="7.5" customHeight="1" x14ac:dyDescent="0.2">
      <c r="A606" t="s">
        <v>10763</v>
      </c>
    </row>
    <row r="607" spans="1:18" ht="22.5" customHeight="1" x14ac:dyDescent="0.2">
      <c r="B607" s="729" t="e" vm="740">
        <f>_xlfn.IMAGE("https://natalie.tf/wp-content/uploads/2023/10/DLV3_Icon_WP_"&amp;G608&amp;"_01.png")</f>
        <v>#VALUE!</v>
      </c>
      <c r="D607" s="730" t="e" vm="741">
        <f>_xlfn.IMAGE("https://natalie.tf/wp-content/uploads/2023/10/DLV3_Icon_WP_"&amp;G608&amp;"_02.png")</f>
        <v>#VALUE!</v>
      </c>
      <c r="F607" s="717" t="str">
        <f>+INDEX(WP!$A:$AN,MATCH(F608,WP!$B:$B,0),MATCH("Name",WP!$A$2:$AN$2,0))</f>
        <v>Revolutionary Magic</v>
      </c>
      <c r="G607" s="718"/>
      <c r="H607" s="719"/>
      <c r="J607" s="180" t="s">
        <v>10761</v>
      </c>
      <c r="K607" s="201">
        <f>+INDEX(WP!$A:$AN,MATCH(F608,WP!$B:$B,0),5)</f>
        <v>4</v>
      </c>
      <c r="L607" s="202">
        <f>+INDEX(WP!$A:$AN,MATCH(F608,WP!$B:$B,0),6)</f>
        <v>73</v>
      </c>
      <c r="M607" s="202">
        <f>+INDEX(WP!$A:$AN,MATCH(F608,WP!$B:$B,0),7)</f>
        <v>23</v>
      </c>
      <c r="N607" s="202" t="str">
        <f ca="1">IFERROR(_xlfn.IMAGE("https://natalie.tf/wp-content/uploads/2023/11/DLV3_Icon_Affinity_"&amp;O607&amp;".png"),"")</f>
        <v/>
      </c>
      <c r="O607" s="203" t="str">
        <f>IF(INDEX(WP!$A:$AN,MATCH(F608,WP!$B:$B,0),8)=0,"None",INDEX(WP!$A:$AN,MATCH(F608,WP!$B:$B,0),8))</f>
        <v>None</v>
      </c>
      <c r="P607" s="8" t="e" vm="609">
        <f>_xlfn.IMAGE("https://natalie.tf/wp-content/uploads/2023/10/DLV3_Icon_Ability_"&amp;INDEX('WP-A'!$A$1:$Z$498,MATCH('WP-Print'!Q607,'WP-A'!$A:$A,0),MATCH("Icon",'WP-A'!$A$1:$Z$1,0))&amp;".png")</f>
        <v>#VALUE!</v>
      </c>
      <c r="Q607" s="231" t="str">
        <f>+INDEX(WP!$A:$AN,MATCH(F608,WP!$B:$B,0),MATCH("Ability",WP!$A$2:$AN$2,0))</f>
        <v>Paralysis Res +25%</v>
      </c>
      <c r="R607" s="734" t="str">
        <f>+INDEX(WP!$A:$AN,MATCH(F608,WP!$B:$B,0),MATCH("Obtain From",WP!$A$2:$AN$2,0))</f>
        <v>Clear Zodiark's Trial: Expert</v>
      </c>
    </row>
    <row r="608" spans="1:18" ht="22.5" customHeight="1" x14ac:dyDescent="0.2">
      <c r="A608" s="204" t="str">
        <f>TEXT(A605+1,"000")</f>
        <v>202</v>
      </c>
      <c r="B608" s="729"/>
      <c r="C608" s="8"/>
      <c r="D608" s="729"/>
      <c r="E608" s="8"/>
      <c r="F608" s="200" t="str">
        <f>"WP-"&amp;A608</f>
        <v>WP-202</v>
      </c>
      <c r="G608" s="200">
        <f>+INDEX(WP!$A:$AN,MATCH(F608,WP!$B:$B,0),MATCH("ID",WP!$A$2:$AN$2,0))</f>
        <v>400048</v>
      </c>
      <c r="I608" s="8"/>
      <c r="J608" s="180" t="s">
        <v>10762</v>
      </c>
      <c r="K608" s="201">
        <f>+INDEX(WP!$A:$AN,MATCH(F608,WP!$B:$B,0),14)</f>
        <v>4</v>
      </c>
      <c r="L608" s="202">
        <f>+INDEX(WP!$A:$AN,MATCH(F608,WP!$B:$B,0),15)</f>
        <v>130</v>
      </c>
      <c r="M608" s="202">
        <f>+INDEX(WP!$A:$AN,MATCH(F608,WP!$B:$B,0),16)</f>
        <v>80</v>
      </c>
      <c r="N608" s="202" t="e" vm="362">
        <f>IFERROR(_xlfn.IMAGE("https://natalie.tf/wp-content/uploads/2023/11/DLV3_Icon_Affinity_"&amp;O608&amp;".png"),"")</f>
        <v>#VALUE!</v>
      </c>
      <c r="O608" s="203" t="str">
        <f>+INDEX(WP!$A:$AN,MATCH(F608,WP!$B:$B,0),17)</f>
        <v>Bat</v>
      </c>
      <c r="P608" s="8" t="e" vm="609">
        <f>_xlfn.IMAGE("https://natalie.tf/wp-content/uploads/2023/10/DLV3_Icon_Ability_"&amp;INDEX('WP-A'!$A$1:$Z$498,MATCH('WP-Print'!Q608,'WP-A'!$A:$A,0),MATCH("Icon",'WP-A'!$A$1:$Z$1,0))&amp;".png")</f>
        <v>#VALUE!</v>
      </c>
      <c r="Q608" s="231" t="str">
        <f>+INDEX(WP!$A:$AN,MATCH(F608,WP!$B:$B,0),MATCH("Ability V3",WP!$A$2:$AN$2,0))</f>
        <v>Paralysis Res +100%</v>
      </c>
      <c r="R608" s="735"/>
    </row>
    <row r="609" spans="1:18" ht="7.5" customHeight="1" x14ac:dyDescent="0.2">
      <c r="A609" t="s">
        <v>10763</v>
      </c>
    </row>
    <row r="610" spans="1:18" ht="22.5" customHeight="1" x14ac:dyDescent="0.2">
      <c r="B610" s="729" t="e" vm="742">
        <f>_xlfn.IMAGE("https://natalie.tf/wp-content/uploads/2023/10/DLV3_Icon_WP_"&amp;G611&amp;"_01.png")</f>
        <v>#VALUE!</v>
      </c>
      <c r="D610" s="730" t="e" vm="743">
        <f>_xlfn.IMAGE("https://natalie.tf/wp-content/uploads/2023/10/DLV3_Icon_WP_"&amp;G611&amp;"_02.png")</f>
        <v>#VALUE!</v>
      </c>
      <c r="F610" s="717" t="str">
        <f>+INDEX(WP!$A:$AN,MATCH(F611,WP!$B:$B,0),MATCH("Name",WP!$A$2:$AN$2,0))</f>
        <v>Sisters of the Anvil</v>
      </c>
      <c r="G610" s="718"/>
      <c r="H610" s="719"/>
      <c r="J610" s="180" t="s">
        <v>10761</v>
      </c>
      <c r="K610" s="201">
        <f>+INDEX(WP!$A:$AN,MATCH(F611,WP!$B:$B,0),5)</f>
        <v>4</v>
      </c>
      <c r="L610" s="202">
        <f>+INDEX(WP!$A:$AN,MATCH(F611,WP!$B:$B,0),6)</f>
        <v>73</v>
      </c>
      <c r="M610" s="202">
        <f>+INDEX(WP!$A:$AN,MATCH(F611,WP!$B:$B,0),7)</f>
        <v>23</v>
      </c>
      <c r="N610" s="202" t="e" vm="381">
        <f>IFERROR(_xlfn.IMAGE("https://natalie.tf/wp-content/uploads/2023/11/DLV3_Icon_Affinity_"&amp;O610&amp;".png"),"")</f>
        <v>#VALUE!</v>
      </c>
      <c r="O610" s="203" t="str">
        <f>IF(INDEX(WP!$A:$AN,MATCH(F611,WP!$B:$B,0),8)=0,"None",INDEX(WP!$A:$AN,MATCH(F611,WP!$B:$B,0),8))</f>
        <v>Dragon</v>
      </c>
      <c r="P610" s="8" t="e" vm="14">
        <f>_xlfn.IMAGE("https://natalie.tf/wp-content/uploads/2023/10/DLV3_Icon_Ability_"&amp;INDEX('WP-A'!$A$1:$Z$498,MATCH('WP-Print'!Q610,'WP-A'!$A:$A,0),MATCH("Icon",'WP-A'!$A$1:$Z$1,0))&amp;".png")</f>
        <v>#VALUE!</v>
      </c>
      <c r="Q610" s="231" t="str">
        <f>+INDEX(WP!$A:$AN,MATCH(F611,WP!$B:$B,0),MATCH("Ability",WP!$A$2:$AN$2,0))</f>
        <v>Strength Doublebuff +10%</v>
      </c>
      <c r="R610" s="734" t="str">
        <f>+INDEX(WP!$A:$AN,MATCH(F611,WP!$B:$B,0),MATCH("Obtain From",WP!$A$2:$AN$2,0))</f>
        <v>Obtain From Ch. 04 EX 1 Chest (Very Hard) (Non-Endeavor)</v>
      </c>
    </row>
    <row r="611" spans="1:18" ht="22.5" customHeight="1" x14ac:dyDescent="0.2">
      <c r="A611" s="204" t="str">
        <f>TEXT(A608+1,"000")</f>
        <v>203</v>
      </c>
      <c r="B611" s="729"/>
      <c r="C611" s="8"/>
      <c r="D611" s="729"/>
      <c r="E611" s="8"/>
      <c r="F611" s="200" t="str">
        <f>"WP-"&amp;A611</f>
        <v>WP-203</v>
      </c>
      <c r="G611" s="200">
        <f>+INDEX(WP!$A:$AN,MATCH(F611,WP!$B:$B,0),MATCH("ID",WP!$A$2:$AN$2,0))</f>
        <v>400049</v>
      </c>
      <c r="I611" s="8"/>
      <c r="J611" s="180" t="s">
        <v>10762</v>
      </c>
      <c r="K611" s="201">
        <f>+INDEX(WP!$A:$AN,MATCH(F611,WP!$B:$B,0),14)</f>
        <v>4</v>
      </c>
      <c r="L611" s="202">
        <f>+INDEX(WP!$A:$AN,MATCH(F611,WP!$B:$B,0),15)</f>
        <v>130</v>
      </c>
      <c r="M611" s="202">
        <f>+INDEX(WP!$A:$AN,MATCH(F611,WP!$B:$B,0),16)</f>
        <v>80</v>
      </c>
      <c r="N611" s="202" t="e" vm="381">
        <f>IFERROR(_xlfn.IMAGE("https://natalie.tf/wp-content/uploads/2023/11/DLV3_Icon_Affinity_"&amp;O611&amp;".png"),"")</f>
        <v>#VALUE!</v>
      </c>
      <c r="O611" s="203" t="str">
        <f>+INDEX(WP!$A:$AN,MATCH(F611,WP!$B:$B,0),17)</f>
        <v>Dragon</v>
      </c>
      <c r="P611" s="8" t="e" vm="14">
        <f>_xlfn.IMAGE("https://natalie.tf/wp-content/uploads/2023/10/DLV3_Icon_Ability_"&amp;INDEX('WP-A'!$A$1:$Z$498,MATCH('WP-Print'!Q611,'WP-A'!$A:$A,0),MATCH("Icon",'WP-A'!$A$1:$Z$1,0))&amp;".png")</f>
        <v>#VALUE!</v>
      </c>
      <c r="Q611" s="231" t="str">
        <f>+INDEX(WP!$A:$AN,MATCH(F611,WP!$B:$B,0),MATCH("Ability V3",WP!$A$2:$AN$2,0))</f>
        <v>Strength Doublebuff +10%</v>
      </c>
      <c r="R611" s="735"/>
    </row>
    <row r="612" spans="1:18" ht="7.5" customHeight="1" x14ac:dyDescent="0.2">
      <c r="A612" t="s">
        <v>10763</v>
      </c>
    </row>
    <row r="613" spans="1:18" ht="22.5" customHeight="1" x14ac:dyDescent="0.2">
      <c r="B613" s="729" t="e" vm="744">
        <f>_xlfn.IMAGE("https://natalie.tf/wp-content/uploads/2023/10/DLV3_Icon_WP_"&amp;G614&amp;"_01.png")</f>
        <v>#VALUE!</v>
      </c>
      <c r="D613" s="730" t="e" vm="745">
        <f>_xlfn.IMAGE("https://natalie.tf/wp-content/uploads/2023/10/DLV3_Icon_WP_"&amp;G614&amp;"_02.png")</f>
        <v>#VALUE!</v>
      </c>
      <c r="F613" s="717" t="str">
        <f>+INDEX(WP!$A:$AN,MATCH(F614,WP!$B:$B,0),MATCH("Name",WP!$A$2:$AN$2,0))</f>
        <v>Dueling Dancers</v>
      </c>
      <c r="G613" s="718"/>
      <c r="H613" s="719"/>
      <c r="J613" s="180" t="s">
        <v>10761</v>
      </c>
      <c r="K613" s="201">
        <f>+INDEX(WP!$A:$AN,MATCH(F614,WP!$B:$B,0),5)</f>
        <v>4</v>
      </c>
      <c r="L613" s="202">
        <f>+INDEX(WP!$A:$AN,MATCH(F614,WP!$B:$B,0),6)</f>
        <v>73</v>
      </c>
      <c r="M613" s="202">
        <f>+INDEX(WP!$A:$AN,MATCH(F614,WP!$B:$B,0),7)</f>
        <v>22</v>
      </c>
      <c r="N613" s="202" t="e" vm="381">
        <f>IFERROR(_xlfn.IMAGE("https://natalie.tf/wp-content/uploads/2023/11/DLV3_Icon_Affinity_"&amp;O613&amp;".png"),"")</f>
        <v>#VALUE!</v>
      </c>
      <c r="O613" s="203" t="str">
        <f>IF(INDEX(WP!$A:$AN,MATCH(F614,WP!$B:$B,0),8)=0,"None",INDEX(WP!$A:$AN,MATCH(F614,WP!$B:$B,0),8))</f>
        <v>Dragon</v>
      </c>
      <c r="P613" s="8" t="e" vm="326">
        <f>_xlfn.IMAGE("https://natalie.tf/wp-content/uploads/2023/10/DLV3_Icon_Ability_"&amp;INDEX('WP-A'!$A$1:$Z$498,MATCH('WP-Print'!Q613,'WP-A'!$A:$A,0),MATCH("Icon",'WP-A'!$A$1:$Z$1,0))&amp;".png")</f>
        <v>#VALUE!</v>
      </c>
      <c r="Q613" s="231" t="str">
        <f>+INDEX(WP!$A:$AN,MATCH(F614,WP!$B:$B,0),MATCH("Ability",WP!$A$2:$AN$2,0))</f>
        <v>Flurry Devastation +10%</v>
      </c>
      <c r="R613" s="734" t="str">
        <f>+INDEX(WP!$A:$AN,MATCH(F614,WP!$B:$B,0),MATCH("Obtain From",WP!$A$2:$AN$2,0))</f>
        <v>Clear Battle in Rovetelle Forest: Master (The Imperial Onslaught)</v>
      </c>
    </row>
    <row r="614" spans="1:18" ht="22.5" customHeight="1" x14ac:dyDescent="0.2">
      <c r="A614" s="204" t="str">
        <f>TEXT(A611+1,"000")</f>
        <v>204</v>
      </c>
      <c r="B614" s="729"/>
      <c r="C614" s="8"/>
      <c r="D614" s="729"/>
      <c r="E614" s="8"/>
      <c r="F614" s="200" t="str">
        <f>"WP-"&amp;A614</f>
        <v>WP-204</v>
      </c>
      <c r="G614" s="200">
        <f>+INDEX(WP!$A:$AN,MATCH(F614,WP!$B:$B,0),MATCH("ID",WP!$A$2:$AN$2,0))</f>
        <v>400050</v>
      </c>
      <c r="I614" s="8"/>
      <c r="J614" s="180" t="s">
        <v>10762</v>
      </c>
      <c r="K614" s="201">
        <f>+INDEX(WP!$A:$AN,MATCH(F614,WP!$B:$B,0),14)</f>
        <v>4</v>
      </c>
      <c r="L614" s="202">
        <f>+INDEX(WP!$A:$AN,MATCH(F614,WP!$B:$B,0),15)</f>
        <v>130</v>
      </c>
      <c r="M614" s="202">
        <f>+INDEX(WP!$A:$AN,MATCH(F614,WP!$B:$B,0),16)</f>
        <v>80</v>
      </c>
      <c r="N614" s="202" t="e" vm="381">
        <f>IFERROR(_xlfn.IMAGE("https://natalie.tf/wp-content/uploads/2023/11/DLV3_Icon_Affinity_"&amp;O614&amp;".png"),"")</f>
        <v>#VALUE!</v>
      </c>
      <c r="O614" s="203" t="str">
        <f>+INDEX(WP!$A:$AN,MATCH(F614,WP!$B:$B,0),17)</f>
        <v>Dragon</v>
      </c>
      <c r="P614" s="8" t="e" vm="326">
        <f>_xlfn.IMAGE("https://natalie.tf/wp-content/uploads/2023/10/DLV3_Icon_Ability_"&amp;INDEX('WP-A'!$A$1:$Z$498,MATCH('WP-Print'!Q614,'WP-A'!$A:$A,0),MATCH("Icon",'WP-A'!$A$1:$Z$1,0))&amp;".png")</f>
        <v>#VALUE!</v>
      </c>
      <c r="Q614" s="231" t="str">
        <f>+INDEX(WP!$A:$AN,MATCH(F614,WP!$B:$B,0),MATCH("Ability V3",WP!$A$2:$AN$2,0))</f>
        <v>Flurry Devastation +10%</v>
      </c>
      <c r="R614" s="735"/>
    </row>
    <row r="615" spans="1:18" ht="7.5" customHeight="1" x14ac:dyDescent="0.2">
      <c r="A615" t="s">
        <v>10763</v>
      </c>
    </row>
    <row r="616" spans="1:18" ht="22.5" customHeight="1" x14ac:dyDescent="0.2">
      <c r="B616" s="729" t="e" vm="746">
        <f>_xlfn.IMAGE("https://natalie.tf/wp-content/uploads/2023/10/DLV3_Icon_WP_"&amp;G617&amp;"_01.png")</f>
        <v>#VALUE!</v>
      </c>
      <c r="D616" s="730" t="e" vm="747">
        <f>_xlfn.IMAGE("https://natalie.tf/wp-content/uploads/2023/10/DLV3_Icon_WP_"&amp;G617&amp;"_02.png")</f>
        <v>#VALUE!</v>
      </c>
      <c r="F616" s="717" t="str">
        <f>+INDEX(WP!$A:$AN,MATCH(F617,WP!$B:$B,0),MATCH("Name",WP!$A$2:$AN$2,0))</f>
        <v>Together We Stand</v>
      </c>
      <c r="G616" s="718"/>
      <c r="H616" s="719"/>
      <c r="J616" s="180" t="s">
        <v>10761</v>
      </c>
      <c r="K616" s="201">
        <f>+INDEX(WP!$A:$AN,MATCH(F617,WP!$B:$B,0),5)</f>
        <v>4</v>
      </c>
      <c r="L616" s="202">
        <f>+INDEX(WP!$A:$AN,MATCH(F617,WP!$B:$B,0),6)</f>
        <v>70</v>
      </c>
      <c r="M616" s="202">
        <f>+INDEX(WP!$A:$AN,MATCH(F617,WP!$B:$B,0),7)</f>
        <v>26</v>
      </c>
      <c r="N616" s="202" t="e" vm="340">
        <f>IFERROR(_xlfn.IMAGE("https://natalie.tf/wp-content/uploads/2023/11/DLV3_Icon_Affinity_"&amp;O616&amp;".png"),"")</f>
        <v>#VALUE!</v>
      </c>
      <c r="O616" s="203" t="str">
        <f>IF(INDEX(WP!$A:$AN,MATCH(F617,WP!$B:$B,0),8)=0,"None",INDEX(WP!$A:$AN,MATCH(F617,WP!$B:$B,0),8))</f>
        <v>Lance</v>
      </c>
      <c r="P616" s="8" t="e" vm="14">
        <f>_xlfn.IMAGE("https://natalie.tf/wp-content/uploads/2023/10/DLV3_Icon_Ability_"&amp;INDEX('WP-A'!$A$1:$Z$498,MATCH('WP-Print'!Q616,'WP-A'!$A:$A,0),MATCH("Icon",'WP-A'!$A$1:$Z$1,0))&amp;".png")</f>
        <v>#VALUE!</v>
      </c>
      <c r="Q616" s="231" t="str">
        <f>+INDEX(WP!$A:$AN,MATCH(F617,WP!$B:$B,0),MATCH("Ability",WP!$A$2:$AN$2,0))</f>
        <v>Striker's Strength +5%</v>
      </c>
      <c r="R616" s="734" t="str">
        <f>+INDEX(WP!$A:$AN,MATCH(F617,WP!$B:$B,0),MATCH("Obtain From",WP!$A$2:$AN$2,0))</f>
        <v>Clear Avenue to Power: Master</v>
      </c>
    </row>
    <row r="617" spans="1:18" ht="22.5" customHeight="1" x14ac:dyDescent="0.2">
      <c r="A617" s="204" t="str">
        <f>TEXT(A614+1,"000")</f>
        <v>205</v>
      </c>
      <c r="B617" s="729"/>
      <c r="C617" s="8"/>
      <c r="D617" s="729"/>
      <c r="E617" s="8"/>
      <c r="F617" s="200" t="str">
        <f>"WP-"&amp;A617</f>
        <v>WP-205</v>
      </c>
      <c r="G617" s="200">
        <f>+INDEX(WP!$A:$AN,MATCH(F617,WP!$B:$B,0),MATCH("ID",WP!$A$2:$AN$2,0))</f>
        <v>400051</v>
      </c>
      <c r="I617" s="8"/>
      <c r="J617" s="180" t="s">
        <v>10762</v>
      </c>
      <c r="K617" s="201">
        <f>+INDEX(WP!$A:$AN,MATCH(F617,WP!$B:$B,0),14)</f>
        <v>4</v>
      </c>
      <c r="L617" s="202">
        <f>+INDEX(WP!$A:$AN,MATCH(F617,WP!$B:$B,0),15)</f>
        <v>130</v>
      </c>
      <c r="M617" s="202">
        <f>+INDEX(WP!$A:$AN,MATCH(F617,WP!$B:$B,0),16)</f>
        <v>80</v>
      </c>
      <c r="N617" s="202" t="e" vm="340">
        <f>IFERROR(_xlfn.IMAGE("https://natalie.tf/wp-content/uploads/2023/11/DLV3_Icon_Affinity_"&amp;O617&amp;".png"),"")</f>
        <v>#VALUE!</v>
      </c>
      <c r="O617" s="203" t="str">
        <f>+INDEX(WP!$A:$AN,MATCH(F617,WP!$B:$B,0),17)</f>
        <v>Lance</v>
      </c>
      <c r="P617" s="8" t="e" vm="14">
        <f>_xlfn.IMAGE("https://natalie.tf/wp-content/uploads/2023/10/DLV3_Icon_Ability_"&amp;INDEX('WP-A'!$A$1:$Z$498,MATCH('WP-Print'!Q617,'WP-A'!$A:$A,0),MATCH("Icon",'WP-A'!$A$1:$Z$1,0))&amp;".png")</f>
        <v>#VALUE!</v>
      </c>
      <c r="Q617" s="231" t="str">
        <f>+INDEX(WP!$A:$AN,MATCH(F617,WP!$B:$B,0),MATCH("Ability V3",WP!$A$2:$AN$2,0))</f>
        <v>Striker's Strength +5%</v>
      </c>
      <c r="R617" s="735"/>
    </row>
    <row r="618" spans="1:18" ht="7.5" customHeight="1" x14ac:dyDescent="0.2">
      <c r="A618" t="s">
        <v>10763</v>
      </c>
    </row>
    <row r="619" spans="1:18" ht="22.5" customHeight="1" x14ac:dyDescent="0.2">
      <c r="B619" s="729" t="e" vm="748">
        <f>_xlfn.IMAGE("https://natalie.tf/wp-content/uploads/2023/10/DLV3_Icon_WP_"&amp;G620&amp;"_01.png")</f>
        <v>#VALUE!</v>
      </c>
      <c r="D619" s="730" t="e" vm="749">
        <f>_xlfn.IMAGE("https://natalie.tf/wp-content/uploads/2023/10/DLV3_Icon_WP_"&amp;G620&amp;"_02.png")</f>
        <v>#VALUE!</v>
      </c>
      <c r="F619" s="717" t="str">
        <f>+INDEX(WP!$A:$AN,MATCH(F620,WP!$B:$B,0),MATCH("Name",WP!$A$2:$AN$2,0))</f>
        <v>Happier Times</v>
      </c>
      <c r="G619" s="718"/>
      <c r="H619" s="719"/>
      <c r="J619" s="180" t="s">
        <v>10761</v>
      </c>
      <c r="K619" s="201">
        <f>+INDEX(WP!$A:$AN,MATCH(F620,WP!$B:$B,0),5)</f>
        <v>4</v>
      </c>
      <c r="L619" s="202">
        <f>+INDEX(WP!$A:$AN,MATCH(F620,WP!$B:$B,0),6)</f>
        <v>71</v>
      </c>
      <c r="M619" s="202">
        <f>+INDEX(WP!$A:$AN,MATCH(F620,WP!$B:$B,0),7)</f>
        <v>25</v>
      </c>
      <c r="N619" s="202" t="e" vm="354">
        <f>IFERROR(_xlfn.IMAGE("https://natalie.tf/wp-content/uploads/2023/11/DLV3_Icon_Affinity_"&amp;O619&amp;".png"),"")</f>
        <v>#VALUE!</v>
      </c>
      <c r="O619" s="203" t="str">
        <f>IF(INDEX(WP!$A:$AN,MATCH(F620,WP!$B:$B,0),8)=0,"None",INDEX(WP!$A:$AN,MATCH(F620,WP!$B:$B,0),8))</f>
        <v>Butterfly</v>
      </c>
      <c r="P619" s="8" t="e" vm="322">
        <f>_xlfn.IMAGE("https://natalie.tf/wp-content/uploads/2023/10/DLV3_Icon_Ability_"&amp;INDEX('WP-A'!$A$1:$Z$498,MATCH('WP-Print'!Q619,'WP-A'!$A:$A,0),MATCH("Icon",'WP-A'!$A$1:$Z$1,0))&amp;".png")</f>
        <v>#VALUE!</v>
      </c>
      <c r="Q619" s="231" t="str">
        <f>+INDEX(WP!$A:$AN,MATCH(F620,WP!$B:$B,0),MATCH("Ability",WP!$A$2:$AN$2,0))</f>
        <v>Full HP = Skill Damage +35%</v>
      </c>
      <c r="R619" s="734" t="str">
        <f>+INDEX(WP!$A:$AN,MATCH(F620,WP!$B:$B,0),MATCH("Obtain From",WP!$A$2:$AN$2,0))</f>
        <v>Obtain From Ch. 02 EX 1 Chest (Hard) (Non-Endeavor)</v>
      </c>
    </row>
    <row r="620" spans="1:18" ht="22.5" customHeight="1" x14ac:dyDescent="0.2">
      <c r="A620" s="204" t="str">
        <f>TEXT(A617+1,"000")</f>
        <v>206</v>
      </c>
      <c r="B620" s="729"/>
      <c r="C620" s="8"/>
      <c r="D620" s="729"/>
      <c r="E620" s="8"/>
      <c r="F620" s="200" t="str">
        <f>"WP-"&amp;A620</f>
        <v>WP-206</v>
      </c>
      <c r="G620" s="200">
        <f>+INDEX(WP!$A:$AN,MATCH(F620,WP!$B:$B,0),MATCH("ID",WP!$A$2:$AN$2,0))</f>
        <v>400069</v>
      </c>
      <c r="I620" s="8"/>
      <c r="J620" s="180" t="s">
        <v>10762</v>
      </c>
      <c r="K620" s="201">
        <f>+INDEX(WP!$A:$AN,MATCH(F620,WP!$B:$B,0),14)</f>
        <v>4</v>
      </c>
      <c r="L620" s="202">
        <f>+INDEX(WP!$A:$AN,MATCH(F620,WP!$B:$B,0),15)</f>
        <v>130</v>
      </c>
      <c r="M620" s="202">
        <f>+INDEX(WP!$A:$AN,MATCH(F620,WP!$B:$B,0),16)</f>
        <v>80</v>
      </c>
      <c r="N620" s="202" t="e" vm="346">
        <f>IFERROR(_xlfn.IMAGE("https://natalie.tf/wp-content/uploads/2023/11/DLV3_Icon_Affinity_"&amp;O620&amp;".png"),"")</f>
        <v>#VALUE!</v>
      </c>
      <c r="O620" s="203" t="str">
        <f>+INDEX(WP!$A:$AN,MATCH(F620,WP!$B:$B,0),17)</f>
        <v>Bull</v>
      </c>
      <c r="P620" s="8" t="e" vm="322">
        <f>_xlfn.IMAGE("https://natalie.tf/wp-content/uploads/2023/10/DLV3_Icon_Ability_"&amp;INDEX('WP-A'!$A$1:$Z$498,MATCH('WP-Print'!Q620,'WP-A'!$A:$A,0),MATCH("Icon",'WP-A'!$A$1:$Z$1,0))&amp;".png")</f>
        <v>#VALUE!</v>
      </c>
      <c r="Q620" s="231" t="str">
        <f>+INDEX(WP!$A:$AN,MATCH(F620,WP!$B:$B,0),MATCH("Ability V3",WP!$A$2:$AN$2,0))</f>
        <v>Skill Damage +20%</v>
      </c>
      <c r="R620" s="735"/>
    </row>
    <row r="621" spans="1:18" ht="7.5" customHeight="1" x14ac:dyDescent="0.2">
      <c r="A621" t="s">
        <v>10763</v>
      </c>
    </row>
    <row r="622" spans="1:18" ht="22.5" customHeight="1" x14ac:dyDescent="0.2">
      <c r="B622" s="729" t="e" vm="750">
        <f>_xlfn.IMAGE("https://natalie.tf/wp-content/uploads/2023/10/DLV3_Icon_WP_"&amp;G623&amp;"_01.png")</f>
        <v>#VALUE!</v>
      </c>
      <c r="D622" s="730" t="e" vm="751">
        <f>_xlfn.IMAGE("https://natalie.tf/wp-content/uploads/2023/10/DLV3_Icon_WP_"&amp;G623&amp;"_02.png")</f>
        <v>#VALUE!</v>
      </c>
      <c r="F622" s="717" t="str">
        <f>+INDEX(WP!$A:$AN,MATCH(F623,WP!$B:$B,0),MATCH("Name",WP!$A$2:$AN$2,0))</f>
        <v>Greatwyrm Midgardsormr</v>
      </c>
      <c r="G622" s="718"/>
      <c r="H622" s="719"/>
      <c r="J622" s="180" t="s">
        <v>10761</v>
      </c>
      <c r="K622" s="201">
        <f>+INDEX(WP!$A:$AN,MATCH(F623,WP!$B:$B,0),5)</f>
        <v>4</v>
      </c>
      <c r="L622" s="202">
        <f>+INDEX(WP!$A:$AN,MATCH(F623,WP!$B:$B,0),6)</f>
        <v>63</v>
      </c>
      <c r="M622" s="202">
        <f>+INDEX(WP!$A:$AN,MATCH(F623,WP!$B:$B,0),7)</f>
        <v>15</v>
      </c>
      <c r="N622" s="202" t="str">
        <f ca="1">IFERROR(_xlfn.IMAGE("https://natalie.tf/wp-content/uploads/2023/11/DLV3_Icon_Affinity_"&amp;O622&amp;".png"),"")</f>
        <v/>
      </c>
      <c r="O622" s="203" t="str">
        <f>IF(INDEX(WP!$A:$AN,MATCH(F623,WP!$B:$B,0),8)=0,"None",INDEX(WP!$A:$AN,MATCH(F623,WP!$B:$B,0),8))</f>
        <v>None</v>
      </c>
      <c r="P622" s="8" t="e" vm="393">
        <f>_xlfn.IMAGE("https://natalie.tf/wp-content/uploads/2023/10/DLV3_Icon_Ability_"&amp;INDEX('WP-A'!$A$1:$Z$498,MATCH('WP-Print'!Q622,'WP-A'!$A:$A,0),MATCH("Icon",'WP-A'!$A$1:$Z$1,0))&amp;".png")</f>
        <v>#VALUE!</v>
      </c>
      <c r="Q622" s="231" t="str">
        <f>+INDEX(WP!$A:$AN,MATCH(F623,WP!$B:$B,0),MATCH("Ability",WP!$A$2:$AN$2,0))</f>
        <v>Midgardsormr Res +20%</v>
      </c>
      <c r="R622" s="734" t="str">
        <f>+INDEX(WP!$A:$AN,MATCH(F623,WP!$B:$B,0),MATCH("Obtain From",WP!$A$2:$AN$2,0))</f>
        <v>Clear Battle at Mount Adolla: Expert (The Imperial Onslaught)</v>
      </c>
    </row>
    <row r="623" spans="1:18" ht="22.5" customHeight="1" x14ac:dyDescent="0.2">
      <c r="A623" s="204" t="str">
        <f>TEXT(A620+1,"000")</f>
        <v>207</v>
      </c>
      <c r="B623" s="729"/>
      <c r="C623" s="8"/>
      <c r="D623" s="729"/>
      <c r="E623" s="8"/>
      <c r="F623" s="200" t="str">
        <f>"WP-"&amp;A623</f>
        <v>WP-207</v>
      </c>
      <c r="G623" s="200">
        <f>+INDEX(WP!$A:$AN,MATCH(F623,WP!$B:$B,0),MATCH("ID",WP!$A$2:$AN$2,0))</f>
        <v>400055</v>
      </c>
      <c r="I623" s="8"/>
      <c r="J623" s="180" t="s">
        <v>10762</v>
      </c>
      <c r="K623" s="201">
        <f>+INDEX(WP!$A:$AN,MATCH(F623,WP!$B:$B,0),14)</f>
        <v>4</v>
      </c>
      <c r="L623" s="202">
        <f>+INDEX(WP!$A:$AN,MATCH(F623,WP!$B:$B,0),15)</f>
        <v>130</v>
      </c>
      <c r="M623" s="202">
        <f>+INDEX(WP!$A:$AN,MATCH(F623,WP!$B:$B,0),16)</f>
        <v>80</v>
      </c>
      <c r="N623" s="202" t="e" vm="338">
        <f>IFERROR(_xlfn.IMAGE("https://natalie.tf/wp-content/uploads/2023/11/DLV3_Icon_Affinity_"&amp;O623&amp;".png"),"")</f>
        <v>#VALUE!</v>
      </c>
      <c r="O623" s="203" t="str">
        <f>+INDEX(WP!$A:$AN,MATCH(F623,WP!$B:$B,0),17)</f>
        <v>Wolf</v>
      </c>
      <c r="P623" s="8" t="e" vm="393">
        <f>_xlfn.IMAGE("https://natalie.tf/wp-content/uploads/2023/10/DLV3_Icon_Ability_"&amp;INDEX('WP-A'!$A$1:$Z$498,MATCH('WP-Print'!Q623,'WP-A'!$A:$A,0),MATCH("Icon",'WP-A'!$A$1:$Z$1,0))&amp;".png")</f>
        <v>#VALUE!</v>
      </c>
      <c r="Q623" s="231" t="str">
        <f>+INDEX(WP!$A:$AN,MATCH(F623,WP!$B:$B,0),MATCH("Ability V3",WP!$A$2:$AN$2,0))</f>
        <v>Midgardsormr Res +20%</v>
      </c>
      <c r="R623" s="735"/>
    </row>
    <row r="624" spans="1:18" ht="7.5" customHeight="1" x14ac:dyDescent="0.2">
      <c r="A624" t="s">
        <v>10763</v>
      </c>
    </row>
    <row r="625" spans="1:18" ht="22.5" customHeight="1" x14ac:dyDescent="0.2">
      <c r="B625" s="729" t="e" vm="752">
        <f>_xlfn.IMAGE("https://natalie.tf/wp-content/uploads/2023/10/DLV3_Icon_WP_"&amp;G626&amp;"_01.png")</f>
        <v>#VALUE!</v>
      </c>
      <c r="D625" s="730" t="e" vm="753">
        <f>_xlfn.IMAGE("https://natalie.tf/wp-content/uploads/2023/10/DLV3_Icon_WP_"&amp;G626&amp;"_02.png")</f>
        <v>#VALUE!</v>
      </c>
      <c r="F625" s="717" t="str">
        <f>+INDEX(WP!$A:$AN,MATCH(F626,WP!$B:$B,0),MATCH("Name",WP!$A$2:$AN$2,0))</f>
        <v>Greatwyrm Mercury</v>
      </c>
      <c r="G625" s="718"/>
      <c r="H625" s="719"/>
      <c r="J625" s="180" t="s">
        <v>10761</v>
      </c>
      <c r="K625" s="201">
        <f>+INDEX(WP!$A:$AN,MATCH(F626,WP!$B:$B,0),5)</f>
        <v>4</v>
      </c>
      <c r="L625" s="202">
        <f>+INDEX(WP!$A:$AN,MATCH(F626,WP!$B:$B,0),6)</f>
        <v>63</v>
      </c>
      <c r="M625" s="202">
        <f>+INDEX(WP!$A:$AN,MATCH(F626,WP!$B:$B,0),7)</f>
        <v>15</v>
      </c>
      <c r="N625" s="202" t="str">
        <f ca="1">IFERROR(_xlfn.IMAGE("https://natalie.tf/wp-content/uploads/2023/11/DLV3_Icon_Affinity_"&amp;O625&amp;".png"),"")</f>
        <v/>
      </c>
      <c r="O625" s="203" t="str">
        <f>IF(INDEX(WP!$A:$AN,MATCH(F626,WP!$B:$B,0),8)=0,"None",INDEX(WP!$A:$AN,MATCH(F626,WP!$B:$B,0),8))</f>
        <v>None</v>
      </c>
      <c r="P625" s="8" t="e" vm="393">
        <f>_xlfn.IMAGE("https://natalie.tf/wp-content/uploads/2023/10/DLV3_Icon_Ability_"&amp;INDEX('WP-A'!$A$1:$Z$498,MATCH('WP-Print'!Q625,'WP-A'!$A:$A,0),MATCH("Icon",'WP-A'!$A$1:$Z$1,0))&amp;".png")</f>
        <v>#VALUE!</v>
      </c>
      <c r="Q625" s="231" t="str">
        <f>+INDEX(WP!$A:$AN,MATCH(F626,WP!$B:$B,0),MATCH("Ability",WP!$A$2:$AN$2,0))</f>
        <v>Mercury Res +20%</v>
      </c>
      <c r="R625" s="734" t="str">
        <f>+INDEX(WP!$A:$AN,MATCH(F626,WP!$B:$B,0),MATCH("Obtain From",WP!$A$2:$AN$2,0))</f>
        <v>Clear Battle in the Dornith Mountains: Expert (The Imperial Onslaught)</v>
      </c>
    </row>
    <row r="626" spans="1:18" ht="22.5" customHeight="1" x14ac:dyDescent="0.2">
      <c r="A626" s="204" t="str">
        <f>TEXT(A623+1,"000")</f>
        <v>208</v>
      </c>
      <c r="B626" s="729"/>
      <c r="C626" s="8"/>
      <c r="D626" s="729"/>
      <c r="E626" s="8"/>
      <c r="F626" s="200" t="str">
        <f>"WP-"&amp;A626</f>
        <v>WP-208</v>
      </c>
      <c r="G626" s="200">
        <f>+INDEX(WP!$A:$AN,MATCH(F626,WP!$B:$B,0),MATCH("ID",WP!$A$2:$AN$2,0))</f>
        <v>400056</v>
      </c>
      <c r="I626" s="8"/>
      <c r="J626" s="180" t="s">
        <v>10762</v>
      </c>
      <c r="K626" s="201">
        <f>+INDEX(WP!$A:$AN,MATCH(F626,WP!$B:$B,0),14)</f>
        <v>4</v>
      </c>
      <c r="L626" s="202">
        <f>+INDEX(WP!$A:$AN,MATCH(F626,WP!$B:$B,0),15)</f>
        <v>130</v>
      </c>
      <c r="M626" s="202">
        <f>+INDEX(WP!$A:$AN,MATCH(F626,WP!$B:$B,0),16)</f>
        <v>80</v>
      </c>
      <c r="N626" s="202" t="e" vm="352">
        <f>IFERROR(_xlfn.IMAGE("https://natalie.tf/wp-content/uploads/2023/11/DLV3_Icon_Affinity_"&amp;O626&amp;".png"),"")</f>
        <v>#VALUE!</v>
      </c>
      <c r="O626" s="203" t="str">
        <f>+INDEX(WP!$A:$AN,MATCH(F626,WP!$B:$B,0),17)</f>
        <v>Fish</v>
      </c>
      <c r="P626" s="8" t="e" vm="393">
        <f>_xlfn.IMAGE("https://natalie.tf/wp-content/uploads/2023/10/DLV3_Icon_Ability_"&amp;INDEX('WP-A'!$A$1:$Z$498,MATCH('WP-Print'!Q626,'WP-A'!$A:$A,0),MATCH("Icon",'WP-A'!$A$1:$Z$1,0))&amp;".png")</f>
        <v>#VALUE!</v>
      </c>
      <c r="Q626" s="231" t="str">
        <f>+INDEX(WP!$A:$AN,MATCH(F626,WP!$B:$B,0),MATCH("Ability V3",WP!$A$2:$AN$2,0))</f>
        <v>Mercury Res +20%</v>
      </c>
      <c r="R626" s="735"/>
    </row>
    <row r="627" spans="1:18" ht="7.5" customHeight="1" x14ac:dyDescent="0.2">
      <c r="A627" t="s">
        <v>10763</v>
      </c>
    </row>
    <row r="628" spans="1:18" ht="22.5" customHeight="1" x14ac:dyDescent="0.2">
      <c r="B628" s="729" t="e" vm="754">
        <f>_xlfn.IMAGE("https://natalie.tf/wp-content/uploads/2023/10/DLV3_Icon_WP_"&amp;G629&amp;"_01.png")</f>
        <v>#VALUE!</v>
      </c>
      <c r="D628" s="730" t="e" vm="755">
        <f>_xlfn.IMAGE("https://natalie.tf/wp-content/uploads/2023/10/DLV3_Icon_WP_"&amp;G629&amp;"_02.png")</f>
        <v>#VALUE!</v>
      </c>
      <c r="F628" s="717" t="str">
        <f>+INDEX(WP!$A:$AN,MATCH(F629,WP!$B:$B,0),MATCH("Name",WP!$A$2:$AN$2,0))</f>
        <v>Greatwyrm Brunhilda</v>
      </c>
      <c r="G628" s="718"/>
      <c r="H628" s="719"/>
      <c r="J628" s="180" t="s">
        <v>10761</v>
      </c>
      <c r="K628" s="201">
        <f>+INDEX(WP!$A:$AN,MATCH(F629,WP!$B:$B,0),5)</f>
        <v>4</v>
      </c>
      <c r="L628" s="202">
        <f>+INDEX(WP!$A:$AN,MATCH(F629,WP!$B:$B,0),6)</f>
        <v>63</v>
      </c>
      <c r="M628" s="202">
        <f>+INDEX(WP!$A:$AN,MATCH(F629,WP!$B:$B,0),7)</f>
        <v>15</v>
      </c>
      <c r="N628" s="202" t="str">
        <f ca="1">IFERROR(_xlfn.IMAGE("https://natalie.tf/wp-content/uploads/2023/11/DLV3_Icon_Affinity_"&amp;O628&amp;".png"),"")</f>
        <v/>
      </c>
      <c r="O628" s="203" t="str">
        <f>IF(INDEX(WP!$A:$AN,MATCH(F629,WP!$B:$B,0),8)=0,"None",INDEX(WP!$A:$AN,MATCH(F629,WP!$B:$B,0),8))</f>
        <v>None</v>
      </c>
      <c r="P628" s="8" t="e" vm="393">
        <f>_xlfn.IMAGE("https://natalie.tf/wp-content/uploads/2023/10/DLV3_Icon_Ability_"&amp;INDEX('WP-A'!$A$1:$Z$498,MATCH('WP-Print'!Q628,'WP-A'!$A:$A,0),MATCH("Icon",'WP-A'!$A$1:$Z$1,0))&amp;".png")</f>
        <v>#VALUE!</v>
      </c>
      <c r="Q628" s="231" t="str">
        <f>+INDEX(WP!$A:$AN,MATCH(F629,WP!$B:$B,0),MATCH("Ability",WP!$A$2:$AN$2,0))</f>
        <v>Brunhilda Res +20%</v>
      </c>
      <c r="R628" s="734" t="str">
        <f>+INDEX(WP!$A:$AN,MATCH(F629,WP!$B:$B,0),MATCH("Obtain From",WP!$A$2:$AN$2,0))</f>
        <v>Clear Battle in Rovetelle Forest: Expert (The Imperial Onslaught)</v>
      </c>
    </row>
    <row r="629" spans="1:18" ht="22.5" customHeight="1" x14ac:dyDescent="0.2">
      <c r="A629" s="204" t="str">
        <f>TEXT(A626+1,"000")</f>
        <v>209</v>
      </c>
      <c r="B629" s="729"/>
      <c r="C629" s="8"/>
      <c r="D629" s="729"/>
      <c r="E629" s="8"/>
      <c r="F629" s="200" t="str">
        <f>"WP-"&amp;A629</f>
        <v>WP-209</v>
      </c>
      <c r="G629" s="200">
        <f>+INDEX(WP!$A:$AN,MATCH(F629,WP!$B:$B,0),MATCH("ID",WP!$A$2:$AN$2,0))</f>
        <v>400057</v>
      </c>
      <c r="I629" s="8"/>
      <c r="J629" s="180" t="s">
        <v>10762</v>
      </c>
      <c r="K629" s="201">
        <f>+INDEX(WP!$A:$AN,MATCH(F629,WP!$B:$B,0),14)</f>
        <v>4</v>
      </c>
      <c r="L629" s="202">
        <f>+INDEX(WP!$A:$AN,MATCH(F629,WP!$B:$B,0),15)</f>
        <v>130</v>
      </c>
      <c r="M629" s="202">
        <f>+INDEX(WP!$A:$AN,MATCH(F629,WP!$B:$B,0),16)</f>
        <v>80</v>
      </c>
      <c r="N629" s="202" t="e" vm="344">
        <f>IFERROR(_xlfn.IMAGE("https://natalie.tf/wp-content/uploads/2023/11/DLV3_Icon_Affinity_"&amp;O629&amp;".png"),"")</f>
        <v>#VALUE!</v>
      </c>
      <c r="O629" s="203" t="str">
        <f>+INDEX(WP!$A:$AN,MATCH(F629,WP!$B:$B,0),17)</f>
        <v>Eagle</v>
      </c>
      <c r="P629" s="8" t="e" vm="393">
        <f>_xlfn.IMAGE("https://natalie.tf/wp-content/uploads/2023/10/DLV3_Icon_Ability_"&amp;INDEX('WP-A'!$A$1:$Z$498,MATCH('WP-Print'!Q629,'WP-A'!$A:$A,0),MATCH("Icon",'WP-A'!$A$1:$Z$1,0))&amp;".png")</f>
        <v>#VALUE!</v>
      </c>
      <c r="Q629" s="231" t="str">
        <f>+INDEX(WP!$A:$AN,MATCH(F629,WP!$B:$B,0),MATCH("Ability V3",WP!$A$2:$AN$2,0))</f>
        <v>Brunhilda Res +20%</v>
      </c>
      <c r="R629" s="735"/>
    </row>
    <row r="630" spans="1:18" ht="7.5" customHeight="1" x14ac:dyDescent="0.2">
      <c r="A630" t="s">
        <v>10763</v>
      </c>
    </row>
    <row r="631" spans="1:18" ht="22.5" customHeight="1" x14ac:dyDescent="0.2">
      <c r="B631" s="729" t="e" vm="756">
        <f>_xlfn.IMAGE("https://natalie.tf/wp-content/uploads/2023/10/DLV3_Icon_WP_"&amp;G632&amp;"_01.png")</f>
        <v>#VALUE!</v>
      </c>
      <c r="D631" s="730" t="e" vm="757">
        <f>_xlfn.IMAGE("https://natalie.tf/wp-content/uploads/2023/10/DLV3_Icon_WP_"&amp;G632&amp;"_02.png")</f>
        <v>#VALUE!</v>
      </c>
      <c r="F631" s="717" t="str">
        <f>+INDEX(WP!$A:$AN,MATCH(F632,WP!$B:$B,0),MATCH("Name",WP!$A$2:$AN$2,0))</f>
        <v>Greatwyrm Jupiter</v>
      </c>
      <c r="G631" s="718"/>
      <c r="H631" s="719"/>
      <c r="J631" s="180" t="s">
        <v>10761</v>
      </c>
      <c r="K631" s="201">
        <f>+INDEX(WP!$A:$AN,MATCH(F632,WP!$B:$B,0),5)</f>
        <v>4</v>
      </c>
      <c r="L631" s="202">
        <f>+INDEX(WP!$A:$AN,MATCH(F632,WP!$B:$B,0),6)</f>
        <v>63</v>
      </c>
      <c r="M631" s="202">
        <f>+INDEX(WP!$A:$AN,MATCH(F632,WP!$B:$B,0),7)</f>
        <v>15</v>
      </c>
      <c r="N631" s="202" t="str">
        <f ca="1">IFERROR(_xlfn.IMAGE("https://natalie.tf/wp-content/uploads/2023/11/DLV3_Icon_Affinity_"&amp;O631&amp;".png"),"")</f>
        <v/>
      </c>
      <c r="O631" s="203" t="str">
        <f>IF(INDEX(WP!$A:$AN,MATCH(F632,WP!$B:$B,0),8)=0,"None",INDEX(WP!$A:$AN,MATCH(F632,WP!$B:$B,0),8))</f>
        <v>None</v>
      </c>
      <c r="P631" s="8" t="e" vm="393">
        <f>_xlfn.IMAGE("https://natalie.tf/wp-content/uploads/2023/10/DLV3_Icon_Ability_"&amp;INDEX('WP-A'!$A$1:$Z$498,MATCH('WP-Print'!Q631,'WP-A'!$A:$A,0),MATCH("Icon",'WP-A'!$A$1:$Z$1,0))&amp;".png")</f>
        <v>#VALUE!</v>
      </c>
      <c r="Q631" s="231" t="str">
        <f>+INDEX(WP!$A:$AN,MATCH(F632,WP!$B:$B,0),MATCH("Ability",WP!$A$2:$AN$2,0))</f>
        <v>Jupiter Res +20%</v>
      </c>
      <c r="R631" s="734" t="str">
        <f>+INDEX(WP!$A:$AN,MATCH(F632,WP!$B:$B,0),MATCH("Obtain From",WP!$A$2:$AN$2,0))</f>
        <v>Clear Battle at the Wartarch Ruins: Expert (The Imperial Onslaught)</v>
      </c>
    </row>
    <row r="632" spans="1:18" ht="22.5" customHeight="1" x14ac:dyDescent="0.2">
      <c r="A632" s="204" t="str">
        <f>TEXT(A629+1,"000")</f>
        <v>210</v>
      </c>
      <c r="B632" s="729"/>
      <c r="C632" s="8"/>
      <c r="D632" s="729"/>
      <c r="E632" s="8"/>
      <c r="F632" s="200" t="str">
        <f>"WP-"&amp;A632</f>
        <v>WP-210</v>
      </c>
      <c r="G632" s="200">
        <f>+INDEX(WP!$A:$AN,MATCH(F632,WP!$B:$B,0),MATCH("ID",WP!$A$2:$AN$2,0))</f>
        <v>400058</v>
      </c>
      <c r="I632" s="8"/>
      <c r="J632" s="180" t="s">
        <v>10762</v>
      </c>
      <c r="K632" s="201">
        <f>+INDEX(WP!$A:$AN,MATCH(F632,WP!$B:$B,0),14)</f>
        <v>4</v>
      </c>
      <c r="L632" s="202">
        <f>+INDEX(WP!$A:$AN,MATCH(F632,WP!$B:$B,0),15)</f>
        <v>130</v>
      </c>
      <c r="M632" s="202">
        <f>+INDEX(WP!$A:$AN,MATCH(F632,WP!$B:$B,0),16)</f>
        <v>80</v>
      </c>
      <c r="N632" s="202" t="e" vm="346">
        <f>IFERROR(_xlfn.IMAGE("https://natalie.tf/wp-content/uploads/2023/11/DLV3_Icon_Affinity_"&amp;O632&amp;".png"),"")</f>
        <v>#VALUE!</v>
      </c>
      <c r="O632" s="203" t="str">
        <f>+INDEX(WP!$A:$AN,MATCH(F632,WP!$B:$B,0),17)</f>
        <v>Bull</v>
      </c>
      <c r="P632" s="8" t="e" vm="393">
        <f>_xlfn.IMAGE("https://natalie.tf/wp-content/uploads/2023/10/DLV3_Icon_Ability_"&amp;INDEX('WP-A'!$A$1:$Z$498,MATCH('WP-Print'!Q632,'WP-A'!$A:$A,0),MATCH("Icon",'WP-A'!$A$1:$Z$1,0))&amp;".png")</f>
        <v>#VALUE!</v>
      </c>
      <c r="Q632" s="231" t="str">
        <f>+INDEX(WP!$A:$AN,MATCH(F632,WP!$B:$B,0),MATCH("Ability V3",WP!$A$2:$AN$2,0))</f>
        <v>Jupiter Res +20%</v>
      </c>
      <c r="R632" s="735"/>
    </row>
    <row r="633" spans="1:18" ht="22.5" customHeight="1" x14ac:dyDescent="0.2">
      <c r="A633" t="s">
        <v>10763</v>
      </c>
    </row>
    <row r="634" spans="1:18" ht="22.5" customHeight="1" x14ac:dyDescent="0.2">
      <c r="B634" s="729" t="e" vm="758">
        <f>_xlfn.IMAGE("https://natalie.tf/wp-content/uploads/2023/10/DLV3_Icon_WP_"&amp;G635&amp;"_01.png")</f>
        <v>#VALUE!</v>
      </c>
      <c r="D634" s="730" t="e" vm="759">
        <f>_xlfn.IMAGE("https://natalie.tf/wp-content/uploads/2023/10/DLV3_Icon_WP_"&amp;G635&amp;"_02.png")</f>
        <v>#VALUE!</v>
      </c>
      <c r="F634" s="717" t="str">
        <f>+INDEX(WP!$A:$AN,MATCH(F635,WP!$B:$B,0),MATCH("Name",WP!$A$2:$AN$2,0))</f>
        <v>Greatwyrm Zodiark</v>
      </c>
      <c r="G634" s="718"/>
      <c r="H634" s="719"/>
      <c r="J634" s="180" t="s">
        <v>10761</v>
      </c>
      <c r="K634" s="201">
        <f>+INDEX(WP!$A:$AN,MATCH(F635,WP!$B:$B,0),5)</f>
        <v>4</v>
      </c>
      <c r="L634" s="202">
        <f>+INDEX(WP!$A:$AN,MATCH(F635,WP!$B:$B,0),6)</f>
        <v>63</v>
      </c>
      <c r="M634" s="202">
        <f>+INDEX(WP!$A:$AN,MATCH(F635,WP!$B:$B,0),7)</f>
        <v>15</v>
      </c>
      <c r="N634" s="202" t="str">
        <f ca="1">IFERROR(_xlfn.IMAGE("https://natalie.tf/wp-content/uploads/2023/11/DLV3_Icon_Affinity_"&amp;O634&amp;".png"),"")</f>
        <v/>
      </c>
      <c r="O634" s="203" t="str">
        <f>IF(INDEX(WP!$A:$AN,MATCH(F635,WP!$B:$B,0),8)=0,"None",INDEX(WP!$A:$AN,MATCH(F635,WP!$B:$B,0),8))</f>
        <v>None</v>
      </c>
      <c r="P634" s="8" t="e" vm="393">
        <f>_xlfn.IMAGE("https://natalie.tf/wp-content/uploads/2023/10/DLV3_Icon_Ability_"&amp;INDEX('WP-A'!$A$1:$Z$498,MATCH('WP-Print'!Q634,'WP-A'!$A:$A,0),MATCH("Icon",'WP-A'!$A$1:$Z$1,0))&amp;".png")</f>
        <v>#VALUE!</v>
      </c>
      <c r="Q634" s="231" t="str">
        <f>+INDEX(WP!$A:$AN,MATCH(F635,WP!$B:$B,0),MATCH("Ability",WP!$A$2:$AN$2,0))</f>
        <v>Zodiark Res +20%</v>
      </c>
      <c r="R634" s="734" t="str">
        <f>+INDEX(WP!$A:$AN,MATCH(F635,WP!$B:$B,0),MATCH("Obtain From",WP!$A$2:$AN$2,0))</f>
        <v>Clear Battle at Myriage Lake: Expert (The Imperial Onslaught)</v>
      </c>
    </row>
    <row r="635" spans="1:18" ht="22.5" customHeight="1" x14ac:dyDescent="0.2">
      <c r="A635" s="204" t="str">
        <f>TEXT(A632+1,"000")</f>
        <v>211</v>
      </c>
      <c r="B635" s="729"/>
      <c r="C635" s="8"/>
      <c r="D635" s="729"/>
      <c r="E635" s="8"/>
      <c r="F635" s="200" t="str">
        <f>"WP-"&amp;A635</f>
        <v>WP-211</v>
      </c>
      <c r="G635" s="200">
        <f>+INDEX(WP!$A:$AN,MATCH(F635,WP!$B:$B,0),MATCH("ID",WP!$A$2:$AN$2,0))</f>
        <v>400059</v>
      </c>
      <c r="I635" s="8"/>
      <c r="J635" s="180" t="s">
        <v>10762</v>
      </c>
      <c r="K635" s="201">
        <f>+INDEX(WP!$A:$AN,MATCH(F635,WP!$B:$B,0),14)</f>
        <v>4</v>
      </c>
      <c r="L635" s="202">
        <f>+INDEX(WP!$A:$AN,MATCH(F635,WP!$B:$B,0),15)</f>
        <v>130</v>
      </c>
      <c r="M635" s="202">
        <f>+INDEX(WP!$A:$AN,MATCH(F635,WP!$B:$B,0),16)</f>
        <v>80</v>
      </c>
      <c r="N635" s="202" t="e" vm="337">
        <f>IFERROR(_xlfn.IMAGE("https://natalie.tf/wp-content/uploads/2023/11/DLV3_Icon_Affinity_"&amp;O635&amp;".png"),"")</f>
        <v>#VALUE!</v>
      </c>
      <c r="O635" s="203" t="str">
        <f>+INDEX(WP!$A:$AN,MATCH(F635,WP!$B:$B,0),17)</f>
        <v>Serpent</v>
      </c>
      <c r="P635" s="8" t="e" vm="393">
        <f>_xlfn.IMAGE("https://natalie.tf/wp-content/uploads/2023/10/DLV3_Icon_Ability_"&amp;INDEX('WP-A'!$A$1:$Z$498,MATCH('WP-Print'!Q635,'WP-A'!$A:$A,0),MATCH("Icon",'WP-A'!$A$1:$Z$1,0))&amp;".png")</f>
        <v>#VALUE!</v>
      </c>
      <c r="Q635" s="231" t="str">
        <f>+INDEX(WP!$A:$AN,MATCH(F635,WP!$B:$B,0),MATCH("Ability V3",WP!$A$2:$AN$2,0))</f>
        <v>Zodiark Res +20%</v>
      </c>
      <c r="R635" s="735"/>
    </row>
    <row r="636" spans="1:18" ht="7.5" customHeight="1" x14ac:dyDescent="0.2">
      <c r="A636" t="s">
        <v>10763</v>
      </c>
    </row>
    <row r="637" spans="1:18" ht="22.5" customHeight="1" x14ac:dyDescent="0.2">
      <c r="B637" s="729" t="e" vm="760">
        <f>_xlfn.IMAGE("https://natalie.tf/wp-content/uploads/2023/10/DLV3_Icon_WP_"&amp;G638&amp;"_01.png")</f>
        <v>#VALUE!</v>
      </c>
      <c r="D637" s="730" t="e" vm="761">
        <f>_xlfn.IMAGE("https://natalie.tf/wp-content/uploads/2023/10/DLV3_Icon_WP_"&amp;G638&amp;"_02.png")</f>
        <v>#VALUE!</v>
      </c>
      <c r="F637" s="717" t="str">
        <f>+INDEX(WP!$A:$AN,MATCH(F638,WP!$B:$B,0),MATCH("Name",WP!$A$2:$AN$2,0))</f>
        <v>Paladyn Defender</v>
      </c>
      <c r="G637" s="718"/>
      <c r="H637" s="719"/>
      <c r="J637" s="180" t="s">
        <v>10761</v>
      </c>
      <c r="K637" s="201">
        <f>+INDEX(WP!$A:$AN,MATCH(F638,WP!$B:$B,0),5)</f>
        <v>4</v>
      </c>
      <c r="L637" s="202">
        <f>+INDEX(WP!$A:$AN,MATCH(F638,WP!$B:$B,0),6)</f>
        <v>61</v>
      </c>
      <c r="M637" s="202">
        <f>+INDEX(WP!$A:$AN,MATCH(F638,WP!$B:$B,0),7)</f>
        <v>17</v>
      </c>
      <c r="N637" s="202" t="str">
        <f ca="1">IFERROR(_xlfn.IMAGE("https://natalie.tf/wp-content/uploads/2023/11/DLV3_Icon_Affinity_"&amp;O637&amp;".png"),"")</f>
        <v/>
      </c>
      <c r="O637" s="203" t="str">
        <f>IF(INDEX(WP!$A:$AN,MATCH(F638,WP!$B:$B,0),8)=0,"None",INDEX(WP!$A:$AN,MATCH(F638,WP!$B:$B,0),8))</f>
        <v>None</v>
      </c>
      <c r="P637" s="8" t="e" vm="717">
        <f>_xlfn.IMAGE("https://natalie.tf/wp-content/uploads/2023/10/DLV3_Icon_Ability_"&amp;INDEX('WP-A'!$A$1:$Z$498,MATCH('WP-Print'!Q637,'WP-A'!$A:$A,0),MATCH("Icon",'WP-A'!$A$1:$Z$1,0))&amp;".png")</f>
        <v>#VALUE!</v>
      </c>
      <c r="Q637" s="231" t="str">
        <f>+INDEX(WP!$A:$AN,MATCH(F638,WP!$B:$B,0),MATCH("Ability",WP!$A$2:$AN$2,0))</f>
        <v>Burn Res +25%</v>
      </c>
      <c r="R637" s="734" t="str">
        <f>+INDEX(WP!$A:$AN,MATCH(F638,WP!$B:$B,0),MATCH("Obtain From",WP!$A$2:$AN$2,0))</f>
        <v>Clear Magma Onslaught (Loyalty's Requiem)</v>
      </c>
    </row>
    <row r="638" spans="1:18" ht="22.5" customHeight="1" x14ac:dyDescent="0.2">
      <c r="A638" s="204" t="str">
        <f>TEXT(A635+1,"000")</f>
        <v>212</v>
      </c>
      <c r="B638" s="729"/>
      <c r="C638" s="8"/>
      <c r="D638" s="729"/>
      <c r="E638" s="8"/>
      <c r="F638" s="200" t="str">
        <f>"WP-"&amp;A638</f>
        <v>WP-212</v>
      </c>
      <c r="G638" s="200">
        <f>+INDEX(WP!$A:$AN,MATCH(F638,WP!$B:$B,0),MATCH("ID",WP!$A$2:$AN$2,0))</f>
        <v>400053</v>
      </c>
      <c r="I638" s="8"/>
      <c r="J638" s="180" t="s">
        <v>10762</v>
      </c>
      <c r="K638" s="201">
        <f>+INDEX(WP!$A:$AN,MATCH(F638,WP!$B:$B,0),14)</f>
        <v>4</v>
      </c>
      <c r="L638" s="202">
        <f>+INDEX(WP!$A:$AN,MATCH(F638,WP!$B:$B,0),15)</f>
        <v>130</v>
      </c>
      <c r="M638" s="202">
        <f>+INDEX(WP!$A:$AN,MATCH(F638,WP!$B:$B,0),16)</f>
        <v>80</v>
      </c>
      <c r="N638" s="202" t="e" vm="356">
        <f>IFERROR(_xlfn.IMAGE("https://natalie.tf/wp-content/uploads/2023/11/DLV3_Icon_Affinity_"&amp;O638&amp;".png"),"")</f>
        <v>#VALUE!</v>
      </c>
      <c r="O638" s="203" t="str">
        <f>+INDEX(WP!$A:$AN,MATCH(F638,WP!$B:$B,0),17)</f>
        <v>Deer</v>
      </c>
      <c r="P638" s="8" t="e" vm="7">
        <f>_xlfn.IMAGE("https://natalie.tf/wp-content/uploads/2023/10/DLV3_Icon_Ability_"&amp;INDEX('WP-A'!$A$1:$Z$498,MATCH('WP-Print'!Q638,'WP-A'!$A:$A,0),MATCH("Icon",'WP-A'!$A$1:$Z$1,0))&amp;".png")</f>
        <v>#VALUE!</v>
      </c>
      <c r="Q638" s="231" t="str">
        <f>+INDEX(WP!$A:$AN,MATCH(F638,WP!$B:$B,0),MATCH("Ability V3",WP!$A$2:$AN$2,0))</f>
        <v>Force Strike +40%</v>
      </c>
      <c r="R638" s="735"/>
    </row>
    <row r="639" spans="1:18" ht="7.5" customHeight="1" x14ac:dyDescent="0.2">
      <c r="A639" t="s">
        <v>10763</v>
      </c>
    </row>
    <row r="640" spans="1:18" ht="22.5" customHeight="1" x14ac:dyDescent="0.2">
      <c r="B640" s="729" t="e" vm="762">
        <f>_xlfn.IMAGE("https://natalie.tf/wp-content/uploads/2023/10/DLV3_Icon_WP_"&amp;G641&amp;"_01.png")</f>
        <v>#VALUE!</v>
      </c>
      <c r="D640" s="730" t="e" vm="763">
        <f>_xlfn.IMAGE("https://natalie.tf/wp-content/uploads/2023/10/DLV3_Icon_WP_"&amp;G641&amp;"_02.png")</f>
        <v>#VALUE!</v>
      </c>
      <c r="F640" s="717" t="str">
        <f>+INDEX(WP!$A:$AN,MATCH(F641,WP!$B:$B,0),MATCH("Name",WP!$A$2:$AN$2,0))</f>
        <v>The Warrioresses</v>
      </c>
      <c r="G640" s="718"/>
      <c r="H640" s="719"/>
      <c r="J640" s="180" t="s">
        <v>10761</v>
      </c>
      <c r="K640" s="201">
        <f>+INDEX(WP!$A:$AN,MATCH(F641,WP!$B:$B,0),5)</f>
        <v>4</v>
      </c>
      <c r="L640" s="202">
        <f>+INDEX(WP!$A:$AN,MATCH(F641,WP!$B:$B,0),6)</f>
        <v>70</v>
      </c>
      <c r="M640" s="202">
        <f>+INDEX(WP!$A:$AN,MATCH(F641,WP!$B:$B,0),7)</f>
        <v>26</v>
      </c>
      <c r="N640" s="202" t="e" vm="340">
        <f>IFERROR(_xlfn.IMAGE("https://natalie.tf/wp-content/uploads/2023/11/DLV3_Icon_Affinity_"&amp;O640&amp;".png"),"")</f>
        <v>#VALUE!</v>
      </c>
      <c r="O640" s="203" t="str">
        <f>IF(INDEX(WP!$A:$AN,MATCH(F641,WP!$B:$B,0),8)=0,"None",INDEX(WP!$A:$AN,MATCH(F641,WP!$B:$B,0),8))</f>
        <v>Lance</v>
      </c>
      <c r="P640" s="8" t="e" vm="7">
        <f>_xlfn.IMAGE("https://natalie.tf/wp-content/uploads/2023/10/DLV3_Icon_Ability_"&amp;INDEX('WP-A'!$A$1:$Z$498,MATCH('WP-Print'!Q640,'WP-A'!$A:$A,0),MATCH("Icon",'WP-A'!$A$1:$Z$1,0))&amp;".png")</f>
        <v>#VALUE!</v>
      </c>
      <c r="Q640" s="231" t="str">
        <f>+INDEX(WP!$A:$AN,MATCH(F641,WP!$B:$B,0),MATCH("Ability",WP!$A$2:$AN$2,0))</f>
        <v>Force Strike +40%</v>
      </c>
      <c r="R640" s="734" t="str">
        <f>+INDEX(WP!$A:$AN,MATCH(F641,WP!$B:$B,0),MATCH("Obtain From",WP!$A$2:$AN$2,0))</f>
        <v>Clear Brunhilda's Trial: Master</v>
      </c>
    </row>
    <row r="641" spans="1:18" ht="22.5" customHeight="1" x14ac:dyDescent="0.2">
      <c r="A641" s="204" t="str">
        <f>TEXT(A638+1,"000")</f>
        <v>213</v>
      </c>
      <c r="B641" s="729"/>
      <c r="C641" s="8"/>
      <c r="D641" s="729"/>
      <c r="E641" s="8"/>
      <c r="F641" s="200" t="str">
        <f>"WP-"&amp;A641</f>
        <v>WP-213</v>
      </c>
      <c r="G641" s="200">
        <f>+INDEX(WP!$A:$AN,MATCH(F641,WP!$B:$B,0),MATCH("ID",WP!$A$2:$AN$2,0))</f>
        <v>400060</v>
      </c>
      <c r="I641" s="8"/>
      <c r="J641" s="180" t="s">
        <v>10762</v>
      </c>
      <c r="K641" s="201">
        <f>+INDEX(WP!$A:$AN,MATCH(F641,WP!$B:$B,0),14)</f>
        <v>4</v>
      </c>
      <c r="L641" s="202">
        <f>+INDEX(WP!$A:$AN,MATCH(F641,WP!$B:$B,0),15)</f>
        <v>130</v>
      </c>
      <c r="M641" s="202">
        <f>+INDEX(WP!$A:$AN,MATCH(F641,WP!$B:$B,0),16)</f>
        <v>80</v>
      </c>
      <c r="N641" s="202" t="e" vm="338">
        <f>IFERROR(_xlfn.IMAGE("https://natalie.tf/wp-content/uploads/2023/11/DLV3_Icon_Affinity_"&amp;O641&amp;".png"),"")</f>
        <v>#VALUE!</v>
      </c>
      <c r="O641" s="203" t="str">
        <f>+INDEX(WP!$A:$AN,MATCH(F641,WP!$B:$B,0),17)</f>
        <v>Wolf</v>
      </c>
      <c r="P641" s="8" t="e" vm="7">
        <f>_xlfn.IMAGE("https://natalie.tf/wp-content/uploads/2023/10/DLV3_Icon_Ability_"&amp;INDEX('WP-A'!$A$1:$Z$498,MATCH('WP-Print'!Q641,'WP-A'!$A:$A,0),MATCH("Icon",'WP-A'!$A$1:$Z$1,0))&amp;".png")</f>
        <v>#VALUE!</v>
      </c>
      <c r="Q641" s="231" t="str">
        <f>+INDEX(WP!$A:$AN,MATCH(F641,WP!$B:$B,0),MATCH("Ability V3",WP!$A$2:$AN$2,0))</f>
        <v>Force Strike +40%</v>
      </c>
      <c r="R641" s="735"/>
    </row>
    <row r="642" spans="1:18" ht="7.5" customHeight="1" x14ac:dyDescent="0.2">
      <c r="A642" t="s">
        <v>10763</v>
      </c>
    </row>
    <row r="643" spans="1:18" ht="22.5" customHeight="1" x14ac:dyDescent="0.2">
      <c r="B643" s="729" t="e" vm="764">
        <f>_xlfn.IMAGE("https://natalie.tf/wp-content/uploads/2023/10/DLV3_Icon_WP_"&amp;G644&amp;"_01.png")</f>
        <v>#VALUE!</v>
      </c>
      <c r="D643" s="730" t="e" vm="765">
        <f>_xlfn.IMAGE("https://natalie.tf/wp-content/uploads/2023/10/DLV3_Icon_WP_"&amp;G644&amp;"_02.png")</f>
        <v>#VALUE!</v>
      </c>
      <c r="F643" s="717" t="str">
        <f>+INDEX(WP!$A:$AN,MATCH(F644,WP!$B:$B,0),MATCH("Name",WP!$A$2:$AN$2,0))</f>
        <v>Silke Lends a Hand</v>
      </c>
      <c r="G643" s="718"/>
      <c r="H643" s="719"/>
      <c r="J643" s="180" t="s">
        <v>10761</v>
      </c>
      <c r="K643" s="201">
        <f>+INDEX(WP!$A:$AN,MATCH(F644,WP!$B:$B,0),5)</f>
        <v>4</v>
      </c>
      <c r="L643" s="202">
        <f>+INDEX(WP!$A:$AN,MATCH(F644,WP!$B:$B,0),6)</f>
        <v>75</v>
      </c>
      <c r="M643" s="202">
        <f>+INDEX(WP!$A:$AN,MATCH(F644,WP!$B:$B,0),7)</f>
        <v>21</v>
      </c>
      <c r="N643" s="202" t="str">
        <f ca="1">IFERROR(_xlfn.IMAGE("https://natalie.tf/wp-content/uploads/2023/11/DLV3_Icon_Affinity_"&amp;O643&amp;".png"),"")</f>
        <v/>
      </c>
      <c r="O643" s="203" t="str">
        <f>IF(INDEX(WP!$A:$AN,MATCH(F644,WP!$B:$B,0),8)=0,"None",INDEX(WP!$A:$AN,MATCH(F644,WP!$B:$B,0),8))</f>
        <v>None</v>
      </c>
      <c r="P643" s="8" t="e" vm="766">
        <f>_xlfn.IMAGE("https://natalie.tf/wp-content/uploads/2023/10/DLV3_Icon_Ability_"&amp;INDEX('WP-A'!$A$1:$Z$498,MATCH('WP-Print'!Q643,'WP-A'!$A:$A,0),MATCH("Icon",'WP-A'!$A$1:$Z$1,0))&amp;".png")</f>
        <v>#VALUE!</v>
      </c>
      <c r="Q643" s="231" t="str">
        <f>+INDEX(WP!$A:$AN,MATCH(F644,WP!$B:$B,0),MATCH("Ability",WP!$A$2:$AN$2,0))</f>
        <v>Blindness Res +50%</v>
      </c>
      <c r="R643" s="734" t="str">
        <f>+INDEX(WP!$A:$AN,MATCH(F644,WP!$B:$B,0),MATCH("Obtain From",WP!$A$2:$AN$2,0))</f>
        <v>Clear Squash the Pumpking: Beginner (Trick or Treasure!)</v>
      </c>
    </row>
    <row r="644" spans="1:18" ht="22.5" customHeight="1" x14ac:dyDescent="0.2">
      <c r="A644" s="204" t="str">
        <f>TEXT(A641+1,"000")</f>
        <v>214</v>
      </c>
      <c r="B644" s="729"/>
      <c r="C644" s="8"/>
      <c r="D644" s="729"/>
      <c r="E644" s="8"/>
      <c r="F644" s="200" t="str">
        <f>"WP-"&amp;A644</f>
        <v>WP-214</v>
      </c>
      <c r="G644" s="200">
        <f>+INDEX(WP!$A:$AN,MATCH(F644,WP!$B:$B,0),MATCH("ID",WP!$A$2:$AN$2,0))</f>
        <v>400061</v>
      </c>
      <c r="I644" s="8"/>
      <c r="J644" s="180" t="s">
        <v>10762</v>
      </c>
      <c r="K644" s="201">
        <f>+INDEX(WP!$A:$AN,MATCH(F644,WP!$B:$B,0),14)</f>
        <v>4</v>
      </c>
      <c r="L644" s="202">
        <f>+INDEX(WP!$A:$AN,MATCH(F644,WP!$B:$B,0),15)</f>
        <v>130</v>
      </c>
      <c r="M644" s="202">
        <f>+INDEX(WP!$A:$AN,MATCH(F644,WP!$B:$B,0),16)</f>
        <v>80</v>
      </c>
      <c r="N644" s="202" t="e" vm="345">
        <f>IFERROR(_xlfn.IMAGE("https://natalie.tf/wp-content/uploads/2023/11/DLV3_Icon_Affinity_"&amp;O644&amp;".png"),"")</f>
        <v>#VALUE!</v>
      </c>
      <c r="O644" s="203" t="str">
        <f>+INDEX(WP!$A:$AN,MATCH(F644,WP!$B:$B,0),17)</f>
        <v>Staff</v>
      </c>
      <c r="P644" s="8" t="e" vm="766">
        <f>_xlfn.IMAGE("https://natalie.tf/wp-content/uploads/2023/10/DLV3_Icon_Ability_"&amp;INDEX('WP-A'!$A$1:$Z$498,MATCH('WP-Print'!Q644,'WP-A'!$A:$A,0),MATCH("Icon",'WP-A'!$A$1:$Z$1,0))&amp;".png")</f>
        <v>#VALUE!</v>
      </c>
      <c r="Q644" s="231" t="str">
        <f>+INDEX(WP!$A:$AN,MATCH(F644,WP!$B:$B,0),MATCH("Ability V3",WP!$A$2:$AN$2,0))</f>
        <v>Blindness Res +100%</v>
      </c>
      <c r="R644" s="735"/>
    </row>
    <row r="645" spans="1:18" ht="7.5" customHeight="1" x14ac:dyDescent="0.2">
      <c r="A645" t="s">
        <v>10763</v>
      </c>
    </row>
    <row r="646" spans="1:18" ht="22.5" customHeight="1" x14ac:dyDescent="0.2">
      <c r="B646" s="729" t="e" vm="767">
        <f>_xlfn.IMAGE("https://natalie.tf/wp-content/uploads/2023/10/DLV3_Icon_WP_"&amp;G647&amp;"_01.png")</f>
        <v>#VALUE!</v>
      </c>
      <c r="D646" s="730" t="e" vm="768">
        <f>_xlfn.IMAGE("https://natalie.tf/wp-content/uploads/2023/10/DLV3_Icon_WP_"&amp;G647&amp;"_02.png")</f>
        <v>#VALUE!</v>
      </c>
      <c r="F646" s="717" t="str">
        <f>+INDEX(WP!$A:$AN,MATCH(F647,WP!$B:$B,0),MATCH("Name",WP!$A$2:$AN$2,0))</f>
        <v>Samurai Siesta</v>
      </c>
      <c r="G646" s="718"/>
      <c r="H646" s="719"/>
      <c r="J646" s="180" t="s">
        <v>10761</v>
      </c>
      <c r="K646" s="201">
        <f>+INDEX(WP!$A:$AN,MATCH(F647,WP!$B:$B,0),5)</f>
        <v>4</v>
      </c>
      <c r="L646" s="202">
        <f>+INDEX(WP!$A:$AN,MATCH(F647,WP!$B:$B,0),6)</f>
        <v>76</v>
      </c>
      <c r="M646" s="202">
        <f>+INDEX(WP!$A:$AN,MATCH(F647,WP!$B:$B,0),7)</f>
        <v>20</v>
      </c>
      <c r="N646" s="202" t="str">
        <f ca="1">IFERROR(_xlfn.IMAGE("https://natalie.tf/wp-content/uploads/2023/11/DLV3_Icon_Affinity_"&amp;O646&amp;".png"),"")</f>
        <v/>
      </c>
      <c r="O646" s="203" t="str">
        <f>IF(INDEX(WP!$A:$AN,MATCH(F647,WP!$B:$B,0),8)=0,"None",INDEX(WP!$A:$AN,MATCH(F647,WP!$B:$B,0),8))</f>
        <v>None</v>
      </c>
      <c r="P646" s="8" t="e" vm="769">
        <f>_xlfn.IMAGE("https://natalie.tf/wp-content/uploads/2023/10/DLV3_Icon_Ability_"&amp;INDEX('WP-A'!$A$1:$Z$498,MATCH('WP-Print'!Q646,'WP-A'!$A:$A,0),MATCH("Icon",'WP-A'!$A$1:$Z$1,0))&amp;".png")</f>
        <v>#VALUE!</v>
      </c>
      <c r="Q646" s="231" t="str">
        <f>+INDEX(WP!$A:$AN,MATCH(F647,WP!$B:$B,0),MATCH("Ability",WP!$A$2:$AN$2,0))</f>
        <v>Sleep Res +75%</v>
      </c>
      <c r="R646" s="734" t="str">
        <f>+INDEX(WP!$A:$AN,MATCH(F647,WP!$B:$B,0),MATCH("Obtain From",WP!$A$2:$AN$2,0))</f>
        <v>Clear Zodiark's Trial: Master</v>
      </c>
    </row>
    <row r="647" spans="1:18" ht="22.5" customHeight="1" x14ac:dyDescent="0.2">
      <c r="A647" s="204" t="str">
        <f>TEXT(A644+1,"000")</f>
        <v>215</v>
      </c>
      <c r="B647" s="729"/>
      <c r="C647" s="8"/>
      <c r="D647" s="729"/>
      <c r="E647" s="8"/>
      <c r="F647" s="200" t="str">
        <f>"WP-"&amp;A647</f>
        <v>WP-215</v>
      </c>
      <c r="G647" s="200">
        <f>+INDEX(WP!$A:$AN,MATCH(F647,WP!$B:$B,0),MATCH("ID",WP!$A$2:$AN$2,0))</f>
        <v>400100</v>
      </c>
      <c r="I647" s="8"/>
      <c r="J647" s="180" t="s">
        <v>10762</v>
      </c>
      <c r="K647" s="201">
        <f>+INDEX(WP!$A:$AN,MATCH(F647,WP!$B:$B,0),14)</f>
        <v>4</v>
      </c>
      <c r="L647" s="202">
        <f>+INDEX(WP!$A:$AN,MATCH(F647,WP!$B:$B,0),15)</f>
        <v>130</v>
      </c>
      <c r="M647" s="202">
        <f>+INDEX(WP!$A:$AN,MATCH(F647,WP!$B:$B,0),16)</f>
        <v>80</v>
      </c>
      <c r="N647" s="202" t="e" vm="362">
        <f>IFERROR(_xlfn.IMAGE("https://natalie.tf/wp-content/uploads/2023/11/DLV3_Icon_Affinity_"&amp;O647&amp;".png"),"")</f>
        <v>#VALUE!</v>
      </c>
      <c r="O647" s="203" t="str">
        <f>+INDEX(WP!$A:$AN,MATCH(F647,WP!$B:$B,0),17)</f>
        <v>Bat</v>
      </c>
      <c r="P647" s="8" t="e" vm="7">
        <f>_xlfn.IMAGE("https://natalie.tf/wp-content/uploads/2023/10/DLV3_Icon_Ability_"&amp;INDEX('WP-A'!$A$1:$Z$498,MATCH('WP-Print'!Q647,'WP-A'!$A:$A,0),MATCH("Icon",'WP-A'!$A$1:$Z$1,0))&amp;".png")</f>
        <v>#VALUE!</v>
      </c>
      <c r="Q647" s="231" t="str">
        <f>+INDEX(WP!$A:$AN,MATCH(F647,WP!$B:$B,0),MATCH("Ability V3",WP!$A$2:$AN$2,0))</f>
        <v>Force Strike +40%</v>
      </c>
      <c r="R647" s="735"/>
    </row>
    <row r="648" spans="1:18" ht="7.5" customHeight="1" x14ac:dyDescent="0.2">
      <c r="A648" t="s">
        <v>10763</v>
      </c>
    </row>
    <row r="649" spans="1:18" ht="22.5" customHeight="1" x14ac:dyDescent="0.2">
      <c r="B649" s="729" t="e" vm="770">
        <f>_xlfn.IMAGE("https://natalie.tf/wp-content/uploads/2023/10/DLV3_Icon_WP_"&amp;G650&amp;"_01.png")</f>
        <v>#VALUE!</v>
      </c>
      <c r="D649" s="730" t="e" vm="771">
        <f>_xlfn.IMAGE("https://natalie.tf/wp-content/uploads/2023/10/DLV3_Icon_WP_"&amp;G650&amp;"_02.png")</f>
        <v>#VALUE!</v>
      </c>
      <c r="F649" s="717" t="str">
        <f>+INDEX(WP!$A:$AN,MATCH(F650,WP!$B:$B,0),MATCH("Name",WP!$A$2:$AN$2,0))</f>
        <v>Better Together</v>
      </c>
      <c r="G649" s="718"/>
      <c r="H649" s="719"/>
      <c r="J649" s="180" t="s">
        <v>10761</v>
      </c>
      <c r="K649" s="201">
        <f>+INDEX(WP!$A:$AN,MATCH(F650,WP!$B:$B,0),5)</f>
        <v>4</v>
      </c>
      <c r="L649" s="202">
        <f>+INDEX(WP!$A:$AN,MATCH(F650,WP!$B:$B,0),6)</f>
        <v>61</v>
      </c>
      <c r="M649" s="202">
        <f>+INDEX(WP!$A:$AN,MATCH(F650,WP!$B:$B,0),7)</f>
        <v>17</v>
      </c>
      <c r="N649" s="202" t="str">
        <f ca="1">IFERROR(_xlfn.IMAGE("https://natalie.tf/wp-content/uploads/2023/11/DLV3_Icon_Affinity_"&amp;O649&amp;".png"),"")</f>
        <v/>
      </c>
      <c r="O649" s="203" t="str">
        <f>IF(INDEX(WP!$A:$AN,MATCH(F650,WP!$B:$B,0),8)=0,"None",INDEX(WP!$A:$AN,MATCH(F650,WP!$B:$B,0),8))</f>
        <v>None</v>
      </c>
      <c r="P649" s="8" t="e" vm="769">
        <f>_xlfn.IMAGE("https://natalie.tf/wp-content/uploads/2023/10/DLV3_Icon_Ability_"&amp;INDEX('WP-A'!$A$1:$Z$498,MATCH('WP-Print'!Q649,'WP-A'!$A:$A,0),MATCH("Icon",'WP-A'!$A$1:$Z$1,0))&amp;".png")</f>
        <v>#VALUE!</v>
      </c>
      <c r="Q649" s="231" t="str">
        <f>+INDEX(WP!$A:$AN,MATCH(F650,WP!$B:$B,0),MATCH("Ability",WP!$A$2:$AN$2,0))</f>
        <v>Sleep Res +25%</v>
      </c>
      <c r="R649" s="734" t="str">
        <f>+INDEX(WP!$A:$AN,MATCH(F650,WP!$B:$B,0),MATCH("Obtain From",WP!$A$2:$AN$2,0))</f>
        <v>Clear Melsa's Inkling (Kindness and Captivity)</v>
      </c>
    </row>
    <row r="650" spans="1:18" ht="22.5" customHeight="1" x14ac:dyDescent="0.2">
      <c r="A650" s="204" t="str">
        <f>TEXT(A647+1,"000")</f>
        <v>216</v>
      </c>
      <c r="B650" s="729"/>
      <c r="C650" s="8"/>
      <c r="D650" s="729"/>
      <c r="E650" s="8"/>
      <c r="F650" s="200" t="str">
        <f>"WP-"&amp;A650</f>
        <v>WP-216</v>
      </c>
      <c r="G650" s="200">
        <f>+INDEX(WP!$A:$AN,MATCH(F650,WP!$B:$B,0),MATCH("ID",WP!$A$2:$AN$2,0))</f>
        <v>400102</v>
      </c>
      <c r="I650" s="8"/>
      <c r="J650" s="180" t="s">
        <v>10762</v>
      </c>
      <c r="K650" s="201">
        <f>+INDEX(WP!$A:$AN,MATCH(F650,WP!$B:$B,0),14)</f>
        <v>4</v>
      </c>
      <c r="L650" s="202">
        <f>+INDEX(WP!$A:$AN,MATCH(F650,WP!$B:$B,0),15)</f>
        <v>130</v>
      </c>
      <c r="M650" s="202">
        <f>+INDEX(WP!$A:$AN,MATCH(F650,WP!$B:$B,0),16)</f>
        <v>80</v>
      </c>
      <c r="N650" s="202" t="e" vm="339">
        <f>IFERROR(_xlfn.IMAGE("https://natalie.tf/wp-content/uploads/2023/11/DLV3_Icon_Affinity_"&amp;O650&amp;".png"),"")</f>
        <v>#VALUE!</v>
      </c>
      <c r="O650" s="203" t="str">
        <f>+INDEX(WP!$A:$AN,MATCH(F650,WP!$B:$B,0),17)</f>
        <v>Sword</v>
      </c>
      <c r="P650" s="8" t="e" vm="769">
        <f>_xlfn.IMAGE("https://natalie.tf/wp-content/uploads/2023/10/DLV3_Icon_Ability_"&amp;INDEX('WP-A'!$A$1:$Z$498,MATCH('WP-Print'!Q650,'WP-A'!$A:$A,0),MATCH("Icon",'WP-A'!$A$1:$Z$1,0))&amp;".png")</f>
        <v>#VALUE!</v>
      </c>
      <c r="Q650" s="231" t="str">
        <f>+INDEX(WP!$A:$AN,MATCH(F650,WP!$B:$B,0),MATCH("Ability V3",WP!$A$2:$AN$2,0))</f>
        <v>Sleep Res +100%</v>
      </c>
      <c r="R650" s="735"/>
    </row>
    <row r="651" spans="1:18" ht="7.5" customHeight="1" x14ac:dyDescent="0.2">
      <c r="A651" t="s">
        <v>10763</v>
      </c>
    </row>
    <row r="652" spans="1:18" ht="22.5" customHeight="1" x14ac:dyDescent="0.2">
      <c r="B652" s="729" t="e" vm="772">
        <f>_xlfn.IMAGE("https://natalie.tf/wp-content/uploads/2023/10/DLV3_Icon_WP_"&amp;G653&amp;"_01.png")</f>
        <v>#VALUE!</v>
      </c>
      <c r="D652" s="730" t="e" vm="773">
        <f>_xlfn.IMAGE("https://natalie.tf/wp-content/uploads/2023/10/DLV3_Icon_WP_"&amp;G653&amp;"_02.png")</f>
        <v>#VALUE!</v>
      </c>
      <c r="F652" s="717" t="str">
        <f>+INDEX(WP!$A:$AN,MATCH(F653,WP!$B:$B,0),MATCH("Name",WP!$A$2:$AN$2,0))</f>
        <v>Fresh Perspective</v>
      </c>
      <c r="G652" s="718"/>
      <c r="H652" s="719"/>
      <c r="J652" s="180" t="s">
        <v>10761</v>
      </c>
      <c r="K652" s="201">
        <f>+INDEX(WP!$A:$AN,MATCH(F653,WP!$B:$B,0),5)</f>
        <v>4</v>
      </c>
      <c r="L652" s="202">
        <f>+INDEX(WP!$A:$AN,MATCH(F653,WP!$B:$B,0),6)</f>
        <v>70</v>
      </c>
      <c r="M652" s="202">
        <f>+INDEX(WP!$A:$AN,MATCH(F653,WP!$B:$B,0),7)</f>
        <v>26</v>
      </c>
      <c r="N652" s="202" t="e" vm="352">
        <f>IFERROR(_xlfn.IMAGE("https://natalie.tf/wp-content/uploads/2023/11/DLV3_Icon_Affinity_"&amp;O652&amp;".png"),"")</f>
        <v>#VALUE!</v>
      </c>
      <c r="O652" s="203" t="str">
        <f>IF(INDEX(WP!$A:$AN,MATCH(F653,WP!$B:$B,0),8)=0,"None",INDEX(WP!$A:$AN,MATCH(F653,WP!$B:$B,0),8))</f>
        <v>Fish</v>
      </c>
      <c r="P652" s="8" t="e" vm="7">
        <f>_xlfn.IMAGE("https://natalie.tf/wp-content/uploads/2023/10/DLV3_Icon_Ability_"&amp;INDEX('WP-A'!$A$1:$Z$498,MATCH('WP-Print'!Q652,'WP-A'!$A:$A,0),MATCH("Icon",'WP-A'!$A$1:$Z$1,0))&amp;".png")</f>
        <v>#VALUE!</v>
      </c>
      <c r="Q652" s="231" t="str">
        <f>+INDEX(WP!$A:$AN,MATCH(F653,WP!$B:$B,0),MATCH("Ability",WP!$A$2:$AN$2,0))</f>
        <v>Force Strike +40%</v>
      </c>
      <c r="R652" s="734" t="str">
        <f>+INDEX(WP!$A:$AN,MATCH(F653,WP!$B:$B,0),MATCH("Obtain From",WP!$A$2:$AN$2,0))</f>
        <v>Clear Fiend Alert!: Standard (A Wish to the Winds)</v>
      </c>
    </row>
    <row r="653" spans="1:18" ht="22.5" customHeight="1" x14ac:dyDescent="0.2">
      <c r="A653" s="204" t="str">
        <f>TEXT(A650+1,"000")</f>
        <v>217</v>
      </c>
      <c r="B653" s="729"/>
      <c r="C653" s="8"/>
      <c r="D653" s="729"/>
      <c r="E653" s="8"/>
      <c r="F653" s="200" t="str">
        <f>"WP-"&amp;A653</f>
        <v>WP-217</v>
      </c>
      <c r="G653" s="200">
        <f>+INDEX(WP!$A:$AN,MATCH(F653,WP!$B:$B,0),MATCH("ID",WP!$A$2:$AN$2,0))</f>
        <v>400105</v>
      </c>
      <c r="I653" s="8"/>
      <c r="J653" s="180" t="s">
        <v>10762</v>
      </c>
      <c r="K653" s="201">
        <f>+INDEX(WP!$A:$AN,MATCH(F653,WP!$B:$B,0),14)</f>
        <v>4</v>
      </c>
      <c r="L653" s="202">
        <f>+INDEX(WP!$A:$AN,MATCH(F653,WP!$B:$B,0),15)</f>
        <v>130</v>
      </c>
      <c r="M653" s="202">
        <f>+INDEX(WP!$A:$AN,MATCH(F653,WP!$B:$B,0),16)</f>
        <v>80</v>
      </c>
      <c r="N653" s="202" t="e" vm="352">
        <f>IFERROR(_xlfn.IMAGE("https://natalie.tf/wp-content/uploads/2023/11/DLV3_Icon_Affinity_"&amp;O653&amp;".png"),"")</f>
        <v>#VALUE!</v>
      </c>
      <c r="O653" s="203" t="str">
        <f>+INDEX(WP!$A:$AN,MATCH(F653,WP!$B:$B,0),17)</f>
        <v>Fish</v>
      </c>
      <c r="P653" s="8" t="e" vm="7">
        <f>_xlfn.IMAGE("https://natalie.tf/wp-content/uploads/2023/10/DLV3_Icon_Ability_"&amp;INDEX('WP-A'!$A$1:$Z$498,MATCH('WP-Print'!Q653,'WP-A'!$A:$A,0),MATCH("Icon",'WP-A'!$A$1:$Z$1,0))&amp;".png")</f>
        <v>#VALUE!</v>
      </c>
      <c r="Q653" s="231" t="str">
        <f>+INDEX(WP!$A:$AN,MATCH(F653,WP!$B:$B,0),MATCH("Ability V3",WP!$A$2:$AN$2,0))</f>
        <v>Force Strike +40%</v>
      </c>
      <c r="R653" s="735"/>
    </row>
    <row r="654" spans="1:18" ht="7.5" customHeight="1" x14ac:dyDescent="0.2">
      <c r="A654" t="s">
        <v>10763</v>
      </c>
    </row>
    <row r="655" spans="1:18" ht="22.5" customHeight="1" x14ac:dyDescent="0.2">
      <c r="B655" s="729" t="e" vm="774">
        <f>_xlfn.IMAGE("https://natalie.tf/wp-content/uploads/2023/10/DLV3_Icon_WP_"&amp;G656&amp;"_01.png")</f>
        <v>#VALUE!</v>
      </c>
      <c r="D655" s="730" t="e" vm="775">
        <f>_xlfn.IMAGE("https://natalie.tf/wp-content/uploads/2023/10/DLV3_Icon_WP_"&amp;G656&amp;"_02.png")</f>
        <v>#VALUE!</v>
      </c>
      <c r="F655" s="717" t="str">
        <f>+INDEX(WP!$A:$AN,MATCH(F656,WP!$B:$B,0),MATCH("Name",WP!$A$2:$AN$2,0))</f>
        <v>Kicking Back</v>
      </c>
      <c r="G655" s="718"/>
      <c r="H655" s="719"/>
      <c r="J655" s="180" t="s">
        <v>10761</v>
      </c>
      <c r="K655" s="201">
        <f>+INDEX(WP!$A:$AN,MATCH(F656,WP!$B:$B,0),5)</f>
        <v>4</v>
      </c>
      <c r="L655" s="202">
        <f>+INDEX(WP!$A:$AN,MATCH(F656,WP!$B:$B,0),6)</f>
        <v>73</v>
      </c>
      <c r="M655" s="202">
        <f>+INDEX(WP!$A:$AN,MATCH(F656,WP!$B:$B,0),7)</f>
        <v>22</v>
      </c>
      <c r="N655" s="202" t="e" vm="367">
        <f>IFERROR(_xlfn.IMAGE("https://natalie.tf/wp-content/uploads/2023/11/DLV3_Icon_Affinity_"&amp;O655&amp;".png"),"")</f>
        <v>#VALUE!</v>
      </c>
      <c r="O655" s="203" t="str">
        <f>IF(INDEX(WP!$A:$AN,MATCH(F656,WP!$B:$B,0),8)=0,"None",INDEX(WP!$A:$AN,MATCH(F656,WP!$B:$B,0),8))</f>
        <v>Spider</v>
      </c>
      <c r="P655" s="8" t="e" vm="326">
        <f>_xlfn.IMAGE("https://natalie.tf/wp-content/uploads/2023/10/DLV3_Icon_Ability_"&amp;INDEX('WP-A'!$A$1:$Z$498,MATCH('WP-Print'!Q655,'WP-A'!$A:$A,0),MATCH("Icon",'WP-A'!$A$1:$Z$1,0))&amp;".png")</f>
        <v>#VALUE!</v>
      </c>
      <c r="Q655" s="231" t="str">
        <f>+INDEX(WP!$A:$AN,MATCH(F656,WP!$B:$B,0),MATCH("Ability",WP!$A$2:$AN$2,0))</f>
        <v>(Light) Critical Rate +8%</v>
      </c>
      <c r="R655" s="734" t="str">
        <f>+INDEX(WP!$A:$AN,MATCH(F656,WP!$B:$B,0),MATCH("Obtain From",WP!$A$2:$AN$2,0))</f>
        <v>Clear Lightsunder Ruins: Expert (Elemental Ruins)</v>
      </c>
    </row>
    <row r="656" spans="1:18" ht="22.5" customHeight="1" x14ac:dyDescent="0.2">
      <c r="A656" s="204" t="str">
        <f>TEXT(A653+1,"000")</f>
        <v>218</v>
      </c>
      <c r="B656" s="729"/>
      <c r="C656" s="8"/>
      <c r="D656" s="729"/>
      <c r="E656" s="8"/>
      <c r="F656" s="200" t="str">
        <f>"WP-"&amp;A656</f>
        <v>WP-218</v>
      </c>
      <c r="G656" s="200">
        <f>+INDEX(WP!$A:$AN,MATCH(F656,WP!$B:$B,0),MATCH("ID",WP!$A$2:$AN$2,0))</f>
        <v>400112</v>
      </c>
      <c r="I656" s="8"/>
      <c r="J656" s="180" t="s">
        <v>10762</v>
      </c>
      <c r="K656" s="201">
        <f>+INDEX(WP!$A:$AN,MATCH(F656,WP!$B:$B,0),14)</f>
        <v>4</v>
      </c>
      <c r="L656" s="202">
        <f>+INDEX(WP!$A:$AN,MATCH(F656,WP!$B:$B,0),15)</f>
        <v>130</v>
      </c>
      <c r="M656" s="202">
        <f>+INDEX(WP!$A:$AN,MATCH(F656,WP!$B:$B,0),16)</f>
        <v>80</v>
      </c>
      <c r="N656" s="202" t="e" vm="367">
        <f>IFERROR(_xlfn.IMAGE("https://natalie.tf/wp-content/uploads/2023/11/DLV3_Icon_Affinity_"&amp;O656&amp;".png"),"")</f>
        <v>#VALUE!</v>
      </c>
      <c r="O656" s="203" t="str">
        <f>+INDEX(WP!$A:$AN,MATCH(F656,WP!$B:$B,0),17)</f>
        <v>Spider</v>
      </c>
      <c r="P656" s="8" t="e" vm="326">
        <f>_xlfn.IMAGE("https://natalie.tf/wp-content/uploads/2023/10/DLV3_Icon_Ability_"&amp;INDEX('WP-A'!$A$1:$Z$498,MATCH('WP-Print'!Q656,'WP-A'!$A:$A,0),MATCH("Icon",'WP-A'!$A$1:$Z$1,0))&amp;".png")</f>
        <v>#VALUE!</v>
      </c>
      <c r="Q656" s="231" t="str">
        <f>+INDEX(WP!$A:$AN,MATCH(F656,WP!$B:$B,0),MATCH("Ability V3",WP!$A$2:$AN$2,0))</f>
        <v>(Light) Critical Rate +10%</v>
      </c>
      <c r="R656" s="735"/>
    </row>
    <row r="657" spans="1:18" ht="7.5" customHeight="1" x14ac:dyDescent="0.2">
      <c r="A657" t="s">
        <v>10763</v>
      </c>
    </row>
    <row r="658" spans="1:18" ht="22.5" customHeight="1" x14ac:dyDescent="0.2">
      <c r="B658" s="729" t="e" vm="776">
        <f>_xlfn.IMAGE("https://natalie.tf/wp-content/uploads/2023/10/DLV3_Icon_WP_"&amp;G659&amp;"_01.png")</f>
        <v>#VALUE!</v>
      </c>
      <c r="D658" s="730" t="e" vm="777">
        <f>_xlfn.IMAGE("https://natalie.tf/wp-content/uploads/2023/10/DLV3_Icon_WP_"&amp;G659&amp;"_02.png")</f>
        <v>#VALUE!</v>
      </c>
      <c r="F658" s="717" t="str">
        <f>+INDEX(WP!$A:$AN,MATCH(F659,WP!$B:$B,0),MATCH("Name",WP!$A$2:$AN$2,0))</f>
        <v>As the Snow Falls</v>
      </c>
      <c r="G658" s="718"/>
      <c r="H658" s="719"/>
      <c r="J658" s="180" t="s">
        <v>10761</v>
      </c>
      <c r="K658" s="201">
        <f>+INDEX(WP!$A:$AN,MATCH(F659,WP!$B:$B,0),5)</f>
        <v>4</v>
      </c>
      <c r="L658" s="202">
        <f>+INDEX(WP!$A:$AN,MATCH(F659,WP!$B:$B,0),6)</f>
        <v>61</v>
      </c>
      <c r="M658" s="202">
        <f>+INDEX(WP!$A:$AN,MATCH(F659,WP!$B:$B,0),7)</f>
        <v>17</v>
      </c>
      <c r="N658" s="202" t="str">
        <f ca="1">IFERROR(_xlfn.IMAGE("https://natalie.tf/wp-content/uploads/2023/11/DLV3_Icon_Affinity_"&amp;O658&amp;".png"),"")</f>
        <v/>
      </c>
      <c r="O658" s="203" t="str">
        <f>IF(INDEX(WP!$A:$AN,MATCH(F659,WP!$B:$B,0),8)=0,"None",INDEX(WP!$A:$AN,MATCH(F659,WP!$B:$B,0),8))</f>
        <v>None</v>
      </c>
      <c r="P658" s="8" t="e" vm="421">
        <f>_xlfn.IMAGE("https://natalie.tf/wp-content/uploads/2023/10/DLV3_Icon_Ability_"&amp;INDEX('WP-A'!$A$1:$Z$498,MATCH('WP-Print'!Q658,'WP-A'!$A:$A,0),MATCH("Icon",'WP-A'!$A$1:$Z$1,0))&amp;".png")</f>
        <v>#VALUE!</v>
      </c>
      <c r="Q658" s="231" t="str">
        <f>+INDEX(WP!$A:$AN,MATCH(F659,WP!$B:$B,0),MATCH("Ability",WP!$A$2:$AN$2,0))</f>
        <v>Curse Res +25%</v>
      </c>
      <c r="R658" s="734" t="str">
        <f>+INDEX(WP!$A:$AN,MATCH(F659,WP!$B:$B,0),MATCH("Obtain From",WP!$A$2:$AN$2,0))</f>
        <v>Clear Forward Without Hesitation (Resplendent Refrain)</v>
      </c>
    </row>
    <row r="659" spans="1:18" ht="22.5" customHeight="1" x14ac:dyDescent="0.2">
      <c r="A659" s="204" t="str">
        <f>TEXT(A656+1,"000")</f>
        <v>219</v>
      </c>
      <c r="B659" s="729"/>
      <c r="C659" s="8"/>
      <c r="D659" s="729"/>
      <c r="E659" s="8"/>
      <c r="F659" s="200" t="str">
        <f>"WP-"&amp;A659</f>
        <v>WP-219</v>
      </c>
      <c r="G659" s="200">
        <f>+INDEX(WP!$A:$AN,MATCH(F659,WP!$B:$B,0),MATCH("ID",WP!$A$2:$AN$2,0))</f>
        <v>400114</v>
      </c>
      <c r="I659" s="8"/>
      <c r="J659" s="180" t="s">
        <v>10762</v>
      </c>
      <c r="K659" s="201">
        <f>+INDEX(WP!$A:$AN,MATCH(F659,WP!$B:$B,0),14)</f>
        <v>4</v>
      </c>
      <c r="L659" s="202">
        <f>+INDEX(WP!$A:$AN,MATCH(F659,WP!$B:$B,0),15)</f>
        <v>130</v>
      </c>
      <c r="M659" s="202">
        <f>+INDEX(WP!$A:$AN,MATCH(F659,WP!$B:$B,0),16)</f>
        <v>80</v>
      </c>
      <c r="N659" s="202" t="e" vm="337">
        <f>IFERROR(_xlfn.IMAGE("https://natalie.tf/wp-content/uploads/2023/11/DLV3_Icon_Affinity_"&amp;O659&amp;".png"),"")</f>
        <v>#VALUE!</v>
      </c>
      <c r="O659" s="203" t="str">
        <f>+INDEX(WP!$A:$AN,MATCH(F659,WP!$B:$B,0),17)</f>
        <v>Serpent</v>
      </c>
      <c r="P659" s="8" t="e" vm="548">
        <f>_xlfn.IMAGE("https://natalie.tf/wp-content/uploads/2023/10/DLV3_Icon_Ability_"&amp;INDEX('WP-A'!$A$1:$Z$498,MATCH('WP-Print'!Q659,'WP-A'!$A:$A,0),MATCH("Icon",'WP-A'!$A$1:$Z$1,0))&amp;".png")</f>
        <v>#VALUE!</v>
      </c>
      <c r="Q659" s="231" t="str">
        <f>+INDEX(WP!$A:$AN,MATCH(F659,WP!$B:$B,0),MATCH("Ability V3",WP!$A$2:$AN$2,0))</f>
        <v>Paralyzed Punisher +25%</v>
      </c>
      <c r="R659" s="735"/>
    </row>
    <row r="660" spans="1:18" ht="7.5" customHeight="1" x14ac:dyDescent="0.2">
      <c r="A660" t="s">
        <v>10763</v>
      </c>
    </row>
    <row r="661" spans="1:18" ht="22.5" customHeight="1" x14ac:dyDescent="0.2">
      <c r="B661" s="729" t="e" vm="778">
        <f>_xlfn.IMAGE("https://natalie.tf/wp-content/uploads/2023/10/DLV3_Icon_WP_"&amp;G662&amp;"_01.png")</f>
        <v>#VALUE!</v>
      </c>
      <c r="D661" s="730" t="e" vm="779">
        <f>_xlfn.IMAGE("https://natalie.tf/wp-content/uploads/2023/10/DLV3_Icon_WP_"&amp;G662&amp;"_02.png")</f>
        <v>#VALUE!</v>
      </c>
      <c r="F661" s="717" t="str">
        <f>+INDEX(WP!$A:$AN,MATCH(F662,WP!$B:$B,0),MATCH("Name",WP!$A$2:$AN$2,0))</f>
        <v>Saintly Delivery</v>
      </c>
      <c r="G661" s="718"/>
      <c r="H661" s="719"/>
      <c r="J661" s="180" t="s">
        <v>10761</v>
      </c>
      <c r="K661" s="201">
        <f>+INDEX(WP!$A:$AN,MATCH(F662,WP!$B:$B,0),5)</f>
        <v>4</v>
      </c>
      <c r="L661" s="202">
        <f>+INDEX(WP!$A:$AN,MATCH(F662,WP!$B:$B,0),6)</f>
        <v>75</v>
      </c>
      <c r="M661" s="202">
        <f>+INDEX(WP!$A:$AN,MATCH(F662,WP!$B:$B,0),7)</f>
        <v>21</v>
      </c>
      <c r="N661" s="202" t="str">
        <f ca="1">IFERROR(_xlfn.IMAGE("https://natalie.tf/wp-content/uploads/2023/11/DLV3_Icon_Affinity_"&amp;O661&amp;".png"),"")</f>
        <v/>
      </c>
      <c r="O661" s="203" t="str">
        <f>IF(INDEX(WP!$A:$AN,MATCH(F662,WP!$B:$B,0),8)=0,"None",INDEX(WP!$A:$AN,MATCH(F662,WP!$B:$B,0),8))</f>
        <v>None</v>
      </c>
      <c r="P661" s="8" t="e" vm="720">
        <f>_xlfn.IMAGE("https://natalie.tf/wp-content/uploads/2023/10/DLV3_Icon_Ability_"&amp;INDEX('WP-A'!$A$1:$Z$498,MATCH('WP-Print'!Q661,'WP-A'!$A:$A,0),MATCH("Icon",'WP-A'!$A$1:$Z$1,0))&amp;".png")</f>
        <v>#VALUE!</v>
      </c>
      <c r="Q661" s="231" t="str">
        <f>+INDEX(WP!$A:$AN,MATCH(F662,WP!$B:$B,0),MATCH("Ability",WP!$A$2:$AN$2,0))</f>
        <v>Stun Res +50%</v>
      </c>
      <c r="R661" s="734" t="str">
        <f>+INDEX(WP!$A:$AN,MATCH(F662,WP!$B:$B,0),MATCH("Obtain From",WP!$A$2:$AN$2,0))</f>
        <v>Read Episode 5 of the Event Story (The Miracle of Dragonyule)</v>
      </c>
    </row>
    <row r="662" spans="1:18" ht="22.5" customHeight="1" x14ac:dyDescent="0.2">
      <c r="A662" s="204" t="str">
        <f>TEXT(A659+1,"000")</f>
        <v>220</v>
      </c>
      <c r="B662" s="729"/>
      <c r="C662" s="8"/>
      <c r="D662" s="729"/>
      <c r="E662" s="8"/>
      <c r="F662" s="200" t="str">
        <f>"WP-"&amp;A662</f>
        <v>WP-220</v>
      </c>
      <c r="G662" s="200">
        <f>+INDEX(WP!$A:$AN,MATCH(F662,WP!$B:$B,0),MATCH("ID",WP!$A$2:$AN$2,0))</f>
        <v>400116</v>
      </c>
      <c r="I662" s="8"/>
      <c r="J662" s="180" t="s">
        <v>10762</v>
      </c>
      <c r="K662" s="201">
        <f>+INDEX(WP!$A:$AN,MATCH(F662,WP!$B:$B,0),14)</f>
        <v>4</v>
      </c>
      <c r="L662" s="202">
        <f>+INDEX(WP!$A:$AN,MATCH(F662,WP!$B:$B,0),15)</f>
        <v>130</v>
      </c>
      <c r="M662" s="202">
        <f>+INDEX(WP!$A:$AN,MATCH(F662,WP!$B:$B,0),16)</f>
        <v>80</v>
      </c>
      <c r="N662" s="202" t="e" vm="344">
        <f>IFERROR(_xlfn.IMAGE("https://natalie.tf/wp-content/uploads/2023/11/DLV3_Icon_Affinity_"&amp;O662&amp;".png"),"")</f>
        <v>#VALUE!</v>
      </c>
      <c r="O662" s="203" t="str">
        <f>+INDEX(WP!$A:$AN,MATCH(F662,WP!$B:$B,0),17)</f>
        <v>Eagle</v>
      </c>
      <c r="P662" s="8" t="e" vm="720">
        <f>_xlfn.IMAGE("https://natalie.tf/wp-content/uploads/2023/10/DLV3_Icon_Ability_"&amp;INDEX('WP-A'!$A$1:$Z$498,MATCH('WP-Print'!Q662,'WP-A'!$A:$A,0),MATCH("Icon",'WP-A'!$A$1:$Z$1,0))&amp;".png")</f>
        <v>#VALUE!</v>
      </c>
      <c r="Q662" s="231" t="str">
        <f>+INDEX(WP!$A:$AN,MATCH(F662,WP!$B:$B,0),MATCH("Ability V3",WP!$A$2:$AN$2,0))</f>
        <v>Stun Res +100%</v>
      </c>
      <c r="R662" s="735"/>
    </row>
    <row r="663" spans="1:18" ht="7.5" customHeight="1" x14ac:dyDescent="0.2">
      <c r="A663" t="s">
        <v>10763</v>
      </c>
    </row>
    <row r="664" spans="1:18" ht="22.5" customHeight="1" x14ac:dyDescent="0.2">
      <c r="B664" s="729" t="e" vm="780">
        <f>_xlfn.IMAGE("https://natalie.tf/wp-content/uploads/2023/10/DLV3_Icon_WP_"&amp;G665&amp;"_01.png")</f>
        <v>#VALUE!</v>
      </c>
      <c r="D664" s="730" t="e" vm="781">
        <f>_xlfn.IMAGE("https://natalie.tf/wp-content/uploads/2023/10/DLV3_Icon_WP_"&amp;G665&amp;"_02.png")</f>
        <v>#VALUE!</v>
      </c>
      <c r="F664" s="717" t="str">
        <f>+INDEX(WP!$A:$AN,MATCH(F665,WP!$B:$B,0),MATCH("Name",WP!$A$2:$AN$2,0))</f>
        <v>Hanetsuki Rally</v>
      </c>
      <c r="G664" s="718"/>
      <c r="H664" s="719"/>
      <c r="J664" s="180" t="s">
        <v>10761</v>
      </c>
      <c r="K664" s="201">
        <f>+INDEX(WP!$A:$AN,MATCH(F665,WP!$B:$B,0),5)</f>
        <v>4</v>
      </c>
      <c r="L664" s="202">
        <f>+INDEX(WP!$A:$AN,MATCH(F665,WP!$B:$B,0),6)</f>
        <v>71</v>
      </c>
      <c r="M664" s="202">
        <f>+INDEX(WP!$A:$AN,MATCH(F665,WP!$B:$B,0),7)</f>
        <v>25</v>
      </c>
      <c r="N664" s="202" t="e" vm="340">
        <f>IFERROR(_xlfn.IMAGE("https://natalie.tf/wp-content/uploads/2023/11/DLV3_Icon_Affinity_"&amp;O664&amp;".png"),"")</f>
        <v>#VALUE!</v>
      </c>
      <c r="O664" s="203" t="str">
        <f>IF(INDEX(WP!$A:$AN,MATCH(F665,WP!$B:$B,0),8)=0,"None",INDEX(WP!$A:$AN,MATCH(F665,WP!$B:$B,0),8))</f>
        <v>Lance</v>
      </c>
      <c r="P664" s="8" t="e" vm="14">
        <f>_xlfn.IMAGE("https://natalie.tf/wp-content/uploads/2023/10/DLV3_Icon_Ability_"&amp;INDEX('WP-A'!$A$1:$Z$498,MATCH('WP-Print'!Q664,'WP-A'!$A:$A,0),MATCH("Icon",'WP-A'!$A$1:$Z$1,0))&amp;".png")</f>
        <v>#VALUE!</v>
      </c>
      <c r="Q664" s="231" t="str">
        <f>+INDEX(WP!$A:$AN,MATCH(F665,WP!$B:$B,0),MATCH("Ability",WP!$A$2:$AN$2,0))</f>
        <v>Last Offense +40%</v>
      </c>
      <c r="R664" s="734" t="str">
        <f>+INDEX(WP!$A:$AN,MATCH(F665,WP!$B:$B,0),MATCH("Obtain From",WP!$A$2:$AN$2,0))</f>
        <v>Clear Shishimai Showdown: Expert (Fortune from Afar)</v>
      </c>
    </row>
    <row r="665" spans="1:18" ht="22.5" customHeight="1" x14ac:dyDescent="0.2">
      <c r="A665" s="204" t="str">
        <f>TEXT(A662+1,"000")</f>
        <v>221</v>
      </c>
      <c r="B665" s="729"/>
      <c r="C665" s="8"/>
      <c r="D665" s="729"/>
      <c r="E665" s="8"/>
      <c r="F665" s="200" t="str">
        <f>"WP-"&amp;A665</f>
        <v>WP-221</v>
      </c>
      <c r="G665" s="200">
        <f>+INDEX(WP!$A:$AN,MATCH(F665,WP!$B:$B,0),MATCH("ID",WP!$A$2:$AN$2,0))</f>
        <v>400126</v>
      </c>
      <c r="I665" s="8"/>
      <c r="J665" s="180" t="s">
        <v>10762</v>
      </c>
      <c r="K665" s="201">
        <f>+INDEX(WP!$A:$AN,MATCH(F665,WP!$B:$B,0),14)</f>
        <v>4</v>
      </c>
      <c r="L665" s="202">
        <f>+INDEX(WP!$A:$AN,MATCH(F665,WP!$B:$B,0),15)</f>
        <v>130</v>
      </c>
      <c r="M665" s="202">
        <f>+INDEX(WP!$A:$AN,MATCH(F665,WP!$B:$B,0),16)</f>
        <v>80</v>
      </c>
      <c r="N665" s="202" t="e" vm="340">
        <f>IFERROR(_xlfn.IMAGE("https://natalie.tf/wp-content/uploads/2023/11/DLV3_Icon_Affinity_"&amp;O665&amp;".png"),"")</f>
        <v>#VALUE!</v>
      </c>
      <c r="O665" s="203" t="str">
        <f>+INDEX(WP!$A:$AN,MATCH(F665,WP!$B:$B,0),17)</f>
        <v>Lance</v>
      </c>
      <c r="P665" s="8" t="e" vm="14">
        <f>_xlfn.IMAGE("https://natalie.tf/wp-content/uploads/2023/10/DLV3_Icon_Ability_"&amp;INDEX('WP-A'!$A$1:$Z$498,MATCH('WP-Print'!Q665,'WP-A'!$A:$A,0),MATCH("Icon",'WP-A'!$A$1:$Z$1,0))&amp;".png")</f>
        <v>#VALUE!</v>
      </c>
      <c r="Q665" s="231" t="str">
        <f>+INDEX(WP!$A:$AN,MATCH(F665,WP!$B:$B,0),MATCH("Ability V3",WP!$A$2:$AN$2,0))</f>
        <v>Last Offense +50%</v>
      </c>
      <c r="R665" s="735"/>
    </row>
    <row r="666" spans="1:18" ht="7.5" customHeight="1" x14ac:dyDescent="0.2">
      <c r="A666" t="s">
        <v>10763</v>
      </c>
    </row>
    <row r="667" spans="1:18" ht="22.5" customHeight="1" x14ac:dyDescent="0.2">
      <c r="B667" s="729" t="e" vm="782">
        <f>_xlfn.IMAGE("https://natalie.tf/wp-content/uploads/2023/10/DLV3_Icon_WP_"&amp;G668&amp;"_01.png")</f>
        <v>#VALUE!</v>
      </c>
      <c r="D667" s="730" t="e" vm="783">
        <f>_xlfn.IMAGE("https://natalie.tf/wp-content/uploads/2023/10/DLV3_Icon_WP_"&amp;G668&amp;"_02.png")</f>
        <v>#VALUE!</v>
      </c>
      <c r="F667" s="717" t="str">
        <f>+INDEX(WP!$A:$AN,MATCH(F668,WP!$B:$B,0),MATCH("Name",WP!$A$2:$AN$2,0))</f>
        <v>Luck of the Draw</v>
      </c>
      <c r="G667" s="718"/>
      <c r="H667" s="719"/>
      <c r="J667" s="180" t="s">
        <v>10761</v>
      </c>
      <c r="K667" s="201">
        <f>+INDEX(WP!$A:$AN,MATCH(F668,WP!$B:$B,0),5)</f>
        <v>4</v>
      </c>
      <c r="L667" s="202">
        <f>+INDEX(WP!$A:$AN,MATCH(F668,WP!$B:$B,0),6)</f>
        <v>61</v>
      </c>
      <c r="M667" s="202">
        <f>+INDEX(WP!$A:$AN,MATCH(F668,WP!$B:$B,0),7)</f>
        <v>17</v>
      </c>
      <c r="N667" s="202" t="str">
        <f ca="1">IFERROR(_xlfn.IMAGE("https://natalie.tf/wp-content/uploads/2023/11/DLV3_Icon_Affinity_"&amp;O667&amp;".png"),"")</f>
        <v/>
      </c>
      <c r="O667" s="203" t="str">
        <f>IF(INDEX(WP!$A:$AN,MATCH(F668,WP!$B:$B,0),8)=0,"None",INDEX(WP!$A:$AN,MATCH(F668,WP!$B:$B,0),8))</f>
        <v>None</v>
      </c>
      <c r="P667" s="8" t="e" vm="444">
        <f>_xlfn.IMAGE("https://natalie.tf/wp-content/uploads/2023/10/DLV3_Icon_Ability_"&amp;INDEX('WP-A'!$A$1:$Z$498,MATCH('WP-Print'!Q667,'WP-A'!$A:$A,0),MATCH("Icon",'WP-A'!$A$1:$Z$1,0))&amp;".png")</f>
        <v>#VALUE!</v>
      </c>
      <c r="Q667" s="231" t="str">
        <f>+INDEX(WP!$A:$AN,MATCH(F668,WP!$B:$B,0),MATCH("Ability",WP!$A$2:$AN$2,0))</f>
        <v>(Shadow) Buff Skill Time +25%</v>
      </c>
      <c r="R667" s="734" t="str">
        <f>+INDEX(WP!$A:$AN,MATCH(F668,WP!$B:$B,0),MATCH("Obtain From",WP!$A$2:$AN$2,0))</f>
        <v>Clear Field Trip into Town (Fortune from Afar)</v>
      </c>
    </row>
    <row r="668" spans="1:18" ht="22.5" customHeight="1" x14ac:dyDescent="0.2">
      <c r="A668" s="204" t="str">
        <f>TEXT(A665+1,"000")</f>
        <v>222</v>
      </c>
      <c r="B668" s="729"/>
      <c r="C668" s="8"/>
      <c r="D668" s="729"/>
      <c r="E668" s="8"/>
      <c r="F668" s="200" t="str">
        <f>"WP-"&amp;A668</f>
        <v>WP-222</v>
      </c>
      <c r="G668" s="200">
        <f>+INDEX(WP!$A:$AN,MATCH(F668,WP!$B:$B,0),MATCH("ID",WP!$A$2:$AN$2,0))</f>
        <v>400127</v>
      </c>
      <c r="I668" s="8"/>
      <c r="J668" s="180" t="s">
        <v>10762</v>
      </c>
      <c r="K668" s="201">
        <f>+INDEX(WP!$A:$AN,MATCH(F668,WP!$B:$B,0),14)</f>
        <v>4</v>
      </c>
      <c r="L668" s="202">
        <f>+INDEX(WP!$A:$AN,MATCH(F668,WP!$B:$B,0),15)</f>
        <v>130</v>
      </c>
      <c r="M668" s="202">
        <f>+INDEX(WP!$A:$AN,MATCH(F668,WP!$B:$B,0),16)</f>
        <v>80</v>
      </c>
      <c r="N668" s="202" t="e" vm="346">
        <f>IFERROR(_xlfn.IMAGE("https://natalie.tf/wp-content/uploads/2023/11/DLV3_Icon_Affinity_"&amp;O668&amp;".png"),"")</f>
        <v>#VALUE!</v>
      </c>
      <c r="O668" s="203" t="str">
        <f>+INDEX(WP!$A:$AN,MATCH(F668,WP!$B:$B,0),17)</f>
        <v>Bull</v>
      </c>
      <c r="P668" s="8" t="e" vm="444">
        <f>_xlfn.IMAGE("https://natalie.tf/wp-content/uploads/2023/10/DLV3_Icon_Ability_"&amp;INDEX('WP-A'!$A$1:$Z$498,MATCH('WP-Print'!Q668,'WP-A'!$A:$A,0),MATCH("Icon",'WP-A'!$A$1:$Z$1,0))&amp;".png")</f>
        <v>#VALUE!</v>
      </c>
      <c r="Q668" s="231" t="str">
        <f>+INDEX(WP!$A:$AN,MATCH(F668,WP!$B:$B,0),MATCH("Ability V3",WP!$A$2:$AN$2,0))</f>
        <v>(Shadow) Buff Skill Time +25%</v>
      </c>
      <c r="R668" s="735"/>
    </row>
    <row r="669" spans="1:18" ht="7.5" customHeight="1" x14ac:dyDescent="0.2">
      <c r="A669" t="s">
        <v>10763</v>
      </c>
    </row>
    <row r="670" spans="1:18" ht="22.5" customHeight="1" x14ac:dyDescent="0.2">
      <c r="B670" s="729" t="e" vm="784">
        <f>_xlfn.IMAGE("https://natalie.tf/wp-content/uploads/2023/10/DLV3_Icon_WP_"&amp;G671&amp;"_01.png")</f>
        <v>#VALUE!</v>
      </c>
      <c r="D670" s="730" t="e" vm="785">
        <f>_xlfn.IMAGE("https://natalie.tf/wp-content/uploads/2023/10/DLV3_Icon_WP_"&amp;G671&amp;"_02.png")</f>
        <v>#VALUE!</v>
      </c>
      <c r="F670" s="717" t="str">
        <f>+INDEX(WP!$A:$AN,MATCH(F671,WP!$B:$B,0),MATCH("Name",WP!$A$2:$AN$2,0))</f>
        <v>Slow and Steady</v>
      </c>
      <c r="G670" s="718"/>
      <c r="H670" s="719"/>
      <c r="J670" s="180" t="s">
        <v>10761</v>
      </c>
      <c r="K670" s="201">
        <f>+INDEX(WP!$A:$AN,MATCH(F671,WP!$B:$B,0),5)</f>
        <v>4</v>
      </c>
      <c r="L670" s="202">
        <f>+INDEX(WP!$A:$AN,MATCH(F671,WP!$B:$B,0),6)</f>
        <v>78</v>
      </c>
      <c r="M670" s="202">
        <f>+INDEX(WP!$A:$AN,MATCH(F671,WP!$B:$B,0),7)</f>
        <v>19</v>
      </c>
      <c r="N670" s="202" t="str">
        <f ca="1">IFERROR(_xlfn.IMAGE("https://natalie.tf/wp-content/uploads/2023/11/DLV3_Icon_Affinity_"&amp;O670&amp;".png"),"")</f>
        <v/>
      </c>
      <c r="O670" s="203" t="str">
        <f>IF(INDEX(WP!$A:$AN,MATCH(F671,WP!$B:$B,0),8)=0,"None",INDEX(WP!$A:$AN,MATCH(F671,WP!$B:$B,0),8))</f>
        <v>None</v>
      </c>
      <c r="P670" s="8" t="e" vm="729">
        <f>_xlfn.IMAGE("https://natalie.tf/wp-content/uploads/2023/10/DLV3_Icon_Ability_"&amp;INDEX('WP-A'!$A$1:$Z$498,MATCH('WP-Print'!Q670,'WP-A'!$A:$A,0),MATCH("Icon",'WP-A'!$A$1:$Z$1,0))&amp;".png")</f>
        <v>#VALUE!</v>
      </c>
      <c r="Q670" s="231" t="str">
        <f>+INDEX(WP!$A:$AN,MATCH(F671,WP!$B:$B,0),MATCH("Ability",WP!$A$2:$AN$2,0))</f>
        <v>Poison Res +50%</v>
      </c>
      <c r="R670" s="734" t="str">
        <f>+INDEX(WP!$A:$AN,MATCH(F671,WP!$B:$B,0),MATCH("Obtain From",WP!$A$2:$AN$2,0))</f>
        <v>Clear Welcome to the Fiend Circus: Standard (Dream Big Under the Big Top)</v>
      </c>
    </row>
    <row r="671" spans="1:18" ht="22.5" customHeight="1" x14ac:dyDescent="0.2">
      <c r="A671" s="204" t="str">
        <f>TEXT(A668+1,"000")</f>
        <v>223</v>
      </c>
      <c r="B671" s="729"/>
      <c r="C671" s="8"/>
      <c r="D671" s="729"/>
      <c r="E671" s="8"/>
      <c r="F671" s="200" t="str">
        <f>"WP-"&amp;A671</f>
        <v>WP-223</v>
      </c>
      <c r="G671" s="200">
        <f>+INDEX(WP!$A:$AN,MATCH(F671,WP!$B:$B,0),MATCH("ID",WP!$A$2:$AN$2,0))</f>
        <v>400090</v>
      </c>
      <c r="I671" s="8"/>
      <c r="J671" s="180" t="s">
        <v>10762</v>
      </c>
      <c r="K671" s="201">
        <f>+INDEX(WP!$A:$AN,MATCH(F671,WP!$B:$B,0),14)</f>
        <v>4</v>
      </c>
      <c r="L671" s="202">
        <f>+INDEX(WP!$A:$AN,MATCH(F671,WP!$B:$B,0),15)</f>
        <v>130</v>
      </c>
      <c r="M671" s="202">
        <f>+INDEX(WP!$A:$AN,MATCH(F671,WP!$B:$B,0),16)</f>
        <v>80</v>
      </c>
      <c r="N671" s="202" t="e" vm="337">
        <f>IFERROR(_xlfn.IMAGE("https://natalie.tf/wp-content/uploads/2023/11/DLV3_Icon_Affinity_"&amp;O671&amp;".png"),"")</f>
        <v>#VALUE!</v>
      </c>
      <c r="O671" s="203" t="str">
        <f>+INDEX(WP!$A:$AN,MATCH(F671,WP!$B:$B,0),17)</f>
        <v>Serpent</v>
      </c>
      <c r="P671" s="8" t="e" vm="729">
        <f>_xlfn.IMAGE("https://natalie.tf/wp-content/uploads/2023/10/DLV3_Icon_Ability_"&amp;INDEX('WP-A'!$A$1:$Z$498,MATCH('WP-Print'!Q671,'WP-A'!$A:$A,0),MATCH("Icon",'WP-A'!$A$1:$Z$1,0))&amp;".png")</f>
        <v>#VALUE!</v>
      </c>
      <c r="Q671" s="231" t="str">
        <f>+INDEX(WP!$A:$AN,MATCH(F671,WP!$B:$B,0),MATCH("Ability V3",WP!$A$2:$AN$2,0))</f>
        <v>Poison Res +100%</v>
      </c>
      <c r="R671" s="735"/>
    </row>
    <row r="672" spans="1:18" ht="7.5" customHeight="1" x14ac:dyDescent="0.2">
      <c r="A672" t="s">
        <v>10763</v>
      </c>
    </row>
    <row r="673" spans="1:18" ht="22.5" customHeight="1" x14ac:dyDescent="0.2">
      <c r="B673" s="729" t="e" vm="786">
        <f>_xlfn.IMAGE("https://natalie.tf/wp-content/uploads/2023/10/DLV3_Icon_WP_"&amp;G674&amp;"_01.png")</f>
        <v>#VALUE!</v>
      </c>
      <c r="D673" s="730" t="e" vm="787">
        <f>_xlfn.IMAGE("https://natalie.tf/wp-content/uploads/2023/10/DLV3_Icon_WP_"&amp;G674&amp;"_02.png")</f>
        <v>#VALUE!</v>
      </c>
      <c r="F673" s="717" t="str">
        <f>+INDEX(WP!$A:$AN,MATCH(F674,WP!$B:$B,0),MATCH("Name",WP!$A$2:$AN$2,0))</f>
        <v>Lunar Festivities</v>
      </c>
      <c r="G673" s="718"/>
      <c r="H673" s="719"/>
      <c r="J673" s="180" t="s">
        <v>10761</v>
      </c>
      <c r="K673" s="201">
        <f>+INDEX(WP!$A:$AN,MATCH(F674,WP!$B:$B,0),5)</f>
        <v>4</v>
      </c>
      <c r="L673" s="202">
        <f>+INDEX(WP!$A:$AN,MATCH(F674,WP!$B:$B,0),6)</f>
        <v>71</v>
      </c>
      <c r="M673" s="202">
        <f>+INDEX(WP!$A:$AN,MATCH(F674,WP!$B:$B,0),7)</f>
        <v>25</v>
      </c>
      <c r="N673" s="202" t="e" vm="340">
        <f>IFERROR(_xlfn.IMAGE("https://natalie.tf/wp-content/uploads/2023/11/DLV3_Icon_Affinity_"&amp;O673&amp;".png"),"")</f>
        <v>#VALUE!</v>
      </c>
      <c r="O673" s="203" t="str">
        <f>IF(INDEX(WP!$A:$AN,MATCH(F674,WP!$B:$B,0),8)=0,"None",INDEX(WP!$A:$AN,MATCH(F674,WP!$B:$B,0),8))</f>
        <v>Lance</v>
      </c>
      <c r="P673" s="8" t="e" vm="7">
        <f>_xlfn.IMAGE("https://natalie.tf/wp-content/uploads/2023/10/DLV3_Icon_Ability_"&amp;INDEX('WP-A'!$A$1:$Z$498,MATCH('WP-Print'!Q673,'WP-A'!$A:$A,0),MATCH("Icon",'WP-A'!$A$1:$Z$1,0))&amp;".png")</f>
        <v>#VALUE!</v>
      </c>
      <c r="Q673" s="231" t="str">
        <f>+INDEX(WP!$A:$AN,MATCH(F674,WP!$B:$B,0),MATCH("Ability",WP!$A$2:$AN$2,0))</f>
        <v>Force Strike +40%</v>
      </c>
      <c r="R673" s="734" t="str">
        <f>+INDEX(WP!$A:$AN,MATCH(F674,WP!$B:$B,0),MATCH("Obtain From",WP!$A$2:$AN$2,0))</f>
        <v>Clear Bounties for the Brave (Skyborne Spectacle)</v>
      </c>
    </row>
    <row r="674" spans="1:18" ht="22.5" customHeight="1" x14ac:dyDescent="0.2">
      <c r="A674" s="204" t="str">
        <f>TEXT(A671+1,"000")</f>
        <v>224</v>
      </c>
      <c r="B674" s="729"/>
      <c r="C674" s="8"/>
      <c r="D674" s="729"/>
      <c r="E674" s="8"/>
      <c r="F674" s="200" t="str">
        <f>"WP-"&amp;A674</f>
        <v>WP-224</v>
      </c>
      <c r="G674" s="200">
        <f>+INDEX(WP!$A:$AN,MATCH(F674,WP!$B:$B,0),MATCH("ID",WP!$A$2:$AN$2,0))</f>
        <v>400136</v>
      </c>
      <c r="I674" s="8"/>
      <c r="J674" s="180" t="s">
        <v>10762</v>
      </c>
      <c r="K674" s="201">
        <f>+INDEX(WP!$A:$AN,MATCH(F674,WP!$B:$B,0),14)</f>
        <v>4</v>
      </c>
      <c r="L674" s="202">
        <f>+INDEX(WP!$A:$AN,MATCH(F674,WP!$B:$B,0),15)</f>
        <v>130</v>
      </c>
      <c r="M674" s="202">
        <f>+INDEX(WP!$A:$AN,MATCH(F674,WP!$B:$B,0),16)</f>
        <v>80</v>
      </c>
      <c r="N674" s="202" t="e" vm="346">
        <f>IFERROR(_xlfn.IMAGE("https://natalie.tf/wp-content/uploads/2023/11/DLV3_Icon_Affinity_"&amp;O674&amp;".png"),"")</f>
        <v>#VALUE!</v>
      </c>
      <c r="O674" s="203" t="str">
        <f>+INDEX(WP!$A:$AN,MATCH(F674,WP!$B:$B,0),17)</f>
        <v>Bull</v>
      </c>
      <c r="P674" s="8" t="e" vm="7">
        <f>_xlfn.IMAGE("https://natalie.tf/wp-content/uploads/2023/10/DLV3_Icon_Ability_"&amp;INDEX('WP-A'!$A$1:$Z$498,MATCH('WP-Print'!Q674,'WP-A'!$A:$A,0),MATCH("Icon",'WP-A'!$A$1:$Z$1,0))&amp;".png")</f>
        <v>#VALUE!</v>
      </c>
      <c r="Q674" s="231" t="str">
        <f>+INDEX(WP!$A:$AN,MATCH(F674,WP!$B:$B,0),MATCH("Ability V3",WP!$A$2:$AN$2,0))</f>
        <v>Force Strike +40%</v>
      </c>
      <c r="R674" s="735"/>
    </row>
    <row r="675" spans="1:18" ht="22.5" customHeight="1" x14ac:dyDescent="0.2">
      <c r="A675" t="s">
        <v>10763</v>
      </c>
    </row>
    <row r="676" spans="1:18" ht="22.5" customHeight="1" x14ac:dyDescent="0.2">
      <c r="B676" s="729" t="e" vm="788">
        <f>_xlfn.IMAGE("https://natalie.tf/wp-content/uploads/2023/10/DLV3_Icon_WP_"&amp;G677&amp;"_01.png")</f>
        <v>#VALUE!</v>
      </c>
      <c r="D676" s="730" t="e" vm="789">
        <f>_xlfn.IMAGE("https://natalie.tf/wp-content/uploads/2023/10/DLV3_Icon_WP_"&amp;G677&amp;"_02.png")</f>
        <v>#VALUE!</v>
      </c>
      <c r="F676" s="717" t="str">
        <f>+INDEX(WP!$A:$AN,MATCH(F677,WP!$B:$B,0),MATCH("Name",WP!$A$2:$AN$2,0))</f>
        <v>Dragon Dance</v>
      </c>
      <c r="G676" s="718"/>
      <c r="H676" s="719"/>
      <c r="J676" s="180" t="s">
        <v>10761</v>
      </c>
      <c r="K676" s="201">
        <f>+INDEX(WP!$A:$AN,MATCH(F677,WP!$B:$B,0),5)</f>
        <v>4</v>
      </c>
      <c r="L676" s="202">
        <f>+INDEX(WP!$A:$AN,MATCH(F677,WP!$B:$B,0),6)</f>
        <v>61</v>
      </c>
      <c r="M676" s="202">
        <f>+INDEX(WP!$A:$AN,MATCH(F677,WP!$B:$B,0),7)</f>
        <v>17</v>
      </c>
      <c r="N676" s="202" t="str">
        <f ca="1">IFERROR(_xlfn.IMAGE("https://natalie.tf/wp-content/uploads/2023/11/DLV3_Icon_Affinity_"&amp;O676&amp;".png"),"")</f>
        <v/>
      </c>
      <c r="O676" s="203" t="str">
        <f>IF(INDEX(WP!$A:$AN,MATCH(F677,WP!$B:$B,0),8)=0,"None",INDEX(WP!$A:$AN,MATCH(F677,WP!$B:$B,0),8))</f>
        <v>None</v>
      </c>
      <c r="P676" s="8" t="e" vm="491">
        <f>_xlfn.IMAGE("https://natalie.tf/wp-content/uploads/2023/10/DLV3_Icon_Ability_"&amp;INDEX('WP-A'!$A$1:$Z$498,MATCH('WP-Print'!Q676,'WP-A'!$A:$A,0),MATCH("Icon",'WP-A'!$A$1:$Z$1,0))&amp;".png")</f>
        <v>#VALUE!</v>
      </c>
      <c r="Q676" s="231" t="str">
        <f>+INDEX(WP!$A:$AN,MATCH(F677,WP!$B:$B,0),MATCH("Ability",WP!$A$2:$AN$2,0))</f>
        <v>Bog Res +75%</v>
      </c>
      <c r="R676" s="734" t="str">
        <f>+INDEX(WP!$A:$AN,MATCH(F677,WP!$B:$B,0),MATCH("Obtain From",WP!$A$2:$AN$2,0))</f>
        <v>Clear To the Dragon-Vein Spring (Skyborne Spectacle)</v>
      </c>
    </row>
    <row r="677" spans="1:18" ht="22.5" customHeight="1" x14ac:dyDescent="0.2">
      <c r="A677" s="204" t="str">
        <f>TEXT(A674+1,"000")</f>
        <v>225</v>
      </c>
      <c r="B677" s="729"/>
      <c r="C677" s="8"/>
      <c r="D677" s="729"/>
      <c r="E677" s="8"/>
      <c r="F677" s="200" t="str">
        <f>"WP-"&amp;A677</f>
        <v>WP-225</v>
      </c>
      <c r="G677" s="200">
        <f>+INDEX(WP!$A:$AN,MATCH(F677,WP!$B:$B,0),MATCH("ID",WP!$A$2:$AN$2,0))</f>
        <v>400138</v>
      </c>
      <c r="I677" s="8"/>
      <c r="J677" s="180" t="s">
        <v>10762</v>
      </c>
      <c r="K677" s="201">
        <f>+INDEX(WP!$A:$AN,MATCH(F677,WP!$B:$B,0),14)</f>
        <v>4</v>
      </c>
      <c r="L677" s="202">
        <f>+INDEX(WP!$A:$AN,MATCH(F677,WP!$B:$B,0),15)</f>
        <v>130</v>
      </c>
      <c r="M677" s="202">
        <f>+INDEX(WP!$A:$AN,MATCH(F677,WP!$B:$B,0),16)</f>
        <v>80</v>
      </c>
      <c r="N677" s="202" t="e" vm="352">
        <f>IFERROR(_xlfn.IMAGE("https://natalie.tf/wp-content/uploads/2023/11/DLV3_Icon_Affinity_"&amp;O677&amp;".png"),"")</f>
        <v>#VALUE!</v>
      </c>
      <c r="O677" s="203" t="str">
        <f>+INDEX(WP!$A:$AN,MATCH(F677,WP!$B:$B,0),17)</f>
        <v>Fish</v>
      </c>
      <c r="P677" s="8" t="e" vm="334">
        <f>_xlfn.IMAGE("https://natalie.tf/wp-content/uploads/2023/10/DLV3_Icon_Ability_"&amp;INDEX('WP-A'!$A$1:$Z$498,MATCH('WP-Print'!Q677,'WP-A'!$A:$A,0),MATCH("Icon",'WP-A'!$A$1:$Z$1,0))&amp;".png")</f>
        <v>#VALUE!</v>
      </c>
      <c r="Q677" s="231" t="str">
        <f>+INDEX(WP!$A:$AN,MATCH(F677,WP!$B:$B,0),MATCH("Ability V3",WP!$A$2:$AN$2,0))</f>
        <v>Stormlashed Punisher +20%</v>
      </c>
      <c r="R677" s="735"/>
    </row>
    <row r="678" spans="1:18" ht="7.5" customHeight="1" x14ac:dyDescent="0.2">
      <c r="A678" t="s">
        <v>10763</v>
      </c>
    </row>
    <row r="679" spans="1:18" ht="22.5" customHeight="1" x14ac:dyDescent="0.2">
      <c r="B679" s="729" t="e" vm="790">
        <f>_xlfn.IMAGE("https://natalie.tf/wp-content/uploads/2023/10/DLV3_Icon_WP_"&amp;G680&amp;"_01.png")</f>
        <v>#VALUE!</v>
      </c>
      <c r="D679" s="730" t="e" vm="791">
        <f>_xlfn.IMAGE("https://natalie.tf/wp-content/uploads/2023/10/DLV3_Icon_WP_"&amp;G680&amp;"_02.png")</f>
        <v>#VALUE!</v>
      </c>
      <c r="F679" s="717" t="str">
        <f>+INDEX(WP!$A:$AN,MATCH(F680,WP!$B:$B,0),MATCH("Name",WP!$A$2:$AN$2,0))</f>
        <v>Entwined Flames</v>
      </c>
      <c r="G679" s="718"/>
      <c r="H679" s="719"/>
      <c r="J679" s="180" t="s">
        <v>10761</v>
      </c>
      <c r="K679" s="201">
        <f>+INDEX(WP!$A:$AN,MATCH(F680,WP!$B:$B,0),5)</f>
        <v>4</v>
      </c>
      <c r="L679" s="202">
        <f>+INDEX(WP!$A:$AN,MATCH(F680,WP!$B:$B,0),6)</f>
        <v>71</v>
      </c>
      <c r="M679" s="202">
        <f>+INDEX(WP!$A:$AN,MATCH(F680,WP!$B:$B,0),7)</f>
        <v>25</v>
      </c>
      <c r="N679" s="202" t="e" vm="381">
        <f>IFERROR(_xlfn.IMAGE("https://natalie.tf/wp-content/uploads/2023/11/DLV3_Icon_Affinity_"&amp;O679&amp;".png"),"")</f>
        <v>#VALUE!</v>
      </c>
      <c r="O679" s="203" t="str">
        <f>IF(INDEX(WP!$A:$AN,MATCH(F680,WP!$B:$B,0),8)=0,"None",INDEX(WP!$A:$AN,MATCH(F680,WP!$B:$B,0),8))</f>
        <v>Dragon</v>
      </c>
      <c r="P679" s="8" t="e" vm="14">
        <f>_xlfn.IMAGE("https://natalie.tf/wp-content/uploads/2023/10/DLV3_Icon_Ability_"&amp;INDEX('WP-A'!$A$1:$Z$498,MATCH('WP-Print'!Q679,'WP-A'!$A:$A,0),MATCH("Icon",'WP-A'!$A$1:$Z$1,0))&amp;".png")</f>
        <v>#VALUE!</v>
      </c>
      <c r="Q679" s="231" t="str">
        <f>+INDEX(WP!$A:$AN,MATCH(F680,WP!$B:$B,0),MATCH("Ability",WP!$A$2:$AN$2,0))</f>
        <v>Dragon Damage +14%</v>
      </c>
      <c r="R679" s="734" t="str">
        <f>+INDEX(WP!$A:$AN,MATCH(F680,WP!$B:$B,0),MATCH("Obtain From",WP!$A$2:$AN$2,0))</f>
        <v>Obtain From Ch. 16 EX 1 Chest (Very Hard) (Non-Endeavor)</v>
      </c>
    </row>
    <row r="680" spans="1:18" ht="22.5" customHeight="1" x14ac:dyDescent="0.2">
      <c r="A680" s="204" t="str">
        <f>TEXT(A677+1,"000")</f>
        <v>226</v>
      </c>
      <c r="B680" s="729"/>
      <c r="C680" s="8"/>
      <c r="D680" s="729"/>
      <c r="E680" s="8"/>
      <c r="F680" s="200" t="str">
        <f>"WP-"&amp;A680</f>
        <v>WP-226</v>
      </c>
      <c r="G680" s="200">
        <f>+INDEX(WP!$A:$AN,MATCH(F680,WP!$B:$B,0),MATCH("ID",WP!$A$2:$AN$2,0))</f>
        <v>400140</v>
      </c>
      <c r="I680" s="8"/>
      <c r="J680" s="180" t="s">
        <v>10762</v>
      </c>
      <c r="K680" s="201">
        <f>+INDEX(WP!$A:$AN,MATCH(F680,WP!$B:$B,0),14)</f>
        <v>4</v>
      </c>
      <c r="L680" s="202">
        <f>+INDEX(WP!$A:$AN,MATCH(F680,WP!$B:$B,0),15)</f>
        <v>130</v>
      </c>
      <c r="M680" s="202">
        <f>+INDEX(WP!$A:$AN,MATCH(F680,WP!$B:$B,0),16)</f>
        <v>80</v>
      </c>
      <c r="N680" s="202" t="e" vm="381">
        <f>IFERROR(_xlfn.IMAGE("https://natalie.tf/wp-content/uploads/2023/11/DLV3_Icon_Affinity_"&amp;O680&amp;".png"),"")</f>
        <v>#VALUE!</v>
      </c>
      <c r="O680" s="203" t="str">
        <f>+INDEX(WP!$A:$AN,MATCH(F680,WP!$B:$B,0),17)</f>
        <v>Dragon</v>
      </c>
      <c r="P680" s="8" t="e" vm="14">
        <f>_xlfn.IMAGE("https://natalie.tf/wp-content/uploads/2023/10/DLV3_Icon_Ability_"&amp;INDEX('WP-A'!$A$1:$Z$498,MATCH('WP-Print'!Q680,'WP-A'!$A:$A,0),MATCH("Icon",'WP-A'!$A$1:$Z$1,0))&amp;".png")</f>
        <v>#VALUE!</v>
      </c>
      <c r="Q680" s="231" t="str">
        <f>+INDEX(WP!$A:$AN,MATCH(F680,WP!$B:$B,0),MATCH("Ability V3",WP!$A$2:$AN$2,0))</f>
        <v>Dragon Damage +14%</v>
      </c>
      <c r="R680" s="735"/>
    </row>
    <row r="681" spans="1:18" ht="7.5" customHeight="1" x14ac:dyDescent="0.2">
      <c r="A681" t="s">
        <v>10763</v>
      </c>
    </row>
    <row r="682" spans="1:18" ht="22.5" customHeight="1" x14ac:dyDescent="0.2">
      <c r="B682" s="729" t="e" vm="792">
        <f>_xlfn.IMAGE("https://natalie.tf/wp-content/uploads/2023/10/DLV3_Icon_WP_"&amp;G683&amp;"_01.png")</f>
        <v>#VALUE!</v>
      </c>
      <c r="D682" s="730" t="e" vm="793">
        <f>_xlfn.IMAGE("https://natalie.tf/wp-content/uploads/2023/10/DLV3_Icon_WP_"&amp;G683&amp;"_02.png")</f>
        <v>#VALUE!</v>
      </c>
      <c r="F682" s="717" t="str">
        <f>+INDEX(WP!$A:$AN,MATCH(F683,WP!$B:$B,0),MATCH("Name",WP!$A$2:$AN$2,0))</f>
        <v>New World Escort</v>
      </c>
      <c r="G682" s="718"/>
      <c r="H682" s="719"/>
      <c r="J682" s="180" t="s">
        <v>10761</v>
      </c>
      <c r="K682" s="201">
        <f>+INDEX(WP!$A:$AN,MATCH(F683,WP!$B:$B,0),5)</f>
        <v>4</v>
      </c>
      <c r="L682" s="202">
        <f>+INDEX(WP!$A:$AN,MATCH(F683,WP!$B:$B,0),6)</f>
        <v>71</v>
      </c>
      <c r="M682" s="202">
        <f>+INDEX(WP!$A:$AN,MATCH(F683,WP!$B:$B,0),7)</f>
        <v>25</v>
      </c>
      <c r="N682" s="202" t="e" vm="346">
        <f>IFERROR(_xlfn.IMAGE("https://natalie.tf/wp-content/uploads/2023/11/DLV3_Icon_Affinity_"&amp;O682&amp;".png"),"")</f>
        <v>#VALUE!</v>
      </c>
      <c r="O682" s="203" t="str">
        <f>IF(INDEX(WP!$A:$AN,MATCH(F683,WP!$B:$B,0),8)=0,"None",INDEX(WP!$A:$AN,MATCH(F683,WP!$B:$B,0),8))</f>
        <v>Bull</v>
      </c>
      <c r="P682" s="8" t="e" vm="411">
        <f>_xlfn.IMAGE("https://natalie.tf/wp-content/uploads/2023/10/DLV3_Icon_Ability_"&amp;INDEX('WP-A'!$A$1:$Z$498,MATCH('WP-Print'!Q682,'WP-A'!$A:$A,0),MATCH("Icon",'WP-A'!$A$1:$Z$1,0))&amp;".png")</f>
        <v>#VALUE!</v>
      </c>
      <c r="Q682" s="231" t="str">
        <f>+INDEX(WP!$A:$AN,MATCH(F683,WP!$B:$B,0),MATCH("Ability",WP!$A$2:$AN$2,0))</f>
        <v>Skill Prep +25%</v>
      </c>
      <c r="R682" s="734" t="str">
        <f>+INDEX(WP!$A:$AN,MATCH(F683,WP!$B:$B,0),MATCH("Obtain From",WP!$A$2:$AN$2,0))</f>
        <v>Clear Battle at Myriage Lake: Standard (The Imperial Onslaught)</v>
      </c>
    </row>
    <row r="683" spans="1:18" ht="22.5" customHeight="1" x14ac:dyDescent="0.2">
      <c r="A683" s="204" t="str">
        <f>TEXT(A680+1,"000")</f>
        <v>227</v>
      </c>
      <c r="B683" s="729"/>
      <c r="C683" s="8"/>
      <c r="D683" s="730"/>
      <c r="E683" s="8"/>
      <c r="F683" s="200" t="str">
        <f>"WP-"&amp;A683</f>
        <v>WP-227</v>
      </c>
      <c r="G683" s="200">
        <f>+INDEX(WP!$A:$AN,MATCH(F683,WP!$B:$B,0),MATCH("ID",WP!$A$2:$AN$2,0))</f>
        <v>400093</v>
      </c>
      <c r="I683" s="8"/>
      <c r="J683" s="180" t="s">
        <v>10762</v>
      </c>
      <c r="K683" s="201">
        <f>+INDEX(WP!$A:$AN,MATCH(F683,WP!$B:$B,0),14)</f>
        <v>4</v>
      </c>
      <c r="L683" s="202">
        <f>+INDEX(WP!$A:$AN,MATCH(F683,WP!$B:$B,0),15)</f>
        <v>130</v>
      </c>
      <c r="M683" s="202">
        <f>+INDEX(WP!$A:$AN,MATCH(F683,WP!$B:$B,0),16)</f>
        <v>80</v>
      </c>
      <c r="N683" s="202" t="e" vm="362">
        <f>IFERROR(_xlfn.IMAGE("https://natalie.tf/wp-content/uploads/2023/11/DLV3_Icon_Affinity_"&amp;O683&amp;".png"),"")</f>
        <v>#VALUE!</v>
      </c>
      <c r="O683" s="203" t="str">
        <f>+INDEX(WP!$A:$AN,MATCH(F683,WP!$B:$B,0),17)</f>
        <v>Bat</v>
      </c>
      <c r="P683" s="8" t="e" vm="411">
        <f>_xlfn.IMAGE("https://natalie.tf/wp-content/uploads/2023/10/DLV3_Icon_Ability_"&amp;INDEX('WP-A'!$A$1:$Z$498,MATCH('WP-Print'!Q683,'WP-A'!$A:$A,0),MATCH("Icon",'WP-A'!$A$1:$Z$1,0))&amp;".png")</f>
        <v>#VALUE!</v>
      </c>
      <c r="Q683" s="231" t="str">
        <f>+INDEX(WP!$A:$AN,MATCH(F683,WP!$B:$B,0),MATCH("Ability V3",WP!$A$2:$AN$2,0))</f>
        <v>Skill Prep +50%</v>
      </c>
      <c r="R683" s="735"/>
    </row>
    <row r="684" spans="1:18" ht="7.5" customHeight="1" x14ac:dyDescent="0.2">
      <c r="A684" t="s">
        <v>10763</v>
      </c>
    </row>
    <row r="685" spans="1:18" ht="22.5" customHeight="1" x14ac:dyDescent="0.2">
      <c r="B685" s="729" t="e" vm="794">
        <f>_xlfn.IMAGE("https://natalie.tf/wp-content/uploads/2023/10/DLV3_Icon_WP_"&amp;G686&amp;"_01.png")</f>
        <v>#VALUE!</v>
      </c>
      <c r="D685" s="730" t="e" vm="795">
        <f>_xlfn.IMAGE("https://natalie.tf/wp-content/uploads/2023/10/DLV3_Icon_WP_"&amp;G686&amp;"_02.png")</f>
        <v>#VALUE!</v>
      </c>
      <c r="F685" s="717" t="str">
        <f>+INDEX(WP!$A:$AN,MATCH(F686,WP!$B:$B,0),MATCH("Name",WP!$A$2:$AN$2,0))</f>
        <v>Delightful Dancer</v>
      </c>
      <c r="G685" s="718"/>
      <c r="H685" s="719"/>
      <c r="J685" s="180" t="s">
        <v>10761</v>
      </c>
      <c r="K685" s="201">
        <f>+INDEX(WP!$A:$AN,MATCH(F686,WP!$B:$B,0),5)</f>
        <v>4</v>
      </c>
      <c r="L685" s="202">
        <f>+INDEX(WP!$A:$AN,MATCH(F686,WP!$B:$B,0),6)</f>
        <v>61</v>
      </c>
      <c r="M685" s="202">
        <f>+INDEX(WP!$A:$AN,MATCH(F686,WP!$B:$B,0),7)</f>
        <v>17</v>
      </c>
      <c r="N685" s="202" t="str">
        <f ca="1">IFERROR(_xlfn.IMAGE("https://natalie.tf/wp-content/uploads/2023/11/DLV3_Icon_Affinity_"&amp;O685&amp;".png"),"")</f>
        <v/>
      </c>
      <c r="O685" s="203" t="str">
        <f>IF(INDEX(WP!$A:$AN,MATCH(F686,WP!$B:$B,0),8)=0,"None",INDEX(WP!$A:$AN,MATCH(F686,WP!$B:$B,0),8))</f>
        <v>None</v>
      </c>
      <c r="P685" s="8" t="e" vm="729">
        <f>_xlfn.IMAGE("https://natalie.tf/wp-content/uploads/2023/10/DLV3_Icon_Ability_"&amp;INDEX('WP-A'!$A$1:$Z$498,MATCH('WP-Print'!Q685,'WP-A'!$A:$A,0),MATCH("Icon",'WP-A'!$A$1:$Z$1,0))&amp;".png")</f>
        <v>#VALUE!</v>
      </c>
      <c r="Q685" s="231" t="str">
        <f>+INDEX(WP!$A:$AN,MATCH(F686,WP!$B:$B,0),MATCH("Ability",WP!$A$2:$AN$2,0))</f>
        <v>Poison Res +25%</v>
      </c>
      <c r="R685" s="734" t="str">
        <f>+INDEX(WP!$A:$AN,MATCH(F686,WP!$B:$B,0),MATCH("Obtain From",WP!$A$2:$AN$2,0))</f>
        <v>Clear Save Phantom! (A Waltz with Fate)</v>
      </c>
    </row>
    <row r="686" spans="1:18" ht="22.5" customHeight="1" x14ac:dyDescent="0.2">
      <c r="A686" s="204" t="str">
        <f>TEXT(A683+1,"000")</f>
        <v>228</v>
      </c>
      <c r="B686" s="729"/>
      <c r="C686" s="8"/>
      <c r="D686" s="729"/>
      <c r="E686" s="8"/>
      <c r="F686" s="200" t="str">
        <f>"WP-"&amp;A686</f>
        <v>WP-228</v>
      </c>
      <c r="G686" s="200">
        <f>+INDEX(WP!$A:$AN,MATCH(F686,WP!$B:$B,0),MATCH("ID",WP!$A$2:$AN$2,0))</f>
        <v>400152</v>
      </c>
      <c r="I686" s="8"/>
      <c r="J686" s="180" t="s">
        <v>10762</v>
      </c>
      <c r="K686" s="201">
        <f>+INDEX(WP!$A:$AN,MATCH(F686,WP!$B:$B,0),14)</f>
        <v>4</v>
      </c>
      <c r="L686" s="202">
        <f>+INDEX(WP!$A:$AN,MATCH(F686,WP!$B:$B,0),15)</f>
        <v>130</v>
      </c>
      <c r="M686" s="202">
        <f>+INDEX(WP!$A:$AN,MATCH(F686,WP!$B:$B,0),16)</f>
        <v>80</v>
      </c>
      <c r="N686" s="202" t="e" vm="367">
        <f>IFERROR(_xlfn.IMAGE("https://natalie.tf/wp-content/uploads/2023/11/DLV3_Icon_Affinity_"&amp;O686&amp;".png"),"")</f>
        <v>#VALUE!</v>
      </c>
      <c r="O686" s="203" t="str">
        <f>+INDEX(WP!$A:$AN,MATCH(F686,WP!$B:$B,0),17)</f>
        <v>Spider</v>
      </c>
      <c r="P686" s="8" t="e" vm="349">
        <f>_xlfn.IMAGE("https://natalie.tf/wp-content/uploads/2023/10/DLV3_Icon_Ability_"&amp;INDEX('WP-A'!$A$1:$Z$498,MATCH('WP-Print'!Q686,'WP-A'!$A:$A,0),MATCH("Icon",'WP-A'!$A$1:$Z$1,0))&amp;".png")</f>
        <v>#VALUE!</v>
      </c>
      <c r="Q686" s="231" t="str">
        <f>+INDEX(WP!$A:$AN,MATCH(F686,WP!$B:$B,0),MATCH("Ability V3",WP!$A$2:$AN$2,0))</f>
        <v>Recovery Potency +12%</v>
      </c>
      <c r="R686" s="735"/>
    </row>
    <row r="687" spans="1:18" ht="7.5" customHeight="1" x14ac:dyDescent="0.2">
      <c r="A687" t="s">
        <v>10763</v>
      </c>
    </row>
    <row r="688" spans="1:18" ht="22.5" customHeight="1" x14ac:dyDescent="0.2">
      <c r="B688" s="729" t="e" vm="796">
        <f>_xlfn.IMAGE("https://natalie.tf/wp-content/uploads/2023/10/DLV3_Icon_WP_"&amp;G689&amp;"_01.png")</f>
        <v>#VALUE!</v>
      </c>
      <c r="D688" s="730" t="e" vm="797">
        <f>_xlfn.IMAGE("https://natalie.tf/wp-content/uploads/2023/10/DLV3_Icon_WP_"&amp;G689&amp;"_02.png")</f>
        <v>#VALUE!</v>
      </c>
      <c r="F688" s="717" t="str">
        <f>+INDEX(WP!$A:$AN,MATCH(F689,WP!$B:$B,0),MATCH("Name",WP!$A$2:$AN$2,0))</f>
        <v>First-Rate Hospitality</v>
      </c>
      <c r="G688" s="718"/>
      <c r="H688" s="719"/>
      <c r="J688" s="180" t="s">
        <v>10761</v>
      </c>
      <c r="K688" s="201">
        <f>+INDEX(WP!$A:$AN,MATCH(F689,WP!$B:$B,0),5)</f>
        <v>4</v>
      </c>
      <c r="L688" s="202">
        <f>+INDEX(WP!$A:$AN,MATCH(F689,WP!$B:$B,0),6)</f>
        <v>71</v>
      </c>
      <c r="M688" s="202">
        <f>+INDEX(WP!$A:$AN,MATCH(F689,WP!$B:$B,0),7)</f>
        <v>25</v>
      </c>
      <c r="N688" s="202" t="str">
        <f ca="1">IFERROR(_xlfn.IMAGE("https://natalie.tf/wp-content/uploads/2023/11/DLV3_Icon_Affinity_"&amp;O688&amp;".png"),"")</f>
        <v/>
      </c>
      <c r="O688" s="203" t="str">
        <f>IF(INDEX(WP!$A:$AN,MATCH(F689,WP!$B:$B,0),8)=0,"None",INDEX(WP!$A:$AN,MATCH(F689,WP!$B:$B,0),8))</f>
        <v>None</v>
      </c>
      <c r="P688" s="8" t="e" vm="14">
        <f>_xlfn.IMAGE("https://natalie.tf/wp-content/uploads/2023/10/DLV3_Icon_Ability_"&amp;INDEX('WP-A'!$A$1:$Z$498,MATCH('WP-Print'!Q688,'WP-A'!$A:$A,0),MATCH("Icon",'WP-A'!$A$1:$Z$1,0))&amp;".png")</f>
        <v>#VALUE!</v>
      </c>
      <c r="Q688" s="231" t="str">
        <f>+INDEX(WP!$A:$AN,MATCH(F689,WP!$B:$B,0),MATCH("Ability",WP!$A$2:$AN$2,0))</f>
        <v>Strength Doublebuff +10%</v>
      </c>
      <c r="R688" s="734" t="str">
        <f>+INDEX(WP!$A:$AN,MATCH(F689,WP!$B:$B,0),MATCH("Obtain From",WP!$A$2:$AN$2,0))</f>
        <v>Clear The Crawling Nightmare: Expert (The Accursed Archives)</v>
      </c>
    </row>
    <row r="689" spans="1:18" ht="22.5" customHeight="1" x14ac:dyDescent="0.2">
      <c r="A689" s="204" t="str">
        <f>TEXT(A686+1,"000")</f>
        <v>229</v>
      </c>
      <c r="B689" s="729"/>
      <c r="C689" s="8"/>
      <c r="D689" s="729"/>
      <c r="E689" s="8"/>
      <c r="F689" s="200" t="str">
        <f>"WP-"&amp;A689</f>
        <v>WP-229</v>
      </c>
      <c r="G689" s="200">
        <f>+INDEX(WP!$A:$AN,MATCH(F689,WP!$B:$B,0),MATCH("ID",WP!$A$2:$AN$2,0))</f>
        <v>400119</v>
      </c>
      <c r="I689" s="8"/>
      <c r="J689" s="180" t="s">
        <v>10762</v>
      </c>
      <c r="K689" s="201">
        <f>+INDEX(WP!$A:$AN,MATCH(F689,WP!$B:$B,0),14)</f>
        <v>4</v>
      </c>
      <c r="L689" s="202">
        <f>+INDEX(WP!$A:$AN,MATCH(F689,WP!$B:$B,0),15)</f>
        <v>130</v>
      </c>
      <c r="M689" s="202">
        <f>+INDEX(WP!$A:$AN,MATCH(F689,WP!$B:$B,0),16)</f>
        <v>80</v>
      </c>
      <c r="N689" s="202" t="e" vm="352">
        <f>IFERROR(_xlfn.IMAGE("https://natalie.tf/wp-content/uploads/2023/11/DLV3_Icon_Affinity_"&amp;O689&amp;".png"),"")</f>
        <v>#VALUE!</v>
      </c>
      <c r="O689" s="203" t="str">
        <f>+INDEX(WP!$A:$AN,MATCH(F689,WP!$B:$B,0),17)</f>
        <v>Fish</v>
      </c>
      <c r="P689" s="8" t="e" vm="14">
        <f>_xlfn.IMAGE("https://natalie.tf/wp-content/uploads/2023/10/DLV3_Icon_Ability_"&amp;INDEX('WP-A'!$A$1:$Z$498,MATCH('WP-Print'!Q689,'WP-A'!$A:$A,0),MATCH("Icon",'WP-A'!$A$1:$Z$1,0))&amp;".png")</f>
        <v>#VALUE!</v>
      </c>
      <c r="Q689" s="231" t="str">
        <f>+INDEX(WP!$A:$AN,MATCH(F689,WP!$B:$B,0),MATCH("Ability V3",WP!$A$2:$AN$2,0))</f>
        <v>Strength Doublebuff +10%</v>
      </c>
      <c r="R689" s="735"/>
    </row>
    <row r="690" spans="1:18" ht="7.5" customHeight="1" x14ac:dyDescent="0.2">
      <c r="A690" t="s">
        <v>10763</v>
      </c>
    </row>
    <row r="691" spans="1:18" ht="22.5" customHeight="1" x14ac:dyDescent="0.2">
      <c r="B691" s="729" t="e" vm="798">
        <f>_xlfn.IMAGE("https://natalie.tf/wp-content/uploads/2023/10/DLV3_Icon_WP_"&amp;G692&amp;"_01.png")</f>
        <v>#VALUE!</v>
      </c>
      <c r="D691" s="730" t="e" vm="799">
        <f>_xlfn.IMAGE("https://natalie.tf/wp-content/uploads/2023/10/DLV3_Icon_WP_"&amp;G692&amp;"_02.png")</f>
        <v>#VALUE!</v>
      </c>
      <c r="F691" s="717" t="str">
        <f>+INDEX(WP!$A:$AN,MATCH(F692,WP!$B:$B,0),MATCH("Name",WP!$A$2:$AN$2,0))</f>
        <v>Egg-Shaped Dreams</v>
      </c>
      <c r="G691" s="718"/>
      <c r="H691" s="719"/>
      <c r="J691" s="180" t="s">
        <v>10761</v>
      </c>
      <c r="K691" s="201">
        <f>+INDEX(WP!$A:$AN,MATCH(F692,WP!$B:$B,0),5)</f>
        <v>4</v>
      </c>
      <c r="L691" s="202">
        <f>+INDEX(WP!$A:$AN,MATCH(F692,WP!$B:$B,0),6)</f>
        <v>78</v>
      </c>
      <c r="M691" s="202">
        <f>+INDEX(WP!$A:$AN,MATCH(F692,WP!$B:$B,0),7)</f>
        <v>19</v>
      </c>
      <c r="N691" s="202" t="e" vm="354">
        <f>IFERROR(_xlfn.IMAGE("https://natalie.tf/wp-content/uploads/2023/11/DLV3_Icon_Affinity_"&amp;O691&amp;".png"),"")</f>
        <v>#VALUE!</v>
      </c>
      <c r="O691" s="203" t="str">
        <f>IF(INDEX(WP!$A:$AN,MATCH(F692,WP!$B:$B,0),8)=0,"None",INDEX(WP!$A:$AN,MATCH(F692,WP!$B:$B,0),8))</f>
        <v>Butterfly</v>
      </c>
      <c r="P691" s="8" t="e" vm="426">
        <f>_xlfn.IMAGE("https://natalie.tf/wp-content/uploads/2023/10/DLV3_Icon_Ability_"&amp;INDEX('WP-A'!$A$1:$Z$498,MATCH('WP-Print'!Q691,'WP-A'!$A:$A,0),MATCH("Icon",'WP-A'!$A$1:$Z$1,0))&amp;".png")</f>
        <v>#VALUE!</v>
      </c>
      <c r="Q691" s="231" t="str">
        <f>+INDEX(WP!$A:$AN,MATCH(F692,WP!$B:$B,0),MATCH("Ability",WP!$A$2:$AN$2,0))</f>
        <v>HP 70% = Defense +10%</v>
      </c>
      <c r="R691" s="734" t="str">
        <f>+INDEX(WP!$A:$AN,MATCH(F692,WP!$B:$B,0),MATCH("Obtain From",WP!$A$2:$AN$2,0))</f>
        <v>Clear The Vernal Games Warm-Ups: Expert (The Hunt for Harmony)</v>
      </c>
    </row>
    <row r="692" spans="1:18" ht="22.5" customHeight="1" x14ac:dyDescent="0.2">
      <c r="A692" s="204" t="str">
        <f>TEXT(A689+1,"000")</f>
        <v>230</v>
      </c>
      <c r="B692" s="729"/>
      <c r="C692" s="8"/>
      <c r="D692" s="729"/>
      <c r="E692" s="8"/>
      <c r="F692" s="200" t="str">
        <f>"WP-"&amp;A692</f>
        <v>WP-230</v>
      </c>
      <c r="G692" s="200">
        <f>+INDEX(WP!$A:$AN,MATCH(F692,WP!$B:$B,0),MATCH("ID",WP!$A$2:$AN$2,0))</f>
        <v>400174</v>
      </c>
      <c r="I692" s="8"/>
      <c r="J692" s="180" t="s">
        <v>10762</v>
      </c>
      <c r="K692" s="201">
        <f>+INDEX(WP!$A:$AN,MATCH(F692,WP!$B:$B,0),14)</f>
        <v>4</v>
      </c>
      <c r="L692" s="202">
        <f>+INDEX(WP!$A:$AN,MATCH(F692,WP!$B:$B,0),15)</f>
        <v>130</v>
      </c>
      <c r="M692" s="202">
        <f>+INDEX(WP!$A:$AN,MATCH(F692,WP!$B:$B,0),16)</f>
        <v>80</v>
      </c>
      <c r="N692" s="202" t="e" vm="354">
        <f>IFERROR(_xlfn.IMAGE("https://natalie.tf/wp-content/uploads/2023/11/DLV3_Icon_Affinity_"&amp;O692&amp;".png"),"")</f>
        <v>#VALUE!</v>
      </c>
      <c r="O692" s="203" t="str">
        <f>+INDEX(WP!$A:$AN,MATCH(F692,WP!$B:$B,0),17)</f>
        <v>Butterfly</v>
      </c>
      <c r="P692" s="8" t="e" vm="426">
        <f>_xlfn.IMAGE("https://natalie.tf/wp-content/uploads/2023/10/DLV3_Icon_Ability_"&amp;INDEX('WP-A'!$A$1:$Z$498,MATCH('WP-Print'!Q692,'WP-A'!$A:$A,0),MATCH("Icon",'WP-A'!$A$1:$Z$1,0))&amp;".png")</f>
        <v>#VALUE!</v>
      </c>
      <c r="Q692" s="231" t="str">
        <f>+INDEX(WP!$A:$AN,MATCH(F692,WP!$B:$B,0),MATCH("Ability V3",WP!$A$2:$AN$2,0))</f>
        <v>Defense +15%</v>
      </c>
      <c r="R692" s="735"/>
    </row>
    <row r="693" spans="1:18" ht="7.5" customHeight="1" x14ac:dyDescent="0.2">
      <c r="A693" t="s">
        <v>10763</v>
      </c>
    </row>
    <row r="694" spans="1:18" ht="22.5" customHeight="1" x14ac:dyDescent="0.2">
      <c r="B694" s="729" t="e" vm="800">
        <f>_xlfn.IMAGE("https://natalie.tf/wp-content/uploads/2023/10/DLV3_Icon_WP_"&amp;G695&amp;"_01.png")</f>
        <v>#VALUE!</v>
      </c>
      <c r="D694" s="730" t="e" vm="801">
        <f>_xlfn.IMAGE("https://natalie.tf/wp-content/uploads/2023/10/DLV3_Icon_WP_"&amp;G695&amp;"_02.png")</f>
        <v>#VALUE!</v>
      </c>
      <c r="F694" s="717" t="str">
        <f>+INDEX(WP!$A:$AN,MATCH(F695,WP!$B:$B,0),MATCH("Name",WP!$A$2:$AN$2,0))</f>
        <v>A Brief Repose</v>
      </c>
      <c r="G694" s="718"/>
      <c r="H694" s="719"/>
      <c r="J694" s="180" t="s">
        <v>10761</v>
      </c>
      <c r="K694" s="201">
        <f>+INDEX(WP!$A:$AN,MATCH(F695,WP!$B:$B,0),5)</f>
        <v>4</v>
      </c>
      <c r="L694" s="202">
        <f>+INDEX(WP!$A:$AN,MATCH(F695,WP!$B:$B,0),6)</f>
        <v>78</v>
      </c>
      <c r="M694" s="202">
        <f>+INDEX(WP!$A:$AN,MATCH(F695,WP!$B:$B,0),7)</f>
        <v>19</v>
      </c>
      <c r="N694" s="202" t="str">
        <f ca="1">IFERROR(_xlfn.IMAGE("https://natalie.tf/wp-content/uploads/2023/11/DLV3_Icon_Affinity_"&amp;O694&amp;".png"),"")</f>
        <v/>
      </c>
      <c r="O694" s="203" t="str">
        <f>IF(INDEX(WP!$A:$AN,MATCH(F695,WP!$B:$B,0),8)=0,"None",INDEX(WP!$A:$AN,MATCH(F695,WP!$B:$B,0),8))</f>
        <v>None</v>
      </c>
      <c r="P694" s="8" t="e" vm="802">
        <f>_xlfn.IMAGE("https://natalie.tf/wp-content/uploads/2023/10/DLV3_Icon_Ability_"&amp;INDEX('WP-A'!$A$1:$Z$498,MATCH('WP-Print'!Q694,'WP-A'!$A:$A,0),MATCH("Icon",'WP-A'!$A$1:$Z$1,0))&amp;".png")</f>
        <v>#VALUE!</v>
      </c>
      <c r="Q694" s="231" t="str">
        <f>+INDEX(WP!$A:$AN,MATCH(F695,WP!$B:$B,0),MATCH("Ability",WP!$A$2:$AN$2,0))</f>
        <v>Shield Prep III</v>
      </c>
      <c r="R694" s="734" t="str">
        <f>+INDEX(WP!$A:$AN,MATCH(F695,WP!$B:$B,0),MATCH("Obtain From",WP!$A$2:$AN$2,0))</f>
        <v>Clear The Alberian Front: Normal (Fire Emblem: Lost Heroes)</v>
      </c>
    </row>
    <row r="695" spans="1:18" ht="22.5" customHeight="1" x14ac:dyDescent="0.2">
      <c r="A695" s="204" t="str">
        <f>TEXT(A692+1,"000")</f>
        <v>231</v>
      </c>
      <c r="B695" s="729"/>
      <c r="C695" s="8"/>
      <c r="D695" s="729"/>
      <c r="E695" s="8"/>
      <c r="F695" s="200" t="str">
        <f>"WP-"&amp;A695</f>
        <v>WP-231</v>
      </c>
      <c r="G695" s="200">
        <f>+INDEX(WP!$A:$AN,MATCH(F695,WP!$B:$B,0),MATCH("ID",WP!$A$2:$AN$2,0))</f>
        <v>400293</v>
      </c>
      <c r="I695" s="8"/>
      <c r="J695" s="180" t="s">
        <v>10762</v>
      </c>
      <c r="K695" s="201">
        <f>+INDEX(WP!$A:$AN,MATCH(F695,WP!$B:$B,0),14)</f>
        <v>4</v>
      </c>
      <c r="L695" s="202">
        <f>+INDEX(WP!$A:$AN,MATCH(F695,WP!$B:$B,0),15)</f>
        <v>130</v>
      </c>
      <c r="M695" s="202">
        <f>+INDEX(WP!$A:$AN,MATCH(F695,WP!$B:$B,0),16)</f>
        <v>80</v>
      </c>
      <c r="N695" s="202" t="e" vm="343">
        <f>IFERROR(_xlfn.IMAGE("https://natalie.tf/wp-content/uploads/2023/11/DLV3_Icon_Affinity_"&amp;O695&amp;".png"),"")</f>
        <v>#VALUE!</v>
      </c>
      <c r="O695" s="203" t="str">
        <f>+INDEX(WP!$A:$AN,MATCH(F695,WP!$B:$B,0),17)</f>
        <v>Axe</v>
      </c>
      <c r="P695" s="8" t="e" vm="802">
        <f>_xlfn.IMAGE("https://natalie.tf/wp-content/uploads/2023/10/DLV3_Icon_Ability_"&amp;INDEX('WP-A'!$A$1:$Z$498,MATCH('WP-Print'!Q695,'WP-A'!$A:$A,0),MATCH("Icon",'WP-A'!$A$1:$Z$1,0))&amp;".png")</f>
        <v>#VALUE!</v>
      </c>
      <c r="Q695" s="231" t="str">
        <f>+INDEX(WP!$A:$AN,MATCH(F695,WP!$B:$B,0),MATCH("Ability V3",WP!$A$2:$AN$2,0))</f>
        <v>Shield Prep III</v>
      </c>
      <c r="R695" s="735"/>
    </row>
    <row r="696" spans="1:18" ht="7.5" customHeight="1" x14ac:dyDescent="0.2">
      <c r="A696" t="s">
        <v>10763</v>
      </c>
    </row>
    <row r="697" spans="1:18" ht="22.5" customHeight="1" x14ac:dyDescent="0.2">
      <c r="B697" s="729" t="e" vm="803">
        <f>_xlfn.IMAGE("https://natalie.tf/wp-content/uploads/2023/10/DLV3_Icon_WP_"&amp;G698&amp;"_01.png")</f>
        <v>#VALUE!</v>
      </c>
      <c r="D697" s="730" t="e" vm="804">
        <f>_xlfn.IMAGE("https://natalie.tf/wp-content/uploads/2023/10/DLV3_Icon_WP_"&amp;G698&amp;"_02.png")</f>
        <v>#VALUE!</v>
      </c>
      <c r="F697" s="717" t="str">
        <f>+INDEX(WP!$A:$AN,MATCH(F698,WP!$B:$B,0),MATCH("Name",WP!$A$2:$AN$2,0))</f>
        <v>Pipe Down</v>
      </c>
      <c r="G697" s="718"/>
      <c r="H697" s="719"/>
      <c r="J697" s="180" t="s">
        <v>10761</v>
      </c>
      <c r="K697" s="201">
        <f>+INDEX(WP!$A:$AN,MATCH(F698,WP!$B:$B,0),5)</f>
        <v>4</v>
      </c>
      <c r="L697" s="202">
        <f>+INDEX(WP!$A:$AN,MATCH(F698,WP!$B:$B,0),6)</f>
        <v>73</v>
      </c>
      <c r="M697" s="202">
        <f>+INDEX(WP!$A:$AN,MATCH(F698,WP!$B:$B,0),7)</f>
        <v>24</v>
      </c>
      <c r="N697" s="202" t="e" vm="381">
        <f>IFERROR(_xlfn.IMAGE("https://natalie.tf/wp-content/uploads/2023/11/DLV3_Icon_Affinity_"&amp;O697&amp;".png"),"")</f>
        <v>#VALUE!</v>
      </c>
      <c r="O697" s="203" t="str">
        <f>IF(INDEX(WP!$A:$AN,MATCH(F698,WP!$B:$B,0),8)=0,"None",INDEX(WP!$A:$AN,MATCH(F698,WP!$B:$B,0),8))</f>
        <v>Dragon</v>
      </c>
      <c r="P697" s="8" t="e" vm="349">
        <f>_xlfn.IMAGE("https://natalie.tf/wp-content/uploads/2023/10/DLV3_Icon_Ability_"&amp;INDEX('WP-A'!$A$1:$Z$498,MATCH('WP-Print'!Q697,'WP-A'!$A:$A,0),MATCH("Icon",'WP-A'!$A$1:$Z$1,0))&amp;".png")</f>
        <v>#VALUE!</v>
      </c>
      <c r="Q697" s="231" t="str">
        <f>+INDEX(WP!$A:$AN,MATCH(F698,WP!$B:$B,0),MATCH("Ability",WP!$A$2:$AN$2,0))</f>
        <v>Recovery Potency +10%</v>
      </c>
      <c r="R697" s="734" t="str">
        <f>+INDEX(WP!$A:$AN,MATCH(F698,WP!$B:$B,0),MATCH("Obtain From",WP!$A$2:$AN$2,0))</f>
        <v>Obtain From Ch. 07 EX 2 Chest (Normal) (Non-Endeavor)</v>
      </c>
    </row>
    <row r="698" spans="1:18" ht="22.5" customHeight="1" x14ac:dyDescent="0.2">
      <c r="A698" s="204" t="str">
        <f>TEXT(A695+1,"000")</f>
        <v>232</v>
      </c>
      <c r="B698" s="729"/>
      <c r="C698" s="8"/>
      <c r="D698" s="729"/>
      <c r="E698" s="8"/>
      <c r="F698" s="200" t="str">
        <f>"WP-"&amp;A698</f>
        <v>WP-232</v>
      </c>
      <c r="G698" s="200">
        <f>+INDEX(WP!$A:$AN,MATCH(F698,WP!$B:$B,0),MATCH("ID",WP!$A$2:$AN$2,0))</f>
        <v>400054</v>
      </c>
      <c r="I698" s="8"/>
      <c r="J698" s="180" t="s">
        <v>10762</v>
      </c>
      <c r="K698" s="201">
        <f>+INDEX(WP!$A:$AN,MATCH(F698,WP!$B:$B,0),14)</f>
        <v>4</v>
      </c>
      <c r="L698" s="202">
        <f>+INDEX(WP!$A:$AN,MATCH(F698,WP!$B:$B,0),15)</f>
        <v>130</v>
      </c>
      <c r="M698" s="202">
        <f>+INDEX(WP!$A:$AN,MATCH(F698,WP!$B:$B,0),16)</f>
        <v>80</v>
      </c>
      <c r="N698" s="202" t="e" vm="381">
        <f>IFERROR(_xlfn.IMAGE("https://natalie.tf/wp-content/uploads/2023/11/DLV3_Icon_Affinity_"&amp;O698&amp;".png"),"")</f>
        <v>#VALUE!</v>
      </c>
      <c r="O698" s="203" t="str">
        <f>+INDEX(WP!$A:$AN,MATCH(F698,WP!$B:$B,0),17)</f>
        <v>Dragon</v>
      </c>
      <c r="P698" s="8" t="e" vm="349">
        <f>_xlfn.IMAGE("https://natalie.tf/wp-content/uploads/2023/10/DLV3_Icon_Ability_"&amp;INDEX('WP-A'!$A$1:$Z$498,MATCH('WP-Print'!Q698,'WP-A'!$A:$A,0),MATCH("Icon",'WP-A'!$A$1:$Z$1,0))&amp;".png")</f>
        <v>#VALUE!</v>
      </c>
      <c r="Q698" s="231" t="str">
        <f>+INDEX(WP!$A:$AN,MATCH(F698,WP!$B:$B,0),MATCH("Ability V3",WP!$A$2:$AN$2,0))</f>
        <v>Recovery Potency +12%</v>
      </c>
      <c r="R698" s="735"/>
    </row>
    <row r="699" spans="1:18" ht="7.5" customHeight="1" x14ac:dyDescent="0.2">
      <c r="A699" t="s">
        <v>10763</v>
      </c>
    </row>
    <row r="700" spans="1:18" ht="22.5" customHeight="1" x14ac:dyDescent="0.2">
      <c r="B700" s="729" t="e" vm="805">
        <f>_xlfn.IMAGE("https://natalie.tf/wp-content/uploads/2023/10/DLV3_Icon_WP_"&amp;G701&amp;"_01.png")</f>
        <v>#VALUE!</v>
      </c>
      <c r="D700" s="730" t="e" vm="806">
        <f>_xlfn.IMAGE("https://natalie.tf/wp-content/uploads/2023/10/DLV3_Icon_WP_"&amp;G701&amp;"_02.png")</f>
        <v>#VALUE!</v>
      </c>
      <c r="F700" s="717" t="str">
        <f>+INDEX(WP!$A:$AN,MATCH(F701,WP!$B:$B,0),MATCH("Name",WP!$A$2:$AN$2,0))</f>
        <v>Beauty's Secret</v>
      </c>
      <c r="G700" s="718"/>
      <c r="H700" s="719"/>
      <c r="J700" s="180" t="s">
        <v>10761</v>
      </c>
      <c r="K700" s="201">
        <f>+INDEX(WP!$A:$AN,MATCH(F701,WP!$B:$B,0),5)</f>
        <v>4</v>
      </c>
      <c r="L700" s="202">
        <f>+INDEX(WP!$A:$AN,MATCH(F701,WP!$B:$B,0),6)</f>
        <v>73</v>
      </c>
      <c r="M700" s="202">
        <f>+INDEX(WP!$A:$AN,MATCH(F701,WP!$B:$B,0),7)</f>
        <v>23</v>
      </c>
      <c r="N700" s="202" t="e" vm="339">
        <f>IFERROR(_xlfn.IMAGE("https://natalie.tf/wp-content/uploads/2023/11/DLV3_Icon_Affinity_"&amp;O700&amp;".png"),"")</f>
        <v>#VALUE!</v>
      </c>
      <c r="O700" s="203" t="str">
        <f>IF(INDEX(WP!$A:$AN,MATCH(F701,WP!$B:$B,0),8)=0,"None",INDEX(WP!$A:$AN,MATCH(F701,WP!$B:$B,0),8))</f>
        <v>Sword</v>
      </c>
      <c r="P700" s="8" t="e" vm="14">
        <f>_xlfn.IMAGE("https://natalie.tf/wp-content/uploads/2023/10/DLV3_Icon_Ability_"&amp;INDEX('WP-A'!$A$1:$Z$498,MATCH('WP-Print'!Q700,'WP-A'!$A:$A,0),MATCH("Icon",'WP-A'!$A$1:$Z$1,0))&amp;".png")</f>
        <v>#VALUE!</v>
      </c>
      <c r="Q700" s="231" t="str">
        <f>+INDEX(WP!$A:$AN,MATCH(F701,WP!$B:$B,0),MATCH("Ability",WP!$A$2:$AN$2,0))</f>
        <v>HP 70% = Strength +10%</v>
      </c>
      <c r="R700" s="734" t="str">
        <f>+INDEX(WP!$A:$AN,MATCH(F701,WP!$B:$B,0),MATCH("Obtain From",WP!$A$2:$AN$2,0))</f>
        <v>Clear Avenue to Fortune: Expert</v>
      </c>
    </row>
    <row r="701" spans="1:18" ht="22.5" customHeight="1" x14ac:dyDescent="0.2">
      <c r="A701" s="204" t="str">
        <f>TEXT(A698+1,"000")</f>
        <v>233</v>
      </c>
      <c r="B701" s="729"/>
      <c r="C701" s="8"/>
      <c r="D701" s="729"/>
      <c r="E701" s="8"/>
      <c r="F701" s="200" t="str">
        <f>"WP-"&amp;A701</f>
        <v>WP-233</v>
      </c>
      <c r="G701" s="200">
        <f>+INDEX(WP!$A:$AN,MATCH(F701,WP!$B:$B,0),MATCH("ID",WP!$A$2:$AN$2,0))</f>
        <v>400085</v>
      </c>
      <c r="I701" s="8"/>
      <c r="J701" s="180" t="s">
        <v>10762</v>
      </c>
      <c r="K701" s="201">
        <f>+INDEX(WP!$A:$AN,MATCH(F701,WP!$B:$B,0),14)</f>
        <v>4</v>
      </c>
      <c r="L701" s="202">
        <f>+INDEX(WP!$A:$AN,MATCH(F701,WP!$B:$B,0),15)</f>
        <v>130</v>
      </c>
      <c r="M701" s="202">
        <f>+INDEX(WP!$A:$AN,MATCH(F701,WP!$B:$B,0),16)</f>
        <v>80</v>
      </c>
      <c r="N701" s="202" t="e" vm="343">
        <f>IFERROR(_xlfn.IMAGE("https://natalie.tf/wp-content/uploads/2023/11/DLV3_Icon_Affinity_"&amp;O701&amp;".png"),"")</f>
        <v>#VALUE!</v>
      </c>
      <c r="O701" s="203" t="str">
        <f>+INDEX(WP!$A:$AN,MATCH(F701,WP!$B:$B,0),17)</f>
        <v>Axe</v>
      </c>
      <c r="P701" s="8" t="e" vm="14">
        <f>_xlfn.IMAGE("https://natalie.tf/wp-content/uploads/2023/10/DLV3_Icon_Ability_"&amp;INDEX('WP-A'!$A$1:$Z$498,MATCH('WP-Print'!Q701,'WP-A'!$A:$A,0),MATCH("Icon",'WP-A'!$A$1:$Z$1,0))&amp;".png")</f>
        <v>#VALUE!</v>
      </c>
      <c r="Q701" s="231" t="str">
        <f>+INDEX(WP!$A:$AN,MATCH(F701,WP!$B:$B,0),MATCH("Ability V3",WP!$A$2:$AN$2,0))</f>
        <v>Strength +13%</v>
      </c>
      <c r="R701" s="735"/>
    </row>
    <row r="702" spans="1:18" ht="7.5" customHeight="1" x14ac:dyDescent="0.2">
      <c r="A702" t="s">
        <v>10763</v>
      </c>
    </row>
    <row r="703" spans="1:18" ht="22.5" customHeight="1" x14ac:dyDescent="0.2">
      <c r="B703" s="729" t="e" vm="807">
        <f>_xlfn.IMAGE("https://natalie.tf/wp-content/uploads/2023/10/DLV3_Icon_WP_"&amp;G704&amp;"_01.png")</f>
        <v>#VALUE!</v>
      </c>
      <c r="D703" s="730" t="e" vm="808">
        <f>_xlfn.IMAGE("https://natalie.tf/wp-content/uploads/2023/10/DLV3_Icon_WP_"&amp;G704&amp;"_02.png")</f>
        <v>#VALUE!</v>
      </c>
      <c r="F703" s="717" t="str">
        <f>+INDEX(WP!$A:$AN,MATCH(F704,WP!$B:$B,0),MATCH("Name",WP!$A$2:$AN$2,0))</f>
        <v>A Maddened Master</v>
      </c>
      <c r="G703" s="718"/>
      <c r="H703" s="719"/>
      <c r="J703" s="180" t="s">
        <v>10761</v>
      </c>
      <c r="K703" s="201">
        <f>+INDEX(WP!$A:$AN,MATCH(F704,WP!$B:$B,0),5)</f>
        <v>4</v>
      </c>
      <c r="L703" s="202">
        <f>+INDEX(WP!$A:$AN,MATCH(F704,WP!$B:$B,0),6)</f>
        <v>63</v>
      </c>
      <c r="M703" s="202">
        <f>+INDEX(WP!$A:$AN,MATCH(F704,WP!$B:$B,0),7)</f>
        <v>15</v>
      </c>
      <c r="N703" s="202" t="str">
        <f ca="1">IFERROR(_xlfn.IMAGE("https://natalie.tf/wp-content/uploads/2023/11/DLV3_Icon_Affinity_"&amp;O703&amp;".png"),"")</f>
        <v/>
      </c>
      <c r="O703" s="203" t="str">
        <f>IF(INDEX(WP!$A:$AN,MATCH(F704,WP!$B:$B,0),8)=0,"None",INDEX(WP!$A:$AN,MATCH(F704,WP!$B:$B,0),8))</f>
        <v>None</v>
      </c>
      <c r="P703" s="8" t="e" vm="809">
        <f>_xlfn.IMAGE("https://natalie.tf/wp-content/uploads/2023/10/DLV3_Icon_Ability_"&amp;INDEX('WP-A'!$A$1:$Z$498,MATCH('WP-Print'!Q703,'WP-A'!$A:$A,0),MATCH("Icon",'WP-A'!$A$1:$Z$1,0))&amp;".png")</f>
        <v>#VALUE!</v>
      </c>
      <c r="Q703" s="231" t="str">
        <f>+INDEX(WP!$A:$AN,MATCH(F704,WP!$B:$B,0),MATCH("Ability",WP!$A$2:$AN$2,0))</f>
        <v>Wind Res +10%</v>
      </c>
      <c r="R703" s="734" t="str">
        <f>+INDEX(WP!$A:$AN,MATCH(F704,WP!$B:$B,0),MATCH("Obtain From",WP!$A$2:$AN$2,0))</f>
        <v>Clear Cyclops Assault: Expert (Echoes of Antiquity)</v>
      </c>
    </row>
    <row r="704" spans="1:18" ht="22.5" customHeight="1" x14ac:dyDescent="0.2">
      <c r="A704" s="204" t="str">
        <f>TEXT(A701+1,"000")</f>
        <v>234</v>
      </c>
      <c r="B704" s="729"/>
      <c r="C704" s="8"/>
      <c r="D704" s="729"/>
      <c r="E704" s="8"/>
      <c r="F704" s="200" t="str">
        <f>"WP-"&amp;A704</f>
        <v>WP-234</v>
      </c>
      <c r="G704" s="200">
        <f>+INDEX(WP!$A:$AN,MATCH(F704,WP!$B:$B,0),MATCH("ID",WP!$A$2:$AN$2,0))</f>
        <v>400171</v>
      </c>
      <c r="I704" s="8"/>
      <c r="J704" s="180" t="s">
        <v>10762</v>
      </c>
      <c r="K704" s="201">
        <f>+INDEX(WP!$A:$AN,MATCH(F704,WP!$B:$B,0),14)</f>
        <v>4</v>
      </c>
      <c r="L704" s="202">
        <f>+INDEX(WP!$A:$AN,MATCH(F704,WP!$B:$B,0),15)</f>
        <v>130</v>
      </c>
      <c r="M704" s="202">
        <f>+INDEX(WP!$A:$AN,MATCH(F704,WP!$B:$B,0),16)</f>
        <v>80</v>
      </c>
      <c r="N704" s="202" t="e" vm="354">
        <f>IFERROR(_xlfn.IMAGE("https://natalie.tf/wp-content/uploads/2023/11/DLV3_Icon_Affinity_"&amp;O704&amp;".png"),"")</f>
        <v>#VALUE!</v>
      </c>
      <c r="O704" s="203" t="str">
        <f>+INDEX(WP!$A:$AN,MATCH(F704,WP!$B:$B,0),17)</f>
        <v>Butterfly</v>
      </c>
      <c r="P704" s="8" t="e" vm="809">
        <f>_xlfn.IMAGE("https://natalie.tf/wp-content/uploads/2023/10/DLV3_Icon_Ability_"&amp;INDEX('WP-A'!$A$1:$Z$498,MATCH('WP-Print'!Q704,'WP-A'!$A:$A,0),MATCH("Icon",'WP-A'!$A$1:$Z$1,0))&amp;".png")</f>
        <v>#VALUE!</v>
      </c>
      <c r="Q704" s="231" t="str">
        <f>+INDEX(WP!$A:$AN,MATCH(F704,WP!$B:$B,0),MATCH("Ability V3",WP!$A$2:$AN$2,0))</f>
        <v>Wind Res +10%</v>
      </c>
      <c r="R704" s="735"/>
    </row>
    <row r="705" spans="1:18" ht="7.5" customHeight="1" x14ac:dyDescent="0.2">
      <c r="A705" t="s">
        <v>10763</v>
      </c>
    </row>
    <row r="706" spans="1:18" ht="22.5" customHeight="1" x14ac:dyDescent="0.2">
      <c r="B706" s="729" t="e" vm="810">
        <f>_xlfn.IMAGE("https://natalie.tf/wp-content/uploads/2023/10/DLV3_Icon_WP_"&amp;G707&amp;"_01.png")</f>
        <v>#VALUE!</v>
      </c>
      <c r="D706" s="730" t="e" vm="811">
        <f>_xlfn.IMAGE("https://natalie.tf/wp-content/uploads/2023/10/DLV3_Icon_WP_"&amp;G707&amp;"_02.png")</f>
        <v>#VALUE!</v>
      </c>
      <c r="F706" s="717" t="str">
        <f>+INDEX(WP!$A:$AN,MATCH(F707,WP!$B:$B,0),MATCH("Name",WP!$A$2:$AN$2,0))</f>
        <v>Halidom Grooms</v>
      </c>
      <c r="G706" s="718"/>
      <c r="H706" s="719"/>
      <c r="J706" s="180" t="s">
        <v>10761</v>
      </c>
      <c r="K706" s="201">
        <f>+INDEX(WP!$A:$AN,MATCH(F707,WP!$B:$B,0),5)</f>
        <v>4</v>
      </c>
      <c r="L706" s="202">
        <f>+INDEX(WP!$A:$AN,MATCH(F707,WP!$B:$B,0),6)</f>
        <v>71</v>
      </c>
      <c r="M706" s="202">
        <f>+INDEX(WP!$A:$AN,MATCH(F707,WP!$B:$B,0),7)</f>
        <v>25</v>
      </c>
      <c r="N706" s="202" t="e" vm="345">
        <f>IFERROR(_xlfn.IMAGE("https://natalie.tf/wp-content/uploads/2023/11/DLV3_Icon_Affinity_"&amp;O706&amp;".png"),"")</f>
        <v>#VALUE!</v>
      </c>
      <c r="O706" s="203" t="str">
        <f>IF(INDEX(WP!$A:$AN,MATCH(F707,WP!$B:$B,0),8)=0,"None",INDEX(WP!$A:$AN,MATCH(F707,WP!$B:$B,0),8))</f>
        <v>Staff</v>
      </c>
      <c r="P706" s="8" t="e" vm="456">
        <f>_xlfn.IMAGE("https://natalie.tf/wp-content/uploads/2023/10/DLV3_Icon_Ability_"&amp;INDEX('WP-A'!$A$1:$Z$498,MATCH('WP-Print'!Q706,'WP-A'!$A:$A,0),MATCH("Icon",'WP-A'!$A$1:$Z$1,0))&amp;".png")</f>
        <v>#VALUE!</v>
      </c>
      <c r="Q706" s="231" t="str">
        <f>+INDEX(WP!$A:$AN,MATCH(F707,WP!$B:$B,0),MATCH("Ability",WP!$A$2:$AN$2,0))</f>
        <v>Energy Doublebuff I</v>
      </c>
      <c r="R706" s="734" t="str">
        <f>+INDEX(WP!$A:$AN,MATCH(F707,WP!$B:$B,0),MATCH("Obtain From",WP!$A$2:$AN$2,0))</f>
        <v>Unlock 50 Mana Nodes for a Water-Attuned Adventurer</v>
      </c>
    </row>
    <row r="707" spans="1:18" ht="22.5" customHeight="1" x14ac:dyDescent="0.2">
      <c r="A707" s="204" t="str">
        <f>TEXT(A704+1,"000")</f>
        <v>235</v>
      </c>
      <c r="B707" s="729"/>
      <c r="C707" s="8"/>
      <c r="D707" s="729"/>
      <c r="E707" s="8"/>
      <c r="F707" s="200" t="str">
        <f>"WP-"&amp;A707</f>
        <v>WP-235</v>
      </c>
      <c r="G707" s="200">
        <f>+INDEX(WP!$A:$AN,MATCH(F707,WP!$B:$B,0),MATCH("ID",WP!$A$2:$AN$2,0))</f>
        <v>400282</v>
      </c>
      <c r="I707" s="8"/>
      <c r="J707" s="180" t="s">
        <v>10762</v>
      </c>
      <c r="K707" s="201">
        <f>+INDEX(WP!$A:$AN,MATCH(F707,WP!$B:$B,0),14)</f>
        <v>4</v>
      </c>
      <c r="L707" s="202">
        <f>+INDEX(WP!$A:$AN,MATCH(F707,WP!$B:$B,0),15)</f>
        <v>130</v>
      </c>
      <c r="M707" s="202">
        <f>+INDEX(WP!$A:$AN,MATCH(F707,WP!$B:$B,0),16)</f>
        <v>80</v>
      </c>
      <c r="N707" s="202" t="e" vm="345">
        <f>IFERROR(_xlfn.IMAGE("https://natalie.tf/wp-content/uploads/2023/11/DLV3_Icon_Affinity_"&amp;O707&amp;".png"),"")</f>
        <v>#VALUE!</v>
      </c>
      <c r="O707" s="203" t="str">
        <f>+INDEX(WP!$A:$AN,MATCH(F707,WP!$B:$B,0),17)</f>
        <v>Staff</v>
      </c>
      <c r="P707" s="8" t="e" vm="456">
        <f>_xlfn.IMAGE("https://natalie.tf/wp-content/uploads/2023/10/DLV3_Icon_Ability_"&amp;INDEX('WP-A'!$A$1:$Z$498,MATCH('WP-Print'!Q707,'WP-A'!$A:$A,0),MATCH("Icon",'WP-A'!$A$1:$Z$1,0))&amp;".png")</f>
        <v>#VALUE!</v>
      </c>
      <c r="Q707" s="231" t="str">
        <f>+INDEX(WP!$A:$AN,MATCH(F707,WP!$B:$B,0),MATCH("Ability V3",WP!$A$2:$AN$2,0))</f>
        <v>Energy Doublebuff I</v>
      </c>
      <c r="R707" s="735"/>
    </row>
    <row r="708" spans="1:18" ht="7.5" customHeight="1" x14ac:dyDescent="0.2">
      <c r="A708" t="s">
        <v>10763</v>
      </c>
    </row>
    <row r="709" spans="1:18" ht="22.5" customHeight="1" x14ac:dyDescent="0.2">
      <c r="B709" s="729" t="e" vm="812">
        <f>_xlfn.IMAGE("https://natalie.tf/wp-content/uploads/2023/10/DLV3_Icon_WP_"&amp;G710&amp;"_01.png")</f>
        <v>#VALUE!</v>
      </c>
      <c r="D709" s="730" t="e" vm="813">
        <f>_xlfn.IMAGE("https://natalie.tf/wp-content/uploads/2023/10/DLV3_Icon_WP_"&amp;G710&amp;"_02.png")</f>
        <v>#VALUE!</v>
      </c>
      <c r="F709" s="717" t="str">
        <f>+INDEX(WP!$A:$AN,MATCH(F710,WP!$B:$B,0),MATCH("Name",WP!$A$2:$AN$2,0))</f>
        <v>Taiko Tandem</v>
      </c>
      <c r="G709" s="718"/>
      <c r="H709" s="719"/>
      <c r="J709" s="180" t="s">
        <v>10761</v>
      </c>
      <c r="K709" s="201">
        <f>+INDEX(WP!$A:$AN,MATCH(F710,WP!$B:$B,0),5)</f>
        <v>4</v>
      </c>
      <c r="L709" s="202">
        <f>+INDEX(WP!$A:$AN,MATCH(F710,WP!$B:$B,0),6)</f>
        <v>71</v>
      </c>
      <c r="M709" s="202">
        <f>+INDEX(WP!$A:$AN,MATCH(F710,WP!$B:$B,0),7)</f>
        <v>25</v>
      </c>
      <c r="N709" s="202" t="e" vm="341">
        <f>IFERROR(_xlfn.IMAGE("https://natalie.tf/wp-content/uploads/2023/11/DLV3_Icon_Affinity_"&amp;O709&amp;".png"),"")</f>
        <v>#VALUE!</v>
      </c>
      <c r="O709" s="203" t="str">
        <f>IF(INDEX(WP!$A:$AN,MATCH(F710,WP!$B:$B,0),8)=0,"None",INDEX(WP!$A:$AN,MATCH(F710,WP!$B:$B,0),8))</f>
        <v>Crown</v>
      </c>
      <c r="P709" s="8" t="e" vm="456">
        <f>_xlfn.IMAGE("https://natalie.tf/wp-content/uploads/2023/10/DLV3_Icon_Ability_"&amp;INDEX('WP-A'!$A$1:$Z$498,MATCH('WP-Print'!Q709,'WP-A'!$A:$A,0),MATCH("Icon",'WP-A'!$A$1:$Z$1,0))&amp;".png")</f>
        <v>#VALUE!</v>
      </c>
      <c r="Q709" s="231" t="str">
        <f>+INDEX(WP!$A:$AN,MATCH(F710,WP!$B:$B,0),MATCH("Ability",WP!$A$2:$AN$2,0))</f>
        <v>30 Hits = Energy Level Up</v>
      </c>
      <c r="R709" s="734" t="str">
        <f>+INDEX(WP!$A:$AN,MATCH(F710,WP!$B:$B,0),MATCH("Obtain From",WP!$A$2:$AN$2,0))</f>
        <v>Obtain From Ch. 12 EX 1 Chest (Very Hard) (Non-Endeavor)</v>
      </c>
    </row>
    <row r="710" spans="1:18" ht="22.5" customHeight="1" x14ac:dyDescent="0.2">
      <c r="A710" s="204" t="str">
        <f>TEXT(A707+1,"000")</f>
        <v>236</v>
      </c>
      <c r="B710" s="729"/>
      <c r="C710" s="8"/>
      <c r="D710" s="729"/>
      <c r="E710" s="8"/>
      <c r="F710" s="200" t="str">
        <f>"WP-"&amp;A710</f>
        <v>WP-236</v>
      </c>
      <c r="G710" s="200">
        <f>+INDEX(WP!$A:$AN,MATCH(F710,WP!$B:$B,0),MATCH("ID",WP!$A$2:$AN$2,0))</f>
        <v>400335</v>
      </c>
      <c r="I710" s="8"/>
      <c r="J710" s="180" t="s">
        <v>10762</v>
      </c>
      <c r="K710" s="201">
        <f>+INDEX(WP!$A:$AN,MATCH(F710,WP!$B:$B,0),14)</f>
        <v>4</v>
      </c>
      <c r="L710" s="202">
        <f>+INDEX(WP!$A:$AN,MATCH(F710,WP!$B:$B,0),15)</f>
        <v>130</v>
      </c>
      <c r="M710" s="202">
        <f>+INDEX(WP!$A:$AN,MATCH(F710,WP!$B:$B,0),16)</f>
        <v>80</v>
      </c>
      <c r="N710" s="202" t="e" vm="341">
        <f>IFERROR(_xlfn.IMAGE("https://natalie.tf/wp-content/uploads/2023/11/DLV3_Icon_Affinity_"&amp;O710&amp;".png"),"")</f>
        <v>#VALUE!</v>
      </c>
      <c r="O710" s="203" t="str">
        <f>+INDEX(WP!$A:$AN,MATCH(F710,WP!$B:$B,0),17)</f>
        <v>Crown</v>
      </c>
      <c r="P710" s="8" t="e" vm="456">
        <f>_xlfn.IMAGE("https://natalie.tf/wp-content/uploads/2023/10/DLV3_Icon_Ability_"&amp;INDEX('WP-A'!$A$1:$Z$498,MATCH('WP-Print'!Q710,'WP-A'!$A:$A,0),MATCH("Icon",'WP-A'!$A$1:$Z$1,0))&amp;".png")</f>
        <v>#VALUE!</v>
      </c>
      <c r="Q710" s="231" t="str">
        <f>+INDEX(WP!$A:$AN,MATCH(F710,WP!$B:$B,0),MATCH("Ability V3",WP!$A$2:$AN$2,0))</f>
        <v>20 Hits = Energy Level Up</v>
      </c>
      <c r="R710" s="735"/>
    </row>
    <row r="711" spans="1:18" ht="7.5" customHeight="1" x14ac:dyDescent="0.2">
      <c r="A711" t="s">
        <v>10763</v>
      </c>
    </row>
    <row r="712" spans="1:18" ht="22.5" customHeight="1" x14ac:dyDescent="0.2">
      <c r="B712" s="729" t="e" vm="814">
        <f>_xlfn.IMAGE("https://natalie.tf/wp-content/uploads/2023/10/DLV3_Icon_WP_"&amp;G713&amp;"_01.png")</f>
        <v>#VALUE!</v>
      </c>
      <c r="D712" s="730" t="e" vm="815">
        <f>_xlfn.IMAGE("https://natalie.tf/wp-content/uploads/2023/10/DLV3_Icon_WP_"&amp;G713&amp;"_02.png")</f>
        <v>#VALUE!</v>
      </c>
      <c r="F712" s="717" t="str">
        <f>+INDEX(WP!$A:$AN,MATCH(F713,WP!$B:$B,0),MATCH("Name",WP!$A$2:$AN$2,0))</f>
        <v>To the Extreme!</v>
      </c>
      <c r="G712" s="718"/>
      <c r="H712" s="719"/>
      <c r="J712" s="180" t="s">
        <v>10761</v>
      </c>
      <c r="K712" s="201">
        <f>+INDEX(WP!$A:$AN,MATCH(F713,WP!$B:$B,0),5)</f>
        <v>4</v>
      </c>
      <c r="L712" s="202">
        <f>+INDEX(WP!$A:$AN,MATCH(F713,WP!$B:$B,0),6)</f>
        <v>71</v>
      </c>
      <c r="M712" s="202">
        <f>+INDEX(WP!$A:$AN,MATCH(F713,WP!$B:$B,0),7)</f>
        <v>25</v>
      </c>
      <c r="N712" s="202" t="str">
        <f ca="1">IFERROR(_xlfn.IMAGE("https://natalie.tf/wp-content/uploads/2023/11/DLV3_Icon_Affinity_"&amp;O712&amp;".png"),"")</f>
        <v/>
      </c>
      <c r="O712" s="203" t="str">
        <f>IF(INDEX(WP!$A:$AN,MATCH(F713,WP!$B:$B,0),8)=0,"None",INDEX(WP!$A:$AN,MATCH(F713,WP!$B:$B,0),8))</f>
        <v>None</v>
      </c>
      <c r="P712" s="8" t="e" vm="326">
        <f>_xlfn.IMAGE("https://natalie.tf/wp-content/uploads/2023/10/DLV3_Icon_Ability_"&amp;INDEX('WP-A'!$A$1:$Z$498,MATCH('WP-Print'!Q712,'WP-A'!$A:$A,0),MATCH("Icon",'WP-A'!$A$1:$Z$1,0))&amp;".png")</f>
        <v>#VALUE!</v>
      </c>
      <c r="Q712" s="231" t="str">
        <f>+INDEX(WP!$A:$AN,MATCH(F713,WP!$B:$B,0),MATCH("Ability",WP!$A$2:$AN$2,0))</f>
        <v>(Flame) Flurry Devastation +12%</v>
      </c>
      <c r="R712" s="734" t="str">
        <f>+INDEX(WP!$A:$AN,MATCH(F713,WP!$B:$B,0),MATCH("Obtain From",WP!$A$2:$AN$2,0))</f>
        <v>Clear Arctos's Trial: Expert (Flames of Reflection)</v>
      </c>
    </row>
    <row r="713" spans="1:18" ht="22.5" customHeight="1" x14ac:dyDescent="0.2">
      <c r="A713" s="204" t="str">
        <f>TEXT(A710+1,"000")</f>
        <v>237</v>
      </c>
      <c r="B713" s="729"/>
      <c r="C713" s="8"/>
      <c r="D713" s="729"/>
      <c r="E713" s="8"/>
      <c r="F713" s="200" t="str">
        <f>"WP-"&amp;A713</f>
        <v>WP-237</v>
      </c>
      <c r="G713" s="200">
        <f>+INDEX(WP!$A:$AN,MATCH(F713,WP!$B:$B,0),MATCH("ID",WP!$A$2:$AN$2,0))</f>
        <v>400095</v>
      </c>
      <c r="I713" s="8"/>
      <c r="J713" s="180" t="s">
        <v>10762</v>
      </c>
      <c r="K713" s="201">
        <f>+INDEX(WP!$A:$AN,MATCH(F713,WP!$B:$B,0),14)</f>
        <v>4</v>
      </c>
      <c r="L713" s="202">
        <f>+INDEX(WP!$A:$AN,MATCH(F713,WP!$B:$B,0),15)</f>
        <v>130</v>
      </c>
      <c r="M713" s="202">
        <f>+INDEX(WP!$A:$AN,MATCH(F713,WP!$B:$B,0),16)</f>
        <v>80</v>
      </c>
      <c r="N713" s="202" t="e" vm="338">
        <f>IFERROR(_xlfn.IMAGE("https://natalie.tf/wp-content/uploads/2023/11/DLV3_Icon_Affinity_"&amp;O713&amp;".png"),"")</f>
        <v>#VALUE!</v>
      </c>
      <c r="O713" s="203" t="str">
        <f>+INDEX(WP!$A:$AN,MATCH(F713,WP!$B:$B,0),17)</f>
        <v>Wolf</v>
      </c>
      <c r="P713" s="8" t="e" vm="326">
        <f>_xlfn.IMAGE("https://natalie.tf/wp-content/uploads/2023/10/DLV3_Icon_Ability_"&amp;INDEX('WP-A'!$A$1:$Z$498,MATCH('WP-Print'!Q713,'WP-A'!$A:$A,0),MATCH("Icon",'WP-A'!$A$1:$Z$1,0))&amp;".png")</f>
        <v>#VALUE!</v>
      </c>
      <c r="Q713" s="231" t="str">
        <f>+INDEX(WP!$A:$AN,MATCH(F713,WP!$B:$B,0),MATCH("Ability V3",WP!$A$2:$AN$2,0))</f>
        <v>(Flame) Flurry Devastation +12%</v>
      </c>
      <c r="R713" s="735"/>
    </row>
    <row r="714" spans="1:18" ht="7.5" customHeight="1" x14ac:dyDescent="0.2">
      <c r="A714" t="s">
        <v>10763</v>
      </c>
    </row>
    <row r="715" spans="1:18" ht="22.5" customHeight="1" x14ac:dyDescent="0.2">
      <c r="B715" s="729" t="e" vm="816">
        <f>_xlfn.IMAGE("https://natalie.tf/wp-content/uploads/2023/10/DLV3_Icon_WP_"&amp;G716&amp;"_01.png")</f>
        <v>#VALUE!</v>
      </c>
      <c r="D715" s="730" t="e" vm="817">
        <f>_xlfn.IMAGE("https://natalie.tf/wp-content/uploads/2023/10/DLV3_Icon_WP_"&amp;G716&amp;"_02.png")</f>
        <v>#VALUE!</v>
      </c>
      <c r="F715" s="717" t="str">
        <f>+INDEX(WP!$A:$AN,MATCH(F716,WP!$B:$B,0),MATCH("Name",WP!$A$2:$AN$2,0))</f>
        <v>Beach Battle</v>
      </c>
      <c r="G715" s="718"/>
      <c r="H715" s="719"/>
      <c r="J715" s="180" t="s">
        <v>10761</v>
      </c>
      <c r="K715" s="201">
        <f>+INDEX(WP!$A:$AN,MATCH(F716,WP!$B:$B,0),5)</f>
        <v>4</v>
      </c>
      <c r="L715" s="202">
        <f>+INDEX(WP!$A:$AN,MATCH(F716,WP!$B:$B,0),6)</f>
        <v>71</v>
      </c>
      <c r="M715" s="202">
        <f>+INDEX(WP!$A:$AN,MATCH(F716,WP!$B:$B,0),7)</f>
        <v>25</v>
      </c>
      <c r="N715" s="202" t="e" vm="344">
        <f>IFERROR(_xlfn.IMAGE("https://natalie.tf/wp-content/uploads/2023/11/DLV3_Icon_Affinity_"&amp;O715&amp;".png"),"")</f>
        <v>#VALUE!</v>
      </c>
      <c r="O715" s="203" t="str">
        <f>IF(INDEX(WP!$A:$AN,MATCH(F716,WP!$B:$B,0),8)=0,"None",INDEX(WP!$A:$AN,MATCH(F716,WP!$B:$B,0),8))</f>
        <v>Eagle</v>
      </c>
      <c r="P715" s="8" t="e" vm="330">
        <f>_xlfn.IMAGE("https://natalie.tf/wp-content/uploads/2023/10/DLV3_Icon_Ability_"&amp;INDEX('WP-A'!$A$1:$Z$498,MATCH('WP-Print'!Q715,'WP-A'!$A:$A,0),MATCH("Icon",'WP-A'!$A$1:$Z$1,0))&amp;".png")</f>
        <v>#VALUE!</v>
      </c>
      <c r="Q715" s="231" t="str">
        <f>+INDEX(WP!$A:$AN,MATCH(F716,WP!$B:$B,0),MATCH("Ability",WP!$A$2:$AN$2,0))</f>
        <v>(Water) Skill Haste +7%</v>
      </c>
      <c r="R715" s="734" t="str">
        <f>+INDEX(WP!$A:$AN,MATCH(F716,WP!$B:$B,0),MATCH("Obtain From",WP!$A$2:$AN$2,0))</f>
        <v>Clear Giant Ember Toad Assault: Expert (A Splash of Adventure)</v>
      </c>
    </row>
    <row r="716" spans="1:18" ht="22.5" customHeight="1" x14ac:dyDescent="0.2">
      <c r="A716" s="204" t="str">
        <f>TEXT(A713+1,"000")</f>
        <v>238</v>
      </c>
      <c r="B716" s="729"/>
      <c r="C716" s="8"/>
      <c r="D716" s="729"/>
      <c r="E716" s="8"/>
      <c r="F716" s="200" t="str">
        <f>"WP-"&amp;A716</f>
        <v>WP-238</v>
      </c>
      <c r="G716" s="200">
        <f>+INDEX(WP!$A:$AN,MATCH(F716,WP!$B:$B,0),MATCH("ID",WP!$A$2:$AN$2,0))</f>
        <v>400337</v>
      </c>
      <c r="I716" s="8"/>
      <c r="J716" s="180" t="s">
        <v>10762</v>
      </c>
      <c r="K716" s="201">
        <f>+INDEX(WP!$A:$AN,MATCH(F716,WP!$B:$B,0),14)</f>
        <v>4</v>
      </c>
      <c r="L716" s="202">
        <f>+INDEX(WP!$A:$AN,MATCH(F716,WP!$B:$B,0),15)</f>
        <v>130</v>
      </c>
      <c r="M716" s="202">
        <f>+INDEX(WP!$A:$AN,MATCH(F716,WP!$B:$B,0),16)</f>
        <v>80</v>
      </c>
      <c r="N716" s="202" t="e" vm="344">
        <f>IFERROR(_xlfn.IMAGE("https://natalie.tf/wp-content/uploads/2023/11/DLV3_Icon_Affinity_"&amp;O716&amp;".png"),"")</f>
        <v>#VALUE!</v>
      </c>
      <c r="O716" s="203" t="str">
        <f>+INDEX(WP!$A:$AN,MATCH(F716,WP!$B:$B,0),17)</f>
        <v>Eagle</v>
      </c>
      <c r="P716" s="8" t="e" vm="330">
        <f>_xlfn.IMAGE("https://natalie.tf/wp-content/uploads/2023/10/DLV3_Icon_Ability_"&amp;INDEX('WP-A'!$A$1:$Z$498,MATCH('WP-Print'!Q716,'WP-A'!$A:$A,0),MATCH("Icon",'WP-A'!$A$1:$Z$1,0))&amp;".png")</f>
        <v>#VALUE!</v>
      </c>
      <c r="Q716" s="231" t="str">
        <f>+INDEX(WP!$A:$AN,MATCH(F716,WP!$B:$B,0),MATCH("Ability V3",WP!$A$2:$AN$2,0))</f>
        <v>(Water) Skill Haste +7%</v>
      </c>
      <c r="R716" s="735"/>
    </row>
    <row r="717" spans="1:18" ht="22.5" customHeight="1" x14ac:dyDescent="0.2">
      <c r="A717" t="s">
        <v>10763</v>
      </c>
    </row>
    <row r="718" spans="1:18" ht="22.5" customHeight="1" x14ac:dyDescent="0.2">
      <c r="B718" s="729" t="e" vm="818">
        <f>_xlfn.IMAGE("https://natalie.tf/wp-content/uploads/2023/10/DLV3_Icon_WP_"&amp;G719&amp;"_01.png")</f>
        <v>#VALUE!</v>
      </c>
      <c r="D718" s="730" t="e" vm="819">
        <f>_xlfn.IMAGE("https://natalie.tf/wp-content/uploads/2023/10/DLV3_Icon_WP_"&amp;G719&amp;"_02.png")</f>
        <v>#VALUE!</v>
      </c>
      <c r="F718" s="717" t="str">
        <f>+INDEX(WP!$A:$AN,MATCH(F719,WP!$B:$B,0),MATCH("Name",WP!$A$2:$AN$2,0))</f>
        <v>Preacher's Vacation</v>
      </c>
      <c r="G718" s="718"/>
      <c r="H718" s="719"/>
      <c r="J718" s="180" t="s">
        <v>10761</v>
      </c>
      <c r="K718" s="201">
        <f>+INDEX(WP!$A:$AN,MATCH(F719,WP!$B:$B,0),5)</f>
        <v>4</v>
      </c>
      <c r="L718" s="202">
        <f>+INDEX(WP!$A:$AN,MATCH(F719,WP!$B:$B,0),6)</f>
        <v>61</v>
      </c>
      <c r="M718" s="202">
        <f>+INDEX(WP!$A:$AN,MATCH(F719,WP!$B:$B,0),7)</f>
        <v>17</v>
      </c>
      <c r="N718" s="202" t="str">
        <f ca="1">IFERROR(_xlfn.IMAGE("https://natalie.tf/wp-content/uploads/2023/11/DLV3_Icon_Affinity_"&amp;O718&amp;".png"),"")</f>
        <v/>
      </c>
      <c r="O718" s="203" t="str">
        <f>IF(INDEX(WP!$A:$AN,MATCH(F719,WP!$B:$B,0),8)=0,"None",INDEX(WP!$A:$AN,MATCH(F719,WP!$B:$B,0),8))</f>
        <v>None</v>
      </c>
      <c r="P718" s="8" t="e" vm="820">
        <f>_xlfn.IMAGE("https://natalie.tf/wp-content/uploads/2023/10/DLV3_Icon_Ability_"&amp;INDEX('WP-A'!$A$1:$Z$498,MATCH('WP-Print'!Q718,'WP-A'!$A:$A,0),MATCH("Icon",'WP-A'!$A$1:$Z$1,0))&amp;".png")</f>
        <v>#VALUE!</v>
      </c>
      <c r="Q718" s="231" t="str">
        <f>+INDEX(WP!$A:$AN,MATCH(F719,WP!$B:$B,0),MATCH("Ability",WP!$A$2:$AN$2,0))</f>
        <v>Flame Res +10%</v>
      </c>
      <c r="R718" s="734" t="str">
        <f>+INDEX(WP!$A:$AN,MATCH(F719,WP!$B:$B,0),MATCH("Obtain From",WP!$A$2:$AN$2,0))</f>
        <v>Clear Tangled in Traps (A Splash of Adventure)</v>
      </c>
    </row>
    <row r="719" spans="1:18" ht="22.5" customHeight="1" x14ac:dyDescent="0.2">
      <c r="A719" s="204" t="str">
        <f>TEXT(A716+1,"000")</f>
        <v>239</v>
      </c>
      <c r="B719" s="729"/>
      <c r="C719" s="8"/>
      <c r="D719" s="729"/>
      <c r="E719" s="8"/>
      <c r="F719" s="200" t="str">
        <f>"WP-"&amp;A719</f>
        <v>WP-239</v>
      </c>
      <c r="G719" s="200">
        <f>+INDEX(WP!$A:$AN,MATCH(F719,WP!$B:$B,0),MATCH("ID",WP!$A$2:$AN$2,0))</f>
        <v>400336</v>
      </c>
      <c r="I719" s="8"/>
      <c r="J719" s="180" t="s">
        <v>10762</v>
      </c>
      <c r="K719" s="201">
        <f>+INDEX(WP!$A:$AN,MATCH(F719,WP!$B:$B,0),14)</f>
        <v>4</v>
      </c>
      <c r="L719" s="202">
        <f>+INDEX(WP!$A:$AN,MATCH(F719,WP!$B:$B,0),15)</f>
        <v>130</v>
      </c>
      <c r="M719" s="202">
        <f>+INDEX(WP!$A:$AN,MATCH(F719,WP!$B:$B,0),16)</f>
        <v>80</v>
      </c>
      <c r="N719" s="202" t="e" vm="338">
        <f>IFERROR(_xlfn.IMAGE("https://natalie.tf/wp-content/uploads/2023/11/DLV3_Icon_Affinity_"&amp;O719&amp;".png"),"")</f>
        <v>#VALUE!</v>
      </c>
      <c r="O719" s="203" t="str">
        <f>+INDEX(WP!$A:$AN,MATCH(F719,WP!$B:$B,0),17)</f>
        <v>Wolf</v>
      </c>
      <c r="P719" s="8" t="e" vm="820">
        <f>_xlfn.IMAGE("https://natalie.tf/wp-content/uploads/2023/10/DLV3_Icon_Ability_"&amp;INDEX('WP-A'!$A$1:$Z$498,MATCH('WP-Print'!Q719,'WP-A'!$A:$A,0),MATCH("Icon",'WP-A'!$A$1:$Z$1,0))&amp;".png")</f>
        <v>#VALUE!</v>
      </c>
      <c r="Q719" s="231" t="str">
        <f>+INDEX(WP!$A:$AN,MATCH(F719,WP!$B:$B,0),MATCH("Ability V3",WP!$A$2:$AN$2,0))</f>
        <v>Flame Res +10%</v>
      </c>
      <c r="R719" s="735"/>
    </row>
    <row r="720" spans="1:18" ht="7.5" customHeight="1" x14ac:dyDescent="0.2">
      <c r="A720" t="s">
        <v>10763</v>
      </c>
    </row>
    <row r="721" spans="1:18" ht="22.5" customHeight="1" x14ac:dyDescent="0.2">
      <c r="B721" s="729" t="e" vm="821">
        <f>_xlfn.IMAGE("https://natalie.tf/wp-content/uploads/2023/10/DLV3_Icon_WP_"&amp;G722&amp;"_01.png")</f>
        <v>#VALUE!</v>
      </c>
      <c r="D721" s="730" t="e" vm="822">
        <f>_xlfn.IMAGE("https://natalie.tf/wp-content/uploads/2023/10/DLV3_Icon_WP_"&amp;G722&amp;"_02.png")</f>
        <v>#VALUE!</v>
      </c>
      <c r="F721" s="717" t="str">
        <f>+INDEX(WP!$A:$AN,MATCH(F722,WP!$B:$B,0),MATCH("Name",WP!$A$2:$AN$2,0))</f>
        <v>The Bustling Hut</v>
      </c>
      <c r="G721" s="718"/>
      <c r="H721" s="719"/>
      <c r="J721" s="180" t="s">
        <v>10761</v>
      </c>
      <c r="K721" s="201">
        <f>+INDEX(WP!$A:$AN,MATCH(F722,WP!$B:$B,0),5)</f>
        <v>4</v>
      </c>
      <c r="L721" s="202">
        <f>+INDEX(WP!$A:$AN,MATCH(F722,WP!$B:$B,0),6)</f>
        <v>71</v>
      </c>
      <c r="M721" s="202">
        <f>+INDEX(WP!$A:$AN,MATCH(F722,WP!$B:$B,0),7)</f>
        <v>25</v>
      </c>
      <c r="N721" s="202" t="str">
        <f ca="1">IFERROR(_xlfn.IMAGE("https://natalie.tf/wp-content/uploads/2023/11/DLV3_Icon_Affinity_"&amp;O721&amp;".png"),"")</f>
        <v/>
      </c>
      <c r="O721" s="203" t="str">
        <f>IF(INDEX(WP!$A:$AN,MATCH(F722,WP!$B:$B,0),8)=0,"None",INDEX(WP!$A:$AN,MATCH(F722,WP!$B:$B,0),8))</f>
        <v>None</v>
      </c>
      <c r="P721" s="8" t="e" vm="330">
        <f>_xlfn.IMAGE("https://natalie.tf/wp-content/uploads/2023/10/DLV3_Icon_Ability_"&amp;INDEX('WP-A'!$A$1:$Z$498,MATCH('WP-Print'!Q721,'WP-A'!$A:$A,0),MATCH("Icon",'WP-A'!$A$1:$Z$1,0))&amp;".png")</f>
        <v>#VALUE!</v>
      </c>
      <c r="Q721" s="231" t="str">
        <f>+INDEX(WP!$A:$AN,MATCH(F722,WP!$B:$B,0),MATCH("Ability",WP!$A$2:$AN$2,0))</f>
        <v>(Light) Skill Haste +7%</v>
      </c>
      <c r="R721" s="734" t="str">
        <f>+INDEX(WP!$A:$AN,MATCH(F722,WP!$B:$B,0),MATCH("Obtain From",WP!$A$2:$AN$2,0))</f>
        <v>Clear A Fiendish Performance: Standard (A Crescendo of Courage)</v>
      </c>
    </row>
    <row r="722" spans="1:18" ht="22.5" customHeight="1" x14ac:dyDescent="0.2">
      <c r="A722" s="204" t="str">
        <f>TEXT(A719+1,"000")</f>
        <v>240</v>
      </c>
      <c r="B722" s="729"/>
      <c r="C722" s="8"/>
      <c r="D722" s="729"/>
      <c r="E722" s="8"/>
      <c r="F722" s="200" t="str">
        <f>"WP-"&amp;A722</f>
        <v>WP-240</v>
      </c>
      <c r="G722" s="200">
        <f>+INDEX(WP!$A:$AN,MATCH(F722,WP!$B:$B,0),MATCH("ID",WP!$A$2:$AN$2,0))</f>
        <v>400339</v>
      </c>
      <c r="I722" s="8"/>
      <c r="J722" s="180" t="s">
        <v>10762</v>
      </c>
      <c r="K722" s="201">
        <f>+INDEX(WP!$A:$AN,MATCH(F722,WP!$B:$B,0),14)</f>
        <v>4</v>
      </c>
      <c r="L722" s="202">
        <f>+INDEX(WP!$A:$AN,MATCH(F722,WP!$B:$B,0),15)</f>
        <v>130</v>
      </c>
      <c r="M722" s="202">
        <f>+INDEX(WP!$A:$AN,MATCH(F722,WP!$B:$B,0),16)</f>
        <v>80</v>
      </c>
      <c r="N722" s="202" t="e" vm="354">
        <f>IFERROR(_xlfn.IMAGE("https://natalie.tf/wp-content/uploads/2023/11/DLV3_Icon_Affinity_"&amp;O722&amp;".png"),"")</f>
        <v>#VALUE!</v>
      </c>
      <c r="O722" s="203" t="str">
        <f>+INDEX(WP!$A:$AN,MATCH(F722,WP!$B:$B,0),17)</f>
        <v>Butterfly</v>
      </c>
      <c r="P722" s="8" t="e" vm="330">
        <f>_xlfn.IMAGE("https://natalie.tf/wp-content/uploads/2023/10/DLV3_Icon_Ability_"&amp;INDEX('WP-A'!$A$1:$Z$498,MATCH('WP-Print'!Q722,'WP-A'!$A:$A,0),MATCH("Icon",'WP-A'!$A$1:$Z$1,0))&amp;".png")</f>
        <v>#VALUE!</v>
      </c>
      <c r="Q722" s="231" t="str">
        <f>+INDEX(WP!$A:$AN,MATCH(F722,WP!$B:$B,0),MATCH("Ability V3",WP!$A$2:$AN$2,0))</f>
        <v>(Flame) Skill Haste +7%</v>
      </c>
      <c r="R722" s="735"/>
    </row>
    <row r="723" spans="1:18" ht="7.5" customHeight="1" x14ac:dyDescent="0.2">
      <c r="A723" t="s">
        <v>10763</v>
      </c>
    </row>
    <row r="724" spans="1:18" ht="22.5" customHeight="1" x14ac:dyDescent="0.2">
      <c r="B724" s="729" t="e" vm="823">
        <f>_xlfn.IMAGE("https://natalie.tf/wp-content/uploads/2023/10/DLV3_Icon_WP_"&amp;G725&amp;"_01.png")</f>
        <v>#VALUE!</v>
      </c>
      <c r="D724" s="730" t="e" vm="824">
        <f>_xlfn.IMAGE("https://natalie.tf/wp-content/uploads/2023/10/DLV3_Icon_WP_"&amp;G725&amp;"_02.png")</f>
        <v>#VALUE!</v>
      </c>
      <c r="F724" s="717" t="str">
        <f>+INDEX(WP!$A:$AN,MATCH(F725,WP!$B:$B,0),MATCH("Name",WP!$A$2:$AN$2,0))</f>
        <v>Hastened Squall</v>
      </c>
      <c r="G724" s="718"/>
      <c r="H724" s="719"/>
      <c r="J724" s="180" t="s">
        <v>10761</v>
      </c>
      <c r="K724" s="201">
        <f>+INDEX(WP!$A:$AN,MATCH(F725,WP!$B:$B,0),5)</f>
        <v>4</v>
      </c>
      <c r="L724" s="202">
        <f>+INDEX(WP!$A:$AN,MATCH(F725,WP!$B:$B,0),6)</f>
        <v>70</v>
      </c>
      <c r="M724" s="202">
        <f>+INDEX(WP!$A:$AN,MATCH(F725,WP!$B:$B,0),7)</f>
        <v>26</v>
      </c>
      <c r="N724" s="202" t="str">
        <f ca="1">IFERROR(_xlfn.IMAGE("https://natalie.tf/wp-content/uploads/2023/11/DLV3_Icon_Affinity_"&amp;O724&amp;".png"),"")</f>
        <v/>
      </c>
      <c r="O724" s="203" t="str">
        <f>IF(INDEX(WP!$A:$AN,MATCH(F725,WP!$B:$B,0),8)=0,"None",INDEX(WP!$A:$AN,MATCH(F725,WP!$B:$B,0),8))</f>
        <v>None</v>
      </c>
      <c r="P724" s="8" t="e" vm="414">
        <f>_xlfn.IMAGE("https://natalie.tf/wp-content/uploads/2023/10/DLV3_Icon_Ability_"&amp;INDEX('WP-A'!$A$1:$Z$498,MATCH('WP-Print'!Q724,'WP-A'!$A:$A,0),MATCH("Icon",'WP-A'!$A$1:$Z$1,0))&amp;".png")</f>
        <v>#VALUE!</v>
      </c>
      <c r="Q724" s="231" t="str">
        <f>+INDEX(WP!$A:$AN,MATCH(F725,WP!$B:$B,0),MATCH("Ability",WP!$A$2:$AN$2,0))</f>
        <v>(Wind) Critical Damage +15%</v>
      </c>
      <c r="R724" s="734" t="str">
        <f>+INDEX(WP!$A:$AN,MATCH(F725,WP!$B:$B,0),MATCH("Obtain From",WP!$A$2:$AN$2,0))</f>
        <v>Clear Lightsunder Ruins: Beginner (Elemental Ruins)</v>
      </c>
    </row>
    <row r="725" spans="1:18" ht="22.5" customHeight="1" x14ac:dyDescent="0.2">
      <c r="A725" s="204" t="str">
        <f>TEXT(A722+1,"000")</f>
        <v>241</v>
      </c>
      <c r="B725" s="729"/>
      <c r="C725" s="8"/>
      <c r="D725" s="729"/>
      <c r="E725" s="8"/>
      <c r="F725" s="200" t="str">
        <f>"WP-"&amp;A725</f>
        <v>WP-241</v>
      </c>
      <c r="G725" s="200">
        <f>+INDEX(WP!$A:$AN,MATCH(F725,WP!$B:$B,0),MATCH("ID",WP!$A$2:$AN$2,0))</f>
        <v>400379</v>
      </c>
      <c r="I725" s="8"/>
      <c r="J725" s="180" t="s">
        <v>10762</v>
      </c>
      <c r="K725" s="201">
        <f>+INDEX(WP!$A:$AN,MATCH(F725,WP!$B:$B,0),14)</f>
        <v>4</v>
      </c>
      <c r="L725" s="202">
        <f>+INDEX(WP!$A:$AN,MATCH(F725,WP!$B:$B,0),15)</f>
        <v>130</v>
      </c>
      <c r="M725" s="202">
        <f>+INDEX(WP!$A:$AN,MATCH(F725,WP!$B:$B,0),16)</f>
        <v>80</v>
      </c>
      <c r="N725" s="202" t="e" vm="346">
        <f>IFERROR(_xlfn.IMAGE("https://natalie.tf/wp-content/uploads/2023/11/DLV3_Icon_Affinity_"&amp;O725&amp;".png"),"")</f>
        <v>#VALUE!</v>
      </c>
      <c r="O725" s="203" t="str">
        <f>+INDEX(WP!$A:$AN,MATCH(F725,WP!$B:$B,0),17)</f>
        <v>Bull</v>
      </c>
      <c r="P725" s="8" t="e" vm="414">
        <f>_xlfn.IMAGE("https://natalie.tf/wp-content/uploads/2023/10/DLV3_Icon_Ability_"&amp;INDEX('WP-A'!$A$1:$Z$498,MATCH('WP-Print'!Q725,'WP-A'!$A:$A,0),MATCH("Icon",'WP-A'!$A$1:$Z$1,0))&amp;".png")</f>
        <v>#VALUE!</v>
      </c>
      <c r="Q725" s="231" t="str">
        <f>+INDEX(WP!$A:$AN,MATCH(F725,WP!$B:$B,0),MATCH("Ability V3",WP!$A$2:$AN$2,0))</f>
        <v>Critical Damage Doublebuff +10%</v>
      </c>
      <c r="R725" s="735"/>
    </row>
    <row r="726" spans="1:18" ht="7.5" customHeight="1" x14ac:dyDescent="0.2">
      <c r="A726" t="s">
        <v>10763</v>
      </c>
    </row>
    <row r="727" spans="1:18" ht="22.5" customHeight="1" x14ac:dyDescent="0.2">
      <c r="B727" s="729" t="e" vm="825">
        <f>_xlfn.IMAGE("https://natalie.tf/wp-content/uploads/2023/10/DLV3_Icon_WP_"&amp;G728&amp;"_01.png")</f>
        <v>#VALUE!</v>
      </c>
      <c r="D727" s="730" t="e" vm="826">
        <f>_xlfn.IMAGE("https://natalie.tf/wp-content/uploads/2023/10/DLV3_Icon_WP_"&amp;G728&amp;"_02.png")</f>
        <v>#VALUE!</v>
      </c>
      <c r="F727" s="717" t="str">
        <f>+INDEX(WP!$A:$AN,MATCH(F728,WP!$B:$B,0),MATCH("Name",WP!$A$2:$AN$2,0))</f>
        <v>Beautiful Nothingness</v>
      </c>
      <c r="G727" s="718"/>
      <c r="H727" s="719"/>
      <c r="J727" s="180" t="s">
        <v>10761</v>
      </c>
      <c r="K727" s="201">
        <f>+INDEX(WP!$A:$AN,MATCH(F728,WP!$B:$B,0),5)</f>
        <v>4</v>
      </c>
      <c r="L727" s="202">
        <f>+INDEX(WP!$A:$AN,MATCH(F728,WP!$B:$B,0),6)</f>
        <v>71</v>
      </c>
      <c r="M727" s="202">
        <f>+INDEX(WP!$A:$AN,MATCH(F728,WP!$B:$B,0),7)</f>
        <v>25</v>
      </c>
      <c r="N727" s="202" t="e" vm="339">
        <f>IFERROR(_xlfn.IMAGE("https://natalie.tf/wp-content/uploads/2023/11/DLV3_Icon_Affinity_"&amp;O727&amp;".png"),"")</f>
        <v>#VALUE!</v>
      </c>
      <c r="O727" s="203" t="str">
        <f>IF(INDEX(WP!$A:$AN,MATCH(F728,WP!$B:$B,0),8)=0,"None",INDEX(WP!$A:$AN,MATCH(F728,WP!$B:$B,0),8))</f>
        <v>Sword</v>
      </c>
      <c r="P727" s="8" t="e" vm="14">
        <f>_xlfn.IMAGE("https://natalie.tf/wp-content/uploads/2023/10/DLV3_Icon_Ability_"&amp;INDEX('WP-A'!$A$1:$Z$498,MATCH('WP-Print'!Q727,'WP-A'!$A:$A,0),MATCH("Icon",'WP-A'!$A$1:$Z$1,0))&amp;".png")</f>
        <v>#VALUE!</v>
      </c>
      <c r="Q727" s="231" t="str">
        <f>+INDEX(WP!$A:$AN,MATCH(F728,WP!$B:$B,0),MATCH("Ability",WP!$A$2:$AN$2,0))</f>
        <v>HP 70% = Strength +10%</v>
      </c>
      <c r="R727" s="734" t="str">
        <f>+INDEX(WP!$A:$AN,MATCH(F728,WP!$B:$B,0),MATCH("Obtain From",WP!$A$2:$AN$2,0))</f>
        <v>Obtain From Ch. 15 EX 1 Chest (Very Hard) (Non-Endeavor)</v>
      </c>
    </row>
    <row r="728" spans="1:18" ht="22.5" customHeight="1" x14ac:dyDescent="0.2">
      <c r="A728" s="204" t="str">
        <f>TEXT(A725+1,"000")</f>
        <v>242</v>
      </c>
      <c r="B728" s="729"/>
      <c r="C728" s="8"/>
      <c r="D728" s="729"/>
      <c r="E728" s="8"/>
      <c r="F728" s="200" t="str">
        <f>"WP-"&amp;A728</f>
        <v>WP-242</v>
      </c>
      <c r="G728" s="200">
        <f>+INDEX(WP!$A:$AN,MATCH(F728,WP!$B:$B,0),MATCH("ID",WP!$A$2:$AN$2,0))</f>
        <v>400381</v>
      </c>
      <c r="I728" s="8"/>
      <c r="J728" s="180" t="s">
        <v>10762</v>
      </c>
      <c r="K728" s="201">
        <f>+INDEX(WP!$A:$AN,MATCH(F728,WP!$B:$B,0),14)</f>
        <v>4</v>
      </c>
      <c r="L728" s="202">
        <f>+INDEX(WP!$A:$AN,MATCH(F728,WP!$B:$B,0),15)</f>
        <v>130</v>
      </c>
      <c r="M728" s="202">
        <f>+INDEX(WP!$A:$AN,MATCH(F728,WP!$B:$B,0),16)</f>
        <v>80</v>
      </c>
      <c r="N728" s="202" t="e" vm="339">
        <f>IFERROR(_xlfn.IMAGE("https://natalie.tf/wp-content/uploads/2023/11/DLV3_Icon_Affinity_"&amp;O728&amp;".png"),"")</f>
        <v>#VALUE!</v>
      </c>
      <c r="O728" s="203" t="str">
        <f>+INDEX(WP!$A:$AN,MATCH(F728,WP!$B:$B,0),17)</f>
        <v>Sword</v>
      </c>
      <c r="P728" s="8" t="e" vm="14">
        <f>_xlfn.IMAGE("https://natalie.tf/wp-content/uploads/2023/10/DLV3_Icon_Ability_"&amp;INDEX('WP-A'!$A$1:$Z$498,MATCH('WP-Print'!Q728,'WP-A'!$A:$A,0),MATCH("Icon",'WP-A'!$A$1:$Z$1,0))&amp;".png")</f>
        <v>#VALUE!</v>
      </c>
      <c r="Q728" s="231" t="str">
        <f>+INDEX(WP!$A:$AN,MATCH(F728,WP!$B:$B,0),MATCH("Ability V3",WP!$A$2:$AN$2,0))</f>
        <v>Strength +13%</v>
      </c>
      <c r="R728" s="735"/>
    </row>
    <row r="729" spans="1:18" ht="7.5" customHeight="1" x14ac:dyDescent="0.2">
      <c r="A729" t="s">
        <v>10763</v>
      </c>
    </row>
    <row r="730" spans="1:18" ht="22.5" customHeight="1" x14ac:dyDescent="0.2">
      <c r="B730" s="729" t="e" vm="827">
        <f>_xlfn.IMAGE("https://natalie.tf/wp-content/uploads/2023/10/DLV3_Icon_WP_"&amp;G731&amp;"_01.png")</f>
        <v>#VALUE!</v>
      </c>
      <c r="D730" s="730" t="e" vm="828">
        <f>_xlfn.IMAGE("https://natalie.tf/wp-content/uploads/2023/10/DLV3_Icon_WP_"&amp;G731&amp;"_02.png")</f>
        <v>#VALUE!</v>
      </c>
      <c r="F730" s="717" t="str">
        <f>+INDEX(WP!$A:$AN,MATCH(F731,WP!$B:$B,0),MATCH("Name",WP!$A$2:$AN$2,0))</f>
        <v>The Bewitching Magician</v>
      </c>
      <c r="G730" s="718"/>
      <c r="H730" s="719"/>
      <c r="J730" s="180" t="s">
        <v>10761</v>
      </c>
      <c r="K730" s="201">
        <f>+INDEX(WP!$A:$AN,MATCH(F731,WP!$B:$B,0),5)</f>
        <v>4</v>
      </c>
      <c r="L730" s="202">
        <f>+INDEX(WP!$A:$AN,MATCH(F731,WP!$B:$B,0),6)</f>
        <v>61</v>
      </c>
      <c r="M730" s="202">
        <f>+INDEX(WP!$A:$AN,MATCH(F731,WP!$B:$B,0),7)</f>
        <v>17</v>
      </c>
      <c r="N730" s="202" t="str">
        <f ca="1">IFERROR(_xlfn.IMAGE("https://natalie.tf/wp-content/uploads/2023/11/DLV3_Icon_Affinity_"&amp;O730&amp;".png"),"")</f>
        <v/>
      </c>
      <c r="O730" s="203" t="str">
        <f>IF(INDEX(WP!$A:$AN,MATCH(F731,WP!$B:$B,0),8)=0,"None",INDEX(WP!$A:$AN,MATCH(F731,WP!$B:$B,0),8))</f>
        <v>None</v>
      </c>
      <c r="P730" s="8" t="e" vm="435">
        <f>_xlfn.IMAGE("https://natalie.tf/wp-content/uploads/2023/10/DLV3_Icon_Ability_"&amp;INDEX('WP-A'!$A$1:$Z$498,MATCH('WP-Print'!Q730,'WP-A'!$A:$A,0),MATCH("Icon",'WP-A'!$A$1:$Z$1,0))&amp;".png")</f>
        <v>#VALUE!</v>
      </c>
      <c r="Q730" s="231" t="str">
        <f>+INDEX(WP!$A:$AN,MATCH(F731,WP!$B:$B,0),MATCH("Ability",WP!$A$2:$AN$2,0))</f>
        <v>Light Res +10%</v>
      </c>
      <c r="R730" s="734" t="str">
        <f>+INDEX(WP!$A:$AN,MATCH(F731,WP!$B:$B,0),MATCH("Obtain From",WP!$A$2:$AN$2,0))</f>
        <v>Clear A Light in the Darkness (Fractured Futures)</v>
      </c>
    </row>
    <row r="731" spans="1:18" ht="22.5" customHeight="1" x14ac:dyDescent="0.2">
      <c r="A731" s="204" t="str">
        <f>TEXT(A728+1,"000")</f>
        <v>243</v>
      </c>
      <c r="B731" s="729"/>
      <c r="C731" s="8"/>
      <c r="D731" s="729"/>
      <c r="E731" s="8"/>
      <c r="F731" s="200" t="str">
        <f>"WP-"&amp;A731</f>
        <v>WP-243</v>
      </c>
      <c r="G731" s="200">
        <f>+INDEX(WP!$A:$AN,MATCH(F731,WP!$B:$B,0),MATCH("ID",WP!$A$2:$AN$2,0))</f>
        <v>400387</v>
      </c>
      <c r="I731" s="8"/>
      <c r="J731" s="180" t="s">
        <v>10762</v>
      </c>
      <c r="K731" s="201">
        <f>+INDEX(WP!$A:$AN,MATCH(F731,WP!$B:$B,0),14)</f>
        <v>4</v>
      </c>
      <c r="L731" s="202">
        <f>+INDEX(WP!$A:$AN,MATCH(F731,WP!$B:$B,0),15)</f>
        <v>130</v>
      </c>
      <c r="M731" s="202">
        <f>+INDEX(WP!$A:$AN,MATCH(F731,WP!$B:$B,0),16)</f>
        <v>80</v>
      </c>
      <c r="N731" s="202" t="e" vm="362">
        <f>IFERROR(_xlfn.IMAGE("https://natalie.tf/wp-content/uploads/2023/11/DLV3_Icon_Affinity_"&amp;O731&amp;".png"),"")</f>
        <v>#VALUE!</v>
      </c>
      <c r="O731" s="203" t="str">
        <f>+INDEX(WP!$A:$AN,MATCH(F731,WP!$B:$B,0),17)</f>
        <v>Bat</v>
      </c>
      <c r="P731" s="8" t="e" vm="435">
        <f>_xlfn.IMAGE("https://natalie.tf/wp-content/uploads/2023/10/DLV3_Icon_Ability_"&amp;INDEX('WP-A'!$A$1:$Z$498,MATCH('WP-Print'!Q731,'WP-A'!$A:$A,0),MATCH("Icon",'WP-A'!$A$1:$Z$1,0))&amp;".png")</f>
        <v>#VALUE!</v>
      </c>
      <c r="Q731" s="231" t="str">
        <f>+INDEX(WP!$A:$AN,MATCH(F731,WP!$B:$B,0),MATCH("Ability V3",WP!$A$2:$AN$2,0))</f>
        <v>Light Res +10%</v>
      </c>
      <c r="R731" s="735"/>
    </row>
    <row r="732" spans="1:18" ht="7.5" customHeight="1" x14ac:dyDescent="0.2">
      <c r="A732" t="s">
        <v>10763</v>
      </c>
    </row>
    <row r="733" spans="1:18" ht="22.5" customHeight="1" x14ac:dyDescent="0.2">
      <c r="B733" s="729" t="e" vm="829">
        <f>_xlfn.IMAGE("https://natalie.tf/wp-content/uploads/2023/10/DLV3_Icon_WP_"&amp;G734&amp;"_01.png")</f>
        <v>#VALUE!</v>
      </c>
      <c r="D733" s="730" t="e" vm="830">
        <f>_xlfn.IMAGE("https://natalie.tf/wp-content/uploads/2023/10/DLV3_Icon_WP_"&amp;G734&amp;"_02.png")</f>
        <v>#VALUE!</v>
      </c>
      <c r="F733" s="717" t="str">
        <f>+INDEX(WP!$A:$AN,MATCH(F734,WP!$B:$B,0),MATCH("Name",WP!$A$2:$AN$2,0))</f>
        <v>Odd Sparrows</v>
      </c>
      <c r="G733" s="718"/>
      <c r="H733" s="719"/>
      <c r="J733" s="180" t="s">
        <v>10761</v>
      </c>
      <c r="K733" s="201">
        <f>+INDEX(WP!$A:$AN,MATCH(F734,WP!$B:$B,0),5)</f>
        <v>4</v>
      </c>
      <c r="L733" s="202">
        <f>+INDEX(WP!$A:$AN,MATCH(F734,WP!$B:$B,0),6)</f>
        <v>71</v>
      </c>
      <c r="M733" s="202">
        <f>+INDEX(WP!$A:$AN,MATCH(F734,WP!$B:$B,0),7)</f>
        <v>25</v>
      </c>
      <c r="N733" s="202" t="e" vm="343">
        <f>IFERROR(_xlfn.IMAGE("https://natalie.tf/wp-content/uploads/2023/11/DLV3_Icon_Affinity_"&amp;O733&amp;".png"),"")</f>
        <v>#VALUE!</v>
      </c>
      <c r="O733" s="203" t="str">
        <f>IF(INDEX(WP!$A:$AN,MATCH(F734,WP!$B:$B,0),8)=0,"None",INDEX(WP!$A:$AN,MATCH(F734,WP!$B:$B,0),8))</f>
        <v>Axe</v>
      </c>
      <c r="P733" s="8" t="e" vm="476">
        <f>_xlfn.IMAGE("https://natalie.tf/wp-content/uploads/2023/10/DLV3_Icon_Ability_"&amp;INDEX('WP-A'!$A$1:$Z$498,MATCH('WP-Print'!Q733,'WP-A'!$A:$A,0),MATCH("Icon",'WP-A'!$A$1:$Z$1,0))&amp;".png")</f>
        <v>#VALUE!</v>
      </c>
      <c r="Q733" s="231" t="str">
        <f>+INDEX(WP!$A:$AN,MATCH(F734,WP!$B:$B,0),MATCH("Ability",WP!$A$2:$AN$2,0))</f>
        <v>Healing Doublebuff III</v>
      </c>
      <c r="R733" s="734" t="str">
        <f>+INDEX(WP!$A:$AN,MATCH(F734,WP!$B:$B,0),MATCH("Obtain From",WP!$A$2:$AN$2,0))</f>
        <v>Obtain From Ch. 09 EX 1 Chest (Hard) (Non-Endeavor)</v>
      </c>
    </row>
    <row r="734" spans="1:18" ht="22.5" customHeight="1" x14ac:dyDescent="0.2">
      <c r="A734" s="204" t="str">
        <f>TEXT(A731+1,"000")</f>
        <v>244</v>
      </c>
      <c r="B734" s="729"/>
      <c r="C734" s="8"/>
      <c r="D734" s="729"/>
      <c r="E734" s="8"/>
      <c r="F734" s="200" t="str">
        <f>"WP-"&amp;A734</f>
        <v>WP-244</v>
      </c>
      <c r="G734" s="200">
        <f>+INDEX(WP!$A:$AN,MATCH(F734,WP!$B:$B,0),MATCH("ID",WP!$A$2:$AN$2,0))</f>
        <v>400385</v>
      </c>
      <c r="I734" s="8"/>
      <c r="J734" s="180" t="s">
        <v>10762</v>
      </c>
      <c r="K734" s="201">
        <f>+INDEX(WP!$A:$AN,MATCH(F734,WP!$B:$B,0),14)</f>
        <v>4</v>
      </c>
      <c r="L734" s="202">
        <f>+INDEX(WP!$A:$AN,MATCH(F734,WP!$B:$B,0),15)</f>
        <v>130</v>
      </c>
      <c r="M734" s="202">
        <f>+INDEX(WP!$A:$AN,MATCH(F734,WP!$B:$B,0),16)</f>
        <v>80</v>
      </c>
      <c r="N734" s="202" t="e" vm="343">
        <f>IFERROR(_xlfn.IMAGE("https://natalie.tf/wp-content/uploads/2023/11/DLV3_Icon_Affinity_"&amp;O734&amp;".png"),"")</f>
        <v>#VALUE!</v>
      </c>
      <c r="O734" s="203" t="str">
        <f>+INDEX(WP!$A:$AN,MATCH(F734,WP!$B:$B,0),17)</f>
        <v>Axe</v>
      </c>
      <c r="P734" s="8" t="e" vm="476">
        <f>_xlfn.IMAGE("https://natalie.tf/wp-content/uploads/2023/10/DLV3_Icon_Ability_"&amp;INDEX('WP-A'!$A$1:$Z$498,MATCH('WP-Print'!Q734,'WP-A'!$A:$A,0),MATCH("Icon",'WP-A'!$A$1:$Z$1,0))&amp;".png")</f>
        <v>#VALUE!</v>
      </c>
      <c r="Q734" s="231" t="str">
        <f>+INDEX(WP!$A:$AN,MATCH(F734,WP!$B:$B,0),MATCH("Ability V3",WP!$A$2:$AN$2,0))</f>
        <v>Healing Doublebuff III</v>
      </c>
      <c r="R734" s="735"/>
    </row>
    <row r="735" spans="1:18" ht="7.5" customHeight="1" x14ac:dyDescent="0.2">
      <c r="A735" t="s">
        <v>10763</v>
      </c>
    </row>
    <row r="736" spans="1:18" ht="22.5" customHeight="1" x14ac:dyDescent="0.2">
      <c r="B736" s="729" t="e" vm="831">
        <f>_xlfn.IMAGE("https://natalie.tf/wp-content/uploads/2023/10/DLV3_Icon_WP_"&amp;G737&amp;"_01.png")</f>
        <v>#VALUE!</v>
      </c>
      <c r="D736" s="730" t="e" vm="832">
        <f>_xlfn.IMAGE("https://natalie.tf/wp-content/uploads/2023/10/DLV3_Icon_WP_"&amp;G737&amp;"_02.png")</f>
        <v>#VALUE!</v>
      </c>
      <c r="F736" s="717" t="str">
        <f>+INDEX(WP!$A:$AN,MATCH(F737,WP!$B:$B,0),MATCH("Name",WP!$A$2:$AN$2,0))</f>
        <v>Masquerade Mission</v>
      </c>
      <c r="G736" s="718"/>
      <c r="H736" s="719"/>
      <c r="J736" s="180" t="s">
        <v>10761</v>
      </c>
      <c r="K736" s="201">
        <f>+INDEX(WP!$A:$AN,MATCH(F737,WP!$B:$B,0),5)</f>
        <v>4</v>
      </c>
      <c r="L736" s="202">
        <f>+INDEX(WP!$A:$AN,MATCH(F737,WP!$B:$B,0),6)</f>
        <v>75</v>
      </c>
      <c r="M736" s="202">
        <f>+INDEX(WP!$A:$AN,MATCH(F737,WP!$B:$B,0),7)</f>
        <v>21</v>
      </c>
      <c r="N736" s="202" t="str">
        <f ca="1">IFERROR(_xlfn.IMAGE("https://natalie.tf/wp-content/uploads/2023/11/DLV3_Icon_Affinity_"&amp;O736&amp;".png"),"")</f>
        <v/>
      </c>
      <c r="O736" s="203" t="str">
        <f>IF(INDEX(WP!$A:$AN,MATCH(F737,WP!$B:$B,0),8)=0,"None",INDEX(WP!$A:$AN,MATCH(F737,WP!$B:$B,0),8))</f>
        <v>None</v>
      </c>
      <c r="P736" s="8" t="e" vm="402">
        <f>_xlfn.IMAGE("https://natalie.tf/wp-content/uploads/2023/10/DLV3_Icon_Ability_"&amp;INDEX('WP-A'!$A$1:$Z$498,MATCH('WP-Print'!Q736,'WP-A'!$A:$A,0),MATCH("Icon",'WP-A'!$A$1:$Z$1,0))&amp;".png")</f>
        <v>#VALUE!</v>
      </c>
      <c r="Q736" s="231" t="str">
        <f>+INDEX(WP!$A:$AN,MATCH(F737,WP!$B:$B,0),MATCH("Ability",WP!$A$2:$AN$2,0))</f>
        <v>Shadow Res +10%</v>
      </c>
      <c r="R736" s="734" t="str">
        <f>+INDEX(WP!$A:$AN,MATCH(F737,WP!$B:$B,0),MATCH("Obtain From",WP!$A$2:$AN$2,0))</f>
        <v>Obtain From Ch. 10 EX 1 Chest (Normal) (Non-Endeavor)</v>
      </c>
    </row>
    <row r="737" spans="1:18" ht="22.5" customHeight="1" x14ac:dyDescent="0.2">
      <c r="A737" s="204" t="str">
        <f>TEXT(A734+1,"000")</f>
        <v>245</v>
      </c>
      <c r="B737" s="729"/>
      <c r="C737" s="8"/>
      <c r="D737" s="729"/>
      <c r="E737" s="8"/>
      <c r="F737" s="200" t="str">
        <f>"WP-"&amp;A737</f>
        <v>WP-245</v>
      </c>
      <c r="G737" s="200">
        <f>+INDEX(WP!$A:$AN,MATCH(F737,WP!$B:$B,0),MATCH("ID",WP!$A$2:$AN$2,0))</f>
        <v>400388</v>
      </c>
      <c r="I737" s="8"/>
      <c r="J737" s="180" t="s">
        <v>10762</v>
      </c>
      <c r="K737" s="201">
        <f>+INDEX(WP!$A:$AN,MATCH(F737,WP!$B:$B,0),14)</f>
        <v>4</v>
      </c>
      <c r="L737" s="202">
        <f>+INDEX(WP!$A:$AN,MATCH(F737,WP!$B:$B,0),15)</f>
        <v>130</v>
      </c>
      <c r="M737" s="202">
        <f>+INDEX(WP!$A:$AN,MATCH(F737,WP!$B:$B,0),16)</f>
        <v>80</v>
      </c>
      <c r="N737" s="202" t="e" vm="346">
        <f>IFERROR(_xlfn.IMAGE("https://natalie.tf/wp-content/uploads/2023/11/DLV3_Icon_Affinity_"&amp;O737&amp;".png"),"")</f>
        <v>#VALUE!</v>
      </c>
      <c r="O737" s="203" t="str">
        <f>+INDEX(WP!$A:$AN,MATCH(F737,WP!$B:$B,0),17)</f>
        <v>Bull</v>
      </c>
      <c r="P737" s="8" t="e" vm="402">
        <f>_xlfn.IMAGE("https://natalie.tf/wp-content/uploads/2023/10/DLV3_Icon_Ability_"&amp;INDEX('WP-A'!$A$1:$Z$498,MATCH('WP-Print'!Q737,'WP-A'!$A:$A,0),MATCH("Icon",'WP-A'!$A$1:$Z$1,0))&amp;".png")</f>
        <v>#VALUE!</v>
      </c>
      <c r="Q737" s="231" t="str">
        <f>+INDEX(WP!$A:$AN,MATCH(F737,WP!$B:$B,0),MATCH("Ability V3",WP!$A$2:$AN$2,0))</f>
        <v>Shadow Res +10%</v>
      </c>
      <c r="R737" s="735"/>
    </row>
    <row r="738" spans="1:18" ht="7.5" customHeight="1" x14ac:dyDescent="0.2">
      <c r="A738" t="s">
        <v>10763</v>
      </c>
    </row>
    <row r="739" spans="1:18" ht="22.5" customHeight="1" x14ac:dyDescent="0.2">
      <c r="B739" s="729" t="e" vm="833">
        <f>_xlfn.IMAGE("https://natalie.tf/wp-content/uploads/2023/10/DLV3_Icon_WP_"&amp;G740&amp;"_01.png")</f>
        <v>#VALUE!</v>
      </c>
      <c r="D739" s="730" t="e" vm="834">
        <f>_xlfn.IMAGE("https://natalie.tf/wp-content/uploads/2023/10/DLV3_Icon_WP_"&amp;G740&amp;"_02.png")</f>
        <v>#VALUE!</v>
      </c>
      <c r="F739" s="717" t="str">
        <f>+INDEX(WP!$A:$AN,MATCH(F740,WP!$B:$B,0),MATCH("Name",WP!$A$2:$AN$2,0))</f>
        <v>From Whence He Comes</v>
      </c>
      <c r="G739" s="718"/>
      <c r="H739" s="719"/>
      <c r="J739" s="180" t="s">
        <v>10761</v>
      </c>
      <c r="K739" s="201">
        <f>+INDEX(WP!$A:$AN,MATCH(F740,WP!$B:$B,0),5)</f>
        <v>4</v>
      </c>
      <c r="L739" s="202">
        <f>+INDEX(WP!$A:$AN,MATCH(F740,WP!$B:$B,0),6)</f>
        <v>71</v>
      </c>
      <c r="M739" s="202">
        <f>+INDEX(WP!$A:$AN,MATCH(F740,WP!$B:$B,0),7)</f>
        <v>25</v>
      </c>
      <c r="N739" s="202" t="e" vm="345">
        <f>IFERROR(_xlfn.IMAGE("https://natalie.tf/wp-content/uploads/2023/11/DLV3_Icon_Affinity_"&amp;O739&amp;".png"),"")</f>
        <v>#VALUE!</v>
      </c>
      <c r="O739" s="203" t="str">
        <f>IF(INDEX(WP!$A:$AN,MATCH(F740,WP!$B:$B,0),8)=0,"None",INDEX(WP!$A:$AN,MATCH(F740,WP!$B:$B,0),8))</f>
        <v>Staff</v>
      </c>
      <c r="P739" s="8" t="e" vm="444">
        <f>_xlfn.IMAGE("https://natalie.tf/wp-content/uploads/2023/10/DLV3_Icon_Ability_"&amp;INDEX('WP-A'!$A$1:$Z$498,MATCH('WP-Print'!Q739,'WP-A'!$A:$A,0),MATCH("Icon",'WP-A'!$A$1:$Z$1,0))&amp;".png")</f>
        <v>#VALUE!</v>
      </c>
      <c r="Q739" s="231" t="str">
        <f>+INDEX(WP!$A:$AN,MATCH(F740,WP!$B:$B,0),MATCH("Ability",WP!$A$2:$AN$2,0))</f>
        <v>Buff Skill Time +20%</v>
      </c>
      <c r="R739" s="734" t="str">
        <f>+INDEX(WP!$A:$AN,MATCH(F740,WP!$B:$B,0),MATCH("Obtain From",WP!$A$2:$AN$2,0))</f>
        <v>Clear All-Out Assault: Standard (Stirring Shadows)</v>
      </c>
    </row>
    <row r="740" spans="1:18" ht="22.5" customHeight="1" x14ac:dyDescent="0.2">
      <c r="A740" s="204" t="str">
        <f>TEXT(A737+1,"000")</f>
        <v>246</v>
      </c>
      <c r="B740" s="729"/>
      <c r="C740" s="8"/>
      <c r="D740" s="729"/>
      <c r="E740" s="8"/>
      <c r="F740" s="200" t="str">
        <f>"WP-"&amp;A740</f>
        <v>WP-246</v>
      </c>
      <c r="G740" s="200">
        <f>+INDEX(WP!$A:$AN,MATCH(F740,WP!$B:$B,0),MATCH("ID",WP!$A$2:$AN$2,0))</f>
        <v>400390</v>
      </c>
      <c r="I740" s="8"/>
      <c r="J740" s="180" t="s">
        <v>10762</v>
      </c>
      <c r="K740" s="201">
        <f>+INDEX(WP!$A:$AN,MATCH(F740,WP!$B:$B,0),14)</f>
        <v>4</v>
      </c>
      <c r="L740" s="202">
        <f>+INDEX(WP!$A:$AN,MATCH(F740,WP!$B:$B,0),15)</f>
        <v>130</v>
      </c>
      <c r="M740" s="202">
        <f>+INDEX(WP!$A:$AN,MATCH(F740,WP!$B:$B,0),16)</f>
        <v>80</v>
      </c>
      <c r="N740" s="202" t="e" vm="345">
        <f>IFERROR(_xlfn.IMAGE("https://natalie.tf/wp-content/uploads/2023/11/DLV3_Icon_Affinity_"&amp;O740&amp;".png"),"")</f>
        <v>#VALUE!</v>
      </c>
      <c r="O740" s="203" t="str">
        <f>+INDEX(WP!$A:$AN,MATCH(F740,WP!$B:$B,0),17)</f>
        <v>Staff</v>
      </c>
      <c r="P740" s="8" t="e" vm="444">
        <f>_xlfn.IMAGE("https://natalie.tf/wp-content/uploads/2023/10/DLV3_Icon_Ability_"&amp;INDEX('WP-A'!$A$1:$Z$498,MATCH('WP-Print'!Q740,'WP-A'!$A:$A,0),MATCH("Icon",'WP-A'!$A$1:$Z$1,0))&amp;".png")</f>
        <v>#VALUE!</v>
      </c>
      <c r="Q740" s="231" t="str">
        <f>+INDEX(WP!$A:$AN,MATCH(F740,WP!$B:$B,0),MATCH("Ability V3",WP!$A$2:$AN$2,0))</f>
        <v>Buff Skill Time +20%</v>
      </c>
      <c r="R740" s="735"/>
    </row>
    <row r="741" spans="1:18" ht="7.5" customHeight="1" x14ac:dyDescent="0.2">
      <c r="A741" t="s">
        <v>10763</v>
      </c>
    </row>
    <row r="742" spans="1:18" ht="22.5" customHeight="1" x14ac:dyDescent="0.2">
      <c r="B742" s="729" t="e" vm="835">
        <f>_xlfn.IMAGE("https://natalie.tf/wp-content/uploads/2023/10/DLV3_Icon_WP_"&amp;G743&amp;"_01.png")</f>
        <v>#VALUE!</v>
      </c>
      <c r="D742" s="730" t="e" vm="836">
        <f>_xlfn.IMAGE("https://natalie.tf/wp-content/uploads/2023/10/DLV3_Icon_WP_"&amp;G743&amp;"_02.png")</f>
        <v>#VALUE!</v>
      </c>
      <c r="F742" s="717" t="str">
        <f>+INDEX(WP!$A:$AN,MATCH(F743,WP!$B:$B,0),MATCH("Name",WP!$A$2:$AN$2,0))</f>
        <v>Chariot Drift</v>
      </c>
      <c r="G742" s="718"/>
      <c r="H742" s="719"/>
      <c r="J742" s="180" t="s">
        <v>10761</v>
      </c>
      <c r="K742" s="201">
        <f>+INDEX(WP!$A:$AN,MATCH(F743,WP!$B:$B,0),5)</f>
        <v>4</v>
      </c>
      <c r="L742" s="202">
        <f>+INDEX(WP!$A:$AN,MATCH(F743,WP!$B:$B,0),6)</f>
        <v>76</v>
      </c>
      <c r="M742" s="202">
        <f>+INDEX(WP!$A:$AN,MATCH(F743,WP!$B:$B,0),7)</f>
        <v>20</v>
      </c>
      <c r="N742" s="202" t="e" vm="342">
        <f>IFERROR(_xlfn.IMAGE("https://natalie.tf/wp-content/uploads/2023/11/DLV3_Icon_Affinity_"&amp;O742&amp;".png"),"")</f>
        <v>#VALUE!</v>
      </c>
      <c r="O742" s="203" t="str">
        <f>IF(INDEX(WP!$A:$AN,MATCH(F743,WP!$B:$B,0),8)=0,"None",INDEX(WP!$A:$AN,MATCH(F743,WP!$B:$B,0),8))</f>
        <v>Bow</v>
      </c>
      <c r="P742" s="8" t="e" vm="414">
        <f>_xlfn.IMAGE("https://natalie.tf/wp-content/uploads/2023/10/DLV3_Icon_Ability_"&amp;INDEX('WP-A'!$A$1:$Z$498,MATCH('WP-Print'!Q742,'WP-A'!$A:$A,0),MATCH("Icon",'WP-A'!$A$1:$Z$1,0))&amp;".png")</f>
        <v>#VALUE!</v>
      </c>
      <c r="Q742" s="231" t="str">
        <f>+INDEX(WP!$A:$AN,MATCH(F743,WP!$B:$B,0),MATCH("Ability",WP!$A$2:$AN$2,0))</f>
        <v>Critical Damage +15%</v>
      </c>
      <c r="R742" s="734" t="str">
        <f>+INDEX(WP!$A:$AN,MATCH(F743,WP!$B:$B,0),MATCH("Obtain From",WP!$A$2:$AN$2,0))</f>
        <v>Clear Battle at Mount Adolla: Master (The Imperial Onslaught)</v>
      </c>
    </row>
    <row r="743" spans="1:18" ht="22.5" customHeight="1" x14ac:dyDescent="0.2">
      <c r="A743" s="204" t="str">
        <f>TEXT(A740+1,"000")</f>
        <v>247</v>
      </c>
      <c r="B743" s="729"/>
      <c r="C743" s="8"/>
      <c r="D743" s="729"/>
      <c r="E743" s="8"/>
      <c r="F743" s="200" t="str">
        <f>"WP-"&amp;A743</f>
        <v>WP-247</v>
      </c>
      <c r="G743" s="200">
        <f>+INDEX(WP!$A:$AN,MATCH(F743,WP!$B:$B,0),MATCH("ID",WP!$A$2:$AN$2,0))</f>
        <v>400392</v>
      </c>
      <c r="I743" s="8"/>
      <c r="J743" s="180" t="s">
        <v>10762</v>
      </c>
      <c r="K743" s="201">
        <f>+INDEX(WP!$A:$AN,MATCH(F743,WP!$B:$B,0),14)</f>
        <v>4</v>
      </c>
      <c r="L743" s="202">
        <f>+INDEX(WP!$A:$AN,MATCH(F743,WP!$B:$B,0),15)</f>
        <v>130</v>
      </c>
      <c r="M743" s="202">
        <f>+INDEX(WP!$A:$AN,MATCH(F743,WP!$B:$B,0),16)</f>
        <v>80</v>
      </c>
      <c r="N743" s="202" t="e" vm="342">
        <f>IFERROR(_xlfn.IMAGE("https://natalie.tf/wp-content/uploads/2023/11/DLV3_Icon_Affinity_"&amp;O743&amp;".png"),"")</f>
        <v>#VALUE!</v>
      </c>
      <c r="O743" s="203" t="str">
        <f>+INDEX(WP!$A:$AN,MATCH(F743,WP!$B:$B,0),17)</f>
        <v>Bow</v>
      </c>
      <c r="P743" s="8" t="e" vm="414">
        <f>_xlfn.IMAGE("https://natalie.tf/wp-content/uploads/2023/10/DLV3_Icon_Ability_"&amp;INDEX('WP-A'!$A$1:$Z$498,MATCH('WP-Print'!Q743,'WP-A'!$A:$A,0),MATCH("Icon",'WP-A'!$A$1:$Z$1,0))&amp;".png")</f>
        <v>#VALUE!</v>
      </c>
      <c r="Q743" s="231" t="str">
        <f>+INDEX(WP!$A:$AN,MATCH(F743,WP!$B:$B,0),MATCH("Ability V3",WP!$A$2:$AN$2,0))</f>
        <v>Critical Damage +15%</v>
      </c>
      <c r="R743" s="735"/>
    </row>
    <row r="744" spans="1:18" ht="7.5" customHeight="1" x14ac:dyDescent="0.2">
      <c r="A744" t="s">
        <v>10763</v>
      </c>
    </row>
    <row r="745" spans="1:18" ht="22.5" customHeight="1" x14ac:dyDescent="0.2">
      <c r="B745" s="729" t="e" vm="837">
        <f>_xlfn.IMAGE("https://natalie.tf/wp-content/uploads/2023/10/DLV3_Icon_WP_"&amp;G746&amp;"_01.png")</f>
        <v>#VALUE!</v>
      </c>
      <c r="D745" s="730" t="e" vm="838">
        <f>_xlfn.IMAGE("https://natalie.tf/wp-content/uploads/2023/10/DLV3_Icon_WP_"&amp;G746&amp;"_02.png")</f>
        <v>#VALUE!</v>
      </c>
      <c r="F745" s="717" t="str">
        <f>+INDEX(WP!$A:$AN,MATCH(F746,WP!$B:$B,0),MATCH("Name",WP!$A$2:$AN$2,0))</f>
        <v>Fluff Aplenty</v>
      </c>
      <c r="G745" s="718"/>
      <c r="H745" s="719"/>
      <c r="J745" s="180" t="s">
        <v>10761</v>
      </c>
      <c r="K745" s="201">
        <f>+INDEX(WP!$A:$AN,MATCH(F746,WP!$B:$B,0),5)</f>
        <v>4</v>
      </c>
      <c r="L745" s="202">
        <f>+INDEX(WP!$A:$AN,MATCH(F746,WP!$B:$B,0),6)</f>
        <v>76</v>
      </c>
      <c r="M745" s="202">
        <f>+INDEX(WP!$A:$AN,MATCH(F746,WP!$B:$B,0),7)</f>
        <v>20</v>
      </c>
      <c r="N745" s="202" t="str">
        <f ca="1">IFERROR(_xlfn.IMAGE("https://natalie.tf/wp-content/uploads/2023/11/DLV3_Icon_Affinity_"&amp;O745&amp;".png"),"")</f>
        <v/>
      </c>
      <c r="O745" s="203" t="str">
        <f>IF(INDEX(WP!$A:$AN,MATCH(F746,WP!$B:$B,0),8)=0,"None",INDEX(WP!$A:$AN,MATCH(F746,WP!$B:$B,0),8))</f>
        <v>None</v>
      </c>
      <c r="P745" s="8" t="e" vm="839">
        <f>_xlfn.IMAGE("https://natalie.tf/wp-content/uploads/2023/10/DLV3_Icon_Ability_"&amp;INDEX('WP-A'!$A$1:$Z$498,MATCH('WP-Print'!Q745,'WP-A'!$A:$A,0),MATCH("Icon",'WP-A'!$A$1:$Z$1,0))&amp;".png")</f>
        <v>#VALUE!</v>
      </c>
      <c r="Q745" s="231" t="str">
        <f>+INDEX(WP!$A:$AN,MATCH(F746,WP!$B:$B,0),MATCH("Ability",WP!$A$2:$AN$2,0))</f>
        <v>Freeze Res +75%</v>
      </c>
      <c r="R745" s="734" t="str">
        <f>+INDEX(WP!$A:$AN,MATCH(F746,WP!$B:$B,0),MATCH("Obtain From",WP!$A$2:$AN$2,0))</f>
        <v>Clear Midgardsormr's Trial: Master</v>
      </c>
    </row>
    <row r="746" spans="1:18" ht="22.5" customHeight="1" x14ac:dyDescent="0.2">
      <c r="A746" s="204" t="str">
        <f>TEXT(A743+1,"000")</f>
        <v>248</v>
      </c>
      <c r="B746" s="729"/>
      <c r="C746" s="8"/>
      <c r="D746" s="729"/>
      <c r="E746" s="8"/>
      <c r="F746" s="200" t="str">
        <f>"WP-"&amp;A746</f>
        <v>WP-248</v>
      </c>
      <c r="G746" s="200">
        <f>+INDEX(WP!$A:$AN,MATCH(F746,WP!$B:$B,0),MATCH("ID",WP!$A$2:$AN$2,0))</f>
        <v>400396</v>
      </c>
      <c r="I746" s="8"/>
      <c r="J746" s="180" t="s">
        <v>10762</v>
      </c>
      <c r="K746" s="201">
        <f>+INDEX(WP!$A:$AN,MATCH(F746,WP!$B:$B,0),14)</f>
        <v>4</v>
      </c>
      <c r="L746" s="202">
        <f>+INDEX(WP!$A:$AN,MATCH(F746,WP!$B:$B,0),15)</f>
        <v>130</v>
      </c>
      <c r="M746" s="202">
        <f>+INDEX(WP!$A:$AN,MATCH(F746,WP!$B:$B,0),16)</f>
        <v>80</v>
      </c>
      <c r="N746" s="202" t="e" vm="352">
        <f>IFERROR(_xlfn.IMAGE("https://natalie.tf/wp-content/uploads/2023/11/DLV3_Icon_Affinity_"&amp;O746&amp;".png"),"")</f>
        <v>#VALUE!</v>
      </c>
      <c r="O746" s="203" t="str">
        <f>+INDEX(WP!$A:$AN,MATCH(F746,WP!$B:$B,0),17)</f>
        <v>Fish</v>
      </c>
      <c r="P746" s="8" t="e" vm="839">
        <f>_xlfn.IMAGE("https://natalie.tf/wp-content/uploads/2023/10/DLV3_Icon_Ability_"&amp;INDEX('WP-A'!$A$1:$Z$498,MATCH('WP-Print'!Q746,'WP-A'!$A:$A,0),MATCH("Icon",'WP-A'!$A$1:$Z$1,0))&amp;".png")</f>
        <v>#VALUE!</v>
      </c>
      <c r="Q746" s="231" t="str">
        <f>+INDEX(WP!$A:$AN,MATCH(F746,WP!$B:$B,0),MATCH("Ability V3",WP!$A$2:$AN$2,0))</f>
        <v>Freeze Res +100%</v>
      </c>
      <c r="R746" s="735"/>
    </row>
    <row r="747" spans="1:18" ht="7.5" customHeight="1" x14ac:dyDescent="0.2">
      <c r="A747" t="s">
        <v>10763</v>
      </c>
    </row>
    <row r="748" spans="1:18" ht="22.5" customHeight="1" x14ac:dyDescent="0.2">
      <c r="B748" s="729" t="e" vm="840">
        <f>_xlfn.IMAGE("https://natalie.tf/wp-content/uploads/2023/10/DLV3_Icon_WP_"&amp;G749&amp;"_01.png")</f>
        <v>#VALUE!</v>
      </c>
      <c r="D748" s="730" t="e" vm="841">
        <f>_xlfn.IMAGE("https://natalie.tf/wp-content/uploads/2023/10/DLV3_Icon_WP_"&amp;G749&amp;"_02.png")</f>
        <v>#VALUE!</v>
      </c>
      <c r="F748" s="717" t="str">
        <f>+INDEX(WP!$A:$AN,MATCH(F749,WP!$B:$B,0),MATCH("Name",WP!$A$2:$AN$2,0))</f>
        <v>Glittering Dragonyule</v>
      </c>
      <c r="G748" s="718"/>
      <c r="H748" s="719"/>
      <c r="J748" s="180" t="s">
        <v>10761</v>
      </c>
      <c r="K748" s="201">
        <f>+INDEX(WP!$A:$AN,MATCH(F749,WP!$B:$B,0),5)</f>
        <v>4</v>
      </c>
      <c r="L748" s="202">
        <f>+INDEX(WP!$A:$AN,MATCH(F749,WP!$B:$B,0),6)</f>
        <v>75</v>
      </c>
      <c r="M748" s="202">
        <f>+INDEX(WP!$A:$AN,MATCH(F749,WP!$B:$B,0),7)</f>
        <v>21</v>
      </c>
      <c r="N748" s="202" t="str">
        <f ca="1">IFERROR(_xlfn.IMAGE("https://natalie.tf/wp-content/uploads/2023/11/DLV3_Icon_Affinity_"&amp;O748&amp;".png"),"")</f>
        <v/>
      </c>
      <c r="O748" s="203" t="str">
        <f>IF(INDEX(WP!$A:$AN,MATCH(F749,WP!$B:$B,0),8)=0,"None",INDEX(WP!$A:$AN,MATCH(F749,WP!$B:$B,0),8))</f>
        <v>None</v>
      </c>
      <c r="P748" s="8" t="e" vm="820">
        <f>_xlfn.IMAGE("https://natalie.tf/wp-content/uploads/2023/10/DLV3_Icon_Ability_"&amp;INDEX('WP-A'!$A$1:$Z$498,MATCH('WP-Print'!Q748,'WP-A'!$A:$A,0),MATCH("Icon",'WP-A'!$A$1:$Z$1,0))&amp;".png")</f>
        <v>#VALUE!</v>
      </c>
      <c r="Q748" s="231" t="str">
        <f>+INDEX(WP!$A:$AN,MATCH(F749,WP!$B:$B,0),MATCH("Ability",WP!$A$2:$AN$2,0))</f>
        <v>Flame Res +10%</v>
      </c>
      <c r="R748" s="734" t="str">
        <f>+INDEX(WP!$A:$AN,MATCH(F749,WP!$B:$B,0),MATCH("Obtain From",WP!$A$2:$AN$2,0))</f>
        <v>Read Episode 5 of the Event Story (The Miracle of Dragonyule)</v>
      </c>
    </row>
    <row r="749" spans="1:18" ht="22.5" customHeight="1" x14ac:dyDescent="0.2">
      <c r="A749" s="204" t="str">
        <f>TEXT(A746+1,"000")</f>
        <v>249</v>
      </c>
      <c r="B749" s="729"/>
      <c r="C749" s="8"/>
      <c r="D749" s="729"/>
      <c r="E749" s="8"/>
      <c r="F749" s="200" t="str">
        <f>"WP-"&amp;A749</f>
        <v>WP-249</v>
      </c>
      <c r="G749" s="200">
        <f>+INDEX(WP!$A:$AN,MATCH(F749,WP!$B:$B,0),MATCH("ID",WP!$A$2:$AN$2,0))</f>
        <v>400394</v>
      </c>
      <c r="I749" s="8"/>
      <c r="J749" s="180" t="s">
        <v>10762</v>
      </c>
      <c r="K749" s="201">
        <f>+INDEX(WP!$A:$AN,MATCH(F749,WP!$B:$B,0),14)</f>
        <v>4</v>
      </c>
      <c r="L749" s="202">
        <f>+INDEX(WP!$A:$AN,MATCH(F749,WP!$B:$B,0),15)</f>
        <v>130</v>
      </c>
      <c r="M749" s="202">
        <f>+INDEX(WP!$A:$AN,MATCH(F749,WP!$B:$B,0),16)</f>
        <v>80</v>
      </c>
      <c r="N749" s="202" t="e" vm="344">
        <f>IFERROR(_xlfn.IMAGE("https://natalie.tf/wp-content/uploads/2023/11/DLV3_Icon_Affinity_"&amp;O749&amp;".png"),"")</f>
        <v>#VALUE!</v>
      </c>
      <c r="O749" s="203" t="str">
        <f>+INDEX(WP!$A:$AN,MATCH(F749,WP!$B:$B,0),17)</f>
        <v>Eagle</v>
      </c>
      <c r="P749" s="8" t="e" vm="820">
        <f>_xlfn.IMAGE("https://natalie.tf/wp-content/uploads/2023/10/DLV3_Icon_Ability_"&amp;INDEX('WP-A'!$A$1:$Z$498,MATCH('WP-Print'!Q749,'WP-A'!$A:$A,0),MATCH("Icon",'WP-A'!$A$1:$Z$1,0))&amp;".png")</f>
        <v>#VALUE!</v>
      </c>
      <c r="Q749" s="231" t="str">
        <f>+INDEX(WP!$A:$AN,MATCH(F749,WP!$B:$B,0),MATCH("Ability V3",WP!$A$2:$AN$2,0))</f>
        <v>Flame Res +10%</v>
      </c>
      <c r="R749" s="735"/>
    </row>
    <row r="750" spans="1:18" ht="7.5" customHeight="1" x14ac:dyDescent="0.2">
      <c r="A750" t="s">
        <v>10763</v>
      </c>
    </row>
    <row r="751" spans="1:18" ht="22.5" customHeight="1" x14ac:dyDescent="0.2">
      <c r="B751" s="729" t="e" vm="842">
        <f>_xlfn.IMAGE("https://natalie.tf/wp-content/uploads/2023/10/DLV3_Icon_WP_"&amp;G752&amp;"_01.png")</f>
        <v>#VALUE!</v>
      </c>
      <c r="D751" s="730" t="e" vm="843">
        <f>_xlfn.IMAGE("https://natalie.tf/wp-content/uploads/2023/10/DLV3_Icon_WP_"&amp;G752&amp;"_02.png")</f>
        <v>#VALUE!</v>
      </c>
      <c r="F751" s="717" t="str">
        <f>+INDEX(WP!$A:$AN,MATCH(F752,WP!$B:$B,0),MATCH("Name",WP!$A$2:$AN$2,0))</f>
        <v>A New Year's Battle</v>
      </c>
      <c r="G751" s="718"/>
      <c r="H751" s="719"/>
      <c r="J751" s="180" t="s">
        <v>10761</v>
      </c>
      <c r="K751" s="201">
        <f>+INDEX(WP!$A:$AN,MATCH(F752,WP!$B:$B,0),5)</f>
        <v>4</v>
      </c>
      <c r="L751" s="202">
        <f>+INDEX(WP!$A:$AN,MATCH(F752,WP!$B:$B,0),6)</f>
        <v>70</v>
      </c>
      <c r="M751" s="202">
        <f>+INDEX(WP!$A:$AN,MATCH(F752,WP!$B:$B,0),7)</f>
        <v>26</v>
      </c>
      <c r="N751" s="202" t="str">
        <f ca="1">IFERROR(_xlfn.IMAGE("https://natalie.tf/wp-content/uploads/2023/11/DLV3_Icon_Affinity_"&amp;O751&amp;".png"),"")</f>
        <v/>
      </c>
      <c r="O751" s="203" t="str">
        <f>IF(INDEX(WP!$A:$AN,MATCH(F752,WP!$B:$B,0),8)=0,"None",INDEX(WP!$A:$AN,MATCH(F752,WP!$B:$B,0),8))</f>
        <v>None</v>
      </c>
      <c r="P751" s="8" t="e" vm="326">
        <f>_xlfn.IMAGE("https://natalie.tf/wp-content/uploads/2023/10/DLV3_Icon_Ability_"&amp;INDEX('WP-A'!$A$1:$Z$498,MATCH('WP-Print'!Q751,'WP-A'!$A:$A,0),MATCH("Icon",'WP-A'!$A$1:$Z$1,0))&amp;".png")</f>
        <v>#VALUE!</v>
      </c>
      <c r="Q751" s="231" t="str">
        <f>+INDEX(WP!$A:$AN,MATCH(F752,WP!$B:$B,0),MATCH("Ability",WP!$A$2:$AN$2,0))</f>
        <v>Flurry Devastation +10%</v>
      </c>
      <c r="R751" s="734" t="str">
        <f>+INDEX(WP!$A:$AN,MATCH(F752,WP!$B:$B,0),MATCH("Obtain From",WP!$A$2:$AN$2,0))</f>
        <v>Clear Ebisu Showdown: Expert (A Clawful Caper)</v>
      </c>
    </row>
    <row r="752" spans="1:18" ht="22.5" customHeight="1" x14ac:dyDescent="0.2">
      <c r="A752" s="204" t="str">
        <f>TEXT(A749+1,"000")</f>
        <v>250</v>
      </c>
      <c r="B752" s="729"/>
      <c r="C752" s="8"/>
      <c r="D752" s="729"/>
      <c r="E752" s="8"/>
      <c r="F752" s="200" t="str">
        <f>"WP-"&amp;A752</f>
        <v>WP-250</v>
      </c>
      <c r="G752" s="200">
        <f>+INDEX(WP!$A:$AN,MATCH(F752,WP!$B:$B,0),MATCH("ID",WP!$A$2:$AN$2,0))</f>
        <v>400408</v>
      </c>
      <c r="I752" s="8"/>
      <c r="J752" s="180" t="s">
        <v>10762</v>
      </c>
      <c r="K752" s="201">
        <f>+INDEX(WP!$A:$AN,MATCH(F752,WP!$B:$B,0),14)</f>
        <v>4</v>
      </c>
      <c r="L752" s="202">
        <f>+INDEX(WP!$A:$AN,MATCH(F752,WP!$B:$B,0),15)</f>
        <v>130</v>
      </c>
      <c r="M752" s="202">
        <f>+INDEX(WP!$A:$AN,MATCH(F752,WP!$B:$B,0),16)</f>
        <v>80</v>
      </c>
      <c r="N752" s="202" t="e" vm="367">
        <f>IFERROR(_xlfn.IMAGE("https://natalie.tf/wp-content/uploads/2023/11/DLV3_Icon_Affinity_"&amp;O752&amp;".png"),"")</f>
        <v>#VALUE!</v>
      </c>
      <c r="O752" s="203" t="str">
        <f>+INDEX(WP!$A:$AN,MATCH(F752,WP!$B:$B,0),17)</f>
        <v>Spider</v>
      </c>
      <c r="P752" s="8" t="e" vm="326">
        <f>_xlfn.IMAGE("https://natalie.tf/wp-content/uploads/2023/10/DLV3_Icon_Ability_"&amp;INDEX('WP-A'!$A$1:$Z$498,MATCH('WP-Print'!Q752,'WP-A'!$A:$A,0),MATCH("Icon",'WP-A'!$A$1:$Z$1,0))&amp;".png")</f>
        <v>#VALUE!</v>
      </c>
      <c r="Q752" s="231" t="str">
        <f>+INDEX(WP!$A:$AN,MATCH(F752,WP!$B:$B,0),MATCH("Ability V3",WP!$A$2:$AN$2,0))</f>
        <v>(Light) Flurry Devastation +12%</v>
      </c>
      <c r="R752" s="735"/>
    </row>
    <row r="753" spans="1:18" ht="7.5" customHeight="1" x14ac:dyDescent="0.2">
      <c r="A753" t="s">
        <v>10763</v>
      </c>
    </row>
    <row r="754" spans="1:18" ht="22.5" customHeight="1" x14ac:dyDescent="0.2">
      <c r="B754" s="729" t="e" vm="844">
        <f>_xlfn.IMAGE("https://natalie.tf/wp-content/uploads/2023/10/DLV3_Icon_WP_"&amp;G755&amp;"_01.png")</f>
        <v>#VALUE!</v>
      </c>
      <c r="D754" s="730" t="e" vm="845">
        <f>_xlfn.IMAGE("https://natalie.tf/wp-content/uploads/2023/10/DLV3_Icon_WP_"&amp;G755&amp;"_02.png")</f>
        <v>#VALUE!</v>
      </c>
      <c r="F754" s="717" t="str">
        <f>+INDEX(WP!$A:$AN,MATCH(F755,WP!$B:$B,0),MATCH("Name",WP!$A$2:$AN$2,0))</f>
        <v>A Game of Cat and Boar</v>
      </c>
      <c r="G754" s="718"/>
      <c r="H754" s="719"/>
      <c r="J754" s="180" t="s">
        <v>10761</v>
      </c>
      <c r="K754" s="201">
        <f>+INDEX(WP!$A:$AN,MATCH(F755,WP!$B:$B,0),5)</f>
        <v>4</v>
      </c>
      <c r="L754" s="202">
        <f>+INDEX(WP!$A:$AN,MATCH(F755,WP!$B:$B,0),6)</f>
        <v>61</v>
      </c>
      <c r="M754" s="202">
        <f>+INDEX(WP!$A:$AN,MATCH(F755,WP!$B:$B,0),7)</f>
        <v>17</v>
      </c>
      <c r="N754" s="202" t="str">
        <f ca="1">IFERROR(_xlfn.IMAGE("https://natalie.tf/wp-content/uploads/2023/11/DLV3_Icon_Affinity_"&amp;O754&amp;".png"),"")</f>
        <v/>
      </c>
      <c r="O754" s="203" t="str">
        <f>IF(INDEX(WP!$A:$AN,MATCH(F755,WP!$B:$B,0),8)=0,"None",INDEX(WP!$A:$AN,MATCH(F755,WP!$B:$B,0),8))</f>
        <v>None</v>
      </c>
      <c r="P754" s="8" t="e" vm="444">
        <f>_xlfn.IMAGE("https://natalie.tf/wp-content/uploads/2023/10/DLV3_Icon_Ability_"&amp;INDEX('WP-A'!$A$1:$Z$498,MATCH('WP-Print'!Q754,'WP-A'!$A:$A,0),MATCH("Icon",'WP-A'!$A$1:$Z$1,0))&amp;".png")</f>
        <v>#VALUE!</v>
      </c>
      <c r="Q754" s="231" t="str">
        <f>+INDEX(WP!$A:$AN,MATCH(F755,WP!$B:$B,0),MATCH("Ability",WP!$A$2:$AN$2,0))</f>
        <v>(Light) Buff Skill Time +25%</v>
      </c>
      <c r="R754" s="734" t="str">
        <f>+INDEX(WP!$A:$AN,MATCH(F755,WP!$B:$B,0),MATCH("Obtain From",WP!$A$2:$AN$2,0))</f>
        <v>Clear Into the Woods (A Clawful Caper)</v>
      </c>
    </row>
    <row r="755" spans="1:18" ht="22.5" customHeight="1" x14ac:dyDescent="0.2">
      <c r="A755" s="204" t="str">
        <f>TEXT(A752+1,"000")</f>
        <v>251</v>
      </c>
      <c r="B755" s="729"/>
      <c r="C755" s="8"/>
      <c r="D755" s="729"/>
      <c r="E755" s="8"/>
      <c r="F755" s="200" t="str">
        <f>"WP-"&amp;A755</f>
        <v>WP-251</v>
      </c>
      <c r="G755" s="200">
        <f>+INDEX(WP!$A:$AN,MATCH(F755,WP!$B:$B,0),MATCH("ID",WP!$A$2:$AN$2,0))</f>
        <v>400406</v>
      </c>
      <c r="I755" s="8"/>
      <c r="J755" s="180" t="s">
        <v>10762</v>
      </c>
      <c r="K755" s="201">
        <f>+INDEX(WP!$A:$AN,MATCH(F755,WP!$B:$B,0),14)</f>
        <v>4</v>
      </c>
      <c r="L755" s="202">
        <f>+INDEX(WP!$A:$AN,MATCH(F755,WP!$B:$B,0),15)</f>
        <v>130</v>
      </c>
      <c r="M755" s="202">
        <f>+INDEX(WP!$A:$AN,MATCH(F755,WP!$B:$B,0),16)</f>
        <v>80</v>
      </c>
      <c r="N755" s="202" t="e" vm="367">
        <f>IFERROR(_xlfn.IMAGE("https://natalie.tf/wp-content/uploads/2023/11/DLV3_Icon_Affinity_"&amp;O755&amp;".png"),"")</f>
        <v>#VALUE!</v>
      </c>
      <c r="O755" s="203" t="str">
        <f>+INDEX(WP!$A:$AN,MATCH(F755,WP!$B:$B,0),17)</f>
        <v>Spider</v>
      </c>
      <c r="P755" s="8" t="e" vm="444">
        <f>_xlfn.IMAGE("https://natalie.tf/wp-content/uploads/2023/10/DLV3_Icon_Ability_"&amp;INDEX('WP-A'!$A$1:$Z$498,MATCH('WP-Print'!Q755,'WP-A'!$A:$A,0),MATCH("Icon",'WP-A'!$A$1:$Z$1,0))&amp;".png")</f>
        <v>#VALUE!</v>
      </c>
      <c r="Q755" s="231" t="str">
        <f>+INDEX(WP!$A:$AN,MATCH(F755,WP!$B:$B,0),MATCH("Ability V3",WP!$A$2:$AN$2,0))</f>
        <v>(Light) Buff Skill Time +25%</v>
      </c>
      <c r="R755" s="735"/>
    </row>
    <row r="756" spans="1:18" ht="7.5" customHeight="1" x14ac:dyDescent="0.2">
      <c r="A756" t="s">
        <v>10763</v>
      </c>
    </row>
    <row r="757" spans="1:18" ht="22.5" customHeight="1" x14ac:dyDescent="0.2">
      <c r="B757" s="729" t="e" vm="846">
        <f>_xlfn.IMAGE("https://natalie.tf/wp-content/uploads/2023/10/DLV3_Icon_WP_"&amp;G758&amp;"_01.png")</f>
        <v>#VALUE!</v>
      </c>
      <c r="D757" s="730" t="e" vm="847">
        <f>_xlfn.IMAGE("https://natalie.tf/wp-content/uploads/2023/10/DLV3_Icon_WP_"&amp;G758&amp;"_02.png")</f>
        <v>#VALUE!</v>
      </c>
      <c r="F757" s="717" t="str">
        <f>+INDEX(WP!$A:$AN,MATCH(F758,WP!$B:$B,0),MATCH("Name",WP!$A$2:$AN$2,0))</f>
        <v>The Plaguebringer</v>
      </c>
      <c r="G757" s="718"/>
      <c r="H757" s="719"/>
      <c r="J757" s="180" t="s">
        <v>10761</v>
      </c>
      <c r="K757" s="201">
        <f>+INDEX(WP!$A:$AN,MATCH(F758,WP!$B:$B,0),5)</f>
        <v>4</v>
      </c>
      <c r="L757" s="202">
        <f>+INDEX(WP!$A:$AN,MATCH(F758,WP!$B:$B,0),6)</f>
        <v>71</v>
      </c>
      <c r="M757" s="202">
        <f>+INDEX(WP!$A:$AN,MATCH(F758,WP!$B:$B,0),7)</f>
        <v>25</v>
      </c>
      <c r="N757" s="202" t="str">
        <f ca="1">IFERROR(_xlfn.IMAGE("https://natalie.tf/wp-content/uploads/2023/11/DLV3_Icon_Affinity_"&amp;O757&amp;".png"),"")</f>
        <v/>
      </c>
      <c r="O757" s="203" t="str">
        <f>IF(INDEX(WP!$A:$AN,MATCH(F758,WP!$B:$B,0),8)=0,"None",INDEX(WP!$A:$AN,MATCH(F758,WP!$B:$B,0),8))</f>
        <v>None</v>
      </c>
      <c r="P757" s="8" t="e" vm="625">
        <f>_xlfn.IMAGE("https://natalie.tf/wp-content/uploads/2023/10/DLV3_Icon_Ability_"&amp;INDEX('WP-A'!$A$1:$Z$498,MATCH('WP-Print'!Q757,'WP-A'!$A:$A,0),MATCH("Icon",'WP-A'!$A$1:$Z$1,0))&amp;".png")</f>
        <v>#VALUE!</v>
      </c>
      <c r="Q757" s="231" t="str">
        <f>+INDEX(WP!$A:$AN,MATCH(F758,WP!$B:$B,0),MATCH("Ability",WP!$A$2:$AN$2,0))</f>
        <v>Poisoned Punisher +25%</v>
      </c>
      <c r="R757" s="734" t="str">
        <f>+INDEX(WP!$A:$AN,MATCH(F758,WP!$B:$B,0),MATCH("Obtain From",WP!$A$2:$AN$2,0))</f>
        <v>Obtain From Ch. 14 EX 1 Chest (Very Hard) (Non-Endeavor)</v>
      </c>
    </row>
    <row r="758" spans="1:18" ht="22.5" customHeight="1" x14ac:dyDescent="0.2">
      <c r="A758" s="204" t="str">
        <f>TEXT(A755+1,"000")</f>
        <v>252</v>
      </c>
      <c r="B758" s="729"/>
      <c r="C758" s="8"/>
      <c r="D758" s="729"/>
      <c r="E758" s="8"/>
      <c r="F758" s="200" t="str">
        <f>"WP-"&amp;A758</f>
        <v>WP-252</v>
      </c>
      <c r="G758" s="200">
        <f>+INDEX(WP!$A:$AN,MATCH(F758,WP!$B:$B,0),MATCH("ID",WP!$A$2:$AN$2,0))</f>
        <v>400410</v>
      </c>
      <c r="I758" s="8"/>
      <c r="J758" s="180" t="s">
        <v>10762</v>
      </c>
      <c r="K758" s="201">
        <f>+INDEX(WP!$A:$AN,MATCH(F758,WP!$B:$B,0),14)</f>
        <v>4</v>
      </c>
      <c r="L758" s="202">
        <f>+INDEX(WP!$A:$AN,MATCH(F758,WP!$B:$B,0),15)</f>
        <v>130</v>
      </c>
      <c r="M758" s="202">
        <f>+INDEX(WP!$A:$AN,MATCH(F758,WP!$B:$B,0),16)</f>
        <v>80</v>
      </c>
      <c r="N758" s="202" t="e" vm="340">
        <f>IFERROR(_xlfn.IMAGE("https://natalie.tf/wp-content/uploads/2023/11/DLV3_Icon_Affinity_"&amp;O758&amp;".png"),"")</f>
        <v>#VALUE!</v>
      </c>
      <c r="O758" s="203" t="str">
        <f>+INDEX(WP!$A:$AN,MATCH(F758,WP!$B:$B,0),17)</f>
        <v>Lance</v>
      </c>
      <c r="P758" s="8" t="e" vm="625">
        <f>_xlfn.IMAGE("https://natalie.tf/wp-content/uploads/2023/10/DLV3_Icon_Ability_"&amp;INDEX('WP-A'!$A$1:$Z$498,MATCH('WP-Print'!Q758,'WP-A'!$A:$A,0),MATCH("Icon",'WP-A'!$A$1:$Z$1,0))&amp;".png")</f>
        <v>#VALUE!</v>
      </c>
      <c r="Q758" s="231" t="str">
        <f>+INDEX(WP!$A:$AN,MATCH(F758,WP!$B:$B,0),MATCH("Ability V3",WP!$A$2:$AN$2,0))</f>
        <v>Poisoned Punisher +25%</v>
      </c>
      <c r="R758" s="735"/>
    </row>
    <row r="759" spans="1:18" ht="22.5" customHeight="1" x14ac:dyDescent="0.2">
      <c r="A759" t="s">
        <v>10763</v>
      </c>
    </row>
    <row r="760" spans="1:18" ht="22.5" customHeight="1" x14ac:dyDescent="0.2">
      <c r="B760" s="729" t="e" vm="848">
        <f>_xlfn.IMAGE("https://natalie.tf/wp-content/uploads/2023/10/DLV3_Icon_WP_"&amp;G761&amp;"_01.png")</f>
        <v>#VALUE!</v>
      </c>
      <c r="D760" s="730" t="e" vm="849">
        <f>_xlfn.IMAGE("https://natalie.tf/wp-content/uploads/2023/10/DLV3_Icon_WP_"&amp;G761&amp;"_02.png")</f>
        <v>#VALUE!</v>
      </c>
      <c r="F760" s="717" t="str">
        <f>+INDEX(WP!$A:$AN,MATCH(F761,WP!$B:$B,0),MATCH("Name",WP!$A$2:$AN$2,0))</f>
        <v>Soaring Terror</v>
      </c>
      <c r="G760" s="718"/>
      <c r="H760" s="719"/>
      <c r="J760" s="180" t="s">
        <v>10761</v>
      </c>
      <c r="K760" s="201">
        <f>+INDEX(WP!$A:$AN,MATCH(F761,WP!$B:$B,0),5)</f>
        <v>4</v>
      </c>
      <c r="L760" s="202">
        <f>+INDEX(WP!$A:$AN,MATCH(F761,WP!$B:$B,0),6)</f>
        <v>61</v>
      </c>
      <c r="M760" s="202">
        <f>+INDEX(WP!$A:$AN,MATCH(F761,WP!$B:$B,0),7)</f>
        <v>17</v>
      </c>
      <c r="N760" s="202" t="str">
        <f ca="1">IFERROR(_xlfn.IMAGE("https://natalie.tf/wp-content/uploads/2023/11/DLV3_Icon_Affinity_"&amp;O760&amp;".png"),"")</f>
        <v/>
      </c>
      <c r="O760" s="203" t="str">
        <f>IF(INDEX(WP!$A:$AN,MATCH(F761,WP!$B:$B,0),8)=0,"None",INDEX(WP!$A:$AN,MATCH(F761,WP!$B:$B,0),8))</f>
        <v>None</v>
      </c>
      <c r="P760" s="8" t="e" vm="426">
        <f>_xlfn.IMAGE("https://natalie.tf/wp-content/uploads/2023/10/DLV3_Icon_Ability_"&amp;INDEX('WP-A'!$A$1:$Z$498,MATCH('WP-Print'!Q760,'WP-A'!$A:$A,0),MATCH("Icon",'WP-A'!$A$1:$Z$1,0))&amp;".png")</f>
        <v>#VALUE!</v>
      </c>
      <c r="Q760" s="231" t="str">
        <f>+INDEX(WP!$A:$AN,MATCH(F761,WP!$B:$B,0),MATCH("Ability",WP!$A$2:$AN$2,0))</f>
        <v>HP 70% = Defense +10%</v>
      </c>
      <c r="R760" s="734" t="str">
        <f>+INDEX(WP!$A:$AN,MATCH(F761,WP!$B:$B,0),MATCH("Obtain From",WP!$A$2:$AN$2,0))</f>
        <v>Clear The King's Descent (Monster Hunter Primal Crisis)</v>
      </c>
    </row>
    <row r="761" spans="1:18" ht="22.5" customHeight="1" x14ac:dyDescent="0.2">
      <c r="A761" s="204" t="str">
        <f>TEXT(A758+1,"000")</f>
        <v>253</v>
      </c>
      <c r="B761" s="729"/>
      <c r="C761" s="8"/>
      <c r="D761" s="729"/>
      <c r="E761" s="8"/>
      <c r="F761" s="200" t="str">
        <f>"WP-"&amp;A761</f>
        <v>WP-253</v>
      </c>
      <c r="G761" s="200">
        <f>+INDEX(WP!$A:$AN,MATCH(F761,WP!$B:$B,0),MATCH("ID",WP!$A$2:$AN$2,0))</f>
        <v>400415</v>
      </c>
      <c r="I761" s="8"/>
      <c r="J761" s="180" t="s">
        <v>10762</v>
      </c>
      <c r="K761" s="201">
        <f>+INDEX(WP!$A:$AN,MATCH(F761,WP!$B:$B,0),14)</f>
        <v>4</v>
      </c>
      <c r="L761" s="202">
        <f>+INDEX(WP!$A:$AN,MATCH(F761,WP!$B:$B,0),15)</f>
        <v>130</v>
      </c>
      <c r="M761" s="202">
        <f>+INDEX(WP!$A:$AN,MATCH(F761,WP!$B:$B,0),16)</f>
        <v>80</v>
      </c>
      <c r="N761" s="202" t="e" vm="341">
        <f>IFERROR(_xlfn.IMAGE("https://natalie.tf/wp-content/uploads/2023/11/DLV3_Icon_Affinity_"&amp;O761&amp;".png"),"")</f>
        <v>#VALUE!</v>
      </c>
      <c r="O761" s="203" t="str">
        <f>+INDEX(WP!$A:$AN,MATCH(F761,WP!$B:$B,0),17)</f>
        <v>Crown</v>
      </c>
      <c r="P761" s="8" t="e" vm="426">
        <f>_xlfn.IMAGE("https://natalie.tf/wp-content/uploads/2023/10/DLV3_Icon_Ability_"&amp;INDEX('WP-A'!$A$1:$Z$498,MATCH('WP-Print'!Q761,'WP-A'!$A:$A,0),MATCH("Icon",'WP-A'!$A$1:$Z$1,0))&amp;".png")</f>
        <v>#VALUE!</v>
      </c>
      <c r="Q761" s="231" t="str">
        <f>+INDEX(WP!$A:$AN,MATCH(F761,WP!$B:$B,0),MATCH("Ability V3",WP!$A$2:$AN$2,0))</f>
        <v>Defense +15%</v>
      </c>
      <c r="R761" s="735"/>
    </row>
    <row r="762" spans="1:18" ht="7.5" customHeight="1" x14ac:dyDescent="0.2">
      <c r="A762" t="s">
        <v>10763</v>
      </c>
    </row>
    <row r="763" spans="1:18" ht="22.5" customHeight="1" x14ac:dyDescent="0.2">
      <c r="B763" s="729" t="e" vm="850">
        <f>_xlfn.IMAGE("https://natalie.tf/wp-content/uploads/2023/10/DLV3_Icon_WP_"&amp;G764&amp;"_01.png")</f>
        <v>#VALUE!</v>
      </c>
      <c r="D763" s="730" t="e" vm="851">
        <f>_xlfn.IMAGE("https://natalie.tf/wp-content/uploads/2023/10/DLV3_Icon_WP_"&amp;G764&amp;"_02.png")</f>
        <v>#VALUE!</v>
      </c>
      <c r="F763" s="717" t="str">
        <f>+INDEX(WP!$A:$AN,MATCH(F764,WP!$B:$B,0),MATCH("Name",WP!$A$2:$AN$2,0))</f>
        <v>The Maid Crusade</v>
      </c>
      <c r="G763" s="718"/>
      <c r="H763" s="719"/>
      <c r="J763" s="180" t="s">
        <v>10761</v>
      </c>
      <c r="K763" s="201">
        <f>+INDEX(WP!$A:$AN,MATCH(F764,WP!$B:$B,0),5)</f>
        <v>4</v>
      </c>
      <c r="L763" s="202">
        <f>+INDEX(WP!$A:$AN,MATCH(F764,WP!$B:$B,0),6)</f>
        <v>73</v>
      </c>
      <c r="M763" s="202">
        <f>+INDEX(WP!$A:$AN,MATCH(F764,WP!$B:$B,0),7)</f>
        <v>23</v>
      </c>
      <c r="N763" s="202" t="e" vm="345">
        <f>IFERROR(_xlfn.IMAGE("https://natalie.tf/wp-content/uploads/2023/11/DLV3_Icon_Affinity_"&amp;O763&amp;".png"),"")</f>
        <v>#VALUE!</v>
      </c>
      <c r="O763" s="203" t="str">
        <f>IF(INDEX(WP!$A:$AN,MATCH(F764,WP!$B:$B,0),8)=0,"None",INDEX(WP!$A:$AN,MATCH(F764,WP!$B:$B,0),8))</f>
        <v>Staff</v>
      </c>
      <c r="P763" s="8" t="e" vm="349">
        <f>_xlfn.IMAGE("https://natalie.tf/wp-content/uploads/2023/10/DLV3_Icon_Ability_"&amp;INDEX('WP-A'!$A$1:$Z$498,MATCH('WP-Print'!Q763,'WP-A'!$A:$A,0),MATCH("Icon",'WP-A'!$A$1:$Z$1,0))&amp;".png")</f>
        <v>#VALUE!</v>
      </c>
      <c r="Q763" s="231" t="str">
        <f>+INDEX(WP!$A:$AN,MATCH(F764,WP!$B:$B,0),MATCH("Ability",WP!$A$2:$AN$2,0))</f>
        <v>Recovery Potency +10%</v>
      </c>
      <c r="R763" s="734" t="str">
        <f>+INDEX(WP!$A:$AN,MATCH(F764,WP!$B:$B,0),MATCH("Obtain From",WP!$A$2:$AN$2,0))</f>
        <v>Clear Mercury's Trial: Master</v>
      </c>
    </row>
    <row r="764" spans="1:18" ht="22.5" customHeight="1" x14ac:dyDescent="0.2">
      <c r="A764" s="204" t="str">
        <f>TEXT(A761+1,"000")</f>
        <v>254</v>
      </c>
      <c r="B764" s="729"/>
      <c r="C764" s="8"/>
      <c r="D764" s="729"/>
      <c r="E764" s="8"/>
      <c r="F764" s="200" t="str">
        <f>"WP-"&amp;A764</f>
        <v>WP-254</v>
      </c>
      <c r="G764" s="200">
        <f>+INDEX(WP!$A:$AN,MATCH(F764,WP!$B:$B,0),MATCH("ID",WP!$A$2:$AN$2,0))</f>
        <v>400414</v>
      </c>
      <c r="I764" s="8"/>
      <c r="J764" s="180" t="s">
        <v>10762</v>
      </c>
      <c r="K764" s="201">
        <f>+INDEX(WP!$A:$AN,MATCH(F764,WP!$B:$B,0),14)</f>
        <v>4</v>
      </c>
      <c r="L764" s="202">
        <f>+INDEX(WP!$A:$AN,MATCH(F764,WP!$B:$B,0),15)</f>
        <v>130</v>
      </c>
      <c r="M764" s="202">
        <f>+INDEX(WP!$A:$AN,MATCH(F764,WP!$B:$B,0),16)</f>
        <v>80</v>
      </c>
      <c r="N764" s="202" t="e" vm="354">
        <f>IFERROR(_xlfn.IMAGE("https://natalie.tf/wp-content/uploads/2023/11/DLV3_Icon_Affinity_"&amp;O764&amp;".png"),"")</f>
        <v>#VALUE!</v>
      </c>
      <c r="O764" s="203" t="str">
        <f>+INDEX(WP!$A:$AN,MATCH(F764,WP!$B:$B,0),17)</f>
        <v>Butterfly</v>
      </c>
      <c r="P764" s="8" t="e" vm="349">
        <f>_xlfn.IMAGE("https://natalie.tf/wp-content/uploads/2023/10/DLV3_Icon_Ability_"&amp;INDEX('WP-A'!$A$1:$Z$498,MATCH('WP-Print'!Q764,'WP-A'!$A:$A,0),MATCH("Icon",'WP-A'!$A$1:$Z$1,0))&amp;".png")</f>
        <v>#VALUE!</v>
      </c>
      <c r="Q764" s="231" t="str">
        <f>+INDEX(WP!$A:$AN,MATCH(F764,WP!$B:$B,0),MATCH("Ability V3",WP!$A$2:$AN$2,0))</f>
        <v>Recovery Potency +12%</v>
      </c>
      <c r="R764" s="735"/>
    </row>
    <row r="765" spans="1:18" ht="7.5" customHeight="1" x14ac:dyDescent="0.2">
      <c r="A765" t="s">
        <v>10763</v>
      </c>
    </row>
    <row r="766" spans="1:18" ht="22.5" customHeight="1" x14ac:dyDescent="0.2">
      <c r="B766" s="729" t="e" vm="852">
        <f>_xlfn.IMAGE("https://natalie.tf/wp-content/uploads/2023/10/DLV3_Icon_WP_"&amp;G767&amp;"_01.png")</f>
        <v>#VALUE!</v>
      </c>
      <c r="D766" s="730" t="e" vm="853">
        <f>_xlfn.IMAGE("https://natalie.tf/wp-content/uploads/2023/10/DLV3_Icon_WP_"&amp;G767&amp;"_02.png")</f>
        <v>#VALUE!</v>
      </c>
      <c r="F766" s="717" t="str">
        <f>+INDEX(WP!$A:$AN,MATCH(F767,WP!$B:$B,0),MATCH("Name",WP!$A$2:$AN$2,0))</f>
        <v>The Queen of the Knife</v>
      </c>
      <c r="G766" s="718"/>
      <c r="H766" s="719"/>
      <c r="J766" s="180" t="s">
        <v>10761</v>
      </c>
      <c r="K766" s="201">
        <f>+INDEX(WP!$A:$AN,MATCH(F767,WP!$B:$B,0),5)</f>
        <v>4</v>
      </c>
      <c r="L766" s="202">
        <f>+INDEX(WP!$A:$AN,MATCH(F767,WP!$B:$B,0),6)</f>
        <v>70</v>
      </c>
      <c r="M766" s="202">
        <f>+INDEX(WP!$A:$AN,MATCH(F767,WP!$B:$B,0),7)</f>
        <v>26</v>
      </c>
      <c r="N766" s="202" t="str">
        <f ca="1">IFERROR(_xlfn.IMAGE("https://natalie.tf/wp-content/uploads/2023/11/DLV3_Icon_Affinity_"&amp;O766&amp;".png"),"")</f>
        <v/>
      </c>
      <c r="O766" s="203" t="str">
        <f>IF(INDEX(WP!$A:$AN,MATCH(F767,WP!$B:$B,0),8)=0,"None",INDEX(WP!$A:$AN,MATCH(F767,WP!$B:$B,0),8))</f>
        <v>None</v>
      </c>
      <c r="P766" s="8" t="e" vm="326">
        <f>_xlfn.IMAGE("https://natalie.tf/wp-content/uploads/2023/10/DLV3_Icon_Ability_"&amp;INDEX('WP-A'!$A$1:$Z$498,MATCH('WP-Print'!Q766,'WP-A'!$A:$A,0),MATCH("Icon",'WP-A'!$A$1:$Z$1,0))&amp;".png")</f>
        <v>#VALUE!</v>
      </c>
      <c r="Q766" s="231" t="str">
        <f>+INDEX(WP!$A:$AN,MATCH(F767,WP!$B:$B,0),MATCH("Ability",WP!$A$2:$AN$2,0))</f>
        <v>Flurry Devastation +10%</v>
      </c>
      <c r="R766" s="734" t="str">
        <f>+INDEX(WP!$A:$AN,MATCH(F767,WP!$B:$B,0),MATCH("Obtain From",WP!$A$2:$AN$2,0))</f>
        <v>Clear Nature's Bounty - À La Carte: Standard (A Dash of Disaster)</v>
      </c>
    </row>
    <row r="767" spans="1:18" ht="22.5" customHeight="1" x14ac:dyDescent="0.2">
      <c r="A767" s="204" t="str">
        <f>TEXT(A764+1,"000")</f>
        <v>255</v>
      </c>
      <c r="B767" s="729"/>
      <c r="C767" s="8"/>
      <c r="D767" s="729"/>
      <c r="E767" s="8"/>
      <c r="F767" s="200" t="str">
        <f>"WP-"&amp;A767</f>
        <v>WP-255</v>
      </c>
      <c r="G767" s="200">
        <f>+INDEX(WP!$A:$AN,MATCH(F767,WP!$B:$B,0),MATCH("ID",WP!$A$2:$AN$2,0))</f>
        <v>400286</v>
      </c>
      <c r="I767" s="8"/>
      <c r="J767" s="180" t="s">
        <v>10762</v>
      </c>
      <c r="K767" s="201">
        <f>+INDEX(WP!$A:$AN,MATCH(F767,WP!$B:$B,0),14)</f>
        <v>4</v>
      </c>
      <c r="L767" s="202">
        <f>+INDEX(WP!$A:$AN,MATCH(F767,WP!$B:$B,0),15)</f>
        <v>130</v>
      </c>
      <c r="M767" s="202">
        <f>+INDEX(WP!$A:$AN,MATCH(F767,WP!$B:$B,0),16)</f>
        <v>80</v>
      </c>
      <c r="N767" s="202" t="e" vm="340">
        <f>IFERROR(_xlfn.IMAGE("https://natalie.tf/wp-content/uploads/2023/11/DLV3_Icon_Affinity_"&amp;O767&amp;".png"),"")</f>
        <v>#VALUE!</v>
      </c>
      <c r="O767" s="203" t="str">
        <f>+INDEX(WP!$A:$AN,MATCH(F767,WP!$B:$B,0),17)</f>
        <v>Lance</v>
      </c>
      <c r="P767" s="8" t="e" vm="326">
        <f>_xlfn.IMAGE("https://natalie.tf/wp-content/uploads/2023/10/DLV3_Icon_Ability_"&amp;INDEX('WP-A'!$A$1:$Z$498,MATCH('WP-Print'!Q767,'WP-A'!$A:$A,0),MATCH("Icon",'WP-A'!$A$1:$Z$1,0))&amp;".png")</f>
        <v>#VALUE!</v>
      </c>
      <c r="Q767" s="231" t="str">
        <f>+INDEX(WP!$A:$AN,MATCH(F767,WP!$B:$B,0),MATCH("Ability V3",WP!$A$2:$AN$2,0))</f>
        <v>Flurry Devastation +10%</v>
      </c>
      <c r="R767" s="735"/>
    </row>
    <row r="768" spans="1:18" ht="7.5" customHeight="1" x14ac:dyDescent="0.2">
      <c r="A768" t="s">
        <v>10763</v>
      </c>
    </row>
    <row r="769" spans="1:18" ht="22.5" customHeight="1" x14ac:dyDescent="0.2">
      <c r="B769" s="729" t="e" vm="854">
        <f>_xlfn.IMAGE("https://natalie.tf/wp-content/uploads/2023/10/DLV3_Icon_WP_"&amp;G770&amp;"_01.png")</f>
        <v>#VALUE!</v>
      </c>
      <c r="D769" s="730" t="e" vm="855">
        <f>_xlfn.IMAGE("https://natalie.tf/wp-content/uploads/2023/10/DLV3_Icon_WP_"&amp;G770&amp;"_02.png")</f>
        <v>#VALUE!</v>
      </c>
      <c r="F769" s="717" t="str">
        <f>+INDEX(WP!$A:$AN,MATCH(F770,WP!$B:$B,0),MATCH("Name",WP!$A$2:$AN$2,0))</f>
        <v>A Small Courage</v>
      </c>
      <c r="G769" s="718"/>
      <c r="H769" s="719"/>
      <c r="J769" s="180" t="s">
        <v>10761</v>
      </c>
      <c r="K769" s="201">
        <f>+INDEX(WP!$A:$AN,MATCH(F770,WP!$B:$B,0),5)</f>
        <v>4</v>
      </c>
      <c r="L769" s="202">
        <f>+INDEX(WP!$A:$AN,MATCH(F770,WP!$B:$B,0),6)</f>
        <v>70</v>
      </c>
      <c r="M769" s="202">
        <f>+INDEX(WP!$A:$AN,MATCH(F770,WP!$B:$B,0),7)</f>
        <v>26</v>
      </c>
      <c r="N769" s="202" t="e" vm="339">
        <f>IFERROR(_xlfn.IMAGE("https://natalie.tf/wp-content/uploads/2023/11/DLV3_Icon_Affinity_"&amp;O769&amp;".png"),"")</f>
        <v>#VALUE!</v>
      </c>
      <c r="O769" s="203" t="str">
        <f>IF(INDEX(WP!$A:$AN,MATCH(F770,WP!$B:$B,0),8)=0,"None",INDEX(WP!$A:$AN,MATCH(F770,WP!$B:$B,0),8))</f>
        <v>Sword</v>
      </c>
      <c r="P769" s="8" t="e" vm="322">
        <f>_xlfn.IMAGE("https://natalie.tf/wp-content/uploads/2023/10/DLV3_Icon_Ability_"&amp;INDEX('WP-A'!$A$1:$Z$498,MATCH('WP-Print'!Q769,'WP-A'!$A:$A,0),MATCH("Icon",'WP-A'!$A$1:$Z$1,0))&amp;".png")</f>
        <v>#VALUE!</v>
      </c>
      <c r="Q769" s="231" t="str">
        <f>+INDEX(WP!$A:$AN,MATCH(F770,WP!$B:$B,0),MATCH("Ability",WP!$A$2:$AN$2,0))</f>
        <v>Skill Damage +20%</v>
      </c>
      <c r="R769" s="734" t="str">
        <f>+INDEX(WP!$A:$AN,MATCH(F770,WP!$B:$B,0),MATCH("Obtain From",WP!$A$2:$AN$2,0))</f>
        <v>Clear Avenue to Power: Expert</v>
      </c>
    </row>
    <row r="770" spans="1:18" ht="22.5" customHeight="1" x14ac:dyDescent="0.2">
      <c r="A770" s="204" t="str">
        <f>TEXT(A767+1,"000")</f>
        <v>256</v>
      </c>
      <c r="B770" s="729"/>
      <c r="C770" s="8"/>
      <c r="D770" s="729"/>
      <c r="E770" s="8"/>
      <c r="F770" s="200" t="str">
        <f>"WP-"&amp;A770</f>
        <v>WP-256</v>
      </c>
      <c r="G770" s="200">
        <f>+INDEX(WP!$A:$AN,MATCH(F770,WP!$B:$B,0),MATCH("ID",WP!$A$2:$AN$2,0))</f>
        <v>400421</v>
      </c>
      <c r="I770" s="8"/>
      <c r="J770" s="180" t="s">
        <v>10762</v>
      </c>
      <c r="K770" s="201">
        <f>+INDEX(WP!$A:$AN,MATCH(F770,WP!$B:$B,0),14)</f>
        <v>4</v>
      </c>
      <c r="L770" s="202">
        <f>+INDEX(WP!$A:$AN,MATCH(F770,WP!$B:$B,0),15)</f>
        <v>130</v>
      </c>
      <c r="M770" s="202">
        <f>+INDEX(WP!$A:$AN,MATCH(F770,WP!$B:$B,0),16)</f>
        <v>80</v>
      </c>
      <c r="N770" s="202" t="e" vm="339">
        <f>IFERROR(_xlfn.IMAGE("https://natalie.tf/wp-content/uploads/2023/11/DLV3_Icon_Affinity_"&amp;O770&amp;".png"),"")</f>
        <v>#VALUE!</v>
      </c>
      <c r="O770" s="203" t="str">
        <f>+INDEX(WP!$A:$AN,MATCH(F770,WP!$B:$B,0),17)</f>
        <v>Sword</v>
      </c>
      <c r="P770" s="8" t="e" vm="322">
        <f>_xlfn.IMAGE("https://natalie.tf/wp-content/uploads/2023/10/DLV3_Icon_Ability_"&amp;INDEX('WP-A'!$A$1:$Z$498,MATCH('WP-Print'!Q770,'WP-A'!$A:$A,0),MATCH("Icon",'WP-A'!$A$1:$Z$1,0))&amp;".png")</f>
        <v>#VALUE!</v>
      </c>
      <c r="Q770" s="231" t="str">
        <f>+INDEX(WP!$A:$AN,MATCH(F770,WP!$B:$B,0),MATCH("Ability V3",WP!$A$2:$AN$2,0))</f>
        <v>Skill Damage +20%</v>
      </c>
      <c r="R770" s="735"/>
    </row>
    <row r="771" spans="1:18" ht="7.5" customHeight="1" x14ac:dyDescent="0.2">
      <c r="A771" t="s">
        <v>10763</v>
      </c>
    </row>
    <row r="772" spans="1:18" ht="22.5" customHeight="1" x14ac:dyDescent="0.2">
      <c r="B772" s="729" t="e" vm="856">
        <f>_xlfn.IMAGE("https://natalie.tf/wp-content/uploads/2023/10/DLV3_Icon_WP_"&amp;G773&amp;"_01.png")</f>
        <v>#VALUE!</v>
      </c>
      <c r="D772" s="730" t="e" vm="857">
        <f>_xlfn.IMAGE("https://natalie.tf/wp-content/uploads/2023/10/DLV3_Icon_WP_"&amp;G773&amp;"_02.png")</f>
        <v>#VALUE!</v>
      </c>
      <c r="F772" s="717" t="str">
        <f>+INDEX(WP!$A:$AN,MATCH(F773,WP!$B:$B,0),MATCH("Name",WP!$A$2:$AN$2,0))</f>
        <v>A Widow's Lament</v>
      </c>
      <c r="G772" s="718"/>
      <c r="H772" s="719"/>
      <c r="J772" s="180" t="s">
        <v>10761</v>
      </c>
      <c r="K772" s="201">
        <f>+INDEX(WP!$A:$AN,MATCH(F773,WP!$B:$B,0),5)</f>
        <v>4</v>
      </c>
      <c r="L772" s="202">
        <f>+INDEX(WP!$A:$AN,MATCH(F773,WP!$B:$B,0),6)</f>
        <v>76</v>
      </c>
      <c r="M772" s="202">
        <f>+INDEX(WP!$A:$AN,MATCH(F773,WP!$B:$B,0),7)</f>
        <v>20</v>
      </c>
      <c r="N772" s="202" t="e" vm="345">
        <f>IFERROR(_xlfn.IMAGE("https://natalie.tf/wp-content/uploads/2023/11/DLV3_Icon_Affinity_"&amp;O772&amp;".png"),"")</f>
        <v>#VALUE!</v>
      </c>
      <c r="O772" s="203" t="str">
        <f>IF(INDEX(WP!$A:$AN,MATCH(F773,WP!$B:$B,0),8)=0,"None",INDEX(WP!$A:$AN,MATCH(F773,WP!$B:$B,0),8))</f>
        <v>Staff</v>
      </c>
      <c r="P772" s="8" t="e" vm="426">
        <f>_xlfn.IMAGE("https://natalie.tf/wp-content/uploads/2023/10/DLV3_Icon_Ability_"&amp;INDEX('WP-A'!$A$1:$Z$498,MATCH('WP-Print'!Q772,'WP-A'!$A:$A,0),MATCH("Icon",'WP-A'!$A$1:$Z$1,0))&amp;".png")</f>
        <v>#VALUE!</v>
      </c>
      <c r="Q772" s="231" t="str">
        <f>+INDEX(WP!$A:$AN,MATCH(F773,WP!$B:$B,0),MATCH("Ability",WP!$A$2:$AN$2,0))</f>
        <v>Last Defense +50%</v>
      </c>
      <c r="R772" s="734" t="str">
        <f>+INDEX(WP!$A:$AN,MATCH(F773,WP!$B:$B,0),MATCH("Obtain From",WP!$A$2:$AN$2,0))</f>
        <v>Clear Light Manticore Assault: Expert (Scars of the Syndicate)</v>
      </c>
    </row>
    <row r="773" spans="1:18" ht="22.5" customHeight="1" x14ac:dyDescent="0.2">
      <c r="A773" s="204" t="str">
        <f>TEXT(A770+1,"000")</f>
        <v>257</v>
      </c>
      <c r="B773" s="729"/>
      <c r="C773" s="8"/>
      <c r="D773" s="729"/>
      <c r="E773" s="8"/>
      <c r="F773" s="200" t="str">
        <f>"WP-"&amp;A773</f>
        <v>WP-257</v>
      </c>
      <c r="G773" s="200">
        <f>+INDEX(WP!$A:$AN,MATCH(F773,WP!$B:$B,0),MATCH("ID",WP!$A$2:$AN$2,0))</f>
        <v>400386</v>
      </c>
      <c r="I773" s="8"/>
      <c r="J773" s="180" t="s">
        <v>10762</v>
      </c>
      <c r="K773" s="201">
        <f>+INDEX(WP!$A:$AN,MATCH(F773,WP!$B:$B,0),14)</f>
        <v>4</v>
      </c>
      <c r="L773" s="202">
        <f>+INDEX(WP!$A:$AN,MATCH(F773,WP!$B:$B,0),15)</f>
        <v>130</v>
      </c>
      <c r="M773" s="202">
        <f>+INDEX(WP!$A:$AN,MATCH(F773,WP!$B:$B,0),16)</f>
        <v>80</v>
      </c>
      <c r="N773" s="202" t="e" vm="345">
        <f>IFERROR(_xlfn.IMAGE("https://natalie.tf/wp-content/uploads/2023/11/DLV3_Icon_Affinity_"&amp;O773&amp;".png"),"")</f>
        <v>#VALUE!</v>
      </c>
      <c r="O773" s="203" t="str">
        <f>+INDEX(WP!$A:$AN,MATCH(F773,WP!$B:$B,0),17)</f>
        <v>Staff</v>
      </c>
      <c r="P773" s="8" t="e" vm="426">
        <f>_xlfn.IMAGE("https://natalie.tf/wp-content/uploads/2023/10/DLV3_Icon_Ability_"&amp;INDEX('WP-A'!$A$1:$Z$498,MATCH('WP-Print'!Q773,'WP-A'!$A:$A,0),MATCH("Icon",'WP-A'!$A$1:$Z$1,0))&amp;".png")</f>
        <v>#VALUE!</v>
      </c>
      <c r="Q773" s="231" t="str">
        <f>+INDEX(WP!$A:$AN,MATCH(F773,WP!$B:$B,0),MATCH("Ability V3",WP!$A$2:$AN$2,0))</f>
        <v>Last Defense +60%</v>
      </c>
      <c r="R773" s="735"/>
    </row>
    <row r="774" spans="1:18" ht="7.5" customHeight="1" x14ac:dyDescent="0.2">
      <c r="A774" t="s">
        <v>10763</v>
      </c>
    </row>
    <row r="775" spans="1:18" ht="22.5" customHeight="1" x14ac:dyDescent="0.2">
      <c r="B775" s="729" t="e" vm="858">
        <f>_xlfn.IMAGE("https://natalie.tf/wp-content/uploads/2023/10/DLV3_Icon_WP_"&amp;G776&amp;"_01.png")</f>
        <v>#VALUE!</v>
      </c>
      <c r="D775" s="730" t="e" vm="859">
        <f>_xlfn.IMAGE("https://natalie.tf/wp-content/uploads/2023/10/DLV3_Icon_WP_"&amp;G776&amp;"_02.png")</f>
        <v>#VALUE!</v>
      </c>
      <c r="F775" s="717" t="str">
        <f>+INDEX(WP!$A:$AN,MATCH(F776,WP!$B:$B,0),MATCH("Name",WP!$A$2:$AN$2,0))</f>
        <v>A Pledge of Protection</v>
      </c>
      <c r="G775" s="718"/>
      <c r="H775" s="719"/>
      <c r="J775" s="180" t="s">
        <v>10761</v>
      </c>
      <c r="K775" s="201">
        <f>+INDEX(WP!$A:$AN,MATCH(F776,WP!$B:$B,0),5)</f>
        <v>4</v>
      </c>
      <c r="L775" s="202">
        <f>+INDEX(WP!$A:$AN,MATCH(F776,WP!$B:$B,0),6)</f>
        <v>61</v>
      </c>
      <c r="M775" s="202">
        <f>+INDEX(WP!$A:$AN,MATCH(F776,WP!$B:$B,0),7)</f>
        <v>17</v>
      </c>
      <c r="N775" s="202" t="str">
        <f ca="1">IFERROR(_xlfn.IMAGE("https://natalie.tf/wp-content/uploads/2023/11/DLV3_Icon_Affinity_"&amp;O775&amp;".png"),"")</f>
        <v/>
      </c>
      <c r="O775" s="203" t="str">
        <f>IF(INDEX(WP!$A:$AN,MATCH(F776,WP!$B:$B,0),8)=0,"None",INDEX(WP!$A:$AN,MATCH(F776,WP!$B:$B,0),8))</f>
        <v>None</v>
      </c>
      <c r="P775" s="8" t="e" vm="766">
        <f>_xlfn.IMAGE("https://natalie.tf/wp-content/uploads/2023/10/DLV3_Icon_Ability_"&amp;INDEX('WP-A'!$A$1:$Z$498,MATCH('WP-Print'!Q775,'WP-A'!$A:$A,0),MATCH("Icon",'WP-A'!$A$1:$Z$1,0))&amp;".png")</f>
        <v>#VALUE!</v>
      </c>
      <c r="Q775" s="231" t="str">
        <f>+INDEX(WP!$A:$AN,MATCH(F776,WP!$B:$B,0),MATCH("Ability",WP!$A$2:$AN$2,0))</f>
        <v>Blindness Res +50%</v>
      </c>
      <c r="R775" s="734" t="str">
        <f>+INDEX(WP!$A:$AN,MATCH(F776,WP!$B:$B,0),MATCH("Obtain From",WP!$A$2:$AN$2,0))</f>
        <v>Clear Hour of Retribution (Scars of the Syndicate)</v>
      </c>
    </row>
    <row r="776" spans="1:18" ht="22.5" customHeight="1" x14ac:dyDescent="0.2">
      <c r="A776" s="204" t="str">
        <f>TEXT(A773+1,"000")</f>
        <v>258</v>
      </c>
      <c r="B776" s="729"/>
      <c r="C776" s="8"/>
      <c r="D776" s="729"/>
      <c r="E776" s="8"/>
      <c r="F776" s="200" t="str">
        <f>"WP-"&amp;A776</f>
        <v>WP-258</v>
      </c>
      <c r="G776" s="200">
        <f>+INDEX(WP!$A:$AN,MATCH(F776,WP!$B:$B,0),MATCH("ID",WP!$A$2:$AN$2,0))</f>
        <v>400422</v>
      </c>
      <c r="I776" s="8"/>
      <c r="J776" s="180" t="s">
        <v>10762</v>
      </c>
      <c r="K776" s="201">
        <f>+INDEX(WP!$A:$AN,MATCH(F776,WP!$B:$B,0),14)</f>
        <v>4</v>
      </c>
      <c r="L776" s="202">
        <f>+INDEX(WP!$A:$AN,MATCH(F776,WP!$B:$B,0),15)</f>
        <v>130</v>
      </c>
      <c r="M776" s="202">
        <f>+INDEX(WP!$A:$AN,MATCH(F776,WP!$B:$B,0),16)</f>
        <v>80</v>
      </c>
      <c r="N776" s="202" t="e" vm="362">
        <f>IFERROR(_xlfn.IMAGE("https://natalie.tf/wp-content/uploads/2023/11/DLV3_Icon_Affinity_"&amp;O776&amp;".png"),"")</f>
        <v>#VALUE!</v>
      </c>
      <c r="O776" s="203" t="str">
        <f>+INDEX(WP!$A:$AN,MATCH(F776,WP!$B:$B,0),17)</f>
        <v>Bat</v>
      </c>
      <c r="P776" s="8" t="e" vm="8">
        <f>_xlfn.IMAGE("https://natalie.tf/wp-content/uploads/2023/10/DLV3_Icon_Ability_"&amp;INDEX('WP-A'!$A$1:$Z$498,MATCH('WP-Print'!Q776,'WP-A'!$A:$A,0),MATCH("Icon",'WP-A'!$A$1:$Z$1,0))&amp;".png")</f>
        <v>#VALUE!</v>
      </c>
      <c r="Q776" s="231" t="str">
        <f>+INDEX(WP!$A:$AN,MATCH(F776,WP!$B:$B,0),MATCH("Ability V3",WP!$A$2:$AN$2,0))</f>
        <v>Shadowblighted Punisher +20%</v>
      </c>
      <c r="R776" s="735"/>
    </row>
    <row r="777" spans="1:18" ht="7.5" customHeight="1" x14ac:dyDescent="0.2">
      <c r="A777" t="s">
        <v>10763</v>
      </c>
    </row>
    <row r="778" spans="1:18" ht="22.5" customHeight="1" x14ac:dyDescent="0.2">
      <c r="B778" s="729" t="e" vm="860">
        <f>_xlfn.IMAGE("https://natalie.tf/wp-content/uploads/2023/10/DLV3_Icon_WP_"&amp;G779&amp;"_01.png")</f>
        <v>#VALUE!</v>
      </c>
      <c r="D778" s="730" t="e" vm="861">
        <f>_xlfn.IMAGE("https://natalie.tf/wp-content/uploads/2023/10/DLV3_Icon_WP_"&amp;G779&amp;"_02.png")</f>
        <v>#VALUE!</v>
      </c>
      <c r="F778" s="717" t="str">
        <f>+INDEX(WP!$A:$AN,MATCH(F779,WP!$B:$B,0),MATCH("Name",WP!$A$2:$AN$2,0))</f>
        <v>His Clever Brother</v>
      </c>
      <c r="G778" s="718"/>
      <c r="H778" s="719"/>
      <c r="J778" s="180" t="s">
        <v>10761</v>
      </c>
      <c r="K778" s="201">
        <f>+INDEX(WP!$A:$AN,MATCH(F779,WP!$B:$B,0),5)</f>
        <v>4</v>
      </c>
      <c r="L778" s="202">
        <f>+INDEX(WP!$A:$AN,MATCH(F779,WP!$B:$B,0),6)</f>
        <v>71</v>
      </c>
      <c r="M778" s="202">
        <f>+INDEX(WP!$A:$AN,MATCH(F779,WP!$B:$B,0),7)</f>
        <v>25</v>
      </c>
      <c r="N778" s="202" t="str">
        <f ca="1">IFERROR(_xlfn.IMAGE("https://natalie.tf/wp-content/uploads/2023/11/DLV3_Icon_Affinity_"&amp;O778&amp;".png"),"")</f>
        <v/>
      </c>
      <c r="O778" s="203" t="str">
        <f>IF(INDEX(WP!$A:$AN,MATCH(F779,WP!$B:$B,0),8)=0,"None",INDEX(WP!$A:$AN,MATCH(F779,WP!$B:$B,0),8))</f>
        <v>None</v>
      </c>
      <c r="P778" s="8" t="e" vm="682">
        <f>_xlfn.IMAGE("https://natalie.tf/wp-content/uploads/2023/10/DLV3_Icon_Ability_"&amp;INDEX('WP-A'!$A$1:$Z$498,MATCH('WP-Print'!Q778,'WP-A'!$A:$A,0),MATCH("Icon",'WP-A'!$A$1:$Z$1,0))&amp;".png")</f>
        <v>#VALUE!</v>
      </c>
      <c r="Q778" s="231" t="str">
        <f>+INDEX(WP!$A:$AN,MATCH(F779,WP!$B:$B,0),MATCH("Ability",WP!$A$2:$AN$2,0))</f>
        <v>Frostbitten Punisher +20%</v>
      </c>
      <c r="R778" s="734" t="str">
        <f>+INDEX(WP!$A:$AN,MATCH(F779,WP!$B:$B,0),MATCH("Obtain From",WP!$A$2:$AN$2,0))</f>
        <v>Obtain From Ch. 07 EX 1 Chest (Hard) (Non-Endeavor)</v>
      </c>
    </row>
    <row r="779" spans="1:18" ht="22.5" customHeight="1" x14ac:dyDescent="0.2">
      <c r="A779" s="204" t="str">
        <f>TEXT(A776+1,"000")</f>
        <v>259</v>
      </c>
      <c r="B779" s="729"/>
      <c r="C779" s="8"/>
      <c r="D779" s="729"/>
      <c r="E779" s="8"/>
      <c r="F779" s="200" t="str">
        <f>"WP-"&amp;A779</f>
        <v>WP-259</v>
      </c>
      <c r="G779" s="200">
        <f>+INDEX(WP!$A:$AN,MATCH(F779,WP!$B:$B,0),MATCH("ID",WP!$A$2:$AN$2,0))</f>
        <v>400169</v>
      </c>
      <c r="I779" s="8"/>
      <c r="J779" s="180" t="s">
        <v>10762</v>
      </c>
      <c r="K779" s="201">
        <f>+INDEX(WP!$A:$AN,MATCH(F779,WP!$B:$B,0),14)</f>
        <v>4</v>
      </c>
      <c r="L779" s="202">
        <f>+INDEX(WP!$A:$AN,MATCH(F779,WP!$B:$B,0),15)</f>
        <v>130</v>
      </c>
      <c r="M779" s="202">
        <f>+INDEX(WP!$A:$AN,MATCH(F779,WP!$B:$B,0),16)</f>
        <v>80</v>
      </c>
      <c r="N779" s="202" t="e" vm="344">
        <f>IFERROR(_xlfn.IMAGE("https://natalie.tf/wp-content/uploads/2023/11/DLV3_Icon_Affinity_"&amp;O779&amp;".png"),"")</f>
        <v>#VALUE!</v>
      </c>
      <c r="O779" s="203" t="str">
        <f>+INDEX(WP!$A:$AN,MATCH(F779,WP!$B:$B,0),17)</f>
        <v>Eagle</v>
      </c>
      <c r="P779" s="8" t="e" vm="682">
        <f>_xlfn.IMAGE("https://natalie.tf/wp-content/uploads/2023/10/DLV3_Icon_Ability_"&amp;INDEX('WP-A'!$A$1:$Z$498,MATCH('WP-Print'!Q779,'WP-A'!$A:$A,0),MATCH("Icon",'WP-A'!$A$1:$Z$1,0))&amp;".png")</f>
        <v>#VALUE!</v>
      </c>
      <c r="Q779" s="231" t="str">
        <f>+INDEX(WP!$A:$AN,MATCH(F779,WP!$B:$B,0),MATCH("Ability V3",WP!$A$2:$AN$2,0))</f>
        <v>Frostbitten Punisher +25%</v>
      </c>
      <c r="R779" s="735"/>
    </row>
    <row r="780" spans="1:18" ht="7.5" customHeight="1" x14ac:dyDescent="0.2">
      <c r="A780" t="s">
        <v>10763</v>
      </c>
    </row>
    <row r="781" spans="1:18" ht="22.5" customHeight="1" x14ac:dyDescent="0.2">
      <c r="B781" s="729" t="e" vm="862">
        <f>_xlfn.IMAGE("https://natalie.tf/wp-content/uploads/2023/10/DLV3_Icon_WP_"&amp;G782&amp;"_01.png")</f>
        <v>#VALUE!</v>
      </c>
      <c r="D781" s="730" t="e" vm="863">
        <f>_xlfn.IMAGE("https://natalie.tf/wp-content/uploads/2023/10/DLV3_Icon_WP_"&amp;G782&amp;"_02.png")</f>
        <v>#VALUE!</v>
      </c>
      <c r="F781" s="717" t="str">
        <f>+INDEX(WP!$A:$AN,MATCH(F782,WP!$B:$B,0),MATCH("Name",WP!$A$2:$AN$2,0))</f>
        <v>Fallen Wings</v>
      </c>
      <c r="G781" s="718"/>
      <c r="H781" s="719"/>
      <c r="J781" s="180" t="s">
        <v>10761</v>
      </c>
      <c r="K781" s="201">
        <f>+INDEX(WP!$A:$AN,MATCH(F782,WP!$B:$B,0),5)</f>
        <v>4</v>
      </c>
      <c r="L781" s="202">
        <f>+INDEX(WP!$A:$AN,MATCH(F782,WP!$B:$B,0),6)</f>
        <v>73</v>
      </c>
      <c r="M781" s="202">
        <f>+INDEX(WP!$A:$AN,MATCH(F782,WP!$B:$B,0),7)</f>
        <v>23</v>
      </c>
      <c r="N781" s="202" t="e" vm="362">
        <f>IFERROR(_xlfn.IMAGE("https://natalie.tf/wp-content/uploads/2023/11/DLV3_Icon_Affinity_"&amp;O781&amp;".png"),"")</f>
        <v>#VALUE!</v>
      </c>
      <c r="O781" s="203" t="str">
        <f>IF(INDEX(WP!$A:$AN,MATCH(F782,WP!$B:$B,0),8)=0,"None",INDEX(WP!$A:$AN,MATCH(F782,WP!$B:$B,0),8))</f>
        <v>Bat</v>
      </c>
      <c r="P781" s="8" t="e" vm="14">
        <f>_xlfn.IMAGE("https://natalie.tf/wp-content/uploads/2023/10/DLV3_Icon_Ability_"&amp;INDEX('WP-A'!$A$1:$Z$498,MATCH('WP-Print'!Q781,'WP-A'!$A:$A,0),MATCH("Icon",'WP-A'!$A$1:$Z$1,0))&amp;".png")</f>
        <v>#VALUE!</v>
      </c>
      <c r="Q781" s="231" t="str">
        <f>+INDEX(WP!$A:$AN,MATCH(F782,WP!$B:$B,0),MATCH("Ability",WP!$A$2:$AN$2,0))</f>
        <v>Dragon Damage +14%</v>
      </c>
      <c r="R781" s="734" t="str">
        <f>+INDEX(WP!$A:$AN,MATCH(F782,WP!$B:$B,0),MATCH("Obtain From",WP!$A$2:$AN$2,0))</f>
        <v>Clear Zodiark's Trial: Master</v>
      </c>
    </row>
    <row r="782" spans="1:18" ht="22.5" customHeight="1" x14ac:dyDescent="0.2">
      <c r="A782" s="204" t="str">
        <f>TEXT(A779+1,"000")</f>
        <v>260</v>
      </c>
      <c r="B782" s="729"/>
      <c r="C782" s="8"/>
      <c r="D782" s="729"/>
      <c r="E782" s="8"/>
      <c r="F782" s="200" t="str">
        <f>"WP-"&amp;A782</f>
        <v>WP-260</v>
      </c>
      <c r="G782" s="200">
        <f>+INDEX(WP!$A:$AN,MATCH(F782,WP!$B:$B,0),MATCH("ID",WP!$A$2:$AN$2,0))</f>
        <v>400430</v>
      </c>
      <c r="I782" s="8"/>
      <c r="J782" s="180" t="s">
        <v>10762</v>
      </c>
      <c r="K782" s="201">
        <f>+INDEX(WP!$A:$AN,MATCH(F782,WP!$B:$B,0),14)</f>
        <v>4</v>
      </c>
      <c r="L782" s="202">
        <f>+INDEX(WP!$A:$AN,MATCH(F782,WP!$B:$B,0),15)</f>
        <v>130</v>
      </c>
      <c r="M782" s="202">
        <f>+INDEX(WP!$A:$AN,MATCH(F782,WP!$B:$B,0),16)</f>
        <v>80</v>
      </c>
      <c r="N782" s="202" t="e" vm="362">
        <f>IFERROR(_xlfn.IMAGE("https://natalie.tf/wp-content/uploads/2023/11/DLV3_Icon_Affinity_"&amp;O782&amp;".png"),"")</f>
        <v>#VALUE!</v>
      </c>
      <c r="O782" s="203" t="str">
        <f>+INDEX(WP!$A:$AN,MATCH(F782,WP!$B:$B,0),17)</f>
        <v>Bat</v>
      </c>
      <c r="P782" s="8" t="e" vm="14">
        <f>_xlfn.IMAGE("https://natalie.tf/wp-content/uploads/2023/10/DLV3_Icon_Ability_"&amp;INDEX('WP-A'!$A$1:$Z$498,MATCH('WP-Print'!Q782,'WP-A'!$A:$A,0),MATCH("Icon",'WP-A'!$A$1:$Z$1,0))&amp;".png")</f>
        <v>#VALUE!</v>
      </c>
      <c r="Q782" s="231" t="str">
        <f>+INDEX(WP!$A:$AN,MATCH(F782,WP!$B:$B,0),MATCH("Ability V3",WP!$A$2:$AN$2,0))</f>
        <v>Dragon Damage +14%</v>
      </c>
      <c r="R782" s="735"/>
    </row>
    <row r="783" spans="1:18" ht="7.5" customHeight="1" x14ac:dyDescent="0.2">
      <c r="A783" t="s">
        <v>10763</v>
      </c>
    </row>
    <row r="784" spans="1:18" ht="22.5" customHeight="1" x14ac:dyDescent="0.2">
      <c r="B784" s="729" t="e" vm="864">
        <f>_xlfn.IMAGE("https://natalie.tf/wp-content/uploads/2023/10/DLV3_Icon_WP_"&amp;G785&amp;"_01.png")</f>
        <v>#VALUE!</v>
      </c>
      <c r="D784" s="730" t="e" vm="865">
        <f>_xlfn.IMAGE("https://natalie.tf/wp-content/uploads/2023/10/DLV3_Icon_WP_"&amp;G785&amp;"_02.png")</f>
        <v>#VALUE!</v>
      </c>
      <c r="F784" s="717" t="str">
        <f>+INDEX(WP!$A:$AN,MATCH(F785,WP!$B:$B,0),MATCH("Name",WP!$A$2:$AN$2,0))</f>
        <v>Happy Times</v>
      </c>
      <c r="G784" s="718"/>
      <c r="H784" s="719"/>
      <c r="J784" s="180" t="s">
        <v>10761</v>
      </c>
      <c r="K784" s="201">
        <f>+INDEX(WP!$A:$AN,MATCH(F785,WP!$B:$B,0),5)</f>
        <v>4</v>
      </c>
      <c r="L784" s="202">
        <f>+INDEX(WP!$A:$AN,MATCH(F785,WP!$B:$B,0),6)</f>
        <v>59</v>
      </c>
      <c r="M784" s="202">
        <f>+INDEX(WP!$A:$AN,MATCH(F785,WP!$B:$B,0),7)</f>
        <v>19</v>
      </c>
      <c r="N784" s="202" t="str">
        <f ca="1">IFERROR(_xlfn.IMAGE("https://natalie.tf/wp-content/uploads/2023/11/DLV3_Icon_Affinity_"&amp;O784&amp;".png"),"")</f>
        <v/>
      </c>
      <c r="O784" s="203" t="str">
        <f>IF(INDEX(WP!$A:$AN,MATCH(F785,WP!$B:$B,0),8)=0,"None",INDEX(WP!$A:$AN,MATCH(F785,WP!$B:$B,0),8))</f>
        <v>None</v>
      </c>
      <c r="P784" s="8" t="e" vm="14">
        <f>_xlfn.IMAGE("https://natalie.tf/wp-content/uploads/2023/10/DLV3_Icon_Ability_"&amp;INDEX('WP-A'!$A$1:$Z$498,MATCH('WP-Print'!Q784,'WP-A'!$A:$A,0),MATCH("Icon",'WP-A'!$A$1:$Z$1,0))&amp;".png")</f>
        <v>#VALUE!</v>
      </c>
      <c r="Q784" s="231" t="str">
        <f>+INDEX(WP!$A:$AN,MATCH(F785,WP!$B:$B,0),MATCH("Ability",WP!$A$2:$AN$2,0))</f>
        <v>Strength Doublebuff +8%</v>
      </c>
      <c r="R784" s="734" t="str">
        <f>+INDEX(WP!$A:$AN,MATCH(F785,WP!$B:$B,0),MATCH("Obtain From",WP!$A$2:$AN$2,0))</f>
        <v>Clear Escaping the Cave (Timeworn Torment)</v>
      </c>
    </row>
    <row r="785" spans="1:18" ht="22.5" customHeight="1" x14ac:dyDescent="0.2">
      <c r="A785" s="204" t="str">
        <f>TEXT(A782+1,"000")</f>
        <v>261</v>
      </c>
      <c r="B785" s="729"/>
      <c r="C785" s="8"/>
      <c r="D785" s="729"/>
      <c r="E785" s="8"/>
      <c r="F785" s="200" t="str">
        <f>"WP-"&amp;A785</f>
        <v>WP-261</v>
      </c>
      <c r="G785" s="200">
        <f>+INDEX(WP!$A:$AN,MATCH(F785,WP!$B:$B,0),MATCH("ID",WP!$A$2:$AN$2,0))</f>
        <v>400432</v>
      </c>
      <c r="I785" s="8"/>
      <c r="J785" s="180" t="s">
        <v>10762</v>
      </c>
      <c r="K785" s="201">
        <f>+INDEX(WP!$A:$AN,MATCH(F785,WP!$B:$B,0),14)</f>
        <v>4</v>
      </c>
      <c r="L785" s="202">
        <f>+INDEX(WP!$A:$AN,MATCH(F785,WP!$B:$B,0),15)</f>
        <v>130</v>
      </c>
      <c r="M785" s="202">
        <f>+INDEX(WP!$A:$AN,MATCH(F785,WP!$B:$B,0),16)</f>
        <v>80</v>
      </c>
      <c r="N785" s="202" t="e" vm="354">
        <f>IFERROR(_xlfn.IMAGE("https://natalie.tf/wp-content/uploads/2023/11/DLV3_Icon_Affinity_"&amp;O785&amp;".png"),"")</f>
        <v>#VALUE!</v>
      </c>
      <c r="O785" s="203" t="str">
        <f>+INDEX(WP!$A:$AN,MATCH(F785,WP!$B:$B,0),17)</f>
        <v>Butterfly</v>
      </c>
      <c r="P785" s="8" t="e" vm="14">
        <f>_xlfn.IMAGE("https://natalie.tf/wp-content/uploads/2023/10/DLV3_Icon_Ability_"&amp;INDEX('WP-A'!$A$1:$Z$498,MATCH('WP-Print'!Q785,'WP-A'!$A:$A,0),MATCH("Icon",'WP-A'!$A$1:$Z$1,0))&amp;".png")</f>
        <v>#VALUE!</v>
      </c>
      <c r="Q785" s="231" t="str">
        <f>+INDEX(WP!$A:$AN,MATCH(F785,WP!$B:$B,0),MATCH("Ability V3",WP!$A$2:$AN$2,0))</f>
        <v>Strength Doublebuff +10%</v>
      </c>
      <c r="R785" s="735"/>
    </row>
    <row r="786" spans="1:18" ht="7.5" customHeight="1" x14ac:dyDescent="0.2">
      <c r="A786" t="s">
        <v>10763</v>
      </c>
    </row>
    <row r="787" spans="1:18" ht="22.5" customHeight="1" x14ac:dyDescent="0.2">
      <c r="B787" s="729" t="e" vm="866">
        <f>_xlfn.IMAGE("https://natalie.tf/wp-content/uploads/2023/10/DLV3_Icon_WP_"&amp;G788&amp;"_01.png")</f>
        <v>#VALUE!</v>
      </c>
      <c r="D787" s="730" t="e" vm="867">
        <f>_xlfn.IMAGE("https://natalie.tf/wp-content/uploads/2023/10/DLV3_Icon_WP_"&amp;G788&amp;"_02.png")</f>
        <v>#VALUE!</v>
      </c>
      <c r="F787" s="717" t="str">
        <f>+INDEX(WP!$A:$AN,MATCH(F788,WP!$B:$B,0),MATCH("Name",WP!$A$2:$AN$2,0))</f>
        <v>Flowers Under the Moon</v>
      </c>
      <c r="G787" s="718"/>
      <c r="H787" s="719"/>
      <c r="J787" s="180" t="s">
        <v>10761</v>
      </c>
      <c r="K787" s="201">
        <f>+INDEX(WP!$A:$AN,MATCH(F788,WP!$B:$B,0),5)</f>
        <v>4</v>
      </c>
      <c r="L787" s="202">
        <f>+INDEX(WP!$A:$AN,MATCH(F788,WP!$B:$B,0),6)</f>
        <v>71</v>
      </c>
      <c r="M787" s="202">
        <f>+INDEX(WP!$A:$AN,MATCH(F788,WP!$B:$B,0),7)</f>
        <v>25</v>
      </c>
      <c r="N787" s="202" t="e" vm="340">
        <f>IFERROR(_xlfn.IMAGE("https://natalie.tf/wp-content/uploads/2023/11/DLV3_Icon_Affinity_"&amp;O787&amp;".png"),"")</f>
        <v>#VALUE!</v>
      </c>
      <c r="O787" s="203" t="str">
        <f>IF(INDEX(WP!$A:$AN,MATCH(F788,WP!$B:$B,0),8)=0,"None",INDEX(WP!$A:$AN,MATCH(F788,WP!$B:$B,0),8))</f>
        <v>Lance</v>
      </c>
      <c r="P787" s="8" t="e" vm="330">
        <f>_xlfn.IMAGE("https://natalie.tf/wp-content/uploads/2023/10/DLV3_Icon_Ability_"&amp;INDEX('WP-A'!$A$1:$Z$498,MATCH('WP-Print'!Q787,'WP-A'!$A:$A,0),MATCH("Icon",'WP-A'!$A$1:$Z$1,0))&amp;".png")</f>
        <v>#VALUE!</v>
      </c>
      <c r="Q787" s="231" t="str">
        <f>+INDEX(WP!$A:$AN,MATCH(F788,WP!$B:$B,0),MATCH("Ability",WP!$A$2:$AN$2,0))</f>
        <v>Striking Haste +10%</v>
      </c>
      <c r="R787" s="734" t="str">
        <f>+INDEX(WP!$A:$AN,MATCH(F788,WP!$B:$B,0),MATCH("Obtain From",WP!$A$2:$AN$2,0))</f>
        <v>Clear Fighting for a Chance (Timeworn Torment)</v>
      </c>
    </row>
    <row r="788" spans="1:18" ht="22.5" customHeight="1" x14ac:dyDescent="0.2">
      <c r="A788" s="204" t="str">
        <f>TEXT(A785+1,"000")</f>
        <v>262</v>
      </c>
      <c r="B788" s="729"/>
      <c r="C788" s="8"/>
      <c r="D788" s="729"/>
      <c r="E788" s="8"/>
      <c r="F788" s="200" t="str">
        <f>"WP-"&amp;A788</f>
        <v>WP-262</v>
      </c>
      <c r="G788" s="200">
        <f>+INDEX(WP!$A:$AN,MATCH(F788,WP!$B:$B,0),MATCH("ID",WP!$A$2:$AN$2,0))</f>
        <v>400434</v>
      </c>
      <c r="I788" s="8"/>
      <c r="J788" s="180" t="s">
        <v>10762</v>
      </c>
      <c r="K788" s="201">
        <f>+INDEX(WP!$A:$AN,MATCH(F788,WP!$B:$B,0),14)</f>
        <v>4</v>
      </c>
      <c r="L788" s="202">
        <f>+INDEX(WP!$A:$AN,MATCH(F788,WP!$B:$B,0),15)</f>
        <v>130</v>
      </c>
      <c r="M788" s="202">
        <f>+INDEX(WP!$A:$AN,MATCH(F788,WP!$B:$B,0),16)</f>
        <v>80</v>
      </c>
      <c r="N788" s="202" t="e" vm="340">
        <f>IFERROR(_xlfn.IMAGE("https://natalie.tf/wp-content/uploads/2023/11/DLV3_Icon_Affinity_"&amp;O788&amp;".png"),"")</f>
        <v>#VALUE!</v>
      </c>
      <c r="O788" s="203" t="str">
        <f>+INDEX(WP!$A:$AN,MATCH(F788,WP!$B:$B,0),17)</f>
        <v>Lance</v>
      </c>
      <c r="P788" s="8" t="e" vm="330">
        <f>_xlfn.IMAGE("https://natalie.tf/wp-content/uploads/2023/10/DLV3_Icon_Ability_"&amp;INDEX('WP-A'!$A$1:$Z$498,MATCH('WP-Print'!Q788,'WP-A'!$A:$A,0),MATCH("Icon",'WP-A'!$A$1:$Z$1,0))&amp;".png")</f>
        <v>#VALUE!</v>
      </c>
      <c r="Q788" s="231" t="str">
        <f>+INDEX(WP!$A:$AN,MATCH(F788,WP!$B:$B,0),MATCH("Ability V3",WP!$A$2:$AN$2,0))</f>
        <v>Striking Haste +10%</v>
      </c>
      <c r="R788" s="735"/>
    </row>
    <row r="789" spans="1:18" ht="7.5" customHeight="1" x14ac:dyDescent="0.2">
      <c r="A789" t="s">
        <v>10763</v>
      </c>
    </row>
    <row r="790" spans="1:18" ht="22.5" customHeight="1" x14ac:dyDescent="0.2">
      <c r="B790" s="729" t="e" vm="868">
        <f>_xlfn.IMAGE("https://natalie.tf/wp-content/uploads/2023/10/DLV3_Icon_WP_"&amp;G791&amp;"_01.png")</f>
        <v>#VALUE!</v>
      </c>
      <c r="D790" s="730" t="e" vm="869">
        <f>_xlfn.IMAGE("https://natalie.tf/wp-content/uploads/2023/10/DLV3_Icon_WP_"&amp;G791&amp;"_02.png")</f>
        <v>#VALUE!</v>
      </c>
      <c r="F790" s="717" t="str">
        <f>+INDEX(WP!$A:$AN,MATCH(F791,WP!$B:$B,0),MATCH("Name",WP!$A$2:$AN$2,0))</f>
        <v>A Bouquet</v>
      </c>
      <c r="G790" s="718"/>
      <c r="H790" s="719"/>
      <c r="J790" s="180" t="s">
        <v>10761</v>
      </c>
      <c r="K790" s="201">
        <f>+INDEX(WP!$A:$AN,MATCH(F791,WP!$B:$B,0),5)</f>
        <v>4</v>
      </c>
      <c r="L790" s="202">
        <f>+INDEX(WP!$A:$AN,MATCH(F791,WP!$B:$B,0),6)</f>
        <v>78</v>
      </c>
      <c r="M790" s="202">
        <f>+INDEX(WP!$A:$AN,MATCH(F791,WP!$B:$B,0),7)</f>
        <v>19</v>
      </c>
      <c r="N790" s="202" t="e" vm="341">
        <f>IFERROR(_xlfn.IMAGE("https://natalie.tf/wp-content/uploads/2023/11/DLV3_Icon_Affinity_"&amp;O790&amp;".png"),"")</f>
        <v>#VALUE!</v>
      </c>
      <c r="O790" s="203" t="str">
        <f>IF(INDEX(WP!$A:$AN,MATCH(F791,WP!$B:$B,0),8)=0,"None",INDEX(WP!$A:$AN,MATCH(F791,WP!$B:$B,0),8))</f>
        <v>Crown</v>
      </c>
      <c r="P790" s="8" t="e" vm="870">
        <f>_xlfn.IMAGE("https://natalie.tf/wp-content/uploads/2023/10/DLV3_Icon_Ability_"&amp;INDEX('WP-A'!$A$1:$Z$498,MATCH('WP-Print'!Q790,'WP-A'!$A:$A,0),MATCH("Icon",'WP-A'!$A$1:$Z$1,0))&amp;".png")</f>
        <v>#VALUE!</v>
      </c>
      <c r="Q790" s="231" t="str">
        <f>+INDEX(WP!$A:$AN,MATCH(F791,WP!$B:$B,0),MATCH("Ability",WP!$A$2:$AN$2,0))</f>
        <v>Life Shield Prep III</v>
      </c>
      <c r="R790" s="734" t="str">
        <f>+INDEX(WP!$A:$AN,MATCH(F791,WP!$B:$B,0),MATCH("Obtain From",WP!$A$2:$AN$2,0))</f>
        <v>Clear Battle at the Wartarch Ruins: Standard (The Imperial Onslaught)</v>
      </c>
    </row>
    <row r="791" spans="1:18" ht="22.5" customHeight="1" x14ac:dyDescent="0.2">
      <c r="A791" s="204" t="str">
        <f>TEXT(A788+1,"000")</f>
        <v>263</v>
      </c>
      <c r="B791" s="729"/>
      <c r="C791" s="8"/>
      <c r="D791" s="729"/>
      <c r="E791" s="8"/>
      <c r="F791" s="200" t="str">
        <f>"WP-"&amp;A791</f>
        <v>WP-263</v>
      </c>
      <c r="G791" s="200">
        <f>+INDEX(WP!$A:$AN,MATCH(F791,WP!$B:$B,0),MATCH("ID",WP!$A$2:$AN$2,0))</f>
        <v>400284</v>
      </c>
      <c r="I791" s="8"/>
      <c r="J791" s="180" t="s">
        <v>10762</v>
      </c>
      <c r="K791" s="201">
        <f>+INDEX(WP!$A:$AN,MATCH(F791,WP!$B:$B,0),14)</f>
        <v>4</v>
      </c>
      <c r="L791" s="202">
        <f>+INDEX(WP!$A:$AN,MATCH(F791,WP!$B:$B,0),15)</f>
        <v>130</v>
      </c>
      <c r="M791" s="202">
        <f>+INDEX(WP!$A:$AN,MATCH(F791,WP!$B:$B,0),16)</f>
        <v>80</v>
      </c>
      <c r="N791" s="202" t="e" vm="341">
        <f>IFERROR(_xlfn.IMAGE("https://natalie.tf/wp-content/uploads/2023/11/DLV3_Icon_Affinity_"&amp;O791&amp;".png"),"")</f>
        <v>#VALUE!</v>
      </c>
      <c r="O791" s="203" t="str">
        <f>+INDEX(WP!$A:$AN,MATCH(F791,WP!$B:$B,0),17)</f>
        <v>Crown</v>
      </c>
      <c r="P791" s="8" t="e" vm="870">
        <f>_xlfn.IMAGE("https://natalie.tf/wp-content/uploads/2023/10/DLV3_Icon_Ability_"&amp;INDEX('WP-A'!$A$1:$Z$498,MATCH('WP-Print'!Q791,'WP-A'!$A:$A,0),MATCH("Icon",'WP-A'!$A$1:$Z$1,0))&amp;".png")</f>
        <v>#VALUE!</v>
      </c>
      <c r="Q791" s="231" t="str">
        <f>+INDEX(WP!$A:$AN,MATCH(F791,WP!$B:$B,0),MATCH("Ability V3",WP!$A$2:$AN$2,0))</f>
        <v>Life Shield Prep III</v>
      </c>
      <c r="R791" s="735"/>
    </row>
    <row r="792" spans="1:18" ht="7.5" customHeight="1" x14ac:dyDescent="0.2">
      <c r="A792" t="s">
        <v>10763</v>
      </c>
    </row>
    <row r="793" spans="1:18" ht="22.5" customHeight="1" x14ac:dyDescent="0.2">
      <c r="B793" s="729" t="e" vm="871">
        <f>_xlfn.IMAGE("https://natalie.tf/wp-content/uploads/2023/10/DLV3_Icon_WP_"&amp;G794&amp;"_01.png")</f>
        <v>#VALUE!</v>
      </c>
      <c r="D793" s="730" t="e" vm="872">
        <f>_xlfn.IMAGE("https://natalie.tf/wp-content/uploads/2023/10/DLV3_Icon_WP_"&amp;G794&amp;"_02.png")</f>
        <v>#VALUE!</v>
      </c>
      <c r="F793" s="731" t="str">
        <f>+INDEX(WP!$A:$AN,MATCH(F794,WP!$B:$B,0),MATCH("Name",WP!$A$2:$AN$2,0))</f>
        <v>Catch Me in the Sunflowers</v>
      </c>
      <c r="G793" s="732"/>
      <c r="H793" s="733"/>
      <c r="J793" s="180" t="s">
        <v>10761</v>
      </c>
      <c r="K793" s="201">
        <f>+INDEX(WP!$A:$AN,MATCH(F794,WP!$B:$B,0),5)</f>
        <v>4</v>
      </c>
      <c r="L793" s="202">
        <f>+INDEX(WP!$A:$AN,MATCH(F794,WP!$B:$B,0),6)</f>
        <v>71</v>
      </c>
      <c r="M793" s="202">
        <f>+INDEX(WP!$A:$AN,MATCH(F794,WP!$B:$B,0),7)</f>
        <v>25</v>
      </c>
      <c r="N793" s="202" t="str">
        <f ca="1">IFERROR(_xlfn.IMAGE("https://natalie.tf/wp-content/uploads/2023/11/DLV3_Icon_Affinity_"&amp;O793&amp;".png"),"")</f>
        <v/>
      </c>
      <c r="O793" s="203" t="str">
        <f>IF(INDEX(WP!$A:$AN,MATCH(F794,WP!$B:$B,0),8)=0,"None",INDEX(WP!$A:$AN,MATCH(F794,WP!$B:$B,0),8))</f>
        <v>None</v>
      </c>
      <c r="P793" s="8" t="e" vm="632">
        <f>_xlfn.IMAGE("https://natalie.tf/wp-content/uploads/2023/10/DLV3_Icon_Ability_"&amp;INDEX('WP-A'!$A$1:$Z$498,MATCH('WP-Print'!Q793,'WP-A'!$A:$A,0),MATCH("Icon",'WP-A'!$A$1:$Z$1,0))&amp;".png")</f>
        <v>#VALUE!</v>
      </c>
      <c r="Q793" s="231" t="str">
        <f>+INDEX(WP!$A:$AN,MATCH(F794,WP!$B:$B,0),MATCH("Ability",WP!$A$2:$AN$2,0))</f>
        <v>Bleeding Punisher +4%</v>
      </c>
      <c r="R793" s="734" t="str">
        <f>+INDEX(WP!$A:$AN,MATCH(F794,WP!$B:$B,0),MATCH("Obtain From",WP!$A$2:$AN$2,0))</f>
        <v>Clear Frenetic Fiend Festival: Expert (Rhythmic Resolutions)</v>
      </c>
    </row>
    <row r="794" spans="1:18" ht="22.5" customHeight="1" x14ac:dyDescent="0.2">
      <c r="A794" s="204" t="str">
        <f>TEXT(A791+1,"000")</f>
        <v>264</v>
      </c>
      <c r="B794" s="729"/>
      <c r="C794" s="8"/>
      <c r="D794" s="729"/>
      <c r="E794" s="8"/>
      <c r="F794" s="200" t="str">
        <f>"WP-"&amp;A794</f>
        <v>WP-264</v>
      </c>
      <c r="G794" s="200">
        <f>+INDEX(WP!$A:$AN,MATCH(F794,WP!$B:$B,0),MATCH("ID",WP!$A$2:$AN$2,0))</f>
        <v>400438</v>
      </c>
      <c r="I794" s="8"/>
      <c r="J794" s="180" t="s">
        <v>10762</v>
      </c>
      <c r="K794" s="201">
        <f>+INDEX(WP!$A:$AN,MATCH(F794,WP!$B:$B,0),14)</f>
        <v>4</v>
      </c>
      <c r="L794" s="202">
        <f>+INDEX(WP!$A:$AN,MATCH(F794,WP!$B:$B,0),15)</f>
        <v>130</v>
      </c>
      <c r="M794" s="202">
        <f>+INDEX(WP!$A:$AN,MATCH(F794,WP!$B:$B,0),16)</f>
        <v>80</v>
      </c>
      <c r="N794" s="202" t="e" vm="342">
        <f>IFERROR(_xlfn.IMAGE("https://natalie.tf/wp-content/uploads/2023/11/DLV3_Icon_Affinity_"&amp;O794&amp;".png"),"")</f>
        <v>#VALUE!</v>
      </c>
      <c r="O794" s="203" t="str">
        <f>+INDEX(WP!$A:$AN,MATCH(F794,WP!$B:$B,0),17)</f>
        <v>Bow</v>
      </c>
      <c r="P794" s="8" t="e" vm="632">
        <f>_xlfn.IMAGE("https://natalie.tf/wp-content/uploads/2023/10/DLV3_Icon_Ability_"&amp;INDEX('WP-A'!$A$1:$Z$498,MATCH('WP-Print'!Q794,'WP-A'!$A:$A,0),MATCH("Icon",'WP-A'!$A$1:$Z$1,0))&amp;".png")</f>
        <v>#VALUE!</v>
      </c>
      <c r="Q794" s="231" t="str">
        <f>+INDEX(WP!$A:$AN,MATCH(F794,WP!$B:$B,0),MATCH("Ability V3",WP!$A$2:$AN$2,0))</f>
        <v>Bleeding Punisher +10%</v>
      </c>
      <c r="R794" s="735"/>
    </row>
    <row r="795" spans="1:18" ht="7.5" customHeight="1" x14ac:dyDescent="0.2">
      <c r="A795" t="s">
        <v>10763</v>
      </c>
    </row>
    <row r="796" spans="1:18" ht="22.5" customHeight="1" x14ac:dyDescent="0.2">
      <c r="B796" s="729" t="e" vm="873">
        <f>_xlfn.IMAGE("https://natalie.tf/wp-content/uploads/2023/10/DLV3_Icon_WP_"&amp;G797&amp;"_01.png")</f>
        <v>#VALUE!</v>
      </c>
      <c r="D796" s="730" t="e" vm="874">
        <f>_xlfn.IMAGE("https://natalie.tf/wp-content/uploads/2023/10/DLV3_Icon_WP_"&amp;G797&amp;"_02.png")</f>
        <v>#VALUE!</v>
      </c>
      <c r="F796" s="717" t="str">
        <f>+INDEX(WP!$A:$AN,MATCH(F797,WP!$B:$B,0),MATCH("Name",WP!$A$2:$AN$2,0))</f>
        <v>Such High Spirits!</v>
      </c>
      <c r="G796" s="718"/>
      <c r="H796" s="719"/>
      <c r="J796" s="180" t="s">
        <v>10761</v>
      </c>
      <c r="K796" s="201">
        <f>+INDEX(WP!$A:$AN,MATCH(F797,WP!$B:$B,0),5)</f>
        <v>4</v>
      </c>
      <c r="L796" s="202">
        <f>+INDEX(WP!$A:$AN,MATCH(F797,WP!$B:$B,0),6)</f>
        <v>71</v>
      </c>
      <c r="M796" s="202">
        <f>+INDEX(WP!$A:$AN,MATCH(F797,WP!$B:$B,0),7)</f>
        <v>25</v>
      </c>
      <c r="N796" s="202" t="e" vm="381">
        <f>IFERROR(_xlfn.IMAGE("https://natalie.tf/wp-content/uploads/2023/11/DLV3_Icon_Affinity_"&amp;O796&amp;".png"),"")</f>
        <v>#VALUE!</v>
      </c>
      <c r="O796" s="203" t="str">
        <f>IF(INDEX(WP!$A:$AN,MATCH(F797,WP!$B:$B,0),8)=0,"None",INDEX(WP!$A:$AN,MATCH(F797,WP!$B:$B,0),8))</f>
        <v>Dragon</v>
      </c>
      <c r="P796" s="8" t="e" vm="382">
        <f>_xlfn.IMAGE("https://natalie.tf/wp-content/uploads/2023/10/DLV3_Icon_Ability_"&amp;INDEX('WP-A'!$A$1:$Z$498,MATCH('WP-Print'!Q796,'WP-A'!$A:$A,0),MATCH("Icon",'WP-A'!$A$1:$Z$1,0))&amp;".png")</f>
        <v>#VALUE!</v>
      </c>
      <c r="Q796" s="231" t="str">
        <f>+INDEX(WP!$A:$AN,MATCH(F797,WP!$B:$B,0),MATCH("Ability",WP!$A$2:$AN$2,0))</f>
        <v>Dragon Time +15%</v>
      </c>
      <c r="R796" s="734" t="str">
        <f>+INDEX(WP!$A:$AN,MATCH(F797,WP!$B:$B,0),MATCH("Obtain From",WP!$A$2:$AN$2,0))</f>
        <v>Obtain From Ch. 08 EX 1 Chest (Very Hard) (Non-Endeavor)</v>
      </c>
    </row>
    <row r="797" spans="1:18" ht="22.5" customHeight="1" x14ac:dyDescent="0.2">
      <c r="A797" s="204" t="str">
        <f>TEXT(A794+1,"000")</f>
        <v>265</v>
      </c>
      <c r="B797" s="729"/>
      <c r="C797" s="8"/>
      <c r="D797" s="729"/>
      <c r="E797" s="8"/>
      <c r="F797" s="200" t="str">
        <f>"WP-"&amp;A797</f>
        <v>WP-265</v>
      </c>
      <c r="G797" s="200">
        <f>+INDEX(WP!$A:$AN,MATCH(F797,WP!$B:$B,0),MATCH("ID",WP!$A$2:$AN$2,0))</f>
        <v>400440</v>
      </c>
      <c r="I797" s="8"/>
      <c r="J797" s="180" t="s">
        <v>10762</v>
      </c>
      <c r="K797" s="201">
        <f>+INDEX(WP!$A:$AN,MATCH(F797,WP!$B:$B,0),14)</f>
        <v>4</v>
      </c>
      <c r="L797" s="202">
        <f>+INDEX(WP!$A:$AN,MATCH(F797,WP!$B:$B,0),15)</f>
        <v>130</v>
      </c>
      <c r="M797" s="202">
        <f>+INDEX(WP!$A:$AN,MATCH(F797,WP!$B:$B,0),16)</f>
        <v>80</v>
      </c>
      <c r="N797" s="202" t="e" vm="381">
        <f>IFERROR(_xlfn.IMAGE("https://natalie.tf/wp-content/uploads/2023/11/DLV3_Icon_Affinity_"&amp;O797&amp;".png"),"")</f>
        <v>#VALUE!</v>
      </c>
      <c r="O797" s="203" t="str">
        <f>+INDEX(WP!$A:$AN,MATCH(F797,WP!$B:$B,0),17)</f>
        <v>Dragon</v>
      </c>
      <c r="P797" s="8" t="e" vm="382">
        <f>_xlfn.IMAGE("https://natalie.tf/wp-content/uploads/2023/10/DLV3_Icon_Ability_"&amp;INDEX('WP-A'!$A$1:$Z$498,MATCH('WP-Print'!Q797,'WP-A'!$A:$A,0),MATCH("Icon",'WP-A'!$A$1:$Z$1,0))&amp;".png")</f>
        <v>#VALUE!</v>
      </c>
      <c r="Q797" s="231" t="str">
        <f>+INDEX(WP!$A:$AN,MATCH(F797,WP!$B:$B,0),MATCH("Ability V3",WP!$A$2:$AN$2,0))</f>
        <v>Dragon Time +15%</v>
      </c>
      <c r="R797" s="735"/>
    </row>
    <row r="798" spans="1:18" ht="7.5" customHeight="1" x14ac:dyDescent="0.2">
      <c r="A798" t="s">
        <v>10763</v>
      </c>
    </row>
    <row r="799" spans="1:18" ht="22.5" customHeight="1" x14ac:dyDescent="0.2">
      <c r="B799" s="729" t="e" vm="875">
        <f>_xlfn.IMAGE("https://natalie.tf/wp-content/uploads/2023/10/DLV3_Icon_WP_"&amp;G800&amp;"_01.png")</f>
        <v>#VALUE!</v>
      </c>
      <c r="D799" s="730" t="e" vm="876">
        <f>_xlfn.IMAGE("https://natalie.tf/wp-content/uploads/2023/10/DLV3_Icon_WP_"&amp;G800&amp;"_02.png")</f>
        <v>#VALUE!</v>
      </c>
      <c r="F799" s="717" t="str">
        <f>+INDEX(WP!$A:$AN,MATCH(F800,WP!$B:$B,0),MATCH("Name",WP!$A$2:$AN$2,0))</f>
        <v>Fun in the Sun</v>
      </c>
      <c r="G799" s="718"/>
      <c r="H799" s="719"/>
      <c r="J799" s="180" t="s">
        <v>10761</v>
      </c>
      <c r="K799" s="201">
        <f>+INDEX(WP!$A:$AN,MATCH(F800,WP!$B:$B,0),5)</f>
        <v>4</v>
      </c>
      <c r="L799" s="202">
        <f>+INDEX(WP!$A:$AN,MATCH(F800,WP!$B:$B,0),6)</f>
        <v>61</v>
      </c>
      <c r="M799" s="202">
        <f>+INDEX(WP!$A:$AN,MATCH(F800,WP!$B:$B,0),7)</f>
        <v>17</v>
      </c>
      <c r="N799" s="202" t="str">
        <f ca="1">IFERROR(_xlfn.IMAGE("https://natalie.tf/wp-content/uploads/2023/11/DLV3_Icon_Affinity_"&amp;O799&amp;".png"),"")</f>
        <v/>
      </c>
      <c r="O799" s="203" t="str">
        <f>IF(INDEX(WP!$A:$AN,MATCH(F800,WP!$B:$B,0),8)=0,"None",INDEX(WP!$A:$AN,MATCH(F800,WP!$B:$B,0),8))</f>
        <v>None</v>
      </c>
      <c r="P799" s="8" t="e" vm="877">
        <f>_xlfn.IMAGE("https://natalie.tf/wp-content/uploads/2023/10/DLV3_Icon_Ability_"&amp;INDEX('WP-A'!$A$1:$Z$498,MATCH('WP-Print'!Q799,'WP-A'!$A:$A,0),MATCH("Icon",'WP-A'!$A$1:$Z$1,0))&amp;".png")</f>
        <v>#VALUE!</v>
      </c>
      <c r="Q799" s="231" t="str">
        <f>+INDEX(WP!$A:$AN,MATCH(F800,WP!$B:$B,0),MATCH("Ability",WP!$A$2:$AN$2,0))</f>
        <v>Water Res +10%</v>
      </c>
      <c r="R799" s="734" t="str">
        <f>+INDEX(WP!$A:$AN,MATCH(F800,WP!$B:$B,0),MATCH("Obtain From",WP!$A$2:$AN$2,0))</f>
        <v>Clear Assault on Admiral Pincers: Beginner (Doomsday Getaway)</v>
      </c>
    </row>
    <row r="800" spans="1:18" ht="22.5" customHeight="1" x14ac:dyDescent="0.2">
      <c r="A800" s="204" t="str">
        <f>TEXT(A797+1,"000")</f>
        <v>266</v>
      </c>
      <c r="B800" s="729"/>
      <c r="C800" s="8"/>
      <c r="D800" s="729"/>
      <c r="E800" s="8"/>
      <c r="F800" s="200" t="str">
        <f>"WP-"&amp;A800</f>
        <v>WP-266</v>
      </c>
      <c r="G800" s="200">
        <f>+INDEX(WP!$A:$AN,MATCH(F800,WP!$B:$B,0),MATCH("ID",WP!$A$2:$AN$2,0))</f>
        <v>400443</v>
      </c>
      <c r="I800" s="8"/>
      <c r="J800" s="180" t="s">
        <v>10762</v>
      </c>
      <c r="K800" s="201">
        <f>+INDEX(WP!$A:$AN,MATCH(F800,WP!$B:$B,0),14)</f>
        <v>4</v>
      </c>
      <c r="L800" s="202">
        <f>+INDEX(WP!$A:$AN,MATCH(F800,WP!$B:$B,0),15)</f>
        <v>130</v>
      </c>
      <c r="M800" s="202">
        <f>+INDEX(WP!$A:$AN,MATCH(F800,WP!$B:$B,0),16)</f>
        <v>80</v>
      </c>
      <c r="N800" s="202" t="e" vm="352">
        <f>IFERROR(_xlfn.IMAGE("https://natalie.tf/wp-content/uploads/2023/11/DLV3_Icon_Affinity_"&amp;O800&amp;".png"),"")</f>
        <v>#VALUE!</v>
      </c>
      <c r="O800" s="203" t="str">
        <f>+INDEX(WP!$A:$AN,MATCH(F800,WP!$B:$B,0),17)</f>
        <v>Fish</v>
      </c>
      <c r="P800" s="8" t="e" vm="877">
        <f>_xlfn.IMAGE("https://natalie.tf/wp-content/uploads/2023/10/DLV3_Icon_Ability_"&amp;INDEX('WP-A'!$A$1:$Z$498,MATCH('WP-Print'!Q800,'WP-A'!$A:$A,0),MATCH("Icon",'WP-A'!$A$1:$Z$1,0))&amp;".png")</f>
        <v>#VALUE!</v>
      </c>
      <c r="Q800" s="231" t="str">
        <f>+INDEX(WP!$A:$AN,MATCH(F800,WP!$B:$B,0),MATCH("Ability V3",WP!$A$2:$AN$2,0))</f>
        <v>Water Res +10%</v>
      </c>
      <c r="R800" s="735"/>
    </row>
    <row r="801" spans="1:18" ht="22.5" customHeight="1" x14ac:dyDescent="0.2">
      <c r="A801" t="s">
        <v>10763</v>
      </c>
    </row>
    <row r="802" spans="1:18" ht="22.5" customHeight="1" x14ac:dyDescent="0.2">
      <c r="B802" s="729" t="e" vm="878">
        <f>_xlfn.IMAGE("https://natalie.tf/wp-content/uploads/2023/10/DLV3_Icon_WP_"&amp;G803&amp;"_01.png")</f>
        <v>#VALUE!</v>
      </c>
      <c r="D802" s="730" t="e" vm="879">
        <f>_xlfn.IMAGE("https://natalie.tf/wp-content/uploads/2023/10/DLV3_Icon_WP_"&amp;G803&amp;"_02.png")</f>
        <v>#VALUE!</v>
      </c>
      <c r="F802" s="717" t="str">
        <f>+INDEX(WP!$A:$AN,MATCH(F803,WP!$B:$B,0),MATCH("Name",WP!$A$2:$AN$2,0))</f>
        <v>Seaside Memory</v>
      </c>
      <c r="G802" s="718"/>
      <c r="H802" s="719"/>
      <c r="J802" s="180" t="s">
        <v>10761</v>
      </c>
      <c r="K802" s="201">
        <f>+INDEX(WP!$A:$AN,MATCH(F803,WP!$B:$B,0),5)</f>
        <v>4</v>
      </c>
      <c r="L802" s="202">
        <f>+INDEX(WP!$A:$AN,MATCH(F803,WP!$B:$B,0),6)</f>
        <v>71</v>
      </c>
      <c r="M802" s="202">
        <f>+INDEX(WP!$A:$AN,MATCH(F803,WP!$B:$B,0),7)</f>
        <v>25</v>
      </c>
      <c r="N802" s="202" t="e" vm="342">
        <f>IFERROR(_xlfn.IMAGE("https://natalie.tf/wp-content/uploads/2023/11/DLV3_Icon_Affinity_"&amp;O802&amp;".png"),"")</f>
        <v>#VALUE!</v>
      </c>
      <c r="O802" s="203" t="str">
        <f>IF(INDEX(WP!$A:$AN,MATCH(F803,WP!$B:$B,0),8)=0,"None",INDEX(WP!$A:$AN,MATCH(F803,WP!$B:$B,0),8))</f>
        <v>Bow</v>
      </c>
      <c r="P802" s="8" t="e" vm="330">
        <f>_xlfn.IMAGE("https://natalie.tf/wp-content/uploads/2023/10/DLV3_Icon_Ability_"&amp;INDEX('WP-A'!$A$1:$Z$498,MATCH('WP-Print'!Q802,'WP-A'!$A:$A,0),MATCH("Icon",'WP-A'!$A$1:$Z$1,0))&amp;".png")</f>
        <v>#VALUE!</v>
      </c>
      <c r="Q802" s="231" t="str">
        <f>+INDEX(WP!$A:$AN,MATCH(F803,WP!$B:$B,0),MATCH("Ability",WP!$A$2:$AN$2,0))</f>
        <v>Skill Haste +6%</v>
      </c>
      <c r="R802" s="734" t="str">
        <f>+INDEX(WP!$A:$AN,MATCH(F803,WP!$B:$B,0),MATCH("Obtain From",WP!$A$2:$AN$2,0))</f>
        <v>Clear Assault on Admiral Pincers: Expert (Doomsday Getaway)</v>
      </c>
    </row>
    <row r="803" spans="1:18" ht="22.5" customHeight="1" x14ac:dyDescent="0.2">
      <c r="A803" s="204" t="str">
        <f>TEXT(A800+1,"000")</f>
        <v>267</v>
      </c>
      <c r="B803" s="729"/>
      <c r="C803" s="8"/>
      <c r="D803" s="729"/>
      <c r="E803" s="8"/>
      <c r="F803" s="200" t="str">
        <f>"WP-"&amp;A803</f>
        <v>WP-267</v>
      </c>
      <c r="G803" s="200">
        <f>+INDEX(WP!$A:$AN,MATCH(F803,WP!$B:$B,0),MATCH("ID",WP!$A$2:$AN$2,0))</f>
        <v>400444</v>
      </c>
      <c r="I803" s="8"/>
      <c r="J803" s="180" t="s">
        <v>10762</v>
      </c>
      <c r="K803" s="201">
        <f>+INDEX(WP!$A:$AN,MATCH(F803,WP!$B:$B,0),14)</f>
        <v>4</v>
      </c>
      <c r="L803" s="202">
        <f>+INDEX(WP!$A:$AN,MATCH(F803,WP!$B:$B,0),15)</f>
        <v>130</v>
      </c>
      <c r="M803" s="202">
        <f>+INDEX(WP!$A:$AN,MATCH(F803,WP!$B:$B,0),16)</f>
        <v>80</v>
      </c>
      <c r="N803" s="202" t="e" vm="342">
        <f>IFERROR(_xlfn.IMAGE("https://natalie.tf/wp-content/uploads/2023/11/DLV3_Icon_Affinity_"&amp;O803&amp;".png"),"")</f>
        <v>#VALUE!</v>
      </c>
      <c r="O803" s="203" t="str">
        <f>+INDEX(WP!$A:$AN,MATCH(F803,WP!$B:$B,0),17)</f>
        <v>Bow</v>
      </c>
      <c r="P803" s="8" t="e" vm="330">
        <f>_xlfn.IMAGE("https://natalie.tf/wp-content/uploads/2023/10/DLV3_Icon_Ability_"&amp;INDEX('WP-A'!$A$1:$Z$498,MATCH('WP-Print'!Q803,'WP-A'!$A:$A,0),MATCH("Icon",'WP-A'!$A$1:$Z$1,0))&amp;".png")</f>
        <v>#VALUE!</v>
      </c>
      <c r="Q803" s="231" t="str">
        <f>+INDEX(WP!$A:$AN,MATCH(F803,WP!$B:$B,0),MATCH("Ability V3",WP!$A$2:$AN$2,0))</f>
        <v>Skill Haste +6%</v>
      </c>
      <c r="R803" s="735"/>
    </row>
    <row r="804" spans="1:18" ht="7.5" customHeight="1" x14ac:dyDescent="0.2">
      <c r="A804" t="s">
        <v>10763</v>
      </c>
    </row>
    <row r="805" spans="1:18" ht="22.5" customHeight="1" x14ac:dyDescent="0.2">
      <c r="B805" s="729" t="e" vm="880">
        <f>_xlfn.IMAGE("https://natalie.tf/wp-content/uploads/2023/10/DLV3_Icon_WP_"&amp;G806&amp;"_01.png")</f>
        <v>#VALUE!</v>
      </c>
      <c r="D805" s="730" t="e" vm="881">
        <f>_xlfn.IMAGE("https://natalie.tf/wp-content/uploads/2023/10/DLV3_Icon_WP_"&amp;G806&amp;"_02.png")</f>
        <v>#VALUE!</v>
      </c>
      <c r="F805" s="717" t="str">
        <f>+INDEX(WP!$A:$AN,MATCH(F806,WP!$B:$B,0),MATCH("Name",WP!$A$2:$AN$2,0))</f>
        <v>A Passion for Produce</v>
      </c>
      <c r="G805" s="718"/>
      <c r="H805" s="719"/>
      <c r="J805" s="180" t="s">
        <v>10761</v>
      </c>
      <c r="K805" s="201">
        <f>+INDEX(WP!$A:$AN,MATCH(F806,WP!$B:$B,0),5)</f>
        <v>4</v>
      </c>
      <c r="L805" s="202">
        <f>+INDEX(WP!$A:$AN,MATCH(F806,WP!$B:$B,0),6)</f>
        <v>70</v>
      </c>
      <c r="M805" s="202">
        <f>+INDEX(WP!$A:$AN,MATCH(F806,WP!$B:$B,0),7)</f>
        <v>26</v>
      </c>
      <c r="N805" s="202" t="str">
        <f ca="1">IFERROR(_xlfn.IMAGE("https://natalie.tf/wp-content/uploads/2023/11/DLV3_Icon_Affinity_"&amp;O805&amp;".png"),"")</f>
        <v/>
      </c>
      <c r="O805" s="203" t="str">
        <f>IF(INDEX(WP!$A:$AN,MATCH(F806,WP!$B:$B,0),8)=0,"None",INDEX(WP!$A:$AN,MATCH(F806,WP!$B:$B,0),8))</f>
        <v>None</v>
      </c>
      <c r="P805" s="8" t="e" vm="326">
        <f>_xlfn.IMAGE("https://natalie.tf/wp-content/uploads/2023/10/DLV3_Icon_Ability_"&amp;INDEX('WP-A'!$A$1:$Z$498,MATCH('WP-Print'!Q805,'WP-A'!$A:$A,0),MATCH("Icon",'WP-A'!$A$1:$Z$1,0))&amp;".png")</f>
        <v>#VALUE!</v>
      </c>
      <c r="Q805" s="231" t="str">
        <f>+INDEX(WP!$A:$AN,MATCH(F806,WP!$B:$B,0),MATCH("Ability",WP!$A$2:$AN$2,0))</f>
        <v>(Dagger) Critical Rate +12%</v>
      </c>
      <c r="R805" s="734" t="str">
        <f>+INDEX(WP!$A:$AN,MATCH(F806,WP!$B:$B,0),MATCH("Obtain From",WP!$A$2:$AN$2,0))</f>
        <v>Obtain From Ch. 13 EX 1 Chest (Hard) (Non-Endeavor)</v>
      </c>
    </row>
    <row r="806" spans="1:18" ht="22.5" customHeight="1" x14ac:dyDescent="0.2">
      <c r="A806" s="204" t="str">
        <f>TEXT(A803+1,"000")</f>
        <v>268</v>
      </c>
      <c r="B806" s="729"/>
      <c r="C806" s="8"/>
      <c r="D806" s="729"/>
      <c r="E806" s="8"/>
      <c r="F806" s="200" t="str">
        <f>"WP-"&amp;A806</f>
        <v>WP-268</v>
      </c>
      <c r="G806" s="200">
        <f>+INDEX(WP!$A:$AN,MATCH(F806,WP!$B:$B,0),MATCH("ID",WP!$A$2:$AN$2,0))</f>
        <v>400446</v>
      </c>
      <c r="I806" s="8"/>
      <c r="J806" s="180" t="s">
        <v>10762</v>
      </c>
      <c r="K806" s="201">
        <f>+INDEX(WP!$A:$AN,MATCH(F806,WP!$B:$B,0),14)</f>
        <v>4</v>
      </c>
      <c r="L806" s="202">
        <f>+INDEX(WP!$A:$AN,MATCH(F806,WP!$B:$B,0),15)</f>
        <v>130</v>
      </c>
      <c r="M806" s="202">
        <f>+INDEX(WP!$A:$AN,MATCH(F806,WP!$B:$B,0),16)</f>
        <v>80</v>
      </c>
      <c r="N806" s="202" t="e" vm="339">
        <f>IFERROR(_xlfn.IMAGE("https://natalie.tf/wp-content/uploads/2023/11/DLV3_Icon_Affinity_"&amp;O806&amp;".png"),"")</f>
        <v>#VALUE!</v>
      </c>
      <c r="O806" s="203" t="str">
        <f>+INDEX(WP!$A:$AN,MATCH(F806,WP!$B:$B,0),17)</f>
        <v>Sword</v>
      </c>
      <c r="P806" s="8" t="e" vm="326">
        <f>_xlfn.IMAGE("https://natalie.tf/wp-content/uploads/2023/10/DLV3_Icon_Ability_"&amp;INDEX('WP-A'!$A$1:$Z$498,MATCH('WP-Print'!Q806,'WP-A'!$A:$A,0),MATCH("Icon",'WP-A'!$A$1:$Z$1,0))&amp;".png")</f>
        <v>#VALUE!</v>
      </c>
      <c r="Q806" s="231" t="str">
        <f>+INDEX(WP!$A:$AN,MATCH(F806,WP!$B:$B,0),MATCH("Ability V3",WP!$A$2:$AN$2,0))</f>
        <v>(Dagger) Critical Rate +12%</v>
      </c>
      <c r="R806" s="735"/>
    </row>
    <row r="807" spans="1:18" ht="7.5" customHeight="1" x14ac:dyDescent="0.2">
      <c r="A807" t="s">
        <v>10763</v>
      </c>
    </row>
    <row r="808" spans="1:18" ht="22.5" customHeight="1" x14ac:dyDescent="0.2">
      <c r="B808" s="729" t="e" vm="882">
        <f>_xlfn.IMAGE("https://natalie.tf/wp-content/uploads/2023/10/DLV3_Icon_WP_"&amp;G809&amp;"_01.png")</f>
        <v>#VALUE!</v>
      </c>
      <c r="D808" s="730" t="e" vm="883">
        <f>_xlfn.IMAGE("https://natalie.tf/wp-content/uploads/2023/10/DLV3_Icon_WP_"&amp;G809&amp;"_02.png")</f>
        <v>#VALUE!</v>
      </c>
      <c r="F808" s="717" t="str">
        <f>+INDEX(WP!$A:$AN,MATCH(F809,WP!$B:$B,0),MATCH("Name",WP!$A$2:$AN$2,0))</f>
        <v>Treasury of Knowledge</v>
      </c>
      <c r="G808" s="718"/>
      <c r="H808" s="719"/>
      <c r="J808" s="180" t="s">
        <v>10761</v>
      </c>
      <c r="K808" s="201">
        <f>+INDEX(WP!$A:$AN,MATCH(F809,WP!$B:$B,0),5)</f>
        <v>4</v>
      </c>
      <c r="L808" s="202">
        <f>+INDEX(WP!$A:$AN,MATCH(F809,WP!$B:$B,0),6)</f>
        <v>73</v>
      </c>
      <c r="M808" s="202">
        <f>+INDEX(WP!$A:$AN,MATCH(F809,WP!$B:$B,0),7)</f>
        <v>22</v>
      </c>
      <c r="N808" s="202" t="e" vm="356">
        <f>IFERROR(_xlfn.IMAGE("https://natalie.tf/wp-content/uploads/2023/11/DLV3_Icon_Affinity_"&amp;O808&amp;".png"),"")</f>
        <v>#VALUE!</v>
      </c>
      <c r="O808" s="203" t="str">
        <f>IF(INDEX(WP!$A:$AN,MATCH(F809,WP!$B:$B,0),8)=0,"None",INDEX(WP!$A:$AN,MATCH(F809,WP!$B:$B,0),8))</f>
        <v>Deer</v>
      </c>
      <c r="P808" s="8" t="e" vm="884">
        <f>_xlfn.IMAGE("https://natalie.tf/wp-content/uploads/2023/10/DLV3_Icon_Ability_"&amp;INDEX('WP-A'!$A$1:$Z$498,MATCH('WP-Print'!Q808,'WP-A'!$A:$A,0),MATCH("Icon",'WP-A'!$A$1:$Z$1,0))&amp;".png")</f>
        <v>#VALUE!</v>
      </c>
      <c r="Q808" s="231" t="str">
        <f>+INDEX(WP!$A:$AN,MATCH(F809,WP!$B:$B,0),MATCH("Ability",WP!$A$2:$AN$2,0))</f>
        <v>Sleeping Punisher +20%</v>
      </c>
      <c r="R808" s="734" t="str">
        <f>+INDEX(WP!$A:$AN,MATCH(F809,WP!$B:$B,0),MATCH("Obtain From",WP!$A$2:$AN$2,0))</f>
        <v>Clear The Goddess's Will: Expert (Agents of the Goddess)</v>
      </c>
    </row>
    <row r="809" spans="1:18" ht="22.5" customHeight="1" x14ac:dyDescent="0.2">
      <c r="A809" s="204" t="str">
        <f>TEXT(A806+1,"000")</f>
        <v>269</v>
      </c>
      <c r="B809" s="729"/>
      <c r="C809" s="8"/>
      <c r="D809" s="729"/>
      <c r="E809" s="8"/>
      <c r="F809" s="200" t="str">
        <f>"WP-"&amp;A809</f>
        <v>WP-269</v>
      </c>
      <c r="G809" s="200">
        <f>+INDEX(WP!$A:$AN,MATCH(F809,WP!$B:$B,0),MATCH("ID",WP!$A$2:$AN$2,0))</f>
        <v>400155</v>
      </c>
      <c r="I809" s="8"/>
      <c r="J809" s="180" t="s">
        <v>10762</v>
      </c>
      <c r="K809" s="201">
        <f>+INDEX(WP!$A:$AN,MATCH(F809,WP!$B:$B,0),14)</f>
        <v>4</v>
      </c>
      <c r="L809" s="202">
        <f>+INDEX(WP!$A:$AN,MATCH(F809,WP!$B:$B,0),15)</f>
        <v>130</v>
      </c>
      <c r="M809" s="202">
        <f>+INDEX(WP!$A:$AN,MATCH(F809,WP!$B:$B,0),16)</f>
        <v>80</v>
      </c>
      <c r="N809" s="202" t="e" vm="356">
        <f>IFERROR(_xlfn.IMAGE("https://natalie.tf/wp-content/uploads/2023/11/DLV3_Icon_Affinity_"&amp;O809&amp;".png"),"")</f>
        <v>#VALUE!</v>
      </c>
      <c r="O809" s="203" t="str">
        <f>+INDEX(WP!$A:$AN,MATCH(F809,WP!$B:$B,0),17)</f>
        <v>Deer</v>
      </c>
      <c r="P809" s="8" t="e" vm="884">
        <f>_xlfn.IMAGE("https://natalie.tf/wp-content/uploads/2023/10/DLV3_Icon_Ability_"&amp;INDEX('WP-A'!$A$1:$Z$498,MATCH('WP-Print'!Q809,'WP-A'!$A:$A,0),MATCH("Icon",'WP-A'!$A$1:$Z$1,0))&amp;".png")</f>
        <v>#VALUE!</v>
      </c>
      <c r="Q809" s="231" t="str">
        <f>+INDEX(WP!$A:$AN,MATCH(F809,WP!$B:$B,0),MATCH("Ability V3",WP!$A$2:$AN$2,0))</f>
        <v>Sleeping Punisher +25%</v>
      </c>
      <c r="R809" s="735"/>
    </row>
    <row r="810" spans="1:18" ht="7.5" customHeight="1" x14ac:dyDescent="0.2">
      <c r="A810" t="s">
        <v>10763</v>
      </c>
    </row>
    <row r="811" spans="1:18" ht="22.5" customHeight="1" x14ac:dyDescent="0.2">
      <c r="B811" s="729" t="e" vm="885">
        <f>_xlfn.IMAGE("https://natalie.tf/wp-content/uploads/2023/10/DLV3_Icon_WP_"&amp;G812&amp;"_01.png")</f>
        <v>#VALUE!</v>
      </c>
      <c r="D811" s="730" t="e" vm="886">
        <f>_xlfn.IMAGE("https://natalie.tf/wp-content/uploads/2023/10/DLV3_Icon_WP_"&amp;G812&amp;"_02.png")</f>
        <v>#VALUE!</v>
      </c>
      <c r="F811" s="717" t="str">
        <f>+INDEX(WP!$A:$AN,MATCH(F812,WP!$B:$B,0),MATCH("Name",WP!$A$2:$AN$2,0))</f>
        <v>Dance of the Twin Blossoms</v>
      </c>
      <c r="G811" s="718"/>
      <c r="H811" s="719"/>
      <c r="J811" s="180" t="s">
        <v>10761</v>
      </c>
      <c r="K811" s="201">
        <f>+INDEX(WP!$A:$AN,MATCH(F812,WP!$B:$B,0),5)</f>
        <v>4</v>
      </c>
      <c r="L811" s="202">
        <f>+INDEX(WP!$A:$AN,MATCH(F812,WP!$B:$B,0),6)</f>
        <v>70</v>
      </c>
      <c r="M811" s="202">
        <f>+INDEX(WP!$A:$AN,MATCH(F812,WP!$B:$B,0),7)</f>
        <v>26</v>
      </c>
      <c r="N811" s="202" t="e" vm="341">
        <f>IFERROR(_xlfn.IMAGE("https://natalie.tf/wp-content/uploads/2023/11/DLV3_Icon_Affinity_"&amp;O811&amp;".png"),"")</f>
        <v>#VALUE!</v>
      </c>
      <c r="O811" s="203" t="str">
        <f>IF(INDEX(WP!$A:$AN,MATCH(F812,WP!$B:$B,0),8)=0,"None",INDEX(WP!$A:$AN,MATCH(F812,WP!$B:$B,0),8))</f>
        <v>Crown</v>
      </c>
      <c r="P811" s="8" t="e" vm="349">
        <f>_xlfn.IMAGE("https://natalie.tf/wp-content/uploads/2023/10/DLV3_Icon_Ability_"&amp;INDEX('WP-A'!$A$1:$Z$498,MATCH('WP-Print'!Q811,'WP-A'!$A:$A,0),MATCH("Icon",'WP-A'!$A$1:$Z$1,0))&amp;".png")</f>
        <v>#VALUE!</v>
      </c>
      <c r="Q811" s="231" t="str">
        <f>+INDEX(WP!$A:$AN,MATCH(F812,WP!$B:$B,0),MATCH("Ability",WP!$A$2:$AN$2,0))</f>
        <v>Full HP = Healing +15%</v>
      </c>
      <c r="R811" s="734" t="str">
        <f>+INDEX(WP!$A:$AN,MATCH(F812,WP!$B:$B,0),MATCH("Obtain From",WP!$A$2:$AN$2,0))</f>
        <v>Clear Battle at Myriage Lake: Master (The Imperial Onslaught)</v>
      </c>
    </row>
    <row r="812" spans="1:18" ht="22.5" customHeight="1" x14ac:dyDescent="0.2">
      <c r="A812" s="204" t="str">
        <f>TEXT(A809+1,"000")</f>
        <v>270</v>
      </c>
      <c r="B812" s="729"/>
      <c r="C812" s="8"/>
      <c r="D812" s="729"/>
      <c r="E812" s="8"/>
      <c r="F812" s="200" t="str">
        <f>"WP-"&amp;A812</f>
        <v>WP-270</v>
      </c>
      <c r="G812" s="200">
        <f>+INDEX(WP!$A:$AN,MATCH(F812,WP!$B:$B,0),MATCH("ID",WP!$A$2:$AN$2,0))</f>
        <v>400449</v>
      </c>
      <c r="I812" s="8"/>
      <c r="J812" s="180" t="s">
        <v>10762</v>
      </c>
      <c r="K812" s="201">
        <f>+INDEX(WP!$A:$AN,MATCH(F812,WP!$B:$B,0),14)</f>
        <v>4</v>
      </c>
      <c r="L812" s="202">
        <f>+INDEX(WP!$A:$AN,MATCH(F812,WP!$B:$B,0),15)</f>
        <v>130</v>
      </c>
      <c r="M812" s="202">
        <f>+INDEX(WP!$A:$AN,MATCH(F812,WP!$B:$B,0),16)</f>
        <v>80</v>
      </c>
      <c r="N812" s="202" t="e" vm="341">
        <f>IFERROR(_xlfn.IMAGE("https://natalie.tf/wp-content/uploads/2023/11/DLV3_Icon_Affinity_"&amp;O812&amp;".png"),"")</f>
        <v>#VALUE!</v>
      </c>
      <c r="O812" s="203" t="str">
        <f>+INDEX(WP!$A:$AN,MATCH(F812,WP!$B:$B,0),17)</f>
        <v>Crown</v>
      </c>
      <c r="P812" s="8" t="e" vm="349">
        <f>_xlfn.IMAGE("https://natalie.tf/wp-content/uploads/2023/10/DLV3_Icon_Ability_"&amp;INDEX('WP-A'!$A$1:$Z$498,MATCH('WP-Print'!Q812,'WP-A'!$A:$A,0),MATCH("Icon",'WP-A'!$A$1:$Z$1,0))&amp;".png")</f>
        <v>#VALUE!</v>
      </c>
      <c r="Q812" s="231" t="str">
        <f>+INDEX(WP!$A:$AN,MATCH(F812,WP!$B:$B,0),MATCH("Ability V3",WP!$A$2:$AN$2,0))</f>
        <v>Recovery Potency +12%</v>
      </c>
      <c r="R812" s="735"/>
    </row>
    <row r="813" spans="1:18" ht="7.5" customHeight="1" x14ac:dyDescent="0.2">
      <c r="A813" t="s">
        <v>10763</v>
      </c>
    </row>
    <row r="814" spans="1:18" ht="22.5" customHeight="1" x14ac:dyDescent="0.2">
      <c r="B814" s="729" t="e" vm="887">
        <f>_xlfn.IMAGE("https://natalie.tf/wp-content/uploads/2023/10/DLV3_Icon_WP_"&amp;G815&amp;"_01.png")</f>
        <v>#VALUE!</v>
      </c>
      <c r="D814" s="730" t="e" vm="888">
        <f>_xlfn.IMAGE("https://natalie.tf/wp-content/uploads/2023/10/DLV3_Icon_WP_"&amp;G815&amp;"_02.png")</f>
        <v>#VALUE!</v>
      </c>
      <c r="F814" s="717" t="str">
        <f>+INDEX(WP!$A:$AN,MATCH(F815,WP!$B:$B,0),MATCH("Name",WP!$A$2:$AN$2,0))</f>
        <v>Rogues' Banquet</v>
      </c>
      <c r="G814" s="718"/>
      <c r="H814" s="719"/>
      <c r="J814" s="180" t="s">
        <v>10761</v>
      </c>
      <c r="K814" s="201">
        <f>+INDEX(WP!$A:$AN,MATCH(F815,WP!$B:$B,0),5)</f>
        <v>4</v>
      </c>
      <c r="L814" s="202">
        <f>+INDEX(WP!$A:$AN,MATCH(F815,WP!$B:$B,0),6)</f>
        <v>71</v>
      </c>
      <c r="M814" s="202">
        <f>+INDEX(WP!$A:$AN,MATCH(F815,WP!$B:$B,0),7)</f>
        <v>25</v>
      </c>
      <c r="N814" s="202" t="str">
        <f ca="1">IFERROR(_xlfn.IMAGE("https://natalie.tf/wp-content/uploads/2023/11/DLV3_Icon_Affinity_"&amp;O814&amp;".png"),"")</f>
        <v/>
      </c>
      <c r="O814" s="203" t="str">
        <f>IF(INDEX(WP!$A:$AN,MATCH(F815,WP!$B:$B,0),8)=0,"None",INDEX(WP!$A:$AN,MATCH(F815,WP!$B:$B,0),8))</f>
        <v>None</v>
      </c>
      <c r="P814" s="8" t="e" vm="411">
        <f>_xlfn.IMAGE("https://natalie.tf/wp-content/uploads/2023/10/DLV3_Icon_Ability_"&amp;INDEX('WP-A'!$A$1:$Z$498,MATCH('WP-Print'!Q814,'WP-A'!$A:$A,0),MATCH("Icon",'WP-A'!$A$1:$Z$1,0))&amp;".png")</f>
        <v>#VALUE!</v>
      </c>
      <c r="Q814" s="231" t="str">
        <f>+INDEX(WP!$A:$AN,MATCH(F815,WP!$B:$B,0),MATCH("Ability",WP!$A$2:$AN$2,0))</f>
        <v>Skill Prep +50%</v>
      </c>
      <c r="R814" s="734" t="str">
        <f>+INDEX(WP!$A:$AN,MATCH(F815,WP!$B:$B,0),MATCH("Obtain From",WP!$A$2:$AN$2,0))</f>
        <v>Obtain From Ch. 08 EX 1 Chest (Normal) (Non-Endeavor)</v>
      </c>
    </row>
    <row r="815" spans="1:18" ht="22.5" customHeight="1" x14ac:dyDescent="0.2">
      <c r="A815" s="204" t="str">
        <f>TEXT(A812+1,"000")</f>
        <v>271</v>
      </c>
      <c r="B815" s="729"/>
      <c r="C815" s="8"/>
      <c r="D815" s="729"/>
      <c r="E815" s="8"/>
      <c r="F815" s="200" t="str">
        <f>"WP-"&amp;A815</f>
        <v>WP-271</v>
      </c>
      <c r="G815" s="200">
        <f>+INDEX(WP!$A:$AN,MATCH(F815,WP!$B:$B,0),MATCH("ID",WP!$A$2:$AN$2,0))</f>
        <v>400132</v>
      </c>
      <c r="I815" s="8"/>
      <c r="J815" s="180" t="s">
        <v>10762</v>
      </c>
      <c r="K815" s="201">
        <f>+INDEX(WP!$A:$AN,MATCH(F815,WP!$B:$B,0),14)</f>
        <v>4</v>
      </c>
      <c r="L815" s="202">
        <f>+INDEX(WP!$A:$AN,MATCH(F815,WP!$B:$B,0),15)</f>
        <v>130</v>
      </c>
      <c r="M815" s="202">
        <f>+INDEX(WP!$A:$AN,MATCH(F815,WP!$B:$B,0),16)</f>
        <v>80</v>
      </c>
      <c r="N815" s="202" t="e" vm="343">
        <f>IFERROR(_xlfn.IMAGE("https://natalie.tf/wp-content/uploads/2023/11/DLV3_Icon_Affinity_"&amp;O815&amp;".png"),"")</f>
        <v>#VALUE!</v>
      </c>
      <c r="O815" s="203" t="str">
        <f>+INDEX(WP!$A:$AN,MATCH(F815,WP!$B:$B,0),17)</f>
        <v>Axe</v>
      </c>
      <c r="P815" s="8" t="e" vm="411">
        <f>_xlfn.IMAGE("https://natalie.tf/wp-content/uploads/2023/10/DLV3_Icon_Ability_"&amp;INDEX('WP-A'!$A$1:$Z$498,MATCH('WP-Print'!Q815,'WP-A'!$A:$A,0),MATCH("Icon",'WP-A'!$A$1:$Z$1,0))&amp;".png")</f>
        <v>#VALUE!</v>
      </c>
      <c r="Q815" s="231" t="str">
        <f>+INDEX(WP!$A:$AN,MATCH(F815,WP!$B:$B,0),MATCH("Ability V3",WP!$A$2:$AN$2,0))</f>
        <v>Skill Prep +50%</v>
      </c>
      <c r="R815" s="735"/>
    </row>
    <row r="816" spans="1:18" ht="7.5" customHeight="1" x14ac:dyDescent="0.2">
      <c r="A816" t="s">
        <v>10763</v>
      </c>
    </row>
    <row r="817" spans="1:18" ht="22.5" customHeight="1" x14ac:dyDescent="0.2">
      <c r="B817" s="729" t="e" vm="889">
        <f>_xlfn.IMAGE("https://natalie.tf/wp-content/uploads/2023/10/DLV3_Icon_WP_"&amp;G818&amp;"_01.png")</f>
        <v>#VALUE!</v>
      </c>
      <c r="D817" s="730" t="e" vm="890">
        <f>_xlfn.IMAGE("https://natalie.tf/wp-content/uploads/2023/10/DLV3_Icon_WP_"&amp;G818&amp;"_02.png")</f>
        <v>#VALUE!</v>
      </c>
      <c r="F817" s="717" t="str">
        <f>+INDEX(WP!$A:$AN,MATCH(F818,WP!$B:$B,0),MATCH("Name",WP!$A$2:$AN$2,0))</f>
        <v>To My Dear Child</v>
      </c>
      <c r="G817" s="718"/>
      <c r="H817" s="719"/>
      <c r="J817" s="180" t="s">
        <v>10761</v>
      </c>
      <c r="K817" s="201">
        <f>+INDEX(WP!$A:$AN,MATCH(F818,WP!$B:$B,0),5)</f>
        <v>4</v>
      </c>
      <c r="L817" s="202">
        <f>+INDEX(WP!$A:$AN,MATCH(F818,WP!$B:$B,0),6)</f>
        <v>71</v>
      </c>
      <c r="M817" s="202">
        <f>+INDEX(WP!$A:$AN,MATCH(F818,WP!$B:$B,0),7)</f>
        <v>25</v>
      </c>
      <c r="N817" s="202" t="e" vm="356">
        <f>IFERROR(_xlfn.IMAGE("https://natalie.tf/wp-content/uploads/2023/11/DLV3_Icon_Affinity_"&amp;O817&amp;".png"),"")</f>
        <v>#VALUE!</v>
      </c>
      <c r="O817" s="203" t="str">
        <f>IF(INDEX(WP!$A:$AN,MATCH(F818,WP!$B:$B,0),8)=0,"None",INDEX(WP!$A:$AN,MATCH(F818,WP!$B:$B,0),8))</f>
        <v>Deer</v>
      </c>
      <c r="P817" s="8" t="e" vm="604">
        <f>_xlfn.IMAGE("https://natalie.tf/wp-content/uploads/2023/10/DLV3_Icon_Ability_"&amp;INDEX('WP-A'!$A$1:$Z$498,MATCH('WP-Print'!Q817,'WP-A'!$A:$A,0),MATCH("Icon",'WP-A'!$A$1:$Z$1,0))&amp;".png")</f>
        <v>#VALUE!</v>
      </c>
      <c r="Q817" s="231" t="str">
        <f>+INDEX(WP!$A:$AN,MATCH(F818,WP!$B:$B,0),MATCH("Ability",WP!$A$2:$AN$2,0))</f>
        <v>Stunned Punisher +15%</v>
      </c>
      <c r="R817" s="734" t="str">
        <f>+INDEX(WP!$A:$AN,MATCH(F818,WP!$B:$B,0),MATCH("Obtain From",WP!$A$2:$AN$2,0))</f>
        <v>Clear Morsayati Clash: Nightmare (Forgotten Truths)</v>
      </c>
    </row>
    <row r="818" spans="1:18" ht="22.5" customHeight="1" x14ac:dyDescent="0.2">
      <c r="A818" s="204" t="str">
        <f>TEXT(A815+1,"000")</f>
        <v>272</v>
      </c>
      <c r="B818" s="729"/>
      <c r="C818" s="8"/>
      <c r="D818" s="729"/>
      <c r="E818" s="8"/>
      <c r="F818" s="200" t="str">
        <f>"WP-"&amp;A818</f>
        <v>WP-272</v>
      </c>
      <c r="G818" s="200">
        <f>+INDEX(WP!$A:$AN,MATCH(F818,WP!$B:$B,0),MATCH("ID",WP!$A$2:$AN$2,0))</f>
        <v>400453</v>
      </c>
      <c r="I818" s="8"/>
      <c r="J818" s="180" t="s">
        <v>10762</v>
      </c>
      <c r="K818" s="201">
        <f>+INDEX(WP!$A:$AN,MATCH(F818,WP!$B:$B,0),14)</f>
        <v>4</v>
      </c>
      <c r="L818" s="202">
        <f>+INDEX(WP!$A:$AN,MATCH(F818,WP!$B:$B,0),15)</f>
        <v>130</v>
      </c>
      <c r="M818" s="202">
        <f>+INDEX(WP!$A:$AN,MATCH(F818,WP!$B:$B,0),16)</f>
        <v>80</v>
      </c>
      <c r="N818" s="202" t="e" vm="356">
        <f>IFERROR(_xlfn.IMAGE("https://natalie.tf/wp-content/uploads/2023/11/DLV3_Icon_Affinity_"&amp;O818&amp;".png"),"")</f>
        <v>#VALUE!</v>
      </c>
      <c r="O818" s="203" t="str">
        <f>+INDEX(WP!$A:$AN,MATCH(F818,WP!$B:$B,0),17)</f>
        <v>Deer</v>
      </c>
      <c r="P818" s="8" t="e" vm="604">
        <f>_xlfn.IMAGE("https://natalie.tf/wp-content/uploads/2023/10/DLV3_Icon_Ability_"&amp;INDEX('WP-A'!$A$1:$Z$498,MATCH('WP-Print'!Q818,'WP-A'!$A:$A,0),MATCH("Icon",'WP-A'!$A$1:$Z$1,0))&amp;".png")</f>
        <v>#VALUE!</v>
      </c>
      <c r="Q818" s="231" t="str">
        <f>+INDEX(WP!$A:$AN,MATCH(F818,WP!$B:$B,0),MATCH("Ability V3",WP!$A$2:$AN$2,0))</f>
        <v>Stunned Punisher +20%</v>
      </c>
      <c r="R818" s="735"/>
    </row>
    <row r="819" spans="1:18" ht="7.5" customHeight="1" x14ac:dyDescent="0.2">
      <c r="A819" t="s">
        <v>10763</v>
      </c>
    </row>
    <row r="820" spans="1:18" ht="22.5" customHeight="1" x14ac:dyDescent="0.2">
      <c r="B820" s="729" t="e" vm="891">
        <f>_xlfn.IMAGE("https://natalie.tf/wp-content/uploads/2023/10/DLV3_Icon_WP_"&amp;G821&amp;"_01.png")</f>
        <v>#VALUE!</v>
      </c>
      <c r="D820" s="730" t="e" vm="892">
        <f>_xlfn.IMAGE("https://natalie.tf/wp-content/uploads/2023/10/DLV3_Icon_WP_"&amp;G821&amp;"_02.png")</f>
        <v>#VALUE!</v>
      </c>
      <c r="F820" s="717" t="str">
        <f>+INDEX(WP!$A:$AN,MATCH(F821,WP!$B:$B,0),MATCH("Name",WP!$A$2:$AN$2,0))</f>
        <v>Blessed Days</v>
      </c>
      <c r="G820" s="718"/>
      <c r="H820" s="719"/>
      <c r="J820" s="180" t="s">
        <v>10761</v>
      </c>
      <c r="K820" s="201">
        <f>+INDEX(WP!$A:$AN,MATCH(F821,WP!$B:$B,0),5)</f>
        <v>4</v>
      </c>
      <c r="L820" s="202">
        <f>+INDEX(WP!$A:$AN,MATCH(F821,WP!$B:$B,0),6)</f>
        <v>71</v>
      </c>
      <c r="M820" s="202">
        <f>+INDEX(WP!$A:$AN,MATCH(F821,WP!$B:$B,0),7)</f>
        <v>25</v>
      </c>
      <c r="N820" s="202" t="str">
        <f ca="1">IFERROR(_xlfn.IMAGE("https://natalie.tf/wp-content/uploads/2023/11/DLV3_Icon_Affinity_"&amp;O820&amp;".png"),"")</f>
        <v/>
      </c>
      <c r="O820" s="203" t="str">
        <f>IF(INDEX(WP!$A:$AN,MATCH(F821,WP!$B:$B,0),8)=0,"None",INDEX(WP!$A:$AN,MATCH(F821,WP!$B:$B,0),8))</f>
        <v>None</v>
      </c>
      <c r="P820" s="8" t="e" vm="685">
        <f>_xlfn.IMAGE("https://natalie.tf/wp-content/uploads/2023/10/DLV3_Icon_Ability_"&amp;INDEX('WP-A'!$A$1:$Z$498,MATCH('WP-Print'!Q820,'WP-A'!$A:$A,0),MATCH("Icon",'WP-A'!$A$1:$Z$1,0))&amp;".png")</f>
        <v>#VALUE!</v>
      </c>
      <c r="Q820" s="231" t="str">
        <f>+INDEX(WP!$A:$AN,MATCH(F821,WP!$B:$B,0),MATCH("Ability",WP!$A$2:$AN$2,0))</f>
        <v>Debuff Skill Time +14%</v>
      </c>
      <c r="R820" s="734" t="str">
        <f>+INDEX(WP!$A:$AN,MATCH(F821,WP!$B:$B,0),MATCH("Obtain From",WP!$A$2:$AN$2,0))</f>
        <v>Clear Android Attack (Forgotten Truths)</v>
      </c>
    </row>
    <row r="821" spans="1:18" ht="22.5" customHeight="1" x14ac:dyDescent="0.2">
      <c r="A821" s="204" t="str">
        <f>TEXT(A818+1,"000")</f>
        <v>273</v>
      </c>
      <c r="B821" s="729"/>
      <c r="C821" s="8"/>
      <c r="D821" s="729"/>
      <c r="E821" s="8"/>
      <c r="F821" s="200" t="str">
        <f>"WP-"&amp;A821</f>
        <v>WP-273</v>
      </c>
      <c r="G821" s="200">
        <f>+INDEX(WP!$A:$AN,MATCH(F821,WP!$B:$B,0),MATCH("ID",WP!$A$2:$AN$2,0))</f>
        <v>400451</v>
      </c>
      <c r="I821" s="8"/>
      <c r="J821" s="180" t="s">
        <v>10762</v>
      </c>
      <c r="K821" s="201">
        <f>+INDEX(WP!$A:$AN,MATCH(F821,WP!$B:$B,0),14)</f>
        <v>4</v>
      </c>
      <c r="L821" s="202">
        <f>+INDEX(WP!$A:$AN,MATCH(F821,WP!$B:$B,0),15)</f>
        <v>130</v>
      </c>
      <c r="M821" s="202">
        <f>+INDEX(WP!$A:$AN,MATCH(F821,WP!$B:$B,0),16)</f>
        <v>80</v>
      </c>
      <c r="N821" s="202" t="e" vm="342">
        <f>IFERROR(_xlfn.IMAGE("https://natalie.tf/wp-content/uploads/2023/11/DLV3_Icon_Affinity_"&amp;O821&amp;".png"),"")</f>
        <v>#VALUE!</v>
      </c>
      <c r="O821" s="203" t="str">
        <f>+INDEX(WP!$A:$AN,MATCH(F821,WP!$B:$B,0),17)</f>
        <v>Bow</v>
      </c>
      <c r="P821" s="8" t="e" vm="685">
        <f>_xlfn.IMAGE("https://natalie.tf/wp-content/uploads/2023/10/DLV3_Icon_Ability_"&amp;INDEX('WP-A'!$A$1:$Z$498,MATCH('WP-Print'!Q821,'WP-A'!$A:$A,0),MATCH("Icon",'WP-A'!$A$1:$Z$1,0))&amp;".png")</f>
        <v>#VALUE!</v>
      </c>
      <c r="Q821" s="231" t="str">
        <f>+INDEX(WP!$A:$AN,MATCH(F821,WP!$B:$B,0),MATCH("Ability V3",WP!$A$2:$AN$2,0))</f>
        <v>Debuff Skill Time +20%</v>
      </c>
      <c r="R821" s="735"/>
    </row>
    <row r="822" spans="1:18" ht="7.5" customHeight="1" x14ac:dyDescent="0.2">
      <c r="A822" t="s">
        <v>10763</v>
      </c>
    </row>
    <row r="823" spans="1:18" ht="22.5" customHeight="1" x14ac:dyDescent="0.2">
      <c r="B823" s="729" t="e" vm="893">
        <f>_xlfn.IMAGE("https://natalie.tf/wp-content/uploads/2023/10/DLV3_Icon_WP_"&amp;G824&amp;"_01.png")</f>
        <v>#VALUE!</v>
      </c>
      <c r="D823" s="730" t="e" vm="894">
        <f>_xlfn.IMAGE("https://natalie.tf/wp-content/uploads/2023/10/DLV3_Icon_WP_"&amp;G824&amp;"_02.png")</f>
        <v>#VALUE!</v>
      </c>
      <c r="F823" s="717" t="str">
        <f>+INDEX(WP!$A:$AN,MATCH(F824,WP!$B:$B,0),MATCH("Name",WP!$A$2:$AN$2,0))</f>
        <v>A Perfect Faerie Tale</v>
      </c>
      <c r="G823" s="718"/>
      <c r="H823" s="719"/>
      <c r="J823" s="180" t="s">
        <v>10761</v>
      </c>
      <c r="K823" s="201">
        <f>+INDEX(WP!$A:$AN,MATCH(F824,WP!$B:$B,0),5)</f>
        <v>4</v>
      </c>
      <c r="L823" s="202">
        <f>+INDEX(WP!$A:$AN,MATCH(F824,WP!$B:$B,0),6)</f>
        <v>71</v>
      </c>
      <c r="M823" s="202">
        <f>+INDEX(WP!$A:$AN,MATCH(F824,WP!$B:$B,0),7)</f>
        <v>25</v>
      </c>
      <c r="N823" s="202" t="str">
        <f ca="1">IFERROR(_xlfn.IMAGE("https://natalie.tf/wp-content/uploads/2023/11/DLV3_Icon_Affinity_"&amp;O823&amp;".png"),"")</f>
        <v/>
      </c>
      <c r="O823" s="203" t="str">
        <f>IF(INDEX(WP!$A:$AN,MATCH(F824,WP!$B:$B,0),8)=0,"None",INDEX(WP!$A:$AN,MATCH(F824,WP!$B:$B,0),8))</f>
        <v>None</v>
      </c>
      <c r="P823" s="8" t="e" vm="411">
        <f>_xlfn.IMAGE("https://natalie.tf/wp-content/uploads/2023/10/DLV3_Icon_Ability_"&amp;INDEX('WP-A'!$A$1:$Z$498,MATCH('WP-Print'!Q823,'WP-A'!$A:$A,0),MATCH("Icon",'WP-A'!$A$1:$Z$1,0))&amp;".png")</f>
        <v>#VALUE!</v>
      </c>
      <c r="Q823" s="231" t="str">
        <f>+INDEX(WP!$A:$AN,MATCH(F824,WP!$B:$B,0),MATCH("Ability",WP!$A$2:$AN$2,0))</f>
        <v>Skill Prep +25%</v>
      </c>
      <c r="R823" s="734" t="str">
        <f>+INDEX(WP!$A:$AN,MATCH(F824,WP!$B:$B,0),MATCH("Obtain From",WP!$A$2:$AN$2,0))</f>
        <v>Clear Brunhilda's Trial: Master</v>
      </c>
    </row>
    <row r="824" spans="1:18" ht="22.5" customHeight="1" x14ac:dyDescent="0.2">
      <c r="A824" s="204" t="str">
        <f>TEXT(A821+1,"000")</f>
        <v>274</v>
      </c>
      <c r="B824" s="729"/>
      <c r="C824" s="8"/>
      <c r="D824" s="729"/>
      <c r="E824" s="8"/>
      <c r="F824" s="200" t="str">
        <f>"WP-"&amp;A824</f>
        <v>WP-274</v>
      </c>
      <c r="G824" s="200">
        <f>+INDEX(WP!$A:$AN,MATCH(F824,WP!$B:$B,0),MATCH("ID",WP!$A$2:$AN$2,0))</f>
        <v>400455</v>
      </c>
      <c r="I824" s="8"/>
      <c r="J824" s="180" t="s">
        <v>10762</v>
      </c>
      <c r="K824" s="201">
        <f>+INDEX(WP!$A:$AN,MATCH(F824,WP!$B:$B,0),14)</f>
        <v>4</v>
      </c>
      <c r="L824" s="202">
        <f>+INDEX(WP!$A:$AN,MATCH(F824,WP!$B:$B,0),15)</f>
        <v>130</v>
      </c>
      <c r="M824" s="202">
        <f>+INDEX(WP!$A:$AN,MATCH(F824,WP!$B:$B,0),16)</f>
        <v>80</v>
      </c>
      <c r="N824" s="202" t="e" vm="338">
        <f>IFERROR(_xlfn.IMAGE("https://natalie.tf/wp-content/uploads/2023/11/DLV3_Icon_Affinity_"&amp;O824&amp;".png"),"")</f>
        <v>#VALUE!</v>
      </c>
      <c r="O824" s="203" t="str">
        <f>+INDEX(WP!$A:$AN,MATCH(F824,WP!$B:$B,0),17)</f>
        <v>Wolf</v>
      </c>
      <c r="P824" s="8" t="e" vm="411">
        <f>_xlfn.IMAGE("https://natalie.tf/wp-content/uploads/2023/10/DLV3_Icon_Ability_"&amp;INDEX('WP-A'!$A$1:$Z$498,MATCH('WP-Print'!Q824,'WP-A'!$A:$A,0),MATCH("Icon",'WP-A'!$A$1:$Z$1,0))&amp;".png")</f>
        <v>#VALUE!</v>
      </c>
      <c r="Q824" s="231" t="str">
        <f>+INDEX(WP!$A:$AN,MATCH(F824,WP!$B:$B,0),MATCH("Ability V3",WP!$A$2:$AN$2,0))</f>
        <v>Skill Prep +50%</v>
      </c>
      <c r="R824" s="735"/>
    </row>
    <row r="825" spans="1:18" ht="7.5" customHeight="1" x14ac:dyDescent="0.2">
      <c r="A825" t="s">
        <v>10763</v>
      </c>
    </row>
    <row r="826" spans="1:18" ht="22.5" customHeight="1" x14ac:dyDescent="0.2">
      <c r="B826" s="729" t="e" vm="895">
        <f>_xlfn.IMAGE("https://natalie.tf/wp-content/uploads/2023/10/DLV3_Icon_WP_"&amp;G827&amp;"_01.png")</f>
        <v>#VALUE!</v>
      </c>
      <c r="D826" s="730" t="e" vm="896">
        <f>_xlfn.IMAGE("https://natalie.tf/wp-content/uploads/2023/10/DLV3_Icon_WP_"&amp;G827&amp;"_02.png")</f>
        <v>#VALUE!</v>
      </c>
      <c r="F826" s="717" t="str">
        <f>+INDEX(WP!$A:$AN,MATCH(F827,WP!$B:$B,0),MATCH("Name",WP!$A$2:$AN$2,0))</f>
        <v>Enter the Blue Rose!</v>
      </c>
      <c r="G826" s="718"/>
      <c r="H826" s="719"/>
      <c r="J826" s="180" t="s">
        <v>10761</v>
      </c>
      <c r="K826" s="201">
        <f>+INDEX(WP!$A:$AN,MATCH(F827,WP!$B:$B,0),5)</f>
        <v>4</v>
      </c>
      <c r="L826" s="202">
        <f>+INDEX(WP!$A:$AN,MATCH(F827,WP!$B:$B,0),6)</f>
        <v>70</v>
      </c>
      <c r="M826" s="202">
        <f>+INDEX(WP!$A:$AN,MATCH(F827,WP!$B:$B,0),7)</f>
        <v>26</v>
      </c>
      <c r="N826" s="202" t="str">
        <f ca="1">IFERROR(_xlfn.IMAGE("https://natalie.tf/wp-content/uploads/2023/11/DLV3_Icon_Affinity_"&amp;O826&amp;".png"),"")</f>
        <v/>
      </c>
      <c r="O826" s="203" t="str">
        <f>IF(INDEX(WP!$A:$AN,MATCH(F827,WP!$B:$B,0),8)=0,"None",INDEX(WP!$A:$AN,MATCH(F827,WP!$B:$B,0),8))</f>
        <v>None</v>
      </c>
      <c r="P826" s="8" t="e" vm="326">
        <f>_xlfn.IMAGE("https://natalie.tf/wp-content/uploads/2023/10/DLV3_Icon_Ability_"&amp;INDEX('WP-A'!$A$1:$Z$498,MATCH('WP-Print'!Q826,'WP-A'!$A:$A,0),MATCH("Icon",'WP-A'!$A$1:$Z$1,0))&amp;".png")</f>
        <v>#VALUE!</v>
      </c>
      <c r="Q826" s="231" t="str">
        <f>+INDEX(WP!$A:$AN,MATCH(F827,WP!$B:$B,0),MATCH("Ability",WP!$A$2:$AN$2,0))</f>
        <v>(Manacaster) Critical Rate +12%</v>
      </c>
      <c r="R826" s="734" t="str">
        <f>+INDEX(WP!$A:$AN,MATCH(F827,WP!$B:$B,0),MATCH("Obtain From",WP!$A$2:$AN$2,0))</f>
        <v>Clear Fiend Opera Overture: Expert (The Phantom's Ransom)</v>
      </c>
    </row>
    <row r="827" spans="1:18" ht="22.5" customHeight="1" x14ac:dyDescent="0.2">
      <c r="A827" s="204" t="str">
        <f>TEXT(A824+1,"000")</f>
        <v>275</v>
      </c>
      <c r="B827" s="729"/>
      <c r="C827" s="8"/>
      <c r="D827" s="729"/>
      <c r="E827" s="8"/>
      <c r="F827" s="200" t="str">
        <f>"WP-"&amp;A827</f>
        <v>WP-275</v>
      </c>
      <c r="G827" s="200">
        <f>+INDEX(WP!$A:$AN,MATCH(F827,WP!$B:$B,0),MATCH("ID",WP!$A$2:$AN$2,0))</f>
        <v>400458</v>
      </c>
      <c r="I827" s="8"/>
      <c r="J827" s="180" t="s">
        <v>10762</v>
      </c>
      <c r="K827" s="201">
        <f>+INDEX(WP!$A:$AN,MATCH(F827,WP!$B:$B,0),14)</f>
        <v>4</v>
      </c>
      <c r="L827" s="202">
        <f>+INDEX(WP!$A:$AN,MATCH(F827,WP!$B:$B,0),15)</f>
        <v>130</v>
      </c>
      <c r="M827" s="202">
        <f>+INDEX(WP!$A:$AN,MATCH(F827,WP!$B:$B,0),16)</f>
        <v>80</v>
      </c>
      <c r="N827" s="202" t="e" vm="339">
        <f>IFERROR(_xlfn.IMAGE("https://natalie.tf/wp-content/uploads/2023/11/DLV3_Icon_Affinity_"&amp;O827&amp;".png"),"")</f>
        <v>#VALUE!</v>
      </c>
      <c r="O827" s="203" t="str">
        <f>+INDEX(WP!$A:$AN,MATCH(F827,WP!$B:$B,0),17)</f>
        <v>Sword</v>
      </c>
      <c r="P827" s="8" t="e" vm="326">
        <f>_xlfn.IMAGE("https://natalie.tf/wp-content/uploads/2023/10/DLV3_Icon_Ability_"&amp;INDEX('WP-A'!$A$1:$Z$498,MATCH('WP-Print'!Q827,'WP-A'!$A:$A,0),MATCH("Icon",'WP-A'!$A$1:$Z$1,0))&amp;".png")</f>
        <v>#VALUE!</v>
      </c>
      <c r="Q827" s="231" t="str">
        <f>+INDEX(WP!$A:$AN,MATCH(F827,WP!$B:$B,0),MATCH("Ability V3",WP!$A$2:$AN$2,0))</f>
        <v>(Manacaster) Critical Rate +12%</v>
      </c>
      <c r="R827" s="735"/>
    </row>
    <row r="828" spans="1:18" ht="7.5" customHeight="1" x14ac:dyDescent="0.2">
      <c r="A828" t="s">
        <v>10763</v>
      </c>
    </row>
    <row r="829" spans="1:18" ht="22.5" customHeight="1" x14ac:dyDescent="0.2">
      <c r="B829" s="729" t="e" vm="897">
        <f>_xlfn.IMAGE("https://natalie.tf/wp-content/uploads/2023/10/DLV3_Icon_WP_"&amp;G830&amp;"_01.png")</f>
        <v>#VALUE!</v>
      </c>
      <c r="D829" s="730" t="e" vm="898">
        <f>_xlfn.IMAGE("https://natalie.tf/wp-content/uploads/2023/10/DLV3_Icon_WP_"&amp;G830&amp;"_02.png")</f>
        <v>#VALUE!</v>
      </c>
      <c r="F829" s="717" t="str">
        <f>+INDEX(WP!$A:$AN,MATCH(F830,WP!$B:$B,0),MATCH("Name",WP!$A$2:$AN$2,0))</f>
        <v>Beautiful Gunman</v>
      </c>
      <c r="G829" s="718"/>
      <c r="H829" s="719"/>
      <c r="J829" s="180" t="s">
        <v>10761</v>
      </c>
      <c r="K829" s="201">
        <f>+INDEX(WP!$A:$AN,MATCH(F830,WP!$B:$B,0),5)</f>
        <v>4</v>
      </c>
      <c r="L829" s="202">
        <f>+INDEX(WP!$A:$AN,MATCH(F830,WP!$B:$B,0),6)</f>
        <v>70</v>
      </c>
      <c r="M829" s="202">
        <f>+INDEX(WP!$A:$AN,MATCH(F830,WP!$B:$B,0),7)</f>
        <v>26</v>
      </c>
      <c r="N829" s="202" t="e" vm="339">
        <f>IFERROR(_xlfn.IMAGE("https://natalie.tf/wp-content/uploads/2023/11/DLV3_Icon_Affinity_"&amp;O829&amp;".png"),"")</f>
        <v>#VALUE!</v>
      </c>
      <c r="O829" s="203" t="str">
        <f>IF(INDEX(WP!$A:$AN,MATCH(F830,WP!$B:$B,0),8)=0,"None",INDEX(WP!$A:$AN,MATCH(F830,WP!$B:$B,0),8))</f>
        <v>Sword</v>
      </c>
      <c r="P829" s="8" t="e" vm="414">
        <f>_xlfn.IMAGE("https://natalie.tf/wp-content/uploads/2023/10/DLV3_Icon_Ability_"&amp;INDEX('WP-A'!$A$1:$Z$498,MATCH('WP-Print'!Q829,'WP-A'!$A:$A,0),MATCH("Icon",'WP-A'!$A$1:$Z$1,0))&amp;".png")</f>
        <v>#VALUE!</v>
      </c>
      <c r="Q829" s="231" t="str">
        <f>+INDEX(WP!$A:$AN,MATCH(F830,WP!$B:$B,0),MATCH("Ability",WP!$A$2:$AN$2,0))</f>
        <v>(Manacaster) Critical Damage +17%</v>
      </c>
      <c r="R829" s="734" t="str">
        <f>+INDEX(WP!$A:$AN,MATCH(F830,WP!$B:$B,0),MATCH("Obtain From",WP!$A$2:$AN$2,0))</f>
        <v>Obtain From Ch. 15 EX 1 Chest (Hard) (Non-Endeavor)</v>
      </c>
    </row>
    <row r="830" spans="1:18" ht="22.5" customHeight="1" x14ac:dyDescent="0.2">
      <c r="A830" s="204" t="str">
        <f>TEXT(A827+1,"000")</f>
        <v>276</v>
      </c>
      <c r="B830" s="729"/>
      <c r="C830" s="8"/>
      <c r="D830" s="729"/>
      <c r="E830" s="8"/>
      <c r="F830" s="200" t="str">
        <f>"WP-"&amp;A830</f>
        <v>WP-276</v>
      </c>
      <c r="G830" s="200">
        <f>+INDEX(WP!$A:$AN,MATCH(F830,WP!$B:$B,0),MATCH("ID",WP!$A$2:$AN$2,0))</f>
        <v>400460</v>
      </c>
      <c r="I830" s="8"/>
      <c r="J830" s="180" t="s">
        <v>10762</v>
      </c>
      <c r="K830" s="201">
        <f>+INDEX(WP!$A:$AN,MATCH(F830,WP!$B:$B,0),14)</f>
        <v>4</v>
      </c>
      <c r="L830" s="202">
        <f>+INDEX(WP!$A:$AN,MATCH(F830,WP!$B:$B,0),15)</f>
        <v>130</v>
      </c>
      <c r="M830" s="202">
        <f>+INDEX(WP!$A:$AN,MATCH(F830,WP!$B:$B,0),16)</f>
        <v>80</v>
      </c>
      <c r="N830" s="202" t="e" vm="339">
        <f>IFERROR(_xlfn.IMAGE("https://natalie.tf/wp-content/uploads/2023/11/DLV3_Icon_Affinity_"&amp;O830&amp;".png"),"")</f>
        <v>#VALUE!</v>
      </c>
      <c r="O830" s="203" t="str">
        <f>+INDEX(WP!$A:$AN,MATCH(F830,WP!$B:$B,0),17)</f>
        <v>Sword</v>
      </c>
      <c r="P830" s="8" t="e" vm="414">
        <f>_xlfn.IMAGE("https://natalie.tf/wp-content/uploads/2023/10/DLV3_Icon_Ability_"&amp;INDEX('WP-A'!$A$1:$Z$498,MATCH('WP-Print'!Q830,'WP-A'!$A:$A,0),MATCH("Icon",'WP-A'!$A$1:$Z$1,0))&amp;".png")</f>
        <v>#VALUE!</v>
      </c>
      <c r="Q830" s="231" t="str">
        <f>+INDEX(WP!$A:$AN,MATCH(F830,WP!$B:$B,0),MATCH("Ability V3",WP!$A$2:$AN$2,0))</f>
        <v>(Manacaster) Critical Damage +20%</v>
      </c>
      <c r="R830" s="735"/>
    </row>
    <row r="831" spans="1:18" ht="7.5" customHeight="1" x14ac:dyDescent="0.2">
      <c r="A831" t="s">
        <v>10763</v>
      </c>
    </row>
    <row r="832" spans="1:18" ht="22.5" customHeight="1" x14ac:dyDescent="0.2">
      <c r="B832" s="729" t="e" vm="899">
        <f>_xlfn.IMAGE("https://natalie.tf/wp-content/uploads/2023/10/DLV3_Icon_WP_"&amp;G833&amp;"_01.png")</f>
        <v>#VALUE!</v>
      </c>
      <c r="D832" s="730" t="e" vm="900">
        <f>_xlfn.IMAGE("https://natalie.tf/wp-content/uploads/2023/10/DLV3_Icon_WP_"&amp;G833&amp;"_02.png")</f>
        <v>#VALUE!</v>
      </c>
      <c r="F832" s="717" t="str">
        <f>+INDEX(WP!$A:$AN,MATCH(F833,WP!$B:$B,0),MATCH("Name",WP!$A$2:$AN$2,0))</f>
        <v>Amaterasu Oblation</v>
      </c>
      <c r="G832" s="718"/>
      <c r="H832" s="719"/>
      <c r="J832" s="180" t="s">
        <v>10761</v>
      </c>
      <c r="K832" s="201">
        <f>+INDEX(WP!$A:$AN,MATCH(F833,WP!$B:$B,0),5)</f>
        <v>4</v>
      </c>
      <c r="L832" s="202">
        <f>+INDEX(WP!$A:$AN,MATCH(F833,WP!$B:$B,0),6)</f>
        <v>61</v>
      </c>
      <c r="M832" s="202">
        <f>+INDEX(WP!$A:$AN,MATCH(F833,WP!$B:$B,0),7)</f>
        <v>17</v>
      </c>
      <c r="N832" s="202" t="str">
        <f ca="1">IFERROR(_xlfn.IMAGE("https://natalie.tf/wp-content/uploads/2023/11/DLV3_Icon_Affinity_"&amp;O832&amp;".png"),"")</f>
        <v/>
      </c>
      <c r="O832" s="203" t="str">
        <f>IF(INDEX(WP!$A:$AN,MATCH(F833,WP!$B:$B,0),8)=0,"None",INDEX(WP!$A:$AN,MATCH(F833,WP!$B:$B,0),8))</f>
        <v>None</v>
      </c>
      <c r="P832" s="8" t="e" vm="444">
        <f>_xlfn.IMAGE("https://natalie.tf/wp-content/uploads/2023/10/DLV3_Icon_Ability_"&amp;INDEX('WP-A'!$A$1:$Z$498,MATCH('WP-Print'!Q832,'WP-A'!$A:$A,0),MATCH("Icon",'WP-A'!$A$1:$Z$1,0))&amp;".png")</f>
        <v>#VALUE!</v>
      </c>
      <c r="Q832" s="231" t="str">
        <f>+INDEX(WP!$A:$AN,MATCH(F833,WP!$B:$B,0),MATCH("Ability",WP!$A$2:$AN$2,0))</f>
        <v>(Flame) Buff Skill Time +25%</v>
      </c>
      <c r="R832" s="734" t="str">
        <f>+INDEX(WP!$A:$AN,MATCH(F833,WP!$B:$B,0),MATCH("Obtain From",WP!$A$2:$AN$2,0))</f>
        <v>Clear Through the Barrier (Cursed Connections)</v>
      </c>
    </row>
    <row r="833" spans="1:18" ht="22.5" customHeight="1" x14ac:dyDescent="0.2">
      <c r="A833" s="204" t="str">
        <f>TEXT(A830+1,"000")</f>
        <v>277</v>
      </c>
      <c r="B833" s="729"/>
      <c r="C833" s="8"/>
      <c r="D833" s="729"/>
      <c r="E833" s="8"/>
      <c r="F833" s="200" t="str">
        <f>"WP-"&amp;A833</f>
        <v>WP-277</v>
      </c>
      <c r="G833" s="200">
        <f>+INDEX(WP!$A:$AN,MATCH(F833,WP!$B:$B,0),MATCH("ID",WP!$A$2:$AN$2,0))</f>
        <v>400464</v>
      </c>
      <c r="I833" s="8"/>
      <c r="J833" s="180" t="s">
        <v>10762</v>
      </c>
      <c r="K833" s="201">
        <f>+INDEX(WP!$A:$AN,MATCH(F833,WP!$B:$B,0),14)</f>
        <v>4</v>
      </c>
      <c r="L833" s="202">
        <f>+INDEX(WP!$A:$AN,MATCH(F833,WP!$B:$B,0),15)</f>
        <v>130</v>
      </c>
      <c r="M833" s="202">
        <f>+INDEX(WP!$A:$AN,MATCH(F833,WP!$B:$B,0),16)</f>
        <v>80</v>
      </c>
      <c r="N833" s="202" t="e" vm="354">
        <f>IFERROR(_xlfn.IMAGE("https://natalie.tf/wp-content/uploads/2023/11/DLV3_Icon_Affinity_"&amp;O833&amp;".png"),"")</f>
        <v>#VALUE!</v>
      </c>
      <c r="O833" s="203" t="str">
        <f>+INDEX(WP!$A:$AN,MATCH(F833,WP!$B:$B,0),17)</f>
        <v>Butterfly</v>
      </c>
      <c r="P833" s="8" t="e" vm="444">
        <f>_xlfn.IMAGE("https://natalie.tf/wp-content/uploads/2023/10/DLV3_Icon_Ability_"&amp;INDEX('WP-A'!$A$1:$Z$498,MATCH('WP-Print'!Q833,'WP-A'!$A:$A,0),MATCH("Icon",'WP-A'!$A$1:$Z$1,0))&amp;".png")</f>
        <v>#VALUE!</v>
      </c>
      <c r="Q833" s="231" t="str">
        <f>+INDEX(WP!$A:$AN,MATCH(F833,WP!$B:$B,0),MATCH("Ability V3",WP!$A$2:$AN$2,0))</f>
        <v>(Flame) Buff Skill Time +25%</v>
      </c>
      <c r="R833" s="735"/>
    </row>
    <row r="834" spans="1:18" ht="7.5" customHeight="1" x14ac:dyDescent="0.2">
      <c r="A834" t="s">
        <v>10763</v>
      </c>
    </row>
    <row r="835" spans="1:18" ht="22.5" customHeight="1" x14ac:dyDescent="0.2">
      <c r="B835" s="729" t="e" vm="901">
        <f>_xlfn.IMAGE("https://natalie.tf/wp-content/uploads/2023/10/DLV3_Icon_WP_"&amp;G836&amp;"_01.png")</f>
        <v>#VALUE!</v>
      </c>
      <c r="D835" s="730" t="e" vm="902">
        <f>_xlfn.IMAGE("https://natalie.tf/wp-content/uploads/2023/10/DLV3_Icon_WP_"&amp;G836&amp;"_02.png")</f>
        <v>#VALUE!</v>
      </c>
      <c r="F835" s="717" t="str">
        <f>+INDEX(WP!$A:$AN,MATCH(F836,WP!$B:$B,0),MATCH("Name",WP!$A$2:$AN$2,0))</f>
        <v>Humanity's Companions</v>
      </c>
      <c r="G835" s="718"/>
      <c r="H835" s="719"/>
      <c r="J835" s="180" t="s">
        <v>10761</v>
      </c>
      <c r="K835" s="201">
        <f>+INDEX(WP!$A:$AN,MATCH(F836,WP!$B:$B,0),5)</f>
        <v>4</v>
      </c>
      <c r="L835" s="202">
        <f>+INDEX(WP!$A:$AN,MATCH(F836,WP!$B:$B,0),6)</f>
        <v>57</v>
      </c>
      <c r="M835" s="202">
        <f>+INDEX(WP!$A:$AN,MATCH(F836,WP!$B:$B,0),7)</f>
        <v>21</v>
      </c>
      <c r="N835" s="202" t="e" vm="340">
        <f>IFERROR(_xlfn.IMAGE("https://natalie.tf/wp-content/uploads/2023/11/DLV3_Icon_Affinity_"&amp;O835&amp;".png"),"")</f>
        <v>#VALUE!</v>
      </c>
      <c r="O835" s="203" t="str">
        <f>IF(INDEX(WP!$A:$AN,MATCH(F836,WP!$B:$B,0),8)=0,"None",INDEX(WP!$A:$AN,MATCH(F836,WP!$B:$B,0),8))</f>
        <v>Lance</v>
      </c>
      <c r="P835" s="8" t="e" vm="14">
        <f>_xlfn.IMAGE("https://natalie.tf/wp-content/uploads/2023/10/DLV3_Icon_Ability_"&amp;INDEX('WP-A'!$A$1:$Z$498,MATCH('WP-Print'!Q835,'WP-A'!$A:$A,0),MATCH("Icon",'WP-A'!$A$1:$Z$1,0))&amp;".png")</f>
        <v>#VALUE!</v>
      </c>
      <c r="Q835" s="231" t="str">
        <f>+INDEX(WP!$A:$AN,MATCH(F836,WP!$B:$B,0),MATCH("Ability",WP!$A$2:$AN$2,0))</f>
        <v>Striker's Strength +5%</v>
      </c>
      <c r="R835" s="734" t="str">
        <f>+INDEX(WP!$A:$AN,MATCH(F836,WP!$B:$B,0),MATCH("Obtain From",WP!$A$2:$AN$2,0))</f>
        <v>Clear Take Your Heart (Persona 5 Strikers Caged Desire)</v>
      </c>
    </row>
    <row r="836" spans="1:18" ht="22.5" customHeight="1" x14ac:dyDescent="0.2">
      <c r="A836" s="204" t="str">
        <f>TEXT(A833+1,"000")</f>
        <v>278</v>
      </c>
      <c r="B836" s="729"/>
      <c r="C836" s="8"/>
      <c r="D836" s="729"/>
      <c r="E836" s="8"/>
      <c r="F836" s="200" t="str">
        <f>"WP-"&amp;A836</f>
        <v>WP-278</v>
      </c>
      <c r="G836" s="200">
        <f>+INDEX(WP!$A:$AN,MATCH(F836,WP!$B:$B,0),MATCH("ID",WP!$A$2:$AN$2,0))</f>
        <v>400470</v>
      </c>
      <c r="I836" s="8"/>
      <c r="J836" s="180" t="s">
        <v>10762</v>
      </c>
      <c r="K836" s="201">
        <f>+INDEX(WP!$A:$AN,MATCH(F836,WP!$B:$B,0),14)</f>
        <v>4</v>
      </c>
      <c r="L836" s="202">
        <f>+INDEX(WP!$A:$AN,MATCH(F836,WP!$B:$B,0),15)</f>
        <v>130</v>
      </c>
      <c r="M836" s="202">
        <f>+INDEX(WP!$A:$AN,MATCH(F836,WP!$B:$B,0),16)</f>
        <v>80</v>
      </c>
      <c r="N836" s="202" t="e" vm="340">
        <f>IFERROR(_xlfn.IMAGE("https://natalie.tf/wp-content/uploads/2023/11/DLV3_Icon_Affinity_"&amp;O836&amp;".png"),"")</f>
        <v>#VALUE!</v>
      </c>
      <c r="O836" s="203" t="str">
        <f>+INDEX(WP!$A:$AN,MATCH(F836,WP!$B:$B,0),17)</f>
        <v>Lance</v>
      </c>
      <c r="P836" s="8" t="e" vm="14">
        <f>_xlfn.IMAGE("https://natalie.tf/wp-content/uploads/2023/10/DLV3_Icon_Ability_"&amp;INDEX('WP-A'!$A$1:$Z$498,MATCH('WP-Print'!Q836,'WP-A'!$A:$A,0),MATCH("Icon",'WP-A'!$A$1:$Z$1,0))&amp;".png")</f>
        <v>#VALUE!</v>
      </c>
      <c r="Q836" s="231" t="str">
        <f>+INDEX(WP!$A:$AN,MATCH(F836,WP!$B:$B,0),MATCH("Ability V3",WP!$A$2:$AN$2,0))</f>
        <v>Striker's Strength +5%</v>
      </c>
      <c r="R836" s="735"/>
    </row>
    <row r="837" spans="1:18" ht="7.5" customHeight="1" x14ac:dyDescent="0.2">
      <c r="A837" t="s">
        <v>10763</v>
      </c>
    </row>
    <row r="838" spans="1:18" ht="22.5" customHeight="1" x14ac:dyDescent="0.2">
      <c r="B838" s="729" t="e" vm="903">
        <f>_xlfn.IMAGE("https://natalie.tf/wp-content/uploads/2023/10/DLV3_Icon_WP_"&amp;G839&amp;"_01.png")</f>
        <v>#VALUE!</v>
      </c>
      <c r="D838" s="730" t="e" vm="904">
        <f>_xlfn.IMAGE("https://natalie.tf/wp-content/uploads/2023/10/DLV3_Icon_WP_"&amp;G839&amp;"_02.png")</f>
        <v>#VALUE!</v>
      </c>
      <c r="F838" s="717" t="str">
        <f>+INDEX(WP!$A:$AN,MATCH(F839,WP!$B:$B,0),MATCH("Name",WP!$A$2:$AN$2,0))</f>
        <v>Two Myms</v>
      </c>
      <c r="G838" s="718"/>
      <c r="H838" s="719"/>
      <c r="J838" s="180" t="s">
        <v>10761</v>
      </c>
      <c r="K838" s="201">
        <f>+INDEX(WP!$A:$AN,MATCH(F839,WP!$B:$B,0),5)</f>
        <v>4</v>
      </c>
      <c r="L838" s="202">
        <f>+INDEX(WP!$A:$AN,MATCH(F839,WP!$B:$B,0),6)</f>
        <v>70</v>
      </c>
      <c r="M838" s="202">
        <f>+INDEX(WP!$A:$AN,MATCH(F839,WP!$B:$B,0),7)</f>
        <v>26</v>
      </c>
      <c r="N838" s="202" t="e" vm="352">
        <f>IFERROR(_xlfn.IMAGE("https://natalie.tf/wp-content/uploads/2023/11/DLV3_Icon_Affinity_"&amp;O838&amp;".png"),"")</f>
        <v>#VALUE!</v>
      </c>
      <c r="O838" s="203" t="str">
        <f>IF(INDEX(WP!$A:$AN,MATCH(F839,WP!$B:$B,0),8)=0,"None",INDEX(WP!$A:$AN,MATCH(F839,WP!$B:$B,0),8))</f>
        <v>Fish</v>
      </c>
      <c r="P838" s="8" t="e" vm="349">
        <f>_xlfn.IMAGE("https://natalie.tf/wp-content/uploads/2023/10/DLV3_Icon_Ability_"&amp;INDEX('WP-A'!$A$1:$Z$498,MATCH('WP-Print'!Q838,'WP-A'!$A:$A,0),MATCH("Icon",'WP-A'!$A$1:$Z$1,0))&amp;".png")</f>
        <v>#VALUE!</v>
      </c>
      <c r="Q838" s="231" t="str">
        <f>+INDEX(WP!$A:$AN,MATCH(F839,WP!$B:$B,0),MATCH("Ability",WP!$A$2:$AN$2,0))</f>
        <v>(Wand) Recovery Potency +15%</v>
      </c>
      <c r="R838" s="734" t="str">
        <f>+INDEX(WP!$A:$AN,MATCH(F839,WP!$B:$B,0),MATCH("Obtain From",WP!$A$2:$AN$2,0))</f>
        <v>Clear Repelling Imperial Forces: Expert (Dawn of Dragalia)</v>
      </c>
    </row>
    <row r="839" spans="1:18" ht="22.5" customHeight="1" x14ac:dyDescent="0.2">
      <c r="A839" s="204" t="str">
        <f>TEXT(A836+1,"000")</f>
        <v>279</v>
      </c>
      <c r="B839" s="729"/>
      <c r="C839" s="8"/>
      <c r="D839" s="729"/>
      <c r="E839" s="8"/>
      <c r="F839" s="200" t="str">
        <f>"WP-"&amp;A839</f>
        <v>WP-279</v>
      </c>
      <c r="G839" s="200">
        <f>+INDEX(WP!$A:$AN,MATCH(F839,WP!$B:$B,0),MATCH("ID",WP!$A$2:$AN$2,0))</f>
        <v>400471</v>
      </c>
      <c r="I839" s="8"/>
      <c r="J839" s="180" t="s">
        <v>10762</v>
      </c>
      <c r="K839" s="201">
        <f>+INDEX(WP!$A:$AN,MATCH(F839,WP!$B:$B,0),14)</f>
        <v>4</v>
      </c>
      <c r="L839" s="202">
        <f>+INDEX(WP!$A:$AN,MATCH(F839,WP!$B:$B,0),15)</f>
        <v>130</v>
      </c>
      <c r="M839" s="202">
        <f>+INDEX(WP!$A:$AN,MATCH(F839,WP!$B:$B,0),16)</f>
        <v>80</v>
      </c>
      <c r="N839" s="202" t="e" vm="352">
        <f>IFERROR(_xlfn.IMAGE("https://natalie.tf/wp-content/uploads/2023/11/DLV3_Icon_Affinity_"&amp;O839&amp;".png"),"")</f>
        <v>#VALUE!</v>
      </c>
      <c r="O839" s="203" t="str">
        <f>+INDEX(WP!$A:$AN,MATCH(F839,WP!$B:$B,0),17)</f>
        <v>Fish</v>
      </c>
      <c r="P839" s="8" t="e" vm="349">
        <f>_xlfn.IMAGE("https://natalie.tf/wp-content/uploads/2023/10/DLV3_Icon_Ability_"&amp;INDEX('WP-A'!$A$1:$Z$498,MATCH('WP-Print'!Q839,'WP-A'!$A:$A,0),MATCH("Icon",'WP-A'!$A$1:$Z$1,0))&amp;".png")</f>
        <v>#VALUE!</v>
      </c>
      <c r="Q839" s="231" t="str">
        <f>+INDEX(WP!$A:$AN,MATCH(F839,WP!$B:$B,0),MATCH("Ability V3",WP!$A$2:$AN$2,0))</f>
        <v>(Wand) Recovery Potency +15%</v>
      </c>
      <c r="R839" s="735"/>
    </row>
    <row r="840" spans="1:18" ht="7.5" customHeight="1" x14ac:dyDescent="0.2">
      <c r="A840" t="s">
        <v>10763</v>
      </c>
    </row>
    <row r="841" spans="1:18" ht="22.5" customHeight="1" x14ac:dyDescent="0.2">
      <c r="B841" s="729" t="e" vm="905">
        <f>_xlfn.IMAGE("https://natalie.tf/wp-content/uploads/2023/10/DLV3_Icon_WP_"&amp;G842&amp;"_01.png")</f>
        <v>#VALUE!</v>
      </c>
      <c r="D841" s="730" t="e" vm="906">
        <f>_xlfn.IMAGE("https://natalie.tf/wp-content/uploads/2023/10/DLV3_Icon_WP_"&amp;G842&amp;"_02.png")</f>
        <v>#VALUE!</v>
      </c>
      <c r="F841" s="717" t="str">
        <f>+INDEX(WP!$A:$AN,MATCH(F842,WP!$B:$B,0),MATCH("Name",WP!$A$2:$AN$2,0))</f>
        <v>The Floofiest Bed</v>
      </c>
      <c r="G841" s="718"/>
      <c r="H841" s="719"/>
      <c r="J841" s="180" t="s">
        <v>10761</v>
      </c>
      <c r="K841" s="201">
        <f>+INDEX(WP!$A:$AN,MATCH(F842,WP!$B:$B,0),5)</f>
        <v>4</v>
      </c>
      <c r="L841" s="202">
        <f>+INDEX(WP!$A:$AN,MATCH(F842,WP!$B:$B,0),6)</f>
        <v>70</v>
      </c>
      <c r="M841" s="202">
        <f>+INDEX(WP!$A:$AN,MATCH(F842,WP!$B:$B,0),7)</f>
        <v>26</v>
      </c>
      <c r="N841" s="202" t="e" vm="343">
        <f>IFERROR(_xlfn.IMAGE("https://natalie.tf/wp-content/uploads/2023/11/DLV3_Icon_Affinity_"&amp;O841&amp;".png"),"")</f>
        <v>#VALUE!</v>
      </c>
      <c r="O841" s="203" t="str">
        <f>IF(INDEX(WP!$A:$AN,MATCH(F842,WP!$B:$B,0),8)=0,"None",INDEX(WP!$A:$AN,MATCH(F842,WP!$B:$B,0),8))</f>
        <v>Axe</v>
      </c>
      <c r="P841" s="8" t="e" vm="7">
        <f>_xlfn.IMAGE("https://natalie.tf/wp-content/uploads/2023/10/DLV3_Icon_Ability_"&amp;INDEX('WP-A'!$A$1:$Z$498,MATCH('WP-Print'!Q841,'WP-A'!$A:$A,0),MATCH("Icon",'WP-A'!$A$1:$Z$1,0))&amp;".png")</f>
        <v>#VALUE!</v>
      </c>
      <c r="Q841" s="231" t="str">
        <f>+INDEX(WP!$A:$AN,MATCH(F842,WP!$B:$B,0),MATCH("Ability",WP!$A$2:$AN$2,0))</f>
        <v>Force Strike +40%</v>
      </c>
      <c r="R841" s="734" t="str">
        <f>+INDEX(WP!$A:$AN,MATCH(F842,WP!$B:$B,0),MATCH("Obtain From",WP!$A$2:$AN$2,0))</f>
        <v>Clear Guardians of the Wood: Standard (The Children of Yggdrasil)</v>
      </c>
    </row>
    <row r="842" spans="1:18" ht="22.5" customHeight="1" x14ac:dyDescent="0.2">
      <c r="A842" s="204" t="str">
        <f>TEXT(A839+1,"000")</f>
        <v>280</v>
      </c>
      <c r="B842" s="729"/>
      <c r="C842" s="8"/>
      <c r="D842" s="729"/>
      <c r="E842" s="8"/>
      <c r="F842" s="200" t="str">
        <f>"WP-"&amp;A842</f>
        <v>WP-280</v>
      </c>
      <c r="G842" s="200">
        <f>+INDEX(WP!$A:$AN,MATCH(F842,WP!$B:$B,0),MATCH("ID",WP!$A$2:$AN$2,0))</f>
        <v>400161</v>
      </c>
      <c r="I842" s="8"/>
      <c r="J842" s="180" t="s">
        <v>10762</v>
      </c>
      <c r="K842" s="201">
        <f>+INDEX(WP!$A:$AN,MATCH(F842,WP!$B:$B,0),14)</f>
        <v>4</v>
      </c>
      <c r="L842" s="202">
        <f>+INDEX(WP!$A:$AN,MATCH(F842,WP!$B:$B,0),15)</f>
        <v>130</v>
      </c>
      <c r="M842" s="202">
        <f>+INDEX(WP!$A:$AN,MATCH(F842,WP!$B:$B,0),16)</f>
        <v>80</v>
      </c>
      <c r="N842" s="202" t="e" vm="344">
        <f>IFERROR(_xlfn.IMAGE("https://natalie.tf/wp-content/uploads/2023/11/DLV3_Icon_Affinity_"&amp;O842&amp;".png"),"")</f>
        <v>#VALUE!</v>
      </c>
      <c r="O842" s="203" t="str">
        <f>+INDEX(WP!$A:$AN,MATCH(F842,WP!$B:$B,0),17)</f>
        <v>Eagle</v>
      </c>
      <c r="P842" s="8" t="e" vm="7">
        <f>_xlfn.IMAGE("https://natalie.tf/wp-content/uploads/2023/10/DLV3_Icon_Ability_"&amp;INDEX('WP-A'!$A$1:$Z$498,MATCH('WP-Print'!Q842,'WP-A'!$A:$A,0),MATCH("Icon",'WP-A'!$A$1:$Z$1,0))&amp;".png")</f>
        <v>#VALUE!</v>
      </c>
      <c r="Q842" s="231" t="str">
        <f>+INDEX(WP!$A:$AN,MATCH(F842,WP!$B:$B,0),MATCH("Ability V3",WP!$A$2:$AN$2,0))</f>
        <v>Force Strike +40%</v>
      </c>
      <c r="R842" s="735"/>
    </row>
    <row r="843" spans="1:18" ht="22.5" customHeight="1" x14ac:dyDescent="0.2">
      <c r="A843" t="s">
        <v>10763</v>
      </c>
    </row>
    <row r="844" spans="1:18" ht="22.5" customHeight="1" x14ac:dyDescent="0.2">
      <c r="B844" s="729" t="e" vm="907">
        <f>_xlfn.IMAGE("https://natalie.tf/wp-content/uploads/2023/10/DLV3_Icon_WP_"&amp;G845&amp;"_01.png")</f>
        <v>#VALUE!</v>
      </c>
      <c r="D844" s="730" t="e" vm="908">
        <f>_xlfn.IMAGE("https://natalie.tf/wp-content/uploads/2023/10/DLV3_Icon_WP_"&amp;G845&amp;"_02.png")</f>
        <v>#VALUE!</v>
      </c>
      <c r="F844" s="717" t="str">
        <f>+INDEX(WP!$A:$AN,MATCH(F845,WP!$B:$B,0),MATCH("Name",WP!$A$2:$AN$2,0))</f>
        <v>Kunoichi Charisma</v>
      </c>
      <c r="G844" s="718"/>
      <c r="H844" s="719"/>
      <c r="J844" s="180" t="s">
        <v>10761</v>
      </c>
      <c r="K844" s="201">
        <f>+INDEX(WP!$A:$AN,MATCH(F845,WP!$B:$B,0),5)</f>
        <v>4</v>
      </c>
      <c r="L844" s="202">
        <f>+INDEX(WP!$A:$AN,MATCH(F845,WP!$B:$B,0),6)</f>
        <v>70</v>
      </c>
      <c r="M844" s="202">
        <f>+INDEX(WP!$A:$AN,MATCH(F845,WP!$B:$B,0),7)</f>
        <v>26</v>
      </c>
      <c r="N844" s="202" t="str">
        <f ca="1">IFERROR(_xlfn.IMAGE("https://natalie.tf/wp-content/uploads/2023/11/DLV3_Icon_Affinity_"&amp;O844&amp;".png"),"")</f>
        <v/>
      </c>
      <c r="O844" s="203" t="str">
        <f>IF(INDEX(WP!$A:$AN,MATCH(F845,WP!$B:$B,0),8)=0,"None",INDEX(WP!$A:$AN,MATCH(F845,WP!$B:$B,0),8))</f>
        <v>None</v>
      </c>
      <c r="P844" s="8" t="e" vm="6">
        <f>_xlfn.IMAGE("https://natalie.tf/wp-content/uploads/2023/10/DLV3_Icon_Ability_"&amp;INDEX('WP-A'!$A$1:$Z$498,MATCH('WP-Print'!Q844,'WP-A'!$A:$A,0),MATCH("Icon",'WP-A'!$A$1:$Z$1,0))&amp;".png")</f>
        <v>#VALUE!</v>
      </c>
      <c r="Q844" s="231" t="str">
        <f>+INDEX(WP!$A:$AN,MATCH(F845,WP!$B:$B,0),MATCH("Ability",WP!$A$2:$AN$2,0))</f>
        <v>Gauge Accelerator +25%</v>
      </c>
      <c r="R844" s="734" t="str">
        <f>+INDEX(WP!$A:$AN,MATCH(F845,WP!$B:$B,0),MATCH("Obtain From",WP!$A$2:$AN$2,0))</f>
        <v>Clear Repelling the Forest's Aggressors: Master (The Children of Yggdrasil)</v>
      </c>
    </row>
    <row r="845" spans="1:18" ht="22.5" customHeight="1" x14ac:dyDescent="0.2">
      <c r="A845" s="204" t="str">
        <f>TEXT(A842+1,"000")</f>
        <v>281</v>
      </c>
      <c r="B845" s="729"/>
      <c r="C845" s="8"/>
      <c r="D845" s="729"/>
      <c r="E845" s="8"/>
      <c r="F845" s="200" t="str">
        <f>"WP-"&amp;A845</f>
        <v>WP-281</v>
      </c>
      <c r="G845" s="200">
        <f>+INDEX(WP!$A:$AN,MATCH(F845,WP!$B:$B,0),MATCH("ID",WP!$A$2:$AN$2,0))</f>
        <v>400164</v>
      </c>
      <c r="I845" s="8"/>
      <c r="J845" s="180" t="s">
        <v>10762</v>
      </c>
      <c r="K845" s="201">
        <f>+INDEX(WP!$A:$AN,MATCH(F845,WP!$B:$B,0),14)</f>
        <v>4</v>
      </c>
      <c r="L845" s="202">
        <f>+INDEX(WP!$A:$AN,MATCH(F845,WP!$B:$B,0),15)</f>
        <v>130</v>
      </c>
      <c r="M845" s="202">
        <f>+INDEX(WP!$A:$AN,MATCH(F845,WP!$B:$B,0),16)</f>
        <v>80</v>
      </c>
      <c r="N845" s="202" t="e" vm="340">
        <f>IFERROR(_xlfn.IMAGE("https://natalie.tf/wp-content/uploads/2023/11/DLV3_Icon_Affinity_"&amp;O845&amp;".png"),"")</f>
        <v>#VALUE!</v>
      </c>
      <c r="O845" s="203" t="str">
        <f>+INDEX(WP!$A:$AN,MATCH(F845,WP!$B:$B,0),17)</f>
        <v>Lance</v>
      </c>
      <c r="P845" s="8" t="e" vm="6">
        <f>_xlfn.IMAGE("https://natalie.tf/wp-content/uploads/2023/10/DLV3_Icon_Ability_"&amp;INDEX('WP-A'!$A$1:$Z$498,MATCH('WP-Print'!Q845,'WP-A'!$A:$A,0),MATCH("Icon",'WP-A'!$A$1:$Z$1,0))&amp;".png")</f>
        <v>#VALUE!</v>
      </c>
      <c r="Q845" s="231" t="str">
        <f>+INDEX(WP!$A:$AN,MATCH(F845,WP!$B:$B,0),MATCH("Ability V3",WP!$A$2:$AN$2,0))</f>
        <v>Gauge Accelerator +25%</v>
      </c>
      <c r="R845" s="735"/>
    </row>
    <row r="846" spans="1:18" ht="7.5" customHeight="1" x14ac:dyDescent="0.2">
      <c r="A846" t="s">
        <v>10763</v>
      </c>
    </row>
    <row r="847" spans="1:18" ht="22.5" customHeight="1" x14ac:dyDescent="0.2">
      <c r="B847" s="729" t="e" vm="909">
        <f>_xlfn.IMAGE("https://natalie.tf/wp-content/uploads/2023/10/DLV3_Icon_WP_"&amp;G848&amp;"_01.png")</f>
        <v>#VALUE!</v>
      </c>
      <c r="D847" s="730" t="e" vm="910">
        <f>_xlfn.IMAGE("https://natalie.tf/wp-content/uploads/2023/10/DLV3_Icon_WP_"&amp;G848&amp;"_02.png")</f>
        <v>#VALUE!</v>
      </c>
      <c r="F847" s="717" t="str">
        <f>+INDEX(WP!$A:$AN,MATCH(F848,WP!$B:$B,0),MATCH("Name",WP!$A$2:$AN$2,0))</f>
        <v>Having a Summer Ball</v>
      </c>
      <c r="G847" s="718"/>
      <c r="H847" s="719"/>
      <c r="J847" s="180" t="s">
        <v>10761</v>
      </c>
      <c r="K847" s="201">
        <f>+INDEX(WP!$A:$AN,MATCH(F848,WP!$B:$B,0),5)</f>
        <v>4</v>
      </c>
      <c r="L847" s="202">
        <f>+INDEX(WP!$A:$AN,MATCH(F848,WP!$B:$B,0),6)</f>
        <v>70</v>
      </c>
      <c r="M847" s="202">
        <f>+INDEX(WP!$A:$AN,MATCH(F848,WP!$B:$B,0),7)</f>
        <v>26</v>
      </c>
      <c r="N847" s="202" t="e" vm="339">
        <f>IFERROR(_xlfn.IMAGE("https://natalie.tf/wp-content/uploads/2023/11/DLV3_Icon_Affinity_"&amp;O847&amp;".png"),"")</f>
        <v>#VALUE!</v>
      </c>
      <c r="O847" s="203" t="str">
        <f>IF(INDEX(WP!$A:$AN,MATCH(F848,WP!$B:$B,0),8)=0,"None",INDEX(WP!$A:$AN,MATCH(F848,WP!$B:$B,0),8))</f>
        <v>Sword</v>
      </c>
      <c r="P847" s="8" t="e" vm="414">
        <f>_xlfn.IMAGE("https://natalie.tf/wp-content/uploads/2023/10/DLV3_Icon_Ability_"&amp;INDEX('WP-A'!$A$1:$Z$498,MATCH('WP-Print'!Q847,'WP-A'!$A:$A,0),MATCH("Icon",'WP-A'!$A$1:$Z$1,0))&amp;".png")</f>
        <v>#VALUE!</v>
      </c>
      <c r="Q847" s="231" t="str">
        <f>+INDEX(WP!$A:$AN,MATCH(F848,WP!$B:$B,0),MATCH("Ability",WP!$A$2:$AN$2,0))</f>
        <v>(Dagger) Critical Damage +17%</v>
      </c>
      <c r="R847" s="734" t="str">
        <f>+INDEX(WP!$A:$AN,MATCH(F848,WP!$B:$B,0),MATCH("Obtain From",WP!$A$2:$AN$2,0))</f>
        <v>Clear The Stirring Abyss: Expert (Toll of the Deep)</v>
      </c>
    </row>
    <row r="848" spans="1:18" ht="22.5" customHeight="1" x14ac:dyDescent="0.2">
      <c r="A848" s="204" t="str">
        <f>TEXT(A845+1,"000")</f>
        <v>282</v>
      </c>
      <c r="B848" s="729"/>
      <c r="C848" s="8"/>
      <c r="D848" s="729"/>
      <c r="E848" s="8"/>
      <c r="F848" s="200" t="str">
        <f>"WP-"&amp;A848</f>
        <v>WP-282</v>
      </c>
      <c r="G848" s="200">
        <f>+INDEX(WP!$A:$AN,MATCH(F848,WP!$B:$B,0),MATCH("ID",WP!$A$2:$AN$2,0))</f>
        <v>400477</v>
      </c>
      <c r="I848" s="8"/>
      <c r="J848" s="180" t="s">
        <v>10762</v>
      </c>
      <c r="K848" s="201">
        <f>+INDEX(WP!$A:$AN,MATCH(F848,WP!$B:$B,0),14)</f>
        <v>4</v>
      </c>
      <c r="L848" s="202">
        <f>+INDEX(WP!$A:$AN,MATCH(F848,WP!$B:$B,0),15)</f>
        <v>130</v>
      </c>
      <c r="M848" s="202">
        <f>+INDEX(WP!$A:$AN,MATCH(F848,WP!$B:$B,0),16)</f>
        <v>80</v>
      </c>
      <c r="N848" s="202" t="e" vm="339">
        <f>IFERROR(_xlfn.IMAGE("https://natalie.tf/wp-content/uploads/2023/11/DLV3_Icon_Affinity_"&amp;O848&amp;".png"),"")</f>
        <v>#VALUE!</v>
      </c>
      <c r="O848" s="203" t="str">
        <f>+INDEX(WP!$A:$AN,MATCH(F848,WP!$B:$B,0),17)</f>
        <v>Sword</v>
      </c>
      <c r="P848" s="8" t="e" vm="414">
        <f>_xlfn.IMAGE("https://natalie.tf/wp-content/uploads/2023/10/DLV3_Icon_Ability_"&amp;INDEX('WP-A'!$A$1:$Z$498,MATCH('WP-Print'!Q848,'WP-A'!$A:$A,0),MATCH("Icon",'WP-A'!$A$1:$Z$1,0))&amp;".png")</f>
        <v>#VALUE!</v>
      </c>
      <c r="Q848" s="231" t="str">
        <f>+INDEX(WP!$A:$AN,MATCH(F848,WP!$B:$B,0),MATCH("Ability V3",WP!$A$2:$AN$2,0))</f>
        <v>(Dagger) Critical Damage +25%</v>
      </c>
      <c r="R848" s="735"/>
    </row>
    <row r="849" spans="1:18" ht="7.5" customHeight="1" x14ac:dyDescent="0.2">
      <c r="A849" t="s">
        <v>10763</v>
      </c>
    </row>
    <row r="850" spans="1:18" ht="22.5" customHeight="1" x14ac:dyDescent="0.2">
      <c r="B850" s="729" t="e" vm="911">
        <f>_xlfn.IMAGE("https://natalie.tf/wp-content/uploads/2023/10/DLV3_Icon_WP_"&amp;G851&amp;"_01.png")</f>
        <v>#VALUE!</v>
      </c>
      <c r="D850" s="730" t="e" vm="912">
        <f>_xlfn.IMAGE("https://natalie.tf/wp-content/uploads/2023/10/DLV3_Icon_WP_"&amp;G851&amp;"_02.png")</f>
        <v>#VALUE!</v>
      </c>
      <c r="F850" s="717" t="str">
        <f>+INDEX(WP!$A:$AN,MATCH(F851,WP!$B:$B,0),MATCH("Name",WP!$A$2:$AN$2,0))</f>
        <v>Bloom of the Battlefield</v>
      </c>
      <c r="G850" s="718"/>
      <c r="H850" s="719"/>
      <c r="J850" s="180" t="s">
        <v>10761</v>
      </c>
      <c r="K850" s="201">
        <f>+INDEX(WP!$A:$AN,MATCH(F851,WP!$B:$B,0),5)</f>
        <v>4</v>
      </c>
      <c r="L850" s="202">
        <f>+INDEX(WP!$A:$AN,MATCH(F851,WP!$B:$B,0),6)</f>
        <v>57</v>
      </c>
      <c r="M850" s="202">
        <f>+INDEX(WP!$A:$AN,MATCH(F851,WP!$B:$B,0),7)</f>
        <v>21</v>
      </c>
      <c r="N850" s="202" t="e" vm="356">
        <f>IFERROR(_xlfn.IMAGE("https://natalie.tf/wp-content/uploads/2023/11/DLV3_Icon_Affinity_"&amp;O850&amp;".png"),"")</f>
        <v>#VALUE!</v>
      </c>
      <c r="O850" s="203" t="str">
        <f>IF(INDEX(WP!$A:$AN,MATCH(F851,WP!$B:$B,0),8)=0,"None",INDEX(WP!$A:$AN,MATCH(F851,WP!$B:$B,0),8))</f>
        <v>Deer</v>
      </c>
      <c r="P850" s="8" t="e" vm="326">
        <f>_xlfn.IMAGE("https://natalie.tf/wp-content/uploads/2023/10/DLV3_Icon_Ability_"&amp;INDEX('WP-A'!$A$1:$Z$498,MATCH('WP-Print'!Q850,'WP-A'!$A:$A,0),MATCH("Icon",'WP-A'!$A$1:$Z$1,0))&amp;".png")</f>
        <v>#VALUE!</v>
      </c>
      <c r="Q850" s="231" t="str">
        <f>+INDEX(WP!$A:$AN,MATCH(F851,WP!$B:$B,0),MATCH("Ability",WP!$A$2:$AN$2,0))</f>
        <v>(Wind) Critical Rate +8%</v>
      </c>
      <c r="R850" s="734" t="str">
        <f>+INDEX(WP!$A:$AN,MATCH(F851,WP!$B:$B,0),MATCH("Obtain From",WP!$A$2:$AN$2,0))</f>
        <v>Clear A Duel with the Black Raven: Standard (Knights of Alberia)</v>
      </c>
    </row>
    <row r="851" spans="1:18" ht="22.5" customHeight="1" x14ac:dyDescent="0.2">
      <c r="A851" s="204" t="str">
        <f>TEXT(A848+1,"000")</f>
        <v>283</v>
      </c>
      <c r="B851" s="729"/>
      <c r="C851" s="8"/>
      <c r="D851" s="730"/>
      <c r="E851" s="8"/>
      <c r="F851" s="200" t="str">
        <f>"WP-"&amp;A851</f>
        <v>WP-283</v>
      </c>
      <c r="G851" s="200">
        <f>+INDEX(WP!$A:$AN,MATCH(F851,WP!$B:$B,0),MATCH("ID",WP!$A$2:$AN$2,0))</f>
        <v>400480</v>
      </c>
      <c r="I851" s="8"/>
      <c r="J851" s="180" t="s">
        <v>10762</v>
      </c>
      <c r="K851" s="201">
        <f>+INDEX(WP!$A:$AN,MATCH(F851,WP!$B:$B,0),14)</f>
        <v>4</v>
      </c>
      <c r="L851" s="202">
        <f>+INDEX(WP!$A:$AN,MATCH(F851,WP!$B:$B,0),15)</f>
        <v>130</v>
      </c>
      <c r="M851" s="202">
        <f>+INDEX(WP!$A:$AN,MATCH(F851,WP!$B:$B,0),16)</f>
        <v>80</v>
      </c>
      <c r="N851" s="202" t="e" vm="356">
        <f>IFERROR(_xlfn.IMAGE("https://natalie.tf/wp-content/uploads/2023/11/DLV3_Icon_Affinity_"&amp;O851&amp;".png"),"")</f>
        <v>#VALUE!</v>
      </c>
      <c r="O851" s="203" t="str">
        <f>+INDEX(WP!$A:$AN,MATCH(F851,WP!$B:$B,0),17)</f>
        <v>Deer</v>
      </c>
      <c r="P851" s="8" t="e" vm="326">
        <f>_xlfn.IMAGE("https://natalie.tf/wp-content/uploads/2023/10/DLV3_Icon_Ability_"&amp;INDEX('WP-A'!$A$1:$Z$498,MATCH('WP-Print'!Q851,'WP-A'!$A:$A,0),MATCH("Icon",'WP-A'!$A$1:$Z$1,0))&amp;".png")</f>
        <v>#VALUE!</v>
      </c>
      <c r="Q851" s="231" t="str">
        <f>+INDEX(WP!$A:$AN,MATCH(F851,WP!$B:$B,0),MATCH("Ability V3",WP!$A$2:$AN$2,0))</f>
        <v>(Wind) Critical Rate +10%</v>
      </c>
      <c r="R851" s="735"/>
    </row>
    <row r="852" spans="1:18" ht="7.5" customHeight="1" x14ac:dyDescent="0.2">
      <c r="A852" t="s">
        <v>10763</v>
      </c>
    </row>
    <row r="853" spans="1:18" ht="22.5" customHeight="1" x14ac:dyDescent="0.2">
      <c r="B853" s="729" t="e" vm="913">
        <f>_xlfn.IMAGE("https://natalie.tf/wp-content/uploads/2023/10/DLV3_Icon_WP_"&amp;G854&amp;"_01.png")</f>
        <v>#VALUE!</v>
      </c>
      <c r="D853" s="730" t="e" vm="914">
        <f>_xlfn.IMAGE("https://natalie.tf/wp-content/uploads/2023/10/DLV3_Icon_WP_"&amp;G854&amp;"_02.png")</f>
        <v>#VALUE!</v>
      </c>
      <c r="F853" s="717" t="str">
        <f>+INDEX(WP!$A:$AN,MATCH(F854,WP!$B:$B,0),MATCH("Name",WP!$A$2:$AN$2,0))</f>
        <v>Amane's Babysitting Chronicles</v>
      </c>
      <c r="G853" s="718"/>
      <c r="H853" s="719"/>
      <c r="J853" s="180" t="s">
        <v>10761</v>
      </c>
      <c r="K853" s="201">
        <f>+INDEX(WP!$A:$AN,MATCH(F854,WP!$B:$B,0),5)</f>
        <v>4</v>
      </c>
      <c r="L853" s="202">
        <f>+INDEX(WP!$A:$AN,MATCH(F854,WP!$B:$B,0),6)</f>
        <v>57</v>
      </c>
      <c r="M853" s="202">
        <f>+INDEX(WP!$A:$AN,MATCH(F854,WP!$B:$B,0),7)</f>
        <v>21</v>
      </c>
      <c r="N853" s="202" t="e" vm="337">
        <f>IFERROR(_xlfn.IMAGE("https://natalie.tf/wp-content/uploads/2023/11/DLV3_Icon_Affinity_"&amp;O853&amp;".png"),"")</f>
        <v>#VALUE!</v>
      </c>
      <c r="O853" s="203" t="str">
        <f>IF(INDEX(WP!$A:$AN,MATCH(F854,WP!$B:$B,0),8)=0,"None",INDEX(WP!$A:$AN,MATCH(F854,WP!$B:$B,0),8))</f>
        <v>Serpent</v>
      </c>
      <c r="P853" s="8" t="e" vm="330">
        <f>_xlfn.IMAGE("https://natalie.tf/wp-content/uploads/2023/10/DLV3_Icon_Ability_"&amp;INDEX('WP-A'!$A$1:$Z$498,MATCH('WP-Print'!Q853,'WP-A'!$A:$A,0),MATCH("Icon",'WP-A'!$A$1:$Z$1,0))&amp;".png")</f>
        <v>#VALUE!</v>
      </c>
      <c r="Q853" s="231" t="str">
        <f>+INDEX(WP!$A:$AN,MATCH(F854,WP!$B:$B,0),MATCH("Ability",WP!$A$2:$AN$2,0))</f>
        <v>(Light) Skill Haste +7%</v>
      </c>
      <c r="R853" s="734" t="str">
        <f>+INDEX(WP!$A:$AN,MATCH(F854,WP!$B:$B,0),MATCH("Obtain From",WP!$A$2:$AN$2,0))</f>
        <v>Clear Repelling the Forces of Grams: Expert (Knights of Alberia)</v>
      </c>
    </row>
    <row r="854" spans="1:18" ht="22.5" customHeight="1" x14ac:dyDescent="0.2">
      <c r="A854" s="204" t="str">
        <f>TEXT(A851+1,"000")</f>
        <v>284</v>
      </c>
      <c r="B854" s="729"/>
      <c r="C854" s="8"/>
      <c r="D854" s="729"/>
      <c r="E854" s="8"/>
      <c r="F854" s="200" t="str">
        <f>"WP-"&amp;A854</f>
        <v>WP-284</v>
      </c>
      <c r="G854" s="200">
        <f>+INDEX(WP!$A:$AN,MATCH(F854,WP!$B:$B,0),MATCH("ID",WP!$A$2:$AN$2,0))</f>
        <v>400291</v>
      </c>
      <c r="I854" s="8"/>
      <c r="J854" s="180" t="s">
        <v>10762</v>
      </c>
      <c r="K854" s="201">
        <f>+INDEX(WP!$A:$AN,MATCH(F854,WP!$B:$B,0),14)</f>
        <v>4</v>
      </c>
      <c r="L854" s="202">
        <f>+INDEX(WP!$A:$AN,MATCH(F854,WP!$B:$B,0),15)</f>
        <v>130</v>
      </c>
      <c r="M854" s="202">
        <f>+INDEX(WP!$A:$AN,MATCH(F854,WP!$B:$B,0),16)</f>
        <v>80</v>
      </c>
      <c r="N854" s="202" t="e" vm="367">
        <f>IFERROR(_xlfn.IMAGE("https://natalie.tf/wp-content/uploads/2023/11/DLV3_Icon_Affinity_"&amp;O854&amp;".png"),"")</f>
        <v>#VALUE!</v>
      </c>
      <c r="O854" s="203" t="str">
        <f>+INDEX(WP!$A:$AN,MATCH(F854,WP!$B:$B,0),17)</f>
        <v>Spider</v>
      </c>
      <c r="P854" s="8" t="e" vm="330">
        <f>_xlfn.IMAGE("https://natalie.tf/wp-content/uploads/2023/10/DLV3_Icon_Ability_"&amp;INDEX('WP-A'!$A$1:$Z$498,MATCH('WP-Print'!Q854,'WP-A'!$A:$A,0),MATCH("Icon",'WP-A'!$A$1:$Z$1,0))&amp;".png")</f>
        <v>#VALUE!</v>
      </c>
      <c r="Q854" s="231" t="str">
        <f>+INDEX(WP!$A:$AN,MATCH(F854,WP!$B:$B,0),MATCH("Ability V3",WP!$A$2:$AN$2,0))</f>
        <v>(Light) Skill Haste +7%</v>
      </c>
      <c r="R854" s="735"/>
    </row>
    <row r="855" spans="1:18" ht="7.5" customHeight="1" x14ac:dyDescent="0.2">
      <c r="A855" t="s">
        <v>10763</v>
      </c>
    </row>
    <row r="856" spans="1:18" ht="22.5" customHeight="1" x14ac:dyDescent="0.2">
      <c r="B856" s="729" t="e" vm="915">
        <f>_xlfn.IMAGE("https://natalie.tf/wp-content/uploads/2023/10/DLV3_Icon_WP_"&amp;G857&amp;"_01.png")</f>
        <v>#VALUE!</v>
      </c>
      <c r="D856" s="730" t="e" vm="916">
        <f>_xlfn.IMAGE("https://natalie.tf/wp-content/uploads/2023/10/DLV3_Icon_WP_"&amp;G857&amp;"_02.png")</f>
        <v>#VALUE!</v>
      </c>
      <c r="F856" s="717" t="str">
        <f>+INDEX(WP!$A:$AN,MATCH(F857,WP!$B:$B,0),MATCH("Name",WP!$A$2:$AN$2,0))</f>
        <v>A Choice Blend</v>
      </c>
      <c r="G856" s="718"/>
      <c r="H856" s="719"/>
      <c r="J856" s="180" t="s">
        <v>10761</v>
      </c>
      <c r="K856" s="201">
        <f>+INDEX(WP!$A:$AN,MATCH(F857,WP!$B:$B,0),5)</f>
        <v>4</v>
      </c>
      <c r="L856" s="202">
        <f>+INDEX(WP!$A:$AN,MATCH(F857,WP!$B:$B,0),6)</f>
        <v>57</v>
      </c>
      <c r="M856" s="202">
        <f>+INDEX(WP!$A:$AN,MATCH(F857,WP!$B:$B,0),7)</f>
        <v>21</v>
      </c>
      <c r="N856" s="202" t="str">
        <f ca="1">IFERROR(_xlfn.IMAGE("https://natalie.tf/wp-content/uploads/2023/11/DLV3_Icon_Affinity_"&amp;O856&amp;".png"),"")</f>
        <v/>
      </c>
      <c r="O856" s="203" t="str">
        <f>IF(INDEX(WP!$A:$AN,MATCH(F857,WP!$B:$B,0),8)=0,"None",INDEX(WP!$A:$AN,MATCH(F857,WP!$B:$B,0),8))</f>
        <v>None</v>
      </c>
      <c r="P856" s="8" t="e" vm="326">
        <f>_xlfn.IMAGE("https://natalie.tf/wp-content/uploads/2023/10/DLV3_Icon_Ability_"&amp;INDEX('WP-A'!$A$1:$Z$498,MATCH('WP-Print'!Q856,'WP-A'!$A:$A,0),MATCH("Icon",'WP-A'!$A$1:$Z$1,0))&amp;".png")</f>
        <v>#VALUE!</v>
      </c>
      <c r="Q856" s="231" t="str">
        <f>+INDEX(WP!$A:$AN,MATCH(F857,WP!$B:$B,0),MATCH("Ability",WP!$A$2:$AN$2,0))</f>
        <v>(Blade) Critical Rate +12%</v>
      </c>
      <c r="R856" s="734" t="str">
        <f>+INDEX(WP!$A:$AN,MATCH(F857,WP!$B:$B,0),MATCH("Obtain From",WP!$A$2:$AN$2,0))</f>
        <v>Clear Assault on Lilith: Expert (Faith Forsaken (Part Two))</v>
      </c>
    </row>
    <row r="857" spans="1:18" ht="22.5" customHeight="1" x14ac:dyDescent="0.2">
      <c r="A857" s="204" t="str">
        <f>TEXT(A854+1,"000")</f>
        <v>285</v>
      </c>
      <c r="B857" s="729"/>
      <c r="C857" s="8"/>
      <c r="D857" s="729"/>
      <c r="E857" s="8"/>
      <c r="F857" s="200" t="str">
        <f>"WP-"&amp;A857</f>
        <v>WP-285</v>
      </c>
      <c r="G857" s="200">
        <f>+INDEX(WP!$A:$AN,MATCH(F857,WP!$B:$B,0),MATCH("ID",WP!$A$2:$AN$2,0))</f>
        <v>400482</v>
      </c>
      <c r="I857" s="8"/>
      <c r="J857" s="180" t="s">
        <v>10762</v>
      </c>
      <c r="K857" s="201">
        <f>+INDEX(WP!$A:$AN,MATCH(F857,WP!$B:$B,0),14)</f>
        <v>4</v>
      </c>
      <c r="L857" s="202">
        <f>+INDEX(WP!$A:$AN,MATCH(F857,WP!$B:$B,0),15)</f>
        <v>130</v>
      </c>
      <c r="M857" s="202">
        <f>+INDEX(WP!$A:$AN,MATCH(F857,WP!$B:$B,0),16)</f>
        <v>80</v>
      </c>
      <c r="N857" s="202" t="e" vm="339">
        <f>IFERROR(_xlfn.IMAGE("https://natalie.tf/wp-content/uploads/2023/11/DLV3_Icon_Affinity_"&amp;O857&amp;".png"),"")</f>
        <v>#VALUE!</v>
      </c>
      <c r="O857" s="203" t="str">
        <f>+INDEX(WP!$A:$AN,MATCH(F857,WP!$B:$B,0),17)</f>
        <v>Sword</v>
      </c>
      <c r="P857" s="8" t="e" vm="326">
        <f>_xlfn.IMAGE("https://natalie.tf/wp-content/uploads/2023/10/DLV3_Icon_Ability_"&amp;INDEX('WP-A'!$A$1:$Z$498,MATCH('WP-Print'!Q857,'WP-A'!$A:$A,0),MATCH("Icon",'WP-A'!$A$1:$Z$1,0))&amp;".png")</f>
        <v>#VALUE!</v>
      </c>
      <c r="Q857" s="231" t="str">
        <f>+INDEX(WP!$A:$AN,MATCH(F857,WP!$B:$B,0),MATCH("Ability V3",WP!$A$2:$AN$2,0))</f>
        <v>(Blade) Critical Rate +12%</v>
      </c>
      <c r="R857" s="735"/>
    </row>
    <row r="858" spans="1:18" ht="7.5" customHeight="1" x14ac:dyDescent="0.2">
      <c r="A858" t="s">
        <v>10763</v>
      </c>
    </row>
    <row r="859" spans="1:18" ht="22.5" customHeight="1" x14ac:dyDescent="0.2">
      <c r="B859" s="729" t="e" vm="917">
        <f>_xlfn.IMAGE("https://natalie.tf/wp-content/uploads/2023/10/DLV3_Icon_WP_"&amp;G860&amp;"_01.png")</f>
        <v>#VALUE!</v>
      </c>
      <c r="D859" s="730" t="e" vm="918">
        <f>_xlfn.IMAGE("https://natalie.tf/wp-content/uploads/2023/10/DLV3_Icon_WP_"&amp;G860&amp;"_02.png")</f>
        <v>#VALUE!</v>
      </c>
      <c r="F859" s="717" t="str">
        <f>+INDEX(WP!$A:$AN,MATCH(F860,WP!$B:$B,0),MATCH("Name",WP!$A$2:$AN$2,0))</f>
        <v>A Gift from an Angel</v>
      </c>
      <c r="G859" s="718"/>
      <c r="H859" s="719"/>
      <c r="J859" s="180" t="s">
        <v>10761</v>
      </c>
      <c r="K859" s="201">
        <f>+INDEX(WP!$A:$AN,MATCH(F860,WP!$B:$B,0),5)</f>
        <v>4</v>
      </c>
      <c r="L859" s="202">
        <f>+INDEX(WP!$A:$AN,MATCH(F860,WP!$B:$B,0),6)</f>
        <v>57</v>
      </c>
      <c r="M859" s="202">
        <f>+INDEX(WP!$A:$AN,MATCH(F860,WP!$B:$B,0),7)</f>
        <v>21</v>
      </c>
      <c r="N859" s="202" t="e" vm="362">
        <f>IFERROR(_xlfn.IMAGE("https://natalie.tf/wp-content/uploads/2023/11/DLV3_Icon_Affinity_"&amp;O859&amp;".png"),"")</f>
        <v>#VALUE!</v>
      </c>
      <c r="O859" s="203" t="str">
        <f>IF(INDEX(WP!$A:$AN,MATCH(F860,WP!$B:$B,0),8)=0,"None",INDEX(WP!$A:$AN,MATCH(F860,WP!$B:$B,0),8))</f>
        <v>Bat</v>
      </c>
      <c r="P859" s="8" t="e" vm="326">
        <f>_xlfn.IMAGE("https://natalie.tf/wp-content/uploads/2023/10/DLV3_Icon_Ability_"&amp;INDEX('WP-A'!$A$1:$Z$498,MATCH('WP-Print'!Q859,'WP-A'!$A:$A,0),MATCH("Icon",'WP-A'!$A$1:$Z$1,0))&amp;".png")</f>
        <v>#VALUE!</v>
      </c>
      <c r="Q859" s="231" t="str">
        <f>+INDEX(WP!$A:$AN,MATCH(F860,WP!$B:$B,0),MATCH("Ability",WP!$A$2:$AN$2,0))</f>
        <v>(Shadow) Critical Rate +8%</v>
      </c>
      <c r="R859" s="734" t="str">
        <f>+INDEX(WP!$A:$AN,MATCH(F860,WP!$B:$B,0),MATCH("Obtain From",WP!$A$2:$AN$2,0))</f>
        <v>Clear The Angelic Herald: Standard (One Starry Dragonyule)</v>
      </c>
    </row>
    <row r="860" spans="1:18" ht="22.5" customHeight="1" x14ac:dyDescent="0.2">
      <c r="A860" s="204" t="str">
        <f>TEXT(A857+1,"000")</f>
        <v>286</v>
      </c>
      <c r="B860" s="729"/>
      <c r="C860" s="8"/>
      <c r="D860" s="729"/>
      <c r="E860" s="8"/>
      <c r="F860" s="200" t="str">
        <f>"WP-"&amp;A860</f>
        <v>WP-286</v>
      </c>
      <c r="G860" s="200">
        <f>+INDEX(WP!$A:$AN,MATCH(F860,WP!$B:$B,0),MATCH("ID",WP!$A$2:$AN$2,0))</f>
        <v>400488</v>
      </c>
      <c r="I860" s="8"/>
      <c r="J860" s="180" t="s">
        <v>10762</v>
      </c>
      <c r="K860" s="201">
        <f>+INDEX(WP!$A:$AN,MATCH(F860,WP!$B:$B,0),14)</f>
        <v>4</v>
      </c>
      <c r="L860" s="202">
        <f>+INDEX(WP!$A:$AN,MATCH(F860,WP!$B:$B,0),15)</f>
        <v>130</v>
      </c>
      <c r="M860" s="202">
        <f>+INDEX(WP!$A:$AN,MATCH(F860,WP!$B:$B,0),16)</f>
        <v>80</v>
      </c>
      <c r="N860" s="202" t="e" vm="362">
        <f>IFERROR(_xlfn.IMAGE("https://natalie.tf/wp-content/uploads/2023/11/DLV3_Icon_Affinity_"&amp;O860&amp;".png"),"")</f>
        <v>#VALUE!</v>
      </c>
      <c r="O860" s="203" t="str">
        <f>+INDEX(WP!$A:$AN,MATCH(F860,WP!$B:$B,0),17)</f>
        <v>Bat</v>
      </c>
      <c r="P860" s="8" t="e" vm="326">
        <f>_xlfn.IMAGE("https://natalie.tf/wp-content/uploads/2023/10/DLV3_Icon_Ability_"&amp;INDEX('WP-A'!$A$1:$Z$498,MATCH('WP-Print'!Q860,'WP-A'!$A:$A,0),MATCH("Icon",'WP-A'!$A$1:$Z$1,0))&amp;".png")</f>
        <v>#VALUE!</v>
      </c>
      <c r="Q860" s="231" t="str">
        <f>+INDEX(WP!$A:$AN,MATCH(F860,WP!$B:$B,0),MATCH("Ability V3",WP!$A$2:$AN$2,0))</f>
        <v>(Shadow) Critical Rate +10%</v>
      </c>
      <c r="R860" s="735"/>
    </row>
    <row r="861" spans="1:18" ht="7.5" customHeight="1" x14ac:dyDescent="0.2">
      <c r="A861" t="s">
        <v>10763</v>
      </c>
    </row>
    <row r="862" spans="1:18" ht="22.5" customHeight="1" x14ac:dyDescent="0.2">
      <c r="B862" s="729" t="e" vm="919">
        <f>_xlfn.IMAGE("https://natalie.tf/wp-content/uploads/2023/10/DLV3_Icon_WP_"&amp;G863&amp;"_01.png")</f>
        <v>#VALUE!</v>
      </c>
      <c r="D862" s="730" t="e" vm="920">
        <f>_xlfn.IMAGE("https://natalie.tf/wp-content/uploads/2023/10/DLV3_Icon_WP_"&amp;G863&amp;"_02.png")</f>
        <v>#VALUE!</v>
      </c>
      <c r="F862" s="717" t="str">
        <f>+INDEX(WP!$A:$AN,MATCH(F863,WP!$B:$B,0),MATCH("Name",WP!$A$2:$AN$2,0))</f>
        <v>Saint Starfall's Circus</v>
      </c>
      <c r="G862" s="718"/>
      <c r="H862" s="719"/>
      <c r="J862" s="180" t="s">
        <v>10761</v>
      </c>
      <c r="K862" s="201">
        <f>+INDEX(WP!$A:$AN,MATCH(F863,WP!$B:$B,0),5)</f>
        <v>4</v>
      </c>
      <c r="L862" s="202">
        <f>+INDEX(WP!$A:$AN,MATCH(F863,WP!$B:$B,0),6)</f>
        <v>57</v>
      </c>
      <c r="M862" s="202">
        <f>+INDEX(WP!$A:$AN,MATCH(F863,WP!$B:$B,0),7)</f>
        <v>21</v>
      </c>
      <c r="N862" s="202" t="e" vm="339">
        <f>IFERROR(_xlfn.IMAGE("https://natalie.tf/wp-content/uploads/2023/11/DLV3_Icon_Affinity_"&amp;O862&amp;".png"),"")</f>
        <v>#VALUE!</v>
      </c>
      <c r="O862" s="203" t="str">
        <f>IF(INDEX(WP!$A:$AN,MATCH(F863,WP!$B:$B,0),8)=0,"None",INDEX(WP!$A:$AN,MATCH(F863,WP!$B:$B,0),8))</f>
        <v>Sword</v>
      </c>
      <c r="P862" s="8" t="e" vm="326">
        <f>_xlfn.IMAGE("https://natalie.tf/wp-content/uploads/2023/10/DLV3_Icon_Ability_"&amp;INDEX('WP-A'!$A$1:$Z$498,MATCH('WP-Print'!Q862,'WP-A'!$A:$A,0),MATCH("Icon",'WP-A'!$A$1:$Z$1,0))&amp;".png")</f>
        <v>#VALUE!</v>
      </c>
      <c r="Q862" s="231" t="str">
        <f>+INDEX(WP!$A:$AN,MATCH(F863,WP!$B:$B,0),MATCH("Ability",WP!$A$2:$AN$2,0))</f>
        <v>(Lance) Critical Rate +12%</v>
      </c>
      <c r="R862" s="734" t="str">
        <f>+INDEX(WP!$A:$AN,MATCH(F863,WP!$B:$B,0),MATCH("Obtain From",WP!$A$2:$AN$2,0))</f>
        <v>Clear Repelling the Frosty Fiends: Expert (One Starry Dragonyule)</v>
      </c>
    </row>
    <row r="863" spans="1:18" ht="22.5" customHeight="1" x14ac:dyDescent="0.2">
      <c r="A863" s="204" t="str">
        <f>TEXT(A860+1,"000")</f>
        <v>287</v>
      </c>
      <c r="B863" s="729"/>
      <c r="C863" s="8"/>
      <c r="D863" s="729"/>
      <c r="E863" s="8"/>
      <c r="F863" s="200" t="str">
        <f>"WP-"&amp;A863</f>
        <v>WP-287</v>
      </c>
      <c r="G863" s="200">
        <f>+INDEX(WP!$A:$AN,MATCH(F863,WP!$B:$B,0),MATCH("ID",WP!$A$2:$AN$2,0))</f>
        <v>400489</v>
      </c>
      <c r="I863" s="8"/>
      <c r="J863" s="180" t="s">
        <v>10762</v>
      </c>
      <c r="K863" s="201">
        <f>+INDEX(WP!$A:$AN,MATCH(F863,WP!$B:$B,0),14)</f>
        <v>4</v>
      </c>
      <c r="L863" s="202">
        <f>+INDEX(WP!$A:$AN,MATCH(F863,WP!$B:$B,0),15)</f>
        <v>130</v>
      </c>
      <c r="M863" s="202">
        <f>+INDEX(WP!$A:$AN,MATCH(F863,WP!$B:$B,0),16)</f>
        <v>80</v>
      </c>
      <c r="N863" s="202" t="e" vm="339">
        <f>IFERROR(_xlfn.IMAGE("https://natalie.tf/wp-content/uploads/2023/11/DLV3_Icon_Affinity_"&amp;O863&amp;".png"),"")</f>
        <v>#VALUE!</v>
      </c>
      <c r="O863" s="203" t="str">
        <f>+INDEX(WP!$A:$AN,MATCH(F863,WP!$B:$B,0),17)</f>
        <v>Sword</v>
      </c>
      <c r="P863" s="8" t="e" vm="326">
        <f>_xlfn.IMAGE("https://natalie.tf/wp-content/uploads/2023/10/DLV3_Icon_Ability_"&amp;INDEX('WP-A'!$A$1:$Z$498,MATCH('WP-Print'!Q863,'WP-A'!$A:$A,0),MATCH("Icon",'WP-A'!$A$1:$Z$1,0))&amp;".png")</f>
        <v>#VALUE!</v>
      </c>
      <c r="Q863" s="231" t="str">
        <f>+INDEX(WP!$A:$AN,MATCH(F863,WP!$B:$B,0),MATCH("Ability V3",WP!$A$2:$AN$2,0))</f>
        <v>(Lance) Critical Rate +12%</v>
      </c>
      <c r="R863" s="735"/>
    </row>
    <row r="864" spans="1:18" ht="7.5" customHeight="1" x14ac:dyDescent="0.2">
      <c r="A864" t="s">
        <v>10763</v>
      </c>
    </row>
    <row r="865" spans="1:18" ht="22.5" customHeight="1" x14ac:dyDescent="0.2">
      <c r="B865" s="729" t="e" vm="921">
        <f>_xlfn.IMAGE("https://natalie.tf/wp-content/uploads/2023/10/DLV3_Icon_WP_"&amp;G866&amp;"_01.png")</f>
        <v>#VALUE!</v>
      </c>
      <c r="D865" s="730" t="e" vm="922">
        <f>_xlfn.IMAGE("https://natalie.tf/wp-content/uploads/2023/10/DLV3_Icon_WP_"&amp;G866&amp;"_02.png")</f>
        <v>#VALUE!</v>
      </c>
      <c r="F865" s="717" t="str">
        <f>+INDEX(WP!$A:$AN,MATCH(F866,WP!$B:$B,0),MATCH("Name",WP!$A$2:$AN$2,0))</f>
        <v>Passion Inherited</v>
      </c>
      <c r="G865" s="718"/>
      <c r="H865" s="719"/>
      <c r="J865" s="180" t="s">
        <v>10761</v>
      </c>
      <c r="K865" s="201">
        <f>+INDEX(WP!$A:$AN,MATCH(F866,WP!$B:$B,0),5)</f>
        <v>4</v>
      </c>
      <c r="L865" s="202">
        <f>+INDEX(WP!$A:$AN,MATCH(F866,WP!$B:$B,0),6)</f>
        <v>57</v>
      </c>
      <c r="M865" s="202">
        <f>+INDEX(WP!$A:$AN,MATCH(F866,WP!$B:$B,0),7)</f>
        <v>21</v>
      </c>
      <c r="N865" s="202" t="e" vm="342">
        <f>IFERROR(_xlfn.IMAGE("https://natalie.tf/wp-content/uploads/2023/11/DLV3_Icon_Affinity_"&amp;O865&amp;".png"),"")</f>
        <v>#VALUE!</v>
      </c>
      <c r="O865" s="203" t="str">
        <f>IF(INDEX(WP!$A:$AN,MATCH(F866,WP!$B:$B,0),8)=0,"None",INDEX(WP!$A:$AN,MATCH(F866,WP!$B:$B,0),8))</f>
        <v>Bow</v>
      </c>
      <c r="P865" s="8" t="e" vm="426">
        <f>_xlfn.IMAGE("https://natalie.tf/wp-content/uploads/2023/10/DLV3_Icon_Ability_"&amp;INDEX('WP-A'!$A$1:$Z$498,MATCH('WP-Print'!Q865,'WP-A'!$A:$A,0),MATCH("Icon",'WP-A'!$A$1:$Z$1,0))&amp;".png")</f>
        <v>#VALUE!</v>
      </c>
      <c r="Q865" s="231" t="str">
        <f>+INDEX(WP!$A:$AN,MATCH(F866,WP!$B:$B,0),MATCH("Ability",WP!$A$2:$AN$2,0))</f>
        <v>Defense +8%</v>
      </c>
      <c r="R865" s="734" t="str">
        <f>+INDEX(WP!$A:$AN,MATCH(F866,WP!$B:$B,0),MATCH("Obtain From",WP!$A$2:$AN$2,0))</f>
        <v>Clear The Underworld's Offensive (Celestial Showdown)</v>
      </c>
    </row>
    <row r="866" spans="1:18" ht="22.5" customHeight="1" x14ac:dyDescent="0.2">
      <c r="A866" s="204" t="str">
        <f>TEXT(A863+1,"000")</f>
        <v>288</v>
      </c>
      <c r="B866" s="729"/>
      <c r="C866" s="8"/>
      <c r="D866" s="729"/>
      <c r="E866" s="8"/>
      <c r="F866" s="200" t="str">
        <f>"WP-"&amp;A866</f>
        <v>WP-288</v>
      </c>
      <c r="G866" s="200">
        <f>+INDEX(WP!$A:$AN,MATCH(F866,WP!$B:$B,0),MATCH("ID",WP!$A$2:$AN$2,0))</f>
        <v>400492</v>
      </c>
      <c r="I866" s="8"/>
      <c r="J866" s="180" t="s">
        <v>10762</v>
      </c>
      <c r="K866" s="201">
        <f>+INDEX(WP!$A:$AN,MATCH(F866,WP!$B:$B,0),14)</f>
        <v>4</v>
      </c>
      <c r="L866" s="202">
        <f>+INDEX(WP!$A:$AN,MATCH(F866,WP!$B:$B,0),15)</f>
        <v>130</v>
      </c>
      <c r="M866" s="202">
        <f>+INDEX(WP!$A:$AN,MATCH(F866,WP!$B:$B,0),16)</f>
        <v>80</v>
      </c>
      <c r="N866" s="202" t="e" vm="342">
        <f>IFERROR(_xlfn.IMAGE("https://natalie.tf/wp-content/uploads/2023/11/DLV3_Icon_Affinity_"&amp;O866&amp;".png"),"")</f>
        <v>#VALUE!</v>
      </c>
      <c r="O866" s="203" t="str">
        <f>+INDEX(WP!$A:$AN,MATCH(F866,WP!$B:$B,0),17)</f>
        <v>Bow</v>
      </c>
      <c r="P866" s="8" t="e" vm="426">
        <f>_xlfn.IMAGE("https://natalie.tf/wp-content/uploads/2023/10/DLV3_Icon_Ability_"&amp;INDEX('WP-A'!$A$1:$Z$498,MATCH('WP-Print'!Q866,'WP-A'!$A:$A,0),MATCH("Icon",'WP-A'!$A$1:$Z$1,0))&amp;".png")</f>
        <v>#VALUE!</v>
      </c>
      <c r="Q866" s="231" t="str">
        <f>+INDEX(WP!$A:$AN,MATCH(F866,WP!$B:$B,0),MATCH("Ability V3",WP!$A$2:$AN$2,0))</f>
        <v>Defense +8%</v>
      </c>
      <c r="R866" s="735"/>
    </row>
    <row r="867" spans="1:18" ht="7.5" customHeight="1" x14ac:dyDescent="0.2">
      <c r="A867" t="s">
        <v>10763</v>
      </c>
    </row>
    <row r="868" spans="1:18" ht="22.5" customHeight="1" x14ac:dyDescent="0.2">
      <c r="B868" s="729" t="e" vm="923">
        <f>_xlfn.IMAGE("https://natalie.tf/wp-content/uploads/2023/10/DLV3_Icon_WP_"&amp;G869&amp;"_01.png")</f>
        <v>#VALUE!</v>
      </c>
      <c r="D868" s="730" t="e" vm="924">
        <f>_xlfn.IMAGE("https://natalie.tf/wp-content/uploads/2023/10/DLV3_Icon_WP_"&amp;G869&amp;"_02.png")</f>
        <v>#VALUE!</v>
      </c>
      <c r="F868" s="717" t="str">
        <f>+INDEX(WP!$A:$AN,MATCH(F869,WP!$B:$B,0),MATCH("Name",WP!$A$2:$AN$2,0))</f>
        <v>The Nobles' Day Off</v>
      </c>
      <c r="G868" s="718"/>
      <c r="H868" s="719"/>
      <c r="J868" s="180" t="s">
        <v>10761</v>
      </c>
      <c r="K868" s="201">
        <f>+INDEX(WP!$A:$AN,MATCH(F869,WP!$B:$B,0),5)</f>
        <v>4</v>
      </c>
      <c r="L868" s="202">
        <f>+INDEX(WP!$A:$AN,MATCH(F869,WP!$B:$B,0),6)</f>
        <v>57</v>
      </c>
      <c r="M868" s="202">
        <f>+INDEX(WP!$A:$AN,MATCH(F869,WP!$B:$B,0),7)</f>
        <v>21</v>
      </c>
      <c r="N868" s="202" t="e" vm="337">
        <f>IFERROR(_xlfn.IMAGE("https://natalie.tf/wp-content/uploads/2023/11/DLV3_Icon_Affinity_"&amp;O868&amp;".png"),"")</f>
        <v>#VALUE!</v>
      </c>
      <c r="O868" s="203" t="str">
        <f>IF(INDEX(WP!$A:$AN,MATCH(F869,WP!$B:$B,0),8)=0,"None",INDEX(WP!$A:$AN,MATCH(F869,WP!$B:$B,0),8))</f>
        <v>Serpent</v>
      </c>
      <c r="P868" s="8" t="e" vm="645">
        <f>_xlfn.IMAGE("https://natalie.tf/wp-content/uploads/2023/10/DLV3_Icon_Ability_"&amp;INDEX('WP-A'!$A$1:$Z$498,MATCH('WP-Print'!Q868,'WP-A'!$A:$A,0),MATCH("Icon",'WP-A'!$A$1:$Z$1,0))&amp;".png")</f>
        <v>#VALUE!</v>
      </c>
      <c r="Q868" s="231" t="str">
        <f>+INDEX(WP!$A:$AN,MATCH(F869,WP!$B:$B,0),MATCH("Ability",WP!$A$2:$AN$2,0))</f>
        <v>Flashburned Punisher +20%</v>
      </c>
      <c r="R868" s="734" t="str">
        <f>+INDEX(WP!$A:$AN,MATCH(F869,WP!$B:$B,0),MATCH("Obtain From",WP!$A$2:$AN$2,0))</f>
        <v>Clear A Twisted Hero: Standard (The Blood That Binds)</v>
      </c>
    </row>
    <row r="869" spans="1:18" ht="22.5" customHeight="1" x14ac:dyDescent="0.2">
      <c r="A869" s="204" t="str">
        <f>TEXT(A866+1,"000")</f>
        <v>289</v>
      </c>
      <c r="B869" s="729"/>
      <c r="C869" s="8"/>
      <c r="D869" s="729"/>
      <c r="E869" s="8"/>
      <c r="F869" s="200" t="str">
        <f>"WP-"&amp;A869</f>
        <v>WP-289</v>
      </c>
      <c r="G869" s="200">
        <f>+INDEX(WP!$A:$AN,MATCH(F869,WP!$B:$B,0),MATCH("ID",WP!$A$2:$AN$2,0))</f>
        <v>400495</v>
      </c>
      <c r="I869" s="8"/>
      <c r="J869" s="180" t="s">
        <v>10762</v>
      </c>
      <c r="K869" s="201">
        <f>+INDEX(WP!$A:$AN,MATCH(F869,WP!$B:$B,0),14)</f>
        <v>4</v>
      </c>
      <c r="L869" s="202">
        <f>+INDEX(WP!$A:$AN,MATCH(F869,WP!$B:$B,0),15)</f>
        <v>130</v>
      </c>
      <c r="M869" s="202">
        <f>+INDEX(WP!$A:$AN,MATCH(F869,WP!$B:$B,0),16)</f>
        <v>80</v>
      </c>
      <c r="N869" s="202" t="e" vm="337">
        <f>IFERROR(_xlfn.IMAGE("https://natalie.tf/wp-content/uploads/2023/11/DLV3_Icon_Affinity_"&amp;O869&amp;".png"),"")</f>
        <v>#VALUE!</v>
      </c>
      <c r="O869" s="203" t="str">
        <f>+INDEX(WP!$A:$AN,MATCH(F869,WP!$B:$B,0),17)</f>
        <v>Serpent</v>
      </c>
      <c r="P869" s="8" t="e" vm="645">
        <f>_xlfn.IMAGE("https://natalie.tf/wp-content/uploads/2023/10/DLV3_Icon_Ability_"&amp;INDEX('WP-A'!$A$1:$Z$498,MATCH('WP-Print'!Q869,'WP-A'!$A:$A,0),MATCH("Icon",'WP-A'!$A$1:$Z$1,0))&amp;".png")</f>
        <v>#VALUE!</v>
      </c>
      <c r="Q869" s="231" t="str">
        <f>+INDEX(WP!$A:$AN,MATCH(F869,WP!$B:$B,0),MATCH("Ability V3",WP!$A$2:$AN$2,0))</f>
        <v>Flashburned Punisher +20%</v>
      </c>
      <c r="R869" s="735"/>
    </row>
    <row r="870" spans="1:18" ht="7.5" customHeight="1" x14ac:dyDescent="0.2">
      <c r="A870" t="s">
        <v>10763</v>
      </c>
    </row>
    <row r="871" spans="1:18" ht="22.5" customHeight="1" x14ac:dyDescent="0.2">
      <c r="B871" s="729" t="e" vm="925">
        <f>_xlfn.IMAGE("https://natalie.tf/wp-content/uploads/2023/10/DLV3_Icon_WP_"&amp;G872&amp;"_01.png")</f>
        <v>#VALUE!</v>
      </c>
      <c r="D871" s="730" t="e" vm="926">
        <f>_xlfn.IMAGE("https://natalie.tf/wp-content/uploads/2023/10/DLV3_Icon_WP_"&amp;G872&amp;"_02.png")</f>
        <v>#VALUE!</v>
      </c>
      <c r="F871" s="717" t="str">
        <f>+INDEX(WP!$A:$AN,MATCH(F872,WP!$B:$B,0),MATCH("Name",WP!$A$2:$AN$2,0))</f>
        <v>BFFs!</v>
      </c>
      <c r="G871" s="718"/>
      <c r="H871" s="719"/>
      <c r="J871" s="180" t="s">
        <v>10761</v>
      </c>
      <c r="K871" s="201">
        <f>+INDEX(WP!$A:$AN,MATCH(F872,WP!$B:$B,0),5)</f>
        <v>4</v>
      </c>
      <c r="L871" s="202">
        <f>+INDEX(WP!$A:$AN,MATCH(F872,WP!$B:$B,0),6)</f>
        <v>57</v>
      </c>
      <c r="M871" s="202">
        <f>+INDEX(WP!$A:$AN,MATCH(F872,WP!$B:$B,0),7)</f>
        <v>21</v>
      </c>
      <c r="N871" s="202" t="e" vm="344">
        <f>IFERROR(_xlfn.IMAGE("https://natalie.tf/wp-content/uploads/2023/11/DLV3_Icon_Affinity_"&amp;O871&amp;".png"),"")</f>
        <v>#VALUE!</v>
      </c>
      <c r="O871" s="203" t="str">
        <f>IF(INDEX(WP!$A:$AN,MATCH(F872,WP!$B:$B,0),8)=0,"None",INDEX(WP!$A:$AN,MATCH(F872,WP!$B:$B,0),8))</f>
        <v>Eagle</v>
      </c>
      <c r="P871" s="8" t="e" vm="444">
        <f>_xlfn.IMAGE("https://natalie.tf/wp-content/uploads/2023/10/DLV3_Icon_Ability_"&amp;INDEX('WP-A'!$A$1:$Z$498,MATCH('WP-Print'!Q871,'WP-A'!$A:$A,0),MATCH("Icon",'WP-A'!$A$1:$Z$1,0))&amp;".png")</f>
        <v>#VALUE!</v>
      </c>
      <c r="Q871" s="231" t="str">
        <f>+INDEX(WP!$A:$AN,MATCH(F872,WP!$B:$B,0),MATCH("Ability",WP!$A$2:$AN$2,0))</f>
        <v>(Water) Buff Skill Time +25%</v>
      </c>
      <c r="R871" s="734" t="str">
        <f>+INDEX(WP!$A:$AN,MATCH(F872,WP!$B:$B,0),MATCH("Obtain From",WP!$A$2:$AN$2,0))</f>
        <v>Clear Repelling the Black Mana Forces: Expert (The Blood That Binds)</v>
      </c>
    </row>
    <row r="872" spans="1:18" ht="22.5" customHeight="1" x14ac:dyDescent="0.2">
      <c r="A872" s="204" t="str">
        <f>TEXT(A869+1,"000")</f>
        <v>290</v>
      </c>
      <c r="B872" s="729"/>
      <c r="C872" s="8"/>
      <c r="D872" s="729"/>
      <c r="E872" s="8"/>
      <c r="F872" s="200" t="str">
        <f>"WP-"&amp;A872</f>
        <v>WP-290</v>
      </c>
      <c r="G872" s="200">
        <f>+INDEX(WP!$A:$AN,MATCH(F872,WP!$B:$B,0),MATCH("ID",WP!$A$2:$AN$2,0))</f>
        <v>400246</v>
      </c>
      <c r="I872" s="8"/>
      <c r="J872" s="180" t="s">
        <v>10762</v>
      </c>
      <c r="K872" s="201">
        <f>+INDEX(WP!$A:$AN,MATCH(F872,WP!$B:$B,0),14)</f>
        <v>4</v>
      </c>
      <c r="L872" s="202">
        <f>+INDEX(WP!$A:$AN,MATCH(F872,WP!$B:$B,0),15)</f>
        <v>130</v>
      </c>
      <c r="M872" s="202">
        <f>+INDEX(WP!$A:$AN,MATCH(F872,WP!$B:$B,0),16)</f>
        <v>80</v>
      </c>
      <c r="N872" s="202" t="e" vm="344">
        <f>IFERROR(_xlfn.IMAGE("https://natalie.tf/wp-content/uploads/2023/11/DLV3_Icon_Affinity_"&amp;O872&amp;".png"),"")</f>
        <v>#VALUE!</v>
      </c>
      <c r="O872" s="203" t="str">
        <f>+INDEX(WP!$A:$AN,MATCH(F872,WP!$B:$B,0),17)</f>
        <v>Eagle</v>
      </c>
      <c r="P872" s="8" t="e" vm="444">
        <f>_xlfn.IMAGE("https://natalie.tf/wp-content/uploads/2023/10/DLV3_Icon_Ability_"&amp;INDEX('WP-A'!$A$1:$Z$498,MATCH('WP-Print'!Q872,'WP-A'!$A:$A,0),MATCH("Icon",'WP-A'!$A$1:$Z$1,0))&amp;".png")</f>
        <v>#VALUE!</v>
      </c>
      <c r="Q872" s="231" t="str">
        <f>+INDEX(WP!$A:$AN,MATCH(F872,WP!$B:$B,0),MATCH("Ability V3",WP!$A$2:$AN$2,0))</f>
        <v>(Water) Buff Skill Time +25%</v>
      </c>
      <c r="R872" s="735"/>
    </row>
    <row r="873" spans="1:18" ht="7.5" customHeight="1" x14ac:dyDescent="0.2">
      <c r="A873" t="s">
        <v>10763</v>
      </c>
    </row>
    <row r="874" spans="1:18" ht="22.5" customHeight="1" x14ac:dyDescent="0.2">
      <c r="B874" s="729" t="e" vm="927">
        <f>_xlfn.IMAGE("https://natalie.tf/wp-content/uploads/2023/10/DLV3_Icon_WP_"&amp;G875&amp;"_01.png")</f>
        <v>#VALUE!</v>
      </c>
      <c r="D874" s="730" t="e" vm="928">
        <f>_xlfn.IMAGE("https://natalie.tf/wp-content/uploads/2023/10/DLV3_Icon_WP_"&amp;G875&amp;"_02.png")</f>
        <v>#VALUE!</v>
      </c>
      <c r="F874" s="717" t="str">
        <f>+INDEX(WP!$A:$AN,MATCH(F875,WP!$B:$B,0),MATCH("Name",WP!$A$2:$AN$2,0))</f>
        <v>A Butler's Smile</v>
      </c>
      <c r="G874" s="718"/>
      <c r="H874" s="719"/>
      <c r="J874" s="180" t="s">
        <v>10761</v>
      </c>
      <c r="K874" s="201">
        <f>+INDEX(WP!$A:$AN,MATCH(F875,WP!$B:$B,0),5)</f>
        <v>4</v>
      </c>
      <c r="L874" s="202">
        <f>+INDEX(WP!$A:$AN,MATCH(F875,WP!$B:$B,0),6)</f>
        <v>57</v>
      </c>
      <c r="M874" s="202">
        <f>+INDEX(WP!$A:$AN,MATCH(F875,WP!$B:$B,0),7)</f>
        <v>21</v>
      </c>
      <c r="N874" s="202" t="e" vm="338">
        <f>IFERROR(_xlfn.IMAGE("https://natalie.tf/wp-content/uploads/2023/11/DLV3_Icon_Affinity_"&amp;O874&amp;".png"),"")</f>
        <v>#VALUE!</v>
      </c>
      <c r="O874" s="203" t="str">
        <f>IF(INDEX(WP!$A:$AN,MATCH(F875,WP!$B:$B,0),8)=0,"None",INDEX(WP!$A:$AN,MATCH(F875,WP!$B:$B,0),8))</f>
        <v>Wolf</v>
      </c>
      <c r="P874" s="8" t="e" vm="635">
        <f>_xlfn.IMAGE("https://natalie.tf/wp-content/uploads/2023/10/DLV3_Icon_Ability_"&amp;INDEX('WP-A'!$A$1:$Z$498,MATCH('WP-Print'!Q874,'WP-A'!$A:$A,0),MATCH("Icon",'WP-A'!$A$1:$Z$1,0))&amp;".png")</f>
        <v>#VALUE!</v>
      </c>
      <c r="Q874" s="231" t="str">
        <f>+INDEX(WP!$A:$AN,MATCH(F875,WP!$B:$B,0),MATCH("Ability",WP!$A$2:$AN$2,0))</f>
        <v>Scorchrent Punisher +20%</v>
      </c>
      <c r="R874" s="734" t="str">
        <f>+INDEX(WP!$A:$AN,MATCH(F875,WP!$B:$B,0),MATCH("Obtain From",WP!$A$2:$AN$2,0))</f>
        <v>Clear Emile's Trial: Standard (Operation: At Your Service)</v>
      </c>
    </row>
    <row r="875" spans="1:18" ht="22.5" customHeight="1" x14ac:dyDescent="0.2">
      <c r="A875" s="204" t="str">
        <f>TEXT(A872+1,"000")</f>
        <v>291</v>
      </c>
      <c r="B875" s="729"/>
      <c r="C875" s="8"/>
      <c r="D875" s="729"/>
      <c r="E875" s="8"/>
      <c r="F875" s="200" t="str">
        <f>"WP-"&amp;A875</f>
        <v>WP-291</v>
      </c>
      <c r="G875" s="200">
        <f>+INDEX(WP!$A:$AN,MATCH(F875,WP!$B:$B,0),MATCH("ID",WP!$A$2:$AN$2,0))</f>
        <v>400499</v>
      </c>
      <c r="I875" s="8"/>
      <c r="J875" s="180" t="s">
        <v>10762</v>
      </c>
      <c r="K875" s="201">
        <f>+INDEX(WP!$A:$AN,MATCH(F875,WP!$B:$B,0),14)</f>
        <v>4</v>
      </c>
      <c r="L875" s="202">
        <f>+INDEX(WP!$A:$AN,MATCH(F875,WP!$B:$B,0),15)</f>
        <v>130</v>
      </c>
      <c r="M875" s="202">
        <f>+INDEX(WP!$A:$AN,MATCH(F875,WP!$B:$B,0),16)</f>
        <v>80</v>
      </c>
      <c r="N875" s="202" t="e" vm="338">
        <f>IFERROR(_xlfn.IMAGE("https://natalie.tf/wp-content/uploads/2023/11/DLV3_Icon_Affinity_"&amp;O875&amp;".png"),"")</f>
        <v>#VALUE!</v>
      </c>
      <c r="O875" s="203" t="str">
        <f>+INDEX(WP!$A:$AN,MATCH(F875,WP!$B:$B,0),17)</f>
        <v>Wolf</v>
      </c>
      <c r="P875" s="8" t="e" vm="635">
        <f>_xlfn.IMAGE("https://natalie.tf/wp-content/uploads/2023/10/DLV3_Icon_Ability_"&amp;INDEX('WP-A'!$A$1:$Z$498,MATCH('WP-Print'!Q875,'WP-A'!$A:$A,0),MATCH("Icon",'WP-A'!$A$1:$Z$1,0))&amp;".png")</f>
        <v>#VALUE!</v>
      </c>
      <c r="Q875" s="231" t="str">
        <f>+INDEX(WP!$A:$AN,MATCH(F875,WP!$B:$B,0),MATCH("Ability V3",WP!$A$2:$AN$2,0))</f>
        <v>Scorchrent Punisher +20%</v>
      </c>
      <c r="R875" s="735"/>
    </row>
    <row r="876" spans="1:18" ht="7.5" customHeight="1" x14ac:dyDescent="0.2">
      <c r="A876" t="s">
        <v>10763</v>
      </c>
    </row>
    <row r="877" spans="1:18" ht="22.5" customHeight="1" x14ac:dyDescent="0.2">
      <c r="B877" s="729" t="e" vm="929">
        <f>_xlfn.IMAGE("https://natalie.tf/wp-content/uploads/2023/10/DLV3_Icon_WP_"&amp;G878&amp;"_01.png")</f>
        <v>#VALUE!</v>
      </c>
      <c r="D877" s="730" t="e" vm="930">
        <f>_xlfn.IMAGE("https://natalie.tf/wp-content/uploads/2023/10/DLV3_Icon_WP_"&amp;G878&amp;"_02.png")</f>
        <v>#VALUE!</v>
      </c>
      <c r="F877" s="717" t="str">
        <f>+INDEX(WP!$A:$AN,MATCH(F878,WP!$B:$B,0),MATCH("Name",WP!$A$2:$AN$2,0))</f>
        <v>Hand in Hand</v>
      </c>
      <c r="G877" s="718"/>
      <c r="H877" s="719"/>
      <c r="J877" s="180" t="s">
        <v>10761</v>
      </c>
      <c r="K877" s="201">
        <f>+INDEX(WP!$A:$AN,MATCH(F878,WP!$B:$B,0),5)</f>
        <v>4</v>
      </c>
      <c r="L877" s="202">
        <f>+INDEX(WP!$A:$AN,MATCH(F878,WP!$B:$B,0),6)</f>
        <v>57</v>
      </c>
      <c r="M877" s="202">
        <f>+INDEX(WP!$A:$AN,MATCH(F878,WP!$B:$B,0),7)</f>
        <v>21</v>
      </c>
      <c r="N877" s="202" t="e" vm="352">
        <f>IFERROR(_xlfn.IMAGE("https://natalie.tf/wp-content/uploads/2023/11/DLV3_Icon_Affinity_"&amp;O877&amp;".png"),"")</f>
        <v>#VALUE!</v>
      </c>
      <c r="O877" s="203" t="str">
        <f>IF(INDEX(WP!$A:$AN,MATCH(F878,WP!$B:$B,0),8)=0,"None",INDEX(WP!$A:$AN,MATCH(F878,WP!$B:$B,0),8))</f>
        <v>Fish</v>
      </c>
      <c r="P877" s="8" t="e" vm="330">
        <f>_xlfn.IMAGE("https://natalie.tf/wp-content/uploads/2023/10/DLV3_Icon_Ability_"&amp;INDEX('WP-A'!$A$1:$Z$498,MATCH('WP-Print'!Q877,'WP-A'!$A:$A,0),MATCH("Icon",'WP-A'!$A$1:$Z$1,0))&amp;".png")</f>
        <v>#VALUE!</v>
      </c>
      <c r="Q877" s="231" t="str">
        <f>+INDEX(WP!$A:$AN,MATCH(F878,WP!$B:$B,0),MATCH("Ability",WP!$A$2:$AN$2,0))</f>
        <v>(Wind) Skill Haste +7%</v>
      </c>
      <c r="R877" s="734" t="str">
        <f>+INDEX(WP!$A:$AN,MATCH(F878,WP!$B:$B,0),MATCH("Obtain From",WP!$A$2:$AN$2,0))</f>
        <v>Clear Repelling the Imperial Forces: Expert (Operation: At Your Service)</v>
      </c>
    </row>
    <row r="878" spans="1:18" ht="22.5" customHeight="1" x14ac:dyDescent="0.2">
      <c r="A878" s="204" t="str">
        <f>TEXT(A875+1,"000")</f>
        <v>292</v>
      </c>
      <c r="B878" s="729"/>
      <c r="C878" s="8"/>
      <c r="D878" s="729"/>
      <c r="E878" s="8"/>
      <c r="F878" s="200" t="str">
        <f>"WP-"&amp;A878</f>
        <v>WP-292</v>
      </c>
      <c r="G878" s="200">
        <f>+INDEX(WP!$A:$AN,MATCH(F878,WP!$B:$B,0),MATCH("ID",WP!$A$2:$AN$2,0))</f>
        <v>400498</v>
      </c>
      <c r="I878" s="8"/>
      <c r="J878" s="180" t="s">
        <v>10762</v>
      </c>
      <c r="K878" s="201">
        <f>+INDEX(WP!$A:$AN,MATCH(F878,WP!$B:$B,0),14)</f>
        <v>4</v>
      </c>
      <c r="L878" s="202">
        <f>+INDEX(WP!$A:$AN,MATCH(F878,WP!$B:$B,0),15)</f>
        <v>130</v>
      </c>
      <c r="M878" s="202">
        <f>+INDEX(WP!$A:$AN,MATCH(F878,WP!$B:$B,0),16)</f>
        <v>80</v>
      </c>
      <c r="N878" s="202" t="e" vm="352">
        <f>IFERROR(_xlfn.IMAGE("https://natalie.tf/wp-content/uploads/2023/11/DLV3_Icon_Affinity_"&amp;O878&amp;".png"),"")</f>
        <v>#VALUE!</v>
      </c>
      <c r="O878" s="203" t="str">
        <f>+INDEX(WP!$A:$AN,MATCH(F878,WP!$B:$B,0),17)</f>
        <v>Fish</v>
      </c>
      <c r="P878" s="8" t="e" vm="330">
        <f>_xlfn.IMAGE("https://natalie.tf/wp-content/uploads/2023/10/DLV3_Icon_Ability_"&amp;INDEX('WP-A'!$A$1:$Z$498,MATCH('WP-Print'!Q878,'WP-A'!$A:$A,0),MATCH("Icon",'WP-A'!$A$1:$Z$1,0))&amp;".png")</f>
        <v>#VALUE!</v>
      </c>
      <c r="Q878" s="231" t="str">
        <f>+INDEX(WP!$A:$AN,MATCH(F878,WP!$B:$B,0),MATCH("Ability V3",WP!$A$2:$AN$2,0))</f>
        <v>(Wind) Skill Haste +7%</v>
      </c>
      <c r="R878" s="735"/>
    </row>
    <row r="879" spans="1:18" ht="7.5" customHeight="1" x14ac:dyDescent="0.2">
      <c r="A879" t="s">
        <v>10763</v>
      </c>
    </row>
    <row r="880" spans="1:18" ht="22.5" customHeight="1" x14ac:dyDescent="0.2">
      <c r="B880" s="729" t="e" vm="931">
        <f>_xlfn.IMAGE("https://natalie.tf/wp-content/uploads/2023/10/DLV3_Icon_WP_"&amp;G881&amp;"_01.png")</f>
        <v>#VALUE!</v>
      </c>
      <c r="D880" s="730" t="e" vm="932">
        <f>_xlfn.IMAGE("https://natalie.tf/wp-content/uploads/2023/10/DLV3_Icon_WP_"&amp;G881&amp;"_02.png")</f>
        <v>#VALUE!</v>
      </c>
      <c r="F880" s="717" t="str">
        <f>+INDEX(WP!$A:$AN,MATCH(F881,WP!$B:$B,0),MATCH("Name",WP!$A$2:$AN$2,0))</f>
        <v>Scorn the Destrier</v>
      </c>
      <c r="G880" s="718"/>
      <c r="H880" s="719"/>
      <c r="J880" s="180" t="s">
        <v>10761</v>
      </c>
      <c r="K880" s="201">
        <f>+INDEX(WP!$A:$AN,MATCH(F881,WP!$B:$B,0),5)</f>
        <v>3</v>
      </c>
      <c r="L880" s="202">
        <f>+INDEX(WP!$A:$AN,MATCH(F881,WP!$B:$B,0),6)</f>
        <v>35</v>
      </c>
      <c r="M880" s="202">
        <f>+INDEX(WP!$A:$AN,MATCH(F881,WP!$B:$B,0),7)</f>
        <v>13</v>
      </c>
      <c r="N880" s="202" t="e" vm="343">
        <f>IFERROR(_xlfn.IMAGE("https://natalie.tf/wp-content/uploads/2023/11/DLV3_Icon_Affinity_"&amp;O880&amp;".png"),"")</f>
        <v>#VALUE!</v>
      </c>
      <c r="O880" s="203" t="str">
        <f>IF(INDEX(WP!$A:$AN,MATCH(F881,WP!$B:$B,0),8)=0,"None",INDEX(WP!$A:$AN,MATCH(F881,WP!$B:$B,0),8))</f>
        <v>Axe</v>
      </c>
      <c r="P880" s="8" t="e" vm="376">
        <f>_xlfn.IMAGE("https://natalie.tf/wp-content/uploads/2023/10/DLV3_Icon_Ability_"&amp;INDEX('WP-A'!$A$1:$Z$498,MATCH('WP-Print'!Q880,'WP-A'!$A:$A,0),MATCH("Icon",'WP-A'!$A$1:$Z$1,0))&amp;".png")</f>
        <v>#VALUE!</v>
      </c>
      <c r="Q880" s="231" t="str">
        <f>+INDEX(WP!$A:$AN,MATCH(F881,WP!$B:$B,0),MATCH("Ability",WP!$A$2:$AN$2,0))</f>
        <v>Broken Punisher +20%</v>
      </c>
      <c r="R880" s="734" t="str">
        <f>+INDEX(WP!$A:$AN,MATCH(F881,WP!$B:$B,0),MATCH("Obtain From",WP!$A$2:$AN$2,0))</f>
        <v>Obtain From Ch. 14 EX 1 Chest (Hard) (Non-Endeavor)</v>
      </c>
    </row>
    <row r="881" spans="1:18" ht="22.5" customHeight="1" x14ac:dyDescent="0.2">
      <c r="A881" s="204" t="str">
        <f>TEXT(A878+1,"000")</f>
        <v>293</v>
      </c>
      <c r="B881" s="729"/>
      <c r="C881" s="8"/>
      <c r="D881" s="729"/>
      <c r="E881" s="8"/>
      <c r="F881" s="200" t="str">
        <f>"WP-"&amp;A881</f>
        <v>WP-293</v>
      </c>
      <c r="G881" s="200">
        <f>+INDEX(WP!$A:$AN,MATCH(F881,WP!$B:$B,0),MATCH("ID",WP!$A$2:$AN$2,0))</f>
        <v>400006</v>
      </c>
      <c r="I881" s="8"/>
      <c r="J881" s="180" t="s">
        <v>10762</v>
      </c>
      <c r="K881" s="201">
        <f>+INDEX(WP!$A:$AN,MATCH(F881,WP!$B:$B,0),14)</f>
        <v>4</v>
      </c>
      <c r="L881" s="202">
        <f>+INDEX(WP!$A:$AN,MATCH(F881,WP!$B:$B,0),15)</f>
        <v>130</v>
      </c>
      <c r="M881" s="202">
        <f>+INDEX(WP!$A:$AN,MATCH(F881,WP!$B:$B,0),16)</f>
        <v>80</v>
      </c>
      <c r="N881" s="202" t="e" vm="343">
        <f>IFERROR(_xlfn.IMAGE("https://natalie.tf/wp-content/uploads/2023/11/DLV3_Icon_Affinity_"&amp;O881&amp;".png"),"")</f>
        <v>#VALUE!</v>
      </c>
      <c r="O881" s="203" t="str">
        <f>+INDEX(WP!$A:$AN,MATCH(F881,WP!$B:$B,0),17)</f>
        <v>Axe</v>
      </c>
      <c r="P881" s="8" t="e" vm="414">
        <f>_xlfn.IMAGE("https://natalie.tf/wp-content/uploads/2023/10/DLV3_Icon_Ability_"&amp;INDEX('WP-A'!$A$1:$Z$498,MATCH('WP-Print'!Q881,'WP-A'!$A:$A,0),MATCH("Icon",'WP-A'!$A$1:$Z$1,0))&amp;".png")</f>
        <v>#VALUE!</v>
      </c>
      <c r="Q881" s="231" t="str">
        <f>+INDEX(WP!$A:$AN,MATCH(F881,WP!$B:$B,0),MATCH("Ability V3",WP!$A$2:$AN$2,0))</f>
        <v>(Staff) Critical Damage +20%</v>
      </c>
      <c r="R881" s="735"/>
    </row>
    <row r="882" spans="1:18" ht="7.5" customHeight="1" x14ac:dyDescent="0.2">
      <c r="A882" t="s">
        <v>10763</v>
      </c>
    </row>
    <row r="883" spans="1:18" ht="22.5" customHeight="1" x14ac:dyDescent="0.2">
      <c r="B883" s="729" t="e" vm="933">
        <f>_xlfn.IMAGE("https://natalie.tf/wp-content/uploads/2023/10/DLV3_Icon_WP_"&amp;G884&amp;"_01.png")</f>
        <v>#VALUE!</v>
      </c>
      <c r="D883" s="730" t="e" vm="934">
        <f>_xlfn.IMAGE("https://natalie.tf/wp-content/uploads/2023/10/DLV3_Icon_WP_"&amp;G884&amp;"_02.png")</f>
        <v>#VALUE!</v>
      </c>
      <c r="F883" s="717" t="str">
        <f>+INDEX(WP!$A:$AN,MATCH(F884,WP!$B:$B,0),MATCH("Name",WP!$A$2:$AN$2,0))</f>
        <v>Halo</v>
      </c>
      <c r="G883" s="718"/>
      <c r="H883" s="719"/>
      <c r="J883" s="180" t="s">
        <v>10761</v>
      </c>
      <c r="K883" s="201">
        <f>+INDEX(WP!$A:$AN,MATCH(F884,WP!$B:$B,0),5)</f>
        <v>3</v>
      </c>
      <c r="L883" s="202">
        <f>+INDEX(WP!$A:$AN,MATCH(F884,WP!$B:$B,0),6)</f>
        <v>36</v>
      </c>
      <c r="M883" s="202">
        <f>+INDEX(WP!$A:$AN,MATCH(F884,WP!$B:$B,0),7)</f>
        <v>12</v>
      </c>
      <c r="N883" s="202" t="e" vm="342">
        <f>IFERROR(_xlfn.IMAGE("https://natalie.tf/wp-content/uploads/2023/11/DLV3_Icon_Affinity_"&amp;O883&amp;".png"),"")</f>
        <v>#VALUE!</v>
      </c>
      <c r="O883" s="203" t="str">
        <f>IF(INDEX(WP!$A:$AN,MATCH(F884,WP!$B:$B,0),8)=0,"None",INDEX(WP!$A:$AN,MATCH(F884,WP!$B:$B,0),8))</f>
        <v>Bow</v>
      </c>
      <c r="P883" s="8" t="e" vm="349">
        <f>_xlfn.IMAGE("https://natalie.tf/wp-content/uploads/2023/10/DLV3_Icon_Ability_"&amp;INDEX('WP-A'!$A$1:$Z$498,MATCH('WP-Print'!Q883,'WP-A'!$A:$A,0),MATCH("Icon",'WP-A'!$A$1:$Z$1,0))&amp;".png")</f>
        <v>#VALUE!</v>
      </c>
      <c r="Q883" s="231" t="str">
        <f>+INDEX(WP!$A:$AN,MATCH(F884,WP!$B:$B,0),MATCH("Ability",WP!$A$2:$AN$2,0))</f>
        <v>Recovery Potency +8%</v>
      </c>
      <c r="R883" s="734" t="str">
        <f>+INDEX(WP!$A:$AN,MATCH(F884,WP!$B:$B,0),MATCH("Obtain From",WP!$A$2:$AN$2,0))</f>
        <v>Obtain From Ch. 11 EX 1 Chest (Normal) (Non-Endeavor)</v>
      </c>
    </row>
    <row r="884" spans="1:18" ht="22.5" customHeight="1" x14ac:dyDescent="0.2">
      <c r="A884" s="204" t="str">
        <f>TEXT(A881+1,"000")</f>
        <v>294</v>
      </c>
      <c r="B884" s="729"/>
      <c r="C884" s="8"/>
      <c r="D884" s="729"/>
      <c r="E884" s="8"/>
      <c r="F884" s="200" t="str">
        <f>"WP-"&amp;A884</f>
        <v>WP-294</v>
      </c>
      <c r="G884" s="200">
        <f>+INDEX(WP!$A:$AN,MATCH(F884,WP!$B:$B,0),MATCH("ID",WP!$A$2:$AN$2,0))</f>
        <v>400007</v>
      </c>
      <c r="I884" s="8"/>
      <c r="J884" s="180" t="s">
        <v>10762</v>
      </c>
      <c r="K884" s="201">
        <f>+INDEX(WP!$A:$AN,MATCH(F884,WP!$B:$B,0),14)</f>
        <v>4</v>
      </c>
      <c r="L884" s="202">
        <f>+INDEX(WP!$A:$AN,MATCH(F884,WP!$B:$B,0),15)</f>
        <v>130</v>
      </c>
      <c r="M884" s="202">
        <f>+INDEX(WP!$A:$AN,MATCH(F884,WP!$B:$B,0),16)</f>
        <v>80</v>
      </c>
      <c r="N884" s="202" t="e" vm="337">
        <f>IFERROR(_xlfn.IMAGE("https://natalie.tf/wp-content/uploads/2023/11/DLV3_Icon_Affinity_"&amp;O884&amp;".png"),"")</f>
        <v>#VALUE!</v>
      </c>
      <c r="O884" s="203" t="str">
        <f>+INDEX(WP!$A:$AN,MATCH(F884,WP!$B:$B,0),17)</f>
        <v>Serpent</v>
      </c>
      <c r="P884" s="8" t="e" vm="349">
        <f>_xlfn.IMAGE("https://natalie.tf/wp-content/uploads/2023/10/DLV3_Icon_Ability_"&amp;INDEX('WP-A'!$A$1:$Z$498,MATCH('WP-Print'!Q884,'WP-A'!$A:$A,0),MATCH("Icon",'WP-A'!$A$1:$Z$1,0))&amp;".png")</f>
        <v>#VALUE!</v>
      </c>
      <c r="Q884" s="231" t="str">
        <f>+INDEX(WP!$A:$AN,MATCH(F884,WP!$B:$B,0),MATCH("Ability V3",WP!$A$2:$AN$2,0))</f>
        <v>Recovery Potency +12%</v>
      </c>
      <c r="R884" s="735"/>
    </row>
    <row r="885" spans="1:18" ht="22.5" customHeight="1" x14ac:dyDescent="0.2">
      <c r="A885" t="s">
        <v>10763</v>
      </c>
    </row>
    <row r="886" spans="1:18" ht="22.5" customHeight="1" x14ac:dyDescent="0.2">
      <c r="B886" s="729" t="e" vm="935">
        <f>_xlfn.IMAGE("https://natalie.tf/wp-content/uploads/2023/10/DLV3_Icon_WP_"&amp;G887&amp;"_01.png")</f>
        <v>#VALUE!</v>
      </c>
      <c r="D886" s="730" t="e" vm="936">
        <f>_xlfn.IMAGE("https://natalie.tf/wp-content/uploads/2023/10/DLV3_Icon_WP_"&amp;G887&amp;"_02.png")</f>
        <v>#VALUE!</v>
      </c>
      <c r="F886" s="717" t="str">
        <f>+INDEX(WP!$A:$AN,MATCH(F887,WP!$B:$B,0),MATCH("Name",WP!$A$2:$AN$2,0))</f>
        <v>Teatime</v>
      </c>
      <c r="G886" s="718"/>
      <c r="H886" s="719"/>
      <c r="J886" s="180" t="s">
        <v>10761</v>
      </c>
      <c r="K886" s="201">
        <f>+INDEX(WP!$A:$AN,MATCH(F887,WP!$B:$B,0),5)</f>
        <v>3</v>
      </c>
      <c r="L886" s="202">
        <f>+INDEX(WP!$A:$AN,MATCH(F887,WP!$B:$B,0),6)</f>
        <v>36</v>
      </c>
      <c r="M886" s="202">
        <f>+INDEX(WP!$A:$AN,MATCH(F887,WP!$B:$B,0),7)</f>
        <v>12</v>
      </c>
      <c r="N886" s="202" t="e" vm="341">
        <f>IFERROR(_xlfn.IMAGE("https://natalie.tf/wp-content/uploads/2023/11/DLV3_Icon_Affinity_"&amp;O886&amp;".png"),"")</f>
        <v>#VALUE!</v>
      </c>
      <c r="O886" s="203" t="str">
        <f>IF(INDEX(WP!$A:$AN,MATCH(F887,WP!$B:$B,0),8)=0,"None",INDEX(WP!$A:$AN,MATCH(F887,WP!$B:$B,0),8))</f>
        <v>Crown</v>
      </c>
      <c r="P886" s="8" t="e" vm="411">
        <f>_xlfn.IMAGE("https://natalie.tf/wp-content/uploads/2023/10/DLV3_Icon_Ability_"&amp;INDEX('WP-A'!$A$1:$Z$498,MATCH('WP-Print'!Q886,'WP-A'!$A:$A,0),MATCH("Icon",'WP-A'!$A$1:$Z$1,0))&amp;".png")</f>
        <v>#VALUE!</v>
      </c>
      <c r="Q886" s="231" t="str">
        <f>+INDEX(WP!$A:$AN,MATCH(F887,WP!$B:$B,0),MATCH("Ability",WP!$A$2:$AN$2,0))</f>
        <v>Skill Prep +20%</v>
      </c>
      <c r="R886" s="734" t="str">
        <f>+INDEX(WP!$A:$AN,MATCH(F887,WP!$B:$B,0),MATCH("Obtain From",WP!$A$2:$AN$2,0))</f>
        <v>Clear Avenue to Fortune: Standard</v>
      </c>
    </row>
    <row r="887" spans="1:18" ht="22.5" customHeight="1" x14ac:dyDescent="0.2">
      <c r="A887" s="204" t="str">
        <f>TEXT(A884+1,"000")</f>
        <v>295</v>
      </c>
      <c r="B887" s="729"/>
      <c r="C887" s="8"/>
      <c r="D887" s="729"/>
      <c r="E887" s="8"/>
      <c r="F887" s="200" t="str">
        <f>"WP-"&amp;A887</f>
        <v>WP-295</v>
      </c>
      <c r="G887" s="200">
        <f>+INDEX(WP!$A:$AN,MATCH(F887,WP!$B:$B,0),MATCH("ID",WP!$A$2:$AN$2,0))</f>
        <v>400008</v>
      </c>
      <c r="I887" s="8"/>
      <c r="J887" s="180" t="s">
        <v>10762</v>
      </c>
      <c r="K887" s="201">
        <f>+INDEX(WP!$A:$AN,MATCH(F887,WP!$B:$B,0),14)</f>
        <v>4</v>
      </c>
      <c r="L887" s="202">
        <f>+INDEX(WP!$A:$AN,MATCH(F887,WP!$B:$B,0),15)</f>
        <v>130</v>
      </c>
      <c r="M887" s="202">
        <f>+INDEX(WP!$A:$AN,MATCH(F887,WP!$B:$B,0),16)</f>
        <v>80</v>
      </c>
      <c r="N887" s="202" t="e" vm="341">
        <f>IFERROR(_xlfn.IMAGE("https://natalie.tf/wp-content/uploads/2023/11/DLV3_Icon_Affinity_"&amp;O887&amp;".png"),"")</f>
        <v>#VALUE!</v>
      </c>
      <c r="O887" s="203" t="str">
        <f>+INDEX(WP!$A:$AN,MATCH(F887,WP!$B:$B,0),17)</f>
        <v>Crown</v>
      </c>
      <c r="P887" s="8" t="e" vm="411">
        <f>_xlfn.IMAGE("https://natalie.tf/wp-content/uploads/2023/10/DLV3_Icon_Ability_"&amp;INDEX('WP-A'!$A$1:$Z$498,MATCH('WP-Print'!Q887,'WP-A'!$A:$A,0),MATCH("Icon",'WP-A'!$A$1:$Z$1,0))&amp;".png")</f>
        <v>#VALUE!</v>
      </c>
      <c r="Q887" s="231" t="str">
        <f>+INDEX(WP!$A:$AN,MATCH(F887,WP!$B:$B,0),MATCH("Ability V3",WP!$A$2:$AN$2,0))</f>
        <v>Skill Prep +50%</v>
      </c>
      <c r="R887" s="735"/>
    </row>
    <row r="888" spans="1:18" ht="7.5" customHeight="1" x14ac:dyDescent="0.2">
      <c r="A888" t="s">
        <v>10763</v>
      </c>
    </row>
    <row r="889" spans="1:18" ht="22.5" customHeight="1" x14ac:dyDescent="0.2">
      <c r="B889" s="729" t="e" vm="937">
        <f>_xlfn.IMAGE("https://natalie.tf/wp-content/uploads/2023/10/DLV3_Icon_WP_"&amp;G890&amp;"_01.png")</f>
        <v>#VALUE!</v>
      </c>
      <c r="D889" s="730" t="e" vm="938">
        <f>_xlfn.IMAGE("https://natalie.tf/wp-content/uploads/2023/10/DLV3_Icon_WP_"&amp;G890&amp;"_02.png")</f>
        <v>#VALUE!</v>
      </c>
      <c r="F889" s="717" t="str">
        <f>+INDEX(WP!$A:$AN,MATCH(F890,WP!$B:$B,0),MATCH("Name",WP!$A$2:$AN$2,0))</f>
        <v>Bellathorna</v>
      </c>
      <c r="G889" s="718"/>
      <c r="H889" s="719"/>
      <c r="J889" s="180" t="s">
        <v>10761</v>
      </c>
      <c r="K889" s="201">
        <f>+INDEX(WP!$A:$AN,MATCH(F890,WP!$B:$B,0),5)</f>
        <v>3</v>
      </c>
      <c r="L889" s="202">
        <f>+INDEX(WP!$A:$AN,MATCH(F890,WP!$B:$B,0),6)</f>
        <v>36</v>
      </c>
      <c r="M889" s="202">
        <f>+INDEX(WP!$A:$AN,MATCH(F890,WP!$B:$B,0),7)</f>
        <v>12</v>
      </c>
      <c r="N889" s="202" t="e" vm="345">
        <f>IFERROR(_xlfn.IMAGE("https://natalie.tf/wp-content/uploads/2023/11/DLV3_Icon_Affinity_"&amp;O889&amp;".png"),"")</f>
        <v>#VALUE!</v>
      </c>
      <c r="O889" s="203" t="str">
        <f>IF(INDEX(WP!$A:$AN,MATCH(F890,WP!$B:$B,0),8)=0,"None",INDEX(WP!$A:$AN,MATCH(F890,WP!$B:$B,0),8))</f>
        <v>Staff</v>
      </c>
      <c r="P889" s="8" t="e" vm="444">
        <f>_xlfn.IMAGE("https://natalie.tf/wp-content/uploads/2023/10/DLV3_Icon_Ability_"&amp;INDEX('WP-A'!$A$1:$Z$498,MATCH('WP-Print'!Q889,'WP-A'!$A:$A,0),MATCH("Icon",'WP-A'!$A$1:$Z$1,0))&amp;".png")</f>
        <v>#VALUE!</v>
      </c>
      <c r="Q889" s="231" t="str">
        <f>+INDEX(WP!$A:$AN,MATCH(F890,WP!$B:$B,0),MATCH("Ability",WP!$A$2:$AN$2,0))</f>
        <v>Buff Skill Time +20%</v>
      </c>
      <c r="R889" s="734" t="str">
        <f>+INDEX(WP!$A:$AN,MATCH(F890,WP!$B:$B,0),MATCH("Obtain From",WP!$A$2:$AN$2,0))</f>
        <v>Clear Midgardsormr's Trial: Beginner</v>
      </c>
    </row>
    <row r="890" spans="1:18" ht="22.5" customHeight="1" x14ac:dyDescent="0.2">
      <c r="A890" s="204" t="str">
        <f>TEXT(A887+1,"000")</f>
        <v>296</v>
      </c>
      <c r="B890" s="729"/>
      <c r="C890" s="8"/>
      <c r="D890" s="729"/>
      <c r="E890" s="8"/>
      <c r="F890" s="200" t="str">
        <f>"WP-"&amp;A890</f>
        <v>WP-296</v>
      </c>
      <c r="G890" s="200">
        <f>+INDEX(WP!$A:$AN,MATCH(F890,WP!$B:$B,0),MATCH("ID",WP!$A$2:$AN$2,0))</f>
        <v>400009</v>
      </c>
      <c r="I890" s="8"/>
      <c r="J890" s="180" t="s">
        <v>10762</v>
      </c>
      <c r="K890" s="201">
        <f>+INDEX(WP!$A:$AN,MATCH(F890,WP!$B:$B,0),14)</f>
        <v>4</v>
      </c>
      <c r="L890" s="202">
        <f>+INDEX(WP!$A:$AN,MATCH(F890,WP!$B:$B,0),15)</f>
        <v>130</v>
      </c>
      <c r="M890" s="202">
        <f>+INDEX(WP!$A:$AN,MATCH(F890,WP!$B:$B,0),16)</f>
        <v>80</v>
      </c>
      <c r="N890" s="202" t="e" vm="356">
        <f>IFERROR(_xlfn.IMAGE("https://natalie.tf/wp-content/uploads/2023/11/DLV3_Icon_Affinity_"&amp;O890&amp;".png"),"")</f>
        <v>#VALUE!</v>
      </c>
      <c r="O890" s="203" t="str">
        <f>+INDEX(WP!$A:$AN,MATCH(F890,WP!$B:$B,0),17)</f>
        <v>Deer</v>
      </c>
      <c r="P890" s="8" t="e" vm="444">
        <f>_xlfn.IMAGE("https://natalie.tf/wp-content/uploads/2023/10/DLV3_Icon_Ability_"&amp;INDEX('WP-A'!$A$1:$Z$498,MATCH('WP-Print'!Q890,'WP-A'!$A:$A,0),MATCH("Icon",'WP-A'!$A$1:$Z$1,0))&amp;".png")</f>
        <v>#VALUE!</v>
      </c>
      <c r="Q890" s="231" t="str">
        <f>+INDEX(WP!$A:$AN,MATCH(F890,WP!$B:$B,0),MATCH("Ability V3",WP!$A$2:$AN$2,0))</f>
        <v>(Wind) Buff Skill Time +25%</v>
      </c>
      <c r="R890" s="735"/>
    </row>
    <row r="891" spans="1:18" ht="7.5" customHeight="1" x14ac:dyDescent="0.2">
      <c r="A891" t="s">
        <v>10763</v>
      </c>
    </row>
    <row r="892" spans="1:18" ht="22.5" customHeight="1" x14ac:dyDescent="0.2">
      <c r="B892" s="729" t="e" vm="939">
        <f>_xlfn.IMAGE("https://natalie.tf/wp-content/uploads/2023/10/DLV3_Icon_WP_"&amp;G893&amp;"_01.png")</f>
        <v>#VALUE!</v>
      </c>
      <c r="D892" s="730" t="e" vm="940">
        <f>_xlfn.IMAGE("https://natalie.tf/wp-content/uploads/2023/10/DLV3_Icon_WP_"&amp;G893&amp;"_02.png")</f>
        <v>#VALUE!</v>
      </c>
      <c r="F892" s="717" t="str">
        <f>+INDEX(WP!$A:$AN,MATCH(F893,WP!$B:$B,0),MATCH("Name",WP!$A$2:$AN$2,0))</f>
        <v>Alberian Banner</v>
      </c>
      <c r="G892" s="718"/>
      <c r="H892" s="719"/>
      <c r="J892" s="180" t="s">
        <v>10761</v>
      </c>
      <c r="K892" s="201">
        <f>+INDEX(WP!$A:$AN,MATCH(F893,WP!$B:$B,0),5)</f>
        <v>3</v>
      </c>
      <c r="L892" s="202">
        <f>+INDEX(WP!$A:$AN,MATCH(F893,WP!$B:$B,0),6)</f>
        <v>35</v>
      </c>
      <c r="M892" s="202">
        <f>+INDEX(WP!$A:$AN,MATCH(F893,WP!$B:$B,0),7)</f>
        <v>13</v>
      </c>
      <c r="N892" s="202" t="e" vm="340">
        <f>IFERROR(_xlfn.IMAGE("https://natalie.tf/wp-content/uploads/2023/11/DLV3_Icon_Affinity_"&amp;O892&amp;".png"),"")</f>
        <v>#VALUE!</v>
      </c>
      <c r="O892" s="203" t="str">
        <f>IF(INDEX(WP!$A:$AN,MATCH(F893,WP!$B:$B,0),8)=0,"None",INDEX(WP!$A:$AN,MATCH(F893,WP!$B:$B,0),8))</f>
        <v>Lance</v>
      </c>
      <c r="P892" s="8" t="e" vm="7">
        <f>_xlfn.IMAGE("https://natalie.tf/wp-content/uploads/2023/10/DLV3_Icon_Ability_"&amp;INDEX('WP-A'!$A$1:$Z$498,MATCH('WP-Print'!Q892,'WP-A'!$A:$A,0),MATCH("Icon",'WP-A'!$A$1:$Z$1,0))&amp;".png")</f>
        <v>#VALUE!</v>
      </c>
      <c r="Q892" s="231" t="str">
        <f>+INDEX(WP!$A:$AN,MATCH(F893,WP!$B:$B,0),MATCH("Ability",WP!$A$2:$AN$2,0))</f>
        <v>Force Strike +30%</v>
      </c>
      <c r="R892" s="734" t="str">
        <f>+INDEX(WP!$A:$AN,MATCH(F893,WP!$B:$B,0),MATCH("Obtain From",WP!$A$2:$AN$2,0))</f>
        <v>Obtain From Ch. 06 EX 1 Chest (Hard) (Non-Endeavor)</v>
      </c>
    </row>
    <row r="893" spans="1:18" ht="22.5" customHeight="1" x14ac:dyDescent="0.2">
      <c r="A893" s="204" t="str">
        <f>TEXT(A890+1,"000")</f>
        <v>297</v>
      </c>
      <c r="B893" s="729"/>
      <c r="C893" s="8"/>
      <c r="D893" s="729"/>
      <c r="E893" s="8"/>
      <c r="F893" s="200" t="str">
        <f>"WP-"&amp;A893</f>
        <v>WP-297</v>
      </c>
      <c r="G893" s="200">
        <f>+INDEX(WP!$A:$AN,MATCH(F893,WP!$B:$B,0),MATCH("ID",WP!$A$2:$AN$2,0))</f>
        <v>400010</v>
      </c>
      <c r="I893" s="8"/>
      <c r="J893" s="180" t="s">
        <v>10762</v>
      </c>
      <c r="K893" s="201">
        <f>+INDEX(WP!$A:$AN,MATCH(F893,WP!$B:$B,0),14)</f>
        <v>4</v>
      </c>
      <c r="L893" s="202">
        <f>+INDEX(WP!$A:$AN,MATCH(F893,WP!$B:$B,0),15)</f>
        <v>130</v>
      </c>
      <c r="M893" s="202">
        <f>+INDEX(WP!$A:$AN,MATCH(F893,WP!$B:$B,0),16)</f>
        <v>80</v>
      </c>
      <c r="N893" s="202" t="e" vm="341">
        <f>IFERROR(_xlfn.IMAGE("https://natalie.tf/wp-content/uploads/2023/11/DLV3_Icon_Affinity_"&amp;O893&amp;".png"),"")</f>
        <v>#VALUE!</v>
      </c>
      <c r="O893" s="203" t="str">
        <f>+INDEX(WP!$A:$AN,MATCH(F893,WP!$B:$B,0),17)</f>
        <v>Crown</v>
      </c>
      <c r="P893" s="8" t="e" vm="7">
        <f>_xlfn.IMAGE("https://natalie.tf/wp-content/uploads/2023/10/DLV3_Icon_Ability_"&amp;INDEX('WP-A'!$A$1:$Z$498,MATCH('WP-Print'!Q893,'WP-A'!$A:$A,0),MATCH("Icon",'WP-A'!$A$1:$Z$1,0))&amp;".png")</f>
        <v>#VALUE!</v>
      </c>
      <c r="Q893" s="231" t="str">
        <f>+INDEX(WP!$A:$AN,MATCH(F893,WP!$B:$B,0),MATCH("Ability V3",WP!$A$2:$AN$2,0))</f>
        <v>Force Strike +40%</v>
      </c>
      <c r="R893" s="735"/>
    </row>
    <row r="894" spans="1:18" ht="7.5" customHeight="1" x14ac:dyDescent="0.2">
      <c r="A894" t="s">
        <v>10763</v>
      </c>
    </row>
    <row r="895" spans="1:18" ht="22.5" customHeight="1" x14ac:dyDescent="0.2">
      <c r="B895" s="729" t="e" vm="941">
        <f>_xlfn.IMAGE("https://natalie.tf/wp-content/uploads/2023/10/DLV3_Icon_WP_"&amp;G896&amp;"_01.png")</f>
        <v>#VALUE!</v>
      </c>
      <c r="D895" s="730" t="e" vm="942">
        <f>_xlfn.IMAGE("https://natalie.tf/wp-content/uploads/2023/10/DLV3_Icon_WP_"&amp;G896&amp;"_02.png")</f>
        <v>#VALUE!</v>
      </c>
      <c r="F895" s="717" t="str">
        <f>+INDEX(WP!$A:$AN,MATCH(F896,WP!$B:$B,0),MATCH("Name",WP!$A$2:$AN$2,0))</f>
        <v>Cry of the Horn</v>
      </c>
      <c r="G895" s="718"/>
      <c r="H895" s="719"/>
      <c r="J895" s="180" t="s">
        <v>10761</v>
      </c>
      <c r="K895" s="201">
        <f>+INDEX(WP!$A:$AN,MATCH(F896,WP!$B:$B,0),5)</f>
        <v>3</v>
      </c>
      <c r="L895" s="202">
        <f>+INDEX(WP!$A:$AN,MATCH(F896,WP!$B:$B,0),6)</f>
        <v>35</v>
      </c>
      <c r="M895" s="202">
        <f>+INDEX(WP!$A:$AN,MATCH(F896,WP!$B:$B,0),7)</f>
        <v>13</v>
      </c>
      <c r="N895" s="202" t="e" vm="343">
        <f>IFERROR(_xlfn.IMAGE("https://natalie.tf/wp-content/uploads/2023/11/DLV3_Icon_Affinity_"&amp;O895&amp;".png"),"")</f>
        <v>#VALUE!</v>
      </c>
      <c r="O895" s="203" t="str">
        <f>IF(INDEX(WP!$A:$AN,MATCH(F896,WP!$B:$B,0),8)=0,"None",INDEX(WP!$A:$AN,MATCH(F896,WP!$B:$B,0),8))</f>
        <v>Axe</v>
      </c>
      <c r="P895" s="8" t="e" vm="414">
        <f>_xlfn.IMAGE("https://natalie.tf/wp-content/uploads/2023/10/DLV3_Icon_Ability_"&amp;INDEX('WP-A'!$A$1:$Z$498,MATCH('WP-Print'!Q895,'WP-A'!$A:$A,0),MATCH("Icon",'WP-A'!$A$1:$Z$1,0))&amp;".png")</f>
        <v>#VALUE!</v>
      </c>
      <c r="Q895" s="231" t="str">
        <f>+INDEX(WP!$A:$AN,MATCH(F896,WP!$B:$B,0),MATCH("Ability",WP!$A$2:$AN$2,0))</f>
        <v>Critical Damage +13%</v>
      </c>
      <c r="R895" s="734" t="str">
        <f>+INDEX(WP!$A:$AN,MATCH(F896,WP!$B:$B,0),MATCH("Obtain From",WP!$A$2:$AN$2,0))</f>
        <v xml:space="preserve"> ()</v>
      </c>
    </row>
    <row r="896" spans="1:18" ht="22.5" customHeight="1" x14ac:dyDescent="0.2">
      <c r="A896" s="204" t="str">
        <f>TEXT(A893+1,"000")</f>
        <v>298</v>
      </c>
      <c r="B896" s="729"/>
      <c r="C896" s="8"/>
      <c r="D896" s="729"/>
      <c r="E896" s="8"/>
      <c r="F896" s="200" t="str">
        <f>"WP-"&amp;A896</f>
        <v>WP-298</v>
      </c>
      <c r="G896" s="200">
        <f>+INDEX(WP!$A:$AN,MATCH(F896,WP!$B:$B,0),MATCH("ID",WP!$A$2:$AN$2,0))</f>
        <v>400011</v>
      </c>
      <c r="I896" s="8"/>
      <c r="J896" s="180" t="s">
        <v>10762</v>
      </c>
      <c r="K896" s="201">
        <f>+INDEX(WP!$A:$AN,MATCH(F896,WP!$B:$B,0),14)</f>
        <v>4</v>
      </c>
      <c r="L896" s="202">
        <f>+INDEX(WP!$A:$AN,MATCH(F896,WP!$B:$B,0),15)</f>
        <v>130</v>
      </c>
      <c r="M896" s="202">
        <f>+INDEX(WP!$A:$AN,MATCH(F896,WP!$B:$B,0),16)</f>
        <v>80</v>
      </c>
      <c r="N896" s="202" t="e" vm="343">
        <f>IFERROR(_xlfn.IMAGE("https://natalie.tf/wp-content/uploads/2023/11/DLV3_Icon_Affinity_"&amp;O896&amp;".png"),"")</f>
        <v>#VALUE!</v>
      </c>
      <c r="O896" s="203" t="str">
        <f>+INDEX(WP!$A:$AN,MATCH(F896,WP!$B:$B,0),17)</f>
        <v>Axe</v>
      </c>
      <c r="P896" s="8" t="e" vm="414">
        <f>_xlfn.IMAGE("https://natalie.tf/wp-content/uploads/2023/10/DLV3_Icon_Ability_"&amp;INDEX('WP-A'!$A$1:$Z$498,MATCH('WP-Print'!Q896,'WP-A'!$A:$A,0),MATCH("Icon",'WP-A'!$A$1:$Z$1,0))&amp;".png")</f>
        <v>#VALUE!</v>
      </c>
      <c r="Q896" s="231" t="str">
        <f>+INDEX(WP!$A:$AN,MATCH(F896,WP!$B:$B,0),MATCH("Ability V3",WP!$A$2:$AN$2,0))</f>
        <v>Critical Damage +15%</v>
      </c>
      <c r="R896" s="735"/>
    </row>
    <row r="897" spans="1:18" ht="7.5" customHeight="1" x14ac:dyDescent="0.2">
      <c r="A897" t="s">
        <v>10763</v>
      </c>
    </row>
    <row r="898" spans="1:18" ht="22.5" customHeight="1" x14ac:dyDescent="0.2">
      <c r="B898" s="729" t="e" vm="943">
        <f>_xlfn.IMAGE("https://natalie.tf/wp-content/uploads/2023/10/DLV3_Icon_WP_"&amp;G899&amp;"_01.png")</f>
        <v>#VALUE!</v>
      </c>
      <c r="D898" s="730" t="e" vm="944">
        <f>_xlfn.IMAGE("https://natalie.tf/wp-content/uploads/2023/10/DLV3_Icon_WP_"&amp;G899&amp;"_02.png")</f>
        <v>#VALUE!</v>
      </c>
      <c r="F898" s="717" t="str">
        <f>+INDEX(WP!$A:$AN,MATCH(F899,WP!$B:$B,0),MATCH("Name",WP!$A$2:$AN$2,0))</f>
        <v>Howling Predator</v>
      </c>
      <c r="G898" s="718"/>
      <c r="H898" s="719"/>
      <c r="J898" s="180" t="s">
        <v>10761</v>
      </c>
      <c r="K898" s="201">
        <f>+INDEX(WP!$A:$AN,MATCH(F899,WP!$B:$B,0),5)</f>
        <v>3</v>
      </c>
      <c r="L898" s="202">
        <f>+INDEX(WP!$A:$AN,MATCH(F899,WP!$B:$B,0),6)</f>
        <v>36</v>
      </c>
      <c r="M898" s="202">
        <f>+INDEX(WP!$A:$AN,MATCH(F899,WP!$B:$B,0),7)</f>
        <v>12</v>
      </c>
      <c r="N898" s="202" t="e" vm="343">
        <f>IFERROR(_xlfn.IMAGE("https://natalie.tf/wp-content/uploads/2023/11/DLV3_Icon_Affinity_"&amp;O898&amp;".png"),"")</f>
        <v>#VALUE!</v>
      </c>
      <c r="O898" s="203" t="str">
        <f>IF(INDEX(WP!$A:$AN,MATCH(F899,WP!$B:$B,0),8)=0,"None",INDEX(WP!$A:$AN,MATCH(F899,WP!$B:$B,0),8))</f>
        <v>Axe</v>
      </c>
      <c r="P898" s="8" t="e" vm="326">
        <f>_xlfn.IMAGE("https://natalie.tf/wp-content/uploads/2023/10/DLV3_Icon_Ability_"&amp;INDEX('WP-A'!$A$1:$Z$498,MATCH('WP-Print'!Q898,'WP-A'!$A:$A,0),MATCH("Icon",'WP-A'!$A$1:$Z$1,0))&amp;".png")</f>
        <v>#VALUE!</v>
      </c>
      <c r="Q898" s="231" t="str">
        <f>+INDEX(WP!$A:$AN,MATCH(F899,WP!$B:$B,0),MATCH("Ability",WP!$A$2:$AN$2,0))</f>
        <v>Critical Rate +5%</v>
      </c>
      <c r="R898" s="734" t="str">
        <f>+INDEX(WP!$A:$AN,MATCH(F899,WP!$B:$B,0),MATCH("Obtain From",WP!$A$2:$AN$2,0))</f>
        <v>Clear Flamehowl Ruins: Standard (Elemental Ruins)</v>
      </c>
    </row>
    <row r="899" spans="1:18" ht="22.5" customHeight="1" x14ac:dyDescent="0.2">
      <c r="A899" s="204" t="str">
        <f>TEXT(A896+1,"000")</f>
        <v>299</v>
      </c>
      <c r="B899" s="729"/>
      <c r="C899" s="8"/>
      <c r="D899" s="729"/>
      <c r="E899" s="8"/>
      <c r="F899" s="200" t="str">
        <f>"WP-"&amp;A899</f>
        <v>WP-299</v>
      </c>
      <c r="G899" s="200">
        <f>+INDEX(WP!$A:$AN,MATCH(F899,WP!$B:$B,0),MATCH("ID",WP!$A$2:$AN$2,0))</f>
        <v>400012</v>
      </c>
      <c r="I899" s="8"/>
      <c r="J899" s="180" t="s">
        <v>10762</v>
      </c>
      <c r="K899" s="201">
        <f>+INDEX(WP!$A:$AN,MATCH(F899,WP!$B:$B,0),14)</f>
        <v>4</v>
      </c>
      <c r="L899" s="202">
        <f>+INDEX(WP!$A:$AN,MATCH(F899,WP!$B:$B,0),15)</f>
        <v>130</v>
      </c>
      <c r="M899" s="202">
        <f>+INDEX(WP!$A:$AN,MATCH(F899,WP!$B:$B,0),16)</f>
        <v>80</v>
      </c>
      <c r="N899" s="202" t="e" vm="354">
        <f>IFERROR(_xlfn.IMAGE("https://natalie.tf/wp-content/uploads/2023/11/DLV3_Icon_Affinity_"&amp;O899&amp;".png"),"")</f>
        <v>#VALUE!</v>
      </c>
      <c r="O899" s="203" t="str">
        <f>+INDEX(WP!$A:$AN,MATCH(F899,WP!$B:$B,0),17)</f>
        <v>Butterfly</v>
      </c>
      <c r="P899" s="8" t="e" vm="326">
        <f>_xlfn.IMAGE("https://natalie.tf/wp-content/uploads/2023/10/DLV3_Icon_Ability_"&amp;INDEX('WP-A'!$A$1:$Z$498,MATCH('WP-Print'!Q899,'WP-A'!$A:$A,0),MATCH("Icon",'WP-A'!$A$1:$Z$1,0))&amp;".png")</f>
        <v>#VALUE!</v>
      </c>
      <c r="Q899" s="231" t="str">
        <f>+INDEX(WP!$A:$AN,MATCH(F899,WP!$B:$B,0),MATCH("Ability V3",WP!$A$2:$AN$2,0))</f>
        <v>(Flame) Critical Rate +10%</v>
      </c>
      <c r="R899" s="735"/>
    </row>
    <row r="900" spans="1:18" ht="7.5" customHeight="1" x14ac:dyDescent="0.2">
      <c r="A900" t="s">
        <v>10763</v>
      </c>
    </row>
    <row r="901" spans="1:18" ht="22.5" customHeight="1" x14ac:dyDescent="0.2">
      <c r="B901" s="729" t="e" vm="945">
        <f>_xlfn.IMAGE("https://natalie.tf/wp-content/uploads/2023/10/DLV3_Icon_WP_"&amp;G902&amp;"_01.png")</f>
        <v>#VALUE!</v>
      </c>
      <c r="D901" s="730" t="e" vm="946">
        <f>_xlfn.IMAGE("https://natalie.tf/wp-content/uploads/2023/10/DLV3_Icon_WP_"&amp;G902&amp;"_02.png")</f>
        <v>#VALUE!</v>
      </c>
      <c r="F901" s="717" t="str">
        <f>+INDEX(WP!$A:$AN,MATCH(F902,WP!$B:$B,0),MATCH("Name",WP!$A$2:$AN$2,0))</f>
        <v>Syndicate Mask</v>
      </c>
      <c r="G901" s="718"/>
      <c r="H901" s="719"/>
      <c r="J901" s="180" t="s">
        <v>10761</v>
      </c>
      <c r="K901" s="201">
        <f>+INDEX(WP!$A:$AN,MATCH(F902,WP!$B:$B,0),5)</f>
        <v>3</v>
      </c>
      <c r="L901" s="202">
        <f>+INDEX(WP!$A:$AN,MATCH(F902,WP!$B:$B,0),6)</f>
        <v>38</v>
      </c>
      <c r="M901" s="202">
        <f>+INDEX(WP!$A:$AN,MATCH(F902,WP!$B:$B,0),7)</f>
        <v>10</v>
      </c>
      <c r="N901" s="202" t="str">
        <f ca="1">IFERROR(_xlfn.IMAGE("https://natalie.tf/wp-content/uploads/2023/11/DLV3_Icon_Affinity_"&amp;O901&amp;".png"),"")</f>
        <v/>
      </c>
      <c r="O901" s="203" t="str">
        <f>IF(INDEX(WP!$A:$AN,MATCH(F902,WP!$B:$B,0),8)=0,"None",INDEX(WP!$A:$AN,MATCH(F902,WP!$B:$B,0),8))</f>
        <v>None</v>
      </c>
      <c r="P901" s="8" t="e" vm="766">
        <f>_xlfn.IMAGE("https://natalie.tf/wp-content/uploads/2023/10/DLV3_Icon_Ability_"&amp;INDEX('WP-A'!$A$1:$Z$498,MATCH('WP-Print'!Q901,'WP-A'!$A:$A,0),MATCH("Icon",'WP-A'!$A$1:$Z$1,0))&amp;".png")</f>
        <v>#VALUE!</v>
      </c>
      <c r="Q901" s="231" t="str">
        <f>+INDEX(WP!$A:$AN,MATCH(F902,WP!$B:$B,0),MATCH("Ability",WP!$A$2:$AN$2,0))</f>
        <v>Blindness Res +25%</v>
      </c>
      <c r="R901" s="734" t="str">
        <f>+INDEX(WP!$A:$AN,MATCH(F902,WP!$B:$B,0),MATCH("Obtain From",WP!$A$2:$AN$2,0))</f>
        <v>Clear Jupiter's Trial: Expert</v>
      </c>
    </row>
    <row r="902" spans="1:18" ht="22.5" customHeight="1" x14ac:dyDescent="0.2">
      <c r="A902" s="204" t="str">
        <f>TEXT(A899+1,"000")</f>
        <v>300</v>
      </c>
      <c r="B902" s="729"/>
      <c r="C902" s="8"/>
      <c r="D902" s="729"/>
      <c r="E902" s="8"/>
      <c r="F902" s="200" t="str">
        <f>"WP-"&amp;A902</f>
        <v>WP-300</v>
      </c>
      <c r="G902" s="200">
        <f>+INDEX(WP!$A:$AN,MATCH(F902,WP!$B:$B,0),MATCH("ID",WP!$A$2:$AN$2,0))</f>
        <v>400013</v>
      </c>
      <c r="I902" s="8"/>
      <c r="J902" s="180" t="s">
        <v>10762</v>
      </c>
      <c r="K902" s="201">
        <f>+INDEX(WP!$A:$AN,MATCH(F902,WP!$B:$B,0),14)</f>
        <v>4</v>
      </c>
      <c r="L902" s="202">
        <f>+INDEX(WP!$A:$AN,MATCH(F902,WP!$B:$B,0),15)</f>
        <v>130</v>
      </c>
      <c r="M902" s="202">
        <f>+INDEX(WP!$A:$AN,MATCH(F902,WP!$B:$B,0),16)</f>
        <v>80</v>
      </c>
      <c r="N902" s="202" t="e" vm="337">
        <f>IFERROR(_xlfn.IMAGE("https://natalie.tf/wp-content/uploads/2023/11/DLV3_Icon_Affinity_"&amp;O902&amp;".png"),"")</f>
        <v>#VALUE!</v>
      </c>
      <c r="O902" s="203" t="str">
        <f>+INDEX(WP!$A:$AN,MATCH(F902,WP!$B:$B,0),17)</f>
        <v>Serpent</v>
      </c>
      <c r="P902" s="8" t="e" vm="766">
        <f>_xlfn.IMAGE("https://natalie.tf/wp-content/uploads/2023/10/DLV3_Icon_Ability_"&amp;INDEX('WP-A'!$A$1:$Z$498,MATCH('WP-Print'!Q902,'WP-A'!$A:$A,0),MATCH("Icon",'WP-A'!$A$1:$Z$1,0))&amp;".png")</f>
        <v>#VALUE!</v>
      </c>
      <c r="Q902" s="231" t="str">
        <f>+INDEX(WP!$A:$AN,MATCH(F902,WP!$B:$B,0),MATCH("Ability V3",WP!$A$2:$AN$2,0))</f>
        <v>Blindness Res +100%</v>
      </c>
      <c r="R902" s="735"/>
    </row>
    <row r="903" spans="1:18" ht="7.5" customHeight="1" x14ac:dyDescent="0.2">
      <c r="A903" t="s">
        <v>10763</v>
      </c>
    </row>
    <row r="904" spans="1:18" ht="22.5" customHeight="1" x14ac:dyDescent="0.2">
      <c r="B904" s="729" t="e" vm="947">
        <f>_xlfn.IMAGE("https://natalie.tf/wp-content/uploads/2023/10/DLV3_Icon_WP_"&amp;G905&amp;"_01.png")</f>
        <v>#VALUE!</v>
      </c>
      <c r="D904" s="730" t="e" vm="948">
        <f>_xlfn.IMAGE("https://natalie.tf/wp-content/uploads/2023/10/DLV3_Icon_WP_"&amp;G905&amp;"_02.png")</f>
        <v>#VALUE!</v>
      </c>
      <c r="F904" s="717" t="str">
        <f>+INDEX(WP!$A:$AN,MATCH(F905,WP!$B:$B,0),MATCH("Name",WP!$A$2:$AN$2,0))</f>
        <v>Hallowed Mountains</v>
      </c>
      <c r="G904" s="718"/>
      <c r="H904" s="719"/>
      <c r="J904" s="180" t="s">
        <v>10761</v>
      </c>
      <c r="K904" s="201">
        <f>+INDEX(WP!$A:$AN,MATCH(F905,WP!$B:$B,0),5)</f>
        <v>3</v>
      </c>
      <c r="L904" s="202">
        <f>+INDEX(WP!$A:$AN,MATCH(F905,WP!$B:$B,0),6)</f>
        <v>38</v>
      </c>
      <c r="M904" s="202">
        <f>+INDEX(WP!$A:$AN,MATCH(F905,WP!$B:$B,0),7)</f>
        <v>10</v>
      </c>
      <c r="N904" s="202" t="str">
        <f ca="1">IFERROR(_xlfn.IMAGE("https://natalie.tf/wp-content/uploads/2023/11/DLV3_Icon_Affinity_"&amp;O904&amp;".png"),"")</f>
        <v/>
      </c>
      <c r="O904" s="203" t="str">
        <f>IF(INDEX(WP!$A:$AN,MATCH(F905,WP!$B:$B,0),8)=0,"None",INDEX(WP!$A:$AN,MATCH(F905,WP!$B:$B,0),8))</f>
        <v>None</v>
      </c>
      <c r="P904" s="8" t="e" vm="609">
        <f>_xlfn.IMAGE("https://natalie.tf/wp-content/uploads/2023/10/DLV3_Icon_Ability_"&amp;INDEX('WP-A'!$A$1:$Z$498,MATCH('WP-Print'!Q904,'WP-A'!$A:$A,0),MATCH("Icon",'WP-A'!$A$1:$Z$1,0))&amp;".png")</f>
        <v>#VALUE!</v>
      </c>
      <c r="Q904" s="231" t="str">
        <f>+INDEX(WP!$A:$AN,MATCH(F905,WP!$B:$B,0),MATCH("Ability",WP!$A$2:$AN$2,0))</f>
        <v>Paralysis Res +25%</v>
      </c>
      <c r="R904" s="734" t="str">
        <f>+INDEX(WP!$A:$AN,MATCH(F905,WP!$B:$B,0),MATCH("Obtain From",WP!$A$2:$AN$2,0))</f>
        <v>Obtain From Ch. 04 EX 1 Chest (Hard) (Non-Endeavor)</v>
      </c>
    </row>
    <row r="905" spans="1:18" ht="22.5" customHeight="1" x14ac:dyDescent="0.2">
      <c r="A905" s="204" t="str">
        <f>TEXT(A902+1,"000")</f>
        <v>301</v>
      </c>
      <c r="B905" s="729"/>
      <c r="C905" s="8"/>
      <c r="D905" s="729"/>
      <c r="E905" s="8"/>
      <c r="F905" s="200" t="str">
        <f>"WP-"&amp;A905</f>
        <v>WP-301</v>
      </c>
      <c r="G905" s="200">
        <f>+INDEX(WP!$A:$AN,MATCH(F905,WP!$B:$B,0),MATCH("ID",WP!$A$2:$AN$2,0))</f>
        <v>400014</v>
      </c>
      <c r="I905" s="8"/>
      <c r="J905" s="180" t="s">
        <v>10762</v>
      </c>
      <c r="K905" s="201">
        <f>+INDEX(WP!$A:$AN,MATCH(F905,WP!$B:$B,0),14)</f>
        <v>4</v>
      </c>
      <c r="L905" s="202">
        <f>+INDEX(WP!$A:$AN,MATCH(F905,WP!$B:$B,0),15)</f>
        <v>130</v>
      </c>
      <c r="M905" s="202">
        <f>+INDEX(WP!$A:$AN,MATCH(F905,WP!$B:$B,0),16)</f>
        <v>80</v>
      </c>
      <c r="N905" s="202" t="e" vm="356">
        <f>IFERROR(_xlfn.IMAGE("https://natalie.tf/wp-content/uploads/2023/11/DLV3_Icon_Affinity_"&amp;O905&amp;".png"),"")</f>
        <v>#VALUE!</v>
      </c>
      <c r="O905" s="203" t="str">
        <f>+INDEX(WP!$A:$AN,MATCH(F905,WP!$B:$B,0),17)</f>
        <v>Deer</v>
      </c>
      <c r="P905" s="8" t="e" vm="696">
        <f>_xlfn.IMAGE("https://natalie.tf/wp-content/uploads/2023/10/DLV3_Icon_Ability_"&amp;INDEX('WP-A'!$A$1:$Z$498,MATCH('WP-Print'!Q905,'WP-A'!$A:$A,0),MATCH("Icon",'WP-A'!$A$1:$Z$1,0))&amp;".png")</f>
        <v>#VALUE!</v>
      </c>
      <c r="Q905" s="231" t="str">
        <f>+INDEX(WP!$A:$AN,MATCH(F905,WP!$B:$B,0),MATCH("Ability V3",WP!$A$2:$AN$2,0))</f>
        <v>Elemental Res +8%</v>
      </c>
      <c r="R905" s="735"/>
    </row>
    <row r="906" spans="1:18" ht="7.5" customHeight="1" x14ac:dyDescent="0.2">
      <c r="A906" t="s">
        <v>10763</v>
      </c>
    </row>
    <row r="907" spans="1:18" ht="22.5" customHeight="1" x14ac:dyDescent="0.2">
      <c r="B907" s="729" t="e" vm="949">
        <f>_xlfn.IMAGE("https://natalie.tf/wp-content/uploads/2023/10/DLV3_Icon_WP_"&amp;G908&amp;"_01.png")</f>
        <v>#VALUE!</v>
      </c>
      <c r="D907" s="730" t="e" vm="950">
        <f>_xlfn.IMAGE("https://natalie.tf/wp-content/uploads/2023/10/DLV3_Icon_WP_"&amp;G908&amp;"_02.png")</f>
        <v>#VALUE!</v>
      </c>
      <c r="F907" s="717" t="str">
        <f>+INDEX(WP!$A:$AN,MATCH(F908,WP!$B:$B,0),MATCH("Name",WP!$A$2:$AN$2,0))</f>
        <v>Lakeside Euphony</v>
      </c>
      <c r="G907" s="718"/>
      <c r="H907" s="719"/>
      <c r="J907" s="180" t="s">
        <v>10761</v>
      </c>
      <c r="K907" s="201">
        <f>+INDEX(WP!$A:$AN,MATCH(F908,WP!$B:$B,0),5)</f>
        <v>3</v>
      </c>
      <c r="L907" s="202">
        <f>+INDEX(WP!$A:$AN,MATCH(F908,WP!$B:$B,0),6)</f>
        <v>38</v>
      </c>
      <c r="M907" s="202">
        <f>+INDEX(WP!$A:$AN,MATCH(F908,WP!$B:$B,0),7)</f>
        <v>10</v>
      </c>
      <c r="N907" s="202" t="str">
        <f ca="1">IFERROR(_xlfn.IMAGE("https://natalie.tf/wp-content/uploads/2023/11/DLV3_Icon_Affinity_"&amp;O907&amp;".png"),"")</f>
        <v/>
      </c>
      <c r="O907" s="203" t="str">
        <f>IF(INDEX(WP!$A:$AN,MATCH(F908,WP!$B:$B,0),8)=0,"None",INDEX(WP!$A:$AN,MATCH(F908,WP!$B:$B,0),8))</f>
        <v>None</v>
      </c>
      <c r="P907" s="8" t="e" vm="491">
        <f>_xlfn.IMAGE("https://natalie.tf/wp-content/uploads/2023/10/DLV3_Icon_Ability_"&amp;INDEX('WP-A'!$A$1:$Z$498,MATCH('WP-Print'!Q907,'WP-A'!$A:$A,0),MATCH("Icon",'WP-A'!$A$1:$Z$1,0))&amp;".png")</f>
        <v>#VALUE!</v>
      </c>
      <c r="Q907" s="231" t="str">
        <f>+INDEX(WP!$A:$AN,MATCH(F908,WP!$B:$B,0),MATCH("Ability",WP!$A$2:$AN$2,0))</f>
        <v>Bog Res +25%</v>
      </c>
      <c r="R907" s="734" t="str">
        <f>+INDEX(WP!$A:$AN,MATCH(F908,WP!$B:$B,0),MATCH("Obtain From",WP!$A$2:$AN$2,0))</f>
        <v>Clear Windmaul Ruins: Expert (Elemental Ruins)</v>
      </c>
    </row>
    <row r="908" spans="1:18" ht="22.5" customHeight="1" x14ac:dyDescent="0.2">
      <c r="A908" s="204" t="str">
        <f>TEXT(A905+1,"000")</f>
        <v>302</v>
      </c>
      <c r="B908" s="729"/>
      <c r="C908" s="8"/>
      <c r="D908" s="729"/>
      <c r="E908" s="8"/>
      <c r="F908" s="200" t="str">
        <f>"WP-"&amp;A908</f>
        <v>WP-302</v>
      </c>
      <c r="G908" s="200">
        <f>+INDEX(WP!$A:$AN,MATCH(F908,WP!$B:$B,0),MATCH("ID",WP!$A$2:$AN$2,0))</f>
        <v>400015</v>
      </c>
      <c r="I908" s="8"/>
      <c r="J908" s="180" t="s">
        <v>10762</v>
      </c>
      <c r="K908" s="201">
        <f>+INDEX(WP!$A:$AN,MATCH(F908,WP!$B:$B,0),14)</f>
        <v>4</v>
      </c>
      <c r="L908" s="202">
        <f>+INDEX(WP!$A:$AN,MATCH(F908,WP!$B:$B,0),15)</f>
        <v>130</v>
      </c>
      <c r="M908" s="202">
        <f>+INDEX(WP!$A:$AN,MATCH(F908,WP!$B:$B,0),16)</f>
        <v>80</v>
      </c>
      <c r="N908" s="202" t="e" vm="356">
        <f>IFERROR(_xlfn.IMAGE("https://natalie.tf/wp-content/uploads/2023/11/DLV3_Icon_Affinity_"&amp;O908&amp;".png"),"")</f>
        <v>#VALUE!</v>
      </c>
      <c r="O908" s="203" t="str">
        <f>+INDEX(WP!$A:$AN,MATCH(F908,WP!$B:$B,0),17)</f>
        <v>Deer</v>
      </c>
      <c r="P908" s="8" t="e" vm="491">
        <f>_xlfn.IMAGE("https://natalie.tf/wp-content/uploads/2023/10/DLV3_Icon_Ability_"&amp;INDEX('WP-A'!$A$1:$Z$498,MATCH('WP-Print'!Q908,'WP-A'!$A:$A,0),MATCH("Icon",'WP-A'!$A$1:$Z$1,0))&amp;".png")</f>
        <v>#VALUE!</v>
      </c>
      <c r="Q908" s="231" t="str">
        <f>+INDEX(WP!$A:$AN,MATCH(F908,WP!$B:$B,0),MATCH("Ability V3",WP!$A$2:$AN$2,0))</f>
        <v>Bog Res +100%</v>
      </c>
      <c r="R908" s="735"/>
    </row>
    <row r="909" spans="1:18" ht="7.5" customHeight="1" x14ac:dyDescent="0.2">
      <c r="A909" t="s">
        <v>10763</v>
      </c>
    </row>
    <row r="910" spans="1:18" ht="22.5" customHeight="1" x14ac:dyDescent="0.2">
      <c r="B910" s="729" t="e" vm="951">
        <f>_xlfn.IMAGE("https://natalie.tf/wp-content/uploads/2023/10/DLV3_Icon_WP_"&amp;G911&amp;"_01.png")</f>
        <v>#VALUE!</v>
      </c>
      <c r="D910" s="730" t="e" vm="952">
        <f>_xlfn.IMAGE("https://natalie.tf/wp-content/uploads/2023/10/DLV3_Icon_WP_"&amp;G911&amp;"_02.png")</f>
        <v>#VALUE!</v>
      </c>
      <c r="F910" s="717" t="str">
        <f>+INDEX(WP!$A:$AN,MATCH(F911,WP!$B:$B,0),MATCH("Name",WP!$A$2:$AN$2,0))</f>
        <v>Dragon's Nest</v>
      </c>
      <c r="G910" s="718"/>
      <c r="H910" s="719"/>
      <c r="J910" s="180" t="s">
        <v>10761</v>
      </c>
      <c r="K910" s="201">
        <f>+INDEX(WP!$A:$AN,MATCH(F911,WP!$B:$B,0),5)</f>
        <v>3</v>
      </c>
      <c r="L910" s="202">
        <f>+INDEX(WP!$A:$AN,MATCH(F911,WP!$B:$B,0),6)</f>
        <v>36</v>
      </c>
      <c r="M910" s="202">
        <f>+INDEX(WP!$A:$AN,MATCH(F911,WP!$B:$B,0),7)</f>
        <v>12</v>
      </c>
      <c r="N910" s="202" t="e" vm="342">
        <f>IFERROR(_xlfn.IMAGE("https://natalie.tf/wp-content/uploads/2023/11/DLV3_Icon_Affinity_"&amp;O910&amp;".png"),"")</f>
        <v>#VALUE!</v>
      </c>
      <c r="O910" s="203" t="str">
        <f>IF(INDEX(WP!$A:$AN,MATCH(F911,WP!$B:$B,0),8)=0,"None",INDEX(WP!$A:$AN,MATCH(F911,WP!$B:$B,0),8))</f>
        <v>Bow</v>
      </c>
      <c r="P910" s="8" t="e" vm="953">
        <f>_xlfn.IMAGE("https://natalie.tf/wp-content/uploads/2023/10/DLV3_Icon_Ability_"&amp;INDEX('WP-A'!$A$1:$Z$498,MATCH('WP-Print'!Q910,'WP-A'!$A:$A,0),MATCH("Icon",'WP-A'!$A$1:$Z$1,0))&amp;".png")</f>
        <v>#VALUE!</v>
      </c>
      <c r="Q910" s="231" t="str">
        <f>+INDEX(WP!$A:$AN,MATCH(F911,WP!$B:$B,0),MATCH("Ability",WP!$A$2:$AN$2,0))</f>
        <v>Shapeshift Prep +10%</v>
      </c>
      <c r="R910" s="734" t="str">
        <f>+INDEX(WP!$A:$AN,MATCH(F911,WP!$B:$B,0),MATCH("Obtain From",WP!$A$2:$AN$2,0))</f>
        <v>Clear Battle in Rovetelle Forest: Standard (The Imperial Onslaught)</v>
      </c>
    </row>
    <row r="911" spans="1:18" ht="22.5" customHeight="1" x14ac:dyDescent="0.2">
      <c r="A911" s="204" t="str">
        <f>TEXT(A908+1,"000")</f>
        <v>303</v>
      </c>
      <c r="B911" s="729"/>
      <c r="C911" s="8"/>
      <c r="D911" s="729"/>
      <c r="E911" s="8"/>
      <c r="F911" s="200" t="str">
        <f>"WP-"&amp;A911</f>
        <v>WP-303</v>
      </c>
      <c r="G911" s="200">
        <f>+INDEX(WP!$A:$AN,MATCH(F911,WP!$B:$B,0),MATCH("ID",WP!$A$2:$AN$2,0))</f>
        <v>400016</v>
      </c>
      <c r="I911" s="8"/>
      <c r="J911" s="180" t="s">
        <v>10762</v>
      </c>
      <c r="K911" s="201">
        <f>+INDEX(WP!$A:$AN,MATCH(F911,WP!$B:$B,0),14)</f>
        <v>4</v>
      </c>
      <c r="L911" s="202">
        <f>+INDEX(WP!$A:$AN,MATCH(F911,WP!$B:$B,0),15)</f>
        <v>130</v>
      </c>
      <c r="M911" s="202">
        <f>+INDEX(WP!$A:$AN,MATCH(F911,WP!$B:$B,0),16)</f>
        <v>80</v>
      </c>
      <c r="N911" s="202" t="e" vm="342">
        <f>IFERROR(_xlfn.IMAGE("https://natalie.tf/wp-content/uploads/2023/11/DLV3_Icon_Affinity_"&amp;O911&amp;".png"),"")</f>
        <v>#VALUE!</v>
      </c>
      <c r="O911" s="203" t="str">
        <f>+INDEX(WP!$A:$AN,MATCH(F911,WP!$B:$B,0),17)</f>
        <v>Bow</v>
      </c>
      <c r="P911" s="8" t="e" vm="953">
        <f>_xlfn.IMAGE("https://natalie.tf/wp-content/uploads/2023/10/DLV3_Icon_Ability_"&amp;INDEX('WP-A'!$A$1:$Z$498,MATCH('WP-Print'!Q911,'WP-A'!$A:$A,0),MATCH("Icon",'WP-A'!$A$1:$Z$1,0))&amp;".png")</f>
        <v>#VALUE!</v>
      </c>
      <c r="Q911" s="231" t="str">
        <f>+INDEX(WP!$A:$AN,MATCH(F911,WP!$B:$B,0),MATCH("Ability V3",WP!$A$2:$AN$2,0))</f>
        <v>Shapeshift Prep +10%</v>
      </c>
      <c r="R911" s="735"/>
    </row>
    <row r="912" spans="1:18" ht="7.5" customHeight="1" x14ac:dyDescent="0.2">
      <c r="A912" t="s">
        <v>10763</v>
      </c>
    </row>
    <row r="913" spans="1:18" ht="22.5" customHeight="1" x14ac:dyDescent="0.2">
      <c r="B913" s="729" t="e" vm="954">
        <f>_xlfn.IMAGE("https://natalie.tf/wp-content/uploads/2023/10/DLV3_Icon_WP_"&amp;G914&amp;"_01.png")</f>
        <v>#VALUE!</v>
      </c>
      <c r="D913" s="730" t="e" vm="955">
        <f>_xlfn.IMAGE("https://natalie.tf/wp-content/uploads/2023/10/DLV3_Icon_WP_"&amp;G914&amp;"_02.png")</f>
        <v>#VALUE!</v>
      </c>
      <c r="F913" s="717" t="str">
        <f>+INDEX(WP!$A:$AN,MATCH(F914,WP!$B:$B,0),MATCH("Name",WP!$A$2:$AN$2,0))</f>
        <v>Enchiridion</v>
      </c>
      <c r="G913" s="718"/>
      <c r="H913" s="719"/>
      <c r="J913" s="180" t="s">
        <v>10761</v>
      </c>
      <c r="K913" s="201">
        <f>+INDEX(WP!$A:$AN,MATCH(F914,WP!$B:$B,0),5)</f>
        <v>3</v>
      </c>
      <c r="L913" s="202">
        <f>+INDEX(WP!$A:$AN,MATCH(F914,WP!$B:$B,0),6)</f>
        <v>36</v>
      </c>
      <c r="M913" s="202">
        <f>+INDEX(WP!$A:$AN,MATCH(F914,WP!$B:$B,0),7)</f>
        <v>12</v>
      </c>
      <c r="N913" s="202" t="e" vm="342">
        <f>IFERROR(_xlfn.IMAGE("https://natalie.tf/wp-content/uploads/2023/11/DLV3_Icon_Affinity_"&amp;O913&amp;".png"),"")</f>
        <v>#VALUE!</v>
      </c>
      <c r="O913" s="203" t="str">
        <f>IF(INDEX(WP!$A:$AN,MATCH(F914,WP!$B:$B,0),8)=0,"None",INDEX(WP!$A:$AN,MATCH(F914,WP!$B:$B,0),8))</f>
        <v>Bow</v>
      </c>
      <c r="P913" s="8" t="e" vm="330">
        <f>_xlfn.IMAGE("https://natalie.tf/wp-content/uploads/2023/10/DLV3_Icon_Ability_"&amp;INDEX('WP-A'!$A$1:$Z$498,MATCH('WP-Print'!Q913,'WP-A'!$A:$A,0),MATCH("Icon",'WP-A'!$A$1:$Z$1,0))&amp;".png")</f>
        <v>#VALUE!</v>
      </c>
      <c r="Q913" s="231" t="str">
        <f>+INDEX(WP!$A:$AN,MATCH(F914,WP!$B:$B,0),MATCH("Ability",WP!$A$2:$AN$2,0))</f>
        <v>Skill Haste +5%</v>
      </c>
      <c r="R913" s="734" t="str">
        <f>+INDEX(WP!$A:$AN,MATCH(F914,WP!$B:$B,0),MATCH("Obtain From",WP!$A$2:$AN$2,0))</f>
        <v>Obtain From Ch. 12 EX 1 Chest (Hard) (Non-Endeavor)</v>
      </c>
    </row>
    <row r="914" spans="1:18" ht="22.5" customHeight="1" x14ac:dyDescent="0.2">
      <c r="A914" s="204" t="str">
        <f>TEXT(A911+1,"000")</f>
        <v>304</v>
      </c>
      <c r="B914" s="729"/>
      <c r="C914" s="8"/>
      <c r="D914" s="729"/>
      <c r="E914" s="8"/>
      <c r="F914" s="200" t="str">
        <f>"WP-"&amp;A914</f>
        <v>WP-304</v>
      </c>
      <c r="G914" s="200">
        <f>+INDEX(WP!$A:$AN,MATCH(F914,WP!$B:$B,0),MATCH("ID",WP!$A$2:$AN$2,0))</f>
        <v>400017</v>
      </c>
      <c r="I914" s="8"/>
      <c r="J914" s="180" t="s">
        <v>10762</v>
      </c>
      <c r="K914" s="201">
        <f>+INDEX(WP!$A:$AN,MATCH(F914,WP!$B:$B,0),14)</f>
        <v>4</v>
      </c>
      <c r="L914" s="202">
        <f>+INDEX(WP!$A:$AN,MATCH(F914,WP!$B:$B,0),15)</f>
        <v>130</v>
      </c>
      <c r="M914" s="202">
        <f>+INDEX(WP!$A:$AN,MATCH(F914,WP!$B:$B,0),16)</f>
        <v>80</v>
      </c>
      <c r="N914" s="202" t="e" vm="345">
        <f>IFERROR(_xlfn.IMAGE("https://natalie.tf/wp-content/uploads/2023/11/DLV3_Icon_Affinity_"&amp;O914&amp;".png"),"")</f>
        <v>#VALUE!</v>
      </c>
      <c r="O914" s="203" t="str">
        <f>+INDEX(WP!$A:$AN,MATCH(F914,WP!$B:$B,0),17)</f>
        <v>Staff</v>
      </c>
      <c r="P914" s="8" t="e" vm="330">
        <f>_xlfn.IMAGE("https://natalie.tf/wp-content/uploads/2023/10/DLV3_Icon_Ability_"&amp;INDEX('WP-A'!$A$1:$Z$498,MATCH('WP-Print'!Q914,'WP-A'!$A:$A,0),MATCH("Icon",'WP-A'!$A$1:$Z$1,0))&amp;".png")</f>
        <v>#VALUE!</v>
      </c>
      <c r="Q914" s="231" t="str">
        <f>+INDEX(WP!$A:$AN,MATCH(F914,WP!$B:$B,0),MATCH("Ability V3",WP!$A$2:$AN$2,0))</f>
        <v>Skill Haste +6%</v>
      </c>
      <c r="R914" s="735"/>
    </row>
    <row r="915" spans="1:18" ht="7.5" customHeight="1" x14ac:dyDescent="0.2">
      <c r="A915" t="s">
        <v>10763</v>
      </c>
    </row>
    <row r="916" spans="1:18" ht="22.5" customHeight="1" x14ac:dyDescent="0.2">
      <c r="B916" s="729" t="e" vm="956">
        <f>_xlfn.IMAGE("https://natalie.tf/wp-content/uploads/2023/10/DLV3_Icon_WP_"&amp;G917&amp;"_01.png")</f>
        <v>#VALUE!</v>
      </c>
      <c r="D916" s="730" t="e" vm="957">
        <f>_xlfn.IMAGE("https://natalie.tf/wp-content/uploads/2023/10/DLV3_Icon_WP_"&amp;G917&amp;"_02.png")</f>
        <v>#VALUE!</v>
      </c>
      <c r="F916" s="717" t="str">
        <f>+INDEX(WP!$A:$AN,MATCH(F917,WP!$B:$B,0),MATCH("Name",WP!$A$2:$AN$2,0))</f>
        <v>Ironside Shield</v>
      </c>
      <c r="G916" s="718"/>
      <c r="H916" s="719"/>
      <c r="J916" s="180" t="s">
        <v>10761</v>
      </c>
      <c r="K916" s="201">
        <f>+INDEX(WP!$A:$AN,MATCH(F917,WP!$B:$B,0),5)</f>
        <v>3</v>
      </c>
      <c r="L916" s="202">
        <f>+INDEX(WP!$A:$AN,MATCH(F917,WP!$B:$B,0),6)</f>
        <v>38</v>
      </c>
      <c r="M916" s="202">
        <f>+INDEX(WP!$A:$AN,MATCH(F917,WP!$B:$B,0),7)</f>
        <v>10</v>
      </c>
      <c r="N916" s="202" t="e" vm="341">
        <f>IFERROR(_xlfn.IMAGE("https://natalie.tf/wp-content/uploads/2023/11/DLV3_Icon_Affinity_"&amp;O916&amp;".png"),"")</f>
        <v>#VALUE!</v>
      </c>
      <c r="O916" s="203" t="str">
        <f>IF(INDEX(WP!$A:$AN,MATCH(F917,WP!$B:$B,0),8)=0,"None",INDEX(WP!$A:$AN,MATCH(F917,WP!$B:$B,0),8))</f>
        <v>Crown</v>
      </c>
      <c r="P916" s="8" t="e" vm="426">
        <f>_xlfn.IMAGE("https://natalie.tf/wp-content/uploads/2023/10/DLV3_Icon_Ability_"&amp;INDEX('WP-A'!$A$1:$Z$498,MATCH('WP-Print'!Q916,'WP-A'!$A:$A,0),MATCH("Icon",'WP-A'!$A$1:$Z$1,0))&amp;".png")</f>
        <v>#VALUE!</v>
      </c>
      <c r="Q916" s="231" t="str">
        <f>+INDEX(WP!$A:$AN,MATCH(F917,WP!$B:$B,0),MATCH("Ability",WP!$A$2:$AN$2,0))</f>
        <v>Last Defense +50%</v>
      </c>
      <c r="R916" s="734" t="str">
        <f>+INDEX(WP!$A:$AN,MATCH(F917,WP!$B:$B,0),MATCH("Obtain From",WP!$A$2:$AN$2,0))</f>
        <v>Unlock 50 Mana Nodes for a Wind-Attuned Adventurer</v>
      </c>
    </row>
    <row r="917" spans="1:18" ht="22.5" customHeight="1" x14ac:dyDescent="0.2">
      <c r="A917" s="204" t="str">
        <f>TEXT(A914+1,"000")</f>
        <v>305</v>
      </c>
      <c r="B917" s="729"/>
      <c r="C917" s="8"/>
      <c r="D917" s="729"/>
      <c r="E917" s="8"/>
      <c r="F917" s="200" t="str">
        <f>"WP-"&amp;A917</f>
        <v>WP-305</v>
      </c>
      <c r="G917" s="200">
        <f>+INDEX(WP!$A:$AN,MATCH(F917,WP!$B:$B,0),MATCH("ID",WP!$A$2:$AN$2,0))</f>
        <v>400018</v>
      </c>
      <c r="I917" s="8"/>
      <c r="J917" s="180" t="s">
        <v>10762</v>
      </c>
      <c r="K917" s="201">
        <f>+INDEX(WP!$A:$AN,MATCH(F917,WP!$B:$B,0),14)</f>
        <v>4</v>
      </c>
      <c r="L917" s="202">
        <f>+INDEX(WP!$A:$AN,MATCH(F917,WP!$B:$B,0),15)</f>
        <v>130</v>
      </c>
      <c r="M917" s="202">
        <f>+INDEX(WP!$A:$AN,MATCH(F917,WP!$B:$B,0),16)</f>
        <v>80</v>
      </c>
      <c r="N917" s="202" t="e" vm="341">
        <f>IFERROR(_xlfn.IMAGE("https://natalie.tf/wp-content/uploads/2023/11/DLV3_Icon_Affinity_"&amp;O917&amp;".png"),"")</f>
        <v>#VALUE!</v>
      </c>
      <c r="O917" s="203" t="str">
        <f>+INDEX(WP!$A:$AN,MATCH(F917,WP!$B:$B,0),17)</f>
        <v>Crown</v>
      </c>
      <c r="P917" s="8" t="e" vm="426">
        <f>_xlfn.IMAGE("https://natalie.tf/wp-content/uploads/2023/10/DLV3_Icon_Ability_"&amp;INDEX('WP-A'!$A$1:$Z$498,MATCH('WP-Print'!Q917,'WP-A'!$A:$A,0),MATCH("Icon",'WP-A'!$A$1:$Z$1,0))&amp;".png")</f>
        <v>#VALUE!</v>
      </c>
      <c r="Q917" s="231" t="str">
        <f>+INDEX(WP!$A:$AN,MATCH(F917,WP!$B:$B,0),MATCH("Ability V3",WP!$A$2:$AN$2,0))</f>
        <v>Last Defense +60%</v>
      </c>
      <c r="R917" s="735"/>
    </row>
    <row r="918" spans="1:18" ht="7.5" customHeight="1" x14ac:dyDescent="0.2">
      <c r="A918" t="s">
        <v>10763</v>
      </c>
    </row>
    <row r="919" spans="1:18" ht="22.5" customHeight="1" x14ac:dyDescent="0.2">
      <c r="B919" s="729" t="e" vm="958">
        <f>_xlfn.IMAGE("https://natalie.tf/wp-content/uploads/2023/10/DLV3_Icon_WP_"&amp;G920&amp;"_01.png")</f>
        <v>#VALUE!</v>
      </c>
      <c r="D919" s="730" t="e" vm="959">
        <f>_xlfn.IMAGE("https://natalie.tf/wp-content/uploads/2023/10/DLV3_Icon_WP_"&amp;G920&amp;"_02.png")</f>
        <v>#VALUE!</v>
      </c>
      <c r="F919" s="717" t="str">
        <f>+INDEX(WP!$A:$AN,MATCH(F920,WP!$B:$B,0),MATCH("Name",WP!$A$2:$AN$2,0))</f>
        <v>Winds of Saint Lotier</v>
      </c>
      <c r="G919" s="718"/>
      <c r="H919" s="719"/>
      <c r="J919" s="180" t="s">
        <v>10761</v>
      </c>
      <c r="K919" s="201">
        <f>+INDEX(WP!$A:$AN,MATCH(F920,WP!$B:$B,0),5)</f>
        <v>3</v>
      </c>
      <c r="L919" s="202">
        <f>+INDEX(WP!$A:$AN,MATCH(F920,WP!$B:$B,0),6)</f>
        <v>36</v>
      </c>
      <c r="M919" s="202">
        <f>+INDEX(WP!$A:$AN,MATCH(F920,WP!$B:$B,0),7)</f>
        <v>12</v>
      </c>
      <c r="N919" s="202" t="e" vm="352">
        <f>IFERROR(_xlfn.IMAGE("https://natalie.tf/wp-content/uploads/2023/11/DLV3_Icon_Affinity_"&amp;O919&amp;".png"),"")</f>
        <v>#VALUE!</v>
      </c>
      <c r="O919" s="203" t="str">
        <f>IF(INDEX(WP!$A:$AN,MATCH(F920,WP!$B:$B,0),8)=0,"None",INDEX(WP!$A:$AN,MATCH(F920,WP!$B:$B,0),8))</f>
        <v>Fish</v>
      </c>
      <c r="P919" s="8" t="e" vm="349">
        <f>_xlfn.IMAGE("https://natalie.tf/wp-content/uploads/2023/10/DLV3_Icon_Ability_"&amp;INDEX('WP-A'!$A$1:$Z$498,MATCH('WP-Print'!Q919,'WP-A'!$A:$A,0),MATCH("Icon",'WP-A'!$A$1:$Z$1,0))&amp;".png")</f>
        <v>#VALUE!</v>
      </c>
      <c r="Q919" s="231" t="str">
        <f>+INDEX(WP!$A:$AN,MATCH(F920,WP!$B:$B,0),MATCH("Ability",WP!$A$2:$AN$2,0))</f>
        <v>Recovery Potency +8%</v>
      </c>
      <c r="R919" s="734" t="str">
        <f>+INDEX(WP!$A:$AN,MATCH(F920,WP!$B:$B,0),MATCH("Obtain From",WP!$A$2:$AN$2,0))</f>
        <v>Clear Battle in the Dornith Mountains: Master (The Imperial Onslaught)</v>
      </c>
    </row>
    <row r="920" spans="1:18" ht="22.5" customHeight="1" x14ac:dyDescent="0.2">
      <c r="A920" s="204" t="str">
        <f>TEXT(A917+1,"000")</f>
        <v>306</v>
      </c>
      <c r="B920" s="729"/>
      <c r="C920" s="8"/>
      <c r="D920" s="729"/>
      <c r="E920" s="8"/>
      <c r="F920" s="200" t="str">
        <f>"WP-"&amp;A920</f>
        <v>WP-306</v>
      </c>
      <c r="G920" s="200">
        <f>+INDEX(WP!$A:$AN,MATCH(F920,WP!$B:$B,0),MATCH("ID",WP!$A$2:$AN$2,0))</f>
        <v>400019</v>
      </c>
      <c r="I920" s="8"/>
      <c r="J920" s="180" t="s">
        <v>10762</v>
      </c>
      <c r="K920" s="201">
        <f>+INDEX(WP!$A:$AN,MATCH(F920,WP!$B:$B,0),14)</f>
        <v>4</v>
      </c>
      <c r="L920" s="202">
        <f>+INDEX(WP!$A:$AN,MATCH(F920,WP!$B:$B,0),15)</f>
        <v>130</v>
      </c>
      <c r="M920" s="202">
        <f>+INDEX(WP!$A:$AN,MATCH(F920,WP!$B:$B,0),16)</f>
        <v>80</v>
      </c>
      <c r="N920" s="202" t="e" vm="356">
        <f>IFERROR(_xlfn.IMAGE("https://natalie.tf/wp-content/uploads/2023/11/DLV3_Icon_Affinity_"&amp;O920&amp;".png"),"")</f>
        <v>#VALUE!</v>
      </c>
      <c r="O920" s="203" t="str">
        <f>+INDEX(WP!$A:$AN,MATCH(F920,WP!$B:$B,0),17)</f>
        <v>Deer</v>
      </c>
      <c r="P920" s="8" t="e" vm="349">
        <f>_xlfn.IMAGE("https://natalie.tf/wp-content/uploads/2023/10/DLV3_Icon_Ability_"&amp;INDEX('WP-A'!$A$1:$Z$498,MATCH('WP-Print'!Q920,'WP-A'!$A:$A,0),MATCH("Icon",'WP-A'!$A$1:$Z$1,0))&amp;".png")</f>
        <v>#VALUE!</v>
      </c>
      <c r="Q920" s="231" t="str">
        <f>+INDEX(WP!$A:$AN,MATCH(F920,WP!$B:$B,0),MATCH("Ability V3",WP!$A$2:$AN$2,0))</f>
        <v>Recovery Potency +12%</v>
      </c>
      <c r="R920" s="735"/>
    </row>
    <row r="921" spans="1:18" ht="7.5" customHeight="1" x14ac:dyDescent="0.2">
      <c r="A921" t="s">
        <v>10763</v>
      </c>
    </row>
    <row r="922" spans="1:18" ht="22.5" customHeight="1" x14ac:dyDescent="0.2">
      <c r="B922" s="729" t="e" vm="960">
        <f>_xlfn.IMAGE("https://natalie.tf/wp-content/uploads/2023/10/DLV3_Icon_WP_"&amp;G923&amp;"_01.png")</f>
        <v>#VALUE!</v>
      </c>
      <c r="D922" s="730" t="e" vm="961">
        <f>_xlfn.IMAGE("https://natalie.tf/wp-content/uploads/2023/10/DLV3_Icon_WP_"&amp;G923&amp;"_02.png")</f>
        <v>#VALUE!</v>
      </c>
      <c r="F922" s="717" t="str">
        <f>+INDEX(WP!$A:$AN,MATCH(F923,WP!$B:$B,0),MATCH("Name",WP!$A$2:$AN$2,0))</f>
        <v>Aromatherapy</v>
      </c>
      <c r="G922" s="718"/>
      <c r="H922" s="719"/>
      <c r="J922" s="180" t="s">
        <v>10761</v>
      </c>
      <c r="K922" s="201">
        <f>+INDEX(WP!$A:$AN,MATCH(F923,WP!$B:$B,0),5)</f>
        <v>3</v>
      </c>
      <c r="L922" s="202">
        <f>+INDEX(WP!$A:$AN,MATCH(F923,WP!$B:$B,0),6)</f>
        <v>38</v>
      </c>
      <c r="M922" s="202">
        <f>+INDEX(WP!$A:$AN,MATCH(F923,WP!$B:$B,0),7)</f>
        <v>10</v>
      </c>
      <c r="N922" s="202" t="str">
        <f ca="1">IFERROR(_xlfn.IMAGE("https://natalie.tf/wp-content/uploads/2023/11/DLV3_Icon_Affinity_"&amp;O922&amp;".png"),"")</f>
        <v/>
      </c>
      <c r="O922" s="203" t="str">
        <f>IF(INDEX(WP!$A:$AN,MATCH(F923,WP!$B:$B,0),8)=0,"None",INDEX(WP!$A:$AN,MATCH(F923,WP!$B:$B,0),8))</f>
        <v>None</v>
      </c>
      <c r="P922" s="8" t="e" vm="717">
        <f>_xlfn.IMAGE("https://natalie.tf/wp-content/uploads/2023/10/DLV3_Icon_Ability_"&amp;INDEX('WP-A'!$A$1:$Z$498,MATCH('WP-Print'!Q922,'WP-A'!$A:$A,0),MATCH("Icon",'WP-A'!$A$1:$Z$1,0))&amp;".png")</f>
        <v>#VALUE!</v>
      </c>
      <c r="Q922" s="231" t="str">
        <f>+INDEX(WP!$A:$AN,MATCH(F923,WP!$B:$B,0),MATCH("Ability",WP!$A$2:$AN$2,0))</f>
        <v>Burn Res +25%</v>
      </c>
      <c r="R922" s="734" t="str">
        <f>+INDEX(WP!$A:$AN,MATCH(F923,WP!$B:$B,0),MATCH("Obtain From",WP!$A$2:$AN$2,0))</f>
        <v>Obtain From Ch. 07 EX 1 Chest (Very Hard) (Non-Endeavor)</v>
      </c>
    </row>
    <row r="923" spans="1:18" ht="22.5" customHeight="1" x14ac:dyDescent="0.2">
      <c r="A923" s="204" t="str">
        <f>TEXT(A920+1,"000")</f>
        <v>307</v>
      </c>
      <c r="B923" s="729"/>
      <c r="C923" s="8"/>
      <c r="D923" s="729"/>
      <c r="E923" s="8"/>
      <c r="F923" s="200" t="str">
        <f>"WP-"&amp;A923</f>
        <v>WP-307</v>
      </c>
      <c r="G923" s="200">
        <f>+INDEX(WP!$A:$AN,MATCH(F923,WP!$B:$B,0),MATCH("ID",WP!$A$2:$AN$2,0))</f>
        <v>400020</v>
      </c>
      <c r="I923" s="8"/>
      <c r="J923" s="180" t="s">
        <v>10762</v>
      </c>
      <c r="K923" s="201">
        <f>+INDEX(WP!$A:$AN,MATCH(F923,WP!$B:$B,0),14)</f>
        <v>4</v>
      </c>
      <c r="L923" s="202">
        <f>+INDEX(WP!$A:$AN,MATCH(F923,WP!$B:$B,0),15)</f>
        <v>130</v>
      </c>
      <c r="M923" s="202">
        <f>+INDEX(WP!$A:$AN,MATCH(F923,WP!$B:$B,0),16)</f>
        <v>80</v>
      </c>
      <c r="N923" s="202" t="e" vm="340">
        <f>IFERROR(_xlfn.IMAGE("https://natalie.tf/wp-content/uploads/2023/11/DLV3_Icon_Affinity_"&amp;O923&amp;".png"),"")</f>
        <v>#VALUE!</v>
      </c>
      <c r="O923" s="203" t="str">
        <f>+INDEX(WP!$A:$AN,MATCH(F923,WP!$B:$B,0),17)</f>
        <v>Lance</v>
      </c>
      <c r="P923" s="8" t="e" vm="717">
        <f>_xlfn.IMAGE("https://natalie.tf/wp-content/uploads/2023/10/DLV3_Icon_Ability_"&amp;INDEX('WP-A'!$A$1:$Z$498,MATCH('WP-Print'!Q923,'WP-A'!$A:$A,0),MATCH("Icon",'WP-A'!$A$1:$Z$1,0))&amp;".png")</f>
        <v>#VALUE!</v>
      </c>
      <c r="Q923" s="231" t="str">
        <f>+INDEX(WP!$A:$AN,MATCH(F923,WP!$B:$B,0),MATCH("Ability V3",WP!$A$2:$AN$2,0))</f>
        <v>Burn Res +100%</v>
      </c>
      <c r="R923" s="735"/>
    </row>
    <row r="924" spans="1:18" ht="7.5" customHeight="1" x14ac:dyDescent="0.2">
      <c r="A924" t="s">
        <v>10763</v>
      </c>
    </row>
    <row r="925" spans="1:18" ht="22.5" customHeight="1" x14ac:dyDescent="0.2">
      <c r="B925" s="729" t="e" vm="962">
        <f>_xlfn.IMAGE("https://natalie.tf/wp-content/uploads/2023/10/DLV3_Icon_WP_"&amp;G926&amp;"_01.png")</f>
        <v>#VALUE!</v>
      </c>
      <c r="D925" s="730" t="e" vm="963">
        <f>_xlfn.IMAGE("https://natalie.tf/wp-content/uploads/2023/10/DLV3_Icon_WP_"&amp;G926&amp;"_02.png")</f>
        <v>#VALUE!</v>
      </c>
      <c r="F925" s="717" t="str">
        <f>+INDEX(WP!$A:$AN,MATCH(F926,WP!$B:$B,0),MATCH("Name",WP!$A$2:$AN$2,0))</f>
        <v>Eight-Leaf Clover</v>
      </c>
      <c r="G925" s="718"/>
      <c r="H925" s="719"/>
      <c r="J925" s="180" t="s">
        <v>10761</v>
      </c>
      <c r="K925" s="201">
        <f>+INDEX(WP!$A:$AN,MATCH(F926,WP!$B:$B,0),5)</f>
        <v>3</v>
      </c>
      <c r="L925" s="202">
        <f>+INDEX(WP!$A:$AN,MATCH(F926,WP!$B:$B,0),6)</f>
        <v>35</v>
      </c>
      <c r="M925" s="202">
        <f>+INDEX(WP!$A:$AN,MATCH(F926,WP!$B:$B,0),7)</f>
        <v>13</v>
      </c>
      <c r="N925" s="202" t="e" vm="343">
        <f>IFERROR(_xlfn.IMAGE("https://natalie.tf/wp-content/uploads/2023/11/DLV3_Icon_Affinity_"&amp;O925&amp;".png"),"")</f>
        <v>#VALUE!</v>
      </c>
      <c r="O925" s="203" t="str">
        <f>IF(INDEX(WP!$A:$AN,MATCH(F926,WP!$B:$B,0),8)=0,"None",INDEX(WP!$A:$AN,MATCH(F926,WP!$B:$B,0),8))</f>
        <v>Axe</v>
      </c>
      <c r="P925" s="8" t="e" vm="414">
        <f>_xlfn.IMAGE("https://natalie.tf/wp-content/uploads/2023/10/DLV3_Icon_Ability_"&amp;INDEX('WP-A'!$A$1:$Z$498,MATCH('WP-Print'!Q925,'WP-A'!$A:$A,0),MATCH("Icon",'WP-A'!$A$1:$Z$1,0))&amp;".png")</f>
        <v>#VALUE!</v>
      </c>
      <c r="Q925" s="231" t="str">
        <f>+INDEX(WP!$A:$AN,MATCH(F926,WP!$B:$B,0),MATCH("Ability",WP!$A$2:$AN$2,0))</f>
        <v>Critical Damage +15%</v>
      </c>
      <c r="R925" s="734" t="str">
        <f>+INDEX(WP!$A:$AN,MATCH(F926,WP!$B:$B,0),MATCH("Obtain From",WP!$A$2:$AN$2,0))</f>
        <v>Obtain From Ch. 13 EX 1 Chest (Very Hard) (Non-Endeavor)</v>
      </c>
    </row>
    <row r="926" spans="1:18" ht="22.5" customHeight="1" x14ac:dyDescent="0.2">
      <c r="A926" s="204" t="str">
        <f>TEXT(A923+1,"000")</f>
        <v>308</v>
      </c>
      <c r="B926" s="729"/>
      <c r="C926" s="8"/>
      <c r="D926" s="729"/>
      <c r="E926" s="8"/>
      <c r="F926" s="200" t="str">
        <f>"WP-"&amp;A926</f>
        <v>WP-308</v>
      </c>
      <c r="G926" s="200">
        <f>+INDEX(WP!$A:$AN,MATCH(F926,WP!$B:$B,0),MATCH("ID",WP!$A$2:$AN$2,0))</f>
        <v>400021</v>
      </c>
      <c r="I926" s="8"/>
      <c r="J926" s="180" t="s">
        <v>10762</v>
      </c>
      <c r="K926" s="201">
        <f>+INDEX(WP!$A:$AN,MATCH(F926,WP!$B:$B,0),14)</f>
        <v>4</v>
      </c>
      <c r="L926" s="202">
        <f>+INDEX(WP!$A:$AN,MATCH(F926,WP!$B:$B,0),15)</f>
        <v>130</v>
      </c>
      <c r="M926" s="202">
        <f>+INDEX(WP!$A:$AN,MATCH(F926,WP!$B:$B,0),16)</f>
        <v>80</v>
      </c>
      <c r="N926" s="202" t="e" vm="337">
        <f>IFERROR(_xlfn.IMAGE("https://natalie.tf/wp-content/uploads/2023/11/DLV3_Icon_Affinity_"&amp;O926&amp;".png"),"")</f>
        <v>#VALUE!</v>
      </c>
      <c r="O926" s="203" t="str">
        <f>+INDEX(WP!$A:$AN,MATCH(F926,WP!$B:$B,0),17)</f>
        <v>Serpent</v>
      </c>
      <c r="P926" s="8" t="e" vm="7">
        <f>_xlfn.IMAGE("https://natalie.tf/wp-content/uploads/2023/10/DLV3_Icon_Ability_"&amp;INDEX('WP-A'!$A$1:$Z$498,MATCH('WP-Print'!Q926,'WP-A'!$A:$A,0),MATCH("Icon",'WP-A'!$A$1:$Z$1,0))&amp;".png")</f>
        <v>#VALUE!</v>
      </c>
      <c r="Q926" s="231" t="str">
        <f>+INDEX(WP!$A:$AN,MATCH(F926,WP!$B:$B,0),MATCH("Ability V3",WP!$A$2:$AN$2,0))</f>
        <v>Force Strike +40%</v>
      </c>
      <c r="R926" s="735"/>
    </row>
    <row r="927" spans="1:18" ht="22.5" customHeight="1" x14ac:dyDescent="0.2">
      <c r="A927" t="s">
        <v>10763</v>
      </c>
    </row>
    <row r="928" spans="1:18" ht="22.5" customHeight="1" x14ac:dyDescent="0.2">
      <c r="B928" s="729" t="e" vm="964">
        <f>_xlfn.IMAGE("https://natalie.tf/wp-content/uploads/2023/10/DLV3_Icon_WP_"&amp;G929&amp;"_01.png")</f>
        <v>#VALUE!</v>
      </c>
      <c r="D928" s="730" t="e" vm="965">
        <f>_xlfn.IMAGE("https://natalie.tf/wp-content/uploads/2023/10/DLV3_Icon_WP_"&amp;G929&amp;"_02.png")</f>
        <v>#VALUE!</v>
      </c>
      <c r="F928" s="717" t="str">
        <f>+INDEX(WP!$A:$AN,MATCH(F929,WP!$B:$B,0),MATCH("Name",WP!$A$2:$AN$2,0))</f>
        <v>Forbidden Relic</v>
      </c>
      <c r="G928" s="718"/>
      <c r="H928" s="719"/>
      <c r="J928" s="180" t="s">
        <v>10761</v>
      </c>
      <c r="K928" s="201">
        <f>+INDEX(WP!$A:$AN,MATCH(F929,WP!$B:$B,0),5)</f>
        <v>3</v>
      </c>
      <c r="L928" s="202">
        <f>+INDEX(WP!$A:$AN,MATCH(F929,WP!$B:$B,0),6)</f>
        <v>36</v>
      </c>
      <c r="M928" s="202">
        <f>+INDEX(WP!$A:$AN,MATCH(F929,WP!$B:$B,0),7)</f>
        <v>12</v>
      </c>
      <c r="N928" s="202" t="e" vm="341">
        <f>IFERROR(_xlfn.IMAGE("https://natalie.tf/wp-content/uploads/2023/11/DLV3_Icon_Affinity_"&amp;O928&amp;".png"),"")</f>
        <v>#VALUE!</v>
      </c>
      <c r="O928" s="203" t="str">
        <f>IF(INDEX(WP!$A:$AN,MATCH(F929,WP!$B:$B,0),8)=0,"None",INDEX(WP!$A:$AN,MATCH(F929,WP!$B:$B,0),8))</f>
        <v>Crown</v>
      </c>
      <c r="P928" s="8" t="e" vm="6">
        <f>_xlfn.IMAGE("https://natalie.tf/wp-content/uploads/2023/10/DLV3_Icon_Ability_"&amp;INDEX('WP-A'!$A$1:$Z$498,MATCH('WP-Print'!Q928,'WP-A'!$A:$A,0),MATCH("Icon",'WP-A'!$A$1:$Z$1,0))&amp;".png")</f>
        <v>#VALUE!</v>
      </c>
      <c r="Q928" s="231" t="str">
        <f>+INDEX(WP!$A:$AN,MATCH(F929,WP!$B:$B,0),MATCH("Ability",WP!$A$2:$AN$2,0))</f>
        <v>Gauge Inhibitor +25%</v>
      </c>
      <c r="R928" s="734" t="str">
        <f>+INDEX(WP!$A:$AN,MATCH(F929,WP!$B:$B,0),MATCH("Obtain From",WP!$A$2:$AN$2,0))</f>
        <v>Clear Battle at Mount Adolla: Standard (The Imperial Onslaught)</v>
      </c>
    </row>
    <row r="929" spans="1:18" ht="22.5" customHeight="1" x14ac:dyDescent="0.2">
      <c r="A929" s="204" t="str">
        <f>TEXT(A926+1,"000")</f>
        <v>309</v>
      </c>
      <c r="B929" s="729"/>
      <c r="C929" s="8"/>
      <c r="D929" s="729"/>
      <c r="E929" s="8"/>
      <c r="F929" s="200" t="str">
        <f>"WP-"&amp;A929</f>
        <v>WP-309</v>
      </c>
      <c r="G929" s="200">
        <f>+INDEX(WP!$A:$AN,MATCH(F929,WP!$B:$B,0),MATCH("ID",WP!$A$2:$AN$2,0))</f>
        <v>400022</v>
      </c>
      <c r="I929" s="8"/>
      <c r="J929" s="180" t="s">
        <v>10762</v>
      </c>
      <c r="K929" s="201">
        <f>+INDEX(WP!$A:$AN,MATCH(F929,WP!$B:$B,0),14)</f>
        <v>4</v>
      </c>
      <c r="L929" s="202">
        <f>+INDEX(WP!$A:$AN,MATCH(F929,WP!$B:$B,0),15)</f>
        <v>130</v>
      </c>
      <c r="M929" s="202">
        <f>+INDEX(WP!$A:$AN,MATCH(F929,WP!$B:$B,0),16)</f>
        <v>80</v>
      </c>
      <c r="N929" s="202" t="e" vm="341">
        <f>IFERROR(_xlfn.IMAGE("https://natalie.tf/wp-content/uploads/2023/11/DLV3_Icon_Affinity_"&amp;O929&amp;".png"),"")</f>
        <v>#VALUE!</v>
      </c>
      <c r="O929" s="203" t="str">
        <f>+INDEX(WP!$A:$AN,MATCH(F929,WP!$B:$B,0),17)</f>
        <v>Crown</v>
      </c>
      <c r="P929" s="8" t="e" vm="6">
        <f>_xlfn.IMAGE("https://natalie.tf/wp-content/uploads/2023/10/DLV3_Icon_Ability_"&amp;INDEX('WP-A'!$A$1:$Z$498,MATCH('WP-Print'!Q929,'WP-A'!$A:$A,0),MATCH("Icon",'WP-A'!$A$1:$Z$1,0))&amp;".png")</f>
        <v>#VALUE!</v>
      </c>
      <c r="Q929" s="231" t="str">
        <f>+INDEX(WP!$A:$AN,MATCH(F929,WP!$B:$B,0),MATCH("Ability V3",WP!$A$2:$AN$2,0))</f>
        <v>Gauge Inhibitor +30%</v>
      </c>
      <c r="R929" s="735"/>
    </row>
    <row r="930" spans="1:18" ht="7.5" customHeight="1" x14ac:dyDescent="0.2">
      <c r="A930" t="s">
        <v>10763</v>
      </c>
    </row>
    <row r="931" spans="1:18" ht="22.5" customHeight="1" x14ac:dyDescent="0.2">
      <c r="B931" s="729" t="e" vm="966">
        <f>_xlfn.IMAGE("https://natalie.tf/wp-content/uploads/2023/10/DLV3_Icon_WP_"&amp;G932&amp;"_01.png")</f>
        <v>#VALUE!</v>
      </c>
      <c r="D931" s="730" t="e" vm="967">
        <f>_xlfn.IMAGE("https://natalie.tf/wp-content/uploads/2023/10/DLV3_Icon_WP_"&amp;G932&amp;"_02.png")</f>
        <v>#VALUE!</v>
      </c>
      <c r="F931" s="717" t="str">
        <f>+INDEX(WP!$A:$AN,MATCH(F932,WP!$B:$B,0),MATCH("Name",WP!$A$2:$AN$2,0))</f>
        <v>Unfulfilled Visions</v>
      </c>
      <c r="G931" s="718"/>
      <c r="H931" s="719"/>
      <c r="J931" s="180" t="s">
        <v>10761</v>
      </c>
      <c r="K931" s="201">
        <f>+INDEX(WP!$A:$AN,MATCH(F932,WP!$B:$B,0),5)</f>
        <v>3</v>
      </c>
      <c r="L931" s="202">
        <f>+INDEX(WP!$A:$AN,MATCH(F932,WP!$B:$B,0),6)</f>
        <v>35</v>
      </c>
      <c r="M931" s="202">
        <f>+INDEX(WP!$A:$AN,MATCH(F932,WP!$B:$B,0),7)</f>
        <v>13</v>
      </c>
      <c r="N931" s="202" t="e" vm="338">
        <f>IFERROR(_xlfn.IMAGE("https://natalie.tf/wp-content/uploads/2023/11/DLV3_Icon_Affinity_"&amp;O931&amp;".png"),"")</f>
        <v>#VALUE!</v>
      </c>
      <c r="O931" s="203" t="str">
        <f>IF(INDEX(WP!$A:$AN,MATCH(F932,WP!$B:$B,0),8)=0,"None",INDEX(WP!$A:$AN,MATCH(F932,WP!$B:$B,0),8))</f>
        <v>Wolf</v>
      </c>
      <c r="P931" s="8" t="e" vm="14">
        <f>_xlfn.IMAGE("https://natalie.tf/wp-content/uploads/2023/10/DLV3_Icon_Ability_"&amp;INDEX('WP-A'!$A$1:$Z$498,MATCH('WP-Print'!Q931,'WP-A'!$A:$A,0),MATCH("Icon",'WP-A'!$A$1:$Z$1,0))&amp;".png")</f>
        <v>#VALUE!</v>
      </c>
      <c r="Q931" s="231" t="str">
        <f>+INDEX(WP!$A:$AN,MATCH(F932,WP!$B:$B,0),MATCH("Ability",WP!$A$2:$AN$2,0))</f>
        <v>Slayer's Strength +4%</v>
      </c>
      <c r="R931" s="734" t="str">
        <f>+INDEX(WP!$A:$AN,MATCH(F932,WP!$B:$B,0),MATCH("Obtain From",WP!$A$2:$AN$2,0))</f>
        <v>Clear Mercury's Trial: Expert</v>
      </c>
    </row>
    <row r="932" spans="1:18" ht="22.5" customHeight="1" x14ac:dyDescent="0.2">
      <c r="A932" s="204" t="str">
        <f>TEXT(A929+1,"000")</f>
        <v>310</v>
      </c>
      <c r="B932" s="729"/>
      <c r="C932" s="8"/>
      <c r="D932" s="729"/>
      <c r="E932" s="8"/>
      <c r="F932" s="200" t="str">
        <f>"WP-"&amp;A932</f>
        <v>WP-310</v>
      </c>
      <c r="G932" s="200">
        <f>+INDEX(WP!$A:$AN,MATCH(F932,WP!$B:$B,0),MATCH("ID",WP!$A$2:$AN$2,0))</f>
        <v>400023</v>
      </c>
      <c r="I932" s="8"/>
      <c r="J932" s="180" t="s">
        <v>10762</v>
      </c>
      <c r="K932" s="201">
        <f>+INDEX(WP!$A:$AN,MATCH(F932,WP!$B:$B,0),14)</f>
        <v>4</v>
      </c>
      <c r="L932" s="202">
        <f>+INDEX(WP!$A:$AN,MATCH(F932,WP!$B:$B,0),15)</f>
        <v>130</v>
      </c>
      <c r="M932" s="202">
        <f>+INDEX(WP!$A:$AN,MATCH(F932,WP!$B:$B,0),16)</f>
        <v>80</v>
      </c>
      <c r="N932" s="202" t="e" vm="338">
        <f>IFERROR(_xlfn.IMAGE("https://natalie.tf/wp-content/uploads/2023/11/DLV3_Icon_Affinity_"&amp;O932&amp;".png"),"")</f>
        <v>#VALUE!</v>
      </c>
      <c r="O932" s="203" t="str">
        <f>+INDEX(WP!$A:$AN,MATCH(F932,WP!$B:$B,0),17)</f>
        <v>Wolf</v>
      </c>
      <c r="P932" s="8" t="e" vm="14">
        <f>_xlfn.IMAGE("https://natalie.tf/wp-content/uploads/2023/10/DLV3_Icon_Ability_"&amp;INDEX('WP-A'!$A$1:$Z$498,MATCH('WP-Print'!Q932,'WP-A'!$A:$A,0),MATCH("Icon",'WP-A'!$A$1:$Z$1,0))&amp;".png")</f>
        <v>#VALUE!</v>
      </c>
      <c r="Q932" s="231" t="str">
        <f>+INDEX(WP!$A:$AN,MATCH(F932,WP!$B:$B,0),MATCH("Ability V3",WP!$A$2:$AN$2,0))</f>
        <v>Slayer's Strength +5%</v>
      </c>
      <c r="R932" s="735"/>
    </row>
    <row r="933" spans="1:18" ht="7.5" customHeight="1" x14ac:dyDescent="0.2">
      <c r="A933" t="s">
        <v>10763</v>
      </c>
    </row>
    <row r="934" spans="1:18" ht="22.5" customHeight="1" x14ac:dyDescent="0.2">
      <c r="B934" s="729" t="e" vm="968">
        <f>_xlfn.IMAGE("https://natalie.tf/wp-content/uploads/2023/10/DLV3_Icon_WP_"&amp;G935&amp;"_01.png")</f>
        <v>#VALUE!</v>
      </c>
      <c r="D934" s="730" t="e" vm="969">
        <f>_xlfn.IMAGE("https://natalie.tf/wp-content/uploads/2023/10/DLV3_Icon_WP_"&amp;G935&amp;"_02.png")</f>
        <v>#VALUE!</v>
      </c>
      <c r="F934" s="717" t="str">
        <f>+INDEX(WP!$A:$AN,MATCH(F935,WP!$B:$B,0),MATCH("Name",WP!$A$2:$AN$2,0))</f>
        <v>Liber Grimortis</v>
      </c>
      <c r="G934" s="718"/>
      <c r="H934" s="719"/>
      <c r="J934" s="180" t="s">
        <v>10761</v>
      </c>
      <c r="K934" s="201">
        <f>+INDEX(WP!$A:$AN,MATCH(F935,WP!$B:$B,0),5)</f>
        <v>3</v>
      </c>
      <c r="L934" s="202">
        <f>+INDEX(WP!$A:$AN,MATCH(F935,WP!$B:$B,0),6)</f>
        <v>35</v>
      </c>
      <c r="M934" s="202">
        <f>+INDEX(WP!$A:$AN,MATCH(F935,WP!$B:$B,0),7)</f>
        <v>13</v>
      </c>
      <c r="N934" s="202" t="e" vm="342">
        <f>IFERROR(_xlfn.IMAGE("https://natalie.tf/wp-content/uploads/2023/11/DLV3_Icon_Affinity_"&amp;O934&amp;".png"),"")</f>
        <v>#VALUE!</v>
      </c>
      <c r="O934" s="203" t="str">
        <f>IF(INDEX(WP!$A:$AN,MATCH(F935,WP!$B:$B,0),8)=0,"None",INDEX(WP!$A:$AN,MATCH(F935,WP!$B:$B,0),8))</f>
        <v>Bow</v>
      </c>
      <c r="P934" s="8" t="e" vm="322">
        <f>_xlfn.IMAGE("https://natalie.tf/wp-content/uploads/2023/10/DLV3_Icon_Ability_"&amp;INDEX('WP-A'!$A$1:$Z$498,MATCH('WP-Print'!Q934,'WP-A'!$A:$A,0),MATCH("Icon",'WP-A'!$A$1:$Z$1,0))&amp;".png")</f>
        <v>#VALUE!</v>
      </c>
      <c r="Q934" s="231" t="str">
        <f>+INDEX(WP!$A:$AN,MATCH(F935,WP!$B:$B,0),MATCH("Ability",WP!$A$2:$AN$2,0))</f>
        <v>Skill Damage +20%</v>
      </c>
      <c r="R934" s="734" t="str">
        <f>+INDEX(WP!$A:$AN,MATCH(F935,WP!$B:$B,0),MATCH("Obtain From",WP!$A$2:$AN$2,0))</f>
        <v>Clear Battle at the Wartarch Ruins: Master (The Imperial Onslaught)</v>
      </c>
    </row>
    <row r="935" spans="1:18" ht="22.5" customHeight="1" x14ac:dyDescent="0.2">
      <c r="A935" s="204" t="str">
        <f>TEXT(A932+1,"000")</f>
        <v>311</v>
      </c>
      <c r="B935" s="729"/>
      <c r="C935" s="8"/>
      <c r="D935" s="729"/>
      <c r="E935" s="8"/>
      <c r="F935" s="200" t="str">
        <f>"WP-"&amp;A935</f>
        <v>WP-311</v>
      </c>
      <c r="G935" s="200">
        <f>+INDEX(WP!$A:$AN,MATCH(F935,WP!$B:$B,0),MATCH("ID",WP!$A$2:$AN$2,0))</f>
        <v>400024</v>
      </c>
      <c r="I935" s="8"/>
      <c r="J935" s="180" t="s">
        <v>10762</v>
      </c>
      <c r="K935" s="201">
        <f>+INDEX(WP!$A:$AN,MATCH(F935,WP!$B:$B,0),14)</f>
        <v>4</v>
      </c>
      <c r="L935" s="202">
        <f>+INDEX(WP!$A:$AN,MATCH(F935,WP!$B:$B,0),15)</f>
        <v>130</v>
      </c>
      <c r="M935" s="202">
        <f>+INDEX(WP!$A:$AN,MATCH(F935,WP!$B:$B,0),16)</f>
        <v>80</v>
      </c>
      <c r="N935" s="202" t="e" vm="342">
        <f>IFERROR(_xlfn.IMAGE("https://natalie.tf/wp-content/uploads/2023/11/DLV3_Icon_Affinity_"&amp;O935&amp;".png"),"")</f>
        <v>#VALUE!</v>
      </c>
      <c r="O935" s="203" t="str">
        <f>+INDEX(WP!$A:$AN,MATCH(F935,WP!$B:$B,0),17)</f>
        <v>Bow</v>
      </c>
      <c r="P935" s="8" t="e" vm="322">
        <f>_xlfn.IMAGE("https://natalie.tf/wp-content/uploads/2023/10/DLV3_Icon_Ability_"&amp;INDEX('WP-A'!$A$1:$Z$498,MATCH('WP-Print'!Q935,'WP-A'!$A:$A,0),MATCH("Icon",'WP-A'!$A$1:$Z$1,0))&amp;".png")</f>
        <v>#VALUE!</v>
      </c>
      <c r="Q935" s="231" t="str">
        <f>+INDEX(WP!$A:$AN,MATCH(F935,WP!$B:$B,0),MATCH("Ability V3",WP!$A$2:$AN$2,0))</f>
        <v>Skill Damage +20%</v>
      </c>
      <c r="R935" s="735"/>
    </row>
    <row r="936" spans="1:18" ht="7.5" customHeight="1" x14ac:dyDescent="0.2">
      <c r="A936" t="s">
        <v>10763</v>
      </c>
    </row>
    <row r="937" spans="1:18" ht="22.5" customHeight="1" x14ac:dyDescent="0.2">
      <c r="B937" s="729" t="e" vm="970">
        <f>_xlfn.IMAGE("https://natalie.tf/wp-content/uploads/2023/10/DLV3_Icon_WP_"&amp;G938&amp;"_01.png")</f>
        <v>#VALUE!</v>
      </c>
      <c r="D937" s="730" t="e" vm="971">
        <f>_xlfn.IMAGE("https://natalie.tf/wp-content/uploads/2023/10/DLV3_Icon_WP_"&amp;G938&amp;"_02.png")</f>
        <v>#VALUE!</v>
      </c>
      <c r="F937" s="717" t="str">
        <f>+INDEX(WP!$A:$AN,MATCH(F938,WP!$B:$B,0),MATCH("Name",WP!$A$2:$AN$2,0))</f>
        <v>Night Harbinger</v>
      </c>
      <c r="G937" s="718"/>
      <c r="H937" s="719"/>
      <c r="J937" s="180" t="s">
        <v>10761</v>
      </c>
      <c r="K937" s="201">
        <f>+INDEX(WP!$A:$AN,MATCH(F938,WP!$B:$B,0),5)</f>
        <v>3</v>
      </c>
      <c r="L937" s="202">
        <f>+INDEX(WP!$A:$AN,MATCH(F938,WP!$B:$B,0),6)</f>
        <v>35</v>
      </c>
      <c r="M937" s="202">
        <f>+INDEX(WP!$A:$AN,MATCH(F938,WP!$B:$B,0),7)</f>
        <v>13</v>
      </c>
      <c r="N937" s="202" t="e" vm="339">
        <f>IFERROR(_xlfn.IMAGE("https://natalie.tf/wp-content/uploads/2023/11/DLV3_Icon_Affinity_"&amp;O937&amp;".png"),"")</f>
        <v>#VALUE!</v>
      </c>
      <c r="O937" s="203" t="str">
        <f>IF(INDEX(WP!$A:$AN,MATCH(F938,WP!$B:$B,0),8)=0,"None",INDEX(WP!$A:$AN,MATCH(F938,WP!$B:$B,0),8))</f>
        <v>Sword</v>
      </c>
      <c r="P937" s="8" t="e" vm="14">
        <f>_xlfn.IMAGE("https://natalie.tf/wp-content/uploads/2023/10/DLV3_Icon_Ability_"&amp;INDEX('WP-A'!$A$1:$Z$498,MATCH('WP-Print'!Q937,'WP-A'!$A:$A,0),MATCH("Icon",'WP-A'!$A$1:$Z$1,0))&amp;".png")</f>
        <v>#VALUE!</v>
      </c>
      <c r="Q937" s="231" t="str">
        <f>+INDEX(WP!$A:$AN,MATCH(F938,WP!$B:$B,0),MATCH("Ability",WP!$A$2:$AN$2,0))</f>
        <v>Full HP = Strength +10%</v>
      </c>
      <c r="R937" s="734" t="str">
        <f>+INDEX(WP!$A:$AN,MATCH(F938,WP!$B:$B,0),MATCH("Obtain From",WP!$A$2:$AN$2,0))</f>
        <v>Raise an Adventurer to Lv. 30</v>
      </c>
    </row>
    <row r="938" spans="1:18" ht="22.5" customHeight="1" x14ac:dyDescent="0.2">
      <c r="A938" s="204" t="str">
        <f>TEXT(A935+1,"000")</f>
        <v>312</v>
      </c>
      <c r="B938" s="729"/>
      <c r="C938" s="8"/>
      <c r="D938" s="729"/>
      <c r="E938" s="8"/>
      <c r="F938" s="200" t="str">
        <f>"WP-"&amp;A938</f>
        <v>WP-312</v>
      </c>
      <c r="G938" s="200">
        <f>+INDEX(WP!$A:$AN,MATCH(F938,WP!$B:$B,0),MATCH("ID",WP!$A$2:$AN$2,0))</f>
        <v>400025</v>
      </c>
      <c r="I938" s="8"/>
      <c r="J938" s="180" t="s">
        <v>10762</v>
      </c>
      <c r="K938" s="201">
        <f>+INDEX(WP!$A:$AN,MATCH(F938,WP!$B:$B,0),14)</f>
        <v>4</v>
      </c>
      <c r="L938" s="202">
        <f>+INDEX(WP!$A:$AN,MATCH(F938,WP!$B:$B,0),15)</f>
        <v>130</v>
      </c>
      <c r="M938" s="202">
        <f>+INDEX(WP!$A:$AN,MATCH(F938,WP!$B:$B,0),16)</f>
        <v>80</v>
      </c>
      <c r="N938" s="202" t="e" vm="340">
        <f>IFERROR(_xlfn.IMAGE("https://natalie.tf/wp-content/uploads/2023/11/DLV3_Icon_Affinity_"&amp;O938&amp;".png"),"")</f>
        <v>#VALUE!</v>
      </c>
      <c r="O938" s="203" t="str">
        <f>+INDEX(WP!$A:$AN,MATCH(F938,WP!$B:$B,0),17)</f>
        <v>Lance</v>
      </c>
      <c r="P938" s="8" t="e" vm="14">
        <f>_xlfn.IMAGE("https://natalie.tf/wp-content/uploads/2023/10/DLV3_Icon_Ability_"&amp;INDEX('WP-A'!$A$1:$Z$498,MATCH('WP-Print'!Q938,'WP-A'!$A:$A,0),MATCH("Icon",'WP-A'!$A$1:$Z$1,0))&amp;".png")</f>
        <v>#VALUE!</v>
      </c>
      <c r="Q938" s="231" t="str">
        <f>+INDEX(WP!$A:$AN,MATCH(F938,WP!$B:$B,0),MATCH("Ability V3",WP!$A$2:$AN$2,0))</f>
        <v>Strength +13%</v>
      </c>
      <c r="R938" s="735"/>
    </row>
    <row r="939" spans="1:18" ht="7.5" customHeight="1" x14ac:dyDescent="0.2">
      <c r="A939" t="s">
        <v>10763</v>
      </c>
    </row>
    <row r="940" spans="1:18" ht="22.5" customHeight="1" x14ac:dyDescent="0.2">
      <c r="B940" s="729" t="e" vm="972">
        <f>_xlfn.IMAGE("https://natalie.tf/wp-content/uploads/2023/10/DLV3_Icon_WP_"&amp;G941&amp;"_01.png")</f>
        <v>#VALUE!</v>
      </c>
      <c r="D940" s="730" t="e" vm="973">
        <f>_xlfn.IMAGE("https://natalie.tf/wp-content/uploads/2023/10/DLV3_Icon_WP_"&amp;G941&amp;"_02.png")</f>
        <v>#VALUE!</v>
      </c>
      <c r="F940" s="717" t="str">
        <f>+INDEX(WP!$A:$AN,MATCH(F941,WP!$B:$B,0),MATCH("Name",WP!$A$2:$AN$2,0))</f>
        <v>Tracks of Hope</v>
      </c>
      <c r="G940" s="718"/>
      <c r="H940" s="719"/>
      <c r="J940" s="180" t="s">
        <v>10761</v>
      </c>
      <c r="K940" s="201">
        <f>+INDEX(WP!$A:$AN,MATCH(F941,WP!$B:$B,0),5)</f>
        <v>3</v>
      </c>
      <c r="L940" s="202">
        <f>+INDEX(WP!$A:$AN,MATCH(F941,WP!$B:$B,0),6)</f>
        <v>38</v>
      </c>
      <c r="M940" s="202">
        <f>+INDEX(WP!$A:$AN,MATCH(F941,WP!$B:$B,0),7)</f>
        <v>10</v>
      </c>
      <c r="N940" s="202" t="str">
        <f ca="1">IFERROR(_xlfn.IMAGE("https://natalie.tf/wp-content/uploads/2023/11/DLV3_Icon_Affinity_"&amp;O940&amp;".png"),"")</f>
        <v/>
      </c>
      <c r="O940" s="203" t="str">
        <f>IF(INDEX(WP!$A:$AN,MATCH(F941,WP!$B:$B,0),8)=0,"None",INDEX(WP!$A:$AN,MATCH(F941,WP!$B:$B,0),8))</f>
        <v>None</v>
      </c>
      <c r="P940" s="8" t="e" vm="720">
        <f>_xlfn.IMAGE("https://natalie.tf/wp-content/uploads/2023/10/DLV3_Icon_Ability_"&amp;INDEX('WP-A'!$A$1:$Z$498,MATCH('WP-Print'!Q940,'WP-A'!$A:$A,0),MATCH("Icon",'WP-A'!$A$1:$Z$1,0))&amp;".png")</f>
        <v>#VALUE!</v>
      </c>
      <c r="Q940" s="231" t="str">
        <f>+INDEX(WP!$A:$AN,MATCH(F941,WP!$B:$B,0),MATCH("Ability",WP!$A$2:$AN$2,0))</f>
        <v>Stun Res +25%</v>
      </c>
      <c r="R940" s="734" t="str">
        <f>+INDEX(WP!$A:$AN,MATCH(F941,WP!$B:$B,0),MATCH("Obtain From",WP!$A$2:$AN$2,0))</f>
        <v>Clear Mercury's Trial: Beginner</v>
      </c>
    </row>
    <row r="941" spans="1:18" ht="22.5" customHeight="1" x14ac:dyDescent="0.2">
      <c r="A941" s="204" t="str">
        <f>TEXT(A938+1,"000")</f>
        <v>313</v>
      </c>
      <c r="B941" s="729"/>
      <c r="C941" s="8"/>
      <c r="D941" s="729"/>
      <c r="E941" s="8"/>
      <c r="F941" s="200" t="str">
        <f>"WP-"&amp;A941</f>
        <v>WP-313</v>
      </c>
      <c r="G941" s="200">
        <f>+INDEX(WP!$A:$AN,MATCH(F941,WP!$B:$B,0),MATCH("ID",WP!$A$2:$AN$2,0))</f>
        <v>400026</v>
      </c>
      <c r="I941" s="8"/>
      <c r="J941" s="180" t="s">
        <v>10762</v>
      </c>
      <c r="K941" s="201">
        <f>+INDEX(WP!$A:$AN,MATCH(F941,WP!$B:$B,0),14)</f>
        <v>4</v>
      </c>
      <c r="L941" s="202">
        <f>+INDEX(WP!$A:$AN,MATCH(F941,WP!$B:$B,0),15)</f>
        <v>130</v>
      </c>
      <c r="M941" s="202">
        <f>+INDEX(WP!$A:$AN,MATCH(F941,WP!$B:$B,0),16)</f>
        <v>80</v>
      </c>
      <c r="N941" s="202" t="e" vm="340">
        <f>IFERROR(_xlfn.IMAGE("https://natalie.tf/wp-content/uploads/2023/11/DLV3_Icon_Affinity_"&amp;O941&amp;".png"),"")</f>
        <v>#VALUE!</v>
      </c>
      <c r="O941" s="203" t="str">
        <f>+INDEX(WP!$A:$AN,MATCH(F941,WP!$B:$B,0),17)</f>
        <v>Lance</v>
      </c>
      <c r="P941" s="8" t="e" vm="720">
        <f>_xlfn.IMAGE("https://natalie.tf/wp-content/uploads/2023/10/DLV3_Icon_Ability_"&amp;INDEX('WP-A'!$A$1:$Z$498,MATCH('WP-Print'!Q941,'WP-A'!$A:$A,0),MATCH("Icon",'WP-A'!$A$1:$Z$1,0))&amp;".png")</f>
        <v>#VALUE!</v>
      </c>
      <c r="Q941" s="231" t="str">
        <f>+INDEX(WP!$A:$AN,MATCH(F941,WP!$B:$B,0),MATCH("Ability V3",WP!$A$2:$AN$2,0))</f>
        <v>Stun Res +100%</v>
      </c>
      <c r="R941" s="735"/>
    </row>
    <row r="942" spans="1:18" ht="7.5" customHeight="1" x14ac:dyDescent="0.2">
      <c r="A942" t="s">
        <v>10763</v>
      </c>
    </row>
    <row r="943" spans="1:18" ht="22.5" customHeight="1" x14ac:dyDescent="0.2">
      <c r="B943" s="729" t="e" vm="974">
        <f>_xlfn.IMAGE("https://natalie.tf/wp-content/uploads/2023/10/DLV3_Icon_WP_"&amp;G944&amp;"_01.png")</f>
        <v>#VALUE!</v>
      </c>
      <c r="D943" s="730" t="e" vm="975">
        <f>_xlfn.IMAGE("https://natalie.tf/wp-content/uploads/2023/10/DLV3_Icon_WP_"&amp;G944&amp;"_02.png")</f>
        <v>#VALUE!</v>
      </c>
      <c r="F943" s="717" t="str">
        <f>+INDEX(WP!$A:$AN,MATCH(F944,WP!$B:$B,0),MATCH("Name",WP!$A$2:$AN$2,0))</f>
        <v>Potiongrass</v>
      </c>
      <c r="G943" s="718"/>
      <c r="H943" s="719"/>
      <c r="J943" s="180" t="s">
        <v>10761</v>
      </c>
      <c r="K943" s="201">
        <f>+INDEX(WP!$A:$AN,MATCH(F944,WP!$B:$B,0),5)</f>
        <v>3</v>
      </c>
      <c r="L943" s="202">
        <f>+INDEX(WP!$A:$AN,MATCH(F944,WP!$B:$B,0),6)</f>
        <v>38</v>
      </c>
      <c r="M943" s="202">
        <f>+INDEX(WP!$A:$AN,MATCH(F944,WP!$B:$B,0),7)</f>
        <v>10</v>
      </c>
      <c r="N943" s="202" t="str">
        <f ca="1">IFERROR(_xlfn.IMAGE("https://natalie.tf/wp-content/uploads/2023/11/DLV3_Icon_Affinity_"&amp;O943&amp;".png"),"")</f>
        <v/>
      </c>
      <c r="O943" s="203" t="str">
        <f>IF(INDEX(WP!$A:$AN,MATCH(F944,WP!$B:$B,0),8)=0,"None",INDEX(WP!$A:$AN,MATCH(F944,WP!$B:$B,0),8))</f>
        <v>None</v>
      </c>
      <c r="P943" s="8" t="e" vm="729">
        <f>_xlfn.IMAGE("https://natalie.tf/wp-content/uploads/2023/10/DLV3_Icon_Ability_"&amp;INDEX('WP-A'!$A$1:$Z$498,MATCH('WP-Print'!Q943,'WP-A'!$A:$A,0),MATCH("Icon",'WP-A'!$A$1:$Z$1,0))&amp;".png")</f>
        <v>#VALUE!</v>
      </c>
      <c r="Q943" s="231" t="str">
        <f>+INDEX(WP!$A:$AN,MATCH(F944,WP!$B:$B,0),MATCH("Ability",WP!$A$2:$AN$2,0))</f>
        <v>Poison Res +25%</v>
      </c>
      <c r="R943" s="734" t="str">
        <f>+INDEX(WP!$A:$AN,MATCH(F944,WP!$B:$B,0),MATCH("Obtain From",WP!$A$2:$AN$2,0))</f>
        <v>Clear Jupiter's Trial: Master</v>
      </c>
    </row>
    <row r="944" spans="1:18" ht="22.5" customHeight="1" x14ac:dyDescent="0.2">
      <c r="A944" s="204" t="str">
        <f>TEXT(A941+1,"000")</f>
        <v>314</v>
      </c>
      <c r="B944" s="729"/>
      <c r="C944" s="8"/>
      <c r="D944" s="729"/>
      <c r="E944" s="8"/>
      <c r="F944" s="200" t="str">
        <f>"WP-"&amp;A944</f>
        <v>WP-314</v>
      </c>
      <c r="G944" s="200">
        <f>+INDEX(WP!$A:$AN,MATCH(F944,WP!$B:$B,0),MATCH("ID",WP!$A$2:$AN$2,0))</f>
        <v>400028</v>
      </c>
      <c r="I944" s="8"/>
      <c r="J944" s="180" t="s">
        <v>10762</v>
      </c>
      <c r="K944" s="201">
        <f>+INDEX(WP!$A:$AN,MATCH(F944,WP!$B:$B,0),14)</f>
        <v>4</v>
      </c>
      <c r="L944" s="202">
        <f>+INDEX(WP!$A:$AN,MATCH(F944,WP!$B:$B,0),15)</f>
        <v>130</v>
      </c>
      <c r="M944" s="202">
        <f>+INDEX(WP!$A:$AN,MATCH(F944,WP!$B:$B,0),16)</f>
        <v>80</v>
      </c>
      <c r="N944" s="202" t="e" vm="367">
        <f>IFERROR(_xlfn.IMAGE("https://natalie.tf/wp-content/uploads/2023/11/DLV3_Icon_Affinity_"&amp;O944&amp;".png"),"")</f>
        <v>#VALUE!</v>
      </c>
      <c r="O944" s="203" t="str">
        <f>+INDEX(WP!$A:$AN,MATCH(F944,WP!$B:$B,0),17)</f>
        <v>Spider</v>
      </c>
      <c r="P944" s="8" t="e" vm="7">
        <f>_xlfn.IMAGE("https://natalie.tf/wp-content/uploads/2023/10/DLV3_Icon_Ability_"&amp;INDEX('WP-A'!$A$1:$Z$498,MATCH('WP-Print'!Q944,'WP-A'!$A:$A,0),MATCH("Icon",'WP-A'!$A$1:$Z$1,0))&amp;".png")</f>
        <v>#VALUE!</v>
      </c>
      <c r="Q944" s="231" t="str">
        <f>+INDEX(WP!$A:$AN,MATCH(F944,WP!$B:$B,0),MATCH("Ability V3",WP!$A$2:$AN$2,0))</f>
        <v>Force Strike +40%</v>
      </c>
      <c r="R944" s="735"/>
    </row>
    <row r="945" spans="1:18" ht="7.5" customHeight="1" x14ac:dyDescent="0.2">
      <c r="A945" t="s">
        <v>10763</v>
      </c>
    </row>
    <row r="946" spans="1:18" ht="22.5" customHeight="1" x14ac:dyDescent="0.2">
      <c r="B946" s="729" t="e" vm="976">
        <f>_xlfn.IMAGE("https://natalie.tf/wp-content/uploads/2023/10/DLV3_Icon_WP_"&amp;G947&amp;"_01.png")</f>
        <v>#VALUE!</v>
      </c>
      <c r="D946" s="730" t="e" vm="977">
        <f>_xlfn.IMAGE("https://natalie.tf/wp-content/uploads/2023/10/DLV3_Icon_WP_"&amp;G947&amp;"_02.png")</f>
        <v>#VALUE!</v>
      </c>
      <c r="F946" s="717" t="str">
        <f>+INDEX(WP!$A:$AN,MATCH(F947,WP!$B:$B,0),MATCH("Name",WP!$A$2:$AN$2,0))</f>
        <v>Nevermelt Ice</v>
      </c>
      <c r="G946" s="718"/>
      <c r="H946" s="719"/>
      <c r="J946" s="180" t="s">
        <v>10761</v>
      </c>
      <c r="K946" s="201">
        <f>+INDEX(WP!$A:$AN,MATCH(F947,WP!$B:$B,0),5)</f>
        <v>3</v>
      </c>
      <c r="L946" s="202">
        <f>+INDEX(WP!$A:$AN,MATCH(F947,WP!$B:$B,0),6)</f>
        <v>38</v>
      </c>
      <c r="M946" s="202">
        <f>+INDEX(WP!$A:$AN,MATCH(F947,WP!$B:$B,0),7)</f>
        <v>10</v>
      </c>
      <c r="N946" s="202" t="str">
        <f ca="1">IFERROR(_xlfn.IMAGE("https://natalie.tf/wp-content/uploads/2023/11/DLV3_Icon_Affinity_"&amp;O946&amp;".png"),"")</f>
        <v/>
      </c>
      <c r="O946" s="203" t="str">
        <f>IF(INDEX(WP!$A:$AN,MATCH(F947,WP!$B:$B,0),8)=0,"None",INDEX(WP!$A:$AN,MATCH(F947,WP!$B:$B,0),8))</f>
        <v>None</v>
      </c>
      <c r="P946" s="8" t="e" vm="839">
        <f>_xlfn.IMAGE("https://natalie.tf/wp-content/uploads/2023/10/DLV3_Icon_Ability_"&amp;INDEX('WP-A'!$A$1:$Z$498,MATCH('WP-Print'!Q946,'WP-A'!$A:$A,0),MATCH("Icon",'WP-A'!$A$1:$Z$1,0))&amp;".png")</f>
        <v>#VALUE!</v>
      </c>
      <c r="Q946" s="231" t="str">
        <f>+INDEX(WP!$A:$AN,MATCH(F947,WP!$B:$B,0),MATCH("Ability",WP!$A$2:$AN$2,0))</f>
        <v>Freeze Res +25%</v>
      </c>
      <c r="R946" s="734" t="str">
        <f>+INDEX(WP!$A:$AN,MATCH(F947,WP!$B:$B,0),MATCH("Obtain From",WP!$A$2:$AN$2,0))</f>
        <v>Clear Battle in the Dornith Mountains: Standard (The Imperial Onslaught)</v>
      </c>
    </row>
    <row r="947" spans="1:18" ht="22.5" customHeight="1" x14ac:dyDescent="0.2">
      <c r="A947" s="204" t="str">
        <f>TEXT(A944+1,"000")</f>
        <v>315</v>
      </c>
      <c r="B947" s="729"/>
      <c r="C947" s="8"/>
      <c r="D947" s="729"/>
      <c r="E947" s="8"/>
      <c r="F947" s="200" t="str">
        <f>"WP-"&amp;A947</f>
        <v>WP-315</v>
      </c>
      <c r="G947" s="200">
        <f>+INDEX(WP!$A:$AN,MATCH(F947,WP!$B:$B,0),MATCH("ID",WP!$A$2:$AN$2,0))</f>
        <v>400031</v>
      </c>
      <c r="I947" s="8"/>
      <c r="J947" s="180" t="s">
        <v>10762</v>
      </c>
      <c r="K947" s="201">
        <f>+INDEX(WP!$A:$AN,MATCH(F947,WP!$B:$B,0),14)</f>
        <v>4</v>
      </c>
      <c r="L947" s="202">
        <f>+INDEX(WP!$A:$AN,MATCH(F947,WP!$B:$B,0),15)</f>
        <v>130</v>
      </c>
      <c r="M947" s="202">
        <f>+INDEX(WP!$A:$AN,MATCH(F947,WP!$B:$B,0),16)</f>
        <v>80</v>
      </c>
      <c r="N947" s="202" t="e" vm="343">
        <f>IFERROR(_xlfn.IMAGE("https://natalie.tf/wp-content/uploads/2023/11/DLV3_Icon_Affinity_"&amp;O947&amp;".png"),"")</f>
        <v>#VALUE!</v>
      </c>
      <c r="O947" s="203" t="str">
        <f>+INDEX(WP!$A:$AN,MATCH(F947,WP!$B:$B,0),17)</f>
        <v>Axe</v>
      </c>
      <c r="P947" s="8" t="e" vm="839">
        <f>_xlfn.IMAGE("https://natalie.tf/wp-content/uploads/2023/10/DLV3_Icon_Ability_"&amp;INDEX('WP-A'!$A$1:$Z$498,MATCH('WP-Print'!Q947,'WP-A'!$A:$A,0),MATCH("Icon",'WP-A'!$A$1:$Z$1,0))&amp;".png")</f>
        <v>#VALUE!</v>
      </c>
      <c r="Q947" s="231" t="str">
        <f>+INDEX(WP!$A:$AN,MATCH(F947,WP!$B:$B,0),MATCH("Ability V3",WP!$A$2:$AN$2,0))</f>
        <v>Freeze Res +100%</v>
      </c>
      <c r="R947" s="735"/>
    </row>
    <row r="948" spans="1:18" ht="7.5" customHeight="1" x14ac:dyDescent="0.2">
      <c r="A948" t="s">
        <v>10763</v>
      </c>
    </row>
    <row r="949" spans="1:18" ht="22.5" customHeight="1" x14ac:dyDescent="0.2">
      <c r="B949" s="729" t="e" vm="978">
        <f>_xlfn.IMAGE("https://natalie.tf/wp-content/uploads/2023/10/DLV3_Icon_WP_"&amp;G950&amp;"_01.png")</f>
        <v>#VALUE!</v>
      </c>
      <c r="D949" s="730" t="e" vm="979">
        <f>_xlfn.IMAGE("https://natalie.tf/wp-content/uploads/2023/10/DLV3_Icon_WP_"&amp;G950&amp;"_02.png")</f>
        <v>#VALUE!</v>
      </c>
      <c r="F949" s="717" t="str">
        <f>+INDEX(WP!$A:$AN,MATCH(F950,WP!$B:$B,0),MATCH("Name",WP!$A$2:$AN$2,0))</f>
        <v>Crown of Yore</v>
      </c>
      <c r="G949" s="718"/>
      <c r="H949" s="719"/>
      <c r="J949" s="180" t="s">
        <v>10761</v>
      </c>
      <c r="K949" s="201">
        <f>+INDEX(WP!$A:$AN,MATCH(F950,WP!$B:$B,0),5)</f>
        <v>3</v>
      </c>
      <c r="L949" s="202">
        <f>+INDEX(WP!$A:$AN,MATCH(F950,WP!$B:$B,0),6)</f>
        <v>36</v>
      </c>
      <c r="M949" s="202">
        <f>+INDEX(WP!$A:$AN,MATCH(F950,WP!$B:$B,0),7)</f>
        <v>12</v>
      </c>
      <c r="N949" s="202" t="e" vm="342">
        <f>IFERROR(_xlfn.IMAGE("https://natalie.tf/wp-content/uploads/2023/11/DLV3_Icon_Affinity_"&amp;O949&amp;".png"),"")</f>
        <v>#VALUE!</v>
      </c>
      <c r="O949" s="203" t="str">
        <f>IF(INDEX(WP!$A:$AN,MATCH(F950,WP!$B:$B,0),8)=0,"None",INDEX(WP!$A:$AN,MATCH(F950,WP!$B:$B,0),8))</f>
        <v>Bow</v>
      </c>
      <c r="P949" s="8" t="e" vm="411">
        <f>_xlfn.IMAGE("https://natalie.tf/wp-content/uploads/2023/10/DLV3_Icon_Ability_"&amp;INDEX('WP-A'!$A$1:$Z$498,MATCH('WP-Print'!Q949,'WP-A'!$A:$A,0),MATCH("Icon",'WP-A'!$A$1:$Z$1,0))&amp;".png")</f>
        <v>#VALUE!</v>
      </c>
      <c r="Q949" s="231" t="str">
        <f>+INDEX(WP!$A:$AN,MATCH(F950,WP!$B:$B,0),MATCH("Ability",WP!$A$2:$AN$2,0))</f>
        <v>Skill Prep +20%</v>
      </c>
      <c r="R949" s="734" t="str">
        <f>+INDEX(WP!$A:$AN,MATCH(F950,WP!$B:$B,0),MATCH("Obtain From",WP!$A$2:$AN$2,0))</f>
        <v>Obtain From Ch. 02 EX 1 Chest (Very Hard) (Non-Endeavor)</v>
      </c>
    </row>
    <row r="950" spans="1:18" ht="22.5" customHeight="1" x14ac:dyDescent="0.2">
      <c r="A950" s="204" t="str">
        <f>TEXT(A947+1,"000")</f>
        <v>316</v>
      </c>
      <c r="B950" s="729"/>
      <c r="C950" s="8"/>
      <c r="D950" s="729"/>
      <c r="E950" s="8"/>
      <c r="F950" s="200" t="str">
        <f>"WP-"&amp;A950</f>
        <v>WP-316</v>
      </c>
      <c r="G950" s="200">
        <f>+INDEX(WP!$A:$AN,MATCH(F950,WP!$B:$B,0),MATCH("ID",WP!$A$2:$AN$2,0))</f>
        <v>400029</v>
      </c>
      <c r="I950" s="8"/>
      <c r="J950" s="180" t="s">
        <v>10762</v>
      </c>
      <c r="K950" s="201">
        <f>+INDEX(WP!$A:$AN,MATCH(F950,WP!$B:$B,0),14)</f>
        <v>4</v>
      </c>
      <c r="L950" s="202">
        <f>+INDEX(WP!$A:$AN,MATCH(F950,WP!$B:$B,0),15)</f>
        <v>130</v>
      </c>
      <c r="M950" s="202">
        <f>+INDEX(WP!$A:$AN,MATCH(F950,WP!$B:$B,0),16)</f>
        <v>80</v>
      </c>
      <c r="N950" s="202" t="e" vm="342">
        <f>IFERROR(_xlfn.IMAGE("https://natalie.tf/wp-content/uploads/2023/11/DLV3_Icon_Affinity_"&amp;O950&amp;".png"),"")</f>
        <v>#VALUE!</v>
      </c>
      <c r="O950" s="203" t="str">
        <f>+INDEX(WP!$A:$AN,MATCH(F950,WP!$B:$B,0),17)</f>
        <v>Bow</v>
      </c>
      <c r="P950" s="8" t="e" vm="411">
        <f>_xlfn.IMAGE("https://natalie.tf/wp-content/uploads/2023/10/DLV3_Icon_Ability_"&amp;INDEX('WP-A'!$A$1:$Z$498,MATCH('WP-Print'!Q950,'WP-A'!$A:$A,0),MATCH("Icon",'WP-A'!$A$1:$Z$1,0))&amp;".png")</f>
        <v>#VALUE!</v>
      </c>
      <c r="Q950" s="231" t="str">
        <f>+INDEX(WP!$A:$AN,MATCH(F950,WP!$B:$B,0),MATCH("Ability V3",WP!$A$2:$AN$2,0))</f>
        <v>Skill Prep +50%</v>
      </c>
      <c r="R950" s="735"/>
    </row>
    <row r="951" spans="1:18" ht="7.5" customHeight="1" x14ac:dyDescent="0.2">
      <c r="A951" t="s">
        <v>10763</v>
      </c>
    </row>
    <row r="952" spans="1:18" ht="22.5" customHeight="1" x14ac:dyDescent="0.2">
      <c r="B952" s="729" t="e" vm="980">
        <f>_xlfn.IMAGE("https://natalie.tf/wp-content/uploads/2023/10/DLV3_Icon_WP_"&amp;G953&amp;"_01.png")</f>
        <v>#VALUE!</v>
      </c>
      <c r="D952" s="730" t="e" vm="981">
        <f>_xlfn.IMAGE("https://natalie.tf/wp-content/uploads/2023/10/DLV3_Icon_WP_"&amp;G953&amp;"_02.png")</f>
        <v>#VALUE!</v>
      </c>
      <c r="F952" s="717" t="str">
        <f>+INDEX(WP!$A:$AN,MATCH(F953,WP!$B:$B,0),MATCH("Name",WP!$A$2:$AN$2,0))</f>
        <v>Pumpkin Pail</v>
      </c>
      <c r="G952" s="718"/>
      <c r="H952" s="719"/>
      <c r="J952" s="180" t="s">
        <v>10761</v>
      </c>
      <c r="K952" s="201">
        <f>+INDEX(WP!$A:$AN,MATCH(F953,WP!$B:$B,0),5)</f>
        <v>3</v>
      </c>
      <c r="L952" s="202">
        <f>+INDEX(WP!$A:$AN,MATCH(F953,WP!$B:$B,0),6)</f>
        <v>38</v>
      </c>
      <c r="M952" s="202">
        <f>+INDEX(WP!$A:$AN,MATCH(F953,WP!$B:$B,0),7)</f>
        <v>10</v>
      </c>
      <c r="N952" s="202" t="str">
        <f ca="1">IFERROR(_xlfn.IMAGE("https://natalie.tf/wp-content/uploads/2023/11/DLV3_Icon_Affinity_"&amp;O952&amp;".png"),"")</f>
        <v/>
      </c>
      <c r="O952" s="203" t="str">
        <f>IF(INDEX(WP!$A:$AN,MATCH(F953,WP!$B:$B,0),8)=0,"None",INDEX(WP!$A:$AN,MATCH(F953,WP!$B:$B,0),8))</f>
        <v>None</v>
      </c>
      <c r="P952" s="8" t="e" vm="421">
        <f>_xlfn.IMAGE("https://natalie.tf/wp-content/uploads/2023/10/DLV3_Icon_Ability_"&amp;INDEX('WP-A'!$A$1:$Z$498,MATCH('WP-Print'!Q952,'WP-A'!$A:$A,0),MATCH("Icon",'WP-A'!$A$1:$Z$1,0))&amp;".png")</f>
        <v>#VALUE!</v>
      </c>
      <c r="Q952" s="231" t="str">
        <f>+INDEX(WP!$A:$AN,MATCH(F953,WP!$B:$B,0),MATCH("Ability",WP!$A$2:$AN$2,0))</f>
        <v>Curse Res +25%</v>
      </c>
      <c r="R952" s="734" t="str">
        <f>+INDEX(WP!$A:$AN,MATCH(F953,WP!$B:$B,0),MATCH("Obtain From",WP!$A$2:$AN$2,0))</f>
        <v>Clear Lantern o' Laughs (Trick or Treasure!)</v>
      </c>
    </row>
    <row r="953" spans="1:18" ht="22.5" customHeight="1" x14ac:dyDescent="0.2">
      <c r="A953" s="204" t="str">
        <f>TEXT(A950+1,"000")</f>
        <v>317</v>
      </c>
      <c r="B953" s="729"/>
      <c r="C953" s="8"/>
      <c r="D953" s="729"/>
      <c r="E953" s="8"/>
      <c r="F953" s="200" t="str">
        <f>"WP-"&amp;A953</f>
        <v>WP-317</v>
      </c>
      <c r="G953" s="200">
        <f>+INDEX(WP!$A:$AN,MATCH(F953,WP!$B:$B,0),MATCH("ID",WP!$A$2:$AN$2,0))</f>
        <v>400032</v>
      </c>
      <c r="I953" s="8"/>
      <c r="J953" s="180" t="s">
        <v>10762</v>
      </c>
      <c r="K953" s="201">
        <f>+INDEX(WP!$A:$AN,MATCH(F953,WP!$B:$B,0),14)</f>
        <v>4</v>
      </c>
      <c r="L953" s="202">
        <f>+INDEX(WP!$A:$AN,MATCH(F953,WP!$B:$B,0),15)</f>
        <v>130</v>
      </c>
      <c r="M953" s="202">
        <f>+INDEX(WP!$A:$AN,MATCH(F953,WP!$B:$B,0),16)</f>
        <v>80</v>
      </c>
      <c r="N953" s="202" t="e" vm="367">
        <f>IFERROR(_xlfn.IMAGE("https://natalie.tf/wp-content/uploads/2023/11/DLV3_Icon_Affinity_"&amp;O953&amp;".png"),"")</f>
        <v>#VALUE!</v>
      </c>
      <c r="O953" s="203" t="str">
        <f>+INDEX(WP!$A:$AN,MATCH(F953,WP!$B:$B,0),17)</f>
        <v>Spider</v>
      </c>
      <c r="P953" s="8" t="e" vm="421">
        <f>_xlfn.IMAGE("https://natalie.tf/wp-content/uploads/2023/10/DLV3_Icon_Ability_"&amp;INDEX('WP-A'!$A$1:$Z$498,MATCH('WP-Print'!Q953,'WP-A'!$A:$A,0),MATCH("Icon",'WP-A'!$A$1:$Z$1,0))&amp;".png")</f>
        <v>#VALUE!</v>
      </c>
      <c r="Q953" s="231" t="str">
        <f>+INDEX(WP!$A:$AN,MATCH(F953,WP!$B:$B,0),MATCH("Ability V3",WP!$A$2:$AN$2,0))</f>
        <v>Curse Res +100%</v>
      </c>
      <c r="R953" s="735"/>
    </row>
    <row r="954" spans="1:18" ht="7.5" customHeight="1" x14ac:dyDescent="0.2">
      <c r="A954" t="s">
        <v>10763</v>
      </c>
    </row>
    <row r="955" spans="1:18" ht="22.5" customHeight="1" x14ac:dyDescent="0.2">
      <c r="B955" s="729" t="e" vm="982">
        <f>_xlfn.IMAGE("https://natalie.tf/wp-content/uploads/2023/10/DLV3_Icon_WP_"&amp;G956&amp;"_01.png")</f>
        <v>#VALUE!</v>
      </c>
      <c r="D955" s="730" t="e" vm="983">
        <f>_xlfn.IMAGE("https://natalie.tf/wp-content/uploads/2023/10/DLV3_Icon_WP_"&amp;G956&amp;"_02.png")</f>
        <v>#VALUE!</v>
      </c>
      <c r="F955" s="717" t="str">
        <f>+INDEX(WP!$A:$AN,MATCH(F956,WP!$B:$B,0),MATCH("Name",WP!$A$2:$AN$2,0))</f>
        <v>The Halidom's Picnic</v>
      </c>
      <c r="G955" s="718"/>
      <c r="H955" s="719"/>
      <c r="J955" s="180" t="s">
        <v>10761</v>
      </c>
      <c r="K955" s="201">
        <f>+INDEX(WP!$A:$AN,MATCH(F956,WP!$B:$B,0),5)</f>
        <v>3</v>
      </c>
      <c r="L955" s="202">
        <f>+INDEX(WP!$A:$AN,MATCH(F956,WP!$B:$B,0),6)</f>
        <v>38</v>
      </c>
      <c r="M955" s="202">
        <f>+INDEX(WP!$A:$AN,MATCH(F956,WP!$B:$B,0),7)</f>
        <v>10</v>
      </c>
      <c r="N955" s="202" t="str">
        <f ca="1">IFERROR(_xlfn.IMAGE("https://natalie.tf/wp-content/uploads/2023/11/DLV3_Icon_Affinity_"&amp;O955&amp;".png"),"")</f>
        <v/>
      </c>
      <c r="O955" s="203" t="str">
        <f>IF(INDEX(WP!$A:$AN,MATCH(F956,WP!$B:$B,0),8)=0,"None",INDEX(WP!$A:$AN,MATCH(F956,WP!$B:$B,0),8))</f>
        <v>None</v>
      </c>
      <c r="P955" s="8" t="e" vm="769">
        <f>_xlfn.IMAGE("https://natalie.tf/wp-content/uploads/2023/10/DLV3_Icon_Ability_"&amp;INDEX('WP-A'!$A$1:$Z$498,MATCH('WP-Print'!Q955,'WP-A'!$A:$A,0),MATCH("Icon",'WP-A'!$A$1:$Z$1,0))&amp;".png")</f>
        <v>#VALUE!</v>
      </c>
      <c r="Q955" s="231" t="str">
        <f>+INDEX(WP!$A:$AN,MATCH(F956,WP!$B:$B,0),MATCH("Ability",WP!$A$2:$AN$2,0))</f>
        <v>Sleep Res +25%</v>
      </c>
      <c r="R955" s="734" t="str">
        <f>+INDEX(WP!$A:$AN,MATCH(F956,WP!$B:$B,0),MATCH("Obtain From",WP!$A$2:$AN$2,0))</f>
        <v>Clear Flamehowl Ruins: Expert (Elemental Ruins)</v>
      </c>
    </row>
    <row r="956" spans="1:18" ht="22.5" customHeight="1" x14ac:dyDescent="0.2">
      <c r="A956" s="204" t="str">
        <f>TEXT(A953+1,"000")</f>
        <v>318</v>
      </c>
      <c r="B956" s="729"/>
      <c r="C956" s="8"/>
      <c r="D956" s="729"/>
      <c r="E956" s="8"/>
      <c r="F956" s="200" t="str">
        <f>"WP-"&amp;A956</f>
        <v>WP-318</v>
      </c>
      <c r="G956" s="200">
        <f>+INDEX(WP!$A:$AN,MATCH(F956,WP!$B:$B,0),MATCH("ID",WP!$A$2:$AN$2,0))</f>
        <v>400101</v>
      </c>
      <c r="I956" s="8"/>
      <c r="J956" s="180" t="s">
        <v>10762</v>
      </c>
      <c r="K956" s="201">
        <f>+INDEX(WP!$A:$AN,MATCH(F956,WP!$B:$B,0),14)</f>
        <v>4</v>
      </c>
      <c r="L956" s="202">
        <f>+INDEX(WP!$A:$AN,MATCH(F956,WP!$B:$B,0),15)</f>
        <v>130</v>
      </c>
      <c r="M956" s="202">
        <f>+INDEX(WP!$A:$AN,MATCH(F956,WP!$B:$B,0),16)</f>
        <v>80</v>
      </c>
      <c r="N956" s="202" t="e" vm="338">
        <f>IFERROR(_xlfn.IMAGE("https://natalie.tf/wp-content/uploads/2023/11/DLV3_Icon_Affinity_"&amp;O956&amp;".png"),"")</f>
        <v>#VALUE!</v>
      </c>
      <c r="O956" s="203" t="str">
        <f>+INDEX(WP!$A:$AN,MATCH(F956,WP!$B:$B,0),17)</f>
        <v>Wolf</v>
      </c>
      <c r="P956" s="8" t="e" vm="769">
        <f>_xlfn.IMAGE("https://natalie.tf/wp-content/uploads/2023/10/DLV3_Icon_Ability_"&amp;INDEX('WP-A'!$A$1:$Z$498,MATCH('WP-Print'!Q956,'WP-A'!$A:$A,0),MATCH("Icon",'WP-A'!$A$1:$Z$1,0))&amp;".png")</f>
        <v>#VALUE!</v>
      </c>
      <c r="Q956" s="231" t="str">
        <f>+INDEX(WP!$A:$AN,MATCH(F956,WP!$B:$B,0),MATCH("Ability V3",WP!$A$2:$AN$2,0))</f>
        <v>Sleep Res +100%</v>
      </c>
      <c r="R956" s="735"/>
    </row>
    <row r="957" spans="1:18" ht="7.5" customHeight="1" x14ac:dyDescent="0.2">
      <c r="A957" t="s">
        <v>10763</v>
      </c>
    </row>
    <row r="958" spans="1:18" ht="22.5" customHeight="1" x14ac:dyDescent="0.2">
      <c r="B958" s="729" t="e" vm="984">
        <f>_xlfn.IMAGE("https://natalie.tf/wp-content/uploads/2023/10/DLV3_Icon_WP_"&amp;G959&amp;"_01.png")</f>
        <v>#VALUE!</v>
      </c>
      <c r="D958" s="730" t="e" vm="985">
        <f>_xlfn.IMAGE("https://natalie.tf/wp-content/uploads/2023/10/DLV3_Icon_WP_"&amp;G959&amp;"_02.png")</f>
        <v>#VALUE!</v>
      </c>
      <c r="F958" s="717" t="str">
        <f>+INDEX(WP!$A:$AN,MATCH(F959,WP!$B:$B,0),MATCH("Name",WP!$A$2:$AN$2,0))</f>
        <v>Garuda's Feathers</v>
      </c>
      <c r="G958" s="718"/>
      <c r="H958" s="719"/>
      <c r="J958" s="180" t="s">
        <v>10761</v>
      </c>
      <c r="K958" s="201">
        <f>+INDEX(WP!$A:$AN,MATCH(F959,WP!$B:$B,0),5)</f>
        <v>3</v>
      </c>
      <c r="L958" s="202">
        <f>+INDEX(WP!$A:$AN,MATCH(F959,WP!$B:$B,0),6)</f>
        <v>38</v>
      </c>
      <c r="M958" s="202">
        <f>+INDEX(WP!$A:$AN,MATCH(F959,WP!$B:$B,0),7)</f>
        <v>10</v>
      </c>
      <c r="N958" s="202" t="str">
        <f ca="1">IFERROR(_xlfn.IMAGE("https://natalie.tf/wp-content/uploads/2023/11/DLV3_Icon_Affinity_"&amp;O958&amp;".png"),"")</f>
        <v/>
      </c>
      <c r="O958" s="203" t="str">
        <f>IF(INDEX(WP!$A:$AN,MATCH(F959,WP!$B:$B,0),8)=0,"None",INDEX(WP!$A:$AN,MATCH(F959,WP!$B:$B,0),8))</f>
        <v>None</v>
      </c>
      <c r="P958" s="8" t="e" vm="426">
        <f>_xlfn.IMAGE("https://natalie.tf/wp-content/uploads/2023/10/DLV3_Icon_Ability_"&amp;INDEX('WP-A'!$A$1:$Z$498,MATCH('WP-Print'!Q958,'WP-A'!$A:$A,0),MATCH("Icon",'WP-A'!$A$1:$Z$1,0))&amp;".png")</f>
        <v>#VALUE!</v>
      </c>
      <c r="Q958" s="231" t="str">
        <f>+INDEX(WP!$A:$AN,MATCH(F959,WP!$B:$B,0),MATCH("Ability",WP!$A$2:$AN$2,0))</f>
        <v>Full HP = Defense +20%</v>
      </c>
      <c r="R958" s="734" t="str">
        <f>+INDEX(WP!$A:$AN,MATCH(F959,WP!$B:$B,0),MATCH("Obtain From",WP!$A$2:$AN$2,0))</f>
        <v>Clear Fiend Alert!: Beginner (A Wish to the Winds)</v>
      </c>
    </row>
    <row r="959" spans="1:18" ht="22.5" customHeight="1" x14ac:dyDescent="0.2">
      <c r="A959" s="204" t="str">
        <f>TEXT(A956+1,"000")</f>
        <v>319</v>
      </c>
      <c r="B959" s="729"/>
      <c r="C959" s="8"/>
      <c r="D959" s="729"/>
      <c r="E959" s="8"/>
      <c r="F959" s="200" t="str">
        <f>"WP-"&amp;A959</f>
        <v>WP-319</v>
      </c>
      <c r="G959" s="200">
        <f>+INDEX(WP!$A:$AN,MATCH(F959,WP!$B:$B,0),MATCH("ID",WP!$A$2:$AN$2,0))</f>
        <v>400106</v>
      </c>
      <c r="I959" s="8"/>
      <c r="J959" s="180" t="s">
        <v>10762</v>
      </c>
      <c r="K959" s="201">
        <f>+INDEX(WP!$A:$AN,MATCH(F959,WP!$B:$B,0),14)</f>
        <v>4</v>
      </c>
      <c r="L959" s="202">
        <f>+INDEX(WP!$A:$AN,MATCH(F959,WP!$B:$B,0),15)</f>
        <v>130</v>
      </c>
      <c r="M959" s="202">
        <f>+INDEX(WP!$A:$AN,MATCH(F959,WP!$B:$B,0),16)</f>
        <v>80</v>
      </c>
      <c r="N959" s="202" t="e" vm="343">
        <f>IFERROR(_xlfn.IMAGE("https://natalie.tf/wp-content/uploads/2023/11/DLV3_Icon_Affinity_"&amp;O959&amp;".png"),"")</f>
        <v>#VALUE!</v>
      </c>
      <c r="O959" s="203" t="str">
        <f>+INDEX(WP!$A:$AN,MATCH(F959,WP!$B:$B,0),17)</f>
        <v>Axe</v>
      </c>
      <c r="P959" s="8" t="e" vm="426">
        <f>_xlfn.IMAGE("https://natalie.tf/wp-content/uploads/2023/10/DLV3_Icon_Ability_"&amp;INDEX('WP-A'!$A$1:$Z$498,MATCH('WP-Print'!Q959,'WP-A'!$A:$A,0),MATCH("Icon",'WP-A'!$A$1:$Z$1,0))&amp;".png")</f>
        <v>#VALUE!</v>
      </c>
      <c r="Q959" s="231" t="str">
        <f>+INDEX(WP!$A:$AN,MATCH(F959,WP!$B:$B,0),MATCH("Ability V3",WP!$A$2:$AN$2,0))</f>
        <v>Defense +15%</v>
      </c>
      <c r="R959" s="735"/>
    </row>
    <row r="960" spans="1:18" ht="7.5" customHeight="1" x14ac:dyDescent="0.2">
      <c r="A960" t="s">
        <v>10763</v>
      </c>
    </row>
    <row r="961" spans="1:18" ht="22.5" customHeight="1" x14ac:dyDescent="0.2">
      <c r="B961" s="729" t="e" vm="986">
        <f>_xlfn.IMAGE("https://natalie.tf/wp-content/uploads/2023/10/DLV3_Icon_WP_"&amp;G962&amp;"_01.png")</f>
        <v>#VALUE!</v>
      </c>
      <c r="D961" s="730" t="e" vm="987">
        <f>_xlfn.IMAGE("https://natalie.tf/wp-content/uploads/2023/10/DLV3_Icon_WP_"&amp;G962&amp;"_02.png")</f>
        <v>#VALUE!</v>
      </c>
      <c r="F961" s="717" t="str">
        <f>+INDEX(WP!$A:$AN,MATCH(F962,WP!$B:$B,0),MATCH("Name",WP!$A$2:$AN$2,0))</f>
        <v>Secret Friend</v>
      </c>
      <c r="G961" s="718"/>
      <c r="H961" s="719"/>
      <c r="J961" s="180" t="s">
        <v>10761</v>
      </c>
      <c r="K961" s="201">
        <f>+INDEX(WP!$A:$AN,MATCH(F962,WP!$B:$B,0),5)</f>
        <v>3</v>
      </c>
      <c r="L961" s="202">
        <f>+INDEX(WP!$A:$AN,MATCH(F962,WP!$B:$B,0),6)</f>
        <v>36</v>
      </c>
      <c r="M961" s="202">
        <f>+INDEX(WP!$A:$AN,MATCH(F962,WP!$B:$B,0),7)</f>
        <v>12</v>
      </c>
      <c r="N961" s="202" t="e" vm="337">
        <f>IFERROR(_xlfn.IMAGE("https://natalie.tf/wp-content/uploads/2023/11/DLV3_Icon_Affinity_"&amp;O961&amp;".png"),"")</f>
        <v>#VALUE!</v>
      </c>
      <c r="O961" s="203" t="str">
        <f>IF(INDEX(WP!$A:$AN,MATCH(F962,WP!$B:$B,0),8)=0,"None",INDEX(WP!$A:$AN,MATCH(F962,WP!$B:$B,0),8))</f>
        <v>Serpent</v>
      </c>
      <c r="P961" s="8" t="e" vm="330">
        <f>_xlfn.IMAGE("https://natalie.tf/wp-content/uploads/2023/10/DLV3_Icon_Ability_"&amp;INDEX('WP-A'!$A$1:$Z$498,MATCH('WP-Print'!Q961,'WP-A'!$A:$A,0),MATCH("Icon",'WP-A'!$A$1:$Z$1,0))&amp;".png")</f>
        <v>#VALUE!</v>
      </c>
      <c r="Q961" s="231" t="str">
        <f>+INDEX(WP!$A:$AN,MATCH(F962,WP!$B:$B,0),MATCH("Ability",WP!$A$2:$AN$2,0))</f>
        <v>(Light) Skill Haste +6%</v>
      </c>
      <c r="R961" s="734" t="str">
        <f>+INDEX(WP!$A:$AN,MATCH(F962,WP!$B:$B,0),MATCH("Obtain From",WP!$A$2:$AN$2,0))</f>
        <v>Clear Shadowsteep Ruins: Beginner (Elemental Ruins)</v>
      </c>
    </row>
    <row r="962" spans="1:18" ht="22.5" customHeight="1" x14ac:dyDescent="0.2">
      <c r="A962" s="204" t="str">
        <f>TEXT(A959+1,"000")</f>
        <v>320</v>
      </c>
      <c r="B962" s="729"/>
      <c r="C962" s="8"/>
      <c r="D962" s="729"/>
      <c r="E962" s="8"/>
      <c r="F962" s="200" t="str">
        <f>"WP-"&amp;A962</f>
        <v>WP-320</v>
      </c>
      <c r="G962" s="200">
        <f>+INDEX(WP!$A:$AN,MATCH(F962,WP!$B:$B,0),MATCH("ID",WP!$A$2:$AN$2,0))</f>
        <v>400113</v>
      </c>
      <c r="I962" s="8"/>
      <c r="J962" s="180" t="s">
        <v>10762</v>
      </c>
      <c r="K962" s="201">
        <f>+INDEX(WP!$A:$AN,MATCH(F962,WP!$B:$B,0),14)</f>
        <v>4</v>
      </c>
      <c r="L962" s="202">
        <f>+INDEX(WP!$A:$AN,MATCH(F962,WP!$B:$B,0),15)</f>
        <v>130</v>
      </c>
      <c r="M962" s="202">
        <f>+INDEX(WP!$A:$AN,MATCH(F962,WP!$B:$B,0),16)</f>
        <v>80</v>
      </c>
      <c r="N962" s="202" t="e" vm="337">
        <f>IFERROR(_xlfn.IMAGE("https://natalie.tf/wp-content/uploads/2023/11/DLV3_Icon_Affinity_"&amp;O962&amp;".png"),"")</f>
        <v>#VALUE!</v>
      </c>
      <c r="O962" s="203" t="str">
        <f>+INDEX(WP!$A:$AN,MATCH(F962,WP!$B:$B,0),17)</f>
        <v>Serpent</v>
      </c>
      <c r="P962" s="8" t="e" vm="330">
        <f>_xlfn.IMAGE("https://natalie.tf/wp-content/uploads/2023/10/DLV3_Icon_Ability_"&amp;INDEX('WP-A'!$A$1:$Z$498,MATCH('WP-Print'!Q962,'WP-A'!$A:$A,0),MATCH("Icon",'WP-A'!$A$1:$Z$1,0))&amp;".png")</f>
        <v>#VALUE!</v>
      </c>
      <c r="Q962" s="231" t="str">
        <f>+INDEX(WP!$A:$AN,MATCH(F962,WP!$B:$B,0),MATCH("Ability V3",WP!$A$2:$AN$2,0))</f>
        <v>(Light) Skill Haste +7%</v>
      </c>
      <c r="R962" s="735"/>
    </row>
    <row r="963" spans="1:18" ht="7.5" customHeight="1" x14ac:dyDescent="0.2">
      <c r="A963" t="s">
        <v>10763</v>
      </c>
    </row>
    <row r="964" spans="1:18" ht="22.5" customHeight="1" x14ac:dyDescent="0.2">
      <c r="B964" s="729" t="e" vm="988">
        <f>_xlfn.IMAGE("https://natalie.tf/wp-content/uploads/2023/10/DLV3_Icon_WP_"&amp;G965&amp;"_01.png")</f>
        <v>#VALUE!</v>
      </c>
      <c r="D964" s="730" t="e" vm="989">
        <f>_xlfn.IMAGE("https://natalie.tf/wp-content/uploads/2023/10/DLV3_Icon_WP_"&amp;G965&amp;"_02.png")</f>
        <v>#VALUE!</v>
      </c>
      <c r="F964" s="717" t="str">
        <f>+INDEX(WP!$A:$AN,MATCH(F965,WP!$B:$B,0),MATCH("Name",WP!$A$2:$AN$2,0))</f>
        <v>Roast Feast</v>
      </c>
      <c r="G964" s="718"/>
      <c r="H964" s="719"/>
      <c r="J964" s="180" t="s">
        <v>10761</v>
      </c>
      <c r="K964" s="201">
        <f>+INDEX(WP!$A:$AN,MATCH(F965,WP!$B:$B,0),5)</f>
        <v>3</v>
      </c>
      <c r="L964" s="202">
        <f>+INDEX(WP!$A:$AN,MATCH(F965,WP!$B:$B,0),6)</f>
        <v>36</v>
      </c>
      <c r="M964" s="202">
        <f>+INDEX(WP!$A:$AN,MATCH(F965,WP!$B:$B,0),7)</f>
        <v>12</v>
      </c>
      <c r="N964" s="202" t="str">
        <f ca="1">IFERROR(_xlfn.IMAGE("https://natalie.tf/wp-content/uploads/2023/11/DLV3_Icon_Affinity_"&amp;O964&amp;".png"),"")</f>
        <v/>
      </c>
      <c r="O964" s="203" t="str">
        <f>IF(INDEX(WP!$A:$AN,MATCH(F965,WP!$B:$B,0),8)=0,"None",INDEX(WP!$A:$AN,MATCH(F965,WP!$B:$B,0),8))</f>
        <v>None</v>
      </c>
      <c r="P964" s="8" t="e" vm="349">
        <f>_xlfn.IMAGE("https://natalie.tf/wp-content/uploads/2023/10/DLV3_Icon_Ability_"&amp;INDEX('WP-A'!$A$1:$Z$498,MATCH('WP-Print'!Q964,'WP-A'!$A:$A,0),MATCH("Icon",'WP-A'!$A$1:$Z$1,0))&amp;".png")</f>
        <v>#VALUE!</v>
      </c>
      <c r="Q964" s="231" t="str">
        <f>+INDEX(WP!$A:$AN,MATCH(F965,WP!$B:$B,0),MATCH("Ability",WP!$A$2:$AN$2,0))</f>
        <v>Recovery Potency +8%</v>
      </c>
      <c r="R964" s="734" t="str">
        <f>+INDEX(WP!$A:$AN,MATCH(F965,WP!$B:$B,0),MATCH("Obtain From",WP!$A$2:$AN$2,0))</f>
        <v>Clear a Boss Battle on Beginner (The Miracle of Dragonyule)</v>
      </c>
    </row>
    <row r="965" spans="1:18" ht="22.5" customHeight="1" x14ac:dyDescent="0.2">
      <c r="A965" s="204" t="str">
        <f>TEXT(A962+1,"000")</f>
        <v>321</v>
      </c>
      <c r="B965" s="729"/>
      <c r="C965" s="8"/>
      <c r="D965" s="729"/>
      <c r="E965" s="8"/>
      <c r="F965" s="200" t="str">
        <f>"WP-"&amp;A965</f>
        <v>WP-321</v>
      </c>
      <c r="G965" s="200">
        <f>+INDEX(WP!$A:$AN,MATCH(F965,WP!$B:$B,0),MATCH("ID",WP!$A$2:$AN$2,0))</f>
        <v>400117</v>
      </c>
      <c r="I965" s="8"/>
      <c r="J965" s="180" t="s">
        <v>10762</v>
      </c>
      <c r="K965" s="201">
        <f>+INDEX(WP!$A:$AN,MATCH(F965,WP!$B:$B,0),14)</f>
        <v>4</v>
      </c>
      <c r="L965" s="202">
        <f>+INDEX(WP!$A:$AN,MATCH(F965,WP!$B:$B,0),15)</f>
        <v>130</v>
      </c>
      <c r="M965" s="202">
        <f>+INDEX(WP!$A:$AN,MATCH(F965,WP!$B:$B,0),16)</f>
        <v>80</v>
      </c>
      <c r="N965" s="202" t="e" vm="346">
        <f>IFERROR(_xlfn.IMAGE("https://natalie.tf/wp-content/uploads/2023/11/DLV3_Icon_Affinity_"&amp;O965&amp;".png"),"")</f>
        <v>#VALUE!</v>
      </c>
      <c r="O965" s="203" t="str">
        <f>+INDEX(WP!$A:$AN,MATCH(F965,WP!$B:$B,0),17)</f>
        <v>Bull</v>
      </c>
      <c r="P965" s="8" t="e" vm="349">
        <f>_xlfn.IMAGE("https://natalie.tf/wp-content/uploads/2023/10/DLV3_Icon_Ability_"&amp;INDEX('WP-A'!$A$1:$Z$498,MATCH('WP-Print'!Q965,'WP-A'!$A:$A,0),MATCH("Icon",'WP-A'!$A$1:$Z$1,0))&amp;".png")</f>
        <v>#VALUE!</v>
      </c>
      <c r="Q965" s="231" t="str">
        <f>+INDEX(WP!$A:$AN,MATCH(F965,WP!$B:$B,0),MATCH("Ability V3",WP!$A$2:$AN$2,0))</f>
        <v>Recovery Potency +12%</v>
      </c>
      <c r="R965" s="735"/>
    </row>
    <row r="966" spans="1:18" ht="7.5" customHeight="1" x14ac:dyDescent="0.2">
      <c r="A966" t="s">
        <v>10763</v>
      </c>
    </row>
    <row r="967" spans="1:18" ht="22.5" customHeight="1" x14ac:dyDescent="0.2">
      <c r="B967" s="729" t="e" vm="990">
        <f>_xlfn.IMAGE("https://natalie.tf/wp-content/uploads/2023/10/DLV3_Icon_WP_"&amp;G968&amp;"_01.png")</f>
        <v>#VALUE!</v>
      </c>
      <c r="D967" s="730" t="e" vm="991">
        <f>_xlfn.IMAGE("https://natalie.tf/wp-content/uploads/2023/10/DLV3_Icon_WP_"&amp;G968&amp;"_02.png")</f>
        <v>#VALUE!</v>
      </c>
      <c r="F967" s="717" t="str">
        <f>+INDEX(WP!$A:$AN,MATCH(F968,WP!$B:$B,0),MATCH("Name",WP!$A$2:$AN$2,0))</f>
        <v>Vio Rhyse Alberia!</v>
      </c>
      <c r="G967" s="718"/>
      <c r="H967" s="719"/>
      <c r="J967" s="180" t="s">
        <v>10761</v>
      </c>
      <c r="K967" s="201">
        <f>+INDEX(WP!$A:$AN,MATCH(F968,WP!$B:$B,0),5)</f>
        <v>3</v>
      </c>
      <c r="L967" s="202">
        <f>+INDEX(WP!$A:$AN,MATCH(F968,WP!$B:$B,0),6)</f>
        <v>35</v>
      </c>
      <c r="M967" s="202">
        <f>+INDEX(WP!$A:$AN,MATCH(F968,WP!$B:$B,0),7)</f>
        <v>13</v>
      </c>
      <c r="N967" s="202" t="e" vm="381">
        <f>IFERROR(_xlfn.IMAGE("https://natalie.tf/wp-content/uploads/2023/11/DLV3_Icon_Affinity_"&amp;O967&amp;".png"),"")</f>
        <v>#VALUE!</v>
      </c>
      <c r="O967" s="203" t="str">
        <f>IF(INDEX(WP!$A:$AN,MATCH(F968,WP!$B:$B,0),8)=0,"None",INDEX(WP!$A:$AN,MATCH(F968,WP!$B:$B,0),8))</f>
        <v>Dragon</v>
      </c>
      <c r="P967" s="8" t="e" vm="14">
        <f>_xlfn.IMAGE("https://natalie.tf/wp-content/uploads/2023/10/DLV3_Icon_Ability_"&amp;INDEX('WP-A'!$A$1:$Z$498,MATCH('WP-Print'!Q967,'WP-A'!$A:$A,0),MATCH("Icon",'WP-A'!$A$1:$Z$1,0))&amp;".png")</f>
        <v>#VALUE!</v>
      </c>
      <c r="Q967" s="231" t="str">
        <f>+INDEX(WP!$A:$AN,MATCH(F968,WP!$B:$B,0),MATCH("Ability",WP!$A$2:$AN$2,0))</f>
        <v>Slayer's Strength +4%</v>
      </c>
      <c r="R967" s="734" t="str">
        <f>+INDEX(WP!$A:$AN,MATCH(F968,WP!$B:$B,0),MATCH("Obtain From",WP!$A$2:$AN$2,0))</f>
        <v>Clear Avenue to Power: Standard</v>
      </c>
    </row>
    <row r="968" spans="1:18" ht="22.5" customHeight="1" x14ac:dyDescent="0.2">
      <c r="A968" s="204" t="str">
        <f>TEXT(A965+1,"000")</f>
        <v>322</v>
      </c>
      <c r="B968" s="729"/>
      <c r="C968" s="8"/>
      <c r="D968" s="729"/>
      <c r="E968" s="8"/>
      <c r="F968" s="200" t="str">
        <f>"WP-"&amp;A968</f>
        <v>WP-322</v>
      </c>
      <c r="G968" s="200">
        <f>+INDEX(WP!$A:$AN,MATCH(F968,WP!$B:$B,0),MATCH("ID",WP!$A$2:$AN$2,0))</f>
        <v>400027</v>
      </c>
      <c r="I968" s="8"/>
      <c r="J968" s="180" t="s">
        <v>10762</v>
      </c>
      <c r="K968" s="201">
        <f>+INDEX(WP!$A:$AN,MATCH(F968,WP!$B:$B,0),14)</f>
        <v>4</v>
      </c>
      <c r="L968" s="202">
        <f>+INDEX(WP!$A:$AN,MATCH(F968,WP!$B:$B,0),15)</f>
        <v>130</v>
      </c>
      <c r="M968" s="202">
        <f>+INDEX(WP!$A:$AN,MATCH(F968,WP!$B:$B,0),16)</f>
        <v>80</v>
      </c>
      <c r="N968" s="202" t="e" vm="381">
        <f>IFERROR(_xlfn.IMAGE("https://natalie.tf/wp-content/uploads/2023/11/DLV3_Icon_Affinity_"&amp;O968&amp;".png"),"")</f>
        <v>#VALUE!</v>
      </c>
      <c r="O968" s="203" t="str">
        <f>+INDEX(WP!$A:$AN,MATCH(F968,WP!$B:$B,0),17)</f>
        <v>Dragon</v>
      </c>
      <c r="P968" s="8" t="e" vm="14">
        <f>_xlfn.IMAGE("https://natalie.tf/wp-content/uploads/2023/10/DLV3_Icon_Ability_"&amp;INDEX('WP-A'!$A$1:$Z$498,MATCH('WP-Print'!Q968,'WP-A'!$A:$A,0),MATCH("Icon",'WP-A'!$A$1:$Z$1,0))&amp;".png")</f>
        <v>#VALUE!</v>
      </c>
      <c r="Q968" s="231" t="str">
        <f>+INDEX(WP!$A:$AN,MATCH(F968,WP!$B:$B,0),MATCH("Ability V3",WP!$A$2:$AN$2,0))</f>
        <v>Slayer's Strength +5%</v>
      </c>
      <c r="R968" s="735"/>
    </row>
    <row r="969" spans="1:18" ht="22.5" customHeight="1" x14ac:dyDescent="0.2">
      <c r="A969" t="s">
        <v>10763</v>
      </c>
    </row>
    <row r="970" spans="1:18" ht="22.5" customHeight="1" x14ac:dyDescent="0.2">
      <c r="B970" s="729" t="e" vm="992">
        <f>_xlfn.IMAGE("https://natalie.tf/wp-content/uploads/2023/10/DLV3_Icon_WP_"&amp;G971&amp;"_01.png")</f>
        <v>#VALUE!</v>
      </c>
      <c r="D970" s="730" t="e" vm="993">
        <f>_xlfn.IMAGE("https://natalie.tf/wp-content/uploads/2023/10/DLV3_Icon_WP_"&amp;G971&amp;"_02.png")</f>
        <v>#VALUE!</v>
      </c>
      <c r="F970" s="717" t="str">
        <f>+INDEX(WP!$A:$AN,MATCH(F971,WP!$B:$B,0),MATCH("Name",WP!$A$2:$AN$2,0))</f>
        <v>Welcome, One and All</v>
      </c>
      <c r="G970" s="718"/>
      <c r="H970" s="719"/>
      <c r="J970" s="180" t="s">
        <v>10761</v>
      </c>
      <c r="K970" s="201">
        <f>+INDEX(WP!$A:$AN,MATCH(F971,WP!$B:$B,0),5)</f>
        <v>3</v>
      </c>
      <c r="L970" s="202">
        <f>+INDEX(WP!$A:$AN,MATCH(F971,WP!$B:$B,0),6)</f>
        <v>36</v>
      </c>
      <c r="M970" s="202">
        <f>+INDEX(WP!$A:$AN,MATCH(F971,WP!$B:$B,0),7)</f>
        <v>12</v>
      </c>
      <c r="N970" s="202" t="e" vm="367">
        <f>IFERROR(_xlfn.IMAGE("https://natalie.tf/wp-content/uploads/2023/11/DLV3_Icon_Affinity_"&amp;O970&amp;".png"),"")</f>
        <v>#VALUE!</v>
      </c>
      <c r="O970" s="203" t="str">
        <f>IF(INDEX(WP!$A:$AN,MATCH(F971,WP!$B:$B,0),8)=0,"None",INDEX(WP!$A:$AN,MATCH(F971,WP!$B:$B,0),8))</f>
        <v>Spider</v>
      </c>
      <c r="P970" s="8" t="e" vm="411">
        <f>_xlfn.IMAGE("https://natalie.tf/wp-content/uploads/2023/10/DLV3_Icon_Ability_"&amp;INDEX('WP-A'!$A$1:$Z$498,MATCH('WP-Print'!Q970,'WP-A'!$A:$A,0),MATCH("Icon",'WP-A'!$A$1:$Z$1,0))&amp;".png")</f>
        <v>#VALUE!</v>
      </c>
      <c r="Q970" s="231" t="str">
        <f>+INDEX(WP!$A:$AN,MATCH(F971,WP!$B:$B,0),MATCH("Ability",WP!$A$2:$AN$2,0))</f>
        <v>Skill Prep +20%</v>
      </c>
      <c r="R970" s="734" t="str">
        <f>+INDEX(WP!$A:$AN,MATCH(F971,WP!$B:$B,0),MATCH("Obtain From",WP!$A$2:$AN$2,0))</f>
        <v>Clear Welcome to the Fiend Circus: Beginner (Dream Big Under the Big Top)</v>
      </c>
    </row>
    <row r="971" spans="1:18" ht="22.5" customHeight="1" x14ac:dyDescent="0.2">
      <c r="A971" s="204" t="str">
        <f>TEXT(A968+1,"000")</f>
        <v>323</v>
      </c>
      <c r="B971" s="729"/>
      <c r="C971" s="8"/>
      <c r="D971" s="729"/>
      <c r="E971" s="8"/>
      <c r="F971" s="200" t="str">
        <f>"WP-"&amp;A971</f>
        <v>WP-323</v>
      </c>
      <c r="G971" s="200">
        <f>+INDEX(WP!$A:$AN,MATCH(F971,WP!$B:$B,0),MATCH("ID",WP!$A$2:$AN$2,0))</f>
        <v>400130</v>
      </c>
      <c r="I971" s="8"/>
      <c r="J971" s="180" t="s">
        <v>10762</v>
      </c>
      <c r="K971" s="201">
        <f>+INDEX(WP!$A:$AN,MATCH(F971,WP!$B:$B,0),14)</f>
        <v>4</v>
      </c>
      <c r="L971" s="202">
        <f>+INDEX(WP!$A:$AN,MATCH(F971,WP!$B:$B,0),15)</f>
        <v>130</v>
      </c>
      <c r="M971" s="202">
        <f>+INDEX(WP!$A:$AN,MATCH(F971,WP!$B:$B,0),16)</f>
        <v>80</v>
      </c>
      <c r="N971" s="202" t="e" vm="367">
        <f>IFERROR(_xlfn.IMAGE("https://natalie.tf/wp-content/uploads/2023/11/DLV3_Icon_Affinity_"&amp;O971&amp;".png"),"")</f>
        <v>#VALUE!</v>
      </c>
      <c r="O971" s="203" t="str">
        <f>+INDEX(WP!$A:$AN,MATCH(F971,WP!$B:$B,0),17)</f>
        <v>Spider</v>
      </c>
      <c r="P971" s="8" t="e" vm="411">
        <f>_xlfn.IMAGE("https://natalie.tf/wp-content/uploads/2023/10/DLV3_Icon_Ability_"&amp;INDEX('WP-A'!$A$1:$Z$498,MATCH('WP-Print'!Q971,'WP-A'!$A:$A,0),MATCH("Icon",'WP-A'!$A$1:$Z$1,0))&amp;".png")</f>
        <v>#VALUE!</v>
      </c>
      <c r="Q971" s="231" t="str">
        <f>+INDEX(WP!$A:$AN,MATCH(F971,WP!$B:$B,0),MATCH("Ability V3",WP!$A$2:$AN$2,0))</f>
        <v>Skill Prep +50%</v>
      </c>
      <c r="R971" s="735"/>
    </row>
    <row r="972" spans="1:18" ht="7.5" customHeight="1" x14ac:dyDescent="0.2">
      <c r="A972" t="s">
        <v>10763</v>
      </c>
    </row>
    <row r="973" spans="1:18" ht="22.5" customHeight="1" x14ac:dyDescent="0.2">
      <c r="B973" s="729" t="e" vm="994">
        <f>_xlfn.IMAGE("https://natalie.tf/wp-content/uploads/2023/10/DLV3_Icon_WP_"&amp;G974&amp;"_01.png")</f>
        <v>#VALUE!</v>
      </c>
      <c r="D973" s="730" t="e" vm="995">
        <f>_xlfn.IMAGE("https://natalie.tf/wp-content/uploads/2023/10/DLV3_Icon_WP_"&amp;G974&amp;"_02.png")</f>
        <v>#VALUE!</v>
      </c>
      <c r="F973" s="717" t="str">
        <f>+INDEX(WP!$A:$AN,MATCH(F974,WP!$B:$B,0),MATCH("Name",WP!$A$2:$AN$2,0))</f>
        <v>Blossoms Ablaze</v>
      </c>
      <c r="G973" s="718"/>
      <c r="H973" s="719"/>
      <c r="J973" s="180" t="s">
        <v>10761</v>
      </c>
      <c r="K973" s="201">
        <f>+INDEX(WP!$A:$AN,MATCH(F974,WP!$B:$B,0),5)</f>
        <v>3</v>
      </c>
      <c r="L973" s="202">
        <f>+INDEX(WP!$A:$AN,MATCH(F974,WP!$B:$B,0),6)</f>
        <v>35</v>
      </c>
      <c r="M973" s="202">
        <f>+INDEX(WP!$A:$AN,MATCH(F974,WP!$B:$B,0),7)</f>
        <v>13</v>
      </c>
      <c r="N973" s="202" t="str">
        <f ca="1">IFERROR(_xlfn.IMAGE("https://natalie.tf/wp-content/uploads/2023/11/DLV3_Icon_Affinity_"&amp;O973&amp;".png"),"")</f>
        <v/>
      </c>
      <c r="O973" s="203" t="str">
        <f>IF(INDEX(WP!$A:$AN,MATCH(F974,WP!$B:$B,0),8)=0,"None",INDEX(WP!$A:$AN,MATCH(F974,WP!$B:$B,0),8))</f>
        <v>None</v>
      </c>
      <c r="P973" s="8" t="e" vm="376">
        <f>_xlfn.IMAGE("https://natalie.tf/wp-content/uploads/2023/10/DLV3_Icon_Ability_"&amp;INDEX('WP-A'!$A$1:$Z$498,MATCH('WP-Print'!Q973,'WP-A'!$A:$A,0),MATCH("Icon",'WP-A'!$A$1:$Z$1,0))&amp;".png")</f>
        <v>#VALUE!</v>
      </c>
      <c r="Q973" s="231" t="str">
        <f>+INDEX(WP!$A:$AN,MATCH(F974,WP!$B:$B,0),MATCH("Ability",WP!$A$2:$AN$2,0))</f>
        <v>(Wind) Broken Punisher +25%</v>
      </c>
      <c r="R973" s="734" t="str">
        <f>+INDEX(WP!$A:$AN,MATCH(F974,WP!$B:$B,0),MATCH("Obtain From",WP!$A$2:$AN$2,0))</f>
        <v>Clear Bogged Down (Skyborne Spectacle)</v>
      </c>
    </row>
    <row r="974" spans="1:18" ht="22.5" customHeight="1" x14ac:dyDescent="0.2">
      <c r="A974" s="204" t="str">
        <f>TEXT(A971+1,"000")</f>
        <v>324</v>
      </c>
      <c r="B974" s="729"/>
      <c r="C974" s="8"/>
      <c r="D974" s="729"/>
      <c r="E974" s="8"/>
      <c r="F974" s="200" t="str">
        <f>"WP-"&amp;A974</f>
        <v>WP-324</v>
      </c>
      <c r="G974" s="200">
        <f>+INDEX(WP!$A:$AN,MATCH(F974,WP!$B:$B,0),MATCH("ID",WP!$A$2:$AN$2,0))</f>
        <v>400137</v>
      </c>
      <c r="I974" s="8"/>
      <c r="J974" s="180" t="s">
        <v>10762</v>
      </c>
      <c r="K974" s="201">
        <f>+INDEX(WP!$A:$AN,MATCH(F974,WP!$B:$B,0),14)</f>
        <v>4</v>
      </c>
      <c r="L974" s="202">
        <f>+INDEX(WP!$A:$AN,MATCH(F974,WP!$B:$B,0),15)</f>
        <v>130</v>
      </c>
      <c r="M974" s="202">
        <f>+INDEX(WP!$A:$AN,MATCH(F974,WP!$B:$B,0),16)</f>
        <v>80</v>
      </c>
      <c r="N974" s="202" t="e" vm="342">
        <f>IFERROR(_xlfn.IMAGE("https://natalie.tf/wp-content/uploads/2023/11/DLV3_Icon_Affinity_"&amp;O974&amp;".png"),"")</f>
        <v>#VALUE!</v>
      </c>
      <c r="O974" s="203" t="str">
        <f>+INDEX(WP!$A:$AN,MATCH(F974,WP!$B:$B,0),17)</f>
        <v>Bow</v>
      </c>
      <c r="P974" s="8" t="e" vm="496">
        <f>_xlfn.IMAGE("https://natalie.tf/wp-content/uploads/2023/10/DLV3_Icon_Ability_"&amp;INDEX('WP-A'!$A$1:$Z$498,MATCH('WP-Print'!Q974,'WP-A'!$A:$A,0),MATCH("Icon",'WP-A'!$A$1:$Z$1,0))&amp;".png")</f>
        <v>#VALUE!</v>
      </c>
      <c r="Q974" s="231" t="str">
        <f>+INDEX(WP!$A:$AN,MATCH(F974,WP!$B:$B,0),MATCH("Ability V3",WP!$A$2:$AN$2,0))</f>
        <v>HP +10%</v>
      </c>
      <c r="R974" s="735"/>
    </row>
    <row r="975" spans="1:18" ht="7.5" customHeight="1" x14ac:dyDescent="0.2">
      <c r="A975" t="s">
        <v>10763</v>
      </c>
    </row>
    <row r="976" spans="1:18" ht="22.5" customHeight="1" x14ac:dyDescent="0.2">
      <c r="B976" s="729" t="e" vm="996">
        <f>_xlfn.IMAGE("https://natalie.tf/wp-content/uploads/2023/10/DLV3_Icon_WP_"&amp;G977&amp;"_01.png")</f>
        <v>#VALUE!</v>
      </c>
      <c r="D976" s="730" t="e" vm="997">
        <f>_xlfn.IMAGE("https://natalie.tf/wp-content/uploads/2023/10/DLV3_Icon_WP_"&amp;G977&amp;"_02.png")</f>
        <v>#VALUE!</v>
      </c>
      <c r="F976" s="717" t="str">
        <f>+INDEX(WP!$A:$AN,MATCH(F977,WP!$B:$B,0),MATCH("Name",WP!$A$2:$AN$2,0))</f>
        <v>To My Beloved</v>
      </c>
      <c r="G976" s="718"/>
      <c r="H976" s="719"/>
      <c r="J976" s="180" t="s">
        <v>10761</v>
      </c>
      <c r="K976" s="201">
        <f>+INDEX(WP!$A:$AN,MATCH(F977,WP!$B:$B,0),5)</f>
        <v>3</v>
      </c>
      <c r="L976" s="202">
        <f>+INDEX(WP!$A:$AN,MATCH(F977,WP!$B:$B,0),6)</f>
        <v>36</v>
      </c>
      <c r="M976" s="202">
        <f>+INDEX(WP!$A:$AN,MATCH(F977,WP!$B:$B,0),7)</f>
        <v>12</v>
      </c>
      <c r="N976" s="202" t="e" vm="344">
        <f>IFERROR(_xlfn.IMAGE("https://natalie.tf/wp-content/uploads/2023/11/DLV3_Icon_Affinity_"&amp;O976&amp;".png"),"")</f>
        <v>#VALUE!</v>
      </c>
      <c r="O976" s="203" t="str">
        <f>IF(INDEX(WP!$A:$AN,MATCH(F977,WP!$B:$B,0),8)=0,"None",INDEX(WP!$A:$AN,MATCH(F977,WP!$B:$B,0),8))</f>
        <v>Eagle</v>
      </c>
      <c r="P976" s="8" t="e" vm="411">
        <f>_xlfn.IMAGE("https://natalie.tf/wp-content/uploads/2023/10/DLV3_Icon_Ability_"&amp;INDEX('WP-A'!$A$1:$Z$498,MATCH('WP-Print'!Q976,'WP-A'!$A:$A,0),MATCH("Icon",'WP-A'!$A$1:$Z$1,0))&amp;".png")</f>
        <v>#VALUE!</v>
      </c>
      <c r="Q976" s="231" t="str">
        <f>+INDEX(WP!$A:$AN,MATCH(F977,WP!$B:$B,0),MATCH("Ability",WP!$A$2:$AN$2,0))</f>
        <v>Skill Prep +20%</v>
      </c>
      <c r="R976" s="734" t="str">
        <f>+INDEX(WP!$A:$AN,MATCH(F977,WP!$B:$B,0),MATCH("Obtain From",WP!$A$2:$AN$2,0))</f>
        <v>Clear Mercury's Trial: Master</v>
      </c>
    </row>
    <row r="977" spans="1:18" ht="22.5" customHeight="1" x14ac:dyDescent="0.2">
      <c r="A977" s="204" t="str">
        <f>TEXT(A974+1,"000")</f>
        <v>325</v>
      </c>
      <c r="B977" s="729"/>
      <c r="C977" s="8"/>
      <c r="D977" s="729"/>
      <c r="E977" s="8"/>
      <c r="F977" s="200" t="str">
        <f>"WP-"&amp;A977</f>
        <v>WP-325</v>
      </c>
      <c r="G977" s="200">
        <f>+INDEX(WP!$A:$AN,MATCH(F977,WP!$B:$B,0),MATCH("ID",WP!$A$2:$AN$2,0))</f>
        <v>400141</v>
      </c>
      <c r="I977" s="8"/>
      <c r="J977" s="180" t="s">
        <v>10762</v>
      </c>
      <c r="K977" s="201">
        <f>+INDEX(WP!$A:$AN,MATCH(F977,WP!$B:$B,0),14)</f>
        <v>4</v>
      </c>
      <c r="L977" s="202">
        <f>+INDEX(WP!$A:$AN,MATCH(F977,WP!$B:$B,0),15)</f>
        <v>130</v>
      </c>
      <c r="M977" s="202">
        <f>+INDEX(WP!$A:$AN,MATCH(F977,WP!$B:$B,0),16)</f>
        <v>80</v>
      </c>
      <c r="N977" s="202" t="e" vm="344">
        <f>IFERROR(_xlfn.IMAGE("https://natalie.tf/wp-content/uploads/2023/11/DLV3_Icon_Affinity_"&amp;O977&amp;".png"),"")</f>
        <v>#VALUE!</v>
      </c>
      <c r="O977" s="203" t="str">
        <f>+INDEX(WP!$A:$AN,MATCH(F977,WP!$B:$B,0),17)</f>
        <v>Eagle</v>
      </c>
      <c r="P977" s="8" t="e" vm="411">
        <f>_xlfn.IMAGE("https://natalie.tf/wp-content/uploads/2023/10/DLV3_Icon_Ability_"&amp;INDEX('WP-A'!$A$1:$Z$498,MATCH('WP-Print'!Q977,'WP-A'!$A:$A,0),MATCH("Icon",'WP-A'!$A$1:$Z$1,0))&amp;".png")</f>
        <v>#VALUE!</v>
      </c>
      <c r="Q977" s="231" t="str">
        <f>+INDEX(WP!$A:$AN,MATCH(F977,WP!$B:$B,0),MATCH("Ability V3",WP!$A$2:$AN$2,0))</f>
        <v>Skill Prep +50%</v>
      </c>
      <c r="R977" s="735"/>
    </row>
    <row r="978" spans="1:18" ht="7.5" customHeight="1" x14ac:dyDescent="0.2">
      <c r="A978" t="s">
        <v>10763</v>
      </c>
    </row>
    <row r="979" spans="1:18" ht="22.5" customHeight="1" x14ac:dyDescent="0.2">
      <c r="B979" s="729" t="e" vm="998">
        <f>_xlfn.IMAGE("https://natalie.tf/wp-content/uploads/2023/10/DLV3_Icon_WP_"&amp;G980&amp;"_01.png")</f>
        <v>#VALUE!</v>
      </c>
      <c r="D979" s="730" t="e" vm="999">
        <f>_xlfn.IMAGE("https://natalie.tf/wp-content/uploads/2023/10/DLV3_Icon_WP_"&amp;G980&amp;"_02.png")</f>
        <v>#VALUE!</v>
      </c>
      <c r="F979" s="717" t="str">
        <f>+INDEX(WP!$A:$AN,MATCH(F980,WP!$B:$B,0),MATCH("Name",WP!$A$2:$AN$2,0))</f>
        <v>The Davian Wetlands</v>
      </c>
      <c r="G979" s="718"/>
      <c r="H979" s="719"/>
      <c r="J979" s="180" t="s">
        <v>10761</v>
      </c>
      <c r="K979" s="201">
        <f>+INDEX(WP!$A:$AN,MATCH(F980,WP!$B:$B,0),5)</f>
        <v>3</v>
      </c>
      <c r="L979" s="202">
        <f>+INDEX(WP!$A:$AN,MATCH(F980,WP!$B:$B,0),6)</f>
        <v>38</v>
      </c>
      <c r="M979" s="202">
        <f>+INDEX(WP!$A:$AN,MATCH(F980,WP!$B:$B,0),7)</f>
        <v>10</v>
      </c>
      <c r="N979" s="202" t="str">
        <f ca="1">IFERROR(_xlfn.IMAGE("https://natalie.tf/wp-content/uploads/2023/11/DLV3_Icon_Affinity_"&amp;O979&amp;".png"),"")</f>
        <v/>
      </c>
      <c r="O979" s="203" t="str">
        <f>IF(INDEX(WP!$A:$AN,MATCH(F980,WP!$B:$B,0),8)=0,"None",INDEX(WP!$A:$AN,MATCH(F980,WP!$B:$B,0),8))</f>
        <v>None</v>
      </c>
      <c r="P979" s="8" t="e" vm="491">
        <f>_xlfn.IMAGE("https://natalie.tf/wp-content/uploads/2023/10/DLV3_Icon_Ability_"&amp;INDEX('WP-A'!$A$1:$Z$498,MATCH('WP-Print'!Q979,'WP-A'!$A:$A,0),MATCH("Icon",'WP-A'!$A$1:$Z$1,0))&amp;".png")</f>
        <v>#VALUE!</v>
      </c>
      <c r="Q979" s="231" t="str">
        <f>+INDEX(WP!$A:$AN,MATCH(F980,WP!$B:$B,0),MATCH("Ability",WP!$A$2:$AN$2,0))</f>
        <v>Bog Res +25%</v>
      </c>
      <c r="R979" s="734" t="str">
        <f>+INDEX(WP!$A:$AN,MATCH(F980,WP!$B:$B,0),MATCH("Obtain From",WP!$A$2:$AN$2,0))</f>
        <v>Clear Midgardsormr's Trial: Expert</v>
      </c>
    </row>
    <row r="980" spans="1:18" ht="22.5" customHeight="1" x14ac:dyDescent="0.2">
      <c r="A980" s="204" t="str">
        <f>TEXT(A977+1,"000")</f>
        <v>326</v>
      </c>
      <c r="B980" s="729"/>
      <c r="C980" s="8"/>
      <c r="D980" s="729"/>
      <c r="E980" s="8"/>
      <c r="F980" s="200" t="str">
        <f>"WP-"&amp;A980</f>
        <v>WP-326</v>
      </c>
      <c r="G980" s="200">
        <f>+INDEX(WP!$A:$AN,MATCH(F980,WP!$B:$B,0),MATCH("ID",WP!$A$2:$AN$2,0))</f>
        <v>400151</v>
      </c>
      <c r="I980" s="8"/>
      <c r="J980" s="180" t="s">
        <v>10762</v>
      </c>
      <c r="K980" s="201">
        <f>+INDEX(WP!$A:$AN,MATCH(F980,WP!$B:$B,0),14)</f>
        <v>4</v>
      </c>
      <c r="L980" s="202">
        <f>+INDEX(WP!$A:$AN,MATCH(F980,WP!$B:$B,0),15)</f>
        <v>130</v>
      </c>
      <c r="M980" s="202">
        <f>+INDEX(WP!$A:$AN,MATCH(F980,WP!$B:$B,0),16)</f>
        <v>80</v>
      </c>
      <c r="N980" s="202" t="e" vm="340">
        <f>IFERROR(_xlfn.IMAGE("https://natalie.tf/wp-content/uploads/2023/11/DLV3_Icon_Affinity_"&amp;O980&amp;".png"),"")</f>
        <v>#VALUE!</v>
      </c>
      <c r="O980" s="203" t="str">
        <f>+INDEX(WP!$A:$AN,MATCH(F980,WP!$B:$B,0),17)</f>
        <v>Lance</v>
      </c>
      <c r="P980" s="8" t="e" vm="491">
        <f>_xlfn.IMAGE("https://natalie.tf/wp-content/uploads/2023/10/DLV3_Icon_Ability_"&amp;INDEX('WP-A'!$A$1:$Z$498,MATCH('WP-Print'!Q980,'WP-A'!$A:$A,0),MATCH("Icon",'WP-A'!$A$1:$Z$1,0))&amp;".png")</f>
        <v>#VALUE!</v>
      </c>
      <c r="Q980" s="231" t="str">
        <f>+INDEX(WP!$A:$AN,MATCH(F980,WP!$B:$B,0),MATCH("Ability V3",WP!$A$2:$AN$2,0))</f>
        <v>Bog Res +100%</v>
      </c>
      <c r="R980" s="735"/>
    </row>
    <row r="981" spans="1:18" ht="7.5" customHeight="1" x14ac:dyDescent="0.2">
      <c r="A981" t="s">
        <v>10763</v>
      </c>
    </row>
    <row r="982" spans="1:18" ht="22.5" customHeight="1" x14ac:dyDescent="0.2">
      <c r="B982" s="729" t="e" vm="1000">
        <f>_xlfn.IMAGE("https://natalie.tf/wp-content/uploads/2023/10/DLV3_Icon_WP_"&amp;G983&amp;"_01.png")</f>
        <v>#VALUE!</v>
      </c>
      <c r="D982" s="730" t="e" vm="1001">
        <f>_xlfn.IMAGE("https://natalie.tf/wp-content/uploads/2023/10/DLV3_Icon_WP_"&amp;G983&amp;"_02.png")</f>
        <v>#VALUE!</v>
      </c>
      <c r="F982" s="717" t="str">
        <f>+INDEX(WP!$A:$AN,MATCH(F983,WP!$B:$B,0),MATCH("Name",WP!$A$2:$AN$2,0))</f>
        <v>The Heretic's Laboratory</v>
      </c>
      <c r="G982" s="718"/>
      <c r="H982" s="719"/>
      <c r="J982" s="180" t="s">
        <v>10761</v>
      </c>
      <c r="K982" s="201">
        <f>+INDEX(WP!$A:$AN,MATCH(F983,WP!$B:$B,0),5)</f>
        <v>3</v>
      </c>
      <c r="L982" s="202">
        <f>+INDEX(WP!$A:$AN,MATCH(F983,WP!$B:$B,0),6)</f>
        <v>35</v>
      </c>
      <c r="M982" s="202">
        <f>+INDEX(WP!$A:$AN,MATCH(F983,WP!$B:$B,0),7)</f>
        <v>13</v>
      </c>
      <c r="N982" s="202" t="e" vm="362">
        <f>IFERROR(_xlfn.IMAGE("https://natalie.tf/wp-content/uploads/2023/11/DLV3_Icon_Affinity_"&amp;O982&amp;".png"),"")</f>
        <v>#VALUE!</v>
      </c>
      <c r="O982" s="203" t="str">
        <f>IF(INDEX(WP!$A:$AN,MATCH(F983,WP!$B:$B,0),8)=0,"None",INDEX(WP!$A:$AN,MATCH(F983,WP!$B:$B,0),8))</f>
        <v>Bat</v>
      </c>
      <c r="P982" s="8" t="e" vm="330">
        <f>_xlfn.IMAGE("https://natalie.tf/wp-content/uploads/2023/10/DLV3_Icon_Ability_"&amp;INDEX('WP-A'!$A$1:$Z$498,MATCH('WP-Print'!Q982,'WP-A'!$A:$A,0),MATCH("Icon",'WP-A'!$A$1:$Z$1,0))&amp;".png")</f>
        <v>#VALUE!</v>
      </c>
      <c r="Q982" s="231" t="str">
        <f>+INDEX(WP!$A:$AN,MATCH(F983,WP!$B:$B,0),MATCH("Ability",WP!$A$2:$AN$2,0))</f>
        <v>(Shadow) Skill Haste +6%</v>
      </c>
      <c r="R982" s="734" t="str">
        <f>+INDEX(WP!$A:$AN,MATCH(F983,WP!$B:$B,0),MATCH("Obtain From",WP!$A$2:$AN$2,0))</f>
        <v>Clear The Crawling Nightmare: Standard (The Accursed Archives)</v>
      </c>
    </row>
    <row r="983" spans="1:18" ht="22.5" customHeight="1" x14ac:dyDescent="0.2">
      <c r="A983" s="204" t="str">
        <f>TEXT(A980+1,"000")</f>
        <v>327</v>
      </c>
      <c r="B983" s="729"/>
      <c r="C983" s="8"/>
      <c r="D983" s="729"/>
      <c r="E983" s="8"/>
      <c r="F983" s="200" t="str">
        <f>"WP-"&amp;A983</f>
        <v>WP-327</v>
      </c>
      <c r="G983" s="200">
        <f>+INDEX(WP!$A:$AN,MATCH(F983,WP!$B:$B,0),MATCH("ID",WP!$A$2:$AN$2,0))</f>
        <v>400156</v>
      </c>
      <c r="I983" s="8"/>
      <c r="J983" s="180" t="s">
        <v>10762</v>
      </c>
      <c r="K983" s="201">
        <f>+INDEX(WP!$A:$AN,MATCH(F983,WP!$B:$B,0),14)</f>
        <v>4</v>
      </c>
      <c r="L983" s="202">
        <f>+INDEX(WP!$A:$AN,MATCH(F983,WP!$B:$B,0),15)</f>
        <v>130</v>
      </c>
      <c r="M983" s="202">
        <f>+INDEX(WP!$A:$AN,MATCH(F983,WP!$B:$B,0),16)</f>
        <v>80</v>
      </c>
      <c r="N983" s="202" t="e" vm="346">
        <f>IFERROR(_xlfn.IMAGE("https://natalie.tf/wp-content/uploads/2023/11/DLV3_Icon_Affinity_"&amp;O983&amp;".png"),"")</f>
        <v>#VALUE!</v>
      </c>
      <c r="O983" s="203" t="str">
        <f>+INDEX(WP!$A:$AN,MATCH(F983,WP!$B:$B,0),17)</f>
        <v>Bull</v>
      </c>
      <c r="P983" s="8" t="e" vm="330">
        <f>_xlfn.IMAGE("https://natalie.tf/wp-content/uploads/2023/10/DLV3_Icon_Ability_"&amp;INDEX('WP-A'!$A$1:$Z$498,MATCH('WP-Print'!Q983,'WP-A'!$A:$A,0),MATCH("Icon",'WP-A'!$A$1:$Z$1,0))&amp;".png")</f>
        <v>#VALUE!</v>
      </c>
      <c r="Q983" s="231" t="str">
        <f>+INDEX(WP!$A:$AN,MATCH(F983,WP!$B:$B,0),MATCH("Ability V3",WP!$A$2:$AN$2,0))</f>
        <v>(Shadow) Skill Haste +7%</v>
      </c>
      <c r="R983" s="735"/>
    </row>
    <row r="984" spans="1:18" ht="7.5" customHeight="1" x14ac:dyDescent="0.2">
      <c r="A984" t="s">
        <v>10763</v>
      </c>
    </row>
    <row r="985" spans="1:18" ht="22.5" customHeight="1" x14ac:dyDescent="0.2">
      <c r="B985" s="729" t="e" vm="1002">
        <f>_xlfn.IMAGE("https://natalie.tf/wp-content/uploads/2023/10/DLV3_Icon_WP_"&amp;G986&amp;"_01.png")</f>
        <v>#VALUE!</v>
      </c>
      <c r="D985" s="730" t="e" vm="1003">
        <f>_xlfn.IMAGE("https://natalie.tf/wp-content/uploads/2023/10/DLV3_Icon_WP_"&amp;G986&amp;"_02.png")</f>
        <v>#VALUE!</v>
      </c>
      <c r="F985" s="717" t="str">
        <f>+INDEX(WP!$A:$AN,MATCH(F986,WP!$B:$B,0),MATCH("Name",WP!$A$2:$AN$2,0))</f>
        <v>Tiny Dragoñatas</v>
      </c>
      <c r="G985" s="718"/>
      <c r="H985" s="719"/>
      <c r="J985" s="180" t="s">
        <v>10761</v>
      </c>
      <c r="K985" s="201">
        <f>+INDEX(WP!$A:$AN,MATCH(F986,WP!$B:$B,0),5)</f>
        <v>3</v>
      </c>
      <c r="L985" s="202">
        <f>+INDEX(WP!$A:$AN,MATCH(F986,WP!$B:$B,0),6)</f>
        <v>36</v>
      </c>
      <c r="M985" s="202">
        <f>+INDEX(WP!$A:$AN,MATCH(F986,WP!$B:$B,0),7)</f>
        <v>12</v>
      </c>
      <c r="N985" s="202" t="str">
        <f ca="1">IFERROR(_xlfn.IMAGE("https://natalie.tf/wp-content/uploads/2023/11/DLV3_Icon_Affinity_"&amp;O985&amp;".png"),"")</f>
        <v/>
      </c>
      <c r="O985" s="203" t="str">
        <f>IF(INDEX(WP!$A:$AN,MATCH(F986,WP!$B:$B,0),8)=0,"None",INDEX(WP!$A:$AN,MATCH(F986,WP!$B:$B,0),8))</f>
        <v>None</v>
      </c>
      <c r="P985" s="8" t="e" vm="330">
        <f>_xlfn.IMAGE("https://natalie.tf/wp-content/uploads/2023/10/DLV3_Icon_Ability_"&amp;INDEX('WP-A'!$A$1:$Z$498,MATCH('WP-Print'!Q985,'WP-A'!$A:$A,0),MATCH("Icon",'WP-A'!$A$1:$Z$1,0))&amp;".png")</f>
        <v>#VALUE!</v>
      </c>
      <c r="Q985" s="231" t="str">
        <f>+INDEX(WP!$A:$AN,MATCH(F986,WP!$B:$B,0),MATCH("Ability",WP!$A$2:$AN$2,0))</f>
        <v>(Water) Skill Haste +6%</v>
      </c>
      <c r="R985" s="734" t="str">
        <f>+INDEX(WP!$A:$AN,MATCH(F986,WP!$B:$B,0),MATCH("Obtain From",WP!$A$2:$AN$2,0))</f>
        <v>Clear The Vernal Games Warm-Ups: Standard (The Hunt for Harmony)</v>
      </c>
    </row>
    <row r="986" spans="1:18" ht="22.5" customHeight="1" x14ac:dyDescent="0.2">
      <c r="A986" s="204" t="str">
        <f>TEXT(A983+1,"000")</f>
        <v>328</v>
      </c>
      <c r="B986" s="729"/>
      <c r="C986" s="8"/>
      <c r="D986" s="729"/>
      <c r="E986" s="8"/>
      <c r="F986" s="200" t="str">
        <f>"WP-"&amp;A986</f>
        <v>WP-328</v>
      </c>
      <c r="G986" s="200">
        <f>+INDEX(WP!$A:$AN,MATCH(F986,WP!$B:$B,0),MATCH("ID",WP!$A$2:$AN$2,0))</f>
        <v>400175</v>
      </c>
      <c r="I986" s="8"/>
      <c r="J986" s="180" t="s">
        <v>10762</v>
      </c>
      <c r="K986" s="201">
        <f>+INDEX(WP!$A:$AN,MATCH(F986,WP!$B:$B,0),14)</f>
        <v>4</v>
      </c>
      <c r="L986" s="202">
        <f>+INDEX(WP!$A:$AN,MATCH(F986,WP!$B:$B,0),15)</f>
        <v>130</v>
      </c>
      <c r="M986" s="202">
        <f>+INDEX(WP!$A:$AN,MATCH(F986,WP!$B:$B,0),16)</f>
        <v>80</v>
      </c>
      <c r="N986" s="202" t="e" vm="338">
        <f>IFERROR(_xlfn.IMAGE("https://natalie.tf/wp-content/uploads/2023/11/DLV3_Icon_Affinity_"&amp;O986&amp;".png"),"")</f>
        <v>#VALUE!</v>
      </c>
      <c r="O986" s="203" t="str">
        <f>+INDEX(WP!$A:$AN,MATCH(F986,WP!$B:$B,0),17)</f>
        <v>Wolf</v>
      </c>
      <c r="P986" s="8" t="e" vm="330">
        <f>_xlfn.IMAGE("https://natalie.tf/wp-content/uploads/2023/10/DLV3_Icon_Ability_"&amp;INDEX('WP-A'!$A$1:$Z$498,MATCH('WP-Print'!Q986,'WP-A'!$A:$A,0),MATCH("Icon",'WP-A'!$A$1:$Z$1,0))&amp;".png")</f>
        <v>#VALUE!</v>
      </c>
      <c r="Q986" s="231" t="str">
        <f>+INDEX(WP!$A:$AN,MATCH(F986,WP!$B:$B,0),MATCH("Ability V3",WP!$A$2:$AN$2,0))</f>
        <v>Skill Haste +6%</v>
      </c>
      <c r="R986" s="735"/>
    </row>
    <row r="987" spans="1:18" ht="7.5" customHeight="1" x14ac:dyDescent="0.2">
      <c r="A987" t="s">
        <v>10763</v>
      </c>
    </row>
    <row r="988" spans="1:18" ht="22.5" customHeight="1" x14ac:dyDescent="0.2">
      <c r="B988" s="729" t="e" vm="1004">
        <f>_xlfn.IMAGE("https://natalie.tf/wp-content/uploads/2023/10/DLV3_Icon_WP_"&amp;G989&amp;"_01.png")</f>
        <v>#VALUE!</v>
      </c>
      <c r="D988" s="730" t="e" vm="1005">
        <f>_xlfn.IMAGE("https://natalie.tf/wp-content/uploads/2023/10/DLV3_Icon_WP_"&amp;G989&amp;"_02.png")</f>
        <v>#VALUE!</v>
      </c>
      <c r="F988" s="717" t="str">
        <f>+INDEX(WP!$A:$AN,MATCH(F989,WP!$B:$B,0),MATCH("Name",WP!$A$2:$AN$2,0))</f>
        <v>The Order's Messenger Owl</v>
      </c>
      <c r="G988" s="718"/>
      <c r="H988" s="719"/>
      <c r="J988" s="180" t="s">
        <v>10761</v>
      </c>
      <c r="K988" s="201">
        <f>+INDEX(WP!$A:$AN,MATCH(F989,WP!$B:$B,0),5)</f>
        <v>3</v>
      </c>
      <c r="L988" s="202">
        <f>+INDEX(WP!$A:$AN,MATCH(F989,WP!$B:$B,0),6)</f>
        <v>27</v>
      </c>
      <c r="M988" s="202">
        <f>+INDEX(WP!$A:$AN,MATCH(F989,WP!$B:$B,0),7)</f>
        <v>9</v>
      </c>
      <c r="N988" s="202" t="str">
        <f ca="1">IFERROR(_xlfn.IMAGE("https://natalie.tf/wp-content/uploads/2023/11/DLV3_Icon_Affinity_"&amp;O988&amp;".png"),"")</f>
        <v/>
      </c>
      <c r="O988" s="203" t="str">
        <f>IF(INDEX(WP!$A:$AN,MATCH(F989,WP!$B:$B,0),8)=0,"None",INDEX(WP!$A:$AN,MATCH(F989,WP!$B:$B,0),8))</f>
        <v>None</v>
      </c>
      <c r="P988" s="8" t="e" vm="382">
        <f>_xlfn.IMAGE("https://natalie.tf/wp-content/uploads/2023/10/DLV3_Icon_Ability_"&amp;INDEX('WP-A'!$A$1:$Z$498,MATCH('WP-Print'!Q988,'WP-A'!$A:$A,0),MATCH("Icon",'WP-A'!$A$1:$Z$1,0))&amp;".png")</f>
        <v>#VALUE!</v>
      </c>
      <c r="Q988" s="231" t="str">
        <f>+INDEX(WP!$A:$AN,MATCH(F989,WP!$B:$B,0),MATCH("Ability",WP!$A$2:$AN$2,0))</f>
        <v>Dragon Time +10%</v>
      </c>
      <c r="R988" s="734" t="str">
        <f>+INDEX(WP!$A:$AN,MATCH(F989,WP!$B:$B,0),MATCH("Obtain From",WP!$A$2:$AN$2,0))</f>
        <v>Clear Repel the Empire: Hard (Fire Emblem: Lost Heroes)</v>
      </c>
    </row>
    <row r="989" spans="1:18" ht="22.5" customHeight="1" x14ac:dyDescent="0.2">
      <c r="A989" s="204" t="str">
        <f>TEXT(A986+1,"000")</f>
        <v>329</v>
      </c>
      <c r="B989" s="729"/>
      <c r="C989" s="8"/>
      <c r="D989" s="729"/>
      <c r="E989" s="8"/>
      <c r="F989" s="200" t="str">
        <f>"WP-"&amp;A989</f>
        <v>WP-329</v>
      </c>
      <c r="G989" s="200">
        <f>+INDEX(WP!$A:$AN,MATCH(F989,WP!$B:$B,0),MATCH("ID",WP!$A$2:$AN$2,0))</f>
        <v>400279</v>
      </c>
      <c r="I989" s="8"/>
      <c r="J989" s="180" t="s">
        <v>10762</v>
      </c>
      <c r="K989" s="201">
        <f>+INDEX(WP!$A:$AN,MATCH(F989,WP!$B:$B,0),14)</f>
        <v>4</v>
      </c>
      <c r="L989" s="202">
        <f>+INDEX(WP!$A:$AN,MATCH(F989,WP!$B:$B,0),15)</f>
        <v>130</v>
      </c>
      <c r="M989" s="202">
        <f>+INDEX(WP!$A:$AN,MATCH(F989,WP!$B:$B,0),16)</f>
        <v>80</v>
      </c>
      <c r="N989" s="202" t="e" vm="342">
        <f>IFERROR(_xlfn.IMAGE("https://natalie.tf/wp-content/uploads/2023/11/DLV3_Icon_Affinity_"&amp;O989&amp;".png"),"")</f>
        <v>#VALUE!</v>
      </c>
      <c r="O989" s="203" t="str">
        <f>+INDEX(WP!$A:$AN,MATCH(F989,WP!$B:$B,0),17)</f>
        <v>Bow</v>
      </c>
      <c r="P989" s="8" t="e" vm="382">
        <f>_xlfn.IMAGE("https://natalie.tf/wp-content/uploads/2023/10/DLV3_Icon_Ability_"&amp;INDEX('WP-A'!$A$1:$Z$498,MATCH('WP-Print'!Q989,'WP-A'!$A:$A,0),MATCH("Icon",'WP-A'!$A$1:$Z$1,0))&amp;".png")</f>
        <v>#VALUE!</v>
      </c>
      <c r="Q989" s="231" t="str">
        <f>+INDEX(WP!$A:$AN,MATCH(F989,WP!$B:$B,0),MATCH("Ability V3",WP!$A$2:$AN$2,0))</f>
        <v>Dragon Time +13%</v>
      </c>
      <c r="R989" s="735"/>
    </row>
    <row r="990" spans="1:18" ht="7.5" customHeight="1" x14ac:dyDescent="0.2">
      <c r="A990" t="s">
        <v>10763</v>
      </c>
    </row>
    <row r="991" spans="1:18" ht="22.5" customHeight="1" x14ac:dyDescent="0.2">
      <c r="B991" s="729" t="e" vm="1006">
        <f>_xlfn.IMAGE("https://natalie.tf/wp-content/uploads/2023/10/DLV3_Icon_WP_"&amp;G992&amp;"_01.png")</f>
        <v>#VALUE!</v>
      </c>
      <c r="D991" s="730" t="e" vm="1007">
        <f>_xlfn.IMAGE("https://natalie.tf/wp-content/uploads/2023/10/DLV3_Icon_WP_"&amp;G992&amp;"_02.png")</f>
        <v>#VALUE!</v>
      </c>
      <c r="F991" s="717" t="str">
        <f>+INDEX(WP!$A:$AN,MATCH(F992,WP!$B:$B,0),MATCH("Name",WP!$A$2:$AN$2,0))</f>
        <v>Ring of Exaltation</v>
      </c>
      <c r="G991" s="718"/>
      <c r="H991" s="719"/>
      <c r="J991" s="180" t="s">
        <v>10761</v>
      </c>
      <c r="K991" s="201">
        <f>+INDEX(WP!$A:$AN,MATCH(F992,WP!$B:$B,0),5)</f>
        <v>2</v>
      </c>
      <c r="L991" s="202">
        <f>+INDEX(WP!$A:$AN,MATCH(F992,WP!$B:$B,0),6)</f>
        <v>18</v>
      </c>
      <c r="M991" s="202">
        <f>+INDEX(WP!$A:$AN,MATCH(F992,WP!$B:$B,0),7)</f>
        <v>12</v>
      </c>
      <c r="N991" s="202" t="e" vm="343">
        <f>IFERROR(_xlfn.IMAGE("https://natalie.tf/wp-content/uploads/2023/11/DLV3_Icon_Affinity_"&amp;O991&amp;".png"),"")</f>
        <v>#VALUE!</v>
      </c>
      <c r="O991" s="203" t="str">
        <f>IF(INDEX(WP!$A:$AN,MATCH(F992,WP!$B:$B,0),8)=0,"None",INDEX(WP!$A:$AN,MATCH(F992,WP!$B:$B,0),8))</f>
        <v>Axe</v>
      </c>
      <c r="P991" s="8" t="e" vm="326">
        <f>_xlfn.IMAGE("https://natalie.tf/wp-content/uploads/2023/10/DLV3_Icon_Ability_"&amp;INDEX('WP-A'!$A$1:$Z$498,MATCH('WP-Print'!Q991,'WP-A'!$A:$A,0),MATCH("Icon",'WP-A'!$A$1:$Z$1,0))&amp;".png")</f>
        <v>#VALUE!</v>
      </c>
      <c r="Q991" s="231" t="str">
        <f>+INDEX(WP!$A:$AN,MATCH(F992,WP!$B:$B,0),MATCH("Ability",WP!$A$2:$AN$2,0))</f>
        <v>Critical Rate +4%</v>
      </c>
      <c r="R991" s="734" t="str">
        <f>+INDEX(WP!$A:$AN,MATCH(F992,WP!$B:$B,0),MATCH("Obtain From",WP!$A$2:$AN$2,0))</f>
        <v>Complete Tutorial (Non-Endeavor)</v>
      </c>
    </row>
    <row r="992" spans="1:18" ht="22.5" customHeight="1" x14ac:dyDescent="0.2">
      <c r="A992" s="204" t="str">
        <f>TEXT(A989+1,"000")</f>
        <v>330</v>
      </c>
      <c r="B992" s="729"/>
      <c r="C992" s="8"/>
      <c r="D992" s="729"/>
      <c r="E992" s="8"/>
      <c r="F992" s="200" t="str">
        <f>"WP-"&amp;A992</f>
        <v>WP-330</v>
      </c>
      <c r="G992" s="200">
        <f>+INDEX(WP!$A:$AN,MATCH(F992,WP!$B:$B,0),MATCH("ID",WP!$A$2:$AN$2,0))</f>
        <v>400001</v>
      </c>
      <c r="I992" s="8"/>
      <c r="J992" s="180" t="s">
        <v>10762</v>
      </c>
      <c r="K992" s="201">
        <f>+INDEX(WP!$A:$AN,MATCH(F992,WP!$B:$B,0),14)</f>
        <v>4</v>
      </c>
      <c r="L992" s="202">
        <f>+INDEX(WP!$A:$AN,MATCH(F992,WP!$B:$B,0),15)</f>
        <v>130</v>
      </c>
      <c r="M992" s="202">
        <f>+INDEX(WP!$A:$AN,MATCH(F992,WP!$B:$B,0),16)</f>
        <v>80</v>
      </c>
      <c r="N992" s="202" t="e" vm="343">
        <f>IFERROR(_xlfn.IMAGE("https://natalie.tf/wp-content/uploads/2023/11/DLV3_Icon_Affinity_"&amp;O992&amp;".png"),"")</f>
        <v>#VALUE!</v>
      </c>
      <c r="O992" s="203" t="str">
        <f>+INDEX(WP!$A:$AN,MATCH(F992,WP!$B:$B,0),17)</f>
        <v>Axe</v>
      </c>
      <c r="P992" s="8" t="e" vm="326">
        <f>_xlfn.IMAGE("https://natalie.tf/wp-content/uploads/2023/10/DLV3_Icon_Ability_"&amp;INDEX('WP-A'!$A$1:$Z$498,MATCH('WP-Print'!Q992,'WP-A'!$A:$A,0),MATCH("Icon",'WP-A'!$A$1:$Z$1,0))&amp;".png")</f>
        <v>#VALUE!</v>
      </c>
      <c r="Q992" s="231" t="str">
        <f>+INDEX(WP!$A:$AN,MATCH(F992,WP!$B:$B,0),MATCH("Ability V3",WP!$A$2:$AN$2,0))</f>
        <v>Critical Rate +8%</v>
      </c>
      <c r="R992" s="735"/>
    </row>
    <row r="993" spans="1:18" ht="7.5" customHeight="1" x14ac:dyDescent="0.2">
      <c r="A993" t="s">
        <v>10763</v>
      </c>
    </row>
    <row r="994" spans="1:18" ht="22.5" customHeight="1" x14ac:dyDescent="0.2">
      <c r="B994" s="729" t="e" vm="1008">
        <f>_xlfn.IMAGE("https://natalie.tf/wp-content/uploads/2023/10/DLV3_Icon_WP_"&amp;G995&amp;"_01.png")</f>
        <v>#VALUE!</v>
      </c>
      <c r="D994" s="730" t="e" vm="1009">
        <f>_xlfn.IMAGE("https://natalie.tf/wp-content/uploads/2023/10/DLV3_Icon_WP_"&amp;G995&amp;"_02.png")</f>
        <v>#VALUE!</v>
      </c>
      <c r="F994" s="717" t="str">
        <f>+INDEX(WP!$A:$AN,MATCH(F995,WP!$B:$B,0),MATCH("Name",WP!$A$2:$AN$2,0))</f>
        <v>Seafood Soup</v>
      </c>
      <c r="G994" s="718"/>
      <c r="H994" s="719"/>
      <c r="J994" s="180" t="s">
        <v>10761</v>
      </c>
      <c r="K994" s="201">
        <f>+INDEX(WP!$A:$AN,MATCH(F995,WP!$B:$B,0),5)</f>
        <v>2</v>
      </c>
      <c r="L994" s="202">
        <f>+INDEX(WP!$A:$AN,MATCH(F995,WP!$B:$B,0),6)</f>
        <v>18</v>
      </c>
      <c r="M994" s="202">
        <f>+INDEX(WP!$A:$AN,MATCH(F995,WP!$B:$B,0),7)</f>
        <v>12</v>
      </c>
      <c r="N994" s="202" t="e" vm="339">
        <f>IFERROR(_xlfn.IMAGE("https://natalie.tf/wp-content/uploads/2023/11/DLV3_Icon_Affinity_"&amp;O994&amp;".png"),"")</f>
        <v>#VALUE!</v>
      </c>
      <c r="O994" s="203" t="str">
        <f>IF(INDEX(WP!$A:$AN,MATCH(F995,WP!$B:$B,0),8)=0,"None",INDEX(WP!$A:$AN,MATCH(F995,WP!$B:$B,0),8))</f>
        <v>Sword</v>
      </c>
      <c r="P994" s="8" t="e" vm="411">
        <f>_xlfn.IMAGE("https://natalie.tf/wp-content/uploads/2023/10/DLV3_Icon_Ability_"&amp;INDEX('WP-A'!$A$1:$Z$498,MATCH('WP-Print'!Q994,'WP-A'!$A:$A,0),MATCH("Icon",'WP-A'!$A$1:$Z$1,0))&amp;".png")</f>
        <v>#VALUE!</v>
      </c>
      <c r="Q994" s="231" t="str">
        <f>+INDEX(WP!$A:$AN,MATCH(F995,WP!$B:$B,0),MATCH("Ability",WP!$A$2:$AN$2,0))</f>
        <v>Skill Prep +15%</v>
      </c>
      <c r="R994" s="734" t="str">
        <f>+INDEX(WP!$A:$AN,MATCH(F995,WP!$B:$B,0),MATCH("Obtain From",WP!$A$2:$AN$2,0))</f>
        <v>Complete Tutorial (Non-Endeavor)</v>
      </c>
    </row>
    <row r="995" spans="1:18" ht="22.5" customHeight="1" x14ac:dyDescent="0.2">
      <c r="A995" s="204" t="str">
        <f>TEXT(A992+1,"000")</f>
        <v>331</v>
      </c>
      <c r="B995" s="729"/>
      <c r="C995" s="8"/>
      <c r="D995" s="729"/>
      <c r="E995" s="8"/>
      <c r="F995" s="200" t="str">
        <f>"WP-"&amp;A995</f>
        <v>WP-331</v>
      </c>
      <c r="G995" s="200">
        <f>+INDEX(WP!$A:$AN,MATCH(F995,WP!$B:$B,0),MATCH("ID",WP!$A$2:$AN$2,0))</f>
        <v>400002</v>
      </c>
      <c r="I995" s="8"/>
      <c r="J995" s="180" t="s">
        <v>10762</v>
      </c>
      <c r="K995" s="201">
        <f>+INDEX(WP!$A:$AN,MATCH(F995,WP!$B:$B,0),14)</f>
        <v>4</v>
      </c>
      <c r="L995" s="202">
        <f>+INDEX(WP!$A:$AN,MATCH(F995,WP!$B:$B,0),15)</f>
        <v>130</v>
      </c>
      <c r="M995" s="202">
        <f>+INDEX(WP!$A:$AN,MATCH(F995,WP!$B:$B,0),16)</f>
        <v>80</v>
      </c>
      <c r="N995" s="202" t="e" vm="339">
        <f>IFERROR(_xlfn.IMAGE("https://natalie.tf/wp-content/uploads/2023/11/DLV3_Icon_Affinity_"&amp;O995&amp;".png"),"")</f>
        <v>#VALUE!</v>
      </c>
      <c r="O995" s="203" t="str">
        <f>+INDEX(WP!$A:$AN,MATCH(F995,WP!$B:$B,0),17)</f>
        <v>Sword</v>
      </c>
      <c r="P995" s="8" t="e" vm="411">
        <f>_xlfn.IMAGE("https://natalie.tf/wp-content/uploads/2023/10/DLV3_Icon_Ability_"&amp;INDEX('WP-A'!$A$1:$Z$498,MATCH('WP-Print'!Q995,'WP-A'!$A:$A,0),MATCH("Icon",'WP-A'!$A$1:$Z$1,0))&amp;".png")</f>
        <v>#VALUE!</v>
      </c>
      <c r="Q995" s="231" t="str">
        <f>+INDEX(WP!$A:$AN,MATCH(F995,WP!$B:$B,0),MATCH("Ability V3",WP!$A$2:$AN$2,0))</f>
        <v>Skill Prep +50%</v>
      </c>
      <c r="R995" s="735"/>
    </row>
    <row r="996" spans="1:18" ht="7.5" customHeight="1" x14ac:dyDescent="0.2">
      <c r="A996" t="s">
        <v>10763</v>
      </c>
    </row>
    <row r="997" spans="1:18" ht="22.5" customHeight="1" x14ac:dyDescent="0.2">
      <c r="B997" s="729" t="e" vm="1010">
        <f>_xlfn.IMAGE("https://natalie.tf/wp-content/uploads/2023/10/DLV3_Icon_WP_"&amp;G998&amp;"_01.png")</f>
        <v>#VALUE!</v>
      </c>
      <c r="D997" s="730" t="e" vm="1011">
        <f>_xlfn.IMAGE("https://natalie.tf/wp-content/uploads/2023/10/DLV3_Icon_WP_"&amp;G998&amp;"_02.png")</f>
        <v>#VALUE!</v>
      </c>
      <c r="F997" s="717" t="str">
        <f>+INDEX(WP!$A:$AN,MATCH(F998,WP!$B:$B,0),MATCH("Name",WP!$A$2:$AN$2,0))</f>
        <v>Dragon Arcanum</v>
      </c>
      <c r="G997" s="718"/>
      <c r="H997" s="719"/>
      <c r="J997" s="180" t="s">
        <v>10761</v>
      </c>
      <c r="K997" s="201">
        <f>+INDEX(WP!$A:$AN,MATCH(F998,WP!$B:$B,0),5)</f>
        <v>2</v>
      </c>
      <c r="L997" s="202">
        <f>+INDEX(WP!$A:$AN,MATCH(F998,WP!$B:$B,0),6)</f>
        <v>18</v>
      </c>
      <c r="M997" s="202">
        <f>+INDEX(WP!$A:$AN,MATCH(F998,WP!$B:$B,0),7)</f>
        <v>12</v>
      </c>
      <c r="N997" s="202" t="e" vm="341">
        <f>IFERROR(_xlfn.IMAGE("https://natalie.tf/wp-content/uploads/2023/11/DLV3_Icon_Affinity_"&amp;O997&amp;".png"),"")</f>
        <v>#VALUE!</v>
      </c>
      <c r="O997" s="203" t="str">
        <f>IF(INDEX(WP!$A:$AN,MATCH(F998,WP!$B:$B,0),8)=0,"None",INDEX(WP!$A:$AN,MATCH(F998,WP!$B:$B,0),8))</f>
        <v>Crown</v>
      </c>
      <c r="P997" s="8" t="e" vm="953">
        <f>_xlfn.IMAGE("https://natalie.tf/wp-content/uploads/2023/10/DLV3_Icon_Ability_"&amp;INDEX('WP-A'!$A$1:$Z$498,MATCH('WP-Print'!Q997,'WP-A'!$A:$A,0),MATCH("Icon",'WP-A'!$A$1:$Z$1,0))&amp;".png")</f>
        <v>#VALUE!</v>
      </c>
      <c r="Q997" s="231" t="str">
        <f>+INDEX(WP!$A:$AN,MATCH(F998,WP!$B:$B,0),MATCH("Ability",WP!$A$2:$AN$2,0))</f>
        <v>Shapeshift Prep +10%</v>
      </c>
      <c r="R997" s="734" t="str">
        <f>+INDEX(WP!$A:$AN,MATCH(F998,WP!$B:$B,0),MATCH("Obtain From",WP!$A$2:$AN$2,0))</f>
        <v>Complete Tutorial (Non-Endeavor)</v>
      </c>
    </row>
    <row r="998" spans="1:18" ht="22.5" customHeight="1" x14ac:dyDescent="0.2">
      <c r="A998" s="204" t="str">
        <f>TEXT(A995+1,"000")</f>
        <v>332</v>
      </c>
      <c r="B998" s="729"/>
      <c r="C998" s="8"/>
      <c r="D998" s="729"/>
      <c r="E998" s="8"/>
      <c r="F998" s="200" t="str">
        <f>"WP-"&amp;A998</f>
        <v>WP-332</v>
      </c>
      <c r="G998" s="200">
        <f>+INDEX(WP!$A:$AN,MATCH(F998,WP!$B:$B,0),MATCH("ID",WP!$A$2:$AN$2,0))</f>
        <v>400003</v>
      </c>
      <c r="I998" s="8"/>
      <c r="J998" s="180" t="s">
        <v>10762</v>
      </c>
      <c r="K998" s="201">
        <f>+INDEX(WP!$A:$AN,MATCH(F998,WP!$B:$B,0),14)</f>
        <v>4</v>
      </c>
      <c r="L998" s="202">
        <f>+INDEX(WP!$A:$AN,MATCH(F998,WP!$B:$B,0),15)</f>
        <v>130</v>
      </c>
      <c r="M998" s="202">
        <f>+INDEX(WP!$A:$AN,MATCH(F998,WP!$B:$B,0),16)</f>
        <v>80</v>
      </c>
      <c r="N998" s="202" t="e" vm="341">
        <f>IFERROR(_xlfn.IMAGE("https://natalie.tf/wp-content/uploads/2023/11/DLV3_Icon_Affinity_"&amp;O998&amp;".png"),"")</f>
        <v>#VALUE!</v>
      </c>
      <c r="O998" s="203" t="str">
        <f>+INDEX(WP!$A:$AN,MATCH(F998,WP!$B:$B,0),17)</f>
        <v>Crown</v>
      </c>
      <c r="P998" s="8" t="e" vm="953">
        <f>_xlfn.IMAGE("https://natalie.tf/wp-content/uploads/2023/10/DLV3_Icon_Ability_"&amp;INDEX('WP-A'!$A$1:$Z$498,MATCH('WP-Print'!Q998,'WP-A'!$A:$A,0),MATCH("Icon",'WP-A'!$A$1:$Z$1,0))&amp;".png")</f>
        <v>#VALUE!</v>
      </c>
      <c r="Q998" s="231" t="str">
        <f>+INDEX(WP!$A:$AN,MATCH(F998,WP!$B:$B,0),MATCH("Ability V3",WP!$A$2:$AN$2,0))</f>
        <v>Shapeshift Prep +10%</v>
      </c>
      <c r="R998" s="735"/>
    </row>
    <row r="999" spans="1:18" ht="7.5" customHeight="1" x14ac:dyDescent="0.2">
      <c r="A999" t="s">
        <v>10763</v>
      </c>
    </row>
    <row r="1000" spans="1:18" ht="22.5" customHeight="1" x14ac:dyDescent="0.2">
      <c r="B1000" s="729" t="e" vm="1012">
        <f>_xlfn.IMAGE("https://natalie.tf/wp-content/uploads/2023/10/DLV3_Icon_WP_"&amp;G1001&amp;"_01.png")</f>
        <v>#VALUE!</v>
      </c>
      <c r="D1000" s="730" t="e" vm="1013">
        <f>_xlfn.IMAGE("https://natalie.tf/wp-content/uploads/2023/10/DLV3_Icon_WP_"&amp;G1001&amp;"_02.png")</f>
        <v>#VALUE!</v>
      </c>
      <c r="F1000" s="717" t="str">
        <f>+INDEX(WP!$A:$AN,MATCH(F1001,WP!$B:$B,0),MATCH("Name",WP!$A$2:$AN$2,0))</f>
        <v>Mana Fount</v>
      </c>
      <c r="G1000" s="718"/>
      <c r="H1000" s="719"/>
      <c r="J1000" s="180" t="s">
        <v>10761</v>
      </c>
      <c r="K1000" s="201">
        <f>+INDEX(WP!$A:$AN,MATCH(F1001,WP!$B:$B,0),5)</f>
        <v>2</v>
      </c>
      <c r="L1000" s="202">
        <f>+INDEX(WP!$A:$AN,MATCH(F1001,WP!$B:$B,0),6)</f>
        <v>18</v>
      </c>
      <c r="M1000" s="202">
        <f>+INDEX(WP!$A:$AN,MATCH(F1001,WP!$B:$B,0),7)</f>
        <v>12</v>
      </c>
      <c r="N1000" s="202" t="e" vm="381">
        <f>IFERROR(_xlfn.IMAGE("https://natalie.tf/wp-content/uploads/2023/11/DLV3_Icon_Affinity_"&amp;O1000&amp;".png"),"")</f>
        <v>#VALUE!</v>
      </c>
      <c r="O1000" s="203" t="str">
        <f>IF(INDEX(WP!$A:$AN,MATCH(F1001,WP!$B:$B,0),8)=0,"None",INDEX(WP!$A:$AN,MATCH(F1001,WP!$B:$B,0),8))</f>
        <v>Dragon</v>
      </c>
      <c r="P1000" s="8" t="e" vm="322">
        <f>_xlfn.IMAGE("https://natalie.tf/wp-content/uploads/2023/10/DLV3_Icon_Ability_"&amp;INDEX('WP-A'!$A$1:$Z$498,MATCH('WP-Print'!Q1000,'WP-A'!$A:$A,0),MATCH("Icon",'WP-A'!$A$1:$Z$1,0))&amp;".png")</f>
        <v>#VALUE!</v>
      </c>
      <c r="Q1000" s="231" t="str">
        <f>+INDEX(WP!$A:$AN,MATCH(F1001,WP!$B:$B,0),MATCH("Ability",WP!$A$2:$AN$2,0))</f>
        <v>Skill Damage +15%</v>
      </c>
      <c r="R1000" s="734" t="str">
        <f>+INDEX(WP!$A:$AN,MATCH(F1001,WP!$B:$B,0),MATCH("Obtain From",WP!$A$2:$AN$2,0))</f>
        <v>Complete Tutorial (Non-Endeavor)</v>
      </c>
    </row>
    <row r="1001" spans="1:18" ht="22.5" customHeight="1" x14ac:dyDescent="0.2">
      <c r="A1001" s="204" t="str">
        <f>TEXT(A998+1,"000")</f>
        <v>333</v>
      </c>
      <c r="B1001" s="729"/>
      <c r="C1001" s="8"/>
      <c r="D1001" s="729"/>
      <c r="E1001" s="8"/>
      <c r="F1001" s="200" t="str">
        <f>"WP-"&amp;A1001</f>
        <v>WP-333</v>
      </c>
      <c r="G1001" s="200">
        <f>+INDEX(WP!$A:$AN,MATCH(F1001,WP!$B:$B,0),MATCH("ID",WP!$A$2:$AN$2,0))</f>
        <v>400004</v>
      </c>
      <c r="I1001" s="8"/>
      <c r="J1001" s="180" t="s">
        <v>10762</v>
      </c>
      <c r="K1001" s="201">
        <f>+INDEX(WP!$A:$AN,MATCH(F1001,WP!$B:$B,0),14)</f>
        <v>4</v>
      </c>
      <c r="L1001" s="202">
        <f>+INDEX(WP!$A:$AN,MATCH(F1001,WP!$B:$B,0),15)</f>
        <v>130</v>
      </c>
      <c r="M1001" s="202">
        <f>+INDEX(WP!$A:$AN,MATCH(F1001,WP!$B:$B,0),16)</f>
        <v>80</v>
      </c>
      <c r="N1001" s="202" t="e" vm="381">
        <f>IFERROR(_xlfn.IMAGE("https://natalie.tf/wp-content/uploads/2023/11/DLV3_Icon_Affinity_"&amp;O1001&amp;".png"),"")</f>
        <v>#VALUE!</v>
      </c>
      <c r="O1001" s="203" t="str">
        <f>+INDEX(WP!$A:$AN,MATCH(F1001,WP!$B:$B,0),17)</f>
        <v>Dragon</v>
      </c>
      <c r="P1001" s="8" t="e" vm="322">
        <f>_xlfn.IMAGE("https://natalie.tf/wp-content/uploads/2023/10/DLV3_Icon_Ability_"&amp;INDEX('WP-A'!$A$1:$Z$498,MATCH('WP-Print'!Q1001,'WP-A'!$A:$A,0),MATCH("Icon",'WP-A'!$A$1:$Z$1,0))&amp;".png")</f>
        <v>#VALUE!</v>
      </c>
      <c r="Q1001" s="231" t="str">
        <f>+INDEX(WP!$A:$AN,MATCH(F1001,WP!$B:$B,0),MATCH("Ability V3",WP!$A$2:$AN$2,0))</f>
        <v>Skill Damage +20%</v>
      </c>
      <c r="R1001" s="735"/>
    </row>
    <row r="1002" spans="1:18" ht="7.5" customHeight="1" x14ac:dyDescent="0.2">
      <c r="A1002" t="s">
        <v>10763</v>
      </c>
    </row>
    <row r="1003" spans="1:18" ht="22.5" customHeight="1" x14ac:dyDescent="0.2">
      <c r="B1003" s="729" t="e" vm="1014">
        <f>_xlfn.IMAGE("https://natalie.tf/wp-content/uploads/2023/10/DLV3_Icon_WP_"&amp;G1004&amp;"_01.png")</f>
        <v>#VALUE!</v>
      </c>
      <c r="D1003" s="730" t="e" vm="1015">
        <f>_xlfn.IMAGE("https://natalie.tf/wp-content/uploads/2023/10/DLV3_Icon_WP_"&amp;G1004&amp;"_02.png")</f>
        <v>#VALUE!</v>
      </c>
      <c r="F1003" s="717" t="str">
        <f>+INDEX(WP!$A:$AN,MATCH(F1004,WP!$B:$B,0),MATCH("Name",WP!$A$2:$AN$2,0))</f>
        <v>Old Harp</v>
      </c>
      <c r="G1003" s="718"/>
      <c r="H1003" s="719"/>
      <c r="J1003" s="180" t="s">
        <v>10761</v>
      </c>
      <c r="K1003" s="201">
        <f>+INDEX(WP!$A:$AN,MATCH(F1004,WP!$B:$B,0),5)</f>
        <v>2</v>
      </c>
      <c r="L1003" s="202">
        <f>+INDEX(WP!$A:$AN,MATCH(F1004,WP!$B:$B,0),6)</f>
        <v>18</v>
      </c>
      <c r="M1003" s="202">
        <f>+INDEX(WP!$A:$AN,MATCH(F1004,WP!$B:$B,0),7)</f>
        <v>12</v>
      </c>
      <c r="N1003" s="202" t="str">
        <f ca="1">IFERROR(_xlfn.IMAGE("https://natalie.tf/wp-content/uploads/2023/11/DLV3_Icon_Affinity_"&amp;O1003&amp;".png"),"")</f>
        <v/>
      </c>
      <c r="O1003" s="203" t="str">
        <f>IF(INDEX(WP!$A:$AN,MATCH(F1004,WP!$B:$B,0),8)=0,"None",INDEX(WP!$A:$AN,MATCH(F1004,WP!$B:$B,0),8))</f>
        <v>None</v>
      </c>
      <c r="P1003" s="8" t="e" vm="349">
        <f>_xlfn.IMAGE("https://natalie.tf/wp-content/uploads/2023/10/DLV3_Icon_Ability_"&amp;INDEX('WP-A'!$A$1:$Z$498,MATCH('WP-Print'!Q1003,'WP-A'!$A:$A,0),MATCH("Icon",'WP-A'!$A$1:$Z$1,0))&amp;".png")</f>
        <v>#VALUE!</v>
      </c>
      <c r="Q1003" s="231" t="str">
        <f>+INDEX(WP!$A:$AN,MATCH(F1004,WP!$B:$B,0),MATCH("Ability",WP!$A$2:$AN$2,0))</f>
        <v>Recovery Potency +5%</v>
      </c>
      <c r="R1003" s="734" t="str">
        <f>+INDEX(WP!$A:$AN,MATCH(F1004,WP!$B:$B,0),MATCH("Obtain From",WP!$A$2:$AN$2,0))</f>
        <v>Obtain From Ch. 02 EX 1 Chest (Normal) (Non-Endeavor)</v>
      </c>
    </row>
    <row r="1004" spans="1:18" ht="22.5" customHeight="1" x14ac:dyDescent="0.2">
      <c r="A1004" s="204" t="str">
        <f>TEXT(A1001+1,"000")</f>
        <v>334</v>
      </c>
      <c r="B1004" s="729"/>
      <c r="C1004" s="8"/>
      <c r="D1004" s="729"/>
      <c r="E1004" s="8"/>
      <c r="F1004" s="200" t="str">
        <f>"WP-"&amp;A1004</f>
        <v>WP-334</v>
      </c>
      <c r="G1004" s="200">
        <f>+INDEX(WP!$A:$AN,MATCH(F1004,WP!$B:$B,0),MATCH("ID",WP!$A$2:$AN$2,0))</f>
        <v>400005</v>
      </c>
      <c r="I1004" s="8"/>
      <c r="J1004" s="180" t="s">
        <v>10762</v>
      </c>
      <c r="K1004" s="201">
        <f>+INDEX(WP!$A:$AN,MATCH(F1004,WP!$B:$B,0),14)</f>
        <v>4</v>
      </c>
      <c r="L1004" s="202">
        <f>+INDEX(WP!$A:$AN,MATCH(F1004,WP!$B:$B,0),15)</f>
        <v>130</v>
      </c>
      <c r="M1004" s="202">
        <f>+INDEX(WP!$A:$AN,MATCH(F1004,WP!$B:$B,0),16)</f>
        <v>80</v>
      </c>
      <c r="N1004" s="202" t="e" vm="345">
        <f>IFERROR(_xlfn.IMAGE("https://natalie.tf/wp-content/uploads/2023/11/DLV3_Icon_Affinity_"&amp;O1004&amp;".png"),"")</f>
        <v>#VALUE!</v>
      </c>
      <c r="O1004" s="203" t="str">
        <f>+INDEX(WP!$A:$AN,MATCH(F1004,WP!$B:$B,0),17)</f>
        <v>Staff</v>
      </c>
      <c r="P1004" s="8" t="e" vm="349">
        <f>_xlfn.IMAGE("https://natalie.tf/wp-content/uploads/2023/10/DLV3_Icon_Ability_"&amp;INDEX('WP-A'!$A$1:$Z$498,MATCH('WP-Print'!Q1004,'WP-A'!$A:$A,0),MATCH("Icon",'WP-A'!$A$1:$Z$1,0))&amp;".png")</f>
        <v>#VALUE!</v>
      </c>
      <c r="Q1004" s="231" t="str">
        <f>+INDEX(WP!$A:$AN,MATCH(F1004,WP!$B:$B,0),MATCH("Ability V3",WP!$A$2:$AN$2,0))</f>
        <v>Recovery Potency +12%</v>
      </c>
      <c r="R1004" s="735"/>
    </row>
    <row r="1005" spans="1:18" ht="7.5" customHeight="1" x14ac:dyDescent="0.2">
      <c r="A1005" t="s">
        <v>10763</v>
      </c>
    </row>
    <row r="1006" spans="1:18" ht="22.5" customHeight="1" x14ac:dyDescent="0.2">
      <c r="B1006" s="729" t="e" vm="321">
        <f>_xlfn.IMAGE("https://natalie.tf/wp-content/uploads/2023/10/DLV3_Icon_WP_"&amp;G1007&amp;"_01.png")</f>
        <v>#VALUE!</v>
      </c>
      <c r="D1006" s="730" t="e" vm="321">
        <f>_xlfn.IMAGE("https://natalie.tf/wp-content/uploads/2023/10/DLV3_Icon_WP_"&amp;G1007&amp;"_01.png")</f>
        <v>#VALUE!</v>
      </c>
      <c r="F1006" s="717" t="str">
        <f>+INDEX(WP!$A:$AN,MATCH(F1007,WP!$B:$B,0),MATCH("Name",WP!$A$2:$AN$2,0))</f>
        <v>Crown of Light (Sword's Boon)</v>
      </c>
      <c r="G1006" s="718"/>
      <c r="H1006" s="719"/>
      <c r="J1006" s="180" t="s">
        <v>10761</v>
      </c>
      <c r="K1006" s="201">
        <f>+INDEX(WP!$A:$AN,MATCH(F1007,WP!$B:$B,0),5)</f>
        <v>0</v>
      </c>
      <c r="L1006" s="202">
        <f>+INDEX(WP!$A:$AN,MATCH(F1007,WP!$B:$B,0),6)</f>
        <v>0</v>
      </c>
      <c r="M1006" s="202">
        <f>+INDEX(WP!$A:$AN,MATCH(F1007,WP!$B:$B,0),7)</f>
        <v>0</v>
      </c>
      <c r="N1006" s="202" t="str">
        <f ca="1">IFERROR(_xlfn.IMAGE("https://natalie.tf/wp-content/uploads/2023/11/DLV3_Icon_Affinity_"&amp;O1006&amp;".png"),"")</f>
        <v/>
      </c>
      <c r="O1006" s="203" t="str">
        <f>IF(INDEX(WP!$A:$AN,MATCH(F1007,WP!$B:$B,0),8)=0,"None",INDEX(WP!$A:$AN,MATCH(F1007,WP!$B:$B,0),8))</f>
        <v>None</v>
      </c>
      <c r="P1006" s="8" t="e" vm="15">
        <f>_xlfn.IMAGE("https://natalie.tf/wp-content/uploads/2023/10/DLV3_Icon_Ability_"&amp;INDEX('WP-A'!$A$1:$Z$498,MATCH('WP-Print'!Q1006,'WP-A'!$A:$A,0),MATCH("Icon",'WP-A'!$A$1:$Z$1,0))&amp;".png")</f>
        <v>#VALUE!</v>
      </c>
      <c r="Q1006" s="231" t="str">
        <f>+INDEX(WP!$A:$AN,MATCH(F1007,WP!$B:$B,0),MATCH("Ability",WP!$A$2:$AN$2,0))</f>
        <v>N/A</v>
      </c>
      <c r="R1006" s="734" t="str">
        <f>+INDEX(WP!$A:$AN,MATCH(F1007,WP!$B:$B,0),MATCH("Obtain From",WP!$A$2:$AN$2,0))</f>
        <v>Clear Mars's Trial: Standard (Trials of the Mighty)</v>
      </c>
    </row>
    <row r="1007" spans="1:18" ht="22.5" customHeight="1" x14ac:dyDescent="0.2">
      <c r="A1007" s="204" t="str">
        <f>TEXT(1,"000")</f>
        <v>001</v>
      </c>
      <c r="B1007" s="729"/>
      <c r="C1007" s="8"/>
      <c r="D1007" s="729"/>
      <c r="E1007" s="8"/>
      <c r="F1007" s="200" t="str">
        <f>"WPN-"&amp;A1007</f>
        <v>WPN-001</v>
      </c>
      <c r="G1007" s="200">
        <f>+INDEX(WP!$A:$AN,MATCH(F1007,WP!$B:$B,0),MATCH("ID",WP!$A$2:$AN$2,0))</f>
        <v>400177</v>
      </c>
      <c r="I1007" s="8"/>
      <c r="J1007" s="180" t="s">
        <v>10762</v>
      </c>
      <c r="K1007" s="201">
        <f>+INDEX(WP!$A:$AN,MATCH(F1007,WP!$B:$B,0),14)</f>
        <v>9</v>
      </c>
      <c r="L1007" s="202">
        <f>+INDEX(WP!$A:$AN,MATCH(F1007,WP!$B:$B,0),15)</f>
        <v>150</v>
      </c>
      <c r="M1007" s="202">
        <f>+INDEX(WP!$A:$AN,MATCH(F1007,WP!$B:$B,0),16)</f>
        <v>90</v>
      </c>
      <c r="N1007" s="202" t="e" vm="339">
        <f>IFERROR(_xlfn.IMAGE("https://natalie.tf/wp-content/uploads/2023/11/DLV3_Icon_Affinity_"&amp;O1007&amp;".png"),"")</f>
        <v>#VALUE!</v>
      </c>
      <c r="O1007" s="203" t="str">
        <f>+INDEX(WP!$A:$AN,MATCH(F1007,WP!$B:$B,0),17)</f>
        <v>Sword</v>
      </c>
      <c r="P1007" s="8" t="e" vm="1016">
        <f>_xlfn.IMAGE("https://natalie.tf/wp-content/uploads/2023/11/DLV3_Icon_Custom_Crowns_Psalm_Crude_Edit.png.png")</f>
        <v>#VALUE!</v>
      </c>
      <c r="Q1007" s="231" t="str">
        <f>+INDEX(WP!$A:$AN,MATCH(F1007,WP!$B:$B,0),MATCH("Ability V3",WP!$A$2:$AN$2,0))</f>
        <v>Crown's Psalm III</v>
      </c>
      <c r="R1007" s="735"/>
    </row>
    <row r="1008" spans="1:18" ht="7.5" customHeight="1" x14ac:dyDescent="0.2">
      <c r="A1008" t="s">
        <v>10763</v>
      </c>
    </row>
    <row r="1009" spans="1:18" ht="22.5" customHeight="1" x14ac:dyDescent="0.2">
      <c r="B1009" s="729" t="e" vm="323">
        <f>_xlfn.IMAGE("https://natalie.tf/wp-content/uploads/2023/10/DLV3_Icon_WP_"&amp;G1010&amp;"_01.png")</f>
        <v>#VALUE!</v>
      </c>
      <c r="D1009" s="730" t="e" vm="323">
        <f>_xlfn.IMAGE("https://natalie.tf/wp-content/uploads/2023/10/DLV3_Icon_WP_"&amp;G1010&amp;"_01.png")</f>
        <v>#VALUE!</v>
      </c>
      <c r="F1009" s="717" t="str">
        <f>+INDEX(WP!$A:$AN,MATCH(F1010,WP!$B:$B,0),MATCH("Name",WP!$A$2:$AN$2,0))</f>
        <v>Tutelary's Destiny (Spider's Boon)</v>
      </c>
      <c r="G1009" s="718"/>
      <c r="H1009" s="719"/>
      <c r="J1009" s="180" t="s">
        <v>10761</v>
      </c>
      <c r="K1009" s="201">
        <f>+INDEX(WP!$A:$AN,MATCH(F1010,WP!$B:$B,0),5)</f>
        <v>0</v>
      </c>
      <c r="L1009" s="202">
        <f>+INDEX(WP!$A:$AN,MATCH(F1010,WP!$B:$B,0),6)</f>
        <v>0</v>
      </c>
      <c r="M1009" s="202">
        <f>+INDEX(WP!$A:$AN,MATCH(F1010,WP!$B:$B,0),7)</f>
        <v>0</v>
      </c>
      <c r="N1009" s="202" t="str">
        <f ca="1">IFERROR(_xlfn.IMAGE("https://natalie.tf/wp-content/uploads/2023/11/DLV3_Icon_Affinity_"&amp;O1009&amp;".png"),"")</f>
        <v/>
      </c>
      <c r="O1009" s="203" t="str">
        <f>IF(INDEX(WP!$A:$AN,MATCH(F1010,WP!$B:$B,0),8)=0,"None",INDEX(WP!$A:$AN,MATCH(F1010,WP!$B:$B,0),8))</f>
        <v>None</v>
      </c>
      <c r="P1009" s="8" t="e" vm="15">
        <f>_xlfn.IMAGE("https://natalie.tf/wp-content/uploads/2023/10/DLV3_Icon_Ability_"&amp;INDEX('WP-A'!$A$1:$Z$498,MATCH('WP-Print'!Q1009,'WP-A'!$A:$A,0),MATCH("Icon",'WP-A'!$A$1:$Z$1,0))&amp;".png")</f>
        <v>#VALUE!</v>
      </c>
      <c r="Q1009" s="231" t="str">
        <f>+INDEX(WP!$A:$AN,MATCH(F1010,WP!$B:$B,0),MATCH("Ability",WP!$A$2:$AN$2,0))</f>
        <v>N/A</v>
      </c>
      <c r="R1009" s="734" t="str">
        <f>+INDEX(WP!$A:$AN,MATCH(F1010,WP!$B:$B,0),MATCH("Obtain From",WP!$A$2:$AN$2,0))</f>
        <v>Clear Lilith's Trial (Flame): Standard (Trials of the Mighty)</v>
      </c>
    </row>
    <row r="1010" spans="1:18" ht="22.5" customHeight="1" x14ac:dyDescent="0.2">
      <c r="A1010" s="204" t="str">
        <f>TEXT(A1007+1,"000")</f>
        <v>002</v>
      </c>
      <c r="B1010" s="729"/>
      <c r="C1010" s="8"/>
      <c r="D1010" s="729"/>
      <c r="E1010" s="8"/>
      <c r="F1010" s="200" t="str">
        <f>"WPN-"&amp;A1010</f>
        <v>WPN-002</v>
      </c>
      <c r="G1010" s="200">
        <f>+INDEX(WP!$A:$AN,MATCH(F1010,WP!$B:$B,0),MATCH("ID",WP!$A$2:$AN$2,0))</f>
        <v>400359</v>
      </c>
      <c r="I1010" s="8"/>
      <c r="J1010" s="180" t="s">
        <v>10762</v>
      </c>
      <c r="K1010" s="201">
        <f>+INDEX(WP!$A:$AN,MATCH(F1010,WP!$B:$B,0),14)</f>
        <v>9</v>
      </c>
      <c r="L1010" s="202">
        <f>+INDEX(WP!$A:$AN,MATCH(F1010,WP!$B:$B,0),15)</f>
        <v>150</v>
      </c>
      <c r="M1010" s="202">
        <f>+INDEX(WP!$A:$AN,MATCH(F1010,WP!$B:$B,0),16)</f>
        <v>90</v>
      </c>
      <c r="N1010" s="202" t="e" vm="367">
        <f>IFERROR(_xlfn.IMAGE("https://natalie.tf/wp-content/uploads/2023/11/DLV3_Icon_Affinity_"&amp;O1010&amp;".png"),"")</f>
        <v>#VALUE!</v>
      </c>
      <c r="O1010" s="203" t="str">
        <f>+INDEX(WP!$A:$AN,MATCH(F1010,WP!$B:$B,0),17)</f>
        <v>Spider</v>
      </c>
      <c r="P1010" s="8" t="e" vm="330">
        <f>_xlfn.IMAGE("https://natalie.tf/wp-content/uploads/2023/10/DLV3_Icon_Ability_"&amp;INDEX('WP-A'!$A$1:$Z$498,MATCH('WP-Print'!Q1010,'WP-A'!$A:$A,0),MATCH("Icon",'WP-A'!$A$1:$Z$1,0))&amp;".png")</f>
        <v>#VALUE!</v>
      </c>
      <c r="Q1010" s="231" t="str">
        <f>+INDEX(WP!$A:$AN,MATCH(F1010,WP!$B:$B,0),MATCH("Ability V3",WP!$A$2:$AN$2,0))</f>
        <v>Skill Haste +5%</v>
      </c>
      <c r="R1010" s="735"/>
    </row>
    <row r="1011" spans="1:18" ht="22.5" customHeight="1" x14ac:dyDescent="0.2">
      <c r="A1011" t="s">
        <v>10763</v>
      </c>
    </row>
    <row r="1012" spans="1:18" ht="22.5" customHeight="1" x14ac:dyDescent="0.2">
      <c r="B1012" s="729" t="e" vm="328">
        <f>_xlfn.IMAGE("https://natalie.tf/wp-content/uploads/2023/10/DLV3_Icon_WP_"&amp;G1013&amp;"_01.png")</f>
        <v>#VALUE!</v>
      </c>
      <c r="D1012" s="730" t="e" vm="328">
        <f>_xlfn.IMAGE("https://natalie.tf/wp-content/uploads/2023/10/DLV3_Icon_WP_"&amp;G1013&amp;"_01.png")</f>
        <v>#VALUE!</v>
      </c>
      <c r="F1012" s="731" t="str">
        <f>+INDEX(WP!$A:$AN,MATCH(F1013,WP!$B:$B,0),MATCH("Name",WP!$A$2:$AN$2,0))</f>
        <v>"A Knight's Dream" (Wolf's Boon)</v>
      </c>
      <c r="G1012" s="732"/>
      <c r="H1012" s="733"/>
      <c r="J1012" s="180" t="s">
        <v>10761</v>
      </c>
      <c r="K1012" s="201">
        <f>+INDEX(WP!$A:$AN,MATCH(F1013,WP!$B:$B,0),5)</f>
        <v>0</v>
      </c>
      <c r="L1012" s="202">
        <f>+INDEX(WP!$A:$AN,MATCH(F1013,WP!$B:$B,0),6)</f>
        <v>0</v>
      </c>
      <c r="M1012" s="202">
        <f>+INDEX(WP!$A:$AN,MATCH(F1013,WP!$B:$B,0),7)</f>
        <v>0</v>
      </c>
      <c r="N1012" s="202" t="str">
        <f ca="1">IFERROR(_xlfn.IMAGE("https://natalie.tf/wp-content/uploads/2023/11/DLV3_Icon_Affinity_"&amp;O1012&amp;".png"),"")</f>
        <v/>
      </c>
      <c r="O1012" s="203" t="str">
        <f>IF(INDEX(WP!$A:$AN,MATCH(F1013,WP!$B:$B,0),8)=0,"None",INDEX(WP!$A:$AN,MATCH(F1013,WP!$B:$B,0),8))</f>
        <v>None</v>
      </c>
      <c r="P1012" s="8" t="e" vm="15">
        <f>_xlfn.IMAGE("https://natalie.tf/wp-content/uploads/2023/10/DLV3_Icon_Ability_"&amp;INDEX('WP-A'!$A$1:$Z$498,MATCH('WP-Print'!Q1012,'WP-A'!$A:$A,0),MATCH("Icon",'WP-A'!$A$1:$Z$1,0))&amp;".png")</f>
        <v>#VALUE!</v>
      </c>
      <c r="Q1012" s="231" t="str">
        <f>+INDEX(WP!$A:$AN,MATCH(F1013,WP!$B:$B,0),MATCH("Ability",WP!$A$2:$AN$2,0))</f>
        <v>N/A</v>
      </c>
      <c r="R1012" s="734" t="str">
        <f>+INDEX(WP!$A:$AN,MATCH(F1013,WP!$B:$B,0),MATCH("Obtain From",WP!$A$2:$AN$2,0))</f>
        <v>Clear Jeanne d'Arc's Trial: Standard (Trials of the Mighty)</v>
      </c>
    </row>
    <row r="1013" spans="1:18" ht="22.5" customHeight="1" x14ac:dyDescent="0.2">
      <c r="A1013" s="204" t="str">
        <f>TEXT(A1010+1,"000")</f>
        <v>003</v>
      </c>
      <c r="B1013" s="729"/>
      <c r="C1013" s="8"/>
      <c r="D1013" s="729"/>
      <c r="E1013" s="8"/>
      <c r="F1013" s="200" t="str">
        <f>"WPN-"&amp;A1013</f>
        <v>WPN-003</v>
      </c>
      <c r="G1013" s="200">
        <f>+INDEX(WP!$A:$AN,MATCH(F1013,WP!$B:$B,0),MATCH("ID",WP!$A$2:$AN$2,0))</f>
        <v>400178</v>
      </c>
      <c r="I1013" s="8"/>
      <c r="J1013" s="180" t="s">
        <v>10762</v>
      </c>
      <c r="K1013" s="201">
        <f>+INDEX(WP!$A:$AN,MATCH(F1013,WP!$B:$B,0),14)</f>
        <v>9</v>
      </c>
      <c r="L1013" s="202">
        <f>+INDEX(WP!$A:$AN,MATCH(F1013,WP!$B:$B,0),15)</f>
        <v>150</v>
      </c>
      <c r="M1013" s="202">
        <f>+INDEX(WP!$A:$AN,MATCH(F1013,WP!$B:$B,0),16)</f>
        <v>90</v>
      </c>
      <c r="N1013" s="202" t="e" vm="338">
        <f>IFERROR(_xlfn.IMAGE("https://natalie.tf/wp-content/uploads/2023/11/DLV3_Icon_Affinity_"&amp;O1013&amp;".png"),"")</f>
        <v>#VALUE!</v>
      </c>
      <c r="O1013" s="203" t="str">
        <f>+INDEX(WP!$A:$AN,MATCH(F1013,WP!$B:$B,0),17)</f>
        <v>Wolf</v>
      </c>
      <c r="P1013" s="8" t="e" vm="330">
        <f>_xlfn.IMAGE("https://natalie.tf/wp-content/uploads/2023/10/DLV3_Icon_Ability_"&amp;INDEX('WP-A'!$A$1:$Z$498,MATCH('WP-Print'!Q1013,'WP-A'!$A:$A,0),MATCH("Icon",'WP-A'!$A$1:$Z$1,0))&amp;".png")</f>
        <v>#VALUE!</v>
      </c>
      <c r="Q1013" s="231" t="str">
        <f>+INDEX(WP!$A:$AN,MATCH(F1013,WP!$B:$B,0),MATCH("Ability V3",WP!$A$2:$AN$2,0))</f>
        <v>Skill Haste +5%</v>
      </c>
      <c r="R1013" s="735"/>
    </row>
    <row r="1014" spans="1:18" ht="7.5" customHeight="1" x14ac:dyDescent="0.2">
      <c r="A1014" t="s">
        <v>10763</v>
      </c>
    </row>
    <row r="1015" spans="1:18" ht="22.5" customHeight="1" x14ac:dyDescent="0.2">
      <c r="B1015" s="729" t="e" vm="329">
        <f>_xlfn.IMAGE("https://natalie.tf/wp-content/uploads/2023/10/DLV3_Icon_WP_"&amp;G1016&amp;"_01.png")</f>
        <v>#VALUE!</v>
      </c>
      <c r="D1015" s="730" t="e" vm="329">
        <f>_xlfn.IMAGE("https://natalie.tf/wp-content/uploads/2023/10/DLV3_Icon_WP_"&amp;G1016&amp;"_01.png")</f>
        <v>#VALUE!</v>
      </c>
      <c r="F1015" s="731" t="str">
        <f>+INDEX(WP!$A:$AN,MATCH(F1016,WP!$B:$B,0),MATCH("Name",WP!$A$2:$AN$2,0))</f>
        <v>Wind of Oaths (Spider's Boon)</v>
      </c>
      <c r="G1015" s="732"/>
      <c r="H1015" s="733"/>
      <c r="J1015" s="180" t="s">
        <v>10761</v>
      </c>
      <c r="K1015" s="201">
        <f>+INDEX(WP!$A:$AN,MATCH(F1016,WP!$B:$B,0),5)</f>
        <v>0</v>
      </c>
      <c r="L1015" s="202">
        <f>+INDEX(WP!$A:$AN,MATCH(F1016,WP!$B:$B,0),6)</f>
        <v>0</v>
      </c>
      <c r="M1015" s="202">
        <f>+INDEX(WP!$A:$AN,MATCH(F1016,WP!$B:$B,0),7)</f>
        <v>0</v>
      </c>
      <c r="N1015" s="202" t="str">
        <f ca="1">IFERROR(_xlfn.IMAGE("https://natalie.tf/wp-content/uploads/2023/11/DLV3_Icon_Affinity_"&amp;O1015&amp;".png"),"")</f>
        <v/>
      </c>
      <c r="O1015" s="203" t="str">
        <f>IF(INDEX(WP!$A:$AN,MATCH(F1016,WP!$B:$B,0),8)=0,"None",INDEX(WP!$A:$AN,MATCH(F1016,WP!$B:$B,0),8))</f>
        <v>None</v>
      </c>
      <c r="P1015" s="8" t="e" vm="15">
        <f>_xlfn.IMAGE("https://natalie.tf/wp-content/uploads/2023/10/DLV3_Icon_Ability_"&amp;INDEX('WP-A'!$A$1:$Z$498,MATCH('WP-Print'!Q1015,'WP-A'!$A:$A,0),MATCH("Icon",'WP-A'!$A$1:$Z$1,0))&amp;".png")</f>
        <v>#VALUE!</v>
      </c>
      <c r="Q1015" s="231" t="str">
        <f>+INDEX(WP!$A:$AN,MATCH(F1016,WP!$B:$B,0),MATCH("Ability",WP!$A$2:$AN$2,0))</f>
        <v>N/A</v>
      </c>
      <c r="R1015" s="734" t="str">
        <f>+INDEX(WP!$A:$AN,MATCH(F1016,WP!$B:$B,0),MATCH("Obtain From",WP!$A$2:$AN$2,0))</f>
        <v>Clear Jaldabaoth's Trial (Water): Standard (Trials of the Mighty)</v>
      </c>
    </row>
    <row r="1016" spans="1:18" ht="22.5" customHeight="1" x14ac:dyDescent="0.2">
      <c r="A1016" s="204" t="str">
        <f>TEXT(A1013+1,"000")</f>
        <v>004</v>
      </c>
      <c r="B1016" s="729"/>
      <c r="C1016" s="8"/>
      <c r="D1016" s="729"/>
      <c r="E1016" s="8"/>
      <c r="F1016" s="200" t="str">
        <f>"WPN-"&amp;A1016</f>
        <v>WPN-004</v>
      </c>
      <c r="G1016" s="200">
        <f>+INDEX(WP!$A:$AN,MATCH(F1016,WP!$B:$B,0),MATCH("ID",WP!$A$2:$AN$2,0))</f>
        <v>400258</v>
      </c>
      <c r="I1016" s="8"/>
      <c r="J1016" s="180" t="s">
        <v>10762</v>
      </c>
      <c r="K1016" s="201">
        <f>+INDEX(WP!$A:$AN,MATCH(F1016,WP!$B:$B,0),14)</f>
        <v>9</v>
      </c>
      <c r="L1016" s="202">
        <f>+INDEX(WP!$A:$AN,MATCH(F1016,WP!$B:$B,0),15)</f>
        <v>150</v>
      </c>
      <c r="M1016" s="202">
        <f>+INDEX(WP!$A:$AN,MATCH(F1016,WP!$B:$B,0),16)</f>
        <v>90</v>
      </c>
      <c r="N1016" s="202" t="e" vm="367">
        <f>IFERROR(_xlfn.IMAGE("https://natalie.tf/wp-content/uploads/2023/11/DLV3_Icon_Affinity_"&amp;O1016&amp;".png"),"")</f>
        <v>#VALUE!</v>
      </c>
      <c r="O1016" s="203" t="str">
        <f>+INDEX(WP!$A:$AN,MATCH(F1016,WP!$B:$B,0),17)</f>
        <v>Spider</v>
      </c>
      <c r="P1016" s="8" t="e" vm="322">
        <f>_xlfn.IMAGE("https://natalie.tf/wp-content/uploads/2023/10/DLV3_Icon_Ability_"&amp;INDEX('WP-A'!$A$1:$Z$498,MATCH('WP-Print'!Q1016,'WP-A'!$A:$A,0),MATCH("Icon",'WP-A'!$A$1:$Z$1,0))&amp;".png")</f>
        <v>#VALUE!</v>
      </c>
      <c r="Q1016" s="231" t="str">
        <f>+INDEX(WP!$A:$AN,MATCH(F1016,WP!$B:$B,0),MATCH("Ability V3",WP!$A$2:$AN$2,0))</f>
        <v>Skill Damage +20%</v>
      </c>
      <c r="R1016" s="735"/>
    </row>
    <row r="1017" spans="1:18" ht="7.5" customHeight="1" x14ac:dyDescent="0.2">
      <c r="A1017" t="s">
        <v>10763</v>
      </c>
    </row>
    <row r="1018" spans="1:18" ht="22.5" customHeight="1" x14ac:dyDescent="0.2">
      <c r="B1018" s="729" t="e" vm="335">
        <f>_xlfn.IMAGE("https://natalie.tf/wp-content/uploads/2023/10/DLV3_Icon_WP_"&amp;G1019&amp;"_01.png")</f>
        <v>#VALUE!</v>
      </c>
      <c r="D1018" s="730" t="e" vm="335">
        <f>_xlfn.IMAGE("https://natalie.tf/wp-content/uploads/2023/10/DLV3_Icon_WP_"&amp;G1019&amp;"_01.png")</f>
        <v>#VALUE!</v>
      </c>
      <c r="F1018" s="731" t="str">
        <f>+INDEX(WP!$A:$AN,MATCH(F1019,WP!$B:$B,0),MATCH("Name",WP!$A$2:$AN$2,0))</f>
        <v>A Mercenary's Pride (Crown's Boon)</v>
      </c>
      <c r="G1018" s="732"/>
      <c r="H1018" s="733"/>
      <c r="J1018" s="180" t="s">
        <v>10761</v>
      </c>
      <c r="K1018" s="201">
        <f>+INDEX(WP!$A:$AN,MATCH(F1019,WP!$B:$B,0),5)</f>
        <v>0</v>
      </c>
      <c r="L1018" s="202">
        <f>+INDEX(WP!$A:$AN,MATCH(F1019,WP!$B:$B,0),6)</f>
        <v>0</v>
      </c>
      <c r="M1018" s="202">
        <f>+INDEX(WP!$A:$AN,MATCH(F1019,WP!$B:$B,0),7)</f>
        <v>0</v>
      </c>
      <c r="N1018" s="202" t="str">
        <f ca="1">IFERROR(_xlfn.IMAGE("https://natalie.tf/wp-content/uploads/2023/11/DLV3_Icon_Affinity_"&amp;O1018&amp;".png"),"")</f>
        <v/>
      </c>
      <c r="O1018" s="203" t="str">
        <f>IF(INDEX(WP!$A:$AN,MATCH(F1019,WP!$B:$B,0),8)=0,"None",INDEX(WP!$A:$AN,MATCH(F1019,WP!$B:$B,0),8))</f>
        <v>None</v>
      </c>
      <c r="P1018" s="8" t="e" vm="15">
        <f>_xlfn.IMAGE("https://natalie.tf/wp-content/uploads/2023/10/DLV3_Icon_Ability_"&amp;INDEX('WP-A'!$A$1:$Z$498,MATCH('WP-Print'!Q1018,'WP-A'!$A:$A,0),MATCH("Icon",'WP-A'!$A$1:$Z$1,0))&amp;".png")</f>
        <v>#VALUE!</v>
      </c>
      <c r="Q1018" s="231" t="str">
        <f>+INDEX(WP!$A:$AN,MATCH(F1019,WP!$B:$B,0),MATCH("Ability",WP!$A$2:$AN$2,0))</f>
        <v>N/A</v>
      </c>
      <c r="R1018" s="734" t="str">
        <f>+INDEX(WP!$A:$AN,MATCH(F1019,WP!$B:$B,0),MATCH("Obtain From",WP!$A$2:$AN$2,0))</f>
        <v>Clear Asura's Trial (Wind): Standard (Trials of the Mighty)</v>
      </c>
    </row>
    <row r="1019" spans="1:18" ht="22.5" customHeight="1" x14ac:dyDescent="0.2">
      <c r="A1019" s="204" t="str">
        <f>TEXT(A1016+1,"000")</f>
        <v>005</v>
      </c>
      <c r="B1019" s="729"/>
      <c r="C1019" s="8"/>
      <c r="D1019" s="729"/>
      <c r="E1019" s="8"/>
      <c r="F1019" s="200" t="str">
        <f>"WPN-"&amp;A1019</f>
        <v>WPN-005</v>
      </c>
      <c r="G1019" s="200">
        <f>+INDEX(WP!$A:$AN,MATCH(F1019,WP!$B:$B,0),MATCH("ID",WP!$A$2:$AN$2,0))</f>
        <v>400179</v>
      </c>
      <c r="I1019" s="8"/>
      <c r="J1019" s="180" t="s">
        <v>10762</v>
      </c>
      <c r="K1019" s="201">
        <f>+INDEX(WP!$A:$AN,MATCH(F1019,WP!$B:$B,0),14)</f>
        <v>9</v>
      </c>
      <c r="L1019" s="202">
        <f>+INDEX(WP!$A:$AN,MATCH(F1019,WP!$B:$B,0),15)</f>
        <v>150</v>
      </c>
      <c r="M1019" s="202">
        <f>+INDEX(WP!$A:$AN,MATCH(F1019,WP!$B:$B,0),16)</f>
        <v>90</v>
      </c>
      <c r="N1019" s="202" t="e" vm="341">
        <f>IFERROR(_xlfn.IMAGE("https://natalie.tf/wp-content/uploads/2023/11/DLV3_Icon_Affinity_"&amp;O1019&amp;".png"),"")</f>
        <v>#VALUE!</v>
      </c>
      <c r="O1019" s="203" t="str">
        <f>+INDEX(WP!$A:$AN,MATCH(F1019,WP!$B:$B,0),17)</f>
        <v>Crown</v>
      </c>
      <c r="P1019" s="8" t="e" vm="1017">
        <f>_xlfn.IMAGE("https://natalie.tf/wp-content/uploads/2023/11/DLV3_Icon_Custom_Axes_Psalm_Crude_Edit.png")</f>
        <v>#VALUE!</v>
      </c>
      <c r="Q1019" s="231" t="str">
        <f>+INDEX(WP!$A:$AN,MATCH(F1019,WP!$B:$B,0),MATCH("Ability V3",WP!$A$2:$AN$2,0))</f>
        <v>Axe's Psalm III</v>
      </c>
      <c r="R1019" s="735"/>
    </row>
    <row r="1020" spans="1:18" ht="7.5" customHeight="1" x14ac:dyDescent="0.2">
      <c r="A1020" t="s">
        <v>10763</v>
      </c>
    </row>
    <row r="1021" spans="1:18" ht="22.5" customHeight="1" x14ac:dyDescent="0.2">
      <c r="B1021" s="729" t="e" vm="336">
        <f>_xlfn.IMAGE("https://natalie.tf/wp-content/uploads/2023/10/DLV3_Icon_WP_"&amp;G1022&amp;"_01.png")</f>
        <v>#VALUE!</v>
      </c>
      <c r="D1021" s="730" t="e" vm="336">
        <f>_xlfn.IMAGE("https://natalie.tf/wp-content/uploads/2023/10/DLV3_Icon_WP_"&amp;G1022&amp;"_01.png")</f>
        <v>#VALUE!</v>
      </c>
      <c r="F1021" s="731" t="str">
        <f>+INDEX(WP!$A:$AN,MATCH(F1022,WP!$B:$B,0),MATCH("Name",WP!$A$2:$AN$2,0))</f>
        <v>Recital Invitation (Bull's Boon)</v>
      </c>
      <c r="G1021" s="732"/>
      <c r="H1021" s="733"/>
      <c r="J1021" s="180" t="s">
        <v>10761</v>
      </c>
      <c r="K1021" s="201">
        <f>+INDEX(WP!$A:$AN,MATCH(F1022,WP!$B:$B,0),5)</f>
        <v>0</v>
      </c>
      <c r="L1021" s="202">
        <f>+INDEX(WP!$A:$AN,MATCH(F1022,WP!$B:$B,0),6)</f>
        <v>0</v>
      </c>
      <c r="M1021" s="202">
        <f>+INDEX(WP!$A:$AN,MATCH(F1022,WP!$B:$B,0),7)</f>
        <v>0</v>
      </c>
      <c r="N1021" s="202" t="str">
        <f ca="1">IFERROR(_xlfn.IMAGE("https://natalie.tf/wp-content/uploads/2023/11/DLV3_Icon_Affinity_"&amp;O1021&amp;".png"),"")</f>
        <v/>
      </c>
      <c r="O1021" s="203" t="str">
        <f>IF(INDEX(WP!$A:$AN,MATCH(F1022,WP!$B:$B,0),8)=0,"None",INDEX(WP!$A:$AN,MATCH(F1022,WP!$B:$B,0),8))</f>
        <v>None</v>
      </c>
      <c r="P1021" s="8" t="e" vm="15">
        <f>_xlfn.IMAGE("https://natalie.tf/wp-content/uploads/2023/10/DLV3_Icon_Ability_"&amp;INDEX('WP-A'!$A$1:$Z$498,MATCH('WP-Print'!Q1021,'WP-A'!$A:$A,0),MATCH("Icon",'WP-A'!$A$1:$Z$1,0))&amp;".png")</f>
        <v>#VALUE!</v>
      </c>
      <c r="Q1021" s="231" t="str">
        <f>+INDEX(WP!$A:$AN,MATCH(F1022,WP!$B:$B,0),MATCH("Ability",WP!$A$2:$AN$2,0))</f>
        <v>N/A</v>
      </c>
      <c r="R1021" s="734" t="str">
        <f>+INDEX(WP!$A:$AN,MATCH(F1022,WP!$B:$B,0),MATCH("Obtain From",WP!$A$2:$AN$2,0))</f>
        <v>Clear Chthonius's Trial: Standard (Trials of the Mighty)</v>
      </c>
    </row>
    <row r="1022" spans="1:18" ht="22.5" customHeight="1" x14ac:dyDescent="0.2">
      <c r="A1022" s="204" t="str">
        <f>TEXT(A1019+1,"000")</f>
        <v>006</v>
      </c>
      <c r="B1022" s="729"/>
      <c r="C1022" s="8"/>
      <c r="D1022" s="729"/>
      <c r="E1022" s="8"/>
      <c r="F1022" s="200" t="str">
        <f>"WPN-"&amp;A1022</f>
        <v>WPN-006</v>
      </c>
      <c r="G1022" s="200">
        <f>+INDEX(WP!$A:$AN,MATCH(F1022,WP!$B:$B,0),MATCH("ID",WP!$A$2:$AN$2,0))</f>
        <v>400261</v>
      </c>
      <c r="I1022" s="8"/>
      <c r="J1022" s="180" t="s">
        <v>10762</v>
      </c>
      <c r="K1022" s="201">
        <f>+INDEX(WP!$A:$AN,MATCH(F1022,WP!$B:$B,0),14)</f>
        <v>9</v>
      </c>
      <c r="L1022" s="202">
        <f>+INDEX(WP!$A:$AN,MATCH(F1022,WP!$B:$B,0),15)</f>
        <v>150</v>
      </c>
      <c r="M1022" s="202">
        <f>+INDEX(WP!$A:$AN,MATCH(F1022,WP!$B:$B,0),16)</f>
        <v>90</v>
      </c>
      <c r="N1022" s="202" t="e" vm="346">
        <f>IFERROR(_xlfn.IMAGE("https://natalie.tf/wp-content/uploads/2023/11/DLV3_Icon_Affinity_"&amp;O1022&amp;".png"),"")</f>
        <v>#VALUE!</v>
      </c>
      <c r="O1022" s="203" t="str">
        <f>+INDEX(WP!$A:$AN,MATCH(F1022,WP!$B:$B,0),17)</f>
        <v>Bull</v>
      </c>
      <c r="P1022" s="8" t="e" vm="322">
        <f>_xlfn.IMAGE("https://natalie.tf/wp-content/uploads/2023/10/DLV3_Icon_Ability_"&amp;INDEX('WP-A'!$A$1:$Z$498,MATCH('WP-Print'!Q1022,'WP-A'!$A:$A,0),MATCH("Icon",'WP-A'!$A$1:$Z$1,0))&amp;".png")</f>
        <v>#VALUE!</v>
      </c>
      <c r="Q1022" s="231" t="str">
        <f>+INDEX(WP!$A:$AN,MATCH(F1022,WP!$B:$B,0),MATCH("Ability V3",WP!$A$2:$AN$2,0))</f>
        <v>Skill Damage +20%</v>
      </c>
      <c r="R1022" s="735"/>
    </row>
    <row r="1023" spans="1:18" ht="7.5" customHeight="1" x14ac:dyDescent="0.2">
      <c r="A1023" t="s">
        <v>10763</v>
      </c>
    </row>
    <row r="1024" spans="1:18" ht="22.5" customHeight="1" x14ac:dyDescent="0.2">
      <c r="B1024" s="729" t="e" vm="351">
        <f>_xlfn.IMAGE("https://natalie.tf/wp-content/uploads/2023/10/DLV3_Icon_WP_"&amp;G1025&amp;"_01.png")</f>
        <v>#VALUE!</v>
      </c>
      <c r="D1024" s="730" t="e" vm="351">
        <f>_xlfn.IMAGE("https://natalie.tf/wp-content/uploads/2023/10/DLV3_Icon_WP_"&amp;G1025&amp;"_01.png")</f>
        <v>#VALUE!</v>
      </c>
      <c r="F1024" s="731" t="str">
        <f>+INDEX(WP!$A:$AN,MATCH(F1025,WP!$B:$B,0),MATCH("Name",WP!$A$2:$AN$2,0))</f>
        <v>Testament of Eternity (Serpent's Boon)</v>
      </c>
      <c r="G1024" s="732"/>
      <c r="H1024" s="733"/>
      <c r="J1024" s="180" t="s">
        <v>10761</v>
      </c>
      <c r="K1024" s="201">
        <f>+INDEX(WP!$A:$AN,MATCH(F1025,WP!$B:$B,0),5)</f>
        <v>0</v>
      </c>
      <c r="L1024" s="202">
        <f>+INDEX(WP!$A:$AN,MATCH(F1025,WP!$B:$B,0),6)</f>
        <v>0</v>
      </c>
      <c r="M1024" s="202">
        <f>+INDEX(WP!$A:$AN,MATCH(F1025,WP!$B:$B,0),7)</f>
        <v>0</v>
      </c>
      <c r="N1024" s="202" t="str">
        <f ca="1">IFERROR(_xlfn.IMAGE("https://natalie.tf/wp-content/uploads/2023/11/DLV3_Icon_Affinity_"&amp;O1024&amp;".png"),"")</f>
        <v/>
      </c>
      <c r="O1024" s="203" t="str">
        <f>IF(INDEX(WP!$A:$AN,MATCH(F1025,WP!$B:$B,0),8)=0,"None",INDEX(WP!$A:$AN,MATCH(F1025,WP!$B:$B,0),8))</f>
        <v>None</v>
      </c>
      <c r="P1024" s="8" t="e" vm="15">
        <f>_xlfn.IMAGE("https://natalie.tf/wp-content/uploads/2023/10/DLV3_Icon_Ability_"&amp;INDEX('WP-A'!$A$1:$Z$498,MATCH('WP-Print'!Q1024,'WP-A'!$A:$A,0),MATCH("Icon",'WP-A'!$A$1:$Z$1,0))&amp;".png")</f>
        <v>#VALUE!</v>
      </c>
      <c r="Q1024" s="231" t="str">
        <f>+INDEX(WP!$A:$AN,MATCH(F1025,WP!$B:$B,0),MATCH("Ability",WP!$A$2:$AN$2,0))</f>
        <v>N/A</v>
      </c>
      <c r="R1024" s="734" t="str">
        <f>+INDEX(WP!$A:$AN,MATCH(F1025,WP!$B:$B,0),MATCH("Obtain From",WP!$A$2:$AN$2,0))</f>
        <v>Clear Iblis's Trial (Shadow): Standard (Trials of the Mighty)</v>
      </c>
    </row>
    <row r="1025" spans="1:18" ht="22.5" customHeight="1" x14ac:dyDescent="0.2">
      <c r="A1025" s="204" t="str">
        <f>TEXT(A1022+1,"000")</f>
        <v>007</v>
      </c>
      <c r="B1025" s="729"/>
      <c r="C1025" s="8"/>
      <c r="D1025" s="729"/>
      <c r="E1025" s="8"/>
      <c r="F1025" s="200" t="str">
        <f>"WPN-"&amp;A1025</f>
        <v>WPN-007</v>
      </c>
      <c r="G1025" s="200">
        <f>+INDEX(WP!$A:$AN,MATCH(F1025,WP!$B:$B,0),MATCH("ID",WP!$A$2:$AN$2,0))</f>
        <v>400180</v>
      </c>
      <c r="I1025" s="8"/>
      <c r="J1025" s="180" t="s">
        <v>10762</v>
      </c>
      <c r="K1025" s="201">
        <f>+INDEX(WP!$A:$AN,MATCH(F1025,WP!$B:$B,0),14)</f>
        <v>9</v>
      </c>
      <c r="L1025" s="202">
        <f>+INDEX(WP!$A:$AN,MATCH(F1025,WP!$B:$B,0),15)</f>
        <v>150</v>
      </c>
      <c r="M1025" s="202">
        <f>+INDEX(WP!$A:$AN,MATCH(F1025,WP!$B:$B,0),16)</f>
        <v>90</v>
      </c>
      <c r="N1025" s="202" t="e" vm="337">
        <f>IFERROR(_xlfn.IMAGE("https://natalie.tf/wp-content/uploads/2023/11/DLV3_Icon_Affinity_"&amp;O1025&amp;".png"),"")</f>
        <v>#VALUE!</v>
      </c>
      <c r="O1025" s="203" t="str">
        <f>+INDEX(WP!$A:$AN,MATCH(F1025,WP!$B:$B,0),17)</f>
        <v>Serpent</v>
      </c>
      <c r="P1025" s="8" t="e" vm="330">
        <f>_xlfn.IMAGE("https://natalie.tf/wp-content/uploads/2023/10/DLV3_Icon_Ability_"&amp;INDEX('WP-A'!$A$1:$Z$498,MATCH('WP-Print'!Q1025,'WP-A'!$A:$A,0),MATCH("Icon",'WP-A'!$A$1:$Z$1,0))&amp;".png")</f>
        <v>#VALUE!</v>
      </c>
      <c r="Q1025" s="231" t="str">
        <f>+INDEX(WP!$A:$AN,MATCH(F1025,WP!$B:$B,0),MATCH("Ability V3",WP!$A$2:$AN$2,0))</f>
        <v>Skill Haste +5%</v>
      </c>
      <c r="R1025" s="735"/>
    </row>
    <row r="1026" spans="1:18" ht="7.5" customHeight="1" x14ac:dyDescent="0.2">
      <c r="A1026" t="s">
        <v>10763</v>
      </c>
    </row>
    <row r="1027" spans="1:18" ht="22.5" customHeight="1" x14ac:dyDescent="0.2">
      <c r="B1027" s="729" t="e" vm="353">
        <f>_xlfn.IMAGE("https://natalie.tf/wp-content/uploads/2023/10/DLV3_Icon_WP_"&amp;G1028&amp;"_01.png")</f>
        <v>#VALUE!</v>
      </c>
      <c r="D1027" s="730" t="e" vm="353">
        <f>_xlfn.IMAGE("https://natalie.tf/wp-content/uploads/2023/10/DLV3_Icon_WP_"&amp;G1028&amp;"_01.png")</f>
        <v>#VALUE!</v>
      </c>
      <c r="F1027" s="741" t="str">
        <f>+INDEX(WP!$A:$AN,MATCH(F1028,WP!$B:$B,0),MATCH("Name",WP!$A$2:$AN$2,0))</f>
        <v>Treasured Memory of the Sea (Fish's Boon)</v>
      </c>
      <c r="G1027" s="742"/>
      <c r="H1027" s="743"/>
      <c r="J1027" s="180" t="s">
        <v>10761</v>
      </c>
      <c r="K1027" s="201">
        <f>+INDEX(WP!$A:$AN,MATCH(F1028,WP!$B:$B,0),5)</f>
        <v>0</v>
      </c>
      <c r="L1027" s="202">
        <f>+INDEX(WP!$A:$AN,MATCH(F1028,WP!$B:$B,0),6)</f>
        <v>0</v>
      </c>
      <c r="M1027" s="202">
        <f>+INDEX(WP!$A:$AN,MATCH(F1028,WP!$B:$B,0),7)</f>
        <v>0</v>
      </c>
      <c r="N1027" s="202" t="str">
        <f ca="1">IFERROR(_xlfn.IMAGE("https://natalie.tf/wp-content/uploads/2023/11/DLV3_Icon_Affinity_"&amp;O1027&amp;".png"),"")</f>
        <v/>
      </c>
      <c r="O1027" s="203" t="str">
        <f>IF(INDEX(WP!$A:$AN,MATCH(F1028,WP!$B:$B,0),8)=0,"None",INDEX(WP!$A:$AN,MATCH(F1028,WP!$B:$B,0),8))</f>
        <v>None</v>
      </c>
      <c r="P1027" s="8" t="e" vm="15">
        <f>_xlfn.IMAGE("https://natalie.tf/wp-content/uploads/2023/10/DLV3_Icon_Ability_"&amp;INDEX('WP-A'!$A$1:$Z$498,MATCH('WP-Print'!Q1027,'WP-A'!$A:$A,0),MATCH("Icon",'WP-A'!$A$1:$Z$1,0))&amp;".png")</f>
        <v>#VALUE!</v>
      </c>
      <c r="Q1027" s="231" t="str">
        <f>+INDEX(WP!$A:$AN,MATCH(F1028,WP!$B:$B,0),MATCH("Ability",WP!$A$2:$AN$2,0))</f>
        <v>N/A</v>
      </c>
      <c r="R1027" s="734" t="str">
        <f>+INDEX(WP!$A:$AN,MATCH(F1028,WP!$B:$B,0),MATCH("Obtain From",WP!$A$2:$AN$2,0))</f>
        <v>Clear Jaldabaoth's Trial (Wind): Standard (Trials of the Mighty)</v>
      </c>
    </row>
    <row r="1028" spans="1:18" ht="22.5" customHeight="1" x14ac:dyDescent="0.2">
      <c r="A1028" s="204" t="str">
        <f>TEXT(A1025+1,"000")</f>
        <v>008</v>
      </c>
      <c r="B1028" s="729"/>
      <c r="C1028" s="8"/>
      <c r="D1028" s="729"/>
      <c r="E1028" s="8"/>
      <c r="F1028" s="200" t="str">
        <f>"WPN-"&amp;A1028</f>
        <v>WPN-008</v>
      </c>
      <c r="G1028" s="200">
        <f>+INDEX(WP!$A:$AN,MATCH(F1028,WP!$B:$B,0),MATCH("ID",WP!$A$2:$AN$2,0))</f>
        <v>400199</v>
      </c>
      <c r="I1028" s="8"/>
      <c r="J1028" s="180" t="s">
        <v>10762</v>
      </c>
      <c r="K1028" s="201">
        <f>+INDEX(WP!$A:$AN,MATCH(F1028,WP!$B:$B,0),14)</f>
        <v>9</v>
      </c>
      <c r="L1028" s="202">
        <f>+INDEX(WP!$A:$AN,MATCH(F1028,WP!$B:$B,0),15)</f>
        <v>150</v>
      </c>
      <c r="M1028" s="202">
        <f>+INDEX(WP!$A:$AN,MATCH(F1028,WP!$B:$B,0),16)</f>
        <v>90</v>
      </c>
      <c r="N1028" s="202" t="e" vm="352">
        <f>IFERROR(_xlfn.IMAGE("https://natalie.tf/wp-content/uploads/2023/11/DLV3_Icon_Affinity_"&amp;O1028&amp;".png"),"")</f>
        <v>#VALUE!</v>
      </c>
      <c r="O1028" s="203" t="str">
        <f>+INDEX(WP!$A:$AN,MATCH(F1028,WP!$B:$B,0),17)</f>
        <v>Fish</v>
      </c>
      <c r="P1028" s="8" t="e" vm="330">
        <f>_xlfn.IMAGE("https://natalie.tf/wp-content/uploads/2023/10/DLV3_Icon_Ability_"&amp;INDEX('WP-A'!$A$1:$Z$498,MATCH('WP-Print'!Q1028,'WP-A'!$A:$A,0),MATCH("Icon",'WP-A'!$A$1:$Z$1,0))&amp;".png")</f>
        <v>#VALUE!</v>
      </c>
      <c r="Q1028" s="231" t="str">
        <f>+INDEX(WP!$A:$AN,MATCH(F1028,WP!$B:$B,0),MATCH("Ability V3",WP!$A$2:$AN$2,0))</f>
        <v>Skill Haste +5%</v>
      </c>
      <c r="R1028" s="735"/>
    </row>
    <row r="1029" spans="1:18" ht="7.5" customHeight="1" x14ac:dyDescent="0.2">
      <c r="A1029" t="s">
        <v>10763</v>
      </c>
    </row>
    <row r="1030" spans="1:18" ht="22.5" customHeight="1" x14ac:dyDescent="0.2">
      <c r="B1030" s="729" t="e" vm="360">
        <f>_xlfn.IMAGE("https://natalie.tf/wp-content/uploads/2023/10/DLV3_Icon_WP_"&amp;G1031&amp;"_01.png")</f>
        <v>#VALUE!</v>
      </c>
      <c r="D1030" s="730" t="e" vm="360">
        <f>_xlfn.IMAGE("https://natalie.tf/wp-content/uploads/2023/10/DLV3_Icon_WP_"&amp;G1031&amp;"_01.png")</f>
        <v>#VALUE!</v>
      </c>
      <c r="F1030" s="731" t="str">
        <f>+INDEX(WP!$A:$AN,MATCH(F1031,WP!$B:$B,0),MATCH("Name",WP!$A$2:$AN$2,0))</f>
        <v>Apple-licious Dreams (Crown's Boon)</v>
      </c>
      <c r="G1030" s="732"/>
      <c r="H1030" s="733"/>
      <c r="J1030" s="180" t="s">
        <v>10761</v>
      </c>
      <c r="K1030" s="201">
        <f>+INDEX(WP!$A:$AN,MATCH(F1031,WP!$B:$B,0),5)</f>
        <v>0</v>
      </c>
      <c r="L1030" s="202">
        <f>+INDEX(WP!$A:$AN,MATCH(F1031,WP!$B:$B,0),6)</f>
        <v>0</v>
      </c>
      <c r="M1030" s="202">
        <f>+INDEX(WP!$A:$AN,MATCH(F1031,WP!$B:$B,0),7)</f>
        <v>0</v>
      </c>
      <c r="N1030" s="202" t="str">
        <f ca="1">IFERROR(_xlfn.IMAGE("https://natalie.tf/wp-content/uploads/2023/11/DLV3_Icon_Affinity_"&amp;O1030&amp;".png"),"")</f>
        <v/>
      </c>
      <c r="O1030" s="203" t="str">
        <f>IF(INDEX(WP!$A:$AN,MATCH(F1031,WP!$B:$B,0),8)=0,"None",INDEX(WP!$A:$AN,MATCH(F1031,WP!$B:$B,0),8))</f>
        <v>None</v>
      </c>
      <c r="P1030" s="8" t="e" vm="15">
        <f>_xlfn.IMAGE("https://natalie.tf/wp-content/uploads/2023/10/DLV3_Icon_Ability_"&amp;INDEX('WP-A'!$A$1:$Z$498,MATCH('WP-Print'!Q1030,'WP-A'!$A:$A,0),MATCH("Icon",'WP-A'!$A$1:$Z$1,0))&amp;".png")</f>
        <v>#VALUE!</v>
      </c>
      <c r="Q1030" s="231" t="str">
        <f>+INDEX(WP!$A:$AN,MATCH(F1031,WP!$B:$B,0),MATCH("Ability",WP!$A$2:$AN$2,0))</f>
        <v>N/A</v>
      </c>
      <c r="R1030" s="734" t="str">
        <f>+INDEX(WP!$A:$AN,MATCH(F1031,WP!$B:$B,0),MATCH("Obtain From",WP!$A$2:$AN$2,0))</f>
        <v>Clear Surtr's Trial (Light): Standard (Trials of the Mighty)</v>
      </c>
    </row>
    <row r="1031" spans="1:18" ht="22.5" customHeight="1" x14ac:dyDescent="0.2">
      <c r="A1031" s="204" t="str">
        <f>TEXT(A1028+1,"000")</f>
        <v>009</v>
      </c>
      <c r="B1031" s="729"/>
      <c r="C1031" s="8"/>
      <c r="D1031" s="729"/>
      <c r="E1031" s="8"/>
      <c r="F1031" s="200" t="str">
        <f>"WPN-"&amp;A1031</f>
        <v>WPN-009</v>
      </c>
      <c r="G1031" s="200">
        <f>+INDEX(WP!$A:$AN,MATCH(F1031,WP!$B:$B,0),MATCH("ID",WP!$A$2:$AN$2,0))</f>
        <v>400181</v>
      </c>
      <c r="I1031" s="8"/>
      <c r="J1031" s="180" t="s">
        <v>10762</v>
      </c>
      <c r="K1031" s="201">
        <f>+INDEX(WP!$A:$AN,MATCH(F1031,WP!$B:$B,0),14)</f>
        <v>9</v>
      </c>
      <c r="L1031" s="202">
        <f>+INDEX(WP!$A:$AN,MATCH(F1031,WP!$B:$B,0),15)</f>
        <v>150</v>
      </c>
      <c r="M1031" s="202">
        <f>+INDEX(WP!$A:$AN,MATCH(F1031,WP!$B:$B,0),16)</f>
        <v>90</v>
      </c>
      <c r="N1031" s="202" t="e" vm="341">
        <f>IFERROR(_xlfn.IMAGE("https://natalie.tf/wp-content/uploads/2023/11/DLV3_Icon_Affinity_"&amp;O1031&amp;".png"),"")</f>
        <v>#VALUE!</v>
      </c>
      <c r="O1031" s="203" t="str">
        <f>+INDEX(WP!$A:$AN,MATCH(F1031,WP!$B:$B,0),17)</f>
        <v>Crown</v>
      </c>
      <c r="P1031" s="8" t="e" vm="1018">
        <f>_xlfn.IMAGE("https://natalie.tf/wp-content/uploads/2023/11/DLV3_Icon_Custom_Dragons_Psalm_Crude_Edit.png")</f>
        <v>#VALUE!</v>
      </c>
      <c r="Q1031" s="231" t="str">
        <f>+INDEX(WP!$A:$AN,MATCH(F1031,WP!$B:$B,0),MATCH("Ability V3",WP!$A$2:$AN$2,0))</f>
        <v>Dragon's Psalm III</v>
      </c>
      <c r="R1031" s="735"/>
    </row>
    <row r="1032" spans="1:18" ht="7.5" customHeight="1" x14ac:dyDescent="0.2">
      <c r="A1032" t="s">
        <v>10763</v>
      </c>
    </row>
    <row r="1033" spans="1:18" ht="22.5" customHeight="1" x14ac:dyDescent="0.2">
      <c r="B1033" s="729" t="e" vm="361">
        <f>_xlfn.IMAGE("https://natalie.tf/wp-content/uploads/2023/10/DLV3_Icon_WP_"&amp;G1034&amp;"_01.png")</f>
        <v>#VALUE!</v>
      </c>
      <c r="D1033" s="730" t="e" vm="361">
        <f>_xlfn.IMAGE("https://natalie.tf/wp-content/uploads/2023/10/DLV3_Icon_WP_"&amp;G1034&amp;"_01.png")</f>
        <v>#VALUE!</v>
      </c>
      <c r="F1033" s="717" t="str">
        <f>+INDEX(WP!$A:$AN,MATCH(F1034,WP!$B:$B,0),MATCH("Name",WP!$A$2:$AN$2,0))</f>
        <v>Crystalline Blades (Bat's Boon)</v>
      </c>
      <c r="G1033" s="718"/>
      <c r="H1033" s="719"/>
      <c r="J1033" s="180" t="s">
        <v>10761</v>
      </c>
      <c r="K1033" s="201">
        <f>+INDEX(WP!$A:$AN,MATCH(F1034,WP!$B:$B,0),5)</f>
        <v>0</v>
      </c>
      <c r="L1033" s="202">
        <f>+INDEX(WP!$A:$AN,MATCH(F1034,WP!$B:$B,0),6)</f>
        <v>0</v>
      </c>
      <c r="M1033" s="202">
        <f>+INDEX(WP!$A:$AN,MATCH(F1034,WP!$B:$B,0),7)</f>
        <v>0</v>
      </c>
      <c r="N1033" s="202" t="str">
        <f ca="1">IFERROR(_xlfn.IMAGE("https://natalie.tf/wp-content/uploads/2023/11/DLV3_Icon_Affinity_"&amp;O1033&amp;".png"),"")</f>
        <v/>
      </c>
      <c r="O1033" s="203" t="str">
        <f>IF(INDEX(WP!$A:$AN,MATCH(F1034,WP!$B:$B,0),8)=0,"None",INDEX(WP!$A:$AN,MATCH(F1034,WP!$B:$B,0),8))</f>
        <v>None</v>
      </c>
      <c r="P1033" s="8" t="e" vm="15">
        <f>_xlfn.IMAGE("https://natalie.tf/wp-content/uploads/2023/10/DLV3_Icon_Ability_"&amp;INDEX('WP-A'!$A$1:$Z$498,MATCH('WP-Print'!Q1033,'WP-A'!$A:$A,0),MATCH("Icon",'WP-A'!$A$1:$Z$1,0))&amp;".png")</f>
        <v>#VALUE!</v>
      </c>
      <c r="Q1033" s="231" t="str">
        <f>+INDEX(WP!$A:$AN,MATCH(F1034,WP!$B:$B,0),MATCH("Ability",WP!$A$2:$AN$2,0))</f>
        <v>N/A</v>
      </c>
      <c r="R1033" s="734" t="str">
        <f>+INDEX(WP!$A:$AN,MATCH(F1034,WP!$B:$B,0),MATCH("Obtain From",WP!$A$2:$AN$2,0))</f>
        <v>Clear Thor's Trial: Standard (Trials of the Mighty)</v>
      </c>
    </row>
    <row r="1034" spans="1:18" ht="22.5" customHeight="1" x14ac:dyDescent="0.2">
      <c r="A1034" s="204" t="str">
        <f>TEXT(A1031+1,"000")</f>
        <v>010</v>
      </c>
      <c r="B1034" s="729"/>
      <c r="C1034" s="8"/>
      <c r="D1034" s="729"/>
      <c r="E1034" s="8"/>
      <c r="F1034" s="200" t="str">
        <f>"WPN-"&amp;A1034</f>
        <v>WPN-010</v>
      </c>
      <c r="G1034" s="200">
        <f>+INDEX(WP!$A:$AN,MATCH(F1034,WP!$B:$B,0),MATCH("ID",WP!$A$2:$AN$2,0))</f>
        <v>400254</v>
      </c>
      <c r="I1034" s="8"/>
      <c r="J1034" s="180" t="s">
        <v>10762</v>
      </c>
      <c r="K1034" s="201">
        <f>+INDEX(WP!$A:$AN,MATCH(F1034,WP!$B:$B,0),14)</f>
        <v>9</v>
      </c>
      <c r="L1034" s="202">
        <f>+INDEX(WP!$A:$AN,MATCH(F1034,WP!$B:$B,0),15)</f>
        <v>150</v>
      </c>
      <c r="M1034" s="202">
        <f>+INDEX(WP!$A:$AN,MATCH(F1034,WP!$B:$B,0),16)</f>
        <v>90</v>
      </c>
      <c r="N1034" s="202" t="e" vm="362">
        <f>IFERROR(_xlfn.IMAGE("https://natalie.tf/wp-content/uploads/2023/11/DLV3_Icon_Affinity_"&amp;O1034&amp;".png"),"")</f>
        <v>#VALUE!</v>
      </c>
      <c r="O1034" s="203" t="str">
        <f>+INDEX(WP!$A:$AN,MATCH(F1034,WP!$B:$B,0),17)</f>
        <v>Bat</v>
      </c>
      <c r="P1034" s="8" t="e" vm="322">
        <f>_xlfn.IMAGE("https://natalie.tf/wp-content/uploads/2023/10/DLV3_Icon_Ability_"&amp;INDEX('WP-A'!$A$1:$Z$498,MATCH('WP-Print'!Q1034,'WP-A'!$A:$A,0),MATCH("Icon",'WP-A'!$A$1:$Z$1,0))&amp;".png")</f>
        <v>#VALUE!</v>
      </c>
      <c r="Q1034" s="231" t="str">
        <f>+INDEX(WP!$A:$AN,MATCH(F1034,WP!$B:$B,0),MATCH("Ability V3",WP!$A$2:$AN$2,0))</f>
        <v>Skill Damage +20%</v>
      </c>
      <c r="R1034" s="735"/>
    </row>
    <row r="1035" spans="1:18" ht="7.5" customHeight="1" x14ac:dyDescent="0.2">
      <c r="A1035" t="s">
        <v>10763</v>
      </c>
    </row>
    <row r="1036" spans="1:18" ht="22.5" customHeight="1" x14ac:dyDescent="0.2">
      <c r="B1036" s="729" t="e" vm="1019">
        <f>_xlfn.IMAGE("https://natalie.tf/wp-content/uploads/2023/11/DLV3_Icon_Custom_Encroaching_Shadow_WP.png")</f>
        <v>#VALUE!</v>
      </c>
      <c r="D1036" s="730" t="e" vm="1020">
        <f>+B1036</f>
        <v>#VALUE!</v>
      </c>
      <c r="F1036" s="717" t="str">
        <f>+INDEX(WP!$A:$AN,MATCH(F1037,WP!$B:$B,0),MATCH("Name",WP!$A$2:$AN$2,0))</f>
        <v>Encroaching Shadow</v>
      </c>
      <c r="G1036" s="718"/>
      <c r="H1036" s="719"/>
      <c r="J1036" s="180" t="s">
        <v>10761</v>
      </c>
      <c r="K1036" s="201">
        <f>+INDEX(WP!$A:$AN,MATCH(F1037,WP!$B:$B,0),5)</f>
        <v>0</v>
      </c>
      <c r="L1036" s="202">
        <f>+INDEX(WP!$A:$AN,MATCH(F1037,WP!$B:$B,0),6)</f>
        <v>0</v>
      </c>
      <c r="M1036" s="202">
        <f>+INDEX(WP!$A:$AN,MATCH(F1037,WP!$B:$B,0),7)</f>
        <v>0</v>
      </c>
      <c r="N1036" s="202" t="str">
        <f ca="1">IFERROR(_xlfn.IMAGE("https://natalie.tf/wp-content/uploads/2023/11/DLV3_Icon_Affinity_"&amp;O1036&amp;".png"),"")</f>
        <v/>
      </c>
      <c r="O1036" s="203" t="str">
        <f>IF(INDEX(WP!$A:$AN,MATCH(F1037,WP!$B:$B,0),8)=0,"None",INDEX(WP!$A:$AN,MATCH(F1037,WP!$B:$B,0),8))</f>
        <v>None</v>
      </c>
      <c r="P1036" s="8" t="e" vm="15">
        <f>_xlfn.IMAGE("https://natalie.tf/wp-content/uploads/2023/10/DLV3_Icon_Ability_"&amp;INDEX('WP-A'!$A$1:$Z$498,MATCH('WP-Print'!Q1036,'WP-A'!$A:$A,0),MATCH("Icon",'WP-A'!$A$1:$Z$1,0))&amp;".png")</f>
        <v>#VALUE!</v>
      </c>
      <c r="Q1036" s="231" t="str">
        <f>+INDEX(WP!$A:$AN,MATCH(F1037,WP!$B:$B,0),MATCH("Ability",WP!$A$2:$AN$2,0))</f>
        <v>N/A</v>
      </c>
      <c r="R1036" s="734" t="str">
        <f>+INDEX(WP!$A:$AN,MATCH(F1037,WP!$B:$B,0),MATCH("Obtain From",WP!$A$2:$AN$2,0))</f>
        <v>Clear all Rise of the Sinister Dominion Quests on Legend (Rise of the Sinister Dominion)</v>
      </c>
    </row>
    <row r="1037" spans="1:18" ht="22.5" customHeight="1" x14ac:dyDescent="0.2">
      <c r="A1037" s="204" t="str">
        <f>TEXT(A1034+1,"000")</f>
        <v>011</v>
      </c>
      <c r="B1037" s="729"/>
      <c r="C1037" s="8"/>
      <c r="D1037" s="729"/>
      <c r="E1037" s="8"/>
      <c r="F1037" s="200" t="str">
        <f>"WPN-"&amp;A1037</f>
        <v>WPN-011</v>
      </c>
      <c r="G1037" s="200" t="str">
        <f>+INDEX(WP!$A:$AN,MATCH(F1037,WP!$B:$B,0),MATCH("ID",WP!$A$2:$AN$2,0))</f>
        <v>NEW</v>
      </c>
      <c r="I1037" s="8"/>
      <c r="J1037" s="180" t="s">
        <v>10762</v>
      </c>
      <c r="K1037" s="201">
        <f>+INDEX(WP!$A:$AN,MATCH(F1037,WP!$B:$B,0),14)</f>
        <v>5</v>
      </c>
      <c r="L1037" s="202">
        <f>+INDEX(WP!$A:$AN,MATCH(F1037,WP!$B:$B,0),15)</f>
        <v>150</v>
      </c>
      <c r="M1037" s="202">
        <f>+INDEX(WP!$A:$AN,MATCH(F1037,WP!$B:$B,0),16)</f>
        <v>90</v>
      </c>
      <c r="N1037" s="202" t="e" vm="381">
        <f>IFERROR(_xlfn.IMAGE("https://natalie.tf/wp-content/uploads/2023/11/DLV3_Icon_Affinity_"&amp;O1037&amp;".png"),"")</f>
        <v>#VALUE!</v>
      </c>
      <c r="O1037" s="203" t="str">
        <f>+INDEX(WP!$A:$AN,MATCH(F1037,WP!$B:$B,0),17)</f>
        <v>Dragon</v>
      </c>
      <c r="P1037" s="8" t="e" vm="1021">
        <f>_xlfn.IMAGE("https://natalie.tf/wp-content/uploads/2023/10/DLV3_Icon_Ability_"&amp;INDEX('WP-A'!$A$1:$Z$498,MATCH('WP-Print'!Q1037,'WP-A'!$A:$A,0),MATCH("Icon",'WP-A'!$A$1:$Z$1,0))&amp;".png")</f>
        <v>#VALUE!</v>
      </c>
      <c r="Q1037" s="231" t="str">
        <f>+INDEX(WP!$A:$AN,MATCH(F1037,WP!$B:$B,0),MATCH("Ability V3",WP!$A$2:$AN$2,0))</f>
        <v>(Shadow) Nihility Negation</v>
      </c>
      <c r="R1037" s="735"/>
    </row>
    <row r="1038" spans="1:18" ht="7.5" customHeight="1" x14ac:dyDescent="0.2">
      <c r="A1038" t="s">
        <v>10763</v>
      </c>
    </row>
    <row r="1039" spans="1:18" ht="22.5" customHeight="1" x14ac:dyDescent="0.2">
      <c r="B1039" s="729" t="e" vm="1022">
        <f>_xlfn.IMAGE("https://natalie.tf/wp-content/uploads/2023/11/DLV3_Icon_Custom_Piercing_Gale_WP.png")</f>
        <v>#VALUE!</v>
      </c>
      <c r="D1039" s="730" t="e" vm="1023">
        <f>+B1039</f>
        <v>#VALUE!</v>
      </c>
      <c r="F1039" s="717" t="str">
        <f>+INDEX(WP!$A:$AN,MATCH(F1040,WP!$B:$B,0),MATCH("Name",WP!$A$2:$AN$2,0))</f>
        <v>Piercing Gale</v>
      </c>
      <c r="G1039" s="718"/>
      <c r="H1039" s="719"/>
      <c r="J1039" s="180" t="s">
        <v>10761</v>
      </c>
      <c r="K1039" s="201">
        <f>+INDEX(WP!$A:$AN,MATCH(F1040,WP!$B:$B,0),5)</f>
        <v>0</v>
      </c>
      <c r="L1039" s="202">
        <f>+INDEX(WP!$A:$AN,MATCH(F1040,WP!$B:$B,0),6)</f>
        <v>0</v>
      </c>
      <c r="M1039" s="202">
        <f>+INDEX(WP!$A:$AN,MATCH(F1040,WP!$B:$B,0),7)</f>
        <v>0</v>
      </c>
      <c r="N1039" s="202" t="str">
        <f ca="1">IFERROR(_xlfn.IMAGE("https://natalie.tf/wp-content/uploads/2023/11/DLV3_Icon_Affinity_"&amp;O1039&amp;".png"),"")</f>
        <v/>
      </c>
      <c r="O1039" s="203" t="str">
        <f>IF(INDEX(WP!$A:$AN,MATCH(F1040,WP!$B:$B,0),8)=0,"None",INDEX(WP!$A:$AN,MATCH(F1040,WP!$B:$B,0),8))</f>
        <v>None</v>
      </c>
      <c r="P1039" s="8" t="e" vm="15">
        <f>_xlfn.IMAGE("https://natalie.tf/wp-content/uploads/2023/10/DLV3_Icon_Ability_"&amp;INDEX('WP-A'!$A$1:$Z$498,MATCH('WP-Print'!Q1039,'WP-A'!$A:$A,0),MATCH("Icon",'WP-A'!$A$1:$Z$1,0))&amp;".png")</f>
        <v>#VALUE!</v>
      </c>
      <c r="Q1039" s="231" t="str">
        <f>+INDEX(WP!$A:$AN,MATCH(F1040,WP!$B:$B,0),MATCH("Ability",WP!$A$2:$AN$2,0))</f>
        <v>N/A</v>
      </c>
      <c r="R1039" s="734" t="str">
        <f>+INDEX(WP!$A:$AN,MATCH(F1040,WP!$B:$B,0),MATCH("Obtain From",WP!$A$2:$AN$2,0))</f>
        <v>Clear Iblis's Surging Cascade: Legend (Rise of the Sinister Dominion)</v>
      </c>
    </row>
    <row r="1040" spans="1:18" ht="22.5" customHeight="1" x14ac:dyDescent="0.2">
      <c r="A1040" s="204" t="str">
        <f>TEXT(A1037+1,"000")</f>
        <v>012</v>
      </c>
      <c r="B1040" s="729"/>
      <c r="C1040" s="8"/>
      <c r="D1040" s="729"/>
      <c r="E1040" s="8"/>
      <c r="F1040" s="200" t="str">
        <f>"WPN-"&amp;A1040</f>
        <v>WPN-012</v>
      </c>
      <c r="G1040" s="200" t="str">
        <f>+INDEX(WP!$A:$AN,MATCH(F1040,WP!$B:$B,0),MATCH("ID",WP!$A$2:$AN$2,0))</f>
        <v>NEW</v>
      </c>
      <c r="I1040" s="8"/>
      <c r="J1040" s="180" t="s">
        <v>10762</v>
      </c>
      <c r="K1040" s="201">
        <f>+INDEX(WP!$A:$AN,MATCH(F1040,WP!$B:$B,0),14)</f>
        <v>5</v>
      </c>
      <c r="L1040" s="202">
        <f>+INDEX(WP!$A:$AN,MATCH(F1040,WP!$B:$B,0),15)</f>
        <v>150</v>
      </c>
      <c r="M1040" s="202">
        <f>+INDEX(WP!$A:$AN,MATCH(F1040,WP!$B:$B,0),16)</f>
        <v>90</v>
      </c>
      <c r="N1040" s="202" t="e" vm="381">
        <f>IFERROR(_xlfn.IMAGE("https://natalie.tf/wp-content/uploads/2023/11/DLV3_Icon_Affinity_"&amp;O1040&amp;".png"),"")</f>
        <v>#VALUE!</v>
      </c>
      <c r="O1040" s="203" t="str">
        <f>+INDEX(WP!$A:$AN,MATCH(F1040,WP!$B:$B,0),17)</f>
        <v>Dragon</v>
      </c>
      <c r="P1040" s="8" t="e" vm="1021">
        <f>_xlfn.IMAGE("https://natalie.tf/wp-content/uploads/2023/10/DLV3_Icon_Ability_"&amp;INDEX('WP-A'!$A$1:$Z$498,MATCH('WP-Print'!Q1040,'WP-A'!$A:$A,0),MATCH("Icon",'WP-A'!$A$1:$Z$1,0))&amp;".png")</f>
        <v>#VALUE!</v>
      </c>
      <c r="Q1040" s="231" t="str">
        <f>+INDEX(WP!$A:$AN,MATCH(F1040,WP!$B:$B,0),MATCH("Ability V3",WP!$A$2:$AN$2,0))</f>
        <v>(Wind) Nihility Negation</v>
      </c>
      <c r="R1040" s="735"/>
    </row>
    <row r="1041" spans="1:18" ht="7.5" customHeight="1" x14ac:dyDescent="0.2">
      <c r="A1041" t="s">
        <v>10763</v>
      </c>
    </row>
    <row r="1042" spans="1:18" ht="22.5" customHeight="1" x14ac:dyDescent="0.2">
      <c r="B1042" s="729" t="e" vm="1024">
        <f>_xlfn.IMAGE("https://natalie.tf/wp-content/uploads/2023/11/DLV3_Icon_Custom_Blinding-Light_WP.png")</f>
        <v>#VALUE!</v>
      </c>
      <c r="D1042" s="730" t="e" vm="1025">
        <f>+B1042</f>
        <v>#VALUE!</v>
      </c>
      <c r="F1042" s="717" t="str">
        <f>+INDEX(WP!$A:$AN,MATCH(F1043,WP!$B:$B,0),MATCH("Name",WP!$A$2:$AN$2,0))</f>
        <v>Blinding Light</v>
      </c>
      <c r="G1042" s="718"/>
      <c r="H1042" s="719"/>
      <c r="J1042" s="180" t="s">
        <v>10761</v>
      </c>
      <c r="K1042" s="201">
        <f>+INDEX(WP!$A:$AN,MATCH(F1043,WP!$B:$B,0),5)</f>
        <v>0</v>
      </c>
      <c r="L1042" s="202">
        <f>+INDEX(WP!$A:$AN,MATCH(F1043,WP!$B:$B,0),6)</f>
        <v>0</v>
      </c>
      <c r="M1042" s="202">
        <f>+INDEX(WP!$A:$AN,MATCH(F1043,WP!$B:$B,0),7)</f>
        <v>0</v>
      </c>
      <c r="N1042" s="202" t="str">
        <f ca="1">IFERROR(_xlfn.IMAGE("https://natalie.tf/wp-content/uploads/2023/11/DLV3_Icon_Affinity_"&amp;O1042&amp;".png"),"")</f>
        <v/>
      </c>
      <c r="O1042" s="203" t="str">
        <f>IF(INDEX(WP!$A:$AN,MATCH(F1043,WP!$B:$B,0),8)=0,"None",INDEX(WP!$A:$AN,MATCH(F1043,WP!$B:$B,0),8))</f>
        <v>None</v>
      </c>
      <c r="P1042" s="8" t="e" vm="15">
        <f>_xlfn.IMAGE("https://natalie.tf/wp-content/uploads/2023/10/DLV3_Icon_Ability_"&amp;INDEX('WP-A'!$A$1:$Z$498,MATCH('WP-Print'!Q1042,'WP-A'!$A:$A,0),MATCH("Icon",'WP-A'!$A$1:$Z$1,0))&amp;".png")</f>
        <v>#VALUE!</v>
      </c>
      <c r="Q1042" s="231" t="str">
        <f>+INDEX(WP!$A:$AN,MATCH(F1043,WP!$B:$B,0),MATCH("Ability",WP!$A$2:$AN$2,0))</f>
        <v>N/A</v>
      </c>
      <c r="R1042" s="734" t="str">
        <f>+INDEX(WP!$A:$AN,MATCH(F1043,WP!$B:$B,0),MATCH("Obtain From",WP!$A$2:$AN$2,0))</f>
        <v>Clear Lilith's Encroaching Shadow: Legend (Rise of the Sinister Dominion)</v>
      </c>
    </row>
    <row r="1043" spans="1:18" ht="22.5" customHeight="1" x14ac:dyDescent="0.2">
      <c r="A1043" s="204" t="str">
        <f>TEXT(A1040+1,"000")</f>
        <v>013</v>
      </c>
      <c r="B1043" s="729"/>
      <c r="C1043" s="8"/>
      <c r="D1043" s="729"/>
      <c r="E1043" s="8"/>
      <c r="F1043" s="200" t="str">
        <f>"WPN-"&amp;A1043</f>
        <v>WPN-013</v>
      </c>
      <c r="G1043" s="200" t="str">
        <f>+INDEX(WP!$A:$AN,MATCH(F1043,WP!$B:$B,0),MATCH("ID",WP!$A$2:$AN$2,0))</f>
        <v>NEW</v>
      </c>
      <c r="I1043" s="8"/>
      <c r="J1043" s="180" t="s">
        <v>10762</v>
      </c>
      <c r="K1043" s="201">
        <f>+INDEX(WP!$A:$AN,MATCH(F1043,WP!$B:$B,0),14)</f>
        <v>5</v>
      </c>
      <c r="L1043" s="202">
        <f>+INDEX(WP!$A:$AN,MATCH(F1043,WP!$B:$B,0),15)</f>
        <v>150</v>
      </c>
      <c r="M1043" s="202">
        <f>+INDEX(WP!$A:$AN,MATCH(F1043,WP!$B:$B,0),16)</f>
        <v>90</v>
      </c>
      <c r="N1043" s="202" t="e" vm="381">
        <f>IFERROR(_xlfn.IMAGE("https://natalie.tf/wp-content/uploads/2023/11/DLV3_Icon_Affinity_"&amp;O1043&amp;".png"),"")</f>
        <v>#VALUE!</v>
      </c>
      <c r="O1043" s="203" t="str">
        <f>+INDEX(WP!$A:$AN,MATCH(F1043,WP!$B:$B,0),17)</f>
        <v>Dragon</v>
      </c>
      <c r="P1043" s="8" t="e" vm="1021">
        <f>_xlfn.IMAGE("https://natalie.tf/wp-content/uploads/2023/10/DLV3_Icon_Ability_"&amp;INDEX('WP-A'!$A$1:$Z$498,MATCH('WP-Print'!Q1043,'WP-A'!$A:$A,0),MATCH("Icon",'WP-A'!$A$1:$Z$1,0))&amp;".png")</f>
        <v>#VALUE!</v>
      </c>
      <c r="Q1043" s="231" t="str">
        <f>+INDEX(WP!$A:$AN,MATCH(F1043,WP!$B:$B,0),MATCH("Ability V3",WP!$A$2:$AN$2,0))</f>
        <v>(Light) Nihility Negation</v>
      </c>
      <c r="R1043" s="735"/>
    </row>
    <row r="1044" spans="1:18" ht="7.5" customHeight="1" x14ac:dyDescent="0.2">
      <c r="A1044" t="s">
        <v>10763</v>
      </c>
    </row>
    <row r="1045" spans="1:18" ht="22.5" customHeight="1" x14ac:dyDescent="0.2">
      <c r="B1045" s="729" t="e" vm="1026">
        <f>_xlfn.IMAGE("https://natalie.tf/wp-content/uploads/2023/11/DLV3_Icon_Custom_Surging_Cascade_WP.png")</f>
        <v>#VALUE!</v>
      </c>
      <c r="D1045" s="730" t="e" vm="1027">
        <f>+B1045</f>
        <v>#VALUE!</v>
      </c>
      <c r="F1045" s="717" t="str">
        <f>+INDEX(WP!$A:$AN,MATCH(F1046,WP!$B:$B,0),MATCH("Name",WP!$A$2:$AN$2,0))</f>
        <v>Surging Cascade</v>
      </c>
      <c r="G1045" s="718"/>
      <c r="H1045" s="719"/>
      <c r="J1045" s="180" t="s">
        <v>10761</v>
      </c>
      <c r="K1045" s="201">
        <f>+INDEX(WP!$A:$AN,MATCH(F1046,WP!$B:$B,0),5)</f>
        <v>0</v>
      </c>
      <c r="L1045" s="202">
        <f>+INDEX(WP!$A:$AN,MATCH(F1046,WP!$B:$B,0),6)</f>
        <v>0</v>
      </c>
      <c r="M1045" s="202">
        <f>+INDEX(WP!$A:$AN,MATCH(F1046,WP!$B:$B,0),7)</f>
        <v>0</v>
      </c>
      <c r="N1045" s="202" t="str">
        <f ca="1">IFERROR(_xlfn.IMAGE("https://natalie.tf/wp-content/uploads/2023/11/DLV3_Icon_Affinity_"&amp;O1045&amp;".png"),"")</f>
        <v/>
      </c>
      <c r="O1045" s="203" t="str">
        <f>IF(INDEX(WP!$A:$AN,MATCH(F1046,WP!$B:$B,0),8)=0,"None",INDEX(WP!$A:$AN,MATCH(F1046,WP!$B:$B,0),8))</f>
        <v>None</v>
      </c>
      <c r="P1045" s="8" t="e" vm="15">
        <f>_xlfn.IMAGE("https://natalie.tf/wp-content/uploads/2023/10/DLV3_Icon_Ability_"&amp;INDEX('WP-A'!$A$1:$Z$498,MATCH('WP-Print'!Q1045,'WP-A'!$A:$A,0),MATCH("Icon",'WP-A'!$A$1:$Z$1,0))&amp;".png")</f>
        <v>#VALUE!</v>
      </c>
      <c r="Q1045" s="231" t="str">
        <f>+INDEX(WP!$A:$AN,MATCH(F1046,WP!$B:$B,0),MATCH("Ability",WP!$A$2:$AN$2,0))</f>
        <v>N/A</v>
      </c>
      <c r="R1045" s="734" t="str">
        <f>+INDEX(WP!$A:$AN,MATCH(F1046,WP!$B:$B,0),MATCH("Obtain From",WP!$A$2:$AN$2,0))</f>
        <v>Clear Surtr's Devouring Flame: Legend (Rise of the Sinister Dominion)</v>
      </c>
    </row>
    <row r="1046" spans="1:18" ht="22.5" customHeight="1" x14ac:dyDescent="0.2">
      <c r="A1046" s="204" t="str">
        <f>TEXT(A1043+1,"000")</f>
        <v>014</v>
      </c>
      <c r="B1046" s="729"/>
      <c r="C1046" s="8"/>
      <c r="D1046" s="729"/>
      <c r="E1046" s="8"/>
      <c r="F1046" s="200" t="str">
        <f>"WPN-"&amp;A1046</f>
        <v>WPN-014</v>
      </c>
      <c r="G1046" s="200" t="str">
        <f>+INDEX(WP!$A:$AN,MATCH(F1046,WP!$B:$B,0),MATCH("ID",WP!$A$2:$AN$2,0))</f>
        <v>NEW</v>
      </c>
      <c r="I1046" s="8"/>
      <c r="J1046" s="180" t="s">
        <v>10762</v>
      </c>
      <c r="K1046" s="201">
        <f>+INDEX(WP!$A:$AN,MATCH(F1046,WP!$B:$B,0),14)</f>
        <v>5</v>
      </c>
      <c r="L1046" s="202">
        <f>+INDEX(WP!$A:$AN,MATCH(F1046,WP!$B:$B,0),15)</f>
        <v>150</v>
      </c>
      <c r="M1046" s="202">
        <f>+INDEX(WP!$A:$AN,MATCH(F1046,WP!$B:$B,0),16)</f>
        <v>90</v>
      </c>
      <c r="N1046" s="202" t="e" vm="381">
        <f>IFERROR(_xlfn.IMAGE("https://natalie.tf/wp-content/uploads/2023/11/DLV3_Icon_Affinity_"&amp;O1046&amp;".png"),"")</f>
        <v>#VALUE!</v>
      </c>
      <c r="O1046" s="203" t="str">
        <f>+INDEX(WP!$A:$AN,MATCH(F1046,WP!$B:$B,0),17)</f>
        <v>Dragon</v>
      </c>
      <c r="P1046" s="8" t="e" vm="1021">
        <f>_xlfn.IMAGE("https://natalie.tf/wp-content/uploads/2023/10/DLV3_Icon_Ability_"&amp;INDEX('WP-A'!$A$1:$Z$498,MATCH('WP-Print'!Q1046,'WP-A'!$A:$A,0),MATCH("Icon",'WP-A'!$A$1:$Z$1,0))&amp;".png")</f>
        <v>#VALUE!</v>
      </c>
      <c r="Q1046" s="231" t="str">
        <f>+INDEX(WP!$A:$AN,MATCH(F1046,WP!$B:$B,0),MATCH("Ability V3",WP!$A$2:$AN$2,0))</f>
        <v>(Water) Nihility Negation</v>
      </c>
      <c r="R1046" s="735"/>
    </row>
    <row r="1047" spans="1:18" ht="7.5" customHeight="1" x14ac:dyDescent="0.2">
      <c r="A1047" t="s">
        <v>10763</v>
      </c>
    </row>
    <row r="1048" spans="1:18" ht="22.5" customHeight="1" x14ac:dyDescent="0.2">
      <c r="B1048" s="729" t="e" vm="1028">
        <f>_xlfn.IMAGE("https://natalie.tf/wp-content/uploads/2023/11/DLV3_Icon_Custom_Devouring_Flame_WP.png")</f>
        <v>#VALUE!</v>
      </c>
      <c r="D1048" s="730" t="e" vm="1029">
        <f>+B1048</f>
        <v>#VALUE!</v>
      </c>
      <c r="F1048" s="717" t="str">
        <f>+INDEX(WP!$A:$AN,MATCH(F1049,WP!$B:$B,0),MATCH("Name",WP!$A$2:$AN$2,0))</f>
        <v>Devouring Flame</v>
      </c>
      <c r="G1048" s="718"/>
      <c r="H1048" s="719"/>
      <c r="J1048" s="180" t="s">
        <v>10761</v>
      </c>
      <c r="K1048" s="201">
        <f>+INDEX(WP!$A:$AN,MATCH(F1049,WP!$B:$B,0),5)</f>
        <v>0</v>
      </c>
      <c r="L1048" s="202">
        <f>+INDEX(WP!$A:$AN,MATCH(F1049,WP!$B:$B,0),6)</f>
        <v>0</v>
      </c>
      <c r="M1048" s="202">
        <f>+INDEX(WP!$A:$AN,MATCH(F1049,WP!$B:$B,0),7)</f>
        <v>0</v>
      </c>
      <c r="N1048" s="202" t="str">
        <f ca="1">IFERROR(_xlfn.IMAGE("https://natalie.tf/wp-content/uploads/2023/11/DLV3_Icon_Affinity_"&amp;O1048&amp;".png"),"")</f>
        <v/>
      </c>
      <c r="O1048" s="203" t="str">
        <f>IF(INDEX(WP!$A:$AN,MATCH(F1049,WP!$B:$B,0),8)=0,"None",INDEX(WP!$A:$AN,MATCH(F1049,WP!$B:$B,0),8))</f>
        <v>None</v>
      </c>
      <c r="P1048" s="8" t="e" vm="15">
        <f>_xlfn.IMAGE("https://natalie.tf/wp-content/uploads/2023/10/DLV3_Icon_Ability_"&amp;INDEX('WP-A'!$A$1:$Z$498,MATCH('WP-Print'!Q1048,'WP-A'!$A:$A,0),MATCH("Icon",'WP-A'!$A$1:$Z$1,0))&amp;".png")</f>
        <v>#VALUE!</v>
      </c>
      <c r="Q1048" s="231" t="str">
        <f>+INDEX(WP!$A:$AN,MATCH(F1049,WP!$B:$B,0),MATCH("Ability",WP!$A$2:$AN$2,0))</f>
        <v>N/A</v>
      </c>
      <c r="R1048" s="734" t="str">
        <f>+INDEX(WP!$A:$AN,MATCH(F1049,WP!$B:$B,0),MATCH("Obtain From",WP!$A$2:$AN$2,0))</f>
        <v>Clear Asura's Blinding Light: Legend (Rise of the Sinister Dominion)</v>
      </c>
    </row>
    <row r="1049" spans="1:18" ht="22.5" customHeight="1" x14ac:dyDescent="0.2">
      <c r="A1049" s="204" t="str">
        <f>TEXT(A1046+1,"000")</f>
        <v>015</v>
      </c>
      <c r="B1049" s="729"/>
      <c r="C1049" s="8"/>
      <c r="D1049" s="729"/>
      <c r="E1049" s="8"/>
      <c r="F1049" s="200" t="str">
        <f>"WPN-"&amp;A1049</f>
        <v>WPN-015</v>
      </c>
      <c r="G1049" s="200" t="str">
        <f>+INDEX(WP!$A:$AN,MATCH(F1049,WP!$B:$B,0),MATCH("ID",WP!$A$2:$AN$2,0))</f>
        <v>NEW</v>
      </c>
      <c r="I1049" s="8"/>
      <c r="J1049" s="180" t="s">
        <v>10762</v>
      </c>
      <c r="K1049" s="201">
        <f>+INDEX(WP!$A:$AN,MATCH(F1049,WP!$B:$B,0),14)</f>
        <v>5</v>
      </c>
      <c r="L1049" s="202">
        <f>+INDEX(WP!$A:$AN,MATCH(F1049,WP!$B:$B,0),15)</f>
        <v>150</v>
      </c>
      <c r="M1049" s="202">
        <f>+INDEX(WP!$A:$AN,MATCH(F1049,WP!$B:$B,0),16)</f>
        <v>90</v>
      </c>
      <c r="N1049" s="202" t="e" vm="381">
        <f>IFERROR(_xlfn.IMAGE("https://natalie.tf/wp-content/uploads/2023/11/DLV3_Icon_Affinity_"&amp;O1049&amp;".png"),"")</f>
        <v>#VALUE!</v>
      </c>
      <c r="O1049" s="203" t="str">
        <f>+INDEX(WP!$A:$AN,MATCH(F1049,WP!$B:$B,0),17)</f>
        <v>Dragon</v>
      </c>
      <c r="P1049" s="8" t="e" vm="1021">
        <f>_xlfn.IMAGE("https://natalie.tf/wp-content/uploads/2023/10/DLV3_Icon_Ability_"&amp;INDEX('WP-A'!$A$1:$Z$498,MATCH('WP-Print'!Q1049,'WP-A'!$A:$A,0),MATCH("Icon",'WP-A'!$A$1:$Z$1,0))&amp;".png")</f>
        <v>#VALUE!</v>
      </c>
      <c r="Q1049" s="231" t="str">
        <f>+INDEX(WP!$A:$AN,MATCH(F1049,WP!$B:$B,0),MATCH("Ability V3",WP!$A$2:$AN$2,0))</f>
        <v>(Flame) Nihility Negation</v>
      </c>
      <c r="R1049" s="735"/>
    </row>
    <row r="1050" spans="1:18" ht="7.5" customHeight="1" x14ac:dyDescent="0.2">
      <c r="A1050" t="s">
        <v>10763</v>
      </c>
    </row>
    <row r="1051" spans="1:18" ht="22.5" customHeight="1" x14ac:dyDescent="0.2">
      <c r="B1051" s="729" t="e" vm="1030">
        <f>_xlfn.IMAGE("https://natalie.tf/wp-content/uploads/2023/11/DLV3_Icon_Custom_The_Power_of_Bonds_WP.png")</f>
        <v>#VALUE!</v>
      </c>
      <c r="D1051" s="730" t="e" vm="1031">
        <f>+B1051</f>
        <v>#VALUE!</v>
      </c>
      <c r="F1051" s="717" t="str">
        <f>+INDEX(WP!$A:$AN,MATCH(F1052,WP!$B:$B,0),MATCH("Name",WP!$A$2:$AN$2,0))</f>
        <v>The Power of Bonds</v>
      </c>
      <c r="G1051" s="718"/>
      <c r="H1051" s="719"/>
      <c r="J1051" s="180" t="s">
        <v>10761</v>
      </c>
      <c r="K1051" s="201">
        <f>+INDEX(WP!$A:$AN,MATCH(F1052,WP!$B:$B,0),5)</f>
        <v>0</v>
      </c>
      <c r="L1051" s="202">
        <f>+INDEX(WP!$A:$AN,MATCH(F1052,WP!$B:$B,0),6)</f>
        <v>0</v>
      </c>
      <c r="M1051" s="202">
        <f>+INDEX(WP!$A:$AN,MATCH(F1052,WP!$B:$B,0),7)</f>
        <v>0</v>
      </c>
      <c r="N1051" s="202" t="str">
        <f ca="1">IFERROR(_xlfn.IMAGE("https://natalie.tf/wp-content/uploads/2023/11/DLV3_Icon_Affinity_"&amp;O1051&amp;".png"),"")</f>
        <v/>
      </c>
      <c r="O1051" s="203" t="str">
        <f>IF(INDEX(WP!$A:$AN,MATCH(F1052,WP!$B:$B,0),8)=0,"None",INDEX(WP!$A:$AN,MATCH(F1052,WP!$B:$B,0),8))</f>
        <v>None</v>
      </c>
      <c r="P1051" s="8" t="e" vm="15">
        <f>_xlfn.IMAGE("https://natalie.tf/wp-content/uploads/2023/10/DLV3_Icon_Ability_"&amp;INDEX('WP-A'!$A$1:$Z$498,MATCH('WP-Print'!Q1051,'WP-A'!$A:$A,0),MATCH("Icon",'WP-A'!$A$1:$Z$1,0))&amp;".png")</f>
        <v>#VALUE!</v>
      </c>
      <c r="Q1051" s="231" t="str">
        <f>+INDEX(WP!$A:$AN,MATCH(F1052,WP!$B:$B,0),MATCH("Ability",WP!$A$2:$AN$2,0))</f>
        <v>N/A</v>
      </c>
      <c r="R1051" s="734" t="str">
        <f>+INDEX(WP!$A:$AN,MATCH(F1052,WP!$B:$B,0),MATCH("Obtain From",WP!$A$2:$AN$2,0))</f>
        <v>Clear Primal Midgardsormr's Trial: Expert</v>
      </c>
    </row>
    <row r="1052" spans="1:18" ht="22.5" customHeight="1" x14ac:dyDescent="0.2">
      <c r="A1052" s="204" t="str">
        <f>TEXT(A1049+1,"000")</f>
        <v>016</v>
      </c>
      <c r="B1052" s="729"/>
      <c r="C1052" s="8"/>
      <c r="D1052" s="729"/>
      <c r="E1052" s="8"/>
      <c r="F1052" s="200" t="str">
        <f>"WPN-"&amp;A1052</f>
        <v>WPN-016</v>
      </c>
      <c r="G1052" s="200" t="str">
        <f>+INDEX(WP!$A:$AN,MATCH(F1052,WP!$B:$B,0),MATCH("ID",WP!$A$2:$AN$2,0))</f>
        <v>NEW</v>
      </c>
      <c r="I1052" s="8"/>
      <c r="J1052" s="180" t="s">
        <v>10762</v>
      </c>
      <c r="K1052" s="201">
        <f>+INDEX(WP!$A:$AN,MATCH(F1052,WP!$B:$B,0),14)</f>
        <v>5</v>
      </c>
      <c r="L1052" s="202">
        <f>+INDEX(WP!$A:$AN,MATCH(F1052,WP!$B:$B,0),15)</f>
        <v>150</v>
      </c>
      <c r="M1052" s="202">
        <f>+INDEX(WP!$A:$AN,MATCH(F1052,WP!$B:$B,0),16)</f>
        <v>90</v>
      </c>
      <c r="N1052" s="202" t="e" vm="381">
        <f>IFERROR(_xlfn.IMAGE("https://natalie.tf/wp-content/uploads/2023/11/DLV3_Icon_Affinity_"&amp;O1052&amp;".png"),"")</f>
        <v>#VALUE!</v>
      </c>
      <c r="O1052" s="203" t="str">
        <f>+INDEX(WP!$A:$AN,MATCH(F1052,WP!$B:$B,0),17)</f>
        <v>Dragon</v>
      </c>
      <c r="P1052" s="8" t="e" vm="382">
        <f>_xlfn.IMAGE("https://natalie.tf/wp-content/uploads/2023/10/DLV3_Icon_Ability_"&amp;INDEX('WP-A'!$A$1:$Z$498,MATCH('WP-Print'!Q1052,'WP-A'!$A:$A,0),MATCH("Icon",'WP-A'!$A$1:$Z$1,0))&amp;".png")</f>
        <v>#VALUE!</v>
      </c>
      <c r="Q1052" s="231" t="str">
        <f>+INDEX(WP!$A:$AN,MATCH(F1052,WP!$B:$B,0),MATCH("Ability V3",WP!$A$2:$AN$2,0))</f>
        <v>The Power of Bonds</v>
      </c>
      <c r="R1052" s="735"/>
    </row>
    <row r="1053" spans="1:18" ht="22.5" customHeight="1" x14ac:dyDescent="0.2">
      <c r="A1053" t="s">
        <v>10763</v>
      </c>
    </row>
  </sheetData>
  <mergeCells count="1401">
    <mergeCell ref="B1051:B1052"/>
    <mergeCell ref="D1051:D1052"/>
    <mergeCell ref="F1051:H1051"/>
    <mergeCell ref="R1051:R1052"/>
    <mergeCell ref="B1042:B1043"/>
    <mergeCell ref="D1042:D1043"/>
    <mergeCell ref="F1042:H1042"/>
    <mergeCell ref="R1042:R1043"/>
    <mergeCell ref="B1045:B1046"/>
    <mergeCell ref="D1045:D1046"/>
    <mergeCell ref="F1045:H1045"/>
    <mergeCell ref="R1045:R1046"/>
    <mergeCell ref="B1048:B1049"/>
    <mergeCell ref="D1048:D1049"/>
    <mergeCell ref="F1048:H1048"/>
    <mergeCell ref="R1048:R1049"/>
    <mergeCell ref="B1033:B1034"/>
    <mergeCell ref="D1033:D1034"/>
    <mergeCell ref="F1033:H1033"/>
    <mergeCell ref="R1033:R1034"/>
    <mergeCell ref="B1036:B1037"/>
    <mergeCell ref="D1036:D1037"/>
    <mergeCell ref="F1036:H1036"/>
    <mergeCell ref="R1036:R1037"/>
    <mergeCell ref="B1039:B1040"/>
    <mergeCell ref="D1039:D1040"/>
    <mergeCell ref="F1039:H1039"/>
    <mergeCell ref="R1039:R1040"/>
    <mergeCell ref="B1024:B1025"/>
    <mergeCell ref="D1024:D1025"/>
    <mergeCell ref="F1024:H1024"/>
    <mergeCell ref="R1024:R1025"/>
    <mergeCell ref="B1027:B1028"/>
    <mergeCell ref="D1027:D1028"/>
    <mergeCell ref="F1027:H1027"/>
    <mergeCell ref="R1027:R1028"/>
    <mergeCell ref="B1030:B1031"/>
    <mergeCell ref="D1030:D1031"/>
    <mergeCell ref="F1030:H1030"/>
    <mergeCell ref="R1030:R1031"/>
    <mergeCell ref="B1015:B1016"/>
    <mergeCell ref="D1015:D1016"/>
    <mergeCell ref="F1015:H1015"/>
    <mergeCell ref="R1015:R1016"/>
    <mergeCell ref="B1018:B1019"/>
    <mergeCell ref="D1018:D1019"/>
    <mergeCell ref="F1018:H1018"/>
    <mergeCell ref="R1018:R1019"/>
    <mergeCell ref="B1021:B1022"/>
    <mergeCell ref="D1021:D1022"/>
    <mergeCell ref="F1021:H1021"/>
    <mergeCell ref="R1021:R1022"/>
    <mergeCell ref="B1006:B1007"/>
    <mergeCell ref="D1006:D1007"/>
    <mergeCell ref="F1006:H1006"/>
    <mergeCell ref="R1006:R1007"/>
    <mergeCell ref="B1009:B1010"/>
    <mergeCell ref="D1009:D1010"/>
    <mergeCell ref="F1009:H1009"/>
    <mergeCell ref="R1009:R1010"/>
    <mergeCell ref="B1012:B1013"/>
    <mergeCell ref="D1012:D1013"/>
    <mergeCell ref="F1012:H1012"/>
    <mergeCell ref="R1012:R1013"/>
    <mergeCell ref="B997:B998"/>
    <mergeCell ref="D997:D998"/>
    <mergeCell ref="F997:H997"/>
    <mergeCell ref="R997:R998"/>
    <mergeCell ref="B1000:B1001"/>
    <mergeCell ref="D1000:D1001"/>
    <mergeCell ref="F1000:H1000"/>
    <mergeCell ref="R1000:R1001"/>
    <mergeCell ref="B1003:B1004"/>
    <mergeCell ref="D1003:D1004"/>
    <mergeCell ref="F1003:H1003"/>
    <mergeCell ref="R1003:R1004"/>
    <mergeCell ref="B988:B989"/>
    <mergeCell ref="D988:D989"/>
    <mergeCell ref="F988:H988"/>
    <mergeCell ref="R988:R989"/>
    <mergeCell ref="B991:B992"/>
    <mergeCell ref="D991:D992"/>
    <mergeCell ref="F991:H991"/>
    <mergeCell ref="R991:R992"/>
    <mergeCell ref="B994:B995"/>
    <mergeCell ref="D994:D995"/>
    <mergeCell ref="F994:H994"/>
    <mergeCell ref="R994:R995"/>
    <mergeCell ref="B979:B980"/>
    <mergeCell ref="D979:D980"/>
    <mergeCell ref="F979:H979"/>
    <mergeCell ref="R979:R980"/>
    <mergeCell ref="B982:B983"/>
    <mergeCell ref="D982:D983"/>
    <mergeCell ref="F982:H982"/>
    <mergeCell ref="R982:R983"/>
    <mergeCell ref="B985:B986"/>
    <mergeCell ref="D985:D986"/>
    <mergeCell ref="F985:H985"/>
    <mergeCell ref="R985:R986"/>
    <mergeCell ref="B970:B971"/>
    <mergeCell ref="D970:D971"/>
    <mergeCell ref="F970:H970"/>
    <mergeCell ref="R970:R971"/>
    <mergeCell ref="B973:B974"/>
    <mergeCell ref="D973:D974"/>
    <mergeCell ref="F973:H973"/>
    <mergeCell ref="R973:R974"/>
    <mergeCell ref="B976:B977"/>
    <mergeCell ref="D976:D977"/>
    <mergeCell ref="F976:H976"/>
    <mergeCell ref="R976:R977"/>
    <mergeCell ref="B961:B962"/>
    <mergeCell ref="D961:D962"/>
    <mergeCell ref="F961:H961"/>
    <mergeCell ref="R961:R962"/>
    <mergeCell ref="B964:B965"/>
    <mergeCell ref="D964:D965"/>
    <mergeCell ref="F964:H964"/>
    <mergeCell ref="R964:R965"/>
    <mergeCell ref="B967:B968"/>
    <mergeCell ref="D967:D968"/>
    <mergeCell ref="F967:H967"/>
    <mergeCell ref="R967:R968"/>
    <mergeCell ref="B952:B953"/>
    <mergeCell ref="D952:D953"/>
    <mergeCell ref="F952:H952"/>
    <mergeCell ref="R952:R953"/>
    <mergeCell ref="B955:B956"/>
    <mergeCell ref="D955:D956"/>
    <mergeCell ref="F955:H955"/>
    <mergeCell ref="R955:R956"/>
    <mergeCell ref="B958:B959"/>
    <mergeCell ref="D958:D959"/>
    <mergeCell ref="F958:H958"/>
    <mergeCell ref="R958:R959"/>
    <mergeCell ref="B943:B944"/>
    <mergeCell ref="D943:D944"/>
    <mergeCell ref="F943:H943"/>
    <mergeCell ref="R943:R944"/>
    <mergeCell ref="B946:B947"/>
    <mergeCell ref="D946:D947"/>
    <mergeCell ref="F946:H946"/>
    <mergeCell ref="R946:R947"/>
    <mergeCell ref="B949:B950"/>
    <mergeCell ref="D949:D950"/>
    <mergeCell ref="F949:H949"/>
    <mergeCell ref="R949:R950"/>
    <mergeCell ref="B934:B935"/>
    <mergeCell ref="D934:D935"/>
    <mergeCell ref="F934:H934"/>
    <mergeCell ref="R934:R935"/>
    <mergeCell ref="B937:B938"/>
    <mergeCell ref="D937:D938"/>
    <mergeCell ref="F937:H937"/>
    <mergeCell ref="R937:R938"/>
    <mergeCell ref="B940:B941"/>
    <mergeCell ref="D940:D941"/>
    <mergeCell ref="F940:H940"/>
    <mergeCell ref="R940:R941"/>
    <mergeCell ref="B925:B926"/>
    <mergeCell ref="D925:D926"/>
    <mergeCell ref="F925:H925"/>
    <mergeCell ref="R925:R926"/>
    <mergeCell ref="B928:B929"/>
    <mergeCell ref="D928:D929"/>
    <mergeCell ref="F928:H928"/>
    <mergeCell ref="R928:R929"/>
    <mergeCell ref="B931:B932"/>
    <mergeCell ref="D931:D932"/>
    <mergeCell ref="F931:H931"/>
    <mergeCell ref="R931:R932"/>
    <mergeCell ref="B916:B917"/>
    <mergeCell ref="D916:D917"/>
    <mergeCell ref="F916:H916"/>
    <mergeCell ref="R916:R917"/>
    <mergeCell ref="B919:B920"/>
    <mergeCell ref="D919:D920"/>
    <mergeCell ref="F919:H919"/>
    <mergeCell ref="R919:R920"/>
    <mergeCell ref="B922:B923"/>
    <mergeCell ref="D922:D923"/>
    <mergeCell ref="F922:H922"/>
    <mergeCell ref="R922:R923"/>
    <mergeCell ref="B907:B908"/>
    <mergeCell ref="D907:D908"/>
    <mergeCell ref="F907:H907"/>
    <mergeCell ref="R907:R908"/>
    <mergeCell ref="B910:B911"/>
    <mergeCell ref="D910:D911"/>
    <mergeCell ref="F910:H910"/>
    <mergeCell ref="R910:R911"/>
    <mergeCell ref="B913:B914"/>
    <mergeCell ref="D913:D914"/>
    <mergeCell ref="F913:H913"/>
    <mergeCell ref="R913:R914"/>
    <mergeCell ref="B898:B899"/>
    <mergeCell ref="D898:D899"/>
    <mergeCell ref="F898:H898"/>
    <mergeCell ref="R898:R899"/>
    <mergeCell ref="B901:B902"/>
    <mergeCell ref="D901:D902"/>
    <mergeCell ref="F901:H901"/>
    <mergeCell ref="R901:R902"/>
    <mergeCell ref="B904:B905"/>
    <mergeCell ref="D904:D905"/>
    <mergeCell ref="F904:H904"/>
    <mergeCell ref="R904:R905"/>
    <mergeCell ref="B889:B890"/>
    <mergeCell ref="D889:D890"/>
    <mergeCell ref="F889:H889"/>
    <mergeCell ref="R889:R890"/>
    <mergeCell ref="B892:B893"/>
    <mergeCell ref="D892:D893"/>
    <mergeCell ref="F892:H892"/>
    <mergeCell ref="R892:R893"/>
    <mergeCell ref="B895:B896"/>
    <mergeCell ref="D895:D896"/>
    <mergeCell ref="F895:H895"/>
    <mergeCell ref="R895:R896"/>
    <mergeCell ref="B880:B881"/>
    <mergeCell ref="D880:D881"/>
    <mergeCell ref="F880:H880"/>
    <mergeCell ref="R880:R881"/>
    <mergeCell ref="B883:B884"/>
    <mergeCell ref="D883:D884"/>
    <mergeCell ref="F883:H883"/>
    <mergeCell ref="R883:R884"/>
    <mergeCell ref="B886:B887"/>
    <mergeCell ref="D886:D887"/>
    <mergeCell ref="F886:H886"/>
    <mergeCell ref="R886:R887"/>
    <mergeCell ref="B871:B872"/>
    <mergeCell ref="D871:D872"/>
    <mergeCell ref="F871:H871"/>
    <mergeCell ref="R871:R872"/>
    <mergeCell ref="B874:B875"/>
    <mergeCell ref="D874:D875"/>
    <mergeCell ref="F874:H874"/>
    <mergeCell ref="R874:R875"/>
    <mergeCell ref="B877:B878"/>
    <mergeCell ref="D877:D878"/>
    <mergeCell ref="F877:H877"/>
    <mergeCell ref="R877:R878"/>
    <mergeCell ref="B862:B863"/>
    <mergeCell ref="D862:D863"/>
    <mergeCell ref="F862:H862"/>
    <mergeCell ref="R862:R863"/>
    <mergeCell ref="B865:B866"/>
    <mergeCell ref="D865:D866"/>
    <mergeCell ref="F865:H865"/>
    <mergeCell ref="R865:R866"/>
    <mergeCell ref="B868:B869"/>
    <mergeCell ref="D868:D869"/>
    <mergeCell ref="F868:H868"/>
    <mergeCell ref="R868:R869"/>
    <mergeCell ref="B853:B854"/>
    <mergeCell ref="D853:D854"/>
    <mergeCell ref="F853:H853"/>
    <mergeCell ref="R853:R854"/>
    <mergeCell ref="B856:B857"/>
    <mergeCell ref="D856:D857"/>
    <mergeCell ref="F856:H856"/>
    <mergeCell ref="R856:R857"/>
    <mergeCell ref="B859:B860"/>
    <mergeCell ref="D859:D860"/>
    <mergeCell ref="F859:H859"/>
    <mergeCell ref="R859:R860"/>
    <mergeCell ref="B844:B845"/>
    <mergeCell ref="D844:D845"/>
    <mergeCell ref="F844:H844"/>
    <mergeCell ref="R844:R845"/>
    <mergeCell ref="B847:B848"/>
    <mergeCell ref="D847:D848"/>
    <mergeCell ref="F847:H847"/>
    <mergeCell ref="R847:R848"/>
    <mergeCell ref="B850:B851"/>
    <mergeCell ref="D850:D851"/>
    <mergeCell ref="F850:H850"/>
    <mergeCell ref="R850:R851"/>
    <mergeCell ref="B835:B836"/>
    <mergeCell ref="D835:D836"/>
    <mergeCell ref="F835:H835"/>
    <mergeCell ref="R835:R836"/>
    <mergeCell ref="B838:B839"/>
    <mergeCell ref="D838:D839"/>
    <mergeCell ref="F838:H838"/>
    <mergeCell ref="R838:R839"/>
    <mergeCell ref="B841:B842"/>
    <mergeCell ref="D841:D842"/>
    <mergeCell ref="F841:H841"/>
    <mergeCell ref="R841:R842"/>
    <mergeCell ref="B826:B827"/>
    <mergeCell ref="D826:D827"/>
    <mergeCell ref="F826:H826"/>
    <mergeCell ref="R826:R827"/>
    <mergeCell ref="B829:B830"/>
    <mergeCell ref="D829:D830"/>
    <mergeCell ref="F829:H829"/>
    <mergeCell ref="R829:R830"/>
    <mergeCell ref="B832:B833"/>
    <mergeCell ref="D832:D833"/>
    <mergeCell ref="F832:H832"/>
    <mergeCell ref="R832:R833"/>
    <mergeCell ref="B817:B818"/>
    <mergeCell ref="D817:D818"/>
    <mergeCell ref="F817:H817"/>
    <mergeCell ref="R817:R818"/>
    <mergeCell ref="B820:B821"/>
    <mergeCell ref="D820:D821"/>
    <mergeCell ref="F820:H820"/>
    <mergeCell ref="R820:R821"/>
    <mergeCell ref="B823:B824"/>
    <mergeCell ref="D823:D824"/>
    <mergeCell ref="F823:H823"/>
    <mergeCell ref="R823:R824"/>
    <mergeCell ref="B808:B809"/>
    <mergeCell ref="D808:D809"/>
    <mergeCell ref="F808:H808"/>
    <mergeCell ref="R808:R809"/>
    <mergeCell ref="B811:B812"/>
    <mergeCell ref="D811:D812"/>
    <mergeCell ref="F811:H811"/>
    <mergeCell ref="R811:R812"/>
    <mergeCell ref="B814:B815"/>
    <mergeCell ref="D814:D815"/>
    <mergeCell ref="F814:H814"/>
    <mergeCell ref="R814:R815"/>
    <mergeCell ref="B799:B800"/>
    <mergeCell ref="D799:D800"/>
    <mergeCell ref="F799:H799"/>
    <mergeCell ref="R799:R800"/>
    <mergeCell ref="B802:B803"/>
    <mergeCell ref="D802:D803"/>
    <mergeCell ref="F802:H802"/>
    <mergeCell ref="R802:R803"/>
    <mergeCell ref="B805:B806"/>
    <mergeCell ref="D805:D806"/>
    <mergeCell ref="F805:H805"/>
    <mergeCell ref="R805:R806"/>
    <mergeCell ref="B790:B791"/>
    <mergeCell ref="D790:D791"/>
    <mergeCell ref="F790:H790"/>
    <mergeCell ref="R790:R791"/>
    <mergeCell ref="B793:B794"/>
    <mergeCell ref="D793:D794"/>
    <mergeCell ref="F793:H793"/>
    <mergeCell ref="R793:R794"/>
    <mergeCell ref="B796:B797"/>
    <mergeCell ref="D796:D797"/>
    <mergeCell ref="F796:H796"/>
    <mergeCell ref="R796:R797"/>
    <mergeCell ref="B781:B782"/>
    <mergeCell ref="D781:D782"/>
    <mergeCell ref="F781:H781"/>
    <mergeCell ref="R781:R782"/>
    <mergeCell ref="B784:B785"/>
    <mergeCell ref="D784:D785"/>
    <mergeCell ref="F784:H784"/>
    <mergeCell ref="R784:R785"/>
    <mergeCell ref="B787:B788"/>
    <mergeCell ref="D787:D788"/>
    <mergeCell ref="F787:H787"/>
    <mergeCell ref="R787:R788"/>
    <mergeCell ref="B772:B773"/>
    <mergeCell ref="D772:D773"/>
    <mergeCell ref="F772:H772"/>
    <mergeCell ref="R772:R773"/>
    <mergeCell ref="B775:B776"/>
    <mergeCell ref="D775:D776"/>
    <mergeCell ref="F775:H775"/>
    <mergeCell ref="R775:R776"/>
    <mergeCell ref="B778:B779"/>
    <mergeCell ref="D778:D779"/>
    <mergeCell ref="F778:H778"/>
    <mergeCell ref="R778:R779"/>
    <mergeCell ref="B763:B764"/>
    <mergeCell ref="D763:D764"/>
    <mergeCell ref="F763:H763"/>
    <mergeCell ref="R763:R764"/>
    <mergeCell ref="B766:B767"/>
    <mergeCell ref="D766:D767"/>
    <mergeCell ref="F766:H766"/>
    <mergeCell ref="R766:R767"/>
    <mergeCell ref="B769:B770"/>
    <mergeCell ref="D769:D770"/>
    <mergeCell ref="F769:H769"/>
    <mergeCell ref="R769:R770"/>
    <mergeCell ref="B754:B755"/>
    <mergeCell ref="D754:D755"/>
    <mergeCell ref="F754:H754"/>
    <mergeCell ref="R754:R755"/>
    <mergeCell ref="B757:B758"/>
    <mergeCell ref="D757:D758"/>
    <mergeCell ref="F757:H757"/>
    <mergeCell ref="R757:R758"/>
    <mergeCell ref="B760:B761"/>
    <mergeCell ref="D760:D761"/>
    <mergeCell ref="F760:H760"/>
    <mergeCell ref="R760:R761"/>
    <mergeCell ref="B745:B746"/>
    <mergeCell ref="D745:D746"/>
    <mergeCell ref="F745:H745"/>
    <mergeCell ref="R745:R746"/>
    <mergeCell ref="B748:B749"/>
    <mergeCell ref="D748:D749"/>
    <mergeCell ref="F748:H748"/>
    <mergeCell ref="R748:R749"/>
    <mergeCell ref="B751:B752"/>
    <mergeCell ref="D751:D752"/>
    <mergeCell ref="F751:H751"/>
    <mergeCell ref="R751:R752"/>
    <mergeCell ref="B736:B737"/>
    <mergeCell ref="D736:D737"/>
    <mergeCell ref="F736:H736"/>
    <mergeCell ref="R736:R737"/>
    <mergeCell ref="B739:B740"/>
    <mergeCell ref="D739:D740"/>
    <mergeCell ref="F739:H739"/>
    <mergeCell ref="R739:R740"/>
    <mergeCell ref="B742:B743"/>
    <mergeCell ref="D742:D743"/>
    <mergeCell ref="F742:H742"/>
    <mergeCell ref="R742:R743"/>
    <mergeCell ref="B727:B728"/>
    <mergeCell ref="D727:D728"/>
    <mergeCell ref="F727:H727"/>
    <mergeCell ref="R727:R728"/>
    <mergeCell ref="B730:B731"/>
    <mergeCell ref="D730:D731"/>
    <mergeCell ref="F730:H730"/>
    <mergeCell ref="R730:R731"/>
    <mergeCell ref="B733:B734"/>
    <mergeCell ref="D733:D734"/>
    <mergeCell ref="F733:H733"/>
    <mergeCell ref="R733:R734"/>
    <mergeCell ref="B718:B719"/>
    <mergeCell ref="D718:D719"/>
    <mergeCell ref="F718:H718"/>
    <mergeCell ref="R718:R719"/>
    <mergeCell ref="B721:B722"/>
    <mergeCell ref="D721:D722"/>
    <mergeCell ref="F721:H721"/>
    <mergeCell ref="R721:R722"/>
    <mergeCell ref="B724:B725"/>
    <mergeCell ref="D724:D725"/>
    <mergeCell ref="F724:H724"/>
    <mergeCell ref="R724:R725"/>
    <mergeCell ref="B709:B710"/>
    <mergeCell ref="D709:D710"/>
    <mergeCell ref="F709:H709"/>
    <mergeCell ref="R709:R710"/>
    <mergeCell ref="B712:B713"/>
    <mergeCell ref="D712:D713"/>
    <mergeCell ref="F712:H712"/>
    <mergeCell ref="R712:R713"/>
    <mergeCell ref="B715:B716"/>
    <mergeCell ref="D715:D716"/>
    <mergeCell ref="F715:H715"/>
    <mergeCell ref="R715:R716"/>
    <mergeCell ref="B700:B701"/>
    <mergeCell ref="D700:D701"/>
    <mergeCell ref="F700:H700"/>
    <mergeCell ref="R700:R701"/>
    <mergeCell ref="B703:B704"/>
    <mergeCell ref="D703:D704"/>
    <mergeCell ref="F703:H703"/>
    <mergeCell ref="R703:R704"/>
    <mergeCell ref="B706:B707"/>
    <mergeCell ref="D706:D707"/>
    <mergeCell ref="F706:H706"/>
    <mergeCell ref="R706:R707"/>
    <mergeCell ref="B691:B692"/>
    <mergeCell ref="D691:D692"/>
    <mergeCell ref="F691:H691"/>
    <mergeCell ref="R691:R692"/>
    <mergeCell ref="B694:B695"/>
    <mergeCell ref="D694:D695"/>
    <mergeCell ref="F694:H694"/>
    <mergeCell ref="R694:R695"/>
    <mergeCell ref="B697:B698"/>
    <mergeCell ref="D697:D698"/>
    <mergeCell ref="F697:H697"/>
    <mergeCell ref="R697:R698"/>
    <mergeCell ref="B682:B683"/>
    <mergeCell ref="D682:D683"/>
    <mergeCell ref="F682:H682"/>
    <mergeCell ref="R682:R683"/>
    <mergeCell ref="B685:B686"/>
    <mergeCell ref="D685:D686"/>
    <mergeCell ref="F685:H685"/>
    <mergeCell ref="R685:R686"/>
    <mergeCell ref="B688:B689"/>
    <mergeCell ref="D688:D689"/>
    <mergeCell ref="F688:H688"/>
    <mergeCell ref="R688:R689"/>
    <mergeCell ref="B673:B674"/>
    <mergeCell ref="D673:D674"/>
    <mergeCell ref="F673:H673"/>
    <mergeCell ref="R673:R674"/>
    <mergeCell ref="B676:B677"/>
    <mergeCell ref="D676:D677"/>
    <mergeCell ref="F676:H676"/>
    <mergeCell ref="R676:R677"/>
    <mergeCell ref="B679:B680"/>
    <mergeCell ref="D679:D680"/>
    <mergeCell ref="F679:H679"/>
    <mergeCell ref="R679:R680"/>
    <mergeCell ref="B664:B665"/>
    <mergeCell ref="D664:D665"/>
    <mergeCell ref="F664:H664"/>
    <mergeCell ref="R664:R665"/>
    <mergeCell ref="B667:B668"/>
    <mergeCell ref="D667:D668"/>
    <mergeCell ref="F667:H667"/>
    <mergeCell ref="R667:R668"/>
    <mergeCell ref="B670:B671"/>
    <mergeCell ref="D670:D671"/>
    <mergeCell ref="F670:H670"/>
    <mergeCell ref="R670:R671"/>
    <mergeCell ref="B655:B656"/>
    <mergeCell ref="D655:D656"/>
    <mergeCell ref="F655:H655"/>
    <mergeCell ref="R655:R656"/>
    <mergeCell ref="B658:B659"/>
    <mergeCell ref="D658:D659"/>
    <mergeCell ref="F658:H658"/>
    <mergeCell ref="R658:R659"/>
    <mergeCell ref="B661:B662"/>
    <mergeCell ref="D661:D662"/>
    <mergeCell ref="F661:H661"/>
    <mergeCell ref="R661:R662"/>
    <mergeCell ref="B646:B647"/>
    <mergeCell ref="D646:D647"/>
    <mergeCell ref="F646:H646"/>
    <mergeCell ref="R646:R647"/>
    <mergeCell ref="B649:B650"/>
    <mergeCell ref="D649:D650"/>
    <mergeCell ref="F649:H649"/>
    <mergeCell ref="R649:R650"/>
    <mergeCell ref="B652:B653"/>
    <mergeCell ref="D652:D653"/>
    <mergeCell ref="F652:H652"/>
    <mergeCell ref="R652:R653"/>
    <mergeCell ref="B637:B638"/>
    <mergeCell ref="D637:D638"/>
    <mergeCell ref="F637:H637"/>
    <mergeCell ref="R637:R638"/>
    <mergeCell ref="B640:B641"/>
    <mergeCell ref="D640:D641"/>
    <mergeCell ref="F640:H640"/>
    <mergeCell ref="R640:R641"/>
    <mergeCell ref="B643:B644"/>
    <mergeCell ref="D643:D644"/>
    <mergeCell ref="F643:H643"/>
    <mergeCell ref="R643:R644"/>
    <mergeCell ref="B628:B629"/>
    <mergeCell ref="D628:D629"/>
    <mergeCell ref="F628:H628"/>
    <mergeCell ref="R628:R629"/>
    <mergeCell ref="B631:B632"/>
    <mergeCell ref="D631:D632"/>
    <mergeCell ref="F631:H631"/>
    <mergeCell ref="R631:R632"/>
    <mergeCell ref="B634:B635"/>
    <mergeCell ref="D634:D635"/>
    <mergeCell ref="F634:H634"/>
    <mergeCell ref="R634:R635"/>
    <mergeCell ref="B619:B620"/>
    <mergeCell ref="D619:D620"/>
    <mergeCell ref="F619:H619"/>
    <mergeCell ref="R619:R620"/>
    <mergeCell ref="B622:B623"/>
    <mergeCell ref="D622:D623"/>
    <mergeCell ref="F622:H622"/>
    <mergeCell ref="R622:R623"/>
    <mergeCell ref="B625:B626"/>
    <mergeCell ref="D625:D626"/>
    <mergeCell ref="F625:H625"/>
    <mergeCell ref="R625:R626"/>
    <mergeCell ref="B610:B611"/>
    <mergeCell ref="D610:D611"/>
    <mergeCell ref="F610:H610"/>
    <mergeCell ref="R610:R611"/>
    <mergeCell ref="B613:B614"/>
    <mergeCell ref="D613:D614"/>
    <mergeCell ref="F613:H613"/>
    <mergeCell ref="R613:R614"/>
    <mergeCell ref="B616:B617"/>
    <mergeCell ref="D616:D617"/>
    <mergeCell ref="F616:H616"/>
    <mergeCell ref="R616:R617"/>
    <mergeCell ref="B601:B602"/>
    <mergeCell ref="D601:D602"/>
    <mergeCell ref="F601:H601"/>
    <mergeCell ref="R601:R602"/>
    <mergeCell ref="B604:B605"/>
    <mergeCell ref="D604:D605"/>
    <mergeCell ref="F604:H604"/>
    <mergeCell ref="R604:R605"/>
    <mergeCell ref="B607:B608"/>
    <mergeCell ref="D607:D608"/>
    <mergeCell ref="F607:H607"/>
    <mergeCell ref="R607:R608"/>
    <mergeCell ref="B592:B593"/>
    <mergeCell ref="D592:D593"/>
    <mergeCell ref="F592:H592"/>
    <mergeCell ref="R592:R593"/>
    <mergeCell ref="B595:B596"/>
    <mergeCell ref="D595:D596"/>
    <mergeCell ref="F595:H595"/>
    <mergeCell ref="R595:R596"/>
    <mergeCell ref="B598:B599"/>
    <mergeCell ref="D598:D599"/>
    <mergeCell ref="F598:H598"/>
    <mergeCell ref="R598:R599"/>
    <mergeCell ref="B583:B584"/>
    <mergeCell ref="D583:D584"/>
    <mergeCell ref="F583:H583"/>
    <mergeCell ref="R583:R584"/>
    <mergeCell ref="B586:B587"/>
    <mergeCell ref="D586:D587"/>
    <mergeCell ref="F586:H586"/>
    <mergeCell ref="R586:R587"/>
    <mergeCell ref="B589:B590"/>
    <mergeCell ref="D589:D590"/>
    <mergeCell ref="F589:H589"/>
    <mergeCell ref="R589:R590"/>
    <mergeCell ref="B574:B575"/>
    <mergeCell ref="D574:D575"/>
    <mergeCell ref="F574:H574"/>
    <mergeCell ref="R574:R575"/>
    <mergeCell ref="B577:B578"/>
    <mergeCell ref="D577:D578"/>
    <mergeCell ref="F577:H577"/>
    <mergeCell ref="R577:R578"/>
    <mergeCell ref="B580:B581"/>
    <mergeCell ref="D580:D581"/>
    <mergeCell ref="F580:H580"/>
    <mergeCell ref="R580:R581"/>
    <mergeCell ref="B565:B566"/>
    <mergeCell ref="D565:D566"/>
    <mergeCell ref="F565:H565"/>
    <mergeCell ref="R565:R566"/>
    <mergeCell ref="B568:B569"/>
    <mergeCell ref="D568:D569"/>
    <mergeCell ref="F568:H568"/>
    <mergeCell ref="R568:R569"/>
    <mergeCell ref="B571:B572"/>
    <mergeCell ref="D571:D572"/>
    <mergeCell ref="F571:H571"/>
    <mergeCell ref="R571:R572"/>
    <mergeCell ref="B556:B557"/>
    <mergeCell ref="D556:D557"/>
    <mergeCell ref="F556:H556"/>
    <mergeCell ref="R556:R557"/>
    <mergeCell ref="B559:B560"/>
    <mergeCell ref="D559:D560"/>
    <mergeCell ref="F559:H559"/>
    <mergeCell ref="R559:R560"/>
    <mergeCell ref="B562:B563"/>
    <mergeCell ref="D562:D563"/>
    <mergeCell ref="F562:H562"/>
    <mergeCell ref="R562:R563"/>
    <mergeCell ref="B547:B548"/>
    <mergeCell ref="D547:D548"/>
    <mergeCell ref="F547:H547"/>
    <mergeCell ref="R547:R548"/>
    <mergeCell ref="B550:B551"/>
    <mergeCell ref="D550:D551"/>
    <mergeCell ref="F550:H550"/>
    <mergeCell ref="R550:R551"/>
    <mergeCell ref="B553:B554"/>
    <mergeCell ref="D553:D554"/>
    <mergeCell ref="F553:H553"/>
    <mergeCell ref="R553:R554"/>
    <mergeCell ref="B538:B539"/>
    <mergeCell ref="D538:D539"/>
    <mergeCell ref="F538:H538"/>
    <mergeCell ref="R538:R539"/>
    <mergeCell ref="B541:B542"/>
    <mergeCell ref="D541:D542"/>
    <mergeCell ref="F541:H541"/>
    <mergeCell ref="R541:R542"/>
    <mergeCell ref="B544:B545"/>
    <mergeCell ref="D544:D545"/>
    <mergeCell ref="F544:H544"/>
    <mergeCell ref="R544:R545"/>
    <mergeCell ref="B529:B530"/>
    <mergeCell ref="D529:D530"/>
    <mergeCell ref="F529:H529"/>
    <mergeCell ref="R529:R530"/>
    <mergeCell ref="B532:B533"/>
    <mergeCell ref="D532:D533"/>
    <mergeCell ref="F532:H532"/>
    <mergeCell ref="R532:R533"/>
    <mergeCell ref="B535:B536"/>
    <mergeCell ref="D535:D536"/>
    <mergeCell ref="F535:H535"/>
    <mergeCell ref="R535:R536"/>
    <mergeCell ref="B520:B521"/>
    <mergeCell ref="D520:D521"/>
    <mergeCell ref="F520:H520"/>
    <mergeCell ref="R520:R521"/>
    <mergeCell ref="B523:B524"/>
    <mergeCell ref="D523:D524"/>
    <mergeCell ref="F523:H523"/>
    <mergeCell ref="R523:R524"/>
    <mergeCell ref="B526:B527"/>
    <mergeCell ref="D526:D527"/>
    <mergeCell ref="F526:H526"/>
    <mergeCell ref="R526:R527"/>
    <mergeCell ref="B511:B512"/>
    <mergeCell ref="D511:D512"/>
    <mergeCell ref="F511:H511"/>
    <mergeCell ref="R511:R512"/>
    <mergeCell ref="B514:B515"/>
    <mergeCell ref="D514:D515"/>
    <mergeCell ref="F514:H514"/>
    <mergeCell ref="R514:R515"/>
    <mergeCell ref="B517:B518"/>
    <mergeCell ref="D517:D518"/>
    <mergeCell ref="F517:H517"/>
    <mergeCell ref="R517:R518"/>
    <mergeCell ref="B502:B503"/>
    <mergeCell ref="D502:D503"/>
    <mergeCell ref="F502:H502"/>
    <mergeCell ref="R502:R503"/>
    <mergeCell ref="B505:B506"/>
    <mergeCell ref="D505:D506"/>
    <mergeCell ref="F505:H505"/>
    <mergeCell ref="R505:R506"/>
    <mergeCell ref="B508:B509"/>
    <mergeCell ref="D508:D509"/>
    <mergeCell ref="F508:H508"/>
    <mergeCell ref="R508:R509"/>
    <mergeCell ref="B493:B494"/>
    <mergeCell ref="D493:D494"/>
    <mergeCell ref="F493:H493"/>
    <mergeCell ref="R493:R494"/>
    <mergeCell ref="B496:B497"/>
    <mergeCell ref="D496:D497"/>
    <mergeCell ref="F496:H496"/>
    <mergeCell ref="R496:R497"/>
    <mergeCell ref="B499:B500"/>
    <mergeCell ref="D499:D500"/>
    <mergeCell ref="F499:H499"/>
    <mergeCell ref="R499:R500"/>
    <mergeCell ref="B484:B485"/>
    <mergeCell ref="D484:D485"/>
    <mergeCell ref="F484:H484"/>
    <mergeCell ref="R484:R485"/>
    <mergeCell ref="B487:B488"/>
    <mergeCell ref="D487:D488"/>
    <mergeCell ref="F487:H487"/>
    <mergeCell ref="R487:R488"/>
    <mergeCell ref="B490:B491"/>
    <mergeCell ref="D490:D491"/>
    <mergeCell ref="F490:H490"/>
    <mergeCell ref="R490:R491"/>
    <mergeCell ref="B475:B476"/>
    <mergeCell ref="D475:D476"/>
    <mergeCell ref="F475:H475"/>
    <mergeCell ref="R475:R476"/>
    <mergeCell ref="B478:B479"/>
    <mergeCell ref="D478:D479"/>
    <mergeCell ref="F478:H478"/>
    <mergeCell ref="R478:R479"/>
    <mergeCell ref="B481:B482"/>
    <mergeCell ref="D481:D482"/>
    <mergeCell ref="F481:H481"/>
    <mergeCell ref="R481:R482"/>
    <mergeCell ref="B466:B467"/>
    <mergeCell ref="D466:D467"/>
    <mergeCell ref="F466:H466"/>
    <mergeCell ref="R466:R467"/>
    <mergeCell ref="B469:B470"/>
    <mergeCell ref="D469:D470"/>
    <mergeCell ref="F469:H469"/>
    <mergeCell ref="R469:R470"/>
    <mergeCell ref="B472:B473"/>
    <mergeCell ref="D472:D473"/>
    <mergeCell ref="F472:H472"/>
    <mergeCell ref="R472:R473"/>
    <mergeCell ref="B457:B458"/>
    <mergeCell ref="D457:D458"/>
    <mergeCell ref="F457:H457"/>
    <mergeCell ref="R457:R458"/>
    <mergeCell ref="B460:B461"/>
    <mergeCell ref="D460:D461"/>
    <mergeCell ref="F460:H460"/>
    <mergeCell ref="R460:R461"/>
    <mergeCell ref="B463:B464"/>
    <mergeCell ref="D463:D464"/>
    <mergeCell ref="F463:H463"/>
    <mergeCell ref="R463:R464"/>
    <mergeCell ref="B448:B449"/>
    <mergeCell ref="D448:D449"/>
    <mergeCell ref="F448:H448"/>
    <mergeCell ref="R448:R449"/>
    <mergeCell ref="B451:B452"/>
    <mergeCell ref="D451:D452"/>
    <mergeCell ref="F451:H451"/>
    <mergeCell ref="R451:R452"/>
    <mergeCell ref="B454:B455"/>
    <mergeCell ref="D454:D455"/>
    <mergeCell ref="F454:H454"/>
    <mergeCell ref="R454:R455"/>
    <mergeCell ref="B439:B440"/>
    <mergeCell ref="D439:D440"/>
    <mergeCell ref="F439:H439"/>
    <mergeCell ref="R439:R440"/>
    <mergeCell ref="B442:B443"/>
    <mergeCell ref="D442:D443"/>
    <mergeCell ref="F442:H442"/>
    <mergeCell ref="R442:R443"/>
    <mergeCell ref="B445:B446"/>
    <mergeCell ref="D445:D446"/>
    <mergeCell ref="F445:H445"/>
    <mergeCell ref="R445:R446"/>
    <mergeCell ref="B430:B431"/>
    <mergeCell ref="D430:D431"/>
    <mergeCell ref="F430:H430"/>
    <mergeCell ref="R430:R431"/>
    <mergeCell ref="B433:B434"/>
    <mergeCell ref="D433:D434"/>
    <mergeCell ref="F433:H433"/>
    <mergeCell ref="R433:R434"/>
    <mergeCell ref="B436:B437"/>
    <mergeCell ref="D436:D437"/>
    <mergeCell ref="F436:H436"/>
    <mergeCell ref="R436:R437"/>
    <mergeCell ref="B421:B422"/>
    <mergeCell ref="D421:D422"/>
    <mergeCell ref="F421:H421"/>
    <mergeCell ref="R421:R422"/>
    <mergeCell ref="B424:B425"/>
    <mergeCell ref="D424:D425"/>
    <mergeCell ref="F424:H424"/>
    <mergeCell ref="R424:R425"/>
    <mergeCell ref="B427:B428"/>
    <mergeCell ref="D427:D428"/>
    <mergeCell ref="F427:H427"/>
    <mergeCell ref="R427:R428"/>
    <mergeCell ref="B412:B413"/>
    <mergeCell ref="D412:D413"/>
    <mergeCell ref="F412:H412"/>
    <mergeCell ref="R412:R413"/>
    <mergeCell ref="B415:B416"/>
    <mergeCell ref="D415:D416"/>
    <mergeCell ref="F415:H415"/>
    <mergeCell ref="R415:R416"/>
    <mergeCell ref="B418:B419"/>
    <mergeCell ref="D418:D419"/>
    <mergeCell ref="F418:H418"/>
    <mergeCell ref="R418:R419"/>
    <mergeCell ref="B403:B404"/>
    <mergeCell ref="D403:D404"/>
    <mergeCell ref="F403:H403"/>
    <mergeCell ref="R403:R404"/>
    <mergeCell ref="B406:B407"/>
    <mergeCell ref="D406:D407"/>
    <mergeCell ref="F406:H406"/>
    <mergeCell ref="R406:R407"/>
    <mergeCell ref="B409:B410"/>
    <mergeCell ref="D409:D410"/>
    <mergeCell ref="F409:H409"/>
    <mergeCell ref="R409:R410"/>
    <mergeCell ref="B394:B395"/>
    <mergeCell ref="D394:D395"/>
    <mergeCell ref="F394:H394"/>
    <mergeCell ref="R394:R395"/>
    <mergeCell ref="B397:B398"/>
    <mergeCell ref="D397:D398"/>
    <mergeCell ref="F397:H397"/>
    <mergeCell ref="R397:R398"/>
    <mergeCell ref="B400:B401"/>
    <mergeCell ref="D400:D401"/>
    <mergeCell ref="F400:H400"/>
    <mergeCell ref="R400:R401"/>
    <mergeCell ref="B385:B386"/>
    <mergeCell ref="D385:D386"/>
    <mergeCell ref="F385:H385"/>
    <mergeCell ref="R385:R386"/>
    <mergeCell ref="B388:B389"/>
    <mergeCell ref="D388:D389"/>
    <mergeCell ref="F388:H388"/>
    <mergeCell ref="R388:R389"/>
    <mergeCell ref="B391:B392"/>
    <mergeCell ref="D391:D392"/>
    <mergeCell ref="F391:H391"/>
    <mergeCell ref="R391:R392"/>
    <mergeCell ref="B376:B377"/>
    <mergeCell ref="D376:D377"/>
    <mergeCell ref="F376:H376"/>
    <mergeCell ref="R376:R377"/>
    <mergeCell ref="B379:B380"/>
    <mergeCell ref="D379:D380"/>
    <mergeCell ref="F379:H379"/>
    <mergeCell ref="R379:R380"/>
    <mergeCell ref="B382:B383"/>
    <mergeCell ref="D382:D383"/>
    <mergeCell ref="F382:H382"/>
    <mergeCell ref="R382:R383"/>
    <mergeCell ref="B367:B368"/>
    <mergeCell ref="D367:D368"/>
    <mergeCell ref="F367:H367"/>
    <mergeCell ref="R367:R368"/>
    <mergeCell ref="B370:B371"/>
    <mergeCell ref="D370:D371"/>
    <mergeCell ref="F370:H370"/>
    <mergeCell ref="R370:R371"/>
    <mergeCell ref="B373:B374"/>
    <mergeCell ref="D373:D374"/>
    <mergeCell ref="F373:H373"/>
    <mergeCell ref="R373:R374"/>
    <mergeCell ref="B358:B359"/>
    <mergeCell ref="D358:D359"/>
    <mergeCell ref="F358:H358"/>
    <mergeCell ref="R358:R359"/>
    <mergeCell ref="B361:B362"/>
    <mergeCell ref="D361:D362"/>
    <mergeCell ref="F361:H361"/>
    <mergeCell ref="R361:R362"/>
    <mergeCell ref="B364:B365"/>
    <mergeCell ref="D364:D365"/>
    <mergeCell ref="F364:H364"/>
    <mergeCell ref="R364:R365"/>
    <mergeCell ref="B349:B350"/>
    <mergeCell ref="D349:D350"/>
    <mergeCell ref="F349:H349"/>
    <mergeCell ref="R349:R350"/>
    <mergeCell ref="B352:B353"/>
    <mergeCell ref="D352:D353"/>
    <mergeCell ref="F352:H352"/>
    <mergeCell ref="R352:R353"/>
    <mergeCell ref="B355:B356"/>
    <mergeCell ref="D355:D356"/>
    <mergeCell ref="F355:H355"/>
    <mergeCell ref="R355:R356"/>
    <mergeCell ref="B340:B341"/>
    <mergeCell ref="D340:D341"/>
    <mergeCell ref="F340:H340"/>
    <mergeCell ref="R340:R341"/>
    <mergeCell ref="B343:B344"/>
    <mergeCell ref="D343:D344"/>
    <mergeCell ref="F343:H343"/>
    <mergeCell ref="R343:R344"/>
    <mergeCell ref="B346:B347"/>
    <mergeCell ref="D346:D347"/>
    <mergeCell ref="F346:H346"/>
    <mergeCell ref="R346:R347"/>
    <mergeCell ref="B331:B332"/>
    <mergeCell ref="D331:D332"/>
    <mergeCell ref="F331:H331"/>
    <mergeCell ref="R331:R332"/>
    <mergeCell ref="B334:B335"/>
    <mergeCell ref="D334:D335"/>
    <mergeCell ref="F334:H334"/>
    <mergeCell ref="R334:R335"/>
    <mergeCell ref="B337:B338"/>
    <mergeCell ref="D337:D338"/>
    <mergeCell ref="F337:H337"/>
    <mergeCell ref="R337:R338"/>
    <mergeCell ref="B322:B323"/>
    <mergeCell ref="D322:D323"/>
    <mergeCell ref="F322:H322"/>
    <mergeCell ref="R322:R323"/>
    <mergeCell ref="B325:B326"/>
    <mergeCell ref="D325:D326"/>
    <mergeCell ref="F325:H325"/>
    <mergeCell ref="R325:R326"/>
    <mergeCell ref="B328:B329"/>
    <mergeCell ref="D328:D329"/>
    <mergeCell ref="F328:H328"/>
    <mergeCell ref="R328:R329"/>
    <mergeCell ref="B313:B314"/>
    <mergeCell ref="D313:D314"/>
    <mergeCell ref="F313:H313"/>
    <mergeCell ref="R313:R314"/>
    <mergeCell ref="B316:B317"/>
    <mergeCell ref="D316:D317"/>
    <mergeCell ref="F316:H316"/>
    <mergeCell ref="R316:R317"/>
    <mergeCell ref="B319:B320"/>
    <mergeCell ref="D319:D320"/>
    <mergeCell ref="F319:H319"/>
    <mergeCell ref="R319:R320"/>
    <mergeCell ref="B304:B305"/>
    <mergeCell ref="D304:D305"/>
    <mergeCell ref="F304:H304"/>
    <mergeCell ref="R304:R305"/>
    <mergeCell ref="B307:B308"/>
    <mergeCell ref="D307:D308"/>
    <mergeCell ref="F307:H307"/>
    <mergeCell ref="R307:R308"/>
    <mergeCell ref="B310:B311"/>
    <mergeCell ref="D310:D311"/>
    <mergeCell ref="F310:H310"/>
    <mergeCell ref="R310:R311"/>
    <mergeCell ref="B295:B296"/>
    <mergeCell ref="D295:D296"/>
    <mergeCell ref="F295:H295"/>
    <mergeCell ref="R295:R296"/>
    <mergeCell ref="B298:B299"/>
    <mergeCell ref="D298:D299"/>
    <mergeCell ref="F298:H298"/>
    <mergeCell ref="R298:R299"/>
    <mergeCell ref="B301:B302"/>
    <mergeCell ref="D301:D302"/>
    <mergeCell ref="F301:H301"/>
    <mergeCell ref="R301:R302"/>
    <mergeCell ref="B286:B287"/>
    <mergeCell ref="D286:D287"/>
    <mergeCell ref="F286:H286"/>
    <mergeCell ref="R286:R287"/>
    <mergeCell ref="B289:B290"/>
    <mergeCell ref="D289:D290"/>
    <mergeCell ref="F289:H289"/>
    <mergeCell ref="R289:R290"/>
    <mergeCell ref="B292:B293"/>
    <mergeCell ref="D292:D293"/>
    <mergeCell ref="F292:H292"/>
    <mergeCell ref="R292:R293"/>
    <mergeCell ref="B277:B278"/>
    <mergeCell ref="D277:D278"/>
    <mergeCell ref="F277:H277"/>
    <mergeCell ref="R277:R278"/>
    <mergeCell ref="B280:B281"/>
    <mergeCell ref="D280:D281"/>
    <mergeCell ref="F280:H280"/>
    <mergeCell ref="R280:R281"/>
    <mergeCell ref="B283:B284"/>
    <mergeCell ref="D283:D284"/>
    <mergeCell ref="F283:H283"/>
    <mergeCell ref="R283:R284"/>
    <mergeCell ref="B268:B269"/>
    <mergeCell ref="D268:D269"/>
    <mergeCell ref="F268:H268"/>
    <mergeCell ref="R268:R269"/>
    <mergeCell ref="B271:B272"/>
    <mergeCell ref="D271:D272"/>
    <mergeCell ref="F271:H271"/>
    <mergeCell ref="R271:R272"/>
    <mergeCell ref="B274:B275"/>
    <mergeCell ref="D274:D275"/>
    <mergeCell ref="F274:H274"/>
    <mergeCell ref="R274:R275"/>
    <mergeCell ref="B259:B260"/>
    <mergeCell ref="D259:D260"/>
    <mergeCell ref="F259:H259"/>
    <mergeCell ref="R259:R260"/>
    <mergeCell ref="B262:B263"/>
    <mergeCell ref="D262:D263"/>
    <mergeCell ref="F262:H262"/>
    <mergeCell ref="R262:R263"/>
    <mergeCell ref="B265:B266"/>
    <mergeCell ref="D265:D266"/>
    <mergeCell ref="F265:H265"/>
    <mergeCell ref="R265:R266"/>
    <mergeCell ref="B250:B251"/>
    <mergeCell ref="D250:D251"/>
    <mergeCell ref="F250:H250"/>
    <mergeCell ref="R250:R251"/>
    <mergeCell ref="B253:B254"/>
    <mergeCell ref="D253:D254"/>
    <mergeCell ref="F253:H253"/>
    <mergeCell ref="R253:R254"/>
    <mergeCell ref="B256:B257"/>
    <mergeCell ref="D256:D257"/>
    <mergeCell ref="F256:H256"/>
    <mergeCell ref="R256:R257"/>
    <mergeCell ref="B241:B242"/>
    <mergeCell ref="D241:D242"/>
    <mergeCell ref="F241:H241"/>
    <mergeCell ref="R241:R242"/>
    <mergeCell ref="B244:B245"/>
    <mergeCell ref="D244:D245"/>
    <mergeCell ref="F244:H244"/>
    <mergeCell ref="R244:R245"/>
    <mergeCell ref="B247:B248"/>
    <mergeCell ref="D247:D248"/>
    <mergeCell ref="F247:H247"/>
    <mergeCell ref="R247:R248"/>
    <mergeCell ref="B232:B233"/>
    <mergeCell ref="D232:D233"/>
    <mergeCell ref="F232:H232"/>
    <mergeCell ref="R232:R233"/>
    <mergeCell ref="B235:B236"/>
    <mergeCell ref="D235:D236"/>
    <mergeCell ref="F235:H235"/>
    <mergeCell ref="R235:R236"/>
    <mergeCell ref="B238:B239"/>
    <mergeCell ref="D238:D239"/>
    <mergeCell ref="F238:H238"/>
    <mergeCell ref="R238:R239"/>
    <mergeCell ref="B223:B224"/>
    <mergeCell ref="D223:D224"/>
    <mergeCell ref="F223:H223"/>
    <mergeCell ref="R223:R224"/>
    <mergeCell ref="B226:B227"/>
    <mergeCell ref="D226:D227"/>
    <mergeCell ref="F226:H226"/>
    <mergeCell ref="R226:R227"/>
    <mergeCell ref="B229:B230"/>
    <mergeCell ref="D229:D230"/>
    <mergeCell ref="F229:H229"/>
    <mergeCell ref="R229:R230"/>
    <mergeCell ref="B214:B215"/>
    <mergeCell ref="D214:D215"/>
    <mergeCell ref="F214:H214"/>
    <mergeCell ref="R214:R215"/>
    <mergeCell ref="B217:B218"/>
    <mergeCell ref="D217:D218"/>
    <mergeCell ref="F217:H217"/>
    <mergeCell ref="R217:R218"/>
    <mergeCell ref="B220:B221"/>
    <mergeCell ref="D220:D221"/>
    <mergeCell ref="F220:H220"/>
    <mergeCell ref="R220:R221"/>
    <mergeCell ref="B205:B206"/>
    <mergeCell ref="D205:D206"/>
    <mergeCell ref="F205:H205"/>
    <mergeCell ref="R205:R206"/>
    <mergeCell ref="B208:B209"/>
    <mergeCell ref="D208:D209"/>
    <mergeCell ref="F208:H208"/>
    <mergeCell ref="R208:R209"/>
    <mergeCell ref="B211:B212"/>
    <mergeCell ref="D211:D212"/>
    <mergeCell ref="F211:H211"/>
    <mergeCell ref="R211:R212"/>
    <mergeCell ref="B196:B197"/>
    <mergeCell ref="D196:D197"/>
    <mergeCell ref="F196:H196"/>
    <mergeCell ref="R196:R197"/>
    <mergeCell ref="B199:B200"/>
    <mergeCell ref="D199:D200"/>
    <mergeCell ref="F199:H199"/>
    <mergeCell ref="R199:R200"/>
    <mergeCell ref="B202:B203"/>
    <mergeCell ref="D202:D203"/>
    <mergeCell ref="F202:H202"/>
    <mergeCell ref="R202:R203"/>
    <mergeCell ref="B187:B188"/>
    <mergeCell ref="D187:D188"/>
    <mergeCell ref="F187:H187"/>
    <mergeCell ref="R187:R188"/>
    <mergeCell ref="B190:B191"/>
    <mergeCell ref="D190:D191"/>
    <mergeCell ref="F190:H190"/>
    <mergeCell ref="R190:R191"/>
    <mergeCell ref="B193:B194"/>
    <mergeCell ref="D193:D194"/>
    <mergeCell ref="F193:H193"/>
    <mergeCell ref="R193:R194"/>
    <mergeCell ref="B178:B179"/>
    <mergeCell ref="D178:D179"/>
    <mergeCell ref="F178:H178"/>
    <mergeCell ref="R178:R179"/>
    <mergeCell ref="B181:B182"/>
    <mergeCell ref="D181:D182"/>
    <mergeCell ref="F181:H181"/>
    <mergeCell ref="R181:R182"/>
    <mergeCell ref="B184:B185"/>
    <mergeCell ref="D184:D185"/>
    <mergeCell ref="F184:H184"/>
    <mergeCell ref="R184:R185"/>
    <mergeCell ref="B169:B170"/>
    <mergeCell ref="D169:D170"/>
    <mergeCell ref="F169:H169"/>
    <mergeCell ref="R169:R170"/>
    <mergeCell ref="B172:B173"/>
    <mergeCell ref="D172:D173"/>
    <mergeCell ref="F172:H172"/>
    <mergeCell ref="R172:R173"/>
    <mergeCell ref="B175:B176"/>
    <mergeCell ref="D175:D176"/>
    <mergeCell ref="F175:H175"/>
    <mergeCell ref="R175:R176"/>
    <mergeCell ref="B160:B161"/>
    <mergeCell ref="D160:D161"/>
    <mergeCell ref="F160:H160"/>
    <mergeCell ref="R160:R161"/>
    <mergeCell ref="B163:B164"/>
    <mergeCell ref="D163:D164"/>
    <mergeCell ref="F163:H163"/>
    <mergeCell ref="R163:R164"/>
    <mergeCell ref="B166:B167"/>
    <mergeCell ref="D166:D167"/>
    <mergeCell ref="F166:H166"/>
    <mergeCell ref="R166:R167"/>
    <mergeCell ref="B151:B152"/>
    <mergeCell ref="D151:D152"/>
    <mergeCell ref="F151:H151"/>
    <mergeCell ref="R151:R152"/>
    <mergeCell ref="B154:B155"/>
    <mergeCell ref="D154:D155"/>
    <mergeCell ref="F154:H154"/>
    <mergeCell ref="R154:R155"/>
    <mergeCell ref="B157:B158"/>
    <mergeCell ref="D157:D158"/>
    <mergeCell ref="F157:H157"/>
    <mergeCell ref="R157:R158"/>
    <mergeCell ref="B142:B143"/>
    <mergeCell ref="D142:D143"/>
    <mergeCell ref="F142:H142"/>
    <mergeCell ref="R142:R143"/>
    <mergeCell ref="B145:B146"/>
    <mergeCell ref="D145:D146"/>
    <mergeCell ref="F145:H145"/>
    <mergeCell ref="R145:R146"/>
    <mergeCell ref="B148:B149"/>
    <mergeCell ref="D148:D149"/>
    <mergeCell ref="F148:H148"/>
    <mergeCell ref="R148:R149"/>
    <mergeCell ref="B133:B134"/>
    <mergeCell ref="D133:D134"/>
    <mergeCell ref="F133:H133"/>
    <mergeCell ref="R133:R134"/>
    <mergeCell ref="B136:B137"/>
    <mergeCell ref="D136:D137"/>
    <mergeCell ref="F136:H136"/>
    <mergeCell ref="R136:R137"/>
    <mergeCell ref="B139:B140"/>
    <mergeCell ref="D139:D140"/>
    <mergeCell ref="F139:H139"/>
    <mergeCell ref="R139:R140"/>
    <mergeCell ref="B124:B125"/>
    <mergeCell ref="D124:D125"/>
    <mergeCell ref="F124:H124"/>
    <mergeCell ref="R124:R125"/>
    <mergeCell ref="B127:B128"/>
    <mergeCell ref="D127:D128"/>
    <mergeCell ref="F127:H127"/>
    <mergeCell ref="R127:R128"/>
    <mergeCell ref="B130:B131"/>
    <mergeCell ref="D130:D131"/>
    <mergeCell ref="F130:H130"/>
    <mergeCell ref="R130:R131"/>
    <mergeCell ref="B115:B116"/>
    <mergeCell ref="D115:D116"/>
    <mergeCell ref="F115:H115"/>
    <mergeCell ref="R115:R116"/>
    <mergeCell ref="B118:B119"/>
    <mergeCell ref="D118:D119"/>
    <mergeCell ref="F118:H118"/>
    <mergeCell ref="R118:R119"/>
    <mergeCell ref="B121:B122"/>
    <mergeCell ref="D121:D122"/>
    <mergeCell ref="F121:H121"/>
    <mergeCell ref="R121:R122"/>
    <mergeCell ref="B106:B107"/>
    <mergeCell ref="D106:D107"/>
    <mergeCell ref="F106:H106"/>
    <mergeCell ref="R106:R107"/>
    <mergeCell ref="B109:B110"/>
    <mergeCell ref="D109:D110"/>
    <mergeCell ref="F109:H109"/>
    <mergeCell ref="R109:R110"/>
    <mergeCell ref="B112:B113"/>
    <mergeCell ref="D112:D113"/>
    <mergeCell ref="F112:H112"/>
    <mergeCell ref="R112:R113"/>
    <mergeCell ref="B97:B98"/>
    <mergeCell ref="D97:D98"/>
    <mergeCell ref="F97:H97"/>
    <mergeCell ref="R97:R98"/>
    <mergeCell ref="B100:B101"/>
    <mergeCell ref="D100:D101"/>
    <mergeCell ref="F100:H100"/>
    <mergeCell ref="R100:R101"/>
    <mergeCell ref="B103:B104"/>
    <mergeCell ref="D103:D104"/>
    <mergeCell ref="F103:H103"/>
    <mergeCell ref="R103:R104"/>
    <mergeCell ref="B91:B92"/>
    <mergeCell ref="D91:D92"/>
    <mergeCell ref="F91:H91"/>
    <mergeCell ref="R91:R92"/>
    <mergeCell ref="B94:B95"/>
    <mergeCell ref="D94:D95"/>
    <mergeCell ref="F94:H94"/>
    <mergeCell ref="R94:R95"/>
    <mergeCell ref="B4:B5"/>
    <mergeCell ref="B7:B8"/>
    <mergeCell ref="B10:B11"/>
    <mergeCell ref="B13:B14"/>
    <mergeCell ref="B16:B17"/>
    <mergeCell ref="B40:B41"/>
    <mergeCell ref="B22:B23"/>
    <mergeCell ref="B25:B26"/>
    <mergeCell ref="B28:B29"/>
    <mergeCell ref="B31:B32"/>
    <mergeCell ref="B34:B35"/>
    <mergeCell ref="B37:B38"/>
    <mergeCell ref="B19:B20"/>
    <mergeCell ref="D37:D38"/>
    <mergeCell ref="D31:D32"/>
    <mergeCell ref="D25:D26"/>
    <mergeCell ref="D13:D14"/>
    <mergeCell ref="D34:D35"/>
    <mergeCell ref="D28:D29"/>
    <mergeCell ref="D16:D17"/>
    <mergeCell ref="R40:R41"/>
    <mergeCell ref="F34:H34"/>
    <mergeCell ref="R34:R35"/>
    <mergeCell ref="F37:H37"/>
    <mergeCell ref="R25:R26"/>
    <mergeCell ref="B88:B89"/>
    <mergeCell ref="D88:D89"/>
    <mergeCell ref="F88:H88"/>
    <mergeCell ref="R88:R89"/>
    <mergeCell ref="B46:B47"/>
    <mergeCell ref="D46:D47"/>
    <mergeCell ref="F46:H46"/>
    <mergeCell ref="R46:R47"/>
    <mergeCell ref="B49:B50"/>
    <mergeCell ref="D49:D50"/>
    <mergeCell ref="F49:H49"/>
    <mergeCell ref="R49:R50"/>
    <mergeCell ref="B58:B59"/>
    <mergeCell ref="D58:D59"/>
    <mergeCell ref="F58:H58"/>
    <mergeCell ref="R58:R59"/>
    <mergeCell ref="B61:B62"/>
    <mergeCell ref="D61:D62"/>
    <mergeCell ref="F61:H61"/>
    <mergeCell ref="R61:R62"/>
    <mergeCell ref="B52:B53"/>
    <mergeCell ref="D52:D53"/>
    <mergeCell ref="F52:H52"/>
    <mergeCell ref="R64:R65"/>
    <mergeCell ref="B67:B68"/>
    <mergeCell ref="D67:D68"/>
    <mergeCell ref="F67:H67"/>
    <mergeCell ref="R67:R68"/>
    <mergeCell ref="B82:B83"/>
    <mergeCell ref="D82:D83"/>
    <mergeCell ref="F82:H82"/>
    <mergeCell ref="B2:H2"/>
    <mergeCell ref="B43:B44"/>
    <mergeCell ref="D43:D44"/>
    <mergeCell ref="F43:H43"/>
    <mergeCell ref="R43:R44"/>
    <mergeCell ref="D10:D11"/>
    <mergeCell ref="F4:H4"/>
    <mergeCell ref="F10:H10"/>
    <mergeCell ref="R10:R11"/>
    <mergeCell ref="F13:H13"/>
    <mergeCell ref="R13:R14"/>
    <mergeCell ref="R4:R5"/>
    <mergeCell ref="F7:H7"/>
    <mergeCell ref="R7:R8"/>
    <mergeCell ref="D7:D8"/>
    <mergeCell ref="D4:D5"/>
    <mergeCell ref="D22:D23"/>
    <mergeCell ref="F16:H16"/>
    <mergeCell ref="R16:R17"/>
    <mergeCell ref="D19:D20"/>
    <mergeCell ref="F19:H19"/>
    <mergeCell ref="R19:R20"/>
    <mergeCell ref="D40:D41"/>
    <mergeCell ref="F40:H40"/>
    <mergeCell ref="R37:R38"/>
    <mergeCell ref="F28:H28"/>
    <mergeCell ref="R28:R29"/>
    <mergeCell ref="F31:H31"/>
    <mergeCell ref="R31:R32"/>
    <mergeCell ref="F22:H22"/>
    <mergeCell ref="R22:R23"/>
    <mergeCell ref="F25:H25"/>
    <mergeCell ref="R82:R83"/>
    <mergeCell ref="B85:B86"/>
    <mergeCell ref="D85:D86"/>
    <mergeCell ref="F85:H85"/>
    <mergeCell ref="R85:R86"/>
    <mergeCell ref="B76:B77"/>
    <mergeCell ref="D76:D77"/>
    <mergeCell ref="F76:H76"/>
    <mergeCell ref="R76:R77"/>
    <mergeCell ref="B79:B80"/>
    <mergeCell ref="D79:D80"/>
    <mergeCell ref="F79:H79"/>
    <mergeCell ref="R79:R80"/>
    <mergeCell ref="R52:R53"/>
    <mergeCell ref="B55:B56"/>
    <mergeCell ref="D55:D56"/>
    <mergeCell ref="F55:H55"/>
    <mergeCell ref="R55:R56"/>
    <mergeCell ref="B70:B71"/>
    <mergeCell ref="D70:D71"/>
    <mergeCell ref="F70:H70"/>
    <mergeCell ref="R70:R71"/>
    <mergeCell ref="B73:B74"/>
    <mergeCell ref="D73:D74"/>
    <mergeCell ref="F73:H73"/>
    <mergeCell ref="R73:R74"/>
    <mergeCell ref="B64:B65"/>
    <mergeCell ref="D64:D65"/>
    <mergeCell ref="F64:H64"/>
  </mergeCells>
  <hyperlinks>
    <hyperlink ref="D4" r:id="rId1" display="https://natalie.tf/wp-content/uploads/2023/10/DLV3_Icon_WP_&quot;&amp;&amp;&quot;_01.png" xr:uid="{B79D304C-27E6-4DB8-BC80-2512EF1AB415}"/>
    <hyperlink ref="D7" r:id="rId2" display="https://natalie.tf/wp-content/uploads/2023/10/DLV3_Icon_WP_&quot;&amp;&amp;&quot;_01.png" xr:uid="{2079C87E-4BAF-4EB1-A83A-7665223C9707}"/>
    <hyperlink ref="D10" r:id="rId3" display="https://natalie.tf/wp-content/uploads/2023/10/DLV3_Icon_WP_&quot;&amp;&amp;&quot;_01.png" xr:uid="{A213DA5D-36C3-4F24-A1B6-D06C9A4FD3DC}"/>
    <hyperlink ref="D13" r:id="rId4" display="https://natalie.tf/wp-content/uploads/2023/10/DLV3_Icon_WP_&quot;&amp;&amp;&quot;_01.png" xr:uid="{7DA3DB97-8917-475F-B211-1E22EE35BA4B}"/>
    <hyperlink ref="D16" r:id="rId5" display="https://natalie.tf/wp-content/uploads/2023/10/DLV3_Icon_WP_&quot;&amp;&amp;&quot;_01.png" xr:uid="{B032E297-E042-4487-BA42-4AA98006FA1A}"/>
    <hyperlink ref="D19" r:id="rId6" display="https://natalie.tf/wp-content/uploads/2023/10/DLV3_Icon_WP_&quot;&amp;&amp;&quot;_01.png" xr:uid="{78AE4896-1FB1-4990-98DC-CD18C3A87EB2}"/>
    <hyperlink ref="D22" r:id="rId7" display="https://natalie.tf/wp-content/uploads/2023/10/DLV3_Icon_WP_&quot;&amp;&amp;&quot;_01.png" xr:uid="{28C31A37-421C-4A8F-86F7-F866194AC858}"/>
    <hyperlink ref="D25" r:id="rId8" display="https://natalie.tf/wp-content/uploads/2023/10/DLV3_Icon_WP_&quot;&amp;&amp;&quot;_01.png" xr:uid="{90ABC8DE-B3CC-4153-80A8-2C13E8FBEFCE}"/>
    <hyperlink ref="D28" r:id="rId9" display="https://natalie.tf/wp-content/uploads/2023/10/DLV3_Icon_WP_&quot;&amp;&amp;&quot;_01.png" xr:uid="{C060E844-8026-41F9-967E-E48E8CFA42E6}"/>
    <hyperlink ref="D31" r:id="rId10" display="https://natalie.tf/wp-content/uploads/2023/10/DLV3_Icon_WP_&quot;&amp;&amp;&quot;_01.png" xr:uid="{BED79C0F-1137-49EE-B636-7862A978915E}"/>
    <hyperlink ref="D34" r:id="rId11" display="https://natalie.tf/wp-content/uploads/2023/10/DLV3_Icon_WP_&quot;&amp;&amp;&quot;_01.png" xr:uid="{72C43AF1-C759-4656-9DF0-FD24F9CA5D4A}"/>
    <hyperlink ref="D37" r:id="rId12" display="https://natalie.tf/wp-content/uploads/2023/10/DLV3_Icon_WP_&quot;&amp;&amp;&quot;_01.png" xr:uid="{604CA386-F416-45F9-A7BB-6D9EFB4F19D6}"/>
    <hyperlink ref="D40" r:id="rId13" display="https://natalie.tf/wp-content/uploads/2023/10/DLV3_Icon_WP_&quot;&amp;&amp;&quot;_01.png" xr:uid="{88A1E1CF-8BB6-4128-B1D6-0149B46E63EA}"/>
    <hyperlink ref="D43" r:id="rId14" display="https://natalie.tf/wp-content/uploads/2023/10/DLV3_Icon_WP_&quot;&amp;&amp;&quot;_01.png" xr:uid="{06B00A29-C4FC-43DA-B5C7-B2C11BE06F3C}"/>
    <hyperlink ref="D46" r:id="rId15" display="https://natalie.tf/wp-content/uploads/2023/10/DLV3_Icon_WP_&quot;&amp;&amp;&quot;_01.png" xr:uid="{6F78A992-F7D4-4B64-9A90-F6159A34E9E0}"/>
    <hyperlink ref="D49" r:id="rId16" display="https://natalie.tf/wp-content/uploads/2023/10/DLV3_Icon_WP_&quot;&amp;&amp;&quot;_01.png" xr:uid="{C88079A0-E8F0-407F-BC55-901EC7B7F4B3}"/>
    <hyperlink ref="D52" r:id="rId17" display="https://natalie.tf/wp-content/uploads/2023/10/DLV3_Icon_WP_&quot;&amp;&amp;&quot;_01.png" xr:uid="{4BB30938-6DD7-4EE4-B45E-E25526D03847}"/>
    <hyperlink ref="D55" r:id="rId18" display="https://natalie.tf/wp-content/uploads/2023/10/DLV3_Icon_WP_&quot;&amp;&amp;&quot;_01.png" xr:uid="{2DCBF202-4348-40F4-95F8-6E0D01DAFCCB}"/>
    <hyperlink ref="D58" r:id="rId19" display="https://natalie.tf/wp-content/uploads/2023/10/DLV3_Icon_WP_&quot;&amp;&amp;&quot;_01.png" xr:uid="{60C582E4-EAF0-4CB5-B84A-8F0F80B42EB7}"/>
    <hyperlink ref="D61" r:id="rId20" display="https://natalie.tf/wp-content/uploads/2023/10/DLV3_Icon_WP_&quot;&amp;&amp;&quot;_01.png" xr:uid="{13A25753-F69F-479F-8B9B-5F5D6435B581}"/>
    <hyperlink ref="D64" r:id="rId21" display="https://natalie.tf/wp-content/uploads/2023/10/DLV3_Icon_WP_&quot;&amp;&amp;&quot;_01.png" xr:uid="{1350CBCE-349A-4C42-8EB2-86C2F6E68E9F}"/>
    <hyperlink ref="D67" r:id="rId22" display="https://natalie.tf/wp-content/uploads/2023/10/DLV3_Icon_WP_&quot;&amp;&amp;&quot;_01.png" xr:uid="{0030B3F4-757F-4283-9815-E5892B1A8EC9}"/>
    <hyperlink ref="D70" r:id="rId23" display="https://natalie.tf/wp-content/uploads/2023/10/DLV3_Icon_WP_&quot;&amp;&amp;&quot;_01.png" xr:uid="{1F2A0314-B1D7-4BE9-B3E1-460187FF1030}"/>
    <hyperlink ref="D73" r:id="rId24" display="https://natalie.tf/wp-content/uploads/2023/10/DLV3_Icon_WP_&quot;&amp;&amp;&quot;_01.png" xr:uid="{26F9F52E-51B1-4ED7-8092-3C04D35342FC}"/>
    <hyperlink ref="D76" r:id="rId25" display="https://natalie.tf/wp-content/uploads/2023/10/DLV3_Icon_WP_&quot;&amp;&amp;&quot;_01.png" xr:uid="{0C714A68-CA23-4916-A8FC-2D9832B15779}"/>
    <hyperlink ref="D79" r:id="rId26" display="https://natalie.tf/wp-content/uploads/2023/10/DLV3_Icon_WP_&quot;&amp;&amp;&quot;_01.png" xr:uid="{0D6CA5D9-7867-43D1-8D72-A8A07704A493}"/>
    <hyperlink ref="D82" r:id="rId27" display="https://natalie.tf/wp-content/uploads/2023/10/DLV3_Icon_WP_&quot;&amp;&amp;&quot;_01.png" xr:uid="{0C0BE68A-8E40-412B-B824-52144AEB9C14}"/>
    <hyperlink ref="D85" r:id="rId28" display="https://natalie.tf/wp-content/uploads/2023/10/DLV3_Icon_WP_&quot;&amp;&amp;&quot;_01.png" xr:uid="{1B598019-9C5E-4D41-902A-A9DC752EED37}"/>
    <hyperlink ref="D88" r:id="rId29" display="https://natalie.tf/wp-content/uploads/2023/10/DLV3_Icon_WP_&quot;&amp;&amp;&quot;_01.png" xr:uid="{694980B1-41B7-4D8E-84A0-F1EE561FAD91}"/>
    <hyperlink ref="D91" r:id="rId30" display="https://natalie.tf/wp-content/uploads/2023/10/DLV3_Icon_WP_&quot;&amp;&amp;&quot;_01.png" xr:uid="{68288DE4-3FA4-43A2-B487-1B54DFBCDB85}"/>
    <hyperlink ref="D94" r:id="rId31" display="https://natalie.tf/wp-content/uploads/2023/10/DLV3_Icon_WP_&quot;&amp;&amp;&quot;_01.png" xr:uid="{664E4410-D943-449A-9BC6-31F6DD7046E8}"/>
    <hyperlink ref="D1021" r:id="rId32" display="https://natalie.tf/wp-content/uploads/2023/10/DLV3_Icon_WP_&quot;&amp;&amp;&quot;_01.png" xr:uid="{40D41E0D-07CC-46A1-AC01-19671AF5C5F8}"/>
    <hyperlink ref="D1024" r:id="rId33" display="https://natalie.tf/wp-content/uploads/2023/10/DLV3_Icon_WP_&quot;&amp;&amp;&quot;_01.png" xr:uid="{6714535A-87B4-499D-8326-4159DFA76682}"/>
    <hyperlink ref="D1027" r:id="rId34" display="https://natalie.tf/wp-content/uploads/2023/10/DLV3_Icon_WP_&quot;&amp;&amp;&quot;_01.png" xr:uid="{8911FD1B-70AA-4FEA-BBCB-E1C33779B969}"/>
    <hyperlink ref="D1030" r:id="rId35" display="https://natalie.tf/wp-content/uploads/2023/10/DLV3_Icon_WP_&quot;&amp;&amp;&quot;_01.png" xr:uid="{89AD8441-304A-4F96-B156-21D52FBF54C9}"/>
    <hyperlink ref="D1033" r:id="rId36" display="https://natalie.tf/wp-content/uploads/2023/10/DLV3_Icon_WP_&quot;&amp;&amp;&quot;_01.png" xr:uid="{CB44BDF2-6B4B-47E4-A6D6-16DA09217F6A}"/>
    <hyperlink ref="D1036" r:id="rId37" display="https://natalie.tf/wp-content/uploads/2023/10/DLV3_Icon_WP_&quot;&amp;&amp;&quot;_01.png" xr:uid="{E8E8ED89-27DC-4AF0-BCAB-4183DD051AFC}"/>
    <hyperlink ref="D1039" r:id="rId38" display="https://natalie.tf/wp-content/uploads/2023/10/DLV3_Icon_WP_&quot;&amp;&amp;&quot;_01.png" xr:uid="{5ADE74AF-AFAA-4FA6-87F7-6D2E3B1136CF}"/>
    <hyperlink ref="D1042" r:id="rId39" display="https://natalie.tf/wp-content/uploads/2023/10/DLV3_Icon_WP_&quot;&amp;&amp;&quot;_01.png" xr:uid="{1FA02058-F271-4B2B-BD39-23A553C4662B}"/>
    <hyperlink ref="D1045" r:id="rId40" display="https://natalie.tf/wp-content/uploads/2023/10/DLV3_Icon_WP_&quot;&amp;&amp;&quot;_01.png" xr:uid="{789DA8B5-01D7-431E-93AD-2B3249CBA328}"/>
    <hyperlink ref="D1048" r:id="rId41" display="https://natalie.tf/wp-content/uploads/2023/10/DLV3_Icon_WP_&quot;&amp;&amp;&quot;_01.png" xr:uid="{0D2E8A45-2E8B-4598-93AF-2581361B187D}"/>
    <hyperlink ref="D1051" r:id="rId42" display="https://natalie.tf/wp-content/uploads/2023/10/DLV3_Icon_WP_&quot;&amp;&amp;&quot;_01.png" xr:uid="{754B1B1F-B6D7-4C97-BB5E-B6B8C252E5E2}"/>
    <hyperlink ref="D97" r:id="rId43" display="https://natalie.tf/wp-content/uploads/2023/10/DLV3_Icon_WP_&quot;&amp;&amp;&quot;_01.png" xr:uid="{599A1A5E-9FB7-4B2D-9103-6118EBD06FDC}"/>
    <hyperlink ref="D100" r:id="rId44" display="https://natalie.tf/wp-content/uploads/2023/10/DLV3_Icon_WP_&quot;&amp;&amp;&quot;_01.png" xr:uid="{B14E5F10-C080-41B9-9C58-F631296AAFB0}"/>
    <hyperlink ref="D103" r:id="rId45" display="https://natalie.tf/wp-content/uploads/2023/10/DLV3_Icon_WP_&quot;&amp;&amp;&quot;_01.png" xr:uid="{F744E7F1-5FEB-4BA7-A730-8C490DBC65E9}"/>
    <hyperlink ref="D106" r:id="rId46" display="https://natalie.tf/wp-content/uploads/2023/10/DLV3_Icon_WP_&quot;&amp;&amp;&quot;_01.png" xr:uid="{49A40318-EC3D-44AE-A394-FDFF65C75C19}"/>
    <hyperlink ref="D109" r:id="rId47" display="https://natalie.tf/wp-content/uploads/2023/10/DLV3_Icon_WP_&quot;&amp;&amp;&quot;_01.png" xr:uid="{83777326-2528-4CF1-9F5C-65440D01A574}"/>
    <hyperlink ref="D112" r:id="rId48" display="https://natalie.tf/wp-content/uploads/2023/10/DLV3_Icon_WP_&quot;&amp;&amp;&quot;_01.png" xr:uid="{645EA656-8D06-4E66-8816-DA1A7BEF5F95}"/>
    <hyperlink ref="D115" r:id="rId49" display="https://natalie.tf/wp-content/uploads/2023/10/DLV3_Icon_WP_&quot;&amp;&amp;&quot;_01.png" xr:uid="{8BA00E0D-CACB-4BBD-AC1E-595581DCDF0B}"/>
    <hyperlink ref="D118" r:id="rId50" display="https://natalie.tf/wp-content/uploads/2023/10/DLV3_Icon_WP_&quot;&amp;&amp;&quot;_01.png" xr:uid="{D12043C4-67B5-4E0D-B62C-85A108C3D331}"/>
    <hyperlink ref="D121" r:id="rId51" display="https://natalie.tf/wp-content/uploads/2023/10/DLV3_Icon_WP_&quot;&amp;&amp;&quot;_01.png" xr:uid="{41EE2DD7-D221-45A7-8F7B-1E36982DF441}"/>
    <hyperlink ref="D124" r:id="rId52" display="https://natalie.tf/wp-content/uploads/2023/10/DLV3_Icon_WP_&quot;&amp;&amp;&quot;_01.png" xr:uid="{FEEFA704-0013-4BFF-8154-AE99A143F062}"/>
    <hyperlink ref="D127" r:id="rId53" display="https://natalie.tf/wp-content/uploads/2023/10/DLV3_Icon_WP_&quot;&amp;&amp;&quot;_01.png" xr:uid="{566883BC-EC9D-4A8C-A5C3-7CE139790E1B}"/>
    <hyperlink ref="D130" r:id="rId54" display="https://natalie.tf/wp-content/uploads/2023/10/DLV3_Icon_WP_&quot;&amp;&amp;&quot;_01.png" xr:uid="{D3CC3CBA-DF62-4AEC-BC43-305CA66CEC7F}"/>
    <hyperlink ref="D133" r:id="rId55" display="https://natalie.tf/wp-content/uploads/2023/10/DLV3_Icon_WP_&quot;&amp;&amp;&quot;_01.png" xr:uid="{873BB54B-2EC3-49CF-8854-6811DE53FC95}"/>
    <hyperlink ref="D136" r:id="rId56" display="https://natalie.tf/wp-content/uploads/2023/10/DLV3_Icon_WP_&quot;&amp;&amp;&quot;_01.png" xr:uid="{FFBB490C-3F94-44B4-84F4-B0AC680D701E}"/>
    <hyperlink ref="D139" r:id="rId57" display="https://natalie.tf/wp-content/uploads/2023/10/DLV3_Icon_WP_&quot;&amp;&amp;&quot;_01.png" xr:uid="{FA7DB3B6-A756-4D9C-A4B5-8958D4F7AC0D}"/>
    <hyperlink ref="D142" r:id="rId58" display="https://natalie.tf/wp-content/uploads/2023/10/DLV3_Icon_WP_&quot;&amp;&amp;&quot;_01.png" xr:uid="{F42ED588-5568-42C7-A170-FE160E1C1B3D}"/>
    <hyperlink ref="D145" r:id="rId59" display="https://natalie.tf/wp-content/uploads/2023/10/DLV3_Icon_WP_&quot;&amp;&amp;&quot;_01.png" xr:uid="{5DAADB83-AC88-403E-9FC1-970AA342DCBA}"/>
    <hyperlink ref="D148" r:id="rId60" display="https://natalie.tf/wp-content/uploads/2023/10/DLV3_Icon_WP_&quot;&amp;&amp;&quot;_01.png" xr:uid="{C43020A7-C296-478C-9E82-173525072B4E}"/>
    <hyperlink ref="D151" r:id="rId61" display="https://natalie.tf/wp-content/uploads/2023/10/DLV3_Icon_WP_&quot;&amp;&amp;&quot;_01.png" xr:uid="{7C310100-848D-41F9-89E3-59CECA67715E}"/>
    <hyperlink ref="D154" r:id="rId62" display="https://natalie.tf/wp-content/uploads/2023/10/DLV3_Icon_WP_&quot;&amp;&amp;&quot;_01.png" xr:uid="{1DA325F8-B4B2-4180-9E86-78CF5F0821C9}"/>
    <hyperlink ref="D157" r:id="rId63" display="https://natalie.tf/wp-content/uploads/2023/10/DLV3_Icon_WP_&quot;&amp;&amp;&quot;_01.png" xr:uid="{4B65A046-BE8C-4E83-9DA5-398FDA529BC7}"/>
    <hyperlink ref="D160" r:id="rId64" display="https://natalie.tf/wp-content/uploads/2023/10/DLV3_Icon_WP_&quot;&amp;&amp;&quot;_01.png" xr:uid="{D3108387-243A-49B0-8E60-6BD10EE0BA5C}"/>
    <hyperlink ref="D163" r:id="rId65" display="https://natalie.tf/wp-content/uploads/2023/10/DLV3_Icon_WP_&quot;&amp;&amp;&quot;_01.png" xr:uid="{2CAB412E-A6C7-4A97-A40C-46931B27B570}"/>
    <hyperlink ref="D166" r:id="rId66" display="https://natalie.tf/wp-content/uploads/2023/10/DLV3_Icon_WP_&quot;&amp;&amp;&quot;_01.png" xr:uid="{808C1DF9-F538-45B2-9141-5C98ECCB7D68}"/>
    <hyperlink ref="D169" r:id="rId67" display="https://natalie.tf/wp-content/uploads/2023/10/DLV3_Icon_WP_&quot;&amp;&amp;&quot;_01.png" xr:uid="{93CAB441-3A1A-4C1F-AE78-9DEC9810EEC8}"/>
    <hyperlink ref="D172" r:id="rId68" display="https://natalie.tf/wp-content/uploads/2023/10/DLV3_Icon_WP_&quot;&amp;&amp;&quot;_01.png" xr:uid="{48F96F13-AC15-4950-90D2-4E2C20C9A70C}"/>
    <hyperlink ref="D175" r:id="rId69" display="https://natalie.tf/wp-content/uploads/2023/10/DLV3_Icon_WP_&quot;&amp;&amp;&quot;_01.png" xr:uid="{E9306491-AC4A-4DC2-8C11-B44BD357B0D3}"/>
    <hyperlink ref="D178" r:id="rId70" display="https://natalie.tf/wp-content/uploads/2023/10/DLV3_Icon_WP_&quot;&amp;&amp;&quot;_01.png" xr:uid="{13A0E0A3-7D24-4312-A8A8-0EB767BC31AF}"/>
    <hyperlink ref="D181" r:id="rId71" display="https://natalie.tf/wp-content/uploads/2023/10/DLV3_Icon_WP_&quot;&amp;&amp;&quot;_01.png" xr:uid="{611AF652-80A5-4F2D-81ED-E0625C9096F3}"/>
    <hyperlink ref="D184" r:id="rId72" display="https://natalie.tf/wp-content/uploads/2023/10/DLV3_Icon_WP_&quot;&amp;&amp;&quot;_01.png" xr:uid="{D405452A-6E17-40D9-A1DA-C67F512CCA44}"/>
    <hyperlink ref="D187" r:id="rId73" display="https://natalie.tf/wp-content/uploads/2023/10/DLV3_Icon_WP_&quot;&amp;&amp;&quot;_01.png" xr:uid="{A55D42B8-A628-43A6-83BA-5157C1C4F8AD}"/>
    <hyperlink ref="D190" r:id="rId74" display="https://natalie.tf/wp-content/uploads/2023/10/DLV3_Icon_WP_&quot;&amp;&amp;&quot;_01.png" xr:uid="{DEFD64B8-D503-45DC-A199-0022E33BAACC}"/>
    <hyperlink ref="D193" r:id="rId75" display="https://natalie.tf/wp-content/uploads/2023/10/DLV3_Icon_WP_&quot;&amp;&amp;&quot;_01.png" xr:uid="{41892605-4E86-4060-B78D-A02ADB2FE905}"/>
    <hyperlink ref="D196" r:id="rId76" display="https://natalie.tf/wp-content/uploads/2023/10/DLV3_Icon_WP_&quot;&amp;&amp;&quot;_01.png" xr:uid="{2E723248-DC72-4640-8D45-731FA4B5C693}"/>
    <hyperlink ref="D199" r:id="rId77" display="https://natalie.tf/wp-content/uploads/2023/10/DLV3_Icon_WP_&quot;&amp;&amp;&quot;_01.png" xr:uid="{9B296312-4CD1-47EC-90F5-3A46160F9424}"/>
    <hyperlink ref="D202" r:id="rId78" display="https://natalie.tf/wp-content/uploads/2023/10/DLV3_Icon_WP_&quot;&amp;&amp;&quot;_01.png" xr:uid="{A69BFD4F-7FB3-4970-9484-BBE4603EAD37}"/>
    <hyperlink ref="D205" r:id="rId79" display="https://natalie.tf/wp-content/uploads/2023/10/DLV3_Icon_WP_&quot;&amp;&amp;&quot;_01.png" xr:uid="{D3347FCA-A1FB-4653-9A7E-EE7921590B55}"/>
    <hyperlink ref="D208" r:id="rId80" display="https://natalie.tf/wp-content/uploads/2023/10/DLV3_Icon_WP_&quot;&amp;&amp;&quot;_01.png" xr:uid="{F8A9E484-B58A-4FA9-BDF6-5858FFB2CDA4}"/>
    <hyperlink ref="D211" r:id="rId81" display="https://natalie.tf/wp-content/uploads/2023/10/DLV3_Icon_WP_&quot;&amp;&amp;&quot;_01.png" xr:uid="{3D392893-E8F0-4A5A-BD1B-9FA4252ED83E}"/>
    <hyperlink ref="D214" r:id="rId82" display="https://natalie.tf/wp-content/uploads/2023/10/DLV3_Icon_WP_&quot;&amp;&amp;&quot;_01.png" xr:uid="{C769314C-AF5C-425A-BC08-88BF78739DC1}"/>
    <hyperlink ref="D217" r:id="rId83" display="https://natalie.tf/wp-content/uploads/2023/10/DLV3_Icon_WP_&quot;&amp;&amp;&quot;_01.png" xr:uid="{78D76D7D-6C10-420C-8D5E-9F3E66992323}"/>
    <hyperlink ref="D220" r:id="rId84" display="https://natalie.tf/wp-content/uploads/2023/10/DLV3_Icon_WP_&quot;&amp;&amp;&quot;_01.png" xr:uid="{0A2C3ADB-53D6-48D9-8919-E477C1B2F5F3}"/>
    <hyperlink ref="D223" r:id="rId85" display="https://natalie.tf/wp-content/uploads/2023/10/DLV3_Icon_WP_&quot;&amp;&amp;&quot;_01.png" xr:uid="{95C26DEF-FDFC-4F51-ACED-AC3EB6080CC0}"/>
    <hyperlink ref="D226" r:id="rId86" display="https://natalie.tf/wp-content/uploads/2023/10/DLV3_Icon_WP_&quot;&amp;&amp;&quot;_01.png" xr:uid="{3280CF3D-5636-458F-92A0-C902E2D17643}"/>
    <hyperlink ref="D229" r:id="rId87" display="https://natalie.tf/wp-content/uploads/2023/10/DLV3_Icon_WP_&quot;&amp;&amp;&quot;_01.png" xr:uid="{16612744-F3BD-4D4F-BA93-6FBE3CFE97E2}"/>
    <hyperlink ref="D232" r:id="rId88" display="https://natalie.tf/wp-content/uploads/2023/10/DLV3_Icon_WP_&quot;&amp;&amp;&quot;_01.png" xr:uid="{1428CA1A-79DC-4D4B-99C0-0CE67430F7AF}"/>
    <hyperlink ref="D235" r:id="rId89" display="https://natalie.tf/wp-content/uploads/2023/10/DLV3_Icon_WP_&quot;&amp;&amp;&quot;_01.png" xr:uid="{2FE60706-203E-4834-BEB1-F88FFBF737FC}"/>
    <hyperlink ref="D238" r:id="rId90" display="https://natalie.tf/wp-content/uploads/2023/10/DLV3_Icon_WP_&quot;&amp;&amp;&quot;_01.png" xr:uid="{262D2847-16D2-4BC7-A86E-212B0CD7BBC7}"/>
    <hyperlink ref="D241" r:id="rId91" display="https://natalie.tf/wp-content/uploads/2023/10/DLV3_Icon_WP_&quot;&amp;&amp;&quot;_01.png" xr:uid="{BCF08F30-8053-46CE-9360-CEBBA7415EA7}"/>
    <hyperlink ref="D244" r:id="rId92" display="https://natalie.tf/wp-content/uploads/2023/10/DLV3_Icon_WP_&quot;&amp;&amp;&quot;_01.png" xr:uid="{50BE148B-36D3-4457-A7DB-51D8592654BF}"/>
    <hyperlink ref="D247" r:id="rId93" display="https://natalie.tf/wp-content/uploads/2023/10/DLV3_Icon_WP_&quot;&amp;&amp;&quot;_01.png" xr:uid="{42BF1B69-B21A-43E0-A702-09BD3311F925}"/>
    <hyperlink ref="D250" r:id="rId94" display="https://natalie.tf/wp-content/uploads/2023/10/DLV3_Icon_WP_&quot;&amp;&amp;&quot;_01.png" xr:uid="{3A859D84-9C2C-471A-AFA7-72C10213DC86}"/>
    <hyperlink ref="D253" r:id="rId95" display="https://natalie.tf/wp-content/uploads/2023/10/DLV3_Icon_WP_&quot;&amp;&amp;&quot;_01.png" xr:uid="{98F99AD2-78DC-4898-812F-9D196B8058AA}"/>
    <hyperlink ref="D256" r:id="rId96" display="https://natalie.tf/wp-content/uploads/2023/10/DLV3_Icon_WP_&quot;&amp;&amp;&quot;_01.png" xr:uid="{91744F56-EA68-4B82-881E-FD59937CCC39}"/>
    <hyperlink ref="D259" r:id="rId97" display="https://natalie.tf/wp-content/uploads/2023/10/DLV3_Icon_WP_&quot;&amp;&amp;&quot;_01.png" xr:uid="{3699A16A-B8D7-44AC-8847-22B3C4509129}"/>
    <hyperlink ref="D262" r:id="rId98" display="https://natalie.tf/wp-content/uploads/2023/10/DLV3_Icon_WP_&quot;&amp;&amp;&quot;_01.png" xr:uid="{076067B7-96B2-43DB-AE71-DFC5E35C76BB}"/>
    <hyperlink ref="D265" r:id="rId99" display="https://natalie.tf/wp-content/uploads/2023/10/DLV3_Icon_WP_&quot;&amp;&amp;&quot;_01.png" xr:uid="{C317C0AB-C2E7-4F89-A93C-5F7B44C2FBAA}"/>
    <hyperlink ref="D268" r:id="rId100" display="https://natalie.tf/wp-content/uploads/2023/10/DLV3_Icon_WP_&quot;&amp;&amp;&quot;_01.png" xr:uid="{A178229A-C6E0-4C3F-8833-967F0BFFC8E8}"/>
    <hyperlink ref="D271" r:id="rId101" display="https://natalie.tf/wp-content/uploads/2023/10/DLV3_Icon_WP_&quot;&amp;&amp;&quot;_01.png" xr:uid="{FA038E1F-5C22-48D4-9842-458175B9EEB1}"/>
    <hyperlink ref="D274" r:id="rId102" display="https://natalie.tf/wp-content/uploads/2023/10/DLV3_Icon_WP_&quot;&amp;&amp;&quot;_01.png" xr:uid="{73BC3B47-E1F1-4656-BEE0-8FB57AF06658}"/>
    <hyperlink ref="D277" r:id="rId103" display="https://natalie.tf/wp-content/uploads/2023/10/DLV3_Icon_WP_&quot;&amp;&amp;&quot;_01.png" xr:uid="{F5E20B52-3FC0-45DA-87DE-8DC5EAC9460F}"/>
    <hyperlink ref="D280" r:id="rId104" display="https://natalie.tf/wp-content/uploads/2023/10/DLV3_Icon_WP_&quot;&amp;&amp;&quot;_01.png" xr:uid="{E3785B23-0FD9-4EAE-9350-01C2A90F1CC0}"/>
    <hyperlink ref="D283" r:id="rId105" display="https://natalie.tf/wp-content/uploads/2023/10/DLV3_Icon_WP_&quot;&amp;&amp;&quot;_01.png" xr:uid="{2F3BBEFD-13AB-4977-82AB-E2A5F34EE829}"/>
    <hyperlink ref="D286" r:id="rId106" display="https://natalie.tf/wp-content/uploads/2023/10/DLV3_Icon_WP_&quot;&amp;&amp;&quot;_01.png" xr:uid="{A77A2390-206F-47B7-838E-CAA4DC224DB1}"/>
    <hyperlink ref="D289" r:id="rId107" display="https://natalie.tf/wp-content/uploads/2023/10/DLV3_Icon_WP_&quot;&amp;&amp;&quot;_01.png" xr:uid="{DECDDB2C-1760-4703-9AE6-D794378FDDA3}"/>
    <hyperlink ref="D292" r:id="rId108" display="https://natalie.tf/wp-content/uploads/2023/10/DLV3_Icon_WP_&quot;&amp;&amp;&quot;_01.png" xr:uid="{1FB266C9-6A68-48C1-B1B1-AD5C0309490A}"/>
    <hyperlink ref="D295" r:id="rId109" display="https://natalie.tf/wp-content/uploads/2023/10/DLV3_Icon_WP_&quot;&amp;&amp;&quot;_01.png" xr:uid="{1602CBE2-084C-4E9A-A20B-891BBA90D511}"/>
    <hyperlink ref="D298" r:id="rId110" display="https://natalie.tf/wp-content/uploads/2023/10/DLV3_Icon_WP_&quot;&amp;&amp;&quot;_01.png" xr:uid="{69656F1C-C979-42F6-B6A5-5087DE920B04}"/>
    <hyperlink ref="D301" r:id="rId111" display="https://natalie.tf/wp-content/uploads/2023/10/DLV3_Icon_WP_&quot;&amp;&amp;&quot;_01.png" xr:uid="{F73D5583-954B-42B2-8FDF-DDE2E75BB944}"/>
    <hyperlink ref="D304" r:id="rId112" display="https://natalie.tf/wp-content/uploads/2023/10/DLV3_Icon_WP_&quot;&amp;&amp;&quot;_01.png" xr:uid="{12F95932-750D-4E18-B273-DF312D2451E3}"/>
    <hyperlink ref="D307" r:id="rId113" display="https://natalie.tf/wp-content/uploads/2023/10/DLV3_Icon_WP_&quot;&amp;&amp;&quot;_01.png" xr:uid="{E9078559-AE73-4A7A-A3C2-58882779DD2B}"/>
    <hyperlink ref="D310" r:id="rId114" display="https://natalie.tf/wp-content/uploads/2023/10/DLV3_Icon_WP_&quot;&amp;&amp;&quot;_01.png" xr:uid="{D5821748-E034-4F2C-8D1F-AC97378F1E54}"/>
    <hyperlink ref="D313" r:id="rId115" display="https://natalie.tf/wp-content/uploads/2023/10/DLV3_Icon_WP_&quot;&amp;&amp;&quot;_01.png" xr:uid="{103565BB-97C4-4FC5-9F4D-A0E6A018745C}"/>
    <hyperlink ref="D316" r:id="rId116" display="https://natalie.tf/wp-content/uploads/2023/10/DLV3_Icon_WP_&quot;&amp;&amp;&quot;_01.png" xr:uid="{D3CC1E14-BFBC-4B97-83C5-88B6EA25DCFB}"/>
    <hyperlink ref="D319" r:id="rId117" display="https://natalie.tf/wp-content/uploads/2023/10/DLV3_Icon_WP_&quot;&amp;&amp;&quot;_01.png" xr:uid="{BD90FCEB-74AC-43C2-8F65-FF6CEAFB5CA0}"/>
    <hyperlink ref="D322" r:id="rId118" display="https://natalie.tf/wp-content/uploads/2023/10/DLV3_Icon_WP_&quot;&amp;&amp;&quot;_01.png" xr:uid="{1DED459B-3014-4207-B776-EBC6FE4579D3}"/>
    <hyperlink ref="D325" r:id="rId119" display="https://natalie.tf/wp-content/uploads/2023/10/DLV3_Icon_WP_&quot;&amp;&amp;&quot;_01.png" xr:uid="{766F8E6B-7398-4088-8C8D-58108907BD0E}"/>
    <hyperlink ref="D328" r:id="rId120" display="https://natalie.tf/wp-content/uploads/2023/10/DLV3_Icon_WP_&quot;&amp;&amp;&quot;_01.png" xr:uid="{2A769937-C738-4AE3-906B-25ED0E648A14}"/>
    <hyperlink ref="D331" r:id="rId121" display="https://natalie.tf/wp-content/uploads/2023/10/DLV3_Icon_WP_&quot;&amp;&amp;&quot;_01.png" xr:uid="{9E81AD75-0ED5-4AD6-B79D-0458FB02DFCF}"/>
    <hyperlink ref="D334" r:id="rId122" display="https://natalie.tf/wp-content/uploads/2023/10/DLV3_Icon_WP_&quot;&amp;&amp;&quot;_01.png" xr:uid="{92F24C00-DE9B-43F3-BD23-59A069C808EF}"/>
    <hyperlink ref="D337" r:id="rId123" display="https://natalie.tf/wp-content/uploads/2023/10/DLV3_Icon_WP_&quot;&amp;&amp;&quot;_01.png" xr:uid="{F79B7973-230B-409C-8CD5-2F6D27D58D60}"/>
    <hyperlink ref="D340" r:id="rId124" display="https://natalie.tf/wp-content/uploads/2023/10/DLV3_Icon_WP_&quot;&amp;&amp;&quot;_01.png" xr:uid="{4C9D3F1C-F434-4D2B-BA5E-212D69621AA6}"/>
    <hyperlink ref="D343" r:id="rId125" display="https://natalie.tf/wp-content/uploads/2023/10/DLV3_Icon_WP_&quot;&amp;&amp;&quot;_01.png" xr:uid="{70BF5DA2-47B3-49A2-BB29-2E4FDD1103FF}"/>
    <hyperlink ref="D349" r:id="rId126" display="https://natalie.tf/wp-content/uploads/2023/10/DLV3_Icon_WP_&quot;&amp;&amp;&quot;_01.png" xr:uid="{05DCDAFD-D698-4AAB-9F1C-ABA497C0DEE3}"/>
    <hyperlink ref="D352" r:id="rId127" display="https://natalie.tf/wp-content/uploads/2023/10/DLV3_Icon_WP_&quot;&amp;&amp;&quot;_01.png" xr:uid="{F819F465-C4C4-4891-AC64-60561EE100CA}"/>
    <hyperlink ref="D355" r:id="rId128" display="https://natalie.tf/wp-content/uploads/2023/10/DLV3_Icon_WP_&quot;&amp;&amp;&quot;_01.png" xr:uid="{4E2DA1A0-91A4-490D-A1C0-2CE46932D452}"/>
    <hyperlink ref="D361" r:id="rId129" display="https://natalie.tf/wp-content/uploads/2023/10/DLV3_Icon_WP_&quot;&amp;&amp;&quot;_01.png" xr:uid="{B77AFD4C-31F1-445B-B5E2-3908FC94D63A}"/>
    <hyperlink ref="D364" r:id="rId130" display="https://natalie.tf/wp-content/uploads/2023/10/DLV3_Icon_WP_&quot;&amp;&amp;&quot;_01.png" xr:uid="{59AAB4C3-B9EC-41C8-986F-2A796233053B}"/>
    <hyperlink ref="D367" r:id="rId131" display="https://natalie.tf/wp-content/uploads/2023/10/DLV3_Icon_WP_&quot;&amp;&amp;&quot;_01.png" xr:uid="{2868A248-C988-437B-B3A1-B37565F82749}"/>
    <hyperlink ref="D370" r:id="rId132" display="https://natalie.tf/wp-content/uploads/2023/10/DLV3_Icon_WP_&quot;&amp;&amp;&quot;_01.png" xr:uid="{9975A187-74E9-4A64-A60C-A8ED9AD78B63}"/>
    <hyperlink ref="D373" r:id="rId133" display="https://natalie.tf/wp-content/uploads/2023/10/DLV3_Icon_WP_&quot;&amp;&amp;&quot;_01.png" xr:uid="{4B8344E1-F14C-487B-82D2-E8943CE1442B}"/>
    <hyperlink ref="D376" r:id="rId134" display="https://natalie.tf/wp-content/uploads/2023/10/DLV3_Icon_WP_&quot;&amp;&amp;&quot;_01.png" xr:uid="{03740EFF-CB49-4BD2-A0C5-4F07EA1B3E78}"/>
    <hyperlink ref="D379" r:id="rId135" display="https://natalie.tf/wp-content/uploads/2023/10/DLV3_Icon_WP_&quot;&amp;&amp;&quot;_01.png" xr:uid="{9FAC23CD-826D-4A25-8765-AB194615BAE4}"/>
    <hyperlink ref="D382" r:id="rId136" display="https://natalie.tf/wp-content/uploads/2023/10/DLV3_Icon_WP_&quot;&amp;&amp;&quot;_01.png" xr:uid="{79A39AF1-FD76-400F-815E-FD6252B0D7F4}"/>
    <hyperlink ref="D385" r:id="rId137" display="https://natalie.tf/wp-content/uploads/2023/10/DLV3_Icon_WP_&quot;&amp;&amp;&quot;_01.png" xr:uid="{C3866D6B-9906-46F9-92BC-F80757399715}"/>
    <hyperlink ref="D388" r:id="rId138" display="https://natalie.tf/wp-content/uploads/2023/10/DLV3_Icon_WP_&quot;&amp;&amp;&quot;_01.png" xr:uid="{B7D9FB51-491C-4389-BAF6-D2FD28D597B9}"/>
    <hyperlink ref="D391" r:id="rId139" display="https://natalie.tf/wp-content/uploads/2023/10/DLV3_Icon_WP_&quot;&amp;&amp;&quot;_01.png" xr:uid="{87976D7D-BB07-4932-928A-7B79037EDC9B}"/>
    <hyperlink ref="D394" r:id="rId140" display="https://natalie.tf/wp-content/uploads/2023/10/DLV3_Icon_WP_&quot;&amp;&amp;&quot;_01.png" xr:uid="{BB602A6D-73B4-4FB7-A1A5-1381439C7BC5}"/>
    <hyperlink ref="D397" r:id="rId141" display="https://natalie.tf/wp-content/uploads/2023/10/DLV3_Icon_WP_&quot;&amp;&amp;&quot;_01.png" xr:uid="{7AF2DC71-6113-4A68-98E9-FF3678B25701}"/>
    <hyperlink ref="D400" r:id="rId142" display="https://natalie.tf/wp-content/uploads/2023/10/DLV3_Icon_WP_&quot;&amp;&amp;&quot;_01.png" xr:uid="{E26BB35A-6F44-4BAB-94D7-468B3CCD5064}"/>
    <hyperlink ref="D403" r:id="rId143" display="https://natalie.tf/wp-content/uploads/2023/10/DLV3_Icon_WP_&quot;&amp;&amp;&quot;_01.png" xr:uid="{7E1EFC4B-ABEA-4060-84F3-44669038A409}"/>
    <hyperlink ref="D406" r:id="rId144" display="https://natalie.tf/wp-content/uploads/2023/10/DLV3_Icon_WP_&quot;&amp;&amp;&quot;_01.png" xr:uid="{7B694B22-E241-4AAA-884A-9A3ED509A612}"/>
    <hyperlink ref="D409" r:id="rId145" display="https://natalie.tf/wp-content/uploads/2023/10/DLV3_Icon_WP_&quot;&amp;&amp;&quot;_01.png" xr:uid="{D964AE41-C268-498F-BEB2-AFCF53793F5A}"/>
    <hyperlink ref="D412" r:id="rId146" display="https://natalie.tf/wp-content/uploads/2023/10/DLV3_Icon_WP_&quot;&amp;&amp;&quot;_01.png" xr:uid="{FA06305B-53E4-421A-9A6E-EEB8A718839F}"/>
    <hyperlink ref="D415" r:id="rId147" display="https://natalie.tf/wp-content/uploads/2023/10/DLV3_Icon_WP_&quot;&amp;&amp;&quot;_01.png" xr:uid="{806E8DF8-D280-41B8-BF5D-F0B67FAE320A}"/>
    <hyperlink ref="D418" r:id="rId148" display="https://natalie.tf/wp-content/uploads/2023/10/DLV3_Icon_WP_&quot;&amp;&amp;&quot;_01.png" xr:uid="{95AE2127-E6D2-4002-B2B9-AA7E6C27199A}"/>
    <hyperlink ref="D421" r:id="rId149" display="https://natalie.tf/wp-content/uploads/2023/10/DLV3_Icon_WP_&quot;&amp;&amp;&quot;_01.png" xr:uid="{1B1C487A-C111-4B9B-BCA8-BAE4463CC998}"/>
    <hyperlink ref="D424" r:id="rId150" display="https://natalie.tf/wp-content/uploads/2023/10/DLV3_Icon_WP_&quot;&amp;&amp;&quot;_01.png" xr:uid="{9853B53E-DC3F-4A19-97E3-E4E831792E5F}"/>
    <hyperlink ref="D427" r:id="rId151" display="https://natalie.tf/wp-content/uploads/2023/10/DLV3_Icon_WP_&quot;&amp;&amp;&quot;_01.png" xr:uid="{9C142431-8663-4AC1-BB07-8F9A702AE831}"/>
    <hyperlink ref="D430" r:id="rId152" display="https://natalie.tf/wp-content/uploads/2023/10/DLV3_Icon_WP_&quot;&amp;&amp;&quot;_01.png" xr:uid="{C3B080CD-A2C0-4732-972F-29C912BEF463}"/>
    <hyperlink ref="D433" r:id="rId153" display="https://natalie.tf/wp-content/uploads/2023/10/DLV3_Icon_WP_&quot;&amp;&amp;&quot;_01.png" xr:uid="{A3909573-515D-429D-838C-6B4A1CE38869}"/>
    <hyperlink ref="D436" r:id="rId154" display="https://natalie.tf/wp-content/uploads/2023/10/DLV3_Icon_WP_&quot;&amp;&amp;&quot;_01.png" xr:uid="{A8057FA4-4C4E-4C05-A77D-DA75C9F91B33}"/>
    <hyperlink ref="D439" r:id="rId155" display="https://natalie.tf/wp-content/uploads/2023/10/DLV3_Icon_WP_&quot;&amp;&amp;&quot;_01.png" xr:uid="{AD0130BB-E2A7-4963-AFB4-E00227631556}"/>
    <hyperlink ref="D442" r:id="rId156" display="https://natalie.tf/wp-content/uploads/2023/10/DLV3_Icon_WP_&quot;&amp;&amp;&quot;_01.png" xr:uid="{A9561ADD-5A57-4904-9805-EA41001F932A}"/>
    <hyperlink ref="D445" r:id="rId157" display="https://natalie.tf/wp-content/uploads/2023/10/DLV3_Icon_WP_&quot;&amp;&amp;&quot;_01.png" xr:uid="{30BBA04D-C2AF-47AB-B93B-CE9088349118}"/>
    <hyperlink ref="D448" r:id="rId158" display="https://natalie.tf/wp-content/uploads/2023/10/DLV3_Icon_WP_&quot;&amp;&amp;&quot;_01.png" xr:uid="{74C089FB-3388-421F-A366-14087F6AF797}"/>
    <hyperlink ref="D451" r:id="rId159" display="https://natalie.tf/wp-content/uploads/2023/10/DLV3_Icon_WP_&quot;&amp;&amp;&quot;_01.png" xr:uid="{D2174D16-72D5-4731-99F1-8BE5629E8016}"/>
    <hyperlink ref="D454" r:id="rId160" display="https://natalie.tf/wp-content/uploads/2023/10/DLV3_Icon_WP_&quot;&amp;&amp;&quot;_01.png" xr:uid="{EF5FF855-CD3A-4AD5-ADD8-B610EEF0A870}"/>
    <hyperlink ref="D457" r:id="rId161" display="https://natalie.tf/wp-content/uploads/2023/10/DLV3_Icon_WP_&quot;&amp;&amp;&quot;_01.png" xr:uid="{519B2519-A1F5-4BBB-B5C6-A900EA108107}"/>
    <hyperlink ref="D460" r:id="rId162" display="https://natalie.tf/wp-content/uploads/2023/10/DLV3_Icon_WP_&quot;&amp;&amp;&quot;_01.png" xr:uid="{46F625F9-5857-4AC2-981B-7E7BA521E67D}"/>
    <hyperlink ref="D466" r:id="rId163" display="https://natalie.tf/wp-content/uploads/2023/10/DLV3_Icon_WP_&quot;&amp;&amp;&quot;_01.png" xr:uid="{21131783-EB60-44ED-8D33-D8BD90D94ABF}"/>
    <hyperlink ref="D469" r:id="rId164" display="https://natalie.tf/wp-content/uploads/2023/10/DLV3_Icon_WP_&quot;&amp;&amp;&quot;_01.png" xr:uid="{0A3F3BE6-7B12-4D22-9F2F-766E597A7EBA}"/>
    <hyperlink ref="D472" r:id="rId165" display="https://natalie.tf/wp-content/uploads/2023/10/DLV3_Icon_WP_&quot;&amp;&amp;&quot;_01.png" xr:uid="{74B3A995-AA40-4041-9C4B-E1A4405D854D}"/>
    <hyperlink ref="D475" r:id="rId166" display="https://natalie.tf/wp-content/uploads/2023/10/DLV3_Icon_WP_&quot;&amp;&amp;&quot;_01.png" xr:uid="{AE9A1D93-2DF9-4BA4-9165-563F8582854B}"/>
    <hyperlink ref="D478" r:id="rId167" display="https://natalie.tf/wp-content/uploads/2023/10/DLV3_Icon_WP_&quot;&amp;&amp;&quot;_01.png" xr:uid="{338AB8AB-FF7D-492E-8C10-D2F2BAB059F3}"/>
    <hyperlink ref="D481" r:id="rId168" display="https://natalie.tf/wp-content/uploads/2023/10/DLV3_Icon_WP_&quot;&amp;&amp;&quot;_01.png" xr:uid="{1E558538-9E0C-4D89-B255-29DDA69894B2}"/>
    <hyperlink ref="D484" r:id="rId169" display="https://natalie.tf/wp-content/uploads/2023/10/DLV3_Icon_WP_&quot;&amp;&amp;&quot;_01.png" xr:uid="{C7D6A81D-2E1C-4492-8A2D-44A889B77B38}"/>
    <hyperlink ref="D487" r:id="rId170" display="https://natalie.tf/wp-content/uploads/2023/10/DLV3_Icon_WP_&quot;&amp;&amp;&quot;_01.png" xr:uid="{DC52648F-FD65-4ABB-9E2D-1964F60079E0}"/>
    <hyperlink ref="D490" r:id="rId171" display="https://natalie.tf/wp-content/uploads/2023/10/DLV3_Icon_WP_&quot;&amp;&amp;&quot;_01.png" xr:uid="{04DC2202-1F63-42A0-889D-BCD727FC049A}"/>
    <hyperlink ref="D493" r:id="rId172" display="https://natalie.tf/wp-content/uploads/2023/10/DLV3_Icon_WP_&quot;&amp;&amp;&quot;_01.png" xr:uid="{E109D64A-5AF5-4E39-B7A4-C1E4C08E16F6}"/>
    <hyperlink ref="D496" r:id="rId173" display="https://natalie.tf/wp-content/uploads/2023/10/DLV3_Icon_WP_&quot;&amp;&amp;&quot;_01.png" xr:uid="{66AEBADC-3C59-4E1B-A580-316E40E29CD5}"/>
    <hyperlink ref="D499" r:id="rId174" display="https://natalie.tf/wp-content/uploads/2023/10/DLV3_Icon_WP_&quot;&amp;&amp;&quot;_01.png" xr:uid="{7DA3AA43-E3CE-41E9-AD22-66D9EE288868}"/>
    <hyperlink ref="D502" r:id="rId175" display="https://natalie.tf/wp-content/uploads/2023/10/DLV3_Icon_WP_&quot;&amp;&amp;&quot;_01.png" xr:uid="{D8961700-67E1-4A1F-B8BB-DE4648FE595C}"/>
    <hyperlink ref="D505" r:id="rId176" display="https://natalie.tf/wp-content/uploads/2023/10/DLV3_Icon_WP_&quot;&amp;&amp;&quot;_01.png" xr:uid="{3C17E647-2F87-421D-A24F-C6AC57D3B48E}"/>
    <hyperlink ref="D511" r:id="rId177" display="https://natalie.tf/wp-content/uploads/2023/10/DLV3_Icon_WP_&quot;&amp;&amp;&quot;_01.png" xr:uid="{3E85342D-DFB3-4B17-9BC9-E9194415AA0D}"/>
    <hyperlink ref="D514" r:id="rId178" display="https://natalie.tf/wp-content/uploads/2023/10/DLV3_Icon_WP_&quot;&amp;&amp;&quot;_01.png" xr:uid="{088FD8FA-8B36-4DA6-81E2-8F8179BACBAF}"/>
    <hyperlink ref="D1018" r:id="rId179" display="https://natalie.tf/wp-content/uploads/2023/10/DLV3_Icon_WP_&quot;&amp;&amp;&quot;_01.png" xr:uid="{2D1B76C7-FFD5-41A7-9AD1-D46348DCB6BC}"/>
    <hyperlink ref="D1015" r:id="rId180" display="https://natalie.tf/wp-content/uploads/2023/10/DLV3_Icon_WP_&quot;&amp;&amp;&quot;_01.png" xr:uid="{056B455B-C6ED-454C-BF17-012F5C52344E}"/>
    <hyperlink ref="D1012" r:id="rId181" display="https://natalie.tf/wp-content/uploads/2023/10/DLV3_Icon_WP_&quot;&amp;&amp;&quot;_01.png" xr:uid="{E9C240DA-BB3A-4273-B34B-D13278CF92F2}"/>
    <hyperlink ref="D1009" r:id="rId182" display="https://natalie.tf/wp-content/uploads/2023/10/DLV3_Icon_WP_&quot;&amp;&amp;&quot;_01.png" xr:uid="{1FF7F545-4432-4093-BA1B-C9D1A9C1CEE5}"/>
    <hyperlink ref="D1006" r:id="rId183" display="https://natalie.tf/wp-content/uploads/2023/10/DLV3_Icon_WP_&quot;&amp;&amp;&quot;_01.png" xr:uid="{AB034E18-1524-47C3-A815-EAB9D9000230}"/>
    <hyperlink ref="D508" r:id="rId184" display="https://natalie.tf/wp-content/uploads/2023/10/DLV3_Icon_WP_&quot;&amp;&amp;&quot;_01.png" xr:uid="{59049D03-47E2-4788-932B-B35E669FC98E}"/>
    <hyperlink ref="D463" r:id="rId185" display="https://natalie.tf/wp-content/uploads/2023/10/DLV3_Icon_WP_&quot;&amp;&amp;&quot;_01.png" xr:uid="{CA74EFF2-B5EC-4AA4-AA5A-80ECDCFEAD48}"/>
    <hyperlink ref="D358" r:id="rId186" display="https://natalie.tf/wp-content/uploads/2023/10/DLV3_Icon_WP_&quot;&amp;&amp;&quot;_01.png" xr:uid="{1E8AC11F-1948-47C8-901B-891285158BF1}"/>
    <hyperlink ref="D346" r:id="rId187" display="https://natalie.tf/wp-content/uploads/2023/10/DLV3_Icon_WP_&quot;&amp;&amp;&quot;_01.png" xr:uid="{5190B87C-3E7C-4576-8942-25A4CEEA7551}"/>
  </hyperlinks>
  <printOptions horizontalCentered="1" verticalCentered="1"/>
  <pageMargins left="0" right="0" top="0" bottom="0" header="0" footer="0"/>
  <pageSetup scale="80" fitToHeight="0" orientation="landscape" r:id="rId188"/>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D444D2-ED4A-4103-A10A-0422496C0EEF}">
  <sheetPr>
    <outlinePr summaryBelow="0" summaryRight="0"/>
    <pageSetUpPr fitToPage="1"/>
  </sheetPr>
  <dimension ref="A1:AD998"/>
  <sheetViews>
    <sheetView workbookViewId="0">
      <selection sqref="A1:C1"/>
    </sheetView>
  </sheetViews>
  <sheetFormatPr defaultColWidth="12.625" defaultRowHeight="14.25" outlineLevelCol="1" x14ac:dyDescent="0.2"/>
  <cols>
    <col min="1" max="1" width="6.875" bestFit="1" customWidth="1" collapsed="1"/>
    <col min="2" max="2" width="8.625" bestFit="1" customWidth="1"/>
    <col min="3" max="3" width="38.125" bestFit="1" customWidth="1" collapsed="1"/>
    <col min="4" max="4" width="9.625" hidden="1" customWidth="1" outlineLevel="1"/>
    <col min="5" max="5" width="2.625" customWidth="1"/>
    <col min="6" max="6" width="3.125" customWidth="1"/>
    <col min="7" max="7" width="3.75" customWidth="1"/>
    <col min="8" max="8" width="7.375" customWidth="1" collapsed="1"/>
    <col min="9" max="9" width="9.75" hidden="1" customWidth="1" outlineLevel="1"/>
    <col min="10" max="10" width="23.625" hidden="1" customWidth="1" outlineLevel="1"/>
    <col min="11" max="11" width="4.5" hidden="1" customWidth="1" outlineLevel="1"/>
    <col min="12" max="12" width="5.5" hidden="1" customWidth="1" outlineLevel="1"/>
    <col min="13" max="13" width="31.25" bestFit="1" customWidth="1"/>
    <col min="14" max="14" width="2.625" bestFit="1" customWidth="1"/>
    <col min="15" max="15" width="3.875" bestFit="1" customWidth="1"/>
    <col min="16" max="16" width="3.75" bestFit="1" customWidth="1"/>
    <col min="17" max="17" width="7.375" bestFit="1" customWidth="1" collapsed="1"/>
    <col min="18" max="18" width="9.75" hidden="1" customWidth="1" outlineLevel="1"/>
    <col min="19" max="19" width="23.625" hidden="1" customWidth="1" outlineLevel="1"/>
    <col min="20" max="21" width="5.5" hidden="1" customWidth="1" outlineLevel="1"/>
    <col min="22" max="22" width="31.25" bestFit="1" customWidth="1"/>
    <col min="23" max="23" width="60.125" bestFit="1" customWidth="1" collapsed="1"/>
    <col min="24" max="24" width="7.5" hidden="1" customWidth="1"/>
    <col min="25" max="25" width="35.75" hidden="1" customWidth="1"/>
    <col min="26" max="26" width="9.5" hidden="1" customWidth="1"/>
    <col min="27" max="27" width="8.125" hidden="1" customWidth="1"/>
    <col min="28" max="28" width="2.125" customWidth="1"/>
    <col min="29" max="29" width="6.125" customWidth="1"/>
  </cols>
  <sheetData>
    <row r="1" spans="1:30" s="184" customFormat="1" ht="15.75" x14ac:dyDescent="0.25">
      <c r="A1" s="744" t="s">
        <v>13828</v>
      </c>
      <c r="B1" s="745"/>
      <c r="C1" s="746"/>
      <c r="D1" s="76"/>
      <c r="E1" s="744" t="s">
        <v>13829</v>
      </c>
      <c r="F1" s="745"/>
      <c r="G1" s="745"/>
      <c r="H1" s="745"/>
      <c r="I1" s="745"/>
      <c r="J1" s="745"/>
      <c r="K1" s="745"/>
      <c r="L1" s="745"/>
      <c r="M1" s="746"/>
      <c r="N1" s="744" t="s">
        <v>13830</v>
      </c>
      <c r="O1" s="745"/>
      <c r="P1" s="745"/>
      <c r="Q1" s="745"/>
      <c r="R1" s="745"/>
      <c r="S1" s="745"/>
      <c r="T1" s="745"/>
      <c r="U1" s="745"/>
      <c r="V1" s="746"/>
      <c r="W1" s="189"/>
      <c r="Y1" s="185"/>
      <c r="AB1" s="185"/>
      <c r="AC1" s="185"/>
      <c r="AD1" s="185"/>
    </row>
    <row r="2" spans="1:30" s="184" customFormat="1" ht="15.75" x14ac:dyDescent="0.25">
      <c r="A2" s="67" t="s">
        <v>87</v>
      </c>
      <c r="B2" s="195" t="s">
        <v>88</v>
      </c>
      <c r="C2" s="95" t="s">
        <v>89</v>
      </c>
      <c r="D2" s="95" t="s">
        <v>13831</v>
      </c>
      <c r="E2" s="95" t="s">
        <v>10764</v>
      </c>
      <c r="F2" s="67" t="s">
        <v>96</v>
      </c>
      <c r="G2" s="67" t="s">
        <v>97</v>
      </c>
      <c r="H2" s="67" t="s">
        <v>13825</v>
      </c>
      <c r="I2" s="67" t="s">
        <v>13832</v>
      </c>
      <c r="J2" s="67" t="s">
        <v>13833</v>
      </c>
      <c r="K2" s="196" t="s">
        <v>13834</v>
      </c>
      <c r="L2" s="197" t="s">
        <v>13834</v>
      </c>
      <c r="M2" s="198" t="s">
        <v>10544</v>
      </c>
      <c r="N2" s="67" t="s">
        <v>10764</v>
      </c>
      <c r="O2" s="67" t="s">
        <v>96</v>
      </c>
      <c r="P2" s="67" t="s">
        <v>97</v>
      </c>
      <c r="Q2" s="67" t="s">
        <v>13825</v>
      </c>
      <c r="R2" s="67" t="s">
        <v>13832</v>
      </c>
      <c r="S2" s="67" t="s">
        <v>13835</v>
      </c>
      <c r="T2" s="197" t="s">
        <v>13834</v>
      </c>
      <c r="U2" s="199" t="s">
        <v>13834</v>
      </c>
      <c r="V2" s="67" t="s">
        <v>13836</v>
      </c>
      <c r="W2" s="195" t="s">
        <v>13826</v>
      </c>
      <c r="X2" s="186" t="s">
        <v>13837</v>
      </c>
      <c r="Y2" s="187" t="s">
        <v>13838</v>
      </c>
      <c r="Z2" s="186" t="s">
        <v>13837</v>
      </c>
      <c r="AA2" s="188" t="s">
        <v>13839</v>
      </c>
      <c r="AB2" s="185"/>
      <c r="AC2" s="185"/>
      <c r="AD2" s="185"/>
    </row>
    <row r="3" spans="1:30" x14ac:dyDescent="0.2">
      <c r="A3" s="849">
        <v>400177</v>
      </c>
      <c r="B3" s="850" t="s">
        <v>13840</v>
      </c>
      <c r="C3" s="850" t="s">
        <v>13841</v>
      </c>
      <c r="D3" s="851">
        <v>44267</v>
      </c>
      <c r="E3" s="308">
        <v>9</v>
      </c>
      <c r="F3" s="308">
        <v>44</v>
      </c>
      <c r="G3" s="308">
        <v>25</v>
      </c>
      <c r="H3" s="268" t="s">
        <v>13842</v>
      </c>
      <c r="I3" s="268"/>
      <c r="J3" s="268" t="s">
        <v>9612</v>
      </c>
      <c r="K3" s="852">
        <v>0.2</v>
      </c>
      <c r="L3" s="853" t="str">
        <f t="shared" ref="L3:L66" si="0">IF(K3="","",TEXT(K3,"0%"))</f>
        <v>20%</v>
      </c>
      <c r="M3" s="854" t="str">
        <f t="shared" ref="M3:M66" si="1">IF(I3="",J3,"("&amp;I3&amp;") "&amp;J3)&amp;IF(K3="",""," +"&amp;L3)</f>
        <v>Skill Damage +20%</v>
      </c>
      <c r="N3" s="308">
        <v>9</v>
      </c>
      <c r="O3" s="308">
        <v>100</v>
      </c>
      <c r="P3" s="308">
        <v>70</v>
      </c>
      <c r="Q3" s="268" t="s">
        <v>13842</v>
      </c>
      <c r="R3" s="268"/>
      <c r="S3" s="268" t="s">
        <v>9612</v>
      </c>
      <c r="T3" s="852">
        <v>0.2</v>
      </c>
      <c r="U3" s="853" t="str">
        <f t="shared" ref="U3:U66" si="2">IF(T3="","",TEXT(T3,"0%"))</f>
        <v>20%</v>
      </c>
      <c r="V3" s="854" t="str">
        <f t="shared" ref="V3:V66" si="3">IF(R3="",S3,"("&amp;R3&amp;") "&amp;S3)&amp;IF(T3="",""," +"&amp;U3)</f>
        <v>Skill Damage +20%</v>
      </c>
      <c r="W3" s="855" t="str">
        <f>+INDEX(Endvr!$A$2:$K$3001,MATCH(B3,Endvr!$G:$G,0),MATCH("Description",Endvr!$A$2:$K$2,0))&amp;" ("&amp;INDEX(Endvr!$A$2:$K$3001,MATCH(B3,Endvr!$G:$G,0),MATCH("Event Name",Endvr!$A$2:$K$2,0))&amp;")"</f>
        <v>Clear Lilith's Encroaching Shadow: Standard (Rise of the Sinister Dominion)</v>
      </c>
      <c r="X3" t="s">
        <v>13843</v>
      </c>
      <c r="Y3" t="s">
        <v>13844</v>
      </c>
      <c r="AA3" s="45"/>
      <c r="AC3" s="1"/>
      <c r="AD3" s="1"/>
    </row>
    <row r="4" spans="1:30" x14ac:dyDescent="0.2">
      <c r="A4" s="856">
        <v>400359</v>
      </c>
      <c r="B4" s="844" t="s">
        <v>13845</v>
      </c>
      <c r="C4" s="844" t="s">
        <v>13846</v>
      </c>
      <c r="D4" s="845">
        <v>44267</v>
      </c>
      <c r="E4" s="309">
        <v>9</v>
      </c>
      <c r="F4" s="309">
        <v>44</v>
      </c>
      <c r="G4" s="309">
        <v>25</v>
      </c>
      <c r="H4" s="261" t="s">
        <v>13847</v>
      </c>
      <c r="I4" s="261"/>
      <c r="J4" s="261" t="s">
        <v>9612</v>
      </c>
      <c r="K4" s="846">
        <v>0.2</v>
      </c>
      <c r="L4" s="847" t="str">
        <f t="shared" si="0"/>
        <v>20%</v>
      </c>
      <c r="M4" s="848" t="str">
        <f t="shared" si="1"/>
        <v>Skill Damage +20%</v>
      </c>
      <c r="N4" s="309">
        <v>9</v>
      </c>
      <c r="O4" s="309">
        <v>100</v>
      </c>
      <c r="P4" s="309">
        <v>70</v>
      </c>
      <c r="Q4" s="261" t="s">
        <v>13847</v>
      </c>
      <c r="R4" s="261"/>
      <c r="S4" s="261" t="s">
        <v>9612</v>
      </c>
      <c r="T4" s="846">
        <v>0.2</v>
      </c>
      <c r="U4" s="847" t="str">
        <f t="shared" si="2"/>
        <v>20%</v>
      </c>
      <c r="V4" s="848" t="str">
        <f t="shared" si="3"/>
        <v>Skill Damage +20%</v>
      </c>
      <c r="W4" s="857" t="str">
        <f>+INDEX(Endvr!$A$2:$K$3001,MATCH(B4,Endvr!$G:$G,0),MATCH("Description",Endvr!$A$2:$K$2,0))&amp;" ("&amp;INDEX(Endvr!$A$2:$K$3001,MATCH(B4,Endvr!$G:$G,0),MATCH("Event Name",Endvr!$A$2:$K$2,0))&amp;")"</f>
        <v>Clear Lilith's Encroaching Shadow: Expert (Rise of the Sinister Dominion)</v>
      </c>
      <c r="X4" t="s">
        <v>13843</v>
      </c>
      <c r="Y4" t="s">
        <v>13844</v>
      </c>
      <c r="AA4" s="45"/>
    </row>
    <row r="5" spans="1:30" x14ac:dyDescent="0.2">
      <c r="A5" s="856">
        <v>400236</v>
      </c>
      <c r="B5" s="844" t="s">
        <v>13848</v>
      </c>
      <c r="C5" s="844" t="s">
        <v>13849</v>
      </c>
      <c r="D5" s="845">
        <v>44267</v>
      </c>
      <c r="E5" s="309">
        <v>9</v>
      </c>
      <c r="F5" s="309">
        <v>44</v>
      </c>
      <c r="G5" s="309">
        <v>25</v>
      </c>
      <c r="H5" s="261" t="s">
        <v>123</v>
      </c>
      <c r="I5" s="261"/>
      <c r="J5" s="261" t="s">
        <v>7436</v>
      </c>
      <c r="K5" s="846"/>
      <c r="L5" s="847" t="str">
        <f t="shared" si="0"/>
        <v/>
      </c>
      <c r="M5" s="848" t="str">
        <f t="shared" si="1"/>
        <v>Forbidden Corrosion III</v>
      </c>
      <c r="N5" s="309">
        <v>9</v>
      </c>
      <c r="O5" s="309">
        <v>100</v>
      </c>
      <c r="P5" s="309">
        <v>70</v>
      </c>
      <c r="Q5" s="261" t="s">
        <v>123</v>
      </c>
      <c r="R5" s="261"/>
      <c r="S5" s="261" t="s">
        <v>7436</v>
      </c>
      <c r="T5" s="846"/>
      <c r="U5" s="847" t="str">
        <f t="shared" si="2"/>
        <v/>
      </c>
      <c r="V5" s="848" t="str">
        <f t="shared" si="3"/>
        <v>Forbidden Corrosion III</v>
      </c>
      <c r="W5" s="857" t="str">
        <f>+INDEX(Endvr!$A$2:$K$3001,MATCH(B5,Endvr!$G:$G,0),MATCH("Description",Endvr!$A$2:$K$2,0))&amp;" ("&amp;INDEX(Endvr!$A$2:$K$3001,MATCH(B5,Endvr!$G:$G,0),MATCH("Event Name",Endvr!$A$2:$K$2,0))&amp;")"</f>
        <v>Clear Lilith's Encroaching Shadow: Expert (Rise of the Sinister Dominion)</v>
      </c>
      <c r="X5" t="s">
        <v>13843</v>
      </c>
      <c r="Y5" t="s">
        <v>13844</v>
      </c>
      <c r="AA5" s="45"/>
    </row>
    <row r="6" spans="1:30" x14ac:dyDescent="0.2">
      <c r="A6" s="856">
        <v>400362</v>
      </c>
      <c r="B6" s="844" t="s">
        <v>13850</v>
      </c>
      <c r="C6" s="844" t="s">
        <v>13851</v>
      </c>
      <c r="D6" s="845">
        <v>44267</v>
      </c>
      <c r="E6" s="309">
        <v>9</v>
      </c>
      <c r="F6" s="309">
        <v>44</v>
      </c>
      <c r="G6" s="309">
        <v>25</v>
      </c>
      <c r="H6" s="261" t="s">
        <v>645</v>
      </c>
      <c r="I6" s="261"/>
      <c r="J6" s="261" t="s">
        <v>13852</v>
      </c>
      <c r="K6" s="846">
        <v>0.04</v>
      </c>
      <c r="L6" s="847" t="str">
        <f t="shared" si="0"/>
        <v>4%</v>
      </c>
      <c r="M6" s="848" t="str">
        <f t="shared" si="1"/>
        <v>Critical Rate +4%</v>
      </c>
      <c r="N6" s="309">
        <v>9</v>
      </c>
      <c r="O6" s="309">
        <v>100</v>
      </c>
      <c r="P6" s="309">
        <v>70</v>
      </c>
      <c r="Q6" s="261" t="s">
        <v>645</v>
      </c>
      <c r="R6" s="261"/>
      <c r="S6" s="261" t="s">
        <v>13852</v>
      </c>
      <c r="T6" s="846">
        <v>0.05</v>
      </c>
      <c r="U6" s="847" t="str">
        <f t="shared" si="2"/>
        <v>5%</v>
      </c>
      <c r="V6" s="848" t="str">
        <f t="shared" si="3"/>
        <v>Critical Rate +5%</v>
      </c>
      <c r="W6" s="857" t="str">
        <f>+INDEX(Endvr!$A$2:$K$3001,MATCH(B6,Endvr!$G:$G,0),MATCH("Description",Endvr!$A$2:$K$2,0))&amp;" ("&amp;INDEX(Endvr!$A$2:$K$3001,MATCH(B6,Endvr!$G:$G,0),MATCH("Event Name",Endvr!$A$2:$K$2,0))&amp;")"</f>
        <v>Clear Lilith's Encroaching Shadow: Master (Rise of the Sinister Dominion)</v>
      </c>
      <c r="X6" t="s">
        <v>13843</v>
      </c>
      <c r="Y6" t="s">
        <v>13844</v>
      </c>
      <c r="AA6" s="45"/>
    </row>
    <row r="7" spans="1:30" x14ac:dyDescent="0.2">
      <c r="A7" s="856">
        <v>400236</v>
      </c>
      <c r="B7" s="844" t="s">
        <v>13853</v>
      </c>
      <c r="C7" s="844" t="s">
        <v>13854</v>
      </c>
      <c r="D7" s="845">
        <v>44267</v>
      </c>
      <c r="E7" s="309">
        <v>9</v>
      </c>
      <c r="F7" s="309">
        <v>44</v>
      </c>
      <c r="G7" s="309">
        <v>25</v>
      </c>
      <c r="H7" s="261" t="s">
        <v>13855</v>
      </c>
      <c r="I7" s="261"/>
      <c r="J7" s="261" t="s">
        <v>7436</v>
      </c>
      <c r="K7" s="846"/>
      <c r="L7" s="847" t="str">
        <f t="shared" si="0"/>
        <v/>
      </c>
      <c r="M7" s="848" t="str">
        <f t="shared" si="1"/>
        <v>Forbidden Corrosion III</v>
      </c>
      <c r="N7" s="309">
        <v>9</v>
      </c>
      <c r="O7" s="309">
        <v>100</v>
      </c>
      <c r="P7" s="309">
        <v>70</v>
      </c>
      <c r="Q7" s="261" t="s">
        <v>13855</v>
      </c>
      <c r="R7" s="261"/>
      <c r="S7" s="261" t="s">
        <v>7436</v>
      </c>
      <c r="T7" s="846"/>
      <c r="U7" s="847" t="str">
        <f t="shared" si="2"/>
        <v/>
      </c>
      <c r="V7" s="848" t="str">
        <f t="shared" si="3"/>
        <v>Forbidden Corrosion III</v>
      </c>
      <c r="W7" s="857" t="str">
        <f>+INDEX(Endvr!$A$2:$K$3001,MATCH(B7,Endvr!$G:$G,0),MATCH("Description",Endvr!$A$2:$K$2,0))&amp;" ("&amp;INDEX(Endvr!$A$2:$K$3001,MATCH(B7,Endvr!$G:$G,0),MATCH("Event Name",Endvr!$A$2:$K$2,0))&amp;")"</f>
        <v>Clear Lilith's Encroaching Shadow: Master (Rise of the Sinister Dominion)</v>
      </c>
      <c r="X7" t="s">
        <v>13843</v>
      </c>
      <c r="Y7" t="s">
        <v>13844</v>
      </c>
      <c r="AA7" s="45"/>
    </row>
    <row r="8" spans="1:30" x14ac:dyDescent="0.2">
      <c r="A8" s="856">
        <v>400362</v>
      </c>
      <c r="B8" s="844" t="s">
        <v>13856</v>
      </c>
      <c r="C8" s="844" t="s">
        <v>13857</v>
      </c>
      <c r="D8" s="845">
        <v>44267</v>
      </c>
      <c r="E8" s="309">
        <v>9</v>
      </c>
      <c r="F8" s="309">
        <v>44</v>
      </c>
      <c r="G8" s="309">
        <v>25</v>
      </c>
      <c r="H8" s="261" t="s">
        <v>759</v>
      </c>
      <c r="I8" s="261"/>
      <c r="J8" s="261" t="s">
        <v>8223</v>
      </c>
      <c r="K8" s="846"/>
      <c r="L8" s="847" t="str">
        <f t="shared" si="0"/>
        <v/>
      </c>
      <c r="M8" s="848" t="str">
        <f t="shared" si="1"/>
        <v>Sword's Psalm III</v>
      </c>
      <c r="N8" s="309">
        <v>9</v>
      </c>
      <c r="O8" s="309">
        <v>100</v>
      </c>
      <c r="P8" s="309">
        <v>70</v>
      </c>
      <c r="Q8" s="261" t="s">
        <v>759</v>
      </c>
      <c r="R8" s="261"/>
      <c r="S8" s="261" t="s">
        <v>8223</v>
      </c>
      <c r="T8" s="846"/>
      <c r="U8" s="847" t="str">
        <f t="shared" si="2"/>
        <v/>
      </c>
      <c r="V8" s="848" t="str">
        <f t="shared" si="3"/>
        <v>Sword's Psalm III</v>
      </c>
      <c r="W8" s="857" t="str">
        <f>+INDEX(Endvr!$A$2:$K$3001,MATCH(B8,Endvr!$G:$G,0),MATCH("Description",Endvr!$A$2:$K$2,0))&amp;" ("&amp;INDEX(Endvr!$A$2:$K$3001,MATCH(B8,Endvr!$G:$G,0),MATCH("Event Name",Endvr!$A$2:$K$2,0))&amp;")"</f>
        <v>Clear Jaldabaoth's Piercing Gale: Legend (Rise of the Sinister Dominion)</v>
      </c>
      <c r="X8" t="s">
        <v>13843</v>
      </c>
      <c r="Y8" t="s">
        <v>13844</v>
      </c>
      <c r="AA8" s="98"/>
    </row>
    <row r="9" spans="1:30" x14ac:dyDescent="0.2">
      <c r="A9" s="856">
        <v>400178</v>
      </c>
      <c r="B9" s="844" t="s">
        <v>13858</v>
      </c>
      <c r="C9" s="844" t="s">
        <v>13859</v>
      </c>
      <c r="D9" s="845">
        <v>44316</v>
      </c>
      <c r="E9" s="309">
        <v>9</v>
      </c>
      <c r="F9" s="309">
        <v>44</v>
      </c>
      <c r="G9" s="309">
        <v>25</v>
      </c>
      <c r="H9" s="261" t="s">
        <v>543</v>
      </c>
      <c r="I9" s="261"/>
      <c r="J9" s="261" t="s">
        <v>9612</v>
      </c>
      <c r="K9" s="846">
        <v>0.2</v>
      </c>
      <c r="L9" s="847" t="str">
        <f t="shared" si="0"/>
        <v>20%</v>
      </c>
      <c r="M9" s="848" t="str">
        <f t="shared" si="1"/>
        <v>Skill Damage +20%</v>
      </c>
      <c r="N9" s="309">
        <v>9</v>
      </c>
      <c r="O9" s="309">
        <v>100</v>
      </c>
      <c r="P9" s="309">
        <v>70</v>
      </c>
      <c r="Q9" s="261" t="s">
        <v>543</v>
      </c>
      <c r="R9" s="261"/>
      <c r="S9" s="261" t="s">
        <v>9612</v>
      </c>
      <c r="T9" s="846">
        <v>0.2</v>
      </c>
      <c r="U9" s="847" t="str">
        <f t="shared" si="2"/>
        <v>20%</v>
      </c>
      <c r="V9" s="848" t="str">
        <f t="shared" si="3"/>
        <v>Skill Damage +20%</v>
      </c>
      <c r="W9" s="857" t="str">
        <f>+INDEX(Endvr!$A$2:$K$3001,MATCH(B9,Endvr!$G:$G,0),MATCH("Description",Endvr!$A$2:$K$2,0))&amp;" ("&amp;INDEX(Endvr!$A$2:$K$3001,MATCH(B9,Endvr!$G:$G,0),MATCH("Event Name",Endvr!$A$2:$K$2,0))&amp;")"</f>
        <v>Clear Jaldabaoth's Piercing Gale: Standard (Rise of the Sinister Dominion)</v>
      </c>
      <c r="X9" t="s">
        <v>13843</v>
      </c>
      <c r="Y9" t="s">
        <v>13844</v>
      </c>
      <c r="AA9" s="45"/>
    </row>
    <row r="10" spans="1:30" x14ac:dyDescent="0.2">
      <c r="A10" s="856">
        <v>400258</v>
      </c>
      <c r="B10" s="844" t="s">
        <v>13860</v>
      </c>
      <c r="C10" s="844" t="s">
        <v>13861</v>
      </c>
      <c r="D10" s="845">
        <v>44316</v>
      </c>
      <c r="E10" s="309">
        <v>9</v>
      </c>
      <c r="F10" s="309">
        <v>44</v>
      </c>
      <c r="G10" s="309">
        <v>25</v>
      </c>
      <c r="H10" s="261" t="s">
        <v>13862</v>
      </c>
      <c r="I10" s="261"/>
      <c r="J10" s="261" t="s">
        <v>13863</v>
      </c>
      <c r="K10" s="846">
        <v>0.04</v>
      </c>
      <c r="L10" s="847" t="str">
        <f t="shared" si="0"/>
        <v>4%</v>
      </c>
      <c r="M10" s="848" t="str">
        <f t="shared" si="1"/>
        <v>Skill Haste +4%</v>
      </c>
      <c r="N10" s="309">
        <v>9</v>
      </c>
      <c r="O10" s="309">
        <v>100</v>
      </c>
      <c r="P10" s="309">
        <v>70</v>
      </c>
      <c r="Q10" s="261" t="s">
        <v>13862</v>
      </c>
      <c r="R10" s="261"/>
      <c r="S10" s="261" t="s">
        <v>13863</v>
      </c>
      <c r="T10" s="846">
        <v>0.05</v>
      </c>
      <c r="U10" s="847" t="str">
        <f t="shared" si="2"/>
        <v>5%</v>
      </c>
      <c r="V10" s="848" t="str">
        <f t="shared" si="3"/>
        <v>Skill Haste +5%</v>
      </c>
      <c r="W10" s="857" t="str">
        <f>+INDEX(Endvr!$A$2:$K$3001,MATCH(B10,Endvr!$G:$G,0),MATCH("Description",Endvr!$A$2:$K$2,0))&amp;" ("&amp;INDEX(Endvr!$A$2:$K$3001,MATCH(B10,Endvr!$G:$G,0),MATCH("Event Name",Endvr!$A$2:$K$2,0))&amp;")"</f>
        <v>Clear Jaldabaoth's Piercing Gale: Expert (Rise of the Sinister Dominion)</v>
      </c>
      <c r="X10" t="s">
        <v>13843</v>
      </c>
      <c r="Y10" t="s">
        <v>13844</v>
      </c>
      <c r="AA10" s="98"/>
    </row>
    <row r="11" spans="1:30" x14ac:dyDescent="0.2">
      <c r="A11" s="856">
        <v>400325</v>
      </c>
      <c r="B11" s="844" t="s">
        <v>13864</v>
      </c>
      <c r="C11" s="844" t="s">
        <v>13865</v>
      </c>
      <c r="D11" s="845">
        <v>44316</v>
      </c>
      <c r="E11" s="309">
        <v>9</v>
      </c>
      <c r="F11" s="309">
        <v>44</v>
      </c>
      <c r="G11" s="309">
        <v>25</v>
      </c>
      <c r="H11" s="261" t="s">
        <v>13847</v>
      </c>
      <c r="I11" s="261"/>
      <c r="J11" s="261" t="s">
        <v>7248</v>
      </c>
      <c r="K11" s="846"/>
      <c r="L11" s="847" t="str">
        <f t="shared" si="0"/>
        <v/>
      </c>
      <c r="M11" s="848" t="str">
        <f t="shared" si="1"/>
        <v>Draconic Resurrection III</v>
      </c>
      <c r="N11" s="309">
        <v>9</v>
      </c>
      <c r="O11" s="309">
        <v>100</v>
      </c>
      <c r="P11" s="309">
        <v>70</v>
      </c>
      <c r="Q11" s="261" t="s">
        <v>543</v>
      </c>
      <c r="R11" s="261"/>
      <c r="S11" s="261" t="s">
        <v>7248</v>
      </c>
      <c r="T11" s="846"/>
      <c r="U11" s="847" t="str">
        <f t="shared" si="2"/>
        <v/>
      </c>
      <c r="V11" s="848" t="str">
        <f t="shared" si="3"/>
        <v>Draconic Resurrection III</v>
      </c>
      <c r="W11" s="857" t="str">
        <f>+INDEX(Endvr!$A$2:$K$3001,MATCH(B11,Endvr!$G:$G,0),MATCH("Description",Endvr!$A$2:$K$2,0))&amp;" ("&amp;INDEX(Endvr!$A$2:$K$3001,MATCH(B11,Endvr!$G:$G,0),MATCH("Event Name",Endvr!$A$2:$K$2,0))&amp;")"</f>
        <v>Clear Jaldabaoth's Piercing Gale: Expert (Rise of the Sinister Dominion)</v>
      </c>
      <c r="X11" t="s">
        <v>13843</v>
      </c>
      <c r="Y11" t="s">
        <v>13844</v>
      </c>
      <c r="AA11" s="45"/>
    </row>
    <row r="12" spans="1:30" x14ac:dyDescent="0.2">
      <c r="A12" s="856">
        <v>400214</v>
      </c>
      <c r="B12" s="844" t="s">
        <v>13866</v>
      </c>
      <c r="C12" s="844" t="s">
        <v>13867</v>
      </c>
      <c r="D12" s="845">
        <v>44316</v>
      </c>
      <c r="E12" s="309">
        <v>9</v>
      </c>
      <c r="F12" s="309">
        <v>44</v>
      </c>
      <c r="G12" s="309">
        <v>25</v>
      </c>
      <c r="H12" s="261" t="s">
        <v>759</v>
      </c>
      <c r="I12" s="261"/>
      <c r="J12" s="261" t="s">
        <v>13868</v>
      </c>
      <c r="K12" s="846">
        <v>0.1</v>
      </c>
      <c r="L12" s="847" t="str">
        <f t="shared" si="0"/>
        <v>10%</v>
      </c>
      <c r="M12" s="848" t="str">
        <f t="shared" si="1"/>
        <v>Stormlashed Punisher +10%</v>
      </c>
      <c r="N12" s="309">
        <v>9</v>
      </c>
      <c r="O12" s="309">
        <v>100</v>
      </c>
      <c r="P12" s="309">
        <v>70</v>
      </c>
      <c r="Q12" s="261" t="s">
        <v>759</v>
      </c>
      <c r="R12" s="261"/>
      <c r="S12" s="261" t="s">
        <v>13863</v>
      </c>
      <c r="T12" s="846">
        <v>0.05</v>
      </c>
      <c r="U12" s="847" t="str">
        <f t="shared" si="2"/>
        <v>5%</v>
      </c>
      <c r="V12" s="848" t="str">
        <f t="shared" si="3"/>
        <v>Skill Haste +5%</v>
      </c>
      <c r="W12" s="857" t="str">
        <f>+INDEX(Endvr!$A$2:$K$3001,MATCH(B12,Endvr!$G:$G,0),MATCH("Description",Endvr!$A$2:$K$2,0))&amp;" ("&amp;INDEX(Endvr!$A$2:$K$3001,MATCH(B12,Endvr!$G:$G,0),MATCH("Event Name",Endvr!$A$2:$K$2,0))&amp;")"</f>
        <v>Clear Jaldabaoth's Piercing Gale: Master (Rise of the Sinister Dominion)</v>
      </c>
      <c r="X12" t="s">
        <v>13843</v>
      </c>
      <c r="Y12" t="s">
        <v>13844</v>
      </c>
      <c r="AA12" s="45"/>
    </row>
    <row r="13" spans="1:30" x14ac:dyDescent="0.2">
      <c r="A13" s="856">
        <v>400325</v>
      </c>
      <c r="B13" s="844" t="s">
        <v>13869</v>
      </c>
      <c r="C13" s="844" t="s">
        <v>13870</v>
      </c>
      <c r="D13" s="845">
        <v>44316</v>
      </c>
      <c r="E13" s="309">
        <v>9</v>
      </c>
      <c r="F13" s="309">
        <v>44</v>
      </c>
      <c r="G13" s="309">
        <v>25</v>
      </c>
      <c r="H13" s="261" t="s">
        <v>949</v>
      </c>
      <c r="I13" s="261"/>
      <c r="J13" s="261" t="s">
        <v>7248</v>
      </c>
      <c r="K13" s="846"/>
      <c r="L13" s="847" t="str">
        <f t="shared" si="0"/>
        <v/>
      </c>
      <c r="M13" s="848" t="str">
        <f t="shared" si="1"/>
        <v>Draconic Resurrection III</v>
      </c>
      <c r="N13" s="309">
        <v>9</v>
      </c>
      <c r="O13" s="309">
        <v>100</v>
      </c>
      <c r="P13" s="309">
        <v>70</v>
      </c>
      <c r="Q13" s="261" t="s">
        <v>949</v>
      </c>
      <c r="R13" s="261"/>
      <c r="S13" s="261" t="s">
        <v>7248</v>
      </c>
      <c r="T13" s="846"/>
      <c r="U13" s="847" t="str">
        <f t="shared" si="2"/>
        <v/>
      </c>
      <c r="V13" s="848" t="str">
        <f t="shared" si="3"/>
        <v>Draconic Resurrection III</v>
      </c>
      <c r="W13" s="857" t="str">
        <f>+INDEX(Endvr!$A$2:$K$3001,MATCH(B13,Endvr!$G:$G,0),MATCH("Description",Endvr!$A$2:$K$2,0))&amp;" ("&amp;INDEX(Endvr!$A$2:$K$3001,MATCH(B13,Endvr!$G:$G,0),MATCH("Event Name",Endvr!$A$2:$K$2,0))&amp;")"</f>
        <v>Clear Jaldabaoth's Piercing Gale: Master (Rise of the Sinister Dominion)</v>
      </c>
      <c r="X13" t="s">
        <v>13843</v>
      </c>
      <c r="Y13" t="s">
        <v>13844</v>
      </c>
      <c r="AA13" s="98"/>
    </row>
    <row r="14" spans="1:30" x14ac:dyDescent="0.2">
      <c r="A14" s="856">
        <v>400214</v>
      </c>
      <c r="B14" s="844" t="s">
        <v>13871</v>
      </c>
      <c r="C14" s="844" t="s">
        <v>13872</v>
      </c>
      <c r="D14" s="845">
        <v>44316</v>
      </c>
      <c r="E14" s="309">
        <v>9</v>
      </c>
      <c r="F14" s="309">
        <v>44</v>
      </c>
      <c r="G14" s="309">
        <v>25</v>
      </c>
      <c r="H14" s="261" t="s">
        <v>645</v>
      </c>
      <c r="I14" s="261"/>
      <c r="J14" s="261" t="s">
        <v>8223</v>
      </c>
      <c r="K14" s="846"/>
      <c r="L14" s="847" t="str">
        <f t="shared" si="0"/>
        <v/>
      </c>
      <c r="M14" s="848" t="str">
        <f t="shared" si="1"/>
        <v>Sword's Psalm III</v>
      </c>
      <c r="N14" s="309">
        <v>9</v>
      </c>
      <c r="O14" s="309">
        <v>100</v>
      </c>
      <c r="P14" s="309">
        <v>70</v>
      </c>
      <c r="Q14" s="261" t="s">
        <v>645</v>
      </c>
      <c r="R14" s="261"/>
      <c r="S14" s="261" t="s">
        <v>8223</v>
      </c>
      <c r="T14" s="846"/>
      <c r="U14" s="847" t="str">
        <f t="shared" si="2"/>
        <v/>
      </c>
      <c r="V14" s="848" t="str">
        <f t="shared" si="3"/>
        <v>Sword's Psalm III</v>
      </c>
      <c r="W14" s="857" t="str">
        <f>+INDEX(Endvr!$A$2:$K$3001,MATCH(B14,Endvr!$G:$G,0),MATCH("Description",Endvr!$A$2:$K$2,0))&amp;" ("&amp;INDEX(Endvr!$A$2:$K$3001,MATCH(B14,Endvr!$G:$G,0),MATCH("Event Name",Endvr!$A$2:$K$2,0))&amp;")"</f>
        <v>Clear Iblis's Surging Cascade: Standard (Rise of the Sinister Dominion)</v>
      </c>
      <c r="X14" t="s">
        <v>13843</v>
      </c>
      <c r="Y14" t="s">
        <v>13844</v>
      </c>
      <c r="AA14" s="45"/>
    </row>
    <row r="15" spans="1:30" x14ac:dyDescent="0.2">
      <c r="A15" s="856">
        <v>400179</v>
      </c>
      <c r="B15" s="844" t="s">
        <v>13873</v>
      </c>
      <c r="C15" s="844" t="s">
        <v>13874</v>
      </c>
      <c r="D15" s="845">
        <v>44379</v>
      </c>
      <c r="E15" s="309">
        <v>9</v>
      </c>
      <c r="F15" s="309">
        <v>44</v>
      </c>
      <c r="G15" s="309">
        <v>25</v>
      </c>
      <c r="H15" s="261" t="s">
        <v>13862</v>
      </c>
      <c r="I15" s="261"/>
      <c r="J15" s="261" t="s">
        <v>9612</v>
      </c>
      <c r="K15" s="846">
        <v>0.2</v>
      </c>
      <c r="L15" s="847" t="str">
        <f t="shared" si="0"/>
        <v>20%</v>
      </c>
      <c r="M15" s="848" t="str">
        <f t="shared" si="1"/>
        <v>Skill Damage +20%</v>
      </c>
      <c r="N15" s="309">
        <v>9</v>
      </c>
      <c r="O15" s="309">
        <v>100</v>
      </c>
      <c r="P15" s="309">
        <v>70</v>
      </c>
      <c r="Q15" s="261" t="s">
        <v>13862</v>
      </c>
      <c r="R15" s="261"/>
      <c r="S15" s="261" t="s">
        <v>9612</v>
      </c>
      <c r="T15" s="846">
        <v>0.2</v>
      </c>
      <c r="U15" s="847" t="str">
        <f t="shared" si="2"/>
        <v>20%</v>
      </c>
      <c r="V15" s="848" t="str">
        <f t="shared" si="3"/>
        <v>Skill Damage +20%</v>
      </c>
      <c r="W15" s="857" t="str">
        <f>+INDEX(Endvr!$A$2:$K$3001,MATCH(B15,Endvr!$G:$G,0),MATCH("Description",Endvr!$A$2:$K$2,0))&amp;" ("&amp;INDEX(Endvr!$A$2:$K$3001,MATCH(B15,Endvr!$G:$G,0),MATCH("Event Name",Endvr!$A$2:$K$2,0))&amp;")"</f>
        <v>Clear Asura's Blinding Light: Standard (Rise of the Sinister Dominion)</v>
      </c>
      <c r="X15" t="s">
        <v>13843</v>
      </c>
      <c r="Y15" t="s">
        <v>13844</v>
      </c>
      <c r="AA15" s="45"/>
    </row>
    <row r="16" spans="1:30" x14ac:dyDescent="0.2">
      <c r="A16" s="856">
        <v>400261</v>
      </c>
      <c r="B16" s="844" t="s">
        <v>13875</v>
      </c>
      <c r="C16" s="844" t="s">
        <v>13876</v>
      </c>
      <c r="D16" s="845">
        <v>44379</v>
      </c>
      <c r="E16" s="309">
        <v>9</v>
      </c>
      <c r="F16" s="309">
        <v>44</v>
      </c>
      <c r="G16" s="309">
        <v>25</v>
      </c>
      <c r="H16" s="261" t="s">
        <v>13877</v>
      </c>
      <c r="I16" s="261"/>
      <c r="J16" s="261" t="s">
        <v>13863</v>
      </c>
      <c r="K16" s="846">
        <v>0.04</v>
      </c>
      <c r="L16" s="847" t="str">
        <f t="shared" si="0"/>
        <v>4%</v>
      </c>
      <c r="M16" s="848" t="str">
        <f t="shared" si="1"/>
        <v>Skill Haste +4%</v>
      </c>
      <c r="N16" s="309">
        <v>9</v>
      </c>
      <c r="O16" s="309">
        <v>100</v>
      </c>
      <c r="P16" s="309">
        <v>70</v>
      </c>
      <c r="Q16" s="261" t="s">
        <v>13877</v>
      </c>
      <c r="R16" s="261"/>
      <c r="S16" s="261" t="s">
        <v>13863</v>
      </c>
      <c r="T16" s="846">
        <v>0.05</v>
      </c>
      <c r="U16" s="847" t="str">
        <f t="shared" si="2"/>
        <v>5%</v>
      </c>
      <c r="V16" s="848" t="str">
        <f t="shared" si="3"/>
        <v>Skill Haste +5%</v>
      </c>
      <c r="W16" s="857" t="str">
        <f>+INDEX(Endvr!$A$2:$K$3001,MATCH(B16,Endvr!$G:$G,0),MATCH("Description",Endvr!$A$2:$K$2,0))&amp;" ("&amp;INDEX(Endvr!$A$2:$K$3001,MATCH(B16,Endvr!$G:$G,0),MATCH("Event Name",Endvr!$A$2:$K$2,0))&amp;")"</f>
        <v>Clear Asura's Blinding Light: Expert (Rise of the Sinister Dominion)</v>
      </c>
      <c r="X16" t="s">
        <v>13843</v>
      </c>
      <c r="Y16" t="s">
        <v>13844</v>
      </c>
      <c r="AA16" s="45"/>
    </row>
    <row r="17" spans="1:27" x14ac:dyDescent="0.2">
      <c r="A17" s="856">
        <v>400301</v>
      </c>
      <c r="B17" s="844" t="s">
        <v>13878</v>
      </c>
      <c r="C17" s="844" t="s">
        <v>13879</v>
      </c>
      <c r="D17" s="845">
        <v>44379</v>
      </c>
      <c r="E17" s="309">
        <v>9</v>
      </c>
      <c r="F17" s="309">
        <v>44</v>
      </c>
      <c r="G17" s="309">
        <v>25</v>
      </c>
      <c r="H17" s="261" t="s">
        <v>543</v>
      </c>
      <c r="I17" s="261"/>
      <c r="J17" s="261" t="s">
        <v>7396</v>
      </c>
      <c r="K17" s="846"/>
      <c r="L17" s="847" t="str">
        <f t="shared" si="0"/>
        <v/>
      </c>
      <c r="M17" s="848" t="str">
        <f t="shared" si="1"/>
        <v>Flash of Desperation III</v>
      </c>
      <c r="N17" s="309">
        <v>9</v>
      </c>
      <c r="O17" s="309">
        <v>100</v>
      </c>
      <c r="P17" s="309">
        <v>70</v>
      </c>
      <c r="Q17" s="261" t="s">
        <v>543</v>
      </c>
      <c r="R17" s="261"/>
      <c r="S17" s="261" t="s">
        <v>7396</v>
      </c>
      <c r="T17" s="846"/>
      <c r="U17" s="847" t="str">
        <f t="shared" si="2"/>
        <v/>
      </c>
      <c r="V17" s="848" t="str">
        <f t="shared" si="3"/>
        <v>Flash of Desperation III</v>
      </c>
      <c r="W17" s="857" t="str">
        <f>+INDEX(Endvr!$A$2:$K$3001,MATCH(B17,Endvr!$G:$G,0),MATCH("Description",Endvr!$A$2:$K$2,0))&amp;" ("&amp;INDEX(Endvr!$A$2:$K$3001,MATCH(B17,Endvr!$G:$G,0),MATCH("Event Name",Endvr!$A$2:$K$2,0))&amp;")"</f>
        <v>Clear Asura's Blinding Light: Expert (Rise of the Sinister Dominion)</v>
      </c>
      <c r="X17" t="s">
        <v>13843</v>
      </c>
      <c r="Y17" t="s">
        <v>13844</v>
      </c>
      <c r="AA17" s="45"/>
    </row>
    <row r="18" spans="1:27" x14ac:dyDescent="0.2">
      <c r="A18" s="856">
        <v>400226</v>
      </c>
      <c r="B18" s="844" t="s">
        <v>13880</v>
      </c>
      <c r="C18" s="844" t="s">
        <v>13881</v>
      </c>
      <c r="D18" s="845">
        <v>44379</v>
      </c>
      <c r="E18" s="309">
        <v>9</v>
      </c>
      <c r="F18" s="309">
        <v>44</v>
      </c>
      <c r="G18" s="309">
        <v>25</v>
      </c>
      <c r="H18" s="261" t="s">
        <v>759</v>
      </c>
      <c r="I18" s="261"/>
      <c r="J18" s="261" t="s">
        <v>13882</v>
      </c>
      <c r="K18" s="846">
        <v>0.08</v>
      </c>
      <c r="L18" s="847" t="str">
        <f t="shared" si="0"/>
        <v>8%</v>
      </c>
      <c r="M18" s="848" t="str">
        <f t="shared" si="1"/>
        <v>Recovery Potency +8%</v>
      </c>
      <c r="N18" s="309">
        <v>9</v>
      </c>
      <c r="O18" s="309">
        <v>100</v>
      </c>
      <c r="P18" s="309">
        <v>70</v>
      </c>
      <c r="Q18" s="261" t="s">
        <v>759</v>
      </c>
      <c r="R18" s="261"/>
      <c r="S18" s="261" t="s">
        <v>13882</v>
      </c>
      <c r="T18" s="846">
        <v>0.1</v>
      </c>
      <c r="U18" s="847" t="str">
        <f t="shared" si="2"/>
        <v>10%</v>
      </c>
      <c r="V18" s="848" t="str">
        <f t="shared" si="3"/>
        <v>Recovery Potency +10%</v>
      </c>
      <c r="W18" s="857" t="str">
        <f>+INDEX(Endvr!$A$2:$K$3001,MATCH(B18,Endvr!$G:$G,0),MATCH("Description",Endvr!$A$2:$K$2,0))&amp;" ("&amp;INDEX(Endvr!$A$2:$K$3001,MATCH(B18,Endvr!$G:$G,0),MATCH("Event Name",Endvr!$A$2:$K$2,0))&amp;")"</f>
        <v>Clear Asura's Blinding Light: Master (Rise of the Sinister Dominion)</v>
      </c>
      <c r="X18" t="s">
        <v>13843</v>
      </c>
      <c r="Y18" t="s">
        <v>13844</v>
      </c>
      <c r="AA18" s="45"/>
    </row>
    <row r="19" spans="1:27" x14ac:dyDescent="0.2">
      <c r="A19" s="856">
        <v>400301</v>
      </c>
      <c r="B19" s="844" t="s">
        <v>13883</v>
      </c>
      <c r="C19" s="844" t="s">
        <v>13884</v>
      </c>
      <c r="D19" s="845">
        <v>44379</v>
      </c>
      <c r="E19" s="309">
        <v>9</v>
      </c>
      <c r="F19" s="309">
        <v>44</v>
      </c>
      <c r="G19" s="309">
        <v>25</v>
      </c>
      <c r="H19" s="261" t="s">
        <v>645</v>
      </c>
      <c r="I19" s="261"/>
      <c r="J19" s="261" t="s">
        <v>7396</v>
      </c>
      <c r="K19" s="846"/>
      <c r="L19" s="847" t="str">
        <f t="shared" si="0"/>
        <v/>
      </c>
      <c r="M19" s="848" t="str">
        <f t="shared" si="1"/>
        <v>Flash of Desperation III</v>
      </c>
      <c r="N19" s="309">
        <v>9</v>
      </c>
      <c r="O19" s="309">
        <v>100</v>
      </c>
      <c r="P19" s="309">
        <v>70</v>
      </c>
      <c r="Q19" s="261" t="s">
        <v>645</v>
      </c>
      <c r="R19" s="261"/>
      <c r="S19" s="261" t="s">
        <v>7396</v>
      </c>
      <c r="T19" s="846"/>
      <c r="U19" s="847" t="str">
        <f t="shared" si="2"/>
        <v/>
      </c>
      <c r="V19" s="848" t="str">
        <f t="shared" si="3"/>
        <v>Flash of Desperation III</v>
      </c>
      <c r="W19" s="857" t="str">
        <f>+INDEX(Endvr!$A$2:$K$3001,MATCH(B19,Endvr!$G:$G,0),MATCH("Description",Endvr!$A$2:$K$2,0))&amp;" ("&amp;INDEX(Endvr!$A$2:$K$3001,MATCH(B19,Endvr!$G:$G,0),MATCH("Event Name",Endvr!$A$2:$K$2,0))&amp;")"</f>
        <v>Clear Asura's Blinding Light: Master (Rise of the Sinister Dominion)</v>
      </c>
      <c r="X19" t="s">
        <v>13843</v>
      </c>
      <c r="Y19" t="s">
        <v>13844</v>
      </c>
      <c r="AA19" s="45"/>
    </row>
    <row r="20" spans="1:27" x14ac:dyDescent="0.2">
      <c r="A20" s="856">
        <v>400226</v>
      </c>
      <c r="B20" s="844" t="s">
        <v>13885</v>
      </c>
      <c r="C20" s="844" t="s">
        <v>13886</v>
      </c>
      <c r="D20" s="845">
        <v>44379</v>
      </c>
      <c r="E20" s="309">
        <v>9</v>
      </c>
      <c r="F20" s="309">
        <v>44</v>
      </c>
      <c r="G20" s="309">
        <v>25</v>
      </c>
      <c r="H20" s="261" t="s">
        <v>949</v>
      </c>
      <c r="I20" s="261"/>
      <c r="J20" s="261" t="s">
        <v>7082</v>
      </c>
      <c r="K20" s="846"/>
      <c r="L20" s="847" t="str">
        <f t="shared" si="0"/>
        <v/>
      </c>
      <c r="M20" s="848" t="str">
        <f t="shared" si="1"/>
        <v>Bow's Psalm III</v>
      </c>
      <c r="N20" s="309">
        <v>9</v>
      </c>
      <c r="O20" s="309">
        <v>100</v>
      </c>
      <c r="P20" s="309">
        <v>70</v>
      </c>
      <c r="Q20" s="261" t="s">
        <v>949</v>
      </c>
      <c r="R20" s="261"/>
      <c r="S20" s="261" t="s">
        <v>7082</v>
      </c>
      <c r="T20" s="846"/>
      <c r="U20" s="847" t="str">
        <f t="shared" si="2"/>
        <v/>
      </c>
      <c r="V20" s="848" t="str">
        <f t="shared" si="3"/>
        <v>Bow's Psalm III</v>
      </c>
      <c r="W20" s="857" t="str">
        <f>+INDEX(Endvr!$A$2:$K$3001,MATCH(B20,Endvr!$G:$G,0),MATCH("Description",Endvr!$A$2:$K$2,0))&amp;" ("&amp;INDEX(Endvr!$A$2:$K$3001,MATCH(B20,Endvr!$G:$G,0),MATCH("Event Name",Endvr!$A$2:$K$2,0))&amp;")"</f>
        <v>Clear Lilith's Encroaching Shadow: Standard (Rise of the Sinister Dominion)</v>
      </c>
      <c r="X20" t="s">
        <v>13843</v>
      </c>
      <c r="Y20" t="s">
        <v>13844</v>
      </c>
      <c r="AA20" s="98"/>
    </row>
    <row r="21" spans="1:27" x14ac:dyDescent="0.2">
      <c r="A21" s="856">
        <v>400180</v>
      </c>
      <c r="B21" s="844" t="s">
        <v>13887</v>
      </c>
      <c r="C21" s="844" t="s">
        <v>13888</v>
      </c>
      <c r="D21" s="845">
        <v>44442</v>
      </c>
      <c r="E21" s="309">
        <v>9</v>
      </c>
      <c r="F21" s="309">
        <v>44</v>
      </c>
      <c r="G21" s="309">
        <v>25</v>
      </c>
      <c r="H21" s="261" t="s">
        <v>13889</v>
      </c>
      <c r="I21" s="261"/>
      <c r="J21" s="261" t="s">
        <v>9612</v>
      </c>
      <c r="K21" s="846">
        <v>0.2</v>
      </c>
      <c r="L21" s="847" t="str">
        <f t="shared" si="0"/>
        <v>20%</v>
      </c>
      <c r="M21" s="848" t="str">
        <f t="shared" si="1"/>
        <v>Skill Damage +20%</v>
      </c>
      <c r="N21" s="309">
        <v>9</v>
      </c>
      <c r="O21" s="309">
        <v>100</v>
      </c>
      <c r="P21" s="309">
        <v>70</v>
      </c>
      <c r="Q21" s="261" t="s">
        <v>13889</v>
      </c>
      <c r="R21" s="261"/>
      <c r="S21" s="261" t="s">
        <v>9612</v>
      </c>
      <c r="T21" s="846">
        <v>0.2</v>
      </c>
      <c r="U21" s="847" t="str">
        <f t="shared" si="2"/>
        <v>20%</v>
      </c>
      <c r="V21" s="848" t="str">
        <f t="shared" si="3"/>
        <v>Skill Damage +20%</v>
      </c>
      <c r="W21" s="857" t="str">
        <f>+INDEX(Endvr!$A$2:$K$3001,MATCH(B21,Endvr!$G:$G,0),MATCH("Description",Endvr!$A$2:$K$2,0))&amp;" ("&amp;INDEX(Endvr!$A$2:$K$3001,MATCH(B21,Endvr!$G:$G,0),MATCH("Event Name",Endvr!$A$2:$K$2,0))&amp;")"</f>
        <v>Clear Iblis's Surging Cascade: Standard (Rise of the Sinister Dominion)</v>
      </c>
      <c r="X21" t="s">
        <v>13843</v>
      </c>
      <c r="Y21" t="s">
        <v>13844</v>
      </c>
      <c r="AA21" s="98"/>
    </row>
    <row r="22" spans="1:27" x14ac:dyDescent="0.2">
      <c r="A22" s="856">
        <v>400199</v>
      </c>
      <c r="B22" s="844" t="s">
        <v>13890</v>
      </c>
      <c r="C22" s="844" t="s">
        <v>13891</v>
      </c>
      <c r="D22" s="845">
        <v>44442</v>
      </c>
      <c r="E22" s="309">
        <v>9</v>
      </c>
      <c r="F22" s="309">
        <v>44</v>
      </c>
      <c r="G22" s="309">
        <v>25</v>
      </c>
      <c r="H22" s="261" t="s">
        <v>13892</v>
      </c>
      <c r="I22" s="261"/>
      <c r="J22" s="261" t="s">
        <v>13863</v>
      </c>
      <c r="K22" s="846">
        <v>0.04</v>
      </c>
      <c r="L22" s="847" t="str">
        <f t="shared" si="0"/>
        <v>4%</v>
      </c>
      <c r="M22" s="848" t="str">
        <f t="shared" si="1"/>
        <v>Skill Haste +4%</v>
      </c>
      <c r="N22" s="309">
        <v>9</v>
      </c>
      <c r="O22" s="309">
        <v>100</v>
      </c>
      <c r="P22" s="309">
        <v>70</v>
      </c>
      <c r="Q22" s="261" t="s">
        <v>13892</v>
      </c>
      <c r="R22" s="261"/>
      <c r="S22" s="261" t="s">
        <v>13863</v>
      </c>
      <c r="T22" s="846">
        <v>0.05</v>
      </c>
      <c r="U22" s="847" t="str">
        <f t="shared" si="2"/>
        <v>5%</v>
      </c>
      <c r="V22" s="848" t="str">
        <f t="shared" si="3"/>
        <v>Skill Haste +5%</v>
      </c>
      <c r="W22" s="857" t="str">
        <f>+INDEX(Endvr!$A$2:$K$3001,MATCH(B22,Endvr!$G:$G,0),MATCH("Description",Endvr!$A$2:$K$2,0))&amp;" ("&amp;INDEX(Endvr!$A$2:$K$3001,MATCH(B22,Endvr!$G:$G,0),MATCH("Event Name",Endvr!$A$2:$K$2,0))&amp;")"</f>
        <v>Clear Iblis's Surging Cascade: Expert (Rise of the Sinister Dominion)</v>
      </c>
      <c r="X22" t="s">
        <v>13843</v>
      </c>
      <c r="Y22" t="s">
        <v>13844</v>
      </c>
      <c r="AA22" s="45"/>
    </row>
    <row r="23" spans="1:27" x14ac:dyDescent="0.2">
      <c r="A23" s="856">
        <v>400247</v>
      </c>
      <c r="B23" s="844" t="s">
        <v>13893</v>
      </c>
      <c r="C23" s="844" t="s">
        <v>13894</v>
      </c>
      <c r="D23" s="845">
        <v>44442</v>
      </c>
      <c r="E23" s="309">
        <v>9</v>
      </c>
      <c r="F23" s="309">
        <v>44</v>
      </c>
      <c r="G23" s="309">
        <v>25</v>
      </c>
      <c r="H23" s="261" t="s">
        <v>13895</v>
      </c>
      <c r="I23" s="261"/>
      <c r="J23" s="261" t="s">
        <v>9612</v>
      </c>
      <c r="K23" s="846">
        <v>0.2</v>
      </c>
      <c r="L23" s="847" t="str">
        <f t="shared" si="0"/>
        <v>20%</v>
      </c>
      <c r="M23" s="848" t="str">
        <f t="shared" si="1"/>
        <v>Skill Damage +20%</v>
      </c>
      <c r="N23" s="309">
        <v>9</v>
      </c>
      <c r="O23" s="309">
        <v>100</v>
      </c>
      <c r="P23" s="309">
        <v>70</v>
      </c>
      <c r="Q23" s="261" t="s">
        <v>13895</v>
      </c>
      <c r="R23" s="261"/>
      <c r="S23" s="261" t="s">
        <v>9612</v>
      </c>
      <c r="T23" s="846">
        <v>0.2</v>
      </c>
      <c r="U23" s="847" t="str">
        <f t="shared" si="2"/>
        <v>20%</v>
      </c>
      <c r="V23" s="848" t="str">
        <f t="shared" si="3"/>
        <v>Skill Damage +20%</v>
      </c>
      <c r="W23" s="857" t="str">
        <f>+INDEX(Endvr!$A$2:$K$3001,MATCH(B23,Endvr!$G:$G,0),MATCH("Description",Endvr!$A$2:$K$2,0))&amp;" ("&amp;INDEX(Endvr!$A$2:$K$3001,MATCH(B23,Endvr!$G:$G,0),MATCH("Event Name",Endvr!$A$2:$K$2,0))&amp;")"</f>
        <v>Clear Iblis's Surging Cascade: Expert (Rise of the Sinister Dominion)</v>
      </c>
      <c r="X23" t="s">
        <v>13843</v>
      </c>
      <c r="Y23" t="s">
        <v>13844</v>
      </c>
      <c r="AA23" s="45"/>
    </row>
    <row r="24" spans="1:27" x14ac:dyDescent="0.2">
      <c r="A24" s="856">
        <v>400203</v>
      </c>
      <c r="B24" s="844" t="s">
        <v>13896</v>
      </c>
      <c r="C24" s="844" t="s">
        <v>13897</v>
      </c>
      <c r="D24" s="845">
        <v>44442</v>
      </c>
      <c r="E24" s="309">
        <v>9</v>
      </c>
      <c r="F24" s="309">
        <v>44</v>
      </c>
      <c r="G24" s="309">
        <v>25</v>
      </c>
      <c r="H24" s="261" t="s">
        <v>949</v>
      </c>
      <c r="I24" s="261"/>
      <c r="J24" s="261" t="s">
        <v>7668</v>
      </c>
      <c r="K24" s="846"/>
      <c r="L24" s="847" t="str">
        <f t="shared" si="0"/>
        <v/>
      </c>
      <c r="M24" s="848" t="str">
        <f t="shared" si="1"/>
        <v>Impregnable Fortress III</v>
      </c>
      <c r="N24" s="309">
        <v>9</v>
      </c>
      <c r="O24" s="309">
        <v>100</v>
      </c>
      <c r="P24" s="309">
        <v>70</v>
      </c>
      <c r="Q24" s="261" t="s">
        <v>949</v>
      </c>
      <c r="R24" s="261"/>
      <c r="S24" s="261" t="s">
        <v>7668</v>
      </c>
      <c r="T24" s="846"/>
      <c r="U24" s="847" t="str">
        <f t="shared" si="2"/>
        <v/>
      </c>
      <c r="V24" s="848" t="str">
        <f t="shared" si="3"/>
        <v>Impregnable Fortress III</v>
      </c>
      <c r="W24" s="857" t="str">
        <f>+INDEX(Endvr!$A$2:$K$3001,MATCH(B24,Endvr!$G:$G,0),MATCH("Description",Endvr!$A$2:$K$2,0))&amp;" ("&amp;INDEX(Endvr!$A$2:$K$3001,MATCH(B24,Endvr!$G:$G,0),MATCH("Event Name",Endvr!$A$2:$K$2,0))&amp;")"</f>
        <v>Clear Iblis's Surging Cascade: Master (Rise of the Sinister Dominion)</v>
      </c>
      <c r="X24" t="s">
        <v>13843</v>
      </c>
      <c r="Y24" t="s">
        <v>13844</v>
      </c>
      <c r="AA24" s="45"/>
    </row>
    <row r="25" spans="1:27" x14ac:dyDescent="0.2">
      <c r="A25" s="856">
        <v>400247</v>
      </c>
      <c r="B25" s="844" t="s">
        <v>13898</v>
      </c>
      <c r="C25" s="844" t="s">
        <v>13899</v>
      </c>
      <c r="D25" s="845">
        <v>44442</v>
      </c>
      <c r="E25" s="309">
        <v>9</v>
      </c>
      <c r="F25" s="309">
        <v>44</v>
      </c>
      <c r="G25" s="309">
        <v>25</v>
      </c>
      <c r="H25" s="261" t="s">
        <v>543</v>
      </c>
      <c r="I25" s="261"/>
      <c r="J25" s="261" t="s">
        <v>7687</v>
      </c>
      <c r="K25" s="846"/>
      <c r="L25" s="847" t="str">
        <f t="shared" si="0"/>
        <v/>
      </c>
      <c r="M25" s="848" t="str">
        <f t="shared" si="1"/>
        <v>Lance's Psalm III</v>
      </c>
      <c r="N25" s="309">
        <v>9</v>
      </c>
      <c r="O25" s="309">
        <v>100</v>
      </c>
      <c r="P25" s="309">
        <v>70</v>
      </c>
      <c r="Q25" s="261" t="s">
        <v>543</v>
      </c>
      <c r="R25" s="261"/>
      <c r="S25" s="261" t="s">
        <v>7687</v>
      </c>
      <c r="T25" s="846"/>
      <c r="U25" s="847" t="str">
        <f t="shared" si="2"/>
        <v/>
      </c>
      <c r="V25" s="848" t="str">
        <f t="shared" si="3"/>
        <v>Lance's Psalm III</v>
      </c>
      <c r="W25" s="857" t="str">
        <f>+INDEX(Endvr!$A$2:$K$3001,MATCH(B25,Endvr!$G:$G,0),MATCH("Description",Endvr!$A$2:$K$2,0))&amp;" ("&amp;INDEX(Endvr!$A$2:$K$3001,MATCH(B25,Endvr!$G:$G,0),MATCH("Event Name",Endvr!$A$2:$K$2,0))&amp;")"</f>
        <v>Clear Iblis's Surging Cascade: Master (Rise of the Sinister Dominion)</v>
      </c>
      <c r="X25" t="s">
        <v>13843</v>
      </c>
      <c r="Y25" t="s">
        <v>13844</v>
      </c>
      <c r="AA25" s="98"/>
    </row>
    <row r="26" spans="1:27" x14ac:dyDescent="0.2">
      <c r="A26" s="856">
        <v>400203</v>
      </c>
      <c r="B26" s="844" t="s">
        <v>13900</v>
      </c>
      <c r="C26" s="844" t="s">
        <v>13901</v>
      </c>
      <c r="D26" s="845">
        <v>44442</v>
      </c>
      <c r="E26" s="309">
        <v>9</v>
      </c>
      <c r="F26" s="309">
        <v>44</v>
      </c>
      <c r="G26" s="309">
        <v>25</v>
      </c>
      <c r="H26" s="261" t="s">
        <v>123</v>
      </c>
      <c r="I26" s="261"/>
      <c r="J26" s="261" t="s">
        <v>7668</v>
      </c>
      <c r="K26" s="846"/>
      <c r="L26" s="847" t="str">
        <f t="shared" si="0"/>
        <v/>
      </c>
      <c r="M26" s="848" t="str">
        <f t="shared" si="1"/>
        <v>Impregnable Fortress III</v>
      </c>
      <c r="N26" s="309">
        <v>9</v>
      </c>
      <c r="O26" s="309">
        <v>100</v>
      </c>
      <c r="P26" s="309">
        <v>70</v>
      </c>
      <c r="Q26" s="261" t="s">
        <v>123</v>
      </c>
      <c r="R26" s="261"/>
      <c r="S26" s="261" t="s">
        <v>7668</v>
      </c>
      <c r="T26" s="846"/>
      <c r="U26" s="847" t="str">
        <f t="shared" si="2"/>
        <v/>
      </c>
      <c r="V26" s="848" t="str">
        <f t="shared" si="3"/>
        <v>Impregnable Fortress III</v>
      </c>
      <c r="W26" s="857" t="str">
        <f>+INDEX(Endvr!$A$2:$K$3001,MATCH(B26,Endvr!$G:$G,0),MATCH("Description",Endvr!$A$2:$K$2,0))&amp;" ("&amp;INDEX(Endvr!$A$2:$K$3001,MATCH(B26,Endvr!$G:$G,0),MATCH("Event Name",Endvr!$A$2:$K$2,0))&amp;")"</f>
        <v>Clear Surtr's Devouring Flame: Standard (Rise of the Sinister Dominion)</v>
      </c>
      <c r="X26" t="s">
        <v>13843</v>
      </c>
      <c r="Y26" t="s">
        <v>13844</v>
      </c>
      <c r="AA26" s="45"/>
    </row>
    <row r="27" spans="1:27" x14ac:dyDescent="0.2">
      <c r="A27" s="856">
        <v>400181</v>
      </c>
      <c r="B27" s="844" t="s">
        <v>13902</v>
      </c>
      <c r="C27" s="844" t="s">
        <v>13903</v>
      </c>
      <c r="D27" s="845">
        <v>44498</v>
      </c>
      <c r="E27" s="309">
        <v>9</v>
      </c>
      <c r="F27" s="309">
        <v>44</v>
      </c>
      <c r="G27" s="309">
        <v>25</v>
      </c>
      <c r="H27" s="261" t="s">
        <v>13892</v>
      </c>
      <c r="I27" s="261"/>
      <c r="J27" s="261" t="s">
        <v>9612</v>
      </c>
      <c r="K27" s="846">
        <v>0.2</v>
      </c>
      <c r="L27" s="847" t="str">
        <f t="shared" si="0"/>
        <v>20%</v>
      </c>
      <c r="M27" s="848" t="str">
        <f t="shared" si="1"/>
        <v>Skill Damage +20%</v>
      </c>
      <c r="N27" s="309">
        <v>9</v>
      </c>
      <c r="O27" s="309">
        <v>100</v>
      </c>
      <c r="P27" s="309">
        <v>70</v>
      </c>
      <c r="Q27" s="261" t="s">
        <v>13892</v>
      </c>
      <c r="R27" s="261"/>
      <c r="S27" s="261" t="s">
        <v>9612</v>
      </c>
      <c r="T27" s="846">
        <v>0.2</v>
      </c>
      <c r="U27" s="847" t="str">
        <f t="shared" si="2"/>
        <v>20%</v>
      </c>
      <c r="V27" s="848" t="str">
        <f t="shared" si="3"/>
        <v>Skill Damage +20%</v>
      </c>
      <c r="W27" s="857" t="str">
        <f>+INDEX(Endvr!$A$2:$K$3001,MATCH(B27,Endvr!$G:$G,0),MATCH("Description",Endvr!$A$2:$K$2,0))&amp;" ("&amp;INDEX(Endvr!$A$2:$K$3001,MATCH(B27,Endvr!$G:$G,0),MATCH("Event Name",Endvr!$A$2:$K$2,0))&amp;")"</f>
        <v>Clear Surtr's Devouring Flame: Standard (Rise of the Sinister Dominion)</v>
      </c>
      <c r="X27" t="s">
        <v>13843</v>
      </c>
      <c r="Y27" t="s">
        <v>13844</v>
      </c>
      <c r="AA27" s="45"/>
    </row>
    <row r="28" spans="1:27" x14ac:dyDescent="0.2">
      <c r="A28" s="856">
        <v>400254</v>
      </c>
      <c r="B28" s="844" t="s">
        <v>13904</v>
      </c>
      <c r="C28" s="844" t="s">
        <v>13905</v>
      </c>
      <c r="D28" s="845">
        <v>44498</v>
      </c>
      <c r="E28" s="309">
        <v>9</v>
      </c>
      <c r="F28" s="309">
        <v>44</v>
      </c>
      <c r="G28" s="309">
        <v>25</v>
      </c>
      <c r="H28" s="261" t="s">
        <v>13906</v>
      </c>
      <c r="I28" s="261"/>
      <c r="J28" s="261" t="s">
        <v>13863</v>
      </c>
      <c r="K28" s="846">
        <v>0.04</v>
      </c>
      <c r="L28" s="847" t="str">
        <f t="shared" si="0"/>
        <v>4%</v>
      </c>
      <c r="M28" s="848" t="str">
        <f t="shared" si="1"/>
        <v>Skill Haste +4%</v>
      </c>
      <c r="N28" s="309">
        <v>9</v>
      </c>
      <c r="O28" s="309">
        <v>100</v>
      </c>
      <c r="P28" s="309">
        <v>70</v>
      </c>
      <c r="Q28" s="261" t="s">
        <v>13906</v>
      </c>
      <c r="R28" s="261"/>
      <c r="S28" s="261" t="s">
        <v>13863</v>
      </c>
      <c r="T28" s="846">
        <v>0.05</v>
      </c>
      <c r="U28" s="847" t="str">
        <f t="shared" si="2"/>
        <v>5%</v>
      </c>
      <c r="V28" s="848" t="str">
        <f t="shared" si="3"/>
        <v>Skill Haste +5%</v>
      </c>
      <c r="W28" s="857" t="str">
        <f>+INDEX(Endvr!$A$2:$K$3001,MATCH(B28,Endvr!$G:$G,0),MATCH("Description",Endvr!$A$2:$K$2,0))&amp;" ("&amp;INDEX(Endvr!$A$2:$K$3001,MATCH(B28,Endvr!$G:$G,0),MATCH("Event Name",Endvr!$A$2:$K$2,0))&amp;")"</f>
        <v>Clear Surtr's Devouring Flame: Expert (Rise of the Sinister Dominion)</v>
      </c>
      <c r="X28" t="s">
        <v>13843</v>
      </c>
      <c r="Y28" t="s">
        <v>13844</v>
      </c>
      <c r="AA28" s="99"/>
    </row>
    <row r="29" spans="1:27" x14ac:dyDescent="0.2">
      <c r="A29" s="856">
        <v>400191</v>
      </c>
      <c r="B29" s="844" t="s">
        <v>13907</v>
      </c>
      <c r="C29" s="844" t="s">
        <v>13908</v>
      </c>
      <c r="D29" s="845">
        <v>44498</v>
      </c>
      <c r="E29" s="309">
        <v>9</v>
      </c>
      <c r="F29" s="309">
        <v>44</v>
      </c>
      <c r="G29" s="309">
        <v>25</v>
      </c>
      <c r="H29" s="261" t="s">
        <v>13895</v>
      </c>
      <c r="I29" s="261"/>
      <c r="J29" s="261" t="s">
        <v>13863</v>
      </c>
      <c r="K29" s="846">
        <v>0.04</v>
      </c>
      <c r="L29" s="847" t="str">
        <f t="shared" si="0"/>
        <v>4%</v>
      </c>
      <c r="M29" s="848" t="str">
        <f t="shared" si="1"/>
        <v>Skill Haste +4%</v>
      </c>
      <c r="N29" s="309">
        <v>9</v>
      </c>
      <c r="O29" s="309">
        <v>100</v>
      </c>
      <c r="P29" s="309">
        <v>70</v>
      </c>
      <c r="Q29" s="261" t="s">
        <v>13895</v>
      </c>
      <c r="R29" s="261"/>
      <c r="S29" s="261" t="s">
        <v>13863</v>
      </c>
      <c r="T29" s="846">
        <v>0.05</v>
      </c>
      <c r="U29" s="847" t="str">
        <f t="shared" si="2"/>
        <v>5%</v>
      </c>
      <c r="V29" s="848" t="str">
        <f t="shared" si="3"/>
        <v>Skill Haste +5%</v>
      </c>
      <c r="W29" s="857" t="str">
        <f>+INDEX(Endvr!$A$2:$K$3001,MATCH(B29,Endvr!$G:$G,0),MATCH("Description",Endvr!$A$2:$K$2,0))&amp;" ("&amp;INDEX(Endvr!$A$2:$K$3001,MATCH(B29,Endvr!$G:$G,0),MATCH("Event Name",Endvr!$A$2:$K$2,0))&amp;")"</f>
        <v>Clear Surtr's Devouring Flame: Expert (Rise of the Sinister Dominion)</v>
      </c>
      <c r="X29" t="s">
        <v>13843</v>
      </c>
      <c r="Y29" t="s">
        <v>13844</v>
      </c>
      <c r="AA29" s="45"/>
    </row>
    <row r="30" spans="1:27" x14ac:dyDescent="0.2">
      <c r="A30" s="856">
        <v>400192</v>
      </c>
      <c r="B30" s="844" t="s">
        <v>13909</v>
      </c>
      <c r="C30" s="844" t="s">
        <v>13910</v>
      </c>
      <c r="D30" s="845">
        <v>44498</v>
      </c>
      <c r="E30" s="309">
        <v>9</v>
      </c>
      <c r="F30" s="309">
        <v>44</v>
      </c>
      <c r="G30" s="309">
        <v>25</v>
      </c>
      <c r="H30" s="261" t="s">
        <v>759</v>
      </c>
      <c r="I30" s="261"/>
      <c r="J30" s="261" t="s">
        <v>7339</v>
      </c>
      <c r="K30" s="846"/>
      <c r="L30" s="847" t="str">
        <f t="shared" si="0"/>
        <v/>
      </c>
      <c r="M30" s="848" t="str">
        <f t="shared" si="1"/>
        <v>Enemy Foresight III</v>
      </c>
      <c r="N30" s="309">
        <v>9</v>
      </c>
      <c r="O30" s="309">
        <v>100</v>
      </c>
      <c r="P30" s="309">
        <v>70</v>
      </c>
      <c r="Q30" s="261" t="s">
        <v>759</v>
      </c>
      <c r="R30" s="261"/>
      <c r="S30" s="261" t="s">
        <v>7339</v>
      </c>
      <c r="T30" s="846"/>
      <c r="U30" s="847" t="str">
        <f t="shared" si="2"/>
        <v/>
      </c>
      <c r="V30" s="848" t="str">
        <f t="shared" si="3"/>
        <v>Enemy Foresight III</v>
      </c>
      <c r="W30" s="857" t="str">
        <f>+INDEX(Endvr!$A$2:$K$3001,MATCH(B30,Endvr!$G:$G,0),MATCH("Description",Endvr!$A$2:$K$2,0))&amp;" ("&amp;INDEX(Endvr!$A$2:$K$3001,MATCH(B30,Endvr!$G:$G,0),MATCH("Event Name",Endvr!$A$2:$K$2,0))&amp;")"</f>
        <v>Clear Surtr's Devouring Flame: Master (Rise of the Sinister Dominion)</v>
      </c>
      <c r="X30" t="s">
        <v>13843</v>
      </c>
      <c r="Y30" t="s">
        <v>13844</v>
      </c>
      <c r="AA30" s="45"/>
    </row>
    <row r="31" spans="1:27" x14ac:dyDescent="0.2">
      <c r="A31" s="856">
        <v>400191</v>
      </c>
      <c r="B31" s="844" t="s">
        <v>13911</v>
      </c>
      <c r="C31" s="844" t="s">
        <v>13912</v>
      </c>
      <c r="D31" s="845">
        <v>44498</v>
      </c>
      <c r="E31" s="309">
        <v>9</v>
      </c>
      <c r="F31" s="309">
        <v>44</v>
      </c>
      <c r="G31" s="309">
        <v>25</v>
      </c>
      <c r="H31" s="261" t="s">
        <v>13855</v>
      </c>
      <c r="I31" s="261"/>
      <c r="J31" s="261" t="s">
        <v>8119</v>
      </c>
      <c r="K31" s="846"/>
      <c r="L31" s="847" t="str">
        <f t="shared" si="0"/>
        <v/>
      </c>
      <c r="M31" s="848" t="str">
        <f t="shared" si="1"/>
        <v>Staff's Psalm III</v>
      </c>
      <c r="N31" s="309">
        <v>9</v>
      </c>
      <c r="O31" s="309">
        <v>100</v>
      </c>
      <c r="P31" s="309">
        <v>70</v>
      </c>
      <c r="Q31" s="261" t="s">
        <v>13855</v>
      </c>
      <c r="R31" s="261"/>
      <c r="S31" s="261" t="s">
        <v>8119</v>
      </c>
      <c r="T31" s="846"/>
      <c r="U31" s="847" t="str">
        <f t="shared" si="2"/>
        <v/>
      </c>
      <c r="V31" s="848" t="str">
        <f t="shared" si="3"/>
        <v>Staff's Psalm III</v>
      </c>
      <c r="W31" s="857" t="str">
        <f>+INDEX(Endvr!$A$2:$K$3001,MATCH(B31,Endvr!$G:$G,0),MATCH("Description",Endvr!$A$2:$K$2,0))&amp;" ("&amp;INDEX(Endvr!$A$2:$K$3001,MATCH(B31,Endvr!$G:$G,0),MATCH("Event Name",Endvr!$A$2:$K$2,0))&amp;")"</f>
        <v>Clear Surtr's Devouring Flame: Master (Rise of the Sinister Dominion)</v>
      </c>
      <c r="X31" t="s">
        <v>13843</v>
      </c>
      <c r="Y31" t="s">
        <v>13844</v>
      </c>
      <c r="AA31" s="45"/>
    </row>
    <row r="32" spans="1:27" x14ac:dyDescent="0.2">
      <c r="A32" s="856">
        <v>400192</v>
      </c>
      <c r="B32" s="844" t="s">
        <v>13913</v>
      </c>
      <c r="C32" s="844" t="s">
        <v>13914</v>
      </c>
      <c r="D32" s="845">
        <v>44498</v>
      </c>
      <c r="E32" s="309">
        <v>9</v>
      </c>
      <c r="F32" s="309">
        <v>44</v>
      </c>
      <c r="G32" s="309">
        <v>25</v>
      </c>
      <c r="H32" s="261" t="s">
        <v>13915</v>
      </c>
      <c r="I32" s="261"/>
      <c r="J32" s="261" t="s">
        <v>7339</v>
      </c>
      <c r="K32" s="846"/>
      <c r="L32" s="847" t="str">
        <f t="shared" si="0"/>
        <v/>
      </c>
      <c r="M32" s="848" t="str">
        <f t="shared" si="1"/>
        <v>Enemy Foresight III</v>
      </c>
      <c r="N32" s="309">
        <v>9</v>
      </c>
      <c r="O32" s="309">
        <v>100</v>
      </c>
      <c r="P32" s="309">
        <v>70</v>
      </c>
      <c r="Q32" s="261" t="s">
        <v>645</v>
      </c>
      <c r="R32" s="261"/>
      <c r="S32" s="261" t="s">
        <v>7339</v>
      </c>
      <c r="T32" s="846"/>
      <c r="U32" s="847" t="str">
        <f t="shared" si="2"/>
        <v/>
      </c>
      <c r="V32" s="848" t="str">
        <f t="shared" si="3"/>
        <v>Enemy Foresight III</v>
      </c>
      <c r="W32" s="857" t="str">
        <f>+INDEX(Endvr!$A$2:$K$3001,MATCH(B32,Endvr!$G:$G,0),MATCH("Description",Endvr!$A$2:$K$2,0))&amp;" ("&amp;INDEX(Endvr!$A$2:$K$3001,MATCH(B32,Endvr!$G:$G,0),MATCH("Event Name",Endvr!$A$2:$K$2,0))&amp;")"</f>
        <v>Clear Asura's Blinding Light: Standard (Rise of the Sinister Dominion)</v>
      </c>
      <c r="X32" t="s">
        <v>13843</v>
      </c>
      <c r="Y32" t="s">
        <v>13844</v>
      </c>
      <c r="AA32" s="45"/>
    </row>
    <row r="33" spans="1:27" x14ac:dyDescent="0.2">
      <c r="A33" s="856">
        <v>400062</v>
      </c>
      <c r="B33" s="844" t="s">
        <v>13916</v>
      </c>
      <c r="C33" s="844" t="s">
        <v>13917</v>
      </c>
      <c r="D33" s="845">
        <v>43370</v>
      </c>
      <c r="E33" s="309">
        <v>5</v>
      </c>
      <c r="F33" s="309">
        <v>88</v>
      </c>
      <c r="G33" s="309">
        <v>32</v>
      </c>
      <c r="H33" s="261" t="s">
        <v>13855</v>
      </c>
      <c r="I33" s="261"/>
      <c r="J33" s="261" t="s">
        <v>9612</v>
      </c>
      <c r="K33" s="846">
        <v>0.3</v>
      </c>
      <c r="L33" s="847" t="str">
        <f t="shared" si="0"/>
        <v>30%</v>
      </c>
      <c r="M33" s="848" t="str">
        <f t="shared" si="1"/>
        <v>Skill Damage +30%</v>
      </c>
      <c r="N33" s="309">
        <v>5</v>
      </c>
      <c r="O33" s="309">
        <v>150</v>
      </c>
      <c r="P33" s="309">
        <v>90</v>
      </c>
      <c r="Q33" s="261" t="s">
        <v>13855</v>
      </c>
      <c r="R33" s="261"/>
      <c r="S33" s="261" t="s">
        <v>9612</v>
      </c>
      <c r="T33" s="846">
        <v>0.3</v>
      </c>
      <c r="U33" s="847" t="str">
        <f t="shared" si="2"/>
        <v>30%</v>
      </c>
      <c r="V33" s="848" t="str">
        <f t="shared" si="3"/>
        <v>Skill Damage +30%</v>
      </c>
      <c r="W33" s="857" t="str">
        <f>+INDEX(Endvr!$A$2:$K$3001,MATCH(B33,Endvr!$G:$G,0),MATCH("Description",Endvr!$A$2:$K$2,0))&amp;" ("&amp;INDEX(Endvr!$A$2:$K$3001,MATCH(B33,Endvr!$G:$G,0),MATCH("Event Name",Endvr!$A$2:$K$2,0))&amp;")"</f>
        <v>Obtain From Ch. 02 EX 2 Chest (Hard) (Non-Endeavor)</v>
      </c>
      <c r="X33" t="s">
        <v>13843</v>
      </c>
      <c r="Y33" t="s">
        <v>13918</v>
      </c>
      <c r="Z33" t="s">
        <v>13919</v>
      </c>
      <c r="AA33" s="45"/>
    </row>
    <row r="34" spans="1:27" x14ac:dyDescent="0.2">
      <c r="A34" s="856">
        <v>400063</v>
      </c>
      <c r="B34" s="844" t="s">
        <v>13920</v>
      </c>
      <c r="C34" s="844" t="s">
        <v>484</v>
      </c>
      <c r="D34" s="845">
        <v>43370</v>
      </c>
      <c r="E34" s="309">
        <v>5</v>
      </c>
      <c r="F34" s="309">
        <v>91</v>
      </c>
      <c r="G34" s="309">
        <v>29</v>
      </c>
      <c r="H34" s="261" t="s">
        <v>645</v>
      </c>
      <c r="I34" s="261"/>
      <c r="J34" s="261" t="s">
        <v>13921</v>
      </c>
      <c r="K34" s="846">
        <v>0.2</v>
      </c>
      <c r="L34" s="847" t="str">
        <f t="shared" si="0"/>
        <v>20%</v>
      </c>
      <c r="M34" s="848" t="str">
        <f t="shared" si="1"/>
        <v>Flurry Strength +20%</v>
      </c>
      <c r="N34" s="309">
        <v>5</v>
      </c>
      <c r="O34" s="309">
        <v>150</v>
      </c>
      <c r="P34" s="309">
        <v>90</v>
      </c>
      <c r="Q34" s="261" t="s">
        <v>645</v>
      </c>
      <c r="R34" s="261"/>
      <c r="S34" s="261" t="s">
        <v>13921</v>
      </c>
      <c r="T34" s="846">
        <v>0.2</v>
      </c>
      <c r="U34" s="847" t="str">
        <f t="shared" si="2"/>
        <v>20%</v>
      </c>
      <c r="V34" s="848" t="str">
        <f t="shared" si="3"/>
        <v>Flurry Strength +20%</v>
      </c>
      <c r="W34" s="857" t="str">
        <f>+INDEX(Endvr!$A$2:$K$3001,MATCH(B34,Endvr!$G:$G,0),MATCH("Description",Endvr!$A$2:$K$2,0))</f>
        <v>Clear Ch. 01 4-5 of the Main Campaign (Hard)</v>
      </c>
      <c r="X34" t="s">
        <v>13843</v>
      </c>
      <c r="Y34" t="s">
        <v>13918</v>
      </c>
      <c r="Z34" t="s">
        <v>13922</v>
      </c>
      <c r="AA34" s="45"/>
    </row>
    <row r="35" spans="1:27" x14ac:dyDescent="0.2">
      <c r="A35" s="856">
        <v>400064</v>
      </c>
      <c r="B35" s="844" t="s">
        <v>13923</v>
      </c>
      <c r="C35" s="844" t="s">
        <v>13924</v>
      </c>
      <c r="D35" s="845">
        <v>43370</v>
      </c>
      <c r="E35" s="309">
        <v>5</v>
      </c>
      <c r="F35" s="309">
        <v>88</v>
      </c>
      <c r="G35" s="309">
        <v>32</v>
      </c>
      <c r="H35" s="261" t="s">
        <v>123</v>
      </c>
      <c r="I35" s="261"/>
      <c r="J35" s="261" t="s">
        <v>13925</v>
      </c>
      <c r="K35" s="846">
        <v>0.15</v>
      </c>
      <c r="L35" s="847" t="str">
        <f t="shared" si="0"/>
        <v>15%</v>
      </c>
      <c r="M35" s="848" t="str">
        <f t="shared" si="1"/>
        <v>Full HP = Strength +15%</v>
      </c>
      <c r="N35" s="309">
        <v>5</v>
      </c>
      <c r="O35" s="309">
        <v>150</v>
      </c>
      <c r="P35" s="309">
        <v>90</v>
      </c>
      <c r="Q35" s="261" t="s">
        <v>123</v>
      </c>
      <c r="R35" s="261"/>
      <c r="S35" s="261" t="s">
        <v>9839</v>
      </c>
      <c r="T35" s="846">
        <v>0.15</v>
      </c>
      <c r="U35" s="847" t="str">
        <f t="shared" si="2"/>
        <v>15%</v>
      </c>
      <c r="V35" s="848" t="str">
        <f t="shared" si="3"/>
        <v>Strength +15%</v>
      </c>
      <c r="W35" s="857" t="str">
        <f>+INDEX(Endvr!$A$2:$K$3001,MATCH(B35,Endvr!$G:$G,0),MATCH("Description",Endvr!$A$2:$K$2,0))&amp;" ("&amp;INDEX(Endvr!$A$2:$K$3001,MATCH(B35,Endvr!$G:$G,0),MATCH("Event Name",Endvr!$A$2:$K$2,0))&amp;")"</f>
        <v>Obtain From Ch. 09 EX 1 Chest (Very Hard) (Non-Endeavor)</v>
      </c>
      <c r="X35" t="s">
        <v>13843</v>
      </c>
      <c r="Y35" t="s">
        <v>13918</v>
      </c>
      <c r="Z35" t="s">
        <v>13926</v>
      </c>
      <c r="AA35" s="45"/>
    </row>
    <row r="36" spans="1:27" x14ac:dyDescent="0.2">
      <c r="A36" s="856">
        <v>400065</v>
      </c>
      <c r="B36" s="844" t="s">
        <v>13927</v>
      </c>
      <c r="C36" s="844" t="s">
        <v>13928</v>
      </c>
      <c r="D36" s="845">
        <v>43370</v>
      </c>
      <c r="E36" s="309">
        <v>5</v>
      </c>
      <c r="F36" s="309">
        <v>88</v>
      </c>
      <c r="G36" s="309">
        <v>32</v>
      </c>
      <c r="H36" s="261" t="s">
        <v>543</v>
      </c>
      <c r="I36" s="261"/>
      <c r="J36" s="261" t="s">
        <v>13929</v>
      </c>
      <c r="K36" s="846">
        <v>0.3</v>
      </c>
      <c r="L36" s="847" t="str">
        <f t="shared" si="0"/>
        <v>30%</v>
      </c>
      <c r="M36" s="848" t="str">
        <f t="shared" si="1"/>
        <v>Broken Punisher +30%</v>
      </c>
      <c r="N36" s="309">
        <v>5</v>
      </c>
      <c r="O36" s="309">
        <v>150</v>
      </c>
      <c r="P36" s="309">
        <v>90</v>
      </c>
      <c r="Q36" s="261" t="s">
        <v>543</v>
      </c>
      <c r="R36" s="261"/>
      <c r="S36" s="261" t="s">
        <v>13929</v>
      </c>
      <c r="T36" s="846">
        <v>0.3</v>
      </c>
      <c r="U36" s="847" t="str">
        <f t="shared" si="2"/>
        <v>30%</v>
      </c>
      <c r="V36" s="848" t="str">
        <f t="shared" si="3"/>
        <v>Broken Punisher +30%</v>
      </c>
      <c r="W36" s="857" t="str">
        <f>+INDEX(Endvr!$A$2:$K$3001,MATCH(B36,Endvr!$G:$G,0),MATCH("Description",Endvr!$A$2:$K$2,0))&amp;" ("&amp;INDEX(Endvr!$A$2:$K$3001,MATCH(B36,Endvr!$G:$G,0),MATCH("Event Name",Endvr!$A$2:$K$2,0))&amp;")"</f>
        <v>Obtain From Ch. 07 EX 1 Chest (Normal) (Non-Endeavor)</v>
      </c>
      <c r="X36" t="s">
        <v>13843</v>
      </c>
      <c r="Y36" t="s">
        <v>13918</v>
      </c>
      <c r="Z36" t="s">
        <v>13930</v>
      </c>
      <c r="AA36" s="45"/>
    </row>
    <row r="37" spans="1:27" x14ac:dyDescent="0.2">
      <c r="A37" s="856">
        <v>400066</v>
      </c>
      <c r="B37" s="844" t="s">
        <v>13931</v>
      </c>
      <c r="C37" s="844" t="s">
        <v>13932</v>
      </c>
      <c r="D37" s="845">
        <v>43370</v>
      </c>
      <c r="E37" s="309">
        <v>5</v>
      </c>
      <c r="F37" s="309">
        <v>94</v>
      </c>
      <c r="G37" s="309">
        <v>26</v>
      </c>
      <c r="H37" s="261" t="s">
        <v>759</v>
      </c>
      <c r="I37" s="261"/>
      <c r="J37" s="261" t="s">
        <v>13933</v>
      </c>
      <c r="K37" s="846">
        <v>0.2</v>
      </c>
      <c r="L37" s="847" t="str">
        <f t="shared" si="0"/>
        <v>20%</v>
      </c>
      <c r="M37" s="848" t="str">
        <f t="shared" si="1"/>
        <v>Full HP = Healing +20%</v>
      </c>
      <c r="N37" s="309">
        <v>5</v>
      </c>
      <c r="O37" s="309">
        <v>150</v>
      </c>
      <c r="P37" s="309">
        <v>90</v>
      </c>
      <c r="Q37" s="261" t="s">
        <v>759</v>
      </c>
      <c r="R37" s="261"/>
      <c r="S37" s="261" t="s">
        <v>13882</v>
      </c>
      <c r="T37" s="846">
        <v>0.15</v>
      </c>
      <c r="U37" s="847" t="str">
        <f t="shared" si="2"/>
        <v>15%</v>
      </c>
      <c r="V37" s="848" t="str">
        <f t="shared" si="3"/>
        <v>Recovery Potency +15%</v>
      </c>
      <c r="W37" s="857" t="str">
        <f>+INDEX(Endvr!$A$2:$K$3001,MATCH(B37,Endvr!$G:$G,0),MATCH("Description",Endvr!$A$2:$K$2,0))&amp;" ("&amp;INDEX(Endvr!$A$2:$K$3001,MATCH(B37,Endvr!$G:$G,0),MATCH("Event Name",Endvr!$A$2:$K$2,0))&amp;")"</f>
        <v>Obtain From Ch. 06 EX 1 Chest (Very Hard) (Non-Endeavor)</v>
      </c>
      <c r="X37" t="s">
        <v>13843</v>
      </c>
      <c r="Y37" t="s">
        <v>13918</v>
      </c>
      <c r="Z37" t="s">
        <v>13930</v>
      </c>
      <c r="AA37" s="45"/>
    </row>
    <row r="38" spans="1:27" x14ac:dyDescent="0.2">
      <c r="A38" s="856">
        <v>400067</v>
      </c>
      <c r="B38" s="844" t="s">
        <v>13934</v>
      </c>
      <c r="C38" s="844" t="s">
        <v>13935</v>
      </c>
      <c r="D38" s="845">
        <v>43370</v>
      </c>
      <c r="E38" s="309">
        <v>5</v>
      </c>
      <c r="F38" s="309">
        <v>92</v>
      </c>
      <c r="G38" s="309">
        <v>28</v>
      </c>
      <c r="H38" s="261" t="s">
        <v>13936</v>
      </c>
      <c r="I38" s="261"/>
      <c r="J38" s="261" t="s">
        <v>13937</v>
      </c>
      <c r="K38" s="846">
        <v>0.2</v>
      </c>
      <c r="L38" s="847" t="str">
        <f t="shared" si="0"/>
        <v>20%</v>
      </c>
      <c r="M38" s="848" t="str">
        <f t="shared" si="1"/>
        <v>Dragon Time +20%</v>
      </c>
      <c r="N38" s="309">
        <v>5</v>
      </c>
      <c r="O38" s="309">
        <v>150</v>
      </c>
      <c r="P38" s="309">
        <v>90</v>
      </c>
      <c r="Q38" s="261" t="s">
        <v>13936</v>
      </c>
      <c r="R38" s="261"/>
      <c r="S38" s="261" t="s">
        <v>13937</v>
      </c>
      <c r="T38" s="846">
        <v>0.2</v>
      </c>
      <c r="U38" s="847" t="str">
        <f t="shared" si="2"/>
        <v>20%</v>
      </c>
      <c r="V38" s="848" t="str">
        <f t="shared" si="3"/>
        <v>Dragon Time +20%</v>
      </c>
      <c r="W38" s="857" t="str">
        <f>+INDEX(Endvr!$A$2:$K$3001,MATCH(B38,Endvr!$G:$G,0),MATCH("Description",Endvr!$A$2:$K$2,0))&amp;" ("&amp;INDEX(Endvr!$A$2:$K$3001,MATCH(B38,Endvr!$G:$G,0),MATCH("Event Name",Endvr!$A$2:$K$2,0))&amp;")"</f>
        <v>Obtain From Ch. 07 EX 2 Chest (Very Hard) (Non-Endeavor)</v>
      </c>
      <c r="X38" t="s">
        <v>13843</v>
      </c>
      <c r="Y38" t="s">
        <v>13918</v>
      </c>
      <c r="Z38" t="s">
        <v>13938</v>
      </c>
      <c r="AA38" s="98"/>
    </row>
    <row r="39" spans="1:27" x14ac:dyDescent="0.2">
      <c r="A39" s="856">
        <v>400068</v>
      </c>
      <c r="B39" s="844" t="s">
        <v>13939</v>
      </c>
      <c r="C39" s="844" t="s">
        <v>13940</v>
      </c>
      <c r="D39" s="845">
        <v>43370</v>
      </c>
      <c r="E39" s="309">
        <v>5</v>
      </c>
      <c r="F39" s="309">
        <v>91</v>
      </c>
      <c r="G39" s="309">
        <v>29</v>
      </c>
      <c r="H39" s="261" t="s">
        <v>13855</v>
      </c>
      <c r="I39" s="261"/>
      <c r="J39" s="261" t="s">
        <v>9612</v>
      </c>
      <c r="K39" s="846">
        <v>0.3</v>
      </c>
      <c r="L39" s="847" t="str">
        <f t="shared" si="0"/>
        <v>30%</v>
      </c>
      <c r="M39" s="848" t="str">
        <f t="shared" si="1"/>
        <v>Skill Damage +30%</v>
      </c>
      <c r="N39" s="309">
        <v>5</v>
      </c>
      <c r="O39" s="309">
        <v>150</v>
      </c>
      <c r="P39" s="309">
        <v>90</v>
      </c>
      <c r="Q39" s="261" t="s">
        <v>759</v>
      </c>
      <c r="R39" s="261" t="s">
        <v>1947</v>
      </c>
      <c r="S39" s="261" t="s">
        <v>9612</v>
      </c>
      <c r="T39" s="846">
        <v>0.35</v>
      </c>
      <c r="U39" s="847" t="str">
        <f t="shared" si="2"/>
        <v>35%</v>
      </c>
      <c r="V39" s="848" t="str">
        <f t="shared" si="3"/>
        <v>(Wind) Skill Damage +35%</v>
      </c>
      <c r="W39" s="857" t="str">
        <f>+INDEX(Endvr!$A$2:$K$3001,MATCH(B39,Endvr!$G:$G,0),MATCH("Description",Endvr!$A$2:$K$2,0))&amp;" ("&amp;INDEX(Endvr!$A$2:$K$3001,MATCH(B39,Endvr!$G:$G,0),MATCH("Event Name",Endvr!$A$2:$K$2,0))&amp;")"</f>
        <v>Obtain From Ch. 02 EX 2 Chest (Very hard) (Non-Endeavor)</v>
      </c>
      <c r="X39" t="s">
        <v>13843</v>
      </c>
      <c r="Y39" t="s">
        <v>13918</v>
      </c>
      <c r="Z39" t="s">
        <v>13919</v>
      </c>
      <c r="AA39" s="45"/>
    </row>
    <row r="40" spans="1:27" x14ac:dyDescent="0.2">
      <c r="A40" s="856">
        <v>400052</v>
      </c>
      <c r="B40" s="844" t="s">
        <v>13941</v>
      </c>
      <c r="C40" s="844" t="s">
        <v>13942</v>
      </c>
      <c r="D40" s="845">
        <v>43370</v>
      </c>
      <c r="E40" s="309">
        <v>5</v>
      </c>
      <c r="F40" s="309">
        <v>94</v>
      </c>
      <c r="G40" s="309">
        <v>26</v>
      </c>
      <c r="H40" s="261" t="s">
        <v>949</v>
      </c>
      <c r="I40" s="261"/>
      <c r="J40" s="261" t="s">
        <v>13882</v>
      </c>
      <c r="K40" s="846">
        <v>0.13</v>
      </c>
      <c r="L40" s="847" t="str">
        <f t="shared" si="0"/>
        <v>13%</v>
      </c>
      <c r="M40" s="848" t="str">
        <f t="shared" si="1"/>
        <v>Recovery Potency +13%</v>
      </c>
      <c r="N40" s="309">
        <v>5</v>
      </c>
      <c r="O40" s="309">
        <v>150</v>
      </c>
      <c r="P40" s="309">
        <v>90</v>
      </c>
      <c r="Q40" s="261" t="s">
        <v>949</v>
      </c>
      <c r="R40" s="261" t="s">
        <v>949</v>
      </c>
      <c r="S40" s="261" t="s">
        <v>13882</v>
      </c>
      <c r="T40" s="846">
        <v>0.2</v>
      </c>
      <c r="U40" s="847" t="str">
        <f t="shared" si="2"/>
        <v>20%</v>
      </c>
      <c r="V40" s="848" t="str">
        <f t="shared" si="3"/>
        <v>(Staff) Recovery Potency +20%</v>
      </c>
      <c r="W40" s="857" t="str">
        <f>+INDEX(Endvr!$A$2:$K$3001,MATCH(B40,Endvr!$G:$G,0),MATCH("Description",Endvr!$A$2:$K$2,0))</f>
        <v>Clear Avenue to Power</v>
      </c>
      <c r="X40" t="s">
        <v>13843</v>
      </c>
      <c r="Y40" t="s">
        <v>13943</v>
      </c>
      <c r="AA40" s="98"/>
    </row>
    <row r="41" spans="1:27" x14ac:dyDescent="0.2">
      <c r="A41" s="856">
        <v>400070</v>
      </c>
      <c r="B41" s="844" t="s">
        <v>13944</v>
      </c>
      <c r="C41" s="844" t="s">
        <v>13945</v>
      </c>
      <c r="D41" s="845">
        <v>43370</v>
      </c>
      <c r="E41" s="309">
        <v>5</v>
      </c>
      <c r="F41" s="309">
        <v>88</v>
      </c>
      <c r="G41" s="309">
        <v>32</v>
      </c>
      <c r="H41" s="261"/>
      <c r="I41" s="261"/>
      <c r="J41" s="261" t="s">
        <v>13946</v>
      </c>
      <c r="K41" s="846">
        <v>0.1</v>
      </c>
      <c r="L41" s="847" t="str">
        <f t="shared" si="0"/>
        <v>10%</v>
      </c>
      <c r="M41" s="848" t="str">
        <f t="shared" si="1"/>
        <v>HP 70% = Critical Rate +10%</v>
      </c>
      <c r="N41" s="309">
        <v>5</v>
      </c>
      <c r="O41" s="309">
        <v>150</v>
      </c>
      <c r="P41" s="309">
        <v>90</v>
      </c>
      <c r="Q41" s="261" t="s">
        <v>123</v>
      </c>
      <c r="R41" s="261"/>
      <c r="S41" s="261" t="s">
        <v>13852</v>
      </c>
      <c r="T41" s="846">
        <v>0.1</v>
      </c>
      <c r="U41" s="847" t="str">
        <f t="shared" si="2"/>
        <v>10%</v>
      </c>
      <c r="V41" s="848" t="str">
        <f t="shared" si="3"/>
        <v>Critical Rate +10%</v>
      </c>
      <c r="W41" s="857" t="str">
        <f>+INDEX(Endvr!$A$2:$K$3001,MATCH(B41,Endvr!$G:$G,0),MATCH("Description",Endvr!$A$2:$K$2,0))</f>
        <v>Clear Ch. 03 4-3 of the Main Campaign (Very Hard)</v>
      </c>
      <c r="X41" t="s">
        <v>13843</v>
      </c>
      <c r="Y41" t="s">
        <v>13918</v>
      </c>
      <c r="Z41" t="s">
        <v>13947</v>
      </c>
      <c r="AA41" s="45"/>
    </row>
    <row r="42" spans="1:27" x14ac:dyDescent="0.2">
      <c r="A42" s="856">
        <v>400071</v>
      </c>
      <c r="B42" s="844" t="s">
        <v>13948</v>
      </c>
      <c r="C42" s="844" t="s">
        <v>13949</v>
      </c>
      <c r="D42" s="845">
        <v>43370</v>
      </c>
      <c r="E42" s="309">
        <v>5</v>
      </c>
      <c r="F42" s="309">
        <v>91</v>
      </c>
      <c r="G42" s="309">
        <v>29</v>
      </c>
      <c r="H42" s="261" t="s">
        <v>645</v>
      </c>
      <c r="I42" s="261"/>
      <c r="J42" s="261" t="s">
        <v>13950</v>
      </c>
      <c r="K42" s="846">
        <v>0.5</v>
      </c>
      <c r="L42" s="847" t="str">
        <f t="shared" si="0"/>
        <v>50%</v>
      </c>
      <c r="M42" s="848" t="str">
        <f t="shared" si="1"/>
        <v>Force Strike +50%</v>
      </c>
      <c r="N42" s="309">
        <v>5</v>
      </c>
      <c r="O42" s="309">
        <v>150</v>
      </c>
      <c r="P42" s="309">
        <v>90</v>
      </c>
      <c r="Q42" s="261" t="s">
        <v>645</v>
      </c>
      <c r="R42" s="261"/>
      <c r="S42" s="261" t="s">
        <v>13950</v>
      </c>
      <c r="T42" s="846">
        <v>0.5</v>
      </c>
      <c r="U42" s="847" t="str">
        <f t="shared" si="2"/>
        <v>50%</v>
      </c>
      <c r="V42" s="848" t="str">
        <f t="shared" si="3"/>
        <v>Force Strike +50%</v>
      </c>
      <c r="W42" s="857" t="str">
        <f>+INDEX(Endvr!$A$2:$K$3001,MATCH(B42,Endvr!$G:$G,0),MATCH("Description",Endvr!$A$2:$K$2,0))</f>
        <v>Clear Ch. 01 4-5 of the Main Campaign (Very Hard)</v>
      </c>
      <c r="X42" t="s">
        <v>13843</v>
      </c>
      <c r="Y42" t="s">
        <v>13918</v>
      </c>
      <c r="Z42" t="s">
        <v>13922</v>
      </c>
      <c r="AA42" s="45"/>
    </row>
    <row r="43" spans="1:27" x14ac:dyDescent="0.2">
      <c r="A43" s="856">
        <v>400072</v>
      </c>
      <c r="B43" s="844" t="s">
        <v>13951</v>
      </c>
      <c r="C43" s="844" t="s">
        <v>13952</v>
      </c>
      <c r="D43" s="845">
        <v>43370</v>
      </c>
      <c r="E43" s="309">
        <v>5</v>
      </c>
      <c r="F43" s="309">
        <v>83</v>
      </c>
      <c r="G43" s="309">
        <v>20</v>
      </c>
      <c r="H43" s="261"/>
      <c r="I43" s="261"/>
      <c r="J43" s="261" t="s">
        <v>13953</v>
      </c>
      <c r="K43" s="846">
        <v>0.25</v>
      </c>
      <c r="L43" s="847" t="str">
        <f t="shared" si="0"/>
        <v>25%</v>
      </c>
      <c r="M43" s="848" t="str">
        <f t="shared" si="1"/>
        <v>High Midgardsormr Res +25%</v>
      </c>
      <c r="N43" s="309">
        <v>5</v>
      </c>
      <c r="O43" s="309">
        <v>150</v>
      </c>
      <c r="P43" s="309">
        <v>90</v>
      </c>
      <c r="Q43" s="261" t="s">
        <v>13847</v>
      </c>
      <c r="R43" s="261"/>
      <c r="S43" s="261" t="s">
        <v>13953</v>
      </c>
      <c r="T43" s="846">
        <v>0.25</v>
      </c>
      <c r="U43" s="847" t="str">
        <f t="shared" si="2"/>
        <v>25%</v>
      </c>
      <c r="V43" s="848" t="str">
        <f t="shared" si="3"/>
        <v>High Midgardsormr Res +25%</v>
      </c>
      <c r="W43" s="857" t="str">
        <f>+INDEX(Endvr!$A$2:$K$3001,MATCH(B43,Endvr!$G:$G,0),MATCH("Description",Endvr!$A$2:$K$2,0))&amp;" ("&amp;INDEX(Endvr!$A$2:$K$3001,MATCH(B43,Endvr!$G:$G,0),MATCH("Event Name",Endvr!$A$2:$K$2,0))&amp;")"</f>
        <v>Clear Battle at Myriage Lake: Beginner (The Imperial Onslaught)</v>
      </c>
      <c r="X43" t="s">
        <v>13843</v>
      </c>
      <c r="Y43" t="s">
        <v>13954</v>
      </c>
      <c r="Z43" t="s">
        <v>122</v>
      </c>
      <c r="AA43" s="45"/>
    </row>
    <row r="44" spans="1:27" x14ac:dyDescent="0.2">
      <c r="A44" s="856">
        <v>400075</v>
      </c>
      <c r="B44" s="844" t="s">
        <v>13955</v>
      </c>
      <c r="C44" s="844" t="s">
        <v>13956</v>
      </c>
      <c r="D44" s="845">
        <v>43377</v>
      </c>
      <c r="E44" s="309">
        <v>5</v>
      </c>
      <c r="F44" s="309">
        <v>88</v>
      </c>
      <c r="G44" s="309">
        <v>32</v>
      </c>
      <c r="H44" s="261" t="s">
        <v>543</v>
      </c>
      <c r="I44" s="261"/>
      <c r="J44" s="261" t="s">
        <v>13957</v>
      </c>
      <c r="K44" s="846">
        <v>0.5</v>
      </c>
      <c r="L44" s="847" t="str">
        <f t="shared" si="0"/>
        <v>50%</v>
      </c>
      <c r="M44" s="848" t="str">
        <f t="shared" si="1"/>
        <v>Last Offense +50%</v>
      </c>
      <c r="N44" s="309">
        <v>5</v>
      </c>
      <c r="O44" s="309">
        <v>150</v>
      </c>
      <c r="P44" s="309">
        <v>90</v>
      </c>
      <c r="Q44" s="261" t="s">
        <v>543</v>
      </c>
      <c r="R44" s="261"/>
      <c r="S44" s="261" t="s">
        <v>13957</v>
      </c>
      <c r="T44" s="846">
        <v>0.6</v>
      </c>
      <c r="U44" s="847" t="str">
        <f t="shared" si="2"/>
        <v>60%</v>
      </c>
      <c r="V44" s="848" t="str">
        <f t="shared" si="3"/>
        <v>Last Offense +60%</v>
      </c>
      <c r="W44" s="857" t="str">
        <f>+INDEX(Endvr!$A$2:$K$3001,MATCH(B44,Endvr!$G:$G,0),MATCH("Description",Endvr!$A$2:$K$2,0))&amp;" ("&amp;INDEX(Endvr!$A$2:$K$3001,MATCH(B44,Endvr!$G:$G,0),MATCH("Event Name",Endvr!$A$2:$K$2,0))&amp;")"</f>
        <v>Clear Phraeganoth Clash: Expert (Loyalty's Requiem)</v>
      </c>
      <c r="X44" t="s">
        <v>13958</v>
      </c>
      <c r="Y44" t="s">
        <v>13959</v>
      </c>
      <c r="AA44" s="98"/>
    </row>
    <row r="45" spans="1:27" x14ac:dyDescent="0.2">
      <c r="A45" s="856">
        <v>400076</v>
      </c>
      <c r="B45" s="844" t="s">
        <v>13960</v>
      </c>
      <c r="C45" s="844" t="s">
        <v>13961</v>
      </c>
      <c r="D45" s="845">
        <v>43377</v>
      </c>
      <c r="E45" s="309">
        <v>5</v>
      </c>
      <c r="F45" s="309">
        <v>91</v>
      </c>
      <c r="G45" s="309">
        <v>29</v>
      </c>
      <c r="H45" s="261"/>
      <c r="I45" s="261"/>
      <c r="J45" s="261" t="s">
        <v>13962</v>
      </c>
      <c r="K45" s="846">
        <v>0.13</v>
      </c>
      <c r="L45" s="847" t="str">
        <f t="shared" si="0"/>
        <v>13%</v>
      </c>
      <c r="M45" s="848" t="str">
        <f t="shared" si="1"/>
        <v>HP 70% = Strength +13%</v>
      </c>
      <c r="N45" s="309">
        <v>5</v>
      </c>
      <c r="O45" s="309">
        <v>150</v>
      </c>
      <c r="P45" s="309">
        <v>90</v>
      </c>
      <c r="Q45" s="261" t="s">
        <v>543</v>
      </c>
      <c r="R45" s="261"/>
      <c r="S45" s="261" t="s">
        <v>9839</v>
      </c>
      <c r="T45" s="846">
        <v>0.15</v>
      </c>
      <c r="U45" s="847" t="str">
        <f t="shared" si="2"/>
        <v>15%</v>
      </c>
      <c r="V45" s="848" t="str">
        <f t="shared" si="3"/>
        <v>Strength +15%</v>
      </c>
      <c r="W45" s="857" t="str">
        <f>+INDEX(Endvr!$A$2:$K$3001,MATCH(B45,Endvr!$G:$G,0),MATCH("Description",Endvr!$A$2:$K$2,0))&amp;" ("&amp;INDEX(Endvr!$A$2:$K$3001,MATCH(B45,Endvr!$G:$G,0),MATCH("Event Name",Endvr!$A$2:$K$2,0))&amp;")"</f>
        <v>Obtain From Ch. 04 EX 1 Chest (Normal) (Non-Endeavor)</v>
      </c>
      <c r="X45" t="s">
        <v>13843</v>
      </c>
      <c r="Y45" t="s">
        <v>13918</v>
      </c>
      <c r="Z45" t="s">
        <v>13919</v>
      </c>
      <c r="AA45" s="45"/>
    </row>
    <row r="46" spans="1:27" x14ac:dyDescent="0.2">
      <c r="A46" s="856">
        <v>400077</v>
      </c>
      <c r="B46" s="844" t="s">
        <v>13963</v>
      </c>
      <c r="C46" s="844" t="s">
        <v>13964</v>
      </c>
      <c r="D46" s="845">
        <v>43390</v>
      </c>
      <c r="E46" s="309">
        <v>5</v>
      </c>
      <c r="F46" s="309">
        <v>91</v>
      </c>
      <c r="G46" s="309">
        <v>29</v>
      </c>
      <c r="H46" s="261"/>
      <c r="I46" s="261"/>
      <c r="J46" s="261" t="s">
        <v>13965</v>
      </c>
      <c r="K46" s="846">
        <v>0.4</v>
      </c>
      <c r="L46" s="847" t="str">
        <f t="shared" si="0"/>
        <v>40%</v>
      </c>
      <c r="M46" s="848" t="str">
        <f t="shared" si="1"/>
        <v>Full HP = Skill Damage +40%</v>
      </c>
      <c r="N46" s="309">
        <v>5</v>
      </c>
      <c r="O46" s="309">
        <v>150</v>
      </c>
      <c r="P46" s="309">
        <v>90</v>
      </c>
      <c r="Q46" s="261" t="s">
        <v>13855</v>
      </c>
      <c r="R46" s="261"/>
      <c r="S46" s="261" t="s">
        <v>13966</v>
      </c>
      <c r="T46" s="846">
        <v>0.12</v>
      </c>
      <c r="U46" s="847" t="str">
        <f t="shared" si="2"/>
        <v>12%</v>
      </c>
      <c r="V46" s="848" t="str">
        <f t="shared" si="3"/>
        <v>Flurry Devastation +12%</v>
      </c>
      <c r="W46" s="857" t="str">
        <f>+INDEX(Endvr!$A$2:$K$3001,MATCH(B46,Endvr!$G:$G,0),MATCH("Description",Endvr!$A$2:$K$2,0))&amp;" ("&amp;INDEX(Endvr!$A$2:$K$3001,MATCH(B46,Endvr!$G:$G,0),MATCH("Event Name",Endvr!$A$2:$K$2,0))&amp;")"</f>
        <v>Clear Squash the Pumpking: Standard (Trick or Treasure!)</v>
      </c>
      <c r="X46" t="s">
        <v>13958</v>
      </c>
      <c r="Y46" t="s">
        <v>13967</v>
      </c>
      <c r="AA46" s="45"/>
    </row>
    <row r="47" spans="1:27" x14ac:dyDescent="0.2">
      <c r="A47" s="856">
        <v>400078</v>
      </c>
      <c r="B47" s="844" t="s">
        <v>13968</v>
      </c>
      <c r="C47" s="844" t="s">
        <v>13969</v>
      </c>
      <c r="D47" s="845">
        <v>43390</v>
      </c>
      <c r="E47" s="309">
        <v>5</v>
      </c>
      <c r="F47" s="309">
        <v>92</v>
      </c>
      <c r="G47" s="309">
        <v>28</v>
      </c>
      <c r="H47" s="261"/>
      <c r="I47" s="261"/>
      <c r="J47" s="261" t="s">
        <v>13970</v>
      </c>
      <c r="K47" s="846">
        <v>0.1</v>
      </c>
      <c r="L47" s="847" t="str">
        <f t="shared" si="0"/>
        <v>10%</v>
      </c>
      <c r="M47" s="848" t="str">
        <f t="shared" si="1"/>
        <v>Shadow Res +10%</v>
      </c>
      <c r="N47" s="309">
        <v>5</v>
      </c>
      <c r="O47" s="309">
        <v>150</v>
      </c>
      <c r="P47" s="309">
        <v>90</v>
      </c>
      <c r="Q47" s="261" t="s">
        <v>13906</v>
      </c>
      <c r="R47" s="261" t="s">
        <v>2837</v>
      </c>
      <c r="S47" s="261" t="s">
        <v>13970</v>
      </c>
      <c r="T47" s="846">
        <v>0.15</v>
      </c>
      <c r="U47" s="847" t="str">
        <f t="shared" si="2"/>
        <v>15%</v>
      </c>
      <c r="V47" s="848" t="str">
        <f t="shared" si="3"/>
        <v>(Light) Shadow Res +15%</v>
      </c>
      <c r="W47" s="857" t="str">
        <f>+INDEX(Endvr!$A$2:$K$3001,MATCH(B47,Endvr!$G:$G,0),MATCH("Description",Endvr!$A$2:$K$2,0))&amp;" ("&amp;INDEX(Endvr!$A$2:$K$3001,MATCH(B47,Endvr!$G:$G,0),MATCH("Event Name",Endvr!$A$2:$K$2,0))&amp;")"</f>
        <v>Clear Squash the Pumpking: Expert (Trick or Treasure!)</v>
      </c>
      <c r="X47" t="s">
        <v>13958</v>
      </c>
      <c r="Y47" t="s">
        <v>13967</v>
      </c>
      <c r="AA47" s="45"/>
    </row>
    <row r="48" spans="1:27" x14ac:dyDescent="0.2">
      <c r="A48" s="856">
        <v>400087</v>
      </c>
      <c r="B48" s="844" t="s">
        <v>13971</v>
      </c>
      <c r="C48" s="844" t="s">
        <v>13972</v>
      </c>
      <c r="D48" s="845">
        <v>43390</v>
      </c>
      <c r="E48" s="309">
        <v>5</v>
      </c>
      <c r="F48" s="309">
        <v>75</v>
      </c>
      <c r="G48" s="309">
        <v>27</v>
      </c>
      <c r="H48" s="261"/>
      <c r="I48" s="261"/>
      <c r="J48" s="261" t="s">
        <v>9612</v>
      </c>
      <c r="K48" s="846">
        <v>0.3</v>
      </c>
      <c r="L48" s="847" t="str">
        <f t="shared" si="0"/>
        <v>30%</v>
      </c>
      <c r="M48" s="848" t="str">
        <f t="shared" si="1"/>
        <v>Skill Damage +30%</v>
      </c>
      <c r="N48" s="309">
        <v>5</v>
      </c>
      <c r="O48" s="309">
        <v>150</v>
      </c>
      <c r="P48" s="309">
        <v>90</v>
      </c>
      <c r="Q48" s="261" t="s">
        <v>543</v>
      </c>
      <c r="R48" s="261" t="s">
        <v>1103</v>
      </c>
      <c r="S48" s="261" t="s">
        <v>9612</v>
      </c>
      <c r="T48" s="846">
        <v>0.35</v>
      </c>
      <c r="U48" s="847" t="str">
        <f t="shared" si="2"/>
        <v>35%</v>
      </c>
      <c r="V48" s="848" t="str">
        <f t="shared" si="3"/>
        <v>(Water) Skill Damage +35%</v>
      </c>
      <c r="W48" s="857" t="str">
        <f>+INDEX(Endvr!$A$2:$K$3001,MATCH(B48,Endvr!$G:$G,0),MATCH("Description",Endvr!$A$2:$K$2,0))&amp;" ("&amp;INDEX(Endvr!$A$2:$K$3001,MATCH(B48,Endvr!$G:$G,0),MATCH("Event Name",Endvr!$A$2:$K$2,0))&amp;")"</f>
        <v>Clear Trees in the Twilight (Trick or Treasure!)</v>
      </c>
      <c r="X48" t="s">
        <v>13958</v>
      </c>
      <c r="Y48" t="s">
        <v>13967</v>
      </c>
      <c r="AA48" s="45"/>
    </row>
    <row r="49" spans="1:27" x14ac:dyDescent="0.2">
      <c r="A49" s="856">
        <v>400074</v>
      </c>
      <c r="B49" s="844" t="s">
        <v>13973</v>
      </c>
      <c r="C49" s="844" t="s">
        <v>13974</v>
      </c>
      <c r="D49" s="845">
        <v>43404</v>
      </c>
      <c r="E49" s="309">
        <v>5</v>
      </c>
      <c r="F49" s="309">
        <v>94</v>
      </c>
      <c r="G49" s="309">
        <v>26</v>
      </c>
      <c r="H49" s="261" t="s">
        <v>949</v>
      </c>
      <c r="I49" s="261"/>
      <c r="J49" s="261" t="s">
        <v>13975</v>
      </c>
      <c r="K49" s="846">
        <v>0.15</v>
      </c>
      <c r="L49" s="847" t="str">
        <f t="shared" si="0"/>
        <v>15%</v>
      </c>
      <c r="M49" s="848" t="str">
        <f t="shared" si="1"/>
        <v>HP 70% = Healing +15%</v>
      </c>
      <c r="N49" s="309">
        <v>5</v>
      </c>
      <c r="O49" s="309">
        <v>150</v>
      </c>
      <c r="P49" s="309">
        <v>90</v>
      </c>
      <c r="Q49" s="261" t="s">
        <v>949</v>
      </c>
      <c r="R49" s="261"/>
      <c r="S49" s="261" t="s">
        <v>13882</v>
      </c>
      <c r="T49" s="846">
        <v>0.15</v>
      </c>
      <c r="U49" s="847" t="str">
        <f t="shared" si="2"/>
        <v>15%</v>
      </c>
      <c r="V49" s="848" t="str">
        <f t="shared" si="3"/>
        <v>Recovery Potency +15%</v>
      </c>
      <c r="W49" s="857" t="str">
        <f>+INDEX(Endvr!$A$2:$K$3001,MATCH(B49,Endvr!$G:$G,0),MATCH("Description",Endvr!$A$2:$K$2,0))&amp;" ("&amp;INDEX(Endvr!$A$2:$K$3001,MATCH(B49,Endvr!$G:$G,0),MATCH("Event Name",Endvr!$A$2:$K$2,0))&amp;")"</f>
        <v>Clear Hypnos Clash: Expert (Kindness and Captivity)</v>
      </c>
      <c r="X49" t="s">
        <v>13958</v>
      </c>
      <c r="Y49" t="s">
        <v>13976</v>
      </c>
      <c r="AA49" s="45"/>
    </row>
    <row r="50" spans="1:27" x14ac:dyDescent="0.2">
      <c r="A50" s="856">
        <v>400099</v>
      </c>
      <c r="B50" s="844" t="s">
        <v>13977</v>
      </c>
      <c r="C50" s="844" t="s">
        <v>13978</v>
      </c>
      <c r="D50" s="845">
        <v>43404</v>
      </c>
      <c r="E50" s="309">
        <v>5</v>
      </c>
      <c r="F50" s="309">
        <v>88</v>
      </c>
      <c r="G50" s="309">
        <v>32</v>
      </c>
      <c r="H50" s="261" t="s">
        <v>759</v>
      </c>
      <c r="I50" s="261"/>
      <c r="J50" s="261" t="s">
        <v>13863</v>
      </c>
      <c r="K50" s="846">
        <v>0.08</v>
      </c>
      <c r="L50" s="847" t="str">
        <f t="shared" si="0"/>
        <v>8%</v>
      </c>
      <c r="M50" s="848" t="str">
        <f t="shared" si="1"/>
        <v>Skill Haste +8%</v>
      </c>
      <c r="N50" s="309">
        <v>5</v>
      </c>
      <c r="O50" s="309">
        <v>150</v>
      </c>
      <c r="P50" s="309">
        <v>90</v>
      </c>
      <c r="Q50" s="261" t="s">
        <v>759</v>
      </c>
      <c r="R50" s="261"/>
      <c r="S50" s="261" t="s">
        <v>13863</v>
      </c>
      <c r="T50" s="846">
        <v>0.08</v>
      </c>
      <c r="U50" s="847" t="str">
        <f t="shared" si="2"/>
        <v>8%</v>
      </c>
      <c r="V50" s="848" t="str">
        <f t="shared" si="3"/>
        <v>Skill Haste +8%</v>
      </c>
      <c r="W50" s="857" t="str">
        <f>+INDEX(Endvr!$A$2:$K$3001,MATCH(B50,Endvr!$G:$G,0),MATCH("Description",Endvr!$A$2:$K$2,0))&amp;" ("&amp;INDEX(Endvr!$A$2:$K$3001,MATCH(B50,Endvr!$G:$G,0),MATCH("Event Name",Endvr!$A$2:$K$2,0))&amp;")"</f>
        <v>Obtain From Ch. 12 EX 1 Chest (Normal) (Non-Endeavor)</v>
      </c>
      <c r="X50" t="s">
        <v>13843</v>
      </c>
      <c r="Y50" t="s">
        <v>13918</v>
      </c>
      <c r="Z50" t="s">
        <v>13979</v>
      </c>
      <c r="AA50" s="45"/>
    </row>
    <row r="51" spans="1:27" x14ac:dyDescent="0.2">
      <c r="A51" s="856">
        <v>400103</v>
      </c>
      <c r="B51" s="844" t="s">
        <v>13980</v>
      </c>
      <c r="C51" s="844" t="s">
        <v>13981</v>
      </c>
      <c r="D51" s="845">
        <v>43419</v>
      </c>
      <c r="E51" s="309">
        <v>5</v>
      </c>
      <c r="F51" s="309">
        <v>88</v>
      </c>
      <c r="G51" s="309">
        <v>32</v>
      </c>
      <c r="H51" s="261"/>
      <c r="I51" s="261"/>
      <c r="J51" s="261" t="s">
        <v>13982</v>
      </c>
      <c r="K51" s="846">
        <v>0.5</v>
      </c>
      <c r="L51" s="847" t="str">
        <f t="shared" si="0"/>
        <v>50%</v>
      </c>
      <c r="M51" s="848" t="str">
        <f t="shared" si="1"/>
        <v>Skill Prep +50%</v>
      </c>
      <c r="N51" s="309">
        <v>5</v>
      </c>
      <c r="O51" s="309">
        <v>150</v>
      </c>
      <c r="P51" s="309">
        <v>90</v>
      </c>
      <c r="Q51" s="261" t="s">
        <v>13895</v>
      </c>
      <c r="R51" s="261"/>
      <c r="S51" s="261" t="s">
        <v>13982</v>
      </c>
      <c r="T51" s="846">
        <v>0.5</v>
      </c>
      <c r="U51" s="847" t="str">
        <f t="shared" si="2"/>
        <v>50%</v>
      </c>
      <c r="V51" s="848" t="str">
        <f t="shared" si="3"/>
        <v>Skill Prep +50%</v>
      </c>
      <c r="W51" s="857" t="str">
        <f>+INDEX(Endvr!$A$2:$K$3001,MATCH(B51,Endvr!$G:$G,0),MATCH("Description",Endvr!$A$2:$K$2,0))&amp;" ("&amp;INDEX(Endvr!$A$2:$K$3001,MATCH(B51,Endvr!$G:$G,0),MATCH("Event Name",Endvr!$A$2:$K$2,0))&amp;")"</f>
        <v>Clear Fiend Alert!: Expert (A Wish to the Winds)</v>
      </c>
      <c r="X51" t="s">
        <v>13958</v>
      </c>
      <c r="Y51" t="s">
        <v>13983</v>
      </c>
      <c r="AA51" s="98"/>
    </row>
    <row r="52" spans="1:27" x14ac:dyDescent="0.2">
      <c r="A52" s="856">
        <v>400104</v>
      </c>
      <c r="B52" s="844" t="s">
        <v>13984</v>
      </c>
      <c r="C52" s="844" t="s">
        <v>13985</v>
      </c>
      <c r="D52" s="845">
        <v>43419</v>
      </c>
      <c r="E52" s="309">
        <v>5</v>
      </c>
      <c r="F52" s="309">
        <v>88</v>
      </c>
      <c r="G52" s="309">
        <v>32</v>
      </c>
      <c r="H52" s="261"/>
      <c r="I52" s="261"/>
      <c r="J52" s="261" t="s">
        <v>13929</v>
      </c>
      <c r="K52" s="846">
        <v>0.3</v>
      </c>
      <c r="L52" s="847" t="str">
        <f t="shared" si="0"/>
        <v>30%</v>
      </c>
      <c r="M52" s="848" t="str">
        <f t="shared" si="1"/>
        <v>Broken Punisher +30%</v>
      </c>
      <c r="N52" s="309">
        <v>5</v>
      </c>
      <c r="O52" s="309">
        <v>150</v>
      </c>
      <c r="P52" s="309">
        <v>90</v>
      </c>
      <c r="Q52" s="261" t="s">
        <v>543</v>
      </c>
      <c r="R52" s="261" t="s">
        <v>330</v>
      </c>
      <c r="S52" s="261" t="s">
        <v>8958</v>
      </c>
      <c r="T52" s="846">
        <v>0.25</v>
      </c>
      <c r="U52" s="847" t="str">
        <f t="shared" si="2"/>
        <v>25%</v>
      </c>
      <c r="V52" s="848" t="str">
        <f t="shared" si="3"/>
        <v>(Blade) Critical Damage +25%</v>
      </c>
      <c r="W52" s="857" t="str">
        <f>+INDEX(Endvr!$A$2:$K$3001,MATCH(B52,Endvr!$G:$G,0),MATCH("Description",Endvr!$A$2:$K$2,0))&amp;" ("&amp;INDEX(Endvr!$A$2:$K$3001,MATCH(B52,Endvr!$G:$G,0),MATCH("Event Name",Endvr!$A$2:$K$2,0))&amp;")"</f>
        <v>Clear Ruler of the Shore: Master (A Wish to the Winds)</v>
      </c>
      <c r="X52" t="s">
        <v>13958</v>
      </c>
      <c r="Y52" t="s">
        <v>13983</v>
      </c>
      <c r="AA52" s="45"/>
    </row>
    <row r="53" spans="1:27" x14ac:dyDescent="0.2">
      <c r="A53" s="856">
        <v>400107</v>
      </c>
      <c r="B53" s="844" t="s">
        <v>13986</v>
      </c>
      <c r="C53" s="844" t="s">
        <v>13987</v>
      </c>
      <c r="D53" s="845">
        <v>43419</v>
      </c>
      <c r="E53" s="309">
        <v>5</v>
      </c>
      <c r="F53" s="309">
        <v>77</v>
      </c>
      <c r="G53" s="309">
        <v>25</v>
      </c>
      <c r="H53" s="261"/>
      <c r="I53" s="261"/>
      <c r="J53" s="261" t="s">
        <v>13882</v>
      </c>
      <c r="K53" s="846">
        <v>0.13</v>
      </c>
      <c r="L53" s="847" t="str">
        <f t="shared" si="0"/>
        <v>13%</v>
      </c>
      <c r="M53" s="848" t="str">
        <f t="shared" si="1"/>
        <v>Recovery Potency +13%</v>
      </c>
      <c r="N53" s="309">
        <v>5</v>
      </c>
      <c r="O53" s="309">
        <v>150</v>
      </c>
      <c r="P53" s="309">
        <v>90</v>
      </c>
      <c r="Q53" s="261" t="s">
        <v>13889</v>
      </c>
      <c r="R53" s="261"/>
      <c r="S53" s="261" t="s">
        <v>13882</v>
      </c>
      <c r="T53" s="846">
        <v>0.15</v>
      </c>
      <c r="U53" s="847" t="str">
        <f t="shared" si="2"/>
        <v>15%</v>
      </c>
      <c r="V53" s="848" t="str">
        <f t="shared" si="3"/>
        <v>Recovery Potency +15%</v>
      </c>
      <c r="W53" s="857" t="str">
        <f>+INDEX(Endvr!$A$2:$K$3001,MATCH(B53,Endvr!$G:$G,0),MATCH("Description",Endvr!$A$2:$K$2,0))&amp;" ("&amp;INDEX(Endvr!$A$2:$K$3001,MATCH(B53,Endvr!$G:$G,0),MATCH("Event Name",Endvr!$A$2:$K$2,0))&amp;")"</f>
        <v>Clear a Boss Battle on Beginner (A Wish to the Winds)</v>
      </c>
      <c r="X53" t="s">
        <v>13958</v>
      </c>
      <c r="Y53" t="s">
        <v>13983</v>
      </c>
      <c r="AA53" s="98"/>
    </row>
    <row r="54" spans="1:27" x14ac:dyDescent="0.2">
      <c r="A54" s="856">
        <v>400110</v>
      </c>
      <c r="B54" s="844" t="s">
        <v>13988</v>
      </c>
      <c r="C54" s="844" t="s">
        <v>13989</v>
      </c>
      <c r="D54" s="845">
        <v>43434</v>
      </c>
      <c r="E54" s="309">
        <v>5</v>
      </c>
      <c r="F54" s="309">
        <v>88</v>
      </c>
      <c r="G54" s="309">
        <v>32</v>
      </c>
      <c r="H54" s="261" t="s">
        <v>13855</v>
      </c>
      <c r="I54" s="261"/>
      <c r="J54" s="261" t="s">
        <v>9612</v>
      </c>
      <c r="K54" s="846">
        <v>0.3</v>
      </c>
      <c r="L54" s="847" t="str">
        <f t="shared" si="0"/>
        <v>30%</v>
      </c>
      <c r="M54" s="848" t="str">
        <f t="shared" si="1"/>
        <v>Skill Damage +30%</v>
      </c>
      <c r="N54" s="309">
        <v>5</v>
      </c>
      <c r="O54" s="309">
        <v>150</v>
      </c>
      <c r="P54" s="309">
        <v>90</v>
      </c>
      <c r="Q54" s="261" t="s">
        <v>949</v>
      </c>
      <c r="R54" s="261" t="s">
        <v>2837</v>
      </c>
      <c r="S54" s="261" t="s">
        <v>9612</v>
      </c>
      <c r="T54" s="846">
        <v>0.35</v>
      </c>
      <c r="U54" s="847" t="str">
        <f t="shared" si="2"/>
        <v>35%</v>
      </c>
      <c r="V54" s="848" t="str">
        <f t="shared" si="3"/>
        <v>(Light) Skill Damage +35%</v>
      </c>
      <c r="W54" s="857" t="str">
        <f>+INDEX(Endvr!$A$2:$K$3001,MATCH(B54,Endvr!$G:$G,0),MATCH("Description",Endvr!$A$2:$K$2,0))&amp;" ("&amp;INDEX(Endvr!$A$2:$K$3001,MATCH(B54,Endvr!$G:$G,0),MATCH("Event Name",Endvr!$A$2:$K$2,0))&amp;")"</f>
        <v>Clear Sabnock Clash: Nightmare (Resplendent Refrain)</v>
      </c>
      <c r="X54" t="s">
        <v>13958</v>
      </c>
      <c r="Y54" t="s">
        <v>13990</v>
      </c>
      <c r="AA54" s="45"/>
    </row>
    <row r="55" spans="1:27" x14ac:dyDescent="0.2">
      <c r="A55" s="856">
        <v>400111</v>
      </c>
      <c r="B55" s="844" t="s">
        <v>13991</v>
      </c>
      <c r="C55" s="844" t="s">
        <v>13992</v>
      </c>
      <c r="D55" s="845">
        <v>43434</v>
      </c>
      <c r="E55" s="309">
        <v>5</v>
      </c>
      <c r="F55" s="309">
        <v>97</v>
      </c>
      <c r="G55" s="309">
        <v>23</v>
      </c>
      <c r="H55" s="261"/>
      <c r="I55" s="261"/>
      <c r="J55" s="261" t="s">
        <v>13993</v>
      </c>
      <c r="K55" s="846">
        <v>0.6</v>
      </c>
      <c r="L55" s="847" t="str">
        <f t="shared" si="0"/>
        <v>60%</v>
      </c>
      <c r="M55" s="848" t="str">
        <f t="shared" si="1"/>
        <v>Curse Res +60%</v>
      </c>
      <c r="N55" s="309">
        <v>5</v>
      </c>
      <c r="O55" s="309">
        <v>150</v>
      </c>
      <c r="P55" s="309">
        <v>90</v>
      </c>
      <c r="Q55" s="261" t="s">
        <v>13915</v>
      </c>
      <c r="R55" s="261"/>
      <c r="S55" s="261" t="s">
        <v>13993</v>
      </c>
      <c r="T55" s="846">
        <v>1</v>
      </c>
      <c r="U55" s="847" t="str">
        <f t="shared" si="2"/>
        <v>100%</v>
      </c>
      <c r="V55" s="848" t="str">
        <f t="shared" si="3"/>
        <v>Curse Res +100%</v>
      </c>
      <c r="W55" s="857" t="str">
        <f>+INDEX(Endvr!$A$2:$K$3001,MATCH(B55,Endvr!$G:$G,0),MATCH("Description",Endvr!$A$2:$K$2,0))</f>
        <v>Clear Jupiter's Trial: Master</v>
      </c>
      <c r="X55" t="s">
        <v>13843</v>
      </c>
      <c r="Y55" t="s">
        <v>13994</v>
      </c>
      <c r="Z55" t="s">
        <v>2837</v>
      </c>
      <c r="AA55" s="45"/>
    </row>
    <row r="56" spans="1:27" x14ac:dyDescent="0.2">
      <c r="A56" s="856">
        <v>400121</v>
      </c>
      <c r="B56" s="844" t="s">
        <v>13995</v>
      </c>
      <c r="C56" s="844" t="s">
        <v>13996</v>
      </c>
      <c r="D56" s="845">
        <v>43451</v>
      </c>
      <c r="E56" s="309">
        <v>5</v>
      </c>
      <c r="F56" s="309">
        <v>83</v>
      </c>
      <c r="G56" s="309">
        <v>20</v>
      </c>
      <c r="H56" s="261"/>
      <c r="I56" s="261"/>
      <c r="J56" s="261" t="s">
        <v>13997</v>
      </c>
      <c r="K56" s="846">
        <v>0.25</v>
      </c>
      <c r="L56" s="847" t="str">
        <f t="shared" si="0"/>
        <v>25%</v>
      </c>
      <c r="M56" s="848" t="str">
        <f t="shared" si="1"/>
        <v>High Brunhilda Res +25%</v>
      </c>
      <c r="N56" s="309">
        <v>5</v>
      </c>
      <c r="O56" s="309">
        <v>150</v>
      </c>
      <c r="P56" s="309">
        <v>90</v>
      </c>
      <c r="Q56" s="261" t="s">
        <v>13862</v>
      </c>
      <c r="R56" s="261"/>
      <c r="S56" s="261" t="s">
        <v>13997</v>
      </c>
      <c r="T56" s="846">
        <v>0.25</v>
      </c>
      <c r="U56" s="847" t="str">
        <f t="shared" si="2"/>
        <v>25%</v>
      </c>
      <c r="V56" s="848" t="str">
        <f t="shared" si="3"/>
        <v>High Brunhilda Res +25%</v>
      </c>
      <c r="W56" s="857" t="str">
        <f>+INDEX(Endvr!$A$2:$K$3001,MATCH(B56,Endvr!$G:$G,0),MATCH("Description",Endvr!$A$2:$K$2,0))&amp;" ("&amp;INDEX(Endvr!$A$2:$K$3001,MATCH(B56,Endvr!$G:$G,0),MATCH("Event Name",Endvr!$A$2:$K$2,0))&amp;")"</f>
        <v>Clear Battle in the Dornith Mountains: Beginner (The Imperial Onslaught)</v>
      </c>
      <c r="X56" t="s">
        <v>13843</v>
      </c>
      <c r="Y56" t="s">
        <v>13954</v>
      </c>
      <c r="Z56" t="s">
        <v>1103</v>
      </c>
      <c r="AA56" s="45"/>
    </row>
    <row r="57" spans="1:27" x14ac:dyDescent="0.2">
      <c r="A57" s="856">
        <v>400091</v>
      </c>
      <c r="B57" s="844" t="s">
        <v>13998</v>
      </c>
      <c r="C57" s="844" t="s">
        <v>13999</v>
      </c>
      <c r="D57" s="845">
        <v>43451</v>
      </c>
      <c r="E57" s="309">
        <v>5</v>
      </c>
      <c r="F57" s="309">
        <v>95</v>
      </c>
      <c r="G57" s="309">
        <v>26</v>
      </c>
      <c r="H57" s="261"/>
      <c r="I57" s="261"/>
      <c r="J57" s="261" t="s">
        <v>14000</v>
      </c>
      <c r="K57" s="846">
        <v>0.13</v>
      </c>
      <c r="L57" s="847" t="str">
        <f t="shared" si="0"/>
        <v>13%</v>
      </c>
      <c r="M57" s="848" t="str">
        <f t="shared" si="1"/>
        <v>HP 70% = Defense +13%</v>
      </c>
      <c r="N57" s="309">
        <v>5</v>
      </c>
      <c r="O57" s="309">
        <v>150</v>
      </c>
      <c r="P57" s="309">
        <v>90</v>
      </c>
      <c r="Q57" s="261" t="s">
        <v>13847</v>
      </c>
      <c r="R57" s="261"/>
      <c r="S57" s="261" t="s">
        <v>241</v>
      </c>
      <c r="T57" s="846">
        <v>0.2</v>
      </c>
      <c r="U57" s="847" t="str">
        <f t="shared" si="2"/>
        <v>20%</v>
      </c>
      <c r="V57" s="848" t="str">
        <f t="shared" si="3"/>
        <v>Defense +20%</v>
      </c>
      <c r="W57" s="857" t="str">
        <f>+INDEX(Endvr!$A$2:$K$3001,MATCH(B57,Endvr!$G:$G,0),MATCH("Description",Endvr!$A$2:$K$2,0))&amp;" ("&amp;INDEX(Endvr!$A$2:$K$3001,MATCH(B57,Endvr!$G:$G,0),MATCH("Event Name",Endvr!$A$2:$K$2,0))&amp;")"</f>
        <v>Read Episode 5 of the Event Story (The Miracle of Dragonyule)</v>
      </c>
      <c r="X57" t="s">
        <v>13958</v>
      </c>
      <c r="Y57" t="s">
        <v>14001</v>
      </c>
      <c r="AA57" s="45"/>
    </row>
    <row r="58" spans="1:27" x14ac:dyDescent="0.2">
      <c r="A58" s="856">
        <v>400115</v>
      </c>
      <c r="B58" s="844" t="s">
        <v>14002</v>
      </c>
      <c r="C58" s="844" t="s">
        <v>14003</v>
      </c>
      <c r="D58" s="845">
        <v>43451</v>
      </c>
      <c r="E58" s="309">
        <v>5</v>
      </c>
      <c r="F58" s="309">
        <v>89</v>
      </c>
      <c r="G58" s="309">
        <v>32</v>
      </c>
      <c r="H58" s="261"/>
      <c r="I58" s="261" t="s">
        <v>1103</v>
      </c>
      <c r="J58" s="261" t="s">
        <v>13966</v>
      </c>
      <c r="K58" s="846">
        <v>0.12</v>
      </c>
      <c r="L58" s="847" t="str">
        <f t="shared" si="0"/>
        <v>12%</v>
      </c>
      <c r="M58" s="848" t="str">
        <f t="shared" si="1"/>
        <v>(Water) Flurry Devastation +12%</v>
      </c>
      <c r="N58" s="309">
        <v>5</v>
      </c>
      <c r="O58" s="309">
        <v>150</v>
      </c>
      <c r="P58" s="309">
        <v>90</v>
      </c>
      <c r="Q58" s="261" t="s">
        <v>13862</v>
      </c>
      <c r="R58" s="261" t="s">
        <v>1103</v>
      </c>
      <c r="S58" s="261" t="s">
        <v>13966</v>
      </c>
      <c r="T58" s="846">
        <v>0.15</v>
      </c>
      <c r="U58" s="847" t="str">
        <f t="shared" si="2"/>
        <v>15%</v>
      </c>
      <c r="V58" s="848" t="str">
        <f t="shared" si="3"/>
        <v>(Water) Flurry Devastation +15%</v>
      </c>
      <c r="W58" s="857" t="str">
        <f>+INDEX(Endvr!$A$2:$K$3001,MATCH(B58,Endvr!$G:$G,0),MATCH("Description",Endvr!$A$2:$K$2,0))&amp;" ("&amp;INDEX(Endvr!$A$2:$K$3001,MATCH(B58,Endvr!$G:$G,0),MATCH("Event Name",Endvr!$A$2:$K$2,0))&amp;")"</f>
        <v>Read Episode 5 of the Event Story (The Miracle of Dragonyule)</v>
      </c>
      <c r="X58" t="s">
        <v>13958</v>
      </c>
      <c r="Y58" t="s">
        <v>14001</v>
      </c>
      <c r="AA58" s="45"/>
    </row>
    <row r="59" spans="1:27" x14ac:dyDescent="0.2">
      <c r="A59" s="856">
        <v>400118</v>
      </c>
      <c r="B59" s="844" t="s">
        <v>14004</v>
      </c>
      <c r="C59" s="844" t="s">
        <v>14005</v>
      </c>
      <c r="D59" s="845">
        <v>43451</v>
      </c>
      <c r="E59" s="309">
        <v>5</v>
      </c>
      <c r="F59" s="309">
        <v>76</v>
      </c>
      <c r="G59" s="309">
        <v>26</v>
      </c>
      <c r="H59" s="261"/>
      <c r="I59" s="261"/>
      <c r="J59" s="261" t="s">
        <v>13982</v>
      </c>
      <c r="K59" s="846">
        <v>0.5</v>
      </c>
      <c r="L59" s="847" t="str">
        <f t="shared" si="0"/>
        <v>50%</v>
      </c>
      <c r="M59" s="848" t="str">
        <f t="shared" si="1"/>
        <v>Skill Prep +50%</v>
      </c>
      <c r="N59" s="309">
        <v>5</v>
      </c>
      <c r="O59" s="309">
        <v>150</v>
      </c>
      <c r="P59" s="309">
        <v>90</v>
      </c>
      <c r="Q59" s="261" t="s">
        <v>13862</v>
      </c>
      <c r="R59" s="261"/>
      <c r="S59" s="261" t="s">
        <v>13982</v>
      </c>
      <c r="T59" s="846">
        <v>0.5</v>
      </c>
      <c r="U59" s="847" t="str">
        <f t="shared" si="2"/>
        <v>50%</v>
      </c>
      <c r="V59" s="848" t="str">
        <f t="shared" si="3"/>
        <v>Skill Prep +50%</v>
      </c>
      <c r="W59" s="857" t="str">
        <f>+INDEX(Endvr!$A$2:$K$3001,MATCH(B59,Endvr!$G:$G,0),MATCH("Description",Endvr!$A$2:$K$2,0))&amp;" ("&amp;INDEX(Endvr!$A$2:$K$3001,MATCH(B59,Endvr!$G:$G,0),MATCH("Event Name",Endvr!$A$2:$K$2,0))&amp;")"</f>
        <v>Read Episode 5 of the Event Story (The Miracle of Dragonyule)</v>
      </c>
      <c r="X59" t="s">
        <v>13958</v>
      </c>
      <c r="Y59" t="s">
        <v>14001</v>
      </c>
      <c r="AA59" s="45"/>
    </row>
    <row r="60" spans="1:27" x14ac:dyDescent="0.2">
      <c r="A60" s="856">
        <v>400123</v>
      </c>
      <c r="B60" s="844" t="s">
        <v>14006</v>
      </c>
      <c r="C60" s="844" t="s">
        <v>14007</v>
      </c>
      <c r="D60" s="845">
        <v>43451</v>
      </c>
      <c r="E60" s="309">
        <v>5</v>
      </c>
      <c r="F60" s="309">
        <v>76</v>
      </c>
      <c r="G60" s="309">
        <v>26</v>
      </c>
      <c r="H60" s="261"/>
      <c r="I60" s="261"/>
      <c r="J60" s="261" t="s">
        <v>14008</v>
      </c>
      <c r="K60" s="846">
        <v>0.1</v>
      </c>
      <c r="L60" s="847" t="str">
        <f t="shared" si="0"/>
        <v>10%</v>
      </c>
      <c r="M60" s="848" t="str">
        <f t="shared" si="1"/>
        <v>Player EXP +10%</v>
      </c>
      <c r="N60" s="309">
        <v>5</v>
      </c>
      <c r="O60" s="309">
        <v>150</v>
      </c>
      <c r="P60" s="309">
        <v>90</v>
      </c>
      <c r="Q60" s="261" t="s">
        <v>759</v>
      </c>
      <c r="R60" s="261" t="s">
        <v>949</v>
      </c>
      <c r="S60" s="261" t="s">
        <v>13852</v>
      </c>
      <c r="T60" s="846">
        <v>0.15</v>
      </c>
      <c r="U60" s="847" t="str">
        <f t="shared" si="2"/>
        <v>15%</v>
      </c>
      <c r="V60" s="848" t="str">
        <f t="shared" si="3"/>
        <v>(Staff) Critical Rate +15%</v>
      </c>
      <c r="W60" s="857" t="str">
        <f>+INDEX(Endvr!$A$2:$K$3001,MATCH(B60,Endvr!$G:$G,0),MATCH("Description",Endvr!$A$2:$K$2,0))&amp;" ("&amp;INDEX(Endvr!$A$2:$K$3001,MATCH(B60,Endvr!$G:$G,0),MATCH("Event Name",Endvr!$A$2:$K$2,0))&amp;")"</f>
        <v>Read Episode 5 of the Event Story (The Miracle of Dragonyule)</v>
      </c>
      <c r="X60" t="s">
        <v>13958</v>
      </c>
      <c r="Y60" t="s">
        <v>14001</v>
      </c>
      <c r="AA60" s="98"/>
    </row>
    <row r="61" spans="1:27" x14ac:dyDescent="0.2">
      <c r="A61" s="856">
        <v>400124</v>
      </c>
      <c r="B61" s="844" t="s">
        <v>14009</v>
      </c>
      <c r="C61" s="844" t="s">
        <v>14010</v>
      </c>
      <c r="D61" s="845">
        <v>43465</v>
      </c>
      <c r="E61" s="309">
        <v>5</v>
      </c>
      <c r="F61" s="309">
        <v>97</v>
      </c>
      <c r="G61" s="309">
        <v>23</v>
      </c>
      <c r="H61" s="261"/>
      <c r="I61" s="261"/>
      <c r="J61" s="261" t="s">
        <v>14011</v>
      </c>
      <c r="K61" s="846">
        <v>0.13</v>
      </c>
      <c r="L61" s="847" t="str">
        <f t="shared" si="0"/>
        <v>13%</v>
      </c>
      <c r="M61" s="848" t="str">
        <f t="shared" si="1"/>
        <v>Light Res +13%</v>
      </c>
      <c r="N61" s="309">
        <v>5</v>
      </c>
      <c r="O61" s="309">
        <v>150</v>
      </c>
      <c r="P61" s="309">
        <v>90</v>
      </c>
      <c r="Q61" s="261" t="s">
        <v>13877</v>
      </c>
      <c r="R61" s="261" t="s">
        <v>3779</v>
      </c>
      <c r="S61" s="261" t="s">
        <v>14011</v>
      </c>
      <c r="T61" s="846">
        <v>0.15</v>
      </c>
      <c r="U61" s="847" t="str">
        <f t="shared" si="2"/>
        <v>15%</v>
      </c>
      <c r="V61" s="848" t="str">
        <f t="shared" si="3"/>
        <v>(Shadow) Light Res +15%</v>
      </c>
      <c r="W61" s="857" t="str">
        <f>+INDEX(Endvr!$A$2:$K$3001,MATCH(B61,Endvr!$G:$G,0),MATCH("Description",Endvr!$A$2:$K$2,0))&amp;" ("&amp;INDEX(Endvr!$A$2:$K$3001,MATCH(B61,Endvr!$G:$G,0),MATCH("Event Name",Endvr!$A$2:$K$2,0))&amp;")"</f>
        <v>Clear Shishimai Showdown: Nightmare (Fortune from Afar)</v>
      </c>
      <c r="X61" t="s">
        <v>13958</v>
      </c>
      <c r="Y61" t="s">
        <v>14012</v>
      </c>
      <c r="AA61" s="45"/>
    </row>
    <row r="62" spans="1:27" x14ac:dyDescent="0.2">
      <c r="A62" s="856">
        <v>400125</v>
      </c>
      <c r="B62" s="844" t="s">
        <v>14013</v>
      </c>
      <c r="C62" s="844" t="s">
        <v>14014</v>
      </c>
      <c r="D62" s="845">
        <v>43465</v>
      </c>
      <c r="E62" s="309">
        <v>5</v>
      </c>
      <c r="F62" s="309">
        <v>88</v>
      </c>
      <c r="G62" s="309">
        <v>32</v>
      </c>
      <c r="H62" s="261" t="s">
        <v>13855</v>
      </c>
      <c r="I62" s="261"/>
      <c r="J62" s="261" t="s">
        <v>9612</v>
      </c>
      <c r="K62" s="846">
        <v>0.3</v>
      </c>
      <c r="L62" s="847" t="str">
        <f t="shared" si="0"/>
        <v>30%</v>
      </c>
      <c r="M62" s="848" t="str">
        <f t="shared" si="1"/>
        <v>Skill Damage +30%</v>
      </c>
      <c r="N62" s="309">
        <v>5</v>
      </c>
      <c r="O62" s="309">
        <v>150</v>
      </c>
      <c r="P62" s="309">
        <v>90</v>
      </c>
      <c r="Q62" s="261" t="s">
        <v>13936</v>
      </c>
      <c r="R62" s="261" t="s">
        <v>3779</v>
      </c>
      <c r="S62" s="261" t="s">
        <v>9612</v>
      </c>
      <c r="T62" s="846">
        <v>0.35</v>
      </c>
      <c r="U62" s="847" t="str">
        <f t="shared" si="2"/>
        <v>35%</v>
      </c>
      <c r="V62" s="848" t="str">
        <f t="shared" si="3"/>
        <v>(Shadow) Skill Damage +35%</v>
      </c>
      <c r="W62" s="857" t="str">
        <f>+INDEX(Endvr!$A$2:$K$3001,MATCH(B62,Endvr!$G:$G,0),MATCH("Description",Endvr!$A$2:$K$2,0))&amp;" ("&amp;INDEX(Endvr!$A$2:$K$3001,MATCH(B62,Endvr!$G:$G,0),MATCH("Event Name",Endvr!$A$2:$K$2,0))&amp;")"</f>
        <v>Clear Ieyasu's Crucible: Expert (Fortune from Afar)</v>
      </c>
      <c r="X62" t="s">
        <v>13958</v>
      </c>
      <c r="Y62" t="s">
        <v>14012</v>
      </c>
      <c r="AA62" s="45"/>
    </row>
    <row r="63" spans="1:27" x14ac:dyDescent="0.2">
      <c r="A63" s="856">
        <v>400128</v>
      </c>
      <c r="B63" s="844" t="s">
        <v>14015</v>
      </c>
      <c r="C63" s="844" t="s">
        <v>14016</v>
      </c>
      <c r="D63" s="845">
        <v>43480</v>
      </c>
      <c r="E63" s="309">
        <v>5</v>
      </c>
      <c r="F63" s="309">
        <v>91</v>
      </c>
      <c r="G63" s="309">
        <v>29</v>
      </c>
      <c r="H63" s="261"/>
      <c r="I63" s="261" t="s">
        <v>645</v>
      </c>
      <c r="J63" s="261" t="s">
        <v>9612</v>
      </c>
      <c r="K63" s="846">
        <v>0.4</v>
      </c>
      <c r="L63" s="847" t="str">
        <f t="shared" si="0"/>
        <v>40%</v>
      </c>
      <c r="M63" s="848" t="str">
        <f t="shared" si="1"/>
        <v>(Lance) Skill Damage +40%</v>
      </c>
      <c r="N63" s="309">
        <v>5</v>
      </c>
      <c r="O63" s="309">
        <v>150</v>
      </c>
      <c r="P63" s="309">
        <v>90</v>
      </c>
      <c r="Q63" s="261" t="s">
        <v>645</v>
      </c>
      <c r="R63" s="261" t="s">
        <v>645</v>
      </c>
      <c r="S63" s="261" t="s">
        <v>9612</v>
      </c>
      <c r="T63" s="846">
        <v>0.4</v>
      </c>
      <c r="U63" s="847" t="str">
        <f t="shared" si="2"/>
        <v>40%</v>
      </c>
      <c r="V63" s="848" t="str">
        <f t="shared" si="3"/>
        <v>(Lance) Skill Damage +40%</v>
      </c>
      <c r="W63" s="857" t="str">
        <f>+INDEX(Endvr!$A$2:$K$3001,MATCH(B63,Endvr!$G:$G,0),MATCH("Description",Endvr!$A$2:$K$2,0))&amp;" ("&amp;INDEX(Endvr!$A$2:$K$3001,MATCH(B63,Endvr!$G:$G,0),MATCH("Event Name",Endvr!$A$2:$K$2,0))&amp;")"</f>
        <v>Clear Top Star Trial: Master (Dream Big Under the Big Top)</v>
      </c>
      <c r="X63" t="s">
        <v>13958</v>
      </c>
      <c r="Y63" t="s">
        <v>14017</v>
      </c>
      <c r="AA63" s="45"/>
    </row>
    <row r="64" spans="1:27" x14ac:dyDescent="0.2">
      <c r="A64" s="856">
        <v>400129</v>
      </c>
      <c r="B64" s="844" t="s">
        <v>14018</v>
      </c>
      <c r="C64" s="844" t="s">
        <v>14019</v>
      </c>
      <c r="D64" s="845">
        <v>43480</v>
      </c>
      <c r="E64" s="309">
        <v>5</v>
      </c>
      <c r="F64" s="309">
        <v>88</v>
      </c>
      <c r="G64" s="309">
        <v>32</v>
      </c>
      <c r="H64" s="261"/>
      <c r="I64" s="261"/>
      <c r="J64" s="261" t="s">
        <v>13950</v>
      </c>
      <c r="K64" s="846">
        <v>0.5</v>
      </c>
      <c r="L64" s="847" t="str">
        <f t="shared" si="0"/>
        <v>50%</v>
      </c>
      <c r="M64" s="848" t="str">
        <f t="shared" si="1"/>
        <v>Force Strike +50%</v>
      </c>
      <c r="N64" s="309">
        <v>5</v>
      </c>
      <c r="O64" s="309">
        <v>150</v>
      </c>
      <c r="P64" s="309">
        <v>90</v>
      </c>
      <c r="Q64" s="261" t="s">
        <v>13906</v>
      </c>
      <c r="R64" s="261"/>
      <c r="S64" s="261" t="s">
        <v>13950</v>
      </c>
      <c r="T64" s="846">
        <v>0.5</v>
      </c>
      <c r="U64" s="847" t="str">
        <f t="shared" si="2"/>
        <v>50%</v>
      </c>
      <c r="V64" s="848" t="str">
        <f t="shared" si="3"/>
        <v>Force Strike +50%</v>
      </c>
      <c r="W64" s="857" t="str">
        <f>+INDEX(Endvr!$A$2:$K$3001,MATCH(B64,Endvr!$G:$G,0),MATCH("Description",Endvr!$A$2:$K$2,0))&amp;" ("&amp;INDEX(Endvr!$A$2:$K$3001,MATCH(B64,Endvr!$G:$G,0),MATCH("Event Name",Endvr!$A$2:$K$2,0))&amp;")"</f>
        <v>Clear Welcome to the Fiend Circus: Expert (Dream Big Under the Big Top)</v>
      </c>
      <c r="X64" t="s">
        <v>13958</v>
      </c>
      <c r="Y64" t="s">
        <v>14017</v>
      </c>
      <c r="AA64" s="45"/>
    </row>
    <row r="65" spans="1:27" x14ac:dyDescent="0.2">
      <c r="A65" s="856">
        <v>400131</v>
      </c>
      <c r="B65" s="844" t="s">
        <v>14020</v>
      </c>
      <c r="C65" s="844" t="s">
        <v>14021</v>
      </c>
      <c r="D65" s="845">
        <v>43480</v>
      </c>
      <c r="E65" s="309">
        <v>5</v>
      </c>
      <c r="F65" s="309">
        <v>75</v>
      </c>
      <c r="G65" s="309">
        <v>27</v>
      </c>
      <c r="H65" s="261"/>
      <c r="I65" s="261" t="s">
        <v>1947</v>
      </c>
      <c r="J65" s="261" t="s">
        <v>14022</v>
      </c>
      <c r="K65" s="846">
        <v>0.25</v>
      </c>
      <c r="L65" s="847" t="str">
        <f t="shared" si="0"/>
        <v>25%</v>
      </c>
      <c r="M65" s="848" t="str">
        <f t="shared" si="1"/>
        <v>(Wind) Buff Skill Time +25%</v>
      </c>
      <c r="N65" s="309">
        <v>5</v>
      </c>
      <c r="O65" s="309">
        <v>150</v>
      </c>
      <c r="P65" s="309">
        <v>90</v>
      </c>
      <c r="Q65" s="261" t="s">
        <v>13889</v>
      </c>
      <c r="R65" s="261" t="s">
        <v>1947</v>
      </c>
      <c r="S65" s="261" t="s">
        <v>14022</v>
      </c>
      <c r="T65" s="846">
        <v>0.3</v>
      </c>
      <c r="U65" s="847" t="str">
        <f t="shared" si="2"/>
        <v>30%</v>
      </c>
      <c r="V65" s="848" t="str">
        <f t="shared" si="3"/>
        <v>(Wind) Buff Skill Time +30%</v>
      </c>
      <c r="W65" s="857" t="str">
        <f>+INDEX(Endvr!$A$2:$K$3001,MATCH(B65,Endvr!$G:$G,0),MATCH("Description",Endvr!$A$2:$K$2,0))&amp;" ("&amp;INDEX(Endvr!$A$2:$K$3001,MATCH(B65,Endvr!$G:$G,0),MATCH("Event Name",Endvr!$A$2:$K$2,0))&amp;")"</f>
        <v>Clear Practice in the Poison Swamp (Dream Big Under the Big Top)</v>
      </c>
      <c r="X65" t="s">
        <v>13958</v>
      </c>
      <c r="Y65" t="s">
        <v>14017</v>
      </c>
      <c r="AA65" s="45"/>
    </row>
    <row r="66" spans="1:27" x14ac:dyDescent="0.2">
      <c r="A66" s="856">
        <v>400080</v>
      </c>
      <c r="B66" s="844" t="s">
        <v>14023</v>
      </c>
      <c r="C66" s="844" t="s">
        <v>14024</v>
      </c>
      <c r="D66" s="845">
        <v>43496</v>
      </c>
      <c r="E66" s="309">
        <v>5</v>
      </c>
      <c r="F66" s="309">
        <v>90</v>
      </c>
      <c r="G66" s="309">
        <v>30</v>
      </c>
      <c r="H66" s="261" t="s">
        <v>949</v>
      </c>
      <c r="I66" s="261"/>
      <c r="J66" s="261" t="s">
        <v>13882</v>
      </c>
      <c r="K66" s="846">
        <v>0.13</v>
      </c>
      <c r="L66" s="847" t="str">
        <f t="shared" si="0"/>
        <v>13%</v>
      </c>
      <c r="M66" s="848" t="str">
        <f t="shared" si="1"/>
        <v>Recovery Potency +13%</v>
      </c>
      <c r="N66" s="309">
        <v>5</v>
      </c>
      <c r="O66" s="309">
        <v>150</v>
      </c>
      <c r="P66" s="309">
        <v>90</v>
      </c>
      <c r="Q66" s="261" t="s">
        <v>13915</v>
      </c>
      <c r="R66" s="261"/>
      <c r="S66" s="261" t="s">
        <v>13882</v>
      </c>
      <c r="T66" s="846">
        <v>0.15</v>
      </c>
      <c r="U66" s="847" t="str">
        <f t="shared" si="2"/>
        <v>15%</v>
      </c>
      <c r="V66" s="848" t="str">
        <f t="shared" si="3"/>
        <v>Recovery Potency +15%</v>
      </c>
      <c r="W66" s="857" t="str">
        <f>+INDEX(Endvr!$A$2:$K$3001,MATCH(B66,Endvr!$G:$G,0),MATCH("Description",Endvr!$A$2:$K$2,0))&amp;" ("&amp;INDEX(Endvr!$A$2:$K$3001,MATCH(B66,Endvr!$G:$G,0),MATCH("Event Name",Endvr!$A$2:$K$2,0))&amp;")"</f>
        <v>Obtain From Ch. 04 EX 2 Chest (Very Hard) (Non-Endeavor)</v>
      </c>
      <c r="X66" t="s">
        <v>13843</v>
      </c>
      <c r="Y66" t="s">
        <v>13918</v>
      </c>
      <c r="Z66" t="s">
        <v>14025</v>
      </c>
      <c r="AA66" s="45"/>
    </row>
    <row r="67" spans="1:27" x14ac:dyDescent="0.2">
      <c r="A67" s="856">
        <v>400163</v>
      </c>
      <c r="B67" s="844" t="s">
        <v>14026</v>
      </c>
      <c r="C67" s="844" t="s">
        <v>14027</v>
      </c>
      <c r="D67" s="845">
        <v>43496</v>
      </c>
      <c r="E67" s="309">
        <v>5</v>
      </c>
      <c r="F67" s="309">
        <v>88</v>
      </c>
      <c r="G67" s="309">
        <v>32</v>
      </c>
      <c r="H67" s="261"/>
      <c r="I67" s="261" t="s">
        <v>543</v>
      </c>
      <c r="J67" s="261" t="s">
        <v>13852</v>
      </c>
      <c r="K67" s="846">
        <v>0.14000000000000001</v>
      </c>
      <c r="L67" s="847" t="str">
        <f t="shared" ref="L67:L130" si="4">IF(K67="","",TEXT(K67,"0%"))</f>
        <v>14%</v>
      </c>
      <c r="M67" s="848" t="str">
        <f t="shared" ref="M67:M130" si="5">IF(I67="",J67,"("&amp;I67&amp;") "&amp;J67)&amp;IF(K67="",""," +"&amp;L67)</f>
        <v>(Axe) Critical Rate +14%</v>
      </c>
      <c r="N67" s="309">
        <v>5</v>
      </c>
      <c r="O67" s="309">
        <v>150</v>
      </c>
      <c r="P67" s="309">
        <v>90</v>
      </c>
      <c r="Q67" s="261" t="s">
        <v>123</v>
      </c>
      <c r="R67" s="261" t="s">
        <v>543</v>
      </c>
      <c r="S67" s="261" t="s">
        <v>13852</v>
      </c>
      <c r="T67" s="846">
        <v>0.15</v>
      </c>
      <c r="U67" s="847" t="str">
        <f t="shared" ref="U67:U130" si="6">IF(T67="","",TEXT(T67,"0%"))</f>
        <v>15%</v>
      </c>
      <c r="V67" s="848" t="str">
        <f t="shared" ref="V67:V130" si="7">IF(R67="",S67,"("&amp;R67&amp;") "&amp;S67)&amp;IF(T67="",""," +"&amp;U67)</f>
        <v>(Axe) Critical Rate +15%</v>
      </c>
      <c r="W67" s="857" t="str">
        <f>+INDEX(Endvr!$A$2:$K$3001,MATCH(B67,Endvr!$G:$G,0),MATCH("Description",Endvr!$A$2:$K$2,0))&amp;" ("&amp;INDEX(Endvr!$A$2:$K$3001,MATCH(B67,Endvr!$G:$G,0),MATCH("Event Name",Endvr!$A$2:$K$2,0))&amp;")"</f>
        <v>Clear Valfarre Clash: Nightmare (Skyborne Spectacle)</v>
      </c>
      <c r="X67" t="s">
        <v>13958</v>
      </c>
      <c r="Y67" t="s">
        <v>14028</v>
      </c>
      <c r="AA67" s="45"/>
    </row>
    <row r="68" spans="1:27" x14ac:dyDescent="0.2">
      <c r="A68" s="856">
        <v>400092</v>
      </c>
      <c r="B68" s="844" t="s">
        <v>14029</v>
      </c>
      <c r="C68" s="844" t="s">
        <v>14030</v>
      </c>
      <c r="D68" s="845">
        <v>43510</v>
      </c>
      <c r="E68" s="309">
        <v>5</v>
      </c>
      <c r="F68" s="309">
        <v>89</v>
      </c>
      <c r="G68" s="309">
        <v>31</v>
      </c>
      <c r="H68" s="261"/>
      <c r="I68" s="261"/>
      <c r="J68" s="261" t="s">
        <v>13982</v>
      </c>
      <c r="K68" s="846">
        <v>0.5</v>
      </c>
      <c r="L68" s="847" t="str">
        <f t="shared" si="4"/>
        <v>50%</v>
      </c>
      <c r="M68" s="848" t="str">
        <f t="shared" si="5"/>
        <v>Skill Prep +50%</v>
      </c>
      <c r="N68" s="309">
        <v>5</v>
      </c>
      <c r="O68" s="309">
        <v>150</v>
      </c>
      <c r="P68" s="309">
        <v>90</v>
      </c>
      <c r="Q68" s="261" t="s">
        <v>13889</v>
      </c>
      <c r="R68" s="261"/>
      <c r="S68" s="261" t="s">
        <v>13982</v>
      </c>
      <c r="T68" s="846">
        <v>0.5</v>
      </c>
      <c r="U68" s="847" t="str">
        <f t="shared" si="6"/>
        <v>50%</v>
      </c>
      <c r="V68" s="848" t="str">
        <f t="shared" si="7"/>
        <v>Skill Prep +50%</v>
      </c>
      <c r="W68" s="857" t="str">
        <f>+INDEX(Endvr!$A$2:$K$3001,MATCH(B68,Endvr!$G:$G,0),MATCH("Description",Endvr!$A$2:$K$2,0))</f>
        <v>Clear Midgardsormr's Trial: Master</v>
      </c>
      <c r="X68" t="s">
        <v>13843</v>
      </c>
      <c r="Y68" t="s">
        <v>13994</v>
      </c>
      <c r="Z68" t="s">
        <v>1947</v>
      </c>
      <c r="AA68" s="45"/>
    </row>
    <row r="69" spans="1:27" x14ac:dyDescent="0.2">
      <c r="A69" s="856">
        <v>400139</v>
      </c>
      <c r="B69" s="844" t="s">
        <v>14031</v>
      </c>
      <c r="C69" s="844" t="s">
        <v>14032</v>
      </c>
      <c r="D69" s="845">
        <v>43510</v>
      </c>
      <c r="E69" s="309">
        <v>5</v>
      </c>
      <c r="F69" s="309">
        <v>97</v>
      </c>
      <c r="G69" s="309">
        <v>23</v>
      </c>
      <c r="H69" s="261" t="s">
        <v>13847</v>
      </c>
      <c r="I69" s="261" t="s">
        <v>122</v>
      </c>
      <c r="J69" s="261" t="s">
        <v>14033</v>
      </c>
      <c r="K69" s="846"/>
      <c r="L69" s="847" t="str">
        <f t="shared" si="4"/>
        <v/>
      </c>
      <c r="M69" s="848" t="str">
        <f t="shared" si="5"/>
        <v>(Flame) Affliction Guard III</v>
      </c>
      <c r="N69" s="309">
        <v>5</v>
      </c>
      <c r="O69" s="309">
        <v>150</v>
      </c>
      <c r="P69" s="309">
        <v>90</v>
      </c>
      <c r="Q69" s="261" t="s">
        <v>13847</v>
      </c>
      <c r="R69" s="261" t="s">
        <v>122</v>
      </c>
      <c r="S69" s="261" t="s">
        <v>14034</v>
      </c>
      <c r="T69" s="846"/>
      <c r="U69" s="847" t="str">
        <f t="shared" si="6"/>
        <v/>
      </c>
      <c r="V69" s="848" t="str">
        <f t="shared" si="7"/>
        <v>(Flame) Affliction Guard</v>
      </c>
      <c r="W69" s="857" t="str">
        <f>+INDEX(Endvr!$A$2:$K$3001,MATCH(B69,Endvr!$G:$G,0),MATCH("Description",Endvr!$A$2:$K$2,0))&amp;" ("&amp;INDEX(Endvr!$A$2:$K$3001,MATCH(B69,Endvr!$G:$G,0),MATCH("Event Name",Endvr!$A$2:$K$2,0))&amp;")"</f>
        <v>Clear Waterscour Ruins: Beginner (Elemental Ruins)</v>
      </c>
      <c r="X69" t="s">
        <v>13843</v>
      </c>
      <c r="Y69" t="s">
        <v>14035</v>
      </c>
      <c r="Z69" t="s">
        <v>122</v>
      </c>
      <c r="AA69" s="45"/>
    </row>
    <row r="70" spans="1:27" x14ac:dyDescent="0.2">
      <c r="A70" s="856">
        <v>400142</v>
      </c>
      <c r="B70" s="844" t="s">
        <v>14036</v>
      </c>
      <c r="C70" s="844" t="s">
        <v>14037</v>
      </c>
      <c r="D70" s="845">
        <v>43510</v>
      </c>
      <c r="E70" s="309">
        <v>5</v>
      </c>
      <c r="F70" s="309">
        <v>76</v>
      </c>
      <c r="G70" s="309">
        <v>26</v>
      </c>
      <c r="H70" s="261"/>
      <c r="I70" s="261"/>
      <c r="J70" s="261" t="s">
        <v>7351</v>
      </c>
      <c r="K70" s="846"/>
      <c r="L70" s="847" t="str">
        <f t="shared" si="4"/>
        <v/>
      </c>
      <c r="M70" s="848" t="str">
        <f t="shared" si="5"/>
        <v>Energy Prep V</v>
      </c>
      <c r="N70" s="309">
        <v>5</v>
      </c>
      <c r="O70" s="309">
        <v>150</v>
      </c>
      <c r="P70" s="309">
        <v>90</v>
      </c>
      <c r="Q70" s="261" t="s">
        <v>645</v>
      </c>
      <c r="R70" s="261"/>
      <c r="S70" s="261" t="s">
        <v>7351</v>
      </c>
      <c r="T70" s="846"/>
      <c r="U70" s="847" t="str">
        <f t="shared" si="6"/>
        <v/>
      </c>
      <c r="V70" s="848" t="str">
        <f t="shared" si="7"/>
        <v>Energy Prep V</v>
      </c>
      <c r="W70" s="857" t="str">
        <f>+INDEX(Endvr!$A$2:$K$3001,MATCH(B70,Endvr!$G:$G,0),MATCH("Description",Endvr!$A$2:$K$2,0))&amp;" ("&amp;INDEX(Endvr!$A$2:$K$3001,MATCH(B70,Endvr!$G:$G,0),MATCH("Event Name",Endvr!$A$2:$K$2,0))&amp;")"</f>
        <v>Read the Epilogue (Valentine's Confections)</v>
      </c>
      <c r="X70" t="s">
        <v>13958</v>
      </c>
      <c r="Y70" t="s">
        <v>14038</v>
      </c>
      <c r="AA70" s="98"/>
    </row>
    <row r="71" spans="1:27" x14ac:dyDescent="0.2">
      <c r="A71" s="856">
        <v>400143</v>
      </c>
      <c r="B71" s="844" t="s">
        <v>14039</v>
      </c>
      <c r="C71" s="844" t="s">
        <v>14040</v>
      </c>
      <c r="D71" s="845">
        <v>43510</v>
      </c>
      <c r="E71" s="309">
        <v>5</v>
      </c>
      <c r="F71" s="309">
        <v>76</v>
      </c>
      <c r="G71" s="309">
        <v>26</v>
      </c>
      <c r="H71" s="261"/>
      <c r="I71" s="261"/>
      <c r="J71" s="261" t="s">
        <v>14008</v>
      </c>
      <c r="K71" s="846">
        <v>0.1</v>
      </c>
      <c r="L71" s="847" t="str">
        <f t="shared" si="4"/>
        <v>10%</v>
      </c>
      <c r="M71" s="848" t="str">
        <f t="shared" si="5"/>
        <v>Player EXP +10%</v>
      </c>
      <c r="N71" s="309">
        <v>5</v>
      </c>
      <c r="O71" s="309">
        <v>150</v>
      </c>
      <c r="P71" s="309">
        <v>90</v>
      </c>
      <c r="Q71" s="261" t="s">
        <v>645</v>
      </c>
      <c r="R71" s="261" t="s">
        <v>123</v>
      </c>
      <c r="S71" s="261" t="s">
        <v>8958</v>
      </c>
      <c r="T71" s="846">
        <v>0.25</v>
      </c>
      <c r="U71" s="847" t="str">
        <f t="shared" si="6"/>
        <v>25%</v>
      </c>
      <c r="V71" s="848" t="str">
        <f t="shared" si="7"/>
        <v>(Sword) Critical Damage +25%</v>
      </c>
      <c r="W71" s="857" t="str">
        <f>+INDEX(Endvr!$A$2:$K$3001,MATCH(B71,Endvr!$G:$G,0),MATCH("Description",Endvr!$A$2:$K$2,0))&amp;" ("&amp;INDEX(Endvr!$A$2:$K$3001,MATCH(B71,Endvr!$G:$G,0),MATCH("Event Name",Endvr!$A$2:$K$2,0))&amp;")"</f>
        <v>Read the Epilogue (Valentine's Confections)</v>
      </c>
      <c r="X71" t="s">
        <v>13958</v>
      </c>
      <c r="Y71" t="s">
        <v>14038</v>
      </c>
      <c r="AA71" s="45"/>
    </row>
    <row r="72" spans="1:27" x14ac:dyDescent="0.2">
      <c r="A72" s="856">
        <v>400144</v>
      </c>
      <c r="B72" s="844" t="s">
        <v>14041</v>
      </c>
      <c r="C72" s="844" t="s">
        <v>14042</v>
      </c>
      <c r="D72" s="845">
        <v>43510</v>
      </c>
      <c r="E72" s="309">
        <v>5</v>
      </c>
      <c r="F72" s="309">
        <v>75</v>
      </c>
      <c r="G72" s="309">
        <v>27</v>
      </c>
      <c r="H72" s="261"/>
      <c r="I72" s="261"/>
      <c r="J72" s="261" t="s">
        <v>13957</v>
      </c>
      <c r="K72" s="846">
        <v>0.5</v>
      </c>
      <c r="L72" s="847" t="str">
        <f t="shared" si="4"/>
        <v>50%</v>
      </c>
      <c r="M72" s="848" t="str">
        <f t="shared" si="5"/>
        <v>Last Offense +50%</v>
      </c>
      <c r="N72" s="309">
        <v>5</v>
      </c>
      <c r="O72" s="309">
        <v>150</v>
      </c>
      <c r="P72" s="309">
        <v>90</v>
      </c>
      <c r="Q72" s="261" t="s">
        <v>13855</v>
      </c>
      <c r="R72" s="261"/>
      <c r="S72" s="261" t="s">
        <v>13957</v>
      </c>
      <c r="T72" s="846">
        <v>0.6</v>
      </c>
      <c r="U72" s="847" t="str">
        <f t="shared" si="6"/>
        <v>60%</v>
      </c>
      <c r="V72" s="848" t="str">
        <f t="shared" si="7"/>
        <v>Last Offense +60%</v>
      </c>
      <c r="W72" s="857" t="str">
        <f>+INDEX(Endvr!$A$2:$K$3001,MATCH(B72,Endvr!$G:$G,0),MATCH("Description",Endvr!$A$2:$K$2,0))&amp;" ("&amp;INDEX(Endvr!$A$2:$K$3001,MATCH(B72,Endvr!$G:$G,0),MATCH("Event Name",Endvr!$A$2:$K$2,0))&amp;")"</f>
        <v>Read the Epilogue (Valentine's Confections)</v>
      </c>
      <c r="X72" t="s">
        <v>13958</v>
      </c>
      <c r="Y72" t="s">
        <v>14038</v>
      </c>
      <c r="AA72" s="45"/>
    </row>
    <row r="73" spans="1:27" x14ac:dyDescent="0.2">
      <c r="A73" s="856">
        <v>400145</v>
      </c>
      <c r="B73" s="844" t="s">
        <v>14043</v>
      </c>
      <c r="C73" s="844" t="s">
        <v>14044</v>
      </c>
      <c r="D73" s="845">
        <v>43510</v>
      </c>
      <c r="E73" s="309">
        <v>5</v>
      </c>
      <c r="F73" s="309">
        <v>75</v>
      </c>
      <c r="G73" s="309">
        <v>27</v>
      </c>
      <c r="H73" s="261"/>
      <c r="I73" s="261"/>
      <c r="J73" s="261" t="s">
        <v>13929</v>
      </c>
      <c r="K73" s="846">
        <v>0.3</v>
      </c>
      <c r="L73" s="847" t="str">
        <f t="shared" si="4"/>
        <v>30%</v>
      </c>
      <c r="M73" s="848" t="str">
        <f t="shared" si="5"/>
        <v>Broken Punisher +30%</v>
      </c>
      <c r="N73" s="309">
        <v>5</v>
      </c>
      <c r="O73" s="309">
        <v>150</v>
      </c>
      <c r="P73" s="309">
        <v>90</v>
      </c>
      <c r="Q73" s="261" t="s">
        <v>543</v>
      </c>
      <c r="R73" s="261" t="s">
        <v>543</v>
      </c>
      <c r="S73" s="261" t="s">
        <v>8958</v>
      </c>
      <c r="T73" s="846">
        <v>0.25</v>
      </c>
      <c r="U73" s="847" t="str">
        <f t="shared" si="6"/>
        <v>25%</v>
      </c>
      <c r="V73" s="848" t="str">
        <f t="shared" si="7"/>
        <v>(Axe) Critical Damage +25%</v>
      </c>
      <c r="W73" s="857" t="str">
        <f>+INDEX(Endvr!$A$2:$K$3001,MATCH(B73,Endvr!$G:$G,0),MATCH("Description",Endvr!$A$2:$K$2,0))&amp;" ("&amp;INDEX(Endvr!$A$2:$K$3001,MATCH(B73,Endvr!$G:$G,0),MATCH("Event Name",Endvr!$A$2:$K$2,0))&amp;")"</f>
        <v>Read the Epilogue (Valentine's Confections)</v>
      </c>
      <c r="X73" t="s">
        <v>13958</v>
      </c>
      <c r="Y73" t="s">
        <v>14038</v>
      </c>
      <c r="AA73" s="45"/>
    </row>
    <row r="74" spans="1:27" x14ac:dyDescent="0.2">
      <c r="A74" s="856">
        <v>400146</v>
      </c>
      <c r="B74" s="844" t="s">
        <v>14045</v>
      </c>
      <c r="C74" s="844" t="s">
        <v>14046</v>
      </c>
      <c r="D74" s="845">
        <v>43510</v>
      </c>
      <c r="E74" s="309">
        <v>5</v>
      </c>
      <c r="F74" s="309">
        <v>75</v>
      </c>
      <c r="G74" s="309">
        <v>27</v>
      </c>
      <c r="H74" s="261"/>
      <c r="I74" s="261"/>
      <c r="J74" s="261" t="s">
        <v>14047</v>
      </c>
      <c r="K74" s="846">
        <v>0.3</v>
      </c>
      <c r="L74" s="847" t="str">
        <f t="shared" si="4"/>
        <v>30%</v>
      </c>
      <c r="M74" s="848" t="str">
        <f t="shared" si="5"/>
        <v>Burning Punisher +30%</v>
      </c>
      <c r="N74" s="309">
        <v>4</v>
      </c>
      <c r="O74" s="309">
        <v>130</v>
      </c>
      <c r="P74" s="309">
        <v>80</v>
      </c>
      <c r="Q74" s="261" t="s">
        <v>13847</v>
      </c>
      <c r="R74" s="261"/>
      <c r="S74" s="261" t="s">
        <v>14047</v>
      </c>
      <c r="T74" s="846">
        <v>0.25</v>
      </c>
      <c r="U74" s="847" t="str">
        <f t="shared" si="6"/>
        <v>25%</v>
      </c>
      <c r="V74" s="848" t="str">
        <f t="shared" si="7"/>
        <v>Burning Punisher +25%</v>
      </c>
      <c r="W74" s="857" t="str">
        <f>+INDEX(Endvr!$A$2:$K$3001,MATCH(B74,Endvr!$G:$G,0),MATCH("Description",Endvr!$A$2:$K$2,0))&amp;" ("&amp;INDEX(Endvr!$A$2:$K$3001,MATCH(B74,Endvr!$G:$G,0),MATCH("Event Name",Endvr!$A$2:$K$2,0))&amp;")"</f>
        <v>Read the Epilogue (Valentine's Confections)</v>
      </c>
      <c r="X74" t="s">
        <v>13958</v>
      </c>
      <c r="Y74" t="s">
        <v>14038</v>
      </c>
      <c r="AA74" s="45"/>
    </row>
    <row r="75" spans="1:27" x14ac:dyDescent="0.2">
      <c r="A75" s="856">
        <v>400147</v>
      </c>
      <c r="B75" s="844" t="s">
        <v>14048</v>
      </c>
      <c r="C75" s="844" t="s">
        <v>14049</v>
      </c>
      <c r="D75" s="845">
        <v>43510</v>
      </c>
      <c r="E75" s="309">
        <v>5</v>
      </c>
      <c r="F75" s="309">
        <v>77</v>
      </c>
      <c r="G75" s="309">
        <v>25</v>
      </c>
      <c r="H75" s="261"/>
      <c r="I75" s="261"/>
      <c r="J75" s="261" t="s">
        <v>13882</v>
      </c>
      <c r="K75" s="846">
        <v>0.13</v>
      </c>
      <c r="L75" s="847" t="str">
        <f t="shared" si="4"/>
        <v>13%</v>
      </c>
      <c r="M75" s="848" t="str">
        <f t="shared" si="5"/>
        <v>Recovery Potency +13%</v>
      </c>
      <c r="N75" s="309">
        <v>5</v>
      </c>
      <c r="O75" s="309">
        <v>150</v>
      </c>
      <c r="P75" s="309">
        <v>90</v>
      </c>
      <c r="Q75" s="261" t="s">
        <v>13847</v>
      </c>
      <c r="R75" s="261"/>
      <c r="S75" s="261" t="s">
        <v>13882</v>
      </c>
      <c r="T75" s="846">
        <v>0.15</v>
      </c>
      <c r="U75" s="847" t="str">
        <f t="shared" si="6"/>
        <v>15%</v>
      </c>
      <c r="V75" s="848" t="str">
        <f t="shared" si="7"/>
        <v>Recovery Potency +15%</v>
      </c>
      <c r="W75" s="857" t="str">
        <f>+INDEX(Endvr!$A$2:$K$3001,MATCH(B75,Endvr!$G:$G,0),MATCH("Description",Endvr!$A$2:$K$2,0))&amp;" ("&amp;INDEX(Endvr!$A$2:$K$3001,MATCH(B75,Endvr!$G:$G,0),MATCH("Event Name",Endvr!$A$2:$K$2,0))&amp;")"</f>
        <v>Read the Epilogue (Valentine's Confections)</v>
      </c>
      <c r="X75" t="s">
        <v>13958</v>
      </c>
      <c r="Y75" t="s">
        <v>14038</v>
      </c>
      <c r="AA75" s="45"/>
    </row>
    <row r="76" spans="1:27" x14ac:dyDescent="0.2">
      <c r="A76" s="856">
        <v>400148</v>
      </c>
      <c r="B76" s="844" t="s">
        <v>14050</v>
      </c>
      <c r="C76" s="844" t="s">
        <v>14051</v>
      </c>
      <c r="D76" s="845">
        <v>43510</v>
      </c>
      <c r="E76" s="309">
        <v>5</v>
      </c>
      <c r="F76" s="309">
        <v>76</v>
      </c>
      <c r="G76" s="309">
        <v>26</v>
      </c>
      <c r="H76" s="261"/>
      <c r="I76" s="261" t="s">
        <v>122</v>
      </c>
      <c r="J76" s="261" t="s">
        <v>13863</v>
      </c>
      <c r="K76" s="846">
        <v>0.1</v>
      </c>
      <c r="L76" s="847" t="str">
        <f t="shared" si="4"/>
        <v>10%</v>
      </c>
      <c r="M76" s="848" t="str">
        <f t="shared" si="5"/>
        <v>(Flame) Skill Haste +10%</v>
      </c>
      <c r="N76" s="309">
        <v>5</v>
      </c>
      <c r="O76" s="309">
        <v>150</v>
      </c>
      <c r="P76" s="309">
        <v>90</v>
      </c>
      <c r="Q76" s="261" t="s">
        <v>13892</v>
      </c>
      <c r="R76" s="261" t="s">
        <v>122</v>
      </c>
      <c r="S76" s="261" t="s">
        <v>13863</v>
      </c>
      <c r="T76" s="846">
        <v>0.1</v>
      </c>
      <c r="U76" s="847" t="str">
        <f t="shared" si="6"/>
        <v>10%</v>
      </c>
      <c r="V76" s="848" t="str">
        <f t="shared" si="7"/>
        <v>(Flame) Skill Haste +10%</v>
      </c>
      <c r="W76" s="857" t="str">
        <f>+INDEX(Endvr!$A$2:$K$3001,MATCH(B76,Endvr!$G:$G,0),MATCH("Description",Endvr!$A$2:$K$2,0))&amp;" ("&amp;INDEX(Endvr!$A$2:$K$3001,MATCH(B76,Endvr!$G:$G,0),MATCH("Event Name",Endvr!$A$2:$K$2,0))&amp;")"</f>
        <v>Participate in the Event (Valentine's Confections)</v>
      </c>
      <c r="X76" t="s">
        <v>13958</v>
      </c>
      <c r="Y76" t="s">
        <v>14038</v>
      </c>
      <c r="AA76" s="45"/>
    </row>
    <row r="77" spans="1:27" x14ac:dyDescent="0.2">
      <c r="A77" s="856">
        <v>400167</v>
      </c>
      <c r="B77" s="844" t="s">
        <v>14052</v>
      </c>
      <c r="C77" s="844" t="s">
        <v>14053</v>
      </c>
      <c r="D77" s="845">
        <v>43524</v>
      </c>
      <c r="E77" s="309">
        <v>5</v>
      </c>
      <c r="F77" s="309">
        <v>88</v>
      </c>
      <c r="G77" s="309">
        <v>32</v>
      </c>
      <c r="H77" s="261"/>
      <c r="I77" s="261" t="s">
        <v>123</v>
      </c>
      <c r="J77" s="261" t="s">
        <v>9612</v>
      </c>
      <c r="K77" s="846">
        <v>0.4</v>
      </c>
      <c r="L77" s="847" t="str">
        <f t="shared" si="4"/>
        <v>40%</v>
      </c>
      <c r="M77" s="848" t="str">
        <f t="shared" si="5"/>
        <v>(Sword) Skill Damage +40%</v>
      </c>
      <c r="N77" s="309">
        <v>5</v>
      </c>
      <c r="O77" s="309">
        <v>150</v>
      </c>
      <c r="P77" s="309">
        <v>90</v>
      </c>
      <c r="Q77" s="261" t="s">
        <v>123</v>
      </c>
      <c r="R77" s="261" t="s">
        <v>123</v>
      </c>
      <c r="S77" s="261" t="s">
        <v>9612</v>
      </c>
      <c r="T77" s="846">
        <v>0.4</v>
      </c>
      <c r="U77" s="847" t="str">
        <f t="shared" si="6"/>
        <v>40%</v>
      </c>
      <c r="V77" s="848" t="str">
        <f t="shared" si="7"/>
        <v>(Sword) Skill Damage +40%</v>
      </c>
      <c r="W77" s="857" t="str">
        <f>+INDEX(Endvr!$A$2:$K$3001,MATCH(B77,Endvr!$G:$G,0),MATCH("Description",Endvr!$A$2:$K$2,0))</f>
        <v>Clear Ch. 05 4-3 of the Main Campaign (Hard)</v>
      </c>
      <c r="X77" t="s">
        <v>13843</v>
      </c>
      <c r="Y77" t="s">
        <v>13918</v>
      </c>
      <c r="Z77" t="s">
        <v>14054</v>
      </c>
      <c r="AA77" s="45"/>
    </row>
    <row r="78" spans="1:27" x14ac:dyDescent="0.2">
      <c r="A78" s="856">
        <v>400150</v>
      </c>
      <c r="B78" s="844" t="s">
        <v>14055</v>
      </c>
      <c r="C78" s="844" t="s">
        <v>14056</v>
      </c>
      <c r="D78" s="845">
        <v>43524</v>
      </c>
      <c r="E78" s="309">
        <v>5</v>
      </c>
      <c r="F78" s="309">
        <v>97</v>
      </c>
      <c r="G78" s="309">
        <v>23</v>
      </c>
      <c r="H78" s="261" t="s">
        <v>13842</v>
      </c>
      <c r="I78" s="261" t="s">
        <v>2837</v>
      </c>
      <c r="J78" s="261" t="s">
        <v>14033</v>
      </c>
      <c r="K78" s="846"/>
      <c r="L78" s="847" t="str">
        <f t="shared" si="4"/>
        <v/>
      </c>
      <c r="M78" s="848" t="str">
        <f t="shared" si="5"/>
        <v>(Light) Affliction Guard III</v>
      </c>
      <c r="N78" s="309">
        <v>5</v>
      </c>
      <c r="O78" s="309">
        <v>150</v>
      </c>
      <c r="P78" s="309">
        <v>90</v>
      </c>
      <c r="Q78" s="261" t="s">
        <v>13842</v>
      </c>
      <c r="R78" s="261" t="s">
        <v>2837</v>
      </c>
      <c r="S78" s="261" t="s">
        <v>14034</v>
      </c>
      <c r="T78" s="846"/>
      <c r="U78" s="847" t="str">
        <f t="shared" si="6"/>
        <v/>
      </c>
      <c r="V78" s="848" t="str">
        <f t="shared" si="7"/>
        <v>(Light) Affliction Guard</v>
      </c>
      <c r="W78" s="857" t="str">
        <f>+INDEX(Endvr!$A$2:$K$3001,MATCH(B78,Endvr!$G:$G,0),MATCH("Description",Endvr!$A$2:$K$2,0))&amp;" ("&amp;INDEX(Endvr!$A$2:$K$3001,MATCH(B78,Endvr!$G:$G,0),MATCH("Event Name",Endvr!$A$2:$K$2,0))&amp;")"</f>
        <v>Clear a Boss Battle on Expert (A Waltz with Fate)</v>
      </c>
      <c r="X78" t="s">
        <v>13958</v>
      </c>
      <c r="Y78" t="s">
        <v>14057</v>
      </c>
      <c r="AA78" s="45"/>
    </row>
    <row r="79" spans="1:27" x14ac:dyDescent="0.2">
      <c r="A79" s="856">
        <v>400154</v>
      </c>
      <c r="B79" s="844" t="s">
        <v>14058</v>
      </c>
      <c r="C79" s="844" t="s">
        <v>14059</v>
      </c>
      <c r="D79" s="845">
        <v>43536</v>
      </c>
      <c r="E79" s="309">
        <v>5</v>
      </c>
      <c r="F79" s="309">
        <v>94</v>
      </c>
      <c r="G79" s="309">
        <v>26</v>
      </c>
      <c r="H79" s="261"/>
      <c r="I79" s="261"/>
      <c r="J79" s="261" t="s">
        <v>1904</v>
      </c>
      <c r="K79" s="846"/>
      <c r="L79" s="847" t="str">
        <f t="shared" si="4"/>
        <v/>
      </c>
      <c r="M79" s="848" t="str">
        <f t="shared" si="5"/>
        <v>Last Recovery IV</v>
      </c>
      <c r="N79" s="309">
        <v>5</v>
      </c>
      <c r="O79" s="309">
        <v>150</v>
      </c>
      <c r="P79" s="309">
        <v>90</v>
      </c>
      <c r="Q79" s="261" t="s">
        <v>759</v>
      </c>
      <c r="R79" s="261"/>
      <c r="S79" s="261" t="s">
        <v>1904</v>
      </c>
      <c r="T79" s="846"/>
      <c r="U79" s="847" t="str">
        <f t="shared" si="6"/>
        <v/>
      </c>
      <c r="V79" s="848" t="str">
        <f t="shared" si="7"/>
        <v>Last Recovery IV</v>
      </c>
      <c r="W79" s="857" t="str">
        <f>+INDEX(Endvr!$A$2:$K$3001,MATCH(B79,Endvr!$G:$G,0),MATCH("Description",Endvr!$A$2:$K$2,0))&amp;" ("&amp;INDEX(Endvr!$A$2:$K$3001,MATCH(B79,Endvr!$G:$G,0),MATCH("Event Name",Endvr!$A$2:$K$2,0))&amp;")"</f>
        <v>Clear Chaos's Calling: Master (The Accursed Archives)</v>
      </c>
      <c r="X79" t="s">
        <v>13958</v>
      </c>
      <c r="Y79" t="s">
        <v>14060</v>
      </c>
      <c r="AA79" s="45"/>
    </row>
    <row r="80" spans="1:27" x14ac:dyDescent="0.2">
      <c r="A80" s="856">
        <v>400157</v>
      </c>
      <c r="B80" s="844" t="s">
        <v>14061</v>
      </c>
      <c r="C80" s="844" t="s">
        <v>14062</v>
      </c>
      <c r="D80" s="845">
        <v>43536</v>
      </c>
      <c r="E80" s="309">
        <v>5</v>
      </c>
      <c r="F80" s="309">
        <v>75</v>
      </c>
      <c r="G80" s="309">
        <v>27</v>
      </c>
      <c r="H80" s="261"/>
      <c r="I80" s="261"/>
      <c r="J80" s="261" t="s">
        <v>9612</v>
      </c>
      <c r="K80" s="846">
        <v>0.3</v>
      </c>
      <c r="L80" s="847" t="str">
        <f t="shared" si="4"/>
        <v>30%</v>
      </c>
      <c r="M80" s="848" t="str">
        <f t="shared" si="5"/>
        <v>Skill Damage +30%</v>
      </c>
      <c r="N80" s="309">
        <v>5</v>
      </c>
      <c r="O80" s="309">
        <v>150</v>
      </c>
      <c r="P80" s="309">
        <v>90</v>
      </c>
      <c r="Q80" s="261" t="s">
        <v>645</v>
      </c>
      <c r="R80" s="261" t="s">
        <v>122</v>
      </c>
      <c r="S80" s="261" t="s">
        <v>9612</v>
      </c>
      <c r="T80" s="846">
        <v>0.35</v>
      </c>
      <c r="U80" s="847" t="str">
        <f t="shared" si="6"/>
        <v>35%</v>
      </c>
      <c r="V80" s="848" t="str">
        <f t="shared" si="7"/>
        <v>(Flame) Skill Damage +35%</v>
      </c>
      <c r="W80" s="857" t="str">
        <f>+INDEX(Endvr!$A$2:$K$3001,MATCH(B80,Endvr!$G:$G,0),MATCH("Description",Endvr!$A$2:$K$2,0))&amp;" ("&amp;INDEX(Endvr!$A$2:$K$3001,MATCH(B80,Endvr!$G:$G,0),MATCH("Event Name",Endvr!$A$2:$K$2,0))&amp;")"</f>
        <v>Clear a Boss Battle on Beginner (The Accursed Archives)</v>
      </c>
      <c r="X80" t="s">
        <v>13958</v>
      </c>
      <c r="Y80" t="s">
        <v>14060</v>
      </c>
      <c r="AA80" s="98"/>
    </row>
    <row r="81" spans="1:27" x14ac:dyDescent="0.2">
      <c r="A81" s="856">
        <v>400172</v>
      </c>
      <c r="B81" s="844" t="s">
        <v>14063</v>
      </c>
      <c r="C81" s="844" t="s">
        <v>14064</v>
      </c>
      <c r="D81" s="845">
        <v>43555</v>
      </c>
      <c r="E81" s="309">
        <v>5</v>
      </c>
      <c r="F81" s="309">
        <v>88</v>
      </c>
      <c r="G81" s="309">
        <v>32</v>
      </c>
      <c r="H81" s="261"/>
      <c r="I81" s="261" t="s">
        <v>759</v>
      </c>
      <c r="J81" s="261" t="s">
        <v>9612</v>
      </c>
      <c r="K81" s="846">
        <v>0.4</v>
      </c>
      <c r="L81" s="847" t="str">
        <f t="shared" si="4"/>
        <v>40%</v>
      </c>
      <c r="M81" s="848" t="str">
        <f t="shared" si="5"/>
        <v>(Bow) Skill Damage +40%</v>
      </c>
      <c r="N81" s="309">
        <v>5</v>
      </c>
      <c r="O81" s="309">
        <v>150</v>
      </c>
      <c r="P81" s="309">
        <v>90</v>
      </c>
      <c r="Q81" s="261" t="s">
        <v>759</v>
      </c>
      <c r="R81" s="261" t="s">
        <v>759</v>
      </c>
      <c r="S81" s="261" t="s">
        <v>9612</v>
      </c>
      <c r="T81" s="846">
        <v>0.4</v>
      </c>
      <c r="U81" s="847" t="str">
        <f t="shared" si="6"/>
        <v>40%</v>
      </c>
      <c r="V81" s="848" t="str">
        <f t="shared" si="7"/>
        <v>(Bow) Skill Damage +40%</v>
      </c>
      <c r="W81" s="857" t="str">
        <f>+INDEX(Endvr!$A$2:$K$3001,MATCH(B81,Endvr!$G:$G,0),MATCH("Description",Endvr!$A$2:$K$2,0))&amp;" ("&amp;INDEX(Endvr!$A$2:$K$3001,MATCH(B81,Endvr!$G:$G,0),MATCH("Event Name",Endvr!$A$2:$K$2,0))&amp;")"</f>
        <v>Clear The Vernal Games Warm-Ups: Beginner (The Hunt for Harmony)</v>
      </c>
      <c r="X81" t="s">
        <v>13958</v>
      </c>
      <c r="Y81" t="s">
        <v>14065</v>
      </c>
      <c r="AA81" s="45"/>
    </row>
    <row r="82" spans="1:27" x14ac:dyDescent="0.2">
      <c r="A82" s="856">
        <v>400176</v>
      </c>
      <c r="B82" s="844" t="s">
        <v>14066</v>
      </c>
      <c r="C82" s="844" t="s">
        <v>14067</v>
      </c>
      <c r="D82" s="845">
        <v>43555</v>
      </c>
      <c r="E82" s="309">
        <v>5</v>
      </c>
      <c r="F82" s="309">
        <v>76</v>
      </c>
      <c r="G82" s="309">
        <v>26</v>
      </c>
      <c r="H82" s="261"/>
      <c r="I82" s="261"/>
      <c r="J82" s="261" t="s">
        <v>14068</v>
      </c>
      <c r="K82" s="846">
        <v>0.35</v>
      </c>
      <c r="L82" s="847" t="str">
        <f t="shared" si="4"/>
        <v>35%</v>
      </c>
      <c r="M82" s="848" t="str">
        <f t="shared" si="5"/>
        <v>Gauge Accelerator +35%</v>
      </c>
      <c r="N82" s="309">
        <v>5</v>
      </c>
      <c r="O82" s="309">
        <v>150</v>
      </c>
      <c r="P82" s="309">
        <v>90</v>
      </c>
      <c r="Q82" s="261" t="s">
        <v>13842</v>
      </c>
      <c r="R82" s="261"/>
      <c r="S82" s="261" t="s">
        <v>14068</v>
      </c>
      <c r="T82" s="846">
        <v>0.35</v>
      </c>
      <c r="U82" s="847" t="str">
        <f t="shared" si="6"/>
        <v>35%</v>
      </c>
      <c r="V82" s="848" t="str">
        <f t="shared" si="7"/>
        <v>Gauge Accelerator +35%</v>
      </c>
      <c r="W82" s="857" t="str">
        <f>+INDEX(Endvr!$A$2:$K$3001,MATCH(B82,Endvr!$G:$G,0),MATCH("Description",Endvr!$A$2:$K$2,0))&amp;" ("&amp;INDEX(Endvr!$A$2:$K$3001,MATCH(B82,Endvr!$G:$G,0),MATCH("Event Name",Endvr!$A$2:$K$2,0))&amp;")"</f>
        <v>Clear a Boss Battle on Beginner (The Hunt for Harmony)</v>
      </c>
      <c r="X82" t="s">
        <v>13958</v>
      </c>
      <c r="Y82" t="s">
        <v>14065</v>
      </c>
      <c r="AA82" s="45"/>
    </row>
    <row r="83" spans="1:27" x14ac:dyDescent="0.2">
      <c r="A83" s="856">
        <v>400108</v>
      </c>
      <c r="B83" s="844" t="s">
        <v>14069</v>
      </c>
      <c r="C83" s="844" t="s">
        <v>14070</v>
      </c>
      <c r="D83" s="845">
        <v>43573</v>
      </c>
      <c r="E83" s="309">
        <v>5</v>
      </c>
      <c r="F83" s="309">
        <v>83</v>
      </c>
      <c r="G83" s="309">
        <v>20</v>
      </c>
      <c r="H83" s="261"/>
      <c r="I83" s="261"/>
      <c r="J83" s="261" t="s">
        <v>14071</v>
      </c>
      <c r="K83" s="846">
        <v>0.25</v>
      </c>
      <c r="L83" s="847" t="str">
        <f t="shared" si="4"/>
        <v>25%</v>
      </c>
      <c r="M83" s="848" t="str">
        <f t="shared" si="5"/>
        <v>High Mercury Res +25%</v>
      </c>
      <c r="N83" s="309">
        <v>5</v>
      </c>
      <c r="O83" s="309">
        <v>150</v>
      </c>
      <c r="P83" s="309">
        <v>90</v>
      </c>
      <c r="Q83" s="261" t="s">
        <v>13889</v>
      </c>
      <c r="R83" s="261"/>
      <c r="S83" s="261" t="s">
        <v>14071</v>
      </c>
      <c r="T83" s="846">
        <v>0.25</v>
      </c>
      <c r="U83" s="847" t="str">
        <f t="shared" si="6"/>
        <v>25%</v>
      </c>
      <c r="V83" s="848" t="str">
        <f t="shared" si="7"/>
        <v>High Mercury Res +25%</v>
      </c>
      <c r="W83" s="857" t="str">
        <f>+INDEX(Endvr!$A$2:$K$3001,MATCH(B83,Endvr!$G:$G,0),MATCH("Description",Endvr!$A$2:$K$2,0))&amp;" ("&amp;INDEX(Endvr!$A$2:$K$3001,MATCH(B83,Endvr!$G:$G,0),MATCH("Event Name",Endvr!$A$2:$K$2,0))&amp;")"</f>
        <v>Clear Battle at the Wartarch Ruins: Beginner (The Imperial Onslaught)</v>
      </c>
      <c r="X83" t="s">
        <v>13843</v>
      </c>
      <c r="Y83" t="s">
        <v>13954</v>
      </c>
      <c r="Z83" t="s">
        <v>1947</v>
      </c>
      <c r="AA83" s="45"/>
    </row>
    <row r="84" spans="1:27" x14ac:dyDescent="0.2">
      <c r="A84" s="856">
        <v>400277</v>
      </c>
      <c r="B84" s="844" t="s">
        <v>14072</v>
      </c>
      <c r="C84" s="844" t="s">
        <v>14073</v>
      </c>
      <c r="D84" s="845">
        <v>43581</v>
      </c>
      <c r="E84" s="309">
        <v>5</v>
      </c>
      <c r="F84" s="309">
        <v>88</v>
      </c>
      <c r="G84" s="309">
        <v>32</v>
      </c>
      <c r="H84" s="261"/>
      <c r="I84" s="261"/>
      <c r="J84" s="261" t="s">
        <v>14074</v>
      </c>
      <c r="K84" s="846">
        <v>0.06</v>
      </c>
      <c r="L84" s="847" t="str">
        <f t="shared" si="4"/>
        <v>6%</v>
      </c>
      <c r="M84" s="848" t="str">
        <f t="shared" si="5"/>
        <v>Slayer's Strength +6%</v>
      </c>
      <c r="N84" s="309">
        <v>5</v>
      </c>
      <c r="O84" s="309">
        <v>150</v>
      </c>
      <c r="P84" s="309">
        <v>90</v>
      </c>
      <c r="Q84" s="261" t="s">
        <v>13895</v>
      </c>
      <c r="R84" s="261"/>
      <c r="S84" s="261" t="s">
        <v>14074</v>
      </c>
      <c r="T84" s="846">
        <v>0.06</v>
      </c>
      <c r="U84" s="847" t="str">
        <f t="shared" si="6"/>
        <v>6%</v>
      </c>
      <c r="V84" s="848" t="str">
        <f t="shared" si="7"/>
        <v>Slayer's Strength +6%</v>
      </c>
      <c r="W84" s="857" t="str">
        <f>+INDEX(Endvr!$A$2:$K$3001,MATCH(B84,Endvr!$G:$G,0),MATCH("Description",Endvr!$A$2:$K$2,0))&amp;" ("&amp;INDEX(Endvr!$A$2:$K$3001,MATCH(B84,Endvr!$G:$G,0),MATCH("Event Name",Endvr!$A$2:$K$2,0))&amp;")"</f>
        <v>Clear Repel the Empire! (Fire Emblem: Lost Heroes)</v>
      </c>
      <c r="X84" t="s">
        <v>14075</v>
      </c>
      <c r="Y84" s="87" t="s">
        <v>14076</v>
      </c>
      <c r="AA84" s="45"/>
    </row>
    <row r="85" spans="1:27" x14ac:dyDescent="0.2">
      <c r="A85" s="856">
        <v>400280</v>
      </c>
      <c r="B85" s="844" t="s">
        <v>14077</v>
      </c>
      <c r="C85" s="844" t="s">
        <v>14078</v>
      </c>
      <c r="D85" s="845">
        <v>43588</v>
      </c>
      <c r="E85" s="309">
        <v>5</v>
      </c>
      <c r="F85" s="309">
        <v>75</v>
      </c>
      <c r="G85" s="309">
        <v>27</v>
      </c>
      <c r="H85" s="261"/>
      <c r="I85" s="261"/>
      <c r="J85" s="261" t="s">
        <v>13962</v>
      </c>
      <c r="K85" s="846">
        <v>0.13</v>
      </c>
      <c r="L85" s="847" t="str">
        <f t="shared" si="4"/>
        <v>13%</v>
      </c>
      <c r="M85" s="848" t="str">
        <f t="shared" si="5"/>
        <v>HP 70% = Strength +13%</v>
      </c>
      <c r="N85" s="309">
        <v>5</v>
      </c>
      <c r="O85" s="309">
        <v>150</v>
      </c>
      <c r="P85" s="309">
        <v>90</v>
      </c>
      <c r="Q85" s="261" t="s">
        <v>13915</v>
      </c>
      <c r="R85" s="261"/>
      <c r="S85" s="261" t="s">
        <v>9839</v>
      </c>
      <c r="T85" s="846">
        <v>0.15</v>
      </c>
      <c r="U85" s="847" t="str">
        <f t="shared" si="6"/>
        <v>15%</v>
      </c>
      <c r="V85" s="848" t="str">
        <f t="shared" si="7"/>
        <v>Strength +15%</v>
      </c>
      <c r="W85" s="857" t="str">
        <f>+INDEX(Endvr!$A$2:$K$3001,MATCH(B85,Endvr!$G:$G,0),MATCH("Description",Endvr!$A$2:$K$2,0))&amp;" ("&amp;INDEX(Endvr!$A$2:$K$3001,MATCH(B85,Endvr!$G:$G,0),MATCH("Event Name",Endvr!$A$2:$K$2,0))&amp;")"</f>
        <v>Clear Veronica's Trial (Fire Emblem: Lost Heroes)</v>
      </c>
      <c r="X85" t="s">
        <v>14075</v>
      </c>
      <c r="Y85" s="87" t="s">
        <v>14076</v>
      </c>
      <c r="AA85" s="45"/>
    </row>
    <row r="86" spans="1:27" x14ac:dyDescent="0.2">
      <c r="A86" s="856">
        <v>400153</v>
      </c>
      <c r="B86" s="844" t="s">
        <v>14079</v>
      </c>
      <c r="C86" s="844" t="s">
        <v>14080</v>
      </c>
      <c r="D86" s="845">
        <v>43599</v>
      </c>
      <c r="E86" s="309">
        <v>5</v>
      </c>
      <c r="F86" s="309">
        <v>97</v>
      </c>
      <c r="G86" s="309">
        <v>23</v>
      </c>
      <c r="H86" s="261"/>
      <c r="I86" s="261"/>
      <c r="J86" s="261" t="s">
        <v>14081</v>
      </c>
      <c r="K86" s="846">
        <v>0.6</v>
      </c>
      <c r="L86" s="847" t="str">
        <f t="shared" si="4"/>
        <v>60%</v>
      </c>
      <c r="M86" s="848" t="str">
        <f t="shared" si="5"/>
        <v>Bog Res +60%</v>
      </c>
      <c r="N86" s="309">
        <v>5</v>
      </c>
      <c r="O86" s="309">
        <v>150</v>
      </c>
      <c r="P86" s="309">
        <v>90</v>
      </c>
      <c r="Q86" s="261" t="s">
        <v>13895</v>
      </c>
      <c r="R86" s="261"/>
      <c r="S86" s="261" t="s">
        <v>14081</v>
      </c>
      <c r="T86" s="846">
        <v>1</v>
      </c>
      <c r="U86" s="847" t="str">
        <f t="shared" si="6"/>
        <v>100%</v>
      </c>
      <c r="V86" s="848" t="str">
        <f t="shared" si="7"/>
        <v>Bog Res +100%</v>
      </c>
      <c r="W86" s="857" t="str">
        <f>+INDEX(Endvr!$A$2:$K$3001,MATCH(B86,Endvr!$G:$G,0),MATCH("Description",Endvr!$A$2:$K$2,0))&amp;" ("&amp;INDEX(Endvr!$A$2:$K$3001,MATCH(B86,Endvr!$G:$G,0),MATCH("Event Name",Endvr!$A$2:$K$2,0))&amp;")"</f>
        <v>Obtain From Ch. 08 EX 2 Chest (Normal) (Non-Endeavor)</v>
      </c>
      <c r="X86" t="s">
        <v>13843</v>
      </c>
      <c r="Y86" t="s">
        <v>13918</v>
      </c>
      <c r="Z86" t="s">
        <v>14082</v>
      </c>
      <c r="AA86" s="45"/>
    </row>
    <row r="87" spans="1:27" x14ac:dyDescent="0.2">
      <c r="A87" s="856">
        <v>400083</v>
      </c>
      <c r="B87" s="844" t="s">
        <v>14083</v>
      </c>
      <c r="C87" s="844" t="s">
        <v>14084</v>
      </c>
      <c r="D87" s="845">
        <v>43599</v>
      </c>
      <c r="E87" s="309">
        <v>5</v>
      </c>
      <c r="F87" s="309">
        <v>97</v>
      </c>
      <c r="G87" s="309">
        <v>23</v>
      </c>
      <c r="H87" s="261" t="s">
        <v>13877</v>
      </c>
      <c r="I87" s="261" t="s">
        <v>3779</v>
      </c>
      <c r="J87" s="261" t="s">
        <v>14033</v>
      </c>
      <c r="K87" s="846"/>
      <c r="L87" s="847" t="str">
        <f t="shared" si="4"/>
        <v/>
      </c>
      <c r="M87" s="848" t="str">
        <f t="shared" si="5"/>
        <v>(Shadow) Affliction Guard III</v>
      </c>
      <c r="N87" s="309">
        <v>5</v>
      </c>
      <c r="O87" s="309">
        <v>150</v>
      </c>
      <c r="P87" s="309">
        <v>90</v>
      </c>
      <c r="Q87" s="261" t="s">
        <v>13877</v>
      </c>
      <c r="R87" s="261" t="s">
        <v>3779</v>
      </c>
      <c r="S87" s="261" t="s">
        <v>14034</v>
      </c>
      <c r="T87" s="846"/>
      <c r="U87" s="847" t="str">
        <f t="shared" si="6"/>
        <v/>
      </c>
      <c r="V87" s="848" t="str">
        <f t="shared" si="7"/>
        <v>(Shadow) Affliction Guard</v>
      </c>
      <c r="W87" s="857" t="str">
        <f>+INDEX(Endvr!$A$2:$K$3001,MATCH(B87,Endvr!$G:$G,0),MATCH("Description",Endvr!$A$2:$K$2,0))&amp;" ("&amp;INDEX(Endvr!$A$2:$K$3001,MATCH(B87,Endvr!$G:$G,0),MATCH("Event Name",Endvr!$A$2:$K$2,0))&amp;")"</f>
        <v>Clear an Elemental Ruin Using a Skip Ticket (Other Normal Endeavors)</v>
      </c>
      <c r="X87" t="s">
        <v>13843</v>
      </c>
      <c r="Y87" t="s">
        <v>14035</v>
      </c>
      <c r="Z87" t="s">
        <v>3779</v>
      </c>
      <c r="AA87" s="45"/>
    </row>
    <row r="88" spans="1:27" x14ac:dyDescent="0.2">
      <c r="A88" s="856">
        <v>400168</v>
      </c>
      <c r="B88" s="844" t="s">
        <v>14085</v>
      </c>
      <c r="C88" s="844" t="s">
        <v>14086</v>
      </c>
      <c r="D88" s="845">
        <v>43616</v>
      </c>
      <c r="E88" s="309">
        <v>5</v>
      </c>
      <c r="F88" s="309">
        <v>97</v>
      </c>
      <c r="G88" s="309">
        <v>23</v>
      </c>
      <c r="H88" s="261" t="s">
        <v>949</v>
      </c>
      <c r="I88" s="261"/>
      <c r="J88" s="261" t="s">
        <v>96</v>
      </c>
      <c r="K88" s="846">
        <v>0.08</v>
      </c>
      <c r="L88" s="847" t="str">
        <f t="shared" si="4"/>
        <v>8%</v>
      </c>
      <c r="M88" s="848" t="str">
        <f t="shared" si="5"/>
        <v>HP +8%</v>
      </c>
      <c r="N88" s="309">
        <v>5</v>
      </c>
      <c r="O88" s="309">
        <v>150</v>
      </c>
      <c r="P88" s="309">
        <v>90</v>
      </c>
      <c r="Q88" s="261" t="s">
        <v>949</v>
      </c>
      <c r="R88" s="261"/>
      <c r="S88" s="261" t="s">
        <v>96</v>
      </c>
      <c r="T88" s="846">
        <v>0.15</v>
      </c>
      <c r="U88" s="847" t="str">
        <f t="shared" si="6"/>
        <v>15%</v>
      </c>
      <c r="V88" s="848" t="str">
        <f t="shared" si="7"/>
        <v>HP +15%</v>
      </c>
      <c r="W88" s="857" t="str">
        <f>+INDEX(Endvr!$A$2:$K$3001,MATCH(B88,Endvr!$G:$G,0),MATCH("Description",Endvr!$A$2:$K$2,0))</f>
        <v>Clear Midgardsormr's Trial: Beginner</v>
      </c>
      <c r="X88" t="s">
        <v>13843</v>
      </c>
      <c r="Y88" t="s">
        <v>14087</v>
      </c>
      <c r="AA88" s="45"/>
    </row>
    <row r="89" spans="1:27" x14ac:dyDescent="0.2">
      <c r="A89" s="856">
        <v>400096</v>
      </c>
      <c r="B89" s="844" t="s">
        <v>14088</v>
      </c>
      <c r="C89" s="844" t="s">
        <v>14089</v>
      </c>
      <c r="D89" s="845">
        <v>43636</v>
      </c>
      <c r="E89" s="309">
        <v>5</v>
      </c>
      <c r="F89" s="309">
        <v>88</v>
      </c>
      <c r="G89" s="309">
        <v>32</v>
      </c>
      <c r="H89" s="261" t="s">
        <v>13936</v>
      </c>
      <c r="I89" s="261"/>
      <c r="J89" s="261" t="s">
        <v>14090</v>
      </c>
      <c r="K89" s="846">
        <v>0.18</v>
      </c>
      <c r="L89" s="847" t="str">
        <f t="shared" si="4"/>
        <v>18%</v>
      </c>
      <c r="M89" s="848" t="str">
        <f t="shared" si="5"/>
        <v>Dragon Damage +18%</v>
      </c>
      <c r="N89" s="309">
        <v>5</v>
      </c>
      <c r="O89" s="309">
        <v>150</v>
      </c>
      <c r="P89" s="309">
        <v>90</v>
      </c>
      <c r="Q89" s="261" t="s">
        <v>13936</v>
      </c>
      <c r="R89" s="261"/>
      <c r="S89" s="261" t="s">
        <v>14090</v>
      </c>
      <c r="T89" s="846">
        <v>0.18</v>
      </c>
      <c r="U89" s="847" t="str">
        <f t="shared" si="6"/>
        <v>18%</v>
      </c>
      <c r="V89" s="848" t="str">
        <f t="shared" si="7"/>
        <v>Dragon Damage +18%</v>
      </c>
      <c r="W89" s="857" t="str">
        <f>+INDEX(Endvr!$A$2:$K$3001,MATCH(B89,Endvr!$G:$G,0),MATCH("Description",Endvr!$A$2:$K$2,0))&amp;" ("&amp;INDEX(Endvr!$A$2:$K$3001,MATCH(B89,Endvr!$G:$G,0),MATCH("Event Name",Endvr!$A$2:$K$2,0))&amp;")"</f>
        <v>Obtain From Ch. 06 EX 1 Chest (Normal) (Non-Endeavor)</v>
      </c>
      <c r="X89" t="s">
        <v>13843</v>
      </c>
      <c r="Y89" t="s">
        <v>13918</v>
      </c>
      <c r="Z89" t="s">
        <v>14025</v>
      </c>
      <c r="AA89" s="110"/>
    </row>
    <row r="90" spans="1:27" x14ac:dyDescent="0.2">
      <c r="A90" s="856">
        <v>400334</v>
      </c>
      <c r="B90" s="844" t="s">
        <v>14091</v>
      </c>
      <c r="C90" s="844" t="s">
        <v>14092</v>
      </c>
      <c r="D90" s="845">
        <v>43646</v>
      </c>
      <c r="E90" s="309">
        <v>5</v>
      </c>
      <c r="F90" s="309">
        <v>94</v>
      </c>
      <c r="G90" s="309">
        <v>26</v>
      </c>
      <c r="H90" s="261" t="s">
        <v>13847</v>
      </c>
      <c r="I90" s="261" t="s">
        <v>1103</v>
      </c>
      <c r="J90" s="261" t="s">
        <v>14033</v>
      </c>
      <c r="K90" s="846"/>
      <c r="L90" s="847" t="str">
        <f t="shared" si="4"/>
        <v/>
      </c>
      <c r="M90" s="848" t="str">
        <f t="shared" si="5"/>
        <v>(Water) Affliction Guard III</v>
      </c>
      <c r="N90" s="309">
        <v>5</v>
      </c>
      <c r="O90" s="309">
        <v>150</v>
      </c>
      <c r="P90" s="309">
        <v>90</v>
      </c>
      <c r="Q90" s="261" t="s">
        <v>13847</v>
      </c>
      <c r="R90" s="261" t="s">
        <v>1103</v>
      </c>
      <c r="S90" s="261" t="s">
        <v>14034</v>
      </c>
      <c r="T90" s="846"/>
      <c r="U90" s="847" t="str">
        <f t="shared" si="6"/>
        <v/>
      </c>
      <c r="V90" s="848" t="str">
        <f t="shared" si="7"/>
        <v>(Water) Affliction Guard</v>
      </c>
      <c r="W90" s="857" t="str">
        <f>+INDEX(Endvr!$A$2:$K$3001,MATCH(B90,Endvr!$G:$G,0),MATCH("Description",Endvr!$A$2:$K$2,0))&amp;" ("&amp;INDEX(Endvr!$A$2:$K$3001,MATCH(B90,Endvr!$G:$G,0),MATCH("Event Name",Endvr!$A$2:$K$2,0))&amp;")"</f>
        <v>Clear Windmaul Ruins: Beginner (Elemental Ruins)</v>
      </c>
      <c r="X90" t="s">
        <v>13843</v>
      </c>
      <c r="Y90" t="s">
        <v>14035</v>
      </c>
      <c r="Z90" t="s">
        <v>1103</v>
      </c>
      <c r="AA90" s="45"/>
    </row>
    <row r="91" spans="1:27" x14ac:dyDescent="0.2">
      <c r="A91" s="856">
        <v>400243</v>
      </c>
      <c r="B91" s="844" t="s">
        <v>14093</v>
      </c>
      <c r="C91" s="844" t="s">
        <v>14094</v>
      </c>
      <c r="D91" s="845">
        <v>43657</v>
      </c>
      <c r="E91" s="309">
        <v>5</v>
      </c>
      <c r="F91" s="309">
        <v>88</v>
      </c>
      <c r="G91" s="309">
        <v>32</v>
      </c>
      <c r="H91" s="261"/>
      <c r="I91" s="261"/>
      <c r="J91" s="261" t="s">
        <v>1014</v>
      </c>
      <c r="K91" s="846"/>
      <c r="L91" s="847" t="str">
        <f t="shared" si="4"/>
        <v/>
      </c>
      <c r="M91" s="848" t="str">
        <f t="shared" si="5"/>
        <v>Force Charge III</v>
      </c>
      <c r="N91" s="309">
        <v>5</v>
      </c>
      <c r="O91" s="309">
        <v>150</v>
      </c>
      <c r="P91" s="309">
        <v>90</v>
      </c>
      <c r="Q91" s="261" t="s">
        <v>645</v>
      </c>
      <c r="R91" s="261"/>
      <c r="S91" s="261" t="s">
        <v>1014</v>
      </c>
      <c r="T91" s="846"/>
      <c r="U91" s="847" t="str">
        <f t="shared" si="6"/>
        <v/>
      </c>
      <c r="V91" s="848" t="str">
        <f t="shared" si="7"/>
        <v>Force Charge III</v>
      </c>
      <c r="W91" s="857" t="str">
        <f>+INDEX(Endvr!$A$2:$K$3001,MATCH(B91,Endvr!$G:$G,0),MATCH("Description",Endvr!$A$2:$K$2,0))&amp;" ("&amp;INDEX(Endvr!$A$2:$K$3001,MATCH(B91,Endvr!$G:$G,0),MATCH("Event Name",Endvr!$A$2:$K$2,0))&amp;")"</f>
        <v>Clear The Path to Mastery: Master (Flames of Reflection)</v>
      </c>
      <c r="X91" t="s">
        <v>13958</v>
      </c>
      <c r="Y91" t="s">
        <v>14095</v>
      </c>
      <c r="AA91" s="45"/>
    </row>
    <row r="92" spans="1:27" x14ac:dyDescent="0.2">
      <c r="A92" s="856">
        <v>400245</v>
      </c>
      <c r="B92" s="844" t="s">
        <v>14096</v>
      </c>
      <c r="C92" s="844" t="s">
        <v>14097</v>
      </c>
      <c r="D92" s="845">
        <v>43657</v>
      </c>
      <c r="E92" s="309">
        <v>5</v>
      </c>
      <c r="F92" s="309">
        <v>77</v>
      </c>
      <c r="G92" s="309">
        <v>25</v>
      </c>
      <c r="H92" s="261"/>
      <c r="I92" s="261"/>
      <c r="J92" s="261" t="s">
        <v>3372</v>
      </c>
      <c r="K92" s="846"/>
      <c r="L92" s="847" t="str">
        <f t="shared" si="4"/>
        <v/>
      </c>
      <c r="M92" s="848" t="str">
        <f t="shared" si="5"/>
        <v>Healing Doublebuff III</v>
      </c>
      <c r="N92" s="309">
        <v>5</v>
      </c>
      <c r="O92" s="309">
        <v>150</v>
      </c>
      <c r="P92" s="309">
        <v>90</v>
      </c>
      <c r="Q92" s="261" t="s">
        <v>645</v>
      </c>
      <c r="R92" s="261"/>
      <c r="S92" s="261" t="s">
        <v>3372</v>
      </c>
      <c r="T92" s="846"/>
      <c r="U92" s="847" t="str">
        <f t="shared" si="6"/>
        <v/>
      </c>
      <c r="V92" s="848" t="str">
        <f t="shared" si="7"/>
        <v>Healing Doublebuff III</v>
      </c>
      <c r="W92" s="857" t="str">
        <f>+INDEX(Endvr!$A$2:$K$3001,MATCH(B92,Endvr!$G:$G,0),MATCH("Description",Endvr!$A$2:$K$2,0))&amp;" ("&amp;INDEX(Endvr!$A$2:$K$3001,MATCH(B92,Endvr!$G:$G,0),MATCH("Event Name",Endvr!$A$2:$K$2,0))&amp;")"</f>
        <v>Clear A Deadly Drill (Flames of Reflection)</v>
      </c>
      <c r="X92" t="s">
        <v>13958</v>
      </c>
      <c r="Y92" t="s">
        <v>14095</v>
      </c>
      <c r="AA92" s="45"/>
    </row>
    <row r="93" spans="1:27" x14ac:dyDescent="0.2">
      <c r="A93" s="856">
        <v>400158</v>
      </c>
      <c r="B93" s="844" t="s">
        <v>14098</v>
      </c>
      <c r="C93" s="844" t="s">
        <v>8666</v>
      </c>
      <c r="D93" s="845">
        <v>43672</v>
      </c>
      <c r="E93" s="309">
        <v>5</v>
      </c>
      <c r="F93" s="309">
        <v>83</v>
      </c>
      <c r="G93" s="309">
        <v>20</v>
      </c>
      <c r="H93" s="261"/>
      <c r="I93" s="261"/>
      <c r="J93" s="261" t="s">
        <v>14099</v>
      </c>
      <c r="K93" s="846">
        <v>0.25</v>
      </c>
      <c r="L93" s="847" t="str">
        <f t="shared" si="4"/>
        <v>25%</v>
      </c>
      <c r="M93" s="848" t="str">
        <f t="shared" si="5"/>
        <v>High Jupiter Res +25%</v>
      </c>
      <c r="N93" s="309">
        <v>5</v>
      </c>
      <c r="O93" s="309">
        <v>150</v>
      </c>
      <c r="P93" s="309">
        <v>90</v>
      </c>
      <c r="Q93" s="261" t="s">
        <v>13877</v>
      </c>
      <c r="R93" s="261"/>
      <c r="S93" s="261" t="s">
        <v>14099</v>
      </c>
      <c r="T93" s="846">
        <v>0.25</v>
      </c>
      <c r="U93" s="847" t="str">
        <f t="shared" si="6"/>
        <v>25%</v>
      </c>
      <c r="V93" s="848" t="str">
        <f t="shared" si="7"/>
        <v>High Jupiter Res +25%</v>
      </c>
      <c r="W93" s="857" t="str">
        <f>+INDEX(Endvr!$A$2:$K$3001,MATCH(B93,Endvr!$G:$G,0),MATCH("Description",Endvr!$A$2:$K$2,0))&amp;" ("&amp;INDEX(Endvr!$A$2:$K$3001,MATCH(B93,Endvr!$G:$G,0),MATCH("Event Name",Endvr!$A$2:$K$2,0))&amp;")"</f>
        <v>Clear Scalding Shroom Strike (Void Battles)</v>
      </c>
      <c r="X93" t="s">
        <v>13843</v>
      </c>
      <c r="Y93" t="s">
        <v>13954</v>
      </c>
      <c r="Z93" t="s">
        <v>3779</v>
      </c>
      <c r="AA93" s="45"/>
    </row>
    <row r="94" spans="1:27" x14ac:dyDescent="0.2">
      <c r="A94" s="856">
        <v>400098</v>
      </c>
      <c r="B94" s="844" t="s">
        <v>14100</v>
      </c>
      <c r="C94" s="844" t="s">
        <v>14101</v>
      </c>
      <c r="D94" s="845">
        <v>43677</v>
      </c>
      <c r="E94" s="309">
        <v>5</v>
      </c>
      <c r="F94" s="309">
        <v>88</v>
      </c>
      <c r="G94" s="309">
        <v>32</v>
      </c>
      <c r="H94" s="261"/>
      <c r="I94" s="261" t="s">
        <v>543</v>
      </c>
      <c r="J94" s="261" t="s">
        <v>9612</v>
      </c>
      <c r="K94" s="846">
        <v>0.4</v>
      </c>
      <c r="L94" s="847" t="str">
        <f t="shared" si="4"/>
        <v>40%</v>
      </c>
      <c r="M94" s="848" t="str">
        <f t="shared" si="5"/>
        <v>(Axe) Skill Damage +40%</v>
      </c>
      <c r="N94" s="309">
        <v>5</v>
      </c>
      <c r="O94" s="309">
        <v>150</v>
      </c>
      <c r="P94" s="309">
        <v>90</v>
      </c>
      <c r="Q94" s="261" t="s">
        <v>543</v>
      </c>
      <c r="R94" s="261" t="s">
        <v>543</v>
      </c>
      <c r="S94" s="261" t="s">
        <v>9612</v>
      </c>
      <c r="T94" s="846">
        <v>0.4</v>
      </c>
      <c r="U94" s="847" t="str">
        <f t="shared" si="6"/>
        <v>40%</v>
      </c>
      <c r="V94" s="848" t="str">
        <f t="shared" si="7"/>
        <v>(Axe) Skill Damage +40%</v>
      </c>
      <c r="W94" s="857" t="str">
        <f>+INDEX(Endvr!$A$2:$K$3001,MATCH(B94,Endvr!$G:$G,0),MATCH("Description",Endvr!$A$2:$K$2,0))&amp;" ("&amp;INDEX(Endvr!$A$2:$K$3001,MATCH(B94,Endvr!$G:$G,0),MATCH("Event Name",Endvr!$A$2:$K$2,0))&amp;")"</f>
        <v>Clear Barbary Clash: Nightmare (A Splash of Adventure)</v>
      </c>
      <c r="X94" t="s">
        <v>13958</v>
      </c>
      <c r="Y94" t="s">
        <v>14102</v>
      </c>
      <c r="AA94" s="98"/>
    </row>
    <row r="95" spans="1:27" x14ac:dyDescent="0.2">
      <c r="A95" s="856">
        <v>400338</v>
      </c>
      <c r="B95" s="844" t="s">
        <v>14103</v>
      </c>
      <c r="C95" s="844" t="s">
        <v>14104</v>
      </c>
      <c r="D95" s="845">
        <v>43690</v>
      </c>
      <c r="E95" s="309">
        <v>5</v>
      </c>
      <c r="F95" s="309">
        <v>88</v>
      </c>
      <c r="G95" s="309">
        <v>32</v>
      </c>
      <c r="H95" s="261"/>
      <c r="I95" s="261"/>
      <c r="J95" s="261" t="s">
        <v>8958</v>
      </c>
      <c r="K95" s="846">
        <v>0.2</v>
      </c>
      <c r="L95" s="847" t="str">
        <f t="shared" si="4"/>
        <v>20%</v>
      </c>
      <c r="M95" s="848" t="str">
        <f t="shared" si="5"/>
        <v>Critical Damage +20%</v>
      </c>
      <c r="N95" s="309">
        <v>5</v>
      </c>
      <c r="O95" s="309">
        <v>150</v>
      </c>
      <c r="P95" s="309">
        <v>90</v>
      </c>
      <c r="Q95" s="261" t="s">
        <v>645</v>
      </c>
      <c r="R95" s="261"/>
      <c r="S95" s="261" t="s">
        <v>8958</v>
      </c>
      <c r="T95" s="846">
        <v>0.2</v>
      </c>
      <c r="U95" s="847" t="str">
        <f t="shared" si="6"/>
        <v>20%</v>
      </c>
      <c r="V95" s="848" t="str">
        <f t="shared" si="7"/>
        <v>Critical Damage +20%</v>
      </c>
      <c r="W95" s="857" t="str">
        <f>+INDEX(Endvr!$A$2:$K$3001,MATCH(B95,Endvr!$G:$G,0),MATCH("Description",Endvr!$A$2:$K$2,0))&amp;" ("&amp;INDEX(Endvr!$A$2:$K$3001,MATCH(B95,Endvr!$G:$G,0),MATCH("Event Name",Endvr!$A$2:$K$2,0))&amp;")"</f>
        <v>Clear A Fiendish Performance: Expert (A Crescendo of Courage)</v>
      </c>
      <c r="X95" t="s">
        <v>13958</v>
      </c>
      <c r="Y95" t="s">
        <v>14105</v>
      </c>
      <c r="AA95" s="45"/>
    </row>
    <row r="96" spans="1:27" x14ac:dyDescent="0.2">
      <c r="A96" s="856">
        <v>400340</v>
      </c>
      <c r="B96" s="844" t="s">
        <v>14106</v>
      </c>
      <c r="C96" s="844" t="s">
        <v>14107</v>
      </c>
      <c r="D96" s="845">
        <v>43690</v>
      </c>
      <c r="E96" s="309">
        <v>5</v>
      </c>
      <c r="F96" s="309">
        <v>75</v>
      </c>
      <c r="G96" s="309">
        <v>27</v>
      </c>
      <c r="H96" s="261"/>
      <c r="I96" s="261"/>
      <c r="J96" s="261" t="s">
        <v>14108</v>
      </c>
      <c r="K96" s="846">
        <v>0.22</v>
      </c>
      <c r="L96" s="847" t="str">
        <f t="shared" si="4"/>
        <v>22%</v>
      </c>
      <c r="M96" s="848" t="str">
        <f t="shared" si="5"/>
        <v>Full HP = Critical Damage +22%</v>
      </c>
      <c r="N96" s="309">
        <v>5</v>
      </c>
      <c r="O96" s="309">
        <v>150</v>
      </c>
      <c r="P96" s="309">
        <v>90</v>
      </c>
      <c r="Q96" s="261" t="s">
        <v>759</v>
      </c>
      <c r="R96" s="261"/>
      <c r="S96" s="261" t="s">
        <v>8958</v>
      </c>
      <c r="T96" s="846">
        <v>0.2</v>
      </c>
      <c r="U96" s="847" t="str">
        <f t="shared" si="6"/>
        <v>20%</v>
      </c>
      <c r="V96" s="848" t="str">
        <f t="shared" si="7"/>
        <v>Critical Damage +20%</v>
      </c>
      <c r="W96" s="857" t="str">
        <f>+INDEX(Endvr!$A$2:$K$3001,MATCH(B96,Endvr!$G:$G,0),MATCH("Description",Endvr!$A$2:$K$2,0))&amp;" ("&amp;INDEX(Endvr!$A$2:$K$3001,MATCH(B96,Endvr!$G:$G,0),MATCH("Event Name",Endvr!$A$2:$K$2,0))&amp;")"</f>
        <v>Clear A Fiendish Performance: Beginner (A Crescendo of Courage)</v>
      </c>
      <c r="X96" t="s">
        <v>13958</v>
      </c>
      <c r="Y96" t="s">
        <v>14105</v>
      </c>
      <c r="AA96" s="45"/>
    </row>
    <row r="97" spans="1:27" x14ac:dyDescent="0.2">
      <c r="A97" s="856">
        <v>400097</v>
      </c>
      <c r="B97" s="844" t="s">
        <v>14109</v>
      </c>
      <c r="C97" s="844" t="s">
        <v>14110</v>
      </c>
      <c r="D97" s="845">
        <v>43708</v>
      </c>
      <c r="E97" s="309">
        <v>5</v>
      </c>
      <c r="F97" s="309">
        <v>88</v>
      </c>
      <c r="G97" s="309">
        <v>32</v>
      </c>
      <c r="H97" s="261"/>
      <c r="I97" s="261" t="s">
        <v>429</v>
      </c>
      <c r="J97" s="261" t="s">
        <v>9612</v>
      </c>
      <c r="K97" s="846">
        <v>0.4</v>
      </c>
      <c r="L97" s="847" t="str">
        <f t="shared" si="4"/>
        <v>40%</v>
      </c>
      <c r="M97" s="848" t="str">
        <f t="shared" si="5"/>
        <v>(Dagger) Skill Damage +40%</v>
      </c>
      <c r="N97" s="309">
        <v>5</v>
      </c>
      <c r="O97" s="309">
        <v>150</v>
      </c>
      <c r="P97" s="309">
        <v>90</v>
      </c>
      <c r="Q97" s="261" t="s">
        <v>13936</v>
      </c>
      <c r="R97" s="261" t="s">
        <v>429</v>
      </c>
      <c r="S97" s="261" t="s">
        <v>9612</v>
      </c>
      <c r="T97" s="846">
        <v>0.4</v>
      </c>
      <c r="U97" s="847" t="str">
        <f t="shared" si="6"/>
        <v>40%</v>
      </c>
      <c r="V97" s="848" t="str">
        <f t="shared" si="7"/>
        <v>(Dagger) Skill Damage +40%</v>
      </c>
      <c r="W97" s="857" t="str">
        <f>+INDEX(Endvr!$A$2:$K$3001,MATCH(B97,Endvr!$G:$G,0),MATCH("Description",Endvr!$A$2:$K$2,0))&amp;" ("&amp;INDEX(Endvr!$A$2:$K$3001,MATCH(B97,Endvr!$G:$G,0),MATCH("Event Name",Endvr!$A$2:$K$2,0))&amp;")"</f>
        <v>Obtain From Ch. 07 EX 2 Chest (Hard) (Non-Endeavor)</v>
      </c>
      <c r="X97" t="s">
        <v>13843</v>
      </c>
      <c r="Y97" t="s">
        <v>13918</v>
      </c>
      <c r="Z97" t="s">
        <v>13938</v>
      </c>
      <c r="AA97" s="98"/>
    </row>
    <row r="98" spans="1:27" x14ac:dyDescent="0.2">
      <c r="A98" s="856">
        <v>400380</v>
      </c>
      <c r="B98" s="844" t="s">
        <v>14111</v>
      </c>
      <c r="C98" s="844" t="s">
        <v>14112</v>
      </c>
      <c r="D98" s="845">
        <v>43720</v>
      </c>
      <c r="E98" s="309">
        <v>5</v>
      </c>
      <c r="F98" s="309">
        <v>89</v>
      </c>
      <c r="G98" s="309">
        <v>31</v>
      </c>
      <c r="H98" s="261" t="s">
        <v>759</v>
      </c>
      <c r="I98" s="261"/>
      <c r="J98" s="261" t="s">
        <v>1014</v>
      </c>
      <c r="K98" s="846"/>
      <c r="L98" s="847" t="str">
        <f t="shared" si="4"/>
        <v/>
      </c>
      <c r="M98" s="848" t="str">
        <f t="shared" si="5"/>
        <v>Force Charge III</v>
      </c>
      <c r="N98" s="309">
        <v>5</v>
      </c>
      <c r="O98" s="309">
        <v>150</v>
      </c>
      <c r="P98" s="309">
        <v>90</v>
      </c>
      <c r="Q98" s="261" t="s">
        <v>759</v>
      </c>
      <c r="R98" s="261"/>
      <c r="S98" s="261" t="s">
        <v>1014</v>
      </c>
      <c r="T98" s="846"/>
      <c r="U98" s="847" t="str">
        <f t="shared" si="6"/>
        <v/>
      </c>
      <c r="V98" s="848" t="str">
        <f t="shared" si="7"/>
        <v>Force Charge III</v>
      </c>
      <c r="W98" s="857" t="str">
        <f>+INDEX(Endvr!$A$2:$K$3001,MATCH(B98,Endvr!$G:$G,0),MATCH("Description",Endvr!$A$2:$K$2,0))</f>
        <v>Clear Avenue to Fortune Three Times</v>
      </c>
      <c r="X98" t="s">
        <v>13843</v>
      </c>
      <c r="Y98" t="s">
        <v>13943</v>
      </c>
      <c r="AA98" s="45"/>
    </row>
    <row r="99" spans="1:27" x14ac:dyDescent="0.2">
      <c r="A99" s="856">
        <v>400382</v>
      </c>
      <c r="B99" s="844" t="s">
        <v>14113</v>
      </c>
      <c r="C99" s="844" t="s">
        <v>14114</v>
      </c>
      <c r="D99" s="845">
        <v>43727</v>
      </c>
      <c r="E99" s="309">
        <v>5</v>
      </c>
      <c r="F99" s="309">
        <v>83</v>
      </c>
      <c r="G99" s="309">
        <v>20</v>
      </c>
      <c r="H99" s="261"/>
      <c r="I99" s="261"/>
      <c r="J99" s="261" t="s">
        <v>14115</v>
      </c>
      <c r="K99" s="846">
        <v>0.25</v>
      </c>
      <c r="L99" s="847" t="str">
        <f t="shared" si="4"/>
        <v>25%</v>
      </c>
      <c r="M99" s="848" t="str">
        <f t="shared" si="5"/>
        <v>High Zodiark Res +25%</v>
      </c>
      <c r="N99" s="309">
        <v>5</v>
      </c>
      <c r="O99" s="309">
        <v>150</v>
      </c>
      <c r="P99" s="309">
        <v>90</v>
      </c>
      <c r="Q99" s="261" t="s">
        <v>13842</v>
      </c>
      <c r="R99" s="261"/>
      <c r="S99" s="261" t="s">
        <v>14115</v>
      </c>
      <c r="T99" s="846">
        <v>0.25</v>
      </c>
      <c r="U99" s="847" t="str">
        <f t="shared" si="6"/>
        <v>25%</v>
      </c>
      <c r="V99" s="848" t="str">
        <f t="shared" si="7"/>
        <v>High Zodiark Res +25%</v>
      </c>
      <c r="W99" s="857" t="str">
        <f>+INDEX(Endvr!$A$2:$K$3001,MATCH(B99,Endvr!$G:$G,0),MATCH("Description",Endvr!$A$2:$K$2,0))&amp;" ("&amp;INDEX(Endvr!$A$2:$K$3001,MATCH(B99,Endvr!$G:$G,0),MATCH("Event Name",Endvr!$A$2:$K$2,0))&amp;")"</f>
        <v>Clear Battle in Rovetelle Forest: Beginner (The Imperial Onslaught)</v>
      </c>
      <c r="X99" t="s">
        <v>13843</v>
      </c>
      <c r="Y99" t="s">
        <v>13954</v>
      </c>
      <c r="Z99" t="s">
        <v>2837</v>
      </c>
      <c r="AA99" s="45"/>
    </row>
    <row r="100" spans="1:27" x14ac:dyDescent="0.2">
      <c r="A100" s="856">
        <v>400073</v>
      </c>
      <c r="B100" s="844" t="s">
        <v>14116</v>
      </c>
      <c r="C100" s="844" t="s">
        <v>14117</v>
      </c>
      <c r="D100" s="845">
        <v>43738</v>
      </c>
      <c r="E100" s="309">
        <v>5</v>
      </c>
      <c r="F100" s="309">
        <v>75</v>
      </c>
      <c r="G100" s="309">
        <v>27</v>
      </c>
      <c r="H100" s="261"/>
      <c r="I100" s="261"/>
      <c r="J100" s="261" t="s">
        <v>8293</v>
      </c>
      <c r="K100" s="846"/>
      <c r="L100" s="847" t="str">
        <f t="shared" si="4"/>
        <v/>
      </c>
      <c r="M100" s="848" t="str">
        <f t="shared" si="5"/>
        <v>United Haste I</v>
      </c>
      <c r="N100" s="309">
        <v>5</v>
      </c>
      <c r="O100" s="309">
        <v>150</v>
      </c>
      <c r="P100" s="309">
        <v>90</v>
      </c>
      <c r="Q100" s="261" t="s">
        <v>759</v>
      </c>
      <c r="R100" s="261"/>
      <c r="S100" s="261" t="s">
        <v>14118</v>
      </c>
      <c r="T100" s="846">
        <v>0.09</v>
      </c>
      <c r="U100" s="847" t="str">
        <f t="shared" si="6"/>
        <v>9%</v>
      </c>
      <c r="V100" s="848" t="str">
        <f t="shared" si="7"/>
        <v>United Haste +9%</v>
      </c>
      <c r="W100" s="857" t="str">
        <f>+INDEX(Endvr!$A$2:$K$3001,MATCH(B100,Endvr!$G:$G,0),MATCH("Description",Endvr!$A$2:$K$2,0))&amp;" ("&amp;INDEX(Endvr!$A$2:$K$3001,MATCH(B100,Endvr!$G:$G,0),MATCH("Event Name",Endvr!$A$2:$K$2,0))&amp;")"</f>
        <v>Clear Shining Cyclops Assault: Expert (Fractured Futures)</v>
      </c>
      <c r="X100" t="s">
        <v>13958</v>
      </c>
      <c r="Y100" t="s">
        <v>14119</v>
      </c>
      <c r="AA100" s="45"/>
    </row>
    <row r="101" spans="1:27" x14ac:dyDescent="0.2">
      <c r="A101" s="856">
        <v>400384</v>
      </c>
      <c r="B101" s="844" t="s">
        <v>14120</v>
      </c>
      <c r="C101" s="844" t="s">
        <v>14121</v>
      </c>
      <c r="D101" s="845">
        <v>43742</v>
      </c>
      <c r="E101" s="309">
        <v>5</v>
      </c>
      <c r="F101" s="309">
        <v>88</v>
      </c>
      <c r="G101" s="309">
        <v>32</v>
      </c>
      <c r="H101" s="261" t="s">
        <v>123</v>
      </c>
      <c r="I101" s="261"/>
      <c r="J101" s="261" t="s">
        <v>13925</v>
      </c>
      <c r="K101" s="846">
        <v>0.15</v>
      </c>
      <c r="L101" s="847" t="str">
        <f t="shared" si="4"/>
        <v>15%</v>
      </c>
      <c r="M101" s="848" t="str">
        <f t="shared" si="5"/>
        <v>Full HP = Strength +15%</v>
      </c>
      <c r="N101" s="309">
        <v>5</v>
      </c>
      <c r="O101" s="309">
        <v>150</v>
      </c>
      <c r="P101" s="309">
        <v>90</v>
      </c>
      <c r="Q101" s="261" t="s">
        <v>13855</v>
      </c>
      <c r="R101" s="261"/>
      <c r="S101" s="261" t="s">
        <v>9839</v>
      </c>
      <c r="T101" s="846">
        <v>0.15</v>
      </c>
      <c r="U101" s="847" t="str">
        <f t="shared" si="6"/>
        <v>15%</v>
      </c>
      <c r="V101" s="848" t="str">
        <f t="shared" si="7"/>
        <v>Strength +15%</v>
      </c>
      <c r="W101" s="857" t="str">
        <f>+INDEX(Endvr!$A$2:$K$3001,MATCH(B101,Endvr!$G:$G,0),MATCH("Description",Endvr!$A$2:$K$2,0))&amp;" ("&amp;INDEX(Endvr!$A$2:$K$3001,MATCH(B101,Endvr!$G:$G,0),MATCH("Event Name",Endvr!$A$2:$K$2,0))&amp;")"</f>
        <v>Obtain From Ch. 10 EX 1 Chest (Hard) (Non-Endeavor)</v>
      </c>
      <c r="X101" t="s">
        <v>13843</v>
      </c>
      <c r="Y101" t="s">
        <v>13918</v>
      </c>
      <c r="Z101" t="s">
        <v>14122</v>
      </c>
      <c r="AA101" s="45"/>
    </row>
    <row r="102" spans="1:27" x14ac:dyDescent="0.2">
      <c r="A102" s="856">
        <v>400084</v>
      </c>
      <c r="B102" s="844" t="s">
        <v>14123</v>
      </c>
      <c r="C102" s="844" t="s">
        <v>14124</v>
      </c>
      <c r="D102" s="845">
        <v>43742</v>
      </c>
      <c r="E102" s="309">
        <v>5</v>
      </c>
      <c r="F102" s="309">
        <v>88</v>
      </c>
      <c r="G102" s="309">
        <v>32</v>
      </c>
      <c r="H102" s="261" t="s">
        <v>13936</v>
      </c>
      <c r="I102" s="261"/>
      <c r="J102" s="261" t="s">
        <v>3986</v>
      </c>
      <c r="K102" s="846"/>
      <c r="L102" s="847" t="str">
        <f t="shared" si="4"/>
        <v/>
      </c>
      <c r="M102" s="848" t="str">
        <f t="shared" si="5"/>
        <v>Dragon's Claws III</v>
      </c>
      <c r="N102" s="309">
        <v>5</v>
      </c>
      <c r="O102" s="309">
        <v>150</v>
      </c>
      <c r="P102" s="309">
        <v>90</v>
      </c>
      <c r="Q102" s="261" t="s">
        <v>13936</v>
      </c>
      <c r="R102" s="261"/>
      <c r="S102" s="261" t="s">
        <v>3986</v>
      </c>
      <c r="T102" s="846"/>
      <c r="U102" s="847" t="str">
        <f t="shared" si="6"/>
        <v/>
      </c>
      <c r="V102" s="848" t="str">
        <f t="shared" si="7"/>
        <v>Dragon's Claws III</v>
      </c>
      <c r="W102" s="857" t="str">
        <f>+INDEX(Endvr!$A$2:$K$3001,MATCH(B102,Endvr!$G:$G,0),MATCH("Description",Endvr!$A$2:$K$2,0))&amp;" ("&amp;INDEX(Endvr!$A$2:$K$3001,MATCH(B102,Endvr!$G:$G,0),MATCH("Event Name",Endvr!$A$2:$K$2,0))&amp;")"</f>
        <v>Obtain From Ch. 10 EX 1 Chest (Very Hard) (Non-Endeavor)</v>
      </c>
      <c r="X102" t="s">
        <v>13843</v>
      </c>
      <c r="Y102" t="s">
        <v>13918</v>
      </c>
      <c r="Z102" t="s">
        <v>14122</v>
      </c>
      <c r="AA102" s="45"/>
    </row>
    <row r="103" spans="1:27" x14ac:dyDescent="0.2">
      <c r="A103" s="856">
        <v>400135</v>
      </c>
      <c r="B103" s="844" t="s">
        <v>14125</v>
      </c>
      <c r="C103" s="844" t="s">
        <v>14126</v>
      </c>
      <c r="D103" s="845">
        <v>43756</v>
      </c>
      <c r="E103" s="309">
        <v>5</v>
      </c>
      <c r="F103" s="309">
        <v>88</v>
      </c>
      <c r="G103" s="309">
        <v>32</v>
      </c>
      <c r="H103" s="261"/>
      <c r="I103" s="261" t="s">
        <v>839</v>
      </c>
      <c r="J103" s="261" t="s">
        <v>9612</v>
      </c>
      <c r="K103" s="846">
        <v>0.4</v>
      </c>
      <c r="L103" s="847" t="str">
        <f t="shared" si="4"/>
        <v>40%</v>
      </c>
      <c r="M103" s="848" t="str">
        <f t="shared" si="5"/>
        <v>(Wand) Skill Damage +40%</v>
      </c>
      <c r="N103" s="309">
        <v>5</v>
      </c>
      <c r="O103" s="309">
        <v>150</v>
      </c>
      <c r="P103" s="309">
        <v>90</v>
      </c>
      <c r="Q103" s="261" t="s">
        <v>13855</v>
      </c>
      <c r="R103" s="261" t="s">
        <v>839</v>
      </c>
      <c r="S103" s="261" t="s">
        <v>9612</v>
      </c>
      <c r="T103" s="846">
        <v>0.4</v>
      </c>
      <c r="U103" s="847" t="str">
        <f t="shared" si="6"/>
        <v>40%</v>
      </c>
      <c r="V103" s="848" t="str">
        <f t="shared" si="7"/>
        <v>(Wand) Skill Damage +40%</v>
      </c>
      <c r="W103" s="857" t="str">
        <f>+INDEX(Endvr!$A$2:$K$3001,MATCH(B103,Endvr!$G:$G,0),MATCH("Description",Endvr!$A$2:$K$2,0))&amp;" ("&amp;INDEX(Endvr!$A$2:$K$3001,MATCH(B103,Endvr!$G:$G,0),MATCH("Event Name",Endvr!$A$2:$K$2,0))&amp;")"</f>
        <v>Obtain From Ch. 15 EX 1 Chest (Normal) (Non-Endeavor)</v>
      </c>
      <c r="X103" t="s">
        <v>13843</v>
      </c>
      <c r="Y103" t="s">
        <v>13918</v>
      </c>
      <c r="Z103" t="s">
        <v>14127</v>
      </c>
      <c r="AA103" s="45"/>
    </row>
    <row r="104" spans="1:27" x14ac:dyDescent="0.2">
      <c r="A104" s="856">
        <v>400389</v>
      </c>
      <c r="B104" s="844" t="s">
        <v>14128</v>
      </c>
      <c r="C104" s="844" t="s">
        <v>14129</v>
      </c>
      <c r="D104" s="845">
        <v>43769</v>
      </c>
      <c r="E104" s="309">
        <v>5</v>
      </c>
      <c r="F104" s="309">
        <v>88</v>
      </c>
      <c r="G104" s="309">
        <v>32</v>
      </c>
      <c r="H104" s="261" t="s">
        <v>13936</v>
      </c>
      <c r="I104" s="261"/>
      <c r="J104" s="261" t="s">
        <v>14090</v>
      </c>
      <c r="K104" s="846">
        <v>0.18</v>
      </c>
      <c r="L104" s="847" t="str">
        <f t="shared" si="4"/>
        <v>18%</v>
      </c>
      <c r="M104" s="848" t="str">
        <f t="shared" si="5"/>
        <v>Dragon Damage +18%</v>
      </c>
      <c r="N104" s="309">
        <v>5</v>
      </c>
      <c r="O104" s="309">
        <v>150</v>
      </c>
      <c r="P104" s="309">
        <v>90</v>
      </c>
      <c r="Q104" s="261" t="s">
        <v>13936</v>
      </c>
      <c r="R104" s="261" t="s">
        <v>645</v>
      </c>
      <c r="S104" s="261" t="s">
        <v>8958</v>
      </c>
      <c r="T104" s="846">
        <v>0.25</v>
      </c>
      <c r="U104" s="847" t="str">
        <f t="shared" si="6"/>
        <v>25%</v>
      </c>
      <c r="V104" s="848" t="str">
        <f t="shared" si="7"/>
        <v>(Lance) Critical Damage +25%</v>
      </c>
      <c r="W104" s="857" t="str">
        <f>+INDEX(Endvr!$A$2:$K$3001,MATCH(B104,Endvr!$G:$G,0),MATCH("Description",Endvr!$A$2:$K$2,0))&amp;" ("&amp;INDEX(Endvr!$A$2:$K$3001,MATCH(B104,Endvr!$G:$G,0),MATCH("Event Name",Endvr!$A$2:$K$2,0))&amp;")"</f>
        <v>Clear All-Out Assault: Expert (Stirring Shadows)</v>
      </c>
      <c r="X104" t="s">
        <v>13958</v>
      </c>
      <c r="Y104" t="s">
        <v>14130</v>
      </c>
      <c r="AA104" s="45"/>
    </row>
    <row r="105" spans="1:27" x14ac:dyDescent="0.2">
      <c r="A105" s="856">
        <v>400411</v>
      </c>
      <c r="B105" s="844" t="s">
        <v>14131</v>
      </c>
      <c r="C105" s="844" t="s">
        <v>14132</v>
      </c>
      <c r="D105" s="845">
        <v>43782</v>
      </c>
      <c r="E105" s="309">
        <v>5</v>
      </c>
      <c r="F105" s="309">
        <v>89</v>
      </c>
      <c r="G105" s="309">
        <v>31</v>
      </c>
      <c r="H105" s="261"/>
      <c r="I105" s="261"/>
      <c r="J105" s="261" t="s">
        <v>14008</v>
      </c>
      <c r="K105" s="846">
        <v>0.1</v>
      </c>
      <c r="L105" s="847" t="str">
        <f t="shared" si="4"/>
        <v>10%</v>
      </c>
      <c r="M105" s="848" t="str">
        <f t="shared" si="5"/>
        <v>Player EXP +10%</v>
      </c>
      <c r="N105" s="309">
        <v>5</v>
      </c>
      <c r="O105" s="309">
        <v>150</v>
      </c>
      <c r="P105" s="309">
        <v>90</v>
      </c>
      <c r="Q105" s="261" t="s">
        <v>13855</v>
      </c>
      <c r="R105" s="261" t="s">
        <v>839</v>
      </c>
      <c r="S105" s="261" t="s">
        <v>8958</v>
      </c>
      <c r="T105" s="846">
        <v>0.25</v>
      </c>
      <c r="U105" s="847" t="str">
        <f t="shared" si="6"/>
        <v>25%</v>
      </c>
      <c r="V105" s="848" t="str">
        <f t="shared" si="7"/>
        <v>(Wand) Critical Damage +25%</v>
      </c>
      <c r="W105" s="857" t="str">
        <f>+INDEX(Endvr!$A$2:$K$3001,MATCH(B105,Endvr!$G:$G,0),MATCH("Description",Endvr!$A$2:$K$2,0))&amp;" ("&amp;INDEX(Endvr!$A$2:$K$3001,MATCH(B105,Endvr!$G:$G,0),MATCH("Event Name",Endvr!$A$2:$K$2,0))&amp;")"</f>
        <v>Obtain From Ch. 16 EX 1 Chest (Normal) (Non-Endeavor)</v>
      </c>
      <c r="X105" t="s">
        <v>13843</v>
      </c>
      <c r="Y105" t="s">
        <v>13918</v>
      </c>
      <c r="Z105" t="s">
        <v>14133</v>
      </c>
      <c r="AA105" s="45"/>
    </row>
    <row r="106" spans="1:27" x14ac:dyDescent="0.2">
      <c r="A106" s="856">
        <v>400391</v>
      </c>
      <c r="B106" s="844" t="s">
        <v>14134</v>
      </c>
      <c r="C106" s="844" t="s">
        <v>14135</v>
      </c>
      <c r="D106" s="845">
        <v>43782</v>
      </c>
      <c r="E106" s="309">
        <v>5</v>
      </c>
      <c r="F106" s="309">
        <v>88</v>
      </c>
      <c r="G106" s="309">
        <v>32</v>
      </c>
      <c r="H106" s="261"/>
      <c r="I106" s="261" t="s">
        <v>759</v>
      </c>
      <c r="J106" s="261" t="s">
        <v>13852</v>
      </c>
      <c r="K106" s="846">
        <v>0.14000000000000001</v>
      </c>
      <c r="L106" s="847" t="str">
        <f t="shared" si="4"/>
        <v>14%</v>
      </c>
      <c r="M106" s="848" t="str">
        <f t="shared" si="5"/>
        <v>(Bow) Critical Rate +14%</v>
      </c>
      <c r="N106" s="309">
        <v>5</v>
      </c>
      <c r="O106" s="309">
        <v>150</v>
      </c>
      <c r="P106" s="309">
        <v>90</v>
      </c>
      <c r="Q106" s="261" t="s">
        <v>123</v>
      </c>
      <c r="R106" s="261" t="s">
        <v>759</v>
      </c>
      <c r="S106" s="261" t="s">
        <v>13852</v>
      </c>
      <c r="T106" s="846">
        <v>0.15</v>
      </c>
      <c r="U106" s="847" t="str">
        <f t="shared" si="6"/>
        <v>15%</v>
      </c>
      <c r="V106" s="848" t="str">
        <f t="shared" si="7"/>
        <v>(Bow) Critical Rate +15%</v>
      </c>
      <c r="W106" s="857" t="str">
        <f>+INDEX(Endvr!$A$2:$K$3001,MATCH(B106,Endvr!$G:$G,0),MATCH("Description",Endvr!$A$2:$K$2,0))&amp;" ("&amp;INDEX(Endvr!$A$2:$K$3001,MATCH(B106,Endvr!$G:$G,0),MATCH("Event Name",Endvr!$A$2:$K$2,0))&amp;")"</f>
        <v>Obtain From Ch. 13 EX 1 Chest (Normal) (Non-Endeavor)</v>
      </c>
      <c r="X106" t="s">
        <v>13843</v>
      </c>
      <c r="Y106" t="s">
        <v>13918</v>
      </c>
      <c r="Z106" t="s">
        <v>14136</v>
      </c>
      <c r="AA106" s="45"/>
    </row>
    <row r="107" spans="1:27" x14ac:dyDescent="0.2">
      <c r="A107" s="856">
        <v>400398</v>
      </c>
      <c r="B107" s="844" t="s">
        <v>14137</v>
      </c>
      <c r="C107" s="844" t="s">
        <v>14138</v>
      </c>
      <c r="D107" s="845">
        <v>43798</v>
      </c>
      <c r="E107" s="309">
        <v>5</v>
      </c>
      <c r="F107" s="309">
        <v>75</v>
      </c>
      <c r="G107" s="309">
        <v>27</v>
      </c>
      <c r="H107" s="261"/>
      <c r="I107" s="261"/>
      <c r="J107" s="261" t="s">
        <v>13962</v>
      </c>
      <c r="K107" s="846">
        <v>0.13</v>
      </c>
      <c r="L107" s="847" t="str">
        <f t="shared" si="4"/>
        <v>13%</v>
      </c>
      <c r="M107" s="848" t="str">
        <f t="shared" si="5"/>
        <v>HP 70% = Strength +13%</v>
      </c>
      <c r="N107" s="309">
        <v>5</v>
      </c>
      <c r="O107" s="309">
        <v>150</v>
      </c>
      <c r="P107" s="309">
        <v>90</v>
      </c>
      <c r="Q107" s="261" t="s">
        <v>13889</v>
      </c>
      <c r="R107" s="261"/>
      <c r="S107" s="261" t="s">
        <v>9839</v>
      </c>
      <c r="T107" s="846">
        <v>0.15</v>
      </c>
      <c r="U107" s="847" t="str">
        <f t="shared" si="6"/>
        <v>15%</v>
      </c>
      <c r="V107" s="848" t="str">
        <f t="shared" si="7"/>
        <v>Strength +15%</v>
      </c>
      <c r="W107" s="857" t="str">
        <f>+INDEX(Endvr!$A$2:$K$3001,MATCH(B107,Endvr!$G:$G,0),MATCH("Description",Endvr!$A$2:$K$2,0))&amp;" ("&amp;INDEX(Endvr!$A$2:$K$3001,MATCH(B107,Endvr!$G:$G,0),MATCH("Event Name",Endvr!$A$2:$K$2,0))&amp;")"</f>
        <v>Clear Brainwashed Brunhilda: Beginner (Mega Man Chaos Protocol)</v>
      </c>
      <c r="X107" t="s">
        <v>14075</v>
      </c>
      <c r="Y107" s="87" t="s">
        <v>14139</v>
      </c>
      <c r="AA107" s="98"/>
    </row>
    <row r="108" spans="1:27" x14ac:dyDescent="0.2">
      <c r="A108" s="856">
        <v>400399</v>
      </c>
      <c r="B108" s="844" t="s">
        <v>14140</v>
      </c>
      <c r="C108" s="844" t="s">
        <v>14141</v>
      </c>
      <c r="D108" s="845">
        <v>43798</v>
      </c>
      <c r="E108" s="309">
        <v>5</v>
      </c>
      <c r="F108" s="309">
        <v>78</v>
      </c>
      <c r="G108" s="309">
        <v>24</v>
      </c>
      <c r="H108" s="261"/>
      <c r="I108" s="261"/>
      <c r="J108" s="261" t="s">
        <v>13921</v>
      </c>
      <c r="K108" s="846">
        <v>0.2</v>
      </c>
      <c r="L108" s="847" t="str">
        <f t="shared" si="4"/>
        <v>20%</v>
      </c>
      <c r="M108" s="848" t="str">
        <f t="shared" si="5"/>
        <v>Flurry Strength +20%</v>
      </c>
      <c r="N108" s="309">
        <v>5</v>
      </c>
      <c r="O108" s="309">
        <v>150</v>
      </c>
      <c r="P108" s="309">
        <v>90</v>
      </c>
      <c r="Q108" s="261" t="s">
        <v>13862</v>
      </c>
      <c r="R108" s="261"/>
      <c r="S108" s="261" t="s">
        <v>13921</v>
      </c>
      <c r="T108" s="846">
        <v>0.2</v>
      </c>
      <c r="U108" s="847" t="str">
        <f t="shared" si="6"/>
        <v>20%</v>
      </c>
      <c r="V108" s="848" t="str">
        <f t="shared" si="7"/>
        <v>Flurry Strength +20%</v>
      </c>
      <c r="W108" s="857" t="str">
        <f>+INDEX(Endvr!$A$2:$K$3001,MATCH(B108,Endvr!$G:$G,0),MATCH("Description",Endvr!$A$2:$K$2,0))&amp;" ("&amp;INDEX(Endvr!$A$2:$K$3001,MATCH(B108,Endvr!$G:$G,0),MATCH("Event Name",Endvr!$A$2:$K$2,0))&amp;")"</f>
        <v>Clear Brainwashed Mercury: Beginner (Mega Man Chaos Protocol)</v>
      </c>
      <c r="X108" t="s">
        <v>14075</v>
      </c>
      <c r="Y108" s="87" t="s">
        <v>14139</v>
      </c>
      <c r="AA108" s="45"/>
    </row>
    <row r="109" spans="1:27" x14ac:dyDescent="0.2">
      <c r="A109" s="856">
        <v>400400</v>
      </c>
      <c r="B109" s="844" t="s">
        <v>14142</v>
      </c>
      <c r="C109" s="844" t="s">
        <v>14143</v>
      </c>
      <c r="D109" s="845">
        <v>43798</v>
      </c>
      <c r="E109" s="309">
        <v>5</v>
      </c>
      <c r="F109" s="309">
        <v>75</v>
      </c>
      <c r="G109" s="309">
        <v>28</v>
      </c>
      <c r="H109" s="261"/>
      <c r="I109" s="261"/>
      <c r="J109" s="261" t="s">
        <v>14144</v>
      </c>
      <c r="K109" s="846">
        <v>0.22</v>
      </c>
      <c r="L109" s="847" t="str">
        <f t="shared" si="4"/>
        <v>22%</v>
      </c>
      <c r="M109" s="848" t="str">
        <f t="shared" si="5"/>
        <v>HP 70% = Critical Damage +22%</v>
      </c>
      <c r="N109" s="309">
        <v>5</v>
      </c>
      <c r="O109" s="309">
        <v>150</v>
      </c>
      <c r="P109" s="309">
        <v>90</v>
      </c>
      <c r="Q109" s="261" t="s">
        <v>543</v>
      </c>
      <c r="R109" s="261"/>
      <c r="S109" s="261" t="s">
        <v>8958</v>
      </c>
      <c r="T109" s="846">
        <v>0.2</v>
      </c>
      <c r="U109" s="847" t="str">
        <f t="shared" si="6"/>
        <v>20%</v>
      </c>
      <c r="V109" s="848" t="str">
        <f t="shared" si="7"/>
        <v>Critical Damage +20%</v>
      </c>
      <c r="W109" s="857" t="str">
        <f>+INDEX(Endvr!$A$2:$K$3001,MATCH(B109,Endvr!$G:$G,0),MATCH("Description",Endvr!$A$2:$K$2,0))&amp;" ("&amp;INDEX(Endvr!$A$2:$K$3001,MATCH(B109,Endvr!$G:$G,0),MATCH("Event Name",Endvr!$A$2:$K$2,0))&amp;")"</f>
        <v>Clear Brainwashed Zodiark: Beginner (Mega Man Chaos Protocol)</v>
      </c>
      <c r="X109" t="s">
        <v>14075</v>
      </c>
      <c r="Y109" s="87" t="s">
        <v>14139</v>
      </c>
      <c r="AA109" s="45"/>
    </row>
    <row r="110" spans="1:27" x14ac:dyDescent="0.2">
      <c r="A110" s="856">
        <v>400401</v>
      </c>
      <c r="B110" s="844" t="s">
        <v>14145</v>
      </c>
      <c r="C110" s="844" t="s">
        <v>14146</v>
      </c>
      <c r="D110" s="845">
        <v>43798</v>
      </c>
      <c r="E110" s="309">
        <v>5</v>
      </c>
      <c r="F110" s="309">
        <v>76</v>
      </c>
      <c r="G110" s="309">
        <v>27</v>
      </c>
      <c r="H110" s="261"/>
      <c r="I110" s="261"/>
      <c r="J110" s="261" t="s">
        <v>13863</v>
      </c>
      <c r="K110" s="846">
        <v>0.08</v>
      </c>
      <c r="L110" s="847" t="str">
        <f t="shared" si="4"/>
        <v>8%</v>
      </c>
      <c r="M110" s="848" t="str">
        <f t="shared" si="5"/>
        <v>Skill Haste +8%</v>
      </c>
      <c r="N110" s="309">
        <v>5</v>
      </c>
      <c r="O110" s="309">
        <v>150</v>
      </c>
      <c r="P110" s="309">
        <v>90</v>
      </c>
      <c r="Q110" s="261" t="s">
        <v>949</v>
      </c>
      <c r="R110" s="261"/>
      <c r="S110" s="261" t="s">
        <v>13863</v>
      </c>
      <c r="T110" s="846">
        <v>0.08</v>
      </c>
      <c r="U110" s="847" t="str">
        <f t="shared" si="6"/>
        <v>8%</v>
      </c>
      <c r="V110" s="848" t="str">
        <f t="shared" si="7"/>
        <v>Skill Haste +8%</v>
      </c>
      <c r="W110" s="857" t="str">
        <f>+INDEX(Endvr!$A$2:$K$3001,MATCH(B110,Endvr!$G:$G,0),MATCH("Description",Endvr!$A$2:$K$2,0))&amp;" ("&amp;INDEX(Endvr!$A$2:$K$3001,MATCH(B110,Endvr!$G:$G,0),MATCH("Event Name",Endvr!$A$2:$K$2,0))&amp;")"</f>
        <v>Clear Brainwashed Jupiter: Beginner (Mega Man Chaos Protocol)</v>
      </c>
      <c r="X110" t="s">
        <v>14075</v>
      </c>
      <c r="Y110" s="87" t="s">
        <v>14139</v>
      </c>
      <c r="AA110" s="45"/>
    </row>
    <row r="111" spans="1:27" x14ac:dyDescent="0.2">
      <c r="A111" s="856">
        <v>400412</v>
      </c>
      <c r="B111" s="844" t="s">
        <v>14147</v>
      </c>
      <c r="C111" s="844" t="s">
        <v>14148</v>
      </c>
      <c r="D111" s="845">
        <v>43798</v>
      </c>
      <c r="E111" s="309">
        <v>5</v>
      </c>
      <c r="F111" s="309">
        <v>76</v>
      </c>
      <c r="G111" s="309">
        <v>27</v>
      </c>
      <c r="H111" s="261"/>
      <c r="I111" s="261"/>
      <c r="J111" s="261" t="s">
        <v>13882</v>
      </c>
      <c r="K111" s="846">
        <v>0.13</v>
      </c>
      <c r="L111" s="847" t="str">
        <f t="shared" si="4"/>
        <v>13%</v>
      </c>
      <c r="M111" s="848" t="str">
        <f t="shared" si="5"/>
        <v>Recovery Potency +13%</v>
      </c>
      <c r="N111" s="309">
        <v>5</v>
      </c>
      <c r="O111" s="309">
        <v>150</v>
      </c>
      <c r="P111" s="309">
        <v>90</v>
      </c>
      <c r="Q111" s="261" t="s">
        <v>13842</v>
      </c>
      <c r="R111" s="261"/>
      <c r="S111" s="261" t="s">
        <v>13882</v>
      </c>
      <c r="T111" s="846">
        <v>0.15</v>
      </c>
      <c r="U111" s="847" t="str">
        <f t="shared" si="6"/>
        <v>15%</v>
      </c>
      <c r="V111" s="848" t="str">
        <f t="shared" si="7"/>
        <v>Recovery Potency +15%</v>
      </c>
      <c r="W111" s="857" t="str">
        <f>+INDEX(Endvr!$A$2:$K$3001,MATCH(B111,Endvr!$G:$G,0),MATCH("Description",Endvr!$A$2:$K$2,0))&amp;" ("&amp;INDEX(Endvr!$A$2:$K$3001,MATCH(B111,Endvr!$G:$G,0),MATCH("Event Name",Endvr!$A$2:$K$2,0))&amp;")"</f>
        <v>Clear Wily Machine 2: Beginner (Mega Man Chaos Protocol)</v>
      </c>
      <c r="X111" t="s">
        <v>14075</v>
      </c>
      <c r="Y111" s="87" t="s">
        <v>14139</v>
      </c>
      <c r="AA111" s="45"/>
    </row>
    <row r="112" spans="1:27" x14ac:dyDescent="0.2">
      <c r="A112" s="856">
        <v>400397</v>
      </c>
      <c r="B112" s="844" t="s">
        <v>14149</v>
      </c>
      <c r="C112" s="844" t="s">
        <v>14150</v>
      </c>
      <c r="D112" s="845">
        <v>43798</v>
      </c>
      <c r="E112" s="309">
        <v>5</v>
      </c>
      <c r="F112" s="309">
        <v>75</v>
      </c>
      <c r="G112" s="309">
        <v>28</v>
      </c>
      <c r="H112" s="261"/>
      <c r="I112" s="261"/>
      <c r="J112" s="261" t="s">
        <v>9612</v>
      </c>
      <c r="K112" s="846">
        <v>0.3</v>
      </c>
      <c r="L112" s="847" t="str">
        <f t="shared" si="4"/>
        <v>30%</v>
      </c>
      <c r="M112" s="848" t="str">
        <f t="shared" si="5"/>
        <v>Skill Damage +30%</v>
      </c>
      <c r="N112" s="309">
        <v>5</v>
      </c>
      <c r="O112" s="309">
        <v>150</v>
      </c>
      <c r="P112" s="309">
        <v>90</v>
      </c>
      <c r="Q112" s="261" t="s">
        <v>759</v>
      </c>
      <c r="R112" s="261"/>
      <c r="S112" s="261" t="s">
        <v>9612</v>
      </c>
      <c r="T112" s="846">
        <v>0.3</v>
      </c>
      <c r="U112" s="847" t="str">
        <f t="shared" si="6"/>
        <v>30%</v>
      </c>
      <c r="V112" s="848" t="str">
        <f t="shared" si="7"/>
        <v>Skill Damage +30%</v>
      </c>
      <c r="W112" s="857" t="str">
        <f>+INDEX(Endvr!$A$2:$K$3001,MATCH(B112,Endvr!$G:$G,0),MATCH("Description",Endvr!$A$2:$K$2,0))&amp;" ("&amp;INDEX(Endvr!$A$2:$K$3001,MATCH(B112,Endvr!$G:$G,0),MATCH("Event Name",Endvr!$A$2:$K$2,0))&amp;")"</f>
        <v>Participate in the Event (A Clawful Caper)</v>
      </c>
      <c r="X112" t="s">
        <v>14075</v>
      </c>
      <c r="Y112" s="87" t="s">
        <v>14139</v>
      </c>
      <c r="AA112" s="98"/>
    </row>
    <row r="113" spans="1:27" x14ac:dyDescent="0.2">
      <c r="A113" s="856">
        <v>400395</v>
      </c>
      <c r="B113" s="844" t="s">
        <v>14151</v>
      </c>
      <c r="C113" s="844" t="s">
        <v>14152</v>
      </c>
      <c r="D113" s="845">
        <v>43801</v>
      </c>
      <c r="E113" s="309">
        <v>5</v>
      </c>
      <c r="F113" s="309">
        <v>88</v>
      </c>
      <c r="G113" s="309">
        <v>32</v>
      </c>
      <c r="H113" s="261"/>
      <c r="I113" s="261" t="s">
        <v>3779</v>
      </c>
      <c r="J113" s="261" t="s">
        <v>13966</v>
      </c>
      <c r="K113" s="846">
        <v>0.12</v>
      </c>
      <c r="L113" s="847" t="str">
        <f t="shared" si="4"/>
        <v>12%</v>
      </c>
      <c r="M113" s="848" t="str">
        <f t="shared" si="5"/>
        <v>(Shadow) Flurry Devastation +12%</v>
      </c>
      <c r="N113" s="309">
        <v>5</v>
      </c>
      <c r="O113" s="309">
        <v>150</v>
      </c>
      <c r="P113" s="309">
        <v>90</v>
      </c>
      <c r="Q113" s="261" t="s">
        <v>13906</v>
      </c>
      <c r="R113" s="261" t="s">
        <v>3779</v>
      </c>
      <c r="S113" s="261" t="s">
        <v>13966</v>
      </c>
      <c r="T113" s="846">
        <v>0.15</v>
      </c>
      <c r="U113" s="847" t="str">
        <f t="shared" si="6"/>
        <v>15%</v>
      </c>
      <c r="V113" s="848" t="str">
        <f t="shared" si="7"/>
        <v>(Shadow) Flurry Devastation +15%</v>
      </c>
      <c r="W113" s="857" t="str">
        <f>+INDEX(Endvr!$A$2:$K$3001,MATCH(B113,Endvr!$G:$G,0),MATCH("Description",Endvr!$A$2:$K$2,0))&amp;" ("&amp;INDEX(Endvr!$A$2:$K$3001,MATCH(B113,Endvr!$G:$G,0),MATCH("Event Name",Endvr!$A$2:$K$2,0))&amp;")"</f>
        <v>Clear Shadowsteep Ruins: Expert (Elemental Ruins)</v>
      </c>
      <c r="X113" t="s">
        <v>13843</v>
      </c>
      <c r="Y113" t="s">
        <v>14035</v>
      </c>
      <c r="Z113" t="s">
        <v>3779</v>
      </c>
      <c r="AA113" s="45"/>
    </row>
    <row r="114" spans="1:27" x14ac:dyDescent="0.2">
      <c r="A114" s="856">
        <v>400393</v>
      </c>
      <c r="B114" s="844" t="s">
        <v>14153</v>
      </c>
      <c r="C114" s="844" t="s">
        <v>14154</v>
      </c>
      <c r="D114" s="845">
        <v>43811</v>
      </c>
      <c r="E114" s="309">
        <v>5</v>
      </c>
      <c r="F114" s="309">
        <v>88</v>
      </c>
      <c r="G114" s="309">
        <v>32</v>
      </c>
      <c r="H114" s="261"/>
      <c r="I114" s="261"/>
      <c r="J114" s="261" t="s">
        <v>14155</v>
      </c>
      <c r="K114" s="846">
        <v>0.2</v>
      </c>
      <c r="L114" s="847" t="str">
        <f t="shared" si="4"/>
        <v>20%</v>
      </c>
      <c r="M114" s="848" t="str">
        <f t="shared" si="5"/>
        <v>Paralyzed Punisher +20%</v>
      </c>
      <c r="N114" s="309">
        <v>5</v>
      </c>
      <c r="O114" s="309">
        <v>150</v>
      </c>
      <c r="P114" s="309">
        <v>90</v>
      </c>
      <c r="Q114" s="261" t="s">
        <v>13915</v>
      </c>
      <c r="R114" s="261"/>
      <c r="S114" s="261" t="s">
        <v>14155</v>
      </c>
      <c r="T114" s="846">
        <v>0.3</v>
      </c>
      <c r="U114" s="847" t="str">
        <f t="shared" si="6"/>
        <v>30%</v>
      </c>
      <c r="V114" s="848" t="str">
        <f t="shared" si="7"/>
        <v>Paralyzed Punisher +30%</v>
      </c>
      <c r="W114" s="857" t="str">
        <f>+INDEX(Endvr!$A$2:$K$3001,MATCH(B114,Endvr!$G:$G,0),MATCH("Description",Endvr!$A$2:$K$2,0))&amp;" ("&amp;INDEX(Endvr!$A$2:$K$3001,MATCH(B114,Endvr!$G:$G,0),MATCH("Event Name",Endvr!$A$2:$K$2,0))&amp;")"</f>
        <v>Read Episode 5 of the Event Story (The Miracle of Dragonyule)</v>
      </c>
      <c r="X114" t="s">
        <v>13958</v>
      </c>
      <c r="Y114" t="s">
        <v>14001</v>
      </c>
      <c r="AA114" s="98"/>
    </row>
    <row r="115" spans="1:27" x14ac:dyDescent="0.2">
      <c r="A115" s="856">
        <v>400407</v>
      </c>
      <c r="B115" s="844" t="s">
        <v>14156</v>
      </c>
      <c r="C115" s="844" t="s">
        <v>14157</v>
      </c>
      <c r="D115" s="845">
        <v>43830</v>
      </c>
      <c r="E115" s="309">
        <v>5</v>
      </c>
      <c r="F115" s="309">
        <v>88</v>
      </c>
      <c r="G115" s="309">
        <v>32</v>
      </c>
      <c r="H115" s="261" t="s">
        <v>13855</v>
      </c>
      <c r="I115" s="261"/>
      <c r="J115" s="261" t="s">
        <v>9612</v>
      </c>
      <c r="K115" s="846">
        <v>0.3</v>
      </c>
      <c r="L115" s="847" t="str">
        <f t="shared" si="4"/>
        <v>30%</v>
      </c>
      <c r="M115" s="848" t="str">
        <f t="shared" si="5"/>
        <v>Skill Damage +30%</v>
      </c>
      <c r="N115" s="309">
        <v>5</v>
      </c>
      <c r="O115" s="309">
        <v>150</v>
      </c>
      <c r="P115" s="309">
        <v>90</v>
      </c>
      <c r="Q115" s="261" t="s">
        <v>123</v>
      </c>
      <c r="R115" s="261"/>
      <c r="S115" s="261" t="s">
        <v>9612</v>
      </c>
      <c r="T115" s="846">
        <v>0.3</v>
      </c>
      <c r="U115" s="847" t="str">
        <f t="shared" si="6"/>
        <v>30%</v>
      </c>
      <c r="V115" s="848" t="str">
        <f t="shared" si="7"/>
        <v>Skill Damage +30%</v>
      </c>
      <c r="W115" s="857" t="str">
        <f>+INDEX(Endvr!$A$2:$K$3001,MATCH(B115,Endvr!$G:$G,0),MATCH("Description",Endvr!$A$2:$K$2,0))&amp;" ("&amp;INDEX(Endvr!$A$2:$K$3001,MATCH(B115,Endvr!$G:$G,0),MATCH("Event Name",Endvr!$A$2:$K$2,0))&amp;")"</f>
        <v>Clear Ebisu Showdown: Nightmare (A Clawful Caper)</v>
      </c>
      <c r="X115" t="s">
        <v>13958</v>
      </c>
      <c r="Y115" t="s">
        <v>14158</v>
      </c>
      <c r="AA115" s="45"/>
    </row>
    <row r="116" spans="1:27" x14ac:dyDescent="0.2">
      <c r="A116" s="856">
        <v>400409</v>
      </c>
      <c r="B116" s="844" t="s">
        <v>14159</v>
      </c>
      <c r="C116" s="844" t="s">
        <v>14160</v>
      </c>
      <c r="D116" s="845">
        <v>43844</v>
      </c>
      <c r="E116" s="309">
        <v>5</v>
      </c>
      <c r="F116" s="309">
        <v>89</v>
      </c>
      <c r="G116" s="309">
        <v>31</v>
      </c>
      <c r="H116" s="261"/>
      <c r="I116" s="261" t="s">
        <v>1947</v>
      </c>
      <c r="J116" s="261" t="s">
        <v>13863</v>
      </c>
      <c r="K116" s="846">
        <v>0.1</v>
      </c>
      <c r="L116" s="847" t="str">
        <f t="shared" si="4"/>
        <v>10%</v>
      </c>
      <c r="M116" s="848" t="str">
        <f t="shared" si="5"/>
        <v>(Wind) Skill Haste +10%</v>
      </c>
      <c r="N116" s="309">
        <v>5</v>
      </c>
      <c r="O116" s="309">
        <v>150</v>
      </c>
      <c r="P116" s="309">
        <v>90</v>
      </c>
      <c r="Q116" s="261" t="s">
        <v>13895</v>
      </c>
      <c r="R116" s="261" t="s">
        <v>1947</v>
      </c>
      <c r="S116" s="261" t="s">
        <v>13863</v>
      </c>
      <c r="T116" s="846">
        <v>0.1</v>
      </c>
      <c r="U116" s="847" t="str">
        <f t="shared" si="6"/>
        <v>10%</v>
      </c>
      <c r="V116" s="848" t="str">
        <f t="shared" si="7"/>
        <v>(Wind) Skill Haste +10%</v>
      </c>
      <c r="W116" s="857" t="str">
        <f>+INDEX(Endvr!$A$2:$K$3001,MATCH(B116,Endvr!$G:$G,0),MATCH("Description",Endvr!$A$2:$K$2,0))&amp;" ("&amp;INDEX(Endvr!$A$2:$K$3001,MATCH(B116,Endvr!$G:$G,0),MATCH("Event Name",Endvr!$A$2:$K$2,0))&amp;")"</f>
        <v>Obtain From Ch. 08 EX 2 Chest (Very Hard) (Non-Endeavor)</v>
      </c>
      <c r="X116" t="s">
        <v>13843</v>
      </c>
      <c r="Y116" t="s">
        <v>13918</v>
      </c>
      <c r="Z116" t="s">
        <v>14082</v>
      </c>
      <c r="AA116" s="45"/>
    </row>
    <row r="117" spans="1:27" x14ac:dyDescent="0.2">
      <c r="A117" s="856">
        <v>400431</v>
      </c>
      <c r="B117" s="844" t="s">
        <v>14161</v>
      </c>
      <c r="C117" s="844" t="s">
        <v>14162</v>
      </c>
      <c r="D117" s="845">
        <v>43853</v>
      </c>
      <c r="E117" s="309">
        <v>5</v>
      </c>
      <c r="F117" s="309">
        <v>76</v>
      </c>
      <c r="G117" s="309">
        <v>26</v>
      </c>
      <c r="H117" s="261"/>
      <c r="I117" s="261"/>
      <c r="J117" s="261" t="s">
        <v>2476</v>
      </c>
      <c r="K117" s="846"/>
      <c r="L117" s="847" t="str">
        <f t="shared" si="4"/>
        <v/>
      </c>
      <c r="M117" s="848" t="str">
        <f t="shared" si="5"/>
        <v>Energy Doublebuff I</v>
      </c>
      <c r="N117" s="309">
        <v>5</v>
      </c>
      <c r="O117" s="309">
        <v>150</v>
      </c>
      <c r="P117" s="309">
        <v>90</v>
      </c>
      <c r="Q117" s="261" t="s">
        <v>949</v>
      </c>
      <c r="R117" s="261"/>
      <c r="S117" s="261" t="s">
        <v>2476</v>
      </c>
      <c r="T117" s="846"/>
      <c r="U117" s="847" t="str">
        <f t="shared" si="6"/>
        <v/>
      </c>
      <c r="V117" s="848" t="str">
        <f t="shared" si="7"/>
        <v>Energy Doublebuff I</v>
      </c>
      <c r="W117" s="857" t="str">
        <f>+INDEX(Endvr!$A$2:$K$3001,MATCH(B117,Endvr!$G:$G,0),MATCH("Description",Endvr!$A$2:$K$2,0))&amp;" ("&amp;INDEX(Endvr!$A$2:$K$3001,MATCH(B117,Endvr!$G:$G,0),MATCH("Event Name",Endvr!$A$2:$K$2,0))&amp;")"</f>
        <v>Clear Return to the Spring (Skyborne Spectacle)</v>
      </c>
      <c r="X117" t="s">
        <v>13958</v>
      </c>
      <c r="Y117" t="s">
        <v>14158</v>
      </c>
      <c r="AA117" s="98"/>
    </row>
    <row r="118" spans="1:27" x14ac:dyDescent="0.2">
      <c r="A118" s="856">
        <v>400417</v>
      </c>
      <c r="B118" s="844" t="s">
        <v>14163</v>
      </c>
      <c r="C118" s="844" t="s">
        <v>14164</v>
      </c>
      <c r="D118" s="845">
        <v>43859</v>
      </c>
      <c r="E118" s="309">
        <v>5</v>
      </c>
      <c r="F118" s="309">
        <v>88</v>
      </c>
      <c r="G118" s="309">
        <v>32</v>
      </c>
      <c r="H118" s="261"/>
      <c r="I118" s="261"/>
      <c r="J118" s="261" t="s">
        <v>14165</v>
      </c>
      <c r="K118" s="846">
        <v>0.15</v>
      </c>
      <c r="L118" s="847" t="str">
        <f t="shared" si="4"/>
        <v>15%</v>
      </c>
      <c r="M118" s="848" t="str">
        <f t="shared" si="5"/>
        <v>Critical Damage Doublebuff +15%</v>
      </c>
      <c r="N118" s="309">
        <v>5</v>
      </c>
      <c r="O118" s="309">
        <v>150</v>
      </c>
      <c r="P118" s="309">
        <v>90</v>
      </c>
      <c r="Q118" s="261" t="s">
        <v>645</v>
      </c>
      <c r="R118" s="261"/>
      <c r="S118" s="261" t="s">
        <v>14165</v>
      </c>
      <c r="T118" s="846">
        <v>0.15</v>
      </c>
      <c r="U118" s="847" t="str">
        <f t="shared" si="6"/>
        <v>15%</v>
      </c>
      <c r="V118" s="848" t="str">
        <f t="shared" si="7"/>
        <v>Critical Damage Doublebuff +15%</v>
      </c>
      <c r="W118" s="857" t="str">
        <f>+INDEX(Endvr!$A$2:$K$3001,MATCH(B118,Endvr!$G:$G,0),MATCH("Description",Endvr!$A$2:$K$2,0))&amp;" ("&amp;INDEX(Endvr!$A$2:$K$3001,MATCH(B118,Endvr!$G:$G,0),MATCH("Event Name",Endvr!$A$2:$K$2,0))&amp;")"</f>
        <v>Clear Trials: Advanced Trial (Monster Hunter Primal Crisis)</v>
      </c>
      <c r="X118" t="s">
        <v>14075</v>
      </c>
      <c r="Y118" s="87" t="s">
        <v>14166</v>
      </c>
      <c r="AA118" s="45"/>
    </row>
    <row r="119" spans="1:27" x14ac:dyDescent="0.2">
      <c r="A119" s="856">
        <v>400416</v>
      </c>
      <c r="B119" s="844" t="s">
        <v>14167</v>
      </c>
      <c r="C119" s="844" t="s">
        <v>14168</v>
      </c>
      <c r="D119" s="845">
        <v>43859</v>
      </c>
      <c r="E119" s="309">
        <v>5</v>
      </c>
      <c r="F119" s="309">
        <v>94</v>
      </c>
      <c r="G119" s="309">
        <v>26</v>
      </c>
      <c r="H119" s="261"/>
      <c r="I119" s="261" t="s">
        <v>3779</v>
      </c>
      <c r="J119" s="261" t="s">
        <v>14033</v>
      </c>
      <c r="K119" s="846"/>
      <c r="L119" s="847" t="str">
        <f t="shared" si="4"/>
        <v/>
      </c>
      <c r="M119" s="848" t="str">
        <f t="shared" si="5"/>
        <v>(Shadow) Affliction Guard III</v>
      </c>
      <c r="N119" s="309">
        <v>5</v>
      </c>
      <c r="O119" s="309">
        <v>150</v>
      </c>
      <c r="P119" s="309">
        <v>90</v>
      </c>
      <c r="Q119" s="261" t="s">
        <v>13906</v>
      </c>
      <c r="R119" s="261" t="s">
        <v>3779</v>
      </c>
      <c r="S119" s="261" t="s">
        <v>14034</v>
      </c>
      <c r="T119" s="846"/>
      <c r="U119" s="847" t="str">
        <f t="shared" si="6"/>
        <v/>
      </c>
      <c r="V119" s="848" t="str">
        <f t="shared" si="7"/>
        <v>(Shadow) Affliction Guard</v>
      </c>
      <c r="W119" s="857" t="str">
        <f>+INDEX(Endvr!$A$2:$K$3001,MATCH(B119,Endvr!$G:$G,0),MATCH("Description",Endvr!$A$2:$K$2,0))&amp;" ("&amp;INDEX(Endvr!$A$2:$K$3001,MATCH(B119,Endvr!$G:$G,0),MATCH("Event Name",Endvr!$A$2:$K$2,0))&amp;")"</f>
        <v>Clear Trials: Dreadking's Trial (Monster Hunter Primal Crisis)</v>
      </c>
      <c r="X119" t="s">
        <v>14075</v>
      </c>
      <c r="Y119" s="87" t="s">
        <v>14166</v>
      </c>
      <c r="AA119" s="45"/>
    </row>
    <row r="120" spans="1:27" x14ac:dyDescent="0.2">
      <c r="A120" s="856">
        <v>400419</v>
      </c>
      <c r="B120" s="844" t="s">
        <v>14169</v>
      </c>
      <c r="C120" s="844" t="s">
        <v>14170</v>
      </c>
      <c r="D120" s="845">
        <v>43865</v>
      </c>
      <c r="E120" s="309">
        <v>5</v>
      </c>
      <c r="F120" s="309">
        <v>88</v>
      </c>
      <c r="G120" s="309">
        <v>32</v>
      </c>
      <c r="H120" s="261" t="s">
        <v>13936</v>
      </c>
      <c r="I120" s="261"/>
      <c r="J120" s="261" t="s">
        <v>14171</v>
      </c>
      <c r="K120" s="846">
        <v>0.3</v>
      </c>
      <c r="L120" s="847" t="str">
        <f t="shared" si="4"/>
        <v>30%</v>
      </c>
      <c r="M120" s="848" t="str">
        <f t="shared" si="5"/>
        <v>Last Devastation +30%</v>
      </c>
      <c r="N120" s="309">
        <v>5</v>
      </c>
      <c r="O120" s="309">
        <v>150</v>
      </c>
      <c r="P120" s="309">
        <v>90</v>
      </c>
      <c r="Q120" s="261" t="s">
        <v>13936</v>
      </c>
      <c r="R120" s="261"/>
      <c r="S120" s="261" t="s">
        <v>14171</v>
      </c>
      <c r="T120" s="846">
        <v>0.4</v>
      </c>
      <c r="U120" s="847" t="str">
        <f t="shared" si="6"/>
        <v>40%</v>
      </c>
      <c r="V120" s="848" t="str">
        <f t="shared" si="7"/>
        <v>Last Devastation +40%</v>
      </c>
      <c r="W120" s="857" t="str">
        <f>+INDEX(Endvr!$A$2:$K$3001,MATCH(B120,Endvr!$G:$G,0),MATCH("Description",Endvr!$A$2:$K$2,0))&amp;" ("&amp;INDEX(Endvr!$A$2:$K$3001,MATCH(B120,Endvr!$G:$G,0),MATCH("Event Name",Endvr!$A$2:$K$2,0))&amp;")"</f>
        <v>Clear Fatalis Clash: G★★★ (Monster Hunter Primal Crisis)</v>
      </c>
      <c r="X120" t="s">
        <v>14075</v>
      </c>
      <c r="Y120" t="s">
        <v>14166</v>
      </c>
      <c r="AA120" s="45"/>
    </row>
    <row r="121" spans="1:27" x14ac:dyDescent="0.2">
      <c r="A121" s="856">
        <v>400424</v>
      </c>
      <c r="B121" s="844" t="s">
        <v>14172</v>
      </c>
      <c r="C121" s="844" t="s">
        <v>14173</v>
      </c>
      <c r="D121" s="845">
        <v>43865</v>
      </c>
      <c r="E121" s="309">
        <v>5</v>
      </c>
      <c r="F121" s="309">
        <v>75</v>
      </c>
      <c r="G121" s="309">
        <v>28</v>
      </c>
      <c r="H121" s="261"/>
      <c r="I121" s="261"/>
      <c r="J121" s="261" t="s">
        <v>13921</v>
      </c>
      <c r="K121" s="846">
        <v>0.2</v>
      </c>
      <c r="L121" s="847" t="str">
        <f t="shared" si="4"/>
        <v>20%</v>
      </c>
      <c r="M121" s="848" t="str">
        <f t="shared" si="5"/>
        <v>Flurry Strength +20%</v>
      </c>
      <c r="N121" s="309">
        <v>5</v>
      </c>
      <c r="O121" s="309">
        <v>150</v>
      </c>
      <c r="P121" s="309">
        <v>90</v>
      </c>
      <c r="Q121" s="261" t="s">
        <v>13877</v>
      </c>
      <c r="R121" s="261"/>
      <c r="S121" s="261" t="s">
        <v>13921</v>
      </c>
      <c r="T121" s="846">
        <v>0.2</v>
      </c>
      <c r="U121" s="847" t="str">
        <f t="shared" si="6"/>
        <v>20%</v>
      </c>
      <c r="V121" s="848" t="str">
        <f t="shared" si="7"/>
        <v>Flurry Strength +20%</v>
      </c>
      <c r="W121" s="857" t="str">
        <f>+INDEX(Endvr!$A$2:$K$3001,MATCH(B121,Endvr!$G:$G,0),MATCH("Description",Endvr!$A$2:$K$2,0))&amp;" ("&amp;INDEX(Endvr!$A$2:$K$3001,MATCH(B121,Endvr!$G:$G,0),MATCH("Event Name",Endvr!$A$2:$K$2,0))&amp;")"</f>
        <v>Clear Fatalis Clash: EX (Monster Hunter Primal Crisis)</v>
      </c>
      <c r="X121" t="s">
        <v>14075</v>
      </c>
      <c r="Y121" s="87" t="s">
        <v>14166</v>
      </c>
      <c r="AA121" s="45"/>
    </row>
    <row r="122" spans="1:27" x14ac:dyDescent="0.2">
      <c r="A122" s="856">
        <v>400418</v>
      </c>
      <c r="B122" s="844" t="s">
        <v>14174</v>
      </c>
      <c r="C122" s="844" t="s">
        <v>14175</v>
      </c>
      <c r="D122" s="845">
        <v>43865</v>
      </c>
      <c r="E122" s="309">
        <v>5</v>
      </c>
      <c r="F122" s="309">
        <v>88</v>
      </c>
      <c r="G122" s="309">
        <v>32</v>
      </c>
      <c r="H122" s="261"/>
      <c r="I122" s="261"/>
      <c r="J122" s="261" t="s">
        <v>13950</v>
      </c>
      <c r="K122" s="846">
        <v>0.5</v>
      </c>
      <c r="L122" s="847" t="str">
        <f t="shared" si="4"/>
        <v>50%</v>
      </c>
      <c r="M122" s="848" t="str">
        <f t="shared" si="5"/>
        <v>Force Strike +50%</v>
      </c>
      <c r="N122" s="309">
        <v>5</v>
      </c>
      <c r="O122" s="309">
        <v>150</v>
      </c>
      <c r="P122" s="309">
        <v>90</v>
      </c>
      <c r="Q122" s="261" t="s">
        <v>13892</v>
      </c>
      <c r="R122" s="261"/>
      <c r="S122" s="261" t="s">
        <v>13950</v>
      </c>
      <c r="T122" s="846">
        <v>0.5</v>
      </c>
      <c r="U122" s="847" t="str">
        <f t="shared" si="6"/>
        <v>50%</v>
      </c>
      <c r="V122" s="848" t="str">
        <f t="shared" si="7"/>
        <v>Force Strike +50%</v>
      </c>
      <c r="W122" s="857" t="str">
        <f>+INDEX(Endvr!$A$2:$K$3001,MATCH(B122,Endvr!$G:$G,0),MATCH("Description",Endvr!$A$2:$K$2,0))&amp;" ("&amp;INDEX(Endvr!$A$2:$K$3001,MATCH(B122,Endvr!$G:$G,0),MATCH("Event Name",Endvr!$A$2:$K$2,0))&amp;")"</f>
        <v>Clear Trials: Rathalos's Trial (Monster Hunter Primal Crisis)</v>
      </c>
      <c r="X122" t="s">
        <v>14075</v>
      </c>
      <c r="Y122" s="87" t="s">
        <v>14166</v>
      </c>
      <c r="AA122" s="45"/>
    </row>
    <row r="123" spans="1:27" x14ac:dyDescent="0.2">
      <c r="A123" s="856">
        <v>400413</v>
      </c>
      <c r="B123" s="844" t="s">
        <v>14176</v>
      </c>
      <c r="C123" s="844" t="s">
        <v>14177</v>
      </c>
      <c r="D123" s="845">
        <v>43875</v>
      </c>
      <c r="E123" s="309">
        <v>5</v>
      </c>
      <c r="F123" s="309">
        <v>88</v>
      </c>
      <c r="G123" s="309">
        <v>32</v>
      </c>
      <c r="H123" s="261" t="s">
        <v>123</v>
      </c>
      <c r="I123" s="261"/>
      <c r="J123" s="261" t="s">
        <v>13925</v>
      </c>
      <c r="K123" s="846">
        <v>0.15</v>
      </c>
      <c r="L123" s="847" t="str">
        <f t="shared" si="4"/>
        <v>15%</v>
      </c>
      <c r="M123" s="848" t="str">
        <f t="shared" si="5"/>
        <v>Full HP = Strength +15%</v>
      </c>
      <c r="N123" s="309">
        <v>5</v>
      </c>
      <c r="O123" s="309">
        <v>150</v>
      </c>
      <c r="P123" s="309">
        <v>90</v>
      </c>
      <c r="Q123" s="261" t="s">
        <v>543</v>
      </c>
      <c r="R123" s="261"/>
      <c r="S123" s="261" t="s">
        <v>9839</v>
      </c>
      <c r="T123" s="846">
        <v>0.15</v>
      </c>
      <c r="U123" s="847" t="str">
        <f t="shared" si="6"/>
        <v>15%</v>
      </c>
      <c r="V123" s="848" t="str">
        <f t="shared" si="7"/>
        <v>Strength +15%</v>
      </c>
      <c r="W123" s="857" t="str">
        <f>+INDEX(Endvr!$A$2:$K$3001,MATCH(B123,Endvr!$G:$G,0),MATCH("Description",Endvr!$A$2:$K$2,0))&amp;" ("&amp;INDEX(Endvr!$A$2:$K$3001,MATCH(B123,Endvr!$G:$G,0),MATCH("Event Name",Endvr!$A$2:$K$2,0))&amp;")"</f>
        <v>Obtain From Ch. 14 EX 1 Chest (Normal) (Non-Endeavor)</v>
      </c>
      <c r="X123" t="s">
        <v>13843</v>
      </c>
      <c r="Y123" t="s">
        <v>13918</v>
      </c>
      <c r="Z123" t="s">
        <v>14178</v>
      </c>
      <c r="AA123" s="45"/>
    </row>
    <row r="124" spans="1:27" x14ac:dyDescent="0.2">
      <c r="A124" s="856">
        <v>400288</v>
      </c>
      <c r="B124" s="844" t="s">
        <v>14179</v>
      </c>
      <c r="C124" s="844" t="s">
        <v>14180</v>
      </c>
      <c r="D124" s="845">
        <v>43889</v>
      </c>
      <c r="E124" s="309">
        <v>5</v>
      </c>
      <c r="F124" s="309">
        <v>75</v>
      </c>
      <c r="G124" s="309">
        <v>27</v>
      </c>
      <c r="H124" s="261"/>
      <c r="I124" s="261"/>
      <c r="J124" s="261" t="s">
        <v>13965</v>
      </c>
      <c r="K124" s="846">
        <v>0.4</v>
      </c>
      <c r="L124" s="847" t="str">
        <f t="shared" si="4"/>
        <v>40%</v>
      </c>
      <c r="M124" s="848" t="str">
        <f t="shared" si="5"/>
        <v>Full HP = Skill Damage +40%</v>
      </c>
      <c r="N124" s="309">
        <v>5</v>
      </c>
      <c r="O124" s="309">
        <v>150</v>
      </c>
      <c r="P124" s="309">
        <v>90</v>
      </c>
      <c r="Q124" s="261" t="s">
        <v>13847</v>
      </c>
      <c r="R124" s="261"/>
      <c r="S124" s="261" t="s">
        <v>9612</v>
      </c>
      <c r="T124" s="846">
        <v>0.3</v>
      </c>
      <c r="U124" s="847" t="str">
        <f t="shared" si="6"/>
        <v>30%</v>
      </c>
      <c r="V124" s="848" t="str">
        <f t="shared" si="7"/>
        <v>Skill Damage +30%</v>
      </c>
      <c r="W124" s="857" t="str">
        <f>+INDEX(Endvr!$A$2:$K$3001,MATCH(B124,Endvr!$G:$G,0),MATCH("Description",Endvr!$A$2:$K$2,0))&amp;" ("&amp;INDEX(Endvr!$A$2:$K$3001,MATCH(B124,Endvr!$G:$G,0),MATCH("Event Name",Endvr!$A$2:$K$2,0))&amp;")"</f>
        <v>Clear Nature's Bounty - À La Carte: Beginner (A Dash of Disaster)</v>
      </c>
      <c r="X124" t="s">
        <v>13958</v>
      </c>
      <c r="Y124" t="s">
        <v>14181</v>
      </c>
      <c r="AA124" s="45"/>
    </row>
    <row r="125" spans="1:27" x14ac:dyDescent="0.2">
      <c r="A125" s="856">
        <v>400285</v>
      </c>
      <c r="B125" s="844" t="s">
        <v>14182</v>
      </c>
      <c r="C125" s="844" t="s">
        <v>14183</v>
      </c>
      <c r="D125" s="845">
        <v>43889</v>
      </c>
      <c r="E125" s="309">
        <v>5</v>
      </c>
      <c r="F125" s="309">
        <v>88</v>
      </c>
      <c r="G125" s="309">
        <v>32</v>
      </c>
      <c r="H125" s="261"/>
      <c r="I125" s="261"/>
      <c r="J125" s="261" t="s">
        <v>13921</v>
      </c>
      <c r="K125" s="846">
        <v>0.2</v>
      </c>
      <c r="L125" s="847" t="str">
        <f t="shared" si="4"/>
        <v>20%</v>
      </c>
      <c r="M125" s="848" t="str">
        <f t="shared" si="5"/>
        <v>Flurry Strength +20%</v>
      </c>
      <c r="N125" s="309">
        <v>5</v>
      </c>
      <c r="O125" s="309">
        <v>150</v>
      </c>
      <c r="P125" s="309">
        <v>90</v>
      </c>
      <c r="Q125" s="261" t="s">
        <v>13855</v>
      </c>
      <c r="R125" s="261"/>
      <c r="S125" s="261" t="s">
        <v>13921</v>
      </c>
      <c r="T125" s="846">
        <v>0.2</v>
      </c>
      <c r="U125" s="847" t="str">
        <f t="shared" si="6"/>
        <v>20%</v>
      </c>
      <c r="V125" s="848" t="str">
        <f t="shared" si="7"/>
        <v>Flurry Strength +20%</v>
      </c>
      <c r="W125" s="857" t="str">
        <f>+INDEX(Endvr!$A$2:$K$3001,MATCH(B125,Endvr!$G:$G,0),MATCH("Description",Endvr!$A$2:$K$2,0))&amp;" ("&amp;INDEX(Endvr!$A$2:$K$3001,MATCH(B125,Endvr!$G:$G,0),MATCH("Event Name",Endvr!$A$2:$K$2,0))&amp;")"</f>
        <v>Clear Nature's Bounty - À La Carte: Expert (A Dash of Disaster)</v>
      </c>
      <c r="X125" t="s">
        <v>13958</v>
      </c>
      <c r="Y125" t="s">
        <v>14181</v>
      </c>
      <c r="AA125" s="45"/>
    </row>
    <row r="126" spans="1:27" x14ac:dyDescent="0.2">
      <c r="A126" s="856">
        <v>400420</v>
      </c>
      <c r="B126" s="844" t="s">
        <v>14184</v>
      </c>
      <c r="C126" s="844" t="s">
        <v>14185</v>
      </c>
      <c r="D126" s="845">
        <v>43902</v>
      </c>
      <c r="E126" s="309">
        <v>5</v>
      </c>
      <c r="F126" s="309">
        <v>94</v>
      </c>
      <c r="G126" s="309">
        <v>26</v>
      </c>
      <c r="H126" s="261" t="s">
        <v>13895</v>
      </c>
      <c r="I126" s="261" t="s">
        <v>1947</v>
      </c>
      <c r="J126" s="261" t="s">
        <v>14033</v>
      </c>
      <c r="K126" s="846"/>
      <c r="L126" s="847" t="str">
        <f t="shared" si="4"/>
        <v/>
      </c>
      <c r="M126" s="848" t="str">
        <f t="shared" si="5"/>
        <v>(Wind) Affliction Guard III</v>
      </c>
      <c r="N126" s="309">
        <v>5</v>
      </c>
      <c r="O126" s="309">
        <v>150</v>
      </c>
      <c r="P126" s="309">
        <v>90</v>
      </c>
      <c r="Q126" s="261" t="s">
        <v>13895</v>
      </c>
      <c r="R126" s="261" t="s">
        <v>1947</v>
      </c>
      <c r="S126" s="261" t="s">
        <v>14034</v>
      </c>
      <c r="T126" s="846"/>
      <c r="U126" s="847" t="str">
        <f t="shared" si="6"/>
        <v/>
      </c>
      <c r="V126" s="848" t="str">
        <f t="shared" si="7"/>
        <v>(Wind) Affliction Guard</v>
      </c>
      <c r="W126" s="857" t="str">
        <f>+INDEX(Endvr!$A$2:$K$3001,MATCH(B126,Endvr!$G:$G,0),MATCH("Description",Endvr!$A$2:$K$2,0))&amp;" ("&amp;INDEX(Endvr!$A$2:$K$3001,MATCH(B126,Endvr!$G:$G,0),MATCH("Event Name",Endvr!$A$2:$K$2,0))&amp;")"</f>
        <v>Clear Windmaul Ruins: Standard (Elemental Ruins)</v>
      </c>
      <c r="X126" t="s">
        <v>13843</v>
      </c>
      <c r="Y126" t="s">
        <v>14035</v>
      </c>
      <c r="Z126" t="s">
        <v>1947</v>
      </c>
      <c r="AA126" s="45"/>
    </row>
    <row r="127" spans="1:27" x14ac:dyDescent="0.2">
      <c r="A127" s="856">
        <v>400342</v>
      </c>
      <c r="B127" s="844" t="s">
        <v>14186</v>
      </c>
      <c r="C127" s="844" t="s">
        <v>14187</v>
      </c>
      <c r="D127" s="845">
        <v>43902</v>
      </c>
      <c r="E127" s="309">
        <v>5</v>
      </c>
      <c r="F127" s="309">
        <v>89</v>
      </c>
      <c r="G127" s="309">
        <v>31</v>
      </c>
      <c r="H127" s="261" t="s">
        <v>123</v>
      </c>
      <c r="I127" s="261"/>
      <c r="J127" s="261" t="s">
        <v>14188</v>
      </c>
      <c r="K127" s="846">
        <v>0.15</v>
      </c>
      <c r="L127" s="847" t="str">
        <f t="shared" si="4"/>
        <v>15%</v>
      </c>
      <c r="M127" s="848" t="str">
        <f t="shared" si="5"/>
        <v>Striking Haste +15%</v>
      </c>
      <c r="N127" s="309">
        <v>5</v>
      </c>
      <c r="O127" s="309">
        <v>150</v>
      </c>
      <c r="P127" s="309">
        <v>90</v>
      </c>
      <c r="Q127" s="261" t="s">
        <v>123</v>
      </c>
      <c r="R127" s="261"/>
      <c r="S127" s="261" t="s">
        <v>14188</v>
      </c>
      <c r="T127" s="846">
        <v>0.15</v>
      </c>
      <c r="U127" s="847" t="str">
        <f t="shared" si="6"/>
        <v>15%</v>
      </c>
      <c r="V127" s="848" t="str">
        <f t="shared" si="7"/>
        <v>Striking Haste +15%</v>
      </c>
      <c r="W127" s="857" t="str">
        <f>+INDEX(Endvr!$A$2:$K$3001,MATCH(B127,Endvr!$G:$G,0),MATCH("Description",Endvr!$A$2:$K$2,0))</f>
        <v>Clear Ch. 03 4-3 of the Main Campaign (Hard)</v>
      </c>
      <c r="X127" t="s">
        <v>13843</v>
      </c>
      <c r="Y127" t="s">
        <v>13918</v>
      </c>
      <c r="Z127" t="s">
        <v>13947</v>
      </c>
      <c r="AA127" s="45"/>
    </row>
    <row r="128" spans="1:27" x14ac:dyDescent="0.2">
      <c r="A128" s="856">
        <v>400402</v>
      </c>
      <c r="B128" s="844" t="s">
        <v>14189</v>
      </c>
      <c r="C128" s="844" t="s">
        <v>14190</v>
      </c>
      <c r="D128" s="845">
        <v>43902</v>
      </c>
      <c r="E128" s="309">
        <v>5</v>
      </c>
      <c r="F128" s="309">
        <v>88</v>
      </c>
      <c r="G128" s="309">
        <v>32</v>
      </c>
      <c r="H128" s="261"/>
      <c r="I128" s="261"/>
      <c r="J128" s="261" t="s">
        <v>14191</v>
      </c>
      <c r="K128" s="846">
        <v>0.13</v>
      </c>
      <c r="L128" s="847" t="str">
        <f t="shared" si="4"/>
        <v>13%</v>
      </c>
      <c r="M128" s="848" t="str">
        <f t="shared" si="5"/>
        <v>Strength Doublebuff +13%</v>
      </c>
      <c r="N128" s="309">
        <v>5</v>
      </c>
      <c r="O128" s="309">
        <v>150</v>
      </c>
      <c r="P128" s="309">
        <v>90</v>
      </c>
      <c r="Q128" s="261" t="s">
        <v>123</v>
      </c>
      <c r="R128" s="261"/>
      <c r="S128" s="261" t="s">
        <v>14191</v>
      </c>
      <c r="T128" s="846">
        <v>0.13</v>
      </c>
      <c r="U128" s="847" t="str">
        <f t="shared" si="6"/>
        <v>13%</v>
      </c>
      <c r="V128" s="848" t="str">
        <f t="shared" si="7"/>
        <v>Strength Doublebuff +13%</v>
      </c>
      <c r="W128" s="857" t="str">
        <f>+INDEX(Endvr!$A$2:$K$3001,MATCH(B128,Endvr!$G:$G,0),MATCH("Description",Endvr!$A$2:$K$2,0))</f>
        <v>Clear Ch. 05 4-3 of the Main Campaign (Very Hard)</v>
      </c>
      <c r="X128" t="s">
        <v>13843</v>
      </c>
      <c r="Y128" t="s">
        <v>13918</v>
      </c>
      <c r="Z128" t="s">
        <v>14054</v>
      </c>
      <c r="AA128" s="45"/>
    </row>
    <row r="129" spans="1:27" x14ac:dyDescent="0.2">
      <c r="A129" s="856">
        <v>400088</v>
      </c>
      <c r="B129" s="844" t="s">
        <v>14192</v>
      </c>
      <c r="C129" s="844" t="s">
        <v>14193</v>
      </c>
      <c r="D129" s="845">
        <v>43917</v>
      </c>
      <c r="E129" s="309">
        <v>5</v>
      </c>
      <c r="F129" s="309">
        <v>88</v>
      </c>
      <c r="G129" s="309">
        <v>32</v>
      </c>
      <c r="H129" s="261" t="s">
        <v>13936</v>
      </c>
      <c r="I129" s="261"/>
      <c r="J129" s="261" t="s">
        <v>7303</v>
      </c>
      <c r="K129" s="846"/>
      <c r="L129" s="847" t="str">
        <f t="shared" si="4"/>
        <v/>
      </c>
      <c r="M129" s="848" t="str">
        <f t="shared" si="5"/>
        <v>Dragon's Skill III</v>
      </c>
      <c r="N129" s="309">
        <v>5</v>
      </c>
      <c r="O129" s="309">
        <v>150</v>
      </c>
      <c r="P129" s="309">
        <v>90</v>
      </c>
      <c r="Q129" s="261" t="s">
        <v>13936</v>
      </c>
      <c r="R129" s="261"/>
      <c r="S129" s="261" t="s">
        <v>7303</v>
      </c>
      <c r="T129" s="846"/>
      <c r="U129" s="847" t="str">
        <f t="shared" si="6"/>
        <v/>
      </c>
      <c r="V129" s="848" t="str">
        <f t="shared" si="7"/>
        <v>Dragon's Skill III</v>
      </c>
      <c r="W129" s="857" t="str">
        <f>+INDEX(Endvr!$A$2:$K$3001,MATCH(B129,Endvr!$G:$G,0),MATCH("Description",Endvr!$A$2:$K$2,0))&amp;" ("&amp;INDEX(Endvr!$A$2:$K$3001,MATCH(B129,Endvr!$G:$G,0),MATCH("Event Name",Endvr!$A$2:$K$2,0))&amp;")"</f>
        <v>Obtain From Ch. 04 EX 2 Chest (Hard) (Non-Endeavor)</v>
      </c>
      <c r="X129" t="s">
        <v>13843</v>
      </c>
      <c r="Y129" t="s">
        <v>13918</v>
      </c>
      <c r="Z129" t="s">
        <v>14025</v>
      </c>
      <c r="AA129" s="45"/>
    </row>
    <row r="130" spans="1:27" x14ac:dyDescent="0.2">
      <c r="A130" s="856">
        <v>400237</v>
      </c>
      <c r="B130" s="844" t="s">
        <v>14194</v>
      </c>
      <c r="C130" s="844" t="s">
        <v>14195</v>
      </c>
      <c r="D130" s="845">
        <v>43917</v>
      </c>
      <c r="E130" s="309">
        <v>5</v>
      </c>
      <c r="F130" s="309">
        <v>88</v>
      </c>
      <c r="G130" s="309">
        <v>32</v>
      </c>
      <c r="H130" s="261" t="s">
        <v>543</v>
      </c>
      <c r="I130" s="261"/>
      <c r="J130" s="261" t="s">
        <v>14196</v>
      </c>
      <c r="K130" s="846">
        <v>0.06</v>
      </c>
      <c r="L130" s="847" t="str">
        <f t="shared" si="4"/>
        <v>6%</v>
      </c>
      <c r="M130" s="848" t="str">
        <f t="shared" si="5"/>
        <v>Striker's Strength +6%</v>
      </c>
      <c r="N130" s="309">
        <v>5</v>
      </c>
      <c r="O130" s="309">
        <v>150</v>
      </c>
      <c r="P130" s="309">
        <v>90</v>
      </c>
      <c r="Q130" s="261" t="s">
        <v>543</v>
      </c>
      <c r="R130" s="261"/>
      <c r="S130" s="261" t="s">
        <v>14196</v>
      </c>
      <c r="T130" s="846">
        <v>0.06</v>
      </c>
      <c r="U130" s="847" t="str">
        <f t="shared" si="6"/>
        <v>6%</v>
      </c>
      <c r="V130" s="848" t="str">
        <f t="shared" si="7"/>
        <v>Striker's Strength +6%</v>
      </c>
      <c r="W130" s="857" t="str">
        <f>+INDEX(Endvr!$A$2:$K$3001,MATCH(B130,Endvr!$G:$G,0),MATCH("Description",Endvr!$A$2:$K$2,0))&amp;" ("&amp;INDEX(Endvr!$A$2:$K$3001,MATCH(B130,Endvr!$G:$G,0),MATCH("Event Name",Endvr!$A$2:$K$2,0))&amp;")"</f>
        <v>Obtain From Ch. 16 EX 1 Chest (Hard) (Non-Endeavor)</v>
      </c>
      <c r="X130" t="s">
        <v>13843</v>
      </c>
      <c r="Y130" t="s">
        <v>13918</v>
      </c>
      <c r="Z130" t="s">
        <v>14197</v>
      </c>
      <c r="AA130" s="98"/>
    </row>
    <row r="131" spans="1:27" x14ac:dyDescent="0.2">
      <c r="A131" s="856">
        <v>400239</v>
      </c>
      <c r="B131" s="844" t="s">
        <v>14198</v>
      </c>
      <c r="C131" s="844" t="s">
        <v>14199</v>
      </c>
      <c r="D131" s="845">
        <v>43921</v>
      </c>
      <c r="E131" s="309">
        <v>5</v>
      </c>
      <c r="F131" s="309">
        <v>94</v>
      </c>
      <c r="G131" s="309">
        <v>26</v>
      </c>
      <c r="H131" s="261" t="s">
        <v>13862</v>
      </c>
      <c r="I131" s="261"/>
      <c r="J131" s="261" t="s">
        <v>14200</v>
      </c>
      <c r="K131" s="846">
        <v>0.1</v>
      </c>
      <c r="L131" s="847" t="str">
        <f t="shared" ref="L131:L194" si="8">IF(K131="","",TEXT(K131,"0%"))</f>
        <v>10%</v>
      </c>
      <c r="M131" s="848" t="str">
        <f t="shared" ref="M131:M194" si="9">IF(I131="",J131,"("&amp;I131&amp;") "&amp;J131)&amp;IF(K131="",""," +"&amp;L131)</f>
        <v>Resilient Offense +10%</v>
      </c>
      <c r="N131" s="309">
        <v>5</v>
      </c>
      <c r="O131" s="309">
        <v>150</v>
      </c>
      <c r="P131" s="309">
        <v>90</v>
      </c>
      <c r="Q131" s="261" t="s">
        <v>13862</v>
      </c>
      <c r="R131" s="261"/>
      <c r="S131" s="261" t="s">
        <v>14200</v>
      </c>
      <c r="T131" s="846">
        <v>0.1</v>
      </c>
      <c r="U131" s="847" t="str">
        <f t="shared" ref="U131:U194" si="10">IF(T131="","",TEXT(T131,"0%"))</f>
        <v>10%</v>
      </c>
      <c r="V131" s="848" t="str">
        <f t="shared" ref="V131:V194" si="11">IF(R131="",S131,"("&amp;R131&amp;") "&amp;S131)&amp;IF(T131="",""," +"&amp;U131)</f>
        <v>Resilient Offense +10%</v>
      </c>
      <c r="W131" s="857" t="str">
        <f>+INDEX(Endvr!$A$2:$K$3001,MATCH(B131,Endvr!$G:$G,0),MATCH("Description",Endvr!$A$2:$K$2,0))&amp;" ("&amp;INDEX(Endvr!$A$2:$K$3001,MATCH(B131,Endvr!$G:$G,0),MATCH("Event Name",Endvr!$A$2:$K$2,0))&amp;")"</f>
        <v>Clear Aspidochelone Clash: Nightmare (Scars of the Syndicate)</v>
      </c>
      <c r="X131" t="s">
        <v>13958</v>
      </c>
      <c r="Y131" t="s">
        <v>14201</v>
      </c>
      <c r="AA131" s="45"/>
    </row>
    <row r="132" spans="1:27" x14ac:dyDescent="0.2">
      <c r="A132" s="856">
        <v>400423</v>
      </c>
      <c r="B132" s="844" t="s">
        <v>14202</v>
      </c>
      <c r="C132" s="844" t="s">
        <v>14203</v>
      </c>
      <c r="D132" s="845">
        <v>43934</v>
      </c>
      <c r="E132" s="309">
        <v>5</v>
      </c>
      <c r="F132" s="309">
        <v>88</v>
      </c>
      <c r="G132" s="309">
        <v>32</v>
      </c>
      <c r="H132" s="261" t="s">
        <v>123</v>
      </c>
      <c r="I132" s="261"/>
      <c r="J132" s="261" t="s">
        <v>14022</v>
      </c>
      <c r="K132" s="846">
        <v>0.2</v>
      </c>
      <c r="L132" s="847" t="str">
        <f t="shared" si="8"/>
        <v>20%</v>
      </c>
      <c r="M132" s="848" t="str">
        <f t="shared" si="9"/>
        <v>Buff Skill Time +20%</v>
      </c>
      <c r="N132" s="309">
        <v>5</v>
      </c>
      <c r="O132" s="309">
        <v>150</v>
      </c>
      <c r="P132" s="309">
        <v>90</v>
      </c>
      <c r="Q132" s="261" t="s">
        <v>123</v>
      </c>
      <c r="R132" s="261"/>
      <c r="S132" s="261" t="s">
        <v>14022</v>
      </c>
      <c r="T132" s="846">
        <v>0.25</v>
      </c>
      <c r="U132" s="847" t="str">
        <f t="shared" si="10"/>
        <v>25%</v>
      </c>
      <c r="V132" s="848" t="str">
        <f t="shared" si="11"/>
        <v>Buff Skill Time +25%</v>
      </c>
      <c r="W132" s="857" t="str">
        <f>+INDEX(Endvr!$A$2:$K$3001,MATCH(B132,Endvr!$G:$G,0),MATCH("Description",Endvr!$A$2:$K$2,0))&amp;" ("&amp;INDEX(Endvr!$A$2:$K$3001,MATCH(B132,Endvr!$G:$G,0),MATCH("Event Name",Endvr!$A$2:$K$2,0))&amp;")"</f>
        <v>Obtain From Ch. 11 EX 1 Chest (Very Hard) (Non-Endeavor)</v>
      </c>
      <c r="X132" t="s">
        <v>13843</v>
      </c>
      <c r="Y132" t="s">
        <v>13918</v>
      </c>
      <c r="Z132" t="s">
        <v>13979</v>
      </c>
      <c r="AA132" s="98"/>
    </row>
    <row r="133" spans="1:27" x14ac:dyDescent="0.2">
      <c r="A133" s="856">
        <v>400425</v>
      </c>
      <c r="B133" s="844" t="s">
        <v>14204</v>
      </c>
      <c r="C133" s="844" t="s">
        <v>14205</v>
      </c>
      <c r="D133" s="845">
        <v>43951</v>
      </c>
      <c r="E133" s="309">
        <v>5</v>
      </c>
      <c r="F133" s="309">
        <v>94</v>
      </c>
      <c r="G133" s="309">
        <v>26</v>
      </c>
      <c r="H133" s="261"/>
      <c r="I133" s="261"/>
      <c r="J133" s="261" t="s">
        <v>1904</v>
      </c>
      <c r="K133" s="846"/>
      <c r="L133" s="847" t="str">
        <f t="shared" si="8"/>
        <v/>
      </c>
      <c r="M133" s="848" t="str">
        <f t="shared" si="9"/>
        <v>Last Recovery IV</v>
      </c>
      <c r="N133" s="309">
        <v>5</v>
      </c>
      <c r="O133" s="309">
        <v>150</v>
      </c>
      <c r="P133" s="309">
        <v>90</v>
      </c>
      <c r="Q133" s="261" t="s">
        <v>13847</v>
      </c>
      <c r="R133" s="261"/>
      <c r="S133" s="261" t="s">
        <v>1904</v>
      </c>
      <c r="T133" s="846"/>
      <c r="U133" s="847" t="str">
        <f t="shared" si="10"/>
        <v/>
      </c>
      <c r="V133" s="848" t="str">
        <f t="shared" si="11"/>
        <v>Last Recovery IV</v>
      </c>
      <c r="W133" s="857" t="str">
        <f>+INDEX(Endvr!$A$2:$K$3001,MATCH(B133,Endvr!$G:$G,0),MATCH("Description",Endvr!$A$2:$K$2,0))&amp;" ("&amp;INDEX(Endvr!$A$2:$K$3001,MATCH(B133,Endvr!$G:$G,0),MATCH("Event Name",Endvr!$A$2:$K$2,0))&amp;")"</f>
        <v>Clear Thórr's Hammer (Fire Emblem: Kindred Ties)</v>
      </c>
      <c r="X133" t="s">
        <v>14075</v>
      </c>
      <c r="Y133" s="87" t="s">
        <v>14206</v>
      </c>
      <c r="AA133" s="98"/>
    </row>
    <row r="134" spans="1:27" x14ac:dyDescent="0.2">
      <c r="A134" s="856">
        <v>400441</v>
      </c>
      <c r="B134" s="844" t="s">
        <v>14207</v>
      </c>
      <c r="C134" s="844" t="s">
        <v>14208</v>
      </c>
      <c r="D134" s="845">
        <v>43951</v>
      </c>
      <c r="E134" s="309">
        <v>5</v>
      </c>
      <c r="F134" s="309">
        <v>88</v>
      </c>
      <c r="G134" s="309">
        <v>32</v>
      </c>
      <c r="H134" s="261"/>
      <c r="I134" s="261"/>
      <c r="J134" s="261" t="s">
        <v>14209</v>
      </c>
      <c r="K134" s="846">
        <v>0.05</v>
      </c>
      <c r="L134" s="847" t="str">
        <f t="shared" si="8"/>
        <v>5%</v>
      </c>
      <c r="M134" s="848" t="str">
        <f t="shared" si="9"/>
        <v>Slayer's Devastation +5%</v>
      </c>
      <c r="N134" s="309">
        <v>5</v>
      </c>
      <c r="O134" s="309">
        <v>150</v>
      </c>
      <c r="P134" s="309">
        <v>90</v>
      </c>
      <c r="Q134" s="261" t="s">
        <v>13855</v>
      </c>
      <c r="R134" s="261"/>
      <c r="S134" s="261" t="s">
        <v>14209</v>
      </c>
      <c r="T134" s="846">
        <v>0.05</v>
      </c>
      <c r="U134" s="847" t="str">
        <f t="shared" si="10"/>
        <v>5%</v>
      </c>
      <c r="V134" s="848" t="str">
        <f t="shared" si="11"/>
        <v>Slayer's Devastation +5%</v>
      </c>
      <c r="W134" s="857" t="str">
        <f>+INDEX(Endvr!$A$2:$K$3001,MATCH(B134,Endvr!$G:$G,0),MATCH("Description",Endvr!$A$2:$K$2,0))&amp;" ("&amp;INDEX(Endvr!$A$2:$K$3001,MATCH(B134,Endvr!$G:$G,0),MATCH("Event Name",Endvr!$A$2:$K$2,0))&amp;")"</f>
        <v>Participate in the Event (Timeworn Torment)</v>
      </c>
      <c r="X134" t="s">
        <v>14075</v>
      </c>
      <c r="Y134" s="87" t="s">
        <v>14206</v>
      </c>
      <c r="AA134" s="45"/>
    </row>
    <row r="135" spans="1:27" x14ac:dyDescent="0.2">
      <c r="A135" s="856">
        <v>400429</v>
      </c>
      <c r="B135" s="844" t="s">
        <v>14210</v>
      </c>
      <c r="C135" s="844" t="s">
        <v>14211</v>
      </c>
      <c r="D135" s="845">
        <v>43963</v>
      </c>
      <c r="E135" s="309">
        <v>5</v>
      </c>
      <c r="F135" s="309">
        <v>88</v>
      </c>
      <c r="G135" s="309">
        <v>32</v>
      </c>
      <c r="H135" s="261" t="s">
        <v>645</v>
      </c>
      <c r="I135" s="261"/>
      <c r="J135" s="261" t="s">
        <v>13921</v>
      </c>
      <c r="K135" s="846">
        <v>0.2</v>
      </c>
      <c r="L135" s="847" t="str">
        <f t="shared" si="8"/>
        <v>20%</v>
      </c>
      <c r="M135" s="848" t="str">
        <f t="shared" si="9"/>
        <v>Flurry Strength +20%</v>
      </c>
      <c r="N135" s="309">
        <v>5</v>
      </c>
      <c r="O135" s="309">
        <v>150</v>
      </c>
      <c r="P135" s="309">
        <v>90</v>
      </c>
      <c r="Q135" s="261" t="s">
        <v>759</v>
      </c>
      <c r="R135" s="261"/>
      <c r="S135" s="261" t="s">
        <v>13921</v>
      </c>
      <c r="T135" s="846">
        <v>0.2</v>
      </c>
      <c r="U135" s="847" t="str">
        <f t="shared" si="10"/>
        <v>20%</v>
      </c>
      <c r="V135" s="848" t="str">
        <f t="shared" si="11"/>
        <v>Flurry Strength +20%</v>
      </c>
      <c r="W135" s="857" t="str">
        <f>+INDEX(Endvr!$A$2:$K$3001,MATCH(B135,Endvr!$G:$G,0),MATCH("Description",Endvr!$A$2:$K$2,0))&amp;" ("&amp;INDEX(Endvr!$A$2:$K$3001,MATCH(B135,Endvr!$G:$G,0),MATCH("Event Name",Endvr!$A$2:$K$2,0))&amp;")"</f>
        <v>Obtain From Ch. 09 EX 1 Chest (Normal) (Non-Endeavor)</v>
      </c>
      <c r="X135" t="s">
        <v>13843</v>
      </c>
      <c r="Y135" t="s">
        <v>13918</v>
      </c>
      <c r="Z135" t="s">
        <v>13938</v>
      </c>
      <c r="AA135" s="45"/>
    </row>
    <row r="136" spans="1:27" x14ac:dyDescent="0.2">
      <c r="A136" s="856">
        <v>400433</v>
      </c>
      <c r="B136" s="844" t="s">
        <v>14212</v>
      </c>
      <c r="C136" s="844" t="s">
        <v>14213</v>
      </c>
      <c r="D136" s="845">
        <v>43978</v>
      </c>
      <c r="E136" s="309">
        <v>5</v>
      </c>
      <c r="F136" s="309">
        <v>88</v>
      </c>
      <c r="G136" s="309">
        <v>32</v>
      </c>
      <c r="H136" s="261" t="s">
        <v>645</v>
      </c>
      <c r="I136" s="261"/>
      <c r="J136" s="261" t="s">
        <v>13950</v>
      </c>
      <c r="K136" s="846">
        <v>0.5</v>
      </c>
      <c r="L136" s="847" t="str">
        <f t="shared" si="8"/>
        <v>50%</v>
      </c>
      <c r="M136" s="848" t="str">
        <f t="shared" si="9"/>
        <v>Force Strike +50%</v>
      </c>
      <c r="N136" s="309">
        <v>5</v>
      </c>
      <c r="O136" s="309">
        <v>150</v>
      </c>
      <c r="P136" s="309">
        <v>90</v>
      </c>
      <c r="Q136" s="261" t="s">
        <v>543</v>
      </c>
      <c r="R136" s="261"/>
      <c r="S136" s="261" t="s">
        <v>13950</v>
      </c>
      <c r="T136" s="846">
        <v>0.5</v>
      </c>
      <c r="U136" s="847" t="str">
        <f t="shared" si="10"/>
        <v>50%</v>
      </c>
      <c r="V136" s="848" t="str">
        <f t="shared" si="11"/>
        <v>Force Strike +50%</v>
      </c>
      <c r="W136" s="857" t="str">
        <f>+INDEX(Endvr!$A$2:$K$3001,MATCH(B136,Endvr!$G:$G,0),MATCH("Description",Endvr!$A$2:$K$2,0))&amp;" ("&amp;INDEX(Endvr!$A$2:$K$3001,MATCH(B136,Endvr!$G:$G,0),MATCH("Event Name",Endvr!$A$2:$K$2,0))&amp;")"</f>
        <v>Clear Mei Hou Wang Clash: Nightmare (Timeworn Torment)</v>
      </c>
      <c r="X136" t="s">
        <v>13958</v>
      </c>
      <c r="Y136" t="s">
        <v>14214</v>
      </c>
      <c r="AA136" s="98"/>
    </row>
    <row r="137" spans="1:27" x14ac:dyDescent="0.2">
      <c r="A137" s="856">
        <v>400435</v>
      </c>
      <c r="B137" s="844" t="s">
        <v>14215</v>
      </c>
      <c r="C137" s="844" t="s">
        <v>14216</v>
      </c>
      <c r="D137" s="845">
        <v>43994</v>
      </c>
      <c r="E137" s="309">
        <v>5</v>
      </c>
      <c r="F137" s="309">
        <v>88</v>
      </c>
      <c r="G137" s="309">
        <v>32</v>
      </c>
      <c r="H137" s="261"/>
      <c r="I137" s="261"/>
      <c r="J137" s="261" t="s">
        <v>14047</v>
      </c>
      <c r="K137" s="846">
        <v>0.3</v>
      </c>
      <c r="L137" s="847" t="str">
        <f t="shared" si="8"/>
        <v>30%</v>
      </c>
      <c r="M137" s="848" t="str">
        <f t="shared" si="9"/>
        <v>Burning Punisher +30%</v>
      </c>
      <c r="N137" s="309">
        <v>5</v>
      </c>
      <c r="O137" s="309">
        <v>150</v>
      </c>
      <c r="P137" s="309">
        <v>90</v>
      </c>
      <c r="Q137" s="261" t="s">
        <v>13892</v>
      </c>
      <c r="R137" s="261"/>
      <c r="S137" s="261" t="s">
        <v>14047</v>
      </c>
      <c r="T137" s="846">
        <v>0.3</v>
      </c>
      <c r="U137" s="847" t="str">
        <f t="shared" si="10"/>
        <v>30%</v>
      </c>
      <c r="V137" s="848" t="str">
        <f t="shared" si="11"/>
        <v>Burning Punisher +30%</v>
      </c>
      <c r="W137" s="857" t="str">
        <f>+INDEX(Endvr!$A$2:$K$3001,MATCH(B137,Endvr!$G:$G,0),MATCH("Description",Endvr!$A$2:$K$2,0))&amp;" ("&amp;INDEX(Endvr!$A$2:$K$3001,MATCH(B137,Endvr!$G:$G,0),MATCH("Event Name",Endvr!$A$2:$K$2,0))&amp;")"</f>
        <v>Clear All-Out Assault: Master (Nadine and Linnea's United Front)</v>
      </c>
      <c r="X137" t="s">
        <v>13958</v>
      </c>
      <c r="Y137" t="s">
        <v>14217</v>
      </c>
      <c r="AA137" s="45"/>
    </row>
    <row r="138" spans="1:27" x14ac:dyDescent="0.2">
      <c r="A138" s="856">
        <v>400436</v>
      </c>
      <c r="B138" s="844" t="s">
        <v>14218</v>
      </c>
      <c r="C138" s="844" t="s">
        <v>14219</v>
      </c>
      <c r="D138" s="845">
        <v>44008</v>
      </c>
      <c r="E138" s="309">
        <v>5</v>
      </c>
      <c r="F138" s="309">
        <v>75</v>
      </c>
      <c r="G138" s="309">
        <v>27</v>
      </c>
      <c r="H138" s="261"/>
      <c r="I138" s="261"/>
      <c r="J138" s="261" t="s">
        <v>13852</v>
      </c>
      <c r="K138" s="846">
        <v>0.08</v>
      </c>
      <c r="L138" s="847" t="str">
        <f t="shared" si="8"/>
        <v>8%</v>
      </c>
      <c r="M138" s="848" t="str">
        <f t="shared" si="9"/>
        <v>Critical Rate +8%</v>
      </c>
      <c r="N138" s="309">
        <v>5</v>
      </c>
      <c r="O138" s="309">
        <v>150</v>
      </c>
      <c r="P138" s="309">
        <v>90</v>
      </c>
      <c r="Q138" s="261" t="s">
        <v>13855</v>
      </c>
      <c r="R138" s="261"/>
      <c r="S138" s="261" t="s">
        <v>13852</v>
      </c>
      <c r="T138" s="846">
        <v>0.1</v>
      </c>
      <c r="U138" s="847" t="str">
        <f t="shared" si="10"/>
        <v>10%</v>
      </c>
      <c r="V138" s="848" t="str">
        <f t="shared" si="11"/>
        <v>Critical Rate +10%</v>
      </c>
      <c r="W138" s="857" t="str">
        <f>+INDEX(Endvr!$A$2:$K$3001,MATCH(B138,Endvr!$G:$G,0),MATCH("Description",Endvr!$A$2:$K$2,0))&amp;" ("&amp;INDEX(Endvr!$A$2:$K$3001,MATCH(B138,Endvr!$G:$G,0),MATCH("Event Name",Endvr!$A$2:$K$2,0))&amp;")"</f>
        <v>Clear Frenetic Fiend Festival: Standard (Rhythmic Resolutions)</v>
      </c>
      <c r="X138" t="s">
        <v>13958</v>
      </c>
      <c r="Y138" t="s">
        <v>14220</v>
      </c>
      <c r="AA138" s="98"/>
    </row>
    <row r="139" spans="1:27" x14ac:dyDescent="0.2">
      <c r="A139" s="856">
        <v>400437</v>
      </c>
      <c r="B139" s="844" t="s">
        <v>14221</v>
      </c>
      <c r="C139" s="844" t="s">
        <v>14222</v>
      </c>
      <c r="D139" s="845">
        <v>44008</v>
      </c>
      <c r="E139" s="309">
        <v>5</v>
      </c>
      <c r="F139" s="309">
        <v>88</v>
      </c>
      <c r="G139" s="309">
        <v>32</v>
      </c>
      <c r="H139" s="261"/>
      <c r="I139" s="261" t="s">
        <v>1103</v>
      </c>
      <c r="J139" s="261" t="s">
        <v>13863</v>
      </c>
      <c r="K139" s="846">
        <v>0.09</v>
      </c>
      <c r="L139" s="847" t="str">
        <f t="shared" si="8"/>
        <v>9%</v>
      </c>
      <c r="M139" s="848" t="str">
        <f t="shared" si="9"/>
        <v>(Water) Skill Haste +9%</v>
      </c>
      <c r="N139" s="309">
        <v>5</v>
      </c>
      <c r="O139" s="309">
        <v>150</v>
      </c>
      <c r="P139" s="309">
        <v>90</v>
      </c>
      <c r="Q139" s="261" t="s">
        <v>13862</v>
      </c>
      <c r="R139" s="261" t="s">
        <v>1103</v>
      </c>
      <c r="S139" s="261" t="s">
        <v>13863</v>
      </c>
      <c r="T139" s="846">
        <v>0.1</v>
      </c>
      <c r="U139" s="847" t="str">
        <f t="shared" si="10"/>
        <v>10%</v>
      </c>
      <c r="V139" s="848" t="str">
        <f t="shared" si="11"/>
        <v>(Water) Skill Haste +10%</v>
      </c>
      <c r="W139" s="857" t="str">
        <f>+INDEX(Endvr!$A$2:$K$3001,MATCH(B139,Endvr!$G:$G,0),MATCH("Description",Endvr!$A$2:$K$2,0))&amp;" ("&amp;INDEX(Endvr!$A$2:$K$3001,MATCH(B139,Endvr!$G:$G,0),MATCH("Event Name",Endvr!$A$2:$K$2,0))&amp;")"</f>
        <v>Clear Raging Festivities: Master (Rhythmic Resolutions)</v>
      </c>
      <c r="X139" t="s">
        <v>13958</v>
      </c>
      <c r="Y139" t="s">
        <v>14220</v>
      </c>
      <c r="AA139" s="98"/>
    </row>
    <row r="140" spans="1:27" x14ac:dyDescent="0.2">
      <c r="A140" s="856">
        <v>400442</v>
      </c>
      <c r="B140" s="844" t="s">
        <v>14223</v>
      </c>
      <c r="C140" s="844" t="s">
        <v>14224</v>
      </c>
      <c r="D140" s="845">
        <v>44025</v>
      </c>
      <c r="E140" s="309">
        <v>5</v>
      </c>
      <c r="F140" s="309">
        <v>88</v>
      </c>
      <c r="G140" s="309">
        <v>32</v>
      </c>
      <c r="H140" s="261" t="s">
        <v>949</v>
      </c>
      <c r="I140" s="261"/>
      <c r="J140" s="261" t="s">
        <v>14196</v>
      </c>
      <c r="K140" s="846">
        <v>0.06</v>
      </c>
      <c r="L140" s="847" t="str">
        <f t="shared" si="8"/>
        <v>6%</v>
      </c>
      <c r="M140" s="848" t="str">
        <f t="shared" si="9"/>
        <v>Striker's Strength +6%</v>
      </c>
      <c r="N140" s="309">
        <v>5</v>
      </c>
      <c r="O140" s="309">
        <v>150</v>
      </c>
      <c r="P140" s="309">
        <v>90</v>
      </c>
      <c r="Q140" s="261" t="s">
        <v>949</v>
      </c>
      <c r="R140" s="261"/>
      <c r="S140" s="261" t="s">
        <v>14196</v>
      </c>
      <c r="T140" s="846">
        <v>0.06</v>
      </c>
      <c r="U140" s="847" t="str">
        <f t="shared" si="10"/>
        <v>6%</v>
      </c>
      <c r="V140" s="848" t="str">
        <f t="shared" si="11"/>
        <v>Striker's Strength +6%</v>
      </c>
      <c r="W140" s="857" t="str">
        <f>+INDEX(Endvr!$A$2:$K$3001,MATCH(B140,Endvr!$G:$G,0),MATCH("Description",Endvr!$A$2:$K$2,0))&amp;" ("&amp;INDEX(Endvr!$A$2:$K$3001,MATCH(B140,Endvr!$G:$G,0),MATCH("Event Name",Endvr!$A$2:$K$2,0))&amp;")"</f>
        <v>Clear Defensive Battle: Master (Summertime Saviors)</v>
      </c>
      <c r="X140" t="s">
        <v>13958</v>
      </c>
      <c r="Y140" t="s">
        <v>14225</v>
      </c>
      <c r="AA140" s="98"/>
    </row>
    <row r="141" spans="1:27" x14ac:dyDescent="0.2">
      <c r="A141" s="856">
        <v>400439</v>
      </c>
      <c r="B141" s="844" t="s">
        <v>14226</v>
      </c>
      <c r="C141" s="844" t="s">
        <v>14227</v>
      </c>
      <c r="D141" s="845">
        <v>44040</v>
      </c>
      <c r="E141" s="309">
        <v>5</v>
      </c>
      <c r="F141" s="309">
        <v>89</v>
      </c>
      <c r="G141" s="309">
        <v>31</v>
      </c>
      <c r="H141" s="261" t="s">
        <v>13936</v>
      </c>
      <c r="I141" s="261"/>
      <c r="J141" s="261" t="s">
        <v>14228</v>
      </c>
      <c r="K141" s="846">
        <v>0.08</v>
      </c>
      <c r="L141" s="847" t="str">
        <f t="shared" si="8"/>
        <v>8%</v>
      </c>
      <c r="M141" s="848" t="str">
        <f t="shared" si="9"/>
        <v>Dragon Haste +8%</v>
      </c>
      <c r="N141" s="309">
        <v>5</v>
      </c>
      <c r="O141" s="309">
        <v>150</v>
      </c>
      <c r="P141" s="309">
        <v>90</v>
      </c>
      <c r="Q141" s="261" t="s">
        <v>13936</v>
      </c>
      <c r="R141" s="261"/>
      <c r="S141" s="261" t="s">
        <v>14228</v>
      </c>
      <c r="T141" s="846">
        <v>0.1</v>
      </c>
      <c r="U141" s="847" t="str">
        <f t="shared" si="10"/>
        <v>10%</v>
      </c>
      <c r="V141" s="848" t="str">
        <f t="shared" si="11"/>
        <v>Dragon Haste +10%</v>
      </c>
      <c r="W141" s="857" t="str">
        <f>+INDEX(Endvr!$A$2:$K$3001,MATCH(B141,Endvr!$G:$G,0),MATCH("Description",Endvr!$A$2:$K$2,0))&amp;" ("&amp;INDEX(Endvr!$A$2:$K$3001,MATCH(B141,Endvr!$G:$G,0),MATCH("Event Name",Endvr!$A$2:$K$2,0))&amp;")"</f>
        <v>Clear Scylla Clash: Nightmare (Doomsday Getaway)</v>
      </c>
      <c r="X141" t="s">
        <v>13958</v>
      </c>
      <c r="Y141" t="s">
        <v>14229</v>
      </c>
      <c r="AA141" s="99"/>
    </row>
    <row r="142" spans="1:27" x14ac:dyDescent="0.2">
      <c r="A142" s="856">
        <v>400445</v>
      </c>
      <c r="B142" s="844" t="s">
        <v>14230</v>
      </c>
      <c r="C142" s="844" t="s">
        <v>14231</v>
      </c>
      <c r="D142" s="845">
        <v>44054</v>
      </c>
      <c r="E142" s="309">
        <v>5</v>
      </c>
      <c r="F142" s="309">
        <v>88</v>
      </c>
      <c r="G142" s="309">
        <v>32</v>
      </c>
      <c r="H142" s="261" t="s">
        <v>13915</v>
      </c>
      <c r="I142" s="261"/>
      <c r="J142" s="261" t="s">
        <v>14232</v>
      </c>
      <c r="K142" s="846">
        <v>0.2</v>
      </c>
      <c r="L142" s="847" t="str">
        <f t="shared" si="8"/>
        <v>20%</v>
      </c>
      <c r="M142" s="848" t="str">
        <f t="shared" si="9"/>
        <v>Stunned Punisher +20%</v>
      </c>
      <c r="N142" s="309">
        <v>5</v>
      </c>
      <c r="O142" s="309">
        <v>150</v>
      </c>
      <c r="P142" s="309">
        <v>90</v>
      </c>
      <c r="Q142" s="261" t="s">
        <v>13915</v>
      </c>
      <c r="R142" s="261"/>
      <c r="S142" s="261" t="s">
        <v>14232</v>
      </c>
      <c r="T142" s="846">
        <v>0.25</v>
      </c>
      <c r="U142" s="847" t="str">
        <f t="shared" si="10"/>
        <v>25%</v>
      </c>
      <c r="V142" s="848" t="str">
        <f t="shared" si="11"/>
        <v>Stunned Punisher +25%</v>
      </c>
      <c r="W142" s="857" t="str">
        <f>+INDEX(Endvr!$A$2:$K$3001,MATCH(B142,Endvr!$G:$G,0),MATCH("Description",Endvr!$A$2:$K$2,0))&amp;" ("&amp;INDEX(Endvr!$A$2:$K$3001,MATCH(B142,Endvr!$G:$G,0),MATCH("Event Name",Endvr!$A$2:$K$2,0))&amp;")"</f>
        <v>Clear All-Out Assault: Master (Twinkling Twilight)</v>
      </c>
      <c r="X142" t="s">
        <v>13958</v>
      </c>
      <c r="Y142" t="s">
        <v>14233</v>
      </c>
      <c r="AA142" s="45"/>
    </row>
    <row r="143" spans="1:27" x14ac:dyDescent="0.2">
      <c r="A143" s="856">
        <v>400447</v>
      </c>
      <c r="B143" s="844" t="s">
        <v>14234</v>
      </c>
      <c r="C143" s="844" t="s">
        <v>14235</v>
      </c>
      <c r="D143" s="845">
        <v>44071</v>
      </c>
      <c r="E143" s="309">
        <v>5</v>
      </c>
      <c r="F143" s="309">
        <v>75</v>
      </c>
      <c r="G143" s="309">
        <v>27</v>
      </c>
      <c r="H143" s="261"/>
      <c r="I143" s="261"/>
      <c r="J143" s="261" t="s">
        <v>14188</v>
      </c>
      <c r="K143" s="846">
        <v>0.12</v>
      </c>
      <c r="L143" s="847" t="str">
        <f t="shared" si="8"/>
        <v>12%</v>
      </c>
      <c r="M143" s="848" t="str">
        <f t="shared" si="9"/>
        <v>Striking Haste +12%</v>
      </c>
      <c r="N143" s="309">
        <v>5</v>
      </c>
      <c r="O143" s="309">
        <v>150</v>
      </c>
      <c r="P143" s="309">
        <v>90</v>
      </c>
      <c r="Q143" s="261" t="s">
        <v>13855</v>
      </c>
      <c r="R143" s="261"/>
      <c r="S143" s="261" t="s">
        <v>14188</v>
      </c>
      <c r="T143" s="846">
        <v>0.15</v>
      </c>
      <c r="U143" s="847" t="str">
        <f t="shared" si="10"/>
        <v>15%</v>
      </c>
      <c r="V143" s="848" t="str">
        <f t="shared" si="11"/>
        <v>Striking Haste +15%</v>
      </c>
      <c r="W143" s="857" t="str">
        <f>+INDEX(Endvr!$A$2:$K$3001,MATCH(B143,Endvr!$G:$G,0),MATCH("Description",Endvr!$A$2:$K$2,0))&amp;" ("&amp;INDEX(Endvr!$A$2:$K$3001,MATCH(B143,Endvr!$G:$G,0),MATCH("Event Name",Endvr!$A$2:$K$2,0))&amp;")"</f>
        <v>Clear The Goddess's Will: Beginner (Agents of the Goddess)</v>
      </c>
      <c r="X143" t="s">
        <v>13958</v>
      </c>
      <c r="Y143" t="s">
        <v>14236</v>
      </c>
      <c r="AA143" s="45"/>
    </row>
    <row r="144" spans="1:27" x14ac:dyDescent="0.2">
      <c r="A144" s="856">
        <v>400166</v>
      </c>
      <c r="B144" s="844" t="s">
        <v>14237</v>
      </c>
      <c r="C144" s="844" t="s">
        <v>14238</v>
      </c>
      <c r="D144" s="845">
        <v>44071</v>
      </c>
      <c r="E144" s="309">
        <v>5</v>
      </c>
      <c r="F144" s="309">
        <v>88</v>
      </c>
      <c r="G144" s="309">
        <v>32</v>
      </c>
      <c r="H144" s="261"/>
      <c r="I144" s="261" t="s">
        <v>3779</v>
      </c>
      <c r="J144" s="261" t="s">
        <v>14239</v>
      </c>
      <c r="K144" s="846">
        <v>0.75</v>
      </c>
      <c r="L144" s="847" t="str">
        <f t="shared" si="8"/>
        <v>75%</v>
      </c>
      <c r="M144" s="848" t="str">
        <f t="shared" si="9"/>
        <v>(Shadow) Paralysis Res +75%</v>
      </c>
      <c r="N144" s="309">
        <v>5</v>
      </c>
      <c r="O144" s="309">
        <v>150</v>
      </c>
      <c r="P144" s="309">
        <v>90</v>
      </c>
      <c r="Q144" s="261" t="s">
        <v>13906</v>
      </c>
      <c r="R144" s="261"/>
      <c r="S144" s="261" t="s">
        <v>14239</v>
      </c>
      <c r="T144" s="846">
        <v>1</v>
      </c>
      <c r="U144" s="847" t="str">
        <f t="shared" si="10"/>
        <v>100%</v>
      </c>
      <c r="V144" s="848" t="str">
        <f t="shared" si="11"/>
        <v>Paralysis Res +100%</v>
      </c>
      <c r="W144" s="857" t="str">
        <f>+INDEX(Endvr!$A$2:$K$3001,MATCH(B144,Endvr!$G:$G,0),MATCH("Description",Endvr!$A$2:$K$2,0))&amp;" ("&amp;INDEX(Endvr!$A$2:$K$3001,MATCH(B144,Endvr!$G:$G,0),MATCH("Event Name",Endvr!$A$2:$K$2,0))&amp;")"</f>
        <v>Clear Divine Deliverance: Master (Agents of the Goddess)</v>
      </c>
      <c r="X144" t="s">
        <v>13958</v>
      </c>
      <c r="Y144" t="s">
        <v>14236</v>
      </c>
      <c r="AA144" s="45"/>
    </row>
    <row r="145" spans="1:27" x14ac:dyDescent="0.2">
      <c r="A145" s="856">
        <v>400448</v>
      </c>
      <c r="B145" s="844" t="s">
        <v>14240</v>
      </c>
      <c r="C145" s="844" t="s">
        <v>14241</v>
      </c>
      <c r="D145" s="845">
        <v>44085</v>
      </c>
      <c r="E145" s="309">
        <v>5</v>
      </c>
      <c r="F145" s="309">
        <v>88</v>
      </c>
      <c r="G145" s="309">
        <v>32</v>
      </c>
      <c r="H145" s="261"/>
      <c r="I145" s="261"/>
      <c r="J145" s="261" t="s">
        <v>14144</v>
      </c>
      <c r="K145" s="846">
        <v>0.22</v>
      </c>
      <c r="L145" s="847" t="str">
        <f t="shared" si="8"/>
        <v>22%</v>
      </c>
      <c r="M145" s="848" t="str">
        <f t="shared" si="9"/>
        <v>HP 70% = Critical Damage +22%</v>
      </c>
      <c r="N145" s="309">
        <v>5</v>
      </c>
      <c r="O145" s="309">
        <v>150</v>
      </c>
      <c r="P145" s="309">
        <v>90</v>
      </c>
      <c r="Q145" s="261" t="s">
        <v>13855</v>
      </c>
      <c r="R145" s="261"/>
      <c r="S145" s="261" t="s">
        <v>8958</v>
      </c>
      <c r="T145" s="846">
        <v>0.2</v>
      </c>
      <c r="U145" s="847" t="str">
        <f t="shared" si="10"/>
        <v>20%</v>
      </c>
      <c r="V145" s="848" t="str">
        <f t="shared" si="11"/>
        <v>Critical Damage +20%</v>
      </c>
      <c r="W145" s="857" t="str">
        <f>+INDEX(Endvr!$A$2:$K$3001,MATCH(B145,Endvr!$G:$G,0),MATCH("Description",Endvr!$A$2:$K$2,0))&amp;" ("&amp;INDEX(Endvr!$A$2:$K$3001,MATCH(B145,Endvr!$G:$G,0),MATCH("Event Name",Endvr!$A$2:$K$2,0))&amp;")"</f>
        <v>Clear Defensive Battle: Master (Sands of Revelation)</v>
      </c>
      <c r="X145" t="s">
        <v>13958</v>
      </c>
      <c r="Y145" t="s">
        <v>14242</v>
      </c>
      <c r="AA145" s="45"/>
    </row>
    <row r="146" spans="1:27" x14ac:dyDescent="0.2">
      <c r="A146" s="856">
        <v>400452</v>
      </c>
      <c r="B146" s="844" t="s">
        <v>14243</v>
      </c>
      <c r="C146" s="844" t="s">
        <v>14244</v>
      </c>
      <c r="D146" s="845">
        <v>44104</v>
      </c>
      <c r="E146" s="309">
        <v>5</v>
      </c>
      <c r="F146" s="309">
        <v>89</v>
      </c>
      <c r="G146" s="309">
        <v>31</v>
      </c>
      <c r="H146" s="261" t="s">
        <v>13936</v>
      </c>
      <c r="I146" s="261"/>
      <c r="J146" s="261" t="s">
        <v>7297</v>
      </c>
      <c r="K146" s="846"/>
      <c r="L146" s="847" t="str">
        <f t="shared" si="8"/>
        <v/>
      </c>
      <c r="M146" s="848" t="str">
        <f t="shared" si="9"/>
        <v>Dragon's Scales III</v>
      </c>
      <c r="N146" s="309">
        <v>5</v>
      </c>
      <c r="O146" s="309">
        <v>150</v>
      </c>
      <c r="P146" s="309">
        <v>90</v>
      </c>
      <c r="Q146" s="261" t="s">
        <v>13936</v>
      </c>
      <c r="R146" s="261"/>
      <c r="S146" s="261" t="s">
        <v>7297</v>
      </c>
      <c r="T146" s="846"/>
      <c r="U146" s="847" t="str">
        <f t="shared" si="10"/>
        <v/>
      </c>
      <c r="V146" s="848" t="str">
        <f t="shared" si="11"/>
        <v>Dragon's Scales III</v>
      </c>
      <c r="W146" s="857" t="str">
        <f>+INDEX(Endvr!$A$2:$K$3001,MATCH(B146,Endvr!$G:$G,0),MATCH("Description",Endvr!$A$2:$K$2,0))&amp;" ("&amp;INDEX(Endvr!$A$2:$K$3001,MATCH(B146,Endvr!$G:$G,0),MATCH("Event Name",Endvr!$A$2:$K$2,0))&amp;")"</f>
        <v>Clear Morsayati Clash: Expert (Forgotten Truths)</v>
      </c>
      <c r="X146" t="s">
        <v>13958</v>
      </c>
      <c r="Y146" t="s">
        <v>14245</v>
      </c>
      <c r="AA146" s="45"/>
    </row>
    <row r="147" spans="1:27" x14ac:dyDescent="0.2">
      <c r="A147" s="856">
        <v>400450</v>
      </c>
      <c r="B147" s="844" t="s">
        <v>14246</v>
      </c>
      <c r="C147" s="844" t="s">
        <v>14247</v>
      </c>
      <c r="D147" s="845">
        <v>44106</v>
      </c>
      <c r="E147" s="309">
        <v>5</v>
      </c>
      <c r="F147" s="309">
        <v>76</v>
      </c>
      <c r="G147" s="309">
        <v>26</v>
      </c>
      <c r="H147" s="261"/>
      <c r="I147" s="261"/>
      <c r="J147" s="261" t="s">
        <v>8295</v>
      </c>
      <c r="K147" s="846"/>
      <c r="L147" s="847" t="str">
        <f t="shared" si="8"/>
        <v/>
      </c>
      <c r="M147" s="848" t="str">
        <f t="shared" si="9"/>
        <v>United Strength I</v>
      </c>
      <c r="N147" s="309">
        <v>5</v>
      </c>
      <c r="O147" s="309">
        <v>150</v>
      </c>
      <c r="P147" s="309">
        <v>90</v>
      </c>
      <c r="Q147" s="261" t="s">
        <v>123</v>
      </c>
      <c r="R147" s="261"/>
      <c r="S147" s="261" t="s">
        <v>14248</v>
      </c>
      <c r="T147" s="846">
        <v>0.17</v>
      </c>
      <c r="U147" s="847" t="str">
        <f t="shared" si="10"/>
        <v>17%</v>
      </c>
      <c r="V147" s="848" t="str">
        <f t="shared" si="11"/>
        <v>United Strength +17%</v>
      </c>
      <c r="W147" s="857" t="str">
        <f>+INDEX(Endvr!$A$2:$K$3001,MATCH(B147,Endvr!$G:$G,0),MATCH("Description",Endvr!$A$2:$K$2,0))&amp;" ("&amp;INDEX(Endvr!$A$2:$K$3001,MATCH(B147,Endvr!$G:$G,0),MATCH("Event Name",Endvr!$A$2:$K$2,0))&amp;")"</f>
        <v>Clear Assault on Zephyr: Expert (Forgotten Truths)</v>
      </c>
      <c r="X147" t="s">
        <v>13958</v>
      </c>
      <c r="Y147" t="s">
        <v>14245</v>
      </c>
      <c r="AA147" s="45"/>
    </row>
    <row r="148" spans="1:27" x14ac:dyDescent="0.2">
      <c r="A148" s="856">
        <v>400454</v>
      </c>
      <c r="B148" s="844" t="s">
        <v>14249</v>
      </c>
      <c r="C148" s="844" t="s">
        <v>14250</v>
      </c>
      <c r="D148" s="845">
        <v>44120</v>
      </c>
      <c r="E148" s="309">
        <v>5</v>
      </c>
      <c r="F148" s="309">
        <v>89</v>
      </c>
      <c r="G148" s="309">
        <v>32</v>
      </c>
      <c r="H148" s="261"/>
      <c r="I148" s="261"/>
      <c r="J148" s="261" t="s">
        <v>7857</v>
      </c>
      <c r="K148" s="846"/>
      <c r="L148" s="847" t="str">
        <f t="shared" si="8"/>
        <v/>
      </c>
      <c r="M148" s="848" t="str">
        <f t="shared" si="9"/>
        <v>Poison = Critical Damage III</v>
      </c>
      <c r="N148" s="309">
        <v>5</v>
      </c>
      <c r="O148" s="309">
        <v>150</v>
      </c>
      <c r="P148" s="309">
        <v>90</v>
      </c>
      <c r="Q148" s="261" t="s">
        <v>13842</v>
      </c>
      <c r="R148" s="261"/>
      <c r="S148" s="261" t="s">
        <v>14251</v>
      </c>
      <c r="T148" s="846">
        <v>0.3</v>
      </c>
      <c r="U148" s="847" t="str">
        <f t="shared" si="10"/>
        <v>30%</v>
      </c>
      <c r="V148" s="848" t="str">
        <f t="shared" si="11"/>
        <v>Poison = Critical Damage  +30%</v>
      </c>
      <c r="W148" s="857" t="str">
        <f>+INDEX(Endvr!$A$2:$K$3001,MATCH(B148,Endvr!$G:$G,0),MATCH("Description",Endvr!$A$2:$K$2,0))&amp;" ("&amp;INDEX(Endvr!$A$2:$K$3001,MATCH(B148,Endvr!$G:$G,0),MATCH("Event Name",Endvr!$A$2:$K$2,0))&amp;")"</f>
        <v>Clear All-Out Assault: Master (Postmortem Panic)</v>
      </c>
      <c r="X148" t="s">
        <v>13958</v>
      </c>
      <c r="Y148" t="s">
        <v>14252</v>
      </c>
      <c r="AA148" s="45"/>
    </row>
    <row r="149" spans="1:27" x14ac:dyDescent="0.2">
      <c r="A149" s="856">
        <v>400456</v>
      </c>
      <c r="B149" s="844" t="s">
        <v>14253</v>
      </c>
      <c r="C149" s="844" t="s">
        <v>14254</v>
      </c>
      <c r="D149" s="845">
        <v>44131</v>
      </c>
      <c r="E149" s="309">
        <v>5</v>
      </c>
      <c r="F149" s="309">
        <v>76</v>
      </c>
      <c r="G149" s="309">
        <v>26</v>
      </c>
      <c r="H149" s="261"/>
      <c r="I149" s="261"/>
      <c r="J149" s="261" t="s">
        <v>8159</v>
      </c>
      <c r="K149" s="846"/>
      <c r="L149" s="847" t="str">
        <f t="shared" si="8"/>
        <v/>
      </c>
      <c r="M149" s="848" t="str">
        <f t="shared" si="9"/>
        <v>Strength -10% &amp; Strength Debilitator III</v>
      </c>
      <c r="N149" s="309">
        <v>5</v>
      </c>
      <c r="O149" s="309">
        <v>150</v>
      </c>
      <c r="P149" s="309">
        <v>90</v>
      </c>
      <c r="Q149" s="261" t="s">
        <v>949</v>
      </c>
      <c r="R149" s="261"/>
      <c r="S149" s="261" t="s">
        <v>8159</v>
      </c>
      <c r="T149" s="846"/>
      <c r="U149" s="847" t="str">
        <f t="shared" si="10"/>
        <v/>
      </c>
      <c r="V149" s="848" t="str">
        <f t="shared" si="11"/>
        <v>Strength -10% &amp; Strength Debilitator III</v>
      </c>
      <c r="W149" s="857" t="str">
        <f>+INDEX(Endvr!$A$2:$K$3001,MATCH(B149,Endvr!$G:$G,0),MATCH("Description",Endvr!$A$2:$K$2,0))&amp;" ("&amp;INDEX(Endvr!$A$2:$K$3001,MATCH(B149,Endvr!$G:$G,0),MATCH("Event Name",Endvr!$A$2:$K$2,0))&amp;")"</f>
        <v>Clear Fiend Opera Gala: Master (The Phantom's Ransom)</v>
      </c>
      <c r="X149" t="s">
        <v>13958</v>
      </c>
      <c r="Y149" t="s">
        <v>14255</v>
      </c>
      <c r="AA149" s="99"/>
    </row>
    <row r="150" spans="1:27" x14ac:dyDescent="0.2">
      <c r="A150" s="856">
        <v>400457</v>
      </c>
      <c r="B150" s="844" t="s">
        <v>14256</v>
      </c>
      <c r="C150" s="844" t="s">
        <v>14257</v>
      </c>
      <c r="D150" s="845">
        <v>44131</v>
      </c>
      <c r="E150" s="309">
        <v>5</v>
      </c>
      <c r="F150" s="309">
        <v>88</v>
      </c>
      <c r="G150" s="309">
        <v>32</v>
      </c>
      <c r="H150" s="261"/>
      <c r="I150" s="261"/>
      <c r="J150" s="261" t="s">
        <v>14258</v>
      </c>
      <c r="K150" s="846">
        <v>0.25</v>
      </c>
      <c r="L150" s="847" t="str">
        <f t="shared" si="8"/>
        <v>25%</v>
      </c>
      <c r="M150" s="848" t="str">
        <f t="shared" si="9"/>
        <v>Shadowblighted Punisher +25%</v>
      </c>
      <c r="N150" s="309">
        <v>5</v>
      </c>
      <c r="O150" s="309">
        <v>150</v>
      </c>
      <c r="P150" s="309">
        <v>90</v>
      </c>
      <c r="Q150" s="261" t="s">
        <v>13877</v>
      </c>
      <c r="R150" s="261"/>
      <c r="S150" s="261" t="s">
        <v>14258</v>
      </c>
      <c r="T150" s="846">
        <v>0.25</v>
      </c>
      <c r="U150" s="847" t="str">
        <f t="shared" si="10"/>
        <v>25%</v>
      </c>
      <c r="V150" s="848" t="str">
        <f t="shared" si="11"/>
        <v>Shadowblighted Punisher +25%</v>
      </c>
      <c r="W150" s="857" t="str">
        <f>+INDEX(Endvr!$A$2:$K$3001,MATCH(B150,Endvr!$G:$G,0),MATCH("Description",Endvr!$A$2:$K$2,0))&amp;" ("&amp;INDEX(Endvr!$A$2:$K$3001,MATCH(B150,Endvr!$G:$G,0),MATCH("Event Name",Endvr!$A$2:$K$2,0))&amp;")"</f>
        <v>Clear A Duel with the Phantom Thief: Standard (The Phantom's Ransom)</v>
      </c>
      <c r="X150" t="s">
        <v>13958</v>
      </c>
      <c r="Y150" t="s">
        <v>14255</v>
      </c>
      <c r="AA150" s="45"/>
    </row>
    <row r="151" spans="1:27" x14ac:dyDescent="0.2">
      <c r="A151" s="856">
        <v>400459</v>
      </c>
      <c r="B151" s="844" t="s">
        <v>14259</v>
      </c>
      <c r="C151" s="844" t="s">
        <v>14260</v>
      </c>
      <c r="D151" s="845">
        <v>44148</v>
      </c>
      <c r="E151" s="309">
        <v>5</v>
      </c>
      <c r="F151" s="309">
        <v>88</v>
      </c>
      <c r="G151" s="309">
        <v>32</v>
      </c>
      <c r="H151" s="261"/>
      <c r="I151" s="261"/>
      <c r="J151" s="261" t="s">
        <v>14261</v>
      </c>
      <c r="K151" s="846">
        <v>0.3</v>
      </c>
      <c r="L151" s="847" t="str">
        <f t="shared" si="8"/>
        <v>30%</v>
      </c>
      <c r="M151" s="848" t="str">
        <f t="shared" si="9"/>
        <v>Poisoned Punisher +30%</v>
      </c>
      <c r="N151" s="309">
        <v>5</v>
      </c>
      <c r="O151" s="309">
        <v>150</v>
      </c>
      <c r="P151" s="309">
        <v>90</v>
      </c>
      <c r="Q151" s="261" t="s">
        <v>645</v>
      </c>
      <c r="R151" s="261"/>
      <c r="S151" s="261" t="s">
        <v>14261</v>
      </c>
      <c r="T151" s="846">
        <v>0.3</v>
      </c>
      <c r="U151" s="847" t="str">
        <f t="shared" si="10"/>
        <v>30%</v>
      </c>
      <c r="V151" s="848" t="str">
        <f t="shared" si="11"/>
        <v>Poisoned Punisher +30%</v>
      </c>
      <c r="W151" s="857" t="str">
        <f>+INDEX(Endvr!$A$2:$K$3001,MATCH(B151,Endvr!$G:$G,0),MATCH("Description",Endvr!$A$2:$K$2,0))&amp;" ("&amp;INDEX(Endvr!$A$2:$K$3001,MATCH(B151,Endvr!$G:$G,0),MATCH("Event Name",Endvr!$A$2:$K$2,0))&amp;")"</f>
        <v>Clear a Quest on Beginner Three Times (Northern Negotiators)</v>
      </c>
      <c r="X151" t="s">
        <v>13958</v>
      </c>
      <c r="Y151" t="s">
        <v>14262</v>
      </c>
      <c r="AA151" s="45"/>
    </row>
    <row r="152" spans="1:27" x14ac:dyDescent="0.2">
      <c r="A152" s="856">
        <v>400462</v>
      </c>
      <c r="B152" s="844" t="s">
        <v>14263</v>
      </c>
      <c r="C152" s="844" t="s">
        <v>14264</v>
      </c>
      <c r="D152" s="845">
        <v>44165</v>
      </c>
      <c r="E152" s="309">
        <v>5</v>
      </c>
      <c r="F152" s="309">
        <v>76</v>
      </c>
      <c r="G152" s="309">
        <v>26</v>
      </c>
      <c r="H152" s="261" t="s">
        <v>13936</v>
      </c>
      <c r="I152" s="261"/>
      <c r="J152" s="261" t="s">
        <v>13962</v>
      </c>
      <c r="K152" s="846">
        <v>0.13</v>
      </c>
      <c r="L152" s="847" t="str">
        <f t="shared" si="8"/>
        <v>13%</v>
      </c>
      <c r="M152" s="848" t="str">
        <f t="shared" si="9"/>
        <v>HP 70% = Strength +13%</v>
      </c>
      <c r="N152" s="309">
        <v>5</v>
      </c>
      <c r="O152" s="309">
        <v>150</v>
      </c>
      <c r="P152" s="309">
        <v>90</v>
      </c>
      <c r="Q152" s="261" t="s">
        <v>13936</v>
      </c>
      <c r="R152" s="261"/>
      <c r="S152" s="261" t="s">
        <v>9839</v>
      </c>
      <c r="T152" s="846">
        <v>0.15</v>
      </c>
      <c r="U152" s="847" t="str">
        <f t="shared" si="10"/>
        <v>15%</v>
      </c>
      <c r="V152" s="848" t="str">
        <f t="shared" si="11"/>
        <v>Strength +15%</v>
      </c>
      <c r="W152" s="857" t="str">
        <f>+INDEX(Endvr!$A$2:$K$3001,MATCH(B152,Endvr!$G:$G,0),MATCH("Description",Endvr!$A$2:$K$2,0))&amp;" ("&amp;INDEX(Endvr!$A$2:$K$3001,MATCH(B152,Endvr!$G:$G,0),MATCH("Event Name",Endvr!$A$2:$K$2,0))&amp;")"</f>
        <v>Clear A Pre-adventure Meal (Princess Connect! Re Dive A Voracious Visitor)</v>
      </c>
      <c r="X152" t="s">
        <v>13958</v>
      </c>
      <c r="Y152" t="s">
        <v>14265</v>
      </c>
      <c r="AA152" s="45"/>
    </row>
    <row r="153" spans="1:27" x14ac:dyDescent="0.2">
      <c r="A153" s="856">
        <v>400463</v>
      </c>
      <c r="B153" s="844" t="s">
        <v>14266</v>
      </c>
      <c r="C153" s="844" t="s">
        <v>14267</v>
      </c>
      <c r="D153" s="845">
        <v>44165</v>
      </c>
      <c r="E153" s="309">
        <v>5</v>
      </c>
      <c r="F153" s="309">
        <v>89</v>
      </c>
      <c r="G153" s="309">
        <v>31</v>
      </c>
      <c r="H153" s="261" t="s">
        <v>543</v>
      </c>
      <c r="I153" s="261"/>
      <c r="J153" s="261" t="s">
        <v>14188</v>
      </c>
      <c r="K153" s="846">
        <v>0.15</v>
      </c>
      <c r="L153" s="847" t="str">
        <f t="shared" si="8"/>
        <v>15%</v>
      </c>
      <c r="M153" s="848" t="str">
        <f t="shared" si="9"/>
        <v>Striking Haste +15%</v>
      </c>
      <c r="N153" s="309">
        <v>5</v>
      </c>
      <c r="O153" s="309">
        <v>150</v>
      </c>
      <c r="P153" s="309">
        <v>90</v>
      </c>
      <c r="Q153" s="261" t="s">
        <v>543</v>
      </c>
      <c r="R153" s="261"/>
      <c r="S153" s="261" t="s">
        <v>14188</v>
      </c>
      <c r="T153" s="846">
        <v>0.15</v>
      </c>
      <c r="U153" s="847" t="str">
        <f t="shared" si="10"/>
        <v>15%</v>
      </c>
      <c r="V153" s="848" t="str">
        <f t="shared" si="11"/>
        <v>Striking Haste +15%</v>
      </c>
      <c r="W153" s="857" t="str">
        <f>+INDEX(Endvr!$A$2:$K$3001,MATCH(B153,Endvr!$G:$G,0),MATCH("Description",Endvr!$A$2:$K$2,0))&amp;" ("&amp;INDEX(Endvr!$A$2:$K$3001,MATCH(B153,Endvr!$G:$G,0),MATCH("Event Name",Endvr!$A$2:$K$2,0))&amp;")"</f>
        <v>Clear Aether Clash: Nightmare (Princess Connect! Re Dive A Voracious Visitor)</v>
      </c>
      <c r="X153" t="s">
        <v>13958</v>
      </c>
      <c r="Y153" t="s">
        <v>14265</v>
      </c>
      <c r="AA153" s="45"/>
    </row>
    <row r="154" spans="1:27" x14ac:dyDescent="0.2">
      <c r="A154" s="856">
        <v>400461</v>
      </c>
      <c r="B154" s="844" t="s">
        <v>14268</v>
      </c>
      <c r="C154" s="844" t="s">
        <v>14269</v>
      </c>
      <c r="D154" s="845">
        <v>44180</v>
      </c>
      <c r="E154" s="309">
        <v>5</v>
      </c>
      <c r="F154" s="309">
        <v>88</v>
      </c>
      <c r="G154" s="309">
        <v>32</v>
      </c>
      <c r="H154" s="261" t="s">
        <v>759</v>
      </c>
      <c r="I154" s="261"/>
      <c r="J154" s="261" t="s">
        <v>14270</v>
      </c>
      <c r="K154" s="846">
        <v>0.1</v>
      </c>
      <c r="L154" s="847" t="str">
        <f t="shared" si="8"/>
        <v>10%</v>
      </c>
      <c r="M154" s="848" t="str">
        <f t="shared" si="9"/>
        <v>Bleeding Punisher +10%</v>
      </c>
      <c r="N154" s="309">
        <v>5</v>
      </c>
      <c r="O154" s="309">
        <v>150</v>
      </c>
      <c r="P154" s="309">
        <v>90</v>
      </c>
      <c r="Q154" s="261" t="s">
        <v>759</v>
      </c>
      <c r="R154" s="261"/>
      <c r="S154" s="261" t="s">
        <v>14270</v>
      </c>
      <c r="T154" s="846">
        <v>0.15</v>
      </c>
      <c r="U154" s="847" t="str">
        <f t="shared" si="10"/>
        <v>15%</v>
      </c>
      <c r="V154" s="848" t="str">
        <f t="shared" si="11"/>
        <v>Bleeding Punisher +15%</v>
      </c>
      <c r="W154" s="857" t="str">
        <f>+INDEX(Endvr!$A$2:$K$3001,MATCH(B154,Endvr!$G:$G,0),MATCH("Description",Endvr!$A$2:$K$2,0))&amp;" ("&amp;INDEX(Endvr!$A$2:$K$3001,MATCH(B154,Endvr!$G:$G,0),MATCH("Event Name",Endvr!$A$2:$K$2,0))&amp;")"</f>
        <v>Clear a Quest on Standard Three Times (The Great Dragonyule Offensive)</v>
      </c>
      <c r="X154" t="s">
        <v>13958</v>
      </c>
      <c r="Y154" t="s">
        <v>14271</v>
      </c>
      <c r="AA154" s="98"/>
    </row>
    <row r="155" spans="1:27" x14ac:dyDescent="0.2">
      <c r="A155" s="856">
        <v>400465</v>
      </c>
      <c r="B155" s="844" t="s">
        <v>14272</v>
      </c>
      <c r="C155" s="844" t="s">
        <v>14273</v>
      </c>
      <c r="D155" s="845">
        <v>44196</v>
      </c>
      <c r="E155" s="309">
        <v>5</v>
      </c>
      <c r="F155" s="309">
        <v>88</v>
      </c>
      <c r="G155" s="309">
        <v>32</v>
      </c>
      <c r="H155" s="261" t="s">
        <v>949</v>
      </c>
      <c r="I155" s="261"/>
      <c r="J155" s="261" t="s">
        <v>14274</v>
      </c>
      <c r="K155" s="846">
        <v>0.25</v>
      </c>
      <c r="L155" s="847" t="str">
        <f t="shared" si="8"/>
        <v>25%</v>
      </c>
      <c r="M155" s="848" t="str">
        <f t="shared" si="9"/>
        <v>Scorchrent Punisher +25%</v>
      </c>
      <c r="N155" s="309">
        <v>5</v>
      </c>
      <c r="O155" s="309">
        <v>150</v>
      </c>
      <c r="P155" s="309">
        <v>90</v>
      </c>
      <c r="Q155" s="261" t="s">
        <v>949</v>
      </c>
      <c r="R155" s="261"/>
      <c r="S155" s="261" t="s">
        <v>14274</v>
      </c>
      <c r="T155" s="846">
        <v>0.25</v>
      </c>
      <c r="U155" s="847" t="str">
        <f t="shared" si="10"/>
        <v>25%</v>
      </c>
      <c r="V155" s="848" t="str">
        <f t="shared" si="11"/>
        <v>Scorchrent Punisher +25%</v>
      </c>
      <c r="W155" s="857" t="str">
        <f>+INDEX(Endvr!$A$2:$K$3001,MATCH(B155,Endvr!$G:$G,0),MATCH("Description",Endvr!$A$2:$K$2,0))&amp;" ("&amp;INDEX(Endvr!$A$2:$K$3001,MATCH(B155,Endvr!$G:$G,0),MATCH("Event Name",Endvr!$A$2:$K$2,0))&amp;")"</f>
        <v>Clear Shikigami Clash: Expert (Cursed Connections)</v>
      </c>
      <c r="X155" t="s">
        <v>13958</v>
      </c>
      <c r="Y155" t="s">
        <v>14275</v>
      </c>
      <c r="AA155" s="45"/>
    </row>
    <row r="156" spans="1:27" x14ac:dyDescent="0.2">
      <c r="A156" s="856">
        <v>400476</v>
      </c>
      <c r="B156" s="844" t="s">
        <v>14276</v>
      </c>
      <c r="C156" s="844" t="s">
        <v>14277</v>
      </c>
      <c r="D156" s="845">
        <v>44227</v>
      </c>
      <c r="E156" s="309">
        <v>5</v>
      </c>
      <c r="F156" s="309">
        <v>75</v>
      </c>
      <c r="G156" s="309">
        <v>28</v>
      </c>
      <c r="H156" s="261" t="s">
        <v>13855</v>
      </c>
      <c r="I156" s="261"/>
      <c r="J156" s="261" t="s">
        <v>9612</v>
      </c>
      <c r="K156" s="846">
        <v>0.3</v>
      </c>
      <c r="L156" s="847" t="str">
        <f t="shared" si="8"/>
        <v>30%</v>
      </c>
      <c r="M156" s="848" t="str">
        <f t="shared" si="9"/>
        <v>Skill Damage +30%</v>
      </c>
      <c r="N156" s="309">
        <v>5</v>
      </c>
      <c r="O156" s="309">
        <v>150</v>
      </c>
      <c r="P156" s="309">
        <v>90</v>
      </c>
      <c r="Q156" s="261" t="s">
        <v>13855</v>
      </c>
      <c r="R156" s="261"/>
      <c r="S156" s="261" t="s">
        <v>9612</v>
      </c>
      <c r="T156" s="846">
        <v>0.3</v>
      </c>
      <c r="U156" s="847" t="str">
        <f t="shared" si="10"/>
        <v>30%</v>
      </c>
      <c r="V156" s="848" t="str">
        <f t="shared" si="11"/>
        <v>Skill Damage +30%</v>
      </c>
      <c r="W156" s="857" t="str">
        <f>+INDEX(Endvr!$A$2:$K$3001,MATCH(B156,Endvr!$G:$G,0),MATCH("Description",Endvr!$A$2:$K$2,0))&amp;" ("&amp;INDEX(Endvr!$A$2:$K$3001,MATCH(B156,Endvr!$G:$G,0),MATCH("Event Name",Endvr!$A$2:$K$2,0))&amp;")"</f>
        <v>Participate in the Event (Romance Under Siege)</v>
      </c>
      <c r="X156" t="s">
        <v>14075</v>
      </c>
      <c r="Y156" s="87" t="s">
        <v>14278</v>
      </c>
      <c r="AA156" s="45"/>
    </row>
    <row r="157" spans="1:27" x14ac:dyDescent="0.2">
      <c r="A157" s="856">
        <v>400469</v>
      </c>
      <c r="B157" s="844" t="s">
        <v>14279</v>
      </c>
      <c r="C157" s="844" t="s">
        <v>14280</v>
      </c>
      <c r="D157" s="845">
        <v>44227</v>
      </c>
      <c r="E157" s="309">
        <v>5</v>
      </c>
      <c r="F157" s="309">
        <v>75</v>
      </c>
      <c r="G157" s="309">
        <v>28</v>
      </c>
      <c r="H157" s="261" t="s">
        <v>645</v>
      </c>
      <c r="I157" s="261"/>
      <c r="J157" s="261" t="s">
        <v>13950</v>
      </c>
      <c r="K157" s="846">
        <v>0.5</v>
      </c>
      <c r="L157" s="847" t="str">
        <f t="shared" si="8"/>
        <v>50%</v>
      </c>
      <c r="M157" s="848" t="str">
        <f t="shared" si="9"/>
        <v>Force Strike +50%</v>
      </c>
      <c r="N157" s="309">
        <v>5</v>
      </c>
      <c r="O157" s="309">
        <v>150</v>
      </c>
      <c r="P157" s="309">
        <v>90</v>
      </c>
      <c r="Q157" s="261" t="s">
        <v>645</v>
      </c>
      <c r="R157" s="261"/>
      <c r="S157" s="261" t="s">
        <v>13950</v>
      </c>
      <c r="T157" s="846">
        <v>0.5</v>
      </c>
      <c r="U157" s="847" t="str">
        <f t="shared" si="10"/>
        <v>50%</v>
      </c>
      <c r="V157" s="848" t="str">
        <f t="shared" si="11"/>
        <v>Force Strike +50%</v>
      </c>
      <c r="W157" s="857" t="str">
        <f>+INDEX(Endvr!$A$2:$K$3001,MATCH(B157,Endvr!$G:$G,0),MATCH("Description",Endvr!$A$2:$K$2,0))&amp;" ("&amp;INDEX(Endvr!$A$2:$K$3001,MATCH(B157,Endvr!$G:$G,0),MATCH("Event Name",Endvr!$A$2:$K$2,0))&amp;")"</f>
        <v>Clear Monarch Emile Clash: Expert (Persona 5 Strikers Caged Desire)</v>
      </c>
      <c r="X157" t="s">
        <v>14075</v>
      </c>
      <c r="Y157" s="87" t="s">
        <v>14278</v>
      </c>
      <c r="AA157" s="45"/>
    </row>
    <row r="158" spans="1:27" x14ac:dyDescent="0.2">
      <c r="A158" s="856">
        <v>400466</v>
      </c>
      <c r="B158" s="844" t="s">
        <v>14281</v>
      </c>
      <c r="C158" s="844" t="s">
        <v>14282</v>
      </c>
      <c r="D158" s="845">
        <v>44239</v>
      </c>
      <c r="E158" s="309">
        <v>5</v>
      </c>
      <c r="F158" s="309">
        <v>88</v>
      </c>
      <c r="G158" s="309">
        <v>32</v>
      </c>
      <c r="H158" s="261" t="s">
        <v>13862</v>
      </c>
      <c r="I158" s="261"/>
      <c r="J158" s="261" t="s">
        <v>13868</v>
      </c>
      <c r="K158" s="846">
        <v>0.25</v>
      </c>
      <c r="L158" s="847" t="str">
        <f t="shared" si="8"/>
        <v>25%</v>
      </c>
      <c r="M158" s="848" t="str">
        <f t="shared" si="9"/>
        <v>Stormlashed Punisher +25%</v>
      </c>
      <c r="N158" s="309">
        <v>5</v>
      </c>
      <c r="O158" s="309">
        <v>150</v>
      </c>
      <c r="P158" s="309">
        <v>90</v>
      </c>
      <c r="Q158" s="261" t="s">
        <v>13889</v>
      </c>
      <c r="R158" s="261"/>
      <c r="S158" s="261" t="s">
        <v>13868</v>
      </c>
      <c r="T158" s="846">
        <v>0.25</v>
      </c>
      <c r="U158" s="847" t="str">
        <f t="shared" si="10"/>
        <v>25%</v>
      </c>
      <c r="V158" s="848" t="str">
        <f t="shared" si="11"/>
        <v>Stormlashed Punisher +25%</v>
      </c>
      <c r="W158" s="857" t="str">
        <f>+INDEX(Endvr!$A$2:$K$3001,MATCH(B158,Endvr!$G:$G,0),MATCH("Description",Endvr!$A$2:$K$2,0))&amp;" ("&amp;INDEX(Endvr!$A$2:$K$3001,MATCH(B158,Endvr!$G:$G,0),MATCH("Event Name",Endvr!$A$2:$K$2,0))&amp;")"</f>
        <v>Clear All-Out Assault: Master (Romance Under Siege)</v>
      </c>
      <c r="X158" t="s">
        <v>13958</v>
      </c>
      <c r="Y158" t="s">
        <v>14283</v>
      </c>
      <c r="AA158" s="45"/>
    </row>
    <row r="159" spans="1:27" x14ac:dyDescent="0.2">
      <c r="A159" s="856">
        <v>400403</v>
      </c>
      <c r="B159" s="844" t="s">
        <v>14284</v>
      </c>
      <c r="C159" s="844" t="s">
        <v>14285</v>
      </c>
      <c r="D159" s="845">
        <v>44253</v>
      </c>
      <c r="E159" s="309">
        <v>5</v>
      </c>
      <c r="F159" s="309">
        <v>88</v>
      </c>
      <c r="G159" s="309">
        <v>32</v>
      </c>
      <c r="H159" s="261" t="s">
        <v>13936</v>
      </c>
      <c r="I159" s="261" t="s">
        <v>1054</v>
      </c>
      <c r="J159" s="261" t="s">
        <v>9612</v>
      </c>
      <c r="K159" s="846">
        <v>0.4</v>
      </c>
      <c r="L159" s="847" t="str">
        <f t="shared" si="8"/>
        <v>40%</v>
      </c>
      <c r="M159" s="848" t="str">
        <f t="shared" si="9"/>
        <v>(Manacaster) Skill Damage +40%</v>
      </c>
      <c r="N159" s="309">
        <v>5</v>
      </c>
      <c r="O159" s="309">
        <v>150</v>
      </c>
      <c r="P159" s="309">
        <v>90</v>
      </c>
      <c r="Q159" s="261" t="s">
        <v>13936</v>
      </c>
      <c r="R159" s="261" t="s">
        <v>1054</v>
      </c>
      <c r="S159" s="261" t="s">
        <v>9612</v>
      </c>
      <c r="T159" s="846">
        <v>0.4</v>
      </c>
      <c r="U159" s="847" t="str">
        <f t="shared" si="10"/>
        <v>40%</v>
      </c>
      <c r="V159" s="848" t="str">
        <f t="shared" si="11"/>
        <v>(Manacaster) Skill Damage +40%</v>
      </c>
      <c r="W159" s="857" t="str">
        <f>+INDEX(Endvr!$A$2:$K$3001,MATCH(B159,Endvr!$G:$G,0),MATCH("Description",Endvr!$A$2:$K$2,0))&amp;" ("&amp;INDEX(Endvr!$A$2:$K$3001,MATCH(B159,Endvr!$G:$G,0),MATCH("Event Name",Endvr!$A$2:$K$2,0))&amp;")"</f>
        <v>Clear Active Investigation: Expert (Divine Deception)</v>
      </c>
      <c r="X159" t="s">
        <v>13958</v>
      </c>
      <c r="Y159" t="s">
        <v>14286</v>
      </c>
      <c r="AA159" s="45"/>
    </row>
    <row r="160" spans="1:27" x14ac:dyDescent="0.2">
      <c r="A160" s="856">
        <v>400467</v>
      </c>
      <c r="B160" s="844" t="s">
        <v>14287</v>
      </c>
      <c r="C160" s="844" t="s">
        <v>14288</v>
      </c>
      <c r="D160" s="845">
        <v>44253</v>
      </c>
      <c r="E160" s="309">
        <v>5</v>
      </c>
      <c r="F160" s="309">
        <v>75</v>
      </c>
      <c r="G160" s="309">
        <v>27</v>
      </c>
      <c r="H160" s="261"/>
      <c r="I160" s="261"/>
      <c r="J160" s="261" t="s">
        <v>14289</v>
      </c>
      <c r="K160" s="846">
        <v>0.25</v>
      </c>
      <c r="L160" s="847" t="str">
        <f t="shared" si="8"/>
        <v>25%</v>
      </c>
      <c r="M160" s="848" t="str">
        <f t="shared" si="9"/>
        <v>Flashburned Punisher +25%</v>
      </c>
      <c r="N160" s="309">
        <v>5</v>
      </c>
      <c r="O160" s="309">
        <v>150</v>
      </c>
      <c r="P160" s="309">
        <v>90</v>
      </c>
      <c r="Q160" s="261" t="s">
        <v>13915</v>
      </c>
      <c r="R160" s="261"/>
      <c r="S160" s="261" t="s">
        <v>14289</v>
      </c>
      <c r="T160" s="846">
        <v>0.25</v>
      </c>
      <c r="U160" s="847" t="str">
        <f t="shared" si="10"/>
        <v>25%</v>
      </c>
      <c r="V160" s="848" t="str">
        <f t="shared" si="11"/>
        <v>Flashburned Punisher +25%</v>
      </c>
      <c r="W160" s="857" t="str">
        <f>+INDEX(Endvr!$A$2:$K$3001,MATCH(B160,Endvr!$G:$G,0),MATCH("Description",Endvr!$A$2:$K$2,0))&amp;" ("&amp;INDEX(Endvr!$A$2:$K$3001,MATCH(B160,Endvr!$G:$G,0),MATCH("Event Name",Endvr!$A$2:$K$2,0))&amp;")"</f>
        <v>Clear The False Demon's Revenge (Divine Deception)</v>
      </c>
      <c r="X160" t="s">
        <v>13958</v>
      </c>
      <c r="Y160" t="s">
        <v>14286</v>
      </c>
      <c r="AA160" s="45"/>
    </row>
    <row r="161" spans="1:27" x14ac:dyDescent="0.2">
      <c r="A161" s="856">
        <v>400079</v>
      </c>
      <c r="B161" s="844" t="s">
        <v>14290</v>
      </c>
      <c r="C161" s="844" t="s">
        <v>14291</v>
      </c>
      <c r="D161" s="845">
        <v>44287</v>
      </c>
      <c r="E161" s="309">
        <v>5</v>
      </c>
      <c r="F161" s="309">
        <v>75</v>
      </c>
      <c r="G161" s="309">
        <v>27</v>
      </c>
      <c r="H161" s="261"/>
      <c r="I161" s="261"/>
      <c r="J161" s="261" t="s">
        <v>14292</v>
      </c>
      <c r="K161" s="846"/>
      <c r="L161" s="847" t="str">
        <f t="shared" si="8"/>
        <v/>
      </c>
      <c r="M161" s="848" t="str">
        <f t="shared" si="9"/>
        <v>Reduced DEF &amp; Enhanced SS III</v>
      </c>
      <c r="N161" s="309">
        <v>5</v>
      </c>
      <c r="O161" s="309">
        <v>150</v>
      </c>
      <c r="P161" s="309">
        <v>90</v>
      </c>
      <c r="Q161" s="261" t="s">
        <v>13892</v>
      </c>
      <c r="R161" s="261"/>
      <c r="S161" s="261" t="s">
        <v>14292</v>
      </c>
      <c r="T161" s="846"/>
      <c r="U161" s="847" t="str">
        <f t="shared" si="10"/>
        <v/>
      </c>
      <c r="V161" s="848" t="str">
        <f t="shared" si="11"/>
        <v>Reduced DEF &amp; Enhanced SS III</v>
      </c>
      <c r="W161" s="857" t="str">
        <f>+INDEX(Endvr!$A$2:$K$3001,MATCH(B161,Endvr!$G:$G,0),MATCH("Description",Endvr!$A$2:$K$2,0))&amp;" ("&amp;INDEX(Endvr!$A$2:$K$3001,MATCH(B161,Endvr!$G:$G,0),MATCH("Event Name",Endvr!$A$2:$K$2,0))&amp;")"</f>
        <v>Clear Elysium Clash (Fixed) (Dawn of Dragalia)</v>
      </c>
      <c r="X161" t="s">
        <v>13958</v>
      </c>
      <c r="Y161" t="s">
        <v>14293</v>
      </c>
      <c r="AA161" s="45"/>
    </row>
    <row r="162" spans="1:27" x14ac:dyDescent="0.2">
      <c r="A162" s="856">
        <v>400468</v>
      </c>
      <c r="B162" s="844" t="s">
        <v>14294</v>
      </c>
      <c r="C162" s="844" t="s">
        <v>14295</v>
      </c>
      <c r="D162" s="845">
        <v>44288</v>
      </c>
      <c r="E162" s="309">
        <v>5</v>
      </c>
      <c r="F162" s="309">
        <v>88</v>
      </c>
      <c r="G162" s="309">
        <v>32</v>
      </c>
      <c r="H162" s="261"/>
      <c r="I162" s="261" t="s">
        <v>949</v>
      </c>
      <c r="J162" s="261" t="s">
        <v>9612</v>
      </c>
      <c r="K162" s="846">
        <v>0.4</v>
      </c>
      <c r="L162" s="847" t="str">
        <f t="shared" si="8"/>
        <v>40%</v>
      </c>
      <c r="M162" s="848" t="str">
        <f t="shared" si="9"/>
        <v>(Staff) Skill Damage +40%</v>
      </c>
      <c r="N162" s="309">
        <v>5</v>
      </c>
      <c r="O162" s="309">
        <v>150</v>
      </c>
      <c r="P162" s="309">
        <v>90</v>
      </c>
      <c r="Q162" s="261" t="s">
        <v>949</v>
      </c>
      <c r="R162" s="261" t="s">
        <v>949</v>
      </c>
      <c r="S162" s="261" t="s">
        <v>9612</v>
      </c>
      <c r="T162" s="846">
        <v>0.4</v>
      </c>
      <c r="U162" s="847" t="str">
        <f t="shared" si="10"/>
        <v>40%</v>
      </c>
      <c r="V162" s="848" t="str">
        <f t="shared" si="11"/>
        <v>(Staff) Skill Damage +40%</v>
      </c>
      <c r="W162" s="857" t="str">
        <f>+INDEX(Endvr!$A$2:$K$3001,MATCH(B162,Endvr!$G:$G,0),MATCH("Description",Endvr!$A$2:$K$2,0))&amp;" ("&amp;INDEX(Endvr!$A$2:$K$3001,MATCH(B162,Endvr!$G:$G,0),MATCH("Event Name",Endvr!$A$2:$K$2,0))&amp;")"</f>
        <v>Clear Elysium Clash: Nightmare (Dawn of Dragalia)</v>
      </c>
      <c r="X162" t="s">
        <v>13958</v>
      </c>
      <c r="Y162" t="s">
        <v>14293</v>
      </c>
      <c r="AA162" s="45"/>
    </row>
    <row r="163" spans="1:27" x14ac:dyDescent="0.2">
      <c r="A163" s="856">
        <v>400472</v>
      </c>
      <c r="B163" s="844" t="s">
        <v>14296</v>
      </c>
      <c r="C163" s="844" t="s">
        <v>14297</v>
      </c>
      <c r="D163" s="845">
        <v>44314</v>
      </c>
      <c r="E163" s="309">
        <v>5</v>
      </c>
      <c r="F163" s="309">
        <v>88</v>
      </c>
      <c r="G163" s="309">
        <v>32</v>
      </c>
      <c r="H163" s="261"/>
      <c r="I163" s="261" t="s">
        <v>839</v>
      </c>
      <c r="J163" s="261" t="s">
        <v>13852</v>
      </c>
      <c r="K163" s="846">
        <v>0.14000000000000001</v>
      </c>
      <c r="L163" s="847" t="str">
        <f t="shared" si="8"/>
        <v>14%</v>
      </c>
      <c r="M163" s="848" t="str">
        <f t="shared" si="9"/>
        <v>(Wand) Critical Rate +14%</v>
      </c>
      <c r="N163" s="309">
        <v>5</v>
      </c>
      <c r="O163" s="309">
        <v>150</v>
      </c>
      <c r="P163" s="309">
        <v>90</v>
      </c>
      <c r="Q163" s="261" t="s">
        <v>123</v>
      </c>
      <c r="R163" s="261" t="s">
        <v>839</v>
      </c>
      <c r="S163" s="261" t="s">
        <v>13852</v>
      </c>
      <c r="T163" s="846">
        <v>0.15</v>
      </c>
      <c r="U163" s="847" t="str">
        <f t="shared" si="10"/>
        <v>15%</v>
      </c>
      <c r="V163" s="848" t="str">
        <f t="shared" si="11"/>
        <v>(Wand) Critical Rate +15%</v>
      </c>
      <c r="W163" s="857" t="str">
        <f>+INDEX(Endvr!$A$2:$K$3001,MATCH(B163,Endvr!$G:$G,0),MATCH("Description",Endvr!$A$2:$K$2,0))&amp;" ("&amp;INDEX(Endvr!$A$2:$K$3001,MATCH(B163,Endvr!$G:$G,0),MATCH("Event Name",Endvr!$A$2:$K$2,0))&amp;")"</f>
        <v>Clear Chronos Nyx Clash: Nightmare (Rage of Chronos)</v>
      </c>
      <c r="X163" t="s">
        <v>13958</v>
      </c>
      <c r="Y163" t="s">
        <v>14298</v>
      </c>
      <c r="AA163" s="45"/>
    </row>
    <row r="164" spans="1:27" x14ac:dyDescent="0.2">
      <c r="A164" s="856">
        <v>400473</v>
      </c>
      <c r="B164" s="844" t="s">
        <v>14299</v>
      </c>
      <c r="C164" s="844" t="s">
        <v>14300</v>
      </c>
      <c r="D164" s="845">
        <v>44314</v>
      </c>
      <c r="E164" s="309">
        <v>5</v>
      </c>
      <c r="F164" s="309">
        <v>88</v>
      </c>
      <c r="G164" s="309">
        <v>32</v>
      </c>
      <c r="H164" s="261"/>
      <c r="I164" s="261" t="s">
        <v>1947</v>
      </c>
      <c r="J164" s="261" t="s">
        <v>13966</v>
      </c>
      <c r="K164" s="846">
        <v>0.12</v>
      </c>
      <c r="L164" s="847" t="str">
        <f t="shared" si="8"/>
        <v>12%</v>
      </c>
      <c r="M164" s="848" t="str">
        <f t="shared" si="9"/>
        <v>(Wind) Flurry Devastation +12%</v>
      </c>
      <c r="N164" s="309">
        <v>5</v>
      </c>
      <c r="O164" s="309">
        <v>150</v>
      </c>
      <c r="P164" s="309">
        <v>90</v>
      </c>
      <c r="Q164" s="261" t="s">
        <v>123</v>
      </c>
      <c r="R164" s="261" t="s">
        <v>1947</v>
      </c>
      <c r="S164" s="261" t="s">
        <v>13966</v>
      </c>
      <c r="T164" s="846">
        <v>0.15</v>
      </c>
      <c r="U164" s="847" t="str">
        <f t="shared" si="10"/>
        <v>15%</v>
      </c>
      <c r="V164" s="848" t="str">
        <f t="shared" si="11"/>
        <v>(Wind) Flurry Devastation +15%</v>
      </c>
      <c r="W164" s="857" t="str">
        <f>+INDEX(Endvr!$A$2:$K$3001,MATCH(B164,Endvr!$G:$G,0),MATCH("Description",Endvr!$A$2:$K$2,0))&amp;" ("&amp;INDEX(Endvr!$A$2:$K$3001,MATCH(B164,Endvr!$G:$G,0),MATCH("Event Name",Endvr!$A$2:$K$2,0))&amp;")"</f>
        <v>Clear Roar of the Mad Cyclone (Rage of Chronos)</v>
      </c>
      <c r="X164" t="s">
        <v>13958</v>
      </c>
      <c r="Y164" t="s">
        <v>14298</v>
      </c>
      <c r="AA164" s="45"/>
    </row>
    <row r="165" spans="1:27" x14ac:dyDescent="0.2">
      <c r="A165" s="856">
        <v>400474</v>
      </c>
      <c r="B165" s="844" t="s">
        <v>14301</v>
      </c>
      <c r="C165" s="844" t="s">
        <v>14302</v>
      </c>
      <c r="D165" s="845">
        <v>44344</v>
      </c>
      <c r="E165" s="309">
        <v>5</v>
      </c>
      <c r="F165" s="309">
        <v>75</v>
      </c>
      <c r="G165" s="309">
        <v>28</v>
      </c>
      <c r="H165" s="261" t="s">
        <v>949</v>
      </c>
      <c r="I165" s="261" t="s">
        <v>759</v>
      </c>
      <c r="J165" s="261" t="s">
        <v>8958</v>
      </c>
      <c r="K165" s="846">
        <v>0.25</v>
      </c>
      <c r="L165" s="847" t="str">
        <f t="shared" si="8"/>
        <v>25%</v>
      </c>
      <c r="M165" s="848" t="str">
        <f t="shared" si="9"/>
        <v>(Bow) Critical Damage +25%</v>
      </c>
      <c r="N165" s="309">
        <v>5</v>
      </c>
      <c r="O165" s="309">
        <v>150</v>
      </c>
      <c r="P165" s="309">
        <v>90</v>
      </c>
      <c r="Q165" s="261" t="s">
        <v>949</v>
      </c>
      <c r="R165" s="261" t="s">
        <v>759</v>
      </c>
      <c r="S165" s="261" t="s">
        <v>8958</v>
      </c>
      <c r="T165" s="846">
        <v>0.25</v>
      </c>
      <c r="U165" s="847" t="str">
        <f t="shared" si="10"/>
        <v>25%</v>
      </c>
      <c r="V165" s="848" t="str">
        <f t="shared" si="11"/>
        <v>(Bow) Critical Damage +25%</v>
      </c>
      <c r="W165" s="857" t="str">
        <f>+INDEX(Endvr!$A$2:$K$3001,MATCH(B165,Endvr!$G:$G,0),MATCH("Description",Endvr!$A$2:$K$2,0))&amp;" ("&amp;INDEX(Endvr!$A$2:$K$3001,MATCH(B165,Endvr!$G:$G,0),MATCH("Event Name",Endvr!$A$2:$K$2,0))&amp;")"</f>
        <v>Clear an Invasion on Standard (The Children of Yggdrasil)</v>
      </c>
      <c r="X165" t="s">
        <v>13958</v>
      </c>
      <c r="Y165" t="s">
        <v>14303</v>
      </c>
      <c r="AA165" s="45"/>
    </row>
    <row r="166" spans="1:27" x14ac:dyDescent="0.2">
      <c r="A166" s="856">
        <v>400475</v>
      </c>
      <c r="B166" s="844" t="s">
        <v>14304</v>
      </c>
      <c r="C166" s="844" t="s">
        <v>14305</v>
      </c>
      <c r="D166" s="845">
        <v>44350</v>
      </c>
      <c r="E166" s="309">
        <v>5</v>
      </c>
      <c r="F166" s="309">
        <v>88</v>
      </c>
      <c r="G166" s="309">
        <v>32</v>
      </c>
      <c r="H166" s="261" t="s">
        <v>13936</v>
      </c>
      <c r="I166" s="261"/>
      <c r="J166" s="261" t="s">
        <v>14068</v>
      </c>
      <c r="K166" s="846">
        <v>0.35</v>
      </c>
      <c r="L166" s="847" t="str">
        <f t="shared" si="8"/>
        <v>35%</v>
      </c>
      <c r="M166" s="848" t="str">
        <f t="shared" si="9"/>
        <v>Gauge Accelerator +35%</v>
      </c>
      <c r="N166" s="309">
        <v>5</v>
      </c>
      <c r="O166" s="309">
        <v>150</v>
      </c>
      <c r="P166" s="309">
        <v>90</v>
      </c>
      <c r="Q166" s="261" t="s">
        <v>13936</v>
      </c>
      <c r="R166" s="261"/>
      <c r="S166" s="261" t="s">
        <v>14068</v>
      </c>
      <c r="T166" s="846">
        <v>0.35</v>
      </c>
      <c r="U166" s="847" t="str">
        <f t="shared" si="10"/>
        <v>35%</v>
      </c>
      <c r="V166" s="848" t="str">
        <f t="shared" si="11"/>
        <v>Gauge Accelerator +35%</v>
      </c>
      <c r="W166" s="857" t="str">
        <f>+INDEX(Endvr!$A$2:$K$3001,MATCH(B166,Endvr!$G:$G,0),MATCH("Description",Endvr!$A$2:$K$2,0))&amp;" ("&amp;INDEX(Endvr!$A$2:$K$3001,MATCH(B166,Endvr!$G:$G,0),MATCH("Event Name",Endvr!$A$2:$K$2,0))&amp;")"</f>
        <v>Obtain From Ch. 08 EX 2 Chest (Hard) (Non-Endeavor)</v>
      </c>
      <c r="X166" t="s">
        <v>13843</v>
      </c>
      <c r="Y166" t="s">
        <v>13918</v>
      </c>
      <c r="Z166" t="s">
        <v>14082</v>
      </c>
      <c r="AA166" s="45"/>
    </row>
    <row r="167" spans="1:27" x14ac:dyDescent="0.2">
      <c r="A167" s="856">
        <v>400478</v>
      </c>
      <c r="B167" s="844" t="s">
        <v>14306</v>
      </c>
      <c r="C167" s="844" t="s">
        <v>14307</v>
      </c>
      <c r="D167" s="845">
        <v>44376</v>
      </c>
      <c r="E167" s="309">
        <v>5</v>
      </c>
      <c r="F167" s="309">
        <v>88</v>
      </c>
      <c r="G167" s="309">
        <v>32</v>
      </c>
      <c r="H167" s="261"/>
      <c r="I167" s="261"/>
      <c r="J167" s="261" t="s">
        <v>14165</v>
      </c>
      <c r="K167" s="846">
        <v>0.15</v>
      </c>
      <c r="L167" s="847" t="str">
        <f t="shared" si="8"/>
        <v>15%</v>
      </c>
      <c r="M167" s="848" t="str">
        <f t="shared" si="9"/>
        <v>Critical Damage Doublebuff +15%</v>
      </c>
      <c r="N167" s="309">
        <v>5</v>
      </c>
      <c r="O167" s="309">
        <v>150</v>
      </c>
      <c r="P167" s="309">
        <v>90</v>
      </c>
      <c r="Q167" s="261" t="s">
        <v>13892</v>
      </c>
      <c r="R167" s="261"/>
      <c r="S167" s="261" t="s">
        <v>14165</v>
      </c>
      <c r="T167" s="846">
        <v>0.15</v>
      </c>
      <c r="U167" s="847" t="str">
        <f t="shared" si="10"/>
        <v>15%</v>
      </c>
      <c r="V167" s="848" t="str">
        <f t="shared" si="11"/>
        <v>Critical Damage Doublebuff +15%</v>
      </c>
      <c r="W167" s="857" t="str">
        <f>+INDEX(Endvr!$A$2:$K$3001,MATCH(B167,Endvr!$G:$G,0),MATCH("Description",Endvr!$A$2:$K$2,0))&amp;" ("&amp;INDEX(Endvr!$A$2:$K$3001,MATCH(B167,Endvr!$G:$G,0),MATCH("Event Name",Endvr!$A$2:$K$2,0))&amp;")"</f>
        <v>Clear a Boss Battle on Beginner (Toll of the Deep)</v>
      </c>
      <c r="X167" t="s">
        <v>13958</v>
      </c>
      <c r="Y167" t="s">
        <v>14308</v>
      </c>
      <c r="AA167" s="45"/>
    </row>
    <row r="168" spans="1:27" x14ac:dyDescent="0.2">
      <c r="A168" s="856">
        <v>400479</v>
      </c>
      <c r="B168" s="844" t="s">
        <v>14309</v>
      </c>
      <c r="C168" s="844" t="s">
        <v>14310</v>
      </c>
      <c r="D168" s="845">
        <v>44406</v>
      </c>
      <c r="E168" s="309">
        <v>5</v>
      </c>
      <c r="F168" s="309">
        <v>75</v>
      </c>
      <c r="G168" s="309">
        <v>28</v>
      </c>
      <c r="H168" s="261" t="s">
        <v>13877</v>
      </c>
      <c r="I168" s="261"/>
      <c r="J168" s="261" t="s">
        <v>13982</v>
      </c>
      <c r="K168" s="846">
        <v>0.5</v>
      </c>
      <c r="L168" s="847" t="str">
        <f t="shared" si="8"/>
        <v>50%</v>
      </c>
      <c r="M168" s="848" t="str">
        <f t="shared" si="9"/>
        <v>Skill Prep +50%</v>
      </c>
      <c r="N168" s="309">
        <v>5</v>
      </c>
      <c r="O168" s="309">
        <v>150</v>
      </c>
      <c r="P168" s="309">
        <v>90</v>
      </c>
      <c r="Q168" s="261" t="s">
        <v>13877</v>
      </c>
      <c r="R168" s="261"/>
      <c r="S168" s="261" t="s">
        <v>13982</v>
      </c>
      <c r="T168" s="846">
        <v>0.5</v>
      </c>
      <c r="U168" s="847" t="str">
        <f t="shared" si="10"/>
        <v>50%</v>
      </c>
      <c r="V168" s="848" t="str">
        <f t="shared" si="11"/>
        <v>Skill Prep +50%</v>
      </c>
      <c r="W168" s="857" t="str">
        <f>+INDEX(Endvr!$A$2:$K$3001,MATCH(B168,Endvr!$G:$G,0),MATCH("Description",Endvr!$A$2:$K$2,0))&amp;" ("&amp;INDEX(Endvr!$A$2:$K$3001,MATCH(B168,Endvr!$G:$G,0),MATCH("Event Name",Endvr!$A$2:$K$2,0))&amp;")"</f>
        <v>Clear Survival Island (Stranded Scions)</v>
      </c>
      <c r="X168" t="s">
        <v>13958</v>
      </c>
      <c r="Y168" t="s">
        <v>14311</v>
      </c>
      <c r="AA168" s="98"/>
    </row>
    <row r="169" spans="1:27" x14ac:dyDescent="0.2">
      <c r="A169" s="856">
        <v>400405</v>
      </c>
      <c r="B169" s="844" t="s">
        <v>14312</v>
      </c>
      <c r="C169" s="844" t="s">
        <v>14313</v>
      </c>
      <c r="D169" s="845">
        <v>44406</v>
      </c>
      <c r="E169" s="309">
        <v>5</v>
      </c>
      <c r="F169" s="309">
        <v>88</v>
      </c>
      <c r="G169" s="309">
        <v>32</v>
      </c>
      <c r="H169" s="261" t="s">
        <v>949</v>
      </c>
      <c r="I169" s="261"/>
      <c r="J169" s="261" t="s">
        <v>14274</v>
      </c>
      <c r="K169" s="846">
        <v>0.25</v>
      </c>
      <c r="L169" s="847" t="str">
        <f t="shared" si="8"/>
        <v>25%</v>
      </c>
      <c r="M169" s="848" t="str">
        <f t="shared" si="9"/>
        <v>Scorchrent Punisher +25%</v>
      </c>
      <c r="N169" s="309">
        <v>5</v>
      </c>
      <c r="O169" s="309">
        <v>150</v>
      </c>
      <c r="P169" s="309">
        <v>90</v>
      </c>
      <c r="Q169" s="261" t="s">
        <v>13892</v>
      </c>
      <c r="R169" s="261"/>
      <c r="S169" s="261" t="s">
        <v>14274</v>
      </c>
      <c r="T169" s="846">
        <v>0.25</v>
      </c>
      <c r="U169" s="847" t="str">
        <f t="shared" si="10"/>
        <v>25%</v>
      </c>
      <c r="V169" s="848" t="str">
        <f t="shared" si="11"/>
        <v>Scorchrent Punisher +25%</v>
      </c>
      <c r="W169" s="857" t="str">
        <f>+INDEX(Endvr!$A$2:$K$3001,MATCH(B169,Endvr!$G:$G,0),MATCH("Description",Endvr!$A$2:$K$2,0))&amp;" ("&amp;INDEX(Endvr!$A$2:$K$3001,MATCH(B169,Endvr!$G:$G,0),MATCH("Event Name",Endvr!$A$2:$K$2,0))&amp;")"</f>
        <v>Clear Kanaloa Clash: Nightmare (Stranded Scions)</v>
      </c>
      <c r="X169" t="s">
        <v>13958</v>
      </c>
      <c r="Y169" t="s">
        <v>14311</v>
      </c>
      <c r="AA169" s="45"/>
    </row>
    <row r="170" spans="1:27" x14ac:dyDescent="0.2">
      <c r="A170" s="856">
        <v>400481</v>
      </c>
      <c r="B170" s="844" t="s">
        <v>14314</v>
      </c>
      <c r="C170" s="844" t="s">
        <v>14315</v>
      </c>
      <c r="D170" s="845">
        <v>44435</v>
      </c>
      <c r="E170" s="309">
        <v>5</v>
      </c>
      <c r="F170" s="309">
        <v>75</v>
      </c>
      <c r="G170" s="309">
        <v>28</v>
      </c>
      <c r="H170" s="261"/>
      <c r="I170" s="261" t="s">
        <v>330</v>
      </c>
      <c r="J170" s="261" t="s">
        <v>9612</v>
      </c>
      <c r="K170" s="846">
        <v>0.4</v>
      </c>
      <c r="L170" s="847" t="str">
        <f t="shared" si="8"/>
        <v>40%</v>
      </c>
      <c r="M170" s="848" t="str">
        <f t="shared" si="9"/>
        <v>(Blade) Skill Damage +40%</v>
      </c>
      <c r="N170" s="309">
        <v>5</v>
      </c>
      <c r="O170" s="309">
        <v>150</v>
      </c>
      <c r="P170" s="309">
        <v>90</v>
      </c>
      <c r="Q170" s="261" t="s">
        <v>13936</v>
      </c>
      <c r="R170" s="261" t="s">
        <v>330</v>
      </c>
      <c r="S170" s="261" t="s">
        <v>9612</v>
      </c>
      <c r="T170" s="846">
        <v>0.4</v>
      </c>
      <c r="U170" s="847" t="str">
        <f t="shared" si="10"/>
        <v>40%</v>
      </c>
      <c r="V170" s="848" t="str">
        <f t="shared" si="11"/>
        <v>(Blade) Skill Damage +40%</v>
      </c>
      <c r="W170" s="857" t="str">
        <f>+INDEX(Endvr!$A$2:$K$3001,MATCH(B170,Endvr!$G:$G,0),MATCH("Description",Endvr!$A$2:$K$2,0))&amp;" ("&amp;INDEX(Endvr!$A$2:$K$3001,MATCH(B170,Endvr!$G:$G,0),MATCH("Event Name",Endvr!$A$2:$K$2,0))&amp;")"</f>
        <v>Clear an Invasion on Standard (Knights of Alberia)</v>
      </c>
      <c r="X170" t="s">
        <v>13958</v>
      </c>
      <c r="Y170" t="s">
        <v>14316</v>
      </c>
      <c r="AA170" s="45"/>
    </row>
    <row r="171" spans="1:27" x14ac:dyDescent="0.2">
      <c r="A171" s="856">
        <v>400491</v>
      </c>
      <c r="B171" s="844" t="s">
        <v>14317</v>
      </c>
      <c r="C171" s="844" t="s">
        <v>14318</v>
      </c>
      <c r="D171" s="845">
        <v>44466</v>
      </c>
      <c r="E171" s="309">
        <v>5</v>
      </c>
      <c r="F171" s="309">
        <v>75</v>
      </c>
      <c r="G171" s="309">
        <v>28</v>
      </c>
      <c r="H171" s="261"/>
      <c r="I171" s="261"/>
      <c r="J171" s="261" t="s">
        <v>8291</v>
      </c>
      <c r="K171" s="846"/>
      <c r="L171" s="847" t="str">
        <f t="shared" si="8"/>
        <v/>
      </c>
      <c r="M171" s="848" t="str">
        <f t="shared" si="9"/>
        <v>United Critical Rate I</v>
      </c>
      <c r="N171" s="309">
        <v>5</v>
      </c>
      <c r="O171" s="309">
        <v>150</v>
      </c>
      <c r="P171" s="309">
        <v>90</v>
      </c>
      <c r="Q171" s="261" t="s">
        <v>13855</v>
      </c>
      <c r="R171" s="261"/>
      <c r="S171" s="261" t="s">
        <v>14319</v>
      </c>
      <c r="T171" s="846">
        <v>0.12</v>
      </c>
      <c r="U171" s="847" t="str">
        <f t="shared" si="10"/>
        <v>12%</v>
      </c>
      <c r="V171" s="848" t="str">
        <f t="shared" si="11"/>
        <v>United Critical Rate +12%</v>
      </c>
      <c r="W171" s="857" t="str">
        <f>+INDEX(Endvr!$A$2:$K$3001,MATCH(B171,Endvr!$G:$G,0),MATCH("Description",Endvr!$A$2:$K$2,0))&amp;" ("&amp;INDEX(Endvr!$A$2:$K$3001,MATCH(B171,Endvr!$G:$G,0),MATCH("Event Name",Endvr!$A$2:$K$2,0))&amp;")"</f>
        <v>Clear a Boss Battle on Expert (Faith Forsaken (Part One))</v>
      </c>
      <c r="X171" t="s">
        <v>13958</v>
      </c>
      <c r="Y171" t="s">
        <v>14320</v>
      </c>
      <c r="AA171" s="45"/>
    </row>
    <row r="172" spans="1:27" x14ac:dyDescent="0.2">
      <c r="A172" s="856">
        <v>400484</v>
      </c>
      <c r="B172" s="844" t="s">
        <v>14321</v>
      </c>
      <c r="C172" s="844" t="s">
        <v>14322</v>
      </c>
      <c r="D172" s="845">
        <v>44469</v>
      </c>
      <c r="E172" s="309">
        <v>5</v>
      </c>
      <c r="F172" s="309">
        <v>75</v>
      </c>
      <c r="G172" s="309">
        <v>28</v>
      </c>
      <c r="H172" s="261"/>
      <c r="I172" s="261"/>
      <c r="J172" s="261" t="s">
        <v>8289</v>
      </c>
      <c r="K172" s="846"/>
      <c r="L172" s="847" t="str">
        <f t="shared" si="8"/>
        <v/>
      </c>
      <c r="M172" s="848" t="str">
        <f t="shared" si="9"/>
        <v>United Critical Damage I</v>
      </c>
      <c r="N172" s="309">
        <v>5</v>
      </c>
      <c r="O172" s="309">
        <v>150</v>
      </c>
      <c r="P172" s="309">
        <v>90</v>
      </c>
      <c r="Q172" s="261" t="s">
        <v>543</v>
      </c>
      <c r="R172" s="261"/>
      <c r="S172" s="261" t="s">
        <v>14323</v>
      </c>
      <c r="T172" s="846">
        <v>0.22</v>
      </c>
      <c r="U172" s="847" t="str">
        <f t="shared" si="10"/>
        <v>22%</v>
      </c>
      <c r="V172" s="848" t="str">
        <f t="shared" si="11"/>
        <v>United Critical Damage +22%</v>
      </c>
      <c r="W172" s="857" t="str">
        <f>+INDEX(Endvr!$A$2:$K$3001,MATCH(B172,Endvr!$G:$G,0),MATCH("Description",Endvr!$A$2:$K$2,0))&amp;" ("&amp;INDEX(Endvr!$A$2:$K$3001,MATCH(B172,Endvr!$G:$G,0),MATCH("Event Name",Endvr!$A$2:$K$2,0))&amp;")"</f>
        <v>Clear The Might of Heaven (Faith Forsaken (Part One))</v>
      </c>
      <c r="X172" t="s">
        <v>13958</v>
      </c>
      <c r="Y172" t="s">
        <v>14320</v>
      </c>
      <c r="AA172" s="45"/>
    </row>
    <row r="173" spans="1:27" x14ac:dyDescent="0.2">
      <c r="A173" s="856">
        <v>400483</v>
      </c>
      <c r="B173" s="844" t="s">
        <v>14324</v>
      </c>
      <c r="C173" s="844" t="s">
        <v>14325</v>
      </c>
      <c r="D173" s="845">
        <v>44469</v>
      </c>
      <c r="E173" s="309">
        <v>5</v>
      </c>
      <c r="F173" s="309">
        <v>88</v>
      </c>
      <c r="G173" s="309">
        <v>32</v>
      </c>
      <c r="H173" s="261" t="s">
        <v>13847</v>
      </c>
      <c r="I173" s="261"/>
      <c r="J173" s="261" t="s">
        <v>13921</v>
      </c>
      <c r="K173" s="846">
        <v>0.2</v>
      </c>
      <c r="L173" s="847" t="str">
        <f t="shared" si="8"/>
        <v>20%</v>
      </c>
      <c r="M173" s="848" t="str">
        <f t="shared" si="9"/>
        <v>Flurry Strength +20%</v>
      </c>
      <c r="N173" s="309">
        <v>5</v>
      </c>
      <c r="O173" s="309">
        <v>150</v>
      </c>
      <c r="P173" s="309">
        <v>90</v>
      </c>
      <c r="Q173" s="261" t="s">
        <v>13847</v>
      </c>
      <c r="R173" s="261"/>
      <c r="S173" s="261" t="s">
        <v>13921</v>
      </c>
      <c r="T173" s="846">
        <v>0.2</v>
      </c>
      <c r="U173" s="847" t="str">
        <f t="shared" si="10"/>
        <v>20%</v>
      </c>
      <c r="V173" s="848" t="str">
        <f t="shared" si="11"/>
        <v>Flurry Strength +20%</v>
      </c>
      <c r="W173" s="857" t="str">
        <f>+INDEX(Endvr!$A$2:$K$3001,MATCH(B173,Endvr!$G:$G,0),MATCH("Description",Endvr!$A$2:$K$2,0))&amp;" ("&amp;INDEX(Endvr!$A$2:$K$3001,MATCH(B173,Endvr!$G:$G,0),MATCH("Event Name",Endvr!$A$2:$K$2,0))&amp;")"</f>
        <v>Clear Asura Clash: Expert (Faith Forsaken (Part One))</v>
      </c>
      <c r="X173" t="s">
        <v>13958</v>
      </c>
      <c r="Y173" t="s">
        <v>14320</v>
      </c>
      <c r="AA173" s="45"/>
    </row>
    <row r="174" spans="1:27" x14ac:dyDescent="0.2">
      <c r="A174" s="856">
        <v>400485</v>
      </c>
      <c r="B174" s="844" t="s">
        <v>14326</v>
      </c>
      <c r="C174" s="844" t="s">
        <v>14327</v>
      </c>
      <c r="D174" s="845">
        <v>44497</v>
      </c>
      <c r="E174" s="309">
        <v>5</v>
      </c>
      <c r="F174" s="309">
        <v>75</v>
      </c>
      <c r="G174" s="309">
        <v>28</v>
      </c>
      <c r="H174" s="261" t="s">
        <v>13855</v>
      </c>
      <c r="I174" s="261" t="s">
        <v>3779</v>
      </c>
      <c r="J174" s="261" t="s">
        <v>13863</v>
      </c>
      <c r="K174" s="846">
        <v>0.1</v>
      </c>
      <c r="L174" s="847" t="str">
        <f t="shared" si="8"/>
        <v>10%</v>
      </c>
      <c r="M174" s="848" t="str">
        <f t="shared" si="9"/>
        <v>(Shadow) Skill Haste +10%</v>
      </c>
      <c r="N174" s="309">
        <v>5</v>
      </c>
      <c r="O174" s="309">
        <v>150</v>
      </c>
      <c r="P174" s="309">
        <v>90</v>
      </c>
      <c r="Q174" s="261" t="s">
        <v>13906</v>
      </c>
      <c r="R174" s="261" t="s">
        <v>3779</v>
      </c>
      <c r="S174" s="261" t="s">
        <v>13863</v>
      </c>
      <c r="T174" s="846">
        <v>0.1</v>
      </c>
      <c r="U174" s="847" t="str">
        <f t="shared" si="10"/>
        <v>10%</v>
      </c>
      <c r="V174" s="848" t="str">
        <f t="shared" si="11"/>
        <v>(Shadow) Skill Haste +10%</v>
      </c>
      <c r="W174" s="857" t="str">
        <f>+INDEX(Endvr!$A$2:$K$3001,MATCH(B174,Endvr!$G:$G,0),MATCH("Description",Endvr!$A$2:$K$2,0))&amp;" ("&amp;INDEX(Endvr!$A$2:$K$3001,MATCH(B174,Endvr!$G:$G,0),MATCH("Event Name",Endvr!$A$2:$K$2,0))&amp;")"</f>
        <v>Clear a Boss Battle on Beginner (The Clockwork Heart)</v>
      </c>
      <c r="X174" t="s">
        <v>13958</v>
      </c>
      <c r="Y174" t="s">
        <v>14328</v>
      </c>
      <c r="AA174" s="45"/>
    </row>
    <row r="175" spans="1:27" x14ac:dyDescent="0.2">
      <c r="A175" s="856">
        <v>400486</v>
      </c>
      <c r="B175" s="844" t="s">
        <v>14329</v>
      </c>
      <c r="C175" s="844" t="s">
        <v>14330</v>
      </c>
      <c r="D175" s="845">
        <v>44497</v>
      </c>
      <c r="E175" s="309">
        <v>5</v>
      </c>
      <c r="F175" s="309">
        <v>88</v>
      </c>
      <c r="G175" s="309">
        <v>32</v>
      </c>
      <c r="H175" s="261" t="s">
        <v>123</v>
      </c>
      <c r="I175" s="261" t="s">
        <v>123</v>
      </c>
      <c r="J175" s="261" t="s">
        <v>13852</v>
      </c>
      <c r="K175" s="846">
        <v>0.14000000000000001</v>
      </c>
      <c r="L175" s="847" t="str">
        <f t="shared" si="8"/>
        <v>14%</v>
      </c>
      <c r="M175" s="848" t="str">
        <f t="shared" si="9"/>
        <v>(Sword) Critical Rate +14%</v>
      </c>
      <c r="N175" s="309">
        <v>5</v>
      </c>
      <c r="O175" s="309">
        <v>150</v>
      </c>
      <c r="P175" s="309">
        <v>90</v>
      </c>
      <c r="Q175" s="261" t="s">
        <v>123</v>
      </c>
      <c r="R175" s="261" t="s">
        <v>123</v>
      </c>
      <c r="S175" s="261" t="s">
        <v>13852</v>
      </c>
      <c r="T175" s="846">
        <v>0.15</v>
      </c>
      <c r="U175" s="847" t="str">
        <f t="shared" si="10"/>
        <v>15%</v>
      </c>
      <c r="V175" s="848" t="str">
        <f t="shared" si="11"/>
        <v>(Sword) Critical Rate +15%</v>
      </c>
      <c r="W175" s="857" t="str">
        <f>+INDEX(Endvr!$A$2:$K$3001,MATCH(B175,Endvr!$G:$G,0),MATCH("Description",Endvr!$A$2:$K$2,0))&amp;" ("&amp;INDEX(Endvr!$A$2:$K$3001,MATCH(B175,Endvr!$G:$G,0),MATCH("Event Name",Endvr!$A$2:$K$2,0))&amp;")"</f>
        <v>Clear Three Challenge Battles (The Clockwork Heart)</v>
      </c>
      <c r="X175" t="s">
        <v>13958</v>
      </c>
      <c r="Y175" t="s">
        <v>14328</v>
      </c>
      <c r="AA175" s="45"/>
    </row>
    <row r="176" spans="1:27" x14ac:dyDescent="0.2">
      <c r="A176" s="856">
        <v>400490</v>
      </c>
      <c r="B176" s="844" t="s">
        <v>14331</v>
      </c>
      <c r="C176" s="844" t="s">
        <v>14332</v>
      </c>
      <c r="D176" s="845">
        <v>44529</v>
      </c>
      <c r="E176" s="309">
        <v>5</v>
      </c>
      <c r="F176" s="309">
        <v>88</v>
      </c>
      <c r="G176" s="309">
        <v>32</v>
      </c>
      <c r="H176" s="261" t="s">
        <v>13862</v>
      </c>
      <c r="I176" s="261"/>
      <c r="J176" s="261" t="s">
        <v>13868</v>
      </c>
      <c r="K176" s="846">
        <v>0.25</v>
      </c>
      <c r="L176" s="847" t="str">
        <f t="shared" si="8"/>
        <v>25%</v>
      </c>
      <c r="M176" s="848" t="str">
        <f t="shared" si="9"/>
        <v>Stormlashed Punisher +25%</v>
      </c>
      <c r="N176" s="309">
        <v>5</v>
      </c>
      <c r="O176" s="309">
        <v>150</v>
      </c>
      <c r="P176" s="309">
        <v>90</v>
      </c>
      <c r="Q176" s="261" t="s">
        <v>13895</v>
      </c>
      <c r="R176" s="261"/>
      <c r="S176" s="261" t="s">
        <v>13868</v>
      </c>
      <c r="T176" s="846">
        <v>0.25</v>
      </c>
      <c r="U176" s="847" t="str">
        <f t="shared" si="10"/>
        <v>25%</v>
      </c>
      <c r="V176" s="848" t="str">
        <f t="shared" si="11"/>
        <v>Stormlashed Punisher +25%</v>
      </c>
      <c r="W176" s="857" t="str">
        <f>+INDEX(Endvr!$A$2:$K$3001,MATCH(B176,Endvr!$G:$G,0),MATCH("Description",Endvr!$A$2:$K$2,0))&amp;" ("&amp;INDEX(Endvr!$A$2:$K$3001,MATCH(B176,Endvr!$G:$G,0),MATCH("Event Name",Endvr!$A$2:$K$2,0))&amp;")"</f>
        <v>Clear The Angelic Herald: Master (One Starry Dragonyule)</v>
      </c>
      <c r="X176" t="s">
        <v>13958</v>
      </c>
      <c r="Y176" t="s">
        <v>14333</v>
      </c>
      <c r="AA176" s="98"/>
    </row>
    <row r="177" spans="1:27" x14ac:dyDescent="0.2">
      <c r="A177" s="856">
        <v>400487</v>
      </c>
      <c r="B177" s="844" t="s">
        <v>14334</v>
      </c>
      <c r="C177" s="844" t="s">
        <v>14335</v>
      </c>
      <c r="D177" s="845">
        <v>44529</v>
      </c>
      <c r="E177" s="309">
        <v>5</v>
      </c>
      <c r="F177" s="309">
        <v>75</v>
      </c>
      <c r="G177" s="309">
        <v>28</v>
      </c>
      <c r="H177" s="261" t="s">
        <v>13842</v>
      </c>
      <c r="I177" s="261" t="s">
        <v>2837</v>
      </c>
      <c r="J177" s="261" t="s">
        <v>13863</v>
      </c>
      <c r="K177" s="846">
        <v>0.1</v>
      </c>
      <c r="L177" s="847" t="str">
        <f t="shared" si="8"/>
        <v>10%</v>
      </c>
      <c r="M177" s="848" t="str">
        <f t="shared" si="9"/>
        <v>(Light) Skill Haste +10%</v>
      </c>
      <c r="N177" s="309">
        <v>5</v>
      </c>
      <c r="O177" s="309">
        <v>150</v>
      </c>
      <c r="P177" s="309">
        <v>90</v>
      </c>
      <c r="Q177" s="261" t="s">
        <v>13842</v>
      </c>
      <c r="R177" s="261" t="s">
        <v>2837</v>
      </c>
      <c r="S177" s="261" t="s">
        <v>13863</v>
      </c>
      <c r="T177" s="846">
        <v>0.1</v>
      </c>
      <c r="U177" s="847" t="str">
        <f t="shared" si="10"/>
        <v>10%</v>
      </c>
      <c r="V177" s="848" t="str">
        <f t="shared" si="11"/>
        <v>(Light) Skill Haste +10%</v>
      </c>
      <c r="W177" s="857" t="str">
        <f>+INDEX(Endvr!$A$2:$K$3001,MATCH(B177,Endvr!$G:$G,0),MATCH("Description",Endvr!$A$2:$K$2,0))&amp;" ("&amp;INDEX(Endvr!$A$2:$K$3001,MATCH(B177,Endvr!$G:$G,0),MATCH("Event Name",Endvr!$A$2:$K$2,0))&amp;")"</f>
        <v>Clear an Invasion on Standard (One Starry Dragonyule)</v>
      </c>
      <c r="X177" t="s">
        <v>13958</v>
      </c>
      <c r="Y177" t="s">
        <v>14333</v>
      </c>
      <c r="AA177" s="45"/>
    </row>
    <row r="178" spans="1:27" x14ac:dyDescent="0.2">
      <c r="A178" s="856">
        <v>400493</v>
      </c>
      <c r="B178" s="844" t="s">
        <v>14336</v>
      </c>
      <c r="C178" s="844" t="s">
        <v>14337</v>
      </c>
      <c r="D178" s="845">
        <v>44561</v>
      </c>
      <c r="E178" s="309">
        <v>5</v>
      </c>
      <c r="F178" s="309">
        <v>88</v>
      </c>
      <c r="G178" s="309">
        <v>32</v>
      </c>
      <c r="H178" s="261" t="s">
        <v>13847</v>
      </c>
      <c r="I178" s="261"/>
      <c r="J178" s="261" t="s">
        <v>14338</v>
      </c>
      <c r="K178" s="846">
        <v>0.25</v>
      </c>
      <c r="L178" s="847" t="str">
        <f t="shared" si="8"/>
        <v>25%</v>
      </c>
      <c r="M178" s="848" t="str">
        <f t="shared" si="9"/>
        <v>Frostbitten Punisher +25%</v>
      </c>
      <c r="N178" s="309">
        <v>5</v>
      </c>
      <c r="O178" s="309">
        <v>150</v>
      </c>
      <c r="P178" s="309">
        <v>90</v>
      </c>
      <c r="Q178" s="261" t="s">
        <v>13847</v>
      </c>
      <c r="R178" s="261"/>
      <c r="S178" s="261" t="s">
        <v>14338</v>
      </c>
      <c r="T178" s="846">
        <v>0.3</v>
      </c>
      <c r="U178" s="847" t="str">
        <f t="shared" si="10"/>
        <v>30%</v>
      </c>
      <c r="V178" s="848" t="str">
        <f t="shared" si="11"/>
        <v>Frostbitten Punisher +30%</v>
      </c>
      <c r="W178" s="857" t="str">
        <f>+INDEX(Endvr!$A$2:$K$3001,MATCH(B178,Endvr!$G:$G,0),MATCH("Description",Endvr!$A$2:$K$2,0))&amp;" ("&amp;INDEX(Endvr!$A$2:$K$3001,MATCH(B178,Endvr!$G:$G,0),MATCH("Event Name",Endvr!$A$2:$K$2,0))&amp;")"</f>
        <v>Clear Tsukuyomi Clash: Expert (Celestial Showdown)</v>
      </c>
      <c r="X178" t="s">
        <v>13958</v>
      </c>
      <c r="Y178" t="s">
        <v>14339</v>
      </c>
      <c r="AA178" s="45"/>
    </row>
    <row r="179" spans="1:27" x14ac:dyDescent="0.2">
      <c r="A179" s="856">
        <v>400494</v>
      </c>
      <c r="B179" s="844" t="s">
        <v>14340</v>
      </c>
      <c r="C179" s="844" t="s">
        <v>14341</v>
      </c>
      <c r="D179" s="845">
        <v>44592</v>
      </c>
      <c r="E179" s="309">
        <v>5</v>
      </c>
      <c r="F179" s="309">
        <v>75</v>
      </c>
      <c r="G179" s="309">
        <v>28</v>
      </c>
      <c r="H179" s="261" t="s">
        <v>645</v>
      </c>
      <c r="I179" s="261"/>
      <c r="J179" s="261" t="s">
        <v>14342</v>
      </c>
      <c r="K179" s="846">
        <v>0.25</v>
      </c>
      <c r="L179" s="847" t="str">
        <f t="shared" si="8"/>
        <v>25%</v>
      </c>
      <c r="M179" s="848" t="str">
        <f t="shared" si="9"/>
        <v>Debuff Skill Time +25%</v>
      </c>
      <c r="N179" s="309">
        <v>5</v>
      </c>
      <c r="O179" s="309">
        <v>150</v>
      </c>
      <c r="P179" s="309">
        <v>90</v>
      </c>
      <c r="Q179" s="261" t="s">
        <v>645</v>
      </c>
      <c r="R179" s="261"/>
      <c r="S179" s="261" t="s">
        <v>14342</v>
      </c>
      <c r="T179" s="846">
        <v>0.3</v>
      </c>
      <c r="U179" s="847" t="str">
        <f t="shared" si="10"/>
        <v>30%</v>
      </c>
      <c r="V179" s="848" t="str">
        <f t="shared" si="11"/>
        <v>Debuff Skill Time +30%</v>
      </c>
      <c r="W179" s="857" t="str">
        <f>+INDEX(Endvr!$A$2:$K$3001,MATCH(B179,Endvr!$G:$G,0),MATCH("Description",Endvr!$A$2:$K$2,0))&amp;" ("&amp;INDEX(Endvr!$A$2:$K$3001,MATCH(B179,Endvr!$G:$G,0),MATCH("Event Name",Endvr!$A$2:$K$2,0))&amp;")"</f>
        <v>Clear A Twisted Hero: Master (The Blood That Binds)</v>
      </c>
      <c r="X179" t="s">
        <v>13958</v>
      </c>
      <c r="Y179" t="s">
        <v>14343</v>
      </c>
      <c r="AA179" s="45"/>
    </row>
    <row r="180" spans="1:27" x14ac:dyDescent="0.2">
      <c r="A180" s="856">
        <v>400496</v>
      </c>
      <c r="B180" s="844" t="s">
        <v>14344</v>
      </c>
      <c r="C180" s="844" t="s">
        <v>14345</v>
      </c>
      <c r="D180" s="845">
        <v>44592</v>
      </c>
      <c r="E180" s="309">
        <v>5</v>
      </c>
      <c r="F180" s="309">
        <v>88</v>
      </c>
      <c r="G180" s="309">
        <v>32</v>
      </c>
      <c r="H180" s="261" t="s">
        <v>123</v>
      </c>
      <c r="I180" s="261"/>
      <c r="J180" s="261" t="s">
        <v>14346</v>
      </c>
      <c r="K180" s="846">
        <v>0.15</v>
      </c>
      <c r="L180" s="847" t="str">
        <f t="shared" si="8"/>
        <v>15%</v>
      </c>
      <c r="M180" s="848" t="str">
        <f t="shared" si="9"/>
        <v>Overdrive Punisher +15%</v>
      </c>
      <c r="N180" s="309">
        <v>5</v>
      </c>
      <c r="O180" s="309">
        <v>150</v>
      </c>
      <c r="P180" s="309">
        <v>90</v>
      </c>
      <c r="Q180" s="261" t="s">
        <v>123</v>
      </c>
      <c r="R180" s="261"/>
      <c r="S180" s="261" t="s">
        <v>14346</v>
      </c>
      <c r="T180" s="846">
        <v>0.15</v>
      </c>
      <c r="U180" s="847" t="str">
        <f t="shared" si="10"/>
        <v>15%</v>
      </c>
      <c r="V180" s="848" t="str">
        <f t="shared" si="11"/>
        <v>Overdrive Punisher +15%</v>
      </c>
      <c r="W180" s="857" t="str">
        <f>+INDEX(Endvr!$A$2:$K$3001,MATCH(B180,Endvr!$G:$G,0),MATCH("Description",Endvr!$A$2:$K$2,0))&amp;" ("&amp;INDEX(Endvr!$A$2:$K$3001,MATCH(B180,Endvr!$G:$G,0),MATCH("Event Name",Endvr!$A$2:$K$2,0))&amp;")"</f>
        <v>Clear an Invasion on Standard (The Blood That Binds)</v>
      </c>
      <c r="X180" t="s">
        <v>13958</v>
      </c>
      <c r="Y180" t="s">
        <v>14343</v>
      </c>
      <c r="AA180" s="45"/>
    </row>
    <row r="181" spans="1:27" x14ac:dyDescent="0.2">
      <c r="A181" s="856">
        <v>400497</v>
      </c>
      <c r="B181" s="844" t="s">
        <v>14347</v>
      </c>
      <c r="C181" s="844" t="s">
        <v>14348</v>
      </c>
      <c r="D181" s="845">
        <v>44620</v>
      </c>
      <c r="E181" s="309">
        <v>5</v>
      </c>
      <c r="F181" s="309">
        <v>75</v>
      </c>
      <c r="G181" s="309">
        <v>28</v>
      </c>
      <c r="H181" s="261" t="s">
        <v>759</v>
      </c>
      <c r="I181" s="261" t="s">
        <v>949</v>
      </c>
      <c r="J181" s="261" t="s">
        <v>13882</v>
      </c>
      <c r="K181" s="846">
        <v>0.2</v>
      </c>
      <c r="L181" s="847" t="str">
        <f t="shared" si="8"/>
        <v>20%</v>
      </c>
      <c r="M181" s="848" t="str">
        <f t="shared" si="9"/>
        <v>(Staff) Recovery Potency +20%</v>
      </c>
      <c r="N181" s="309">
        <v>5</v>
      </c>
      <c r="O181" s="309">
        <v>150</v>
      </c>
      <c r="P181" s="309">
        <v>90</v>
      </c>
      <c r="Q181" s="261" t="s">
        <v>759</v>
      </c>
      <c r="R181" s="261" t="s">
        <v>949</v>
      </c>
      <c r="S181" s="261" t="s">
        <v>13882</v>
      </c>
      <c r="T181" s="846">
        <v>0.2</v>
      </c>
      <c r="U181" s="847" t="str">
        <f t="shared" si="10"/>
        <v>20%</v>
      </c>
      <c r="V181" s="848" t="str">
        <f t="shared" si="11"/>
        <v>(Staff) Recovery Potency +20%</v>
      </c>
      <c r="W181" s="857" t="str">
        <f>+INDEX(Endvr!$A$2:$K$3001,MATCH(B181,Endvr!$G:$G,0),MATCH("Description",Endvr!$A$2:$K$2,0))&amp;" ("&amp;INDEX(Endvr!$A$2:$K$3001,MATCH(B181,Endvr!$G:$G,0),MATCH("Event Name",Endvr!$A$2:$K$2,0))&amp;")"</f>
        <v>Clear Emile's Trial: Master (Operation: At Your Service)</v>
      </c>
      <c r="X181" t="s">
        <v>13958</v>
      </c>
      <c r="Y181" t="s">
        <v>14349</v>
      </c>
      <c r="AA181" s="98"/>
    </row>
    <row r="182" spans="1:27" x14ac:dyDescent="0.2">
      <c r="A182" s="856">
        <v>400500</v>
      </c>
      <c r="B182" s="844" t="s">
        <v>14350</v>
      </c>
      <c r="C182" s="844" t="s">
        <v>14351</v>
      </c>
      <c r="D182" s="845">
        <v>44620</v>
      </c>
      <c r="E182" s="309">
        <v>5</v>
      </c>
      <c r="F182" s="309">
        <v>88</v>
      </c>
      <c r="G182" s="309">
        <v>32</v>
      </c>
      <c r="H182" s="261" t="s">
        <v>759</v>
      </c>
      <c r="I182" s="261"/>
      <c r="J182" s="261" t="s">
        <v>7129</v>
      </c>
      <c r="K182" s="846"/>
      <c r="L182" s="847" t="str">
        <f t="shared" si="8"/>
        <v/>
      </c>
      <c r="M182" s="848" t="str">
        <f t="shared" si="9"/>
        <v>Combo Time +2</v>
      </c>
      <c r="N182" s="309">
        <v>5</v>
      </c>
      <c r="O182" s="309">
        <v>150</v>
      </c>
      <c r="P182" s="309">
        <v>90</v>
      </c>
      <c r="Q182" s="261" t="s">
        <v>759</v>
      </c>
      <c r="R182" s="261"/>
      <c r="S182" s="261" t="s">
        <v>7129</v>
      </c>
      <c r="T182" s="846"/>
      <c r="U182" s="847" t="str">
        <f t="shared" si="10"/>
        <v/>
      </c>
      <c r="V182" s="848" t="str">
        <f t="shared" si="11"/>
        <v>Combo Time +2</v>
      </c>
      <c r="W182" s="857" t="str">
        <f>+INDEX(Endvr!$A$2:$K$3001,MATCH(B182,Endvr!$G:$G,0),MATCH("Description",Endvr!$A$2:$K$2,0))&amp;" ("&amp;INDEX(Endvr!$A$2:$K$3001,MATCH(B182,Endvr!$G:$G,0),MATCH("Event Name",Endvr!$A$2:$K$2,0))&amp;")"</f>
        <v>Clear an Invasion on Standard (Operation: At Your Service)</v>
      </c>
      <c r="X182" t="s">
        <v>13958</v>
      </c>
      <c r="Y182" t="s">
        <v>14349</v>
      </c>
      <c r="AA182" s="45"/>
    </row>
    <row r="183" spans="1:27" x14ac:dyDescent="0.2">
      <c r="A183" s="856">
        <v>400502</v>
      </c>
      <c r="B183" s="844" t="s">
        <v>14352</v>
      </c>
      <c r="C183" s="844" t="s">
        <v>14353</v>
      </c>
      <c r="D183" s="845">
        <v>44647</v>
      </c>
      <c r="E183" s="309">
        <v>5</v>
      </c>
      <c r="F183" s="309">
        <v>88</v>
      </c>
      <c r="G183" s="309">
        <v>32</v>
      </c>
      <c r="H183" s="261"/>
      <c r="I183" s="261"/>
      <c r="J183" s="261" t="s">
        <v>14354</v>
      </c>
      <c r="K183" s="846">
        <v>0.1</v>
      </c>
      <c r="L183" s="847" t="str">
        <f t="shared" si="8"/>
        <v>10%</v>
      </c>
      <c r="M183" s="848" t="str">
        <f t="shared" si="9"/>
        <v>Elemental Res +10%</v>
      </c>
      <c r="N183" s="309">
        <v>5</v>
      </c>
      <c r="O183" s="309">
        <v>150</v>
      </c>
      <c r="P183" s="309">
        <v>90</v>
      </c>
      <c r="Q183" s="261" t="s">
        <v>645</v>
      </c>
      <c r="R183" s="261"/>
      <c r="S183" s="261" t="s">
        <v>14354</v>
      </c>
      <c r="T183" s="846">
        <v>0.1</v>
      </c>
      <c r="U183" s="847" t="str">
        <f t="shared" si="10"/>
        <v>10%</v>
      </c>
      <c r="V183" s="848" t="str">
        <f t="shared" si="11"/>
        <v>Elemental Res +10%</v>
      </c>
      <c r="W183" s="857" t="str">
        <f>+INDEX(Endvr!$A$2:$K$3001,MATCH(B183,Endvr!$G:$G,0),MATCH("Description",Endvr!$A$2:$K$2,0))&amp;" ("&amp;INDEX(Endvr!$A$2:$K$3001,MATCH(B183,Endvr!$G:$G,0),MATCH("Event Name",Endvr!$A$2:$K$2,0))&amp;")"</f>
        <v>Clear True Bahamut Clash: Expert (Advent of the Origin)</v>
      </c>
      <c r="X183" t="s">
        <v>13958</v>
      </c>
      <c r="Y183" t="s">
        <v>14355</v>
      </c>
      <c r="AA183" s="45"/>
    </row>
    <row r="184" spans="1:27" x14ac:dyDescent="0.2">
      <c r="A184" s="856">
        <v>400501</v>
      </c>
      <c r="B184" s="844" t="s">
        <v>14356</v>
      </c>
      <c r="C184" s="844" t="s">
        <v>14357</v>
      </c>
      <c r="D184" s="845">
        <v>44649</v>
      </c>
      <c r="E184" s="309">
        <v>5</v>
      </c>
      <c r="F184" s="309">
        <v>75</v>
      </c>
      <c r="G184" s="309">
        <v>28</v>
      </c>
      <c r="H184" s="261" t="s">
        <v>13936</v>
      </c>
      <c r="I184" s="261" t="s">
        <v>1947</v>
      </c>
      <c r="J184" s="261" t="s">
        <v>14228</v>
      </c>
      <c r="K184" s="846">
        <v>0.15</v>
      </c>
      <c r="L184" s="847" t="str">
        <f t="shared" si="8"/>
        <v>15%</v>
      </c>
      <c r="M184" s="848" t="str">
        <f t="shared" si="9"/>
        <v>(Wind) Dragon Haste +15%</v>
      </c>
      <c r="N184" s="309">
        <v>5</v>
      </c>
      <c r="O184" s="309">
        <v>150</v>
      </c>
      <c r="P184" s="309">
        <v>90</v>
      </c>
      <c r="Q184" s="261" t="s">
        <v>13936</v>
      </c>
      <c r="R184" s="261" t="s">
        <v>1947</v>
      </c>
      <c r="S184" s="261" t="s">
        <v>14228</v>
      </c>
      <c r="T184" s="846">
        <v>0.15</v>
      </c>
      <c r="U184" s="847" t="str">
        <f t="shared" si="10"/>
        <v>15%</v>
      </c>
      <c r="V184" s="848" t="str">
        <f t="shared" si="11"/>
        <v>(Wind) Dragon Haste +15%</v>
      </c>
      <c r="W184" s="857" t="str">
        <f>+INDEX(Endvr!$A$2:$K$3001,MATCH(B184,Endvr!$G:$G,0),MATCH("Description",Endvr!$A$2:$K$2,0))&amp;" ("&amp;INDEX(Endvr!$A$2:$K$3001,MATCH(B184,Endvr!$G:$G,0),MATCH("Event Name",Endvr!$A$2:$K$2,0))&amp;")"</f>
        <v>Read the Epilogue (Advent of the Origin)</v>
      </c>
      <c r="X184" t="s">
        <v>13958</v>
      </c>
      <c r="Y184" t="s">
        <v>14355</v>
      </c>
      <c r="AA184" s="98"/>
    </row>
    <row r="185" spans="1:27" x14ac:dyDescent="0.2">
      <c r="A185" s="856">
        <v>400122</v>
      </c>
      <c r="B185" s="844" t="s">
        <v>14358</v>
      </c>
      <c r="C185" s="844" t="s">
        <v>14359</v>
      </c>
      <c r="D185" s="845">
        <v>44649</v>
      </c>
      <c r="E185" s="309">
        <v>5</v>
      </c>
      <c r="F185" s="309">
        <v>75</v>
      </c>
      <c r="G185" s="309">
        <v>28</v>
      </c>
      <c r="H185" s="261" t="s">
        <v>13936</v>
      </c>
      <c r="I185" s="261" t="s">
        <v>122</v>
      </c>
      <c r="J185" s="261" t="s">
        <v>14228</v>
      </c>
      <c r="K185" s="846">
        <v>0.15</v>
      </c>
      <c r="L185" s="847" t="str">
        <f t="shared" si="8"/>
        <v>15%</v>
      </c>
      <c r="M185" s="848" t="str">
        <f t="shared" si="9"/>
        <v>(Flame) Dragon Haste +15%</v>
      </c>
      <c r="N185" s="309">
        <v>5</v>
      </c>
      <c r="O185" s="309">
        <v>150</v>
      </c>
      <c r="P185" s="309">
        <v>90</v>
      </c>
      <c r="Q185" s="261" t="s">
        <v>13936</v>
      </c>
      <c r="R185" s="261" t="s">
        <v>122</v>
      </c>
      <c r="S185" s="261" t="s">
        <v>14228</v>
      </c>
      <c r="T185" s="846">
        <v>0.15</v>
      </c>
      <c r="U185" s="847" t="str">
        <f t="shared" si="10"/>
        <v>15%</v>
      </c>
      <c r="V185" s="848" t="str">
        <f t="shared" si="11"/>
        <v>(Flame) Dragon Haste +15%</v>
      </c>
      <c r="W185" s="857" t="str">
        <f>+INDEX(Endvr!$A$2:$K$3001,MATCH(B185,Endvr!$G:$G,0),MATCH("Description",Endvr!$A$2:$K$2,0))&amp;" ("&amp;INDEX(Endvr!$A$2:$K$3001,MATCH(B185,Endvr!$G:$G,0),MATCH("Event Name",Endvr!$A$2:$K$2,0))&amp;")"</f>
        <v>Read the Epilogue (Advent of the Origin)</v>
      </c>
      <c r="X185" t="s">
        <v>13958</v>
      </c>
      <c r="Y185" t="s">
        <v>14355</v>
      </c>
      <c r="AA185" s="45"/>
    </row>
    <row r="186" spans="1:27" x14ac:dyDescent="0.2">
      <c r="A186" s="856">
        <v>400134</v>
      </c>
      <c r="B186" s="844" t="s">
        <v>14360</v>
      </c>
      <c r="C186" s="844" t="s">
        <v>14361</v>
      </c>
      <c r="D186" s="845">
        <v>44649</v>
      </c>
      <c r="E186" s="309">
        <v>5</v>
      </c>
      <c r="F186" s="309">
        <v>75</v>
      </c>
      <c r="G186" s="309">
        <v>28</v>
      </c>
      <c r="H186" s="261" t="s">
        <v>13936</v>
      </c>
      <c r="I186" s="261" t="s">
        <v>1103</v>
      </c>
      <c r="J186" s="261" t="s">
        <v>14228</v>
      </c>
      <c r="K186" s="846">
        <v>0.15</v>
      </c>
      <c r="L186" s="847" t="str">
        <f t="shared" si="8"/>
        <v>15%</v>
      </c>
      <c r="M186" s="848" t="str">
        <f t="shared" si="9"/>
        <v>(Water) Dragon Haste +15%</v>
      </c>
      <c r="N186" s="309">
        <v>5</v>
      </c>
      <c r="O186" s="309">
        <v>150</v>
      </c>
      <c r="P186" s="309">
        <v>90</v>
      </c>
      <c r="Q186" s="261" t="s">
        <v>13936</v>
      </c>
      <c r="R186" s="261" t="s">
        <v>1103</v>
      </c>
      <c r="S186" s="261" t="s">
        <v>14228</v>
      </c>
      <c r="T186" s="846">
        <v>0.15</v>
      </c>
      <c r="U186" s="847" t="str">
        <f t="shared" si="10"/>
        <v>15%</v>
      </c>
      <c r="V186" s="848" t="str">
        <f t="shared" si="11"/>
        <v>(Water) Dragon Haste +15%</v>
      </c>
      <c r="W186" s="857" t="str">
        <f>+INDEX(Endvr!$A$2:$K$3001,MATCH(B186,Endvr!$G:$G,0),MATCH("Description",Endvr!$A$2:$K$2,0))&amp;" ("&amp;INDEX(Endvr!$A$2:$K$3001,MATCH(B186,Endvr!$G:$G,0),MATCH("Event Name",Endvr!$A$2:$K$2,0))&amp;")"</f>
        <v>Read the Epilogue (Advent of the Origin)</v>
      </c>
      <c r="X186" t="s">
        <v>13958</v>
      </c>
      <c r="Y186" t="s">
        <v>14355</v>
      </c>
      <c r="AA186" s="45"/>
    </row>
    <row r="187" spans="1:27" x14ac:dyDescent="0.2">
      <c r="A187" s="856">
        <v>400159</v>
      </c>
      <c r="B187" s="844" t="s">
        <v>14362</v>
      </c>
      <c r="C187" s="844" t="s">
        <v>14363</v>
      </c>
      <c r="D187" s="845">
        <v>44649</v>
      </c>
      <c r="E187" s="309">
        <v>5</v>
      </c>
      <c r="F187" s="309">
        <v>75</v>
      </c>
      <c r="G187" s="309">
        <v>28</v>
      </c>
      <c r="H187" s="261" t="s">
        <v>13936</v>
      </c>
      <c r="I187" s="261" t="s">
        <v>2837</v>
      </c>
      <c r="J187" s="261" t="s">
        <v>14228</v>
      </c>
      <c r="K187" s="846">
        <v>0.15</v>
      </c>
      <c r="L187" s="847" t="str">
        <f t="shared" si="8"/>
        <v>15%</v>
      </c>
      <c r="M187" s="848" t="str">
        <f t="shared" si="9"/>
        <v>(Light) Dragon Haste +15%</v>
      </c>
      <c r="N187" s="309">
        <v>5</v>
      </c>
      <c r="O187" s="309">
        <v>150</v>
      </c>
      <c r="P187" s="309">
        <v>90</v>
      </c>
      <c r="Q187" s="261" t="s">
        <v>13936</v>
      </c>
      <c r="R187" s="261" t="s">
        <v>2837</v>
      </c>
      <c r="S187" s="261" t="s">
        <v>14228</v>
      </c>
      <c r="T187" s="846">
        <v>0.15</v>
      </c>
      <c r="U187" s="847" t="str">
        <f t="shared" si="10"/>
        <v>15%</v>
      </c>
      <c r="V187" s="848" t="str">
        <f t="shared" si="11"/>
        <v>(Light) Dragon Haste +15%</v>
      </c>
      <c r="W187" s="857" t="str">
        <f>+INDEX(Endvr!$A$2:$K$3001,MATCH(B187,Endvr!$G:$G,0),MATCH("Description",Endvr!$A$2:$K$2,0))&amp;" ("&amp;INDEX(Endvr!$A$2:$K$3001,MATCH(B187,Endvr!$G:$G,0),MATCH("Event Name",Endvr!$A$2:$K$2,0))&amp;")"</f>
        <v>Read the Epilogue (Advent of the Origin)</v>
      </c>
      <c r="X187" t="s">
        <v>13958</v>
      </c>
      <c r="Y187" t="s">
        <v>14355</v>
      </c>
      <c r="AA187" s="45"/>
    </row>
    <row r="188" spans="1:27" x14ac:dyDescent="0.2">
      <c r="A188" s="856">
        <v>400383</v>
      </c>
      <c r="B188" s="844" t="s">
        <v>14364</v>
      </c>
      <c r="C188" s="844" t="s">
        <v>14365</v>
      </c>
      <c r="D188" s="845">
        <v>44649</v>
      </c>
      <c r="E188" s="309">
        <v>5</v>
      </c>
      <c r="F188" s="309">
        <v>75</v>
      </c>
      <c r="G188" s="309">
        <v>28</v>
      </c>
      <c r="H188" s="261" t="s">
        <v>13936</v>
      </c>
      <c r="I188" s="261" t="s">
        <v>3779</v>
      </c>
      <c r="J188" s="261" t="s">
        <v>14228</v>
      </c>
      <c r="K188" s="846">
        <v>0.15</v>
      </c>
      <c r="L188" s="847" t="str">
        <f t="shared" si="8"/>
        <v>15%</v>
      </c>
      <c r="M188" s="848" t="str">
        <f t="shared" si="9"/>
        <v>(Shadow) Dragon Haste +15%</v>
      </c>
      <c r="N188" s="309">
        <v>5</v>
      </c>
      <c r="O188" s="309">
        <v>150</v>
      </c>
      <c r="P188" s="309">
        <v>90</v>
      </c>
      <c r="Q188" s="261" t="s">
        <v>13936</v>
      </c>
      <c r="R188" s="261" t="s">
        <v>3779</v>
      </c>
      <c r="S188" s="261" t="s">
        <v>14228</v>
      </c>
      <c r="T188" s="846">
        <v>0.15</v>
      </c>
      <c r="U188" s="847" t="str">
        <f t="shared" si="10"/>
        <v>15%</v>
      </c>
      <c r="V188" s="848" t="str">
        <f t="shared" si="11"/>
        <v>(Shadow) Dragon Haste +15%</v>
      </c>
      <c r="W188" s="857" t="str">
        <f>+INDEX(Endvr!$A$2:$K$3001,MATCH(B188,Endvr!$G:$G,0),MATCH("Description",Endvr!$A$2:$K$2,0))&amp;" ("&amp;INDEX(Endvr!$A$2:$K$3001,MATCH(B188,Endvr!$G:$G,0),MATCH("Event Name",Endvr!$A$2:$K$2,0))&amp;")"</f>
        <v>Clear a Boss Battle on Expert (Advent of the Origin)</v>
      </c>
      <c r="X188" t="s">
        <v>13958</v>
      </c>
      <c r="Y188" t="s">
        <v>14355</v>
      </c>
      <c r="AA188" s="45"/>
    </row>
    <row r="189" spans="1:27" x14ac:dyDescent="0.2">
      <c r="A189" s="856">
        <v>400033</v>
      </c>
      <c r="B189" s="844" t="s">
        <v>14366</v>
      </c>
      <c r="C189" s="844" t="s">
        <v>14367</v>
      </c>
      <c r="D189" s="845">
        <v>43370</v>
      </c>
      <c r="E189" s="309">
        <v>4</v>
      </c>
      <c r="F189" s="309">
        <v>70</v>
      </c>
      <c r="G189" s="309">
        <v>26</v>
      </c>
      <c r="H189" s="261" t="s">
        <v>123</v>
      </c>
      <c r="I189" s="261"/>
      <c r="J189" s="261" t="s">
        <v>14368</v>
      </c>
      <c r="K189" s="846">
        <v>0.08</v>
      </c>
      <c r="L189" s="847" t="str">
        <f t="shared" si="8"/>
        <v>8%</v>
      </c>
      <c r="M189" s="848" t="str">
        <f t="shared" si="9"/>
        <v>Full HP = Critical Rate +8%</v>
      </c>
      <c r="N189" s="309">
        <v>4</v>
      </c>
      <c r="O189" s="309">
        <v>130</v>
      </c>
      <c r="P189" s="309">
        <v>80</v>
      </c>
      <c r="Q189" s="261" t="s">
        <v>123</v>
      </c>
      <c r="R189" s="261"/>
      <c r="S189" s="261" t="s">
        <v>13852</v>
      </c>
      <c r="T189" s="846">
        <v>0.08</v>
      </c>
      <c r="U189" s="847" t="str">
        <f t="shared" si="10"/>
        <v>8%</v>
      </c>
      <c r="V189" s="848" t="str">
        <f t="shared" si="11"/>
        <v>Critical Rate +8%</v>
      </c>
      <c r="W189" s="857" t="str">
        <f>+INDEX(Endvr!$A$2:$K$3001,MATCH(B189,Endvr!$G:$G,0),MATCH("Description",Endvr!$A$2:$K$2,0))&amp;" ("&amp;INDEX(Endvr!$A$2:$K$3001,MATCH(B189,Endvr!$G:$G,0),MATCH("Event Name",Endvr!$A$2:$K$2,0))&amp;")"</f>
        <v>Obtain From Ch. 02 EX 2 Chest (Normal) (Non-Endeavor)</v>
      </c>
      <c r="X189" t="s">
        <v>13843</v>
      </c>
      <c r="Y189" t="s">
        <v>13918</v>
      </c>
      <c r="Z189" t="s">
        <v>13919</v>
      </c>
      <c r="AA189" s="45"/>
    </row>
    <row r="190" spans="1:27" x14ac:dyDescent="0.2">
      <c r="A190" s="856">
        <v>400034</v>
      </c>
      <c r="B190" s="844" t="s">
        <v>14369</v>
      </c>
      <c r="C190" s="844" t="s">
        <v>14370</v>
      </c>
      <c r="D190" s="845">
        <v>43370</v>
      </c>
      <c r="E190" s="309">
        <v>4</v>
      </c>
      <c r="F190" s="309">
        <v>73</v>
      </c>
      <c r="G190" s="309">
        <v>24</v>
      </c>
      <c r="H190" s="261" t="s">
        <v>13906</v>
      </c>
      <c r="I190" s="261"/>
      <c r="J190" s="261" t="s">
        <v>13882</v>
      </c>
      <c r="K190" s="846">
        <v>0.1</v>
      </c>
      <c r="L190" s="847" t="str">
        <f t="shared" si="8"/>
        <v>10%</v>
      </c>
      <c r="M190" s="848" t="str">
        <f t="shared" si="9"/>
        <v>Recovery Potency +10%</v>
      </c>
      <c r="N190" s="309">
        <v>4</v>
      </c>
      <c r="O190" s="309">
        <v>130</v>
      </c>
      <c r="P190" s="309">
        <v>80</v>
      </c>
      <c r="Q190" s="261" t="s">
        <v>13906</v>
      </c>
      <c r="R190" s="261"/>
      <c r="S190" s="261" t="s">
        <v>13882</v>
      </c>
      <c r="T190" s="846">
        <v>0.12</v>
      </c>
      <c r="U190" s="847" t="str">
        <f t="shared" si="10"/>
        <v>12%</v>
      </c>
      <c r="V190" s="848" t="str">
        <f t="shared" si="11"/>
        <v>Recovery Potency +12%</v>
      </c>
      <c r="W190" s="857" t="str">
        <f>+INDEX(Endvr!$A$2:$K$3001,MATCH(B190,Endvr!$G:$G,0),MATCH("Description",Endvr!$A$2:$K$2,0))</f>
        <v>Clear Zodiark's Trial: Beginner</v>
      </c>
      <c r="X190" t="s">
        <v>13843</v>
      </c>
      <c r="Y190" t="s">
        <v>13994</v>
      </c>
      <c r="Z190" t="s">
        <v>3779</v>
      </c>
      <c r="AA190" s="45"/>
    </row>
    <row r="191" spans="1:27" x14ac:dyDescent="0.2">
      <c r="A191" s="856">
        <v>400035</v>
      </c>
      <c r="B191" s="844" t="s">
        <v>14371</v>
      </c>
      <c r="C191" s="844" t="s">
        <v>14372</v>
      </c>
      <c r="D191" s="845">
        <v>43370</v>
      </c>
      <c r="E191" s="309">
        <v>4</v>
      </c>
      <c r="F191" s="309">
        <v>71</v>
      </c>
      <c r="G191" s="309">
        <v>25</v>
      </c>
      <c r="H191" s="261" t="s">
        <v>543</v>
      </c>
      <c r="I191" s="261"/>
      <c r="J191" s="261" t="s">
        <v>13929</v>
      </c>
      <c r="K191" s="846">
        <v>0.25</v>
      </c>
      <c r="L191" s="847" t="str">
        <f t="shared" si="8"/>
        <v>25%</v>
      </c>
      <c r="M191" s="848" t="str">
        <f t="shared" si="9"/>
        <v>Broken Punisher +25%</v>
      </c>
      <c r="N191" s="309">
        <v>4</v>
      </c>
      <c r="O191" s="309">
        <v>130</v>
      </c>
      <c r="P191" s="309">
        <v>80</v>
      </c>
      <c r="Q191" s="261" t="s">
        <v>543</v>
      </c>
      <c r="R191" s="261"/>
      <c r="S191" s="261" t="s">
        <v>13929</v>
      </c>
      <c r="T191" s="846">
        <v>0.25</v>
      </c>
      <c r="U191" s="847" t="str">
        <f t="shared" si="10"/>
        <v>25%</v>
      </c>
      <c r="V191" s="848" t="str">
        <f t="shared" si="11"/>
        <v>Broken Punisher +25%</v>
      </c>
      <c r="W191" s="857" t="str">
        <f>+INDEX(Endvr!$A$2:$K$3001,MATCH(B191,Endvr!$G:$G,0),MATCH("Description",Endvr!$A$2:$K$2,0))</f>
        <v>Clear Avenue to Fortune: Master</v>
      </c>
      <c r="X191" t="s">
        <v>13843</v>
      </c>
      <c r="Y191" t="s">
        <v>13943</v>
      </c>
      <c r="AA191" s="45"/>
    </row>
    <row r="192" spans="1:27" x14ac:dyDescent="0.2">
      <c r="A192" s="856">
        <v>400036</v>
      </c>
      <c r="B192" s="844" t="s">
        <v>14373</v>
      </c>
      <c r="C192" s="844" t="s">
        <v>14374</v>
      </c>
      <c r="D192" s="845">
        <v>43370</v>
      </c>
      <c r="E192" s="309">
        <v>4</v>
      </c>
      <c r="F192" s="309">
        <v>78</v>
      </c>
      <c r="G192" s="309">
        <v>19</v>
      </c>
      <c r="H192" s="261"/>
      <c r="I192" s="261"/>
      <c r="J192" s="261" t="s">
        <v>14081</v>
      </c>
      <c r="K192" s="846">
        <v>0.5</v>
      </c>
      <c r="L192" s="847" t="str">
        <f t="shared" si="8"/>
        <v>50%</v>
      </c>
      <c r="M192" s="848" t="str">
        <f t="shared" si="9"/>
        <v>Bog Res +50%</v>
      </c>
      <c r="N192" s="309">
        <v>4</v>
      </c>
      <c r="O192" s="309">
        <v>130</v>
      </c>
      <c r="P192" s="309">
        <v>80</v>
      </c>
      <c r="Q192" s="261" t="s">
        <v>13936</v>
      </c>
      <c r="R192" s="261"/>
      <c r="S192" s="261" t="s">
        <v>14228</v>
      </c>
      <c r="T192" s="846">
        <v>0.06</v>
      </c>
      <c r="U192" s="847" t="str">
        <f t="shared" si="10"/>
        <v>6%</v>
      </c>
      <c r="V192" s="848" t="str">
        <f t="shared" si="11"/>
        <v>Dragon Haste +6%</v>
      </c>
      <c r="W192" s="857" t="str">
        <f>+INDEX(Endvr!$A$2:$K$3001,MATCH(B192,Endvr!$G:$G,0),MATCH("Description",Endvr!$A$2:$K$2,0))&amp;" ("&amp;INDEX(Endvr!$A$2:$K$3001,MATCH(B192,Endvr!$G:$G,0),MATCH("Event Name",Endvr!$A$2:$K$2,0))&amp;")"</f>
        <v>Obtain From Ch. 08 EX 1 Chest (Hard) (Non-Endeavor)</v>
      </c>
      <c r="X192" t="s">
        <v>13843</v>
      </c>
      <c r="Y192" t="s">
        <v>13918</v>
      </c>
      <c r="Z192" t="s">
        <v>14082</v>
      </c>
      <c r="AA192" s="45"/>
    </row>
    <row r="193" spans="1:27" x14ac:dyDescent="0.2">
      <c r="A193" s="856">
        <v>400037</v>
      </c>
      <c r="B193" s="844" t="s">
        <v>14375</v>
      </c>
      <c r="C193" s="844" t="s">
        <v>14376</v>
      </c>
      <c r="D193" s="845">
        <v>43370</v>
      </c>
      <c r="E193" s="309">
        <v>4</v>
      </c>
      <c r="F193" s="309">
        <v>78</v>
      </c>
      <c r="G193" s="309">
        <v>19</v>
      </c>
      <c r="H193" s="261"/>
      <c r="I193" s="261"/>
      <c r="J193" s="261" t="s">
        <v>14377</v>
      </c>
      <c r="K193" s="846">
        <v>0.5</v>
      </c>
      <c r="L193" s="847" t="str">
        <f t="shared" si="8"/>
        <v>50%</v>
      </c>
      <c r="M193" s="848" t="str">
        <f t="shared" si="9"/>
        <v>Burn Res +50%</v>
      </c>
      <c r="N193" s="309">
        <v>4</v>
      </c>
      <c r="O193" s="309">
        <v>130</v>
      </c>
      <c r="P193" s="309">
        <v>80</v>
      </c>
      <c r="Q193" s="261" t="s">
        <v>13847</v>
      </c>
      <c r="R193" s="261"/>
      <c r="S193" s="261" t="s">
        <v>14377</v>
      </c>
      <c r="T193" s="846">
        <v>1</v>
      </c>
      <c r="U193" s="847" t="str">
        <f t="shared" si="10"/>
        <v>100%</v>
      </c>
      <c r="V193" s="848" t="str">
        <f t="shared" si="11"/>
        <v>Burn Res +100%</v>
      </c>
      <c r="W193" s="857" t="str">
        <f>+INDEX(Endvr!$A$2:$K$3001,MATCH(B193,Endvr!$G:$G,0),MATCH("Description",Endvr!$A$2:$K$2,0))&amp;" ("&amp;INDEX(Endvr!$A$2:$K$3001,MATCH(B193,Endvr!$G:$G,0),MATCH("Event Name",Endvr!$A$2:$K$2,0))&amp;")"</f>
        <v>Clear Waterscour Ruins: Standard (Elemental Ruins)</v>
      </c>
      <c r="X193" t="s">
        <v>13843</v>
      </c>
      <c r="Y193" t="s">
        <v>14035</v>
      </c>
      <c r="Z193" t="s">
        <v>1103</v>
      </c>
      <c r="AA193" s="45"/>
    </row>
    <row r="194" spans="1:27" x14ac:dyDescent="0.2">
      <c r="A194" s="856">
        <v>400038</v>
      </c>
      <c r="B194" s="844" t="s">
        <v>14378</v>
      </c>
      <c r="C194" s="844" t="s">
        <v>14379</v>
      </c>
      <c r="D194" s="845">
        <v>43370</v>
      </c>
      <c r="E194" s="309">
        <v>4</v>
      </c>
      <c r="F194" s="309">
        <v>78</v>
      </c>
      <c r="G194" s="309">
        <v>19</v>
      </c>
      <c r="H194" s="261"/>
      <c r="I194" s="261"/>
      <c r="J194" s="261" t="s">
        <v>14380</v>
      </c>
      <c r="K194" s="846">
        <v>0.5</v>
      </c>
      <c r="L194" s="847" t="str">
        <f t="shared" si="8"/>
        <v>50%</v>
      </c>
      <c r="M194" s="848" t="str">
        <f t="shared" si="9"/>
        <v>Stun Res +50%</v>
      </c>
      <c r="N194" s="309">
        <v>4</v>
      </c>
      <c r="O194" s="309">
        <v>130</v>
      </c>
      <c r="P194" s="309">
        <v>80</v>
      </c>
      <c r="Q194" s="261" t="s">
        <v>13892</v>
      </c>
      <c r="R194" s="261"/>
      <c r="S194" s="261" t="s">
        <v>14380</v>
      </c>
      <c r="T194" s="846">
        <v>1</v>
      </c>
      <c r="U194" s="847" t="str">
        <f t="shared" si="10"/>
        <v>100%</v>
      </c>
      <c r="V194" s="848" t="str">
        <f t="shared" si="11"/>
        <v>Stun Res +100%</v>
      </c>
      <c r="W194" s="857" t="str">
        <f>+INDEX(Endvr!$A$2:$K$3001,MATCH(B194,Endvr!$G:$G,0),MATCH("Description",Endvr!$A$2:$K$2,0))</f>
        <v>Clear Brunhilda's Trial: Expert</v>
      </c>
      <c r="X194" t="s">
        <v>13843</v>
      </c>
      <c r="Y194" t="s">
        <v>13994</v>
      </c>
      <c r="Z194" t="s">
        <v>122</v>
      </c>
      <c r="AA194" s="45"/>
    </row>
    <row r="195" spans="1:27" x14ac:dyDescent="0.2">
      <c r="A195" s="856">
        <v>400039</v>
      </c>
      <c r="B195" s="844" t="s">
        <v>14381</v>
      </c>
      <c r="C195" s="844" t="s">
        <v>14382</v>
      </c>
      <c r="D195" s="845">
        <v>43370</v>
      </c>
      <c r="E195" s="309">
        <v>4</v>
      </c>
      <c r="F195" s="309">
        <v>78</v>
      </c>
      <c r="G195" s="309">
        <v>19</v>
      </c>
      <c r="H195" s="261"/>
      <c r="I195" s="261"/>
      <c r="J195" s="261" t="s">
        <v>14239</v>
      </c>
      <c r="K195" s="846">
        <v>0.5</v>
      </c>
      <c r="L195" s="847" t="str">
        <f t="shared" ref="L195:L258" si="12">IF(K195="","",TEXT(K195,"0%"))</f>
        <v>50%</v>
      </c>
      <c r="M195" s="848" t="str">
        <f t="shared" ref="M195:M258" si="13">IF(I195="",J195,"("&amp;I195&amp;") "&amp;J195)&amp;IF(K195="",""," +"&amp;L195)</f>
        <v>Paralysis Res +50%</v>
      </c>
      <c r="N195" s="309">
        <v>4</v>
      </c>
      <c r="O195" s="309">
        <v>130</v>
      </c>
      <c r="P195" s="309">
        <v>80</v>
      </c>
      <c r="Q195" s="261" t="s">
        <v>543</v>
      </c>
      <c r="R195" s="261"/>
      <c r="S195" s="261" t="s">
        <v>14239</v>
      </c>
      <c r="T195" s="846">
        <v>1</v>
      </c>
      <c r="U195" s="847" t="str">
        <f t="shared" ref="U195:U258" si="14">IF(T195="","",TEXT(T195,"0%"))</f>
        <v>100%</v>
      </c>
      <c r="V195" s="848" t="str">
        <f t="shared" ref="V195:V258" si="15">IF(R195="",S195,"("&amp;R195&amp;") "&amp;S195)&amp;IF(T195="",""," +"&amp;U195)</f>
        <v>Paralysis Res +100%</v>
      </c>
      <c r="W195" s="857" t="str">
        <f>+INDEX(Endvr!$A$2:$K$3001,MATCH(B195,Endvr!$G:$G,0),MATCH("Description",Endvr!$A$2:$K$2,0))&amp;" ("&amp;INDEX(Endvr!$A$2:$K$3001,MATCH(B195,Endvr!$G:$G,0),MATCH("Event Name",Endvr!$A$2:$K$2,0))&amp;")"</f>
        <v>Clear Shadowsteep Ruins: Standard (Elemental Ruins)</v>
      </c>
      <c r="X195" t="s">
        <v>13843</v>
      </c>
      <c r="Y195" t="s">
        <v>14035</v>
      </c>
      <c r="Z195" t="s">
        <v>3779</v>
      </c>
      <c r="AA195" s="45"/>
    </row>
    <row r="196" spans="1:27" x14ac:dyDescent="0.2">
      <c r="A196" s="856">
        <v>400040</v>
      </c>
      <c r="B196" s="844" t="s">
        <v>14383</v>
      </c>
      <c r="C196" s="844" t="s">
        <v>4216</v>
      </c>
      <c r="D196" s="845">
        <v>43370</v>
      </c>
      <c r="E196" s="309">
        <v>4</v>
      </c>
      <c r="F196" s="309">
        <v>73</v>
      </c>
      <c r="G196" s="309">
        <v>23</v>
      </c>
      <c r="H196" s="261"/>
      <c r="I196" s="261"/>
      <c r="J196" s="261" t="s">
        <v>14346</v>
      </c>
      <c r="K196" s="846">
        <v>0.1</v>
      </c>
      <c r="L196" s="847" t="str">
        <f t="shared" si="12"/>
        <v>10%</v>
      </c>
      <c r="M196" s="848" t="str">
        <f t="shared" si="13"/>
        <v>Overdrive Punisher +10%</v>
      </c>
      <c r="N196" s="309">
        <v>4</v>
      </c>
      <c r="O196" s="309">
        <v>130</v>
      </c>
      <c r="P196" s="309">
        <v>80</v>
      </c>
      <c r="Q196" s="261" t="s">
        <v>13855</v>
      </c>
      <c r="R196" s="261"/>
      <c r="S196" s="261" t="s">
        <v>14346</v>
      </c>
      <c r="T196" s="846">
        <v>0.1</v>
      </c>
      <c r="U196" s="847" t="str">
        <f t="shared" si="14"/>
        <v>10%</v>
      </c>
      <c r="V196" s="848" t="str">
        <f t="shared" si="15"/>
        <v>Overdrive Punisher +10%</v>
      </c>
      <c r="W196" s="857" t="str">
        <f>+INDEX(Endvr!$A$2:$K$3001,MATCH(B196,Endvr!$G:$G,0),MATCH("Description",Endvr!$A$2:$K$2,0))&amp;" ("&amp;INDEX(Endvr!$A$2:$K$3001,MATCH(B196,Endvr!$G:$G,0),MATCH("Event Name",Endvr!$A$2:$K$2,0))&amp;")"</f>
        <v>Obtain From Ch. 11 EX 1 Chest (Hard) (Non-Endeavor)</v>
      </c>
      <c r="X196" t="s">
        <v>13843</v>
      </c>
      <c r="Y196" t="s">
        <v>13918</v>
      </c>
      <c r="Z196" t="s">
        <v>13979</v>
      </c>
      <c r="AA196" s="45"/>
    </row>
    <row r="197" spans="1:27" x14ac:dyDescent="0.2">
      <c r="A197" s="856">
        <v>400041</v>
      </c>
      <c r="B197" s="844" t="s">
        <v>14384</v>
      </c>
      <c r="C197" s="844" t="s">
        <v>14385</v>
      </c>
      <c r="D197" s="845">
        <v>43370</v>
      </c>
      <c r="E197" s="309">
        <v>4</v>
      </c>
      <c r="F197" s="309">
        <v>75</v>
      </c>
      <c r="G197" s="309">
        <v>21</v>
      </c>
      <c r="H197" s="261"/>
      <c r="I197" s="261"/>
      <c r="J197" s="261" t="s">
        <v>13993</v>
      </c>
      <c r="K197" s="846">
        <v>0.5</v>
      </c>
      <c r="L197" s="847" t="str">
        <f t="shared" si="12"/>
        <v>50%</v>
      </c>
      <c r="M197" s="848" t="str">
        <f t="shared" si="13"/>
        <v>Curse Res +50%</v>
      </c>
      <c r="N197" s="309">
        <v>4</v>
      </c>
      <c r="O197" s="309">
        <v>130</v>
      </c>
      <c r="P197" s="309">
        <v>80</v>
      </c>
      <c r="Q197" s="261" t="s">
        <v>13855</v>
      </c>
      <c r="R197" s="261"/>
      <c r="S197" s="261" t="s">
        <v>13993</v>
      </c>
      <c r="T197" s="846">
        <v>1</v>
      </c>
      <c r="U197" s="847" t="str">
        <f t="shared" si="14"/>
        <v>100%</v>
      </c>
      <c r="V197" s="848" t="str">
        <f t="shared" si="15"/>
        <v>Curse Res +100%</v>
      </c>
      <c r="W197" s="857" t="str">
        <f>+INDEX(Endvr!$A$2:$K$3001,MATCH(B197,Endvr!$G:$G,0),MATCH("Description",Endvr!$A$2:$K$2,0))</f>
        <v>Clear Jupiter's Trial: Beginner</v>
      </c>
      <c r="X197" t="s">
        <v>13843</v>
      </c>
      <c r="Y197" t="s">
        <v>13994</v>
      </c>
      <c r="Z197" t="s">
        <v>2837</v>
      </c>
      <c r="AA197" s="45"/>
    </row>
    <row r="198" spans="1:27" x14ac:dyDescent="0.2">
      <c r="A198" s="856">
        <v>400042</v>
      </c>
      <c r="B198" s="844" t="s">
        <v>14386</v>
      </c>
      <c r="C198" s="844" t="s">
        <v>14387</v>
      </c>
      <c r="D198" s="845">
        <v>43370</v>
      </c>
      <c r="E198" s="309">
        <v>4</v>
      </c>
      <c r="F198" s="309">
        <v>78</v>
      </c>
      <c r="G198" s="309">
        <v>19</v>
      </c>
      <c r="H198" s="261"/>
      <c r="I198" s="261"/>
      <c r="J198" s="261" t="s">
        <v>14388</v>
      </c>
      <c r="K198" s="846">
        <v>0.5</v>
      </c>
      <c r="L198" s="847" t="str">
        <f t="shared" si="12"/>
        <v>50%</v>
      </c>
      <c r="M198" s="848" t="str">
        <f t="shared" si="13"/>
        <v>Poison Res +50%</v>
      </c>
      <c r="N198" s="309">
        <v>4</v>
      </c>
      <c r="O198" s="309">
        <v>130</v>
      </c>
      <c r="P198" s="309">
        <v>80</v>
      </c>
      <c r="Q198" s="261" t="s">
        <v>759</v>
      </c>
      <c r="R198" s="261"/>
      <c r="S198" s="261" t="s">
        <v>14388</v>
      </c>
      <c r="T198" s="846">
        <v>1</v>
      </c>
      <c r="U198" s="847" t="str">
        <f t="shared" si="14"/>
        <v>100%</v>
      </c>
      <c r="V198" s="848" t="str">
        <f t="shared" si="15"/>
        <v>Poison Res +100%</v>
      </c>
      <c r="W198" s="857" t="str">
        <f>+INDEX(Endvr!$A$2:$K$3001,MATCH(B198,Endvr!$G:$G,0),MATCH("Description",Endvr!$A$2:$K$2,0))&amp;" ("&amp;INDEX(Endvr!$A$2:$K$3001,MATCH(B198,Endvr!$G:$G,0),MATCH("Event Name",Endvr!$A$2:$K$2,0))&amp;")"</f>
        <v>Clear Lightsunder Ruins: Standard (Elemental Ruins)</v>
      </c>
      <c r="X198" t="s">
        <v>13843</v>
      </c>
      <c r="Y198" t="s">
        <v>14035</v>
      </c>
      <c r="Z198" t="s">
        <v>2837</v>
      </c>
      <c r="AA198" s="98"/>
    </row>
    <row r="199" spans="1:27" x14ac:dyDescent="0.2">
      <c r="A199" s="856">
        <v>400043</v>
      </c>
      <c r="B199" s="844" t="s">
        <v>14389</v>
      </c>
      <c r="C199" s="844" t="s">
        <v>14390</v>
      </c>
      <c r="D199" s="845">
        <v>43370</v>
      </c>
      <c r="E199" s="309">
        <v>4</v>
      </c>
      <c r="F199" s="309">
        <v>75</v>
      </c>
      <c r="G199" s="309">
        <v>21</v>
      </c>
      <c r="H199" s="261" t="s">
        <v>949</v>
      </c>
      <c r="I199" s="261"/>
      <c r="J199" s="261" t="s">
        <v>13882</v>
      </c>
      <c r="K199" s="846">
        <v>0.1</v>
      </c>
      <c r="L199" s="847" t="str">
        <f t="shared" si="12"/>
        <v>10%</v>
      </c>
      <c r="M199" s="848" t="str">
        <f t="shared" si="13"/>
        <v>Recovery Potency +10%</v>
      </c>
      <c r="N199" s="309">
        <v>4</v>
      </c>
      <c r="O199" s="309">
        <v>130</v>
      </c>
      <c r="P199" s="309">
        <v>80</v>
      </c>
      <c r="Q199" s="261" t="s">
        <v>759</v>
      </c>
      <c r="R199" s="261"/>
      <c r="S199" s="261" t="s">
        <v>13882</v>
      </c>
      <c r="T199" s="846">
        <v>0.12</v>
      </c>
      <c r="U199" s="847" t="str">
        <f t="shared" si="14"/>
        <v>12%</v>
      </c>
      <c r="V199" s="848" t="str">
        <f t="shared" si="15"/>
        <v>Recovery Potency +12%</v>
      </c>
      <c r="W199" s="857" t="str">
        <f>+INDEX(Endvr!$A$2:$K$3001,MATCH(B199,Endvr!$G:$G,0),MATCH("Description",Endvr!$A$2:$K$2,0))</f>
        <v>Unlock 50 Mana Nodes for a Light-Attuned Adventurer</v>
      </c>
      <c r="X199" t="s">
        <v>13843</v>
      </c>
      <c r="Y199" t="s">
        <v>14391</v>
      </c>
      <c r="AA199" s="45"/>
    </row>
    <row r="200" spans="1:27" x14ac:dyDescent="0.2">
      <c r="A200" s="856">
        <v>400044</v>
      </c>
      <c r="B200" s="844" t="s">
        <v>14392</v>
      </c>
      <c r="C200" s="844" t="s">
        <v>14393</v>
      </c>
      <c r="D200" s="845">
        <v>43370</v>
      </c>
      <c r="E200" s="309">
        <v>4</v>
      </c>
      <c r="F200" s="309">
        <v>76</v>
      </c>
      <c r="G200" s="309">
        <v>20</v>
      </c>
      <c r="H200" s="261" t="s">
        <v>13855</v>
      </c>
      <c r="I200" s="261"/>
      <c r="J200" s="261" t="s">
        <v>14394</v>
      </c>
      <c r="K200" s="846">
        <v>0.6</v>
      </c>
      <c r="L200" s="847" t="str">
        <f t="shared" si="12"/>
        <v>60%</v>
      </c>
      <c r="M200" s="848" t="str">
        <f t="shared" si="13"/>
        <v>Last Defense +60%</v>
      </c>
      <c r="N200" s="309">
        <v>4</v>
      </c>
      <c r="O200" s="309">
        <v>130</v>
      </c>
      <c r="P200" s="309">
        <v>80</v>
      </c>
      <c r="Q200" s="261" t="s">
        <v>645</v>
      </c>
      <c r="R200" s="261"/>
      <c r="S200" s="261" t="s">
        <v>14394</v>
      </c>
      <c r="T200" s="846">
        <v>0.6</v>
      </c>
      <c r="U200" s="847" t="str">
        <f t="shared" si="14"/>
        <v>60%</v>
      </c>
      <c r="V200" s="848" t="str">
        <f t="shared" si="15"/>
        <v>Last Defense +60%</v>
      </c>
      <c r="W200" s="857" t="str">
        <f>+INDEX(Endvr!$A$2:$K$3001,MATCH(B200,Endvr!$G:$G,0),MATCH("Description",Endvr!$A$2:$K$2,0))</f>
        <v>Clear Brunhilda's Trial: Beginner</v>
      </c>
      <c r="X200" t="s">
        <v>13843</v>
      </c>
      <c r="Y200" t="s">
        <v>13994</v>
      </c>
      <c r="Z200" t="s">
        <v>122</v>
      </c>
      <c r="AA200" s="45"/>
    </row>
    <row r="201" spans="1:27" x14ac:dyDescent="0.2">
      <c r="A201" s="856">
        <v>400045</v>
      </c>
      <c r="B201" s="844" t="s">
        <v>14395</v>
      </c>
      <c r="C201" s="844" t="s">
        <v>14396</v>
      </c>
      <c r="D201" s="845">
        <v>43370</v>
      </c>
      <c r="E201" s="309">
        <v>4</v>
      </c>
      <c r="F201" s="309">
        <v>71</v>
      </c>
      <c r="G201" s="309">
        <v>25</v>
      </c>
      <c r="H201" s="261" t="s">
        <v>13892</v>
      </c>
      <c r="I201" s="261"/>
      <c r="J201" s="261" t="s">
        <v>13852</v>
      </c>
      <c r="K201" s="846">
        <v>0.06</v>
      </c>
      <c r="L201" s="847" t="str">
        <f t="shared" si="12"/>
        <v>6%</v>
      </c>
      <c r="M201" s="848" t="str">
        <f t="shared" si="13"/>
        <v>Critical Rate +6%</v>
      </c>
      <c r="N201" s="309">
        <v>4</v>
      </c>
      <c r="O201" s="309">
        <v>130</v>
      </c>
      <c r="P201" s="309">
        <v>80</v>
      </c>
      <c r="Q201" s="261" t="s">
        <v>543</v>
      </c>
      <c r="R201" s="261" t="s">
        <v>1103</v>
      </c>
      <c r="S201" s="261" t="s">
        <v>13852</v>
      </c>
      <c r="T201" s="846">
        <v>0.1</v>
      </c>
      <c r="U201" s="847" t="str">
        <f t="shared" si="14"/>
        <v>10%</v>
      </c>
      <c r="V201" s="848" t="str">
        <f t="shared" si="15"/>
        <v>(Water) Critical Rate +10%</v>
      </c>
      <c r="W201" s="857" t="str">
        <f>+INDEX(Endvr!$A$2:$K$3001,MATCH(B201,Endvr!$G:$G,0),MATCH("Description",Endvr!$A$2:$K$2,0))&amp;" ("&amp;INDEX(Endvr!$A$2:$K$3001,MATCH(B201,Endvr!$G:$G,0),MATCH("Event Name",Endvr!$A$2:$K$2,0))&amp;")"</f>
        <v>Clear Waterscour Ruins: Expert (Elemental Ruins)</v>
      </c>
      <c r="X201" t="s">
        <v>13843</v>
      </c>
      <c r="Y201" t="s">
        <v>14035</v>
      </c>
      <c r="Z201" t="s">
        <v>1103</v>
      </c>
      <c r="AA201" s="45"/>
    </row>
    <row r="202" spans="1:27" x14ac:dyDescent="0.2">
      <c r="A202" s="856">
        <v>400046</v>
      </c>
      <c r="B202" s="844" t="s">
        <v>14397</v>
      </c>
      <c r="C202" s="844" t="s">
        <v>14398</v>
      </c>
      <c r="D202" s="845">
        <v>43370</v>
      </c>
      <c r="E202" s="309">
        <v>4</v>
      </c>
      <c r="F202" s="309">
        <v>70</v>
      </c>
      <c r="G202" s="309">
        <v>26</v>
      </c>
      <c r="H202" s="261" t="s">
        <v>13855</v>
      </c>
      <c r="I202" s="261"/>
      <c r="J202" s="261" t="s">
        <v>13957</v>
      </c>
      <c r="K202" s="846">
        <v>0.4</v>
      </c>
      <c r="L202" s="847" t="str">
        <f t="shared" si="12"/>
        <v>40%</v>
      </c>
      <c r="M202" s="848" t="str">
        <f t="shared" si="13"/>
        <v>Last Offense +40%</v>
      </c>
      <c r="N202" s="309">
        <v>4</v>
      </c>
      <c r="O202" s="309">
        <v>130</v>
      </c>
      <c r="P202" s="309">
        <v>80</v>
      </c>
      <c r="Q202" s="261" t="s">
        <v>13855</v>
      </c>
      <c r="R202" s="261"/>
      <c r="S202" s="261" t="s">
        <v>13957</v>
      </c>
      <c r="T202" s="846">
        <v>0.5</v>
      </c>
      <c r="U202" s="847" t="str">
        <f t="shared" si="14"/>
        <v>50%</v>
      </c>
      <c r="V202" s="848" t="str">
        <f t="shared" si="15"/>
        <v>Last Offense +50%</v>
      </c>
      <c r="W202" s="857" t="str">
        <f>+INDEX(Endvr!$A$2:$K$3001,MATCH(B202,Endvr!$G:$G,0),MATCH("Description",Endvr!$A$2:$K$2,0))&amp;" ("&amp;INDEX(Endvr!$A$2:$K$3001,MATCH(B202,Endvr!$G:$G,0),MATCH("Event Name",Endvr!$A$2:$K$2,0))&amp;")"</f>
        <v>Obtain From Ch. 04 EX 2 Chest (Normal) (Non-Endeavor)</v>
      </c>
      <c r="X202" t="s">
        <v>13843</v>
      </c>
      <c r="Y202" t="s">
        <v>13918</v>
      </c>
      <c r="Z202" t="s">
        <v>14025</v>
      </c>
      <c r="AA202" s="45"/>
    </row>
    <row r="203" spans="1:27" x14ac:dyDescent="0.2">
      <c r="A203" s="856">
        <v>400047</v>
      </c>
      <c r="B203" s="844" t="s">
        <v>14399</v>
      </c>
      <c r="C203" s="844" t="s">
        <v>14400</v>
      </c>
      <c r="D203" s="845">
        <v>43370</v>
      </c>
      <c r="E203" s="309">
        <v>4</v>
      </c>
      <c r="F203" s="309">
        <v>78</v>
      </c>
      <c r="G203" s="309">
        <v>19</v>
      </c>
      <c r="H203" s="261" t="s">
        <v>123</v>
      </c>
      <c r="I203" s="261"/>
      <c r="J203" s="261" t="s">
        <v>14401</v>
      </c>
      <c r="K203" s="846">
        <v>0.2</v>
      </c>
      <c r="L203" s="847" t="str">
        <f t="shared" si="12"/>
        <v>20%</v>
      </c>
      <c r="M203" s="848" t="str">
        <f t="shared" si="13"/>
        <v>Full HP = Defense +20%</v>
      </c>
      <c r="N203" s="309">
        <v>4</v>
      </c>
      <c r="O203" s="309">
        <v>130</v>
      </c>
      <c r="P203" s="309">
        <v>80</v>
      </c>
      <c r="Q203" s="261" t="s">
        <v>123</v>
      </c>
      <c r="R203" s="261"/>
      <c r="S203" s="261" t="s">
        <v>241</v>
      </c>
      <c r="T203" s="846">
        <v>0.15</v>
      </c>
      <c r="U203" s="847" t="str">
        <f t="shared" si="14"/>
        <v>15%</v>
      </c>
      <c r="V203" s="848" t="str">
        <f t="shared" si="15"/>
        <v>Defense +15%</v>
      </c>
      <c r="W203" s="857" t="str">
        <f>+INDEX(Endvr!$A$2:$K$3001,MATCH(B203,Endvr!$G:$G,0),MATCH("Description",Endvr!$A$2:$K$2,0))</f>
        <v>Unlock 50 Mana Nodes for a Shadow-Attuned Adventurer</v>
      </c>
      <c r="X203" t="s">
        <v>13843</v>
      </c>
      <c r="Y203" t="s">
        <v>14391</v>
      </c>
      <c r="AA203" s="45" t="s">
        <v>2837</v>
      </c>
    </row>
    <row r="204" spans="1:27" x14ac:dyDescent="0.2">
      <c r="A204" s="856">
        <v>400048</v>
      </c>
      <c r="B204" s="844" t="s">
        <v>14402</v>
      </c>
      <c r="C204" s="844" t="s">
        <v>14403</v>
      </c>
      <c r="D204" s="845">
        <v>43370</v>
      </c>
      <c r="E204" s="309">
        <v>4</v>
      </c>
      <c r="F204" s="309">
        <v>73</v>
      </c>
      <c r="G204" s="309">
        <v>23</v>
      </c>
      <c r="H204" s="261"/>
      <c r="I204" s="261"/>
      <c r="J204" s="261" t="s">
        <v>14239</v>
      </c>
      <c r="K204" s="846">
        <v>0.25</v>
      </c>
      <c r="L204" s="847" t="str">
        <f t="shared" si="12"/>
        <v>25%</v>
      </c>
      <c r="M204" s="848" t="str">
        <f t="shared" si="13"/>
        <v>Paralysis Res +25%</v>
      </c>
      <c r="N204" s="309">
        <v>4</v>
      </c>
      <c r="O204" s="309">
        <v>130</v>
      </c>
      <c r="P204" s="309">
        <v>80</v>
      </c>
      <c r="Q204" s="261" t="s">
        <v>13906</v>
      </c>
      <c r="R204" s="261"/>
      <c r="S204" s="261" t="s">
        <v>14239</v>
      </c>
      <c r="T204" s="846">
        <v>1</v>
      </c>
      <c r="U204" s="847" t="str">
        <f t="shared" si="14"/>
        <v>100%</v>
      </c>
      <c r="V204" s="848" t="str">
        <f t="shared" si="15"/>
        <v>Paralysis Res +100%</v>
      </c>
      <c r="W204" s="857" t="str">
        <f>+INDEX(Endvr!$A$2:$K$3001,MATCH(B204,Endvr!$G:$G,0),MATCH("Description",Endvr!$A$2:$K$2,0))</f>
        <v>Clear Zodiark's Trial: Expert</v>
      </c>
      <c r="X204" t="s">
        <v>13843</v>
      </c>
      <c r="Y204" t="s">
        <v>13994</v>
      </c>
      <c r="Z204" t="s">
        <v>3779</v>
      </c>
      <c r="AA204" s="98"/>
    </row>
    <row r="205" spans="1:27" x14ac:dyDescent="0.2">
      <c r="A205" s="856">
        <v>400049</v>
      </c>
      <c r="B205" s="844" t="s">
        <v>14404</v>
      </c>
      <c r="C205" s="844" t="s">
        <v>14405</v>
      </c>
      <c r="D205" s="845">
        <v>43370</v>
      </c>
      <c r="E205" s="309">
        <v>4</v>
      </c>
      <c r="F205" s="309">
        <v>73</v>
      </c>
      <c r="G205" s="309">
        <v>23</v>
      </c>
      <c r="H205" s="261" t="s">
        <v>13936</v>
      </c>
      <c r="I205" s="261"/>
      <c r="J205" s="261" t="s">
        <v>14191</v>
      </c>
      <c r="K205" s="846">
        <v>0.1</v>
      </c>
      <c r="L205" s="847" t="str">
        <f t="shared" si="12"/>
        <v>10%</v>
      </c>
      <c r="M205" s="848" t="str">
        <f t="shared" si="13"/>
        <v>Strength Doublebuff +10%</v>
      </c>
      <c r="N205" s="309">
        <v>4</v>
      </c>
      <c r="O205" s="309">
        <v>130</v>
      </c>
      <c r="P205" s="309">
        <v>80</v>
      </c>
      <c r="Q205" s="261" t="s">
        <v>13936</v>
      </c>
      <c r="R205" s="261"/>
      <c r="S205" s="261" t="s">
        <v>14191</v>
      </c>
      <c r="T205" s="846">
        <v>0.1</v>
      </c>
      <c r="U205" s="847" t="str">
        <f t="shared" si="14"/>
        <v>10%</v>
      </c>
      <c r="V205" s="848" t="str">
        <f t="shared" si="15"/>
        <v>Strength Doublebuff +10%</v>
      </c>
      <c r="W205" s="857" t="str">
        <f>+INDEX(Endvr!$A$2:$K$3001,MATCH(B205,Endvr!$G:$G,0),MATCH("Description",Endvr!$A$2:$K$2,0))&amp;" ("&amp;INDEX(Endvr!$A$2:$K$3001,MATCH(B205,Endvr!$G:$G,0),MATCH("Event Name",Endvr!$A$2:$K$2,0))&amp;")"</f>
        <v>Obtain From Ch. 04 EX 1 Chest (Very Hard) (Non-Endeavor)</v>
      </c>
      <c r="X205" t="s">
        <v>13843</v>
      </c>
      <c r="Y205" t="s">
        <v>13918</v>
      </c>
      <c r="Z205" t="s">
        <v>14025</v>
      </c>
      <c r="AA205" s="45"/>
    </row>
    <row r="206" spans="1:27" x14ac:dyDescent="0.2">
      <c r="A206" s="856">
        <v>400050</v>
      </c>
      <c r="B206" s="844" t="s">
        <v>14406</v>
      </c>
      <c r="C206" s="844" t="s">
        <v>14407</v>
      </c>
      <c r="D206" s="845">
        <v>43370</v>
      </c>
      <c r="E206" s="309">
        <v>4</v>
      </c>
      <c r="F206" s="309">
        <v>73</v>
      </c>
      <c r="G206" s="309">
        <v>22</v>
      </c>
      <c r="H206" s="261" t="s">
        <v>13936</v>
      </c>
      <c r="I206" s="261"/>
      <c r="J206" s="261" t="s">
        <v>13966</v>
      </c>
      <c r="K206" s="846">
        <v>0.1</v>
      </c>
      <c r="L206" s="847" t="str">
        <f t="shared" si="12"/>
        <v>10%</v>
      </c>
      <c r="M206" s="848" t="str">
        <f t="shared" si="13"/>
        <v>Flurry Devastation +10%</v>
      </c>
      <c r="N206" s="309">
        <v>4</v>
      </c>
      <c r="O206" s="309">
        <v>130</v>
      </c>
      <c r="P206" s="309">
        <v>80</v>
      </c>
      <c r="Q206" s="261" t="s">
        <v>13936</v>
      </c>
      <c r="R206" s="261"/>
      <c r="S206" s="261" t="s">
        <v>13966</v>
      </c>
      <c r="T206" s="846">
        <v>0.1</v>
      </c>
      <c r="U206" s="847" t="str">
        <f t="shared" si="14"/>
        <v>10%</v>
      </c>
      <c r="V206" s="848" t="str">
        <f t="shared" si="15"/>
        <v>Flurry Devastation +10%</v>
      </c>
      <c r="W206" s="857" t="str">
        <f>+INDEX(Endvr!$A$2:$K$3001,MATCH(B206,Endvr!$G:$G,0),MATCH("Description",Endvr!$A$2:$K$2,0))&amp;" ("&amp;INDEX(Endvr!$A$2:$K$3001,MATCH(B206,Endvr!$G:$G,0),MATCH("Event Name",Endvr!$A$2:$K$2,0))&amp;")"</f>
        <v>Clear Battle in Rovetelle Forest: Master (The Imperial Onslaught)</v>
      </c>
      <c r="X206" t="s">
        <v>13843</v>
      </c>
      <c r="Y206" t="s">
        <v>13954</v>
      </c>
      <c r="Z206" t="s">
        <v>1103</v>
      </c>
      <c r="AA206" s="45"/>
    </row>
    <row r="207" spans="1:27" x14ac:dyDescent="0.2">
      <c r="A207" s="856">
        <v>400051</v>
      </c>
      <c r="B207" s="844" t="s">
        <v>14408</v>
      </c>
      <c r="C207" s="844" t="s">
        <v>14409</v>
      </c>
      <c r="D207" s="845">
        <v>43370</v>
      </c>
      <c r="E207" s="309">
        <v>4</v>
      </c>
      <c r="F207" s="309">
        <v>70</v>
      </c>
      <c r="G207" s="309">
        <v>26</v>
      </c>
      <c r="H207" s="261" t="s">
        <v>645</v>
      </c>
      <c r="I207" s="261"/>
      <c r="J207" s="261" t="s">
        <v>14196</v>
      </c>
      <c r="K207" s="846">
        <v>0.05</v>
      </c>
      <c r="L207" s="847" t="str">
        <f t="shared" si="12"/>
        <v>5%</v>
      </c>
      <c r="M207" s="848" t="str">
        <f t="shared" si="13"/>
        <v>Striker's Strength +5%</v>
      </c>
      <c r="N207" s="309">
        <v>4</v>
      </c>
      <c r="O207" s="309">
        <v>130</v>
      </c>
      <c r="P207" s="309">
        <v>80</v>
      </c>
      <c r="Q207" s="261" t="s">
        <v>645</v>
      </c>
      <c r="R207" s="261"/>
      <c r="S207" s="261" t="s">
        <v>14196</v>
      </c>
      <c r="T207" s="846">
        <v>0.05</v>
      </c>
      <c r="U207" s="847" t="str">
        <f t="shared" si="14"/>
        <v>5%</v>
      </c>
      <c r="V207" s="848" t="str">
        <f t="shared" si="15"/>
        <v>Striker's Strength +5%</v>
      </c>
      <c r="W207" s="857" t="str">
        <f>+INDEX(Endvr!$A$2:$K$3001,MATCH(B207,Endvr!$G:$G,0),MATCH("Description",Endvr!$A$2:$K$2,0))</f>
        <v>Clear Avenue to Power: Master</v>
      </c>
      <c r="X207" t="s">
        <v>13843</v>
      </c>
      <c r="Y207" t="s">
        <v>13943</v>
      </c>
      <c r="AA207" s="98"/>
    </row>
    <row r="208" spans="1:27" x14ac:dyDescent="0.2">
      <c r="A208" s="856">
        <v>400069</v>
      </c>
      <c r="B208" s="844" t="s">
        <v>14410</v>
      </c>
      <c r="C208" s="844" t="s">
        <v>14411</v>
      </c>
      <c r="D208" s="845">
        <v>43370</v>
      </c>
      <c r="E208" s="309">
        <v>4</v>
      </c>
      <c r="F208" s="309">
        <v>71</v>
      </c>
      <c r="G208" s="309">
        <v>25</v>
      </c>
      <c r="H208" s="261" t="s">
        <v>13892</v>
      </c>
      <c r="I208" s="261"/>
      <c r="J208" s="261" t="s">
        <v>13965</v>
      </c>
      <c r="K208" s="846">
        <v>0.35</v>
      </c>
      <c r="L208" s="847" t="str">
        <f t="shared" si="12"/>
        <v>35%</v>
      </c>
      <c r="M208" s="848" t="str">
        <f t="shared" si="13"/>
        <v>Full HP = Skill Damage +35%</v>
      </c>
      <c r="N208" s="309">
        <v>4</v>
      </c>
      <c r="O208" s="309">
        <v>130</v>
      </c>
      <c r="P208" s="309">
        <v>80</v>
      </c>
      <c r="Q208" s="261" t="s">
        <v>13877</v>
      </c>
      <c r="R208" s="261"/>
      <c r="S208" s="261" t="s">
        <v>9612</v>
      </c>
      <c r="T208" s="846">
        <v>0.2</v>
      </c>
      <c r="U208" s="847" t="str">
        <f t="shared" si="14"/>
        <v>20%</v>
      </c>
      <c r="V208" s="848" t="str">
        <f t="shared" si="15"/>
        <v>Skill Damage +20%</v>
      </c>
      <c r="W208" s="857" t="str">
        <f>+INDEX(Endvr!$A$2:$K$3001,MATCH(B208,Endvr!$G:$G,0),MATCH("Description",Endvr!$A$2:$K$2,0))&amp;" ("&amp;INDEX(Endvr!$A$2:$K$3001,MATCH(B208,Endvr!$G:$G,0),MATCH("Event Name",Endvr!$A$2:$K$2,0))&amp;")"</f>
        <v>Obtain From Ch. 02 EX 1 Chest (Hard) (Non-Endeavor)</v>
      </c>
      <c r="X208" t="s">
        <v>13843</v>
      </c>
      <c r="Y208" t="s">
        <v>13918</v>
      </c>
      <c r="Z208" t="s">
        <v>13919</v>
      </c>
      <c r="AA208" s="99"/>
    </row>
    <row r="209" spans="1:27" x14ac:dyDescent="0.2">
      <c r="A209" s="856">
        <v>400055</v>
      </c>
      <c r="B209" s="844" t="s">
        <v>14412</v>
      </c>
      <c r="C209" s="844" t="s">
        <v>14413</v>
      </c>
      <c r="D209" s="845">
        <v>43370</v>
      </c>
      <c r="E209" s="309">
        <v>4</v>
      </c>
      <c r="F209" s="309">
        <v>63</v>
      </c>
      <c r="G209" s="309">
        <v>15</v>
      </c>
      <c r="H209" s="261"/>
      <c r="I209" s="261"/>
      <c r="J209" s="261" t="s">
        <v>14414</v>
      </c>
      <c r="K209" s="846">
        <v>0.2</v>
      </c>
      <c r="L209" s="847" t="str">
        <f t="shared" si="12"/>
        <v>20%</v>
      </c>
      <c r="M209" s="848" t="str">
        <f t="shared" si="13"/>
        <v>Midgardsormr Res +20%</v>
      </c>
      <c r="N209" s="309">
        <v>4</v>
      </c>
      <c r="O209" s="309">
        <v>130</v>
      </c>
      <c r="P209" s="309">
        <v>80</v>
      </c>
      <c r="Q209" s="261" t="s">
        <v>13847</v>
      </c>
      <c r="R209" s="261"/>
      <c r="S209" s="261" t="s">
        <v>14414</v>
      </c>
      <c r="T209" s="846">
        <v>0.2</v>
      </c>
      <c r="U209" s="847" t="str">
        <f t="shared" si="14"/>
        <v>20%</v>
      </c>
      <c r="V209" s="848" t="str">
        <f t="shared" si="15"/>
        <v>Midgardsormr Res +20%</v>
      </c>
      <c r="W209" s="857" t="str">
        <f>+INDEX(Endvr!$A$2:$K$3001,MATCH(B209,Endvr!$G:$G,0),MATCH("Description",Endvr!$A$2:$K$2,0))&amp;" ("&amp;INDEX(Endvr!$A$2:$K$3001,MATCH(B209,Endvr!$G:$G,0),MATCH("Event Name",Endvr!$A$2:$K$2,0))&amp;")"</f>
        <v>Clear Battle at Mount Adolla: Expert (The Imperial Onslaught)</v>
      </c>
      <c r="X209" t="s">
        <v>13843</v>
      </c>
      <c r="Y209" s="87" t="s">
        <v>13954</v>
      </c>
      <c r="Z209" t="s">
        <v>122</v>
      </c>
      <c r="AA209" s="45"/>
    </row>
    <row r="210" spans="1:27" x14ac:dyDescent="0.2">
      <c r="A210" s="856">
        <v>400056</v>
      </c>
      <c r="B210" s="844" t="s">
        <v>14415</v>
      </c>
      <c r="C210" s="844" t="s">
        <v>14416</v>
      </c>
      <c r="D210" s="845">
        <v>43370</v>
      </c>
      <c r="E210" s="309">
        <v>4</v>
      </c>
      <c r="F210" s="309">
        <v>63</v>
      </c>
      <c r="G210" s="309">
        <v>15</v>
      </c>
      <c r="H210" s="261"/>
      <c r="I210" s="261"/>
      <c r="J210" s="261" t="s">
        <v>14417</v>
      </c>
      <c r="K210" s="846">
        <v>0.2</v>
      </c>
      <c r="L210" s="847" t="str">
        <f t="shared" si="12"/>
        <v>20%</v>
      </c>
      <c r="M210" s="848" t="str">
        <f t="shared" si="13"/>
        <v>Mercury Res +20%</v>
      </c>
      <c r="N210" s="309">
        <v>4</v>
      </c>
      <c r="O210" s="309">
        <v>130</v>
      </c>
      <c r="P210" s="309">
        <v>80</v>
      </c>
      <c r="Q210" s="261" t="s">
        <v>13889</v>
      </c>
      <c r="R210" s="261"/>
      <c r="S210" s="261" t="s">
        <v>14417</v>
      </c>
      <c r="T210" s="846">
        <v>0.2</v>
      </c>
      <c r="U210" s="847" t="str">
        <f t="shared" si="14"/>
        <v>20%</v>
      </c>
      <c r="V210" s="848" t="str">
        <f t="shared" si="15"/>
        <v>Mercury Res +20%</v>
      </c>
      <c r="W210" s="857" t="str">
        <f>+INDEX(Endvr!$A$2:$K$3001,MATCH(B210,Endvr!$G:$G,0),MATCH("Description",Endvr!$A$2:$K$2,0))&amp;" ("&amp;INDEX(Endvr!$A$2:$K$3001,MATCH(B210,Endvr!$G:$G,0),MATCH("Event Name",Endvr!$A$2:$K$2,0))&amp;")"</f>
        <v>Clear Battle in the Dornith Mountains: Expert (The Imperial Onslaught)</v>
      </c>
      <c r="X210" t="s">
        <v>13843</v>
      </c>
      <c r="Y210" s="87" t="s">
        <v>13954</v>
      </c>
      <c r="Z210" t="s">
        <v>1947</v>
      </c>
      <c r="AA210" s="45"/>
    </row>
    <row r="211" spans="1:27" x14ac:dyDescent="0.2">
      <c r="A211" s="856">
        <v>400057</v>
      </c>
      <c r="B211" s="844" t="s">
        <v>14418</v>
      </c>
      <c r="C211" s="844" t="s">
        <v>14419</v>
      </c>
      <c r="D211" s="845">
        <v>43370</v>
      </c>
      <c r="E211" s="309">
        <v>4</v>
      </c>
      <c r="F211" s="309">
        <v>63</v>
      </c>
      <c r="G211" s="309">
        <v>15</v>
      </c>
      <c r="H211" s="261"/>
      <c r="I211" s="261"/>
      <c r="J211" s="261" t="s">
        <v>14420</v>
      </c>
      <c r="K211" s="846">
        <v>0.2</v>
      </c>
      <c r="L211" s="847" t="str">
        <f t="shared" si="12"/>
        <v>20%</v>
      </c>
      <c r="M211" s="848" t="str">
        <f t="shared" si="13"/>
        <v>Brunhilda Res +20%</v>
      </c>
      <c r="N211" s="309">
        <v>4</v>
      </c>
      <c r="O211" s="309">
        <v>130</v>
      </c>
      <c r="P211" s="309">
        <v>80</v>
      </c>
      <c r="Q211" s="261" t="s">
        <v>13862</v>
      </c>
      <c r="R211" s="261"/>
      <c r="S211" s="261" t="s">
        <v>14420</v>
      </c>
      <c r="T211" s="846">
        <v>0.2</v>
      </c>
      <c r="U211" s="847" t="str">
        <f t="shared" si="14"/>
        <v>20%</v>
      </c>
      <c r="V211" s="848" t="str">
        <f t="shared" si="15"/>
        <v>Brunhilda Res +20%</v>
      </c>
      <c r="W211" s="857" t="str">
        <f>+INDEX(Endvr!$A$2:$K$3001,MATCH(B211,Endvr!$G:$G,0),MATCH("Description",Endvr!$A$2:$K$2,0))&amp;" ("&amp;INDEX(Endvr!$A$2:$K$3001,MATCH(B211,Endvr!$G:$G,0),MATCH("Event Name",Endvr!$A$2:$K$2,0))&amp;")"</f>
        <v>Clear Battle in Rovetelle Forest: Expert (The Imperial Onslaught)</v>
      </c>
      <c r="X211" t="s">
        <v>13843</v>
      </c>
      <c r="Y211" t="s">
        <v>13954</v>
      </c>
      <c r="Z211" t="s">
        <v>1103</v>
      </c>
      <c r="AA211" s="45"/>
    </row>
    <row r="212" spans="1:27" x14ac:dyDescent="0.2">
      <c r="A212" s="856">
        <v>400058</v>
      </c>
      <c r="B212" s="844" t="s">
        <v>14421</v>
      </c>
      <c r="C212" s="844" t="s">
        <v>14422</v>
      </c>
      <c r="D212" s="845">
        <v>43370</v>
      </c>
      <c r="E212" s="309">
        <v>4</v>
      </c>
      <c r="F212" s="309">
        <v>63</v>
      </c>
      <c r="G212" s="309">
        <v>15</v>
      </c>
      <c r="H212" s="261"/>
      <c r="I212" s="261"/>
      <c r="J212" s="261" t="s">
        <v>14423</v>
      </c>
      <c r="K212" s="846">
        <v>0.2</v>
      </c>
      <c r="L212" s="847" t="str">
        <f t="shared" si="12"/>
        <v>20%</v>
      </c>
      <c r="M212" s="848" t="str">
        <f t="shared" si="13"/>
        <v>Jupiter Res +20%</v>
      </c>
      <c r="N212" s="309">
        <v>4</v>
      </c>
      <c r="O212" s="309">
        <v>130</v>
      </c>
      <c r="P212" s="309">
        <v>80</v>
      </c>
      <c r="Q212" s="261" t="s">
        <v>13877</v>
      </c>
      <c r="R212" s="261"/>
      <c r="S212" s="261" t="s">
        <v>14423</v>
      </c>
      <c r="T212" s="846">
        <v>0.2</v>
      </c>
      <c r="U212" s="847" t="str">
        <f t="shared" si="14"/>
        <v>20%</v>
      </c>
      <c r="V212" s="848" t="str">
        <f t="shared" si="15"/>
        <v>Jupiter Res +20%</v>
      </c>
      <c r="W212" s="857" t="str">
        <f>+INDEX(Endvr!$A$2:$K$3001,MATCH(B212,Endvr!$G:$G,0),MATCH("Description",Endvr!$A$2:$K$2,0))&amp;" ("&amp;INDEX(Endvr!$A$2:$K$3001,MATCH(B212,Endvr!$G:$G,0),MATCH("Event Name",Endvr!$A$2:$K$2,0))&amp;")"</f>
        <v>Clear Battle at the Wartarch Ruins: Expert (The Imperial Onslaught)</v>
      </c>
      <c r="X212" t="s">
        <v>13843</v>
      </c>
      <c r="Y212" s="87" t="s">
        <v>13954</v>
      </c>
      <c r="Z212" t="s">
        <v>3779</v>
      </c>
      <c r="AA212" s="45"/>
    </row>
    <row r="213" spans="1:27" x14ac:dyDescent="0.2">
      <c r="A213" s="856">
        <v>400059</v>
      </c>
      <c r="B213" s="844" t="s">
        <v>14424</v>
      </c>
      <c r="C213" s="844" t="s">
        <v>14425</v>
      </c>
      <c r="D213" s="845">
        <v>43370</v>
      </c>
      <c r="E213" s="309">
        <v>4</v>
      </c>
      <c r="F213" s="309">
        <v>63</v>
      </c>
      <c r="G213" s="309">
        <v>15</v>
      </c>
      <c r="H213" s="261"/>
      <c r="I213" s="261"/>
      <c r="J213" s="261" t="s">
        <v>14426</v>
      </c>
      <c r="K213" s="846">
        <v>0.2</v>
      </c>
      <c r="L213" s="847" t="str">
        <f t="shared" si="12"/>
        <v>20%</v>
      </c>
      <c r="M213" s="848" t="str">
        <f t="shared" si="13"/>
        <v>Zodiark Res +20%</v>
      </c>
      <c r="N213" s="309">
        <v>4</v>
      </c>
      <c r="O213" s="309">
        <v>130</v>
      </c>
      <c r="P213" s="309">
        <v>80</v>
      </c>
      <c r="Q213" s="261" t="s">
        <v>13842</v>
      </c>
      <c r="R213" s="261"/>
      <c r="S213" s="261" t="s">
        <v>14426</v>
      </c>
      <c r="T213" s="846">
        <v>0.2</v>
      </c>
      <c r="U213" s="847" t="str">
        <f t="shared" si="14"/>
        <v>20%</v>
      </c>
      <c r="V213" s="848" t="str">
        <f t="shared" si="15"/>
        <v>Zodiark Res +20%</v>
      </c>
      <c r="W213" s="857" t="str">
        <f>+INDEX(Endvr!$A$2:$K$3001,MATCH(B213,Endvr!$G:$G,0),MATCH("Description",Endvr!$A$2:$K$2,0))&amp;" ("&amp;INDEX(Endvr!$A$2:$K$3001,MATCH(B213,Endvr!$G:$G,0),MATCH("Event Name",Endvr!$A$2:$K$2,0))&amp;")"</f>
        <v>Clear Battle at Myriage Lake: Expert (The Imperial Onslaught)</v>
      </c>
      <c r="X213" t="s">
        <v>13843</v>
      </c>
      <c r="Y213" s="87" t="s">
        <v>13954</v>
      </c>
      <c r="Z213" t="s">
        <v>2837</v>
      </c>
      <c r="AA213" s="45"/>
    </row>
    <row r="214" spans="1:27" x14ac:dyDescent="0.2">
      <c r="A214" s="856">
        <v>400053</v>
      </c>
      <c r="B214" s="844" t="s">
        <v>14427</v>
      </c>
      <c r="C214" s="844" t="s">
        <v>14428</v>
      </c>
      <c r="D214" s="845">
        <v>43377</v>
      </c>
      <c r="E214" s="309">
        <v>4</v>
      </c>
      <c r="F214" s="309">
        <v>61</v>
      </c>
      <c r="G214" s="309">
        <v>17</v>
      </c>
      <c r="H214" s="261"/>
      <c r="I214" s="261"/>
      <c r="J214" s="261" t="s">
        <v>14377</v>
      </c>
      <c r="K214" s="846">
        <v>0.25</v>
      </c>
      <c r="L214" s="847" t="str">
        <f t="shared" si="12"/>
        <v>25%</v>
      </c>
      <c r="M214" s="848" t="str">
        <f t="shared" si="13"/>
        <v>Burn Res +25%</v>
      </c>
      <c r="N214" s="309">
        <v>4</v>
      </c>
      <c r="O214" s="309">
        <v>130</v>
      </c>
      <c r="P214" s="309">
        <v>80</v>
      </c>
      <c r="Q214" s="261" t="s">
        <v>13895</v>
      </c>
      <c r="R214" s="261"/>
      <c r="S214" s="261" t="s">
        <v>13950</v>
      </c>
      <c r="T214" s="846">
        <v>0.4</v>
      </c>
      <c r="U214" s="847" t="str">
        <f t="shared" si="14"/>
        <v>40%</v>
      </c>
      <c r="V214" s="848" t="str">
        <f t="shared" si="15"/>
        <v>Force Strike +40%</v>
      </c>
      <c r="W214" s="857" t="str">
        <f>+INDEX(Endvr!$A$2:$K$3001,MATCH(B214,Endvr!$G:$G,0),MATCH("Description",Endvr!$A$2:$K$2,0))&amp;" ("&amp;INDEX(Endvr!$A$2:$K$3001,MATCH(B214,Endvr!$G:$G,0),MATCH("Event Name",Endvr!$A$2:$K$2,0))&amp;")"</f>
        <v>Clear Magma Onslaught (Loyalty's Requiem)</v>
      </c>
      <c r="X214" t="s">
        <v>13958</v>
      </c>
      <c r="Y214" t="s">
        <v>13959</v>
      </c>
      <c r="AA214" s="45"/>
    </row>
    <row r="215" spans="1:27" x14ac:dyDescent="0.2">
      <c r="A215" s="856">
        <v>400060</v>
      </c>
      <c r="B215" s="844" t="s">
        <v>14429</v>
      </c>
      <c r="C215" s="844" t="s">
        <v>14430</v>
      </c>
      <c r="D215" s="845">
        <v>43377</v>
      </c>
      <c r="E215" s="309">
        <v>4</v>
      </c>
      <c r="F215" s="309">
        <v>70</v>
      </c>
      <c r="G215" s="309">
        <v>26</v>
      </c>
      <c r="H215" s="261" t="s">
        <v>645</v>
      </c>
      <c r="I215" s="261"/>
      <c r="J215" s="261" t="s">
        <v>13950</v>
      </c>
      <c r="K215" s="846">
        <v>0.4</v>
      </c>
      <c r="L215" s="847" t="str">
        <f t="shared" si="12"/>
        <v>40%</v>
      </c>
      <c r="M215" s="848" t="str">
        <f t="shared" si="13"/>
        <v>Force Strike +40%</v>
      </c>
      <c r="N215" s="309">
        <v>4</v>
      </c>
      <c r="O215" s="309">
        <v>130</v>
      </c>
      <c r="P215" s="309">
        <v>80</v>
      </c>
      <c r="Q215" s="261" t="s">
        <v>13847</v>
      </c>
      <c r="R215" s="261"/>
      <c r="S215" s="261" t="s">
        <v>13950</v>
      </c>
      <c r="T215" s="846">
        <v>0.4</v>
      </c>
      <c r="U215" s="847" t="str">
        <f t="shared" si="14"/>
        <v>40%</v>
      </c>
      <c r="V215" s="848" t="str">
        <f t="shared" si="15"/>
        <v>Force Strike +40%</v>
      </c>
      <c r="W215" s="857" t="str">
        <f>+INDEX(Endvr!$A$2:$K$3001,MATCH(B215,Endvr!$G:$G,0),MATCH("Description",Endvr!$A$2:$K$2,0))</f>
        <v>Clear Brunhilda's Trial: Master</v>
      </c>
      <c r="X215" t="s">
        <v>13843</v>
      </c>
      <c r="Y215" t="s">
        <v>13994</v>
      </c>
      <c r="Z215" t="s">
        <v>122</v>
      </c>
      <c r="AA215" s="98"/>
    </row>
    <row r="216" spans="1:27" x14ac:dyDescent="0.2">
      <c r="A216" s="856">
        <v>400061</v>
      </c>
      <c r="B216" s="844" t="s">
        <v>14431</v>
      </c>
      <c r="C216" s="844" t="s">
        <v>14432</v>
      </c>
      <c r="D216" s="845">
        <v>43390</v>
      </c>
      <c r="E216" s="309">
        <v>4</v>
      </c>
      <c r="F216" s="309">
        <v>75</v>
      </c>
      <c r="G216" s="309">
        <v>21</v>
      </c>
      <c r="H216" s="261"/>
      <c r="I216" s="261"/>
      <c r="J216" s="261" t="s">
        <v>14433</v>
      </c>
      <c r="K216" s="846">
        <v>0.5</v>
      </c>
      <c r="L216" s="847" t="str">
        <f t="shared" si="12"/>
        <v>50%</v>
      </c>
      <c r="M216" s="848" t="str">
        <f t="shared" si="13"/>
        <v>Blindness Res +50%</v>
      </c>
      <c r="N216" s="309">
        <v>4</v>
      </c>
      <c r="O216" s="309">
        <v>130</v>
      </c>
      <c r="P216" s="309">
        <v>80</v>
      </c>
      <c r="Q216" s="261" t="s">
        <v>949</v>
      </c>
      <c r="R216" s="261"/>
      <c r="S216" s="261" t="s">
        <v>14433</v>
      </c>
      <c r="T216" s="846">
        <v>1</v>
      </c>
      <c r="U216" s="847" t="str">
        <f t="shared" si="14"/>
        <v>100%</v>
      </c>
      <c r="V216" s="848" t="str">
        <f t="shared" si="15"/>
        <v>Blindness Res +100%</v>
      </c>
      <c r="W216" s="857" t="str">
        <f>+INDEX(Endvr!$A$2:$K$3001,MATCH(B216,Endvr!$G:$G,0),MATCH("Description",Endvr!$A$2:$K$2,0))&amp;" ("&amp;INDEX(Endvr!$A$2:$K$3001,MATCH(B216,Endvr!$G:$G,0),MATCH("Event Name",Endvr!$A$2:$K$2,0))&amp;")"</f>
        <v>Clear Squash the Pumpking: Beginner (Trick or Treasure!)</v>
      </c>
      <c r="X216" t="s">
        <v>13958</v>
      </c>
      <c r="Y216" t="s">
        <v>13967</v>
      </c>
      <c r="AA216" s="45"/>
    </row>
    <row r="217" spans="1:27" x14ac:dyDescent="0.2">
      <c r="A217" s="856">
        <v>400100</v>
      </c>
      <c r="B217" s="844" t="s">
        <v>14434</v>
      </c>
      <c r="C217" s="844" t="s">
        <v>14435</v>
      </c>
      <c r="D217" s="845">
        <v>43404</v>
      </c>
      <c r="E217" s="309">
        <v>4</v>
      </c>
      <c r="F217" s="309">
        <v>76</v>
      </c>
      <c r="G217" s="309">
        <v>20</v>
      </c>
      <c r="H217" s="261"/>
      <c r="I217" s="261"/>
      <c r="J217" s="261" t="s">
        <v>14436</v>
      </c>
      <c r="K217" s="846">
        <v>0.75</v>
      </c>
      <c r="L217" s="847" t="str">
        <f t="shared" si="12"/>
        <v>75%</v>
      </c>
      <c r="M217" s="848" t="str">
        <f t="shared" si="13"/>
        <v>Sleep Res +75%</v>
      </c>
      <c r="N217" s="309">
        <v>4</v>
      </c>
      <c r="O217" s="309">
        <v>130</v>
      </c>
      <c r="P217" s="309">
        <v>80</v>
      </c>
      <c r="Q217" s="261" t="s">
        <v>13906</v>
      </c>
      <c r="R217" s="261"/>
      <c r="S217" s="261" t="s">
        <v>13950</v>
      </c>
      <c r="T217" s="846">
        <v>0.4</v>
      </c>
      <c r="U217" s="847" t="str">
        <f t="shared" si="14"/>
        <v>40%</v>
      </c>
      <c r="V217" s="848" t="str">
        <f t="shared" si="15"/>
        <v>Force Strike +40%</v>
      </c>
      <c r="W217" s="857" t="str">
        <f>+INDEX(Endvr!$A$2:$K$3001,MATCH(B217,Endvr!$G:$G,0),MATCH("Description",Endvr!$A$2:$K$2,0))</f>
        <v>Clear Zodiark's Trial: Master</v>
      </c>
      <c r="X217" t="s">
        <v>13843</v>
      </c>
      <c r="Y217" t="s">
        <v>13994</v>
      </c>
      <c r="Z217" t="s">
        <v>3779</v>
      </c>
      <c r="AA217" s="45"/>
    </row>
    <row r="218" spans="1:27" x14ac:dyDescent="0.2">
      <c r="A218" s="856">
        <v>400102</v>
      </c>
      <c r="B218" s="844" t="s">
        <v>14437</v>
      </c>
      <c r="C218" s="844" t="s">
        <v>14438</v>
      </c>
      <c r="D218" s="845">
        <v>43404</v>
      </c>
      <c r="E218" s="309">
        <v>4</v>
      </c>
      <c r="F218" s="309">
        <v>61</v>
      </c>
      <c r="G218" s="309">
        <v>17</v>
      </c>
      <c r="H218" s="261"/>
      <c r="I218" s="261"/>
      <c r="J218" s="261" t="s">
        <v>14436</v>
      </c>
      <c r="K218" s="846">
        <v>0.25</v>
      </c>
      <c r="L218" s="847" t="str">
        <f t="shared" si="12"/>
        <v>25%</v>
      </c>
      <c r="M218" s="848" t="str">
        <f t="shared" si="13"/>
        <v>Sleep Res +25%</v>
      </c>
      <c r="N218" s="309">
        <v>4</v>
      </c>
      <c r="O218" s="309">
        <v>130</v>
      </c>
      <c r="P218" s="309">
        <v>80</v>
      </c>
      <c r="Q218" s="261" t="s">
        <v>123</v>
      </c>
      <c r="R218" s="261"/>
      <c r="S218" s="261" t="s">
        <v>14436</v>
      </c>
      <c r="T218" s="846">
        <v>1</v>
      </c>
      <c r="U218" s="847" t="str">
        <f t="shared" si="14"/>
        <v>100%</v>
      </c>
      <c r="V218" s="848" t="str">
        <f t="shared" si="15"/>
        <v>Sleep Res +100%</v>
      </c>
      <c r="W218" s="857" t="str">
        <f>+INDEX(Endvr!$A$2:$K$3001,MATCH(B218,Endvr!$G:$G,0),MATCH("Description",Endvr!$A$2:$K$2,0))&amp;" ("&amp;INDEX(Endvr!$A$2:$K$3001,MATCH(B218,Endvr!$G:$G,0),MATCH("Event Name",Endvr!$A$2:$K$2,0))&amp;")"</f>
        <v>Clear Melsa's Inkling (Kindness and Captivity)</v>
      </c>
      <c r="X218" t="s">
        <v>13958</v>
      </c>
      <c r="Y218" t="s">
        <v>13976</v>
      </c>
      <c r="AA218" s="45"/>
    </row>
    <row r="219" spans="1:27" x14ac:dyDescent="0.2">
      <c r="A219" s="856">
        <v>400105</v>
      </c>
      <c r="B219" s="844" t="s">
        <v>14439</v>
      </c>
      <c r="C219" s="844" t="s">
        <v>14440</v>
      </c>
      <c r="D219" s="845">
        <v>43419</v>
      </c>
      <c r="E219" s="309">
        <v>4</v>
      </c>
      <c r="F219" s="309">
        <v>70</v>
      </c>
      <c r="G219" s="309">
        <v>26</v>
      </c>
      <c r="H219" s="261" t="s">
        <v>13889</v>
      </c>
      <c r="I219" s="261"/>
      <c r="J219" s="261" t="s">
        <v>13950</v>
      </c>
      <c r="K219" s="846">
        <v>0.4</v>
      </c>
      <c r="L219" s="847" t="str">
        <f t="shared" si="12"/>
        <v>40%</v>
      </c>
      <c r="M219" s="848" t="str">
        <f t="shared" si="13"/>
        <v>Force Strike +40%</v>
      </c>
      <c r="N219" s="309">
        <v>4</v>
      </c>
      <c r="O219" s="309">
        <v>130</v>
      </c>
      <c r="P219" s="309">
        <v>80</v>
      </c>
      <c r="Q219" s="261" t="s">
        <v>13889</v>
      </c>
      <c r="R219" s="261"/>
      <c r="S219" s="261" t="s">
        <v>13950</v>
      </c>
      <c r="T219" s="846">
        <v>0.4</v>
      </c>
      <c r="U219" s="847" t="str">
        <f t="shared" si="14"/>
        <v>40%</v>
      </c>
      <c r="V219" s="848" t="str">
        <f t="shared" si="15"/>
        <v>Force Strike +40%</v>
      </c>
      <c r="W219" s="857" t="str">
        <f>+INDEX(Endvr!$A$2:$K$3001,MATCH(B219,Endvr!$G:$G,0),MATCH("Description",Endvr!$A$2:$K$2,0))&amp;" ("&amp;INDEX(Endvr!$A$2:$K$3001,MATCH(B219,Endvr!$G:$G,0),MATCH("Event Name",Endvr!$A$2:$K$2,0))&amp;")"</f>
        <v>Clear Fiend Alert!: Standard (A Wish to the Winds)</v>
      </c>
      <c r="X219" t="s">
        <v>13958</v>
      </c>
      <c r="Y219" t="s">
        <v>13983</v>
      </c>
      <c r="AA219" s="45"/>
    </row>
    <row r="220" spans="1:27" x14ac:dyDescent="0.2">
      <c r="A220" s="856">
        <v>400112</v>
      </c>
      <c r="B220" s="844" t="s">
        <v>14441</v>
      </c>
      <c r="C220" s="844" t="s">
        <v>14442</v>
      </c>
      <c r="D220" s="845">
        <v>43434</v>
      </c>
      <c r="E220" s="309">
        <v>4</v>
      </c>
      <c r="F220" s="309">
        <v>73</v>
      </c>
      <c r="G220" s="309">
        <v>22</v>
      </c>
      <c r="H220" s="261" t="s">
        <v>13915</v>
      </c>
      <c r="I220" s="261" t="s">
        <v>2837</v>
      </c>
      <c r="J220" s="261" t="s">
        <v>13852</v>
      </c>
      <c r="K220" s="846">
        <v>0.08</v>
      </c>
      <c r="L220" s="847" t="str">
        <f t="shared" si="12"/>
        <v>8%</v>
      </c>
      <c r="M220" s="848" t="str">
        <f t="shared" si="13"/>
        <v>(Light) Critical Rate +8%</v>
      </c>
      <c r="N220" s="309">
        <v>4</v>
      </c>
      <c r="O220" s="309">
        <v>130</v>
      </c>
      <c r="P220" s="309">
        <v>80</v>
      </c>
      <c r="Q220" s="261" t="s">
        <v>13915</v>
      </c>
      <c r="R220" s="261" t="s">
        <v>2837</v>
      </c>
      <c r="S220" s="261" t="s">
        <v>13852</v>
      </c>
      <c r="T220" s="846">
        <v>0.1</v>
      </c>
      <c r="U220" s="847" t="str">
        <f t="shared" si="14"/>
        <v>10%</v>
      </c>
      <c r="V220" s="848" t="str">
        <f t="shared" si="15"/>
        <v>(Light) Critical Rate +10%</v>
      </c>
      <c r="W220" s="857" t="str">
        <f>+INDEX(Endvr!$A$2:$K$3001,MATCH(B220,Endvr!$G:$G,0),MATCH("Description",Endvr!$A$2:$K$2,0))&amp;" ("&amp;INDEX(Endvr!$A$2:$K$3001,MATCH(B220,Endvr!$G:$G,0),MATCH("Event Name",Endvr!$A$2:$K$2,0))&amp;")"</f>
        <v>Clear Lightsunder Ruins: Expert (Elemental Ruins)</v>
      </c>
      <c r="X220" t="s">
        <v>13843</v>
      </c>
      <c r="Y220" t="s">
        <v>14035</v>
      </c>
      <c r="Z220" t="s">
        <v>2837</v>
      </c>
      <c r="AA220" s="45"/>
    </row>
    <row r="221" spans="1:27" x14ac:dyDescent="0.2">
      <c r="A221" s="856">
        <v>400114</v>
      </c>
      <c r="B221" s="844" t="s">
        <v>14443</v>
      </c>
      <c r="C221" s="844" t="s">
        <v>14444</v>
      </c>
      <c r="D221" s="845">
        <v>43434</v>
      </c>
      <c r="E221" s="309">
        <v>4</v>
      </c>
      <c r="F221" s="309">
        <v>61</v>
      </c>
      <c r="G221" s="309">
        <v>17</v>
      </c>
      <c r="H221" s="261"/>
      <c r="I221" s="261"/>
      <c r="J221" s="261" t="s">
        <v>13993</v>
      </c>
      <c r="K221" s="846">
        <v>0.25</v>
      </c>
      <c r="L221" s="847" t="str">
        <f t="shared" si="12"/>
        <v>25%</v>
      </c>
      <c r="M221" s="848" t="str">
        <f t="shared" si="13"/>
        <v>Curse Res +25%</v>
      </c>
      <c r="N221" s="309">
        <v>4</v>
      </c>
      <c r="O221" s="309">
        <v>130</v>
      </c>
      <c r="P221" s="309">
        <v>80</v>
      </c>
      <c r="Q221" s="261" t="s">
        <v>13842</v>
      </c>
      <c r="R221" s="261"/>
      <c r="S221" s="261" t="s">
        <v>14155</v>
      </c>
      <c r="T221" s="846">
        <v>0.25</v>
      </c>
      <c r="U221" s="847" t="str">
        <f t="shared" si="14"/>
        <v>25%</v>
      </c>
      <c r="V221" s="848" t="str">
        <f t="shared" si="15"/>
        <v>Paralyzed Punisher +25%</v>
      </c>
      <c r="W221" s="857" t="str">
        <f>+INDEX(Endvr!$A$2:$K$3001,MATCH(B221,Endvr!$G:$G,0),MATCH("Description",Endvr!$A$2:$K$2,0))&amp;" ("&amp;INDEX(Endvr!$A$2:$K$3001,MATCH(B221,Endvr!$G:$G,0),MATCH("Event Name",Endvr!$A$2:$K$2,0))&amp;")"</f>
        <v>Clear Forward Without Hesitation (Resplendent Refrain)</v>
      </c>
      <c r="X221" t="s">
        <v>13958</v>
      </c>
      <c r="Y221" t="s">
        <v>13990</v>
      </c>
      <c r="AA221" s="45"/>
    </row>
    <row r="222" spans="1:27" x14ac:dyDescent="0.2">
      <c r="A222" s="856">
        <v>400116</v>
      </c>
      <c r="B222" s="844" t="s">
        <v>14445</v>
      </c>
      <c r="C222" s="844" t="s">
        <v>14446</v>
      </c>
      <c r="D222" s="845">
        <v>43451</v>
      </c>
      <c r="E222" s="309">
        <v>4</v>
      </c>
      <c r="F222" s="309">
        <v>75</v>
      </c>
      <c r="G222" s="309">
        <v>21</v>
      </c>
      <c r="H222" s="261"/>
      <c r="I222" s="261"/>
      <c r="J222" s="261" t="s">
        <v>14380</v>
      </c>
      <c r="K222" s="846">
        <v>0.5</v>
      </c>
      <c r="L222" s="847" t="str">
        <f t="shared" si="12"/>
        <v>50%</v>
      </c>
      <c r="M222" s="848" t="str">
        <f t="shared" si="13"/>
        <v>Stun Res +50%</v>
      </c>
      <c r="N222" s="309">
        <v>4</v>
      </c>
      <c r="O222" s="309">
        <v>130</v>
      </c>
      <c r="P222" s="309">
        <v>80</v>
      </c>
      <c r="Q222" s="261" t="s">
        <v>13862</v>
      </c>
      <c r="R222" s="261"/>
      <c r="S222" s="261" t="s">
        <v>14380</v>
      </c>
      <c r="T222" s="846">
        <v>1</v>
      </c>
      <c r="U222" s="847" t="str">
        <f t="shared" si="14"/>
        <v>100%</v>
      </c>
      <c r="V222" s="848" t="str">
        <f t="shared" si="15"/>
        <v>Stun Res +100%</v>
      </c>
      <c r="W222" s="857" t="str">
        <f>+INDEX(Endvr!$A$2:$K$3001,MATCH(B222,Endvr!$G:$G,0),MATCH("Description",Endvr!$A$2:$K$2,0))&amp;" ("&amp;INDEX(Endvr!$A$2:$K$3001,MATCH(B222,Endvr!$G:$G,0),MATCH("Event Name",Endvr!$A$2:$K$2,0))&amp;")"</f>
        <v>Read Episode 5 of the Event Story (The Miracle of Dragonyule)</v>
      </c>
      <c r="X222" t="s">
        <v>13958</v>
      </c>
      <c r="Y222" t="s">
        <v>14001</v>
      </c>
      <c r="AA222" s="45"/>
    </row>
    <row r="223" spans="1:27" x14ac:dyDescent="0.2">
      <c r="A223" s="856">
        <v>400126</v>
      </c>
      <c r="B223" s="844" t="s">
        <v>14447</v>
      </c>
      <c r="C223" s="844" t="s">
        <v>14448</v>
      </c>
      <c r="D223" s="845">
        <v>43465</v>
      </c>
      <c r="E223" s="309">
        <v>4</v>
      </c>
      <c r="F223" s="309">
        <v>71</v>
      </c>
      <c r="G223" s="309">
        <v>25</v>
      </c>
      <c r="H223" s="261" t="s">
        <v>645</v>
      </c>
      <c r="I223" s="261"/>
      <c r="J223" s="261" t="s">
        <v>13957</v>
      </c>
      <c r="K223" s="846">
        <v>0.4</v>
      </c>
      <c r="L223" s="847" t="str">
        <f t="shared" si="12"/>
        <v>40%</v>
      </c>
      <c r="M223" s="848" t="str">
        <f t="shared" si="13"/>
        <v>Last Offense +40%</v>
      </c>
      <c r="N223" s="309">
        <v>4</v>
      </c>
      <c r="O223" s="309">
        <v>130</v>
      </c>
      <c r="P223" s="309">
        <v>80</v>
      </c>
      <c r="Q223" s="261" t="s">
        <v>645</v>
      </c>
      <c r="R223" s="261"/>
      <c r="S223" s="261" t="s">
        <v>13957</v>
      </c>
      <c r="T223" s="846">
        <v>0.5</v>
      </c>
      <c r="U223" s="847" t="str">
        <f t="shared" si="14"/>
        <v>50%</v>
      </c>
      <c r="V223" s="848" t="str">
        <f t="shared" si="15"/>
        <v>Last Offense +50%</v>
      </c>
      <c r="W223" s="857" t="str">
        <f>+INDEX(Endvr!$A$2:$K$3001,MATCH(B223,Endvr!$G:$G,0),MATCH("Description",Endvr!$A$2:$K$2,0))&amp;" ("&amp;INDEX(Endvr!$A$2:$K$3001,MATCH(B223,Endvr!$G:$G,0),MATCH("Event Name",Endvr!$A$2:$K$2,0))&amp;")"</f>
        <v>Clear Shishimai Showdown: Expert (Fortune from Afar)</v>
      </c>
      <c r="X223" t="s">
        <v>13958</v>
      </c>
      <c r="Y223" t="s">
        <v>14012</v>
      </c>
      <c r="AA223" s="45"/>
    </row>
    <row r="224" spans="1:27" x14ac:dyDescent="0.2">
      <c r="A224" s="856">
        <v>400127</v>
      </c>
      <c r="B224" s="844" t="s">
        <v>14449</v>
      </c>
      <c r="C224" s="844" t="s">
        <v>14450</v>
      </c>
      <c r="D224" s="845">
        <v>43465</v>
      </c>
      <c r="E224" s="309">
        <v>4</v>
      </c>
      <c r="F224" s="309">
        <v>61</v>
      </c>
      <c r="G224" s="309">
        <v>17</v>
      </c>
      <c r="H224" s="261"/>
      <c r="I224" s="261" t="s">
        <v>3779</v>
      </c>
      <c r="J224" s="261" t="s">
        <v>14022</v>
      </c>
      <c r="K224" s="846">
        <v>0.25</v>
      </c>
      <c r="L224" s="847" t="str">
        <f t="shared" si="12"/>
        <v>25%</v>
      </c>
      <c r="M224" s="848" t="str">
        <f t="shared" si="13"/>
        <v>(Shadow) Buff Skill Time +25%</v>
      </c>
      <c r="N224" s="309">
        <v>4</v>
      </c>
      <c r="O224" s="309">
        <v>130</v>
      </c>
      <c r="P224" s="309">
        <v>80</v>
      </c>
      <c r="Q224" s="261" t="s">
        <v>13877</v>
      </c>
      <c r="R224" s="261" t="s">
        <v>3779</v>
      </c>
      <c r="S224" s="261" t="s">
        <v>14022</v>
      </c>
      <c r="T224" s="846">
        <v>0.25</v>
      </c>
      <c r="U224" s="847" t="str">
        <f t="shared" si="14"/>
        <v>25%</v>
      </c>
      <c r="V224" s="848" t="str">
        <f t="shared" si="15"/>
        <v>(Shadow) Buff Skill Time +25%</v>
      </c>
      <c r="W224" s="857" t="str">
        <f>+INDEX(Endvr!$A$2:$K$3001,MATCH(B224,Endvr!$G:$G,0),MATCH("Description",Endvr!$A$2:$K$2,0))&amp;" ("&amp;INDEX(Endvr!$A$2:$K$3001,MATCH(B224,Endvr!$G:$G,0),MATCH("Event Name",Endvr!$A$2:$K$2,0))&amp;")"</f>
        <v>Clear Field Trip into Town (Fortune from Afar)</v>
      </c>
      <c r="X224" t="s">
        <v>13958</v>
      </c>
      <c r="Y224" t="s">
        <v>14012</v>
      </c>
      <c r="AA224" s="45"/>
    </row>
    <row r="225" spans="1:27" x14ac:dyDescent="0.2">
      <c r="A225" s="856">
        <v>400090</v>
      </c>
      <c r="B225" s="844" t="s">
        <v>14451</v>
      </c>
      <c r="C225" s="844" t="s">
        <v>14452</v>
      </c>
      <c r="D225" s="845">
        <v>43480</v>
      </c>
      <c r="E225" s="309">
        <v>4</v>
      </c>
      <c r="F225" s="309">
        <v>78</v>
      </c>
      <c r="G225" s="309">
        <v>19</v>
      </c>
      <c r="H225" s="261"/>
      <c r="I225" s="261"/>
      <c r="J225" s="261" t="s">
        <v>14388</v>
      </c>
      <c r="K225" s="846">
        <v>0.5</v>
      </c>
      <c r="L225" s="847" t="str">
        <f t="shared" si="12"/>
        <v>50%</v>
      </c>
      <c r="M225" s="848" t="str">
        <f t="shared" si="13"/>
        <v>Poison Res +50%</v>
      </c>
      <c r="N225" s="309">
        <v>4</v>
      </c>
      <c r="O225" s="309">
        <v>130</v>
      </c>
      <c r="P225" s="309">
        <v>80</v>
      </c>
      <c r="Q225" s="261" t="s">
        <v>13842</v>
      </c>
      <c r="R225" s="261"/>
      <c r="S225" s="261" t="s">
        <v>14388</v>
      </c>
      <c r="T225" s="846">
        <v>1</v>
      </c>
      <c r="U225" s="847" t="str">
        <f t="shared" si="14"/>
        <v>100%</v>
      </c>
      <c r="V225" s="848" t="str">
        <f t="shared" si="15"/>
        <v>Poison Res +100%</v>
      </c>
      <c r="W225" s="857" t="str">
        <f>+INDEX(Endvr!$A$2:$K$3001,MATCH(B225,Endvr!$G:$G,0),MATCH("Description",Endvr!$A$2:$K$2,0))&amp;" ("&amp;INDEX(Endvr!$A$2:$K$3001,MATCH(B225,Endvr!$G:$G,0),MATCH("Event Name",Endvr!$A$2:$K$2,0))&amp;")"</f>
        <v>Clear Welcome to the Fiend Circus: Standard (Dream Big Under the Big Top)</v>
      </c>
      <c r="X225" t="s">
        <v>13958</v>
      </c>
      <c r="Y225" t="s">
        <v>14017</v>
      </c>
      <c r="AA225" s="98"/>
    </row>
    <row r="226" spans="1:27" x14ac:dyDescent="0.2">
      <c r="A226" s="856">
        <v>400136</v>
      </c>
      <c r="B226" s="844" t="s">
        <v>14453</v>
      </c>
      <c r="C226" s="844" t="s">
        <v>14454</v>
      </c>
      <c r="D226" s="845">
        <v>43496</v>
      </c>
      <c r="E226" s="309">
        <v>4</v>
      </c>
      <c r="F226" s="309">
        <v>71</v>
      </c>
      <c r="G226" s="309">
        <v>25</v>
      </c>
      <c r="H226" s="261" t="s">
        <v>645</v>
      </c>
      <c r="I226" s="261"/>
      <c r="J226" s="261" t="s">
        <v>13950</v>
      </c>
      <c r="K226" s="846">
        <v>0.4</v>
      </c>
      <c r="L226" s="847" t="str">
        <f t="shared" si="12"/>
        <v>40%</v>
      </c>
      <c r="M226" s="848" t="str">
        <f t="shared" si="13"/>
        <v>Force Strike +40%</v>
      </c>
      <c r="N226" s="309">
        <v>4</v>
      </c>
      <c r="O226" s="309">
        <v>130</v>
      </c>
      <c r="P226" s="309">
        <v>80</v>
      </c>
      <c r="Q226" s="261" t="s">
        <v>13877</v>
      </c>
      <c r="R226" s="261"/>
      <c r="S226" s="261" t="s">
        <v>13950</v>
      </c>
      <c r="T226" s="846">
        <v>0.4</v>
      </c>
      <c r="U226" s="847" t="str">
        <f t="shared" si="14"/>
        <v>40%</v>
      </c>
      <c r="V226" s="848" t="str">
        <f t="shared" si="15"/>
        <v>Force Strike +40%</v>
      </c>
      <c r="W226" s="857" t="str">
        <f>+INDEX(Endvr!$A$2:$K$3001,MATCH(B226,Endvr!$G:$G,0),MATCH("Description",Endvr!$A$2:$K$2,0))&amp;" ("&amp;INDEX(Endvr!$A$2:$K$3001,MATCH(B226,Endvr!$G:$G,0),MATCH("Event Name",Endvr!$A$2:$K$2,0))&amp;")"</f>
        <v>Clear Bounties for the Brave (Skyborne Spectacle)</v>
      </c>
      <c r="X226" t="s">
        <v>13958</v>
      </c>
      <c r="Y226" t="s">
        <v>14028</v>
      </c>
      <c r="AA226" s="98"/>
    </row>
    <row r="227" spans="1:27" x14ac:dyDescent="0.2">
      <c r="A227" s="856">
        <v>400138</v>
      </c>
      <c r="B227" s="844" t="s">
        <v>14455</v>
      </c>
      <c r="C227" s="844" t="s">
        <v>14456</v>
      </c>
      <c r="D227" s="845">
        <v>43496</v>
      </c>
      <c r="E227" s="309">
        <v>4</v>
      </c>
      <c r="F227" s="309">
        <v>61</v>
      </c>
      <c r="G227" s="309">
        <v>17</v>
      </c>
      <c r="H227" s="261"/>
      <c r="I227" s="261"/>
      <c r="J227" s="261" t="s">
        <v>14081</v>
      </c>
      <c r="K227" s="846">
        <v>0.75</v>
      </c>
      <c r="L227" s="847" t="str">
        <f t="shared" si="12"/>
        <v>75%</v>
      </c>
      <c r="M227" s="848" t="str">
        <f t="shared" si="13"/>
        <v>Bog Res +75%</v>
      </c>
      <c r="N227" s="309">
        <v>4</v>
      </c>
      <c r="O227" s="309">
        <v>130</v>
      </c>
      <c r="P227" s="309">
        <v>80</v>
      </c>
      <c r="Q227" s="261" t="s">
        <v>13889</v>
      </c>
      <c r="R227" s="261"/>
      <c r="S227" s="261" t="s">
        <v>13868</v>
      </c>
      <c r="T227" s="846">
        <v>0.2</v>
      </c>
      <c r="U227" s="847" t="str">
        <f t="shared" si="14"/>
        <v>20%</v>
      </c>
      <c r="V227" s="848" t="str">
        <f t="shared" si="15"/>
        <v>Stormlashed Punisher +20%</v>
      </c>
      <c r="W227" s="857" t="str">
        <f>+INDEX(Endvr!$A$2:$K$3001,MATCH(B227,Endvr!$G:$G,0),MATCH("Description",Endvr!$A$2:$K$2,0))&amp;" ("&amp;INDEX(Endvr!$A$2:$K$3001,MATCH(B227,Endvr!$G:$G,0),MATCH("Event Name",Endvr!$A$2:$K$2,0))&amp;")"</f>
        <v>Clear To the Dragon-Vein Spring (Skyborne Spectacle)</v>
      </c>
      <c r="X227" t="s">
        <v>13958</v>
      </c>
      <c r="Y227" t="s">
        <v>14028</v>
      </c>
      <c r="AA227" s="45"/>
    </row>
    <row r="228" spans="1:27" x14ac:dyDescent="0.2">
      <c r="A228" s="856">
        <v>400140</v>
      </c>
      <c r="B228" s="844" t="s">
        <v>14457</v>
      </c>
      <c r="C228" s="844" t="s">
        <v>14458</v>
      </c>
      <c r="D228" s="845">
        <v>43510</v>
      </c>
      <c r="E228" s="309">
        <v>4</v>
      </c>
      <c r="F228" s="309">
        <v>71</v>
      </c>
      <c r="G228" s="309">
        <v>25</v>
      </c>
      <c r="H228" s="261" t="s">
        <v>13936</v>
      </c>
      <c r="I228" s="261"/>
      <c r="J228" s="261" t="s">
        <v>14090</v>
      </c>
      <c r="K228" s="846">
        <v>0.14000000000000001</v>
      </c>
      <c r="L228" s="847" t="str">
        <f t="shared" si="12"/>
        <v>14%</v>
      </c>
      <c r="M228" s="848" t="str">
        <f t="shared" si="13"/>
        <v>Dragon Damage +14%</v>
      </c>
      <c r="N228" s="309">
        <v>4</v>
      </c>
      <c r="O228" s="309">
        <v>130</v>
      </c>
      <c r="P228" s="309">
        <v>80</v>
      </c>
      <c r="Q228" s="261" t="s">
        <v>13936</v>
      </c>
      <c r="R228" s="261"/>
      <c r="S228" s="261" t="s">
        <v>14090</v>
      </c>
      <c r="T228" s="846">
        <v>0.14000000000000001</v>
      </c>
      <c r="U228" s="847" t="str">
        <f t="shared" si="14"/>
        <v>14%</v>
      </c>
      <c r="V228" s="848" t="str">
        <f t="shared" si="15"/>
        <v>Dragon Damage +14%</v>
      </c>
      <c r="W228" s="857" t="str">
        <f>+INDEX(Endvr!$A$2:$K$3001,MATCH(B228,Endvr!$G:$G,0),MATCH("Description",Endvr!$A$2:$K$2,0))&amp;" ("&amp;INDEX(Endvr!$A$2:$K$3001,MATCH(B228,Endvr!$G:$G,0),MATCH("Event Name",Endvr!$A$2:$K$2,0))&amp;")"</f>
        <v>Obtain From Ch. 16 EX 1 Chest (Very Hard) (Non-Endeavor)</v>
      </c>
      <c r="X228" t="s">
        <v>13843</v>
      </c>
      <c r="Y228" t="s">
        <v>13918</v>
      </c>
      <c r="Z228" t="s">
        <v>14136</v>
      </c>
      <c r="AA228" s="45"/>
    </row>
    <row r="229" spans="1:27" x14ac:dyDescent="0.2">
      <c r="A229" s="856">
        <v>400093</v>
      </c>
      <c r="B229" s="844" t="s">
        <v>14459</v>
      </c>
      <c r="C229" s="844" t="s">
        <v>14460</v>
      </c>
      <c r="D229" s="845">
        <v>43524</v>
      </c>
      <c r="E229" s="309">
        <v>4</v>
      </c>
      <c r="F229" s="309">
        <v>71</v>
      </c>
      <c r="G229" s="309">
        <v>25</v>
      </c>
      <c r="H229" s="261" t="s">
        <v>13877</v>
      </c>
      <c r="I229" s="261"/>
      <c r="J229" s="261" t="s">
        <v>13982</v>
      </c>
      <c r="K229" s="846">
        <v>0.25</v>
      </c>
      <c r="L229" s="847" t="str">
        <f t="shared" si="12"/>
        <v>25%</v>
      </c>
      <c r="M229" s="848" t="str">
        <f t="shared" si="13"/>
        <v>Skill Prep +25%</v>
      </c>
      <c r="N229" s="309">
        <v>4</v>
      </c>
      <c r="O229" s="309">
        <v>130</v>
      </c>
      <c r="P229" s="309">
        <v>80</v>
      </c>
      <c r="Q229" s="261" t="s">
        <v>13906</v>
      </c>
      <c r="R229" s="261"/>
      <c r="S229" s="261" t="s">
        <v>13982</v>
      </c>
      <c r="T229" s="846">
        <v>0.5</v>
      </c>
      <c r="U229" s="847" t="str">
        <f t="shared" si="14"/>
        <v>50%</v>
      </c>
      <c r="V229" s="848" t="str">
        <f t="shared" si="15"/>
        <v>Skill Prep +50%</v>
      </c>
      <c r="W229" s="857" t="str">
        <f>+INDEX(Endvr!$A$2:$K$3001,MATCH(B229,Endvr!$G:$G,0),MATCH("Description",Endvr!$A$2:$K$2,0))&amp;" ("&amp;INDEX(Endvr!$A$2:$K$3001,MATCH(B229,Endvr!$G:$G,0),MATCH("Event Name",Endvr!$A$2:$K$2,0))&amp;")"</f>
        <v>Clear Battle at Myriage Lake: Standard (The Imperial Onslaught)</v>
      </c>
      <c r="X229" t="s">
        <v>13843</v>
      </c>
      <c r="Y229" t="s">
        <v>13954</v>
      </c>
      <c r="Z229" t="s">
        <v>2837</v>
      </c>
      <c r="AA229" s="45"/>
    </row>
    <row r="230" spans="1:27" x14ac:dyDescent="0.2">
      <c r="A230" s="856">
        <v>400152</v>
      </c>
      <c r="B230" s="844" t="s">
        <v>14461</v>
      </c>
      <c r="C230" s="844" t="s">
        <v>14462</v>
      </c>
      <c r="D230" s="845">
        <v>43524</v>
      </c>
      <c r="E230" s="309">
        <v>4</v>
      </c>
      <c r="F230" s="309">
        <v>61</v>
      </c>
      <c r="G230" s="309">
        <v>17</v>
      </c>
      <c r="H230" s="261"/>
      <c r="I230" s="261"/>
      <c r="J230" s="261" t="s">
        <v>14388</v>
      </c>
      <c r="K230" s="846">
        <v>0.25</v>
      </c>
      <c r="L230" s="847" t="str">
        <f t="shared" si="12"/>
        <v>25%</v>
      </c>
      <c r="M230" s="848" t="str">
        <f t="shared" si="13"/>
        <v>Poison Res +25%</v>
      </c>
      <c r="N230" s="309">
        <v>4</v>
      </c>
      <c r="O230" s="309">
        <v>130</v>
      </c>
      <c r="P230" s="309">
        <v>80</v>
      </c>
      <c r="Q230" s="261" t="s">
        <v>13915</v>
      </c>
      <c r="R230" s="261"/>
      <c r="S230" s="261" t="s">
        <v>13882</v>
      </c>
      <c r="T230" s="846">
        <v>0.12</v>
      </c>
      <c r="U230" s="847" t="str">
        <f t="shared" si="14"/>
        <v>12%</v>
      </c>
      <c r="V230" s="848" t="str">
        <f t="shared" si="15"/>
        <v>Recovery Potency +12%</v>
      </c>
      <c r="W230" s="857" t="str">
        <f>+INDEX(Endvr!$A$2:$K$3001,MATCH(B230,Endvr!$G:$G,0),MATCH("Description",Endvr!$A$2:$K$2,0))&amp;" ("&amp;INDEX(Endvr!$A$2:$K$3001,MATCH(B230,Endvr!$G:$G,0),MATCH("Event Name",Endvr!$A$2:$K$2,0))&amp;")"</f>
        <v>Clear Save Phantom! (A Waltz with Fate)</v>
      </c>
      <c r="X230" t="s">
        <v>13958</v>
      </c>
      <c r="Y230" t="s">
        <v>14057</v>
      </c>
      <c r="AA230" s="45"/>
    </row>
    <row r="231" spans="1:27" x14ac:dyDescent="0.2">
      <c r="A231" s="856">
        <v>400119</v>
      </c>
      <c r="B231" s="844" t="s">
        <v>14463</v>
      </c>
      <c r="C231" s="844" t="s">
        <v>14464</v>
      </c>
      <c r="D231" s="845">
        <v>43536</v>
      </c>
      <c r="E231" s="309">
        <v>4</v>
      </c>
      <c r="F231" s="309">
        <v>71</v>
      </c>
      <c r="G231" s="309">
        <v>25</v>
      </c>
      <c r="H231" s="261"/>
      <c r="I231" s="261"/>
      <c r="J231" s="261" t="s">
        <v>14191</v>
      </c>
      <c r="K231" s="846">
        <v>0.1</v>
      </c>
      <c r="L231" s="847" t="str">
        <f t="shared" si="12"/>
        <v>10%</v>
      </c>
      <c r="M231" s="848" t="str">
        <f t="shared" si="13"/>
        <v>Strength Doublebuff +10%</v>
      </c>
      <c r="N231" s="309">
        <v>4</v>
      </c>
      <c r="O231" s="309">
        <v>130</v>
      </c>
      <c r="P231" s="309">
        <v>80</v>
      </c>
      <c r="Q231" s="261" t="s">
        <v>13889</v>
      </c>
      <c r="R231" s="261"/>
      <c r="S231" s="261" t="s">
        <v>14191</v>
      </c>
      <c r="T231" s="846">
        <v>0.1</v>
      </c>
      <c r="U231" s="847" t="str">
        <f t="shared" si="14"/>
        <v>10%</v>
      </c>
      <c r="V231" s="848" t="str">
        <f t="shared" si="15"/>
        <v>Strength Doublebuff +10%</v>
      </c>
      <c r="W231" s="857" t="str">
        <f>+INDEX(Endvr!$A$2:$K$3001,MATCH(B231,Endvr!$G:$G,0),MATCH("Description",Endvr!$A$2:$K$2,0))&amp;" ("&amp;INDEX(Endvr!$A$2:$K$3001,MATCH(B231,Endvr!$G:$G,0),MATCH("Event Name",Endvr!$A$2:$K$2,0))&amp;")"</f>
        <v>Clear The Crawling Nightmare: Expert (The Accursed Archives)</v>
      </c>
      <c r="X231" t="s">
        <v>13958</v>
      </c>
      <c r="Y231" t="s">
        <v>14060</v>
      </c>
      <c r="AA231" s="45"/>
    </row>
    <row r="232" spans="1:27" x14ac:dyDescent="0.2">
      <c r="A232" s="856">
        <v>400174</v>
      </c>
      <c r="B232" s="844" t="s">
        <v>14465</v>
      </c>
      <c r="C232" s="844" t="s">
        <v>14466</v>
      </c>
      <c r="D232" s="845">
        <v>43555</v>
      </c>
      <c r="E232" s="309">
        <v>4</v>
      </c>
      <c r="F232" s="309">
        <v>78</v>
      </c>
      <c r="G232" s="309">
        <v>19</v>
      </c>
      <c r="H232" s="261" t="s">
        <v>13892</v>
      </c>
      <c r="I232" s="261"/>
      <c r="J232" s="261" t="s">
        <v>14000</v>
      </c>
      <c r="K232" s="846">
        <v>0.1</v>
      </c>
      <c r="L232" s="847" t="str">
        <f t="shared" si="12"/>
        <v>10%</v>
      </c>
      <c r="M232" s="848" t="str">
        <f t="shared" si="13"/>
        <v>HP 70% = Defense +10%</v>
      </c>
      <c r="N232" s="309">
        <v>4</v>
      </c>
      <c r="O232" s="309">
        <v>130</v>
      </c>
      <c r="P232" s="309">
        <v>80</v>
      </c>
      <c r="Q232" s="261" t="s">
        <v>13892</v>
      </c>
      <c r="R232" s="261"/>
      <c r="S232" s="261" t="s">
        <v>241</v>
      </c>
      <c r="T232" s="846">
        <v>0.15</v>
      </c>
      <c r="U232" s="847" t="str">
        <f t="shared" si="14"/>
        <v>15%</v>
      </c>
      <c r="V232" s="848" t="str">
        <f t="shared" si="15"/>
        <v>Defense +15%</v>
      </c>
      <c r="W232" s="857" t="str">
        <f>+INDEX(Endvr!$A$2:$K$3001,MATCH(B232,Endvr!$G:$G,0),MATCH("Description",Endvr!$A$2:$K$2,0))&amp;" ("&amp;INDEX(Endvr!$A$2:$K$3001,MATCH(B232,Endvr!$G:$G,0),MATCH("Event Name",Endvr!$A$2:$K$2,0))&amp;")"</f>
        <v>Clear The Vernal Games Warm-Ups: Expert (The Hunt for Harmony)</v>
      </c>
      <c r="X232" t="s">
        <v>13958</v>
      </c>
      <c r="Y232" t="s">
        <v>14065</v>
      </c>
      <c r="AA232" s="45"/>
    </row>
    <row r="233" spans="1:27" x14ac:dyDescent="0.2">
      <c r="A233" s="856">
        <v>400293</v>
      </c>
      <c r="B233" s="844" t="s">
        <v>14467</v>
      </c>
      <c r="C233" s="844" t="s">
        <v>14468</v>
      </c>
      <c r="D233" s="845">
        <v>43581</v>
      </c>
      <c r="E233" s="309">
        <v>4</v>
      </c>
      <c r="F233" s="309">
        <v>78</v>
      </c>
      <c r="G233" s="309">
        <v>19</v>
      </c>
      <c r="H233" s="261"/>
      <c r="I233" s="261"/>
      <c r="J233" s="261" t="s">
        <v>8032</v>
      </c>
      <c r="K233" s="846"/>
      <c r="L233" s="847" t="str">
        <f t="shared" si="12"/>
        <v/>
      </c>
      <c r="M233" s="848" t="str">
        <f t="shared" si="13"/>
        <v>Shield Prep III</v>
      </c>
      <c r="N233" s="309">
        <v>4</v>
      </c>
      <c r="O233" s="309">
        <v>130</v>
      </c>
      <c r="P233" s="309">
        <v>80</v>
      </c>
      <c r="Q233" s="261" t="s">
        <v>543</v>
      </c>
      <c r="R233" s="261"/>
      <c r="S233" s="261" t="s">
        <v>8032</v>
      </c>
      <c r="T233" s="846"/>
      <c r="U233" s="847" t="str">
        <f t="shared" si="14"/>
        <v/>
      </c>
      <c r="V233" s="848" t="str">
        <f t="shared" si="15"/>
        <v>Shield Prep III</v>
      </c>
      <c r="W233" s="857" t="str">
        <f>+INDEX(Endvr!$A$2:$K$3001,MATCH(B233,Endvr!$G:$G,0),MATCH("Description",Endvr!$A$2:$K$2,0))&amp;" ("&amp;INDEX(Endvr!$A$2:$K$3001,MATCH(B233,Endvr!$G:$G,0),MATCH("Event Name",Endvr!$A$2:$K$2,0))&amp;")"</f>
        <v>Clear The Alberian Front: Normal (Fire Emblem: Lost Heroes)</v>
      </c>
      <c r="X233" t="s">
        <v>14075</v>
      </c>
      <c r="Y233" s="87" t="s">
        <v>14076</v>
      </c>
      <c r="AA233" s="98"/>
    </row>
    <row r="234" spans="1:27" x14ac:dyDescent="0.2">
      <c r="A234" s="856">
        <v>400054</v>
      </c>
      <c r="B234" s="844" t="s">
        <v>14469</v>
      </c>
      <c r="C234" s="844" t="s">
        <v>14470</v>
      </c>
      <c r="D234" s="845">
        <v>43599</v>
      </c>
      <c r="E234" s="309">
        <v>4</v>
      </c>
      <c r="F234" s="309">
        <v>73</v>
      </c>
      <c r="G234" s="309">
        <v>24</v>
      </c>
      <c r="H234" s="261" t="s">
        <v>13936</v>
      </c>
      <c r="I234" s="261"/>
      <c r="J234" s="261" t="s">
        <v>13882</v>
      </c>
      <c r="K234" s="846">
        <v>0.1</v>
      </c>
      <c r="L234" s="847" t="str">
        <f t="shared" si="12"/>
        <v>10%</v>
      </c>
      <c r="M234" s="848" t="str">
        <f t="shared" si="13"/>
        <v>Recovery Potency +10%</v>
      </c>
      <c r="N234" s="309">
        <v>4</v>
      </c>
      <c r="O234" s="309">
        <v>130</v>
      </c>
      <c r="P234" s="309">
        <v>80</v>
      </c>
      <c r="Q234" s="261" t="s">
        <v>13936</v>
      </c>
      <c r="R234" s="261"/>
      <c r="S234" s="261" t="s">
        <v>13882</v>
      </c>
      <c r="T234" s="846">
        <v>0.12</v>
      </c>
      <c r="U234" s="847" t="str">
        <f t="shared" si="14"/>
        <v>12%</v>
      </c>
      <c r="V234" s="848" t="str">
        <f t="shared" si="15"/>
        <v>Recovery Potency +12%</v>
      </c>
      <c r="W234" s="857" t="str">
        <f>+INDEX(Endvr!$A$2:$K$3001,MATCH(B234,Endvr!$G:$G,0),MATCH("Description",Endvr!$A$2:$K$2,0))&amp;" ("&amp;INDEX(Endvr!$A$2:$K$3001,MATCH(B234,Endvr!$G:$G,0),MATCH("Event Name",Endvr!$A$2:$K$2,0))&amp;")"</f>
        <v>Obtain From Ch. 07 EX 2 Chest (Normal) (Non-Endeavor)</v>
      </c>
      <c r="X234" t="s">
        <v>13843</v>
      </c>
      <c r="Y234" t="s">
        <v>13918</v>
      </c>
      <c r="Z234" t="s">
        <v>13938</v>
      </c>
      <c r="AA234" s="45"/>
    </row>
    <row r="235" spans="1:27" x14ac:dyDescent="0.2">
      <c r="A235" s="856">
        <v>400085</v>
      </c>
      <c r="B235" s="844" t="s">
        <v>14471</v>
      </c>
      <c r="C235" s="844" t="s">
        <v>14472</v>
      </c>
      <c r="D235" s="845">
        <v>43616</v>
      </c>
      <c r="E235" s="309">
        <v>4</v>
      </c>
      <c r="F235" s="309">
        <v>73</v>
      </c>
      <c r="G235" s="309">
        <v>23</v>
      </c>
      <c r="H235" s="261" t="s">
        <v>123</v>
      </c>
      <c r="I235" s="261"/>
      <c r="J235" s="261" t="s">
        <v>13962</v>
      </c>
      <c r="K235" s="846">
        <v>0.1</v>
      </c>
      <c r="L235" s="847" t="str">
        <f t="shared" si="12"/>
        <v>10%</v>
      </c>
      <c r="M235" s="848" t="str">
        <f t="shared" si="13"/>
        <v>HP 70% = Strength +10%</v>
      </c>
      <c r="N235" s="309">
        <v>4</v>
      </c>
      <c r="O235" s="309">
        <v>130</v>
      </c>
      <c r="P235" s="309">
        <v>80</v>
      </c>
      <c r="Q235" s="261" t="s">
        <v>543</v>
      </c>
      <c r="R235" s="261"/>
      <c r="S235" s="261" t="s">
        <v>9839</v>
      </c>
      <c r="T235" s="846">
        <v>0.13</v>
      </c>
      <c r="U235" s="847" t="str">
        <f t="shared" si="14"/>
        <v>13%</v>
      </c>
      <c r="V235" s="848" t="str">
        <f t="shared" si="15"/>
        <v>Strength +13%</v>
      </c>
      <c r="W235" s="857" t="str">
        <f>+INDEX(Endvr!$A$2:$K$3001,MATCH(B235,Endvr!$G:$G,0),MATCH("Description",Endvr!$A$2:$K$2,0))</f>
        <v>Clear Avenue to Fortune: Expert</v>
      </c>
      <c r="X235" t="s">
        <v>13843</v>
      </c>
      <c r="Y235" t="s">
        <v>13943</v>
      </c>
      <c r="AA235" s="45"/>
    </row>
    <row r="236" spans="1:27" x14ac:dyDescent="0.2">
      <c r="A236" s="856">
        <v>400171</v>
      </c>
      <c r="B236" s="844" t="s">
        <v>14473</v>
      </c>
      <c r="C236" s="844" t="s">
        <v>14474</v>
      </c>
      <c r="D236" s="845">
        <v>43616</v>
      </c>
      <c r="E236" s="309">
        <v>4</v>
      </c>
      <c r="F236" s="309">
        <v>63</v>
      </c>
      <c r="G236" s="309">
        <v>15</v>
      </c>
      <c r="H236" s="261"/>
      <c r="I236" s="261"/>
      <c r="J236" s="261" t="s">
        <v>14475</v>
      </c>
      <c r="K236" s="846">
        <v>0.1</v>
      </c>
      <c r="L236" s="847" t="str">
        <f t="shared" si="12"/>
        <v>10%</v>
      </c>
      <c r="M236" s="848" t="str">
        <f t="shared" si="13"/>
        <v>Wind Res +10%</v>
      </c>
      <c r="N236" s="309">
        <v>4</v>
      </c>
      <c r="O236" s="309">
        <v>130</v>
      </c>
      <c r="P236" s="309">
        <v>80</v>
      </c>
      <c r="Q236" s="261" t="s">
        <v>13892</v>
      </c>
      <c r="R236" s="261"/>
      <c r="S236" s="261" t="s">
        <v>14475</v>
      </c>
      <c r="T236" s="846">
        <v>0.1</v>
      </c>
      <c r="U236" s="847" t="str">
        <f t="shared" si="14"/>
        <v>10%</v>
      </c>
      <c r="V236" s="848" t="str">
        <f t="shared" si="15"/>
        <v>Wind Res +10%</v>
      </c>
      <c r="W236" s="857" t="str">
        <f>+INDEX(Endvr!$A$2:$K$3001,MATCH(B236,Endvr!$G:$G,0),MATCH("Description",Endvr!$A$2:$K$2,0))&amp;" ("&amp;INDEX(Endvr!$A$2:$K$3001,MATCH(B236,Endvr!$G:$G,0),MATCH("Event Name",Endvr!$A$2:$K$2,0))&amp;")"</f>
        <v>Clear Cyclops Assault: Expert (Echoes of Antiquity)</v>
      </c>
      <c r="X236" t="s">
        <v>13958</v>
      </c>
      <c r="Y236" t="s">
        <v>14476</v>
      </c>
      <c r="AA236" s="45"/>
    </row>
    <row r="237" spans="1:27" x14ac:dyDescent="0.2">
      <c r="A237" s="856">
        <v>400282</v>
      </c>
      <c r="B237" s="844" t="s">
        <v>14477</v>
      </c>
      <c r="C237" s="844" t="s">
        <v>14478</v>
      </c>
      <c r="D237" s="845">
        <v>43636</v>
      </c>
      <c r="E237" s="309">
        <v>4</v>
      </c>
      <c r="F237" s="309">
        <v>71</v>
      </c>
      <c r="G237" s="309">
        <v>25</v>
      </c>
      <c r="H237" s="261" t="s">
        <v>949</v>
      </c>
      <c r="I237" s="261"/>
      <c r="J237" s="261" t="s">
        <v>2476</v>
      </c>
      <c r="K237" s="846"/>
      <c r="L237" s="847" t="str">
        <f t="shared" si="12"/>
        <v/>
      </c>
      <c r="M237" s="848" t="str">
        <f t="shared" si="13"/>
        <v>Energy Doublebuff I</v>
      </c>
      <c r="N237" s="309">
        <v>4</v>
      </c>
      <c r="O237" s="309">
        <v>130</v>
      </c>
      <c r="P237" s="309">
        <v>80</v>
      </c>
      <c r="Q237" s="261" t="s">
        <v>949</v>
      </c>
      <c r="R237" s="261"/>
      <c r="S237" s="261" t="s">
        <v>2476</v>
      </c>
      <c r="T237" s="846"/>
      <c r="U237" s="847" t="str">
        <f t="shared" si="14"/>
        <v/>
      </c>
      <c r="V237" s="848" t="str">
        <f t="shared" si="15"/>
        <v>Energy Doublebuff I</v>
      </c>
      <c r="W237" s="857" t="str">
        <f>+INDEX(Endvr!$A$2:$K$3001,MATCH(B237,Endvr!$G:$G,0),MATCH("Description",Endvr!$A$2:$K$2,0))</f>
        <v>Unlock 50 Mana Nodes for a Water-Attuned Adventurer</v>
      </c>
      <c r="X237" t="s">
        <v>13843</v>
      </c>
      <c r="Y237" t="s">
        <v>14391</v>
      </c>
      <c r="AA237" s="45"/>
    </row>
    <row r="238" spans="1:27" x14ac:dyDescent="0.2">
      <c r="A238" s="856">
        <v>400335</v>
      </c>
      <c r="B238" s="844" t="s">
        <v>14479</v>
      </c>
      <c r="C238" s="844" t="s">
        <v>14480</v>
      </c>
      <c r="D238" s="845">
        <v>43646</v>
      </c>
      <c r="E238" s="309">
        <v>4</v>
      </c>
      <c r="F238" s="309">
        <v>71</v>
      </c>
      <c r="G238" s="309">
        <v>25</v>
      </c>
      <c r="H238" s="261" t="s">
        <v>13855</v>
      </c>
      <c r="I238" s="261"/>
      <c r="J238" s="261" t="s">
        <v>4001</v>
      </c>
      <c r="K238" s="846"/>
      <c r="L238" s="847" t="str">
        <f t="shared" si="12"/>
        <v/>
      </c>
      <c r="M238" s="848" t="str">
        <f t="shared" si="13"/>
        <v>30 Hits = Energy Level Up</v>
      </c>
      <c r="N238" s="309">
        <v>4</v>
      </c>
      <c r="O238" s="309">
        <v>130</v>
      </c>
      <c r="P238" s="309">
        <v>80</v>
      </c>
      <c r="Q238" s="261" t="s">
        <v>13855</v>
      </c>
      <c r="R238" s="261"/>
      <c r="S238" s="261" t="s">
        <v>1349</v>
      </c>
      <c r="T238" s="846"/>
      <c r="U238" s="847" t="str">
        <f t="shared" si="14"/>
        <v/>
      </c>
      <c r="V238" s="848" t="str">
        <f t="shared" si="15"/>
        <v>20 Hits = Energy Level Up</v>
      </c>
      <c r="W238" s="857" t="str">
        <f>+INDEX(Endvr!$A$2:$K$3001,MATCH(B238,Endvr!$G:$G,0),MATCH("Description",Endvr!$A$2:$K$2,0))&amp;" ("&amp;INDEX(Endvr!$A$2:$K$3001,MATCH(B238,Endvr!$G:$G,0),MATCH("Event Name",Endvr!$A$2:$K$2,0))&amp;")"</f>
        <v>Obtain From Ch. 12 EX 1 Chest (Very Hard) (Non-Endeavor)</v>
      </c>
      <c r="X238" t="s">
        <v>13843</v>
      </c>
      <c r="Y238" t="s">
        <v>13918</v>
      </c>
      <c r="Z238" t="s">
        <v>14197</v>
      </c>
      <c r="AA238" s="45"/>
    </row>
    <row r="239" spans="1:27" x14ac:dyDescent="0.2">
      <c r="A239" s="856">
        <v>400095</v>
      </c>
      <c r="B239" s="844" t="s">
        <v>14481</v>
      </c>
      <c r="C239" s="844" t="s">
        <v>14482</v>
      </c>
      <c r="D239" s="845">
        <v>43657</v>
      </c>
      <c r="E239" s="309">
        <v>4</v>
      </c>
      <c r="F239" s="309">
        <v>71</v>
      </c>
      <c r="G239" s="309">
        <v>25</v>
      </c>
      <c r="H239" s="261"/>
      <c r="I239" s="261" t="s">
        <v>122</v>
      </c>
      <c r="J239" s="261" t="s">
        <v>13966</v>
      </c>
      <c r="K239" s="846">
        <v>0.12</v>
      </c>
      <c r="L239" s="847" t="str">
        <f t="shared" si="12"/>
        <v>12%</v>
      </c>
      <c r="M239" s="848" t="str">
        <f t="shared" si="13"/>
        <v>(Flame) Flurry Devastation +12%</v>
      </c>
      <c r="N239" s="309">
        <v>4</v>
      </c>
      <c r="O239" s="309">
        <v>130</v>
      </c>
      <c r="P239" s="309">
        <v>80</v>
      </c>
      <c r="Q239" s="261" t="s">
        <v>13847</v>
      </c>
      <c r="R239" s="261" t="s">
        <v>122</v>
      </c>
      <c r="S239" s="261" t="s">
        <v>13966</v>
      </c>
      <c r="T239" s="846">
        <v>0.12</v>
      </c>
      <c r="U239" s="847" t="str">
        <f t="shared" si="14"/>
        <v>12%</v>
      </c>
      <c r="V239" s="848" t="str">
        <f t="shared" si="15"/>
        <v>(Flame) Flurry Devastation +12%</v>
      </c>
      <c r="W239" s="857" t="str">
        <f>+INDEX(Endvr!$A$2:$K$3001,MATCH(B239,Endvr!$G:$G,0),MATCH("Description",Endvr!$A$2:$K$2,0))&amp;" ("&amp;INDEX(Endvr!$A$2:$K$3001,MATCH(B239,Endvr!$G:$G,0),MATCH("Event Name",Endvr!$A$2:$K$2,0))&amp;")"</f>
        <v>Clear Arctos's Trial: Expert (Flames of Reflection)</v>
      </c>
      <c r="X239" t="s">
        <v>13958</v>
      </c>
      <c r="Y239" t="s">
        <v>14095</v>
      </c>
      <c r="AA239" s="45"/>
    </row>
    <row r="240" spans="1:27" x14ac:dyDescent="0.2">
      <c r="A240" s="856">
        <v>400337</v>
      </c>
      <c r="B240" s="844" t="s">
        <v>14483</v>
      </c>
      <c r="C240" s="844" t="s">
        <v>14484</v>
      </c>
      <c r="D240" s="845">
        <v>43677</v>
      </c>
      <c r="E240" s="309">
        <v>4</v>
      </c>
      <c r="F240" s="309">
        <v>71</v>
      </c>
      <c r="G240" s="309">
        <v>25</v>
      </c>
      <c r="H240" s="261" t="s">
        <v>13862</v>
      </c>
      <c r="I240" s="261" t="s">
        <v>1103</v>
      </c>
      <c r="J240" s="261" t="s">
        <v>13863</v>
      </c>
      <c r="K240" s="846">
        <v>7.0000000000000007E-2</v>
      </c>
      <c r="L240" s="847" t="str">
        <f t="shared" si="12"/>
        <v>7%</v>
      </c>
      <c r="M240" s="848" t="str">
        <f t="shared" si="13"/>
        <v>(Water) Skill Haste +7%</v>
      </c>
      <c r="N240" s="309">
        <v>4</v>
      </c>
      <c r="O240" s="309">
        <v>130</v>
      </c>
      <c r="P240" s="309">
        <v>80</v>
      </c>
      <c r="Q240" s="261" t="s">
        <v>13862</v>
      </c>
      <c r="R240" s="261" t="s">
        <v>1103</v>
      </c>
      <c r="S240" s="261" t="s">
        <v>13863</v>
      </c>
      <c r="T240" s="846">
        <v>7.0000000000000007E-2</v>
      </c>
      <c r="U240" s="847" t="str">
        <f t="shared" si="14"/>
        <v>7%</v>
      </c>
      <c r="V240" s="848" t="str">
        <f t="shared" si="15"/>
        <v>(Water) Skill Haste +7%</v>
      </c>
      <c r="W240" s="857" t="str">
        <f>+INDEX(Endvr!$A$2:$K$3001,MATCH(B240,Endvr!$G:$G,0),MATCH("Description",Endvr!$A$2:$K$2,0))&amp;" ("&amp;INDEX(Endvr!$A$2:$K$3001,MATCH(B240,Endvr!$G:$G,0),MATCH("Event Name",Endvr!$A$2:$K$2,0))&amp;")"</f>
        <v>Clear Giant Ember Toad Assault: Expert (A Splash of Adventure)</v>
      </c>
      <c r="X240" t="s">
        <v>13958</v>
      </c>
      <c r="Y240" t="s">
        <v>14102</v>
      </c>
      <c r="AA240" s="45"/>
    </row>
    <row r="241" spans="1:27" x14ac:dyDescent="0.2">
      <c r="A241" s="856">
        <v>400336</v>
      </c>
      <c r="B241" s="844" t="s">
        <v>14485</v>
      </c>
      <c r="C241" s="844" t="s">
        <v>14486</v>
      </c>
      <c r="D241" s="845">
        <v>43677</v>
      </c>
      <c r="E241" s="309">
        <v>4</v>
      </c>
      <c r="F241" s="309">
        <v>61</v>
      </c>
      <c r="G241" s="309">
        <v>17</v>
      </c>
      <c r="H241" s="261"/>
      <c r="I241" s="261"/>
      <c r="J241" s="261" t="s">
        <v>14487</v>
      </c>
      <c r="K241" s="846">
        <v>0.1</v>
      </c>
      <c r="L241" s="847" t="str">
        <f t="shared" si="12"/>
        <v>10%</v>
      </c>
      <c r="M241" s="848" t="str">
        <f t="shared" si="13"/>
        <v>Flame Res +10%</v>
      </c>
      <c r="N241" s="309">
        <v>4</v>
      </c>
      <c r="O241" s="309">
        <v>130</v>
      </c>
      <c r="P241" s="309">
        <v>80</v>
      </c>
      <c r="Q241" s="261" t="s">
        <v>13847</v>
      </c>
      <c r="R241" s="261"/>
      <c r="S241" s="261" t="s">
        <v>14487</v>
      </c>
      <c r="T241" s="846">
        <v>0.1</v>
      </c>
      <c r="U241" s="847" t="str">
        <f t="shared" si="14"/>
        <v>10%</v>
      </c>
      <c r="V241" s="848" t="str">
        <f t="shared" si="15"/>
        <v>Flame Res +10%</v>
      </c>
      <c r="W241" s="857" t="str">
        <f>+INDEX(Endvr!$A$2:$K$3001,MATCH(B241,Endvr!$G:$G,0),MATCH("Description",Endvr!$A$2:$K$2,0))&amp;" ("&amp;INDEX(Endvr!$A$2:$K$3001,MATCH(B241,Endvr!$G:$G,0),MATCH("Event Name",Endvr!$A$2:$K$2,0))&amp;")"</f>
        <v>Clear Tangled in Traps (A Splash of Adventure)</v>
      </c>
      <c r="X241" t="s">
        <v>13958</v>
      </c>
      <c r="Y241" t="s">
        <v>14102</v>
      </c>
      <c r="AA241" s="45"/>
    </row>
    <row r="242" spans="1:27" x14ac:dyDescent="0.2">
      <c r="A242" s="856">
        <v>400339</v>
      </c>
      <c r="B242" s="844" t="s">
        <v>14488</v>
      </c>
      <c r="C242" s="844" t="s">
        <v>14489</v>
      </c>
      <c r="D242" s="845">
        <v>43690</v>
      </c>
      <c r="E242" s="309">
        <v>4</v>
      </c>
      <c r="F242" s="309">
        <v>71</v>
      </c>
      <c r="G242" s="309">
        <v>25</v>
      </c>
      <c r="H242" s="261"/>
      <c r="I242" s="261" t="s">
        <v>2837</v>
      </c>
      <c r="J242" s="261" t="s">
        <v>13863</v>
      </c>
      <c r="K242" s="846">
        <v>7.0000000000000007E-2</v>
      </c>
      <c r="L242" s="847" t="str">
        <f t="shared" si="12"/>
        <v>7%</v>
      </c>
      <c r="M242" s="848" t="str">
        <f t="shared" si="13"/>
        <v>(Light) Skill Haste +7%</v>
      </c>
      <c r="N242" s="309">
        <v>4</v>
      </c>
      <c r="O242" s="309">
        <v>130</v>
      </c>
      <c r="P242" s="309">
        <v>80</v>
      </c>
      <c r="Q242" s="261" t="s">
        <v>13892</v>
      </c>
      <c r="R242" s="261" t="s">
        <v>122</v>
      </c>
      <c r="S242" s="261" t="s">
        <v>13863</v>
      </c>
      <c r="T242" s="846">
        <v>7.0000000000000007E-2</v>
      </c>
      <c r="U242" s="847" t="str">
        <f t="shared" si="14"/>
        <v>7%</v>
      </c>
      <c r="V242" s="848" t="str">
        <f t="shared" si="15"/>
        <v>(Flame) Skill Haste +7%</v>
      </c>
      <c r="W242" s="857" t="str">
        <f>+INDEX(Endvr!$A$2:$K$3001,MATCH(B242,Endvr!$G:$G,0),MATCH("Description",Endvr!$A$2:$K$2,0))&amp;" ("&amp;INDEX(Endvr!$A$2:$K$3001,MATCH(B242,Endvr!$G:$G,0),MATCH("Event Name",Endvr!$A$2:$K$2,0))&amp;")"</f>
        <v>Clear A Fiendish Performance: Standard (A Crescendo of Courage)</v>
      </c>
      <c r="X242" t="s">
        <v>13958</v>
      </c>
      <c r="Y242" t="s">
        <v>14105</v>
      </c>
      <c r="AA242" s="45"/>
    </row>
    <row r="243" spans="1:27" x14ac:dyDescent="0.2">
      <c r="A243" s="856">
        <v>400379</v>
      </c>
      <c r="B243" s="844" t="s">
        <v>14490</v>
      </c>
      <c r="C243" s="844" t="s">
        <v>14491</v>
      </c>
      <c r="D243" s="845">
        <v>43708</v>
      </c>
      <c r="E243" s="309">
        <v>4</v>
      </c>
      <c r="F243" s="309">
        <v>70</v>
      </c>
      <c r="G243" s="309">
        <v>26</v>
      </c>
      <c r="H243" s="261"/>
      <c r="I243" s="261" t="s">
        <v>1947</v>
      </c>
      <c r="J243" s="261" t="s">
        <v>8958</v>
      </c>
      <c r="K243" s="846">
        <v>0.15</v>
      </c>
      <c r="L243" s="847" t="str">
        <f t="shared" si="12"/>
        <v>15%</v>
      </c>
      <c r="M243" s="848" t="str">
        <f t="shared" si="13"/>
        <v>(Wind) Critical Damage +15%</v>
      </c>
      <c r="N243" s="309">
        <v>4</v>
      </c>
      <c r="O243" s="309">
        <v>130</v>
      </c>
      <c r="P243" s="309">
        <v>80</v>
      </c>
      <c r="Q243" s="261" t="s">
        <v>13877</v>
      </c>
      <c r="R243" s="261"/>
      <c r="S243" s="261" t="s">
        <v>14165</v>
      </c>
      <c r="T243" s="846">
        <v>0.1</v>
      </c>
      <c r="U243" s="847" t="str">
        <f t="shared" si="14"/>
        <v>10%</v>
      </c>
      <c r="V243" s="848" t="str">
        <f t="shared" si="15"/>
        <v>Critical Damage Doublebuff +10%</v>
      </c>
      <c r="W243" s="857" t="str">
        <f>+INDEX(Endvr!$A$2:$K$3001,MATCH(B243,Endvr!$G:$G,0),MATCH("Description",Endvr!$A$2:$K$2,0))&amp;" ("&amp;INDEX(Endvr!$A$2:$K$3001,MATCH(B243,Endvr!$G:$G,0),MATCH("Event Name",Endvr!$A$2:$K$2,0))&amp;")"</f>
        <v>Clear Lightsunder Ruins: Beginner (Elemental Ruins)</v>
      </c>
      <c r="X243" t="s">
        <v>13843</v>
      </c>
      <c r="Y243" t="s">
        <v>14035</v>
      </c>
      <c r="Z243" t="s">
        <v>1947</v>
      </c>
      <c r="AA243" s="45"/>
    </row>
    <row r="244" spans="1:27" x14ac:dyDescent="0.2">
      <c r="A244" s="856">
        <v>400381</v>
      </c>
      <c r="B244" s="844" t="s">
        <v>14492</v>
      </c>
      <c r="C244" s="844" t="s">
        <v>14493</v>
      </c>
      <c r="D244" s="845">
        <v>43720</v>
      </c>
      <c r="E244" s="309">
        <v>4</v>
      </c>
      <c r="F244" s="309">
        <v>71</v>
      </c>
      <c r="G244" s="309">
        <v>25</v>
      </c>
      <c r="H244" s="261" t="s">
        <v>123</v>
      </c>
      <c r="I244" s="261"/>
      <c r="J244" s="261" t="s">
        <v>13962</v>
      </c>
      <c r="K244" s="846">
        <v>0.1</v>
      </c>
      <c r="L244" s="847" t="str">
        <f t="shared" si="12"/>
        <v>10%</v>
      </c>
      <c r="M244" s="848" t="str">
        <f t="shared" si="13"/>
        <v>HP 70% = Strength +10%</v>
      </c>
      <c r="N244" s="309">
        <v>4</v>
      </c>
      <c r="O244" s="309">
        <v>130</v>
      </c>
      <c r="P244" s="309">
        <v>80</v>
      </c>
      <c r="Q244" s="261" t="s">
        <v>123</v>
      </c>
      <c r="R244" s="261"/>
      <c r="S244" s="261" t="s">
        <v>9839</v>
      </c>
      <c r="T244" s="846">
        <v>0.13</v>
      </c>
      <c r="U244" s="847" t="str">
        <f t="shared" si="14"/>
        <v>13%</v>
      </c>
      <c r="V244" s="848" t="str">
        <f t="shared" si="15"/>
        <v>Strength +13%</v>
      </c>
      <c r="W244" s="857" t="str">
        <f>+INDEX(Endvr!$A$2:$K$3001,MATCH(B244,Endvr!$G:$G,0),MATCH("Description",Endvr!$A$2:$K$2,0))&amp;" ("&amp;INDEX(Endvr!$A$2:$K$3001,MATCH(B244,Endvr!$G:$G,0),MATCH("Event Name",Endvr!$A$2:$K$2,0))&amp;")"</f>
        <v>Obtain From Ch. 15 EX 1 Chest (Very Hard) (Non-Endeavor)</v>
      </c>
      <c r="X244" t="s">
        <v>13843</v>
      </c>
      <c r="Y244" t="s">
        <v>13918</v>
      </c>
      <c r="Z244" t="s">
        <v>14133</v>
      </c>
      <c r="AA244" s="45"/>
    </row>
    <row r="245" spans="1:27" x14ac:dyDescent="0.2">
      <c r="A245" s="856">
        <v>400387</v>
      </c>
      <c r="B245" s="844" t="s">
        <v>14494</v>
      </c>
      <c r="C245" s="844" t="s">
        <v>14495</v>
      </c>
      <c r="D245" s="845">
        <v>43738</v>
      </c>
      <c r="E245" s="309">
        <v>4</v>
      </c>
      <c r="F245" s="309">
        <v>61</v>
      </c>
      <c r="G245" s="309">
        <v>17</v>
      </c>
      <c r="H245" s="261"/>
      <c r="I245" s="261"/>
      <c r="J245" s="261" t="s">
        <v>14011</v>
      </c>
      <c r="K245" s="846">
        <v>0.1</v>
      </c>
      <c r="L245" s="847" t="str">
        <f t="shared" si="12"/>
        <v>10%</v>
      </c>
      <c r="M245" s="848" t="str">
        <f t="shared" si="13"/>
        <v>Light Res +10%</v>
      </c>
      <c r="N245" s="309">
        <v>4</v>
      </c>
      <c r="O245" s="309">
        <v>130</v>
      </c>
      <c r="P245" s="309">
        <v>80</v>
      </c>
      <c r="Q245" s="261" t="s">
        <v>13906</v>
      </c>
      <c r="R245" s="261"/>
      <c r="S245" s="261" t="s">
        <v>14011</v>
      </c>
      <c r="T245" s="846">
        <v>0.1</v>
      </c>
      <c r="U245" s="847" t="str">
        <f t="shared" si="14"/>
        <v>10%</v>
      </c>
      <c r="V245" s="848" t="str">
        <f t="shared" si="15"/>
        <v>Light Res +10%</v>
      </c>
      <c r="W245" s="857" t="str">
        <f>+INDEX(Endvr!$A$2:$K$3001,MATCH(B245,Endvr!$G:$G,0),MATCH("Description",Endvr!$A$2:$K$2,0))&amp;" ("&amp;INDEX(Endvr!$A$2:$K$3001,MATCH(B245,Endvr!$G:$G,0),MATCH("Event Name",Endvr!$A$2:$K$2,0))&amp;")"</f>
        <v>Clear A Light in the Darkness (Fractured Futures)</v>
      </c>
      <c r="X245" t="s">
        <v>13958</v>
      </c>
      <c r="Y245" t="s">
        <v>14119</v>
      </c>
      <c r="AA245" s="98"/>
    </row>
    <row r="246" spans="1:27" x14ac:dyDescent="0.2">
      <c r="A246" s="856">
        <v>400385</v>
      </c>
      <c r="B246" s="844" t="s">
        <v>14496</v>
      </c>
      <c r="C246" s="844" t="s">
        <v>14497</v>
      </c>
      <c r="D246" s="845">
        <v>43742</v>
      </c>
      <c r="E246" s="309">
        <v>4</v>
      </c>
      <c r="F246" s="309">
        <v>71</v>
      </c>
      <c r="G246" s="309">
        <v>25</v>
      </c>
      <c r="H246" s="261" t="s">
        <v>543</v>
      </c>
      <c r="I246" s="261"/>
      <c r="J246" s="261" t="s">
        <v>3372</v>
      </c>
      <c r="K246" s="846"/>
      <c r="L246" s="847" t="str">
        <f t="shared" si="12"/>
        <v/>
      </c>
      <c r="M246" s="848" t="str">
        <f t="shared" si="13"/>
        <v>Healing Doublebuff III</v>
      </c>
      <c r="N246" s="309">
        <v>4</v>
      </c>
      <c r="O246" s="309">
        <v>130</v>
      </c>
      <c r="P246" s="309">
        <v>80</v>
      </c>
      <c r="Q246" s="261" t="s">
        <v>543</v>
      </c>
      <c r="R246" s="261"/>
      <c r="S246" s="261" t="s">
        <v>3372</v>
      </c>
      <c r="T246" s="846"/>
      <c r="U246" s="847" t="str">
        <f t="shared" si="14"/>
        <v/>
      </c>
      <c r="V246" s="848" t="str">
        <f t="shared" si="15"/>
        <v>Healing Doublebuff III</v>
      </c>
      <c r="W246" s="857" t="str">
        <f>+INDEX(Endvr!$A$2:$K$3001,MATCH(B246,Endvr!$G:$G,0),MATCH("Description",Endvr!$A$2:$K$2,0))&amp;" ("&amp;INDEX(Endvr!$A$2:$K$3001,MATCH(B246,Endvr!$G:$G,0),MATCH("Event Name",Endvr!$A$2:$K$2,0))&amp;")"</f>
        <v>Obtain From Ch. 09 EX 1 Chest (Hard) (Non-Endeavor)</v>
      </c>
      <c r="X246" t="s">
        <v>13843</v>
      </c>
      <c r="Y246" t="s">
        <v>13918</v>
      </c>
      <c r="Z246" t="s">
        <v>13926</v>
      </c>
      <c r="AA246" s="45"/>
    </row>
    <row r="247" spans="1:27" x14ac:dyDescent="0.2">
      <c r="A247" s="856">
        <v>400388</v>
      </c>
      <c r="B247" s="844" t="s">
        <v>14498</v>
      </c>
      <c r="C247" s="844" t="s">
        <v>14499</v>
      </c>
      <c r="D247" s="845">
        <v>43756</v>
      </c>
      <c r="E247" s="309">
        <v>4</v>
      </c>
      <c r="F247" s="309">
        <v>75</v>
      </c>
      <c r="G247" s="309">
        <v>21</v>
      </c>
      <c r="H247" s="261"/>
      <c r="I247" s="261"/>
      <c r="J247" s="261" t="s">
        <v>13970</v>
      </c>
      <c r="K247" s="846">
        <v>0.1</v>
      </c>
      <c r="L247" s="847" t="str">
        <f t="shared" si="12"/>
        <v>10%</v>
      </c>
      <c r="M247" s="848" t="str">
        <f t="shared" si="13"/>
        <v>Shadow Res +10%</v>
      </c>
      <c r="N247" s="309">
        <v>4</v>
      </c>
      <c r="O247" s="309">
        <v>130</v>
      </c>
      <c r="P247" s="309">
        <v>80</v>
      </c>
      <c r="Q247" s="261" t="s">
        <v>13877</v>
      </c>
      <c r="R247" s="261"/>
      <c r="S247" s="261" t="s">
        <v>13970</v>
      </c>
      <c r="T247" s="846">
        <v>0.1</v>
      </c>
      <c r="U247" s="847" t="str">
        <f t="shared" si="14"/>
        <v>10%</v>
      </c>
      <c r="V247" s="848" t="str">
        <f t="shared" si="15"/>
        <v>Shadow Res +10%</v>
      </c>
      <c r="W247" s="857" t="str">
        <f>+INDEX(Endvr!$A$2:$K$3001,MATCH(B247,Endvr!$G:$G,0),MATCH("Description",Endvr!$A$2:$K$2,0))&amp;" ("&amp;INDEX(Endvr!$A$2:$K$3001,MATCH(B247,Endvr!$G:$G,0),MATCH("Event Name",Endvr!$A$2:$K$2,0))&amp;")"</f>
        <v>Obtain From Ch. 10 EX 1 Chest (Normal) (Non-Endeavor)</v>
      </c>
      <c r="X247" t="s">
        <v>13843</v>
      </c>
      <c r="Y247" t="s">
        <v>13918</v>
      </c>
      <c r="Z247" t="s">
        <v>13926</v>
      </c>
      <c r="AA247" s="45"/>
    </row>
    <row r="248" spans="1:27" x14ac:dyDescent="0.2">
      <c r="A248" s="856">
        <v>400390</v>
      </c>
      <c r="B248" s="844" t="s">
        <v>14500</v>
      </c>
      <c r="C248" s="844" t="s">
        <v>14501</v>
      </c>
      <c r="D248" s="845">
        <v>43769</v>
      </c>
      <c r="E248" s="309">
        <v>4</v>
      </c>
      <c r="F248" s="309">
        <v>71</v>
      </c>
      <c r="G248" s="309">
        <v>25</v>
      </c>
      <c r="H248" s="261" t="s">
        <v>949</v>
      </c>
      <c r="I248" s="261"/>
      <c r="J248" s="261" t="s">
        <v>14022</v>
      </c>
      <c r="K248" s="846">
        <v>0.2</v>
      </c>
      <c r="L248" s="847" t="str">
        <f t="shared" si="12"/>
        <v>20%</v>
      </c>
      <c r="M248" s="848" t="str">
        <f t="shared" si="13"/>
        <v>Buff Skill Time +20%</v>
      </c>
      <c r="N248" s="309">
        <v>4</v>
      </c>
      <c r="O248" s="309">
        <v>130</v>
      </c>
      <c r="P248" s="309">
        <v>80</v>
      </c>
      <c r="Q248" s="261" t="s">
        <v>949</v>
      </c>
      <c r="R248" s="261"/>
      <c r="S248" s="261" t="s">
        <v>14022</v>
      </c>
      <c r="T248" s="846">
        <v>0.2</v>
      </c>
      <c r="U248" s="847" t="str">
        <f t="shared" si="14"/>
        <v>20%</v>
      </c>
      <c r="V248" s="848" t="str">
        <f t="shared" si="15"/>
        <v>Buff Skill Time +20%</v>
      </c>
      <c r="W248" s="857" t="str">
        <f>+INDEX(Endvr!$A$2:$K$3001,MATCH(B248,Endvr!$G:$G,0),MATCH("Description",Endvr!$A$2:$K$2,0))&amp;" ("&amp;INDEX(Endvr!$A$2:$K$3001,MATCH(B248,Endvr!$G:$G,0),MATCH("Event Name",Endvr!$A$2:$K$2,0))&amp;")"</f>
        <v>Clear All-Out Assault: Standard (Stirring Shadows)</v>
      </c>
      <c r="X248" t="s">
        <v>13958</v>
      </c>
      <c r="Y248" t="s">
        <v>14130</v>
      </c>
      <c r="AA248" s="45"/>
    </row>
    <row r="249" spans="1:27" x14ac:dyDescent="0.2">
      <c r="A249" s="856">
        <v>400392</v>
      </c>
      <c r="B249" s="844" t="s">
        <v>14502</v>
      </c>
      <c r="C249" s="844" t="s">
        <v>14503</v>
      </c>
      <c r="D249" s="845">
        <v>43782</v>
      </c>
      <c r="E249" s="309">
        <v>4</v>
      </c>
      <c r="F249" s="309">
        <v>76</v>
      </c>
      <c r="G249" s="309">
        <v>20</v>
      </c>
      <c r="H249" s="261" t="s">
        <v>759</v>
      </c>
      <c r="I249" s="261"/>
      <c r="J249" s="261" t="s">
        <v>8958</v>
      </c>
      <c r="K249" s="846">
        <v>0.15</v>
      </c>
      <c r="L249" s="847" t="str">
        <f t="shared" si="12"/>
        <v>15%</v>
      </c>
      <c r="M249" s="848" t="str">
        <f t="shared" si="13"/>
        <v>Critical Damage +15%</v>
      </c>
      <c r="N249" s="309">
        <v>4</v>
      </c>
      <c r="O249" s="309">
        <v>130</v>
      </c>
      <c r="P249" s="309">
        <v>80</v>
      </c>
      <c r="Q249" s="261" t="s">
        <v>759</v>
      </c>
      <c r="R249" s="261"/>
      <c r="S249" s="261" t="s">
        <v>8958</v>
      </c>
      <c r="T249" s="846">
        <v>0.15</v>
      </c>
      <c r="U249" s="847" t="str">
        <f t="shared" si="14"/>
        <v>15%</v>
      </c>
      <c r="V249" s="848" t="str">
        <f t="shared" si="15"/>
        <v>Critical Damage +15%</v>
      </c>
      <c r="W249" s="857" t="str">
        <f>+INDEX(Endvr!$A$2:$K$3001,MATCH(B249,Endvr!$G:$G,0),MATCH("Description",Endvr!$A$2:$K$2,0))&amp;" ("&amp;INDEX(Endvr!$A$2:$K$3001,MATCH(B249,Endvr!$G:$G,0),MATCH("Event Name",Endvr!$A$2:$K$2,0))&amp;")"</f>
        <v>Clear Battle at Mount Adolla: Master (The Imperial Onslaught)</v>
      </c>
      <c r="X249" t="s">
        <v>13843</v>
      </c>
      <c r="Y249" t="s">
        <v>13954</v>
      </c>
      <c r="Z249" t="s">
        <v>122</v>
      </c>
      <c r="AA249" s="45"/>
    </row>
    <row r="250" spans="1:27" x14ac:dyDescent="0.2">
      <c r="A250" s="856">
        <v>400396</v>
      </c>
      <c r="B250" s="844" t="s">
        <v>14504</v>
      </c>
      <c r="C250" s="844" t="s">
        <v>14505</v>
      </c>
      <c r="D250" s="845">
        <v>43801</v>
      </c>
      <c r="E250" s="309">
        <v>4</v>
      </c>
      <c r="F250" s="309">
        <v>76</v>
      </c>
      <c r="G250" s="309">
        <v>20</v>
      </c>
      <c r="H250" s="261"/>
      <c r="I250" s="261"/>
      <c r="J250" s="261" t="s">
        <v>14506</v>
      </c>
      <c r="K250" s="846">
        <v>0.75</v>
      </c>
      <c r="L250" s="847" t="str">
        <f t="shared" si="12"/>
        <v>75%</v>
      </c>
      <c r="M250" s="848" t="str">
        <f t="shared" si="13"/>
        <v>Freeze Res +75%</v>
      </c>
      <c r="N250" s="309">
        <v>4</v>
      </c>
      <c r="O250" s="309">
        <v>130</v>
      </c>
      <c r="P250" s="309">
        <v>80</v>
      </c>
      <c r="Q250" s="261" t="s">
        <v>13889</v>
      </c>
      <c r="R250" s="261"/>
      <c r="S250" s="261" t="s">
        <v>14506</v>
      </c>
      <c r="T250" s="846">
        <v>1</v>
      </c>
      <c r="U250" s="847" t="str">
        <f t="shared" si="14"/>
        <v>100%</v>
      </c>
      <c r="V250" s="848" t="str">
        <f t="shared" si="15"/>
        <v>Freeze Res +100%</v>
      </c>
      <c r="W250" s="857" t="str">
        <f>+INDEX(Endvr!$A$2:$K$3001,MATCH(B250,Endvr!$G:$G,0),MATCH("Description",Endvr!$A$2:$K$2,0))</f>
        <v>Clear Midgardsormr's Trial: Master</v>
      </c>
      <c r="X250" t="s">
        <v>13843</v>
      </c>
      <c r="Y250" t="s">
        <v>13994</v>
      </c>
      <c r="Z250" t="s">
        <v>1947</v>
      </c>
      <c r="AA250" s="45"/>
    </row>
    <row r="251" spans="1:27" x14ac:dyDescent="0.2">
      <c r="A251" s="856">
        <v>400394</v>
      </c>
      <c r="B251" s="844" t="s">
        <v>14507</v>
      </c>
      <c r="C251" s="844" t="s">
        <v>14508</v>
      </c>
      <c r="D251" s="845">
        <v>43811</v>
      </c>
      <c r="E251" s="309">
        <v>4</v>
      </c>
      <c r="F251" s="309">
        <v>75</v>
      </c>
      <c r="G251" s="309">
        <v>21</v>
      </c>
      <c r="H251" s="261"/>
      <c r="I251" s="261"/>
      <c r="J251" s="261" t="s">
        <v>14487</v>
      </c>
      <c r="K251" s="846">
        <v>0.1</v>
      </c>
      <c r="L251" s="847" t="str">
        <f t="shared" si="12"/>
        <v>10%</v>
      </c>
      <c r="M251" s="848" t="str">
        <f t="shared" si="13"/>
        <v>Flame Res +10%</v>
      </c>
      <c r="N251" s="309">
        <v>4</v>
      </c>
      <c r="O251" s="309">
        <v>130</v>
      </c>
      <c r="P251" s="309">
        <v>80</v>
      </c>
      <c r="Q251" s="261" t="s">
        <v>13862</v>
      </c>
      <c r="R251" s="261"/>
      <c r="S251" s="261" t="s">
        <v>14487</v>
      </c>
      <c r="T251" s="846">
        <v>0.1</v>
      </c>
      <c r="U251" s="847" t="str">
        <f t="shared" si="14"/>
        <v>10%</v>
      </c>
      <c r="V251" s="848" t="str">
        <f t="shared" si="15"/>
        <v>Flame Res +10%</v>
      </c>
      <c r="W251" s="857" t="str">
        <f>+INDEX(Endvr!$A$2:$K$3001,MATCH(B251,Endvr!$G:$G,0),MATCH("Description",Endvr!$A$2:$K$2,0))&amp;" ("&amp;INDEX(Endvr!$A$2:$K$3001,MATCH(B251,Endvr!$G:$G,0),MATCH("Event Name",Endvr!$A$2:$K$2,0))&amp;")"</f>
        <v>Read Episode 5 of the Event Story (The Miracle of Dragonyule)</v>
      </c>
      <c r="X251" t="s">
        <v>13958</v>
      </c>
      <c r="Y251" t="s">
        <v>14001</v>
      </c>
      <c r="AA251" s="45"/>
    </row>
    <row r="252" spans="1:27" x14ac:dyDescent="0.2">
      <c r="A252" s="856">
        <v>400408</v>
      </c>
      <c r="B252" s="844" t="s">
        <v>14509</v>
      </c>
      <c r="C252" s="844" t="s">
        <v>14510</v>
      </c>
      <c r="D252" s="845">
        <v>43830</v>
      </c>
      <c r="E252" s="309">
        <v>4</v>
      </c>
      <c r="F252" s="309">
        <v>70</v>
      </c>
      <c r="G252" s="309">
        <v>26</v>
      </c>
      <c r="H252" s="261"/>
      <c r="I252" s="261"/>
      <c r="J252" s="261" t="s">
        <v>13966</v>
      </c>
      <c r="K252" s="846">
        <v>0.1</v>
      </c>
      <c r="L252" s="847" t="str">
        <f t="shared" si="12"/>
        <v>10%</v>
      </c>
      <c r="M252" s="848" t="str">
        <f t="shared" si="13"/>
        <v>Flurry Devastation +10%</v>
      </c>
      <c r="N252" s="309">
        <v>4</v>
      </c>
      <c r="O252" s="309">
        <v>130</v>
      </c>
      <c r="P252" s="309">
        <v>80</v>
      </c>
      <c r="Q252" s="261" t="s">
        <v>13915</v>
      </c>
      <c r="R252" s="261" t="s">
        <v>2837</v>
      </c>
      <c r="S252" s="261" t="s">
        <v>13966</v>
      </c>
      <c r="T252" s="846">
        <v>0.12</v>
      </c>
      <c r="U252" s="847" t="str">
        <f t="shared" si="14"/>
        <v>12%</v>
      </c>
      <c r="V252" s="848" t="str">
        <f t="shared" si="15"/>
        <v>(Light) Flurry Devastation +12%</v>
      </c>
      <c r="W252" s="857" t="str">
        <f>+INDEX(Endvr!$A$2:$K$3001,MATCH(B252,Endvr!$G:$G,0),MATCH("Description",Endvr!$A$2:$K$2,0))&amp;" ("&amp;INDEX(Endvr!$A$2:$K$3001,MATCH(B252,Endvr!$G:$G,0),MATCH("Event Name",Endvr!$A$2:$K$2,0))&amp;")"</f>
        <v>Clear Ebisu Showdown: Expert (A Clawful Caper)</v>
      </c>
      <c r="X252" t="s">
        <v>13958</v>
      </c>
      <c r="Y252" t="s">
        <v>14158</v>
      </c>
      <c r="AA252" s="45"/>
    </row>
    <row r="253" spans="1:27" x14ac:dyDescent="0.2">
      <c r="A253" s="856">
        <v>400406</v>
      </c>
      <c r="B253" s="844" t="s">
        <v>14511</v>
      </c>
      <c r="C253" s="844" t="s">
        <v>14512</v>
      </c>
      <c r="D253" s="845">
        <v>43830</v>
      </c>
      <c r="E253" s="309">
        <v>4</v>
      </c>
      <c r="F253" s="309">
        <v>61</v>
      </c>
      <c r="G253" s="309">
        <v>17</v>
      </c>
      <c r="H253" s="261"/>
      <c r="I253" s="261" t="s">
        <v>2837</v>
      </c>
      <c r="J253" s="261" t="s">
        <v>14022</v>
      </c>
      <c r="K253" s="846">
        <v>0.25</v>
      </c>
      <c r="L253" s="847" t="str">
        <f t="shared" si="12"/>
        <v>25%</v>
      </c>
      <c r="M253" s="848" t="str">
        <f t="shared" si="13"/>
        <v>(Light) Buff Skill Time +25%</v>
      </c>
      <c r="N253" s="309">
        <v>4</v>
      </c>
      <c r="O253" s="309">
        <v>130</v>
      </c>
      <c r="P253" s="309">
        <v>80</v>
      </c>
      <c r="Q253" s="261" t="s">
        <v>13915</v>
      </c>
      <c r="R253" s="261" t="s">
        <v>2837</v>
      </c>
      <c r="S253" s="261" t="s">
        <v>14022</v>
      </c>
      <c r="T253" s="846">
        <v>0.25</v>
      </c>
      <c r="U253" s="847" t="str">
        <f t="shared" si="14"/>
        <v>25%</v>
      </c>
      <c r="V253" s="848" t="str">
        <f t="shared" si="15"/>
        <v>(Light) Buff Skill Time +25%</v>
      </c>
      <c r="W253" s="857" t="str">
        <f>+INDEX(Endvr!$A$2:$K$3001,MATCH(B253,Endvr!$G:$G,0),MATCH("Description",Endvr!$A$2:$K$2,0))&amp;" ("&amp;INDEX(Endvr!$A$2:$K$3001,MATCH(B253,Endvr!$G:$G,0),MATCH("Event Name",Endvr!$A$2:$K$2,0))&amp;")"</f>
        <v>Clear Into the Woods (A Clawful Caper)</v>
      </c>
      <c r="X253" t="s">
        <v>13958</v>
      </c>
      <c r="Y253" t="s">
        <v>14158</v>
      </c>
      <c r="AA253" s="45"/>
    </row>
    <row r="254" spans="1:27" x14ac:dyDescent="0.2">
      <c r="A254" s="856">
        <v>400410</v>
      </c>
      <c r="B254" s="844" t="s">
        <v>14513</v>
      </c>
      <c r="C254" s="844" t="s">
        <v>14514</v>
      </c>
      <c r="D254" s="845">
        <v>43844</v>
      </c>
      <c r="E254" s="309">
        <v>4</v>
      </c>
      <c r="F254" s="309">
        <v>71</v>
      </c>
      <c r="G254" s="309">
        <v>25</v>
      </c>
      <c r="H254" s="261"/>
      <c r="I254" s="261"/>
      <c r="J254" s="261" t="s">
        <v>14261</v>
      </c>
      <c r="K254" s="846">
        <v>0.25</v>
      </c>
      <c r="L254" s="847" t="str">
        <f t="shared" si="12"/>
        <v>25%</v>
      </c>
      <c r="M254" s="848" t="str">
        <f t="shared" si="13"/>
        <v>Poisoned Punisher +25%</v>
      </c>
      <c r="N254" s="309">
        <v>4</v>
      </c>
      <c r="O254" s="309">
        <v>130</v>
      </c>
      <c r="P254" s="309">
        <v>80</v>
      </c>
      <c r="Q254" s="261" t="s">
        <v>645</v>
      </c>
      <c r="R254" s="261"/>
      <c r="S254" s="261" t="s">
        <v>14261</v>
      </c>
      <c r="T254" s="846">
        <v>0.25</v>
      </c>
      <c r="U254" s="847" t="str">
        <f t="shared" si="14"/>
        <v>25%</v>
      </c>
      <c r="V254" s="848" t="str">
        <f t="shared" si="15"/>
        <v>Poisoned Punisher +25%</v>
      </c>
      <c r="W254" s="857" t="str">
        <f>+INDEX(Endvr!$A$2:$K$3001,MATCH(B254,Endvr!$G:$G,0),MATCH("Description",Endvr!$A$2:$K$2,0))&amp;" ("&amp;INDEX(Endvr!$A$2:$K$3001,MATCH(B254,Endvr!$G:$G,0),MATCH("Event Name",Endvr!$A$2:$K$2,0))&amp;")"</f>
        <v>Obtain From Ch. 14 EX 1 Chest (Very Hard) (Non-Endeavor)</v>
      </c>
      <c r="X254" t="s">
        <v>13843</v>
      </c>
      <c r="Y254" t="s">
        <v>13918</v>
      </c>
      <c r="Z254" t="s">
        <v>14127</v>
      </c>
      <c r="AA254" s="98"/>
    </row>
    <row r="255" spans="1:27" x14ac:dyDescent="0.2">
      <c r="A255" s="856">
        <v>400415</v>
      </c>
      <c r="B255" s="844" t="s">
        <v>14515</v>
      </c>
      <c r="C255" s="844" t="s">
        <v>14516</v>
      </c>
      <c r="D255" s="845">
        <v>43859</v>
      </c>
      <c r="E255" s="309">
        <v>4</v>
      </c>
      <c r="F255" s="309">
        <v>61</v>
      </c>
      <c r="G255" s="309">
        <v>17</v>
      </c>
      <c r="H255" s="261"/>
      <c r="I255" s="261"/>
      <c r="J255" s="261" t="s">
        <v>14000</v>
      </c>
      <c r="K255" s="846">
        <v>0.1</v>
      </c>
      <c r="L255" s="847" t="str">
        <f t="shared" si="12"/>
        <v>10%</v>
      </c>
      <c r="M255" s="848" t="str">
        <f t="shared" si="13"/>
        <v>HP 70% = Defense +10%</v>
      </c>
      <c r="N255" s="309">
        <v>4</v>
      </c>
      <c r="O255" s="309">
        <v>130</v>
      </c>
      <c r="P255" s="309">
        <v>80</v>
      </c>
      <c r="Q255" s="261" t="s">
        <v>13855</v>
      </c>
      <c r="R255" s="261"/>
      <c r="S255" s="261" t="s">
        <v>241</v>
      </c>
      <c r="T255" s="846">
        <v>0.15</v>
      </c>
      <c r="U255" s="847" t="str">
        <f t="shared" si="14"/>
        <v>15%</v>
      </c>
      <c r="V255" s="848" t="str">
        <f t="shared" si="15"/>
        <v>Defense +15%</v>
      </c>
      <c r="W255" s="857" t="str">
        <f>+INDEX(Endvr!$A$2:$K$3001,MATCH(B255,Endvr!$G:$G,0),MATCH("Description",Endvr!$A$2:$K$2,0))&amp;" ("&amp;INDEX(Endvr!$A$2:$K$3001,MATCH(B255,Endvr!$G:$G,0),MATCH("Event Name",Endvr!$A$2:$K$2,0))&amp;")"</f>
        <v>Clear The King's Descent (Monster Hunter Primal Crisis)</v>
      </c>
      <c r="X255" t="s">
        <v>14075</v>
      </c>
      <c r="Y255" s="87" t="s">
        <v>14166</v>
      </c>
      <c r="AA255" s="45"/>
    </row>
    <row r="256" spans="1:27" x14ac:dyDescent="0.2">
      <c r="A256" s="856">
        <v>400414</v>
      </c>
      <c r="B256" s="844" t="s">
        <v>14517</v>
      </c>
      <c r="C256" s="844" t="s">
        <v>14518</v>
      </c>
      <c r="D256" s="845">
        <v>43875</v>
      </c>
      <c r="E256" s="309">
        <v>4</v>
      </c>
      <c r="F256" s="309">
        <v>73</v>
      </c>
      <c r="G256" s="309">
        <v>23</v>
      </c>
      <c r="H256" s="261" t="s">
        <v>949</v>
      </c>
      <c r="I256" s="261"/>
      <c r="J256" s="261" t="s">
        <v>13882</v>
      </c>
      <c r="K256" s="846">
        <v>0.1</v>
      </c>
      <c r="L256" s="847" t="str">
        <f t="shared" si="12"/>
        <v>10%</v>
      </c>
      <c r="M256" s="848" t="str">
        <f t="shared" si="13"/>
        <v>Recovery Potency +10%</v>
      </c>
      <c r="N256" s="309">
        <v>4</v>
      </c>
      <c r="O256" s="309">
        <v>130</v>
      </c>
      <c r="P256" s="309">
        <v>80</v>
      </c>
      <c r="Q256" s="261" t="s">
        <v>13892</v>
      </c>
      <c r="R256" s="261"/>
      <c r="S256" s="261" t="s">
        <v>13882</v>
      </c>
      <c r="T256" s="846">
        <v>0.12</v>
      </c>
      <c r="U256" s="847" t="str">
        <f t="shared" si="14"/>
        <v>12%</v>
      </c>
      <c r="V256" s="848" t="str">
        <f t="shared" si="15"/>
        <v>Recovery Potency +12%</v>
      </c>
      <c r="W256" s="857" t="str">
        <f>+INDEX(Endvr!$A$2:$K$3001,MATCH(B256,Endvr!$G:$G,0),MATCH("Description",Endvr!$A$2:$K$2,0))</f>
        <v>Clear Mercury's Trial: Master</v>
      </c>
      <c r="X256" t="s">
        <v>13843</v>
      </c>
      <c r="Y256" t="s">
        <v>13994</v>
      </c>
      <c r="Z256" t="s">
        <v>1103</v>
      </c>
      <c r="AA256" s="45"/>
    </row>
    <row r="257" spans="1:27" x14ac:dyDescent="0.2">
      <c r="A257" s="856">
        <v>400286</v>
      </c>
      <c r="B257" s="844" t="s">
        <v>14519</v>
      </c>
      <c r="C257" s="844" t="s">
        <v>14520</v>
      </c>
      <c r="D257" s="845">
        <v>43889</v>
      </c>
      <c r="E257" s="309">
        <v>4</v>
      </c>
      <c r="F257" s="309">
        <v>70</v>
      </c>
      <c r="G257" s="309">
        <v>26</v>
      </c>
      <c r="H257" s="261"/>
      <c r="I257" s="261"/>
      <c r="J257" s="261" t="s">
        <v>13966</v>
      </c>
      <c r="K257" s="846">
        <v>0.1</v>
      </c>
      <c r="L257" s="847" t="str">
        <f t="shared" si="12"/>
        <v>10%</v>
      </c>
      <c r="M257" s="848" t="str">
        <f t="shared" si="13"/>
        <v>Flurry Devastation +10%</v>
      </c>
      <c r="N257" s="309">
        <v>4</v>
      </c>
      <c r="O257" s="309">
        <v>130</v>
      </c>
      <c r="P257" s="309">
        <v>80</v>
      </c>
      <c r="Q257" s="261" t="s">
        <v>645</v>
      </c>
      <c r="R257" s="261"/>
      <c r="S257" s="261" t="s">
        <v>13966</v>
      </c>
      <c r="T257" s="846">
        <v>0.1</v>
      </c>
      <c r="U257" s="847" t="str">
        <f t="shared" si="14"/>
        <v>10%</v>
      </c>
      <c r="V257" s="848" t="str">
        <f t="shared" si="15"/>
        <v>Flurry Devastation +10%</v>
      </c>
      <c r="W257" s="857" t="str">
        <f>+INDEX(Endvr!$A$2:$K$3001,MATCH(B257,Endvr!$G:$G,0),MATCH("Description",Endvr!$A$2:$K$2,0))&amp;" ("&amp;INDEX(Endvr!$A$2:$K$3001,MATCH(B257,Endvr!$G:$G,0),MATCH("Event Name",Endvr!$A$2:$K$2,0))&amp;")"</f>
        <v>Clear Nature's Bounty - À La Carte: Standard (A Dash of Disaster)</v>
      </c>
      <c r="X257" t="s">
        <v>13958</v>
      </c>
      <c r="Y257" t="s">
        <v>14181</v>
      </c>
      <c r="AA257" s="45"/>
    </row>
    <row r="258" spans="1:27" x14ac:dyDescent="0.2">
      <c r="A258" s="856">
        <v>400421</v>
      </c>
      <c r="B258" s="844" t="s">
        <v>14521</v>
      </c>
      <c r="C258" s="844" t="s">
        <v>14522</v>
      </c>
      <c r="D258" s="845">
        <v>43902</v>
      </c>
      <c r="E258" s="309">
        <v>4</v>
      </c>
      <c r="F258" s="309">
        <v>70</v>
      </c>
      <c r="G258" s="309">
        <v>26</v>
      </c>
      <c r="H258" s="261" t="s">
        <v>123</v>
      </c>
      <c r="I258" s="261"/>
      <c r="J258" s="261" t="s">
        <v>9612</v>
      </c>
      <c r="K258" s="846">
        <v>0.2</v>
      </c>
      <c r="L258" s="847" t="str">
        <f t="shared" si="12"/>
        <v>20%</v>
      </c>
      <c r="M258" s="848" t="str">
        <f t="shared" si="13"/>
        <v>Skill Damage +20%</v>
      </c>
      <c r="N258" s="309">
        <v>4</v>
      </c>
      <c r="O258" s="309">
        <v>130</v>
      </c>
      <c r="P258" s="309">
        <v>80</v>
      </c>
      <c r="Q258" s="261" t="s">
        <v>123</v>
      </c>
      <c r="R258" s="261"/>
      <c r="S258" s="261" t="s">
        <v>9612</v>
      </c>
      <c r="T258" s="846">
        <v>0.2</v>
      </c>
      <c r="U258" s="847" t="str">
        <f t="shared" si="14"/>
        <v>20%</v>
      </c>
      <c r="V258" s="848" t="str">
        <f t="shared" si="15"/>
        <v>Skill Damage +20%</v>
      </c>
      <c r="W258" s="857" t="str">
        <f>+INDEX(Endvr!$A$2:$K$3001,MATCH(B258,Endvr!$G:$G,0),MATCH("Description",Endvr!$A$2:$K$2,0))</f>
        <v>Clear Avenue to Power: Expert</v>
      </c>
      <c r="X258" t="s">
        <v>13843</v>
      </c>
      <c r="Y258" t="s">
        <v>13943</v>
      </c>
      <c r="AA258" s="45"/>
    </row>
    <row r="259" spans="1:27" x14ac:dyDescent="0.2">
      <c r="A259" s="856">
        <v>400386</v>
      </c>
      <c r="B259" s="844" t="s">
        <v>14523</v>
      </c>
      <c r="C259" s="844" t="s">
        <v>14524</v>
      </c>
      <c r="D259" s="845">
        <v>43921</v>
      </c>
      <c r="E259" s="309">
        <v>4</v>
      </c>
      <c r="F259" s="309">
        <v>76</v>
      </c>
      <c r="G259" s="309">
        <v>20</v>
      </c>
      <c r="H259" s="261" t="s">
        <v>949</v>
      </c>
      <c r="I259" s="261"/>
      <c r="J259" s="261" t="s">
        <v>14394</v>
      </c>
      <c r="K259" s="846">
        <v>0.5</v>
      </c>
      <c r="L259" s="847" t="str">
        <f t="shared" ref="L259:L322" si="16">IF(K259="","",TEXT(K259,"0%"))</f>
        <v>50%</v>
      </c>
      <c r="M259" s="848" t="str">
        <f t="shared" ref="M259:M322" si="17">IF(I259="",J259,"("&amp;I259&amp;") "&amp;J259)&amp;IF(K259="",""," +"&amp;L259)</f>
        <v>Last Defense +50%</v>
      </c>
      <c r="N259" s="309">
        <v>4</v>
      </c>
      <c r="O259" s="309">
        <v>130</v>
      </c>
      <c r="P259" s="309">
        <v>80</v>
      </c>
      <c r="Q259" s="261" t="s">
        <v>949</v>
      </c>
      <c r="R259" s="261"/>
      <c r="S259" s="261" t="s">
        <v>14394</v>
      </c>
      <c r="T259" s="846">
        <v>0.6</v>
      </c>
      <c r="U259" s="847" t="str">
        <f t="shared" ref="U259:U322" si="18">IF(T259="","",TEXT(T259,"0%"))</f>
        <v>60%</v>
      </c>
      <c r="V259" s="848" t="str">
        <f t="shared" ref="V259:V322" si="19">IF(R259="",S259,"("&amp;R259&amp;") "&amp;S259)&amp;IF(T259="",""," +"&amp;U259)</f>
        <v>Last Defense +60%</v>
      </c>
      <c r="W259" s="857" t="str">
        <f>+INDEX(Endvr!$A$2:$K$3001,MATCH(B259,Endvr!$G:$G,0),MATCH("Description",Endvr!$A$2:$K$2,0))&amp;" ("&amp;INDEX(Endvr!$A$2:$K$3001,MATCH(B259,Endvr!$G:$G,0),MATCH("Event Name",Endvr!$A$2:$K$2,0))&amp;")"</f>
        <v>Clear Light Manticore Assault: Expert (Scars of the Syndicate)</v>
      </c>
      <c r="X259" t="s">
        <v>13958</v>
      </c>
      <c r="Y259" t="s">
        <v>14201</v>
      </c>
      <c r="AA259" s="45"/>
    </row>
    <row r="260" spans="1:27" x14ac:dyDescent="0.2">
      <c r="A260" s="856">
        <v>400422</v>
      </c>
      <c r="B260" s="844" t="s">
        <v>14525</v>
      </c>
      <c r="C260" s="844" t="s">
        <v>14526</v>
      </c>
      <c r="D260" s="845">
        <v>43921</v>
      </c>
      <c r="E260" s="309">
        <v>4</v>
      </c>
      <c r="F260" s="309">
        <v>61</v>
      </c>
      <c r="G260" s="309">
        <v>17</v>
      </c>
      <c r="H260" s="261"/>
      <c r="I260" s="261"/>
      <c r="J260" s="261" t="s">
        <v>14433</v>
      </c>
      <c r="K260" s="846">
        <v>0.5</v>
      </c>
      <c r="L260" s="847" t="str">
        <f t="shared" si="16"/>
        <v>50%</v>
      </c>
      <c r="M260" s="848" t="str">
        <f t="shared" si="17"/>
        <v>Blindness Res +50%</v>
      </c>
      <c r="N260" s="309">
        <v>4</v>
      </c>
      <c r="O260" s="309">
        <v>130</v>
      </c>
      <c r="P260" s="309">
        <v>80</v>
      </c>
      <c r="Q260" s="261" t="s">
        <v>13906</v>
      </c>
      <c r="R260" s="261"/>
      <c r="S260" s="261" t="s">
        <v>14258</v>
      </c>
      <c r="T260" s="846">
        <v>0.2</v>
      </c>
      <c r="U260" s="847" t="str">
        <f t="shared" si="18"/>
        <v>20%</v>
      </c>
      <c r="V260" s="848" t="str">
        <f t="shared" si="19"/>
        <v>Shadowblighted Punisher +20%</v>
      </c>
      <c r="W260" s="857" t="str">
        <f>+INDEX(Endvr!$A$2:$K$3001,MATCH(B260,Endvr!$G:$G,0),MATCH("Description",Endvr!$A$2:$K$2,0))&amp;" ("&amp;INDEX(Endvr!$A$2:$K$3001,MATCH(B260,Endvr!$G:$G,0),MATCH("Event Name",Endvr!$A$2:$K$2,0))&amp;")"</f>
        <v>Clear Hour of Retribution (Scars of the Syndicate)</v>
      </c>
      <c r="X260" t="s">
        <v>13958</v>
      </c>
      <c r="Y260" t="s">
        <v>14201</v>
      </c>
      <c r="AA260" s="98"/>
    </row>
    <row r="261" spans="1:27" x14ac:dyDescent="0.2">
      <c r="A261" s="856">
        <v>400169</v>
      </c>
      <c r="B261" s="844" t="s">
        <v>14527</v>
      </c>
      <c r="C261" s="844" t="s">
        <v>14528</v>
      </c>
      <c r="D261" s="845">
        <v>43934</v>
      </c>
      <c r="E261" s="309">
        <v>4</v>
      </c>
      <c r="F261" s="309">
        <v>71</v>
      </c>
      <c r="G261" s="309">
        <v>25</v>
      </c>
      <c r="H261" s="261"/>
      <c r="I261" s="261"/>
      <c r="J261" s="261" t="s">
        <v>14338</v>
      </c>
      <c r="K261" s="846">
        <v>0.2</v>
      </c>
      <c r="L261" s="847" t="str">
        <f t="shared" si="16"/>
        <v>20%</v>
      </c>
      <c r="M261" s="848" t="str">
        <f t="shared" si="17"/>
        <v>Frostbitten Punisher +20%</v>
      </c>
      <c r="N261" s="309">
        <v>4</v>
      </c>
      <c r="O261" s="309">
        <v>130</v>
      </c>
      <c r="P261" s="309">
        <v>80</v>
      </c>
      <c r="Q261" s="261" t="s">
        <v>13862</v>
      </c>
      <c r="R261" s="261"/>
      <c r="S261" s="261" t="s">
        <v>14338</v>
      </c>
      <c r="T261" s="846">
        <v>0.25</v>
      </c>
      <c r="U261" s="847" t="str">
        <f t="shared" si="18"/>
        <v>25%</v>
      </c>
      <c r="V261" s="848" t="str">
        <f t="shared" si="19"/>
        <v>Frostbitten Punisher +25%</v>
      </c>
      <c r="W261" s="857" t="str">
        <f>+INDEX(Endvr!$A$2:$K$3001,MATCH(B261,Endvr!$G:$G,0),MATCH("Description",Endvr!$A$2:$K$2,0))&amp;" ("&amp;INDEX(Endvr!$A$2:$K$3001,MATCH(B261,Endvr!$G:$G,0),MATCH("Event Name",Endvr!$A$2:$K$2,0))&amp;")"</f>
        <v>Obtain From Ch. 07 EX 1 Chest (Hard) (Non-Endeavor)</v>
      </c>
      <c r="X261" t="s">
        <v>13843</v>
      </c>
      <c r="Y261" t="s">
        <v>13918</v>
      </c>
      <c r="Z261" t="s">
        <v>13938</v>
      </c>
      <c r="AA261" s="45"/>
    </row>
    <row r="262" spans="1:27" x14ac:dyDescent="0.2">
      <c r="A262" s="856">
        <v>400430</v>
      </c>
      <c r="B262" s="844" t="s">
        <v>14529</v>
      </c>
      <c r="C262" s="844" t="s">
        <v>14530</v>
      </c>
      <c r="D262" s="845">
        <v>43963</v>
      </c>
      <c r="E262" s="309">
        <v>4</v>
      </c>
      <c r="F262" s="309">
        <v>73</v>
      </c>
      <c r="G262" s="309">
        <v>23</v>
      </c>
      <c r="H262" s="261" t="s">
        <v>13906</v>
      </c>
      <c r="I262" s="261"/>
      <c r="J262" s="261" t="s">
        <v>14090</v>
      </c>
      <c r="K262" s="846">
        <v>0.14000000000000001</v>
      </c>
      <c r="L262" s="847" t="str">
        <f t="shared" si="16"/>
        <v>14%</v>
      </c>
      <c r="M262" s="848" t="str">
        <f t="shared" si="17"/>
        <v>Dragon Damage +14%</v>
      </c>
      <c r="N262" s="309">
        <v>4</v>
      </c>
      <c r="O262" s="309">
        <v>130</v>
      </c>
      <c r="P262" s="309">
        <v>80</v>
      </c>
      <c r="Q262" s="261" t="s">
        <v>13906</v>
      </c>
      <c r="R262" s="261"/>
      <c r="S262" s="261" t="s">
        <v>14090</v>
      </c>
      <c r="T262" s="846">
        <v>0.14000000000000001</v>
      </c>
      <c r="U262" s="847" t="str">
        <f t="shared" si="18"/>
        <v>14%</v>
      </c>
      <c r="V262" s="848" t="str">
        <f t="shared" si="19"/>
        <v>Dragon Damage +14%</v>
      </c>
      <c r="W262" s="857" t="str">
        <f>+INDEX(Endvr!$A$2:$K$3001,MATCH(B262,Endvr!$G:$G,0),MATCH("Description",Endvr!$A$2:$K$2,0))</f>
        <v>Clear Zodiark's Trial: Master</v>
      </c>
      <c r="X262" t="s">
        <v>13843</v>
      </c>
      <c r="Y262" t="s">
        <v>13994</v>
      </c>
      <c r="Z262" t="s">
        <v>3779</v>
      </c>
      <c r="AA262" s="45"/>
    </row>
    <row r="263" spans="1:27" x14ac:dyDescent="0.2">
      <c r="A263" s="856">
        <v>400432</v>
      </c>
      <c r="B263" s="844" t="s">
        <v>14531</v>
      </c>
      <c r="C263" s="844" t="s">
        <v>14532</v>
      </c>
      <c r="D263" s="845">
        <v>43978</v>
      </c>
      <c r="E263" s="309">
        <v>4</v>
      </c>
      <c r="F263" s="309">
        <v>59</v>
      </c>
      <c r="G263" s="309">
        <v>19</v>
      </c>
      <c r="H263" s="261"/>
      <c r="I263" s="261"/>
      <c r="J263" s="261" t="s">
        <v>14191</v>
      </c>
      <c r="K263" s="846">
        <v>0.08</v>
      </c>
      <c r="L263" s="847" t="str">
        <f t="shared" si="16"/>
        <v>8%</v>
      </c>
      <c r="M263" s="848" t="str">
        <f t="shared" si="17"/>
        <v>Strength Doublebuff +8%</v>
      </c>
      <c r="N263" s="309">
        <v>4</v>
      </c>
      <c r="O263" s="309">
        <v>130</v>
      </c>
      <c r="P263" s="309">
        <v>80</v>
      </c>
      <c r="Q263" s="261" t="s">
        <v>13892</v>
      </c>
      <c r="R263" s="261"/>
      <c r="S263" s="261" t="s">
        <v>14191</v>
      </c>
      <c r="T263" s="846">
        <v>0.1</v>
      </c>
      <c r="U263" s="847" t="str">
        <f t="shared" si="18"/>
        <v>10%</v>
      </c>
      <c r="V263" s="848" t="str">
        <f t="shared" si="19"/>
        <v>Strength Doublebuff +10%</v>
      </c>
      <c r="W263" s="857" t="str">
        <f>+INDEX(Endvr!$A$2:$K$3001,MATCH(B263,Endvr!$G:$G,0),MATCH("Description",Endvr!$A$2:$K$2,0))&amp;" ("&amp;INDEX(Endvr!$A$2:$K$3001,MATCH(B263,Endvr!$G:$G,0),MATCH("Event Name",Endvr!$A$2:$K$2,0))&amp;")"</f>
        <v>Clear Escaping the Cave (Timeworn Torment)</v>
      </c>
      <c r="X263" t="s">
        <v>13958</v>
      </c>
      <c r="Y263" t="s">
        <v>14214</v>
      </c>
      <c r="AA263" s="45"/>
    </row>
    <row r="264" spans="1:27" x14ac:dyDescent="0.2">
      <c r="A264" s="856">
        <v>400434</v>
      </c>
      <c r="B264" s="844" t="s">
        <v>14533</v>
      </c>
      <c r="C264" s="844" t="s">
        <v>14534</v>
      </c>
      <c r="D264" s="845">
        <v>43978</v>
      </c>
      <c r="E264" s="309">
        <v>4</v>
      </c>
      <c r="F264" s="309">
        <v>71</v>
      </c>
      <c r="G264" s="309">
        <v>25</v>
      </c>
      <c r="H264" s="261" t="s">
        <v>645</v>
      </c>
      <c r="I264" s="261"/>
      <c r="J264" s="261" t="s">
        <v>14188</v>
      </c>
      <c r="K264" s="846">
        <v>0.1</v>
      </c>
      <c r="L264" s="847" t="str">
        <f t="shared" si="16"/>
        <v>10%</v>
      </c>
      <c r="M264" s="848" t="str">
        <f t="shared" si="17"/>
        <v>Striking Haste +10%</v>
      </c>
      <c r="N264" s="309">
        <v>4</v>
      </c>
      <c r="O264" s="309">
        <v>130</v>
      </c>
      <c r="P264" s="309">
        <v>80</v>
      </c>
      <c r="Q264" s="261" t="s">
        <v>645</v>
      </c>
      <c r="R264" s="261"/>
      <c r="S264" s="261" t="s">
        <v>14188</v>
      </c>
      <c r="T264" s="846">
        <v>0.1</v>
      </c>
      <c r="U264" s="847" t="str">
        <f t="shared" si="18"/>
        <v>10%</v>
      </c>
      <c r="V264" s="848" t="str">
        <f t="shared" si="19"/>
        <v>Striking Haste +10%</v>
      </c>
      <c r="W264" s="857" t="str">
        <f>+INDEX(Endvr!$A$2:$K$3001,MATCH(B264,Endvr!$G:$G,0),MATCH("Description",Endvr!$A$2:$K$2,0))&amp;" ("&amp;INDEX(Endvr!$A$2:$K$3001,MATCH(B264,Endvr!$G:$G,0),MATCH("Event Name",Endvr!$A$2:$K$2,0))&amp;")"</f>
        <v>Clear Fighting for a Chance (Timeworn Torment)</v>
      </c>
      <c r="X264" t="s">
        <v>13958</v>
      </c>
      <c r="Y264" t="s">
        <v>14214</v>
      </c>
      <c r="AA264" s="45"/>
    </row>
    <row r="265" spans="1:27" x14ac:dyDescent="0.2">
      <c r="A265" s="856">
        <v>400284</v>
      </c>
      <c r="B265" s="844" t="s">
        <v>14535</v>
      </c>
      <c r="C265" s="844" t="s">
        <v>14536</v>
      </c>
      <c r="D265" s="845">
        <v>43994</v>
      </c>
      <c r="E265" s="309">
        <v>4</v>
      </c>
      <c r="F265" s="309">
        <v>78</v>
      </c>
      <c r="G265" s="309">
        <v>19</v>
      </c>
      <c r="H265" s="261" t="s">
        <v>13855</v>
      </c>
      <c r="I265" s="261"/>
      <c r="J265" s="261" t="s">
        <v>7727</v>
      </c>
      <c r="K265" s="846"/>
      <c r="L265" s="847" t="str">
        <f t="shared" si="16"/>
        <v/>
      </c>
      <c r="M265" s="848" t="str">
        <f t="shared" si="17"/>
        <v>Life Shield Prep III</v>
      </c>
      <c r="N265" s="309">
        <v>4</v>
      </c>
      <c r="O265" s="309">
        <v>130</v>
      </c>
      <c r="P265" s="309">
        <v>80</v>
      </c>
      <c r="Q265" s="261" t="s">
        <v>13855</v>
      </c>
      <c r="R265" s="261"/>
      <c r="S265" s="261" t="s">
        <v>7727</v>
      </c>
      <c r="T265" s="846"/>
      <c r="U265" s="847" t="str">
        <f t="shared" si="18"/>
        <v/>
      </c>
      <c r="V265" s="848" t="str">
        <f t="shared" si="19"/>
        <v>Life Shield Prep III</v>
      </c>
      <c r="W265" s="857" t="str">
        <f>+INDEX(Endvr!$A$2:$K$3001,MATCH(B265,Endvr!$G:$G,0),MATCH("Description",Endvr!$A$2:$K$2,0))&amp;" ("&amp;INDEX(Endvr!$A$2:$K$3001,MATCH(B265,Endvr!$G:$G,0),MATCH("Event Name",Endvr!$A$2:$K$2,0))&amp;")"</f>
        <v>Clear Battle at the Wartarch Ruins: Standard (The Imperial Onslaught)</v>
      </c>
      <c r="X265" t="s">
        <v>13843</v>
      </c>
      <c r="Y265" t="s">
        <v>13954</v>
      </c>
      <c r="Z265" t="s">
        <v>3779</v>
      </c>
      <c r="AA265" s="45"/>
    </row>
    <row r="266" spans="1:27" x14ac:dyDescent="0.2">
      <c r="A266" s="856">
        <v>400438</v>
      </c>
      <c r="B266" s="844" t="s">
        <v>14537</v>
      </c>
      <c r="C266" s="844" t="s">
        <v>14538</v>
      </c>
      <c r="D266" s="845">
        <v>44008</v>
      </c>
      <c r="E266" s="309">
        <v>4</v>
      </c>
      <c r="F266" s="309">
        <v>71</v>
      </c>
      <c r="G266" s="309">
        <v>25</v>
      </c>
      <c r="H266" s="261"/>
      <c r="I266" s="261"/>
      <c r="J266" s="261" t="s">
        <v>14270</v>
      </c>
      <c r="K266" s="846">
        <v>0.04</v>
      </c>
      <c r="L266" s="847" t="str">
        <f t="shared" si="16"/>
        <v>4%</v>
      </c>
      <c r="M266" s="848" t="str">
        <f t="shared" si="17"/>
        <v>Bleeding Punisher +4%</v>
      </c>
      <c r="N266" s="309">
        <v>4</v>
      </c>
      <c r="O266" s="309">
        <v>130</v>
      </c>
      <c r="P266" s="309">
        <v>80</v>
      </c>
      <c r="Q266" s="261" t="s">
        <v>759</v>
      </c>
      <c r="R266" s="261"/>
      <c r="S266" s="261" t="s">
        <v>14270</v>
      </c>
      <c r="T266" s="846">
        <v>0.1</v>
      </c>
      <c r="U266" s="847" t="str">
        <f t="shared" si="18"/>
        <v>10%</v>
      </c>
      <c r="V266" s="848" t="str">
        <f t="shared" si="19"/>
        <v>Bleeding Punisher +10%</v>
      </c>
      <c r="W266" s="857" t="str">
        <f>+INDEX(Endvr!$A$2:$K$3001,MATCH(B266,Endvr!$G:$G,0),MATCH("Description",Endvr!$A$2:$K$2,0))&amp;" ("&amp;INDEX(Endvr!$A$2:$K$3001,MATCH(B266,Endvr!$G:$G,0),MATCH("Event Name",Endvr!$A$2:$K$2,0))&amp;")"</f>
        <v>Clear Frenetic Fiend Festival: Expert (Rhythmic Resolutions)</v>
      </c>
      <c r="X266" t="s">
        <v>13958</v>
      </c>
      <c r="Y266" t="s">
        <v>14220</v>
      </c>
      <c r="AA266" s="45"/>
    </row>
    <row r="267" spans="1:27" x14ac:dyDescent="0.2">
      <c r="A267" s="856">
        <v>400440</v>
      </c>
      <c r="B267" s="844" t="s">
        <v>14539</v>
      </c>
      <c r="C267" s="844" t="s">
        <v>14540</v>
      </c>
      <c r="D267" s="845">
        <v>44025</v>
      </c>
      <c r="E267" s="309">
        <v>4</v>
      </c>
      <c r="F267" s="309">
        <v>71</v>
      </c>
      <c r="G267" s="309">
        <v>25</v>
      </c>
      <c r="H267" s="261" t="s">
        <v>13936</v>
      </c>
      <c r="I267" s="261"/>
      <c r="J267" s="261" t="s">
        <v>13937</v>
      </c>
      <c r="K267" s="846">
        <v>0.15</v>
      </c>
      <c r="L267" s="847" t="str">
        <f t="shared" si="16"/>
        <v>15%</v>
      </c>
      <c r="M267" s="848" t="str">
        <f t="shared" si="17"/>
        <v>Dragon Time +15%</v>
      </c>
      <c r="N267" s="309">
        <v>4</v>
      </c>
      <c r="O267" s="309">
        <v>130</v>
      </c>
      <c r="P267" s="309">
        <v>80</v>
      </c>
      <c r="Q267" s="261" t="s">
        <v>13936</v>
      </c>
      <c r="R267" s="261"/>
      <c r="S267" s="261" t="s">
        <v>13937</v>
      </c>
      <c r="T267" s="846">
        <v>0.15</v>
      </c>
      <c r="U267" s="847" t="str">
        <f t="shared" si="18"/>
        <v>15%</v>
      </c>
      <c r="V267" s="848" t="str">
        <f t="shared" si="19"/>
        <v>Dragon Time +15%</v>
      </c>
      <c r="W267" s="857" t="str">
        <f>+INDEX(Endvr!$A$2:$K$3001,MATCH(B267,Endvr!$G:$G,0),MATCH("Description",Endvr!$A$2:$K$2,0))&amp;" ("&amp;INDEX(Endvr!$A$2:$K$3001,MATCH(B267,Endvr!$G:$G,0),MATCH("Event Name",Endvr!$A$2:$K$2,0))&amp;")"</f>
        <v>Obtain From Ch. 08 EX 1 Chest (Very Hard) (Non-Endeavor)</v>
      </c>
      <c r="X267" t="s">
        <v>13843</v>
      </c>
      <c r="Y267" t="s">
        <v>13918</v>
      </c>
      <c r="Z267" t="s">
        <v>14082</v>
      </c>
      <c r="AA267" s="45"/>
    </row>
    <row r="268" spans="1:27" x14ac:dyDescent="0.2">
      <c r="A268" s="856">
        <v>400443</v>
      </c>
      <c r="B268" s="844" t="s">
        <v>14541</v>
      </c>
      <c r="C268" s="844" t="s">
        <v>14542</v>
      </c>
      <c r="D268" s="845">
        <v>44040</v>
      </c>
      <c r="E268" s="309">
        <v>4</v>
      </c>
      <c r="F268" s="309">
        <v>61</v>
      </c>
      <c r="G268" s="309">
        <v>17</v>
      </c>
      <c r="H268" s="261"/>
      <c r="I268" s="261"/>
      <c r="J268" s="261" t="s">
        <v>14543</v>
      </c>
      <c r="K268" s="846">
        <v>0.1</v>
      </c>
      <c r="L268" s="847" t="str">
        <f t="shared" si="16"/>
        <v>10%</v>
      </c>
      <c r="M268" s="848" t="str">
        <f t="shared" si="17"/>
        <v>Water Res +10%</v>
      </c>
      <c r="N268" s="309">
        <v>4</v>
      </c>
      <c r="O268" s="309">
        <v>130</v>
      </c>
      <c r="P268" s="309">
        <v>80</v>
      </c>
      <c r="Q268" s="261" t="s">
        <v>13889</v>
      </c>
      <c r="R268" s="261"/>
      <c r="S268" s="261" t="s">
        <v>14543</v>
      </c>
      <c r="T268" s="846">
        <v>0.1</v>
      </c>
      <c r="U268" s="847" t="str">
        <f t="shared" si="18"/>
        <v>10%</v>
      </c>
      <c r="V268" s="848" t="str">
        <f t="shared" si="19"/>
        <v>Water Res +10%</v>
      </c>
      <c r="W268" s="857" t="str">
        <f>+INDEX(Endvr!$A$2:$K$3001,MATCH(B268,Endvr!$G:$G,0),MATCH("Description",Endvr!$A$2:$K$2,0))&amp;" ("&amp;INDEX(Endvr!$A$2:$K$3001,MATCH(B268,Endvr!$G:$G,0),MATCH("Event Name",Endvr!$A$2:$K$2,0))&amp;")"</f>
        <v>Clear Assault on Admiral Pincers: Beginner (Doomsday Getaway)</v>
      </c>
      <c r="X268" t="s">
        <v>13958</v>
      </c>
      <c r="Y268" t="s">
        <v>14229</v>
      </c>
      <c r="AA268" s="45"/>
    </row>
    <row r="269" spans="1:27" x14ac:dyDescent="0.2">
      <c r="A269" s="856">
        <v>400444</v>
      </c>
      <c r="B269" s="844" t="s">
        <v>14544</v>
      </c>
      <c r="C269" s="844" t="s">
        <v>14545</v>
      </c>
      <c r="D269" s="845">
        <v>44040</v>
      </c>
      <c r="E269" s="309">
        <v>4</v>
      </c>
      <c r="F269" s="309">
        <v>71</v>
      </c>
      <c r="G269" s="309">
        <v>25</v>
      </c>
      <c r="H269" s="261" t="s">
        <v>759</v>
      </c>
      <c r="I269" s="261"/>
      <c r="J269" s="261" t="s">
        <v>13863</v>
      </c>
      <c r="K269" s="846">
        <v>0.06</v>
      </c>
      <c r="L269" s="847" t="str">
        <f t="shared" si="16"/>
        <v>6%</v>
      </c>
      <c r="M269" s="848" t="str">
        <f t="shared" si="17"/>
        <v>Skill Haste +6%</v>
      </c>
      <c r="N269" s="309">
        <v>4</v>
      </c>
      <c r="O269" s="309">
        <v>130</v>
      </c>
      <c r="P269" s="309">
        <v>80</v>
      </c>
      <c r="Q269" s="261" t="s">
        <v>759</v>
      </c>
      <c r="R269" s="261"/>
      <c r="S269" s="261" t="s">
        <v>13863</v>
      </c>
      <c r="T269" s="846">
        <v>0.06</v>
      </c>
      <c r="U269" s="847" t="str">
        <f t="shared" si="18"/>
        <v>6%</v>
      </c>
      <c r="V269" s="848" t="str">
        <f t="shared" si="19"/>
        <v>Skill Haste +6%</v>
      </c>
      <c r="W269" s="857" t="str">
        <f>+INDEX(Endvr!$A$2:$K$3001,MATCH(B269,Endvr!$G:$G,0),MATCH("Description",Endvr!$A$2:$K$2,0))&amp;" ("&amp;INDEX(Endvr!$A$2:$K$3001,MATCH(B269,Endvr!$G:$G,0),MATCH("Event Name",Endvr!$A$2:$K$2,0))&amp;")"</f>
        <v>Clear Assault on Admiral Pincers: Expert (Doomsday Getaway)</v>
      </c>
      <c r="X269" t="s">
        <v>13958</v>
      </c>
      <c r="Y269" t="s">
        <v>14229</v>
      </c>
      <c r="AA269" s="45"/>
    </row>
    <row r="270" spans="1:27" x14ac:dyDescent="0.2">
      <c r="A270" s="856">
        <v>400446</v>
      </c>
      <c r="B270" s="844" t="s">
        <v>14546</v>
      </c>
      <c r="C270" s="844" t="s">
        <v>14547</v>
      </c>
      <c r="D270" s="845">
        <v>44054</v>
      </c>
      <c r="E270" s="309">
        <v>4</v>
      </c>
      <c r="F270" s="309">
        <v>70</v>
      </c>
      <c r="G270" s="309">
        <v>26</v>
      </c>
      <c r="H270" s="261"/>
      <c r="I270" s="261" t="s">
        <v>429</v>
      </c>
      <c r="J270" s="261" t="s">
        <v>13852</v>
      </c>
      <c r="K270" s="846">
        <v>0.12</v>
      </c>
      <c r="L270" s="847" t="str">
        <f t="shared" si="16"/>
        <v>12%</v>
      </c>
      <c r="M270" s="848" t="str">
        <f t="shared" si="17"/>
        <v>(Dagger) Critical Rate +12%</v>
      </c>
      <c r="N270" s="309">
        <v>4</v>
      </c>
      <c r="O270" s="309">
        <v>130</v>
      </c>
      <c r="P270" s="309">
        <v>80</v>
      </c>
      <c r="Q270" s="261" t="s">
        <v>123</v>
      </c>
      <c r="R270" s="261" t="s">
        <v>429</v>
      </c>
      <c r="S270" s="261" t="s">
        <v>13852</v>
      </c>
      <c r="T270" s="846">
        <v>0.12</v>
      </c>
      <c r="U270" s="847" t="str">
        <f t="shared" si="18"/>
        <v>12%</v>
      </c>
      <c r="V270" s="848" t="str">
        <f t="shared" si="19"/>
        <v>(Dagger) Critical Rate +12%</v>
      </c>
      <c r="W270" s="857" t="str">
        <f>+INDEX(Endvr!$A$2:$K$3001,MATCH(B270,Endvr!$G:$G,0),MATCH("Description",Endvr!$A$2:$K$2,0))&amp;" ("&amp;INDEX(Endvr!$A$2:$K$3001,MATCH(B270,Endvr!$G:$G,0),MATCH("Event Name",Endvr!$A$2:$K$2,0))&amp;")"</f>
        <v>Obtain From Ch. 13 EX 1 Chest (Hard) (Non-Endeavor)</v>
      </c>
      <c r="X270" t="s">
        <v>13843</v>
      </c>
      <c r="Y270" t="s">
        <v>13918</v>
      </c>
      <c r="Z270" t="s">
        <v>14178</v>
      </c>
      <c r="AA270" s="45"/>
    </row>
    <row r="271" spans="1:27" x14ac:dyDescent="0.2">
      <c r="A271" s="856">
        <v>400155</v>
      </c>
      <c r="B271" s="844" t="s">
        <v>14548</v>
      </c>
      <c r="C271" s="844" t="s">
        <v>14549</v>
      </c>
      <c r="D271" s="845">
        <v>44071</v>
      </c>
      <c r="E271" s="309">
        <v>4</v>
      </c>
      <c r="F271" s="309">
        <v>73</v>
      </c>
      <c r="G271" s="309">
        <v>22</v>
      </c>
      <c r="H271" s="261" t="s">
        <v>13895</v>
      </c>
      <c r="I271" s="261"/>
      <c r="J271" s="261" t="s">
        <v>14550</v>
      </c>
      <c r="K271" s="846">
        <v>0.2</v>
      </c>
      <c r="L271" s="847" t="str">
        <f t="shared" si="16"/>
        <v>20%</v>
      </c>
      <c r="M271" s="848" t="str">
        <f t="shared" si="17"/>
        <v>Sleeping Punisher +20%</v>
      </c>
      <c r="N271" s="309">
        <v>4</v>
      </c>
      <c r="O271" s="309">
        <v>130</v>
      </c>
      <c r="P271" s="309">
        <v>80</v>
      </c>
      <c r="Q271" s="261" t="s">
        <v>13895</v>
      </c>
      <c r="R271" s="261"/>
      <c r="S271" s="261" t="s">
        <v>14550</v>
      </c>
      <c r="T271" s="846">
        <v>0.25</v>
      </c>
      <c r="U271" s="847" t="str">
        <f t="shared" si="18"/>
        <v>25%</v>
      </c>
      <c r="V271" s="848" t="str">
        <f t="shared" si="19"/>
        <v>Sleeping Punisher +25%</v>
      </c>
      <c r="W271" s="857" t="str">
        <f>+INDEX(Endvr!$A$2:$K$3001,MATCH(B271,Endvr!$G:$G,0),MATCH("Description",Endvr!$A$2:$K$2,0))&amp;" ("&amp;INDEX(Endvr!$A$2:$K$3001,MATCH(B271,Endvr!$G:$G,0),MATCH("Event Name",Endvr!$A$2:$K$2,0))&amp;")"</f>
        <v>Clear The Goddess's Will: Expert (Agents of the Goddess)</v>
      </c>
      <c r="X271" t="s">
        <v>13958</v>
      </c>
      <c r="Y271" t="s">
        <v>14236</v>
      </c>
      <c r="AA271" s="45"/>
    </row>
    <row r="272" spans="1:27" x14ac:dyDescent="0.2">
      <c r="A272" s="856">
        <v>400449</v>
      </c>
      <c r="B272" s="844" t="s">
        <v>14551</v>
      </c>
      <c r="C272" s="844" t="s">
        <v>14552</v>
      </c>
      <c r="D272" s="845">
        <v>44085</v>
      </c>
      <c r="E272" s="309">
        <v>4</v>
      </c>
      <c r="F272" s="309">
        <v>70</v>
      </c>
      <c r="G272" s="309">
        <v>26</v>
      </c>
      <c r="H272" s="261" t="s">
        <v>13855</v>
      </c>
      <c r="I272" s="261"/>
      <c r="J272" s="261" t="s">
        <v>13933</v>
      </c>
      <c r="K272" s="846">
        <v>0.15</v>
      </c>
      <c r="L272" s="847" t="str">
        <f t="shared" si="16"/>
        <v>15%</v>
      </c>
      <c r="M272" s="848" t="str">
        <f t="shared" si="17"/>
        <v>Full HP = Healing +15%</v>
      </c>
      <c r="N272" s="309">
        <v>4</v>
      </c>
      <c r="O272" s="309">
        <v>130</v>
      </c>
      <c r="P272" s="309">
        <v>80</v>
      </c>
      <c r="Q272" s="261" t="s">
        <v>13855</v>
      </c>
      <c r="R272" s="261"/>
      <c r="S272" s="261" t="s">
        <v>13882</v>
      </c>
      <c r="T272" s="846">
        <v>0.12</v>
      </c>
      <c r="U272" s="847" t="str">
        <f t="shared" si="18"/>
        <v>12%</v>
      </c>
      <c r="V272" s="848" t="str">
        <f t="shared" si="19"/>
        <v>Recovery Potency +12%</v>
      </c>
      <c r="W272" s="857" t="str">
        <f>+INDEX(Endvr!$A$2:$K$3001,MATCH(B272,Endvr!$G:$G,0),MATCH("Description",Endvr!$A$2:$K$2,0))&amp;" ("&amp;INDEX(Endvr!$A$2:$K$3001,MATCH(B272,Endvr!$G:$G,0),MATCH("Event Name",Endvr!$A$2:$K$2,0))&amp;")"</f>
        <v>Clear Battle at Myriage Lake: Master (The Imperial Onslaught)</v>
      </c>
      <c r="X272" t="s">
        <v>13843</v>
      </c>
      <c r="Y272" t="s">
        <v>13954</v>
      </c>
      <c r="Z272" t="s">
        <v>2837</v>
      </c>
      <c r="AA272" s="45"/>
    </row>
    <row r="273" spans="1:30" x14ac:dyDescent="0.2">
      <c r="A273" s="856">
        <v>400132</v>
      </c>
      <c r="B273" s="844" t="s">
        <v>14553</v>
      </c>
      <c r="C273" s="844" t="s">
        <v>14554</v>
      </c>
      <c r="D273" s="845">
        <v>44098</v>
      </c>
      <c r="E273" s="309">
        <v>4</v>
      </c>
      <c r="F273" s="309">
        <v>71</v>
      </c>
      <c r="G273" s="309">
        <v>25</v>
      </c>
      <c r="H273" s="261"/>
      <c r="I273" s="261"/>
      <c r="J273" s="261" t="s">
        <v>13982</v>
      </c>
      <c r="K273" s="846">
        <v>0.5</v>
      </c>
      <c r="L273" s="847" t="str">
        <f t="shared" si="16"/>
        <v>50%</v>
      </c>
      <c r="M273" s="848" t="str">
        <f t="shared" si="17"/>
        <v>Skill Prep +50%</v>
      </c>
      <c r="N273" s="309">
        <v>4</v>
      </c>
      <c r="O273" s="309">
        <v>130</v>
      </c>
      <c r="P273" s="309">
        <v>80</v>
      </c>
      <c r="Q273" s="261" t="s">
        <v>543</v>
      </c>
      <c r="R273" s="261"/>
      <c r="S273" s="261" t="s">
        <v>13982</v>
      </c>
      <c r="T273" s="846">
        <v>0.5</v>
      </c>
      <c r="U273" s="847" t="str">
        <f t="shared" si="18"/>
        <v>50%</v>
      </c>
      <c r="V273" s="848" t="str">
        <f t="shared" si="19"/>
        <v>Skill Prep +50%</v>
      </c>
      <c r="W273" s="857" t="str">
        <f>+INDEX(Endvr!$A$2:$K$3001,MATCH(B273,Endvr!$G:$G,0),MATCH("Description",Endvr!$A$2:$K$2,0))&amp;" ("&amp;INDEX(Endvr!$A$2:$K$3001,MATCH(B273,Endvr!$G:$G,0),MATCH("Event Name",Endvr!$A$2:$K$2,0))&amp;")"</f>
        <v>Obtain From Ch. 08 EX 1 Chest (Normal) (Non-Endeavor)</v>
      </c>
      <c r="X273" t="s">
        <v>13843</v>
      </c>
      <c r="Y273" t="s">
        <v>13918</v>
      </c>
      <c r="Z273" t="s">
        <v>14082</v>
      </c>
      <c r="AA273" s="45"/>
    </row>
    <row r="274" spans="1:30" x14ac:dyDescent="0.2">
      <c r="A274" s="856">
        <v>400453</v>
      </c>
      <c r="B274" s="844" t="s">
        <v>14555</v>
      </c>
      <c r="C274" s="844" t="s">
        <v>14556</v>
      </c>
      <c r="D274" s="845">
        <v>44104</v>
      </c>
      <c r="E274" s="309">
        <v>4</v>
      </c>
      <c r="F274" s="309">
        <v>71</v>
      </c>
      <c r="G274" s="309">
        <v>25</v>
      </c>
      <c r="H274" s="261" t="s">
        <v>13895</v>
      </c>
      <c r="I274" s="261"/>
      <c r="J274" s="261" t="s">
        <v>14232</v>
      </c>
      <c r="K274" s="846">
        <v>0.15</v>
      </c>
      <c r="L274" s="847" t="str">
        <f t="shared" si="16"/>
        <v>15%</v>
      </c>
      <c r="M274" s="848" t="str">
        <f t="shared" si="17"/>
        <v>Stunned Punisher +15%</v>
      </c>
      <c r="N274" s="309">
        <v>4</v>
      </c>
      <c r="O274" s="309">
        <v>130</v>
      </c>
      <c r="P274" s="309">
        <v>80</v>
      </c>
      <c r="Q274" s="261" t="s">
        <v>13895</v>
      </c>
      <c r="R274" s="261"/>
      <c r="S274" s="261" t="s">
        <v>14232</v>
      </c>
      <c r="T274" s="846">
        <v>0.2</v>
      </c>
      <c r="U274" s="847" t="str">
        <f t="shared" si="18"/>
        <v>20%</v>
      </c>
      <c r="V274" s="848" t="str">
        <f t="shared" si="19"/>
        <v>Stunned Punisher +20%</v>
      </c>
      <c r="W274" s="857" t="str">
        <f>+INDEX(Endvr!$A$2:$K$3001,MATCH(B274,Endvr!$G:$G,0),MATCH("Description",Endvr!$A$2:$K$2,0))&amp;" ("&amp;INDEX(Endvr!$A$2:$K$3001,MATCH(B274,Endvr!$G:$G,0),MATCH("Event Name",Endvr!$A$2:$K$2,0))&amp;")"</f>
        <v>Clear Morsayati Clash: Nightmare (Forgotten Truths)</v>
      </c>
      <c r="X274" t="s">
        <v>13958</v>
      </c>
      <c r="Y274" t="s">
        <v>14245</v>
      </c>
      <c r="AA274" s="45"/>
    </row>
    <row r="275" spans="1:30" x14ac:dyDescent="0.2">
      <c r="A275" s="856">
        <v>400451</v>
      </c>
      <c r="B275" s="844" t="s">
        <v>14557</v>
      </c>
      <c r="C275" s="844" t="s">
        <v>14558</v>
      </c>
      <c r="D275" s="845">
        <v>44104</v>
      </c>
      <c r="E275" s="309">
        <v>4</v>
      </c>
      <c r="F275" s="309">
        <v>71</v>
      </c>
      <c r="G275" s="309">
        <v>25</v>
      </c>
      <c r="H275" s="261"/>
      <c r="I275" s="261"/>
      <c r="J275" s="261" t="s">
        <v>14342</v>
      </c>
      <c r="K275" s="846">
        <v>0.14000000000000001</v>
      </c>
      <c r="L275" s="847" t="str">
        <f t="shared" si="16"/>
        <v>14%</v>
      </c>
      <c r="M275" s="848" t="str">
        <f t="shared" si="17"/>
        <v>Debuff Skill Time +14%</v>
      </c>
      <c r="N275" s="309">
        <v>4</v>
      </c>
      <c r="O275" s="309">
        <v>130</v>
      </c>
      <c r="P275" s="309">
        <v>80</v>
      </c>
      <c r="Q275" s="261" t="s">
        <v>759</v>
      </c>
      <c r="R275" s="261"/>
      <c r="S275" s="261" t="s">
        <v>14342</v>
      </c>
      <c r="T275" s="846">
        <v>0.2</v>
      </c>
      <c r="U275" s="847" t="str">
        <f t="shared" si="18"/>
        <v>20%</v>
      </c>
      <c r="V275" s="848" t="str">
        <f t="shared" si="19"/>
        <v>Debuff Skill Time +20%</v>
      </c>
      <c r="W275" s="857" t="str">
        <f>+INDEX(Endvr!$A$2:$K$3001,MATCH(B275,Endvr!$G:$G,0),MATCH("Description",Endvr!$A$2:$K$2,0))&amp;" ("&amp;INDEX(Endvr!$A$2:$K$3001,MATCH(B275,Endvr!$G:$G,0),MATCH("Event Name",Endvr!$A$2:$K$2,0))&amp;")"</f>
        <v>Clear Android Attack (Forgotten Truths)</v>
      </c>
      <c r="X275" t="s">
        <v>13958</v>
      </c>
      <c r="Y275" t="s">
        <v>14245</v>
      </c>
      <c r="AA275" s="45"/>
    </row>
    <row r="276" spans="1:30" x14ac:dyDescent="0.2">
      <c r="A276" s="856">
        <v>400455</v>
      </c>
      <c r="B276" s="844" t="s">
        <v>14559</v>
      </c>
      <c r="C276" s="844" t="s">
        <v>14560</v>
      </c>
      <c r="D276" s="845">
        <v>44120</v>
      </c>
      <c r="E276" s="309">
        <v>4</v>
      </c>
      <c r="F276" s="309">
        <v>71</v>
      </c>
      <c r="G276" s="309">
        <v>25</v>
      </c>
      <c r="H276" s="261"/>
      <c r="I276" s="261"/>
      <c r="J276" s="261" t="s">
        <v>13982</v>
      </c>
      <c r="K276" s="846">
        <v>0.25</v>
      </c>
      <c r="L276" s="847" t="str">
        <f t="shared" si="16"/>
        <v>25%</v>
      </c>
      <c r="M276" s="848" t="str">
        <f t="shared" si="17"/>
        <v>Skill Prep +25%</v>
      </c>
      <c r="N276" s="309">
        <v>4</v>
      </c>
      <c r="O276" s="309">
        <v>130</v>
      </c>
      <c r="P276" s="309">
        <v>80</v>
      </c>
      <c r="Q276" s="261" t="s">
        <v>13847</v>
      </c>
      <c r="R276" s="261"/>
      <c r="S276" s="261" t="s">
        <v>13982</v>
      </c>
      <c r="T276" s="846">
        <v>0.5</v>
      </c>
      <c r="U276" s="847" t="str">
        <f t="shared" si="18"/>
        <v>50%</v>
      </c>
      <c r="V276" s="848" t="str">
        <f t="shared" si="19"/>
        <v>Skill Prep +50%</v>
      </c>
      <c r="W276" s="857" t="str">
        <f>+INDEX(Endvr!$A$2:$K$3001,MATCH(B276,Endvr!$G:$G,0),MATCH("Description",Endvr!$A$2:$K$2,0))</f>
        <v>Clear Brunhilda's Trial: Master</v>
      </c>
      <c r="X276" t="s">
        <v>13843</v>
      </c>
      <c r="Y276" t="s">
        <v>13994</v>
      </c>
      <c r="Z276" t="s">
        <v>122</v>
      </c>
      <c r="AA276" s="45"/>
    </row>
    <row r="277" spans="1:30" x14ac:dyDescent="0.2">
      <c r="A277" s="856">
        <v>400458</v>
      </c>
      <c r="B277" s="844" t="s">
        <v>14561</v>
      </c>
      <c r="C277" s="844" t="s">
        <v>14562</v>
      </c>
      <c r="D277" s="845">
        <v>44131</v>
      </c>
      <c r="E277" s="309">
        <v>4</v>
      </c>
      <c r="F277" s="309">
        <v>70</v>
      </c>
      <c r="G277" s="309">
        <v>26</v>
      </c>
      <c r="H277" s="261"/>
      <c r="I277" s="261" t="s">
        <v>1054</v>
      </c>
      <c r="J277" s="261" t="s">
        <v>13852</v>
      </c>
      <c r="K277" s="846">
        <v>0.12</v>
      </c>
      <c r="L277" s="847" t="str">
        <f t="shared" si="16"/>
        <v>12%</v>
      </c>
      <c r="M277" s="848" t="str">
        <f t="shared" si="17"/>
        <v>(Manacaster) Critical Rate +12%</v>
      </c>
      <c r="N277" s="309">
        <v>4</v>
      </c>
      <c r="O277" s="309">
        <v>130</v>
      </c>
      <c r="P277" s="309">
        <v>80</v>
      </c>
      <c r="Q277" s="261" t="s">
        <v>123</v>
      </c>
      <c r="R277" s="261" t="s">
        <v>1054</v>
      </c>
      <c r="S277" s="261" t="s">
        <v>13852</v>
      </c>
      <c r="T277" s="846">
        <v>0.12</v>
      </c>
      <c r="U277" s="847" t="str">
        <f t="shared" si="18"/>
        <v>12%</v>
      </c>
      <c r="V277" s="848" t="str">
        <f t="shared" si="19"/>
        <v>(Manacaster) Critical Rate +12%</v>
      </c>
      <c r="W277" s="857" t="str">
        <f>+INDEX(Endvr!$A$2:$K$3001,MATCH(B277,Endvr!$G:$G,0),MATCH("Description",Endvr!$A$2:$K$2,0))&amp;" ("&amp;INDEX(Endvr!$A$2:$K$3001,MATCH(B277,Endvr!$G:$G,0),MATCH("Event Name",Endvr!$A$2:$K$2,0))&amp;")"</f>
        <v>Clear Fiend Opera Overture: Expert (The Phantom's Ransom)</v>
      </c>
      <c r="X277" t="s">
        <v>13958</v>
      </c>
      <c r="Y277" t="s">
        <v>14255</v>
      </c>
      <c r="AA277" s="98"/>
      <c r="AD277" s="1"/>
    </row>
    <row r="278" spans="1:30" x14ac:dyDescent="0.2">
      <c r="A278" s="856">
        <v>400460</v>
      </c>
      <c r="B278" s="844" t="s">
        <v>14563</v>
      </c>
      <c r="C278" s="844" t="s">
        <v>14564</v>
      </c>
      <c r="D278" s="845">
        <v>44148</v>
      </c>
      <c r="E278" s="309">
        <v>4</v>
      </c>
      <c r="F278" s="309">
        <v>70</v>
      </c>
      <c r="G278" s="309">
        <v>26</v>
      </c>
      <c r="H278" s="261" t="s">
        <v>123</v>
      </c>
      <c r="I278" s="261" t="s">
        <v>1054</v>
      </c>
      <c r="J278" s="261" t="s">
        <v>8958</v>
      </c>
      <c r="K278" s="846">
        <v>0.17</v>
      </c>
      <c r="L278" s="847" t="str">
        <f t="shared" si="16"/>
        <v>17%</v>
      </c>
      <c r="M278" s="848" t="str">
        <f t="shared" si="17"/>
        <v>(Manacaster) Critical Damage +17%</v>
      </c>
      <c r="N278" s="309">
        <v>4</v>
      </c>
      <c r="O278" s="309">
        <v>130</v>
      </c>
      <c r="P278" s="309">
        <v>80</v>
      </c>
      <c r="Q278" s="261" t="s">
        <v>123</v>
      </c>
      <c r="R278" s="261" t="s">
        <v>1054</v>
      </c>
      <c r="S278" s="261" t="s">
        <v>8958</v>
      </c>
      <c r="T278" s="846">
        <v>0.2</v>
      </c>
      <c r="U278" s="847" t="str">
        <f t="shared" si="18"/>
        <v>20%</v>
      </c>
      <c r="V278" s="848" t="str">
        <f t="shared" si="19"/>
        <v>(Manacaster) Critical Damage +20%</v>
      </c>
      <c r="W278" s="857" t="str">
        <f>+INDEX(Endvr!$A$2:$K$3001,MATCH(B278,Endvr!$G:$G,0),MATCH("Description",Endvr!$A$2:$K$2,0))&amp;" ("&amp;INDEX(Endvr!$A$2:$K$3001,MATCH(B278,Endvr!$G:$G,0),MATCH("Event Name",Endvr!$A$2:$K$2,0))&amp;")"</f>
        <v>Obtain From Ch. 15 EX 1 Chest (Hard) (Non-Endeavor)</v>
      </c>
      <c r="X278" t="s">
        <v>13843</v>
      </c>
      <c r="Y278" t="s">
        <v>13918</v>
      </c>
      <c r="Z278" t="s">
        <v>14133</v>
      </c>
      <c r="AA278" s="45"/>
      <c r="AD278" s="74"/>
    </row>
    <row r="279" spans="1:30" x14ac:dyDescent="0.2">
      <c r="A279" s="856">
        <v>400464</v>
      </c>
      <c r="B279" s="844" t="s">
        <v>14565</v>
      </c>
      <c r="C279" s="844" t="s">
        <v>14566</v>
      </c>
      <c r="D279" s="845">
        <v>44196</v>
      </c>
      <c r="E279" s="309">
        <v>4</v>
      </c>
      <c r="F279" s="309">
        <v>61</v>
      </c>
      <c r="G279" s="309">
        <v>17</v>
      </c>
      <c r="H279" s="261"/>
      <c r="I279" s="261" t="s">
        <v>122</v>
      </c>
      <c r="J279" s="261" t="s">
        <v>14022</v>
      </c>
      <c r="K279" s="846">
        <v>0.25</v>
      </c>
      <c r="L279" s="847" t="str">
        <f t="shared" si="16"/>
        <v>25%</v>
      </c>
      <c r="M279" s="848" t="str">
        <f t="shared" si="17"/>
        <v>(Flame) Buff Skill Time +25%</v>
      </c>
      <c r="N279" s="309">
        <v>4</v>
      </c>
      <c r="O279" s="309">
        <v>130</v>
      </c>
      <c r="P279" s="309">
        <v>80</v>
      </c>
      <c r="Q279" s="261" t="s">
        <v>13892</v>
      </c>
      <c r="R279" s="261" t="s">
        <v>122</v>
      </c>
      <c r="S279" s="261" t="s">
        <v>14022</v>
      </c>
      <c r="T279" s="846">
        <v>0.25</v>
      </c>
      <c r="U279" s="847" t="str">
        <f t="shared" si="18"/>
        <v>25%</v>
      </c>
      <c r="V279" s="848" t="str">
        <f t="shared" si="19"/>
        <v>(Flame) Buff Skill Time +25%</v>
      </c>
      <c r="W279" s="857" t="str">
        <f>+INDEX(Endvr!$A$2:$K$3001,MATCH(B279,Endvr!$G:$G,0),MATCH("Description",Endvr!$A$2:$K$2,0))&amp;" ("&amp;INDEX(Endvr!$A$2:$K$3001,MATCH(B279,Endvr!$G:$G,0),MATCH("Event Name",Endvr!$A$2:$K$2,0))&amp;")"</f>
        <v>Clear Through the Barrier (Cursed Connections)</v>
      </c>
      <c r="X279" t="s">
        <v>13958</v>
      </c>
      <c r="Y279" t="s">
        <v>14275</v>
      </c>
      <c r="AA279" s="45"/>
      <c r="AD279" s="74"/>
    </row>
    <row r="280" spans="1:30" x14ac:dyDescent="0.2">
      <c r="A280" s="856">
        <v>400470</v>
      </c>
      <c r="B280" s="844" t="s">
        <v>14567</v>
      </c>
      <c r="C280" s="844" t="s">
        <v>14568</v>
      </c>
      <c r="D280" s="845">
        <v>44227</v>
      </c>
      <c r="E280" s="309">
        <v>4</v>
      </c>
      <c r="F280" s="309">
        <v>57</v>
      </c>
      <c r="G280" s="309">
        <v>21</v>
      </c>
      <c r="H280" s="261" t="s">
        <v>645</v>
      </c>
      <c r="I280" s="261"/>
      <c r="J280" s="261" t="s">
        <v>14196</v>
      </c>
      <c r="K280" s="846">
        <v>0.05</v>
      </c>
      <c r="L280" s="847" t="str">
        <f t="shared" si="16"/>
        <v>5%</v>
      </c>
      <c r="M280" s="848" t="str">
        <f t="shared" si="17"/>
        <v>Striker's Strength +5%</v>
      </c>
      <c r="N280" s="309">
        <v>4</v>
      </c>
      <c r="O280" s="309">
        <v>130</v>
      </c>
      <c r="P280" s="309">
        <v>80</v>
      </c>
      <c r="Q280" s="261" t="s">
        <v>645</v>
      </c>
      <c r="R280" s="261"/>
      <c r="S280" s="261" t="s">
        <v>14196</v>
      </c>
      <c r="T280" s="846">
        <v>0.05</v>
      </c>
      <c r="U280" s="847" t="str">
        <f t="shared" si="18"/>
        <v>5%</v>
      </c>
      <c r="V280" s="848" t="str">
        <f t="shared" si="19"/>
        <v>Striker's Strength +5%</v>
      </c>
      <c r="W280" s="857" t="str">
        <f>+INDEX(Endvr!$A$2:$K$3001,MATCH(B280,Endvr!$G:$G,0),MATCH("Description",Endvr!$A$2:$K$2,0))&amp;" ("&amp;INDEX(Endvr!$A$2:$K$3001,MATCH(B280,Endvr!$G:$G,0),MATCH("Event Name",Endvr!$A$2:$K$2,0))&amp;")"</f>
        <v>Clear Take Your Heart (Persona 5 Strikers Caged Desire)</v>
      </c>
      <c r="X280" t="s">
        <v>14075</v>
      </c>
      <c r="Y280" s="87" t="s">
        <v>14278</v>
      </c>
      <c r="AA280" s="98"/>
      <c r="AD280" s="74"/>
    </row>
    <row r="281" spans="1:30" x14ac:dyDescent="0.2">
      <c r="A281" s="856">
        <v>400471</v>
      </c>
      <c r="B281" s="844" t="s">
        <v>14569</v>
      </c>
      <c r="C281" s="844" t="s">
        <v>14570</v>
      </c>
      <c r="D281" s="845">
        <v>44288</v>
      </c>
      <c r="E281" s="309">
        <v>4</v>
      </c>
      <c r="F281" s="309">
        <v>70</v>
      </c>
      <c r="G281" s="309">
        <v>26</v>
      </c>
      <c r="H281" s="261" t="s">
        <v>13889</v>
      </c>
      <c r="I281" s="261" t="s">
        <v>839</v>
      </c>
      <c r="J281" s="261" t="s">
        <v>13882</v>
      </c>
      <c r="K281" s="846">
        <v>0.15</v>
      </c>
      <c r="L281" s="847" t="str">
        <f t="shared" si="16"/>
        <v>15%</v>
      </c>
      <c r="M281" s="848" t="str">
        <f t="shared" si="17"/>
        <v>(Wand) Recovery Potency +15%</v>
      </c>
      <c r="N281" s="309">
        <v>4</v>
      </c>
      <c r="O281" s="309">
        <v>130</v>
      </c>
      <c r="P281" s="309">
        <v>80</v>
      </c>
      <c r="Q281" s="261" t="s">
        <v>13889</v>
      </c>
      <c r="R281" s="261" t="s">
        <v>839</v>
      </c>
      <c r="S281" s="261" t="s">
        <v>13882</v>
      </c>
      <c r="T281" s="846">
        <v>0.15</v>
      </c>
      <c r="U281" s="847" t="str">
        <f t="shared" si="18"/>
        <v>15%</v>
      </c>
      <c r="V281" s="848" t="str">
        <f t="shared" si="19"/>
        <v>(Wand) Recovery Potency +15%</v>
      </c>
      <c r="W281" s="857" t="str">
        <f>+INDEX(Endvr!$A$2:$K$3001,MATCH(B281,Endvr!$G:$G,0),MATCH("Description",Endvr!$A$2:$K$2,0))&amp;" ("&amp;INDEX(Endvr!$A$2:$K$3001,MATCH(B281,Endvr!$G:$G,0),MATCH("Event Name",Endvr!$A$2:$K$2,0))&amp;")"</f>
        <v>Clear Repelling Imperial Forces: Expert (Dawn of Dragalia)</v>
      </c>
      <c r="X281" t="s">
        <v>13958</v>
      </c>
      <c r="Y281" t="s">
        <v>14293</v>
      </c>
      <c r="AA281" s="45"/>
    </row>
    <row r="282" spans="1:30" x14ac:dyDescent="0.2">
      <c r="A282" s="856">
        <v>400161</v>
      </c>
      <c r="B282" s="844" t="s">
        <v>14571</v>
      </c>
      <c r="C282" s="844" t="s">
        <v>14572</v>
      </c>
      <c r="D282" s="845">
        <v>44344</v>
      </c>
      <c r="E282" s="309">
        <v>4</v>
      </c>
      <c r="F282" s="309">
        <v>70</v>
      </c>
      <c r="G282" s="309">
        <v>26</v>
      </c>
      <c r="H282" s="261" t="s">
        <v>543</v>
      </c>
      <c r="I282" s="261"/>
      <c r="J282" s="261" t="s">
        <v>13950</v>
      </c>
      <c r="K282" s="846">
        <v>0.4</v>
      </c>
      <c r="L282" s="847" t="str">
        <f t="shared" si="16"/>
        <v>40%</v>
      </c>
      <c r="M282" s="848" t="str">
        <f t="shared" si="17"/>
        <v>Force Strike +40%</v>
      </c>
      <c r="N282" s="309">
        <v>4</v>
      </c>
      <c r="O282" s="309">
        <v>130</v>
      </c>
      <c r="P282" s="309">
        <v>80</v>
      </c>
      <c r="Q282" s="261" t="s">
        <v>13862</v>
      </c>
      <c r="R282" s="261"/>
      <c r="S282" s="261" t="s">
        <v>13950</v>
      </c>
      <c r="T282" s="846">
        <v>0.4</v>
      </c>
      <c r="U282" s="847" t="str">
        <f t="shared" si="18"/>
        <v>40%</v>
      </c>
      <c r="V282" s="848" t="str">
        <f t="shared" si="19"/>
        <v>Force Strike +40%</v>
      </c>
      <c r="W282" s="857" t="str">
        <f>+INDEX(Endvr!$A$2:$K$3001,MATCH(B282,Endvr!$G:$G,0),MATCH("Description",Endvr!$A$2:$K$2,0))&amp;" ("&amp;INDEX(Endvr!$A$2:$K$3001,MATCH(B282,Endvr!$G:$G,0),MATCH("Event Name",Endvr!$A$2:$K$2,0))&amp;")"</f>
        <v>Clear Guardians of the Wood: Standard (The Children of Yggdrasil)</v>
      </c>
      <c r="X282" t="s">
        <v>13958</v>
      </c>
      <c r="Y282" t="s">
        <v>14303</v>
      </c>
      <c r="AA282" s="45"/>
    </row>
    <row r="283" spans="1:30" x14ac:dyDescent="0.2">
      <c r="A283" s="856">
        <v>400164</v>
      </c>
      <c r="B283" s="844" t="s">
        <v>14573</v>
      </c>
      <c r="C283" s="844" t="s">
        <v>14574</v>
      </c>
      <c r="D283" s="845">
        <v>44344</v>
      </c>
      <c r="E283" s="309">
        <v>4</v>
      </c>
      <c r="F283" s="309">
        <v>70</v>
      </c>
      <c r="G283" s="309">
        <v>26</v>
      </c>
      <c r="H283" s="261"/>
      <c r="I283" s="261"/>
      <c r="J283" s="261" t="s">
        <v>14068</v>
      </c>
      <c r="K283" s="846">
        <v>0.25</v>
      </c>
      <c r="L283" s="847" t="str">
        <f t="shared" si="16"/>
        <v>25%</v>
      </c>
      <c r="M283" s="848" t="str">
        <f t="shared" si="17"/>
        <v>Gauge Accelerator +25%</v>
      </c>
      <c r="N283" s="309">
        <v>4</v>
      </c>
      <c r="O283" s="309">
        <v>130</v>
      </c>
      <c r="P283" s="309">
        <v>80</v>
      </c>
      <c r="Q283" s="261" t="s">
        <v>645</v>
      </c>
      <c r="R283" s="261"/>
      <c r="S283" s="261" t="s">
        <v>14068</v>
      </c>
      <c r="T283" s="846">
        <v>0.25</v>
      </c>
      <c r="U283" s="847" t="str">
        <f t="shared" si="18"/>
        <v>25%</v>
      </c>
      <c r="V283" s="848" t="str">
        <f t="shared" si="19"/>
        <v>Gauge Accelerator +25%</v>
      </c>
      <c r="W283" s="857" t="str">
        <f>+INDEX(Endvr!$A$2:$K$3001,MATCH(B283,Endvr!$G:$G,0),MATCH("Description",Endvr!$A$2:$K$2,0))&amp;" ("&amp;INDEX(Endvr!$A$2:$K$3001,MATCH(B283,Endvr!$G:$G,0),MATCH("Event Name",Endvr!$A$2:$K$2,0))&amp;")"</f>
        <v>Clear Repelling the Forest's Aggressors: Master (The Children of Yggdrasil)</v>
      </c>
      <c r="X283" t="s">
        <v>13958</v>
      </c>
      <c r="Y283" t="s">
        <v>14303</v>
      </c>
      <c r="AA283" s="45"/>
    </row>
    <row r="284" spans="1:30" x14ac:dyDescent="0.2">
      <c r="A284" s="856">
        <v>400477</v>
      </c>
      <c r="B284" s="844" t="s">
        <v>14575</v>
      </c>
      <c r="C284" s="844" t="s">
        <v>14576</v>
      </c>
      <c r="D284" s="845">
        <v>44376</v>
      </c>
      <c r="E284" s="309">
        <v>4</v>
      </c>
      <c r="F284" s="309">
        <v>70</v>
      </c>
      <c r="G284" s="309">
        <v>26</v>
      </c>
      <c r="H284" s="261" t="s">
        <v>123</v>
      </c>
      <c r="I284" s="261" t="s">
        <v>429</v>
      </c>
      <c r="J284" s="261" t="s">
        <v>8958</v>
      </c>
      <c r="K284" s="846">
        <v>0.17</v>
      </c>
      <c r="L284" s="847" t="str">
        <f t="shared" si="16"/>
        <v>17%</v>
      </c>
      <c r="M284" s="848" t="str">
        <f t="shared" si="17"/>
        <v>(Dagger) Critical Damage +17%</v>
      </c>
      <c r="N284" s="309">
        <v>4</v>
      </c>
      <c r="O284" s="309">
        <v>130</v>
      </c>
      <c r="P284" s="309">
        <v>80</v>
      </c>
      <c r="Q284" s="261" t="s">
        <v>123</v>
      </c>
      <c r="R284" s="261" t="s">
        <v>429</v>
      </c>
      <c r="S284" s="261" t="s">
        <v>8958</v>
      </c>
      <c r="T284" s="846">
        <v>0.25</v>
      </c>
      <c r="U284" s="847" t="str">
        <f t="shared" si="18"/>
        <v>25%</v>
      </c>
      <c r="V284" s="848" t="str">
        <f t="shared" si="19"/>
        <v>(Dagger) Critical Damage +25%</v>
      </c>
      <c r="W284" s="857" t="str">
        <f>+INDEX(Endvr!$A$2:$K$3001,MATCH(B284,Endvr!$G:$G,0),MATCH("Description",Endvr!$A$2:$K$2,0))&amp;" ("&amp;INDEX(Endvr!$A$2:$K$3001,MATCH(B284,Endvr!$G:$G,0),MATCH("Event Name",Endvr!$A$2:$K$2,0))&amp;")"</f>
        <v>Clear The Stirring Abyss: Expert (Toll of the Deep)</v>
      </c>
      <c r="X284" t="s">
        <v>13958</v>
      </c>
      <c r="Y284" t="s">
        <v>14308</v>
      </c>
      <c r="AA284" s="45"/>
    </row>
    <row r="285" spans="1:30" x14ac:dyDescent="0.2">
      <c r="A285" s="856">
        <v>400480</v>
      </c>
      <c r="B285" s="844" t="s">
        <v>14577</v>
      </c>
      <c r="C285" s="844" t="s">
        <v>14578</v>
      </c>
      <c r="D285" s="845">
        <v>44435</v>
      </c>
      <c r="E285" s="309">
        <v>4</v>
      </c>
      <c r="F285" s="309">
        <v>57</v>
      </c>
      <c r="G285" s="309">
        <v>21</v>
      </c>
      <c r="H285" s="261" t="s">
        <v>13895</v>
      </c>
      <c r="I285" s="261" t="s">
        <v>1947</v>
      </c>
      <c r="J285" s="261" t="s">
        <v>13852</v>
      </c>
      <c r="K285" s="846">
        <v>0.08</v>
      </c>
      <c r="L285" s="847" t="str">
        <f t="shared" si="16"/>
        <v>8%</v>
      </c>
      <c r="M285" s="848" t="str">
        <f t="shared" si="17"/>
        <v>(Wind) Critical Rate +8%</v>
      </c>
      <c r="N285" s="309">
        <v>4</v>
      </c>
      <c r="O285" s="309">
        <v>130</v>
      </c>
      <c r="P285" s="309">
        <v>80</v>
      </c>
      <c r="Q285" s="261" t="s">
        <v>13895</v>
      </c>
      <c r="R285" s="261" t="s">
        <v>1947</v>
      </c>
      <c r="S285" s="261" t="s">
        <v>13852</v>
      </c>
      <c r="T285" s="846">
        <v>0.1</v>
      </c>
      <c r="U285" s="847" t="str">
        <f t="shared" si="18"/>
        <v>10%</v>
      </c>
      <c r="V285" s="848" t="str">
        <f t="shared" si="19"/>
        <v>(Wind) Critical Rate +10%</v>
      </c>
      <c r="W285" s="857" t="str">
        <f>+INDEX(Endvr!$A$2:$K$3001,MATCH(B285,Endvr!$G:$G,0),MATCH("Description",Endvr!$A$2:$K$2,0))&amp;" ("&amp;INDEX(Endvr!$A$2:$K$3001,MATCH(B285,Endvr!$G:$G,0),MATCH("Event Name",Endvr!$A$2:$K$2,0))&amp;")"</f>
        <v>Clear A Duel with the Black Raven: Standard (Knights of Alberia)</v>
      </c>
      <c r="X285" t="s">
        <v>13958</v>
      </c>
      <c r="Y285" t="s">
        <v>14316</v>
      </c>
      <c r="AA285" s="45"/>
    </row>
    <row r="286" spans="1:30" x14ac:dyDescent="0.2">
      <c r="A286" s="856">
        <v>400291</v>
      </c>
      <c r="B286" s="844" t="s">
        <v>14579</v>
      </c>
      <c r="C286" s="844" t="s">
        <v>14580</v>
      </c>
      <c r="D286" s="845">
        <v>44435</v>
      </c>
      <c r="E286" s="309">
        <v>4</v>
      </c>
      <c r="F286" s="309">
        <v>57</v>
      </c>
      <c r="G286" s="309">
        <v>21</v>
      </c>
      <c r="H286" s="261" t="s">
        <v>13842</v>
      </c>
      <c r="I286" s="261" t="s">
        <v>2837</v>
      </c>
      <c r="J286" s="261" t="s">
        <v>13863</v>
      </c>
      <c r="K286" s="846">
        <v>7.0000000000000007E-2</v>
      </c>
      <c r="L286" s="847" t="str">
        <f t="shared" si="16"/>
        <v>7%</v>
      </c>
      <c r="M286" s="848" t="str">
        <f t="shared" si="17"/>
        <v>(Light) Skill Haste +7%</v>
      </c>
      <c r="N286" s="309">
        <v>4</v>
      </c>
      <c r="O286" s="309">
        <v>130</v>
      </c>
      <c r="P286" s="309">
        <v>80</v>
      </c>
      <c r="Q286" s="261" t="s">
        <v>13915</v>
      </c>
      <c r="R286" s="261" t="s">
        <v>2837</v>
      </c>
      <c r="S286" s="261" t="s">
        <v>13863</v>
      </c>
      <c r="T286" s="846">
        <v>7.0000000000000007E-2</v>
      </c>
      <c r="U286" s="847" t="str">
        <f t="shared" si="18"/>
        <v>7%</v>
      </c>
      <c r="V286" s="848" t="str">
        <f t="shared" si="19"/>
        <v>(Light) Skill Haste +7%</v>
      </c>
      <c r="W286" s="857" t="str">
        <f>+INDEX(Endvr!$A$2:$K$3001,MATCH(B286,Endvr!$G:$G,0),MATCH("Description",Endvr!$A$2:$K$2,0))&amp;" ("&amp;INDEX(Endvr!$A$2:$K$3001,MATCH(B286,Endvr!$G:$G,0),MATCH("Event Name",Endvr!$A$2:$K$2,0))&amp;")"</f>
        <v>Clear Repelling the Forces of Grams: Expert (Knights of Alberia)</v>
      </c>
      <c r="X286" t="s">
        <v>13958</v>
      </c>
      <c r="Y286" t="s">
        <v>14316</v>
      </c>
      <c r="AA286" s="45"/>
    </row>
    <row r="287" spans="1:30" x14ac:dyDescent="0.2">
      <c r="A287" s="856">
        <v>400482</v>
      </c>
      <c r="B287" s="844" t="s">
        <v>14581</v>
      </c>
      <c r="C287" s="844" t="s">
        <v>14582</v>
      </c>
      <c r="D287" s="845">
        <v>44482</v>
      </c>
      <c r="E287" s="309">
        <v>4</v>
      </c>
      <c r="F287" s="309">
        <v>57</v>
      </c>
      <c r="G287" s="309">
        <v>21</v>
      </c>
      <c r="H287" s="261"/>
      <c r="I287" s="261" t="s">
        <v>330</v>
      </c>
      <c r="J287" s="261" t="s">
        <v>13852</v>
      </c>
      <c r="K287" s="846">
        <v>0.12</v>
      </c>
      <c r="L287" s="847" t="str">
        <f t="shared" si="16"/>
        <v>12%</v>
      </c>
      <c r="M287" s="848" t="str">
        <f t="shared" si="17"/>
        <v>(Blade) Critical Rate +12%</v>
      </c>
      <c r="N287" s="309">
        <v>4</v>
      </c>
      <c r="O287" s="309">
        <v>130</v>
      </c>
      <c r="P287" s="309">
        <v>80</v>
      </c>
      <c r="Q287" s="261" t="s">
        <v>123</v>
      </c>
      <c r="R287" s="261" t="s">
        <v>330</v>
      </c>
      <c r="S287" s="261" t="s">
        <v>13852</v>
      </c>
      <c r="T287" s="846">
        <v>0.12</v>
      </c>
      <c r="U287" s="847" t="str">
        <f t="shared" si="18"/>
        <v>12%</v>
      </c>
      <c r="V287" s="848" t="str">
        <f t="shared" si="19"/>
        <v>(Blade) Critical Rate +12%</v>
      </c>
      <c r="W287" s="857" t="str">
        <f>+INDEX(Endvr!$A$2:$K$3001,MATCH(B287,Endvr!$G:$G,0),MATCH("Description",Endvr!$A$2:$K$2,0))&amp;" ("&amp;INDEX(Endvr!$A$2:$K$3001,MATCH(B287,Endvr!$G:$G,0),MATCH("Event Name",Endvr!$A$2:$K$2,0))&amp;")"</f>
        <v>Clear Assault on Lilith: Expert (Faith Forsaken (Part Two))</v>
      </c>
      <c r="X287" t="s">
        <v>13958</v>
      </c>
      <c r="Y287" t="s">
        <v>14583</v>
      </c>
      <c r="AA287" s="45"/>
    </row>
    <row r="288" spans="1:30" x14ac:dyDescent="0.2">
      <c r="A288" s="856">
        <v>400488</v>
      </c>
      <c r="B288" s="844" t="s">
        <v>14584</v>
      </c>
      <c r="C288" s="844" t="s">
        <v>14585</v>
      </c>
      <c r="D288" s="845">
        <v>44529</v>
      </c>
      <c r="E288" s="309">
        <v>4</v>
      </c>
      <c r="F288" s="309">
        <v>57</v>
      </c>
      <c r="G288" s="309">
        <v>21</v>
      </c>
      <c r="H288" s="261" t="s">
        <v>13906</v>
      </c>
      <c r="I288" s="261" t="s">
        <v>3779</v>
      </c>
      <c r="J288" s="261" t="s">
        <v>13852</v>
      </c>
      <c r="K288" s="846">
        <v>0.08</v>
      </c>
      <c r="L288" s="847" t="str">
        <f t="shared" si="16"/>
        <v>8%</v>
      </c>
      <c r="M288" s="848" t="str">
        <f t="shared" si="17"/>
        <v>(Shadow) Critical Rate +8%</v>
      </c>
      <c r="N288" s="309">
        <v>4</v>
      </c>
      <c r="O288" s="309">
        <v>130</v>
      </c>
      <c r="P288" s="309">
        <v>80</v>
      </c>
      <c r="Q288" s="261" t="s">
        <v>13906</v>
      </c>
      <c r="R288" s="261" t="s">
        <v>3779</v>
      </c>
      <c r="S288" s="261" t="s">
        <v>13852</v>
      </c>
      <c r="T288" s="846">
        <v>0.1</v>
      </c>
      <c r="U288" s="847" t="str">
        <f t="shared" si="18"/>
        <v>10%</v>
      </c>
      <c r="V288" s="848" t="str">
        <f t="shared" si="19"/>
        <v>(Shadow) Critical Rate +10%</v>
      </c>
      <c r="W288" s="857" t="str">
        <f>+INDEX(Endvr!$A$2:$K$3001,MATCH(B288,Endvr!$G:$G,0),MATCH("Description",Endvr!$A$2:$K$2,0))&amp;" ("&amp;INDEX(Endvr!$A$2:$K$3001,MATCH(B288,Endvr!$G:$G,0),MATCH("Event Name",Endvr!$A$2:$K$2,0))&amp;")"</f>
        <v>Clear The Angelic Herald: Standard (One Starry Dragonyule)</v>
      </c>
      <c r="X288" t="s">
        <v>13958</v>
      </c>
      <c r="Y288" t="s">
        <v>14333</v>
      </c>
      <c r="AA288" s="45"/>
    </row>
    <row r="289" spans="1:30" x14ac:dyDescent="0.2">
      <c r="A289" s="856">
        <v>400489</v>
      </c>
      <c r="B289" s="844" t="s">
        <v>14586</v>
      </c>
      <c r="C289" s="844" t="s">
        <v>14587</v>
      </c>
      <c r="D289" s="845">
        <v>44529</v>
      </c>
      <c r="E289" s="309">
        <v>4</v>
      </c>
      <c r="F289" s="309">
        <v>57</v>
      </c>
      <c r="G289" s="309">
        <v>21</v>
      </c>
      <c r="H289" s="261" t="s">
        <v>123</v>
      </c>
      <c r="I289" s="261" t="s">
        <v>645</v>
      </c>
      <c r="J289" s="261" t="s">
        <v>13852</v>
      </c>
      <c r="K289" s="846">
        <v>0.12</v>
      </c>
      <c r="L289" s="847" t="str">
        <f t="shared" si="16"/>
        <v>12%</v>
      </c>
      <c r="M289" s="848" t="str">
        <f t="shared" si="17"/>
        <v>(Lance) Critical Rate +12%</v>
      </c>
      <c r="N289" s="309">
        <v>4</v>
      </c>
      <c r="O289" s="309">
        <v>130</v>
      </c>
      <c r="P289" s="309">
        <v>80</v>
      </c>
      <c r="Q289" s="261" t="s">
        <v>123</v>
      </c>
      <c r="R289" s="261" t="s">
        <v>645</v>
      </c>
      <c r="S289" s="261" t="s">
        <v>13852</v>
      </c>
      <c r="T289" s="846">
        <v>0.12</v>
      </c>
      <c r="U289" s="847" t="str">
        <f t="shared" si="18"/>
        <v>12%</v>
      </c>
      <c r="V289" s="848" t="str">
        <f t="shared" si="19"/>
        <v>(Lance) Critical Rate +12%</v>
      </c>
      <c r="W289" s="857" t="str">
        <f>+INDEX(Endvr!$A$2:$K$3001,MATCH(B289,Endvr!$G:$G,0),MATCH("Description",Endvr!$A$2:$K$2,0))&amp;" ("&amp;INDEX(Endvr!$A$2:$K$3001,MATCH(B289,Endvr!$G:$G,0),MATCH("Event Name",Endvr!$A$2:$K$2,0))&amp;")"</f>
        <v>Clear Repelling the Frosty Fiends: Expert (One Starry Dragonyule)</v>
      </c>
      <c r="X289" t="s">
        <v>13958</v>
      </c>
      <c r="Y289" t="s">
        <v>14333</v>
      </c>
      <c r="AA289" s="45"/>
    </row>
    <row r="290" spans="1:30" x14ac:dyDescent="0.2">
      <c r="A290" s="856">
        <v>400492</v>
      </c>
      <c r="B290" s="844" t="s">
        <v>14588</v>
      </c>
      <c r="C290" s="844" t="s">
        <v>14589</v>
      </c>
      <c r="D290" s="845">
        <v>44561</v>
      </c>
      <c r="E290" s="309">
        <v>4</v>
      </c>
      <c r="F290" s="309">
        <v>57</v>
      </c>
      <c r="G290" s="309">
        <v>21</v>
      </c>
      <c r="H290" s="261" t="s">
        <v>759</v>
      </c>
      <c r="I290" s="261"/>
      <c r="J290" s="261" t="s">
        <v>241</v>
      </c>
      <c r="K290" s="846">
        <v>0.08</v>
      </c>
      <c r="L290" s="847" t="str">
        <f t="shared" si="16"/>
        <v>8%</v>
      </c>
      <c r="M290" s="848" t="str">
        <f t="shared" si="17"/>
        <v>Defense +8%</v>
      </c>
      <c r="N290" s="309">
        <v>4</v>
      </c>
      <c r="O290" s="309">
        <v>130</v>
      </c>
      <c r="P290" s="309">
        <v>80</v>
      </c>
      <c r="Q290" s="261" t="s">
        <v>759</v>
      </c>
      <c r="R290" s="261"/>
      <c r="S290" s="261" t="s">
        <v>241</v>
      </c>
      <c r="T290" s="846">
        <v>0.08</v>
      </c>
      <c r="U290" s="847" t="str">
        <f t="shared" si="18"/>
        <v>8%</v>
      </c>
      <c r="V290" s="848" t="str">
        <f t="shared" si="19"/>
        <v>Defense +8%</v>
      </c>
      <c r="W290" s="857" t="str">
        <f>+INDEX(Endvr!$A$2:$K$3001,MATCH(B290,Endvr!$G:$G,0),MATCH("Description",Endvr!$A$2:$K$2,0))&amp;" ("&amp;INDEX(Endvr!$A$2:$K$3001,MATCH(B290,Endvr!$G:$G,0),MATCH("Event Name",Endvr!$A$2:$K$2,0))&amp;")"</f>
        <v>Clear The Underworld's Offensive (Celestial Showdown)</v>
      </c>
      <c r="X290" t="s">
        <v>13958</v>
      </c>
      <c r="Y290" t="s">
        <v>14339</v>
      </c>
      <c r="AA290" s="45"/>
    </row>
    <row r="291" spans="1:30" x14ac:dyDescent="0.2">
      <c r="A291" s="856">
        <v>400495</v>
      </c>
      <c r="B291" s="844" t="s">
        <v>14590</v>
      </c>
      <c r="C291" s="844" t="s">
        <v>14591</v>
      </c>
      <c r="D291" s="845">
        <v>44592</v>
      </c>
      <c r="E291" s="309">
        <v>4</v>
      </c>
      <c r="F291" s="309">
        <v>57</v>
      </c>
      <c r="G291" s="309">
        <v>21</v>
      </c>
      <c r="H291" s="261" t="s">
        <v>13842</v>
      </c>
      <c r="I291" s="261"/>
      <c r="J291" s="261" t="s">
        <v>14289</v>
      </c>
      <c r="K291" s="846">
        <v>0.2</v>
      </c>
      <c r="L291" s="847" t="str">
        <f t="shared" si="16"/>
        <v>20%</v>
      </c>
      <c r="M291" s="848" t="str">
        <f t="shared" si="17"/>
        <v>Flashburned Punisher +20%</v>
      </c>
      <c r="N291" s="309">
        <v>4</v>
      </c>
      <c r="O291" s="309">
        <v>130</v>
      </c>
      <c r="P291" s="309">
        <v>80</v>
      </c>
      <c r="Q291" s="261" t="s">
        <v>13842</v>
      </c>
      <c r="R291" s="261"/>
      <c r="S291" s="261" t="s">
        <v>14289</v>
      </c>
      <c r="T291" s="846">
        <v>0.2</v>
      </c>
      <c r="U291" s="847" t="str">
        <f t="shared" si="18"/>
        <v>20%</v>
      </c>
      <c r="V291" s="848" t="str">
        <f t="shared" si="19"/>
        <v>Flashburned Punisher +20%</v>
      </c>
      <c r="W291" s="857" t="str">
        <f>+INDEX(Endvr!$A$2:$K$3001,MATCH(B291,Endvr!$G:$G,0),MATCH("Description",Endvr!$A$2:$K$2,0))&amp;" ("&amp;INDEX(Endvr!$A$2:$K$3001,MATCH(B291,Endvr!$G:$G,0),MATCH("Event Name",Endvr!$A$2:$K$2,0))&amp;")"</f>
        <v>Clear A Twisted Hero: Standard (The Blood That Binds)</v>
      </c>
      <c r="X291" t="s">
        <v>13958</v>
      </c>
      <c r="Y291" t="s">
        <v>14343</v>
      </c>
      <c r="AA291" s="98"/>
    </row>
    <row r="292" spans="1:30" x14ac:dyDescent="0.2">
      <c r="A292" s="856">
        <v>400246</v>
      </c>
      <c r="B292" s="844" t="s">
        <v>14592</v>
      </c>
      <c r="C292" s="844" t="s">
        <v>14593</v>
      </c>
      <c r="D292" s="845">
        <v>44592</v>
      </c>
      <c r="E292" s="309">
        <v>4</v>
      </c>
      <c r="F292" s="309">
        <v>57</v>
      </c>
      <c r="G292" s="309">
        <v>21</v>
      </c>
      <c r="H292" s="261" t="s">
        <v>13862</v>
      </c>
      <c r="I292" s="261" t="s">
        <v>1103</v>
      </c>
      <c r="J292" s="261" t="s">
        <v>14022</v>
      </c>
      <c r="K292" s="846">
        <v>0.25</v>
      </c>
      <c r="L292" s="847" t="str">
        <f t="shared" si="16"/>
        <v>25%</v>
      </c>
      <c r="M292" s="848" t="str">
        <f t="shared" si="17"/>
        <v>(Water) Buff Skill Time +25%</v>
      </c>
      <c r="N292" s="309">
        <v>4</v>
      </c>
      <c r="O292" s="309">
        <v>130</v>
      </c>
      <c r="P292" s="309">
        <v>80</v>
      </c>
      <c r="Q292" s="261" t="s">
        <v>13862</v>
      </c>
      <c r="R292" s="261" t="s">
        <v>1103</v>
      </c>
      <c r="S292" s="261" t="s">
        <v>14022</v>
      </c>
      <c r="T292" s="846">
        <v>0.25</v>
      </c>
      <c r="U292" s="847" t="str">
        <f t="shared" si="18"/>
        <v>25%</v>
      </c>
      <c r="V292" s="848" t="str">
        <f t="shared" si="19"/>
        <v>(Water) Buff Skill Time +25%</v>
      </c>
      <c r="W292" s="857" t="str">
        <f>+INDEX(Endvr!$A$2:$K$3001,MATCH(B292,Endvr!$G:$G,0),MATCH("Description",Endvr!$A$2:$K$2,0))&amp;" ("&amp;INDEX(Endvr!$A$2:$K$3001,MATCH(B292,Endvr!$G:$G,0),MATCH("Event Name",Endvr!$A$2:$K$2,0))&amp;")"</f>
        <v>Clear Repelling the Black Mana Forces: Expert (The Blood That Binds)</v>
      </c>
      <c r="X292" t="s">
        <v>13958</v>
      </c>
      <c r="Y292" t="s">
        <v>14343</v>
      </c>
      <c r="AA292" s="45"/>
    </row>
    <row r="293" spans="1:30" x14ac:dyDescent="0.2">
      <c r="A293" s="856">
        <v>400499</v>
      </c>
      <c r="B293" s="844" t="s">
        <v>14594</v>
      </c>
      <c r="C293" s="844" t="s">
        <v>14595</v>
      </c>
      <c r="D293" s="845">
        <v>44620</v>
      </c>
      <c r="E293" s="309">
        <v>4</v>
      </c>
      <c r="F293" s="309">
        <v>57</v>
      </c>
      <c r="G293" s="309">
        <v>21</v>
      </c>
      <c r="H293" s="261" t="s">
        <v>13847</v>
      </c>
      <c r="I293" s="261"/>
      <c r="J293" s="261" t="s">
        <v>14274</v>
      </c>
      <c r="K293" s="846">
        <v>0.2</v>
      </c>
      <c r="L293" s="847" t="str">
        <f t="shared" si="16"/>
        <v>20%</v>
      </c>
      <c r="M293" s="848" t="str">
        <f t="shared" si="17"/>
        <v>Scorchrent Punisher +20%</v>
      </c>
      <c r="N293" s="309">
        <v>4</v>
      </c>
      <c r="O293" s="309">
        <v>130</v>
      </c>
      <c r="P293" s="309">
        <v>80</v>
      </c>
      <c r="Q293" s="261" t="s">
        <v>13847</v>
      </c>
      <c r="R293" s="261"/>
      <c r="S293" s="261" t="s">
        <v>14274</v>
      </c>
      <c r="T293" s="846">
        <v>0.2</v>
      </c>
      <c r="U293" s="847" t="str">
        <f t="shared" si="18"/>
        <v>20%</v>
      </c>
      <c r="V293" s="848" t="str">
        <f t="shared" si="19"/>
        <v>Scorchrent Punisher +20%</v>
      </c>
      <c r="W293" s="857" t="str">
        <f>+INDEX(Endvr!$A$2:$K$3001,MATCH(B293,Endvr!$G:$G,0),MATCH("Description",Endvr!$A$2:$K$2,0))&amp;" ("&amp;INDEX(Endvr!$A$2:$K$3001,MATCH(B293,Endvr!$G:$G,0),MATCH("Event Name",Endvr!$A$2:$K$2,0))&amp;")"</f>
        <v>Clear Emile's Trial: Standard (Operation: At Your Service)</v>
      </c>
      <c r="X293" t="s">
        <v>13958</v>
      </c>
      <c r="Y293" t="s">
        <v>14349</v>
      </c>
      <c r="AA293" s="45"/>
      <c r="AD293" s="74"/>
    </row>
    <row r="294" spans="1:30" x14ac:dyDescent="0.2">
      <c r="A294" s="856">
        <v>400498</v>
      </c>
      <c r="B294" s="844" t="s">
        <v>14596</v>
      </c>
      <c r="C294" s="844" t="s">
        <v>14597</v>
      </c>
      <c r="D294" s="845">
        <v>44620</v>
      </c>
      <c r="E294" s="309">
        <v>4</v>
      </c>
      <c r="F294" s="309">
        <v>57</v>
      </c>
      <c r="G294" s="309">
        <v>21</v>
      </c>
      <c r="H294" s="261" t="s">
        <v>13889</v>
      </c>
      <c r="I294" s="261" t="s">
        <v>1947</v>
      </c>
      <c r="J294" s="261" t="s">
        <v>13863</v>
      </c>
      <c r="K294" s="846">
        <v>7.0000000000000007E-2</v>
      </c>
      <c r="L294" s="847" t="str">
        <f t="shared" si="16"/>
        <v>7%</v>
      </c>
      <c r="M294" s="848" t="str">
        <f t="shared" si="17"/>
        <v>(Wind) Skill Haste +7%</v>
      </c>
      <c r="N294" s="309">
        <v>4</v>
      </c>
      <c r="O294" s="309">
        <v>130</v>
      </c>
      <c r="P294" s="309">
        <v>80</v>
      </c>
      <c r="Q294" s="261" t="s">
        <v>13889</v>
      </c>
      <c r="R294" s="261" t="s">
        <v>1947</v>
      </c>
      <c r="S294" s="261" t="s">
        <v>13863</v>
      </c>
      <c r="T294" s="846">
        <v>7.0000000000000007E-2</v>
      </c>
      <c r="U294" s="847" t="str">
        <f t="shared" si="18"/>
        <v>7%</v>
      </c>
      <c r="V294" s="848" t="str">
        <f t="shared" si="19"/>
        <v>(Wind) Skill Haste +7%</v>
      </c>
      <c r="W294" s="857" t="str">
        <f>+INDEX(Endvr!$A$2:$K$3001,MATCH(B294,Endvr!$G:$G,0),MATCH("Description",Endvr!$A$2:$K$2,0))&amp;" ("&amp;INDEX(Endvr!$A$2:$K$3001,MATCH(B294,Endvr!$G:$G,0),MATCH("Event Name",Endvr!$A$2:$K$2,0))&amp;")"</f>
        <v>Clear Repelling the Imperial Forces: Expert (Operation: At Your Service)</v>
      </c>
      <c r="X294" t="s">
        <v>13958</v>
      </c>
      <c r="Y294" t="s">
        <v>14349</v>
      </c>
      <c r="AA294" s="45"/>
      <c r="AD294" s="74"/>
    </row>
    <row r="295" spans="1:30" x14ac:dyDescent="0.2">
      <c r="A295" s="856">
        <v>400006</v>
      </c>
      <c r="B295" s="844" t="s">
        <v>14598</v>
      </c>
      <c r="C295" s="844" t="s">
        <v>14599</v>
      </c>
      <c r="D295" s="845">
        <v>43370</v>
      </c>
      <c r="E295" s="309">
        <v>3</v>
      </c>
      <c r="F295" s="309">
        <v>35</v>
      </c>
      <c r="G295" s="309">
        <v>13</v>
      </c>
      <c r="H295" s="261" t="s">
        <v>543</v>
      </c>
      <c r="I295" s="261"/>
      <c r="J295" s="261" t="s">
        <v>13929</v>
      </c>
      <c r="K295" s="846">
        <v>0.2</v>
      </c>
      <c r="L295" s="847" t="str">
        <f t="shared" si="16"/>
        <v>20%</v>
      </c>
      <c r="M295" s="848" t="str">
        <f t="shared" si="17"/>
        <v>Broken Punisher +20%</v>
      </c>
      <c r="N295" s="309">
        <v>4</v>
      </c>
      <c r="O295" s="309">
        <v>130</v>
      </c>
      <c r="P295" s="309">
        <v>80</v>
      </c>
      <c r="Q295" s="261" t="s">
        <v>543</v>
      </c>
      <c r="R295" s="261" t="s">
        <v>949</v>
      </c>
      <c r="S295" s="261" t="s">
        <v>8958</v>
      </c>
      <c r="T295" s="846">
        <v>0.2</v>
      </c>
      <c r="U295" s="847" t="str">
        <f t="shared" si="18"/>
        <v>20%</v>
      </c>
      <c r="V295" s="848" t="str">
        <f t="shared" si="19"/>
        <v>(Staff) Critical Damage +20%</v>
      </c>
      <c r="W295" s="857" t="str">
        <f>+INDEX(Endvr!$A$2:$K$3001,MATCH(B295,Endvr!$G:$G,0),MATCH("Description",Endvr!$A$2:$K$2,0))&amp;" ("&amp;INDEX(Endvr!$A$2:$K$3001,MATCH(B295,Endvr!$G:$G,0),MATCH("Event Name",Endvr!$A$2:$K$2,0))&amp;")"</f>
        <v>Obtain From Ch. 14 EX 1 Chest (Hard) (Non-Endeavor)</v>
      </c>
      <c r="X295" t="s">
        <v>13843</v>
      </c>
      <c r="Y295" t="s">
        <v>13918</v>
      </c>
      <c r="Z295" t="s">
        <v>14127</v>
      </c>
      <c r="AA295" s="45"/>
      <c r="AD295" s="74"/>
    </row>
    <row r="296" spans="1:30" x14ac:dyDescent="0.2">
      <c r="A296" s="856">
        <v>400007</v>
      </c>
      <c r="B296" s="844" t="s">
        <v>14600</v>
      </c>
      <c r="C296" s="844" t="s">
        <v>14601</v>
      </c>
      <c r="D296" s="845">
        <v>43370</v>
      </c>
      <c r="E296" s="309">
        <v>3</v>
      </c>
      <c r="F296" s="309">
        <v>36</v>
      </c>
      <c r="G296" s="309">
        <v>12</v>
      </c>
      <c r="H296" s="261" t="s">
        <v>759</v>
      </c>
      <c r="I296" s="261"/>
      <c r="J296" s="261" t="s">
        <v>13882</v>
      </c>
      <c r="K296" s="846">
        <v>0.08</v>
      </c>
      <c r="L296" s="847" t="str">
        <f t="shared" si="16"/>
        <v>8%</v>
      </c>
      <c r="M296" s="848" t="str">
        <f t="shared" si="17"/>
        <v>Recovery Potency +8%</v>
      </c>
      <c r="N296" s="309">
        <v>4</v>
      </c>
      <c r="O296" s="309">
        <v>130</v>
      </c>
      <c r="P296" s="309">
        <v>80</v>
      </c>
      <c r="Q296" s="261" t="s">
        <v>13842</v>
      </c>
      <c r="R296" s="261"/>
      <c r="S296" s="261" t="s">
        <v>13882</v>
      </c>
      <c r="T296" s="846">
        <v>0.12</v>
      </c>
      <c r="U296" s="847" t="str">
        <f t="shared" si="18"/>
        <v>12%</v>
      </c>
      <c r="V296" s="848" t="str">
        <f t="shared" si="19"/>
        <v>Recovery Potency +12%</v>
      </c>
      <c r="W296" s="857" t="str">
        <f>+INDEX(Endvr!$A$2:$K$3001,MATCH(B296,Endvr!$G:$G,0),MATCH("Description",Endvr!$A$2:$K$2,0))&amp;" ("&amp;INDEX(Endvr!$A$2:$K$3001,MATCH(B296,Endvr!$G:$G,0),MATCH("Event Name",Endvr!$A$2:$K$2,0))&amp;")"</f>
        <v>Obtain From Ch. 11 EX 1 Chest (Normal) (Non-Endeavor)</v>
      </c>
      <c r="X296" t="s">
        <v>13843</v>
      </c>
      <c r="Y296" t="s">
        <v>13918</v>
      </c>
      <c r="Z296" t="s">
        <v>14122</v>
      </c>
      <c r="AA296" s="45"/>
    </row>
    <row r="297" spans="1:30" x14ac:dyDescent="0.2">
      <c r="A297" s="856">
        <v>400008</v>
      </c>
      <c r="B297" s="844" t="s">
        <v>14602</v>
      </c>
      <c r="C297" s="844" t="s">
        <v>14603</v>
      </c>
      <c r="D297" s="845">
        <v>43370</v>
      </c>
      <c r="E297" s="309">
        <v>3</v>
      </c>
      <c r="F297" s="309">
        <v>36</v>
      </c>
      <c r="G297" s="309">
        <v>12</v>
      </c>
      <c r="H297" s="261" t="s">
        <v>13855</v>
      </c>
      <c r="I297" s="261"/>
      <c r="J297" s="261" t="s">
        <v>13982</v>
      </c>
      <c r="K297" s="846">
        <v>0.2</v>
      </c>
      <c r="L297" s="847" t="str">
        <f t="shared" si="16"/>
        <v>20%</v>
      </c>
      <c r="M297" s="848" t="str">
        <f t="shared" si="17"/>
        <v>Skill Prep +20%</v>
      </c>
      <c r="N297" s="309">
        <v>4</v>
      </c>
      <c r="O297" s="309">
        <v>130</v>
      </c>
      <c r="P297" s="309">
        <v>80</v>
      </c>
      <c r="Q297" s="261" t="s">
        <v>13855</v>
      </c>
      <c r="R297" s="261"/>
      <c r="S297" s="261" t="s">
        <v>13982</v>
      </c>
      <c r="T297" s="846">
        <v>0.5</v>
      </c>
      <c r="U297" s="847" t="str">
        <f t="shared" si="18"/>
        <v>50%</v>
      </c>
      <c r="V297" s="848" t="str">
        <f t="shared" si="19"/>
        <v>Skill Prep +50%</v>
      </c>
      <c r="W297" s="857" t="str">
        <f>+INDEX(Endvr!$A$2:$K$3001,MATCH(B297,Endvr!$G:$G,0),MATCH("Description",Endvr!$A$2:$K$2,0))</f>
        <v>Clear Avenue to Fortune: Standard</v>
      </c>
      <c r="X297" t="s">
        <v>13843</v>
      </c>
      <c r="Y297" t="s">
        <v>13943</v>
      </c>
      <c r="AA297" s="98"/>
    </row>
    <row r="298" spans="1:30" x14ac:dyDescent="0.2">
      <c r="A298" s="856">
        <v>400009</v>
      </c>
      <c r="B298" s="844" t="s">
        <v>14604</v>
      </c>
      <c r="C298" s="844" t="s">
        <v>14605</v>
      </c>
      <c r="D298" s="845">
        <v>43370</v>
      </c>
      <c r="E298" s="309">
        <v>3</v>
      </c>
      <c r="F298" s="309">
        <v>36</v>
      </c>
      <c r="G298" s="309">
        <v>12</v>
      </c>
      <c r="H298" s="261" t="s">
        <v>949</v>
      </c>
      <c r="I298" s="261"/>
      <c r="J298" s="261" t="s">
        <v>14022</v>
      </c>
      <c r="K298" s="846">
        <v>0.2</v>
      </c>
      <c r="L298" s="847" t="str">
        <f t="shared" si="16"/>
        <v>20%</v>
      </c>
      <c r="M298" s="848" t="str">
        <f t="shared" si="17"/>
        <v>Buff Skill Time +20%</v>
      </c>
      <c r="N298" s="309">
        <v>4</v>
      </c>
      <c r="O298" s="309">
        <v>130</v>
      </c>
      <c r="P298" s="309">
        <v>80</v>
      </c>
      <c r="Q298" s="261" t="s">
        <v>13895</v>
      </c>
      <c r="R298" s="261" t="s">
        <v>1947</v>
      </c>
      <c r="S298" s="261" t="s">
        <v>14022</v>
      </c>
      <c r="T298" s="846">
        <v>0.25</v>
      </c>
      <c r="U298" s="847" t="str">
        <f t="shared" si="18"/>
        <v>25%</v>
      </c>
      <c r="V298" s="848" t="str">
        <f t="shared" si="19"/>
        <v>(Wind) Buff Skill Time +25%</v>
      </c>
      <c r="W298" s="857" t="str">
        <f>+INDEX(Endvr!$A$2:$K$3001,MATCH(B298,Endvr!$G:$G,0),MATCH("Description",Endvr!$A$2:$K$2,0))</f>
        <v>Clear Midgardsormr's Trial: Beginner</v>
      </c>
      <c r="X298" t="s">
        <v>13843</v>
      </c>
      <c r="Y298" t="s">
        <v>13994</v>
      </c>
      <c r="Z298" t="s">
        <v>1947</v>
      </c>
      <c r="AA298" s="98"/>
    </row>
    <row r="299" spans="1:30" x14ac:dyDescent="0.2">
      <c r="A299" s="856">
        <v>400010</v>
      </c>
      <c r="B299" s="844" t="s">
        <v>14606</v>
      </c>
      <c r="C299" s="844" t="s">
        <v>14607</v>
      </c>
      <c r="D299" s="845">
        <v>43370</v>
      </c>
      <c r="E299" s="309">
        <v>3</v>
      </c>
      <c r="F299" s="309">
        <v>35</v>
      </c>
      <c r="G299" s="309">
        <v>13</v>
      </c>
      <c r="H299" s="261" t="s">
        <v>645</v>
      </c>
      <c r="I299" s="261"/>
      <c r="J299" s="261" t="s">
        <v>13950</v>
      </c>
      <c r="K299" s="846">
        <v>0.3</v>
      </c>
      <c r="L299" s="847" t="str">
        <f t="shared" si="16"/>
        <v>30%</v>
      </c>
      <c r="M299" s="848" t="str">
        <f t="shared" si="17"/>
        <v>Force Strike +30%</v>
      </c>
      <c r="N299" s="309">
        <v>4</v>
      </c>
      <c r="O299" s="309">
        <v>130</v>
      </c>
      <c r="P299" s="309">
        <v>80</v>
      </c>
      <c r="Q299" s="261" t="s">
        <v>13855</v>
      </c>
      <c r="R299" s="261"/>
      <c r="S299" s="261" t="s">
        <v>13950</v>
      </c>
      <c r="T299" s="846">
        <v>0.4</v>
      </c>
      <c r="U299" s="847" t="str">
        <f t="shared" si="18"/>
        <v>40%</v>
      </c>
      <c r="V299" s="848" t="str">
        <f t="shared" si="19"/>
        <v>Force Strike +40%</v>
      </c>
      <c r="W299" s="857" t="str">
        <f>+INDEX(Endvr!$A$2:$K$3001,MATCH(B299,Endvr!$G:$G,0),MATCH("Description",Endvr!$A$2:$K$2,0))&amp;" ("&amp;INDEX(Endvr!$A$2:$K$3001,MATCH(B299,Endvr!$G:$G,0),MATCH("Event Name",Endvr!$A$2:$K$2,0))&amp;")"</f>
        <v>Obtain From Ch. 06 EX 1 Chest (Hard) (Non-Endeavor)</v>
      </c>
      <c r="X299" t="s">
        <v>13843</v>
      </c>
      <c r="Y299" t="s">
        <v>13918</v>
      </c>
      <c r="Z299" t="s">
        <v>13930</v>
      </c>
      <c r="AA299" s="45"/>
    </row>
    <row r="300" spans="1:30" x14ac:dyDescent="0.2">
      <c r="A300" s="856">
        <v>400011</v>
      </c>
      <c r="B300" s="844" t="s">
        <v>14608</v>
      </c>
      <c r="C300" s="844" t="s">
        <v>14609</v>
      </c>
      <c r="D300" s="845">
        <v>43370</v>
      </c>
      <c r="E300" s="309">
        <v>3</v>
      </c>
      <c r="F300" s="309">
        <v>35</v>
      </c>
      <c r="G300" s="309">
        <v>13</v>
      </c>
      <c r="H300" s="261" t="s">
        <v>543</v>
      </c>
      <c r="I300" s="261"/>
      <c r="J300" s="261" t="s">
        <v>8958</v>
      </c>
      <c r="K300" s="846">
        <v>0.13</v>
      </c>
      <c r="L300" s="847" t="str">
        <f t="shared" si="16"/>
        <v>13%</v>
      </c>
      <c r="M300" s="848" t="str">
        <f t="shared" si="17"/>
        <v>Critical Damage +13%</v>
      </c>
      <c r="N300" s="309">
        <v>4</v>
      </c>
      <c r="O300" s="309">
        <v>130</v>
      </c>
      <c r="P300" s="309">
        <v>80</v>
      </c>
      <c r="Q300" s="261" t="s">
        <v>543</v>
      </c>
      <c r="R300" s="261"/>
      <c r="S300" s="261" t="s">
        <v>8958</v>
      </c>
      <c r="T300" s="846">
        <v>0.15</v>
      </c>
      <c r="U300" s="847" t="str">
        <f t="shared" si="18"/>
        <v>15%</v>
      </c>
      <c r="V300" s="848" t="str">
        <f t="shared" si="19"/>
        <v>Critical Damage +15%</v>
      </c>
      <c r="W300" s="857" t="str">
        <f>+INDEX(Endvr!$A$2:$K$3001,MATCH(B300,Endvr!$G:$G,0),MATCH("Description",Endvr!$A$2:$K$2,0))&amp;" ("&amp;INDEX(Endvr!$A$2:$K$3001,MATCH(B300,Endvr!$G:$G,0),MATCH("Event Name",Endvr!$A$2:$K$2,0))&amp;")"</f>
        <v xml:space="preserve"> ()</v>
      </c>
      <c r="X300" t="s">
        <v>13843</v>
      </c>
      <c r="Y300" t="s">
        <v>13918</v>
      </c>
      <c r="Z300" t="s">
        <v>14136</v>
      </c>
      <c r="AA300" s="45"/>
      <c r="AD300" s="74"/>
    </row>
    <row r="301" spans="1:30" x14ac:dyDescent="0.2">
      <c r="A301" s="856">
        <v>400012</v>
      </c>
      <c r="B301" s="844" t="s">
        <v>14610</v>
      </c>
      <c r="C301" s="844" t="s">
        <v>14611</v>
      </c>
      <c r="D301" s="845">
        <v>43370</v>
      </c>
      <c r="E301" s="309">
        <v>3</v>
      </c>
      <c r="F301" s="309">
        <v>36</v>
      </c>
      <c r="G301" s="309">
        <v>12</v>
      </c>
      <c r="H301" s="261" t="s">
        <v>543</v>
      </c>
      <c r="I301" s="261"/>
      <c r="J301" s="261" t="s">
        <v>13852</v>
      </c>
      <c r="K301" s="846">
        <v>0.05</v>
      </c>
      <c r="L301" s="847" t="str">
        <f t="shared" si="16"/>
        <v>5%</v>
      </c>
      <c r="M301" s="848" t="str">
        <f t="shared" si="17"/>
        <v>Critical Rate +5%</v>
      </c>
      <c r="N301" s="309">
        <v>4</v>
      </c>
      <c r="O301" s="309">
        <v>130</v>
      </c>
      <c r="P301" s="309">
        <v>80</v>
      </c>
      <c r="Q301" s="261" t="s">
        <v>13892</v>
      </c>
      <c r="R301" s="261" t="s">
        <v>122</v>
      </c>
      <c r="S301" s="261" t="s">
        <v>13852</v>
      </c>
      <c r="T301" s="846">
        <v>0.1</v>
      </c>
      <c r="U301" s="847" t="str">
        <f t="shared" si="18"/>
        <v>10%</v>
      </c>
      <c r="V301" s="848" t="str">
        <f t="shared" si="19"/>
        <v>(Flame) Critical Rate +10%</v>
      </c>
      <c r="W301" s="857" t="str">
        <f>+INDEX(Endvr!$A$2:$K$3001,MATCH(B301,Endvr!$G:$G,0),MATCH("Description",Endvr!$A$2:$K$2,0))&amp;" ("&amp;INDEX(Endvr!$A$2:$K$3001,MATCH(B301,Endvr!$G:$G,0),MATCH("Event Name",Endvr!$A$2:$K$2,0))&amp;")"</f>
        <v>Clear Flamehowl Ruins: Standard (Elemental Ruins)</v>
      </c>
      <c r="X301" t="s">
        <v>13843</v>
      </c>
      <c r="Y301" t="s">
        <v>14035</v>
      </c>
      <c r="Z301" t="s">
        <v>122</v>
      </c>
      <c r="AA301" s="45"/>
    </row>
    <row r="302" spans="1:30" x14ac:dyDescent="0.2">
      <c r="A302" s="856">
        <v>400013</v>
      </c>
      <c r="B302" s="844" t="s">
        <v>14612</v>
      </c>
      <c r="C302" s="844" t="s">
        <v>14613</v>
      </c>
      <c r="D302" s="845">
        <v>43370</v>
      </c>
      <c r="E302" s="309">
        <v>3</v>
      </c>
      <c r="F302" s="309">
        <v>38</v>
      </c>
      <c r="G302" s="309">
        <v>10</v>
      </c>
      <c r="H302" s="261"/>
      <c r="I302" s="261"/>
      <c r="J302" s="261" t="s">
        <v>14433</v>
      </c>
      <c r="K302" s="846">
        <v>0.25</v>
      </c>
      <c r="L302" s="847" t="str">
        <f t="shared" si="16"/>
        <v>25%</v>
      </c>
      <c r="M302" s="848" t="str">
        <f t="shared" si="17"/>
        <v>Blindness Res +25%</v>
      </c>
      <c r="N302" s="309">
        <v>4</v>
      </c>
      <c r="O302" s="309">
        <v>130</v>
      </c>
      <c r="P302" s="309">
        <v>80</v>
      </c>
      <c r="Q302" s="261" t="s">
        <v>13842</v>
      </c>
      <c r="R302" s="261"/>
      <c r="S302" s="261" t="s">
        <v>14433</v>
      </c>
      <c r="T302" s="846">
        <v>1</v>
      </c>
      <c r="U302" s="847" t="str">
        <f t="shared" si="18"/>
        <v>100%</v>
      </c>
      <c r="V302" s="848" t="str">
        <f t="shared" si="19"/>
        <v>Blindness Res +100%</v>
      </c>
      <c r="W302" s="857" t="str">
        <f>+INDEX(Endvr!$A$2:$K$3001,MATCH(B302,Endvr!$G:$G,0),MATCH("Description",Endvr!$A$2:$K$2,0))</f>
        <v>Clear Jupiter's Trial: Expert</v>
      </c>
      <c r="X302" t="s">
        <v>13843</v>
      </c>
      <c r="Y302" t="s">
        <v>13994</v>
      </c>
      <c r="Z302" t="s">
        <v>2837</v>
      </c>
      <c r="AA302" s="45"/>
      <c r="AB302" s="94"/>
    </row>
    <row r="303" spans="1:30" x14ac:dyDescent="0.2">
      <c r="A303" s="856">
        <v>400014</v>
      </c>
      <c r="B303" s="844" t="s">
        <v>14614</v>
      </c>
      <c r="C303" s="844" t="s">
        <v>14615</v>
      </c>
      <c r="D303" s="845">
        <v>43370</v>
      </c>
      <c r="E303" s="309">
        <v>3</v>
      </c>
      <c r="F303" s="309">
        <v>38</v>
      </c>
      <c r="G303" s="309">
        <v>10</v>
      </c>
      <c r="H303" s="261"/>
      <c r="I303" s="261"/>
      <c r="J303" s="261" t="s">
        <v>14239</v>
      </c>
      <c r="K303" s="846">
        <v>0.25</v>
      </c>
      <c r="L303" s="847" t="str">
        <f t="shared" si="16"/>
        <v>25%</v>
      </c>
      <c r="M303" s="848" t="str">
        <f t="shared" si="17"/>
        <v>Paralysis Res +25%</v>
      </c>
      <c r="N303" s="309">
        <v>4</v>
      </c>
      <c r="O303" s="309">
        <v>130</v>
      </c>
      <c r="P303" s="309">
        <v>80</v>
      </c>
      <c r="Q303" s="261" t="s">
        <v>13895</v>
      </c>
      <c r="R303" s="261"/>
      <c r="S303" s="261" t="s">
        <v>14354</v>
      </c>
      <c r="T303" s="846">
        <v>0.08</v>
      </c>
      <c r="U303" s="847" t="str">
        <f t="shared" si="18"/>
        <v>8%</v>
      </c>
      <c r="V303" s="848" t="str">
        <f t="shared" si="19"/>
        <v>Elemental Res +8%</v>
      </c>
      <c r="W303" s="857" t="str">
        <f>+INDEX(Endvr!$A$2:$K$3001,MATCH(B303,Endvr!$G:$G,0),MATCH("Description",Endvr!$A$2:$K$2,0))&amp;" ("&amp;INDEX(Endvr!$A$2:$K$3001,MATCH(B303,Endvr!$G:$G,0),MATCH("Event Name",Endvr!$A$2:$K$2,0))&amp;")"</f>
        <v>Obtain From Ch. 04 EX 1 Chest (Hard) (Non-Endeavor)</v>
      </c>
      <c r="X303" t="s">
        <v>13843</v>
      </c>
      <c r="Y303" t="s">
        <v>13918</v>
      </c>
      <c r="Z303" t="s">
        <v>14025</v>
      </c>
      <c r="AA303" s="45"/>
    </row>
    <row r="304" spans="1:30" x14ac:dyDescent="0.2">
      <c r="A304" s="856">
        <v>400015</v>
      </c>
      <c r="B304" s="844" t="s">
        <v>14616</v>
      </c>
      <c r="C304" s="844" t="s">
        <v>14617</v>
      </c>
      <c r="D304" s="845">
        <v>43370</v>
      </c>
      <c r="E304" s="309">
        <v>3</v>
      </c>
      <c r="F304" s="309">
        <v>38</v>
      </c>
      <c r="G304" s="309">
        <v>10</v>
      </c>
      <c r="H304" s="261"/>
      <c r="I304" s="261"/>
      <c r="J304" s="261" t="s">
        <v>14081</v>
      </c>
      <c r="K304" s="846">
        <v>0.25</v>
      </c>
      <c r="L304" s="847" t="str">
        <f t="shared" si="16"/>
        <v>25%</v>
      </c>
      <c r="M304" s="848" t="str">
        <f t="shared" si="17"/>
        <v>Bog Res +25%</v>
      </c>
      <c r="N304" s="309">
        <v>4</v>
      </c>
      <c r="O304" s="309">
        <v>130</v>
      </c>
      <c r="P304" s="309">
        <v>80</v>
      </c>
      <c r="Q304" s="261" t="s">
        <v>13895</v>
      </c>
      <c r="R304" s="261"/>
      <c r="S304" s="261" t="s">
        <v>14081</v>
      </c>
      <c r="T304" s="846">
        <v>1</v>
      </c>
      <c r="U304" s="847" t="str">
        <f t="shared" si="18"/>
        <v>100%</v>
      </c>
      <c r="V304" s="848" t="str">
        <f t="shared" si="19"/>
        <v>Bog Res +100%</v>
      </c>
      <c r="W304" s="857" t="str">
        <f>+INDEX(Endvr!$A$2:$K$3001,MATCH(B304,Endvr!$G:$G,0),MATCH("Description",Endvr!$A$2:$K$2,0))&amp;" ("&amp;INDEX(Endvr!$A$2:$K$3001,MATCH(B304,Endvr!$G:$G,0),MATCH("Event Name",Endvr!$A$2:$K$2,0))&amp;")"</f>
        <v>Clear Windmaul Ruins: Expert (Elemental Ruins)</v>
      </c>
      <c r="X304" t="s">
        <v>13843</v>
      </c>
      <c r="Y304" t="s">
        <v>14035</v>
      </c>
      <c r="Z304" t="s">
        <v>1947</v>
      </c>
      <c r="AA304" s="45"/>
    </row>
    <row r="305" spans="1:30" x14ac:dyDescent="0.2">
      <c r="A305" s="856">
        <v>400016</v>
      </c>
      <c r="B305" s="844" t="s">
        <v>14618</v>
      </c>
      <c r="C305" s="844" t="s">
        <v>14619</v>
      </c>
      <c r="D305" s="845">
        <v>43370</v>
      </c>
      <c r="E305" s="309">
        <v>3</v>
      </c>
      <c r="F305" s="309">
        <v>36</v>
      </c>
      <c r="G305" s="309">
        <v>12</v>
      </c>
      <c r="H305" s="261" t="s">
        <v>759</v>
      </c>
      <c r="I305" s="261"/>
      <c r="J305" s="261" t="s">
        <v>14620</v>
      </c>
      <c r="K305" s="846">
        <v>0.1</v>
      </c>
      <c r="L305" s="847" t="str">
        <f t="shared" si="16"/>
        <v>10%</v>
      </c>
      <c r="M305" s="848" t="str">
        <f t="shared" si="17"/>
        <v>Shapeshift Prep +10%</v>
      </c>
      <c r="N305" s="309">
        <v>4</v>
      </c>
      <c r="O305" s="309">
        <v>130</v>
      </c>
      <c r="P305" s="309">
        <v>80</v>
      </c>
      <c r="Q305" s="261" t="s">
        <v>759</v>
      </c>
      <c r="R305" s="261"/>
      <c r="S305" s="261" t="s">
        <v>14620</v>
      </c>
      <c r="T305" s="846">
        <v>0.1</v>
      </c>
      <c r="U305" s="847" t="str">
        <f t="shared" si="18"/>
        <v>10%</v>
      </c>
      <c r="V305" s="848" t="str">
        <f t="shared" si="19"/>
        <v>Shapeshift Prep +10%</v>
      </c>
      <c r="W305" s="857" t="str">
        <f>+INDEX(Endvr!$A$2:$K$3001,MATCH(B305,Endvr!$G:$G,0),MATCH("Description",Endvr!$A$2:$K$2,0))&amp;" ("&amp;INDEX(Endvr!$A$2:$K$3001,MATCH(B305,Endvr!$G:$G,0),MATCH("Event Name",Endvr!$A$2:$K$2,0))&amp;")"</f>
        <v>Clear Battle in Rovetelle Forest: Standard (The Imperial Onslaught)</v>
      </c>
      <c r="X305" t="s">
        <v>13843</v>
      </c>
      <c r="Y305" t="s">
        <v>13954</v>
      </c>
      <c r="Z305" t="s">
        <v>1103</v>
      </c>
      <c r="AA305" s="45"/>
    </row>
    <row r="306" spans="1:30" x14ac:dyDescent="0.2">
      <c r="A306" s="856">
        <v>400017</v>
      </c>
      <c r="B306" s="844" t="s">
        <v>14621</v>
      </c>
      <c r="C306" s="844" t="s">
        <v>14622</v>
      </c>
      <c r="D306" s="845">
        <v>43370</v>
      </c>
      <c r="E306" s="309">
        <v>3</v>
      </c>
      <c r="F306" s="309">
        <v>36</v>
      </c>
      <c r="G306" s="309">
        <v>12</v>
      </c>
      <c r="H306" s="261" t="s">
        <v>759</v>
      </c>
      <c r="I306" s="261"/>
      <c r="J306" s="261" t="s">
        <v>13863</v>
      </c>
      <c r="K306" s="846">
        <v>0.05</v>
      </c>
      <c r="L306" s="847" t="str">
        <f t="shared" si="16"/>
        <v>5%</v>
      </c>
      <c r="M306" s="848" t="str">
        <f t="shared" si="17"/>
        <v>Skill Haste +5%</v>
      </c>
      <c r="N306" s="309">
        <v>4</v>
      </c>
      <c r="O306" s="309">
        <v>130</v>
      </c>
      <c r="P306" s="309">
        <v>80</v>
      </c>
      <c r="Q306" s="261" t="s">
        <v>949</v>
      </c>
      <c r="R306" s="261"/>
      <c r="S306" s="261" t="s">
        <v>13863</v>
      </c>
      <c r="T306" s="846">
        <v>0.06</v>
      </c>
      <c r="U306" s="847" t="str">
        <f t="shared" si="18"/>
        <v>6%</v>
      </c>
      <c r="V306" s="848" t="str">
        <f t="shared" si="19"/>
        <v>Skill Haste +6%</v>
      </c>
      <c r="W306" s="857" t="str">
        <f>+INDEX(Endvr!$A$2:$K$3001,MATCH(B306,Endvr!$G:$G,0),MATCH("Description",Endvr!$A$2:$K$2,0))&amp;" ("&amp;INDEX(Endvr!$A$2:$K$3001,MATCH(B306,Endvr!$G:$G,0),MATCH("Event Name",Endvr!$A$2:$K$2,0))&amp;")"</f>
        <v>Obtain From Ch. 12 EX 1 Chest (Hard) (Non-Endeavor)</v>
      </c>
      <c r="X306" t="s">
        <v>13843</v>
      </c>
      <c r="Y306" t="s">
        <v>13918</v>
      </c>
      <c r="Z306" t="s">
        <v>14197</v>
      </c>
      <c r="AA306" s="45"/>
    </row>
    <row r="307" spans="1:30" x14ac:dyDescent="0.2">
      <c r="A307" s="856">
        <v>400018</v>
      </c>
      <c r="B307" s="844" t="s">
        <v>14623</v>
      </c>
      <c r="C307" s="844" t="s">
        <v>14624</v>
      </c>
      <c r="D307" s="845">
        <v>43370</v>
      </c>
      <c r="E307" s="309">
        <v>3</v>
      </c>
      <c r="F307" s="309">
        <v>38</v>
      </c>
      <c r="G307" s="309">
        <v>10</v>
      </c>
      <c r="H307" s="261" t="s">
        <v>13855</v>
      </c>
      <c r="I307" s="261"/>
      <c r="J307" s="261" t="s">
        <v>14394</v>
      </c>
      <c r="K307" s="846">
        <v>0.5</v>
      </c>
      <c r="L307" s="847" t="str">
        <f t="shared" si="16"/>
        <v>50%</v>
      </c>
      <c r="M307" s="848" t="str">
        <f t="shared" si="17"/>
        <v>Last Defense +50%</v>
      </c>
      <c r="N307" s="309">
        <v>4</v>
      </c>
      <c r="O307" s="309">
        <v>130</v>
      </c>
      <c r="P307" s="309">
        <v>80</v>
      </c>
      <c r="Q307" s="261" t="s">
        <v>13855</v>
      </c>
      <c r="R307" s="261"/>
      <c r="S307" s="261" t="s">
        <v>14394</v>
      </c>
      <c r="T307" s="846">
        <v>0.6</v>
      </c>
      <c r="U307" s="847" t="str">
        <f t="shared" si="18"/>
        <v>60%</v>
      </c>
      <c r="V307" s="848" t="str">
        <f t="shared" si="19"/>
        <v>Last Defense +60%</v>
      </c>
      <c r="W307" s="857" t="str">
        <f>+INDEX(Endvr!$A$2:$K$3001,MATCH(B307,Endvr!$G:$G,0),MATCH("Description",Endvr!$A$2:$K$2,0))</f>
        <v>Unlock 50 Mana Nodes for a Wind-Attuned Adventurer</v>
      </c>
      <c r="X307" t="s">
        <v>13843</v>
      </c>
      <c r="Y307" t="s">
        <v>14391</v>
      </c>
      <c r="AA307" s="45"/>
    </row>
    <row r="308" spans="1:30" x14ac:dyDescent="0.2">
      <c r="A308" s="856">
        <v>400019</v>
      </c>
      <c r="B308" s="844" t="s">
        <v>14625</v>
      </c>
      <c r="C308" s="844" t="s">
        <v>14626</v>
      </c>
      <c r="D308" s="845">
        <v>43370</v>
      </c>
      <c r="E308" s="309">
        <v>3</v>
      </c>
      <c r="F308" s="309">
        <v>36</v>
      </c>
      <c r="G308" s="309">
        <v>12</v>
      </c>
      <c r="H308" s="261" t="s">
        <v>13889</v>
      </c>
      <c r="I308" s="261"/>
      <c r="J308" s="261" t="s">
        <v>13882</v>
      </c>
      <c r="K308" s="846">
        <v>0.08</v>
      </c>
      <c r="L308" s="847" t="str">
        <f t="shared" si="16"/>
        <v>8%</v>
      </c>
      <c r="M308" s="848" t="str">
        <f t="shared" si="17"/>
        <v>Recovery Potency +8%</v>
      </c>
      <c r="N308" s="309">
        <v>4</v>
      </c>
      <c r="O308" s="309">
        <v>130</v>
      </c>
      <c r="P308" s="309">
        <v>80</v>
      </c>
      <c r="Q308" s="261" t="s">
        <v>13895</v>
      </c>
      <c r="R308" s="261"/>
      <c r="S308" s="261" t="s">
        <v>13882</v>
      </c>
      <c r="T308" s="846">
        <v>0.12</v>
      </c>
      <c r="U308" s="847" t="str">
        <f t="shared" si="18"/>
        <v>12%</v>
      </c>
      <c r="V308" s="848" t="str">
        <f t="shared" si="19"/>
        <v>Recovery Potency +12%</v>
      </c>
      <c r="W308" s="857" t="str">
        <f>+INDEX(Endvr!$A$2:$K$3001,MATCH(B308,Endvr!$G:$G,0),MATCH("Description",Endvr!$A$2:$K$2,0))&amp;" ("&amp;INDEX(Endvr!$A$2:$K$3001,MATCH(B308,Endvr!$G:$G,0),MATCH("Event Name",Endvr!$A$2:$K$2,0))&amp;")"</f>
        <v>Clear Battle in the Dornith Mountains: Master (The Imperial Onslaught)</v>
      </c>
      <c r="X308" t="s">
        <v>13843</v>
      </c>
      <c r="Y308" t="s">
        <v>13954</v>
      </c>
      <c r="Z308" t="s">
        <v>1947</v>
      </c>
      <c r="AA308" s="45"/>
    </row>
    <row r="309" spans="1:30" x14ac:dyDescent="0.2">
      <c r="A309" s="856">
        <v>400020</v>
      </c>
      <c r="B309" s="844" t="s">
        <v>14627</v>
      </c>
      <c r="C309" s="844" t="s">
        <v>14628</v>
      </c>
      <c r="D309" s="845">
        <v>43370</v>
      </c>
      <c r="E309" s="309">
        <v>3</v>
      </c>
      <c r="F309" s="309">
        <v>38</v>
      </c>
      <c r="G309" s="309">
        <v>10</v>
      </c>
      <c r="H309" s="261"/>
      <c r="I309" s="261"/>
      <c r="J309" s="261" t="s">
        <v>14377</v>
      </c>
      <c r="K309" s="846">
        <v>0.25</v>
      </c>
      <c r="L309" s="847" t="str">
        <f t="shared" si="16"/>
        <v>25%</v>
      </c>
      <c r="M309" s="848" t="str">
        <f t="shared" si="17"/>
        <v>Burn Res +25%</v>
      </c>
      <c r="N309" s="309">
        <v>4</v>
      </c>
      <c r="O309" s="309">
        <v>130</v>
      </c>
      <c r="P309" s="309">
        <v>80</v>
      </c>
      <c r="Q309" s="261" t="s">
        <v>645</v>
      </c>
      <c r="R309" s="261"/>
      <c r="S309" s="261" t="s">
        <v>14377</v>
      </c>
      <c r="T309" s="846">
        <v>1</v>
      </c>
      <c r="U309" s="847" t="str">
        <f t="shared" si="18"/>
        <v>100%</v>
      </c>
      <c r="V309" s="848" t="str">
        <f t="shared" si="19"/>
        <v>Burn Res +100%</v>
      </c>
      <c r="W309" s="857" t="str">
        <f>+INDEX(Endvr!$A$2:$K$3001,MATCH(B309,Endvr!$G:$G,0),MATCH("Description",Endvr!$A$2:$K$2,0))&amp;" ("&amp;INDEX(Endvr!$A$2:$K$3001,MATCH(B309,Endvr!$G:$G,0),MATCH("Event Name",Endvr!$A$2:$K$2,0))&amp;")"</f>
        <v>Obtain From Ch. 07 EX 1 Chest (Very Hard) (Non-Endeavor)</v>
      </c>
      <c r="X309" t="s">
        <v>13843</v>
      </c>
      <c r="Y309" t="s">
        <v>13918</v>
      </c>
      <c r="Z309" t="s">
        <v>13938</v>
      </c>
      <c r="AA309" s="45"/>
    </row>
    <row r="310" spans="1:30" x14ac:dyDescent="0.2">
      <c r="A310" s="856">
        <v>400021</v>
      </c>
      <c r="B310" s="844" t="s">
        <v>14629</v>
      </c>
      <c r="C310" s="844" t="s">
        <v>14630</v>
      </c>
      <c r="D310" s="845">
        <v>43370</v>
      </c>
      <c r="E310" s="309">
        <v>3</v>
      </c>
      <c r="F310" s="309">
        <v>35</v>
      </c>
      <c r="G310" s="309">
        <v>13</v>
      </c>
      <c r="H310" s="261" t="s">
        <v>543</v>
      </c>
      <c r="I310" s="261"/>
      <c r="J310" s="261" t="s">
        <v>8958</v>
      </c>
      <c r="K310" s="846">
        <v>0.15</v>
      </c>
      <c r="L310" s="847" t="str">
        <f t="shared" si="16"/>
        <v>15%</v>
      </c>
      <c r="M310" s="848" t="str">
        <f t="shared" si="17"/>
        <v>Critical Damage +15%</v>
      </c>
      <c r="N310" s="309">
        <v>4</v>
      </c>
      <c r="O310" s="309">
        <v>130</v>
      </c>
      <c r="P310" s="309">
        <v>80</v>
      </c>
      <c r="Q310" s="261" t="s">
        <v>13842</v>
      </c>
      <c r="R310" s="261"/>
      <c r="S310" s="261" t="s">
        <v>13950</v>
      </c>
      <c r="T310" s="846">
        <v>0.4</v>
      </c>
      <c r="U310" s="847" t="str">
        <f t="shared" si="18"/>
        <v>40%</v>
      </c>
      <c r="V310" s="848" t="str">
        <f t="shared" si="19"/>
        <v>Force Strike +40%</v>
      </c>
      <c r="W310" s="857" t="str">
        <f>+INDEX(Endvr!$A$2:$K$3001,MATCH(B310,Endvr!$G:$G,0),MATCH("Description",Endvr!$A$2:$K$2,0))&amp;" ("&amp;INDEX(Endvr!$A$2:$K$3001,MATCH(B310,Endvr!$G:$G,0),MATCH("Event Name",Endvr!$A$2:$K$2,0))&amp;")"</f>
        <v>Obtain From Ch. 13 EX 1 Chest (Very Hard) (Non-Endeavor)</v>
      </c>
      <c r="X310" t="s">
        <v>13843</v>
      </c>
      <c r="Y310" t="s">
        <v>13918</v>
      </c>
      <c r="Z310" t="s">
        <v>14178</v>
      </c>
      <c r="AA310" s="45"/>
    </row>
    <row r="311" spans="1:30" x14ac:dyDescent="0.2">
      <c r="A311" s="856">
        <v>400022</v>
      </c>
      <c r="B311" s="844" t="s">
        <v>14631</v>
      </c>
      <c r="C311" s="844" t="s">
        <v>14632</v>
      </c>
      <c r="D311" s="845">
        <v>43370</v>
      </c>
      <c r="E311" s="309">
        <v>3</v>
      </c>
      <c r="F311" s="309">
        <v>36</v>
      </c>
      <c r="G311" s="309">
        <v>12</v>
      </c>
      <c r="H311" s="261" t="s">
        <v>13855</v>
      </c>
      <c r="I311" s="261"/>
      <c r="J311" s="261" t="s">
        <v>14633</v>
      </c>
      <c r="K311" s="846">
        <v>0.25</v>
      </c>
      <c r="L311" s="847" t="str">
        <f t="shared" si="16"/>
        <v>25%</v>
      </c>
      <c r="M311" s="848" t="str">
        <f t="shared" si="17"/>
        <v>Gauge Inhibitor +25%</v>
      </c>
      <c r="N311" s="309">
        <v>4</v>
      </c>
      <c r="O311" s="309">
        <v>130</v>
      </c>
      <c r="P311" s="309">
        <v>80</v>
      </c>
      <c r="Q311" s="261" t="s">
        <v>13855</v>
      </c>
      <c r="R311" s="261"/>
      <c r="S311" s="261" t="s">
        <v>14633</v>
      </c>
      <c r="T311" s="846">
        <v>0.3</v>
      </c>
      <c r="U311" s="847" t="str">
        <f t="shared" si="18"/>
        <v>30%</v>
      </c>
      <c r="V311" s="848" t="str">
        <f t="shared" si="19"/>
        <v>Gauge Inhibitor +30%</v>
      </c>
      <c r="W311" s="857" t="str">
        <f>+INDEX(Endvr!$A$2:$K$3001,MATCH(B311,Endvr!$G:$G,0),MATCH("Description",Endvr!$A$2:$K$2,0))&amp;" ("&amp;INDEX(Endvr!$A$2:$K$3001,MATCH(B311,Endvr!$G:$G,0),MATCH("Event Name",Endvr!$A$2:$K$2,0))&amp;")"</f>
        <v>Clear Battle at Mount Adolla: Standard (The Imperial Onslaught)</v>
      </c>
      <c r="X311" t="s">
        <v>13843</v>
      </c>
      <c r="Y311" s="87" t="s">
        <v>13954</v>
      </c>
      <c r="Z311" t="s">
        <v>122</v>
      </c>
      <c r="AA311" s="45"/>
      <c r="AB311" s="94"/>
    </row>
    <row r="312" spans="1:30" x14ac:dyDescent="0.2">
      <c r="A312" s="856">
        <v>400023</v>
      </c>
      <c r="B312" s="844" t="s">
        <v>14634</v>
      </c>
      <c r="C312" s="844" t="s">
        <v>14635</v>
      </c>
      <c r="D312" s="845">
        <v>43370</v>
      </c>
      <c r="E312" s="309">
        <v>3</v>
      </c>
      <c r="F312" s="309">
        <v>35</v>
      </c>
      <c r="G312" s="309">
        <v>13</v>
      </c>
      <c r="H312" s="261" t="s">
        <v>13847</v>
      </c>
      <c r="I312" s="261"/>
      <c r="J312" s="261" t="s">
        <v>14074</v>
      </c>
      <c r="K312" s="846">
        <v>0.04</v>
      </c>
      <c r="L312" s="847" t="str">
        <f t="shared" si="16"/>
        <v>4%</v>
      </c>
      <c r="M312" s="848" t="str">
        <f t="shared" si="17"/>
        <v>Slayer's Strength +4%</v>
      </c>
      <c r="N312" s="309">
        <v>4</v>
      </c>
      <c r="O312" s="309">
        <v>130</v>
      </c>
      <c r="P312" s="309">
        <v>80</v>
      </c>
      <c r="Q312" s="261" t="s">
        <v>13847</v>
      </c>
      <c r="R312" s="261"/>
      <c r="S312" s="261" t="s">
        <v>14074</v>
      </c>
      <c r="T312" s="846">
        <v>0.05</v>
      </c>
      <c r="U312" s="847" t="str">
        <f t="shared" si="18"/>
        <v>5%</v>
      </c>
      <c r="V312" s="848" t="str">
        <f t="shared" si="19"/>
        <v>Slayer's Strength +5%</v>
      </c>
      <c r="W312" s="857" t="str">
        <f>+INDEX(Endvr!$A$2:$K$3001,MATCH(B312,Endvr!$G:$G,0),MATCH("Description",Endvr!$A$2:$K$2,0))</f>
        <v>Clear Mercury's Trial: Expert</v>
      </c>
      <c r="X312" t="s">
        <v>13843</v>
      </c>
      <c r="Y312" t="s">
        <v>13994</v>
      </c>
      <c r="Z312" t="s">
        <v>1103</v>
      </c>
      <c r="AA312" s="98"/>
    </row>
    <row r="313" spans="1:30" x14ac:dyDescent="0.2">
      <c r="A313" s="856">
        <v>400024</v>
      </c>
      <c r="B313" s="844" t="s">
        <v>14636</v>
      </c>
      <c r="C313" s="844" t="s">
        <v>14637</v>
      </c>
      <c r="D313" s="845">
        <v>43370</v>
      </c>
      <c r="E313" s="309">
        <v>3</v>
      </c>
      <c r="F313" s="309">
        <v>35</v>
      </c>
      <c r="G313" s="309">
        <v>13</v>
      </c>
      <c r="H313" s="261" t="s">
        <v>759</v>
      </c>
      <c r="I313" s="261"/>
      <c r="J313" s="261" t="s">
        <v>9612</v>
      </c>
      <c r="K313" s="846">
        <v>0.2</v>
      </c>
      <c r="L313" s="847" t="str">
        <f t="shared" si="16"/>
        <v>20%</v>
      </c>
      <c r="M313" s="848" t="str">
        <f t="shared" si="17"/>
        <v>Skill Damage +20%</v>
      </c>
      <c r="N313" s="309">
        <v>4</v>
      </c>
      <c r="O313" s="309">
        <v>130</v>
      </c>
      <c r="P313" s="309">
        <v>80</v>
      </c>
      <c r="Q313" s="261" t="s">
        <v>759</v>
      </c>
      <c r="R313" s="261"/>
      <c r="S313" s="261" t="s">
        <v>9612</v>
      </c>
      <c r="T313" s="846">
        <v>0.2</v>
      </c>
      <c r="U313" s="847" t="str">
        <f t="shared" si="18"/>
        <v>20%</v>
      </c>
      <c r="V313" s="848" t="str">
        <f t="shared" si="19"/>
        <v>Skill Damage +20%</v>
      </c>
      <c r="W313" s="857" t="str">
        <f>+INDEX(Endvr!$A$2:$K$3001,MATCH(B313,Endvr!$G:$G,0),MATCH("Description",Endvr!$A$2:$K$2,0))&amp;" ("&amp;INDEX(Endvr!$A$2:$K$3001,MATCH(B313,Endvr!$G:$G,0),MATCH("Event Name",Endvr!$A$2:$K$2,0))&amp;")"</f>
        <v>Clear Battle at the Wartarch Ruins: Master (The Imperial Onslaught)</v>
      </c>
      <c r="X313" t="s">
        <v>13843</v>
      </c>
      <c r="Y313" s="87" t="s">
        <v>13954</v>
      </c>
      <c r="Z313" t="s">
        <v>3779</v>
      </c>
      <c r="AA313" s="45"/>
    </row>
    <row r="314" spans="1:30" x14ac:dyDescent="0.2">
      <c r="A314" s="856">
        <v>400025</v>
      </c>
      <c r="B314" s="844" t="s">
        <v>14638</v>
      </c>
      <c r="C314" s="844" t="s">
        <v>14639</v>
      </c>
      <c r="D314" s="845">
        <v>43370</v>
      </c>
      <c r="E314" s="309">
        <v>3</v>
      </c>
      <c r="F314" s="309">
        <v>35</v>
      </c>
      <c r="G314" s="309">
        <v>13</v>
      </c>
      <c r="H314" s="261" t="s">
        <v>123</v>
      </c>
      <c r="I314" s="261"/>
      <c r="J314" s="261" t="s">
        <v>13925</v>
      </c>
      <c r="K314" s="846">
        <v>0.1</v>
      </c>
      <c r="L314" s="847" t="str">
        <f t="shared" si="16"/>
        <v>10%</v>
      </c>
      <c r="M314" s="848" t="str">
        <f t="shared" si="17"/>
        <v>Full HP = Strength +10%</v>
      </c>
      <c r="N314" s="309">
        <v>4</v>
      </c>
      <c r="O314" s="309">
        <v>130</v>
      </c>
      <c r="P314" s="309">
        <v>80</v>
      </c>
      <c r="Q314" s="261" t="s">
        <v>645</v>
      </c>
      <c r="R314" s="261"/>
      <c r="S314" s="261" t="s">
        <v>9839</v>
      </c>
      <c r="T314" s="846">
        <v>0.13</v>
      </c>
      <c r="U314" s="847" t="str">
        <f t="shared" si="18"/>
        <v>13%</v>
      </c>
      <c r="V314" s="848" t="str">
        <f t="shared" si="19"/>
        <v>Strength +13%</v>
      </c>
      <c r="W314" s="857" t="str">
        <f>+INDEX(Endvr!$A$2:$K$3001,MATCH(B314,Endvr!$G:$G,0),MATCH("Description",Endvr!$A$2:$K$2,0))</f>
        <v>Raise an Adventurer to Lv. 30</v>
      </c>
      <c r="X314" t="s">
        <v>13843</v>
      </c>
      <c r="Y314" t="s">
        <v>14391</v>
      </c>
      <c r="AA314" s="45"/>
      <c r="AD314" s="74"/>
    </row>
    <row r="315" spans="1:30" x14ac:dyDescent="0.2">
      <c r="A315" s="856">
        <v>400026</v>
      </c>
      <c r="B315" s="844" t="s">
        <v>14640</v>
      </c>
      <c r="C315" s="844" t="s">
        <v>14641</v>
      </c>
      <c r="D315" s="845">
        <v>43370</v>
      </c>
      <c r="E315" s="309">
        <v>3</v>
      </c>
      <c r="F315" s="309">
        <v>38</v>
      </c>
      <c r="G315" s="309">
        <v>10</v>
      </c>
      <c r="H315" s="261"/>
      <c r="I315" s="261"/>
      <c r="J315" s="261" t="s">
        <v>14380</v>
      </c>
      <c r="K315" s="846">
        <v>0.25</v>
      </c>
      <c r="L315" s="847" t="str">
        <f t="shared" si="16"/>
        <v>25%</v>
      </c>
      <c r="M315" s="848" t="str">
        <f t="shared" si="17"/>
        <v>Stun Res +25%</v>
      </c>
      <c r="N315" s="309">
        <v>4</v>
      </c>
      <c r="O315" s="309">
        <v>130</v>
      </c>
      <c r="P315" s="309">
        <v>80</v>
      </c>
      <c r="Q315" s="261" t="s">
        <v>645</v>
      </c>
      <c r="R315" s="261"/>
      <c r="S315" s="261" t="s">
        <v>14380</v>
      </c>
      <c r="T315" s="846">
        <v>1</v>
      </c>
      <c r="U315" s="847" t="str">
        <f t="shared" si="18"/>
        <v>100%</v>
      </c>
      <c r="V315" s="848" t="str">
        <f t="shared" si="19"/>
        <v>Stun Res +100%</v>
      </c>
      <c r="W315" s="857" t="str">
        <f>+INDEX(Endvr!$A$2:$K$3001,MATCH(B315,Endvr!$G:$G,0),MATCH("Description",Endvr!$A$2:$K$2,0))</f>
        <v>Clear Mercury's Trial: Beginner</v>
      </c>
      <c r="X315" t="s">
        <v>13843</v>
      </c>
      <c r="Y315" t="s">
        <v>13994</v>
      </c>
      <c r="Z315" t="s">
        <v>1103</v>
      </c>
      <c r="AA315" s="45"/>
      <c r="AD315" s="74"/>
    </row>
    <row r="316" spans="1:30" x14ac:dyDescent="0.2">
      <c r="A316" s="856">
        <v>400028</v>
      </c>
      <c r="B316" s="844" t="s">
        <v>14642</v>
      </c>
      <c r="C316" s="844" t="s">
        <v>14643</v>
      </c>
      <c r="D316" s="845">
        <v>43370</v>
      </c>
      <c r="E316" s="309">
        <v>3</v>
      </c>
      <c r="F316" s="309">
        <v>38</v>
      </c>
      <c r="G316" s="309">
        <v>10</v>
      </c>
      <c r="H316" s="261"/>
      <c r="I316" s="261"/>
      <c r="J316" s="261" t="s">
        <v>14388</v>
      </c>
      <c r="K316" s="846">
        <v>0.25</v>
      </c>
      <c r="L316" s="847" t="str">
        <f t="shared" si="16"/>
        <v>25%</v>
      </c>
      <c r="M316" s="848" t="str">
        <f t="shared" si="17"/>
        <v>Poison Res +25%</v>
      </c>
      <c r="N316" s="309">
        <v>4</v>
      </c>
      <c r="O316" s="309">
        <v>130</v>
      </c>
      <c r="P316" s="309">
        <v>80</v>
      </c>
      <c r="Q316" s="261" t="s">
        <v>13915</v>
      </c>
      <c r="R316" s="261"/>
      <c r="S316" s="261" t="s">
        <v>13950</v>
      </c>
      <c r="T316" s="846">
        <v>0.4</v>
      </c>
      <c r="U316" s="847" t="str">
        <f t="shared" si="18"/>
        <v>40%</v>
      </c>
      <c r="V316" s="848" t="str">
        <f t="shared" si="19"/>
        <v>Force Strike +40%</v>
      </c>
      <c r="W316" s="857" t="str">
        <f>+INDEX(Endvr!$A$2:$K$3001,MATCH(B316,Endvr!$G:$G,0),MATCH("Description",Endvr!$A$2:$K$2,0))</f>
        <v>Clear Jupiter's Trial: Master</v>
      </c>
      <c r="X316" t="s">
        <v>13843</v>
      </c>
      <c r="Y316" t="s">
        <v>13994</v>
      </c>
      <c r="Z316" t="s">
        <v>2837</v>
      </c>
      <c r="AA316" s="45"/>
      <c r="AD316" s="74"/>
    </row>
    <row r="317" spans="1:30" x14ac:dyDescent="0.2">
      <c r="A317" s="856">
        <v>400031</v>
      </c>
      <c r="B317" s="844" t="s">
        <v>14644</v>
      </c>
      <c r="C317" s="844" t="s">
        <v>14645</v>
      </c>
      <c r="D317" s="845">
        <v>43370</v>
      </c>
      <c r="E317" s="309">
        <v>3</v>
      </c>
      <c r="F317" s="309">
        <v>38</v>
      </c>
      <c r="G317" s="309">
        <v>10</v>
      </c>
      <c r="H317" s="261"/>
      <c r="I317" s="261"/>
      <c r="J317" s="261" t="s">
        <v>14506</v>
      </c>
      <c r="K317" s="846">
        <v>0.25</v>
      </c>
      <c r="L317" s="847" t="str">
        <f t="shared" si="16"/>
        <v>25%</v>
      </c>
      <c r="M317" s="848" t="str">
        <f t="shared" si="17"/>
        <v>Freeze Res +25%</v>
      </c>
      <c r="N317" s="309">
        <v>4</v>
      </c>
      <c r="O317" s="309">
        <v>130</v>
      </c>
      <c r="P317" s="309">
        <v>80</v>
      </c>
      <c r="Q317" s="261" t="s">
        <v>543</v>
      </c>
      <c r="R317" s="261"/>
      <c r="S317" s="261" t="s">
        <v>14506</v>
      </c>
      <c r="T317" s="846">
        <v>1</v>
      </c>
      <c r="U317" s="847" t="str">
        <f t="shared" si="18"/>
        <v>100%</v>
      </c>
      <c r="V317" s="848" t="str">
        <f t="shared" si="19"/>
        <v>Freeze Res +100%</v>
      </c>
      <c r="W317" s="857" t="str">
        <f>+INDEX(Endvr!$A$2:$K$3001,MATCH(B317,Endvr!$G:$G,0),MATCH("Description",Endvr!$A$2:$K$2,0))&amp;" ("&amp;INDEX(Endvr!$A$2:$K$3001,MATCH(B317,Endvr!$G:$G,0),MATCH("Event Name",Endvr!$A$2:$K$2,0))&amp;")"</f>
        <v>Clear Battle in the Dornith Mountains: Standard (The Imperial Onslaught)</v>
      </c>
      <c r="X317" t="s">
        <v>13843</v>
      </c>
      <c r="Y317" t="s">
        <v>13954</v>
      </c>
      <c r="Z317" t="s">
        <v>1947</v>
      </c>
      <c r="AA317" s="45"/>
    </row>
    <row r="318" spans="1:30" x14ac:dyDescent="0.2">
      <c r="A318" s="856">
        <v>400029</v>
      </c>
      <c r="B318" s="844" t="s">
        <v>14646</v>
      </c>
      <c r="C318" s="844" t="s">
        <v>14647</v>
      </c>
      <c r="D318" s="845">
        <v>43377</v>
      </c>
      <c r="E318" s="309">
        <v>3</v>
      </c>
      <c r="F318" s="309">
        <v>36</v>
      </c>
      <c r="G318" s="309">
        <v>12</v>
      </c>
      <c r="H318" s="261" t="s">
        <v>759</v>
      </c>
      <c r="I318" s="261"/>
      <c r="J318" s="261" t="s">
        <v>13982</v>
      </c>
      <c r="K318" s="846">
        <v>0.2</v>
      </c>
      <c r="L318" s="847" t="str">
        <f t="shared" si="16"/>
        <v>20%</v>
      </c>
      <c r="M318" s="848" t="str">
        <f t="shared" si="17"/>
        <v>Skill Prep +20%</v>
      </c>
      <c r="N318" s="309">
        <v>4</v>
      </c>
      <c r="O318" s="309">
        <v>130</v>
      </c>
      <c r="P318" s="309">
        <v>80</v>
      </c>
      <c r="Q318" s="261" t="s">
        <v>759</v>
      </c>
      <c r="R318" s="261"/>
      <c r="S318" s="261" t="s">
        <v>13982</v>
      </c>
      <c r="T318" s="846">
        <v>0.5</v>
      </c>
      <c r="U318" s="847" t="str">
        <f t="shared" si="18"/>
        <v>50%</v>
      </c>
      <c r="V318" s="848" t="str">
        <f t="shared" si="19"/>
        <v>Skill Prep +50%</v>
      </c>
      <c r="W318" s="857" t="str">
        <f>+INDEX(Endvr!$A$2:$K$3001,MATCH(B318,Endvr!$G:$G,0),MATCH("Description",Endvr!$A$2:$K$2,0))&amp;" ("&amp;INDEX(Endvr!$A$2:$K$3001,MATCH(B318,Endvr!$G:$G,0),MATCH("Event Name",Endvr!$A$2:$K$2,0))&amp;")"</f>
        <v>Obtain From Ch. 02 EX 1 Chest (Very Hard) (Non-Endeavor)</v>
      </c>
      <c r="X318" t="s">
        <v>13843</v>
      </c>
      <c r="Y318" t="s">
        <v>13918</v>
      </c>
      <c r="Z318" t="s">
        <v>13919</v>
      </c>
      <c r="AA318" s="45"/>
    </row>
    <row r="319" spans="1:30" x14ac:dyDescent="0.2">
      <c r="A319" s="856">
        <v>400032</v>
      </c>
      <c r="B319" s="844" t="s">
        <v>14648</v>
      </c>
      <c r="C319" s="844" t="s">
        <v>14649</v>
      </c>
      <c r="D319" s="845">
        <v>43390</v>
      </c>
      <c r="E319" s="309">
        <v>3</v>
      </c>
      <c r="F319" s="309">
        <v>38</v>
      </c>
      <c r="G319" s="309">
        <v>10</v>
      </c>
      <c r="H319" s="261"/>
      <c r="I319" s="261"/>
      <c r="J319" s="261" t="s">
        <v>13993</v>
      </c>
      <c r="K319" s="846">
        <v>0.25</v>
      </c>
      <c r="L319" s="847" t="str">
        <f t="shared" si="16"/>
        <v>25%</v>
      </c>
      <c r="M319" s="848" t="str">
        <f t="shared" si="17"/>
        <v>Curse Res +25%</v>
      </c>
      <c r="N319" s="309">
        <v>4</v>
      </c>
      <c r="O319" s="309">
        <v>130</v>
      </c>
      <c r="P319" s="309">
        <v>80</v>
      </c>
      <c r="Q319" s="261" t="s">
        <v>13915</v>
      </c>
      <c r="R319" s="261"/>
      <c r="S319" s="261" t="s">
        <v>13993</v>
      </c>
      <c r="T319" s="846">
        <v>1</v>
      </c>
      <c r="U319" s="847" t="str">
        <f t="shared" si="18"/>
        <v>100%</v>
      </c>
      <c r="V319" s="848" t="str">
        <f t="shared" si="19"/>
        <v>Curse Res +100%</v>
      </c>
      <c r="W319" s="857" t="str">
        <f>+INDEX(Endvr!$A$2:$K$3001,MATCH(B319,Endvr!$G:$G,0),MATCH("Description",Endvr!$A$2:$K$2,0))&amp;" ("&amp;INDEX(Endvr!$A$2:$K$3001,MATCH(B319,Endvr!$G:$G,0),MATCH("Event Name",Endvr!$A$2:$K$2,0))&amp;")"</f>
        <v>Clear Lantern o' Laughs (Trick or Treasure!)</v>
      </c>
      <c r="X319" t="s">
        <v>13958</v>
      </c>
      <c r="Y319" t="s">
        <v>13967</v>
      </c>
      <c r="AA319" s="45"/>
    </row>
    <row r="320" spans="1:30" x14ac:dyDescent="0.2">
      <c r="A320" s="856">
        <v>400101</v>
      </c>
      <c r="B320" s="844" t="s">
        <v>14650</v>
      </c>
      <c r="C320" s="844" t="s">
        <v>14651</v>
      </c>
      <c r="D320" s="845">
        <v>43404</v>
      </c>
      <c r="E320" s="309">
        <v>3</v>
      </c>
      <c r="F320" s="309">
        <v>38</v>
      </c>
      <c r="G320" s="309">
        <v>10</v>
      </c>
      <c r="H320" s="261"/>
      <c r="I320" s="261"/>
      <c r="J320" s="261" t="s">
        <v>14436</v>
      </c>
      <c r="K320" s="846">
        <v>0.25</v>
      </c>
      <c r="L320" s="847" t="str">
        <f t="shared" si="16"/>
        <v>25%</v>
      </c>
      <c r="M320" s="848" t="str">
        <f t="shared" si="17"/>
        <v>Sleep Res +25%</v>
      </c>
      <c r="N320" s="309">
        <v>4</v>
      </c>
      <c r="O320" s="309">
        <v>130</v>
      </c>
      <c r="P320" s="309">
        <v>80</v>
      </c>
      <c r="Q320" s="261" t="s">
        <v>13847</v>
      </c>
      <c r="R320" s="261"/>
      <c r="S320" s="261" t="s">
        <v>14436</v>
      </c>
      <c r="T320" s="846">
        <v>1</v>
      </c>
      <c r="U320" s="847" t="str">
        <f t="shared" si="18"/>
        <v>100%</v>
      </c>
      <c r="V320" s="848" t="str">
        <f t="shared" si="19"/>
        <v>Sleep Res +100%</v>
      </c>
      <c r="W320" s="857" t="str">
        <f>+INDEX(Endvr!$A$2:$K$3001,MATCH(B320,Endvr!$G:$G,0),MATCH("Description",Endvr!$A$2:$K$2,0))&amp;" ("&amp;INDEX(Endvr!$A$2:$K$3001,MATCH(B320,Endvr!$G:$G,0),MATCH("Event Name",Endvr!$A$2:$K$2,0))&amp;")"</f>
        <v>Clear Flamehowl Ruins: Expert (Elemental Ruins)</v>
      </c>
      <c r="X320" t="s">
        <v>13843</v>
      </c>
      <c r="Y320" t="s">
        <v>14035</v>
      </c>
      <c r="Z320" t="s">
        <v>122</v>
      </c>
      <c r="AA320" s="45"/>
    </row>
    <row r="321" spans="1:30" x14ac:dyDescent="0.2">
      <c r="A321" s="856">
        <v>400106</v>
      </c>
      <c r="B321" s="844" t="s">
        <v>14652</v>
      </c>
      <c r="C321" s="844" t="s">
        <v>14653</v>
      </c>
      <c r="D321" s="845">
        <v>43419</v>
      </c>
      <c r="E321" s="309">
        <v>3</v>
      </c>
      <c r="F321" s="309">
        <v>38</v>
      </c>
      <c r="G321" s="309">
        <v>10</v>
      </c>
      <c r="H321" s="261"/>
      <c r="I321" s="261"/>
      <c r="J321" s="261" t="s">
        <v>14401</v>
      </c>
      <c r="K321" s="846">
        <v>0.2</v>
      </c>
      <c r="L321" s="847" t="str">
        <f t="shared" si="16"/>
        <v>20%</v>
      </c>
      <c r="M321" s="848" t="str">
        <f t="shared" si="17"/>
        <v>Full HP = Defense +20%</v>
      </c>
      <c r="N321" s="309">
        <v>4</v>
      </c>
      <c r="O321" s="309">
        <v>130</v>
      </c>
      <c r="P321" s="309">
        <v>80</v>
      </c>
      <c r="Q321" s="261" t="s">
        <v>543</v>
      </c>
      <c r="R321" s="261"/>
      <c r="S321" s="261" t="s">
        <v>241</v>
      </c>
      <c r="T321" s="846">
        <v>0.15</v>
      </c>
      <c r="U321" s="847" t="str">
        <f t="shared" si="18"/>
        <v>15%</v>
      </c>
      <c r="V321" s="848" t="str">
        <f t="shared" si="19"/>
        <v>Defense +15%</v>
      </c>
      <c r="W321" s="857" t="str">
        <f>+INDEX(Endvr!$A$2:$K$3001,MATCH(B321,Endvr!$G:$G,0),MATCH("Description",Endvr!$A$2:$K$2,0))&amp;" ("&amp;INDEX(Endvr!$A$2:$K$3001,MATCH(B321,Endvr!$G:$G,0),MATCH("Event Name",Endvr!$A$2:$K$2,0))&amp;")"</f>
        <v>Clear Fiend Alert!: Beginner (A Wish to the Winds)</v>
      </c>
      <c r="X321" t="s">
        <v>13958</v>
      </c>
      <c r="Y321" t="s">
        <v>13983</v>
      </c>
      <c r="AA321" s="45"/>
    </row>
    <row r="322" spans="1:30" x14ac:dyDescent="0.2">
      <c r="A322" s="856">
        <v>400113</v>
      </c>
      <c r="B322" s="844" t="s">
        <v>14654</v>
      </c>
      <c r="C322" s="844" t="s">
        <v>14655</v>
      </c>
      <c r="D322" s="845">
        <v>43434</v>
      </c>
      <c r="E322" s="309">
        <v>3</v>
      </c>
      <c r="F322" s="309">
        <v>36</v>
      </c>
      <c r="G322" s="309">
        <v>12</v>
      </c>
      <c r="H322" s="261" t="s">
        <v>13842</v>
      </c>
      <c r="I322" s="261" t="s">
        <v>2837</v>
      </c>
      <c r="J322" s="261" t="s">
        <v>13863</v>
      </c>
      <c r="K322" s="846">
        <v>0.06</v>
      </c>
      <c r="L322" s="847" t="str">
        <f t="shared" si="16"/>
        <v>6%</v>
      </c>
      <c r="M322" s="848" t="str">
        <f t="shared" si="17"/>
        <v>(Light) Skill Haste +6%</v>
      </c>
      <c r="N322" s="309">
        <v>4</v>
      </c>
      <c r="O322" s="309">
        <v>130</v>
      </c>
      <c r="P322" s="309">
        <v>80</v>
      </c>
      <c r="Q322" s="261" t="s">
        <v>13842</v>
      </c>
      <c r="R322" s="261" t="s">
        <v>2837</v>
      </c>
      <c r="S322" s="261" t="s">
        <v>13863</v>
      </c>
      <c r="T322" s="846">
        <v>7.0000000000000007E-2</v>
      </c>
      <c r="U322" s="847" t="str">
        <f t="shared" si="18"/>
        <v>7%</v>
      </c>
      <c r="V322" s="848" t="str">
        <f t="shared" si="19"/>
        <v>(Light) Skill Haste +7%</v>
      </c>
      <c r="W322" s="857" t="str">
        <f>+INDEX(Endvr!$A$2:$K$3001,MATCH(B322,Endvr!$G:$G,0),MATCH("Description",Endvr!$A$2:$K$2,0))&amp;" ("&amp;INDEX(Endvr!$A$2:$K$3001,MATCH(B322,Endvr!$G:$G,0),MATCH("Event Name",Endvr!$A$2:$K$2,0))&amp;")"</f>
        <v>Clear Shadowsteep Ruins: Beginner (Elemental Ruins)</v>
      </c>
      <c r="X322" t="s">
        <v>13843</v>
      </c>
      <c r="Y322" t="s">
        <v>14035</v>
      </c>
      <c r="Z322" t="s">
        <v>2837</v>
      </c>
      <c r="AA322" s="45"/>
    </row>
    <row r="323" spans="1:30" x14ac:dyDescent="0.2">
      <c r="A323" s="856">
        <v>400117</v>
      </c>
      <c r="B323" s="844" t="s">
        <v>14656</v>
      </c>
      <c r="C323" s="844" t="s">
        <v>14657</v>
      </c>
      <c r="D323" s="845">
        <v>43451</v>
      </c>
      <c r="E323" s="309">
        <v>3</v>
      </c>
      <c r="F323" s="309">
        <v>36</v>
      </c>
      <c r="G323" s="309">
        <v>12</v>
      </c>
      <c r="H323" s="261"/>
      <c r="I323" s="261"/>
      <c r="J323" s="261" t="s">
        <v>13882</v>
      </c>
      <c r="K323" s="846">
        <v>0.08</v>
      </c>
      <c r="L323" s="847" t="str">
        <f t="shared" ref="L323:L350" si="20">IF(K323="","",TEXT(K323,"0%"))</f>
        <v>8%</v>
      </c>
      <c r="M323" s="848" t="str">
        <f t="shared" ref="M323:M351" si="21">IF(I323="",J323,"("&amp;I323&amp;") "&amp;J323)&amp;IF(K323="",""," +"&amp;L323)</f>
        <v>Recovery Potency +8%</v>
      </c>
      <c r="N323" s="309">
        <v>4</v>
      </c>
      <c r="O323" s="309">
        <v>130</v>
      </c>
      <c r="P323" s="309">
        <v>80</v>
      </c>
      <c r="Q323" s="261" t="s">
        <v>13877</v>
      </c>
      <c r="R323" s="261"/>
      <c r="S323" s="261" t="s">
        <v>13882</v>
      </c>
      <c r="T323" s="846">
        <v>0.12</v>
      </c>
      <c r="U323" s="847" t="str">
        <f t="shared" ref="U323:U350" si="22">IF(T323="","",TEXT(T323,"0%"))</f>
        <v>12%</v>
      </c>
      <c r="V323" s="848" t="str">
        <f t="shared" ref="V323:V350" si="23">IF(R323="",S323,"("&amp;R323&amp;") "&amp;S323)&amp;IF(T323="",""," +"&amp;U323)</f>
        <v>Recovery Potency +12%</v>
      </c>
      <c r="W323" s="857" t="str">
        <f>+INDEX(Endvr!$A$2:$K$3001,MATCH(B323,Endvr!$G:$G,0),MATCH("Description",Endvr!$A$2:$K$2,0))&amp;" ("&amp;INDEX(Endvr!$A$2:$K$3001,MATCH(B323,Endvr!$G:$G,0),MATCH("Event Name",Endvr!$A$2:$K$2,0))&amp;")"</f>
        <v>Clear a Boss Battle on Beginner (The Miracle of Dragonyule)</v>
      </c>
      <c r="X323" t="s">
        <v>13958</v>
      </c>
      <c r="Y323" t="s">
        <v>14001</v>
      </c>
      <c r="AA323" s="45"/>
    </row>
    <row r="324" spans="1:30" x14ac:dyDescent="0.2">
      <c r="A324" s="856">
        <v>400027</v>
      </c>
      <c r="B324" s="844" t="s">
        <v>14658</v>
      </c>
      <c r="C324" s="844" t="s">
        <v>14659</v>
      </c>
      <c r="D324" s="845">
        <v>43465</v>
      </c>
      <c r="E324" s="309">
        <v>3</v>
      </c>
      <c r="F324" s="309">
        <v>35</v>
      </c>
      <c r="G324" s="309">
        <v>13</v>
      </c>
      <c r="H324" s="261" t="s">
        <v>13936</v>
      </c>
      <c r="I324" s="261"/>
      <c r="J324" s="261" t="s">
        <v>14074</v>
      </c>
      <c r="K324" s="846">
        <v>0.04</v>
      </c>
      <c r="L324" s="847" t="str">
        <f t="shared" si="20"/>
        <v>4%</v>
      </c>
      <c r="M324" s="848" t="str">
        <f t="shared" si="21"/>
        <v>Slayer's Strength +4%</v>
      </c>
      <c r="N324" s="309">
        <v>4</v>
      </c>
      <c r="O324" s="309">
        <v>130</v>
      </c>
      <c r="P324" s="309">
        <v>80</v>
      </c>
      <c r="Q324" s="261" t="s">
        <v>13936</v>
      </c>
      <c r="R324" s="261"/>
      <c r="S324" s="261" t="s">
        <v>14074</v>
      </c>
      <c r="T324" s="846">
        <v>0.05</v>
      </c>
      <c r="U324" s="847" t="str">
        <f t="shared" si="22"/>
        <v>5%</v>
      </c>
      <c r="V324" s="848" t="str">
        <f t="shared" si="23"/>
        <v>Slayer's Strength +5%</v>
      </c>
      <c r="W324" s="857" t="str">
        <f>+INDEX(Endvr!$A$2:$K$3001,MATCH(B324,Endvr!$G:$G,0),MATCH("Description",Endvr!$A$2:$K$2,0))</f>
        <v>Clear Avenue to Power: Standard</v>
      </c>
      <c r="X324" t="s">
        <v>13843</v>
      </c>
      <c r="Y324" t="s">
        <v>13943</v>
      </c>
      <c r="AA324" s="45"/>
    </row>
    <row r="325" spans="1:30" x14ac:dyDescent="0.2">
      <c r="A325" s="856">
        <v>400130</v>
      </c>
      <c r="B325" s="844" t="s">
        <v>14660</v>
      </c>
      <c r="C325" s="844" t="s">
        <v>14661</v>
      </c>
      <c r="D325" s="845">
        <v>43480</v>
      </c>
      <c r="E325" s="309">
        <v>3</v>
      </c>
      <c r="F325" s="309">
        <v>36</v>
      </c>
      <c r="G325" s="309">
        <v>12</v>
      </c>
      <c r="H325" s="261" t="s">
        <v>13915</v>
      </c>
      <c r="I325" s="261"/>
      <c r="J325" s="261" t="s">
        <v>13982</v>
      </c>
      <c r="K325" s="846">
        <v>0.2</v>
      </c>
      <c r="L325" s="847" t="str">
        <f t="shared" si="20"/>
        <v>20%</v>
      </c>
      <c r="M325" s="848" t="str">
        <f t="shared" si="21"/>
        <v>Skill Prep +20%</v>
      </c>
      <c r="N325" s="309">
        <v>4</v>
      </c>
      <c r="O325" s="309">
        <v>130</v>
      </c>
      <c r="P325" s="309">
        <v>80</v>
      </c>
      <c r="Q325" s="261" t="s">
        <v>13915</v>
      </c>
      <c r="R325" s="261"/>
      <c r="S325" s="261" t="s">
        <v>13982</v>
      </c>
      <c r="T325" s="846">
        <v>0.5</v>
      </c>
      <c r="U325" s="847" t="str">
        <f t="shared" si="22"/>
        <v>50%</v>
      </c>
      <c r="V325" s="848" t="str">
        <f t="shared" si="23"/>
        <v>Skill Prep +50%</v>
      </c>
      <c r="W325" s="857" t="str">
        <f>+INDEX(Endvr!$A$2:$K$3001,MATCH(B325,Endvr!$G:$G,0),MATCH("Description",Endvr!$A$2:$K$2,0))&amp;" ("&amp;INDEX(Endvr!$A$2:$K$3001,MATCH(B325,Endvr!$G:$G,0),MATCH("Event Name",Endvr!$A$2:$K$2,0))&amp;")"</f>
        <v>Clear Welcome to the Fiend Circus: Beginner (Dream Big Under the Big Top)</v>
      </c>
      <c r="X325" t="s">
        <v>13958</v>
      </c>
      <c r="Y325" t="s">
        <v>14017</v>
      </c>
      <c r="AA325" s="45"/>
    </row>
    <row r="326" spans="1:30" x14ac:dyDescent="0.2">
      <c r="A326" s="856">
        <v>400137</v>
      </c>
      <c r="B326" s="844" t="s">
        <v>14662</v>
      </c>
      <c r="C326" s="844" t="s">
        <v>14663</v>
      </c>
      <c r="D326" s="845">
        <v>43496</v>
      </c>
      <c r="E326" s="309">
        <v>3</v>
      </c>
      <c r="F326" s="309">
        <v>35</v>
      </c>
      <c r="G326" s="309">
        <v>13</v>
      </c>
      <c r="H326" s="261"/>
      <c r="I326" s="261" t="s">
        <v>1947</v>
      </c>
      <c r="J326" s="261" t="s">
        <v>13929</v>
      </c>
      <c r="K326" s="846">
        <v>0.25</v>
      </c>
      <c r="L326" s="847" t="str">
        <f t="shared" si="20"/>
        <v>25%</v>
      </c>
      <c r="M326" s="848" t="str">
        <f t="shared" si="21"/>
        <v>(Wind) Broken Punisher +25%</v>
      </c>
      <c r="N326" s="309">
        <v>4</v>
      </c>
      <c r="O326" s="309">
        <v>130</v>
      </c>
      <c r="P326" s="309">
        <v>80</v>
      </c>
      <c r="Q326" s="261" t="s">
        <v>759</v>
      </c>
      <c r="R326" s="261"/>
      <c r="S326" s="261" t="s">
        <v>96</v>
      </c>
      <c r="T326" s="846">
        <v>0.1</v>
      </c>
      <c r="U326" s="847" t="str">
        <f t="shared" si="22"/>
        <v>10%</v>
      </c>
      <c r="V326" s="848" t="str">
        <f t="shared" si="23"/>
        <v>HP +10%</v>
      </c>
      <c r="W326" s="857" t="str">
        <f>+INDEX(Endvr!$A$2:$K$3001,MATCH(B326,Endvr!$G:$G,0),MATCH("Description",Endvr!$A$2:$K$2,0))&amp;" ("&amp;INDEX(Endvr!$A$2:$K$3001,MATCH(B326,Endvr!$G:$G,0),MATCH("Event Name",Endvr!$A$2:$K$2,0))&amp;")"</f>
        <v>Clear Bogged Down (Skyborne Spectacle)</v>
      </c>
      <c r="X326" t="s">
        <v>13958</v>
      </c>
      <c r="Y326" t="s">
        <v>14028</v>
      </c>
      <c r="AA326" s="45"/>
    </row>
    <row r="327" spans="1:30" x14ac:dyDescent="0.2">
      <c r="A327" s="856">
        <v>400141</v>
      </c>
      <c r="B327" s="844" t="s">
        <v>14664</v>
      </c>
      <c r="C327" s="844" t="s">
        <v>14665</v>
      </c>
      <c r="D327" s="845">
        <v>43510</v>
      </c>
      <c r="E327" s="309">
        <v>3</v>
      </c>
      <c r="F327" s="309">
        <v>36</v>
      </c>
      <c r="G327" s="309">
        <v>12</v>
      </c>
      <c r="H327" s="261" t="s">
        <v>13862</v>
      </c>
      <c r="I327" s="261"/>
      <c r="J327" s="261" t="s">
        <v>13982</v>
      </c>
      <c r="K327" s="846">
        <v>0.2</v>
      </c>
      <c r="L327" s="847" t="str">
        <f t="shared" si="20"/>
        <v>20%</v>
      </c>
      <c r="M327" s="848" t="str">
        <f t="shared" si="21"/>
        <v>Skill Prep +20%</v>
      </c>
      <c r="N327" s="309">
        <v>4</v>
      </c>
      <c r="O327" s="309">
        <v>130</v>
      </c>
      <c r="P327" s="309">
        <v>80</v>
      </c>
      <c r="Q327" s="261" t="s">
        <v>13862</v>
      </c>
      <c r="R327" s="261"/>
      <c r="S327" s="261" t="s">
        <v>13982</v>
      </c>
      <c r="T327" s="846">
        <v>0.5</v>
      </c>
      <c r="U327" s="847" t="str">
        <f t="shared" si="22"/>
        <v>50%</v>
      </c>
      <c r="V327" s="848" t="str">
        <f t="shared" si="23"/>
        <v>Skill Prep +50%</v>
      </c>
      <c r="W327" s="857" t="str">
        <f>+INDEX(Endvr!$A$2:$K$3001,MATCH(B327,Endvr!$G:$G,0),MATCH("Description",Endvr!$A$2:$K$2,0))</f>
        <v>Clear Mercury's Trial: Master</v>
      </c>
      <c r="X327" t="s">
        <v>13843</v>
      </c>
      <c r="Y327" t="s">
        <v>13994</v>
      </c>
      <c r="Z327" t="s">
        <v>1103</v>
      </c>
      <c r="AA327" s="45"/>
    </row>
    <row r="328" spans="1:30" x14ac:dyDescent="0.2">
      <c r="A328" s="856">
        <v>400151</v>
      </c>
      <c r="B328" s="844" t="s">
        <v>14666</v>
      </c>
      <c r="C328" s="844" t="s">
        <v>14667</v>
      </c>
      <c r="D328" s="845">
        <v>43524</v>
      </c>
      <c r="E328" s="309">
        <v>3</v>
      </c>
      <c r="F328" s="309">
        <v>38</v>
      </c>
      <c r="G328" s="309">
        <v>10</v>
      </c>
      <c r="H328" s="261"/>
      <c r="I328" s="261"/>
      <c r="J328" s="261" t="s">
        <v>14081</v>
      </c>
      <c r="K328" s="846">
        <v>0.25</v>
      </c>
      <c r="L328" s="847" t="str">
        <f t="shared" si="20"/>
        <v>25%</v>
      </c>
      <c r="M328" s="848" t="str">
        <f t="shared" si="21"/>
        <v>Bog Res +25%</v>
      </c>
      <c r="N328" s="309">
        <v>4</v>
      </c>
      <c r="O328" s="309">
        <v>130</v>
      </c>
      <c r="P328" s="309">
        <v>80</v>
      </c>
      <c r="Q328" s="261" t="s">
        <v>645</v>
      </c>
      <c r="R328" s="261"/>
      <c r="S328" s="261" t="s">
        <v>14081</v>
      </c>
      <c r="T328" s="846">
        <v>1</v>
      </c>
      <c r="U328" s="847" t="str">
        <f t="shared" si="22"/>
        <v>100%</v>
      </c>
      <c r="V328" s="848" t="str">
        <f t="shared" si="23"/>
        <v>Bog Res +100%</v>
      </c>
      <c r="W328" s="857" t="str">
        <f>+INDEX(Endvr!$A$2:$K$3001,MATCH(B328,Endvr!$G:$G,0),MATCH("Description",Endvr!$A$2:$K$2,0))</f>
        <v>Clear Midgardsormr's Trial: Expert</v>
      </c>
      <c r="X328" t="s">
        <v>13843</v>
      </c>
      <c r="Y328" t="s">
        <v>13994</v>
      </c>
      <c r="Z328" t="s">
        <v>1947</v>
      </c>
      <c r="AA328" s="45"/>
    </row>
    <row r="329" spans="1:30" x14ac:dyDescent="0.2">
      <c r="A329" s="856">
        <v>400156</v>
      </c>
      <c r="B329" s="844" t="s">
        <v>14668</v>
      </c>
      <c r="C329" s="844" t="s">
        <v>14669</v>
      </c>
      <c r="D329" s="845">
        <v>43536</v>
      </c>
      <c r="E329" s="309">
        <v>3</v>
      </c>
      <c r="F329" s="309">
        <v>35</v>
      </c>
      <c r="G329" s="309">
        <v>13</v>
      </c>
      <c r="H329" s="261" t="s">
        <v>13906</v>
      </c>
      <c r="I329" s="261" t="s">
        <v>3779</v>
      </c>
      <c r="J329" s="261" t="s">
        <v>13863</v>
      </c>
      <c r="K329" s="846">
        <v>0.06</v>
      </c>
      <c r="L329" s="847" t="str">
        <f t="shared" si="20"/>
        <v>6%</v>
      </c>
      <c r="M329" s="848" t="str">
        <f t="shared" si="21"/>
        <v>(Shadow) Skill Haste +6%</v>
      </c>
      <c r="N329" s="309">
        <v>4</v>
      </c>
      <c r="O329" s="309">
        <v>130</v>
      </c>
      <c r="P329" s="309">
        <v>80</v>
      </c>
      <c r="Q329" s="261" t="s">
        <v>13877</v>
      </c>
      <c r="R329" s="261" t="s">
        <v>3779</v>
      </c>
      <c r="S329" s="261" t="s">
        <v>13863</v>
      </c>
      <c r="T329" s="846">
        <v>7.0000000000000007E-2</v>
      </c>
      <c r="U329" s="847" t="str">
        <f t="shared" si="22"/>
        <v>7%</v>
      </c>
      <c r="V329" s="848" t="str">
        <f t="shared" si="23"/>
        <v>(Shadow) Skill Haste +7%</v>
      </c>
      <c r="W329" s="857" t="str">
        <f>+INDEX(Endvr!$A$2:$K$3001,MATCH(B329,Endvr!$G:$G,0),MATCH("Description",Endvr!$A$2:$K$2,0))&amp;" ("&amp;INDEX(Endvr!$A$2:$K$3001,MATCH(B329,Endvr!$G:$G,0),MATCH("Event Name",Endvr!$A$2:$K$2,0))&amp;")"</f>
        <v>Clear The Crawling Nightmare: Standard (The Accursed Archives)</v>
      </c>
      <c r="X329" t="s">
        <v>13958</v>
      </c>
      <c r="Y329" t="s">
        <v>14060</v>
      </c>
      <c r="AA329" s="98"/>
      <c r="AD329" s="74"/>
    </row>
    <row r="330" spans="1:30" x14ac:dyDescent="0.2">
      <c r="A330" s="856">
        <v>400175</v>
      </c>
      <c r="B330" s="844" t="s">
        <v>14670</v>
      </c>
      <c r="C330" s="844" t="s">
        <v>14671</v>
      </c>
      <c r="D330" s="845">
        <v>43555</v>
      </c>
      <c r="E330" s="309">
        <v>3</v>
      </c>
      <c r="F330" s="309">
        <v>36</v>
      </c>
      <c r="G330" s="309">
        <v>12</v>
      </c>
      <c r="H330" s="261"/>
      <c r="I330" s="261" t="s">
        <v>1103</v>
      </c>
      <c r="J330" s="261" t="s">
        <v>13863</v>
      </c>
      <c r="K330" s="846">
        <v>0.06</v>
      </c>
      <c r="L330" s="847" t="str">
        <f t="shared" si="20"/>
        <v>6%</v>
      </c>
      <c r="M330" s="848" t="str">
        <f t="shared" si="21"/>
        <v>(Water) Skill Haste +6%</v>
      </c>
      <c r="N330" s="309">
        <v>4</v>
      </c>
      <c r="O330" s="309">
        <v>130</v>
      </c>
      <c r="P330" s="309">
        <v>80</v>
      </c>
      <c r="Q330" s="261" t="s">
        <v>13847</v>
      </c>
      <c r="R330" s="261"/>
      <c r="S330" s="261" t="s">
        <v>13863</v>
      </c>
      <c r="T330" s="846">
        <v>0.06</v>
      </c>
      <c r="U330" s="847" t="str">
        <f t="shared" si="22"/>
        <v>6%</v>
      </c>
      <c r="V330" s="848" t="str">
        <f t="shared" si="23"/>
        <v>Skill Haste +6%</v>
      </c>
      <c r="W330" s="857" t="str">
        <f>+INDEX(Endvr!$A$2:$K$3001,MATCH(B330,Endvr!$G:$G,0),MATCH("Description",Endvr!$A$2:$K$2,0))&amp;" ("&amp;INDEX(Endvr!$A$2:$K$3001,MATCH(B330,Endvr!$G:$G,0),MATCH("Event Name",Endvr!$A$2:$K$2,0))&amp;")"</f>
        <v>Clear The Vernal Games Warm-Ups: Standard (The Hunt for Harmony)</v>
      </c>
      <c r="X330" t="s">
        <v>13958</v>
      </c>
      <c r="Y330" t="s">
        <v>14065</v>
      </c>
      <c r="AA330" s="45"/>
      <c r="AD330" s="74"/>
    </row>
    <row r="331" spans="1:30" x14ac:dyDescent="0.2">
      <c r="A331" s="856">
        <v>400279</v>
      </c>
      <c r="B331" s="844" t="s">
        <v>14672</v>
      </c>
      <c r="C331" s="844" t="s">
        <v>14673</v>
      </c>
      <c r="D331" s="845">
        <v>43581</v>
      </c>
      <c r="E331" s="309">
        <v>3</v>
      </c>
      <c r="F331" s="309">
        <v>27</v>
      </c>
      <c r="G331" s="309">
        <v>9</v>
      </c>
      <c r="H331" s="261"/>
      <c r="I331" s="261"/>
      <c r="J331" s="261" t="s">
        <v>13937</v>
      </c>
      <c r="K331" s="846">
        <v>0.1</v>
      </c>
      <c r="L331" s="847" t="str">
        <f t="shared" si="20"/>
        <v>10%</v>
      </c>
      <c r="M331" s="848" t="str">
        <f t="shared" si="21"/>
        <v>Dragon Time +10%</v>
      </c>
      <c r="N331" s="309">
        <v>4</v>
      </c>
      <c r="O331" s="309">
        <v>130</v>
      </c>
      <c r="P331" s="309">
        <v>80</v>
      </c>
      <c r="Q331" s="261" t="s">
        <v>759</v>
      </c>
      <c r="R331" s="261"/>
      <c r="S331" s="261" t="s">
        <v>13937</v>
      </c>
      <c r="T331" s="846">
        <v>0.13</v>
      </c>
      <c r="U331" s="847" t="str">
        <f t="shared" si="22"/>
        <v>13%</v>
      </c>
      <c r="V331" s="848" t="str">
        <f t="shared" si="23"/>
        <v>Dragon Time +13%</v>
      </c>
      <c r="W331" s="857" t="str">
        <f>+INDEX(Endvr!$A$2:$K$3001,MATCH(B331,Endvr!$G:$G,0),MATCH("Description",Endvr!$A$2:$K$2,0))&amp;" ("&amp;INDEX(Endvr!$A$2:$K$3001,MATCH(B331,Endvr!$G:$G,0),MATCH("Event Name",Endvr!$A$2:$K$2,0))&amp;")"</f>
        <v>Clear Repel the Empire: Hard (Fire Emblem: Lost Heroes)</v>
      </c>
      <c r="X331" t="s">
        <v>14075</v>
      </c>
      <c r="Y331" s="87" t="s">
        <v>14076</v>
      </c>
      <c r="AA331" s="45"/>
    </row>
    <row r="332" spans="1:30" x14ac:dyDescent="0.2">
      <c r="A332" s="856">
        <v>400001</v>
      </c>
      <c r="B332" s="844" t="s">
        <v>14674</v>
      </c>
      <c r="C332" s="844" t="s">
        <v>14675</v>
      </c>
      <c r="D332" s="845">
        <v>43370</v>
      </c>
      <c r="E332" s="309">
        <v>2</v>
      </c>
      <c r="F332" s="309">
        <v>18</v>
      </c>
      <c r="G332" s="309">
        <v>12</v>
      </c>
      <c r="H332" s="261" t="s">
        <v>543</v>
      </c>
      <c r="I332" s="261"/>
      <c r="J332" s="261" t="s">
        <v>13852</v>
      </c>
      <c r="K332" s="846">
        <v>0.04</v>
      </c>
      <c r="L332" s="847" t="str">
        <f t="shared" si="20"/>
        <v>4%</v>
      </c>
      <c r="M332" s="848" t="str">
        <f t="shared" si="21"/>
        <v>Critical Rate +4%</v>
      </c>
      <c r="N332" s="309">
        <v>4</v>
      </c>
      <c r="O332" s="309">
        <v>130</v>
      </c>
      <c r="P332" s="309">
        <v>80</v>
      </c>
      <c r="Q332" s="261" t="s">
        <v>543</v>
      </c>
      <c r="R332" s="261"/>
      <c r="S332" s="261" t="s">
        <v>13852</v>
      </c>
      <c r="T332" s="846">
        <v>0.08</v>
      </c>
      <c r="U332" s="847" t="str">
        <f t="shared" si="22"/>
        <v>8%</v>
      </c>
      <c r="V332" s="848" t="str">
        <f t="shared" si="23"/>
        <v>Critical Rate +8%</v>
      </c>
      <c r="W332" s="857" t="str">
        <f>+INDEX(Endvr!$A$2:$K$3001,MATCH(B332,Endvr!$G:$G,0),MATCH("Description",Endvr!$A$2:$K$2,0))&amp;" ("&amp;INDEX(Endvr!$A$2:$K$3001,MATCH(B332,Endvr!$G:$G,0),MATCH("Event Name",Endvr!$A$2:$K$2,0))&amp;")"</f>
        <v>Complete Tutorial (Non-Endeavor)</v>
      </c>
      <c r="X332" t="s">
        <v>13843</v>
      </c>
      <c r="Y332" t="s">
        <v>13720</v>
      </c>
      <c r="AA332" s="110"/>
    </row>
    <row r="333" spans="1:30" x14ac:dyDescent="0.2">
      <c r="A333" s="856">
        <v>400002</v>
      </c>
      <c r="B333" s="844" t="s">
        <v>14676</v>
      </c>
      <c r="C333" s="844" t="s">
        <v>14677</v>
      </c>
      <c r="D333" s="845">
        <v>43370</v>
      </c>
      <c r="E333" s="309">
        <v>2</v>
      </c>
      <c r="F333" s="309">
        <v>18</v>
      </c>
      <c r="G333" s="309">
        <v>12</v>
      </c>
      <c r="H333" s="261" t="s">
        <v>123</v>
      </c>
      <c r="I333" s="261"/>
      <c r="J333" s="261" t="s">
        <v>13982</v>
      </c>
      <c r="K333" s="846">
        <v>0.15</v>
      </c>
      <c r="L333" s="847" t="str">
        <f t="shared" si="20"/>
        <v>15%</v>
      </c>
      <c r="M333" s="848" t="str">
        <f t="shared" si="21"/>
        <v>Skill Prep +15%</v>
      </c>
      <c r="N333" s="309">
        <v>4</v>
      </c>
      <c r="O333" s="309">
        <v>130</v>
      </c>
      <c r="P333" s="309">
        <v>80</v>
      </c>
      <c r="Q333" s="261" t="s">
        <v>123</v>
      </c>
      <c r="R333" s="261"/>
      <c r="S333" s="261" t="s">
        <v>13982</v>
      </c>
      <c r="T333" s="846">
        <v>0.5</v>
      </c>
      <c r="U333" s="847" t="str">
        <f t="shared" si="22"/>
        <v>50%</v>
      </c>
      <c r="V333" s="848" t="str">
        <f t="shared" si="23"/>
        <v>Skill Prep +50%</v>
      </c>
      <c r="W333" s="857" t="str">
        <f>+INDEX(Endvr!$A$2:$K$3001,MATCH(B333,Endvr!$G:$G,0),MATCH("Description",Endvr!$A$2:$K$2,0))&amp;" ("&amp;INDEX(Endvr!$A$2:$K$3001,MATCH(B333,Endvr!$G:$G,0),MATCH("Event Name",Endvr!$A$2:$K$2,0))&amp;")"</f>
        <v>Complete Tutorial (Non-Endeavor)</v>
      </c>
      <c r="X333" t="s">
        <v>13843</v>
      </c>
      <c r="Y333" t="s">
        <v>13720</v>
      </c>
      <c r="AA333" s="45"/>
    </row>
    <row r="334" spans="1:30" x14ac:dyDescent="0.2">
      <c r="A334" s="856">
        <v>400003</v>
      </c>
      <c r="B334" s="844" t="s">
        <v>14678</v>
      </c>
      <c r="C334" s="844" t="s">
        <v>14679</v>
      </c>
      <c r="D334" s="845">
        <v>43370</v>
      </c>
      <c r="E334" s="309">
        <v>2</v>
      </c>
      <c r="F334" s="309">
        <v>18</v>
      </c>
      <c r="G334" s="309">
        <v>12</v>
      </c>
      <c r="H334" s="261" t="s">
        <v>13855</v>
      </c>
      <c r="I334" s="261"/>
      <c r="J334" s="261" t="s">
        <v>14620</v>
      </c>
      <c r="K334" s="846">
        <v>0.1</v>
      </c>
      <c r="L334" s="847" t="str">
        <f t="shared" si="20"/>
        <v>10%</v>
      </c>
      <c r="M334" s="848" t="str">
        <f t="shared" si="21"/>
        <v>Shapeshift Prep +10%</v>
      </c>
      <c r="N334" s="309">
        <v>4</v>
      </c>
      <c r="O334" s="309">
        <v>130</v>
      </c>
      <c r="P334" s="309">
        <v>80</v>
      </c>
      <c r="Q334" s="261" t="s">
        <v>13855</v>
      </c>
      <c r="R334" s="261"/>
      <c r="S334" s="261" t="s">
        <v>14620</v>
      </c>
      <c r="T334" s="846">
        <v>0.1</v>
      </c>
      <c r="U334" s="847" t="str">
        <f t="shared" si="22"/>
        <v>10%</v>
      </c>
      <c r="V334" s="848" t="str">
        <f t="shared" si="23"/>
        <v>Shapeshift Prep +10%</v>
      </c>
      <c r="W334" s="857" t="str">
        <f>+INDEX(Endvr!$A$2:$K$3001,MATCH(B334,Endvr!$G:$G,0),MATCH("Description",Endvr!$A$2:$K$2,0))&amp;" ("&amp;INDEX(Endvr!$A$2:$K$3001,MATCH(B334,Endvr!$G:$G,0),MATCH("Event Name",Endvr!$A$2:$K$2,0))&amp;")"</f>
        <v>Complete Tutorial (Non-Endeavor)</v>
      </c>
      <c r="X334" t="s">
        <v>13843</v>
      </c>
      <c r="Y334" t="s">
        <v>13720</v>
      </c>
      <c r="AA334" s="45"/>
    </row>
    <row r="335" spans="1:30" x14ac:dyDescent="0.2">
      <c r="A335" s="856">
        <v>400004</v>
      </c>
      <c r="B335" s="844" t="s">
        <v>14680</v>
      </c>
      <c r="C335" s="844" t="s">
        <v>14681</v>
      </c>
      <c r="D335" s="845">
        <v>43370</v>
      </c>
      <c r="E335" s="309">
        <v>2</v>
      </c>
      <c r="F335" s="309">
        <v>18</v>
      </c>
      <c r="G335" s="309">
        <v>12</v>
      </c>
      <c r="H335" s="261" t="s">
        <v>13936</v>
      </c>
      <c r="I335" s="261"/>
      <c r="J335" s="261" t="s">
        <v>9612</v>
      </c>
      <c r="K335" s="846">
        <v>0.15</v>
      </c>
      <c r="L335" s="847" t="str">
        <f t="shared" si="20"/>
        <v>15%</v>
      </c>
      <c r="M335" s="848" t="str">
        <f t="shared" si="21"/>
        <v>Skill Damage +15%</v>
      </c>
      <c r="N335" s="309">
        <v>4</v>
      </c>
      <c r="O335" s="309">
        <v>130</v>
      </c>
      <c r="P335" s="309">
        <v>80</v>
      </c>
      <c r="Q335" s="261" t="s">
        <v>13936</v>
      </c>
      <c r="R335" s="261"/>
      <c r="S335" s="261" t="s">
        <v>9612</v>
      </c>
      <c r="T335" s="846">
        <v>0.2</v>
      </c>
      <c r="U335" s="847" t="str">
        <f t="shared" si="22"/>
        <v>20%</v>
      </c>
      <c r="V335" s="848" t="str">
        <f t="shared" si="23"/>
        <v>Skill Damage +20%</v>
      </c>
      <c r="W335" s="857" t="str">
        <f>+INDEX(Endvr!$A$2:$K$3001,MATCH(B335,Endvr!$G:$G,0),MATCH("Description",Endvr!$A$2:$K$2,0))&amp;" ("&amp;INDEX(Endvr!$A$2:$K$3001,MATCH(B335,Endvr!$G:$G,0),MATCH("Event Name",Endvr!$A$2:$K$2,0))&amp;")"</f>
        <v>Complete Tutorial (Non-Endeavor)</v>
      </c>
      <c r="X335" t="s">
        <v>13843</v>
      </c>
      <c r="Y335" t="s">
        <v>13720</v>
      </c>
      <c r="AA335" s="45"/>
    </row>
    <row r="336" spans="1:30" x14ac:dyDescent="0.2">
      <c r="A336" s="856">
        <v>400005</v>
      </c>
      <c r="B336" s="844" t="s">
        <v>14682</v>
      </c>
      <c r="C336" s="844" t="s">
        <v>14683</v>
      </c>
      <c r="D336" s="845">
        <v>43370</v>
      </c>
      <c r="E336" s="309">
        <v>2</v>
      </c>
      <c r="F336" s="309">
        <v>18</v>
      </c>
      <c r="G336" s="309">
        <v>12</v>
      </c>
      <c r="H336" s="261"/>
      <c r="I336" s="261"/>
      <c r="J336" s="261" t="s">
        <v>13882</v>
      </c>
      <c r="K336" s="846">
        <v>0.05</v>
      </c>
      <c r="L336" s="847" t="str">
        <f t="shared" si="20"/>
        <v>5%</v>
      </c>
      <c r="M336" s="848" t="str">
        <f t="shared" si="21"/>
        <v>Recovery Potency +5%</v>
      </c>
      <c r="N336" s="309">
        <v>4</v>
      </c>
      <c r="O336" s="309">
        <v>130</v>
      </c>
      <c r="P336" s="309">
        <v>80</v>
      </c>
      <c r="Q336" s="261" t="s">
        <v>949</v>
      </c>
      <c r="R336" s="261"/>
      <c r="S336" s="261" t="s">
        <v>13882</v>
      </c>
      <c r="T336" s="846">
        <v>0.12</v>
      </c>
      <c r="U336" s="847" t="str">
        <f t="shared" si="22"/>
        <v>12%</v>
      </c>
      <c r="V336" s="848" t="str">
        <f t="shared" si="23"/>
        <v>Recovery Potency +12%</v>
      </c>
      <c r="W336" s="857" t="str">
        <f>+INDEX(Endvr!$A$2:$K$3001,MATCH(B336,Endvr!$G:$G,0),MATCH("Description",Endvr!$A$2:$K$2,0))&amp;" ("&amp;INDEX(Endvr!$A$2:$K$3001,MATCH(B336,Endvr!$G:$G,0),MATCH("Event Name",Endvr!$A$2:$K$2,0))&amp;")"</f>
        <v>Obtain From Ch. 02 EX 1 Chest (Normal) (Non-Endeavor)</v>
      </c>
      <c r="X336" t="s">
        <v>13843</v>
      </c>
      <c r="Y336" t="s">
        <v>13720</v>
      </c>
      <c r="AA336" s="98"/>
      <c r="AD336" s="74"/>
    </row>
    <row r="337" spans="1:30" x14ac:dyDescent="0.2">
      <c r="A337" s="856">
        <v>400177</v>
      </c>
      <c r="B337" s="844" t="s">
        <v>14684</v>
      </c>
      <c r="C337" s="844" t="s">
        <v>14685</v>
      </c>
      <c r="D337" s="845"/>
      <c r="E337" s="309"/>
      <c r="F337" s="309">
        <v>0</v>
      </c>
      <c r="G337" s="309">
        <v>0</v>
      </c>
      <c r="H337" s="261"/>
      <c r="I337" s="261"/>
      <c r="J337" s="261" t="s">
        <v>137</v>
      </c>
      <c r="K337" s="846"/>
      <c r="L337" s="847" t="str">
        <f t="shared" si="20"/>
        <v/>
      </c>
      <c r="M337" s="848" t="str">
        <f t="shared" si="21"/>
        <v>N/A</v>
      </c>
      <c r="N337" s="309">
        <v>9</v>
      </c>
      <c r="O337" s="309">
        <v>150</v>
      </c>
      <c r="P337" s="309">
        <v>90</v>
      </c>
      <c r="Q337" s="261" t="s">
        <v>123</v>
      </c>
      <c r="R337" s="261"/>
      <c r="S337" s="261" t="s">
        <v>14686</v>
      </c>
      <c r="T337" s="846"/>
      <c r="U337" s="847" t="str">
        <f t="shared" si="22"/>
        <v/>
      </c>
      <c r="V337" s="848" t="str">
        <f t="shared" si="23"/>
        <v>Crown's Psalm III</v>
      </c>
      <c r="W337" s="857" t="str">
        <f>+INDEX(Endvr!$A$2:$K$3001,MATCH(B337,Endvr!$G:$G,0),MATCH("Description",Endvr!$A$2:$K$2,0))&amp;" ("&amp;INDEX(Endvr!$A$2:$K$3001,MATCH(B337,Endvr!$G:$G,0),MATCH("Event Name",Endvr!$A$2:$K$2,0))&amp;")"</f>
        <v>Clear Mars's Trial: Standard (Trials of the Mighty)</v>
      </c>
      <c r="X337" t="s">
        <v>13843</v>
      </c>
      <c r="Y337" t="s">
        <v>13844</v>
      </c>
      <c r="AA337" s="45"/>
    </row>
    <row r="338" spans="1:30" x14ac:dyDescent="0.2">
      <c r="A338" s="856">
        <v>400359</v>
      </c>
      <c r="B338" s="844" t="s">
        <v>14687</v>
      </c>
      <c r="C338" s="844" t="s">
        <v>14688</v>
      </c>
      <c r="D338" s="845"/>
      <c r="E338" s="309"/>
      <c r="F338" s="309">
        <v>0</v>
      </c>
      <c r="G338" s="309">
        <v>0</v>
      </c>
      <c r="H338" s="261"/>
      <c r="I338" s="261"/>
      <c r="J338" s="261" t="s">
        <v>137</v>
      </c>
      <c r="K338" s="846"/>
      <c r="L338" s="847" t="str">
        <f t="shared" si="20"/>
        <v/>
      </c>
      <c r="M338" s="848" t="str">
        <f t="shared" si="21"/>
        <v>N/A</v>
      </c>
      <c r="N338" s="309">
        <v>9</v>
      </c>
      <c r="O338" s="309">
        <v>150</v>
      </c>
      <c r="P338" s="309">
        <v>90</v>
      </c>
      <c r="Q338" s="261" t="s">
        <v>13915</v>
      </c>
      <c r="R338" s="261"/>
      <c r="S338" s="261" t="s">
        <v>13863</v>
      </c>
      <c r="T338" s="846">
        <v>0.05</v>
      </c>
      <c r="U338" s="847" t="str">
        <f t="shared" si="22"/>
        <v>5%</v>
      </c>
      <c r="V338" s="848" t="str">
        <f t="shared" si="23"/>
        <v>Skill Haste +5%</v>
      </c>
      <c r="W338" s="857" t="str">
        <f>+INDEX(Endvr!$A$2:$K$3001,MATCH(B338,Endvr!$G:$G,0),MATCH("Description",Endvr!$A$2:$K$2,0))&amp;" ("&amp;INDEX(Endvr!$A$2:$K$3001,MATCH(B338,Endvr!$G:$G,0),MATCH("Event Name",Endvr!$A$2:$K$2,0))&amp;")"</f>
        <v>Clear Lilith's Trial (Flame): Standard (Trials of the Mighty)</v>
      </c>
      <c r="X338" t="s">
        <v>13843</v>
      </c>
      <c r="Y338" t="s">
        <v>13844</v>
      </c>
      <c r="AA338" s="45"/>
    </row>
    <row r="339" spans="1:30" x14ac:dyDescent="0.2">
      <c r="A339" s="856">
        <v>400178</v>
      </c>
      <c r="B339" s="844" t="s">
        <v>14689</v>
      </c>
      <c r="C339" s="844" t="s">
        <v>14690</v>
      </c>
      <c r="D339" s="845"/>
      <c r="E339" s="309"/>
      <c r="F339" s="309">
        <v>0</v>
      </c>
      <c r="G339" s="309">
        <v>0</v>
      </c>
      <c r="H339" s="261"/>
      <c r="I339" s="261"/>
      <c r="J339" s="261" t="s">
        <v>137</v>
      </c>
      <c r="K339" s="846"/>
      <c r="L339" s="847" t="str">
        <f t="shared" si="20"/>
        <v/>
      </c>
      <c r="M339" s="848" t="str">
        <f t="shared" si="21"/>
        <v>N/A</v>
      </c>
      <c r="N339" s="309">
        <v>9</v>
      </c>
      <c r="O339" s="309">
        <v>150</v>
      </c>
      <c r="P339" s="309">
        <v>90</v>
      </c>
      <c r="Q339" s="261" t="s">
        <v>13847</v>
      </c>
      <c r="R339" s="261"/>
      <c r="S339" s="261" t="s">
        <v>13863</v>
      </c>
      <c r="T339" s="846">
        <v>0.05</v>
      </c>
      <c r="U339" s="847" t="str">
        <f t="shared" si="22"/>
        <v>5%</v>
      </c>
      <c r="V339" s="848" t="str">
        <f t="shared" si="23"/>
        <v>Skill Haste +5%</v>
      </c>
      <c r="W339" s="857" t="str">
        <f>+INDEX(Endvr!$A$2:$K$3001,MATCH(B339,Endvr!$G:$G,0),MATCH("Description",Endvr!$A$2:$K$2,0))&amp;" ("&amp;INDEX(Endvr!$A$2:$K$3001,MATCH(B339,Endvr!$G:$G,0),MATCH("Event Name",Endvr!$A$2:$K$2,0))&amp;")"</f>
        <v>Clear Jeanne d'Arc's Trial: Standard (Trials of the Mighty)</v>
      </c>
      <c r="X339" t="s">
        <v>13843</v>
      </c>
      <c r="Y339" t="s">
        <v>13844</v>
      </c>
      <c r="AA339" s="45"/>
    </row>
    <row r="340" spans="1:30" x14ac:dyDescent="0.2">
      <c r="A340" s="856">
        <v>400258</v>
      </c>
      <c r="B340" s="844" t="s">
        <v>14691</v>
      </c>
      <c r="C340" s="844" t="s">
        <v>14692</v>
      </c>
      <c r="D340" s="845"/>
      <c r="E340" s="309"/>
      <c r="F340" s="309">
        <v>0</v>
      </c>
      <c r="G340" s="309">
        <v>0</v>
      </c>
      <c r="H340" s="261"/>
      <c r="I340" s="261"/>
      <c r="J340" s="261" t="s">
        <v>137</v>
      </c>
      <c r="K340" s="846"/>
      <c r="L340" s="847" t="str">
        <f t="shared" si="20"/>
        <v/>
      </c>
      <c r="M340" s="848" t="str">
        <f t="shared" si="21"/>
        <v>N/A</v>
      </c>
      <c r="N340" s="309">
        <v>9</v>
      </c>
      <c r="O340" s="309">
        <v>150</v>
      </c>
      <c r="P340" s="309">
        <v>90</v>
      </c>
      <c r="Q340" s="261" t="s">
        <v>13915</v>
      </c>
      <c r="R340" s="261"/>
      <c r="S340" s="261" t="s">
        <v>9612</v>
      </c>
      <c r="T340" s="846">
        <v>0.2</v>
      </c>
      <c r="U340" s="847" t="str">
        <f t="shared" si="22"/>
        <v>20%</v>
      </c>
      <c r="V340" s="848" t="str">
        <f t="shared" si="23"/>
        <v>Skill Damage +20%</v>
      </c>
      <c r="W340" s="857" t="str">
        <f>+INDEX(Endvr!$A$2:$K$3001,MATCH(B340,Endvr!$G:$G,0),MATCH("Description",Endvr!$A$2:$K$2,0))&amp;" ("&amp;INDEX(Endvr!$A$2:$K$3001,MATCH(B340,Endvr!$G:$G,0),MATCH("Event Name",Endvr!$A$2:$K$2,0))&amp;")"</f>
        <v>Clear Jaldabaoth's Trial (Water): Standard (Trials of the Mighty)</v>
      </c>
      <c r="X340" t="s">
        <v>13843</v>
      </c>
      <c r="Y340" t="s">
        <v>13844</v>
      </c>
      <c r="AA340" s="45"/>
      <c r="AD340" s="74"/>
    </row>
    <row r="341" spans="1:30" x14ac:dyDescent="0.2">
      <c r="A341" s="856">
        <v>400179</v>
      </c>
      <c r="B341" s="844" t="s">
        <v>14693</v>
      </c>
      <c r="C341" s="844" t="s">
        <v>14694</v>
      </c>
      <c r="D341" s="845"/>
      <c r="E341" s="309"/>
      <c r="F341" s="309">
        <v>0</v>
      </c>
      <c r="G341" s="309">
        <v>0</v>
      </c>
      <c r="H341" s="261"/>
      <c r="I341" s="261"/>
      <c r="J341" s="261" t="s">
        <v>137</v>
      </c>
      <c r="K341" s="846"/>
      <c r="L341" s="847" t="str">
        <f t="shared" si="20"/>
        <v/>
      </c>
      <c r="M341" s="848" t="str">
        <f t="shared" si="21"/>
        <v>N/A</v>
      </c>
      <c r="N341" s="309">
        <v>9</v>
      </c>
      <c r="O341" s="309">
        <v>150</v>
      </c>
      <c r="P341" s="309">
        <v>90</v>
      </c>
      <c r="Q341" s="261" t="s">
        <v>13855</v>
      </c>
      <c r="R341" s="261"/>
      <c r="S341" s="261" t="s">
        <v>14695</v>
      </c>
      <c r="T341" s="846"/>
      <c r="U341" s="847" t="str">
        <f t="shared" si="22"/>
        <v/>
      </c>
      <c r="V341" s="848" t="str">
        <f t="shared" si="23"/>
        <v>Axe's Psalm III</v>
      </c>
      <c r="W341" s="857" t="str">
        <f>+INDEX(Endvr!$A$2:$K$3001,MATCH(B341,Endvr!$G:$G,0),MATCH("Description",Endvr!$A$2:$K$2,0))&amp;" ("&amp;INDEX(Endvr!$A$2:$K$3001,MATCH(B341,Endvr!$G:$G,0),MATCH("Event Name",Endvr!$A$2:$K$2,0))&amp;")"</f>
        <v>Clear Asura's Trial (Wind): Standard (Trials of the Mighty)</v>
      </c>
      <c r="X341" t="s">
        <v>13843</v>
      </c>
      <c r="Y341" t="s">
        <v>13844</v>
      </c>
      <c r="AA341" s="45"/>
    </row>
    <row r="342" spans="1:30" x14ac:dyDescent="0.2">
      <c r="A342" s="856">
        <v>400261</v>
      </c>
      <c r="B342" s="844" t="s">
        <v>14696</v>
      </c>
      <c r="C342" s="844" t="s">
        <v>13876</v>
      </c>
      <c r="D342" s="845"/>
      <c r="E342" s="309"/>
      <c r="F342" s="309">
        <v>0</v>
      </c>
      <c r="G342" s="309">
        <v>0</v>
      </c>
      <c r="H342" s="261"/>
      <c r="I342" s="261"/>
      <c r="J342" s="261" t="s">
        <v>137</v>
      </c>
      <c r="K342" s="846"/>
      <c r="L342" s="847" t="str">
        <f t="shared" si="20"/>
        <v/>
      </c>
      <c r="M342" s="848" t="str">
        <f t="shared" si="21"/>
        <v>N/A</v>
      </c>
      <c r="N342" s="309">
        <v>9</v>
      </c>
      <c r="O342" s="309">
        <v>150</v>
      </c>
      <c r="P342" s="309">
        <v>90</v>
      </c>
      <c r="Q342" s="261" t="s">
        <v>13877</v>
      </c>
      <c r="R342" s="261"/>
      <c r="S342" s="261" t="s">
        <v>9612</v>
      </c>
      <c r="T342" s="846">
        <v>0.2</v>
      </c>
      <c r="U342" s="847" t="str">
        <f t="shared" si="22"/>
        <v>20%</v>
      </c>
      <c r="V342" s="848" t="str">
        <f t="shared" si="23"/>
        <v>Skill Damage +20%</v>
      </c>
      <c r="W342" s="857" t="str">
        <f>+INDEX(Endvr!$A$2:$K$3001,MATCH(B342,Endvr!$G:$G,0),MATCH("Description",Endvr!$A$2:$K$2,0))&amp;" ("&amp;INDEX(Endvr!$A$2:$K$3001,MATCH(B342,Endvr!$G:$G,0),MATCH("Event Name",Endvr!$A$2:$K$2,0))&amp;")"</f>
        <v>Clear Chthonius's Trial: Standard (Trials of the Mighty)</v>
      </c>
      <c r="X342" t="s">
        <v>13843</v>
      </c>
      <c r="Y342" t="s">
        <v>13844</v>
      </c>
      <c r="AA342" s="45"/>
      <c r="AD342" s="74"/>
    </row>
    <row r="343" spans="1:30" x14ac:dyDescent="0.2">
      <c r="A343" s="856">
        <v>400180</v>
      </c>
      <c r="B343" s="844" t="s">
        <v>14697</v>
      </c>
      <c r="C343" s="844" t="s">
        <v>14698</v>
      </c>
      <c r="D343" s="845"/>
      <c r="E343" s="309"/>
      <c r="F343" s="309">
        <v>0</v>
      </c>
      <c r="G343" s="309">
        <v>0</v>
      </c>
      <c r="H343" s="261"/>
      <c r="I343" s="261"/>
      <c r="J343" s="261" t="s">
        <v>137</v>
      </c>
      <c r="K343" s="846"/>
      <c r="L343" s="847" t="str">
        <f t="shared" si="20"/>
        <v/>
      </c>
      <c r="M343" s="848" t="str">
        <f t="shared" si="21"/>
        <v>N/A</v>
      </c>
      <c r="N343" s="309">
        <v>9</v>
      </c>
      <c r="O343" s="309">
        <v>150</v>
      </c>
      <c r="P343" s="309">
        <v>90</v>
      </c>
      <c r="Q343" s="261" t="s">
        <v>13842</v>
      </c>
      <c r="R343" s="261"/>
      <c r="S343" s="261" t="s">
        <v>13863</v>
      </c>
      <c r="T343" s="846">
        <v>0.05</v>
      </c>
      <c r="U343" s="847" t="str">
        <f t="shared" si="22"/>
        <v>5%</v>
      </c>
      <c r="V343" s="848" t="str">
        <f t="shared" si="23"/>
        <v>Skill Haste +5%</v>
      </c>
      <c r="W343" s="857" t="str">
        <f>+INDEX(Endvr!$A$2:$K$3001,MATCH(B343,Endvr!$G:$G,0),MATCH("Description",Endvr!$A$2:$K$2,0))&amp;" ("&amp;INDEX(Endvr!$A$2:$K$3001,MATCH(B343,Endvr!$G:$G,0),MATCH("Event Name",Endvr!$A$2:$K$2,0))&amp;")"</f>
        <v>Clear Iblis's Trial (Shadow): Standard (Trials of the Mighty)</v>
      </c>
      <c r="X343" t="s">
        <v>13843</v>
      </c>
      <c r="Y343" t="s">
        <v>13844</v>
      </c>
      <c r="AA343" s="45"/>
    </row>
    <row r="344" spans="1:30" x14ac:dyDescent="0.2">
      <c r="A344" s="856">
        <v>400199</v>
      </c>
      <c r="B344" s="844" t="s">
        <v>14699</v>
      </c>
      <c r="C344" s="844" t="s">
        <v>14700</v>
      </c>
      <c r="D344" s="845"/>
      <c r="E344" s="309"/>
      <c r="F344" s="309">
        <v>0</v>
      </c>
      <c r="G344" s="309">
        <v>0</v>
      </c>
      <c r="H344" s="261"/>
      <c r="I344" s="261"/>
      <c r="J344" s="261" t="s">
        <v>137</v>
      </c>
      <c r="K344" s="846"/>
      <c r="L344" s="847" t="str">
        <f t="shared" si="20"/>
        <v/>
      </c>
      <c r="M344" s="848" t="str">
        <f t="shared" si="21"/>
        <v>N/A</v>
      </c>
      <c r="N344" s="309">
        <v>9</v>
      </c>
      <c r="O344" s="309">
        <v>150</v>
      </c>
      <c r="P344" s="309">
        <v>90</v>
      </c>
      <c r="Q344" s="261" t="s">
        <v>13889</v>
      </c>
      <c r="R344" s="261"/>
      <c r="S344" s="261" t="s">
        <v>13863</v>
      </c>
      <c r="T344" s="846">
        <v>0.05</v>
      </c>
      <c r="U344" s="847" t="str">
        <f t="shared" si="22"/>
        <v>5%</v>
      </c>
      <c r="V344" s="848" t="str">
        <f t="shared" si="23"/>
        <v>Skill Haste +5%</v>
      </c>
      <c r="W344" s="857" t="str">
        <f>+INDEX(Endvr!$A$2:$K$3001,MATCH(B344,Endvr!$G:$G,0),MATCH("Description",Endvr!$A$2:$K$2,0))&amp;" ("&amp;INDEX(Endvr!$A$2:$K$3001,MATCH(B344,Endvr!$G:$G,0),MATCH("Event Name",Endvr!$A$2:$K$2,0))&amp;")"</f>
        <v>Clear Jaldabaoth's Trial (Wind): Standard (Trials of the Mighty)</v>
      </c>
      <c r="X344" t="s">
        <v>13843</v>
      </c>
      <c r="Y344" t="s">
        <v>13844</v>
      </c>
      <c r="AA344" s="45"/>
    </row>
    <row r="345" spans="1:30" x14ac:dyDescent="0.2">
      <c r="A345" s="856">
        <v>400181</v>
      </c>
      <c r="B345" s="844" t="s">
        <v>14701</v>
      </c>
      <c r="C345" s="844" t="s">
        <v>14702</v>
      </c>
      <c r="D345" s="845"/>
      <c r="E345" s="309"/>
      <c r="F345" s="309">
        <v>0</v>
      </c>
      <c r="G345" s="309">
        <v>0</v>
      </c>
      <c r="H345" s="261"/>
      <c r="I345" s="261"/>
      <c r="J345" s="261" t="s">
        <v>137</v>
      </c>
      <c r="K345" s="846"/>
      <c r="L345" s="847" t="str">
        <f t="shared" si="20"/>
        <v/>
      </c>
      <c r="M345" s="848" t="str">
        <f t="shared" si="21"/>
        <v>N/A</v>
      </c>
      <c r="N345" s="309">
        <v>9</v>
      </c>
      <c r="O345" s="309">
        <v>150</v>
      </c>
      <c r="P345" s="309">
        <v>90</v>
      </c>
      <c r="Q345" s="261" t="s">
        <v>13855</v>
      </c>
      <c r="R345" s="261"/>
      <c r="S345" s="261" t="s">
        <v>14703</v>
      </c>
      <c r="T345" s="846"/>
      <c r="U345" s="847" t="str">
        <f t="shared" si="22"/>
        <v/>
      </c>
      <c r="V345" s="848" t="str">
        <f t="shared" si="23"/>
        <v>Dragon's Psalm III</v>
      </c>
      <c r="W345" s="857" t="str">
        <f>+INDEX(Endvr!$A$2:$K$3001,MATCH(B345,Endvr!$G:$G,0),MATCH("Description",Endvr!$A$2:$K$2,0))&amp;" ("&amp;INDEX(Endvr!$A$2:$K$3001,MATCH(B345,Endvr!$G:$G,0),MATCH("Event Name",Endvr!$A$2:$K$2,0))&amp;")"</f>
        <v>Clear Surtr's Trial (Light): Standard (Trials of the Mighty)</v>
      </c>
      <c r="X345" t="s">
        <v>13843</v>
      </c>
      <c r="Y345" t="s">
        <v>13844</v>
      </c>
      <c r="AA345" s="45"/>
    </row>
    <row r="346" spans="1:30" x14ac:dyDescent="0.2">
      <c r="A346" s="856">
        <v>400254</v>
      </c>
      <c r="B346" s="844" t="s">
        <v>14704</v>
      </c>
      <c r="C346" s="844" t="s">
        <v>13905</v>
      </c>
      <c r="D346" s="845"/>
      <c r="E346" s="309"/>
      <c r="F346" s="309">
        <v>0</v>
      </c>
      <c r="G346" s="309">
        <v>0</v>
      </c>
      <c r="H346" s="261"/>
      <c r="I346" s="261"/>
      <c r="J346" s="261" t="s">
        <v>137</v>
      </c>
      <c r="K346" s="846"/>
      <c r="L346" s="847" t="str">
        <f t="shared" si="20"/>
        <v/>
      </c>
      <c r="M346" s="848" t="str">
        <f t="shared" si="21"/>
        <v>N/A</v>
      </c>
      <c r="N346" s="309">
        <v>9</v>
      </c>
      <c r="O346" s="309">
        <v>150</v>
      </c>
      <c r="P346" s="309">
        <v>90</v>
      </c>
      <c r="Q346" s="261" t="s">
        <v>13906</v>
      </c>
      <c r="R346" s="261"/>
      <c r="S346" s="261" t="s">
        <v>9612</v>
      </c>
      <c r="T346" s="846">
        <v>0.2</v>
      </c>
      <c r="U346" s="847" t="str">
        <f t="shared" si="22"/>
        <v>20%</v>
      </c>
      <c r="V346" s="848" t="str">
        <f t="shared" si="23"/>
        <v>Skill Damage +20%</v>
      </c>
      <c r="W346" s="857" t="str">
        <f>+INDEX(Endvr!$A$2:$K$3001,MATCH(B346,Endvr!$G:$G,0),MATCH("Description",Endvr!$A$2:$K$2,0))&amp;" ("&amp;INDEX(Endvr!$A$2:$K$3001,MATCH(B346,Endvr!$G:$G,0),MATCH("Event Name",Endvr!$A$2:$K$2,0))&amp;")"</f>
        <v>Clear Thor's Trial: Standard (Trials of the Mighty)</v>
      </c>
      <c r="X346" t="s">
        <v>13843</v>
      </c>
      <c r="Y346" t="s">
        <v>13844</v>
      </c>
      <c r="AA346" s="45"/>
    </row>
    <row r="347" spans="1:30" x14ac:dyDescent="0.2">
      <c r="A347" s="856" t="s">
        <v>6064</v>
      </c>
      <c r="B347" s="844" t="s">
        <v>14705</v>
      </c>
      <c r="C347" s="844" t="s">
        <v>14706</v>
      </c>
      <c r="D347" s="845" t="s">
        <v>6064</v>
      </c>
      <c r="E347" s="309"/>
      <c r="F347" s="309">
        <v>0</v>
      </c>
      <c r="G347" s="309">
        <v>0</v>
      </c>
      <c r="H347" s="261"/>
      <c r="I347" s="261"/>
      <c r="J347" s="261" t="s">
        <v>137</v>
      </c>
      <c r="K347" s="846"/>
      <c r="L347" s="847" t="str">
        <f t="shared" si="20"/>
        <v/>
      </c>
      <c r="M347" s="848" t="str">
        <f t="shared" si="21"/>
        <v>N/A</v>
      </c>
      <c r="N347" s="309">
        <v>5</v>
      </c>
      <c r="O347" s="309">
        <v>150</v>
      </c>
      <c r="P347" s="309">
        <v>90</v>
      </c>
      <c r="Q347" s="261" t="s">
        <v>13936</v>
      </c>
      <c r="R347" s="261" t="s">
        <v>3779</v>
      </c>
      <c r="S347" s="261" t="s">
        <v>14707</v>
      </c>
      <c r="T347" s="846"/>
      <c r="U347" s="847" t="str">
        <f t="shared" si="22"/>
        <v/>
      </c>
      <c r="V347" s="848" t="str">
        <f t="shared" si="23"/>
        <v>(Shadow) Nihility Negation</v>
      </c>
      <c r="W347" s="857" t="str">
        <f>+INDEX(Endvr!$A$2:$K$3001,MATCH(B347,Endvr!$G:$G,0),MATCH("Description",Endvr!$A$2:$K$2,0))&amp;" ("&amp;INDEX(Endvr!$A$2:$K$3001,MATCH(B347,Endvr!$G:$G,0),MATCH("Event Name",Endvr!$A$2:$K$2,0))&amp;")"</f>
        <v>Clear all Rise of the Sinister Dominion Quests on Legend (Rise of the Sinister Dominion)</v>
      </c>
      <c r="X347" t="s">
        <v>13843</v>
      </c>
      <c r="Y347" t="s">
        <v>13844</v>
      </c>
      <c r="AA347" s="45"/>
    </row>
    <row r="348" spans="1:30" x14ac:dyDescent="0.2">
      <c r="A348" s="856" t="s">
        <v>6064</v>
      </c>
      <c r="B348" s="844" t="s">
        <v>14708</v>
      </c>
      <c r="C348" s="844" t="s">
        <v>14709</v>
      </c>
      <c r="D348" s="845" t="s">
        <v>6064</v>
      </c>
      <c r="E348" s="309"/>
      <c r="F348" s="309">
        <v>0</v>
      </c>
      <c r="G348" s="309">
        <v>0</v>
      </c>
      <c r="H348" s="261"/>
      <c r="I348" s="261"/>
      <c r="J348" s="261" t="s">
        <v>137</v>
      </c>
      <c r="K348" s="846"/>
      <c r="L348" s="847" t="str">
        <f t="shared" si="20"/>
        <v/>
      </c>
      <c r="M348" s="848" t="str">
        <f t="shared" si="21"/>
        <v>N/A</v>
      </c>
      <c r="N348" s="309">
        <v>5</v>
      </c>
      <c r="O348" s="309">
        <v>150</v>
      </c>
      <c r="P348" s="309">
        <v>90</v>
      </c>
      <c r="Q348" s="261" t="s">
        <v>13936</v>
      </c>
      <c r="R348" s="261" t="s">
        <v>1947</v>
      </c>
      <c r="S348" s="261" t="s">
        <v>14707</v>
      </c>
      <c r="T348" s="846"/>
      <c r="U348" s="847" t="str">
        <f t="shared" si="22"/>
        <v/>
      </c>
      <c r="V348" s="848" t="str">
        <f t="shared" si="23"/>
        <v>(Wind) Nihility Negation</v>
      </c>
      <c r="W348" s="857" t="str">
        <f>+INDEX(Endvr!$A$2:$K$3001,MATCH(B348,Endvr!$G:$G,0),MATCH("Description",Endvr!$A$2:$K$2,0))&amp;" ("&amp;INDEX(Endvr!$A$2:$K$3001,MATCH(B348,Endvr!$G:$G,0),MATCH("Event Name",Endvr!$A$2:$K$2,0))&amp;")"</f>
        <v>Clear Iblis's Surging Cascade: Legend (Rise of the Sinister Dominion)</v>
      </c>
      <c r="X348" t="s">
        <v>13843</v>
      </c>
      <c r="Y348" t="s">
        <v>13844</v>
      </c>
      <c r="AA348" s="98"/>
    </row>
    <row r="349" spans="1:30" x14ac:dyDescent="0.2">
      <c r="A349" s="856" t="s">
        <v>6064</v>
      </c>
      <c r="B349" s="844" t="s">
        <v>14710</v>
      </c>
      <c r="C349" s="844" t="s">
        <v>14711</v>
      </c>
      <c r="D349" s="845" t="s">
        <v>6064</v>
      </c>
      <c r="E349" s="309"/>
      <c r="F349" s="309">
        <v>0</v>
      </c>
      <c r="G349" s="309">
        <v>0</v>
      </c>
      <c r="H349" s="261"/>
      <c r="I349" s="261"/>
      <c r="J349" s="261" t="s">
        <v>137</v>
      </c>
      <c r="K349" s="846"/>
      <c r="L349" s="847" t="str">
        <f t="shared" si="20"/>
        <v/>
      </c>
      <c r="M349" s="848" t="str">
        <f t="shared" si="21"/>
        <v>N/A</v>
      </c>
      <c r="N349" s="309">
        <v>5</v>
      </c>
      <c r="O349" s="309">
        <v>150</v>
      </c>
      <c r="P349" s="309">
        <v>90</v>
      </c>
      <c r="Q349" s="261" t="s">
        <v>13936</v>
      </c>
      <c r="R349" s="261" t="s">
        <v>2837</v>
      </c>
      <c r="S349" s="261" t="s">
        <v>14707</v>
      </c>
      <c r="T349" s="846"/>
      <c r="U349" s="847" t="str">
        <f t="shared" si="22"/>
        <v/>
      </c>
      <c r="V349" s="848" t="str">
        <f t="shared" si="23"/>
        <v>(Light) Nihility Negation</v>
      </c>
      <c r="W349" s="857" t="str">
        <f>+INDEX(Endvr!$A$2:$K$3001,MATCH(B349,Endvr!$G:$G,0),MATCH("Description",Endvr!$A$2:$K$2,0))&amp;" ("&amp;INDEX(Endvr!$A$2:$K$3001,MATCH(B349,Endvr!$G:$G,0),MATCH("Event Name",Endvr!$A$2:$K$2,0))&amp;")"</f>
        <v>Clear Lilith's Encroaching Shadow: Legend (Rise of the Sinister Dominion)</v>
      </c>
      <c r="X349" t="s">
        <v>13843</v>
      </c>
      <c r="Y349" t="s">
        <v>13844</v>
      </c>
      <c r="AA349" s="45"/>
    </row>
    <row r="350" spans="1:30" x14ac:dyDescent="0.2">
      <c r="A350" s="856" t="s">
        <v>6064</v>
      </c>
      <c r="B350" s="844" t="s">
        <v>14712</v>
      </c>
      <c r="C350" s="844" t="s">
        <v>14713</v>
      </c>
      <c r="D350" s="845" t="s">
        <v>6064</v>
      </c>
      <c r="E350" s="309"/>
      <c r="F350" s="309">
        <v>0</v>
      </c>
      <c r="G350" s="309">
        <v>0</v>
      </c>
      <c r="H350" s="261"/>
      <c r="I350" s="261"/>
      <c r="J350" s="261" t="s">
        <v>137</v>
      </c>
      <c r="K350" s="846"/>
      <c r="L350" s="847" t="str">
        <f t="shared" si="20"/>
        <v/>
      </c>
      <c r="M350" s="848" t="str">
        <f t="shared" si="21"/>
        <v>N/A</v>
      </c>
      <c r="N350" s="309">
        <v>5</v>
      </c>
      <c r="O350" s="309">
        <v>150</v>
      </c>
      <c r="P350" s="309">
        <v>90</v>
      </c>
      <c r="Q350" s="261" t="s">
        <v>13936</v>
      </c>
      <c r="R350" s="261" t="s">
        <v>1103</v>
      </c>
      <c r="S350" s="261" t="s">
        <v>14707</v>
      </c>
      <c r="T350" s="846"/>
      <c r="U350" s="847" t="str">
        <f t="shared" si="22"/>
        <v/>
      </c>
      <c r="V350" s="848" t="str">
        <f t="shared" si="23"/>
        <v>(Water) Nihility Negation</v>
      </c>
      <c r="W350" s="857" t="str">
        <f>+INDEX(Endvr!$A$2:$K$3001,MATCH(B350,Endvr!$G:$G,0),MATCH("Description",Endvr!$A$2:$K$2,0))&amp;" ("&amp;INDEX(Endvr!$A$2:$K$3001,MATCH(B350,Endvr!$G:$G,0),MATCH("Event Name",Endvr!$A$2:$K$2,0))&amp;")"</f>
        <v>Clear Surtr's Devouring Flame: Legend (Rise of the Sinister Dominion)</v>
      </c>
      <c r="X350" t="s">
        <v>13843</v>
      </c>
      <c r="Y350" t="s">
        <v>13844</v>
      </c>
      <c r="AA350" s="45"/>
    </row>
    <row r="351" spans="1:30" x14ac:dyDescent="0.2">
      <c r="A351" s="856" t="s">
        <v>6064</v>
      </c>
      <c r="B351" s="844" t="s">
        <v>14714</v>
      </c>
      <c r="C351" s="844" t="s">
        <v>14715</v>
      </c>
      <c r="D351" s="845" t="s">
        <v>6064</v>
      </c>
      <c r="E351" s="309"/>
      <c r="F351" s="309">
        <v>0</v>
      </c>
      <c r="G351" s="309">
        <v>0</v>
      </c>
      <c r="H351" s="261"/>
      <c r="I351" s="261"/>
      <c r="J351" s="261" t="s">
        <v>137</v>
      </c>
      <c r="K351" s="846"/>
      <c r="L351" s="847" t="s">
        <v>14716</v>
      </c>
      <c r="M351" s="848" t="str">
        <f t="shared" si="21"/>
        <v>N/A</v>
      </c>
      <c r="N351" s="309">
        <v>5</v>
      </c>
      <c r="O351" s="309">
        <v>150</v>
      </c>
      <c r="P351" s="309">
        <v>90</v>
      </c>
      <c r="Q351" s="261" t="s">
        <v>13936</v>
      </c>
      <c r="R351" s="261" t="s">
        <v>122</v>
      </c>
      <c r="S351" s="261" t="s">
        <v>14707</v>
      </c>
      <c r="T351" s="846"/>
      <c r="U351" s="847" t="s">
        <v>14716</v>
      </c>
      <c r="V351" s="848" t="s">
        <v>14717</v>
      </c>
      <c r="W351" s="857" t="str">
        <f>+INDEX(Endvr!$A$2:$K$3001,MATCH(B351,Endvr!$G:$G,0),MATCH("Description",Endvr!$A$2:$K$2,0))&amp;" ("&amp;INDEX(Endvr!$A$2:$K$3001,MATCH(B351,Endvr!$G:$G,0),MATCH("Event Name",Endvr!$A$2:$K$2,0))&amp;")"</f>
        <v>Clear Asura's Blinding Light: Legend (Rise of the Sinister Dominion)</v>
      </c>
      <c r="X351" t="s">
        <v>13843</v>
      </c>
      <c r="Y351" t="s">
        <v>13844</v>
      </c>
      <c r="AA351" s="45"/>
    </row>
    <row r="352" spans="1:30" x14ac:dyDescent="0.2">
      <c r="A352" s="858" t="s">
        <v>6064</v>
      </c>
      <c r="B352" s="859" t="s">
        <v>14718</v>
      </c>
      <c r="C352" s="859" t="s">
        <v>14719</v>
      </c>
      <c r="D352" s="860" t="s">
        <v>6064</v>
      </c>
      <c r="E352" s="310"/>
      <c r="F352" s="310">
        <v>0</v>
      </c>
      <c r="G352" s="310">
        <v>0</v>
      </c>
      <c r="H352" s="264"/>
      <c r="I352" s="264"/>
      <c r="J352" s="264" t="s">
        <v>137</v>
      </c>
      <c r="K352" s="861"/>
      <c r="L352" s="862" t="str">
        <f>IF(K352="","",TEXT(K352,"0%"))</f>
        <v/>
      </c>
      <c r="M352" s="863" t="str">
        <f>IF(I352="",J352,"("&amp;I352&amp;") "&amp;J352)&amp;IF(K352="",""," +"&amp;L352)</f>
        <v>N/A</v>
      </c>
      <c r="N352" s="310">
        <v>5</v>
      </c>
      <c r="O352" s="310">
        <v>150</v>
      </c>
      <c r="P352" s="310">
        <v>90</v>
      </c>
      <c r="Q352" s="264" t="s">
        <v>13936</v>
      </c>
      <c r="R352" s="264"/>
      <c r="S352" s="264" t="s">
        <v>14719</v>
      </c>
      <c r="T352" s="861"/>
      <c r="U352" s="862" t="str">
        <f>IF(T352="","",TEXT(T352,"0%"))</f>
        <v/>
      </c>
      <c r="V352" s="863" t="str">
        <f>IF(R352="",S352,"("&amp;R352&amp;") "&amp;S352)&amp;IF(T352="",""," +"&amp;U352)</f>
        <v>The Power of Bonds</v>
      </c>
      <c r="W352" s="864" t="str">
        <f>+INDEX(Endvr!$A$2:$K$3001,MATCH(B352,Endvr!$G:$G,0),MATCH("Description",Endvr!$A$2:$K$2,0))</f>
        <v>Clear Primal Midgardsormr's Trial: Expert</v>
      </c>
      <c r="X352" s="47" t="s">
        <v>13843</v>
      </c>
      <c r="Y352" s="47" t="s">
        <v>13844</v>
      </c>
      <c r="Z352" s="47"/>
      <c r="AA352" s="48"/>
      <c r="AD352" s="74"/>
    </row>
    <row r="353" spans="1:29" x14ac:dyDescent="0.2">
      <c r="A353" s="84"/>
      <c r="D353" s="5"/>
      <c r="E353" s="84"/>
      <c r="F353" s="84"/>
      <c r="G353" s="84"/>
      <c r="K353" s="96"/>
      <c r="L353" s="96"/>
      <c r="M353" s="96"/>
      <c r="N353" s="84"/>
      <c r="O353" s="84"/>
      <c r="P353" s="84"/>
      <c r="T353" s="96"/>
      <c r="U353" s="96"/>
      <c r="V353" s="96"/>
      <c r="W353" s="96"/>
      <c r="Y353" s="87"/>
      <c r="AA353" s="94"/>
    </row>
    <row r="354" spans="1:29" x14ac:dyDescent="0.2">
      <c r="A354" s="84"/>
      <c r="D354" s="5"/>
      <c r="E354" s="84"/>
      <c r="F354" s="84"/>
      <c r="G354" s="84"/>
      <c r="K354" s="96"/>
      <c r="L354" s="96"/>
      <c r="M354" s="96"/>
      <c r="N354" s="84"/>
      <c r="O354" s="84"/>
      <c r="P354" s="84"/>
      <c r="T354" s="96"/>
      <c r="U354" s="96"/>
      <c r="V354" s="96"/>
      <c r="W354" s="96"/>
      <c r="Y354" s="87"/>
      <c r="AA354" s="94"/>
      <c r="AC354" s="1"/>
    </row>
    <row r="355" spans="1:29" x14ac:dyDescent="0.2">
      <c r="A355" s="84"/>
      <c r="D355" s="5"/>
      <c r="E355" s="84"/>
      <c r="F355" s="84"/>
      <c r="G355" s="84"/>
      <c r="K355" s="96"/>
      <c r="L355" s="96"/>
      <c r="M355" s="96"/>
      <c r="N355" s="84"/>
      <c r="O355" s="84"/>
      <c r="P355" s="84"/>
      <c r="T355" s="96"/>
      <c r="U355" s="96"/>
      <c r="V355" s="96"/>
      <c r="W355" s="96"/>
      <c r="Y355" s="87"/>
      <c r="AA355" s="94"/>
      <c r="AC355" s="74"/>
    </row>
    <row r="356" spans="1:29" x14ac:dyDescent="0.2">
      <c r="A356" s="84"/>
      <c r="D356" s="5"/>
      <c r="E356" s="84"/>
      <c r="F356" s="84"/>
      <c r="G356" s="84"/>
      <c r="K356" s="96"/>
      <c r="L356" s="96"/>
      <c r="M356" s="96"/>
      <c r="N356" s="84"/>
      <c r="O356" s="84"/>
      <c r="P356" s="84"/>
      <c r="T356" s="96"/>
      <c r="U356" s="96"/>
      <c r="V356" s="96"/>
      <c r="W356" s="96"/>
      <c r="Y356" s="87"/>
      <c r="AA356" s="94"/>
      <c r="AC356" s="74"/>
    </row>
    <row r="357" spans="1:29" x14ac:dyDescent="0.2">
      <c r="A357" s="84"/>
      <c r="D357" s="5"/>
      <c r="E357" s="84"/>
      <c r="F357" s="84"/>
      <c r="G357" s="84"/>
      <c r="K357" s="96"/>
      <c r="L357" s="96"/>
      <c r="M357" s="96"/>
      <c r="N357" s="84"/>
      <c r="O357" s="84"/>
      <c r="P357" s="84"/>
      <c r="T357" s="96"/>
      <c r="U357" s="96"/>
      <c r="V357" s="96"/>
      <c r="W357" s="96"/>
      <c r="Y357" s="87"/>
      <c r="AA357" s="94"/>
      <c r="AC357" s="74"/>
    </row>
    <row r="358" spans="1:29" x14ac:dyDescent="0.2">
      <c r="A358" s="84"/>
      <c r="D358" s="5"/>
      <c r="E358" s="84"/>
      <c r="F358" s="84"/>
      <c r="G358" s="84"/>
      <c r="K358" s="96"/>
      <c r="L358" s="96"/>
      <c r="M358" s="96"/>
      <c r="N358" s="84"/>
      <c r="O358" s="84"/>
      <c r="P358" s="84"/>
      <c r="T358" s="96"/>
      <c r="U358" s="96"/>
      <c r="V358" s="96"/>
      <c r="W358" s="96"/>
      <c r="Y358" s="87"/>
      <c r="AA358" s="94"/>
      <c r="AC358" s="74"/>
    </row>
    <row r="359" spans="1:29" x14ac:dyDescent="0.2">
      <c r="A359" s="84"/>
      <c r="D359" s="5"/>
      <c r="E359" s="84"/>
      <c r="F359" s="84"/>
      <c r="G359" s="84"/>
      <c r="K359" s="96"/>
      <c r="L359" s="96"/>
      <c r="M359" s="96"/>
      <c r="N359" s="84"/>
      <c r="O359" s="84"/>
      <c r="P359" s="84"/>
      <c r="T359" s="96"/>
      <c r="U359" s="96"/>
      <c r="V359" s="96"/>
      <c r="W359" s="96"/>
      <c r="Y359" s="87"/>
      <c r="AA359" s="94"/>
      <c r="AC359" s="74"/>
    </row>
    <row r="360" spans="1:29" x14ac:dyDescent="0.2">
      <c r="A360" s="84"/>
      <c r="D360" s="5"/>
      <c r="E360" s="84"/>
      <c r="F360" s="84"/>
      <c r="G360" s="84"/>
      <c r="K360" s="96"/>
      <c r="L360" s="96"/>
      <c r="M360" s="96"/>
      <c r="N360" s="84"/>
      <c r="O360" s="84"/>
      <c r="P360" s="84"/>
      <c r="T360" s="96"/>
      <c r="U360" s="96"/>
      <c r="V360" s="96"/>
      <c r="W360" s="96"/>
      <c r="Y360" s="87"/>
      <c r="AA360" s="94"/>
      <c r="AC360" s="74"/>
    </row>
    <row r="361" spans="1:29" x14ac:dyDescent="0.2">
      <c r="A361" s="84"/>
      <c r="D361" s="5"/>
      <c r="E361" s="84"/>
      <c r="F361" s="84"/>
      <c r="G361" s="84"/>
      <c r="K361" s="96"/>
      <c r="L361" s="96"/>
      <c r="M361" s="96"/>
      <c r="N361" s="84"/>
      <c r="O361" s="84"/>
      <c r="P361" s="84"/>
      <c r="T361" s="96"/>
      <c r="U361" s="96"/>
      <c r="V361" s="96"/>
      <c r="W361" s="96"/>
      <c r="Y361" s="87"/>
      <c r="AA361" s="94"/>
      <c r="AC361" s="74"/>
    </row>
    <row r="362" spans="1:29" x14ac:dyDescent="0.2">
      <c r="A362" s="84"/>
      <c r="D362" s="5"/>
      <c r="E362" s="84"/>
      <c r="F362" s="84"/>
      <c r="G362" s="84"/>
      <c r="K362" s="96"/>
      <c r="L362" s="96"/>
      <c r="M362" s="96"/>
      <c r="N362" s="84"/>
      <c r="O362" s="84"/>
      <c r="P362" s="84"/>
      <c r="T362" s="96"/>
      <c r="U362" s="96"/>
      <c r="V362" s="96"/>
      <c r="W362" s="96"/>
      <c r="Y362" s="87"/>
      <c r="AA362" s="94"/>
      <c r="AC362" s="74"/>
    </row>
    <row r="363" spans="1:29" x14ac:dyDescent="0.2">
      <c r="A363" s="69"/>
      <c r="D363" s="73"/>
      <c r="E363" s="69"/>
      <c r="F363" s="69"/>
      <c r="G363" s="69"/>
      <c r="K363" s="72"/>
      <c r="M363" s="72"/>
      <c r="AC363" s="74"/>
    </row>
    <row r="364" spans="1:29" x14ac:dyDescent="0.2">
      <c r="A364" s="69"/>
      <c r="E364" s="69"/>
      <c r="F364" s="69"/>
      <c r="G364" s="69"/>
      <c r="K364" s="72"/>
      <c r="M364" s="72"/>
      <c r="AC364" s="74"/>
    </row>
    <row r="365" spans="1:29" x14ac:dyDescent="0.2">
      <c r="A365" s="69"/>
      <c r="E365" s="69"/>
      <c r="F365" s="69"/>
      <c r="G365" s="69"/>
      <c r="K365" s="72"/>
      <c r="M365" s="72"/>
      <c r="AC365" s="74"/>
    </row>
    <row r="366" spans="1:29" x14ac:dyDescent="0.2">
      <c r="A366" s="69"/>
      <c r="E366" s="69"/>
      <c r="F366" s="69"/>
      <c r="G366" s="69"/>
      <c r="K366" s="72"/>
      <c r="M366" s="72"/>
      <c r="AC366" s="74"/>
    </row>
    <row r="367" spans="1:29" x14ac:dyDescent="0.2">
      <c r="A367" s="69"/>
      <c r="E367" s="69"/>
      <c r="F367" s="69"/>
      <c r="G367" s="69"/>
      <c r="K367" s="72"/>
      <c r="M367" s="72"/>
      <c r="AC367" s="74"/>
    </row>
    <row r="368" spans="1:29" x14ac:dyDescent="0.2">
      <c r="A368" s="69"/>
      <c r="E368" s="69"/>
      <c r="F368" s="69"/>
      <c r="G368" s="69"/>
      <c r="K368" s="72"/>
      <c r="M368" s="72"/>
      <c r="AC368" s="74"/>
    </row>
    <row r="369" spans="1:29" x14ac:dyDescent="0.2">
      <c r="A369" s="69"/>
      <c r="E369" s="69"/>
      <c r="F369" s="69"/>
      <c r="G369" s="69"/>
      <c r="K369" s="72"/>
      <c r="M369" s="72"/>
      <c r="AC369" s="74"/>
    </row>
    <row r="370" spans="1:29" x14ac:dyDescent="0.2">
      <c r="A370" s="69"/>
      <c r="E370" s="69"/>
      <c r="F370" s="69"/>
      <c r="G370" s="69"/>
      <c r="K370" s="72"/>
      <c r="M370" s="72"/>
      <c r="AC370" s="74"/>
    </row>
    <row r="371" spans="1:29" x14ac:dyDescent="0.2">
      <c r="A371" s="69"/>
      <c r="E371" s="69"/>
      <c r="F371" s="69"/>
      <c r="G371" s="69"/>
      <c r="K371" s="72"/>
      <c r="M371" s="72"/>
    </row>
    <row r="372" spans="1:29" x14ac:dyDescent="0.2">
      <c r="A372" s="69"/>
      <c r="E372" s="69"/>
      <c r="F372" s="69"/>
      <c r="G372" s="69"/>
      <c r="K372" s="72"/>
      <c r="M372" s="72"/>
    </row>
    <row r="373" spans="1:29" x14ac:dyDescent="0.2">
      <c r="A373" s="69"/>
      <c r="E373" s="69"/>
      <c r="F373" s="69"/>
      <c r="G373" s="69"/>
      <c r="K373" s="72"/>
      <c r="M373" s="72"/>
    </row>
    <row r="374" spans="1:29" x14ac:dyDescent="0.2">
      <c r="A374" s="69"/>
      <c r="E374" s="69"/>
      <c r="F374" s="69"/>
      <c r="G374" s="69"/>
      <c r="K374" s="72"/>
      <c r="M374" s="72"/>
    </row>
    <row r="375" spans="1:29" x14ac:dyDescent="0.2">
      <c r="A375" s="69"/>
      <c r="E375" s="69"/>
      <c r="F375" s="69"/>
      <c r="G375" s="69"/>
      <c r="K375" s="72"/>
      <c r="M375" s="72"/>
    </row>
    <row r="376" spans="1:29" x14ac:dyDescent="0.2">
      <c r="A376" s="69"/>
      <c r="E376" s="69"/>
      <c r="F376" s="69"/>
      <c r="G376" s="69"/>
      <c r="K376" s="72"/>
      <c r="M376" s="72"/>
    </row>
    <row r="377" spans="1:29" x14ac:dyDescent="0.2">
      <c r="A377" s="69"/>
      <c r="E377" s="69"/>
      <c r="F377" s="69"/>
      <c r="G377" s="69"/>
      <c r="K377" s="72"/>
      <c r="M377" s="72"/>
    </row>
    <row r="378" spans="1:29" x14ac:dyDescent="0.2">
      <c r="A378" s="69"/>
      <c r="E378" s="69"/>
      <c r="F378" s="69"/>
      <c r="G378" s="69"/>
      <c r="K378" s="72"/>
      <c r="M378" s="72"/>
    </row>
    <row r="379" spans="1:29" x14ac:dyDescent="0.2">
      <c r="A379" s="69"/>
      <c r="E379" s="69"/>
      <c r="F379" s="69"/>
      <c r="G379" s="69"/>
      <c r="K379" s="72"/>
      <c r="M379" s="72"/>
    </row>
    <row r="380" spans="1:29" x14ac:dyDescent="0.2">
      <c r="A380" s="69"/>
      <c r="E380" s="69"/>
      <c r="F380" s="69"/>
      <c r="G380" s="69"/>
      <c r="K380" s="72"/>
      <c r="M380" s="72"/>
    </row>
    <row r="381" spans="1:29" x14ac:dyDescent="0.2">
      <c r="A381" s="69"/>
      <c r="E381" s="69"/>
      <c r="F381" s="69"/>
      <c r="G381" s="69"/>
      <c r="K381" s="72"/>
      <c r="M381" s="72"/>
    </row>
    <row r="382" spans="1:29" x14ac:dyDescent="0.2">
      <c r="A382" s="69"/>
      <c r="E382" s="69"/>
      <c r="F382" s="69"/>
      <c r="G382" s="69"/>
      <c r="K382" s="72"/>
      <c r="M382" s="72"/>
    </row>
    <row r="383" spans="1:29" x14ac:dyDescent="0.2">
      <c r="A383" s="69"/>
      <c r="E383" s="69"/>
      <c r="F383" s="69"/>
      <c r="G383" s="69"/>
      <c r="K383" s="72"/>
      <c r="M383" s="72"/>
    </row>
    <row r="384" spans="1:29" x14ac:dyDescent="0.2">
      <c r="A384" s="69"/>
      <c r="E384" s="69"/>
      <c r="F384" s="69"/>
      <c r="G384" s="69"/>
      <c r="K384" s="72"/>
      <c r="M384" s="72"/>
    </row>
    <row r="385" spans="1:13" x14ac:dyDescent="0.2">
      <c r="A385" s="69"/>
      <c r="E385" s="69"/>
      <c r="F385" s="69"/>
      <c r="G385" s="69"/>
      <c r="K385" s="72"/>
      <c r="M385" s="72"/>
    </row>
    <row r="386" spans="1:13" x14ac:dyDescent="0.2">
      <c r="A386" s="69"/>
      <c r="E386" s="69"/>
      <c r="F386" s="69"/>
      <c r="G386" s="69"/>
      <c r="K386" s="72"/>
      <c r="M386" s="72"/>
    </row>
    <row r="387" spans="1:13" x14ac:dyDescent="0.2">
      <c r="A387" s="69"/>
      <c r="E387" s="69"/>
      <c r="F387" s="69"/>
      <c r="G387" s="69"/>
      <c r="K387" s="72"/>
      <c r="M387" s="72"/>
    </row>
    <row r="388" spans="1:13" x14ac:dyDescent="0.2">
      <c r="A388" s="69"/>
      <c r="E388" s="69"/>
      <c r="F388" s="69"/>
      <c r="G388" s="69"/>
      <c r="K388" s="72"/>
      <c r="M388" s="72"/>
    </row>
    <row r="389" spans="1:13" x14ac:dyDescent="0.2">
      <c r="A389" s="69"/>
      <c r="E389" s="69"/>
      <c r="F389" s="69"/>
      <c r="G389" s="69"/>
      <c r="K389" s="72"/>
      <c r="M389" s="72"/>
    </row>
    <row r="390" spans="1:13" x14ac:dyDescent="0.2">
      <c r="A390" s="69"/>
      <c r="E390" s="69"/>
      <c r="F390" s="69"/>
      <c r="G390" s="69"/>
      <c r="K390" s="72"/>
      <c r="M390" s="72"/>
    </row>
    <row r="391" spans="1:13" x14ac:dyDescent="0.2">
      <c r="A391" s="69"/>
      <c r="E391" s="69"/>
      <c r="F391" s="69"/>
      <c r="G391" s="69"/>
      <c r="K391" s="72"/>
      <c r="M391" s="72"/>
    </row>
    <row r="392" spans="1:13" x14ac:dyDescent="0.2">
      <c r="A392" s="69"/>
      <c r="E392" s="69"/>
      <c r="F392" s="69"/>
      <c r="G392" s="69"/>
      <c r="K392" s="72"/>
      <c r="M392" s="72"/>
    </row>
    <row r="393" spans="1:13" x14ac:dyDescent="0.2">
      <c r="A393" s="69"/>
      <c r="E393" s="69"/>
      <c r="F393" s="69"/>
      <c r="G393" s="69"/>
      <c r="K393" s="72"/>
      <c r="M393" s="72"/>
    </row>
    <row r="394" spans="1:13" x14ac:dyDescent="0.2">
      <c r="A394" s="69"/>
      <c r="E394" s="69"/>
      <c r="F394" s="69"/>
      <c r="G394" s="69"/>
      <c r="K394" s="72"/>
      <c r="M394" s="72"/>
    </row>
    <row r="395" spans="1:13" x14ac:dyDescent="0.2">
      <c r="A395" s="69"/>
      <c r="E395" s="69"/>
      <c r="F395" s="69"/>
      <c r="G395" s="69"/>
      <c r="K395" s="72"/>
      <c r="M395" s="72"/>
    </row>
    <row r="396" spans="1:13" x14ac:dyDescent="0.2">
      <c r="A396" s="69"/>
      <c r="E396" s="69"/>
      <c r="F396" s="69"/>
      <c r="G396" s="69"/>
      <c r="K396" s="72"/>
      <c r="M396" s="72"/>
    </row>
    <row r="397" spans="1:13" x14ac:dyDescent="0.2">
      <c r="A397" s="69"/>
      <c r="E397" s="69"/>
      <c r="F397" s="69"/>
      <c r="G397" s="69"/>
      <c r="K397" s="72"/>
      <c r="M397" s="72"/>
    </row>
    <row r="398" spans="1:13" x14ac:dyDescent="0.2">
      <c r="A398" s="69"/>
      <c r="E398" s="69"/>
      <c r="F398" s="69"/>
      <c r="G398" s="69"/>
      <c r="K398" s="72"/>
      <c r="M398" s="72"/>
    </row>
    <row r="399" spans="1:13" x14ac:dyDescent="0.2">
      <c r="A399" s="69"/>
      <c r="E399" s="69"/>
      <c r="F399" s="69"/>
      <c r="G399" s="69"/>
      <c r="K399" s="72"/>
      <c r="M399" s="72"/>
    </row>
    <row r="400" spans="1:13" x14ac:dyDescent="0.2">
      <c r="A400" s="69"/>
      <c r="E400" s="69"/>
      <c r="F400" s="69"/>
      <c r="G400" s="69"/>
      <c r="K400" s="72"/>
      <c r="M400" s="72"/>
    </row>
    <row r="401" spans="1:13" x14ac:dyDescent="0.2">
      <c r="A401" s="69"/>
      <c r="E401" s="69"/>
      <c r="F401" s="69"/>
      <c r="G401" s="69"/>
      <c r="K401" s="72"/>
      <c r="M401" s="72"/>
    </row>
    <row r="402" spans="1:13" x14ac:dyDescent="0.2">
      <c r="A402" s="69"/>
      <c r="E402" s="69"/>
      <c r="F402" s="69"/>
      <c r="G402" s="69"/>
      <c r="K402" s="72"/>
      <c r="M402" s="72"/>
    </row>
    <row r="403" spans="1:13" x14ac:dyDescent="0.2">
      <c r="A403" s="69"/>
      <c r="E403" s="69"/>
      <c r="F403" s="69"/>
      <c r="G403" s="69"/>
      <c r="K403" s="72"/>
      <c r="M403" s="72"/>
    </row>
    <row r="404" spans="1:13" x14ac:dyDescent="0.2">
      <c r="A404" s="69"/>
      <c r="E404" s="69"/>
      <c r="F404" s="69"/>
      <c r="G404" s="69"/>
      <c r="K404" s="72"/>
      <c r="M404" s="72"/>
    </row>
    <row r="405" spans="1:13" x14ac:dyDescent="0.2">
      <c r="A405" s="69"/>
      <c r="E405" s="69"/>
      <c r="F405" s="69"/>
      <c r="G405" s="69"/>
      <c r="K405" s="72"/>
      <c r="M405" s="72"/>
    </row>
    <row r="406" spans="1:13" x14ac:dyDescent="0.2">
      <c r="A406" s="69"/>
      <c r="E406" s="69"/>
      <c r="F406" s="69"/>
      <c r="G406" s="69"/>
      <c r="K406" s="72"/>
      <c r="M406" s="72"/>
    </row>
    <row r="407" spans="1:13" x14ac:dyDescent="0.2">
      <c r="A407" s="69"/>
      <c r="E407" s="69"/>
      <c r="F407" s="69"/>
      <c r="G407" s="69"/>
      <c r="K407" s="72"/>
      <c r="M407" s="72"/>
    </row>
    <row r="408" spans="1:13" x14ac:dyDescent="0.2">
      <c r="A408" s="69"/>
      <c r="E408" s="69"/>
      <c r="F408" s="69"/>
      <c r="G408" s="69"/>
      <c r="K408" s="72"/>
      <c r="M408" s="72"/>
    </row>
    <row r="409" spans="1:13" x14ac:dyDescent="0.2">
      <c r="A409" s="69"/>
      <c r="E409" s="69"/>
      <c r="F409" s="69"/>
      <c r="G409" s="69"/>
      <c r="K409" s="72"/>
      <c r="M409" s="72"/>
    </row>
    <row r="410" spans="1:13" x14ac:dyDescent="0.2">
      <c r="A410" s="69"/>
      <c r="E410" s="69"/>
      <c r="F410" s="69"/>
      <c r="G410" s="69"/>
      <c r="K410" s="72"/>
      <c r="M410" s="72"/>
    </row>
    <row r="411" spans="1:13" x14ac:dyDescent="0.2">
      <c r="A411" s="69"/>
      <c r="E411" s="69"/>
      <c r="F411" s="69"/>
      <c r="G411" s="69"/>
      <c r="K411" s="72"/>
      <c r="M411" s="72"/>
    </row>
    <row r="412" spans="1:13" x14ac:dyDescent="0.2">
      <c r="A412" s="69"/>
      <c r="E412" s="69"/>
      <c r="F412" s="69"/>
      <c r="G412" s="69"/>
      <c r="K412" s="72"/>
      <c r="M412" s="72"/>
    </row>
    <row r="413" spans="1:13" x14ac:dyDescent="0.2">
      <c r="A413" s="69"/>
      <c r="E413" s="69"/>
      <c r="F413" s="69"/>
      <c r="G413" s="69"/>
      <c r="K413" s="72"/>
      <c r="M413" s="72"/>
    </row>
    <row r="414" spans="1:13" x14ac:dyDescent="0.2">
      <c r="A414" s="69"/>
      <c r="E414" s="69"/>
      <c r="F414" s="69"/>
      <c r="G414" s="69"/>
      <c r="K414" s="72"/>
      <c r="M414" s="72"/>
    </row>
    <row r="415" spans="1:13" x14ac:dyDescent="0.2">
      <c r="A415" s="69"/>
      <c r="E415" s="69"/>
      <c r="F415" s="69"/>
      <c r="G415" s="69"/>
      <c r="K415" s="72"/>
      <c r="M415" s="72"/>
    </row>
    <row r="416" spans="1:13" x14ac:dyDescent="0.2">
      <c r="A416" s="69"/>
      <c r="E416" s="69"/>
      <c r="F416" s="69"/>
      <c r="G416" s="69"/>
      <c r="K416" s="72"/>
      <c r="M416" s="72"/>
    </row>
    <row r="417" spans="1:13" x14ac:dyDescent="0.2">
      <c r="A417" s="69"/>
      <c r="E417" s="69"/>
      <c r="F417" s="69"/>
      <c r="G417" s="69"/>
      <c r="K417" s="72"/>
      <c r="M417" s="72"/>
    </row>
    <row r="418" spans="1:13" x14ac:dyDescent="0.2">
      <c r="A418" s="69"/>
      <c r="E418" s="69"/>
      <c r="F418" s="69"/>
      <c r="G418" s="69"/>
      <c r="K418" s="72"/>
      <c r="M418" s="72"/>
    </row>
    <row r="419" spans="1:13" x14ac:dyDescent="0.2">
      <c r="A419" s="69"/>
      <c r="E419" s="69"/>
      <c r="F419" s="69"/>
      <c r="G419" s="69"/>
      <c r="K419" s="72"/>
      <c r="M419" s="72"/>
    </row>
    <row r="420" spans="1:13" x14ac:dyDescent="0.2">
      <c r="A420" s="69"/>
      <c r="E420" s="69"/>
      <c r="F420" s="69"/>
      <c r="G420" s="69"/>
      <c r="K420" s="72"/>
      <c r="M420" s="72"/>
    </row>
    <row r="421" spans="1:13" x14ac:dyDescent="0.2">
      <c r="A421" s="69"/>
      <c r="E421" s="69"/>
      <c r="F421" s="69"/>
      <c r="G421" s="69"/>
      <c r="K421" s="72"/>
      <c r="M421" s="72"/>
    </row>
    <row r="422" spans="1:13" x14ac:dyDescent="0.2">
      <c r="A422" s="69"/>
      <c r="E422" s="69"/>
      <c r="F422" s="69"/>
      <c r="G422" s="69"/>
      <c r="K422" s="72"/>
      <c r="M422" s="72"/>
    </row>
    <row r="423" spans="1:13" x14ac:dyDescent="0.2">
      <c r="A423" s="69"/>
      <c r="E423" s="69"/>
      <c r="F423" s="69"/>
      <c r="G423" s="69"/>
      <c r="K423" s="72"/>
      <c r="M423" s="72"/>
    </row>
    <row r="424" spans="1:13" x14ac:dyDescent="0.2">
      <c r="A424" s="69"/>
      <c r="E424" s="69"/>
      <c r="F424" s="69"/>
      <c r="G424" s="69"/>
      <c r="K424" s="72"/>
      <c r="M424" s="72"/>
    </row>
    <row r="425" spans="1:13" x14ac:dyDescent="0.2">
      <c r="A425" s="69"/>
      <c r="E425" s="69"/>
      <c r="F425" s="69"/>
      <c r="G425" s="69"/>
      <c r="K425" s="72"/>
      <c r="M425" s="72"/>
    </row>
    <row r="426" spans="1:13" x14ac:dyDescent="0.2">
      <c r="A426" s="69"/>
      <c r="E426" s="69"/>
      <c r="F426" s="69"/>
      <c r="G426" s="69"/>
      <c r="K426" s="72"/>
      <c r="M426" s="72"/>
    </row>
    <row r="427" spans="1:13" x14ac:dyDescent="0.2">
      <c r="A427" s="69"/>
      <c r="E427" s="69"/>
      <c r="F427" s="69"/>
      <c r="G427" s="69"/>
      <c r="K427" s="72"/>
      <c r="M427" s="72"/>
    </row>
    <row r="428" spans="1:13" x14ac:dyDescent="0.2">
      <c r="A428" s="69"/>
      <c r="E428" s="69"/>
      <c r="F428" s="69"/>
      <c r="G428" s="69"/>
      <c r="K428" s="72"/>
      <c r="M428" s="72"/>
    </row>
    <row r="429" spans="1:13" x14ac:dyDescent="0.2">
      <c r="A429" s="69"/>
      <c r="E429" s="69"/>
      <c r="F429" s="69"/>
      <c r="G429" s="69"/>
      <c r="K429" s="72"/>
      <c r="M429" s="72"/>
    </row>
    <row r="430" spans="1:13" x14ac:dyDescent="0.2">
      <c r="A430" s="69"/>
      <c r="E430" s="69"/>
      <c r="F430" s="69"/>
      <c r="G430" s="69"/>
      <c r="K430" s="72"/>
      <c r="M430" s="72"/>
    </row>
    <row r="431" spans="1:13" x14ac:dyDescent="0.2">
      <c r="A431" s="69"/>
      <c r="E431" s="69"/>
      <c r="F431" s="69"/>
      <c r="G431" s="69"/>
      <c r="K431" s="72"/>
      <c r="M431" s="72"/>
    </row>
    <row r="432" spans="1:13" x14ac:dyDescent="0.2">
      <c r="A432" s="69"/>
      <c r="E432" s="69"/>
      <c r="F432" s="69"/>
      <c r="G432" s="69"/>
      <c r="K432" s="72"/>
      <c r="M432" s="72"/>
    </row>
    <row r="433" spans="1:13" x14ac:dyDescent="0.2">
      <c r="A433" s="69"/>
      <c r="E433" s="69"/>
      <c r="F433" s="69"/>
      <c r="G433" s="69"/>
      <c r="K433" s="72"/>
      <c r="M433" s="72"/>
    </row>
    <row r="434" spans="1:13" x14ac:dyDescent="0.2">
      <c r="A434" s="69"/>
      <c r="E434" s="69"/>
      <c r="F434" s="69"/>
      <c r="G434" s="69"/>
      <c r="K434" s="72"/>
      <c r="M434" s="72"/>
    </row>
    <row r="435" spans="1:13" x14ac:dyDescent="0.2">
      <c r="A435" s="69"/>
      <c r="E435" s="69"/>
      <c r="F435" s="69"/>
      <c r="G435" s="69"/>
      <c r="K435" s="72"/>
      <c r="M435" s="72"/>
    </row>
    <row r="436" spans="1:13" x14ac:dyDescent="0.2">
      <c r="A436" s="69"/>
      <c r="E436" s="69"/>
      <c r="F436" s="69"/>
      <c r="G436" s="69"/>
      <c r="K436" s="72"/>
      <c r="M436" s="72"/>
    </row>
    <row r="437" spans="1:13" x14ac:dyDescent="0.2">
      <c r="A437" s="69"/>
      <c r="E437" s="69"/>
      <c r="F437" s="69"/>
      <c r="G437" s="69"/>
      <c r="K437" s="72"/>
      <c r="M437" s="72"/>
    </row>
    <row r="438" spans="1:13" x14ac:dyDescent="0.2">
      <c r="A438" s="69"/>
      <c r="E438" s="69"/>
      <c r="F438" s="69"/>
      <c r="G438" s="69"/>
      <c r="K438" s="72"/>
      <c r="M438" s="72"/>
    </row>
    <row r="439" spans="1:13" x14ac:dyDescent="0.2">
      <c r="A439" s="69"/>
      <c r="E439" s="69"/>
      <c r="F439" s="69"/>
      <c r="G439" s="69"/>
      <c r="K439" s="72"/>
      <c r="M439" s="72"/>
    </row>
    <row r="440" spans="1:13" x14ac:dyDescent="0.2">
      <c r="A440" s="69"/>
      <c r="E440" s="69"/>
      <c r="F440" s="69"/>
      <c r="G440" s="69"/>
      <c r="K440" s="72"/>
      <c r="M440" s="72"/>
    </row>
    <row r="441" spans="1:13" x14ac:dyDescent="0.2">
      <c r="A441" s="69"/>
      <c r="E441" s="69"/>
      <c r="F441" s="69"/>
      <c r="G441" s="69"/>
      <c r="K441" s="72"/>
      <c r="M441" s="72"/>
    </row>
    <row r="442" spans="1:13" x14ac:dyDescent="0.2">
      <c r="A442" s="69"/>
      <c r="E442" s="69"/>
      <c r="F442" s="69"/>
      <c r="G442" s="69"/>
      <c r="K442" s="72"/>
      <c r="M442" s="72"/>
    </row>
    <row r="443" spans="1:13" x14ac:dyDescent="0.2">
      <c r="A443" s="69"/>
      <c r="E443" s="69"/>
      <c r="F443" s="69"/>
      <c r="G443" s="69"/>
      <c r="K443" s="72"/>
      <c r="M443" s="72"/>
    </row>
    <row r="444" spans="1:13" x14ac:dyDescent="0.2">
      <c r="A444" s="69"/>
      <c r="E444" s="69"/>
      <c r="F444" s="69"/>
      <c r="G444" s="69"/>
      <c r="K444" s="72"/>
      <c r="M444" s="72"/>
    </row>
    <row r="445" spans="1:13" x14ac:dyDescent="0.2">
      <c r="A445" s="69"/>
      <c r="E445" s="69"/>
      <c r="F445" s="69"/>
      <c r="G445" s="69"/>
      <c r="K445" s="72"/>
      <c r="M445" s="72"/>
    </row>
    <row r="446" spans="1:13" x14ac:dyDescent="0.2">
      <c r="A446" s="69"/>
      <c r="E446" s="69"/>
      <c r="F446" s="69"/>
      <c r="G446" s="69"/>
      <c r="K446" s="72"/>
      <c r="M446" s="72"/>
    </row>
    <row r="447" spans="1:13" x14ac:dyDescent="0.2">
      <c r="A447" s="69"/>
      <c r="E447" s="69"/>
      <c r="F447" s="69"/>
      <c r="G447" s="69"/>
      <c r="K447" s="72"/>
      <c r="M447" s="72"/>
    </row>
    <row r="448" spans="1:13" x14ac:dyDescent="0.2">
      <c r="A448" s="69"/>
      <c r="E448" s="69"/>
      <c r="F448" s="69"/>
      <c r="G448" s="69"/>
      <c r="K448" s="72"/>
      <c r="M448" s="72"/>
    </row>
    <row r="449" spans="1:13" x14ac:dyDescent="0.2">
      <c r="A449" s="69"/>
      <c r="E449" s="69"/>
      <c r="F449" s="69"/>
      <c r="G449" s="69"/>
      <c r="K449" s="72"/>
      <c r="M449" s="72"/>
    </row>
    <row r="450" spans="1:13" x14ac:dyDescent="0.2">
      <c r="A450" s="69"/>
      <c r="E450" s="69"/>
      <c r="F450" s="69"/>
      <c r="G450" s="69"/>
      <c r="K450" s="72"/>
      <c r="M450" s="72"/>
    </row>
    <row r="451" spans="1:13" x14ac:dyDescent="0.2">
      <c r="A451" s="69"/>
      <c r="E451" s="69"/>
      <c r="F451" s="69"/>
      <c r="G451" s="69"/>
      <c r="K451" s="72"/>
      <c r="M451" s="72"/>
    </row>
    <row r="452" spans="1:13" x14ac:dyDescent="0.2">
      <c r="A452" s="69"/>
      <c r="E452" s="69"/>
      <c r="F452" s="69"/>
      <c r="G452" s="69"/>
      <c r="K452" s="72"/>
      <c r="M452" s="72"/>
    </row>
    <row r="453" spans="1:13" x14ac:dyDescent="0.2">
      <c r="A453" s="69"/>
      <c r="E453" s="69"/>
      <c r="F453" s="69"/>
      <c r="G453" s="69"/>
      <c r="K453" s="72"/>
      <c r="M453" s="72"/>
    </row>
    <row r="454" spans="1:13" x14ac:dyDescent="0.2">
      <c r="A454" s="69"/>
      <c r="E454" s="69"/>
      <c r="F454" s="69"/>
      <c r="G454" s="69"/>
      <c r="K454" s="72"/>
      <c r="M454" s="72"/>
    </row>
    <row r="455" spans="1:13" x14ac:dyDescent="0.2">
      <c r="A455" s="69"/>
      <c r="E455" s="69"/>
      <c r="F455" s="69"/>
      <c r="G455" s="69"/>
      <c r="K455" s="72"/>
      <c r="M455" s="72"/>
    </row>
    <row r="456" spans="1:13" x14ac:dyDescent="0.2">
      <c r="A456" s="69"/>
      <c r="E456" s="69"/>
      <c r="F456" s="69"/>
      <c r="G456" s="69"/>
      <c r="K456" s="72"/>
      <c r="M456" s="72"/>
    </row>
    <row r="457" spans="1:13" x14ac:dyDescent="0.2">
      <c r="A457" s="69"/>
      <c r="E457" s="69"/>
      <c r="F457" s="69"/>
      <c r="G457" s="69"/>
      <c r="K457" s="72"/>
      <c r="M457" s="72"/>
    </row>
    <row r="458" spans="1:13" x14ac:dyDescent="0.2">
      <c r="A458" s="69"/>
      <c r="E458" s="69"/>
      <c r="F458" s="69"/>
      <c r="G458" s="69"/>
      <c r="K458" s="72"/>
      <c r="M458" s="72"/>
    </row>
    <row r="459" spans="1:13" x14ac:dyDescent="0.2">
      <c r="A459" s="69"/>
      <c r="E459" s="69"/>
      <c r="F459" s="69"/>
      <c r="G459" s="69"/>
      <c r="K459" s="72"/>
      <c r="M459" s="72"/>
    </row>
    <row r="460" spans="1:13" x14ac:dyDescent="0.2">
      <c r="A460" s="69"/>
      <c r="E460" s="69"/>
      <c r="F460" s="69"/>
      <c r="G460" s="69"/>
      <c r="K460" s="72"/>
      <c r="M460" s="72"/>
    </row>
    <row r="461" spans="1:13" x14ac:dyDescent="0.2">
      <c r="A461" s="69"/>
      <c r="E461" s="69"/>
      <c r="F461" s="69"/>
      <c r="G461" s="69"/>
      <c r="K461" s="72"/>
      <c r="M461" s="72"/>
    </row>
    <row r="462" spans="1:13" x14ac:dyDescent="0.2">
      <c r="A462" s="69"/>
      <c r="E462" s="69"/>
      <c r="F462" s="69"/>
      <c r="G462" s="69"/>
      <c r="K462" s="72"/>
      <c r="M462" s="72"/>
    </row>
    <row r="463" spans="1:13" x14ac:dyDescent="0.2">
      <c r="A463" s="69"/>
      <c r="E463" s="69"/>
      <c r="F463" s="69"/>
      <c r="G463" s="69"/>
      <c r="K463" s="72"/>
      <c r="M463" s="72"/>
    </row>
    <row r="464" spans="1:13" x14ac:dyDescent="0.2">
      <c r="A464" s="69"/>
      <c r="E464" s="69"/>
      <c r="F464" s="69"/>
      <c r="G464" s="69"/>
      <c r="K464" s="72"/>
      <c r="M464" s="72"/>
    </row>
    <row r="465" spans="1:13" x14ac:dyDescent="0.2">
      <c r="A465" s="69"/>
      <c r="E465" s="69"/>
      <c r="F465" s="69"/>
      <c r="G465" s="69"/>
      <c r="K465" s="72"/>
      <c r="M465" s="72"/>
    </row>
    <row r="466" spans="1:13" x14ac:dyDescent="0.2">
      <c r="A466" s="69"/>
      <c r="E466" s="69"/>
      <c r="F466" s="69"/>
      <c r="G466" s="69"/>
      <c r="K466" s="72"/>
      <c r="M466" s="72"/>
    </row>
    <row r="467" spans="1:13" x14ac:dyDescent="0.2">
      <c r="A467" s="69"/>
      <c r="E467" s="69"/>
      <c r="F467" s="69"/>
      <c r="G467" s="69"/>
      <c r="K467" s="72"/>
      <c r="M467" s="72"/>
    </row>
    <row r="468" spans="1:13" x14ac:dyDescent="0.2">
      <c r="A468" s="69"/>
      <c r="E468" s="69"/>
      <c r="F468" s="69"/>
      <c r="G468" s="69"/>
      <c r="K468" s="72"/>
      <c r="M468" s="72"/>
    </row>
    <row r="469" spans="1:13" x14ac:dyDescent="0.2">
      <c r="A469" s="69"/>
      <c r="E469" s="69"/>
      <c r="F469" s="69"/>
      <c r="G469" s="69"/>
      <c r="K469" s="72"/>
      <c r="M469" s="72"/>
    </row>
    <row r="470" spans="1:13" x14ac:dyDescent="0.2">
      <c r="A470" s="69"/>
      <c r="E470" s="69"/>
      <c r="F470" s="69"/>
      <c r="G470" s="69"/>
      <c r="K470" s="72"/>
      <c r="M470" s="72"/>
    </row>
    <row r="471" spans="1:13" x14ac:dyDescent="0.2">
      <c r="A471" s="69"/>
      <c r="E471" s="69"/>
      <c r="F471" s="69"/>
      <c r="G471" s="69"/>
      <c r="K471" s="72"/>
      <c r="M471" s="72"/>
    </row>
    <row r="472" spans="1:13" x14ac:dyDescent="0.2">
      <c r="A472" s="69"/>
      <c r="E472" s="69"/>
      <c r="F472" s="69"/>
      <c r="G472" s="69"/>
      <c r="K472" s="72"/>
      <c r="M472" s="72"/>
    </row>
    <row r="473" spans="1:13" x14ac:dyDescent="0.2">
      <c r="A473" s="69"/>
      <c r="E473" s="69"/>
      <c r="F473" s="69"/>
      <c r="G473" s="69"/>
      <c r="K473" s="72"/>
      <c r="M473" s="72"/>
    </row>
    <row r="474" spans="1:13" x14ac:dyDescent="0.2">
      <c r="A474" s="69"/>
      <c r="E474" s="69"/>
      <c r="F474" s="69"/>
      <c r="G474" s="69"/>
      <c r="K474" s="72"/>
      <c r="M474" s="72"/>
    </row>
    <row r="475" spans="1:13" x14ac:dyDescent="0.2">
      <c r="A475" s="69"/>
      <c r="E475" s="69"/>
      <c r="F475" s="69"/>
      <c r="G475" s="69"/>
      <c r="K475" s="72"/>
      <c r="M475" s="72"/>
    </row>
    <row r="476" spans="1:13" x14ac:dyDescent="0.2">
      <c r="A476" s="69"/>
      <c r="E476" s="69"/>
      <c r="F476" s="69"/>
      <c r="G476" s="69"/>
      <c r="K476" s="72"/>
      <c r="M476" s="72"/>
    </row>
    <row r="477" spans="1:13" x14ac:dyDescent="0.2">
      <c r="A477" s="69"/>
      <c r="E477" s="69"/>
      <c r="F477" s="69"/>
      <c r="G477" s="69"/>
      <c r="K477" s="72"/>
      <c r="M477" s="72"/>
    </row>
    <row r="478" spans="1:13" x14ac:dyDescent="0.2">
      <c r="A478" s="69"/>
      <c r="E478" s="69"/>
      <c r="F478" s="69"/>
      <c r="G478" s="69"/>
      <c r="K478" s="72"/>
      <c r="M478" s="72"/>
    </row>
    <row r="479" spans="1:13" x14ac:dyDescent="0.2">
      <c r="A479" s="69"/>
      <c r="E479" s="69"/>
      <c r="F479" s="69"/>
      <c r="G479" s="69"/>
      <c r="K479" s="72"/>
      <c r="M479" s="72"/>
    </row>
    <row r="480" spans="1:13" x14ac:dyDescent="0.2">
      <c r="A480" s="69"/>
      <c r="E480" s="69"/>
      <c r="F480" s="69"/>
      <c r="G480" s="69"/>
      <c r="K480" s="72"/>
      <c r="M480" s="72"/>
    </row>
    <row r="481" spans="1:13" x14ac:dyDescent="0.2">
      <c r="A481" s="69"/>
      <c r="E481" s="69"/>
      <c r="F481" s="69"/>
      <c r="G481" s="69"/>
      <c r="K481" s="72"/>
      <c r="M481" s="72"/>
    </row>
    <row r="482" spans="1:13" x14ac:dyDescent="0.2">
      <c r="A482" s="69"/>
      <c r="E482" s="69"/>
      <c r="F482" s="69"/>
      <c r="G482" s="69"/>
      <c r="K482" s="72"/>
      <c r="M482" s="72"/>
    </row>
    <row r="483" spans="1:13" x14ac:dyDescent="0.2">
      <c r="A483" s="69"/>
      <c r="E483" s="69"/>
      <c r="F483" s="69"/>
      <c r="G483" s="69"/>
      <c r="K483" s="72"/>
      <c r="M483" s="72"/>
    </row>
    <row r="484" spans="1:13" x14ac:dyDescent="0.2">
      <c r="A484" s="69"/>
      <c r="E484" s="69"/>
      <c r="F484" s="69"/>
      <c r="G484" s="69"/>
      <c r="K484" s="72"/>
      <c r="M484" s="72"/>
    </row>
    <row r="485" spans="1:13" x14ac:dyDescent="0.2">
      <c r="A485" s="69"/>
      <c r="E485" s="69"/>
      <c r="F485" s="69"/>
      <c r="G485" s="69"/>
      <c r="K485" s="72"/>
      <c r="M485" s="72"/>
    </row>
    <row r="486" spans="1:13" x14ac:dyDescent="0.2">
      <c r="A486" s="69"/>
      <c r="E486" s="69"/>
      <c r="F486" s="69"/>
      <c r="G486" s="69"/>
      <c r="K486" s="72"/>
      <c r="M486" s="72"/>
    </row>
    <row r="487" spans="1:13" x14ac:dyDescent="0.2">
      <c r="A487" s="69"/>
      <c r="E487" s="69"/>
      <c r="F487" s="69"/>
      <c r="G487" s="69"/>
      <c r="K487" s="72"/>
      <c r="M487" s="72"/>
    </row>
    <row r="488" spans="1:13" x14ac:dyDescent="0.2">
      <c r="A488" s="69"/>
      <c r="E488" s="69"/>
      <c r="F488" s="69"/>
      <c r="G488" s="69"/>
      <c r="K488" s="72"/>
      <c r="M488" s="72"/>
    </row>
    <row r="489" spans="1:13" x14ac:dyDescent="0.2">
      <c r="A489" s="69"/>
      <c r="E489" s="69"/>
      <c r="F489" s="69"/>
      <c r="G489" s="69"/>
      <c r="K489" s="72"/>
      <c r="M489" s="72"/>
    </row>
    <row r="490" spans="1:13" x14ac:dyDescent="0.2">
      <c r="A490" s="69"/>
      <c r="E490" s="69"/>
      <c r="F490" s="69"/>
      <c r="G490" s="69"/>
      <c r="K490" s="72"/>
      <c r="M490" s="72"/>
    </row>
    <row r="491" spans="1:13" x14ac:dyDescent="0.2">
      <c r="A491" s="69"/>
      <c r="E491" s="69"/>
      <c r="F491" s="69"/>
      <c r="G491" s="69"/>
      <c r="K491" s="72"/>
      <c r="M491" s="72"/>
    </row>
    <row r="492" spans="1:13" x14ac:dyDescent="0.2">
      <c r="A492" s="69"/>
      <c r="E492" s="69"/>
      <c r="F492" s="69"/>
      <c r="G492" s="69"/>
      <c r="K492" s="72"/>
      <c r="M492" s="72"/>
    </row>
    <row r="493" spans="1:13" x14ac:dyDescent="0.2">
      <c r="A493" s="69"/>
      <c r="E493" s="69"/>
      <c r="F493" s="69"/>
      <c r="G493" s="69"/>
      <c r="K493" s="72"/>
      <c r="M493" s="72"/>
    </row>
    <row r="494" spans="1:13" x14ac:dyDescent="0.2">
      <c r="A494" s="69"/>
      <c r="E494" s="69"/>
      <c r="F494" s="69"/>
      <c r="G494" s="69"/>
      <c r="K494" s="72"/>
      <c r="M494" s="72"/>
    </row>
    <row r="495" spans="1:13" x14ac:dyDescent="0.2">
      <c r="A495" s="69"/>
      <c r="E495" s="69"/>
      <c r="F495" s="69"/>
      <c r="G495" s="69"/>
      <c r="K495" s="72"/>
      <c r="M495" s="72"/>
    </row>
    <row r="496" spans="1:13" x14ac:dyDescent="0.2">
      <c r="A496" s="69"/>
      <c r="E496" s="69"/>
      <c r="F496" s="69"/>
      <c r="G496" s="69"/>
      <c r="K496" s="72"/>
      <c r="M496" s="72"/>
    </row>
    <row r="497" spans="1:13" x14ac:dyDescent="0.2">
      <c r="A497" s="69"/>
      <c r="E497" s="69"/>
      <c r="F497" s="69"/>
      <c r="G497" s="69"/>
      <c r="K497" s="72"/>
      <c r="M497" s="72"/>
    </row>
    <row r="498" spans="1:13" x14ac:dyDescent="0.2">
      <c r="A498" s="69"/>
      <c r="E498" s="69"/>
      <c r="F498" s="69"/>
      <c r="G498" s="69"/>
      <c r="K498" s="72"/>
      <c r="M498" s="72"/>
    </row>
    <row r="499" spans="1:13" x14ac:dyDescent="0.2">
      <c r="A499" s="69"/>
      <c r="E499" s="69"/>
      <c r="F499" s="69"/>
      <c r="G499" s="69"/>
      <c r="K499" s="72"/>
      <c r="M499" s="72"/>
    </row>
    <row r="500" spans="1:13" x14ac:dyDescent="0.2">
      <c r="A500" s="69"/>
      <c r="E500" s="69"/>
      <c r="F500" s="69"/>
      <c r="G500" s="69"/>
      <c r="K500" s="72"/>
      <c r="M500" s="72"/>
    </row>
    <row r="501" spans="1:13" x14ac:dyDescent="0.2">
      <c r="A501" s="69"/>
      <c r="E501" s="69"/>
      <c r="F501" s="69"/>
      <c r="G501" s="69"/>
      <c r="K501" s="72"/>
      <c r="M501" s="72"/>
    </row>
    <row r="502" spans="1:13" x14ac:dyDescent="0.2">
      <c r="A502" s="69"/>
      <c r="E502" s="69"/>
      <c r="F502" s="69"/>
      <c r="G502" s="69"/>
      <c r="K502" s="72"/>
      <c r="M502" s="72"/>
    </row>
    <row r="503" spans="1:13" x14ac:dyDescent="0.2">
      <c r="A503" s="69"/>
      <c r="E503" s="69"/>
      <c r="F503" s="69"/>
      <c r="G503" s="69"/>
      <c r="K503" s="72"/>
      <c r="M503" s="72"/>
    </row>
    <row r="504" spans="1:13" x14ac:dyDescent="0.2">
      <c r="A504" s="69"/>
      <c r="E504" s="69"/>
      <c r="F504" s="69"/>
      <c r="G504" s="69"/>
      <c r="K504" s="72"/>
      <c r="M504" s="72"/>
    </row>
    <row r="505" spans="1:13" x14ac:dyDescent="0.2">
      <c r="A505" s="69"/>
      <c r="E505" s="69"/>
      <c r="F505" s="69"/>
      <c r="G505" s="69"/>
      <c r="K505" s="72"/>
      <c r="M505" s="72"/>
    </row>
    <row r="506" spans="1:13" x14ac:dyDescent="0.2">
      <c r="A506" s="69"/>
      <c r="E506" s="69"/>
      <c r="F506" s="69"/>
      <c r="G506" s="69"/>
      <c r="K506" s="72"/>
      <c r="M506" s="72"/>
    </row>
    <row r="507" spans="1:13" x14ac:dyDescent="0.2">
      <c r="A507" s="69"/>
      <c r="E507" s="69"/>
      <c r="F507" s="69"/>
      <c r="G507" s="69"/>
      <c r="K507" s="72"/>
      <c r="M507" s="72"/>
    </row>
    <row r="508" spans="1:13" x14ac:dyDescent="0.2">
      <c r="A508" s="69"/>
      <c r="E508" s="69"/>
      <c r="F508" s="69"/>
      <c r="G508" s="69"/>
      <c r="K508" s="72"/>
      <c r="M508" s="72"/>
    </row>
    <row r="509" spans="1:13" x14ac:dyDescent="0.2">
      <c r="A509" s="69"/>
      <c r="E509" s="69"/>
      <c r="F509" s="69"/>
      <c r="G509" s="69"/>
      <c r="K509" s="72"/>
      <c r="M509" s="72"/>
    </row>
    <row r="510" spans="1:13" x14ac:dyDescent="0.2">
      <c r="A510" s="69"/>
      <c r="E510" s="69"/>
      <c r="F510" s="69"/>
      <c r="G510" s="69"/>
      <c r="K510" s="72"/>
      <c r="M510" s="72"/>
    </row>
    <row r="511" spans="1:13" x14ac:dyDescent="0.2">
      <c r="A511" s="69"/>
      <c r="E511" s="69"/>
      <c r="F511" s="69"/>
      <c r="G511" s="69"/>
      <c r="K511" s="72"/>
      <c r="M511" s="72"/>
    </row>
    <row r="512" spans="1:13" x14ac:dyDescent="0.2">
      <c r="A512" s="69"/>
      <c r="E512" s="69"/>
      <c r="F512" s="69"/>
      <c r="G512" s="69"/>
      <c r="K512" s="72"/>
      <c r="M512" s="72"/>
    </row>
    <row r="513" spans="1:13" x14ac:dyDescent="0.2">
      <c r="A513" s="69"/>
      <c r="E513" s="69"/>
      <c r="F513" s="69"/>
      <c r="G513" s="69"/>
      <c r="K513" s="72"/>
      <c r="M513" s="72"/>
    </row>
    <row r="514" spans="1:13" x14ac:dyDescent="0.2">
      <c r="A514" s="69"/>
      <c r="E514" s="69"/>
      <c r="F514" s="69"/>
      <c r="G514" s="69"/>
      <c r="K514" s="72"/>
      <c r="M514" s="72"/>
    </row>
    <row r="515" spans="1:13" x14ac:dyDescent="0.2">
      <c r="A515" s="69"/>
      <c r="E515" s="69"/>
      <c r="F515" s="69"/>
      <c r="G515" s="69"/>
      <c r="K515" s="72"/>
      <c r="M515" s="72"/>
    </row>
    <row r="516" spans="1:13" x14ac:dyDescent="0.2">
      <c r="A516" s="69"/>
      <c r="E516" s="69"/>
      <c r="F516" s="69"/>
      <c r="G516" s="69"/>
      <c r="K516" s="72"/>
      <c r="M516" s="72"/>
    </row>
    <row r="517" spans="1:13" x14ac:dyDescent="0.2">
      <c r="A517" s="69"/>
      <c r="E517" s="69"/>
      <c r="F517" s="69"/>
      <c r="G517" s="69"/>
      <c r="K517" s="72"/>
      <c r="M517" s="72"/>
    </row>
    <row r="518" spans="1:13" x14ac:dyDescent="0.2">
      <c r="A518" s="69"/>
      <c r="E518" s="69"/>
      <c r="F518" s="69"/>
      <c r="G518" s="69"/>
      <c r="K518" s="72"/>
      <c r="M518" s="72"/>
    </row>
    <row r="519" spans="1:13" x14ac:dyDescent="0.2">
      <c r="A519" s="69"/>
      <c r="E519" s="69"/>
      <c r="F519" s="69"/>
      <c r="G519" s="69"/>
      <c r="K519" s="72"/>
      <c r="M519" s="72"/>
    </row>
    <row r="520" spans="1:13" x14ac:dyDescent="0.2">
      <c r="A520" s="69"/>
      <c r="E520" s="69"/>
      <c r="F520" s="69"/>
      <c r="G520" s="69"/>
      <c r="K520" s="72"/>
      <c r="M520" s="72"/>
    </row>
    <row r="521" spans="1:13" x14ac:dyDescent="0.2">
      <c r="A521" s="69"/>
      <c r="E521" s="69"/>
      <c r="F521" s="69"/>
      <c r="G521" s="69"/>
      <c r="K521" s="72"/>
      <c r="M521" s="72"/>
    </row>
    <row r="522" spans="1:13" x14ac:dyDescent="0.2">
      <c r="A522" s="69"/>
      <c r="E522" s="69"/>
      <c r="F522" s="69"/>
      <c r="G522" s="69"/>
      <c r="K522" s="72"/>
      <c r="M522" s="72"/>
    </row>
    <row r="523" spans="1:13" x14ac:dyDescent="0.2">
      <c r="A523" s="69"/>
      <c r="E523" s="69"/>
      <c r="F523" s="69"/>
      <c r="G523" s="69"/>
      <c r="K523" s="72"/>
      <c r="M523" s="72"/>
    </row>
    <row r="524" spans="1:13" x14ac:dyDescent="0.2">
      <c r="A524" s="69"/>
      <c r="E524" s="69"/>
      <c r="F524" s="69"/>
      <c r="G524" s="69"/>
      <c r="K524" s="72"/>
      <c r="M524" s="72"/>
    </row>
    <row r="525" spans="1:13" x14ac:dyDescent="0.2">
      <c r="A525" s="69"/>
      <c r="E525" s="69"/>
      <c r="F525" s="69"/>
      <c r="G525" s="69"/>
      <c r="K525" s="72"/>
      <c r="M525" s="72"/>
    </row>
    <row r="526" spans="1:13" x14ac:dyDescent="0.2">
      <c r="A526" s="69"/>
      <c r="E526" s="69"/>
      <c r="F526" s="69"/>
      <c r="G526" s="69"/>
      <c r="K526" s="72"/>
      <c r="M526" s="72"/>
    </row>
    <row r="527" spans="1:13" x14ac:dyDescent="0.2">
      <c r="A527" s="69"/>
      <c r="E527" s="69"/>
      <c r="F527" s="69"/>
      <c r="G527" s="69"/>
      <c r="K527" s="72"/>
      <c r="M527" s="72"/>
    </row>
    <row r="528" spans="1:13" x14ac:dyDescent="0.2">
      <c r="A528" s="69"/>
      <c r="E528" s="69"/>
      <c r="F528" s="69"/>
      <c r="G528" s="69"/>
      <c r="K528" s="72"/>
      <c r="M528" s="72"/>
    </row>
    <row r="529" spans="1:13" x14ac:dyDescent="0.2">
      <c r="A529" s="69"/>
      <c r="E529" s="69"/>
      <c r="F529" s="69"/>
      <c r="G529" s="69"/>
      <c r="K529" s="72"/>
      <c r="M529" s="72"/>
    </row>
    <row r="530" spans="1:13" x14ac:dyDescent="0.2">
      <c r="A530" s="69"/>
      <c r="E530" s="69"/>
      <c r="F530" s="69"/>
      <c r="G530" s="69"/>
      <c r="K530" s="72"/>
      <c r="M530" s="72"/>
    </row>
    <row r="531" spans="1:13" x14ac:dyDescent="0.2">
      <c r="A531" s="69"/>
      <c r="E531" s="69"/>
      <c r="F531" s="69"/>
      <c r="G531" s="69"/>
      <c r="K531" s="72"/>
      <c r="M531" s="72"/>
    </row>
    <row r="532" spans="1:13" x14ac:dyDescent="0.2">
      <c r="A532" s="69"/>
      <c r="E532" s="69"/>
      <c r="F532" s="69"/>
      <c r="G532" s="69"/>
      <c r="K532" s="72"/>
      <c r="M532" s="72"/>
    </row>
    <row r="533" spans="1:13" x14ac:dyDescent="0.2">
      <c r="A533" s="69"/>
      <c r="E533" s="69"/>
      <c r="F533" s="69"/>
      <c r="G533" s="69"/>
      <c r="K533" s="72"/>
      <c r="M533" s="72"/>
    </row>
    <row r="534" spans="1:13" x14ac:dyDescent="0.2">
      <c r="A534" s="69"/>
      <c r="E534" s="69"/>
      <c r="F534" s="69"/>
      <c r="G534" s="69"/>
      <c r="K534" s="72"/>
      <c r="M534" s="72"/>
    </row>
    <row r="535" spans="1:13" x14ac:dyDescent="0.2">
      <c r="A535" s="69"/>
      <c r="E535" s="69"/>
      <c r="F535" s="69"/>
      <c r="G535" s="69"/>
      <c r="K535" s="72"/>
      <c r="M535" s="72"/>
    </row>
    <row r="536" spans="1:13" x14ac:dyDescent="0.2">
      <c r="A536" s="69"/>
      <c r="E536" s="69"/>
      <c r="F536" s="69"/>
      <c r="G536" s="69"/>
      <c r="K536" s="72"/>
      <c r="M536" s="72"/>
    </row>
    <row r="537" spans="1:13" x14ac:dyDescent="0.2">
      <c r="A537" s="69"/>
      <c r="E537" s="69"/>
      <c r="F537" s="69"/>
      <c r="G537" s="69"/>
      <c r="K537" s="72"/>
      <c r="M537" s="72"/>
    </row>
    <row r="538" spans="1:13" x14ac:dyDescent="0.2">
      <c r="A538" s="69"/>
      <c r="E538" s="69"/>
      <c r="F538" s="69"/>
      <c r="G538" s="69"/>
      <c r="K538" s="72"/>
      <c r="M538" s="72"/>
    </row>
    <row r="539" spans="1:13" x14ac:dyDescent="0.2">
      <c r="A539" s="69"/>
      <c r="E539" s="69"/>
      <c r="F539" s="69"/>
      <c r="G539" s="69"/>
      <c r="K539" s="72"/>
      <c r="M539" s="72"/>
    </row>
    <row r="540" spans="1:13" x14ac:dyDescent="0.2">
      <c r="A540" s="69"/>
      <c r="E540" s="69"/>
      <c r="F540" s="69"/>
      <c r="G540" s="69"/>
      <c r="K540" s="72"/>
      <c r="M540" s="72"/>
    </row>
    <row r="541" spans="1:13" x14ac:dyDescent="0.2">
      <c r="A541" s="69"/>
      <c r="E541" s="69"/>
      <c r="F541" s="69"/>
      <c r="G541" s="69"/>
      <c r="K541" s="72"/>
      <c r="M541" s="72"/>
    </row>
    <row r="542" spans="1:13" x14ac:dyDescent="0.2">
      <c r="A542" s="69"/>
      <c r="E542" s="69"/>
      <c r="F542" s="69"/>
      <c r="G542" s="69"/>
      <c r="K542" s="72"/>
      <c r="M542" s="72"/>
    </row>
    <row r="543" spans="1:13" x14ac:dyDescent="0.2">
      <c r="A543" s="69"/>
      <c r="E543" s="69"/>
      <c r="F543" s="69"/>
      <c r="G543" s="69"/>
      <c r="K543" s="72"/>
      <c r="M543" s="72"/>
    </row>
    <row r="544" spans="1:13" x14ac:dyDescent="0.2">
      <c r="A544" s="69"/>
      <c r="E544" s="69"/>
      <c r="F544" s="69"/>
      <c r="G544" s="69"/>
      <c r="K544" s="72"/>
      <c r="M544" s="72"/>
    </row>
    <row r="545" spans="1:13" x14ac:dyDescent="0.2">
      <c r="A545" s="69"/>
      <c r="E545" s="69"/>
      <c r="F545" s="69"/>
      <c r="G545" s="69"/>
      <c r="K545" s="72"/>
      <c r="M545" s="72"/>
    </row>
    <row r="546" spans="1:13" x14ac:dyDescent="0.2">
      <c r="A546" s="69"/>
      <c r="E546" s="69"/>
      <c r="F546" s="69"/>
      <c r="G546" s="69"/>
      <c r="K546" s="72"/>
      <c r="M546" s="72"/>
    </row>
    <row r="547" spans="1:13" x14ac:dyDescent="0.2">
      <c r="A547" s="69"/>
      <c r="E547" s="69"/>
      <c r="F547" s="69"/>
      <c r="G547" s="69"/>
      <c r="K547" s="72"/>
      <c r="M547" s="72"/>
    </row>
    <row r="548" spans="1:13" x14ac:dyDescent="0.2">
      <c r="A548" s="69"/>
      <c r="E548" s="69"/>
      <c r="F548" s="69"/>
      <c r="G548" s="69"/>
      <c r="K548" s="72"/>
      <c r="M548" s="72"/>
    </row>
    <row r="549" spans="1:13" x14ac:dyDescent="0.2">
      <c r="A549" s="69"/>
      <c r="E549" s="69"/>
      <c r="F549" s="69"/>
      <c r="G549" s="69"/>
      <c r="K549" s="72"/>
      <c r="M549" s="72"/>
    </row>
    <row r="550" spans="1:13" x14ac:dyDescent="0.2">
      <c r="A550" s="69"/>
      <c r="E550" s="69"/>
      <c r="F550" s="69"/>
      <c r="G550" s="69"/>
      <c r="K550" s="72"/>
      <c r="M550" s="72"/>
    </row>
    <row r="551" spans="1:13" x14ac:dyDescent="0.2">
      <c r="A551" s="69"/>
      <c r="E551" s="69"/>
      <c r="F551" s="69"/>
      <c r="G551" s="69"/>
      <c r="K551" s="72"/>
      <c r="M551" s="72"/>
    </row>
    <row r="552" spans="1:13" x14ac:dyDescent="0.2">
      <c r="A552" s="69"/>
      <c r="E552" s="69"/>
      <c r="F552" s="69"/>
      <c r="G552" s="69"/>
      <c r="K552" s="72"/>
      <c r="M552" s="72"/>
    </row>
    <row r="553" spans="1:13" x14ac:dyDescent="0.2">
      <c r="A553" s="69"/>
      <c r="E553" s="69"/>
      <c r="F553" s="69"/>
      <c r="G553" s="69"/>
      <c r="K553" s="72"/>
      <c r="M553" s="72"/>
    </row>
    <row r="554" spans="1:13" x14ac:dyDescent="0.2">
      <c r="A554" s="69"/>
      <c r="E554" s="69"/>
      <c r="F554" s="69"/>
      <c r="G554" s="69"/>
      <c r="K554" s="72"/>
      <c r="M554" s="72"/>
    </row>
    <row r="555" spans="1:13" x14ac:dyDescent="0.2">
      <c r="A555" s="69"/>
      <c r="E555" s="69"/>
      <c r="F555" s="69"/>
      <c r="G555" s="69"/>
      <c r="K555" s="72"/>
      <c r="M555" s="72"/>
    </row>
    <row r="556" spans="1:13" x14ac:dyDescent="0.2">
      <c r="A556" s="69"/>
      <c r="E556" s="69"/>
      <c r="F556" s="69"/>
      <c r="G556" s="69"/>
      <c r="K556" s="72"/>
      <c r="M556" s="72"/>
    </row>
    <row r="557" spans="1:13" x14ac:dyDescent="0.2">
      <c r="A557" s="69"/>
      <c r="E557" s="69"/>
      <c r="F557" s="69"/>
      <c r="G557" s="69"/>
      <c r="K557" s="72"/>
      <c r="M557" s="72"/>
    </row>
    <row r="558" spans="1:13" x14ac:dyDescent="0.2">
      <c r="A558" s="69"/>
      <c r="E558" s="69"/>
      <c r="F558" s="69"/>
      <c r="G558" s="69"/>
      <c r="K558" s="72"/>
      <c r="M558" s="72"/>
    </row>
    <row r="559" spans="1:13" x14ac:dyDescent="0.2">
      <c r="A559" s="69"/>
      <c r="E559" s="69"/>
      <c r="F559" s="69"/>
      <c r="G559" s="69"/>
      <c r="K559" s="72"/>
      <c r="M559" s="72"/>
    </row>
    <row r="560" spans="1:13" x14ac:dyDescent="0.2">
      <c r="A560" s="69"/>
      <c r="E560" s="69"/>
      <c r="F560" s="69"/>
      <c r="G560" s="69"/>
      <c r="K560" s="72"/>
      <c r="M560" s="72"/>
    </row>
    <row r="561" spans="1:13" x14ac:dyDescent="0.2">
      <c r="A561" s="69"/>
      <c r="E561" s="69"/>
      <c r="F561" s="69"/>
      <c r="G561" s="69"/>
      <c r="K561" s="72"/>
      <c r="M561" s="72"/>
    </row>
    <row r="562" spans="1:13" x14ac:dyDescent="0.2">
      <c r="A562" s="69"/>
      <c r="E562" s="69"/>
      <c r="F562" s="69"/>
      <c r="G562" s="69"/>
      <c r="K562" s="72"/>
      <c r="M562" s="72"/>
    </row>
    <row r="563" spans="1:13" x14ac:dyDescent="0.2">
      <c r="A563" s="69"/>
      <c r="E563" s="69"/>
      <c r="F563" s="69"/>
      <c r="G563" s="69"/>
      <c r="K563" s="72"/>
      <c r="M563" s="72"/>
    </row>
    <row r="564" spans="1:13" x14ac:dyDescent="0.2">
      <c r="A564" s="69"/>
      <c r="E564" s="69"/>
      <c r="F564" s="69"/>
      <c r="G564" s="69"/>
      <c r="K564" s="72"/>
      <c r="M564" s="72"/>
    </row>
    <row r="565" spans="1:13" x14ac:dyDescent="0.2">
      <c r="A565" s="69"/>
      <c r="E565" s="69"/>
      <c r="F565" s="69"/>
      <c r="G565" s="69"/>
      <c r="K565" s="72"/>
      <c r="M565" s="72"/>
    </row>
    <row r="566" spans="1:13" x14ac:dyDescent="0.2">
      <c r="A566" s="69"/>
      <c r="E566" s="69"/>
      <c r="F566" s="69"/>
      <c r="G566" s="69"/>
      <c r="K566" s="72"/>
      <c r="M566" s="72"/>
    </row>
    <row r="567" spans="1:13" x14ac:dyDescent="0.2">
      <c r="A567" s="69"/>
      <c r="E567" s="69"/>
      <c r="F567" s="69"/>
      <c r="G567" s="69"/>
      <c r="K567" s="72"/>
      <c r="M567" s="72"/>
    </row>
    <row r="568" spans="1:13" x14ac:dyDescent="0.2">
      <c r="A568" s="69"/>
      <c r="E568" s="69"/>
      <c r="F568" s="69"/>
      <c r="G568" s="69"/>
      <c r="K568" s="72"/>
      <c r="M568" s="72"/>
    </row>
    <row r="569" spans="1:13" x14ac:dyDescent="0.2">
      <c r="A569" s="69"/>
      <c r="E569" s="69"/>
      <c r="F569" s="69"/>
      <c r="G569" s="69"/>
      <c r="K569" s="72"/>
      <c r="M569" s="72"/>
    </row>
    <row r="570" spans="1:13" x14ac:dyDescent="0.2">
      <c r="A570" s="69"/>
      <c r="E570" s="69"/>
      <c r="F570" s="69"/>
      <c r="G570" s="69"/>
      <c r="K570" s="72"/>
      <c r="M570" s="72"/>
    </row>
    <row r="571" spans="1:13" x14ac:dyDescent="0.2">
      <c r="A571" s="69"/>
      <c r="E571" s="69"/>
      <c r="F571" s="69"/>
      <c r="G571" s="69"/>
      <c r="K571" s="72"/>
      <c r="M571" s="72"/>
    </row>
    <row r="572" spans="1:13" x14ac:dyDescent="0.2">
      <c r="A572" s="69"/>
      <c r="E572" s="69"/>
      <c r="F572" s="69"/>
      <c r="G572" s="69"/>
      <c r="K572" s="72"/>
      <c r="M572" s="72"/>
    </row>
    <row r="573" spans="1:13" x14ac:dyDescent="0.2">
      <c r="A573" s="69"/>
      <c r="E573" s="69"/>
      <c r="F573" s="69"/>
      <c r="G573" s="69"/>
      <c r="K573" s="72"/>
      <c r="M573" s="72"/>
    </row>
    <row r="574" spans="1:13" x14ac:dyDescent="0.2">
      <c r="A574" s="69"/>
      <c r="E574" s="69"/>
      <c r="F574" s="69"/>
      <c r="G574" s="69"/>
      <c r="K574" s="72"/>
      <c r="M574" s="72"/>
    </row>
    <row r="575" spans="1:13" x14ac:dyDescent="0.2">
      <c r="A575" s="69"/>
      <c r="E575" s="69"/>
      <c r="F575" s="69"/>
      <c r="G575" s="69"/>
      <c r="K575" s="72"/>
      <c r="M575" s="72"/>
    </row>
    <row r="576" spans="1:13" x14ac:dyDescent="0.2">
      <c r="A576" s="69"/>
      <c r="E576" s="69"/>
      <c r="F576" s="69"/>
      <c r="G576" s="69"/>
      <c r="K576" s="72"/>
      <c r="M576" s="72"/>
    </row>
    <row r="577" spans="1:13" x14ac:dyDescent="0.2">
      <c r="A577" s="69"/>
      <c r="E577" s="69"/>
      <c r="F577" s="69"/>
      <c r="G577" s="69"/>
      <c r="K577" s="72"/>
      <c r="M577" s="72"/>
    </row>
    <row r="578" spans="1:13" x14ac:dyDescent="0.2">
      <c r="A578" s="69"/>
      <c r="E578" s="69"/>
      <c r="F578" s="69"/>
      <c r="G578" s="69"/>
      <c r="K578" s="72"/>
      <c r="M578" s="72"/>
    </row>
    <row r="579" spans="1:13" x14ac:dyDescent="0.2">
      <c r="A579" s="69"/>
      <c r="E579" s="69"/>
      <c r="F579" s="69"/>
      <c r="G579" s="69"/>
      <c r="K579" s="72"/>
      <c r="M579" s="72"/>
    </row>
    <row r="580" spans="1:13" x14ac:dyDescent="0.2">
      <c r="A580" s="69"/>
      <c r="E580" s="69"/>
      <c r="F580" s="69"/>
      <c r="G580" s="69"/>
      <c r="K580" s="72"/>
      <c r="M580" s="72"/>
    </row>
    <row r="581" spans="1:13" x14ac:dyDescent="0.2">
      <c r="A581" s="69"/>
      <c r="E581" s="69"/>
      <c r="F581" s="69"/>
      <c r="G581" s="69"/>
      <c r="K581" s="72"/>
      <c r="M581" s="72"/>
    </row>
    <row r="582" spans="1:13" x14ac:dyDescent="0.2">
      <c r="A582" s="69"/>
      <c r="E582" s="69"/>
      <c r="F582" s="69"/>
      <c r="G582" s="69"/>
      <c r="K582" s="72"/>
      <c r="M582" s="72"/>
    </row>
    <row r="583" spans="1:13" x14ac:dyDescent="0.2">
      <c r="A583" s="69"/>
      <c r="E583" s="69"/>
      <c r="F583" s="69"/>
      <c r="G583" s="69"/>
      <c r="K583" s="72"/>
      <c r="M583" s="72"/>
    </row>
    <row r="584" spans="1:13" x14ac:dyDescent="0.2">
      <c r="A584" s="69"/>
      <c r="E584" s="69"/>
      <c r="F584" s="69"/>
      <c r="G584" s="69"/>
      <c r="K584" s="72"/>
      <c r="M584" s="72"/>
    </row>
    <row r="585" spans="1:13" x14ac:dyDescent="0.2">
      <c r="A585" s="69"/>
      <c r="E585" s="69"/>
      <c r="F585" s="69"/>
      <c r="G585" s="69"/>
      <c r="K585" s="72"/>
      <c r="M585" s="72"/>
    </row>
    <row r="586" spans="1:13" x14ac:dyDescent="0.2">
      <c r="A586" s="69"/>
      <c r="E586" s="69"/>
      <c r="F586" s="69"/>
      <c r="G586" s="69"/>
      <c r="K586" s="72"/>
      <c r="M586" s="72"/>
    </row>
    <row r="587" spans="1:13" x14ac:dyDescent="0.2">
      <c r="A587" s="69"/>
      <c r="E587" s="69"/>
      <c r="F587" s="69"/>
      <c r="G587" s="69"/>
      <c r="K587" s="72"/>
      <c r="M587" s="72"/>
    </row>
    <row r="588" spans="1:13" x14ac:dyDescent="0.2">
      <c r="A588" s="69"/>
      <c r="E588" s="69"/>
      <c r="F588" s="69"/>
      <c r="G588" s="69"/>
      <c r="K588" s="72"/>
      <c r="M588" s="72"/>
    </row>
    <row r="589" spans="1:13" x14ac:dyDescent="0.2">
      <c r="A589" s="69"/>
      <c r="E589" s="69"/>
      <c r="F589" s="69"/>
      <c r="G589" s="69"/>
      <c r="K589" s="72"/>
      <c r="M589" s="72"/>
    </row>
    <row r="590" spans="1:13" x14ac:dyDescent="0.2">
      <c r="A590" s="69"/>
      <c r="E590" s="69"/>
      <c r="F590" s="69"/>
      <c r="G590" s="69"/>
      <c r="K590" s="72"/>
      <c r="M590" s="72"/>
    </row>
    <row r="591" spans="1:13" x14ac:dyDescent="0.2">
      <c r="A591" s="69"/>
      <c r="E591" s="69"/>
      <c r="F591" s="69"/>
      <c r="G591" s="69"/>
      <c r="K591" s="72"/>
      <c r="M591" s="72"/>
    </row>
    <row r="592" spans="1:13" x14ac:dyDescent="0.2">
      <c r="A592" s="69"/>
      <c r="E592" s="69"/>
      <c r="F592" s="69"/>
      <c r="G592" s="69"/>
      <c r="K592" s="72"/>
      <c r="M592" s="72"/>
    </row>
    <row r="593" spans="1:13" x14ac:dyDescent="0.2">
      <c r="A593" s="69"/>
      <c r="E593" s="69"/>
      <c r="F593" s="69"/>
      <c r="G593" s="69"/>
      <c r="K593" s="72"/>
      <c r="M593" s="72"/>
    </row>
    <row r="594" spans="1:13" x14ac:dyDescent="0.2">
      <c r="A594" s="69"/>
      <c r="E594" s="69"/>
      <c r="F594" s="69"/>
      <c r="G594" s="69"/>
      <c r="K594" s="72"/>
      <c r="M594" s="72"/>
    </row>
    <row r="595" spans="1:13" x14ac:dyDescent="0.2">
      <c r="A595" s="69"/>
      <c r="E595" s="69"/>
      <c r="F595" s="69"/>
      <c r="G595" s="69"/>
      <c r="K595" s="72"/>
      <c r="M595" s="72"/>
    </row>
    <row r="596" spans="1:13" x14ac:dyDescent="0.2">
      <c r="A596" s="69"/>
      <c r="E596" s="69"/>
      <c r="F596" s="69"/>
      <c r="G596" s="69"/>
      <c r="K596" s="72"/>
      <c r="M596" s="72"/>
    </row>
    <row r="597" spans="1:13" x14ac:dyDescent="0.2">
      <c r="A597" s="69"/>
      <c r="E597" s="69"/>
      <c r="F597" s="69"/>
      <c r="G597" s="69"/>
      <c r="K597" s="72"/>
      <c r="M597" s="72"/>
    </row>
    <row r="598" spans="1:13" x14ac:dyDescent="0.2">
      <c r="A598" s="69"/>
      <c r="E598" s="69"/>
      <c r="F598" s="69"/>
      <c r="G598" s="69"/>
      <c r="K598" s="72"/>
      <c r="M598" s="72"/>
    </row>
    <row r="599" spans="1:13" x14ac:dyDescent="0.2">
      <c r="A599" s="69"/>
      <c r="E599" s="69"/>
      <c r="F599" s="69"/>
      <c r="G599" s="69"/>
      <c r="K599" s="72"/>
      <c r="M599" s="72"/>
    </row>
    <row r="600" spans="1:13" x14ac:dyDescent="0.2">
      <c r="A600" s="69"/>
      <c r="E600" s="69"/>
      <c r="F600" s="69"/>
      <c r="G600" s="69"/>
      <c r="K600" s="72"/>
      <c r="M600" s="72"/>
    </row>
    <row r="601" spans="1:13" x14ac:dyDescent="0.2">
      <c r="A601" s="69"/>
      <c r="E601" s="69"/>
      <c r="F601" s="69"/>
      <c r="G601" s="69"/>
      <c r="K601" s="72"/>
      <c r="M601" s="72"/>
    </row>
    <row r="602" spans="1:13" x14ac:dyDescent="0.2">
      <c r="A602" s="69"/>
      <c r="E602" s="69"/>
      <c r="F602" s="69"/>
      <c r="G602" s="69"/>
      <c r="K602" s="72"/>
      <c r="M602" s="72"/>
    </row>
    <row r="603" spans="1:13" x14ac:dyDescent="0.2">
      <c r="A603" s="69"/>
      <c r="E603" s="69"/>
      <c r="F603" s="69"/>
      <c r="G603" s="69"/>
      <c r="K603" s="72"/>
      <c r="M603" s="72"/>
    </row>
    <row r="604" spans="1:13" x14ac:dyDescent="0.2">
      <c r="A604" s="69"/>
      <c r="E604" s="69"/>
      <c r="F604" s="69"/>
      <c r="G604" s="69"/>
      <c r="K604" s="72"/>
      <c r="M604" s="72"/>
    </row>
    <row r="605" spans="1:13" x14ac:dyDescent="0.2">
      <c r="A605" s="69"/>
      <c r="E605" s="69"/>
      <c r="F605" s="69"/>
      <c r="G605" s="69"/>
      <c r="K605" s="72"/>
      <c r="M605" s="72"/>
    </row>
    <row r="606" spans="1:13" x14ac:dyDescent="0.2">
      <c r="A606" s="69"/>
      <c r="E606" s="69"/>
      <c r="F606" s="69"/>
      <c r="G606" s="69"/>
      <c r="K606" s="72"/>
      <c r="M606" s="72"/>
    </row>
    <row r="607" spans="1:13" x14ac:dyDescent="0.2">
      <c r="A607" s="69"/>
      <c r="E607" s="69"/>
      <c r="F607" s="69"/>
      <c r="G607" s="69"/>
      <c r="K607" s="72"/>
      <c r="M607" s="72"/>
    </row>
    <row r="608" spans="1:13" x14ac:dyDescent="0.2">
      <c r="A608" s="69"/>
      <c r="E608" s="69"/>
      <c r="F608" s="69"/>
      <c r="G608" s="69"/>
      <c r="K608" s="72"/>
      <c r="M608" s="72"/>
    </row>
    <row r="609" spans="1:13" x14ac:dyDescent="0.2">
      <c r="A609" s="69"/>
      <c r="E609" s="69"/>
      <c r="F609" s="69"/>
      <c r="G609" s="69"/>
      <c r="K609" s="72"/>
      <c r="M609" s="72"/>
    </row>
    <row r="610" spans="1:13" x14ac:dyDescent="0.2">
      <c r="A610" s="69"/>
      <c r="E610" s="69"/>
      <c r="F610" s="69"/>
      <c r="G610" s="69"/>
      <c r="K610" s="72"/>
      <c r="M610" s="72"/>
    </row>
    <row r="611" spans="1:13" x14ac:dyDescent="0.2">
      <c r="A611" s="69"/>
      <c r="E611" s="69"/>
      <c r="F611" s="69"/>
      <c r="G611" s="69"/>
      <c r="K611" s="72"/>
      <c r="M611" s="72"/>
    </row>
    <row r="612" spans="1:13" x14ac:dyDescent="0.2">
      <c r="A612" s="69"/>
      <c r="E612" s="69"/>
      <c r="F612" s="69"/>
      <c r="G612" s="69"/>
      <c r="K612" s="72"/>
      <c r="M612" s="72"/>
    </row>
    <row r="613" spans="1:13" x14ac:dyDescent="0.2">
      <c r="A613" s="69"/>
      <c r="E613" s="69"/>
      <c r="F613" s="69"/>
      <c r="G613" s="69"/>
      <c r="K613" s="72"/>
      <c r="M613" s="72"/>
    </row>
    <row r="614" spans="1:13" x14ac:dyDescent="0.2">
      <c r="A614" s="69"/>
      <c r="E614" s="69"/>
      <c r="F614" s="69"/>
      <c r="G614" s="69"/>
      <c r="K614" s="72"/>
      <c r="M614" s="72"/>
    </row>
    <row r="615" spans="1:13" x14ac:dyDescent="0.2">
      <c r="A615" s="69"/>
      <c r="E615" s="69"/>
      <c r="F615" s="69"/>
      <c r="G615" s="69"/>
      <c r="K615" s="72"/>
      <c r="M615" s="72"/>
    </row>
    <row r="616" spans="1:13" x14ac:dyDescent="0.2">
      <c r="A616" s="69"/>
      <c r="E616" s="69"/>
      <c r="F616" s="69"/>
      <c r="G616" s="69"/>
      <c r="K616" s="72"/>
      <c r="M616" s="72"/>
    </row>
    <row r="617" spans="1:13" x14ac:dyDescent="0.2">
      <c r="A617" s="69"/>
      <c r="E617" s="69"/>
      <c r="F617" s="69"/>
      <c r="G617" s="69"/>
      <c r="K617" s="72"/>
      <c r="M617" s="72"/>
    </row>
    <row r="618" spans="1:13" x14ac:dyDescent="0.2">
      <c r="A618" s="69"/>
      <c r="E618" s="69"/>
      <c r="F618" s="69"/>
      <c r="G618" s="69"/>
      <c r="K618" s="72"/>
      <c r="M618" s="72"/>
    </row>
    <row r="619" spans="1:13" x14ac:dyDescent="0.2">
      <c r="A619" s="69"/>
      <c r="E619" s="69"/>
      <c r="F619" s="69"/>
      <c r="G619" s="69"/>
      <c r="K619" s="72"/>
      <c r="M619" s="72"/>
    </row>
    <row r="620" spans="1:13" x14ac:dyDescent="0.2">
      <c r="A620" s="69"/>
      <c r="E620" s="69"/>
      <c r="F620" s="69"/>
      <c r="G620" s="69"/>
      <c r="K620" s="72"/>
      <c r="M620" s="72"/>
    </row>
    <row r="621" spans="1:13" x14ac:dyDescent="0.2">
      <c r="A621" s="69"/>
      <c r="E621" s="69"/>
      <c r="F621" s="69"/>
      <c r="G621" s="69"/>
      <c r="K621" s="72"/>
      <c r="M621" s="72"/>
    </row>
    <row r="622" spans="1:13" x14ac:dyDescent="0.2">
      <c r="A622" s="69"/>
      <c r="E622" s="69"/>
      <c r="F622" s="69"/>
      <c r="G622" s="69"/>
      <c r="K622" s="72"/>
      <c r="M622" s="72"/>
    </row>
    <row r="623" spans="1:13" x14ac:dyDescent="0.2">
      <c r="A623" s="69"/>
      <c r="E623" s="69"/>
      <c r="F623" s="69"/>
      <c r="G623" s="69"/>
      <c r="K623" s="72"/>
      <c r="M623" s="72"/>
    </row>
    <row r="624" spans="1:13" x14ac:dyDescent="0.2">
      <c r="A624" s="69"/>
      <c r="E624" s="69"/>
      <c r="F624" s="69"/>
      <c r="G624" s="69"/>
      <c r="K624" s="72"/>
      <c r="M624" s="72"/>
    </row>
    <row r="625" spans="1:13" x14ac:dyDescent="0.2">
      <c r="A625" s="69"/>
      <c r="E625" s="69"/>
      <c r="F625" s="69"/>
      <c r="G625" s="69"/>
      <c r="K625" s="72"/>
      <c r="M625" s="72"/>
    </row>
    <row r="626" spans="1:13" x14ac:dyDescent="0.2">
      <c r="A626" s="69"/>
      <c r="E626" s="69"/>
      <c r="F626" s="69"/>
      <c r="G626" s="69"/>
      <c r="K626" s="72"/>
      <c r="M626" s="72"/>
    </row>
    <row r="627" spans="1:13" x14ac:dyDescent="0.2">
      <c r="A627" s="69"/>
      <c r="E627" s="69"/>
      <c r="F627" s="69"/>
      <c r="G627" s="69"/>
      <c r="K627" s="72"/>
      <c r="M627" s="72"/>
    </row>
    <row r="628" spans="1:13" x14ac:dyDescent="0.2">
      <c r="A628" s="69"/>
      <c r="E628" s="69"/>
      <c r="F628" s="69"/>
      <c r="G628" s="69"/>
      <c r="K628" s="72"/>
      <c r="M628" s="72"/>
    </row>
    <row r="629" spans="1:13" x14ac:dyDescent="0.2">
      <c r="A629" s="69"/>
      <c r="E629" s="69"/>
      <c r="F629" s="69"/>
      <c r="G629" s="69"/>
      <c r="K629" s="72"/>
      <c r="M629" s="72"/>
    </row>
    <row r="630" spans="1:13" x14ac:dyDescent="0.2">
      <c r="A630" s="69"/>
      <c r="E630" s="69"/>
      <c r="F630" s="69"/>
      <c r="G630" s="69"/>
      <c r="K630" s="72"/>
      <c r="M630" s="72"/>
    </row>
    <row r="631" spans="1:13" x14ac:dyDescent="0.2">
      <c r="A631" s="69"/>
      <c r="E631" s="69"/>
      <c r="F631" s="69"/>
      <c r="G631" s="69"/>
      <c r="K631" s="72"/>
      <c r="M631" s="72"/>
    </row>
    <row r="632" spans="1:13" x14ac:dyDescent="0.2">
      <c r="A632" s="69"/>
      <c r="E632" s="69"/>
      <c r="F632" s="69"/>
      <c r="G632" s="69"/>
      <c r="K632" s="72"/>
      <c r="M632" s="72"/>
    </row>
    <row r="633" spans="1:13" x14ac:dyDescent="0.2">
      <c r="A633" s="69"/>
      <c r="E633" s="69"/>
      <c r="F633" s="69"/>
      <c r="G633" s="69"/>
      <c r="K633" s="72"/>
      <c r="M633" s="72"/>
    </row>
    <row r="634" spans="1:13" x14ac:dyDescent="0.2">
      <c r="A634" s="69"/>
      <c r="E634" s="69"/>
      <c r="F634" s="69"/>
      <c r="G634" s="69"/>
      <c r="K634" s="72"/>
      <c r="M634" s="72"/>
    </row>
    <row r="635" spans="1:13" x14ac:dyDescent="0.2">
      <c r="A635" s="69"/>
      <c r="E635" s="69"/>
      <c r="F635" s="69"/>
      <c r="G635" s="69"/>
      <c r="K635" s="72"/>
      <c r="M635" s="72"/>
    </row>
    <row r="636" spans="1:13" x14ac:dyDescent="0.2">
      <c r="A636" s="69"/>
      <c r="E636" s="69"/>
      <c r="F636" s="69"/>
      <c r="G636" s="69"/>
      <c r="K636" s="72"/>
      <c r="M636" s="72"/>
    </row>
    <row r="637" spans="1:13" x14ac:dyDescent="0.2">
      <c r="A637" s="69"/>
      <c r="E637" s="69"/>
      <c r="F637" s="69"/>
      <c r="G637" s="69"/>
      <c r="K637" s="72"/>
      <c r="M637" s="72"/>
    </row>
    <row r="638" spans="1:13" x14ac:dyDescent="0.2">
      <c r="A638" s="69"/>
      <c r="E638" s="69"/>
      <c r="F638" s="69"/>
      <c r="G638" s="69"/>
      <c r="K638" s="72"/>
      <c r="M638" s="72"/>
    </row>
    <row r="639" spans="1:13" x14ac:dyDescent="0.2">
      <c r="A639" s="69"/>
      <c r="E639" s="69"/>
      <c r="F639" s="69"/>
      <c r="G639" s="69"/>
      <c r="K639" s="72"/>
      <c r="M639" s="72"/>
    </row>
    <row r="640" spans="1:13" x14ac:dyDescent="0.2">
      <c r="A640" s="69"/>
      <c r="E640" s="69"/>
      <c r="F640" s="69"/>
      <c r="G640" s="69"/>
      <c r="K640" s="72"/>
      <c r="M640" s="72"/>
    </row>
    <row r="641" spans="1:13" x14ac:dyDescent="0.2">
      <c r="A641" s="69"/>
      <c r="E641" s="69"/>
      <c r="F641" s="69"/>
      <c r="G641" s="69"/>
      <c r="K641" s="72"/>
      <c r="M641" s="72"/>
    </row>
    <row r="642" spans="1:13" x14ac:dyDescent="0.2">
      <c r="A642" s="69"/>
      <c r="E642" s="69"/>
      <c r="F642" s="69"/>
      <c r="G642" s="69"/>
      <c r="K642" s="72"/>
      <c r="M642" s="72"/>
    </row>
    <row r="643" spans="1:13" x14ac:dyDescent="0.2">
      <c r="A643" s="69"/>
      <c r="E643" s="69"/>
      <c r="F643" s="69"/>
      <c r="G643" s="69"/>
      <c r="K643" s="72"/>
      <c r="M643" s="72"/>
    </row>
    <row r="644" spans="1:13" x14ac:dyDescent="0.2">
      <c r="A644" s="69"/>
      <c r="E644" s="69"/>
      <c r="F644" s="69"/>
      <c r="G644" s="69"/>
      <c r="K644" s="72"/>
      <c r="M644" s="72"/>
    </row>
    <row r="645" spans="1:13" x14ac:dyDescent="0.2">
      <c r="A645" s="69"/>
      <c r="E645" s="69"/>
      <c r="F645" s="69"/>
      <c r="G645" s="69"/>
      <c r="K645" s="72"/>
      <c r="M645" s="72"/>
    </row>
    <row r="646" spans="1:13" x14ac:dyDescent="0.2">
      <c r="A646" s="69"/>
      <c r="E646" s="69"/>
      <c r="F646" s="69"/>
      <c r="G646" s="69"/>
      <c r="K646" s="72"/>
      <c r="M646" s="72"/>
    </row>
    <row r="647" spans="1:13" x14ac:dyDescent="0.2">
      <c r="A647" s="69"/>
      <c r="E647" s="69"/>
      <c r="F647" s="69"/>
      <c r="G647" s="69"/>
      <c r="K647" s="72"/>
      <c r="M647" s="72"/>
    </row>
    <row r="648" spans="1:13" x14ac:dyDescent="0.2">
      <c r="A648" s="69"/>
      <c r="E648" s="69"/>
      <c r="F648" s="69"/>
      <c r="G648" s="69"/>
      <c r="K648" s="72"/>
      <c r="M648" s="72"/>
    </row>
    <row r="649" spans="1:13" x14ac:dyDescent="0.2">
      <c r="A649" s="69"/>
      <c r="E649" s="69"/>
      <c r="F649" s="69"/>
      <c r="G649" s="69"/>
      <c r="K649" s="72"/>
      <c r="M649" s="72"/>
    </row>
    <row r="650" spans="1:13" x14ac:dyDescent="0.2">
      <c r="A650" s="69"/>
      <c r="E650" s="69"/>
      <c r="F650" s="69"/>
      <c r="G650" s="69"/>
      <c r="K650" s="72"/>
      <c r="M650" s="72"/>
    </row>
    <row r="651" spans="1:13" x14ac:dyDescent="0.2">
      <c r="A651" s="69"/>
      <c r="E651" s="69"/>
      <c r="F651" s="69"/>
      <c r="G651" s="69"/>
      <c r="K651" s="72"/>
      <c r="M651" s="72"/>
    </row>
    <row r="652" spans="1:13" x14ac:dyDescent="0.2">
      <c r="A652" s="69"/>
      <c r="E652" s="69"/>
      <c r="F652" s="69"/>
      <c r="G652" s="69"/>
      <c r="K652" s="72"/>
      <c r="M652" s="72"/>
    </row>
    <row r="653" spans="1:13" x14ac:dyDescent="0.2">
      <c r="A653" s="69"/>
      <c r="E653" s="69"/>
      <c r="F653" s="69"/>
      <c r="G653" s="69"/>
      <c r="K653" s="72"/>
      <c r="M653" s="72"/>
    </row>
    <row r="654" spans="1:13" x14ac:dyDescent="0.2">
      <c r="A654" s="69"/>
      <c r="E654" s="69"/>
      <c r="F654" s="69"/>
      <c r="G654" s="69"/>
      <c r="K654" s="72"/>
      <c r="M654" s="72"/>
    </row>
    <row r="655" spans="1:13" x14ac:dyDescent="0.2">
      <c r="A655" s="69"/>
      <c r="E655" s="69"/>
      <c r="F655" s="69"/>
      <c r="G655" s="69"/>
      <c r="K655" s="72"/>
      <c r="M655" s="72"/>
    </row>
    <row r="656" spans="1:13" x14ac:dyDescent="0.2">
      <c r="A656" s="69"/>
      <c r="E656" s="69"/>
      <c r="F656" s="69"/>
      <c r="G656" s="69"/>
      <c r="K656" s="72"/>
      <c r="M656" s="72"/>
    </row>
    <row r="657" spans="1:13" x14ac:dyDescent="0.2">
      <c r="A657" s="69"/>
      <c r="E657" s="69"/>
      <c r="F657" s="69"/>
      <c r="G657" s="69"/>
      <c r="K657" s="72"/>
      <c r="M657" s="72"/>
    </row>
    <row r="658" spans="1:13" x14ac:dyDescent="0.2">
      <c r="A658" s="69"/>
      <c r="E658" s="69"/>
      <c r="F658" s="69"/>
      <c r="G658" s="69"/>
      <c r="K658" s="72"/>
      <c r="M658" s="72"/>
    </row>
    <row r="659" spans="1:13" x14ac:dyDescent="0.2">
      <c r="A659" s="69"/>
      <c r="E659" s="69"/>
      <c r="F659" s="69"/>
      <c r="G659" s="69"/>
      <c r="K659" s="72"/>
      <c r="M659" s="72"/>
    </row>
    <row r="660" spans="1:13" x14ac:dyDescent="0.2">
      <c r="A660" s="69"/>
      <c r="E660" s="69"/>
      <c r="F660" s="69"/>
      <c r="G660" s="69"/>
      <c r="K660" s="72"/>
      <c r="M660" s="72"/>
    </row>
    <row r="661" spans="1:13" x14ac:dyDescent="0.2">
      <c r="A661" s="69"/>
      <c r="E661" s="69"/>
      <c r="F661" s="69"/>
      <c r="G661" s="69"/>
      <c r="K661" s="72"/>
      <c r="M661" s="72"/>
    </row>
    <row r="662" spans="1:13" x14ac:dyDescent="0.2">
      <c r="A662" s="69"/>
      <c r="E662" s="69"/>
      <c r="F662" s="69"/>
      <c r="G662" s="69"/>
      <c r="K662" s="72"/>
      <c r="M662" s="72"/>
    </row>
    <row r="663" spans="1:13" x14ac:dyDescent="0.2">
      <c r="A663" s="69"/>
      <c r="E663" s="69"/>
      <c r="F663" s="69"/>
      <c r="G663" s="69"/>
      <c r="K663" s="72"/>
      <c r="M663" s="72"/>
    </row>
    <row r="664" spans="1:13" x14ac:dyDescent="0.2">
      <c r="A664" s="69"/>
      <c r="E664" s="69"/>
      <c r="F664" s="69"/>
      <c r="G664" s="69"/>
      <c r="K664" s="72"/>
      <c r="M664" s="72"/>
    </row>
    <row r="665" spans="1:13" x14ac:dyDescent="0.2">
      <c r="A665" s="69"/>
      <c r="E665" s="69"/>
      <c r="F665" s="69"/>
      <c r="G665" s="69"/>
      <c r="K665" s="72"/>
      <c r="M665" s="72"/>
    </row>
    <row r="666" spans="1:13" x14ac:dyDescent="0.2">
      <c r="A666" s="69"/>
      <c r="E666" s="69"/>
      <c r="F666" s="69"/>
      <c r="G666" s="69"/>
      <c r="K666" s="72"/>
      <c r="M666" s="72"/>
    </row>
    <row r="667" spans="1:13" x14ac:dyDescent="0.2">
      <c r="A667" s="69"/>
      <c r="E667" s="69"/>
      <c r="F667" s="69"/>
      <c r="G667" s="69"/>
      <c r="K667" s="72"/>
      <c r="M667" s="72"/>
    </row>
    <row r="668" spans="1:13" x14ac:dyDescent="0.2">
      <c r="A668" s="69"/>
      <c r="E668" s="69"/>
      <c r="F668" s="69"/>
      <c r="G668" s="69"/>
      <c r="K668" s="72"/>
      <c r="M668" s="72"/>
    </row>
    <row r="669" spans="1:13" x14ac:dyDescent="0.2">
      <c r="A669" s="69"/>
      <c r="E669" s="69"/>
      <c r="F669" s="69"/>
      <c r="G669" s="69"/>
      <c r="K669" s="72"/>
      <c r="M669" s="72"/>
    </row>
    <row r="670" spans="1:13" x14ac:dyDescent="0.2">
      <c r="A670" s="69"/>
      <c r="E670" s="69"/>
      <c r="F670" s="69"/>
      <c r="G670" s="69"/>
      <c r="K670" s="72"/>
      <c r="M670" s="72"/>
    </row>
    <row r="671" spans="1:13" x14ac:dyDescent="0.2">
      <c r="A671" s="69"/>
      <c r="E671" s="69"/>
      <c r="F671" s="69"/>
      <c r="G671" s="69"/>
      <c r="K671" s="72"/>
      <c r="M671" s="72"/>
    </row>
    <row r="672" spans="1:13" x14ac:dyDescent="0.2">
      <c r="A672" s="69"/>
      <c r="E672" s="69"/>
      <c r="F672" s="69"/>
      <c r="G672" s="69"/>
      <c r="K672" s="72"/>
      <c r="M672" s="72"/>
    </row>
    <row r="673" spans="1:13" x14ac:dyDescent="0.2">
      <c r="A673" s="69"/>
      <c r="E673" s="69"/>
      <c r="F673" s="69"/>
      <c r="G673" s="69"/>
      <c r="K673" s="72"/>
      <c r="M673" s="72"/>
    </row>
    <row r="674" spans="1:13" x14ac:dyDescent="0.2">
      <c r="A674" s="69"/>
      <c r="E674" s="69"/>
      <c r="F674" s="69"/>
      <c r="G674" s="69"/>
      <c r="K674" s="72"/>
      <c r="M674" s="72"/>
    </row>
    <row r="675" spans="1:13" x14ac:dyDescent="0.2">
      <c r="A675" s="69"/>
      <c r="E675" s="69"/>
      <c r="F675" s="69"/>
      <c r="G675" s="69"/>
      <c r="K675" s="72"/>
      <c r="M675" s="72"/>
    </row>
    <row r="676" spans="1:13" x14ac:dyDescent="0.2">
      <c r="A676" s="69"/>
      <c r="E676" s="69"/>
      <c r="F676" s="69"/>
      <c r="G676" s="69"/>
      <c r="K676" s="72"/>
      <c r="M676" s="72"/>
    </row>
    <row r="677" spans="1:13" x14ac:dyDescent="0.2">
      <c r="A677" s="69"/>
      <c r="E677" s="69"/>
      <c r="F677" s="69"/>
      <c r="G677" s="69"/>
      <c r="K677" s="72"/>
      <c r="M677" s="72"/>
    </row>
    <row r="678" spans="1:13" x14ac:dyDescent="0.2">
      <c r="A678" s="69"/>
      <c r="E678" s="69"/>
      <c r="F678" s="69"/>
      <c r="G678" s="69"/>
      <c r="K678" s="72"/>
      <c r="M678" s="72"/>
    </row>
    <row r="679" spans="1:13" x14ac:dyDescent="0.2">
      <c r="A679" s="69"/>
      <c r="E679" s="69"/>
      <c r="F679" s="69"/>
      <c r="G679" s="69"/>
      <c r="K679" s="72"/>
      <c r="M679" s="72"/>
    </row>
    <row r="680" spans="1:13" x14ac:dyDescent="0.2">
      <c r="A680" s="69"/>
      <c r="E680" s="69"/>
      <c r="F680" s="69"/>
      <c r="G680" s="69"/>
      <c r="K680" s="72"/>
      <c r="M680" s="72"/>
    </row>
    <row r="681" spans="1:13" x14ac:dyDescent="0.2">
      <c r="A681" s="69"/>
      <c r="E681" s="69"/>
      <c r="F681" s="69"/>
      <c r="G681" s="69"/>
      <c r="K681" s="72"/>
      <c r="M681" s="72"/>
    </row>
    <row r="682" spans="1:13" x14ac:dyDescent="0.2">
      <c r="A682" s="69"/>
      <c r="E682" s="69"/>
      <c r="F682" s="69"/>
      <c r="G682" s="69"/>
      <c r="K682" s="72"/>
      <c r="M682" s="72"/>
    </row>
    <row r="683" spans="1:13" x14ac:dyDescent="0.2">
      <c r="A683" s="69"/>
      <c r="E683" s="69"/>
      <c r="F683" s="69"/>
      <c r="G683" s="69"/>
      <c r="K683" s="72"/>
      <c r="M683" s="72"/>
    </row>
    <row r="684" spans="1:13" x14ac:dyDescent="0.2">
      <c r="A684" s="69"/>
      <c r="E684" s="69"/>
      <c r="F684" s="69"/>
      <c r="G684" s="69"/>
      <c r="K684" s="72"/>
      <c r="M684" s="72"/>
    </row>
    <row r="685" spans="1:13" x14ac:dyDescent="0.2">
      <c r="A685" s="69"/>
      <c r="E685" s="69"/>
      <c r="F685" s="69"/>
      <c r="G685" s="69"/>
      <c r="K685" s="72"/>
      <c r="M685" s="72"/>
    </row>
    <row r="686" spans="1:13" x14ac:dyDescent="0.2">
      <c r="A686" s="69"/>
      <c r="E686" s="69"/>
      <c r="F686" s="69"/>
      <c r="G686" s="69"/>
      <c r="K686" s="72"/>
      <c r="M686" s="72"/>
    </row>
    <row r="687" spans="1:13" x14ac:dyDescent="0.2">
      <c r="A687" s="69"/>
      <c r="E687" s="69"/>
      <c r="F687" s="69"/>
      <c r="G687" s="69"/>
      <c r="K687" s="72"/>
      <c r="M687" s="72"/>
    </row>
    <row r="688" spans="1:13" x14ac:dyDescent="0.2">
      <c r="A688" s="69"/>
      <c r="E688" s="69"/>
      <c r="F688" s="69"/>
      <c r="G688" s="69"/>
      <c r="K688" s="72"/>
      <c r="M688" s="72"/>
    </row>
    <row r="689" spans="1:13" x14ac:dyDescent="0.2">
      <c r="A689" s="69"/>
      <c r="E689" s="69"/>
      <c r="F689" s="69"/>
      <c r="G689" s="69"/>
      <c r="K689" s="72"/>
      <c r="M689" s="72"/>
    </row>
    <row r="690" spans="1:13" x14ac:dyDescent="0.2">
      <c r="A690" s="69"/>
      <c r="E690" s="69"/>
      <c r="F690" s="69"/>
      <c r="G690" s="69"/>
      <c r="K690" s="72"/>
      <c r="M690" s="72"/>
    </row>
    <row r="691" spans="1:13" x14ac:dyDescent="0.2">
      <c r="A691" s="69"/>
      <c r="E691" s="69"/>
      <c r="F691" s="69"/>
      <c r="G691" s="69"/>
      <c r="K691" s="72"/>
      <c r="M691" s="72"/>
    </row>
    <row r="692" spans="1:13" x14ac:dyDescent="0.2">
      <c r="A692" s="69"/>
      <c r="E692" s="69"/>
      <c r="F692" s="69"/>
      <c r="G692" s="69"/>
      <c r="K692" s="72"/>
      <c r="M692" s="72"/>
    </row>
    <row r="693" spans="1:13" x14ac:dyDescent="0.2">
      <c r="A693" s="69"/>
      <c r="E693" s="69"/>
      <c r="F693" s="69"/>
      <c r="G693" s="69"/>
      <c r="K693" s="72"/>
      <c r="M693" s="72"/>
    </row>
    <row r="694" spans="1:13" x14ac:dyDescent="0.2">
      <c r="A694" s="69"/>
      <c r="E694" s="69"/>
      <c r="F694" s="69"/>
      <c r="G694" s="69"/>
      <c r="K694" s="72"/>
      <c r="M694" s="72"/>
    </row>
    <row r="695" spans="1:13" x14ac:dyDescent="0.2">
      <c r="A695" s="69"/>
      <c r="E695" s="69"/>
      <c r="F695" s="69"/>
      <c r="G695" s="69"/>
      <c r="K695" s="72"/>
      <c r="M695" s="72"/>
    </row>
    <row r="696" spans="1:13" x14ac:dyDescent="0.2">
      <c r="A696" s="69"/>
      <c r="E696" s="69"/>
      <c r="F696" s="69"/>
      <c r="G696" s="69"/>
      <c r="K696" s="72"/>
      <c r="M696" s="72"/>
    </row>
    <row r="697" spans="1:13" x14ac:dyDescent="0.2">
      <c r="A697" s="69"/>
      <c r="E697" s="69"/>
      <c r="F697" s="69"/>
      <c r="G697" s="69"/>
      <c r="K697" s="72"/>
      <c r="M697" s="72"/>
    </row>
    <row r="698" spans="1:13" x14ac:dyDescent="0.2">
      <c r="A698" s="69"/>
      <c r="E698" s="69"/>
      <c r="F698" s="69"/>
      <c r="G698" s="69"/>
      <c r="K698" s="72"/>
      <c r="M698" s="72"/>
    </row>
    <row r="699" spans="1:13" x14ac:dyDescent="0.2">
      <c r="A699" s="69"/>
      <c r="E699" s="69"/>
      <c r="F699" s="69"/>
      <c r="G699" s="69"/>
      <c r="K699" s="72"/>
      <c r="M699" s="72"/>
    </row>
    <row r="700" spans="1:13" x14ac:dyDescent="0.2">
      <c r="A700" s="69"/>
      <c r="E700" s="69"/>
      <c r="F700" s="69"/>
      <c r="G700" s="69"/>
      <c r="K700" s="72"/>
      <c r="M700" s="72"/>
    </row>
    <row r="701" spans="1:13" x14ac:dyDescent="0.2">
      <c r="A701" s="69"/>
      <c r="E701" s="69"/>
      <c r="F701" s="69"/>
      <c r="G701" s="69"/>
      <c r="K701" s="72"/>
      <c r="M701" s="72"/>
    </row>
    <row r="702" spans="1:13" x14ac:dyDescent="0.2">
      <c r="A702" s="69"/>
      <c r="E702" s="69"/>
      <c r="F702" s="69"/>
      <c r="G702" s="69"/>
      <c r="K702" s="72"/>
      <c r="M702" s="72"/>
    </row>
    <row r="703" spans="1:13" x14ac:dyDescent="0.2">
      <c r="A703" s="69"/>
      <c r="E703" s="69"/>
      <c r="F703" s="69"/>
      <c r="G703" s="69"/>
      <c r="K703" s="72"/>
      <c r="M703" s="72"/>
    </row>
    <row r="704" spans="1:13" x14ac:dyDescent="0.2">
      <c r="A704" s="69"/>
      <c r="E704" s="69"/>
      <c r="F704" s="69"/>
      <c r="G704" s="69"/>
      <c r="K704" s="72"/>
      <c r="M704" s="72"/>
    </row>
    <row r="705" spans="1:13" x14ac:dyDescent="0.2">
      <c r="A705" s="69"/>
      <c r="E705" s="69"/>
      <c r="F705" s="69"/>
      <c r="G705" s="69"/>
      <c r="K705" s="72"/>
      <c r="M705" s="72"/>
    </row>
    <row r="706" spans="1:13" x14ac:dyDescent="0.2">
      <c r="A706" s="69"/>
      <c r="E706" s="69"/>
      <c r="F706" s="69"/>
      <c r="G706" s="69"/>
      <c r="K706" s="72"/>
      <c r="M706" s="72"/>
    </row>
    <row r="707" spans="1:13" x14ac:dyDescent="0.2">
      <c r="A707" s="69"/>
      <c r="E707" s="69"/>
      <c r="F707" s="69"/>
      <c r="G707" s="69"/>
      <c r="K707" s="72"/>
      <c r="M707" s="72"/>
    </row>
    <row r="708" spans="1:13" x14ac:dyDescent="0.2">
      <c r="A708" s="69"/>
      <c r="E708" s="69"/>
      <c r="F708" s="69"/>
      <c r="G708" s="69"/>
      <c r="K708" s="72"/>
      <c r="M708" s="72"/>
    </row>
    <row r="709" spans="1:13" x14ac:dyDescent="0.2">
      <c r="A709" s="69"/>
      <c r="E709" s="69"/>
      <c r="F709" s="69"/>
      <c r="G709" s="69"/>
      <c r="K709" s="72"/>
      <c r="M709" s="72"/>
    </row>
    <row r="710" spans="1:13" x14ac:dyDescent="0.2">
      <c r="A710" s="69"/>
      <c r="E710" s="69"/>
      <c r="F710" s="69"/>
      <c r="G710" s="69"/>
      <c r="K710" s="72"/>
      <c r="M710" s="72"/>
    </row>
    <row r="711" spans="1:13" x14ac:dyDescent="0.2">
      <c r="A711" s="69"/>
      <c r="E711" s="69"/>
      <c r="F711" s="69"/>
      <c r="G711" s="69"/>
      <c r="K711" s="72"/>
      <c r="M711" s="72"/>
    </row>
    <row r="712" spans="1:13" x14ac:dyDescent="0.2">
      <c r="A712" s="69"/>
      <c r="E712" s="69"/>
      <c r="F712" s="69"/>
      <c r="G712" s="69"/>
      <c r="K712" s="72"/>
      <c r="M712" s="72"/>
    </row>
    <row r="713" spans="1:13" x14ac:dyDescent="0.2">
      <c r="A713" s="69"/>
      <c r="E713" s="69"/>
      <c r="F713" s="69"/>
      <c r="G713" s="69"/>
      <c r="K713" s="72"/>
      <c r="M713" s="72"/>
    </row>
    <row r="714" spans="1:13" x14ac:dyDescent="0.2">
      <c r="A714" s="69"/>
      <c r="E714" s="69"/>
      <c r="F714" s="69"/>
      <c r="G714" s="69"/>
      <c r="K714" s="72"/>
      <c r="M714" s="72"/>
    </row>
    <row r="715" spans="1:13" x14ac:dyDescent="0.2">
      <c r="A715" s="69"/>
      <c r="E715" s="69"/>
      <c r="F715" s="69"/>
      <c r="G715" s="69"/>
      <c r="K715" s="72"/>
      <c r="M715" s="72"/>
    </row>
    <row r="716" spans="1:13" x14ac:dyDescent="0.2">
      <c r="A716" s="69"/>
      <c r="E716" s="69"/>
      <c r="F716" s="69"/>
      <c r="G716" s="69"/>
      <c r="K716" s="72"/>
      <c r="M716" s="72"/>
    </row>
    <row r="717" spans="1:13" x14ac:dyDescent="0.2">
      <c r="A717" s="69"/>
      <c r="E717" s="69"/>
      <c r="F717" s="69"/>
      <c r="G717" s="69"/>
      <c r="K717" s="72"/>
      <c r="M717" s="72"/>
    </row>
    <row r="718" spans="1:13" x14ac:dyDescent="0.2">
      <c r="A718" s="69"/>
      <c r="E718" s="69"/>
      <c r="F718" s="69"/>
      <c r="G718" s="69"/>
      <c r="K718" s="72"/>
      <c r="M718" s="72"/>
    </row>
    <row r="719" spans="1:13" x14ac:dyDescent="0.2">
      <c r="A719" s="69"/>
      <c r="E719" s="69"/>
      <c r="F719" s="69"/>
      <c r="G719" s="69"/>
      <c r="K719" s="72"/>
      <c r="M719" s="72"/>
    </row>
    <row r="720" spans="1:13" x14ac:dyDescent="0.2">
      <c r="A720" s="69"/>
      <c r="E720" s="69"/>
      <c r="F720" s="69"/>
      <c r="G720" s="69"/>
      <c r="K720" s="72"/>
      <c r="M720" s="72"/>
    </row>
    <row r="721" spans="1:13" x14ac:dyDescent="0.2">
      <c r="A721" s="69"/>
      <c r="E721" s="69"/>
      <c r="F721" s="69"/>
      <c r="G721" s="69"/>
      <c r="K721" s="72"/>
      <c r="M721" s="72"/>
    </row>
    <row r="722" spans="1:13" x14ac:dyDescent="0.2">
      <c r="A722" s="69"/>
      <c r="E722" s="69"/>
      <c r="F722" s="69"/>
      <c r="G722" s="69"/>
      <c r="K722" s="72"/>
      <c r="M722" s="72"/>
    </row>
    <row r="723" spans="1:13" x14ac:dyDescent="0.2">
      <c r="A723" s="69"/>
      <c r="E723" s="69"/>
      <c r="F723" s="69"/>
      <c r="G723" s="69"/>
      <c r="K723" s="72"/>
      <c r="M723" s="72"/>
    </row>
    <row r="724" spans="1:13" x14ac:dyDescent="0.2">
      <c r="A724" s="69"/>
      <c r="E724" s="69"/>
      <c r="F724" s="69"/>
      <c r="G724" s="69"/>
      <c r="K724" s="72"/>
      <c r="M724" s="72"/>
    </row>
    <row r="725" spans="1:13" x14ac:dyDescent="0.2">
      <c r="A725" s="69"/>
      <c r="E725" s="69"/>
      <c r="F725" s="69"/>
      <c r="G725" s="69"/>
      <c r="K725" s="72"/>
      <c r="M725" s="72"/>
    </row>
    <row r="726" spans="1:13" x14ac:dyDescent="0.2">
      <c r="A726" s="69"/>
      <c r="E726" s="69"/>
      <c r="F726" s="69"/>
      <c r="G726" s="69"/>
      <c r="K726" s="72"/>
      <c r="M726" s="72"/>
    </row>
    <row r="727" spans="1:13" x14ac:dyDescent="0.2">
      <c r="A727" s="69"/>
      <c r="E727" s="69"/>
      <c r="F727" s="69"/>
      <c r="G727" s="69"/>
      <c r="K727" s="72"/>
      <c r="M727" s="72"/>
    </row>
    <row r="728" spans="1:13" x14ac:dyDescent="0.2">
      <c r="A728" s="69"/>
      <c r="E728" s="69"/>
      <c r="F728" s="69"/>
      <c r="G728" s="69"/>
      <c r="K728" s="72"/>
      <c r="M728" s="72"/>
    </row>
    <row r="729" spans="1:13" x14ac:dyDescent="0.2">
      <c r="A729" s="69"/>
      <c r="E729" s="69"/>
      <c r="F729" s="69"/>
      <c r="G729" s="69"/>
      <c r="K729" s="72"/>
      <c r="M729" s="72"/>
    </row>
    <row r="730" spans="1:13" x14ac:dyDescent="0.2">
      <c r="A730" s="69"/>
      <c r="E730" s="69"/>
      <c r="F730" s="69"/>
      <c r="G730" s="69"/>
      <c r="K730" s="72"/>
      <c r="M730" s="72"/>
    </row>
    <row r="731" spans="1:13" x14ac:dyDescent="0.2">
      <c r="A731" s="69"/>
      <c r="E731" s="69"/>
      <c r="F731" s="69"/>
      <c r="G731" s="69"/>
      <c r="K731" s="72"/>
      <c r="M731" s="72"/>
    </row>
    <row r="732" spans="1:13" x14ac:dyDescent="0.2">
      <c r="A732" s="69"/>
      <c r="E732" s="69"/>
      <c r="F732" s="69"/>
      <c r="G732" s="69"/>
      <c r="K732" s="72"/>
      <c r="M732" s="72"/>
    </row>
    <row r="733" spans="1:13" x14ac:dyDescent="0.2">
      <c r="A733" s="69"/>
      <c r="E733" s="69"/>
      <c r="F733" s="69"/>
      <c r="G733" s="69"/>
      <c r="K733" s="72"/>
      <c r="M733" s="72"/>
    </row>
    <row r="734" spans="1:13" x14ac:dyDescent="0.2">
      <c r="A734" s="69"/>
      <c r="E734" s="69"/>
      <c r="F734" s="69"/>
      <c r="G734" s="69"/>
      <c r="K734" s="72"/>
      <c r="M734" s="72"/>
    </row>
    <row r="735" spans="1:13" x14ac:dyDescent="0.2">
      <c r="A735" s="69"/>
      <c r="E735" s="69"/>
      <c r="F735" s="69"/>
      <c r="G735" s="69"/>
      <c r="K735" s="72"/>
      <c r="M735" s="72"/>
    </row>
    <row r="736" spans="1:13" x14ac:dyDescent="0.2">
      <c r="A736" s="69"/>
      <c r="E736" s="69"/>
      <c r="F736" s="69"/>
      <c r="G736" s="69"/>
      <c r="K736" s="72"/>
      <c r="M736" s="72"/>
    </row>
    <row r="737" spans="1:13" x14ac:dyDescent="0.2">
      <c r="A737" s="69"/>
      <c r="E737" s="69"/>
      <c r="F737" s="69"/>
      <c r="G737" s="69"/>
      <c r="K737" s="72"/>
      <c r="M737" s="72"/>
    </row>
    <row r="738" spans="1:13" x14ac:dyDescent="0.2">
      <c r="A738" s="69"/>
      <c r="E738" s="69"/>
      <c r="F738" s="69"/>
      <c r="G738" s="69"/>
      <c r="K738" s="72"/>
      <c r="M738" s="72"/>
    </row>
    <row r="739" spans="1:13" x14ac:dyDescent="0.2">
      <c r="A739" s="69"/>
      <c r="E739" s="69"/>
      <c r="F739" s="69"/>
      <c r="G739" s="69"/>
      <c r="K739" s="72"/>
      <c r="M739" s="72"/>
    </row>
    <row r="740" spans="1:13" x14ac:dyDescent="0.2">
      <c r="A740" s="69"/>
      <c r="E740" s="69"/>
      <c r="F740" s="69"/>
      <c r="G740" s="69"/>
      <c r="K740" s="72"/>
      <c r="M740" s="72"/>
    </row>
    <row r="741" spans="1:13" x14ac:dyDescent="0.2">
      <c r="A741" s="69"/>
      <c r="E741" s="69"/>
      <c r="F741" s="69"/>
      <c r="G741" s="69"/>
      <c r="K741" s="72"/>
      <c r="M741" s="72"/>
    </row>
    <row r="742" spans="1:13" x14ac:dyDescent="0.2">
      <c r="A742" s="69"/>
      <c r="E742" s="69"/>
      <c r="F742" s="69"/>
      <c r="G742" s="69"/>
      <c r="K742" s="72"/>
      <c r="M742" s="72"/>
    </row>
    <row r="743" spans="1:13" x14ac:dyDescent="0.2">
      <c r="A743" s="69"/>
      <c r="E743" s="69"/>
      <c r="F743" s="69"/>
      <c r="G743" s="69"/>
      <c r="K743" s="72"/>
      <c r="M743" s="72"/>
    </row>
    <row r="744" spans="1:13" x14ac:dyDescent="0.2">
      <c r="A744" s="69"/>
      <c r="E744" s="69"/>
      <c r="F744" s="69"/>
      <c r="G744" s="69"/>
      <c r="K744" s="72"/>
      <c r="M744" s="72"/>
    </row>
    <row r="745" spans="1:13" x14ac:dyDescent="0.2">
      <c r="A745" s="69"/>
      <c r="E745" s="69"/>
      <c r="F745" s="69"/>
      <c r="G745" s="69"/>
      <c r="K745" s="72"/>
      <c r="M745" s="72"/>
    </row>
    <row r="746" spans="1:13" x14ac:dyDescent="0.2">
      <c r="A746" s="69"/>
      <c r="E746" s="69"/>
      <c r="F746" s="69"/>
      <c r="G746" s="69"/>
      <c r="K746" s="72"/>
      <c r="M746" s="72"/>
    </row>
    <row r="747" spans="1:13" x14ac:dyDescent="0.2">
      <c r="A747" s="69"/>
      <c r="E747" s="69"/>
      <c r="F747" s="69"/>
      <c r="G747" s="69"/>
      <c r="K747" s="72"/>
      <c r="M747" s="72"/>
    </row>
    <row r="748" spans="1:13" x14ac:dyDescent="0.2">
      <c r="A748" s="69"/>
      <c r="E748" s="69"/>
      <c r="F748" s="69"/>
      <c r="G748" s="69"/>
      <c r="K748" s="72"/>
      <c r="M748" s="72"/>
    </row>
    <row r="749" spans="1:13" x14ac:dyDescent="0.2">
      <c r="A749" s="69"/>
      <c r="E749" s="69"/>
      <c r="F749" s="69"/>
      <c r="G749" s="69"/>
      <c r="K749" s="72"/>
      <c r="M749" s="72"/>
    </row>
    <row r="750" spans="1:13" x14ac:dyDescent="0.2">
      <c r="A750" s="69"/>
      <c r="E750" s="69"/>
      <c r="F750" s="69"/>
      <c r="G750" s="69"/>
      <c r="K750" s="72"/>
      <c r="M750" s="72"/>
    </row>
    <row r="751" spans="1:13" x14ac:dyDescent="0.2">
      <c r="A751" s="69"/>
      <c r="E751" s="69"/>
      <c r="F751" s="69"/>
      <c r="G751" s="69"/>
      <c r="K751" s="72"/>
      <c r="M751" s="72"/>
    </row>
    <row r="752" spans="1:13" x14ac:dyDescent="0.2">
      <c r="A752" s="69"/>
      <c r="E752" s="69"/>
      <c r="F752" s="69"/>
      <c r="G752" s="69"/>
      <c r="K752" s="72"/>
      <c r="M752" s="72"/>
    </row>
    <row r="753" spans="1:13" x14ac:dyDescent="0.2">
      <c r="A753" s="69"/>
      <c r="E753" s="69"/>
      <c r="F753" s="69"/>
      <c r="G753" s="69"/>
      <c r="K753" s="72"/>
      <c r="M753" s="72"/>
    </row>
    <row r="754" spans="1:13" x14ac:dyDescent="0.2">
      <c r="A754" s="69"/>
      <c r="E754" s="69"/>
      <c r="F754" s="69"/>
      <c r="G754" s="69"/>
      <c r="K754" s="72"/>
      <c r="M754" s="72"/>
    </row>
    <row r="755" spans="1:13" x14ac:dyDescent="0.2">
      <c r="A755" s="69"/>
      <c r="E755" s="69"/>
      <c r="F755" s="69"/>
      <c r="G755" s="69"/>
      <c r="K755" s="72"/>
      <c r="M755" s="72"/>
    </row>
    <row r="756" spans="1:13" x14ac:dyDescent="0.2">
      <c r="A756" s="69"/>
      <c r="E756" s="69"/>
      <c r="F756" s="69"/>
      <c r="G756" s="69"/>
      <c r="K756" s="72"/>
      <c r="M756" s="72"/>
    </row>
    <row r="757" spans="1:13" x14ac:dyDescent="0.2">
      <c r="A757" s="69"/>
      <c r="E757" s="69"/>
      <c r="F757" s="69"/>
      <c r="G757" s="69"/>
      <c r="K757" s="72"/>
      <c r="M757" s="72"/>
    </row>
    <row r="758" spans="1:13" x14ac:dyDescent="0.2">
      <c r="A758" s="69"/>
      <c r="E758" s="69"/>
      <c r="F758" s="69"/>
      <c r="G758" s="69"/>
      <c r="K758" s="72"/>
      <c r="M758" s="72"/>
    </row>
    <row r="759" spans="1:13" x14ac:dyDescent="0.2">
      <c r="A759" s="69"/>
      <c r="E759" s="69"/>
      <c r="F759" s="69"/>
      <c r="G759" s="69"/>
      <c r="K759" s="72"/>
      <c r="M759" s="72"/>
    </row>
    <row r="760" spans="1:13" x14ac:dyDescent="0.2">
      <c r="A760" s="69"/>
      <c r="E760" s="69"/>
      <c r="F760" s="69"/>
      <c r="G760" s="69"/>
      <c r="K760" s="72"/>
      <c r="M760" s="72"/>
    </row>
    <row r="761" spans="1:13" x14ac:dyDescent="0.2">
      <c r="A761" s="69"/>
      <c r="E761" s="69"/>
      <c r="F761" s="69"/>
      <c r="G761" s="69"/>
      <c r="K761" s="72"/>
      <c r="M761" s="72"/>
    </row>
    <row r="762" spans="1:13" x14ac:dyDescent="0.2">
      <c r="A762" s="69"/>
      <c r="E762" s="69"/>
      <c r="F762" s="69"/>
      <c r="G762" s="69"/>
      <c r="K762" s="72"/>
      <c r="M762" s="72"/>
    </row>
    <row r="763" spans="1:13" x14ac:dyDescent="0.2">
      <c r="A763" s="69"/>
      <c r="E763" s="69"/>
      <c r="F763" s="69"/>
      <c r="G763" s="69"/>
      <c r="K763" s="72"/>
      <c r="M763" s="72"/>
    </row>
    <row r="764" spans="1:13" x14ac:dyDescent="0.2">
      <c r="A764" s="69"/>
      <c r="E764" s="69"/>
      <c r="F764" s="69"/>
      <c r="G764" s="69"/>
      <c r="K764" s="72"/>
      <c r="M764" s="72"/>
    </row>
    <row r="765" spans="1:13" x14ac:dyDescent="0.2">
      <c r="A765" s="69"/>
      <c r="E765" s="69"/>
      <c r="F765" s="69"/>
      <c r="G765" s="69"/>
      <c r="K765" s="72"/>
      <c r="M765" s="72"/>
    </row>
    <row r="766" spans="1:13" x14ac:dyDescent="0.2">
      <c r="A766" s="69"/>
      <c r="E766" s="69"/>
      <c r="F766" s="69"/>
      <c r="G766" s="69"/>
      <c r="K766" s="72"/>
      <c r="M766" s="72"/>
    </row>
    <row r="767" spans="1:13" x14ac:dyDescent="0.2">
      <c r="A767" s="69"/>
      <c r="E767" s="69"/>
      <c r="F767" s="69"/>
      <c r="G767" s="69"/>
      <c r="K767" s="72"/>
      <c r="M767" s="72"/>
    </row>
    <row r="768" spans="1:13" x14ac:dyDescent="0.2">
      <c r="A768" s="69"/>
      <c r="E768" s="69"/>
      <c r="F768" s="69"/>
      <c r="G768" s="69"/>
      <c r="K768" s="72"/>
      <c r="M768" s="72"/>
    </row>
    <row r="769" spans="1:13" x14ac:dyDescent="0.2">
      <c r="A769" s="69"/>
      <c r="E769" s="69"/>
      <c r="F769" s="69"/>
      <c r="G769" s="69"/>
      <c r="K769" s="72"/>
      <c r="M769" s="72"/>
    </row>
    <row r="770" spans="1:13" x14ac:dyDescent="0.2">
      <c r="A770" s="69"/>
      <c r="E770" s="69"/>
      <c r="F770" s="69"/>
      <c r="G770" s="69"/>
      <c r="K770" s="72"/>
      <c r="M770" s="72"/>
    </row>
    <row r="771" spans="1:13" x14ac:dyDescent="0.2">
      <c r="A771" s="69"/>
      <c r="E771" s="69"/>
      <c r="F771" s="69"/>
      <c r="G771" s="69"/>
      <c r="K771" s="72"/>
      <c r="M771" s="72"/>
    </row>
    <row r="772" spans="1:13" x14ac:dyDescent="0.2">
      <c r="A772" s="69"/>
      <c r="E772" s="69"/>
      <c r="F772" s="69"/>
      <c r="G772" s="69"/>
      <c r="K772" s="72"/>
      <c r="M772" s="72"/>
    </row>
    <row r="773" spans="1:13" x14ac:dyDescent="0.2">
      <c r="A773" s="69"/>
      <c r="E773" s="69"/>
      <c r="F773" s="69"/>
      <c r="G773" s="69"/>
      <c r="K773" s="72"/>
      <c r="M773" s="72"/>
    </row>
    <row r="774" spans="1:13" x14ac:dyDescent="0.2">
      <c r="A774" s="69"/>
      <c r="E774" s="69"/>
      <c r="F774" s="69"/>
      <c r="G774" s="69"/>
      <c r="K774" s="72"/>
      <c r="M774" s="72"/>
    </row>
    <row r="775" spans="1:13" x14ac:dyDescent="0.2">
      <c r="A775" s="69"/>
      <c r="E775" s="69"/>
      <c r="F775" s="69"/>
      <c r="G775" s="69"/>
      <c r="K775" s="72"/>
      <c r="M775" s="72"/>
    </row>
    <row r="776" spans="1:13" x14ac:dyDescent="0.2">
      <c r="A776" s="69"/>
      <c r="E776" s="69"/>
      <c r="F776" s="69"/>
      <c r="G776" s="69"/>
      <c r="K776" s="72"/>
      <c r="M776" s="72"/>
    </row>
    <row r="777" spans="1:13" x14ac:dyDescent="0.2">
      <c r="A777" s="69"/>
      <c r="E777" s="69"/>
      <c r="F777" s="69"/>
      <c r="G777" s="69"/>
      <c r="K777" s="72"/>
      <c r="M777" s="72"/>
    </row>
    <row r="778" spans="1:13" x14ac:dyDescent="0.2">
      <c r="A778" s="69"/>
      <c r="E778" s="69"/>
      <c r="F778" s="69"/>
      <c r="G778" s="69"/>
      <c r="K778" s="72"/>
      <c r="M778" s="72"/>
    </row>
    <row r="779" spans="1:13" x14ac:dyDescent="0.2">
      <c r="A779" s="69"/>
      <c r="E779" s="69"/>
      <c r="F779" s="69"/>
      <c r="G779" s="69"/>
      <c r="K779" s="72"/>
      <c r="M779" s="72"/>
    </row>
    <row r="780" spans="1:13" x14ac:dyDescent="0.2">
      <c r="A780" s="69"/>
      <c r="E780" s="69"/>
      <c r="F780" s="69"/>
      <c r="G780" s="69"/>
      <c r="K780" s="72"/>
      <c r="M780" s="72"/>
    </row>
    <row r="781" spans="1:13" x14ac:dyDescent="0.2">
      <c r="A781" s="69"/>
      <c r="E781" s="69"/>
      <c r="F781" s="69"/>
      <c r="G781" s="69"/>
      <c r="K781" s="72"/>
      <c r="M781" s="72"/>
    </row>
    <row r="782" spans="1:13" x14ac:dyDescent="0.2">
      <c r="A782" s="69"/>
      <c r="E782" s="69"/>
      <c r="F782" s="69"/>
      <c r="G782" s="69"/>
      <c r="K782" s="72"/>
      <c r="M782" s="72"/>
    </row>
    <row r="783" spans="1:13" x14ac:dyDescent="0.2">
      <c r="A783" s="69"/>
      <c r="E783" s="69"/>
      <c r="F783" s="69"/>
      <c r="G783" s="69"/>
      <c r="K783" s="72"/>
      <c r="M783" s="72"/>
    </row>
    <row r="784" spans="1:13" x14ac:dyDescent="0.2">
      <c r="A784" s="69"/>
      <c r="E784" s="69"/>
      <c r="F784" s="69"/>
      <c r="G784" s="69"/>
      <c r="K784" s="72"/>
      <c r="M784" s="72"/>
    </row>
    <row r="785" spans="1:13" x14ac:dyDescent="0.2">
      <c r="A785" s="69"/>
      <c r="E785" s="69"/>
      <c r="F785" s="69"/>
      <c r="G785" s="69"/>
      <c r="K785" s="72"/>
      <c r="M785" s="72"/>
    </row>
    <row r="786" spans="1:13" x14ac:dyDescent="0.2">
      <c r="A786" s="69"/>
      <c r="E786" s="69"/>
      <c r="F786" s="69"/>
      <c r="G786" s="69"/>
      <c r="K786" s="72"/>
      <c r="M786" s="72"/>
    </row>
    <row r="787" spans="1:13" x14ac:dyDescent="0.2">
      <c r="A787" s="69"/>
      <c r="E787" s="69"/>
      <c r="F787" s="69"/>
      <c r="G787" s="69"/>
      <c r="K787" s="72"/>
      <c r="M787" s="72"/>
    </row>
    <row r="788" spans="1:13" x14ac:dyDescent="0.2">
      <c r="A788" s="69"/>
      <c r="E788" s="69"/>
      <c r="F788" s="69"/>
      <c r="G788" s="69"/>
      <c r="K788" s="72"/>
      <c r="M788" s="72"/>
    </row>
    <row r="789" spans="1:13" x14ac:dyDescent="0.2">
      <c r="A789" s="69"/>
      <c r="E789" s="69"/>
      <c r="F789" s="69"/>
      <c r="G789" s="69"/>
      <c r="K789" s="72"/>
      <c r="M789" s="72"/>
    </row>
    <row r="790" spans="1:13" x14ac:dyDescent="0.2">
      <c r="A790" s="69"/>
      <c r="E790" s="69"/>
      <c r="F790" s="69"/>
      <c r="G790" s="69"/>
      <c r="K790" s="72"/>
      <c r="M790" s="72"/>
    </row>
    <row r="791" spans="1:13" x14ac:dyDescent="0.2">
      <c r="A791" s="69"/>
      <c r="E791" s="69"/>
      <c r="F791" s="69"/>
      <c r="G791" s="69"/>
      <c r="K791" s="72"/>
      <c r="M791" s="72"/>
    </row>
    <row r="792" spans="1:13" x14ac:dyDescent="0.2">
      <c r="A792" s="69"/>
      <c r="E792" s="69"/>
      <c r="F792" s="69"/>
      <c r="G792" s="69"/>
      <c r="K792" s="72"/>
      <c r="M792" s="72"/>
    </row>
    <row r="793" spans="1:13" x14ac:dyDescent="0.2">
      <c r="A793" s="69"/>
      <c r="E793" s="69"/>
      <c r="F793" s="69"/>
      <c r="G793" s="69"/>
      <c r="K793" s="72"/>
      <c r="M793" s="72"/>
    </row>
    <row r="794" spans="1:13" x14ac:dyDescent="0.2">
      <c r="A794" s="69"/>
      <c r="E794" s="69"/>
      <c r="F794" s="69"/>
      <c r="G794" s="69"/>
      <c r="K794" s="72"/>
      <c r="M794" s="72"/>
    </row>
    <row r="795" spans="1:13" x14ac:dyDescent="0.2">
      <c r="A795" s="69"/>
      <c r="E795" s="69"/>
      <c r="F795" s="69"/>
      <c r="G795" s="69"/>
      <c r="K795" s="72"/>
      <c r="M795" s="72"/>
    </row>
    <row r="796" spans="1:13" x14ac:dyDescent="0.2">
      <c r="A796" s="69"/>
      <c r="E796" s="69"/>
      <c r="F796" s="69"/>
      <c r="G796" s="69"/>
      <c r="K796" s="72"/>
      <c r="M796" s="72"/>
    </row>
    <row r="797" spans="1:13" x14ac:dyDescent="0.2">
      <c r="A797" s="69"/>
      <c r="E797" s="69"/>
      <c r="F797" s="69"/>
      <c r="G797" s="69"/>
      <c r="K797" s="72"/>
      <c r="M797" s="72"/>
    </row>
    <row r="798" spans="1:13" x14ac:dyDescent="0.2">
      <c r="A798" s="69"/>
      <c r="E798" s="69"/>
      <c r="F798" s="69"/>
      <c r="G798" s="69"/>
      <c r="K798" s="72"/>
      <c r="M798" s="72"/>
    </row>
    <row r="799" spans="1:13" x14ac:dyDescent="0.2">
      <c r="A799" s="69"/>
      <c r="E799" s="69"/>
      <c r="F799" s="69"/>
      <c r="G799" s="69"/>
      <c r="K799" s="72"/>
      <c r="M799" s="72"/>
    </row>
    <row r="800" spans="1:13" x14ac:dyDescent="0.2">
      <c r="A800" s="69"/>
      <c r="E800" s="69"/>
      <c r="F800" s="69"/>
      <c r="G800" s="69"/>
      <c r="K800" s="72"/>
      <c r="M800" s="72"/>
    </row>
    <row r="801" spans="1:13" x14ac:dyDescent="0.2">
      <c r="A801" s="69"/>
      <c r="E801" s="69"/>
      <c r="F801" s="69"/>
      <c r="G801" s="69"/>
      <c r="K801" s="72"/>
      <c r="M801" s="72"/>
    </row>
    <row r="802" spans="1:13" x14ac:dyDescent="0.2">
      <c r="A802" s="69"/>
      <c r="E802" s="69"/>
      <c r="F802" s="69"/>
      <c r="G802" s="69"/>
      <c r="K802" s="72"/>
      <c r="M802" s="72"/>
    </row>
    <row r="803" spans="1:13" x14ac:dyDescent="0.2">
      <c r="A803" s="69"/>
      <c r="E803" s="69"/>
      <c r="F803" s="69"/>
      <c r="G803" s="69"/>
      <c r="K803" s="72"/>
      <c r="M803" s="72"/>
    </row>
    <row r="804" spans="1:13" x14ac:dyDescent="0.2">
      <c r="A804" s="69"/>
      <c r="E804" s="69"/>
      <c r="F804" s="69"/>
      <c r="G804" s="69"/>
      <c r="K804" s="72"/>
      <c r="M804" s="72"/>
    </row>
    <row r="805" spans="1:13" x14ac:dyDescent="0.2">
      <c r="A805" s="69"/>
      <c r="E805" s="69"/>
      <c r="F805" s="69"/>
      <c r="G805" s="69"/>
      <c r="K805" s="72"/>
      <c r="M805" s="72"/>
    </row>
    <row r="806" spans="1:13" x14ac:dyDescent="0.2">
      <c r="A806" s="69"/>
      <c r="E806" s="69"/>
      <c r="F806" s="69"/>
      <c r="G806" s="69"/>
      <c r="K806" s="72"/>
      <c r="M806" s="72"/>
    </row>
    <row r="807" spans="1:13" x14ac:dyDescent="0.2">
      <c r="A807" s="69"/>
      <c r="E807" s="69"/>
      <c r="F807" s="69"/>
      <c r="G807" s="69"/>
      <c r="K807" s="72"/>
      <c r="M807" s="72"/>
    </row>
    <row r="808" spans="1:13" x14ac:dyDescent="0.2">
      <c r="A808" s="69"/>
      <c r="E808" s="69"/>
      <c r="F808" s="69"/>
      <c r="G808" s="69"/>
      <c r="K808" s="72"/>
      <c r="M808" s="72"/>
    </row>
    <row r="809" spans="1:13" x14ac:dyDescent="0.2">
      <c r="A809" s="69"/>
      <c r="E809" s="69"/>
      <c r="F809" s="69"/>
      <c r="G809" s="69"/>
      <c r="K809" s="72"/>
      <c r="M809" s="72"/>
    </row>
    <row r="810" spans="1:13" x14ac:dyDescent="0.2">
      <c r="A810" s="69"/>
      <c r="E810" s="69"/>
      <c r="F810" s="69"/>
      <c r="G810" s="69"/>
      <c r="K810" s="72"/>
      <c r="M810" s="72"/>
    </row>
    <row r="811" spans="1:13" x14ac:dyDescent="0.2">
      <c r="A811" s="69"/>
      <c r="E811" s="69"/>
      <c r="F811" s="69"/>
      <c r="G811" s="69"/>
      <c r="K811" s="72"/>
      <c r="M811" s="72"/>
    </row>
    <row r="812" spans="1:13" x14ac:dyDescent="0.2">
      <c r="A812" s="69"/>
      <c r="E812" s="69"/>
      <c r="F812" s="69"/>
      <c r="G812" s="69"/>
      <c r="K812" s="72"/>
      <c r="M812" s="72"/>
    </row>
    <row r="813" spans="1:13" x14ac:dyDescent="0.2">
      <c r="A813" s="69"/>
      <c r="E813" s="69"/>
      <c r="F813" s="69"/>
      <c r="G813" s="69"/>
      <c r="K813" s="72"/>
      <c r="M813" s="72"/>
    </row>
    <row r="814" spans="1:13" x14ac:dyDescent="0.2">
      <c r="A814" s="69"/>
      <c r="E814" s="69"/>
      <c r="F814" s="69"/>
      <c r="G814" s="69"/>
      <c r="K814" s="72"/>
      <c r="M814" s="72"/>
    </row>
    <row r="815" spans="1:13" x14ac:dyDescent="0.2">
      <c r="A815" s="69"/>
      <c r="E815" s="69"/>
      <c r="F815" s="69"/>
      <c r="G815" s="69"/>
      <c r="K815" s="72"/>
      <c r="M815" s="72"/>
    </row>
    <row r="816" spans="1:13" x14ac:dyDescent="0.2">
      <c r="A816" s="69"/>
      <c r="E816" s="69"/>
      <c r="F816" s="69"/>
      <c r="G816" s="69"/>
      <c r="K816" s="72"/>
      <c r="M816" s="72"/>
    </row>
    <row r="817" spans="1:13" x14ac:dyDescent="0.2">
      <c r="A817" s="69"/>
      <c r="E817" s="69"/>
      <c r="F817" s="69"/>
      <c r="G817" s="69"/>
      <c r="K817" s="72"/>
      <c r="M817" s="72"/>
    </row>
    <row r="818" spans="1:13" x14ac:dyDescent="0.2">
      <c r="A818" s="69"/>
      <c r="E818" s="69"/>
      <c r="F818" s="69"/>
      <c r="G818" s="69"/>
      <c r="K818" s="72"/>
      <c r="M818" s="72"/>
    </row>
    <row r="819" spans="1:13" x14ac:dyDescent="0.2">
      <c r="A819" s="69"/>
      <c r="E819" s="69"/>
      <c r="F819" s="69"/>
      <c r="G819" s="69"/>
      <c r="K819" s="72"/>
      <c r="M819" s="72"/>
    </row>
    <row r="820" spans="1:13" x14ac:dyDescent="0.2">
      <c r="A820" s="69"/>
      <c r="E820" s="69"/>
      <c r="F820" s="69"/>
      <c r="G820" s="69"/>
      <c r="K820" s="72"/>
      <c r="M820" s="72"/>
    </row>
    <row r="821" spans="1:13" x14ac:dyDescent="0.2">
      <c r="A821" s="69"/>
      <c r="E821" s="69"/>
      <c r="F821" s="69"/>
      <c r="G821" s="69"/>
      <c r="K821" s="72"/>
      <c r="M821" s="72"/>
    </row>
    <row r="822" spans="1:13" x14ac:dyDescent="0.2">
      <c r="A822" s="69"/>
      <c r="E822" s="69"/>
      <c r="F822" s="69"/>
      <c r="G822" s="69"/>
      <c r="K822" s="72"/>
      <c r="M822" s="72"/>
    </row>
    <row r="823" spans="1:13" x14ac:dyDescent="0.2">
      <c r="A823" s="69"/>
      <c r="E823" s="69"/>
      <c r="F823" s="69"/>
      <c r="G823" s="69"/>
      <c r="K823" s="72"/>
      <c r="M823" s="72"/>
    </row>
    <row r="824" spans="1:13" x14ac:dyDescent="0.2">
      <c r="A824" s="69"/>
      <c r="E824" s="69"/>
      <c r="F824" s="69"/>
      <c r="G824" s="69"/>
      <c r="K824" s="72"/>
      <c r="M824" s="72"/>
    </row>
    <row r="825" spans="1:13" x14ac:dyDescent="0.2">
      <c r="A825" s="69"/>
      <c r="E825" s="69"/>
      <c r="F825" s="69"/>
      <c r="G825" s="69"/>
      <c r="K825" s="72"/>
      <c r="M825" s="72"/>
    </row>
    <row r="826" spans="1:13" x14ac:dyDescent="0.2">
      <c r="A826" s="69"/>
      <c r="E826" s="69"/>
      <c r="F826" s="69"/>
      <c r="G826" s="69"/>
      <c r="K826" s="72"/>
      <c r="M826" s="72"/>
    </row>
    <row r="827" spans="1:13" x14ac:dyDescent="0.2">
      <c r="A827" s="69"/>
      <c r="E827" s="69"/>
      <c r="F827" s="69"/>
      <c r="G827" s="69"/>
      <c r="K827" s="72"/>
      <c r="M827" s="72"/>
    </row>
    <row r="828" spans="1:13" x14ac:dyDescent="0.2">
      <c r="A828" s="69"/>
      <c r="E828" s="69"/>
      <c r="F828" s="69"/>
      <c r="G828" s="69"/>
      <c r="K828" s="72"/>
      <c r="M828" s="72"/>
    </row>
    <row r="829" spans="1:13" x14ac:dyDescent="0.2">
      <c r="A829" s="69"/>
      <c r="E829" s="69"/>
      <c r="F829" s="69"/>
      <c r="G829" s="69"/>
      <c r="K829" s="72"/>
      <c r="M829" s="72"/>
    </row>
    <row r="830" spans="1:13" x14ac:dyDescent="0.2">
      <c r="A830" s="69"/>
      <c r="E830" s="69"/>
      <c r="F830" s="69"/>
      <c r="G830" s="69"/>
      <c r="K830" s="72"/>
      <c r="M830" s="72"/>
    </row>
    <row r="831" spans="1:13" x14ac:dyDescent="0.2">
      <c r="A831" s="69"/>
      <c r="E831" s="69"/>
      <c r="F831" s="69"/>
      <c r="G831" s="69"/>
      <c r="K831" s="72"/>
      <c r="M831" s="72"/>
    </row>
    <row r="832" spans="1:13" x14ac:dyDescent="0.2">
      <c r="A832" s="69"/>
      <c r="E832" s="69"/>
      <c r="F832" s="69"/>
      <c r="G832" s="69"/>
      <c r="K832" s="72"/>
      <c r="M832" s="72"/>
    </row>
    <row r="833" spans="1:13" x14ac:dyDescent="0.2">
      <c r="A833" s="69"/>
      <c r="E833" s="69"/>
      <c r="F833" s="69"/>
      <c r="G833" s="69"/>
      <c r="K833" s="72"/>
      <c r="M833" s="72"/>
    </row>
    <row r="834" spans="1:13" x14ac:dyDescent="0.2">
      <c r="A834" s="69"/>
      <c r="E834" s="69"/>
      <c r="F834" s="69"/>
      <c r="G834" s="69"/>
      <c r="K834" s="72"/>
      <c r="M834" s="72"/>
    </row>
    <row r="835" spans="1:13" x14ac:dyDescent="0.2">
      <c r="A835" s="69"/>
      <c r="E835" s="69"/>
      <c r="F835" s="69"/>
      <c r="G835" s="69"/>
      <c r="K835" s="72"/>
      <c r="M835" s="72"/>
    </row>
    <row r="836" spans="1:13" x14ac:dyDescent="0.2">
      <c r="A836" s="69"/>
      <c r="E836" s="69"/>
      <c r="F836" s="69"/>
      <c r="G836" s="69"/>
      <c r="K836" s="72"/>
      <c r="M836" s="72"/>
    </row>
    <row r="837" spans="1:13" x14ac:dyDescent="0.2">
      <c r="A837" s="69"/>
      <c r="E837" s="69"/>
      <c r="F837" s="69"/>
      <c r="G837" s="69"/>
      <c r="K837" s="72"/>
      <c r="M837" s="72"/>
    </row>
    <row r="838" spans="1:13" x14ac:dyDescent="0.2">
      <c r="A838" s="69"/>
      <c r="E838" s="69"/>
      <c r="F838" s="69"/>
      <c r="G838" s="69"/>
      <c r="K838" s="72"/>
      <c r="M838" s="72"/>
    </row>
    <row r="839" spans="1:13" x14ac:dyDescent="0.2">
      <c r="A839" s="69"/>
      <c r="E839" s="69"/>
      <c r="F839" s="69"/>
      <c r="G839" s="69"/>
      <c r="K839" s="72"/>
      <c r="M839" s="72"/>
    </row>
    <row r="840" spans="1:13" x14ac:dyDescent="0.2">
      <c r="A840" s="69"/>
      <c r="E840" s="69"/>
      <c r="F840" s="69"/>
      <c r="G840" s="69"/>
      <c r="K840" s="72"/>
      <c r="M840" s="72"/>
    </row>
    <row r="841" spans="1:13" x14ac:dyDescent="0.2">
      <c r="A841" s="69"/>
      <c r="E841" s="69"/>
      <c r="F841" s="69"/>
      <c r="G841" s="69"/>
      <c r="K841" s="72"/>
      <c r="M841" s="72"/>
    </row>
    <row r="842" spans="1:13" x14ac:dyDescent="0.2">
      <c r="A842" s="69"/>
      <c r="E842" s="69"/>
      <c r="F842" s="69"/>
      <c r="G842" s="69"/>
      <c r="K842" s="72"/>
      <c r="M842" s="72"/>
    </row>
    <row r="843" spans="1:13" x14ac:dyDescent="0.2">
      <c r="A843" s="69"/>
      <c r="E843" s="69"/>
      <c r="F843" s="69"/>
      <c r="G843" s="69"/>
      <c r="K843" s="72"/>
      <c r="M843" s="72"/>
    </row>
    <row r="844" spans="1:13" x14ac:dyDescent="0.2">
      <c r="A844" s="69"/>
      <c r="E844" s="69"/>
      <c r="F844" s="69"/>
      <c r="G844" s="69"/>
      <c r="K844" s="72"/>
      <c r="M844" s="72"/>
    </row>
    <row r="845" spans="1:13" x14ac:dyDescent="0.2">
      <c r="A845" s="69"/>
      <c r="E845" s="69"/>
      <c r="F845" s="69"/>
      <c r="G845" s="69"/>
      <c r="K845" s="72"/>
      <c r="M845" s="72"/>
    </row>
    <row r="846" spans="1:13" x14ac:dyDescent="0.2">
      <c r="A846" s="69"/>
      <c r="E846" s="69"/>
      <c r="F846" s="69"/>
      <c r="G846" s="69"/>
      <c r="K846" s="72"/>
      <c r="M846" s="72"/>
    </row>
    <row r="847" spans="1:13" x14ac:dyDescent="0.2">
      <c r="A847" s="69"/>
      <c r="E847" s="69"/>
      <c r="F847" s="69"/>
      <c r="G847" s="69"/>
      <c r="K847" s="72"/>
      <c r="M847" s="72"/>
    </row>
    <row r="848" spans="1:13" x14ac:dyDescent="0.2">
      <c r="A848" s="69"/>
      <c r="E848" s="69"/>
      <c r="F848" s="69"/>
      <c r="G848" s="69"/>
      <c r="K848" s="72"/>
      <c r="M848" s="72"/>
    </row>
    <row r="849" spans="1:13" x14ac:dyDescent="0.2">
      <c r="A849" s="69"/>
      <c r="E849" s="69"/>
      <c r="F849" s="69"/>
      <c r="G849" s="69"/>
      <c r="K849" s="72"/>
      <c r="M849" s="72"/>
    </row>
    <row r="850" spans="1:13" x14ac:dyDescent="0.2">
      <c r="A850" s="69"/>
      <c r="E850" s="69"/>
      <c r="F850" s="69"/>
      <c r="G850" s="69"/>
      <c r="K850" s="72"/>
      <c r="M850" s="72"/>
    </row>
    <row r="851" spans="1:13" x14ac:dyDescent="0.2">
      <c r="A851" s="69"/>
      <c r="E851" s="69"/>
      <c r="F851" s="69"/>
      <c r="G851" s="69"/>
      <c r="K851" s="72"/>
      <c r="M851" s="72"/>
    </row>
    <row r="852" spans="1:13" x14ac:dyDescent="0.2">
      <c r="A852" s="69"/>
      <c r="E852" s="69"/>
      <c r="F852" s="69"/>
      <c r="G852" s="69"/>
      <c r="K852" s="72"/>
      <c r="M852" s="72"/>
    </row>
    <row r="853" spans="1:13" x14ac:dyDescent="0.2">
      <c r="A853" s="69"/>
      <c r="E853" s="69"/>
      <c r="F853" s="69"/>
      <c r="G853" s="69"/>
      <c r="K853" s="72"/>
      <c r="M853" s="72"/>
    </row>
    <row r="854" spans="1:13" x14ac:dyDescent="0.2">
      <c r="A854" s="69"/>
      <c r="E854" s="69"/>
      <c r="F854" s="69"/>
      <c r="G854" s="69"/>
      <c r="K854" s="72"/>
      <c r="M854" s="72"/>
    </row>
    <row r="855" spans="1:13" x14ac:dyDescent="0.2">
      <c r="A855" s="69"/>
      <c r="E855" s="69"/>
      <c r="F855" s="69"/>
      <c r="G855" s="69"/>
      <c r="K855" s="72"/>
      <c r="M855" s="72"/>
    </row>
    <row r="856" spans="1:13" x14ac:dyDescent="0.2">
      <c r="A856" s="69"/>
      <c r="E856" s="69"/>
      <c r="F856" s="69"/>
      <c r="G856" s="69"/>
      <c r="K856" s="72"/>
      <c r="M856" s="72"/>
    </row>
    <row r="857" spans="1:13" x14ac:dyDescent="0.2">
      <c r="A857" s="69"/>
      <c r="E857" s="69"/>
      <c r="F857" s="69"/>
      <c r="G857" s="69"/>
      <c r="K857" s="72"/>
      <c r="M857" s="72"/>
    </row>
    <row r="858" spans="1:13" x14ac:dyDescent="0.2">
      <c r="A858" s="69"/>
      <c r="E858" s="69"/>
      <c r="F858" s="69"/>
      <c r="G858" s="69"/>
      <c r="K858" s="72"/>
      <c r="M858" s="72"/>
    </row>
    <row r="859" spans="1:13" x14ac:dyDescent="0.2">
      <c r="A859" s="69"/>
      <c r="E859" s="69"/>
      <c r="F859" s="69"/>
      <c r="G859" s="69"/>
      <c r="K859" s="72"/>
      <c r="M859" s="72"/>
    </row>
    <row r="860" spans="1:13" x14ac:dyDescent="0.2">
      <c r="A860" s="69"/>
      <c r="E860" s="69"/>
      <c r="F860" s="69"/>
      <c r="G860" s="69"/>
      <c r="K860" s="72"/>
      <c r="M860" s="72"/>
    </row>
    <row r="861" spans="1:13" x14ac:dyDescent="0.2">
      <c r="A861" s="69"/>
      <c r="E861" s="69"/>
      <c r="F861" s="69"/>
      <c r="G861" s="69"/>
      <c r="K861" s="72"/>
      <c r="M861" s="72"/>
    </row>
    <row r="862" spans="1:13" x14ac:dyDescent="0.2">
      <c r="A862" s="69"/>
      <c r="E862" s="69"/>
      <c r="F862" s="69"/>
      <c r="G862" s="69"/>
      <c r="K862" s="72"/>
      <c r="M862" s="72"/>
    </row>
    <row r="863" spans="1:13" x14ac:dyDescent="0.2">
      <c r="A863" s="69"/>
      <c r="E863" s="69"/>
      <c r="F863" s="69"/>
      <c r="G863" s="69"/>
      <c r="K863" s="72"/>
      <c r="M863" s="72"/>
    </row>
    <row r="864" spans="1:13" x14ac:dyDescent="0.2">
      <c r="A864" s="69"/>
      <c r="E864" s="69"/>
      <c r="F864" s="69"/>
      <c r="G864" s="69"/>
      <c r="K864" s="72"/>
      <c r="M864" s="72"/>
    </row>
    <row r="865" spans="1:13" x14ac:dyDescent="0.2">
      <c r="A865" s="69"/>
      <c r="E865" s="69"/>
      <c r="F865" s="69"/>
      <c r="G865" s="69"/>
      <c r="K865" s="72"/>
      <c r="M865" s="72"/>
    </row>
    <row r="866" spans="1:13" x14ac:dyDescent="0.2">
      <c r="A866" s="69"/>
      <c r="E866" s="69"/>
      <c r="F866" s="69"/>
      <c r="G866" s="69"/>
      <c r="K866" s="72"/>
      <c r="M866" s="72"/>
    </row>
    <row r="867" spans="1:13" x14ac:dyDescent="0.2">
      <c r="A867" s="69"/>
      <c r="E867" s="69"/>
      <c r="F867" s="69"/>
      <c r="G867" s="69"/>
      <c r="K867" s="72"/>
      <c r="M867" s="72"/>
    </row>
    <row r="868" spans="1:13" x14ac:dyDescent="0.2">
      <c r="A868" s="69"/>
      <c r="E868" s="69"/>
      <c r="F868" s="69"/>
      <c r="G868" s="69"/>
      <c r="K868" s="72"/>
      <c r="M868" s="72"/>
    </row>
    <row r="869" spans="1:13" x14ac:dyDescent="0.2">
      <c r="A869" s="69"/>
      <c r="E869" s="69"/>
      <c r="F869" s="69"/>
      <c r="G869" s="69"/>
      <c r="K869" s="72"/>
      <c r="M869" s="72"/>
    </row>
    <row r="870" spans="1:13" x14ac:dyDescent="0.2">
      <c r="A870" s="69"/>
      <c r="E870" s="69"/>
      <c r="F870" s="69"/>
      <c r="G870" s="69"/>
      <c r="K870" s="72"/>
      <c r="M870" s="72"/>
    </row>
    <row r="871" spans="1:13" x14ac:dyDescent="0.2">
      <c r="A871" s="69"/>
      <c r="E871" s="69"/>
      <c r="F871" s="69"/>
      <c r="G871" s="69"/>
      <c r="K871" s="72"/>
      <c r="M871" s="72"/>
    </row>
    <row r="872" spans="1:13" x14ac:dyDescent="0.2">
      <c r="A872" s="69"/>
      <c r="E872" s="69"/>
      <c r="F872" s="69"/>
      <c r="G872" s="69"/>
      <c r="K872" s="72"/>
      <c r="M872" s="72"/>
    </row>
    <row r="873" spans="1:13" x14ac:dyDescent="0.2">
      <c r="A873" s="69"/>
      <c r="E873" s="69"/>
      <c r="F873" s="69"/>
      <c r="G873" s="69"/>
      <c r="K873" s="72"/>
      <c r="M873" s="72"/>
    </row>
    <row r="874" spans="1:13" x14ac:dyDescent="0.2">
      <c r="A874" s="69"/>
      <c r="E874" s="69"/>
      <c r="F874" s="69"/>
      <c r="G874" s="69"/>
      <c r="K874" s="72"/>
      <c r="M874" s="72"/>
    </row>
    <row r="875" spans="1:13" x14ac:dyDescent="0.2">
      <c r="A875" s="69"/>
      <c r="E875" s="69"/>
      <c r="F875" s="69"/>
      <c r="G875" s="69"/>
      <c r="K875" s="72"/>
      <c r="M875" s="72"/>
    </row>
    <row r="876" spans="1:13" x14ac:dyDescent="0.2">
      <c r="A876" s="69"/>
      <c r="E876" s="69"/>
      <c r="F876" s="69"/>
      <c r="G876" s="69"/>
      <c r="K876" s="72"/>
      <c r="M876" s="72"/>
    </row>
    <row r="877" spans="1:13" x14ac:dyDescent="0.2">
      <c r="A877" s="69"/>
      <c r="E877" s="69"/>
      <c r="F877" s="69"/>
      <c r="G877" s="69"/>
      <c r="K877" s="72"/>
      <c r="M877" s="72"/>
    </row>
    <row r="878" spans="1:13" x14ac:dyDescent="0.2">
      <c r="A878" s="69"/>
      <c r="E878" s="69"/>
      <c r="F878" s="69"/>
      <c r="G878" s="69"/>
      <c r="K878" s="72"/>
      <c r="M878" s="72"/>
    </row>
    <row r="879" spans="1:13" x14ac:dyDescent="0.2">
      <c r="A879" s="69"/>
      <c r="E879" s="69"/>
      <c r="F879" s="69"/>
      <c r="G879" s="69"/>
      <c r="K879" s="72"/>
      <c r="M879" s="72"/>
    </row>
    <row r="880" spans="1:13" x14ac:dyDescent="0.2">
      <c r="A880" s="69"/>
      <c r="E880" s="69"/>
      <c r="F880" s="69"/>
      <c r="G880" s="69"/>
      <c r="K880" s="72"/>
      <c r="M880" s="72"/>
    </row>
    <row r="881" spans="1:13" x14ac:dyDescent="0.2">
      <c r="A881" s="69"/>
      <c r="E881" s="69"/>
      <c r="F881" s="69"/>
      <c r="G881" s="69"/>
      <c r="K881" s="72"/>
      <c r="M881" s="72"/>
    </row>
    <row r="882" spans="1:13" x14ac:dyDescent="0.2">
      <c r="A882" s="69"/>
      <c r="E882" s="69"/>
      <c r="F882" s="69"/>
      <c r="G882" s="69"/>
      <c r="K882" s="72"/>
      <c r="M882" s="72"/>
    </row>
    <row r="883" spans="1:13" x14ac:dyDescent="0.2">
      <c r="A883" s="69"/>
      <c r="E883" s="69"/>
      <c r="F883" s="69"/>
      <c r="G883" s="69"/>
      <c r="K883" s="72"/>
      <c r="M883" s="72"/>
    </row>
    <row r="884" spans="1:13" x14ac:dyDescent="0.2">
      <c r="A884" s="69"/>
      <c r="E884" s="69"/>
      <c r="F884" s="69"/>
      <c r="G884" s="69"/>
      <c r="K884" s="72"/>
      <c r="M884" s="72"/>
    </row>
    <row r="885" spans="1:13" x14ac:dyDescent="0.2">
      <c r="A885" s="69"/>
      <c r="E885" s="69"/>
      <c r="F885" s="69"/>
      <c r="G885" s="69"/>
      <c r="K885" s="72"/>
      <c r="M885" s="72"/>
    </row>
    <row r="886" spans="1:13" x14ac:dyDescent="0.2">
      <c r="A886" s="69"/>
      <c r="E886" s="69"/>
      <c r="F886" s="69"/>
      <c r="G886" s="69"/>
      <c r="K886" s="72"/>
      <c r="M886" s="72"/>
    </row>
    <row r="887" spans="1:13" x14ac:dyDescent="0.2">
      <c r="A887" s="69"/>
      <c r="E887" s="69"/>
      <c r="F887" s="69"/>
      <c r="G887" s="69"/>
      <c r="K887" s="72"/>
      <c r="M887" s="72"/>
    </row>
    <row r="888" spans="1:13" x14ac:dyDescent="0.2">
      <c r="A888" s="69"/>
      <c r="E888" s="69"/>
      <c r="F888" s="69"/>
      <c r="G888" s="69"/>
      <c r="K888" s="72"/>
      <c r="M888" s="72"/>
    </row>
    <row r="889" spans="1:13" x14ac:dyDescent="0.2">
      <c r="A889" s="69"/>
      <c r="E889" s="69"/>
      <c r="F889" s="69"/>
      <c r="G889" s="69"/>
      <c r="K889" s="72"/>
      <c r="M889" s="72"/>
    </row>
    <row r="890" spans="1:13" x14ac:dyDescent="0.2">
      <c r="A890" s="69"/>
      <c r="E890" s="69"/>
      <c r="F890" s="69"/>
      <c r="G890" s="69"/>
      <c r="K890" s="72"/>
      <c r="M890" s="72"/>
    </row>
    <row r="891" spans="1:13" x14ac:dyDescent="0.2">
      <c r="A891" s="69"/>
      <c r="E891" s="69"/>
      <c r="F891" s="69"/>
      <c r="G891" s="69"/>
      <c r="K891" s="72"/>
      <c r="M891" s="72"/>
    </row>
    <row r="892" spans="1:13" x14ac:dyDescent="0.2">
      <c r="A892" s="69"/>
      <c r="E892" s="69"/>
      <c r="F892" s="69"/>
      <c r="G892" s="69"/>
      <c r="K892" s="72"/>
      <c r="M892" s="72"/>
    </row>
    <row r="893" spans="1:13" x14ac:dyDescent="0.2">
      <c r="A893" s="69"/>
      <c r="E893" s="69"/>
      <c r="F893" s="69"/>
      <c r="G893" s="69"/>
      <c r="K893" s="72"/>
      <c r="M893" s="72"/>
    </row>
    <row r="894" spans="1:13" x14ac:dyDescent="0.2">
      <c r="A894" s="69"/>
      <c r="E894" s="69"/>
      <c r="F894" s="69"/>
      <c r="G894" s="69"/>
      <c r="K894" s="72"/>
      <c r="M894" s="72"/>
    </row>
    <row r="895" spans="1:13" x14ac:dyDescent="0.2">
      <c r="A895" s="69"/>
      <c r="E895" s="69"/>
      <c r="F895" s="69"/>
      <c r="G895" s="69"/>
      <c r="K895" s="72"/>
      <c r="M895" s="72"/>
    </row>
    <row r="896" spans="1:13" x14ac:dyDescent="0.2">
      <c r="A896" s="69"/>
      <c r="E896" s="69"/>
      <c r="F896" s="69"/>
      <c r="G896" s="69"/>
      <c r="K896" s="72"/>
      <c r="M896" s="72"/>
    </row>
    <row r="897" spans="1:13" x14ac:dyDescent="0.2">
      <c r="A897" s="69"/>
      <c r="E897" s="69"/>
      <c r="F897" s="69"/>
      <c r="G897" s="69"/>
      <c r="K897" s="72"/>
      <c r="M897" s="72"/>
    </row>
    <row r="898" spans="1:13" x14ac:dyDescent="0.2">
      <c r="A898" s="69"/>
      <c r="E898" s="69"/>
      <c r="F898" s="69"/>
      <c r="G898" s="69"/>
      <c r="K898" s="72"/>
      <c r="M898" s="72"/>
    </row>
    <row r="899" spans="1:13" x14ac:dyDescent="0.2">
      <c r="A899" s="69"/>
      <c r="E899" s="69"/>
      <c r="F899" s="69"/>
      <c r="G899" s="69"/>
      <c r="K899" s="72"/>
      <c r="M899" s="72"/>
    </row>
    <row r="900" spans="1:13" x14ac:dyDescent="0.2">
      <c r="A900" s="69"/>
      <c r="E900" s="69"/>
      <c r="F900" s="69"/>
      <c r="G900" s="69"/>
      <c r="K900" s="72"/>
      <c r="M900" s="72"/>
    </row>
    <row r="901" spans="1:13" x14ac:dyDescent="0.2">
      <c r="A901" s="69"/>
      <c r="E901" s="69"/>
      <c r="F901" s="69"/>
      <c r="G901" s="69"/>
      <c r="K901" s="72"/>
      <c r="M901" s="72"/>
    </row>
    <row r="902" spans="1:13" x14ac:dyDescent="0.2">
      <c r="A902" s="69"/>
      <c r="E902" s="69"/>
      <c r="F902" s="69"/>
      <c r="G902" s="69"/>
      <c r="K902" s="72"/>
      <c r="M902" s="72"/>
    </row>
    <row r="903" spans="1:13" x14ac:dyDescent="0.2">
      <c r="A903" s="69"/>
      <c r="E903" s="69"/>
      <c r="F903" s="69"/>
      <c r="G903" s="69"/>
      <c r="K903" s="72"/>
      <c r="M903" s="72"/>
    </row>
    <row r="904" spans="1:13" x14ac:dyDescent="0.2">
      <c r="A904" s="69"/>
      <c r="E904" s="69"/>
      <c r="F904" s="69"/>
      <c r="G904" s="69"/>
      <c r="K904" s="72"/>
      <c r="M904" s="72"/>
    </row>
    <row r="905" spans="1:13" x14ac:dyDescent="0.2">
      <c r="A905" s="69"/>
      <c r="E905" s="69"/>
      <c r="F905" s="69"/>
      <c r="G905" s="69"/>
      <c r="K905" s="72"/>
      <c r="M905" s="72"/>
    </row>
    <row r="906" spans="1:13" x14ac:dyDescent="0.2">
      <c r="A906" s="69"/>
      <c r="E906" s="69"/>
      <c r="F906" s="69"/>
      <c r="G906" s="69"/>
      <c r="K906" s="72"/>
      <c r="M906" s="72"/>
    </row>
    <row r="907" spans="1:13" x14ac:dyDescent="0.2">
      <c r="A907" s="69"/>
      <c r="E907" s="69"/>
      <c r="F907" s="69"/>
      <c r="G907" s="69"/>
      <c r="K907" s="72"/>
      <c r="M907" s="72"/>
    </row>
    <row r="908" spans="1:13" x14ac:dyDescent="0.2">
      <c r="A908" s="69"/>
      <c r="E908" s="69"/>
      <c r="F908" s="69"/>
      <c r="G908" s="69"/>
      <c r="K908" s="72"/>
      <c r="M908" s="72"/>
    </row>
    <row r="909" spans="1:13" x14ac:dyDescent="0.2">
      <c r="A909" s="69"/>
      <c r="E909" s="69"/>
      <c r="F909" s="69"/>
      <c r="G909" s="69"/>
      <c r="K909" s="72"/>
      <c r="M909" s="72"/>
    </row>
    <row r="910" spans="1:13" x14ac:dyDescent="0.2">
      <c r="A910" s="69"/>
      <c r="E910" s="69"/>
      <c r="F910" s="69"/>
      <c r="G910" s="69"/>
      <c r="K910" s="72"/>
      <c r="M910" s="72"/>
    </row>
    <row r="911" spans="1:13" x14ac:dyDescent="0.2">
      <c r="A911" s="69"/>
      <c r="E911" s="69"/>
      <c r="F911" s="69"/>
      <c r="G911" s="69"/>
      <c r="K911" s="72"/>
      <c r="M911" s="72"/>
    </row>
    <row r="912" spans="1:13" x14ac:dyDescent="0.2">
      <c r="A912" s="69"/>
      <c r="E912" s="69"/>
      <c r="F912" s="69"/>
      <c r="G912" s="69"/>
      <c r="K912" s="72"/>
      <c r="M912" s="72"/>
    </row>
    <row r="913" spans="1:13" x14ac:dyDescent="0.2">
      <c r="A913" s="69"/>
      <c r="E913" s="69"/>
      <c r="F913" s="69"/>
      <c r="G913" s="69"/>
      <c r="K913" s="72"/>
      <c r="M913" s="72"/>
    </row>
    <row r="914" spans="1:13" x14ac:dyDescent="0.2">
      <c r="A914" s="69"/>
      <c r="E914" s="69"/>
      <c r="F914" s="69"/>
      <c r="G914" s="69"/>
      <c r="K914" s="72"/>
      <c r="M914" s="72"/>
    </row>
    <row r="915" spans="1:13" x14ac:dyDescent="0.2">
      <c r="A915" s="69"/>
      <c r="E915" s="69"/>
      <c r="F915" s="69"/>
      <c r="G915" s="69"/>
      <c r="K915" s="72"/>
      <c r="M915" s="72"/>
    </row>
    <row r="916" spans="1:13" x14ac:dyDescent="0.2">
      <c r="A916" s="69"/>
      <c r="E916" s="69"/>
      <c r="F916" s="69"/>
      <c r="G916" s="69"/>
      <c r="K916" s="72"/>
      <c r="M916" s="72"/>
    </row>
    <row r="917" spans="1:13" x14ac:dyDescent="0.2">
      <c r="A917" s="69"/>
      <c r="E917" s="69"/>
      <c r="F917" s="69"/>
      <c r="G917" s="69"/>
      <c r="K917" s="72"/>
      <c r="M917" s="72"/>
    </row>
    <row r="918" spans="1:13" x14ac:dyDescent="0.2">
      <c r="A918" s="69"/>
      <c r="E918" s="69"/>
      <c r="F918" s="69"/>
      <c r="G918" s="69"/>
      <c r="K918" s="72"/>
      <c r="M918" s="72"/>
    </row>
    <row r="919" spans="1:13" x14ac:dyDescent="0.2">
      <c r="A919" s="69"/>
      <c r="E919" s="69"/>
      <c r="F919" s="69"/>
      <c r="G919" s="69"/>
      <c r="K919" s="72"/>
      <c r="M919" s="72"/>
    </row>
    <row r="920" spans="1:13" x14ac:dyDescent="0.2">
      <c r="A920" s="69"/>
      <c r="E920" s="69"/>
      <c r="F920" s="69"/>
      <c r="G920" s="69"/>
      <c r="K920" s="72"/>
      <c r="M920" s="72"/>
    </row>
    <row r="921" spans="1:13" x14ac:dyDescent="0.2">
      <c r="A921" s="69"/>
      <c r="E921" s="69"/>
      <c r="F921" s="69"/>
      <c r="G921" s="69"/>
      <c r="K921" s="72"/>
      <c r="M921" s="72"/>
    </row>
    <row r="922" spans="1:13" x14ac:dyDescent="0.2">
      <c r="A922" s="69"/>
      <c r="E922" s="69"/>
      <c r="F922" s="69"/>
      <c r="G922" s="69"/>
      <c r="K922" s="72"/>
      <c r="M922" s="72"/>
    </row>
    <row r="923" spans="1:13" x14ac:dyDescent="0.2">
      <c r="A923" s="69"/>
      <c r="E923" s="69"/>
      <c r="F923" s="69"/>
      <c r="G923" s="69"/>
      <c r="K923" s="72"/>
      <c r="M923" s="72"/>
    </row>
    <row r="924" spans="1:13" x14ac:dyDescent="0.2">
      <c r="A924" s="69"/>
      <c r="E924" s="69"/>
      <c r="F924" s="69"/>
      <c r="G924" s="69"/>
      <c r="K924" s="72"/>
      <c r="M924" s="72"/>
    </row>
    <row r="925" spans="1:13" x14ac:dyDescent="0.2">
      <c r="A925" s="69"/>
      <c r="E925" s="69"/>
      <c r="F925" s="69"/>
      <c r="G925" s="69"/>
      <c r="K925" s="72"/>
      <c r="M925" s="72"/>
    </row>
    <row r="926" spans="1:13" x14ac:dyDescent="0.2">
      <c r="A926" s="69"/>
      <c r="E926" s="69"/>
      <c r="F926" s="69"/>
      <c r="G926" s="69"/>
      <c r="K926" s="72"/>
      <c r="M926" s="72"/>
    </row>
    <row r="927" spans="1:13" x14ac:dyDescent="0.2">
      <c r="A927" s="69"/>
      <c r="E927" s="69"/>
      <c r="F927" s="69"/>
      <c r="G927" s="69"/>
      <c r="K927" s="72"/>
      <c r="M927" s="72"/>
    </row>
    <row r="928" spans="1:13" x14ac:dyDescent="0.2">
      <c r="A928" s="69"/>
      <c r="E928" s="69"/>
      <c r="F928" s="69"/>
      <c r="G928" s="69"/>
      <c r="K928" s="72"/>
      <c r="M928" s="72"/>
    </row>
    <row r="929" spans="1:13" x14ac:dyDescent="0.2">
      <c r="A929" s="69"/>
      <c r="E929" s="69"/>
      <c r="F929" s="69"/>
      <c r="G929" s="69"/>
      <c r="K929" s="72"/>
      <c r="M929" s="72"/>
    </row>
    <row r="930" spans="1:13" x14ac:dyDescent="0.2">
      <c r="A930" s="69"/>
      <c r="E930" s="69"/>
      <c r="F930" s="69"/>
      <c r="G930" s="69"/>
      <c r="K930" s="72"/>
      <c r="M930" s="72"/>
    </row>
    <row r="931" spans="1:13" x14ac:dyDescent="0.2">
      <c r="A931" s="69"/>
      <c r="E931" s="69"/>
      <c r="F931" s="69"/>
      <c r="G931" s="69"/>
      <c r="K931" s="72"/>
      <c r="M931" s="72"/>
    </row>
    <row r="932" spans="1:13" x14ac:dyDescent="0.2">
      <c r="A932" s="69"/>
      <c r="E932" s="69"/>
      <c r="F932" s="69"/>
      <c r="G932" s="69"/>
      <c r="K932" s="72"/>
      <c r="M932" s="72"/>
    </row>
    <row r="933" spans="1:13" x14ac:dyDescent="0.2">
      <c r="A933" s="69"/>
      <c r="E933" s="69"/>
      <c r="F933" s="69"/>
      <c r="G933" s="69"/>
      <c r="K933" s="72"/>
      <c r="M933" s="72"/>
    </row>
    <row r="934" spans="1:13" x14ac:dyDescent="0.2">
      <c r="A934" s="69"/>
      <c r="E934" s="69"/>
      <c r="F934" s="69"/>
      <c r="G934" s="69"/>
      <c r="K934" s="72"/>
      <c r="M934" s="72"/>
    </row>
    <row r="935" spans="1:13" x14ac:dyDescent="0.2">
      <c r="A935" s="69"/>
      <c r="E935" s="69"/>
      <c r="F935" s="69"/>
      <c r="G935" s="69"/>
      <c r="K935" s="72"/>
      <c r="M935" s="72"/>
    </row>
    <row r="936" spans="1:13" x14ac:dyDescent="0.2">
      <c r="A936" s="69"/>
      <c r="E936" s="69"/>
      <c r="F936" s="69"/>
      <c r="G936" s="69"/>
      <c r="K936" s="72"/>
      <c r="M936" s="72"/>
    </row>
    <row r="937" spans="1:13" x14ac:dyDescent="0.2">
      <c r="A937" s="69"/>
      <c r="E937" s="69"/>
      <c r="F937" s="69"/>
      <c r="G937" s="69"/>
      <c r="K937" s="72"/>
      <c r="M937" s="72"/>
    </row>
    <row r="938" spans="1:13" x14ac:dyDescent="0.2">
      <c r="A938" s="69"/>
      <c r="E938" s="69"/>
      <c r="F938" s="69"/>
      <c r="G938" s="69"/>
      <c r="K938" s="72"/>
      <c r="M938" s="72"/>
    </row>
    <row r="939" spans="1:13" x14ac:dyDescent="0.2">
      <c r="A939" s="69"/>
      <c r="E939" s="69"/>
      <c r="F939" s="69"/>
      <c r="G939" s="69"/>
      <c r="K939" s="72"/>
      <c r="M939" s="72"/>
    </row>
    <row r="940" spans="1:13" x14ac:dyDescent="0.2">
      <c r="A940" s="69"/>
      <c r="E940" s="69"/>
      <c r="F940" s="69"/>
      <c r="G940" s="69"/>
      <c r="K940" s="72"/>
      <c r="M940" s="72"/>
    </row>
    <row r="941" spans="1:13" x14ac:dyDescent="0.2">
      <c r="A941" s="69"/>
      <c r="E941" s="69"/>
      <c r="F941" s="69"/>
      <c r="G941" s="69"/>
      <c r="K941" s="72"/>
      <c r="M941" s="72"/>
    </row>
    <row r="942" spans="1:13" x14ac:dyDescent="0.2">
      <c r="A942" s="69"/>
      <c r="E942" s="69"/>
      <c r="F942" s="69"/>
      <c r="G942" s="69"/>
      <c r="K942" s="72"/>
      <c r="M942" s="72"/>
    </row>
    <row r="943" spans="1:13" x14ac:dyDescent="0.2">
      <c r="A943" s="69"/>
      <c r="E943" s="69"/>
      <c r="F943" s="69"/>
      <c r="G943" s="69"/>
      <c r="K943" s="72"/>
      <c r="M943" s="72"/>
    </row>
    <row r="944" spans="1:13" x14ac:dyDescent="0.2">
      <c r="A944" s="69"/>
      <c r="E944" s="69"/>
      <c r="F944" s="69"/>
      <c r="G944" s="69"/>
      <c r="K944" s="72"/>
      <c r="M944" s="72"/>
    </row>
    <row r="945" spans="1:13" x14ac:dyDescent="0.2">
      <c r="A945" s="69"/>
      <c r="E945" s="69"/>
      <c r="F945" s="69"/>
      <c r="G945" s="69"/>
      <c r="K945" s="72"/>
      <c r="M945" s="72"/>
    </row>
    <row r="946" spans="1:13" x14ac:dyDescent="0.2">
      <c r="A946" s="69"/>
      <c r="E946" s="69"/>
      <c r="F946" s="69"/>
      <c r="G946" s="69"/>
      <c r="K946" s="72"/>
      <c r="M946" s="72"/>
    </row>
    <row r="947" spans="1:13" x14ac:dyDescent="0.2">
      <c r="A947" s="69"/>
      <c r="E947" s="69"/>
      <c r="F947" s="69"/>
      <c r="G947" s="69"/>
      <c r="K947" s="72"/>
      <c r="M947" s="72"/>
    </row>
    <row r="948" spans="1:13" x14ac:dyDescent="0.2">
      <c r="A948" s="69"/>
      <c r="E948" s="69"/>
      <c r="F948" s="69"/>
      <c r="G948" s="69"/>
      <c r="K948" s="72"/>
      <c r="M948" s="72"/>
    </row>
    <row r="949" spans="1:13" x14ac:dyDescent="0.2">
      <c r="A949" s="69"/>
      <c r="E949" s="69"/>
      <c r="F949" s="69"/>
      <c r="G949" s="69"/>
      <c r="K949" s="72"/>
      <c r="M949" s="72"/>
    </row>
    <row r="950" spans="1:13" x14ac:dyDescent="0.2">
      <c r="A950" s="69"/>
      <c r="E950" s="69"/>
      <c r="F950" s="69"/>
      <c r="G950" s="69"/>
      <c r="K950" s="72"/>
      <c r="M950" s="72"/>
    </row>
    <row r="951" spans="1:13" x14ac:dyDescent="0.2">
      <c r="A951" s="69"/>
      <c r="E951" s="69"/>
      <c r="F951" s="69"/>
      <c r="G951" s="69"/>
      <c r="K951" s="72"/>
      <c r="M951" s="72"/>
    </row>
    <row r="952" spans="1:13" x14ac:dyDescent="0.2">
      <c r="A952" s="69"/>
      <c r="E952" s="69"/>
      <c r="F952" s="69"/>
      <c r="G952" s="69"/>
      <c r="K952" s="72"/>
      <c r="M952" s="72"/>
    </row>
    <row r="953" spans="1:13" x14ac:dyDescent="0.2">
      <c r="A953" s="69"/>
      <c r="E953" s="69"/>
      <c r="F953" s="69"/>
      <c r="G953" s="69"/>
      <c r="K953" s="72"/>
      <c r="M953" s="72"/>
    </row>
    <row r="954" spans="1:13" x14ac:dyDescent="0.2">
      <c r="A954" s="69"/>
      <c r="E954" s="69"/>
      <c r="F954" s="69"/>
      <c r="G954" s="69"/>
      <c r="K954" s="72"/>
      <c r="M954" s="72"/>
    </row>
    <row r="955" spans="1:13" x14ac:dyDescent="0.2">
      <c r="A955" s="69"/>
      <c r="E955" s="69"/>
      <c r="F955" s="69"/>
      <c r="G955" s="69"/>
      <c r="K955" s="72"/>
      <c r="M955" s="72"/>
    </row>
    <row r="956" spans="1:13" x14ac:dyDescent="0.2">
      <c r="A956" s="69"/>
      <c r="E956" s="69"/>
      <c r="F956" s="69"/>
      <c r="G956" s="69"/>
      <c r="K956" s="72"/>
      <c r="M956" s="72"/>
    </row>
    <row r="957" spans="1:13" x14ac:dyDescent="0.2">
      <c r="A957" s="69"/>
      <c r="E957" s="69"/>
      <c r="F957" s="69"/>
      <c r="G957" s="69"/>
      <c r="K957" s="72"/>
      <c r="M957" s="72"/>
    </row>
    <row r="958" spans="1:13" x14ac:dyDescent="0.2">
      <c r="A958" s="69"/>
      <c r="E958" s="69"/>
      <c r="F958" s="69"/>
      <c r="G958" s="69"/>
      <c r="K958" s="72"/>
      <c r="M958" s="72"/>
    </row>
    <row r="959" spans="1:13" x14ac:dyDescent="0.2">
      <c r="A959" s="69"/>
      <c r="E959" s="69"/>
      <c r="F959" s="69"/>
      <c r="G959" s="69"/>
      <c r="K959" s="72"/>
      <c r="M959" s="72"/>
    </row>
    <row r="960" spans="1:13" x14ac:dyDescent="0.2">
      <c r="A960" s="69"/>
      <c r="E960" s="69"/>
      <c r="F960" s="69"/>
      <c r="G960" s="69"/>
      <c r="K960" s="72"/>
      <c r="M960" s="72"/>
    </row>
    <row r="961" spans="1:13" x14ac:dyDescent="0.2">
      <c r="A961" s="69"/>
      <c r="E961" s="69"/>
      <c r="F961" s="69"/>
      <c r="G961" s="69"/>
      <c r="K961" s="72"/>
      <c r="M961" s="72"/>
    </row>
    <row r="962" spans="1:13" x14ac:dyDescent="0.2">
      <c r="A962" s="69"/>
      <c r="E962" s="69"/>
      <c r="F962" s="69"/>
      <c r="G962" s="69"/>
      <c r="K962" s="72"/>
      <c r="M962" s="72"/>
    </row>
    <row r="963" spans="1:13" x14ac:dyDescent="0.2">
      <c r="A963" s="69"/>
      <c r="E963" s="69"/>
      <c r="F963" s="69"/>
      <c r="G963" s="69"/>
      <c r="K963" s="72"/>
      <c r="M963" s="72"/>
    </row>
    <row r="964" spans="1:13" x14ac:dyDescent="0.2">
      <c r="A964" s="69"/>
      <c r="E964" s="69"/>
      <c r="F964" s="69"/>
      <c r="G964" s="69"/>
      <c r="K964" s="72"/>
      <c r="M964" s="72"/>
    </row>
    <row r="965" spans="1:13" x14ac:dyDescent="0.2">
      <c r="A965" s="69"/>
      <c r="E965" s="69"/>
      <c r="F965" s="69"/>
      <c r="G965" s="69"/>
      <c r="K965" s="72"/>
      <c r="M965" s="72"/>
    </row>
    <row r="966" spans="1:13" x14ac:dyDescent="0.2">
      <c r="A966" s="69"/>
      <c r="E966" s="69"/>
      <c r="F966" s="69"/>
      <c r="G966" s="69"/>
      <c r="K966" s="72"/>
      <c r="M966" s="72"/>
    </row>
    <row r="967" spans="1:13" x14ac:dyDescent="0.2">
      <c r="A967" s="69"/>
      <c r="E967" s="69"/>
      <c r="F967" s="69"/>
      <c r="G967" s="69"/>
      <c r="K967" s="72"/>
      <c r="M967" s="72"/>
    </row>
    <row r="968" spans="1:13" x14ac:dyDescent="0.2">
      <c r="A968" s="69"/>
      <c r="E968" s="69"/>
      <c r="F968" s="69"/>
      <c r="G968" s="69"/>
      <c r="K968" s="72"/>
      <c r="M968" s="72"/>
    </row>
    <row r="969" spans="1:13" x14ac:dyDescent="0.2">
      <c r="A969" s="69"/>
      <c r="E969" s="69"/>
      <c r="F969" s="69"/>
      <c r="G969" s="69"/>
      <c r="K969" s="72"/>
      <c r="M969" s="72"/>
    </row>
    <row r="970" spans="1:13" x14ac:dyDescent="0.2">
      <c r="A970" s="69"/>
      <c r="E970" s="69"/>
      <c r="F970" s="69"/>
      <c r="G970" s="69"/>
      <c r="K970" s="72"/>
      <c r="M970" s="72"/>
    </row>
    <row r="971" spans="1:13" x14ac:dyDescent="0.2">
      <c r="A971" s="69"/>
      <c r="E971" s="69"/>
      <c r="F971" s="69"/>
      <c r="G971" s="69"/>
      <c r="K971" s="72"/>
      <c r="M971" s="72"/>
    </row>
    <row r="972" spans="1:13" x14ac:dyDescent="0.2">
      <c r="A972" s="69"/>
      <c r="E972" s="69"/>
      <c r="F972" s="69"/>
      <c r="G972" s="69"/>
      <c r="K972" s="72"/>
      <c r="M972" s="72"/>
    </row>
    <row r="973" spans="1:13" x14ac:dyDescent="0.2">
      <c r="A973" s="69"/>
      <c r="E973" s="69"/>
      <c r="F973" s="69"/>
      <c r="G973" s="69"/>
      <c r="K973" s="72"/>
      <c r="M973" s="72"/>
    </row>
    <row r="974" spans="1:13" x14ac:dyDescent="0.2">
      <c r="A974" s="69"/>
      <c r="E974" s="69"/>
      <c r="F974" s="69"/>
      <c r="G974" s="69"/>
      <c r="K974" s="72"/>
      <c r="M974" s="72"/>
    </row>
    <row r="975" spans="1:13" x14ac:dyDescent="0.2">
      <c r="A975" s="69"/>
      <c r="E975" s="69"/>
      <c r="F975" s="69"/>
      <c r="G975" s="69"/>
      <c r="K975" s="72"/>
      <c r="M975" s="72"/>
    </row>
    <row r="976" spans="1:13" x14ac:dyDescent="0.2">
      <c r="A976" s="69"/>
      <c r="E976" s="69"/>
      <c r="F976" s="69"/>
      <c r="G976" s="69"/>
      <c r="K976" s="72"/>
      <c r="M976" s="72"/>
    </row>
    <row r="977" spans="1:13" x14ac:dyDescent="0.2">
      <c r="A977" s="69"/>
      <c r="E977" s="69"/>
      <c r="F977" s="69"/>
      <c r="G977" s="69"/>
      <c r="K977" s="72"/>
      <c r="M977" s="72"/>
    </row>
    <row r="978" spans="1:13" x14ac:dyDescent="0.2">
      <c r="A978" s="69"/>
      <c r="E978" s="69"/>
      <c r="F978" s="69"/>
      <c r="G978" s="69"/>
      <c r="K978" s="72"/>
      <c r="M978" s="72"/>
    </row>
    <row r="979" spans="1:13" x14ac:dyDescent="0.2">
      <c r="A979" s="69"/>
      <c r="E979" s="69"/>
      <c r="F979" s="69"/>
      <c r="G979" s="69"/>
      <c r="K979" s="72"/>
      <c r="M979" s="72"/>
    </row>
    <row r="980" spans="1:13" x14ac:dyDescent="0.2">
      <c r="A980" s="69"/>
      <c r="E980" s="69"/>
      <c r="F980" s="69"/>
      <c r="G980" s="69"/>
      <c r="K980" s="72"/>
      <c r="M980" s="72"/>
    </row>
    <row r="981" spans="1:13" x14ac:dyDescent="0.2">
      <c r="A981" s="69"/>
      <c r="E981" s="69"/>
      <c r="F981" s="69"/>
      <c r="G981" s="69"/>
      <c r="K981" s="72"/>
      <c r="M981" s="72"/>
    </row>
    <row r="982" spans="1:13" x14ac:dyDescent="0.2">
      <c r="A982" s="69"/>
      <c r="E982" s="69"/>
      <c r="F982" s="69"/>
      <c r="G982" s="69"/>
      <c r="K982" s="72"/>
      <c r="M982" s="72"/>
    </row>
    <row r="983" spans="1:13" x14ac:dyDescent="0.2">
      <c r="A983" s="69"/>
      <c r="E983" s="69"/>
      <c r="F983" s="69"/>
      <c r="G983" s="69"/>
      <c r="K983" s="72"/>
      <c r="M983" s="72"/>
    </row>
    <row r="984" spans="1:13" x14ac:dyDescent="0.2">
      <c r="A984" s="69"/>
      <c r="E984" s="69"/>
      <c r="F984" s="69"/>
      <c r="G984" s="69"/>
      <c r="K984" s="72"/>
      <c r="M984" s="72"/>
    </row>
    <row r="985" spans="1:13" x14ac:dyDescent="0.2">
      <c r="A985" s="69"/>
      <c r="E985" s="69"/>
      <c r="F985" s="69"/>
      <c r="G985" s="69"/>
      <c r="K985" s="72"/>
      <c r="M985" s="72"/>
    </row>
    <row r="986" spans="1:13" x14ac:dyDescent="0.2">
      <c r="A986" s="69"/>
      <c r="E986" s="69"/>
      <c r="F986" s="69"/>
      <c r="G986" s="69"/>
      <c r="K986" s="72"/>
      <c r="M986" s="72"/>
    </row>
    <row r="987" spans="1:13" x14ac:dyDescent="0.2">
      <c r="A987" s="69"/>
      <c r="E987" s="69"/>
      <c r="F987" s="69"/>
      <c r="G987" s="69"/>
      <c r="K987" s="72"/>
      <c r="M987" s="72"/>
    </row>
    <row r="988" spans="1:13" x14ac:dyDescent="0.2">
      <c r="A988" s="69"/>
      <c r="E988" s="69"/>
      <c r="F988" s="69"/>
      <c r="G988" s="69"/>
      <c r="K988" s="72"/>
      <c r="M988" s="72"/>
    </row>
    <row r="989" spans="1:13" x14ac:dyDescent="0.2">
      <c r="A989" s="69"/>
      <c r="E989" s="69"/>
      <c r="F989" s="69"/>
      <c r="G989" s="69"/>
      <c r="K989" s="72"/>
      <c r="M989" s="72"/>
    </row>
    <row r="990" spans="1:13" x14ac:dyDescent="0.2">
      <c r="A990" s="69"/>
      <c r="E990" s="69"/>
      <c r="F990" s="69"/>
      <c r="G990" s="69"/>
      <c r="K990" s="72"/>
      <c r="M990" s="72"/>
    </row>
    <row r="991" spans="1:13" x14ac:dyDescent="0.2">
      <c r="A991" s="69"/>
      <c r="E991" s="69"/>
      <c r="F991" s="69"/>
      <c r="G991" s="69"/>
      <c r="K991" s="72"/>
      <c r="M991" s="72"/>
    </row>
    <row r="992" spans="1:13" x14ac:dyDescent="0.2">
      <c r="A992" s="69"/>
      <c r="E992" s="69"/>
      <c r="F992" s="69"/>
      <c r="G992" s="69"/>
      <c r="K992" s="72"/>
      <c r="M992" s="72"/>
    </row>
    <row r="993" spans="1:13" x14ac:dyDescent="0.2">
      <c r="A993" s="69"/>
      <c r="E993" s="69"/>
      <c r="F993" s="69"/>
      <c r="G993" s="69"/>
      <c r="K993" s="72"/>
      <c r="M993" s="72"/>
    </row>
    <row r="994" spans="1:13" x14ac:dyDescent="0.2">
      <c r="A994" s="69"/>
      <c r="E994" s="69"/>
      <c r="F994" s="69"/>
      <c r="G994" s="69"/>
      <c r="K994" s="72"/>
      <c r="M994" s="72"/>
    </row>
    <row r="995" spans="1:13" x14ac:dyDescent="0.2">
      <c r="A995" s="69"/>
      <c r="E995" s="69"/>
      <c r="F995" s="69"/>
      <c r="G995" s="69"/>
      <c r="K995" s="72"/>
      <c r="M995" s="72"/>
    </row>
    <row r="996" spans="1:13" x14ac:dyDescent="0.2">
      <c r="A996" s="69"/>
      <c r="E996" s="69"/>
      <c r="F996" s="69"/>
      <c r="G996" s="69"/>
      <c r="K996" s="72"/>
      <c r="M996" s="72"/>
    </row>
    <row r="997" spans="1:13" x14ac:dyDescent="0.2">
      <c r="A997" s="69"/>
      <c r="E997" s="69"/>
      <c r="F997" s="69"/>
      <c r="G997" s="69"/>
      <c r="K997" s="72"/>
      <c r="M997" s="72"/>
    </row>
    <row r="998" spans="1:13" x14ac:dyDescent="0.2">
      <c r="A998" s="69"/>
      <c r="E998" s="69"/>
      <c r="F998" s="69"/>
      <c r="G998" s="69"/>
      <c r="K998" s="72"/>
      <c r="M998" s="72"/>
    </row>
  </sheetData>
  <autoFilter ref="B2:AA352" xr:uid="{2BD444D2-ED4A-4103-A10A-0422496C0EEF}"/>
  <mergeCells count="3">
    <mergeCell ref="E1:M1"/>
    <mergeCell ref="N1:V1"/>
    <mergeCell ref="A1:C1"/>
  </mergeCells>
  <phoneticPr fontId="26" type="noConversion"/>
  <pageMargins left="0.2" right="0.2" top="0.2" bottom="0.2" header="0" footer="0"/>
  <pageSetup scale="58" fitToHeight="0" orientation="landscape"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48B6DF-B1F5-4665-90D2-96FCB67823E9}">
  <dimension ref="A1:G322"/>
  <sheetViews>
    <sheetView workbookViewId="0"/>
  </sheetViews>
  <sheetFormatPr defaultRowHeight="14.25" x14ac:dyDescent="0.2"/>
  <cols>
    <col min="1" max="1" width="31.25" bestFit="1" customWidth="1"/>
    <col min="2" max="2" width="7.875" bestFit="1" customWidth="1"/>
    <col min="3" max="3" width="4.875" bestFit="1" customWidth="1"/>
    <col min="4" max="4" width="6" bestFit="1" customWidth="1"/>
    <col min="5" max="5" width="4.875" bestFit="1" customWidth="1"/>
    <col min="6" max="6" width="5.75" bestFit="1" customWidth="1"/>
  </cols>
  <sheetData>
    <row r="1" spans="1:7" x14ac:dyDescent="0.2">
      <c r="A1" s="2" t="s">
        <v>89</v>
      </c>
      <c r="B1" s="2" t="s">
        <v>4597</v>
      </c>
      <c r="C1" s="2" t="s">
        <v>6974</v>
      </c>
      <c r="D1" s="67" t="s">
        <v>6066</v>
      </c>
      <c r="E1" s="67" t="s">
        <v>6067</v>
      </c>
      <c r="F1" s="2" t="s">
        <v>6065</v>
      </c>
      <c r="G1" s="2" t="s">
        <v>80</v>
      </c>
    </row>
    <row r="2" spans="1:7" x14ac:dyDescent="0.2">
      <c r="A2" t="s">
        <v>1349</v>
      </c>
      <c r="B2">
        <v>1010012</v>
      </c>
      <c r="C2" t="s">
        <v>6068</v>
      </c>
      <c r="D2">
        <f>+COUNTIF(WP!M:M,A2)</f>
        <v>0</v>
      </c>
      <c r="E2">
        <f>+COUNTIF(WP!V:V,A2)</f>
        <v>1</v>
      </c>
      <c r="F2">
        <f t="shared" ref="F2:F33" si="0">+LEN(G2)</f>
        <v>70</v>
      </c>
      <c r="G2" t="s">
        <v>6071</v>
      </c>
    </row>
    <row r="3" spans="1:7" x14ac:dyDescent="0.2">
      <c r="A3" t="s">
        <v>718</v>
      </c>
      <c r="B3">
        <v>1010006</v>
      </c>
      <c r="C3" t="s">
        <v>6068</v>
      </c>
      <c r="D3">
        <f>+COUNTIF(WP!M:M,A3)</f>
        <v>0</v>
      </c>
      <c r="E3">
        <f>+COUNTIF(WP!V:V,A3)</f>
        <v>1</v>
      </c>
      <c r="F3">
        <f t="shared" si="0"/>
        <v>41</v>
      </c>
      <c r="G3" t="s">
        <v>6116</v>
      </c>
    </row>
    <row r="4" spans="1:7" x14ac:dyDescent="0.2">
      <c r="A4" t="s">
        <v>7113</v>
      </c>
      <c r="B4">
        <v>1070002</v>
      </c>
      <c r="C4" t="s">
        <v>6068</v>
      </c>
      <c r="D4">
        <f>+COUNTIF(WP!M:M,A4)</f>
        <v>0</v>
      </c>
      <c r="E4">
        <f>+COUNTIF(WP!V:V,A4)</f>
        <v>1</v>
      </c>
      <c r="F4">
        <f t="shared" si="0"/>
        <v>43</v>
      </c>
      <c r="G4" t="s">
        <v>7114</v>
      </c>
    </row>
    <row r="5" spans="1:7" x14ac:dyDescent="0.2">
      <c r="A5" t="s">
        <v>7143</v>
      </c>
      <c r="B5">
        <v>1020011</v>
      </c>
      <c r="C5" t="s">
        <v>6068</v>
      </c>
      <c r="D5">
        <f>+COUNTIF(WP!M:M,A5)</f>
        <v>0</v>
      </c>
      <c r="E5">
        <f>+COUNTIF(WP!V:V,A5)</f>
        <v>1</v>
      </c>
      <c r="F5">
        <f t="shared" si="0"/>
        <v>107</v>
      </c>
      <c r="G5" t="s">
        <v>7144</v>
      </c>
    </row>
    <row r="6" spans="1:7" x14ac:dyDescent="0.2">
      <c r="A6" t="s">
        <v>1903</v>
      </c>
      <c r="B6">
        <v>1010051</v>
      </c>
      <c r="C6" t="s">
        <v>6068</v>
      </c>
      <c r="D6">
        <f>+COUNTIF(WP!M:M,A6)</f>
        <v>0</v>
      </c>
      <c r="E6">
        <f>+COUNTIF(WP!V:V,A6)</f>
        <v>1</v>
      </c>
      <c r="F6">
        <f t="shared" si="0"/>
        <v>47</v>
      </c>
      <c r="G6" t="s">
        <v>6151</v>
      </c>
    </row>
    <row r="7" spans="1:7" x14ac:dyDescent="0.2">
      <c r="A7" t="s">
        <v>618</v>
      </c>
      <c r="B7">
        <v>1020003</v>
      </c>
      <c r="C7" t="s">
        <v>6068</v>
      </c>
      <c r="D7">
        <f>+COUNTIF(WP!M:M,A7)</f>
        <v>0</v>
      </c>
      <c r="E7">
        <f>+COUNTIF(WP!V:V,A7)</f>
        <v>1</v>
      </c>
      <c r="F7">
        <f t="shared" si="0"/>
        <v>25</v>
      </c>
      <c r="G7" t="s">
        <v>6153</v>
      </c>
    </row>
    <row r="8" spans="1:7" x14ac:dyDescent="0.2">
      <c r="A8" t="s">
        <v>7266</v>
      </c>
      <c r="B8">
        <v>1020005</v>
      </c>
      <c r="C8" t="s">
        <v>6068</v>
      </c>
      <c r="D8">
        <f>+COUNTIF(WP!M:M,A8)</f>
        <v>0</v>
      </c>
      <c r="E8">
        <f>+COUNTIF(WP!V:V,A8)</f>
        <v>1</v>
      </c>
      <c r="F8">
        <f t="shared" si="0"/>
        <v>39</v>
      </c>
      <c r="G8" t="s">
        <v>7267</v>
      </c>
    </row>
    <row r="9" spans="1:7" x14ac:dyDescent="0.2">
      <c r="A9" t="s">
        <v>1321</v>
      </c>
      <c r="B9">
        <v>1070013</v>
      </c>
      <c r="C9" t="s">
        <v>6068</v>
      </c>
      <c r="D9">
        <f>+COUNTIF(WP!M:M,A9)</f>
        <v>0</v>
      </c>
      <c r="E9">
        <f>+COUNTIF(WP!V:V,A9)</f>
        <v>1</v>
      </c>
      <c r="F9">
        <f t="shared" si="0"/>
        <v>47</v>
      </c>
      <c r="G9" t="s">
        <v>6229</v>
      </c>
    </row>
    <row r="10" spans="1:7" x14ac:dyDescent="0.2">
      <c r="A10" t="s">
        <v>1877</v>
      </c>
      <c r="B10">
        <v>1020013</v>
      </c>
      <c r="C10" t="s">
        <v>6068</v>
      </c>
      <c r="D10">
        <f>+COUNTIF(WP!M:M,A10)</f>
        <v>0</v>
      </c>
      <c r="E10">
        <f>+COUNTIF(WP!V:V,A10)</f>
        <v>1</v>
      </c>
      <c r="F10">
        <f t="shared" si="0"/>
        <v>47</v>
      </c>
      <c r="G10" t="s">
        <v>6253</v>
      </c>
    </row>
    <row r="11" spans="1:7" x14ac:dyDescent="0.2">
      <c r="A11" t="s">
        <v>7828</v>
      </c>
      <c r="B11">
        <v>1070004</v>
      </c>
      <c r="C11" t="s">
        <v>6068</v>
      </c>
      <c r="D11">
        <f>+COUNTIF(WP!M:M,A11)</f>
        <v>0</v>
      </c>
      <c r="E11">
        <f>+COUNTIF(WP!V:V,A11)</f>
        <v>1</v>
      </c>
      <c r="F11">
        <f t="shared" si="0"/>
        <v>45</v>
      </c>
      <c r="G11" t="s">
        <v>7829</v>
      </c>
    </row>
    <row r="12" spans="1:7" x14ac:dyDescent="0.2">
      <c r="A12" t="s">
        <v>2605</v>
      </c>
      <c r="B12">
        <v>1070004</v>
      </c>
      <c r="C12" t="s">
        <v>6068</v>
      </c>
      <c r="D12">
        <f>+COUNTIF(WP!M:M,A12)</f>
        <v>0</v>
      </c>
      <c r="E12">
        <f>+COUNTIF(WP!V:V,A12)</f>
        <v>1</v>
      </c>
      <c r="F12">
        <f t="shared" si="0"/>
        <v>45</v>
      </c>
      <c r="G12" t="s">
        <v>6344</v>
      </c>
    </row>
    <row r="13" spans="1:7" x14ac:dyDescent="0.2">
      <c r="A13" t="s">
        <v>14720</v>
      </c>
      <c r="B13">
        <v>1020011</v>
      </c>
      <c r="C13" t="s">
        <v>6068</v>
      </c>
      <c r="D13">
        <f>+COUNTIF(WP!M:M,A13)</f>
        <v>0</v>
      </c>
      <c r="E13">
        <f>+COUNTIF(WP!V:V,A13)</f>
        <v>1</v>
      </c>
      <c r="F13">
        <f t="shared" si="0"/>
        <v>175</v>
      </c>
      <c r="G13" t="s">
        <v>7858</v>
      </c>
    </row>
    <row r="14" spans="1:7" x14ac:dyDescent="0.2">
      <c r="A14" t="s">
        <v>8010</v>
      </c>
      <c r="B14">
        <v>1070017</v>
      </c>
      <c r="C14" t="s">
        <v>6068</v>
      </c>
      <c r="D14">
        <f>+COUNTIF(WP!M:M,A14)</f>
        <v>0</v>
      </c>
      <c r="E14">
        <f>+COUNTIF(WP!V:V,A14)</f>
        <v>1</v>
      </c>
      <c r="F14">
        <f t="shared" si="0"/>
        <v>50</v>
      </c>
      <c r="G14" t="s">
        <v>8011</v>
      </c>
    </row>
    <row r="15" spans="1:7" x14ac:dyDescent="0.2">
      <c r="A15" t="s">
        <v>8135</v>
      </c>
      <c r="B15">
        <v>1070018</v>
      </c>
      <c r="C15" t="s">
        <v>6068</v>
      </c>
      <c r="D15">
        <f>+COUNTIF(WP!M:M,A15)</f>
        <v>0</v>
      </c>
      <c r="E15">
        <f>+COUNTIF(WP!V:V,A15)</f>
        <v>1</v>
      </c>
      <c r="F15">
        <f t="shared" si="0"/>
        <v>47</v>
      </c>
      <c r="G15" t="s">
        <v>8136</v>
      </c>
    </row>
    <row r="16" spans="1:7" x14ac:dyDescent="0.2">
      <c r="A16" t="s">
        <v>8203</v>
      </c>
      <c r="B16">
        <v>1070006</v>
      </c>
      <c r="C16" t="s">
        <v>6068</v>
      </c>
      <c r="D16">
        <f>+COUNTIF(WP!M:M,A16)</f>
        <v>0</v>
      </c>
      <c r="E16">
        <f>+COUNTIF(WP!V:V,A16)</f>
        <v>1</v>
      </c>
      <c r="F16">
        <f t="shared" si="0"/>
        <v>43</v>
      </c>
      <c r="G16" t="s">
        <v>8204</v>
      </c>
    </row>
    <row r="17" spans="1:7" x14ac:dyDescent="0.2">
      <c r="A17" t="s">
        <v>3800</v>
      </c>
      <c r="B17">
        <v>1030005</v>
      </c>
      <c r="C17" t="s">
        <v>6068</v>
      </c>
      <c r="D17">
        <f>+COUNTIF(WP!M:M,A17)</f>
        <v>0</v>
      </c>
      <c r="E17">
        <f>+COUNTIF(WP!V:V,A17)</f>
        <v>2</v>
      </c>
      <c r="F17">
        <f t="shared" si="0"/>
        <v>44</v>
      </c>
      <c r="G17" t="s">
        <v>6097</v>
      </c>
    </row>
    <row r="18" spans="1:7" x14ac:dyDescent="0.2">
      <c r="A18" t="s">
        <v>1320</v>
      </c>
      <c r="B18">
        <v>1030002</v>
      </c>
      <c r="C18" t="s">
        <v>6068</v>
      </c>
      <c r="D18">
        <f>+COUNTIF(WP!M:M,A18)</f>
        <v>0</v>
      </c>
      <c r="E18">
        <f>+COUNTIF(WP!V:V,A18)</f>
        <v>2</v>
      </c>
      <c r="F18">
        <f t="shared" si="0"/>
        <v>42</v>
      </c>
      <c r="G18" t="s">
        <v>6118</v>
      </c>
    </row>
    <row r="19" spans="1:7" x14ac:dyDescent="0.2">
      <c r="A19" t="s">
        <v>385</v>
      </c>
      <c r="B19">
        <v>1020010</v>
      </c>
      <c r="C19" t="s">
        <v>6068</v>
      </c>
      <c r="D19">
        <f>+COUNTIF(WP!M:M,A19)</f>
        <v>0</v>
      </c>
      <c r="E19">
        <f>+COUNTIF(WP!V:V,A19)</f>
        <v>2</v>
      </c>
      <c r="F19">
        <f t="shared" si="0"/>
        <v>31</v>
      </c>
      <c r="G19" t="s">
        <v>6141</v>
      </c>
    </row>
    <row r="20" spans="1:7" x14ac:dyDescent="0.2">
      <c r="A20" t="s">
        <v>1970</v>
      </c>
      <c r="B20">
        <v>1030003</v>
      </c>
      <c r="C20" t="s">
        <v>6068</v>
      </c>
      <c r="D20">
        <f>+COUNTIF(WP!M:M,A20)</f>
        <v>0</v>
      </c>
      <c r="E20">
        <f>+COUNTIF(WP!V:V,A20)</f>
        <v>2</v>
      </c>
      <c r="F20">
        <f t="shared" si="0"/>
        <v>43</v>
      </c>
      <c r="G20" t="s">
        <v>6224</v>
      </c>
    </row>
    <row r="21" spans="1:7" x14ac:dyDescent="0.2">
      <c r="A21" t="s">
        <v>634</v>
      </c>
      <c r="B21">
        <v>1020002</v>
      </c>
      <c r="C21" t="s">
        <v>6068</v>
      </c>
      <c r="D21">
        <f>+COUNTIF(WP!M:M,A21)</f>
        <v>0</v>
      </c>
      <c r="E21">
        <f>+COUNTIF(WP!V:V,A21)</f>
        <v>2</v>
      </c>
      <c r="F21">
        <f t="shared" si="0"/>
        <v>75</v>
      </c>
      <c r="G21" t="s">
        <v>6306</v>
      </c>
    </row>
    <row r="22" spans="1:7" x14ac:dyDescent="0.2">
      <c r="A22" t="s">
        <v>2842</v>
      </c>
      <c r="B22">
        <v>1030001</v>
      </c>
      <c r="C22" t="s">
        <v>6068</v>
      </c>
      <c r="D22">
        <f>+COUNTIF(WP!M:M,A22)</f>
        <v>0</v>
      </c>
      <c r="E22">
        <f>+COUNTIF(WP!V:V,A22)</f>
        <v>2</v>
      </c>
      <c r="F22">
        <f t="shared" si="0"/>
        <v>41</v>
      </c>
      <c r="G22" t="s">
        <v>6359</v>
      </c>
    </row>
    <row r="23" spans="1:7" x14ac:dyDescent="0.2">
      <c r="A23" t="s">
        <v>8081</v>
      </c>
      <c r="B23">
        <v>1020002</v>
      </c>
      <c r="C23" t="s">
        <v>6068</v>
      </c>
      <c r="D23">
        <f>+COUNTIF(WP!M:M,A23)</f>
        <v>0</v>
      </c>
      <c r="E23">
        <f>+COUNTIF(WP!V:V,A23)</f>
        <v>2</v>
      </c>
      <c r="F23">
        <f t="shared" si="0"/>
        <v>86</v>
      </c>
      <c r="G23" t="s">
        <v>8082</v>
      </c>
    </row>
    <row r="24" spans="1:7" x14ac:dyDescent="0.2">
      <c r="A24" t="s">
        <v>152</v>
      </c>
      <c r="B24">
        <v>1030010</v>
      </c>
      <c r="C24" t="s">
        <v>6068</v>
      </c>
      <c r="D24">
        <f>+COUNTIF(WP!M:M,A24)</f>
        <v>0</v>
      </c>
      <c r="E24">
        <f>+COUNTIF(WP!V:V,A24)</f>
        <v>2</v>
      </c>
      <c r="F24">
        <f t="shared" si="0"/>
        <v>40</v>
      </c>
      <c r="G24" t="s">
        <v>6456</v>
      </c>
    </row>
    <row r="25" spans="1:7" x14ac:dyDescent="0.2">
      <c r="A25" t="s">
        <v>2020</v>
      </c>
      <c r="B25">
        <v>1030009</v>
      </c>
      <c r="C25" t="s">
        <v>6068</v>
      </c>
      <c r="D25">
        <f>+COUNTIF(WP!M:M,A25)</f>
        <v>0</v>
      </c>
      <c r="E25">
        <f>+COUNTIF(WP!V:V,A25)</f>
        <v>3</v>
      </c>
      <c r="F25">
        <f t="shared" si="0"/>
        <v>38</v>
      </c>
      <c r="G25" t="s">
        <v>6104</v>
      </c>
    </row>
    <row r="26" spans="1:7" x14ac:dyDescent="0.2">
      <c r="A26" t="s">
        <v>2860</v>
      </c>
      <c r="B26">
        <v>1030007</v>
      </c>
      <c r="C26" t="s">
        <v>6068</v>
      </c>
      <c r="D26">
        <f>+COUNTIF(WP!M:M,A26)</f>
        <v>0</v>
      </c>
      <c r="E26">
        <f>+COUNTIF(WP!V:V,A26)</f>
        <v>3</v>
      </c>
      <c r="F26">
        <f t="shared" si="0"/>
        <v>41</v>
      </c>
      <c r="G26" t="s">
        <v>6145</v>
      </c>
    </row>
    <row r="27" spans="1:7" x14ac:dyDescent="0.2">
      <c r="A27" t="s">
        <v>3914</v>
      </c>
      <c r="B27">
        <v>1030004</v>
      </c>
      <c r="C27" t="s">
        <v>6068</v>
      </c>
      <c r="D27">
        <f>+COUNTIF(WP!M:M,A27)</f>
        <v>0</v>
      </c>
      <c r="E27">
        <f>+COUNTIF(WP!V:V,A27)</f>
        <v>3</v>
      </c>
      <c r="F27">
        <f t="shared" si="0"/>
        <v>44</v>
      </c>
      <c r="G27" t="s">
        <v>6340</v>
      </c>
    </row>
    <row r="28" spans="1:7" x14ac:dyDescent="0.2">
      <c r="A28" t="s">
        <v>130</v>
      </c>
      <c r="B28">
        <v>1030006</v>
      </c>
      <c r="C28" t="s">
        <v>6068</v>
      </c>
      <c r="D28">
        <f>+COUNTIF(WP!M:M,A28)</f>
        <v>0</v>
      </c>
      <c r="E28">
        <f>+COUNTIF(WP!V:V,A28)</f>
        <v>3</v>
      </c>
      <c r="F28">
        <f t="shared" si="0"/>
        <v>39</v>
      </c>
      <c r="G28" t="s">
        <v>6479</v>
      </c>
    </row>
    <row r="29" spans="1:7" x14ac:dyDescent="0.2">
      <c r="A29" t="s">
        <v>563</v>
      </c>
      <c r="B29">
        <v>1020003</v>
      </c>
      <c r="C29" t="s">
        <v>6068</v>
      </c>
      <c r="D29">
        <f>+COUNTIF(WP!M:M,A29)</f>
        <v>0</v>
      </c>
      <c r="E29">
        <f>+COUNTIF(WP!V:V,A29)</f>
        <v>4</v>
      </c>
      <c r="F29">
        <f t="shared" si="0"/>
        <v>25</v>
      </c>
      <c r="G29" t="s">
        <v>7213</v>
      </c>
    </row>
    <row r="30" spans="1:7" x14ac:dyDescent="0.2">
      <c r="A30" t="s">
        <v>2322</v>
      </c>
      <c r="B30">
        <v>1020009</v>
      </c>
      <c r="C30" t="s">
        <v>6068</v>
      </c>
      <c r="D30">
        <f>+COUNTIF(WP!M:M,A30)</f>
        <v>0</v>
      </c>
      <c r="E30">
        <f>+COUNTIF(WP!V:V,A30)</f>
        <v>6</v>
      </c>
      <c r="F30">
        <f t="shared" si="0"/>
        <v>48</v>
      </c>
      <c r="G30" t="s">
        <v>6407</v>
      </c>
    </row>
    <row r="31" spans="1:7" x14ac:dyDescent="0.2">
      <c r="A31" t="s">
        <v>14721</v>
      </c>
      <c r="B31">
        <v>1020010</v>
      </c>
      <c r="C31" t="s">
        <v>6068</v>
      </c>
      <c r="D31">
        <f>+COUNTIF(WP!M:M,A31)</f>
        <v>1</v>
      </c>
      <c r="E31">
        <f>+COUNTIF(WP!V:V,A31)</f>
        <v>0</v>
      </c>
      <c r="F31">
        <f t="shared" si="0"/>
        <v>58</v>
      </c>
      <c r="G31" t="s">
        <v>14722</v>
      </c>
    </row>
    <row r="32" spans="1:7" x14ac:dyDescent="0.2">
      <c r="A32" t="s">
        <v>14723</v>
      </c>
      <c r="B32">
        <v>1020010</v>
      </c>
      <c r="C32" t="s">
        <v>6068</v>
      </c>
      <c r="D32">
        <f>+COUNTIF(WP!M:M,A32)</f>
        <v>1</v>
      </c>
      <c r="E32">
        <f>+COUNTIF(WP!V:V,A32)</f>
        <v>0</v>
      </c>
      <c r="F32">
        <f t="shared" si="0"/>
        <v>57</v>
      </c>
      <c r="G32" t="s">
        <v>14724</v>
      </c>
    </row>
    <row r="33" spans="1:7" x14ac:dyDescent="0.2">
      <c r="A33" t="s">
        <v>14725</v>
      </c>
      <c r="B33">
        <v>1020011</v>
      </c>
      <c r="C33" t="s">
        <v>6068</v>
      </c>
      <c r="D33">
        <f>+COUNTIF(WP!M:M,A33)</f>
        <v>1</v>
      </c>
      <c r="E33">
        <f>+COUNTIF(WP!V:V,A33)</f>
        <v>0</v>
      </c>
      <c r="F33">
        <f t="shared" si="0"/>
        <v>81</v>
      </c>
      <c r="G33" t="s">
        <v>14726</v>
      </c>
    </row>
    <row r="34" spans="1:7" x14ac:dyDescent="0.2">
      <c r="A34" t="s">
        <v>14727</v>
      </c>
      <c r="B34">
        <v>1030012</v>
      </c>
      <c r="C34" t="s">
        <v>6068</v>
      </c>
      <c r="D34">
        <f>+COUNTIF(WP!M:M,A34)</f>
        <v>1</v>
      </c>
      <c r="E34">
        <f>+COUNTIF(WP!V:V,A34)</f>
        <v>0</v>
      </c>
      <c r="F34">
        <f t="shared" ref="F34:F65" si="1">+LEN(G34)</f>
        <v>81</v>
      </c>
      <c r="G34" t="s">
        <v>14728</v>
      </c>
    </row>
    <row r="35" spans="1:7" x14ac:dyDescent="0.2">
      <c r="A35" t="s">
        <v>14729</v>
      </c>
      <c r="B35">
        <v>1030012</v>
      </c>
      <c r="C35" t="s">
        <v>6068</v>
      </c>
      <c r="D35">
        <f>+COUNTIF(WP!M:M,A35)</f>
        <v>1</v>
      </c>
      <c r="E35">
        <f>+COUNTIF(WP!V:V,A35)</f>
        <v>0</v>
      </c>
      <c r="F35">
        <f t="shared" si="1"/>
        <v>81</v>
      </c>
      <c r="G35" t="s">
        <v>14730</v>
      </c>
    </row>
    <row r="36" spans="1:7" x14ac:dyDescent="0.2">
      <c r="A36" t="s">
        <v>14731</v>
      </c>
      <c r="B36">
        <v>1020010</v>
      </c>
      <c r="C36" t="s">
        <v>6068</v>
      </c>
      <c r="D36">
        <f>+COUNTIF(WP!M:M,A36)</f>
        <v>1</v>
      </c>
      <c r="E36">
        <f>+COUNTIF(WP!V:V,A36)</f>
        <v>0</v>
      </c>
      <c r="F36">
        <f t="shared" si="1"/>
        <v>63</v>
      </c>
      <c r="G36" t="s">
        <v>14732</v>
      </c>
    </row>
    <row r="37" spans="1:7" x14ac:dyDescent="0.2">
      <c r="A37" t="s">
        <v>14733</v>
      </c>
      <c r="B37">
        <v>1020004</v>
      </c>
      <c r="C37" t="s">
        <v>6068</v>
      </c>
      <c r="D37">
        <f>+COUNTIF(WP!M:M,A37)</f>
        <v>1</v>
      </c>
      <c r="E37">
        <f>+COUNTIF(WP!V:V,A37)</f>
        <v>0</v>
      </c>
      <c r="F37">
        <f t="shared" si="1"/>
        <v>71</v>
      </c>
      <c r="G37" t="s">
        <v>14734</v>
      </c>
    </row>
    <row r="38" spans="1:7" x14ac:dyDescent="0.2">
      <c r="A38" t="s">
        <v>14735</v>
      </c>
      <c r="B38">
        <v>1020011</v>
      </c>
      <c r="C38" t="s">
        <v>6068</v>
      </c>
      <c r="D38">
        <f>+COUNTIF(WP!M:M,A38)</f>
        <v>1</v>
      </c>
      <c r="E38">
        <f>+COUNTIF(WP!V:V,A38)</f>
        <v>0</v>
      </c>
      <c r="F38">
        <f t="shared" si="1"/>
        <v>85</v>
      </c>
      <c r="G38" t="s">
        <v>14736</v>
      </c>
    </row>
    <row r="39" spans="1:7" x14ac:dyDescent="0.2">
      <c r="A39" t="s">
        <v>14737</v>
      </c>
      <c r="B39">
        <v>1020010</v>
      </c>
      <c r="C39" t="s">
        <v>6068</v>
      </c>
      <c r="D39">
        <f>+COUNTIF(WP!M:M,A39)</f>
        <v>1</v>
      </c>
      <c r="E39">
        <f>+COUNTIF(WP!V:V,A39)</f>
        <v>0</v>
      </c>
      <c r="F39">
        <f t="shared" si="1"/>
        <v>64</v>
      </c>
      <c r="G39" t="s">
        <v>14738</v>
      </c>
    </row>
    <row r="40" spans="1:7" x14ac:dyDescent="0.2">
      <c r="A40" t="s">
        <v>14739</v>
      </c>
      <c r="B40">
        <v>1020010</v>
      </c>
      <c r="C40" t="s">
        <v>6068</v>
      </c>
      <c r="D40">
        <f>+COUNTIF(WP!M:M,A40)</f>
        <v>1</v>
      </c>
      <c r="E40">
        <f>+COUNTIF(WP!V:V,A40)</f>
        <v>0</v>
      </c>
      <c r="F40">
        <f t="shared" si="1"/>
        <v>102</v>
      </c>
      <c r="G40" t="s">
        <v>14740</v>
      </c>
    </row>
    <row r="41" spans="1:7" x14ac:dyDescent="0.2">
      <c r="A41" t="s">
        <v>14741</v>
      </c>
      <c r="B41">
        <v>1030004</v>
      </c>
      <c r="C41" t="s">
        <v>6068</v>
      </c>
      <c r="D41">
        <f>+COUNTIF(WP!M:M,A41)</f>
        <v>1</v>
      </c>
      <c r="E41">
        <f>+COUNTIF(WP!V:V,A41)</f>
        <v>0</v>
      </c>
      <c r="F41">
        <f t="shared" si="1"/>
        <v>77</v>
      </c>
      <c r="G41" t="s">
        <v>14742</v>
      </c>
    </row>
    <row r="42" spans="1:7" x14ac:dyDescent="0.2">
      <c r="A42" t="s">
        <v>14743</v>
      </c>
      <c r="B42">
        <v>1020004</v>
      </c>
      <c r="C42" t="s">
        <v>6068</v>
      </c>
      <c r="D42">
        <f>+COUNTIF(WP!M:M,A42)</f>
        <v>1</v>
      </c>
      <c r="E42">
        <f>+COUNTIF(WP!V:V,A42)</f>
        <v>0</v>
      </c>
      <c r="F42">
        <f t="shared" si="1"/>
        <v>72</v>
      </c>
      <c r="G42" t="s">
        <v>14744</v>
      </c>
    </row>
    <row r="43" spans="1:7" x14ac:dyDescent="0.2">
      <c r="A43" t="s">
        <v>14745</v>
      </c>
      <c r="B43">
        <v>1020010</v>
      </c>
      <c r="C43" t="s">
        <v>6068</v>
      </c>
      <c r="D43">
        <f>+COUNTIF(WP!M:M,A43)</f>
        <v>1</v>
      </c>
      <c r="E43">
        <f>+COUNTIF(WP!V:V,A43)</f>
        <v>0</v>
      </c>
      <c r="F43">
        <f t="shared" si="1"/>
        <v>59</v>
      </c>
      <c r="G43" t="s">
        <v>14746</v>
      </c>
    </row>
    <row r="44" spans="1:7" x14ac:dyDescent="0.2">
      <c r="A44" t="s">
        <v>14747</v>
      </c>
      <c r="B44">
        <v>1020010</v>
      </c>
      <c r="C44" t="s">
        <v>6068</v>
      </c>
      <c r="D44">
        <f>+COUNTIF(WP!M:M,A44)</f>
        <v>1</v>
      </c>
      <c r="E44">
        <f>+COUNTIF(WP!V:V,A44)</f>
        <v>0</v>
      </c>
      <c r="F44">
        <f t="shared" si="1"/>
        <v>58</v>
      </c>
      <c r="G44" t="s">
        <v>14748</v>
      </c>
    </row>
    <row r="45" spans="1:7" x14ac:dyDescent="0.2">
      <c r="A45" t="s">
        <v>14749</v>
      </c>
      <c r="B45">
        <v>1030012</v>
      </c>
      <c r="C45" t="s">
        <v>6068</v>
      </c>
      <c r="D45">
        <f>+COUNTIF(WP!M:M,A45)</f>
        <v>1</v>
      </c>
      <c r="E45">
        <f>+COUNTIF(WP!V:V,A45)</f>
        <v>0</v>
      </c>
      <c r="F45">
        <f t="shared" si="1"/>
        <v>81</v>
      </c>
      <c r="G45" t="s">
        <v>14750</v>
      </c>
    </row>
    <row r="46" spans="1:7" x14ac:dyDescent="0.2">
      <c r="A46" t="s">
        <v>14751</v>
      </c>
      <c r="B46">
        <v>1020010</v>
      </c>
      <c r="C46" t="s">
        <v>6068</v>
      </c>
      <c r="D46">
        <f>+COUNTIF(WP!M:M,A46)</f>
        <v>1</v>
      </c>
      <c r="E46">
        <f>+COUNTIF(WP!V:V,A46)</f>
        <v>0</v>
      </c>
      <c r="F46">
        <f t="shared" si="1"/>
        <v>101</v>
      </c>
      <c r="G46" t="s">
        <v>14752</v>
      </c>
    </row>
    <row r="47" spans="1:7" x14ac:dyDescent="0.2">
      <c r="A47" t="s">
        <v>14753</v>
      </c>
      <c r="B47">
        <v>1020004</v>
      </c>
      <c r="C47" t="s">
        <v>6068</v>
      </c>
      <c r="D47">
        <f>+COUNTIF(WP!M:M,A47)</f>
        <v>1</v>
      </c>
      <c r="E47">
        <f>+COUNTIF(WP!V:V,A47)</f>
        <v>0</v>
      </c>
      <c r="F47">
        <f t="shared" si="1"/>
        <v>71</v>
      </c>
      <c r="G47" t="s">
        <v>14754</v>
      </c>
    </row>
    <row r="48" spans="1:7" x14ac:dyDescent="0.2">
      <c r="A48" t="s">
        <v>14755</v>
      </c>
      <c r="B48">
        <v>1020004</v>
      </c>
      <c r="C48" t="s">
        <v>6068</v>
      </c>
      <c r="D48">
        <f>+COUNTIF(WP!M:M,A48)</f>
        <v>1</v>
      </c>
      <c r="E48">
        <f>+COUNTIF(WP!V:V,A48)</f>
        <v>0</v>
      </c>
      <c r="F48">
        <f t="shared" si="1"/>
        <v>71</v>
      </c>
      <c r="G48" t="s">
        <v>14756</v>
      </c>
    </row>
    <row r="49" spans="1:7" x14ac:dyDescent="0.2">
      <c r="A49" t="s">
        <v>14757</v>
      </c>
      <c r="B49">
        <v>1030012</v>
      </c>
      <c r="C49" t="s">
        <v>6068</v>
      </c>
      <c r="D49">
        <f>+COUNTIF(WP!M:M,A49)</f>
        <v>1</v>
      </c>
      <c r="E49">
        <f>+COUNTIF(WP!V:V,A49)</f>
        <v>0</v>
      </c>
      <c r="F49">
        <f t="shared" si="1"/>
        <v>80</v>
      </c>
      <c r="G49" t="s">
        <v>14758</v>
      </c>
    </row>
    <row r="50" spans="1:7" x14ac:dyDescent="0.2">
      <c r="A50" t="s">
        <v>14759</v>
      </c>
      <c r="B50">
        <v>1010009</v>
      </c>
      <c r="C50" t="s">
        <v>6068</v>
      </c>
      <c r="D50">
        <f>+COUNTIF(WP!M:M,A50)</f>
        <v>1</v>
      </c>
      <c r="E50">
        <f>+COUNTIF(WP!V:V,A50)</f>
        <v>0</v>
      </c>
      <c r="F50">
        <f t="shared" si="1"/>
        <v>82</v>
      </c>
      <c r="G50" t="s">
        <v>14760</v>
      </c>
    </row>
    <row r="51" spans="1:7" x14ac:dyDescent="0.2">
      <c r="A51" t="s">
        <v>14761</v>
      </c>
      <c r="B51">
        <v>1020011</v>
      </c>
      <c r="C51" t="s">
        <v>6068</v>
      </c>
      <c r="D51">
        <f>+COUNTIF(WP!M:M,A51)</f>
        <v>1</v>
      </c>
      <c r="E51">
        <f>+COUNTIF(WP!V:V,A51)</f>
        <v>0</v>
      </c>
      <c r="F51">
        <f t="shared" si="1"/>
        <v>84</v>
      </c>
      <c r="G51" t="s">
        <v>14762</v>
      </c>
    </row>
    <row r="52" spans="1:7" x14ac:dyDescent="0.2">
      <c r="A52" t="s">
        <v>14763</v>
      </c>
      <c r="B52">
        <v>1020010</v>
      </c>
      <c r="C52" t="s">
        <v>6068</v>
      </c>
      <c r="D52">
        <f>+COUNTIF(WP!M:M,A52)</f>
        <v>1</v>
      </c>
      <c r="E52">
        <f>+COUNTIF(WP!V:V,A52)</f>
        <v>0</v>
      </c>
      <c r="F52">
        <f t="shared" si="1"/>
        <v>62</v>
      </c>
      <c r="G52" t="s">
        <v>14764</v>
      </c>
    </row>
    <row r="53" spans="1:7" x14ac:dyDescent="0.2">
      <c r="A53" t="s">
        <v>14765</v>
      </c>
      <c r="B53">
        <v>1020010</v>
      </c>
      <c r="C53" t="s">
        <v>6068</v>
      </c>
      <c r="D53">
        <f>+COUNTIF(WP!M:M,A53)</f>
        <v>1</v>
      </c>
      <c r="E53">
        <f>+COUNTIF(WP!V:V,A53)</f>
        <v>0</v>
      </c>
      <c r="F53">
        <f t="shared" si="1"/>
        <v>100</v>
      </c>
      <c r="G53" t="s">
        <v>14766</v>
      </c>
    </row>
    <row r="54" spans="1:7" x14ac:dyDescent="0.2">
      <c r="A54" t="s">
        <v>4001</v>
      </c>
      <c r="B54">
        <v>1010012</v>
      </c>
      <c r="C54" t="s">
        <v>6068</v>
      </c>
      <c r="D54">
        <f>+COUNTIF(WP!M:M,A54)</f>
        <v>1</v>
      </c>
      <c r="E54">
        <f>+COUNTIF(WP!V:V,A54)</f>
        <v>0</v>
      </c>
      <c r="F54">
        <f t="shared" si="1"/>
        <v>70</v>
      </c>
      <c r="G54" t="s">
        <v>6072</v>
      </c>
    </row>
    <row r="55" spans="1:7" x14ac:dyDescent="0.2">
      <c r="A55" t="s">
        <v>14767</v>
      </c>
      <c r="B55">
        <v>1130001</v>
      </c>
      <c r="C55" t="s">
        <v>6068</v>
      </c>
      <c r="D55">
        <f>+COUNTIF(WP!M:M,A55)</f>
        <v>1</v>
      </c>
      <c r="E55">
        <f>+COUNTIF(WP!V:V,A55)</f>
        <v>0</v>
      </c>
      <c r="F55">
        <f t="shared" si="1"/>
        <v>43</v>
      </c>
      <c r="G55" t="s">
        <v>14768</v>
      </c>
    </row>
    <row r="56" spans="1:7" x14ac:dyDescent="0.2">
      <c r="A56" t="s">
        <v>1482</v>
      </c>
      <c r="B56">
        <v>1030005</v>
      </c>
      <c r="C56" t="s">
        <v>6068</v>
      </c>
      <c r="D56">
        <f>+COUNTIF(WP!M:M,A56)</f>
        <v>1</v>
      </c>
      <c r="E56">
        <f>+COUNTIF(WP!V:V,A56)</f>
        <v>0</v>
      </c>
      <c r="F56">
        <f t="shared" si="1"/>
        <v>43</v>
      </c>
      <c r="G56" t="s">
        <v>6098</v>
      </c>
    </row>
    <row r="57" spans="1:7" x14ac:dyDescent="0.2">
      <c r="A57" t="s">
        <v>2275</v>
      </c>
      <c r="B57">
        <v>1030009</v>
      </c>
      <c r="C57" t="s">
        <v>6068</v>
      </c>
      <c r="D57">
        <f>+COUNTIF(WP!M:M,A57)</f>
        <v>1</v>
      </c>
      <c r="E57">
        <f>+COUNTIF(WP!V:V,A57)</f>
        <v>0</v>
      </c>
      <c r="F57">
        <f t="shared" si="1"/>
        <v>37</v>
      </c>
      <c r="G57" t="s">
        <v>6106</v>
      </c>
    </row>
    <row r="58" spans="1:7" x14ac:dyDescent="0.2">
      <c r="A58" t="s">
        <v>7068</v>
      </c>
      <c r="B58">
        <v>1030009</v>
      </c>
      <c r="C58" t="s">
        <v>6068</v>
      </c>
      <c r="D58">
        <f>+COUNTIF(WP!M:M,A58)</f>
        <v>1</v>
      </c>
      <c r="E58">
        <f>+COUNTIF(WP!V:V,A58)</f>
        <v>0</v>
      </c>
      <c r="F58">
        <f t="shared" si="1"/>
        <v>37</v>
      </c>
      <c r="G58" t="s">
        <v>7069</v>
      </c>
    </row>
    <row r="59" spans="1:7" x14ac:dyDescent="0.2">
      <c r="A59" t="s">
        <v>7070</v>
      </c>
      <c r="B59">
        <v>1030009</v>
      </c>
      <c r="C59" t="s">
        <v>6068</v>
      </c>
      <c r="D59">
        <f>+COUNTIF(WP!M:M,A59)</f>
        <v>1</v>
      </c>
      <c r="E59">
        <f>+COUNTIF(WP!V:V,A59)</f>
        <v>0</v>
      </c>
      <c r="F59">
        <f t="shared" si="1"/>
        <v>37</v>
      </c>
      <c r="G59" t="s">
        <v>7071</v>
      </c>
    </row>
    <row r="60" spans="1:7" x14ac:dyDescent="0.2">
      <c r="A60" t="s">
        <v>813</v>
      </c>
      <c r="B60">
        <v>1010009</v>
      </c>
      <c r="C60" t="s">
        <v>6068</v>
      </c>
      <c r="D60">
        <f>+COUNTIF(WP!M:M,A60)</f>
        <v>1</v>
      </c>
      <c r="E60">
        <f>+COUNTIF(WP!V:V,A60)</f>
        <v>0</v>
      </c>
      <c r="F60">
        <f t="shared" si="1"/>
        <v>50</v>
      </c>
      <c r="G60" t="s">
        <v>6111</v>
      </c>
    </row>
    <row r="61" spans="1:7" x14ac:dyDescent="0.2">
      <c r="A61" t="s">
        <v>1180</v>
      </c>
      <c r="B61">
        <v>1030002</v>
      </c>
      <c r="C61" t="s">
        <v>6068</v>
      </c>
      <c r="D61">
        <f>+COUNTIF(WP!M:M,A61)</f>
        <v>1</v>
      </c>
      <c r="E61">
        <f>+COUNTIF(WP!V:V,A61)</f>
        <v>0</v>
      </c>
      <c r="F61">
        <f t="shared" si="1"/>
        <v>41</v>
      </c>
      <c r="G61" t="s">
        <v>6120</v>
      </c>
    </row>
    <row r="62" spans="1:7" x14ac:dyDescent="0.2">
      <c r="A62" t="s">
        <v>1480</v>
      </c>
      <c r="B62">
        <v>1020011</v>
      </c>
      <c r="C62" t="s">
        <v>6068</v>
      </c>
      <c r="D62">
        <f>+COUNTIF(WP!M:M,A62)</f>
        <v>1</v>
      </c>
      <c r="E62">
        <f>+COUNTIF(WP!V:V,A62)</f>
        <v>0</v>
      </c>
      <c r="F62">
        <f t="shared" si="1"/>
        <v>52</v>
      </c>
      <c r="G62" t="s">
        <v>6132</v>
      </c>
    </row>
    <row r="63" spans="1:7" x14ac:dyDescent="0.2">
      <c r="A63" t="s">
        <v>7169</v>
      </c>
      <c r="B63">
        <v>1020010</v>
      </c>
      <c r="C63" t="s">
        <v>6068</v>
      </c>
      <c r="D63">
        <f>+COUNTIF(WP!M:M,A63)</f>
        <v>1</v>
      </c>
      <c r="E63">
        <f>+COUNTIF(WP!V:V,A63)</f>
        <v>0</v>
      </c>
      <c r="F63">
        <f t="shared" si="1"/>
        <v>30</v>
      </c>
      <c r="G63" t="s">
        <v>7170</v>
      </c>
    </row>
    <row r="64" spans="1:7" x14ac:dyDescent="0.2">
      <c r="A64" t="s">
        <v>3023</v>
      </c>
      <c r="B64">
        <v>1030007</v>
      </c>
      <c r="C64" t="s">
        <v>6068</v>
      </c>
      <c r="D64">
        <f>+COUNTIF(WP!M:M,A64)</f>
        <v>1</v>
      </c>
      <c r="E64">
        <f>+COUNTIF(WP!V:V,A64)</f>
        <v>0</v>
      </c>
      <c r="F64">
        <f t="shared" si="1"/>
        <v>40</v>
      </c>
      <c r="G64" t="s">
        <v>6147</v>
      </c>
    </row>
    <row r="65" spans="1:7" x14ac:dyDescent="0.2">
      <c r="A65" t="s">
        <v>7191</v>
      </c>
      <c r="B65">
        <v>1030007</v>
      </c>
      <c r="C65" t="s">
        <v>6068</v>
      </c>
      <c r="D65">
        <f>+COUNTIF(WP!M:M,A65)</f>
        <v>1</v>
      </c>
      <c r="E65">
        <f>+COUNTIF(WP!V:V,A65)</f>
        <v>0</v>
      </c>
      <c r="F65">
        <f t="shared" si="1"/>
        <v>40</v>
      </c>
      <c r="G65" t="s">
        <v>7192</v>
      </c>
    </row>
    <row r="66" spans="1:7" x14ac:dyDescent="0.2">
      <c r="A66" t="s">
        <v>7206</v>
      </c>
      <c r="B66">
        <v>1010051</v>
      </c>
      <c r="C66" t="s">
        <v>6068</v>
      </c>
      <c r="D66">
        <f>+COUNTIF(WP!M:M,A66)</f>
        <v>1</v>
      </c>
      <c r="E66">
        <f>+COUNTIF(WP!V:V,A66)</f>
        <v>0</v>
      </c>
      <c r="F66">
        <f t="shared" ref="F66:F97" si="2">+LEN(G66)</f>
        <v>43</v>
      </c>
      <c r="G66" t="s">
        <v>7207</v>
      </c>
    </row>
    <row r="67" spans="1:7" x14ac:dyDescent="0.2">
      <c r="A67" t="s">
        <v>14769</v>
      </c>
      <c r="B67">
        <v>1010051</v>
      </c>
      <c r="C67" t="s">
        <v>6068</v>
      </c>
      <c r="D67">
        <f>+COUNTIF(WP!M:M,A67)</f>
        <v>1</v>
      </c>
      <c r="E67">
        <f>+COUNTIF(WP!V:V,A67)</f>
        <v>0</v>
      </c>
      <c r="F67">
        <f t="shared" si="2"/>
        <v>47</v>
      </c>
      <c r="G67" t="s">
        <v>14770</v>
      </c>
    </row>
    <row r="68" spans="1:7" x14ac:dyDescent="0.2">
      <c r="A68" t="s">
        <v>7268</v>
      </c>
      <c r="B68">
        <v>1020005</v>
      </c>
      <c r="C68" t="s">
        <v>6068</v>
      </c>
      <c r="D68">
        <f>+COUNTIF(WP!M:M,A68)</f>
        <v>1</v>
      </c>
      <c r="E68">
        <f>+COUNTIF(WP!V:V,A68)</f>
        <v>0</v>
      </c>
      <c r="F68">
        <f t="shared" si="2"/>
        <v>39</v>
      </c>
      <c r="G68" t="s">
        <v>7269</v>
      </c>
    </row>
    <row r="69" spans="1:7" x14ac:dyDescent="0.2">
      <c r="A69" t="s">
        <v>7272</v>
      </c>
      <c r="B69">
        <v>1010003</v>
      </c>
      <c r="C69" t="s">
        <v>6068</v>
      </c>
      <c r="D69">
        <f>+COUNTIF(WP!M:M,A69)</f>
        <v>1</v>
      </c>
      <c r="E69">
        <f>+COUNTIF(WP!V:V,A69)</f>
        <v>0</v>
      </c>
      <c r="F69">
        <f t="shared" si="2"/>
        <v>31</v>
      </c>
      <c r="G69" t="s">
        <v>7273</v>
      </c>
    </row>
    <row r="70" spans="1:7" x14ac:dyDescent="0.2">
      <c r="A70" t="s">
        <v>2274</v>
      </c>
      <c r="B70">
        <v>1010001</v>
      </c>
      <c r="C70" t="s">
        <v>6068</v>
      </c>
      <c r="D70">
        <f>+COUNTIF(WP!M:M,A70)</f>
        <v>1</v>
      </c>
      <c r="E70">
        <f>+COUNTIF(WP!V:V,A70)</f>
        <v>0</v>
      </c>
      <c r="F70">
        <f t="shared" si="2"/>
        <v>37</v>
      </c>
      <c r="G70" t="s">
        <v>6219</v>
      </c>
    </row>
    <row r="71" spans="1:7" x14ac:dyDescent="0.2">
      <c r="A71" t="s">
        <v>2704</v>
      </c>
      <c r="B71">
        <v>1030003</v>
      </c>
      <c r="C71" t="s">
        <v>6068</v>
      </c>
      <c r="D71">
        <f>+COUNTIF(WP!M:M,A71)</f>
        <v>1</v>
      </c>
      <c r="E71">
        <f>+COUNTIF(WP!V:V,A71)</f>
        <v>0</v>
      </c>
      <c r="F71">
        <f t="shared" si="2"/>
        <v>42</v>
      </c>
      <c r="G71" t="s">
        <v>6225</v>
      </c>
    </row>
    <row r="72" spans="1:7" x14ac:dyDescent="0.2">
      <c r="A72" t="s">
        <v>7467</v>
      </c>
      <c r="B72">
        <v>1030003</v>
      </c>
      <c r="C72" t="s">
        <v>6068</v>
      </c>
      <c r="D72">
        <f>+COUNTIF(WP!M:M,A72)</f>
        <v>1</v>
      </c>
      <c r="E72">
        <f>+COUNTIF(WP!V:V,A72)</f>
        <v>0</v>
      </c>
      <c r="F72">
        <f t="shared" si="2"/>
        <v>42</v>
      </c>
      <c r="G72" t="s">
        <v>7468</v>
      </c>
    </row>
    <row r="73" spans="1:7" x14ac:dyDescent="0.2">
      <c r="A73" t="s">
        <v>1564</v>
      </c>
      <c r="B73">
        <v>1070013</v>
      </c>
      <c r="C73" t="s">
        <v>6068</v>
      </c>
      <c r="D73">
        <f>+COUNTIF(WP!M:M,A73)</f>
        <v>1</v>
      </c>
      <c r="E73">
        <f>+COUNTIF(WP!V:V,A73)</f>
        <v>0</v>
      </c>
      <c r="F73">
        <f t="shared" si="2"/>
        <v>47</v>
      </c>
      <c r="G73" t="s">
        <v>6228</v>
      </c>
    </row>
    <row r="74" spans="1:7" x14ac:dyDescent="0.2">
      <c r="A74" t="s">
        <v>7487</v>
      </c>
      <c r="B74">
        <v>1020011</v>
      </c>
      <c r="C74" t="s">
        <v>6068</v>
      </c>
      <c r="D74">
        <f>+COUNTIF(WP!M:M,A74)</f>
        <v>1</v>
      </c>
      <c r="E74">
        <f>+COUNTIF(WP!V:V,A74)</f>
        <v>0</v>
      </c>
      <c r="F74">
        <f t="shared" si="2"/>
        <v>68</v>
      </c>
      <c r="G74" t="s">
        <v>7488</v>
      </c>
    </row>
    <row r="75" spans="1:7" x14ac:dyDescent="0.2">
      <c r="A75" t="s">
        <v>7495</v>
      </c>
      <c r="B75">
        <v>1020010</v>
      </c>
      <c r="C75" t="s">
        <v>6068</v>
      </c>
      <c r="D75">
        <f>+COUNTIF(WP!M:M,A75)</f>
        <v>1</v>
      </c>
      <c r="E75">
        <f>+COUNTIF(WP!V:V,A75)</f>
        <v>0</v>
      </c>
      <c r="F75">
        <f t="shared" si="2"/>
        <v>46</v>
      </c>
      <c r="G75" t="s">
        <v>7496</v>
      </c>
    </row>
    <row r="76" spans="1:7" x14ac:dyDescent="0.2">
      <c r="A76" t="s">
        <v>1029</v>
      </c>
      <c r="B76">
        <v>1020009</v>
      </c>
      <c r="C76" t="s">
        <v>6068</v>
      </c>
      <c r="D76">
        <f>+COUNTIF(WP!M:M,A76)</f>
        <v>1</v>
      </c>
      <c r="E76">
        <f>+COUNTIF(WP!V:V,A76)</f>
        <v>0</v>
      </c>
      <c r="F76">
        <f t="shared" si="2"/>
        <v>64</v>
      </c>
      <c r="G76" t="s">
        <v>6238</v>
      </c>
    </row>
    <row r="77" spans="1:7" x14ac:dyDescent="0.2">
      <c r="A77" t="s">
        <v>7505</v>
      </c>
      <c r="B77">
        <v>1020009</v>
      </c>
      <c r="C77" t="s">
        <v>6068</v>
      </c>
      <c r="D77">
        <f>+COUNTIF(WP!M:M,A77)</f>
        <v>1</v>
      </c>
      <c r="E77">
        <f>+COUNTIF(WP!V:V,A77)</f>
        <v>0</v>
      </c>
      <c r="F77">
        <f t="shared" si="2"/>
        <v>64</v>
      </c>
      <c r="G77" t="s">
        <v>7506</v>
      </c>
    </row>
    <row r="78" spans="1:7" x14ac:dyDescent="0.2">
      <c r="A78" t="s">
        <v>4057</v>
      </c>
      <c r="B78">
        <v>1010002</v>
      </c>
      <c r="C78" t="s">
        <v>6068</v>
      </c>
      <c r="D78">
        <f>+COUNTIF(WP!M:M,A78)</f>
        <v>1</v>
      </c>
      <c r="E78">
        <f>+COUNTIF(WP!V:V,A78)</f>
        <v>0</v>
      </c>
      <c r="F78">
        <f t="shared" si="2"/>
        <v>53</v>
      </c>
      <c r="G78" t="s">
        <v>6241</v>
      </c>
    </row>
    <row r="79" spans="1:7" x14ac:dyDescent="0.2">
      <c r="A79" t="s">
        <v>2601</v>
      </c>
      <c r="B79">
        <v>1020002</v>
      </c>
      <c r="C79" t="s">
        <v>6068</v>
      </c>
      <c r="D79">
        <f>+COUNTIF(WP!M:M,A79)</f>
        <v>1</v>
      </c>
      <c r="E79">
        <f>+COUNTIF(WP!V:V,A79)</f>
        <v>0</v>
      </c>
      <c r="F79">
        <f t="shared" si="2"/>
        <v>42</v>
      </c>
      <c r="G79" t="s">
        <v>6245</v>
      </c>
    </row>
    <row r="80" spans="1:7" x14ac:dyDescent="0.2">
      <c r="A80" t="s">
        <v>1495</v>
      </c>
      <c r="B80">
        <v>1020013</v>
      </c>
      <c r="C80" t="s">
        <v>6068</v>
      </c>
      <c r="D80">
        <f>+COUNTIF(WP!M:M,A80)</f>
        <v>1</v>
      </c>
      <c r="E80">
        <f>+COUNTIF(WP!V:V,A80)</f>
        <v>0</v>
      </c>
      <c r="F80">
        <f t="shared" si="2"/>
        <v>47</v>
      </c>
      <c r="G80" t="s">
        <v>6252</v>
      </c>
    </row>
    <row r="81" spans="1:7" x14ac:dyDescent="0.2">
      <c r="A81" t="s">
        <v>7609</v>
      </c>
      <c r="B81">
        <v>1020001</v>
      </c>
      <c r="C81" t="s">
        <v>6068</v>
      </c>
      <c r="D81">
        <f>+COUNTIF(WP!M:M,A81)</f>
        <v>1</v>
      </c>
      <c r="E81">
        <f>+COUNTIF(WP!V:V,A81)</f>
        <v>0</v>
      </c>
      <c r="F81">
        <f t="shared" si="2"/>
        <v>19</v>
      </c>
      <c r="G81" t="s">
        <v>7610</v>
      </c>
    </row>
    <row r="82" spans="1:7" x14ac:dyDescent="0.2">
      <c r="A82" t="s">
        <v>3203</v>
      </c>
      <c r="B82">
        <v>1020010</v>
      </c>
      <c r="C82" t="s">
        <v>6068</v>
      </c>
      <c r="D82">
        <f>+COUNTIF(WP!M:M,A82)</f>
        <v>1</v>
      </c>
      <c r="E82">
        <f>+COUNTIF(WP!V:V,A82)</f>
        <v>0</v>
      </c>
      <c r="F82">
        <f t="shared" si="2"/>
        <v>55</v>
      </c>
      <c r="G82" t="s">
        <v>6272</v>
      </c>
    </row>
    <row r="83" spans="1:7" x14ac:dyDescent="0.2">
      <c r="A83" t="s">
        <v>1124</v>
      </c>
      <c r="B83">
        <v>1020003</v>
      </c>
      <c r="C83" t="s">
        <v>6068</v>
      </c>
      <c r="D83">
        <f>+COUNTIF(WP!M:M,A83)</f>
        <v>1</v>
      </c>
      <c r="E83">
        <f>+COUNTIF(WP!V:V,A83)</f>
        <v>0</v>
      </c>
      <c r="F83">
        <f t="shared" si="2"/>
        <v>49</v>
      </c>
      <c r="G83" t="s">
        <v>6276</v>
      </c>
    </row>
    <row r="84" spans="1:7" x14ac:dyDescent="0.2">
      <c r="A84" t="s">
        <v>1850</v>
      </c>
      <c r="B84">
        <v>1020009</v>
      </c>
      <c r="C84" t="s">
        <v>6068</v>
      </c>
      <c r="D84">
        <f>+COUNTIF(WP!M:M,A84)</f>
        <v>1</v>
      </c>
      <c r="E84">
        <f>+COUNTIF(WP!V:V,A84)</f>
        <v>0</v>
      </c>
      <c r="F84">
        <f t="shared" si="2"/>
        <v>72</v>
      </c>
      <c r="G84" t="s">
        <v>6280</v>
      </c>
    </row>
    <row r="85" spans="1:7" x14ac:dyDescent="0.2">
      <c r="A85" t="s">
        <v>7713</v>
      </c>
      <c r="B85">
        <v>1020010</v>
      </c>
      <c r="C85" t="s">
        <v>6068</v>
      </c>
      <c r="D85">
        <f>+COUNTIF(WP!M:M,A85)</f>
        <v>1</v>
      </c>
      <c r="E85">
        <f>+COUNTIF(WP!V:V,A85)</f>
        <v>0</v>
      </c>
      <c r="F85">
        <f t="shared" si="2"/>
        <v>84</v>
      </c>
      <c r="G85" t="s">
        <v>7714</v>
      </c>
    </row>
    <row r="86" spans="1:7" x14ac:dyDescent="0.2">
      <c r="A86" t="s">
        <v>7730</v>
      </c>
      <c r="B86">
        <v>1080004</v>
      </c>
      <c r="C86" t="s">
        <v>6068</v>
      </c>
      <c r="D86">
        <f>+COUNTIF(WP!M:M,A86)</f>
        <v>1</v>
      </c>
      <c r="E86">
        <f>+COUNTIF(WP!V:V,A86)</f>
        <v>0</v>
      </c>
      <c r="F86">
        <f t="shared" si="2"/>
        <v>34</v>
      </c>
      <c r="G86" t="s">
        <v>7731</v>
      </c>
    </row>
    <row r="87" spans="1:7" x14ac:dyDescent="0.2">
      <c r="A87" t="s">
        <v>2602</v>
      </c>
      <c r="B87">
        <v>1030004</v>
      </c>
      <c r="C87" t="s">
        <v>6068</v>
      </c>
      <c r="D87">
        <f>+COUNTIF(WP!M:M,A87)</f>
        <v>1</v>
      </c>
      <c r="E87">
        <f>+COUNTIF(WP!V:V,A87)</f>
        <v>0</v>
      </c>
      <c r="F87">
        <f t="shared" si="2"/>
        <v>43</v>
      </c>
      <c r="G87" t="s">
        <v>6342</v>
      </c>
    </row>
    <row r="88" spans="1:7" x14ac:dyDescent="0.2">
      <c r="A88" t="s">
        <v>3039</v>
      </c>
      <c r="B88">
        <v>1070004</v>
      </c>
      <c r="C88" t="s">
        <v>6068</v>
      </c>
      <c r="D88">
        <f>+COUNTIF(WP!M:M,A88)</f>
        <v>1</v>
      </c>
      <c r="E88">
        <f>+COUNTIF(WP!V:V,A88)</f>
        <v>0</v>
      </c>
      <c r="F88">
        <f t="shared" si="2"/>
        <v>45</v>
      </c>
      <c r="G88" t="s">
        <v>6343</v>
      </c>
    </row>
    <row r="89" spans="1:7" x14ac:dyDescent="0.2">
      <c r="A89" t="s">
        <v>7857</v>
      </c>
      <c r="B89">
        <v>1020011</v>
      </c>
      <c r="C89" t="s">
        <v>6068</v>
      </c>
      <c r="D89">
        <f>+COUNTIF(WP!M:M,A89)</f>
        <v>1</v>
      </c>
      <c r="E89">
        <f>+COUNTIF(WP!V:V,A89)</f>
        <v>0</v>
      </c>
      <c r="F89">
        <f t="shared" si="2"/>
        <v>175</v>
      </c>
      <c r="G89" t="s">
        <v>7858</v>
      </c>
    </row>
    <row r="90" spans="1:7" x14ac:dyDescent="0.2">
      <c r="A90" t="s">
        <v>7920</v>
      </c>
      <c r="B90">
        <v>1020009</v>
      </c>
      <c r="C90" t="s">
        <v>6068</v>
      </c>
      <c r="D90">
        <f>+COUNTIF(WP!M:M,A90)</f>
        <v>1</v>
      </c>
      <c r="E90">
        <f>+COUNTIF(WP!V:V,A90)</f>
        <v>0</v>
      </c>
      <c r="F90">
        <f t="shared" si="2"/>
        <v>47</v>
      </c>
      <c r="G90" t="s">
        <v>7921</v>
      </c>
    </row>
    <row r="91" spans="1:7" x14ac:dyDescent="0.2">
      <c r="A91" t="s">
        <v>842</v>
      </c>
      <c r="B91">
        <v>1010002</v>
      </c>
      <c r="C91" t="s">
        <v>6068</v>
      </c>
      <c r="D91">
        <f>+COUNTIF(WP!M:M,A91)</f>
        <v>1</v>
      </c>
      <c r="E91">
        <f>+COUNTIF(WP!V:V,A91)</f>
        <v>0</v>
      </c>
      <c r="F91">
        <f t="shared" si="2"/>
        <v>37</v>
      </c>
      <c r="G91" t="s">
        <v>8042</v>
      </c>
    </row>
    <row r="92" spans="1:7" x14ac:dyDescent="0.2">
      <c r="A92" t="s">
        <v>8061</v>
      </c>
      <c r="B92">
        <v>1010007</v>
      </c>
      <c r="C92" t="s">
        <v>6068</v>
      </c>
      <c r="D92">
        <f>+COUNTIF(WP!M:M,A92)</f>
        <v>1</v>
      </c>
      <c r="E92">
        <f>+COUNTIF(WP!V:V,A92)</f>
        <v>0</v>
      </c>
      <c r="F92">
        <f t="shared" si="2"/>
        <v>49</v>
      </c>
      <c r="G92" t="s">
        <v>8062</v>
      </c>
    </row>
    <row r="93" spans="1:7" x14ac:dyDescent="0.2">
      <c r="A93" t="s">
        <v>8097</v>
      </c>
      <c r="B93">
        <v>1030010</v>
      </c>
      <c r="C93" t="s">
        <v>6068</v>
      </c>
      <c r="D93">
        <f>+COUNTIF(WP!M:M,A93)</f>
        <v>1</v>
      </c>
      <c r="E93">
        <f>+COUNTIF(WP!V:V,A93)</f>
        <v>0</v>
      </c>
      <c r="F93">
        <f t="shared" si="2"/>
        <v>39</v>
      </c>
      <c r="G93" t="s">
        <v>8098</v>
      </c>
    </row>
    <row r="94" spans="1:7" x14ac:dyDescent="0.2">
      <c r="A94" t="s">
        <v>8103</v>
      </c>
      <c r="B94">
        <v>1070010</v>
      </c>
      <c r="C94" t="s">
        <v>6068</v>
      </c>
      <c r="D94">
        <f>+COUNTIF(WP!M:M,A94)</f>
        <v>1</v>
      </c>
      <c r="E94">
        <f>+COUNTIF(WP!V:V,A94)</f>
        <v>0</v>
      </c>
      <c r="F94">
        <f t="shared" si="2"/>
        <v>44</v>
      </c>
      <c r="G94" t="s">
        <v>8104</v>
      </c>
    </row>
    <row r="95" spans="1:7" x14ac:dyDescent="0.2">
      <c r="A95" t="s">
        <v>8131</v>
      </c>
      <c r="B95">
        <v>1070018</v>
      </c>
      <c r="C95" t="s">
        <v>6068</v>
      </c>
      <c r="D95">
        <f>+COUNTIF(WP!M:M,A95)</f>
        <v>1</v>
      </c>
      <c r="E95">
        <f>+COUNTIF(WP!V:V,A95)</f>
        <v>0</v>
      </c>
      <c r="F95">
        <f t="shared" si="2"/>
        <v>47</v>
      </c>
      <c r="G95" t="s">
        <v>8132</v>
      </c>
    </row>
    <row r="96" spans="1:7" x14ac:dyDescent="0.2">
      <c r="A96" t="s">
        <v>3138</v>
      </c>
      <c r="B96">
        <v>1020002</v>
      </c>
      <c r="C96" t="s">
        <v>6068</v>
      </c>
      <c r="D96">
        <f>+COUNTIF(WP!M:M,A96)</f>
        <v>1</v>
      </c>
      <c r="E96">
        <f>+COUNTIF(WP!V:V,A96)</f>
        <v>0</v>
      </c>
      <c r="F96">
        <f t="shared" si="2"/>
        <v>80</v>
      </c>
      <c r="G96" t="s">
        <v>6473</v>
      </c>
    </row>
    <row r="97" spans="1:7" x14ac:dyDescent="0.2">
      <c r="A97" t="s">
        <v>8185</v>
      </c>
      <c r="B97">
        <v>1020004</v>
      </c>
      <c r="C97" t="s">
        <v>6068</v>
      </c>
      <c r="D97">
        <f>+COUNTIF(WP!M:M,A97)</f>
        <v>1</v>
      </c>
      <c r="E97">
        <f>+COUNTIF(WP!V:V,A97)</f>
        <v>0</v>
      </c>
      <c r="F97">
        <f t="shared" si="2"/>
        <v>77</v>
      </c>
      <c r="G97" t="s">
        <v>8186</v>
      </c>
    </row>
    <row r="98" spans="1:7" x14ac:dyDescent="0.2">
      <c r="A98" t="s">
        <v>1287</v>
      </c>
      <c r="B98">
        <v>1030006</v>
      </c>
      <c r="C98" t="s">
        <v>6068</v>
      </c>
      <c r="D98">
        <f>+COUNTIF(WP!M:M,A98)</f>
        <v>1</v>
      </c>
      <c r="E98">
        <f>+COUNTIF(WP!V:V,A98)</f>
        <v>0</v>
      </c>
      <c r="F98">
        <f t="shared" ref="F98:F129" si="3">+LEN(G98)</f>
        <v>38</v>
      </c>
      <c r="G98" t="s">
        <v>6480</v>
      </c>
    </row>
    <row r="99" spans="1:7" x14ac:dyDescent="0.2">
      <c r="A99" t="s">
        <v>8201</v>
      </c>
      <c r="B99">
        <v>1070006</v>
      </c>
      <c r="C99" t="s">
        <v>6068</v>
      </c>
      <c r="D99">
        <f>+COUNTIF(WP!M:M,A99)</f>
        <v>1</v>
      </c>
      <c r="E99">
        <f>+COUNTIF(WP!V:V,A99)</f>
        <v>0</v>
      </c>
      <c r="F99">
        <f t="shared" si="3"/>
        <v>43</v>
      </c>
      <c r="G99" t="s">
        <v>8202</v>
      </c>
    </row>
    <row r="100" spans="1:7" x14ac:dyDescent="0.2">
      <c r="A100" t="s">
        <v>8289</v>
      </c>
      <c r="B100">
        <v>1020011</v>
      </c>
      <c r="C100" t="s">
        <v>6068</v>
      </c>
      <c r="D100">
        <f>+COUNTIF(WP!M:M,A100)</f>
        <v>1</v>
      </c>
      <c r="E100">
        <f>+COUNTIF(WP!V:V,A100)</f>
        <v>0</v>
      </c>
      <c r="F100">
        <f t="shared" si="3"/>
        <v>128</v>
      </c>
      <c r="G100" t="s">
        <v>8290</v>
      </c>
    </row>
    <row r="101" spans="1:7" x14ac:dyDescent="0.2">
      <c r="A101" t="s">
        <v>8291</v>
      </c>
      <c r="B101">
        <v>1020010</v>
      </c>
      <c r="C101" t="s">
        <v>6068</v>
      </c>
      <c r="D101">
        <f>+COUNTIF(WP!M:M,A101)</f>
        <v>1</v>
      </c>
      <c r="E101">
        <f>+COUNTIF(WP!V:V,A101)</f>
        <v>0</v>
      </c>
      <c r="F101">
        <f t="shared" si="3"/>
        <v>109</v>
      </c>
      <c r="G101" t="s">
        <v>8292</v>
      </c>
    </row>
    <row r="102" spans="1:7" x14ac:dyDescent="0.2">
      <c r="A102" t="s">
        <v>8293</v>
      </c>
      <c r="B102">
        <v>1020004</v>
      </c>
      <c r="C102" t="s">
        <v>6068</v>
      </c>
      <c r="D102">
        <f>+COUNTIF(WP!M:M,A102)</f>
        <v>1</v>
      </c>
      <c r="E102">
        <f>+COUNTIF(WP!V:V,A102)</f>
        <v>0</v>
      </c>
      <c r="F102">
        <f t="shared" si="3"/>
        <v>107</v>
      </c>
      <c r="G102" t="s">
        <v>8294</v>
      </c>
    </row>
    <row r="103" spans="1:7" x14ac:dyDescent="0.2">
      <c r="A103" t="s">
        <v>8295</v>
      </c>
      <c r="B103">
        <v>1020002</v>
      </c>
      <c r="C103" t="s">
        <v>6068</v>
      </c>
      <c r="D103">
        <f>+COUNTIF(WP!M:M,A103)</f>
        <v>1</v>
      </c>
      <c r="E103">
        <f>+COUNTIF(WP!V:V,A103)</f>
        <v>0</v>
      </c>
      <c r="F103">
        <f t="shared" si="3"/>
        <v>94</v>
      </c>
      <c r="G103" t="s">
        <v>8296</v>
      </c>
    </row>
    <row r="104" spans="1:7" x14ac:dyDescent="0.2">
      <c r="A104" t="s">
        <v>14771</v>
      </c>
      <c r="B104">
        <v>1010002</v>
      </c>
      <c r="C104" t="s">
        <v>6068</v>
      </c>
      <c r="D104">
        <f>+COUNTIF(WP!M:M,A104)</f>
        <v>1</v>
      </c>
      <c r="E104">
        <f>+COUNTIF(WP!V:V,A104)</f>
        <v>1</v>
      </c>
      <c r="F104">
        <f t="shared" si="3"/>
        <v>64</v>
      </c>
      <c r="G104" t="s">
        <v>14772</v>
      </c>
    </row>
    <row r="105" spans="1:7" x14ac:dyDescent="0.2">
      <c r="A105" t="s">
        <v>14773</v>
      </c>
      <c r="B105">
        <v>1020010</v>
      </c>
      <c r="C105" t="s">
        <v>6068</v>
      </c>
      <c r="D105">
        <f>+COUNTIF(WP!M:M,A105)</f>
        <v>1</v>
      </c>
      <c r="E105">
        <f>+COUNTIF(WP!V:V,A105)</f>
        <v>1</v>
      </c>
      <c r="F105">
        <f t="shared" si="3"/>
        <v>59</v>
      </c>
      <c r="G105" t="s">
        <v>14774</v>
      </c>
    </row>
    <row r="106" spans="1:7" x14ac:dyDescent="0.2">
      <c r="A106" t="s">
        <v>14775</v>
      </c>
      <c r="B106">
        <v>1010002</v>
      </c>
      <c r="C106" t="s">
        <v>6068</v>
      </c>
      <c r="D106">
        <f>+COUNTIF(WP!M:M,A106)</f>
        <v>1</v>
      </c>
      <c r="E106">
        <f>+COUNTIF(WP!V:V,A106)</f>
        <v>1</v>
      </c>
      <c r="F106">
        <f t="shared" si="3"/>
        <v>65</v>
      </c>
      <c r="G106" t="s">
        <v>14776</v>
      </c>
    </row>
    <row r="107" spans="1:7" x14ac:dyDescent="0.2">
      <c r="A107" t="s">
        <v>14777</v>
      </c>
      <c r="B107">
        <v>1020011</v>
      </c>
      <c r="C107" t="s">
        <v>6068</v>
      </c>
      <c r="D107">
        <f>+COUNTIF(WP!M:M,A107)</f>
        <v>1</v>
      </c>
      <c r="E107">
        <f>+COUNTIF(WP!V:V,A107)</f>
        <v>1</v>
      </c>
      <c r="F107">
        <f t="shared" si="3"/>
        <v>78</v>
      </c>
      <c r="G107" t="s">
        <v>14778</v>
      </c>
    </row>
    <row r="108" spans="1:7" x14ac:dyDescent="0.2">
      <c r="A108" t="s">
        <v>14779</v>
      </c>
      <c r="B108">
        <v>1010002</v>
      </c>
      <c r="C108" t="s">
        <v>6068</v>
      </c>
      <c r="D108">
        <f>+COUNTIF(WP!M:M,A108)</f>
        <v>1</v>
      </c>
      <c r="E108">
        <f>+COUNTIF(WP!V:V,A108)</f>
        <v>1</v>
      </c>
      <c r="F108">
        <f t="shared" si="3"/>
        <v>63</v>
      </c>
      <c r="G108" t="s">
        <v>14780</v>
      </c>
    </row>
    <row r="109" spans="1:7" x14ac:dyDescent="0.2">
      <c r="A109" t="s">
        <v>14781</v>
      </c>
      <c r="B109">
        <v>1020010</v>
      </c>
      <c r="C109" t="s">
        <v>6068</v>
      </c>
      <c r="D109">
        <f>+COUNTIF(WP!M:M,A109)</f>
        <v>1</v>
      </c>
      <c r="E109">
        <f>+COUNTIF(WP!V:V,A109)</f>
        <v>1</v>
      </c>
      <c r="F109">
        <f t="shared" si="3"/>
        <v>60</v>
      </c>
      <c r="G109" t="s">
        <v>14782</v>
      </c>
    </row>
    <row r="110" spans="1:7" x14ac:dyDescent="0.2">
      <c r="A110" t="s">
        <v>14783</v>
      </c>
      <c r="B110">
        <v>1010002</v>
      </c>
      <c r="C110" t="s">
        <v>6068</v>
      </c>
      <c r="D110">
        <f>+COUNTIF(WP!M:M,A110)</f>
        <v>1</v>
      </c>
      <c r="E110">
        <f>+COUNTIF(WP!V:V,A110)</f>
        <v>1</v>
      </c>
      <c r="F110">
        <f t="shared" si="3"/>
        <v>66</v>
      </c>
      <c r="G110" t="s">
        <v>14784</v>
      </c>
    </row>
    <row r="111" spans="1:7" x14ac:dyDescent="0.2">
      <c r="A111" t="s">
        <v>14785</v>
      </c>
      <c r="B111">
        <v>1010006</v>
      </c>
      <c r="C111" t="s">
        <v>6068</v>
      </c>
      <c r="D111">
        <f>+COUNTIF(WP!M:M,A111)</f>
        <v>1</v>
      </c>
      <c r="E111">
        <f>+COUNTIF(WP!V:V,A111)</f>
        <v>1</v>
      </c>
      <c r="F111">
        <f t="shared" si="3"/>
        <v>74</v>
      </c>
      <c r="G111" t="s">
        <v>14786</v>
      </c>
    </row>
    <row r="112" spans="1:7" x14ac:dyDescent="0.2">
      <c r="A112" t="s">
        <v>14787</v>
      </c>
      <c r="B112">
        <v>1020005</v>
      </c>
      <c r="C112" t="s">
        <v>6068</v>
      </c>
      <c r="D112">
        <f>+COUNTIF(WP!M:M,A112)</f>
        <v>1</v>
      </c>
      <c r="E112">
        <f>+COUNTIF(WP!V:V,A112)</f>
        <v>1</v>
      </c>
      <c r="F112">
        <f t="shared" si="3"/>
        <v>73</v>
      </c>
      <c r="G112" t="s">
        <v>14788</v>
      </c>
    </row>
    <row r="113" spans="1:7" x14ac:dyDescent="0.2">
      <c r="A113" t="s">
        <v>14789</v>
      </c>
      <c r="B113">
        <v>1020010</v>
      </c>
      <c r="C113" t="s">
        <v>6068</v>
      </c>
      <c r="D113">
        <f>+COUNTIF(WP!M:M,A113)</f>
        <v>1</v>
      </c>
      <c r="E113">
        <f>+COUNTIF(WP!V:V,A113)</f>
        <v>1</v>
      </c>
      <c r="F113">
        <f t="shared" si="3"/>
        <v>101</v>
      </c>
      <c r="G113" t="s">
        <v>14790</v>
      </c>
    </row>
    <row r="114" spans="1:7" x14ac:dyDescent="0.2">
      <c r="A114" t="s">
        <v>14791</v>
      </c>
      <c r="B114">
        <v>1020004</v>
      </c>
      <c r="C114" t="s">
        <v>6068</v>
      </c>
      <c r="D114">
        <f>+COUNTIF(WP!M:M,A114)</f>
        <v>1</v>
      </c>
      <c r="E114">
        <f>+COUNTIF(WP!V:V,A114)</f>
        <v>1</v>
      </c>
      <c r="F114">
        <f t="shared" si="3"/>
        <v>72</v>
      </c>
      <c r="G114" t="s">
        <v>14792</v>
      </c>
    </row>
    <row r="115" spans="1:7" x14ac:dyDescent="0.2">
      <c r="A115" t="s">
        <v>14793</v>
      </c>
      <c r="B115">
        <v>1020010</v>
      </c>
      <c r="C115" t="s">
        <v>6068</v>
      </c>
      <c r="D115">
        <f>+COUNTIF(WP!M:M,A115)</f>
        <v>1</v>
      </c>
      <c r="E115">
        <f>+COUNTIF(WP!V:V,A115)</f>
        <v>1</v>
      </c>
      <c r="F115">
        <f t="shared" si="3"/>
        <v>59</v>
      </c>
      <c r="G115" t="s">
        <v>14794</v>
      </c>
    </row>
    <row r="116" spans="1:7" x14ac:dyDescent="0.2">
      <c r="A116" t="s">
        <v>14795</v>
      </c>
      <c r="B116">
        <v>1010002</v>
      </c>
      <c r="C116" t="s">
        <v>6068</v>
      </c>
      <c r="D116">
        <f>+COUNTIF(WP!M:M,A116)</f>
        <v>1</v>
      </c>
      <c r="E116">
        <f>+COUNTIF(WP!V:V,A116)</f>
        <v>1</v>
      </c>
      <c r="F116">
        <f t="shared" si="3"/>
        <v>65</v>
      </c>
      <c r="G116" t="s">
        <v>14796</v>
      </c>
    </row>
    <row r="117" spans="1:7" x14ac:dyDescent="0.2">
      <c r="A117" t="s">
        <v>14797</v>
      </c>
      <c r="B117">
        <v>1010006</v>
      </c>
      <c r="C117" t="s">
        <v>6068</v>
      </c>
      <c r="D117">
        <f>+COUNTIF(WP!M:M,A117)</f>
        <v>1</v>
      </c>
      <c r="E117">
        <f>+COUNTIF(WP!V:V,A117)</f>
        <v>1</v>
      </c>
      <c r="F117">
        <f t="shared" si="3"/>
        <v>74</v>
      </c>
      <c r="G117" t="s">
        <v>14798</v>
      </c>
    </row>
    <row r="118" spans="1:7" x14ac:dyDescent="0.2">
      <c r="A118" t="s">
        <v>14799</v>
      </c>
      <c r="B118">
        <v>1020005</v>
      </c>
      <c r="C118" t="s">
        <v>6068</v>
      </c>
      <c r="D118">
        <f>+COUNTIF(WP!M:M,A118)</f>
        <v>1</v>
      </c>
      <c r="E118">
        <f>+COUNTIF(WP!V:V,A118)</f>
        <v>1</v>
      </c>
      <c r="F118">
        <f t="shared" si="3"/>
        <v>73</v>
      </c>
      <c r="G118" t="s">
        <v>14800</v>
      </c>
    </row>
    <row r="119" spans="1:7" x14ac:dyDescent="0.2">
      <c r="A119" t="s">
        <v>14801</v>
      </c>
      <c r="B119">
        <v>1020004</v>
      </c>
      <c r="C119" t="s">
        <v>6068</v>
      </c>
      <c r="D119">
        <f>+COUNTIF(WP!M:M,A119)</f>
        <v>1</v>
      </c>
      <c r="E119">
        <f>+COUNTIF(WP!V:V,A119)</f>
        <v>1</v>
      </c>
      <c r="F119">
        <f t="shared" si="3"/>
        <v>72</v>
      </c>
      <c r="G119" t="s">
        <v>14802</v>
      </c>
    </row>
    <row r="120" spans="1:7" x14ac:dyDescent="0.2">
      <c r="A120" t="s">
        <v>14803</v>
      </c>
      <c r="B120">
        <v>1020010</v>
      </c>
      <c r="C120" t="s">
        <v>6068</v>
      </c>
      <c r="D120">
        <f>+COUNTIF(WP!M:M,A120)</f>
        <v>1</v>
      </c>
      <c r="E120">
        <f>+COUNTIF(WP!V:V,A120)</f>
        <v>1</v>
      </c>
      <c r="F120">
        <f t="shared" si="3"/>
        <v>64</v>
      </c>
      <c r="G120" t="s">
        <v>14804</v>
      </c>
    </row>
    <row r="121" spans="1:7" x14ac:dyDescent="0.2">
      <c r="A121" t="s">
        <v>14805</v>
      </c>
      <c r="B121">
        <v>1010002</v>
      </c>
      <c r="C121" t="s">
        <v>6068</v>
      </c>
      <c r="D121">
        <f>+COUNTIF(WP!M:M,A121)</f>
        <v>1</v>
      </c>
      <c r="E121">
        <f>+COUNTIF(WP!V:V,A121)</f>
        <v>1</v>
      </c>
      <c r="F121">
        <f t="shared" si="3"/>
        <v>70</v>
      </c>
      <c r="G121" t="s">
        <v>14806</v>
      </c>
    </row>
    <row r="122" spans="1:7" x14ac:dyDescent="0.2">
      <c r="A122" t="s">
        <v>14807</v>
      </c>
      <c r="B122">
        <v>1010006</v>
      </c>
      <c r="C122" t="s">
        <v>6068</v>
      </c>
      <c r="D122">
        <f>+COUNTIF(WP!M:M,A122)</f>
        <v>1</v>
      </c>
      <c r="E122">
        <f>+COUNTIF(WP!V:V,A122)</f>
        <v>1</v>
      </c>
      <c r="F122">
        <f t="shared" si="3"/>
        <v>75</v>
      </c>
      <c r="G122" t="s">
        <v>14808</v>
      </c>
    </row>
    <row r="123" spans="1:7" x14ac:dyDescent="0.2">
      <c r="A123" t="s">
        <v>14809</v>
      </c>
      <c r="B123">
        <v>1020005</v>
      </c>
      <c r="C123" t="s">
        <v>6068</v>
      </c>
      <c r="D123">
        <f>+COUNTIF(WP!M:M,A123)</f>
        <v>1</v>
      </c>
      <c r="E123">
        <f>+COUNTIF(WP!V:V,A123)</f>
        <v>1</v>
      </c>
      <c r="F123">
        <f t="shared" si="3"/>
        <v>74</v>
      </c>
      <c r="G123" t="s">
        <v>14810</v>
      </c>
    </row>
    <row r="124" spans="1:7" x14ac:dyDescent="0.2">
      <c r="A124" t="s">
        <v>14811</v>
      </c>
      <c r="B124">
        <v>1020004</v>
      </c>
      <c r="C124" t="s">
        <v>6068</v>
      </c>
      <c r="D124">
        <f>+COUNTIF(WP!M:M,A124)</f>
        <v>1</v>
      </c>
      <c r="E124">
        <f>+COUNTIF(WP!V:V,A124)</f>
        <v>1</v>
      </c>
      <c r="F124">
        <f t="shared" si="3"/>
        <v>73</v>
      </c>
      <c r="G124" t="s">
        <v>14812</v>
      </c>
    </row>
    <row r="125" spans="1:7" x14ac:dyDescent="0.2">
      <c r="A125" t="s">
        <v>14813</v>
      </c>
      <c r="B125">
        <v>1010002</v>
      </c>
      <c r="C125" t="s">
        <v>6068</v>
      </c>
      <c r="D125">
        <f>+COUNTIF(WP!M:M,A125)</f>
        <v>1</v>
      </c>
      <c r="E125">
        <f>+COUNTIF(WP!V:V,A125)</f>
        <v>1</v>
      </c>
      <c r="F125">
        <f t="shared" si="3"/>
        <v>65</v>
      </c>
      <c r="G125" t="s">
        <v>14814</v>
      </c>
    </row>
    <row r="126" spans="1:7" x14ac:dyDescent="0.2">
      <c r="A126" t="s">
        <v>14815</v>
      </c>
      <c r="B126">
        <v>1010002</v>
      </c>
      <c r="C126" t="s">
        <v>6068</v>
      </c>
      <c r="D126">
        <f>+COUNTIF(WP!M:M,A126)</f>
        <v>1</v>
      </c>
      <c r="E126">
        <f>+COUNTIF(WP!V:V,A126)</f>
        <v>1</v>
      </c>
      <c r="F126">
        <f t="shared" si="3"/>
        <v>65</v>
      </c>
      <c r="G126" t="s">
        <v>14816</v>
      </c>
    </row>
    <row r="127" spans="1:7" x14ac:dyDescent="0.2">
      <c r="A127" t="s">
        <v>14817</v>
      </c>
      <c r="B127">
        <v>1020009</v>
      </c>
      <c r="C127" t="s">
        <v>6068</v>
      </c>
      <c r="D127">
        <f>+COUNTIF(WP!M:M,A127)</f>
        <v>1</v>
      </c>
      <c r="E127">
        <f>+COUNTIF(WP!V:V,A127)</f>
        <v>1</v>
      </c>
      <c r="F127">
        <f t="shared" si="3"/>
        <v>75</v>
      </c>
      <c r="G127" t="s">
        <v>14818</v>
      </c>
    </row>
    <row r="128" spans="1:7" x14ac:dyDescent="0.2">
      <c r="A128" t="s">
        <v>14819</v>
      </c>
      <c r="B128">
        <v>1010002</v>
      </c>
      <c r="C128" t="s">
        <v>6068</v>
      </c>
      <c r="D128">
        <f>+COUNTIF(WP!M:M,A128)</f>
        <v>1</v>
      </c>
      <c r="E128">
        <f>+COUNTIF(WP!V:V,A128)</f>
        <v>1</v>
      </c>
      <c r="F128">
        <f t="shared" si="3"/>
        <v>64</v>
      </c>
      <c r="G128" t="s">
        <v>14820</v>
      </c>
    </row>
    <row r="129" spans="1:7" x14ac:dyDescent="0.2">
      <c r="A129" t="s">
        <v>14821</v>
      </c>
      <c r="B129">
        <v>1010006</v>
      </c>
      <c r="C129" t="s">
        <v>6068</v>
      </c>
      <c r="D129">
        <f>+COUNTIF(WP!M:M,A129)</f>
        <v>1</v>
      </c>
      <c r="E129">
        <f>+COUNTIF(WP!V:V,A129)</f>
        <v>1</v>
      </c>
      <c r="F129">
        <f t="shared" si="3"/>
        <v>74</v>
      </c>
      <c r="G129" t="s">
        <v>14822</v>
      </c>
    </row>
    <row r="130" spans="1:7" x14ac:dyDescent="0.2">
      <c r="A130" t="s">
        <v>14823</v>
      </c>
      <c r="B130">
        <v>1020005</v>
      </c>
      <c r="C130" t="s">
        <v>6068</v>
      </c>
      <c r="D130">
        <f>+COUNTIF(WP!M:M,A130)</f>
        <v>1</v>
      </c>
      <c r="E130">
        <f>+COUNTIF(WP!V:V,A130)</f>
        <v>1</v>
      </c>
      <c r="F130">
        <f t="shared" ref="F130:F161" si="4">+LEN(G130)</f>
        <v>73</v>
      </c>
      <c r="G130" t="s">
        <v>14824</v>
      </c>
    </row>
    <row r="131" spans="1:7" x14ac:dyDescent="0.2">
      <c r="A131" t="s">
        <v>14825</v>
      </c>
      <c r="B131">
        <v>1020004</v>
      </c>
      <c r="C131" t="s">
        <v>6068</v>
      </c>
      <c r="D131">
        <f>+COUNTIF(WP!M:M,A131)</f>
        <v>1</v>
      </c>
      <c r="E131">
        <f>+COUNTIF(WP!V:V,A131)</f>
        <v>1</v>
      </c>
      <c r="F131">
        <f t="shared" si="4"/>
        <v>71</v>
      </c>
      <c r="G131" t="s">
        <v>14826</v>
      </c>
    </row>
    <row r="132" spans="1:7" x14ac:dyDescent="0.2">
      <c r="A132" t="s">
        <v>14827</v>
      </c>
      <c r="B132">
        <v>1010006</v>
      </c>
      <c r="C132" t="s">
        <v>6068</v>
      </c>
      <c r="D132">
        <f>+COUNTIF(WP!M:M,A132)</f>
        <v>1</v>
      </c>
      <c r="E132">
        <f>+COUNTIF(WP!V:V,A132)</f>
        <v>1</v>
      </c>
      <c r="F132">
        <f t="shared" si="4"/>
        <v>73</v>
      </c>
      <c r="G132" t="s">
        <v>14828</v>
      </c>
    </row>
    <row r="133" spans="1:7" x14ac:dyDescent="0.2">
      <c r="A133" t="s">
        <v>14829</v>
      </c>
      <c r="B133">
        <v>1020005</v>
      </c>
      <c r="C133" t="s">
        <v>6068</v>
      </c>
      <c r="D133">
        <f>+COUNTIF(WP!M:M,A133)</f>
        <v>1</v>
      </c>
      <c r="E133">
        <f>+COUNTIF(WP!V:V,A133)</f>
        <v>1</v>
      </c>
      <c r="F133">
        <f t="shared" si="4"/>
        <v>72</v>
      </c>
      <c r="G133" t="s">
        <v>14830</v>
      </c>
    </row>
    <row r="134" spans="1:7" x14ac:dyDescent="0.2">
      <c r="A134" t="s">
        <v>14831</v>
      </c>
      <c r="B134">
        <v>1020004</v>
      </c>
      <c r="C134" t="s">
        <v>6068</v>
      </c>
      <c r="D134">
        <f>+COUNTIF(WP!M:M,A134)</f>
        <v>1</v>
      </c>
      <c r="E134">
        <f>+COUNTIF(WP!V:V,A134)</f>
        <v>1</v>
      </c>
      <c r="F134">
        <f t="shared" si="4"/>
        <v>71</v>
      </c>
      <c r="G134" t="s">
        <v>14832</v>
      </c>
    </row>
    <row r="135" spans="1:7" x14ac:dyDescent="0.2">
      <c r="A135" t="s">
        <v>14833</v>
      </c>
      <c r="B135">
        <v>1020004</v>
      </c>
      <c r="C135" t="s">
        <v>6068</v>
      </c>
      <c r="D135">
        <f>+COUNTIF(WP!M:M,A135)</f>
        <v>1</v>
      </c>
      <c r="E135">
        <f>+COUNTIF(WP!V:V,A135)</f>
        <v>1</v>
      </c>
      <c r="F135">
        <f t="shared" si="4"/>
        <v>70</v>
      </c>
      <c r="G135" t="s">
        <v>14834</v>
      </c>
    </row>
    <row r="136" spans="1:7" x14ac:dyDescent="0.2">
      <c r="A136" t="s">
        <v>14835</v>
      </c>
      <c r="B136">
        <v>1130001</v>
      </c>
      <c r="C136" t="s">
        <v>6068</v>
      </c>
      <c r="D136">
        <f>+COUNTIF(WP!M:M,A136)</f>
        <v>1</v>
      </c>
      <c r="E136">
        <f>+COUNTIF(WP!V:V,A136)</f>
        <v>1</v>
      </c>
      <c r="F136">
        <f t="shared" si="4"/>
        <v>44</v>
      </c>
      <c r="G136" t="s">
        <v>14836</v>
      </c>
    </row>
    <row r="137" spans="1:7" x14ac:dyDescent="0.2">
      <c r="A137" t="s">
        <v>7082</v>
      </c>
      <c r="B137">
        <v>1010108</v>
      </c>
      <c r="C137" t="s">
        <v>6068</v>
      </c>
      <c r="D137">
        <f>+COUNTIF(WP!M:M,A137)</f>
        <v>1</v>
      </c>
      <c r="E137">
        <f>+COUNTIF(WP!V:V,A137)</f>
        <v>1</v>
      </c>
      <c r="F137">
        <f t="shared" si="4"/>
        <v>187</v>
      </c>
      <c r="G137" t="s">
        <v>7083</v>
      </c>
    </row>
    <row r="138" spans="1:7" x14ac:dyDescent="0.2">
      <c r="A138" t="s">
        <v>7088</v>
      </c>
      <c r="B138">
        <v>1010009</v>
      </c>
      <c r="C138" t="s">
        <v>6068</v>
      </c>
      <c r="D138">
        <f>+COUNTIF(WP!M:M,A138)</f>
        <v>1</v>
      </c>
      <c r="E138">
        <f>+COUNTIF(WP!V:V,A138)</f>
        <v>1</v>
      </c>
      <c r="F138">
        <f t="shared" si="4"/>
        <v>50</v>
      </c>
      <c r="G138" t="s">
        <v>7089</v>
      </c>
    </row>
    <row r="139" spans="1:7" x14ac:dyDescent="0.2">
      <c r="A139" t="s">
        <v>7094</v>
      </c>
      <c r="B139">
        <v>1100002</v>
      </c>
      <c r="C139" t="s">
        <v>6068</v>
      </c>
      <c r="D139">
        <f>+COUNTIF(WP!M:M,A139)</f>
        <v>1</v>
      </c>
      <c r="E139">
        <f>+COUNTIF(WP!V:V,A139)</f>
        <v>1</v>
      </c>
      <c r="F139">
        <f t="shared" si="4"/>
        <v>43</v>
      </c>
      <c r="G139" t="s">
        <v>7095</v>
      </c>
    </row>
    <row r="140" spans="1:7" x14ac:dyDescent="0.2">
      <c r="A140" t="s">
        <v>7129</v>
      </c>
      <c r="B140">
        <v>1020036</v>
      </c>
      <c r="C140" t="s">
        <v>6068</v>
      </c>
      <c r="D140">
        <f>+COUNTIF(WP!M:M,A140)</f>
        <v>1</v>
      </c>
      <c r="E140">
        <f>+COUNTIF(WP!V:V,A140)</f>
        <v>1</v>
      </c>
      <c r="F140">
        <f t="shared" si="4"/>
        <v>91</v>
      </c>
      <c r="G140" t="s">
        <v>7130</v>
      </c>
    </row>
    <row r="141" spans="1:7" x14ac:dyDescent="0.2">
      <c r="A141" t="s">
        <v>7167</v>
      </c>
      <c r="B141">
        <v>1020010</v>
      </c>
      <c r="C141" t="s">
        <v>6068</v>
      </c>
      <c r="D141">
        <f>+COUNTIF(WP!M:M,A141)</f>
        <v>1</v>
      </c>
      <c r="E141">
        <f>+COUNTIF(WP!V:V,A141)</f>
        <v>1</v>
      </c>
      <c r="F141">
        <f t="shared" si="4"/>
        <v>30</v>
      </c>
      <c r="G141" t="s">
        <v>7168</v>
      </c>
    </row>
    <row r="142" spans="1:7" x14ac:dyDescent="0.2">
      <c r="A142" t="s">
        <v>14837</v>
      </c>
      <c r="B142">
        <v>1020003</v>
      </c>
      <c r="C142" t="s">
        <v>6068</v>
      </c>
      <c r="D142">
        <f>+COUNTIF(WP!M:M,A142)</f>
        <v>1</v>
      </c>
      <c r="E142">
        <f>+COUNTIF(WP!V:V,A142)</f>
        <v>1</v>
      </c>
      <c r="F142">
        <f t="shared" si="4"/>
        <v>24</v>
      </c>
      <c r="G142" t="s">
        <v>14838</v>
      </c>
    </row>
    <row r="143" spans="1:7" x14ac:dyDescent="0.2">
      <c r="A143" t="s">
        <v>7274</v>
      </c>
      <c r="B143">
        <v>1010003</v>
      </c>
      <c r="C143" t="s">
        <v>6068</v>
      </c>
      <c r="D143">
        <f>+COUNTIF(WP!M:M,A143)</f>
        <v>1</v>
      </c>
      <c r="E143">
        <f>+COUNTIF(WP!V:V,A143)</f>
        <v>1</v>
      </c>
      <c r="F143">
        <f t="shared" si="4"/>
        <v>31</v>
      </c>
      <c r="G143" t="s">
        <v>7275</v>
      </c>
    </row>
    <row r="144" spans="1:7" x14ac:dyDescent="0.2">
      <c r="A144" t="s">
        <v>650</v>
      </c>
      <c r="B144">
        <v>1010003</v>
      </c>
      <c r="C144" t="s">
        <v>6068</v>
      </c>
      <c r="D144">
        <f>+COUNTIF(WP!M:M,A144)</f>
        <v>1</v>
      </c>
      <c r="E144">
        <f>+COUNTIF(WP!V:V,A144)</f>
        <v>1</v>
      </c>
      <c r="F144">
        <f t="shared" si="4"/>
        <v>31</v>
      </c>
      <c r="G144" t="s">
        <v>7276</v>
      </c>
    </row>
    <row r="145" spans="1:7" x14ac:dyDescent="0.2">
      <c r="A145" t="s">
        <v>3986</v>
      </c>
      <c r="B145">
        <v>1020002</v>
      </c>
      <c r="C145" t="s">
        <v>6068</v>
      </c>
      <c r="D145">
        <f>+COUNTIF(WP!M:M,A145)</f>
        <v>1</v>
      </c>
      <c r="E145">
        <f>+COUNTIF(WP!V:V,A145)</f>
        <v>1</v>
      </c>
      <c r="F145">
        <f t="shared" si="4"/>
        <v>273</v>
      </c>
      <c r="G145" t="s">
        <v>6171</v>
      </c>
    </row>
    <row r="146" spans="1:7" x14ac:dyDescent="0.2">
      <c r="A146" t="s">
        <v>7297</v>
      </c>
      <c r="B146">
        <v>1020003</v>
      </c>
      <c r="C146" t="s">
        <v>6068</v>
      </c>
      <c r="D146">
        <f>+COUNTIF(WP!M:M,A146)</f>
        <v>1</v>
      </c>
      <c r="E146">
        <f>+COUNTIF(WP!V:V,A146)</f>
        <v>1</v>
      </c>
      <c r="F146">
        <f t="shared" si="4"/>
        <v>270</v>
      </c>
      <c r="G146" t="s">
        <v>7298</v>
      </c>
    </row>
    <row r="147" spans="1:7" x14ac:dyDescent="0.2">
      <c r="A147" t="s">
        <v>7303</v>
      </c>
      <c r="B147">
        <v>1010002</v>
      </c>
      <c r="C147" t="s">
        <v>6068</v>
      </c>
      <c r="D147">
        <f>+COUNTIF(WP!M:M,A147)</f>
        <v>1</v>
      </c>
      <c r="E147">
        <f>+COUNTIF(WP!V:V,A147)</f>
        <v>1</v>
      </c>
      <c r="F147">
        <f t="shared" si="4"/>
        <v>82</v>
      </c>
      <c r="G147" t="s">
        <v>7304</v>
      </c>
    </row>
    <row r="148" spans="1:7" x14ac:dyDescent="0.2">
      <c r="A148" t="s">
        <v>7325</v>
      </c>
      <c r="B148">
        <v>1010075</v>
      </c>
      <c r="C148" t="s">
        <v>6068</v>
      </c>
      <c r="D148">
        <f>+COUNTIF(WP!M:M,A148)</f>
        <v>1</v>
      </c>
      <c r="E148">
        <f>+COUNTIF(WP!V:V,A148)</f>
        <v>1</v>
      </c>
      <c r="F148">
        <f t="shared" si="4"/>
        <v>52</v>
      </c>
      <c r="G148" t="s">
        <v>7326</v>
      </c>
    </row>
    <row r="149" spans="1:7" x14ac:dyDescent="0.2">
      <c r="A149" t="s">
        <v>7351</v>
      </c>
      <c r="B149">
        <v>1010012</v>
      </c>
      <c r="C149" t="s">
        <v>6068</v>
      </c>
      <c r="D149">
        <f>+COUNTIF(WP!M:M,A149)</f>
        <v>1</v>
      </c>
      <c r="E149">
        <f>+COUNTIF(WP!V:V,A149)</f>
        <v>1</v>
      </c>
      <c r="F149">
        <f t="shared" si="4"/>
        <v>42</v>
      </c>
      <c r="G149" t="s">
        <v>7352</v>
      </c>
    </row>
    <row r="150" spans="1:7" x14ac:dyDescent="0.2">
      <c r="A150" t="s">
        <v>7402</v>
      </c>
      <c r="B150">
        <v>1070020</v>
      </c>
      <c r="C150" t="s">
        <v>6068</v>
      </c>
      <c r="D150">
        <f>+COUNTIF(WP!M:M,A150)</f>
        <v>1</v>
      </c>
      <c r="E150">
        <f>+COUNTIF(WP!V:V,A150)</f>
        <v>1</v>
      </c>
      <c r="F150">
        <f t="shared" si="4"/>
        <v>47</v>
      </c>
      <c r="G150" t="s">
        <v>7403</v>
      </c>
    </row>
    <row r="151" spans="1:7" x14ac:dyDescent="0.2">
      <c r="A151" t="s">
        <v>7404</v>
      </c>
      <c r="B151">
        <v>1070020</v>
      </c>
      <c r="C151" t="s">
        <v>6068</v>
      </c>
      <c r="D151">
        <f>+COUNTIF(WP!M:M,A151)</f>
        <v>1</v>
      </c>
      <c r="E151">
        <f>+COUNTIF(WP!V:V,A151)</f>
        <v>1</v>
      </c>
      <c r="F151">
        <f t="shared" si="4"/>
        <v>47</v>
      </c>
      <c r="G151" t="s">
        <v>7405</v>
      </c>
    </row>
    <row r="152" spans="1:7" x14ac:dyDescent="0.2">
      <c r="A152" t="s">
        <v>7473</v>
      </c>
      <c r="B152">
        <v>1070013</v>
      </c>
      <c r="C152" t="s">
        <v>6068</v>
      </c>
      <c r="D152">
        <f>+COUNTIF(WP!M:M,A152)</f>
        <v>1</v>
      </c>
      <c r="E152">
        <f>+COUNTIF(WP!V:V,A152)</f>
        <v>1</v>
      </c>
      <c r="F152">
        <f t="shared" si="4"/>
        <v>47</v>
      </c>
      <c r="G152" t="s">
        <v>7474</v>
      </c>
    </row>
    <row r="153" spans="1:7" x14ac:dyDescent="0.2">
      <c r="A153" t="s">
        <v>7526</v>
      </c>
      <c r="B153">
        <v>1020013</v>
      </c>
      <c r="C153" t="s">
        <v>6068</v>
      </c>
      <c r="D153">
        <f>+COUNTIF(WP!M:M,A153)</f>
        <v>1</v>
      </c>
      <c r="E153">
        <f>+COUNTIF(WP!V:V,A153)</f>
        <v>1</v>
      </c>
      <c r="F153">
        <f t="shared" si="4"/>
        <v>48</v>
      </c>
      <c r="G153" t="s">
        <v>7527</v>
      </c>
    </row>
    <row r="154" spans="1:7" x14ac:dyDescent="0.2">
      <c r="A154" t="s">
        <v>7561</v>
      </c>
      <c r="B154">
        <v>1100002</v>
      </c>
      <c r="C154" t="s">
        <v>6068</v>
      </c>
      <c r="D154">
        <f>+COUNTIF(WP!M:M,A154)</f>
        <v>1</v>
      </c>
      <c r="E154">
        <f>+COUNTIF(WP!V:V,A154)</f>
        <v>1</v>
      </c>
      <c r="F154">
        <f t="shared" si="4"/>
        <v>48</v>
      </c>
      <c r="G154" t="s">
        <v>7562</v>
      </c>
    </row>
    <row r="155" spans="1:7" x14ac:dyDescent="0.2">
      <c r="A155" t="s">
        <v>7567</v>
      </c>
      <c r="B155">
        <v>1100002</v>
      </c>
      <c r="C155" t="s">
        <v>6068</v>
      </c>
      <c r="D155">
        <f>+COUNTIF(WP!M:M,A155)</f>
        <v>1</v>
      </c>
      <c r="E155">
        <f>+COUNTIF(WP!V:V,A155)</f>
        <v>1</v>
      </c>
      <c r="F155">
        <f t="shared" si="4"/>
        <v>46</v>
      </c>
      <c r="G155" t="s">
        <v>7568</v>
      </c>
    </row>
    <row r="156" spans="1:7" x14ac:dyDescent="0.2">
      <c r="A156" t="s">
        <v>7573</v>
      </c>
      <c r="B156">
        <v>1100002</v>
      </c>
      <c r="C156" t="s">
        <v>6068</v>
      </c>
      <c r="D156">
        <f>+COUNTIF(WP!M:M,A156)</f>
        <v>1</v>
      </c>
      <c r="E156">
        <f>+COUNTIF(WP!V:V,A156)</f>
        <v>1</v>
      </c>
      <c r="F156">
        <f t="shared" si="4"/>
        <v>46</v>
      </c>
      <c r="G156" t="s">
        <v>7574</v>
      </c>
    </row>
    <row r="157" spans="1:7" x14ac:dyDescent="0.2">
      <c r="A157" t="s">
        <v>7579</v>
      </c>
      <c r="B157">
        <v>1100002</v>
      </c>
      <c r="C157" t="s">
        <v>6068</v>
      </c>
      <c r="D157">
        <f>+COUNTIF(WP!M:M,A157)</f>
        <v>1</v>
      </c>
      <c r="E157">
        <f>+COUNTIF(WP!V:V,A157)</f>
        <v>1</v>
      </c>
      <c r="F157">
        <f t="shared" si="4"/>
        <v>51</v>
      </c>
      <c r="G157" t="s">
        <v>7580</v>
      </c>
    </row>
    <row r="158" spans="1:7" x14ac:dyDescent="0.2">
      <c r="A158" t="s">
        <v>7585</v>
      </c>
      <c r="B158">
        <v>1100002</v>
      </c>
      <c r="C158" t="s">
        <v>6068</v>
      </c>
      <c r="D158">
        <f>+COUNTIF(WP!M:M,A158)</f>
        <v>1</v>
      </c>
      <c r="E158">
        <f>+COUNTIF(WP!V:V,A158)</f>
        <v>1</v>
      </c>
      <c r="F158">
        <f t="shared" si="4"/>
        <v>46</v>
      </c>
      <c r="G158" t="s">
        <v>7586</v>
      </c>
    </row>
    <row r="159" spans="1:7" x14ac:dyDescent="0.2">
      <c r="A159" t="s">
        <v>7675</v>
      </c>
      <c r="B159">
        <v>1100002</v>
      </c>
      <c r="C159" t="s">
        <v>6068</v>
      </c>
      <c r="D159">
        <f>+COUNTIF(WP!M:M,A159)</f>
        <v>1</v>
      </c>
      <c r="E159">
        <f>+COUNTIF(WP!V:V,A159)</f>
        <v>1</v>
      </c>
      <c r="F159">
        <f t="shared" si="4"/>
        <v>41</v>
      </c>
      <c r="G159" t="s">
        <v>7676</v>
      </c>
    </row>
    <row r="160" spans="1:7" x14ac:dyDescent="0.2">
      <c r="A160" t="s">
        <v>7687</v>
      </c>
      <c r="B160">
        <v>1010110</v>
      </c>
      <c r="C160" t="s">
        <v>6068</v>
      </c>
      <c r="D160">
        <f>+COUNTIF(WP!M:M,A160)</f>
        <v>1</v>
      </c>
      <c r="E160">
        <f>+COUNTIF(WP!V:V,A160)</f>
        <v>1</v>
      </c>
      <c r="F160">
        <f t="shared" si="4"/>
        <v>191</v>
      </c>
      <c r="G160" t="s">
        <v>7688</v>
      </c>
    </row>
    <row r="161" spans="1:7" x14ac:dyDescent="0.2">
      <c r="A161" t="s">
        <v>7727</v>
      </c>
      <c r="B161">
        <v>1020037</v>
      </c>
      <c r="C161" t="s">
        <v>6068</v>
      </c>
      <c r="D161">
        <f>+COUNTIF(WP!M:M,A161)</f>
        <v>1</v>
      </c>
      <c r="E161">
        <f>+COUNTIF(WP!V:V,A161)</f>
        <v>1</v>
      </c>
      <c r="F161">
        <f t="shared" si="4"/>
        <v>108</v>
      </c>
      <c r="G161" t="s">
        <v>7728</v>
      </c>
    </row>
    <row r="162" spans="1:7" x14ac:dyDescent="0.2">
      <c r="A162" t="s">
        <v>3883</v>
      </c>
      <c r="B162">
        <v>1080004</v>
      </c>
      <c r="C162" t="s">
        <v>6068</v>
      </c>
      <c r="D162">
        <f>+COUNTIF(WP!M:M,A162)</f>
        <v>1</v>
      </c>
      <c r="E162">
        <f>+COUNTIF(WP!V:V,A162)</f>
        <v>1</v>
      </c>
      <c r="F162">
        <f t="shared" ref="F162:F168" si="5">+LEN(G162)</f>
        <v>34</v>
      </c>
      <c r="G162" t="s">
        <v>7729</v>
      </c>
    </row>
    <row r="163" spans="1:7" x14ac:dyDescent="0.2">
      <c r="A163" t="s">
        <v>7772</v>
      </c>
      <c r="B163">
        <v>1100002</v>
      </c>
      <c r="C163" t="s">
        <v>6068</v>
      </c>
      <c r="D163">
        <f>+COUNTIF(WP!M:M,A163)</f>
        <v>1</v>
      </c>
      <c r="E163">
        <f>+COUNTIF(WP!V:V,A163)</f>
        <v>1</v>
      </c>
      <c r="F163">
        <f t="shared" si="5"/>
        <v>41</v>
      </c>
      <c r="G163" t="s">
        <v>7773</v>
      </c>
    </row>
    <row r="164" spans="1:7" x14ac:dyDescent="0.2">
      <c r="A164" t="s">
        <v>7782</v>
      </c>
      <c r="B164">
        <v>1100002</v>
      </c>
      <c r="C164" t="s">
        <v>6068</v>
      </c>
      <c r="D164">
        <f>+COUNTIF(WP!M:M,A164)</f>
        <v>1</v>
      </c>
      <c r="E164">
        <f>+COUNTIF(WP!V:V,A164)</f>
        <v>1</v>
      </c>
      <c r="F164">
        <f t="shared" si="5"/>
        <v>46</v>
      </c>
      <c r="G164" t="s">
        <v>7783</v>
      </c>
    </row>
    <row r="165" spans="1:7" x14ac:dyDescent="0.2">
      <c r="A165" t="s">
        <v>7806</v>
      </c>
      <c r="B165">
        <v>1010010</v>
      </c>
      <c r="C165" t="s">
        <v>6068</v>
      </c>
      <c r="D165">
        <f>+COUNTIF(WP!M:M,A165)</f>
        <v>1</v>
      </c>
      <c r="E165">
        <f>+COUNTIF(WP!V:V,A165)</f>
        <v>1</v>
      </c>
      <c r="F165">
        <f t="shared" si="5"/>
        <v>54</v>
      </c>
      <c r="G165" t="s">
        <v>7807</v>
      </c>
    </row>
    <row r="166" spans="1:7" x14ac:dyDescent="0.2">
      <c r="A166" t="s">
        <v>417</v>
      </c>
      <c r="B166">
        <v>1010010</v>
      </c>
      <c r="C166" t="s">
        <v>6068</v>
      </c>
      <c r="D166">
        <f>+COUNTIF(WP!M:M,A166)</f>
        <v>1</v>
      </c>
      <c r="E166">
        <f>+COUNTIF(WP!V:V,A166)</f>
        <v>1</v>
      </c>
      <c r="F166">
        <f t="shared" si="5"/>
        <v>54</v>
      </c>
      <c r="G166" t="s">
        <v>6336</v>
      </c>
    </row>
    <row r="167" spans="1:7" x14ac:dyDescent="0.2">
      <c r="A167" t="s">
        <v>7871</v>
      </c>
      <c r="B167">
        <v>1070001</v>
      </c>
      <c r="C167" t="s">
        <v>6068</v>
      </c>
      <c r="D167">
        <f>+COUNTIF(WP!M:M,A167)</f>
        <v>1</v>
      </c>
      <c r="E167">
        <f>+COUNTIF(WP!V:V,A167)</f>
        <v>1</v>
      </c>
      <c r="F167">
        <f t="shared" si="5"/>
        <v>44</v>
      </c>
      <c r="G167" t="s">
        <v>7872</v>
      </c>
    </row>
    <row r="168" spans="1:7" x14ac:dyDescent="0.2">
      <c r="A168" t="s">
        <v>2126</v>
      </c>
      <c r="B168">
        <v>1070001</v>
      </c>
      <c r="C168" t="s">
        <v>6068</v>
      </c>
      <c r="D168">
        <f>+COUNTIF(WP!M:M,A168)</f>
        <v>1</v>
      </c>
      <c r="E168">
        <f>+COUNTIF(WP!V:V,A168)</f>
        <v>1</v>
      </c>
      <c r="F168">
        <f t="shared" si="5"/>
        <v>44</v>
      </c>
      <c r="G168" t="s">
        <v>6367</v>
      </c>
    </row>
    <row r="169" spans="1:7" x14ac:dyDescent="0.2">
      <c r="A169" t="s">
        <v>14292</v>
      </c>
      <c r="B169">
        <v>1010024</v>
      </c>
      <c r="C169" t="s">
        <v>6068</v>
      </c>
      <c r="D169">
        <f>+COUNTIF(WP!M:M,A169)</f>
        <v>1</v>
      </c>
      <c r="E169">
        <f>+COUNTIF(WP!V:V,A169)</f>
        <v>1</v>
      </c>
      <c r="F169">
        <v>180</v>
      </c>
      <c r="G169" t="s">
        <v>7927</v>
      </c>
    </row>
    <row r="170" spans="1:7" x14ac:dyDescent="0.2">
      <c r="A170" t="s">
        <v>3218</v>
      </c>
      <c r="B170">
        <v>1020002</v>
      </c>
      <c r="C170" t="s">
        <v>6068</v>
      </c>
      <c r="D170">
        <f>+COUNTIF(WP!M:M,A170)</f>
        <v>1</v>
      </c>
      <c r="E170">
        <f>+COUNTIF(WP!V:V,A170)</f>
        <v>1</v>
      </c>
      <c r="F170">
        <f t="shared" ref="F170:F201" si="6">+LEN(G170)</f>
        <v>113</v>
      </c>
      <c r="G170" t="s">
        <v>6414</v>
      </c>
    </row>
    <row r="171" spans="1:7" x14ac:dyDescent="0.2">
      <c r="A171" t="s">
        <v>7993</v>
      </c>
      <c r="B171">
        <v>1070019</v>
      </c>
      <c r="C171" t="s">
        <v>6068</v>
      </c>
      <c r="D171">
        <f>+COUNTIF(WP!M:M,A171)</f>
        <v>1</v>
      </c>
      <c r="E171">
        <f>+COUNTIF(WP!V:V,A171)</f>
        <v>1</v>
      </c>
      <c r="F171">
        <f t="shared" si="6"/>
        <v>46</v>
      </c>
      <c r="G171" t="s">
        <v>7994</v>
      </c>
    </row>
    <row r="172" spans="1:7" x14ac:dyDescent="0.2">
      <c r="A172" t="s">
        <v>8012</v>
      </c>
      <c r="B172">
        <v>1070017</v>
      </c>
      <c r="C172" t="s">
        <v>6068</v>
      </c>
      <c r="D172">
        <f>+COUNTIF(WP!M:M,A172)</f>
        <v>1</v>
      </c>
      <c r="E172">
        <f>+COUNTIF(WP!V:V,A172)</f>
        <v>1</v>
      </c>
      <c r="F172">
        <f t="shared" si="6"/>
        <v>50</v>
      </c>
      <c r="G172" t="s">
        <v>8013</v>
      </c>
    </row>
    <row r="173" spans="1:7" x14ac:dyDescent="0.2">
      <c r="A173" t="s">
        <v>8032</v>
      </c>
      <c r="B173">
        <v>1020022</v>
      </c>
      <c r="C173" t="s">
        <v>6068</v>
      </c>
      <c r="D173">
        <f>+COUNTIF(WP!M:M,A173)</f>
        <v>1</v>
      </c>
      <c r="E173">
        <f>+COUNTIF(WP!V:V,A173)</f>
        <v>1</v>
      </c>
      <c r="F173">
        <f t="shared" si="6"/>
        <v>156</v>
      </c>
      <c r="G173" t="s">
        <v>8033</v>
      </c>
    </row>
    <row r="174" spans="1:7" x14ac:dyDescent="0.2">
      <c r="A174" t="s">
        <v>8075</v>
      </c>
      <c r="B174">
        <v>1020010</v>
      </c>
      <c r="C174" t="s">
        <v>6068</v>
      </c>
      <c r="D174">
        <f>+COUNTIF(WP!M:M,A174)</f>
        <v>1</v>
      </c>
      <c r="E174">
        <f>+COUNTIF(WP!V:V,A174)</f>
        <v>1</v>
      </c>
      <c r="F174">
        <f t="shared" si="6"/>
        <v>92</v>
      </c>
      <c r="G174" t="s">
        <v>8076</v>
      </c>
    </row>
    <row r="175" spans="1:7" x14ac:dyDescent="0.2">
      <c r="A175" t="s">
        <v>8083</v>
      </c>
      <c r="B175">
        <v>1020002</v>
      </c>
      <c r="C175" t="s">
        <v>6068</v>
      </c>
      <c r="D175">
        <f>+COUNTIF(WP!M:M,A175)</f>
        <v>1</v>
      </c>
      <c r="E175">
        <f>+COUNTIF(WP!V:V,A175)</f>
        <v>1</v>
      </c>
      <c r="F175">
        <f t="shared" si="6"/>
        <v>86</v>
      </c>
      <c r="G175" t="s">
        <v>8084</v>
      </c>
    </row>
    <row r="176" spans="1:7" x14ac:dyDescent="0.2">
      <c r="A176" t="s">
        <v>8119</v>
      </c>
      <c r="B176">
        <v>1010115</v>
      </c>
      <c r="C176" t="s">
        <v>6068</v>
      </c>
      <c r="D176">
        <f>+COUNTIF(WP!M:M,A176)</f>
        <v>1</v>
      </c>
      <c r="E176">
        <f>+COUNTIF(WP!V:V,A176)</f>
        <v>1</v>
      </c>
      <c r="F176">
        <f t="shared" si="6"/>
        <v>191</v>
      </c>
      <c r="G176" t="s">
        <v>8120</v>
      </c>
    </row>
    <row r="177" spans="1:7" x14ac:dyDescent="0.2">
      <c r="A177" t="s">
        <v>8159</v>
      </c>
      <c r="B177">
        <v>1040014</v>
      </c>
      <c r="C177" t="s">
        <v>6068</v>
      </c>
      <c r="D177">
        <f>+COUNTIF(WP!M:M,A177)</f>
        <v>1</v>
      </c>
      <c r="E177">
        <f>+COUNTIF(WP!V:V,A177)</f>
        <v>1</v>
      </c>
      <c r="F177">
        <f t="shared" si="6"/>
        <v>195</v>
      </c>
      <c r="G177" t="s">
        <v>8160</v>
      </c>
    </row>
    <row r="178" spans="1:7" x14ac:dyDescent="0.2">
      <c r="A178" t="s">
        <v>600</v>
      </c>
      <c r="B178">
        <v>1020002</v>
      </c>
      <c r="C178" t="s">
        <v>6068</v>
      </c>
      <c r="D178">
        <f>+COUNTIF(WP!M:M,A178)</f>
        <v>1</v>
      </c>
      <c r="E178">
        <f>+COUNTIF(WP!V:V,A178)</f>
        <v>1</v>
      </c>
      <c r="F178">
        <f t="shared" si="6"/>
        <v>81</v>
      </c>
      <c r="G178" t="s">
        <v>6471</v>
      </c>
    </row>
    <row r="179" spans="1:7" x14ac:dyDescent="0.2">
      <c r="A179" t="s">
        <v>8183</v>
      </c>
      <c r="B179">
        <v>1020004</v>
      </c>
      <c r="C179" t="s">
        <v>6068</v>
      </c>
      <c r="D179">
        <f>+COUNTIF(WP!M:M,A179)</f>
        <v>1</v>
      </c>
      <c r="E179">
        <f>+COUNTIF(WP!V:V,A179)</f>
        <v>1</v>
      </c>
      <c r="F179">
        <f t="shared" si="6"/>
        <v>77</v>
      </c>
      <c r="G179" t="s">
        <v>8184</v>
      </c>
    </row>
    <row r="180" spans="1:7" x14ac:dyDescent="0.2">
      <c r="A180" t="s">
        <v>3462</v>
      </c>
      <c r="B180">
        <v>1070006</v>
      </c>
      <c r="C180" t="s">
        <v>6068</v>
      </c>
      <c r="D180">
        <f>+COUNTIF(WP!M:M,A180)</f>
        <v>1</v>
      </c>
      <c r="E180">
        <f>+COUNTIF(WP!V:V,A180)</f>
        <v>1</v>
      </c>
      <c r="F180">
        <f t="shared" si="6"/>
        <v>43</v>
      </c>
      <c r="G180" t="s">
        <v>6482</v>
      </c>
    </row>
    <row r="181" spans="1:7" x14ac:dyDescent="0.2">
      <c r="A181" t="s">
        <v>1987</v>
      </c>
      <c r="B181">
        <v>1080002</v>
      </c>
      <c r="C181" t="s">
        <v>6068</v>
      </c>
      <c r="D181">
        <f>+COUNTIF(WP!M:M,A181)</f>
        <v>1</v>
      </c>
      <c r="E181">
        <f>+COUNTIF(WP!V:V,A181)</f>
        <v>1</v>
      </c>
      <c r="F181">
        <f t="shared" si="6"/>
        <v>34</v>
      </c>
      <c r="G181" t="s">
        <v>8311</v>
      </c>
    </row>
    <row r="182" spans="1:7" x14ac:dyDescent="0.2">
      <c r="A182" t="s">
        <v>150</v>
      </c>
      <c r="B182">
        <v>1080003</v>
      </c>
      <c r="C182" t="s">
        <v>6068</v>
      </c>
      <c r="D182">
        <f>+COUNTIF(WP!M:M,A182)</f>
        <v>1</v>
      </c>
      <c r="E182">
        <f>+COUNTIF(WP!V:V,A182)</f>
        <v>1</v>
      </c>
      <c r="F182">
        <f t="shared" si="6"/>
        <v>33</v>
      </c>
      <c r="G182" t="s">
        <v>8328</v>
      </c>
    </row>
    <row r="183" spans="1:7" x14ac:dyDescent="0.2">
      <c r="A183" t="s">
        <v>8359</v>
      </c>
      <c r="B183">
        <v>1100002</v>
      </c>
      <c r="C183" t="s">
        <v>6068</v>
      </c>
      <c r="D183">
        <f>+COUNTIF(WP!M:M,A183)</f>
        <v>1</v>
      </c>
      <c r="E183">
        <f>+COUNTIF(WP!V:V,A183)</f>
        <v>1</v>
      </c>
      <c r="F183">
        <f t="shared" si="6"/>
        <v>41</v>
      </c>
      <c r="G183" t="s">
        <v>8360</v>
      </c>
    </row>
    <row r="184" spans="1:7" x14ac:dyDescent="0.2">
      <c r="A184" t="s">
        <v>14839</v>
      </c>
      <c r="B184">
        <v>1020009</v>
      </c>
      <c r="C184" t="s">
        <v>6068</v>
      </c>
      <c r="D184">
        <f>+COUNTIF(WP!M:M,A184)</f>
        <v>1</v>
      </c>
      <c r="E184">
        <f>+COUNTIF(WP!V:V,A184)</f>
        <v>2</v>
      </c>
      <c r="F184">
        <f t="shared" si="6"/>
        <v>76</v>
      </c>
      <c r="G184" t="s">
        <v>14840</v>
      </c>
    </row>
    <row r="185" spans="1:7" x14ac:dyDescent="0.2">
      <c r="A185" t="s">
        <v>7171</v>
      </c>
      <c r="B185">
        <v>1020010</v>
      </c>
      <c r="C185" t="s">
        <v>6068</v>
      </c>
      <c r="D185">
        <f>+COUNTIF(WP!M:M,A185)</f>
        <v>1</v>
      </c>
      <c r="E185">
        <f>+COUNTIF(WP!V:V,A185)</f>
        <v>2</v>
      </c>
      <c r="F185">
        <f t="shared" si="6"/>
        <v>30</v>
      </c>
      <c r="G185" t="s">
        <v>7172</v>
      </c>
    </row>
    <row r="186" spans="1:7" x14ac:dyDescent="0.2">
      <c r="A186" t="s">
        <v>616</v>
      </c>
      <c r="B186">
        <v>1020003</v>
      </c>
      <c r="C186" t="s">
        <v>6068</v>
      </c>
      <c r="D186">
        <f>+COUNTIF(WP!M:M,A186)</f>
        <v>1</v>
      </c>
      <c r="E186">
        <f>+COUNTIF(WP!V:V,A186)</f>
        <v>3</v>
      </c>
      <c r="F186">
        <f t="shared" si="6"/>
        <v>74</v>
      </c>
      <c r="G186" t="s">
        <v>6302</v>
      </c>
    </row>
    <row r="187" spans="1:7" x14ac:dyDescent="0.2">
      <c r="A187" t="s">
        <v>8057</v>
      </c>
      <c r="B187">
        <v>1020004</v>
      </c>
      <c r="C187" t="s">
        <v>6068</v>
      </c>
      <c r="D187">
        <f>+COUNTIF(WP!M:M,A187)</f>
        <v>1</v>
      </c>
      <c r="E187">
        <f>+COUNTIF(WP!V:V,A187)</f>
        <v>3</v>
      </c>
      <c r="F187">
        <f t="shared" si="6"/>
        <v>38</v>
      </c>
      <c r="G187" t="s">
        <v>8058</v>
      </c>
    </row>
    <row r="188" spans="1:7" x14ac:dyDescent="0.2">
      <c r="A188" t="s">
        <v>1108</v>
      </c>
      <c r="B188">
        <v>1020011</v>
      </c>
      <c r="C188" t="s">
        <v>6068</v>
      </c>
      <c r="D188">
        <f>+COUNTIF(WP!M:M,A188)</f>
        <v>1</v>
      </c>
      <c r="E188">
        <f>+COUNTIF(WP!V:V,A188)</f>
        <v>4</v>
      </c>
      <c r="F188">
        <f t="shared" si="6"/>
        <v>52</v>
      </c>
      <c r="G188" t="s">
        <v>6134</v>
      </c>
    </row>
    <row r="189" spans="1:7" x14ac:dyDescent="0.2">
      <c r="A189" t="s">
        <v>1804</v>
      </c>
      <c r="B189">
        <v>1020004</v>
      </c>
      <c r="C189" t="s">
        <v>6068</v>
      </c>
      <c r="D189">
        <f>+COUNTIF(WP!M:M,A189)</f>
        <v>1</v>
      </c>
      <c r="E189">
        <f>+COUNTIF(WP!V:V,A189)</f>
        <v>10</v>
      </c>
      <c r="F189">
        <f t="shared" si="6"/>
        <v>38</v>
      </c>
      <c r="G189" t="s">
        <v>6445</v>
      </c>
    </row>
    <row r="190" spans="1:7" x14ac:dyDescent="0.2">
      <c r="A190" t="s">
        <v>14841</v>
      </c>
      <c r="B190">
        <v>1030012</v>
      </c>
      <c r="C190" t="s">
        <v>6068</v>
      </c>
      <c r="D190">
        <f>+COUNTIF(WP!M:M,A190)</f>
        <v>2</v>
      </c>
      <c r="E190">
        <f>+COUNTIF(WP!V:V,A190)</f>
        <v>0</v>
      </c>
      <c r="F190">
        <f t="shared" si="6"/>
        <v>82</v>
      </c>
      <c r="G190" t="s">
        <v>14842</v>
      </c>
    </row>
    <row r="191" spans="1:7" x14ac:dyDescent="0.2">
      <c r="A191" t="s">
        <v>1481</v>
      </c>
      <c r="B191">
        <v>1030005</v>
      </c>
      <c r="C191" t="s">
        <v>6068</v>
      </c>
      <c r="D191">
        <f>+COUNTIF(WP!M:M,A191)</f>
        <v>2</v>
      </c>
      <c r="E191">
        <f>+COUNTIF(WP!V:V,A191)</f>
        <v>0</v>
      </c>
      <c r="F191">
        <f t="shared" si="6"/>
        <v>43</v>
      </c>
      <c r="G191" t="s">
        <v>6099</v>
      </c>
    </row>
    <row r="192" spans="1:7" x14ac:dyDescent="0.2">
      <c r="A192" t="s">
        <v>2276</v>
      </c>
      <c r="B192">
        <v>1030009</v>
      </c>
      <c r="C192" t="s">
        <v>6068</v>
      </c>
      <c r="D192">
        <f>+COUNTIF(WP!M:M,A192)</f>
        <v>2</v>
      </c>
      <c r="E192">
        <f>+COUNTIF(WP!V:V,A192)</f>
        <v>0</v>
      </c>
      <c r="F192">
        <f t="shared" si="6"/>
        <v>37</v>
      </c>
      <c r="G192" t="s">
        <v>6105</v>
      </c>
    </row>
    <row r="193" spans="1:7" x14ac:dyDescent="0.2">
      <c r="A193" t="s">
        <v>1496</v>
      </c>
      <c r="B193">
        <v>1030002</v>
      </c>
      <c r="C193" t="s">
        <v>6068</v>
      </c>
      <c r="D193">
        <f>+COUNTIF(WP!M:M,A193)</f>
        <v>2</v>
      </c>
      <c r="E193">
        <f>+COUNTIF(WP!V:V,A193)</f>
        <v>0</v>
      </c>
      <c r="F193">
        <f t="shared" si="6"/>
        <v>41</v>
      </c>
      <c r="G193" t="s">
        <v>6119</v>
      </c>
    </row>
    <row r="194" spans="1:7" x14ac:dyDescent="0.2">
      <c r="A194" t="s">
        <v>7165</v>
      </c>
      <c r="B194">
        <v>1020010</v>
      </c>
      <c r="C194" t="s">
        <v>6068</v>
      </c>
      <c r="D194">
        <f>+COUNTIF(WP!M:M,A194)</f>
        <v>2</v>
      </c>
      <c r="E194">
        <f>+COUNTIF(WP!V:V,A194)</f>
        <v>0</v>
      </c>
      <c r="F194">
        <f t="shared" si="6"/>
        <v>30</v>
      </c>
      <c r="G194" t="s">
        <v>7166</v>
      </c>
    </row>
    <row r="195" spans="1:7" x14ac:dyDescent="0.2">
      <c r="A195" t="s">
        <v>3153</v>
      </c>
      <c r="B195">
        <v>1030007</v>
      </c>
      <c r="C195" t="s">
        <v>6068</v>
      </c>
      <c r="D195">
        <f>+COUNTIF(WP!M:M,A195)</f>
        <v>2</v>
      </c>
      <c r="E195">
        <f>+COUNTIF(WP!V:V,A195)</f>
        <v>0</v>
      </c>
      <c r="F195">
        <f t="shared" si="6"/>
        <v>40</v>
      </c>
      <c r="G195" t="s">
        <v>6146</v>
      </c>
    </row>
    <row r="196" spans="1:7" x14ac:dyDescent="0.2">
      <c r="A196" t="s">
        <v>3385</v>
      </c>
      <c r="B196">
        <v>1020003</v>
      </c>
      <c r="C196" t="s">
        <v>6068</v>
      </c>
      <c r="D196">
        <f>+COUNTIF(WP!M:M,A196)</f>
        <v>2</v>
      </c>
      <c r="E196">
        <f>+COUNTIF(WP!V:V,A196)</f>
        <v>0</v>
      </c>
      <c r="F196">
        <f t="shared" si="6"/>
        <v>41</v>
      </c>
      <c r="G196" t="s">
        <v>6236</v>
      </c>
    </row>
    <row r="197" spans="1:7" x14ac:dyDescent="0.2">
      <c r="A197" t="s">
        <v>908</v>
      </c>
      <c r="B197">
        <v>1010002</v>
      </c>
      <c r="C197" t="s">
        <v>6068</v>
      </c>
      <c r="D197">
        <f>+COUNTIF(WP!M:M,A197)</f>
        <v>2</v>
      </c>
      <c r="E197">
        <f>+COUNTIF(WP!V:V,A197)</f>
        <v>0</v>
      </c>
      <c r="F197">
        <f t="shared" si="6"/>
        <v>53</v>
      </c>
      <c r="G197" t="s">
        <v>6242</v>
      </c>
    </row>
    <row r="198" spans="1:7" x14ac:dyDescent="0.2">
      <c r="A198" t="s">
        <v>7621</v>
      </c>
      <c r="B198">
        <v>1020011</v>
      </c>
      <c r="C198" t="s">
        <v>6068</v>
      </c>
      <c r="D198">
        <f>+COUNTIF(WP!M:M,A198)</f>
        <v>2</v>
      </c>
      <c r="E198">
        <f>+COUNTIF(WP!V:V,A198)</f>
        <v>0</v>
      </c>
      <c r="F198">
        <f t="shared" si="6"/>
        <v>76</v>
      </c>
      <c r="G198" t="s">
        <v>7622</v>
      </c>
    </row>
    <row r="199" spans="1:7" x14ac:dyDescent="0.2">
      <c r="A199" t="s">
        <v>2475</v>
      </c>
      <c r="B199">
        <v>1020003</v>
      </c>
      <c r="C199" t="s">
        <v>6068</v>
      </c>
      <c r="D199">
        <f>+COUNTIF(WP!M:M,A199)</f>
        <v>2</v>
      </c>
      <c r="E199">
        <f>+COUNTIF(WP!V:V,A199)</f>
        <v>0</v>
      </c>
      <c r="F199">
        <f t="shared" si="6"/>
        <v>49</v>
      </c>
      <c r="G199" t="s">
        <v>6275</v>
      </c>
    </row>
    <row r="200" spans="1:7" x14ac:dyDescent="0.2">
      <c r="A200" t="s">
        <v>1563</v>
      </c>
      <c r="B200">
        <v>1020002</v>
      </c>
      <c r="C200" t="s">
        <v>6068</v>
      </c>
      <c r="D200">
        <f>+COUNTIF(WP!M:M,A200)</f>
        <v>2</v>
      </c>
      <c r="E200">
        <f>+COUNTIF(WP!V:V,A200)</f>
        <v>0</v>
      </c>
      <c r="F200">
        <f t="shared" si="6"/>
        <v>50</v>
      </c>
      <c r="G200" t="s">
        <v>6286</v>
      </c>
    </row>
    <row r="201" spans="1:7" x14ac:dyDescent="0.2">
      <c r="A201" t="s">
        <v>2939</v>
      </c>
      <c r="B201">
        <v>1020003</v>
      </c>
      <c r="C201" t="s">
        <v>6068</v>
      </c>
      <c r="D201">
        <f>+COUNTIF(WP!M:M,A201)</f>
        <v>2</v>
      </c>
      <c r="E201">
        <f>+COUNTIF(WP!V:V,A201)</f>
        <v>0</v>
      </c>
      <c r="F201">
        <f t="shared" si="6"/>
        <v>74</v>
      </c>
      <c r="G201" t="s">
        <v>6301</v>
      </c>
    </row>
    <row r="202" spans="1:7" x14ac:dyDescent="0.2">
      <c r="A202" t="s">
        <v>1260</v>
      </c>
      <c r="B202">
        <v>1020002</v>
      </c>
      <c r="C202" t="s">
        <v>6068</v>
      </c>
      <c r="D202">
        <f>+COUNTIF(WP!M:M,A202)</f>
        <v>2</v>
      </c>
      <c r="E202">
        <f>+COUNTIF(WP!V:V,A202)</f>
        <v>0</v>
      </c>
      <c r="F202">
        <f t="shared" ref="F202:F233" si="7">+LEN(G202)</f>
        <v>75</v>
      </c>
      <c r="G202" t="s">
        <v>6305</v>
      </c>
    </row>
    <row r="203" spans="1:7" x14ac:dyDescent="0.2">
      <c r="A203" t="s">
        <v>2603</v>
      </c>
      <c r="B203">
        <v>1030004</v>
      </c>
      <c r="C203" t="s">
        <v>6068</v>
      </c>
      <c r="D203">
        <f>+COUNTIF(WP!M:M,A203)</f>
        <v>2</v>
      </c>
      <c r="E203">
        <f>+COUNTIF(WP!V:V,A203)</f>
        <v>0</v>
      </c>
      <c r="F203">
        <f t="shared" si="7"/>
        <v>43</v>
      </c>
      <c r="G203" t="s">
        <v>6341</v>
      </c>
    </row>
    <row r="204" spans="1:7" x14ac:dyDescent="0.2">
      <c r="A204" t="s">
        <v>2377</v>
      </c>
      <c r="B204">
        <v>1030001</v>
      </c>
      <c r="C204" t="s">
        <v>6068</v>
      </c>
      <c r="D204">
        <f>+COUNTIF(WP!M:M,A204)</f>
        <v>2</v>
      </c>
      <c r="E204">
        <f>+COUNTIF(WP!V:V,A204)</f>
        <v>0</v>
      </c>
      <c r="F204">
        <f t="shared" si="7"/>
        <v>40</v>
      </c>
      <c r="G204" t="s">
        <v>6360</v>
      </c>
    </row>
    <row r="205" spans="1:7" x14ac:dyDescent="0.2">
      <c r="A205" t="s">
        <v>2940</v>
      </c>
      <c r="B205">
        <v>1030001</v>
      </c>
      <c r="C205" t="s">
        <v>6068</v>
      </c>
      <c r="D205">
        <f>+COUNTIF(WP!M:M,A205)</f>
        <v>2</v>
      </c>
      <c r="E205">
        <f>+COUNTIF(WP!V:V,A205)</f>
        <v>0</v>
      </c>
      <c r="F205">
        <f t="shared" si="7"/>
        <v>40</v>
      </c>
      <c r="G205" t="s">
        <v>6361</v>
      </c>
    </row>
    <row r="206" spans="1:7" x14ac:dyDescent="0.2">
      <c r="A206" t="s">
        <v>8065</v>
      </c>
      <c r="B206">
        <v>1010007</v>
      </c>
      <c r="C206" t="s">
        <v>6068</v>
      </c>
      <c r="D206">
        <f>+COUNTIF(WP!M:M,A206)</f>
        <v>2</v>
      </c>
      <c r="E206">
        <f>+COUNTIF(WP!V:V,A206)</f>
        <v>0</v>
      </c>
      <c r="F206">
        <f t="shared" si="7"/>
        <v>49</v>
      </c>
      <c r="G206" t="s">
        <v>8066</v>
      </c>
    </row>
    <row r="207" spans="1:7" x14ac:dyDescent="0.2">
      <c r="A207" t="s">
        <v>2376</v>
      </c>
      <c r="B207">
        <v>1020002</v>
      </c>
      <c r="C207" t="s">
        <v>6068</v>
      </c>
      <c r="D207">
        <f>+COUNTIF(WP!M:M,A207)</f>
        <v>2</v>
      </c>
      <c r="E207">
        <f>+COUNTIF(WP!V:V,A207)</f>
        <v>0</v>
      </c>
      <c r="F207">
        <f t="shared" si="7"/>
        <v>86</v>
      </c>
      <c r="G207" t="s">
        <v>6455</v>
      </c>
    </row>
    <row r="208" spans="1:7" x14ac:dyDescent="0.2">
      <c r="A208" t="s">
        <v>8093</v>
      </c>
      <c r="B208">
        <v>1030010</v>
      </c>
      <c r="C208" t="s">
        <v>6068</v>
      </c>
      <c r="D208">
        <f>+COUNTIF(WP!M:M,A208)</f>
        <v>2</v>
      </c>
      <c r="E208">
        <f>+COUNTIF(WP!V:V,A208)</f>
        <v>0</v>
      </c>
      <c r="F208">
        <f t="shared" si="7"/>
        <v>39</v>
      </c>
      <c r="G208" t="s">
        <v>8094</v>
      </c>
    </row>
    <row r="209" spans="1:7" x14ac:dyDescent="0.2">
      <c r="A209" t="s">
        <v>318</v>
      </c>
      <c r="B209">
        <v>1030006</v>
      </c>
      <c r="C209" t="s">
        <v>6068</v>
      </c>
      <c r="D209">
        <f>+COUNTIF(WP!M:M,A209)</f>
        <v>2</v>
      </c>
      <c r="E209">
        <f>+COUNTIF(WP!V:V,A209)</f>
        <v>0</v>
      </c>
      <c r="F209">
        <f t="shared" si="7"/>
        <v>38</v>
      </c>
      <c r="G209" t="s">
        <v>6481</v>
      </c>
    </row>
    <row r="210" spans="1:7" x14ac:dyDescent="0.2">
      <c r="A210" t="s">
        <v>7115</v>
      </c>
      <c r="B210">
        <v>1070002</v>
      </c>
      <c r="C210" t="s">
        <v>6068</v>
      </c>
      <c r="D210">
        <f>+COUNTIF(WP!M:M,A210)</f>
        <v>2</v>
      </c>
      <c r="E210">
        <f>+COUNTIF(WP!V:V,A210)</f>
        <v>1</v>
      </c>
      <c r="F210">
        <f t="shared" si="7"/>
        <v>43</v>
      </c>
      <c r="G210" t="s">
        <v>7116</v>
      </c>
    </row>
    <row r="211" spans="1:7" x14ac:dyDescent="0.2">
      <c r="A211" t="s">
        <v>7254</v>
      </c>
      <c r="B211">
        <v>1020002</v>
      </c>
      <c r="C211" t="s">
        <v>6068</v>
      </c>
      <c r="D211">
        <f>+COUNTIF(WP!M:M,A211)</f>
        <v>2</v>
      </c>
      <c r="E211">
        <f>+COUNTIF(WP!V:V,A211)</f>
        <v>1</v>
      </c>
      <c r="F211">
        <f t="shared" si="7"/>
        <v>63</v>
      </c>
      <c r="G211" t="s">
        <v>7255</v>
      </c>
    </row>
    <row r="212" spans="1:7" x14ac:dyDescent="0.2">
      <c r="A212" t="s">
        <v>2973</v>
      </c>
      <c r="B212">
        <v>1080005</v>
      </c>
      <c r="C212" t="s">
        <v>6068</v>
      </c>
      <c r="D212">
        <f>+COUNTIF(WP!M:M,A212)</f>
        <v>2</v>
      </c>
      <c r="E212">
        <f>+COUNTIF(WP!V:V,A212)</f>
        <v>1</v>
      </c>
      <c r="F212">
        <f t="shared" si="7"/>
        <v>35</v>
      </c>
      <c r="G212" t="s">
        <v>7997</v>
      </c>
    </row>
    <row r="213" spans="1:7" x14ac:dyDescent="0.2">
      <c r="A213" t="s">
        <v>14843</v>
      </c>
      <c r="B213">
        <v>1020004</v>
      </c>
      <c r="C213" t="s">
        <v>6068</v>
      </c>
      <c r="D213">
        <f>+COUNTIF(WP!M:M,A213)</f>
        <v>2</v>
      </c>
      <c r="E213">
        <f>+COUNTIF(WP!V:V,A213)</f>
        <v>2</v>
      </c>
      <c r="F213">
        <f t="shared" si="7"/>
        <v>71</v>
      </c>
      <c r="G213" t="s">
        <v>14844</v>
      </c>
    </row>
    <row r="214" spans="1:7" x14ac:dyDescent="0.2">
      <c r="A214" t="s">
        <v>2067</v>
      </c>
      <c r="B214">
        <v>1020011</v>
      </c>
      <c r="C214" t="s">
        <v>6068</v>
      </c>
      <c r="D214">
        <f>+COUNTIF(WP!M:M,A214)</f>
        <v>2</v>
      </c>
      <c r="E214">
        <f>+COUNTIF(WP!V:V,A214)</f>
        <v>2</v>
      </c>
      <c r="F214">
        <f t="shared" si="7"/>
        <v>52</v>
      </c>
      <c r="G214" t="s">
        <v>6133</v>
      </c>
    </row>
    <row r="215" spans="1:7" x14ac:dyDescent="0.2">
      <c r="A215" t="s">
        <v>7145</v>
      </c>
      <c r="B215">
        <v>1020011</v>
      </c>
      <c r="C215" t="s">
        <v>6068</v>
      </c>
      <c r="D215">
        <f>+COUNTIF(WP!M:M,A215)</f>
        <v>2</v>
      </c>
      <c r="E215">
        <f>+COUNTIF(WP!V:V,A215)</f>
        <v>2</v>
      </c>
      <c r="F215">
        <f t="shared" si="7"/>
        <v>107</v>
      </c>
      <c r="G215" t="s">
        <v>7146</v>
      </c>
    </row>
    <row r="216" spans="1:7" x14ac:dyDescent="0.2">
      <c r="A216" t="s">
        <v>7248</v>
      </c>
      <c r="B216">
        <v>1010126</v>
      </c>
      <c r="C216" t="s">
        <v>6068</v>
      </c>
      <c r="D216">
        <f>+COUNTIF(WP!M:M,A216)</f>
        <v>2</v>
      </c>
      <c r="E216">
        <f>+COUNTIF(WP!V:V,A216)</f>
        <v>2</v>
      </c>
      <c r="F216">
        <f t="shared" si="7"/>
        <v>290</v>
      </c>
      <c r="G216" t="s">
        <v>7249</v>
      </c>
    </row>
    <row r="217" spans="1:7" x14ac:dyDescent="0.2">
      <c r="A217" t="s">
        <v>7252</v>
      </c>
      <c r="B217">
        <v>1020002</v>
      </c>
      <c r="C217" t="s">
        <v>6068</v>
      </c>
      <c r="D217">
        <f>+COUNTIF(WP!M:M,A217)</f>
        <v>2</v>
      </c>
      <c r="E217">
        <f>+COUNTIF(WP!V:V,A217)</f>
        <v>2</v>
      </c>
      <c r="F217">
        <f t="shared" si="7"/>
        <v>63</v>
      </c>
      <c r="G217" t="s">
        <v>7253</v>
      </c>
    </row>
    <row r="218" spans="1:7" x14ac:dyDescent="0.2">
      <c r="A218" t="s">
        <v>7339</v>
      </c>
      <c r="B218">
        <v>1020043</v>
      </c>
      <c r="C218" t="s">
        <v>6068</v>
      </c>
      <c r="D218">
        <f>+COUNTIF(WP!M:M,A218)</f>
        <v>2</v>
      </c>
      <c r="E218">
        <f>+COUNTIF(WP!V:V,A218)</f>
        <v>2</v>
      </c>
      <c r="F218">
        <f t="shared" si="7"/>
        <v>99</v>
      </c>
      <c r="G218" t="s">
        <v>7340</v>
      </c>
    </row>
    <row r="219" spans="1:7" x14ac:dyDescent="0.2">
      <c r="A219" t="s">
        <v>2476</v>
      </c>
      <c r="B219">
        <v>1010012</v>
      </c>
      <c r="C219" t="s">
        <v>6068</v>
      </c>
      <c r="D219">
        <f>+COUNTIF(WP!M:M,A219)</f>
        <v>2</v>
      </c>
      <c r="E219">
        <f>+COUNTIF(WP!V:V,A219)</f>
        <v>2</v>
      </c>
      <c r="F219">
        <f t="shared" si="7"/>
        <v>76</v>
      </c>
      <c r="G219" t="s">
        <v>6189</v>
      </c>
    </row>
    <row r="220" spans="1:7" x14ac:dyDescent="0.2">
      <c r="A220" t="s">
        <v>1194</v>
      </c>
      <c r="B220">
        <v>1080001</v>
      </c>
      <c r="C220" t="s">
        <v>6068</v>
      </c>
      <c r="D220">
        <f>+COUNTIF(WP!M:M,A220)</f>
        <v>2</v>
      </c>
      <c r="E220">
        <f>+COUNTIF(WP!V:V,A220)</f>
        <v>2</v>
      </c>
      <c r="F220">
        <f t="shared" si="7"/>
        <v>34</v>
      </c>
      <c r="G220" t="s">
        <v>7372</v>
      </c>
    </row>
    <row r="221" spans="1:7" x14ac:dyDescent="0.2">
      <c r="A221" t="s">
        <v>7396</v>
      </c>
      <c r="B221">
        <v>1010002</v>
      </c>
      <c r="C221" t="s">
        <v>6068</v>
      </c>
      <c r="D221">
        <f>+COUNTIF(WP!M:M,A221)</f>
        <v>2</v>
      </c>
      <c r="E221">
        <f>+COUNTIF(WP!V:V,A221)</f>
        <v>2</v>
      </c>
      <c r="F221">
        <f t="shared" si="7"/>
        <v>216</v>
      </c>
      <c r="G221" t="s">
        <v>7397</v>
      </c>
    </row>
    <row r="222" spans="1:7" x14ac:dyDescent="0.2">
      <c r="A222" t="s">
        <v>7436</v>
      </c>
      <c r="B222">
        <v>1020006</v>
      </c>
      <c r="C222" t="s">
        <v>6068</v>
      </c>
      <c r="D222">
        <f>+COUNTIF(WP!M:M,A222)</f>
        <v>2</v>
      </c>
      <c r="E222">
        <f>+COUNTIF(WP!V:V,A222)</f>
        <v>2</v>
      </c>
      <c r="F222">
        <f t="shared" si="7"/>
        <v>314</v>
      </c>
      <c r="G222" t="s">
        <v>7437</v>
      </c>
    </row>
    <row r="223" spans="1:7" x14ac:dyDescent="0.2">
      <c r="A223" t="s">
        <v>1014</v>
      </c>
      <c r="B223">
        <v>1010007</v>
      </c>
      <c r="C223" t="s">
        <v>6068</v>
      </c>
      <c r="D223">
        <f>+COUNTIF(WP!M:M,A223)</f>
        <v>2</v>
      </c>
      <c r="E223">
        <f>+COUNTIF(WP!V:V,A223)</f>
        <v>2</v>
      </c>
      <c r="F223">
        <f t="shared" si="7"/>
        <v>94</v>
      </c>
      <c r="G223" t="s">
        <v>6218</v>
      </c>
    </row>
    <row r="224" spans="1:7" x14ac:dyDescent="0.2">
      <c r="A224" t="s">
        <v>894</v>
      </c>
      <c r="B224">
        <v>1020013</v>
      </c>
      <c r="C224" t="s">
        <v>6068</v>
      </c>
      <c r="D224">
        <f>+COUNTIF(WP!M:M,A224)</f>
        <v>2</v>
      </c>
      <c r="E224">
        <f>+COUNTIF(WP!V:V,A224)</f>
        <v>2</v>
      </c>
      <c r="F224">
        <f t="shared" si="7"/>
        <v>48</v>
      </c>
      <c r="G224" t="s">
        <v>6250</v>
      </c>
    </row>
    <row r="225" spans="1:7" x14ac:dyDescent="0.2">
      <c r="A225" t="s">
        <v>3372</v>
      </c>
      <c r="B225">
        <v>1010011</v>
      </c>
      <c r="C225" t="s">
        <v>6068</v>
      </c>
      <c r="D225">
        <f>+COUNTIF(WP!M:M,A225)</f>
        <v>2</v>
      </c>
      <c r="E225">
        <f>+COUNTIF(WP!V:V,A225)</f>
        <v>2</v>
      </c>
      <c r="F225">
        <f t="shared" si="7"/>
        <v>123</v>
      </c>
      <c r="G225" t="s">
        <v>6264</v>
      </c>
    </row>
    <row r="226" spans="1:7" x14ac:dyDescent="0.2">
      <c r="A226" t="s">
        <v>7668</v>
      </c>
      <c r="B226">
        <v>1010041</v>
      </c>
      <c r="C226" t="s">
        <v>6068</v>
      </c>
      <c r="D226">
        <f>+COUNTIF(WP!M:M,A226)</f>
        <v>2</v>
      </c>
      <c r="E226">
        <f>+COUNTIF(WP!V:V,A226)</f>
        <v>2</v>
      </c>
      <c r="F226">
        <f t="shared" si="7"/>
        <v>67</v>
      </c>
      <c r="G226" t="s">
        <v>7669</v>
      </c>
    </row>
    <row r="227" spans="1:7" x14ac:dyDescent="0.2">
      <c r="A227" t="s">
        <v>7717</v>
      </c>
      <c r="B227">
        <v>1020002</v>
      </c>
      <c r="C227" t="s">
        <v>6068</v>
      </c>
      <c r="D227">
        <f>+COUNTIF(WP!M:M,A227)</f>
        <v>2</v>
      </c>
      <c r="E227">
        <f>+COUNTIF(WP!V:V,A227)</f>
        <v>2</v>
      </c>
      <c r="F227">
        <f t="shared" si="7"/>
        <v>75</v>
      </c>
      <c r="G227" t="s">
        <v>7718</v>
      </c>
    </row>
    <row r="228" spans="1:7" x14ac:dyDescent="0.2">
      <c r="A228" t="s">
        <v>1904</v>
      </c>
      <c r="B228">
        <v>1010011</v>
      </c>
      <c r="C228" t="s">
        <v>6068</v>
      </c>
      <c r="D228">
        <f>+COUNTIF(WP!M:M,A228)</f>
        <v>2</v>
      </c>
      <c r="E228">
        <f>+COUNTIF(WP!V:V,A228)</f>
        <v>2</v>
      </c>
      <c r="F228">
        <f t="shared" si="7"/>
        <v>122</v>
      </c>
      <c r="G228" t="s">
        <v>6308</v>
      </c>
    </row>
    <row r="229" spans="1:7" x14ac:dyDescent="0.2">
      <c r="A229" t="s">
        <v>7995</v>
      </c>
      <c r="B229">
        <v>1070019</v>
      </c>
      <c r="C229" t="s">
        <v>6068</v>
      </c>
      <c r="D229">
        <f>+COUNTIF(WP!M:M,A229)</f>
        <v>2</v>
      </c>
      <c r="E229">
        <f>+COUNTIF(WP!V:V,A229)</f>
        <v>2</v>
      </c>
      <c r="F229">
        <f t="shared" si="7"/>
        <v>46</v>
      </c>
      <c r="G229" t="s">
        <v>7996</v>
      </c>
    </row>
    <row r="230" spans="1:7" x14ac:dyDescent="0.2">
      <c r="A230" t="s">
        <v>2503</v>
      </c>
      <c r="B230">
        <v>1010008</v>
      </c>
      <c r="C230" t="s">
        <v>6068</v>
      </c>
      <c r="D230">
        <f>+COUNTIF(WP!M:M,A230)</f>
        <v>2</v>
      </c>
      <c r="E230">
        <f>+COUNTIF(WP!V:V,A230)</f>
        <v>2</v>
      </c>
      <c r="F230">
        <f t="shared" si="7"/>
        <v>53</v>
      </c>
      <c r="G230" t="s">
        <v>6436</v>
      </c>
    </row>
    <row r="231" spans="1:7" x14ac:dyDescent="0.2">
      <c r="A231" t="s">
        <v>2019</v>
      </c>
      <c r="B231">
        <v>1020004</v>
      </c>
      <c r="C231" t="s">
        <v>6068</v>
      </c>
      <c r="D231">
        <f>+COUNTIF(WP!M:M,A231)</f>
        <v>2</v>
      </c>
      <c r="E231">
        <f>+COUNTIF(WP!V:V,A231)</f>
        <v>2</v>
      </c>
      <c r="F231">
        <f t="shared" si="7"/>
        <v>38</v>
      </c>
      <c r="G231" t="s">
        <v>6446</v>
      </c>
    </row>
    <row r="232" spans="1:7" x14ac:dyDescent="0.2">
      <c r="A232" t="s">
        <v>8137</v>
      </c>
      <c r="B232">
        <v>1070018</v>
      </c>
      <c r="C232" t="s">
        <v>6068</v>
      </c>
      <c r="D232">
        <f>+COUNTIF(WP!M:M,A232)</f>
        <v>2</v>
      </c>
      <c r="E232">
        <f>+COUNTIF(WP!V:V,A232)</f>
        <v>2</v>
      </c>
      <c r="F232">
        <f t="shared" si="7"/>
        <v>47</v>
      </c>
      <c r="G232" t="s">
        <v>8138</v>
      </c>
    </row>
    <row r="233" spans="1:7" x14ac:dyDescent="0.2">
      <c r="A233" t="s">
        <v>3461</v>
      </c>
      <c r="B233">
        <v>1020002</v>
      </c>
      <c r="C233" t="s">
        <v>6068</v>
      </c>
      <c r="D233">
        <f>+COUNTIF(WP!M:M,A233)</f>
        <v>2</v>
      </c>
      <c r="E233">
        <f>+COUNTIF(WP!V:V,A233)</f>
        <v>2</v>
      </c>
      <c r="F233">
        <f t="shared" si="7"/>
        <v>106</v>
      </c>
      <c r="G233" t="s">
        <v>6477</v>
      </c>
    </row>
    <row r="234" spans="1:7" x14ac:dyDescent="0.2">
      <c r="A234" t="s">
        <v>8179</v>
      </c>
      <c r="B234">
        <v>1020002</v>
      </c>
      <c r="C234" t="s">
        <v>6068</v>
      </c>
      <c r="D234">
        <f>+COUNTIF(WP!M:M,A234)</f>
        <v>2</v>
      </c>
      <c r="E234">
        <f>+COUNTIF(WP!V:V,A234)</f>
        <v>2</v>
      </c>
      <c r="F234">
        <f t="shared" ref="F234:F254" si="8">+LEN(G234)</f>
        <v>106</v>
      </c>
      <c r="G234" t="s">
        <v>8180</v>
      </c>
    </row>
    <row r="235" spans="1:7" x14ac:dyDescent="0.2">
      <c r="A235" t="s">
        <v>8223</v>
      </c>
      <c r="B235">
        <v>1010105</v>
      </c>
      <c r="C235" t="s">
        <v>6068</v>
      </c>
      <c r="D235">
        <f>+COUNTIF(WP!M:M,A235)</f>
        <v>2</v>
      </c>
      <c r="E235">
        <f>+COUNTIF(WP!V:V,A235)</f>
        <v>2</v>
      </c>
      <c r="F235">
        <f t="shared" si="8"/>
        <v>191</v>
      </c>
      <c r="G235" t="s">
        <v>8224</v>
      </c>
    </row>
    <row r="236" spans="1:7" x14ac:dyDescent="0.2">
      <c r="A236" t="s">
        <v>8165</v>
      </c>
      <c r="B236">
        <v>1020002</v>
      </c>
      <c r="C236" t="s">
        <v>6068</v>
      </c>
      <c r="D236">
        <f>+COUNTIF(WP!M:M,A236)</f>
        <v>2</v>
      </c>
      <c r="E236">
        <f>+COUNTIF(WP!V:V,A236)</f>
        <v>3</v>
      </c>
      <c r="F236">
        <f t="shared" si="8"/>
        <v>81</v>
      </c>
      <c r="G236" t="s">
        <v>8166</v>
      </c>
    </row>
    <row r="237" spans="1:7" x14ac:dyDescent="0.2">
      <c r="A237" t="s">
        <v>192</v>
      </c>
      <c r="B237">
        <v>1020004</v>
      </c>
      <c r="C237" t="s">
        <v>6068</v>
      </c>
      <c r="D237">
        <f>+COUNTIF(WP!M:M,A237)</f>
        <v>2</v>
      </c>
      <c r="E237">
        <f>+COUNTIF(WP!V:V,A237)</f>
        <v>3</v>
      </c>
      <c r="F237">
        <f t="shared" si="8"/>
        <v>77</v>
      </c>
      <c r="G237" t="s">
        <v>6478</v>
      </c>
    </row>
    <row r="238" spans="1:7" x14ac:dyDescent="0.2">
      <c r="A238" t="s">
        <v>151</v>
      </c>
      <c r="B238">
        <v>1020002</v>
      </c>
      <c r="C238" t="s">
        <v>6068</v>
      </c>
      <c r="D238">
        <f>+COUNTIF(WP!M:M,A238)</f>
        <v>3</v>
      </c>
      <c r="E238">
        <f>+COUNTIF(WP!V:V,A238)</f>
        <v>0</v>
      </c>
      <c r="F238">
        <f t="shared" si="8"/>
        <v>42</v>
      </c>
      <c r="G238" t="s">
        <v>6247</v>
      </c>
    </row>
    <row r="239" spans="1:7" x14ac:dyDescent="0.2">
      <c r="A239" t="s">
        <v>7846</v>
      </c>
      <c r="B239">
        <v>1010003</v>
      </c>
      <c r="C239" t="s">
        <v>6068</v>
      </c>
      <c r="D239">
        <f>+COUNTIF(WP!M:M,A239)</f>
        <v>3</v>
      </c>
      <c r="E239">
        <f>+COUNTIF(WP!V:V,A239)</f>
        <v>0</v>
      </c>
      <c r="F239">
        <f t="shared" si="8"/>
        <v>148</v>
      </c>
      <c r="G239" t="s">
        <v>7550</v>
      </c>
    </row>
    <row r="240" spans="1:7" x14ac:dyDescent="0.2">
      <c r="A240" t="s">
        <v>909</v>
      </c>
      <c r="B240">
        <v>1010009</v>
      </c>
      <c r="C240" t="s">
        <v>6068</v>
      </c>
      <c r="D240">
        <f>+COUNTIF(WP!M:M,A240)</f>
        <v>3</v>
      </c>
      <c r="E240">
        <f>+COUNTIF(WP!V:V,A240)</f>
        <v>1</v>
      </c>
      <c r="F240">
        <f t="shared" si="8"/>
        <v>50</v>
      </c>
      <c r="G240" t="s">
        <v>6112</v>
      </c>
    </row>
    <row r="241" spans="1:7" x14ac:dyDescent="0.2">
      <c r="A241" t="s">
        <v>924</v>
      </c>
      <c r="B241">
        <v>1010006</v>
      </c>
      <c r="C241" t="s">
        <v>6068</v>
      </c>
      <c r="D241">
        <f>+COUNTIF(WP!M:M,A241)</f>
        <v>3</v>
      </c>
      <c r="E241">
        <f>+COUNTIF(WP!V:V,A241)</f>
        <v>1</v>
      </c>
      <c r="F241">
        <f t="shared" si="8"/>
        <v>41</v>
      </c>
      <c r="G241" t="s">
        <v>6115</v>
      </c>
    </row>
    <row r="242" spans="1:7" x14ac:dyDescent="0.2">
      <c r="A242" t="s">
        <v>1380</v>
      </c>
      <c r="B242">
        <v>1020010</v>
      </c>
      <c r="C242" t="s">
        <v>6068</v>
      </c>
      <c r="D242">
        <f>+COUNTIF(WP!M:M,A242)</f>
        <v>3</v>
      </c>
      <c r="E242">
        <f>+COUNTIF(WP!V:V,A242)</f>
        <v>2</v>
      </c>
      <c r="F242">
        <f t="shared" si="8"/>
        <v>68</v>
      </c>
      <c r="G242" t="s">
        <v>6206</v>
      </c>
    </row>
    <row r="243" spans="1:7" x14ac:dyDescent="0.2">
      <c r="A243" t="s">
        <v>2813</v>
      </c>
      <c r="B243">
        <v>1020002</v>
      </c>
      <c r="C243" t="s">
        <v>6068</v>
      </c>
      <c r="D243">
        <f>+COUNTIF(WP!M:M,A243)</f>
        <v>4</v>
      </c>
      <c r="E243">
        <f>+COUNTIF(WP!V:V,A243)</f>
        <v>0</v>
      </c>
      <c r="F243">
        <f t="shared" si="8"/>
        <v>50</v>
      </c>
      <c r="G243" t="s">
        <v>6287</v>
      </c>
    </row>
    <row r="244" spans="1:7" x14ac:dyDescent="0.2">
      <c r="A244" t="s">
        <v>617</v>
      </c>
      <c r="B244">
        <v>1020009</v>
      </c>
      <c r="C244" t="s">
        <v>6068</v>
      </c>
      <c r="D244">
        <f>+COUNTIF(WP!M:M,A244)</f>
        <v>4</v>
      </c>
      <c r="E244">
        <f>+COUNTIF(WP!V:V,A244)</f>
        <v>0</v>
      </c>
      <c r="F244">
        <f t="shared" si="8"/>
        <v>47</v>
      </c>
      <c r="G244" t="s">
        <v>6408</v>
      </c>
    </row>
    <row r="245" spans="1:7" x14ac:dyDescent="0.2">
      <c r="A245" t="s">
        <v>8063</v>
      </c>
      <c r="B245">
        <v>1010007</v>
      </c>
      <c r="C245" t="s">
        <v>6068</v>
      </c>
      <c r="D245">
        <f>+COUNTIF(WP!M:M,A245)</f>
        <v>4</v>
      </c>
      <c r="E245">
        <f>+COUNTIF(WP!V:V,A245)</f>
        <v>0</v>
      </c>
      <c r="F245">
        <f t="shared" si="8"/>
        <v>49</v>
      </c>
      <c r="G245" t="s">
        <v>8064</v>
      </c>
    </row>
    <row r="246" spans="1:7" x14ac:dyDescent="0.2">
      <c r="A246" t="s">
        <v>7912</v>
      </c>
      <c r="B246">
        <v>1020009</v>
      </c>
      <c r="C246" t="s">
        <v>6068</v>
      </c>
      <c r="D246">
        <f>+COUNTIF(WP!M:M,A246)</f>
        <v>4</v>
      </c>
      <c r="E246">
        <f>+COUNTIF(WP!V:V,A246)</f>
        <v>1</v>
      </c>
      <c r="F246">
        <f t="shared" si="8"/>
        <v>48</v>
      </c>
      <c r="G246" t="s">
        <v>7913</v>
      </c>
    </row>
    <row r="247" spans="1:7" x14ac:dyDescent="0.2">
      <c r="A247" t="s">
        <v>7451</v>
      </c>
      <c r="B247">
        <v>1010001</v>
      </c>
      <c r="C247" t="s">
        <v>6068</v>
      </c>
      <c r="D247">
        <f>+COUNTIF(WP!M:M,A247)</f>
        <v>4</v>
      </c>
      <c r="E247">
        <f>+COUNTIF(WP!V:V,A247)</f>
        <v>9</v>
      </c>
      <c r="F247">
        <f t="shared" si="8"/>
        <v>37</v>
      </c>
      <c r="G247" t="s">
        <v>7452</v>
      </c>
    </row>
    <row r="248" spans="1:7" x14ac:dyDescent="0.2">
      <c r="A248" t="s">
        <v>7914</v>
      </c>
      <c r="B248">
        <v>1020009</v>
      </c>
      <c r="C248" t="s">
        <v>6068</v>
      </c>
      <c r="D248">
        <f>+COUNTIF(WP!M:M,A248)</f>
        <v>5</v>
      </c>
      <c r="E248">
        <f>+COUNTIF(WP!V:V,A248)</f>
        <v>0</v>
      </c>
      <c r="F248">
        <f t="shared" si="8"/>
        <v>48</v>
      </c>
      <c r="G248" t="s">
        <v>7915</v>
      </c>
    </row>
    <row r="249" spans="1:7" x14ac:dyDescent="0.2">
      <c r="A249" t="s">
        <v>8055</v>
      </c>
      <c r="B249">
        <v>1020004</v>
      </c>
      <c r="C249" t="s">
        <v>6068</v>
      </c>
      <c r="D249">
        <f>+COUNTIF(WP!M:M,A249)</f>
        <v>5</v>
      </c>
      <c r="E249">
        <f>+COUNTIF(WP!V:V,A249)</f>
        <v>0</v>
      </c>
      <c r="F249">
        <f t="shared" si="8"/>
        <v>38</v>
      </c>
      <c r="G249" t="s">
        <v>8056</v>
      </c>
    </row>
    <row r="250" spans="1:7" x14ac:dyDescent="0.2">
      <c r="A250" t="s">
        <v>336</v>
      </c>
      <c r="B250">
        <v>1010001</v>
      </c>
      <c r="C250" t="s">
        <v>6068</v>
      </c>
      <c r="D250">
        <f>+COUNTIF(WP!M:M,A250)</f>
        <v>5</v>
      </c>
      <c r="E250">
        <f>+COUNTIF(WP!V:V,A250)</f>
        <v>5</v>
      </c>
      <c r="F250">
        <f t="shared" si="8"/>
        <v>37</v>
      </c>
      <c r="G250" t="s">
        <v>6220</v>
      </c>
    </row>
    <row r="251" spans="1:7" x14ac:dyDescent="0.2">
      <c r="A251" t="s">
        <v>1591</v>
      </c>
      <c r="B251">
        <v>1010007</v>
      </c>
      <c r="C251" t="s">
        <v>6068</v>
      </c>
      <c r="D251">
        <f>+COUNTIF(WP!M:M,A251)</f>
        <v>5</v>
      </c>
      <c r="E251">
        <f>+COUNTIF(WP!V:V,A251)</f>
        <v>12</v>
      </c>
      <c r="F251">
        <f t="shared" si="8"/>
        <v>49</v>
      </c>
      <c r="G251" t="s">
        <v>6451</v>
      </c>
    </row>
    <row r="252" spans="1:7" x14ac:dyDescent="0.2">
      <c r="A252" t="s">
        <v>354</v>
      </c>
      <c r="B252">
        <v>1020002</v>
      </c>
      <c r="C252" t="s">
        <v>6068</v>
      </c>
      <c r="D252">
        <f>+COUNTIF(WP!M:M,A252)</f>
        <v>6</v>
      </c>
      <c r="E252">
        <f>+COUNTIF(WP!V:V,A252)</f>
        <v>6</v>
      </c>
      <c r="F252">
        <f t="shared" si="8"/>
        <v>63</v>
      </c>
      <c r="G252" t="s">
        <v>6214</v>
      </c>
    </row>
    <row r="253" spans="1:7" x14ac:dyDescent="0.2">
      <c r="A253" t="s">
        <v>878</v>
      </c>
      <c r="B253">
        <v>1010002</v>
      </c>
      <c r="C253" t="s">
        <v>6068</v>
      </c>
      <c r="D253">
        <f>+COUNTIF(WP!M:M,A253)</f>
        <v>9</v>
      </c>
      <c r="E253">
        <f>+COUNTIF(WP!V:V,A253)</f>
        <v>5</v>
      </c>
      <c r="F253">
        <f t="shared" si="8"/>
        <v>37</v>
      </c>
      <c r="G253" t="s">
        <v>6441</v>
      </c>
    </row>
    <row r="254" spans="1:7" x14ac:dyDescent="0.2">
      <c r="A254" t="s">
        <v>3605</v>
      </c>
      <c r="B254">
        <v>1010002</v>
      </c>
      <c r="C254" t="s">
        <v>6068</v>
      </c>
      <c r="D254">
        <f>+COUNTIF(WP!M:M,A254)</f>
        <v>9</v>
      </c>
      <c r="E254">
        <f>+COUNTIF(WP!V:V,A254)</f>
        <v>14</v>
      </c>
      <c r="F254">
        <f t="shared" si="8"/>
        <v>37</v>
      </c>
      <c r="G254" t="s">
        <v>6440</v>
      </c>
    </row>
    <row r="256" spans="1:7" x14ac:dyDescent="0.2">
      <c r="A256" t="s">
        <v>14845</v>
      </c>
      <c r="B256">
        <v>1020011</v>
      </c>
      <c r="C256" t="s">
        <v>6064</v>
      </c>
      <c r="D256">
        <f>+COUNTIF(WP!M:M,A256)</f>
        <v>0</v>
      </c>
      <c r="E256">
        <f>+COUNTIF(WP!V:V,A256)</f>
        <v>1</v>
      </c>
      <c r="F256">
        <f t="shared" ref="F256:F287" si="9">+LEN(G256)</f>
        <v>79</v>
      </c>
      <c r="G256" t="s">
        <v>14846</v>
      </c>
    </row>
    <row r="257" spans="1:7" x14ac:dyDescent="0.2">
      <c r="A257" t="s">
        <v>14847</v>
      </c>
      <c r="B257">
        <v>1020010</v>
      </c>
      <c r="C257" t="s">
        <v>6064</v>
      </c>
      <c r="D257">
        <f>+COUNTIF(WP!M:M,A257)</f>
        <v>0</v>
      </c>
      <c r="E257">
        <f>+COUNTIF(WP!V:V,A257)</f>
        <v>1</v>
      </c>
      <c r="F257">
        <f t="shared" si="9"/>
        <v>58</v>
      </c>
      <c r="G257" t="s">
        <v>14848</v>
      </c>
    </row>
    <row r="258" spans="1:7" x14ac:dyDescent="0.2">
      <c r="A258" t="s">
        <v>14849</v>
      </c>
      <c r="B258">
        <v>1020011</v>
      </c>
      <c r="C258" t="s">
        <v>6064</v>
      </c>
      <c r="D258">
        <f>+COUNTIF(WP!M:M,A258)</f>
        <v>0</v>
      </c>
      <c r="E258">
        <f>+COUNTIF(WP!V:V,A258)</f>
        <v>1</v>
      </c>
      <c r="F258">
        <f t="shared" si="9"/>
        <v>80</v>
      </c>
      <c r="G258" t="s">
        <v>14850</v>
      </c>
    </row>
    <row r="259" spans="1:7" x14ac:dyDescent="0.2">
      <c r="A259" t="s">
        <v>14851</v>
      </c>
      <c r="B259">
        <v>1020010</v>
      </c>
      <c r="C259" t="s">
        <v>6064</v>
      </c>
      <c r="D259">
        <f>+COUNTIF(WP!M:M,A259)</f>
        <v>0</v>
      </c>
      <c r="E259">
        <f>+COUNTIF(WP!V:V,A259)</f>
        <v>1</v>
      </c>
      <c r="F259">
        <f t="shared" si="9"/>
        <v>57</v>
      </c>
      <c r="G259" t="s">
        <v>14852</v>
      </c>
    </row>
    <row r="260" spans="1:7" x14ac:dyDescent="0.2">
      <c r="A260" t="s">
        <v>14853</v>
      </c>
      <c r="B260">
        <v>1020011</v>
      </c>
      <c r="C260" t="s">
        <v>6064</v>
      </c>
      <c r="D260">
        <f>+COUNTIF(WP!M:M,A260)</f>
        <v>0</v>
      </c>
      <c r="E260">
        <f>+COUNTIF(WP!V:V,A260)</f>
        <v>1</v>
      </c>
      <c r="F260">
        <f t="shared" si="9"/>
        <v>81</v>
      </c>
      <c r="G260" t="s">
        <v>14854</v>
      </c>
    </row>
    <row r="261" spans="1:7" x14ac:dyDescent="0.2">
      <c r="A261" t="s">
        <v>14855</v>
      </c>
      <c r="B261">
        <v>1030012</v>
      </c>
      <c r="C261" t="s">
        <v>6064</v>
      </c>
      <c r="D261">
        <f>+COUNTIF(WP!M:M,A261)</f>
        <v>0</v>
      </c>
      <c r="E261">
        <f>+COUNTIF(WP!V:V,A261)</f>
        <v>1</v>
      </c>
      <c r="F261">
        <f t="shared" si="9"/>
        <v>81</v>
      </c>
      <c r="G261" t="s">
        <v>14728</v>
      </c>
    </row>
    <row r="262" spans="1:7" x14ac:dyDescent="0.2">
      <c r="A262" t="s">
        <v>14856</v>
      </c>
      <c r="B262">
        <v>1020010</v>
      </c>
      <c r="C262" t="s">
        <v>6064</v>
      </c>
      <c r="D262">
        <f>+COUNTIF(WP!M:M,A262)</f>
        <v>0</v>
      </c>
      <c r="E262">
        <f>+COUNTIF(WP!V:V,A262)</f>
        <v>1</v>
      </c>
      <c r="F262">
        <f t="shared" si="9"/>
        <v>64</v>
      </c>
      <c r="G262" t="s">
        <v>14857</v>
      </c>
    </row>
    <row r="263" spans="1:7" x14ac:dyDescent="0.2">
      <c r="A263" t="s">
        <v>14858</v>
      </c>
      <c r="B263">
        <v>1010002</v>
      </c>
      <c r="C263" t="s">
        <v>6064</v>
      </c>
      <c r="D263">
        <f>+COUNTIF(WP!M:M,A263)</f>
        <v>0</v>
      </c>
      <c r="E263">
        <f>+COUNTIF(WP!V:V,A263)</f>
        <v>1</v>
      </c>
      <c r="F263">
        <f t="shared" si="9"/>
        <v>70</v>
      </c>
      <c r="G263" t="s">
        <v>14859</v>
      </c>
    </row>
    <row r="264" spans="1:7" x14ac:dyDescent="0.2">
      <c r="A264" t="s">
        <v>14860</v>
      </c>
      <c r="B264">
        <v>1020004</v>
      </c>
      <c r="C264" t="s">
        <v>6064</v>
      </c>
      <c r="D264">
        <f>+COUNTIF(WP!M:M,A264)</f>
        <v>0</v>
      </c>
      <c r="E264">
        <f>+COUNTIF(WP!V:V,A264)</f>
        <v>1</v>
      </c>
      <c r="F264">
        <f t="shared" si="9"/>
        <v>71</v>
      </c>
      <c r="G264" t="s">
        <v>14861</v>
      </c>
    </row>
    <row r="265" spans="1:7" x14ac:dyDescent="0.2">
      <c r="A265" t="s">
        <v>14862</v>
      </c>
      <c r="B265">
        <v>1020011</v>
      </c>
      <c r="C265" t="s">
        <v>6064</v>
      </c>
      <c r="D265">
        <f>+COUNTIF(WP!M:M,A265)</f>
        <v>0</v>
      </c>
      <c r="E265">
        <f>+COUNTIF(WP!V:V,A265)</f>
        <v>1</v>
      </c>
      <c r="F265">
        <f t="shared" si="9"/>
        <v>80</v>
      </c>
      <c r="G265" t="s">
        <v>14863</v>
      </c>
    </row>
    <row r="266" spans="1:7" x14ac:dyDescent="0.2">
      <c r="A266" t="s">
        <v>14864</v>
      </c>
      <c r="B266">
        <v>1030012</v>
      </c>
      <c r="C266" t="s">
        <v>6064</v>
      </c>
      <c r="D266">
        <f>+COUNTIF(WP!M:M,A266)</f>
        <v>0</v>
      </c>
      <c r="E266">
        <f>+COUNTIF(WP!V:V,A266)</f>
        <v>1</v>
      </c>
      <c r="F266">
        <f t="shared" si="9"/>
        <v>81</v>
      </c>
      <c r="G266" t="s">
        <v>14730</v>
      </c>
    </row>
    <row r="267" spans="1:7" x14ac:dyDescent="0.2">
      <c r="A267" t="s">
        <v>14865</v>
      </c>
      <c r="B267">
        <v>1020010</v>
      </c>
      <c r="C267" t="s">
        <v>6064</v>
      </c>
      <c r="D267">
        <f>+COUNTIF(WP!M:M,A267)</f>
        <v>0</v>
      </c>
      <c r="E267">
        <f>+COUNTIF(WP!V:V,A267)</f>
        <v>1</v>
      </c>
      <c r="F267">
        <f t="shared" si="9"/>
        <v>64</v>
      </c>
      <c r="G267" t="s">
        <v>14866</v>
      </c>
    </row>
    <row r="268" spans="1:7" x14ac:dyDescent="0.2">
      <c r="A268" t="s">
        <v>14867</v>
      </c>
      <c r="B268">
        <v>1020010</v>
      </c>
      <c r="C268" t="s">
        <v>6064</v>
      </c>
      <c r="D268">
        <f>+COUNTIF(WP!M:M,A268)</f>
        <v>0</v>
      </c>
      <c r="E268">
        <f>+COUNTIF(WP!V:V,A268)</f>
        <v>1</v>
      </c>
      <c r="F268">
        <f t="shared" si="9"/>
        <v>101</v>
      </c>
      <c r="G268" t="s">
        <v>14868</v>
      </c>
    </row>
    <row r="269" spans="1:7" x14ac:dyDescent="0.2">
      <c r="A269" t="s">
        <v>14869</v>
      </c>
      <c r="B269">
        <v>1080005</v>
      </c>
      <c r="C269" t="s">
        <v>6064</v>
      </c>
      <c r="D269">
        <f>+COUNTIF(WP!M:M,A269)</f>
        <v>0</v>
      </c>
      <c r="E269">
        <f>+COUNTIF(WP!V:V,A269)</f>
        <v>1</v>
      </c>
      <c r="F269">
        <f t="shared" si="9"/>
        <v>68</v>
      </c>
      <c r="G269" t="s">
        <v>14870</v>
      </c>
    </row>
    <row r="270" spans="1:7" x14ac:dyDescent="0.2">
      <c r="A270" t="s">
        <v>14871</v>
      </c>
      <c r="B270">
        <v>1010002</v>
      </c>
      <c r="C270" t="s">
        <v>6064</v>
      </c>
      <c r="D270">
        <f>+COUNTIF(WP!M:M,A270)</f>
        <v>0</v>
      </c>
      <c r="E270">
        <f>+COUNTIF(WP!V:V,A270)</f>
        <v>1</v>
      </c>
      <c r="F270">
        <f t="shared" si="9"/>
        <v>70</v>
      </c>
      <c r="G270" t="s">
        <v>14872</v>
      </c>
    </row>
    <row r="271" spans="1:7" x14ac:dyDescent="0.2">
      <c r="A271" t="s">
        <v>14873</v>
      </c>
      <c r="B271">
        <v>1020011</v>
      </c>
      <c r="C271" t="s">
        <v>6064</v>
      </c>
      <c r="D271">
        <f>+COUNTIF(WP!M:M,A271)</f>
        <v>0</v>
      </c>
      <c r="E271">
        <f>+COUNTIF(WP!V:V,A271)</f>
        <v>1</v>
      </c>
      <c r="F271">
        <f t="shared" si="9"/>
        <v>85</v>
      </c>
      <c r="G271" t="s">
        <v>14874</v>
      </c>
    </row>
    <row r="272" spans="1:7" x14ac:dyDescent="0.2">
      <c r="A272" t="s">
        <v>14875</v>
      </c>
      <c r="B272">
        <v>1030012</v>
      </c>
      <c r="C272" t="s">
        <v>6064</v>
      </c>
      <c r="D272">
        <f>+COUNTIF(WP!M:M,A272)</f>
        <v>0</v>
      </c>
      <c r="E272">
        <f>+COUNTIF(WP!V:V,A272)</f>
        <v>2</v>
      </c>
      <c r="F272">
        <f t="shared" si="9"/>
        <v>82</v>
      </c>
      <c r="G272" t="s">
        <v>14842</v>
      </c>
    </row>
    <row r="273" spans="1:7" x14ac:dyDescent="0.2">
      <c r="A273" t="s">
        <v>14876</v>
      </c>
      <c r="B273">
        <v>1020010</v>
      </c>
      <c r="C273" t="s">
        <v>6064</v>
      </c>
      <c r="D273">
        <f>+COUNTIF(WP!M:M,A273)</f>
        <v>0</v>
      </c>
      <c r="E273">
        <f>+COUNTIF(WP!V:V,A273)</f>
        <v>1</v>
      </c>
      <c r="F273">
        <f t="shared" si="9"/>
        <v>65</v>
      </c>
      <c r="G273" t="s">
        <v>14877</v>
      </c>
    </row>
    <row r="274" spans="1:7" x14ac:dyDescent="0.2">
      <c r="A274" t="s">
        <v>14878</v>
      </c>
      <c r="B274">
        <v>1020010</v>
      </c>
      <c r="C274" t="s">
        <v>6064</v>
      </c>
      <c r="D274">
        <f>+COUNTIF(WP!M:M,A274)</f>
        <v>0</v>
      </c>
      <c r="E274">
        <f>+COUNTIF(WP!V:V,A274)</f>
        <v>1</v>
      </c>
      <c r="F274">
        <f t="shared" si="9"/>
        <v>102</v>
      </c>
      <c r="G274" t="s">
        <v>14879</v>
      </c>
    </row>
    <row r="275" spans="1:7" x14ac:dyDescent="0.2">
      <c r="A275" t="s">
        <v>14880</v>
      </c>
      <c r="B275">
        <v>1080004</v>
      </c>
      <c r="C275" t="s">
        <v>6064</v>
      </c>
      <c r="D275">
        <f>+COUNTIF(WP!M:M,A275)</f>
        <v>0</v>
      </c>
      <c r="E275">
        <f>+COUNTIF(WP!V:V,A275)</f>
        <v>1</v>
      </c>
      <c r="F275">
        <f t="shared" si="9"/>
        <v>68</v>
      </c>
      <c r="G275" t="s">
        <v>14881</v>
      </c>
    </row>
    <row r="276" spans="1:7" x14ac:dyDescent="0.2">
      <c r="A276" t="s">
        <v>14882</v>
      </c>
      <c r="B276">
        <v>1010002</v>
      </c>
      <c r="C276" t="s">
        <v>6064</v>
      </c>
      <c r="D276">
        <f>+COUNTIF(WP!M:M,A276)</f>
        <v>0</v>
      </c>
      <c r="E276">
        <f>+COUNTIF(WP!V:V,A276)</f>
        <v>1</v>
      </c>
      <c r="F276">
        <f t="shared" si="9"/>
        <v>71</v>
      </c>
      <c r="G276" t="s">
        <v>14883</v>
      </c>
    </row>
    <row r="277" spans="1:7" x14ac:dyDescent="0.2">
      <c r="A277" t="s">
        <v>14884</v>
      </c>
      <c r="B277">
        <v>1020004</v>
      </c>
      <c r="C277" t="s">
        <v>6064</v>
      </c>
      <c r="D277">
        <f>+COUNTIF(WP!M:M,A277)</f>
        <v>0</v>
      </c>
      <c r="E277">
        <f>+COUNTIF(WP!V:V,A277)</f>
        <v>1</v>
      </c>
      <c r="F277">
        <f t="shared" si="9"/>
        <v>72</v>
      </c>
      <c r="G277" t="s">
        <v>14885</v>
      </c>
    </row>
    <row r="278" spans="1:7" x14ac:dyDescent="0.2">
      <c r="A278" t="s">
        <v>14886</v>
      </c>
      <c r="B278">
        <v>1020011</v>
      </c>
      <c r="C278" t="s">
        <v>6064</v>
      </c>
      <c r="D278">
        <f>+COUNTIF(WP!M:M,A278)</f>
        <v>0</v>
      </c>
      <c r="E278">
        <f>+COUNTIF(WP!V:V,A278)</f>
        <v>1</v>
      </c>
      <c r="F278">
        <f t="shared" si="9"/>
        <v>80</v>
      </c>
      <c r="G278" t="s">
        <v>14887</v>
      </c>
    </row>
    <row r="279" spans="1:7" x14ac:dyDescent="0.2">
      <c r="A279" t="s">
        <v>14888</v>
      </c>
      <c r="B279">
        <v>1020010</v>
      </c>
      <c r="C279" t="s">
        <v>6064</v>
      </c>
      <c r="D279">
        <f>+COUNTIF(WP!M:M,A279)</f>
        <v>0</v>
      </c>
      <c r="E279">
        <f>+COUNTIF(WP!V:V,A279)</f>
        <v>1</v>
      </c>
      <c r="F279">
        <f t="shared" si="9"/>
        <v>59</v>
      </c>
      <c r="G279" t="s">
        <v>14889</v>
      </c>
    </row>
    <row r="280" spans="1:7" x14ac:dyDescent="0.2">
      <c r="A280" t="s">
        <v>14890</v>
      </c>
      <c r="B280">
        <v>1020011</v>
      </c>
      <c r="C280" t="s">
        <v>6064</v>
      </c>
      <c r="D280">
        <f>+COUNTIF(WP!M:M,A280)</f>
        <v>0</v>
      </c>
      <c r="E280">
        <f>+COUNTIF(WP!V:V,A280)</f>
        <v>1</v>
      </c>
      <c r="F280">
        <f t="shared" si="9"/>
        <v>80</v>
      </c>
      <c r="G280" t="s">
        <v>14891</v>
      </c>
    </row>
    <row r="281" spans="1:7" x14ac:dyDescent="0.2">
      <c r="A281" t="s">
        <v>14892</v>
      </c>
      <c r="B281">
        <v>1020010</v>
      </c>
      <c r="C281" t="s">
        <v>6064</v>
      </c>
      <c r="D281">
        <f>+COUNTIF(WP!M:M,A281)</f>
        <v>0</v>
      </c>
      <c r="E281">
        <f>+COUNTIF(WP!V:V,A281)</f>
        <v>1</v>
      </c>
      <c r="F281">
        <f t="shared" si="9"/>
        <v>59</v>
      </c>
      <c r="G281" t="s">
        <v>14893</v>
      </c>
    </row>
    <row r="282" spans="1:7" x14ac:dyDescent="0.2">
      <c r="A282" t="s">
        <v>14894</v>
      </c>
      <c r="B282">
        <v>1020011</v>
      </c>
      <c r="C282" t="s">
        <v>6064</v>
      </c>
      <c r="D282">
        <f>+COUNTIF(WP!M:M,A282)</f>
        <v>0</v>
      </c>
      <c r="E282">
        <f>+COUNTIF(WP!V:V,A282)</f>
        <v>1</v>
      </c>
      <c r="F282">
        <f t="shared" si="9"/>
        <v>79</v>
      </c>
      <c r="G282" t="s">
        <v>14895</v>
      </c>
    </row>
    <row r="283" spans="1:7" x14ac:dyDescent="0.2">
      <c r="A283" t="s">
        <v>14896</v>
      </c>
      <c r="B283">
        <v>1020010</v>
      </c>
      <c r="C283" t="s">
        <v>6064</v>
      </c>
      <c r="D283">
        <f>+COUNTIF(WP!M:M,A283)</f>
        <v>0</v>
      </c>
      <c r="E283">
        <f>+COUNTIF(WP!V:V,A283)</f>
        <v>1</v>
      </c>
      <c r="F283">
        <f t="shared" si="9"/>
        <v>58</v>
      </c>
      <c r="G283" t="s">
        <v>14897</v>
      </c>
    </row>
    <row r="284" spans="1:7" x14ac:dyDescent="0.2">
      <c r="A284" t="s">
        <v>14898</v>
      </c>
      <c r="B284">
        <v>1030012</v>
      </c>
      <c r="C284" t="s">
        <v>6064</v>
      </c>
      <c r="D284">
        <f>+COUNTIF(WP!M:M,A284)</f>
        <v>0</v>
      </c>
      <c r="E284">
        <f>+COUNTIF(WP!V:V,A284)</f>
        <v>1</v>
      </c>
      <c r="F284">
        <f t="shared" si="9"/>
        <v>81</v>
      </c>
      <c r="G284" t="s">
        <v>14750</v>
      </c>
    </row>
    <row r="285" spans="1:7" x14ac:dyDescent="0.2">
      <c r="A285" t="s">
        <v>14899</v>
      </c>
      <c r="B285">
        <v>1020010</v>
      </c>
      <c r="C285" t="s">
        <v>6064</v>
      </c>
      <c r="D285">
        <f>+COUNTIF(WP!M:M,A285)</f>
        <v>0</v>
      </c>
      <c r="E285">
        <f>+COUNTIF(WP!V:V,A285)</f>
        <v>1</v>
      </c>
      <c r="F285">
        <f t="shared" si="9"/>
        <v>64</v>
      </c>
      <c r="G285" t="s">
        <v>14900</v>
      </c>
    </row>
    <row r="286" spans="1:7" x14ac:dyDescent="0.2">
      <c r="A286" t="s">
        <v>14901</v>
      </c>
      <c r="B286">
        <v>1020010</v>
      </c>
      <c r="C286" t="s">
        <v>6064</v>
      </c>
      <c r="D286">
        <f>+COUNTIF(WP!M:M,A286)</f>
        <v>0</v>
      </c>
      <c r="E286">
        <f>+COUNTIF(WP!V:V,A286)</f>
        <v>1</v>
      </c>
      <c r="F286">
        <f t="shared" si="9"/>
        <v>101</v>
      </c>
      <c r="G286" t="s">
        <v>14902</v>
      </c>
    </row>
    <row r="287" spans="1:7" x14ac:dyDescent="0.2">
      <c r="A287" t="s">
        <v>14903</v>
      </c>
      <c r="B287">
        <v>1010002</v>
      </c>
      <c r="C287" t="s">
        <v>6064</v>
      </c>
      <c r="D287">
        <f>+COUNTIF(WP!M:M,A287)</f>
        <v>0</v>
      </c>
      <c r="E287">
        <f>+COUNTIF(WP!V:V,A287)</f>
        <v>1</v>
      </c>
      <c r="F287">
        <f t="shared" si="9"/>
        <v>70</v>
      </c>
      <c r="G287" t="s">
        <v>14904</v>
      </c>
    </row>
    <row r="288" spans="1:7" x14ac:dyDescent="0.2">
      <c r="A288" t="s">
        <v>14905</v>
      </c>
      <c r="B288">
        <v>1020004</v>
      </c>
      <c r="C288" t="s">
        <v>6064</v>
      </c>
      <c r="D288">
        <f>+COUNTIF(WP!M:M,A288)</f>
        <v>0</v>
      </c>
      <c r="E288">
        <f>+COUNTIF(WP!V:V,A288)</f>
        <v>1</v>
      </c>
      <c r="F288">
        <f t="shared" ref="F288:F320" si="10">+LEN(G288)</f>
        <v>72</v>
      </c>
      <c r="G288" t="s">
        <v>14906</v>
      </c>
    </row>
    <row r="289" spans="1:7" x14ac:dyDescent="0.2">
      <c r="A289" t="s">
        <v>14907</v>
      </c>
      <c r="B289">
        <v>1030012</v>
      </c>
      <c r="C289" t="s">
        <v>6064</v>
      </c>
      <c r="D289">
        <f>+COUNTIF(WP!M:M,A289)</f>
        <v>0</v>
      </c>
      <c r="E289">
        <f>+COUNTIF(WP!V:V,A289)</f>
        <v>1</v>
      </c>
      <c r="F289">
        <f t="shared" si="10"/>
        <v>80</v>
      </c>
      <c r="G289" t="s">
        <v>14758</v>
      </c>
    </row>
    <row r="290" spans="1:7" x14ac:dyDescent="0.2">
      <c r="A290" t="s">
        <v>14908</v>
      </c>
      <c r="B290">
        <v>1010006</v>
      </c>
      <c r="C290" t="s">
        <v>6064</v>
      </c>
      <c r="D290">
        <f>+COUNTIF(WP!M:M,A290)</f>
        <v>0</v>
      </c>
      <c r="E290">
        <f>+COUNTIF(WP!V:V,A290)</f>
        <v>1</v>
      </c>
      <c r="F290">
        <f t="shared" si="10"/>
        <v>73</v>
      </c>
      <c r="G290" t="s">
        <v>14909</v>
      </c>
    </row>
    <row r="291" spans="1:7" x14ac:dyDescent="0.2">
      <c r="A291" t="s">
        <v>14910</v>
      </c>
      <c r="B291">
        <v>1020010</v>
      </c>
      <c r="C291" t="s">
        <v>6064</v>
      </c>
      <c r="D291">
        <f>+COUNTIF(WP!M:M,A291)</f>
        <v>0</v>
      </c>
      <c r="E291">
        <f>+COUNTIF(WP!V:V,A291)</f>
        <v>1</v>
      </c>
      <c r="F291">
        <f t="shared" si="10"/>
        <v>63</v>
      </c>
      <c r="G291" t="s">
        <v>14911</v>
      </c>
    </row>
    <row r="292" spans="1:7" x14ac:dyDescent="0.2">
      <c r="A292" t="s">
        <v>14912</v>
      </c>
      <c r="B292">
        <v>1020010</v>
      </c>
      <c r="C292" t="s">
        <v>6064</v>
      </c>
      <c r="D292">
        <f>+COUNTIF(WP!M:M,A292)</f>
        <v>0</v>
      </c>
      <c r="E292">
        <f>+COUNTIF(WP!V:V,A292)</f>
        <v>1</v>
      </c>
      <c r="F292">
        <f t="shared" si="10"/>
        <v>100</v>
      </c>
      <c r="G292" t="s">
        <v>14913</v>
      </c>
    </row>
    <row r="293" spans="1:7" x14ac:dyDescent="0.2">
      <c r="A293" t="s">
        <v>14914</v>
      </c>
      <c r="B293">
        <v>1010002</v>
      </c>
      <c r="C293" t="s">
        <v>6064</v>
      </c>
      <c r="D293">
        <f>+COUNTIF(WP!M:M,A293)</f>
        <v>0</v>
      </c>
      <c r="E293">
        <f>+COUNTIF(WP!V:V,A293)</f>
        <v>1</v>
      </c>
      <c r="F293">
        <f t="shared" si="10"/>
        <v>69</v>
      </c>
      <c r="G293" t="s">
        <v>14915</v>
      </c>
    </row>
    <row r="294" spans="1:7" x14ac:dyDescent="0.2">
      <c r="A294" t="s">
        <v>14695</v>
      </c>
      <c r="B294" t="s">
        <v>6064</v>
      </c>
      <c r="C294" t="s">
        <v>6064</v>
      </c>
      <c r="D294">
        <f>+COUNTIF(WP!M:M,A294)</f>
        <v>0</v>
      </c>
      <c r="E294">
        <f>+COUNTIF(WP!V:V,A294)</f>
        <v>1</v>
      </c>
      <c r="F294">
        <f t="shared" si="10"/>
        <v>187</v>
      </c>
      <c r="G294" t="s">
        <v>14916</v>
      </c>
    </row>
    <row r="295" spans="1:7" x14ac:dyDescent="0.2">
      <c r="A295" t="s">
        <v>14917</v>
      </c>
      <c r="B295">
        <v>1130001</v>
      </c>
      <c r="C295" t="s">
        <v>6064</v>
      </c>
      <c r="D295">
        <f>+COUNTIF(WP!M:M,A295)</f>
        <v>0</v>
      </c>
      <c r="E295">
        <f>+COUNTIF(WP!V:V,A295)</f>
        <v>1</v>
      </c>
      <c r="F295">
        <f t="shared" si="10"/>
        <v>44</v>
      </c>
      <c r="G295" t="s">
        <v>14918</v>
      </c>
    </row>
    <row r="296" spans="1:7" x14ac:dyDescent="0.2">
      <c r="A296" t="s">
        <v>14686</v>
      </c>
      <c r="B296" t="s">
        <v>6064</v>
      </c>
      <c r="C296" t="s">
        <v>6064</v>
      </c>
      <c r="D296">
        <f>+COUNTIF(WP!M:M,A296)</f>
        <v>0</v>
      </c>
      <c r="E296">
        <f>+COUNTIF(WP!V:V,A296)</f>
        <v>1</v>
      </c>
      <c r="F296">
        <f t="shared" si="10"/>
        <v>191</v>
      </c>
      <c r="G296" t="s">
        <v>14919</v>
      </c>
    </row>
    <row r="297" spans="1:7" x14ac:dyDescent="0.2">
      <c r="A297" t="s">
        <v>14920</v>
      </c>
      <c r="B297">
        <v>1010051</v>
      </c>
      <c r="C297" t="s">
        <v>6064</v>
      </c>
      <c r="D297">
        <f>+COUNTIF(WP!M:M,A297)</f>
        <v>0</v>
      </c>
      <c r="E297">
        <f>+COUNTIF(WP!V:V,A297)</f>
        <v>1</v>
      </c>
      <c r="F297">
        <f t="shared" si="10"/>
        <v>47</v>
      </c>
      <c r="G297" t="s">
        <v>14921</v>
      </c>
    </row>
    <row r="298" spans="1:7" x14ac:dyDescent="0.2">
      <c r="A298" t="s">
        <v>14922</v>
      </c>
      <c r="B298">
        <v>1020005</v>
      </c>
      <c r="C298" t="s">
        <v>6064</v>
      </c>
      <c r="D298">
        <f>+COUNTIF(WP!M:M,A298)</f>
        <v>0</v>
      </c>
      <c r="E298">
        <f>+COUNTIF(WP!V:V,A298)</f>
        <v>1</v>
      </c>
      <c r="F298">
        <f t="shared" si="10"/>
        <v>40</v>
      </c>
      <c r="G298" t="s">
        <v>14923</v>
      </c>
    </row>
    <row r="299" spans="1:7" x14ac:dyDescent="0.2">
      <c r="A299" t="s">
        <v>14924</v>
      </c>
      <c r="B299">
        <v>1010003</v>
      </c>
      <c r="C299" t="s">
        <v>6064</v>
      </c>
      <c r="D299">
        <f>+COUNTIF(WP!M:M,A299)</f>
        <v>0</v>
      </c>
      <c r="E299">
        <f>+COUNTIF(WP!V:V,A299)</f>
        <v>1</v>
      </c>
      <c r="F299">
        <f t="shared" si="10"/>
        <v>31</v>
      </c>
      <c r="G299" t="s">
        <v>14925</v>
      </c>
    </row>
    <row r="300" spans="1:7" x14ac:dyDescent="0.2">
      <c r="A300" t="s">
        <v>14703</v>
      </c>
      <c r="B300" t="s">
        <v>6064</v>
      </c>
      <c r="C300" t="s">
        <v>6064</v>
      </c>
      <c r="D300">
        <f>+COUNTIF(WP!M:M,A300)</f>
        <v>0</v>
      </c>
      <c r="E300">
        <f>+COUNTIF(WP!V:V,A300)</f>
        <v>1</v>
      </c>
      <c r="F300">
        <f t="shared" si="10"/>
        <v>193</v>
      </c>
      <c r="G300" t="s">
        <v>14926</v>
      </c>
    </row>
    <row r="301" spans="1:7" x14ac:dyDescent="0.2">
      <c r="A301" t="s">
        <v>14927</v>
      </c>
      <c r="B301">
        <v>1010075</v>
      </c>
      <c r="C301" t="s">
        <v>6064</v>
      </c>
      <c r="D301">
        <f>+COUNTIF(WP!M:M,A301)</f>
        <v>0</v>
      </c>
      <c r="E301">
        <f>+COUNTIF(WP!V:V,A301)</f>
        <v>1</v>
      </c>
      <c r="F301">
        <f t="shared" si="10"/>
        <v>51</v>
      </c>
      <c r="G301" t="s">
        <v>14928</v>
      </c>
    </row>
    <row r="302" spans="1:7" x14ac:dyDescent="0.2">
      <c r="A302" t="s">
        <v>14929</v>
      </c>
      <c r="B302">
        <v>1020010</v>
      </c>
      <c r="C302" t="s">
        <v>6064</v>
      </c>
      <c r="D302">
        <f>+COUNTIF(WP!M:M,A302)</f>
        <v>0</v>
      </c>
      <c r="E302">
        <f>+COUNTIF(WP!V:V,A302)</f>
        <v>1</v>
      </c>
      <c r="F302">
        <f t="shared" si="10"/>
        <v>68</v>
      </c>
      <c r="G302" t="s">
        <v>14930</v>
      </c>
    </row>
    <row r="303" spans="1:7" x14ac:dyDescent="0.2">
      <c r="A303" t="s">
        <v>315</v>
      </c>
      <c r="B303">
        <v>1020001</v>
      </c>
      <c r="C303" t="s">
        <v>6064</v>
      </c>
      <c r="D303">
        <f>+COUNTIF(WP!M:M,A303)</f>
        <v>0</v>
      </c>
      <c r="E303">
        <f>+COUNTIF(WP!V:V,A303)</f>
        <v>1</v>
      </c>
      <c r="F303">
        <f t="shared" si="10"/>
        <v>20</v>
      </c>
      <c r="G303" t="s">
        <v>14931</v>
      </c>
    </row>
    <row r="304" spans="1:7" x14ac:dyDescent="0.2">
      <c r="A304" t="s">
        <v>682</v>
      </c>
      <c r="B304">
        <v>1020001</v>
      </c>
      <c r="C304" t="s">
        <v>6064</v>
      </c>
      <c r="D304">
        <f>+COUNTIF(WP!M:M,A304)</f>
        <v>0</v>
      </c>
      <c r="E304">
        <f>+COUNTIF(WP!V:V,A304)</f>
        <v>1</v>
      </c>
      <c r="F304">
        <f t="shared" si="10"/>
        <v>20</v>
      </c>
      <c r="G304" t="s">
        <v>14932</v>
      </c>
    </row>
    <row r="305" spans="1:7" x14ac:dyDescent="0.2">
      <c r="A305" t="s">
        <v>14933</v>
      </c>
      <c r="B305">
        <v>1020010</v>
      </c>
      <c r="C305" t="s">
        <v>6064</v>
      </c>
      <c r="D305">
        <f>+COUNTIF(WP!M:M,A305)</f>
        <v>0</v>
      </c>
      <c r="E305">
        <f>+COUNTIF(WP!V:V,A305)</f>
        <v>1</v>
      </c>
      <c r="F305">
        <f t="shared" si="10"/>
        <v>84</v>
      </c>
      <c r="G305" t="s">
        <v>14934</v>
      </c>
    </row>
    <row r="306" spans="1:7" x14ac:dyDescent="0.2">
      <c r="A306" t="s">
        <v>14935</v>
      </c>
      <c r="B306">
        <v>1020009</v>
      </c>
      <c r="C306" t="s">
        <v>6064</v>
      </c>
      <c r="D306">
        <f>+COUNTIF(WP!M:M,A306)</f>
        <v>0</v>
      </c>
      <c r="E306">
        <f>+COUNTIF(WP!V:V,A306)</f>
        <v>10</v>
      </c>
      <c r="F306">
        <f t="shared" si="10"/>
        <v>48</v>
      </c>
      <c r="G306" t="s">
        <v>14936</v>
      </c>
    </row>
    <row r="307" spans="1:7" x14ac:dyDescent="0.2">
      <c r="A307" t="s">
        <v>14937</v>
      </c>
      <c r="B307">
        <v>1070010</v>
      </c>
      <c r="C307" t="s">
        <v>6064</v>
      </c>
      <c r="D307">
        <f>+COUNTIF(WP!M:M,A307)</f>
        <v>0</v>
      </c>
      <c r="E307">
        <f>+COUNTIF(WP!V:V,A307)</f>
        <v>1</v>
      </c>
      <c r="F307">
        <f t="shared" si="10"/>
        <v>44</v>
      </c>
      <c r="G307" t="s">
        <v>14938</v>
      </c>
    </row>
    <row r="308" spans="1:7" x14ac:dyDescent="0.2">
      <c r="A308" t="s">
        <v>128</v>
      </c>
      <c r="B308">
        <v>1020002</v>
      </c>
      <c r="C308" t="s">
        <v>6064</v>
      </c>
      <c r="D308">
        <f>+COUNTIF(WP!M:M,A308)</f>
        <v>0</v>
      </c>
      <c r="E308">
        <f>+COUNTIF(WP!V:V,A308)</f>
        <v>3</v>
      </c>
      <c r="F308">
        <f t="shared" si="10"/>
        <v>25</v>
      </c>
      <c r="G308" t="s">
        <v>14939</v>
      </c>
    </row>
    <row r="309" spans="1:7" x14ac:dyDescent="0.2">
      <c r="A309" t="s">
        <v>14940</v>
      </c>
      <c r="B309">
        <v>1020002</v>
      </c>
      <c r="C309" t="s">
        <v>6064</v>
      </c>
      <c r="D309">
        <f>+COUNTIF(WP!M:M,A309)</f>
        <v>0</v>
      </c>
      <c r="E309">
        <f>+COUNTIF(WP!V:V,A309)</f>
        <v>7</v>
      </c>
      <c r="F309">
        <f t="shared" si="10"/>
        <v>25</v>
      </c>
      <c r="G309" t="s">
        <v>14941</v>
      </c>
    </row>
    <row r="310" spans="1:7" x14ac:dyDescent="0.2">
      <c r="A310" t="s">
        <v>14942</v>
      </c>
      <c r="B310">
        <v>1020011</v>
      </c>
      <c r="C310" t="s">
        <v>6064</v>
      </c>
      <c r="D310">
        <f>+COUNTIF(WP!M:M,A310)</f>
        <v>0</v>
      </c>
      <c r="E310">
        <f>+COUNTIF(WP!V:V,A310)</f>
        <v>1</v>
      </c>
      <c r="F310">
        <f t="shared" si="10"/>
        <v>128</v>
      </c>
      <c r="G310" t="s">
        <v>14943</v>
      </c>
    </row>
    <row r="311" spans="1:7" x14ac:dyDescent="0.2">
      <c r="A311" t="s">
        <v>14944</v>
      </c>
      <c r="B311">
        <v>1020010</v>
      </c>
      <c r="C311" t="s">
        <v>6064</v>
      </c>
      <c r="D311">
        <f>+COUNTIF(WP!M:M,A311)</f>
        <v>0</v>
      </c>
      <c r="E311">
        <f>+COUNTIF(WP!V:V,A311)</f>
        <v>1</v>
      </c>
      <c r="F311">
        <f t="shared" si="10"/>
        <v>109</v>
      </c>
      <c r="G311" t="s">
        <v>14945</v>
      </c>
    </row>
    <row r="312" spans="1:7" x14ac:dyDescent="0.2">
      <c r="A312" t="s">
        <v>14946</v>
      </c>
      <c r="B312">
        <v>1020004</v>
      </c>
      <c r="C312" t="s">
        <v>6064</v>
      </c>
      <c r="D312">
        <f>+COUNTIF(WP!M:M,A312)</f>
        <v>0</v>
      </c>
      <c r="E312">
        <f>+COUNTIF(WP!V:V,A312)</f>
        <v>1</v>
      </c>
      <c r="F312">
        <f t="shared" si="10"/>
        <v>107</v>
      </c>
      <c r="G312" t="s">
        <v>14947</v>
      </c>
    </row>
    <row r="313" spans="1:7" x14ac:dyDescent="0.2">
      <c r="A313" t="s">
        <v>14948</v>
      </c>
      <c r="B313">
        <v>1020002</v>
      </c>
      <c r="C313" t="s">
        <v>6064</v>
      </c>
      <c r="D313">
        <f>+COUNTIF(WP!M:M,A313)</f>
        <v>0</v>
      </c>
      <c r="E313">
        <f>+COUNTIF(WP!V:V,A313)</f>
        <v>1</v>
      </c>
      <c r="F313">
        <f t="shared" si="10"/>
        <v>97</v>
      </c>
      <c r="G313" t="s">
        <v>14949</v>
      </c>
    </row>
    <row r="314" spans="1:7" x14ac:dyDescent="0.2">
      <c r="A314" t="s">
        <v>14717</v>
      </c>
      <c r="B314">
        <v>1030021</v>
      </c>
      <c r="C314" t="s">
        <v>6064</v>
      </c>
      <c r="D314">
        <f>+COUNTIF(WP!M:M,A314)</f>
        <v>0</v>
      </c>
      <c r="E314">
        <f>+COUNTIF(WP!V:V,A314)</f>
        <v>1</v>
      </c>
      <c r="F314">
        <f t="shared" si="10"/>
        <v>85</v>
      </c>
      <c r="G314" t="s">
        <v>14950</v>
      </c>
    </row>
    <row r="315" spans="1:7" x14ac:dyDescent="0.2">
      <c r="A315" t="s">
        <v>14951</v>
      </c>
      <c r="B315">
        <v>1030021</v>
      </c>
      <c r="C315" t="s">
        <v>6064</v>
      </c>
      <c r="D315">
        <f>+COUNTIF(WP!M:M,A315)</f>
        <v>0</v>
      </c>
      <c r="E315">
        <f>+COUNTIF(WP!V:V,A315)</f>
        <v>1</v>
      </c>
      <c r="F315">
        <f t="shared" si="10"/>
        <v>85</v>
      </c>
      <c r="G315" t="s">
        <v>14952</v>
      </c>
    </row>
    <row r="316" spans="1:7" x14ac:dyDescent="0.2">
      <c r="A316" t="s">
        <v>14953</v>
      </c>
      <c r="B316">
        <v>1030021</v>
      </c>
      <c r="C316" t="s">
        <v>6064</v>
      </c>
      <c r="D316">
        <f>+COUNTIF(WP!M:M,A316)</f>
        <v>0</v>
      </c>
      <c r="E316">
        <f>+COUNTIF(WP!V:V,A316)</f>
        <v>1</v>
      </c>
      <c r="F316">
        <f t="shared" si="10"/>
        <v>86</v>
      </c>
      <c r="G316" t="s">
        <v>14954</v>
      </c>
    </row>
    <row r="317" spans="1:7" x14ac:dyDescent="0.2">
      <c r="A317" t="s">
        <v>14955</v>
      </c>
      <c r="B317">
        <v>1030021</v>
      </c>
      <c r="C317" t="s">
        <v>6064</v>
      </c>
      <c r="D317">
        <f>+COUNTIF(WP!M:M,A317)</f>
        <v>0</v>
      </c>
      <c r="E317">
        <f>+COUNTIF(WP!V:V,A317)</f>
        <v>1</v>
      </c>
      <c r="F317">
        <f t="shared" si="10"/>
        <v>85</v>
      </c>
      <c r="G317" t="s">
        <v>14956</v>
      </c>
    </row>
    <row r="318" spans="1:7" x14ac:dyDescent="0.2">
      <c r="A318" t="s">
        <v>14957</v>
      </c>
      <c r="B318">
        <v>1030021</v>
      </c>
      <c r="C318" t="s">
        <v>6064</v>
      </c>
      <c r="D318">
        <f>+COUNTIF(WP!M:M,A318)</f>
        <v>0</v>
      </c>
      <c r="E318">
        <f>+COUNTIF(WP!V:V,A318)</f>
        <v>1</v>
      </c>
      <c r="F318">
        <f t="shared" si="10"/>
        <v>84</v>
      </c>
      <c r="G318" t="s">
        <v>14958</v>
      </c>
    </row>
    <row r="319" spans="1:7" x14ac:dyDescent="0.2">
      <c r="A319" t="s">
        <v>14719</v>
      </c>
      <c r="B319">
        <v>1010003</v>
      </c>
      <c r="C319" t="s">
        <v>6064</v>
      </c>
      <c r="D319">
        <f>+COUNTIF(WP!M:M,A319)</f>
        <v>0</v>
      </c>
      <c r="E319">
        <f>+COUNTIF(WP!V:V,A319)</f>
        <v>1</v>
      </c>
      <c r="F319">
        <f t="shared" si="10"/>
        <v>202</v>
      </c>
      <c r="G319" t="s">
        <v>14959</v>
      </c>
    </row>
    <row r="320" spans="1:7" x14ac:dyDescent="0.2">
      <c r="A320" t="s">
        <v>137</v>
      </c>
      <c r="B320" t="s">
        <v>5831</v>
      </c>
      <c r="C320" t="s">
        <v>6064</v>
      </c>
      <c r="D320">
        <f>+COUNTIF(WP!M:M,A320)</f>
        <v>16</v>
      </c>
      <c r="E320">
        <f>+COUNTIF(WP!V:V,A320)</f>
        <v>0</v>
      </c>
      <c r="F320">
        <f t="shared" si="10"/>
        <v>24</v>
      </c>
      <c r="G320" t="s">
        <v>14960</v>
      </c>
    </row>
    <row r="322" spans="1:5" x14ac:dyDescent="0.2">
      <c r="A322" s="95" t="s">
        <v>14961</v>
      </c>
      <c r="B322" s="67"/>
      <c r="C322" s="67"/>
      <c r="D322" s="67">
        <f>SUM(D2:D321)</f>
        <v>350</v>
      </c>
      <c r="E322" s="97">
        <f>SUM(E2:E321)</f>
        <v>350</v>
      </c>
    </row>
  </sheetData>
  <sortState xmlns:xlrd2="http://schemas.microsoft.com/office/spreadsheetml/2017/richdata2" ref="A2:G252">
    <sortCondition ref="A252"/>
  </sortState>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3AE3C4-3CF8-4324-9F9E-D0C3B88A6CE7}">
  <dimension ref="A1:F106"/>
  <sheetViews>
    <sheetView zoomScaleNormal="100" workbookViewId="0"/>
  </sheetViews>
  <sheetFormatPr defaultRowHeight="14.25" x14ac:dyDescent="0.2"/>
  <cols>
    <col min="1" max="1" width="11.75" customWidth="1"/>
    <col min="2" max="2" width="31.25" bestFit="1" customWidth="1"/>
    <col min="3" max="3" width="4.75" bestFit="1" customWidth="1"/>
    <col min="4" max="5" width="3.875" bestFit="1" customWidth="1"/>
    <col min="6" max="6" width="2.875" bestFit="1" customWidth="1"/>
    <col min="7" max="7" width="2.5" customWidth="1"/>
  </cols>
  <sheetData>
    <row r="1" spans="1:6" s="1" customFormat="1" x14ac:dyDescent="0.2">
      <c r="A1" s="193"/>
      <c r="B1" s="194"/>
      <c r="C1" s="248"/>
      <c r="D1" s="739" t="s">
        <v>14962</v>
      </c>
      <c r="E1" s="739"/>
      <c r="F1" s="740"/>
    </row>
    <row r="2" spans="1:6" x14ac:dyDescent="0.2">
      <c r="A2" s="119" t="s">
        <v>14963</v>
      </c>
      <c r="B2" s="2" t="s">
        <v>10544</v>
      </c>
      <c r="C2" s="190" t="s">
        <v>14964</v>
      </c>
      <c r="D2" s="127">
        <v>4</v>
      </c>
      <c r="E2" s="127">
        <v>5</v>
      </c>
      <c r="F2" s="128">
        <v>9</v>
      </c>
    </row>
    <row r="3" spans="1:6" x14ac:dyDescent="0.2">
      <c r="A3" s="44" t="s">
        <v>14965</v>
      </c>
      <c r="B3" t="s">
        <v>14433</v>
      </c>
      <c r="C3" s="182">
        <f>+COUNTIF(WP!S:S,B3)</f>
        <v>2</v>
      </c>
      <c r="D3" s="44">
        <f>+COUNTIFS(WP!$S:$S,$B3,WP!$N:$N,D$2)</f>
        <v>2</v>
      </c>
      <c r="E3">
        <f>+COUNTIFS(WP!$S:$S,$B3,WP!$N:$N,E$2)</f>
        <v>0</v>
      </c>
      <c r="F3" s="45">
        <f>+COUNTIFS(WP!$S:$S,$B3,WP!$N:$N,F$2)</f>
        <v>0</v>
      </c>
    </row>
    <row r="4" spans="1:6" x14ac:dyDescent="0.2">
      <c r="A4" s="44" t="s">
        <v>14965</v>
      </c>
      <c r="B4" t="s">
        <v>14377</v>
      </c>
      <c r="C4" s="182">
        <f>+COUNTIF(WP!S:S,B4)</f>
        <v>2</v>
      </c>
      <c r="D4" s="44">
        <f>+COUNTIFS(WP!$S:$S,$B4,WP!$N:$N,D$2)</f>
        <v>2</v>
      </c>
      <c r="E4">
        <f>+COUNTIFS(WP!$S:$S,$B4,WP!$N:$N,E$2)</f>
        <v>0</v>
      </c>
      <c r="F4" s="45">
        <f>+COUNTIFS(WP!$S:$S,$B4,WP!$N:$N,F$2)</f>
        <v>0</v>
      </c>
    </row>
    <row r="5" spans="1:6" x14ac:dyDescent="0.2">
      <c r="A5" s="44" t="s">
        <v>14965</v>
      </c>
      <c r="B5" t="s">
        <v>14506</v>
      </c>
      <c r="C5" s="182">
        <f>+COUNTIF(WP!S:S,B5)</f>
        <v>2</v>
      </c>
      <c r="D5" s="44">
        <f>+COUNTIFS(WP!$S:$S,$B5,WP!$N:$N,D$2)</f>
        <v>2</v>
      </c>
      <c r="E5">
        <f>+COUNTIFS(WP!$S:$S,$B5,WP!$N:$N,E$2)</f>
        <v>0</v>
      </c>
      <c r="F5" s="45">
        <f>+COUNTIFS(WP!$S:$S,$B5,WP!$N:$N,F$2)</f>
        <v>0</v>
      </c>
    </row>
    <row r="6" spans="1:6" x14ac:dyDescent="0.2">
      <c r="A6" s="44" t="s">
        <v>14965</v>
      </c>
      <c r="B6" t="s">
        <v>14388</v>
      </c>
      <c r="C6" s="182">
        <f>+COUNTIF(WP!S:S,B6)</f>
        <v>2</v>
      </c>
      <c r="D6" s="44">
        <f>+COUNTIFS(WP!$S:$S,$B6,WP!$N:$N,D$2)</f>
        <v>2</v>
      </c>
      <c r="E6">
        <f>+COUNTIFS(WP!$S:$S,$B6,WP!$N:$N,E$2)</f>
        <v>0</v>
      </c>
      <c r="F6" s="45">
        <f>+COUNTIFS(WP!$S:$S,$B6,WP!$N:$N,F$2)</f>
        <v>0</v>
      </c>
    </row>
    <row r="7" spans="1:6" x14ac:dyDescent="0.2">
      <c r="A7" s="44" t="s">
        <v>14965</v>
      </c>
      <c r="B7" t="s">
        <v>14436</v>
      </c>
      <c r="C7" s="182">
        <f>+COUNTIF(WP!S:S,B7)</f>
        <v>2</v>
      </c>
      <c r="D7" s="44">
        <f>+COUNTIFS(WP!$S:$S,$B7,WP!$N:$N,D$2)</f>
        <v>2</v>
      </c>
      <c r="E7">
        <f>+COUNTIFS(WP!$S:$S,$B7,WP!$N:$N,E$2)</f>
        <v>0</v>
      </c>
      <c r="F7" s="45">
        <f>+COUNTIFS(WP!$S:$S,$B7,WP!$N:$N,F$2)</f>
        <v>0</v>
      </c>
    </row>
    <row r="8" spans="1:6" x14ac:dyDescent="0.2">
      <c r="A8" s="44" t="s">
        <v>14965</v>
      </c>
      <c r="B8" t="s">
        <v>14081</v>
      </c>
      <c r="C8" s="182">
        <f>+COUNTIF(WP!S:S,B8)</f>
        <v>3</v>
      </c>
      <c r="D8" s="44">
        <f>+COUNTIFS(WP!$S:$S,$B8,WP!$N:$N,D$2)</f>
        <v>2</v>
      </c>
      <c r="E8">
        <f>+COUNTIFS(WP!$S:$S,$B8,WP!$N:$N,E$2)</f>
        <v>1</v>
      </c>
      <c r="F8" s="45">
        <f>+COUNTIFS(WP!$S:$S,$B8,WP!$N:$N,F$2)</f>
        <v>0</v>
      </c>
    </row>
    <row r="9" spans="1:6" x14ac:dyDescent="0.2">
      <c r="A9" s="44" t="s">
        <v>14965</v>
      </c>
      <c r="B9" t="s">
        <v>13993</v>
      </c>
      <c r="C9" s="182">
        <f>+COUNTIF(WP!S:S,B9)</f>
        <v>3</v>
      </c>
      <c r="D9" s="44">
        <f>+COUNTIFS(WP!$S:$S,$B9,WP!$N:$N,D$2)</f>
        <v>2</v>
      </c>
      <c r="E9">
        <f>+COUNTIFS(WP!$S:$S,$B9,WP!$N:$N,E$2)</f>
        <v>1</v>
      </c>
      <c r="F9" s="45">
        <f>+COUNTIFS(WP!$S:$S,$B9,WP!$N:$N,F$2)</f>
        <v>0</v>
      </c>
    </row>
    <row r="10" spans="1:6" x14ac:dyDescent="0.2">
      <c r="A10" s="44" t="s">
        <v>14965</v>
      </c>
      <c r="B10" t="s">
        <v>14239</v>
      </c>
      <c r="C10" s="182">
        <f>+COUNTIF(WP!S:S,B10)</f>
        <v>3</v>
      </c>
      <c r="D10" s="44">
        <f>+COUNTIFS(WP!$S:$S,$B10,WP!$N:$N,D$2)</f>
        <v>2</v>
      </c>
      <c r="E10">
        <f>+COUNTIFS(WP!$S:$S,$B10,WP!$N:$N,E$2)</f>
        <v>1</v>
      </c>
      <c r="F10" s="45">
        <f>+COUNTIFS(WP!$S:$S,$B10,WP!$N:$N,F$2)</f>
        <v>0</v>
      </c>
    </row>
    <row r="11" spans="1:6" x14ac:dyDescent="0.2">
      <c r="A11" s="44" t="s">
        <v>14965</v>
      </c>
      <c r="B11" t="s">
        <v>14380</v>
      </c>
      <c r="C11" s="182">
        <f>+COUNTIF(WP!S:S,B11)</f>
        <v>3</v>
      </c>
      <c r="D11" s="44">
        <f>+COUNTIFS(WP!$S:$S,$B11,WP!$N:$N,D$2)</f>
        <v>3</v>
      </c>
      <c r="E11">
        <f>+COUNTIFS(WP!$S:$S,$B11,WP!$N:$N,E$2)</f>
        <v>0</v>
      </c>
      <c r="F11" s="45">
        <f>+COUNTIFS(WP!$S:$S,$B11,WP!$N:$N,F$2)</f>
        <v>0</v>
      </c>
    </row>
    <row r="12" spans="1:6" x14ac:dyDescent="0.2">
      <c r="A12" s="44" t="s">
        <v>241</v>
      </c>
      <c r="B12" t="s">
        <v>7727</v>
      </c>
      <c r="C12" s="182">
        <f>+COUNTIF(WP!S:S,B12)</f>
        <v>1</v>
      </c>
      <c r="D12" s="44">
        <f>+COUNTIFS(WP!$S:$S,$B12,WP!$N:$N,D$2)</f>
        <v>1</v>
      </c>
      <c r="E12">
        <f>+COUNTIFS(WP!$S:$S,$B12,WP!$N:$N,E$2)</f>
        <v>0</v>
      </c>
      <c r="F12" s="45">
        <f>+COUNTIFS(WP!$S:$S,$B12,WP!$N:$N,F$2)</f>
        <v>0</v>
      </c>
    </row>
    <row r="13" spans="1:6" x14ac:dyDescent="0.2">
      <c r="A13" s="44" t="s">
        <v>241</v>
      </c>
      <c r="B13" t="s">
        <v>8032</v>
      </c>
      <c r="C13" s="182">
        <f>+COUNTIF(WP!S:S,B13)</f>
        <v>1</v>
      </c>
      <c r="D13" s="44">
        <f>+COUNTIFS(WP!$S:$S,$B13,WP!$N:$N,D$2)</f>
        <v>1</v>
      </c>
      <c r="E13">
        <f>+COUNTIFS(WP!$S:$S,$B13,WP!$N:$N,E$2)</f>
        <v>0</v>
      </c>
      <c r="F13" s="45">
        <f>+COUNTIFS(WP!$S:$S,$B13,WP!$N:$N,F$2)</f>
        <v>0</v>
      </c>
    </row>
    <row r="14" spans="1:6" x14ac:dyDescent="0.2">
      <c r="A14" s="44" t="s">
        <v>241</v>
      </c>
      <c r="B14" t="s">
        <v>241</v>
      </c>
      <c r="C14" s="182">
        <f>+COUNTIF(WP!S:S,B14)</f>
        <v>6</v>
      </c>
      <c r="D14" s="44">
        <f>+COUNTIFS(WP!$S:$S,$B14,WP!$N:$N,D$2)</f>
        <v>5</v>
      </c>
      <c r="E14">
        <f>+COUNTIFS(WP!$S:$S,$B14,WP!$N:$N,E$2)</f>
        <v>1</v>
      </c>
      <c r="F14" s="45">
        <f>+COUNTIFS(WP!$S:$S,$B14,WP!$N:$N,F$2)</f>
        <v>0</v>
      </c>
    </row>
    <row r="15" spans="1:6" x14ac:dyDescent="0.2">
      <c r="A15" s="44" t="s">
        <v>14966</v>
      </c>
      <c r="B15" t="s">
        <v>14171</v>
      </c>
      <c r="C15" s="182">
        <f>+COUNTIF(WP!S:S,B15)</f>
        <v>1</v>
      </c>
      <c r="D15" s="44">
        <f>+COUNTIFS(WP!$S:$S,$B15,WP!$N:$N,D$2)</f>
        <v>0</v>
      </c>
      <c r="E15">
        <f>+COUNTIFS(WP!$S:$S,$B15,WP!$N:$N,E$2)</f>
        <v>1</v>
      </c>
      <c r="F15" s="45">
        <f>+COUNTIFS(WP!$S:$S,$B15,WP!$N:$N,F$2)</f>
        <v>0</v>
      </c>
    </row>
    <row r="16" spans="1:6" x14ac:dyDescent="0.2">
      <c r="A16" s="44" t="s">
        <v>14966</v>
      </c>
      <c r="B16" t="s">
        <v>7396</v>
      </c>
      <c r="C16" s="182">
        <f>+COUNTIF(WP!S:S,B16)</f>
        <v>2</v>
      </c>
      <c r="D16" s="44">
        <f>+COUNTIFS(WP!$S:$S,$B16,WP!$N:$N,D$2)</f>
        <v>0</v>
      </c>
      <c r="E16">
        <f>+COUNTIFS(WP!$S:$S,$B16,WP!$N:$N,E$2)</f>
        <v>0</v>
      </c>
      <c r="F16" s="45">
        <f>+COUNTIFS(WP!$S:$S,$B16,WP!$N:$N,F$2)</f>
        <v>2</v>
      </c>
    </row>
    <row r="17" spans="1:6" x14ac:dyDescent="0.2">
      <c r="A17" s="44" t="s">
        <v>14966</v>
      </c>
      <c r="B17" t="s">
        <v>1904</v>
      </c>
      <c r="C17" s="182">
        <f>+COUNTIF(WP!S:S,B17)</f>
        <v>2</v>
      </c>
      <c r="D17" s="44">
        <f>+COUNTIFS(WP!$S:$S,$B17,WP!$N:$N,D$2)</f>
        <v>0</v>
      </c>
      <c r="E17">
        <f>+COUNTIFS(WP!$S:$S,$B17,WP!$N:$N,E$2)</f>
        <v>2</v>
      </c>
      <c r="F17" s="45">
        <f>+COUNTIFS(WP!$S:$S,$B17,WP!$N:$N,F$2)</f>
        <v>0</v>
      </c>
    </row>
    <row r="18" spans="1:6" x14ac:dyDescent="0.2">
      <c r="A18" s="44" t="s">
        <v>14966</v>
      </c>
      <c r="B18" t="s">
        <v>14394</v>
      </c>
      <c r="C18" s="182">
        <f>+COUNTIF(WP!S:S,B18)</f>
        <v>3</v>
      </c>
      <c r="D18" s="44">
        <f>+COUNTIFS(WP!$S:$S,$B18,WP!$N:$N,D$2)</f>
        <v>3</v>
      </c>
      <c r="E18">
        <f>+COUNTIFS(WP!$S:$S,$B18,WP!$N:$N,E$2)</f>
        <v>0</v>
      </c>
      <c r="F18" s="45">
        <f>+COUNTIFS(WP!$S:$S,$B18,WP!$N:$N,F$2)</f>
        <v>0</v>
      </c>
    </row>
    <row r="19" spans="1:6" x14ac:dyDescent="0.2">
      <c r="A19" s="44" t="s">
        <v>14966</v>
      </c>
      <c r="B19" t="s">
        <v>13957</v>
      </c>
      <c r="C19" s="182">
        <f>+COUNTIF(WP!S:S,B19)</f>
        <v>4</v>
      </c>
      <c r="D19" s="44">
        <f>+COUNTIFS(WP!$S:$S,$B19,WP!$N:$N,D$2)</f>
        <v>2</v>
      </c>
      <c r="E19">
        <f>+COUNTIFS(WP!$S:$S,$B19,WP!$N:$N,E$2)</f>
        <v>2</v>
      </c>
      <c r="F19" s="45">
        <f>+COUNTIFS(WP!$S:$S,$B19,WP!$N:$N,F$2)</f>
        <v>0</v>
      </c>
    </row>
    <row r="20" spans="1:6" x14ac:dyDescent="0.2">
      <c r="A20" s="44" t="s">
        <v>14967</v>
      </c>
      <c r="B20" t="s">
        <v>2476</v>
      </c>
      <c r="C20" s="182">
        <f>+COUNTIF(WP!S:S,B20)</f>
        <v>2</v>
      </c>
      <c r="D20" s="44">
        <f>+COUNTIFS(WP!$S:$S,$B20,WP!$N:$N,D$2)</f>
        <v>1</v>
      </c>
      <c r="E20">
        <f>+COUNTIFS(WP!$S:$S,$B20,WP!$N:$N,E$2)</f>
        <v>1</v>
      </c>
      <c r="F20" s="45">
        <f>+COUNTIFS(WP!$S:$S,$B20,WP!$N:$N,F$2)</f>
        <v>0</v>
      </c>
    </row>
    <row r="21" spans="1:6" x14ac:dyDescent="0.2">
      <c r="A21" s="44" t="s">
        <v>14967</v>
      </c>
      <c r="B21" t="s">
        <v>3372</v>
      </c>
      <c r="C21" s="182">
        <f>+COUNTIF(WP!S:S,B21)</f>
        <v>2</v>
      </c>
      <c r="D21" s="44">
        <f>+COUNTIFS(WP!$S:$S,$B21,WP!$N:$N,D$2)</f>
        <v>1</v>
      </c>
      <c r="E21">
        <f>+COUNTIFS(WP!$S:$S,$B21,WP!$N:$N,E$2)</f>
        <v>1</v>
      </c>
      <c r="F21" s="45">
        <f>+COUNTIFS(WP!$S:$S,$B21,WP!$N:$N,F$2)</f>
        <v>0</v>
      </c>
    </row>
    <row r="22" spans="1:6" x14ac:dyDescent="0.2">
      <c r="A22" s="44" t="s">
        <v>14967</v>
      </c>
      <c r="B22" t="s">
        <v>14165</v>
      </c>
      <c r="C22" s="182">
        <f>+COUNTIF(WP!S:S,B22)</f>
        <v>3</v>
      </c>
      <c r="D22" s="44">
        <f>+COUNTIFS(WP!$S:$S,$B22,WP!$N:$N,D$2)</f>
        <v>1</v>
      </c>
      <c r="E22">
        <f>+COUNTIFS(WP!$S:$S,$B22,WP!$N:$N,E$2)</f>
        <v>2</v>
      </c>
      <c r="F22" s="45">
        <f>+COUNTIFS(WP!$S:$S,$B22,WP!$N:$N,F$2)</f>
        <v>0</v>
      </c>
    </row>
    <row r="23" spans="1:6" x14ac:dyDescent="0.2">
      <c r="A23" s="44" t="s">
        <v>14967</v>
      </c>
      <c r="B23" t="s">
        <v>14191</v>
      </c>
      <c r="C23" s="182">
        <f>+COUNTIF(WP!S:S,B23)</f>
        <v>4</v>
      </c>
      <c r="D23" s="44">
        <f>+COUNTIFS(WP!$S:$S,$B23,WP!$N:$N,D$2)</f>
        <v>3</v>
      </c>
      <c r="E23">
        <f>+COUNTIFS(WP!$S:$S,$B23,WP!$N:$N,E$2)</f>
        <v>1</v>
      </c>
      <c r="F23" s="45">
        <f>+COUNTIFS(WP!$S:$S,$B23,WP!$N:$N,F$2)</f>
        <v>0</v>
      </c>
    </row>
    <row r="24" spans="1:6" x14ac:dyDescent="0.2">
      <c r="A24" s="44" t="s">
        <v>14354</v>
      </c>
      <c r="B24" t="s">
        <v>14543</v>
      </c>
      <c r="C24" s="182">
        <f>+COUNTIF(WP!S:S,B24)</f>
        <v>1</v>
      </c>
      <c r="D24" s="44">
        <f>+COUNTIFS(WP!$S:$S,$B24,WP!$N:$N,D$2)</f>
        <v>1</v>
      </c>
      <c r="E24">
        <f>+COUNTIFS(WP!$S:$S,$B24,WP!$N:$N,E$2)</f>
        <v>0</v>
      </c>
      <c r="F24" s="45">
        <f>+COUNTIFS(WP!$S:$S,$B24,WP!$N:$N,F$2)</f>
        <v>0</v>
      </c>
    </row>
    <row r="25" spans="1:6" x14ac:dyDescent="0.2">
      <c r="A25" s="44" t="s">
        <v>14354</v>
      </c>
      <c r="B25" t="s">
        <v>14475</v>
      </c>
      <c r="C25" s="182">
        <f>+COUNTIF(WP!S:S,B25)</f>
        <v>1</v>
      </c>
      <c r="D25" s="44">
        <f>+COUNTIFS(WP!$S:$S,$B25,WP!$N:$N,D$2)</f>
        <v>1</v>
      </c>
      <c r="E25">
        <f>+COUNTIFS(WP!$S:$S,$B25,WP!$N:$N,E$2)</f>
        <v>0</v>
      </c>
      <c r="F25" s="45">
        <f>+COUNTIFS(WP!$S:$S,$B25,WP!$N:$N,F$2)</f>
        <v>0</v>
      </c>
    </row>
    <row r="26" spans="1:6" x14ac:dyDescent="0.2">
      <c r="A26" s="44" t="s">
        <v>14354</v>
      </c>
      <c r="B26" t="s">
        <v>14354</v>
      </c>
      <c r="C26" s="182">
        <f>+COUNTIF(WP!S:S,B26)</f>
        <v>2</v>
      </c>
      <c r="D26" s="44">
        <f>+COUNTIFS(WP!$S:$S,$B26,WP!$N:$N,D$2)</f>
        <v>1</v>
      </c>
      <c r="E26">
        <f>+COUNTIFS(WP!$S:$S,$B26,WP!$N:$N,E$2)</f>
        <v>1</v>
      </c>
      <c r="F26" s="45">
        <f>+COUNTIFS(WP!$S:$S,$B26,WP!$N:$N,F$2)</f>
        <v>0</v>
      </c>
    </row>
    <row r="27" spans="1:6" x14ac:dyDescent="0.2">
      <c r="A27" s="44" t="s">
        <v>14354</v>
      </c>
      <c r="B27" t="s">
        <v>14487</v>
      </c>
      <c r="C27" s="182">
        <f>+COUNTIF(WP!S:S,B27)</f>
        <v>2</v>
      </c>
      <c r="D27" s="44">
        <f>+COUNTIFS(WP!$S:$S,$B27,WP!$N:$N,D$2)</f>
        <v>2</v>
      </c>
      <c r="E27">
        <f>+COUNTIFS(WP!$S:$S,$B27,WP!$N:$N,E$2)</f>
        <v>0</v>
      </c>
      <c r="F27" s="45">
        <f>+COUNTIFS(WP!$S:$S,$B27,WP!$N:$N,F$2)</f>
        <v>0</v>
      </c>
    </row>
    <row r="28" spans="1:6" x14ac:dyDescent="0.2">
      <c r="A28" s="44" t="s">
        <v>14354</v>
      </c>
      <c r="B28" t="s">
        <v>14011</v>
      </c>
      <c r="C28" s="182">
        <f>+COUNTIF(WP!S:S,B28)</f>
        <v>2</v>
      </c>
      <c r="D28" s="44">
        <f>+COUNTIFS(WP!$S:$S,$B28,WP!$N:$N,D$2)</f>
        <v>1</v>
      </c>
      <c r="E28">
        <f>+COUNTIFS(WP!$S:$S,$B28,WP!$N:$N,E$2)</f>
        <v>1</v>
      </c>
      <c r="F28" s="45">
        <f>+COUNTIFS(WP!$S:$S,$B28,WP!$N:$N,F$2)</f>
        <v>0</v>
      </c>
    </row>
    <row r="29" spans="1:6" x14ac:dyDescent="0.2">
      <c r="A29" s="44" t="s">
        <v>14354</v>
      </c>
      <c r="B29" t="s">
        <v>13970</v>
      </c>
      <c r="C29" s="182">
        <f>+COUNTIF(WP!S:S,B29)</f>
        <v>2</v>
      </c>
      <c r="D29" s="44">
        <f>+COUNTIFS(WP!$S:$S,$B29,WP!$N:$N,D$2)</f>
        <v>1</v>
      </c>
      <c r="E29">
        <f>+COUNTIFS(WP!$S:$S,$B29,WP!$N:$N,E$2)</f>
        <v>1</v>
      </c>
      <c r="F29" s="45">
        <f>+COUNTIFS(WP!$S:$S,$B29,WP!$N:$N,F$2)</f>
        <v>0</v>
      </c>
    </row>
    <row r="30" spans="1:6" x14ac:dyDescent="0.2">
      <c r="A30" s="44" t="s">
        <v>9198</v>
      </c>
      <c r="B30" t="s">
        <v>14420</v>
      </c>
      <c r="C30" s="182">
        <f>+COUNTIF(WP!S:S,B30)</f>
        <v>1</v>
      </c>
      <c r="D30" s="44">
        <f>+COUNTIFS(WP!$S:$S,$B30,WP!$N:$N,D$2)</f>
        <v>1</v>
      </c>
      <c r="E30">
        <f>+COUNTIFS(WP!$S:$S,$B30,WP!$N:$N,E$2)</f>
        <v>0</v>
      </c>
      <c r="F30" s="45">
        <f>+COUNTIFS(WP!$S:$S,$B30,WP!$N:$N,F$2)</f>
        <v>0</v>
      </c>
    </row>
    <row r="31" spans="1:6" x14ac:dyDescent="0.2">
      <c r="A31" s="44" t="s">
        <v>9198</v>
      </c>
      <c r="B31" t="s">
        <v>13997</v>
      </c>
      <c r="C31" s="182">
        <f>+COUNTIF(WP!S:S,B31)</f>
        <v>1</v>
      </c>
      <c r="D31" s="44">
        <f>+COUNTIFS(WP!$S:$S,$B31,WP!$N:$N,D$2)</f>
        <v>0</v>
      </c>
      <c r="E31">
        <f>+COUNTIFS(WP!$S:$S,$B31,WP!$N:$N,E$2)</f>
        <v>1</v>
      </c>
      <c r="F31" s="45">
        <f>+COUNTIFS(WP!$S:$S,$B31,WP!$N:$N,F$2)</f>
        <v>0</v>
      </c>
    </row>
    <row r="32" spans="1:6" x14ac:dyDescent="0.2">
      <c r="A32" s="44" t="s">
        <v>9198</v>
      </c>
      <c r="B32" t="s">
        <v>14099</v>
      </c>
      <c r="C32" s="182">
        <f>+COUNTIF(WP!S:S,B32)</f>
        <v>1</v>
      </c>
      <c r="D32" s="44">
        <f>+COUNTIFS(WP!$S:$S,$B32,WP!$N:$N,D$2)</f>
        <v>0</v>
      </c>
      <c r="E32">
        <f>+COUNTIFS(WP!$S:$S,$B32,WP!$N:$N,E$2)</f>
        <v>1</v>
      </c>
      <c r="F32" s="45">
        <f>+COUNTIFS(WP!$S:$S,$B32,WP!$N:$N,F$2)</f>
        <v>0</v>
      </c>
    </row>
    <row r="33" spans="1:6" x14ac:dyDescent="0.2">
      <c r="A33" s="44" t="s">
        <v>9198</v>
      </c>
      <c r="B33" t="s">
        <v>14071</v>
      </c>
      <c r="C33" s="182">
        <f>+COUNTIF(WP!S:S,B33)</f>
        <v>1</v>
      </c>
      <c r="D33" s="44">
        <f>+COUNTIFS(WP!$S:$S,$B33,WP!$N:$N,D$2)</f>
        <v>0</v>
      </c>
      <c r="E33">
        <f>+COUNTIFS(WP!$S:$S,$B33,WP!$N:$N,E$2)</f>
        <v>1</v>
      </c>
      <c r="F33" s="45">
        <f>+COUNTIFS(WP!$S:$S,$B33,WP!$N:$N,F$2)</f>
        <v>0</v>
      </c>
    </row>
    <row r="34" spans="1:6" x14ac:dyDescent="0.2">
      <c r="A34" s="44" t="s">
        <v>9198</v>
      </c>
      <c r="B34" t="s">
        <v>13953</v>
      </c>
      <c r="C34" s="182">
        <f>+COUNTIF(WP!S:S,B34)</f>
        <v>1</v>
      </c>
      <c r="D34" s="44">
        <f>+COUNTIFS(WP!$S:$S,$B34,WP!$N:$N,D$2)</f>
        <v>0</v>
      </c>
      <c r="E34">
        <f>+COUNTIFS(WP!$S:$S,$B34,WP!$N:$N,E$2)</f>
        <v>1</v>
      </c>
      <c r="F34" s="45">
        <f>+COUNTIFS(WP!$S:$S,$B34,WP!$N:$N,F$2)</f>
        <v>0</v>
      </c>
    </row>
    <row r="35" spans="1:6" x14ac:dyDescent="0.2">
      <c r="A35" s="44" t="s">
        <v>9198</v>
      </c>
      <c r="B35" t="s">
        <v>14115</v>
      </c>
      <c r="C35" s="182">
        <f>+COUNTIF(WP!S:S,B35)</f>
        <v>1</v>
      </c>
      <c r="D35" s="44">
        <f>+COUNTIFS(WP!$S:$S,$B35,WP!$N:$N,D$2)</f>
        <v>0</v>
      </c>
      <c r="E35">
        <f>+COUNTIFS(WP!$S:$S,$B35,WP!$N:$N,E$2)</f>
        <v>1</v>
      </c>
      <c r="F35" s="45">
        <f>+COUNTIFS(WP!$S:$S,$B35,WP!$N:$N,F$2)</f>
        <v>0</v>
      </c>
    </row>
    <row r="36" spans="1:6" x14ac:dyDescent="0.2">
      <c r="A36" s="44" t="s">
        <v>9198</v>
      </c>
      <c r="B36" t="s">
        <v>14423</v>
      </c>
      <c r="C36" s="182">
        <f>+COUNTIF(WP!S:S,B36)</f>
        <v>1</v>
      </c>
      <c r="D36" s="44">
        <f>+COUNTIFS(WP!$S:$S,$B36,WP!$N:$N,D$2)</f>
        <v>1</v>
      </c>
      <c r="E36">
        <f>+COUNTIFS(WP!$S:$S,$B36,WP!$N:$N,E$2)</f>
        <v>0</v>
      </c>
      <c r="F36" s="45">
        <f>+COUNTIFS(WP!$S:$S,$B36,WP!$N:$N,F$2)</f>
        <v>0</v>
      </c>
    </row>
    <row r="37" spans="1:6" x14ac:dyDescent="0.2">
      <c r="A37" s="44" t="s">
        <v>9198</v>
      </c>
      <c r="B37" t="s">
        <v>14417</v>
      </c>
      <c r="C37" s="182">
        <f>+COUNTIF(WP!S:S,B37)</f>
        <v>1</v>
      </c>
      <c r="D37" s="44">
        <f>+COUNTIFS(WP!$S:$S,$B37,WP!$N:$N,D$2)</f>
        <v>1</v>
      </c>
      <c r="E37">
        <f>+COUNTIFS(WP!$S:$S,$B37,WP!$N:$N,E$2)</f>
        <v>0</v>
      </c>
      <c r="F37" s="45">
        <f>+COUNTIFS(WP!$S:$S,$B37,WP!$N:$N,F$2)</f>
        <v>0</v>
      </c>
    </row>
    <row r="38" spans="1:6" x14ac:dyDescent="0.2">
      <c r="A38" s="44" t="s">
        <v>9198</v>
      </c>
      <c r="B38" t="s">
        <v>14414</v>
      </c>
      <c r="C38" s="182">
        <f>+COUNTIF(WP!S:S,B38)</f>
        <v>1</v>
      </c>
      <c r="D38" s="44">
        <f>+COUNTIFS(WP!$S:$S,$B38,WP!$N:$N,D$2)</f>
        <v>1</v>
      </c>
      <c r="E38">
        <f>+COUNTIFS(WP!$S:$S,$B38,WP!$N:$N,E$2)</f>
        <v>0</v>
      </c>
      <c r="F38" s="45">
        <f>+COUNTIFS(WP!$S:$S,$B38,WP!$N:$N,F$2)</f>
        <v>0</v>
      </c>
    </row>
    <row r="39" spans="1:6" x14ac:dyDescent="0.2">
      <c r="A39" s="44" t="s">
        <v>9198</v>
      </c>
      <c r="B39" t="s">
        <v>14426</v>
      </c>
      <c r="C39" s="182">
        <f>+COUNTIF(WP!S:S,B39)</f>
        <v>1</v>
      </c>
      <c r="D39" s="44">
        <f>+COUNTIFS(WP!$S:$S,$B39,WP!$N:$N,D$2)</f>
        <v>1</v>
      </c>
      <c r="E39">
        <f>+COUNTIFS(WP!$S:$S,$B39,WP!$N:$N,E$2)</f>
        <v>0</v>
      </c>
      <c r="F39" s="45">
        <f>+COUNTIFS(WP!$S:$S,$B39,WP!$N:$N,F$2)</f>
        <v>0</v>
      </c>
    </row>
    <row r="40" spans="1:6" x14ac:dyDescent="0.2">
      <c r="A40" s="44" t="s">
        <v>14968</v>
      </c>
      <c r="B40" t="s">
        <v>7129</v>
      </c>
      <c r="C40" s="182">
        <f>+COUNTIF(WP!S:S,B40)</f>
        <v>1</v>
      </c>
      <c r="D40" s="44">
        <f>+COUNTIFS(WP!$S:$S,$B40,WP!$N:$N,D$2)</f>
        <v>0</v>
      </c>
      <c r="E40">
        <f>+COUNTIFS(WP!$S:$S,$B40,WP!$N:$N,E$2)</f>
        <v>1</v>
      </c>
      <c r="F40" s="45">
        <f>+COUNTIFS(WP!$S:$S,$B40,WP!$N:$N,F$2)</f>
        <v>0</v>
      </c>
    </row>
    <row r="41" spans="1:6" x14ac:dyDescent="0.2">
      <c r="A41" s="44" t="s">
        <v>14968</v>
      </c>
      <c r="B41" t="s">
        <v>14323</v>
      </c>
      <c r="C41" s="182">
        <f>+COUNTIF(WP!S:S,B41)</f>
        <v>1</v>
      </c>
      <c r="D41" s="44">
        <f>+COUNTIFS(WP!$S:$S,$B41,WP!$N:$N,D$2)</f>
        <v>0</v>
      </c>
      <c r="E41">
        <f>+COUNTIFS(WP!$S:$S,$B41,WP!$N:$N,E$2)</f>
        <v>1</v>
      </c>
      <c r="F41" s="45">
        <f>+COUNTIFS(WP!$S:$S,$B41,WP!$N:$N,F$2)</f>
        <v>0</v>
      </c>
    </row>
    <row r="42" spans="1:6" x14ac:dyDescent="0.2">
      <c r="A42" s="44" t="s">
        <v>14968</v>
      </c>
      <c r="B42" t="s">
        <v>14319</v>
      </c>
      <c r="C42" s="182">
        <f>+COUNTIF(WP!S:S,B42)</f>
        <v>1</v>
      </c>
      <c r="D42" s="44">
        <f>+COUNTIFS(WP!$S:$S,$B42,WP!$N:$N,D$2)</f>
        <v>0</v>
      </c>
      <c r="E42">
        <f>+COUNTIFS(WP!$S:$S,$B42,WP!$N:$N,E$2)</f>
        <v>1</v>
      </c>
      <c r="F42" s="45">
        <f>+COUNTIFS(WP!$S:$S,$B42,WP!$N:$N,F$2)</f>
        <v>0</v>
      </c>
    </row>
    <row r="43" spans="1:6" x14ac:dyDescent="0.2">
      <c r="A43" s="44" t="s">
        <v>14968</v>
      </c>
      <c r="B43" t="s">
        <v>14248</v>
      </c>
      <c r="C43" s="182">
        <f>+COUNTIF(WP!S:S,B43)</f>
        <v>1</v>
      </c>
      <c r="D43" s="44">
        <f>+COUNTIFS(WP!$S:$S,$B43,WP!$N:$N,D$2)</f>
        <v>0</v>
      </c>
      <c r="E43">
        <f>+COUNTIFS(WP!$S:$S,$B43,WP!$N:$N,E$2)</f>
        <v>1</v>
      </c>
      <c r="F43" s="45">
        <f>+COUNTIFS(WP!$S:$S,$B43,WP!$N:$N,F$2)</f>
        <v>0</v>
      </c>
    </row>
    <row r="44" spans="1:6" x14ac:dyDescent="0.2">
      <c r="A44" s="44" t="s">
        <v>14968</v>
      </c>
      <c r="B44" t="s">
        <v>13921</v>
      </c>
      <c r="C44" s="182">
        <f>+COUNTIF(WP!S:S,B44)</f>
        <v>6</v>
      </c>
      <c r="D44" s="44">
        <f>+COUNTIFS(WP!$S:$S,$B44,WP!$N:$N,D$2)</f>
        <v>0</v>
      </c>
      <c r="E44">
        <f>+COUNTIFS(WP!$S:$S,$B44,WP!$N:$N,E$2)</f>
        <v>6</v>
      </c>
      <c r="F44" s="45">
        <f>+COUNTIFS(WP!$S:$S,$B44,WP!$N:$N,F$2)</f>
        <v>0</v>
      </c>
    </row>
    <row r="45" spans="1:6" x14ac:dyDescent="0.2">
      <c r="A45" s="44" t="s">
        <v>14968</v>
      </c>
      <c r="B45" t="s">
        <v>13966</v>
      </c>
      <c r="C45" s="182">
        <f>+COUNTIF(WP!S:S,B45)</f>
        <v>8</v>
      </c>
      <c r="D45" s="44">
        <f>+COUNTIFS(WP!$S:$S,$B45,WP!$N:$N,D$2)</f>
        <v>4</v>
      </c>
      <c r="E45">
        <f>+COUNTIFS(WP!$S:$S,$B45,WP!$N:$N,E$2)</f>
        <v>4</v>
      </c>
      <c r="F45" s="45">
        <f>+COUNTIFS(WP!$S:$S,$B45,WP!$N:$N,F$2)</f>
        <v>0</v>
      </c>
    </row>
    <row r="46" spans="1:6" x14ac:dyDescent="0.2">
      <c r="A46" s="44" t="s">
        <v>14968</v>
      </c>
      <c r="B46" t="s">
        <v>9839</v>
      </c>
      <c r="C46" s="182">
        <f>+COUNTIF(WP!S:S,B46)</f>
        <v>10</v>
      </c>
      <c r="D46" s="44">
        <f>+COUNTIFS(WP!$S:$S,$B46,WP!$N:$N,D$2)</f>
        <v>3</v>
      </c>
      <c r="E46">
        <f>+COUNTIFS(WP!$S:$S,$B46,WP!$N:$N,E$2)</f>
        <v>7</v>
      </c>
      <c r="F46" s="45">
        <f>+COUNTIFS(WP!$S:$S,$B46,WP!$N:$N,F$2)</f>
        <v>0</v>
      </c>
    </row>
    <row r="47" spans="1:6" x14ac:dyDescent="0.2">
      <c r="A47" s="44" t="s">
        <v>14968</v>
      </c>
      <c r="B47" t="s">
        <v>13950</v>
      </c>
      <c r="C47" s="182">
        <f>+COUNTIF(WP!S:S,B47)</f>
        <v>14</v>
      </c>
      <c r="D47" s="44">
        <f>+COUNTIFS(WP!$S:$S,$B47,WP!$N:$N,D$2)</f>
        <v>9</v>
      </c>
      <c r="E47">
        <f>+COUNTIFS(WP!$S:$S,$B47,WP!$N:$N,E$2)</f>
        <v>5</v>
      </c>
      <c r="F47" s="45">
        <f>+COUNTIFS(WP!$S:$S,$B47,WP!$N:$N,F$2)</f>
        <v>0</v>
      </c>
    </row>
    <row r="48" spans="1:6" x14ac:dyDescent="0.2">
      <c r="A48" s="44" t="s">
        <v>14968</v>
      </c>
      <c r="B48" t="s">
        <v>8958</v>
      </c>
      <c r="C48" s="182">
        <f>+COUNTIF(WP!S:S,B48)</f>
        <v>15</v>
      </c>
      <c r="D48" s="44">
        <f>+COUNTIFS(WP!$S:$S,$B48,WP!$N:$N,D$2)</f>
        <v>5</v>
      </c>
      <c r="E48">
        <f>+COUNTIFS(WP!$S:$S,$B48,WP!$N:$N,E$2)</f>
        <v>10</v>
      </c>
      <c r="F48" s="45">
        <f>+COUNTIFS(WP!$S:$S,$B48,WP!$N:$N,F$2)</f>
        <v>0</v>
      </c>
    </row>
    <row r="49" spans="1:6" x14ac:dyDescent="0.2">
      <c r="A49" s="44" t="s">
        <v>14968</v>
      </c>
      <c r="B49" t="s">
        <v>13852</v>
      </c>
      <c r="C49" s="182">
        <f>+COUNTIF(WP!S:S,B49)</f>
        <v>19</v>
      </c>
      <c r="D49" s="44">
        <f>+COUNTIFS(WP!$S:$S,$B49,WP!$N:$N,D$2)</f>
        <v>11</v>
      </c>
      <c r="E49">
        <f>+COUNTIFS(WP!$S:$S,$B49,WP!$N:$N,E$2)</f>
        <v>7</v>
      </c>
      <c r="F49" s="45">
        <f>+COUNTIFS(WP!$S:$S,$B49,WP!$N:$N,F$2)</f>
        <v>1</v>
      </c>
    </row>
    <row r="50" spans="1:6" x14ac:dyDescent="0.2">
      <c r="A50" s="44" t="s">
        <v>14968</v>
      </c>
      <c r="B50" t="s">
        <v>9612</v>
      </c>
      <c r="C50" s="182">
        <f>+COUNTIF(WP!S:S,B50)</f>
        <v>33</v>
      </c>
      <c r="D50" s="44">
        <f>+COUNTIFS(WP!$S:$S,$B50,WP!$N:$N,D$2)</f>
        <v>4</v>
      </c>
      <c r="E50">
        <f>+COUNTIFS(WP!$S:$S,$B50,WP!$N:$N,E$2)</f>
        <v>19</v>
      </c>
      <c r="F50" s="45">
        <f>+COUNTIFS(WP!$S:$S,$B50,WP!$N:$N,F$2)</f>
        <v>10</v>
      </c>
    </row>
    <row r="51" spans="1:6" x14ac:dyDescent="0.2">
      <c r="A51" s="44" t="s">
        <v>14969</v>
      </c>
      <c r="B51" t="s">
        <v>14200</v>
      </c>
      <c r="C51" s="182">
        <f>+COUNTIF(WP!S:S,B51)</f>
        <v>1</v>
      </c>
      <c r="D51" s="44">
        <f>+COUNTIFS(WP!$S:$S,$B51,WP!$N:$N,D$2)</f>
        <v>0</v>
      </c>
      <c r="E51">
        <f>+COUNTIFS(WP!$S:$S,$B51,WP!$N:$N,E$2)</f>
        <v>1</v>
      </c>
      <c r="F51" s="45">
        <f>+COUNTIFS(WP!$S:$S,$B51,WP!$N:$N,F$2)</f>
        <v>0</v>
      </c>
    </row>
    <row r="52" spans="1:6" x14ac:dyDescent="0.2">
      <c r="A52" s="44" t="s">
        <v>14969</v>
      </c>
      <c r="B52" t="s">
        <v>14209</v>
      </c>
      <c r="C52" s="182">
        <f>+COUNTIF(WP!S:S,B52)</f>
        <v>1</v>
      </c>
      <c r="D52" s="44">
        <f>+COUNTIFS(WP!$S:$S,$B52,WP!$N:$N,D$2)</f>
        <v>0</v>
      </c>
      <c r="E52">
        <f>+COUNTIFS(WP!$S:$S,$B52,WP!$N:$N,E$2)</f>
        <v>1</v>
      </c>
      <c r="F52" s="45">
        <f>+COUNTIFS(WP!$S:$S,$B52,WP!$N:$N,F$2)</f>
        <v>0</v>
      </c>
    </row>
    <row r="53" spans="1:6" x14ac:dyDescent="0.2">
      <c r="A53" s="44" t="s">
        <v>14969</v>
      </c>
      <c r="B53" t="s">
        <v>14074</v>
      </c>
      <c r="C53" s="182">
        <f>+COUNTIF(WP!S:S,B53)</f>
        <v>3</v>
      </c>
      <c r="D53" s="44">
        <f>+COUNTIFS(WP!$S:$S,$B53,WP!$N:$N,D$2)</f>
        <v>2</v>
      </c>
      <c r="E53">
        <f>+COUNTIFS(WP!$S:$S,$B53,WP!$N:$N,E$2)</f>
        <v>1</v>
      </c>
      <c r="F53" s="45">
        <f>+COUNTIFS(WP!$S:$S,$B53,WP!$N:$N,F$2)</f>
        <v>0</v>
      </c>
    </row>
    <row r="54" spans="1:6" x14ac:dyDescent="0.2">
      <c r="A54" s="46" t="s">
        <v>14969</v>
      </c>
      <c r="B54" s="47" t="s">
        <v>14196</v>
      </c>
      <c r="C54" s="183">
        <f>+COUNTIF(WP!S:S,B54)</f>
        <v>4</v>
      </c>
      <c r="D54" s="46">
        <f>+COUNTIFS(WP!$S:$S,$B54,WP!$N:$N,D$2)</f>
        <v>2</v>
      </c>
      <c r="E54" s="47">
        <f>+COUNTIFS(WP!$S:$S,$B54,WP!$N:$N,E$2)</f>
        <v>2</v>
      </c>
      <c r="F54" s="48">
        <f>+COUNTIFS(WP!$S:$S,$B54,WP!$N:$N,F$2)</f>
        <v>0</v>
      </c>
    </row>
    <row r="55" spans="1:6" x14ac:dyDescent="0.2">
      <c r="A55" s="44" t="s">
        <v>14970</v>
      </c>
      <c r="B55" t="s">
        <v>1349</v>
      </c>
      <c r="C55" s="182">
        <f>+COUNTIF(WP!S:S,B55)</f>
        <v>1</v>
      </c>
      <c r="D55" s="44">
        <f>+COUNTIFS(WP!$S:$S,$B55,WP!$N:$N,D$2)</f>
        <v>1</v>
      </c>
      <c r="E55">
        <f>+COUNTIFS(WP!$S:$S,$B55,WP!$N:$N,E$2)</f>
        <v>0</v>
      </c>
      <c r="F55" s="45">
        <f>+COUNTIFS(WP!$S:$S,$B55,WP!$N:$N,F$2)</f>
        <v>0</v>
      </c>
    </row>
    <row r="56" spans="1:6" x14ac:dyDescent="0.2">
      <c r="A56" s="44" t="s">
        <v>14970</v>
      </c>
      <c r="B56" t="s">
        <v>7351</v>
      </c>
      <c r="C56" s="182">
        <f>+COUNTIF(WP!S:S,B56)</f>
        <v>1</v>
      </c>
      <c r="D56" s="44">
        <f>+COUNTIFS(WP!$S:$S,$B56,WP!$N:$N,D$2)</f>
        <v>0</v>
      </c>
      <c r="E56">
        <f>+COUNTIFS(WP!$S:$S,$B56,WP!$N:$N,E$2)</f>
        <v>1</v>
      </c>
      <c r="F56" s="45">
        <f>+COUNTIFS(WP!$S:$S,$B56,WP!$N:$N,F$2)</f>
        <v>0</v>
      </c>
    </row>
    <row r="57" spans="1:6" x14ac:dyDescent="0.2">
      <c r="A57" s="44" t="s">
        <v>14970</v>
      </c>
      <c r="B57" t="s">
        <v>14633</v>
      </c>
      <c r="C57" s="182">
        <f>+COUNTIF(WP!S:S,B57)</f>
        <v>1</v>
      </c>
      <c r="D57" s="44">
        <f>+COUNTIFS(WP!$S:$S,$B57,WP!$N:$N,D$2)</f>
        <v>1</v>
      </c>
      <c r="E57">
        <f>+COUNTIFS(WP!$S:$S,$B57,WP!$N:$N,E$2)</f>
        <v>0</v>
      </c>
      <c r="F57" s="45">
        <f>+COUNTIFS(WP!$S:$S,$B57,WP!$N:$N,F$2)</f>
        <v>0</v>
      </c>
    </row>
    <row r="58" spans="1:6" x14ac:dyDescent="0.2">
      <c r="A58" s="44" t="s">
        <v>14970</v>
      </c>
      <c r="B58" t="s">
        <v>14251</v>
      </c>
      <c r="C58" s="182">
        <f>+COUNTIF(WP!S:S,B58)</f>
        <v>1</v>
      </c>
      <c r="D58" s="44">
        <f>+COUNTIFS(WP!$S:$S,$B58,WP!$N:$N,D$2)</f>
        <v>0</v>
      </c>
      <c r="E58">
        <f>+COUNTIFS(WP!$S:$S,$B58,WP!$N:$N,E$2)</f>
        <v>1</v>
      </c>
      <c r="F58" s="45">
        <f>+COUNTIFS(WP!$S:$S,$B58,WP!$N:$N,F$2)</f>
        <v>0</v>
      </c>
    </row>
    <row r="59" spans="1:6" x14ac:dyDescent="0.2">
      <c r="A59" s="44" t="s">
        <v>14970</v>
      </c>
      <c r="B59" t="s">
        <v>14719</v>
      </c>
      <c r="C59" s="182">
        <f>+COUNTIF(WP!S:S,B59)</f>
        <v>1</v>
      </c>
      <c r="D59" s="44">
        <f>+COUNTIFS(WP!$S:$S,$B59,WP!$N:$N,D$2)</f>
        <v>0</v>
      </c>
      <c r="E59">
        <f>+COUNTIFS(WP!$S:$S,$B59,WP!$N:$N,E$2)</f>
        <v>1</v>
      </c>
      <c r="F59" s="45">
        <f>+COUNTIFS(WP!$S:$S,$B59,WP!$N:$N,F$2)</f>
        <v>0</v>
      </c>
    </row>
    <row r="60" spans="1:6" x14ac:dyDescent="0.2">
      <c r="A60" s="44" t="s">
        <v>14970</v>
      </c>
      <c r="B60" t="s">
        <v>14342</v>
      </c>
      <c r="C60" s="182">
        <f>+COUNTIF(WP!S:S,B60)</f>
        <v>2</v>
      </c>
      <c r="D60" s="44">
        <f>+COUNTIFS(WP!$S:$S,$B60,WP!$N:$N,D$2)</f>
        <v>1</v>
      </c>
      <c r="E60">
        <f>+COUNTIFS(WP!$S:$S,$B60,WP!$N:$N,E$2)</f>
        <v>1</v>
      </c>
      <c r="F60" s="45">
        <f>+COUNTIFS(WP!$S:$S,$B60,WP!$N:$N,F$2)</f>
        <v>0</v>
      </c>
    </row>
    <row r="61" spans="1:6" x14ac:dyDescent="0.2">
      <c r="A61" s="44" t="s">
        <v>14970</v>
      </c>
      <c r="B61" t="s">
        <v>7248</v>
      </c>
      <c r="C61" s="182">
        <f>+COUNTIF(WP!S:S,B61)</f>
        <v>2</v>
      </c>
      <c r="D61" s="44">
        <f>+COUNTIFS(WP!$S:$S,$B61,WP!$N:$N,D$2)</f>
        <v>0</v>
      </c>
      <c r="E61">
        <f>+COUNTIFS(WP!$S:$S,$B61,WP!$N:$N,E$2)</f>
        <v>0</v>
      </c>
      <c r="F61" s="45">
        <f>+COUNTIFS(WP!$S:$S,$B61,WP!$N:$N,F$2)</f>
        <v>2</v>
      </c>
    </row>
    <row r="62" spans="1:6" x14ac:dyDescent="0.2">
      <c r="A62" s="44" t="s">
        <v>14970</v>
      </c>
      <c r="B62" t="s">
        <v>7339</v>
      </c>
      <c r="C62" s="182">
        <f>+COUNTIF(WP!S:S,B62)</f>
        <v>2</v>
      </c>
      <c r="D62" s="44">
        <f>+COUNTIFS(WP!$S:$S,$B62,WP!$N:$N,D$2)</f>
        <v>0</v>
      </c>
      <c r="E62">
        <f>+COUNTIFS(WP!$S:$S,$B62,WP!$N:$N,E$2)</f>
        <v>0</v>
      </c>
      <c r="F62" s="45">
        <f>+COUNTIFS(WP!$S:$S,$B62,WP!$N:$N,F$2)</f>
        <v>2</v>
      </c>
    </row>
    <row r="63" spans="1:6" x14ac:dyDescent="0.2">
      <c r="A63" s="44" t="s">
        <v>14970</v>
      </c>
      <c r="B63" t="s">
        <v>7436</v>
      </c>
      <c r="C63" s="182">
        <f>+COUNTIF(WP!S:S,B63)</f>
        <v>2</v>
      </c>
      <c r="D63" s="44">
        <f>+COUNTIFS(WP!$S:$S,$B63,WP!$N:$N,D$2)</f>
        <v>0</v>
      </c>
      <c r="E63">
        <f>+COUNTIFS(WP!$S:$S,$B63,WP!$N:$N,E$2)</f>
        <v>0</v>
      </c>
      <c r="F63" s="45">
        <f>+COUNTIFS(WP!$S:$S,$B63,WP!$N:$N,F$2)</f>
        <v>2</v>
      </c>
    </row>
    <row r="64" spans="1:6" x14ac:dyDescent="0.2">
      <c r="A64" s="44" t="s">
        <v>14970</v>
      </c>
      <c r="B64" t="s">
        <v>1014</v>
      </c>
      <c r="C64" s="182">
        <f>+COUNTIF(WP!S:S,B64)</f>
        <v>2</v>
      </c>
      <c r="D64" s="44">
        <f>+COUNTIFS(WP!$S:$S,$B64,WP!$N:$N,D$2)</f>
        <v>0</v>
      </c>
      <c r="E64">
        <f>+COUNTIFS(WP!$S:$S,$B64,WP!$N:$N,E$2)</f>
        <v>2</v>
      </c>
      <c r="F64" s="45">
        <f>+COUNTIFS(WP!$S:$S,$B64,WP!$N:$N,F$2)</f>
        <v>0</v>
      </c>
    </row>
    <row r="65" spans="1:6" x14ac:dyDescent="0.2">
      <c r="A65" s="44" t="s">
        <v>14970</v>
      </c>
      <c r="B65" t="s">
        <v>7668</v>
      </c>
      <c r="C65" s="182">
        <f>+COUNTIF(WP!S:S,B65)</f>
        <v>2</v>
      </c>
      <c r="D65" s="44">
        <f>+COUNTIFS(WP!$S:$S,$B65,WP!$N:$N,D$2)</f>
        <v>0</v>
      </c>
      <c r="E65">
        <f>+COUNTIFS(WP!$S:$S,$B65,WP!$N:$N,E$2)</f>
        <v>0</v>
      </c>
      <c r="F65" s="45">
        <f>+COUNTIFS(WP!$S:$S,$B65,WP!$N:$N,F$2)</f>
        <v>2</v>
      </c>
    </row>
    <row r="66" spans="1:6" x14ac:dyDescent="0.2">
      <c r="A66" s="44" t="s">
        <v>14970</v>
      </c>
      <c r="B66" t="s">
        <v>14068</v>
      </c>
      <c r="C66" s="182">
        <f>+COUNTIF(WP!S:S,B66)</f>
        <v>3</v>
      </c>
      <c r="D66" s="44">
        <f>+COUNTIFS(WP!$S:$S,$B66,WP!$N:$N,D$2)</f>
        <v>1</v>
      </c>
      <c r="E66">
        <f>+COUNTIFS(WP!$S:$S,$B66,WP!$N:$N,E$2)</f>
        <v>2</v>
      </c>
      <c r="F66" s="45">
        <f>+COUNTIFS(WP!$S:$S,$B66,WP!$N:$N,F$2)</f>
        <v>0</v>
      </c>
    </row>
    <row r="67" spans="1:6" x14ac:dyDescent="0.2">
      <c r="A67" s="44" t="s">
        <v>14970</v>
      </c>
      <c r="B67" t="s">
        <v>14707</v>
      </c>
      <c r="C67" s="182">
        <f>+COUNTIF(WP!S:S,B67)</f>
        <v>5</v>
      </c>
      <c r="D67" s="44">
        <f>+COUNTIFS(WP!$S:$S,$B67,WP!$N:$N,D$2)</f>
        <v>0</v>
      </c>
      <c r="E67">
        <f>+COUNTIFS(WP!$S:$S,$B67,WP!$N:$N,E$2)</f>
        <v>5</v>
      </c>
      <c r="F67" s="45">
        <f>+COUNTIFS(WP!$S:$S,$B67,WP!$N:$N,F$2)</f>
        <v>0</v>
      </c>
    </row>
    <row r="68" spans="1:6" x14ac:dyDescent="0.2">
      <c r="A68" s="44" t="s">
        <v>14971</v>
      </c>
      <c r="B68" t="s">
        <v>14695</v>
      </c>
      <c r="C68" s="182">
        <f>+COUNTIF(WP!S:S,B68)</f>
        <v>1</v>
      </c>
      <c r="D68" s="44">
        <f>+COUNTIFS(WP!$S:$S,$B68,WP!$N:$N,D$2)</f>
        <v>0</v>
      </c>
      <c r="E68">
        <f>+COUNTIFS(WP!$S:$S,$B68,WP!$N:$N,E$2)</f>
        <v>0</v>
      </c>
      <c r="F68" s="45">
        <f>+COUNTIFS(WP!$S:$S,$B68,WP!$N:$N,F$2)</f>
        <v>1</v>
      </c>
    </row>
    <row r="69" spans="1:6" x14ac:dyDescent="0.2">
      <c r="A69" s="44" t="s">
        <v>14971</v>
      </c>
      <c r="B69" t="s">
        <v>7082</v>
      </c>
      <c r="C69" s="182">
        <f>+COUNTIF(WP!S:S,B69)</f>
        <v>1</v>
      </c>
      <c r="D69" s="44">
        <f>+COUNTIFS(WP!$S:$S,$B69,WP!$N:$N,D$2)</f>
        <v>0</v>
      </c>
      <c r="E69">
        <f>+COUNTIFS(WP!$S:$S,$B69,WP!$N:$N,E$2)</f>
        <v>0</v>
      </c>
      <c r="F69" s="45">
        <f>+COUNTIFS(WP!$S:$S,$B69,WP!$N:$N,F$2)</f>
        <v>1</v>
      </c>
    </row>
    <row r="70" spans="1:6" x14ac:dyDescent="0.2">
      <c r="A70" s="44" t="s">
        <v>14971</v>
      </c>
      <c r="B70" t="s">
        <v>14686</v>
      </c>
      <c r="C70" s="182">
        <f>+COUNTIF(WP!S:S,B70)</f>
        <v>1</v>
      </c>
      <c r="D70" s="44">
        <f>+COUNTIFS(WP!$S:$S,$B70,WP!$N:$N,D$2)</f>
        <v>0</v>
      </c>
      <c r="E70">
        <f>+COUNTIFS(WP!$S:$S,$B70,WP!$N:$N,E$2)</f>
        <v>0</v>
      </c>
      <c r="F70" s="45">
        <f>+COUNTIFS(WP!$S:$S,$B70,WP!$N:$N,F$2)</f>
        <v>1</v>
      </c>
    </row>
    <row r="71" spans="1:6" x14ac:dyDescent="0.2">
      <c r="A71" s="44" t="s">
        <v>14971</v>
      </c>
      <c r="B71" t="s">
        <v>14703</v>
      </c>
      <c r="C71" s="182">
        <f>+COUNTIF(WP!S:S,B71)</f>
        <v>1</v>
      </c>
      <c r="D71" s="44">
        <f>+COUNTIFS(WP!$S:$S,$B71,WP!$N:$N,D$2)</f>
        <v>0</v>
      </c>
      <c r="E71">
        <f>+COUNTIFS(WP!$S:$S,$B71,WP!$N:$N,E$2)</f>
        <v>0</v>
      </c>
      <c r="F71" s="45">
        <f>+COUNTIFS(WP!$S:$S,$B71,WP!$N:$N,F$2)</f>
        <v>1</v>
      </c>
    </row>
    <row r="72" spans="1:6" x14ac:dyDescent="0.2">
      <c r="A72" s="44" t="s">
        <v>14971</v>
      </c>
      <c r="B72" t="s">
        <v>7687</v>
      </c>
      <c r="C72" s="182">
        <f>+COUNTIF(WP!S:S,B72)</f>
        <v>1</v>
      </c>
      <c r="D72" s="44">
        <f>+COUNTIFS(WP!$S:$S,$B72,WP!$N:$N,D$2)</f>
        <v>0</v>
      </c>
      <c r="E72">
        <f>+COUNTIFS(WP!$S:$S,$B72,WP!$N:$N,E$2)</f>
        <v>0</v>
      </c>
      <c r="F72" s="45">
        <f>+COUNTIFS(WP!$S:$S,$B72,WP!$N:$N,F$2)</f>
        <v>1</v>
      </c>
    </row>
    <row r="73" spans="1:6" x14ac:dyDescent="0.2">
      <c r="A73" s="44" t="s">
        <v>14971</v>
      </c>
      <c r="B73" t="s">
        <v>8119</v>
      </c>
      <c r="C73" s="182">
        <f>+COUNTIF(WP!S:S,B73)</f>
        <v>1</v>
      </c>
      <c r="D73" s="44">
        <f>+COUNTIFS(WP!$S:$S,$B73,WP!$N:$N,D$2)</f>
        <v>0</v>
      </c>
      <c r="E73">
        <f>+COUNTIFS(WP!$S:$S,$B73,WP!$N:$N,E$2)</f>
        <v>0</v>
      </c>
      <c r="F73" s="45">
        <f>+COUNTIFS(WP!$S:$S,$B73,WP!$N:$N,F$2)</f>
        <v>1</v>
      </c>
    </row>
    <row r="74" spans="1:6" x14ac:dyDescent="0.2">
      <c r="A74" s="44" t="s">
        <v>14971</v>
      </c>
      <c r="B74" t="s">
        <v>8223</v>
      </c>
      <c r="C74" s="182">
        <f>+COUNTIF(WP!S:S,B74)</f>
        <v>2</v>
      </c>
      <c r="D74" s="44">
        <f>+COUNTIFS(WP!$S:$S,$B74,WP!$N:$N,D$2)</f>
        <v>0</v>
      </c>
      <c r="E74">
        <f>+COUNTIFS(WP!$S:$S,$B74,WP!$N:$N,E$2)</f>
        <v>0</v>
      </c>
      <c r="F74" s="45">
        <f>+COUNTIFS(WP!$S:$S,$B74,WP!$N:$N,F$2)</f>
        <v>2</v>
      </c>
    </row>
    <row r="75" spans="1:6" x14ac:dyDescent="0.2">
      <c r="A75" s="44" t="s">
        <v>14972</v>
      </c>
      <c r="B75" t="s">
        <v>14550</v>
      </c>
      <c r="C75" s="182">
        <f>+COUNTIF(WP!S:S,B75)</f>
        <v>1</v>
      </c>
      <c r="D75" s="44">
        <f>+COUNTIFS(WP!$S:$S,$B75,WP!$N:$N,D$2)</f>
        <v>1</v>
      </c>
      <c r="E75">
        <f>+COUNTIFS(WP!$S:$S,$B75,WP!$N:$N,E$2)</f>
        <v>0</v>
      </c>
      <c r="F75" s="45">
        <f>+COUNTIFS(WP!$S:$S,$B75,WP!$N:$N,F$2)</f>
        <v>0</v>
      </c>
    </row>
    <row r="76" spans="1:6" x14ac:dyDescent="0.2">
      <c r="A76" s="44" t="s">
        <v>14972</v>
      </c>
      <c r="B76" t="s">
        <v>14270</v>
      </c>
      <c r="C76" s="182">
        <f>+COUNTIF(WP!S:S,B76)</f>
        <v>2</v>
      </c>
      <c r="D76" s="44">
        <f>+COUNTIFS(WP!$S:$S,$B76,WP!$N:$N,D$2)</f>
        <v>1</v>
      </c>
      <c r="E76">
        <f>+COUNTIFS(WP!$S:$S,$B76,WP!$N:$N,E$2)</f>
        <v>1</v>
      </c>
      <c r="F76" s="45">
        <f>+COUNTIFS(WP!$S:$S,$B76,WP!$N:$N,F$2)</f>
        <v>0</v>
      </c>
    </row>
    <row r="77" spans="1:6" x14ac:dyDescent="0.2">
      <c r="A77" s="44" t="s">
        <v>14972</v>
      </c>
      <c r="B77" t="s">
        <v>13929</v>
      </c>
      <c r="C77" s="182">
        <f>+COUNTIF(WP!S:S,B77)</f>
        <v>2</v>
      </c>
      <c r="D77" s="44">
        <f>+COUNTIFS(WP!$S:$S,$B77,WP!$N:$N,D$2)</f>
        <v>1</v>
      </c>
      <c r="E77">
        <f>+COUNTIFS(WP!$S:$S,$B77,WP!$N:$N,E$2)</f>
        <v>1</v>
      </c>
      <c r="F77" s="45">
        <f>+COUNTIFS(WP!$S:$S,$B77,WP!$N:$N,F$2)</f>
        <v>0</v>
      </c>
    </row>
    <row r="78" spans="1:6" x14ac:dyDescent="0.2">
      <c r="A78" s="44" t="s">
        <v>14972</v>
      </c>
      <c r="B78" t="s">
        <v>14047</v>
      </c>
      <c r="C78" s="182">
        <f>+COUNTIF(WP!S:S,B78)</f>
        <v>2</v>
      </c>
      <c r="D78" s="44">
        <f>+COUNTIFS(WP!$S:$S,$B78,WP!$N:$N,D$2)</f>
        <v>1</v>
      </c>
      <c r="E78">
        <f>+COUNTIFS(WP!$S:$S,$B78,WP!$N:$N,E$2)</f>
        <v>1</v>
      </c>
      <c r="F78" s="45">
        <f>+COUNTIFS(WP!$S:$S,$B78,WP!$N:$N,F$2)</f>
        <v>0</v>
      </c>
    </row>
    <row r="79" spans="1:6" x14ac:dyDescent="0.2">
      <c r="A79" s="44" t="s">
        <v>14972</v>
      </c>
      <c r="B79" t="s">
        <v>14289</v>
      </c>
      <c r="C79" s="182">
        <f>+COUNTIF(WP!S:S,B79)</f>
        <v>2</v>
      </c>
      <c r="D79" s="44">
        <f>+COUNTIFS(WP!$S:$S,$B79,WP!$N:$N,D$2)</f>
        <v>1</v>
      </c>
      <c r="E79">
        <f>+COUNTIFS(WP!$S:$S,$B79,WP!$N:$N,E$2)</f>
        <v>1</v>
      </c>
      <c r="F79" s="45">
        <f>+COUNTIFS(WP!$S:$S,$B79,WP!$N:$N,F$2)</f>
        <v>0</v>
      </c>
    </row>
    <row r="80" spans="1:6" x14ac:dyDescent="0.2">
      <c r="A80" s="44" t="s">
        <v>14972</v>
      </c>
      <c r="B80" t="s">
        <v>14338</v>
      </c>
      <c r="C80" s="182">
        <f>+COUNTIF(WP!S:S,B80)</f>
        <v>2</v>
      </c>
      <c r="D80" s="44">
        <f>+COUNTIFS(WP!$S:$S,$B80,WP!$N:$N,D$2)</f>
        <v>1</v>
      </c>
      <c r="E80">
        <f>+COUNTIFS(WP!$S:$S,$B80,WP!$N:$N,E$2)</f>
        <v>1</v>
      </c>
      <c r="F80" s="45">
        <f>+COUNTIFS(WP!$S:$S,$B80,WP!$N:$N,F$2)</f>
        <v>0</v>
      </c>
    </row>
    <row r="81" spans="1:6" x14ac:dyDescent="0.2">
      <c r="A81" s="44" t="s">
        <v>14972</v>
      </c>
      <c r="B81" t="s">
        <v>14346</v>
      </c>
      <c r="C81" s="182">
        <f>+COUNTIF(WP!S:S,B81)</f>
        <v>2</v>
      </c>
      <c r="D81" s="44">
        <f>+COUNTIFS(WP!$S:$S,$B81,WP!$N:$N,D$2)</f>
        <v>1</v>
      </c>
      <c r="E81">
        <f>+COUNTIFS(WP!$S:$S,$B81,WP!$N:$N,E$2)</f>
        <v>1</v>
      </c>
      <c r="F81" s="45">
        <f>+COUNTIFS(WP!$S:$S,$B81,WP!$N:$N,F$2)</f>
        <v>0</v>
      </c>
    </row>
    <row r="82" spans="1:6" x14ac:dyDescent="0.2">
      <c r="A82" s="44" t="s">
        <v>14972</v>
      </c>
      <c r="B82" t="s">
        <v>14155</v>
      </c>
      <c r="C82" s="182">
        <f>+COUNTIF(WP!S:S,B82)</f>
        <v>2</v>
      </c>
      <c r="D82" s="44">
        <f>+COUNTIFS(WP!$S:$S,$B82,WP!$N:$N,D$2)</f>
        <v>1</v>
      </c>
      <c r="E82">
        <f>+COUNTIFS(WP!$S:$S,$B82,WP!$N:$N,E$2)</f>
        <v>1</v>
      </c>
      <c r="F82" s="45">
        <f>+COUNTIFS(WP!$S:$S,$B82,WP!$N:$N,F$2)</f>
        <v>0</v>
      </c>
    </row>
    <row r="83" spans="1:6" x14ac:dyDescent="0.2">
      <c r="A83" s="44" t="s">
        <v>14972</v>
      </c>
      <c r="B83" t="s">
        <v>14261</v>
      </c>
      <c r="C83" s="182">
        <f>+COUNTIF(WP!S:S,B83)</f>
        <v>2</v>
      </c>
      <c r="D83" s="44">
        <f>+COUNTIFS(WP!$S:$S,$B83,WP!$N:$N,D$2)</f>
        <v>1</v>
      </c>
      <c r="E83">
        <f>+COUNTIFS(WP!$S:$S,$B83,WP!$N:$N,E$2)</f>
        <v>1</v>
      </c>
      <c r="F83" s="45">
        <f>+COUNTIFS(WP!$S:$S,$B83,WP!$N:$N,F$2)</f>
        <v>0</v>
      </c>
    </row>
    <row r="84" spans="1:6" x14ac:dyDescent="0.2">
      <c r="A84" s="44" t="s">
        <v>14972</v>
      </c>
      <c r="B84" t="s">
        <v>14258</v>
      </c>
      <c r="C84" s="182">
        <f>+COUNTIF(WP!S:S,B84)</f>
        <v>2</v>
      </c>
      <c r="D84" s="44">
        <f>+COUNTIFS(WP!$S:$S,$B84,WP!$N:$N,D$2)</f>
        <v>1</v>
      </c>
      <c r="E84">
        <f>+COUNTIFS(WP!$S:$S,$B84,WP!$N:$N,E$2)</f>
        <v>1</v>
      </c>
      <c r="F84" s="45">
        <f>+COUNTIFS(WP!$S:$S,$B84,WP!$N:$N,F$2)</f>
        <v>0</v>
      </c>
    </row>
    <row r="85" spans="1:6" x14ac:dyDescent="0.2">
      <c r="A85" s="44" t="s">
        <v>14972</v>
      </c>
      <c r="B85" t="s">
        <v>14232</v>
      </c>
      <c r="C85" s="182">
        <f>+COUNTIF(WP!S:S,B85)</f>
        <v>2</v>
      </c>
      <c r="D85" s="44">
        <f>+COUNTIFS(WP!$S:$S,$B85,WP!$N:$N,D$2)</f>
        <v>1</v>
      </c>
      <c r="E85">
        <f>+COUNTIFS(WP!$S:$S,$B85,WP!$N:$N,E$2)</f>
        <v>1</v>
      </c>
      <c r="F85" s="45">
        <f>+COUNTIFS(WP!$S:$S,$B85,WP!$N:$N,F$2)</f>
        <v>0</v>
      </c>
    </row>
    <row r="86" spans="1:6" x14ac:dyDescent="0.2">
      <c r="A86" s="44" t="s">
        <v>14972</v>
      </c>
      <c r="B86" t="s">
        <v>14274</v>
      </c>
      <c r="C86" s="182">
        <f>+COUNTIF(WP!S:S,B86)</f>
        <v>3</v>
      </c>
      <c r="D86" s="44">
        <f>+COUNTIFS(WP!$S:$S,$B86,WP!$N:$N,D$2)</f>
        <v>1</v>
      </c>
      <c r="E86">
        <f>+COUNTIFS(WP!$S:$S,$B86,WP!$N:$N,E$2)</f>
        <v>2</v>
      </c>
      <c r="F86" s="45">
        <f>+COUNTIFS(WP!$S:$S,$B86,WP!$N:$N,F$2)</f>
        <v>0</v>
      </c>
    </row>
    <row r="87" spans="1:6" x14ac:dyDescent="0.2">
      <c r="A87" s="44" t="s">
        <v>14972</v>
      </c>
      <c r="B87" t="s">
        <v>13868</v>
      </c>
      <c r="C87" s="182">
        <f>+COUNTIF(WP!S:S,B87)</f>
        <v>3</v>
      </c>
      <c r="D87" s="44">
        <f>+COUNTIFS(WP!$S:$S,$B87,WP!$N:$N,D$2)</f>
        <v>1</v>
      </c>
      <c r="E87">
        <f>+COUNTIFS(WP!$S:$S,$B87,WP!$N:$N,E$2)</f>
        <v>2</v>
      </c>
      <c r="F87" s="45">
        <f>+COUNTIFS(WP!$S:$S,$B87,WP!$N:$N,F$2)</f>
        <v>0</v>
      </c>
    </row>
    <row r="88" spans="1:6" x14ac:dyDescent="0.2">
      <c r="A88" s="44" t="s">
        <v>14973</v>
      </c>
      <c r="B88" t="s">
        <v>3986</v>
      </c>
      <c r="C88" s="182">
        <f>+COUNTIF(WP!S:S,B88)</f>
        <v>1</v>
      </c>
      <c r="D88" s="44">
        <f>+COUNTIFS(WP!$S:$S,$B88,WP!$N:$N,D$2)</f>
        <v>0</v>
      </c>
      <c r="E88">
        <f>+COUNTIFS(WP!$S:$S,$B88,WP!$N:$N,E$2)</f>
        <v>1</v>
      </c>
      <c r="F88" s="45">
        <f>+COUNTIFS(WP!$S:$S,$B88,WP!$N:$N,F$2)</f>
        <v>0</v>
      </c>
    </row>
    <row r="89" spans="1:6" x14ac:dyDescent="0.2">
      <c r="A89" s="44" t="s">
        <v>14973</v>
      </c>
      <c r="B89" t="s">
        <v>7297</v>
      </c>
      <c r="C89" s="182">
        <f>+COUNTIF(WP!S:S,B89)</f>
        <v>1</v>
      </c>
      <c r="D89" s="44">
        <f>+COUNTIFS(WP!$S:$S,$B89,WP!$N:$N,D$2)</f>
        <v>0</v>
      </c>
      <c r="E89">
        <f>+COUNTIFS(WP!$S:$S,$B89,WP!$N:$N,E$2)</f>
        <v>1</v>
      </c>
      <c r="F89" s="45">
        <f>+COUNTIFS(WP!$S:$S,$B89,WP!$N:$N,F$2)</f>
        <v>0</v>
      </c>
    </row>
    <row r="90" spans="1:6" x14ac:dyDescent="0.2">
      <c r="A90" s="44" t="s">
        <v>14973</v>
      </c>
      <c r="B90" t="s">
        <v>7303</v>
      </c>
      <c r="C90" s="182">
        <f>+COUNTIF(WP!S:S,B90)</f>
        <v>1</v>
      </c>
      <c r="D90" s="44">
        <f>+COUNTIFS(WP!$S:$S,$B90,WP!$N:$N,D$2)</f>
        <v>0</v>
      </c>
      <c r="E90">
        <f>+COUNTIFS(WP!$S:$S,$B90,WP!$N:$N,E$2)</f>
        <v>1</v>
      </c>
      <c r="F90" s="45">
        <f>+COUNTIFS(WP!$S:$S,$B90,WP!$N:$N,F$2)</f>
        <v>0</v>
      </c>
    </row>
    <row r="91" spans="1:6" x14ac:dyDescent="0.2">
      <c r="A91" s="44" t="s">
        <v>14973</v>
      </c>
      <c r="B91" t="s">
        <v>14292</v>
      </c>
      <c r="C91" s="182">
        <f>+COUNTIF(WP!S:S,B91)</f>
        <v>1</v>
      </c>
      <c r="D91" s="44">
        <f>+COUNTIFS(WP!$S:$S,$B91,WP!$N:$N,D$2)</f>
        <v>0</v>
      </c>
      <c r="E91">
        <f>+COUNTIFS(WP!$S:$S,$B91,WP!$N:$N,E$2)</f>
        <v>1</v>
      </c>
      <c r="F91" s="45">
        <f>+COUNTIFS(WP!$S:$S,$B91,WP!$N:$N,F$2)</f>
        <v>0</v>
      </c>
    </row>
    <row r="92" spans="1:6" x14ac:dyDescent="0.2">
      <c r="A92" s="44" t="s">
        <v>14973</v>
      </c>
      <c r="B92" t="s">
        <v>14620</v>
      </c>
      <c r="C92" s="182">
        <f>+COUNTIF(WP!S:S,B92)</f>
        <v>2</v>
      </c>
      <c r="D92" s="44">
        <f>+COUNTIFS(WP!$S:$S,$B92,WP!$N:$N,D$2)</f>
        <v>2</v>
      </c>
      <c r="E92">
        <f>+COUNTIFS(WP!$S:$S,$B92,WP!$N:$N,E$2)</f>
        <v>0</v>
      </c>
      <c r="F92" s="45">
        <f>+COUNTIFS(WP!$S:$S,$B92,WP!$N:$N,F$2)</f>
        <v>0</v>
      </c>
    </row>
    <row r="93" spans="1:6" x14ac:dyDescent="0.2">
      <c r="A93" s="44" t="s">
        <v>14973</v>
      </c>
      <c r="B93" t="s">
        <v>14090</v>
      </c>
      <c r="C93" s="182">
        <f>+COUNTIF(WP!S:S,B93)</f>
        <v>3</v>
      </c>
      <c r="D93" s="44">
        <f>+COUNTIFS(WP!$S:$S,$B93,WP!$N:$N,D$2)</f>
        <v>2</v>
      </c>
      <c r="E93">
        <f>+COUNTIFS(WP!$S:$S,$B93,WP!$N:$N,E$2)</f>
        <v>1</v>
      </c>
      <c r="F93" s="45">
        <f>+COUNTIFS(WP!$S:$S,$B93,WP!$N:$N,F$2)</f>
        <v>0</v>
      </c>
    </row>
    <row r="94" spans="1:6" x14ac:dyDescent="0.2">
      <c r="A94" s="44" t="s">
        <v>14973</v>
      </c>
      <c r="B94" t="s">
        <v>13937</v>
      </c>
      <c r="C94" s="182">
        <f>+COUNTIF(WP!S:S,B94)</f>
        <v>3</v>
      </c>
      <c r="D94" s="44">
        <f>+COUNTIFS(WP!$S:$S,$B94,WP!$N:$N,D$2)</f>
        <v>2</v>
      </c>
      <c r="E94">
        <f>+COUNTIFS(WP!$S:$S,$B94,WP!$N:$N,E$2)</f>
        <v>1</v>
      </c>
      <c r="F94" s="45">
        <f>+COUNTIFS(WP!$S:$S,$B94,WP!$N:$N,F$2)</f>
        <v>0</v>
      </c>
    </row>
    <row r="95" spans="1:6" x14ac:dyDescent="0.2">
      <c r="A95" s="44" t="s">
        <v>14973</v>
      </c>
      <c r="B95" t="s">
        <v>14228</v>
      </c>
      <c r="C95" s="182">
        <f>+COUNTIF(WP!S:S,B95)</f>
        <v>7</v>
      </c>
      <c r="D95" s="44">
        <f>+COUNTIFS(WP!$S:$S,$B95,WP!$N:$N,D$2)</f>
        <v>1</v>
      </c>
      <c r="E95">
        <f>+COUNTIFS(WP!$S:$S,$B95,WP!$N:$N,E$2)</f>
        <v>6</v>
      </c>
      <c r="F95" s="45">
        <f>+COUNTIFS(WP!$S:$S,$B95,WP!$N:$N,F$2)</f>
        <v>0</v>
      </c>
    </row>
    <row r="96" spans="1:6" x14ac:dyDescent="0.2">
      <c r="A96" s="44" t="s">
        <v>260</v>
      </c>
      <c r="B96" t="s">
        <v>8159</v>
      </c>
      <c r="C96" s="182">
        <f>+COUNTIF(WP!S:S,B96)</f>
        <v>1</v>
      </c>
      <c r="D96" s="44">
        <f>+COUNTIFS(WP!$S:$S,$B96,WP!$N:$N,D$2)</f>
        <v>0</v>
      </c>
      <c r="E96">
        <f>+COUNTIFS(WP!$S:$S,$B96,WP!$N:$N,E$2)</f>
        <v>1</v>
      </c>
      <c r="F96" s="45">
        <f>+COUNTIFS(WP!$S:$S,$B96,WP!$N:$N,F$2)</f>
        <v>0</v>
      </c>
    </row>
    <row r="97" spans="1:6" x14ac:dyDescent="0.2">
      <c r="A97" s="44" t="s">
        <v>260</v>
      </c>
      <c r="B97" t="s">
        <v>14118</v>
      </c>
      <c r="C97" s="182">
        <f>+COUNTIF(WP!S:S,B97)</f>
        <v>1</v>
      </c>
      <c r="D97" s="44">
        <f>+COUNTIFS(WP!$S:$S,$B97,WP!$N:$N,D$2)</f>
        <v>0</v>
      </c>
      <c r="E97">
        <f>+COUNTIFS(WP!$S:$S,$B97,WP!$N:$N,E$2)</f>
        <v>1</v>
      </c>
      <c r="F97" s="45">
        <f>+COUNTIFS(WP!$S:$S,$B97,WP!$N:$N,F$2)</f>
        <v>0</v>
      </c>
    </row>
    <row r="98" spans="1:6" x14ac:dyDescent="0.2">
      <c r="A98" s="44" t="s">
        <v>260</v>
      </c>
      <c r="B98" t="s">
        <v>96</v>
      </c>
      <c r="C98" s="182">
        <f>+COUNTIF(WP!S:S,B98)</f>
        <v>2</v>
      </c>
      <c r="D98" s="44">
        <f>+COUNTIFS(WP!$S:$S,$B98,WP!$N:$N,D$2)</f>
        <v>1</v>
      </c>
      <c r="E98">
        <f>+COUNTIFS(WP!$S:$S,$B98,WP!$N:$N,E$2)</f>
        <v>1</v>
      </c>
      <c r="F98" s="45">
        <f>+COUNTIFS(WP!$S:$S,$B98,WP!$N:$N,F$2)</f>
        <v>0</v>
      </c>
    </row>
    <row r="99" spans="1:6" x14ac:dyDescent="0.2">
      <c r="A99" s="44" t="s">
        <v>260</v>
      </c>
      <c r="B99" t="s">
        <v>14188</v>
      </c>
      <c r="C99" s="182">
        <f>+COUNTIF(WP!S:S,B99)</f>
        <v>4</v>
      </c>
      <c r="D99" s="44">
        <f>+COUNTIFS(WP!$S:$S,$B99,WP!$N:$N,D$2)</f>
        <v>1</v>
      </c>
      <c r="E99">
        <f>+COUNTIFS(WP!$S:$S,$B99,WP!$N:$N,E$2)</f>
        <v>3</v>
      </c>
      <c r="F99" s="45">
        <f>+COUNTIFS(WP!$S:$S,$B99,WP!$N:$N,F$2)</f>
        <v>0</v>
      </c>
    </row>
    <row r="100" spans="1:6" x14ac:dyDescent="0.2">
      <c r="A100" s="44" t="s">
        <v>260</v>
      </c>
      <c r="B100" t="s">
        <v>14034</v>
      </c>
      <c r="C100" s="182">
        <f>+COUNTIF(WP!S:S,B100)</f>
        <v>6</v>
      </c>
      <c r="D100" s="44">
        <f>+COUNTIFS(WP!$S:$S,$B100,WP!$N:$N,D$2)</f>
        <v>0</v>
      </c>
      <c r="E100">
        <f>+COUNTIFS(WP!$S:$S,$B100,WP!$N:$N,E$2)</f>
        <v>6</v>
      </c>
      <c r="F100" s="45">
        <f>+COUNTIFS(WP!$S:$S,$B100,WP!$N:$N,F$2)</f>
        <v>0</v>
      </c>
    </row>
    <row r="101" spans="1:6" x14ac:dyDescent="0.2">
      <c r="A101" s="44" t="s">
        <v>260</v>
      </c>
      <c r="B101" t="s">
        <v>14022</v>
      </c>
      <c r="C101" s="182">
        <f>+COUNTIF(WP!S:S,B101)</f>
        <v>8</v>
      </c>
      <c r="D101" s="44">
        <f>+COUNTIFS(WP!$S:$S,$B101,WP!$N:$N,D$2)</f>
        <v>6</v>
      </c>
      <c r="E101">
        <f>+COUNTIFS(WP!$S:$S,$B101,WP!$N:$N,E$2)</f>
        <v>2</v>
      </c>
      <c r="F101" s="45">
        <f>+COUNTIFS(WP!$S:$S,$B101,WP!$N:$N,F$2)</f>
        <v>0</v>
      </c>
    </row>
    <row r="102" spans="1:6" x14ac:dyDescent="0.2">
      <c r="A102" s="44" t="s">
        <v>260</v>
      </c>
      <c r="B102" t="s">
        <v>13982</v>
      </c>
      <c r="C102" s="182">
        <f>+COUNTIF(WP!S:S,B102)</f>
        <v>12</v>
      </c>
      <c r="D102" s="44">
        <f>+COUNTIFS(WP!$S:$S,$B102,WP!$N:$N,D$2)</f>
        <v>8</v>
      </c>
      <c r="E102">
        <f>+COUNTIFS(WP!$S:$S,$B102,WP!$N:$N,E$2)</f>
        <v>4</v>
      </c>
      <c r="F102" s="45">
        <f>+COUNTIFS(WP!$S:$S,$B102,WP!$N:$N,F$2)</f>
        <v>0</v>
      </c>
    </row>
    <row r="103" spans="1:6" x14ac:dyDescent="0.2">
      <c r="A103" s="44" t="s">
        <v>260</v>
      </c>
      <c r="B103" t="s">
        <v>13882</v>
      </c>
      <c r="C103" s="182">
        <f>+COUNTIF(WP!S:S,B103)</f>
        <v>20</v>
      </c>
      <c r="D103" s="44">
        <f>+COUNTIFS(WP!$S:$S,$B103,WP!$N:$N,D$2)</f>
        <v>11</v>
      </c>
      <c r="E103">
        <f>+COUNTIFS(WP!$S:$S,$B103,WP!$N:$N,E$2)</f>
        <v>8</v>
      </c>
      <c r="F103" s="45">
        <f>+COUNTIFS(WP!$S:$S,$B103,WP!$N:$N,F$2)</f>
        <v>1</v>
      </c>
    </row>
    <row r="104" spans="1:6" x14ac:dyDescent="0.2">
      <c r="A104" s="46" t="s">
        <v>260</v>
      </c>
      <c r="B104" s="47" t="s">
        <v>13863</v>
      </c>
      <c r="C104" s="183">
        <f>+COUNTIF(WP!S:S,B104)</f>
        <v>26</v>
      </c>
      <c r="D104" s="46">
        <f>+COUNTIFS(WP!$S:$S,$B104,WP!$N:$N,D$2)</f>
        <v>9</v>
      </c>
      <c r="E104" s="47">
        <f>+COUNTIFS(WP!$S:$S,$B104,WP!$N:$N,E$2)</f>
        <v>7</v>
      </c>
      <c r="F104" s="48">
        <f>+COUNTIFS(WP!$S:$S,$B104,WP!$N:$N,F$2)</f>
        <v>10</v>
      </c>
    </row>
    <row r="106" spans="1:6" x14ac:dyDescent="0.2">
      <c r="A106" s="95" t="s">
        <v>14974</v>
      </c>
      <c r="B106" s="67"/>
      <c r="C106" s="67"/>
      <c r="D106" s="67">
        <f>SUM(D3:D105)</f>
        <v>149</v>
      </c>
      <c r="E106" s="67">
        <f>SUM(E3:E105)</f>
        <v>161</v>
      </c>
      <c r="F106" s="97">
        <f>SUM(F3:F105)</f>
        <v>40</v>
      </c>
    </row>
  </sheetData>
  <sortState xmlns:xlrd2="http://schemas.microsoft.com/office/spreadsheetml/2017/richdata2" ref="K3:K352">
    <sortCondition ref="K3:K352"/>
  </sortState>
  <mergeCells count="1">
    <mergeCell ref="D1:F1"/>
  </mergeCells>
  <pageMargins left="0.7" right="0.7" top="0.5" bottom="0.2" header="0.19791666666666666" footer="0.3"/>
  <pageSetup orientation="portrait" r:id="rId1"/>
  <headerFooter>
    <oddHeader>&amp;L&amp;"-,Bold"&amp;14Dragalia Lost V3 Re;Works Wyrmprint Ability Count</oddHead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8ADEDA-213C-45F1-81C9-B78D302D1742}">
  <dimension ref="A1:P21"/>
  <sheetViews>
    <sheetView zoomScaleNormal="100" workbookViewId="0">
      <selection activeCell="A22" sqref="A22"/>
    </sheetView>
  </sheetViews>
  <sheetFormatPr defaultRowHeight="14.25" x14ac:dyDescent="0.2"/>
  <cols>
    <col min="1" max="1" width="7.375" bestFit="1" customWidth="1"/>
    <col min="2" max="2" width="4.75" bestFit="1" customWidth="1"/>
    <col min="3" max="5" width="3.875" customWidth="1"/>
    <col min="6" max="6" width="4.75" bestFit="1" customWidth="1"/>
    <col min="7" max="8" width="3.875" bestFit="1" customWidth="1"/>
    <col min="9" max="9" width="3.875" customWidth="1"/>
    <col min="10" max="10" width="13.5" bestFit="1" customWidth="1"/>
    <col min="11" max="11" width="5.5" bestFit="1" customWidth="1"/>
    <col min="12" max="13" width="5" bestFit="1" customWidth="1"/>
    <col min="14" max="14" width="5.5" bestFit="1" customWidth="1"/>
    <col min="15" max="16" width="5" bestFit="1" customWidth="1"/>
  </cols>
  <sheetData>
    <row r="1" spans="1:16" ht="28.5" customHeight="1" x14ac:dyDescent="0.2">
      <c r="A1" s="64"/>
      <c r="B1" s="191" t="s">
        <v>10761</v>
      </c>
      <c r="C1" s="747" t="s">
        <v>14975</v>
      </c>
      <c r="D1" s="355"/>
      <c r="E1" s="748"/>
      <c r="F1" s="191" t="s">
        <v>10762</v>
      </c>
      <c r="G1" s="747" t="s">
        <v>14976</v>
      </c>
      <c r="H1" s="355"/>
      <c r="I1" s="748"/>
      <c r="J1" s="65"/>
      <c r="K1" s="749" t="s">
        <v>14977</v>
      </c>
      <c r="L1" s="747"/>
      <c r="M1" s="750"/>
      <c r="N1" s="749" t="s">
        <v>14978</v>
      </c>
      <c r="O1" s="747"/>
      <c r="P1" s="750"/>
    </row>
    <row r="2" spans="1:16" x14ac:dyDescent="0.2">
      <c r="A2" s="119" t="s">
        <v>13825</v>
      </c>
      <c r="B2" s="190" t="s">
        <v>14964</v>
      </c>
      <c r="C2" s="1">
        <v>4</v>
      </c>
      <c r="D2" s="1">
        <v>5</v>
      </c>
      <c r="E2" s="129">
        <v>9</v>
      </c>
      <c r="F2" s="190" t="s">
        <v>14964</v>
      </c>
      <c r="G2" s="1">
        <v>4</v>
      </c>
      <c r="H2" s="1">
        <v>5</v>
      </c>
      <c r="I2" s="129">
        <v>9</v>
      </c>
      <c r="J2" s="2" t="s">
        <v>14979</v>
      </c>
      <c r="K2" s="119">
        <v>2</v>
      </c>
      <c r="L2" s="2">
        <v>3</v>
      </c>
      <c r="M2" s="120">
        <v>4</v>
      </c>
      <c r="N2" s="119">
        <v>2</v>
      </c>
      <c r="O2" s="2">
        <v>3</v>
      </c>
      <c r="P2" s="120">
        <v>4</v>
      </c>
    </row>
    <row r="3" spans="1:16" x14ac:dyDescent="0.2">
      <c r="A3" s="44" t="s">
        <v>543</v>
      </c>
      <c r="B3" s="44">
        <f>COUNTIF(WP!H:H,A3)</f>
        <v>15</v>
      </c>
      <c r="C3" s="64">
        <f>COUNTIFS(WP!$H:$H,$A3,WP!$E:$E,C$2)</f>
        <v>3</v>
      </c>
      <c r="D3" s="65">
        <f>COUNTIFS(WP!$H:$H,$A3,WP!$E:$E,D$2)</f>
        <v>4</v>
      </c>
      <c r="E3" s="66">
        <f>COUNTIFS(WP!$H:$H,$A3,WP!$E:$E,E$2)</f>
        <v>3</v>
      </c>
      <c r="F3">
        <f>COUNTIF(WP!Q:Q,A3)</f>
        <v>29</v>
      </c>
      <c r="G3" s="64">
        <f>COUNTIFS(WP!$Q:$Q,$A3,WP!$N:$N,G$2)</f>
        <v>12</v>
      </c>
      <c r="H3" s="65">
        <f>COUNTIFS(WP!$Q:$Q,$A3,WP!$N:$N,H$2)</f>
        <v>13</v>
      </c>
      <c r="I3" s="66">
        <f>COUNTIFS(WP!$Q:$Q,$A3,WP!$N:$N,I$2)</f>
        <v>4</v>
      </c>
      <c r="J3" t="s">
        <v>13929</v>
      </c>
      <c r="K3" s="121"/>
      <c r="L3" s="122"/>
      <c r="M3" s="123">
        <v>0.1</v>
      </c>
      <c r="N3" s="121">
        <v>0.05</v>
      </c>
      <c r="O3" s="122">
        <v>0.1</v>
      </c>
      <c r="P3" s="123">
        <v>0.15</v>
      </c>
    </row>
    <row r="4" spans="1:16" x14ac:dyDescent="0.2">
      <c r="A4" s="44" t="s">
        <v>759</v>
      </c>
      <c r="B4" s="44">
        <f>COUNTIF(WP!H:H,A4)</f>
        <v>18</v>
      </c>
      <c r="C4" s="44">
        <f>COUNTIFS(WP!$H:$H,$A4,WP!$E:$E,C$2)</f>
        <v>3</v>
      </c>
      <c r="D4">
        <f>COUNTIFS(WP!$H:$H,$A4,WP!$E:$E,D$2)</f>
        <v>6</v>
      </c>
      <c r="E4" s="45">
        <f>COUNTIFS(WP!$H:$H,$A4,WP!$E:$E,E$2)</f>
        <v>4</v>
      </c>
      <c r="F4">
        <f>COUNTIF(WP!Q:Q,A4)</f>
        <v>30</v>
      </c>
      <c r="G4" s="44">
        <f>COUNTIFS(WP!$Q:$Q,$A4,WP!$N:$N,G$2)</f>
        <v>12</v>
      </c>
      <c r="H4">
        <f>COUNTIFS(WP!$Q:$Q,$A4,WP!$N:$N,H$2)</f>
        <v>14</v>
      </c>
      <c r="I4" s="45">
        <f>COUNTIFS(WP!$Q:$Q,$A4,WP!$N:$N,I$2)</f>
        <v>4</v>
      </c>
      <c r="J4" t="s">
        <v>13863</v>
      </c>
      <c r="K4" s="121"/>
      <c r="L4" s="122">
        <v>0.06</v>
      </c>
      <c r="M4" s="123">
        <v>0.1</v>
      </c>
      <c r="N4" s="121">
        <v>0.03</v>
      </c>
      <c r="O4" s="122">
        <v>0.06</v>
      </c>
      <c r="P4" s="123">
        <v>0.1</v>
      </c>
    </row>
    <row r="5" spans="1:16" x14ac:dyDescent="0.2">
      <c r="A5" s="44" t="s">
        <v>13855</v>
      </c>
      <c r="B5" s="44">
        <f>COUNTIF(WP!H:H,A5)</f>
        <v>18</v>
      </c>
      <c r="C5" s="44">
        <f>COUNTIFS(WP!$H:$H,$A5,WP!$E:$E,C$2)</f>
        <v>5</v>
      </c>
      <c r="D5">
        <f>COUNTIFS(WP!$H:$H,$A5,WP!$E:$E,D$2)</f>
        <v>7</v>
      </c>
      <c r="E5" s="45">
        <f>COUNTIFS(WP!$H:$H,$A5,WP!$E:$E,E$2)</f>
        <v>2</v>
      </c>
      <c r="F5">
        <f>COUNTIF(WP!Q:Q,A5)</f>
        <v>29</v>
      </c>
      <c r="G5" s="44">
        <f>COUNTIFS(WP!$Q:$Q,$A5,WP!$N:$N,G$2)</f>
        <v>12</v>
      </c>
      <c r="H5">
        <f>COUNTIFS(WP!$Q:$Q,$A5,WP!$N:$N,H$2)</f>
        <v>13</v>
      </c>
      <c r="I5" s="45">
        <f>COUNTIFS(WP!$Q:$Q,$A5,WP!$N:$N,I$2)</f>
        <v>4</v>
      </c>
      <c r="J5" t="s">
        <v>9612</v>
      </c>
      <c r="K5" s="121"/>
      <c r="L5" s="122"/>
      <c r="M5" s="123">
        <v>0.1</v>
      </c>
      <c r="N5" s="121">
        <v>0.05</v>
      </c>
      <c r="O5" s="122">
        <v>0.1</v>
      </c>
      <c r="P5" s="123">
        <v>0.15</v>
      </c>
    </row>
    <row r="6" spans="1:16" x14ac:dyDescent="0.2">
      <c r="A6" s="44" t="s">
        <v>13936</v>
      </c>
      <c r="B6" s="44">
        <f>COUNTIF(WP!H:H,A6)</f>
        <v>23</v>
      </c>
      <c r="C6" s="44">
        <f>COUNTIFS(WP!$H:$H,$A6,WP!$E:$E,C$2)</f>
        <v>5</v>
      </c>
      <c r="D6">
        <f>COUNTIFS(WP!$H:$H,$A6,WP!$E:$E,D$2)</f>
        <v>16</v>
      </c>
      <c r="E6" s="45">
        <f>COUNTIFS(WP!$H:$H,$A6,WP!$E:$E,E$2)</f>
        <v>0</v>
      </c>
      <c r="F6">
        <f>COUNTIF(WP!Q:Q,A6)</f>
        <v>33</v>
      </c>
      <c r="G6" s="44">
        <f>COUNTIFS(WP!$Q:$Q,$A6,WP!$N:$N,G$2)</f>
        <v>8</v>
      </c>
      <c r="H6">
        <f>COUNTIFS(WP!$Q:$Q,$A6,WP!$N:$N,H$2)</f>
        <v>25</v>
      </c>
      <c r="I6" s="45">
        <f>COUNTIFS(WP!$Q:$Q,$A6,WP!$N:$N,I$2)</f>
        <v>0</v>
      </c>
      <c r="J6" t="s">
        <v>14090</v>
      </c>
      <c r="K6" s="121">
        <v>0.1</v>
      </c>
      <c r="L6" s="122">
        <v>0.18</v>
      </c>
      <c r="M6" s="123">
        <v>0.3</v>
      </c>
      <c r="N6" s="121">
        <v>0.1</v>
      </c>
      <c r="O6" s="122">
        <v>0.2</v>
      </c>
      <c r="P6" s="123">
        <v>0.3</v>
      </c>
    </row>
    <row r="7" spans="1:16" x14ac:dyDescent="0.2">
      <c r="A7" s="44" t="s">
        <v>645</v>
      </c>
      <c r="B7" s="44">
        <f>COUNTIF(WP!H:H,A7)</f>
        <v>16</v>
      </c>
      <c r="C7" s="44">
        <f>COUNTIFS(WP!$H:$H,$A7,WP!$E:$E,C$2)</f>
        <v>6</v>
      </c>
      <c r="D7">
        <f>COUNTIFS(WP!$H:$H,$A7,WP!$E:$E,D$2)</f>
        <v>6</v>
      </c>
      <c r="E7" s="45">
        <f>COUNTIFS(WP!$H:$H,$A7,WP!$E:$E,E$2)</f>
        <v>3</v>
      </c>
      <c r="F7">
        <f>COUNTIF(WP!Q:Q,A7)</f>
        <v>30</v>
      </c>
      <c r="G7" s="44">
        <f>COUNTIFS(WP!$Q:$Q,$A7,WP!$N:$N,G$2)</f>
        <v>12</v>
      </c>
      <c r="H7">
        <f>COUNTIFS(WP!$Q:$Q,$A7,WP!$N:$N,H$2)</f>
        <v>14</v>
      </c>
      <c r="I7" s="45">
        <f>COUNTIFS(WP!$Q:$Q,$A7,WP!$N:$N,I$2)</f>
        <v>4</v>
      </c>
      <c r="J7" t="s">
        <v>13950</v>
      </c>
      <c r="K7" s="121">
        <v>0.05</v>
      </c>
      <c r="L7" s="122">
        <v>0.08</v>
      </c>
      <c r="M7" s="123">
        <v>0.15</v>
      </c>
      <c r="N7" s="121">
        <v>0.08</v>
      </c>
      <c r="O7" s="122">
        <v>0.15</v>
      </c>
      <c r="P7" s="123">
        <v>0.2</v>
      </c>
    </row>
    <row r="8" spans="1:16" x14ac:dyDescent="0.2">
      <c r="A8" s="44" t="s">
        <v>123</v>
      </c>
      <c r="B8" s="44">
        <f>COUNTIF(WP!H:H,A8)</f>
        <v>19</v>
      </c>
      <c r="C8" s="44">
        <f>COUNTIFS(WP!$H:$H,$A8,WP!$E:$E,C$2)</f>
        <v>8</v>
      </c>
      <c r="D8">
        <f>COUNTIFS(WP!$H:$H,$A8,WP!$E:$E,D$2)</f>
        <v>7</v>
      </c>
      <c r="E8" s="45">
        <f>COUNTIFS(WP!$H:$H,$A8,WP!$E:$E,E$2)</f>
        <v>2</v>
      </c>
      <c r="F8">
        <f>COUNTIF(WP!Q:Q,A8)</f>
        <v>29</v>
      </c>
      <c r="G8" s="44">
        <f>COUNTIFS(WP!$Q:$Q,$A8,WP!$N:$N,G$2)</f>
        <v>12</v>
      </c>
      <c r="H8">
        <f>COUNTIFS(WP!$Q:$Q,$A8,WP!$N:$N,H$2)</f>
        <v>14</v>
      </c>
      <c r="I8" s="45">
        <f>COUNTIFS(WP!$Q:$Q,$A8,WP!$N:$N,I$2)</f>
        <v>3</v>
      </c>
      <c r="J8" t="s">
        <v>9839</v>
      </c>
      <c r="K8" s="121"/>
      <c r="L8" s="122"/>
      <c r="M8" s="123">
        <v>0.08</v>
      </c>
      <c r="N8" s="121">
        <v>0.03</v>
      </c>
      <c r="O8" s="122">
        <v>0.06</v>
      </c>
      <c r="P8" s="123">
        <v>0.1</v>
      </c>
    </row>
    <row r="9" spans="1:16" x14ac:dyDescent="0.2">
      <c r="A9" s="44" t="s">
        <v>949</v>
      </c>
      <c r="B9" s="44">
        <f>COUNTIF(WP!H:H,A9)</f>
        <v>17</v>
      </c>
      <c r="C9" s="44">
        <f>COUNTIFS(WP!$H:$H,$A9,WP!$E:$E,C$2)</f>
        <v>5</v>
      </c>
      <c r="D9">
        <f>COUNTIFS(WP!$H:$H,$A9,WP!$E:$E,D$2)</f>
        <v>8</v>
      </c>
      <c r="E9" s="45">
        <f>COUNTIFS(WP!$H:$H,$A9,WP!$E:$E,E$2)</f>
        <v>3</v>
      </c>
      <c r="F9">
        <f>COUNTIF(WP!Q:Q,A9)</f>
        <v>20</v>
      </c>
      <c r="G9" s="44">
        <f>COUNTIFS(WP!$Q:$Q,$A9,WP!$N:$N,G$2)</f>
        <v>6</v>
      </c>
      <c r="H9">
        <f>COUNTIFS(WP!$Q:$Q,$A9,WP!$N:$N,H$2)</f>
        <v>11</v>
      </c>
      <c r="I9" s="45">
        <f>COUNTIFS(WP!$Q:$Q,$A9,WP!$N:$N,I$2)</f>
        <v>3</v>
      </c>
      <c r="J9" t="s">
        <v>14980</v>
      </c>
      <c r="K9" s="121">
        <v>0.05</v>
      </c>
      <c r="L9" s="122">
        <v>0.08</v>
      </c>
      <c r="M9" s="123">
        <v>0.15</v>
      </c>
      <c r="N9" s="121">
        <v>0.05</v>
      </c>
      <c r="O9" s="122">
        <v>0.1</v>
      </c>
      <c r="P9" s="123">
        <v>0.15</v>
      </c>
    </row>
    <row r="10" spans="1:16" x14ac:dyDescent="0.2">
      <c r="A10" s="44" t="s">
        <v>13892</v>
      </c>
      <c r="B10" s="44">
        <f>COUNTIF(WP!H:H,A10)</f>
        <v>5</v>
      </c>
      <c r="C10" s="44">
        <f>COUNTIFS(WP!$H:$H,$A10,WP!$E:$E,C$2)</f>
        <v>3</v>
      </c>
      <c r="D10">
        <f>COUNTIFS(WP!$H:$H,$A10,WP!$E:$E,D$2)</f>
        <v>0</v>
      </c>
      <c r="E10" s="45">
        <f>COUNTIFS(WP!$H:$H,$A10,WP!$E:$E,E$2)</f>
        <v>2</v>
      </c>
      <c r="F10">
        <f>COUNTIF(WP!Q:Q,A10)</f>
        <v>16</v>
      </c>
      <c r="G10" s="44">
        <f>COUNTIFS(WP!$Q:$Q,$A10,WP!$N:$N,G$2)</f>
        <v>8</v>
      </c>
      <c r="H10">
        <f>COUNTIFS(WP!$Q:$Q,$A10,WP!$N:$N,H$2)</f>
        <v>6</v>
      </c>
      <c r="I10" s="45">
        <f>COUNTIFS(WP!$Q:$Q,$A10,WP!$N:$N,I$2)</f>
        <v>2</v>
      </c>
      <c r="J10" t="s">
        <v>14436</v>
      </c>
      <c r="K10" s="121">
        <v>1</v>
      </c>
      <c r="L10" s="122"/>
      <c r="M10" s="123"/>
      <c r="N10" s="121">
        <v>1</v>
      </c>
      <c r="O10" s="122"/>
      <c r="P10" s="123"/>
    </row>
    <row r="11" spans="1:16" x14ac:dyDescent="0.2">
      <c r="A11" s="44" t="s">
        <v>13847</v>
      </c>
      <c r="B11" s="44">
        <f>COUNTIF(WP!H:H,A11)</f>
        <v>8</v>
      </c>
      <c r="C11" s="44">
        <f>COUNTIFS(WP!$H:$H,$A11,WP!$E:$E,C$2)</f>
        <v>1</v>
      </c>
      <c r="D11">
        <f>COUNTIFS(WP!$H:$H,$A11,WP!$E:$E,D$2)</f>
        <v>4</v>
      </c>
      <c r="E11" s="45">
        <f>COUNTIFS(WP!$H:$H,$A11,WP!$E:$E,E$2)</f>
        <v>2</v>
      </c>
      <c r="F11">
        <f>COUNTIF(WP!Q:Q,A11)</f>
        <v>22</v>
      </c>
      <c r="G11" s="44">
        <f>COUNTIFS(WP!$Q:$Q,$A11,WP!$N:$N,G$2)</f>
        <v>11</v>
      </c>
      <c r="H11">
        <f>COUNTIFS(WP!$Q:$Q,$A11,WP!$N:$N,H$2)</f>
        <v>9</v>
      </c>
      <c r="I11" s="45">
        <f>COUNTIFS(WP!$Q:$Q,$A11,WP!$N:$N,I$2)</f>
        <v>2</v>
      </c>
      <c r="J11" t="s">
        <v>14380</v>
      </c>
      <c r="K11" s="121">
        <v>1</v>
      </c>
      <c r="L11" s="122"/>
      <c r="M11" s="123"/>
      <c r="N11" s="121">
        <v>1</v>
      </c>
      <c r="O11" s="122"/>
      <c r="P11" s="123"/>
    </row>
    <row r="12" spans="1:16" x14ac:dyDescent="0.2">
      <c r="A12" s="44" t="s">
        <v>13862</v>
      </c>
      <c r="B12" s="44">
        <f>COUNTIF(WP!H:H,A12)</f>
        <v>8</v>
      </c>
      <c r="C12" s="44">
        <f>COUNTIFS(WP!$H:$H,$A12,WP!$E:$E,C$2)</f>
        <v>2</v>
      </c>
      <c r="D12">
        <f>COUNTIFS(WP!$H:$H,$A12,WP!$E:$E,D$2)</f>
        <v>3</v>
      </c>
      <c r="E12" s="45">
        <f>COUNTIFS(WP!$H:$H,$A12,WP!$E:$E,E$2)</f>
        <v>2</v>
      </c>
      <c r="F12">
        <f>COUNTIF(WP!Q:Q,A12)</f>
        <v>16</v>
      </c>
      <c r="G12" s="44">
        <f>COUNTIFS(WP!$Q:$Q,$A12,WP!$N:$N,G$2)</f>
        <v>8</v>
      </c>
      <c r="H12">
        <f>COUNTIFS(WP!$Q:$Q,$A12,WP!$N:$N,H$2)</f>
        <v>6</v>
      </c>
      <c r="I12" s="45">
        <f>COUNTIFS(WP!$Q:$Q,$A12,WP!$N:$N,I$2)</f>
        <v>2</v>
      </c>
      <c r="J12" t="s">
        <v>14377</v>
      </c>
      <c r="K12" s="121">
        <v>1</v>
      </c>
      <c r="L12" s="122"/>
      <c r="M12" s="123"/>
      <c r="N12" s="121">
        <v>1</v>
      </c>
      <c r="O12" s="122"/>
      <c r="P12" s="123"/>
    </row>
    <row r="13" spans="1:16" x14ac:dyDescent="0.2">
      <c r="A13" s="44" t="s">
        <v>13889</v>
      </c>
      <c r="B13" s="44">
        <f>COUNTIF(WP!H:H,A13)</f>
        <v>5</v>
      </c>
      <c r="C13" s="44">
        <f>COUNTIFS(WP!$H:$H,$A13,WP!$E:$E,C$2)</f>
        <v>3</v>
      </c>
      <c r="D13">
        <f>COUNTIFS(WP!$H:$H,$A13,WP!$E:$E,D$2)</f>
        <v>0</v>
      </c>
      <c r="E13" s="45">
        <f>COUNTIFS(WP!$H:$H,$A13,WP!$E:$E,E$2)</f>
        <v>1</v>
      </c>
      <c r="F13">
        <f>COUNTIF(WP!Q:Q,A13)</f>
        <v>16</v>
      </c>
      <c r="G13" s="44">
        <f>COUNTIFS(WP!$Q:$Q,$A13,WP!$N:$N,G$2)</f>
        <v>8</v>
      </c>
      <c r="H13">
        <f>COUNTIFS(WP!$Q:$Q,$A13,WP!$N:$N,H$2)</f>
        <v>6</v>
      </c>
      <c r="I13" s="45">
        <f>COUNTIFS(WP!$Q:$Q,$A13,WP!$N:$N,I$2)</f>
        <v>2</v>
      </c>
      <c r="J13" t="s">
        <v>14081</v>
      </c>
      <c r="K13" s="121">
        <v>1</v>
      </c>
      <c r="L13" s="122"/>
      <c r="M13" s="123"/>
      <c r="N13" s="121">
        <v>1</v>
      </c>
      <c r="O13" s="122"/>
      <c r="P13" s="123"/>
    </row>
    <row r="14" spans="1:16" x14ac:dyDescent="0.2">
      <c r="A14" s="44" t="s">
        <v>13895</v>
      </c>
      <c r="B14" s="44">
        <f>COUNTIF(WP!H:H,A14)</f>
        <v>6</v>
      </c>
      <c r="C14" s="44">
        <f>COUNTIFS(WP!$H:$H,$A14,WP!$E:$E,C$2)</f>
        <v>3</v>
      </c>
      <c r="D14">
        <f>COUNTIFS(WP!$H:$H,$A14,WP!$E:$E,D$2)</f>
        <v>1</v>
      </c>
      <c r="E14" s="45">
        <f>COUNTIFS(WP!$H:$H,$A14,WP!$E:$E,E$2)</f>
        <v>2</v>
      </c>
      <c r="F14">
        <f>COUNTIF(WP!Q:Q,A14)</f>
        <v>16</v>
      </c>
      <c r="G14" s="44">
        <f>COUNTIFS(WP!$Q:$Q,$A14,WP!$N:$N,G$2)</f>
        <v>8</v>
      </c>
      <c r="H14">
        <f>COUNTIFS(WP!$Q:$Q,$A14,WP!$N:$N,H$2)</f>
        <v>6</v>
      </c>
      <c r="I14" s="45">
        <f>COUNTIFS(WP!$Q:$Q,$A14,WP!$N:$N,I$2)</f>
        <v>2</v>
      </c>
      <c r="J14" t="s">
        <v>14506</v>
      </c>
      <c r="K14" s="121">
        <v>1</v>
      </c>
      <c r="L14" s="122"/>
      <c r="M14" s="123"/>
      <c r="N14" s="121">
        <v>1</v>
      </c>
      <c r="O14" s="122"/>
      <c r="P14" s="123"/>
    </row>
    <row r="15" spans="1:16" x14ac:dyDescent="0.2">
      <c r="A15" s="44" t="s">
        <v>13915</v>
      </c>
      <c r="B15" s="44">
        <f>COUNTIF(WP!H:H,A15)</f>
        <v>4</v>
      </c>
      <c r="C15" s="44">
        <f>COUNTIFS(WP!$H:$H,$A15,WP!$E:$E,C$2)</f>
        <v>1</v>
      </c>
      <c r="D15">
        <f>COUNTIFS(WP!$H:$H,$A15,WP!$E:$E,D$2)</f>
        <v>1</v>
      </c>
      <c r="E15" s="45">
        <f>COUNTIFS(WP!$H:$H,$A15,WP!$E:$E,E$2)</f>
        <v>1</v>
      </c>
      <c r="F15">
        <f>COUNTIF(WP!Q:Q,A15)</f>
        <v>16</v>
      </c>
      <c r="G15" s="44">
        <f>COUNTIFS(WP!$Q:$Q,$A15,WP!$N:$N,G$2)</f>
        <v>8</v>
      </c>
      <c r="H15">
        <f>COUNTIFS(WP!$Q:$Q,$A15,WP!$N:$N,H$2)</f>
        <v>6</v>
      </c>
      <c r="I15" s="45">
        <f>COUNTIFS(WP!$Q:$Q,$A15,WP!$N:$N,I$2)</f>
        <v>2</v>
      </c>
      <c r="J15" t="s">
        <v>14388</v>
      </c>
      <c r="K15" s="121">
        <v>1</v>
      </c>
      <c r="L15" s="122"/>
      <c r="M15" s="123"/>
      <c r="N15" s="121">
        <v>1</v>
      </c>
      <c r="O15" s="122"/>
      <c r="P15" s="123"/>
    </row>
    <row r="16" spans="1:16" x14ac:dyDescent="0.2">
      <c r="A16" s="44" t="s">
        <v>13842</v>
      </c>
      <c r="B16" s="44">
        <f>COUNTIF(WP!H:H,A16)</f>
        <v>6</v>
      </c>
      <c r="C16" s="44">
        <f>COUNTIFS(WP!$H:$H,$A16,WP!$E:$E,C$2)</f>
        <v>2</v>
      </c>
      <c r="D16">
        <f>COUNTIFS(WP!$H:$H,$A16,WP!$E:$E,D$2)</f>
        <v>2</v>
      </c>
      <c r="E16" s="45">
        <f>COUNTIFS(WP!$H:$H,$A16,WP!$E:$E,E$2)</f>
        <v>1</v>
      </c>
      <c r="F16">
        <f>COUNTIF(WP!Q:Q,A16)</f>
        <v>16</v>
      </c>
      <c r="G16" s="44">
        <f>COUNTIFS(WP!$Q:$Q,$A16,WP!$N:$N,G$2)</f>
        <v>8</v>
      </c>
      <c r="H16">
        <f>COUNTIFS(WP!$Q:$Q,$A16,WP!$N:$N,H$2)</f>
        <v>6</v>
      </c>
      <c r="I16" s="45">
        <f>COUNTIFS(WP!$Q:$Q,$A16,WP!$N:$N,I$2)</f>
        <v>2</v>
      </c>
      <c r="J16" t="s">
        <v>13993</v>
      </c>
      <c r="K16" s="121">
        <v>1</v>
      </c>
      <c r="L16" s="122"/>
      <c r="M16" s="123"/>
      <c r="N16" s="121">
        <v>1</v>
      </c>
      <c r="O16" s="122"/>
      <c r="P16" s="123"/>
    </row>
    <row r="17" spans="1:16" x14ac:dyDescent="0.2">
      <c r="A17" s="44" t="s">
        <v>13877</v>
      </c>
      <c r="B17" s="44">
        <f>COUNTIF(WP!H:H,A17)</f>
        <v>4</v>
      </c>
      <c r="C17" s="44">
        <f>COUNTIFS(WP!$H:$H,$A17,WP!$E:$E,C$2)</f>
        <v>1</v>
      </c>
      <c r="D17">
        <f>COUNTIFS(WP!$H:$H,$A17,WP!$E:$E,D$2)</f>
        <v>2</v>
      </c>
      <c r="E17" s="45">
        <f>COUNTIFS(WP!$H:$H,$A17,WP!$E:$E,E$2)</f>
        <v>1</v>
      </c>
      <c r="F17">
        <f>COUNTIF(WP!Q:Q,A17)</f>
        <v>16</v>
      </c>
      <c r="G17" s="44">
        <f>COUNTIFS(WP!$Q:$Q,$A17,WP!$N:$N,G$2)</f>
        <v>8</v>
      </c>
      <c r="H17">
        <f>COUNTIFS(WP!$Q:$Q,$A17,WP!$N:$N,H$2)</f>
        <v>6</v>
      </c>
      <c r="I17" s="45">
        <f>COUNTIFS(WP!$Q:$Q,$A17,WP!$N:$N,I$2)</f>
        <v>2</v>
      </c>
      <c r="J17" t="s">
        <v>14239</v>
      </c>
      <c r="K17" s="121">
        <v>1</v>
      </c>
      <c r="L17" s="122"/>
      <c r="M17" s="123"/>
      <c r="N17" s="121">
        <v>1</v>
      </c>
      <c r="O17" s="122"/>
      <c r="P17" s="123"/>
    </row>
    <row r="18" spans="1:16" x14ac:dyDescent="0.2">
      <c r="A18" s="44" t="s">
        <v>13906</v>
      </c>
      <c r="B18" s="44">
        <f>COUNTIF(WP!H:H,A18)</f>
        <v>5</v>
      </c>
      <c r="C18" s="44">
        <f>COUNTIFS(WP!$H:$H,$A18,WP!$E:$E,C$2)</f>
        <v>3</v>
      </c>
      <c r="D18">
        <f>COUNTIFS(WP!$H:$H,$A18,WP!$E:$E,D$2)</f>
        <v>0</v>
      </c>
      <c r="E18" s="45">
        <f>COUNTIFS(WP!$H:$H,$A18,WP!$E:$E,E$2)</f>
        <v>1</v>
      </c>
      <c r="F18">
        <f>COUNTIF(WP!Q:Q,A18)</f>
        <v>16</v>
      </c>
      <c r="G18" s="44">
        <f>COUNTIFS(WP!$Q:$Q,$A18,WP!$N:$N,G$2)</f>
        <v>8</v>
      </c>
      <c r="H18">
        <f>COUNTIFS(WP!$Q:$Q,$A18,WP!$N:$N,H$2)</f>
        <v>6</v>
      </c>
      <c r="I18" s="45">
        <f>COUNTIFS(WP!$Q:$Q,$A18,WP!$N:$N,I$2)</f>
        <v>2</v>
      </c>
      <c r="J18" t="s">
        <v>14433</v>
      </c>
      <c r="K18" s="121">
        <v>1</v>
      </c>
      <c r="L18" s="122"/>
      <c r="M18" s="123"/>
      <c r="N18" s="121">
        <v>1</v>
      </c>
      <c r="O18" s="122"/>
      <c r="P18" s="123"/>
    </row>
    <row r="19" spans="1:16" x14ac:dyDescent="0.2">
      <c r="A19" s="119" t="s">
        <v>10772</v>
      </c>
      <c r="B19" s="119">
        <f>COUNTIF(WP!H3:H352,"")</f>
        <v>173</v>
      </c>
      <c r="C19" s="119">
        <f>COUNTIFS(WP!$H:$H,"",WP!$E:$E,C$2)</f>
        <v>52</v>
      </c>
      <c r="D19" s="2">
        <f>COUNTIFS(WP!$H:$H,"",WP!$E:$E,D$2)</f>
        <v>89</v>
      </c>
      <c r="E19" s="120">
        <f>COUNTIFS(WP!$H:$H,"",WP!$E:$E,E$2)</f>
        <v>0</v>
      </c>
      <c r="F19" s="2">
        <f>COUNTIF(WP!Q:Q,A19)</f>
        <v>0</v>
      </c>
      <c r="G19" s="119">
        <f>COUNTIFS(WP!$Q:$Q,$A19,WP!$N:$N,G$2)</f>
        <v>0</v>
      </c>
      <c r="H19" s="2">
        <f>COUNTIFS(WP!$Q:$Q,$A19,WP!$N:$N,H$2)</f>
        <v>0</v>
      </c>
      <c r="I19" s="120">
        <f>COUNTIFS(WP!$Q:$Q,$A19,WP!$N:$N,I$2)</f>
        <v>0</v>
      </c>
      <c r="J19" s="47" t="s">
        <v>10772</v>
      </c>
      <c r="K19" s="124" t="s">
        <v>137</v>
      </c>
      <c r="L19" s="125"/>
      <c r="M19" s="126"/>
      <c r="N19" s="124" t="s">
        <v>137</v>
      </c>
      <c r="O19" s="125"/>
      <c r="P19" s="126"/>
    </row>
    <row r="21" spans="1:16" x14ac:dyDescent="0.2">
      <c r="A21" s="95" t="s">
        <v>63</v>
      </c>
      <c r="B21" s="67">
        <f t="shared" ref="B21:I21" si="0">SUM(B3:B20)</f>
        <v>350</v>
      </c>
      <c r="C21" s="67">
        <f t="shared" si="0"/>
        <v>106</v>
      </c>
      <c r="D21" s="67">
        <f t="shared" si="0"/>
        <v>156</v>
      </c>
      <c r="E21" s="97">
        <f t="shared" si="0"/>
        <v>30</v>
      </c>
      <c r="F21" s="67">
        <f t="shared" si="0"/>
        <v>350</v>
      </c>
      <c r="G21" s="67">
        <f t="shared" si="0"/>
        <v>149</v>
      </c>
      <c r="H21" s="67">
        <f t="shared" si="0"/>
        <v>161</v>
      </c>
      <c r="I21" s="97">
        <f t="shared" si="0"/>
        <v>40</v>
      </c>
    </row>
  </sheetData>
  <mergeCells count="4">
    <mergeCell ref="C1:E1"/>
    <mergeCell ref="G1:I1"/>
    <mergeCell ref="K1:M1"/>
    <mergeCell ref="N1:P1"/>
  </mergeCells>
  <pageMargins left="0.7" right="0.7" top="0.59375" bottom="0.75" header="0.3" footer="0.3"/>
  <pageSetup orientation="landscape" r:id="rId1"/>
  <headerFooter>
    <oddHeader>&amp;L&amp;"-,Bold"&amp;14Dragalia Lost V3 Re;Works Affinity Count</oddHeader>
  </headerFooter>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FECED4-9EFD-4A31-9EDF-8AB60FE25A8A}">
  <dimension ref="A1:U106"/>
  <sheetViews>
    <sheetView view="pageLayout" zoomScaleNormal="100" workbookViewId="0">
      <selection activeCell="E1" sqref="E1"/>
    </sheetView>
  </sheetViews>
  <sheetFormatPr defaultRowHeight="14.25" outlineLevelCol="1" x14ac:dyDescent="0.2"/>
  <cols>
    <col min="1" max="1" width="2" customWidth="1"/>
    <col min="2" max="2" width="3" customWidth="1"/>
    <col min="3" max="3" width="11.25" customWidth="1"/>
    <col min="4" max="4" width="1.25" customWidth="1"/>
    <col min="5" max="5" width="12.5" customWidth="1"/>
    <col min="6" max="6" width="1.25" customWidth="1"/>
    <col min="7" max="7" width="35" customWidth="1"/>
    <col min="8" max="8" width="1.25" customWidth="1"/>
    <col min="9" max="9" width="3.75" customWidth="1"/>
    <col min="10" max="10" width="3.75" hidden="1" customWidth="1" outlineLevel="1"/>
    <col min="11" max="11" width="40" customWidth="1" collapsed="1"/>
    <col min="12" max="12" width="2.5" customWidth="1"/>
    <col min="13" max="13" width="11.25" customWidth="1"/>
    <col min="14" max="14" width="1.25" customWidth="1"/>
    <col min="15" max="15" width="12.5" customWidth="1"/>
    <col min="16" max="16" width="1.25" customWidth="1"/>
    <col min="17" max="17" width="35" customWidth="1"/>
    <col min="18" max="18" width="1.25" customWidth="1"/>
    <col min="19" max="19" width="3.75" customWidth="1"/>
    <col min="20" max="20" width="3.75" hidden="1" customWidth="1" outlineLevel="1"/>
    <col min="21" max="21" width="40" customWidth="1" collapsed="1"/>
  </cols>
  <sheetData>
    <row r="1" spans="1:21" ht="30" customHeight="1" x14ac:dyDescent="0.2"/>
    <row r="2" spans="1:21" ht="20.25" x14ac:dyDescent="0.2">
      <c r="E2" s="751" t="s">
        <v>14981</v>
      </c>
      <c r="F2" s="752"/>
      <c r="G2" s="752"/>
      <c r="I2" s="752" t="s">
        <v>14982</v>
      </c>
      <c r="J2" s="752"/>
      <c r="K2" s="752"/>
      <c r="O2" s="180" t="s">
        <v>14983</v>
      </c>
      <c r="Q2" s="180" t="s">
        <v>14984</v>
      </c>
      <c r="S2" s="752" t="s">
        <v>14982</v>
      </c>
      <c r="T2" s="752"/>
      <c r="U2" s="752"/>
    </row>
    <row r="3" spans="1:21" ht="7.5" customHeight="1" x14ac:dyDescent="0.2"/>
    <row r="4" spans="1:21" ht="22.5" customHeight="1" x14ac:dyDescent="0.3">
      <c r="C4" s="729" t="e" vm="1032">
        <f>_xlfn.IMAGE("https://natalie.tf/wp-content/uploads/2023/10/DLV3_Icon_ADV_"&amp;E5&amp;"_r05.png")</f>
        <v>#VALUE!</v>
      </c>
      <c r="E4" s="249" t="str">
        <f>"PWP-"&amp;A6</f>
        <v>PWP-026</v>
      </c>
      <c r="G4" s="249" t="str">
        <f>+INDEX(PWP!$A:$Z,MATCH('PWP-Print BACKUP'!E4,PWP!$B:$B,0),MATCH("Title",PWP!$A$1:$Z$1,0))</f>
        <v>Childlike Mercenary</v>
      </c>
      <c r="I4" t="e" vm="14">
        <f>_xlfn.IMAGE("https://natalie.tf/wp-content/uploads/2023/10/DLV3_Icon_Ability_"&amp;INDEX('PWP-A'!$A$2:$C$31,MATCH('PWP-Print BACKUP'!J4,'PWP-A'!$B$2:$B$31,0),1)&amp;".png")</f>
        <v>#VALUE!</v>
      </c>
      <c r="J4" s="229" t="str">
        <f>+INDEX(PWP!$A:$Z,MATCH('PWP-Print BACKUP'!E4,PWP!$B:$B,0),MATCH("PWP Ability 1",PWP!$A$1:$Z$1,0))</f>
        <v>Strength +20%</v>
      </c>
      <c r="K4" s="249" t="str">
        <f>+INDEX(PWP!$A:$Z,MATCH('PWP-Print BACKUP'!E4,PWP!$B:$B,0),MATCH("Locked PWP Ability 1",PWP!$A$1:$Z$1,0))</f>
        <v>(Flame) Strength +20%</v>
      </c>
      <c r="M4" s="729" t="e" vm="1033">
        <f>_xlfn.IMAGE("https://natalie.tf/wp-content/uploads/2023/10/DLV3_Icon_ADV_"&amp;O5&amp;"_r05.png")</f>
        <v>#VALUE!</v>
      </c>
      <c r="O4" s="249" t="str">
        <f>"PWP-"&amp;B6</f>
        <v>PWP-039</v>
      </c>
      <c r="Q4" s="249" t="str">
        <f>+INDEX(PWP!$A:$Z,MATCH('PWP-Print BACKUP'!O4,PWP!$B:$B,0),MATCH("Title",PWP!$A$1:$Z$1,0))</f>
        <v>Obvious Admirer</v>
      </c>
      <c r="S4" t="e" vm="326">
        <f>_xlfn.IMAGE("https://natalie.tf/wp-content/uploads/2023/10/DLV3_Icon_Ability_"&amp;INDEX('PWP-A'!$A$2:$C$31,MATCH('PWP-Print BACKUP'!T4,'PWP-A'!$B$2:$B$31,0),1)&amp;".png")</f>
        <v>#VALUE!</v>
      </c>
      <c r="T4" s="229" t="str">
        <f>+INDEX(PWP!$A:$Z,MATCH('PWP-Print BACKUP'!O4,PWP!$B:$B,0),MATCH("PWP Ability 1",PWP!$A$1:$Z$1,0))</f>
        <v>Critical Rate +15%</v>
      </c>
      <c r="U4" s="249" t="str">
        <f>+INDEX(PWP!$A:$Z,MATCH('PWP-Print BACKUP'!O4,PWP!$B:$B,0),MATCH("Locked PWP Ability 1",PWP!$A$1:$Z$1,0))</f>
        <v>(Flame) Critical Rate +15%</v>
      </c>
    </row>
    <row r="5" spans="1:21" ht="22.5" customHeight="1" x14ac:dyDescent="0.3">
      <c r="C5" s="729"/>
      <c r="D5" s="8"/>
      <c r="E5" s="200" t="str">
        <f>+INDEX(PWP!$A:$Z,MATCH('PWP-Print BACKUP'!E4,PWP!$B:$B,0),MATCH("ID",PWP!$A$1:$Z$1,0))</f>
        <v>100003_10</v>
      </c>
      <c r="F5" s="8"/>
      <c r="G5" s="249" t="str">
        <f>+INDEX(PWP!$A:$Z,MATCH('PWP-Print BACKUP'!E4,PWP!$B:$B,0),MATCH("Name",PWP!$A$1:$Z$1,0))</f>
        <v>Child Ranzal</v>
      </c>
      <c r="H5" s="8"/>
      <c r="I5" t="e" vm="496">
        <f>_xlfn.IMAGE("https://natalie.tf/wp-content/uploads/2023/10/DLV3_Icon_Ability_"&amp;INDEX('PWP-A'!$A$2:$C$31,MATCH('PWP-Print BACKUP'!J5,'PWP-A'!$B$2:$B$31,0),1)&amp;".png")</f>
        <v>#VALUE!</v>
      </c>
      <c r="J5" s="229" t="str">
        <f>+INDEX(PWP!$A:$Z,MATCH('PWP-Print BACKUP'!E4,PWP!$B:$B,0),MATCH("PWP Ability 2",PWP!$A$1:$Z$1,0))</f>
        <v>HP +15%</v>
      </c>
      <c r="K5" s="249" t="str">
        <f>+INDEX(PWP!$A:$Z,MATCH('PWP-Print BACKUP'!E4,PWP!$B:$B,0),MATCH("Locked PWP Ability 2",PWP!$A$1:$Z$1,0))</f>
        <v>(Flame) HP +15%</v>
      </c>
      <c r="M5" s="729"/>
      <c r="N5" s="8"/>
      <c r="O5" s="200" t="str">
        <f>+INDEX(PWP!$A:$Z,MATCH('PWP-Print BACKUP'!O4,PWP!$B:$B,0),MATCH("ID",PWP!$A$1:$Z$1,0))</f>
        <v>110342_01</v>
      </c>
      <c r="P5" s="8"/>
      <c r="Q5" s="249" t="str">
        <f>+INDEX(PWP!$A:$Z,MATCH('PWP-Print BACKUP'!O4,PWP!$B:$B,0),MATCH("Name",PWP!$A$1:$Z$1,0))</f>
        <v>Chelsea</v>
      </c>
      <c r="R5" s="8"/>
      <c r="S5" t="e" vm="496">
        <f>_xlfn.IMAGE("https://natalie.tf/wp-content/uploads/2023/10/DLV3_Icon_Ability_"&amp;INDEX('PWP-A'!$A$2:$C$31,MATCH('PWP-Print BACKUP'!T5,'PWP-A'!$B$2:$B$31,0),1)&amp;".png")</f>
        <v>#VALUE!</v>
      </c>
      <c r="T5" s="229" t="str">
        <f>+INDEX(PWP!$A:$Z,MATCH('PWP-Print BACKUP'!O4,PWP!$B:$B,0),MATCH("PWP Ability 2",PWP!$A$1:$Z$1,0))</f>
        <v>HP +15%</v>
      </c>
      <c r="U5" s="249" t="str">
        <f>+INDEX(PWP!$A:$Z,MATCH('PWP-Print BACKUP'!O4,PWP!$B:$B,0),MATCH("Locked PWP Ability 2",PWP!$A$1:$Z$1,0))</f>
        <v>(Flame) HP +15%</v>
      </c>
    </row>
    <row r="6" spans="1:21" ht="22.5" customHeight="1" x14ac:dyDescent="0.3">
      <c r="A6" s="204" t="s">
        <v>10318</v>
      </c>
      <c r="B6" s="222" t="str">
        <f>TEXT(A54+1,"000")</f>
        <v>039</v>
      </c>
      <c r="C6" s="729"/>
      <c r="E6" s="251" t="str">
        <f>+INDEX(PWP!$A:$Z,MATCH('PWP-Print BACKUP'!E4,PWP!$B:$B,0),MATCH("Num",PWP!$A$1:$Z$1,0))</f>
        <v>A-026</v>
      </c>
      <c r="G6" s="249" t="str">
        <f>+INDEX(PWP!$A:$Z,MATCH('PWP-Print BACKUP'!E4,PWP!$B:$B,0),MATCH("Element",PWP!$A$1:$Z$1,0))&amp;" "&amp;INDEX(PWP!$A:$Z,MATCH('PWP-Print BACKUP'!E4,PWP!$B:$B,0),MATCH("Type",PWP!$A$1:$Z$1,0))&amp;" Adventurer"</f>
        <v>Flame Axe Adventurer</v>
      </c>
      <c r="K6" s="250"/>
      <c r="M6" s="729"/>
      <c r="O6" s="251" t="str">
        <f>+INDEX(PWP!$A:$Z,MATCH('PWP-Print BACKUP'!O4,PWP!$B:$B,0),MATCH("Num",PWP!$A$1:$Z$1,0))</f>
        <v>A-039</v>
      </c>
      <c r="Q6" s="249" t="str">
        <f>+INDEX(PWP!$A:$Z,MATCH('PWP-Print BACKUP'!O4,PWP!$B:$B,0),MATCH("Element",PWP!$A$1:$Z$1,0))&amp;" "&amp;INDEX(PWP!$A:$Z,MATCH('PWP-Print BACKUP'!O4,PWP!$B:$B,0),MATCH("Type",PWP!$A$1:$Z$1,0))&amp;" Adventurer"</f>
        <v>Flame Bow Adventurer</v>
      </c>
      <c r="U6" s="250"/>
    </row>
    <row r="7" spans="1:21" ht="7.5" customHeight="1" x14ac:dyDescent="0.3">
      <c r="A7" t="s">
        <v>10763</v>
      </c>
      <c r="E7" s="250"/>
      <c r="G7" s="250"/>
      <c r="K7" s="250"/>
      <c r="O7" s="250"/>
      <c r="Q7" s="250"/>
      <c r="U7" s="250"/>
    </row>
    <row r="8" spans="1:21" ht="22.5" customHeight="1" x14ac:dyDescent="0.3">
      <c r="C8" s="729" t="e" vm="1034">
        <f>_xlfn.IMAGE("https://natalie.tf/wp-content/uploads/2023/10/DLV3_Icon_ADV_"&amp;E9&amp;"_r05.png")</f>
        <v>#VALUE!</v>
      </c>
      <c r="E8" s="249" t="str">
        <f>"PWP-"&amp;A10</f>
        <v>PWP-027</v>
      </c>
      <c r="G8" s="249" t="str">
        <f>+INDEX(PWP!$A:$Z,MATCH('PWP-Print BACKUP'!E8,PWP!$B:$B,0),MATCH("Title",PWP!$A$1:$Z$1,0))</f>
        <v>Dragon Temptress</v>
      </c>
      <c r="I8" t="e" vm="326">
        <f>_xlfn.IMAGE("https://natalie.tf/wp-content/uploads/2023/10/DLV3_Icon_Ability_"&amp;INDEX('PWP-A'!$A$2:$C$31,MATCH('PWP-Print BACKUP'!J8,'PWP-A'!$B$2:$B$31,0),1)&amp;".png")</f>
        <v>#VALUE!</v>
      </c>
      <c r="J8" s="229" t="str">
        <f>+INDEX(PWP!$A:$Z,MATCH('PWP-Print BACKUP'!E8,PWP!$B:$B,0),MATCH("PWP Ability 1",PWP!$A$1:$Z$1,0))</f>
        <v>Critical Rate +15%</v>
      </c>
      <c r="K8" s="249" t="str">
        <f>+INDEX(PWP!$A:$Z,MATCH('PWP-Print BACKUP'!E8,PWP!$B:$B,0),MATCH("Locked PWP Ability 1",PWP!$A$1:$Z$1,0))</f>
        <v>(Flame) Critical Rate +15%</v>
      </c>
      <c r="M8" s="729" t="e" vm="1035">
        <f>_xlfn.IMAGE("https://natalie.tf/wp-content/uploads/2023/10/DLV3_Icon_ADV_"&amp;O9&amp;"_r05.png")</f>
        <v>#VALUE!</v>
      </c>
      <c r="O8" s="249" t="str">
        <f>"PWP-"&amp;B10</f>
        <v>PWP-040</v>
      </c>
      <c r="Q8" s="249" t="str">
        <f>+INDEX(PWP!$A:$Z,MATCH('PWP-Print BACKUP'!O8,PWP!$B:$B,0),MATCH("Title",PWP!$A$1:$Z$1,0))</f>
        <v>The Crimson Star</v>
      </c>
      <c r="S8" t="e" vm="1036">
        <f>_xlfn.IMAGE("https://natalie.tf/wp-content/uploads/2023/10/DLV3_Icon_Ability_"&amp;INDEX('PWP-A'!$A$2:$C$31,MATCH('PWP-Print BACKUP'!T8,'PWP-A'!$B$2:$B$31,0),1)&amp;".png")</f>
        <v>#VALUE!</v>
      </c>
      <c r="T8" s="229" t="str">
        <f>+INDEX(PWP!$A:$Z,MATCH('PWP-Print BACKUP'!O8,PWP!$B:$B,0),MATCH("PWP Ability 1",PWP!$A$1:$Z$1,0))</f>
        <v>15 Hits = Overdamage</v>
      </c>
      <c r="U8" s="249" t="str">
        <f>+INDEX(PWP!$A:$Z,MATCH('PWP-Print BACKUP'!O8,PWP!$B:$B,0),MATCH("Locked PWP Ability 1",PWP!$A$1:$Z$1,0))</f>
        <v>(Flame) 15 Hits = Overdamage</v>
      </c>
    </row>
    <row r="9" spans="1:21" ht="22.5" customHeight="1" x14ac:dyDescent="0.3">
      <c r="C9" s="729"/>
      <c r="D9" s="8"/>
      <c r="E9" s="200" t="str">
        <f>+INDEX(PWP!$A:$Z,MATCH('PWP-Print BACKUP'!E8,PWP!$B:$B,0),MATCH("ID",PWP!$A$1:$Z$1,0))</f>
        <v>100010_07</v>
      </c>
      <c r="F9" s="8"/>
      <c r="G9" s="249" t="str">
        <f>+INDEX(PWP!$A:$Z,MATCH('PWP-Print BACKUP'!E8,PWP!$B:$B,0),MATCH("Name",PWP!$A$1:$Z$1,0))</f>
        <v>Halloween Mym</v>
      </c>
      <c r="H9" s="8"/>
      <c r="I9" t="e" vm="414">
        <f>_xlfn.IMAGE("https://natalie.tf/wp-content/uploads/2023/10/DLV3_Icon_Ability_"&amp;INDEX('PWP-A'!$A$2:$C$31,MATCH('PWP-Print BACKUP'!J9,'PWP-A'!$B$2:$B$31,0),1)&amp;".png")</f>
        <v>#VALUE!</v>
      </c>
      <c r="J9" s="229" t="str">
        <f>+INDEX(PWP!$A:$Z,MATCH('PWP-Print BACKUP'!E8,PWP!$B:$B,0),MATCH("PWP Ability 2",PWP!$A$1:$Z$1,0))</f>
        <v>Critical Damage +25%</v>
      </c>
      <c r="K9" s="249" t="str">
        <f>+INDEX(PWP!$A:$Z,MATCH('PWP-Print BACKUP'!E8,PWP!$B:$B,0),MATCH("Locked PWP Ability 2",PWP!$A$1:$Z$1,0))</f>
        <v>(Flame) Critical Damage +25%</v>
      </c>
      <c r="M9" s="729"/>
      <c r="N9" s="8"/>
      <c r="O9" s="200" t="str">
        <f>+INDEX(PWP!$A:$Z,MATCH('PWP-Print BACKUP'!O8,PWP!$B:$B,0),MATCH("ID",PWP!$A$1:$Z$1,0))</f>
        <v>100029_02</v>
      </c>
      <c r="P9" s="8"/>
      <c r="Q9" s="249" t="str">
        <f>+INDEX(PWP!$A:$Z,MATCH('PWP-Print BACKUP'!O8,PWP!$B:$B,0),MATCH("Name",PWP!$A$1:$Z$1,0))</f>
        <v>Gala Sarisse</v>
      </c>
      <c r="R9" s="8"/>
      <c r="S9" t="e" vm="326">
        <f>_xlfn.IMAGE("https://natalie.tf/wp-content/uploads/2023/10/DLV3_Icon_Ability_"&amp;INDEX('PWP-A'!$A$2:$C$31,MATCH('PWP-Print BACKUP'!T9,'PWP-A'!$B$2:$B$31,0),1)&amp;".png")</f>
        <v>#VALUE!</v>
      </c>
      <c r="T9" s="229" t="str">
        <f>+INDEX(PWP!$A:$Z,MATCH('PWP-Print BACKUP'!O8,PWP!$B:$B,0),MATCH("PWP Ability 2",PWP!$A$1:$Z$1,0))</f>
        <v>Critical Rate +15%</v>
      </c>
      <c r="U9" s="249" t="str">
        <f>+INDEX(PWP!$A:$Z,MATCH('PWP-Print BACKUP'!O8,PWP!$B:$B,0),MATCH("Locked PWP Ability 2",PWP!$A$1:$Z$1,0))</f>
        <v>(Flame) Critical Rate +15%</v>
      </c>
    </row>
    <row r="10" spans="1:21" ht="22.5" customHeight="1" x14ac:dyDescent="0.3">
      <c r="A10" s="222" t="str">
        <f>TEXT(A6+1,"000")</f>
        <v>027</v>
      </c>
      <c r="B10" s="222" t="str">
        <f>TEXT(B6+1,"000")</f>
        <v>040</v>
      </c>
      <c r="C10" s="729"/>
      <c r="E10" s="251" t="str">
        <f>+INDEX(PWP!$A:$Z,MATCH('PWP-Print BACKUP'!E8,PWP!$B:$B,0),MATCH("Num",PWP!$A$1:$Z$1,0))</f>
        <v>A-027</v>
      </c>
      <c r="G10" s="249" t="str">
        <f>+INDEX(PWP!$A:$Z,MATCH('PWP-Print BACKUP'!E8,PWP!$B:$B,0),MATCH("Element",PWP!$A$1:$Z$1,0))&amp;" "&amp;INDEX(PWP!$A:$Z,MATCH('PWP-Print BACKUP'!E8,PWP!$B:$B,0),MATCH("Type",PWP!$A$1:$Z$1,0))&amp;" Adventurer"</f>
        <v>Flame Axe Adventurer</v>
      </c>
      <c r="K10" s="250"/>
      <c r="M10" s="729"/>
      <c r="O10" s="251" t="str">
        <f>+INDEX(PWP!$A:$Z,MATCH('PWP-Print BACKUP'!O8,PWP!$B:$B,0),MATCH("Num",PWP!$A$1:$Z$1,0))</f>
        <v>A-040</v>
      </c>
      <c r="Q10" s="249" t="str">
        <f>+INDEX(PWP!$A:$Z,MATCH('PWP-Print BACKUP'!O8,PWP!$B:$B,0),MATCH("Element",PWP!$A$1:$Z$1,0))&amp;" "&amp;INDEX(PWP!$A:$Z,MATCH('PWP-Print BACKUP'!O8,PWP!$B:$B,0),MATCH("Type",PWP!$A$1:$Z$1,0))&amp;" Adventurer"</f>
        <v>Flame Bow Adventurer</v>
      </c>
      <c r="U10" s="250"/>
    </row>
    <row r="11" spans="1:21" ht="7.5" customHeight="1" x14ac:dyDescent="0.3">
      <c r="A11" t="s">
        <v>10763</v>
      </c>
      <c r="E11" s="250"/>
      <c r="G11" s="250"/>
      <c r="K11" s="250"/>
      <c r="O11" s="250"/>
      <c r="Q11" s="250"/>
      <c r="U11" s="250"/>
    </row>
    <row r="12" spans="1:21" ht="22.5" customHeight="1" x14ac:dyDescent="0.3">
      <c r="C12" s="729" t="e" vm="1037">
        <f>_xlfn.IMAGE("https://natalie.tf/wp-content/uploads/2023/10/DLV3_Icon_ADV_"&amp;E13&amp;"_r05.png")</f>
        <v>#VALUE!</v>
      </c>
      <c r="E12" s="249" t="str">
        <f>"PWP-"&amp;A14</f>
        <v>PWP-028</v>
      </c>
      <c r="G12" s="249" t="str">
        <f>+INDEX(PWP!$A:$Z,MATCH('PWP-Print BACKUP'!E12,PWP!$B:$B,0),MATCH("Title",PWP!$A$1:$Z$1,0))</f>
        <v>Impassioned Blacksmith</v>
      </c>
      <c r="I12" t="e" vm="326">
        <f>_xlfn.IMAGE("https://natalie.tf/wp-content/uploads/2023/10/DLV3_Icon_Ability_"&amp;INDEX('PWP-A'!$A$2:$C$31,MATCH('PWP-Print BACKUP'!J12,'PWP-A'!$B$2:$B$31,0),1)&amp;".png")</f>
        <v>#VALUE!</v>
      </c>
      <c r="J12" s="229" t="str">
        <f>+INDEX(PWP!$A:$Z,MATCH('PWP-Print BACKUP'!E12,PWP!$B:$B,0),MATCH("PWP Ability 1",PWP!$A$1:$Z$1,0))</f>
        <v>Critical Rate +15%</v>
      </c>
      <c r="K12" s="249" t="str">
        <f>+INDEX(PWP!$A:$Z,MATCH('PWP-Print BACKUP'!E12,PWP!$B:$B,0),MATCH("Locked PWP Ability 1",PWP!$A$1:$Z$1,0))</f>
        <v>(Flame) Critical Rate +15%</v>
      </c>
      <c r="M12" s="729" t="e" vm="1038">
        <f>_xlfn.IMAGE("https://natalie.tf/wp-content/uploads/2023/10/DLV3_Icon_ADV_"&amp;O13&amp;"_r05.png")</f>
        <v>#VALUE!</v>
      </c>
      <c r="O12" s="249" t="str">
        <f>"PWP-"&amp;B14</f>
        <v>PWP-041</v>
      </c>
      <c r="Q12" s="249" t="str">
        <f>+INDEX(PWP!$A:$Z,MATCH('PWP-Print BACKUP'!O12,PWP!$B:$B,0),MATCH("Title",PWP!$A$1:$Z$1,0))</f>
        <v>Stunning Sweetheart</v>
      </c>
      <c r="S12" t="e" vm="688">
        <f>_xlfn.IMAGE("https://natalie.tf/wp-content/uploads/2023/10/DLV3_Icon_Ability_"&amp;INDEX('PWP-A'!$A$2:$C$31,MATCH('PWP-Print BACKUP'!T12,'PWP-A'!$B$2:$B$31,0),1)&amp;".png")</f>
        <v>#VALUE!</v>
      </c>
      <c r="T12" s="229" t="str">
        <f>+INDEX(PWP!$A:$Z,MATCH('PWP-Print BACKUP'!O12,PWP!$B:$B,0),MATCH("PWP Ability 1",PWP!$A$1:$Z$1,0))</f>
        <v>Overdrive Punisher +15%</v>
      </c>
      <c r="U12" s="249" t="str">
        <f>+INDEX(PWP!$A:$Z,MATCH('PWP-Print BACKUP'!O12,PWP!$B:$B,0),MATCH("Locked PWP Ability 1",PWP!$A$1:$Z$1,0))</f>
        <v>(Flame) Overdrive Punisher +15%</v>
      </c>
    </row>
    <row r="13" spans="1:21" ht="22.5" customHeight="1" x14ac:dyDescent="0.3">
      <c r="C13" s="729"/>
      <c r="D13" s="8"/>
      <c r="E13" s="200" t="str">
        <f>+INDEX(PWP!$A:$Z,MATCH('PWP-Print BACKUP'!E12,PWP!$B:$B,0),MATCH("ID",PWP!$A$1:$Z$1,0))</f>
        <v>110263_01</v>
      </c>
      <c r="F13" s="8"/>
      <c r="G13" s="249" t="str">
        <f>+INDEX(PWP!$A:$Z,MATCH('PWP-Print BACKUP'!E12,PWP!$B:$B,0),MATCH("Name",PWP!$A$1:$Z$1,0))</f>
        <v>Ramona</v>
      </c>
      <c r="H13" s="8"/>
      <c r="I13" t="e" vm="688">
        <f>_xlfn.IMAGE("https://natalie.tf/wp-content/uploads/2023/10/DLV3_Icon_Ability_"&amp;INDEX('PWP-A'!$A$2:$C$31,MATCH('PWP-Print BACKUP'!J13,'PWP-A'!$B$2:$B$31,0),1)&amp;".png")</f>
        <v>#VALUE!</v>
      </c>
      <c r="J13" s="229" t="str">
        <f>+INDEX(PWP!$A:$Z,MATCH('PWP-Print BACKUP'!E12,PWP!$B:$B,0),MATCH("PWP Ability 2",PWP!$A$1:$Z$1,0))</f>
        <v>Overdrive Punisher +15%</v>
      </c>
      <c r="K13" s="249" t="str">
        <f>+INDEX(PWP!$A:$Z,MATCH('PWP-Print BACKUP'!E12,PWP!$B:$B,0),MATCH("Locked PWP Ability 2",PWP!$A$1:$Z$1,0))</f>
        <v>(Flame) Overdrive Punisher +15%</v>
      </c>
      <c r="M13" s="729"/>
      <c r="N13" s="8"/>
      <c r="O13" s="200" t="str">
        <f>+INDEX(PWP!$A:$Z,MATCH('PWP-Print BACKUP'!O12,PWP!$B:$B,0),MATCH("ID",PWP!$A$1:$Z$1,0))</f>
        <v>110011_02</v>
      </c>
      <c r="P13" s="8"/>
      <c r="Q13" s="249" t="str">
        <f>+INDEX(PWP!$A:$Z,MATCH('PWP-Print BACKUP'!O12,PWP!$B:$B,0),MATCH("Name",PWP!$A$1:$Z$1,0))</f>
        <v>Valentine's Ezelith</v>
      </c>
      <c r="R13" s="8"/>
      <c r="S13" t="e" vm="376">
        <f>_xlfn.IMAGE("https://natalie.tf/wp-content/uploads/2023/10/DLV3_Icon_Ability_"&amp;INDEX('PWP-A'!$A$2:$C$31,MATCH('PWP-Print BACKUP'!T13,'PWP-A'!$B$2:$B$31,0),1)&amp;".png")</f>
        <v>#VALUE!</v>
      </c>
      <c r="T13" s="229" t="str">
        <f>+INDEX(PWP!$A:$Z,MATCH('PWP-Print BACKUP'!O12,PWP!$B:$B,0),MATCH("PWP Ability 2",PWP!$A$1:$Z$1,0))</f>
        <v>Broken Punisher +30%</v>
      </c>
      <c r="U13" s="249" t="str">
        <f>+INDEX(PWP!$A:$Z,MATCH('PWP-Print BACKUP'!O12,PWP!$B:$B,0),MATCH("Locked PWP Ability 2",PWP!$A$1:$Z$1,0))</f>
        <v>(Flame) Broken Punisher +30%</v>
      </c>
    </row>
    <row r="14" spans="1:21" ht="22.5" customHeight="1" x14ac:dyDescent="0.3">
      <c r="A14" s="222" t="str">
        <f>TEXT(A10+1,"000")</f>
        <v>028</v>
      </c>
      <c r="B14" s="222" t="str">
        <f>TEXT(B10+1,"000")</f>
        <v>041</v>
      </c>
      <c r="C14" s="729"/>
      <c r="E14" s="251" t="str">
        <f>+INDEX(PWP!$A:$Z,MATCH('PWP-Print BACKUP'!E12,PWP!$B:$B,0),MATCH("Num",PWP!$A$1:$Z$1,0))</f>
        <v>A-028</v>
      </c>
      <c r="G14" s="249" t="str">
        <f>+INDEX(PWP!$A:$Z,MATCH('PWP-Print BACKUP'!E12,PWP!$B:$B,0),MATCH("Element",PWP!$A$1:$Z$1,0))&amp;" "&amp;INDEX(PWP!$A:$Z,MATCH('PWP-Print BACKUP'!E12,PWP!$B:$B,0),MATCH("Type",PWP!$A$1:$Z$1,0))&amp;" Adventurer"</f>
        <v>Flame Axe Adventurer</v>
      </c>
      <c r="K14" s="250"/>
      <c r="M14" s="729"/>
      <c r="O14" s="251" t="str">
        <f>+INDEX(PWP!$A:$Z,MATCH('PWP-Print BACKUP'!O12,PWP!$B:$B,0),MATCH("Num",PWP!$A$1:$Z$1,0))</f>
        <v>A-041</v>
      </c>
      <c r="Q14" s="249" t="str">
        <f>+INDEX(PWP!$A:$Z,MATCH('PWP-Print BACKUP'!O12,PWP!$B:$B,0),MATCH("Element",PWP!$A$1:$Z$1,0))&amp;" "&amp;INDEX(PWP!$A:$Z,MATCH('PWP-Print BACKUP'!O12,PWP!$B:$B,0),MATCH("Type",PWP!$A$1:$Z$1,0))&amp;" Adventurer"</f>
        <v>Flame Bow Adventurer</v>
      </c>
      <c r="U14" s="250"/>
    </row>
    <row r="15" spans="1:21" ht="7.5" customHeight="1" x14ac:dyDescent="0.3">
      <c r="A15" t="s">
        <v>10763</v>
      </c>
      <c r="E15" s="250"/>
      <c r="G15" s="250"/>
      <c r="K15" s="250"/>
      <c r="O15" s="250"/>
      <c r="Q15" s="250"/>
      <c r="U15" s="250"/>
    </row>
    <row r="16" spans="1:21" ht="22.5" customHeight="1" x14ac:dyDescent="0.3">
      <c r="C16" s="729" t="e" vm="1039">
        <f>_xlfn.IMAGE("https://natalie.tf/wp-content/uploads/2023/10/DLV3_Icon_ADV_"&amp;E17&amp;"_r05.png")</f>
        <v>#VALUE!</v>
      </c>
      <c r="E16" s="249" t="str">
        <f>"PWP-"&amp;A18</f>
        <v>PWP-029</v>
      </c>
      <c r="G16" s="249" t="str">
        <f>+INDEX(PWP!$A:$Z,MATCH('PWP-Print BACKUP'!E16,PWP!$B:$B,0),MATCH("Title",PWP!$A$1:$Z$1,0))</f>
        <v>Hungry Hunter</v>
      </c>
      <c r="I16" t="e" vm="414">
        <f>_xlfn.IMAGE("https://natalie.tf/wp-content/uploads/2023/10/DLV3_Icon_Ability_"&amp;INDEX('PWP-A'!$A$2:$C$31,MATCH('PWP-Print BACKUP'!J16,'PWP-A'!$B$2:$B$31,0),1)&amp;".png")</f>
        <v>#VALUE!</v>
      </c>
      <c r="J16" s="229" t="str">
        <f>+INDEX(PWP!$A:$Z,MATCH('PWP-Print BACKUP'!E16,PWP!$B:$B,0),MATCH("PWP Ability 1",PWP!$A$1:$Z$1,0))</f>
        <v>Critical Damage +25%</v>
      </c>
      <c r="K16" s="249" t="str">
        <f>+INDEX(PWP!$A:$Z,MATCH('PWP-Print BACKUP'!E16,PWP!$B:$B,0),MATCH("Locked PWP Ability 1",PWP!$A$1:$Z$1,0))</f>
        <v>(Flame) Critical Damage +25%</v>
      </c>
      <c r="M16" s="729" t="e" vm="1040">
        <f>_xlfn.IMAGE("https://natalie.tf/wp-content/uploads/2023/10/DLV3_Icon_ADV_"&amp;O17&amp;"_r05.png")</f>
        <v>#VALUE!</v>
      </c>
      <c r="O16" s="249" t="str">
        <f>"PWP-"&amp;B18</f>
        <v>PWP-042</v>
      </c>
      <c r="Q16" s="249" t="str">
        <f>+INDEX(PWP!$A:$Z,MATCH('PWP-Print BACKUP'!O16,PWP!$B:$B,0),MATCH("Title",PWP!$A$1:$Z$1,0))</f>
        <v>Fire's Fletcher</v>
      </c>
      <c r="S16" t="e" vm="496">
        <f>_xlfn.IMAGE("https://natalie.tf/wp-content/uploads/2023/10/DLV3_Icon_Ability_"&amp;INDEX('PWP-A'!$A$2:$C$31,MATCH('PWP-Print BACKUP'!T16,'PWP-A'!$B$2:$B$31,0),1)&amp;".png")</f>
        <v>#VALUE!</v>
      </c>
      <c r="T16" s="229" t="str">
        <f>+INDEX(PWP!$A:$Z,MATCH('PWP-Print BACKUP'!O16,PWP!$B:$B,0),MATCH("PWP Ability 1",PWP!$A$1:$Z$1,0))</f>
        <v>HP +15%</v>
      </c>
      <c r="U16" s="249" t="str">
        <f>+INDEX(PWP!$A:$Z,MATCH('PWP-Print BACKUP'!O16,PWP!$B:$B,0),MATCH("Locked PWP Ability 1",PWP!$A$1:$Z$1,0))</f>
        <v>(Flame) HP +15%</v>
      </c>
    </row>
    <row r="17" spans="1:21" ht="22.5" customHeight="1" x14ac:dyDescent="0.3">
      <c r="C17" s="729"/>
      <c r="D17" s="8"/>
      <c r="E17" s="200" t="str">
        <f>+INDEX(PWP!$A:$Z,MATCH('PWP-Print BACKUP'!E16,PWP!$B:$B,0),MATCH("ID",PWP!$A$1:$Z$1,0))</f>
        <v>110056_01</v>
      </c>
      <c r="F17" s="8"/>
      <c r="G17" s="249" t="str">
        <f>+INDEX(PWP!$A:$Z,MATCH('PWP-Print BACKUP'!E16,PWP!$B:$B,0),MATCH("Name",PWP!$A$1:$Z$1,0))</f>
        <v>Yue</v>
      </c>
      <c r="H17" s="8"/>
      <c r="I17" t="e" vm="426">
        <f>_xlfn.IMAGE("https://natalie.tf/wp-content/uploads/2023/10/DLV3_Icon_Ability_"&amp;INDEX('PWP-A'!$A$2:$C$31,MATCH('PWP-Print BACKUP'!J17,'PWP-A'!$B$2:$B$31,0),1)&amp;".png")</f>
        <v>#VALUE!</v>
      </c>
      <c r="J17" s="229" t="str">
        <f>+INDEX(PWP!$A:$Z,MATCH('PWP-Print BACKUP'!E16,PWP!$B:$B,0),MATCH("PWP Ability 2",PWP!$A$1:$Z$1,0))</f>
        <v>Defense +20%</v>
      </c>
      <c r="K17" s="249" t="str">
        <f>+INDEX(PWP!$A:$Z,MATCH('PWP-Print BACKUP'!E16,PWP!$B:$B,0),MATCH("Locked PWP Ability 2",PWP!$A$1:$Z$1,0))</f>
        <v>(Flame) Defense +20%</v>
      </c>
      <c r="M17" s="729"/>
      <c r="N17" s="8"/>
      <c r="O17" s="200" t="str">
        <f>+INDEX(PWP!$A:$Z,MATCH('PWP-Print BACKUP'!O16,PWP!$B:$B,0),MATCH("ID",PWP!$A$1:$Z$1,0))</f>
        <v>110003_01</v>
      </c>
      <c r="P17" s="8"/>
      <c r="Q17" s="249" t="str">
        <f>+INDEX(PWP!$A:$Z,MATCH('PWP-Print BACKUP'!O16,PWP!$B:$B,0),MATCH("Name",PWP!$A$1:$Z$1,0))</f>
        <v>Joe</v>
      </c>
      <c r="R17" s="8"/>
      <c r="S17" t="e" vm="802">
        <f>_xlfn.IMAGE("https://natalie.tf/wp-content/uploads/2023/10/DLV3_Icon_Ability_"&amp;INDEX('PWP-A'!$A$2:$C$31,MATCH('PWP-Print BACKUP'!T17,'PWP-A'!$B$2:$B$31,0),1)&amp;".png")</f>
        <v>#VALUE!</v>
      </c>
      <c r="T17" s="229" t="str">
        <f>+INDEX(PWP!$A:$Z,MATCH('PWP-Print BACKUP'!O16,PWP!$B:$B,0),MATCH("PWP Ability 2",PWP!$A$1:$Z$1,0))</f>
        <v>HP 70% = Shield +40%</v>
      </c>
      <c r="U17" s="249" t="str">
        <f>+INDEX(PWP!$A:$Z,MATCH('PWP-Print BACKUP'!O16,PWP!$B:$B,0),MATCH("Locked PWP Ability 2",PWP!$A$1:$Z$1,0))</f>
        <v>(Flame) HP 70% = Shield +40%</v>
      </c>
    </row>
    <row r="18" spans="1:21" ht="22.5" customHeight="1" x14ac:dyDescent="0.3">
      <c r="A18" s="222" t="str">
        <f>TEXT(A14+1,"000")</f>
        <v>029</v>
      </c>
      <c r="B18" s="222" t="str">
        <f>TEXT(B14+1,"000")</f>
        <v>042</v>
      </c>
      <c r="C18" s="729"/>
      <c r="E18" s="251" t="str">
        <f>+INDEX(PWP!$A:$Z,MATCH('PWP-Print BACKUP'!E16,PWP!$B:$B,0),MATCH("Num",PWP!$A$1:$Z$1,0))</f>
        <v>A-029</v>
      </c>
      <c r="G18" s="249" t="str">
        <f>+INDEX(PWP!$A:$Z,MATCH('PWP-Print BACKUP'!E16,PWP!$B:$B,0),MATCH("Element",PWP!$A$1:$Z$1,0))&amp;" "&amp;INDEX(PWP!$A:$Z,MATCH('PWP-Print BACKUP'!E16,PWP!$B:$B,0),MATCH("Type",PWP!$A$1:$Z$1,0))&amp;" Adventurer"</f>
        <v>Flame Axe Adventurer</v>
      </c>
      <c r="K18" s="250"/>
      <c r="M18" s="729"/>
      <c r="O18" s="251" t="str">
        <f>+INDEX(PWP!$A:$Z,MATCH('PWP-Print BACKUP'!O16,PWP!$B:$B,0),MATCH("Num",PWP!$A$1:$Z$1,0))</f>
        <v>A-042</v>
      </c>
      <c r="Q18" s="249" t="str">
        <f>+INDEX(PWP!$A:$Z,MATCH('PWP-Print BACKUP'!O16,PWP!$B:$B,0),MATCH("Element",PWP!$A$1:$Z$1,0))&amp;" "&amp;INDEX(PWP!$A:$Z,MATCH('PWP-Print BACKUP'!O16,PWP!$B:$B,0),MATCH("Type",PWP!$A$1:$Z$1,0))&amp;" Adventurer"</f>
        <v>Flame Bow Adventurer</v>
      </c>
      <c r="U18" s="250"/>
    </row>
    <row r="19" spans="1:21" ht="7.5" customHeight="1" x14ac:dyDescent="0.3">
      <c r="A19" t="s">
        <v>10763</v>
      </c>
      <c r="E19" s="250"/>
      <c r="G19" s="250"/>
      <c r="K19" s="250"/>
      <c r="O19" s="250"/>
      <c r="Q19" s="250"/>
      <c r="U19" s="250"/>
    </row>
    <row r="20" spans="1:21" ht="22.5" customHeight="1" x14ac:dyDescent="0.3">
      <c r="C20" s="729" t="e" vm="1041">
        <f>_xlfn.IMAGE("https://natalie.tf/wp-content/uploads/2023/10/DLV3_Icon_ADV_"&amp;E21&amp;"_r05.png")</f>
        <v>#VALUE!</v>
      </c>
      <c r="E20" s="249" t="str">
        <f>"PWP-"&amp;A22</f>
        <v>PWP-030</v>
      </c>
      <c r="G20" s="249" t="str">
        <f>+INDEX(PWP!$A:$Z,MATCH('PWP-Print BACKUP'!E20,PWP!$B:$B,0),MATCH("Title",PWP!$A$1:$Z$1,0))</f>
        <v>Red-Haired Warrior</v>
      </c>
      <c r="I20" t="e" vm="414">
        <f>_xlfn.IMAGE("https://natalie.tf/wp-content/uploads/2023/10/DLV3_Icon_Ability_"&amp;INDEX('PWP-A'!$A$2:$C$31,MATCH('PWP-Print BACKUP'!J20,'PWP-A'!$B$2:$B$31,0),1)&amp;".png")</f>
        <v>#VALUE!</v>
      </c>
      <c r="J20" s="229" t="str">
        <f>+INDEX(PWP!$A:$Z,MATCH('PWP-Print BACKUP'!E20,PWP!$B:$B,0),MATCH("PWP Ability 1",PWP!$A$1:$Z$1,0))</f>
        <v>Critical Damage +25%</v>
      </c>
      <c r="K20" s="249" t="str">
        <f>+INDEX(PWP!$A:$Z,MATCH('PWP-Print BACKUP'!E20,PWP!$B:$B,0),MATCH("Locked PWP Ability 1",PWP!$A$1:$Z$1,0))</f>
        <v>(Flame) Critical Damage +25%</v>
      </c>
      <c r="M20" s="729" t="e" vm="1042">
        <f>_xlfn.IMAGE("https://natalie.tf/wp-content/uploads/2023/10/DLV3_Icon_ADV_"&amp;O21&amp;"_r05.png")</f>
        <v>#VALUE!</v>
      </c>
      <c r="O20" s="249" t="str">
        <f>"PWP-"&amp;B22</f>
        <v>PWP-043</v>
      </c>
      <c r="Q20" s="249" t="str">
        <f>+INDEX(PWP!$A:$Z,MATCH('PWP-Print BACKUP'!O20,PWP!$B:$B,0),MATCH("Title",PWP!$A$1:$Z$1,0))</f>
        <v>Festival Belle</v>
      </c>
      <c r="S20" t="e" vm="14">
        <f>_xlfn.IMAGE("https://natalie.tf/wp-content/uploads/2023/10/DLV3_Icon_Ability_"&amp;INDEX('PWP-A'!$A$2:$C$31,MATCH('PWP-Print BACKUP'!T20,'PWP-A'!$B$2:$B$31,0),1)&amp;".png")</f>
        <v>#VALUE!</v>
      </c>
      <c r="T20" s="229" t="str">
        <f>+INDEX(PWP!$A:$Z,MATCH('PWP-Print BACKUP'!O20,PWP!$B:$B,0),MATCH("PWP Ability 1",PWP!$A$1:$Z$1,0))</f>
        <v>Skill Damage +40%</v>
      </c>
      <c r="U20" s="249" t="str">
        <f>+INDEX(PWP!$A:$Z,MATCH('PWP-Print BACKUP'!O20,PWP!$B:$B,0),MATCH("Locked PWP Ability 1",PWP!$A$1:$Z$1,0))</f>
        <v>(Flame) Skill Damage +40%</v>
      </c>
    </row>
    <row r="21" spans="1:21" ht="22.5" customHeight="1" x14ac:dyDescent="0.3">
      <c r="C21" s="729"/>
      <c r="D21" s="8"/>
      <c r="E21" s="200" t="str">
        <f>+INDEX(PWP!$A:$Z,MATCH('PWP-Print BACKUP'!E20,PWP!$B:$B,0),MATCH("ID",PWP!$A$1:$Z$1,0))</f>
        <v>110007_01</v>
      </c>
      <c r="F21" s="8"/>
      <c r="G21" s="249" t="str">
        <f>+INDEX(PWP!$A:$Z,MATCH('PWP-Print BACKUP'!E20,PWP!$B:$B,0),MATCH("Name",PWP!$A$1:$Z$1,0))</f>
        <v>Vanessa</v>
      </c>
      <c r="H21" s="8"/>
      <c r="I21" t="e" vm="7">
        <f>_xlfn.IMAGE("https://natalie.tf/wp-content/uploads/2023/10/DLV3_Icon_Ability_"&amp;INDEX('PWP-A'!$A$2:$C$31,MATCH('PWP-Print BACKUP'!J21,'PWP-A'!$B$2:$B$31,0),1)&amp;".png")</f>
        <v>#VALUE!</v>
      </c>
      <c r="J21" s="229" t="str">
        <f>+INDEX(PWP!$A:$Z,MATCH('PWP-Print BACKUP'!E20,PWP!$B:$B,0),MATCH("PWP Ability 2",PWP!$A$1:$Z$1,0))</f>
        <v>Force Strike +50%</v>
      </c>
      <c r="K21" s="249" t="str">
        <f>+INDEX(PWP!$A:$Z,MATCH('PWP-Print BACKUP'!E20,PWP!$B:$B,0),MATCH("Locked PWP Ability 2",PWP!$A$1:$Z$1,0))</f>
        <v>(Flame) Force Strike +50%</v>
      </c>
      <c r="M21" s="729"/>
      <c r="N21" s="8"/>
      <c r="O21" s="200" t="str">
        <f>+INDEX(PWP!$A:$Z,MATCH('PWP-Print BACKUP'!O20,PWP!$B:$B,0),MATCH("ID",PWP!$A$1:$Z$1,0))</f>
        <v>100004_19</v>
      </c>
      <c r="P21" s="8"/>
      <c r="Q21" s="249" t="str">
        <f>+INDEX(PWP!$A:$Z,MATCH('PWP-Print BACKUP'!O20,PWP!$B:$B,0),MATCH("Name",PWP!$A$1:$Z$1,0))</f>
        <v>Yukata Cleo</v>
      </c>
      <c r="R21" s="8"/>
      <c r="S21" t="e" vm="426">
        <f>_xlfn.IMAGE("https://natalie.tf/wp-content/uploads/2023/10/DLV3_Icon_Ability_"&amp;INDEX('PWP-A'!$A$2:$C$31,MATCH('PWP-Print BACKUP'!T21,'PWP-A'!$B$2:$B$31,0),1)&amp;".png")</f>
        <v>#VALUE!</v>
      </c>
      <c r="T21" s="229" t="str">
        <f>+INDEX(PWP!$A:$Z,MATCH('PWP-Print BACKUP'!O20,PWP!$B:$B,0),MATCH("PWP Ability 2",PWP!$A$1:$Z$1,0))</f>
        <v>Defense +20%</v>
      </c>
      <c r="U21" s="249" t="str">
        <f>+INDEX(PWP!$A:$Z,MATCH('PWP-Print BACKUP'!O20,PWP!$B:$B,0),MATCH("Locked PWP Ability 2",PWP!$A$1:$Z$1,0))</f>
        <v>(Flame) Defense +20%</v>
      </c>
    </row>
    <row r="22" spans="1:21" ht="22.5" customHeight="1" x14ac:dyDescent="0.3">
      <c r="A22" s="222" t="str">
        <f>TEXT(A18+1,"000")</f>
        <v>030</v>
      </c>
      <c r="B22" s="222" t="str">
        <f>TEXT(B18+1,"000")</f>
        <v>043</v>
      </c>
      <c r="C22" s="729"/>
      <c r="E22" s="251" t="str">
        <f>+INDEX(PWP!$A:$Z,MATCH('PWP-Print BACKUP'!E20,PWP!$B:$B,0),MATCH("Num",PWP!$A$1:$Z$1,0))</f>
        <v>A-030</v>
      </c>
      <c r="G22" s="249" t="str">
        <f>+INDEX(PWP!$A:$Z,MATCH('PWP-Print BACKUP'!E20,PWP!$B:$B,0),MATCH("Element",PWP!$A$1:$Z$1,0))&amp;" "&amp;INDEX(PWP!$A:$Z,MATCH('PWP-Print BACKUP'!E20,PWP!$B:$B,0),MATCH("Type",PWP!$A$1:$Z$1,0))&amp;" Adventurer"</f>
        <v>Flame Axe Adventurer</v>
      </c>
      <c r="K22" s="250"/>
      <c r="M22" s="729"/>
      <c r="O22" s="251" t="str">
        <f>+INDEX(PWP!$A:$Z,MATCH('PWP-Print BACKUP'!O20,PWP!$B:$B,0),MATCH("Num",PWP!$A$1:$Z$1,0))</f>
        <v>A-043</v>
      </c>
      <c r="Q22" s="249" t="str">
        <f>+INDEX(PWP!$A:$Z,MATCH('PWP-Print BACKUP'!O20,PWP!$B:$B,0),MATCH("Element",PWP!$A$1:$Z$1,0))&amp;" "&amp;INDEX(PWP!$A:$Z,MATCH('PWP-Print BACKUP'!O20,PWP!$B:$B,0),MATCH("Type",PWP!$A$1:$Z$1,0))&amp;" Adventurer"</f>
        <v>Flame Wand Adventurer</v>
      </c>
      <c r="U22" s="250"/>
    </row>
    <row r="23" spans="1:21" ht="7.5" customHeight="1" x14ac:dyDescent="0.3">
      <c r="A23" t="s">
        <v>10763</v>
      </c>
      <c r="E23" s="250"/>
      <c r="G23" s="250"/>
      <c r="K23" s="250"/>
      <c r="O23" s="250"/>
      <c r="Q23" s="250"/>
      <c r="U23" s="250"/>
    </row>
    <row r="24" spans="1:21" ht="22.5" customHeight="1" x14ac:dyDescent="0.3">
      <c r="C24" s="729" t="e" vm="1043">
        <f>_xlfn.IMAGE("https://natalie.tf/wp-content/uploads/2023/10/DLV3_Icon_ADV_"&amp;E25&amp;"_r05.png")</f>
        <v>#VALUE!</v>
      </c>
      <c r="E24" s="249" t="str">
        <f>"PWP-"&amp;A26</f>
        <v>PWP-031</v>
      </c>
      <c r="G24" s="249" t="str">
        <f>+INDEX(PWP!$A:$Z,MATCH('PWP-Print BACKUP'!E24,PWP!$B:$B,0),MATCH("Title",PWP!$A$1:$Z$1,0))</f>
        <v>Dancing Panther</v>
      </c>
      <c r="I24" t="e" vm="326">
        <f>_xlfn.IMAGE("https://natalie.tf/wp-content/uploads/2023/10/DLV3_Icon_Ability_"&amp;INDEX('PWP-A'!$A$2:$C$31,MATCH('PWP-Print BACKUP'!J24,'PWP-A'!$B$2:$B$31,0),1)&amp;".png")</f>
        <v>#VALUE!</v>
      </c>
      <c r="J24" s="229" t="str">
        <f>+INDEX(PWP!$A:$Z,MATCH('PWP-Print BACKUP'!E24,PWP!$B:$B,0),MATCH("PWP Ability 1",PWP!$A$1:$Z$1,0))</f>
        <v>Critical Rate +15%</v>
      </c>
      <c r="K24" s="249" t="str">
        <f>+INDEX(PWP!$A:$Z,MATCH('PWP-Print BACKUP'!E24,PWP!$B:$B,0),MATCH("Locked PWP Ability 1",PWP!$A$1:$Z$1,0))</f>
        <v>(Flame) Critical Rate +15%</v>
      </c>
      <c r="M24" s="729" t="e" vm="1044">
        <f>_xlfn.IMAGE("https://natalie.tf/wp-content/uploads/2023/10/DLV3_Icon_ADV_"&amp;O25&amp;"_r05.png")</f>
        <v>#VALUE!</v>
      </c>
      <c r="O24" s="249" t="str">
        <f>"PWP-"&amp;B26</f>
        <v>PWP-044</v>
      </c>
      <c r="Q24" s="249" t="str">
        <f>+INDEX(PWP!$A:$Z,MATCH('PWP-Print BACKUP'!O24,PWP!$B:$B,0),MATCH("Title",PWP!$A$1:$Z$1,0))</f>
        <v>Leader of the Ox Clan</v>
      </c>
      <c r="S24" t="e" vm="1036">
        <f>_xlfn.IMAGE("https://natalie.tf/wp-content/uploads/2023/10/DLV3_Icon_Ability_"&amp;INDEX('PWP-A'!$A$2:$C$31,MATCH('PWP-Print BACKUP'!T24,'PWP-A'!$B$2:$B$31,0),1)&amp;".png")</f>
        <v>#VALUE!</v>
      </c>
      <c r="T24" s="229" t="str">
        <f>+INDEX(PWP!$A:$Z,MATCH('PWP-Print BACKUP'!O24,PWP!$B:$B,0),MATCH("PWP Ability 1",PWP!$A$1:$Z$1,0))</f>
        <v>15 Hits = Overdamage</v>
      </c>
      <c r="U24" s="249" t="str">
        <f>+INDEX(PWP!$A:$Z,MATCH('PWP-Print BACKUP'!O24,PWP!$B:$B,0),MATCH("Locked PWP Ability 1",PWP!$A$1:$Z$1,0))</f>
        <v>(Flame) 15 Hits = Overdamage</v>
      </c>
    </row>
    <row r="25" spans="1:21" ht="22.5" customHeight="1" x14ac:dyDescent="0.3">
      <c r="C25" s="729"/>
      <c r="D25" s="8"/>
      <c r="E25" s="200" t="str">
        <f>+INDEX(PWP!$A:$Z,MATCH('PWP-Print BACKUP'!E24,PWP!$B:$B,0),MATCH("ID",PWP!$A$1:$Z$1,0))</f>
        <v>110378_01</v>
      </c>
      <c r="F25" s="8"/>
      <c r="G25" s="249" t="str">
        <f>+INDEX(PWP!$A:$Z,MATCH('PWP-Print BACKUP'!E24,PWP!$B:$B,0),MATCH("Name",PWP!$A$1:$Z$1,0))</f>
        <v>Panther</v>
      </c>
      <c r="H25" s="8"/>
      <c r="I25" t="e" vm="1045">
        <f>_xlfn.IMAGE("https://natalie.tf/wp-content/uploads/2023/10/DLV3_Icon_Ability_"&amp;INDEX('PWP-A'!$A$2:$C$31,MATCH('PWP-Print BACKUP'!J25,'PWP-A'!$B$2:$B$31,0),1)&amp;".png")</f>
        <v>#VALUE!</v>
      </c>
      <c r="J25" s="229" t="str">
        <f>+INDEX(PWP!$A:$Z,MATCH('PWP-Print BACKUP'!E24,PWP!$B:$B,0),MATCH("PWP Ability 2",PWP!$A$1:$Z$1,0))</f>
        <v>Attack Rate +20%</v>
      </c>
      <c r="K25" s="249" t="str">
        <f>+INDEX(PWP!$A:$Z,MATCH('PWP-Print BACKUP'!E24,PWP!$B:$B,0),MATCH("Locked PWP Ability 2",PWP!$A$1:$Z$1,0))</f>
        <v>(Flame) Attack Rate +20%</v>
      </c>
      <c r="M25" s="729"/>
      <c r="N25" s="8"/>
      <c r="O25" s="200" t="str">
        <f>+INDEX(PWP!$A:$Z,MATCH('PWP-Print BACKUP'!O24,PWP!$B:$B,0),MATCH("ID",PWP!$A$1:$Z$1,0))</f>
        <v>110375_01</v>
      </c>
      <c r="P25" s="8"/>
      <c r="Q25" s="249" t="str">
        <f>+INDEX(PWP!$A:$Z,MATCH('PWP-Print BACKUP'!O24,PWP!$B:$B,0),MATCH("Name",PWP!$A$1:$Z$1,0))</f>
        <v>Seimei</v>
      </c>
      <c r="R25" s="8"/>
      <c r="S25" t="e" vm="414">
        <f>_xlfn.IMAGE("https://natalie.tf/wp-content/uploads/2023/10/DLV3_Icon_Ability_"&amp;INDEX('PWP-A'!$A$2:$C$31,MATCH('PWP-Print BACKUP'!T25,'PWP-A'!$B$2:$B$31,0),1)&amp;".png")</f>
        <v>#VALUE!</v>
      </c>
      <c r="T25" s="229" t="str">
        <f>+INDEX(PWP!$A:$Z,MATCH('PWP-Print BACKUP'!O24,PWP!$B:$B,0),MATCH("PWP Ability 2",PWP!$A$1:$Z$1,0))</f>
        <v>Critical Damage +25%</v>
      </c>
      <c r="U25" s="249" t="str">
        <f>+INDEX(PWP!$A:$Z,MATCH('PWP-Print BACKUP'!O24,PWP!$B:$B,0),MATCH("Locked PWP Ability 2",PWP!$A$1:$Z$1,0))</f>
        <v>(Flame) Critical Damage +25%</v>
      </c>
    </row>
    <row r="26" spans="1:21" ht="22.5" customHeight="1" x14ac:dyDescent="0.3">
      <c r="A26" s="222" t="str">
        <f>TEXT(A22+1,"000")</f>
        <v>031</v>
      </c>
      <c r="B26" s="222" t="str">
        <f>TEXT(B22+1,"000")</f>
        <v>044</v>
      </c>
      <c r="C26" s="729"/>
      <c r="E26" s="251" t="str">
        <f>+INDEX(PWP!$A:$Z,MATCH('PWP-Print BACKUP'!E24,PWP!$B:$B,0),MATCH("Num",PWP!$A$1:$Z$1,0))</f>
        <v>A-031</v>
      </c>
      <c r="G26" s="249" t="str">
        <f>+INDEX(PWP!$A:$Z,MATCH('PWP-Print BACKUP'!E24,PWP!$B:$B,0),MATCH("Element",PWP!$A$1:$Z$1,0))&amp;" "&amp;INDEX(PWP!$A:$Z,MATCH('PWP-Print BACKUP'!E24,PWP!$B:$B,0),MATCH("Type",PWP!$A$1:$Z$1,0))&amp;" Adventurer"</f>
        <v>Flame Lance Adventurer</v>
      </c>
      <c r="K26" s="250"/>
      <c r="M26" s="729"/>
      <c r="O26" s="251" t="str">
        <f>+INDEX(PWP!$A:$Z,MATCH('PWP-Print BACKUP'!O24,PWP!$B:$B,0),MATCH("Num",PWP!$A$1:$Z$1,0))</f>
        <v>A-044</v>
      </c>
      <c r="Q26" s="249" t="str">
        <f>+INDEX(PWP!$A:$Z,MATCH('PWP-Print BACKUP'!O24,PWP!$B:$B,0),MATCH("Element",PWP!$A$1:$Z$1,0))&amp;" "&amp;INDEX(PWP!$A:$Z,MATCH('PWP-Print BACKUP'!O24,PWP!$B:$B,0),MATCH("Type",PWP!$A$1:$Z$1,0))&amp;" Adventurer"</f>
        <v>Flame Wand Adventurer</v>
      </c>
      <c r="U26" s="250"/>
    </row>
    <row r="27" spans="1:21" ht="7.5" customHeight="1" x14ac:dyDescent="0.3">
      <c r="A27" t="s">
        <v>10763</v>
      </c>
      <c r="E27" s="250"/>
      <c r="G27" s="250"/>
      <c r="K27" s="250"/>
      <c r="O27" s="250"/>
      <c r="Q27" s="250"/>
      <c r="U27" s="250"/>
    </row>
    <row r="28" spans="1:21" ht="22.5" customHeight="1" x14ac:dyDescent="0.3">
      <c r="C28" s="729" t="e" vm="1046">
        <f>_xlfn.IMAGE("https://natalie.tf/wp-content/uploads/2023/10/DLV3_Icon_ADV_"&amp;E29&amp;"_r05.png")</f>
        <v>#VALUE!</v>
      </c>
      <c r="E28" s="249" t="str">
        <f>"PWP-"&amp;A30</f>
        <v>PWP-032</v>
      </c>
      <c r="G28" s="249" t="str">
        <f>+INDEX(PWP!$A:$Z,MATCH('PWP-Print BACKUP'!E28,PWP!$B:$B,0),MATCH("Title",PWP!$A$1:$Z$1,0))</f>
        <v>Crimson Paladyn</v>
      </c>
      <c r="I28" t="e" vm="330">
        <f>_xlfn.IMAGE("https://natalie.tf/wp-content/uploads/2023/10/DLV3_Icon_Ability_"&amp;INDEX('PWP-A'!$A$2:$C$31,MATCH('PWP-Print BACKUP'!J28,'PWP-A'!$B$2:$B$31,0),1)&amp;".png")</f>
        <v>#VALUE!</v>
      </c>
      <c r="J28" s="229" t="str">
        <f>+INDEX(PWP!$A:$Z,MATCH('PWP-Print BACKUP'!E28,PWP!$B:$B,0),MATCH("PWP Ability 1",PWP!$A$1:$Z$1,0))</f>
        <v>Skill Haste +10%</v>
      </c>
      <c r="K28" s="249" t="str">
        <f>+INDEX(PWP!$A:$Z,MATCH('PWP-Print BACKUP'!E28,PWP!$B:$B,0),MATCH("Locked PWP Ability 1",PWP!$A$1:$Z$1,0))</f>
        <v>(Flame) Skill Haste +10%</v>
      </c>
      <c r="M28" s="729" t="e" vm="1047">
        <f>_xlfn.IMAGE("https://natalie.tf/wp-content/uploads/2023/10/DLV3_Icon_ADV_"&amp;O29&amp;"_r05.png")</f>
        <v>#VALUE!</v>
      </c>
      <c r="O28" s="249" t="str">
        <f>"PWP-"&amp;B30</f>
        <v>PWP-045</v>
      </c>
      <c r="Q28" s="249" t="str">
        <f>+INDEX(PWP!$A:$Z,MATCH('PWP-Print BACKUP'!O28,PWP!$B:$B,0),MATCH("Title",PWP!$A$1:$Z$1,0))</f>
        <v>Yearning Queen</v>
      </c>
      <c r="S28" t="e" vm="414">
        <f>_xlfn.IMAGE("https://natalie.tf/wp-content/uploads/2023/10/DLV3_Icon_Ability_"&amp;INDEX('PWP-A'!$A$2:$C$31,MATCH('PWP-Print BACKUP'!T28,'PWP-A'!$B$2:$B$31,0),1)&amp;".png")</f>
        <v>#VALUE!</v>
      </c>
      <c r="T28" s="229" t="str">
        <f>+INDEX(PWP!$A:$Z,MATCH('PWP-Print BACKUP'!O28,PWP!$B:$B,0),MATCH("PWP Ability 1",PWP!$A$1:$Z$1,0))</f>
        <v>Critical Damage +25%</v>
      </c>
      <c r="U28" s="249" t="str">
        <f>+INDEX(PWP!$A:$Z,MATCH('PWP-Print BACKUP'!O28,PWP!$B:$B,0),MATCH("Locked PWP Ability 1",PWP!$A$1:$Z$1,0))</f>
        <v>(Flame) Critical Damage +25%</v>
      </c>
    </row>
    <row r="29" spans="1:21" ht="22.5" customHeight="1" x14ac:dyDescent="0.3">
      <c r="C29" s="729"/>
      <c r="D29" s="8"/>
      <c r="E29" s="200" t="str">
        <f>+INDEX(PWP!$A:$Z,MATCH('PWP-Print BACKUP'!E28,PWP!$B:$B,0),MATCH("ID",PWP!$A$1:$Z$1,0))</f>
        <v>100002_15</v>
      </c>
      <c r="F29" s="8"/>
      <c r="G29" s="249" t="str">
        <f>+INDEX(PWP!$A:$Z,MATCH('PWP-Print BACKUP'!E28,PWP!$B:$B,0),MATCH("Name",PWP!$A$1:$Z$1,0))</f>
        <v>Kimono Elisanne</v>
      </c>
      <c r="H29" s="8"/>
      <c r="I29" t="e" vm="426">
        <f>_xlfn.IMAGE("https://natalie.tf/wp-content/uploads/2023/10/DLV3_Icon_Ability_"&amp;INDEX('PWP-A'!$A$2:$C$31,MATCH('PWP-Print BACKUP'!J29,'PWP-A'!$B$2:$B$31,0),1)&amp;".png")</f>
        <v>#VALUE!</v>
      </c>
      <c r="J29" s="229" t="str">
        <f>+INDEX(PWP!$A:$Z,MATCH('PWP-Print BACKUP'!E28,PWP!$B:$B,0),MATCH("PWP Ability 2",PWP!$A$1:$Z$1,0))</f>
        <v>Defense +20%</v>
      </c>
      <c r="K29" s="249" t="str">
        <f>+INDEX(PWP!$A:$Z,MATCH('PWP-Print BACKUP'!E28,PWP!$B:$B,0),MATCH("Locked PWP Ability 2",PWP!$A$1:$Z$1,0))</f>
        <v>(Flame) Defense +20%</v>
      </c>
      <c r="M29" s="729"/>
      <c r="N29" s="8"/>
      <c r="O29" s="200" t="str">
        <f>+INDEX(PWP!$A:$Z,MATCH('PWP-Print BACKUP'!O28,PWP!$B:$B,0),MATCH("ID",PWP!$A$1:$Z$1,0))</f>
        <v>110053_03</v>
      </c>
      <c r="P29" s="8"/>
      <c r="Q29" s="249" t="str">
        <f>+INDEX(PWP!$A:$Z,MATCH('PWP-Print BACKUP'!O28,PWP!$B:$B,0),MATCH("Name",PWP!$A$1:$Z$1,0))</f>
        <v>Incognito Nefaria</v>
      </c>
      <c r="R29" s="8"/>
      <c r="S29" t="e" vm="496">
        <f>_xlfn.IMAGE("https://natalie.tf/wp-content/uploads/2023/10/DLV3_Icon_Ability_"&amp;INDEX('PWP-A'!$A$2:$C$31,MATCH('PWP-Print BACKUP'!T29,'PWP-A'!$B$2:$B$31,0),1)&amp;".png")</f>
        <v>#VALUE!</v>
      </c>
      <c r="T29" s="229" t="str">
        <f>+INDEX(PWP!$A:$Z,MATCH('PWP-Print BACKUP'!O28,PWP!$B:$B,0),MATCH("PWP Ability 2",PWP!$A$1:$Z$1,0))</f>
        <v>HP +15%</v>
      </c>
      <c r="U29" s="249" t="str">
        <f>+INDEX(PWP!$A:$Z,MATCH('PWP-Print BACKUP'!O28,PWP!$B:$B,0),MATCH("Locked PWP Ability 2",PWP!$A$1:$Z$1,0))</f>
        <v>(Flame) HP +15%</v>
      </c>
    </row>
    <row r="30" spans="1:21" ht="22.5" customHeight="1" x14ac:dyDescent="0.3">
      <c r="A30" s="222" t="str">
        <f>TEXT(A26+1,"000")</f>
        <v>032</v>
      </c>
      <c r="B30" s="222" t="str">
        <f>TEXT(B26+1,"000")</f>
        <v>045</v>
      </c>
      <c r="C30" s="729"/>
      <c r="E30" s="251" t="str">
        <f>+INDEX(PWP!$A:$Z,MATCH('PWP-Print BACKUP'!E28,PWP!$B:$B,0),MATCH("Num",PWP!$A$1:$Z$1,0))</f>
        <v>A-032</v>
      </c>
      <c r="G30" s="249" t="str">
        <f>+INDEX(PWP!$A:$Z,MATCH('PWP-Print BACKUP'!E28,PWP!$B:$B,0),MATCH("Element",PWP!$A$1:$Z$1,0))&amp;" "&amp;INDEX(PWP!$A:$Z,MATCH('PWP-Print BACKUP'!E28,PWP!$B:$B,0),MATCH("Type",PWP!$A$1:$Z$1,0))&amp;" Adventurer"</f>
        <v>Flame Lance Adventurer</v>
      </c>
      <c r="K30" s="250"/>
      <c r="M30" s="729"/>
      <c r="O30" s="251" t="str">
        <f>+INDEX(PWP!$A:$Z,MATCH('PWP-Print BACKUP'!O28,PWP!$B:$B,0),MATCH("Num",PWP!$A$1:$Z$1,0))</f>
        <v>A-045</v>
      </c>
      <c r="Q30" s="249" t="str">
        <f>+INDEX(PWP!$A:$Z,MATCH('PWP-Print BACKUP'!O28,PWP!$B:$B,0),MATCH("Element",PWP!$A$1:$Z$1,0))&amp;" "&amp;INDEX(PWP!$A:$Z,MATCH('PWP-Print BACKUP'!O28,PWP!$B:$B,0),MATCH("Type",PWP!$A$1:$Z$1,0))&amp;" Adventurer"</f>
        <v>Flame Wand Adventurer</v>
      </c>
      <c r="U30" s="250"/>
    </row>
    <row r="31" spans="1:21" ht="7.5" customHeight="1" x14ac:dyDescent="0.3">
      <c r="A31" t="s">
        <v>10763</v>
      </c>
      <c r="E31" s="250"/>
      <c r="G31" s="250"/>
      <c r="K31" s="250"/>
      <c r="O31" s="250"/>
      <c r="Q31" s="250"/>
      <c r="U31" s="250"/>
    </row>
    <row r="32" spans="1:21" ht="22.5" customHeight="1" x14ac:dyDescent="0.3">
      <c r="C32" s="729" t="e" vm="1048">
        <f>_xlfn.IMAGE("https://natalie.tf/wp-content/uploads/2023/10/DLV3_Icon_ADV_"&amp;E33&amp;"_r05.png")</f>
        <v>#VALUE!</v>
      </c>
      <c r="E32" s="249" t="str">
        <f>"PWP-"&amp;A34</f>
        <v>PWP-033</v>
      </c>
      <c r="G32" s="249" t="str">
        <f>+INDEX(PWP!$A:$Z,MATCH('PWP-Print BACKUP'!E32,PWP!$B:$B,0),MATCH("Title",PWP!$A$1:$Z$1,0))</f>
        <v>Selfie Addict</v>
      </c>
      <c r="I32" t="e" vm="330">
        <f>_xlfn.IMAGE("https://natalie.tf/wp-content/uploads/2023/10/DLV3_Icon_Ability_"&amp;INDEX('PWP-A'!$A$2:$C$31,MATCH('PWP-Print BACKUP'!J32,'PWP-A'!$B$2:$B$31,0),1)&amp;".png")</f>
        <v>#VALUE!</v>
      </c>
      <c r="J32" s="229" t="str">
        <f>+INDEX(PWP!$A:$Z,MATCH('PWP-Print BACKUP'!E32,PWP!$B:$B,0),MATCH("PWP Ability 1",PWP!$A$1:$Z$1,0))</f>
        <v>Skill Haste +10%</v>
      </c>
      <c r="K32" s="249" t="str">
        <f>+INDEX(PWP!$A:$Z,MATCH('PWP-Print BACKUP'!E32,PWP!$B:$B,0),MATCH("Locked PWP Ability 1",PWP!$A$1:$Z$1,0))</f>
        <v>(Flame) Skill Haste +10%</v>
      </c>
      <c r="M32" s="729" t="e" vm="1049">
        <f>_xlfn.IMAGE("https://natalie.tf/wp-content/uploads/2023/10/DLV3_Icon_ADV_"&amp;O33&amp;"_r05.png")</f>
        <v>#VALUE!</v>
      </c>
      <c r="O32" s="249" t="str">
        <f>"PWP-"&amp;B34</f>
        <v>PWP-046</v>
      </c>
      <c r="Q32" s="249" t="str">
        <f>+INDEX(PWP!$A:$Z,MATCH('PWP-Print BACKUP'!O32,PWP!$B:$B,0),MATCH("Title",PWP!$A$1:$Z$1,0))</f>
        <v>Kindly Android</v>
      </c>
      <c r="S32" t="e" vm="1045">
        <f>_xlfn.IMAGE("https://natalie.tf/wp-content/uploads/2023/10/DLV3_Icon_Ability_"&amp;INDEX('PWP-A'!$A$2:$C$31,MATCH('PWP-Print BACKUP'!T32,'PWP-A'!$B$2:$B$31,0),1)&amp;".png")</f>
        <v>#VALUE!</v>
      </c>
      <c r="T32" s="229" t="str">
        <f>+INDEX(PWP!$A:$Z,MATCH('PWP-Print BACKUP'!O32,PWP!$B:$B,0),MATCH("PWP Ability 1",PWP!$A$1:$Z$1,0))</f>
        <v>Attack Rate +20%</v>
      </c>
      <c r="U32" s="249" t="str">
        <f>+INDEX(PWP!$A:$Z,MATCH('PWP-Print BACKUP'!O32,PWP!$B:$B,0),MATCH("Locked PWP Ability 1",PWP!$A$1:$Z$1,0))</f>
        <v>(Flame) Attack Rate +20%</v>
      </c>
    </row>
    <row r="33" spans="1:21" ht="22.5" customHeight="1" x14ac:dyDescent="0.3">
      <c r="C33" s="729"/>
      <c r="D33" s="8"/>
      <c r="E33" s="200" t="str">
        <f>+INDEX(PWP!$A:$Z,MATCH('PWP-Print BACKUP'!E32,PWP!$B:$B,0),MATCH("ID",PWP!$A$1:$Z$1,0))</f>
        <v>110357_01</v>
      </c>
      <c r="F33" s="8"/>
      <c r="G33" s="249" t="str">
        <f>+INDEX(PWP!$A:$Z,MATCH('PWP-Print BACKUP'!E32,PWP!$B:$B,0),MATCH("Name",PWP!$A$1:$Z$1,0))</f>
        <v>Nadine</v>
      </c>
      <c r="H33" s="8"/>
      <c r="I33" t="e" vm="496">
        <f>_xlfn.IMAGE("https://natalie.tf/wp-content/uploads/2023/10/DLV3_Icon_Ability_"&amp;INDEX('PWP-A'!$A$2:$C$31,MATCH('PWP-Print BACKUP'!J33,'PWP-A'!$B$2:$B$31,0),1)&amp;".png")</f>
        <v>#VALUE!</v>
      </c>
      <c r="J33" s="229" t="str">
        <f>+INDEX(PWP!$A:$Z,MATCH('PWP-Print BACKUP'!E32,PWP!$B:$B,0),MATCH("PWP Ability 2",PWP!$A$1:$Z$1,0))</f>
        <v>HP +15%</v>
      </c>
      <c r="K33" s="249" t="str">
        <f>+INDEX(PWP!$A:$Z,MATCH('PWP-Print BACKUP'!E32,PWP!$B:$B,0),MATCH("Locked PWP Ability 2",PWP!$A$1:$Z$1,0))</f>
        <v>(Flame) HP +15%</v>
      </c>
      <c r="M33" s="729"/>
      <c r="N33" s="8"/>
      <c r="O33" s="200" t="str">
        <f>+INDEX(PWP!$A:$Z,MATCH('PWP-Print BACKUP'!O32,PWP!$B:$B,0),MATCH("ID",PWP!$A$1:$Z$1,0))</f>
        <v>110354_01</v>
      </c>
      <c r="P33" s="8"/>
      <c r="Q33" s="249" t="str">
        <f>+INDEX(PWP!$A:$Z,MATCH('PWP-Print BACKUP'!O32,PWP!$B:$B,0),MATCH("Name",PWP!$A$1:$Z$1,0))</f>
        <v>Mega Man</v>
      </c>
      <c r="R33" s="8"/>
      <c r="S33" t="e" vm="376">
        <f>_xlfn.IMAGE("https://natalie.tf/wp-content/uploads/2023/10/DLV3_Icon_Ability_"&amp;INDEX('PWP-A'!$A$2:$C$31,MATCH('PWP-Print BACKUP'!T33,'PWP-A'!$B$2:$B$31,0),1)&amp;".png")</f>
        <v>#VALUE!</v>
      </c>
      <c r="T33" s="229" t="str">
        <f>+INDEX(PWP!$A:$Z,MATCH('PWP-Print BACKUP'!O32,PWP!$B:$B,0),MATCH("PWP Ability 2",PWP!$A$1:$Z$1,0))</f>
        <v>Broken Punisher +30%</v>
      </c>
      <c r="U33" s="249" t="str">
        <f>+INDEX(PWP!$A:$Z,MATCH('PWP-Print BACKUP'!O32,PWP!$B:$B,0),MATCH("Locked PWP Ability 2",PWP!$A$1:$Z$1,0))</f>
        <v>(Flame) Broken Punisher +30%</v>
      </c>
    </row>
    <row r="34" spans="1:21" ht="22.5" customHeight="1" x14ac:dyDescent="0.3">
      <c r="A34" s="222" t="str">
        <f>TEXT(A30+1,"000")</f>
        <v>033</v>
      </c>
      <c r="B34" s="222" t="str">
        <f>TEXT(B30+1,"000")</f>
        <v>046</v>
      </c>
      <c r="C34" s="729"/>
      <c r="E34" s="251" t="str">
        <f>+INDEX(PWP!$A:$Z,MATCH('PWP-Print BACKUP'!E32,PWP!$B:$B,0),MATCH("Num",PWP!$A$1:$Z$1,0))</f>
        <v>A-033</v>
      </c>
      <c r="G34" s="249" t="str">
        <f>+INDEX(PWP!$A:$Z,MATCH('PWP-Print BACKUP'!E32,PWP!$B:$B,0),MATCH("Element",PWP!$A$1:$Z$1,0))&amp;" "&amp;INDEX(PWP!$A:$Z,MATCH('PWP-Print BACKUP'!E32,PWP!$B:$B,0),MATCH("Type",PWP!$A$1:$Z$1,0))&amp;" Adventurer"</f>
        <v>Flame Lance Adventurer</v>
      </c>
      <c r="K34" s="250"/>
      <c r="M34" s="729"/>
      <c r="O34" s="251" t="str">
        <f>+INDEX(PWP!$A:$Z,MATCH('PWP-Print BACKUP'!O32,PWP!$B:$B,0),MATCH("Num",PWP!$A$1:$Z$1,0))</f>
        <v>A-046</v>
      </c>
      <c r="Q34" s="249" t="str">
        <f>+INDEX(PWP!$A:$Z,MATCH('PWP-Print BACKUP'!O32,PWP!$B:$B,0),MATCH("Element",PWP!$A$1:$Z$1,0))&amp;" "&amp;INDEX(PWP!$A:$Z,MATCH('PWP-Print BACKUP'!O32,PWP!$B:$B,0),MATCH("Type",PWP!$A$1:$Z$1,0))&amp;" Adventurer"</f>
        <v>Flame Wand Adventurer</v>
      </c>
      <c r="U34" s="250"/>
    </row>
    <row r="35" spans="1:21" ht="7.5" customHeight="1" x14ac:dyDescent="0.3">
      <c r="A35" t="s">
        <v>10763</v>
      </c>
      <c r="E35" s="250"/>
      <c r="G35" s="250"/>
      <c r="K35" s="250"/>
      <c r="O35" s="250"/>
      <c r="Q35" s="250"/>
      <c r="U35" s="250"/>
    </row>
    <row r="36" spans="1:21" ht="22.5" customHeight="1" x14ac:dyDescent="0.3">
      <c r="C36" s="729" t="e" vm="1050">
        <f>_xlfn.IMAGE("https://natalie.tf/wp-content/uploads/2023/10/DLV3_Icon_ADV_"&amp;E37&amp;"_r05.png")</f>
        <v>#VALUE!</v>
      </c>
      <c r="E36" s="249" t="str">
        <f>"PWP-"&amp;A38</f>
        <v>PWP-034</v>
      </c>
      <c r="G36" s="249" t="str">
        <f>+INDEX(PWP!$A:$Z,MATCH('PWP-Print BACKUP'!E36,PWP!$B:$B,0),MATCH("Title",PWP!$A$1:$Z$1,0))</f>
        <v>Lovestruck Dragon</v>
      </c>
      <c r="I36" t="e" vm="1036">
        <f>_xlfn.IMAGE("https://natalie.tf/wp-content/uploads/2023/10/DLV3_Icon_Ability_"&amp;INDEX('PWP-A'!$A$2:$C$31,MATCH('PWP-Print BACKUP'!J36,'PWP-A'!$B$2:$B$31,0),1)&amp;".png")</f>
        <v>#VALUE!</v>
      </c>
      <c r="J36" s="229" t="str">
        <f>+INDEX(PWP!$A:$Z,MATCH('PWP-Print BACKUP'!E36,PWP!$B:$B,0),MATCH("PWP Ability 1",PWP!$A$1:$Z$1,0))</f>
        <v>15 Hits = Overdamage</v>
      </c>
      <c r="K36" s="249" t="str">
        <f>+INDEX(PWP!$A:$Z,MATCH('PWP-Print BACKUP'!E36,PWP!$B:$B,0),MATCH("Locked PWP Ability 1",PWP!$A$1:$Z$1,0))</f>
        <v>(Flame) 15 Hits = Overdamage</v>
      </c>
      <c r="M36" s="729" t="e" vm="1051">
        <f>_xlfn.IMAGE("https://natalie.tf/wp-content/uploads/2023/10/DLV3_Icon_ADV_"&amp;O37&amp;"_r05.png")</f>
        <v>#VALUE!</v>
      </c>
      <c r="O36" s="249" t="str">
        <f>"PWP-"&amp;B38</f>
        <v>PWP-047</v>
      </c>
      <c r="Q36" s="249" t="str">
        <f>+INDEX(PWP!$A:$Z,MATCH('PWP-Print BACKUP'!O36,PWP!$B:$B,0),MATCH("Title",PWP!$A$1:$Z$1,0))</f>
        <v>Outgoing Student</v>
      </c>
      <c r="S36" t="e" vm="14">
        <f>_xlfn.IMAGE("https://natalie.tf/wp-content/uploads/2023/10/DLV3_Icon_Ability_"&amp;INDEX('PWP-A'!$A$2:$C$31,MATCH('PWP-Print BACKUP'!T36,'PWP-A'!$B$2:$B$31,0),1)&amp;".png")</f>
        <v>#VALUE!</v>
      </c>
      <c r="T36" s="229" t="str">
        <f>+INDEX(PWP!$A:$Z,MATCH('PWP-Print BACKUP'!O36,PWP!$B:$B,0),MATCH("PWP Ability 1",PWP!$A$1:$Z$1,0))</f>
        <v>Strength +20%</v>
      </c>
      <c r="U36" s="249" t="str">
        <f>+INDEX(PWP!$A:$Z,MATCH('PWP-Print BACKUP'!O36,PWP!$B:$B,0),MATCH("Locked PWP Ability 1",PWP!$A$1:$Z$1,0))</f>
        <v>(Flame) Strength +20%</v>
      </c>
    </row>
    <row r="37" spans="1:21" ht="22.5" customHeight="1" x14ac:dyDescent="0.3">
      <c r="C37" s="729"/>
      <c r="D37" s="8"/>
      <c r="E37" s="200" t="str">
        <f>+INDEX(PWP!$A:$Z,MATCH('PWP-Print BACKUP'!E36,PWP!$B:$B,0),MATCH("ID",PWP!$A$1:$Z$1,0))</f>
        <v>100010_04</v>
      </c>
      <c r="F37" s="8"/>
      <c r="G37" s="249" t="str">
        <f>+INDEX(PWP!$A:$Z,MATCH('PWP-Print BACKUP'!E36,PWP!$B:$B,0),MATCH("Name",PWP!$A$1:$Z$1,0))</f>
        <v>Gala Mym</v>
      </c>
      <c r="H37" s="8"/>
      <c r="I37" t="e" vm="601">
        <f>_xlfn.IMAGE("https://natalie.tf/wp-content/uploads/2023/10/DLV3_Icon_Ability_"&amp;INDEX('PWP-A'!$A$2:$C$31,MATCH('PWP-Print BACKUP'!J37,'PWP-A'!$B$2:$B$31,0),1)&amp;".png")</f>
        <v>#VALUE!</v>
      </c>
      <c r="J37" s="229" t="str">
        <f>+INDEX(PWP!$A:$Z,MATCH('PWP-Print BACKUP'!E36,PWP!$B:$B,0),MATCH("PWP Ability 2",PWP!$A$1:$Z$1,0))</f>
        <v>Dragon Haste +15%</v>
      </c>
      <c r="K37" s="249" t="str">
        <f>+INDEX(PWP!$A:$Z,MATCH('PWP-Print BACKUP'!E36,PWP!$B:$B,0),MATCH("Locked PWP Ability 2",PWP!$A$1:$Z$1,0))</f>
        <v>(Flame) Dragon Haste +15%</v>
      </c>
      <c r="M37" s="729"/>
      <c r="N37" s="8"/>
      <c r="O37" s="200" t="str">
        <f>+INDEX(PWP!$A:$Z,MATCH('PWP-Print BACKUP'!O36,PWP!$B:$B,0),MATCH("ID",PWP!$A$1:$Z$1,0))</f>
        <v>110032_02</v>
      </c>
      <c r="P37" s="8"/>
      <c r="Q37" s="249" t="str">
        <f>+INDEX(PWP!$A:$Z,MATCH('PWP-Print BACKUP'!O36,PWP!$B:$B,0),MATCH("Name",PWP!$A$1:$Z$1,0))</f>
        <v>Student Maribelle</v>
      </c>
      <c r="R37" s="8"/>
      <c r="S37" t="e" vm="376">
        <f>_xlfn.IMAGE("https://natalie.tf/wp-content/uploads/2023/10/DLV3_Icon_Ability_"&amp;INDEX('PWP-A'!$A$2:$C$31,MATCH('PWP-Print BACKUP'!T37,'PWP-A'!$B$2:$B$31,0),1)&amp;".png")</f>
        <v>#VALUE!</v>
      </c>
      <c r="T37" s="229" t="str">
        <f>+INDEX(PWP!$A:$Z,MATCH('PWP-Print BACKUP'!O36,PWP!$B:$B,0),MATCH("PWP Ability 2",PWP!$A$1:$Z$1,0))</f>
        <v>Broken Punisher +30%</v>
      </c>
      <c r="U37" s="249" t="str">
        <f>+INDEX(PWP!$A:$Z,MATCH('PWP-Print BACKUP'!O36,PWP!$B:$B,0),MATCH("Locked PWP Ability 2",PWP!$A$1:$Z$1,0))</f>
        <v>(Flame) Broken Punisher +30%</v>
      </c>
    </row>
    <row r="38" spans="1:21" ht="22.5" customHeight="1" x14ac:dyDescent="0.3">
      <c r="A38" s="222" t="str">
        <f>TEXT(A34+1,"000")</f>
        <v>034</v>
      </c>
      <c r="B38" s="222" t="str">
        <f>TEXT(B34+1,"000")</f>
        <v>047</v>
      </c>
      <c r="C38" s="729"/>
      <c r="E38" s="251" t="str">
        <f>+INDEX(PWP!$A:$Z,MATCH('PWP-Print BACKUP'!E36,PWP!$B:$B,0),MATCH("Num",PWP!$A$1:$Z$1,0))</f>
        <v>A-034</v>
      </c>
      <c r="G38" s="249" t="str">
        <f>+INDEX(PWP!$A:$Z,MATCH('PWP-Print BACKUP'!E36,PWP!$B:$B,0),MATCH("Element",PWP!$A$1:$Z$1,0))&amp;" "&amp;INDEX(PWP!$A:$Z,MATCH('PWP-Print BACKUP'!E36,PWP!$B:$B,0),MATCH("Type",PWP!$A$1:$Z$1,0))&amp;" Adventurer"</f>
        <v>Flame Lance Adventurer</v>
      </c>
      <c r="K38" s="250"/>
      <c r="M38" s="729"/>
      <c r="O38" s="251" t="str">
        <f>+INDEX(PWP!$A:$Z,MATCH('PWP-Print BACKUP'!O36,PWP!$B:$B,0),MATCH("Num",PWP!$A$1:$Z$1,0))</f>
        <v>A-047</v>
      </c>
      <c r="Q38" s="249" t="str">
        <f>+INDEX(PWP!$A:$Z,MATCH('PWP-Print BACKUP'!O36,PWP!$B:$B,0),MATCH("Element",PWP!$A$1:$Z$1,0))&amp;" "&amp;INDEX(PWP!$A:$Z,MATCH('PWP-Print BACKUP'!O36,PWP!$B:$B,0),MATCH("Type",PWP!$A$1:$Z$1,0))&amp;" Adventurer"</f>
        <v>Flame Wand Adventurer</v>
      </c>
      <c r="U38" s="250"/>
    </row>
    <row r="39" spans="1:21" ht="7.5" customHeight="1" x14ac:dyDescent="0.3">
      <c r="A39" t="s">
        <v>10763</v>
      </c>
      <c r="E39" s="250"/>
      <c r="G39" s="250"/>
      <c r="K39" s="250"/>
      <c r="O39" s="250"/>
      <c r="Q39" s="250"/>
      <c r="U39" s="250"/>
    </row>
    <row r="40" spans="1:21" ht="22.5" customHeight="1" x14ac:dyDescent="0.3">
      <c r="C40" s="729" t="e" vm="1052">
        <f>_xlfn.IMAGE("https://natalie.tf/wp-content/uploads/2023/10/DLV3_Icon_ADV_"&amp;E41&amp;"_r05.png")</f>
        <v>#VALUE!</v>
      </c>
      <c r="E40" s="249" t="str">
        <f>"PWP-"&amp;A42</f>
        <v>PWP-035</v>
      </c>
      <c r="G40" s="249" t="str">
        <f>+INDEX(PWP!$A:$Z,MATCH('PWP-Print BACKUP'!E40,PWP!$B:$B,0),MATCH("Title",PWP!$A$1:$Z$1,0))</f>
        <v>Encouraging Cheerleader</v>
      </c>
      <c r="I40" t="e" vm="326">
        <f>_xlfn.IMAGE("https://natalie.tf/wp-content/uploads/2023/10/DLV3_Icon_Ability_"&amp;INDEX('PWP-A'!$A$2:$C$31,MATCH('PWP-Print BACKUP'!J40,'PWP-A'!$B$2:$B$31,0),1)&amp;".png")</f>
        <v>#VALUE!</v>
      </c>
      <c r="J40" s="229" t="str">
        <f>+INDEX(PWP!$A:$Z,MATCH('PWP-Print BACKUP'!E40,PWP!$B:$B,0),MATCH("PWP Ability 1",PWP!$A$1:$Z$1,0))</f>
        <v>Critical Rate +15%</v>
      </c>
      <c r="K40" s="249" t="str">
        <f>+INDEX(PWP!$A:$Z,MATCH('PWP-Print BACKUP'!E40,PWP!$B:$B,0),MATCH("Locked PWP Ability 1",PWP!$A$1:$Z$1,0))</f>
        <v>(Flame) Critical Rate +15%</v>
      </c>
      <c r="M40" s="729" t="e" vm="1053">
        <f>_xlfn.IMAGE("https://natalie.tf/wp-content/uploads/2023/10/DLV3_Icon_ADV_"&amp;O41&amp;"_r05.png")</f>
        <v>#VALUE!</v>
      </c>
      <c r="O40" s="249" t="str">
        <f>"PWP-"&amp;B42</f>
        <v>PWP-048</v>
      </c>
      <c r="Q40" s="249" t="str">
        <f>+INDEX(PWP!$A:$Z,MATCH('PWP-Print BACKUP'!O40,PWP!$B:$B,0),MATCH("Title",PWP!$A$1:$Z$1,0))</f>
        <v>Intrepid Scholar</v>
      </c>
      <c r="S40" t="e" vm="330">
        <f>_xlfn.IMAGE("https://natalie.tf/wp-content/uploads/2023/10/DLV3_Icon_Ability_"&amp;INDEX('PWP-A'!$A$2:$C$31,MATCH('PWP-Print BACKUP'!T40,'PWP-A'!$B$2:$B$31,0),1)&amp;".png")</f>
        <v>#VALUE!</v>
      </c>
      <c r="T40" s="229" t="str">
        <f>+INDEX(PWP!$A:$Z,MATCH('PWP-Print BACKUP'!O40,PWP!$B:$B,0),MATCH("PWP Ability 1",PWP!$A$1:$Z$1,0))</f>
        <v>Skill Haste +10%</v>
      </c>
      <c r="U40" s="249" t="str">
        <f>+INDEX(PWP!$A:$Z,MATCH('PWP-Print BACKUP'!O40,PWP!$B:$B,0),MATCH("Locked PWP Ability 1",PWP!$A$1:$Z$1,0))</f>
        <v>(Flame) Skill Haste +10%</v>
      </c>
    </row>
    <row r="41" spans="1:21" ht="22.5" customHeight="1" x14ac:dyDescent="0.3">
      <c r="C41" s="729"/>
      <c r="D41" s="8"/>
      <c r="E41" s="200" t="str">
        <f>+INDEX(PWP!$A:$Z,MATCH('PWP-Print BACKUP'!E40,PWP!$B:$B,0),MATCH("ID",PWP!$A$1:$Z$1,0))</f>
        <v>110260_01</v>
      </c>
      <c r="F41" s="8"/>
      <c r="G41" s="249" t="str">
        <f>+INDEX(PWP!$A:$Z,MATCH('PWP-Print BACKUP'!E40,PWP!$B:$B,0),MATCH("Name",PWP!$A$1:$Z$1,0))</f>
        <v>Emma</v>
      </c>
      <c r="H41" s="8"/>
      <c r="I41" t="e" vm="696">
        <f>_xlfn.IMAGE("https://natalie.tf/wp-content/uploads/2023/10/DLV3_Icon_Ability_"&amp;INDEX('PWP-A'!$A$2:$C$31,MATCH('PWP-Print BACKUP'!J41,'PWP-A'!$B$2:$B$31,0),1)&amp;".png")</f>
        <v>#VALUE!</v>
      </c>
      <c r="J41" s="229" t="str">
        <f>+INDEX(PWP!$A:$Z,MATCH('PWP-Print BACKUP'!E40,PWP!$B:$B,0),MATCH("PWP Ability 2",PWP!$A$1:$Z$1,0))</f>
        <v>Elemental Res +15%</v>
      </c>
      <c r="K41" s="249" t="str">
        <f>+INDEX(PWP!$A:$Z,MATCH('PWP-Print BACKUP'!E40,PWP!$B:$B,0),MATCH("Locked PWP Ability 2",PWP!$A$1:$Z$1,0))</f>
        <v>(Flame) Elemental Res +15%</v>
      </c>
      <c r="M41" s="729"/>
      <c r="N41" s="8"/>
      <c r="O41" s="200" t="str">
        <f>+INDEX(PWP!$A:$Z,MATCH('PWP-Print BACKUP'!O40,PWP!$B:$B,0),MATCH("ID",PWP!$A$1:$Z$1,0))</f>
        <v>110009_01</v>
      </c>
      <c r="P41" s="8"/>
      <c r="Q41" s="249" t="str">
        <f>+INDEX(PWP!$A:$Z,MATCH('PWP-Print BACKUP'!O40,PWP!$B:$B,0),MATCH("Name",PWP!$A$1:$Z$1,0))</f>
        <v>Sinoa</v>
      </c>
      <c r="R41" s="8"/>
      <c r="S41" t="e" vm="696">
        <f>_xlfn.IMAGE("https://natalie.tf/wp-content/uploads/2023/10/DLV3_Icon_Ability_"&amp;INDEX('PWP-A'!$A$2:$C$31,MATCH('PWP-Print BACKUP'!T41,'PWP-A'!$B$2:$B$31,0),1)&amp;".png")</f>
        <v>#VALUE!</v>
      </c>
      <c r="T41" s="229" t="str">
        <f>+INDEX(PWP!$A:$Z,MATCH('PWP-Print BACKUP'!O40,PWP!$B:$B,0),MATCH("PWP Ability 2",PWP!$A$1:$Z$1,0))</f>
        <v>Elemental Res +15%</v>
      </c>
      <c r="U41" s="249" t="str">
        <f>+INDEX(PWP!$A:$Z,MATCH('PWP-Print BACKUP'!O40,PWP!$B:$B,0),MATCH("Locked PWP Ability 2",PWP!$A$1:$Z$1,0))</f>
        <v>(Flame) Elemental Res +15%</v>
      </c>
    </row>
    <row r="42" spans="1:21" ht="22.5" customHeight="1" x14ac:dyDescent="0.3">
      <c r="A42" s="222" t="str">
        <f>TEXT(A38+1,"000")</f>
        <v>035</v>
      </c>
      <c r="B42" s="222" t="str">
        <f>TEXT(B38+1,"000")</f>
        <v>048</v>
      </c>
      <c r="C42" s="729"/>
      <c r="E42" s="251" t="str">
        <f>+INDEX(PWP!$A:$Z,MATCH('PWP-Print BACKUP'!E40,PWP!$B:$B,0),MATCH("Num",PWP!$A$1:$Z$1,0))</f>
        <v>A-035</v>
      </c>
      <c r="G42" s="249" t="str">
        <f>+INDEX(PWP!$A:$Z,MATCH('PWP-Print BACKUP'!E40,PWP!$B:$B,0),MATCH("Element",PWP!$A$1:$Z$1,0))&amp;" "&amp;INDEX(PWP!$A:$Z,MATCH('PWP-Print BACKUP'!E40,PWP!$B:$B,0),MATCH("Type",PWP!$A$1:$Z$1,0))&amp;" Adventurer"</f>
        <v>Flame Lance Adventurer</v>
      </c>
      <c r="K42" s="250"/>
      <c r="M42" s="729"/>
      <c r="O42" s="251" t="str">
        <f>+INDEX(PWP!$A:$Z,MATCH('PWP-Print BACKUP'!O40,PWP!$B:$B,0),MATCH("Num",PWP!$A$1:$Z$1,0))</f>
        <v>A-048</v>
      </c>
      <c r="Q42" s="249" t="str">
        <f>+INDEX(PWP!$A:$Z,MATCH('PWP-Print BACKUP'!O40,PWP!$B:$B,0),MATCH("Element",PWP!$A$1:$Z$1,0))&amp;" "&amp;INDEX(PWP!$A:$Z,MATCH('PWP-Print BACKUP'!O40,PWP!$B:$B,0),MATCH("Type",PWP!$A$1:$Z$1,0))&amp;" Adventurer"</f>
        <v>Flame Wand Adventurer</v>
      </c>
      <c r="U42" s="250"/>
    </row>
    <row r="43" spans="1:21" ht="7.5" customHeight="1" x14ac:dyDescent="0.3">
      <c r="A43" t="s">
        <v>10763</v>
      </c>
      <c r="E43" s="250"/>
      <c r="G43" s="250"/>
      <c r="K43" s="250"/>
      <c r="O43" s="250"/>
      <c r="Q43" s="250"/>
      <c r="U43" s="250"/>
    </row>
    <row r="44" spans="1:21" ht="22.5" customHeight="1" x14ac:dyDescent="0.3">
      <c r="C44" s="729" t="e" vm="1054">
        <f>_xlfn.IMAGE("https://natalie.tf/wp-content/uploads/2023/10/DLV3_Icon_ADV_"&amp;E45&amp;"_r05.png")</f>
        <v>#VALUE!</v>
      </c>
      <c r="E44" s="249" t="str">
        <f>"PWP-"&amp;A46</f>
        <v>PWP-036</v>
      </c>
      <c r="G44" s="249" t="str">
        <f>+INDEX(PWP!$A:$Z,MATCH('PWP-Print BACKUP'!E44,PWP!$B:$B,0),MATCH("Title",PWP!$A$1:$Z$1,0))</f>
        <v>Erudite Sealer</v>
      </c>
      <c r="I44" t="e" vm="326">
        <f>_xlfn.IMAGE("https://natalie.tf/wp-content/uploads/2023/10/DLV3_Icon_Ability_"&amp;INDEX('PWP-A'!$A$2:$C$31,MATCH('PWP-Print BACKUP'!J44,'PWP-A'!$B$2:$B$31,0),1)&amp;".png")</f>
        <v>#VALUE!</v>
      </c>
      <c r="J44" s="229" t="str">
        <f>+INDEX(PWP!$A:$Z,MATCH('PWP-Print BACKUP'!E44,PWP!$B:$B,0),MATCH("PWP Ability 1",PWP!$A$1:$Z$1,0))</f>
        <v>Critical Rate +15%</v>
      </c>
      <c r="K44" s="249" t="str">
        <f>+INDEX(PWP!$A:$Z,MATCH('PWP-Print BACKUP'!E44,PWP!$B:$B,0),MATCH("Locked PWP Ability 1",PWP!$A$1:$Z$1,0))</f>
        <v>(Flame) Critical Rate +15%</v>
      </c>
      <c r="M44" s="729" t="e" vm="1055">
        <f>_xlfn.IMAGE("https://natalie.tf/wp-content/uploads/2023/10/DLV3_Icon_ADV_"&amp;O45&amp;"_r05.png")</f>
        <v>#VALUE!</v>
      </c>
      <c r="O44" s="249" t="str">
        <f>"PWP-"&amp;B46</f>
        <v>PWP-049</v>
      </c>
      <c r="Q44" s="249" t="str">
        <f>+INDEX(PWP!$A:$Z,MATCH('PWP-Print BACKUP'!O44,PWP!$B:$B,0),MATCH("Title",PWP!$A$1:$Z$1,0))</f>
        <v>Meandering Mage</v>
      </c>
      <c r="S44" t="e" vm="330">
        <f>_xlfn.IMAGE("https://natalie.tf/wp-content/uploads/2023/10/DLV3_Icon_Ability_"&amp;INDEX('PWP-A'!$A$2:$C$31,MATCH('PWP-Print BACKUP'!T44,'PWP-A'!$B$2:$B$31,0),1)&amp;".png")</f>
        <v>#VALUE!</v>
      </c>
      <c r="T44" s="229" t="str">
        <f>+INDEX(PWP!$A:$Z,MATCH('PWP-Print BACKUP'!O44,PWP!$B:$B,0),MATCH("PWP Ability 1",PWP!$A$1:$Z$1,0))</f>
        <v>Skill Haste +10%</v>
      </c>
      <c r="U44" s="249" t="str">
        <f>+INDEX(PWP!$A:$Z,MATCH('PWP-Print BACKUP'!O44,PWP!$B:$B,0),MATCH("Locked PWP Ability 1",PWP!$A$1:$Z$1,0))</f>
        <v>(Flame) Skill Haste +10%</v>
      </c>
    </row>
    <row r="45" spans="1:21" ht="22.5" customHeight="1" x14ac:dyDescent="0.3">
      <c r="C45" s="729"/>
      <c r="D45" s="8"/>
      <c r="E45" s="200" t="str">
        <f>+INDEX(PWP!$A:$Z,MATCH('PWP-Print BACKUP'!E44,PWP!$B:$B,0),MATCH("ID",PWP!$A$1:$Z$1,0))</f>
        <v>110299_01</v>
      </c>
      <c r="F45" s="8"/>
      <c r="G45" s="249" t="str">
        <f>+INDEX(PWP!$A:$Z,MATCH('PWP-Print BACKUP'!E44,PWP!$B:$B,0),MATCH("Name",PWP!$A$1:$Z$1,0))</f>
        <v>Xuan Zang</v>
      </c>
      <c r="H45" s="8"/>
      <c r="I45" t="e" vm="693">
        <f>_xlfn.IMAGE("https://natalie.tf/wp-content/uploads/2023/10/DLV3_Icon_Ability_"&amp;INDEX('PWP-A'!$A$2:$C$31,MATCH('PWP-Print BACKUP'!J45,'PWP-A'!$B$2:$B$31,0),1)&amp;".png")</f>
        <v>#VALUE!</v>
      </c>
      <c r="J45" s="229" t="str">
        <f>+INDEX(PWP!$A:$Z,MATCH('PWP-Print BACKUP'!E44,PWP!$B:$B,0),MATCH("PWP Ability 2",PWP!$A$1:$Z$1,0))</f>
        <v>Combo Time +2</v>
      </c>
      <c r="K45" s="249" t="str">
        <f>+INDEX(PWP!$A:$Z,MATCH('PWP-Print BACKUP'!E44,PWP!$B:$B,0),MATCH("Locked PWP Ability 2",PWP!$A$1:$Z$1,0))</f>
        <v>(Flame) Combo Time +2</v>
      </c>
      <c r="M45" s="729"/>
      <c r="N45" s="8"/>
      <c r="O45" s="200" t="str">
        <f>+INDEX(PWP!$A:$Z,MATCH('PWP-Print BACKUP'!O44,PWP!$B:$B,0),MATCH("ID",PWP!$A$1:$Z$1,0))</f>
        <v>110004_01</v>
      </c>
      <c r="P45" s="8"/>
      <c r="Q45" s="249" t="str">
        <f>+INDEX(PWP!$A:$Z,MATCH('PWP-Print BACKUP'!O44,PWP!$B:$B,0),MATCH("Name",PWP!$A$1:$Z$1,0))</f>
        <v>Xania</v>
      </c>
      <c r="R45" s="8"/>
      <c r="S45" t="e" vm="693">
        <f>_xlfn.IMAGE("https://natalie.tf/wp-content/uploads/2023/10/DLV3_Icon_Ability_"&amp;INDEX('PWP-A'!$A$2:$C$31,MATCH('PWP-Print BACKUP'!T45,'PWP-A'!$B$2:$B$31,0),1)&amp;".png")</f>
        <v>#VALUE!</v>
      </c>
      <c r="T45" s="229" t="str">
        <f>+INDEX(PWP!$A:$Z,MATCH('PWP-Print BACKUP'!O44,PWP!$B:$B,0),MATCH("PWP Ability 2",PWP!$A$1:$Z$1,0))</f>
        <v>Combo Time +2</v>
      </c>
      <c r="U45" s="249" t="str">
        <f>+INDEX(PWP!$A:$Z,MATCH('PWP-Print BACKUP'!O44,PWP!$B:$B,0),MATCH("Locked PWP Ability 2",PWP!$A$1:$Z$1,0))</f>
        <v>(Flame) Combo Time +2</v>
      </c>
    </row>
    <row r="46" spans="1:21" ht="22.5" customHeight="1" x14ac:dyDescent="0.3">
      <c r="A46" s="222" t="str">
        <f>TEXT(A42+1,"000")</f>
        <v>036</v>
      </c>
      <c r="B46" s="222" t="str">
        <f>TEXT(B42+1,"000")</f>
        <v>049</v>
      </c>
      <c r="C46" s="729"/>
      <c r="E46" s="251" t="str">
        <f>+INDEX(PWP!$A:$Z,MATCH('PWP-Print BACKUP'!E44,PWP!$B:$B,0),MATCH("Num",PWP!$A$1:$Z$1,0))</f>
        <v>A-036</v>
      </c>
      <c r="G46" s="249" t="str">
        <f>+INDEX(PWP!$A:$Z,MATCH('PWP-Print BACKUP'!E44,PWP!$B:$B,0),MATCH("Element",PWP!$A$1:$Z$1,0))&amp;" "&amp;INDEX(PWP!$A:$Z,MATCH('PWP-Print BACKUP'!E44,PWP!$B:$B,0),MATCH("Type",PWP!$A$1:$Z$1,0))&amp;" Adventurer"</f>
        <v>Flame Lance Adventurer</v>
      </c>
      <c r="K46" s="250"/>
      <c r="M46" s="729"/>
      <c r="O46" s="251" t="str">
        <f>+INDEX(PWP!$A:$Z,MATCH('PWP-Print BACKUP'!O44,PWP!$B:$B,0),MATCH("Num",PWP!$A$1:$Z$1,0))</f>
        <v>A-049</v>
      </c>
      <c r="Q46" s="249" t="str">
        <f>+INDEX(PWP!$A:$Z,MATCH('PWP-Print BACKUP'!O44,PWP!$B:$B,0),MATCH("Element",PWP!$A$1:$Z$1,0))&amp;" "&amp;INDEX(PWP!$A:$Z,MATCH('PWP-Print BACKUP'!O44,PWP!$B:$B,0),MATCH("Type",PWP!$A$1:$Z$1,0))&amp;" Adventurer"</f>
        <v>Flame Wand Adventurer</v>
      </c>
      <c r="U46" s="250"/>
    </row>
    <row r="47" spans="1:21" ht="7.5" customHeight="1" x14ac:dyDescent="0.3">
      <c r="A47" t="s">
        <v>10763</v>
      </c>
      <c r="E47" s="250"/>
      <c r="G47" s="250"/>
      <c r="K47" s="250"/>
      <c r="O47" s="250"/>
      <c r="Q47" s="250"/>
      <c r="U47" s="250"/>
    </row>
    <row r="48" spans="1:21" ht="22.5" customHeight="1" x14ac:dyDescent="0.3">
      <c r="C48" s="729" t="e" vm="1056">
        <f>_xlfn.IMAGE("https://natalie.tf/wp-content/uploads/2023/10/DLV3_Icon_ADV_"&amp;E49&amp;"_r05.png")</f>
        <v>#VALUE!</v>
      </c>
      <c r="E48" s="249" t="str">
        <f>"PWP-"&amp;A50</f>
        <v>PWP-037</v>
      </c>
      <c r="G48" s="249" t="str">
        <f>+INDEX(PWP!$A:$Z,MATCH('PWP-Print BACKUP'!E48,PWP!$B:$B,0),MATCH("Title",PWP!$A$1:$Z$1,0))</f>
        <v>Captain Craven</v>
      </c>
      <c r="I48" t="e" vm="426">
        <f>_xlfn.IMAGE("https://natalie.tf/wp-content/uploads/2023/10/DLV3_Icon_Ability_"&amp;INDEX('PWP-A'!$A$2:$C$31,MATCH('PWP-Print BACKUP'!J48,'PWP-A'!$B$2:$B$31,0),1)&amp;".png")</f>
        <v>#VALUE!</v>
      </c>
      <c r="J48" s="229" t="str">
        <f>+INDEX(PWP!$A:$Z,MATCH('PWP-Print BACKUP'!E48,PWP!$B:$B,0),MATCH("PWP Ability 1",PWP!$A$1:$Z$1,0))</f>
        <v>Defense +20%</v>
      </c>
      <c r="K48" s="249" t="str">
        <f>+INDEX(PWP!$A:$Z,MATCH('PWP-Print BACKUP'!E48,PWP!$B:$B,0),MATCH("Locked PWP Ability 1",PWP!$A$1:$Z$1,0))</f>
        <v>(Flame) Defense +20%</v>
      </c>
      <c r="M48" s="729" t="e" vm="1057">
        <f>_xlfn.IMAGE("https://natalie.tf/wp-content/uploads/2023/10/DLV3_Icon_ADV_"&amp;O49&amp;"_r05.png")</f>
        <v>#VALUE!</v>
      </c>
      <c r="O48" s="249" t="str">
        <f>"PWP-"&amp;B50</f>
        <v>PWP-050</v>
      </c>
      <c r="Q48" s="249" t="str">
        <f>+INDEX(PWP!$A:$Z,MATCH('PWP-Print BACKUP'!O48,PWP!$B:$B,0),MATCH("Title",PWP!$A$1:$Z$1,0))</f>
        <v>Twin Wings of Freedom</v>
      </c>
      <c r="S48" t="e" vm="14">
        <f>_xlfn.IMAGE("https://natalie.tf/wp-content/uploads/2023/10/DLV3_Icon_Ability_"&amp;INDEX('PWP-A'!$A$2:$C$31,MATCH('PWP-Print BACKUP'!T48,'PWP-A'!$B$2:$B$31,0),1)&amp;".png")</f>
        <v>#VALUE!</v>
      </c>
      <c r="T48" s="229" t="str">
        <f>+INDEX(PWP!$A:$Z,MATCH('PWP-Print BACKUP'!O48,PWP!$B:$B,0),MATCH("PWP Ability 1",PWP!$A$1:$Z$1,0))</f>
        <v>Strength +20%</v>
      </c>
      <c r="U48" s="249" t="str">
        <f>+INDEX(PWP!$A:$Z,MATCH('PWP-Print BACKUP'!O48,PWP!$B:$B,0),MATCH("Locked PWP Ability 1",PWP!$A$1:$Z$1,0))</f>
        <v>(Flame) Strength +20%</v>
      </c>
    </row>
    <row r="49" spans="1:21" ht="22.5" customHeight="1" x14ac:dyDescent="0.3">
      <c r="C49" s="729"/>
      <c r="D49" s="8"/>
      <c r="E49" s="200" t="str">
        <f>+INDEX(PWP!$A:$Z,MATCH('PWP-Print BACKUP'!E48,PWP!$B:$B,0),MATCH("ID",PWP!$A$1:$Z$1,0))</f>
        <v>110001_01</v>
      </c>
      <c r="F49" s="8"/>
      <c r="G49" s="249" t="str">
        <f>+INDEX(PWP!$A:$Z,MATCH('PWP-Print BACKUP'!E48,PWP!$B:$B,0),MATCH("Name",PWP!$A$1:$Z$1,0))</f>
        <v>Alain</v>
      </c>
      <c r="H49" s="8"/>
      <c r="I49" t="e" vm="696">
        <f>_xlfn.IMAGE("https://natalie.tf/wp-content/uploads/2023/10/DLV3_Icon_Ability_"&amp;INDEX('PWP-A'!$A$2:$C$31,MATCH('PWP-Print BACKUP'!J49,'PWP-A'!$B$2:$B$31,0),1)&amp;".png")</f>
        <v>#VALUE!</v>
      </c>
      <c r="J49" s="229" t="str">
        <f>+INDEX(PWP!$A:$Z,MATCH('PWP-Print BACKUP'!E48,PWP!$B:$B,0),MATCH("PWP Ability 2",PWP!$A$1:$Z$1,0))</f>
        <v>Elemental Res +15%</v>
      </c>
      <c r="K49" s="249" t="str">
        <f>+INDEX(PWP!$A:$Z,MATCH('PWP-Print BACKUP'!E48,PWP!$B:$B,0),MATCH("Locked PWP Ability 2",PWP!$A$1:$Z$1,0))</f>
        <v>(Flame) Elemental Res +15%</v>
      </c>
      <c r="M49" s="729"/>
      <c r="N49" s="8"/>
      <c r="O49" s="200" t="str">
        <f>+INDEX(PWP!$A:$Z,MATCH('PWP-Print BACKUP'!O48,PWP!$B:$B,0),MATCH("ID",PWP!$A$1:$Z$1,0))</f>
        <v>110399_01</v>
      </c>
      <c r="P49" s="8"/>
      <c r="Q49" s="249" t="str">
        <f>+INDEX(PWP!$A:$Z,MATCH('PWP-Print BACKUP'!O48,PWP!$B:$B,0),MATCH("Name",PWP!$A$1:$Z$1,0))</f>
        <v>Ayaha &amp; Otoha</v>
      </c>
      <c r="R49" s="8"/>
      <c r="S49" t="e" vm="14">
        <f>_xlfn.IMAGE("https://natalie.tf/wp-content/uploads/2023/10/DLV3_Icon_Ability_"&amp;INDEX('PWP-A'!$A$2:$C$31,MATCH('PWP-Print BACKUP'!T49,'PWP-A'!$B$2:$B$31,0),1)&amp;".png")</f>
        <v>#VALUE!</v>
      </c>
      <c r="T49" s="229" t="str">
        <f>+INDEX(PWP!$A:$Z,MATCH('PWP-Print BACKUP'!O48,PWP!$B:$B,0),MATCH("PWP Ability 2",PWP!$A$1:$Z$1,0))</f>
        <v>Skill Damage +40%</v>
      </c>
      <c r="U49" s="249" t="str">
        <f>+INDEX(PWP!$A:$Z,MATCH('PWP-Print BACKUP'!O48,PWP!$B:$B,0),MATCH("Locked PWP Ability 2",PWP!$A$1:$Z$1,0))</f>
        <v>(Flame) Skill Damage +40%</v>
      </c>
    </row>
    <row r="50" spans="1:21" ht="22.5" customHeight="1" x14ac:dyDescent="0.3">
      <c r="A50" s="222" t="str">
        <f>TEXT(A46+1,"000")</f>
        <v>037</v>
      </c>
      <c r="B50" s="222" t="str">
        <f>TEXT(B46+1,"000")</f>
        <v>050</v>
      </c>
      <c r="C50" s="729"/>
      <c r="E50" s="251" t="str">
        <f>+INDEX(PWP!$A:$Z,MATCH('PWP-Print BACKUP'!E48,PWP!$B:$B,0),MATCH("Num",PWP!$A$1:$Z$1,0))</f>
        <v>A-037</v>
      </c>
      <c r="G50" s="249" t="str">
        <f>+INDEX(PWP!$A:$Z,MATCH('PWP-Print BACKUP'!E48,PWP!$B:$B,0),MATCH("Element",PWP!$A$1:$Z$1,0))&amp;" "&amp;INDEX(PWP!$A:$Z,MATCH('PWP-Print BACKUP'!E48,PWP!$B:$B,0),MATCH("Type",PWP!$A$1:$Z$1,0))&amp;" Adventurer"</f>
        <v>Flame Lance Adventurer</v>
      </c>
      <c r="K50" s="250"/>
      <c r="M50" s="729"/>
      <c r="O50" s="251" t="str">
        <f>+INDEX(PWP!$A:$Z,MATCH('PWP-Print BACKUP'!O48,PWP!$B:$B,0),MATCH("Num",PWP!$A$1:$Z$1,0))</f>
        <v>A-050</v>
      </c>
      <c r="Q50" s="249" t="str">
        <f>+INDEX(PWP!$A:$Z,MATCH('PWP-Print BACKUP'!O48,PWP!$B:$B,0),MATCH("Element",PWP!$A$1:$Z$1,0))&amp;" "&amp;INDEX(PWP!$A:$Z,MATCH('PWP-Print BACKUP'!O48,PWP!$B:$B,0),MATCH("Type",PWP!$A$1:$Z$1,0))&amp;" Adventurer"</f>
        <v>Flame Staff Adventurer</v>
      </c>
      <c r="U50" s="250"/>
    </row>
    <row r="51" spans="1:21" ht="7.5" customHeight="1" x14ac:dyDescent="0.3">
      <c r="A51" t="s">
        <v>10763</v>
      </c>
      <c r="E51" s="250"/>
      <c r="G51" s="250"/>
      <c r="K51" s="250"/>
    </row>
    <row r="52" spans="1:21" ht="22.5" customHeight="1" x14ac:dyDescent="0.3">
      <c r="C52" s="729" t="e" vm="1058">
        <f>_xlfn.IMAGE("https://natalie.tf/wp-content/uploads/2023/10/DLV3_Icon_ADV_"&amp;E53&amp;"_r05.png")</f>
        <v>#VALUE!</v>
      </c>
      <c r="E52" s="249" t="str">
        <f>"PWP-"&amp;A54</f>
        <v>PWP-038</v>
      </c>
      <c r="G52" s="249" t="str">
        <f>+INDEX(PWP!$A:$Z,MATCH('PWP-Print BACKUP'!E52,PWP!$B:$B,0),MATCH("Title",PWP!$A$1:$Z$1,0))</f>
        <v>Shimmering Guardian</v>
      </c>
      <c r="I52" t="e" vm="688">
        <f>_xlfn.IMAGE("https://natalie.tf/wp-content/uploads/2023/10/DLV3_Icon_Ability_"&amp;INDEX('PWP-A'!$A$2:$C$31,MATCH('PWP-Print BACKUP'!J52,'PWP-A'!$B$2:$B$31,0),1)&amp;".png")</f>
        <v>#VALUE!</v>
      </c>
      <c r="J52" s="229" t="str">
        <f>+INDEX(PWP!$A:$Z,MATCH('PWP-Print BACKUP'!E52,PWP!$B:$B,0),MATCH("PWP Ability 1",PWP!$A$1:$Z$1,0))</f>
        <v>Overdrive Punisher +15%</v>
      </c>
      <c r="K52" s="249" t="str">
        <f>+INDEX(PWP!$A:$Z,MATCH('PWP-Print BACKUP'!E52,PWP!$B:$B,0),MATCH("Locked PWP Ability 1",PWP!$A$1:$Z$1,0))</f>
        <v>(Flame) Overdrive Punisher +15%</v>
      </c>
      <c r="M52" s="729"/>
      <c r="O52" s="221"/>
      <c r="Q52" s="221"/>
      <c r="U52" s="221"/>
    </row>
    <row r="53" spans="1:21" ht="22.5" customHeight="1" x14ac:dyDescent="0.3">
      <c r="C53" s="729"/>
      <c r="D53" s="8"/>
      <c r="E53" s="200" t="str">
        <f>+INDEX(PWP!$A:$Z,MATCH('PWP-Print BACKUP'!E52,PWP!$B:$B,0),MATCH("ID",PWP!$A$1:$Z$1,0))</f>
        <v>100005_08</v>
      </c>
      <c r="F53" s="8"/>
      <c r="G53" s="249" t="str">
        <f>+INDEX(PWP!$A:$Z,MATCH('PWP-Print BACKUP'!E52,PWP!$B:$B,0),MATCH("Name",PWP!$A$1:$Z$1,0))</f>
        <v>Summer Alex</v>
      </c>
      <c r="H53" s="8"/>
      <c r="I53" t="e" vm="696">
        <f>_xlfn.IMAGE("https://natalie.tf/wp-content/uploads/2023/10/DLV3_Icon_Ability_"&amp;INDEX('PWP-A'!$A$2:$C$31,MATCH('PWP-Print BACKUP'!J53,'PWP-A'!$B$2:$B$31,0),1)&amp;".png")</f>
        <v>#VALUE!</v>
      </c>
      <c r="J53" s="229" t="str">
        <f>+INDEX(PWP!$A:$Z,MATCH('PWP-Print BACKUP'!E52,PWP!$B:$B,0),MATCH("PWP Ability 2",PWP!$A$1:$Z$1,0))</f>
        <v>Elemental Res +15%</v>
      </c>
      <c r="K53" s="249" t="str">
        <f>+INDEX(PWP!$A:$Z,MATCH('PWP-Print BACKUP'!E52,PWP!$B:$B,0),MATCH("Locked PWP Ability 2",PWP!$A$1:$Z$1,0))</f>
        <v>(Flame) Elemental Res +15%</v>
      </c>
      <c r="M53" s="729"/>
      <c r="N53" s="8"/>
      <c r="O53" s="221"/>
      <c r="P53" s="8"/>
      <c r="Q53" s="221"/>
      <c r="R53" s="8"/>
      <c r="S53" s="8"/>
      <c r="T53" s="8"/>
      <c r="U53" s="221"/>
    </row>
    <row r="54" spans="1:21" ht="22.5" customHeight="1" x14ac:dyDescent="0.3">
      <c r="A54" s="222" t="str">
        <f>TEXT(A50+1,"000")</f>
        <v>038</v>
      </c>
      <c r="C54" s="729"/>
      <c r="E54" s="251" t="str">
        <f>+INDEX(PWP!$A:$Z,MATCH('PWP-Print BACKUP'!E52,PWP!$B:$B,0),MATCH("Num",PWP!$A$1:$Z$1,0))</f>
        <v>A-038</v>
      </c>
      <c r="G54" s="249" t="str">
        <f>+INDEX(PWP!$A:$Z,MATCH('PWP-Print BACKUP'!E52,PWP!$B:$B,0),MATCH("Element",PWP!$A$1:$Z$1,0))&amp;" "&amp;INDEX(PWP!$A:$Z,MATCH('PWP-Print BACKUP'!E52,PWP!$B:$B,0),MATCH("Type",PWP!$A$1:$Z$1,0))&amp;" Adventurer"</f>
        <v>Flame Bow Adventurer</v>
      </c>
      <c r="K54" s="250"/>
      <c r="M54" s="729"/>
      <c r="O54" s="221"/>
      <c r="Q54" s="221"/>
      <c r="U54" s="222"/>
    </row>
    <row r="55" spans="1:21" ht="30" customHeight="1" x14ac:dyDescent="0.2"/>
    <row r="56" spans="1:21" ht="22.5" customHeight="1" x14ac:dyDescent="0.3">
      <c r="C56" s="729" t="e" vm="1032">
        <f>_xlfn.IMAGE("https://natalie.tf/wp-content/uploads/2023/10/DLV3_Icon_ADV_"&amp;E57&amp;"_r05.png")</f>
        <v>#VALUE!</v>
      </c>
      <c r="E56" s="249" t="str">
        <f>"PWP-"&amp;A58</f>
        <v>PWP-026</v>
      </c>
      <c r="G56" s="249" t="str">
        <f>+INDEX(PWP!$A:$Z,MATCH('PWP-Print BACKUP'!E56,PWP!$B:$B,0),MATCH("Title",PWP!$A$1:$Z$1,0))</f>
        <v>Childlike Mercenary</v>
      </c>
      <c r="I56" t="e" vm="14">
        <f>_xlfn.IMAGE("https://natalie.tf/wp-content/uploads/2023/10/DLV3_Icon_Ability_"&amp;INDEX('PWP-A'!$A$2:$C$31,MATCH('PWP-Print BACKUP'!J56,'PWP-A'!$B$2:$B$31,0),1)&amp;".png")</f>
        <v>#VALUE!</v>
      </c>
      <c r="J56" s="229" t="str">
        <f>+INDEX(PWP!$A:$Z,MATCH('PWP-Print BACKUP'!E56,PWP!$B:$B,0),MATCH("PWP Ability 1",PWP!$A$1:$Z$1,0))</f>
        <v>Strength +20%</v>
      </c>
      <c r="K56" s="249" t="str">
        <f>+INDEX(PWP!$A:$Z,MATCH('PWP-Print BACKUP'!E56,PWP!$B:$B,0),MATCH("Locked PWP Ability 1",PWP!$A$1:$Z$1,0))</f>
        <v>(Flame) Strength +20%</v>
      </c>
      <c r="M56" s="729" t="e" vm="1033">
        <f>_xlfn.IMAGE("https://natalie.tf/wp-content/uploads/2023/10/DLV3_Icon_ADV_"&amp;O57&amp;"_r05.png")</f>
        <v>#VALUE!</v>
      </c>
      <c r="O56" s="249" t="str">
        <f>"PWP-"&amp;B58</f>
        <v>PWP-039</v>
      </c>
      <c r="Q56" s="249" t="str">
        <f>+INDEX(PWP!$A:$Z,MATCH('PWP-Print BACKUP'!O56,PWP!$B:$B,0),MATCH("Title",PWP!$A$1:$Z$1,0))</f>
        <v>Obvious Admirer</v>
      </c>
      <c r="S56" t="e" vm="326">
        <f>_xlfn.IMAGE("https://natalie.tf/wp-content/uploads/2023/10/DLV3_Icon_Ability_"&amp;INDEX('PWP-A'!$A$2:$C$31,MATCH('PWP-Print BACKUP'!T56,'PWP-A'!$B$2:$B$31,0),1)&amp;".png")</f>
        <v>#VALUE!</v>
      </c>
      <c r="T56" s="229" t="str">
        <f>+INDEX(PWP!$A:$Z,MATCH('PWP-Print BACKUP'!O56,PWP!$B:$B,0),MATCH("PWP Ability 1",PWP!$A$1:$Z$1,0))</f>
        <v>Critical Rate +15%</v>
      </c>
      <c r="U56" s="249" t="str">
        <f>+INDEX(PWP!$A:$Z,MATCH('PWP-Print BACKUP'!O56,PWP!$B:$B,0),MATCH("Locked PWP Ability 1",PWP!$A$1:$Z$1,0))</f>
        <v>(Flame) Critical Rate +15%</v>
      </c>
    </row>
    <row r="57" spans="1:21" ht="22.5" customHeight="1" x14ac:dyDescent="0.3">
      <c r="C57" s="729"/>
      <c r="D57" s="8"/>
      <c r="E57" s="200" t="str">
        <f>+INDEX(PWP!$A:$Z,MATCH('PWP-Print BACKUP'!E56,PWP!$B:$B,0),MATCH("ID",PWP!$A$1:$Z$1,0))</f>
        <v>100003_10</v>
      </c>
      <c r="F57" s="8"/>
      <c r="G57" s="249" t="str">
        <f>+INDEX(PWP!$A:$Z,MATCH('PWP-Print BACKUP'!E56,PWP!$B:$B,0),MATCH("Name",PWP!$A$1:$Z$1,0))</f>
        <v>Child Ranzal</v>
      </c>
      <c r="H57" s="8"/>
      <c r="I57" t="e" vm="496">
        <f>_xlfn.IMAGE("https://natalie.tf/wp-content/uploads/2023/10/DLV3_Icon_Ability_"&amp;INDEX('PWP-A'!$A$2:$C$31,MATCH('PWP-Print BACKUP'!J57,'PWP-A'!$B$2:$B$31,0),1)&amp;".png")</f>
        <v>#VALUE!</v>
      </c>
      <c r="J57" s="229" t="str">
        <f>+INDEX(PWP!$A:$Z,MATCH('PWP-Print BACKUP'!E56,PWP!$B:$B,0),MATCH("PWP Ability 2",PWP!$A$1:$Z$1,0))</f>
        <v>HP +15%</v>
      </c>
      <c r="K57" s="249" t="str">
        <f>+INDEX(PWP!$A:$Z,MATCH('PWP-Print BACKUP'!E56,PWP!$B:$B,0),MATCH("Locked PWP Ability 2",PWP!$A$1:$Z$1,0))</f>
        <v>(Flame) HP +15%</v>
      </c>
      <c r="M57" s="729"/>
      <c r="N57" s="8"/>
      <c r="O57" s="200" t="str">
        <f>+INDEX(PWP!$A:$Z,MATCH('PWP-Print BACKUP'!O56,PWP!$B:$B,0),MATCH("ID",PWP!$A$1:$Z$1,0))</f>
        <v>110342_01</v>
      </c>
      <c r="P57" s="8"/>
      <c r="Q57" s="249" t="str">
        <f>+INDEX(PWP!$A:$Z,MATCH('PWP-Print BACKUP'!O56,PWP!$B:$B,0),MATCH("Name",PWP!$A$1:$Z$1,0))</f>
        <v>Chelsea</v>
      </c>
      <c r="R57" s="8"/>
      <c r="S57" t="e" vm="496">
        <f>_xlfn.IMAGE("https://natalie.tf/wp-content/uploads/2023/10/DLV3_Icon_Ability_"&amp;INDEX('PWP-A'!$A$2:$C$31,MATCH('PWP-Print BACKUP'!T57,'PWP-A'!$B$2:$B$31,0),1)&amp;".png")</f>
        <v>#VALUE!</v>
      </c>
      <c r="T57" s="229" t="str">
        <f>+INDEX(PWP!$A:$Z,MATCH('PWP-Print BACKUP'!O56,PWP!$B:$B,0),MATCH("PWP Ability 2",PWP!$A$1:$Z$1,0))</f>
        <v>HP +15%</v>
      </c>
      <c r="U57" s="249" t="str">
        <f>+INDEX(PWP!$A:$Z,MATCH('PWP-Print BACKUP'!O56,PWP!$B:$B,0),MATCH("Locked PWP Ability 2",PWP!$A$1:$Z$1,0))</f>
        <v>(Flame) HP +15%</v>
      </c>
    </row>
    <row r="58" spans="1:21" ht="22.5" customHeight="1" x14ac:dyDescent="0.3">
      <c r="A58" s="204" t="s">
        <v>10318</v>
      </c>
      <c r="B58" s="222" t="str">
        <f>TEXT(A106+1,"000")</f>
        <v>039</v>
      </c>
      <c r="C58" s="729"/>
      <c r="E58" s="251" t="str">
        <f>+INDEX(PWP!$A:$Z,MATCH('PWP-Print BACKUP'!E56,PWP!$B:$B,0),MATCH("Num",PWP!$A$1:$Z$1,0))</f>
        <v>A-026</v>
      </c>
      <c r="G58" s="249" t="str">
        <f>+INDEX(PWP!$A:$Z,MATCH('PWP-Print BACKUP'!E56,PWP!$B:$B,0),MATCH("Element",PWP!$A$1:$Z$1,0))&amp;" "&amp;INDEX(PWP!$A:$Z,MATCH('PWP-Print BACKUP'!E56,PWP!$B:$B,0),MATCH("Type",PWP!$A$1:$Z$1,0))&amp;" Adventurer"</f>
        <v>Flame Axe Adventurer</v>
      </c>
      <c r="K58" s="250"/>
      <c r="M58" s="729"/>
      <c r="O58" s="251" t="str">
        <f>+INDEX(PWP!$A:$Z,MATCH('PWP-Print BACKUP'!O56,PWP!$B:$B,0),MATCH("Num",PWP!$A$1:$Z$1,0))</f>
        <v>A-039</v>
      </c>
      <c r="Q58" s="249" t="str">
        <f>+INDEX(PWP!$A:$Z,MATCH('PWP-Print BACKUP'!O56,PWP!$B:$B,0),MATCH("Element",PWP!$A$1:$Z$1,0))&amp;" "&amp;INDEX(PWP!$A:$Z,MATCH('PWP-Print BACKUP'!O56,PWP!$B:$B,0),MATCH("Type",PWP!$A$1:$Z$1,0))&amp;" Adventurer"</f>
        <v>Flame Bow Adventurer</v>
      </c>
      <c r="U58" s="250"/>
    </row>
    <row r="59" spans="1:21" ht="7.5" customHeight="1" x14ac:dyDescent="0.3">
      <c r="A59" t="s">
        <v>10763</v>
      </c>
      <c r="E59" s="250"/>
      <c r="G59" s="250"/>
      <c r="K59" s="250"/>
      <c r="O59" s="250"/>
      <c r="Q59" s="250"/>
      <c r="U59" s="250"/>
    </row>
    <row r="60" spans="1:21" ht="22.5" customHeight="1" x14ac:dyDescent="0.3">
      <c r="C60" s="729" t="e" vm="1034">
        <f>_xlfn.IMAGE("https://natalie.tf/wp-content/uploads/2023/10/DLV3_Icon_ADV_"&amp;E61&amp;"_r05.png")</f>
        <v>#VALUE!</v>
      </c>
      <c r="E60" s="249" t="str">
        <f>"PWP-"&amp;A62</f>
        <v>PWP-027</v>
      </c>
      <c r="G60" s="249" t="str">
        <f>+INDEX(PWP!$A:$Z,MATCH('PWP-Print BACKUP'!E60,PWP!$B:$B,0),MATCH("Title",PWP!$A$1:$Z$1,0))</f>
        <v>Dragon Temptress</v>
      </c>
      <c r="I60" t="e" vm="326">
        <f>_xlfn.IMAGE("https://natalie.tf/wp-content/uploads/2023/10/DLV3_Icon_Ability_"&amp;INDEX('PWP-A'!$A$2:$C$31,MATCH('PWP-Print BACKUP'!J60,'PWP-A'!$B$2:$B$31,0),1)&amp;".png")</f>
        <v>#VALUE!</v>
      </c>
      <c r="J60" s="229" t="str">
        <f>+INDEX(PWP!$A:$Z,MATCH('PWP-Print BACKUP'!E60,PWP!$B:$B,0),MATCH("PWP Ability 1",PWP!$A$1:$Z$1,0))</f>
        <v>Critical Rate +15%</v>
      </c>
      <c r="K60" s="249" t="str">
        <f>+INDEX(PWP!$A:$Z,MATCH('PWP-Print BACKUP'!E60,PWP!$B:$B,0),MATCH("Locked PWP Ability 1",PWP!$A$1:$Z$1,0))</f>
        <v>(Flame) Critical Rate +15%</v>
      </c>
      <c r="M60" s="729" t="e" vm="1035">
        <f>_xlfn.IMAGE("https://natalie.tf/wp-content/uploads/2023/10/DLV3_Icon_ADV_"&amp;O61&amp;"_r05.png")</f>
        <v>#VALUE!</v>
      </c>
      <c r="O60" s="249" t="str">
        <f>"PWP-"&amp;B62</f>
        <v>PWP-040</v>
      </c>
      <c r="Q60" s="249" t="str">
        <f>+INDEX(PWP!$A:$Z,MATCH('PWP-Print BACKUP'!O60,PWP!$B:$B,0),MATCH("Title",PWP!$A$1:$Z$1,0))</f>
        <v>The Crimson Star</v>
      </c>
      <c r="S60" t="e" vm="1036">
        <f>_xlfn.IMAGE("https://natalie.tf/wp-content/uploads/2023/10/DLV3_Icon_Ability_"&amp;INDEX('PWP-A'!$A$2:$C$31,MATCH('PWP-Print BACKUP'!T60,'PWP-A'!$B$2:$B$31,0),1)&amp;".png")</f>
        <v>#VALUE!</v>
      </c>
      <c r="T60" s="229" t="str">
        <f>+INDEX(PWP!$A:$Z,MATCH('PWP-Print BACKUP'!O60,PWP!$B:$B,0),MATCH("PWP Ability 1",PWP!$A$1:$Z$1,0))</f>
        <v>15 Hits = Overdamage</v>
      </c>
      <c r="U60" s="249" t="str">
        <f>+INDEX(PWP!$A:$Z,MATCH('PWP-Print BACKUP'!O60,PWP!$B:$B,0),MATCH("Locked PWP Ability 1",PWP!$A$1:$Z$1,0))</f>
        <v>(Flame) 15 Hits = Overdamage</v>
      </c>
    </row>
    <row r="61" spans="1:21" ht="22.5" customHeight="1" x14ac:dyDescent="0.3">
      <c r="C61" s="729"/>
      <c r="D61" s="8"/>
      <c r="E61" s="200" t="str">
        <f>+INDEX(PWP!$A:$Z,MATCH('PWP-Print BACKUP'!E60,PWP!$B:$B,0),MATCH("ID",PWP!$A$1:$Z$1,0))</f>
        <v>100010_07</v>
      </c>
      <c r="F61" s="8"/>
      <c r="G61" s="249" t="str">
        <f>+INDEX(PWP!$A:$Z,MATCH('PWP-Print BACKUP'!E60,PWP!$B:$B,0),MATCH("Name",PWP!$A$1:$Z$1,0))</f>
        <v>Halloween Mym</v>
      </c>
      <c r="H61" s="8"/>
      <c r="I61" t="e" vm="414">
        <f>_xlfn.IMAGE("https://natalie.tf/wp-content/uploads/2023/10/DLV3_Icon_Ability_"&amp;INDEX('PWP-A'!$A$2:$C$31,MATCH('PWP-Print BACKUP'!J61,'PWP-A'!$B$2:$B$31,0),1)&amp;".png")</f>
        <v>#VALUE!</v>
      </c>
      <c r="J61" s="229" t="str">
        <f>+INDEX(PWP!$A:$Z,MATCH('PWP-Print BACKUP'!E60,PWP!$B:$B,0),MATCH("PWP Ability 2",PWP!$A$1:$Z$1,0))</f>
        <v>Critical Damage +25%</v>
      </c>
      <c r="K61" s="249" t="str">
        <f>+INDEX(PWP!$A:$Z,MATCH('PWP-Print BACKUP'!E60,PWP!$B:$B,0),MATCH("Locked PWP Ability 2",PWP!$A$1:$Z$1,0))</f>
        <v>(Flame) Critical Damage +25%</v>
      </c>
      <c r="M61" s="729"/>
      <c r="N61" s="8"/>
      <c r="O61" s="200" t="str">
        <f>+INDEX(PWP!$A:$Z,MATCH('PWP-Print BACKUP'!O60,PWP!$B:$B,0),MATCH("ID",PWP!$A$1:$Z$1,0))</f>
        <v>100029_02</v>
      </c>
      <c r="P61" s="8"/>
      <c r="Q61" s="249" t="str">
        <f>+INDEX(PWP!$A:$Z,MATCH('PWP-Print BACKUP'!O60,PWP!$B:$B,0),MATCH("Name",PWP!$A$1:$Z$1,0))</f>
        <v>Gala Sarisse</v>
      </c>
      <c r="R61" s="8"/>
      <c r="S61" t="e" vm="326">
        <f>_xlfn.IMAGE("https://natalie.tf/wp-content/uploads/2023/10/DLV3_Icon_Ability_"&amp;INDEX('PWP-A'!$A$2:$C$31,MATCH('PWP-Print BACKUP'!T61,'PWP-A'!$B$2:$B$31,0),1)&amp;".png")</f>
        <v>#VALUE!</v>
      </c>
      <c r="T61" s="229" t="str">
        <f>+INDEX(PWP!$A:$Z,MATCH('PWP-Print BACKUP'!O60,PWP!$B:$B,0),MATCH("PWP Ability 2",PWP!$A$1:$Z$1,0))</f>
        <v>Critical Rate +15%</v>
      </c>
      <c r="U61" s="249" t="str">
        <f>+INDEX(PWP!$A:$Z,MATCH('PWP-Print BACKUP'!O60,PWP!$B:$B,0),MATCH("Locked PWP Ability 2",PWP!$A$1:$Z$1,0))</f>
        <v>(Flame) Critical Rate +15%</v>
      </c>
    </row>
    <row r="62" spans="1:21" ht="22.5" customHeight="1" x14ac:dyDescent="0.3">
      <c r="A62" s="222" t="str">
        <f>TEXT(A58+1,"000")</f>
        <v>027</v>
      </c>
      <c r="B62" s="222" t="str">
        <f>TEXT(B58+1,"000")</f>
        <v>040</v>
      </c>
      <c r="C62" s="729"/>
      <c r="E62" s="251" t="str">
        <f>+INDEX(PWP!$A:$Z,MATCH('PWP-Print BACKUP'!E60,PWP!$B:$B,0),MATCH("Num",PWP!$A$1:$Z$1,0))</f>
        <v>A-027</v>
      </c>
      <c r="G62" s="249" t="str">
        <f>+INDEX(PWP!$A:$Z,MATCH('PWP-Print BACKUP'!E60,PWP!$B:$B,0),MATCH("Element",PWP!$A$1:$Z$1,0))&amp;" "&amp;INDEX(PWP!$A:$Z,MATCH('PWP-Print BACKUP'!E60,PWP!$B:$B,0),MATCH("Type",PWP!$A$1:$Z$1,0))&amp;" Adventurer"</f>
        <v>Flame Axe Adventurer</v>
      </c>
      <c r="K62" s="250"/>
      <c r="M62" s="729"/>
      <c r="O62" s="251" t="str">
        <f>+INDEX(PWP!$A:$Z,MATCH('PWP-Print BACKUP'!O60,PWP!$B:$B,0),MATCH("Num",PWP!$A$1:$Z$1,0))</f>
        <v>A-040</v>
      </c>
      <c r="Q62" s="249" t="str">
        <f>+INDEX(PWP!$A:$Z,MATCH('PWP-Print BACKUP'!O60,PWP!$B:$B,0),MATCH("Element",PWP!$A$1:$Z$1,0))&amp;" "&amp;INDEX(PWP!$A:$Z,MATCH('PWP-Print BACKUP'!O60,PWP!$B:$B,0),MATCH("Type",PWP!$A$1:$Z$1,0))&amp;" Adventurer"</f>
        <v>Flame Bow Adventurer</v>
      </c>
      <c r="U62" s="250"/>
    </row>
    <row r="63" spans="1:21" ht="7.5" customHeight="1" x14ac:dyDescent="0.3">
      <c r="A63" t="s">
        <v>10763</v>
      </c>
      <c r="E63" s="250"/>
      <c r="G63" s="250"/>
      <c r="K63" s="250"/>
      <c r="O63" s="250"/>
      <c r="Q63" s="250"/>
      <c r="U63" s="250"/>
    </row>
    <row r="64" spans="1:21" ht="22.5" customHeight="1" x14ac:dyDescent="0.3">
      <c r="C64" s="729" t="e" vm="1037">
        <f>_xlfn.IMAGE("https://natalie.tf/wp-content/uploads/2023/10/DLV3_Icon_ADV_"&amp;E65&amp;"_r05.png")</f>
        <v>#VALUE!</v>
      </c>
      <c r="E64" s="249" t="str">
        <f>"PWP-"&amp;A66</f>
        <v>PWP-028</v>
      </c>
      <c r="G64" s="249" t="str">
        <f>+INDEX(PWP!$A:$Z,MATCH('PWP-Print BACKUP'!E64,PWP!$B:$B,0),MATCH("Title",PWP!$A$1:$Z$1,0))</f>
        <v>Impassioned Blacksmith</v>
      </c>
      <c r="I64" t="e" vm="326">
        <f>_xlfn.IMAGE("https://natalie.tf/wp-content/uploads/2023/10/DLV3_Icon_Ability_"&amp;INDEX('PWP-A'!$A$2:$C$31,MATCH('PWP-Print BACKUP'!J64,'PWP-A'!$B$2:$B$31,0),1)&amp;".png")</f>
        <v>#VALUE!</v>
      </c>
      <c r="J64" s="229" t="str">
        <f>+INDEX(PWP!$A:$Z,MATCH('PWP-Print BACKUP'!E64,PWP!$B:$B,0),MATCH("PWP Ability 1",PWP!$A$1:$Z$1,0))</f>
        <v>Critical Rate +15%</v>
      </c>
      <c r="K64" s="249" t="str">
        <f>+INDEX(PWP!$A:$Z,MATCH('PWP-Print BACKUP'!E64,PWP!$B:$B,0),MATCH("Locked PWP Ability 1",PWP!$A$1:$Z$1,0))</f>
        <v>(Flame) Critical Rate +15%</v>
      </c>
      <c r="M64" s="729" t="e" vm="1038">
        <f>_xlfn.IMAGE("https://natalie.tf/wp-content/uploads/2023/10/DLV3_Icon_ADV_"&amp;O65&amp;"_r05.png")</f>
        <v>#VALUE!</v>
      </c>
      <c r="O64" s="249" t="str">
        <f>"PWP-"&amp;B66</f>
        <v>PWP-041</v>
      </c>
      <c r="Q64" s="249" t="str">
        <f>+INDEX(PWP!$A:$Z,MATCH('PWP-Print BACKUP'!O64,PWP!$B:$B,0),MATCH("Title",PWP!$A$1:$Z$1,0))</f>
        <v>Stunning Sweetheart</v>
      </c>
      <c r="S64" t="e" vm="688">
        <f>_xlfn.IMAGE("https://natalie.tf/wp-content/uploads/2023/10/DLV3_Icon_Ability_"&amp;INDEX('PWP-A'!$A$2:$C$31,MATCH('PWP-Print BACKUP'!T64,'PWP-A'!$B$2:$B$31,0),1)&amp;".png")</f>
        <v>#VALUE!</v>
      </c>
      <c r="T64" s="229" t="str">
        <f>+INDEX(PWP!$A:$Z,MATCH('PWP-Print BACKUP'!O64,PWP!$B:$B,0),MATCH("PWP Ability 1",PWP!$A$1:$Z$1,0))</f>
        <v>Overdrive Punisher +15%</v>
      </c>
      <c r="U64" s="249" t="str">
        <f>+INDEX(PWP!$A:$Z,MATCH('PWP-Print BACKUP'!O64,PWP!$B:$B,0),MATCH("Locked PWP Ability 1",PWP!$A$1:$Z$1,0))</f>
        <v>(Flame) Overdrive Punisher +15%</v>
      </c>
    </row>
    <row r="65" spans="1:21" ht="22.5" customHeight="1" x14ac:dyDescent="0.3">
      <c r="C65" s="729"/>
      <c r="D65" s="8"/>
      <c r="E65" s="200" t="str">
        <f>+INDEX(PWP!$A:$Z,MATCH('PWP-Print BACKUP'!E64,PWP!$B:$B,0),MATCH("ID",PWP!$A$1:$Z$1,0))</f>
        <v>110263_01</v>
      </c>
      <c r="F65" s="8"/>
      <c r="G65" s="249" t="str">
        <f>+INDEX(PWP!$A:$Z,MATCH('PWP-Print BACKUP'!E64,PWP!$B:$B,0),MATCH("Name",PWP!$A$1:$Z$1,0))</f>
        <v>Ramona</v>
      </c>
      <c r="H65" s="8"/>
      <c r="I65" t="e" vm="688">
        <f>_xlfn.IMAGE("https://natalie.tf/wp-content/uploads/2023/10/DLV3_Icon_Ability_"&amp;INDEX('PWP-A'!$A$2:$C$31,MATCH('PWP-Print BACKUP'!J65,'PWP-A'!$B$2:$B$31,0),1)&amp;".png")</f>
        <v>#VALUE!</v>
      </c>
      <c r="J65" s="229" t="str">
        <f>+INDEX(PWP!$A:$Z,MATCH('PWP-Print BACKUP'!E64,PWP!$B:$B,0),MATCH("PWP Ability 2",PWP!$A$1:$Z$1,0))</f>
        <v>Overdrive Punisher +15%</v>
      </c>
      <c r="K65" s="249" t="str">
        <f>+INDEX(PWP!$A:$Z,MATCH('PWP-Print BACKUP'!E64,PWP!$B:$B,0),MATCH("Locked PWP Ability 2",PWP!$A$1:$Z$1,0))</f>
        <v>(Flame) Overdrive Punisher +15%</v>
      </c>
      <c r="M65" s="729"/>
      <c r="N65" s="8"/>
      <c r="O65" s="200" t="str">
        <f>+INDEX(PWP!$A:$Z,MATCH('PWP-Print BACKUP'!O64,PWP!$B:$B,0),MATCH("ID",PWP!$A$1:$Z$1,0))</f>
        <v>110011_02</v>
      </c>
      <c r="P65" s="8"/>
      <c r="Q65" s="249" t="str">
        <f>+INDEX(PWP!$A:$Z,MATCH('PWP-Print BACKUP'!O64,PWP!$B:$B,0),MATCH("Name",PWP!$A$1:$Z$1,0))</f>
        <v>Valentine's Ezelith</v>
      </c>
      <c r="R65" s="8"/>
      <c r="S65" t="e" vm="376">
        <f>_xlfn.IMAGE("https://natalie.tf/wp-content/uploads/2023/10/DLV3_Icon_Ability_"&amp;INDEX('PWP-A'!$A$2:$C$31,MATCH('PWP-Print BACKUP'!T65,'PWP-A'!$B$2:$B$31,0),1)&amp;".png")</f>
        <v>#VALUE!</v>
      </c>
      <c r="T65" s="229" t="str">
        <f>+INDEX(PWP!$A:$Z,MATCH('PWP-Print BACKUP'!O64,PWP!$B:$B,0),MATCH("PWP Ability 2",PWP!$A$1:$Z$1,0))</f>
        <v>Broken Punisher +30%</v>
      </c>
      <c r="U65" s="249" t="str">
        <f>+INDEX(PWP!$A:$Z,MATCH('PWP-Print BACKUP'!O64,PWP!$B:$B,0),MATCH("Locked PWP Ability 2",PWP!$A$1:$Z$1,0))</f>
        <v>(Flame) Broken Punisher +30%</v>
      </c>
    </row>
    <row r="66" spans="1:21" ht="22.5" customHeight="1" x14ac:dyDescent="0.3">
      <c r="A66" s="222" t="str">
        <f>TEXT(A62+1,"000")</f>
        <v>028</v>
      </c>
      <c r="B66" s="222" t="str">
        <f>TEXT(B62+1,"000")</f>
        <v>041</v>
      </c>
      <c r="C66" s="729"/>
      <c r="E66" s="251" t="str">
        <f>+INDEX(PWP!$A:$Z,MATCH('PWP-Print BACKUP'!E64,PWP!$B:$B,0),MATCH("Num",PWP!$A$1:$Z$1,0))</f>
        <v>A-028</v>
      </c>
      <c r="G66" s="249" t="str">
        <f>+INDEX(PWP!$A:$Z,MATCH('PWP-Print BACKUP'!E64,PWP!$B:$B,0),MATCH("Element",PWP!$A$1:$Z$1,0))&amp;" "&amp;INDEX(PWP!$A:$Z,MATCH('PWP-Print BACKUP'!E64,PWP!$B:$B,0),MATCH("Type",PWP!$A$1:$Z$1,0))&amp;" Adventurer"</f>
        <v>Flame Axe Adventurer</v>
      </c>
      <c r="K66" s="250"/>
      <c r="M66" s="729"/>
      <c r="O66" s="251" t="str">
        <f>+INDEX(PWP!$A:$Z,MATCH('PWP-Print BACKUP'!O64,PWP!$B:$B,0),MATCH("Num",PWP!$A$1:$Z$1,0))</f>
        <v>A-041</v>
      </c>
      <c r="Q66" s="249" t="str">
        <f>+INDEX(PWP!$A:$Z,MATCH('PWP-Print BACKUP'!O64,PWP!$B:$B,0),MATCH("Element",PWP!$A$1:$Z$1,0))&amp;" "&amp;INDEX(PWP!$A:$Z,MATCH('PWP-Print BACKUP'!O64,PWP!$B:$B,0),MATCH("Type",PWP!$A$1:$Z$1,0))&amp;" Adventurer"</f>
        <v>Flame Bow Adventurer</v>
      </c>
      <c r="U66" s="250"/>
    </row>
    <row r="67" spans="1:21" ht="7.5" customHeight="1" x14ac:dyDescent="0.3">
      <c r="A67" t="s">
        <v>10763</v>
      </c>
      <c r="E67" s="250"/>
      <c r="G67" s="250"/>
      <c r="K67" s="250"/>
      <c r="O67" s="250"/>
      <c r="Q67" s="250"/>
      <c r="U67" s="250"/>
    </row>
    <row r="68" spans="1:21" ht="22.5" customHeight="1" x14ac:dyDescent="0.3">
      <c r="C68" s="729" t="e" vm="1039">
        <f>_xlfn.IMAGE("https://natalie.tf/wp-content/uploads/2023/10/DLV3_Icon_ADV_"&amp;E69&amp;"_r05.png")</f>
        <v>#VALUE!</v>
      </c>
      <c r="E68" s="249" t="str">
        <f>"PWP-"&amp;A70</f>
        <v>PWP-029</v>
      </c>
      <c r="G68" s="249" t="str">
        <f>+INDEX(PWP!$A:$Z,MATCH('PWP-Print BACKUP'!E68,PWP!$B:$B,0),MATCH("Title",PWP!$A$1:$Z$1,0))</f>
        <v>Hungry Hunter</v>
      </c>
      <c r="I68" t="e" vm="414">
        <f>_xlfn.IMAGE("https://natalie.tf/wp-content/uploads/2023/10/DLV3_Icon_Ability_"&amp;INDEX('PWP-A'!$A$2:$C$31,MATCH('PWP-Print BACKUP'!J68,'PWP-A'!$B$2:$B$31,0),1)&amp;".png")</f>
        <v>#VALUE!</v>
      </c>
      <c r="J68" s="229" t="str">
        <f>+INDEX(PWP!$A:$Z,MATCH('PWP-Print BACKUP'!E68,PWP!$B:$B,0),MATCH("PWP Ability 1",PWP!$A$1:$Z$1,0))</f>
        <v>Critical Damage +25%</v>
      </c>
      <c r="K68" s="249" t="str">
        <f>+INDEX(PWP!$A:$Z,MATCH('PWP-Print BACKUP'!E68,PWP!$B:$B,0),MATCH("Locked PWP Ability 1",PWP!$A$1:$Z$1,0))</f>
        <v>(Flame) Critical Damage +25%</v>
      </c>
      <c r="M68" s="729" t="e" vm="1040">
        <f>_xlfn.IMAGE("https://natalie.tf/wp-content/uploads/2023/10/DLV3_Icon_ADV_"&amp;O69&amp;"_r05.png")</f>
        <v>#VALUE!</v>
      </c>
      <c r="O68" s="249" t="str">
        <f>"PWP-"&amp;B70</f>
        <v>PWP-042</v>
      </c>
      <c r="Q68" s="249" t="str">
        <f>+INDEX(PWP!$A:$Z,MATCH('PWP-Print BACKUP'!O68,PWP!$B:$B,0),MATCH("Title",PWP!$A$1:$Z$1,0))</f>
        <v>Fire's Fletcher</v>
      </c>
      <c r="S68" t="e" vm="496">
        <f>_xlfn.IMAGE("https://natalie.tf/wp-content/uploads/2023/10/DLV3_Icon_Ability_"&amp;INDEX('PWP-A'!$A$2:$C$31,MATCH('PWP-Print BACKUP'!T68,'PWP-A'!$B$2:$B$31,0),1)&amp;".png")</f>
        <v>#VALUE!</v>
      </c>
      <c r="T68" s="229" t="str">
        <f>+INDEX(PWP!$A:$Z,MATCH('PWP-Print BACKUP'!O68,PWP!$B:$B,0),MATCH("PWP Ability 1",PWP!$A$1:$Z$1,0))</f>
        <v>HP +15%</v>
      </c>
      <c r="U68" s="249" t="str">
        <f>+INDEX(PWP!$A:$Z,MATCH('PWP-Print BACKUP'!O68,PWP!$B:$B,0),MATCH("Locked PWP Ability 1",PWP!$A$1:$Z$1,0))</f>
        <v>(Flame) HP +15%</v>
      </c>
    </row>
    <row r="69" spans="1:21" ht="22.5" customHeight="1" x14ac:dyDescent="0.3">
      <c r="C69" s="729"/>
      <c r="D69" s="8"/>
      <c r="E69" s="200" t="str">
        <f>+INDEX(PWP!$A:$Z,MATCH('PWP-Print BACKUP'!E68,PWP!$B:$B,0),MATCH("ID",PWP!$A$1:$Z$1,0))</f>
        <v>110056_01</v>
      </c>
      <c r="F69" s="8"/>
      <c r="G69" s="249" t="str">
        <f>+INDEX(PWP!$A:$Z,MATCH('PWP-Print BACKUP'!E68,PWP!$B:$B,0),MATCH("Name",PWP!$A$1:$Z$1,0))</f>
        <v>Yue</v>
      </c>
      <c r="H69" s="8"/>
      <c r="I69" t="e" vm="426">
        <f>_xlfn.IMAGE("https://natalie.tf/wp-content/uploads/2023/10/DLV3_Icon_Ability_"&amp;INDEX('PWP-A'!$A$2:$C$31,MATCH('PWP-Print BACKUP'!J69,'PWP-A'!$B$2:$B$31,0),1)&amp;".png")</f>
        <v>#VALUE!</v>
      </c>
      <c r="J69" s="229" t="str">
        <f>+INDEX(PWP!$A:$Z,MATCH('PWP-Print BACKUP'!E68,PWP!$B:$B,0),MATCH("PWP Ability 2",PWP!$A$1:$Z$1,0))</f>
        <v>Defense +20%</v>
      </c>
      <c r="K69" s="249" t="str">
        <f>+INDEX(PWP!$A:$Z,MATCH('PWP-Print BACKUP'!E68,PWP!$B:$B,0),MATCH("Locked PWP Ability 2",PWP!$A$1:$Z$1,0))</f>
        <v>(Flame) Defense +20%</v>
      </c>
      <c r="M69" s="729"/>
      <c r="N69" s="8"/>
      <c r="O69" s="200" t="str">
        <f>+INDEX(PWP!$A:$Z,MATCH('PWP-Print BACKUP'!O68,PWP!$B:$B,0),MATCH("ID",PWP!$A$1:$Z$1,0))</f>
        <v>110003_01</v>
      </c>
      <c r="P69" s="8"/>
      <c r="Q69" s="249" t="str">
        <f>+INDEX(PWP!$A:$Z,MATCH('PWP-Print BACKUP'!O68,PWP!$B:$B,0),MATCH("Name",PWP!$A$1:$Z$1,0))</f>
        <v>Joe</v>
      </c>
      <c r="R69" s="8"/>
      <c r="S69" t="e" vm="802">
        <f>_xlfn.IMAGE("https://natalie.tf/wp-content/uploads/2023/10/DLV3_Icon_Ability_"&amp;INDEX('PWP-A'!$A$2:$C$31,MATCH('PWP-Print BACKUP'!T69,'PWP-A'!$B$2:$B$31,0),1)&amp;".png")</f>
        <v>#VALUE!</v>
      </c>
      <c r="T69" s="229" t="str">
        <f>+INDEX(PWP!$A:$Z,MATCH('PWP-Print BACKUP'!O68,PWP!$B:$B,0),MATCH("PWP Ability 2",PWP!$A$1:$Z$1,0))</f>
        <v>HP 70% = Shield +40%</v>
      </c>
      <c r="U69" s="249" t="str">
        <f>+INDEX(PWP!$A:$Z,MATCH('PWP-Print BACKUP'!O68,PWP!$B:$B,0),MATCH("Locked PWP Ability 2",PWP!$A$1:$Z$1,0))</f>
        <v>(Flame) HP 70% = Shield +40%</v>
      </c>
    </row>
    <row r="70" spans="1:21" ht="22.5" customHeight="1" x14ac:dyDescent="0.3">
      <c r="A70" s="222" t="str">
        <f>TEXT(A66+1,"000")</f>
        <v>029</v>
      </c>
      <c r="B70" s="222" t="str">
        <f>TEXT(B66+1,"000")</f>
        <v>042</v>
      </c>
      <c r="C70" s="729"/>
      <c r="E70" s="251" t="str">
        <f>+INDEX(PWP!$A:$Z,MATCH('PWP-Print BACKUP'!E68,PWP!$B:$B,0),MATCH("Num",PWP!$A$1:$Z$1,0))</f>
        <v>A-029</v>
      </c>
      <c r="G70" s="249" t="str">
        <f>+INDEX(PWP!$A:$Z,MATCH('PWP-Print BACKUP'!E68,PWP!$B:$B,0),MATCH("Element",PWP!$A$1:$Z$1,0))&amp;" "&amp;INDEX(PWP!$A:$Z,MATCH('PWP-Print BACKUP'!E68,PWP!$B:$B,0),MATCH("Type",PWP!$A$1:$Z$1,0))&amp;" Adventurer"</f>
        <v>Flame Axe Adventurer</v>
      </c>
      <c r="K70" s="250"/>
      <c r="M70" s="729"/>
      <c r="O70" s="251" t="str">
        <f>+INDEX(PWP!$A:$Z,MATCH('PWP-Print BACKUP'!O68,PWP!$B:$B,0),MATCH("Num",PWP!$A$1:$Z$1,0))</f>
        <v>A-042</v>
      </c>
      <c r="Q70" s="249" t="str">
        <f>+INDEX(PWP!$A:$Z,MATCH('PWP-Print BACKUP'!O68,PWP!$B:$B,0),MATCH("Element",PWP!$A$1:$Z$1,0))&amp;" "&amp;INDEX(PWP!$A:$Z,MATCH('PWP-Print BACKUP'!O68,PWP!$B:$B,0),MATCH("Type",PWP!$A$1:$Z$1,0))&amp;" Adventurer"</f>
        <v>Flame Bow Adventurer</v>
      </c>
      <c r="U70" s="250"/>
    </row>
    <row r="71" spans="1:21" ht="7.5" customHeight="1" x14ac:dyDescent="0.3">
      <c r="A71" t="s">
        <v>10763</v>
      </c>
      <c r="E71" s="250"/>
      <c r="G71" s="250"/>
      <c r="K71" s="250"/>
      <c r="O71" s="250"/>
      <c r="Q71" s="250"/>
      <c r="U71" s="250"/>
    </row>
    <row r="72" spans="1:21" ht="22.5" customHeight="1" x14ac:dyDescent="0.3">
      <c r="C72" s="729" t="e" vm="1041">
        <f>_xlfn.IMAGE("https://natalie.tf/wp-content/uploads/2023/10/DLV3_Icon_ADV_"&amp;E73&amp;"_r05.png")</f>
        <v>#VALUE!</v>
      </c>
      <c r="E72" s="249" t="str">
        <f>"PWP-"&amp;A74</f>
        <v>PWP-030</v>
      </c>
      <c r="G72" s="249" t="str">
        <f>+INDEX(PWP!$A:$Z,MATCH('PWP-Print BACKUP'!E72,PWP!$B:$B,0),MATCH("Title",PWP!$A$1:$Z$1,0))</f>
        <v>Red-Haired Warrior</v>
      </c>
      <c r="I72" t="e" vm="414">
        <f>_xlfn.IMAGE("https://natalie.tf/wp-content/uploads/2023/10/DLV3_Icon_Ability_"&amp;INDEX('PWP-A'!$A$2:$C$31,MATCH('PWP-Print BACKUP'!J72,'PWP-A'!$B$2:$B$31,0),1)&amp;".png")</f>
        <v>#VALUE!</v>
      </c>
      <c r="J72" s="229" t="str">
        <f>+INDEX(PWP!$A:$Z,MATCH('PWP-Print BACKUP'!E72,PWP!$B:$B,0),MATCH("PWP Ability 1",PWP!$A$1:$Z$1,0))</f>
        <v>Critical Damage +25%</v>
      </c>
      <c r="K72" s="249" t="str">
        <f>+INDEX(PWP!$A:$Z,MATCH('PWP-Print BACKUP'!E72,PWP!$B:$B,0),MATCH("Locked PWP Ability 1",PWP!$A$1:$Z$1,0))</f>
        <v>(Flame) Critical Damage +25%</v>
      </c>
      <c r="M72" s="729" t="e" vm="1042">
        <f>_xlfn.IMAGE("https://natalie.tf/wp-content/uploads/2023/10/DLV3_Icon_ADV_"&amp;O73&amp;"_r05.png")</f>
        <v>#VALUE!</v>
      </c>
      <c r="O72" s="249" t="str">
        <f>"PWP-"&amp;B74</f>
        <v>PWP-043</v>
      </c>
      <c r="Q72" s="249" t="str">
        <f>+INDEX(PWP!$A:$Z,MATCH('PWP-Print BACKUP'!O72,PWP!$B:$B,0),MATCH("Title",PWP!$A$1:$Z$1,0))</f>
        <v>Festival Belle</v>
      </c>
      <c r="S72" t="e" vm="14">
        <f>_xlfn.IMAGE("https://natalie.tf/wp-content/uploads/2023/10/DLV3_Icon_Ability_"&amp;INDEX('PWP-A'!$A$2:$C$31,MATCH('PWP-Print BACKUP'!T72,'PWP-A'!$B$2:$B$31,0),1)&amp;".png")</f>
        <v>#VALUE!</v>
      </c>
      <c r="T72" s="229" t="str">
        <f>+INDEX(PWP!$A:$Z,MATCH('PWP-Print BACKUP'!O72,PWP!$B:$B,0),MATCH("PWP Ability 1",PWP!$A$1:$Z$1,0))</f>
        <v>Skill Damage +40%</v>
      </c>
      <c r="U72" s="249" t="str">
        <f>+INDEX(PWP!$A:$Z,MATCH('PWP-Print BACKUP'!O72,PWP!$B:$B,0),MATCH("Locked PWP Ability 1",PWP!$A$1:$Z$1,0))</f>
        <v>(Flame) Skill Damage +40%</v>
      </c>
    </row>
    <row r="73" spans="1:21" ht="22.5" customHeight="1" x14ac:dyDescent="0.3">
      <c r="C73" s="729"/>
      <c r="D73" s="8"/>
      <c r="E73" s="200" t="str">
        <f>+INDEX(PWP!$A:$Z,MATCH('PWP-Print BACKUP'!E72,PWP!$B:$B,0),MATCH("ID",PWP!$A$1:$Z$1,0))</f>
        <v>110007_01</v>
      </c>
      <c r="F73" s="8"/>
      <c r="G73" s="249" t="str">
        <f>+INDEX(PWP!$A:$Z,MATCH('PWP-Print BACKUP'!E72,PWP!$B:$B,0),MATCH("Name",PWP!$A$1:$Z$1,0))</f>
        <v>Vanessa</v>
      </c>
      <c r="H73" s="8"/>
      <c r="I73" t="e" vm="7">
        <f>_xlfn.IMAGE("https://natalie.tf/wp-content/uploads/2023/10/DLV3_Icon_Ability_"&amp;INDEX('PWP-A'!$A$2:$C$31,MATCH('PWP-Print BACKUP'!J73,'PWP-A'!$B$2:$B$31,0),1)&amp;".png")</f>
        <v>#VALUE!</v>
      </c>
      <c r="J73" s="229" t="str">
        <f>+INDEX(PWP!$A:$Z,MATCH('PWP-Print BACKUP'!E72,PWP!$B:$B,0),MATCH("PWP Ability 2",PWP!$A$1:$Z$1,0))</f>
        <v>Force Strike +50%</v>
      </c>
      <c r="K73" s="249" t="str">
        <f>+INDEX(PWP!$A:$Z,MATCH('PWP-Print BACKUP'!E72,PWP!$B:$B,0),MATCH("Locked PWP Ability 2",PWP!$A$1:$Z$1,0))</f>
        <v>(Flame) Force Strike +50%</v>
      </c>
      <c r="M73" s="729"/>
      <c r="N73" s="8"/>
      <c r="O73" s="200" t="str">
        <f>+INDEX(PWP!$A:$Z,MATCH('PWP-Print BACKUP'!O72,PWP!$B:$B,0),MATCH("ID",PWP!$A$1:$Z$1,0))</f>
        <v>100004_19</v>
      </c>
      <c r="P73" s="8"/>
      <c r="Q73" s="249" t="str">
        <f>+INDEX(PWP!$A:$Z,MATCH('PWP-Print BACKUP'!O72,PWP!$B:$B,0),MATCH("Name",PWP!$A$1:$Z$1,0))</f>
        <v>Yukata Cleo</v>
      </c>
      <c r="R73" s="8"/>
      <c r="S73" t="e" vm="426">
        <f>_xlfn.IMAGE("https://natalie.tf/wp-content/uploads/2023/10/DLV3_Icon_Ability_"&amp;INDEX('PWP-A'!$A$2:$C$31,MATCH('PWP-Print BACKUP'!T73,'PWP-A'!$B$2:$B$31,0),1)&amp;".png")</f>
        <v>#VALUE!</v>
      </c>
      <c r="T73" s="229" t="str">
        <f>+INDEX(PWP!$A:$Z,MATCH('PWP-Print BACKUP'!O72,PWP!$B:$B,0),MATCH("PWP Ability 2",PWP!$A$1:$Z$1,0))</f>
        <v>Defense +20%</v>
      </c>
      <c r="U73" s="249" t="str">
        <f>+INDEX(PWP!$A:$Z,MATCH('PWP-Print BACKUP'!O72,PWP!$B:$B,0),MATCH("Locked PWP Ability 2",PWP!$A$1:$Z$1,0))</f>
        <v>(Flame) Defense +20%</v>
      </c>
    </row>
    <row r="74" spans="1:21" ht="22.5" customHeight="1" x14ac:dyDescent="0.3">
      <c r="A74" s="222" t="str">
        <f>TEXT(A70+1,"000")</f>
        <v>030</v>
      </c>
      <c r="B74" s="222" t="str">
        <f>TEXT(B70+1,"000")</f>
        <v>043</v>
      </c>
      <c r="C74" s="729"/>
      <c r="E74" s="251" t="str">
        <f>+INDEX(PWP!$A:$Z,MATCH('PWP-Print BACKUP'!E72,PWP!$B:$B,0),MATCH("Num",PWP!$A$1:$Z$1,0))</f>
        <v>A-030</v>
      </c>
      <c r="G74" s="249" t="str">
        <f>+INDEX(PWP!$A:$Z,MATCH('PWP-Print BACKUP'!E72,PWP!$B:$B,0),MATCH("Element",PWP!$A$1:$Z$1,0))&amp;" "&amp;INDEX(PWP!$A:$Z,MATCH('PWP-Print BACKUP'!E72,PWP!$B:$B,0),MATCH("Type",PWP!$A$1:$Z$1,0))&amp;" Adventurer"</f>
        <v>Flame Axe Adventurer</v>
      </c>
      <c r="K74" s="250"/>
      <c r="M74" s="729"/>
      <c r="O74" s="251" t="str">
        <f>+INDEX(PWP!$A:$Z,MATCH('PWP-Print BACKUP'!O72,PWP!$B:$B,0),MATCH("Num",PWP!$A$1:$Z$1,0))</f>
        <v>A-043</v>
      </c>
      <c r="Q74" s="249" t="str">
        <f>+INDEX(PWP!$A:$Z,MATCH('PWP-Print BACKUP'!O72,PWP!$B:$B,0),MATCH("Element",PWP!$A$1:$Z$1,0))&amp;" "&amp;INDEX(PWP!$A:$Z,MATCH('PWP-Print BACKUP'!O72,PWP!$B:$B,0),MATCH("Type",PWP!$A$1:$Z$1,0))&amp;" Adventurer"</f>
        <v>Flame Wand Adventurer</v>
      </c>
      <c r="U74" s="250"/>
    </row>
    <row r="75" spans="1:21" ht="7.5" customHeight="1" x14ac:dyDescent="0.3">
      <c r="A75" t="s">
        <v>10763</v>
      </c>
      <c r="E75" s="250"/>
      <c r="G75" s="250"/>
      <c r="K75" s="250"/>
      <c r="O75" s="250"/>
      <c r="Q75" s="250"/>
      <c r="U75" s="250"/>
    </row>
    <row r="76" spans="1:21" ht="22.5" customHeight="1" x14ac:dyDescent="0.3">
      <c r="C76" s="729" t="e" vm="1043">
        <f>_xlfn.IMAGE("https://natalie.tf/wp-content/uploads/2023/10/DLV3_Icon_ADV_"&amp;E77&amp;"_r05.png")</f>
        <v>#VALUE!</v>
      </c>
      <c r="E76" s="249" t="str">
        <f>"PWP-"&amp;A78</f>
        <v>PWP-031</v>
      </c>
      <c r="G76" s="249" t="str">
        <f>+INDEX(PWP!$A:$Z,MATCH('PWP-Print BACKUP'!E76,PWP!$B:$B,0),MATCH("Title",PWP!$A$1:$Z$1,0))</f>
        <v>Dancing Panther</v>
      </c>
      <c r="I76" t="e" vm="326">
        <f>_xlfn.IMAGE("https://natalie.tf/wp-content/uploads/2023/10/DLV3_Icon_Ability_"&amp;INDEX('PWP-A'!$A$2:$C$31,MATCH('PWP-Print BACKUP'!J76,'PWP-A'!$B$2:$B$31,0),1)&amp;".png")</f>
        <v>#VALUE!</v>
      </c>
      <c r="J76" s="229" t="str">
        <f>+INDEX(PWP!$A:$Z,MATCH('PWP-Print BACKUP'!E76,PWP!$B:$B,0),MATCH("PWP Ability 1",PWP!$A$1:$Z$1,0))</f>
        <v>Critical Rate +15%</v>
      </c>
      <c r="K76" s="249" t="str">
        <f>+INDEX(PWP!$A:$Z,MATCH('PWP-Print BACKUP'!E76,PWP!$B:$B,0),MATCH("Locked PWP Ability 1",PWP!$A$1:$Z$1,0))</f>
        <v>(Flame) Critical Rate +15%</v>
      </c>
      <c r="M76" s="729" t="e" vm="1044">
        <f>_xlfn.IMAGE("https://natalie.tf/wp-content/uploads/2023/10/DLV3_Icon_ADV_"&amp;O77&amp;"_r05.png")</f>
        <v>#VALUE!</v>
      </c>
      <c r="O76" s="249" t="str">
        <f>"PWP-"&amp;B78</f>
        <v>PWP-044</v>
      </c>
      <c r="Q76" s="249" t="str">
        <f>+INDEX(PWP!$A:$Z,MATCH('PWP-Print BACKUP'!O76,PWP!$B:$B,0),MATCH("Title",PWP!$A$1:$Z$1,0))</f>
        <v>Leader of the Ox Clan</v>
      </c>
      <c r="S76" t="e" vm="1036">
        <f>_xlfn.IMAGE("https://natalie.tf/wp-content/uploads/2023/10/DLV3_Icon_Ability_"&amp;INDEX('PWP-A'!$A$2:$C$31,MATCH('PWP-Print BACKUP'!T76,'PWP-A'!$B$2:$B$31,0),1)&amp;".png")</f>
        <v>#VALUE!</v>
      </c>
      <c r="T76" s="229" t="str">
        <f>+INDEX(PWP!$A:$Z,MATCH('PWP-Print BACKUP'!O76,PWP!$B:$B,0),MATCH("PWP Ability 1",PWP!$A$1:$Z$1,0))</f>
        <v>15 Hits = Overdamage</v>
      </c>
      <c r="U76" s="249" t="str">
        <f>+INDEX(PWP!$A:$Z,MATCH('PWP-Print BACKUP'!O76,PWP!$B:$B,0),MATCH("Locked PWP Ability 1",PWP!$A$1:$Z$1,0))</f>
        <v>(Flame) 15 Hits = Overdamage</v>
      </c>
    </row>
    <row r="77" spans="1:21" ht="22.5" customHeight="1" x14ac:dyDescent="0.3">
      <c r="C77" s="729"/>
      <c r="D77" s="8"/>
      <c r="E77" s="200" t="str">
        <f>+INDEX(PWP!$A:$Z,MATCH('PWP-Print BACKUP'!E76,PWP!$B:$B,0),MATCH("ID",PWP!$A$1:$Z$1,0))</f>
        <v>110378_01</v>
      </c>
      <c r="F77" s="8"/>
      <c r="G77" s="249" t="str">
        <f>+INDEX(PWP!$A:$Z,MATCH('PWP-Print BACKUP'!E76,PWP!$B:$B,0),MATCH("Name",PWP!$A$1:$Z$1,0))</f>
        <v>Panther</v>
      </c>
      <c r="H77" s="8"/>
      <c r="I77" t="e" vm="1045">
        <f>_xlfn.IMAGE("https://natalie.tf/wp-content/uploads/2023/10/DLV3_Icon_Ability_"&amp;INDEX('PWP-A'!$A$2:$C$31,MATCH('PWP-Print BACKUP'!J77,'PWP-A'!$B$2:$B$31,0),1)&amp;".png")</f>
        <v>#VALUE!</v>
      </c>
      <c r="J77" s="229" t="str">
        <f>+INDEX(PWP!$A:$Z,MATCH('PWP-Print BACKUP'!E76,PWP!$B:$B,0),MATCH("PWP Ability 2",PWP!$A$1:$Z$1,0))</f>
        <v>Attack Rate +20%</v>
      </c>
      <c r="K77" s="249" t="str">
        <f>+INDEX(PWP!$A:$Z,MATCH('PWP-Print BACKUP'!E76,PWP!$B:$B,0),MATCH("Locked PWP Ability 2",PWP!$A$1:$Z$1,0))</f>
        <v>(Flame) Attack Rate +20%</v>
      </c>
      <c r="M77" s="729"/>
      <c r="N77" s="8"/>
      <c r="O77" s="200" t="str">
        <f>+INDEX(PWP!$A:$Z,MATCH('PWP-Print BACKUP'!O76,PWP!$B:$B,0),MATCH("ID",PWP!$A$1:$Z$1,0))</f>
        <v>110375_01</v>
      </c>
      <c r="P77" s="8"/>
      <c r="Q77" s="249" t="str">
        <f>+INDEX(PWP!$A:$Z,MATCH('PWP-Print BACKUP'!O76,PWP!$B:$B,0),MATCH("Name",PWP!$A$1:$Z$1,0))</f>
        <v>Seimei</v>
      </c>
      <c r="R77" s="8"/>
      <c r="S77" t="e" vm="414">
        <f>_xlfn.IMAGE("https://natalie.tf/wp-content/uploads/2023/10/DLV3_Icon_Ability_"&amp;INDEX('PWP-A'!$A$2:$C$31,MATCH('PWP-Print BACKUP'!T77,'PWP-A'!$B$2:$B$31,0),1)&amp;".png")</f>
        <v>#VALUE!</v>
      </c>
      <c r="T77" s="229" t="str">
        <f>+INDEX(PWP!$A:$Z,MATCH('PWP-Print BACKUP'!O76,PWP!$B:$B,0),MATCH("PWP Ability 2",PWP!$A$1:$Z$1,0))</f>
        <v>Critical Damage +25%</v>
      </c>
      <c r="U77" s="249" t="str">
        <f>+INDEX(PWP!$A:$Z,MATCH('PWP-Print BACKUP'!O76,PWP!$B:$B,0),MATCH("Locked PWP Ability 2",PWP!$A$1:$Z$1,0))</f>
        <v>(Flame) Critical Damage +25%</v>
      </c>
    </row>
    <row r="78" spans="1:21" ht="22.5" customHeight="1" x14ac:dyDescent="0.3">
      <c r="A78" s="222" t="str">
        <f>TEXT(A74+1,"000")</f>
        <v>031</v>
      </c>
      <c r="B78" s="222" t="str">
        <f>TEXT(B74+1,"000")</f>
        <v>044</v>
      </c>
      <c r="C78" s="729"/>
      <c r="E78" s="251" t="str">
        <f>+INDEX(PWP!$A:$Z,MATCH('PWP-Print BACKUP'!E76,PWP!$B:$B,0),MATCH("Num",PWP!$A$1:$Z$1,0))</f>
        <v>A-031</v>
      </c>
      <c r="G78" s="249" t="str">
        <f>+INDEX(PWP!$A:$Z,MATCH('PWP-Print BACKUP'!E76,PWP!$B:$B,0),MATCH("Element",PWP!$A$1:$Z$1,0))&amp;" "&amp;INDEX(PWP!$A:$Z,MATCH('PWP-Print BACKUP'!E76,PWP!$B:$B,0),MATCH("Type",PWP!$A$1:$Z$1,0))&amp;" Adventurer"</f>
        <v>Flame Lance Adventurer</v>
      </c>
      <c r="K78" s="250"/>
      <c r="M78" s="729"/>
      <c r="O78" s="251" t="str">
        <f>+INDEX(PWP!$A:$Z,MATCH('PWP-Print BACKUP'!O76,PWP!$B:$B,0),MATCH("Num",PWP!$A$1:$Z$1,0))</f>
        <v>A-044</v>
      </c>
      <c r="Q78" s="249" t="str">
        <f>+INDEX(PWP!$A:$Z,MATCH('PWP-Print BACKUP'!O76,PWP!$B:$B,0),MATCH("Element",PWP!$A$1:$Z$1,0))&amp;" "&amp;INDEX(PWP!$A:$Z,MATCH('PWP-Print BACKUP'!O76,PWP!$B:$B,0),MATCH("Type",PWP!$A$1:$Z$1,0))&amp;" Adventurer"</f>
        <v>Flame Wand Adventurer</v>
      </c>
      <c r="U78" s="250"/>
    </row>
    <row r="79" spans="1:21" ht="7.5" customHeight="1" x14ac:dyDescent="0.3">
      <c r="A79" t="s">
        <v>10763</v>
      </c>
      <c r="E79" s="250"/>
      <c r="G79" s="250"/>
      <c r="K79" s="250"/>
      <c r="O79" s="250"/>
      <c r="Q79" s="250"/>
      <c r="U79" s="250"/>
    </row>
    <row r="80" spans="1:21" ht="22.5" customHeight="1" x14ac:dyDescent="0.3">
      <c r="C80" s="729" t="e" vm="1046">
        <f>_xlfn.IMAGE("https://natalie.tf/wp-content/uploads/2023/10/DLV3_Icon_ADV_"&amp;E81&amp;"_r05.png")</f>
        <v>#VALUE!</v>
      </c>
      <c r="E80" s="249" t="str">
        <f>"PWP-"&amp;A82</f>
        <v>PWP-032</v>
      </c>
      <c r="G80" s="249" t="str">
        <f>+INDEX(PWP!$A:$Z,MATCH('PWP-Print BACKUP'!E80,PWP!$B:$B,0),MATCH("Title",PWP!$A$1:$Z$1,0))</f>
        <v>Crimson Paladyn</v>
      </c>
      <c r="I80" t="e" vm="330">
        <f>_xlfn.IMAGE("https://natalie.tf/wp-content/uploads/2023/10/DLV3_Icon_Ability_"&amp;INDEX('PWP-A'!$A$2:$C$31,MATCH('PWP-Print BACKUP'!J80,'PWP-A'!$B$2:$B$31,0),1)&amp;".png")</f>
        <v>#VALUE!</v>
      </c>
      <c r="J80" s="229" t="str">
        <f>+INDEX(PWP!$A:$Z,MATCH('PWP-Print BACKUP'!E80,PWP!$B:$B,0),MATCH("PWP Ability 1",PWP!$A$1:$Z$1,0))</f>
        <v>Skill Haste +10%</v>
      </c>
      <c r="K80" s="249" t="str">
        <f>+INDEX(PWP!$A:$Z,MATCH('PWP-Print BACKUP'!E80,PWP!$B:$B,0),MATCH("Locked PWP Ability 1",PWP!$A$1:$Z$1,0))</f>
        <v>(Flame) Skill Haste +10%</v>
      </c>
      <c r="M80" s="729" t="e" vm="1047">
        <f>_xlfn.IMAGE("https://natalie.tf/wp-content/uploads/2023/10/DLV3_Icon_ADV_"&amp;O81&amp;"_r05.png")</f>
        <v>#VALUE!</v>
      </c>
      <c r="O80" s="249" t="str">
        <f>"PWP-"&amp;B82</f>
        <v>PWP-045</v>
      </c>
      <c r="Q80" s="249" t="str">
        <f>+INDEX(PWP!$A:$Z,MATCH('PWP-Print BACKUP'!O80,PWP!$B:$B,0),MATCH("Title",PWP!$A$1:$Z$1,0))</f>
        <v>Yearning Queen</v>
      </c>
      <c r="S80" t="e" vm="414">
        <f>_xlfn.IMAGE("https://natalie.tf/wp-content/uploads/2023/10/DLV3_Icon_Ability_"&amp;INDEX('PWP-A'!$A$2:$C$31,MATCH('PWP-Print BACKUP'!T80,'PWP-A'!$B$2:$B$31,0),1)&amp;".png")</f>
        <v>#VALUE!</v>
      </c>
      <c r="T80" s="229" t="str">
        <f>+INDEX(PWP!$A:$Z,MATCH('PWP-Print BACKUP'!O80,PWP!$B:$B,0),MATCH("PWP Ability 1",PWP!$A$1:$Z$1,0))</f>
        <v>Critical Damage +25%</v>
      </c>
      <c r="U80" s="249" t="str">
        <f>+INDEX(PWP!$A:$Z,MATCH('PWP-Print BACKUP'!O80,PWP!$B:$B,0),MATCH("Locked PWP Ability 1",PWP!$A$1:$Z$1,0))</f>
        <v>(Flame) Critical Damage +25%</v>
      </c>
    </row>
    <row r="81" spans="1:21" ht="22.5" customHeight="1" x14ac:dyDescent="0.3">
      <c r="C81" s="729"/>
      <c r="D81" s="8"/>
      <c r="E81" s="200" t="str">
        <f>+INDEX(PWP!$A:$Z,MATCH('PWP-Print BACKUP'!E80,PWP!$B:$B,0),MATCH("ID",PWP!$A$1:$Z$1,0))</f>
        <v>100002_15</v>
      </c>
      <c r="F81" s="8"/>
      <c r="G81" s="249" t="str">
        <f>+INDEX(PWP!$A:$Z,MATCH('PWP-Print BACKUP'!E80,PWP!$B:$B,0),MATCH("Name",PWP!$A$1:$Z$1,0))</f>
        <v>Kimono Elisanne</v>
      </c>
      <c r="H81" s="8"/>
      <c r="I81" t="e" vm="426">
        <f>_xlfn.IMAGE("https://natalie.tf/wp-content/uploads/2023/10/DLV3_Icon_Ability_"&amp;INDEX('PWP-A'!$A$2:$C$31,MATCH('PWP-Print BACKUP'!J81,'PWP-A'!$B$2:$B$31,0),1)&amp;".png")</f>
        <v>#VALUE!</v>
      </c>
      <c r="J81" s="229" t="str">
        <f>+INDEX(PWP!$A:$Z,MATCH('PWP-Print BACKUP'!E80,PWP!$B:$B,0),MATCH("PWP Ability 2",PWP!$A$1:$Z$1,0))</f>
        <v>Defense +20%</v>
      </c>
      <c r="K81" s="249" t="str">
        <f>+INDEX(PWP!$A:$Z,MATCH('PWP-Print BACKUP'!E80,PWP!$B:$B,0),MATCH("Locked PWP Ability 2",PWP!$A$1:$Z$1,0))</f>
        <v>(Flame) Defense +20%</v>
      </c>
      <c r="M81" s="729"/>
      <c r="N81" s="8"/>
      <c r="O81" s="200" t="str">
        <f>+INDEX(PWP!$A:$Z,MATCH('PWP-Print BACKUP'!O80,PWP!$B:$B,0),MATCH("ID",PWP!$A$1:$Z$1,0))</f>
        <v>110053_03</v>
      </c>
      <c r="P81" s="8"/>
      <c r="Q81" s="249" t="str">
        <f>+INDEX(PWP!$A:$Z,MATCH('PWP-Print BACKUP'!O80,PWP!$B:$B,0),MATCH("Name",PWP!$A$1:$Z$1,0))</f>
        <v>Incognito Nefaria</v>
      </c>
      <c r="R81" s="8"/>
      <c r="S81" t="e" vm="496">
        <f>_xlfn.IMAGE("https://natalie.tf/wp-content/uploads/2023/10/DLV3_Icon_Ability_"&amp;INDEX('PWP-A'!$A$2:$C$31,MATCH('PWP-Print BACKUP'!T81,'PWP-A'!$B$2:$B$31,0),1)&amp;".png")</f>
        <v>#VALUE!</v>
      </c>
      <c r="T81" s="229" t="str">
        <f>+INDEX(PWP!$A:$Z,MATCH('PWP-Print BACKUP'!O80,PWP!$B:$B,0),MATCH("PWP Ability 2",PWP!$A$1:$Z$1,0))</f>
        <v>HP +15%</v>
      </c>
      <c r="U81" s="249" t="str">
        <f>+INDEX(PWP!$A:$Z,MATCH('PWP-Print BACKUP'!O80,PWP!$B:$B,0),MATCH("Locked PWP Ability 2",PWP!$A$1:$Z$1,0))</f>
        <v>(Flame) HP +15%</v>
      </c>
    </row>
    <row r="82" spans="1:21" ht="22.5" customHeight="1" x14ac:dyDescent="0.3">
      <c r="A82" s="222" t="str">
        <f>TEXT(A78+1,"000")</f>
        <v>032</v>
      </c>
      <c r="B82" s="222" t="str">
        <f>TEXT(B78+1,"000")</f>
        <v>045</v>
      </c>
      <c r="C82" s="729"/>
      <c r="E82" s="251" t="str">
        <f>+INDEX(PWP!$A:$Z,MATCH('PWP-Print BACKUP'!E80,PWP!$B:$B,0),MATCH("Num",PWP!$A$1:$Z$1,0))</f>
        <v>A-032</v>
      </c>
      <c r="G82" s="249" t="str">
        <f>+INDEX(PWP!$A:$Z,MATCH('PWP-Print BACKUP'!E80,PWP!$B:$B,0),MATCH("Element",PWP!$A$1:$Z$1,0))&amp;" "&amp;INDEX(PWP!$A:$Z,MATCH('PWP-Print BACKUP'!E80,PWP!$B:$B,0),MATCH("Type",PWP!$A$1:$Z$1,0))&amp;" Adventurer"</f>
        <v>Flame Lance Adventurer</v>
      </c>
      <c r="K82" s="250"/>
      <c r="M82" s="729"/>
      <c r="O82" s="251" t="str">
        <f>+INDEX(PWP!$A:$Z,MATCH('PWP-Print BACKUP'!O80,PWP!$B:$B,0),MATCH("Num",PWP!$A$1:$Z$1,0))</f>
        <v>A-045</v>
      </c>
      <c r="Q82" s="249" t="str">
        <f>+INDEX(PWP!$A:$Z,MATCH('PWP-Print BACKUP'!O80,PWP!$B:$B,0),MATCH("Element",PWP!$A$1:$Z$1,0))&amp;" "&amp;INDEX(PWP!$A:$Z,MATCH('PWP-Print BACKUP'!O80,PWP!$B:$B,0),MATCH("Type",PWP!$A$1:$Z$1,0))&amp;" Adventurer"</f>
        <v>Flame Wand Adventurer</v>
      </c>
      <c r="U82" s="250"/>
    </row>
    <row r="83" spans="1:21" ht="7.5" customHeight="1" x14ac:dyDescent="0.3">
      <c r="A83" t="s">
        <v>10763</v>
      </c>
      <c r="E83" s="250"/>
      <c r="G83" s="250"/>
      <c r="K83" s="250"/>
      <c r="O83" s="250"/>
      <c r="Q83" s="250"/>
      <c r="U83" s="250"/>
    </row>
    <row r="84" spans="1:21" ht="22.5" customHeight="1" x14ac:dyDescent="0.3">
      <c r="C84" s="729" t="e" vm="1048">
        <f>_xlfn.IMAGE("https://natalie.tf/wp-content/uploads/2023/10/DLV3_Icon_ADV_"&amp;E85&amp;"_r05.png")</f>
        <v>#VALUE!</v>
      </c>
      <c r="E84" s="249" t="str">
        <f>"PWP-"&amp;A86</f>
        <v>PWP-033</v>
      </c>
      <c r="G84" s="249" t="str">
        <f>+INDEX(PWP!$A:$Z,MATCH('PWP-Print BACKUP'!E84,PWP!$B:$B,0),MATCH("Title",PWP!$A$1:$Z$1,0))</f>
        <v>Selfie Addict</v>
      </c>
      <c r="I84" t="e" vm="330">
        <f>_xlfn.IMAGE("https://natalie.tf/wp-content/uploads/2023/10/DLV3_Icon_Ability_"&amp;INDEX('PWP-A'!$A$2:$C$31,MATCH('PWP-Print BACKUP'!J84,'PWP-A'!$B$2:$B$31,0),1)&amp;".png")</f>
        <v>#VALUE!</v>
      </c>
      <c r="J84" s="229" t="str">
        <f>+INDEX(PWP!$A:$Z,MATCH('PWP-Print BACKUP'!E84,PWP!$B:$B,0),MATCH("PWP Ability 1",PWP!$A$1:$Z$1,0))</f>
        <v>Skill Haste +10%</v>
      </c>
      <c r="K84" s="249" t="str">
        <f>+INDEX(PWP!$A:$Z,MATCH('PWP-Print BACKUP'!E84,PWP!$B:$B,0),MATCH("Locked PWP Ability 1",PWP!$A$1:$Z$1,0))</f>
        <v>(Flame) Skill Haste +10%</v>
      </c>
      <c r="M84" s="729" t="e" vm="1049">
        <f>_xlfn.IMAGE("https://natalie.tf/wp-content/uploads/2023/10/DLV3_Icon_ADV_"&amp;O85&amp;"_r05.png")</f>
        <v>#VALUE!</v>
      </c>
      <c r="O84" s="249" t="str">
        <f>"PWP-"&amp;B86</f>
        <v>PWP-046</v>
      </c>
      <c r="Q84" s="249" t="str">
        <f>+INDEX(PWP!$A:$Z,MATCH('PWP-Print BACKUP'!O84,PWP!$B:$B,0),MATCH("Title",PWP!$A$1:$Z$1,0))</f>
        <v>Kindly Android</v>
      </c>
      <c r="S84" t="e" vm="1045">
        <f>_xlfn.IMAGE("https://natalie.tf/wp-content/uploads/2023/10/DLV3_Icon_Ability_"&amp;INDEX('PWP-A'!$A$2:$C$31,MATCH('PWP-Print BACKUP'!T84,'PWP-A'!$B$2:$B$31,0),1)&amp;".png")</f>
        <v>#VALUE!</v>
      </c>
      <c r="T84" s="229" t="str">
        <f>+INDEX(PWP!$A:$Z,MATCH('PWP-Print BACKUP'!O84,PWP!$B:$B,0),MATCH("PWP Ability 1",PWP!$A$1:$Z$1,0))</f>
        <v>Attack Rate +20%</v>
      </c>
      <c r="U84" s="249" t="str">
        <f>+INDEX(PWP!$A:$Z,MATCH('PWP-Print BACKUP'!O84,PWP!$B:$B,0),MATCH("Locked PWP Ability 1",PWP!$A$1:$Z$1,0))</f>
        <v>(Flame) Attack Rate +20%</v>
      </c>
    </row>
    <row r="85" spans="1:21" ht="22.5" customHeight="1" x14ac:dyDescent="0.3">
      <c r="C85" s="729"/>
      <c r="D85" s="8"/>
      <c r="E85" s="200" t="str">
        <f>+INDEX(PWP!$A:$Z,MATCH('PWP-Print BACKUP'!E84,PWP!$B:$B,0),MATCH("ID",PWP!$A$1:$Z$1,0))</f>
        <v>110357_01</v>
      </c>
      <c r="F85" s="8"/>
      <c r="G85" s="249" t="str">
        <f>+INDEX(PWP!$A:$Z,MATCH('PWP-Print BACKUP'!E84,PWP!$B:$B,0),MATCH("Name",PWP!$A$1:$Z$1,0))</f>
        <v>Nadine</v>
      </c>
      <c r="H85" s="8"/>
      <c r="I85" t="e" vm="496">
        <f>_xlfn.IMAGE("https://natalie.tf/wp-content/uploads/2023/10/DLV3_Icon_Ability_"&amp;INDEX('PWP-A'!$A$2:$C$31,MATCH('PWP-Print BACKUP'!J85,'PWP-A'!$B$2:$B$31,0),1)&amp;".png")</f>
        <v>#VALUE!</v>
      </c>
      <c r="J85" s="229" t="str">
        <f>+INDEX(PWP!$A:$Z,MATCH('PWP-Print BACKUP'!E84,PWP!$B:$B,0),MATCH("PWP Ability 2",PWP!$A$1:$Z$1,0))</f>
        <v>HP +15%</v>
      </c>
      <c r="K85" s="249" t="str">
        <f>+INDEX(PWP!$A:$Z,MATCH('PWP-Print BACKUP'!E84,PWP!$B:$B,0),MATCH("Locked PWP Ability 2",PWP!$A$1:$Z$1,0))</f>
        <v>(Flame) HP +15%</v>
      </c>
      <c r="M85" s="729"/>
      <c r="N85" s="8"/>
      <c r="O85" s="200" t="str">
        <f>+INDEX(PWP!$A:$Z,MATCH('PWP-Print BACKUP'!O84,PWP!$B:$B,0),MATCH("ID",PWP!$A$1:$Z$1,0))</f>
        <v>110354_01</v>
      </c>
      <c r="P85" s="8"/>
      <c r="Q85" s="249" t="str">
        <f>+INDEX(PWP!$A:$Z,MATCH('PWP-Print BACKUP'!O84,PWP!$B:$B,0),MATCH("Name",PWP!$A$1:$Z$1,0))</f>
        <v>Mega Man</v>
      </c>
      <c r="R85" s="8"/>
      <c r="S85" t="e" vm="376">
        <f>_xlfn.IMAGE("https://natalie.tf/wp-content/uploads/2023/10/DLV3_Icon_Ability_"&amp;INDEX('PWP-A'!$A$2:$C$31,MATCH('PWP-Print BACKUP'!T85,'PWP-A'!$B$2:$B$31,0),1)&amp;".png")</f>
        <v>#VALUE!</v>
      </c>
      <c r="T85" s="229" t="str">
        <f>+INDEX(PWP!$A:$Z,MATCH('PWP-Print BACKUP'!O84,PWP!$B:$B,0),MATCH("PWP Ability 2",PWP!$A$1:$Z$1,0))</f>
        <v>Broken Punisher +30%</v>
      </c>
      <c r="U85" s="249" t="str">
        <f>+INDEX(PWP!$A:$Z,MATCH('PWP-Print BACKUP'!O84,PWP!$B:$B,0),MATCH("Locked PWP Ability 2",PWP!$A$1:$Z$1,0))</f>
        <v>(Flame) Broken Punisher +30%</v>
      </c>
    </row>
    <row r="86" spans="1:21" ht="22.5" customHeight="1" x14ac:dyDescent="0.3">
      <c r="A86" s="222" t="str">
        <f>TEXT(A82+1,"000")</f>
        <v>033</v>
      </c>
      <c r="B86" s="222" t="str">
        <f>TEXT(B82+1,"000")</f>
        <v>046</v>
      </c>
      <c r="C86" s="729"/>
      <c r="E86" s="251" t="str">
        <f>+INDEX(PWP!$A:$Z,MATCH('PWP-Print BACKUP'!E84,PWP!$B:$B,0),MATCH("Num",PWP!$A$1:$Z$1,0))</f>
        <v>A-033</v>
      </c>
      <c r="G86" s="249" t="str">
        <f>+INDEX(PWP!$A:$Z,MATCH('PWP-Print BACKUP'!E84,PWP!$B:$B,0),MATCH("Element",PWP!$A$1:$Z$1,0))&amp;" "&amp;INDEX(PWP!$A:$Z,MATCH('PWP-Print BACKUP'!E84,PWP!$B:$B,0),MATCH("Type",PWP!$A$1:$Z$1,0))&amp;" Adventurer"</f>
        <v>Flame Lance Adventurer</v>
      </c>
      <c r="K86" s="250"/>
      <c r="M86" s="729"/>
      <c r="O86" s="251" t="str">
        <f>+INDEX(PWP!$A:$Z,MATCH('PWP-Print BACKUP'!O84,PWP!$B:$B,0),MATCH("Num",PWP!$A$1:$Z$1,0))</f>
        <v>A-046</v>
      </c>
      <c r="Q86" s="249" t="str">
        <f>+INDEX(PWP!$A:$Z,MATCH('PWP-Print BACKUP'!O84,PWP!$B:$B,0),MATCH("Element",PWP!$A$1:$Z$1,0))&amp;" "&amp;INDEX(PWP!$A:$Z,MATCH('PWP-Print BACKUP'!O84,PWP!$B:$B,0),MATCH("Type",PWP!$A$1:$Z$1,0))&amp;" Adventurer"</f>
        <v>Flame Wand Adventurer</v>
      </c>
      <c r="U86" s="250"/>
    </row>
    <row r="87" spans="1:21" ht="7.5" customHeight="1" x14ac:dyDescent="0.3">
      <c r="A87" t="s">
        <v>10763</v>
      </c>
      <c r="E87" s="250"/>
      <c r="G87" s="250"/>
      <c r="K87" s="250"/>
      <c r="O87" s="250"/>
      <c r="Q87" s="250"/>
      <c r="U87" s="250"/>
    </row>
    <row r="88" spans="1:21" ht="22.5" customHeight="1" x14ac:dyDescent="0.3">
      <c r="C88" s="729" t="e" vm="1050">
        <f>_xlfn.IMAGE("https://natalie.tf/wp-content/uploads/2023/10/DLV3_Icon_ADV_"&amp;E89&amp;"_r05.png")</f>
        <v>#VALUE!</v>
      </c>
      <c r="E88" s="249" t="str">
        <f>"PWP-"&amp;A90</f>
        <v>PWP-034</v>
      </c>
      <c r="G88" s="249" t="str">
        <f>+INDEX(PWP!$A:$Z,MATCH('PWP-Print BACKUP'!E88,PWP!$B:$B,0),MATCH("Title",PWP!$A$1:$Z$1,0))</f>
        <v>Lovestruck Dragon</v>
      </c>
      <c r="I88" t="e" vm="1036">
        <f>_xlfn.IMAGE("https://natalie.tf/wp-content/uploads/2023/10/DLV3_Icon_Ability_"&amp;INDEX('PWP-A'!$A$2:$C$31,MATCH('PWP-Print BACKUP'!J88,'PWP-A'!$B$2:$B$31,0),1)&amp;".png")</f>
        <v>#VALUE!</v>
      </c>
      <c r="J88" s="229" t="str">
        <f>+INDEX(PWP!$A:$Z,MATCH('PWP-Print BACKUP'!E88,PWP!$B:$B,0),MATCH("PWP Ability 1",PWP!$A$1:$Z$1,0))</f>
        <v>15 Hits = Overdamage</v>
      </c>
      <c r="K88" s="249" t="str">
        <f>+INDEX(PWP!$A:$Z,MATCH('PWP-Print BACKUP'!E88,PWP!$B:$B,0),MATCH("Locked PWP Ability 1",PWP!$A$1:$Z$1,0))</f>
        <v>(Flame) 15 Hits = Overdamage</v>
      </c>
      <c r="M88" s="729" t="e" vm="1051">
        <f>_xlfn.IMAGE("https://natalie.tf/wp-content/uploads/2023/10/DLV3_Icon_ADV_"&amp;O89&amp;"_r05.png")</f>
        <v>#VALUE!</v>
      </c>
      <c r="O88" s="249" t="str">
        <f>"PWP-"&amp;B90</f>
        <v>PWP-047</v>
      </c>
      <c r="Q88" s="249" t="str">
        <f>+INDEX(PWP!$A:$Z,MATCH('PWP-Print BACKUP'!O88,PWP!$B:$B,0),MATCH("Title",PWP!$A$1:$Z$1,0))</f>
        <v>Outgoing Student</v>
      </c>
      <c r="S88" t="e" vm="14">
        <f>_xlfn.IMAGE("https://natalie.tf/wp-content/uploads/2023/10/DLV3_Icon_Ability_"&amp;INDEX('PWP-A'!$A$2:$C$31,MATCH('PWP-Print BACKUP'!T88,'PWP-A'!$B$2:$B$31,0),1)&amp;".png")</f>
        <v>#VALUE!</v>
      </c>
      <c r="T88" s="229" t="str">
        <f>+INDEX(PWP!$A:$Z,MATCH('PWP-Print BACKUP'!O88,PWP!$B:$B,0),MATCH("PWP Ability 1",PWP!$A$1:$Z$1,0))</f>
        <v>Strength +20%</v>
      </c>
      <c r="U88" s="249" t="str">
        <f>+INDEX(PWP!$A:$Z,MATCH('PWP-Print BACKUP'!O88,PWP!$B:$B,0),MATCH("Locked PWP Ability 1",PWP!$A$1:$Z$1,0))</f>
        <v>(Flame) Strength +20%</v>
      </c>
    </row>
    <row r="89" spans="1:21" ht="22.5" customHeight="1" x14ac:dyDescent="0.3">
      <c r="C89" s="729"/>
      <c r="D89" s="8"/>
      <c r="E89" s="200" t="str">
        <f>+INDEX(PWP!$A:$Z,MATCH('PWP-Print BACKUP'!E88,PWP!$B:$B,0),MATCH("ID",PWP!$A$1:$Z$1,0))</f>
        <v>100010_04</v>
      </c>
      <c r="F89" s="8"/>
      <c r="G89" s="249" t="str">
        <f>+INDEX(PWP!$A:$Z,MATCH('PWP-Print BACKUP'!E88,PWP!$B:$B,0),MATCH("Name",PWP!$A$1:$Z$1,0))</f>
        <v>Gala Mym</v>
      </c>
      <c r="H89" s="8"/>
      <c r="I89" t="e" vm="601">
        <f>_xlfn.IMAGE("https://natalie.tf/wp-content/uploads/2023/10/DLV3_Icon_Ability_"&amp;INDEX('PWP-A'!$A$2:$C$31,MATCH('PWP-Print BACKUP'!J89,'PWP-A'!$B$2:$B$31,0),1)&amp;".png")</f>
        <v>#VALUE!</v>
      </c>
      <c r="J89" s="229" t="str">
        <f>+INDEX(PWP!$A:$Z,MATCH('PWP-Print BACKUP'!E88,PWP!$B:$B,0),MATCH("PWP Ability 2",PWP!$A$1:$Z$1,0))</f>
        <v>Dragon Haste +15%</v>
      </c>
      <c r="K89" s="249" t="str">
        <f>+INDEX(PWP!$A:$Z,MATCH('PWP-Print BACKUP'!E88,PWP!$B:$B,0),MATCH("Locked PWP Ability 2",PWP!$A$1:$Z$1,0))</f>
        <v>(Flame) Dragon Haste +15%</v>
      </c>
      <c r="M89" s="729"/>
      <c r="N89" s="8"/>
      <c r="O89" s="200" t="str">
        <f>+INDEX(PWP!$A:$Z,MATCH('PWP-Print BACKUP'!O88,PWP!$B:$B,0),MATCH("ID",PWP!$A$1:$Z$1,0))</f>
        <v>110032_02</v>
      </c>
      <c r="P89" s="8"/>
      <c r="Q89" s="249" t="str">
        <f>+INDEX(PWP!$A:$Z,MATCH('PWP-Print BACKUP'!O88,PWP!$B:$B,0),MATCH("Name",PWP!$A$1:$Z$1,0))</f>
        <v>Student Maribelle</v>
      </c>
      <c r="R89" s="8"/>
      <c r="S89" t="e" vm="376">
        <f>_xlfn.IMAGE("https://natalie.tf/wp-content/uploads/2023/10/DLV3_Icon_Ability_"&amp;INDEX('PWP-A'!$A$2:$C$31,MATCH('PWP-Print BACKUP'!T89,'PWP-A'!$B$2:$B$31,0),1)&amp;".png")</f>
        <v>#VALUE!</v>
      </c>
      <c r="T89" s="229" t="str">
        <f>+INDEX(PWP!$A:$Z,MATCH('PWP-Print BACKUP'!O88,PWP!$B:$B,0),MATCH("PWP Ability 2",PWP!$A$1:$Z$1,0))</f>
        <v>Broken Punisher +30%</v>
      </c>
      <c r="U89" s="249" t="str">
        <f>+INDEX(PWP!$A:$Z,MATCH('PWP-Print BACKUP'!O88,PWP!$B:$B,0),MATCH("Locked PWP Ability 2",PWP!$A$1:$Z$1,0))</f>
        <v>(Flame) Broken Punisher +30%</v>
      </c>
    </row>
    <row r="90" spans="1:21" ht="22.5" customHeight="1" x14ac:dyDescent="0.3">
      <c r="A90" s="222" t="str">
        <f>TEXT(A86+1,"000")</f>
        <v>034</v>
      </c>
      <c r="B90" s="222" t="str">
        <f>TEXT(B86+1,"000")</f>
        <v>047</v>
      </c>
      <c r="C90" s="729"/>
      <c r="E90" s="251" t="str">
        <f>+INDEX(PWP!$A:$Z,MATCH('PWP-Print BACKUP'!E88,PWP!$B:$B,0),MATCH("Num",PWP!$A$1:$Z$1,0))</f>
        <v>A-034</v>
      </c>
      <c r="G90" s="249" t="str">
        <f>+INDEX(PWP!$A:$Z,MATCH('PWP-Print BACKUP'!E88,PWP!$B:$B,0),MATCH("Element",PWP!$A$1:$Z$1,0))&amp;" "&amp;INDEX(PWP!$A:$Z,MATCH('PWP-Print BACKUP'!E88,PWP!$B:$B,0),MATCH("Type",PWP!$A$1:$Z$1,0))&amp;" Adventurer"</f>
        <v>Flame Lance Adventurer</v>
      </c>
      <c r="K90" s="250"/>
      <c r="M90" s="729"/>
      <c r="O90" s="251" t="str">
        <f>+INDEX(PWP!$A:$Z,MATCH('PWP-Print BACKUP'!O88,PWP!$B:$B,0),MATCH("Num",PWP!$A$1:$Z$1,0))</f>
        <v>A-047</v>
      </c>
      <c r="Q90" s="249" t="str">
        <f>+INDEX(PWP!$A:$Z,MATCH('PWP-Print BACKUP'!O88,PWP!$B:$B,0),MATCH("Element",PWP!$A$1:$Z$1,0))&amp;" "&amp;INDEX(PWP!$A:$Z,MATCH('PWP-Print BACKUP'!O88,PWP!$B:$B,0),MATCH("Type",PWP!$A$1:$Z$1,0))&amp;" Adventurer"</f>
        <v>Flame Wand Adventurer</v>
      </c>
      <c r="U90" s="250"/>
    </row>
    <row r="91" spans="1:21" ht="7.5" customHeight="1" x14ac:dyDescent="0.3">
      <c r="A91" t="s">
        <v>10763</v>
      </c>
      <c r="E91" s="250"/>
      <c r="G91" s="250"/>
      <c r="K91" s="250"/>
      <c r="O91" s="250"/>
      <c r="Q91" s="250"/>
      <c r="U91" s="250"/>
    </row>
    <row r="92" spans="1:21" ht="22.5" customHeight="1" x14ac:dyDescent="0.3">
      <c r="C92" s="729" t="e" vm="1052">
        <f>_xlfn.IMAGE("https://natalie.tf/wp-content/uploads/2023/10/DLV3_Icon_ADV_"&amp;E93&amp;"_r05.png")</f>
        <v>#VALUE!</v>
      </c>
      <c r="E92" s="249" t="str">
        <f>"PWP-"&amp;A94</f>
        <v>PWP-035</v>
      </c>
      <c r="G92" s="249" t="str">
        <f>+INDEX(PWP!$A:$Z,MATCH('PWP-Print BACKUP'!E92,PWP!$B:$B,0),MATCH("Title",PWP!$A$1:$Z$1,0))</f>
        <v>Encouraging Cheerleader</v>
      </c>
      <c r="I92" t="e" vm="326">
        <f>_xlfn.IMAGE("https://natalie.tf/wp-content/uploads/2023/10/DLV3_Icon_Ability_"&amp;INDEX('PWP-A'!$A$2:$C$31,MATCH('PWP-Print BACKUP'!J92,'PWP-A'!$B$2:$B$31,0),1)&amp;".png")</f>
        <v>#VALUE!</v>
      </c>
      <c r="J92" s="229" t="str">
        <f>+INDEX(PWP!$A:$Z,MATCH('PWP-Print BACKUP'!E92,PWP!$B:$B,0),MATCH("PWP Ability 1",PWP!$A$1:$Z$1,0))</f>
        <v>Critical Rate +15%</v>
      </c>
      <c r="K92" s="249" t="str">
        <f>+INDEX(PWP!$A:$Z,MATCH('PWP-Print BACKUP'!E92,PWP!$B:$B,0),MATCH("Locked PWP Ability 1",PWP!$A$1:$Z$1,0))</f>
        <v>(Flame) Critical Rate +15%</v>
      </c>
      <c r="M92" s="729" t="e" vm="1053">
        <f>_xlfn.IMAGE("https://natalie.tf/wp-content/uploads/2023/10/DLV3_Icon_ADV_"&amp;O93&amp;"_r05.png")</f>
        <v>#VALUE!</v>
      </c>
      <c r="O92" s="249" t="str">
        <f>"PWP-"&amp;B94</f>
        <v>PWP-048</v>
      </c>
      <c r="Q92" s="249" t="str">
        <f>+INDEX(PWP!$A:$Z,MATCH('PWP-Print BACKUP'!O92,PWP!$B:$B,0),MATCH("Title",PWP!$A$1:$Z$1,0))</f>
        <v>Intrepid Scholar</v>
      </c>
      <c r="S92" t="e" vm="330">
        <f>_xlfn.IMAGE("https://natalie.tf/wp-content/uploads/2023/10/DLV3_Icon_Ability_"&amp;INDEX('PWP-A'!$A$2:$C$31,MATCH('PWP-Print BACKUP'!T92,'PWP-A'!$B$2:$B$31,0),1)&amp;".png")</f>
        <v>#VALUE!</v>
      </c>
      <c r="T92" s="229" t="str">
        <f>+INDEX(PWP!$A:$Z,MATCH('PWP-Print BACKUP'!O92,PWP!$B:$B,0),MATCH("PWP Ability 1",PWP!$A$1:$Z$1,0))</f>
        <v>Skill Haste +10%</v>
      </c>
      <c r="U92" s="249" t="str">
        <f>+INDEX(PWP!$A:$Z,MATCH('PWP-Print BACKUP'!O92,PWP!$B:$B,0),MATCH("Locked PWP Ability 1",PWP!$A$1:$Z$1,0))</f>
        <v>(Flame) Skill Haste +10%</v>
      </c>
    </row>
    <row r="93" spans="1:21" ht="22.5" customHeight="1" x14ac:dyDescent="0.3">
      <c r="C93" s="729"/>
      <c r="D93" s="8"/>
      <c r="E93" s="200" t="str">
        <f>+INDEX(PWP!$A:$Z,MATCH('PWP-Print BACKUP'!E92,PWP!$B:$B,0),MATCH("ID",PWP!$A$1:$Z$1,0))</f>
        <v>110260_01</v>
      </c>
      <c r="F93" s="8"/>
      <c r="G93" s="249" t="str">
        <f>+INDEX(PWP!$A:$Z,MATCH('PWP-Print BACKUP'!E92,PWP!$B:$B,0),MATCH("Name",PWP!$A$1:$Z$1,0))</f>
        <v>Emma</v>
      </c>
      <c r="H93" s="8"/>
      <c r="I93" t="e" vm="696">
        <f>_xlfn.IMAGE("https://natalie.tf/wp-content/uploads/2023/10/DLV3_Icon_Ability_"&amp;INDEX('PWP-A'!$A$2:$C$31,MATCH('PWP-Print BACKUP'!J93,'PWP-A'!$B$2:$B$31,0),1)&amp;".png")</f>
        <v>#VALUE!</v>
      </c>
      <c r="J93" s="229" t="str">
        <f>+INDEX(PWP!$A:$Z,MATCH('PWP-Print BACKUP'!E92,PWP!$B:$B,0),MATCH("PWP Ability 2",PWP!$A$1:$Z$1,0))</f>
        <v>Elemental Res +15%</v>
      </c>
      <c r="K93" s="249" t="str">
        <f>+INDEX(PWP!$A:$Z,MATCH('PWP-Print BACKUP'!E92,PWP!$B:$B,0),MATCH("Locked PWP Ability 2",PWP!$A$1:$Z$1,0))</f>
        <v>(Flame) Elemental Res +15%</v>
      </c>
      <c r="M93" s="729"/>
      <c r="N93" s="8"/>
      <c r="O93" s="200" t="str">
        <f>+INDEX(PWP!$A:$Z,MATCH('PWP-Print BACKUP'!O92,PWP!$B:$B,0),MATCH("ID",PWP!$A$1:$Z$1,0))</f>
        <v>110009_01</v>
      </c>
      <c r="P93" s="8"/>
      <c r="Q93" s="249" t="str">
        <f>+INDEX(PWP!$A:$Z,MATCH('PWP-Print BACKUP'!O92,PWP!$B:$B,0),MATCH("Name",PWP!$A$1:$Z$1,0))</f>
        <v>Sinoa</v>
      </c>
      <c r="R93" s="8"/>
      <c r="S93" t="e" vm="696">
        <f>_xlfn.IMAGE("https://natalie.tf/wp-content/uploads/2023/10/DLV3_Icon_Ability_"&amp;INDEX('PWP-A'!$A$2:$C$31,MATCH('PWP-Print BACKUP'!T93,'PWP-A'!$B$2:$B$31,0),1)&amp;".png")</f>
        <v>#VALUE!</v>
      </c>
      <c r="T93" s="229" t="str">
        <f>+INDEX(PWP!$A:$Z,MATCH('PWP-Print BACKUP'!O92,PWP!$B:$B,0),MATCH("PWP Ability 2",PWP!$A$1:$Z$1,0))</f>
        <v>Elemental Res +15%</v>
      </c>
      <c r="U93" s="249" t="str">
        <f>+INDEX(PWP!$A:$Z,MATCH('PWP-Print BACKUP'!O92,PWP!$B:$B,0),MATCH("Locked PWP Ability 2",PWP!$A$1:$Z$1,0))</f>
        <v>(Flame) Elemental Res +15%</v>
      </c>
    </row>
    <row r="94" spans="1:21" ht="22.5" customHeight="1" x14ac:dyDescent="0.3">
      <c r="A94" s="222" t="str">
        <f>TEXT(A90+1,"000")</f>
        <v>035</v>
      </c>
      <c r="B94" s="222" t="str">
        <f>TEXT(B90+1,"000")</f>
        <v>048</v>
      </c>
      <c r="C94" s="729"/>
      <c r="E94" s="251" t="str">
        <f>+INDEX(PWP!$A:$Z,MATCH('PWP-Print BACKUP'!E92,PWP!$B:$B,0),MATCH("Num",PWP!$A$1:$Z$1,0))</f>
        <v>A-035</v>
      </c>
      <c r="G94" s="249" t="str">
        <f>+INDEX(PWP!$A:$Z,MATCH('PWP-Print BACKUP'!E92,PWP!$B:$B,0),MATCH("Element",PWP!$A$1:$Z$1,0))&amp;" "&amp;INDEX(PWP!$A:$Z,MATCH('PWP-Print BACKUP'!E92,PWP!$B:$B,0),MATCH("Type",PWP!$A$1:$Z$1,0))&amp;" Adventurer"</f>
        <v>Flame Lance Adventurer</v>
      </c>
      <c r="K94" s="250"/>
      <c r="M94" s="729"/>
      <c r="O94" s="251" t="str">
        <f>+INDEX(PWP!$A:$Z,MATCH('PWP-Print BACKUP'!O92,PWP!$B:$B,0),MATCH("Num",PWP!$A$1:$Z$1,0))</f>
        <v>A-048</v>
      </c>
      <c r="Q94" s="249" t="str">
        <f>+INDEX(PWP!$A:$Z,MATCH('PWP-Print BACKUP'!O92,PWP!$B:$B,0),MATCH("Element",PWP!$A$1:$Z$1,0))&amp;" "&amp;INDEX(PWP!$A:$Z,MATCH('PWP-Print BACKUP'!O92,PWP!$B:$B,0),MATCH("Type",PWP!$A$1:$Z$1,0))&amp;" Adventurer"</f>
        <v>Flame Wand Adventurer</v>
      </c>
      <c r="U94" s="250"/>
    </row>
    <row r="95" spans="1:21" ht="7.5" customHeight="1" x14ac:dyDescent="0.3">
      <c r="A95" t="s">
        <v>10763</v>
      </c>
      <c r="E95" s="250"/>
      <c r="G95" s="250"/>
      <c r="K95" s="250"/>
      <c r="O95" s="250"/>
      <c r="Q95" s="250"/>
      <c r="U95" s="250"/>
    </row>
    <row r="96" spans="1:21" ht="22.5" customHeight="1" x14ac:dyDescent="0.3">
      <c r="C96" s="729" t="e" vm="1054">
        <f>_xlfn.IMAGE("https://natalie.tf/wp-content/uploads/2023/10/DLV3_Icon_ADV_"&amp;E97&amp;"_r05.png")</f>
        <v>#VALUE!</v>
      </c>
      <c r="E96" s="249" t="str">
        <f>"PWP-"&amp;A98</f>
        <v>PWP-036</v>
      </c>
      <c r="G96" s="249" t="str">
        <f>+INDEX(PWP!$A:$Z,MATCH('PWP-Print BACKUP'!E96,PWP!$B:$B,0),MATCH("Title",PWP!$A$1:$Z$1,0))</f>
        <v>Erudite Sealer</v>
      </c>
      <c r="I96" t="e" vm="326">
        <f>_xlfn.IMAGE("https://natalie.tf/wp-content/uploads/2023/10/DLV3_Icon_Ability_"&amp;INDEX('PWP-A'!$A$2:$C$31,MATCH('PWP-Print BACKUP'!J96,'PWP-A'!$B$2:$B$31,0),1)&amp;".png")</f>
        <v>#VALUE!</v>
      </c>
      <c r="J96" s="229" t="str">
        <f>+INDEX(PWP!$A:$Z,MATCH('PWP-Print BACKUP'!E96,PWP!$B:$B,0),MATCH("PWP Ability 1",PWP!$A$1:$Z$1,0))</f>
        <v>Critical Rate +15%</v>
      </c>
      <c r="K96" s="249" t="str">
        <f>+INDEX(PWP!$A:$Z,MATCH('PWP-Print BACKUP'!E96,PWP!$B:$B,0),MATCH("Locked PWP Ability 1",PWP!$A$1:$Z$1,0))</f>
        <v>(Flame) Critical Rate +15%</v>
      </c>
      <c r="M96" s="729" t="e" vm="1055">
        <f>_xlfn.IMAGE("https://natalie.tf/wp-content/uploads/2023/10/DLV3_Icon_ADV_"&amp;O97&amp;"_r05.png")</f>
        <v>#VALUE!</v>
      </c>
      <c r="O96" s="249" t="str">
        <f>"PWP-"&amp;B98</f>
        <v>PWP-049</v>
      </c>
      <c r="Q96" s="249" t="str">
        <f>+INDEX(PWP!$A:$Z,MATCH('PWP-Print BACKUP'!O96,PWP!$B:$B,0),MATCH("Title",PWP!$A$1:$Z$1,0))</f>
        <v>Meandering Mage</v>
      </c>
      <c r="S96" t="e" vm="330">
        <f>_xlfn.IMAGE("https://natalie.tf/wp-content/uploads/2023/10/DLV3_Icon_Ability_"&amp;INDEX('PWP-A'!$A$2:$C$31,MATCH('PWP-Print BACKUP'!T96,'PWP-A'!$B$2:$B$31,0),1)&amp;".png")</f>
        <v>#VALUE!</v>
      </c>
      <c r="T96" s="229" t="str">
        <f>+INDEX(PWP!$A:$Z,MATCH('PWP-Print BACKUP'!O96,PWP!$B:$B,0),MATCH("PWP Ability 1",PWP!$A$1:$Z$1,0))</f>
        <v>Skill Haste +10%</v>
      </c>
      <c r="U96" s="249" t="str">
        <f>+INDEX(PWP!$A:$Z,MATCH('PWP-Print BACKUP'!O96,PWP!$B:$B,0),MATCH("Locked PWP Ability 1",PWP!$A$1:$Z$1,0))</f>
        <v>(Flame) Skill Haste +10%</v>
      </c>
    </row>
    <row r="97" spans="1:21" ht="22.5" customHeight="1" x14ac:dyDescent="0.3">
      <c r="C97" s="729"/>
      <c r="D97" s="8"/>
      <c r="E97" s="200" t="str">
        <f>+INDEX(PWP!$A:$Z,MATCH('PWP-Print BACKUP'!E96,PWP!$B:$B,0),MATCH("ID",PWP!$A$1:$Z$1,0))</f>
        <v>110299_01</v>
      </c>
      <c r="F97" s="8"/>
      <c r="G97" s="249" t="str">
        <f>+INDEX(PWP!$A:$Z,MATCH('PWP-Print BACKUP'!E96,PWP!$B:$B,0),MATCH("Name",PWP!$A$1:$Z$1,0))</f>
        <v>Xuan Zang</v>
      </c>
      <c r="H97" s="8"/>
      <c r="I97" t="e" vm="693">
        <f>_xlfn.IMAGE("https://natalie.tf/wp-content/uploads/2023/10/DLV3_Icon_Ability_"&amp;INDEX('PWP-A'!$A$2:$C$31,MATCH('PWP-Print BACKUP'!J97,'PWP-A'!$B$2:$B$31,0),1)&amp;".png")</f>
        <v>#VALUE!</v>
      </c>
      <c r="J97" s="229" t="str">
        <f>+INDEX(PWP!$A:$Z,MATCH('PWP-Print BACKUP'!E96,PWP!$B:$B,0),MATCH("PWP Ability 2",PWP!$A$1:$Z$1,0))</f>
        <v>Combo Time +2</v>
      </c>
      <c r="K97" s="249" t="str">
        <f>+INDEX(PWP!$A:$Z,MATCH('PWP-Print BACKUP'!E96,PWP!$B:$B,0),MATCH("Locked PWP Ability 2",PWP!$A$1:$Z$1,0))</f>
        <v>(Flame) Combo Time +2</v>
      </c>
      <c r="M97" s="729"/>
      <c r="N97" s="8"/>
      <c r="O97" s="200" t="str">
        <f>+INDEX(PWP!$A:$Z,MATCH('PWP-Print BACKUP'!O96,PWP!$B:$B,0),MATCH("ID",PWP!$A$1:$Z$1,0))</f>
        <v>110004_01</v>
      </c>
      <c r="P97" s="8"/>
      <c r="Q97" s="249" t="str">
        <f>+INDEX(PWP!$A:$Z,MATCH('PWP-Print BACKUP'!O96,PWP!$B:$B,0),MATCH("Name",PWP!$A$1:$Z$1,0))</f>
        <v>Xania</v>
      </c>
      <c r="R97" s="8"/>
      <c r="S97" t="e" vm="693">
        <f>_xlfn.IMAGE("https://natalie.tf/wp-content/uploads/2023/10/DLV3_Icon_Ability_"&amp;INDEX('PWP-A'!$A$2:$C$31,MATCH('PWP-Print BACKUP'!T97,'PWP-A'!$B$2:$B$31,0),1)&amp;".png")</f>
        <v>#VALUE!</v>
      </c>
      <c r="T97" s="229" t="str">
        <f>+INDEX(PWP!$A:$Z,MATCH('PWP-Print BACKUP'!O96,PWP!$B:$B,0),MATCH("PWP Ability 2",PWP!$A$1:$Z$1,0))</f>
        <v>Combo Time +2</v>
      </c>
      <c r="U97" s="249" t="str">
        <f>+INDEX(PWP!$A:$Z,MATCH('PWP-Print BACKUP'!O96,PWP!$B:$B,0),MATCH("Locked PWP Ability 2",PWP!$A$1:$Z$1,0))</f>
        <v>(Flame) Combo Time +2</v>
      </c>
    </row>
    <row r="98" spans="1:21" ht="22.5" customHeight="1" x14ac:dyDescent="0.3">
      <c r="A98" s="222" t="str">
        <f>TEXT(A94+1,"000")</f>
        <v>036</v>
      </c>
      <c r="B98" s="222" t="str">
        <f>TEXT(B94+1,"000")</f>
        <v>049</v>
      </c>
      <c r="C98" s="729"/>
      <c r="E98" s="251" t="str">
        <f>+INDEX(PWP!$A:$Z,MATCH('PWP-Print BACKUP'!E96,PWP!$B:$B,0),MATCH("Num",PWP!$A$1:$Z$1,0))</f>
        <v>A-036</v>
      </c>
      <c r="G98" s="249" t="str">
        <f>+INDEX(PWP!$A:$Z,MATCH('PWP-Print BACKUP'!E96,PWP!$B:$B,0),MATCH("Element",PWP!$A$1:$Z$1,0))&amp;" "&amp;INDEX(PWP!$A:$Z,MATCH('PWP-Print BACKUP'!E96,PWP!$B:$B,0),MATCH("Type",PWP!$A$1:$Z$1,0))&amp;" Adventurer"</f>
        <v>Flame Lance Adventurer</v>
      </c>
      <c r="K98" s="250"/>
      <c r="M98" s="729"/>
      <c r="O98" s="251" t="str">
        <f>+INDEX(PWP!$A:$Z,MATCH('PWP-Print BACKUP'!O96,PWP!$B:$B,0),MATCH("Num",PWP!$A$1:$Z$1,0))</f>
        <v>A-049</v>
      </c>
      <c r="Q98" s="249" t="str">
        <f>+INDEX(PWP!$A:$Z,MATCH('PWP-Print BACKUP'!O96,PWP!$B:$B,0),MATCH("Element",PWP!$A$1:$Z$1,0))&amp;" "&amp;INDEX(PWP!$A:$Z,MATCH('PWP-Print BACKUP'!O96,PWP!$B:$B,0),MATCH("Type",PWP!$A$1:$Z$1,0))&amp;" Adventurer"</f>
        <v>Flame Wand Adventurer</v>
      </c>
      <c r="U98" s="250"/>
    </row>
    <row r="99" spans="1:21" ht="7.5" customHeight="1" x14ac:dyDescent="0.3">
      <c r="A99" t="s">
        <v>10763</v>
      </c>
      <c r="E99" s="250"/>
      <c r="G99" s="250"/>
      <c r="K99" s="250"/>
      <c r="O99" s="250"/>
      <c r="Q99" s="250"/>
      <c r="U99" s="250"/>
    </row>
    <row r="100" spans="1:21" ht="22.5" customHeight="1" x14ac:dyDescent="0.3">
      <c r="C100" s="729" t="e" vm="1056">
        <f>_xlfn.IMAGE("https://natalie.tf/wp-content/uploads/2023/10/DLV3_Icon_ADV_"&amp;E101&amp;"_r05.png")</f>
        <v>#VALUE!</v>
      </c>
      <c r="E100" s="249" t="str">
        <f>"PWP-"&amp;A102</f>
        <v>PWP-037</v>
      </c>
      <c r="G100" s="249" t="str">
        <f>+INDEX(PWP!$A:$Z,MATCH('PWP-Print BACKUP'!E100,PWP!$B:$B,0),MATCH("Title",PWP!$A$1:$Z$1,0))</f>
        <v>Captain Craven</v>
      </c>
      <c r="I100" t="e" vm="426">
        <f>_xlfn.IMAGE("https://natalie.tf/wp-content/uploads/2023/10/DLV3_Icon_Ability_"&amp;INDEX('PWP-A'!$A$2:$C$31,MATCH('PWP-Print BACKUP'!J100,'PWP-A'!$B$2:$B$31,0),1)&amp;".png")</f>
        <v>#VALUE!</v>
      </c>
      <c r="J100" s="229" t="str">
        <f>+INDEX(PWP!$A:$Z,MATCH('PWP-Print BACKUP'!E100,PWP!$B:$B,0),MATCH("PWP Ability 1",PWP!$A$1:$Z$1,0))</f>
        <v>Defense +20%</v>
      </c>
      <c r="K100" s="249" t="str">
        <f>+INDEX(PWP!$A:$Z,MATCH('PWP-Print BACKUP'!E100,PWP!$B:$B,0),MATCH("Locked PWP Ability 1",PWP!$A$1:$Z$1,0))</f>
        <v>(Flame) Defense +20%</v>
      </c>
      <c r="M100" s="729" t="e" vm="1057">
        <f>_xlfn.IMAGE("https://natalie.tf/wp-content/uploads/2023/10/DLV3_Icon_ADV_"&amp;O101&amp;"_r05.png")</f>
        <v>#VALUE!</v>
      </c>
      <c r="O100" s="249" t="str">
        <f>"PWP-"&amp;B102</f>
        <v>PWP-050</v>
      </c>
      <c r="Q100" s="249" t="str">
        <f>+INDEX(PWP!$A:$Z,MATCH('PWP-Print BACKUP'!O100,PWP!$B:$B,0),MATCH("Title",PWP!$A$1:$Z$1,0))</f>
        <v>Twin Wings of Freedom</v>
      </c>
      <c r="S100" t="e" vm="14">
        <f>_xlfn.IMAGE("https://natalie.tf/wp-content/uploads/2023/10/DLV3_Icon_Ability_"&amp;INDEX('PWP-A'!$A$2:$C$31,MATCH('PWP-Print BACKUP'!T100,'PWP-A'!$B$2:$B$31,0),1)&amp;".png")</f>
        <v>#VALUE!</v>
      </c>
      <c r="T100" s="229" t="str">
        <f>+INDEX(PWP!$A:$Z,MATCH('PWP-Print BACKUP'!O100,PWP!$B:$B,0),MATCH("PWP Ability 1",PWP!$A$1:$Z$1,0))</f>
        <v>Strength +20%</v>
      </c>
      <c r="U100" s="249" t="str">
        <f>+INDEX(PWP!$A:$Z,MATCH('PWP-Print BACKUP'!O100,PWP!$B:$B,0),MATCH("Locked PWP Ability 1",PWP!$A$1:$Z$1,0))</f>
        <v>(Flame) Strength +20%</v>
      </c>
    </row>
    <row r="101" spans="1:21" ht="22.5" customHeight="1" x14ac:dyDescent="0.3">
      <c r="C101" s="729"/>
      <c r="D101" s="8"/>
      <c r="E101" s="200" t="str">
        <f>+INDEX(PWP!$A:$Z,MATCH('PWP-Print BACKUP'!E100,PWP!$B:$B,0),MATCH("ID",PWP!$A$1:$Z$1,0))</f>
        <v>110001_01</v>
      </c>
      <c r="F101" s="8"/>
      <c r="G101" s="249" t="str">
        <f>+INDEX(PWP!$A:$Z,MATCH('PWP-Print BACKUP'!E100,PWP!$B:$B,0),MATCH("Name",PWP!$A$1:$Z$1,0))</f>
        <v>Alain</v>
      </c>
      <c r="H101" s="8"/>
      <c r="I101" t="e" vm="696">
        <f>_xlfn.IMAGE("https://natalie.tf/wp-content/uploads/2023/10/DLV3_Icon_Ability_"&amp;INDEX('PWP-A'!$A$2:$C$31,MATCH('PWP-Print BACKUP'!J101,'PWP-A'!$B$2:$B$31,0),1)&amp;".png")</f>
        <v>#VALUE!</v>
      </c>
      <c r="J101" s="229" t="str">
        <f>+INDEX(PWP!$A:$Z,MATCH('PWP-Print BACKUP'!E100,PWP!$B:$B,0),MATCH("PWP Ability 2",PWP!$A$1:$Z$1,0))</f>
        <v>Elemental Res +15%</v>
      </c>
      <c r="K101" s="249" t="str">
        <f>+INDEX(PWP!$A:$Z,MATCH('PWP-Print BACKUP'!E100,PWP!$B:$B,0),MATCH("Locked PWP Ability 2",PWP!$A$1:$Z$1,0))</f>
        <v>(Flame) Elemental Res +15%</v>
      </c>
      <c r="M101" s="729"/>
      <c r="N101" s="8"/>
      <c r="O101" s="200" t="str">
        <f>+INDEX(PWP!$A:$Z,MATCH('PWP-Print BACKUP'!O100,PWP!$B:$B,0),MATCH("ID",PWP!$A$1:$Z$1,0))</f>
        <v>110399_01</v>
      </c>
      <c r="P101" s="8"/>
      <c r="Q101" s="249" t="str">
        <f>+INDEX(PWP!$A:$Z,MATCH('PWP-Print BACKUP'!O100,PWP!$B:$B,0),MATCH("Name",PWP!$A$1:$Z$1,0))</f>
        <v>Ayaha &amp; Otoha</v>
      </c>
      <c r="R101" s="8"/>
      <c r="S101" t="e" vm="14">
        <f>_xlfn.IMAGE("https://natalie.tf/wp-content/uploads/2023/10/DLV3_Icon_Ability_"&amp;INDEX('PWP-A'!$A$2:$C$31,MATCH('PWP-Print BACKUP'!T101,'PWP-A'!$B$2:$B$31,0),1)&amp;".png")</f>
        <v>#VALUE!</v>
      </c>
      <c r="T101" s="229" t="str">
        <f>+INDEX(PWP!$A:$Z,MATCH('PWP-Print BACKUP'!O100,PWP!$B:$B,0),MATCH("PWP Ability 2",PWP!$A$1:$Z$1,0))</f>
        <v>Skill Damage +40%</v>
      </c>
      <c r="U101" s="249" t="str">
        <f>+INDEX(PWP!$A:$Z,MATCH('PWP-Print BACKUP'!O100,PWP!$B:$B,0),MATCH("Locked PWP Ability 2",PWP!$A$1:$Z$1,0))</f>
        <v>(Flame) Skill Damage +40%</v>
      </c>
    </row>
    <row r="102" spans="1:21" ht="22.5" customHeight="1" x14ac:dyDescent="0.3">
      <c r="A102" s="222" t="str">
        <f>TEXT(A98+1,"000")</f>
        <v>037</v>
      </c>
      <c r="B102" s="222" t="str">
        <f>TEXT(B98+1,"000")</f>
        <v>050</v>
      </c>
      <c r="C102" s="729"/>
      <c r="E102" s="251" t="str">
        <f>+INDEX(PWP!$A:$Z,MATCH('PWP-Print BACKUP'!E100,PWP!$B:$B,0),MATCH("Num",PWP!$A$1:$Z$1,0))</f>
        <v>A-037</v>
      </c>
      <c r="G102" s="249" t="str">
        <f>+INDEX(PWP!$A:$Z,MATCH('PWP-Print BACKUP'!E100,PWP!$B:$B,0),MATCH("Element",PWP!$A$1:$Z$1,0))&amp;" "&amp;INDEX(PWP!$A:$Z,MATCH('PWP-Print BACKUP'!E100,PWP!$B:$B,0),MATCH("Type",PWP!$A$1:$Z$1,0))&amp;" Adventurer"</f>
        <v>Flame Lance Adventurer</v>
      </c>
      <c r="K102" s="250"/>
      <c r="M102" s="729"/>
      <c r="O102" s="251" t="str">
        <f>+INDEX(PWP!$A:$Z,MATCH('PWP-Print BACKUP'!O100,PWP!$B:$B,0),MATCH("Num",PWP!$A$1:$Z$1,0))</f>
        <v>A-050</v>
      </c>
      <c r="Q102" s="249" t="str">
        <f>+INDEX(PWP!$A:$Z,MATCH('PWP-Print BACKUP'!O100,PWP!$B:$B,0),MATCH("Element",PWP!$A$1:$Z$1,0))&amp;" "&amp;INDEX(PWP!$A:$Z,MATCH('PWP-Print BACKUP'!O100,PWP!$B:$B,0),MATCH("Type",PWP!$A$1:$Z$1,0))&amp;" Adventurer"</f>
        <v>Flame Staff Adventurer</v>
      </c>
      <c r="U102" s="250"/>
    </row>
    <row r="103" spans="1:21" ht="7.5" customHeight="1" x14ac:dyDescent="0.3">
      <c r="A103" t="s">
        <v>10763</v>
      </c>
      <c r="E103" s="250"/>
      <c r="G103" s="250"/>
      <c r="K103" s="250"/>
    </row>
    <row r="104" spans="1:21" ht="22.5" customHeight="1" x14ac:dyDescent="0.3">
      <c r="C104" s="729" t="e" vm="1058">
        <f>_xlfn.IMAGE("https://natalie.tf/wp-content/uploads/2023/10/DLV3_Icon_ADV_"&amp;E105&amp;"_r05.png")</f>
        <v>#VALUE!</v>
      </c>
      <c r="E104" s="249" t="str">
        <f>"PWP-"&amp;A106</f>
        <v>PWP-038</v>
      </c>
      <c r="G104" s="249" t="str">
        <f>+INDEX(PWP!$A:$Z,MATCH('PWP-Print BACKUP'!E104,PWP!$B:$B,0),MATCH("Title",PWP!$A$1:$Z$1,0))</f>
        <v>Shimmering Guardian</v>
      </c>
      <c r="I104" t="e" vm="688">
        <f>_xlfn.IMAGE("https://natalie.tf/wp-content/uploads/2023/10/DLV3_Icon_Ability_"&amp;INDEX('PWP-A'!$A$2:$C$31,MATCH('PWP-Print BACKUP'!J104,'PWP-A'!$B$2:$B$31,0),1)&amp;".png")</f>
        <v>#VALUE!</v>
      </c>
      <c r="J104" s="229" t="str">
        <f>+INDEX(PWP!$A:$Z,MATCH('PWP-Print BACKUP'!E104,PWP!$B:$B,0),MATCH("PWP Ability 1",PWP!$A$1:$Z$1,0))</f>
        <v>Overdrive Punisher +15%</v>
      </c>
      <c r="K104" s="249" t="str">
        <f>+INDEX(PWP!$A:$Z,MATCH('PWP-Print BACKUP'!E104,PWP!$B:$B,0),MATCH("Locked PWP Ability 1",PWP!$A$1:$Z$1,0))</f>
        <v>(Flame) Overdrive Punisher +15%</v>
      </c>
      <c r="M104" s="729"/>
      <c r="O104" s="221"/>
      <c r="Q104" s="221"/>
      <c r="U104" s="221"/>
    </row>
    <row r="105" spans="1:21" ht="22.5" customHeight="1" x14ac:dyDescent="0.3">
      <c r="C105" s="729"/>
      <c r="D105" s="8"/>
      <c r="E105" s="200" t="str">
        <f>+INDEX(PWP!$A:$Z,MATCH('PWP-Print BACKUP'!E104,PWP!$B:$B,0),MATCH("ID",PWP!$A$1:$Z$1,0))</f>
        <v>100005_08</v>
      </c>
      <c r="F105" s="8"/>
      <c r="G105" s="249" t="str">
        <f>+INDEX(PWP!$A:$Z,MATCH('PWP-Print BACKUP'!E104,PWP!$B:$B,0),MATCH("Name",PWP!$A$1:$Z$1,0))</f>
        <v>Summer Alex</v>
      </c>
      <c r="H105" s="8"/>
      <c r="I105" t="e" vm="696">
        <f>_xlfn.IMAGE("https://natalie.tf/wp-content/uploads/2023/10/DLV3_Icon_Ability_"&amp;INDEX('PWP-A'!$A$2:$C$31,MATCH('PWP-Print BACKUP'!J105,'PWP-A'!$B$2:$B$31,0),1)&amp;".png")</f>
        <v>#VALUE!</v>
      </c>
      <c r="J105" s="229" t="str">
        <f>+INDEX(PWP!$A:$Z,MATCH('PWP-Print BACKUP'!E104,PWP!$B:$B,0),MATCH("PWP Ability 2",PWP!$A$1:$Z$1,0))</f>
        <v>Elemental Res +15%</v>
      </c>
      <c r="K105" s="249" t="str">
        <f>+INDEX(PWP!$A:$Z,MATCH('PWP-Print BACKUP'!E104,PWP!$B:$B,0),MATCH("Locked PWP Ability 2",PWP!$A$1:$Z$1,0))</f>
        <v>(Flame) Elemental Res +15%</v>
      </c>
      <c r="M105" s="729"/>
      <c r="N105" s="8"/>
      <c r="O105" s="221"/>
      <c r="P105" s="8"/>
      <c r="Q105" s="221"/>
      <c r="R105" s="8"/>
      <c r="S105" s="8"/>
      <c r="T105" s="8"/>
      <c r="U105" s="221"/>
    </row>
    <row r="106" spans="1:21" ht="22.5" customHeight="1" x14ac:dyDescent="0.3">
      <c r="A106" s="222" t="str">
        <f>TEXT(A102+1,"000")</f>
        <v>038</v>
      </c>
      <c r="C106" s="729"/>
      <c r="E106" s="251" t="str">
        <f>+INDEX(PWP!$A:$Z,MATCH('PWP-Print BACKUP'!E104,PWP!$B:$B,0),MATCH("Num",PWP!$A$1:$Z$1,0))</f>
        <v>A-038</v>
      </c>
      <c r="G106" s="249" t="str">
        <f>+INDEX(PWP!$A:$Z,MATCH('PWP-Print BACKUP'!E104,PWP!$B:$B,0),MATCH("Element",PWP!$A$1:$Z$1,0))&amp;" "&amp;INDEX(PWP!$A:$Z,MATCH('PWP-Print BACKUP'!E104,PWP!$B:$B,0),MATCH("Type",PWP!$A$1:$Z$1,0))&amp;" Adventurer"</f>
        <v>Flame Bow Adventurer</v>
      </c>
      <c r="K106" s="250"/>
      <c r="M106" s="729"/>
      <c r="O106" s="221"/>
      <c r="Q106" s="221"/>
      <c r="U106" s="222"/>
    </row>
  </sheetData>
  <mergeCells count="55">
    <mergeCell ref="C8:C10"/>
    <mergeCell ref="M8:M10"/>
    <mergeCell ref="E2:G2"/>
    <mergeCell ref="I2:K2"/>
    <mergeCell ref="S2:U2"/>
    <mergeCell ref="C4:C6"/>
    <mergeCell ref="M4:M6"/>
    <mergeCell ref="C12:C14"/>
    <mergeCell ref="M12:M14"/>
    <mergeCell ref="C16:C18"/>
    <mergeCell ref="M16:M18"/>
    <mergeCell ref="C20:C22"/>
    <mergeCell ref="M20:M22"/>
    <mergeCell ref="C24:C26"/>
    <mergeCell ref="M24:M26"/>
    <mergeCell ref="C28:C30"/>
    <mergeCell ref="M28:M30"/>
    <mergeCell ref="C32:C34"/>
    <mergeCell ref="M32:M34"/>
    <mergeCell ref="C36:C38"/>
    <mergeCell ref="M36:M38"/>
    <mergeCell ref="C40:C42"/>
    <mergeCell ref="M40:M42"/>
    <mergeCell ref="C44:C46"/>
    <mergeCell ref="M44:M46"/>
    <mergeCell ref="C48:C50"/>
    <mergeCell ref="M48:M50"/>
    <mergeCell ref="C52:C54"/>
    <mergeCell ref="M52:M54"/>
    <mergeCell ref="C56:C58"/>
    <mergeCell ref="M56:M58"/>
    <mergeCell ref="C60:C62"/>
    <mergeCell ref="M60:M62"/>
    <mergeCell ref="C64:C66"/>
    <mergeCell ref="M64:M66"/>
    <mergeCell ref="C68:C70"/>
    <mergeCell ref="M68:M70"/>
    <mergeCell ref="C72:C74"/>
    <mergeCell ref="M72:M74"/>
    <mergeCell ref="C76:C78"/>
    <mergeCell ref="M76:M78"/>
    <mergeCell ref="C80:C82"/>
    <mergeCell ref="M80:M82"/>
    <mergeCell ref="C84:C86"/>
    <mergeCell ref="M84:M86"/>
    <mergeCell ref="C88:C90"/>
    <mergeCell ref="M88:M90"/>
    <mergeCell ref="C92:C94"/>
    <mergeCell ref="M92:M94"/>
    <mergeCell ref="C96:C98"/>
    <mergeCell ref="M96:M98"/>
    <mergeCell ref="C100:C102"/>
    <mergeCell ref="M100:M102"/>
    <mergeCell ref="C104:C106"/>
    <mergeCell ref="M104:M106"/>
  </mergeCells>
  <printOptions horizontalCentered="1" verticalCentered="1"/>
  <pageMargins left="0" right="0" top="0" bottom="0" header="0" footer="0"/>
  <pageSetup scale="58" fitToHeight="0" orientation="landscape"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BF5837-22E8-4600-8192-FE307975F4C2}">
  <dimension ref="A1:U1043"/>
  <sheetViews>
    <sheetView showWhiteSpace="0" zoomScaleNormal="100" workbookViewId="0"/>
  </sheetViews>
  <sheetFormatPr defaultRowHeight="14.25" outlineLevelCol="1" x14ac:dyDescent="0.2"/>
  <cols>
    <col min="1" max="2" width="3.875" style="244" bestFit="1" customWidth="1"/>
    <col min="3" max="3" width="11.25" customWidth="1"/>
    <col min="4" max="4" width="1.25" customWidth="1"/>
    <col min="5" max="5" width="12.5" customWidth="1"/>
    <col min="6" max="6" width="1.25" customWidth="1"/>
    <col min="7" max="7" width="35" customWidth="1"/>
    <col min="8" max="8" width="1.25" customWidth="1"/>
    <col min="9" max="9" width="3.75" customWidth="1"/>
    <col min="10" max="10" width="3.75" hidden="1" customWidth="1" outlineLevel="1"/>
    <col min="11" max="11" width="40" customWidth="1" collapsed="1"/>
    <col min="12" max="12" width="2.5" customWidth="1"/>
    <col min="13" max="13" width="11.25" customWidth="1"/>
    <col min="14" max="14" width="1.25" customWidth="1"/>
    <col min="15" max="15" width="12.5" customWidth="1"/>
    <col min="16" max="16" width="1.25" customWidth="1"/>
    <col min="17" max="17" width="35" customWidth="1"/>
    <col min="18" max="18" width="1.25" customWidth="1"/>
    <col min="19" max="19" width="3.75" customWidth="1"/>
    <col min="20" max="20" width="3.75" hidden="1" customWidth="1" outlineLevel="1"/>
    <col min="21" max="21" width="40" customWidth="1" collapsed="1"/>
  </cols>
  <sheetData>
    <row r="1" spans="1:21" ht="37.5" customHeight="1" x14ac:dyDescent="0.2"/>
    <row r="2" spans="1:21" ht="20.25" x14ac:dyDescent="0.2">
      <c r="E2" s="751" t="s">
        <v>14981</v>
      </c>
      <c r="F2" s="752"/>
      <c r="G2" s="752"/>
      <c r="I2" s="752" t="s">
        <v>14982</v>
      </c>
      <c r="J2" s="752"/>
      <c r="K2" s="752"/>
      <c r="O2" s="180" t="s">
        <v>14983</v>
      </c>
      <c r="Q2" s="180" t="s">
        <v>14984</v>
      </c>
      <c r="S2" s="752" t="s">
        <v>14982</v>
      </c>
      <c r="T2" s="752"/>
      <c r="U2" s="752"/>
    </row>
    <row r="3" spans="1:21" ht="7.5" customHeight="1" x14ac:dyDescent="0.2"/>
    <row r="4" spans="1:21" ht="22.5" customHeight="1" x14ac:dyDescent="0.3">
      <c r="C4" s="729" t="e" vm="1059">
        <f>_xlfn.IMAGE("https://natalie.tf/wp-content/uploads/2023/10/DLV3_Icon_ADV_"&amp;E5&amp;"_r05.png")</f>
        <v>#VALUE!</v>
      </c>
      <c r="E4" s="249" t="str">
        <f>"PWP-"&amp;A6</f>
        <v>PWP-001</v>
      </c>
      <c r="G4" s="249" t="str">
        <f>+INDEX(PWP!$A:$Z,MATCH('PWP-Print'!E4,PWP!$B:$B,0),MATCH("Title",PWP!$A$1:$Z$1,0))</f>
        <v>Expiatory Researcher</v>
      </c>
      <c r="I4" t="e" vm="426">
        <f>_xlfn.IMAGE("https://natalie.tf/wp-content/uploads/2023/10/DLV3_Icon_Ability_"&amp;INDEX('PWP-A'!$A$2:$C$31,MATCH('PWP-Print'!J4,'PWP-A'!$B$2:$B$31,0),1)&amp;".png")</f>
        <v>#VALUE!</v>
      </c>
      <c r="J4" s="229" t="str">
        <f>+INDEX(PWP!$A:$Z,MATCH('PWP-Print'!E4,PWP!$B:$B,0),MATCH("PWP Ability 1",PWP!$A$1:$Z$1,0))</f>
        <v>Defense +20%</v>
      </c>
      <c r="K4" s="249" t="str">
        <f>+INDEX(PWP!$A:$Z,MATCH('PWP-Print'!E4,PWP!$B:$B,0),MATCH("Locked PWP Ability 1",PWP!$A$1:$Z$1,0))</f>
        <v>(Flame) Defense +20%</v>
      </c>
      <c r="M4" s="729" t="e" vm="1060">
        <f>_xlfn.IMAGE("https://natalie.tf/wp-content/uploads/2023/10/DLV3_Icon_ADV_"&amp;O5&amp;"_r05.png")</f>
        <v>#VALUE!</v>
      </c>
      <c r="O4" s="249" t="str">
        <f>"PWP-"&amp;B6</f>
        <v>PWP-014</v>
      </c>
      <c r="Q4" s="249" t="str">
        <f>+INDEX(PWP!$A:$Z,MATCH('PWP-Print'!O4,PWP!$B:$B,0),MATCH("Title",PWP!$A$1:$Z$1,0))</f>
        <v>Mana Infuser</v>
      </c>
      <c r="S4" t="e" vm="1045">
        <f>_xlfn.IMAGE("https://natalie.tf/wp-content/uploads/2023/10/DLV3_Icon_Ability_"&amp;INDEX('PWP-A'!$A$2:$C$31,MATCH('PWP-Print'!T4,'PWP-A'!$B$2:$B$31,0),1)&amp;".png")</f>
        <v>#VALUE!</v>
      </c>
      <c r="T4" s="229" t="str">
        <f>+INDEX(PWP!$A:$Z,MATCH('PWP-Print'!O4,PWP!$B:$B,0),MATCH("PWP Ability 1",PWP!$A$1:$Z$1,0))</f>
        <v>Attack Rate +20%</v>
      </c>
      <c r="U4" s="249" t="str">
        <f>+INDEX(PWP!$A:$Z,MATCH('PWP-Print'!O4,PWP!$B:$B,0),MATCH("Locked PWP Ability 1",PWP!$A$1:$Z$1,0))</f>
        <v>(Flame) Attack Rate +20%</v>
      </c>
    </row>
    <row r="5" spans="1:21" ht="22.5" customHeight="1" x14ac:dyDescent="0.3">
      <c r="C5" s="729"/>
      <c r="D5" s="8"/>
      <c r="E5" s="200" t="str">
        <f>+INDEX(PWP!$A:$Z,MATCH('PWP-Print'!E4,PWP!$B:$B,0),MATCH("ID",PWP!$A$1:$Z$1,0))</f>
        <v>110059_02</v>
      </c>
      <c r="F5" s="8"/>
      <c r="G5" s="249" t="str">
        <f>+INDEX(PWP!$A:$Z,MATCH('PWP-Print'!E4,PWP!$B:$B,0),MATCH("Name",PWP!$A$1:$Z$1,0))</f>
        <v>Undercover Grace</v>
      </c>
      <c r="H5" s="8"/>
      <c r="I5" t="e" vm="349">
        <f>_xlfn.IMAGE("https://natalie.tf/wp-content/uploads/2023/10/DLV3_Icon_Ability_"&amp;INDEX('PWP-A'!$A$2:$C$31,MATCH('PWP-Print'!J5,'PWP-A'!$B$2:$B$31,0),1)&amp;".png")</f>
        <v>#VALUE!</v>
      </c>
      <c r="J5" s="229" t="str">
        <f>+INDEX(PWP!$A:$Z,MATCH('PWP-Print'!E4,PWP!$B:$B,0),MATCH("PWP Ability 2",PWP!$A$1:$Z$1,0))</f>
        <v>Recovery Potency +20%</v>
      </c>
      <c r="K5" s="249" t="str">
        <f>+INDEX(PWP!$A:$Z,MATCH('PWP-Print'!E4,PWP!$B:$B,0),MATCH("Locked PWP Ability 2",PWP!$A$1:$Z$1,0))</f>
        <v>(Flame) Recovery Potency +20%</v>
      </c>
      <c r="M5" s="729"/>
      <c r="N5" s="8"/>
      <c r="O5" s="200" t="str">
        <f>+INDEX(PWP!$A:$Z,MATCH('PWP-Print'!O4,PWP!$B:$B,0),MATCH("ID",PWP!$A$1:$Z$1,0))</f>
        <v>110264_01</v>
      </c>
      <c r="P5" s="8"/>
      <c r="Q5" s="249" t="str">
        <f>+INDEX(PWP!$A:$Z,MATCH('PWP-Print'!O4,PWP!$B:$B,0),MATCH("Name",PWP!$A$1:$Z$1,0))</f>
        <v>Rena</v>
      </c>
      <c r="R5" s="8"/>
      <c r="S5" t="e" vm="693">
        <f>_xlfn.IMAGE("https://natalie.tf/wp-content/uploads/2023/10/DLV3_Icon_Ability_"&amp;INDEX('PWP-A'!$A$2:$C$31,MATCH('PWP-Print'!T5,'PWP-A'!$B$2:$B$31,0),1)&amp;".png")</f>
        <v>#VALUE!</v>
      </c>
      <c r="T5" s="229" t="str">
        <f>+INDEX(PWP!$A:$Z,MATCH('PWP-Print'!O4,PWP!$B:$B,0),MATCH("PWP Ability 2",PWP!$A$1:$Z$1,0))</f>
        <v>Combo Time +2</v>
      </c>
      <c r="U5" s="249" t="str">
        <f>+INDEX(PWP!$A:$Z,MATCH('PWP-Print'!O4,PWP!$B:$B,0),MATCH("Locked PWP Ability 2",PWP!$A$1:$Z$1,0))</f>
        <v>(Flame) Combo Time +2</v>
      </c>
    </row>
    <row r="6" spans="1:21" ht="22.5" customHeight="1" x14ac:dyDescent="0.3">
      <c r="A6" s="242" t="s">
        <v>5067</v>
      </c>
      <c r="B6" s="244" t="str">
        <f>TEXT(A54+1,"000")</f>
        <v>014</v>
      </c>
      <c r="C6" s="729"/>
      <c r="E6" s="251" t="str">
        <f>+INDEX(PWP!$A:$Z,MATCH('PWP-Print'!E4,PWP!$B:$B,0),MATCH("Num",PWP!$A$1:$Z$1,0))</f>
        <v>A-001</v>
      </c>
      <c r="G6" s="249" t="str">
        <f>+INDEX(PWP!$A:$Z,MATCH('PWP-Print'!E4,PWP!$B:$B,0),MATCH("Element",PWP!$A$1:$Z$1,0))&amp;" "&amp;INDEX(PWP!$A:$Z,MATCH('PWP-Print'!E4,PWP!$B:$B,0),MATCH("Type",PWP!$A$1:$Z$1,0))&amp;" Adventurer"</f>
        <v>Flame Sword Adventurer</v>
      </c>
      <c r="K6" s="250"/>
      <c r="M6" s="729"/>
      <c r="O6" s="251" t="str">
        <f>+INDEX(PWP!$A:$Z,MATCH('PWP-Print'!O4,PWP!$B:$B,0),MATCH("Num",PWP!$A$1:$Z$1,0))</f>
        <v>A-014</v>
      </c>
      <c r="Q6" s="249" t="str">
        <f>+INDEX(PWP!$A:$Z,MATCH('PWP-Print'!O4,PWP!$B:$B,0),MATCH("Element",PWP!$A$1:$Z$1,0))&amp;" "&amp;INDEX(PWP!$A:$Z,MATCH('PWP-Print'!O4,PWP!$B:$B,0),MATCH("Type",PWP!$A$1:$Z$1,0))&amp;" Adventurer"</f>
        <v>Flame Blade Adventurer</v>
      </c>
      <c r="U6" s="250"/>
    </row>
    <row r="7" spans="1:21" ht="7.5" customHeight="1" x14ac:dyDescent="0.3">
      <c r="A7" s="244" t="s">
        <v>10763</v>
      </c>
      <c r="E7" s="250"/>
      <c r="G7" s="250"/>
      <c r="K7" s="250"/>
      <c r="O7" s="250"/>
      <c r="Q7" s="250"/>
      <c r="U7" s="250"/>
    </row>
    <row r="8" spans="1:21" ht="22.5" customHeight="1" x14ac:dyDescent="0.3">
      <c r="C8" s="729" t="e" vm="1061">
        <f>_xlfn.IMAGE("https://natalie.tf/wp-content/uploads/2023/10/DLV3_Icon_ADV_"&amp;E9&amp;"_r05.png")</f>
        <v>#VALUE!</v>
      </c>
      <c r="E8" s="249" t="str">
        <f>"PWP-"&amp;A10</f>
        <v>PWP-002</v>
      </c>
      <c r="G8" s="249" t="str">
        <f>+INDEX(PWP!$A:$Z,MATCH('PWP-Print'!E8,PWP!$B:$B,0),MATCH("Title",PWP!$A$1:$Z$1,0))</f>
        <v>Prince of Ylisse</v>
      </c>
      <c r="I8" t="e" vm="14">
        <f>_xlfn.IMAGE("https://natalie.tf/wp-content/uploads/2023/10/DLV3_Icon_Ability_"&amp;INDEX('PWP-A'!$A$2:$C$31,MATCH('PWP-Print'!J8,'PWP-A'!$B$2:$B$31,0),1)&amp;".png")</f>
        <v>#VALUE!</v>
      </c>
      <c r="J8" s="229" t="str">
        <f>+INDEX(PWP!$A:$Z,MATCH('PWP-Print'!E8,PWP!$B:$B,0),MATCH("PWP Ability 1",PWP!$A$1:$Z$1,0))</f>
        <v>Skill Damage +40%</v>
      </c>
      <c r="K8" s="249" t="str">
        <f>+INDEX(PWP!$A:$Z,MATCH('PWP-Print'!E8,PWP!$B:$B,0),MATCH("Locked PWP Ability 1",PWP!$A$1:$Z$1,0))</f>
        <v>(Flame) Skill Damage +40%</v>
      </c>
      <c r="M8" s="729" t="e" vm="1062">
        <f>_xlfn.IMAGE("https://natalie.tf/wp-content/uploads/2023/10/DLV3_Icon_ADV_"&amp;O9&amp;"_r05.png")</f>
        <v>#VALUE!</v>
      </c>
      <c r="O8" s="249" t="str">
        <f>"PWP-"&amp;B10</f>
        <v>PWP-015</v>
      </c>
      <c r="Q8" s="249" t="str">
        <f>+INDEX(PWP!$A:$Z,MATCH('PWP-Print'!O8,PWP!$B:$B,0),MATCH("Title",PWP!$A$1:$Z$1,0))</f>
        <v>Nature's Avatar</v>
      </c>
      <c r="S8" t="e" vm="14">
        <f>_xlfn.IMAGE("https://natalie.tf/wp-content/uploads/2023/10/DLV3_Icon_Ability_"&amp;INDEX('PWP-A'!$A$2:$C$31,MATCH('PWP-Print'!T8,'PWP-A'!$B$2:$B$31,0),1)&amp;".png")</f>
        <v>#VALUE!</v>
      </c>
      <c r="T8" s="229" t="str">
        <f>+INDEX(PWP!$A:$Z,MATCH('PWP-Print'!O8,PWP!$B:$B,0),MATCH("PWP Ability 1",PWP!$A$1:$Z$1,0))</f>
        <v>Strength +20%</v>
      </c>
      <c r="U8" s="249" t="str">
        <f>+INDEX(PWP!$A:$Z,MATCH('PWP-Print'!O8,PWP!$B:$B,0),MATCH("Locked PWP Ability 1",PWP!$A$1:$Z$1,0))</f>
        <v>(Flame) Strength +20%</v>
      </c>
    </row>
    <row r="9" spans="1:21" ht="22.5" customHeight="1" x14ac:dyDescent="0.3">
      <c r="C9" s="729"/>
      <c r="D9" s="8"/>
      <c r="E9" s="200" t="str">
        <f>+INDEX(PWP!$A:$Z,MATCH('PWP-Print'!E8,PWP!$B:$B,0),MATCH("ID",PWP!$A$1:$Z$1,0))</f>
        <v>110359_01</v>
      </c>
      <c r="F9" s="8"/>
      <c r="G9" s="249" t="str">
        <f>+INDEX(PWP!$A:$Z,MATCH('PWP-Print'!E8,PWP!$B:$B,0),MATCH("Name",PWP!$A$1:$Z$1,0))</f>
        <v>Chrom</v>
      </c>
      <c r="H9" s="8"/>
      <c r="I9" t="e" vm="496">
        <f>_xlfn.IMAGE("https://natalie.tf/wp-content/uploads/2023/10/DLV3_Icon_Ability_"&amp;INDEX('PWP-A'!$A$2:$C$31,MATCH('PWP-Print'!J9,'PWP-A'!$B$2:$B$31,0),1)&amp;".png")</f>
        <v>#VALUE!</v>
      </c>
      <c r="J9" s="229" t="str">
        <f>+INDEX(PWP!$A:$Z,MATCH('PWP-Print'!E8,PWP!$B:$B,0),MATCH("PWP Ability 2",PWP!$A$1:$Z$1,0))</f>
        <v>HP +15%</v>
      </c>
      <c r="K9" s="249" t="str">
        <f>+INDEX(PWP!$A:$Z,MATCH('PWP-Print'!E8,PWP!$B:$B,0),MATCH("Locked PWP Ability 2",PWP!$A$1:$Z$1,0))</f>
        <v>(Flame) HP +15%</v>
      </c>
      <c r="M9" s="729"/>
      <c r="N9" s="8"/>
      <c r="O9" s="200" t="str">
        <f>+INDEX(PWP!$A:$Z,MATCH('PWP-Print'!O8,PWP!$B:$B,0),MATCH("ID",PWP!$A$1:$Z$1,0))</f>
        <v>110010_01</v>
      </c>
      <c r="P9" s="8"/>
      <c r="Q9" s="249" t="str">
        <f>+INDEX(PWP!$A:$Z,MATCH('PWP-Print'!O8,PWP!$B:$B,0),MATCH("Name",PWP!$A$1:$Z$1,0))</f>
        <v>Mikoto</v>
      </c>
      <c r="R9" s="8"/>
      <c r="S9" t="e" vm="330">
        <f>_xlfn.IMAGE("https://natalie.tf/wp-content/uploads/2023/10/DLV3_Icon_Ability_"&amp;INDEX('PWP-A'!$A$2:$C$31,MATCH('PWP-Print'!T9,'PWP-A'!$B$2:$B$31,0),1)&amp;".png")</f>
        <v>#VALUE!</v>
      </c>
      <c r="T9" s="229" t="str">
        <f>+INDEX(PWP!$A:$Z,MATCH('PWP-Print'!O8,PWP!$B:$B,0),MATCH("PWP Ability 2",PWP!$A$1:$Z$1,0))</f>
        <v>Skill Haste +10%</v>
      </c>
      <c r="U9" s="249" t="str">
        <f>+INDEX(PWP!$A:$Z,MATCH('PWP-Print'!O8,PWP!$B:$B,0),MATCH("Locked PWP Ability 2",PWP!$A$1:$Z$1,0))</f>
        <v>(Flame) Skill Haste +10%</v>
      </c>
    </row>
    <row r="10" spans="1:21" ht="22.5" customHeight="1" x14ac:dyDescent="0.3">
      <c r="A10" s="244" t="str">
        <f>TEXT(A6+1,"000")</f>
        <v>002</v>
      </c>
      <c r="B10" s="244" t="str">
        <f>TEXT(B6+1,"000")</f>
        <v>015</v>
      </c>
      <c r="C10" s="729"/>
      <c r="E10" s="251" t="str">
        <f>+INDEX(PWP!$A:$Z,MATCH('PWP-Print'!E8,PWP!$B:$B,0),MATCH("Num",PWP!$A$1:$Z$1,0))</f>
        <v>A-002</v>
      </c>
      <c r="G10" s="249" t="str">
        <f>+INDEX(PWP!$A:$Z,MATCH('PWP-Print'!E8,PWP!$B:$B,0),MATCH("Element",PWP!$A$1:$Z$1,0))&amp;" "&amp;INDEX(PWP!$A:$Z,MATCH('PWP-Print'!E8,PWP!$B:$B,0),MATCH("Type",PWP!$A$1:$Z$1,0))&amp;" Adventurer"</f>
        <v>Flame Sword Adventurer</v>
      </c>
      <c r="K10" s="250"/>
      <c r="M10" s="729"/>
      <c r="O10" s="251" t="str">
        <f>+INDEX(PWP!$A:$Z,MATCH('PWP-Print'!O8,PWP!$B:$B,0),MATCH("Num",PWP!$A$1:$Z$1,0))</f>
        <v>A-015</v>
      </c>
      <c r="Q10" s="249" t="str">
        <f>+INDEX(PWP!$A:$Z,MATCH('PWP-Print'!O8,PWP!$B:$B,0),MATCH("Element",PWP!$A$1:$Z$1,0))&amp;" "&amp;INDEX(PWP!$A:$Z,MATCH('PWP-Print'!O8,PWP!$B:$B,0),MATCH("Type",PWP!$A$1:$Z$1,0))&amp;" Adventurer"</f>
        <v>Flame Blade Adventurer</v>
      </c>
      <c r="U10" s="250"/>
    </row>
    <row r="11" spans="1:21" ht="7.5" customHeight="1" x14ac:dyDescent="0.3">
      <c r="A11" s="244" t="s">
        <v>10763</v>
      </c>
      <c r="E11" s="250"/>
      <c r="G11" s="250"/>
      <c r="K11" s="250"/>
      <c r="O11" s="250"/>
      <c r="Q11" s="250"/>
      <c r="U11" s="250"/>
    </row>
    <row r="12" spans="1:21" ht="22.5" customHeight="1" x14ac:dyDescent="0.3">
      <c r="C12" s="729" t="e" vm="1063">
        <f>_xlfn.IMAGE("https://natalie.tf/wp-content/uploads/2023/10/DLV3_Icon_ADV_"&amp;E13&amp;"_r05.png")</f>
        <v>#VALUE!</v>
      </c>
      <c r="E12" s="249" t="str">
        <f>"PWP-"&amp;A14</f>
        <v>PWP-003</v>
      </c>
      <c r="G12" s="249" t="str">
        <f>+INDEX(PWP!$A:$Z,MATCH('PWP-Print'!E12,PWP!$B:$B,0),MATCH("Title",PWP!$A$1:$Z$1,0))</f>
        <v>Rathalos Berserker</v>
      </c>
      <c r="I12" t="e" vm="14">
        <f>_xlfn.IMAGE("https://natalie.tf/wp-content/uploads/2023/10/DLV3_Icon_Ability_"&amp;INDEX('PWP-A'!$A$2:$C$31,MATCH('PWP-Print'!J12,'PWP-A'!$B$2:$B$31,0),1)&amp;".png")</f>
        <v>#VALUE!</v>
      </c>
      <c r="J12" s="229" t="str">
        <f>+INDEX(PWP!$A:$Z,MATCH('PWP-Print'!E12,PWP!$B:$B,0),MATCH("PWP Ability 1",PWP!$A$1:$Z$1,0))</f>
        <v>Strength +20%</v>
      </c>
      <c r="K12" s="249" t="str">
        <f>+INDEX(PWP!$A:$Z,MATCH('PWP-Print'!E12,PWP!$B:$B,0),MATCH("Locked PWP Ability 1",PWP!$A$1:$Z$1,0))</f>
        <v>(Flame) Strength +20%</v>
      </c>
      <c r="M12" s="729" t="e" vm="1064">
        <f>_xlfn.IMAGE("https://natalie.tf/wp-content/uploads/2023/10/DLV3_Icon_ADV_"&amp;O13&amp;"_r05.png")</f>
        <v>#VALUE!</v>
      </c>
      <c r="O12" s="249" t="str">
        <f>"PWP-"&amp;B14</f>
        <v>PWP-016</v>
      </c>
      <c r="Q12" s="249" t="str">
        <f>+INDEX(PWP!$A:$Z,MATCH('PWP-Print'!O12,PWP!$B:$B,0),MATCH("Title",PWP!$A$1:$Z$1,0))</f>
        <v>Dissonant Android</v>
      </c>
      <c r="S12" t="e" vm="14">
        <f>_xlfn.IMAGE("https://natalie.tf/wp-content/uploads/2023/10/DLV3_Icon_Ability_"&amp;INDEX('PWP-A'!$A$2:$C$31,MATCH('PWP-Print'!T12,'PWP-A'!$B$2:$B$31,0),1)&amp;".png")</f>
        <v>#VALUE!</v>
      </c>
      <c r="T12" s="229" t="str">
        <f>+INDEX(PWP!$A:$Z,MATCH('PWP-Print'!O12,PWP!$B:$B,0),MATCH("PWP Ability 1",PWP!$A$1:$Z$1,0))</f>
        <v>Strength +20%</v>
      </c>
      <c r="U12" s="249" t="str">
        <f>+INDEX(PWP!$A:$Z,MATCH('PWP-Print'!O12,PWP!$B:$B,0),MATCH("Locked PWP Ability 1",PWP!$A$1:$Z$1,0))</f>
        <v>(Flame) Strength +20%</v>
      </c>
    </row>
    <row r="13" spans="1:21" ht="22.5" customHeight="1" x14ac:dyDescent="0.3">
      <c r="C13" s="729"/>
      <c r="D13" s="8"/>
      <c r="E13" s="200" t="str">
        <f>+INDEX(PWP!$A:$Z,MATCH('PWP-Print'!E12,PWP!$B:$B,0),MATCH("ID",PWP!$A$1:$Z$1,0))</f>
        <v>110050_02</v>
      </c>
      <c r="F13" s="8"/>
      <c r="G13" s="249" t="str">
        <f>+INDEX(PWP!$A:$Z,MATCH('PWP-Print'!E12,PWP!$B:$B,0),MATCH("Name",PWP!$A$1:$Z$1,0))</f>
        <v>Hunter Berserker</v>
      </c>
      <c r="H13" s="8"/>
      <c r="I13" t="e" vm="7">
        <f>_xlfn.IMAGE("https://natalie.tf/wp-content/uploads/2023/10/DLV3_Icon_Ability_"&amp;INDEX('PWP-A'!$A$2:$C$31,MATCH('PWP-Print'!J13,'PWP-A'!$B$2:$B$31,0),1)&amp;".png")</f>
        <v>#VALUE!</v>
      </c>
      <c r="J13" s="229" t="str">
        <f>+INDEX(PWP!$A:$Z,MATCH('PWP-Print'!E12,PWP!$B:$B,0),MATCH("PWP Ability 2",PWP!$A$1:$Z$1,0))</f>
        <v>Force Strike +50%</v>
      </c>
      <c r="K13" s="249" t="str">
        <f>+INDEX(PWP!$A:$Z,MATCH('PWP-Print'!E12,PWP!$B:$B,0),MATCH("Locked PWP Ability 2",PWP!$A$1:$Z$1,0))</f>
        <v>(Flame) Force Strike +50%</v>
      </c>
      <c r="M13" s="729"/>
      <c r="N13" s="8"/>
      <c r="O13" s="200" t="str">
        <f>+INDEX(PWP!$A:$Z,MATCH('PWP-Print'!O12,PWP!$B:$B,0),MATCH("ID",PWP!$A$1:$Z$1,0))</f>
        <v>100032_01</v>
      </c>
      <c r="P13" s="8"/>
      <c r="Q13" s="249" t="str">
        <f>+INDEX(PWP!$A:$Z,MATCH('PWP-Print'!O12,PWP!$B:$B,0),MATCH("Name",PWP!$A$1:$Z$1,0))</f>
        <v>Laxi</v>
      </c>
      <c r="R13" s="8"/>
      <c r="S13" t="e" vm="326">
        <f>_xlfn.IMAGE("https://natalie.tf/wp-content/uploads/2023/10/DLV3_Icon_Ability_"&amp;INDEX('PWP-A'!$A$2:$C$31,MATCH('PWP-Print'!T13,'PWP-A'!$B$2:$B$31,0),1)&amp;".png")</f>
        <v>#VALUE!</v>
      </c>
      <c r="T13" s="229" t="str">
        <f>+INDEX(PWP!$A:$Z,MATCH('PWP-Print'!O12,PWP!$B:$B,0),MATCH("PWP Ability 2",PWP!$A$1:$Z$1,0))</f>
        <v>Critical Rate +15%</v>
      </c>
      <c r="U13" s="249" t="str">
        <f>+INDEX(PWP!$A:$Z,MATCH('PWP-Print'!O12,PWP!$B:$B,0),MATCH("Locked PWP Ability 2",PWP!$A$1:$Z$1,0))</f>
        <v>(Flame) Critical Rate +15%</v>
      </c>
    </row>
    <row r="14" spans="1:21" ht="22.5" customHeight="1" x14ac:dyDescent="0.3">
      <c r="A14" s="244" t="str">
        <f>TEXT(A10+1,"000")</f>
        <v>003</v>
      </c>
      <c r="B14" s="244" t="str">
        <f>TEXT(B10+1,"000")</f>
        <v>016</v>
      </c>
      <c r="C14" s="729"/>
      <c r="E14" s="251" t="str">
        <f>+INDEX(PWP!$A:$Z,MATCH('PWP-Print'!E12,PWP!$B:$B,0),MATCH("Num",PWP!$A$1:$Z$1,0))</f>
        <v>A-003</v>
      </c>
      <c r="G14" s="249" t="str">
        <f>+INDEX(PWP!$A:$Z,MATCH('PWP-Print'!E12,PWP!$B:$B,0),MATCH("Element",PWP!$A$1:$Z$1,0))&amp;" "&amp;INDEX(PWP!$A:$Z,MATCH('PWP-Print'!E12,PWP!$B:$B,0),MATCH("Type",PWP!$A$1:$Z$1,0))&amp;" Adventurer"</f>
        <v>Flame Sword Adventurer</v>
      </c>
      <c r="K14" s="250"/>
      <c r="M14" s="729"/>
      <c r="O14" s="251" t="str">
        <f>+INDEX(PWP!$A:$Z,MATCH('PWP-Print'!O12,PWP!$B:$B,0),MATCH("Num",PWP!$A$1:$Z$1,0))</f>
        <v>A-016</v>
      </c>
      <c r="Q14" s="249" t="str">
        <f>+INDEX(PWP!$A:$Z,MATCH('PWP-Print'!O12,PWP!$B:$B,0),MATCH("Element",PWP!$A$1:$Z$1,0))&amp;" "&amp;INDEX(PWP!$A:$Z,MATCH('PWP-Print'!O12,PWP!$B:$B,0),MATCH("Type",PWP!$A$1:$Z$1,0))&amp;" Adventurer"</f>
        <v>Flame Blade Adventurer</v>
      </c>
      <c r="U14" s="250"/>
    </row>
    <row r="15" spans="1:21" ht="7.5" customHeight="1" x14ac:dyDescent="0.3">
      <c r="A15" s="244" t="s">
        <v>10763</v>
      </c>
      <c r="E15" s="250"/>
      <c r="G15" s="250"/>
      <c r="K15" s="250"/>
      <c r="O15" s="250"/>
      <c r="Q15" s="250"/>
      <c r="U15" s="250"/>
    </row>
    <row r="16" spans="1:21" ht="22.5" customHeight="1" x14ac:dyDescent="0.3">
      <c r="C16" s="729" t="e" vm="1065">
        <f>_xlfn.IMAGE("https://natalie.tf/wp-content/uploads/2023/10/DLV3_Icon_ADV_"&amp;E17&amp;"_r05.png")</f>
        <v>#VALUE!</v>
      </c>
      <c r="E16" s="249" t="str">
        <f>"PWP-"&amp;A18</f>
        <v>PWP-004</v>
      </c>
      <c r="G16" s="249" t="str">
        <f>+INDEX(PWP!$A:$Z,MATCH('PWP-Print'!E16,PWP!$B:$B,0),MATCH("Title",PWP!$A$1:$Z$1,0))</f>
        <v>Sublime Swordsman</v>
      </c>
      <c r="I16" t="e" vm="14">
        <f>_xlfn.IMAGE("https://natalie.tf/wp-content/uploads/2023/10/DLV3_Icon_Ability_"&amp;INDEX('PWP-A'!$A$2:$C$31,MATCH('PWP-Print'!J16,'PWP-A'!$B$2:$B$31,0),1)&amp;".png")</f>
        <v>#VALUE!</v>
      </c>
      <c r="J16" s="229" t="str">
        <f>+INDEX(PWP!$A:$Z,MATCH('PWP-Print'!E16,PWP!$B:$B,0),MATCH("PWP Ability 1",PWP!$A$1:$Z$1,0))</f>
        <v>Skill Damage +40%</v>
      </c>
      <c r="K16" s="249" t="str">
        <f>+INDEX(PWP!$A:$Z,MATCH('PWP-Print'!E16,PWP!$B:$B,0),MATCH("Locked PWP Ability 1",PWP!$A$1:$Z$1,0))</f>
        <v>(Flame) Skill Damage +40%</v>
      </c>
      <c r="M16" s="729" t="e" vm="1066">
        <f>_xlfn.IMAGE("https://natalie.tf/wp-content/uploads/2023/10/DLV3_Icon_ADV_"&amp;O17&amp;"_r05.png")</f>
        <v>#VALUE!</v>
      </c>
      <c r="O16" s="249" t="str">
        <f>"PWP-"&amp;B18</f>
        <v>PWP-017</v>
      </c>
      <c r="Q16" s="249" t="str">
        <f>+INDEX(PWP!$A:$Z,MATCH('PWP-Print'!O16,PWP!$B:$B,0),MATCH("Title",PWP!$A$1:$Z$1,0))</f>
        <v>Impassioned Ninja</v>
      </c>
      <c r="S16" t="e" vm="414">
        <f>_xlfn.IMAGE("https://natalie.tf/wp-content/uploads/2023/10/DLV3_Icon_Ability_"&amp;INDEX('PWP-A'!$A$2:$C$31,MATCH('PWP-Print'!T16,'PWP-A'!$B$2:$B$31,0),1)&amp;".png")</f>
        <v>#VALUE!</v>
      </c>
      <c r="T16" s="229" t="str">
        <f>+INDEX(PWP!$A:$Z,MATCH('PWP-Print'!O16,PWP!$B:$B,0),MATCH("PWP Ability 1",PWP!$A$1:$Z$1,0))</f>
        <v>Critical Damage +25%</v>
      </c>
      <c r="U16" s="249" t="str">
        <f>+INDEX(PWP!$A:$Z,MATCH('PWP-Print'!O16,PWP!$B:$B,0),MATCH("Locked PWP Ability 1",PWP!$A$1:$Z$1,0))</f>
        <v>(Flame) Critical Damage +25%</v>
      </c>
    </row>
    <row r="17" spans="1:21" ht="22.5" customHeight="1" x14ac:dyDescent="0.3">
      <c r="C17" s="729"/>
      <c r="D17" s="8"/>
      <c r="E17" s="200" t="str">
        <f>+INDEX(PWP!$A:$Z,MATCH('PWP-Print'!E16,PWP!$B:$B,0),MATCH("ID",PWP!$A$1:$Z$1,0))</f>
        <v>110259_01</v>
      </c>
      <c r="F17" s="8"/>
      <c r="G17" s="249" t="str">
        <f>+INDEX(PWP!$A:$Z,MATCH('PWP-Print'!E16,PWP!$B:$B,0),MATCH("Name",PWP!$A$1:$Z$1,0))</f>
        <v>Lea</v>
      </c>
      <c r="H17" s="8"/>
      <c r="I17" t="e" vm="1045">
        <f>_xlfn.IMAGE("https://natalie.tf/wp-content/uploads/2023/10/DLV3_Icon_Ability_"&amp;INDEX('PWP-A'!$A$2:$C$31,MATCH('PWP-Print'!J17,'PWP-A'!$B$2:$B$31,0),1)&amp;".png")</f>
        <v>#VALUE!</v>
      </c>
      <c r="J17" s="229" t="str">
        <f>+INDEX(PWP!$A:$Z,MATCH('PWP-Print'!E16,PWP!$B:$B,0),MATCH("PWP Ability 2",PWP!$A$1:$Z$1,0))</f>
        <v>Attack Rate +20%</v>
      </c>
      <c r="K17" s="249" t="str">
        <f>+INDEX(PWP!$A:$Z,MATCH('PWP-Print'!E16,PWP!$B:$B,0),MATCH("Locked PWP Ability 2",PWP!$A$1:$Z$1,0))</f>
        <v>(Flame) Attack Rate +20%</v>
      </c>
      <c r="M17" s="729"/>
      <c r="N17" s="8"/>
      <c r="O17" s="200" t="str">
        <f>+INDEX(PWP!$A:$Z,MATCH('PWP-Print'!O16,PWP!$B:$B,0),MATCH("ID",PWP!$A$1:$Z$1,0))</f>
        <v>110002_01</v>
      </c>
      <c r="P17" s="8"/>
      <c r="Q17" s="249" t="str">
        <f>+INDEX(PWP!$A:$Z,MATCH('PWP-Print'!O16,PWP!$B:$B,0),MATCH("Name",PWP!$A$1:$Z$1,0))</f>
        <v>Aoi</v>
      </c>
      <c r="R17" s="8"/>
      <c r="S17" t="e" vm="688">
        <f>_xlfn.IMAGE("https://natalie.tf/wp-content/uploads/2023/10/DLV3_Icon_Ability_"&amp;INDEX('PWP-A'!$A$2:$C$31,MATCH('PWP-Print'!T17,'PWP-A'!$B$2:$B$31,0),1)&amp;".png")</f>
        <v>#VALUE!</v>
      </c>
      <c r="T17" s="229" t="str">
        <f>+INDEX(PWP!$A:$Z,MATCH('PWP-Print'!O16,PWP!$B:$B,0),MATCH("PWP Ability 2",PWP!$A$1:$Z$1,0))</f>
        <v>Overdrive Punisher +15%</v>
      </c>
      <c r="U17" s="249" t="str">
        <f>+INDEX(PWP!$A:$Z,MATCH('PWP-Print'!O16,PWP!$B:$B,0),MATCH("Locked PWP Ability 2",PWP!$A$1:$Z$1,0))</f>
        <v>(Flame) Overdrive Punisher +15%</v>
      </c>
    </row>
    <row r="18" spans="1:21" ht="22.5" customHeight="1" x14ac:dyDescent="0.3">
      <c r="A18" s="244" t="str">
        <f>TEXT(A14+1,"000")</f>
        <v>004</v>
      </c>
      <c r="B18" s="244" t="str">
        <f>TEXT(B14+1,"000")</f>
        <v>017</v>
      </c>
      <c r="C18" s="729"/>
      <c r="E18" s="251" t="str">
        <f>+INDEX(PWP!$A:$Z,MATCH('PWP-Print'!E16,PWP!$B:$B,0),MATCH("Num",PWP!$A$1:$Z$1,0))</f>
        <v>A-004</v>
      </c>
      <c r="G18" s="249" t="str">
        <f>+INDEX(PWP!$A:$Z,MATCH('PWP-Print'!E16,PWP!$B:$B,0),MATCH("Element",PWP!$A$1:$Z$1,0))&amp;" "&amp;INDEX(PWP!$A:$Z,MATCH('PWP-Print'!E16,PWP!$B:$B,0),MATCH("Type",PWP!$A$1:$Z$1,0))&amp;" Adventurer"</f>
        <v>Flame Sword Adventurer</v>
      </c>
      <c r="K18" s="250"/>
      <c r="M18" s="729"/>
      <c r="O18" s="251" t="str">
        <f>+INDEX(PWP!$A:$Z,MATCH('PWP-Print'!O16,PWP!$B:$B,0),MATCH("Num",PWP!$A$1:$Z$1,0))</f>
        <v>A-017</v>
      </c>
      <c r="Q18" s="249" t="str">
        <f>+INDEX(PWP!$A:$Z,MATCH('PWP-Print'!O16,PWP!$B:$B,0),MATCH("Element",PWP!$A$1:$Z$1,0))&amp;" "&amp;INDEX(PWP!$A:$Z,MATCH('PWP-Print'!O16,PWP!$B:$B,0),MATCH("Type",PWP!$A$1:$Z$1,0))&amp;" Adventurer"</f>
        <v>Flame Blade Adventurer</v>
      </c>
      <c r="U18" s="250"/>
    </row>
    <row r="19" spans="1:21" ht="7.5" customHeight="1" x14ac:dyDescent="0.3">
      <c r="A19" s="244" t="s">
        <v>10763</v>
      </c>
      <c r="E19" s="250"/>
      <c r="G19" s="250"/>
      <c r="K19" s="250"/>
      <c r="O19" s="250"/>
      <c r="Q19" s="250"/>
      <c r="U19" s="250"/>
    </row>
    <row r="20" spans="1:21" ht="22.5" customHeight="1" x14ac:dyDescent="0.3">
      <c r="C20" s="729" t="e" vm="1067">
        <f>_xlfn.IMAGE("https://natalie.tf/wp-content/uploads/2023/10/DLV3_Icon_ADV_"&amp;E21&amp;"_r05.png")</f>
        <v>#VALUE!</v>
      </c>
      <c r="E20" s="249" t="str">
        <f>"PWP-"&amp;A22</f>
        <v>PWP-005</v>
      </c>
      <c r="G20" s="249" t="str">
        <f>+INDEX(PWP!$A:$Z,MATCH('PWP-Print'!E20,PWP!$B:$B,0),MATCH("Title",PWP!$A$1:$Z$1,0))</f>
        <v>Altean Prince</v>
      </c>
      <c r="I20" t="e" vm="414">
        <f>_xlfn.IMAGE("https://natalie.tf/wp-content/uploads/2023/10/DLV3_Icon_Ability_"&amp;INDEX('PWP-A'!$A$2:$C$31,MATCH('PWP-Print'!J20,'PWP-A'!$B$2:$B$31,0),1)&amp;".png")</f>
        <v>#VALUE!</v>
      </c>
      <c r="J20" s="229" t="str">
        <f>+INDEX(PWP!$A:$Z,MATCH('PWP-Print'!E20,PWP!$B:$B,0),MATCH("PWP Ability 1",PWP!$A$1:$Z$1,0))</f>
        <v>Critical Damage +25%</v>
      </c>
      <c r="K20" s="249" t="str">
        <f>+INDEX(PWP!$A:$Z,MATCH('PWP-Print'!E20,PWP!$B:$B,0),MATCH("Locked PWP Ability 1",PWP!$A$1:$Z$1,0))</f>
        <v>(Flame) Critical Damage +25%</v>
      </c>
      <c r="M20" s="729" t="e" vm="1068">
        <f>_xlfn.IMAGE("https://natalie.tf/wp-content/uploads/2023/10/DLV3_Icon_ADV_"&amp;O21&amp;"_r05.png")</f>
        <v>#VALUE!</v>
      </c>
      <c r="O20" s="249" t="str">
        <f>"PWP-"&amp;B22</f>
        <v>PWP-018</v>
      </c>
      <c r="Q20" s="249" t="str">
        <f>+INDEX(PWP!$A:$Z,MATCH('PWP-Print'!O20,PWP!$B:$B,0),MATCH("Title",PWP!$A$1:$Z$1,0))</f>
        <v>Blazing Auspex</v>
      </c>
      <c r="S20" t="e" vm="1036">
        <f>_xlfn.IMAGE("https://natalie.tf/wp-content/uploads/2023/10/DLV3_Icon_Ability_"&amp;INDEX('PWP-A'!$A$2:$C$31,MATCH('PWP-Print'!T20,'PWP-A'!$B$2:$B$31,0),1)&amp;".png")</f>
        <v>#VALUE!</v>
      </c>
      <c r="T20" s="229" t="str">
        <f>+INDEX(PWP!$A:$Z,MATCH('PWP-Print'!O20,PWP!$B:$B,0),MATCH("PWP Ability 1",PWP!$A$1:$Z$1,0))</f>
        <v>15 Hits = Overdamage</v>
      </c>
      <c r="U20" s="249" t="str">
        <f>+INDEX(PWP!$A:$Z,MATCH('PWP-Print'!O20,PWP!$B:$B,0),MATCH("Locked PWP Ability 1",PWP!$A$1:$Z$1,0))</f>
        <v>(Flame) 15 Hits = Overdamage</v>
      </c>
    </row>
    <row r="21" spans="1:21" ht="22.5" customHeight="1" x14ac:dyDescent="0.3">
      <c r="C21" s="729"/>
      <c r="D21" s="8"/>
      <c r="E21" s="200" t="str">
        <f>+INDEX(PWP!$A:$Z,MATCH('PWP-Print'!E20,PWP!$B:$B,0),MATCH("ID",PWP!$A$1:$Z$1,0))</f>
        <v>110291_01</v>
      </c>
      <c r="F21" s="8"/>
      <c r="G21" s="249" t="str">
        <f>+INDEX(PWP!$A:$Z,MATCH('PWP-Print'!E20,PWP!$B:$B,0),MATCH("Name",PWP!$A$1:$Z$1,0))</f>
        <v>Marth</v>
      </c>
      <c r="H21" s="8"/>
      <c r="I21" t="e" vm="1045">
        <f>_xlfn.IMAGE("https://natalie.tf/wp-content/uploads/2023/10/DLV3_Icon_Ability_"&amp;INDEX('PWP-A'!$A$2:$C$31,MATCH('PWP-Print'!J21,'PWP-A'!$B$2:$B$31,0),1)&amp;".png")</f>
        <v>#VALUE!</v>
      </c>
      <c r="J21" s="229" t="str">
        <f>+INDEX(PWP!$A:$Z,MATCH('PWP-Print'!E20,PWP!$B:$B,0),MATCH("PWP Ability 2",PWP!$A$1:$Z$1,0))</f>
        <v>Attack Rate +20%</v>
      </c>
      <c r="K21" s="249" t="str">
        <f>+INDEX(PWP!$A:$Z,MATCH('PWP-Print'!E20,PWP!$B:$B,0),MATCH("Locked PWP Ability 2",PWP!$A$1:$Z$1,0))</f>
        <v>(Flame) Attack Rate +20%</v>
      </c>
      <c r="M21" s="729"/>
      <c r="N21" s="8"/>
      <c r="O21" s="200" t="str">
        <f>+INDEX(PWP!$A:$Z,MATCH('PWP-Print'!O20,PWP!$B:$B,0),MATCH("ID",PWP!$A$1:$Z$1,0))</f>
        <v>100044_02</v>
      </c>
      <c r="P21" s="8"/>
      <c r="Q21" s="249" t="str">
        <f>+INDEX(PWP!$A:$Z,MATCH('PWP-Print'!O20,PWP!$B:$B,0),MATCH("Name",PWP!$A$1:$Z$1,0))</f>
        <v>Sheila</v>
      </c>
      <c r="R21" s="8"/>
      <c r="S21" t="e" vm="14">
        <f>_xlfn.IMAGE("https://natalie.tf/wp-content/uploads/2023/10/DLV3_Icon_Ability_"&amp;INDEX('PWP-A'!$A$2:$C$31,MATCH('PWP-Print'!T21,'PWP-A'!$B$2:$B$31,0),1)&amp;".png")</f>
        <v>#VALUE!</v>
      </c>
      <c r="T21" s="229" t="str">
        <f>+INDEX(PWP!$A:$Z,MATCH('PWP-Print'!O20,PWP!$B:$B,0),MATCH("PWP Ability 2",PWP!$A$1:$Z$1,0))</f>
        <v>Skill Damage +40%</v>
      </c>
      <c r="U21" s="249" t="str">
        <f>+INDEX(PWP!$A:$Z,MATCH('PWP-Print'!O20,PWP!$B:$B,0),MATCH("Locked PWP Ability 2",PWP!$A$1:$Z$1,0))</f>
        <v>(Flame) Skill Damage +40%</v>
      </c>
    </row>
    <row r="22" spans="1:21" ht="22.5" customHeight="1" x14ac:dyDescent="0.3">
      <c r="A22" s="244" t="str">
        <f>TEXT(A18+1,"000")</f>
        <v>005</v>
      </c>
      <c r="B22" s="244" t="str">
        <f>TEXT(B18+1,"000")</f>
        <v>018</v>
      </c>
      <c r="C22" s="729"/>
      <c r="E22" s="251" t="str">
        <f>+INDEX(PWP!$A:$Z,MATCH('PWP-Print'!E20,PWP!$B:$B,0),MATCH("Num",PWP!$A$1:$Z$1,0))</f>
        <v>A-005</v>
      </c>
      <c r="G22" s="249" t="str">
        <f>+INDEX(PWP!$A:$Z,MATCH('PWP-Print'!E20,PWP!$B:$B,0),MATCH("Element",PWP!$A$1:$Z$1,0))&amp;" "&amp;INDEX(PWP!$A:$Z,MATCH('PWP-Print'!E20,PWP!$B:$B,0),MATCH("Type",PWP!$A$1:$Z$1,0))&amp;" Adventurer"</f>
        <v>Flame Sword Adventurer</v>
      </c>
      <c r="K22" s="250"/>
      <c r="M22" s="729"/>
      <c r="O22" s="251" t="str">
        <f>+INDEX(PWP!$A:$Z,MATCH('PWP-Print'!O20,PWP!$B:$B,0),MATCH("Num",PWP!$A$1:$Z$1,0))</f>
        <v>A-018</v>
      </c>
      <c r="Q22" s="249" t="str">
        <f>+INDEX(PWP!$A:$Z,MATCH('PWP-Print'!O20,PWP!$B:$B,0),MATCH("Element",PWP!$A$1:$Z$1,0))&amp;" "&amp;INDEX(PWP!$A:$Z,MATCH('PWP-Print'!O20,PWP!$B:$B,0),MATCH("Type",PWP!$A$1:$Z$1,0))&amp;" Adventurer"</f>
        <v>Flame Dagger Adventurer</v>
      </c>
      <c r="U22" s="250"/>
    </row>
    <row r="23" spans="1:21" ht="7.5" customHeight="1" x14ac:dyDescent="0.3">
      <c r="A23" s="244" t="s">
        <v>10763</v>
      </c>
      <c r="E23" s="250"/>
      <c r="G23" s="250"/>
      <c r="K23" s="250"/>
      <c r="O23" s="250"/>
      <c r="Q23" s="250"/>
      <c r="U23" s="250"/>
    </row>
    <row r="24" spans="1:21" ht="22.5" customHeight="1" x14ac:dyDescent="0.3">
      <c r="C24" s="729" t="e" vm="1069">
        <f>_xlfn.IMAGE("https://natalie.tf/wp-content/uploads/2023/10/DLV3_Icon_ADV_"&amp;E25&amp;"_r05.png")</f>
        <v>#VALUE!</v>
      </c>
      <c r="E24" s="249" t="str">
        <f>"PWP-"&amp;A26</f>
        <v>PWP-006</v>
      </c>
      <c r="G24" s="249" t="str">
        <f>+INDEX(PWP!$A:$Z,MATCH('PWP-Print'!E24,PWP!$B:$B,0),MATCH("Title",PWP!$A$1:$Z$1,0))</f>
        <v>Suave Lithomancer</v>
      </c>
      <c r="I24" t="e" vm="14">
        <f>_xlfn.IMAGE("https://natalie.tf/wp-content/uploads/2023/10/DLV3_Icon_Ability_"&amp;INDEX('PWP-A'!$A$2:$C$31,MATCH('PWP-Print'!J24,'PWP-A'!$B$2:$B$31,0),1)&amp;".png")</f>
        <v>#VALUE!</v>
      </c>
      <c r="J24" s="229" t="str">
        <f>+INDEX(PWP!$A:$Z,MATCH('PWP-Print'!E24,PWP!$B:$B,0),MATCH("PWP Ability 1",PWP!$A$1:$Z$1,0))</f>
        <v>Skill Damage +40%</v>
      </c>
      <c r="K24" s="249" t="str">
        <f>+INDEX(PWP!$A:$Z,MATCH('PWP-Print'!E24,PWP!$B:$B,0),MATCH("Locked PWP Ability 1",PWP!$A$1:$Z$1,0))</f>
        <v>(Flame) Skill Damage +40%</v>
      </c>
      <c r="M24" s="729" t="e" vm="1070">
        <f>_xlfn.IMAGE("https://natalie.tf/wp-content/uploads/2023/10/DLV3_Icon_ADV_"&amp;O25&amp;"_r05.png")</f>
        <v>#VALUE!</v>
      </c>
      <c r="O24" s="249" t="str">
        <f>"PWP-"&amp;B26</f>
        <v>PWP-019</v>
      </c>
      <c r="Q24" s="249" t="str">
        <f>+INDEX(PWP!$A:$Z,MATCH('PWP-Print'!O24,PWP!$B:$B,0),MATCH("Title",PWP!$A$1:$Z$1,0))</f>
        <v>Summertime Mouse</v>
      </c>
      <c r="S24" t="e" vm="414">
        <f>_xlfn.IMAGE("https://natalie.tf/wp-content/uploads/2023/10/DLV3_Icon_Ability_"&amp;INDEX('PWP-A'!$A$2:$C$31,MATCH('PWP-Print'!T24,'PWP-A'!$B$2:$B$31,0),1)&amp;".png")</f>
        <v>#VALUE!</v>
      </c>
      <c r="T24" s="229" t="str">
        <f>+INDEX(PWP!$A:$Z,MATCH('PWP-Print'!O24,PWP!$B:$B,0),MATCH("PWP Ability 1",PWP!$A$1:$Z$1,0))</f>
        <v>Critical Damage +25%</v>
      </c>
      <c r="U24" s="249" t="str">
        <f>+INDEX(PWP!$A:$Z,MATCH('PWP-Print'!O24,PWP!$B:$B,0),MATCH("Locked PWP Ability 1",PWP!$A$1:$Z$1,0))</f>
        <v>(Flame) Critical Damage +25%</v>
      </c>
    </row>
    <row r="25" spans="1:21" ht="22.5" customHeight="1" x14ac:dyDescent="0.3">
      <c r="C25" s="729"/>
      <c r="D25" s="8"/>
      <c r="E25" s="200" t="str">
        <f>+INDEX(PWP!$A:$Z,MATCH('PWP-Print'!E24,PWP!$B:$B,0),MATCH("ID",PWP!$A$1:$Z$1,0))</f>
        <v>110266_01</v>
      </c>
      <c r="F25" s="8"/>
      <c r="G25" s="249" t="str">
        <f>+INDEX(PWP!$A:$Z,MATCH('PWP-Print'!E24,PWP!$B:$B,0),MATCH("Name",PWP!$A$1:$Z$1,0))</f>
        <v>Naveed</v>
      </c>
      <c r="H25" s="8"/>
      <c r="I25" t="e" vm="696">
        <f>_xlfn.IMAGE("https://natalie.tf/wp-content/uploads/2023/10/DLV3_Icon_Ability_"&amp;INDEX('PWP-A'!$A$2:$C$31,MATCH('PWP-Print'!J25,'PWP-A'!$B$2:$B$31,0),1)&amp;".png")</f>
        <v>#VALUE!</v>
      </c>
      <c r="J25" s="229" t="str">
        <f>+INDEX(PWP!$A:$Z,MATCH('PWP-Print'!E24,PWP!$B:$B,0),MATCH("PWP Ability 2",PWP!$A$1:$Z$1,0))</f>
        <v>Elemental Res +15%</v>
      </c>
      <c r="K25" s="249" t="str">
        <f>+INDEX(PWP!$A:$Z,MATCH('PWP-Print'!E24,PWP!$B:$B,0),MATCH("Locked PWP Ability 2",PWP!$A$1:$Z$1,0))</f>
        <v>(Flame) Elemental Res +15%</v>
      </c>
      <c r="M25" s="729"/>
      <c r="N25" s="8"/>
      <c r="O25" s="200" t="str">
        <f>+INDEX(PWP!$A:$Z,MATCH('PWP-Print'!O24,PWP!$B:$B,0),MATCH("ID",PWP!$A$1:$Z$1,0))</f>
        <v>110345_03</v>
      </c>
      <c r="P25" s="8"/>
      <c r="Q25" s="249" t="str">
        <f>+INDEX(PWP!$A:$Z,MATCH('PWP-Print'!O24,PWP!$B:$B,0),MATCH("Name",PWP!$A$1:$Z$1,0))</f>
        <v>Summer Mitsuhide</v>
      </c>
      <c r="R25" s="8"/>
      <c r="S25" t="e" vm="696">
        <f>_xlfn.IMAGE("https://natalie.tf/wp-content/uploads/2023/10/DLV3_Icon_Ability_"&amp;INDEX('PWP-A'!$A$2:$C$31,MATCH('PWP-Print'!T25,'PWP-A'!$B$2:$B$31,0),1)&amp;".png")</f>
        <v>#VALUE!</v>
      </c>
      <c r="T25" s="229" t="str">
        <f>+INDEX(PWP!$A:$Z,MATCH('PWP-Print'!O24,PWP!$B:$B,0),MATCH("PWP Ability 2",PWP!$A$1:$Z$1,0))</f>
        <v>Elemental Res +15%</v>
      </c>
      <c r="U25" s="249" t="str">
        <f>+INDEX(PWP!$A:$Z,MATCH('PWP-Print'!O24,PWP!$B:$B,0),MATCH("Locked PWP Ability 2",PWP!$A$1:$Z$1,0))</f>
        <v>(Flame) Elemental Res +15%</v>
      </c>
    </row>
    <row r="26" spans="1:21" ht="22.5" customHeight="1" x14ac:dyDescent="0.3">
      <c r="A26" s="244" t="str">
        <f>TEXT(A22+1,"000")</f>
        <v>006</v>
      </c>
      <c r="B26" s="244" t="str">
        <f>TEXT(B22+1,"000")</f>
        <v>019</v>
      </c>
      <c r="C26" s="729"/>
      <c r="E26" s="251" t="str">
        <f>+INDEX(PWP!$A:$Z,MATCH('PWP-Print'!E24,PWP!$B:$B,0),MATCH("Num",PWP!$A$1:$Z$1,0))</f>
        <v>A-006</v>
      </c>
      <c r="G26" s="249" t="str">
        <f>+INDEX(PWP!$A:$Z,MATCH('PWP-Print'!E24,PWP!$B:$B,0),MATCH("Element",PWP!$A$1:$Z$1,0))&amp;" "&amp;INDEX(PWP!$A:$Z,MATCH('PWP-Print'!E24,PWP!$B:$B,0),MATCH("Type",PWP!$A$1:$Z$1,0))&amp;" Adventurer"</f>
        <v>Flame Sword Adventurer</v>
      </c>
      <c r="K26" s="250"/>
      <c r="M26" s="729"/>
      <c r="O26" s="251" t="str">
        <f>+INDEX(PWP!$A:$Z,MATCH('PWP-Print'!O24,PWP!$B:$B,0),MATCH("Num",PWP!$A$1:$Z$1,0))</f>
        <v>A-019</v>
      </c>
      <c r="Q26" s="249" t="str">
        <f>+INDEX(PWP!$A:$Z,MATCH('PWP-Print'!O24,PWP!$B:$B,0),MATCH("Element",PWP!$A$1:$Z$1,0))&amp;" "&amp;INDEX(PWP!$A:$Z,MATCH('PWP-Print'!O24,PWP!$B:$B,0),MATCH("Type",PWP!$A$1:$Z$1,0))&amp;" Adventurer"</f>
        <v>Flame Dagger Adventurer</v>
      </c>
      <c r="U26" s="250"/>
    </row>
    <row r="27" spans="1:21" ht="7.5" customHeight="1" x14ac:dyDescent="0.3">
      <c r="A27" s="244" t="s">
        <v>10763</v>
      </c>
      <c r="E27" s="250"/>
      <c r="G27" s="250"/>
      <c r="K27" s="250"/>
      <c r="O27" s="250"/>
      <c r="Q27" s="250"/>
      <c r="U27" s="250"/>
    </row>
    <row r="28" spans="1:21" ht="22.5" customHeight="1" x14ac:dyDescent="0.3">
      <c r="C28" s="729" t="e" vm="1071">
        <f>_xlfn.IMAGE("https://natalie.tf/wp-content/uploads/2023/10/DLV3_Icon_ADV_"&amp;E29&amp;"_r05.png")</f>
        <v>#VALUE!</v>
      </c>
      <c r="E28" s="249" t="str">
        <f>"PWP-"&amp;A30</f>
        <v>PWP-007</v>
      </c>
      <c r="G28" s="249" t="str">
        <f>+INDEX(PWP!$A:$Z,MATCH('PWP-Print'!E28,PWP!$B:$B,0),MATCH("Title",PWP!$A$1:$Z$1,0))</f>
        <v>Purehearted Warrior</v>
      </c>
      <c r="I28" t="e" vm="414">
        <f>_xlfn.IMAGE("https://natalie.tf/wp-content/uploads/2023/10/DLV3_Icon_Ability_"&amp;INDEX('PWP-A'!$A$2:$C$31,MATCH('PWP-Print'!J28,'PWP-A'!$B$2:$B$31,0),1)&amp;".png")</f>
        <v>#VALUE!</v>
      </c>
      <c r="J28" s="229" t="str">
        <f>+INDEX(PWP!$A:$Z,MATCH('PWP-Print'!E28,PWP!$B:$B,0),MATCH("PWP Ability 1",PWP!$A$1:$Z$1,0))</f>
        <v>Critical Damage +25%</v>
      </c>
      <c r="K28" s="249" t="str">
        <f>+INDEX(PWP!$A:$Z,MATCH('PWP-Print'!E28,PWP!$B:$B,0),MATCH("Locked PWP Ability 1",PWP!$A$1:$Z$1,0))</f>
        <v>(Flame) Critical Damage +25%</v>
      </c>
      <c r="M28" s="729" t="e" vm="1072">
        <f>_xlfn.IMAGE("https://natalie.tf/wp-content/uploads/2023/10/DLV3_Icon_ADV_"&amp;O29&amp;"_r05.png")</f>
        <v>#VALUE!</v>
      </c>
      <c r="O28" s="249" t="str">
        <f>"PWP-"&amp;B30</f>
        <v>PWP-020</v>
      </c>
      <c r="Q28" s="249" t="str">
        <f>+INDEX(PWP!$A:$Z,MATCH('PWP-Print'!O28,PWP!$B:$B,0),MATCH("Title",PWP!$A$1:$Z$1,0))</f>
        <v>Synchronized Android</v>
      </c>
      <c r="S28" t="e" vm="1036">
        <f>_xlfn.IMAGE("https://natalie.tf/wp-content/uploads/2023/10/DLV3_Icon_Ability_"&amp;INDEX('PWP-A'!$A$2:$C$31,MATCH('PWP-Print'!T28,'PWP-A'!$B$2:$B$31,0),1)&amp;".png")</f>
        <v>#VALUE!</v>
      </c>
      <c r="T28" s="229" t="str">
        <f>+INDEX(PWP!$A:$Z,MATCH('PWP-Print'!O28,PWP!$B:$B,0),MATCH("PWP Ability 1",PWP!$A$1:$Z$1,0))</f>
        <v>15 Hits = Overdamage</v>
      </c>
      <c r="U28" s="249" t="str">
        <f>+INDEX(PWP!$A:$Z,MATCH('PWP-Print'!O28,PWP!$B:$B,0),MATCH("Locked PWP Ability 1",PWP!$A$1:$Z$1,0))</f>
        <v>(Flame) 15 Hits = Overdamage</v>
      </c>
    </row>
    <row r="29" spans="1:21" ht="22.5" customHeight="1" x14ac:dyDescent="0.3">
      <c r="C29" s="729"/>
      <c r="D29" s="8"/>
      <c r="E29" s="200" t="str">
        <f>+INDEX(PWP!$A:$Z,MATCH('PWP-Print'!E28,PWP!$B:$B,0),MATCH("ID",PWP!$A$1:$Z$1,0))</f>
        <v>110054_01</v>
      </c>
      <c r="F29" s="8"/>
      <c r="G29" s="249" t="str">
        <f>+INDEX(PWP!$A:$Z,MATCH('PWP-Print'!E28,PWP!$B:$B,0),MATCH("Name",PWP!$A$1:$Z$1,0))</f>
        <v>Serena</v>
      </c>
      <c r="H29" s="8"/>
      <c r="I29" t="e" vm="330">
        <f>_xlfn.IMAGE("https://natalie.tf/wp-content/uploads/2023/10/DLV3_Icon_Ability_"&amp;INDEX('PWP-A'!$A$2:$C$31,MATCH('PWP-Print'!J29,'PWP-A'!$B$2:$B$31,0),1)&amp;".png")</f>
        <v>#VALUE!</v>
      </c>
      <c r="J29" s="229" t="str">
        <f>+INDEX(PWP!$A:$Z,MATCH('PWP-Print'!E28,PWP!$B:$B,0),MATCH("PWP Ability 2",PWP!$A$1:$Z$1,0))</f>
        <v>Skill Haste +10%</v>
      </c>
      <c r="K29" s="249" t="str">
        <f>+INDEX(PWP!$A:$Z,MATCH('PWP-Print'!E28,PWP!$B:$B,0),MATCH("Locked PWP Ability 2",PWP!$A$1:$Z$1,0))</f>
        <v>(Flame) Skill Haste +10%</v>
      </c>
      <c r="M29" s="729"/>
      <c r="N29" s="8"/>
      <c r="O29" s="200" t="str">
        <f>+INDEX(PWP!$A:$Z,MATCH('PWP-Print'!O28,PWP!$B:$B,0),MATCH("ID",PWP!$A$1:$Z$1,0))</f>
        <v>100032_04</v>
      </c>
      <c r="P29" s="8"/>
      <c r="Q29" s="249" t="str">
        <f>+INDEX(PWP!$A:$Z,MATCH('PWP-Print'!O28,PWP!$B:$B,0),MATCH("Name",PWP!$A$1:$Z$1,0))</f>
        <v>Gala Laxi</v>
      </c>
      <c r="R29" s="8"/>
      <c r="S29" t="e" vm="14">
        <f>_xlfn.IMAGE("https://natalie.tf/wp-content/uploads/2023/10/DLV3_Icon_Ability_"&amp;INDEX('PWP-A'!$A$2:$C$31,MATCH('PWP-Print'!T29,'PWP-A'!$B$2:$B$31,0),1)&amp;".png")</f>
        <v>#VALUE!</v>
      </c>
      <c r="T29" s="229" t="str">
        <f>+INDEX(PWP!$A:$Z,MATCH('PWP-Print'!O28,PWP!$B:$B,0),MATCH("PWP Ability 2",PWP!$A$1:$Z$1,0))</f>
        <v>Strength +20%</v>
      </c>
      <c r="U29" s="249" t="str">
        <f>+INDEX(PWP!$A:$Z,MATCH('PWP-Print'!O28,PWP!$B:$B,0),MATCH("Locked PWP Ability 2",PWP!$A$1:$Z$1,0))</f>
        <v>(Flame) Strength +20%</v>
      </c>
    </row>
    <row r="30" spans="1:21" ht="22.5" customHeight="1" x14ac:dyDescent="0.3">
      <c r="A30" s="244" t="str">
        <f>TEXT(A26+1,"000")</f>
        <v>007</v>
      </c>
      <c r="B30" s="244" t="str">
        <f>TEXT(B26+1,"000")</f>
        <v>020</v>
      </c>
      <c r="C30" s="729"/>
      <c r="E30" s="251" t="str">
        <f>+INDEX(PWP!$A:$Z,MATCH('PWP-Print'!E28,PWP!$B:$B,0),MATCH("Num",PWP!$A$1:$Z$1,0))</f>
        <v>A-007</v>
      </c>
      <c r="G30" s="249" t="str">
        <f>+INDEX(PWP!$A:$Z,MATCH('PWP-Print'!E28,PWP!$B:$B,0),MATCH("Element",PWP!$A$1:$Z$1,0))&amp;" "&amp;INDEX(PWP!$A:$Z,MATCH('PWP-Print'!E28,PWP!$B:$B,0),MATCH("Type",PWP!$A$1:$Z$1,0))&amp;" Adventurer"</f>
        <v>Flame Sword Adventurer</v>
      </c>
      <c r="K30" s="250"/>
      <c r="M30" s="729"/>
      <c r="O30" s="251" t="str">
        <f>+INDEX(PWP!$A:$Z,MATCH('PWP-Print'!O28,PWP!$B:$B,0),MATCH("Num",PWP!$A$1:$Z$1,0))</f>
        <v>A-020</v>
      </c>
      <c r="Q30" s="249" t="str">
        <f>+INDEX(PWP!$A:$Z,MATCH('PWP-Print'!O28,PWP!$B:$B,0),MATCH("Element",PWP!$A$1:$Z$1,0))&amp;" "&amp;INDEX(PWP!$A:$Z,MATCH('PWP-Print'!O28,PWP!$B:$B,0),MATCH("Type",PWP!$A$1:$Z$1,0))&amp;" Adventurer"</f>
        <v>Flame Dagger Adventurer</v>
      </c>
      <c r="U30" s="250"/>
    </row>
    <row r="31" spans="1:21" ht="7.5" customHeight="1" x14ac:dyDescent="0.3">
      <c r="A31" s="244" t="s">
        <v>10763</v>
      </c>
      <c r="E31" s="250"/>
      <c r="G31" s="250"/>
      <c r="K31" s="250"/>
      <c r="O31" s="250"/>
      <c r="Q31" s="250"/>
      <c r="U31" s="250"/>
    </row>
    <row r="32" spans="1:21" ht="22.5" customHeight="1" x14ac:dyDescent="0.3">
      <c r="C32" s="729" t="e" vm="1073">
        <f>_xlfn.IMAGE("https://natalie.tf/wp-content/uploads/2023/10/DLV3_Icon_ADV_"&amp;E33&amp;"_r05.png")</f>
        <v>#VALUE!</v>
      </c>
      <c r="E32" s="249" t="str">
        <f>"PWP-"&amp;A34</f>
        <v>PWP-008</v>
      </c>
      <c r="G32" s="249" t="str">
        <f>+INDEX(PWP!$A:$Z,MATCH('PWP-Print'!E32,PWP!$B:$B,0),MATCH("Title",PWP!$A$1:$Z$1,0))</f>
        <v>Hero of Justice</v>
      </c>
      <c r="I32" t="e" vm="688">
        <f>_xlfn.IMAGE("https://natalie.tf/wp-content/uploads/2023/10/DLV3_Icon_Ability_"&amp;INDEX('PWP-A'!$A$2:$C$31,MATCH('PWP-Print'!J32,'PWP-A'!$B$2:$B$31,0),1)&amp;".png")</f>
        <v>#VALUE!</v>
      </c>
      <c r="J32" s="229" t="str">
        <f>+INDEX(PWP!$A:$Z,MATCH('PWP-Print'!E32,PWP!$B:$B,0),MATCH("PWP Ability 1",PWP!$A$1:$Z$1,0))</f>
        <v>Overdrive Punisher +15%</v>
      </c>
      <c r="K32" s="249" t="str">
        <f>+INDEX(PWP!$A:$Z,MATCH('PWP-Print'!E32,PWP!$B:$B,0),MATCH("Locked PWP Ability 1",PWP!$A$1:$Z$1,0))</f>
        <v>(Flame) Overdrive Punisher +15%</v>
      </c>
      <c r="M32" s="729" t="e" vm="1074">
        <f>_xlfn.IMAGE("https://natalie.tf/wp-content/uploads/2023/10/DLV3_Icon_ADV_"&amp;O33&amp;"_r05.png")</f>
        <v>#VALUE!</v>
      </c>
      <c r="O32" s="249" t="str">
        <f>"PWP-"&amp;B34</f>
        <v>PWP-021</v>
      </c>
      <c r="Q32" s="249" t="str">
        <f>+INDEX(PWP!$A:$Z,MATCH('PWP-Print'!O32,PWP!$B:$B,0),MATCH("Title",PWP!$A$1:$Z$1,0))</f>
        <v>Genius of the Century</v>
      </c>
      <c r="S32" t="e" vm="14">
        <f>_xlfn.IMAGE("https://natalie.tf/wp-content/uploads/2023/10/DLV3_Icon_Ability_"&amp;INDEX('PWP-A'!$A$2:$C$31,MATCH('PWP-Print'!T32,'PWP-A'!$B$2:$B$31,0),1)&amp;".png")</f>
        <v>#VALUE!</v>
      </c>
      <c r="T32" s="229" t="str">
        <f>+INDEX(PWP!$A:$Z,MATCH('PWP-Print'!O32,PWP!$B:$B,0),MATCH("PWP Ability 1",PWP!$A$1:$Z$1,0))</f>
        <v>Skill Damage +40%</v>
      </c>
      <c r="U32" s="249" t="str">
        <f>+INDEX(PWP!$A:$Z,MATCH('PWP-Print'!O32,PWP!$B:$B,0),MATCH("Locked PWP Ability 1",PWP!$A$1:$Z$1,0))</f>
        <v>(Flame) Skill Damage +40%</v>
      </c>
    </row>
    <row r="33" spans="1:21" ht="22.5" customHeight="1" x14ac:dyDescent="0.3">
      <c r="C33" s="729"/>
      <c r="D33" s="8"/>
      <c r="E33" s="200" t="str">
        <f>+INDEX(PWP!$A:$Z,MATCH('PWP-Print'!E32,PWP!$B:$B,0),MATCH("ID",PWP!$A$1:$Z$1,0))</f>
        <v>110008_01</v>
      </c>
      <c r="F33" s="8"/>
      <c r="G33" s="249" t="str">
        <f>+INDEX(PWP!$A:$Z,MATCH('PWP-Print'!E32,PWP!$B:$B,0),MATCH("Name",PWP!$A$1:$Z$1,0))</f>
        <v>Karl</v>
      </c>
      <c r="H33" s="8"/>
      <c r="I33" t="e" vm="426">
        <f>_xlfn.IMAGE("https://natalie.tf/wp-content/uploads/2023/10/DLV3_Icon_Ability_"&amp;INDEX('PWP-A'!$A$2:$C$31,MATCH('PWP-Print'!J33,'PWP-A'!$B$2:$B$31,0),1)&amp;".png")</f>
        <v>#VALUE!</v>
      </c>
      <c r="J33" s="229" t="str">
        <f>+INDEX(PWP!$A:$Z,MATCH('PWP-Print'!E32,PWP!$B:$B,0),MATCH("PWP Ability 2",PWP!$A$1:$Z$1,0))</f>
        <v>Defense +20%</v>
      </c>
      <c r="K33" s="249" t="str">
        <f>+INDEX(PWP!$A:$Z,MATCH('PWP-Print'!E32,PWP!$B:$B,0),MATCH("Locked PWP Ability 2",PWP!$A$1:$Z$1,0))</f>
        <v>(Flame) Defense +20%</v>
      </c>
      <c r="M33" s="729"/>
      <c r="N33" s="8"/>
      <c r="O33" s="200" t="str">
        <f>+INDEX(PWP!$A:$Z,MATCH('PWP-Print'!O32,PWP!$B:$B,0),MATCH("ID",PWP!$A$1:$Z$1,0))</f>
        <v>110011_01</v>
      </c>
      <c r="P33" s="8"/>
      <c r="Q33" s="249" t="str">
        <f>+INDEX(PWP!$A:$Z,MATCH('PWP-Print'!O32,PWP!$B:$B,0),MATCH("Name",PWP!$A$1:$Z$1,0))</f>
        <v>Ezelith</v>
      </c>
      <c r="R33" s="8"/>
      <c r="S33" t="e" vm="326">
        <f>_xlfn.IMAGE("https://natalie.tf/wp-content/uploads/2023/10/DLV3_Icon_Ability_"&amp;INDEX('PWP-A'!$A$2:$C$31,MATCH('PWP-Print'!T33,'PWP-A'!$B$2:$B$31,0),1)&amp;".png")</f>
        <v>#VALUE!</v>
      </c>
      <c r="T33" s="229" t="str">
        <f>+INDEX(PWP!$A:$Z,MATCH('PWP-Print'!O32,PWP!$B:$B,0),MATCH("PWP Ability 2",PWP!$A$1:$Z$1,0))</f>
        <v>Critical Rate +15%</v>
      </c>
      <c r="U33" s="249" t="str">
        <f>+INDEX(PWP!$A:$Z,MATCH('PWP-Print'!O32,PWP!$B:$B,0),MATCH("Locked PWP Ability 2",PWP!$A$1:$Z$1,0))</f>
        <v>(Flame) Critical Rate +15%</v>
      </c>
    </row>
    <row r="34" spans="1:21" ht="22.5" customHeight="1" x14ac:dyDescent="0.3">
      <c r="A34" s="244" t="str">
        <f>TEXT(A30+1,"000")</f>
        <v>008</v>
      </c>
      <c r="B34" s="244" t="str">
        <f>TEXT(B30+1,"000")</f>
        <v>021</v>
      </c>
      <c r="C34" s="729"/>
      <c r="E34" s="251" t="str">
        <f>+INDEX(PWP!$A:$Z,MATCH('PWP-Print'!E32,PWP!$B:$B,0),MATCH("Num",PWP!$A$1:$Z$1,0))</f>
        <v>A-008</v>
      </c>
      <c r="G34" s="249" t="str">
        <f>+INDEX(PWP!$A:$Z,MATCH('PWP-Print'!E32,PWP!$B:$B,0),MATCH("Element",PWP!$A$1:$Z$1,0))&amp;" "&amp;INDEX(PWP!$A:$Z,MATCH('PWP-Print'!E32,PWP!$B:$B,0),MATCH("Type",PWP!$A$1:$Z$1,0))&amp;" Adventurer"</f>
        <v>Flame Sword Adventurer</v>
      </c>
      <c r="K34" s="250"/>
      <c r="M34" s="729"/>
      <c r="O34" s="251" t="str">
        <f>+INDEX(PWP!$A:$Z,MATCH('PWP-Print'!O32,PWP!$B:$B,0),MATCH("Num",PWP!$A$1:$Z$1,0))</f>
        <v>A-021</v>
      </c>
      <c r="Q34" s="249" t="str">
        <f>+INDEX(PWP!$A:$Z,MATCH('PWP-Print'!O32,PWP!$B:$B,0),MATCH("Element",PWP!$A$1:$Z$1,0))&amp;" "&amp;INDEX(PWP!$A:$Z,MATCH('PWP-Print'!O32,PWP!$B:$B,0),MATCH("Type",PWP!$A$1:$Z$1,0))&amp;" Adventurer"</f>
        <v>Flame Dagger Adventurer</v>
      </c>
      <c r="U34" s="250"/>
    </row>
    <row r="35" spans="1:21" ht="7.5" customHeight="1" x14ac:dyDescent="0.3">
      <c r="A35" s="244" t="s">
        <v>10763</v>
      </c>
      <c r="E35" s="250"/>
      <c r="G35" s="250"/>
      <c r="K35" s="250"/>
      <c r="O35" s="250"/>
      <c r="Q35" s="250"/>
      <c r="U35" s="250"/>
    </row>
    <row r="36" spans="1:21" ht="22.5" customHeight="1" x14ac:dyDescent="0.3">
      <c r="C36" s="729" t="e" vm="1075">
        <f>_xlfn.IMAGE("https://natalie.tf/wp-content/uploads/2023/10/DLV3_Icon_ADV_"&amp;E37&amp;"_r05.png")</f>
        <v>#VALUE!</v>
      </c>
      <c r="E36" s="249" t="str">
        <f>"PWP-"&amp;A38</f>
        <v>PWP-009</v>
      </c>
      <c r="G36" s="249" t="str">
        <f>+INDEX(PWP!$A:$Z,MATCH('PWP-Print'!E36,PWP!$B:$B,0),MATCH("Title",PWP!$A$1:$Z$1,0))</f>
        <v>Dragonblood Prince</v>
      </c>
      <c r="I36" t="e" vm="14">
        <f>_xlfn.IMAGE("https://natalie.tf/wp-content/uploads/2023/10/DLV3_Icon_Ability_"&amp;INDEX('PWP-A'!$A$2:$C$31,MATCH('PWP-Print'!J36,'PWP-A'!$B$2:$B$31,0),1)&amp;".png")</f>
        <v>#VALUE!</v>
      </c>
      <c r="J36" s="229" t="str">
        <f>+INDEX(PWP!$A:$Z,MATCH('PWP-Print'!E36,PWP!$B:$B,0),MATCH("PWP Ability 1",PWP!$A$1:$Z$1,0))</f>
        <v>Strength +20%</v>
      </c>
      <c r="K36" s="249" t="str">
        <f>+INDEX(PWP!$A:$Z,MATCH('PWP-Print'!E36,PWP!$B:$B,0),MATCH("Locked PWP Ability 1",PWP!$A$1:$Z$1,0))</f>
        <v>(Flame) Strength +20%</v>
      </c>
      <c r="M36" s="729" t="e" vm="1076">
        <f>_xlfn.IMAGE("https://natalie.tf/wp-content/uploads/2023/10/DLV3_Icon_ADV_"&amp;O37&amp;"_r05.png")</f>
        <v>#VALUE!</v>
      </c>
      <c r="O36" s="249" t="str">
        <f>"PWP-"&amp;B38</f>
        <v>PWP-022</v>
      </c>
      <c r="Q36" s="249" t="str">
        <f>+INDEX(PWP!$A:$Z,MATCH('PWP-Print'!O36,PWP!$B:$B,0),MATCH("Title",PWP!$A$1:$Z$1,0))</f>
        <v>Rebellious Rider</v>
      </c>
      <c r="S36" t="e" vm="326">
        <f>_xlfn.IMAGE("https://natalie.tf/wp-content/uploads/2023/10/DLV3_Icon_Ability_"&amp;INDEX('PWP-A'!$A$2:$C$31,MATCH('PWP-Print'!T36,'PWP-A'!$B$2:$B$31,0),1)&amp;".png")</f>
        <v>#VALUE!</v>
      </c>
      <c r="T36" s="229" t="str">
        <f>+INDEX(PWP!$A:$Z,MATCH('PWP-Print'!O36,PWP!$B:$B,0),MATCH("PWP Ability 1",PWP!$A$1:$Z$1,0))</f>
        <v>Critical Rate +15%</v>
      </c>
      <c r="U36" s="249" t="str">
        <f>+INDEX(PWP!$A:$Z,MATCH('PWP-Print'!O36,PWP!$B:$B,0),MATCH("Locked PWP Ability 1",PWP!$A$1:$Z$1,0))</f>
        <v>(Flame) Critical Rate +15%</v>
      </c>
    </row>
    <row r="37" spans="1:21" ht="22.5" customHeight="1" x14ac:dyDescent="0.3">
      <c r="C37" s="729"/>
      <c r="D37" s="8"/>
      <c r="E37" s="200" t="str">
        <f>+INDEX(PWP!$A:$Z,MATCH('PWP-Print'!E36,PWP!$B:$B,0),MATCH("ID",PWP!$A$1:$Z$1,0))</f>
        <v>100001_01</v>
      </c>
      <c r="F37" s="8"/>
      <c r="G37" s="249" t="str">
        <f>+INDEX(PWP!$A:$Z,MATCH('PWP-Print'!E36,PWP!$B:$B,0),MATCH("Name",PWP!$A$1:$Z$1,0))</f>
        <v>The Prince</v>
      </c>
      <c r="H37" s="8"/>
      <c r="I37" t="e" vm="426">
        <f>_xlfn.IMAGE("https://natalie.tf/wp-content/uploads/2023/10/DLV3_Icon_Ability_"&amp;INDEX('PWP-A'!$A$2:$C$31,MATCH('PWP-Print'!J37,'PWP-A'!$B$2:$B$31,0),1)&amp;".png")</f>
        <v>#VALUE!</v>
      </c>
      <c r="J37" s="229" t="str">
        <f>+INDEX(PWP!$A:$Z,MATCH('PWP-Print'!E36,PWP!$B:$B,0),MATCH("PWP Ability 2",PWP!$A$1:$Z$1,0))</f>
        <v>Defense +20%</v>
      </c>
      <c r="K37" s="249" t="str">
        <f>+INDEX(PWP!$A:$Z,MATCH('PWP-Print'!E36,PWP!$B:$B,0),MATCH("Locked PWP Ability 2",PWP!$A$1:$Z$1,0))</f>
        <v>(Flame) Defense +20%</v>
      </c>
      <c r="M37" s="729"/>
      <c r="N37" s="8"/>
      <c r="O37" s="200" t="str">
        <f>+INDEX(PWP!$A:$Z,MATCH('PWP-Print'!O36,PWP!$B:$B,0),MATCH("ID",PWP!$A$1:$Z$1,0))</f>
        <v>110344_01</v>
      </c>
      <c r="P37" s="8"/>
      <c r="Q37" s="249" t="str">
        <f>+INDEX(PWP!$A:$Z,MATCH('PWP-Print'!O36,PWP!$B:$B,0),MATCH("Name",PWP!$A$1:$Z$1,0))</f>
        <v>Yuya</v>
      </c>
      <c r="R37" s="8"/>
      <c r="S37" t="e" vm="426">
        <f>_xlfn.IMAGE("https://natalie.tf/wp-content/uploads/2023/10/DLV3_Icon_Ability_"&amp;INDEX('PWP-A'!$A$2:$C$31,MATCH('PWP-Print'!T37,'PWP-A'!$B$2:$B$31,0),1)&amp;".png")</f>
        <v>#VALUE!</v>
      </c>
      <c r="T37" s="229" t="str">
        <f>+INDEX(PWP!$A:$Z,MATCH('PWP-Print'!O36,PWP!$B:$B,0),MATCH("PWP Ability 2",PWP!$A$1:$Z$1,0))</f>
        <v>Defense +20%</v>
      </c>
      <c r="U37" s="249" t="str">
        <f>+INDEX(PWP!$A:$Z,MATCH('PWP-Print'!O36,PWP!$B:$B,0),MATCH("Locked PWP Ability 2",PWP!$A$1:$Z$1,0))</f>
        <v>(Flame) Defense +20%</v>
      </c>
    </row>
    <row r="38" spans="1:21" ht="22.5" customHeight="1" x14ac:dyDescent="0.3">
      <c r="A38" s="244" t="str">
        <f>TEXT(A34+1,"000")</f>
        <v>009</v>
      </c>
      <c r="B38" s="244" t="str">
        <f>TEXT(B34+1,"000")</f>
        <v>022</v>
      </c>
      <c r="C38" s="729"/>
      <c r="E38" s="251" t="str">
        <f>+INDEX(PWP!$A:$Z,MATCH('PWP-Print'!E36,PWP!$B:$B,0),MATCH("Num",PWP!$A$1:$Z$1,0))</f>
        <v>A-009</v>
      </c>
      <c r="G38" s="249" t="str">
        <f>+INDEX(PWP!$A:$Z,MATCH('PWP-Print'!E36,PWP!$B:$B,0),MATCH("Element",PWP!$A$1:$Z$1,0))&amp;" "&amp;INDEX(PWP!$A:$Z,MATCH('PWP-Print'!E36,PWP!$B:$B,0),MATCH("Type",PWP!$A$1:$Z$1,0))&amp;" Adventurer"</f>
        <v>Flame Sword Adventurer</v>
      </c>
      <c r="K38" s="250"/>
      <c r="M38" s="729"/>
      <c r="O38" s="251" t="str">
        <f>+INDEX(PWP!$A:$Z,MATCH('PWP-Print'!O36,PWP!$B:$B,0),MATCH("Num",PWP!$A$1:$Z$1,0))</f>
        <v>A-022</v>
      </c>
      <c r="Q38" s="249" t="str">
        <f>+INDEX(PWP!$A:$Z,MATCH('PWP-Print'!O36,PWP!$B:$B,0),MATCH("Element",PWP!$A$1:$Z$1,0))&amp;" "&amp;INDEX(PWP!$A:$Z,MATCH('PWP-Print'!O36,PWP!$B:$B,0),MATCH("Type",PWP!$A$1:$Z$1,0))&amp;" Adventurer"</f>
        <v>Flame Dagger Adventurer</v>
      </c>
      <c r="U38" s="250"/>
    </row>
    <row r="39" spans="1:21" ht="7.5" customHeight="1" x14ac:dyDescent="0.3">
      <c r="A39" s="244" t="s">
        <v>10763</v>
      </c>
      <c r="E39" s="250"/>
      <c r="G39" s="250"/>
      <c r="K39" s="250"/>
      <c r="O39" s="250"/>
      <c r="Q39" s="250"/>
      <c r="U39" s="250"/>
    </row>
    <row r="40" spans="1:21" ht="22.5" customHeight="1" x14ac:dyDescent="0.3">
      <c r="C40" s="729" t="e" vm="1077">
        <f>_xlfn.IMAGE("https://natalie.tf/wp-content/uploads/2023/10/DLV3_Icon_ADV_"&amp;E41&amp;"_r05.png")</f>
        <v>#VALUE!</v>
      </c>
      <c r="E40" s="249" t="str">
        <f>"PWP-"&amp;A42</f>
        <v>PWP-010</v>
      </c>
      <c r="G40" s="249" t="str">
        <f>+INDEX(PWP!$A:$Z,MATCH('PWP-Print'!E40,PWP!$B:$B,0),MATCH("Title",PWP!$A$1:$Z$1,0))</f>
        <v>Valentine's Guardian</v>
      </c>
      <c r="I40" t="e" vm="688">
        <f>_xlfn.IMAGE("https://natalie.tf/wp-content/uploads/2023/10/DLV3_Icon_Ability_"&amp;INDEX('PWP-A'!$A$2:$C$31,MATCH('PWP-Print'!J40,'PWP-A'!$B$2:$B$31,0),1)&amp;".png")</f>
        <v>#VALUE!</v>
      </c>
      <c r="J40" s="229" t="str">
        <f>+INDEX(PWP!$A:$Z,MATCH('PWP-Print'!E40,PWP!$B:$B,0),MATCH("PWP Ability 1",PWP!$A$1:$Z$1,0))</f>
        <v>Overdrive Punisher +15%</v>
      </c>
      <c r="K40" s="249" t="str">
        <f>+INDEX(PWP!$A:$Z,MATCH('PWP-Print'!E40,PWP!$B:$B,0),MATCH("Locked PWP Ability 1",PWP!$A$1:$Z$1,0))</f>
        <v>(Flame) Overdrive Punisher +15%</v>
      </c>
      <c r="M40" s="729" t="e" vm="1078">
        <f>_xlfn.IMAGE("https://natalie.tf/wp-content/uploads/2023/10/DLV3_Icon_ADV_"&amp;O41&amp;"_r05.png")</f>
        <v>#VALUE!</v>
      </c>
      <c r="O40" s="249" t="str">
        <f>"PWP-"&amp;B42</f>
        <v>PWP-023</v>
      </c>
      <c r="Q40" s="249" t="str">
        <f>+INDEX(PWP!$A:$Z,MATCH('PWP-Print'!O40,PWP!$B:$B,0),MATCH("Title",PWP!$A$1:$Z$1,0))</f>
        <v>Resolute Friend</v>
      </c>
      <c r="S40" t="e" vm="688">
        <f>_xlfn.IMAGE("https://natalie.tf/wp-content/uploads/2023/10/DLV3_Icon_Ability_"&amp;INDEX('PWP-A'!$A$2:$C$31,MATCH('PWP-Print'!T40,'PWP-A'!$B$2:$B$31,0),1)&amp;".png")</f>
        <v>#VALUE!</v>
      </c>
      <c r="T40" s="229" t="str">
        <f>+INDEX(PWP!$A:$Z,MATCH('PWP-Print'!O40,PWP!$B:$B,0),MATCH("PWP Ability 1",PWP!$A$1:$Z$1,0))</f>
        <v>Overdrive Punisher +15%</v>
      </c>
      <c r="U40" s="249" t="str">
        <f>+INDEX(PWP!$A:$Z,MATCH('PWP-Print'!O40,PWP!$B:$B,0),MATCH("Locked PWP Ability 1",PWP!$A$1:$Z$1,0))</f>
        <v>(Flame) Overdrive Punisher +15%</v>
      </c>
    </row>
    <row r="41" spans="1:21" ht="22.5" customHeight="1" x14ac:dyDescent="0.3">
      <c r="C41" s="729"/>
      <c r="D41" s="8"/>
      <c r="E41" s="200" t="str">
        <f>+INDEX(PWP!$A:$Z,MATCH('PWP-Print'!E40,PWP!$B:$B,0),MATCH("ID",PWP!$A$1:$Z$1,0))</f>
        <v>110052_03</v>
      </c>
      <c r="F41" s="8"/>
      <c r="G41" s="249" t="str">
        <f>+INDEX(PWP!$A:$Z,MATCH('PWP-Print'!E40,PWP!$B:$B,0),MATCH("Name",PWP!$A$1:$Z$1,0))</f>
        <v>Valentine's Orion</v>
      </c>
      <c r="H41" s="8"/>
      <c r="I41" t="e" vm="330">
        <f>_xlfn.IMAGE("https://natalie.tf/wp-content/uploads/2023/10/DLV3_Icon_Ability_"&amp;INDEX('PWP-A'!$A$2:$C$31,MATCH('PWP-Print'!J41,'PWP-A'!$B$2:$B$31,0),1)&amp;".png")</f>
        <v>#VALUE!</v>
      </c>
      <c r="J41" s="229" t="str">
        <f>+INDEX(PWP!$A:$Z,MATCH('PWP-Print'!E40,PWP!$B:$B,0),MATCH("PWP Ability 2",PWP!$A$1:$Z$1,0))</f>
        <v>Skill Haste +10%</v>
      </c>
      <c r="K41" s="249" t="str">
        <f>+INDEX(PWP!$A:$Z,MATCH('PWP-Print'!E40,PWP!$B:$B,0),MATCH("Locked PWP Ability 2",PWP!$A$1:$Z$1,0))</f>
        <v>(Flame) Skill Haste +10%</v>
      </c>
      <c r="M41" s="729"/>
      <c r="N41" s="8"/>
      <c r="O41" s="200" t="str">
        <f>+INDEX(PWP!$A:$Z,MATCH('PWP-Print'!O40,PWP!$B:$B,0),MATCH("ID",PWP!$A$1:$Z$1,0))</f>
        <v>110270_01</v>
      </c>
      <c r="P41" s="8"/>
      <c r="Q41" s="249" t="str">
        <f>+INDEX(PWP!$A:$Z,MATCH('PWP-Print'!O40,PWP!$B:$B,0),MATCH("Name",PWP!$A$1:$Z$1,0))</f>
        <v>Melsa</v>
      </c>
      <c r="R41" s="8"/>
      <c r="S41" t="e" vm="1045">
        <f>_xlfn.IMAGE("https://natalie.tf/wp-content/uploads/2023/10/DLV3_Icon_Ability_"&amp;INDEX('PWP-A'!$A$2:$C$31,MATCH('PWP-Print'!T41,'PWP-A'!$B$2:$B$31,0),1)&amp;".png")</f>
        <v>#VALUE!</v>
      </c>
      <c r="T41" s="229" t="str">
        <f>+INDEX(PWP!$A:$Z,MATCH('PWP-Print'!O40,PWP!$B:$B,0),MATCH("PWP Ability 2",PWP!$A$1:$Z$1,0))</f>
        <v>Attack Rate +20%</v>
      </c>
      <c r="U41" s="249" t="str">
        <f>+INDEX(PWP!$A:$Z,MATCH('PWP-Print'!O40,PWP!$B:$B,0),MATCH("Locked PWP Ability 2",PWP!$A$1:$Z$1,0))</f>
        <v>(Flame) Attack Rate +20%</v>
      </c>
    </row>
    <row r="42" spans="1:21" ht="22.5" customHeight="1" x14ac:dyDescent="0.3">
      <c r="A42" s="244" t="str">
        <f>TEXT(A38+1,"000")</f>
        <v>010</v>
      </c>
      <c r="B42" s="244" t="str">
        <f>TEXT(B38+1,"000")</f>
        <v>023</v>
      </c>
      <c r="C42" s="729"/>
      <c r="E42" s="251" t="str">
        <f>+INDEX(PWP!$A:$Z,MATCH('PWP-Print'!E40,PWP!$B:$B,0),MATCH("Num",PWP!$A$1:$Z$1,0))</f>
        <v>A-010</v>
      </c>
      <c r="G42" s="249" t="str">
        <f>+INDEX(PWP!$A:$Z,MATCH('PWP-Print'!E40,PWP!$B:$B,0),MATCH("Element",PWP!$A$1:$Z$1,0))&amp;" "&amp;INDEX(PWP!$A:$Z,MATCH('PWP-Print'!E40,PWP!$B:$B,0),MATCH("Type",PWP!$A$1:$Z$1,0))&amp;" Adventurer"</f>
        <v>Flame Sword Adventurer</v>
      </c>
      <c r="K42" s="250"/>
      <c r="M42" s="729"/>
      <c r="O42" s="251" t="str">
        <f>+INDEX(PWP!$A:$Z,MATCH('PWP-Print'!O40,PWP!$B:$B,0),MATCH("Num",PWP!$A$1:$Z$1,0))</f>
        <v>A-023</v>
      </c>
      <c r="Q42" s="249" t="str">
        <f>+INDEX(PWP!$A:$Z,MATCH('PWP-Print'!O40,PWP!$B:$B,0),MATCH("Element",PWP!$A$1:$Z$1,0))&amp;" "&amp;INDEX(PWP!$A:$Z,MATCH('PWP-Print'!O40,PWP!$B:$B,0),MATCH("Type",PWP!$A$1:$Z$1,0))&amp;" Adventurer"</f>
        <v>Flame Dagger Adventurer</v>
      </c>
      <c r="U42" s="250"/>
    </row>
    <row r="43" spans="1:21" ht="7.5" customHeight="1" x14ac:dyDescent="0.3">
      <c r="A43" s="244" t="s">
        <v>10763</v>
      </c>
      <c r="E43" s="250"/>
      <c r="G43" s="250"/>
      <c r="K43" s="250"/>
      <c r="O43" s="250"/>
      <c r="Q43" s="250"/>
      <c r="U43" s="250"/>
    </row>
    <row r="44" spans="1:21" ht="22.5" customHeight="1" x14ac:dyDescent="0.3">
      <c r="C44" s="729" t="e" vm="1079">
        <f>_xlfn.IMAGE("https://natalie.tf/wp-content/uploads/2023/10/DLV3_Icon_ADV_"&amp;E45&amp;"_r05.png")</f>
        <v>#VALUE!</v>
      </c>
      <c r="E44" s="249" t="str">
        <f>"PWP-"&amp;A46</f>
        <v>PWP-011</v>
      </c>
      <c r="G44" s="249" t="str">
        <f>+INDEX(PWP!$A:$Z,MATCH('PWP-Print'!E44,PWP!$B:$B,0),MATCH("Title",PWP!$A$1:$Z$1,0))</f>
        <v>Top Ruin Explorer</v>
      </c>
      <c r="I44" t="e" vm="496">
        <f>_xlfn.IMAGE("https://natalie.tf/wp-content/uploads/2023/10/DLV3_Icon_Ability_"&amp;INDEX('PWP-A'!$A$2:$C$31,MATCH('PWP-Print'!J44,'PWP-A'!$B$2:$B$31,0),1)&amp;".png")</f>
        <v>#VALUE!</v>
      </c>
      <c r="J44" s="229" t="str">
        <f>+INDEX(PWP!$A:$Z,MATCH('PWP-Print'!E44,PWP!$B:$B,0),MATCH("PWP Ability 1",PWP!$A$1:$Z$1,0))</f>
        <v>HP +15%</v>
      </c>
      <c r="K44" s="249" t="str">
        <f>+INDEX(PWP!$A:$Z,MATCH('PWP-Print'!E44,PWP!$B:$B,0),MATCH("Locked PWP Ability 1",PWP!$A$1:$Z$1,0))</f>
        <v>(Flame) HP +15%</v>
      </c>
      <c r="M44" s="729" t="e" vm="1080">
        <f>_xlfn.IMAGE("https://natalie.tf/wp-content/uploads/2023/10/DLV3_Icon_ADV_"&amp;O45&amp;"_r05.png")</f>
        <v>#VALUE!</v>
      </c>
      <c r="O44" s="249" t="str">
        <f>"PWP-"&amp;B46</f>
        <v>PWP-024</v>
      </c>
      <c r="Q44" s="249" t="str">
        <f>+INDEX(PWP!$A:$Z,MATCH('PWP-Print'!O44,PWP!$B:$B,0),MATCH("Title",PWP!$A$1:$Z$1,0))</f>
        <v>Honorable Treasure Hunter</v>
      </c>
      <c r="S44" t="e" vm="688">
        <f>_xlfn.IMAGE("https://natalie.tf/wp-content/uploads/2023/10/DLV3_Icon_Ability_"&amp;INDEX('PWP-A'!$A$2:$C$31,MATCH('PWP-Print'!T44,'PWP-A'!$B$2:$B$31,0),1)&amp;".png")</f>
        <v>#VALUE!</v>
      </c>
      <c r="T44" s="229" t="str">
        <f>+INDEX(PWP!$A:$Z,MATCH('PWP-Print'!O44,PWP!$B:$B,0),MATCH("PWP Ability 1",PWP!$A$1:$Z$1,0))</f>
        <v>Overdrive Punisher +15%</v>
      </c>
      <c r="U44" s="249" t="str">
        <f>+INDEX(PWP!$A:$Z,MATCH('PWP-Print'!O44,PWP!$B:$B,0),MATCH("Locked PWP Ability 1",PWP!$A$1:$Z$1,0))</f>
        <v>(Flame) Overdrive Punisher +15%</v>
      </c>
    </row>
    <row r="45" spans="1:21" ht="22.5" customHeight="1" x14ac:dyDescent="0.3">
      <c r="C45" s="729"/>
      <c r="D45" s="8"/>
      <c r="E45" s="200" t="str">
        <f>+INDEX(PWP!$A:$Z,MATCH('PWP-Print'!E44,PWP!$B:$B,0),MATCH("ID",PWP!$A$1:$Z$1,0))</f>
        <v>110261_01</v>
      </c>
      <c r="F45" s="8"/>
      <c r="G45" s="249" t="str">
        <f>+INDEX(PWP!$A:$Z,MATCH('PWP-Print'!E44,PWP!$B:$B,0),MATCH("Name",PWP!$A$1:$Z$1,0))</f>
        <v>Marty</v>
      </c>
      <c r="H45" s="8"/>
      <c r="I45" t="e" vm="696">
        <f>_xlfn.IMAGE("https://natalie.tf/wp-content/uploads/2023/10/DLV3_Icon_Ability_"&amp;INDEX('PWP-A'!$A$2:$C$31,MATCH('PWP-Print'!J45,'PWP-A'!$B$2:$B$31,0),1)&amp;".png")</f>
        <v>#VALUE!</v>
      </c>
      <c r="J45" s="229" t="str">
        <f>+INDEX(PWP!$A:$Z,MATCH('PWP-Print'!E44,PWP!$B:$B,0),MATCH("PWP Ability 2",PWP!$A$1:$Z$1,0))</f>
        <v>Elemental Res +15%</v>
      </c>
      <c r="K45" s="249" t="str">
        <f>+INDEX(PWP!$A:$Z,MATCH('PWP-Print'!E44,PWP!$B:$B,0),MATCH("Locked PWP Ability 2",PWP!$A$1:$Z$1,0))</f>
        <v>(Flame) Elemental Res +15%</v>
      </c>
      <c r="M45" s="729"/>
      <c r="N45" s="8"/>
      <c r="O45" s="200" t="str">
        <f>+INDEX(PWP!$A:$Z,MATCH('PWP-Print'!O44,PWP!$B:$B,0),MATCH("ID",PWP!$A$1:$Z$1,0))</f>
        <v>110005_01</v>
      </c>
      <c r="P45" s="8"/>
      <c r="Q45" s="249" t="str">
        <f>+INDEX(PWP!$A:$Z,MATCH('PWP-Print'!O44,PWP!$B:$B,0),MATCH("Name",PWP!$A$1:$Z$1,0))</f>
        <v>Renelle</v>
      </c>
      <c r="R45" s="8"/>
      <c r="S45" t="e" vm="496">
        <f>_xlfn.IMAGE("https://natalie.tf/wp-content/uploads/2023/10/DLV3_Icon_Ability_"&amp;INDEX('PWP-A'!$A$2:$C$31,MATCH('PWP-Print'!T45,'PWP-A'!$B$2:$B$31,0),1)&amp;".png")</f>
        <v>#VALUE!</v>
      </c>
      <c r="T45" s="229" t="str">
        <f>+INDEX(PWP!$A:$Z,MATCH('PWP-Print'!O44,PWP!$B:$B,0),MATCH("PWP Ability 2",PWP!$A$1:$Z$1,0))</f>
        <v>HP +15%</v>
      </c>
      <c r="U45" s="249" t="str">
        <f>+INDEX(PWP!$A:$Z,MATCH('PWP-Print'!O44,PWP!$B:$B,0),MATCH("Locked PWP Ability 2",PWP!$A$1:$Z$1,0))</f>
        <v>(Flame) HP +15%</v>
      </c>
    </row>
    <row r="46" spans="1:21" ht="22.5" customHeight="1" x14ac:dyDescent="0.3">
      <c r="A46" s="244" t="str">
        <f>TEXT(A42+1,"000")</f>
        <v>011</v>
      </c>
      <c r="B46" s="244" t="str">
        <f>TEXT(B42+1,"000")</f>
        <v>024</v>
      </c>
      <c r="C46" s="729"/>
      <c r="E46" s="251" t="str">
        <f>+INDEX(PWP!$A:$Z,MATCH('PWP-Print'!E44,PWP!$B:$B,0),MATCH("Num",PWP!$A$1:$Z$1,0))</f>
        <v>A-011</v>
      </c>
      <c r="G46" s="249" t="str">
        <f>+INDEX(PWP!$A:$Z,MATCH('PWP-Print'!E44,PWP!$B:$B,0),MATCH("Element",PWP!$A$1:$Z$1,0))&amp;" "&amp;INDEX(PWP!$A:$Z,MATCH('PWP-Print'!E44,PWP!$B:$B,0),MATCH("Type",PWP!$A$1:$Z$1,0))&amp;" Adventurer"</f>
        <v>Flame Sword Adventurer</v>
      </c>
      <c r="K46" s="250"/>
      <c r="M46" s="729"/>
      <c r="O46" s="251" t="str">
        <f>+INDEX(PWP!$A:$Z,MATCH('PWP-Print'!O44,PWP!$B:$B,0),MATCH("Num",PWP!$A$1:$Z$1,0))</f>
        <v>A-024</v>
      </c>
      <c r="Q46" s="249" t="str">
        <f>+INDEX(PWP!$A:$Z,MATCH('PWP-Print'!O44,PWP!$B:$B,0),MATCH("Element",PWP!$A$1:$Z$1,0))&amp;" "&amp;INDEX(PWP!$A:$Z,MATCH('PWP-Print'!O44,PWP!$B:$B,0),MATCH("Type",PWP!$A$1:$Z$1,0))&amp;" Adventurer"</f>
        <v>Flame Dagger Adventurer</v>
      </c>
      <c r="U46" s="250"/>
    </row>
    <row r="47" spans="1:21" ht="7.5" customHeight="1" x14ac:dyDescent="0.3">
      <c r="A47" s="244" t="s">
        <v>10763</v>
      </c>
      <c r="E47" s="250"/>
      <c r="G47" s="250"/>
      <c r="K47" s="250"/>
      <c r="O47" s="250"/>
      <c r="Q47" s="250"/>
      <c r="U47" s="250"/>
    </row>
    <row r="48" spans="1:21" ht="22.5" customHeight="1" x14ac:dyDescent="0.3">
      <c r="C48" s="729" t="e" vm="1081">
        <f>_xlfn.IMAGE("https://natalie.tf/wp-content/uploads/2023/10/DLV3_Icon_ADV_"&amp;E49&amp;"_r05.png")</f>
        <v>#VALUE!</v>
      </c>
      <c r="E48" s="249" t="str">
        <f>"PWP-"&amp;A50</f>
        <v>PWP-012</v>
      </c>
      <c r="G48" s="249" t="str">
        <f>+INDEX(PWP!$A:$Z,MATCH('PWP-Print'!E48,PWP!$B:$B,0),MATCH("Title",PWP!$A$1:$Z$1,0))</f>
        <v>Resplendent Duelist</v>
      </c>
      <c r="I48" t="e" vm="14">
        <f>_xlfn.IMAGE("https://natalie.tf/wp-content/uploads/2023/10/DLV3_Icon_Ability_"&amp;INDEX('PWP-A'!$A$2:$C$31,MATCH('PWP-Print'!J48,'PWP-A'!$B$2:$B$31,0),1)&amp;".png")</f>
        <v>#VALUE!</v>
      </c>
      <c r="J48" s="229" t="str">
        <f>+INDEX(PWP!$A:$Z,MATCH('PWP-Print'!E48,PWP!$B:$B,0),MATCH("PWP Ability 1",PWP!$A$1:$Z$1,0))</f>
        <v>Skill Damage +40%</v>
      </c>
      <c r="K48" s="249" t="str">
        <f>+INDEX(PWP!$A:$Z,MATCH('PWP-Print'!E48,PWP!$B:$B,0),MATCH("Locked PWP Ability 1",PWP!$A$1:$Z$1,0))</f>
        <v>(Flame) Skill Damage +40%</v>
      </c>
      <c r="M48" s="729" t="e" vm="1082">
        <f>_xlfn.IMAGE("https://natalie.tf/wp-content/uploads/2023/10/DLV3_Icon_ADV_"&amp;O49&amp;"_r05.png")</f>
        <v>#VALUE!</v>
      </c>
      <c r="O48" s="249" t="str">
        <f>"PWP-"&amp;B50</f>
        <v>PWP-025</v>
      </c>
      <c r="Q48" s="249" t="str">
        <f>+INDEX(PWP!$A:$Z,MATCH('PWP-Print'!O48,PWP!$B:$B,0),MATCH("Title",PWP!$A$1:$Z$1,0))</f>
        <v>The Blazewolf</v>
      </c>
      <c r="S48" t="e" vm="1036">
        <f>_xlfn.IMAGE("https://natalie.tf/wp-content/uploads/2023/10/DLV3_Icon_Ability_"&amp;INDEX('PWP-A'!$A$2:$C$31,MATCH('PWP-Print'!T48,'PWP-A'!$B$2:$B$31,0),1)&amp;".png")</f>
        <v>#VALUE!</v>
      </c>
      <c r="T48" s="229" t="str">
        <f>+INDEX(PWP!$A:$Z,MATCH('PWP-Print'!O48,PWP!$B:$B,0),MATCH("PWP Ability 1",PWP!$A$1:$Z$1,0))</f>
        <v>15 Hits = Overdamage</v>
      </c>
      <c r="U48" s="249" t="str">
        <f>+INDEX(PWP!$A:$Z,MATCH('PWP-Print'!O48,PWP!$B:$B,0),MATCH("Locked PWP Ability 1",PWP!$A$1:$Z$1,0))</f>
        <v>(Flame) 15 Hits = Overdamage</v>
      </c>
    </row>
    <row r="49" spans="1:21" ht="22.5" customHeight="1" x14ac:dyDescent="0.3">
      <c r="C49" s="729"/>
      <c r="D49" s="8"/>
      <c r="E49" s="200" t="str">
        <f>+INDEX(PWP!$A:$Z,MATCH('PWP-Print'!E48,PWP!$B:$B,0),MATCH("ID",PWP!$A$1:$Z$1,0))</f>
        <v>110064_02</v>
      </c>
      <c r="F49" s="8"/>
      <c r="G49" s="249" t="str">
        <f>+INDEX(PWP!$A:$Z,MATCH('PWP-Print'!E48,PWP!$B:$B,0),MATCH("Name",PWP!$A$1:$Z$1,0))</f>
        <v>Armored Yachiyo</v>
      </c>
      <c r="H49" s="8"/>
      <c r="I49" t="e" vm="7">
        <f>_xlfn.IMAGE("https://natalie.tf/wp-content/uploads/2023/10/DLV3_Icon_Ability_"&amp;INDEX('PWP-A'!$A$2:$C$31,MATCH('PWP-Print'!J49,'PWP-A'!$B$2:$B$31,0),1)&amp;".png")</f>
        <v>#VALUE!</v>
      </c>
      <c r="J49" s="229" t="str">
        <f>+INDEX(PWP!$A:$Z,MATCH('PWP-Print'!E48,PWP!$B:$B,0),MATCH("PWP Ability 2",PWP!$A$1:$Z$1,0))</f>
        <v>Force Strike +50%</v>
      </c>
      <c r="K49" s="249" t="str">
        <f>+INDEX(PWP!$A:$Z,MATCH('PWP-Print'!E48,PWP!$B:$B,0),MATCH("Locked PWP Ability 2",PWP!$A$1:$Z$1,0))</f>
        <v>(Flame) Force Strike +50%</v>
      </c>
      <c r="M49" s="729"/>
      <c r="N49" s="8"/>
      <c r="O49" s="200" t="str">
        <f>+INDEX(PWP!$A:$Z,MATCH('PWP-Print'!O48,PWP!$B:$B,0),MATCH("ID",PWP!$A$1:$Z$1,0))</f>
        <v>100042_02</v>
      </c>
      <c r="P49" s="8"/>
      <c r="Q49" s="249" t="str">
        <f>+INDEX(PWP!$A:$Z,MATCH('PWP-Print'!O48,PWP!$B:$B,0),MATCH("Name",PWP!$A$1:$Z$1,0))</f>
        <v>Gala Gatov</v>
      </c>
      <c r="R49" s="8"/>
      <c r="S49" t="e" vm="696">
        <f>_xlfn.IMAGE("https://natalie.tf/wp-content/uploads/2023/10/DLV3_Icon_Ability_"&amp;INDEX('PWP-A'!$A$2:$C$31,MATCH('PWP-Print'!T49,'PWP-A'!$B$2:$B$31,0),1)&amp;".png")</f>
        <v>#VALUE!</v>
      </c>
      <c r="T49" s="229" t="str">
        <f>+INDEX(PWP!$A:$Z,MATCH('PWP-Print'!O48,PWP!$B:$B,0),MATCH("PWP Ability 2",PWP!$A$1:$Z$1,0))</f>
        <v>Elemental Res +15%</v>
      </c>
      <c r="U49" s="249" t="str">
        <f>+INDEX(PWP!$A:$Z,MATCH('PWP-Print'!O48,PWP!$B:$B,0),MATCH("Locked PWP Ability 2",PWP!$A$1:$Z$1,0))</f>
        <v>(Flame) Elemental Res +15%</v>
      </c>
    </row>
    <row r="50" spans="1:21" ht="22.5" customHeight="1" x14ac:dyDescent="0.3">
      <c r="A50" s="244" t="str">
        <f>TEXT(A46+1,"000")</f>
        <v>012</v>
      </c>
      <c r="B50" s="244" t="str">
        <f>TEXT(B46+1,"000")</f>
        <v>025</v>
      </c>
      <c r="C50" s="729"/>
      <c r="E50" s="251" t="str">
        <f>+INDEX(PWP!$A:$Z,MATCH('PWP-Print'!E48,PWP!$B:$B,0),MATCH("Num",PWP!$A$1:$Z$1,0))</f>
        <v>A-012</v>
      </c>
      <c r="G50" s="249" t="str">
        <f>+INDEX(PWP!$A:$Z,MATCH('PWP-Print'!E48,PWP!$B:$B,0),MATCH("Element",PWP!$A$1:$Z$1,0))&amp;" "&amp;INDEX(PWP!$A:$Z,MATCH('PWP-Print'!E48,PWP!$B:$B,0),MATCH("Type",PWP!$A$1:$Z$1,0))&amp;" Adventurer"</f>
        <v>Flame Blade Adventurer</v>
      </c>
      <c r="K50" s="250"/>
      <c r="M50" s="729"/>
      <c r="O50" s="251" t="str">
        <f>+INDEX(PWP!$A:$Z,MATCH('PWP-Print'!O48,PWP!$B:$B,0),MATCH("Num",PWP!$A$1:$Z$1,0))</f>
        <v>A-025</v>
      </c>
      <c r="Q50" s="249" t="str">
        <f>+INDEX(PWP!$A:$Z,MATCH('PWP-Print'!O48,PWP!$B:$B,0),MATCH("Element",PWP!$A$1:$Z$1,0))&amp;" "&amp;INDEX(PWP!$A:$Z,MATCH('PWP-Print'!O48,PWP!$B:$B,0),MATCH("Type",PWP!$A$1:$Z$1,0))&amp;" Adventurer"</f>
        <v>Flame Axe Adventurer</v>
      </c>
      <c r="U50" s="250"/>
    </row>
    <row r="51" spans="1:21" ht="7.5" customHeight="1" x14ac:dyDescent="0.3">
      <c r="A51" s="244" t="s">
        <v>10763</v>
      </c>
      <c r="E51" s="250"/>
      <c r="G51" s="250"/>
      <c r="K51" s="250"/>
    </row>
    <row r="52" spans="1:21" ht="22.5" customHeight="1" x14ac:dyDescent="0.3">
      <c r="C52" s="729" t="e" vm="1083">
        <f>_xlfn.IMAGE("https://natalie.tf/wp-content/uploads/2023/10/DLV3_Icon_ADV_"&amp;E53&amp;"_r05.png")</f>
        <v>#VALUE!</v>
      </c>
      <c r="E52" s="249" t="str">
        <f>"PWP-"&amp;A54</f>
        <v>PWP-013</v>
      </c>
      <c r="G52" s="249" t="str">
        <f>+INDEX(PWP!$A:$Z,MATCH('PWP-Print'!E52,PWP!$B:$B,0),MATCH("Title",PWP!$A$1:$Z$1,0))</f>
        <v>Leader of the Horse Clan</v>
      </c>
      <c r="I52" t="e" vm="1036">
        <f>_xlfn.IMAGE("https://natalie.tf/wp-content/uploads/2023/10/DLV3_Icon_Ability_"&amp;INDEX('PWP-A'!$A$2:$C$31,MATCH('PWP-Print'!J52,'PWP-A'!$B$2:$B$31,0),1)&amp;".png")</f>
        <v>#VALUE!</v>
      </c>
      <c r="J52" s="229" t="str">
        <f>+INDEX(PWP!$A:$Z,MATCH('PWP-Print'!E52,PWP!$B:$B,0),MATCH("PWP Ability 1",PWP!$A$1:$Z$1,0))</f>
        <v>15 Hits = Overdamage</v>
      </c>
      <c r="K52" s="249" t="str">
        <f>+INDEX(PWP!$A:$Z,MATCH('PWP-Print'!E52,PWP!$B:$B,0),MATCH("Locked PWP Ability 1",PWP!$A$1:$Z$1,0))</f>
        <v>(Flame) 15 Hits = Overdamage</v>
      </c>
      <c r="M52" s="729"/>
      <c r="O52" s="221"/>
      <c r="Q52" s="221"/>
      <c r="U52" s="221"/>
    </row>
    <row r="53" spans="1:21" ht="22.5" customHeight="1" x14ac:dyDescent="0.3">
      <c r="C53" s="729"/>
      <c r="D53" s="8"/>
      <c r="E53" s="200" t="str">
        <f>+INDEX(PWP!$A:$Z,MATCH('PWP-Print'!E52,PWP!$B:$B,0),MATCH("ID",PWP!$A$1:$Z$1,0))</f>
        <v>110346_01</v>
      </c>
      <c r="F53" s="8"/>
      <c r="G53" s="249" t="str">
        <f>+INDEX(PWP!$A:$Z,MATCH('PWP-Print'!E52,PWP!$B:$B,0),MATCH("Name",PWP!$A$1:$Z$1,0))</f>
        <v>Nobunaga</v>
      </c>
      <c r="H53" s="8"/>
      <c r="I53" t="e" vm="693">
        <f>_xlfn.IMAGE("https://natalie.tf/wp-content/uploads/2023/10/DLV3_Icon_Ability_"&amp;INDEX('PWP-A'!$A$2:$C$31,MATCH('PWP-Print'!J53,'PWP-A'!$B$2:$B$31,0),1)&amp;".png")</f>
        <v>#VALUE!</v>
      </c>
      <c r="J53" s="229" t="str">
        <f>+INDEX(PWP!$A:$Z,MATCH('PWP-Print'!E52,PWP!$B:$B,0),MATCH("PWP Ability 2",PWP!$A$1:$Z$1,0))</f>
        <v>Combo Time +2</v>
      </c>
      <c r="K53" s="249" t="str">
        <f>+INDEX(PWP!$A:$Z,MATCH('PWP-Print'!E52,PWP!$B:$B,0),MATCH("Locked PWP Ability 2",PWP!$A$1:$Z$1,0))</f>
        <v>(Flame) Combo Time +2</v>
      </c>
      <c r="M53" s="729"/>
      <c r="N53" s="8"/>
      <c r="O53" s="221"/>
      <c r="P53" s="8"/>
      <c r="Q53" s="221"/>
      <c r="R53" s="8"/>
      <c r="S53" s="8"/>
      <c r="T53" s="8"/>
      <c r="U53" s="221"/>
    </row>
    <row r="54" spans="1:21" ht="22.5" customHeight="1" x14ac:dyDescent="0.3">
      <c r="A54" s="244" t="str">
        <f>TEXT(A50+1,"000")</f>
        <v>013</v>
      </c>
      <c r="C54" s="729"/>
      <c r="E54" s="251" t="str">
        <f>+INDEX(PWP!$A:$Z,MATCH('PWP-Print'!E52,PWP!$B:$B,0),MATCH("Num",PWP!$A$1:$Z$1,0))</f>
        <v>A-013</v>
      </c>
      <c r="G54" s="249" t="str">
        <f>+INDEX(PWP!$A:$Z,MATCH('PWP-Print'!E52,PWP!$B:$B,0),MATCH("Element",PWP!$A$1:$Z$1,0))&amp;" "&amp;INDEX(PWP!$A:$Z,MATCH('PWP-Print'!E52,PWP!$B:$B,0),MATCH("Type",PWP!$A$1:$Z$1,0))&amp;" Adventurer"</f>
        <v>Flame Blade Adventurer</v>
      </c>
      <c r="K54" s="250"/>
      <c r="M54" s="729"/>
      <c r="O54" s="221"/>
      <c r="Q54" s="221"/>
      <c r="U54" s="222"/>
    </row>
    <row r="55" spans="1:21" ht="37.5" customHeight="1" x14ac:dyDescent="0.2"/>
    <row r="56" spans="1:21" ht="22.5" customHeight="1" x14ac:dyDescent="0.3">
      <c r="C56" s="729" t="e" vm="1032">
        <f>_xlfn.IMAGE("https://natalie.tf/wp-content/uploads/2023/10/DLV3_Icon_ADV_"&amp;E57&amp;"_r05.png")</f>
        <v>#VALUE!</v>
      </c>
      <c r="E56" s="249" t="str">
        <f>"PWP-"&amp;A58</f>
        <v>PWP-026</v>
      </c>
      <c r="G56" s="249" t="str">
        <f>+INDEX(PWP!$A:$Z,MATCH('PWP-Print'!E56,PWP!$B:$B,0),MATCH("Title",PWP!$A$1:$Z$1,0))</f>
        <v>Childlike Mercenary</v>
      </c>
      <c r="I56" t="e" vm="14">
        <f>_xlfn.IMAGE("https://natalie.tf/wp-content/uploads/2023/10/DLV3_Icon_Ability_"&amp;INDEX('PWP-A'!$A$2:$C$31,MATCH('PWP-Print'!J56,'PWP-A'!$B$2:$B$31,0),1)&amp;".png")</f>
        <v>#VALUE!</v>
      </c>
      <c r="J56" s="229" t="str">
        <f>+INDEX(PWP!$A:$Z,MATCH('PWP-Print'!E56,PWP!$B:$B,0),MATCH("PWP Ability 1",PWP!$A$1:$Z$1,0))</f>
        <v>Strength +20%</v>
      </c>
      <c r="K56" s="249" t="str">
        <f>+INDEX(PWP!$A:$Z,MATCH('PWP-Print'!E56,PWP!$B:$B,0),MATCH("Locked PWP Ability 1",PWP!$A$1:$Z$1,0))</f>
        <v>(Flame) Strength +20%</v>
      </c>
      <c r="M56" s="729" t="e" vm="1033">
        <f>_xlfn.IMAGE("https://natalie.tf/wp-content/uploads/2023/10/DLV3_Icon_ADV_"&amp;O57&amp;"_r05.png")</f>
        <v>#VALUE!</v>
      </c>
      <c r="O56" s="249" t="str">
        <f>"PWP-"&amp;B58</f>
        <v>PWP-039</v>
      </c>
      <c r="Q56" s="249" t="str">
        <f>+INDEX(PWP!$A:$Z,MATCH('PWP-Print'!O56,PWP!$B:$B,0),MATCH("Title",PWP!$A$1:$Z$1,0))</f>
        <v>Obvious Admirer</v>
      </c>
      <c r="S56" t="e" vm="326">
        <f>_xlfn.IMAGE("https://natalie.tf/wp-content/uploads/2023/10/DLV3_Icon_Ability_"&amp;INDEX('PWP-A'!$A$2:$C$31,MATCH('PWP-Print'!T56,'PWP-A'!$B$2:$B$31,0),1)&amp;".png")</f>
        <v>#VALUE!</v>
      </c>
      <c r="T56" s="229" t="str">
        <f>+INDEX(PWP!$A:$Z,MATCH('PWP-Print'!O56,PWP!$B:$B,0),MATCH("PWP Ability 1",PWP!$A$1:$Z$1,0))</f>
        <v>Critical Rate +15%</v>
      </c>
      <c r="U56" s="249" t="str">
        <f>+INDEX(PWP!$A:$Z,MATCH('PWP-Print'!O56,PWP!$B:$B,0),MATCH("Locked PWP Ability 1",PWP!$A$1:$Z$1,0))</f>
        <v>(Flame) Critical Rate +15%</v>
      </c>
    </row>
    <row r="57" spans="1:21" ht="22.5" customHeight="1" x14ac:dyDescent="0.3">
      <c r="C57" s="729"/>
      <c r="D57" s="8"/>
      <c r="E57" s="200" t="str">
        <f>+INDEX(PWP!$A:$Z,MATCH('PWP-Print'!E56,PWP!$B:$B,0),MATCH("ID",PWP!$A$1:$Z$1,0))</f>
        <v>100003_10</v>
      </c>
      <c r="F57" s="8"/>
      <c r="G57" s="249" t="str">
        <f>+INDEX(PWP!$A:$Z,MATCH('PWP-Print'!E56,PWP!$B:$B,0),MATCH("Name",PWP!$A$1:$Z$1,0))</f>
        <v>Child Ranzal</v>
      </c>
      <c r="H57" s="8"/>
      <c r="I57" t="e" vm="496">
        <f>_xlfn.IMAGE("https://natalie.tf/wp-content/uploads/2023/10/DLV3_Icon_Ability_"&amp;INDEX('PWP-A'!$A$2:$C$31,MATCH('PWP-Print'!J57,'PWP-A'!$B$2:$B$31,0),1)&amp;".png")</f>
        <v>#VALUE!</v>
      </c>
      <c r="J57" s="229" t="str">
        <f>+INDEX(PWP!$A:$Z,MATCH('PWP-Print'!E56,PWP!$B:$B,0),MATCH("PWP Ability 2",PWP!$A$1:$Z$1,0))</f>
        <v>HP +15%</v>
      </c>
      <c r="K57" s="249" t="str">
        <f>+INDEX(PWP!$A:$Z,MATCH('PWP-Print'!E56,PWP!$B:$B,0),MATCH("Locked PWP Ability 2",PWP!$A$1:$Z$1,0))</f>
        <v>(Flame) HP +15%</v>
      </c>
      <c r="M57" s="729"/>
      <c r="N57" s="8"/>
      <c r="O57" s="200" t="str">
        <f>+INDEX(PWP!$A:$Z,MATCH('PWP-Print'!O56,PWP!$B:$B,0),MATCH("ID",PWP!$A$1:$Z$1,0))</f>
        <v>110342_01</v>
      </c>
      <c r="P57" s="8"/>
      <c r="Q57" s="249" t="str">
        <f>+INDEX(PWP!$A:$Z,MATCH('PWP-Print'!O56,PWP!$B:$B,0),MATCH("Name",PWP!$A$1:$Z$1,0))</f>
        <v>Chelsea</v>
      </c>
      <c r="R57" s="8"/>
      <c r="S57" t="e" vm="496">
        <f>_xlfn.IMAGE("https://natalie.tf/wp-content/uploads/2023/10/DLV3_Icon_Ability_"&amp;INDEX('PWP-A'!$A$2:$C$31,MATCH('PWP-Print'!T57,'PWP-A'!$B$2:$B$31,0),1)&amp;".png")</f>
        <v>#VALUE!</v>
      </c>
      <c r="T57" s="229" t="str">
        <f>+INDEX(PWP!$A:$Z,MATCH('PWP-Print'!O56,PWP!$B:$B,0),MATCH("PWP Ability 2",PWP!$A$1:$Z$1,0))</f>
        <v>HP +15%</v>
      </c>
      <c r="U57" s="249" t="str">
        <f>+INDEX(PWP!$A:$Z,MATCH('PWP-Print'!O56,PWP!$B:$B,0),MATCH("Locked PWP Ability 2",PWP!$A$1:$Z$1,0))</f>
        <v>(Flame) HP +15%</v>
      </c>
    </row>
    <row r="58" spans="1:21" ht="22.5" customHeight="1" x14ac:dyDescent="0.3">
      <c r="A58" s="242" t="str">
        <f>TEXT(B50+1,"000")</f>
        <v>026</v>
      </c>
      <c r="B58" s="244" t="str">
        <f>TEXT(A106+1,"000")</f>
        <v>039</v>
      </c>
      <c r="C58" s="729"/>
      <c r="E58" s="251" t="str">
        <f>+INDEX(PWP!$A:$Z,MATCH('PWP-Print'!E56,PWP!$B:$B,0),MATCH("Num",PWP!$A$1:$Z$1,0))</f>
        <v>A-026</v>
      </c>
      <c r="G58" s="249" t="str">
        <f>+INDEX(PWP!$A:$Z,MATCH('PWP-Print'!E56,PWP!$B:$B,0),MATCH("Element",PWP!$A$1:$Z$1,0))&amp;" "&amp;INDEX(PWP!$A:$Z,MATCH('PWP-Print'!E56,PWP!$B:$B,0),MATCH("Type",PWP!$A$1:$Z$1,0))&amp;" Adventurer"</f>
        <v>Flame Axe Adventurer</v>
      </c>
      <c r="K58" s="250"/>
      <c r="M58" s="729"/>
      <c r="O58" s="251" t="str">
        <f>+INDEX(PWP!$A:$Z,MATCH('PWP-Print'!O56,PWP!$B:$B,0),MATCH("Num",PWP!$A$1:$Z$1,0))</f>
        <v>A-039</v>
      </c>
      <c r="Q58" s="249" t="str">
        <f>+INDEX(PWP!$A:$Z,MATCH('PWP-Print'!O56,PWP!$B:$B,0),MATCH("Element",PWP!$A$1:$Z$1,0))&amp;" "&amp;INDEX(PWP!$A:$Z,MATCH('PWP-Print'!O56,PWP!$B:$B,0),MATCH("Type",PWP!$A$1:$Z$1,0))&amp;" Adventurer"</f>
        <v>Flame Bow Adventurer</v>
      </c>
      <c r="U58" s="250"/>
    </row>
    <row r="59" spans="1:21" ht="7.5" customHeight="1" x14ac:dyDescent="0.3">
      <c r="A59" s="244" t="s">
        <v>10763</v>
      </c>
      <c r="E59" s="250"/>
      <c r="G59" s="250"/>
      <c r="K59" s="250"/>
      <c r="O59" s="250"/>
      <c r="Q59" s="250"/>
      <c r="U59" s="250"/>
    </row>
    <row r="60" spans="1:21" ht="22.5" customHeight="1" x14ac:dyDescent="0.3">
      <c r="C60" s="729" t="e" vm="1034">
        <f>_xlfn.IMAGE("https://natalie.tf/wp-content/uploads/2023/10/DLV3_Icon_ADV_"&amp;E61&amp;"_r05.png")</f>
        <v>#VALUE!</v>
      </c>
      <c r="E60" s="249" t="str">
        <f>"PWP-"&amp;A62</f>
        <v>PWP-027</v>
      </c>
      <c r="G60" s="249" t="str">
        <f>+INDEX(PWP!$A:$Z,MATCH('PWP-Print'!E60,PWP!$B:$B,0),MATCH("Title",PWP!$A$1:$Z$1,0))</f>
        <v>Dragon Temptress</v>
      </c>
      <c r="I60" t="e" vm="326">
        <f>_xlfn.IMAGE("https://natalie.tf/wp-content/uploads/2023/10/DLV3_Icon_Ability_"&amp;INDEX('PWP-A'!$A$2:$C$31,MATCH('PWP-Print'!J60,'PWP-A'!$B$2:$B$31,0),1)&amp;".png")</f>
        <v>#VALUE!</v>
      </c>
      <c r="J60" s="229" t="str">
        <f>+INDEX(PWP!$A:$Z,MATCH('PWP-Print'!E60,PWP!$B:$B,0),MATCH("PWP Ability 1",PWP!$A$1:$Z$1,0))</f>
        <v>Critical Rate +15%</v>
      </c>
      <c r="K60" s="249" t="str">
        <f>+INDEX(PWP!$A:$Z,MATCH('PWP-Print'!E60,PWP!$B:$B,0),MATCH("Locked PWP Ability 1",PWP!$A$1:$Z$1,0))</f>
        <v>(Flame) Critical Rate +15%</v>
      </c>
      <c r="M60" s="729" t="e" vm="1035">
        <f>_xlfn.IMAGE("https://natalie.tf/wp-content/uploads/2023/10/DLV3_Icon_ADV_"&amp;O61&amp;"_r05.png")</f>
        <v>#VALUE!</v>
      </c>
      <c r="O60" s="249" t="str">
        <f>"PWP-"&amp;B62</f>
        <v>PWP-040</v>
      </c>
      <c r="Q60" s="249" t="str">
        <f>+INDEX(PWP!$A:$Z,MATCH('PWP-Print'!O60,PWP!$B:$B,0),MATCH("Title",PWP!$A$1:$Z$1,0))</f>
        <v>The Crimson Star</v>
      </c>
      <c r="S60" t="e" vm="1036">
        <f>_xlfn.IMAGE("https://natalie.tf/wp-content/uploads/2023/10/DLV3_Icon_Ability_"&amp;INDEX('PWP-A'!$A$2:$C$31,MATCH('PWP-Print'!T60,'PWP-A'!$B$2:$B$31,0),1)&amp;".png")</f>
        <v>#VALUE!</v>
      </c>
      <c r="T60" s="229" t="str">
        <f>+INDEX(PWP!$A:$Z,MATCH('PWP-Print'!O60,PWP!$B:$B,0),MATCH("PWP Ability 1",PWP!$A$1:$Z$1,0))</f>
        <v>15 Hits = Overdamage</v>
      </c>
      <c r="U60" s="249" t="str">
        <f>+INDEX(PWP!$A:$Z,MATCH('PWP-Print'!O60,PWP!$B:$B,0),MATCH("Locked PWP Ability 1",PWP!$A$1:$Z$1,0))</f>
        <v>(Flame) 15 Hits = Overdamage</v>
      </c>
    </row>
    <row r="61" spans="1:21" ht="22.5" customHeight="1" x14ac:dyDescent="0.3">
      <c r="C61" s="729"/>
      <c r="D61" s="8"/>
      <c r="E61" s="200" t="str">
        <f>+INDEX(PWP!$A:$Z,MATCH('PWP-Print'!E60,PWP!$B:$B,0),MATCH("ID",PWP!$A$1:$Z$1,0))</f>
        <v>100010_07</v>
      </c>
      <c r="F61" s="8"/>
      <c r="G61" s="249" t="str">
        <f>+INDEX(PWP!$A:$Z,MATCH('PWP-Print'!E60,PWP!$B:$B,0),MATCH("Name",PWP!$A$1:$Z$1,0))</f>
        <v>Halloween Mym</v>
      </c>
      <c r="H61" s="8"/>
      <c r="I61" t="e" vm="414">
        <f>_xlfn.IMAGE("https://natalie.tf/wp-content/uploads/2023/10/DLV3_Icon_Ability_"&amp;INDEX('PWP-A'!$A$2:$C$31,MATCH('PWP-Print'!J61,'PWP-A'!$B$2:$B$31,0),1)&amp;".png")</f>
        <v>#VALUE!</v>
      </c>
      <c r="J61" s="229" t="str">
        <f>+INDEX(PWP!$A:$Z,MATCH('PWP-Print'!E60,PWP!$B:$B,0),MATCH("PWP Ability 2",PWP!$A$1:$Z$1,0))</f>
        <v>Critical Damage +25%</v>
      </c>
      <c r="K61" s="249" t="str">
        <f>+INDEX(PWP!$A:$Z,MATCH('PWP-Print'!E60,PWP!$B:$B,0),MATCH("Locked PWP Ability 2",PWP!$A$1:$Z$1,0))</f>
        <v>(Flame) Critical Damage +25%</v>
      </c>
      <c r="M61" s="729"/>
      <c r="N61" s="8"/>
      <c r="O61" s="200" t="str">
        <f>+INDEX(PWP!$A:$Z,MATCH('PWP-Print'!O60,PWP!$B:$B,0),MATCH("ID",PWP!$A$1:$Z$1,0))</f>
        <v>100029_02</v>
      </c>
      <c r="P61" s="8"/>
      <c r="Q61" s="249" t="str">
        <f>+INDEX(PWP!$A:$Z,MATCH('PWP-Print'!O60,PWP!$B:$B,0),MATCH("Name",PWP!$A$1:$Z$1,0))</f>
        <v>Gala Sarisse</v>
      </c>
      <c r="R61" s="8"/>
      <c r="S61" t="e" vm="326">
        <f>_xlfn.IMAGE("https://natalie.tf/wp-content/uploads/2023/10/DLV3_Icon_Ability_"&amp;INDEX('PWP-A'!$A$2:$C$31,MATCH('PWP-Print'!T61,'PWP-A'!$B$2:$B$31,0),1)&amp;".png")</f>
        <v>#VALUE!</v>
      </c>
      <c r="T61" s="229" t="str">
        <f>+INDEX(PWP!$A:$Z,MATCH('PWP-Print'!O60,PWP!$B:$B,0),MATCH("PWP Ability 2",PWP!$A$1:$Z$1,0))</f>
        <v>Critical Rate +15%</v>
      </c>
      <c r="U61" s="249" t="str">
        <f>+INDEX(PWP!$A:$Z,MATCH('PWP-Print'!O60,PWP!$B:$B,0),MATCH("Locked PWP Ability 2",PWP!$A$1:$Z$1,0))</f>
        <v>(Flame) Critical Rate +15%</v>
      </c>
    </row>
    <row r="62" spans="1:21" ht="22.5" customHeight="1" x14ac:dyDescent="0.3">
      <c r="A62" s="244" t="str">
        <f>TEXT(A58+1,"000")</f>
        <v>027</v>
      </c>
      <c r="B62" s="244" t="str">
        <f>TEXT(B58+1,"000")</f>
        <v>040</v>
      </c>
      <c r="C62" s="729"/>
      <c r="E62" s="251" t="str">
        <f>+INDEX(PWP!$A:$Z,MATCH('PWP-Print'!E60,PWP!$B:$B,0),MATCH("Num",PWP!$A$1:$Z$1,0))</f>
        <v>A-027</v>
      </c>
      <c r="G62" s="249" t="str">
        <f>+INDEX(PWP!$A:$Z,MATCH('PWP-Print'!E60,PWP!$B:$B,0),MATCH("Element",PWP!$A$1:$Z$1,0))&amp;" "&amp;INDEX(PWP!$A:$Z,MATCH('PWP-Print'!E60,PWP!$B:$B,0),MATCH("Type",PWP!$A$1:$Z$1,0))&amp;" Adventurer"</f>
        <v>Flame Axe Adventurer</v>
      </c>
      <c r="K62" s="250"/>
      <c r="M62" s="729"/>
      <c r="O62" s="251" t="str">
        <f>+INDEX(PWP!$A:$Z,MATCH('PWP-Print'!O60,PWP!$B:$B,0),MATCH("Num",PWP!$A$1:$Z$1,0))</f>
        <v>A-040</v>
      </c>
      <c r="Q62" s="249" t="str">
        <f>+INDEX(PWP!$A:$Z,MATCH('PWP-Print'!O60,PWP!$B:$B,0),MATCH("Element",PWP!$A$1:$Z$1,0))&amp;" "&amp;INDEX(PWP!$A:$Z,MATCH('PWP-Print'!O60,PWP!$B:$B,0),MATCH("Type",PWP!$A$1:$Z$1,0))&amp;" Adventurer"</f>
        <v>Flame Bow Adventurer</v>
      </c>
      <c r="U62" s="250"/>
    </row>
    <row r="63" spans="1:21" ht="7.5" customHeight="1" x14ac:dyDescent="0.3">
      <c r="A63" s="244" t="s">
        <v>10763</v>
      </c>
      <c r="E63" s="250"/>
      <c r="G63" s="250"/>
      <c r="K63" s="250"/>
      <c r="O63" s="250"/>
      <c r="Q63" s="250"/>
      <c r="U63" s="250"/>
    </row>
    <row r="64" spans="1:21" ht="22.5" customHeight="1" x14ac:dyDescent="0.3">
      <c r="C64" s="729" t="e" vm="1037">
        <f>_xlfn.IMAGE("https://natalie.tf/wp-content/uploads/2023/10/DLV3_Icon_ADV_"&amp;E65&amp;"_r05.png")</f>
        <v>#VALUE!</v>
      </c>
      <c r="E64" s="249" t="str">
        <f>"PWP-"&amp;A66</f>
        <v>PWP-028</v>
      </c>
      <c r="G64" s="249" t="str">
        <f>+INDEX(PWP!$A:$Z,MATCH('PWP-Print'!E64,PWP!$B:$B,0),MATCH("Title",PWP!$A$1:$Z$1,0))</f>
        <v>Impassioned Blacksmith</v>
      </c>
      <c r="I64" t="e" vm="326">
        <f>_xlfn.IMAGE("https://natalie.tf/wp-content/uploads/2023/10/DLV3_Icon_Ability_"&amp;INDEX('PWP-A'!$A$2:$C$31,MATCH('PWP-Print'!J64,'PWP-A'!$B$2:$B$31,0),1)&amp;".png")</f>
        <v>#VALUE!</v>
      </c>
      <c r="J64" s="229" t="str">
        <f>+INDEX(PWP!$A:$Z,MATCH('PWP-Print'!E64,PWP!$B:$B,0),MATCH("PWP Ability 1",PWP!$A$1:$Z$1,0))</f>
        <v>Critical Rate +15%</v>
      </c>
      <c r="K64" s="249" t="str">
        <f>+INDEX(PWP!$A:$Z,MATCH('PWP-Print'!E64,PWP!$B:$B,0),MATCH("Locked PWP Ability 1",PWP!$A$1:$Z$1,0))</f>
        <v>(Flame) Critical Rate +15%</v>
      </c>
      <c r="M64" s="729" t="e" vm="1038">
        <f>_xlfn.IMAGE("https://natalie.tf/wp-content/uploads/2023/10/DLV3_Icon_ADV_"&amp;O65&amp;"_r05.png")</f>
        <v>#VALUE!</v>
      </c>
      <c r="O64" s="249" t="str">
        <f>"PWP-"&amp;B66</f>
        <v>PWP-041</v>
      </c>
      <c r="Q64" s="249" t="str">
        <f>+INDEX(PWP!$A:$Z,MATCH('PWP-Print'!O64,PWP!$B:$B,0),MATCH("Title",PWP!$A$1:$Z$1,0))</f>
        <v>Stunning Sweetheart</v>
      </c>
      <c r="S64" t="e" vm="688">
        <f>_xlfn.IMAGE("https://natalie.tf/wp-content/uploads/2023/10/DLV3_Icon_Ability_"&amp;INDEX('PWP-A'!$A$2:$C$31,MATCH('PWP-Print'!T64,'PWP-A'!$B$2:$B$31,0),1)&amp;".png")</f>
        <v>#VALUE!</v>
      </c>
      <c r="T64" s="229" t="str">
        <f>+INDEX(PWP!$A:$Z,MATCH('PWP-Print'!O64,PWP!$B:$B,0),MATCH("PWP Ability 1",PWP!$A$1:$Z$1,0))</f>
        <v>Overdrive Punisher +15%</v>
      </c>
      <c r="U64" s="249" t="str">
        <f>+INDEX(PWP!$A:$Z,MATCH('PWP-Print'!O64,PWP!$B:$B,0),MATCH("Locked PWP Ability 1",PWP!$A$1:$Z$1,0))</f>
        <v>(Flame) Overdrive Punisher +15%</v>
      </c>
    </row>
    <row r="65" spans="1:21" ht="22.5" customHeight="1" x14ac:dyDescent="0.3">
      <c r="C65" s="729"/>
      <c r="D65" s="8"/>
      <c r="E65" s="200" t="str">
        <f>+INDEX(PWP!$A:$Z,MATCH('PWP-Print'!E64,PWP!$B:$B,0),MATCH("ID",PWP!$A$1:$Z$1,0))</f>
        <v>110263_01</v>
      </c>
      <c r="F65" s="8"/>
      <c r="G65" s="249" t="str">
        <f>+INDEX(PWP!$A:$Z,MATCH('PWP-Print'!E64,PWP!$B:$B,0),MATCH("Name",PWP!$A$1:$Z$1,0))</f>
        <v>Ramona</v>
      </c>
      <c r="H65" s="8"/>
      <c r="I65" t="e" vm="688">
        <f>_xlfn.IMAGE("https://natalie.tf/wp-content/uploads/2023/10/DLV3_Icon_Ability_"&amp;INDEX('PWP-A'!$A$2:$C$31,MATCH('PWP-Print'!J65,'PWP-A'!$B$2:$B$31,0),1)&amp;".png")</f>
        <v>#VALUE!</v>
      </c>
      <c r="J65" s="229" t="str">
        <f>+INDEX(PWP!$A:$Z,MATCH('PWP-Print'!E64,PWP!$B:$B,0),MATCH("PWP Ability 2",PWP!$A$1:$Z$1,0))</f>
        <v>Overdrive Punisher +15%</v>
      </c>
      <c r="K65" s="249" t="str">
        <f>+INDEX(PWP!$A:$Z,MATCH('PWP-Print'!E64,PWP!$B:$B,0),MATCH("Locked PWP Ability 2",PWP!$A$1:$Z$1,0))</f>
        <v>(Flame) Overdrive Punisher +15%</v>
      </c>
      <c r="M65" s="729"/>
      <c r="N65" s="8"/>
      <c r="O65" s="200" t="str">
        <f>+INDEX(PWP!$A:$Z,MATCH('PWP-Print'!O64,PWP!$B:$B,0),MATCH("ID",PWP!$A$1:$Z$1,0))</f>
        <v>110011_02</v>
      </c>
      <c r="P65" s="8"/>
      <c r="Q65" s="249" t="str">
        <f>+INDEX(PWP!$A:$Z,MATCH('PWP-Print'!O64,PWP!$B:$B,0),MATCH("Name",PWP!$A$1:$Z$1,0))</f>
        <v>Valentine's Ezelith</v>
      </c>
      <c r="R65" s="8"/>
      <c r="S65" t="e" vm="376">
        <f>_xlfn.IMAGE("https://natalie.tf/wp-content/uploads/2023/10/DLV3_Icon_Ability_"&amp;INDEX('PWP-A'!$A$2:$C$31,MATCH('PWP-Print'!T65,'PWP-A'!$B$2:$B$31,0),1)&amp;".png")</f>
        <v>#VALUE!</v>
      </c>
      <c r="T65" s="229" t="str">
        <f>+INDEX(PWP!$A:$Z,MATCH('PWP-Print'!O64,PWP!$B:$B,0),MATCH("PWP Ability 2",PWP!$A$1:$Z$1,0))</f>
        <v>Broken Punisher +30%</v>
      </c>
      <c r="U65" s="249" t="str">
        <f>+INDEX(PWP!$A:$Z,MATCH('PWP-Print'!O64,PWP!$B:$B,0),MATCH("Locked PWP Ability 2",PWP!$A$1:$Z$1,0))</f>
        <v>(Flame) Broken Punisher +30%</v>
      </c>
    </row>
    <row r="66" spans="1:21" ht="22.5" customHeight="1" x14ac:dyDescent="0.3">
      <c r="A66" s="244" t="str">
        <f>TEXT(A62+1,"000")</f>
        <v>028</v>
      </c>
      <c r="B66" s="244" t="str">
        <f>TEXT(B62+1,"000")</f>
        <v>041</v>
      </c>
      <c r="C66" s="729"/>
      <c r="E66" s="251" t="str">
        <f>+INDEX(PWP!$A:$Z,MATCH('PWP-Print'!E64,PWP!$B:$B,0),MATCH("Num",PWP!$A$1:$Z$1,0))</f>
        <v>A-028</v>
      </c>
      <c r="G66" s="249" t="str">
        <f>+INDEX(PWP!$A:$Z,MATCH('PWP-Print'!E64,PWP!$B:$B,0),MATCH("Element",PWP!$A$1:$Z$1,0))&amp;" "&amp;INDEX(PWP!$A:$Z,MATCH('PWP-Print'!E64,PWP!$B:$B,0),MATCH("Type",PWP!$A$1:$Z$1,0))&amp;" Adventurer"</f>
        <v>Flame Axe Adventurer</v>
      </c>
      <c r="K66" s="250"/>
      <c r="M66" s="729"/>
      <c r="O66" s="251" t="str">
        <f>+INDEX(PWP!$A:$Z,MATCH('PWP-Print'!O64,PWP!$B:$B,0),MATCH("Num",PWP!$A$1:$Z$1,0))</f>
        <v>A-041</v>
      </c>
      <c r="Q66" s="249" t="str">
        <f>+INDEX(PWP!$A:$Z,MATCH('PWP-Print'!O64,PWP!$B:$B,0),MATCH("Element",PWP!$A$1:$Z$1,0))&amp;" "&amp;INDEX(PWP!$A:$Z,MATCH('PWP-Print'!O64,PWP!$B:$B,0),MATCH("Type",PWP!$A$1:$Z$1,0))&amp;" Adventurer"</f>
        <v>Flame Bow Adventurer</v>
      </c>
      <c r="U66" s="250"/>
    </row>
    <row r="67" spans="1:21" ht="7.5" customHeight="1" x14ac:dyDescent="0.3">
      <c r="A67" s="244" t="s">
        <v>10763</v>
      </c>
      <c r="E67" s="250"/>
      <c r="G67" s="250"/>
      <c r="K67" s="250"/>
      <c r="O67" s="250"/>
      <c r="Q67" s="250"/>
      <c r="U67" s="250"/>
    </row>
    <row r="68" spans="1:21" ht="22.5" customHeight="1" x14ac:dyDescent="0.3">
      <c r="C68" s="729" t="e" vm="1039">
        <f>_xlfn.IMAGE("https://natalie.tf/wp-content/uploads/2023/10/DLV3_Icon_ADV_"&amp;E69&amp;"_r05.png")</f>
        <v>#VALUE!</v>
      </c>
      <c r="E68" s="249" t="str">
        <f>"PWP-"&amp;A70</f>
        <v>PWP-029</v>
      </c>
      <c r="G68" s="249" t="str">
        <f>+INDEX(PWP!$A:$Z,MATCH('PWP-Print'!E68,PWP!$B:$B,0),MATCH("Title",PWP!$A$1:$Z$1,0))</f>
        <v>Hungry Hunter</v>
      </c>
      <c r="I68" t="e" vm="414">
        <f>_xlfn.IMAGE("https://natalie.tf/wp-content/uploads/2023/10/DLV3_Icon_Ability_"&amp;INDEX('PWP-A'!$A$2:$C$31,MATCH('PWP-Print'!J68,'PWP-A'!$B$2:$B$31,0),1)&amp;".png")</f>
        <v>#VALUE!</v>
      </c>
      <c r="J68" s="229" t="str">
        <f>+INDEX(PWP!$A:$Z,MATCH('PWP-Print'!E68,PWP!$B:$B,0),MATCH("PWP Ability 1",PWP!$A$1:$Z$1,0))</f>
        <v>Critical Damage +25%</v>
      </c>
      <c r="K68" s="249" t="str">
        <f>+INDEX(PWP!$A:$Z,MATCH('PWP-Print'!E68,PWP!$B:$B,0),MATCH("Locked PWP Ability 1",PWP!$A$1:$Z$1,0))</f>
        <v>(Flame) Critical Damage +25%</v>
      </c>
      <c r="M68" s="729" t="e" vm="1040">
        <f>_xlfn.IMAGE("https://natalie.tf/wp-content/uploads/2023/10/DLV3_Icon_ADV_"&amp;O69&amp;"_r05.png")</f>
        <v>#VALUE!</v>
      </c>
      <c r="O68" s="249" t="str">
        <f>"PWP-"&amp;B70</f>
        <v>PWP-042</v>
      </c>
      <c r="Q68" s="249" t="str">
        <f>+INDEX(PWP!$A:$Z,MATCH('PWP-Print'!O68,PWP!$B:$B,0),MATCH("Title",PWP!$A$1:$Z$1,0))</f>
        <v>Fire's Fletcher</v>
      </c>
      <c r="S68" t="e" vm="496">
        <f>_xlfn.IMAGE("https://natalie.tf/wp-content/uploads/2023/10/DLV3_Icon_Ability_"&amp;INDEX('PWP-A'!$A$2:$C$31,MATCH('PWP-Print'!T68,'PWP-A'!$B$2:$B$31,0),1)&amp;".png")</f>
        <v>#VALUE!</v>
      </c>
      <c r="T68" s="229" t="str">
        <f>+INDEX(PWP!$A:$Z,MATCH('PWP-Print'!O68,PWP!$B:$B,0),MATCH("PWP Ability 1",PWP!$A$1:$Z$1,0))</f>
        <v>HP +15%</v>
      </c>
      <c r="U68" s="249" t="str">
        <f>+INDEX(PWP!$A:$Z,MATCH('PWP-Print'!O68,PWP!$B:$B,0),MATCH("Locked PWP Ability 1",PWP!$A$1:$Z$1,0))</f>
        <v>(Flame) HP +15%</v>
      </c>
    </row>
    <row r="69" spans="1:21" ht="22.5" customHeight="1" x14ac:dyDescent="0.3">
      <c r="C69" s="729"/>
      <c r="D69" s="8"/>
      <c r="E69" s="200" t="str">
        <f>+INDEX(PWP!$A:$Z,MATCH('PWP-Print'!E68,PWP!$B:$B,0),MATCH("ID",PWP!$A$1:$Z$1,0))</f>
        <v>110056_01</v>
      </c>
      <c r="F69" s="8"/>
      <c r="G69" s="249" t="str">
        <f>+INDEX(PWP!$A:$Z,MATCH('PWP-Print'!E68,PWP!$B:$B,0),MATCH("Name",PWP!$A$1:$Z$1,0))</f>
        <v>Yue</v>
      </c>
      <c r="H69" s="8"/>
      <c r="I69" t="e" vm="426">
        <f>_xlfn.IMAGE("https://natalie.tf/wp-content/uploads/2023/10/DLV3_Icon_Ability_"&amp;INDEX('PWP-A'!$A$2:$C$31,MATCH('PWP-Print'!J69,'PWP-A'!$B$2:$B$31,0),1)&amp;".png")</f>
        <v>#VALUE!</v>
      </c>
      <c r="J69" s="229" t="str">
        <f>+INDEX(PWP!$A:$Z,MATCH('PWP-Print'!E68,PWP!$B:$B,0),MATCH("PWP Ability 2",PWP!$A$1:$Z$1,0))</f>
        <v>Defense +20%</v>
      </c>
      <c r="K69" s="249" t="str">
        <f>+INDEX(PWP!$A:$Z,MATCH('PWP-Print'!E68,PWP!$B:$B,0),MATCH("Locked PWP Ability 2",PWP!$A$1:$Z$1,0))</f>
        <v>(Flame) Defense +20%</v>
      </c>
      <c r="M69" s="729"/>
      <c r="N69" s="8"/>
      <c r="O69" s="200" t="str">
        <f>+INDEX(PWP!$A:$Z,MATCH('PWP-Print'!O68,PWP!$B:$B,0),MATCH("ID",PWP!$A$1:$Z$1,0))</f>
        <v>110003_01</v>
      </c>
      <c r="P69" s="8"/>
      <c r="Q69" s="249" t="str">
        <f>+INDEX(PWP!$A:$Z,MATCH('PWP-Print'!O68,PWP!$B:$B,0),MATCH("Name",PWP!$A$1:$Z$1,0))</f>
        <v>Joe</v>
      </c>
      <c r="R69" s="8"/>
      <c r="S69" t="e" vm="802">
        <f>_xlfn.IMAGE("https://natalie.tf/wp-content/uploads/2023/10/DLV3_Icon_Ability_"&amp;INDEX('PWP-A'!$A$2:$C$31,MATCH('PWP-Print'!T69,'PWP-A'!$B$2:$B$31,0),1)&amp;".png")</f>
        <v>#VALUE!</v>
      </c>
      <c r="T69" s="229" t="str">
        <f>+INDEX(PWP!$A:$Z,MATCH('PWP-Print'!O68,PWP!$B:$B,0),MATCH("PWP Ability 2",PWP!$A$1:$Z$1,0))</f>
        <v>HP 70% = Shield +40%</v>
      </c>
      <c r="U69" s="249" t="str">
        <f>+INDEX(PWP!$A:$Z,MATCH('PWP-Print'!O68,PWP!$B:$B,0),MATCH("Locked PWP Ability 2",PWP!$A$1:$Z$1,0))</f>
        <v>(Flame) HP 70% = Shield +40%</v>
      </c>
    </row>
    <row r="70" spans="1:21" ht="22.5" customHeight="1" x14ac:dyDescent="0.3">
      <c r="A70" s="244" t="str">
        <f>TEXT(A66+1,"000")</f>
        <v>029</v>
      </c>
      <c r="B70" s="244" t="str">
        <f>TEXT(B66+1,"000")</f>
        <v>042</v>
      </c>
      <c r="C70" s="729"/>
      <c r="E70" s="251" t="str">
        <f>+INDEX(PWP!$A:$Z,MATCH('PWP-Print'!E68,PWP!$B:$B,0),MATCH("Num",PWP!$A$1:$Z$1,0))</f>
        <v>A-029</v>
      </c>
      <c r="G70" s="249" t="str">
        <f>+INDEX(PWP!$A:$Z,MATCH('PWP-Print'!E68,PWP!$B:$B,0),MATCH("Element",PWP!$A$1:$Z$1,0))&amp;" "&amp;INDEX(PWP!$A:$Z,MATCH('PWP-Print'!E68,PWP!$B:$B,0),MATCH("Type",PWP!$A$1:$Z$1,0))&amp;" Adventurer"</f>
        <v>Flame Axe Adventurer</v>
      </c>
      <c r="K70" s="250"/>
      <c r="M70" s="729"/>
      <c r="O70" s="251" t="str">
        <f>+INDEX(PWP!$A:$Z,MATCH('PWP-Print'!O68,PWP!$B:$B,0),MATCH("Num",PWP!$A$1:$Z$1,0))</f>
        <v>A-042</v>
      </c>
      <c r="Q70" s="249" t="str">
        <f>+INDEX(PWP!$A:$Z,MATCH('PWP-Print'!O68,PWP!$B:$B,0),MATCH("Element",PWP!$A$1:$Z$1,0))&amp;" "&amp;INDEX(PWP!$A:$Z,MATCH('PWP-Print'!O68,PWP!$B:$B,0),MATCH("Type",PWP!$A$1:$Z$1,0))&amp;" Adventurer"</f>
        <v>Flame Bow Adventurer</v>
      </c>
      <c r="U70" s="250"/>
    </row>
    <row r="71" spans="1:21" ht="7.5" customHeight="1" x14ac:dyDescent="0.3">
      <c r="A71" s="244" t="s">
        <v>10763</v>
      </c>
      <c r="E71" s="250"/>
      <c r="G71" s="250"/>
      <c r="K71" s="250"/>
      <c r="O71" s="250"/>
      <c r="Q71" s="250"/>
      <c r="U71" s="250"/>
    </row>
    <row r="72" spans="1:21" ht="22.5" customHeight="1" x14ac:dyDescent="0.3">
      <c r="C72" s="729" t="e" vm="1041">
        <f>_xlfn.IMAGE("https://natalie.tf/wp-content/uploads/2023/10/DLV3_Icon_ADV_"&amp;E73&amp;"_r05.png")</f>
        <v>#VALUE!</v>
      </c>
      <c r="E72" s="249" t="str">
        <f>"PWP-"&amp;A74</f>
        <v>PWP-030</v>
      </c>
      <c r="G72" s="249" t="str">
        <f>+INDEX(PWP!$A:$Z,MATCH('PWP-Print'!E72,PWP!$B:$B,0),MATCH("Title",PWP!$A$1:$Z$1,0))</f>
        <v>Red-Haired Warrior</v>
      </c>
      <c r="I72" t="e" vm="414">
        <f>_xlfn.IMAGE("https://natalie.tf/wp-content/uploads/2023/10/DLV3_Icon_Ability_"&amp;INDEX('PWP-A'!$A$2:$C$31,MATCH('PWP-Print'!J72,'PWP-A'!$B$2:$B$31,0),1)&amp;".png")</f>
        <v>#VALUE!</v>
      </c>
      <c r="J72" s="229" t="str">
        <f>+INDEX(PWP!$A:$Z,MATCH('PWP-Print'!E72,PWP!$B:$B,0),MATCH("PWP Ability 1",PWP!$A$1:$Z$1,0))</f>
        <v>Critical Damage +25%</v>
      </c>
      <c r="K72" s="249" t="str">
        <f>+INDEX(PWP!$A:$Z,MATCH('PWP-Print'!E72,PWP!$B:$B,0),MATCH("Locked PWP Ability 1",PWP!$A$1:$Z$1,0))</f>
        <v>(Flame) Critical Damage +25%</v>
      </c>
      <c r="M72" s="729" t="e" vm="1042">
        <f>_xlfn.IMAGE("https://natalie.tf/wp-content/uploads/2023/10/DLV3_Icon_ADV_"&amp;O73&amp;"_r05.png")</f>
        <v>#VALUE!</v>
      </c>
      <c r="O72" s="249" t="str">
        <f>"PWP-"&amp;B74</f>
        <v>PWP-043</v>
      </c>
      <c r="Q72" s="249" t="str">
        <f>+INDEX(PWP!$A:$Z,MATCH('PWP-Print'!O72,PWP!$B:$B,0),MATCH("Title",PWP!$A$1:$Z$1,0))</f>
        <v>Festival Belle</v>
      </c>
      <c r="S72" t="e" vm="14">
        <f>_xlfn.IMAGE("https://natalie.tf/wp-content/uploads/2023/10/DLV3_Icon_Ability_"&amp;INDEX('PWP-A'!$A$2:$C$31,MATCH('PWP-Print'!T72,'PWP-A'!$B$2:$B$31,0),1)&amp;".png")</f>
        <v>#VALUE!</v>
      </c>
      <c r="T72" s="229" t="str">
        <f>+INDEX(PWP!$A:$Z,MATCH('PWP-Print'!O72,PWP!$B:$B,0),MATCH("PWP Ability 1",PWP!$A$1:$Z$1,0))</f>
        <v>Skill Damage +40%</v>
      </c>
      <c r="U72" s="249" t="str">
        <f>+INDEX(PWP!$A:$Z,MATCH('PWP-Print'!O72,PWP!$B:$B,0),MATCH("Locked PWP Ability 1",PWP!$A$1:$Z$1,0))</f>
        <v>(Flame) Skill Damage +40%</v>
      </c>
    </row>
    <row r="73" spans="1:21" ht="22.5" customHeight="1" x14ac:dyDescent="0.3">
      <c r="C73" s="729"/>
      <c r="D73" s="8"/>
      <c r="E73" s="200" t="str">
        <f>+INDEX(PWP!$A:$Z,MATCH('PWP-Print'!E72,PWP!$B:$B,0),MATCH("ID",PWP!$A$1:$Z$1,0))</f>
        <v>110007_01</v>
      </c>
      <c r="F73" s="8"/>
      <c r="G73" s="249" t="str">
        <f>+INDEX(PWP!$A:$Z,MATCH('PWP-Print'!E72,PWP!$B:$B,0),MATCH("Name",PWP!$A$1:$Z$1,0))</f>
        <v>Vanessa</v>
      </c>
      <c r="H73" s="8"/>
      <c r="I73" t="e" vm="7">
        <f>_xlfn.IMAGE("https://natalie.tf/wp-content/uploads/2023/10/DLV3_Icon_Ability_"&amp;INDEX('PWP-A'!$A$2:$C$31,MATCH('PWP-Print'!J73,'PWP-A'!$B$2:$B$31,0),1)&amp;".png")</f>
        <v>#VALUE!</v>
      </c>
      <c r="J73" s="229" t="str">
        <f>+INDEX(PWP!$A:$Z,MATCH('PWP-Print'!E72,PWP!$B:$B,0),MATCH("PWP Ability 2",PWP!$A$1:$Z$1,0))</f>
        <v>Force Strike +50%</v>
      </c>
      <c r="K73" s="249" t="str">
        <f>+INDEX(PWP!$A:$Z,MATCH('PWP-Print'!E72,PWP!$B:$B,0),MATCH("Locked PWP Ability 2",PWP!$A$1:$Z$1,0))</f>
        <v>(Flame) Force Strike +50%</v>
      </c>
      <c r="M73" s="729"/>
      <c r="N73" s="8"/>
      <c r="O73" s="200" t="str">
        <f>+INDEX(PWP!$A:$Z,MATCH('PWP-Print'!O72,PWP!$B:$B,0),MATCH("ID",PWP!$A$1:$Z$1,0))</f>
        <v>100004_19</v>
      </c>
      <c r="P73" s="8"/>
      <c r="Q73" s="249" t="str">
        <f>+INDEX(PWP!$A:$Z,MATCH('PWP-Print'!O72,PWP!$B:$B,0),MATCH("Name",PWP!$A$1:$Z$1,0))</f>
        <v>Yukata Cleo</v>
      </c>
      <c r="R73" s="8"/>
      <c r="S73" t="e" vm="426">
        <f>_xlfn.IMAGE("https://natalie.tf/wp-content/uploads/2023/10/DLV3_Icon_Ability_"&amp;INDEX('PWP-A'!$A$2:$C$31,MATCH('PWP-Print'!T73,'PWP-A'!$B$2:$B$31,0),1)&amp;".png")</f>
        <v>#VALUE!</v>
      </c>
      <c r="T73" s="229" t="str">
        <f>+INDEX(PWP!$A:$Z,MATCH('PWP-Print'!O72,PWP!$B:$B,0),MATCH("PWP Ability 2",PWP!$A$1:$Z$1,0))</f>
        <v>Defense +20%</v>
      </c>
      <c r="U73" s="249" t="str">
        <f>+INDEX(PWP!$A:$Z,MATCH('PWP-Print'!O72,PWP!$B:$B,0),MATCH("Locked PWP Ability 2",PWP!$A$1:$Z$1,0))</f>
        <v>(Flame) Defense +20%</v>
      </c>
    </row>
    <row r="74" spans="1:21" ht="22.5" customHeight="1" x14ac:dyDescent="0.3">
      <c r="A74" s="244" t="str">
        <f>TEXT(A70+1,"000")</f>
        <v>030</v>
      </c>
      <c r="B74" s="244" t="str">
        <f>TEXT(B70+1,"000")</f>
        <v>043</v>
      </c>
      <c r="C74" s="729"/>
      <c r="E74" s="251" t="str">
        <f>+INDEX(PWP!$A:$Z,MATCH('PWP-Print'!E72,PWP!$B:$B,0),MATCH("Num",PWP!$A$1:$Z$1,0))</f>
        <v>A-030</v>
      </c>
      <c r="G74" s="249" t="str">
        <f>+INDEX(PWP!$A:$Z,MATCH('PWP-Print'!E72,PWP!$B:$B,0),MATCH("Element",PWP!$A$1:$Z$1,0))&amp;" "&amp;INDEX(PWP!$A:$Z,MATCH('PWP-Print'!E72,PWP!$B:$B,0),MATCH("Type",PWP!$A$1:$Z$1,0))&amp;" Adventurer"</f>
        <v>Flame Axe Adventurer</v>
      </c>
      <c r="K74" s="250"/>
      <c r="M74" s="729"/>
      <c r="O74" s="251" t="str">
        <f>+INDEX(PWP!$A:$Z,MATCH('PWP-Print'!O72,PWP!$B:$B,0),MATCH("Num",PWP!$A$1:$Z$1,0))</f>
        <v>A-043</v>
      </c>
      <c r="Q74" s="249" t="str">
        <f>+INDEX(PWP!$A:$Z,MATCH('PWP-Print'!O72,PWP!$B:$B,0),MATCH("Element",PWP!$A$1:$Z$1,0))&amp;" "&amp;INDEX(PWP!$A:$Z,MATCH('PWP-Print'!O72,PWP!$B:$B,0),MATCH("Type",PWP!$A$1:$Z$1,0))&amp;" Adventurer"</f>
        <v>Flame Wand Adventurer</v>
      </c>
      <c r="U74" s="250"/>
    </row>
    <row r="75" spans="1:21" ht="7.5" customHeight="1" x14ac:dyDescent="0.3">
      <c r="A75" s="244" t="s">
        <v>10763</v>
      </c>
      <c r="E75" s="250"/>
      <c r="G75" s="250"/>
      <c r="K75" s="250"/>
      <c r="O75" s="250"/>
      <c r="Q75" s="250"/>
      <c r="U75" s="250"/>
    </row>
    <row r="76" spans="1:21" ht="22.5" customHeight="1" x14ac:dyDescent="0.3">
      <c r="C76" s="729" t="e" vm="1043">
        <f>_xlfn.IMAGE("https://natalie.tf/wp-content/uploads/2023/10/DLV3_Icon_ADV_"&amp;E77&amp;"_r05.png")</f>
        <v>#VALUE!</v>
      </c>
      <c r="E76" s="249" t="str">
        <f>"PWP-"&amp;A78</f>
        <v>PWP-031</v>
      </c>
      <c r="G76" s="249" t="str">
        <f>+INDEX(PWP!$A:$Z,MATCH('PWP-Print'!E76,PWP!$B:$B,0),MATCH("Title",PWP!$A$1:$Z$1,0))</f>
        <v>Dancing Panther</v>
      </c>
      <c r="I76" t="e" vm="326">
        <f>_xlfn.IMAGE("https://natalie.tf/wp-content/uploads/2023/10/DLV3_Icon_Ability_"&amp;INDEX('PWP-A'!$A$2:$C$31,MATCH('PWP-Print'!J76,'PWP-A'!$B$2:$B$31,0),1)&amp;".png")</f>
        <v>#VALUE!</v>
      </c>
      <c r="J76" s="229" t="str">
        <f>+INDEX(PWP!$A:$Z,MATCH('PWP-Print'!E76,PWP!$B:$B,0),MATCH("PWP Ability 1",PWP!$A$1:$Z$1,0))</f>
        <v>Critical Rate +15%</v>
      </c>
      <c r="K76" s="249" t="str">
        <f>+INDEX(PWP!$A:$Z,MATCH('PWP-Print'!E76,PWP!$B:$B,0),MATCH("Locked PWP Ability 1",PWP!$A$1:$Z$1,0))</f>
        <v>(Flame) Critical Rate +15%</v>
      </c>
      <c r="M76" s="729" t="e" vm="1044">
        <f>_xlfn.IMAGE("https://natalie.tf/wp-content/uploads/2023/10/DLV3_Icon_ADV_"&amp;O77&amp;"_r05.png")</f>
        <v>#VALUE!</v>
      </c>
      <c r="O76" s="249" t="str">
        <f>"PWP-"&amp;B78</f>
        <v>PWP-044</v>
      </c>
      <c r="Q76" s="249" t="str">
        <f>+INDEX(PWP!$A:$Z,MATCH('PWP-Print'!O76,PWP!$B:$B,0),MATCH("Title",PWP!$A$1:$Z$1,0))</f>
        <v>Leader of the Ox Clan</v>
      </c>
      <c r="S76" t="e" vm="1036">
        <f>_xlfn.IMAGE("https://natalie.tf/wp-content/uploads/2023/10/DLV3_Icon_Ability_"&amp;INDEX('PWP-A'!$A$2:$C$31,MATCH('PWP-Print'!T76,'PWP-A'!$B$2:$B$31,0),1)&amp;".png")</f>
        <v>#VALUE!</v>
      </c>
      <c r="T76" s="229" t="str">
        <f>+INDEX(PWP!$A:$Z,MATCH('PWP-Print'!O76,PWP!$B:$B,0),MATCH("PWP Ability 1",PWP!$A$1:$Z$1,0))</f>
        <v>15 Hits = Overdamage</v>
      </c>
      <c r="U76" s="249" t="str">
        <f>+INDEX(PWP!$A:$Z,MATCH('PWP-Print'!O76,PWP!$B:$B,0),MATCH("Locked PWP Ability 1",PWP!$A$1:$Z$1,0))</f>
        <v>(Flame) 15 Hits = Overdamage</v>
      </c>
    </row>
    <row r="77" spans="1:21" ht="22.5" customHeight="1" x14ac:dyDescent="0.3">
      <c r="C77" s="729"/>
      <c r="D77" s="8"/>
      <c r="E77" s="200" t="str">
        <f>+INDEX(PWP!$A:$Z,MATCH('PWP-Print'!E76,PWP!$B:$B,0),MATCH("ID",PWP!$A$1:$Z$1,0))</f>
        <v>110378_01</v>
      </c>
      <c r="F77" s="8"/>
      <c r="G77" s="249" t="str">
        <f>+INDEX(PWP!$A:$Z,MATCH('PWP-Print'!E76,PWP!$B:$B,0),MATCH("Name",PWP!$A$1:$Z$1,0))</f>
        <v>Panther</v>
      </c>
      <c r="H77" s="8"/>
      <c r="I77" t="e" vm="1045">
        <f>_xlfn.IMAGE("https://natalie.tf/wp-content/uploads/2023/10/DLV3_Icon_Ability_"&amp;INDEX('PWP-A'!$A$2:$C$31,MATCH('PWP-Print'!J77,'PWP-A'!$B$2:$B$31,0),1)&amp;".png")</f>
        <v>#VALUE!</v>
      </c>
      <c r="J77" s="229" t="str">
        <f>+INDEX(PWP!$A:$Z,MATCH('PWP-Print'!E76,PWP!$B:$B,0),MATCH("PWP Ability 2",PWP!$A$1:$Z$1,0))</f>
        <v>Attack Rate +20%</v>
      </c>
      <c r="K77" s="249" t="str">
        <f>+INDEX(PWP!$A:$Z,MATCH('PWP-Print'!E76,PWP!$B:$B,0),MATCH("Locked PWP Ability 2",PWP!$A$1:$Z$1,0))</f>
        <v>(Flame) Attack Rate +20%</v>
      </c>
      <c r="M77" s="729"/>
      <c r="N77" s="8"/>
      <c r="O77" s="200" t="str">
        <f>+INDEX(PWP!$A:$Z,MATCH('PWP-Print'!O76,PWP!$B:$B,0),MATCH("ID",PWP!$A$1:$Z$1,0))</f>
        <v>110375_01</v>
      </c>
      <c r="P77" s="8"/>
      <c r="Q77" s="249" t="str">
        <f>+INDEX(PWP!$A:$Z,MATCH('PWP-Print'!O76,PWP!$B:$B,0),MATCH("Name",PWP!$A$1:$Z$1,0))</f>
        <v>Seimei</v>
      </c>
      <c r="R77" s="8"/>
      <c r="S77" t="e" vm="414">
        <f>_xlfn.IMAGE("https://natalie.tf/wp-content/uploads/2023/10/DLV3_Icon_Ability_"&amp;INDEX('PWP-A'!$A$2:$C$31,MATCH('PWP-Print'!T77,'PWP-A'!$B$2:$B$31,0),1)&amp;".png")</f>
        <v>#VALUE!</v>
      </c>
      <c r="T77" s="229" t="str">
        <f>+INDEX(PWP!$A:$Z,MATCH('PWP-Print'!O76,PWP!$B:$B,0),MATCH("PWP Ability 2",PWP!$A$1:$Z$1,0))</f>
        <v>Critical Damage +25%</v>
      </c>
      <c r="U77" s="249" t="str">
        <f>+INDEX(PWP!$A:$Z,MATCH('PWP-Print'!O76,PWP!$B:$B,0),MATCH("Locked PWP Ability 2",PWP!$A$1:$Z$1,0))</f>
        <v>(Flame) Critical Damage +25%</v>
      </c>
    </row>
    <row r="78" spans="1:21" ht="22.5" customHeight="1" x14ac:dyDescent="0.3">
      <c r="A78" s="244" t="str">
        <f>TEXT(A74+1,"000")</f>
        <v>031</v>
      </c>
      <c r="B78" s="244" t="str">
        <f>TEXT(B74+1,"000")</f>
        <v>044</v>
      </c>
      <c r="C78" s="729"/>
      <c r="E78" s="251" t="str">
        <f>+INDEX(PWP!$A:$Z,MATCH('PWP-Print'!E76,PWP!$B:$B,0),MATCH("Num",PWP!$A$1:$Z$1,0))</f>
        <v>A-031</v>
      </c>
      <c r="G78" s="249" t="str">
        <f>+INDEX(PWP!$A:$Z,MATCH('PWP-Print'!E76,PWP!$B:$B,0),MATCH("Element",PWP!$A$1:$Z$1,0))&amp;" "&amp;INDEX(PWP!$A:$Z,MATCH('PWP-Print'!E76,PWP!$B:$B,0),MATCH("Type",PWP!$A$1:$Z$1,0))&amp;" Adventurer"</f>
        <v>Flame Lance Adventurer</v>
      </c>
      <c r="K78" s="250"/>
      <c r="M78" s="729"/>
      <c r="O78" s="251" t="str">
        <f>+INDEX(PWP!$A:$Z,MATCH('PWP-Print'!O76,PWP!$B:$B,0),MATCH("Num",PWP!$A$1:$Z$1,0))</f>
        <v>A-044</v>
      </c>
      <c r="Q78" s="249" t="str">
        <f>+INDEX(PWP!$A:$Z,MATCH('PWP-Print'!O76,PWP!$B:$B,0),MATCH("Element",PWP!$A$1:$Z$1,0))&amp;" "&amp;INDEX(PWP!$A:$Z,MATCH('PWP-Print'!O76,PWP!$B:$B,0),MATCH("Type",PWP!$A$1:$Z$1,0))&amp;" Adventurer"</f>
        <v>Flame Wand Adventurer</v>
      </c>
      <c r="U78" s="250"/>
    </row>
    <row r="79" spans="1:21" ht="7.5" customHeight="1" x14ac:dyDescent="0.3">
      <c r="A79" s="244" t="s">
        <v>10763</v>
      </c>
      <c r="E79" s="250"/>
      <c r="G79" s="250"/>
      <c r="K79" s="250"/>
      <c r="O79" s="250"/>
      <c r="Q79" s="250"/>
      <c r="U79" s="250"/>
    </row>
    <row r="80" spans="1:21" ht="22.5" customHeight="1" x14ac:dyDescent="0.3">
      <c r="C80" s="729" t="e" vm="1046">
        <f>_xlfn.IMAGE("https://natalie.tf/wp-content/uploads/2023/10/DLV3_Icon_ADV_"&amp;E81&amp;"_r05.png")</f>
        <v>#VALUE!</v>
      </c>
      <c r="E80" s="249" t="str">
        <f>"PWP-"&amp;A82</f>
        <v>PWP-032</v>
      </c>
      <c r="G80" s="249" t="str">
        <f>+INDEX(PWP!$A:$Z,MATCH('PWP-Print'!E80,PWP!$B:$B,0),MATCH("Title",PWP!$A$1:$Z$1,0))</f>
        <v>Crimson Paladyn</v>
      </c>
      <c r="I80" t="e" vm="330">
        <f>_xlfn.IMAGE("https://natalie.tf/wp-content/uploads/2023/10/DLV3_Icon_Ability_"&amp;INDEX('PWP-A'!$A$2:$C$31,MATCH('PWP-Print'!J80,'PWP-A'!$B$2:$B$31,0),1)&amp;".png")</f>
        <v>#VALUE!</v>
      </c>
      <c r="J80" s="229" t="str">
        <f>+INDEX(PWP!$A:$Z,MATCH('PWP-Print'!E80,PWP!$B:$B,0),MATCH("PWP Ability 1",PWP!$A$1:$Z$1,0))</f>
        <v>Skill Haste +10%</v>
      </c>
      <c r="K80" s="249" t="str">
        <f>+INDEX(PWP!$A:$Z,MATCH('PWP-Print'!E80,PWP!$B:$B,0),MATCH("Locked PWP Ability 1",PWP!$A$1:$Z$1,0))</f>
        <v>(Flame) Skill Haste +10%</v>
      </c>
      <c r="M80" s="729" t="e" vm="1047">
        <f>_xlfn.IMAGE("https://natalie.tf/wp-content/uploads/2023/10/DLV3_Icon_ADV_"&amp;O81&amp;"_r05.png")</f>
        <v>#VALUE!</v>
      </c>
      <c r="O80" s="249" t="str">
        <f>"PWP-"&amp;B82</f>
        <v>PWP-045</v>
      </c>
      <c r="Q80" s="249" t="str">
        <f>+INDEX(PWP!$A:$Z,MATCH('PWP-Print'!O80,PWP!$B:$B,0),MATCH("Title",PWP!$A$1:$Z$1,0))</f>
        <v>Yearning Queen</v>
      </c>
      <c r="S80" t="e" vm="414">
        <f>_xlfn.IMAGE("https://natalie.tf/wp-content/uploads/2023/10/DLV3_Icon_Ability_"&amp;INDEX('PWP-A'!$A$2:$C$31,MATCH('PWP-Print'!T80,'PWP-A'!$B$2:$B$31,0),1)&amp;".png")</f>
        <v>#VALUE!</v>
      </c>
      <c r="T80" s="229" t="str">
        <f>+INDEX(PWP!$A:$Z,MATCH('PWP-Print'!O80,PWP!$B:$B,0),MATCH("PWP Ability 1",PWP!$A$1:$Z$1,0))</f>
        <v>Critical Damage +25%</v>
      </c>
      <c r="U80" s="249" t="str">
        <f>+INDEX(PWP!$A:$Z,MATCH('PWP-Print'!O80,PWP!$B:$B,0),MATCH("Locked PWP Ability 1",PWP!$A$1:$Z$1,0))</f>
        <v>(Flame) Critical Damage +25%</v>
      </c>
    </row>
    <row r="81" spans="1:21" ht="22.5" customHeight="1" x14ac:dyDescent="0.3">
      <c r="C81" s="729"/>
      <c r="D81" s="8"/>
      <c r="E81" s="200" t="str">
        <f>+INDEX(PWP!$A:$Z,MATCH('PWP-Print'!E80,PWP!$B:$B,0),MATCH("ID",PWP!$A$1:$Z$1,0))</f>
        <v>100002_15</v>
      </c>
      <c r="F81" s="8"/>
      <c r="G81" s="249" t="str">
        <f>+INDEX(PWP!$A:$Z,MATCH('PWP-Print'!E80,PWP!$B:$B,0),MATCH("Name",PWP!$A$1:$Z$1,0))</f>
        <v>Kimono Elisanne</v>
      </c>
      <c r="H81" s="8"/>
      <c r="I81" t="e" vm="426">
        <f>_xlfn.IMAGE("https://natalie.tf/wp-content/uploads/2023/10/DLV3_Icon_Ability_"&amp;INDEX('PWP-A'!$A$2:$C$31,MATCH('PWP-Print'!J81,'PWP-A'!$B$2:$B$31,0),1)&amp;".png")</f>
        <v>#VALUE!</v>
      </c>
      <c r="J81" s="229" t="str">
        <f>+INDEX(PWP!$A:$Z,MATCH('PWP-Print'!E80,PWP!$B:$B,0),MATCH("PWP Ability 2",PWP!$A$1:$Z$1,0))</f>
        <v>Defense +20%</v>
      </c>
      <c r="K81" s="249" t="str">
        <f>+INDEX(PWP!$A:$Z,MATCH('PWP-Print'!E80,PWP!$B:$B,0),MATCH("Locked PWP Ability 2",PWP!$A$1:$Z$1,0))</f>
        <v>(Flame) Defense +20%</v>
      </c>
      <c r="M81" s="729"/>
      <c r="N81" s="8"/>
      <c r="O81" s="200" t="str">
        <f>+INDEX(PWP!$A:$Z,MATCH('PWP-Print'!O80,PWP!$B:$B,0),MATCH("ID",PWP!$A$1:$Z$1,0))</f>
        <v>110053_03</v>
      </c>
      <c r="P81" s="8"/>
      <c r="Q81" s="249" t="str">
        <f>+INDEX(PWP!$A:$Z,MATCH('PWP-Print'!O80,PWP!$B:$B,0),MATCH("Name",PWP!$A$1:$Z$1,0))</f>
        <v>Incognito Nefaria</v>
      </c>
      <c r="R81" s="8"/>
      <c r="S81" t="e" vm="496">
        <f>_xlfn.IMAGE("https://natalie.tf/wp-content/uploads/2023/10/DLV3_Icon_Ability_"&amp;INDEX('PWP-A'!$A$2:$C$31,MATCH('PWP-Print'!T81,'PWP-A'!$B$2:$B$31,0),1)&amp;".png")</f>
        <v>#VALUE!</v>
      </c>
      <c r="T81" s="229" t="str">
        <f>+INDEX(PWP!$A:$Z,MATCH('PWP-Print'!O80,PWP!$B:$B,0),MATCH("PWP Ability 2",PWP!$A$1:$Z$1,0))</f>
        <v>HP +15%</v>
      </c>
      <c r="U81" s="249" t="str">
        <f>+INDEX(PWP!$A:$Z,MATCH('PWP-Print'!O80,PWP!$B:$B,0),MATCH("Locked PWP Ability 2",PWP!$A$1:$Z$1,0))</f>
        <v>(Flame) HP +15%</v>
      </c>
    </row>
    <row r="82" spans="1:21" ht="22.5" customHeight="1" x14ac:dyDescent="0.3">
      <c r="A82" s="244" t="str">
        <f>TEXT(A78+1,"000")</f>
        <v>032</v>
      </c>
      <c r="B82" s="244" t="str">
        <f>TEXT(B78+1,"000")</f>
        <v>045</v>
      </c>
      <c r="C82" s="729"/>
      <c r="E82" s="251" t="str">
        <f>+INDEX(PWP!$A:$Z,MATCH('PWP-Print'!E80,PWP!$B:$B,0),MATCH("Num",PWP!$A$1:$Z$1,0))</f>
        <v>A-032</v>
      </c>
      <c r="G82" s="249" t="str">
        <f>+INDEX(PWP!$A:$Z,MATCH('PWP-Print'!E80,PWP!$B:$B,0),MATCH("Element",PWP!$A$1:$Z$1,0))&amp;" "&amp;INDEX(PWP!$A:$Z,MATCH('PWP-Print'!E80,PWP!$B:$B,0),MATCH("Type",PWP!$A$1:$Z$1,0))&amp;" Adventurer"</f>
        <v>Flame Lance Adventurer</v>
      </c>
      <c r="K82" s="250"/>
      <c r="M82" s="729"/>
      <c r="O82" s="251" t="str">
        <f>+INDEX(PWP!$A:$Z,MATCH('PWP-Print'!O80,PWP!$B:$B,0),MATCH("Num",PWP!$A$1:$Z$1,0))</f>
        <v>A-045</v>
      </c>
      <c r="Q82" s="249" t="str">
        <f>+INDEX(PWP!$A:$Z,MATCH('PWP-Print'!O80,PWP!$B:$B,0),MATCH("Element",PWP!$A$1:$Z$1,0))&amp;" "&amp;INDEX(PWP!$A:$Z,MATCH('PWP-Print'!O80,PWP!$B:$B,0),MATCH("Type",PWP!$A$1:$Z$1,0))&amp;" Adventurer"</f>
        <v>Flame Wand Adventurer</v>
      </c>
      <c r="U82" s="250"/>
    </row>
    <row r="83" spans="1:21" ht="7.5" customHeight="1" x14ac:dyDescent="0.3">
      <c r="A83" s="244" t="s">
        <v>10763</v>
      </c>
      <c r="E83" s="250"/>
      <c r="G83" s="250"/>
      <c r="K83" s="250"/>
      <c r="O83" s="250"/>
      <c r="Q83" s="250"/>
      <c r="U83" s="250"/>
    </row>
    <row r="84" spans="1:21" ht="22.5" customHeight="1" x14ac:dyDescent="0.3">
      <c r="C84" s="729" t="e" vm="1048">
        <f>_xlfn.IMAGE("https://natalie.tf/wp-content/uploads/2023/10/DLV3_Icon_ADV_"&amp;E85&amp;"_r05.png")</f>
        <v>#VALUE!</v>
      </c>
      <c r="E84" s="249" t="str">
        <f>"PWP-"&amp;A86</f>
        <v>PWP-033</v>
      </c>
      <c r="G84" s="249" t="str">
        <f>+INDEX(PWP!$A:$Z,MATCH('PWP-Print'!E84,PWP!$B:$B,0),MATCH("Title",PWP!$A$1:$Z$1,0))</f>
        <v>Selfie Addict</v>
      </c>
      <c r="I84" t="e" vm="330">
        <f>_xlfn.IMAGE("https://natalie.tf/wp-content/uploads/2023/10/DLV3_Icon_Ability_"&amp;INDEX('PWP-A'!$A$2:$C$31,MATCH('PWP-Print'!J84,'PWP-A'!$B$2:$B$31,0),1)&amp;".png")</f>
        <v>#VALUE!</v>
      </c>
      <c r="J84" s="229" t="str">
        <f>+INDEX(PWP!$A:$Z,MATCH('PWP-Print'!E84,PWP!$B:$B,0),MATCH("PWP Ability 1",PWP!$A$1:$Z$1,0))</f>
        <v>Skill Haste +10%</v>
      </c>
      <c r="K84" s="249" t="str">
        <f>+INDEX(PWP!$A:$Z,MATCH('PWP-Print'!E84,PWP!$B:$B,0),MATCH("Locked PWP Ability 1",PWP!$A$1:$Z$1,0))</f>
        <v>(Flame) Skill Haste +10%</v>
      </c>
      <c r="M84" s="729" t="e" vm="1049">
        <f>_xlfn.IMAGE("https://natalie.tf/wp-content/uploads/2023/10/DLV3_Icon_ADV_"&amp;O85&amp;"_r05.png")</f>
        <v>#VALUE!</v>
      </c>
      <c r="O84" s="249" t="str">
        <f>"PWP-"&amp;B86</f>
        <v>PWP-046</v>
      </c>
      <c r="Q84" s="249" t="str">
        <f>+INDEX(PWP!$A:$Z,MATCH('PWP-Print'!O84,PWP!$B:$B,0),MATCH("Title",PWP!$A$1:$Z$1,0))</f>
        <v>Kindly Android</v>
      </c>
      <c r="S84" t="e" vm="1045">
        <f>_xlfn.IMAGE("https://natalie.tf/wp-content/uploads/2023/10/DLV3_Icon_Ability_"&amp;INDEX('PWP-A'!$A$2:$C$31,MATCH('PWP-Print'!T84,'PWP-A'!$B$2:$B$31,0),1)&amp;".png")</f>
        <v>#VALUE!</v>
      </c>
      <c r="T84" s="229" t="str">
        <f>+INDEX(PWP!$A:$Z,MATCH('PWP-Print'!O84,PWP!$B:$B,0),MATCH("PWP Ability 1",PWP!$A$1:$Z$1,0))</f>
        <v>Attack Rate +20%</v>
      </c>
      <c r="U84" s="249" t="str">
        <f>+INDEX(PWP!$A:$Z,MATCH('PWP-Print'!O84,PWP!$B:$B,0),MATCH("Locked PWP Ability 1",PWP!$A$1:$Z$1,0))</f>
        <v>(Flame) Attack Rate +20%</v>
      </c>
    </row>
    <row r="85" spans="1:21" ht="22.5" customHeight="1" x14ac:dyDescent="0.3">
      <c r="C85" s="729"/>
      <c r="D85" s="8"/>
      <c r="E85" s="200" t="str">
        <f>+INDEX(PWP!$A:$Z,MATCH('PWP-Print'!E84,PWP!$B:$B,0),MATCH("ID",PWP!$A$1:$Z$1,0))</f>
        <v>110357_01</v>
      </c>
      <c r="F85" s="8"/>
      <c r="G85" s="249" t="str">
        <f>+INDEX(PWP!$A:$Z,MATCH('PWP-Print'!E84,PWP!$B:$B,0),MATCH("Name",PWP!$A$1:$Z$1,0))</f>
        <v>Nadine</v>
      </c>
      <c r="H85" s="8"/>
      <c r="I85" t="e" vm="496">
        <f>_xlfn.IMAGE("https://natalie.tf/wp-content/uploads/2023/10/DLV3_Icon_Ability_"&amp;INDEX('PWP-A'!$A$2:$C$31,MATCH('PWP-Print'!J85,'PWP-A'!$B$2:$B$31,0),1)&amp;".png")</f>
        <v>#VALUE!</v>
      </c>
      <c r="J85" s="229" t="str">
        <f>+INDEX(PWP!$A:$Z,MATCH('PWP-Print'!E84,PWP!$B:$B,0),MATCH("PWP Ability 2",PWP!$A$1:$Z$1,0))</f>
        <v>HP +15%</v>
      </c>
      <c r="K85" s="249" t="str">
        <f>+INDEX(PWP!$A:$Z,MATCH('PWP-Print'!E84,PWP!$B:$B,0),MATCH("Locked PWP Ability 2",PWP!$A$1:$Z$1,0))</f>
        <v>(Flame) HP +15%</v>
      </c>
      <c r="M85" s="729"/>
      <c r="N85" s="8"/>
      <c r="O85" s="200" t="str">
        <f>+INDEX(PWP!$A:$Z,MATCH('PWP-Print'!O84,PWP!$B:$B,0),MATCH("ID",PWP!$A$1:$Z$1,0))</f>
        <v>110354_01</v>
      </c>
      <c r="P85" s="8"/>
      <c r="Q85" s="249" t="str">
        <f>+INDEX(PWP!$A:$Z,MATCH('PWP-Print'!O84,PWP!$B:$B,0),MATCH("Name",PWP!$A$1:$Z$1,0))</f>
        <v>Mega Man</v>
      </c>
      <c r="R85" s="8"/>
      <c r="S85" t="e" vm="376">
        <f>_xlfn.IMAGE("https://natalie.tf/wp-content/uploads/2023/10/DLV3_Icon_Ability_"&amp;INDEX('PWP-A'!$A$2:$C$31,MATCH('PWP-Print'!T85,'PWP-A'!$B$2:$B$31,0),1)&amp;".png")</f>
        <v>#VALUE!</v>
      </c>
      <c r="T85" s="229" t="str">
        <f>+INDEX(PWP!$A:$Z,MATCH('PWP-Print'!O84,PWP!$B:$B,0),MATCH("PWP Ability 2",PWP!$A$1:$Z$1,0))</f>
        <v>Broken Punisher +30%</v>
      </c>
      <c r="U85" s="249" t="str">
        <f>+INDEX(PWP!$A:$Z,MATCH('PWP-Print'!O84,PWP!$B:$B,0),MATCH("Locked PWP Ability 2",PWP!$A$1:$Z$1,0))</f>
        <v>(Flame) Broken Punisher +30%</v>
      </c>
    </row>
    <row r="86" spans="1:21" ht="22.5" customHeight="1" x14ac:dyDescent="0.3">
      <c r="A86" s="244" t="str">
        <f>TEXT(A82+1,"000")</f>
        <v>033</v>
      </c>
      <c r="B86" s="244" t="str">
        <f>TEXT(B82+1,"000")</f>
        <v>046</v>
      </c>
      <c r="C86" s="729"/>
      <c r="E86" s="251" t="str">
        <f>+INDEX(PWP!$A:$Z,MATCH('PWP-Print'!E84,PWP!$B:$B,0),MATCH("Num",PWP!$A$1:$Z$1,0))</f>
        <v>A-033</v>
      </c>
      <c r="G86" s="249" t="str">
        <f>+INDEX(PWP!$A:$Z,MATCH('PWP-Print'!E84,PWP!$B:$B,0),MATCH("Element",PWP!$A$1:$Z$1,0))&amp;" "&amp;INDEX(PWP!$A:$Z,MATCH('PWP-Print'!E84,PWP!$B:$B,0),MATCH("Type",PWP!$A$1:$Z$1,0))&amp;" Adventurer"</f>
        <v>Flame Lance Adventurer</v>
      </c>
      <c r="K86" s="250"/>
      <c r="M86" s="729"/>
      <c r="O86" s="251" t="str">
        <f>+INDEX(PWP!$A:$Z,MATCH('PWP-Print'!O84,PWP!$B:$B,0),MATCH("Num",PWP!$A$1:$Z$1,0))</f>
        <v>A-046</v>
      </c>
      <c r="Q86" s="249" t="str">
        <f>+INDEX(PWP!$A:$Z,MATCH('PWP-Print'!O84,PWP!$B:$B,0),MATCH("Element",PWP!$A$1:$Z$1,0))&amp;" "&amp;INDEX(PWP!$A:$Z,MATCH('PWP-Print'!O84,PWP!$B:$B,0),MATCH("Type",PWP!$A$1:$Z$1,0))&amp;" Adventurer"</f>
        <v>Flame Wand Adventurer</v>
      </c>
      <c r="U86" s="250"/>
    </row>
    <row r="87" spans="1:21" ht="7.5" customHeight="1" x14ac:dyDescent="0.3">
      <c r="A87" s="244" t="s">
        <v>10763</v>
      </c>
      <c r="E87" s="250"/>
      <c r="G87" s="250"/>
      <c r="K87" s="250"/>
      <c r="O87" s="250"/>
      <c r="Q87" s="250"/>
      <c r="U87" s="250"/>
    </row>
    <row r="88" spans="1:21" ht="22.5" customHeight="1" x14ac:dyDescent="0.3">
      <c r="C88" s="729" t="e" vm="1050">
        <f>_xlfn.IMAGE("https://natalie.tf/wp-content/uploads/2023/10/DLV3_Icon_ADV_"&amp;E89&amp;"_r05.png")</f>
        <v>#VALUE!</v>
      </c>
      <c r="E88" s="249" t="str">
        <f>"PWP-"&amp;A90</f>
        <v>PWP-034</v>
      </c>
      <c r="G88" s="249" t="str">
        <f>+INDEX(PWP!$A:$Z,MATCH('PWP-Print'!E88,PWP!$B:$B,0),MATCH("Title",PWP!$A$1:$Z$1,0))</f>
        <v>Lovestruck Dragon</v>
      </c>
      <c r="I88" t="e" vm="1036">
        <f>_xlfn.IMAGE("https://natalie.tf/wp-content/uploads/2023/10/DLV3_Icon_Ability_"&amp;INDEX('PWP-A'!$A$2:$C$31,MATCH('PWP-Print'!J88,'PWP-A'!$B$2:$B$31,0),1)&amp;".png")</f>
        <v>#VALUE!</v>
      </c>
      <c r="J88" s="229" t="str">
        <f>+INDEX(PWP!$A:$Z,MATCH('PWP-Print'!E88,PWP!$B:$B,0),MATCH("PWP Ability 1",PWP!$A$1:$Z$1,0))</f>
        <v>15 Hits = Overdamage</v>
      </c>
      <c r="K88" s="249" t="str">
        <f>+INDEX(PWP!$A:$Z,MATCH('PWP-Print'!E88,PWP!$B:$B,0),MATCH("Locked PWP Ability 1",PWP!$A$1:$Z$1,0))</f>
        <v>(Flame) 15 Hits = Overdamage</v>
      </c>
      <c r="M88" s="729" t="e" vm="1051">
        <f>_xlfn.IMAGE("https://natalie.tf/wp-content/uploads/2023/10/DLV3_Icon_ADV_"&amp;O89&amp;"_r05.png")</f>
        <v>#VALUE!</v>
      </c>
      <c r="O88" s="249" t="str">
        <f>"PWP-"&amp;B90</f>
        <v>PWP-047</v>
      </c>
      <c r="Q88" s="249" t="str">
        <f>+INDEX(PWP!$A:$Z,MATCH('PWP-Print'!O88,PWP!$B:$B,0),MATCH("Title",PWP!$A$1:$Z$1,0))</f>
        <v>Outgoing Student</v>
      </c>
      <c r="S88" t="e" vm="14">
        <f>_xlfn.IMAGE("https://natalie.tf/wp-content/uploads/2023/10/DLV3_Icon_Ability_"&amp;INDEX('PWP-A'!$A$2:$C$31,MATCH('PWP-Print'!T88,'PWP-A'!$B$2:$B$31,0),1)&amp;".png")</f>
        <v>#VALUE!</v>
      </c>
      <c r="T88" s="229" t="str">
        <f>+INDEX(PWP!$A:$Z,MATCH('PWP-Print'!O88,PWP!$B:$B,0),MATCH("PWP Ability 1",PWP!$A$1:$Z$1,0))</f>
        <v>Strength +20%</v>
      </c>
      <c r="U88" s="249" t="str">
        <f>+INDEX(PWP!$A:$Z,MATCH('PWP-Print'!O88,PWP!$B:$B,0),MATCH("Locked PWP Ability 1",PWP!$A$1:$Z$1,0))</f>
        <v>(Flame) Strength +20%</v>
      </c>
    </row>
    <row r="89" spans="1:21" ht="22.5" customHeight="1" x14ac:dyDescent="0.3">
      <c r="C89" s="729"/>
      <c r="D89" s="8"/>
      <c r="E89" s="200" t="str">
        <f>+INDEX(PWP!$A:$Z,MATCH('PWP-Print'!E88,PWP!$B:$B,0),MATCH("ID",PWP!$A$1:$Z$1,0))</f>
        <v>100010_04</v>
      </c>
      <c r="F89" s="8"/>
      <c r="G89" s="249" t="str">
        <f>+INDEX(PWP!$A:$Z,MATCH('PWP-Print'!E88,PWP!$B:$B,0),MATCH("Name",PWP!$A$1:$Z$1,0))</f>
        <v>Gala Mym</v>
      </c>
      <c r="H89" s="8"/>
      <c r="I89" t="e" vm="601">
        <f>_xlfn.IMAGE("https://natalie.tf/wp-content/uploads/2023/10/DLV3_Icon_Ability_"&amp;INDEX('PWP-A'!$A$2:$C$31,MATCH('PWP-Print'!J89,'PWP-A'!$B$2:$B$31,0),1)&amp;".png")</f>
        <v>#VALUE!</v>
      </c>
      <c r="J89" s="229" t="str">
        <f>+INDEX(PWP!$A:$Z,MATCH('PWP-Print'!E88,PWP!$B:$B,0),MATCH("PWP Ability 2",PWP!$A$1:$Z$1,0))</f>
        <v>Dragon Haste +15%</v>
      </c>
      <c r="K89" s="249" t="str">
        <f>+INDEX(PWP!$A:$Z,MATCH('PWP-Print'!E88,PWP!$B:$B,0),MATCH("Locked PWP Ability 2",PWP!$A$1:$Z$1,0))</f>
        <v>(Flame) Dragon Haste +15%</v>
      </c>
      <c r="M89" s="729"/>
      <c r="N89" s="8"/>
      <c r="O89" s="200" t="str">
        <f>+INDEX(PWP!$A:$Z,MATCH('PWP-Print'!O88,PWP!$B:$B,0),MATCH("ID",PWP!$A$1:$Z$1,0))</f>
        <v>110032_02</v>
      </c>
      <c r="P89" s="8"/>
      <c r="Q89" s="249" t="str">
        <f>+INDEX(PWP!$A:$Z,MATCH('PWP-Print'!O88,PWP!$B:$B,0),MATCH("Name",PWP!$A$1:$Z$1,0))</f>
        <v>Student Maribelle</v>
      </c>
      <c r="R89" s="8"/>
      <c r="S89" t="e" vm="376">
        <f>_xlfn.IMAGE("https://natalie.tf/wp-content/uploads/2023/10/DLV3_Icon_Ability_"&amp;INDEX('PWP-A'!$A$2:$C$31,MATCH('PWP-Print'!T89,'PWP-A'!$B$2:$B$31,0),1)&amp;".png")</f>
        <v>#VALUE!</v>
      </c>
      <c r="T89" s="229" t="str">
        <f>+INDEX(PWP!$A:$Z,MATCH('PWP-Print'!O88,PWP!$B:$B,0),MATCH("PWP Ability 2",PWP!$A$1:$Z$1,0))</f>
        <v>Broken Punisher +30%</v>
      </c>
      <c r="U89" s="249" t="str">
        <f>+INDEX(PWP!$A:$Z,MATCH('PWP-Print'!O88,PWP!$B:$B,0),MATCH("Locked PWP Ability 2",PWP!$A$1:$Z$1,0))</f>
        <v>(Flame) Broken Punisher +30%</v>
      </c>
    </row>
    <row r="90" spans="1:21" ht="22.5" customHeight="1" x14ac:dyDescent="0.3">
      <c r="A90" s="244" t="str">
        <f>TEXT(A86+1,"000")</f>
        <v>034</v>
      </c>
      <c r="B90" s="244" t="str">
        <f>TEXT(B86+1,"000")</f>
        <v>047</v>
      </c>
      <c r="C90" s="729"/>
      <c r="E90" s="251" t="str">
        <f>+INDEX(PWP!$A:$Z,MATCH('PWP-Print'!E88,PWP!$B:$B,0),MATCH("Num",PWP!$A$1:$Z$1,0))</f>
        <v>A-034</v>
      </c>
      <c r="G90" s="249" t="str">
        <f>+INDEX(PWP!$A:$Z,MATCH('PWP-Print'!E88,PWP!$B:$B,0),MATCH("Element",PWP!$A$1:$Z$1,0))&amp;" "&amp;INDEX(PWP!$A:$Z,MATCH('PWP-Print'!E88,PWP!$B:$B,0),MATCH("Type",PWP!$A$1:$Z$1,0))&amp;" Adventurer"</f>
        <v>Flame Lance Adventurer</v>
      </c>
      <c r="K90" s="250"/>
      <c r="M90" s="729"/>
      <c r="O90" s="251" t="str">
        <f>+INDEX(PWP!$A:$Z,MATCH('PWP-Print'!O88,PWP!$B:$B,0),MATCH("Num",PWP!$A$1:$Z$1,0))</f>
        <v>A-047</v>
      </c>
      <c r="Q90" s="249" t="str">
        <f>+INDEX(PWP!$A:$Z,MATCH('PWP-Print'!O88,PWP!$B:$B,0),MATCH("Element",PWP!$A$1:$Z$1,0))&amp;" "&amp;INDEX(PWP!$A:$Z,MATCH('PWP-Print'!O88,PWP!$B:$B,0),MATCH("Type",PWP!$A$1:$Z$1,0))&amp;" Adventurer"</f>
        <v>Flame Wand Adventurer</v>
      </c>
      <c r="U90" s="250"/>
    </row>
    <row r="91" spans="1:21" ht="7.5" customHeight="1" x14ac:dyDescent="0.3">
      <c r="A91" s="244" t="s">
        <v>10763</v>
      </c>
      <c r="E91" s="250"/>
      <c r="G91" s="250"/>
      <c r="K91" s="250"/>
      <c r="O91" s="250"/>
      <c r="Q91" s="250"/>
      <c r="U91" s="250"/>
    </row>
    <row r="92" spans="1:21" ht="22.5" customHeight="1" x14ac:dyDescent="0.3">
      <c r="C92" s="729" t="e" vm="1052">
        <f>_xlfn.IMAGE("https://natalie.tf/wp-content/uploads/2023/10/DLV3_Icon_ADV_"&amp;E93&amp;"_r05.png")</f>
        <v>#VALUE!</v>
      </c>
      <c r="E92" s="249" t="str">
        <f>"PWP-"&amp;A94</f>
        <v>PWP-035</v>
      </c>
      <c r="G92" s="249" t="str">
        <f>+INDEX(PWP!$A:$Z,MATCH('PWP-Print'!E92,PWP!$B:$B,0),MATCH("Title",PWP!$A$1:$Z$1,0))</f>
        <v>Encouraging Cheerleader</v>
      </c>
      <c r="I92" t="e" vm="326">
        <f>_xlfn.IMAGE("https://natalie.tf/wp-content/uploads/2023/10/DLV3_Icon_Ability_"&amp;INDEX('PWP-A'!$A$2:$C$31,MATCH('PWP-Print'!J92,'PWP-A'!$B$2:$B$31,0),1)&amp;".png")</f>
        <v>#VALUE!</v>
      </c>
      <c r="J92" s="229" t="str">
        <f>+INDEX(PWP!$A:$Z,MATCH('PWP-Print'!E92,PWP!$B:$B,0),MATCH("PWP Ability 1",PWP!$A$1:$Z$1,0))</f>
        <v>Critical Rate +15%</v>
      </c>
      <c r="K92" s="249" t="str">
        <f>+INDEX(PWP!$A:$Z,MATCH('PWP-Print'!E92,PWP!$B:$B,0),MATCH("Locked PWP Ability 1",PWP!$A$1:$Z$1,0))</f>
        <v>(Flame) Critical Rate +15%</v>
      </c>
      <c r="M92" s="729" t="e" vm="1053">
        <f>_xlfn.IMAGE("https://natalie.tf/wp-content/uploads/2023/10/DLV3_Icon_ADV_"&amp;O93&amp;"_r05.png")</f>
        <v>#VALUE!</v>
      </c>
      <c r="O92" s="249" t="str">
        <f>"PWP-"&amp;B94</f>
        <v>PWP-048</v>
      </c>
      <c r="Q92" s="249" t="str">
        <f>+INDEX(PWP!$A:$Z,MATCH('PWP-Print'!O92,PWP!$B:$B,0),MATCH("Title",PWP!$A$1:$Z$1,0))</f>
        <v>Intrepid Scholar</v>
      </c>
      <c r="S92" t="e" vm="330">
        <f>_xlfn.IMAGE("https://natalie.tf/wp-content/uploads/2023/10/DLV3_Icon_Ability_"&amp;INDEX('PWP-A'!$A$2:$C$31,MATCH('PWP-Print'!T92,'PWP-A'!$B$2:$B$31,0),1)&amp;".png")</f>
        <v>#VALUE!</v>
      </c>
      <c r="T92" s="229" t="str">
        <f>+INDEX(PWP!$A:$Z,MATCH('PWP-Print'!O92,PWP!$B:$B,0),MATCH("PWP Ability 1",PWP!$A$1:$Z$1,0))</f>
        <v>Skill Haste +10%</v>
      </c>
      <c r="U92" s="249" t="str">
        <f>+INDEX(PWP!$A:$Z,MATCH('PWP-Print'!O92,PWP!$B:$B,0),MATCH("Locked PWP Ability 1",PWP!$A$1:$Z$1,0))</f>
        <v>(Flame) Skill Haste +10%</v>
      </c>
    </row>
    <row r="93" spans="1:21" ht="22.5" customHeight="1" x14ac:dyDescent="0.3">
      <c r="C93" s="729"/>
      <c r="D93" s="8"/>
      <c r="E93" s="200" t="str">
        <f>+INDEX(PWP!$A:$Z,MATCH('PWP-Print'!E92,PWP!$B:$B,0),MATCH("ID",PWP!$A$1:$Z$1,0))</f>
        <v>110260_01</v>
      </c>
      <c r="F93" s="8"/>
      <c r="G93" s="249" t="str">
        <f>+INDEX(PWP!$A:$Z,MATCH('PWP-Print'!E92,PWP!$B:$B,0),MATCH("Name",PWP!$A$1:$Z$1,0))</f>
        <v>Emma</v>
      </c>
      <c r="H93" s="8"/>
      <c r="I93" t="e" vm="696">
        <f>_xlfn.IMAGE("https://natalie.tf/wp-content/uploads/2023/10/DLV3_Icon_Ability_"&amp;INDEX('PWP-A'!$A$2:$C$31,MATCH('PWP-Print'!J93,'PWP-A'!$B$2:$B$31,0),1)&amp;".png")</f>
        <v>#VALUE!</v>
      </c>
      <c r="J93" s="229" t="str">
        <f>+INDEX(PWP!$A:$Z,MATCH('PWP-Print'!E92,PWP!$B:$B,0),MATCH("PWP Ability 2",PWP!$A$1:$Z$1,0))</f>
        <v>Elemental Res +15%</v>
      </c>
      <c r="K93" s="249" t="str">
        <f>+INDEX(PWP!$A:$Z,MATCH('PWP-Print'!E92,PWP!$B:$B,0),MATCH("Locked PWP Ability 2",PWP!$A$1:$Z$1,0))</f>
        <v>(Flame) Elemental Res +15%</v>
      </c>
      <c r="M93" s="729"/>
      <c r="N93" s="8"/>
      <c r="O93" s="200" t="str">
        <f>+INDEX(PWP!$A:$Z,MATCH('PWP-Print'!O92,PWP!$B:$B,0),MATCH("ID",PWP!$A$1:$Z$1,0))</f>
        <v>110009_01</v>
      </c>
      <c r="P93" s="8"/>
      <c r="Q93" s="249" t="str">
        <f>+INDEX(PWP!$A:$Z,MATCH('PWP-Print'!O92,PWP!$B:$B,0),MATCH("Name",PWP!$A$1:$Z$1,0))</f>
        <v>Sinoa</v>
      </c>
      <c r="R93" s="8"/>
      <c r="S93" t="e" vm="696">
        <f>_xlfn.IMAGE("https://natalie.tf/wp-content/uploads/2023/10/DLV3_Icon_Ability_"&amp;INDEX('PWP-A'!$A$2:$C$31,MATCH('PWP-Print'!T93,'PWP-A'!$B$2:$B$31,0),1)&amp;".png")</f>
        <v>#VALUE!</v>
      </c>
      <c r="T93" s="229" t="str">
        <f>+INDEX(PWP!$A:$Z,MATCH('PWP-Print'!O92,PWP!$B:$B,0),MATCH("PWP Ability 2",PWP!$A$1:$Z$1,0))</f>
        <v>Elemental Res +15%</v>
      </c>
      <c r="U93" s="249" t="str">
        <f>+INDEX(PWP!$A:$Z,MATCH('PWP-Print'!O92,PWP!$B:$B,0),MATCH("Locked PWP Ability 2",PWP!$A$1:$Z$1,0))</f>
        <v>(Flame) Elemental Res +15%</v>
      </c>
    </row>
    <row r="94" spans="1:21" ht="22.5" customHeight="1" x14ac:dyDescent="0.3">
      <c r="A94" s="244" t="str">
        <f>TEXT(A90+1,"000")</f>
        <v>035</v>
      </c>
      <c r="B94" s="244" t="str">
        <f>TEXT(B90+1,"000")</f>
        <v>048</v>
      </c>
      <c r="C94" s="729"/>
      <c r="E94" s="251" t="str">
        <f>+INDEX(PWP!$A:$Z,MATCH('PWP-Print'!E92,PWP!$B:$B,0),MATCH("Num",PWP!$A$1:$Z$1,0))</f>
        <v>A-035</v>
      </c>
      <c r="G94" s="249" t="str">
        <f>+INDEX(PWP!$A:$Z,MATCH('PWP-Print'!E92,PWP!$B:$B,0),MATCH("Element",PWP!$A$1:$Z$1,0))&amp;" "&amp;INDEX(PWP!$A:$Z,MATCH('PWP-Print'!E92,PWP!$B:$B,0),MATCH("Type",PWP!$A$1:$Z$1,0))&amp;" Adventurer"</f>
        <v>Flame Lance Adventurer</v>
      </c>
      <c r="K94" s="250"/>
      <c r="M94" s="729"/>
      <c r="O94" s="251" t="str">
        <f>+INDEX(PWP!$A:$Z,MATCH('PWP-Print'!O92,PWP!$B:$B,0),MATCH("Num",PWP!$A$1:$Z$1,0))</f>
        <v>A-048</v>
      </c>
      <c r="Q94" s="249" t="str">
        <f>+INDEX(PWP!$A:$Z,MATCH('PWP-Print'!O92,PWP!$B:$B,0),MATCH("Element",PWP!$A$1:$Z$1,0))&amp;" "&amp;INDEX(PWP!$A:$Z,MATCH('PWP-Print'!O92,PWP!$B:$B,0),MATCH("Type",PWP!$A$1:$Z$1,0))&amp;" Adventurer"</f>
        <v>Flame Wand Adventurer</v>
      </c>
      <c r="U94" s="250"/>
    </row>
    <row r="95" spans="1:21" ht="7.5" customHeight="1" x14ac:dyDescent="0.3">
      <c r="A95" s="244" t="s">
        <v>10763</v>
      </c>
      <c r="E95" s="250"/>
      <c r="G95" s="250"/>
      <c r="K95" s="250"/>
      <c r="O95" s="250"/>
      <c r="Q95" s="250"/>
      <c r="U95" s="250"/>
    </row>
    <row r="96" spans="1:21" ht="22.5" customHeight="1" x14ac:dyDescent="0.3">
      <c r="C96" s="729" t="e" vm="1054">
        <f>_xlfn.IMAGE("https://natalie.tf/wp-content/uploads/2023/10/DLV3_Icon_ADV_"&amp;E97&amp;"_r05.png")</f>
        <v>#VALUE!</v>
      </c>
      <c r="E96" s="249" t="str">
        <f>"PWP-"&amp;A98</f>
        <v>PWP-036</v>
      </c>
      <c r="G96" s="249" t="str">
        <f>+INDEX(PWP!$A:$Z,MATCH('PWP-Print'!E96,PWP!$B:$B,0),MATCH("Title",PWP!$A$1:$Z$1,0))</f>
        <v>Erudite Sealer</v>
      </c>
      <c r="I96" t="e" vm="326">
        <f>_xlfn.IMAGE("https://natalie.tf/wp-content/uploads/2023/10/DLV3_Icon_Ability_"&amp;INDEX('PWP-A'!$A$2:$C$31,MATCH('PWP-Print'!J96,'PWP-A'!$B$2:$B$31,0),1)&amp;".png")</f>
        <v>#VALUE!</v>
      </c>
      <c r="J96" s="229" t="str">
        <f>+INDEX(PWP!$A:$Z,MATCH('PWP-Print'!E96,PWP!$B:$B,0),MATCH("PWP Ability 1",PWP!$A$1:$Z$1,0))</f>
        <v>Critical Rate +15%</v>
      </c>
      <c r="K96" s="249" t="str">
        <f>+INDEX(PWP!$A:$Z,MATCH('PWP-Print'!E96,PWP!$B:$B,0),MATCH("Locked PWP Ability 1",PWP!$A$1:$Z$1,0))</f>
        <v>(Flame) Critical Rate +15%</v>
      </c>
      <c r="M96" s="729" t="e" vm="1055">
        <f>_xlfn.IMAGE("https://natalie.tf/wp-content/uploads/2023/10/DLV3_Icon_ADV_"&amp;O97&amp;"_r05.png")</f>
        <v>#VALUE!</v>
      </c>
      <c r="O96" s="249" t="str">
        <f>"PWP-"&amp;B98</f>
        <v>PWP-049</v>
      </c>
      <c r="Q96" s="249" t="str">
        <f>+INDEX(PWP!$A:$Z,MATCH('PWP-Print'!O96,PWP!$B:$B,0),MATCH("Title",PWP!$A$1:$Z$1,0))</f>
        <v>Meandering Mage</v>
      </c>
      <c r="S96" t="e" vm="330">
        <f>_xlfn.IMAGE("https://natalie.tf/wp-content/uploads/2023/10/DLV3_Icon_Ability_"&amp;INDEX('PWP-A'!$A$2:$C$31,MATCH('PWP-Print'!T96,'PWP-A'!$B$2:$B$31,0),1)&amp;".png")</f>
        <v>#VALUE!</v>
      </c>
      <c r="T96" s="229" t="str">
        <f>+INDEX(PWP!$A:$Z,MATCH('PWP-Print'!O96,PWP!$B:$B,0),MATCH("PWP Ability 1",PWP!$A$1:$Z$1,0))</f>
        <v>Skill Haste +10%</v>
      </c>
      <c r="U96" s="249" t="str">
        <f>+INDEX(PWP!$A:$Z,MATCH('PWP-Print'!O96,PWP!$B:$B,0),MATCH("Locked PWP Ability 1",PWP!$A$1:$Z$1,0))</f>
        <v>(Flame) Skill Haste +10%</v>
      </c>
    </row>
    <row r="97" spans="1:21" ht="22.5" customHeight="1" x14ac:dyDescent="0.3">
      <c r="C97" s="729"/>
      <c r="D97" s="8"/>
      <c r="E97" s="200" t="str">
        <f>+INDEX(PWP!$A:$Z,MATCH('PWP-Print'!E96,PWP!$B:$B,0),MATCH("ID",PWP!$A$1:$Z$1,0))</f>
        <v>110299_01</v>
      </c>
      <c r="F97" s="8"/>
      <c r="G97" s="249" t="str">
        <f>+INDEX(PWP!$A:$Z,MATCH('PWP-Print'!E96,PWP!$B:$B,0),MATCH("Name",PWP!$A$1:$Z$1,0))</f>
        <v>Xuan Zang</v>
      </c>
      <c r="H97" s="8"/>
      <c r="I97" t="e" vm="693">
        <f>_xlfn.IMAGE("https://natalie.tf/wp-content/uploads/2023/10/DLV3_Icon_Ability_"&amp;INDEX('PWP-A'!$A$2:$C$31,MATCH('PWP-Print'!J97,'PWP-A'!$B$2:$B$31,0),1)&amp;".png")</f>
        <v>#VALUE!</v>
      </c>
      <c r="J97" s="229" t="str">
        <f>+INDEX(PWP!$A:$Z,MATCH('PWP-Print'!E96,PWP!$B:$B,0),MATCH("PWP Ability 2",PWP!$A$1:$Z$1,0))</f>
        <v>Combo Time +2</v>
      </c>
      <c r="K97" s="249" t="str">
        <f>+INDEX(PWP!$A:$Z,MATCH('PWP-Print'!E96,PWP!$B:$B,0),MATCH("Locked PWP Ability 2",PWP!$A$1:$Z$1,0))</f>
        <v>(Flame) Combo Time +2</v>
      </c>
      <c r="M97" s="729"/>
      <c r="N97" s="8"/>
      <c r="O97" s="200" t="str">
        <f>+INDEX(PWP!$A:$Z,MATCH('PWP-Print'!O96,PWP!$B:$B,0),MATCH("ID",PWP!$A$1:$Z$1,0))</f>
        <v>110004_01</v>
      </c>
      <c r="P97" s="8"/>
      <c r="Q97" s="249" t="str">
        <f>+INDEX(PWP!$A:$Z,MATCH('PWP-Print'!O96,PWP!$B:$B,0),MATCH("Name",PWP!$A$1:$Z$1,0))</f>
        <v>Xania</v>
      </c>
      <c r="R97" s="8"/>
      <c r="S97" t="e" vm="693">
        <f>_xlfn.IMAGE("https://natalie.tf/wp-content/uploads/2023/10/DLV3_Icon_Ability_"&amp;INDEX('PWP-A'!$A$2:$C$31,MATCH('PWP-Print'!T97,'PWP-A'!$B$2:$B$31,0),1)&amp;".png")</f>
        <v>#VALUE!</v>
      </c>
      <c r="T97" s="229" t="str">
        <f>+INDEX(PWP!$A:$Z,MATCH('PWP-Print'!O96,PWP!$B:$B,0),MATCH("PWP Ability 2",PWP!$A$1:$Z$1,0))</f>
        <v>Combo Time +2</v>
      </c>
      <c r="U97" s="249" t="str">
        <f>+INDEX(PWP!$A:$Z,MATCH('PWP-Print'!O96,PWP!$B:$B,0),MATCH("Locked PWP Ability 2",PWP!$A$1:$Z$1,0))</f>
        <v>(Flame) Combo Time +2</v>
      </c>
    </row>
    <row r="98" spans="1:21" ht="22.5" customHeight="1" x14ac:dyDescent="0.3">
      <c r="A98" s="244" t="str">
        <f>TEXT(A94+1,"000")</f>
        <v>036</v>
      </c>
      <c r="B98" s="244" t="str">
        <f>TEXT(B94+1,"000")</f>
        <v>049</v>
      </c>
      <c r="C98" s="729"/>
      <c r="E98" s="251" t="str">
        <f>+INDEX(PWP!$A:$Z,MATCH('PWP-Print'!E96,PWP!$B:$B,0),MATCH("Num",PWP!$A$1:$Z$1,0))</f>
        <v>A-036</v>
      </c>
      <c r="G98" s="249" t="str">
        <f>+INDEX(PWP!$A:$Z,MATCH('PWP-Print'!E96,PWP!$B:$B,0),MATCH("Element",PWP!$A$1:$Z$1,0))&amp;" "&amp;INDEX(PWP!$A:$Z,MATCH('PWP-Print'!E96,PWP!$B:$B,0),MATCH("Type",PWP!$A$1:$Z$1,0))&amp;" Adventurer"</f>
        <v>Flame Lance Adventurer</v>
      </c>
      <c r="K98" s="250"/>
      <c r="M98" s="729"/>
      <c r="O98" s="251" t="str">
        <f>+INDEX(PWP!$A:$Z,MATCH('PWP-Print'!O96,PWP!$B:$B,0),MATCH("Num",PWP!$A$1:$Z$1,0))</f>
        <v>A-049</v>
      </c>
      <c r="Q98" s="249" t="str">
        <f>+INDEX(PWP!$A:$Z,MATCH('PWP-Print'!O96,PWP!$B:$B,0),MATCH("Element",PWP!$A$1:$Z$1,0))&amp;" "&amp;INDEX(PWP!$A:$Z,MATCH('PWP-Print'!O96,PWP!$B:$B,0),MATCH("Type",PWP!$A$1:$Z$1,0))&amp;" Adventurer"</f>
        <v>Flame Wand Adventurer</v>
      </c>
      <c r="U98" s="250"/>
    </row>
    <row r="99" spans="1:21" ht="7.5" customHeight="1" x14ac:dyDescent="0.3">
      <c r="A99" s="244" t="s">
        <v>10763</v>
      </c>
      <c r="E99" s="250"/>
      <c r="G99" s="250"/>
      <c r="K99" s="250"/>
      <c r="O99" s="250"/>
      <c r="Q99" s="250"/>
      <c r="U99" s="250"/>
    </row>
    <row r="100" spans="1:21" ht="22.5" customHeight="1" x14ac:dyDescent="0.3">
      <c r="C100" s="729" t="e" vm="1056">
        <f>_xlfn.IMAGE("https://natalie.tf/wp-content/uploads/2023/10/DLV3_Icon_ADV_"&amp;E101&amp;"_r05.png")</f>
        <v>#VALUE!</v>
      </c>
      <c r="E100" s="249" t="str">
        <f>"PWP-"&amp;A102</f>
        <v>PWP-037</v>
      </c>
      <c r="G100" s="249" t="str">
        <f>+INDEX(PWP!$A:$Z,MATCH('PWP-Print'!E100,PWP!$B:$B,0),MATCH("Title",PWP!$A$1:$Z$1,0))</f>
        <v>Captain Craven</v>
      </c>
      <c r="I100" t="e" vm="426">
        <f>_xlfn.IMAGE("https://natalie.tf/wp-content/uploads/2023/10/DLV3_Icon_Ability_"&amp;INDEX('PWP-A'!$A$2:$C$31,MATCH('PWP-Print'!J100,'PWP-A'!$B$2:$B$31,0),1)&amp;".png")</f>
        <v>#VALUE!</v>
      </c>
      <c r="J100" s="229" t="str">
        <f>+INDEX(PWP!$A:$Z,MATCH('PWP-Print'!E100,PWP!$B:$B,0),MATCH("PWP Ability 1",PWP!$A$1:$Z$1,0))</f>
        <v>Defense +20%</v>
      </c>
      <c r="K100" s="249" t="str">
        <f>+INDEX(PWP!$A:$Z,MATCH('PWP-Print'!E100,PWP!$B:$B,0),MATCH("Locked PWP Ability 1",PWP!$A$1:$Z$1,0))</f>
        <v>(Flame) Defense +20%</v>
      </c>
      <c r="M100" s="729" t="e" vm="1057">
        <f>_xlfn.IMAGE("https://natalie.tf/wp-content/uploads/2023/10/DLV3_Icon_ADV_"&amp;O101&amp;"_r05.png")</f>
        <v>#VALUE!</v>
      </c>
      <c r="O100" s="249" t="str">
        <f>"PWP-"&amp;B102</f>
        <v>PWP-050</v>
      </c>
      <c r="Q100" s="249" t="str">
        <f>+INDEX(PWP!$A:$Z,MATCH('PWP-Print'!O100,PWP!$B:$B,0),MATCH("Title",PWP!$A$1:$Z$1,0))</f>
        <v>Twin Wings of Freedom</v>
      </c>
      <c r="S100" t="e" vm="14">
        <f>_xlfn.IMAGE("https://natalie.tf/wp-content/uploads/2023/10/DLV3_Icon_Ability_"&amp;INDEX('PWP-A'!$A$2:$C$31,MATCH('PWP-Print'!T100,'PWP-A'!$B$2:$B$31,0),1)&amp;".png")</f>
        <v>#VALUE!</v>
      </c>
      <c r="T100" s="229" t="str">
        <f>+INDEX(PWP!$A:$Z,MATCH('PWP-Print'!O100,PWP!$B:$B,0),MATCH("PWP Ability 1",PWP!$A$1:$Z$1,0))</f>
        <v>Strength +20%</v>
      </c>
      <c r="U100" s="249" t="str">
        <f>+INDEX(PWP!$A:$Z,MATCH('PWP-Print'!O100,PWP!$B:$B,0),MATCH("Locked PWP Ability 1",PWP!$A$1:$Z$1,0))</f>
        <v>(Flame) Strength +20%</v>
      </c>
    </row>
    <row r="101" spans="1:21" ht="22.5" customHeight="1" x14ac:dyDescent="0.3">
      <c r="C101" s="729"/>
      <c r="D101" s="8"/>
      <c r="E101" s="200" t="str">
        <f>+INDEX(PWP!$A:$Z,MATCH('PWP-Print'!E100,PWP!$B:$B,0),MATCH("ID",PWP!$A$1:$Z$1,0))</f>
        <v>110001_01</v>
      </c>
      <c r="F101" s="8"/>
      <c r="G101" s="249" t="str">
        <f>+INDEX(PWP!$A:$Z,MATCH('PWP-Print'!E100,PWP!$B:$B,0),MATCH("Name",PWP!$A$1:$Z$1,0))</f>
        <v>Alain</v>
      </c>
      <c r="H101" s="8"/>
      <c r="I101" t="e" vm="696">
        <f>_xlfn.IMAGE("https://natalie.tf/wp-content/uploads/2023/10/DLV3_Icon_Ability_"&amp;INDEX('PWP-A'!$A$2:$C$31,MATCH('PWP-Print'!J101,'PWP-A'!$B$2:$B$31,0),1)&amp;".png")</f>
        <v>#VALUE!</v>
      </c>
      <c r="J101" s="229" t="str">
        <f>+INDEX(PWP!$A:$Z,MATCH('PWP-Print'!E100,PWP!$B:$B,0),MATCH("PWP Ability 2",PWP!$A$1:$Z$1,0))</f>
        <v>Elemental Res +15%</v>
      </c>
      <c r="K101" s="249" t="str">
        <f>+INDEX(PWP!$A:$Z,MATCH('PWP-Print'!E100,PWP!$B:$B,0),MATCH("Locked PWP Ability 2",PWP!$A$1:$Z$1,0))</f>
        <v>(Flame) Elemental Res +15%</v>
      </c>
      <c r="M101" s="729"/>
      <c r="N101" s="8"/>
      <c r="O101" s="200" t="str">
        <f>+INDEX(PWP!$A:$Z,MATCH('PWP-Print'!O100,PWP!$B:$B,0),MATCH("ID",PWP!$A$1:$Z$1,0))</f>
        <v>110399_01</v>
      </c>
      <c r="P101" s="8"/>
      <c r="Q101" s="249" t="str">
        <f>+INDEX(PWP!$A:$Z,MATCH('PWP-Print'!O100,PWP!$B:$B,0),MATCH("Name",PWP!$A$1:$Z$1,0))</f>
        <v>Ayaha &amp; Otoha</v>
      </c>
      <c r="R101" s="8"/>
      <c r="S101" t="e" vm="14">
        <f>_xlfn.IMAGE("https://natalie.tf/wp-content/uploads/2023/10/DLV3_Icon_Ability_"&amp;INDEX('PWP-A'!$A$2:$C$31,MATCH('PWP-Print'!T101,'PWP-A'!$B$2:$B$31,0),1)&amp;".png")</f>
        <v>#VALUE!</v>
      </c>
      <c r="T101" s="229" t="str">
        <f>+INDEX(PWP!$A:$Z,MATCH('PWP-Print'!O100,PWP!$B:$B,0),MATCH("PWP Ability 2",PWP!$A$1:$Z$1,0))</f>
        <v>Skill Damage +40%</v>
      </c>
      <c r="U101" s="249" t="str">
        <f>+INDEX(PWP!$A:$Z,MATCH('PWP-Print'!O100,PWP!$B:$B,0),MATCH("Locked PWP Ability 2",PWP!$A$1:$Z$1,0))</f>
        <v>(Flame) Skill Damage +40%</v>
      </c>
    </row>
    <row r="102" spans="1:21" ht="22.5" customHeight="1" x14ac:dyDescent="0.3">
      <c r="A102" s="244" t="str">
        <f>TEXT(A98+1,"000")</f>
        <v>037</v>
      </c>
      <c r="B102" s="244" t="str">
        <f>TEXT(B98+1,"000")</f>
        <v>050</v>
      </c>
      <c r="C102" s="729"/>
      <c r="E102" s="251" t="str">
        <f>+INDEX(PWP!$A:$Z,MATCH('PWP-Print'!E100,PWP!$B:$B,0),MATCH("Num",PWP!$A$1:$Z$1,0))</f>
        <v>A-037</v>
      </c>
      <c r="G102" s="249" t="str">
        <f>+INDEX(PWP!$A:$Z,MATCH('PWP-Print'!E100,PWP!$B:$B,0),MATCH("Element",PWP!$A$1:$Z$1,0))&amp;" "&amp;INDEX(PWP!$A:$Z,MATCH('PWP-Print'!E100,PWP!$B:$B,0),MATCH("Type",PWP!$A$1:$Z$1,0))&amp;" Adventurer"</f>
        <v>Flame Lance Adventurer</v>
      </c>
      <c r="K102" s="250"/>
      <c r="M102" s="729"/>
      <c r="O102" s="251" t="str">
        <f>+INDEX(PWP!$A:$Z,MATCH('PWP-Print'!O100,PWP!$B:$B,0),MATCH("Num",PWP!$A$1:$Z$1,0))</f>
        <v>A-050</v>
      </c>
      <c r="Q102" s="249" t="str">
        <f>+INDEX(PWP!$A:$Z,MATCH('PWP-Print'!O100,PWP!$B:$B,0),MATCH("Element",PWP!$A$1:$Z$1,0))&amp;" "&amp;INDEX(PWP!$A:$Z,MATCH('PWP-Print'!O100,PWP!$B:$B,0),MATCH("Type",PWP!$A$1:$Z$1,0))&amp;" Adventurer"</f>
        <v>Flame Staff Adventurer</v>
      </c>
      <c r="U102" s="250"/>
    </row>
    <row r="103" spans="1:21" ht="7.5" customHeight="1" x14ac:dyDescent="0.3">
      <c r="A103" s="244" t="s">
        <v>10763</v>
      </c>
      <c r="E103" s="250"/>
      <c r="G103" s="250"/>
      <c r="K103" s="250"/>
    </row>
    <row r="104" spans="1:21" ht="22.5" customHeight="1" x14ac:dyDescent="0.3">
      <c r="C104" s="729" t="e" vm="1058">
        <f>_xlfn.IMAGE("https://natalie.tf/wp-content/uploads/2023/10/DLV3_Icon_ADV_"&amp;E105&amp;"_r05.png")</f>
        <v>#VALUE!</v>
      </c>
      <c r="E104" s="249" t="str">
        <f>"PWP-"&amp;A106</f>
        <v>PWP-038</v>
      </c>
      <c r="G104" s="249" t="str">
        <f>+INDEX(PWP!$A:$Z,MATCH('PWP-Print'!E104,PWP!$B:$B,0),MATCH("Title",PWP!$A$1:$Z$1,0))</f>
        <v>Shimmering Guardian</v>
      </c>
      <c r="I104" t="e" vm="688">
        <f>_xlfn.IMAGE("https://natalie.tf/wp-content/uploads/2023/10/DLV3_Icon_Ability_"&amp;INDEX('PWP-A'!$A$2:$C$31,MATCH('PWP-Print'!J104,'PWP-A'!$B$2:$B$31,0),1)&amp;".png")</f>
        <v>#VALUE!</v>
      </c>
      <c r="J104" s="229" t="str">
        <f>+INDEX(PWP!$A:$Z,MATCH('PWP-Print'!E104,PWP!$B:$B,0),MATCH("PWP Ability 1",PWP!$A$1:$Z$1,0))</f>
        <v>Overdrive Punisher +15%</v>
      </c>
      <c r="K104" s="249" t="str">
        <f>+INDEX(PWP!$A:$Z,MATCH('PWP-Print'!E104,PWP!$B:$B,0),MATCH("Locked PWP Ability 1",PWP!$A$1:$Z$1,0))</f>
        <v>(Flame) Overdrive Punisher +15%</v>
      </c>
      <c r="M104" s="729"/>
      <c r="O104" s="221"/>
      <c r="Q104" s="221"/>
      <c r="U104" s="221"/>
    </row>
    <row r="105" spans="1:21" ht="22.5" customHeight="1" x14ac:dyDescent="0.3">
      <c r="C105" s="729"/>
      <c r="D105" s="8"/>
      <c r="E105" s="200" t="str">
        <f>+INDEX(PWP!$A:$Z,MATCH('PWP-Print'!E104,PWP!$B:$B,0),MATCH("ID",PWP!$A$1:$Z$1,0))</f>
        <v>100005_08</v>
      </c>
      <c r="F105" s="8"/>
      <c r="G105" s="249" t="str">
        <f>+INDEX(PWP!$A:$Z,MATCH('PWP-Print'!E104,PWP!$B:$B,0),MATCH("Name",PWP!$A$1:$Z$1,0))</f>
        <v>Summer Alex</v>
      </c>
      <c r="H105" s="8"/>
      <c r="I105" t="e" vm="696">
        <f>_xlfn.IMAGE("https://natalie.tf/wp-content/uploads/2023/10/DLV3_Icon_Ability_"&amp;INDEX('PWP-A'!$A$2:$C$31,MATCH('PWP-Print'!J105,'PWP-A'!$B$2:$B$31,0),1)&amp;".png")</f>
        <v>#VALUE!</v>
      </c>
      <c r="J105" s="229" t="str">
        <f>+INDEX(PWP!$A:$Z,MATCH('PWP-Print'!E104,PWP!$B:$B,0),MATCH("PWP Ability 2",PWP!$A$1:$Z$1,0))</f>
        <v>Elemental Res +15%</v>
      </c>
      <c r="K105" s="249" t="str">
        <f>+INDEX(PWP!$A:$Z,MATCH('PWP-Print'!E104,PWP!$B:$B,0),MATCH("Locked PWP Ability 2",PWP!$A$1:$Z$1,0))</f>
        <v>(Flame) Elemental Res +15%</v>
      </c>
      <c r="M105" s="729"/>
      <c r="N105" s="8"/>
      <c r="O105" s="221"/>
      <c r="P105" s="8"/>
      <c r="Q105" s="221"/>
      <c r="R105" s="8"/>
      <c r="S105" s="8"/>
      <c r="T105" s="8"/>
      <c r="U105" s="221"/>
    </row>
    <row r="106" spans="1:21" ht="22.5" customHeight="1" x14ac:dyDescent="0.3">
      <c r="A106" s="244" t="str">
        <f>TEXT(A102+1,"000")</f>
        <v>038</v>
      </c>
      <c r="C106" s="729"/>
      <c r="E106" s="251" t="str">
        <f>+INDEX(PWP!$A:$Z,MATCH('PWP-Print'!E104,PWP!$B:$B,0),MATCH("Num",PWP!$A$1:$Z$1,0))</f>
        <v>A-038</v>
      </c>
      <c r="G106" s="249" t="str">
        <f>+INDEX(PWP!$A:$Z,MATCH('PWP-Print'!E104,PWP!$B:$B,0),MATCH("Element",PWP!$A$1:$Z$1,0))&amp;" "&amp;INDEX(PWP!$A:$Z,MATCH('PWP-Print'!E104,PWP!$B:$B,0),MATCH("Type",PWP!$A$1:$Z$1,0))&amp;" Adventurer"</f>
        <v>Flame Bow Adventurer</v>
      </c>
      <c r="K106" s="250"/>
      <c r="M106" s="729"/>
      <c r="O106" s="221"/>
      <c r="Q106" s="221"/>
      <c r="U106" s="222"/>
    </row>
    <row r="107" spans="1:21" ht="37.5" customHeight="1" x14ac:dyDescent="0.2"/>
    <row r="108" spans="1:21" ht="22.5" customHeight="1" x14ac:dyDescent="0.3">
      <c r="C108" s="729" t="e" vm="1084">
        <f>_xlfn.IMAGE("https://natalie.tf/wp-content/uploads/2023/10/DLV3_Icon_ADV_"&amp;E109&amp;"_r05.png")</f>
        <v>#VALUE!</v>
      </c>
      <c r="E108" s="249" t="str">
        <f>"PWP-"&amp;A110</f>
        <v>PWP-051</v>
      </c>
      <c r="G108" s="249" t="str">
        <f>+INDEX(PWP!$A:$Z,MATCH('PWP-Print'!E108,PWP!$B:$B,0),MATCH("Title",PWP!$A$1:$Z$1,0))</f>
        <v>Outfoxed Fox</v>
      </c>
      <c r="I108" t="e" vm="326">
        <f>_xlfn.IMAGE("https://natalie.tf/wp-content/uploads/2023/10/DLV3_Icon_Ability_"&amp;INDEX('PWP-A'!$A$2:$C$31,MATCH('PWP-Print'!J108,'PWP-A'!$B$2:$B$31,0),1)&amp;".png")</f>
        <v>#VALUE!</v>
      </c>
      <c r="J108" s="229" t="str">
        <f>+INDEX(PWP!$A:$Z,MATCH('PWP-Print'!E108,PWP!$B:$B,0),MATCH("PWP Ability 1",PWP!$A$1:$Z$1,0))</f>
        <v>Critical Rate +15%</v>
      </c>
      <c r="K108" s="249" t="str">
        <f>+INDEX(PWP!$A:$Z,MATCH('PWP-Print'!E108,PWP!$B:$B,0),MATCH("Locked PWP Ability 1",PWP!$A$1:$Z$1,0))</f>
        <v>(Flame) Critical Rate +15%</v>
      </c>
      <c r="M108" s="729" t="e" vm="1085">
        <f>_xlfn.IMAGE("https://natalie.tf/wp-content/uploads/2023/10/DLV3_Icon_ADV_"&amp;O109&amp;"_r05.png")</f>
        <v>#VALUE!</v>
      </c>
      <c r="O108" s="249" t="str">
        <f>"PWP-"&amp;B110</f>
        <v>PWP-064</v>
      </c>
      <c r="Q108" s="249" t="str">
        <f>+INDEX(PWP!$A:$Z,MATCH('PWP-Print'!O108,PWP!$B:$B,0),MATCH("Title",PWP!$A$1:$Z$1,0))</f>
        <v>Wandering Spider</v>
      </c>
      <c r="S108" t="e" vm="14">
        <f>_xlfn.IMAGE("https://natalie.tf/wp-content/uploads/2023/10/DLV3_Icon_Ability_"&amp;INDEX('PWP-A'!$A$2:$C$31,MATCH('PWP-Print'!T108,'PWP-A'!$B$2:$B$31,0),1)&amp;".png")</f>
        <v>#VALUE!</v>
      </c>
      <c r="T108" s="229" t="str">
        <f>+INDEX(PWP!$A:$Z,MATCH('PWP-Print'!O108,PWP!$B:$B,0),MATCH("PWP Ability 1",PWP!$A$1:$Z$1,0))</f>
        <v>Strength +20%</v>
      </c>
      <c r="U108" s="249" t="str">
        <f>+INDEX(PWP!$A:$Z,MATCH('PWP-Print'!O108,PWP!$B:$B,0),MATCH("Locked PWP Ability 1",PWP!$A$1:$Z$1,0))</f>
        <v>(Water) Strength +20%</v>
      </c>
    </row>
    <row r="109" spans="1:21" ht="22.5" customHeight="1" x14ac:dyDescent="0.3">
      <c r="C109" s="729"/>
      <c r="D109" s="8"/>
      <c r="E109" s="200" t="str">
        <f>+INDEX(PWP!$A:$Z,MATCH('PWP-Print'!E108,PWP!$B:$B,0),MATCH("ID",PWP!$A$1:$Z$1,0))</f>
        <v>110374_01</v>
      </c>
      <c r="F109" s="8"/>
      <c r="G109" s="249" t="str">
        <f>+INDEX(PWP!$A:$Z,MATCH('PWP-Print'!E108,PWP!$B:$B,0),MATCH("Name",PWP!$A$1:$Z$1,0))</f>
        <v>Kuzunoha</v>
      </c>
      <c r="H109" s="8"/>
      <c r="I109" t="e" vm="330">
        <f>_xlfn.IMAGE("https://natalie.tf/wp-content/uploads/2023/10/DLV3_Icon_Ability_"&amp;INDEX('PWP-A'!$A$2:$C$31,MATCH('PWP-Print'!J109,'PWP-A'!$B$2:$B$31,0),1)&amp;".png")</f>
        <v>#VALUE!</v>
      </c>
      <c r="J109" s="229" t="str">
        <f>+INDEX(PWP!$A:$Z,MATCH('PWP-Print'!E108,PWP!$B:$B,0),MATCH("PWP Ability 2",PWP!$A$1:$Z$1,0))</f>
        <v>Skill Haste +10%</v>
      </c>
      <c r="K109" s="249" t="str">
        <f>+INDEX(PWP!$A:$Z,MATCH('PWP-Print'!E108,PWP!$B:$B,0),MATCH("Locked PWP Ability 2",PWP!$A$1:$Z$1,0))</f>
        <v>(Flame) Skill Haste +10%</v>
      </c>
      <c r="M109" s="729"/>
      <c r="N109" s="8"/>
      <c r="O109" s="200" t="str">
        <f>+INDEX(PWP!$A:$Z,MATCH('PWP-Print'!O108,PWP!$B:$B,0),MATCH("ID",PWP!$A$1:$Z$1,0))</f>
        <v>110301_02</v>
      </c>
      <c r="P109" s="8"/>
      <c r="Q109" s="249" t="str">
        <f>+INDEX(PWP!$A:$Z,MATCH('PWP-Print'!O108,PWP!$B:$B,0),MATCH("Name",PWP!$A$1:$Z$1,0))</f>
        <v>Halloween Odetta</v>
      </c>
      <c r="R109" s="8"/>
      <c r="S109" t="e" vm="376">
        <f>_xlfn.IMAGE("https://natalie.tf/wp-content/uploads/2023/10/DLV3_Icon_Ability_"&amp;INDEX('PWP-A'!$A$2:$C$31,MATCH('PWP-Print'!T109,'PWP-A'!$B$2:$B$31,0),1)&amp;".png")</f>
        <v>#VALUE!</v>
      </c>
      <c r="T109" s="229" t="str">
        <f>+INDEX(PWP!$A:$Z,MATCH('PWP-Print'!O108,PWP!$B:$B,0),MATCH("PWP Ability 2",PWP!$A$1:$Z$1,0))</f>
        <v>Broken Punisher +30%</v>
      </c>
      <c r="U109" s="249" t="str">
        <f>+INDEX(PWP!$A:$Z,MATCH('PWP-Print'!O108,PWP!$B:$B,0),MATCH("Locked PWP Ability 2",PWP!$A$1:$Z$1,0))</f>
        <v>(Water) Broken Punisher +30%</v>
      </c>
    </row>
    <row r="110" spans="1:21" ht="22.5" customHeight="1" x14ac:dyDescent="0.3">
      <c r="A110" s="242" t="str">
        <f>TEXT(B102+1,"000")</f>
        <v>051</v>
      </c>
      <c r="B110" s="244" t="str">
        <f>TEXT(A158+1,"000")</f>
        <v>064</v>
      </c>
      <c r="C110" s="729"/>
      <c r="E110" s="251" t="str">
        <f>+INDEX(PWP!$A:$Z,MATCH('PWP-Print'!E108,PWP!$B:$B,0),MATCH("Num",PWP!$A$1:$Z$1,0))</f>
        <v>A-051</v>
      </c>
      <c r="G110" s="249" t="str">
        <f>+INDEX(PWP!$A:$Z,MATCH('PWP-Print'!E108,PWP!$B:$B,0),MATCH("Element",PWP!$A$1:$Z$1,0))&amp;" "&amp;INDEX(PWP!$A:$Z,MATCH('PWP-Print'!E108,PWP!$B:$B,0),MATCH("Type",PWP!$A$1:$Z$1,0))&amp;" Adventurer"</f>
        <v>Flame Staff Adventurer</v>
      </c>
      <c r="K110" s="250"/>
      <c r="M110" s="729"/>
      <c r="O110" s="251" t="str">
        <f>+INDEX(PWP!$A:$Z,MATCH('PWP-Print'!O108,PWP!$B:$B,0),MATCH("Num",PWP!$A$1:$Z$1,0))</f>
        <v>A-064</v>
      </c>
      <c r="Q110" s="249" t="str">
        <f>+INDEX(PWP!$A:$Z,MATCH('PWP-Print'!O108,PWP!$B:$B,0),MATCH("Element",PWP!$A$1:$Z$1,0))&amp;" "&amp;INDEX(PWP!$A:$Z,MATCH('PWP-Print'!O108,PWP!$B:$B,0),MATCH("Type",PWP!$A$1:$Z$1,0))&amp;" Adventurer"</f>
        <v>Water Sword Adventurer</v>
      </c>
      <c r="U110" s="250"/>
    </row>
    <row r="111" spans="1:21" ht="7.5" customHeight="1" x14ac:dyDescent="0.3">
      <c r="A111" s="244" t="s">
        <v>10763</v>
      </c>
      <c r="E111" s="250"/>
      <c r="G111" s="250"/>
      <c r="K111" s="250"/>
      <c r="O111" s="250"/>
      <c r="Q111" s="250"/>
      <c r="U111" s="250"/>
    </row>
    <row r="112" spans="1:21" ht="22.5" customHeight="1" x14ac:dyDescent="0.3">
      <c r="C112" s="729" t="e" vm="1086">
        <f>_xlfn.IMAGE("https://natalie.tf/wp-content/uploads/2023/10/DLV3_Icon_ADV_"&amp;E113&amp;"_r05.png")</f>
        <v>#VALUE!</v>
      </c>
      <c r="E112" s="249" t="str">
        <f>"PWP-"&amp;A114</f>
        <v>PWP-052</v>
      </c>
      <c r="G112" s="249" t="str">
        <f>+INDEX(PWP!$A:$Z,MATCH('PWP-Print'!E112,PWP!$B:$B,0),MATCH("Title",PWP!$A$1:$Z$1,0))</f>
        <v>Summer Sorceress</v>
      </c>
      <c r="I112" t="e" vm="1036">
        <f>_xlfn.IMAGE("https://natalie.tf/wp-content/uploads/2023/10/DLV3_Icon_Ability_"&amp;INDEX('PWP-A'!$A$2:$C$31,MATCH('PWP-Print'!J112,'PWP-A'!$B$2:$B$31,0),1)&amp;".png")</f>
        <v>#VALUE!</v>
      </c>
      <c r="J112" s="229" t="str">
        <f>+INDEX(PWP!$A:$Z,MATCH('PWP-Print'!E112,PWP!$B:$B,0),MATCH("PWP Ability 1",PWP!$A$1:$Z$1,0))</f>
        <v>15 Hits = Overdamage</v>
      </c>
      <c r="K112" s="249" t="str">
        <f>+INDEX(PWP!$A:$Z,MATCH('PWP-Print'!E112,PWP!$B:$B,0),MATCH("Locked PWP Ability 1",PWP!$A$1:$Z$1,0))</f>
        <v>(Flame) 15 Hits = Overdamage</v>
      </c>
      <c r="M112" s="729" t="e" vm="1087">
        <f>_xlfn.IMAGE("https://natalie.tf/wp-content/uploads/2023/10/DLV3_Icon_ADV_"&amp;O113&amp;"_r05.png")</f>
        <v>#VALUE!</v>
      </c>
      <c r="O112" s="249" t="str">
        <f>"PWP-"&amp;B114</f>
        <v>PWP-065</v>
      </c>
      <c r="Q112" s="249" t="str">
        <f>+INDEX(PWP!$A:$Z,MATCH('PWP-Print'!O112,PWP!$B:$B,0),MATCH("Title",PWP!$A$1:$Z$1,0))</f>
        <v>Hopeless Narcissist</v>
      </c>
      <c r="S112" t="e" vm="496">
        <f>_xlfn.IMAGE("https://natalie.tf/wp-content/uploads/2023/10/DLV3_Icon_Ability_"&amp;INDEX('PWP-A'!$A$2:$C$31,MATCH('PWP-Print'!T112,'PWP-A'!$B$2:$B$31,0),1)&amp;".png")</f>
        <v>#VALUE!</v>
      </c>
      <c r="T112" s="229" t="str">
        <f>+INDEX(PWP!$A:$Z,MATCH('PWP-Print'!O112,PWP!$B:$B,0),MATCH("PWP Ability 1",PWP!$A$1:$Z$1,0))</f>
        <v>HP +15%</v>
      </c>
      <c r="U112" s="249" t="str">
        <f>+INDEX(PWP!$A:$Z,MATCH('PWP-Print'!O112,PWP!$B:$B,0),MATCH("Locked PWP Ability 1",PWP!$A$1:$Z$1,0))</f>
        <v>(Water) HP +15%</v>
      </c>
    </row>
    <row r="113" spans="1:21" ht="22.5" customHeight="1" x14ac:dyDescent="0.3">
      <c r="C113" s="729"/>
      <c r="D113" s="8"/>
      <c r="E113" s="200" t="str">
        <f>+INDEX(PWP!$A:$Z,MATCH('PWP-Print'!E112,PWP!$B:$B,0),MATCH("ID",PWP!$A$1:$Z$1,0))</f>
        <v>110337_03</v>
      </c>
      <c r="F113" s="8"/>
      <c r="G113" s="249" t="str">
        <f>+INDEX(PWP!$A:$Z,MATCH('PWP-Print'!E112,PWP!$B:$B,0),MATCH("Name",PWP!$A$1:$Z$1,0))</f>
        <v>Yukata Cassandra</v>
      </c>
      <c r="H113" s="8"/>
      <c r="I113" t="e" vm="426">
        <f>_xlfn.IMAGE("https://natalie.tf/wp-content/uploads/2023/10/DLV3_Icon_Ability_"&amp;INDEX('PWP-A'!$A$2:$C$31,MATCH('PWP-Print'!J113,'PWP-A'!$B$2:$B$31,0),1)&amp;".png")</f>
        <v>#VALUE!</v>
      </c>
      <c r="J113" s="229" t="str">
        <f>+INDEX(PWP!$A:$Z,MATCH('PWP-Print'!E112,PWP!$B:$B,0),MATCH("PWP Ability 2",PWP!$A$1:$Z$1,0))</f>
        <v>Defense +20%</v>
      </c>
      <c r="K113" s="249" t="str">
        <f>+INDEX(PWP!$A:$Z,MATCH('PWP-Print'!E112,PWP!$B:$B,0),MATCH("Locked PWP Ability 2",PWP!$A$1:$Z$1,0))</f>
        <v>(Flame) Defense +20%</v>
      </c>
      <c r="M113" s="729"/>
      <c r="N113" s="8"/>
      <c r="O113" s="200" t="str">
        <f>+INDEX(PWP!$A:$Z,MATCH('PWP-Print'!O112,PWP!$B:$B,0),MATCH("ID",PWP!$A$1:$Z$1,0))</f>
        <v>110015_01</v>
      </c>
      <c r="P113" s="8"/>
      <c r="Q113" s="249" t="str">
        <f>+INDEX(PWP!$A:$Z,MATCH('PWP-Print'!O112,PWP!$B:$B,0),MATCH("Name",PWP!$A$1:$Z$1,0))</f>
        <v>Zardin</v>
      </c>
      <c r="R113" s="8"/>
      <c r="S113" t="e" vm="802">
        <f>_xlfn.IMAGE("https://natalie.tf/wp-content/uploads/2023/10/DLV3_Icon_Ability_"&amp;INDEX('PWP-A'!$A$2:$C$31,MATCH('PWP-Print'!T113,'PWP-A'!$B$2:$B$31,0),1)&amp;".png")</f>
        <v>#VALUE!</v>
      </c>
      <c r="T113" s="229" t="str">
        <f>+INDEX(PWP!$A:$Z,MATCH('PWP-Print'!O112,PWP!$B:$B,0),MATCH("PWP Ability 2",PWP!$A$1:$Z$1,0))</f>
        <v>HP 70% = Shield +40%</v>
      </c>
      <c r="U113" s="249" t="str">
        <f>+INDEX(PWP!$A:$Z,MATCH('PWP-Print'!O112,PWP!$B:$B,0),MATCH("Locked PWP Ability 2",PWP!$A$1:$Z$1,0))</f>
        <v>(Water) HP 70% = Shield +40%</v>
      </c>
    </row>
    <row r="114" spans="1:21" ht="22.5" customHeight="1" x14ac:dyDescent="0.3">
      <c r="A114" s="244" t="str">
        <f>TEXT(A110+1,"000")</f>
        <v>052</v>
      </c>
      <c r="B114" s="244" t="str">
        <f>TEXT(B110+1,"000")</f>
        <v>065</v>
      </c>
      <c r="C114" s="729"/>
      <c r="E114" s="251" t="str">
        <f>+INDEX(PWP!$A:$Z,MATCH('PWP-Print'!E112,PWP!$B:$B,0),MATCH("Num",PWP!$A$1:$Z$1,0))</f>
        <v>A-052</v>
      </c>
      <c r="G114" s="249" t="str">
        <f>+INDEX(PWP!$A:$Z,MATCH('PWP-Print'!E112,PWP!$B:$B,0),MATCH("Element",PWP!$A$1:$Z$1,0))&amp;" "&amp;INDEX(PWP!$A:$Z,MATCH('PWP-Print'!E112,PWP!$B:$B,0),MATCH("Type",PWP!$A$1:$Z$1,0))&amp;" Adventurer"</f>
        <v>Flame Staff Adventurer</v>
      </c>
      <c r="K114" s="250"/>
      <c r="M114" s="729"/>
      <c r="O114" s="251" t="str">
        <f>+INDEX(PWP!$A:$Z,MATCH('PWP-Print'!O112,PWP!$B:$B,0),MATCH("Num",PWP!$A$1:$Z$1,0))</f>
        <v>A-065</v>
      </c>
      <c r="Q114" s="249" t="str">
        <f>+INDEX(PWP!$A:$Z,MATCH('PWP-Print'!O112,PWP!$B:$B,0),MATCH("Element",PWP!$A$1:$Z$1,0))&amp;" "&amp;INDEX(PWP!$A:$Z,MATCH('PWP-Print'!O112,PWP!$B:$B,0),MATCH("Type",PWP!$A$1:$Z$1,0))&amp;" Adventurer"</f>
        <v>Water Sword Adventurer</v>
      </c>
      <c r="U114" s="250"/>
    </row>
    <row r="115" spans="1:21" ht="7.5" customHeight="1" x14ac:dyDescent="0.3">
      <c r="A115" s="244" t="s">
        <v>10763</v>
      </c>
      <c r="E115" s="250"/>
      <c r="G115" s="250"/>
      <c r="K115" s="250"/>
      <c r="O115" s="250"/>
      <c r="Q115" s="250"/>
      <c r="U115" s="250"/>
    </row>
    <row r="116" spans="1:21" ht="22.5" customHeight="1" x14ac:dyDescent="0.3">
      <c r="C116" s="729" t="e" vm="1088">
        <f>_xlfn.IMAGE("https://natalie.tf/wp-content/uploads/2023/10/DLV3_Icon_ADV_"&amp;E117&amp;"_r05.png")</f>
        <v>#VALUE!</v>
      </c>
      <c r="E116" s="249" t="str">
        <f>"PWP-"&amp;A118</f>
        <v>PWP-053</v>
      </c>
      <c r="G116" s="249" t="str">
        <f>+INDEX(PWP!$A:$Z,MATCH('PWP-Print'!E116,PWP!$B:$B,0),MATCH("Title",PWP!$A$1:$Z$1,0))</f>
        <v>Rosy Saint</v>
      </c>
      <c r="I116" t="e" vm="496">
        <f>_xlfn.IMAGE("https://natalie.tf/wp-content/uploads/2023/10/DLV3_Icon_Ability_"&amp;INDEX('PWP-A'!$A$2:$C$31,MATCH('PWP-Print'!J116,'PWP-A'!$B$2:$B$31,0),1)&amp;".png")</f>
        <v>#VALUE!</v>
      </c>
      <c r="J116" s="229" t="str">
        <f>+INDEX(PWP!$A:$Z,MATCH('PWP-Print'!E116,PWP!$B:$B,0),MATCH("PWP Ability 1",PWP!$A$1:$Z$1,0))</f>
        <v>HP +15%</v>
      </c>
      <c r="K116" s="249" t="str">
        <f>+INDEX(PWP!$A:$Z,MATCH('PWP-Print'!E116,PWP!$B:$B,0),MATCH("Locked PWP Ability 1",PWP!$A$1:$Z$1,0))</f>
        <v>(Flame) HP +15%</v>
      </c>
      <c r="M116" s="729" t="e" vm="1089">
        <f>_xlfn.IMAGE("https://natalie.tf/wp-content/uploads/2023/10/DLV3_Icon_ADV_"&amp;O117&amp;"_r05.png")</f>
        <v>#VALUE!</v>
      </c>
      <c r="O116" s="249" t="str">
        <f>"PWP-"&amp;B118</f>
        <v>PWP-066</v>
      </c>
      <c r="Q116" s="249" t="str">
        <f>+INDEX(PWP!$A:$Z,MATCH('PWP-Print'!O116,PWP!$B:$B,0),MATCH("Title",PWP!$A$1:$Z$1,0))</f>
        <v>Commander of Five Wings</v>
      </c>
      <c r="S116" t="e" vm="1036">
        <f>_xlfn.IMAGE("https://natalie.tf/wp-content/uploads/2023/10/DLV3_Icon_Ability_"&amp;INDEX('PWP-A'!$A$2:$C$31,MATCH('PWP-Print'!T116,'PWP-A'!$B$2:$B$31,0),1)&amp;".png")</f>
        <v>#VALUE!</v>
      </c>
      <c r="T116" s="229" t="str">
        <f>+INDEX(PWP!$A:$Z,MATCH('PWP-Print'!O116,PWP!$B:$B,0),MATCH("PWP Ability 1",PWP!$A$1:$Z$1,0))</f>
        <v>15 Hits = Overdamage</v>
      </c>
      <c r="U116" s="249" t="str">
        <f>+INDEX(PWP!$A:$Z,MATCH('PWP-Print'!O116,PWP!$B:$B,0),MATCH("Locked PWP Ability 1",PWP!$A$1:$Z$1,0))</f>
        <v>(Water) 15 Hits = Overdamage</v>
      </c>
    </row>
    <row r="117" spans="1:21" ht="22.5" customHeight="1" x14ac:dyDescent="0.3">
      <c r="C117" s="729"/>
      <c r="D117" s="8"/>
      <c r="E117" s="200" t="str">
        <f>+INDEX(PWP!$A:$Z,MATCH('PWP-Print'!E116,PWP!$B:$B,0),MATCH("ID",PWP!$A$1:$Z$1,0))</f>
        <v>110043_02</v>
      </c>
      <c r="F117" s="8"/>
      <c r="G117" s="249" t="str">
        <f>+INDEX(PWP!$A:$Z,MATCH('PWP-Print'!E116,PWP!$B:$B,0),MATCH("Name",PWP!$A$1:$Z$1,0))</f>
        <v>Valentine's Hildegarde</v>
      </c>
      <c r="H117" s="8"/>
      <c r="I117" t="e" vm="426">
        <f>_xlfn.IMAGE("https://natalie.tf/wp-content/uploads/2023/10/DLV3_Icon_Ability_"&amp;INDEX('PWP-A'!$A$2:$C$31,MATCH('PWP-Print'!J117,'PWP-A'!$B$2:$B$31,0),1)&amp;".png")</f>
        <v>#VALUE!</v>
      </c>
      <c r="J117" s="229" t="str">
        <f>+INDEX(PWP!$A:$Z,MATCH('PWP-Print'!E116,PWP!$B:$B,0),MATCH("PWP Ability 2",PWP!$A$1:$Z$1,0))</f>
        <v>Defense +20%</v>
      </c>
      <c r="K117" s="249" t="str">
        <f>+INDEX(PWP!$A:$Z,MATCH('PWP-Print'!E116,PWP!$B:$B,0),MATCH("Locked PWP Ability 2",PWP!$A$1:$Z$1,0))</f>
        <v>(Flame) Defense +20%</v>
      </c>
      <c r="M117" s="729"/>
      <c r="N117" s="8"/>
      <c r="O117" s="200" t="str">
        <f>+INDEX(PWP!$A:$Z,MATCH('PWP-Print'!O116,PWP!$B:$B,0),MATCH("ID",PWP!$A$1:$Z$1,0))</f>
        <v>110395_01</v>
      </c>
      <c r="P117" s="8"/>
      <c r="Q117" s="249" t="str">
        <f>+INDEX(PWP!$A:$Z,MATCH('PWP-Print'!O116,PWP!$B:$B,0),MATCH("Name",PWP!$A$1:$Z$1,0))</f>
        <v>Regina</v>
      </c>
      <c r="R117" s="8"/>
      <c r="S117" t="e" vm="696">
        <f>_xlfn.IMAGE("https://natalie.tf/wp-content/uploads/2023/10/DLV3_Icon_Ability_"&amp;INDEX('PWP-A'!$A$2:$C$31,MATCH('PWP-Print'!T117,'PWP-A'!$B$2:$B$31,0),1)&amp;".png")</f>
        <v>#VALUE!</v>
      </c>
      <c r="T117" s="229" t="str">
        <f>+INDEX(PWP!$A:$Z,MATCH('PWP-Print'!O116,PWP!$B:$B,0),MATCH("PWP Ability 2",PWP!$A$1:$Z$1,0))</f>
        <v>Elemental Res +15%</v>
      </c>
      <c r="U117" s="249" t="str">
        <f>+INDEX(PWP!$A:$Z,MATCH('PWP-Print'!O116,PWP!$B:$B,0),MATCH("Locked PWP Ability 2",PWP!$A$1:$Z$1,0))</f>
        <v>(Water) Elemental Res +15%</v>
      </c>
    </row>
    <row r="118" spans="1:21" ht="22.5" customHeight="1" x14ac:dyDescent="0.3">
      <c r="A118" s="244" t="str">
        <f>TEXT(A114+1,"000")</f>
        <v>053</v>
      </c>
      <c r="B118" s="244" t="str">
        <f>TEXT(B114+1,"000")</f>
        <v>066</v>
      </c>
      <c r="C118" s="729"/>
      <c r="E118" s="251" t="str">
        <f>+INDEX(PWP!$A:$Z,MATCH('PWP-Print'!E116,PWP!$B:$B,0),MATCH("Num",PWP!$A$1:$Z$1,0))</f>
        <v>A-053</v>
      </c>
      <c r="G118" s="249" t="str">
        <f>+INDEX(PWP!$A:$Z,MATCH('PWP-Print'!E116,PWP!$B:$B,0),MATCH("Element",PWP!$A$1:$Z$1,0))&amp;" "&amp;INDEX(PWP!$A:$Z,MATCH('PWP-Print'!E116,PWP!$B:$B,0),MATCH("Type",PWP!$A$1:$Z$1,0))&amp;" Adventurer"</f>
        <v>Flame Staff Adventurer</v>
      </c>
      <c r="K118" s="250"/>
      <c r="M118" s="729"/>
      <c r="O118" s="251" t="str">
        <f>+INDEX(PWP!$A:$Z,MATCH('PWP-Print'!O116,PWP!$B:$B,0),MATCH("Num",PWP!$A$1:$Z$1,0))</f>
        <v>A-066</v>
      </c>
      <c r="Q118" s="249" t="str">
        <f>+INDEX(PWP!$A:$Z,MATCH('PWP-Print'!O116,PWP!$B:$B,0),MATCH("Element",PWP!$A$1:$Z$1,0))&amp;" "&amp;INDEX(PWP!$A:$Z,MATCH('PWP-Print'!O116,PWP!$B:$B,0),MATCH("Type",PWP!$A$1:$Z$1,0))&amp;" Adventurer"</f>
        <v>Water Blade Adventurer</v>
      </c>
      <c r="U118" s="250"/>
    </row>
    <row r="119" spans="1:21" ht="7.5" customHeight="1" x14ac:dyDescent="0.3">
      <c r="A119" s="244" t="s">
        <v>10763</v>
      </c>
      <c r="E119" s="250"/>
      <c r="G119" s="250"/>
      <c r="K119" s="250"/>
      <c r="O119" s="250"/>
      <c r="Q119" s="250"/>
      <c r="U119" s="250"/>
    </row>
    <row r="120" spans="1:21" ht="22.5" customHeight="1" x14ac:dyDescent="0.3">
      <c r="C120" s="729" t="e" vm="1090">
        <f>_xlfn.IMAGE("https://natalie.tf/wp-content/uploads/2023/10/DLV3_Icon_ADV_"&amp;E121&amp;"_r05.png")</f>
        <v>#VALUE!</v>
      </c>
      <c r="E120" s="249" t="str">
        <f>"PWP-"&amp;A122</f>
        <v>PWP-054</v>
      </c>
      <c r="G120" s="249" t="str">
        <f>+INDEX(PWP!$A:$Z,MATCH('PWP-Print'!E120,PWP!$B:$B,0),MATCH("Title",PWP!$A$1:$Z$1,0))</f>
        <v>Halloween Prankster</v>
      </c>
      <c r="I120" t="e" vm="496">
        <f>_xlfn.IMAGE("https://natalie.tf/wp-content/uploads/2023/10/DLV3_Icon_Ability_"&amp;INDEX('PWP-A'!$A$2:$C$31,MATCH('PWP-Print'!J120,'PWP-A'!$B$2:$B$31,0),1)&amp;".png")</f>
        <v>#VALUE!</v>
      </c>
      <c r="J120" s="229" t="str">
        <f>+INDEX(PWP!$A:$Z,MATCH('PWP-Print'!E120,PWP!$B:$B,0),MATCH("PWP Ability 1",PWP!$A$1:$Z$1,0))</f>
        <v>HP +15%</v>
      </c>
      <c r="K120" s="249" t="str">
        <f>+INDEX(PWP!$A:$Z,MATCH('PWP-Print'!E120,PWP!$B:$B,0),MATCH("Locked PWP Ability 1",PWP!$A$1:$Z$1,0))</f>
        <v>(Flame) HP +15%</v>
      </c>
      <c r="M120" s="729" t="e" vm="1091">
        <f>_xlfn.IMAGE("https://natalie.tf/wp-content/uploads/2023/10/DLV3_Icon_ADV_"&amp;O121&amp;"_r05.png")</f>
        <v>#VALUE!</v>
      </c>
      <c r="O120" s="249" t="str">
        <f>"PWP-"&amp;B122</f>
        <v>PWP-067</v>
      </c>
      <c r="Q120" s="249" t="str">
        <f>+INDEX(PWP!$A:$Z,MATCH('PWP-Print'!O120,PWP!$B:$B,0),MATCH("Title",PWP!$A$1:$Z$1,0))</f>
        <v>Pure-Hearted Android</v>
      </c>
      <c r="S120" t="e" vm="1036">
        <f>_xlfn.IMAGE("https://natalie.tf/wp-content/uploads/2023/10/DLV3_Icon_Ability_"&amp;INDEX('PWP-A'!$A$2:$C$31,MATCH('PWP-Print'!T120,'PWP-A'!$B$2:$B$31,0),1)&amp;".png")</f>
        <v>#VALUE!</v>
      </c>
      <c r="T120" s="229" t="str">
        <f>+INDEX(PWP!$A:$Z,MATCH('PWP-Print'!O120,PWP!$B:$B,0),MATCH("PWP Ability 1",PWP!$A$1:$Z$1,0))</f>
        <v>15 Hits = Overdamage</v>
      </c>
      <c r="U120" s="249" t="str">
        <f>+INDEX(PWP!$A:$Z,MATCH('PWP-Print'!O120,PWP!$B:$B,0),MATCH("Locked PWP Ability 1",PWP!$A$1:$Z$1,0))</f>
        <v>(Water) 15 Hits = Overdamage</v>
      </c>
    </row>
    <row r="121" spans="1:21" ht="22.5" customHeight="1" x14ac:dyDescent="0.3">
      <c r="C121" s="729"/>
      <c r="D121" s="8"/>
      <c r="E121" s="200" t="str">
        <f>+INDEX(PWP!$A:$Z,MATCH('PWP-Print'!E120,PWP!$B:$B,0),MATCH("ID",PWP!$A$1:$Z$1,0))</f>
        <v>110257_02</v>
      </c>
      <c r="F121" s="8"/>
      <c r="G121" s="249" t="str">
        <f>+INDEX(PWP!$A:$Z,MATCH('PWP-Print'!E120,PWP!$B:$B,0),MATCH("Name",PWP!$A$1:$Z$1,0))</f>
        <v>Halloween Lowen</v>
      </c>
      <c r="H121" s="8"/>
      <c r="I121" t="e" vm="349">
        <f>_xlfn.IMAGE("https://natalie.tf/wp-content/uploads/2023/10/DLV3_Icon_Ability_"&amp;INDEX('PWP-A'!$A$2:$C$31,MATCH('PWP-Print'!J121,'PWP-A'!$B$2:$B$31,0),1)&amp;".png")</f>
        <v>#VALUE!</v>
      </c>
      <c r="J121" s="229" t="str">
        <f>+INDEX(PWP!$A:$Z,MATCH('PWP-Print'!E120,PWP!$B:$B,0),MATCH("PWP Ability 2",PWP!$A$1:$Z$1,0))</f>
        <v>Recovery Potency +20%</v>
      </c>
      <c r="K121" s="249" t="str">
        <f>+INDEX(PWP!$A:$Z,MATCH('PWP-Print'!E120,PWP!$B:$B,0),MATCH("Locked PWP Ability 2",PWP!$A$1:$Z$1,0))</f>
        <v>(Flame) Recovery Potency +20%</v>
      </c>
      <c r="M121" s="729"/>
      <c r="N121" s="8"/>
      <c r="O121" s="200" t="str">
        <f>+INDEX(PWP!$A:$Z,MATCH('PWP-Print'!O120,PWP!$B:$B,0),MATCH("ID",PWP!$A$1:$Z$1,0))</f>
        <v>100045_01</v>
      </c>
      <c r="P121" s="8"/>
      <c r="Q121" s="249" t="str">
        <f>+INDEX(PWP!$A:$Z,MATCH('PWP-Print'!O120,PWP!$B:$B,0),MATCH("Name",PWP!$A$1:$Z$1,0))</f>
        <v>Gala Mascula</v>
      </c>
      <c r="R121" s="8"/>
      <c r="S121" t="e" vm="14">
        <f>_xlfn.IMAGE("https://natalie.tf/wp-content/uploads/2023/10/DLV3_Icon_Ability_"&amp;INDEX('PWP-A'!$A$2:$C$31,MATCH('PWP-Print'!T121,'PWP-A'!$B$2:$B$31,0),1)&amp;".png")</f>
        <v>#VALUE!</v>
      </c>
      <c r="T121" s="229" t="str">
        <f>+INDEX(PWP!$A:$Z,MATCH('PWP-Print'!O120,PWP!$B:$B,0),MATCH("PWP Ability 2",PWP!$A$1:$Z$1,0))</f>
        <v>Strength +20%</v>
      </c>
      <c r="U121" s="249" t="str">
        <f>+INDEX(PWP!$A:$Z,MATCH('PWP-Print'!O120,PWP!$B:$B,0),MATCH("Locked PWP Ability 2",PWP!$A$1:$Z$1,0))</f>
        <v>(Water) Strength +20%</v>
      </c>
    </row>
    <row r="122" spans="1:21" ht="22.5" customHeight="1" x14ac:dyDescent="0.3">
      <c r="A122" s="244" t="str">
        <f>TEXT(A118+1,"000")</f>
        <v>054</v>
      </c>
      <c r="B122" s="244" t="str">
        <f>TEXT(B118+1,"000")</f>
        <v>067</v>
      </c>
      <c r="C122" s="729"/>
      <c r="E122" s="251" t="str">
        <f>+INDEX(PWP!$A:$Z,MATCH('PWP-Print'!E120,PWP!$B:$B,0),MATCH("Num",PWP!$A$1:$Z$1,0))</f>
        <v>A-054</v>
      </c>
      <c r="G122" s="249" t="str">
        <f>+INDEX(PWP!$A:$Z,MATCH('PWP-Print'!E120,PWP!$B:$B,0),MATCH("Element",PWP!$A$1:$Z$1,0))&amp;" "&amp;INDEX(PWP!$A:$Z,MATCH('PWP-Print'!E120,PWP!$B:$B,0),MATCH("Type",PWP!$A$1:$Z$1,0))&amp;" Adventurer"</f>
        <v>Flame Staff Adventurer</v>
      </c>
      <c r="K122" s="250"/>
      <c r="M122" s="729"/>
      <c r="O122" s="251" t="str">
        <f>+INDEX(PWP!$A:$Z,MATCH('PWP-Print'!O120,PWP!$B:$B,0),MATCH("Num",PWP!$A$1:$Z$1,0))</f>
        <v>A-067</v>
      </c>
      <c r="Q122" s="249" t="str">
        <f>+INDEX(PWP!$A:$Z,MATCH('PWP-Print'!O120,PWP!$B:$B,0),MATCH("Element",PWP!$A$1:$Z$1,0))&amp;" "&amp;INDEX(PWP!$A:$Z,MATCH('PWP-Print'!O120,PWP!$B:$B,0),MATCH("Type",PWP!$A$1:$Z$1,0))&amp;" Adventurer"</f>
        <v>Water Blade Adventurer</v>
      </c>
      <c r="U122" s="250"/>
    </row>
    <row r="123" spans="1:21" ht="7.5" customHeight="1" x14ac:dyDescent="0.3">
      <c r="A123" s="244" t="s">
        <v>10763</v>
      </c>
      <c r="E123" s="250"/>
      <c r="G123" s="250"/>
      <c r="K123" s="250"/>
      <c r="O123" s="250"/>
      <c r="Q123" s="250"/>
      <c r="U123" s="250"/>
    </row>
    <row r="124" spans="1:21" ht="22.5" customHeight="1" x14ac:dyDescent="0.3">
      <c r="C124" s="729" t="e" vm="1092">
        <f>_xlfn.IMAGE("https://natalie.tf/wp-content/uploads/2023/10/DLV3_Icon_ADV_"&amp;E125&amp;"_r05.png")</f>
        <v>#VALUE!</v>
      </c>
      <c r="E124" s="249" t="str">
        <f>"PWP-"&amp;A126</f>
        <v>PWP-055</v>
      </c>
      <c r="G124" s="249" t="str">
        <f>+INDEX(PWP!$A:$Z,MATCH('PWP-Print'!E124,PWP!$B:$B,0),MATCH("Title",PWP!$A$1:$Z$1,0))</f>
        <v>Guiding Seer</v>
      </c>
      <c r="I124" t="e" vm="330">
        <f>_xlfn.IMAGE("https://natalie.tf/wp-content/uploads/2023/10/DLV3_Icon_Ability_"&amp;INDEX('PWP-A'!$A$2:$C$31,MATCH('PWP-Print'!J124,'PWP-A'!$B$2:$B$31,0),1)&amp;".png")</f>
        <v>#VALUE!</v>
      </c>
      <c r="J124" s="229" t="str">
        <f>+INDEX(PWP!$A:$Z,MATCH('PWP-Print'!E124,PWP!$B:$B,0),MATCH("PWP Ability 1",PWP!$A$1:$Z$1,0))</f>
        <v>Skill Haste +10%</v>
      </c>
      <c r="K124" s="249" t="str">
        <f>+INDEX(PWP!$A:$Z,MATCH('PWP-Print'!E124,PWP!$B:$B,0),MATCH("Locked PWP Ability 1",PWP!$A$1:$Z$1,0))</f>
        <v>(Flame) Skill Haste +10%</v>
      </c>
      <c r="M124" s="729" t="e" vm="1093">
        <f>_xlfn.IMAGE("https://natalie.tf/wp-content/uploads/2023/10/DLV3_Icon_ADV_"&amp;O125&amp;"_r05.png")</f>
        <v>#VALUE!</v>
      </c>
      <c r="O124" s="249" t="str">
        <f>"PWP-"&amp;B126</f>
        <v>PWP-068</v>
      </c>
      <c r="Q124" s="249" t="str">
        <f>+INDEX(PWP!$A:$Z,MATCH('PWP-Print'!O124,PWP!$B:$B,0),MATCH("Title",PWP!$A$1:$Z$1,0))</f>
        <v>Bloodthirsty One</v>
      </c>
      <c r="S124" t="e" vm="414">
        <f>_xlfn.IMAGE("https://natalie.tf/wp-content/uploads/2023/10/DLV3_Icon_Ability_"&amp;INDEX('PWP-A'!$A$2:$C$31,MATCH('PWP-Print'!T124,'PWP-A'!$B$2:$B$31,0),1)&amp;".png")</f>
        <v>#VALUE!</v>
      </c>
      <c r="T124" s="229" t="str">
        <f>+INDEX(PWP!$A:$Z,MATCH('PWP-Print'!O124,PWP!$B:$B,0),MATCH("PWP Ability 1",PWP!$A$1:$Z$1,0))</f>
        <v>Critical Damage +25%</v>
      </c>
      <c r="U124" s="249" t="str">
        <f>+INDEX(PWP!$A:$Z,MATCH('PWP-Print'!O124,PWP!$B:$B,0),MATCH("Locked PWP Ability 1",PWP!$A$1:$Z$1,0))</f>
        <v>(Water) Critical Damage +25%</v>
      </c>
    </row>
    <row r="125" spans="1:21" ht="22.5" customHeight="1" x14ac:dyDescent="0.3">
      <c r="C125" s="729"/>
      <c r="D125" s="8"/>
      <c r="E125" s="200" t="str">
        <f>+INDEX(PWP!$A:$Z,MATCH('PWP-Print'!E124,PWP!$B:$B,0),MATCH("ID",PWP!$A$1:$Z$1,0))</f>
        <v>110269_01</v>
      </c>
      <c r="F125" s="8"/>
      <c r="G125" s="249" t="str">
        <f>+INDEX(PWP!$A:$Z,MATCH('PWP-Print'!E124,PWP!$B:$B,0),MATCH("Name",PWP!$A$1:$Z$1,0))</f>
        <v>Verica</v>
      </c>
      <c r="H125" s="8"/>
      <c r="I125" t="e" vm="349">
        <f>_xlfn.IMAGE("https://natalie.tf/wp-content/uploads/2023/10/DLV3_Icon_Ability_"&amp;INDEX('PWP-A'!$A$2:$C$31,MATCH('PWP-Print'!J125,'PWP-A'!$B$2:$B$31,0),1)&amp;".png")</f>
        <v>#VALUE!</v>
      </c>
      <c r="J125" s="229" t="str">
        <f>+INDEX(PWP!$A:$Z,MATCH('PWP-Print'!E124,PWP!$B:$B,0),MATCH("PWP Ability 2",PWP!$A$1:$Z$1,0))</f>
        <v>Recovery Potency +20%</v>
      </c>
      <c r="K125" s="249" t="str">
        <f>+INDEX(PWP!$A:$Z,MATCH('PWP-Print'!E124,PWP!$B:$B,0),MATCH("Locked PWP Ability 2",PWP!$A$1:$Z$1,0))</f>
        <v>(Flame) Recovery Potency +20%</v>
      </c>
      <c r="M125" s="729"/>
      <c r="N125" s="8"/>
      <c r="O125" s="200" t="str">
        <f>+INDEX(PWP!$A:$Z,MATCH('PWP-Print'!O124,PWP!$B:$B,0),MATCH("ID",PWP!$A$1:$Z$1,0))</f>
        <v>110341_03</v>
      </c>
      <c r="P125" s="8"/>
      <c r="Q125" s="249" t="str">
        <f>+INDEX(PWP!$A:$Z,MATCH('PWP-Print'!O124,PWP!$B:$B,0),MATCH("Name",PWP!$A$1:$Z$1,0))</f>
        <v>Halloween Akasha</v>
      </c>
      <c r="R125" s="8"/>
      <c r="S125" t="e" vm="496">
        <f>_xlfn.IMAGE("https://natalie.tf/wp-content/uploads/2023/10/DLV3_Icon_Ability_"&amp;INDEX('PWP-A'!$A$2:$C$31,MATCH('PWP-Print'!T125,'PWP-A'!$B$2:$B$31,0),1)&amp;".png")</f>
        <v>#VALUE!</v>
      </c>
      <c r="T125" s="229" t="str">
        <f>+INDEX(PWP!$A:$Z,MATCH('PWP-Print'!O124,PWP!$B:$B,0),MATCH("PWP Ability 2",PWP!$A$1:$Z$1,0))</f>
        <v>HP +15%</v>
      </c>
      <c r="U125" s="249" t="str">
        <f>+INDEX(PWP!$A:$Z,MATCH('PWP-Print'!O124,PWP!$B:$B,0),MATCH("Locked PWP Ability 2",PWP!$A$1:$Z$1,0))</f>
        <v>(Water) HP +15%</v>
      </c>
    </row>
    <row r="126" spans="1:21" ht="22.5" customHeight="1" x14ac:dyDescent="0.3">
      <c r="A126" s="244" t="str">
        <f>TEXT(A122+1,"000")</f>
        <v>055</v>
      </c>
      <c r="B126" s="244" t="str">
        <f>TEXT(B122+1,"000")</f>
        <v>068</v>
      </c>
      <c r="C126" s="729"/>
      <c r="E126" s="251" t="str">
        <f>+INDEX(PWP!$A:$Z,MATCH('PWP-Print'!E124,PWP!$B:$B,0),MATCH("Num",PWP!$A$1:$Z$1,0))</f>
        <v>A-055</v>
      </c>
      <c r="G126" s="249" t="str">
        <f>+INDEX(PWP!$A:$Z,MATCH('PWP-Print'!E124,PWP!$B:$B,0),MATCH("Element",PWP!$A$1:$Z$1,0))&amp;" "&amp;INDEX(PWP!$A:$Z,MATCH('PWP-Print'!E124,PWP!$B:$B,0),MATCH("Type",PWP!$A$1:$Z$1,0))&amp;" Adventurer"</f>
        <v>Flame Staff Adventurer</v>
      </c>
      <c r="K126" s="250"/>
      <c r="M126" s="729"/>
      <c r="O126" s="251" t="str">
        <f>+INDEX(PWP!$A:$Z,MATCH('PWP-Print'!O124,PWP!$B:$B,0),MATCH("Num",PWP!$A$1:$Z$1,0))</f>
        <v>A-068</v>
      </c>
      <c r="Q126" s="249" t="str">
        <f>+INDEX(PWP!$A:$Z,MATCH('PWP-Print'!O124,PWP!$B:$B,0),MATCH("Element",PWP!$A$1:$Z$1,0))&amp;" "&amp;INDEX(PWP!$A:$Z,MATCH('PWP-Print'!O124,PWP!$B:$B,0),MATCH("Type",PWP!$A$1:$Z$1,0))&amp;" Adventurer"</f>
        <v>Water Blade Adventurer</v>
      </c>
      <c r="U126" s="250"/>
    </row>
    <row r="127" spans="1:21" ht="7.5" customHeight="1" x14ac:dyDescent="0.3">
      <c r="A127" s="244" t="s">
        <v>10763</v>
      </c>
      <c r="E127" s="250"/>
      <c r="G127" s="250"/>
      <c r="K127" s="250"/>
      <c r="O127" s="250"/>
      <c r="Q127" s="250"/>
      <c r="U127" s="250"/>
    </row>
    <row r="128" spans="1:21" ht="22.5" customHeight="1" x14ac:dyDescent="0.3">
      <c r="C128" s="729" t="e" vm="1094">
        <f>_xlfn.IMAGE("https://natalie.tf/wp-content/uploads/2023/10/DLV3_Icon_ADV_"&amp;E129&amp;"_r05.png")</f>
        <v>#VALUE!</v>
      </c>
      <c r="E128" s="249" t="str">
        <f>"PWP-"&amp;A130</f>
        <v>PWP-056</v>
      </c>
      <c r="G128" s="249" t="str">
        <f>+INDEX(PWP!$A:$Z,MATCH('PWP-Print'!E128,PWP!$B:$B,0),MATCH("Title",PWP!$A$1:$Z$1,0))</f>
        <v>Elegant Gambler</v>
      </c>
      <c r="I128" t="e" vm="14">
        <f>_xlfn.IMAGE("https://natalie.tf/wp-content/uploads/2023/10/DLV3_Icon_Ability_"&amp;INDEX('PWP-A'!$A$2:$C$31,MATCH('PWP-Print'!J128,'PWP-A'!$B$2:$B$31,0),1)&amp;".png")</f>
        <v>#VALUE!</v>
      </c>
      <c r="J128" s="229" t="str">
        <f>+INDEX(PWP!$A:$Z,MATCH('PWP-Print'!E128,PWP!$B:$B,0),MATCH("PWP Ability 1",PWP!$A$1:$Z$1,0))</f>
        <v>Strength +20%</v>
      </c>
      <c r="K128" s="249" t="str">
        <f>+INDEX(PWP!$A:$Z,MATCH('PWP-Print'!E128,PWP!$B:$B,0),MATCH("Locked PWP Ability 1",PWP!$A$1:$Z$1,0))</f>
        <v>(Flame) Strength +20%</v>
      </c>
      <c r="M128" s="729" t="e" vm="1095">
        <f>_xlfn.IMAGE("https://natalie.tf/wp-content/uploads/2023/10/DLV3_Icon_ADV_"&amp;O129&amp;"_r05.png")</f>
        <v>#VALUE!</v>
      </c>
      <c r="O128" s="249" t="str">
        <f>"PWP-"&amp;B130</f>
        <v>PWP-069</v>
      </c>
      <c r="Q128" s="249" t="str">
        <f>+INDEX(PWP!$A:$Z,MATCH('PWP-Print'!O128,PWP!$B:$B,0),MATCH("Title",PWP!$A$1:$Z$1,0))</f>
        <v>Dutiful Chef</v>
      </c>
      <c r="S128" t="e" vm="14">
        <f>_xlfn.IMAGE("https://natalie.tf/wp-content/uploads/2023/10/DLV3_Icon_Ability_"&amp;INDEX('PWP-A'!$A$2:$C$31,MATCH('PWP-Print'!T128,'PWP-A'!$B$2:$B$31,0),1)&amp;".png")</f>
        <v>#VALUE!</v>
      </c>
      <c r="T128" s="229" t="str">
        <f>+INDEX(PWP!$A:$Z,MATCH('PWP-Print'!O128,PWP!$B:$B,0),MATCH("PWP Ability 1",PWP!$A$1:$Z$1,0))</f>
        <v>Skill Damage +40%</v>
      </c>
      <c r="U128" s="249" t="str">
        <f>+INDEX(PWP!$A:$Z,MATCH('PWP-Print'!O128,PWP!$B:$B,0),MATCH("Locked PWP Ability 1",PWP!$A$1:$Z$1,0))</f>
        <v>(Water) Skill Damage +40%</v>
      </c>
    </row>
    <row r="129" spans="1:21" ht="22.5" customHeight="1" x14ac:dyDescent="0.3">
      <c r="C129" s="729"/>
      <c r="D129" s="8"/>
      <c r="E129" s="200" t="str">
        <f>+INDEX(PWP!$A:$Z,MATCH('PWP-Print'!E128,PWP!$B:$B,0),MATCH("ID",PWP!$A$1:$Z$1,0))</f>
        <v>110006_01</v>
      </c>
      <c r="F129" s="8"/>
      <c r="G129" s="249" t="str">
        <f>+INDEX(PWP!$A:$Z,MATCH('PWP-Print'!E128,PWP!$B:$B,0),MATCH("Name",PWP!$A$1:$Z$1,0))</f>
        <v>Aurien</v>
      </c>
      <c r="H129" s="8"/>
      <c r="I129" t="e" vm="349">
        <f>_xlfn.IMAGE("https://natalie.tf/wp-content/uploads/2023/10/DLV3_Icon_Ability_"&amp;INDEX('PWP-A'!$A$2:$C$31,MATCH('PWP-Print'!J129,'PWP-A'!$B$2:$B$31,0),1)&amp;".png")</f>
        <v>#VALUE!</v>
      </c>
      <c r="J129" s="229" t="str">
        <f>+INDEX(PWP!$A:$Z,MATCH('PWP-Print'!E128,PWP!$B:$B,0),MATCH("PWP Ability 2",PWP!$A$1:$Z$1,0))</f>
        <v>Recovery Potency +20%</v>
      </c>
      <c r="K129" s="249" t="str">
        <f>+INDEX(PWP!$A:$Z,MATCH('PWP-Print'!E128,PWP!$B:$B,0),MATCH("Locked PWP Ability 2",PWP!$A$1:$Z$1,0))</f>
        <v>(Flame) Recovery Potency +20%</v>
      </c>
      <c r="M129" s="729"/>
      <c r="N129" s="8"/>
      <c r="O129" s="200" t="str">
        <f>+INDEX(PWP!$A:$Z,MATCH('PWP-Print'!O128,PWP!$B:$B,0),MATCH("ID",PWP!$A$1:$Z$1,0))</f>
        <v>110295_01</v>
      </c>
      <c r="P129" s="8"/>
      <c r="Q129" s="249" t="str">
        <f>+INDEX(PWP!$A:$Z,MATCH('PWP-Print'!O128,PWP!$B:$B,0),MATCH("Name",PWP!$A$1:$Z$1,0))</f>
        <v>Valerio</v>
      </c>
      <c r="R129" s="8"/>
      <c r="S129" t="e" vm="496">
        <f>_xlfn.IMAGE("https://natalie.tf/wp-content/uploads/2023/10/DLV3_Icon_Ability_"&amp;INDEX('PWP-A'!$A$2:$C$31,MATCH('PWP-Print'!T129,'PWP-A'!$B$2:$B$31,0),1)&amp;".png")</f>
        <v>#VALUE!</v>
      </c>
      <c r="T129" s="229" t="str">
        <f>+INDEX(PWP!$A:$Z,MATCH('PWP-Print'!O128,PWP!$B:$B,0),MATCH("PWP Ability 2",PWP!$A$1:$Z$1,0))</f>
        <v>HP +15%</v>
      </c>
      <c r="U129" s="249" t="str">
        <f>+INDEX(PWP!$A:$Z,MATCH('PWP-Print'!O128,PWP!$B:$B,0),MATCH("Locked PWP Ability 2",PWP!$A$1:$Z$1,0))</f>
        <v>(Water) HP +15%</v>
      </c>
    </row>
    <row r="130" spans="1:21" ht="22.5" customHeight="1" x14ac:dyDescent="0.3">
      <c r="A130" s="244" t="str">
        <f>TEXT(A126+1,"000")</f>
        <v>056</v>
      </c>
      <c r="B130" s="244" t="str">
        <f>TEXT(B126+1,"000")</f>
        <v>069</v>
      </c>
      <c r="C130" s="729"/>
      <c r="E130" s="251" t="str">
        <f>+INDEX(PWP!$A:$Z,MATCH('PWP-Print'!E128,PWP!$B:$B,0),MATCH("Num",PWP!$A$1:$Z$1,0))</f>
        <v>A-056</v>
      </c>
      <c r="G130" s="249" t="str">
        <f>+INDEX(PWP!$A:$Z,MATCH('PWP-Print'!E128,PWP!$B:$B,0),MATCH("Element",PWP!$A$1:$Z$1,0))&amp;" "&amp;INDEX(PWP!$A:$Z,MATCH('PWP-Print'!E128,PWP!$B:$B,0),MATCH("Type",PWP!$A$1:$Z$1,0))&amp;" Adventurer"</f>
        <v>Flame Staff Adventurer</v>
      </c>
      <c r="K130" s="250"/>
      <c r="M130" s="729"/>
      <c r="O130" s="251" t="str">
        <f>+INDEX(PWP!$A:$Z,MATCH('PWP-Print'!O128,PWP!$B:$B,0),MATCH("Num",PWP!$A$1:$Z$1,0))</f>
        <v>A-069</v>
      </c>
      <c r="Q130" s="249" t="str">
        <f>+INDEX(PWP!$A:$Z,MATCH('PWP-Print'!O128,PWP!$B:$B,0),MATCH("Element",PWP!$A$1:$Z$1,0))&amp;" "&amp;INDEX(PWP!$A:$Z,MATCH('PWP-Print'!O128,PWP!$B:$B,0),MATCH("Type",PWP!$A$1:$Z$1,0))&amp;" Adventurer"</f>
        <v>Water Blade Adventurer</v>
      </c>
      <c r="U130" s="250"/>
    </row>
    <row r="131" spans="1:21" ht="7.5" customHeight="1" x14ac:dyDescent="0.3">
      <c r="A131" s="244" t="s">
        <v>10763</v>
      </c>
      <c r="E131" s="250"/>
      <c r="G131" s="250"/>
      <c r="K131" s="250"/>
      <c r="O131" s="250"/>
      <c r="Q131" s="250"/>
      <c r="U131" s="250"/>
    </row>
    <row r="132" spans="1:21" ht="22.5" customHeight="1" x14ac:dyDescent="0.3">
      <c r="C132" s="729" t="e" vm="1096">
        <f>_xlfn.IMAGE("https://natalie.tf/wp-content/uploads/2023/10/DLV3_Icon_ADV_"&amp;E133&amp;"_r05.png")</f>
        <v>#VALUE!</v>
      </c>
      <c r="E132" s="249" t="str">
        <f>"PWP-"&amp;A134</f>
        <v>PWP-057</v>
      </c>
      <c r="G132" s="249" t="str">
        <f>+INDEX(PWP!$A:$Z,MATCH('PWP-Print'!E132,PWP!$B:$B,0),MATCH("Title",PWP!$A$1:$Z$1,0))</f>
        <v>Blessed Alchemist</v>
      </c>
      <c r="I132" t="e" vm="14">
        <f>_xlfn.IMAGE("https://natalie.tf/wp-content/uploads/2023/10/DLV3_Icon_Ability_"&amp;INDEX('PWP-A'!$A$2:$C$31,MATCH('PWP-Print'!J132,'PWP-A'!$B$2:$B$31,0),1)&amp;".png")</f>
        <v>#VALUE!</v>
      </c>
      <c r="J132" s="229" t="str">
        <f>+INDEX(PWP!$A:$Z,MATCH('PWP-Print'!E132,PWP!$B:$B,0),MATCH("PWP Ability 1",PWP!$A$1:$Z$1,0))</f>
        <v>Strength +20%</v>
      </c>
      <c r="K132" s="249" t="str">
        <f>+INDEX(PWP!$A:$Z,MATCH('PWP-Print'!E132,PWP!$B:$B,0),MATCH("Locked PWP Ability 1",PWP!$A$1:$Z$1,0))</f>
        <v>(Flame) Strength +20%</v>
      </c>
      <c r="M132" s="729" t="e" vm="1097">
        <f>_xlfn.IMAGE("https://natalie.tf/wp-content/uploads/2023/10/DLV3_Icon_ADV_"&amp;O133&amp;"_r05.png")</f>
        <v>#VALUE!</v>
      </c>
      <c r="O132" s="249" t="str">
        <f>"PWP-"&amp;B134</f>
        <v>PWP-070</v>
      </c>
      <c r="Q132" s="249" t="str">
        <f>+INDEX(PWP!$A:$Z,MATCH('PWP-Print'!O132,PWP!$B:$B,0),MATCH("Title",PWP!$A$1:$Z$1,0))</f>
        <v>Grillmaster</v>
      </c>
      <c r="S132" t="e" vm="688">
        <f>_xlfn.IMAGE("https://natalie.tf/wp-content/uploads/2023/10/DLV3_Icon_Ability_"&amp;INDEX('PWP-A'!$A$2:$C$31,MATCH('PWP-Print'!T132,'PWP-A'!$B$2:$B$31,0),1)&amp;".png")</f>
        <v>#VALUE!</v>
      </c>
      <c r="T132" s="229" t="str">
        <f>+INDEX(PWP!$A:$Z,MATCH('PWP-Print'!O132,PWP!$B:$B,0),MATCH("PWP Ability 1",PWP!$A$1:$Z$1,0))</f>
        <v>Overdrive Punisher +15%</v>
      </c>
      <c r="U132" s="249" t="str">
        <f>+INDEX(PWP!$A:$Z,MATCH('PWP-Print'!O132,PWP!$B:$B,0),MATCH("Locked PWP Ability 1",PWP!$A$1:$Z$1,0))</f>
        <v>(Water) Overdrive Punisher +15%</v>
      </c>
    </row>
    <row r="133" spans="1:21" ht="22.5" customHeight="1" x14ac:dyDescent="0.3">
      <c r="C133" s="729"/>
      <c r="D133" s="8"/>
      <c r="E133" s="200" t="str">
        <f>+INDEX(PWP!$A:$Z,MATCH('PWP-Print'!E132,PWP!$B:$B,0),MATCH("ID",PWP!$A$1:$Z$1,0))</f>
        <v>110367_03</v>
      </c>
      <c r="F133" s="8"/>
      <c r="G133" s="249" t="str">
        <f>+INDEX(PWP!$A:$Z,MATCH('PWP-Print'!E132,PWP!$B:$B,0),MATCH("Name",PWP!$A$1:$Z$1,0))</f>
        <v>Dragonyule Ilia</v>
      </c>
      <c r="H133" s="8"/>
      <c r="I133" t="e" vm="688">
        <f>_xlfn.IMAGE("https://natalie.tf/wp-content/uploads/2023/10/DLV3_Icon_Ability_"&amp;INDEX('PWP-A'!$A$2:$C$31,MATCH('PWP-Print'!J133,'PWP-A'!$B$2:$B$31,0),1)&amp;".png")</f>
        <v>#VALUE!</v>
      </c>
      <c r="J133" s="229" t="str">
        <f>+INDEX(PWP!$A:$Z,MATCH('PWP-Print'!E132,PWP!$B:$B,0),MATCH("PWP Ability 2",PWP!$A$1:$Z$1,0))</f>
        <v>Overdrive Punisher +15%</v>
      </c>
      <c r="K133" s="249" t="str">
        <f>+INDEX(PWP!$A:$Z,MATCH('PWP-Print'!E132,PWP!$B:$B,0),MATCH("Locked PWP Ability 2",PWP!$A$1:$Z$1,0))</f>
        <v>(Flame) Overdrive Punisher +15%</v>
      </c>
      <c r="M133" s="729"/>
      <c r="N133" s="8"/>
      <c r="O133" s="200" t="str">
        <f>+INDEX(PWP!$A:$Z,MATCH('PWP-Print'!O132,PWP!$B:$B,0),MATCH("ID",PWP!$A$1:$Z$1,0))</f>
        <v>100003_02</v>
      </c>
      <c r="P133" s="8"/>
      <c r="Q133" s="249" t="str">
        <f>+INDEX(PWP!$A:$Z,MATCH('PWP-Print'!O132,PWP!$B:$B,0),MATCH("Name",PWP!$A$1:$Z$1,0))</f>
        <v>Summer Ranzal</v>
      </c>
      <c r="R133" s="8"/>
      <c r="S133" t="e" vm="696">
        <f>_xlfn.IMAGE("https://natalie.tf/wp-content/uploads/2023/10/DLV3_Icon_Ability_"&amp;INDEX('PWP-A'!$A$2:$C$31,MATCH('PWP-Print'!T133,'PWP-A'!$B$2:$B$31,0),1)&amp;".png")</f>
        <v>#VALUE!</v>
      </c>
      <c r="T133" s="229" t="str">
        <f>+INDEX(PWP!$A:$Z,MATCH('PWP-Print'!O132,PWP!$B:$B,0),MATCH("PWP Ability 2",PWP!$A$1:$Z$1,0))</f>
        <v>Elemental Res +15%</v>
      </c>
      <c r="U133" s="249" t="str">
        <f>+INDEX(PWP!$A:$Z,MATCH('PWP-Print'!O132,PWP!$B:$B,0),MATCH("Locked PWP Ability 2",PWP!$A$1:$Z$1,0))</f>
        <v>(Water) Elemental Res +15%</v>
      </c>
    </row>
    <row r="134" spans="1:21" ht="22.5" customHeight="1" x14ac:dyDescent="0.3">
      <c r="A134" s="244" t="str">
        <f>TEXT(A130+1,"000")</f>
        <v>057</v>
      </c>
      <c r="B134" s="244" t="str">
        <f>TEXT(B130+1,"000")</f>
        <v>070</v>
      </c>
      <c r="C134" s="729"/>
      <c r="E134" s="251" t="str">
        <f>+INDEX(PWP!$A:$Z,MATCH('PWP-Print'!E132,PWP!$B:$B,0),MATCH("Num",PWP!$A$1:$Z$1,0))</f>
        <v>A-057</v>
      </c>
      <c r="G134" s="249" t="str">
        <f>+INDEX(PWP!$A:$Z,MATCH('PWP-Print'!E132,PWP!$B:$B,0),MATCH("Element",PWP!$A$1:$Z$1,0))&amp;" "&amp;INDEX(PWP!$A:$Z,MATCH('PWP-Print'!E132,PWP!$B:$B,0),MATCH("Type",PWP!$A$1:$Z$1,0))&amp;" Adventurer"</f>
        <v>Flame Manacaster Adventurer</v>
      </c>
      <c r="K134" s="250"/>
      <c r="M134" s="729"/>
      <c r="O134" s="251" t="str">
        <f>+INDEX(PWP!$A:$Z,MATCH('PWP-Print'!O132,PWP!$B:$B,0),MATCH("Num",PWP!$A$1:$Z$1,0))</f>
        <v>A-070</v>
      </c>
      <c r="Q134" s="249" t="str">
        <f>+INDEX(PWP!$A:$Z,MATCH('PWP-Print'!O132,PWP!$B:$B,0),MATCH("Element",PWP!$A$1:$Z$1,0))&amp;" "&amp;INDEX(PWP!$A:$Z,MATCH('PWP-Print'!O132,PWP!$B:$B,0),MATCH("Type",PWP!$A$1:$Z$1,0))&amp;" Adventurer"</f>
        <v>Water Blade Adventurer</v>
      </c>
      <c r="U134" s="250"/>
    </row>
    <row r="135" spans="1:21" ht="7.5" customHeight="1" x14ac:dyDescent="0.3">
      <c r="A135" s="244" t="s">
        <v>10763</v>
      </c>
      <c r="E135" s="250"/>
      <c r="G135" s="250"/>
      <c r="K135" s="250"/>
      <c r="O135" s="250"/>
      <c r="Q135" s="250"/>
      <c r="U135" s="250"/>
    </row>
    <row r="136" spans="1:21" ht="22.5" customHeight="1" x14ac:dyDescent="0.3">
      <c r="C136" s="729" t="e" vm="1098">
        <f>_xlfn.IMAGE("https://natalie.tf/wp-content/uploads/2023/10/DLV3_Icon_ADV_"&amp;E137&amp;"_r05.png")</f>
        <v>#VALUE!</v>
      </c>
      <c r="E136" s="249" t="str">
        <f>"PWP-"&amp;A138</f>
        <v>PWP-058</v>
      </c>
      <c r="G136" s="249" t="str">
        <f>+INDEX(PWP!$A:$Z,MATCH('PWP-Print'!E136,PWP!$B:$B,0),MATCH("Title",PWP!$A$1:$Z$1,0))</f>
        <v>The Wing of Righteousness</v>
      </c>
      <c r="I136" t="e" vm="1036">
        <f>_xlfn.IMAGE("https://natalie.tf/wp-content/uploads/2023/10/DLV3_Icon_Ability_"&amp;INDEX('PWP-A'!$A$2:$C$31,MATCH('PWP-Print'!J136,'PWP-A'!$B$2:$B$31,0),1)&amp;".png")</f>
        <v>#VALUE!</v>
      </c>
      <c r="J136" s="229" t="str">
        <f>+INDEX(PWP!$A:$Z,MATCH('PWP-Print'!E136,PWP!$B:$B,0),MATCH("PWP Ability 1",PWP!$A$1:$Z$1,0))</f>
        <v>15 Hits = Overdamage</v>
      </c>
      <c r="K136" s="249" t="str">
        <f>+INDEX(PWP!$A:$Z,MATCH('PWP-Print'!E136,PWP!$B:$B,0),MATCH("Locked PWP Ability 1",PWP!$A$1:$Z$1,0))</f>
        <v>(Flame) 15 Hits = Overdamage</v>
      </c>
      <c r="M136" s="729" t="e" vm="1099">
        <f>_xlfn.IMAGE("https://natalie.tf/wp-content/uploads/2023/10/DLV3_Icon_ADV_"&amp;O137&amp;"_r05.png")</f>
        <v>#VALUE!</v>
      </c>
      <c r="O136" s="249" t="str">
        <f>"PWP-"&amp;B138</f>
        <v>PWP-071</v>
      </c>
      <c r="Q136" s="249" t="str">
        <f>+INDEX(PWP!$A:$Z,MATCH('PWP-Print'!O136,PWP!$B:$B,0),MATCH("Title",PWP!$A$1:$Z$1,0))</f>
        <v>Hot-Blooded Instructor</v>
      </c>
      <c r="S136" t="e" vm="688">
        <f>_xlfn.IMAGE("https://natalie.tf/wp-content/uploads/2023/10/DLV3_Icon_Ability_"&amp;INDEX('PWP-A'!$A$2:$C$31,MATCH('PWP-Print'!T136,'PWP-A'!$B$2:$B$31,0),1)&amp;".png")</f>
        <v>#VALUE!</v>
      </c>
      <c r="T136" s="229" t="str">
        <f>+INDEX(PWP!$A:$Z,MATCH('PWP-Print'!O136,PWP!$B:$B,0),MATCH("PWP Ability 1",PWP!$A$1:$Z$1,0))</f>
        <v>Overdrive Punisher +15%</v>
      </c>
      <c r="U136" s="249" t="str">
        <f>+INDEX(PWP!$A:$Z,MATCH('PWP-Print'!O136,PWP!$B:$B,0),MATCH("Locked PWP Ability 1",PWP!$A$1:$Z$1,0))</f>
        <v>(Water) Overdrive Punisher +15%</v>
      </c>
    </row>
    <row r="137" spans="1:21" ht="22.5" customHeight="1" x14ac:dyDescent="0.3">
      <c r="C137" s="729"/>
      <c r="D137" s="8"/>
      <c r="E137" s="200" t="str">
        <f>+INDEX(PWP!$A:$Z,MATCH('PWP-Print'!E136,PWP!$B:$B,0),MATCH("ID",PWP!$A$1:$Z$1,0))</f>
        <v>110382_01</v>
      </c>
      <c r="F137" s="8"/>
      <c r="G137" s="249" t="str">
        <f>+INDEX(PWP!$A:$Z,MATCH('PWP-Print'!E136,PWP!$B:$B,0),MATCH("Name",PWP!$A$1:$Z$1,0))</f>
        <v>Faris</v>
      </c>
      <c r="H137" s="8"/>
      <c r="I137" t="e" vm="688">
        <f>_xlfn.IMAGE("https://natalie.tf/wp-content/uploads/2023/10/DLV3_Icon_Ability_"&amp;INDEX('PWP-A'!$A$2:$C$31,MATCH('PWP-Print'!J137,'PWP-A'!$B$2:$B$31,0),1)&amp;".png")</f>
        <v>#VALUE!</v>
      </c>
      <c r="J137" s="229" t="str">
        <f>+INDEX(PWP!$A:$Z,MATCH('PWP-Print'!E136,PWP!$B:$B,0),MATCH("PWP Ability 2",PWP!$A$1:$Z$1,0))</f>
        <v>Overdrive Punisher +15%</v>
      </c>
      <c r="K137" s="249" t="str">
        <f>+INDEX(PWP!$A:$Z,MATCH('PWP-Print'!E136,PWP!$B:$B,0),MATCH("Locked PWP Ability 2",PWP!$A$1:$Z$1,0))</f>
        <v>(Flame) Overdrive Punisher +15%</v>
      </c>
      <c r="M137" s="729"/>
      <c r="N137" s="8"/>
      <c r="O137" s="200" t="str">
        <f>+INDEX(PWP!$A:$Z,MATCH('PWP-Print'!O136,PWP!$B:$B,0),MATCH("ID",PWP!$A$1:$Z$1,0))</f>
        <v>110255_01</v>
      </c>
      <c r="P137" s="8"/>
      <c r="Q137" s="249" t="str">
        <f>+INDEX(PWP!$A:$Z,MATCH('PWP-Print'!O136,PWP!$B:$B,0),MATCH("Name",PWP!$A$1:$Z$1,0))</f>
        <v>Celliera</v>
      </c>
      <c r="R137" s="8"/>
      <c r="S137" t="e" vm="1045">
        <f>_xlfn.IMAGE("https://natalie.tf/wp-content/uploads/2023/10/DLV3_Icon_Ability_"&amp;INDEX('PWP-A'!$A$2:$C$31,MATCH('PWP-Print'!T137,'PWP-A'!$B$2:$B$31,0),1)&amp;".png")</f>
        <v>#VALUE!</v>
      </c>
      <c r="T137" s="229" t="str">
        <f>+INDEX(PWP!$A:$Z,MATCH('PWP-Print'!O136,PWP!$B:$B,0),MATCH("PWP Ability 2",PWP!$A$1:$Z$1,0))</f>
        <v>Attack Rate +20%</v>
      </c>
      <c r="U137" s="249" t="str">
        <f>+INDEX(PWP!$A:$Z,MATCH('PWP-Print'!O136,PWP!$B:$B,0),MATCH("Locked PWP Ability 2",PWP!$A$1:$Z$1,0))</f>
        <v>(Water) Attack Rate +20%</v>
      </c>
    </row>
    <row r="138" spans="1:21" ht="22.5" customHeight="1" x14ac:dyDescent="0.3">
      <c r="A138" s="244" t="str">
        <f>TEXT(A134+1,"000")</f>
        <v>058</v>
      </c>
      <c r="B138" s="244" t="str">
        <f>TEXT(B134+1,"000")</f>
        <v>071</v>
      </c>
      <c r="C138" s="729"/>
      <c r="E138" s="251" t="str">
        <f>+INDEX(PWP!$A:$Z,MATCH('PWP-Print'!E136,PWP!$B:$B,0),MATCH("Num",PWP!$A$1:$Z$1,0))</f>
        <v>A-058</v>
      </c>
      <c r="G138" s="249" t="str">
        <f>+INDEX(PWP!$A:$Z,MATCH('PWP-Print'!E136,PWP!$B:$B,0),MATCH("Element",PWP!$A$1:$Z$1,0))&amp;" "&amp;INDEX(PWP!$A:$Z,MATCH('PWP-Print'!E136,PWP!$B:$B,0),MATCH("Type",PWP!$A$1:$Z$1,0))&amp;" Adventurer"</f>
        <v>Flame Manacaster Adventurer</v>
      </c>
      <c r="K138" s="250"/>
      <c r="M138" s="729"/>
      <c r="O138" s="251" t="str">
        <f>+INDEX(PWP!$A:$Z,MATCH('PWP-Print'!O136,PWP!$B:$B,0),MATCH("Num",PWP!$A$1:$Z$1,0))</f>
        <v>A-071</v>
      </c>
      <c r="Q138" s="249" t="str">
        <f>+INDEX(PWP!$A:$Z,MATCH('PWP-Print'!O136,PWP!$B:$B,0),MATCH("Element",PWP!$A$1:$Z$1,0))&amp;" "&amp;INDEX(PWP!$A:$Z,MATCH('PWP-Print'!O136,PWP!$B:$B,0),MATCH("Type",PWP!$A$1:$Z$1,0))&amp;" Adventurer"</f>
        <v>Water Blade Adventurer</v>
      </c>
      <c r="U138" s="250"/>
    </row>
    <row r="139" spans="1:21" ht="7.5" customHeight="1" x14ac:dyDescent="0.3">
      <c r="A139" s="244" t="s">
        <v>10763</v>
      </c>
      <c r="E139" s="250"/>
      <c r="G139" s="250"/>
      <c r="K139" s="250"/>
      <c r="O139" s="250"/>
      <c r="Q139" s="250"/>
      <c r="U139" s="250"/>
    </row>
    <row r="140" spans="1:21" ht="22.5" customHeight="1" x14ac:dyDescent="0.3">
      <c r="C140" s="729" t="e" vm="1100">
        <f>_xlfn.IMAGE("https://natalie.tf/wp-content/uploads/2023/10/DLV3_Icon_ADV_"&amp;E141&amp;"_r05.png")</f>
        <v>#VALUE!</v>
      </c>
      <c r="E140" s="249" t="str">
        <f>"PWP-"&amp;A142</f>
        <v>PWP-059</v>
      </c>
      <c r="G140" s="249" t="str">
        <f>+INDEX(PWP!$A:$Z,MATCH('PWP-Print'!E140,PWP!$B:$B,0),MATCH("Title",PWP!$A$1:$Z$1,0))</f>
        <v>Lord of the New Path</v>
      </c>
      <c r="I140" t="e" vm="1036">
        <f>_xlfn.IMAGE("https://natalie.tf/wp-content/uploads/2023/10/DLV3_Icon_Ability_"&amp;INDEX('PWP-A'!$A$2:$C$31,MATCH('PWP-Print'!J140,'PWP-A'!$B$2:$B$31,0),1)&amp;".png")</f>
        <v>#VALUE!</v>
      </c>
      <c r="J140" s="229" t="str">
        <f>+INDEX(PWP!$A:$Z,MATCH('PWP-Print'!E140,PWP!$B:$B,0),MATCH("PWP Ability 1",PWP!$A$1:$Z$1,0))</f>
        <v>15 Hits = Overdamage</v>
      </c>
      <c r="K140" s="249" t="str">
        <f>+INDEX(PWP!$A:$Z,MATCH('PWP-Print'!E140,PWP!$B:$B,0),MATCH("Locked PWP Ability 1",PWP!$A$1:$Z$1,0))</f>
        <v>(Flame) 15 Hits = Overdamage</v>
      </c>
      <c r="M140" s="729" t="e" vm="1101">
        <f>_xlfn.IMAGE("https://natalie.tf/wp-content/uploads/2023/10/DLV3_Icon_ADV_"&amp;O141&amp;"_r05.png")</f>
        <v>#VALUE!</v>
      </c>
      <c r="O140" s="249" t="str">
        <f>"PWP-"&amp;B142</f>
        <v>PWP-072</v>
      </c>
      <c r="Q140" s="249" t="str">
        <f>+INDEX(PWP!$A:$Z,MATCH('PWP-Print'!O140,PWP!$B:$B,0),MATCH("Title",PWP!$A$1:$Z$1,0))</f>
        <v>Solemn Stalwart</v>
      </c>
      <c r="S140" t="e" vm="330">
        <f>_xlfn.IMAGE("https://natalie.tf/wp-content/uploads/2023/10/DLV3_Icon_Ability_"&amp;INDEX('PWP-A'!$A$2:$C$31,MATCH('PWP-Print'!T140,'PWP-A'!$B$2:$B$31,0),1)&amp;".png")</f>
        <v>#VALUE!</v>
      </c>
      <c r="T140" s="229" t="str">
        <f>+INDEX(PWP!$A:$Z,MATCH('PWP-Print'!O140,PWP!$B:$B,0),MATCH("PWP Ability 1",PWP!$A$1:$Z$1,0))</f>
        <v>Skill Haste +10%</v>
      </c>
      <c r="U140" s="249" t="str">
        <f>+INDEX(PWP!$A:$Z,MATCH('PWP-Print'!O140,PWP!$B:$B,0),MATCH("Locked PWP Ability 1",PWP!$A$1:$Z$1,0))</f>
        <v>(Water) Skill Haste +10%</v>
      </c>
    </row>
    <row r="141" spans="1:21" ht="22.5" customHeight="1" x14ac:dyDescent="0.3">
      <c r="C141" s="729"/>
      <c r="D141" s="8"/>
      <c r="E141" s="200" t="str">
        <f>+INDEX(PWP!$A:$Z,MATCH('PWP-Print'!E140,PWP!$B:$B,0),MATCH("ID",PWP!$A$1:$Z$1,0))</f>
        <v>100013_04</v>
      </c>
      <c r="F141" s="8"/>
      <c r="G141" s="249" t="str">
        <f>+INDEX(PWP!$A:$Z,MATCH('PWP-Print'!E140,PWP!$B:$B,0),MATCH("Name",PWP!$A$1:$Z$1,0))</f>
        <v>Gala Leonidas</v>
      </c>
      <c r="H141" s="8"/>
      <c r="I141" t="e" vm="7">
        <f>_xlfn.IMAGE("https://natalie.tf/wp-content/uploads/2023/10/DLV3_Icon_Ability_"&amp;INDEX('PWP-A'!$A$2:$C$31,MATCH('PWP-Print'!J141,'PWP-A'!$B$2:$B$31,0),1)&amp;".png")</f>
        <v>#VALUE!</v>
      </c>
      <c r="J141" s="229" t="str">
        <f>+INDEX(PWP!$A:$Z,MATCH('PWP-Print'!E140,PWP!$B:$B,0),MATCH("PWP Ability 2",PWP!$A$1:$Z$1,0))</f>
        <v>Force Strike +50%</v>
      </c>
      <c r="K141" s="249" t="str">
        <f>+INDEX(PWP!$A:$Z,MATCH('PWP-Print'!E140,PWP!$B:$B,0),MATCH("Locked PWP Ability 2",PWP!$A$1:$Z$1,0))</f>
        <v>(Flame) Force Strike +50%</v>
      </c>
      <c r="M141" s="729"/>
      <c r="N141" s="8"/>
      <c r="O141" s="200" t="str">
        <f>+INDEX(PWP!$A:$Z,MATCH('PWP-Print'!O140,PWP!$B:$B,0),MATCH("ID",PWP!$A$1:$Z$1,0))</f>
        <v>110016_01</v>
      </c>
      <c r="P141" s="8"/>
      <c r="Q141" s="249" t="str">
        <f>+INDEX(PWP!$A:$Z,MATCH('PWP-Print'!O140,PWP!$B:$B,0),MATCH("Name",PWP!$A$1:$Z$1,0))</f>
        <v>Jurota</v>
      </c>
      <c r="R141" s="8"/>
      <c r="S141" t="e" vm="693">
        <f>_xlfn.IMAGE("https://natalie.tf/wp-content/uploads/2023/10/DLV3_Icon_Ability_"&amp;INDEX('PWP-A'!$A$2:$C$31,MATCH('PWP-Print'!T141,'PWP-A'!$B$2:$B$31,0),1)&amp;".png")</f>
        <v>#VALUE!</v>
      </c>
      <c r="T141" s="229" t="str">
        <f>+INDEX(PWP!$A:$Z,MATCH('PWP-Print'!O140,PWP!$B:$B,0),MATCH("PWP Ability 2",PWP!$A$1:$Z$1,0))</f>
        <v>Combo Time +2</v>
      </c>
      <c r="U141" s="249" t="str">
        <f>+INDEX(PWP!$A:$Z,MATCH('PWP-Print'!O140,PWP!$B:$B,0),MATCH("Locked PWP Ability 2",PWP!$A$1:$Z$1,0))</f>
        <v>(Water) Combo Time +2</v>
      </c>
    </row>
    <row r="142" spans="1:21" ht="22.5" customHeight="1" x14ac:dyDescent="0.3">
      <c r="A142" s="244" t="str">
        <f>TEXT(A138+1,"000")</f>
        <v>059</v>
      </c>
      <c r="B142" s="244" t="str">
        <f>TEXT(B138+1,"000")</f>
        <v>072</v>
      </c>
      <c r="C142" s="729"/>
      <c r="E142" s="251" t="str">
        <f>+INDEX(PWP!$A:$Z,MATCH('PWP-Print'!E140,PWP!$B:$B,0),MATCH("Num",PWP!$A$1:$Z$1,0))</f>
        <v>A-059</v>
      </c>
      <c r="G142" s="249" t="str">
        <f>+INDEX(PWP!$A:$Z,MATCH('PWP-Print'!E140,PWP!$B:$B,0),MATCH("Element",PWP!$A$1:$Z$1,0))&amp;" "&amp;INDEX(PWP!$A:$Z,MATCH('PWP-Print'!E140,PWP!$B:$B,0),MATCH("Type",PWP!$A$1:$Z$1,0))&amp;" Adventurer"</f>
        <v>Flame Manacaster Adventurer</v>
      </c>
      <c r="K142" s="250"/>
      <c r="M142" s="729"/>
      <c r="O142" s="251" t="str">
        <f>+INDEX(PWP!$A:$Z,MATCH('PWP-Print'!O140,PWP!$B:$B,0),MATCH("Num",PWP!$A$1:$Z$1,0))</f>
        <v>A-072</v>
      </c>
      <c r="Q142" s="249" t="str">
        <f>+INDEX(PWP!$A:$Z,MATCH('PWP-Print'!O140,PWP!$B:$B,0),MATCH("Element",PWP!$A$1:$Z$1,0))&amp;" "&amp;INDEX(PWP!$A:$Z,MATCH('PWP-Print'!O140,PWP!$B:$B,0),MATCH("Type",PWP!$A$1:$Z$1,0))&amp;" Adventurer"</f>
        <v>Water Blade Adventurer</v>
      </c>
      <c r="U142" s="250"/>
    </row>
    <row r="143" spans="1:21" ht="7.5" customHeight="1" x14ac:dyDescent="0.3">
      <c r="A143" s="244" t="s">
        <v>10763</v>
      </c>
      <c r="E143" s="250"/>
      <c r="G143" s="250"/>
      <c r="K143" s="250"/>
      <c r="O143" s="250"/>
      <c r="Q143" s="250"/>
      <c r="U143" s="250"/>
    </row>
    <row r="144" spans="1:21" ht="22.5" customHeight="1" x14ac:dyDescent="0.3">
      <c r="C144" s="729" t="e" vm="1102">
        <f>_xlfn.IMAGE("https://natalie.tf/wp-content/uploads/2023/10/DLV3_Icon_ADV_"&amp;E145&amp;"_r05.png")</f>
        <v>#VALUE!</v>
      </c>
      <c r="E144" s="249" t="str">
        <f>"PWP-"&amp;A146</f>
        <v>PWP-060</v>
      </c>
      <c r="G144" s="249" t="str">
        <f>+INDEX(PWP!$A:$Z,MATCH('PWP-Print'!E144,PWP!$B:$B,0),MATCH("Title",PWP!$A$1:$Z$1,0))</f>
        <v>Summertime Boar</v>
      </c>
      <c r="I144" t="e" vm="414">
        <f>_xlfn.IMAGE("https://natalie.tf/wp-content/uploads/2023/10/DLV3_Icon_Ability_"&amp;INDEX('PWP-A'!$A$2:$C$31,MATCH('PWP-Print'!J144,'PWP-A'!$B$2:$B$31,0),1)&amp;".png")</f>
        <v>#VALUE!</v>
      </c>
      <c r="J144" s="229" t="str">
        <f>+INDEX(PWP!$A:$Z,MATCH('PWP-Print'!E144,PWP!$B:$B,0),MATCH("PWP Ability 1",PWP!$A$1:$Z$1,0))</f>
        <v>Critical Damage +25%</v>
      </c>
      <c r="K144" s="249" t="str">
        <f>+INDEX(PWP!$A:$Z,MATCH('PWP-Print'!E144,PWP!$B:$B,0),MATCH("Locked PWP Ability 1",PWP!$A$1:$Z$1,0))</f>
        <v>(Water) Critical Damage +25%</v>
      </c>
      <c r="M144" s="729" t="e" vm="1103">
        <f>_xlfn.IMAGE("https://natalie.tf/wp-content/uploads/2023/10/DLV3_Icon_ADV_"&amp;O145&amp;"_r05.png")</f>
        <v>#VALUE!</v>
      </c>
      <c r="O144" s="249" t="str">
        <f>"PWP-"&amp;B146</f>
        <v>PWP-073</v>
      </c>
      <c r="Q144" s="249" t="str">
        <f>+INDEX(PWP!$A:$Z,MATCH('PWP-Print'!O144,PWP!$B:$B,0),MATCH("Title",PWP!$A$1:$Z$1,0))</f>
        <v>Teacher from the Tides</v>
      </c>
      <c r="S144" t="e" vm="1036">
        <f>_xlfn.IMAGE("https://natalie.tf/wp-content/uploads/2023/10/DLV3_Icon_Ability_"&amp;INDEX('PWP-A'!$A$2:$C$31,MATCH('PWP-Print'!T144,'PWP-A'!$B$2:$B$31,0),1)&amp;".png")</f>
        <v>#VALUE!</v>
      </c>
      <c r="T144" s="229" t="str">
        <f>+INDEX(PWP!$A:$Z,MATCH('PWP-Print'!O144,PWP!$B:$B,0),MATCH("PWP Ability 1",PWP!$A$1:$Z$1,0))</f>
        <v>15 Hits = Overdamage</v>
      </c>
      <c r="U144" s="249" t="str">
        <f>+INDEX(PWP!$A:$Z,MATCH('PWP-Print'!O144,PWP!$B:$B,0),MATCH("Locked PWP Ability 1",PWP!$A$1:$Z$1,0))</f>
        <v>(Water) 15 Hits = Overdamage</v>
      </c>
    </row>
    <row r="145" spans="1:21" ht="22.5" customHeight="1" x14ac:dyDescent="0.3">
      <c r="C145" s="729"/>
      <c r="D145" s="8"/>
      <c r="E145" s="200" t="str">
        <f>+INDEX(PWP!$A:$Z,MATCH('PWP-Print'!E144,PWP!$B:$B,0),MATCH("ID",PWP!$A$1:$Z$1,0))</f>
        <v>110313_03</v>
      </c>
      <c r="F145" s="8"/>
      <c r="G145" s="249" t="str">
        <f>+INDEX(PWP!$A:$Z,MATCH('PWP-Print'!E144,PWP!$B:$B,0),MATCH("Name",PWP!$A$1:$Z$1,0))</f>
        <v>Summer Ieyasu</v>
      </c>
      <c r="H145" s="8"/>
      <c r="I145" t="e" vm="696">
        <f>_xlfn.IMAGE("https://natalie.tf/wp-content/uploads/2023/10/DLV3_Icon_Ability_"&amp;INDEX('PWP-A'!$A$2:$C$31,MATCH('PWP-Print'!J145,'PWP-A'!$B$2:$B$31,0),1)&amp;".png")</f>
        <v>#VALUE!</v>
      </c>
      <c r="J145" s="229" t="str">
        <f>+INDEX(PWP!$A:$Z,MATCH('PWP-Print'!E144,PWP!$B:$B,0),MATCH("PWP Ability 2",PWP!$A$1:$Z$1,0))</f>
        <v>Elemental Res +15%</v>
      </c>
      <c r="K145" s="249" t="str">
        <f>+INDEX(PWP!$A:$Z,MATCH('PWP-Print'!E144,PWP!$B:$B,0),MATCH("Locked PWP Ability 2",PWP!$A$1:$Z$1,0))</f>
        <v>(Water) Elemental Res +15%</v>
      </c>
      <c r="M145" s="729"/>
      <c r="N145" s="8"/>
      <c r="O145" s="200" t="str">
        <f>+INDEX(PWP!$A:$Z,MATCH('PWP-Print'!O144,PWP!$B:$B,0),MATCH("ID",PWP!$A$1:$Z$1,0))</f>
        <v>110385_01</v>
      </c>
      <c r="P145" s="8"/>
      <c r="Q145" s="249" t="str">
        <f>+INDEX(PWP!$A:$Z,MATCH('PWP-Print'!O144,PWP!$B:$B,0),MATCH("Name",PWP!$A$1:$Z$1,0))</f>
        <v>Humanoid Mercury</v>
      </c>
      <c r="R145" s="8"/>
      <c r="S145" t="e" vm="601">
        <f>_xlfn.IMAGE("https://natalie.tf/wp-content/uploads/2023/10/DLV3_Icon_Ability_"&amp;INDEX('PWP-A'!$A$2:$C$31,MATCH('PWP-Print'!T145,'PWP-A'!$B$2:$B$31,0),1)&amp;".png")</f>
        <v>#VALUE!</v>
      </c>
      <c r="T145" s="229" t="str">
        <f>+INDEX(PWP!$A:$Z,MATCH('PWP-Print'!O144,PWP!$B:$B,0),MATCH("PWP Ability 2",PWP!$A$1:$Z$1,0))</f>
        <v>Dragon Haste +15%</v>
      </c>
      <c r="U145" s="249" t="str">
        <f>+INDEX(PWP!$A:$Z,MATCH('PWP-Print'!O144,PWP!$B:$B,0),MATCH("Locked PWP Ability 2",PWP!$A$1:$Z$1,0))</f>
        <v>(Water) Dragon Haste +15%</v>
      </c>
    </row>
    <row r="146" spans="1:21" ht="22.5" customHeight="1" x14ac:dyDescent="0.3">
      <c r="A146" s="244" t="str">
        <f>TEXT(A142+1,"000")</f>
        <v>060</v>
      </c>
      <c r="B146" s="244" t="str">
        <f>TEXT(B142+1,"000")</f>
        <v>073</v>
      </c>
      <c r="C146" s="729"/>
      <c r="E146" s="251" t="str">
        <f>+INDEX(PWP!$A:$Z,MATCH('PWP-Print'!E144,PWP!$B:$B,0),MATCH("Num",PWP!$A$1:$Z$1,0))</f>
        <v>A-060</v>
      </c>
      <c r="G146" s="249" t="str">
        <f>+INDEX(PWP!$A:$Z,MATCH('PWP-Print'!E144,PWP!$B:$B,0),MATCH("Element",PWP!$A$1:$Z$1,0))&amp;" "&amp;INDEX(PWP!$A:$Z,MATCH('PWP-Print'!E144,PWP!$B:$B,0),MATCH("Type",PWP!$A$1:$Z$1,0))&amp;" Adventurer"</f>
        <v>Water Sword Adventurer</v>
      </c>
      <c r="K146" s="250"/>
      <c r="M146" s="729"/>
      <c r="O146" s="251" t="str">
        <f>+INDEX(PWP!$A:$Z,MATCH('PWP-Print'!O144,PWP!$B:$B,0),MATCH("Num",PWP!$A$1:$Z$1,0))</f>
        <v>A-073</v>
      </c>
      <c r="Q146" s="249" t="str">
        <f>+INDEX(PWP!$A:$Z,MATCH('PWP-Print'!O144,PWP!$B:$B,0),MATCH("Element",PWP!$A$1:$Z$1,0))&amp;" "&amp;INDEX(PWP!$A:$Z,MATCH('PWP-Print'!O144,PWP!$B:$B,0),MATCH("Type",PWP!$A$1:$Z$1,0))&amp;" Adventurer"</f>
        <v>Water Dagger Adventurer</v>
      </c>
      <c r="U146" s="250"/>
    </row>
    <row r="147" spans="1:21" ht="7.5" customHeight="1" x14ac:dyDescent="0.3">
      <c r="A147" s="244" t="s">
        <v>10763</v>
      </c>
      <c r="E147" s="250"/>
      <c r="G147" s="250"/>
      <c r="K147" s="250"/>
      <c r="O147" s="250"/>
      <c r="Q147" s="250"/>
      <c r="U147" s="250"/>
    </row>
    <row r="148" spans="1:21" ht="22.5" customHeight="1" x14ac:dyDescent="0.3">
      <c r="C148" s="729" t="e" vm="1104">
        <f>_xlfn.IMAGE("https://natalie.tf/wp-content/uploads/2023/10/DLV3_Icon_ADV_"&amp;E149&amp;"_r05.png")</f>
        <v>#VALUE!</v>
      </c>
      <c r="E148" s="249" t="str">
        <f>"PWP-"&amp;A150</f>
        <v>PWP-061</v>
      </c>
      <c r="G148" s="249" t="str">
        <f>+INDEX(PWP!$A:$Z,MATCH('PWP-Print'!E148,PWP!$B:$B,0),MATCH("Title",PWP!$A$1:$Z$1,0))</f>
        <v>Sullen Youth</v>
      </c>
      <c r="I148" t="e" vm="326">
        <f>_xlfn.IMAGE("https://natalie.tf/wp-content/uploads/2023/10/DLV3_Icon_Ability_"&amp;INDEX('PWP-A'!$A$2:$C$31,MATCH('PWP-Print'!J148,'PWP-A'!$B$2:$B$31,0),1)&amp;".png")</f>
        <v>#VALUE!</v>
      </c>
      <c r="J148" s="229" t="str">
        <f>+INDEX(PWP!$A:$Z,MATCH('PWP-Print'!E148,PWP!$B:$B,0),MATCH("PWP Ability 1",PWP!$A$1:$Z$1,0))</f>
        <v>Critical Rate +15%</v>
      </c>
      <c r="K148" s="249" t="str">
        <f>+INDEX(PWP!$A:$Z,MATCH('PWP-Print'!E148,PWP!$B:$B,0),MATCH("Locked PWP Ability 1",PWP!$A$1:$Z$1,0))</f>
        <v>(Water) Critical Rate +15%</v>
      </c>
      <c r="M148" s="729" t="e" vm="1105">
        <f>_xlfn.IMAGE("https://natalie.tf/wp-content/uploads/2023/10/DLV3_Icon_ADV_"&amp;O149&amp;"_r05.png")</f>
        <v>#VALUE!</v>
      </c>
      <c r="O148" s="249" t="str">
        <f>"PWP-"&amp;B150</f>
        <v>PWP-074</v>
      </c>
      <c r="Q148" s="249" t="str">
        <f>+INDEX(PWP!$A:$Z,MATCH('PWP-Print'!O148,PWP!$B:$B,0),MATCH("Title",PWP!$A$1:$Z$1,0))</f>
        <v>Dragon Scion</v>
      </c>
      <c r="S148" t="e" vm="326">
        <f>_xlfn.IMAGE("https://natalie.tf/wp-content/uploads/2023/10/DLV3_Icon_Ability_"&amp;INDEX('PWP-A'!$A$2:$C$31,MATCH('PWP-Print'!T148,'PWP-A'!$B$2:$B$31,0),1)&amp;".png")</f>
        <v>#VALUE!</v>
      </c>
      <c r="T148" s="229" t="str">
        <f>+INDEX(PWP!$A:$Z,MATCH('PWP-Print'!O148,PWP!$B:$B,0),MATCH("PWP Ability 1",PWP!$A$1:$Z$1,0))</f>
        <v>Critical Rate +15%</v>
      </c>
      <c r="U148" s="249" t="str">
        <f>+INDEX(PWP!$A:$Z,MATCH('PWP-Print'!O148,PWP!$B:$B,0),MATCH("Locked PWP Ability 1",PWP!$A$1:$Z$1,0))</f>
        <v>(Water) Critical Rate +15%</v>
      </c>
    </row>
    <row r="149" spans="1:21" ht="22.5" customHeight="1" x14ac:dyDescent="0.3">
      <c r="C149" s="729"/>
      <c r="D149" s="8"/>
      <c r="E149" s="200" t="str">
        <f>+INDEX(PWP!$A:$Z,MATCH('PWP-Print'!E148,PWP!$B:$B,0),MATCH("ID",PWP!$A$1:$Z$1,0))</f>
        <v>110363_01</v>
      </c>
      <c r="F149" s="8"/>
      <c r="G149" s="249" t="str">
        <f>+INDEX(PWP!$A:$Z,MATCH('PWP-Print'!E148,PWP!$B:$B,0),MATCH("Name",PWP!$A$1:$Z$1,0))</f>
        <v>Eugene</v>
      </c>
      <c r="H149" s="8"/>
      <c r="I149" t="e" vm="330">
        <f>_xlfn.IMAGE("https://natalie.tf/wp-content/uploads/2023/10/DLV3_Icon_Ability_"&amp;INDEX('PWP-A'!$A$2:$C$31,MATCH('PWP-Print'!J149,'PWP-A'!$B$2:$B$31,0),1)&amp;".png")</f>
        <v>#VALUE!</v>
      </c>
      <c r="J149" s="229" t="str">
        <f>+INDEX(PWP!$A:$Z,MATCH('PWP-Print'!E148,PWP!$B:$B,0),MATCH("PWP Ability 2",PWP!$A$1:$Z$1,0))</f>
        <v>Skill Haste +10%</v>
      </c>
      <c r="K149" s="249" t="str">
        <f>+INDEX(PWP!$A:$Z,MATCH('PWP-Print'!E148,PWP!$B:$B,0),MATCH("Locked PWP Ability 2",PWP!$A$1:$Z$1,0))</f>
        <v>(Water) Skill Haste +10%</v>
      </c>
      <c r="M149" s="729"/>
      <c r="N149" s="8"/>
      <c r="O149" s="200" t="str">
        <f>+INDEX(PWP!$A:$Z,MATCH('PWP-Print'!O148,PWP!$B:$B,0),MATCH("ID",PWP!$A$1:$Z$1,0))</f>
        <v>110360_01</v>
      </c>
      <c r="P149" s="8"/>
      <c r="Q149" s="249" t="str">
        <f>+INDEX(PWP!$A:$Z,MATCH('PWP-Print'!O148,PWP!$B:$B,0),MATCH("Name",PWP!$A$1:$Z$1,0))</f>
        <v>Tiki</v>
      </c>
      <c r="R149" s="8"/>
      <c r="S149" t="e" vm="1045">
        <f>_xlfn.IMAGE("https://natalie.tf/wp-content/uploads/2023/10/DLV3_Icon_Ability_"&amp;INDEX('PWP-A'!$A$2:$C$31,MATCH('PWP-Print'!T149,'PWP-A'!$B$2:$B$31,0),1)&amp;".png")</f>
        <v>#VALUE!</v>
      </c>
      <c r="T149" s="229" t="str">
        <f>+INDEX(PWP!$A:$Z,MATCH('PWP-Print'!O148,PWP!$B:$B,0),MATCH("PWP Ability 2",PWP!$A$1:$Z$1,0))</f>
        <v>Attack Rate +20%</v>
      </c>
      <c r="U149" s="249" t="str">
        <f>+INDEX(PWP!$A:$Z,MATCH('PWP-Print'!O148,PWP!$B:$B,0),MATCH("Locked PWP Ability 2",PWP!$A$1:$Z$1,0))</f>
        <v>(Water) Attack Rate +20%</v>
      </c>
    </row>
    <row r="150" spans="1:21" ht="22.5" customHeight="1" x14ac:dyDescent="0.3">
      <c r="A150" s="244" t="str">
        <f>TEXT(A146+1,"000")</f>
        <v>061</v>
      </c>
      <c r="B150" s="244" t="str">
        <f>TEXT(B146+1,"000")</f>
        <v>074</v>
      </c>
      <c r="C150" s="729"/>
      <c r="E150" s="251" t="str">
        <f>+INDEX(PWP!$A:$Z,MATCH('PWP-Print'!E148,PWP!$B:$B,0),MATCH("Num",PWP!$A$1:$Z$1,0))</f>
        <v>A-061</v>
      </c>
      <c r="G150" s="249" t="str">
        <f>+INDEX(PWP!$A:$Z,MATCH('PWP-Print'!E148,PWP!$B:$B,0),MATCH("Element",PWP!$A$1:$Z$1,0))&amp;" "&amp;INDEX(PWP!$A:$Z,MATCH('PWP-Print'!E148,PWP!$B:$B,0),MATCH("Type",PWP!$A$1:$Z$1,0))&amp;" Adventurer"</f>
        <v>Water Sword Adventurer</v>
      </c>
      <c r="K150" s="250"/>
      <c r="M150" s="729"/>
      <c r="O150" s="251" t="str">
        <f>+INDEX(PWP!$A:$Z,MATCH('PWP-Print'!O148,PWP!$B:$B,0),MATCH("Num",PWP!$A$1:$Z$1,0))</f>
        <v>A-074</v>
      </c>
      <c r="Q150" s="249" t="str">
        <f>+INDEX(PWP!$A:$Z,MATCH('PWP-Print'!O148,PWP!$B:$B,0),MATCH("Element",PWP!$A$1:$Z$1,0))&amp;" "&amp;INDEX(PWP!$A:$Z,MATCH('PWP-Print'!O148,PWP!$B:$B,0),MATCH("Type",PWP!$A$1:$Z$1,0))&amp;" Adventurer"</f>
        <v>Water Dagger Adventurer</v>
      </c>
      <c r="U150" s="250"/>
    </row>
    <row r="151" spans="1:21" ht="7.5" customHeight="1" x14ac:dyDescent="0.3">
      <c r="A151" s="244" t="s">
        <v>10763</v>
      </c>
      <c r="E151" s="250"/>
      <c r="G151" s="250"/>
      <c r="K151" s="250"/>
      <c r="O151" s="250"/>
      <c r="Q151" s="250"/>
      <c r="U151" s="250"/>
    </row>
    <row r="152" spans="1:21" ht="22.5" customHeight="1" x14ac:dyDescent="0.3">
      <c r="C152" s="729" t="e" vm="1106">
        <f>_xlfn.IMAGE("https://natalie.tf/wp-content/uploads/2023/10/DLV3_Icon_ADV_"&amp;E153&amp;"_r05.png")</f>
        <v>#VALUE!</v>
      </c>
      <c r="E152" s="249" t="str">
        <f>"PWP-"&amp;A154</f>
        <v>PWP-062</v>
      </c>
      <c r="G152" s="249" t="str">
        <f>+INDEX(PWP!$A:$Z,MATCH('PWP-Print'!E152,PWP!$B:$B,0),MATCH("Title",PWP!$A$1:$Z$1,0))</f>
        <v>Avid Armsmaster</v>
      </c>
      <c r="I152" t="e" vm="688">
        <f>_xlfn.IMAGE("https://natalie.tf/wp-content/uploads/2023/10/DLV3_Icon_Ability_"&amp;INDEX('PWP-A'!$A$2:$C$31,MATCH('PWP-Print'!J152,'PWP-A'!$B$2:$B$31,0),1)&amp;".png")</f>
        <v>#VALUE!</v>
      </c>
      <c r="J152" s="229" t="str">
        <f>+INDEX(PWP!$A:$Z,MATCH('PWP-Print'!E152,PWP!$B:$B,0),MATCH("PWP Ability 1",PWP!$A$1:$Z$1,0))</f>
        <v>Overdrive Punisher +15%</v>
      </c>
      <c r="K152" s="249" t="str">
        <f>+INDEX(PWP!$A:$Z,MATCH('PWP-Print'!E152,PWP!$B:$B,0),MATCH("Locked PWP Ability 1",PWP!$A$1:$Z$1,0))</f>
        <v>(Water) Overdrive Punisher +15%</v>
      </c>
      <c r="M152" s="729" t="e" vm="1107">
        <f>_xlfn.IMAGE("https://natalie.tf/wp-content/uploads/2023/10/DLV3_Icon_ADV_"&amp;O153&amp;"_r05.png")</f>
        <v>#VALUE!</v>
      </c>
      <c r="O152" s="249" t="str">
        <f>"PWP-"&amp;B154</f>
        <v>PWP-075</v>
      </c>
      <c r="Q152" s="249" t="str">
        <f>+INDEX(PWP!$A:$Z,MATCH('PWP-Print'!O152,PWP!$B:$B,0),MATCH("Title",PWP!$A$1:$Z$1,0))</f>
        <v>Hinomotoan Chef</v>
      </c>
      <c r="S152" t="e" vm="14">
        <f>_xlfn.IMAGE("https://natalie.tf/wp-content/uploads/2023/10/DLV3_Icon_Ability_"&amp;INDEX('PWP-A'!$A$2:$C$31,MATCH('PWP-Print'!T152,'PWP-A'!$B$2:$B$31,0),1)&amp;".png")</f>
        <v>#VALUE!</v>
      </c>
      <c r="T152" s="229" t="str">
        <f>+INDEX(PWP!$A:$Z,MATCH('PWP-Print'!O152,PWP!$B:$B,0),MATCH("PWP Ability 1",PWP!$A$1:$Z$1,0))</f>
        <v>Skill Damage +40%</v>
      </c>
      <c r="U152" s="249" t="str">
        <f>+INDEX(PWP!$A:$Z,MATCH('PWP-Print'!O152,PWP!$B:$B,0),MATCH("Locked PWP Ability 1",PWP!$A$1:$Z$1,0))</f>
        <v>(Water) Skill Damage +40%</v>
      </c>
    </row>
    <row r="153" spans="1:21" ht="22.5" customHeight="1" x14ac:dyDescent="0.3">
      <c r="C153" s="729"/>
      <c r="D153" s="8"/>
      <c r="E153" s="200" t="str">
        <f>+INDEX(PWP!$A:$Z,MATCH('PWP-Print'!E152,PWP!$B:$B,0),MATCH("ID",PWP!$A$1:$Z$1,0))</f>
        <v>110255_02</v>
      </c>
      <c r="F153" s="8"/>
      <c r="G153" s="249" t="str">
        <f>+INDEX(PWP!$A:$Z,MATCH('PWP-Print'!E152,PWP!$B:$B,0),MATCH("Name",PWP!$A$1:$Z$1,0))</f>
        <v>Summer Celliera</v>
      </c>
      <c r="H153" s="8"/>
      <c r="I153" t="e" vm="376">
        <f>_xlfn.IMAGE("https://natalie.tf/wp-content/uploads/2023/10/DLV3_Icon_Ability_"&amp;INDEX('PWP-A'!$A$2:$C$31,MATCH('PWP-Print'!J153,'PWP-A'!$B$2:$B$31,0),1)&amp;".png")</f>
        <v>#VALUE!</v>
      </c>
      <c r="J153" s="229" t="str">
        <f>+INDEX(PWP!$A:$Z,MATCH('PWP-Print'!E152,PWP!$B:$B,0),MATCH("PWP Ability 2",PWP!$A$1:$Z$1,0))</f>
        <v>Broken Punisher +30%</v>
      </c>
      <c r="K153" s="249" t="str">
        <f>+INDEX(PWP!$A:$Z,MATCH('PWP-Print'!E152,PWP!$B:$B,0),MATCH("Locked PWP Ability 2",PWP!$A$1:$Z$1,0))</f>
        <v>(Water) Broken Punisher +30%</v>
      </c>
      <c r="M153" s="729"/>
      <c r="N153" s="8"/>
      <c r="O153" s="200" t="str">
        <f>+INDEX(PWP!$A:$Z,MATCH('PWP-Print'!O152,PWP!$B:$B,0),MATCH("ID",PWP!$A$1:$Z$1,0))</f>
        <v>110296_01</v>
      </c>
      <c r="P153" s="8"/>
      <c r="Q153" s="249" t="str">
        <f>+INDEX(PWP!$A:$Z,MATCH('PWP-Print'!O152,PWP!$B:$B,0),MATCH("Name",PWP!$A$1:$Z$1,0))</f>
        <v>Mitsuba</v>
      </c>
      <c r="R153" s="8"/>
      <c r="S153" t="e" vm="326">
        <f>_xlfn.IMAGE("https://natalie.tf/wp-content/uploads/2023/10/DLV3_Icon_Ability_"&amp;INDEX('PWP-A'!$A$2:$C$31,MATCH('PWP-Print'!T153,'PWP-A'!$B$2:$B$31,0),1)&amp;".png")</f>
        <v>#VALUE!</v>
      </c>
      <c r="T153" s="229" t="str">
        <f>+INDEX(PWP!$A:$Z,MATCH('PWP-Print'!O152,PWP!$B:$B,0),MATCH("PWP Ability 2",PWP!$A$1:$Z$1,0))</f>
        <v>Critical Rate +15%</v>
      </c>
      <c r="U153" s="249" t="str">
        <f>+INDEX(PWP!$A:$Z,MATCH('PWP-Print'!O152,PWP!$B:$B,0),MATCH("Locked PWP Ability 2",PWP!$A$1:$Z$1,0))</f>
        <v>(Water) Critical Rate +15%</v>
      </c>
    </row>
    <row r="154" spans="1:21" ht="22.5" customHeight="1" x14ac:dyDescent="0.3">
      <c r="A154" s="244" t="str">
        <f>TEXT(A150+1,"000")</f>
        <v>062</v>
      </c>
      <c r="B154" s="244" t="str">
        <f>TEXT(B150+1,"000")</f>
        <v>075</v>
      </c>
      <c r="C154" s="729"/>
      <c r="E154" s="251" t="str">
        <f>+INDEX(PWP!$A:$Z,MATCH('PWP-Print'!E152,PWP!$B:$B,0),MATCH("Num",PWP!$A$1:$Z$1,0))</f>
        <v>A-062</v>
      </c>
      <c r="G154" s="249" t="str">
        <f>+INDEX(PWP!$A:$Z,MATCH('PWP-Print'!E152,PWP!$B:$B,0),MATCH("Element",PWP!$A$1:$Z$1,0))&amp;" "&amp;INDEX(PWP!$A:$Z,MATCH('PWP-Print'!E152,PWP!$B:$B,0),MATCH("Type",PWP!$A$1:$Z$1,0))&amp;" Adventurer"</f>
        <v>Water Sword Adventurer</v>
      </c>
      <c r="K154" s="250"/>
      <c r="M154" s="729"/>
      <c r="O154" s="251" t="str">
        <f>+INDEX(PWP!$A:$Z,MATCH('PWP-Print'!O152,PWP!$B:$B,0),MATCH("Num",PWP!$A$1:$Z$1,0))</f>
        <v>A-075</v>
      </c>
      <c r="Q154" s="249" t="str">
        <f>+INDEX(PWP!$A:$Z,MATCH('PWP-Print'!O152,PWP!$B:$B,0),MATCH("Element",PWP!$A$1:$Z$1,0))&amp;" "&amp;INDEX(PWP!$A:$Z,MATCH('PWP-Print'!O152,PWP!$B:$B,0),MATCH("Type",PWP!$A$1:$Z$1,0))&amp;" Adventurer"</f>
        <v>Water Dagger Adventurer</v>
      </c>
      <c r="U154" s="250"/>
    </row>
    <row r="155" spans="1:21" ht="7.5" customHeight="1" x14ac:dyDescent="0.3">
      <c r="A155" s="244" t="s">
        <v>10763</v>
      </c>
      <c r="E155" s="250"/>
      <c r="G155" s="250"/>
      <c r="K155" s="250"/>
    </row>
    <row r="156" spans="1:21" ht="22.5" customHeight="1" x14ac:dyDescent="0.3">
      <c r="C156" s="729" t="e" vm="1108">
        <f>_xlfn.IMAGE("https://natalie.tf/wp-content/uploads/2023/10/DLV3_Icon_ADV_"&amp;E157&amp;"_r05.png")</f>
        <v>#VALUE!</v>
      </c>
      <c r="E156" s="249" t="str">
        <f>"PWP-"&amp;A158</f>
        <v>PWP-063</v>
      </c>
      <c r="G156" s="249" t="str">
        <f>+INDEX(PWP!$A:$Z,MATCH('PWP-Print'!E156,PWP!$B:$B,0),MATCH("Title",PWP!$A$1:$Z$1,0))</f>
        <v>Born Ruler</v>
      </c>
      <c r="I156" t="e" vm="414">
        <f>_xlfn.IMAGE("https://natalie.tf/wp-content/uploads/2023/10/DLV3_Icon_Ability_"&amp;INDEX('PWP-A'!$A$2:$C$31,MATCH('PWP-Print'!J156,'PWP-A'!$B$2:$B$31,0),1)&amp;".png")</f>
        <v>#VALUE!</v>
      </c>
      <c r="J156" s="229" t="str">
        <f>+INDEX(PWP!$A:$Z,MATCH('PWP-Print'!E156,PWP!$B:$B,0),MATCH("PWP Ability 1",PWP!$A$1:$Z$1,0))</f>
        <v>Critical Damage +25%</v>
      </c>
      <c r="K156" s="249" t="str">
        <f>+INDEX(PWP!$A:$Z,MATCH('PWP-Print'!E156,PWP!$B:$B,0),MATCH("Locked PWP Ability 1",PWP!$A$1:$Z$1,0))</f>
        <v>(Water) Critical Damage +25%</v>
      </c>
      <c r="M156" s="729"/>
      <c r="O156" s="221"/>
      <c r="Q156" s="221"/>
      <c r="U156" s="221"/>
    </row>
    <row r="157" spans="1:21" ht="22.5" customHeight="1" x14ac:dyDescent="0.3">
      <c r="C157" s="729"/>
      <c r="D157" s="8"/>
      <c r="E157" s="200" t="str">
        <f>+INDEX(PWP!$A:$Z,MATCH('PWP-Print'!E156,PWP!$B:$B,0),MATCH("ID",PWP!$A$1:$Z$1,0))</f>
        <v>110022_01</v>
      </c>
      <c r="F157" s="8"/>
      <c r="G157" s="249" t="str">
        <f>+INDEX(PWP!$A:$Z,MATCH('PWP-Print'!E156,PWP!$B:$B,0),MATCH("Name",PWP!$A$1:$Z$1,0))</f>
        <v>Xander</v>
      </c>
      <c r="H157" s="8"/>
      <c r="I157" t="e" vm="7">
        <f>_xlfn.IMAGE("https://natalie.tf/wp-content/uploads/2023/10/DLV3_Icon_Ability_"&amp;INDEX('PWP-A'!$A$2:$C$31,MATCH('PWP-Print'!J157,'PWP-A'!$B$2:$B$31,0),1)&amp;".png")</f>
        <v>#VALUE!</v>
      </c>
      <c r="J157" s="229" t="str">
        <f>+INDEX(PWP!$A:$Z,MATCH('PWP-Print'!E156,PWP!$B:$B,0),MATCH("PWP Ability 2",PWP!$A$1:$Z$1,0))</f>
        <v>Force Strike +50%</v>
      </c>
      <c r="K157" s="249" t="str">
        <f>+INDEX(PWP!$A:$Z,MATCH('PWP-Print'!E156,PWP!$B:$B,0),MATCH("Locked PWP Ability 2",PWP!$A$1:$Z$1,0))</f>
        <v>(Water) Force Strike +50%</v>
      </c>
      <c r="M157" s="729"/>
      <c r="N157" s="8"/>
      <c r="O157" s="221"/>
      <c r="P157" s="8"/>
      <c r="Q157" s="221"/>
      <c r="R157" s="8"/>
      <c r="S157" s="8"/>
      <c r="T157" s="8"/>
      <c r="U157" s="221"/>
    </row>
    <row r="158" spans="1:21" ht="22.5" customHeight="1" x14ac:dyDescent="0.3">
      <c r="A158" s="244" t="str">
        <f>TEXT(A154+1,"000")</f>
        <v>063</v>
      </c>
      <c r="C158" s="729"/>
      <c r="E158" s="251" t="str">
        <f>+INDEX(PWP!$A:$Z,MATCH('PWP-Print'!E156,PWP!$B:$B,0),MATCH("Num",PWP!$A$1:$Z$1,0))</f>
        <v>A-063</v>
      </c>
      <c r="G158" s="249" t="str">
        <f>+INDEX(PWP!$A:$Z,MATCH('PWP-Print'!E156,PWP!$B:$B,0),MATCH("Element",PWP!$A$1:$Z$1,0))&amp;" "&amp;INDEX(PWP!$A:$Z,MATCH('PWP-Print'!E156,PWP!$B:$B,0),MATCH("Type",PWP!$A$1:$Z$1,0))&amp;" Adventurer"</f>
        <v>Water Sword Adventurer</v>
      </c>
      <c r="K158" s="250"/>
      <c r="M158" s="729"/>
      <c r="O158" s="221"/>
      <c r="Q158" s="221"/>
      <c r="U158" s="222"/>
    </row>
    <row r="159" spans="1:21" ht="37.5" customHeight="1" x14ac:dyDescent="0.2"/>
    <row r="160" spans="1:21" ht="22.5" customHeight="1" x14ac:dyDescent="0.3">
      <c r="C160" s="729" t="e" vm="1109">
        <f>_xlfn.IMAGE("https://natalie.tf/wp-content/uploads/2023/10/DLV3_Icon_ADV_"&amp;E161&amp;"_r05.png")</f>
        <v>#VALUE!</v>
      </c>
      <c r="E160" s="249" t="str">
        <f>"PWP-"&amp;A162</f>
        <v>PWP-076</v>
      </c>
      <c r="G160" s="249" t="str">
        <f>+INDEX(PWP!$A:$Z,MATCH('PWP-Print'!E160,PWP!$B:$B,0),MATCH("Title",PWP!$A$1:$Z$1,0))</f>
        <v>Belle Bestower</v>
      </c>
      <c r="I160" t="e" vm="14">
        <f>_xlfn.IMAGE("https://natalie.tf/wp-content/uploads/2023/10/DLV3_Icon_Ability_"&amp;INDEX('PWP-A'!$A$2:$C$31,MATCH('PWP-Print'!J160,'PWP-A'!$B$2:$B$31,0),1)&amp;".png")</f>
        <v>#VALUE!</v>
      </c>
      <c r="J160" s="229" t="str">
        <f>+INDEX(PWP!$A:$Z,MATCH('PWP-Print'!E160,PWP!$B:$B,0),MATCH("PWP Ability 1",PWP!$A$1:$Z$1,0))</f>
        <v>Strength +20%</v>
      </c>
      <c r="K160" s="249" t="str">
        <f>+INDEX(PWP!$A:$Z,MATCH('PWP-Print'!E160,PWP!$B:$B,0),MATCH("Locked PWP Ability 1",PWP!$A$1:$Z$1,0))</f>
        <v>(Water) Strength +20%</v>
      </c>
      <c r="M160" s="729" t="e" vm="1110">
        <f>_xlfn.IMAGE("https://natalie.tf/wp-content/uploads/2023/10/DLV3_Icon_ADV_"&amp;O161&amp;"_r05.png")</f>
        <v>#VALUE!</v>
      </c>
      <c r="O160" s="249" t="str">
        <f>"PWP-"&amp;B162</f>
        <v>PWP-089</v>
      </c>
      <c r="Q160" s="249" t="str">
        <f>+INDEX(PWP!$A:$Z,MATCH('PWP-Print'!O160,PWP!$B:$B,0),MATCH("Title",PWP!$A$1:$Z$1,0))</f>
        <v>Princess of Ice</v>
      </c>
      <c r="S160" t="e" vm="414">
        <f>_xlfn.IMAGE("https://natalie.tf/wp-content/uploads/2023/10/DLV3_Icon_Ability_"&amp;INDEX('PWP-A'!$A$2:$C$31,MATCH('PWP-Print'!T160,'PWP-A'!$B$2:$B$31,0),1)&amp;".png")</f>
        <v>#VALUE!</v>
      </c>
      <c r="T160" s="229" t="str">
        <f>+INDEX(PWP!$A:$Z,MATCH('PWP-Print'!O160,PWP!$B:$B,0),MATCH("PWP Ability 1",PWP!$A$1:$Z$1,0))</f>
        <v>Critical Damage +25%</v>
      </c>
      <c r="U160" s="249" t="str">
        <f>+INDEX(PWP!$A:$Z,MATCH('PWP-Print'!O160,PWP!$B:$B,0),MATCH("Locked PWP Ability 1",PWP!$A$1:$Z$1,0))</f>
        <v>(Water) Critical Damage +25%</v>
      </c>
    </row>
    <row r="161" spans="1:21" ht="22.5" customHeight="1" x14ac:dyDescent="0.3">
      <c r="C161" s="729"/>
      <c r="D161" s="8"/>
      <c r="E161" s="200" t="str">
        <f>+INDEX(PWP!$A:$Z,MATCH('PWP-Print'!E160,PWP!$B:$B,0),MATCH("ID",PWP!$A$1:$Z$1,0))</f>
        <v>100004_02</v>
      </c>
      <c r="F161" s="8"/>
      <c r="G161" s="249" t="str">
        <f>+INDEX(PWP!$A:$Z,MATCH('PWP-Print'!E160,PWP!$B:$B,0),MATCH("Name",PWP!$A$1:$Z$1,0))</f>
        <v>Dragonyule Cleo</v>
      </c>
      <c r="H161" s="8"/>
      <c r="I161" t="e" vm="496">
        <f>_xlfn.IMAGE("https://natalie.tf/wp-content/uploads/2023/10/DLV3_Icon_Ability_"&amp;INDEX('PWP-A'!$A$2:$C$31,MATCH('PWP-Print'!J161,'PWP-A'!$B$2:$B$31,0),1)&amp;".png")</f>
        <v>#VALUE!</v>
      </c>
      <c r="J161" s="229" t="str">
        <f>+INDEX(PWP!$A:$Z,MATCH('PWP-Print'!E160,PWP!$B:$B,0),MATCH("PWP Ability 2",PWP!$A$1:$Z$1,0))</f>
        <v>HP +15%</v>
      </c>
      <c r="K161" s="249" t="str">
        <f>+INDEX(PWP!$A:$Z,MATCH('PWP-Print'!E160,PWP!$B:$B,0),MATCH("Locked PWP Ability 2",PWP!$A$1:$Z$1,0))</f>
        <v>(Water) HP +15%</v>
      </c>
      <c r="M161" s="729"/>
      <c r="N161" s="8"/>
      <c r="O161" s="200" t="str">
        <f>+INDEX(PWP!$A:$Z,MATCH('PWP-Print'!O160,PWP!$B:$B,0),MATCH("ID",PWP!$A$1:$Z$1,0))</f>
        <v>110328_01</v>
      </c>
      <c r="P161" s="8"/>
      <c r="Q161" s="249" t="str">
        <f>+INDEX(PWP!$A:$Z,MATCH('PWP-Print'!O160,PWP!$B:$B,0),MATCH("Name",PWP!$A$1:$Z$1,0))</f>
        <v>Fjorm</v>
      </c>
      <c r="R161" s="8"/>
      <c r="S161" t="e" vm="1045">
        <f>_xlfn.IMAGE("https://natalie.tf/wp-content/uploads/2023/10/DLV3_Icon_Ability_"&amp;INDEX('PWP-A'!$A$2:$C$31,MATCH('PWP-Print'!T161,'PWP-A'!$B$2:$B$31,0),1)&amp;".png")</f>
        <v>#VALUE!</v>
      </c>
      <c r="T161" s="229" t="str">
        <f>+INDEX(PWP!$A:$Z,MATCH('PWP-Print'!O160,PWP!$B:$B,0),MATCH("PWP Ability 2",PWP!$A$1:$Z$1,0))</f>
        <v>Attack Rate +20%</v>
      </c>
      <c r="U161" s="249" t="str">
        <f>+INDEX(PWP!$A:$Z,MATCH('PWP-Print'!O160,PWP!$B:$B,0),MATCH("Locked PWP Ability 2",PWP!$A$1:$Z$1,0))</f>
        <v>(Water) Attack Rate +20%</v>
      </c>
    </row>
    <row r="162" spans="1:21" ht="22.5" customHeight="1" x14ac:dyDescent="0.3">
      <c r="A162" s="242" t="str">
        <f>TEXT(B154+1,"000")</f>
        <v>076</v>
      </c>
      <c r="B162" s="244" t="str">
        <f>TEXT(A210+1,"000")</f>
        <v>089</v>
      </c>
      <c r="C162" s="729"/>
      <c r="E162" s="251" t="str">
        <f>+INDEX(PWP!$A:$Z,MATCH('PWP-Print'!E160,PWP!$B:$B,0),MATCH("Num",PWP!$A$1:$Z$1,0))</f>
        <v>A-076</v>
      </c>
      <c r="G162" s="249" t="str">
        <f>+INDEX(PWP!$A:$Z,MATCH('PWP-Print'!E160,PWP!$B:$B,0),MATCH("Element",PWP!$A$1:$Z$1,0))&amp;" "&amp;INDEX(PWP!$A:$Z,MATCH('PWP-Print'!E160,PWP!$B:$B,0),MATCH("Type",PWP!$A$1:$Z$1,0))&amp;" Adventurer"</f>
        <v>Water Dagger Adventurer</v>
      </c>
      <c r="K162" s="250"/>
      <c r="M162" s="729"/>
      <c r="O162" s="251" t="str">
        <f>+INDEX(PWP!$A:$Z,MATCH('PWP-Print'!O160,PWP!$B:$B,0),MATCH("Num",PWP!$A$1:$Z$1,0))</f>
        <v>A-089</v>
      </c>
      <c r="Q162" s="249" t="str">
        <f>+INDEX(PWP!$A:$Z,MATCH('PWP-Print'!O160,PWP!$B:$B,0),MATCH("Element",PWP!$A$1:$Z$1,0))&amp;" "&amp;INDEX(PWP!$A:$Z,MATCH('PWP-Print'!O160,PWP!$B:$B,0),MATCH("Type",PWP!$A$1:$Z$1,0))&amp;" Adventurer"</f>
        <v>Water Lance Adventurer</v>
      </c>
      <c r="U162" s="250"/>
    </row>
    <row r="163" spans="1:21" ht="7.5" customHeight="1" x14ac:dyDescent="0.3">
      <c r="A163" s="244" t="s">
        <v>10763</v>
      </c>
      <c r="E163" s="250"/>
      <c r="G163" s="250"/>
      <c r="K163" s="250"/>
      <c r="O163" s="250"/>
      <c r="Q163" s="250"/>
      <c r="U163" s="250"/>
    </row>
    <row r="164" spans="1:21" ht="22.5" customHeight="1" x14ac:dyDescent="0.3">
      <c r="C164" s="729" t="e" vm="1111">
        <f>_xlfn.IMAGE("https://natalie.tf/wp-content/uploads/2023/10/DLV3_Icon_ADV_"&amp;E165&amp;"_r05.png")</f>
        <v>#VALUE!</v>
      </c>
      <c r="E164" s="249" t="str">
        <f>"PWP-"&amp;A166</f>
        <v>PWP-077</v>
      </c>
      <c r="G164" s="249" t="str">
        <f>+INDEX(PWP!$A:$Z,MATCH('PWP-Print'!E164,PWP!$B:$B,0),MATCH("Title",PWP!$A$1:$Z$1,0))</f>
        <v>Future Smithing Genius</v>
      </c>
      <c r="I164" t="e" vm="1045">
        <f>_xlfn.IMAGE("https://natalie.tf/wp-content/uploads/2023/10/DLV3_Icon_Ability_"&amp;INDEX('PWP-A'!$A$2:$C$31,MATCH('PWP-Print'!J164,'PWP-A'!$B$2:$B$31,0),1)&amp;".png")</f>
        <v>#VALUE!</v>
      </c>
      <c r="J164" s="229" t="str">
        <f>+INDEX(PWP!$A:$Z,MATCH('PWP-Print'!E164,PWP!$B:$B,0),MATCH("PWP Ability 1",PWP!$A$1:$Z$1,0))</f>
        <v>Attack Rate +20%</v>
      </c>
      <c r="K164" s="249" t="str">
        <f>+INDEX(PWP!$A:$Z,MATCH('PWP-Print'!E164,PWP!$B:$B,0),MATCH("Locked PWP Ability 1",PWP!$A$1:$Z$1,0))</f>
        <v>(Water) Attack Rate +20%</v>
      </c>
      <c r="M164" s="729" t="e" vm="1112">
        <f>_xlfn.IMAGE("https://natalie.tf/wp-content/uploads/2023/10/DLV3_Icon_ADV_"&amp;O165&amp;"_r05.png")</f>
        <v>#VALUE!</v>
      </c>
      <c r="O164" s="249" t="str">
        <f>"PWP-"&amp;B166</f>
        <v>PWP-090</v>
      </c>
      <c r="Q164" s="249" t="str">
        <f>+INDEX(PWP!$A:$Z,MATCH('PWP-Print'!O164,PWP!$B:$B,0),MATCH("Title",PWP!$A$1:$Z$1,0))</f>
        <v>Dragon Guardian</v>
      </c>
      <c r="S164" t="e" vm="14">
        <f>_xlfn.IMAGE("https://natalie.tf/wp-content/uploads/2023/10/DLV3_Icon_Ability_"&amp;INDEX('PWP-A'!$A$2:$C$31,MATCH('PWP-Print'!T164,'PWP-A'!$B$2:$B$31,0),1)&amp;".png")</f>
        <v>#VALUE!</v>
      </c>
      <c r="T164" s="229" t="str">
        <f>+INDEX(PWP!$A:$Z,MATCH('PWP-Print'!O164,PWP!$B:$B,0),MATCH("PWP Ability 1",PWP!$A$1:$Z$1,0))</f>
        <v>Skill Damage +40%</v>
      </c>
      <c r="U164" s="249" t="str">
        <f>+INDEX(PWP!$A:$Z,MATCH('PWP-Print'!O164,PWP!$B:$B,0),MATCH("Locked PWP Ability 1",PWP!$A$1:$Z$1,0))</f>
        <v>(Water) Skill Damage +40%</v>
      </c>
    </row>
    <row r="165" spans="1:21" ht="22.5" customHeight="1" x14ac:dyDescent="0.3">
      <c r="C165" s="729"/>
      <c r="D165" s="8"/>
      <c r="E165" s="200" t="str">
        <f>+INDEX(PWP!$A:$Z,MATCH('PWP-Print'!E164,PWP!$B:$B,0),MATCH("ID",PWP!$A$1:$Z$1,0))</f>
        <v>110265_01</v>
      </c>
      <c r="F165" s="8"/>
      <c r="G165" s="249" t="str">
        <f>+INDEX(PWP!$A:$Z,MATCH('PWP-Print'!E164,PWP!$B:$B,0),MATCH("Name",PWP!$A$1:$Z$1,0))</f>
        <v>Renee</v>
      </c>
      <c r="H165" s="8"/>
      <c r="I165" t="e" vm="693">
        <f>_xlfn.IMAGE("https://natalie.tf/wp-content/uploads/2023/10/DLV3_Icon_Ability_"&amp;INDEX('PWP-A'!$A$2:$C$31,MATCH('PWP-Print'!J165,'PWP-A'!$B$2:$B$31,0),1)&amp;".png")</f>
        <v>#VALUE!</v>
      </c>
      <c r="J165" s="229" t="str">
        <f>+INDEX(PWP!$A:$Z,MATCH('PWP-Print'!E164,PWP!$B:$B,0),MATCH("PWP Ability 2",PWP!$A$1:$Z$1,0))</f>
        <v>Combo Time +2</v>
      </c>
      <c r="K165" s="249" t="str">
        <f>+INDEX(PWP!$A:$Z,MATCH('PWP-Print'!E164,PWP!$B:$B,0),MATCH("Locked PWP Ability 2",PWP!$A$1:$Z$1,0))</f>
        <v>(Water) Combo Time +2</v>
      </c>
      <c r="M165" s="729"/>
      <c r="N165" s="8"/>
      <c r="O165" s="200" t="str">
        <f>+INDEX(PWP!$A:$Z,MATCH('PWP-Print'!O164,PWP!$B:$B,0),MATCH("ID",PWP!$A$1:$Z$1,0))</f>
        <v>110021_01</v>
      </c>
      <c r="P165" s="8"/>
      <c r="Q165" s="249" t="str">
        <f>+INDEX(PWP!$A:$Z,MATCH('PWP-Print'!O164,PWP!$B:$B,0),MATCH("Name",PWP!$A$1:$Z$1,0))</f>
        <v>Xainfried</v>
      </c>
      <c r="R165" s="8"/>
      <c r="S165" t="e" vm="696">
        <f>_xlfn.IMAGE("https://natalie.tf/wp-content/uploads/2023/10/DLV3_Icon_Ability_"&amp;INDEX('PWP-A'!$A$2:$C$31,MATCH('PWP-Print'!T165,'PWP-A'!$B$2:$B$31,0),1)&amp;".png")</f>
        <v>#VALUE!</v>
      </c>
      <c r="T165" s="229" t="str">
        <f>+INDEX(PWP!$A:$Z,MATCH('PWP-Print'!O164,PWP!$B:$B,0),MATCH("PWP Ability 2",PWP!$A$1:$Z$1,0))</f>
        <v>Elemental Res +15%</v>
      </c>
      <c r="U165" s="249" t="str">
        <f>+INDEX(PWP!$A:$Z,MATCH('PWP-Print'!O164,PWP!$B:$B,0),MATCH("Locked PWP Ability 2",PWP!$A$1:$Z$1,0))</f>
        <v>(Water) Elemental Res +15%</v>
      </c>
    </row>
    <row r="166" spans="1:21" ht="22.5" customHeight="1" x14ac:dyDescent="0.3">
      <c r="A166" s="244" t="str">
        <f>TEXT(A162+1,"000")</f>
        <v>077</v>
      </c>
      <c r="B166" s="244" t="str">
        <f>TEXT(B162+1,"000")</f>
        <v>090</v>
      </c>
      <c r="C166" s="729"/>
      <c r="E166" s="251" t="str">
        <f>+INDEX(PWP!$A:$Z,MATCH('PWP-Print'!E164,PWP!$B:$B,0),MATCH("Num",PWP!$A$1:$Z$1,0))</f>
        <v>A-077</v>
      </c>
      <c r="G166" s="249" t="str">
        <f>+INDEX(PWP!$A:$Z,MATCH('PWP-Print'!E164,PWP!$B:$B,0),MATCH("Element",PWP!$A$1:$Z$1,0))&amp;" "&amp;INDEX(PWP!$A:$Z,MATCH('PWP-Print'!E164,PWP!$B:$B,0),MATCH("Type",PWP!$A$1:$Z$1,0))&amp;" Adventurer"</f>
        <v>Water Dagger Adventurer</v>
      </c>
      <c r="K166" s="250"/>
      <c r="M166" s="729"/>
      <c r="O166" s="251" t="str">
        <f>+INDEX(PWP!$A:$Z,MATCH('PWP-Print'!O164,PWP!$B:$B,0),MATCH("Num",PWP!$A$1:$Z$1,0))</f>
        <v>A-090</v>
      </c>
      <c r="Q166" s="249" t="str">
        <f>+INDEX(PWP!$A:$Z,MATCH('PWP-Print'!O164,PWP!$B:$B,0),MATCH("Element",PWP!$A$1:$Z$1,0))&amp;" "&amp;INDEX(PWP!$A:$Z,MATCH('PWP-Print'!O164,PWP!$B:$B,0),MATCH("Type",PWP!$A$1:$Z$1,0))&amp;" Adventurer"</f>
        <v>Water Lance Adventurer</v>
      </c>
      <c r="U166" s="250"/>
    </row>
    <row r="167" spans="1:21" ht="7.5" customHeight="1" x14ac:dyDescent="0.3">
      <c r="A167" s="244" t="s">
        <v>10763</v>
      </c>
      <c r="E167" s="250"/>
      <c r="G167" s="250"/>
      <c r="K167" s="250"/>
      <c r="O167" s="250"/>
      <c r="Q167" s="250"/>
      <c r="U167" s="250"/>
    </row>
    <row r="168" spans="1:21" ht="22.5" customHeight="1" x14ac:dyDescent="0.3">
      <c r="C168" s="729" t="e" vm="1113">
        <f>_xlfn.IMAGE("https://natalie.tf/wp-content/uploads/2023/10/DLV3_Icon_ADV_"&amp;E169&amp;"_r05.png")</f>
        <v>#VALUE!</v>
      </c>
      <c r="E168" s="249" t="str">
        <f>"PWP-"&amp;A170</f>
        <v>PWP-078</v>
      </c>
      <c r="G168" s="249" t="str">
        <f>+INDEX(PWP!$A:$Z,MATCH('PWP-Print'!E168,PWP!$B:$B,0),MATCH("Title",PWP!$A$1:$Z$1,0))</f>
        <v>Dreamer on Ice</v>
      </c>
      <c r="I168" t="e" vm="326">
        <f>_xlfn.IMAGE("https://natalie.tf/wp-content/uploads/2023/10/DLV3_Icon_Ability_"&amp;INDEX('PWP-A'!$A$2:$C$31,MATCH('PWP-Print'!J168,'PWP-A'!$B$2:$B$31,0),1)&amp;".png")</f>
        <v>#VALUE!</v>
      </c>
      <c r="J168" s="229" t="str">
        <f>+INDEX(PWP!$A:$Z,MATCH('PWP-Print'!E168,PWP!$B:$B,0),MATCH("PWP Ability 1",PWP!$A$1:$Z$1,0))</f>
        <v>Critical Rate +15%</v>
      </c>
      <c r="K168" s="249" t="str">
        <f>+INDEX(PWP!$A:$Z,MATCH('PWP-Print'!E168,PWP!$B:$B,0),MATCH("Locked PWP Ability 1",PWP!$A$1:$Z$1,0))</f>
        <v>(Water) Critical Rate +15%</v>
      </c>
      <c r="M168" s="729" t="e" vm="1114">
        <f>_xlfn.IMAGE("https://natalie.tf/wp-content/uploads/2023/10/DLV3_Icon_ADV_"&amp;O169&amp;"_r05.png")</f>
        <v>#VALUE!</v>
      </c>
      <c r="O168" s="249" t="str">
        <f>"PWP-"&amp;B170</f>
        <v>PWP-091</v>
      </c>
      <c r="Q168" s="249" t="str">
        <f>+INDEX(PWP!$A:$Z,MATCH('PWP-Print'!O168,PWP!$B:$B,0),MATCH("Title",PWP!$A$1:$Z$1,0))</f>
        <v>Bloodfist</v>
      </c>
      <c r="S168" t="e" vm="414">
        <f>_xlfn.IMAGE("https://natalie.tf/wp-content/uploads/2023/10/DLV3_Icon_Ability_"&amp;INDEX('PWP-A'!$A$2:$C$31,MATCH('PWP-Print'!T168,'PWP-A'!$B$2:$B$31,0),1)&amp;".png")</f>
        <v>#VALUE!</v>
      </c>
      <c r="T168" s="229" t="str">
        <f>+INDEX(PWP!$A:$Z,MATCH('PWP-Print'!O168,PWP!$B:$B,0),MATCH("PWP Ability 1",PWP!$A$1:$Z$1,0))</f>
        <v>Critical Damage +25%</v>
      </c>
      <c r="U168" s="249" t="str">
        <f>+INDEX(PWP!$A:$Z,MATCH('PWP-Print'!O168,PWP!$B:$B,0),MATCH("Locked PWP Ability 1",PWP!$A$1:$Z$1,0))</f>
        <v>(Water) Critical Damage +25%</v>
      </c>
    </row>
    <row r="169" spans="1:21" ht="22.5" customHeight="1" x14ac:dyDescent="0.3">
      <c r="C169" s="729"/>
      <c r="D169" s="8"/>
      <c r="E169" s="200" t="str">
        <f>+INDEX(PWP!$A:$Z,MATCH('PWP-Print'!E168,PWP!$B:$B,0),MATCH("ID",PWP!$A$1:$Z$1,0))</f>
        <v>110253_01</v>
      </c>
      <c r="F169" s="8"/>
      <c r="G169" s="249" t="str">
        <f>+INDEX(PWP!$A:$Z,MATCH('PWP-Print'!E168,PWP!$B:$B,0),MATCH("Name",PWP!$A$1:$Z$1,0))</f>
        <v>Orsem</v>
      </c>
      <c r="H169" s="8"/>
      <c r="I169" t="e" vm="426">
        <f>_xlfn.IMAGE("https://natalie.tf/wp-content/uploads/2023/10/DLV3_Icon_Ability_"&amp;INDEX('PWP-A'!$A$2:$C$31,MATCH('PWP-Print'!J169,'PWP-A'!$B$2:$B$31,0),1)&amp;".png")</f>
        <v>#VALUE!</v>
      </c>
      <c r="J169" s="229" t="str">
        <f>+INDEX(PWP!$A:$Z,MATCH('PWP-Print'!E168,PWP!$B:$B,0),MATCH("PWP Ability 2",PWP!$A$1:$Z$1,0))</f>
        <v>Defense +20%</v>
      </c>
      <c r="K169" s="249" t="str">
        <f>+INDEX(PWP!$A:$Z,MATCH('PWP-Print'!E168,PWP!$B:$B,0),MATCH("Locked PWP Ability 2",PWP!$A$1:$Z$1,0))</f>
        <v>(Water) Defense +20%</v>
      </c>
      <c r="M169" s="729"/>
      <c r="N169" s="8"/>
      <c r="O169" s="200" t="str">
        <f>+INDEX(PWP!$A:$Z,MATCH('PWP-Print'!O168,PWP!$B:$B,0),MATCH("ID",PWP!$A$1:$Z$1,0))</f>
        <v>110356_01</v>
      </c>
      <c r="P169" s="8"/>
      <c r="Q169" s="249" t="str">
        <f>+INDEX(PWP!$A:$Z,MATCH('PWP-Print'!O168,PWP!$B:$B,0),MATCH("Name",PWP!$A$1:$Z$1,0))</f>
        <v>Gauld</v>
      </c>
      <c r="R169" s="8"/>
      <c r="S169" t="e" vm="330">
        <f>_xlfn.IMAGE("https://natalie.tf/wp-content/uploads/2023/10/DLV3_Icon_Ability_"&amp;INDEX('PWP-A'!$A$2:$C$31,MATCH('PWP-Print'!T169,'PWP-A'!$B$2:$B$31,0),1)&amp;".png")</f>
        <v>#VALUE!</v>
      </c>
      <c r="T169" s="229" t="str">
        <f>+INDEX(PWP!$A:$Z,MATCH('PWP-Print'!O168,PWP!$B:$B,0),MATCH("PWP Ability 2",PWP!$A$1:$Z$1,0))</f>
        <v>Skill Haste +10%</v>
      </c>
      <c r="U169" s="249" t="str">
        <f>+INDEX(PWP!$A:$Z,MATCH('PWP-Print'!O168,PWP!$B:$B,0),MATCH("Locked PWP Ability 2",PWP!$A$1:$Z$1,0))</f>
        <v>(Water) Skill Haste +10%</v>
      </c>
    </row>
    <row r="170" spans="1:21" ht="22.5" customHeight="1" x14ac:dyDescent="0.3">
      <c r="A170" s="244" t="str">
        <f>TEXT(A166+1,"000")</f>
        <v>078</v>
      </c>
      <c r="B170" s="244" t="str">
        <f>TEXT(B166+1,"000")</f>
        <v>091</v>
      </c>
      <c r="C170" s="729"/>
      <c r="E170" s="251" t="str">
        <f>+INDEX(PWP!$A:$Z,MATCH('PWP-Print'!E168,PWP!$B:$B,0),MATCH("Num",PWP!$A$1:$Z$1,0))</f>
        <v>A-078</v>
      </c>
      <c r="G170" s="249" t="str">
        <f>+INDEX(PWP!$A:$Z,MATCH('PWP-Print'!E168,PWP!$B:$B,0),MATCH("Element",PWP!$A$1:$Z$1,0))&amp;" "&amp;INDEX(PWP!$A:$Z,MATCH('PWP-Print'!E168,PWP!$B:$B,0),MATCH("Type",PWP!$A$1:$Z$1,0))&amp;" Adventurer"</f>
        <v>Water Dagger Adventurer</v>
      </c>
      <c r="K170" s="250"/>
      <c r="M170" s="729"/>
      <c r="O170" s="251" t="str">
        <f>+INDEX(PWP!$A:$Z,MATCH('PWP-Print'!O168,PWP!$B:$B,0),MATCH("Num",PWP!$A$1:$Z$1,0))</f>
        <v>A-091</v>
      </c>
      <c r="Q170" s="249" t="str">
        <f>+INDEX(PWP!$A:$Z,MATCH('PWP-Print'!O168,PWP!$B:$B,0),MATCH("Element",PWP!$A$1:$Z$1,0))&amp;" "&amp;INDEX(PWP!$A:$Z,MATCH('PWP-Print'!O168,PWP!$B:$B,0),MATCH("Type",PWP!$A$1:$Z$1,0))&amp;" Adventurer"</f>
        <v>Water Lance Adventurer</v>
      </c>
      <c r="U170" s="250"/>
    </row>
    <row r="171" spans="1:21" ht="7.5" customHeight="1" x14ac:dyDescent="0.3">
      <c r="A171" s="244" t="s">
        <v>10763</v>
      </c>
      <c r="E171" s="250"/>
      <c r="G171" s="250"/>
      <c r="K171" s="250"/>
      <c r="O171" s="250"/>
      <c r="Q171" s="250"/>
      <c r="U171" s="250"/>
    </row>
    <row r="172" spans="1:21" ht="22.5" customHeight="1" x14ac:dyDescent="0.3">
      <c r="C172" s="729" t="e" vm="1115">
        <f>_xlfn.IMAGE("https://natalie.tf/wp-content/uploads/2023/10/DLV3_Icon_ADV_"&amp;E173&amp;"_r05.png")</f>
        <v>#VALUE!</v>
      </c>
      <c r="E172" s="249" t="str">
        <f>"PWP-"&amp;A174</f>
        <v>PWP-079</v>
      </c>
      <c r="G172" s="249" t="str">
        <f>+INDEX(PWP!$A:$Z,MATCH('PWP-Print'!E172,PWP!$B:$B,0),MATCH("Title",PWP!$A$1:$Z$1,0))</f>
        <v>Passionate Dancer</v>
      </c>
      <c r="I172" t="e" vm="330">
        <f>_xlfn.IMAGE("https://natalie.tf/wp-content/uploads/2023/10/DLV3_Icon_Ability_"&amp;INDEX('PWP-A'!$A$2:$C$31,MATCH('PWP-Print'!J172,'PWP-A'!$B$2:$B$31,0),1)&amp;".png")</f>
        <v>#VALUE!</v>
      </c>
      <c r="J172" s="229" t="str">
        <f>+INDEX(PWP!$A:$Z,MATCH('PWP-Print'!E172,PWP!$B:$B,0),MATCH("PWP Ability 1",PWP!$A$1:$Z$1,0))</f>
        <v>Skill Haste +10%</v>
      </c>
      <c r="K172" s="249" t="str">
        <f>+INDEX(PWP!$A:$Z,MATCH('PWP-Print'!E172,PWP!$B:$B,0),MATCH("Locked PWP Ability 1",PWP!$A$1:$Z$1,0))</f>
        <v>(Water) Skill Haste +10%</v>
      </c>
      <c r="M172" s="729" t="e" vm="1116">
        <f>_xlfn.IMAGE("https://natalie.tf/wp-content/uploads/2023/10/DLV3_Icon_ADV_"&amp;O173&amp;"_r05.png")</f>
        <v>#VALUE!</v>
      </c>
      <c r="O172" s="249" t="str">
        <f>"PWP-"&amp;B174</f>
        <v>PWP-092</v>
      </c>
      <c r="Q172" s="249" t="str">
        <f>+INDEX(PWP!$A:$Z,MATCH('PWP-Print'!O172,PWP!$B:$B,0),MATCH("Title",PWP!$A$1:$Z$1,0))</f>
        <v>Anointed Lance</v>
      </c>
      <c r="S172" t="e" vm="14">
        <f>_xlfn.IMAGE("https://natalie.tf/wp-content/uploads/2023/10/DLV3_Icon_Ability_"&amp;INDEX('PWP-A'!$A$2:$C$31,MATCH('PWP-Print'!T172,'PWP-A'!$B$2:$B$31,0),1)&amp;".png")</f>
        <v>#VALUE!</v>
      </c>
      <c r="T172" s="229" t="str">
        <f>+INDEX(PWP!$A:$Z,MATCH('PWP-Print'!O172,PWP!$B:$B,0),MATCH("PWP Ability 1",PWP!$A$1:$Z$1,0))</f>
        <v>Strength +20%</v>
      </c>
      <c r="U172" s="249" t="str">
        <f>+INDEX(PWP!$A:$Z,MATCH('PWP-Print'!O172,PWP!$B:$B,0),MATCH("Locked PWP Ability 1",PWP!$A$1:$Z$1,0))</f>
        <v>(Water) Strength +20%</v>
      </c>
    </row>
    <row r="173" spans="1:21" ht="22.5" customHeight="1" x14ac:dyDescent="0.3">
      <c r="C173" s="729"/>
      <c r="D173" s="8"/>
      <c r="E173" s="200" t="str">
        <f>+INDEX(PWP!$A:$Z,MATCH('PWP-Print'!E172,PWP!$B:$B,0),MATCH("ID",PWP!$A$1:$Z$1,0))</f>
        <v>110020_01</v>
      </c>
      <c r="F173" s="8"/>
      <c r="G173" s="249" t="str">
        <f>+INDEX(PWP!$A:$Z,MATCH('PWP-Print'!E172,PWP!$B:$B,0),MATCH("Name",PWP!$A$1:$Z$1,0))</f>
        <v>Luther</v>
      </c>
      <c r="H173" s="8"/>
      <c r="I173" t="e" vm="696">
        <f>_xlfn.IMAGE("https://natalie.tf/wp-content/uploads/2023/10/DLV3_Icon_Ability_"&amp;INDEX('PWP-A'!$A$2:$C$31,MATCH('PWP-Print'!J173,'PWP-A'!$B$2:$B$31,0),1)&amp;".png")</f>
        <v>#VALUE!</v>
      </c>
      <c r="J173" s="229" t="str">
        <f>+INDEX(PWP!$A:$Z,MATCH('PWP-Print'!E172,PWP!$B:$B,0),MATCH("PWP Ability 2",PWP!$A$1:$Z$1,0))</f>
        <v>Elemental Res +15%</v>
      </c>
      <c r="K173" s="249" t="str">
        <f>+INDEX(PWP!$A:$Z,MATCH('PWP-Print'!E172,PWP!$B:$B,0),MATCH("Locked PWP Ability 2",PWP!$A$1:$Z$1,0))</f>
        <v>(Water) Elemental Res +15%</v>
      </c>
      <c r="M173" s="729"/>
      <c r="N173" s="8"/>
      <c r="O173" s="200" t="str">
        <f>+INDEX(PWP!$A:$Z,MATCH('PWP-Print'!O172,PWP!$B:$B,0),MATCH("ID",PWP!$A$1:$Z$1,0))</f>
        <v>100002_01</v>
      </c>
      <c r="P173" s="8"/>
      <c r="Q173" s="249" t="str">
        <f>+INDEX(PWP!$A:$Z,MATCH('PWP-Print'!O172,PWP!$B:$B,0),MATCH("Name",PWP!$A$1:$Z$1,0))</f>
        <v>Elisanne</v>
      </c>
      <c r="R173" s="8"/>
      <c r="S173" t="e" vm="426">
        <f>_xlfn.IMAGE("https://natalie.tf/wp-content/uploads/2023/10/DLV3_Icon_Ability_"&amp;INDEX('PWP-A'!$A$2:$C$31,MATCH('PWP-Print'!T173,'PWP-A'!$B$2:$B$31,0),1)&amp;".png")</f>
        <v>#VALUE!</v>
      </c>
      <c r="T173" s="229" t="str">
        <f>+INDEX(PWP!$A:$Z,MATCH('PWP-Print'!O172,PWP!$B:$B,0),MATCH("PWP Ability 2",PWP!$A$1:$Z$1,0))</f>
        <v>Defense +20%</v>
      </c>
      <c r="U173" s="249" t="str">
        <f>+INDEX(PWP!$A:$Z,MATCH('PWP-Print'!O172,PWP!$B:$B,0),MATCH("Locked PWP Ability 2",PWP!$A$1:$Z$1,0))</f>
        <v>(Water) Defense +20%</v>
      </c>
    </row>
    <row r="174" spans="1:21" ht="22.5" customHeight="1" x14ac:dyDescent="0.3">
      <c r="A174" s="244" t="str">
        <f>TEXT(A170+1,"000")</f>
        <v>079</v>
      </c>
      <c r="B174" s="244" t="str">
        <f>TEXT(B170+1,"000")</f>
        <v>092</v>
      </c>
      <c r="C174" s="729"/>
      <c r="E174" s="251" t="str">
        <f>+INDEX(PWP!$A:$Z,MATCH('PWP-Print'!E172,PWP!$B:$B,0),MATCH("Num",PWP!$A$1:$Z$1,0))</f>
        <v>A-079</v>
      </c>
      <c r="G174" s="249" t="str">
        <f>+INDEX(PWP!$A:$Z,MATCH('PWP-Print'!E172,PWP!$B:$B,0),MATCH("Element",PWP!$A$1:$Z$1,0))&amp;" "&amp;INDEX(PWP!$A:$Z,MATCH('PWP-Print'!E172,PWP!$B:$B,0),MATCH("Type",PWP!$A$1:$Z$1,0))&amp;" Adventurer"</f>
        <v>Water Dagger Adventurer</v>
      </c>
      <c r="K174" s="250"/>
      <c r="M174" s="729"/>
      <c r="O174" s="251" t="str">
        <f>+INDEX(PWP!$A:$Z,MATCH('PWP-Print'!O172,PWP!$B:$B,0),MATCH("Num",PWP!$A$1:$Z$1,0))</f>
        <v>A-092</v>
      </c>
      <c r="Q174" s="249" t="str">
        <f>+INDEX(PWP!$A:$Z,MATCH('PWP-Print'!O172,PWP!$B:$B,0),MATCH("Element",PWP!$A$1:$Z$1,0))&amp;" "&amp;INDEX(PWP!$A:$Z,MATCH('PWP-Print'!O172,PWP!$B:$B,0),MATCH("Type",PWP!$A$1:$Z$1,0))&amp;" Adventurer"</f>
        <v>Water Lance Adventurer</v>
      </c>
      <c r="U174" s="250"/>
    </row>
    <row r="175" spans="1:21" ht="7.5" customHeight="1" x14ac:dyDescent="0.3">
      <c r="A175" s="244" t="s">
        <v>10763</v>
      </c>
      <c r="E175" s="250"/>
      <c r="G175" s="250"/>
      <c r="K175" s="250"/>
      <c r="O175" s="250"/>
      <c r="Q175" s="250"/>
      <c r="U175" s="250"/>
    </row>
    <row r="176" spans="1:21" ht="22.5" customHeight="1" x14ac:dyDescent="0.3">
      <c r="C176" s="729" t="e" vm="1117">
        <f>_xlfn.IMAGE("https://natalie.tf/wp-content/uploads/2023/10/DLV3_Icon_ADV_"&amp;E177&amp;"_r05.png")</f>
        <v>#VALUE!</v>
      </c>
      <c r="E176" s="249" t="str">
        <f>"PWP-"&amp;A178</f>
        <v>PWP-080</v>
      </c>
      <c r="G176" s="249" t="str">
        <f>+INDEX(PWP!$A:$Z,MATCH('PWP-Print'!E176,PWP!$B:$B,0),MATCH("Title",PWP!$A$1:$Z$1,0))</f>
        <v>Emotional Android</v>
      </c>
      <c r="I176" t="e" vm="1045">
        <f>_xlfn.IMAGE("https://natalie.tf/wp-content/uploads/2023/10/DLV3_Icon_Ability_"&amp;INDEX('PWP-A'!$A$2:$C$31,MATCH('PWP-Print'!J176,'PWP-A'!$B$2:$B$31,0),1)&amp;".png")</f>
        <v>#VALUE!</v>
      </c>
      <c r="J176" s="229" t="str">
        <f>+INDEX(PWP!$A:$Z,MATCH('PWP-Print'!E176,PWP!$B:$B,0),MATCH("PWP Ability 1",PWP!$A$1:$Z$1,0))</f>
        <v>Attack Rate +20%</v>
      </c>
      <c r="K176" s="249" t="str">
        <f>+INDEX(PWP!$A:$Z,MATCH('PWP-Print'!E176,PWP!$B:$B,0),MATCH("Locked PWP Ability 1",PWP!$A$1:$Z$1,0))</f>
        <v>(Water) Attack Rate +20%</v>
      </c>
      <c r="M176" s="729" t="e" vm="1118">
        <f>_xlfn.IMAGE("https://natalie.tf/wp-content/uploads/2023/10/DLV3_Icon_ADV_"&amp;O177&amp;"_r05.png")</f>
        <v>#VALUE!</v>
      </c>
      <c r="O176" s="249" t="str">
        <f>"PWP-"&amp;B178</f>
        <v>PWP-093</v>
      </c>
      <c r="Q176" s="249" t="str">
        <f>+INDEX(PWP!$A:$Z,MATCH('PWP-Print'!O176,PWP!$B:$B,0),MATCH("Title",PWP!$A$1:$Z$1,0))</f>
        <v>Quiet Mercenary</v>
      </c>
      <c r="S176" t="e" vm="14">
        <f>_xlfn.IMAGE("https://natalie.tf/wp-content/uploads/2023/10/DLV3_Icon_Ability_"&amp;INDEX('PWP-A'!$A$2:$C$31,MATCH('PWP-Print'!T176,'PWP-A'!$B$2:$B$31,0),1)&amp;".png")</f>
        <v>#VALUE!</v>
      </c>
      <c r="T176" s="229" t="str">
        <f>+INDEX(PWP!$A:$Z,MATCH('PWP-Print'!O176,PWP!$B:$B,0),MATCH("PWP Ability 1",PWP!$A$1:$Z$1,0))</f>
        <v>Skill Damage +40%</v>
      </c>
      <c r="U176" s="249" t="str">
        <f>+INDEX(PWP!$A:$Z,MATCH('PWP-Print'!O176,PWP!$B:$B,0),MATCH("Locked PWP Ability 1",PWP!$A$1:$Z$1,0))</f>
        <v>(Water) Skill Damage +40%</v>
      </c>
    </row>
    <row r="177" spans="1:21" ht="22.5" customHeight="1" x14ac:dyDescent="0.3">
      <c r="C177" s="729"/>
      <c r="D177" s="8"/>
      <c r="E177" s="200" t="str">
        <f>+INDEX(PWP!$A:$Z,MATCH('PWP-Print'!E176,PWP!$B:$B,0),MATCH("ID",PWP!$A$1:$Z$1,0))</f>
        <v>110383_01</v>
      </c>
      <c r="F177" s="8"/>
      <c r="G177" s="249" t="str">
        <f>+INDEX(PWP!$A:$Z,MATCH('PWP-Print'!E176,PWP!$B:$B,0),MATCH("Name",PWP!$A$1:$Z$1,0))</f>
        <v>Finni</v>
      </c>
      <c r="H177" s="8"/>
      <c r="I177" t="e" vm="376">
        <f>_xlfn.IMAGE("https://natalie.tf/wp-content/uploads/2023/10/DLV3_Icon_Ability_"&amp;INDEX('PWP-A'!$A$2:$C$31,MATCH('PWP-Print'!J177,'PWP-A'!$B$2:$B$31,0),1)&amp;".png")</f>
        <v>#VALUE!</v>
      </c>
      <c r="J177" s="229" t="str">
        <f>+INDEX(PWP!$A:$Z,MATCH('PWP-Print'!E176,PWP!$B:$B,0),MATCH("PWP Ability 2",PWP!$A$1:$Z$1,0))</f>
        <v>Broken Punisher +30%</v>
      </c>
      <c r="K177" s="249" t="str">
        <f>+INDEX(PWP!$A:$Z,MATCH('PWP-Print'!E176,PWP!$B:$B,0),MATCH("Locked PWP Ability 2",PWP!$A$1:$Z$1,0))</f>
        <v>(Water) Broken Punisher +30%</v>
      </c>
      <c r="M177" s="729"/>
      <c r="N177" s="8"/>
      <c r="O177" s="200" t="str">
        <f>+INDEX(PWP!$A:$Z,MATCH('PWP-Print'!O176,PWP!$B:$B,0),MATCH("ID",PWP!$A$1:$Z$1,0))</f>
        <v>110058_01</v>
      </c>
      <c r="P177" s="8"/>
      <c r="Q177" s="249" t="str">
        <f>+INDEX(PWP!$A:$Z,MATCH('PWP-Print'!O176,PWP!$B:$B,0),MATCH("Name",PWP!$A$1:$Z$1,0))</f>
        <v>Jakob</v>
      </c>
      <c r="R177" s="8"/>
      <c r="S177" t="e" vm="1045">
        <f>_xlfn.IMAGE("https://natalie.tf/wp-content/uploads/2023/10/DLV3_Icon_Ability_"&amp;INDEX('PWP-A'!$A$2:$C$31,MATCH('PWP-Print'!T177,'PWP-A'!$B$2:$B$31,0),1)&amp;".png")</f>
        <v>#VALUE!</v>
      </c>
      <c r="T177" s="229" t="str">
        <f>+INDEX(PWP!$A:$Z,MATCH('PWP-Print'!O176,PWP!$B:$B,0),MATCH("PWP Ability 2",PWP!$A$1:$Z$1,0))</f>
        <v>Attack Rate +20%</v>
      </c>
      <c r="U177" s="249" t="str">
        <f>+INDEX(PWP!$A:$Z,MATCH('PWP-Print'!O176,PWP!$B:$B,0),MATCH("Locked PWP Ability 2",PWP!$A$1:$Z$1,0))</f>
        <v>(Water) Attack Rate +20%</v>
      </c>
    </row>
    <row r="178" spans="1:21" ht="22.5" customHeight="1" x14ac:dyDescent="0.3">
      <c r="A178" s="244" t="str">
        <f>TEXT(A174+1,"000")</f>
        <v>080</v>
      </c>
      <c r="B178" s="244" t="str">
        <f>TEXT(B174+1,"000")</f>
        <v>093</v>
      </c>
      <c r="C178" s="729"/>
      <c r="E178" s="251" t="str">
        <f>+INDEX(PWP!$A:$Z,MATCH('PWP-Print'!E176,PWP!$B:$B,0),MATCH("Num",PWP!$A$1:$Z$1,0))</f>
        <v>A-080</v>
      </c>
      <c r="G178" s="249" t="str">
        <f>+INDEX(PWP!$A:$Z,MATCH('PWP-Print'!E176,PWP!$B:$B,0),MATCH("Element",PWP!$A$1:$Z$1,0))&amp;" "&amp;INDEX(PWP!$A:$Z,MATCH('PWP-Print'!E176,PWP!$B:$B,0),MATCH("Type",PWP!$A$1:$Z$1,0))&amp;" Adventurer"</f>
        <v>Water Axe Adventurer</v>
      </c>
      <c r="K178" s="250"/>
      <c r="M178" s="729"/>
      <c r="O178" s="251" t="str">
        <f>+INDEX(PWP!$A:$Z,MATCH('PWP-Print'!O176,PWP!$B:$B,0),MATCH("Num",PWP!$A$1:$Z$1,0))</f>
        <v>A-093</v>
      </c>
      <c r="Q178" s="249" t="str">
        <f>+INDEX(PWP!$A:$Z,MATCH('PWP-Print'!O176,PWP!$B:$B,0),MATCH("Element",PWP!$A$1:$Z$1,0))&amp;" "&amp;INDEX(PWP!$A:$Z,MATCH('PWP-Print'!O176,PWP!$B:$B,0),MATCH("Type",PWP!$A$1:$Z$1,0))&amp;" Adventurer"</f>
        <v>Water Lance Adventurer</v>
      </c>
      <c r="U178" s="250"/>
    </row>
    <row r="179" spans="1:21" ht="7.5" customHeight="1" x14ac:dyDescent="0.3">
      <c r="A179" s="244" t="s">
        <v>10763</v>
      </c>
      <c r="E179" s="250"/>
      <c r="G179" s="250"/>
      <c r="K179" s="250"/>
      <c r="O179" s="250"/>
      <c r="Q179" s="250"/>
      <c r="U179" s="250"/>
    </row>
    <row r="180" spans="1:21" ht="22.5" customHeight="1" x14ac:dyDescent="0.3">
      <c r="C180" s="729" t="e" vm="1119">
        <f>_xlfn.IMAGE("https://natalie.tf/wp-content/uploads/2023/10/DLV3_Icon_ADV_"&amp;E181&amp;"_r05.png")</f>
        <v>#VALUE!</v>
      </c>
      <c r="E180" s="249" t="str">
        <f>"PWP-"&amp;A182</f>
        <v>PWP-081</v>
      </c>
      <c r="G180" s="249" t="str">
        <f>+INDEX(PWP!$A:$Z,MATCH('PWP-Print'!E180,PWP!$B:$B,0),MATCH("Title",PWP!$A$1:$Z$1,0))</f>
        <v>Mechanized Blacksmith</v>
      </c>
      <c r="I180" t="e" vm="14">
        <f>_xlfn.IMAGE("https://natalie.tf/wp-content/uploads/2023/10/DLV3_Icon_Ability_"&amp;INDEX('PWP-A'!$A$2:$C$31,MATCH('PWP-Print'!J180,'PWP-A'!$B$2:$B$31,0),1)&amp;".png")</f>
        <v>#VALUE!</v>
      </c>
      <c r="J180" s="229" t="str">
        <f>+INDEX(PWP!$A:$Z,MATCH('PWP-Print'!E180,PWP!$B:$B,0),MATCH("PWP Ability 1",PWP!$A$1:$Z$1,0))</f>
        <v>Strength +20%</v>
      </c>
      <c r="K180" s="249" t="str">
        <f>+INDEX(PWP!$A:$Z,MATCH('PWP-Print'!E180,PWP!$B:$B,0),MATCH("Locked PWP Ability 1",PWP!$A$1:$Z$1,0))</f>
        <v>(Water) Strength +20%</v>
      </c>
      <c r="M180" s="729" t="e" vm="1120">
        <f>_xlfn.IMAGE("https://natalie.tf/wp-content/uploads/2023/10/DLV3_Icon_ADV_"&amp;O181&amp;"_r05.png")</f>
        <v>#VALUE!</v>
      </c>
      <c r="O180" s="249" t="str">
        <f>"PWP-"&amp;B182</f>
        <v>PWP-094</v>
      </c>
      <c r="Q180" s="249" t="str">
        <f>+INDEX(PWP!$A:$Z,MATCH('PWP-Print'!O180,PWP!$B:$B,0),MATCH("Title",PWP!$A$1:$Z$1,0))</f>
        <v>Staunch Avenger</v>
      </c>
      <c r="S180" t="e" vm="426">
        <f>_xlfn.IMAGE("https://natalie.tf/wp-content/uploads/2023/10/DLV3_Icon_Ability_"&amp;INDEX('PWP-A'!$A$2:$C$31,MATCH('PWP-Print'!T180,'PWP-A'!$B$2:$B$31,0),1)&amp;".png")</f>
        <v>#VALUE!</v>
      </c>
      <c r="T180" s="229" t="str">
        <f>+INDEX(PWP!$A:$Z,MATCH('PWP-Print'!O180,PWP!$B:$B,0),MATCH("PWP Ability 1",PWP!$A$1:$Z$1,0))</f>
        <v>Defense +20%</v>
      </c>
      <c r="U180" s="249" t="str">
        <f>+INDEX(PWP!$A:$Z,MATCH('PWP-Print'!O180,PWP!$B:$B,0),MATCH("Locked PWP Ability 1",PWP!$A$1:$Z$1,0))</f>
        <v>(Water) Defense +20%</v>
      </c>
    </row>
    <row r="181" spans="1:21" ht="22.5" customHeight="1" x14ac:dyDescent="0.3">
      <c r="C181" s="729"/>
      <c r="D181" s="8"/>
      <c r="E181" s="200" t="str">
        <f>+INDEX(PWP!$A:$Z,MATCH('PWP-Print'!E180,PWP!$B:$B,0),MATCH("ID",PWP!$A$1:$Z$1,0))</f>
        <v>110355_01</v>
      </c>
      <c r="F181" s="8"/>
      <c r="G181" s="249" t="str">
        <f>+INDEX(PWP!$A:$Z,MATCH('PWP-Print'!E180,PWP!$B:$B,0),MATCH("Name",PWP!$A$1:$Z$1,0))</f>
        <v>Lazry</v>
      </c>
      <c r="H181" s="8"/>
      <c r="I181" t="e" vm="414">
        <f>_xlfn.IMAGE("https://natalie.tf/wp-content/uploads/2023/10/DLV3_Icon_Ability_"&amp;INDEX('PWP-A'!$A$2:$C$31,MATCH('PWP-Print'!J181,'PWP-A'!$B$2:$B$31,0),1)&amp;".png")</f>
        <v>#VALUE!</v>
      </c>
      <c r="J181" s="229" t="str">
        <f>+INDEX(PWP!$A:$Z,MATCH('PWP-Print'!E180,PWP!$B:$B,0),MATCH("PWP Ability 2",PWP!$A$1:$Z$1,0))</f>
        <v>Critical Damage +25%</v>
      </c>
      <c r="K181" s="249" t="str">
        <f>+INDEX(PWP!$A:$Z,MATCH('PWP-Print'!E180,PWP!$B:$B,0),MATCH("Locked PWP Ability 2",PWP!$A$1:$Z$1,0))</f>
        <v>(Water) Critical Damage +25%</v>
      </c>
      <c r="M181" s="729"/>
      <c r="N181" s="8"/>
      <c r="O181" s="200" t="str">
        <f>+INDEX(PWP!$A:$Z,MATCH('PWP-Print'!O180,PWP!$B:$B,0),MATCH("ID",PWP!$A$1:$Z$1,0))</f>
        <v>110014_01</v>
      </c>
      <c r="P181" s="8"/>
      <c r="Q181" s="249" t="str">
        <f>+INDEX(PWP!$A:$Z,MATCH('PWP-Print'!O180,PWP!$B:$B,0),MATCH("Name",PWP!$A$1:$Z$1,0))</f>
        <v>Cibella</v>
      </c>
      <c r="R181" s="8"/>
      <c r="S181" t="e" vm="349">
        <f>_xlfn.IMAGE("https://natalie.tf/wp-content/uploads/2023/10/DLV3_Icon_Ability_"&amp;INDEX('PWP-A'!$A$2:$C$31,MATCH('PWP-Print'!T181,'PWP-A'!$B$2:$B$31,0),1)&amp;".png")</f>
        <v>#VALUE!</v>
      </c>
      <c r="T181" s="229" t="str">
        <f>+INDEX(PWP!$A:$Z,MATCH('PWP-Print'!O180,PWP!$B:$B,0),MATCH("PWP Ability 2",PWP!$A$1:$Z$1,0))</f>
        <v>Recovery Potency +20%</v>
      </c>
      <c r="U181" s="249" t="str">
        <f>+INDEX(PWP!$A:$Z,MATCH('PWP-Print'!O180,PWP!$B:$B,0),MATCH("Locked PWP Ability 2",PWP!$A$1:$Z$1,0))</f>
        <v>(Water) Recovery Potency +20%</v>
      </c>
    </row>
    <row r="182" spans="1:21" ht="22.5" customHeight="1" x14ac:dyDescent="0.3">
      <c r="A182" s="244" t="str">
        <f>TEXT(A178+1,"000")</f>
        <v>081</v>
      </c>
      <c r="B182" s="244" t="str">
        <f>TEXT(B178+1,"000")</f>
        <v>094</v>
      </c>
      <c r="C182" s="729"/>
      <c r="E182" s="251" t="str">
        <f>+INDEX(PWP!$A:$Z,MATCH('PWP-Print'!E180,PWP!$B:$B,0),MATCH("Num",PWP!$A$1:$Z$1,0))</f>
        <v>A-081</v>
      </c>
      <c r="G182" s="249" t="str">
        <f>+INDEX(PWP!$A:$Z,MATCH('PWP-Print'!E180,PWP!$B:$B,0),MATCH("Element",PWP!$A$1:$Z$1,0))&amp;" "&amp;INDEX(PWP!$A:$Z,MATCH('PWP-Print'!E180,PWP!$B:$B,0),MATCH("Type",PWP!$A$1:$Z$1,0))&amp;" Adventurer"</f>
        <v>Water Axe Adventurer</v>
      </c>
      <c r="K182" s="250"/>
      <c r="M182" s="729"/>
      <c r="O182" s="251" t="str">
        <f>+INDEX(PWP!$A:$Z,MATCH('PWP-Print'!O180,PWP!$B:$B,0),MATCH("Num",PWP!$A$1:$Z$1,0))</f>
        <v>A-094</v>
      </c>
      <c r="Q182" s="249" t="str">
        <f>+INDEX(PWP!$A:$Z,MATCH('PWP-Print'!O180,PWP!$B:$B,0),MATCH("Element",PWP!$A$1:$Z$1,0))&amp;" "&amp;INDEX(PWP!$A:$Z,MATCH('PWP-Print'!O180,PWP!$B:$B,0),MATCH("Type",PWP!$A$1:$Z$1,0))&amp;" Adventurer"</f>
        <v>Water Lance Adventurer</v>
      </c>
      <c r="U182" s="250"/>
    </row>
    <row r="183" spans="1:21" ht="7.5" customHeight="1" x14ac:dyDescent="0.3">
      <c r="A183" s="244" t="s">
        <v>10763</v>
      </c>
      <c r="E183" s="250"/>
      <c r="G183" s="250"/>
      <c r="K183" s="250"/>
      <c r="O183" s="250"/>
      <c r="Q183" s="250"/>
      <c r="U183" s="250"/>
    </row>
    <row r="184" spans="1:21" ht="22.5" customHeight="1" x14ac:dyDescent="0.3">
      <c r="C184" s="729" t="e" vm="1121">
        <f>_xlfn.IMAGE("https://natalie.tf/wp-content/uploads/2023/10/DLV3_Icon_ADV_"&amp;E185&amp;"_r05.png")</f>
        <v>#VALUE!</v>
      </c>
      <c r="E184" s="249" t="str">
        <f>"PWP-"&amp;A186</f>
        <v>PWP-082</v>
      </c>
      <c r="G184" s="249" t="str">
        <f>+INDEX(PWP!$A:$Z,MATCH('PWP-Print'!E184,PWP!$B:$B,0),MATCH("Title",PWP!$A$1:$Z$1,0))</f>
        <v>Godly Guide</v>
      </c>
      <c r="I184" t="e" vm="1036">
        <f>_xlfn.IMAGE("https://natalie.tf/wp-content/uploads/2023/10/DLV3_Icon_Ability_"&amp;INDEX('PWP-A'!$A$2:$C$31,MATCH('PWP-Print'!J184,'PWP-A'!$B$2:$B$31,0),1)&amp;".png")</f>
        <v>#VALUE!</v>
      </c>
      <c r="J184" s="229" t="str">
        <f>+INDEX(PWP!$A:$Z,MATCH('PWP-Print'!E184,PWP!$B:$B,0),MATCH("PWP Ability 1",PWP!$A$1:$Z$1,0))</f>
        <v>15 Hits = Overdamage</v>
      </c>
      <c r="K184" s="249" t="str">
        <f>+INDEX(PWP!$A:$Z,MATCH('PWP-Print'!E184,PWP!$B:$B,0),MATCH("Locked PWP Ability 1",PWP!$A$1:$Z$1,0))</f>
        <v>(Water) 15 Hits = Overdamage</v>
      </c>
      <c r="M184" s="729" t="e" vm="1122">
        <f>_xlfn.IMAGE("https://natalie.tf/wp-content/uploads/2023/10/DLV3_Icon_ADV_"&amp;O185&amp;"_r05.png")</f>
        <v>#VALUE!</v>
      </c>
      <c r="O184" s="249" t="str">
        <f>"PWP-"&amp;B186</f>
        <v>PWP-095</v>
      </c>
      <c r="Q184" s="249" t="str">
        <f>+INDEX(PWP!$A:$Z,MATCH('PWP-Print'!O184,PWP!$B:$B,0),MATCH("Title",PWP!$A$1:$Z$1,0))</f>
        <v>Small Singing Helper</v>
      </c>
      <c r="S184" t="e" vm="414">
        <f>_xlfn.IMAGE("https://natalie.tf/wp-content/uploads/2023/10/DLV3_Icon_Ability_"&amp;INDEX('PWP-A'!$A$2:$C$31,MATCH('PWP-Print'!T184,'PWP-A'!$B$2:$B$31,0),1)&amp;".png")</f>
        <v>#VALUE!</v>
      </c>
      <c r="T184" s="229" t="str">
        <f>+INDEX(PWP!$A:$Z,MATCH('PWP-Print'!O184,PWP!$B:$B,0),MATCH("PWP Ability 1",PWP!$A$1:$Z$1,0))</f>
        <v>Critical Damage +25%</v>
      </c>
      <c r="U184" s="249" t="str">
        <f>+INDEX(PWP!$A:$Z,MATCH('PWP-Print'!O184,PWP!$B:$B,0),MATCH("Locked PWP Ability 1",PWP!$A$1:$Z$1,0))</f>
        <v>(Water) Critical Damage +25%</v>
      </c>
    </row>
    <row r="185" spans="1:21" ht="22.5" customHeight="1" x14ac:dyDescent="0.3">
      <c r="C185" s="729"/>
      <c r="D185" s="8"/>
      <c r="E185" s="200" t="str">
        <f>+INDEX(PWP!$A:$Z,MATCH('PWP-Print'!E184,PWP!$B:$B,0),MATCH("ID",PWP!$A$1:$Z$1,0))</f>
        <v>100002_13</v>
      </c>
      <c r="F185" s="8"/>
      <c r="G185" s="249" t="str">
        <f>+INDEX(PWP!$A:$Z,MATCH('PWP-Print'!E184,PWP!$B:$B,0),MATCH("Name",PWP!$A$1:$Z$1,0))</f>
        <v>Gala Elisanne</v>
      </c>
      <c r="H185" s="8"/>
      <c r="I185" t="e" vm="693">
        <f>_xlfn.IMAGE("https://natalie.tf/wp-content/uploads/2023/10/DLV3_Icon_Ability_"&amp;INDEX('PWP-A'!$A$2:$C$31,MATCH('PWP-Print'!J185,'PWP-A'!$B$2:$B$31,0),1)&amp;".png")</f>
        <v>#VALUE!</v>
      </c>
      <c r="J185" s="229" t="str">
        <f>+INDEX(PWP!$A:$Z,MATCH('PWP-Print'!E184,PWP!$B:$B,0),MATCH("PWP Ability 2",PWP!$A$1:$Z$1,0))</f>
        <v>Combo Time +2</v>
      </c>
      <c r="K185" s="249" t="str">
        <f>+INDEX(PWP!$A:$Z,MATCH('PWP-Print'!E184,PWP!$B:$B,0),MATCH("Locked PWP Ability 2",PWP!$A$1:$Z$1,0))</f>
        <v>(Water) Combo Time +2</v>
      </c>
      <c r="M185" s="729"/>
      <c r="N185" s="8"/>
      <c r="O185" s="200" t="str">
        <f>+INDEX(PWP!$A:$Z,MATCH('PWP-Print'!O184,PWP!$B:$B,0),MATCH("ID",PWP!$A$1:$Z$1,0))</f>
        <v>110302_04</v>
      </c>
      <c r="P185" s="8"/>
      <c r="Q185" s="249" t="str">
        <f>+INDEX(PWP!$A:$Z,MATCH('PWP-Print'!O184,PWP!$B:$B,0),MATCH("Name",PWP!$A$1:$Z$1,0))</f>
        <v>Housekeeper Pia</v>
      </c>
      <c r="R185" s="8"/>
      <c r="S185" t="e" vm="426">
        <f>_xlfn.IMAGE("https://natalie.tf/wp-content/uploads/2023/10/DLV3_Icon_Ability_"&amp;INDEX('PWP-A'!$A$2:$C$31,MATCH('PWP-Print'!T185,'PWP-A'!$B$2:$B$31,0),1)&amp;".png")</f>
        <v>#VALUE!</v>
      </c>
      <c r="T185" s="229" t="str">
        <f>+INDEX(PWP!$A:$Z,MATCH('PWP-Print'!O184,PWP!$B:$B,0),MATCH("PWP Ability 2",PWP!$A$1:$Z$1,0))</f>
        <v>Defense +20%</v>
      </c>
      <c r="U185" s="249" t="str">
        <f>+INDEX(PWP!$A:$Z,MATCH('PWP-Print'!O184,PWP!$B:$B,0),MATCH("Locked PWP Ability 2",PWP!$A$1:$Z$1,0))</f>
        <v>(Water) Defense +20%</v>
      </c>
    </row>
    <row r="186" spans="1:21" ht="22.5" customHeight="1" x14ac:dyDescent="0.3">
      <c r="A186" s="244" t="str">
        <f>TEXT(A182+1,"000")</f>
        <v>082</v>
      </c>
      <c r="B186" s="244" t="str">
        <f>TEXT(B182+1,"000")</f>
        <v>095</v>
      </c>
      <c r="C186" s="729"/>
      <c r="E186" s="251" t="str">
        <f>+INDEX(PWP!$A:$Z,MATCH('PWP-Print'!E184,PWP!$B:$B,0),MATCH("Num",PWP!$A$1:$Z$1,0))</f>
        <v>A-082</v>
      </c>
      <c r="G186" s="249" t="str">
        <f>+INDEX(PWP!$A:$Z,MATCH('PWP-Print'!E184,PWP!$B:$B,0),MATCH("Element",PWP!$A$1:$Z$1,0))&amp;" "&amp;INDEX(PWP!$A:$Z,MATCH('PWP-Print'!E184,PWP!$B:$B,0),MATCH("Type",PWP!$A$1:$Z$1,0))&amp;" Adventurer"</f>
        <v>Water Axe Adventurer</v>
      </c>
      <c r="K186" s="250"/>
      <c r="M186" s="729"/>
      <c r="O186" s="251" t="str">
        <f>+INDEX(PWP!$A:$Z,MATCH('PWP-Print'!O184,PWP!$B:$B,0),MATCH("Num",PWP!$A$1:$Z$1,0))</f>
        <v>A-095</v>
      </c>
      <c r="Q186" s="249" t="str">
        <f>+INDEX(PWP!$A:$Z,MATCH('PWP-Print'!O184,PWP!$B:$B,0),MATCH("Element",PWP!$A$1:$Z$1,0))&amp;" "&amp;INDEX(PWP!$A:$Z,MATCH('PWP-Print'!O184,PWP!$B:$B,0),MATCH("Type",PWP!$A$1:$Z$1,0))&amp;" Adventurer"</f>
        <v>Water Bow Adventurer</v>
      </c>
      <c r="U186" s="250"/>
    </row>
    <row r="187" spans="1:21" ht="7.5" customHeight="1" x14ac:dyDescent="0.3">
      <c r="A187" s="244" t="s">
        <v>10763</v>
      </c>
      <c r="E187" s="250"/>
      <c r="G187" s="250"/>
      <c r="K187" s="250"/>
      <c r="O187" s="250"/>
      <c r="Q187" s="250"/>
      <c r="U187" s="250"/>
    </row>
    <row r="188" spans="1:21" ht="22.5" customHeight="1" x14ac:dyDescent="0.3">
      <c r="C188" s="729" t="e" vm="1123">
        <f>_xlfn.IMAGE("https://natalie.tf/wp-content/uploads/2023/10/DLV3_Icon_ADV_"&amp;E189&amp;"_r05.png")</f>
        <v>#VALUE!</v>
      </c>
      <c r="E188" s="249" t="str">
        <f>"PWP-"&amp;A190</f>
        <v>PWP-083</v>
      </c>
      <c r="G188" s="249" t="str">
        <f>+INDEX(PWP!$A:$Z,MATCH('PWP-Print'!E188,PWP!$B:$B,0),MATCH("Title",PWP!$A$1:$Z$1,0))</f>
        <v>Paladyn in Paradise</v>
      </c>
      <c r="I188" t="e" vm="326">
        <f>_xlfn.IMAGE("https://natalie.tf/wp-content/uploads/2023/10/DLV3_Icon_Ability_"&amp;INDEX('PWP-A'!$A$2:$C$31,MATCH('PWP-Print'!J188,'PWP-A'!$B$2:$B$31,0),1)&amp;".png")</f>
        <v>#VALUE!</v>
      </c>
      <c r="J188" s="229" t="str">
        <f>+INDEX(PWP!$A:$Z,MATCH('PWP-Print'!E188,PWP!$B:$B,0),MATCH("PWP Ability 1",PWP!$A$1:$Z$1,0))</f>
        <v>Critical Rate +15%</v>
      </c>
      <c r="K188" s="249" t="str">
        <f>+INDEX(PWP!$A:$Z,MATCH('PWP-Print'!E188,PWP!$B:$B,0),MATCH("Locked PWP Ability 1",PWP!$A$1:$Z$1,0))</f>
        <v>(Water) Critical Rate +15%</v>
      </c>
      <c r="M188" s="729" t="e" vm="1124">
        <f>_xlfn.IMAGE("https://natalie.tf/wp-content/uploads/2023/10/DLV3_Icon_ADV_"&amp;O189&amp;"_r05.png")</f>
        <v>#VALUE!</v>
      </c>
      <c r="O188" s="249" t="str">
        <f>"PWP-"&amp;B190</f>
        <v>PWP-096</v>
      </c>
      <c r="Q188" s="249" t="str">
        <f>+INDEX(PWP!$A:$Z,MATCH('PWP-Print'!O188,PWP!$B:$B,0),MATCH("Title",PWP!$A$1:$Z$1,0))</f>
        <v>The Wing of Purity</v>
      </c>
      <c r="S188" t="e" vm="1036">
        <f>_xlfn.IMAGE("https://natalie.tf/wp-content/uploads/2023/10/DLV3_Icon_Ability_"&amp;INDEX('PWP-A'!$A$2:$C$31,MATCH('PWP-Print'!T188,'PWP-A'!$B$2:$B$31,0),1)&amp;".png")</f>
        <v>#VALUE!</v>
      </c>
      <c r="T188" s="229" t="str">
        <f>+INDEX(PWP!$A:$Z,MATCH('PWP-Print'!O188,PWP!$B:$B,0),MATCH("PWP Ability 1",PWP!$A$1:$Z$1,0))</f>
        <v>15 Hits = Overdamage</v>
      </c>
      <c r="U188" s="249" t="str">
        <f>+INDEX(PWP!$A:$Z,MATCH('PWP-Print'!O188,PWP!$B:$B,0),MATCH("Locked PWP Ability 1",PWP!$A$1:$Z$1,0))</f>
        <v>(Water) 15 Hits = Overdamage</v>
      </c>
    </row>
    <row r="189" spans="1:21" ht="22.5" customHeight="1" x14ac:dyDescent="0.3">
      <c r="C189" s="729"/>
      <c r="D189" s="8"/>
      <c r="E189" s="200" t="str">
        <f>+INDEX(PWP!$A:$Z,MATCH('PWP-Print'!E188,PWP!$B:$B,0),MATCH("ID",PWP!$A$1:$Z$1,0))</f>
        <v>110042_02</v>
      </c>
      <c r="F189" s="8"/>
      <c r="G189" s="249" t="str">
        <f>+INDEX(PWP!$A:$Z,MATCH('PWP-Print'!E188,PWP!$B:$B,0),MATCH("Name",PWP!$A$1:$Z$1,0))</f>
        <v>Summer Julietta</v>
      </c>
      <c r="H189" s="8"/>
      <c r="I189" t="e" vm="414">
        <f>_xlfn.IMAGE("https://natalie.tf/wp-content/uploads/2023/10/DLV3_Icon_Ability_"&amp;INDEX('PWP-A'!$A$2:$C$31,MATCH('PWP-Print'!J189,'PWP-A'!$B$2:$B$31,0),1)&amp;".png")</f>
        <v>#VALUE!</v>
      </c>
      <c r="J189" s="229" t="str">
        <f>+INDEX(PWP!$A:$Z,MATCH('PWP-Print'!E188,PWP!$B:$B,0),MATCH("PWP Ability 2",PWP!$A$1:$Z$1,0))</f>
        <v>Critical Damage +25%</v>
      </c>
      <c r="K189" s="249" t="str">
        <f>+INDEX(PWP!$A:$Z,MATCH('PWP-Print'!E188,PWP!$B:$B,0),MATCH("Locked PWP Ability 2",PWP!$A$1:$Z$1,0))</f>
        <v>(Water) Critical Damage +25%</v>
      </c>
      <c r="M189" s="729"/>
      <c r="N189" s="8"/>
      <c r="O189" s="200" t="str">
        <f>+INDEX(PWP!$A:$Z,MATCH('PWP-Print'!O188,PWP!$B:$B,0),MATCH("ID",PWP!$A$1:$Z$1,0))</f>
        <v>110366_01</v>
      </c>
      <c r="P189" s="8"/>
      <c r="Q189" s="249" t="str">
        <f>+INDEX(PWP!$A:$Z,MATCH('PWP-Print'!O188,PWP!$B:$B,0),MATCH("Name",PWP!$A$1:$Z$1,0))</f>
        <v>Pinon</v>
      </c>
      <c r="R189" s="8"/>
      <c r="S189" t="e" vm="7">
        <f>_xlfn.IMAGE("https://natalie.tf/wp-content/uploads/2023/10/DLV3_Icon_Ability_"&amp;INDEX('PWP-A'!$A$2:$C$31,MATCH('PWP-Print'!T189,'PWP-A'!$B$2:$B$31,0),1)&amp;".png")</f>
        <v>#VALUE!</v>
      </c>
      <c r="T189" s="229" t="str">
        <f>+INDEX(PWP!$A:$Z,MATCH('PWP-Print'!O188,PWP!$B:$B,0),MATCH("PWP Ability 2",PWP!$A$1:$Z$1,0))</f>
        <v>Force Strike +50%</v>
      </c>
      <c r="U189" s="249" t="str">
        <f>+INDEX(PWP!$A:$Z,MATCH('PWP-Print'!O188,PWP!$B:$B,0),MATCH("Locked PWP Ability 2",PWP!$A$1:$Z$1,0))</f>
        <v>(Water) Force Strike +50%</v>
      </c>
    </row>
    <row r="190" spans="1:21" ht="22.5" customHeight="1" x14ac:dyDescent="0.3">
      <c r="A190" s="244" t="str">
        <f>TEXT(A186+1,"000")</f>
        <v>083</v>
      </c>
      <c r="B190" s="244" t="str">
        <f>TEXT(B186+1,"000")</f>
        <v>096</v>
      </c>
      <c r="C190" s="729"/>
      <c r="E190" s="251" t="str">
        <f>+INDEX(PWP!$A:$Z,MATCH('PWP-Print'!E188,PWP!$B:$B,0),MATCH("Num",PWP!$A$1:$Z$1,0))</f>
        <v>A-083</v>
      </c>
      <c r="G190" s="249" t="str">
        <f>+INDEX(PWP!$A:$Z,MATCH('PWP-Print'!E188,PWP!$B:$B,0),MATCH("Element",PWP!$A$1:$Z$1,0))&amp;" "&amp;INDEX(PWP!$A:$Z,MATCH('PWP-Print'!E188,PWP!$B:$B,0),MATCH("Type",PWP!$A$1:$Z$1,0))&amp;" Adventurer"</f>
        <v>Water Axe Adventurer</v>
      </c>
      <c r="K190" s="250"/>
      <c r="M190" s="729"/>
      <c r="O190" s="251" t="str">
        <f>+INDEX(PWP!$A:$Z,MATCH('PWP-Print'!O188,PWP!$B:$B,0),MATCH("Num",PWP!$A$1:$Z$1,0))</f>
        <v>A-096</v>
      </c>
      <c r="Q190" s="249" t="str">
        <f>+INDEX(PWP!$A:$Z,MATCH('PWP-Print'!O188,PWP!$B:$B,0),MATCH("Element",PWP!$A$1:$Z$1,0))&amp;" "&amp;INDEX(PWP!$A:$Z,MATCH('PWP-Print'!O188,PWP!$B:$B,0),MATCH("Type",PWP!$A$1:$Z$1,0))&amp;" Adventurer"</f>
        <v>Water Bow Adventurer</v>
      </c>
      <c r="U190" s="250"/>
    </row>
    <row r="191" spans="1:21" ht="7.5" customHeight="1" x14ac:dyDescent="0.3">
      <c r="A191" s="244" t="s">
        <v>10763</v>
      </c>
      <c r="E191" s="250"/>
      <c r="G191" s="250"/>
      <c r="K191" s="250"/>
      <c r="O191" s="250"/>
      <c r="Q191" s="250"/>
      <c r="U191" s="250"/>
    </row>
    <row r="192" spans="1:21" ht="22.5" customHeight="1" x14ac:dyDescent="0.3">
      <c r="C192" s="729" t="e" vm="1125">
        <f>_xlfn.IMAGE("https://natalie.tf/wp-content/uploads/2023/10/DLV3_Icon_ADV_"&amp;E193&amp;"_r05.png")</f>
        <v>#VALUE!</v>
      </c>
      <c r="E192" s="249" t="str">
        <f>"PWP-"&amp;A194</f>
        <v>PWP-084</v>
      </c>
      <c r="G192" s="249" t="str">
        <f>+INDEX(PWP!$A:$Z,MATCH('PWP-Print'!E192,PWP!$B:$B,0),MATCH("Title",PWP!$A$1:$Z$1,0))</f>
        <v>Free-Spirited Pirate</v>
      </c>
      <c r="I192" t="e" vm="14">
        <f>_xlfn.IMAGE("https://natalie.tf/wp-content/uploads/2023/10/DLV3_Icon_Ability_"&amp;INDEX('PWP-A'!$A$2:$C$31,MATCH('PWP-Print'!J192,'PWP-A'!$B$2:$B$31,0),1)&amp;".png")</f>
        <v>#VALUE!</v>
      </c>
      <c r="J192" s="229" t="str">
        <f>+INDEX(PWP!$A:$Z,MATCH('PWP-Print'!E192,PWP!$B:$B,0),MATCH("PWP Ability 1",PWP!$A$1:$Z$1,0))</f>
        <v>Skill Damage +40%</v>
      </c>
      <c r="K192" s="249" t="str">
        <f>+INDEX(PWP!$A:$Z,MATCH('PWP-Print'!E192,PWP!$B:$B,0),MATCH("Locked PWP Ability 1",PWP!$A$1:$Z$1,0))</f>
        <v>(Water) Skill Damage +40%</v>
      </c>
      <c r="M192" s="729" t="e" vm="1126">
        <f>_xlfn.IMAGE("https://natalie.tf/wp-content/uploads/2023/10/DLV3_Icon_ADV_"&amp;O193&amp;"_r05.png")</f>
        <v>#VALUE!</v>
      </c>
      <c r="O192" s="249" t="str">
        <f>"PWP-"&amp;B194</f>
        <v>PWP-097</v>
      </c>
      <c r="Q192" s="249" t="str">
        <f>+INDEX(PWP!$A:$Z,MATCH('PWP-Print'!O192,PWP!$B:$B,0),MATCH("Title",PWP!$A$1:$Z$1,0))</f>
        <v>Mizutsune Archer</v>
      </c>
      <c r="S192" t="e" vm="14">
        <f>_xlfn.IMAGE("https://natalie.tf/wp-content/uploads/2023/10/DLV3_Icon_Ability_"&amp;INDEX('PWP-A'!$A$2:$C$31,MATCH('PWP-Print'!T192,'PWP-A'!$B$2:$B$31,0),1)&amp;".png")</f>
        <v>#VALUE!</v>
      </c>
      <c r="T192" s="229" t="str">
        <f>+INDEX(PWP!$A:$Z,MATCH('PWP-Print'!O192,PWP!$B:$B,0),MATCH("PWP Ability 1",PWP!$A$1:$Z$1,0))</f>
        <v>Skill Damage +40%</v>
      </c>
      <c r="U192" s="249" t="str">
        <f>+INDEX(PWP!$A:$Z,MATCH('PWP-Print'!O192,PWP!$B:$B,0),MATCH("Locked PWP Ability 1",PWP!$A$1:$Z$1,0))</f>
        <v>(Water) Skill Damage +40%</v>
      </c>
    </row>
    <row r="193" spans="1:21" ht="22.5" customHeight="1" x14ac:dyDescent="0.3">
      <c r="C193" s="729"/>
      <c r="D193" s="8"/>
      <c r="E193" s="200" t="str">
        <f>+INDEX(PWP!$A:$Z,MATCH('PWP-Print'!E192,PWP!$B:$B,0),MATCH("ID",PWP!$A$1:$Z$1,0))</f>
        <v>110018_01</v>
      </c>
      <c r="F193" s="8"/>
      <c r="G193" s="249" t="str">
        <f>+INDEX(PWP!$A:$Z,MATCH('PWP-Print'!E192,PWP!$B:$B,0),MATCH("Name",PWP!$A$1:$Z$1,0))</f>
        <v>Karina</v>
      </c>
      <c r="H193" s="8"/>
      <c r="I193" t="e" vm="414">
        <f>_xlfn.IMAGE("https://natalie.tf/wp-content/uploads/2023/10/DLV3_Icon_Ability_"&amp;INDEX('PWP-A'!$A$2:$C$31,MATCH('PWP-Print'!J193,'PWP-A'!$B$2:$B$31,0),1)&amp;".png")</f>
        <v>#VALUE!</v>
      </c>
      <c r="J193" s="229" t="str">
        <f>+INDEX(PWP!$A:$Z,MATCH('PWP-Print'!E192,PWP!$B:$B,0),MATCH("PWP Ability 2",PWP!$A$1:$Z$1,0))</f>
        <v>Critical Damage +25%</v>
      </c>
      <c r="K193" s="249" t="str">
        <f>+INDEX(PWP!$A:$Z,MATCH('PWP-Print'!E192,PWP!$B:$B,0),MATCH("Locked PWP Ability 2",PWP!$A$1:$Z$1,0))</f>
        <v>(Water) Critical Damage +25%</v>
      </c>
      <c r="M193" s="729"/>
      <c r="N193" s="8"/>
      <c r="O193" s="200" t="str">
        <f>+INDEX(PWP!$A:$Z,MATCH('PWP-Print'!O192,PWP!$B:$B,0),MATCH("ID",PWP!$A$1:$Z$1,0))</f>
        <v>100029_03</v>
      </c>
      <c r="P193" s="8"/>
      <c r="Q193" s="249" t="str">
        <f>+INDEX(PWP!$A:$Z,MATCH('PWP-Print'!O192,PWP!$B:$B,0),MATCH("Name",PWP!$A$1:$Z$1,0))</f>
        <v>Hunter Sarisse</v>
      </c>
      <c r="R193" s="8"/>
      <c r="S193" t="e" vm="7">
        <f>_xlfn.IMAGE("https://natalie.tf/wp-content/uploads/2023/10/DLV3_Icon_Ability_"&amp;INDEX('PWP-A'!$A$2:$C$31,MATCH('PWP-Print'!T193,'PWP-A'!$B$2:$B$31,0),1)&amp;".png")</f>
        <v>#VALUE!</v>
      </c>
      <c r="T193" s="229" t="str">
        <f>+INDEX(PWP!$A:$Z,MATCH('PWP-Print'!O192,PWP!$B:$B,0),MATCH("PWP Ability 2",PWP!$A$1:$Z$1,0))</f>
        <v>Force Strike +50%</v>
      </c>
      <c r="U193" s="249" t="str">
        <f>+INDEX(PWP!$A:$Z,MATCH('PWP-Print'!O192,PWP!$B:$B,0),MATCH("Locked PWP Ability 2",PWP!$A$1:$Z$1,0))</f>
        <v>(Water) Force Strike +50%</v>
      </c>
    </row>
    <row r="194" spans="1:21" ht="22.5" customHeight="1" x14ac:dyDescent="0.3">
      <c r="A194" s="244" t="str">
        <f>TEXT(A190+1,"000")</f>
        <v>084</v>
      </c>
      <c r="B194" s="244" t="str">
        <f>TEXT(B190+1,"000")</f>
        <v>097</v>
      </c>
      <c r="C194" s="729"/>
      <c r="E194" s="251" t="str">
        <f>+INDEX(PWP!$A:$Z,MATCH('PWP-Print'!E192,PWP!$B:$B,0),MATCH("Num",PWP!$A$1:$Z$1,0))</f>
        <v>A-084</v>
      </c>
      <c r="G194" s="249" t="str">
        <f>+INDEX(PWP!$A:$Z,MATCH('PWP-Print'!E192,PWP!$B:$B,0),MATCH("Element",PWP!$A$1:$Z$1,0))&amp;" "&amp;INDEX(PWP!$A:$Z,MATCH('PWP-Print'!E192,PWP!$B:$B,0),MATCH("Type",PWP!$A$1:$Z$1,0))&amp;" Adventurer"</f>
        <v>Water Axe Adventurer</v>
      </c>
      <c r="K194" s="250"/>
      <c r="M194" s="729"/>
      <c r="O194" s="251" t="str">
        <f>+INDEX(PWP!$A:$Z,MATCH('PWP-Print'!O192,PWP!$B:$B,0),MATCH("Num",PWP!$A$1:$Z$1,0))</f>
        <v>A-097</v>
      </c>
      <c r="Q194" s="249" t="str">
        <f>+INDEX(PWP!$A:$Z,MATCH('PWP-Print'!O192,PWP!$B:$B,0),MATCH("Element",PWP!$A$1:$Z$1,0))&amp;" "&amp;INDEX(PWP!$A:$Z,MATCH('PWP-Print'!O192,PWP!$B:$B,0),MATCH("Type",PWP!$A$1:$Z$1,0))&amp;" Adventurer"</f>
        <v>Water Bow Adventurer</v>
      </c>
      <c r="U194" s="250"/>
    </row>
    <row r="195" spans="1:21" ht="7.5" customHeight="1" x14ac:dyDescent="0.3">
      <c r="A195" s="244" t="s">
        <v>10763</v>
      </c>
      <c r="E195" s="250"/>
      <c r="G195" s="250"/>
      <c r="K195" s="250"/>
      <c r="O195" s="250"/>
      <c r="Q195" s="250"/>
      <c r="U195" s="250"/>
    </row>
    <row r="196" spans="1:21" ht="22.5" customHeight="1" x14ac:dyDescent="0.3">
      <c r="C196" s="729" t="e" vm="1127">
        <f>_xlfn.IMAGE("https://natalie.tf/wp-content/uploads/2023/10/DLV3_Icon_ADV_"&amp;E197&amp;"_r05.png")</f>
        <v>#VALUE!</v>
      </c>
      <c r="E196" s="249" t="str">
        <f>"PWP-"&amp;A198</f>
        <v>PWP-085</v>
      </c>
      <c r="G196" s="249" t="str">
        <f>+INDEX(PWP!$A:$Z,MATCH('PWP-Print'!E196,PWP!$B:$B,0),MATCH("Title",PWP!$A$1:$Z$1,0))</f>
        <v>Visionary Adventurer</v>
      </c>
      <c r="I196" t="e" vm="426">
        <f>_xlfn.IMAGE("https://natalie.tf/wp-content/uploads/2023/10/DLV3_Icon_Ability_"&amp;INDEX('PWP-A'!$A$2:$C$31,MATCH('PWP-Print'!J196,'PWP-A'!$B$2:$B$31,0),1)&amp;".png")</f>
        <v>#VALUE!</v>
      </c>
      <c r="J196" s="229" t="str">
        <f>+INDEX(PWP!$A:$Z,MATCH('PWP-Print'!E196,PWP!$B:$B,0),MATCH("PWP Ability 1",PWP!$A$1:$Z$1,0))</f>
        <v>Defense +20%</v>
      </c>
      <c r="K196" s="249" t="str">
        <f>+INDEX(PWP!$A:$Z,MATCH('PWP-Print'!E196,PWP!$B:$B,0),MATCH("Locked PWP Ability 1",PWP!$A$1:$Z$1,0))</f>
        <v>(Water) Defense +20%</v>
      </c>
      <c r="M196" s="729" t="e" vm="1128">
        <f>_xlfn.IMAGE("https://natalie.tf/wp-content/uploads/2023/10/DLV3_Icon_ADV_"&amp;O197&amp;"_r05.png")</f>
        <v>#VALUE!</v>
      </c>
      <c r="O196" s="249" t="str">
        <f>"PWP-"&amp;B198</f>
        <v>PWP-098</v>
      </c>
      <c r="Q196" s="249" t="str">
        <f>+INDEX(PWP!$A:$Z,MATCH('PWP-Print'!O196,PWP!$B:$B,0),MATCH("Title",PWP!$A$1:$Z$1,0))</f>
        <v>Lighthearted Leader</v>
      </c>
      <c r="S196" t="e" vm="14">
        <f>_xlfn.IMAGE("https://natalie.tf/wp-content/uploads/2023/10/DLV3_Icon_Ability_"&amp;INDEX('PWP-A'!$A$2:$C$31,MATCH('PWP-Print'!T196,'PWP-A'!$B$2:$B$31,0),1)&amp;".png")</f>
        <v>#VALUE!</v>
      </c>
      <c r="T196" s="229" t="str">
        <f>+INDEX(PWP!$A:$Z,MATCH('PWP-Print'!O196,PWP!$B:$B,0),MATCH("PWP Ability 1",PWP!$A$1:$Z$1,0))</f>
        <v>Skill Damage +40%</v>
      </c>
      <c r="U196" s="249" t="str">
        <f>+INDEX(PWP!$A:$Z,MATCH('PWP-Print'!O196,PWP!$B:$B,0),MATCH("Locked PWP Ability 1",PWP!$A$1:$Z$1,0))</f>
        <v>(Water) Skill Damage +40%</v>
      </c>
    </row>
    <row r="197" spans="1:21" ht="22.5" customHeight="1" x14ac:dyDescent="0.3">
      <c r="C197" s="729"/>
      <c r="D197" s="8"/>
      <c r="E197" s="200" t="str">
        <f>+INDEX(PWP!$A:$Z,MATCH('PWP-Print'!E196,PWP!$B:$B,0),MATCH("ID",PWP!$A$1:$Z$1,0))</f>
        <v>110258_01</v>
      </c>
      <c r="F197" s="8"/>
      <c r="G197" s="249" t="str">
        <f>+INDEX(PWP!$A:$Z,MATCH('PWP-Print'!E196,PWP!$B:$B,0),MATCH("Name",PWP!$A$1:$Z$1,0))</f>
        <v>Pietro</v>
      </c>
      <c r="H197" s="8"/>
      <c r="I197" t="e" vm="696">
        <f>_xlfn.IMAGE("https://natalie.tf/wp-content/uploads/2023/10/DLV3_Icon_Ability_"&amp;INDEX('PWP-A'!$A$2:$C$31,MATCH('PWP-Print'!J197,'PWP-A'!$B$2:$B$31,0),1)&amp;".png")</f>
        <v>#VALUE!</v>
      </c>
      <c r="J197" s="229" t="str">
        <f>+INDEX(PWP!$A:$Z,MATCH('PWP-Print'!E196,PWP!$B:$B,0),MATCH("PWP Ability 2",PWP!$A$1:$Z$1,0))</f>
        <v>Elemental Res +15%</v>
      </c>
      <c r="K197" s="249" t="str">
        <f>+INDEX(PWP!$A:$Z,MATCH('PWP-Print'!E196,PWP!$B:$B,0),MATCH("Locked PWP Ability 2",PWP!$A$1:$Z$1,0))</f>
        <v>(Water) Elemental Res +15%</v>
      </c>
      <c r="M197" s="729"/>
      <c r="N197" s="8"/>
      <c r="O197" s="200" t="str">
        <f>+INDEX(PWP!$A:$Z,MATCH('PWP-Print'!O196,PWP!$B:$B,0),MATCH("ID",PWP!$A$1:$Z$1,0))</f>
        <v>110317_01</v>
      </c>
      <c r="P197" s="8"/>
      <c r="Q197" s="249" t="str">
        <f>+INDEX(PWP!$A:$Z,MATCH('PWP-Print'!O196,PWP!$B:$B,0),MATCH("Name",PWP!$A$1:$Z$1,0))</f>
        <v>Laranoa</v>
      </c>
      <c r="R197" s="8"/>
      <c r="S197" t="e" vm="688">
        <f>_xlfn.IMAGE("https://natalie.tf/wp-content/uploads/2023/10/DLV3_Icon_Ability_"&amp;INDEX('PWP-A'!$A$2:$C$31,MATCH('PWP-Print'!T197,'PWP-A'!$B$2:$B$31,0),1)&amp;".png")</f>
        <v>#VALUE!</v>
      </c>
      <c r="T197" s="229" t="str">
        <f>+INDEX(PWP!$A:$Z,MATCH('PWP-Print'!O196,PWP!$B:$B,0),MATCH("PWP Ability 2",PWP!$A$1:$Z$1,0))</f>
        <v>Overdrive Punisher +15%</v>
      </c>
      <c r="U197" s="249" t="str">
        <f>+INDEX(PWP!$A:$Z,MATCH('PWP-Print'!O196,PWP!$B:$B,0),MATCH("Locked PWP Ability 2",PWP!$A$1:$Z$1,0))</f>
        <v>(Water) Overdrive Punisher +15%</v>
      </c>
    </row>
    <row r="198" spans="1:21" ht="22.5" customHeight="1" x14ac:dyDescent="0.3">
      <c r="A198" s="244" t="str">
        <f>TEXT(A194+1,"000")</f>
        <v>085</v>
      </c>
      <c r="B198" s="244" t="str">
        <f>TEXT(B194+1,"000")</f>
        <v>098</v>
      </c>
      <c r="C198" s="729"/>
      <c r="E198" s="251" t="str">
        <f>+INDEX(PWP!$A:$Z,MATCH('PWP-Print'!E196,PWP!$B:$B,0),MATCH("Num",PWP!$A$1:$Z$1,0))</f>
        <v>A-085</v>
      </c>
      <c r="G198" s="249" t="str">
        <f>+INDEX(PWP!$A:$Z,MATCH('PWP-Print'!E196,PWP!$B:$B,0),MATCH("Element",PWP!$A$1:$Z$1,0))&amp;" "&amp;INDEX(PWP!$A:$Z,MATCH('PWP-Print'!E196,PWP!$B:$B,0),MATCH("Type",PWP!$A$1:$Z$1,0))&amp;" Adventurer"</f>
        <v>Water Axe Adventurer</v>
      </c>
      <c r="K198" s="250"/>
      <c r="M198" s="729"/>
      <c r="O198" s="251" t="str">
        <f>+INDEX(PWP!$A:$Z,MATCH('PWP-Print'!O196,PWP!$B:$B,0),MATCH("Num",PWP!$A$1:$Z$1,0))</f>
        <v>A-098</v>
      </c>
      <c r="Q198" s="249" t="str">
        <f>+INDEX(PWP!$A:$Z,MATCH('PWP-Print'!O196,PWP!$B:$B,0),MATCH("Element",PWP!$A$1:$Z$1,0))&amp;" "&amp;INDEX(PWP!$A:$Z,MATCH('PWP-Print'!O196,PWP!$B:$B,0),MATCH("Type",PWP!$A$1:$Z$1,0))&amp;" Adventurer"</f>
        <v>Water Bow Adventurer</v>
      </c>
      <c r="U198" s="250"/>
    </row>
    <row r="199" spans="1:21" ht="7.5" customHeight="1" x14ac:dyDescent="0.3">
      <c r="A199" s="244" t="s">
        <v>10763</v>
      </c>
      <c r="E199" s="250"/>
      <c r="G199" s="250"/>
      <c r="K199" s="250"/>
      <c r="O199" s="250"/>
      <c r="Q199" s="250"/>
      <c r="U199" s="250"/>
    </row>
    <row r="200" spans="1:21" ht="22.5" customHeight="1" x14ac:dyDescent="0.3">
      <c r="C200" s="729" t="e" vm="1129">
        <f>_xlfn.IMAGE("https://natalie.tf/wp-content/uploads/2023/10/DLV3_Icon_ADV_"&amp;E201&amp;"_r05.png")</f>
        <v>#VALUE!</v>
      </c>
      <c r="E200" s="249" t="str">
        <f>"PWP-"&amp;A202</f>
        <v>PWP-086</v>
      </c>
      <c r="G200" s="249" t="str">
        <f>+INDEX(PWP!$A:$Z,MATCH('PWP-Print'!E200,PWP!$B:$B,0),MATCH("Title",PWP!$A$1:$Z$1,0))</f>
        <v>Charitable Lumberjack</v>
      </c>
      <c r="I200" t="e" vm="496">
        <f>_xlfn.IMAGE("https://natalie.tf/wp-content/uploads/2023/10/DLV3_Icon_Ability_"&amp;INDEX('PWP-A'!$A$2:$C$31,MATCH('PWP-Print'!J200,'PWP-A'!$B$2:$B$31,0),1)&amp;".png")</f>
        <v>#VALUE!</v>
      </c>
      <c r="J200" s="229" t="str">
        <f>+INDEX(PWP!$A:$Z,MATCH('PWP-Print'!E200,PWP!$B:$B,0),MATCH("PWP Ability 1",PWP!$A$1:$Z$1,0))</f>
        <v>HP +15%</v>
      </c>
      <c r="K200" s="249" t="str">
        <f>+INDEX(PWP!$A:$Z,MATCH('PWP-Print'!E200,PWP!$B:$B,0),MATCH("Locked PWP Ability 1",PWP!$A$1:$Z$1,0))</f>
        <v>(Water) HP +15%</v>
      </c>
      <c r="M200" s="729" t="e" vm="1130">
        <f>_xlfn.IMAGE("https://natalie.tf/wp-content/uploads/2023/10/DLV3_Icon_ADV_"&amp;O201&amp;"_r05.png")</f>
        <v>#VALUE!</v>
      </c>
      <c r="O200" s="249" t="str">
        <f>"PWP-"&amp;B202</f>
        <v>PWP-099</v>
      </c>
      <c r="Q200" s="249" t="str">
        <f>+INDEX(PWP!$A:$Z,MATCH('PWP-Print'!O200,PWP!$B:$B,0),MATCH("Title",PWP!$A$1:$Z$1,0))</f>
        <v>Queen of Smiles</v>
      </c>
      <c r="S200" t="e" vm="326">
        <f>_xlfn.IMAGE("https://natalie.tf/wp-content/uploads/2023/10/DLV3_Icon_Ability_"&amp;INDEX('PWP-A'!$A$2:$C$31,MATCH('PWP-Print'!T200,'PWP-A'!$B$2:$B$31,0),1)&amp;".png")</f>
        <v>#VALUE!</v>
      </c>
      <c r="T200" s="229" t="str">
        <f>+INDEX(PWP!$A:$Z,MATCH('PWP-Print'!O200,PWP!$B:$B,0),MATCH("PWP Ability 1",PWP!$A$1:$Z$1,0))</f>
        <v>Critical Rate +15%</v>
      </c>
      <c r="U200" s="249" t="str">
        <f>+INDEX(PWP!$A:$Z,MATCH('PWP-Print'!O200,PWP!$B:$B,0),MATCH("Locked PWP Ability 1",PWP!$A$1:$Z$1,0))</f>
        <v>(Water) Critical Rate +15%</v>
      </c>
    </row>
    <row r="201" spans="1:21" ht="22.5" customHeight="1" x14ac:dyDescent="0.3">
      <c r="C201" s="729"/>
      <c r="D201" s="8"/>
      <c r="E201" s="200" t="str">
        <f>+INDEX(PWP!$A:$Z,MATCH('PWP-Print'!E200,PWP!$B:$B,0),MATCH("ID",PWP!$A$1:$Z$1,0))</f>
        <v>110012_01</v>
      </c>
      <c r="F201" s="8"/>
      <c r="G201" s="249" t="str">
        <f>+INDEX(PWP!$A:$Z,MATCH('PWP-Print'!E200,PWP!$B:$B,0),MATCH("Name",PWP!$A$1:$Z$1,0))</f>
        <v>Rex</v>
      </c>
      <c r="H201" s="8"/>
      <c r="I201" t="e" vm="696">
        <f>_xlfn.IMAGE("https://natalie.tf/wp-content/uploads/2023/10/DLV3_Icon_Ability_"&amp;INDEX('PWP-A'!$A$2:$C$31,MATCH('PWP-Print'!J201,'PWP-A'!$B$2:$B$31,0),1)&amp;".png")</f>
        <v>#VALUE!</v>
      </c>
      <c r="J201" s="229" t="str">
        <f>+INDEX(PWP!$A:$Z,MATCH('PWP-Print'!E200,PWP!$B:$B,0),MATCH("PWP Ability 2",PWP!$A$1:$Z$1,0))</f>
        <v>Elemental Res +15%</v>
      </c>
      <c r="K201" s="249" t="str">
        <f>+INDEX(PWP!$A:$Z,MATCH('PWP-Print'!E200,PWP!$B:$B,0),MATCH("Locked PWP Ability 2",PWP!$A$1:$Z$1,0))</f>
        <v>(Water) Elemental Res +15%</v>
      </c>
      <c r="M201" s="729"/>
      <c r="N201" s="8"/>
      <c r="O201" s="200" t="str">
        <f>+INDEX(PWP!$A:$Z,MATCH('PWP-Print'!O200,PWP!$B:$B,0),MATCH("ID",PWP!$A$1:$Z$1,0))</f>
        <v>110053_02</v>
      </c>
      <c r="P201" s="8"/>
      <c r="Q201" s="249" t="str">
        <f>+INDEX(PWP!$A:$Z,MATCH('PWP-Print'!O200,PWP!$B:$B,0),MATCH("Name",PWP!$A$1:$Z$1,0))</f>
        <v>Dragonyule Nefaria</v>
      </c>
      <c r="R201" s="8"/>
      <c r="S201" t="e" vm="496">
        <f>_xlfn.IMAGE("https://natalie.tf/wp-content/uploads/2023/10/DLV3_Icon_Ability_"&amp;INDEX('PWP-A'!$A$2:$C$31,MATCH('PWP-Print'!T201,'PWP-A'!$B$2:$B$31,0),1)&amp;".png")</f>
        <v>#VALUE!</v>
      </c>
      <c r="T201" s="229" t="str">
        <f>+INDEX(PWP!$A:$Z,MATCH('PWP-Print'!O200,PWP!$B:$B,0),MATCH("PWP Ability 2",PWP!$A$1:$Z$1,0))</f>
        <v>HP +15%</v>
      </c>
      <c r="U201" s="249" t="str">
        <f>+INDEX(PWP!$A:$Z,MATCH('PWP-Print'!O200,PWP!$B:$B,0),MATCH("Locked PWP Ability 2",PWP!$A$1:$Z$1,0))</f>
        <v>(Water) HP +15%</v>
      </c>
    </row>
    <row r="202" spans="1:21" ht="22.5" customHeight="1" x14ac:dyDescent="0.3">
      <c r="A202" s="244" t="str">
        <f>TEXT(A198+1,"000")</f>
        <v>086</v>
      </c>
      <c r="B202" s="244" t="str">
        <f>TEXT(B198+1,"000")</f>
        <v>099</v>
      </c>
      <c r="C202" s="729"/>
      <c r="E202" s="251" t="str">
        <f>+INDEX(PWP!$A:$Z,MATCH('PWP-Print'!E200,PWP!$B:$B,0),MATCH("Num",PWP!$A$1:$Z$1,0))</f>
        <v>A-086</v>
      </c>
      <c r="G202" s="249" t="str">
        <f>+INDEX(PWP!$A:$Z,MATCH('PWP-Print'!E200,PWP!$B:$B,0),MATCH("Element",PWP!$A$1:$Z$1,0))&amp;" "&amp;INDEX(PWP!$A:$Z,MATCH('PWP-Print'!E200,PWP!$B:$B,0),MATCH("Type",PWP!$A$1:$Z$1,0))&amp;" Adventurer"</f>
        <v>Water Axe Adventurer</v>
      </c>
      <c r="K202" s="250"/>
      <c r="M202" s="729"/>
      <c r="O202" s="251" t="str">
        <f>+INDEX(PWP!$A:$Z,MATCH('PWP-Print'!O200,PWP!$B:$B,0),MATCH("Num",PWP!$A$1:$Z$1,0))</f>
        <v>A-099</v>
      </c>
      <c r="Q202" s="249" t="str">
        <f>+INDEX(PWP!$A:$Z,MATCH('PWP-Print'!O200,PWP!$B:$B,0),MATCH("Element",PWP!$A$1:$Z$1,0))&amp;" "&amp;INDEX(PWP!$A:$Z,MATCH('PWP-Print'!O200,PWP!$B:$B,0),MATCH("Type",PWP!$A$1:$Z$1,0))&amp;" Adventurer"</f>
        <v>Water Bow Adventurer</v>
      </c>
      <c r="U202" s="250"/>
    </row>
    <row r="203" spans="1:21" ht="7.5" customHeight="1" x14ac:dyDescent="0.3">
      <c r="A203" s="244" t="s">
        <v>10763</v>
      </c>
      <c r="E203" s="250"/>
      <c r="G203" s="250"/>
      <c r="K203" s="250"/>
      <c r="O203" s="250"/>
      <c r="Q203" s="250"/>
      <c r="U203" s="250"/>
    </row>
    <row r="204" spans="1:21" ht="22.5" customHeight="1" x14ac:dyDescent="0.3">
      <c r="C204" s="729" t="e" vm="1131">
        <f>_xlfn.IMAGE("https://natalie.tf/wp-content/uploads/2023/10/DLV3_Icon_ADV_"&amp;E205&amp;"_r05.png")</f>
        <v>#VALUE!</v>
      </c>
      <c r="E204" s="249" t="str">
        <f>"PWP-"&amp;A206</f>
        <v>PWP-087</v>
      </c>
      <c r="G204" s="249" t="str">
        <f>+INDEX(PWP!$A:$Z,MATCH('PWP-Print'!E204,PWP!$B:$B,0),MATCH("Title",PWP!$A$1:$Z$1,0))</f>
        <v>Winged Knight</v>
      </c>
      <c r="I204" t="e" vm="414">
        <f>_xlfn.IMAGE("https://natalie.tf/wp-content/uploads/2023/10/DLV3_Icon_Ability_"&amp;INDEX('PWP-A'!$A$2:$C$31,MATCH('PWP-Print'!J204,'PWP-A'!$B$2:$B$31,0),1)&amp;".png")</f>
        <v>#VALUE!</v>
      </c>
      <c r="J204" s="229" t="str">
        <f>+INDEX(PWP!$A:$Z,MATCH('PWP-Print'!E204,PWP!$B:$B,0),MATCH("PWP Ability 1",PWP!$A$1:$Z$1,0))</f>
        <v>Critical Damage +25%</v>
      </c>
      <c r="K204" s="249" t="str">
        <f>+INDEX(PWP!$A:$Z,MATCH('PWP-Print'!E204,PWP!$B:$B,0),MATCH("Locked PWP Ability 1",PWP!$A$1:$Z$1,0))</f>
        <v>(Water) Critical Damage +25%</v>
      </c>
      <c r="M204" s="729" t="e" vm="1132">
        <f>_xlfn.IMAGE("https://natalie.tf/wp-content/uploads/2023/10/DLV3_Icon_ADV_"&amp;O205&amp;"_r05.png")</f>
        <v>#VALUE!</v>
      </c>
      <c r="O204" s="249" t="str">
        <f>"PWP-"&amp;B206</f>
        <v>PWP-100</v>
      </c>
      <c r="Q204" s="249" t="str">
        <f>+INDEX(PWP!$A:$Z,MATCH('PWP-Print'!O204,PWP!$B:$B,0),MATCH("Title",PWP!$A$1:$Z$1,0))</f>
        <v>Noble Thief</v>
      </c>
      <c r="S204" t="e" vm="688">
        <f>_xlfn.IMAGE("https://natalie.tf/wp-content/uploads/2023/10/DLV3_Icon_Ability_"&amp;INDEX('PWP-A'!$A$2:$C$31,MATCH('PWP-Print'!T204,'PWP-A'!$B$2:$B$31,0),1)&amp;".png")</f>
        <v>#VALUE!</v>
      </c>
      <c r="T204" s="229" t="str">
        <f>+INDEX(PWP!$A:$Z,MATCH('PWP-Print'!O204,PWP!$B:$B,0),MATCH("PWP Ability 1",PWP!$A$1:$Z$1,0))</f>
        <v>Overdrive Punisher +15%</v>
      </c>
      <c r="U204" s="249" t="str">
        <f>+INDEX(PWP!$A:$Z,MATCH('PWP-Print'!O204,PWP!$B:$B,0),MATCH("Locked PWP Ability 1",PWP!$A$1:$Z$1,0))</f>
        <v>(Water) Overdrive Punisher +15%</v>
      </c>
    </row>
    <row r="205" spans="1:21" ht="22.5" customHeight="1" x14ac:dyDescent="0.3">
      <c r="C205" s="729"/>
      <c r="D205" s="8"/>
      <c r="E205" s="200" t="str">
        <f>+INDEX(PWP!$A:$Z,MATCH('PWP-Print'!E204,PWP!$B:$B,0),MATCH("ID",PWP!$A$1:$Z$1,0))</f>
        <v>110352_03</v>
      </c>
      <c r="F205" s="8"/>
      <c r="G205" s="249" t="str">
        <f>+INDEX(PWP!$A:$Z,MATCH('PWP-Print'!E204,PWP!$B:$B,0),MATCH("Name",PWP!$A$1:$Z$1,0))</f>
        <v>Faeblessed Tobias</v>
      </c>
      <c r="H205" s="8"/>
      <c r="I205" t="e" vm="688">
        <f>_xlfn.IMAGE("https://natalie.tf/wp-content/uploads/2023/10/DLV3_Icon_Ability_"&amp;INDEX('PWP-A'!$A$2:$C$31,MATCH('PWP-Print'!J205,'PWP-A'!$B$2:$B$31,0),1)&amp;".png")</f>
        <v>#VALUE!</v>
      </c>
      <c r="J205" s="229" t="str">
        <f>+INDEX(PWP!$A:$Z,MATCH('PWP-Print'!E204,PWP!$B:$B,0),MATCH("PWP Ability 2",PWP!$A$1:$Z$1,0))</f>
        <v>Overdrive Punisher +15%</v>
      </c>
      <c r="K205" s="249" t="str">
        <f>+INDEX(PWP!$A:$Z,MATCH('PWP-Print'!E204,PWP!$B:$B,0),MATCH("Locked PWP Ability 2",PWP!$A$1:$Z$1,0))</f>
        <v>(Water) Overdrive Punisher +15%</v>
      </c>
      <c r="M205" s="729"/>
      <c r="N205" s="8"/>
      <c r="O205" s="200" t="str">
        <f>+INDEX(PWP!$A:$Z,MATCH('PWP-Print'!O204,PWP!$B:$B,0),MATCH("ID",PWP!$A$1:$Z$1,0))</f>
        <v>110013_01</v>
      </c>
      <c r="P205" s="8"/>
      <c r="Q205" s="249" t="str">
        <f>+INDEX(PWP!$A:$Z,MATCH('PWP-Print'!O204,PWP!$B:$B,0),MATCH("Name",PWP!$A$1:$Z$1,0))</f>
        <v>Waike</v>
      </c>
      <c r="R205" s="8"/>
      <c r="S205" t="e" vm="496">
        <f>_xlfn.IMAGE("https://natalie.tf/wp-content/uploads/2023/10/DLV3_Icon_Ability_"&amp;INDEX('PWP-A'!$A$2:$C$31,MATCH('PWP-Print'!T205,'PWP-A'!$B$2:$B$31,0),1)&amp;".png")</f>
        <v>#VALUE!</v>
      </c>
      <c r="T205" s="229" t="str">
        <f>+INDEX(PWP!$A:$Z,MATCH('PWP-Print'!O204,PWP!$B:$B,0),MATCH("PWP Ability 2",PWP!$A$1:$Z$1,0))</f>
        <v>HP +15%</v>
      </c>
      <c r="U205" s="249" t="str">
        <f>+INDEX(PWP!$A:$Z,MATCH('PWP-Print'!O204,PWP!$B:$B,0),MATCH("Locked PWP Ability 2",PWP!$A$1:$Z$1,0))</f>
        <v>(Water) HP +15%</v>
      </c>
    </row>
    <row r="206" spans="1:21" ht="22.5" customHeight="1" x14ac:dyDescent="0.3">
      <c r="A206" s="244" t="str">
        <f>TEXT(A202+1,"000")</f>
        <v>087</v>
      </c>
      <c r="B206" s="244" t="str">
        <f>TEXT(B202+1,"000")</f>
        <v>100</v>
      </c>
      <c r="C206" s="729"/>
      <c r="E206" s="251" t="str">
        <f>+INDEX(PWP!$A:$Z,MATCH('PWP-Print'!E204,PWP!$B:$B,0),MATCH("Num",PWP!$A$1:$Z$1,0))</f>
        <v>A-087</v>
      </c>
      <c r="G206" s="249" t="str">
        <f>+INDEX(PWP!$A:$Z,MATCH('PWP-Print'!E204,PWP!$B:$B,0),MATCH("Element",PWP!$A$1:$Z$1,0))&amp;" "&amp;INDEX(PWP!$A:$Z,MATCH('PWP-Print'!E204,PWP!$B:$B,0),MATCH("Type",PWP!$A$1:$Z$1,0))&amp;" Adventurer"</f>
        <v>Water Lance Adventurer</v>
      </c>
      <c r="K206" s="250"/>
      <c r="M206" s="729"/>
      <c r="O206" s="251" t="str">
        <f>+INDEX(PWP!$A:$Z,MATCH('PWP-Print'!O204,PWP!$B:$B,0),MATCH("Num",PWP!$A$1:$Z$1,0))</f>
        <v>A-100</v>
      </c>
      <c r="Q206" s="249" t="str">
        <f>+INDEX(PWP!$A:$Z,MATCH('PWP-Print'!O204,PWP!$B:$B,0),MATCH("Element",PWP!$A$1:$Z$1,0))&amp;" "&amp;INDEX(PWP!$A:$Z,MATCH('PWP-Print'!O204,PWP!$B:$B,0),MATCH("Type",PWP!$A$1:$Z$1,0))&amp;" Adventurer"</f>
        <v>Water Bow Adventurer</v>
      </c>
      <c r="U206" s="250"/>
    </row>
    <row r="207" spans="1:21" ht="7.5" customHeight="1" x14ac:dyDescent="0.3">
      <c r="A207" s="244" t="s">
        <v>10763</v>
      </c>
      <c r="E207" s="250"/>
      <c r="G207" s="250"/>
      <c r="K207" s="250"/>
    </row>
    <row r="208" spans="1:21" ht="22.5" customHeight="1" x14ac:dyDescent="0.3">
      <c r="C208" s="729" t="e" vm="1133">
        <f>_xlfn.IMAGE("https://natalie.tf/wp-content/uploads/2023/10/DLV3_Icon_ADV_"&amp;E209&amp;"_r05.png")</f>
        <v>#VALUE!</v>
      </c>
      <c r="E208" s="249" t="str">
        <f>"PWP-"&amp;A210</f>
        <v>PWP-088</v>
      </c>
      <c r="G208" s="249" t="str">
        <f>+INDEX(PWP!$A:$Z,MATCH('PWP-Print'!E208,PWP!$B:$B,0),MATCH("Title",PWP!$A$1:$Z$1,0))</f>
        <v>Perfect Flower</v>
      </c>
      <c r="I208" t="e" vm="14">
        <f>_xlfn.IMAGE("https://natalie.tf/wp-content/uploads/2023/10/DLV3_Icon_Ability_"&amp;INDEX('PWP-A'!$A$2:$C$31,MATCH('PWP-Print'!J208,'PWP-A'!$B$2:$B$31,0),1)&amp;".png")</f>
        <v>#VALUE!</v>
      </c>
      <c r="J208" s="229" t="str">
        <f>+INDEX(PWP!$A:$Z,MATCH('PWP-Print'!E208,PWP!$B:$B,0),MATCH("PWP Ability 1",PWP!$A$1:$Z$1,0))</f>
        <v>Skill Damage +40%</v>
      </c>
      <c r="K208" s="249" t="str">
        <f>+INDEX(PWP!$A:$Z,MATCH('PWP-Print'!E208,PWP!$B:$B,0),MATCH("Locked PWP Ability 1",PWP!$A$1:$Z$1,0))</f>
        <v>(Water) Skill Damage +40%</v>
      </c>
      <c r="M208" s="729"/>
      <c r="O208" s="221"/>
      <c r="Q208" s="221"/>
      <c r="U208" s="221"/>
    </row>
    <row r="209" spans="1:21" ht="22.5" customHeight="1" x14ac:dyDescent="0.3">
      <c r="C209" s="729"/>
      <c r="D209" s="8"/>
      <c r="E209" s="200" t="str">
        <f>+INDEX(PWP!$A:$Z,MATCH('PWP-Print'!E208,PWP!$B:$B,0),MATCH("ID",PWP!$A$1:$Z$1,0))</f>
        <v>110364_01</v>
      </c>
      <c r="F209" s="8"/>
      <c r="G209" s="249" t="str">
        <f>+INDEX(PWP!$A:$Z,MATCH('PWP-Print'!E208,PWP!$B:$B,0),MATCH("Name",PWP!$A$1:$Z$1,0))</f>
        <v>Catherine</v>
      </c>
      <c r="H209" s="8"/>
      <c r="I209" t="e" vm="330">
        <f>_xlfn.IMAGE("https://natalie.tf/wp-content/uploads/2023/10/DLV3_Icon_Ability_"&amp;INDEX('PWP-A'!$A$2:$C$31,MATCH('PWP-Print'!J209,'PWP-A'!$B$2:$B$31,0),1)&amp;".png")</f>
        <v>#VALUE!</v>
      </c>
      <c r="J209" s="229" t="str">
        <f>+INDEX(PWP!$A:$Z,MATCH('PWP-Print'!E208,PWP!$B:$B,0),MATCH("PWP Ability 2",PWP!$A$1:$Z$1,0))</f>
        <v>Skill Haste +10%</v>
      </c>
      <c r="K209" s="249" t="str">
        <f>+INDEX(PWP!$A:$Z,MATCH('PWP-Print'!E208,PWP!$B:$B,0),MATCH("Locked PWP Ability 2",PWP!$A$1:$Z$1,0))</f>
        <v>(Water) Skill Haste +10%</v>
      </c>
      <c r="M209" s="729"/>
      <c r="N209" s="8"/>
      <c r="O209" s="221"/>
      <c r="P209" s="8"/>
      <c r="Q209" s="221"/>
      <c r="R209" s="8"/>
      <c r="S209" s="8"/>
      <c r="T209" s="8"/>
      <c r="U209" s="221"/>
    </row>
    <row r="210" spans="1:21" ht="22.5" customHeight="1" x14ac:dyDescent="0.3">
      <c r="A210" s="244" t="str">
        <f>TEXT(A206+1,"000")</f>
        <v>088</v>
      </c>
      <c r="C210" s="729"/>
      <c r="E210" s="251" t="str">
        <f>+INDEX(PWP!$A:$Z,MATCH('PWP-Print'!E208,PWP!$B:$B,0),MATCH("Num",PWP!$A$1:$Z$1,0))</f>
        <v>A-088</v>
      </c>
      <c r="G210" s="249" t="str">
        <f>+INDEX(PWP!$A:$Z,MATCH('PWP-Print'!E208,PWP!$B:$B,0),MATCH("Element",PWP!$A$1:$Z$1,0))&amp;" "&amp;INDEX(PWP!$A:$Z,MATCH('PWP-Print'!E208,PWP!$B:$B,0),MATCH("Type",PWP!$A$1:$Z$1,0))&amp;" Adventurer"</f>
        <v>Water Lance Adventurer</v>
      </c>
      <c r="K210" s="250"/>
      <c r="M210" s="729"/>
      <c r="O210" s="221"/>
      <c r="Q210" s="221"/>
      <c r="U210" s="222"/>
    </row>
    <row r="211" spans="1:21" ht="37.5" customHeight="1" x14ac:dyDescent="0.2"/>
    <row r="212" spans="1:21" ht="22.5" customHeight="1" x14ac:dyDescent="0.3">
      <c r="C212" s="729" t="e" vm="1134">
        <f>_xlfn.IMAGE("https://natalie.tf/wp-content/uploads/2023/10/DLV3_Icon_ADV_"&amp;E213&amp;"_r05.png")</f>
        <v>#VALUE!</v>
      </c>
      <c r="E212" s="249" t="str">
        <f>"PWP-"&amp;A214</f>
        <v>PWP-101</v>
      </c>
      <c r="G212" s="249" t="str">
        <f>+INDEX(PWP!$A:$Z,MATCH('PWP-Print'!E212,PWP!$B:$B,0),MATCH("Title",PWP!$A$1:$Z$1,0))</f>
        <v>Aqueous Auspex</v>
      </c>
      <c r="I212" t="e" vm="1036">
        <f>_xlfn.IMAGE("https://natalie.tf/wp-content/uploads/2023/10/DLV3_Icon_Ability_"&amp;INDEX('PWP-A'!$A$2:$C$31,MATCH('PWP-Print'!J212,'PWP-A'!$B$2:$B$31,0),1)&amp;".png")</f>
        <v>#VALUE!</v>
      </c>
      <c r="J212" s="229" t="str">
        <f>+INDEX(PWP!$A:$Z,MATCH('PWP-Print'!E212,PWP!$B:$B,0),MATCH("PWP Ability 1",PWP!$A$1:$Z$1,0))</f>
        <v>15 Hits = Overdamage</v>
      </c>
      <c r="K212" s="249" t="str">
        <f>+INDEX(PWP!$A:$Z,MATCH('PWP-Print'!E212,PWP!$B:$B,0),MATCH("Locked PWP Ability 1",PWP!$A$1:$Z$1,0))</f>
        <v>(Water) 15 Hits = Overdamage</v>
      </c>
      <c r="M212" s="729" t="e" vm="1135">
        <f>_xlfn.IMAGE("https://natalie.tf/wp-content/uploads/2023/10/DLV3_Icon_ADV_"&amp;O213&amp;"_r05.png")</f>
        <v>#VALUE!</v>
      </c>
      <c r="O212" s="249" t="str">
        <f>"PWP-"&amp;B214</f>
        <v>PWP-114</v>
      </c>
      <c r="Q212" s="249" t="str">
        <f>+INDEX(PWP!$A:$Z,MATCH('PWP-Print'!O212,PWP!$B:$B,0),MATCH("Title",PWP!$A$1:$Z$1,0))</f>
        <v>Kindly Coward</v>
      </c>
      <c r="S212" t="e" vm="496">
        <f>_xlfn.IMAGE("https://natalie.tf/wp-content/uploads/2023/10/DLV3_Icon_Ability_"&amp;INDEX('PWP-A'!$A$2:$C$31,MATCH('PWP-Print'!T212,'PWP-A'!$B$2:$B$31,0),1)&amp;".png")</f>
        <v>#VALUE!</v>
      </c>
      <c r="T212" s="229" t="str">
        <f>+INDEX(PWP!$A:$Z,MATCH('PWP-Print'!O212,PWP!$B:$B,0),MATCH("PWP Ability 1",PWP!$A$1:$Z$1,0))</f>
        <v>HP +15%</v>
      </c>
      <c r="U212" s="249" t="str">
        <f>+INDEX(PWP!$A:$Z,MATCH('PWP-Print'!O212,PWP!$B:$B,0),MATCH("Locked PWP Ability 1",PWP!$A$1:$Z$1,0))</f>
        <v>(Water) HP +15%</v>
      </c>
    </row>
    <row r="213" spans="1:21" ht="22.5" customHeight="1" x14ac:dyDescent="0.3">
      <c r="C213" s="729"/>
      <c r="D213" s="8"/>
      <c r="E213" s="200" t="str">
        <f>+INDEX(PWP!$A:$Z,MATCH('PWP-Print'!E212,PWP!$B:$B,0),MATCH("ID",PWP!$A$1:$Z$1,0))</f>
        <v>100043_02</v>
      </c>
      <c r="F213" s="8"/>
      <c r="G213" s="249" t="str">
        <f>+INDEX(PWP!$A:$Z,MATCH('PWP-Print'!E212,PWP!$B:$B,0),MATCH("Name",PWP!$A$1:$Z$1,0))</f>
        <v>Origa</v>
      </c>
      <c r="H213" s="8"/>
      <c r="I213" t="e" vm="326">
        <f>_xlfn.IMAGE("https://natalie.tf/wp-content/uploads/2023/10/DLV3_Icon_Ability_"&amp;INDEX('PWP-A'!$A$2:$C$31,MATCH('PWP-Print'!J213,'PWP-A'!$B$2:$B$31,0),1)&amp;".png")</f>
        <v>#VALUE!</v>
      </c>
      <c r="J213" s="229" t="str">
        <f>+INDEX(PWP!$A:$Z,MATCH('PWP-Print'!E212,PWP!$B:$B,0),MATCH("PWP Ability 2",PWP!$A$1:$Z$1,0))</f>
        <v>Critical Rate +15%</v>
      </c>
      <c r="K213" s="249" t="str">
        <f>+INDEX(PWP!$A:$Z,MATCH('PWP-Print'!E212,PWP!$B:$B,0),MATCH("Locked PWP Ability 2",PWP!$A$1:$Z$1,0))</f>
        <v>(Water) Critical Rate +15%</v>
      </c>
      <c r="M213" s="729"/>
      <c r="N213" s="8"/>
      <c r="O213" s="200" t="str">
        <f>+INDEX(PWP!$A:$Z,MATCH('PWP-Print'!O212,PWP!$B:$B,0),MATCH("ID",PWP!$A$1:$Z$1,0))</f>
        <v>110017_01</v>
      </c>
      <c r="P213" s="8"/>
      <c r="Q213" s="249" t="str">
        <f>+INDEX(PWP!$A:$Z,MATCH('PWP-Print'!O212,PWP!$B:$B,0),MATCH("Name",PWP!$A$1:$Z$1,0))</f>
        <v>Ricardt</v>
      </c>
      <c r="R213" s="8"/>
      <c r="S213" t="e" vm="426">
        <f>_xlfn.IMAGE("https://natalie.tf/wp-content/uploads/2023/10/DLV3_Icon_Ability_"&amp;INDEX('PWP-A'!$A$2:$C$31,MATCH('PWP-Print'!T213,'PWP-A'!$B$2:$B$31,0),1)&amp;".png")</f>
        <v>#VALUE!</v>
      </c>
      <c r="T213" s="229" t="str">
        <f>+INDEX(PWP!$A:$Z,MATCH('PWP-Print'!O212,PWP!$B:$B,0),MATCH("PWP Ability 2",PWP!$A$1:$Z$1,0))</f>
        <v>Defense +20%</v>
      </c>
      <c r="U213" s="249" t="str">
        <f>+INDEX(PWP!$A:$Z,MATCH('PWP-Print'!O212,PWP!$B:$B,0),MATCH("Locked PWP Ability 2",PWP!$A$1:$Z$1,0))</f>
        <v>(Water) Defense +20%</v>
      </c>
    </row>
    <row r="214" spans="1:21" ht="22.5" customHeight="1" x14ac:dyDescent="0.3">
      <c r="A214" s="242" t="str">
        <f>TEXT(B206+1,"000")</f>
        <v>101</v>
      </c>
      <c r="B214" s="244" t="str">
        <f>TEXT(A262+1,"000")</f>
        <v>114</v>
      </c>
      <c r="C214" s="729"/>
      <c r="E214" s="251" t="str">
        <f>+INDEX(PWP!$A:$Z,MATCH('PWP-Print'!E212,PWP!$B:$B,0),MATCH("Num",PWP!$A$1:$Z$1,0))</f>
        <v>A-101</v>
      </c>
      <c r="G214" s="249" t="str">
        <f>+INDEX(PWP!$A:$Z,MATCH('PWP-Print'!E212,PWP!$B:$B,0),MATCH("Element",PWP!$A$1:$Z$1,0))&amp;" "&amp;INDEX(PWP!$A:$Z,MATCH('PWP-Print'!E212,PWP!$B:$B,0),MATCH("Type",PWP!$A$1:$Z$1,0))&amp;" Adventurer"</f>
        <v>Water Wand Adventurer</v>
      </c>
      <c r="K214" s="250"/>
      <c r="M214" s="729"/>
      <c r="O214" s="251" t="str">
        <f>+INDEX(PWP!$A:$Z,MATCH('PWP-Print'!O212,PWP!$B:$B,0),MATCH("Num",PWP!$A$1:$Z$1,0))</f>
        <v>A-114</v>
      </c>
      <c r="Q214" s="249" t="str">
        <f>+INDEX(PWP!$A:$Z,MATCH('PWP-Print'!O212,PWP!$B:$B,0),MATCH("Element",PWP!$A$1:$Z$1,0))&amp;" "&amp;INDEX(PWP!$A:$Z,MATCH('PWP-Print'!O212,PWP!$B:$B,0),MATCH("Type",PWP!$A$1:$Z$1,0))&amp;" Adventurer"</f>
        <v>Water Staff Adventurer</v>
      </c>
      <c r="U214" s="250"/>
    </row>
    <row r="215" spans="1:21" ht="7.5" customHeight="1" x14ac:dyDescent="0.3">
      <c r="A215" s="244" t="s">
        <v>10763</v>
      </c>
      <c r="E215" s="250"/>
      <c r="G215" s="250"/>
      <c r="K215" s="250"/>
      <c r="O215" s="250"/>
      <c r="Q215" s="250"/>
      <c r="U215" s="250"/>
    </row>
    <row r="216" spans="1:21" ht="22.5" customHeight="1" x14ac:dyDescent="0.3">
      <c r="C216" s="729" t="e" vm="1136">
        <f>_xlfn.IMAGE("https://natalie.tf/wp-content/uploads/2023/10/DLV3_Icon_ADV_"&amp;E217&amp;"_r05.png")</f>
        <v>#VALUE!</v>
      </c>
      <c r="E216" s="249" t="str">
        <f>"PWP-"&amp;A218</f>
        <v>PWP-102</v>
      </c>
      <c r="G216" s="249" t="str">
        <f>+INDEX(PWP!$A:$Z,MATCH('PWP-Print'!E216,PWP!$B:$B,0),MATCH("Title",PWP!$A$1:$Z$1,0))</f>
        <v>Artistry's Pinnacle</v>
      </c>
      <c r="I216" t="e" vm="1036">
        <f>_xlfn.IMAGE("https://natalie.tf/wp-content/uploads/2023/10/DLV3_Icon_Ability_"&amp;INDEX('PWP-A'!$A$2:$C$31,MATCH('PWP-Print'!J216,'PWP-A'!$B$2:$B$31,0),1)&amp;".png")</f>
        <v>#VALUE!</v>
      </c>
      <c r="J216" s="229" t="str">
        <f>+INDEX(PWP!$A:$Z,MATCH('PWP-Print'!E216,PWP!$B:$B,0),MATCH("PWP Ability 1",PWP!$A$1:$Z$1,0))</f>
        <v>15 Hits = Overdamage</v>
      </c>
      <c r="K216" s="249" t="str">
        <f>+INDEX(PWP!$A:$Z,MATCH('PWP-Print'!E216,PWP!$B:$B,0),MATCH("Locked PWP Ability 1",PWP!$A$1:$Z$1,0))</f>
        <v>(Water) 15 Hits = Overdamage</v>
      </c>
      <c r="M216" s="729" t="e" vm="1137">
        <f>_xlfn.IMAGE("https://natalie.tf/wp-content/uploads/2023/10/DLV3_Icon_ADV_"&amp;O217&amp;"_r05.png")</f>
        <v>#VALUE!</v>
      </c>
      <c r="O216" s="249" t="str">
        <f>"PWP-"&amp;B218</f>
        <v>PWP-115</v>
      </c>
      <c r="Q216" s="249" t="str">
        <f>+INDEX(PWP!$A:$Z,MATCH('PWP-Print'!O216,PWP!$B:$B,0),MATCH("Title",PWP!$A$1:$Z$1,0))</f>
        <v>Sylvan Sharpshooter</v>
      </c>
      <c r="S216" t="e" vm="14">
        <f>_xlfn.IMAGE("https://natalie.tf/wp-content/uploads/2023/10/DLV3_Icon_Ability_"&amp;INDEX('PWP-A'!$A$2:$C$31,MATCH('PWP-Print'!T216,'PWP-A'!$B$2:$B$31,0),1)&amp;".png")</f>
        <v>#VALUE!</v>
      </c>
      <c r="T216" s="229" t="str">
        <f>+INDEX(PWP!$A:$Z,MATCH('PWP-Print'!O216,PWP!$B:$B,0),MATCH("PWP Ability 1",PWP!$A$1:$Z$1,0))</f>
        <v>Strength +20%</v>
      </c>
      <c r="U216" s="249" t="str">
        <f>+INDEX(PWP!$A:$Z,MATCH('PWP-Print'!O216,PWP!$B:$B,0),MATCH("Locked PWP Ability 1",PWP!$A$1:$Z$1,0))</f>
        <v>(Water) Strength +20%</v>
      </c>
    </row>
    <row r="217" spans="1:21" ht="22.5" customHeight="1" x14ac:dyDescent="0.3">
      <c r="C217" s="729"/>
      <c r="D217" s="8"/>
      <c r="E217" s="200" t="str">
        <f>+INDEX(PWP!$A:$Z,MATCH('PWP-Print'!E216,PWP!$B:$B,0),MATCH("ID",PWP!$A$1:$Z$1,0))</f>
        <v>100017_03</v>
      </c>
      <c r="F217" s="8"/>
      <c r="G217" s="249" t="str">
        <f>+INDEX(PWP!$A:$Z,MATCH('PWP-Print'!E216,PWP!$B:$B,0),MATCH("Name",PWP!$A$1:$Z$1,0))</f>
        <v>Gala Emile</v>
      </c>
      <c r="H217" s="8"/>
      <c r="I217" t="e" vm="14">
        <f>_xlfn.IMAGE("https://natalie.tf/wp-content/uploads/2023/10/DLV3_Icon_Ability_"&amp;INDEX('PWP-A'!$A$2:$C$31,MATCH('PWP-Print'!J217,'PWP-A'!$B$2:$B$31,0),1)&amp;".png")</f>
        <v>#VALUE!</v>
      </c>
      <c r="J217" s="229" t="str">
        <f>+INDEX(PWP!$A:$Z,MATCH('PWP-Print'!E216,PWP!$B:$B,0),MATCH("PWP Ability 2",PWP!$A$1:$Z$1,0))</f>
        <v>Skill Damage +40%</v>
      </c>
      <c r="K217" s="249" t="str">
        <f>+INDEX(PWP!$A:$Z,MATCH('PWP-Print'!E216,PWP!$B:$B,0),MATCH("Locked PWP Ability 2",PWP!$A$1:$Z$1,0))</f>
        <v>(Water) Skill Damage +40%</v>
      </c>
      <c r="M217" s="729"/>
      <c r="N217" s="8"/>
      <c r="O217" s="200" t="str">
        <f>+INDEX(PWP!$A:$Z,MATCH('PWP-Print'!O216,PWP!$B:$B,0),MATCH("ID",PWP!$A$1:$Z$1,0))</f>
        <v>100029_04</v>
      </c>
      <c r="P217" s="8"/>
      <c r="Q217" s="249" t="str">
        <f>+INDEX(PWP!$A:$Z,MATCH('PWP-Print'!O216,PWP!$B:$B,0),MATCH("Name",PWP!$A$1:$Z$1,0))</f>
        <v>Sharpshooter Sarisse</v>
      </c>
      <c r="R217" s="8"/>
      <c r="S217" t="e" vm="330">
        <f>_xlfn.IMAGE("https://natalie.tf/wp-content/uploads/2023/10/DLV3_Icon_Ability_"&amp;INDEX('PWP-A'!$A$2:$C$31,MATCH('PWP-Print'!T217,'PWP-A'!$B$2:$B$31,0),1)&amp;".png")</f>
        <v>#VALUE!</v>
      </c>
      <c r="T217" s="229" t="str">
        <f>+INDEX(PWP!$A:$Z,MATCH('PWP-Print'!O216,PWP!$B:$B,0),MATCH("PWP Ability 2",PWP!$A$1:$Z$1,0))</f>
        <v>Skill Haste +10%</v>
      </c>
      <c r="U217" s="249" t="str">
        <f>+INDEX(PWP!$A:$Z,MATCH('PWP-Print'!O216,PWP!$B:$B,0),MATCH("Locked PWP Ability 2",PWP!$A$1:$Z$1,0))</f>
        <v>(Water) Skill Haste +10%</v>
      </c>
    </row>
    <row r="218" spans="1:21" ht="22.5" customHeight="1" x14ac:dyDescent="0.3">
      <c r="A218" s="244" t="str">
        <f>TEXT(A214+1,"000")</f>
        <v>102</v>
      </c>
      <c r="B218" s="244" t="str">
        <f>TEXT(B214+1,"000")</f>
        <v>115</v>
      </c>
      <c r="C218" s="729"/>
      <c r="E218" s="251" t="str">
        <f>+INDEX(PWP!$A:$Z,MATCH('PWP-Print'!E216,PWP!$B:$B,0),MATCH("Num",PWP!$A$1:$Z$1,0))</f>
        <v>A-102</v>
      </c>
      <c r="G218" s="249" t="str">
        <f>+INDEX(PWP!$A:$Z,MATCH('PWP-Print'!E216,PWP!$B:$B,0),MATCH("Element",PWP!$A$1:$Z$1,0))&amp;" "&amp;INDEX(PWP!$A:$Z,MATCH('PWP-Print'!E216,PWP!$B:$B,0),MATCH("Type",PWP!$A$1:$Z$1,0))&amp;" Adventurer"</f>
        <v>Water Wand Adventurer</v>
      </c>
      <c r="K218" s="250"/>
      <c r="M218" s="729"/>
      <c r="O218" s="251" t="str">
        <f>+INDEX(PWP!$A:$Z,MATCH('PWP-Print'!O216,PWP!$B:$B,0),MATCH("Num",PWP!$A$1:$Z$1,0))</f>
        <v>A-115</v>
      </c>
      <c r="Q218" s="249" t="str">
        <f>+INDEX(PWP!$A:$Z,MATCH('PWP-Print'!O216,PWP!$B:$B,0),MATCH("Element",PWP!$A$1:$Z$1,0))&amp;" "&amp;INDEX(PWP!$A:$Z,MATCH('PWP-Print'!O216,PWP!$B:$B,0),MATCH("Type",PWP!$A$1:$Z$1,0))&amp;" Adventurer"</f>
        <v>Water Manacaster Adventurer</v>
      </c>
      <c r="U218" s="250"/>
    </row>
    <row r="219" spans="1:21" ht="7.5" customHeight="1" x14ac:dyDescent="0.3">
      <c r="A219" s="244" t="s">
        <v>10763</v>
      </c>
      <c r="E219" s="250"/>
      <c r="G219" s="250"/>
      <c r="K219" s="250"/>
      <c r="O219" s="250"/>
      <c r="Q219" s="250"/>
      <c r="U219" s="250"/>
    </row>
    <row r="220" spans="1:21" ht="22.5" customHeight="1" x14ac:dyDescent="0.3">
      <c r="C220" s="729" t="e" vm="1138">
        <f>_xlfn.IMAGE("https://natalie.tf/wp-content/uploads/2023/10/DLV3_Icon_ADV_"&amp;E221&amp;"_r05.png")</f>
        <v>#VALUE!</v>
      </c>
      <c r="E220" s="249" t="str">
        <f>"PWP-"&amp;A222</f>
        <v>PWP-103</v>
      </c>
      <c r="G220" s="249" t="str">
        <f>+INDEX(PWP!$A:$Z,MATCH('PWP-Print'!E220,PWP!$B:$B,0),MATCH("Title",PWP!$A$1:$Z$1,0))</f>
        <v>Belle Forager</v>
      </c>
      <c r="I220" t="e" vm="14">
        <f>_xlfn.IMAGE("https://natalie.tf/wp-content/uploads/2023/10/DLV3_Icon_Ability_"&amp;INDEX('PWP-A'!$A$2:$C$31,MATCH('PWP-Print'!J220,'PWP-A'!$B$2:$B$31,0),1)&amp;".png")</f>
        <v>#VALUE!</v>
      </c>
      <c r="J220" s="229" t="str">
        <f>+INDEX(PWP!$A:$Z,MATCH('PWP-Print'!E220,PWP!$B:$B,0),MATCH("PWP Ability 1",PWP!$A$1:$Z$1,0))</f>
        <v>Skill Damage +40%</v>
      </c>
      <c r="K220" s="249" t="str">
        <f>+INDEX(PWP!$A:$Z,MATCH('PWP-Print'!E220,PWP!$B:$B,0),MATCH("Locked PWP Ability 1",PWP!$A$1:$Z$1,0))</f>
        <v>(Water) Skill Damage +40%</v>
      </c>
      <c r="M220" s="729" t="e" vm="1139">
        <f>_xlfn.IMAGE("https://natalie.tf/wp-content/uploads/2023/10/DLV3_Icon_ADV_"&amp;O221&amp;"_r05.png")</f>
        <v>#VALUE!</v>
      </c>
      <c r="O220" s="249" t="str">
        <f>"PWP-"&amp;B222</f>
        <v>PWP-116</v>
      </c>
      <c r="Q220" s="249" t="str">
        <f>+INDEX(PWP!$A:$Z,MATCH('PWP-Print'!O220,PWP!$B:$B,0),MATCH("Title",PWP!$A$1:$Z$1,0))</f>
        <v>Leader of the Rooster Clan</v>
      </c>
      <c r="S220" t="e" vm="1036">
        <f>_xlfn.IMAGE("https://natalie.tf/wp-content/uploads/2023/10/DLV3_Icon_Ability_"&amp;INDEX('PWP-A'!$A$2:$C$31,MATCH('PWP-Print'!T220,'PWP-A'!$B$2:$B$31,0),1)&amp;".png")</f>
        <v>#VALUE!</v>
      </c>
      <c r="T220" s="229" t="str">
        <f>+INDEX(PWP!$A:$Z,MATCH('PWP-Print'!O220,PWP!$B:$B,0),MATCH("PWP Ability 1",PWP!$A$1:$Z$1,0))</f>
        <v>15 Hits = Overdamage</v>
      </c>
      <c r="U220" s="249" t="str">
        <f>+INDEX(PWP!$A:$Z,MATCH('PWP-Print'!O220,PWP!$B:$B,0),MATCH("Locked PWP Ability 1",PWP!$A$1:$Z$1,0))</f>
        <v>(Water) 15 Hits = Overdamage</v>
      </c>
    </row>
    <row r="221" spans="1:21" ht="22.5" customHeight="1" x14ac:dyDescent="0.3">
      <c r="C221" s="729"/>
      <c r="D221" s="8"/>
      <c r="E221" s="200" t="str">
        <f>+INDEX(PWP!$A:$Z,MATCH('PWP-Print'!E220,PWP!$B:$B,0),MATCH("ID",PWP!$A$1:$Z$1,0))</f>
        <v>100004_17</v>
      </c>
      <c r="F221" s="8"/>
      <c r="G221" s="249" t="str">
        <f>+INDEX(PWP!$A:$Z,MATCH('PWP-Print'!E220,PWP!$B:$B,0),MATCH("Name",PWP!$A$1:$Z$1,0))</f>
        <v>Forager Cleo</v>
      </c>
      <c r="H221" s="8"/>
      <c r="I221" t="e" vm="426">
        <f>_xlfn.IMAGE("https://natalie.tf/wp-content/uploads/2023/10/DLV3_Icon_Ability_"&amp;INDEX('PWP-A'!$A$2:$C$31,MATCH('PWP-Print'!J221,'PWP-A'!$B$2:$B$31,0),1)&amp;".png")</f>
        <v>#VALUE!</v>
      </c>
      <c r="J221" s="229" t="str">
        <f>+INDEX(PWP!$A:$Z,MATCH('PWP-Print'!E220,PWP!$B:$B,0),MATCH("PWP Ability 2",PWP!$A$1:$Z$1,0))</f>
        <v>Defense +20%</v>
      </c>
      <c r="K221" s="249" t="str">
        <f>+INDEX(PWP!$A:$Z,MATCH('PWP-Print'!E220,PWP!$B:$B,0),MATCH("Locked PWP Ability 2",PWP!$A$1:$Z$1,0))</f>
        <v>(Water) Defense +20%</v>
      </c>
      <c r="M221" s="729"/>
      <c r="N221" s="8"/>
      <c r="O221" s="200" t="str">
        <f>+INDEX(PWP!$A:$Z,MATCH('PWP-Print'!O220,PWP!$B:$B,0),MATCH("ID",PWP!$A$1:$Z$1,0))</f>
        <v>110376_01</v>
      </c>
      <c r="P221" s="8"/>
      <c r="Q221" s="249" t="str">
        <f>+INDEX(PWP!$A:$Z,MATCH('PWP-Print'!O220,PWP!$B:$B,0),MATCH("Name",PWP!$A$1:$Z$1,0))</f>
        <v>Yoshitsune</v>
      </c>
      <c r="R221" s="8"/>
      <c r="S221" t="e" vm="688">
        <f>_xlfn.IMAGE("https://natalie.tf/wp-content/uploads/2023/10/DLV3_Icon_Ability_"&amp;INDEX('PWP-A'!$A$2:$C$31,MATCH('PWP-Print'!T221,'PWP-A'!$B$2:$B$31,0),1)&amp;".png")</f>
        <v>#VALUE!</v>
      </c>
      <c r="T221" s="229" t="str">
        <f>+INDEX(PWP!$A:$Z,MATCH('PWP-Print'!O220,PWP!$B:$B,0),MATCH("PWP Ability 2",PWP!$A$1:$Z$1,0))</f>
        <v>Overdrive Punisher +15%</v>
      </c>
      <c r="U221" s="249" t="str">
        <f>+INDEX(PWP!$A:$Z,MATCH('PWP-Print'!O220,PWP!$B:$B,0),MATCH("Locked PWP Ability 2",PWP!$A$1:$Z$1,0))</f>
        <v>(Water) Overdrive Punisher +15%</v>
      </c>
    </row>
    <row r="222" spans="1:21" ht="22.5" customHeight="1" x14ac:dyDescent="0.3">
      <c r="A222" s="244" t="str">
        <f>TEXT(A218+1,"000")</f>
        <v>103</v>
      </c>
      <c r="B222" s="244" t="str">
        <f>TEXT(B218+1,"000")</f>
        <v>116</v>
      </c>
      <c r="C222" s="729"/>
      <c r="E222" s="251" t="str">
        <f>+INDEX(PWP!$A:$Z,MATCH('PWP-Print'!E220,PWP!$B:$B,0),MATCH("Num",PWP!$A$1:$Z$1,0))</f>
        <v>A-103</v>
      </c>
      <c r="G222" s="249" t="str">
        <f>+INDEX(PWP!$A:$Z,MATCH('PWP-Print'!E220,PWP!$B:$B,0),MATCH("Element",PWP!$A$1:$Z$1,0))&amp;" "&amp;INDEX(PWP!$A:$Z,MATCH('PWP-Print'!E220,PWP!$B:$B,0),MATCH("Type",PWP!$A$1:$Z$1,0))&amp;" Adventurer"</f>
        <v>Water Wand Adventurer</v>
      </c>
      <c r="K222" s="250"/>
      <c r="M222" s="729"/>
      <c r="O222" s="251" t="str">
        <f>+INDEX(PWP!$A:$Z,MATCH('PWP-Print'!O220,PWP!$B:$B,0),MATCH("Num",PWP!$A$1:$Z$1,0))</f>
        <v>A-116</v>
      </c>
      <c r="Q222" s="249" t="str">
        <f>+INDEX(PWP!$A:$Z,MATCH('PWP-Print'!O220,PWP!$B:$B,0),MATCH("Element",PWP!$A$1:$Z$1,0))&amp;" "&amp;INDEX(PWP!$A:$Z,MATCH('PWP-Print'!O220,PWP!$B:$B,0),MATCH("Type",PWP!$A$1:$Z$1,0))&amp;" Adventurer"</f>
        <v>Water Manacaster Adventurer</v>
      </c>
      <c r="U222" s="250"/>
    </row>
    <row r="223" spans="1:21" ht="7.5" customHeight="1" x14ac:dyDescent="0.3">
      <c r="A223" s="244" t="s">
        <v>10763</v>
      </c>
      <c r="E223" s="250"/>
      <c r="G223" s="250"/>
      <c r="K223" s="250"/>
      <c r="O223" s="250"/>
      <c r="Q223" s="250"/>
      <c r="U223" s="250"/>
    </row>
    <row r="224" spans="1:21" ht="22.5" customHeight="1" x14ac:dyDescent="0.3">
      <c r="C224" s="729" t="e" vm="1140">
        <f>_xlfn.IMAGE("https://natalie.tf/wp-content/uploads/2023/10/DLV3_Icon_ADV_"&amp;E225&amp;"_r05.png")</f>
        <v>#VALUE!</v>
      </c>
      <c r="E224" s="249" t="str">
        <f>"PWP-"&amp;A226</f>
        <v>PWP-104</v>
      </c>
      <c r="G224" s="249" t="str">
        <f>+INDEX(PWP!$A:$Z,MATCH('PWP-Print'!E224,PWP!$B:$B,0),MATCH("Title",PWP!$A$1:$Z$1,0))</f>
        <v>Ravenous Researcher</v>
      </c>
      <c r="I224" t="e" vm="326">
        <f>_xlfn.IMAGE("https://natalie.tf/wp-content/uploads/2023/10/DLV3_Icon_Ability_"&amp;INDEX('PWP-A'!$A$2:$C$31,MATCH('PWP-Print'!J224,'PWP-A'!$B$2:$B$31,0),1)&amp;".png")</f>
        <v>#VALUE!</v>
      </c>
      <c r="J224" s="229" t="str">
        <f>+INDEX(PWP!$A:$Z,MATCH('PWP-Print'!E224,PWP!$B:$B,0),MATCH("PWP Ability 1",PWP!$A$1:$Z$1,0))</f>
        <v>Critical Rate +15%</v>
      </c>
      <c r="K224" s="249" t="str">
        <f>+INDEX(PWP!$A:$Z,MATCH('PWP-Print'!E224,PWP!$B:$B,0),MATCH("Locked PWP Ability 1",PWP!$A$1:$Z$1,0))</f>
        <v>(Water) Critical Rate +15%</v>
      </c>
      <c r="M224" s="729" t="e" vm="1141">
        <f>_xlfn.IMAGE("https://natalie.tf/wp-content/uploads/2023/10/DLV3_Icon_ADV_"&amp;O225&amp;"_r05.png")</f>
        <v>#VALUE!</v>
      </c>
      <c r="O224" s="249" t="str">
        <f>"PWP-"&amp;B226</f>
        <v>PWP-117</v>
      </c>
      <c r="Q224" s="249" t="str">
        <f>+INDEX(PWP!$A:$Z,MATCH('PWP-Print'!O224,PWP!$B:$B,0),MATCH("Title",PWP!$A$1:$Z$1,0))</f>
        <v>The Blue Rose</v>
      </c>
      <c r="S224" t="e" vm="14">
        <f>_xlfn.IMAGE("https://natalie.tf/wp-content/uploads/2023/10/DLV3_Icon_Ability_"&amp;INDEX('PWP-A'!$A$2:$C$31,MATCH('PWP-Print'!T224,'PWP-A'!$B$2:$B$31,0),1)&amp;".png")</f>
        <v>#VALUE!</v>
      </c>
      <c r="T224" s="229" t="str">
        <f>+INDEX(PWP!$A:$Z,MATCH('PWP-Print'!O224,PWP!$B:$B,0),MATCH("PWP Ability 1",PWP!$A$1:$Z$1,0))</f>
        <v>Strength +20%</v>
      </c>
      <c r="U224" s="249" t="str">
        <f>+INDEX(PWP!$A:$Z,MATCH('PWP-Print'!O224,PWP!$B:$B,0),MATCH("Locked PWP Ability 1",PWP!$A$1:$Z$1,0))</f>
        <v>(Water) Strength +20%</v>
      </c>
    </row>
    <row r="225" spans="1:21" ht="22.5" customHeight="1" x14ac:dyDescent="0.3">
      <c r="C225" s="729"/>
      <c r="D225" s="8"/>
      <c r="E225" s="200" t="str">
        <f>+INDEX(PWP!$A:$Z,MATCH('PWP-Print'!E224,PWP!$B:$B,0),MATCH("ID",PWP!$A$1:$Z$1,0))</f>
        <v>110362_01</v>
      </c>
      <c r="F225" s="8"/>
      <c r="G225" s="249" t="str">
        <f>+INDEX(PWP!$A:$Z,MATCH('PWP-Print'!E224,PWP!$B:$B,0),MATCH("Name",PWP!$A$1:$Z$1,0))</f>
        <v>Yurius</v>
      </c>
      <c r="H225" s="8"/>
      <c r="I225" t="e" vm="688">
        <f>_xlfn.IMAGE("https://natalie.tf/wp-content/uploads/2023/10/DLV3_Icon_Ability_"&amp;INDEX('PWP-A'!$A$2:$C$31,MATCH('PWP-Print'!J225,'PWP-A'!$B$2:$B$31,0),1)&amp;".png")</f>
        <v>#VALUE!</v>
      </c>
      <c r="J225" s="229" t="str">
        <f>+INDEX(PWP!$A:$Z,MATCH('PWP-Print'!E224,PWP!$B:$B,0),MATCH("PWP Ability 2",PWP!$A$1:$Z$1,0))</f>
        <v>Overdrive Punisher +15%</v>
      </c>
      <c r="K225" s="249" t="str">
        <f>+INDEX(PWP!$A:$Z,MATCH('PWP-Print'!E224,PWP!$B:$B,0),MATCH("Locked PWP Ability 2",PWP!$A$1:$Z$1,0))</f>
        <v>(Water) Overdrive Punisher +15%</v>
      </c>
      <c r="M225" s="729"/>
      <c r="N225" s="8"/>
      <c r="O225" s="200" t="str">
        <f>+INDEX(PWP!$A:$Z,MATCH('PWP-Print'!O224,PWP!$B:$B,0),MATCH("ID",PWP!$A$1:$Z$1,0))</f>
        <v>110370_01</v>
      </c>
      <c r="P225" s="8"/>
      <c r="Q225" s="249" t="str">
        <f>+INDEX(PWP!$A:$Z,MATCH('PWP-Print'!O224,PWP!$B:$B,0),MATCH("Name",PWP!$A$1:$Z$1,0))</f>
        <v>Lapis</v>
      </c>
      <c r="R225" s="8"/>
      <c r="S225" t="e" vm="7">
        <f>_xlfn.IMAGE("https://natalie.tf/wp-content/uploads/2023/10/DLV3_Icon_Ability_"&amp;INDEX('PWP-A'!$A$2:$C$31,MATCH('PWP-Print'!T225,'PWP-A'!$B$2:$B$31,0),1)&amp;".png")</f>
        <v>#VALUE!</v>
      </c>
      <c r="T225" s="229" t="str">
        <f>+INDEX(PWP!$A:$Z,MATCH('PWP-Print'!O224,PWP!$B:$B,0),MATCH("PWP Ability 2",PWP!$A$1:$Z$1,0))</f>
        <v>Force Strike +50%</v>
      </c>
      <c r="U225" s="249" t="str">
        <f>+INDEX(PWP!$A:$Z,MATCH('PWP-Print'!O224,PWP!$B:$B,0),MATCH("Locked PWP Ability 2",PWP!$A$1:$Z$1,0))</f>
        <v>(Water) Force Strike +50%</v>
      </c>
    </row>
    <row r="226" spans="1:21" ht="22.5" customHeight="1" x14ac:dyDescent="0.3">
      <c r="A226" s="244" t="str">
        <f>TEXT(A222+1,"000")</f>
        <v>104</v>
      </c>
      <c r="B226" s="244" t="str">
        <f>TEXT(B222+1,"000")</f>
        <v>117</v>
      </c>
      <c r="C226" s="729"/>
      <c r="E226" s="251" t="str">
        <f>+INDEX(PWP!$A:$Z,MATCH('PWP-Print'!E224,PWP!$B:$B,0),MATCH("Num",PWP!$A$1:$Z$1,0))</f>
        <v>A-104</v>
      </c>
      <c r="G226" s="249" t="str">
        <f>+INDEX(PWP!$A:$Z,MATCH('PWP-Print'!E224,PWP!$B:$B,0),MATCH("Element",PWP!$A$1:$Z$1,0))&amp;" "&amp;INDEX(PWP!$A:$Z,MATCH('PWP-Print'!E224,PWP!$B:$B,0),MATCH("Type",PWP!$A$1:$Z$1,0))&amp;" Adventurer"</f>
        <v>Water Wand Adventurer</v>
      </c>
      <c r="K226" s="250"/>
      <c r="M226" s="729"/>
      <c r="O226" s="251" t="str">
        <f>+INDEX(PWP!$A:$Z,MATCH('PWP-Print'!O224,PWP!$B:$B,0),MATCH("Num",PWP!$A$1:$Z$1,0))</f>
        <v>A-117</v>
      </c>
      <c r="Q226" s="249" t="str">
        <f>+INDEX(PWP!$A:$Z,MATCH('PWP-Print'!O224,PWP!$B:$B,0),MATCH("Element",PWP!$A$1:$Z$1,0))&amp;" "&amp;INDEX(PWP!$A:$Z,MATCH('PWP-Print'!O224,PWP!$B:$B,0),MATCH("Type",PWP!$A$1:$Z$1,0))&amp;" Adventurer"</f>
        <v>Water Manacaster Adventurer</v>
      </c>
      <c r="U226" s="250"/>
    </row>
    <row r="227" spans="1:21" ht="7.5" customHeight="1" x14ac:dyDescent="0.3">
      <c r="A227" s="244" t="s">
        <v>10763</v>
      </c>
      <c r="E227" s="250"/>
      <c r="G227" s="250"/>
      <c r="K227" s="250"/>
      <c r="O227" s="250"/>
      <c r="Q227" s="250"/>
      <c r="U227" s="250"/>
    </row>
    <row r="228" spans="1:21" ht="22.5" customHeight="1" x14ac:dyDescent="0.3">
      <c r="C228" s="729" t="e" vm="1142">
        <f>_xlfn.IMAGE("https://natalie.tf/wp-content/uploads/2023/10/DLV3_Icon_ADV_"&amp;E229&amp;"_r05.png")</f>
        <v>#VALUE!</v>
      </c>
      <c r="E228" s="249" t="str">
        <f>"PWP-"&amp;A230</f>
        <v>PWP-105</v>
      </c>
      <c r="G228" s="249" t="str">
        <f>+INDEX(PWP!$A:$Z,MATCH('PWP-Print'!E228,PWP!$B:$B,0),MATCH("Title",PWP!$A$1:$Z$1,0))</f>
        <v>Crystalian Princess</v>
      </c>
      <c r="I228" t="e" vm="330">
        <f>_xlfn.IMAGE("https://natalie.tf/wp-content/uploads/2023/10/DLV3_Icon_Ability_"&amp;INDEX('PWP-A'!$A$2:$C$31,MATCH('PWP-Print'!J228,'PWP-A'!$B$2:$B$31,0),1)&amp;".png")</f>
        <v>#VALUE!</v>
      </c>
      <c r="J228" s="229" t="str">
        <f>+INDEX(PWP!$A:$Z,MATCH('PWP-Print'!E228,PWP!$B:$B,0),MATCH("PWP Ability 1",PWP!$A$1:$Z$1,0))</f>
        <v>Skill Haste +10%</v>
      </c>
      <c r="K228" s="249" t="str">
        <f>+INDEX(PWP!$A:$Z,MATCH('PWP-Print'!E228,PWP!$B:$B,0),MATCH("Locked PWP Ability 1",PWP!$A$1:$Z$1,0))</f>
        <v>(Water) Skill Haste +10%</v>
      </c>
      <c r="M228" s="729" t="e" vm="1143">
        <f>_xlfn.IMAGE("https://natalie.tf/wp-content/uploads/2023/10/DLV3_Icon_ADV_"&amp;O229&amp;"_r05.png")</f>
        <v>#VALUE!</v>
      </c>
      <c r="O228" s="249" t="str">
        <f>"PWP-"&amp;B230</f>
        <v>PWP-118</v>
      </c>
      <c r="Q228" s="249" t="str">
        <f>+INDEX(PWP!$A:$Z,MATCH('PWP-Print'!O228,PWP!$B:$B,0),MATCH("Title",PWP!$A$1:$Z$1,0))</f>
        <v>Bondforged Scion</v>
      </c>
      <c r="S228" t="e" vm="1036">
        <f>_xlfn.IMAGE("https://natalie.tf/wp-content/uploads/2023/10/DLV3_Icon_Ability_"&amp;INDEX('PWP-A'!$A$2:$C$31,MATCH('PWP-Print'!T228,'PWP-A'!$B$2:$B$31,0),1)&amp;".png")</f>
        <v>#VALUE!</v>
      </c>
      <c r="T228" s="229" t="str">
        <f>+INDEX(PWP!$A:$Z,MATCH('PWP-Print'!O228,PWP!$B:$B,0),MATCH("PWP Ability 1",PWP!$A$1:$Z$1,0))</f>
        <v>15 Hits = Overdamage</v>
      </c>
      <c r="U228" s="249" t="str">
        <f>+INDEX(PWP!$A:$Z,MATCH('PWP-Print'!O228,PWP!$B:$B,0),MATCH("Locked PWP Ability 1",PWP!$A$1:$Z$1,0))</f>
        <v>(Wind) 15 Hits = Overdamage</v>
      </c>
    </row>
    <row r="229" spans="1:21" ht="22.5" customHeight="1" x14ac:dyDescent="0.3">
      <c r="C229" s="729"/>
      <c r="D229" s="8"/>
      <c r="E229" s="200" t="str">
        <f>+INDEX(PWP!$A:$Z,MATCH('PWP-Print'!E228,PWP!$B:$B,0),MATCH("ID",PWP!$A$1:$Z$1,0))</f>
        <v>110252_01</v>
      </c>
      <c r="F229" s="8"/>
      <c r="G229" s="249" t="str">
        <f>+INDEX(PWP!$A:$Z,MATCH('PWP-Print'!E228,PWP!$B:$B,0),MATCH("Name",PWP!$A$1:$Z$1,0))</f>
        <v>Lily</v>
      </c>
      <c r="H229" s="8"/>
      <c r="I229" t="e" vm="426">
        <f>_xlfn.IMAGE("https://natalie.tf/wp-content/uploads/2023/10/DLV3_Icon_Ability_"&amp;INDEX('PWP-A'!$A$2:$C$31,MATCH('PWP-Print'!J229,'PWP-A'!$B$2:$B$31,0),1)&amp;".png")</f>
        <v>#VALUE!</v>
      </c>
      <c r="J229" s="229" t="str">
        <f>+INDEX(PWP!$A:$Z,MATCH('PWP-Print'!E228,PWP!$B:$B,0),MATCH("PWP Ability 2",PWP!$A$1:$Z$1,0))</f>
        <v>Defense +20%</v>
      </c>
      <c r="K229" s="249" t="str">
        <f>+INDEX(PWP!$A:$Z,MATCH('PWP-Print'!E228,PWP!$B:$B,0),MATCH("Locked PWP Ability 2",PWP!$A$1:$Z$1,0))</f>
        <v>(Water) Defense +20%</v>
      </c>
      <c r="M229" s="729"/>
      <c r="N229" s="8"/>
      <c r="O229" s="200" t="str">
        <f>+INDEX(PWP!$A:$Z,MATCH('PWP-Print'!O228,PWP!$B:$B,0),MATCH("ID",PWP!$A$1:$Z$1,0))</f>
        <v>100001_14</v>
      </c>
      <c r="P229" s="8"/>
      <c r="Q229" s="249" t="str">
        <f>+INDEX(PWP!$A:$Z,MATCH('PWP-Print'!O228,PWP!$B:$B,0),MATCH("Name",PWP!$A$1:$Z$1,0))</f>
        <v>Bondforged Prince</v>
      </c>
      <c r="R229" s="8"/>
      <c r="S229" t="e" vm="14">
        <f>_xlfn.IMAGE("https://natalie.tf/wp-content/uploads/2023/10/DLV3_Icon_Ability_"&amp;INDEX('PWP-A'!$A$2:$C$31,MATCH('PWP-Print'!T229,'PWP-A'!$B$2:$B$31,0),1)&amp;".png")</f>
        <v>#VALUE!</v>
      </c>
      <c r="T229" s="229" t="str">
        <f>+INDEX(PWP!$A:$Z,MATCH('PWP-Print'!O228,PWP!$B:$B,0),MATCH("PWP Ability 2",PWP!$A$1:$Z$1,0))</f>
        <v>Strength +20%</v>
      </c>
      <c r="U229" s="249" t="str">
        <f>+INDEX(PWP!$A:$Z,MATCH('PWP-Print'!O228,PWP!$B:$B,0),MATCH("Locked PWP Ability 2",PWP!$A$1:$Z$1,0))</f>
        <v>(Wind) Strength +20%</v>
      </c>
    </row>
    <row r="230" spans="1:21" ht="22.5" customHeight="1" x14ac:dyDescent="0.3">
      <c r="A230" s="244" t="str">
        <f>TEXT(A226+1,"000")</f>
        <v>105</v>
      </c>
      <c r="B230" s="244" t="str">
        <f>TEXT(B226+1,"000")</f>
        <v>118</v>
      </c>
      <c r="C230" s="729"/>
      <c r="E230" s="251" t="str">
        <f>+INDEX(PWP!$A:$Z,MATCH('PWP-Print'!E228,PWP!$B:$B,0),MATCH("Num",PWP!$A$1:$Z$1,0))</f>
        <v>A-105</v>
      </c>
      <c r="G230" s="249" t="str">
        <f>+INDEX(PWP!$A:$Z,MATCH('PWP-Print'!E228,PWP!$B:$B,0),MATCH("Element",PWP!$A$1:$Z$1,0))&amp;" "&amp;INDEX(PWP!$A:$Z,MATCH('PWP-Print'!E228,PWP!$B:$B,0),MATCH("Type",PWP!$A$1:$Z$1,0))&amp;" Adventurer"</f>
        <v>Water Wand Adventurer</v>
      </c>
      <c r="K230" s="250"/>
      <c r="M230" s="729"/>
      <c r="O230" s="251" t="str">
        <f>+INDEX(PWP!$A:$Z,MATCH('PWP-Print'!O228,PWP!$B:$B,0),MATCH("Num",PWP!$A$1:$Z$1,0))</f>
        <v>A-118</v>
      </c>
      <c r="Q230" s="249" t="str">
        <f>+INDEX(PWP!$A:$Z,MATCH('PWP-Print'!O228,PWP!$B:$B,0),MATCH("Element",PWP!$A$1:$Z$1,0))&amp;" "&amp;INDEX(PWP!$A:$Z,MATCH('PWP-Print'!O228,PWP!$B:$B,0),MATCH("Type",PWP!$A$1:$Z$1,0))&amp;" Adventurer"</f>
        <v>Wind Sword Adventurer</v>
      </c>
      <c r="U230" s="250"/>
    </row>
    <row r="231" spans="1:21" ht="7.5" customHeight="1" x14ac:dyDescent="0.3">
      <c r="A231" s="244" t="s">
        <v>10763</v>
      </c>
      <c r="E231" s="250"/>
      <c r="G231" s="250"/>
      <c r="K231" s="250"/>
      <c r="O231" s="250"/>
      <c r="Q231" s="250"/>
      <c r="U231" s="250"/>
    </row>
    <row r="232" spans="1:21" ht="22.5" customHeight="1" x14ac:dyDescent="0.3">
      <c r="C232" s="729" t="e" vm="1144">
        <f>_xlfn.IMAGE("https://natalie.tf/wp-content/uploads/2023/10/DLV3_Icon_ADV_"&amp;E233&amp;"_r05.png")</f>
        <v>#VALUE!</v>
      </c>
      <c r="E232" s="249" t="str">
        <f>"PWP-"&amp;A234</f>
        <v>PWP-106</v>
      </c>
      <c r="G232" s="249" t="str">
        <f>+INDEX(PWP!$A:$Z,MATCH('PWP-Print'!E232,PWP!$B:$B,0),MATCH("Title",PWP!$A$1:$Z$1,0))</f>
        <v>Sentient Vegetable</v>
      </c>
      <c r="I232" t="e" vm="14">
        <f>_xlfn.IMAGE("https://natalie.tf/wp-content/uploads/2023/10/DLV3_Icon_Ability_"&amp;INDEX('PWP-A'!$A$2:$C$31,MATCH('PWP-Print'!J232,'PWP-A'!$B$2:$B$31,0),1)&amp;".png")</f>
        <v>#VALUE!</v>
      </c>
      <c r="J232" s="229" t="str">
        <f>+INDEX(PWP!$A:$Z,MATCH('PWP-Print'!E232,PWP!$B:$B,0),MATCH("PWP Ability 1",PWP!$A$1:$Z$1,0))</f>
        <v>Strength +20%</v>
      </c>
      <c r="K232" s="249" t="str">
        <f>+INDEX(PWP!$A:$Z,MATCH('PWP-Print'!E232,PWP!$B:$B,0),MATCH("Locked PWP Ability 1",PWP!$A$1:$Z$1,0))</f>
        <v>(Water) Strength +20%</v>
      </c>
      <c r="M232" s="729" t="e" vm="1145">
        <f>_xlfn.IMAGE("https://natalie.tf/wp-content/uploads/2023/10/DLV3_Icon_ADV_"&amp;O233&amp;"_r05.png")</f>
        <v>#VALUE!</v>
      </c>
      <c r="O232" s="249" t="str">
        <f>"PWP-"&amp;B234</f>
        <v>PWP-119</v>
      </c>
      <c r="Q232" s="249" t="str">
        <f>+INDEX(PWP!$A:$Z,MATCH('PWP-Print'!O232,PWP!$B:$B,0),MATCH("Title",PWP!$A$1:$Z$1,0))</f>
        <v>Inheritor of the Wing</v>
      </c>
      <c r="S232" t="e" vm="14">
        <f>_xlfn.IMAGE("https://natalie.tf/wp-content/uploads/2023/10/DLV3_Icon_Ability_"&amp;INDEX('PWP-A'!$A$2:$C$31,MATCH('PWP-Print'!T232,'PWP-A'!$B$2:$B$31,0),1)&amp;".png")</f>
        <v>#VALUE!</v>
      </c>
      <c r="T232" s="229" t="str">
        <f>+INDEX(PWP!$A:$Z,MATCH('PWP-Print'!O232,PWP!$B:$B,0),MATCH("PWP Ability 1",PWP!$A$1:$Z$1,0))</f>
        <v>Skill Damage +40%</v>
      </c>
      <c r="U232" s="249" t="str">
        <f>+INDEX(PWP!$A:$Z,MATCH('PWP-Print'!O232,PWP!$B:$B,0),MATCH("Locked PWP Ability 1",PWP!$A$1:$Z$1,0))</f>
        <v>(Wind) Skill Damage +40%</v>
      </c>
    </row>
    <row r="233" spans="1:21" ht="22.5" customHeight="1" x14ac:dyDescent="0.3">
      <c r="C233" s="729"/>
      <c r="D233" s="8"/>
      <c r="E233" s="200" t="str">
        <f>+INDEX(PWP!$A:$Z,MATCH('PWP-Print'!E232,PWP!$B:$B,0),MATCH("ID",PWP!$A$1:$Z$1,0))</f>
        <v>110300_01</v>
      </c>
      <c r="F233" s="8"/>
      <c r="G233" s="249" t="str">
        <f>+INDEX(PWP!$A:$Z,MATCH('PWP-Print'!E232,PWP!$B:$B,0),MATCH("Name",PWP!$A$1:$Z$1,0))</f>
        <v>Pipple</v>
      </c>
      <c r="H233" s="8"/>
      <c r="I233" t="e" vm="326">
        <f>_xlfn.IMAGE("https://natalie.tf/wp-content/uploads/2023/10/DLV3_Icon_Ability_"&amp;INDEX('PWP-A'!$A$2:$C$31,MATCH('PWP-Print'!J233,'PWP-A'!$B$2:$B$31,0),1)&amp;".png")</f>
        <v>#VALUE!</v>
      </c>
      <c r="J233" s="229" t="str">
        <f>+INDEX(PWP!$A:$Z,MATCH('PWP-Print'!E232,PWP!$B:$B,0),MATCH("PWP Ability 2",PWP!$A$1:$Z$1,0))</f>
        <v>Critical Rate +15%</v>
      </c>
      <c r="K233" s="249" t="str">
        <f>+INDEX(PWP!$A:$Z,MATCH('PWP-Print'!E232,PWP!$B:$B,0),MATCH("Locked PWP Ability 2",PWP!$A$1:$Z$1,0))</f>
        <v>(Water) Critical Rate +15%</v>
      </c>
      <c r="M233" s="729"/>
      <c r="N233" s="8"/>
      <c r="O233" s="200" t="str">
        <f>+INDEX(PWP!$A:$Z,MATCH('PWP-Print'!O232,PWP!$B:$B,0),MATCH("ID",PWP!$A$1:$Z$1,0))</f>
        <v>110392_01</v>
      </c>
      <c r="P233" s="8"/>
      <c r="Q233" s="249" t="str">
        <f>+INDEX(PWP!$A:$Z,MATCH('PWP-Print'!O232,PWP!$B:$B,0),MATCH("Name",PWP!$A$1:$Z$1,0))</f>
        <v>Nino</v>
      </c>
      <c r="R233" s="8"/>
      <c r="S233" t="e" vm="696">
        <f>_xlfn.IMAGE("https://natalie.tf/wp-content/uploads/2023/10/DLV3_Icon_Ability_"&amp;INDEX('PWP-A'!$A$2:$C$31,MATCH('PWP-Print'!T233,'PWP-A'!$B$2:$B$31,0),1)&amp;".png")</f>
        <v>#VALUE!</v>
      </c>
      <c r="T233" s="229" t="str">
        <f>+INDEX(PWP!$A:$Z,MATCH('PWP-Print'!O232,PWP!$B:$B,0),MATCH("PWP Ability 2",PWP!$A$1:$Z$1,0))</f>
        <v>Elemental Res +15%</v>
      </c>
      <c r="U233" s="249" t="str">
        <f>+INDEX(PWP!$A:$Z,MATCH('PWP-Print'!O232,PWP!$B:$B,0),MATCH("Locked PWP Ability 2",PWP!$A$1:$Z$1,0))</f>
        <v>(Wind) Elemental Res +15%</v>
      </c>
    </row>
    <row r="234" spans="1:21" ht="22.5" customHeight="1" x14ac:dyDescent="0.3">
      <c r="A234" s="244" t="str">
        <f>TEXT(A230+1,"000")</f>
        <v>106</v>
      </c>
      <c r="B234" s="244" t="str">
        <f>TEXT(B230+1,"000")</f>
        <v>119</v>
      </c>
      <c r="C234" s="729"/>
      <c r="E234" s="251" t="str">
        <f>+INDEX(PWP!$A:$Z,MATCH('PWP-Print'!E232,PWP!$B:$B,0),MATCH("Num",PWP!$A$1:$Z$1,0))</f>
        <v>A-106</v>
      </c>
      <c r="G234" s="249" t="str">
        <f>+INDEX(PWP!$A:$Z,MATCH('PWP-Print'!E232,PWP!$B:$B,0),MATCH("Element",PWP!$A$1:$Z$1,0))&amp;" "&amp;INDEX(PWP!$A:$Z,MATCH('PWP-Print'!E232,PWP!$B:$B,0),MATCH("Type",PWP!$A$1:$Z$1,0))&amp;" Adventurer"</f>
        <v>Water Wand Adventurer</v>
      </c>
      <c r="K234" s="250"/>
      <c r="M234" s="729"/>
      <c r="O234" s="251" t="str">
        <f>+INDEX(PWP!$A:$Z,MATCH('PWP-Print'!O232,PWP!$B:$B,0),MATCH("Num",PWP!$A$1:$Z$1,0))</f>
        <v>A-119</v>
      </c>
      <c r="Q234" s="249" t="str">
        <f>+INDEX(PWP!$A:$Z,MATCH('PWP-Print'!O232,PWP!$B:$B,0),MATCH("Element",PWP!$A$1:$Z$1,0))&amp;" "&amp;INDEX(PWP!$A:$Z,MATCH('PWP-Print'!O232,PWP!$B:$B,0),MATCH("Type",PWP!$A$1:$Z$1,0))&amp;" Adventurer"</f>
        <v>Wind Sword Adventurer</v>
      </c>
      <c r="U234" s="250"/>
    </row>
    <row r="235" spans="1:21" ht="7.5" customHeight="1" x14ac:dyDescent="0.3">
      <c r="A235" s="244" t="s">
        <v>10763</v>
      </c>
      <c r="E235" s="250"/>
      <c r="G235" s="250"/>
      <c r="K235" s="250"/>
      <c r="O235" s="250"/>
      <c r="Q235" s="250"/>
      <c r="U235" s="250"/>
    </row>
    <row r="236" spans="1:21" ht="22.5" customHeight="1" x14ac:dyDescent="0.3">
      <c r="C236" s="729" t="e" vm="1146">
        <f>_xlfn.IMAGE("https://natalie.tf/wp-content/uploads/2023/10/DLV3_Icon_ADV_"&amp;E237&amp;"_r05.png")</f>
        <v>#VALUE!</v>
      </c>
      <c r="E236" s="249" t="str">
        <f>"PWP-"&amp;A238</f>
        <v>PWP-107</v>
      </c>
      <c r="G236" s="249" t="str">
        <f>+INDEX(PWP!$A:$Z,MATCH('PWP-Print'!E236,PWP!$B:$B,0),MATCH("Title",PWP!$A$1:$Z$1,0))</f>
        <v>Beachside Preacher</v>
      </c>
      <c r="I236" t="e" vm="326">
        <f>_xlfn.IMAGE("https://natalie.tf/wp-content/uploads/2023/10/DLV3_Icon_Ability_"&amp;INDEX('PWP-A'!$A$2:$C$31,MATCH('PWP-Print'!J236,'PWP-A'!$B$2:$B$31,0),1)&amp;".png")</f>
        <v>#VALUE!</v>
      </c>
      <c r="J236" s="229" t="str">
        <f>+INDEX(PWP!$A:$Z,MATCH('PWP-Print'!E236,PWP!$B:$B,0),MATCH("PWP Ability 1",PWP!$A$1:$Z$1,0))</f>
        <v>Critical Rate +15%</v>
      </c>
      <c r="K236" s="249" t="str">
        <f>+INDEX(PWP!$A:$Z,MATCH('PWP-Print'!E236,PWP!$B:$B,0),MATCH("Locked PWP Ability 1",PWP!$A$1:$Z$1,0))</f>
        <v>(Water) Critical Rate +15%</v>
      </c>
      <c r="M236" s="729" t="e" vm="1147">
        <f>_xlfn.IMAGE("https://natalie.tf/wp-content/uploads/2023/10/DLV3_Icon_ADV_"&amp;O237&amp;"_r05.png")</f>
        <v>#VALUE!</v>
      </c>
      <c r="O236" s="249" t="str">
        <f>"PWP-"&amp;B238</f>
        <v>PWP-120</v>
      </c>
      <c r="Q236" s="249" t="str">
        <f>+INDEX(PWP!$A:$Z,MATCH('PWP-Print'!O236,PWP!$B:$B,0),MATCH("Title",PWP!$A$1:$Z$1,0))</f>
        <v>Feline Guide</v>
      </c>
      <c r="S236" t="e" vm="326">
        <f>_xlfn.IMAGE("https://natalie.tf/wp-content/uploads/2023/10/DLV3_Icon_Ability_"&amp;INDEX('PWP-A'!$A$2:$C$31,MATCH('PWP-Print'!T236,'PWP-A'!$B$2:$B$31,0),1)&amp;".png")</f>
        <v>#VALUE!</v>
      </c>
      <c r="T236" s="229" t="str">
        <f>+INDEX(PWP!$A:$Z,MATCH('PWP-Print'!O236,PWP!$B:$B,0),MATCH("PWP Ability 1",PWP!$A$1:$Z$1,0))</f>
        <v>Critical Rate +15%</v>
      </c>
      <c r="U236" s="249" t="str">
        <f>+INDEX(PWP!$A:$Z,MATCH('PWP-Print'!O236,PWP!$B:$B,0),MATCH("Locked PWP Ability 1",PWP!$A$1:$Z$1,0))</f>
        <v>(Wind) Critical Rate +15%</v>
      </c>
    </row>
    <row r="237" spans="1:21" ht="22.5" customHeight="1" x14ac:dyDescent="0.3">
      <c r="C237" s="729"/>
      <c r="D237" s="8"/>
      <c r="E237" s="200" t="str">
        <f>+INDEX(PWP!$A:$Z,MATCH('PWP-Print'!E236,PWP!$B:$B,0),MATCH("ID",PWP!$A$1:$Z$1,0))</f>
        <v>110063_02</v>
      </c>
      <c r="F237" s="8"/>
      <c r="G237" s="249" t="str">
        <f>+INDEX(PWP!$A:$Z,MATCH('PWP-Print'!E236,PWP!$B:$B,0),MATCH("Name",PWP!$A$1:$Z$1,0))</f>
        <v>Summer Estelle</v>
      </c>
      <c r="H237" s="8"/>
      <c r="I237" t="e" vm="693">
        <f>_xlfn.IMAGE("https://natalie.tf/wp-content/uploads/2023/10/DLV3_Icon_Ability_"&amp;INDEX('PWP-A'!$A$2:$C$31,MATCH('PWP-Print'!J237,'PWP-A'!$B$2:$B$31,0),1)&amp;".png")</f>
        <v>#VALUE!</v>
      </c>
      <c r="J237" s="229" t="str">
        <f>+INDEX(PWP!$A:$Z,MATCH('PWP-Print'!E236,PWP!$B:$B,0),MATCH("PWP Ability 2",PWP!$A$1:$Z$1,0))</f>
        <v>Combo Time +2</v>
      </c>
      <c r="K237" s="249" t="str">
        <f>+INDEX(PWP!$A:$Z,MATCH('PWP-Print'!E236,PWP!$B:$B,0),MATCH("Locked PWP Ability 2",PWP!$A$1:$Z$1,0))</f>
        <v>(Water) Combo Time +2</v>
      </c>
      <c r="M237" s="729"/>
      <c r="N237" s="8"/>
      <c r="O237" s="200" t="str">
        <f>+INDEX(PWP!$A:$Z,MATCH('PWP-Print'!O236,PWP!$B:$B,0),MATCH("ID",PWP!$A$1:$Z$1,0))</f>
        <v>110379_01</v>
      </c>
      <c r="P237" s="8"/>
      <c r="Q237" s="249" t="str">
        <f>+INDEX(PWP!$A:$Z,MATCH('PWP-Print'!O236,PWP!$B:$B,0),MATCH("Name",PWP!$A$1:$Z$1,0))</f>
        <v>Mona</v>
      </c>
      <c r="R237" s="8"/>
      <c r="S237" t="e" vm="1045">
        <f>_xlfn.IMAGE("https://natalie.tf/wp-content/uploads/2023/10/DLV3_Icon_Ability_"&amp;INDEX('PWP-A'!$A$2:$C$31,MATCH('PWP-Print'!T237,'PWP-A'!$B$2:$B$31,0),1)&amp;".png")</f>
        <v>#VALUE!</v>
      </c>
      <c r="T237" s="229" t="str">
        <f>+INDEX(PWP!$A:$Z,MATCH('PWP-Print'!O236,PWP!$B:$B,0),MATCH("PWP Ability 2",PWP!$A$1:$Z$1,0))</f>
        <v>Attack Rate +20%</v>
      </c>
      <c r="U237" s="249" t="str">
        <f>+INDEX(PWP!$A:$Z,MATCH('PWP-Print'!O236,PWP!$B:$B,0),MATCH("Locked PWP Ability 2",PWP!$A$1:$Z$1,0))</f>
        <v>(Wind) Attack Rate +20%</v>
      </c>
    </row>
    <row r="238" spans="1:21" ht="22.5" customHeight="1" x14ac:dyDescent="0.3">
      <c r="A238" s="244" t="str">
        <f>TEXT(A234+1,"000")</f>
        <v>107</v>
      </c>
      <c r="B238" s="244" t="str">
        <f>TEXT(B234+1,"000")</f>
        <v>120</v>
      </c>
      <c r="C238" s="729"/>
      <c r="E238" s="251" t="str">
        <f>+INDEX(PWP!$A:$Z,MATCH('PWP-Print'!E236,PWP!$B:$B,0),MATCH("Num",PWP!$A$1:$Z$1,0))</f>
        <v>A-107</v>
      </c>
      <c r="G238" s="249" t="str">
        <f>+INDEX(PWP!$A:$Z,MATCH('PWP-Print'!E236,PWP!$B:$B,0),MATCH("Element",PWP!$A$1:$Z$1,0))&amp;" "&amp;INDEX(PWP!$A:$Z,MATCH('PWP-Print'!E236,PWP!$B:$B,0),MATCH("Type",PWP!$A$1:$Z$1,0))&amp;" Adventurer"</f>
        <v>Water Wand Adventurer</v>
      </c>
      <c r="K238" s="250"/>
      <c r="M238" s="729"/>
      <c r="O238" s="251" t="str">
        <f>+INDEX(PWP!$A:$Z,MATCH('PWP-Print'!O236,PWP!$B:$B,0),MATCH("Num",PWP!$A$1:$Z$1,0))</f>
        <v>A-120</v>
      </c>
      <c r="Q238" s="249" t="str">
        <f>+INDEX(PWP!$A:$Z,MATCH('PWP-Print'!O236,PWP!$B:$B,0),MATCH("Element",PWP!$A$1:$Z$1,0))&amp;" "&amp;INDEX(PWP!$A:$Z,MATCH('PWP-Print'!O236,PWP!$B:$B,0),MATCH("Type",PWP!$A$1:$Z$1,0))&amp;" Adventurer"</f>
        <v>Wind Sword Adventurer</v>
      </c>
      <c r="U238" s="250"/>
    </row>
    <row r="239" spans="1:21" ht="7.5" customHeight="1" x14ac:dyDescent="0.3">
      <c r="A239" s="244" t="s">
        <v>10763</v>
      </c>
      <c r="E239" s="250"/>
      <c r="G239" s="250"/>
      <c r="K239" s="250"/>
      <c r="O239" s="250"/>
      <c r="Q239" s="250"/>
      <c r="U239" s="250"/>
    </row>
    <row r="240" spans="1:21" ht="22.5" customHeight="1" x14ac:dyDescent="0.3">
      <c r="C240" s="729" t="e" vm="1148">
        <f>_xlfn.IMAGE("https://natalie.tf/wp-content/uploads/2023/10/DLV3_Icon_ADV_"&amp;E241&amp;"_r05.png")</f>
        <v>#VALUE!</v>
      </c>
      <c r="E240" s="249" t="str">
        <f>"PWP-"&amp;A242</f>
        <v>PWP-108</v>
      </c>
      <c r="G240" s="249" t="str">
        <f>+INDEX(PWP!$A:$Z,MATCH('PWP-Print'!E240,PWP!$B:$B,0),MATCH("Title",PWP!$A$1:$Z$1,0))</f>
        <v>King Starfall</v>
      </c>
      <c r="I240" t="e" vm="688">
        <f>_xlfn.IMAGE("https://natalie.tf/wp-content/uploads/2023/10/DLV3_Icon_Ability_"&amp;INDEX('PWP-A'!$A$2:$C$31,MATCH('PWP-Print'!J240,'PWP-A'!$B$2:$B$31,0),1)&amp;".png")</f>
        <v>#VALUE!</v>
      </c>
      <c r="J240" s="229" t="str">
        <f>+INDEX(PWP!$A:$Z,MATCH('PWP-Print'!E240,PWP!$B:$B,0),MATCH("PWP Ability 1",PWP!$A$1:$Z$1,0))</f>
        <v>Overdrive Punisher +15%</v>
      </c>
      <c r="K240" s="249" t="str">
        <f>+INDEX(PWP!$A:$Z,MATCH('PWP-Print'!E240,PWP!$B:$B,0),MATCH("Locked PWP Ability 1",PWP!$A$1:$Z$1,0))</f>
        <v>(Water) Overdrive Punisher +15%</v>
      </c>
      <c r="M240" s="729" t="e" vm="1149">
        <f>_xlfn.IMAGE("https://natalie.tf/wp-content/uploads/2023/10/DLV3_Icon_ADV_"&amp;O241&amp;"_r05.png")</f>
        <v>#VALUE!</v>
      </c>
      <c r="O240" s="249" t="str">
        <f>"PWP-"&amp;B242</f>
        <v>PWP-121</v>
      </c>
      <c r="Q240" s="249" t="str">
        <f>+INDEX(PWP!$A:$Z,MATCH('PWP-Print'!O240,PWP!$B:$B,0),MATCH("Title",PWP!$A$1:$Z$1,0))</f>
        <v>White Sparrow</v>
      </c>
      <c r="S240" t="e" vm="1036">
        <f>_xlfn.IMAGE("https://natalie.tf/wp-content/uploads/2023/10/DLV3_Icon_Ability_"&amp;INDEX('PWP-A'!$A$2:$C$31,MATCH('PWP-Print'!T240,'PWP-A'!$B$2:$B$31,0),1)&amp;".png")</f>
        <v>#VALUE!</v>
      </c>
      <c r="T240" s="229" t="str">
        <f>+INDEX(PWP!$A:$Z,MATCH('PWP-Print'!O240,PWP!$B:$B,0),MATCH("PWP Ability 1",PWP!$A$1:$Z$1,0))</f>
        <v>15 Hits = Overdamage</v>
      </c>
      <c r="U240" s="249" t="str">
        <f>+INDEX(PWP!$A:$Z,MATCH('PWP-Print'!O240,PWP!$B:$B,0),MATCH("Locked PWP Ability 1",PWP!$A$1:$Z$1,0))</f>
        <v>(Wind) 15 Hits = Overdamage</v>
      </c>
    </row>
    <row r="241" spans="1:21" ht="22.5" customHeight="1" x14ac:dyDescent="0.3">
      <c r="C241" s="729"/>
      <c r="D241" s="8"/>
      <c r="E241" s="200" t="str">
        <f>+INDEX(PWP!$A:$Z,MATCH('PWP-Print'!E240,PWP!$B:$B,0),MATCH("ID",PWP!$A$1:$Z$1,0))</f>
        <v>110022_02</v>
      </c>
      <c r="F241" s="8"/>
      <c r="G241" s="249" t="str">
        <f>+INDEX(PWP!$A:$Z,MATCH('PWP-Print'!E240,PWP!$B:$B,0),MATCH("Name",PWP!$A$1:$Z$1,0))</f>
        <v>Dragonyule Xander</v>
      </c>
      <c r="H241" s="8"/>
      <c r="I241" t="e" vm="330">
        <f>_xlfn.IMAGE("https://natalie.tf/wp-content/uploads/2023/10/DLV3_Icon_Ability_"&amp;INDEX('PWP-A'!$A$2:$C$31,MATCH('PWP-Print'!J241,'PWP-A'!$B$2:$B$31,0),1)&amp;".png")</f>
        <v>#VALUE!</v>
      </c>
      <c r="J241" s="229" t="str">
        <f>+INDEX(PWP!$A:$Z,MATCH('PWP-Print'!E240,PWP!$B:$B,0),MATCH("PWP Ability 2",PWP!$A$1:$Z$1,0))</f>
        <v>Skill Haste +10%</v>
      </c>
      <c r="K241" s="249" t="str">
        <f>+INDEX(PWP!$A:$Z,MATCH('PWP-Print'!E240,PWP!$B:$B,0),MATCH("Locked PWP Ability 2",PWP!$A$1:$Z$1,0))</f>
        <v>(Water) Skill Haste +10%</v>
      </c>
      <c r="M241" s="729"/>
      <c r="N241" s="8"/>
      <c r="O241" s="200" t="str">
        <f>+INDEX(PWP!$A:$Z,MATCH('PWP-Print'!O240,PWP!$B:$B,0),MATCH("ID",PWP!$A$1:$Z$1,0))</f>
        <v>100018_02</v>
      </c>
      <c r="P241" s="8"/>
      <c r="Q241" s="249" t="str">
        <f>+INDEX(PWP!$A:$Z,MATCH('PWP-Print'!O240,PWP!$B:$B,0),MATCH("Name",PWP!$A$1:$Z$1,0))</f>
        <v>Gala Leif</v>
      </c>
      <c r="R241" s="8"/>
      <c r="S241" t="e" vm="688">
        <f>_xlfn.IMAGE("https://natalie.tf/wp-content/uploads/2023/10/DLV3_Icon_Ability_"&amp;INDEX('PWP-A'!$A$2:$C$31,MATCH('PWP-Print'!T241,'PWP-A'!$B$2:$B$31,0),1)&amp;".png")</f>
        <v>#VALUE!</v>
      </c>
      <c r="T241" s="229" t="str">
        <f>+INDEX(PWP!$A:$Z,MATCH('PWP-Print'!O240,PWP!$B:$B,0),MATCH("PWP Ability 2",PWP!$A$1:$Z$1,0))</f>
        <v>Overdrive Punisher +15%</v>
      </c>
      <c r="U241" s="249" t="str">
        <f>+INDEX(PWP!$A:$Z,MATCH('PWP-Print'!O240,PWP!$B:$B,0),MATCH("Locked PWP Ability 2",PWP!$A$1:$Z$1,0))</f>
        <v>(Wind) Overdrive Punisher +15%</v>
      </c>
    </row>
    <row r="242" spans="1:21" ht="22.5" customHeight="1" x14ac:dyDescent="0.3">
      <c r="A242" s="244" t="str">
        <f>TEXT(A238+1,"000")</f>
        <v>108</v>
      </c>
      <c r="B242" s="244" t="str">
        <f>TEXT(B238+1,"000")</f>
        <v>121</v>
      </c>
      <c r="C242" s="729"/>
      <c r="E242" s="251" t="str">
        <f>+INDEX(PWP!$A:$Z,MATCH('PWP-Print'!E240,PWP!$B:$B,0),MATCH("Num",PWP!$A$1:$Z$1,0))</f>
        <v>A-108</v>
      </c>
      <c r="G242" s="249" t="str">
        <f>+INDEX(PWP!$A:$Z,MATCH('PWP-Print'!E240,PWP!$B:$B,0),MATCH("Element",PWP!$A$1:$Z$1,0))&amp;" "&amp;INDEX(PWP!$A:$Z,MATCH('PWP-Print'!E240,PWP!$B:$B,0),MATCH("Type",PWP!$A$1:$Z$1,0))&amp;" Adventurer"</f>
        <v>Water Wand Adventurer</v>
      </c>
      <c r="K242" s="250"/>
      <c r="M242" s="729"/>
      <c r="O242" s="251" t="str">
        <f>+INDEX(PWP!$A:$Z,MATCH('PWP-Print'!O240,PWP!$B:$B,0),MATCH("Num",PWP!$A$1:$Z$1,0))</f>
        <v>A-121</v>
      </c>
      <c r="Q242" s="249" t="str">
        <f>+INDEX(PWP!$A:$Z,MATCH('PWP-Print'!O240,PWP!$B:$B,0),MATCH("Element",PWP!$A$1:$Z$1,0))&amp;" "&amp;INDEX(PWP!$A:$Z,MATCH('PWP-Print'!O240,PWP!$B:$B,0),MATCH("Type",PWP!$A$1:$Z$1,0))&amp;" Adventurer"</f>
        <v>Wind Sword Adventurer</v>
      </c>
      <c r="U242" s="250"/>
    </row>
    <row r="243" spans="1:21" ht="7.5" customHeight="1" x14ac:dyDescent="0.3">
      <c r="A243" s="244" t="s">
        <v>10763</v>
      </c>
      <c r="E243" s="250"/>
      <c r="G243" s="250"/>
      <c r="K243" s="250"/>
      <c r="O243" s="250"/>
      <c r="Q243" s="250"/>
      <c r="U243" s="250"/>
    </row>
    <row r="244" spans="1:21" ht="22.5" customHeight="1" x14ac:dyDescent="0.3">
      <c r="C244" s="729" t="e" vm="1150">
        <f>_xlfn.IMAGE("https://natalie.tf/wp-content/uploads/2023/10/DLV3_Icon_ADV_"&amp;E245&amp;"_r05.png")</f>
        <v>#VALUE!</v>
      </c>
      <c r="E244" s="249" t="str">
        <f>"PWP-"&amp;A246</f>
        <v>PWP-109</v>
      </c>
      <c r="G244" s="249" t="str">
        <f>+INDEX(PWP!$A:$Z,MATCH('PWP-Print'!E244,PWP!$B:$B,0),MATCH("Title",PWP!$A$1:$Z$1,0))</f>
        <v>Angel of Information</v>
      </c>
      <c r="I244" t="e" vm="1036">
        <f>_xlfn.IMAGE("https://natalie.tf/wp-content/uploads/2023/10/DLV3_Icon_Ability_"&amp;INDEX('PWP-A'!$A$2:$C$31,MATCH('PWP-Print'!J244,'PWP-A'!$B$2:$B$31,0),1)&amp;".png")</f>
        <v>#VALUE!</v>
      </c>
      <c r="J244" s="229" t="str">
        <f>+INDEX(PWP!$A:$Z,MATCH('PWP-Print'!E244,PWP!$B:$B,0),MATCH("PWP Ability 1",PWP!$A$1:$Z$1,0))</f>
        <v>15 Hits = Overdamage</v>
      </c>
      <c r="K244" s="249" t="str">
        <f>+INDEX(PWP!$A:$Z,MATCH('PWP-Print'!E244,PWP!$B:$B,0),MATCH("Locked PWP Ability 1",PWP!$A$1:$Z$1,0))</f>
        <v>(Water) 15 Hits = Overdamage</v>
      </c>
      <c r="M244" s="729" t="e" vm="1151">
        <f>_xlfn.IMAGE("https://natalie.tf/wp-content/uploads/2023/10/DLV3_Icon_ADV_"&amp;O245&amp;"_r05.png")</f>
        <v>#VALUE!</v>
      </c>
      <c r="O244" s="249" t="str">
        <f>"PWP-"&amp;B246</f>
        <v>PWP-122</v>
      </c>
      <c r="Q244" s="249" t="str">
        <f>+INDEX(PWP!$A:$Z,MATCH('PWP-Print'!O244,PWP!$B:$B,0),MATCH("Title",PWP!$A$1:$Z$1,0))</f>
        <v>Battling Bride</v>
      </c>
      <c r="S244" t="e" vm="14">
        <f>_xlfn.IMAGE("https://natalie.tf/wp-content/uploads/2023/10/DLV3_Icon_Ability_"&amp;INDEX('PWP-A'!$A$2:$C$31,MATCH('PWP-Print'!T244,'PWP-A'!$B$2:$B$31,0),1)&amp;".png")</f>
        <v>#VALUE!</v>
      </c>
      <c r="T244" s="229" t="str">
        <f>+INDEX(PWP!$A:$Z,MATCH('PWP-Print'!O244,PWP!$B:$B,0),MATCH("PWP Ability 1",PWP!$A$1:$Z$1,0))</f>
        <v>Strength +20%</v>
      </c>
      <c r="U244" s="249" t="str">
        <f>+INDEX(PWP!$A:$Z,MATCH('PWP-Print'!O244,PWP!$B:$B,0),MATCH("Locked PWP Ability 1",PWP!$A$1:$Z$1,0))</f>
        <v>(Wind) Strength +20%</v>
      </c>
    </row>
    <row r="245" spans="1:21" ht="22.5" customHeight="1" x14ac:dyDescent="0.3">
      <c r="C245" s="729"/>
      <c r="D245" s="8"/>
      <c r="E245" s="200" t="str">
        <f>+INDEX(PWP!$A:$Z,MATCH('PWP-Print'!E244,PWP!$B:$B,0),MATCH("ID",PWP!$A$1:$Z$1,0))</f>
        <v>110396_01</v>
      </c>
      <c r="F245" s="8"/>
      <c r="G245" s="249" t="str">
        <f>+INDEX(PWP!$A:$Z,MATCH('PWP-Print'!E244,PWP!$B:$B,0),MATCH("Name",PWP!$A$1:$Z$1,0))</f>
        <v>Sandalphon</v>
      </c>
      <c r="H245" s="8"/>
      <c r="I245" t="e" vm="414">
        <f>_xlfn.IMAGE("https://natalie.tf/wp-content/uploads/2023/10/DLV3_Icon_Ability_"&amp;INDEX('PWP-A'!$A$2:$C$31,MATCH('PWP-Print'!J245,'PWP-A'!$B$2:$B$31,0),1)&amp;".png")</f>
        <v>#VALUE!</v>
      </c>
      <c r="J245" s="229" t="str">
        <f>+INDEX(PWP!$A:$Z,MATCH('PWP-Print'!E244,PWP!$B:$B,0),MATCH("PWP Ability 2",PWP!$A$1:$Z$1,0))</f>
        <v>Critical Damage +25%</v>
      </c>
      <c r="K245" s="249" t="str">
        <f>+INDEX(PWP!$A:$Z,MATCH('PWP-Print'!E244,PWP!$B:$B,0),MATCH("Locked PWP Ability 2",PWP!$A$1:$Z$1,0))</f>
        <v>(Water) Critical Damage +25%</v>
      </c>
      <c r="M245" s="729"/>
      <c r="N245" s="8"/>
      <c r="O245" s="200" t="str">
        <f>+INDEX(PWP!$A:$Z,MATCH('PWP-Print'!O244,PWP!$B:$B,0),MATCH("ID",PWP!$A$1:$Z$1,0))</f>
        <v>100002_06</v>
      </c>
      <c r="P245" s="8"/>
      <c r="Q245" s="249" t="str">
        <f>+INDEX(PWP!$A:$Z,MATCH('PWP-Print'!O244,PWP!$B:$B,0),MATCH("Name",PWP!$A$1:$Z$1,0))</f>
        <v>Wedding Elisanne</v>
      </c>
      <c r="R245" s="8"/>
      <c r="S245" t="e" vm="496">
        <f>_xlfn.IMAGE("https://natalie.tf/wp-content/uploads/2023/10/DLV3_Icon_Ability_"&amp;INDEX('PWP-A'!$A$2:$C$31,MATCH('PWP-Print'!T245,'PWP-A'!$B$2:$B$31,0),1)&amp;".png")</f>
        <v>#VALUE!</v>
      </c>
      <c r="T245" s="229" t="str">
        <f>+INDEX(PWP!$A:$Z,MATCH('PWP-Print'!O244,PWP!$B:$B,0),MATCH("PWP Ability 2",PWP!$A$1:$Z$1,0))</f>
        <v>HP +15%</v>
      </c>
      <c r="U245" s="249" t="str">
        <f>+INDEX(PWP!$A:$Z,MATCH('PWP-Print'!O244,PWP!$B:$B,0),MATCH("Locked PWP Ability 2",PWP!$A$1:$Z$1,0))</f>
        <v>(Wind) HP +15%</v>
      </c>
    </row>
    <row r="246" spans="1:21" ht="22.5" customHeight="1" x14ac:dyDescent="0.3">
      <c r="A246" s="244" t="str">
        <f>TEXT(A242+1,"000")</f>
        <v>109</v>
      </c>
      <c r="B246" s="244" t="str">
        <f>TEXT(B242+1,"000")</f>
        <v>122</v>
      </c>
      <c r="C246" s="729"/>
      <c r="E246" s="251" t="str">
        <f>+INDEX(PWP!$A:$Z,MATCH('PWP-Print'!E244,PWP!$B:$B,0),MATCH("Num",PWP!$A$1:$Z$1,0))</f>
        <v>A-109</v>
      </c>
      <c r="G246" s="249" t="str">
        <f>+INDEX(PWP!$A:$Z,MATCH('PWP-Print'!E244,PWP!$B:$B,0),MATCH("Element",PWP!$A$1:$Z$1,0))&amp;" "&amp;INDEX(PWP!$A:$Z,MATCH('PWP-Print'!E244,PWP!$B:$B,0),MATCH("Type",PWP!$A$1:$Z$1,0))&amp;" Adventurer"</f>
        <v>Water Staff Adventurer</v>
      </c>
      <c r="K246" s="250"/>
      <c r="M246" s="729"/>
      <c r="O246" s="251" t="str">
        <f>+INDEX(PWP!$A:$Z,MATCH('PWP-Print'!O244,PWP!$B:$B,0),MATCH("Num",PWP!$A$1:$Z$1,0))</f>
        <v>A-122</v>
      </c>
      <c r="Q246" s="249" t="str">
        <f>+INDEX(PWP!$A:$Z,MATCH('PWP-Print'!O244,PWP!$B:$B,0),MATCH("Element",PWP!$A$1:$Z$1,0))&amp;" "&amp;INDEX(PWP!$A:$Z,MATCH('PWP-Print'!O244,PWP!$B:$B,0),MATCH("Type",PWP!$A$1:$Z$1,0))&amp;" Adventurer"</f>
        <v>Wind Sword Adventurer</v>
      </c>
      <c r="U246" s="250"/>
    </row>
    <row r="247" spans="1:21" ht="7.5" customHeight="1" x14ac:dyDescent="0.3">
      <c r="A247" s="244" t="s">
        <v>10763</v>
      </c>
      <c r="E247" s="250"/>
      <c r="G247" s="250"/>
      <c r="K247" s="250"/>
      <c r="O247" s="250"/>
      <c r="Q247" s="250"/>
      <c r="U247" s="250"/>
    </row>
    <row r="248" spans="1:21" ht="22.5" customHeight="1" x14ac:dyDescent="0.3">
      <c r="C248" s="729" t="e" vm="1152">
        <f>_xlfn.IMAGE("https://natalie.tf/wp-content/uploads/2023/10/DLV3_Icon_ADV_"&amp;E249&amp;"_r05.png")</f>
        <v>#VALUE!</v>
      </c>
      <c r="E248" s="249" t="str">
        <f>"PWP-"&amp;A250</f>
        <v>PWP-110</v>
      </c>
      <c r="G248" s="249" t="str">
        <f>+INDEX(PWP!$A:$Z,MATCH('PWP-Print'!E248,PWP!$B:$B,0),MATCH("Title",PWP!$A$1:$Z$1,0))</f>
        <v>Princess Starfall</v>
      </c>
      <c r="I248" t="e" vm="1036">
        <f>_xlfn.IMAGE("https://natalie.tf/wp-content/uploads/2023/10/DLV3_Icon_Ability_"&amp;INDEX('PWP-A'!$A$2:$C$31,MATCH('PWP-Print'!J248,'PWP-A'!$B$2:$B$31,0),1)&amp;".png")</f>
        <v>#VALUE!</v>
      </c>
      <c r="J248" s="229" t="str">
        <f>+INDEX(PWP!$A:$Z,MATCH('PWP-Print'!E248,PWP!$B:$B,0),MATCH("PWP Ability 1",PWP!$A$1:$Z$1,0))</f>
        <v>15 Hits = Overdamage</v>
      </c>
      <c r="K248" s="249" t="str">
        <f>+INDEX(PWP!$A:$Z,MATCH('PWP-Print'!E248,PWP!$B:$B,0),MATCH("Locked PWP Ability 1",PWP!$A$1:$Z$1,0))</f>
        <v>(Water) 15 Hits = Overdamage</v>
      </c>
      <c r="M248" s="729" t="e" vm="1153">
        <f>_xlfn.IMAGE("https://natalie.tf/wp-content/uploads/2023/10/DLV3_Icon_ADV_"&amp;O249&amp;"_r05.png")</f>
        <v>#VALUE!</v>
      </c>
      <c r="O248" s="249" t="str">
        <f>"PWP-"&amp;B250</f>
        <v>PWP-123</v>
      </c>
      <c r="Q248" s="249" t="str">
        <f>+INDEX(PWP!$A:$Z,MATCH('PWP-Print'!O248,PWP!$B:$B,0),MATCH("Title",PWP!$A$1:$Z$1,0))</f>
        <v>Seasoned Tactician</v>
      </c>
      <c r="S248" t="e" vm="1036">
        <f>_xlfn.IMAGE("https://natalie.tf/wp-content/uploads/2023/10/DLV3_Icon_Ability_"&amp;INDEX('PWP-A'!$A$2:$C$31,MATCH('PWP-Print'!T248,'PWP-A'!$B$2:$B$31,0),1)&amp;".png")</f>
        <v>#VALUE!</v>
      </c>
      <c r="T248" s="229" t="str">
        <f>+INDEX(PWP!$A:$Z,MATCH('PWP-Print'!O248,PWP!$B:$B,0),MATCH("PWP Ability 1",PWP!$A$1:$Z$1,0))</f>
        <v>15 Hits = Overdamage</v>
      </c>
      <c r="U248" s="249" t="str">
        <f>+INDEX(PWP!$A:$Z,MATCH('PWP-Print'!O248,PWP!$B:$B,0),MATCH("Locked PWP Ability 1",PWP!$A$1:$Z$1,0))</f>
        <v>(Wind) 15 Hits = Overdamage</v>
      </c>
    </row>
    <row r="249" spans="1:21" ht="22.5" customHeight="1" x14ac:dyDescent="0.3">
      <c r="C249" s="729"/>
      <c r="D249" s="8"/>
      <c r="E249" s="200" t="str">
        <f>+INDEX(PWP!$A:$Z,MATCH('PWP-Print'!E248,PWP!$B:$B,0),MATCH("ID",PWP!$A$1:$Z$1,0))</f>
        <v>110252_02</v>
      </c>
      <c r="F249" s="8"/>
      <c r="G249" s="249" t="str">
        <f>+INDEX(PWP!$A:$Z,MATCH('PWP-Print'!E248,PWP!$B:$B,0),MATCH("Name",PWP!$A$1:$Z$1,0))</f>
        <v>Dragonyule Lily</v>
      </c>
      <c r="H249" s="8"/>
      <c r="I249" t="e" vm="426">
        <f>_xlfn.IMAGE("https://natalie.tf/wp-content/uploads/2023/10/DLV3_Icon_Ability_"&amp;INDEX('PWP-A'!$A$2:$C$31,MATCH('PWP-Print'!J249,'PWP-A'!$B$2:$B$31,0),1)&amp;".png")</f>
        <v>#VALUE!</v>
      </c>
      <c r="J249" s="229" t="str">
        <f>+INDEX(PWP!$A:$Z,MATCH('PWP-Print'!E248,PWP!$B:$B,0),MATCH("PWP Ability 2",PWP!$A$1:$Z$1,0))</f>
        <v>Defense +20%</v>
      </c>
      <c r="K249" s="249" t="str">
        <f>+INDEX(PWP!$A:$Z,MATCH('PWP-Print'!E248,PWP!$B:$B,0),MATCH("Locked PWP Ability 2",PWP!$A$1:$Z$1,0))</f>
        <v>(Water) Defense +20%</v>
      </c>
      <c r="M249" s="729"/>
      <c r="N249" s="8"/>
      <c r="O249" s="200" t="str">
        <f>+INDEX(PWP!$A:$Z,MATCH('PWP-Print'!O248,PWP!$B:$B,0),MATCH("ID",PWP!$A$1:$Z$1,0))</f>
        <v>100003_07</v>
      </c>
      <c r="P249" s="8"/>
      <c r="Q249" s="249" t="str">
        <f>+INDEX(PWP!$A:$Z,MATCH('PWP-Print'!O248,PWP!$B:$B,0),MATCH("Name",PWP!$A$1:$Z$1,0))</f>
        <v>Gala Ranzal</v>
      </c>
      <c r="R249" s="8"/>
      <c r="S249" t="e" vm="696">
        <f>_xlfn.IMAGE("https://natalie.tf/wp-content/uploads/2023/10/DLV3_Icon_Ability_"&amp;INDEX('PWP-A'!$A$2:$C$31,MATCH('PWP-Print'!T249,'PWP-A'!$B$2:$B$31,0),1)&amp;".png")</f>
        <v>#VALUE!</v>
      </c>
      <c r="T249" s="229" t="str">
        <f>+INDEX(PWP!$A:$Z,MATCH('PWP-Print'!O248,PWP!$B:$B,0),MATCH("PWP Ability 2",PWP!$A$1:$Z$1,0))</f>
        <v>Elemental Res +15%</v>
      </c>
      <c r="U249" s="249" t="str">
        <f>+INDEX(PWP!$A:$Z,MATCH('PWP-Print'!O248,PWP!$B:$B,0),MATCH("Locked PWP Ability 2",PWP!$A$1:$Z$1,0))</f>
        <v>(Wind) Elemental Res +15%</v>
      </c>
    </row>
    <row r="250" spans="1:21" ht="22.5" customHeight="1" x14ac:dyDescent="0.3">
      <c r="A250" s="244" t="str">
        <f>TEXT(A246+1,"000")</f>
        <v>110</v>
      </c>
      <c r="B250" s="244" t="str">
        <f>TEXT(B246+1,"000")</f>
        <v>123</v>
      </c>
      <c r="C250" s="729"/>
      <c r="E250" s="251" t="str">
        <f>+INDEX(PWP!$A:$Z,MATCH('PWP-Print'!E248,PWP!$B:$B,0),MATCH("Num",PWP!$A$1:$Z$1,0))</f>
        <v>A-110</v>
      </c>
      <c r="G250" s="249" t="str">
        <f>+INDEX(PWP!$A:$Z,MATCH('PWP-Print'!E248,PWP!$B:$B,0),MATCH("Element",PWP!$A$1:$Z$1,0))&amp;" "&amp;INDEX(PWP!$A:$Z,MATCH('PWP-Print'!E248,PWP!$B:$B,0),MATCH("Type",PWP!$A$1:$Z$1,0))&amp;" Adventurer"</f>
        <v>Water Staff Adventurer</v>
      </c>
      <c r="K250" s="250"/>
      <c r="M250" s="729"/>
      <c r="O250" s="251" t="str">
        <f>+INDEX(PWP!$A:$Z,MATCH('PWP-Print'!O248,PWP!$B:$B,0),MATCH("Num",PWP!$A$1:$Z$1,0))</f>
        <v>A-123</v>
      </c>
      <c r="Q250" s="249" t="str">
        <f>+INDEX(PWP!$A:$Z,MATCH('PWP-Print'!O248,PWP!$B:$B,0),MATCH("Element",PWP!$A$1:$Z$1,0))&amp;" "&amp;INDEX(PWP!$A:$Z,MATCH('PWP-Print'!O248,PWP!$B:$B,0),MATCH("Type",PWP!$A$1:$Z$1,0))&amp;" Adventurer"</f>
        <v>Wind Sword Adventurer</v>
      </c>
      <c r="U250" s="250"/>
    </row>
    <row r="251" spans="1:21" ht="7.5" customHeight="1" x14ac:dyDescent="0.3">
      <c r="A251" s="244" t="s">
        <v>10763</v>
      </c>
      <c r="E251" s="250"/>
      <c r="G251" s="250"/>
      <c r="K251" s="250"/>
      <c r="O251" s="250"/>
      <c r="Q251" s="250"/>
      <c r="U251" s="250"/>
    </row>
    <row r="252" spans="1:21" ht="22.5" customHeight="1" x14ac:dyDescent="0.3">
      <c r="C252" s="729" t="e" vm="1154">
        <f>_xlfn.IMAGE("https://natalie.tf/wp-content/uploads/2023/10/DLV3_Icon_ADV_"&amp;E253&amp;"_r05.png")</f>
        <v>#VALUE!</v>
      </c>
      <c r="E252" s="249" t="str">
        <f>"PWP-"&amp;A254</f>
        <v>PWP-111</v>
      </c>
      <c r="G252" s="249" t="str">
        <f>+INDEX(PWP!$A:$Z,MATCH('PWP-Print'!E252,PWP!$B:$B,0),MATCH("Title",PWP!$A$1:$Z$1,0))</f>
        <v>Quirky Qilin</v>
      </c>
      <c r="I252" t="e" vm="330">
        <f>_xlfn.IMAGE("https://natalie.tf/wp-content/uploads/2023/10/DLV3_Icon_Ability_"&amp;INDEX('PWP-A'!$A$2:$C$31,MATCH('PWP-Print'!J252,'PWP-A'!$B$2:$B$31,0),1)&amp;".png")</f>
        <v>#VALUE!</v>
      </c>
      <c r="J252" s="229" t="str">
        <f>+INDEX(PWP!$A:$Z,MATCH('PWP-Print'!E252,PWP!$B:$B,0),MATCH("PWP Ability 1",PWP!$A$1:$Z$1,0))</f>
        <v>Skill Haste +10%</v>
      </c>
      <c r="K252" s="249" t="str">
        <f>+INDEX(PWP!$A:$Z,MATCH('PWP-Print'!E252,PWP!$B:$B,0),MATCH("Locked PWP Ability 1",PWP!$A$1:$Z$1,0))</f>
        <v>(Water) Skill Haste +10%</v>
      </c>
      <c r="M252" s="729" t="e" vm="1155">
        <f>_xlfn.IMAGE("https://natalie.tf/wp-content/uploads/2023/10/DLV3_Icon_ADV_"&amp;O253&amp;"_r05.png")</f>
        <v>#VALUE!</v>
      </c>
      <c r="O252" s="249" t="str">
        <f>"PWP-"&amp;B254</f>
        <v>PWP-124</v>
      </c>
      <c r="Q252" s="249" t="str">
        <f>+INDEX(PWP!$A:$Z,MATCH('PWP-Print'!O252,PWP!$B:$B,0),MATCH("Title",PWP!$A$1:$Z$1,0))</f>
        <v>Budding Templar</v>
      </c>
      <c r="S252" t="e" vm="330">
        <f>_xlfn.IMAGE("https://natalie.tf/wp-content/uploads/2023/10/DLV3_Icon_Ability_"&amp;INDEX('PWP-A'!$A$2:$C$31,MATCH('PWP-Print'!T252,'PWP-A'!$B$2:$B$31,0),1)&amp;".png")</f>
        <v>#VALUE!</v>
      </c>
      <c r="T252" s="229" t="str">
        <f>+INDEX(PWP!$A:$Z,MATCH('PWP-Print'!O252,PWP!$B:$B,0),MATCH("PWP Ability 1",PWP!$A$1:$Z$1,0))</f>
        <v>Skill Haste +10%</v>
      </c>
      <c r="U252" s="249" t="str">
        <f>+INDEX(PWP!$A:$Z,MATCH('PWP-Print'!O252,PWP!$B:$B,0),MATCH("Locked PWP Ability 1",PWP!$A$1:$Z$1,0))</f>
        <v>(Wind) Skill Haste +10%</v>
      </c>
    </row>
    <row r="253" spans="1:21" ht="22.5" customHeight="1" x14ac:dyDescent="0.3">
      <c r="C253" s="729"/>
      <c r="D253" s="8"/>
      <c r="E253" s="200" t="str">
        <f>+INDEX(PWP!$A:$Z,MATCH('PWP-Print'!E252,PWP!$B:$B,0),MATCH("ID",PWP!$A$1:$Z$1,0))</f>
        <v>110351_01</v>
      </c>
      <c r="F253" s="8"/>
      <c r="G253" s="249" t="str">
        <f>+INDEX(PWP!$A:$Z,MATCH('PWP-Print'!E252,PWP!$B:$B,0),MATCH("Name",PWP!$A$1:$Z$1,0))</f>
        <v>Jiang Ziya</v>
      </c>
      <c r="H253" s="8"/>
      <c r="I253" t="e" vm="349">
        <f>_xlfn.IMAGE("https://natalie.tf/wp-content/uploads/2023/10/DLV3_Icon_Ability_"&amp;INDEX('PWP-A'!$A$2:$C$31,MATCH('PWP-Print'!J253,'PWP-A'!$B$2:$B$31,0),1)&amp;".png")</f>
        <v>#VALUE!</v>
      </c>
      <c r="J253" s="229" t="str">
        <f>+INDEX(PWP!$A:$Z,MATCH('PWP-Print'!E252,PWP!$B:$B,0),MATCH("PWP Ability 2",PWP!$A$1:$Z$1,0))</f>
        <v>Recovery Potency +20%</v>
      </c>
      <c r="K253" s="249" t="str">
        <f>+INDEX(PWP!$A:$Z,MATCH('PWP-Print'!E252,PWP!$B:$B,0),MATCH("Locked PWP Ability 2",PWP!$A$1:$Z$1,0))</f>
        <v>(Water) Recovery Potency +20%</v>
      </c>
      <c r="M253" s="729"/>
      <c r="N253" s="8"/>
      <c r="O253" s="200" t="str">
        <f>+INDEX(PWP!$A:$Z,MATCH('PWP-Print'!O252,PWP!$B:$B,0),MATCH("ID",PWP!$A$1:$Z$1,0))</f>
        <v>110038_02</v>
      </c>
      <c r="P253" s="8"/>
      <c r="Q253" s="249" t="str">
        <f>+INDEX(PWP!$A:$Z,MATCH('PWP-Print'!O252,PWP!$B:$B,0),MATCH("Name",PWP!$A$1:$Z$1,0))</f>
        <v>Templar Hope</v>
      </c>
      <c r="R253" s="8"/>
      <c r="S253" t="e" vm="349">
        <f>_xlfn.IMAGE("https://natalie.tf/wp-content/uploads/2023/10/DLV3_Icon_Ability_"&amp;INDEX('PWP-A'!$A$2:$C$31,MATCH('PWP-Print'!T253,'PWP-A'!$B$2:$B$31,0),1)&amp;".png")</f>
        <v>#VALUE!</v>
      </c>
      <c r="T253" s="229" t="str">
        <f>+INDEX(PWP!$A:$Z,MATCH('PWP-Print'!O252,PWP!$B:$B,0),MATCH("PWP Ability 2",PWP!$A$1:$Z$1,0))</f>
        <v>Recovery Potency +20%</v>
      </c>
      <c r="U253" s="249" t="str">
        <f>+INDEX(PWP!$A:$Z,MATCH('PWP-Print'!O252,PWP!$B:$B,0),MATCH("Locked PWP Ability 2",PWP!$A$1:$Z$1,0))</f>
        <v>(Wind) Recovery Potency +20%</v>
      </c>
    </row>
    <row r="254" spans="1:21" ht="22.5" customHeight="1" x14ac:dyDescent="0.3">
      <c r="A254" s="244" t="str">
        <f>TEXT(A250+1,"000")</f>
        <v>111</v>
      </c>
      <c r="B254" s="244" t="str">
        <f>TEXT(B250+1,"000")</f>
        <v>124</v>
      </c>
      <c r="C254" s="729"/>
      <c r="E254" s="251" t="str">
        <f>+INDEX(PWP!$A:$Z,MATCH('PWP-Print'!E252,PWP!$B:$B,0),MATCH("Num",PWP!$A$1:$Z$1,0))</f>
        <v>A-111</v>
      </c>
      <c r="G254" s="249" t="str">
        <f>+INDEX(PWP!$A:$Z,MATCH('PWP-Print'!E252,PWP!$B:$B,0),MATCH("Element",PWP!$A$1:$Z$1,0))&amp;" "&amp;INDEX(PWP!$A:$Z,MATCH('PWP-Print'!E252,PWP!$B:$B,0),MATCH("Type",PWP!$A$1:$Z$1,0))&amp;" Adventurer"</f>
        <v>Water Staff Adventurer</v>
      </c>
      <c r="K254" s="250"/>
      <c r="M254" s="729"/>
      <c r="O254" s="251" t="str">
        <f>+INDEX(PWP!$A:$Z,MATCH('PWP-Print'!O252,PWP!$B:$B,0),MATCH("Num",PWP!$A$1:$Z$1,0))</f>
        <v>A-124</v>
      </c>
      <c r="Q254" s="249" t="str">
        <f>+INDEX(PWP!$A:$Z,MATCH('PWP-Print'!O252,PWP!$B:$B,0),MATCH("Element",PWP!$A$1:$Z$1,0))&amp;" "&amp;INDEX(PWP!$A:$Z,MATCH('PWP-Print'!O252,PWP!$B:$B,0),MATCH("Type",PWP!$A$1:$Z$1,0))&amp;" Adventurer"</f>
        <v>Wind Sword Adventurer</v>
      </c>
      <c r="U254" s="250"/>
    </row>
    <row r="255" spans="1:21" ht="7.5" customHeight="1" x14ac:dyDescent="0.3">
      <c r="A255" s="244" t="s">
        <v>10763</v>
      </c>
      <c r="E255" s="250"/>
      <c r="G255" s="250"/>
      <c r="K255" s="250"/>
      <c r="O255" s="250"/>
      <c r="Q255" s="250"/>
      <c r="U255" s="250"/>
    </row>
    <row r="256" spans="1:21" ht="22.5" customHeight="1" x14ac:dyDescent="0.3">
      <c r="C256" s="729" t="e" vm="1156">
        <f>_xlfn.IMAGE("https://natalie.tf/wp-content/uploads/2023/10/DLV3_Icon_ADV_"&amp;E257&amp;"_r05.png")</f>
        <v>#VALUE!</v>
      </c>
      <c r="E256" s="249" t="str">
        <f>"PWP-"&amp;A258</f>
        <v>PWP-112</v>
      </c>
      <c r="G256" s="249" t="str">
        <f>+INDEX(PWP!$A:$Z,MATCH('PWP-Print'!E256,PWP!$B:$B,0),MATCH("Title",PWP!$A$1:$Z$1,0))</f>
        <v>Battle-Tested Nurse</v>
      </c>
      <c r="I256" t="e" vm="496">
        <f>_xlfn.IMAGE("https://natalie.tf/wp-content/uploads/2023/10/DLV3_Icon_Ability_"&amp;INDEX('PWP-A'!$A$2:$C$31,MATCH('PWP-Print'!J256,'PWP-A'!$B$2:$B$31,0),1)&amp;".png")</f>
        <v>#VALUE!</v>
      </c>
      <c r="J256" s="229" t="str">
        <f>+INDEX(PWP!$A:$Z,MATCH('PWP-Print'!E256,PWP!$B:$B,0),MATCH("PWP Ability 1",PWP!$A$1:$Z$1,0))</f>
        <v>HP +15%</v>
      </c>
      <c r="K256" s="249" t="str">
        <f>+INDEX(PWP!$A:$Z,MATCH('PWP-Print'!E256,PWP!$B:$B,0),MATCH("Locked PWP Ability 1",PWP!$A$1:$Z$1,0))</f>
        <v>(Water) HP +15%</v>
      </c>
      <c r="M256" s="729" t="e" vm="1157">
        <f>_xlfn.IMAGE("https://natalie.tf/wp-content/uploads/2023/10/DLV3_Icon_ADV_"&amp;O257&amp;"_r05.png")</f>
        <v>#VALUE!</v>
      </c>
      <c r="O256" s="249" t="str">
        <f>"PWP-"&amp;B258</f>
        <v>PWP-125</v>
      </c>
      <c r="Q256" s="249" t="str">
        <f>+INDEX(PWP!$A:$Z,MATCH('PWP-Print'!O256,PWP!$B:$B,0),MATCH("Title",PWP!$A$1:$Z$1,0))</f>
        <v>Rambling Blade</v>
      </c>
      <c r="S256" t="e" vm="414">
        <f>_xlfn.IMAGE("https://natalie.tf/wp-content/uploads/2023/10/DLV3_Icon_Ability_"&amp;INDEX('PWP-A'!$A$2:$C$31,MATCH('PWP-Print'!T256,'PWP-A'!$B$2:$B$31,0),1)&amp;".png")</f>
        <v>#VALUE!</v>
      </c>
      <c r="T256" s="229" t="str">
        <f>+INDEX(PWP!$A:$Z,MATCH('PWP-Print'!O256,PWP!$B:$B,0),MATCH("PWP Ability 1",PWP!$A$1:$Z$1,0))</f>
        <v>Critical Damage +25%</v>
      </c>
      <c r="U256" s="249" t="str">
        <f>+INDEX(PWP!$A:$Z,MATCH('PWP-Print'!O256,PWP!$B:$B,0),MATCH("Locked PWP Ability 1",PWP!$A$1:$Z$1,0))</f>
        <v>(Wind) Critical Damage +25%</v>
      </c>
    </row>
    <row r="257" spans="1:21" ht="22.5" customHeight="1" x14ac:dyDescent="0.3">
      <c r="C257" s="729"/>
      <c r="D257" s="8"/>
      <c r="E257" s="200" t="str">
        <f>+INDEX(PWP!$A:$Z,MATCH('PWP-Print'!E256,PWP!$B:$B,0),MATCH("ID",PWP!$A$1:$Z$1,0))</f>
        <v>110029_02</v>
      </c>
      <c r="F257" s="8"/>
      <c r="G257" s="249" t="str">
        <f>+INDEX(PWP!$A:$Z,MATCH('PWP-Print'!E256,PWP!$B:$B,0),MATCH("Name",PWP!$A$1:$Z$1,0))</f>
        <v>Nurse Aeleen</v>
      </c>
      <c r="H257" s="8"/>
      <c r="I257" t="e" vm="349">
        <f>_xlfn.IMAGE("https://natalie.tf/wp-content/uploads/2023/10/DLV3_Icon_Ability_"&amp;INDEX('PWP-A'!$A$2:$C$31,MATCH('PWP-Print'!J257,'PWP-A'!$B$2:$B$31,0),1)&amp;".png")</f>
        <v>#VALUE!</v>
      </c>
      <c r="J257" s="229" t="str">
        <f>+INDEX(PWP!$A:$Z,MATCH('PWP-Print'!E256,PWP!$B:$B,0),MATCH("PWP Ability 2",PWP!$A$1:$Z$1,0))</f>
        <v>Recovery Potency +20%</v>
      </c>
      <c r="K257" s="249" t="str">
        <f>+INDEX(PWP!$A:$Z,MATCH('PWP-Print'!E256,PWP!$B:$B,0),MATCH("Locked PWP Ability 2",PWP!$A$1:$Z$1,0))</f>
        <v>(Water) Recovery Potency +20%</v>
      </c>
      <c r="M257" s="729"/>
      <c r="N257" s="8"/>
      <c r="O257" s="200" t="str">
        <f>+INDEX(PWP!$A:$Z,MATCH('PWP-Print'!O256,PWP!$B:$B,0),MATCH("ID",PWP!$A$1:$Z$1,0))</f>
        <v>110315_01</v>
      </c>
      <c r="P257" s="8"/>
      <c r="Q257" s="249" t="str">
        <f>+INDEX(PWP!$A:$Z,MATCH('PWP-Print'!O256,PWP!$B:$B,0),MATCH("Name",PWP!$A$1:$Z$1,0))</f>
        <v>Ku Hai</v>
      </c>
      <c r="R257" s="8"/>
      <c r="S257" t="e" vm="330">
        <f>_xlfn.IMAGE("https://natalie.tf/wp-content/uploads/2023/10/DLV3_Icon_Ability_"&amp;INDEX('PWP-A'!$A$2:$C$31,MATCH('PWP-Print'!T257,'PWP-A'!$B$2:$B$31,0),1)&amp;".png")</f>
        <v>#VALUE!</v>
      </c>
      <c r="T257" s="229" t="str">
        <f>+INDEX(PWP!$A:$Z,MATCH('PWP-Print'!O256,PWP!$B:$B,0),MATCH("PWP Ability 2",PWP!$A$1:$Z$1,0))</f>
        <v>Skill Haste +10%</v>
      </c>
      <c r="U257" s="249" t="str">
        <f>+INDEX(PWP!$A:$Z,MATCH('PWP-Print'!O256,PWP!$B:$B,0),MATCH("Locked PWP Ability 2",PWP!$A$1:$Z$1,0))</f>
        <v>(Wind) Skill Haste +10%</v>
      </c>
    </row>
    <row r="258" spans="1:21" ht="22.5" customHeight="1" x14ac:dyDescent="0.3">
      <c r="A258" s="244" t="str">
        <f>TEXT(A254+1,"000")</f>
        <v>112</v>
      </c>
      <c r="B258" s="244" t="str">
        <f>TEXT(B254+1,"000")</f>
        <v>125</v>
      </c>
      <c r="C258" s="729"/>
      <c r="E258" s="251" t="str">
        <f>+INDEX(PWP!$A:$Z,MATCH('PWP-Print'!E256,PWP!$B:$B,0),MATCH("Num",PWP!$A$1:$Z$1,0))</f>
        <v>A-112</v>
      </c>
      <c r="G258" s="249" t="str">
        <f>+INDEX(PWP!$A:$Z,MATCH('PWP-Print'!E256,PWP!$B:$B,0),MATCH("Element",PWP!$A$1:$Z$1,0))&amp;" "&amp;INDEX(PWP!$A:$Z,MATCH('PWP-Print'!E256,PWP!$B:$B,0),MATCH("Type",PWP!$A$1:$Z$1,0))&amp;" Adventurer"</f>
        <v>Water Staff Adventurer</v>
      </c>
      <c r="K258" s="250"/>
      <c r="M258" s="729"/>
      <c r="O258" s="251" t="str">
        <f>+INDEX(PWP!$A:$Z,MATCH('PWP-Print'!O256,PWP!$B:$B,0),MATCH("Num",PWP!$A$1:$Z$1,0))</f>
        <v>A-125</v>
      </c>
      <c r="Q258" s="249" t="str">
        <f>+INDEX(PWP!$A:$Z,MATCH('PWP-Print'!O256,PWP!$B:$B,0),MATCH("Element",PWP!$A$1:$Z$1,0))&amp;" "&amp;INDEX(PWP!$A:$Z,MATCH('PWP-Print'!O256,PWP!$B:$B,0),MATCH("Type",PWP!$A$1:$Z$1,0))&amp;" Adventurer"</f>
        <v>Wind Sword Adventurer</v>
      </c>
      <c r="U258" s="250"/>
    </row>
    <row r="259" spans="1:21" ht="7.5" customHeight="1" x14ac:dyDescent="0.3">
      <c r="A259" s="244" t="s">
        <v>10763</v>
      </c>
      <c r="E259" s="250"/>
      <c r="G259" s="250"/>
      <c r="K259" s="250"/>
    </row>
    <row r="260" spans="1:21" ht="22.5" customHeight="1" x14ac:dyDescent="0.3">
      <c r="C260" s="729" t="e" vm="1158">
        <f>_xlfn.IMAGE("https://natalie.tf/wp-content/uploads/2023/10/DLV3_Icon_ADV_"&amp;E261&amp;"_r05.png")</f>
        <v>#VALUE!</v>
      </c>
      <c r="E260" s="249" t="str">
        <f>"PWP-"&amp;A262</f>
        <v>PWP-113</v>
      </c>
      <c r="G260" s="249" t="str">
        <f>+INDEX(PWP!$A:$Z,MATCH('PWP-Print'!E260,PWP!$B:$B,0),MATCH("Title",PWP!$A$1:$Z$1,0))</f>
        <v>Shifty Sailor</v>
      </c>
      <c r="I260" t="e" vm="14">
        <f>_xlfn.IMAGE("https://natalie.tf/wp-content/uploads/2023/10/DLV3_Icon_Ability_"&amp;INDEX('PWP-A'!$A$2:$C$31,MATCH('PWP-Print'!J260,'PWP-A'!$B$2:$B$31,0),1)&amp;".png")</f>
        <v>#VALUE!</v>
      </c>
      <c r="J260" s="229" t="str">
        <f>+INDEX(PWP!$A:$Z,MATCH('PWP-Print'!E260,PWP!$B:$B,0),MATCH("PWP Ability 1",PWP!$A$1:$Z$1,0))</f>
        <v>Strength +20%</v>
      </c>
      <c r="K260" s="249" t="str">
        <f>+INDEX(PWP!$A:$Z,MATCH('PWP-Print'!E260,PWP!$B:$B,0),MATCH("Locked PWP Ability 1",PWP!$A$1:$Z$1,0))</f>
        <v>(Water) Strength +20%</v>
      </c>
      <c r="M260" s="729"/>
      <c r="O260" s="221"/>
      <c r="Q260" s="221"/>
      <c r="U260" s="221"/>
    </row>
    <row r="261" spans="1:21" ht="22.5" customHeight="1" x14ac:dyDescent="0.3">
      <c r="C261" s="729"/>
      <c r="D261" s="8"/>
      <c r="E261" s="200" t="str">
        <f>+INDEX(PWP!$A:$Z,MATCH('PWP-Print'!E260,PWP!$B:$B,0),MATCH("ID",PWP!$A$1:$Z$1,0))</f>
        <v>110019_01</v>
      </c>
      <c r="F261" s="8"/>
      <c r="G261" s="249" t="str">
        <f>+INDEX(PWP!$A:$Z,MATCH('PWP-Print'!E260,PWP!$B:$B,0),MATCH("Name",PWP!$A$1:$Z$1,0))</f>
        <v>Thaniel</v>
      </c>
      <c r="H261" s="8"/>
      <c r="I261" t="e" vm="349">
        <f>_xlfn.IMAGE("https://natalie.tf/wp-content/uploads/2023/10/DLV3_Icon_Ability_"&amp;INDEX('PWP-A'!$A$2:$C$31,MATCH('PWP-Print'!J261,'PWP-A'!$B$2:$B$31,0),1)&amp;".png")</f>
        <v>#VALUE!</v>
      </c>
      <c r="J261" s="229" t="str">
        <f>+INDEX(PWP!$A:$Z,MATCH('PWP-Print'!E260,PWP!$B:$B,0),MATCH("PWP Ability 2",PWP!$A$1:$Z$1,0))</f>
        <v>Recovery Potency +20%</v>
      </c>
      <c r="K261" s="249" t="str">
        <f>+INDEX(PWP!$A:$Z,MATCH('PWP-Print'!E260,PWP!$B:$B,0),MATCH("Locked PWP Ability 2",PWP!$A$1:$Z$1,0))</f>
        <v>(Water) Recovery Potency +20%</v>
      </c>
      <c r="M261" s="729"/>
      <c r="N261" s="8"/>
      <c r="O261" s="221"/>
      <c r="P261" s="8"/>
      <c r="Q261" s="221"/>
      <c r="R261" s="8"/>
      <c r="S261" s="8"/>
      <c r="T261" s="8"/>
      <c r="U261" s="221"/>
    </row>
    <row r="262" spans="1:21" ht="22.5" customHeight="1" x14ac:dyDescent="0.3">
      <c r="A262" s="244" t="str">
        <f>TEXT(A258+1,"000")</f>
        <v>113</v>
      </c>
      <c r="C262" s="729"/>
      <c r="E262" s="251" t="str">
        <f>+INDEX(PWP!$A:$Z,MATCH('PWP-Print'!E260,PWP!$B:$B,0),MATCH("Num",PWP!$A$1:$Z$1,0))</f>
        <v>A-113</v>
      </c>
      <c r="G262" s="249" t="str">
        <f>+INDEX(PWP!$A:$Z,MATCH('PWP-Print'!E260,PWP!$B:$B,0),MATCH("Element",PWP!$A$1:$Z$1,0))&amp;" "&amp;INDEX(PWP!$A:$Z,MATCH('PWP-Print'!E260,PWP!$B:$B,0),MATCH("Type",PWP!$A$1:$Z$1,0))&amp;" Adventurer"</f>
        <v>Water Staff Adventurer</v>
      </c>
      <c r="K262" s="250"/>
      <c r="M262" s="729"/>
      <c r="O262" s="221"/>
      <c r="Q262" s="221"/>
      <c r="U262" s="222"/>
    </row>
    <row r="263" spans="1:21" ht="37.5" customHeight="1" x14ac:dyDescent="0.2"/>
    <row r="264" spans="1:21" ht="22.5" customHeight="1" x14ac:dyDescent="0.3">
      <c r="C264" s="729" t="e" vm="1159">
        <f>_xlfn.IMAGE("https://natalie.tf/wp-content/uploads/2023/10/DLV3_Icon_ADV_"&amp;E265&amp;"_r05.png")</f>
        <v>#VALUE!</v>
      </c>
      <c r="E264" s="249" t="str">
        <f>"PWP-"&amp;A266</f>
        <v>PWP-126</v>
      </c>
      <c r="G264" s="249" t="str">
        <f>+INDEX(PWP!$A:$Z,MATCH('PWP-Print'!E264,PWP!$B:$B,0),MATCH("Title",PWP!$A$1:$Z$1,0))</f>
        <v>The Black Raven</v>
      </c>
      <c r="I264" t="e" vm="326">
        <f>_xlfn.IMAGE("https://natalie.tf/wp-content/uploads/2023/10/DLV3_Icon_Ability_"&amp;INDEX('PWP-A'!$A$2:$C$31,MATCH('PWP-Print'!J264,'PWP-A'!$B$2:$B$31,0),1)&amp;".png")</f>
        <v>#VALUE!</v>
      </c>
      <c r="J264" s="229" t="str">
        <f>+INDEX(PWP!$A:$Z,MATCH('PWP-Print'!E264,PWP!$B:$B,0),MATCH("PWP Ability 1",PWP!$A$1:$Z$1,0))</f>
        <v>Critical Rate +15%</v>
      </c>
      <c r="K264" s="249" t="str">
        <f>+INDEX(PWP!$A:$Z,MATCH('PWP-Print'!E264,PWP!$B:$B,0),MATCH("Locked PWP Ability 1",PWP!$A$1:$Z$1,0))</f>
        <v>(Wind) Critical Rate +15%</v>
      </c>
      <c r="M264" s="729" t="e" vm="1160">
        <f>_xlfn.IMAGE("https://natalie.tf/wp-content/uploads/2023/10/DLV3_Icon_ADV_"&amp;O265&amp;"_r05.png")</f>
        <v>#VALUE!</v>
      </c>
      <c r="O264" s="249" t="str">
        <f>"PWP-"&amp;B266</f>
        <v>PWP-139</v>
      </c>
      <c r="Q264" s="249" t="str">
        <f>+INDEX(PWP!$A:$Z,MATCH('PWP-Print'!O264,PWP!$B:$B,0),MATCH("Title",PWP!$A$1:$Z$1,0))</f>
        <v>Cheerful Merchant</v>
      </c>
      <c r="S264" t="e" vm="414">
        <f>_xlfn.IMAGE("https://natalie.tf/wp-content/uploads/2023/10/DLV3_Icon_Ability_"&amp;INDEX('PWP-A'!$A$2:$C$31,MATCH('PWP-Print'!T264,'PWP-A'!$B$2:$B$31,0),1)&amp;".png")</f>
        <v>#VALUE!</v>
      </c>
      <c r="T264" s="229" t="str">
        <f>+INDEX(PWP!$A:$Z,MATCH('PWP-Print'!O264,PWP!$B:$B,0),MATCH("PWP Ability 1",PWP!$A$1:$Z$1,0))</f>
        <v>Critical Damage +25%</v>
      </c>
      <c r="U264" s="249" t="str">
        <f>+INDEX(PWP!$A:$Z,MATCH('PWP-Print'!O264,PWP!$B:$B,0),MATCH("Locked PWP Ability 1",PWP!$A$1:$Z$1,0))</f>
        <v>(Wind) Critical Damage +25%</v>
      </c>
    </row>
    <row r="265" spans="1:21" ht="22.5" customHeight="1" x14ac:dyDescent="0.3">
      <c r="C265" s="729"/>
      <c r="D265" s="8"/>
      <c r="E265" s="200" t="str">
        <f>+INDEX(PWP!$A:$Z,MATCH('PWP-Print'!E264,PWP!$B:$B,0),MATCH("ID",PWP!$A$1:$Z$1,0))</f>
        <v>100019_02</v>
      </c>
      <c r="F265" s="8"/>
      <c r="G265" s="249" t="str">
        <f>+INDEX(PWP!$A:$Z,MATCH('PWP-Print'!E264,PWP!$B:$B,0),MATCH("Name",PWP!$A$1:$Z$1,0))</f>
        <v>Harle</v>
      </c>
      <c r="H265" s="8"/>
      <c r="I265" t="e" vm="693">
        <f>_xlfn.IMAGE("https://natalie.tf/wp-content/uploads/2023/10/DLV3_Icon_Ability_"&amp;INDEX('PWP-A'!$A$2:$C$31,MATCH('PWP-Print'!J265,'PWP-A'!$B$2:$B$31,0),1)&amp;".png")</f>
        <v>#VALUE!</v>
      </c>
      <c r="J265" s="229" t="str">
        <f>+INDEX(PWP!$A:$Z,MATCH('PWP-Print'!E264,PWP!$B:$B,0),MATCH("PWP Ability 2",PWP!$A$1:$Z$1,0))</f>
        <v>Combo Time +2</v>
      </c>
      <c r="K265" s="249" t="str">
        <f>+INDEX(PWP!$A:$Z,MATCH('PWP-Print'!E264,PWP!$B:$B,0),MATCH("Locked PWP Ability 2",PWP!$A$1:$Z$1,0))</f>
        <v>(Wind) Combo Time +2</v>
      </c>
      <c r="M265" s="729"/>
      <c r="N265" s="8"/>
      <c r="O265" s="200" t="str">
        <f>+INDEX(PWP!$A:$Z,MATCH('PWP-Print'!O264,PWP!$B:$B,0),MATCH("ID",PWP!$A$1:$Z$1,0))</f>
        <v>110026_01</v>
      </c>
      <c r="P265" s="8"/>
      <c r="Q265" s="249" t="str">
        <f>+INDEX(PWP!$A:$Z,MATCH('PWP-Print'!O264,PWP!$B:$B,0),MATCH("Name",PWP!$A$1:$Z$1,0))</f>
        <v>Francesca</v>
      </c>
      <c r="R265" s="8"/>
      <c r="S265" t="e" vm="7">
        <f>_xlfn.IMAGE("https://natalie.tf/wp-content/uploads/2023/10/DLV3_Icon_Ability_"&amp;INDEX('PWP-A'!$A$2:$C$31,MATCH('PWP-Print'!T265,'PWP-A'!$B$2:$B$31,0),1)&amp;".png")</f>
        <v>#VALUE!</v>
      </c>
      <c r="T265" s="229" t="str">
        <f>+INDEX(PWP!$A:$Z,MATCH('PWP-Print'!O264,PWP!$B:$B,0),MATCH("PWP Ability 2",PWP!$A$1:$Z$1,0))</f>
        <v>Force Strike +50%</v>
      </c>
      <c r="U265" s="249" t="str">
        <f>+INDEX(PWP!$A:$Z,MATCH('PWP-Print'!O264,PWP!$B:$B,0),MATCH("Locked PWP Ability 2",PWP!$A$1:$Z$1,0))</f>
        <v>(Wind) Force Strike +50%</v>
      </c>
    </row>
    <row r="266" spans="1:21" ht="22.5" customHeight="1" x14ac:dyDescent="0.3">
      <c r="A266" s="242" t="str">
        <f>TEXT(B258+1,"000")</f>
        <v>126</v>
      </c>
      <c r="B266" s="244" t="str">
        <f>TEXT(A314+1,"000")</f>
        <v>139</v>
      </c>
      <c r="C266" s="729"/>
      <c r="E266" s="251" t="str">
        <f>+INDEX(PWP!$A:$Z,MATCH('PWP-Print'!E264,PWP!$B:$B,0),MATCH("Num",PWP!$A$1:$Z$1,0))</f>
        <v>A-126</v>
      </c>
      <c r="G266" s="249" t="str">
        <f>+INDEX(PWP!$A:$Z,MATCH('PWP-Print'!E264,PWP!$B:$B,0),MATCH("Element",PWP!$A$1:$Z$1,0))&amp;" "&amp;INDEX(PWP!$A:$Z,MATCH('PWP-Print'!E264,PWP!$B:$B,0),MATCH("Type",PWP!$A$1:$Z$1,0))&amp;" Adventurer"</f>
        <v>Wind Blade Adventurer</v>
      </c>
      <c r="K266" s="250"/>
      <c r="M266" s="729"/>
      <c r="O266" s="251" t="str">
        <f>+INDEX(PWP!$A:$Z,MATCH('PWP-Print'!O264,PWP!$B:$B,0),MATCH("Num",PWP!$A$1:$Z$1,0))</f>
        <v>A-139</v>
      </c>
      <c r="Q266" s="249" t="str">
        <f>+INDEX(PWP!$A:$Z,MATCH('PWP-Print'!O264,PWP!$B:$B,0),MATCH("Element",PWP!$A$1:$Z$1,0))&amp;" "&amp;INDEX(PWP!$A:$Z,MATCH('PWP-Print'!O264,PWP!$B:$B,0),MATCH("Type",PWP!$A$1:$Z$1,0))&amp;" Adventurer"</f>
        <v>Wind Dagger Adventurer</v>
      </c>
      <c r="U266" s="250"/>
    </row>
    <row r="267" spans="1:21" ht="7.5" customHeight="1" x14ac:dyDescent="0.3">
      <c r="A267" s="244" t="s">
        <v>10763</v>
      </c>
      <c r="E267" s="250"/>
      <c r="G267" s="250"/>
      <c r="K267" s="250"/>
      <c r="O267" s="250"/>
      <c r="Q267" s="250"/>
      <c r="U267" s="250"/>
    </row>
    <row r="268" spans="1:21" ht="22.5" customHeight="1" x14ac:dyDescent="0.3">
      <c r="C268" s="729" t="e" vm="1161">
        <f>_xlfn.IMAGE("https://natalie.tf/wp-content/uploads/2023/10/DLV3_Icon_ADV_"&amp;E269&amp;"_r05.png")</f>
        <v>#VALUE!</v>
      </c>
      <c r="E268" s="249" t="str">
        <f>"PWP-"&amp;A270</f>
        <v>PWP-127</v>
      </c>
      <c r="G268" s="249" t="str">
        <f>+INDEX(PWP!$A:$Z,MATCH('PWP-Print'!E268,PWP!$B:$B,0),MATCH("Title",PWP!$A$1:$Z$1,0))</f>
        <v>Midsummer Nightmare</v>
      </c>
      <c r="I268" t="e" vm="688">
        <f>_xlfn.IMAGE("https://natalie.tf/wp-content/uploads/2023/10/DLV3_Icon_Ability_"&amp;INDEX('PWP-A'!$A$2:$C$31,MATCH('PWP-Print'!J268,'PWP-A'!$B$2:$B$31,0),1)&amp;".png")</f>
        <v>#VALUE!</v>
      </c>
      <c r="J268" s="229" t="str">
        <f>+INDEX(PWP!$A:$Z,MATCH('PWP-Print'!E268,PWP!$B:$B,0),MATCH("PWP Ability 1",PWP!$A$1:$Z$1,0))</f>
        <v>Overdrive Punisher +15%</v>
      </c>
      <c r="K268" s="249" t="str">
        <f>+INDEX(PWP!$A:$Z,MATCH('PWP-Print'!E268,PWP!$B:$B,0),MATCH("Locked PWP Ability 1",PWP!$A$1:$Z$1,0))</f>
        <v>(Wind) Overdrive Punisher +15%</v>
      </c>
      <c r="M268" s="729" t="e" vm="1162">
        <f>_xlfn.IMAGE("https://natalie.tf/wp-content/uploads/2023/10/DLV3_Icon_ADV_"&amp;O269&amp;"_r05.png")</f>
        <v>#VALUE!</v>
      </c>
      <c r="O268" s="249" t="str">
        <f>"PWP-"&amp;B270</f>
        <v>PWP-140</v>
      </c>
      <c r="Q268" s="249" t="str">
        <f>+INDEX(PWP!$A:$Z,MATCH('PWP-Print'!O268,PWP!$B:$B,0),MATCH("Title",PWP!$A$1:$Z$1,0))</f>
        <v>Leader of the Tiger Clan</v>
      </c>
      <c r="S268" t="e" vm="1036">
        <f>_xlfn.IMAGE("https://natalie.tf/wp-content/uploads/2023/10/DLV3_Icon_Ability_"&amp;INDEX('PWP-A'!$A$2:$C$31,MATCH('PWP-Print'!T268,'PWP-A'!$B$2:$B$31,0),1)&amp;".png")</f>
        <v>#VALUE!</v>
      </c>
      <c r="T268" s="229" t="str">
        <f>+INDEX(PWP!$A:$Z,MATCH('PWP-Print'!O268,PWP!$B:$B,0),MATCH("PWP Ability 1",PWP!$A$1:$Z$1,0))</f>
        <v>15 Hits = Overdamage</v>
      </c>
      <c r="U268" s="249" t="str">
        <f>+INDEX(PWP!$A:$Z,MATCH('PWP-Print'!O268,PWP!$B:$B,0),MATCH("Locked PWP Ability 1",PWP!$A$1:$Z$1,0))</f>
        <v>(Wind) 15 Hits = Overdamage</v>
      </c>
    </row>
    <row r="269" spans="1:21" ht="22.5" customHeight="1" x14ac:dyDescent="0.3">
      <c r="C269" s="729"/>
      <c r="D269" s="8"/>
      <c r="E269" s="200" t="str">
        <f>+INDEX(PWP!$A:$Z,MATCH('PWP-Print'!E268,PWP!$B:$B,0),MATCH("ID",PWP!$A$1:$Z$1,0))</f>
        <v>110349_04</v>
      </c>
      <c r="F269" s="8"/>
      <c r="G269" s="249" t="str">
        <f>+INDEX(PWP!$A:$Z,MATCH('PWP-Print'!E268,PWP!$B:$B,0),MATCH("Name",PWP!$A$1:$Z$1,0))</f>
        <v>Yukata Lathna</v>
      </c>
      <c r="H269" s="8"/>
      <c r="I269" t="e" vm="330">
        <f>_xlfn.IMAGE("https://natalie.tf/wp-content/uploads/2023/10/DLV3_Icon_Ability_"&amp;INDEX('PWP-A'!$A$2:$C$31,MATCH('PWP-Print'!J269,'PWP-A'!$B$2:$B$31,0),1)&amp;".png")</f>
        <v>#VALUE!</v>
      </c>
      <c r="J269" s="229" t="str">
        <f>+INDEX(PWP!$A:$Z,MATCH('PWP-Print'!E268,PWP!$B:$B,0),MATCH("PWP Ability 2",PWP!$A$1:$Z$1,0))</f>
        <v>Skill Haste +10%</v>
      </c>
      <c r="K269" s="249" t="str">
        <f>+INDEX(PWP!$A:$Z,MATCH('PWP-Print'!E268,PWP!$B:$B,0),MATCH("Locked PWP Ability 2",PWP!$A$1:$Z$1,0))</f>
        <v>(Wind) Skill Haste +10%</v>
      </c>
      <c r="M269" s="729"/>
      <c r="N269" s="8"/>
      <c r="O269" s="200" t="str">
        <f>+INDEX(PWP!$A:$Z,MATCH('PWP-Print'!O268,PWP!$B:$B,0),MATCH("ID",PWP!$A$1:$Z$1,0))</f>
        <v>110401_01</v>
      </c>
      <c r="P269" s="8"/>
      <c r="Q269" s="249" t="str">
        <f>+INDEX(PWP!$A:$Z,MATCH('PWP-Print'!O268,PWP!$B:$B,0),MATCH("Name",PWP!$A$1:$Z$1,0))</f>
        <v>Shingen</v>
      </c>
      <c r="R269" s="8"/>
      <c r="S269" t="e" vm="326">
        <f>_xlfn.IMAGE("https://natalie.tf/wp-content/uploads/2023/10/DLV3_Icon_Ability_"&amp;INDEX('PWP-A'!$A$2:$C$31,MATCH('PWP-Print'!T269,'PWP-A'!$B$2:$B$31,0),1)&amp;".png")</f>
        <v>#VALUE!</v>
      </c>
      <c r="T269" s="229" t="str">
        <f>+INDEX(PWP!$A:$Z,MATCH('PWP-Print'!O268,PWP!$B:$B,0),MATCH("PWP Ability 2",PWP!$A$1:$Z$1,0))</f>
        <v>Critical Rate +15%</v>
      </c>
      <c r="U269" s="249" t="str">
        <f>+INDEX(PWP!$A:$Z,MATCH('PWP-Print'!O268,PWP!$B:$B,0),MATCH("Locked PWP Ability 2",PWP!$A$1:$Z$1,0))</f>
        <v>(Wind) Critical Rate +15%</v>
      </c>
    </row>
    <row r="270" spans="1:21" ht="22.5" customHeight="1" x14ac:dyDescent="0.3">
      <c r="A270" s="244" t="str">
        <f>TEXT(A266+1,"000")</f>
        <v>127</v>
      </c>
      <c r="B270" s="244" t="str">
        <f>TEXT(B266+1,"000")</f>
        <v>140</v>
      </c>
      <c r="C270" s="729"/>
      <c r="E270" s="251" t="str">
        <f>+INDEX(PWP!$A:$Z,MATCH('PWP-Print'!E268,PWP!$B:$B,0),MATCH("Num",PWP!$A$1:$Z$1,0))</f>
        <v>A-127</v>
      </c>
      <c r="G270" s="249" t="str">
        <f>+INDEX(PWP!$A:$Z,MATCH('PWP-Print'!E268,PWP!$B:$B,0),MATCH("Element",PWP!$A$1:$Z$1,0))&amp;" "&amp;INDEX(PWP!$A:$Z,MATCH('PWP-Print'!E268,PWP!$B:$B,0),MATCH("Type",PWP!$A$1:$Z$1,0))&amp;" Adventurer"</f>
        <v>Wind Blade Adventurer</v>
      </c>
      <c r="K270" s="250"/>
      <c r="M270" s="729"/>
      <c r="O270" s="251" t="str">
        <f>+INDEX(PWP!$A:$Z,MATCH('PWP-Print'!O268,PWP!$B:$B,0),MATCH("Num",PWP!$A$1:$Z$1,0))</f>
        <v>A-140</v>
      </c>
      <c r="Q270" s="249" t="str">
        <f>+INDEX(PWP!$A:$Z,MATCH('PWP-Print'!O268,PWP!$B:$B,0),MATCH("Element",PWP!$A$1:$Z$1,0))&amp;" "&amp;INDEX(PWP!$A:$Z,MATCH('PWP-Print'!O268,PWP!$B:$B,0),MATCH("Type",PWP!$A$1:$Z$1,0))&amp;" Adventurer"</f>
        <v>Wind Axe Adventurer</v>
      </c>
      <c r="U270" s="250"/>
    </row>
    <row r="271" spans="1:21" ht="7.5" customHeight="1" x14ac:dyDescent="0.3">
      <c r="A271" s="244" t="s">
        <v>10763</v>
      </c>
      <c r="E271" s="250"/>
      <c r="G271" s="250"/>
      <c r="K271" s="250"/>
      <c r="O271" s="250"/>
      <c r="Q271" s="250"/>
      <c r="U271" s="250"/>
    </row>
    <row r="272" spans="1:21" ht="22.5" customHeight="1" x14ac:dyDescent="0.3">
      <c r="C272" s="729" t="e" vm="1163">
        <f>_xlfn.IMAGE("https://natalie.tf/wp-content/uploads/2023/10/DLV3_Icon_ADV_"&amp;E273&amp;"_r05.png")</f>
        <v>#VALUE!</v>
      </c>
      <c r="E272" s="249" t="str">
        <f>"PWP-"&amp;A274</f>
        <v>PWP-128</v>
      </c>
      <c r="G272" s="249" t="str">
        <f>+INDEX(PWP!$A:$Z,MATCH('PWP-Print'!E272,PWP!$B:$B,0),MATCH("Title",PWP!$A$1:$Z$1,0))</f>
        <v>Foraging Chef</v>
      </c>
      <c r="I272" t="e" vm="696">
        <f>_xlfn.IMAGE("https://natalie.tf/wp-content/uploads/2023/10/DLV3_Icon_Ability_"&amp;INDEX('PWP-A'!$A$2:$C$31,MATCH('PWP-Print'!J272,'PWP-A'!$B$2:$B$31,0),1)&amp;".png")</f>
        <v>#VALUE!</v>
      </c>
      <c r="J272" s="229" t="str">
        <f>+INDEX(PWP!$A:$Z,MATCH('PWP-Print'!E272,PWP!$B:$B,0),MATCH("PWP Ability 1",PWP!$A$1:$Z$1,0))</f>
        <v>Elemental Res +15%</v>
      </c>
      <c r="K272" s="249" t="str">
        <f>+INDEX(PWP!$A:$Z,MATCH('PWP-Print'!E272,PWP!$B:$B,0),MATCH("Locked PWP Ability 1",PWP!$A$1:$Z$1,0))</f>
        <v>(Wind) Elemental Res +15%</v>
      </c>
      <c r="M272" s="729" t="e" vm="1164">
        <f>_xlfn.IMAGE("https://natalie.tf/wp-content/uploads/2023/10/DLV3_Icon_ADV_"&amp;O273&amp;"_r05.png")</f>
        <v>#VALUE!</v>
      </c>
      <c r="O272" s="249" t="str">
        <f>"PWP-"&amp;B274</f>
        <v>PWP-141</v>
      </c>
      <c r="Q272" s="249" t="str">
        <f>+INDEX(PWP!$A:$Z,MATCH('PWP-Print'!O272,PWP!$B:$B,0),MATCH("Title",PWP!$A$1:$Z$1,0))</f>
        <v>New Year's Prankster</v>
      </c>
      <c r="S272" t="e" vm="14">
        <f>_xlfn.IMAGE("https://natalie.tf/wp-content/uploads/2023/10/DLV3_Icon_Ability_"&amp;INDEX('PWP-A'!$A$2:$C$31,MATCH('PWP-Print'!T272,'PWP-A'!$B$2:$B$31,0),1)&amp;".png")</f>
        <v>#VALUE!</v>
      </c>
      <c r="T272" s="229" t="str">
        <f>+INDEX(PWP!$A:$Z,MATCH('PWP-Print'!O272,PWP!$B:$B,0),MATCH("PWP Ability 1",PWP!$A$1:$Z$1,0))</f>
        <v>Skill Damage +40%</v>
      </c>
      <c r="U272" s="249" t="str">
        <f>+INDEX(PWP!$A:$Z,MATCH('PWP-Print'!O272,PWP!$B:$B,0),MATCH("Locked PWP Ability 1",PWP!$A$1:$Z$1,0))</f>
        <v>(Wind) Skill Damage +40%</v>
      </c>
    </row>
    <row r="273" spans="1:21" ht="22.5" customHeight="1" x14ac:dyDescent="0.3">
      <c r="C273" s="729"/>
      <c r="D273" s="8"/>
      <c r="E273" s="200" t="str">
        <f>+INDEX(PWP!$A:$Z,MATCH('PWP-Print'!E272,PWP!$B:$B,0),MATCH("ID",PWP!$A$1:$Z$1,0))</f>
        <v>110296_02</v>
      </c>
      <c r="F273" s="8"/>
      <c r="G273" s="249" t="str">
        <f>+INDEX(PWP!$A:$Z,MATCH('PWP-Print'!E272,PWP!$B:$B,0),MATCH("Name",PWP!$A$1:$Z$1,0))</f>
        <v>Forager Mitsuba</v>
      </c>
      <c r="H273" s="8"/>
      <c r="I273" t="e" vm="802">
        <f>_xlfn.IMAGE("https://natalie.tf/wp-content/uploads/2023/10/DLV3_Icon_Ability_"&amp;INDEX('PWP-A'!$A$2:$C$31,MATCH('PWP-Print'!J273,'PWP-A'!$B$2:$B$31,0),1)&amp;".png")</f>
        <v>#VALUE!</v>
      </c>
      <c r="J273" s="229" t="str">
        <f>+INDEX(PWP!$A:$Z,MATCH('PWP-Print'!E272,PWP!$B:$B,0),MATCH("PWP Ability 2",PWP!$A$1:$Z$1,0))</f>
        <v>HP 70% = Shield +40%</v>
      </c>
      <c r="K273" s="249" t="str">
        <f>+INDEX(PWP!$A:$Z,MATCH('PWP-Print'!E272,PWP!$B:$B,0),MATCH("Locked PWP Ability 2",PWP!$A$1:$Z$1,0))</f>
        <v>(Wind) HP 70% = Shield +40%</v>
      </c>
      <c r="M273" s="729"/>
      <c r="N273" s="8"/>
      <c r="O273" s="200" t="str">
        <f>+INDEX(PWP!$A:$Z,MATCH('PWP-Print'!O272,PWP!$B:$B,0),MATCH("ID",PWP!$A$1:$Z$1,0))</f>
        <v>100006_11</v>
      </c>
      <c r="P273" s="8"/>
      <c r="Q273" s="249" t="str">
        <f>+INDEX(PWP!$A:$Z,MATCH('PWP-Print'!O272,PWP!$B:$B,0),MATCH("Name",PWP!$A$1:$Z$1,0))</f>
        <v>Kimono Luca</v>
      </c>
      <c r="R273" s="8"/>
      <c r="S273" t="e" vm="7">
        <f>_xlfn.IMAGE("https://natalie.tf/wp-content/uploads/2023/10/DLV3_Icon_Ability_"&amp;INDEX('PWP-A'!$A$2:$C$31,MATCH('PWP-Print'!T273,'PWP-A'!$B$2:$B$31,0),1)&amp;".png")</f>
        <v>#VALUE!</v>
      </c>
      <c r="T273" s="229" t="str">
        <f>+INDEX(PWP!$A:$Z,MATCH('PWP-Print'!O272,PWP!$B:$B,0),MATCH("PWP Ability 2",PWP!$A$1:$Z$1,0))</f>
        <v>Force Strike +50%</v>
      </c>
      <c r="U273" s="249" t="str">
        <f>+INDEX(PWP!$A:$Z,MATCH('PWP-Print'!O272,PWP!$B:$B,0),MATCH("Locked PWP Ability 2",PWP!$A$1:$Z$1,0))</f>
        <v>(Wind) Force Strike +50%</v>
      </c>
    </row>
    <row r="274" spans="1:21" ht="22.5" customHeight="1" x14ac:dyDescent="0.3">
      <c r="A274" s="244" t="str">
        <f>TEXT(A270+1,"000")</f>
        <v>128</v>
      </c>
      <c r="B274" s="244" t="str">
        <f>TEXT(B270+1,"000")</f>
        <v>141</v>
      </c>
      <c r="C274" s="729"/>
      <c r="E274" s="251" t="str">
        <f>+INDEX(PWP!$A:$Z,MATCH('PWP-Print'!E272,PWP!$B:$B,0),MATCH("Num",PWP!$A$1:$Z$1,0))</f>
        <v>A-128</v>
      </c>
      <c r="G274" s="249" t="str">
        <f>+INDEX(PWP!$A:$Z,MATCH('PWP-Print'!E272,PWP!$B:$B,0),MATCH("Element",PWP!$A$1:$Z$1,0))&amp;" "&amp;INDEX(PWP!$A:$Z,MATCH('PWP-Print'!E272,PWP!$B:$B,0),MATCH("Type",PWP!$A$1:$Z$1,0))&amp;" Adventurer"</f>
        <v>Wind Blade Adventurer</v>
      </c>
      <c r="K274" s="250"/>
      <c r="M274" s="729"/>
      <c r="O274" s="251" t="str">
        <f>+INDEX(PWP!$A:$Z,MATCH('PWP-Print'!O272,PWP!$B:$B,0),MATCH("Num",PWP!$A$1:$Z$1,0))</f>
        <v>A-141</v>
      </c>
      <c r="Q274" s="249" t="str">
        <f>+INDEX(PWP!$A:$Z,MATCH('PWP-Print'!O272,PWP!$B:$B,0),MATCH("Element",PWP!$A$1:$Z$1,0))&amp;" "&amp;INDEX(PWP!$A:$Z,MATCH('PWP-Print'!O272,PWP!$B:$B,0),MATCH("Type",PWP!$A$1:$Z$1,0))&amp;" Adventurer"</f>
        <v>Wind Axe Adventurer</v>
      </c>
      <c r="U274" s="250"/>
    </row>
    <row r="275" spans="1:21" ht="7.5" customHeight="1" x14ac:dyDescent="0.3">
      <c r="A275" s="244" t="s">
        <v>10763</v>
      </c>
      <c r="E275" s="250"/>
      <c r="G275" s="250"/>
      <c r="K275" s="250"/>
      <c r="O275" s="250"/>
      <c r="Q275" s="250"/>
      <c r="U275" s="250"/>
    </row>
    <row r="276" spans="1:21" ht="22.5" customHeight="1" x14ac:dyDescent="0.3">
      <c r="C276" s="729" t="e" vm="1165">
        <f>_xlfn.IMAGE("https://natalie.tf/wp-content/uploads/2023/10/DLV3_Icon_ADV_"&amp;E277&amp;"_r05.png")</f>
        <v>#VALUE!</v>
      </c>
      <c r="E276" s="249" t="str">
        <f>"PWP-"&amp;A278</f>
        <v>PWP-129</v>
      </c>
      <c r="G276" s="249" t="str">
        <f>+INDEX(PWP!$A:$Z,MATCH('PWP-Print'!E276,PWP!$B:$B,0),MATCH("Title",PWP!$A$1:$Z$1,0))</f>
        <v>Faithful Knight</v>
      </c>
      <c r="I276" t="e" vm="14">
        <f>_xlfn.IMAGE("https://natalie.tf/wp-content/uploads/2023/10/DLV3_Icon_Ability_"&amp;INDEX('PWP-A'!$A$2:$C$31,MATCH('PWP-Print'!J276,'PWP-A'!$B$2:$B$31,0),1)&amp;".png")</f>
        <v>#VALUE!</v>
      </c>
      <c r="J276" s="229" t="str">
        <f>+INDEX(PWP!$A:$Z,MATCH('PWP-Print'!E276,PWP!$B:$B,0),MATCH("PWP Ability 1",PWP!$A$1:$Z$1,0))</f>
        <v>Skill Damage +40%</v>
      </c>
      <c r="K276" s="249" t="str">
        <f>+INDEX(PWP!$A:$Z,MATCH('PWP-Print'!E276,PWP!$B:$B,0),MATCH("Locked PWP Ability 1",PWP!$A$1:$Z$1,0))</f>
        <v>(Wind) Skill Damage +40%</v>
      </c>
      <c r="M276" s="729" t="e" vm="1166">
        <f>_xlfn.IMAGE("https://natalie.tf/wp-content/uploads/2023/10/DLV3_Icon_ADV_"&amp;O277&amp;"_r05.png")</f>
        <v>#VALUE!</v>
      </c>
      <c r="O276" s="249" t="str">
        <f>"PWP-"&amp;B278</f>
        <v>PWP-142</v>
      </c>
      <c r="Q276" s="249" t="str">
        <f>+INDEX(PWP!$A:$Z,MATCH('PWP-Print'!O276,PWP!$B:$B,0),MATCH("Title",PWP!$A$1:$Z$1,0))</f>
        <v>Kitty Cafe's Shining Star</v>
      </c>
      <c r="S276" t="e" vm="1045">
        <f>_xlfn.IMAGE("https://natalie.tf/wp-content/uploads/2023/10/DLV3_Icon_Ability_"&amp;INDEX('PWP-A'!$A$2:$C$31,MATCH('PWP-Print'!T276,'PWP-A'!$B$2:$B$31,0),1)&amp;".png")</f>
        <v>#VALUE!</v>
      </c>
      <c r="T276" s="229" t="str">
        <f>+INDEX(PWP!$A:$Z,MATCH('PWP-Print'!O276,PWP!$B:$B,0),MATCH("PWP Ability 1",PWP!$A$1:$Z$1,0))</f>
        <v>Attack Rate +20%</v>
      </c>
      <c r="U276" s="249" t="str">
        <f>+INDEX(PWP!$A:$Z,MATCH('PWP-Print'!O276,PWP!$B:$B,0),MATCH("Locked PWP Ability 1",PWP!$A$1:$Z$1,0))</f>
        <v>(Wind) Attack Rate +20%</v>
      </c>
    </row>
    <row r="277" spans="1:21" ht="22.5" customHeight="1" x14ac:dyDescent="0.3">
      <c r="C277" s="729"/>
      <c r="D277" s="8"/>
      <c r="E277" s="200" t="str">
        <f>+INDEX(PWP!$A:$Z,MATCH('PWP-Print'!E276,PWP!$B:$B,0),MATCH("ID",PWP!$A$1:$Z$1,0))</f>
        <v>110352_01</v>
      </c>
      <c r="F277" s="8"/>
      <c r="G277" s="249" t="str">
        <f>+INDEX(PWP!$A:$Z,MATCH('PWP-Print'!E276,PWP!$B:$B,0),MATCH("Name",PWP!$A$1:$Z$1,0))</f>
        <v>Tobias</v>
      </c>
      <c r="H277" s="8"/>
      <c r="I277" t="e" vm="496">
        <f>_xlfn.IMAGE("https://natalie.tf/wp-content/uploads/2023/10/DLV3_Icon_Ability_"&amp;INDEX('PWP-A'!$A$2:$C$31,MATCH('PWP-Print'!J277,'PWP-A'!$B$2:$B$31,0),1)&amp;".png")</f>
        <v>#VALUE!</v>
      </c>
      <c r="J277" s="229" t="str">
        <f>+INDEX(PWP!$A:$Z,MATCH('PWP-Print'!E276,PWP!$B:$B,0),MATCH("PWP Ability 2",PWP!$A$1:$Z$1,0))</f>
        <v>HP +15%</v>
      </c>
      <c r="K277" s="249" t="str">
        <f>+INDEX(PWP!$A:$Z,MATCH('PWP-Print'!E276,PWP!$B:$B,0),MATCH("Locked PWP Ability 2",PWP!$A$1:$Z$1,0))</f>
        <v>(Wind) HP +15%</v>
      </c>
      <c r="M277" s="729"/>
      <c r="N277" s="8"/>
      <c r="O277" s="200" t="str">
        <f>+INDEX(PWP!$A:$Z,MATCH('PWP-Print'!O276,PWP!$B:$B,0),MATCH("ID",PWP!$A$1:$Z$1,0))</f>
        <v>110041_02</v>
      </c>
      <c r="P277" s="8"/>
      <c r="Q277" s="249" t="str">
        <f>+INDEX(PWP!$A:$Z,MATCH('PWP-Print'!O276,PWP!$B:$B,0),MATCH("Name",PWP!$A$1:$Z$1,0))</f>
        <v>Summer Amane</v>
      </c>
      <c r="R277" s="8"/>
      <c r="S277" t="e" vm="693">
        <f>_xlfn.IMAGE("https://natalie.tf/wp-content/uploads/2023/10/DLV3_Icon_Ability_"&amp;INDEX('PWP-A'!$A$2:$C$31,MATCH('PWP-Print'!T277,'PWP-A'!$B$2:$B$31,0),1)&amp;".png")</f>
        <v>#VALUE!</v>
      </c>
      <c r="T277" s="229" t="str">
        <f>+INDEX(PWP!$A:$Z,MATCH('PWP-Print'!O276,PWP!$B:$B,0),MATCH("PWP Ability 2",PWP!$A$1:$Z$1,0))</f>
        <v>Combo Time +2</v>
      </c>
      <c r="U277" s="249" t="str">
        <f>+INDEX(PWP!$A:$Z,MATCH('PWP-Print'!O276,PWP!$B:$B,0),MATCH("Locked PWP Ability 2",PWP!$A$1:$Z$1,0))</f>
        <v>(Wind) Combo Time +2</v>
      </c>
    </row>
    <row r="278" spans="1:21" ht="22.5" customHeight="1" x14ac:dyDescent="0.3">
      <c r="A278" s="244" t="str">
        <f>TEXT(A274+1,"000")</f>
        <v>129</v>
      </c>
      <c r="B278" s="244" t="str">
        <f>TEXT(B274+1,"000")</f>
        <v>142</v>
      </c>
      <c r="C278" s="729"/>
      <c r="E278" s="251" t="str">
        <f>+INDEX(PWP!$A:$Z,MATCH('PWP-Print'!E276,PWP!$B:$B,0),MATCH("Num",PWP!$A$1:$Z$1,0))</f>
        <v>A-129</v>
      </c>
      <c r="G278" s="249" t="str">
        <f>+INDEX(PWP!$A:$Z,MATCH('PWP-Print'!E276,PWP!$B:$B,0),MATCH("Element",PWP!$A$1:$Z$1,0))&amp;" "&amp;INDEX(PWP!$A:$Z,MATCH('PWP-Print'!E276,PWP!$B:$B,0),MATCH("Type",PWP!$A$1:$Z$1,0))&amp;" Adventurer"</f>
        <v>Wind Blade Adventurer</v>
      </c>
      <c r="K278" s="250"/>
      <c r="M278" s="729"/>
      <c r="O278" s="251" t="str">
        <f>+INDEX(PWP!$A:$Z,MATCH('PWP-Print'!O276,PWP!$B:$B,0),MATCH("Num",PWP!$A$1:$Z$1,0))</f>
        <v>A-142</v>
      </c>
      <c r="Q278" s="249" t="str">
        <f>+INDEX(PWP!$A:$Z,MATCH('PWP-Print'!O276,PWP!$B:$B,0),MATCH("Element",PWP!$A$1:$Z$1,0))&amp;" "&amp;INDEX(PWP!$A:$Z,MATCH('PWP-Print'!O276,PWP!$B:$B,0),MATCH("Type",PWP!$A$1:$Z$1,0))&amp;" Adventurer"</f>
        <v>Wind Axe Adventurer</v>
      </c>
      <c r="U278" s="250"/>
    </row>
    <row r="279" spans="1:21" ht="7.5" customHeight="1" x14ac:dyDescent="0.3">
      <c r="A279" s="244" t="s">
        <v>10763</v>
      </c>
      <c r="E279" s="250"/>
      <c r="G279" s="250"/>
      <c r="K279" s="250"/>
      <c r="O279" s="250"/>
      <c r="Q279" s="250"/>
      <c r="U279" s="250"/>
    </row>
    <row r="280" spans="1:21" ht="22.5" customHeight="1" x14ac:dyDescent="0.3">
      <c r="C280" s="729" t="e" vm="1167">
        <f>_xlfn.IMAGE("https://natalie.tf/wp-content/uploads/2023/10/DLV3_Icon_ADV_"&amp;E281&amp;"_r05.png")</f>
        <v>#VALUE!</v>
      </c>
      <c r="E280" s="249" t="str">
        <f>"PWP-"&amp;A282</f>
        <v>PWP-130</v>
      </c>
      <c r="G280" s="249" t="str">
        <f>+INDEX(PWP!$A:$Z,MATCH('PWP-Print'!E280,PWP!$B:$B,0),MATCH("Title",PWP!$A$1:$Z$1,0))</f>
        <v>Vengeful Commander</v>
      </c>
      <c r="I280" t="e" vm="688">
        <f>_xlfn.IMAGE("https://natalie.tf/wp-content/uploads/2023/10/DLV3_Icon_Ability_"&amp;INDEX('PWP-A'!$A$2:$C$31,MATCH('PWP-Print'!J280,'PWP-A'!$B$2:$B$31,0),1)&amp;".png")</f>
        <v>#VALUE!</v>
      </c>
      <c r="J280" s="229" t="str">
        <f>+INDEX(PWP!$A:$Z,MATCH('PWP-Print'!E280,PWP!$B:$B,0),MATCH("PWP Ability 1",PWP!$A$1:$Z$1,0))</f>
        <v>Overdrive Punisher +15%</v>
      </c>
      <c r="K280" s="249" t="str">
        <f>+INDEX(PWP!$A:$Z,MATCH('PWP-Print'!E280,PWP!$B:$B,0),MATCH("Locked PWP Ability 1",PWP!$A$1:$Z$1,0))</f>
        <v>(Wind) Overdrive Punisher +15%</v>
      </c>
      <c r="M280" s="729" t="e" vm="1168">
        <f>_xlfn.IMAGE("https://natalie.tf/wp-content/uploads/2023/10/DLV3_Icon_ADV_"&amp;O281&amp;"_r05.png")</f>
        <v>#VALUE!</v>
      </c>
      <c r="O280" s="249" t="str">
        <f>"PWP-"&amp;B282</f>
        <v>PWP-143</v>
      </c>
      <c r="Q280" s="249" t="str">
        <f>+INDEX(PWP!$A:$Z,MATCH('PWP-Print'!O280,PWP!$B:$B,0),MATCH("Title",PWP!$A$1:$Z$1,0))</f>
        <v>Lovestruck Maid</v>
      </c>
      <c r="S280" t="e" vm="326">
        <f>_xlfn.IMAGE("https://natalie.tf/wp-content/uploads/2023/10/DLV3_Icon_Ability_"&amp;INDEX('PWP-A'!$A$2:$C$31,MATCH('PWP-Print'!T280,'PWP-A'!$B$2:$B$31,0),1)&amp;".png")</f>
        <v>#VALUE!</v>
      </c>
      <c r="T280" s="229" t="str">
        <f>+INDEX(PWP!$A:$Z,MATCH('PWP-Print'!O280,PWP!$B:$B,0),MATCH("PWP Ability 1",PWP!$A$1:$Z$1,0))</f>
        <v>Critical Rate +15%</v>
      </c>
      <c r="U280" s="249" t="str">
        <f>+INDEX(PWP!$A:$Z,MATCH('PWP-Print'!O280,PWP!$B:$B,0),MATCH("Locked PWP Ability 1",PWP!$A$1:$Z$1,0))</f>
        <v>(Wind) Critical Rate +15%</v>
      </c>
    </row>
    <row r="281" spans="1:21" ht="22.5" customHeight="1" x14ac:dyDescent="0.3">
      <c r="C281" s="729"/>
      <c r="D281" s="8"/>
      <c r="E281" s="200" t="str">
        <f>+INDEX(PWP!$A:$Z,MATCH('PWP-Print'!E280,PWP!$B:$B,0),MATCH("ID",PWP!$A$1:$Z$1,0))</f>
        <v>110307_01</v>
      </c>
      <c r="F281" s="8"/>
      <c r="G281" s="249" t="str">
        <f>+INDEX(PWP!$A:$Z,MATCH('PWP-Print'!E280,PWP!$B:$B,0),MATCH("Name",PWP!$A$1:$Z$1,0))</f>
        <v>Victor</v>
      </c>
      <c r="H281" s="8"/>
      <c r="I281" t="e" vm="426">
        <f>_xlfn.IMAGE("https://natalie.tf/wp-content/uploads/2023/10/DLV3_Icon_Ability_"&amp;INDEX('PWP-A'!$A$2:$C$31,MATCH('PWP-Print'!J281,'PWP-A'!$B$2:$B$31,0),1)&amp;".png")</f>
        <v>#VALUE!</v>
      </c>
      <c r="J281" s="229" t="str">
        <f>+INDEX(PWP!$A:$Z,MATCH('PWP-Print'!E280,PWP!$B:$B,0),MATCH("PWP Ability 2",PWP!$A$1:$Z$1,0))</f>
        <v>Defense +20%</v>
      </c>
      <c r="K281" s="249" t="str">
        <f>+INDEX(PWP!$A:$Z,MATCH('PWP-Print'!E280,PWP!$B:$B,0),MATCH("Locked PWP Ability 2",PWP!$A$1:$Z$1,0))</f>
        <v>(Wind) Defense +20%</v>
      </c>
      <c r="M281" s="729"/>
      <c r="N281" s="8"/>
      <c r="O281" s="200" t="str">
        <f>+INDEX(PWP!$A:$Z,MATCH('PWP-Print'!O280,PWP!$B:$B,0),MATCH("ID",PWP!$A$1:$Z$1,0))</f>
        <v>110027_02</v>
      </c>
      <c r="P281" s="8"/>
      <c r="Q281" s="249" t="str">
        <f>+INDEX(PWP!$A:$Z,MATCH('PWP-Print'!O280,PWP!$B:$B,0),MATCH("Name",PWP!$A$1:$Z$1,0))</f>
        <v>Valentine's Melody</v>
      </c>
      <c r="R281" s="8"/>
      <c r="S281" t="e" vm="414">
        <f>_xlfn.IMAGE("https://natalie.tf/wp-content/uploads/2023/10/DLV3_Icon_Ability_"&amp;INDEX('PWP-A'!$A$2:$C$31,MATCH('PWP-Print'!T281,'PWP-A'!$B$2:$B$31,0),1)&amp;".png")</f>
        <v>#VALUE!</v>
      </c>
      <c r="T281" s="229" t="str">
        <f>+INDEX(PWP!$A:$Z,MATCH('PWP-Print'!O280,PWP!$B:$B,0),MATCH("PWP Ability 2",PWP!$A$1:$Z$1,0))</f>
        <v>Critical Damage +25%</v>
      </c>
      <c r="U281" s="249" t="str">
        <f>+INDEX(PWP!$A:$Z,MATCH('PWP-Print'!O280,PWP!$B:$B,0),MATCH("Locked PWP Ability 2",PWP!$A$1:$Z$1,0))</f>
        <v>(Wind) Critical Damage +25%</v>
      </c>
    </row>
    <row r="282" spans="1:21" ht="22.5" customHeight="1" x14ac:dyDescent="0.3">
      <c r="A282" s="244" t="str">
        <f>TEXT(A278+1,"000")</f>
        <v>130</v>
      </c>
      <c r="B282" s="244" t="str">
        <f>TEXT(B278+1,"000")</f>
        <v>143</v>
      </c>
      <c r="C282" s="729"/>
      <c r="E282" s="251" t="str">
        <f>+INDEX(PWP!$A:$Z,MATCH('PWP-Print'!E280,PWP!$B:$B,0),MATCH("Num",PWP!$A$1:$Z$1,0))</f>
        <v>A-130</v>
      </c>
      <c r="G282" s="249" t="str">
        <f>+INDEX(PWP!$A:$Z,MATCH('PWP-Print'!E280,PWP!$B:$B,0),MATCH("Element",PWP!$A$1:$Z$1,0))&amp;" "&amp;INDEX(PWP!$A:$Z,MATCH('PWP-Print'!E280,PWP!$B:$B,0),MATCH("Type",PWP!$A$1:$Z$1,0))&amp;" Adventurer"</f>
        <v>Wind Blade Adventurer</v>
      </c>
      <c r="K282" s="250"/>
      <c r="M282" s="729"/>
      <c r="O282" s="251" t="str">
        <f>+INDEX(PWP!$A:$Z,MATCH('PWP-Print'!O280,PWP!$B:$B,0),MATCH("Num",PWP!$A$1:$Z$1,0))</f>
        <v>A-143</v>
      </c>
      <c r="Q282" s="249" t="str">
        <f>+INDEX(PWP!$A:$Z,MATCH('PWP-Print'!O280,PWP!$B:$B,0),MATCH("Element",PWP!$A$1:$Z$1,0))&amp;" "&amp;INDEX(PWP!$A:$Z,MATCH('PWP-Print'!O280,PWP!$B:$B,0),MATCH("Type",PWP!$A$1:$Z$1,0))&amp;" Adventurer"</f>
        <v>Wind Axe Adventurer</v>
      </c>
      <c r="U282" s="250"/>
    </row>
    <row r="283" spans="1:21" ht="7.5" customHeight="1" x14ac:dyDescent="0.3">
      <c r="A283" s="244" t="s">
        <v>10763</v>
      </c>
      <c r="E283" s="250"/>
      <c r="G283" s="250"/>
      <c r="K283" s="250"/>
      <c r="O283" s="250"/>
      <c r="Q283" s="250"/>
      <c r="U283" s="250"/>
    </row>
    <row r="284" spans="1:21" ht="22.5" customHeight="1" x14ac:dyDescent="0.3">
      <c r="C284" s="729" t="e" vm="1169">
        <f>_xlfn.IMAGE("https://natalie.tf/wp-content/uploads/2023/10/DLV3_Icon_ADV_"&amp;E285&amp;"_r05.png")</f>
        <v>#VALUE!</v>
      </c>
      <c r="E284" s="249" t="str">
        <f>"PWP-"&amp;A286</f>
        <v>PWP-131</v>
      </c>
      <c r="G284" s="249" t="str">
        <f>+INDEX(PWP!$A:$Z,MATCH('PWP-Print'!E284,PWP!$B:$B,0),MATCH("Title",PWP!$A$1:$Z$1,0))</f>
        <v>Noble Warrior</v>
      </c>
      <c r="I284" t="e" vm="326">
        <f>_xlfn.IMAGE("https://natalie.tf/wp-content/uploads/2023/10/DLV3_Icon_Ability_"&amp;INDEX('PWP-A'!$A$2:$C$31,MATCH('PWP-Print'!J284,'PWP-A'!$B$2:$B$31,0),1)&amp;".png")</f>
        <v>#VALUE!</v>
      </c>
      <c r="J284" s="229" t="str">
        <f>+INDEX(PWP!$A:$Z,MATCH('PWP-Print'!E284,PWP!$B:$B,0),MATCH("PWP Ability 1",PWP!$A$1:$Z$1,0))</f>
        <v>Critical Rate +15%</v>
      </c>
      <c r="K284" s="249" t="str">
        <f>+INDEX(PWP!$A:$Z,MATCH('PWP-Print'!E284,PWP!$B:$B,0),MATCH("Locked PWP Ability 1",PWP!$A$1:$Z$1,0))</f>
        <v>(Wind) Critical Rate +15%</v>
      </c>
      <c r="M284" s="729" t="e" vm="1170">
        <f>_xlfn.IMAGE("https://natalie.tf/wp-content/uploads/2023/10/DLV3_Icon_ADV_"&amp;O285&amp;"_r05.png")</f>
        <v>#VALUE!</v>
      </c>
      <c r="O284" s="249" t="str">
        <f>"PWP-"&amp;B286</f>
        <v>PWP-144</v>
      </c>
      <c r="Q284" s="249" t="str">
        <f>+INDEX(PWP!$A:$Z,MATCH('PWP-Print'!O284,PWP!$B:$B,0),MATCH("Title",PWP!$A$1:$Z$1,0))</f>
        <v>Kung-Fu Apprentice</v>
      </c>
      <c r="S284" t="e" vm="14">
        <f>_xlfn.IMAGE("https://natalie.tf/wp-content/uploads/2023/10/DLV3_Icon_Ability_"&amp;INDEX('PWP-A'!$A$2:$C$31,MATCH('PWP-Print'!T284,'PWP-A'!$B$2:$B$31,0),1)&amp;".png")</f>
        <v>#VALUE!</v>
      </c>
      <c r="T284" s="229" t="str">
        <f>+INDEX(PWP!$A:$Z,MATCH('PWP-Print'!O284,PWP!$B:$B,0),MATCH("PWP Ability 1",PWP!$A$1:$Z$1,0))</f>
        <v>Strength +20%</v>
      </c>
      <c r="U284" s="249" t="str">
        <f>+INDEX(PWP!$A:$Z,MATCH('PWP-Print'!O284,PWP!$B:$B,0),MATCH("Locked PWP Ability 1",PWP!$A$1:$Z$1,0))</f>
        <v>(Wind) Strength +20%</v>
      </c>
    </row>
    <row r="285" spans="1:21" ht="22.5" customHeight="1" x14ac:dyDescent="0.3">
      <c r="C285" s="729"/>
      <c r="D285" s="8"/>
      <c r="E285" s="200" t="str">
        <f>+INDEX(PWP!$A:$Z,MATCH('PWP-Print'!E284,PWP!$B:$B,0),MATCH("ID",PWP!$A$1:$Z$1,0))</f>
        <v>110310_01</v>
      </c>
      <c r="F285" s="8"/>
      <c r="G285" s="249" t="str">
        <f>+INDEX(PWP!$A:$Z,MATCH('PWP-Print'!E284,PWP!$B:$B,0),MATCH("Name",PWP!$A$1:$Z$1,0))</f>
        <v>Addis</v>
      </c>
      <c r="H285" s="8"/>
      <c r="I285" t="e" vm="330">
        <f>_xlfn.IMAGE("https://natalie.tf/wp-content/uploads/2023/10/DLV3_Icon_Ability_"&amp;INDEX('PWP-A'!$A$2:$C$31,MATCH('PWP-Print'!J285,'PWP-A'!$B$2:$B$31,0),1)&amp;".png")</f>
        <v>#VALUE!</v>
      </c>
      <c r="J285" s="229" t="str">
        <f>+INDEX(PWP!$A:$Z,MATCH('PWP-Print'!E284,PWP!$B:$B,0),MATCH("PWP Ability 2",PWP!$A$1:$Z$1,0))</f>
        <v>Skill Haste +10%</v>
      </c>
      <c r="K285" s="249" t="str">
        <f>+INDEX(PWP!$A:$Z,MATCH('PWP-Print'!E284,PWP!$B:$B,0),MATCH("Locked PWP Ability 2",PWP!$A$1:$Z$1,0))</f>
        <v>(Wind) Skill Haste +10%</v>
      </c>
      <c r="M285" s="729"/>
      <c r="N285" s="8"/>
      <c r="O285" s="200" t="str">
        <f>+INDEX(PWP!$A:$Z,MATCH('PWP-Print'!O284,PWP!$B:$B,0),MATCH("ID",PWP!$A$1:$Z$1,0))</f>
        <v>110268_01</v>
      </c>
      <c r="P285" s="8"/>
      <c r="Q285" s="249" t="str">
        <f>+INDEX(PWP!$A:$Z,MATCH('PWP-Print'!O284,PWP!$B:$B,0),MATCH("Name",PWP!$A$1:$Z$1,0))</f>
        <v>Lin You</v>
      </c>
      <c r="R285" s="8"/>
      <c r="S285" t="e" vm="414">
        <f>_xlfn.IMAGE("https://natalie.tf/wp-content/uploads/2023/10/DLV3_Icon_Ability_"&amp;INDEX('PWP-A'!$A$2:$C$31,MATCH('PWP-Print'!T285,'PWP-A'!$B$2:$B$31,0),1)&amp;".png")</f>
        <v>#VALUE!</v>
      </c>
      <c r="T285" s="229" t="str">
        <f>+INDEX(PWP!$A:$Z,MATCH('PWP-Print'!O284,PWP!$B:$B,0),MATCH("PWP Ability 2",PWP!$A$1:$Z$1,0))</f>
        <v>Critical Damage +25%</v>
      </c>
      <c r="U285" s="249" t="str">
        <f>+INDEX(PWP!$A:$Z,MATCH('PWP-Print'!O284,PWP!$B:$B,0),MATCH("Locked PWP Ability 2",PWP!$A$1:$Z$1,0))</f>
        <v>(Wind) Critical Damage +25%</v>
      </c>
    </row>
    <row r="286" spans="1:21" ht="22.5" customHeight="1" x14ac:dyDescent="0.3">
      <c r="A286" s="244" t="str">
        <f>TEXT(A282+1,"000")</f>
        <v>131</v>
      </c>
      <c r="B286" s="244" t="str">
        <f>TEXT(B282+1,"000")</f>
        <v>144</v>
      </c>
      <c r="C286" s="729"/>
      <c r="E286" s="251" t="str">
        <f>+INDEX(PWP!$A:$Z,MATCH('PWP-Print'!E284,PWP!$B:$B,0),MATCH("Num",PWP!$A$1:$Z$1,0))</f>
        <v>A-131</v>
      </c>
      <c r="G286" s="249" t="str">
        <f>+INDEX(PWP!$A:$Z,MATCH('PWP-Print'!E284,PWP!$B:$B,0),MATCH("Element",PWP!$A$1:$Z$1,0))&amp;" "&amp;INDEX(PWP!$A:$Z,MATCH('PWP-Print'!E284,PWP!$B:$B,0),MATCH("Type",PWP!$A$1:$Z$1,0))&amp;" Adventurer"</f>
        <v>Wind Blade Adventurer</v>
      </c>
      <c r="K286" s="250"/>
      <c r="M286" s="729"/>
      <c r="O286" s="251" t="str">
        <f>+INDEX(PWP!$A:$Z,MATCH('PWP-Print'!O284,PWP!$B:$B,0),MATCH("Num",PWP!$A$1:$Z$1,0))</f>
        <v>A-144</v>
      </c>
      <c r="Q286" s="249" t="str">
        <f>+INDEX(PWP!$A:$Z,MATCH('PWP-Print'!O284,PWP!$B:$B,0),MATCH("Element",PWP!$A$1:$Z$1,0))&amp;" "&amp;INDEX(PWP!$A:$Z,MATCH('PWP-Print'!O284,PWP!$B:$B,0),MATCH("Type",PWP!$A$1:$Z$1,0))&amp;" Adventurer"</f>
        <v>Wind Axe Adventurer</v>
      </c>
      <c r="U286" s="250"/>
    </row>
    <row r="287" spans="1:21" ht="7.5" customHeight="1" x14ac:dyDescent="0.3">
      <c r="A287" s="244" t="s">
        <v>10763</v>
      </c>
      <c r="E287" s="250"/>
      <c r="G287" s="250"/>
      <c r="K287" s="250"/>
      <c r="O287" s="250"/>
      <c r="Q287" s="250"/>
      <c r="U287" s="250"/>
    </row>
    <row r="288" spans="1:21" ht="22.5" customHeight="1" x14ac:dyDescent="0.3">
      <c r="C288" s="729" t="e" vm="1171">
        <f>_xlfn.IMAGE("https://natalie.tf/wp-content/uploads/2023/10/DLV3_Icon_ADV_"&amp;E289&amp;"_r05.png")</f>
        <v>#VALUE!</v>
      </c>
      <c r="E288" s="249" t="str">
        <f>"PWP-"&amp;A290</f>
        <v>PWP-132</v>
      </c>
      <c r="G288" s="249" t="str">
        <f>+INDEX(PWP!$A:$Z,MATCH('PWP-Print'!E288,PWP!$B:$B,0),MATCH("Title",PWP!$A$1:$Z$1,0))</f>
        <v>Wandering Samurai</v>
      </c>
      <c r="I288" t="e" vm="414">
        <f>_xlfn.IMAGE("https://natalie.tf/wp-content/uploads/2023/10/DLV3_Icon_Ability_"&amp;INDEX('PWP-A'!$A$2:$C$31,MATCH('PWP-Print'!J288,'PWP-A'!$B$2:$B$31,0),1)&amp;".png")</f>
        <v>#VALUE!</v>
      </c>
      <c r="J288" s="229" t="str">
        <f>+INDEX(PWP!$A:$Z,MATCH('PWP-Print'!E288,PWP!$B:$B,0),MATCH("PWP Ability 1",PWP!$A$1:$Z$1,0))</f>
        <v>Critical Damage +25%</v>
      </c>
      <c r="K288" s="249" t="str">
        <f>+INDEX(PWP!$A:$Z,MATCH('PWP-Print'!E288,PWP!$B:$B,0),MATCH("Locked PWP Ability 1",PWP!$A$1:$Z$1,0))</f>
        <v>(Wind) Critical Damage +25%</v>
      </c>
      <c r="M288" s="729" t="e" vm="1172">
        <f>_xlfn.IMAGE("https://natalie.tf/wp-content/uploads/2023/10/DLV3_Icon_ADV_"&amp;O289&amp;"_r05.png")</f>
        <v>#VALUE!</v>
      </c>
      <c r="O288" s="249" t="str">
        <f>"PWP-"&amp;B290</f>
        <v>PWP-145</v>
      </c>
      <c r="Q288" s="249" t="str">
        <f>+INDEX(PWP!$A:$Z,MATCH('PWP-Print'!O288,PWP!$B:$B,0),MATCH("Title",PWP!$A$1:$Z$1,0))</f>
        <v>Arc in the Storm</v>
      </c>
      <c r="S288" t="e" vm="14">
        <f>_xlfn.IMAGE("https://natalie.tf/wp-content/uploads/2023/10/DLV3_Icon_Ability_"&amp;INDEX('PWP-A'!$A$2:$C$31,MATCH('PWP-Print'!T288,'PWP-A'!$B$2:$B$31,0),1)&amp;".png")</f>
        <v>#VALUE!</v>
      </c>
      <c r="T288" s="229" t="str">
        <f>+INDEX(PWP!$A:$Z,MATCH('PWP-Print'!O288,PWP!$B:$B,0),MATCH("PWP Ability 1",PWP!$A$1:$Z$1,0))</f>
        <v>Strength +20%</v>
      </c>
      <c r="U288" s="249" t="str">
        <f>+INDEX(PWP!$A:$Z,MATCH('PWP-Print'!O288,PWP!$B:$B,0),MATCH("Locked PWP Ability 1",PWP!$A$1:$Z$1,0))</f>
        <v>(Wind) Strength +20%</v>
      </c>
    </row>
    <row r="289" spans="1:21" ht="22.5" customHeight="1" x14ac:dyDescent="0.3">
      <c r="C289" s="729"/>
      <c r="D289" s="8"/>
      <c r="E289" s="200" t="str">
        <f>+INDEX(PWP!$A:$Z,MATCH('PWP-Print'!E288,PWP!$B:$B,0),MATCH("ID",PWP!$A$1:$Z$1,0))</f>
        <v>110030_01</v>
      </c>
      <c r="F289" s="8"/>
      <c r="G289" s="249" t="str">
        <f>+INDEX(PWP!$A:$Z,MATCH('PWP-Print'!E288,PWP!$B:$B,0),MATCH("Name",PWP!$A$1:$Z$1,0))</f>
        <v>Musashi</v>
      </c>
      <c r="H289" s="8"/>
      <c r="I289" t="e" vm="688">
        <f>_xlfn.IMAGE("https://natalie.tf/wp-content/uploads/2023/10/DLV3_Icon_Ability_"&amp;INDEX('PWP-A'!$A$2:$C$31,MATCH('PWP-Print'!J289,'PWP-A'!$B$2:$B$31,0),1)&amp;".png")</f>
        <v>#VALUE!</v>
      </c>
      <c r="J289" s="229" t="str">
        <f>+INDEX(PWP!$A:$Z,MATCH('PWP-Print'!E288,PWP!$B:$B,0),MATCH("PWP Ability 2",PWP!$A$1:$Z$1,0))</f>
        <v>Overdrive Punisher +15%</v>
      </c>
      <c r="K289" s="249" t="str">
        <f>+INDEX(PWP!$A:$Z,MATCH('PWP-Print'!E288,PWP!$B:$B,0),MATCH("Locked PWP Ability 2",PWP!$A$1:$Z$1,0))</f>
        <v>(Wind) Overdrive Punisher +15%</v>
      </c>
      <c r="M289" s="729"/>
      <c r="N289" s="8"/>
      <c r="O289" s="200" t="str">
        <f>+INDEX(PWP!$A:$Z,MATCH('PWP-Print'!O288,PWP!$B:$B,0),MATCH("ID",PWP!$A$1:$Z$1,0))</f>
        <v>100003_01</v>
      </c>
      <c r="P289" s="8"/>
      <c r="Q289" s="249" t="str">
        <f>+INDEX(PWP!$A:$Z,MATCH('PWP-Print'!O288,PWP!$B:$B,0),MATCH("Name",PWP!$A$1:$Z$1,0))</f>
        <v>Ranzal</v>
      </c>
      <c r="R289" s="8"/>
      <c r="S289" t="e" vm="426">
        <f>_xlfn.IMAGE("https://natalie.tf/wp-content/uploads/2023/10/DLV3_Icon_Ability_"&amp;INDEX('PWP-A'!$A$2:$C$31,MATCH('PWP-Print'!T289,'PWP-A'!$B$2:$B$31,0),1)&amp;".png")</f>
        <v>#VALUE!</v>
      </c>
      <c r="T289" s="229" t="str">
        <f>+INDEX(PWP!$A:$Z,MATCH('PWP-Print'!O288,PWP!$B:$B,0),MATCH("PWP Ability 2",PWP!$A$1:$Z$1,0))</f>
        <v>Defense +20%</v>
      </c>
      <c r="U289" s="249" t="str">
        <f>+INDEX(PWP!$A:$Z,MATCH('PWP-Print'!O288,PWP!$B:$B,0),MATCH("Locked PWP Ability 2",PWP!$A$1:$Z$1,0))</f>
        <v>(Wind) Defense +20%</v>
      </c>
    </row>
    <row r="290" spans="1:21" ht="22.5" customHeight="1" x14ac:dyDescent="0.3">
      <c r="A290" s="244" t="str">
        <f>TEXT(A286+1,"000")</f>
        <v>132</v>
      </c>
      <c r="B290" s="244" t="str">
        <f>TEXT(B286+1,"000")</f>
        <v>145</v>
      </c>
      <c r="C290" s="729"/>
      <c r="E290" s="251" t="str">
        <f>+INDEX(PWP!$A:$Z,MATCH('PWP-Print'!E288,PWP!$B:$B,0),MATCH("Num",PWP!$A$1:$Z$1,0))</f>
        <v>A-132</v>
      </c>
      <c r="G290" s="249" t="str">
        <f>+INDEX(PWP!$A:$Z,MATCH('PWP-Print'!E288,PWP!$B:$B,0),MATCH("Element",PWP!$A$1:$Z$1,0))&amp;" "&amp;INDEX(PWP!$A:$Z,MATCH('PWP-Print'!E288,PWP!$B:$B,0),MATCH("Type",PWP!$A$1:$Z$1,0))&amp;" Adventurer"</f>
        <v>Wind Blade Adventurer</v>
      </c>
      <c r="K290" s="250"/>
      <c r="M290" s="729"/>
      <c r="O290" s="251" t="str">
        <f>+INDEX(PWP!$A:$Z,MATCH('PWP-Print'!O288,PWP!$B:$B,0),MATCH("Num",PWP!$A$1:$Z$1,0))</f>
        <v>A-145</v>
      </c>
      <c r="Q290" s="249" t="str">
        <f>+INDEX(PWP!$A:$Z,MATCH('PWP-Print'!O288,PWP!$B:$B,0),MATCH("Element",PWP!$A$1:$Z$1,0))&amp;" "&amp;INDEX(PWP!$A:$Z,MATCH('PWP-Print'!O288,PWP!$B:$B,0),MATCH("Type",PWP!$A$1:$Z$1,0))&amp;" Adventurer"</f>
        <v>Wind Axe Adventurer</v>
      </c>
      <c r="U290" s="250"/>
    </row>
    <row r="291" spans="1:21" ht="7.5" customHeight="1" x14ac:dyDescent="0.3">
      <c r="A291" s="244" t="s">
        <v>10763</v>
      </c>
      <c r="E291" s="250"/>
      <c r="G291" s="250"/>
      <c r="K291" s="250"/>
      <c r="O291" s="250"/>
      <c r="Q291" s="250"/>
      <c r="U291" s="250"/>
    </row>
    <row r="292" spans="1:21" ht="22.5" customHeight="1" x14ac:dyDescent="0.3">
      <c r="C292" s="729" t="e" vm="1173">
        <f>_xlfn.IMAGE("https://natalie.tf/wp-content/uploads/2023/10/DLV3_Icon_ADV_"&amp;E293&amp;"_r05.png")</f>
        <v>#VALUE!</v>
      </c>
      <c r="E292" s="249" t="str">
        <f>"PWP-"&amp;A294</f>
        <v>PWP-133</v>
      </c>
      <c r="G292" s="249" t="str">
        <f>+INDEX(PWP!$A:$Z,MATCH('PWP-Print'!E292,PWP!$B:$B,0),MATCH("Title",PWP!$A$1:$Z$1,0))</f>
        <v>Menace of a Maid</v>
      </c>
      <c r="I292" t="e" vm="496">
        <f>_xlfn.IMAGE("https://natalie.tf/wp-content/uploads/2023/10/DLV3_Icon_Ability_"&amp;INDEX('PWP-A'!$A$2:$C$31,MATCH('PWP-Print'!J292,'PWP-A'!$B$2:$B$31,0),1)&amp;".png")</f>
        <v>#VALUE!</v>
      </c>
      <c r="J292" s="229" t="str">
        <f>+INDEX(PWP!$A:$Z,MATCH('PWP-Print'!E292,PWP!$B:$B,0),MATCH("PWP Ability 1",PWP!$A$1:$Z$1,0))</f>
        <v>HP +15%</v>
      </c>
      <c r="K292" s="249" t="str">
        <f>+INDEX(PWP!$A:$Z,MATCH('PWP-Print'!E292,PWP!$B:$B,0),MATCH("Locked PWP Ability 1",PWP!$A$1:$Z$1,0))</f>
        <v>(Wind) HP +15%</v>
      </c>
      <c r="M292" s="729" t="e" vm="1174">
        <f>_xlfn.IMAGE("https://natalie.tf/wp-content/uploads/2023/10/DLV3_Icon_ADV_"&amp;O293&amp;"_r05.png")</f>
        <v>#VALUE!</v>
      </c>
      <c r="O292" s="249" t="str">
        <f>"PWP-"&amp;B294</f>
        <v>PWP-146</v>
      </c>
      <c r="Q292" s="249" t="str">
        <f>+INDEX(PWP!$A:$Z,MATCH('PWP-Print'!O292,PWP!$B:$B,0),MATCH("Title",PWP!$A$1:$Z$1,0))</f>
        <v>Untamed Warrioress</v>
      </c>
      <c r="S292" t="e" vm="688">
        <f>_xlfn.IMAGE("https://natalie.tf/wp-content/uploads/2023/10/DLV3_Icon_Ability_"&amp;INDEX('PWP-A'!$A$2:$C$31,MATCH('PWP-Print'!T292,'PWP-A'!$B$2:$B$31,0),1)&amp;".png")</f>
        <v>#VALUE!</v>
      </c>
      <c r="T292" s="229" t="str">
        <f>+INDEX(PWP!$A:$Z,MATCH('PWP-Print'!O292,PWP!$B:$B,0),MATCH("PWP Ability 1",PWP!$A$1:$Z$1,0))</f>
        <v>Overdrive Punisher +15%</v>
      </c>
      <c r="U292" s="249" t="str">
        <f>+INDEX(PWP!$A:$Z,MATCH('PWP-Print'!O292,PWP!$B:$B,0),MATCH("Locked PWP Ability 1",PWP!$A$1:$Z$1,0))</f>
        <v>(Wind) Overdrive Punisher +15%</v>
      </c>
    </row>
    <row r="293" spans="1:21" ht="22.5" customHeight="1" x14ac:dyDescent="0.3">
      <c r="C293" s="729"/>
      <c r="D293" s="8"/>
      <c r="E293" s="200" t="str">
        <f>+INDEX(PWP!$A:$Z,MATCH('PWP-Print'!E292,PWP!$B:$B,0),MATCH("ID",PWP!$A$1:$Z$1,0))</f>
        <v>110027_01</v>
      </c>
      <c r="F293" s="8"/>
      <c r="G293" s="249" t="str">
        <f>+INDEX(PWP!$A:$Z,MATCH('PWP-Print'!E292,PWP!$B:$B,0),MATCH("Name",PWP!$A$1:$Z$1,0))</f>
        <v>Melody</v>
      </c>
      <c r="H293" s="8"/>
      <c r="I293" t="e" vm="802">
        <f>_xlfn.IMAGE("https://natalie.tf/wp-content/uploads/2023/10/DLV3_Icon_Ability_"&amp;INDEX('PWP-A'!$A$2:$C$31,MATCH('PWP-Print'!J293,'PWP-A'!$B$2:$B$31,0),1)&amp;".png")</f>
        <v>#VALUE!</v>
      </c>
      <c r="J293" s="229" t="str">
        <f>+INDEX(PWP!$A:$Z,MATCH('PWP-Print'!E292,PWP!$B:$B,0),MATCH("PWP Ability 2",PWP!$A$1:$Z$1,0))</f>
        <v>HP 70% = Shield +40%</v>
      </c>
      <c r="K293" s="249" t="str">
        <f>+INDEX(PWP!$A:$Z,MATCH('PWP-Print'!E292,PWP!$B:$B,0),MATCH("Locked PWP Ability 2",PWP!$A$1:$Z$1,0))</f>
        <v>(Wind) HP 70% = Shield +40%</v>
      </c>
      <c r="M293" s="729"/>
      <c r="N293" s="8"/>
      <c r="O293" s="200" t="str">
        <f>+INDEX(PWP!$A:$Z,MATCH('PWP-Print'!O292,PWP!$B:$B,0),MATCH("ID",PWP!$A$1:$Z$1,0))</f>
        <v>110023_01</v>
      </c>
      <c r="P293" s="8"/>
      <c r="Q293" s="249" t="str">
        <f>+INDEX(PWP!$A:$Z,MATCH('PWP-Print'!O292,PWP!$B:$B,0),MATCH("Name",PWP!$A$1:$Z$1,0))</f>
        <v>Johanna</v>
      </c>
      <c r="R293" s="8"/>
      <c r="S293" t="e" vm="496">
        <f>_xlfn.IMAGE("https://natalie.tf/wp-content/uploads/2023/10/DLV3_Icon_Ability_"&amp;INDEX('PWP-A'!$A$2:$C$31,MATCH('PWP-Print'!T293,'PWP-A'!$B$2:$B$31,0),1)&amp;".png")</f>
        <v>#VALUE!</v>
      </c>
      <c r="T293" s="229" t="str">
        <f>+INDEX(PWP!$A:$Z,MATCH('PWP-Print'!O292,PWP!$B:$B,0),MATCH("PWP Ability 2",PWP!$A$1:$Z$1,0))</f>
        <v>HP +15%</v>
      </c>
      <c r="U293" s="249" t="str">
        <f>+INDEX(PWP!$A:$Z,MATCH('PWP-Print'!O292,PWP!$B:$B,0),MATCH("Locked PWP Ability 2",PWP!$A$1:$Z$1,0))</f>
        <v>(Wind) HP +15%</v>
      </c>
    </row>
    <row r="294" spans="1:21" ht="22.5" customHeight="1" x14ac:dyDescent="0.3">
      <c r="A294" s="244" t="str">
        <f>TEXT(A290+1,"000")</f>
        <v>133</v>
      </c>
      <c r="B294" s="244" t="str">
        <f>TEXT(B290+1,"000")</f>
        <v>146</v>
      </c>
      <c r="C294" s="729"/>
      <c r="E294" s="251" t="str">
        <f>+INDEX(PWP!$A:$Z,MATCH('PWP-Print'!E292,PWP!$B:$B,0),MATCH("Num",PWP!$A$1:$Z$1,0))</f>
        <v>A-133</v>
      </c>
      <c r="G294" s="249" t="str">
        <f>+INDEX(PWP!$A:$Z,MATCH('PWP-Print'!E292,PWP!$B:$B,0),MATCH("Element",PWP!$A$1:$Z$1,0))&amp;" "&amp;INDEX(PWP!$A:$Z,MATCH('PWP-Print'!E292,PWP!$B:$B,0),MATCH("Type",PWP!$A$1:$Z$1,0))&amp;" Adventurer"</f>
        <v>Wind Blade Adventurer</v>
      </c>
      <c r="K294" s="250"/>
      <c r="M294" s="729"/>
      <c r="O294" s="251" t="str">
        <f>+INDEX(PWP!$A:$Z,MATCH('PWP-Print'!O292,PWP!$B:$B,0),MATCH("Num",PWP!$A$1:$Z$1,0))</f>
        <v>A-146</v>
      </c>
      <c r="Q294" s="249" t="str">
        <f>+INDEX(PWP!$A:$Z,MATCH('PWP-Print'!O292,PWP!$B:$B,0),MATCH("Element",PWP!$A$1:$Z$1,0))&amp;" "&amp;INDEX(PWP!$A:$Z,MATCH('PWP-Print'!O292,PWP!$B:$B,0),MATCH("Type",PWP!$A$1:$Z$1,0))&amp;" Adventurer"</f>
        <v>Wind Axe Adventurer</v>
      </c>
      <c r="U294" s="250"/>
    </row>
    <row r="295" spans="1:21" ht="7.5" customHeight="1" x14ac:dyDescent="0.3">
      <c r="A295" s="244" t="s">
        <v>10763</v>
      </c>
      <c r="E295" s="250"/>
      <c r="G295" s="250"/>
      <c r="K295" s="250"/>
      <c r="O295" s="250"/>
      <c r="Q295" s="250"/>
      <c r="U295" s="250"/>
    </row>
    <row r="296" spans="1:21" ht="22.5" customHeight="1" x14ac:dyDescent="0.3">
      <c r="C296" s="729" t="e" vm="1175">
        <f>_xlfn.IMAGE("https://natalie.tf/wp-content/uploads/2023/10/DLV3_Icon_ADV_"&amp;E297&amp;"_r05.png")</f>
        <v>#VALUE!</v>
      </c>
      <c r="E296" s="249" t="str">
        <f>"PWP-"&amp;A298</f>
        <v>PWP-134</v>
      </c>
      <c r="G296" s="249" t="str">
        <f>+INDEX(PWP!$A:$Z,MATCH('PWP-Print'!E296,PWP!$B:$B,0),MATCH("Title",PWP!$A$1:$Z$1,0))</f>
        <v>The Wintry Wing of Revelation</v>
      </c>
      <c r="I296" t="e" vm="1036">
        <f>_xlfn.IMAGE("https://natalie.tf/wp-content/uploads/2023/10/DLV3_Icon_Ability_"&amp;INDEX('PWP-A'!$A$2:$C$31,MATCH('PWP-Print'!J296,'PWP-A'!$B$2:$B$31,0),1)&amp;".png")</f>
        <v>#VALUE!</v>
      </c>
      <c r="J296" s="229" t="str">
        <f>+INDEX(PWP!$A:$Z,MATCH('PWP-Print'!E296,PWP!$B:$B,0),MATCH("PWP Ability 1",PWP!$A$1:$Z$1,0))</f>
        <v>15 Hits = Overdamage</v>
      </c>
      <c r="K296" s="249" t="str">
        <f>+INDEX(PWP!$A:$Z,MATCH('PWP-Print'!E296,PWP!$B:$B,0),MATCH("Locked PWP Ability 1",PWP!$A$1:$Z$1,0))</f>
        <v>(Wind) 15 Hits = Overdamage</v>
      </c>
      <c r="M296" s="729" t="e" vm="1176">
        <f>_xlfn.IMAGE("https://natalie.tf/wp-content/uploads/2023/10/DLV3_Icon_ADV_"&amp;O297&amp;"_r05.png")</f>
        <v>#VALUE!</v>
      </c>
      <c r="O296" s="249" t="str">
        <f>"PWP-"&amp;B298</f>
        <v>PWP-147</v>
      </c>
      <c r="Q296" s="249" t="str">
        <f>+INDEX(PWP!$A:$Z,MATCH('PWP-Print'!O296,PWP!$B:$B,0),MATCH("Title",PWP!$A$1:$Z$1,0))</f>
        <v>The Dawning Wind</v>
      </c>
      <c r="S296" t="e" vm="14">
        <f>_xlfn.IMAGE("https://natalie.tf/wp-content/uploads/2023/10/DLV3_Icon_Ability_"&amp;INDEX('PWP-A'!$A$2:$C$31,MATCH('PWP-Print'!T296,'PWP-A'!$B$2:$B$31,0),1)&amp;".png")</f>
        <v>#VALUE!</v>
      </c>
      <c r="T296" s="229" t="str">
        <f>+INDEX(PWP!$A:$Z,MATCH('PWP-Print'!O296,PWP!$B:$B,0),MATCH("PWP Ability 1",PWP!$A$1:$Z$1,0))</f>
        <v>Strength +20%</v>
      </c>
      <c r="U296" s="249" t="str">
        <f>+INDEX(PWP!$A:$Z,MATCH('PWP-Print'!O296,PWP!$B:$B,0),MATCH("Locked PWP Ability 1",PWP!$A$1:$Z$1,0))</f>
        <v>(Wind) Strength +20%</v>
      </c>
    </row>
    <row r="297" spans="1:21" ht="22.5" customHeight="1" x14ac:dyDescent="0.3">
      <c r="C297" s="729"/>
      <c r="D297" s="8"/>
      <c r="E297" s="200" t="str">
        <f>+INDEX(PWP!$A:$Z,MATCH('PWP-Print'!E296,PWP!$B:$B,0),MATCH("ID",PWP!$A$1:$Z$1,0))</f>
        <v>110365_03</v>
      </c>
      <c r="F297" s="8"/>
      <c r="G297" s="249" t="str">
        <f>+INDEX(PWP!$A:$Z,MATCH('PWP-Print'!E296,PWP!$B:$B,0),MATCH("Name",PWP!$A$1:$Z$1,0))</f>
        <v>Dragonyule Nevin</v>
      </c>
      <c r="H297" s="8"/>
      <c r="I297" t="e" vm="414">
        <f>_xlfn.IMAGE("https://natalie.tf/wp-content/uploads/2023/10/DLV3_Icon_Ability_"&amp;INDEX('PWP-A'!$A$2:$C$31,MATCH('PWP-Print'!J297,'PWP-A'!$B$2:$B$31,0),1)&amp;".png")</f>
        <v>#VALUE!</v>
      </c>
      <c r="J297" s="229" t="str">
        <f>+INDEX(PWP!$A:$Z,MATCH('PWP-Print'!E296,PWP!$B:$B,0),MATCH("PWP Ability 2",PWP!$A$1:$Z$1,0))</f>
        <v>Critical Damage +25%</v>
      </c>
      <c r="K297" s="249" t="str">
        <f>+INDEX(PWP!$A:$Z,MATCH('PWP-Print'!E296,PWP!$B:$B,0),MATCH("Locked PWP Ability 2",PWP!$A$1:$Z$1,0))</f>
        <v>(Wind) Critical Damage +25%</v>
      </c>
      <c r="M297" s="729"/>
      <c r="N297" s="8"/>
      <c r="O297" s="200" t="str">
        <f>+INDEX(PWP!$A:$Z,MATCH('PWP-Print'!O296,PWP!$B:$B,0),MATCH("ID",PWP!$A$1:$Z$1,0))</f>
        <v>100014_03</v>
      </c>
      <c r="P297" s="8"/>
      <c r="Q297" s="249" t="str">
        <f>+INDEX(PWP!$A:$Z,MATCH('PWP-Print'!O296,PWP!$B:$B,0),MATCH("Name",PWP!$A$1:$Z$1,0))</f>
        <v>Phares</v>
      </c>
      <c r="R297" s="8"/>
      <c r="S297" t="e" vm="326">
        <f>_xlfn.IMAGE("https://natalie.tf/wp-content/uploads/2023/10/DLV3_Icon_Ability_"&amp;INDEX('PWP-A'!$A$2:$C$31,MATCH('PWP-Print'!T297,'PWP-A'!$B$2:$B$31,0),1)&amp;".png")</f>
        <v>#VALUE!</v>
      </c>
      <c r="T297" s="229" t="str">
        <f>+INDEX(PWP!$A:$Z,MATCH('PWP-Print'!O296,PWP!$B:$B,0),MATCH("PWP Ability 2",PWP!$A$1:$Z$1,0))</f>
        <v>Critical Rate +15%</v>
      </c>
      <c r="U297" s="249" t="str">
        <f>+INDEX(PWP!$A:$Z,MATCH('PWP-Print'!O296,PWP!$B:$B,0),MATCH("Locked PWP Ability 2",PWP!$A$1:$Z$1,0))</f>
        <v>(Wind) Critical Rate +15%</v>
      </c>
    </row>
    <row r="298" spans="1:21" ht="22.5" customHeight="1" x14ac:dyDescent="0.3">
      <c r="A298" s="244" t="str">
        <f>TEXT(A294+1,"000")</f>
        <v>134</v>
      </c>
      <c r="B298" s="244" t="str">
        <f>TEXT(B294+1,"000")</f>
        <v>147</v>
      </c>
      <c r="C298" s="729"/>
      <c r="E298" s="251" t="str">
        <f>+INDEX(PWP!$A:$Z,MATCH('PWP-Print'!E296,PWP!$B:$B,0),MATCH("Num",PWP!$A$1:$Z$1,0))</f>
        <v>A-134</v>
      </c>
      <c r="G298" s="249" t="str">
        <f>+INDEX(PWP!$A:$Z,MATCH('PWP-Print'!E296,PWP!$B:$B,0),MATCH("Element",PWP!$A$1:$Z$1,0))&amp;" "&amp;INDEX(PWP!$A:$Z,MATCH('PWP-Print'!E296,PWP!$B:$B,0),MATCH("Type",PWP!$A$1:$Z$1,0))&amp;" Adventurer"</f>
        <v>Wind Dagger Adventurer</v>
      </c>
      <c r="K298" s="250"/>
      <c r="M298" s="729"/>
      <c r="O298" s="251" t="str">
        <f>+INDEX(PWP!$A:$Z,MATCH('PWP-Print'!O296,PWP!$B:$B,0),MATCH("Num",PWP!$A$1:$Z$1,0))</f>
        <v>A-147</v>
      </c>
      <c r="Q298" s="249" t="str">
        <f>+INDEX(PWP!$A:$Z,MATCH('PWP-Print'!O296,PWP!$B:$B,0),MATCH("Element",PWP!$A$1:$Z$1,0))&amp;" "&amp;INDEX(PWP!$A:$Z,MATCH('PWP-Print'!O296,PWP!$B:$B,0),MATCH("Type",PWP!$A$1:$Z$1,0))&amp;" Adventurer"</f>
        <v>Wind Lance Adventurer</v>
      </c>
      <c r="U298" s="250"/>
    </row>
    <row r="299" spans="1:21" ht="7.5" customHeight="1" x14ac:dyDescent="0.3">
      <c r="A299" s="244" t="s">
        <v>10763</v>
      </c>
      <c r="E299" s="250"/>
      <c r="G299" s="250"/>
      <c r="K299" s="250"/>
      <c r="O299" s="250"/>
      <c r="Q299" s="250"/>
      <c r="U299" s="250"/>
    </row>
    <row r="300" spans="1:21" ht="22.5" customHeight="1" x14ac:dyDescent="0.3">
      <c r="C300" s="729" t="e" vm="1177">
        <f>_xlfn.IMAGE("https://natalie.tf/wp-content/uploads/2023/10/DLV3_Icon_ADV_"&amp;E301&amp;"_r05.png")</f>
        <v>#VALUE!</v>
      </c>
      <c r="E300" s="249" t="str">
        <f>"PWP-"&amp;A302</f>
        <v>PWP-135</v>
      </c>
      <c r="G300" s="249" t="str">
        <f>+INDEX(PWP!$A:$Z,MATCH('PWP-Print'!E300,PWP!$B:$B,0),MATCH("Title",PWP!$A$1:$Z$1,0))</f>
        <v>Eternal Partner</v>
      </c>
      <c r="I300" t="e" vm="1036">
        <f>_xlfn.IMAGE("https://natalie.tf/wp-content/uploads/2023/10/DLV3_Icon_Ability_"&amp;INDEX('PWP-A'!$A$2:$C$31,MATCH('PWP-Print'!J300,'PWP-A'!$B$2:$B$31,0),1)&amp;".png")</f>
        <v>#VALUE!</v>
      </c>
      <c r="J300" s="229" t="str">
        <f>+INDEX(PWP!$A:$Z,MATCH('PWP-Print'!E300,PWP!$B:$B,0),MATCH("PWP Ability 1",PWP!$A$1:$Z$1,0))</f>
        <v>15 Hits = Overdamage</v>
      </c>
      <c r="K300" s="249" t="str">
        <f>+INDEX(PWP!$A:$Z,MATCH('PWP-Print'!E300,PWP!$B:$B,0),MATCH("Locked PWP Ability 1",PWP!$A$1:$Z$1,0))</f>
        <v>(Wind) 15 Hits = Overdamage</v>
      </c>
      <c r="M300" s="729" t="e" vm="1178">
        <f>_xlfn.IMAGE("https://natalie.tf/wp-content/uploads/2023/10/DLV3_Icon_ADV_"&amp;O301&amp;"_r05.png")</f>
        <v>#VALUE!</v>
      </c>
      <c r="O300" s="249" t="str">
        <f>"PWP-"&amp;B302</f>
        <v>PWP-148</v>
      </c>
      <c r="Q300" s="249" t="str">
        <f>+INDEX(PWP!$A:$Z,MATCH('PWP-Print'!O300,PWP!$B:$B,0),MATCH("Title",PWP!$A$1:$Z$1,0))</f>
        <v>Emissary of Amaterasu</v>
      </c>
      <c r="S300" t="e" vm="330">
        <f>_xlfn.IMAGE("https://natalie.tf/wp-content/uploads/2023/10/DLV3_Icon_Ability_"&amp;INDEX('PWP-A'!$A$2:$C$31,MATCH('PWP-Print'!T300,'PWP-A'!$B$2:$B$31,0),1)&amp;".png")</f>
        <v>#VALUE!</v>
      </c>
      <c r="T300" s="229" t="str">
        <f>+INDEX(PWP!$A:$Z,MATCH('PWP-Print'!O300,PWP!$B:$B,0),MATCH("PWP Ability 1",PWP!$A$1:$Z$1,0))</f>
        <v>Skill Haste +10%</v>
      </c>
      <c r="U300" s="249" t="str">
        <f>+INDEX(PWP!$A:$Z,MATCH('PWP-Print'!O300,PWP!$B:$B,0),MATCH("Locked PWP Ability 1",PWP!$A$1:$Z$1,0))</f>
        <v>(Wind) Skill Haste +10%</v>
      </c>
    </row>
    <row r="301" spans="1:21" ht="22.5" customHeight="1" x14ac:dyDescent="0.3">
      <c r="C301" s="729"/>
      <c r="D301" s="8"/>
      <c r="E301" s="200" t="str">
        <f>+INDEX(PWP!$A:$Z,MATCH('PWP-Print'!E300,PWP!$B:$B,0),MATCH("ID",PWP!$A$1:$Z$1,0))</f>
        <v>100007_07</v>
      </c>
      <c r="F301" s="8"/>
      <c r="G301" s="249" t="str">
        <f>+INDEX(PWP!$A:$Z,MATCH('PWP-Print'!E300,PWP!$B:$B,0),MATCH("Name",PWP!$A$1:$Z$1,0))</f>
        <v>Gala Notte</v>
      </c>
      <c r="H301" s="8"/>
      <c r="I301" t="e" vm="14">
        <f>_xlfn.IMAGE("https://natalie.tf/wp-content/uploads/2023/10/DLV3_Icon_Ability_"&amp;INDEX('PWP-A'!$A$2:$C$31,MATCH('PWP-Print'!J301,'PWP-A'!$B$2:$B$31,0),1)&amp;".png")</f>
        <v>#VALUE!</v>
      </c>
      <c r="J301" s="229" t="str">
        <f>+INDEX(PWP!$A:$Z,MATCH('PWP-Print'!E300,PWP!$B:$B,0),MATCH("PWP Ability 2",PWP!$A$1:$Z$1,0))</f>
        <v>Skill Damage +40%</v>
      </c>
      <c r="K301" s="249" t="str">
        <f>+INDEX(PWP!$A:$Z,MATCH('PWP-Print'!E300,PWP!$B:$B,0),MATCH("Locked PWP Ability 2",PWP!$A$1:$Z$1,0))</f>
        <v>(Wind) Skill Damage +40%</v>
      </c>
      <c r="M301" s="729"/>
      <c r="N301" s="8"/>
      <c r="O301" s="200" t="str">
        <f>+INDEX(PWP!$A:$Z,MATCH('PWP-Print'!O300,PWP!$B:$B,0),MATCH("ID",PWP!$A$1:$Z$1,0))</f>
        <v>110403_01</v>
      </c>
      <c r="P301" s="8"/>
      <c r="Q301" s="249" t="str">
        <f>+INDEX(PWP!$A:$Z,MATCH('PWP-Print'!O300,PWP!$B:$B,0),MATCH("Name",PWP!$A$1:$Z$1,0))</f>
        <v>Izumo</v>
      </c>
      <c r="R301" s="8"/>
      <c r="S301" t="e" vm="696">
        <f>_xlfn.IMAGE("https://natalie.tf/wp-content/uploads/2023/10/DLV3_Icon_Ability_"&amp;INDEX('PWP-A'!$A$2:$C$31,MATCH('PWP-Print'!T301,'PWP-A'!$B$2:$B$31,0),1)&amp;".png")</f>
        <v>#VALUE!</v>
      </c>
      <c r="T301" s="229" t="str">
        <f>+INDEX(PWP!$A:$Z,MATCH('PWP-Print'!O300,PWP!$B:$B,0),MATCH("PWP Ability 2",PWP!$A$1:$Z$1,0))</f>
        <v>Elemental Res +15%</v>
      </c>
      <c r="U301" s="249" t="str">
        <f>+INDEX(PWP!$A:$Z,MATCH('PWP-Print'!O300,PWP!$B:$B,0),MATCH("Locked PWP Ability 2",PWP!$A$1:$Z$1,0))</f>
        <v>(Wind) Elemental Res +15%</v>
      </c>
    </row>
    <row r="302" spans="1:21" ht="22.5" customHeight="1" x14ac:dyDescent="0.3">
      <c r="A302" s="244" t="str">
        <f>TEXT(A298+1,"000")</f>
        <v>135</v>
      </c>
      <c r="B302" s="244" t="str">
        <f>TEXT(B298+1,"000")</f>
        <v>148</v>
      </c>
      <c r="C302" s="729"/>
      <c r="E302" s="251" t="str">
        <f>+INDEX(PWP!$A:$Z,MATCH('PWP-Print'!E300,PWP!$B:$B,0),MATCH("Num",PWP!$A$1:$Z$1,0))</f>
        <v>A-135</v>
      </c>
      <c r="G302" s="249" t="str">
        <f>+INDEX(PWP!$A:$Z,MATCH('PWP-Print'!E300,PWP!$B:$B,0),MATCH("Element",PWP!$A$1:$Z$1,0))&amp;" "&amp;INDEX(PWP!$A:$Z,MATCH('PWP-Print'!E300,PWP!$B:$B,0),MATCH("Type",PWP!$A$1:$Z$1,0))&amp;" Adventurer"</f>
        <v>Wind Dagger Adventurer</v>
      </c>
      <c r="K302" s="250"/>
      <c r="M302" s="729"/>
      <c r="O302" s="251" t="str">
        <f>+INDEX(PWP!$A:$Z,MATCH('PWP-Print'!O300,PWP!$B:$B,0),MATCH("Num",PWP!$A$1:$Z$1,0))</f>
        <v>A-148</v>
      </c>
      <c r="Q302" s="249" t="str">
        <f>+INDEX(PWP!$A:$Z,MATCH('PWP-Print'!O300,PWP!$B:$B,0),MATCH("Element",PWP!$A$1:$Z$1,0))&amp;" "&amp;INDEX(PWP!$A:$Z,MATCH('PWP-Print'!O300,PWP!$B:$B,0),MATCH("Type",PWP!$A$1:$Z$1,0))&amp;" Adventurer"</f>
        <v>Wind Lance Adventurer</v>
      </c>
      <c r="U302" s="250"/>
    </row>
    <row r="303" spans="1:21" ht="7.5" customHeight="1" x14ac:dyDescent="0.3">
      <c r="A303" s="244" t="s">
        <v>10763</v>
      </c>
      <c r="E303" s="250"/>
      <c r="G303" s="250"/>
      <c r="K303" s="250"/>
      <c r="O303" s="250"/>
      <c r="Q303" s="250"/>
      <c r="U303" s="250"/>
    </row>
    <row r="304" spans="1:21" ht="22.5" customHeight="1" x14ac:dyDescent="0.3">
      <c r="C304" s="729" t="e" vm="1179">
        <f>_xlfn.IMAGE("https://natalie.tf/wp-content/uploads/2023/10/DLV3_Icon_ADV_"&amp;E305&amp;"_r05.png")</f>
        <v>#VALUE!</v>
      </c>
      <c r="E304" s="249" t="str">
        <f>"PWP-"&amp;A306</f>
        <v>PWP-136</v>
      </c>
      <c r="G304" s="249" t="str">
        <f>+INDEX(PWP!$A:$Z,MATCH('PWP-Print'!E304,PWP!$B:$B,0),MATCH("Title",PWP!$A$1:$Z$1,0))</f>
        <v>Summer Scribe</v>
      </c>
      <c r="I304" t="e" vm="414">
        <f>_xlfn.IMAGE("https://natalie.tf/wp-content/uploads/2023/10/DLV3_Icon_Ability_"&amp;INDEX('PWP-A'!$A$2:$C$31,MATCH('PWP-Print'!J304,'PWP-A'!$B$2:$B$31,0),1)&amp;".png")</f>
        <v>#VALUE!</v>
      </c>
      <c r="J304" s="229" t="str">
        <f>+INDEX(PWP!$A:$Z,MATCH('PWP-Print'!E304,PWP!$B:$B,0),MATCH("PWP Ability 1",PWP!$A$1:$Z$1,0))</f>
        <v>Critical Damage +25%</v>
      </c>
      <c r="K304" s="249" t="str">
        <f>+INDEX(PWP!$A:$Z,MATCH('PWP-Print'!E304,PWP!$B:$B,0),MATCH("Locked PWP Ability 1",PWP!$A$1:$Z$1,0))</f>
        <v>(Wind) Critical Damage +25%</v>
      </c>
      <c r="M304" s="729" t="e" vm="1180">
        <f>_xlfn.IMAGE("https://natalie.tf/wp-content/uploads/2023/10/DLV3_Icon_ADV_"&amp;O305&amp;"_r05.png")</f>
        <v>#VALUE!</v>
      </c>
      <c r="O304" s="249" t="str">
        <f>"PWP-"&amp;B306</f>
        <v>PWP-149</v>
      </c>
      <c r="Q304" s="249" t="str">
        <f>+INDEX(PWP!$A:$Z,MATCH('PWP-Print'!O304,PWP!$B:$B,0),MATCH("Title",PWP!$A$1:$Z$1,0))</f>
        <v>The Mad Cyclone</v>
      </c>
      <c r="S304" t="e" vm="14">
        <f>_xlfn.IMAGE("https://natalie.tf/wp-content/uploads/2023/10/DLV3_Icon_Ability_"&amp;INDEX('PWP-A'!$A$2:$C$31,MATCH('PWP-Print'!T304,'PWP-A'!$B$2:$B$31,0),1)&amp;".png")</f>
        <v>#VALUE!</v>
      </c>
      <c r="T304" s="229" t="str">
        <f>+INDEX(PWP!$A:$Z,MATCH('PWP-Print'!O304,PWP!$B:$B,0),MATCH("PWP Ability 1",PWP!$A$1:$Z$1,0))</f>
        <v>Strength +20%</v>
      </c>
      <c r="U304" s="249" t="str">
        <f>+INDEX(PWP!$A:$Z,MATCH('PWP-Print'!O304,PWP!$B:$B,0),MATCH("Locked PWP Ability 1",PWP!$A$1:$Z$1,0))</f>
        <v>(Wind) Strength +20%</v>
      </c>
    </row>
    <row r="305" spans="1:21" ht="22.5" customHeight="1" x14ac:dyDescent="0.3">
      <c r="C305" s="729"/>
      <c r="D305" s="8"/>
      <c r="E305" s="200" t="str">
        <f>+INDEX(PWP!$A:$Z,MATCH('PWP-Print'!E304,PWP!$B:$B,0),MATCH("ID",PWP!$A$1:$Z$1,0))</f>
        <v>110066_02</v>
      </c>
      <c r="F305" s="8"/>
      <c r="G305" s="249" t="str">
        <f>+INDEX(PWP!$A:$Z,MATCH('PWP-Print'!E304,PWP!$B:$B,0),MATCH("Name",PWP!$A$1:$Z$1,0))</f>
        <v>Summer Norwin</v>
      </c>
      <c r="H305" s="8"/>
      <c r="I305" t="e" vm="696">
        <f>_xlfn.IMAGE("https://natalie.tf/wp-content/uploads/2023/10/DLV3_Icon_Ability_"&amp;INDEX('PWP-A'!$A$2:$C$31,MATCH('PWP-Print'!J305,'PWP-A'!$B$2:$B$31,0),1)&amp;".png")</f>
        <v>#VALUE!</v>
      </c>
      <c r="J305" s="229" t="str">
        <f>+INDEX(PWP!$A:$Z,MATCH('PWP-Print'!E304,PWP!$B:$B,0),MATCH("PWP Ability 2",PWP!$A$1:$Z$1,0))</f>
        <v>Elemental Res +15%</v>
      </c>
      <c r="K305" s="249" t="str">
        <f>+INDEX(PWP!$A:$Z,MATCH('PWP-Print'!E304,PWP!$B:$B,0),MATCH("Locked PWP Ability 2",PWP!$A$1:$Z$1,0))</f>
        <v>(Wind) Elemental Res +15%</v>
      </c>
      <c r="M305" s="729"/>
      <c r="N305" s="8"/>
      <c r="O305" s="200" t="str">
        <f>+INDEX(PWP!$A:$Z,MATCH('PWP-Print'!O304,PWP!$B:$B,0),MATCH("ID",PWP!$A$1:$Z$1,0))</f>
        <v>110285_01</v>
      </c>
      <c r="P305" s="8"/>
      <c r="Q305" s="249" t="str">
        <f>+INDEX(PWP!$A:$Z,MATCH('PWP-Print'!O304,PWP!$B:$B,0),MATCH("Name",PWP!$A$1:$Z$1,0))</f>
        <v>Grimnir</v>
      </c>
      <c r="R305" s="8"/>
      <c r="S305" t="e" vm="330">
        <f>_xlfn.IMAGE("https://natalie.tf/wp-content/uploads/2023/10/DLV3_Icon_Ability_"&amp;INDEX('PWP-A'!$A$2:$C$31,MATCH('PWP-Print'!T305,'PWP-A'!$B$2:$B$31,0),1)&amp;".png")</f>
        <v>#VALUE!</v>
      </c>
      <c r="T305" s="229" t="str">
        <f>+INDEX(PWP!$A:$Z,MATCH('PWP-Print'!O304,PWP!$B:$B,0),MATCH("PWP Ability 2",PWP!$A$1:$Z$1,0))</f>
        <v>Skill Haste +10%</v>
      </c>
      <c r="U305" s="249" t="str">
        <f>+INDEX(PWP!$A:$Z,MATCH('PWP-Print'!O304,PWP!$B:$B,0),MATCH("Locked PWP Ability 2",PWP!$A$1:$Z$1,0))</f>
        <v>(Wind) Skill Haste +10%</v>
      </c>
    </row>
    <row r="306" spans="1:21" ht="22.5" customHeight="1" x14ac:dyDescent="0.3">
      <c r="A306" s="244" t="str">
        <f>TEXT(A302+1,"000")</f>
        <v>136</v>
      </c>
      <c r="B306" s="244" t="str">
        <f>TEXT(B302+1,"000")</f>
        <v>149</v>
      </c>
      <c r="C306" s="729"/>
      <c r="E306" s="251" t="str">
        <f>+INDEX(PWP!$A:$Z,MATCH('PWP-Print'!E304,PWP!$B:$B,0),MATCH("Num",PWP!$A$1:$Z$1,0))</f>
        <v>A-136</v>
      </c>
      <c r="G306" s="249" t="str">
        <f>+INDEX(PWP!$A:$Z,MATCH('PWP-Print'!E304,PWP!$B:$B,0),MATCH("Element",PWP!$A$1:$Z$1,0))&amp;" "&amp;INDEX(PWP!$A:$Z,MATCH('PWP-Print'!E304,PWP!$B:$B,0),MATCH("Type",PWP!$A$1:$Z$1,0))&amp;" Adventurer"</f>
        <v>Wind Dagger Adventurer</v>
      </c>
      <c r="K306" s="250"/>
      <c r="M306" s="729"/>
      <c r="O306" s="251" t="str">
        <f>+INDEX(PWP!$A:$Z,MATCH('PWP-Print'!O304,PWP!$B:$B,0),MATCH("Num",PWP!$A$1:$Z$1,0))</f>
        <v>A-149</v>
      </c>
      <c r="Q306" s="249" t="str">
        <f>+INDEX(PWP!$A:$Z,MATCH('PWP-Print'!O304,PWP!$B:$B,0),MATCH("Element",PWP!$A$1:$Z$1,0))&amp;" "&amp;INDEX(PWP!$A:$Z,MATCH('PWP-Print'!O304,PWP!$B:$B,0),MATCH("Type",PWP!$A$1:$Z$1,0))&amp;" Adventurer"</f>
        <v>Wind Lance Adventurer</v>
      </c>
      <c r="U306" s="250"/>
    </row>
    <row r="307" spans="1:21" ht="7.5" customHeight="1" x14ac:dyDescent="0.3">
      <c r="A307" s="244" t="s">
        <v>10763</v>
      </c>
      <c r="E307" s="250"/>
      <c r="G307" s="250"/>
      <c r="K307" s="250"/>
      <c r="O307" s="250"/>
      <c r="Q307" s="250"/>
      <c r="U307" s="250"/>
    </row>
    <row r="308" spans="1:21" ht="22.5" customHeight="1" x14ac:dyDescent="0.3">
      <c r="C308" s="729" t="e" vm="1181">
        <f>_xlfn.IMAGE("https://natalie.tf/wp-content/uploads/2023/10/DLV3_Icon_ADV_"&amp;E309&amp;"_r05.png")</f>
        <v>#VALUE!</v>
      </c>
      <c r="E308" s="249" t="str">
        <f>"PWP-"&amp;A310</f>
        <v>PWP-137</v>
      </c>
      <c r="G308" s="249" t="str">
        <f>+INDEX(PWP!$A:$Z,MATCH('PWP-Print'!E308,PWP!$B:$B,0),MATCH("Title",PWP!$A$1:$Z$1,0))</f>
        <v>Ninja Bride</v>
      </c>
      <c r="I308" t="e" vm="688">
        <f>_xlfn.IMAGE("https://natalie.tf/wp-content/uploads/2023/10/DLV3_Icon_Ability_"&amp;INDEX('PWP-A'!$A$2:$C$31,MATCH('PWP-Print'!J308,'PWP-A'!$B$2:$B$31,0),1)&amp;".png")</f>
        <v>#VALUE!</v>
      </c>
      <c r="J308" s="229" t="str">
        <f>+INDEX(PWP!$A:$Z,MATCH('PWP-Print'!E308,PWP!$B:$B,0),MATCH("PWP Ability 1",PWP!$A$1:$Z$1,0))</f>
        <v>Overdrive Punisher +15%</v>
      </c>
      <c r="K308" s="249" t="str">
        <f>+INDEX(PWP!$A:$Z,MATCH('PWP-Print'!E308,PWP!$B:$B,0),MATCH("Locked PWP Ability 1",PWP!$A$1:$Z$1,0))</f>
        <v>(Wind) Overdrive Punisher +15%</v>
      </c>
      <c r="M308" s="729" t="e" vm="1182">
        <f>_xlfn.IMAGE("https://natalie.tf/wp-content/uploads/2023/10/DLV3_Icon_ADV_"&amp;O309&amp;"_r05.png")</f>
        <v>#VALUE!</v>
      </c>
      <c r="O308" s="249" t="str">
        <f>"PWP-"&amp;B310</f>
        <v>PWP-150</v>
      </c>
      <c r="Q308" s="249" t="str">
        <f>+INDEX(PWP!$A:$Z,MATCH('PWP-Print'!O308,PWP!$B:$B,0),MATCH("Title",PWP!$A$1:$Z$1,0))</f>
        <v>Spirited Corpse</v>
      </c>
      <c r="S308" t="e" vm="414">
        <f>_xlfn.IMAGE("https://natalie.tf/wp-content/uploads/2023/10/DLV3_Icon_Ability_"&amp;INDEX('PWP-A'!$A$2:$C$31,MATCH('PWP-Print'!T308,'PWP-A'!$B$2:$B$31,0),1)&amp;".png")</f>
        <v>#VALUE!</v>
      </c>
      <c r="T308" s="229" t="str">
        <f>+INDEX(PWP!$A:$Z,MATCH('PWP-Print'!O308,PWP!$B:$B,0),MATCH("PWP Ability 1",PWP!$A$1:$Z$1,0))</f>
        <v>Critical Damage +25%</v>
      </c>
      <c r="U308" s="249" t="str">
        <f>+INDEX(PWP!$A:$Z,MATCH('PWP-Print'!O308,PWP!$B:$B,0),MATCH("Locked PWP Ability 1",PWP!$A$1:$Z$1,0))</f>
        <v>(Wind) Critical Damage +25%</v>
      </c>
    </row>
    <row r="309" spans="1:21" ht="22.5" customHeight="1" x14ac:dyDescent="0.3">
      <c r="C309" s="729"/>
      <c r="D309" s="8"/>
      <c r="E309" s="200" t="str">
        <f>+INDEX(PWP!$A:$Z,MATCH('PWP-Print'!E308,PWP!$B:$B,0),MATCH("ID",PWP!$A$1:$Z$1,0))</f>
        <v>110002_02</v>
      </c>
      <c r="F309" s="8"/>
      <c r="G309" s="249" t="str">
        <f>+INDEX(PWP!$A:$Z,MATCH('PWP-Print'!E308,PWP!$B:$B,0),MATCH("Name",PWP!$A$1:$Z$1,0))</f>
        <v>Wedding Aoi</v>
      </c>
      <c r="H309" s="8"/>
      <c r="I309" t="e" vm="376">
        <f>_xlfn.IMAGE("https://natalie.tf/wp-content/uploads/2023/10/DLV3_Icon_Ability_"&amp;INDEX('PWP-A'!$A$2:$C$31,MATCH('PWP-Print'!J309,'PWP-A'!$B$2:$B$31,0),1)&amp;".png")</f>
        <v>#VALUE!</v>
      </c>
      <c r="J309" s="229" t="str">
        <f>+INDEX(PWP!$A:$Z,MATCH('PWP-Print'!E308,PWP!$B:$B,0),MATCH("PWP Ability 2",PWP!$A$1:$Z$1,0))</f>
        <v>Broken Punisher +30%</v>
      </c>
      <c r="K309" s="249" t="str">
        <f>+INDEX(PWP!$A:$Z,MATCH('PWP-Print'!E308,PWP!$B:$B,0),MATCH("Locked PWP Ability 2",PWP!$A$1:$Z$1,0))</f>
        <v>(Wind) Broken Punisher +30%</v>
      </c>
      <c r="M309" s="729"/>
      <c r="N309" s="8"/>
      <c r="O309" s="200" t="str">
        <f>+INDEX(PWP!$A:$Z,MATCH('PWP-Print'!O308,PWP!$B:$B,0),MATCH("ID",PWP!$A$1:$Z$1,0))</f>
        <v>110270_02</v>
      </c>
      <c r="P309" s="8"/>
      <c r="Q309" s="249" t="str">
        <f>+INDEX(PWP!$A:$Z,MATCH('PWP-Print'!O308,PWP!$B:$B,0),MATCH("Name",PWP!$A$1:$Z$1,0))</f>
        <v>Halloween Melsa</v>
      </c>
      <c r="R309" s="8"/>
      <c r="S309" t="e" vm="496">
        <f>_xlfn.IMAGE("https://natalie.tf/wp-content/uploads/2023/10/DLV3_Icon_Ability_"&amp;INDEX('PWP-A'!$A$2:$C$31,MATCH('PWP-Print'!T309,'PWP-A'!$B$2:$B$31,0),1)&amp;".png")</f>
        <v>#VALUE!</v>
      </c>
      <c r="T309" s="229" t="str">
        <f>+INDEX(PWP!$A:$Z,MATCH('PWP-Print'!O308,PWP!$B:$B,0),MATCH("PWP Ability 2",PWP!$A$1:$Z$1,0))</f>
        <v>HP +15%</v>
      </c>
      <c r="U309" s="249" t="str">
        <f>+INDEX(PWP!$A:$Z,MATCH('PWP-Print'!O308,PWP!$B:$B,0),MATCH("Locked PWP Ability 2",PWP!$A$1:$Z$1,0))</f>
        <v>(Wind) HP +15%</v>
      </c>
    </row>
    <row r="310" spans="1:21" ht="22.5" customHeight="1" x14ac:dyDescent="0.3">
      <c r="A310" s="244" t="str">
        <f>TEXT(A306+1,"000")</f>
        <v>137</v>
      </c>
      <c r="B310" s="244" t="str">
        <f>TEXT(B306+1,"000")</f>
        <v>150</v>
      </c>
      <c r="C310" s="729"/>
      <c r="E310" s="251" t="str">
        <f>+INDEX(PWP!$A:$Z,MATCH('PWP-Print'!E308,PWP!$B:$B,0),MATCH("Num",PWP!$A$1:$Z$1,0))</f>
        <v>A-137</v>
      </c>
      <c r="G310" s="249" t="str">
        <f>+INDEX(PWP!$A:$Z,MATCH('PWP-Print'!E308,PWP!$B:$B,0),MATCH("Element",PWP!$A$1:$Z$1,0))&amp;" "&amp;INDEX(PWP!$A:$Z,MATCH('PWP-Print'!E308,PWP!$B:$B,0),MATCH("Type",PWP!$A$1:$Z$1,0))&amp;" Adventurer"</f>
        <v>Wind Dagger Adventurer</v>
      </c>
      <c r="K310" s="250"/>
      <c r="M310" s="729"/>
      <c r="O310" s="251" t="str">
        <f>+INDEX(PWP!$A:$Z,MATCH('PWP-Print'!O308,PWP!$B:$B,0),MATCH("Num",PWP!$A$1:$Z$1,0))</f>
        <v>A-150</v>
      </c>
      <c r="Q310" s="249" t="str">
        <f>+INDEX(PWP!$A:$Z,MATCH('PWP-Print'!O308,PWP!$B:$B,0),MATCH("Element",PWP!$A$1:$Z$1,0))&amp;" "&amp;INDEX(PWP!$A:$Z,MATCH('PWP-Print'!O308,PWP!$B:$B,0),MATCH("Type",PWP!$A$1:$Z$1,0))&amp;" Adventurer"</f>
        <v>Wind Lance Adventurer</v>
      </c>
      <c r="U310" s="250"/>
    </row>
    <row r="311" spans="1:21" ht="7.5" customHeight="1" x14ac:dyDescent="0.3">
      <c r="A311" s="244" t="s">
        <v>10763</v>
      </c>
      <c r="E311" s="250"/>
      <c r="G311" s="250"/>
      <c r="K311" s="250"/>
    </row>
    <row r="312" spans="1:21" ht="22.5" customHeight="1" x14ac:dyDescent="0.3">
      <c r="C312" s="729" t="e" vm="1183">
        <f>_xlfn.IMAGE("https://natalie.tf/wp-content/uploads/2023/10/DLV3_Icon_ADV_"&amp;E313&amp;"_r05.png")</f>
        <v>#VALUE!</v>
      </c>
      <c r="E312" s="249" t="str">
        <f>"PWP-"&amp;A314</f>
        <v>PWP-138</v>
      </c>
      <c r="G312" s="249" t="str">
        <f>+INDEX(PWP!$A:$Z,MATCH('PWP-Print'!E312,PWP!$B:$B,0),MATCH("Title",PWP!$A$1:$Z$1,0))</f>
        <v>Pyroblossom Artisan</v>
      </c>
      <c r="I312" t="e" vm="688">
        <f>_xlfn.IMAGE("https://natalie.tf/wp-content/uploads/2023/10/DLV3_Icon_Ability_"&amp;INDEX('PWP-A'!$A$2:$C$31,MATCH('PWP-Print'!J312,'PWP-A'!$B$2:$B$31,0),1)&amp;".png")</f>
        <v>#VALUE!</v>
      </c>
      <c r="J312" s="229" t="str">
        <f>+INDEX(PWP!$A:$Z,MATCH('PWP-Print'!E312,PWP!$B:$B,0),MATCH("PWP Ability 1",PWP!$A$1:$Z$1,0))</f>
        <v>Overdrive Punisher +15%</v>
      </c>
      <c r="K312" s="249" t="str">
        <f>+INDEX(PWP!$A:$Z,MATCH('PWP-Print'!E312,PWP!$B:$B,0),MATCH("Locked PWP Ability 1",PWP!$A$1:$Z$1,0))</f>
        <v>(Wind) Overdrive Punisher +15%</v>
      </c>
      <c r="M312" s="729"/>
      <c r="O312" s="221"/>
      <c r="Q312" s="221"/>
      <c r="U312" s="221"/>
    </row>
    <row r="313" spans="1:21" ht="22.5" customHeight="1" x14ac:dyDescent="0.3">
      <c r="C313" s="729"/>
      <c r="D313" s="8"/>
      <c r="E313" s="200" t="str">
        <f>+INDEX(PWP!$A:$Z,MATCH('PWP-Print'!E312,PWP!$B:$B,0),MATCH("ID",PWP!$A$1:$Z$1,0))</f>
        <v>110314_01</v>
      </c>
      <c r="F313" s="8"/>
      <c r="G313" s="249" t="str">
        <f>+INDEX(PWP!$A:$Z,MATCH('PWP-Print'!E312,PWP!$B:$B,0),MATCH("Name",PWP!$A$1:$Z$1,0))</f>
        <v>Su Fang</v>
      </c>
      <c r="H313" s="8"/>
      <c r="I313" t="e" vm="1045">
        <f>_xlfn.IMAGE("https://natalie.tf/wp-content/uploads/2023/10/DLV3_Icon_Ability_"&amp;INDEX('PWP-A'!$A$2:$C$31,MATCH('PWP-Print'!J313,'PWP-A'!$B$2:$B$31,0),1)&amp;".png")</f>
        <v>#VALUE!</v>
      </c>
      <c r="J313" s="229" t="str">
        <f>+INDEX(PWP!$A:$Z,MATCH('PWP-Print'!E312,PWP!$B:$B,0),MATCH("PWP Ability 2",PWP!$A$1:$Z$1,0))</f>
        <v>Attack Rate +20%</v>
      </c>
      <c r="K313" s="249" t="str">
        <f>+INDEX(PWP!$A:$Z,MATCH('PWP-Print'!E312,PWP!$B:$B,0),MATCH("Locked PWP Ability 2",PWP!$A$1:$Z$1,0))</f>
        <v>(Wind) Attack Rate +20%</v>
      </c>
      <c r="M313" s="729"/>
      <c r="N313" s="8"/>
      <c r="O313" s="221"/>
      <c r="P313" s="8"/>
      <c r="Q313" s="221"/>
      <c r="R313" s="8"/>
      <c r="S313" s="8"/>
      <c r="T313" s="8"/>
      <c r="U313" s="221"/>
    </row>
    <row r="314" spans="1:21" ht="22.5" customHeight="1" x14ac:dyDescent="0.3">
      <c r="A314" s="244" t="str">
        <f>TEXT(A310+1,"000")</f>
        <v>138</v>
      </c>
      <c r="C314" s="729"/>
      <c r="E314" s="251" t="str">
        <f>+INDEX(PWP!$A:$Z,MATCH('PWP-Print'!E312,PWP!$B:$B,0),MATCH("Num",PWP!$A$1:$Z$1,0))</f>
        <v>A-138</v>
      </c>
      <c r="G314" s="249" t="str">
        <f>+INDEX(PWP!$A:$Z,MATCH('PWP-Print'!E312,PWP!$B:$B,0),MATCH("Element",PWP!$A$1:$Z$1,0))&amp;" "&amp;INDEX(PWP!$A:$Z,MATCH('PWP-Print'!E312,PWP!$B:$B,0),MATCH("Type",PWP!$A$1:$Z$1,0))&amp;" Adventurer"</f>
        <v>Wind Dagger Adventurer</v>
      </c>
      <c r="K314" s="250"/>
      <c r="M314" s="729"/>
      <c r="O314" s="221"/>
      <c r="Q314" s="221"/>
      <c r="U314" s="222"/>
    </row>
    <row r="315" spans="1:21" ht="37.5" customHeight="1" x14ac:dyDescent="0.2"/>
    <row r="316" spans="1:21" ht="22.5" customHeight="1" x14ac:dyDescent="0.3">
      <c r="C316" s="729" t="e" vm="1184">
        <f>_xlfn.IMAGE("https://natalie.tf/wp-content/uploads/2023/10/DLV3_Icon_ADV_"&amp;E317&amp;"_r05.png")</f>
        <v>#VALUE!</v>
      </c>
      <c r="E316" s="249" t="str">
        <f>"PWP-"&amp;A318</f>
        <v>PWP-151</v>
      </c>
      <c r="G316" s="249" t="str">
        <f>+INDEX(PWP!$A:$Z,MATCH('PWP-Print'!E316,PWP!$B:$B,0),MATCH("Title",PWP!$A$1:$Z$1,0))</f>
        <v>Rebellious Commander</v>
      </c>
      <c r="I316" t="e" vm="1045">
        <f>_xlfn.IMAGE("https://natalie.tf/wp-content/uploads/2023/10/DLV3_Icon_Ability_"&amp;INDEX('PWP-A'!$A$2:$C$31,MATCH('PWP-Print'!J316,'PWP-A'!$B$2:$B$31,0),1)&amp;".png")</f>
        <v>#VALUE!</v>
      </c>
      <c r="J316" s="229" t="str">
        <f>+INDEX(PWP!$A:$Z,MATCH('PWP-Print'!E316,PWP!$B:$B,0),MATCH("PWP Ability 1",PWP!$A$1:$Z$1,0))</f>
        <v>Attack Rate +20%</v>
      </c>
      <c r="K316" s="249" t="str">
        <f>+INDEX(PWP!$A:$Z,MATCH('PWP-Print'!E316,PWP!$B:$B,0),MATCH("Locked PWP Ability 1",PWP!$A$1:$Z$1,0))</f>
        <v>(Wind) Attack Rate +20%</v>
      </c>
      <c r="M316" s="729" t="e" vm="1185">
        <f>_xlfn.IMAGE("https://natalie.tf/wp-content/uploads/2023/10/DLV3_Icon_ADV_"&amp;O317&amp;"_r05.png")</f>
        <v>#VALUE!</v>
      </c>
      <c r="O316" s="249" t="str">
        <f>"PWP-"&amp;B318</f>
        <v>PWP-164</v>
      </c>
      <c r="Q316" s="249" t="str">
        <f>+INDEX(PWP!$A:$Z,MATCH('PWP-Print'!O316,PWP!$B:$B,0),MATCH("Title",PWP!$A$1:$Z$1,0))</f>
        <v>Secret Admirer</v>
      </c>
      <c r="S316" t="e" vm="414">
        <f>_xlfn.IMAGE("https://natalie.tf/wp-content/uploads/2023/10/DLV3_Icon_Ability_"&amp;INDEX('PWP-A'!$A$2:$C$31,MATCH('PWP-Print'!T316,'PWP-A'!$B$2:$B$31,0),1)&amp;".png")</f>
        <v>#VALUE!</v>
      </c>
      <c r="T316" s="229" t="str">
        <f>+INDEX(PWP!$A:$Z,MATCH('PWP-Print'!O316,PWP!$B:$B,0),MATCH("PWP Ability 1",PWP!$A$1:$Z$1,0))</f>
        <v>Critical Damage +25%</v>
      </c>
      <c r="U316" s="249" t="str">
        <f>+INDEX(PWP!$A:$Z,MATCH('PWP-Print'!O316,PWP!$B:$B,0),MATCH("Locked PWP Ability 1",PWP!$A$1:$Z$1,0))</f>
        <v>(Wind) Critical Damage +25%</v>
      </c>
    </row>
    <row r="317" spans="1:21" ht="22.5" customHeight="1" x14ac:dyDescent="0.3">
      <c r="C317" s="729"/>
      <c r="D317" s="8"/>
      <c r="E317" s="200" t="str">
        <f>+INDEX(PWP!$A:$Z,MATCH('PWP-Print'!E316,PWP!$B:$B,0),MATCH("ID",PWP!$A$1:$Z$1,0))</f>
        <v>110353_01</v>
      </c>
      <c r="F317" s="8"/>
      <c r="G317" s="249" t="str">
        <f>+INDEX(PWP!$A:$Z,MATCH('PWP-Print'!E316,PWP!$B:$B,0),MATCH("Name",PWP!$A$1:$Z$1,0))</f>
        <v>Kirsty</v>
      </c>
      <c r="H317" s="8"/>
      <c r="I317" t="e" vm="376">
        <f>_xlfn.IMAGE("https://natalie.tf/wp-content/uploads/2023/10/DLV3_Icon_Ability_"&amp;INDEX('PWP-A'!$A$2:$C$31,MATCH('PWP-Print'!J317,'PWP-A'!$B$2:$B$31,0),1)&amp;".png")</f>
        <v>#VALUE!</v>
      </c>
      <c r="J317" s="229" t="str">
        <f>+INDEX(PWP!$A:$Z,MATCH('PWP-Print'!E316,PWP!$B:$B,0),MATCH("PWP Ability 2",PWP!$A$1:$Z$1,0))</f>
        <v>Broken Punisher +30%</v>
      </c>
      <c r="K317" s="249" t="str">
        <f>+INDEX(PWP!$A:$Z,MATCH('PWP-Print'!E316,PWP!$B:$B,0),MATCH("Locked PWP Ability 2",PWP!$A$1:$Z$1,0))</f>
        <v>(Wind) Broken Punisher +30%</v>
      </c>
      <c r="M317" s="729"/>
      <c r="N317" s="8"/>
      <c r="O317" s="200" t="str">
        <f>+INDEX(PWP!$A:$Z,MATCH('PWP-Print'!O316,PWP!$B:$B,0),MATCH("ID",PWP!$A$1:$Z$1,0))</f>
        <v>110386_01</v>
      </c>
      <c r="P317" s="8"/>
      <c r="Q317" s="249" t="str">
        <f>+INDEX(PWP!$A:$Z,MATCH('PWP-Print'!O316,PWP!$B:$B,0),MATCH("Name",PWP!$A$1:$Z$1,0))</f>
        <v>Myriam</v>
      </c>
      <c r="R317" s="8"/>
      <c r="S317" t="e" vm="1045">
        <f>_xlfn.IMAGE("https://natalie.tf/wp-content/uploads/2023/10/DLV3_Icon_Ability_"&amp;INDEX('PWP-A'!$A$2:$C$31,MATCH('PWP-Print'!T317,'PWP-A'!$B$2:$B$31,0),1)&amp;".png")</f>
        <v>#VALUE!</v>
      </c>
      <c r="T317" s="229" t="str">
        <f>+INDEX(PWP!$A:$Z,MATCH('PWP-Print'!O316,PWP!$B:$B,0),MATCH("PWP Ability 2",PWP!$A$1:$Z$1,0))</f>
        <v>Attack Rate +20%</v>
      </c>
      <c r="U317" s="249" t="str">
        <f>+INDEX(PWP!$A:$Z,MATCH('PWP-Print'!O316,PWP!$B:$B,0),MATCH("Locked PWP Ability 2",PWP!$A$1:$Z$1,0))</f>
        <v>(Wind) Attack Rate +20%</v>
      </c>
    </row>
    <row r="318" spans="1:21" ht="22.5" customHeight="1" x14ac:dyDescent="0.3">
      <c r="A318" s="242" t="str">
        <f>TEXT(B310+1,"000")</f>
        <v>151</v>
      </c>
      <c r="B318" s="244" t="str">
        <f>TEXT(A366+1,"000")</f>
        <v>164</v>
      </c>
      <c r="C318" s="729"/>
      <c r="E318" s="251" t="str">
        <f>+INDEX(PWP!$A:$Z,MATCH('PWP-Print'!E316,PWP!$B:$B,0),MATCH("Num",PWP!$A$1:$Z$1,0))</f>
        <v>A-151</v>
      </c>
      <c r="G318" s="249" t="str">
        <f>+INDEX(PWP!$A:$Z,MATCH('PWP-Print'!E316,PWP!$B:$B,0),MATCH("Element",PWP!$A$1:$Z$1,0))&amp;" "&amp;INDEX(PWP!$A:$Z,MATCH('PWP-Print'!E316,PWP!$B:$B,0),MATCH("Type",PWP!$A$1:$Z$1,0))&amp;" Adventurer"</f>
        <v>Wind Lance Adventurer</v>
      </c>
      <c r="K318" s="250"/>
      <c r="M318" s="729"/>
      <c r="O318" s="251" t="str">
        <f>+INDEX(PWP!$A:$Z,MATCH('PWP-Print'!O316,PWP!$B:$B,0),MATCH("Num",PWP!$A$1:$Z$1,0))</f>
        <v>A-164</v>
      </c>
      <c r="Q318" s="249" t="str">
        <f>+INDEX(PWP!$A:$Z,MATCH('PWP-Print'!O316,PWP!$B:$B,0),MATCH("Element",PWP!$A$1:$Z$1,0))&amp;" "&amp;INDEX(PWP!$A:$Z,MATCH('PWP-Print'!O316,PWP!$B:$B,0),MATCH("Type",PWP!$A$1:$Z$1,0))&amp;" Adventurer"</f>
        <v>Wind Wand Adventurer</v>
      </c>
      <c r="U318" s="250"/>
    </row>
    <row r="319" spans="1:21" ht="7.5" customHeight="1" x14ac:dyDescent="0.3">
      <c r="A319" s="244" t="s">
        <v>10763</v>
      </c>
      <c r="E319" s="250"/>
      <c r="G319" s="250"/>
      <c r="K319" s="250"/>
      <c r="O319" s="250"/>
      <c r="Q319" s="250"/>
      <c r="U319" s="250"/>
    </row>
    <row r="320" spans="1:21" ht="22.5" customHeight="1" x14ac:dyDescent="0.3">
      <c r="C320" s="729" t="e" vm="1186">
        <f>_xlfn.IMAGE("https://natalie.tf/wp-content/uploads/2023/10/DLV3_Icon_ADV_"&amp;E321&amp;"_r05.png")</f>
        <v>#VALUE!</v>
      </c>
      <c r="E320" s="249" t="str">
        <f>"PWP-"&amp;A322</f>
        <v>PWP-152</v>
      </c>
      <c r="G320" s="249" t="str">
        <f>+INDEX(PWP!$A:$Z,MATCH('PWP-Print'!E320,PWP!$B:$B,0),MATCH("Title",PWP!$A$1:$Z$1,0))</f>
        <v>Adept Aromatherapist</v>
      </c>
      <c r="I320" t="e" vm="426">
        <f>_xlfn.IMAGE("https://natalie.tf/wp-content/uploads/2023/10/DLV3_Icon_Ability_"&amp;INDEX('PWP-A'!$A$2:$C$31,MATCH('PWP-Print'!J320,'PWP-A'!$B$2:$B$31,0),1)&amp;".png")</f>
        <v>#VALUE!</v>
      </c>
      <c r="J320" s="229" t="str">
        <f>+INDEX(PWP!$A:$Z,MATCH('PWP-Print'!E320,PWP!$B:$B,0),MATCH("PWP Ability 1",PWP!$A$1:$Z$1,0))</f>
        <v>Defense +20%</v>
      </c>
      <c r="K320" s="249" t="str">
        <f>+INDEX(PWP!$A:$Z,MATCH('PWP-Print'!E320,PWP!$B:$B,0),MATCH("Locked PWP Ability 1",PWP!$A$1:$Z$1,0))</f>
        <v>(Wind) Defense +20%</v>
      </c>
      <c r="M320" s="729" t="e" vm="1187">
        <f>_xlfn.IMAGE("https://natalie.tf/wp-content/uploads/2023/10/DLV3_Icon_ADV_"&amp;O321&amp;"_r05.png")</f>
        <v>#VALUE!</v>
      </c>
      <c r="O320" s="249" t="str">
        <f>"PWP-"&amp;B322</f>
        <v>PWP-165</v>
      </c>
      <c r="Q320" s="249" t="str">
        <f>+INDEX(PWP!$A:$Z,MATCH('PWP-Print'!O320,PWP!$B:$B,0),MATCH("Title",PWP!$A$1:$Z$1,0))</f>
        <v>Seaside Scholar</v>
      </c>
      <c r="S320" t="e" vm="688">
        <f>_xlfn.IMAGE("https://natalie.tf/wp-content/uploads/2023/10/DLV3_Icon_Ability_"&amp;INDEX('PWP-A'!$A$2:$C$31,MATCH('PWP-Print'!T320,'PWP-A'!$B$2:$B$31,0),1)&amp;".png")</f>
        <v>#VALUE!</v>
      </c>
      <c r="T320" s="229" t="str">
        <f>+INDEX(PWP!$A:$Z,MATCH('PWP-Print'!O320,PWP!$B:$B,0),MATCH("PWP Ability 1",PWP!$A$1:$Z$1,0))</f>
        <v>Overdrive Punisher +15%</v>
      </c>
      <c r="U320" s="249" t="str">
        <f>+INDEX(PWP!$A:$Z,MATCH('PWP-Print'!O320,PWP!$B:$B,0),MATCH("Locked PWP Ability 1",PWP!$A$1:$Z$1,0))</f>
        <v>(Wind) Overdrive Punisher +15%</v>
      </c>
    </row>
    <row r="321" spans="1:21" ht="22.5" customHeight="1" x14ac:dyDescent="0.3">
      <c r="C321" s="729"/>
      <c r="D321" s="8"/>
      <c r="E321" s="200" t="str">
        <f>+INDEX(PWP!$A:$Z,MATCH('PWP-Print'!E320,PWP!$B:$B,0),MATCH("ID",PWP!$A$1:$Z$1,0))</f>
        <v>110318_01</v>
      </c>
      <c r="F321" s="8"/>
      <c r="G321" s="249" t="str">
        <f>+INDEX(PWP!$A:$Z,MATCH('PWP-Print'!E320,PWP!$B:$B,0),MATCH("Name",PWP!$A$1:$Z$1,0))</f>
        <v>Sylas</v>
      </c>
      <c r="H321" s="8"/>
      <c r="I321" t="e" vm="696">
        <f>_xlfn.IMAGE("https://natalie.tf/wp-content/uploads/2023/10/DLV3_Icon_Ability_"&amp;INDEX('PWP-A'!$A$2:$C$31,MATCH('PWP-Print'!J321,'PWP-A'!$B$2:$B$31,0),1)&amp;".png")</f>
        <v>#VALUE!</v>
      </c>
      <c r="J321" s="229" t="str">
        <f>+INDEX(PWP!$A:$Z,MATCH('PWP-Print'!E320,PWP!$B:$B,0),MATCH("PWP Ability 2",PWP!$A$1:$Z$1,0))</f>
        <v>Elemental Res +15%</v>
      </c>
      <c r="K321" s="249" t="str">
        <f>+INDEX(PWP!$A:$Z,MATCH('PWP-Print'!E320,PWP!$B:$B,0),MATCH("Locked PWP Ability 2",PWP!$A$1:$Z$1,0))</f>
        <v>(Wind) Elemental Res +15%</v>
      </c>
      <c r="M321" s="729"/>
      <c r="N321" s="8"/>
      <c r="O321" s="200" t="str">
        <f>+INDEX(PWP!$A:$Z,MATCH('PWP-Print'!O320,PWP!$B:$B,0),MATCH("ID",PWP!$A$1:$Z$1,0))</f>
        <v>110009_02</v>
      </c>
      <c r="P321" s="8"/>
      <c r="Q321" s="249" t="str">
        <f>+INDEX(PWP!$A:$Z,MATCH('PWP-Print'!O320,PWP!$B:$B,0),MATCH("Name",PWP!$A$1:$Z$1,0))</f>
        <v>Summer Sinoa</v>
      </c>
      <c r="R321" s="8"/>
      <c r="S321" t="e" vm="696">
        <f>_xlfn.IMAGE("https://natalie.tf/wp-content/uploads/2023/10/DLV3_Icon_Ability_"&amp;INDEX('PWP-A'!$A$2:$C$31,MATCH('PWP-Print'!T321,'PWP-A'!$B$2:$B$31,0),1)&amp;".png")</f>
        <v>#VALUE!</v>
      </c>
      <c r="T321" s="229" t="str">
        <f>+INDEX(PWP!$A:$Z,MATCH('PWP-Print'!O320,PWP!$B:$B,0),MATCH("PWP Ability 2",PWP!$A$1:$Z$1,0))</f>
        <v>Elemental Res +15%</v>
      </c>
      <c r="U321" s="249" t="str">
        <f>+INDEX(PWP!$A:$Z,MATCH('PWP-Print'!O320,PWP!$B:$B,0),MATCH("Locked PWP Ability 2",PWP!$A$1:$Z$1,0))</f>
        <v>(Wind) Elemental Res +15%</v>
      </c>
    </row>
    <row r="322" spans="1:21" ht="22.5" customHeight="1" x14ac:dyDescent="0.3">
      <c r="A322" s="244" t="str">
        <f>TEXT(A318+1,"000")</f>
        <v>152</v>
      </c>
      <c r="B322" s="244" t="str">
        <f>TEXT(B318+1,"000")</f>
        <v>165</v>
      </c>
      <c r="C322" s="729"/>
      <c r="E322" s="251" t="str">
        <f>+INDEX(PWP!$A:$Z,MATCH('PWP-Print'!E320,PWP!$B:$B,0),MATCH("Num",PWP!$A$1:$Z$1,0))</f>
        <v>A-152</v>
      </c>
      <c r="G322" s="249" t="str">
        <f>+INDEX(PWP!$A:$Z,MATCH('PWP-Print'!E320,PWP!$B:$B,0),MATCH("Element",PWP!$A$1:$Z$1,0))&amp;" "&amp;INDEX(PWP!$A:$Z,MATCH('PWP-Print'!E320,PWP!$B:$B,0),MATCH("Type",PWP!$A$1:$Z$1,0))&amp;" Adventurer"</f>
        <v>Wind Lance Adventurer</v>
      </c>
      <c r="K322" s="250"/>
      <c r="M322" s="729"/>
      <c r="O322" s="251" t="str">
        <f>+INDEX(PWP!$A:$Z,MATCH('PWP-Print'!O320,PWP!$B:$B,0),MATCH("Num",PWP!$A$1:$Z$1,0))</f>
        <v>A-165</v>
      </c>
      <c r="Q322" s="249" t="str">
        <f>+INDEX(PWP!$A:$Z,MATCH('PWP-Print'!O320,PWP!$B:$B,0),MATCH("Element",PWP!$A$1:$Z$1,0))&amp;" "&amp;INDEX(PWP!$A:$Z,MATCH('PWP-Print'!O320,PWP!$B:$B,0),MATCH("Type",PWP!$A$1:$Z$1,0))&amp;" Adventurer"</f>
        <v>Wind Wand Adventurer</v>
      </c>
      <c r="U322" s="250"/>
    </row>
    <row r="323" spans="1:21" ht="7.5" customHeight="1" x14ac:dyDescent="0.3">
      <c r="A323" s="244" t="s">
        <v>10763</v>
      </c>
      <c r="E323" s="250"/>
      <c r="G323" s="250"/>
      <c r="K323" s="250"/>
      <c r="O323" s="250"/>
      <c r="Q323" s="250"/>
      <c r="U323" s="250"/>
    </row>
    <row r="324" spans="1:21" ht="22.5" customHeight="1" x14ac:dyDescent="0.3">
      <c r="C324" s="729" t="e" vm="1188">
        <f>_xlfn.IMAGE("https://natalie.tf/wp-content/uploads/2023/10/DLV3_Icon_ADV_"&amp;E325&amp;"_r05.png")</f>
        <v>#VALUE!</v>
      </c>
      <c r="E324" s="249" t="str">
        <f>"PWP-"&amp;A326</f>
        <v>PWP-153</v>
      </c>
      <c r="G324" s="249" t="str">
        <f>+INDEX(PWP!$A:$Z,MATCH('PWP-Print'!E324,PWP!$B:$B,0),MATCH("Title",PWP!$A$1:$Z$1,0))</f>
        <v>Budding Vocalist</v>
      </c>
      <c r="I324" t="e" vm="414">
        <f>_xlfn.IMAGE("https://natalie.tf/wp-content/uploads/2023/10/DLV3_Icon_Ability_"&amp;INDEX('PWP-A'!$A$2:$C$31,MATCH('PWP-Print'!J324,'PWP-A'!$B$2:$B$31,0),1)&amp;".png")</f>
        <v>#VALUE!</v>
      </c>
      <c r="J324" s="229" t="str">
        <f>+INDEX(PWP!$A:$Z,MATCH('PWP-Print'!E324,PWP!$B:$B,0),MATCH("PWP Ability 1",PWP!$A$1:$Z$1,0))</f>
        <v>Critical Damage +25%</v>
      </c>
      <c r="K324" s="249" t="str">
        <f>+INDEX(PWP!$A:$Z,MATCH('PWP-Print'!E324,PWP!$B:$B,0),MATCH("Locked PWP Ability 1",PWP!$A$1:$Z$1,0))</f>
        <v>(Wind) Critical Damage +25%</v>
      </c>
      <c r="M324" s="729" t="e" vm="1189">
        <f>_xlfn.IMAGE("https://natalie.tf/wp-content/uploads/2023/10/DLV3_Icon_ADV_"&amp;O325&amp;"_r05.png")</f>
        <v>#VALUE!</v>
      </c>
      <c r="O324" s="249" t="str">
        <f>"PWP-"&amp;B326</f>
        <v>PWP-166</v>
      </c>
      <c r="Q324" s="249" t="str">
        <f>+INDEX(PWP!$A:$Z,MATCH('PWP-Print'!O324,PWP!$B:$B,0),MATCH("Title",PWP!$A$1:$Z$1,0))</f>
        <v>Child of the Forest</v>
      </c>
      <c r="S324" t="e" vm="330">
        <f>_xlfn.IMAGE("https://natalie.tf/wp-content/uploads/2023/10/DLV3_Icon_Ability_"&amp;INDEX('PWP-A'!$A$2:$C$31,MATCH('PWP-Print'!T324,'PWP-A'!$B$2:$B$31,0),1)&amp;".png")</f>
        <v>#VALUE!</v>
      </c>
      <c r="T324" s="229" t="str">
        <f>+INDEX(PWP!$A:$Z,MATCH('PWP-Print'!O324,PWP!$B:$B,0),MATCH("PWP Ability 1",PWP!$A$1:$Z$1,0))</f>
        <v>Skill Haste +10%</v>
      </c>
      <c r="U324" s="249" t="str">
        <f>+INDEX(PWP!$A:$Z,MATCH('PWP-Print'!O324,PWP!$B:$B,0),MATCH("Locked PWP Ability 1",PWP!$A$1:$Z$1,0))</f>
        <v>(Wind) Skill Haste +10%</v>
      </c>
    </row>
    <row r="325" spans="1:21" ht="22.5" customHeight="1" x14ac:dyDescent="0.3">
      <c r="C325" s="729"/>
      <c r="D325" s="8"/>
      <c r="E325" s="200" t="str">
        <f>+INDEX(PWP!$A:$Z,MATCH('PWP-Print'!E324,PWP!$B:$B,0),MATCH("ID",PWP!$A$1:$Z$1,0))</f>
        <v>110302_01</v>
      </c>
      <c r="F325" s="8"/>
      <c r="G325" s="249" t="str">
        <f>+INDEX(PWP!$A:$Z,MATCH('PWP-Print'!E324,PWP!$B:$B,0),MATCH("Name",PWP!$A$1:$Z$1,0))</f>
        <v>Pia</v>
      </c>
      <c r="H325" s="8"/>
      <c r="I325" t="e" vm="426">
        <f>_xlfn.IMAGE("https://natalie.tf/wp-content/uploads/2023/10/DLV3_Icon_Ability_"&amp;INDEX('PWP-A'!$A$2:$C$31,MATCH('PWP-Print'!J325,'PWP-A'!$B$2:$B$31,0),1)&amp;".png")</f>
        <v>#VALUE!</v>
      </c>
      <c r="J325" s="229" t="str">
        <f>+INDEX(PWP!$A:$Z,MATCH('PWP-Print'!E324,PWP!$B:$B,0),MATCH("PWP Ability 2",PWP!$A$1:$Z$1,0))</f>
        <v>Defense +20%</v>
      </c>
      <c r="K325" s="249" t="str">
        <f>+INDEX(PWP!$A:$Z,MATCH('PWP-Print'!E324,PWP!$B:$B,0),MATCH("Locked PWP Ability 2",PWP!$A$1:$Z$1,0))</f>
        <v>(Wind) Defense +20%</v>
      </c>
      <c r="M325" s="729"/>
      <c r="N325" s="8"/>
      <c r="O325" s="200" t="str">
        <f>+INDEX(PWP!$A:$Z,MATCH('PWP-Print'!O324,PWP!$B:$B,0),MATCH("ID",PWP!$A$1:$Z$1,0))</f>
        <v>110032_01</v>
      </c>
      <c r="P325" s="8"/>
      <c r="Q325" s="249" t="str">
        <f>+INDEX(PWP!$A:$Z,MATCH('PWP-Print'!O324,PWP!$B:$B,0),MATCH("Name",PWP!$A$1:$Z$1,0))</f>
        <v>Maribelle</v>
      </c>
      <c r="R325" s="8"/>
      <c r="S325" t="e" vm="426">
        <f>_xlfn.IMAGE("https://natalie.tf/wp-content/uploads/2023/10/DLV3_Icon_Ability_"&amp;INDEX('PWP-A'!$A$2:$C$31,MATCH('PWP-Print'!T325,'PWP-A'!$B$2:$B$31,0),1)&amp;".png")</f>
        <v>#VALUE!</v>
      </c>
      <c r="T325" s="229" t="str">
        <f>+INDEX(PWP!$A:$Z,MATCH('PWP-Print'!O324,PWP!$B:$B,0),MATCH("PWP Ability 2",PWP!$A$1:$Z$1,0))</f>
        <v>Defense +20%</v>
      </c>
      <c r="U325" s="249" t="str">
        <f>+INDEX(PWP!$A:$Z,MATCH('PWP-Print'!O324,PWP!$B:$B,0),MATCH("Locked PWP Ability 2",PWP!$A$1:$Z$1,0))</f>
        <v>(Wind) Defense +20%</v>
      </c>
    </row>
    <row r="326" spans="1:21" ht="22.5" customHeight="1" x14ac:dyDescent="0.3">
      <c r="A326" s="244" t="str">
        <f>TEXT(A322+1,"000")</f>
        <v>153</v>
      </c>
      <c r="B326" s="244" t="str">
        <f>TEXT(B322+1,"000")</f>
        <v>166</v>
      </c>
      <c r="C326" s="729"/>
      <c r="E326" s="251" t="str">
        <f>+INDEX(PWP!$A:$Z,MATCH('PWP-Print'!E324,PWP!$B:$B,0),MATCH("Num",PWP!$A$1:$Z$1,0))</f>
        <v>A-153</v>
      </c>
      <c r="G326" s="249" t="str">
        <f>+INDEX(PWP!$A:$Z,MATCH('PWP-Print'!E324,PWP!$B:$B,0),MATCH("Element",PWP!$A$1:$Z$1,0))&amp;" "&amp;INDEX(PWP!$A:$Z,MATCH('PWP-Print'!E324,PWP!$B:$B,0),MATCH("Type",PWP!$A$1:$Z$1,0))&amp;" Adventurer"</f>
        <v>Wind Lance Adventurer</v>
      </c>
      <c r="K326" s="250"/>
      <c r="M326" s="729"/>
      <c r="O326" s="251" t="str">
        <f>+INDEX(PWP!$A:$Z,MATCH('PWP-Print'!O324,PWP!$B:$B,0),MATCH("Num",PWP!$A$1:$Z$1,0))</f>
        <v>A-166</v>
      </c>
      <c r="Q326" s="249" t="str">
        <f>+INDEX(PWP!$A:$Z,MATCH('PWP-Print'!O324,PWP!$B:$B,0),MATCH("Element",PWP!$A$1:$Z$1,0))&amp;" "&amp;INDEX(PWP!$A:$Z,MATCH('PWP-Print'!O324,PWP!$B:$B,0),MATCH("Type",PWP!$A$1:$Z$1,0))&amp;" Adventurer"</f>
        <v>Wind Wand Adventurer</v>
      </c>
      <c r="U326" s="250"/>
    </row>
    <row r="327" spans="1:21" ht="7.5" customHeight="1" x14ac:dyDescent="0.3">
      <c r="A327" s="244" t="s">
        <v>10763</v>
      </c>
      <c r="E327" s="250"/>
      <c r="G327" s="250"/>
      <c r="K327" s="250"/>
      <c r="O327" s="250"/>
      <c r="Q327" s="250"/>
      <c r="U327" s="250"/>
    </row>
    <row r="328" spans="1:21" ht="22.5" customHeight="1" x14ac:dyDescent="0.3">
      <c r="C328" s="729" t="e" vm="1190">
        <f>_xlfn.IMAGE("https://natalie.tf/wp-content/uploads/2023/10/DLV3_Icon_ADV_"&amp;E329&amp;"_r05.png")</f>
        <v>#VALUE!</v>
      </c>
      <c r="E328" s="249" t="str">
        <f>"PWP-"&amp;A330</f>
        <v>PWP-154</v>
      </c>
      <c r="G328" s="249" t="str">
        <f>+INDEX(PWP!$A:$Z,MATCH('PWP-Print'!E328,PWP!$B:$B,0),MATCH("Title",PWP!$A$1:$Z$1,0))</f>
        <v>Mercurial Lancer</v>
      </c>
      <c r="I328" t="e" vm="326">
        <f>_xlfn.IMAGE("https://natalie.tf/wp-content/uploads/2023/10/DLV3_Icon_Ability_"&amp;INDEX('PWP-A'!$A$2:$C$31,MATCH('PWP-Print'!J328,'PWP-A'!$B$2:$B$31,0),1)&amp;".png")</f>
        <v>#VALUE!</v>
      </c>
      <c r="J328" s="229" t="str">
        <f>+INDEX(PWP!$A:$Z,MATCH('PWP-Print'!E328,PWP!$B:$B,0),MATCH("PWP Ability 1",PWP!$A$1:$Z$1,0))</f>
        <v>Critical Rate +15%</v>
      </c>
      <c r="K328" s="249" t="str">
        <f>+INDEX(PWP!$A:$Z,MATCH('PWP-Print'!E328,PWP!$B:$B,0),MATCH("Locked PWP Ability 1",PWP!$A$1:$Z$1,0))</f>
        <v>(Wind) Critical Rate +15%</v>
      </c>
      <c r="M328" s="729" t="e" vm="1191">
        <f>_xlfn.IMAGE("https://natalie.tf/wp-content/uploads/2023/10/DLV3_Icon_ADV_"&amp;O329&amp;"_r05.png")</f>
        <v>#VALUE!</v>
      </c>
      <c r="O328" s="249" t="str">
        <f>"PWP-"&amp;B330</f>
        <v>PWP-167</v>
      </c>
      <c r="Q328" s="249" t="str">
        <f>+INDEX(PWP!$A:$Z,MATCH('PWP-Print'!O328,PWP!$B:$B,0),MATCH("Title",PWP!$A$1:$Z$1,0))</f>
        <v>Saint's Aegis</v>
      </c>
      <c r="S328" t="e" vm="14">
        <f>_xlfn.IMAGE("https://natalie.tf/wp-content/uploads/2023/10/DLV3_Icon_Ability_"&amp;INDEX('PWP-A'!$A$2:$C$31,MATCH('PWP-Print'!T328,'PWP-A'!$B$2:$B$31,0),1)&amp;".png")</f>
        <v>#VALUE!</v>
      </c>
      <c r="T328" s="229" t="str">
        <f>+INDEX(PWP!$A:$Z,MATCH('PWP-Print'!O328,PWP!$B:$B,0),MATCH("PWP Ability 1",PWP!$A$1:$Z$1,0))</f>
        <v>Skill Damage +40%</v>
      </c>
      <c r="U328" s="249" t="str">
        <f>+INDEX(PWP!$A:$Z,MATCH('PWP-Print'!O328,PWP!$B:$B,0),MATCH("Locked PWP Ability 1",PWP!$A$1:$Z$1,0))</f>
        <v>(Wind) Skill Damage +40%</v>
      </c>
    </row>
    <row r="329" spans="1:21" ht="22.5" customHeight="1" x14ac:dyDescent="0.3">
      <c r="C329" s="729"/>
      <c r="D329" s="8"/>
      <c r="E329" s="200" t="str">
        <f>+INDEX(PWP!$A:$Z,MATCH('PWP-Print'!E328,PWP!$B:$B,0),MATCH("ID",PWP!$A$1:$Z$1,0))</f>
        <v>110029_01</v>
      </c>
      <c r="F329" s="8"/>
      <c r="G329" s="249" t="str">
        <f>+INDEX(PWP!$A:$Z,MATCH('PWP-Print'!E328,PWP!$B:$B,0),MATCH("Name",PWP!$A$1:$Z$1,0))</f>
        <v>Aeleen</v>
      </c>
      <c r="H329" s="8"/>
      <c r="I329" t="e" vm="426">
        <f>_xlfn.IMAGE("https://natalie.tf/wp-content/uploads/2023/10/DLV3_Icon_Ability_"&amp;INDEX('PWP-A'!$A$2:$C$31,MATCH('PWP-Print'!J329,'PWP-A'!$B$2:$B$31,0),1)&amp;".png")</f>
        <v>#VALUE!</v>
      </c>
      <c r="J329" s="229" t="str">
        <f>+INDEX(PWP!$A:$Z,MATCH('PWP-Print'!E328,PWP!$B:$B,0),MATCH("PWP Ability 2",PWP!$A$1:$Z$1,0))</f>
        <v>Defense +20%</v>
      </c>
      <c r="K329" s="249" t="str">
        <f>+INDEX(PWP!$A:$Z,MATCH('PWP-Print'!E328,PWP!$B:$B,0),MATCH("Locked PWP Ability 2",PWP!$A$1:$Z$1,0))</f>
        <v>(Wind) Defense +20%</v>
      </c>
      <c r="M329" s="729"/>
      <c r="N329" s="8"/>
      <c r="O329" s="200" t="str">
        <f>+INDEX(PWP!$A:$Z,MATCH('PWP-Print'!O328,PWP!$B:$B,0),MATCH("ID",PWP!$A$1:$Z$1,0))</f>
        <v>110021_03</v>
      </c>
      <c r="P329" s="8"/>
      <c r="Q329" s="249" t="str">
        <f>+INDEX(PWP!$A:$Z,MATCH('PWP-Print'!O328,PWP!$B:$B,0),MATCH("Name",PWP!$A$1:$Z$1,0))</f>
        <v>Dragonyule Xainfried</v>
      </c>
      <c r="R329" s="8"/>
      <c r="S329" t="e" vm="426">
        <f>_xlfn.IMAGE("https://natalie.tf/wp-content/uploads/2023/10/DLV3_Icon_Ability_"&amp;INDEX('PWP-A'!$A$2:$C$31,MATCH('PWP-Print'!T329,'PWP-A'!$B$2:$B$31,0),1)&amp;".png")</f>
        <v>#VALUE!</v>
      </c>
      <c r="T329" s="229" t="str">
        <f>+INDEX(PWP!$A:$Z,MATCH('PWP-Print'!O328,PWP!$B:$B,0),MATCH("PWP Ability 2",PWP!$A$1:$Z$1,0))</f>
        <v>Defense +20%</v>
      </c>
      <c r="U329" s="249" t="str">
        <f>+INDEX(PWP!$A:$Z,MATCH('PWP-Print'!O328,PWP!$B:$B,0),MATCH("Locked PWP Ability 2",PWP!$A$1:$Z$1,0))</f>
        <v>(Wind) Defense +20%</v>
      </c>
    </row>
    <row r="330" spans="1:21" ht="22.5" customHeight="1" x14ac:dyDescent="0.3">
      <c r="A330" s="244" t="str">
        <f>TEXT(A326+1,"000")</f>
        <v>154</v>
      </c>
      <c r="B330" s="244" t="str">
        <f>TEXT(B326+1,"000")</f>
        <v>167</v>
      </c>
      <c r="C330" s="729"/>
      <c r="E330" s="251" t="str">
        <f>+INDEX(PWP!$A:$Z,MATCH('PWP-Print'!E328,PWP!$B:$B,0),MATCH("Num",PWP!$A$1:$Z$1,0))</f>
        <v>A-154</v>
      </c>
      <c r="G330" s="249" t="str">
        <f>+INDEX(PWP!$A:$Z,MATCH('PWP-Print'!E328,PWP!$B:$B,0),MATCH("Element",PWP!$A$1:$Z$1,0))&amp;" "&amp;INDEX(PWP!$A:$Z,MATCH('PWP-Print'!E328,PWP!$B:$B,0),MATCH("Type",PWP!$A$1:$Z$1,0))&amp;" Adventurer"</f>
        <v>Wind Lance Adventurer</v>
      </c>
      <c r="K330" s="250"/>
      <c r="M330" s="729"/>
      <c r="O330" s="251" t="str">
        <f>+INDEX(PWP!$A:$Z,MATCH('PWP-Print'!O328,PWP!$B:$B,0),MATCH("Num",PWP!$A$1:$Z$1,0))</f>
        <v>A-167</v>
      </c>
      <c r="Q330" s="249" t="str">
        <f>+INDEX(PWP!$A:$Z,MATCH('PWP-Print'!O328,PWP!$B:$B,0),MATCH("Element",PWP!$A$1:$Z$1,0))&amp;" "&amp;INDEX(PWP!$A:$Z,MATCH('PWP-Print'!O328,PWP!$B:$B,0),MATCH("Type",PWP!$A$1:$Z$1,0))&amp;" Adventurer"</f>
        <v>Wind Wand Adventurer</v>
      </c>
      <c r="U330" s="250"/>
    </row>
    <row r="331" spans="1:21" ht="7.5" customHeight="1" x14ac:dyDescent="0.3">
      <c r="A331" s="244" t="s">
        <v>10763</v>
      </c>
      <c r="E331" s="250"/>
      <c r="G331" s="250"/>
      <c r="K331" s="250"/>
      <c r="O331" s="250"/>
      <c r="Q331" s="250"/>
      <c r="U331" s="250"/>
    </row>
    <row r="332" spans="1:21" ht="22.5" customHeight="1" x14ac:dyDescent="0.3">
      <c r="C332" s="729" t="e" vm="1192">
        <f>_xlfn.IMAGE("https://natalie.tf/wp-content/uploads/2023/10/DLV3_Icon_ADV_"&amp;E333&amp;"_r05.png")</f>
        <v>#VALUE!</v>
      </c>
      <c r="E332" s="249" t="str">
        <f>"PWP-"&amp;A334</f>
        <v>PWP-155</v>
      </c>
      <c r="G332" s="249" t="str">
        <f>+INDEX(PWP!$A:$Z,MATCH('PWP-Print'!E332,PWP!$B:$B,0),MATCH("Title",PWP!$A$1:$Z$1,0))</f>
        <v>Hero of Storms</v>
      </c>
      <c r="I332" t="e" vm="1036">
        <f>_xlfn.IMAGE("https://natalie.tf/wp-content/uploads/2023/10/DLV3_Icon_Ability_"&amp;INDEX('PWP-A'!$A$2:$C$31,MATCH('PWP-Print'!J332,'PWP-A'!$B$2:$B$31,0),1)&amp;".png")</f>
        <v>#VALUE!</v>
      </c>
      <c r="J332" s="229" t="str">
        <f>+INDEX(PWP!$A:$Z,MATCH('PWP-Print'!E332,PWP!$B:$B,0),MATCH("PWP Ability 1",PWP!$A$1:$Z$1,0))</f>
        <v>15 Hits = Overdamage</v>
      </c>
      <c r="K332" s="249" t="str">
        <f>+INDEX(PWP!$A:$Z,MATCH('PWP-Print'!E332,PWP!$B:$B,0),MATCH("Locked PWP Ability 1",PWP!$A$1:$Z$1,0))</f>
        <v>(Wind) 15 Hits = Overdamage</v>
      </c>
      <c r="M332" s="729" t="e" vm="1193">
        <f>_xlfn.IMAGE("https://natalie.tf/wp-content/uploads/2023/10/DLV3_Icon_ADV_"&amp;O333&amp;"_r05.png")</f>
        <v>#VALUE!</v>
      </c>
      <c r="O332" s="249" t="str">
        <f>"PWP-"&amp;B334</f>
        <v>PWP-168</v>
      </c>
      <c r="Q332" s="249" t="str">
        <f>+INDEX(PWP!$A:$Z,MATCH('PWP-Print'!O332,PWP!$B:$B,0),MATCH("Title",PWP!$A$1:$Z$1,0))</f>
        <v>Meek Messenger</v>
      </c>
      <c r="S332" t="e" vm="426">
        <f>_xlfn.IMAGE("https://natalie.tf/wp-content/uploads/2023/10/DLV3_Icon_Ability_"&amp;INDEX('PWP-A'!$A$2:$C$31,MATCH('PWP-Print'!T332,'PWP-A'!$B$2:$B$31,0),1)&amp;".png")</f>
        <v>#VALUE!</v>
      </c>
      <c r="T332" s="229" t="str">
        <f>+INDEX(PWP!$A:$Z,MATCH('PWP-Print'!O332,PWP!$B:$B,0),MATCH("PWP Ability 1",PWP!$A$1:$Z$1,0))</f>
        <v>Defense +20%</v>
      </c>
      <c r="U332" s="249" t="str">
        <f>+INDEX(PWP!$A:$Z,MATCH('PWP-Print'!O332,PWP!$B:$B,0),MATCH("Locked PWP Ability 1",PWP!$A$1:$Z$1,0))</f>
        <v>(Wind) Defense +20%</v>
      </c>
    </row>
    <row r="333" spans="1:21" ht="22.5" customHeight="1" x14ac:dyDescent="0.3">
      <c r="C333" s="729"/>
      <c r="D333" s="8"/>
      <c r="E333" s="200" t="str">
        <f>+INDEX(PWP!$A:$Z,MATCH('PWP-Print'!E332,PWP!$B:$B,0),MATCH("ID",PWP!$A$1:$Z$1,0))</f>
        <v>110387_01</v>
      </c>
      <c r="F333" s="8"/>
      <c r="G333" s="249" t="str">
        <f>+INDEX(PWP!$A:$Z,MATCH('PWP-Print'!E332,PWP!$B:$B,0),MATCH("Name",PWP!$A$1:$Z$1,0))</f>
        <v>Humanoid Midgardsormr</v>
      </c>
      <c r="H333" s="8"/>
      <c r="I333" t="e" vm="601">
        <f>_xlfn.IMAGE("https://natalie.tf/wp-content/uploads/2023/10/DLV3_Icon_Ability_"&amp;INDEX('PWP-A'!$A$2:$C$31,MATCH('PWP-Print'!J333,'PWP-A'!$B$2:$B$31,0),1)&amp;".png")</f>
        <v>#VALUE!</v>
      </c>
      <c r="J333" s="229" t="str">
        <f>+INDEX(PWP!$A:$Z,MATCH('PWP-Print'!E332,PWP!$B:$B,0),MATCH("PWP Ability 2",PWP!$A$1:$Z$1,0))</f>
        <v>Dragon Haste +15%</v>
      </c>
      <c r="K333" s="249" t="str">
        <f>+INDEX(PWP!$A:$Z,MATCH('PWP-Print'!E332,PWP!$B:$B,0),MATCH("Locked PWP Ability 2",PWP!$A$1:$Z$1,0))</f>
        <v>(Wind) Dragon Haste +15%</v>
      </c>
      <c r="M333" s="729"/>
      <c r="N333" s="8"/>
      <c r="O333" s="200" t="str">
        <f>+INDEX(PWP!$A:$Z,MATCH('PWP-Print'!O332,PWP!$B:$B,0),MATCH("ID",PWP!$A$1:$Z$1,0))</f>
        <v>110340_01</v>
      </c>
      <c r="P333" s="8"/>
      <c r="Q333" s="249" t="str">
        <f>+INDEX(PWP!$A:$Z,MATCH('PWP-Print'!O332,PWP!$B:$B,0),MATCH("Name",PWP!$A$1:$Z$1,0))</f>
        <v>Noelle</v>
      </c>
      <c r="R333" s="8"/>
      <c r="S333" t="e" vm="349">
        <f>_xlfn.IMAGE("https://natalie.tf/wp-content/uploads/2023/10/DLV3_Icon_Ability_"&amp;INDEX('PWP-A'!$A$2:$C$31,MATCH('PWP-Print'!T333,'PWP-A'!$B$2:$B$31,0),1)&amp;".png")</f>
        <v>#VALUE!</v>
      </c>
      <c r="T333" s="229" t="str">
        <f>+INDEX(PWP!$A:$Z,MATCH('PWP-Print'!O332,PWP!$B:$B,0),MATCH("PWP Ability 2",PWP!$A$1:$Z$1,0))</f>
        <v>Recovery Potency +20%</v>
      </c>
      <c r="U333" s="249" t="str">
        <f>+INDEX(PWP!$A:$Z,MATCH('PWP-Print'!O332,PWP!$B:$B,0),MATCH("Locked PWP Ability 2",PWP!$A$1:$Z$1,0))</f>
        <v>(Wind) Recovery Potency +20%</v>
      </c>
    </row>
    <row r="334" spans="1:21" ht="22.5" customHeight="1" x14ac:dyDescent="0.3">
      <c r="A334" s="244" t="str">
        <f>TEXT(A330+1,"000")</f>
        <v>155</v>
      </c>
      <c r="B334" s="244" t="str">
        <f>TEXT(B330+1,"000")</f>
        <v>168</v>
      </c>
      <c r="C334" s="729"/>
      <c r="E334" s="251" t="str">
        <f>+INDEX(PWP!$A:$Z,MATCH('PWP-Print'!E332,PWP!$B:$B,0),MATCH("Num",PWP!$A$1:$Z$1,0))</f>
        <v>A-155</v>
      </c>
      <c r="G334" s="249" t="str">
        <f>+INDEX(PWP!$A:$Z,MATCH('PWP-Print'!E332,PWP!$B:$B,0),MATCH("Element",PWP!$A$1:$Z$1,0))&amp;" "&amp;INDEX(PWP!$A:$Z,MATCH('PWP-Print'!E332,PWP!$B:$B,0),MATCH("Type",PWP!$A$1:$Z$1,0))&amp;" Adventurer"</f>
        <v>Wind Bow Adventurer</v>
      </c>
      <c r="K334" s="250"/>
      <c r="M334" s="729"/>
      <c r="O334" s="251" t="str">
        <f>+INDEX(PWP!$A:$Z,MATCH('PWP-Print'!O332,PWP!$B:$B,0),MATCH("Num",PWP!$A$1:$Z$1,0))</f>
        <v>A-168</v>
      </c>
      <c r="Q334" s="249" t="str">
        <f>+INDEX(PWP!$A:$Z,MATCH('PWP-Print'!O332,PWP!$B:$B,0),MATCH("Element",PWP!$A$1:$Z$1,0))&amp;" "&amp;INDEX(PWP!$A:$Z,MATCH('PWP-Print'!O332,PWP!$B:$B,0),MATCH("Type",PWP!$A$1:$Z$1,0))&amp;" Adventurer"</f>
        <v>Wind Wand Adventurer</v>
      </c>
      <c r="U334" s="250"/>
    </row>
    <row r="335" spans="1:21" ht="7.5" customHeight="1" x14ac:dyDescent="0.3">
      <c r="A335" s="244" t="s">
        <v>10763</v>
      </c>
      <c r="E335" s="250"/>
      <c r="G335" s="250"/>
      <c r="K335" s="250"/>
      <c r="O335" s="250"/>
      <c r="Q335" s="250"/>
      <c r="U335" s="250"/>
    </row>
    <row r="336" spans="1:21" ht="22.5" customHeight="1" x14ac:dyDescent="0.3">
      <c r="C336" s="729" t="e" vm="1194">
        <f>_xlfn.IMAGE("https://natalie.tf/wp-content/uploads/2023/10/DLV3_Icon_ADV_"&amp;E337&amp;"_r05.png")</f>
        <v>#VALUE!</v>
      </c>
      <c r="E336" s="249" t="str">
        <f>"PWP-"&amp;A338</f>
        <v>PWP-156</v>
      </c>
      <c r="G336" s="249" t="str">
        <f>+INDEX(PWP!$A:$Z,MATCH('PWP-Print'!E336,PWP!$B:$B,0),MATCH("Title",PWP!$A$1:$Z$1,0))</f>
        <v>Cloying Clingy Admirer</v>
      </c>
      <c r="I336" t="e" vm="326">
        <f>_xlfn.IMAGE("https://natalie.tf/wp-content/uploads/2023/10/DLV3_Icon_Ability_"&amp;INDEX('PWP-A'!$A$2:$C$31,MATCH('PWP-Print'!J336,'PWP-A'!$B$2:$B$31,0),1)&amp;".png")</f>
        <v>#VALUE!</v>
      </c>
      <c r="J336" s="229" t="str">
        <f>+INDEX(PWP!$A:$Z,MATCH('PWP-Print'!E336,PWP!$B:$B,0),MATCH("PWP Ability 1",PWP!$A$1:$Z$1,0))</f>
        <v>Critical Rate +15%</v>
      </c>
      <c r="K336" s="249" t="str">
        <f>+INDEX(PWP!$A:$Z,MATCH('PWP-Print'!E336,PWP!$B:$B,0),MATCH("Locked PWP Ability 1",PWP!$A$1:$Z$1,0))</f>
        <v>(Wind) Critical Rate +15%</v>
      </c>
      <c r="M336" s="729" t="e" vm="1195">
        <f>_xlfn.IMAGE("https://natalie.tf/wp-content/uploads/2023/10/DLV3_Icon_ADV_"&amp;O337&amp;"_r05.png")</f>
        <v>#VALUE!</v>
      </c>
      <c r="O336" s="249" t="str">
        <f>"PWP-"&amp;B338</f>
        <v>PWP-169</v>
      </c>
      <c r="Q336" s="249" t="str">
        <f>+INDEX(PWP!$A:$Z,MATCH('PWP-Print'!O336,PWP!$B:$B,0),MATCH("Title",PWP!$A$1:$Z$1,0))</f>
        <v>Walking Encyclopedia</v>
      </c>
      <c r="S336" t="e" vm="496">
        <f>_xlfn.IMAGE("https://natalie.tf/wp-content/uploads/2023/10/DLV3_Icon_Ability_"&amp;INDEX('PWP-A'!$A$2:$C$31,MATCH('PWP-Print'!T336,'PWP-A'!$B$2:$B$31,0),1)&amp;".png")</f>
        <v>#VALUE!</v>
      </c>
      <c r="T336" s="229" t="str">
        <f>+INDEX(PWP!$A:$Z,MATCH('PWP-Print'!O336,PWP!$B:$B,0),MATCH("PWP Ability 1",PWP!$A$1:$Z$1,0))</f>
        <v>HP +15%</v>
      </c>
      <c r="U336" s="249" t="str">
        <f>+INDEX(PWP!$A:$Z,MATCH('PWP-Print'!O336,PWP!$B:$B,0),MATCH("Locked PWP Ability 1",PWP!$A$1:$Z$1,0))</f>
        <v>(Wind) HP +15%</v>
      </c>
    </row>
    <row r="337" spans="1:21" ht="22.5" customHeight="1" x14ac:dyDescent="0.3">
      <c r="C337" s="729"/>
      <c r="D337" s="8"/>
      <c r="E337" s="200" t="str">
        <f>+INDEX(PWP!$A:$Z,MATCH('PWP-Print'!E336,PWP!$B:$B,0),MATCH("ID",PWP!$A$1:$Z$1,0))</f>
        <v>110342_03</v>
      </c>
      <c r="F337" s="8"/>
      <c r="G337" s="249" t="str">
        <f>+INDEX(PWP!$A:$Z,MATCH('PWP-Print'!E336,PWP!$B:$B,0),MATCH("Name",PWP!$A$1:$Z$1,0))</f>
        <v>Valentine's Chelsea</v>
      </c>
      <c r="H337" s="8"/>
      <c r="I337" t="e" vm="496">
        <f>_xlfn.IMAGE("https://natalie.tf/wp-content/uploads/2023/10/DLV3_Icon_Ability_"&amp;INDEX('PWP-A'!$A$2:$C$31,MATCH('PWP-Print'!J337,'PWP-A'!$B$2:$B$31,0),1)&amp;".png")</f>
        <v>#VALUE!</v>
      </c>
      <c r="J337" s="229" t="str">
        <f>+INDEX(PWP!$A:$Z,MATCH('PWP-Print'!E336,PWP!$B:$B,0),MATCH("PWP Ability 2",PWP!$A$1:$Z$1,0))</f>
        <v>HP +15%</v>
      </c>
      <c r="K337" s="249" t="str">
        <f>+INDEX(PWP!$A:$Z,MATCH('PWP-Print'!E336,PWP!$B:$B,0),MATCH("Locked PWP Ability 2",PWP!$A$1:$Z$1,0))</f>
        <v>(Wind) HP +15%</v>
      </c>
      <c r="M337" s="729"/>
      <c r="N337" s="8"/>
      <c r="O337" s="200" t="str">
        <f>+INDEX(PWP!$A:$Z,MATCH('PWP-Print'!O336,PWP!$B:$B,0),MATCH("ID",PWP!$A$1:$Z$1,0))</f>
        <v>110025_01</v>
      </c>
      <c r="P337" s="8"/>
      <c r="Q337" s="249" t="str">
        <f>+INDEX(PWP!$A:$Z,MATCH('PWP-Print'!O336,PWP!$B:$B,0),MATCH("Name",PWP!$A$1:$Z$1,0))</f>
        <v>Nicolas</v>
      </c>
      <c r="R337" s="8"/>
      <c r="S337" t="e" vm="696">
        <f>_xlfn.IMAGE("https://natalie.tf/wp-content/uploads/2023/10/DLV3_Icon_Ability_"&amp;INDEX('PWP-A'!$A$2:$C$31,MATCH('PWP-Print'!T337,'PWP-A'!$B$2:$B$31,0),1)&amp;".png")</f>
        <v>#VALUE!</v>
      </c>
      <c r="T337" s="229" t="str">
        <f>+INDEX(PWP!$A:$Z,MATCH('PWP-Print'!O336,PWP!$B:$B,0),MATCH("PWP Ability 2",PWP!$A$1:$Z$1,0))</f>
        <v>Elemental Res +15%</v>
      </c>
      <c r="U337" s="249" t="str">
        <f>+INDEX(PWP!$A:$Z,MATCH('PWP-Print'!O336,PWP!$B:$B,0),MATCH("Locked PWP Ability 2",PWP!$A$1:$Z$1,0))</f>
        <v>(Wind) Elemental Res +15%</v>
      </c>
    </row>
    <row r="338" spans="1:21" ht="22.5" customHeight="1" x14ac:dyDescent="0.3">
      <c r="A338" s="244" t="str">
        <f>TEXT(A334+1,"000")</f>
        <v>156</v>
      </c>
      <c r="B338" s="244" t="str">
        <f>TEXT(B334+1,"000")</f>
        <v>169</v>
      </c>
      <c r="C338" s="729"/>
      <c r="E338" s="251" t="str">
        <f>+INDEX(PWP!$A:$Z,MATCH('PWP-Print'!E336,PWP!$B:$B,0),MATCH("Num",PWP!$A$1:$Z$1,0))</f>
        <v>A-156</v>
      </c>
      <c r="G338" s="249" t="str">
        <f>+INDEX(PWP!$A:$Z,MATCH('PWP-Print'!E336,PWP!$B:$B,0),MATCH("Element",PWP!$A$1:$Z$1,0))&amp;" "&amp;INDEX(PWP!$A:$Z,MATCH('PWP-Print'!E336,PWP!$B:$B,0),MATCH("Type",PWP!$A$1:$Z$1,0))&amp;" Adventurer"</f>
        <v>Wind Bow Adventurer</v>
      </c>
      <c r="K338" s="250"/>
      <c r="M338" s="729"/>
      <c r="O338" s="251" t="str">
        <f>+INDEX(PWP!$A:$Z,MATCH('PWP-Print'!O336,PWP!$B:$B,0),MATCH("Num",PWP!$A$1:$Z$1,0))</f>
        <v>A-169</v>
      </c>
      <c r="Q338" s="249" t="str">
        <f>+INDEX(PWP!$A:$Z,MATCH('PWP-Print'!O336,PWP!$B:$B,0),MATCH("Element",PWP!$A$1:$Z$1,0))&amp;" "&amp;INDEX(PWP!$A:$Z,MATCH('PWP-Print'!O336,PWP!$B:$B,0),MATCH("Type",PWP!$A$1:$Z$1,0))&amp;" Adventurer"</f>
        <v>Wind Wand Adventurer</v>
      </c>
      <c r="U338" s="250"/>
    </row>
    <row r="339" spans="1:21" ht="7.5" customHeight="1" x14ac:dyDescent="0.3">
      <c r="A339" s="244" t="s">
        <v>10763</v>
      </c>
      <c r="E339" s="250"/>
      <c r="G339" s="250"/>
      <c r="K339" s="250"/>
      <c r="O339" s="250"/>
      <c r="Q339" s="250"/>
      <c r="U339" s="250"/>
    </row>
    <row r="340" spans="1:21" ht="22.5" customHeight="1" x14ac:dyDescent="0.3">
      <c r="C340" s="729" t="e" vm="1196">
        <f>_xlfn.IMAGE("https://natalie.tf/wp-content/uploads/2023/10/DLV3_Icon_ADV_"&amp;E341&amp;"_r05.png")</f>
        <v>#VALUE!</v>
      </c>
      <c r="E340" s="249" t="str">
        <f>"PWP-"&amp;A342</f>
        <v>PWP-157</v>
      </c>
      <c r="G340" s="249" t="str">
        <f>+INDEX(PWP!$A:$Z,MATCH('PWP-Print'!E340,PWP!$B:$B,0),MATCH("Title",PWP!$A$1:$Z$1,0))</f>
        <v>Motherly Faerie</v>
      </c>
      <c r="I340" t="e" vm="1036">
        <f>_xlfn.IMAGE("https://natalie.tf/wp-content/uploads/2023/10/DLV3_Icon_Ability_"&amp;INDEX('PWP-A'!$A$2:$C$31,MATCH('PWP-Print'!J340,'PWP-A'!$B$2:$B$31,0),1)&amp;".png")</f>
        <v>#VALUE!</v>
      </c>
      <c r="J340" s="229" t="str">
        <f>+INDEX(PWP!$A:$Z,MATCH('PWP-Print'!E340,PWP!$B:$B,0),MATCH("PWP Ability 1",PWP!$A$1:$Z$1,0))</f>
        <v>15 Hits = Overdamage</v>
      </c>
      <c r="K340" s="249" t="str">
        <f>+INDEX(PWP!$A:$Z,MATCH('PWP-Print'!E340,PWP!$B:$B,0),MATCH("Locked PWP Ability 1",PWP!$A$1:$Z$1,0))</f>
        <v>(Wind) 15 Hits = Overdamage</v>
      </c>
      <c r="M340" s="729" t="e" vm="1197">
        <f>_xlfn.IMAGE("https://natalie.tf/wp-content/uploads/2023/10/DLV3_Icon_ADV_"&amp;O341&amp;"_r05.png")</f>
        <v>#VALUE!</v>
      </c>
      <c r="O340" s="249" t="str">
        <f>"PWP-"&amp;B342</f>
        <v>PWP-170</v>
      </c>
      <c r="Q340" s="249" t="str">
        <f>+INDEX(PWP!$A:$Z,MATCH('PWP-Print'!O340,PWP!$B:$B,0),MATCH("Title",PWP!$A$1:$Z$1,0))</f>
        <v>Spirited Shopkeeper</v>
      </c>
      <c r="S340" t="e" vm="326">
        <f>_xlfn.IMAGE("https://natalie.tf/wp-content/uploads/2023/10/DLV3_Icon_Ability_"&amp;INDEX('PWP-A'!$A$2:$C$31,MATCH('PWP-Print'!T340,'PWP-A'!$B$2:$B$31,0),1)&amp;".png")</f>
        <v>#VALUE!</v>
      </c>
      <c r="T340" s="229" t="str">
        <f>+INDEX(PWP!$A:$Z,MATCH('PWP-Print'!O340,PWP!$B:$B,0),MATCH("PWP Ability 1",PWP!$A$1:$Z$1,0))</f>
        <v>Critical Rate +15%</v>
      </c>
      <c r="U340" s="249" t="str">
        <f>+INDEX(PWP!$A:$Z,MATCH('PWP-Print'!O340,PWP!$B:$B,0),MATCH("Locked PWP Ability 1",PWP!$A$1:$Z$1,0))</f>
        <v>(Wind) Critical Rate +15%</v>
      </c>
    </row>
    <row r="341" spans="1:21" ht="22.5" customHeight="1" x14ac:dyDescent="0.3">
      <c r="C341" s="729"/>
      <c r="D341" s="8"/>
      <c r="E341" s="200" t="str">
        <f>+INDEX(PWP!$A:$Z,MATCH('PWP-Print'!E340,PWP!$B:$B,0),MATCH("ID",PWP!$A$1:$Z$1,0))</f>
        <v>110368_01</v>
      </c>
      <c r="F341" s="8"/>
      <c r="G341" s="249" t="str">
        <f>+INDEX(PWP!$A:$Z,MATCH('PWP-Print'!E340,PWP!$B:$B,0),MATCH("Name",PWP!$A$1:$Z$1,0))</f>
        <v>Meene</v>
      </c>
      <c r="H341" s="8"/>
      <c r="I341" t="e" vm="693">
        <f>_xlfn.IMAGE("https://natalie.tf/wp-content/uploads/2023/10/DLV3_Icon_Ability_"&amp;INDEX('PWP-A'!$A$2:$C$31,MATCH('PWP-Print'!J341,'PWP-A'!$B$2:$B$31,0),1)&amp;".png")</f>
        <v>#VALUE!</v>
      </c>
      <c r="J341" s="229" t="str">
        <f>+INDEX(PWP!$A:$Z,MATCH('PWP-Print'!E340,PWP!$B:$B,0),MATCH("PWP Ability 2",PWP!$A$1:$Z$1,0))</f>
        <v>Combo Time +2</v>
      </c>
      <c r="K341" s="249" t="str">
        <f>+INDEX(PWP!$A:$Z,MATCH('PWP-Print'!E340,PWP!$B:$B,0),MATCH("Locked PWP Ability 2",PWP!$A$1:$Z$1,0))</f>
        <v>(Wind) Combo Time +2</v>
      </c>
      <c r="M341" s="729"/>
      <c r="N341" s="8"/>
      <c r="O341" s="200" t="str">
        <f>+INDEX(PWP!$A:$Z,MATCH('PWP-Print'!O340,PWP!$B:$B,0),MATCH("ID",PWP!$A$1:$Z$1,0))</f>
        <v>100008_04</v>
      </c>
      <c r="P341" s="8"/>
      <c r="Q341" s="249" t="str">
        <f>+INDEX(PWP!$A:$Z,MATCH('PWP-Print'!O340,PWP!$B:$B,0),MATCH("Name",PWP!$A$1:$Z$1,0))</f>
        <v>Nina</v>
      </c>
      <c r="R341" s="8"/>
      <c r="S341" t="e" vm="688">
        <f>_xlfn.IMAGE("https://natalie.tf/wp-content/uploads/2023/10/DLV3_Icon_Ability_"&amp;INDEX('PWP-A'!$A$2:$C$31,MATCH('PWP-Print'!T341,'PWP-A'!$B$2:$B$31,0),1)&amp;".png")</f>
        <v>#VALUE!</v>
      </c>
      <c r="T341" s="229" t="str">
        <f>+INDEX(PWP!$A:$Z,MATCH('PWP-Print'!O340,PWP!$B:$B,0),MATCH("PWP Ability 2",PWP!$A$1:$Z$1,0))</f>
        <v>Overdrive Punisher +15%</v>
      </c>
      <c r="U341" s="249" t="str">
        <f>+INDEX(PWP!$A:$Z,MATCH('PWP-Print'!O340,PWP!$B:$B,0),MATCH("Locked PWP Ability 2",PWP!$A$1:$Z$1,0))</f>
        <v>(Wind) Overdrive Punisher +15%</v>
      </c>
    </row>
    <row r="342" spans="1:21" ht="22.5" customHeight="1" x14ac:dyDescent="0.3">
      <c r="A342" s="244" t="str">
        <f>TEXT(A338+1,"000")</f>
        <v>157</v>
      </c>
      <c r="B342" s="244" t="str">
        <f>TEXT(B338+1,"000")</f>
        <v>170</v>
      </c>
      <c r="C342" s="729"/>
      <c r="E342" s="251" t="str">
        <f>+INDEX(PWP!$A:$Z,MATCH('PWP-Print'!E340,PWP!$B:$B,0),MATCH("Num",PWP!$A$1:$Z$1,0))</f>
        <v>A-157</v>
      </c>
      <c r="G342" s="249" t="str">
        <f>+INDEX(PWP!$A:$Z,MATCH('PWP-Print'!E340,PWP!$B:$B,0),MATCH("Element",PWP!$A$1:$Z$1,0))&amp;" "&amp;INDEX(PWP!$A:$Z,MATCH('PWP-Print'!E340,PWP!$B:$B,0),MATCH("Type",PWP!$A$1:$Z$1,0))&amp;" Adventurer"</f>
        <v>Wind Bow Adventurer</v>
      </c>
      <c r="K342" s="250"/>
      <c r="M342" s="729"/>
      <c r="O342" s="251" t="str">
        <f>+INDEX(PWP!$A:$Z,MATCH('PWP-Print'!O340,PWP!$B:$B,0),MATCH("Num",PWP!$A$1:$Z$1,0))</f>
        <v>A-170</v>
      </c>
      <c r="Q342" s="249" t="str">
        <f>+INDEX(PWP!$A:$Z,MATCH('PWP-Print'!O340,PWP!$B:$B,0),MATCH("Element",PWP!$A$1:$Z$1,0))&amp;" "&amp;INDEX(PWP!$A:$Z,MATCH('PWP-Print'!O340,PWP!$B:$B,0),MATCH("Type",PWP!$A$1:$Z$1,0))&amp;" Adventurer"</f>
        <v>Wind Staff Adventurer</v>
      </c>
      <c r="U342" s="250"/>
    </row>
    <row r="343" spans="1:21" ht="7.5" customHeight="1" x14ac:dyDescent="0.3">
      <c r="A343" s="244" t="s">
        <v>10763</v>
      </c>
      <c r="E343" s="250"/>
      <c r="G343" s="250"/>
      <c r="K343" s="250"/>
      <c r="O343" s="250"/>
      <c r="Q343" s="250"/>
      <c r="U343" s="250"/>
    </row>
    <row r="344" spans="1:21" ht="22.5" customHeight="1" x14ac:dyDescent="0.3">
      <c r="C344" s="729" t="e" vm="1198">
        <f>_xlfn.IMAGE("https://natalie.tf/wp-content/uploads/2023/10/DLV3_Icon_ADV_"&amp;E345&amp;"_r05.png")</f>
        <v>#VALUE!</v>
      </c>
      <c r="E344" s="249" t="str">
        <f>"PWP-"&amp;A346</f>
        <v>PWP-158</v>
      </c>
      <c r="G344" s="249" t="str">
        <f>+INDEX(PWP!$A:$Z,MATCH('PWP-Print'!E344,PWP!$B:$B,0),MATCH("Title",PWP!$A$1:$Z$1,0))</f>
        <v>Twilight Hunter</v>
      </c>
      <c r="I344" t="e" vm="14">
        <f>_xlfn.IMAGE("https://natalie.tf/wp-content/uploads/2023/10/DLV3_Icon_Ability_"&amp;INDEX('PWP-A'!$A$2:$C$31,MATCH('PWP-Print'!J344,'PWP-A'!$B$2:$B$31,0),1)&amp;".png")</f>
        <v>#VALUE!</v>
      </c>
      <c r="J344" s="229" t="str">
        <f>+INDEX(PWP!$A:$Z,MATCH('PWP-Print'!E344,PWP!$B:$B,0),MATCH("PWP Ability 1",PWP!$A$1:$Z$1,0))</f>
        <v>Skill Damage +40%</v>
      </c>
      <c r="K344" s="249" t="str">
        <f>+INDEX(PWP!$A:$Z,MATCH('PWP-Print'!E344,PWP!$B:$B,0),MATCH("Locked PWP Ability 1",PWP!$A$1:$Z$1,0))</f>
        <v>(Wind) Skill Damage +40%</v>
      </c>
      <c r="M344" s="729" t="e" vm="1199">
        <f>_xlfn.IMAGE("https://natalie.tf/wp-content/uploads/2023/10/DLV3_Icon_ADV_"&amp;O345&amp;"_r05.png")</f>
        <v>#VALUE!</v>
      </c>
      <c r="O344" s="249" t="str">
        <f>"PWP-"&amp;B346</f>
        <v>PWP-171</v>
      </c>
      <c r="Q344" s="249" t="str">
        <f>+INDEX(PWP!$A:$Z,MATCH('PWP-Print'!O344,PWP!$B:$B,0),MATCH("Title",PWP!$A$1:$Z$1,0))</f>
        <v>Bridge Builder</v>
      </c>
      <c r="S344" t="e" vm="496">
        <f>_xlfn.IMAGE("https://natalie.tf/wp-content/uploads/2023/10/DLV3_Icon_Ability_"&amp;INDEX('PWP-A'!$A$2:$C$31,MATCH('PWP-Print'!T344,'PWP-A'!$B$2:$B$31,0),1)&amp;".png")</f>
        <v>#VALUE!</v>
      </c>
      <c r="T344" s="229" t="str">
        <f>+INDEX(PWP!$A:$Z,MATCH('PWP-Print'!O344,PWP!$B:$B,0),MATCH("PWP Ability 1",PWP!$A$1:$Z$1,0))</f>
        <v>HP +15%</v>
      </c>
      <c r="U344" s="249" t="str">
        <f>+INDEX(PWP!$A:$Z,MATCH('PWP-Print'!O344,PWP!$B:$B,0),MATCH("Locked PWP Ability 1",PWP!$A$1:$Z$1,0))</f>
        <v>(Wind) HP +15%</v>
      </c>
    </row>
    <row r="345" spans="1:21" ht="22.5" customHeight="1" x14ac:dyDescent="0.3">
      <c r="C345" s="729"/>
      <c r="D345" s="8"/>
      <c r="E345" s="200" t="str">
        <f>+INDEX(PWP!$A:$Z,MATCH('PWP-Print'!E344,PWP!$B:$B,0),MATCH("ID",PWP!$A$1:$Z$1,0))</f>
        <v>110267_01</v>
      </c>
      <c r="F345" s="8"/>
      <c r="G345" s="249" t="str">
        <f>+INDEX(PWP!$A:$Z,MATCH('PWP-Print'!E344,PWP!$B:$B,0),MATCH("Name",PWP!$A$1:$Z$1,0))</f>
        <v>Hawk</v>
      </c>
      <c r="H345" s="8"/>
      <c r="I345" t="e" vm="414">
        <f>_xlfn.IMAGE("https://natalie.tf/wp-content/uploads/2023/10/DLV3_Icon_Ability_"&amp;INDEX('PWP-A'!$A$2:$C$31,MATCH('PWP-Print'!J345,'PWP-A'!$B$2:$B$31,0),1)&amp;".png")</f>
        <v>#VALUE!</v>
      </c>
      <c r="J345" s="229" t="str">
        <f>+INDEX(PWP!$A:$Z,MATCH('PWP-Print'!E344,PWP!$B:$B,0),MATCH("PWP Ability 2",PWP!$A$1:$Z$1,0))</f>
        <v>Critical Damage +25%</v>
      </c>
      <c r="K345" s="249" t="str">
        <f>+INDEX(PWP!$A:$Z,MATCH('PWP-Print'!E344,PWP!$B:$B,0),MATCH("Locked PWP Ability 2",PWP!$A$1:$Z$1,0))</f>
        <v>(Wind) Critical Damage +25%</v>
      </c>
      <c r="M345" s="729"/>
      <c r="N345" s="8"/>
      <c r="O345" s="200" t="str">
        <f>+INDEX(PWP!$A:$Z,MATCH('PWP-Print'!O344,PWP!$B:$B,0),MATCH("ID",PWP!$A$1:$Z$1,0))</f>
        <v>110340_02</v>
      </c>
      <c r="P345" s="8"/>
      <c r="Q345" s="249" t="str">
        <f>+INDEX(PWP!$A:$Z,MATCH('PWP-Print'!O344,PWP!$B:$B,0),MATCH("Name",PWP!$A$1:$Z$1,0))</f>
        <v>Formal Noelle</v>
      </c>
      <c r="R345" s="8"/>
      <c r="S345" t="e" vm="426">
        <f>_xlfn.IMAGE("https://natalie.tf/wp-content/uploads/2023/10/DLV3_Icon_Ability_"&amp;INDEX('PWP-A'!$A$2:$C$31,MATCH('PWP-Print'!T345,'PWP-A'!$B$2:$B$31,0),1)&amp;".png")</f>
        <v>#VALUE!</v>
      </c>
      <c r="T345" s="229" t="str">
        <f>+INDEX(PWP!$A:$Z,MATCH('PWP-Print'!O344,PWP!$B:$B,0),MATCH("PWP Ability 2",PWP!$A$1:$Z$1,0))</f>
        <v>Defense +20%</v>
      </c>
      <c r="U345" s="249" t="str">
        <f>+INDEX(PWP!$A:$Z,MATCH('PWP-Print'!O344,PWP!$B:$B,0),MATCH("Locked PWP Ability 2",PWP!$A$1:$Z$1,0))</f>
        <v>(Wind) Defense +20%</v>
      </c>
    </row>
    <row r="346" spans="1:21" ht="22.5" customHeight="1" x14ac:dyDescent="0.3">
      <c r="A346" s="244" t="str">
        <f>TEXT(A342+1,"000")</f>
        <v>158</v>
      </c>
      <c r="B346" s="244" t="str">
        <f>TEXT(B342+1,"000")</f>
        <v>171</v>
      </c>
      <c r="C346" s="729"/>
      <c r="E346" s="251" t="str">
        <f>+INDEX(PWP!$A:$Z,MATCH('PWP-Print'!E344,PWP!$B:$B,0),MATCH("Num",PWP!$A$1:$Z$1,0))</f>
        <v>A-158</v>
      </c>
      <c r="G346" s="249" t="str">
        <f>+INDEX(PWP!$A:$Z,MATCH('PWP-Print'!E344,PWP!$B:$B,0),MATCH("Element",PWP!$A$1:$Z$1,0))&amp;" "&amp;INDEX(PWP!$A:$Z,MATCH('PWP-Print'!E344,PWP!$B:$B,0),MATCH("Type",PWP!$A$1:$Z$1,0))&amp;" Adventurer"</f>
        <v>Wind Bow Adventurer</v>
      </c>
      <c r="K346" s="250"/>
      <c r="M346" s="729"/>
      <c r="O346" s="251" t="str">
        <f>+INDEX(PWP!$A:$Z,MATCH('PWP-Print'!O344,PWP!$B:$B,0),MATCH("Num",PWP!$A$1:$Z$1,0))</f>
        <v>A-171</v>
      </c>
      <c r="Q346" s="249" t="str">
        <f>+INDEX(PWP!$A:$Z,MATCH('PWP-Print'!O344,PWP!$B:$B,0),MATCH("Element",PWP!$A$1:$Z$1,0))&amp;" "&amp;INDEX(PWP!$A:$Z,MATCH('PWP-Print'!O344,PWP!$B:$B,0),MATCH("Type",PWP!$A$1:$Z$1,0))&amp;" Adventurer"</f>
        <v>Wind Staff Adventurer</v>
      </c>
      <c r="U346" s="250"/>
    </row>
    <row r="347" spans="1:21" ht="7.5" customHeight="1" x14ac:dyDescent="0.3">
      <c r="A347" s="244" t="s">
        <v>10763</v>
      </c>
      <c r="E347" s="250"/>
      <c r="G347" s="250"/>
      <c r="K347" s="250"/>
      <c r="O347" s="250"/>
      <c r="Q347" s="250"/>
      <c r="U347" s="250"/>
    </row>
    <row r="348" spans="1:21" ht="22.5" customHeight="1" x14ac:dyDescent="0.3">
      <c r="C348" s="729" t="e" vm="1200">
        <f>_xlfn.IMAGE("https://natalie.tf/wp-content/uploads/2023/10/DLV3_Icon_ADV_"&amp;E349&amp;"_r05.png")</f>
        <v>#VALUE!</v>
      </c>
      <c r="E348" s="249" t="str">
        <f>"PWP-"&amp;A350</f>
        <v>PWP-159</v>
      </c>
      <c r="G348" s="249" t="str">
        <f>+INDEX(PWP!$A:$Z,MATCH('PWP-Print'!E348,PWP!$B:$B,0),MATCH("Title",PWP!$A$1:$Z$1,0))</f>
        <v>Doting Sister</v>
      </c>
      <c r="I348" t="e" vm="14">
        <f>_xlfn.IMAGE("https://natalie.tf/wp-content/uploads/2023/10/DLV3_Icon_Ability_"&amp;INDEX('PWP-A'!$A$2:$C$31,MATCH('PWP-Print'!J348,'PWP-A'!$B$2:$B$31,0),1)&amp;".png")</f>
        <v>#VALUE!</v>
      </c>
      <c r="J348" s="229" t="str">
        <f>+INDEX(PWP!$A:$Z,MATCH('PWP-Print'!E348,PWP!$B:$B,0),MATCH("PWP Ability 1",PWP!$A$1:$Z$1,0))</f>
        <v>Skill Damage +40%</v>
      </c>
      <c r="K348" s="249" t="str">
        <f>+INDEX(PWP!$A:$Z,MATCH('PWP-Print'!E348,PWP!$B:$B,0),MATCH("Locked PWP Ability 1",PWP!$A$1:$Z$1,0))</f>
        <v>(Wind) Skill Damage +40%</v>
      </c>
      <c r="M348" s="729" t="e" vm="1201">
        <f>_xlfn.IMAGE("https://natalie.tf/wp-content/uploads/2023/10/DLV3_Icon_ADV_"&amp;O349&amp;"_r05.png")</f>
        <v>#VALUE!</v>
      </c>
      <c r="O348" s="249" t="str">
        <f>"PWP-"&amp;B350</f>
        <v>PWP-172</v>
      </c>
      <c r="Q348" s="249" t="str">
        <f>+INDEX(PWP!$A:$Z,MATCH('PWP-Print'!O348,PWP!$B:$B,0),MATCH("Title",PWP!$A$1:$Z$1,0))</f>
        <v>Pursuer of Knowledge</v>
      </c>
      <c r="S348" t="e" vm="1036">
        <f>_xlfn.IMAGE("https://natalie.tf/wp-content/uploads/2023/10/DLV3_Icon_Ability_"&amp;INDEX('PWP-A'!$A$2:$C$31,MATCH('PWP-Print'!T348,'PWP-A'!$B$2:$B$31,0),1)&amp;".png")</f>
        <v>#VALUE!</v>
      </c>
      <c r="T348" s="229" t="str">
        <f>+INDEX(PWP!$A:$Z,MATCH('PWP-Print'!O348,PWP!$B:$B,0),MATCH("PWP Ability 1",PWP!$A$1:$Z$1,0))</f>
        <v>15 Hits = Overdamage</v>
      </c>
      <c r="U348" s="249" t="str">
        <f>+INDEX(PWP!$A:$Z,MATCH('PWP-Print'!O348,PWP!$B:$B,0),MATCH("Locked PWP Ability 1",PWP!$A$1:$Z$1,0))</f>
        <v>(Wind) 15 Hits = Overdamage</v>
      </c>
    </row>
    <row r="349" spans="1:21" ht="22.5" customHeight="1" x14ac:dyDescent="0.3">
      <c r="C349" s="729"/>
      <c r="D349" s="8"/>
      <c r="E349" s="200" t="str">
        <f>+INDEX(PWP!$A:$Z,MATCH('PWP-Print'!E348,PWP!$B:$B,0),MATCH("ID",PWP!$A$1:$Z$1,0))</f>
        <v>110256_01</v>
      </c>
      <c r="F349" s="8"/>
      <c r="G349" s="249" t="str">
        <f>+INDEX(PWP!$A:$Z,MATCH('PWP-Print'!E348,PWP!$B:$B,0),MATCH("Name",PWP!$A$1:$Z$1,0))</f>
        <v>Louise</v>
      </c>
      <c r="H349" s="8"/>
      <c r="I349" t="e" vm="326">
        <f>_xlfn.IMAGE("https://natalie.tf/wp-content/uploads/2023/10/DLV3_Icon_Ability_"&amp;INDEX('PWP-A'!$A$2:$C$31,MATCH('PWP-Print'!J349,'PWP-A'!$B$2:$B$31,0),1)&amp;".png")</f>
        <v>#VALUE!</v>
      </c>
      <c r="J349" s="229" t="str">
        <f>+INDEX(PWP!$A:$Z,MATCH('PWP-Print'!E348,PWP!$B:$B,0),MATCH("PWP Ability 2",PWP!$A$1:$Z$1,0))</f>
        <v>Critical Rate +15%</v>
      </c>
      <c r="K349" s="249" t="str">
        <f>+INDEX(PWP!$A:$Z,MATCH('PWP-Print'!E348,PWP!$B:$B,0),MATCH("Locked PWP Ability 2",PWP!$A$1:$Z$1,0))</f>
        <v>(Wind) Critical Rate +15%</v>
      </c>
      <c r="M349" s="729"/>
      <c r="N349" s="8"/>
      <c r="O349" s="200" t="str">
        <f>+INDEX(PWP!$A:$Z,MATCH('PWP-Print'!O348,PWP!$B:$B,0),MATCH("ID",PWP!$A$1:$Z$1,0))</f>
        <v>110341_01</v>
      </c>
      <c r="P349" s="8"/>
      <c r="Q349" s="249" t="str">
        <f>+INDEX(PWP!$A:$Z,MATCH('PWP-Print'!O348,PWP!$B:$B,0),MATCH("Name",PWP!$A$1:$Z$1,0))</f>
        <v>Akasha</v>
      </c>
      <c r="R349" s="8"/>
      <c r="S349" t="e" vm="426">
        <f>_xlfn.IMAGE("https://natalie.tf/wp-content/uploads/2023/10/DLV3_Icon_Ability_"&amp;INDEX('PWP-A'!$A$2:$C$31,MATCH('PWP-Print'!T349,'PWP-A'!$B$2:$B$31,0),1)&amp;".png")</f>
        <v>#VALUE!</v>
      </c>
      <c r="T349" s="229" t="str">
        <f>+INDEX(PWP!$A:$Z,MATCH('PWP-Print'!O348,PWP!$B:$B,0),MATCH("PWP Ability 2",PWP!$A$1:$Z$1,0))</f>
        <v>Defense +20%</v>
      </c>
      <c r="U349" s="249" t="str">
        <f>+INDEX(PWP!$A:$Z,MATCH('PWP-Print'!O348,PWP!$B:$B,0),MATCH("Locked PWP Ability 2",PWP!$A$1:$Z$1,0))</f>
        <v>(Wind) Defense +20%</v>
      </c>
    </row>
    <row r="350" spans="1:21" ht="22.5" customHeight="1" x14ac:dyDescent="0.3">
      <c r="A350" s="244" t="str">
        <f>TEXT(A346+1,"000")</f>
        <v>159</v>
      </c>
      <c r="B350" s="244" t="str">
        <f>TEXT(B346+1,"000")</f>
        <v>172</v>
      </c>
      <c r="C350" s="729"/>
      <c r="E350" s="251" t="str">
        <f>+INDEX(PWP!$A:$Z,MATCH('PWP-Print'!E348,PWP!$B:$B,0),MATCH("Num",PWP!$A$1:$Z$1,0))</f>
        <v>A-159</v>
      </c>
      <c r="G350" s="249" t="str">
        <f>+INDEX(PWP!$A:$Z,MATCH('PWP-Print'!E348,PWP!$B:$B,0),MATCH("Element",PWP!$A$1:$Z$1,0))&amp;" "&amp;INDEX(PWP!$A:$Z,MATCH('PWP-Print'!E348,PWP!$B:$B,0),MATCH("Type",PWP!$A$1:$Z$1,0))&amp;" Adventurer"</f>
        <v>Wind Bow Adventurer</v>
      </c>
      <c r="K350" s="250"/>
      <c r="M350" s="729"/>
      <c r="O350" s="251" t="str">
        <f>+INDEX(PWP!$A:$Z,MATCH('PWP-Print'!O348,PWP!$B:$B,0),MATCH("Num",PWP!$A$1:$Z$1,0))</f>
        <v>A-172</v>
      </c>
      <c r="Q350" s="249" t="str">
        <f>+INDEX(PWP!$A:$Z,MATCH('PWP-Print'!O348,PWP!$B:$B,0),MATCH("Element",PWP!$A$1:$Z$1,0))&amp;" "&amp;INDEX(PWP!$A:$Z,MATCH('PWP-Print'!O348,PWP!$B:$B,0),MATCH("Type",PWP!$A$1:$Z$1,0))&amp;" Adventurer"</f>
        <v>Wind Staff Adventurer</v>
      </c>
      <c r="U350" s="250"/>
    </row>
    <row r="351" spans="1:21" ht="7.5" customHeight="1" x14ac:dyDescent="0.3">
      <c r="A351" s="244" t="s">
        <v>10763</v>
      </c>
      <c r="E351" s="250"/>
      <c r="G351" s="250"/>
      <c r="K351" s="250"/>
      <c r="O351" s="250"/>
      <c r="Q351" s="250"/>
      <c r="U351" s="250"/>
    </row>
    <row r="352" spans="1:21" ht="22.5" customHeight="1" x14ac:dyDescent="0.3">
      <c r="C352" s="729" t="e" vm="1202">
        <f>_xlfn.IMAGE("https://natalie.tf/wp-content/uploads/2023/10/DLV3_Icon_ADV_"&amp;E353&amp;"_r05.png")</f>
        <v>#VALUE!</v>
      </c>
      <c r="E352" s="249" t="str">
        <f>"PWP-"&amp;A354</f>
        <v>PWP-160</v>
      </c>
      <c r="G352" s="249" t="str">
        <f>+INDEX(PWP!$A:$Z,MATCH('PWP-Print'!E352,PWP!$B:$B,0),MATCH("Title",PWP!$A$1:$Z$1,0))</f>
        <v>Hidden Hunter</v>
      </c>
      <c r="I352" t="e" vm="330">
        <f>_xlfn.IMAGE("https://natalie.tf/wp-content/uploads/2023/10/DLV3_Icon_Ability_"&amp;INDEX('PWP-A'!$A$2:$C$31,MATCH('PWP-Print'!J352,'PWP-A'!$B$2:$B$31,0),1)&amp;".png")</f>
        <v>#VALUE!</v>
      </c>
      <c r="J352" s="229" t="str">
        <f>+INDEX(PWP!$A:$Z,MATCH('PWP-Print'!E352,PWP!$B:$B,0),MATCH("PWP Ability 1",PWP!$A$1:$Z$1,0))</f>
        <v>Skill Haste +10%</v>
      </c>
      <c r="K352" s="249" t="str">
        <f>+INDEX(PWP!$A:$Z,MATCH('PWP-Print'!E352,PWP!$B:$B,0),MATCH("Locked PWP Ability 1",PWP!$A$1:$Z$1,0))</f>
        <v>(Wind) Skill Haste +10%</v>
      </c>
      <c r="M352" s="729" t="e" vm="1203">
        <f>_xlfn.IMAGE("https://natalie.tf/wp-content/uploads/2023/10/DLV3_Icon_ADV_"&amp;O353&amp;"_r05.png")</f>
        <v>#VALUE!</v>
      </c>
      <c r="O352" s="249" t="str">
        <f>"PWP-"&amp;B354</f>
        <v>PWP-173</v>
      </c>
      <c r="Q352" s="249" t="str">
        <f>+INDEX(PWP!$A:$Z,MATCH('PWP-Print'!O352,PWP!$B:$B,0),MATCH("Title",PWP!$A$1:$Z$1,0))</f>
        <v>Magical Bride</v>
      </c>
      <c r="S352" t="e" vm="14">
        <f>_xlfn.IMAGE("https://natalie.tf/wp-content/uploads/2023/10/DLV3_Icon_Ability_"&amp;INDEX('PWP-A'!$A$2:$C$31,MATCH('PWP-Print'!T352,'PWP-A'!$B$2:$B$31,0),1)&amp;".png")</f>
        <v>#VALUE!</v>
      </c>
      <c r="T352" s="229" t="str">
        <f>+INDEX(PWP!$A:$Z,MATCH('PWP-Print'!O352,PWP!$B:$B,0),MATCH("PWP Ability 1",PWP!$A$1:$Z$1,0))</f>
        <v>Strength +20%</v>
      </c>
      <c r="U352" s="249" t="str">
        <f>+INDEX(PWP!$A:$Z,MATCH('PWP-Print'!O352,PWP!$B:$B,0),MATCH("Locked PWP Ability 1",PWP!$A$1:$Z$1,0))</f>
        <v>(Wind) Strength +20%</v>
      </c>
    </row>
    <row r="353" spans="1:21" ht="22.5" customHeight="1" x14ac:dyDescent="0.3">
      <c r="C353" s="729"/>
      <c r="D353" s="8"/>
      <c r="E353" s="200" t="str">
        <f>+INDEX(PWP!$A:$Z,MATCH('PWP-Print'!E352,PWP!$B:$B,0),MATCH("ID",PWP!$A$1:$Z$1,0))</f>
        <v>110350_01</v>
      </c>
      <c r="F353" s="8"/>
      <c r="G353" s="249" t="str">
        <f>+INDEX(PWP!$A:$Z,MATCH('PWP-Print'!E352,PWP!$B:$B,0),MATCH("Name",PWP!$A$1:$Z$1,0))</f>
        <v>Joachim</v>
      </c>
      <c r="H353" s="8"/>
      <c r="I353" t="e" vm="496">
        <f>_xlfn.IMAGE("https://natalie.tf/wp-content/uploads/2023/10/DLV3_Icon_Ability_"&amp;INDEX('PWP-A'!$A$2:$C$31,MATCH('PWP-Print'!J353,'PWP-A'!$B$2:$B$31,0),1)&amp;".png")</f>
        <v>#VALUE!</v>
      </c>
      <c r="J353" s="229" t="str">
        <f>+INDEX(PWP!$A:$Z,MATCH('PWP-Print'!E352,PWP!$B:$B,0),MATCH("PWP Ability 2",PWP!$A$1:$Z$1,0))</f>
        <v>HP +15%</v>
      </c>
      <c r="K353" s="249" t="str">
        <f>+INDEX(PWP!$A:$Z,MATCH('PWP-Print'!E352,PWP!$B:$B,0),MATCH("Locked PWP Ability 2",PWP!$A$1:$Z$1,0))</f>
        <v>(Wind) HP +15%</v>
      </c>
      <c r="M353" s="729"/>
      <c r="N353" s="8"/>
      <c r="O353" s="200" t="str">
        <f>+INDEX(PWP!$A:$Z,MATCH('PWP-Print'!O352,PWP!$B:$B,0),MATCH("ID",PWP!$A$1:$Z$1,0))</f>
        <v>110004_02</v>
      </c>
      <c r="P353" s="8"/>
      <c r="Q353" s="249" t="str">
        <f>+INDEX(PWP!$A:$Z,MATCH('PWP-Print'!O352,PWP!$B:$B,0),MATCH("Name",PWP!$A$1:$Z$1,0))</f>
        <v>Wedding Xania</v>
      </c>
      <c r="R353" s="8"/>
      <c r="S353" t="e" vm="376">
        <f>_xlfn.IMAGE("https://natalie.tf/wp-content/uploads/2023/10/DLV3_Icon_Ability_"&amp;INDEX('PWP-A'!$A$2:$C$31,MATCH('PWP-Print'!T353,'PWP-A'!$B$2:$B$31,0),1)&amp;".png")</f>
        <v>#VALUE!</v>
      </c>
      <c r="T353" s="229" t="str">
        <f>+INDEX(PWP!$A:$Z,MATCH('PWP-Print'!O352,PWP!$B:$B,0),MATCH("PWP Ability 2",PWP!$A$1:$Z$1,0))</f>
        <v>Broken Punisher +30%</v>
      </c>
      <c r="U353" s="249" t="str">
        <f>+INDEX(PWP!$A:$Z,MATCH('PWP-Print'!O352,PWP!$B:$B,0),MATCH("Locked PWP Ability 2",PWP!$A$1:$Z$1,0))</f>
        <v>(Wind) Broken Punisher +30%</v>
      </c>
    </row>
    <row r="354" spans="1:21" ht="22.5" customHeight="1" x14ac:dyDescent="0.3">
      <c r="A354" s="244" t="str">
        <f>TEXT(A350+1,"000")</f>
        <v>160</v>
      </c>
      <c r="B354" s="244" t="str">
        <f>TEXT(B350+1,"000")</f>
        <v>173</v>
      </c>
      <c r="C354" s="729"/>
      <c r="E354" s="251" t="str">
        <f>+INDEX(PWP!$A:$Z,MATCH('PWP-Print'!E352,PWP!$B:$B,0),MATCH("Num",PWP!$A$1:$Z$1,0))</f>
        <v>A-160</v>
      </c>
      <c r="G354" s="249" t="str">
        <f>+INDEX(PWP!$A:$Z,MATCH('PWP-Print'!E352,PWP!$B:$B,0),MATCH("Element",PWP!$A$1:$Z$1,0))&amp;" "&amp;INDEX(PWP!$A:$Z,MATCH('PWP-Print'!E352,PWP!$B:$B,0),MATCH("Type",PWP!$A$1:$Z$1,0))&amp;" Adventurer"</f>
        <v>Wind Bow Adventurer</v>
      </c>
      <c r="K354" s="250"/>
      <c r="M354" s="729"/>
      <c r="O354" s="251" t="str">
        <f>+INDEX(PWP!$A:$Z,MATCH('PWP-Print'!O352,PWP!$B:$B,0),MATCH("Num",PWP!$A$1:$Z$1,0))</f>
        <v>A-173</v>
      </c>
      <c r="Q354" s="249" t="str">
        <f>+INDEX(PWP!$A:$Z,MATCH('PWP-Print'!O352,PWP!$B:$B,0),MATCH("Element",PWP!$A$1:$Z$1,0))&amp;" "&amp;INDEX(PWP!$A:$Z,MATCH('PWP-Print'!O352,PWP!$B:$B,0),MATCH("Type",PWP!$A$1:$Z$1,0))&amp;" Adventurer"</f>
        <v>Wind Staff Adventurer</v>
      </c>
      <c r="U354" s="250"/>
    </row>
    <row r="355" spans="1:21" ht="7.5" customHeight="1" x14ac:dyDescent="0.3">
      <c r="A355" s="244" t="s">
        <v>10763</v>
      </c>
      <c r="E355" s="250"/>
      <c r="G355" s="250"/>
      <c r="K355" s="250"/>
      <c r="O355" s="250"/>
      <c r="Q355" s="250"/>
      <c r="U355" s="250"/>
    </row>
    <row r="356" spans="1:21" ht="22.5" customHeight="1" x14ac:dyDescent="0.3">
      <c r="C356" s="729" t="e" vm="1204">
        <f>_xlfn.IMAGE("https://natalie.tf/wp-content/uploads/2023/10/DLV3_Icon_ADV_"&amp;E357&amp;"_r05.png")</f>
        <v>#VALUE!</v>
      </c>
      <c r="E356" s="249" t="str">
        <f>"PWP-"&amp;A358</f>
        <v>PWP-161</v>
      </c>
      <c r="G356" s="249" t="str">
        <f>+INDEX(PWP!$A:$Z,MATCH('PWP-Print'!E356,PWP!$B:$B,0),MATCH("Title",PWP!$A$1:$Z$1,0))</f>
        <v>Curious Archer</v>
      </c>
      <c r="I356" t="e" vm="14">
        <f>_xlfn.IMAGE("https://natalie.tf/wp-content/uploads/2023/10/DLV3_Icon_Ability_"&amp;INDEX('PWP-A'!$A$2:$C$31,MATCH('PWP-Print'!J356,'PWP-A'!$B$2:$B$31,0),1)&amp;".png")</f>
        <v>#VALUE!</v>
      </c>
      <c r="J356" s="229" t="str">
        <f>+INDEX(PWP!$A:$Z,MATCH('PWP-Print'!E356,PWP!$B:$B,0),MATCH("PWP Ability 1",PWP!$A$1:$Z$1,0))</f>
        <v>Skill Damage +40%</v>
      </c>
      <c r="K356" s="249" t="str">
        <f>+INDEX(PWP!$A:$Z,MATCH('PWP-Print'!E356,PWP!$B:$B,0),MATCH("Locked PWP Ability 1",PWP!$A$1:$Z$1,0))</f>
        <v>(Wind) Skill Damage +40%</v>
      </c>
      <c r="M356" s="729" t="e" vm="1205">
        <f>_xlfn.IMAGE("https://natalie.tf/wp-content/uploads/2023/10/DLV3_Icon_ADV_"&amp;O357&amp;"_r05.png")</f>
        <v>#VALUE!</v>
      </c>
      <c r="O356" s="249" t="str">
        <f>"PWP-"&amp;B358</f>
        <v>PWP-174</v>
      </c>
      <c r="Q356" s="249" t="str">
        <f>+INDEX(PWP!$A:$Z,MATCH('PWP-Print'!O356,PWP!$B:$B,0),MATCH("Title",PWP!$A$1:$Z$1,0))</f>
        <v>Dependable Brother</v>
      </c>
      <c r="S356" t="e" vm="496">
        <f>_xlfn.IMAGE("https://natalie.tf/wp-content/uploads/2023/10/DLV3_Icon_Ability_"&amp;INDEX('PWP-A'!$A$2:$C$31,MATCH('PWP-Print'!T356,'PWP-A'!$B$2:$B$31,0),1)&amp;".png")</f>
        <v>#VALUE!</v>
      </c>
      <c r="T356" s="229" t="str">
        <f>+INDEX(PWP!$A:$Z,MATCH('PWP-Print'!O356,PWP!$B:$B,0),MATCH("PWP Ability 1",PWP!$A$1:$Z$1,0))</f>
        <v>HP +15%</v>
      </c>
      <c r="U356" s="249" t="str">
        <f>+INDEX(PWP!$A:$Z,MATCH('PWP-Print'!O356,PWP!$B:$B,0),MATCH("Locked PWP Ability 1",PWP!$A$1:$Z$1,0))</f>
        <v>(Wind) HP +15%</v>
      </c>
    </row>
    <row r="357" spans="1:21" ht="22.5" customHeight="1" x14ac:dyDescent="0.3">
      <c r="C357" s="729"/>
      <c r="D357" s="8"/>
      <c r="E357" s="200" t="str">
        <f>+INDEX(PWP!$A:$Z,MATCH('PWP-Print'!E356,PWP!$B:$B,0),MATCH("ID",PWP!$A$1:$Z$1,0))</f>
        <v>110031_01</v>
      </c>
      <c r="F357" s="8"/>
      <c r="G357" s="249" t="str">
        <f>+INDEX(PWP!$A:$Z,MATCH('PWP-Print'!E356,PWP!$B:$B,0),MATCH("Name",PWP!$A$1:$Z$1,0))</f>
        <v>Eleonora</v>
      </c>
      <c r="H357" s="8"/>
      <c r="I357" t="e" vm="1045">
        <f>_xlfn.IMAGE("https://natalie.tf/wp-content/uploads/2023/10/DLV3_Icon_Ability_"&amp;INDEX('PWP-A'!$A$2:$C$31,MATCH('PWP-Print'!J357,'PWP-A'!$B$2:$B$31,0),1)&amp;".png")</f>
        <v>#VALUE!</v>
      </c>
      <c r="J357" s="229" t="str">
        <f>+INDEX(PWP!$A:$Z,MATCH('PWP-Print'!E356,PWP!$B:$B,0),MATCH("PWP Ability 2",PWP!$A$1:$Z$1,0))</f>
        <v>Attack Rate +20%</v>
      </c>
      <c r="K357" s="249" t="str">
        <f>+INDEX(PWP!$A:$Z,MATCH('PWP-Print'!E356,PWP!$B:$B,0),MATCH("Locked PWP Ability 2",PWP!$A$1:$Z$1,0))</f>
        <v>(Wind) Attack Rate +20%</v>
      </c>
      <c r="M357" s="729"/>
      <c r="N357" s="8"/>
      <c r="O357" s="200" t="str">
        <f>+INDEX(PWP!$A:$Z,MATCH('PWP-Print'!O356,PWP!$B:$B,0),MATCH("ID",PWP!$A$1:$Z$1,0))</f>
        <v>110257_01</v>
      </c>
      <c r="P357" s="8"/>
      <c r="Q357" s="249" t="str">
        <f>+INDEX(PWP!$A:$Z,MATCH('PWP-Print'!O356,PWP!$B:$B,0),MATCH("Name",PWP!$A$1:$Z$1,0))</f>
        <v>Lowen</v>
      </c>
      <c r="R357" s="8"/>
      <c r="S357" t="e" vm="349">
        <f>_xlfn.IMAGE("https://natalie.tf/wp-content/uploads/2023/10/DLV3_Icon_Ability_"&amp;INDEX('PWP-A'!$A$2:$C$31,MATCH('PWP-Print'!T357,'PWP-A'!$B$2:$B$31,0),1)&amp;".png")</f>
        <v>#VALUE!</v>
      </c>
      <c r="T357" s="229" t="str">
        <f>+INDEX(PWP!$A:$Z,MATCH('PWP-Print'!O356,PWP!$B:$B,0),MATCH("PWP Ability 2",PWP!$A$1:$Z$1,0))</f>
        <v>Recovery Potency +20%</v>
      </c>
      <c r="U357" s="249" t="str">
        <f>+INDEX(PWP!$A:$Z,MATCH('PWP-Print'!O356,PWP!$B:$B,0),MATCH("Locked PWP Ability 2",PWP!$A$1:$Z$1,0))</f>
        <v>(Wind) Recovery Potency +20%</v>
      </c>
    </row>
    <row r="358" spans="1:21" ht="22.5" customHeight="1" x14ac:dyDescent="0.3">
      <c r="A358" s="244" t="str">
        <f>TEXT(A354+1,"000")</f>
        <v>161</v>
      </c>
      <c r="B358" s="244" t="str">
        <f>TEXT(B354+1,"000")</f>
        <v>174</v>
      </c>
      <c r="C358" s="729"/>
      <c r="E358" s="251" t="str">
        <f>+INDEX(PWP!$A:$Z,MATCH('PWP-Print'!E356,PWP!$B:$B,0),MATCH("Num",PWP!$A$1:$Z$1,0))</f>
        <v>A-161</v>
      </c>
      <c r="G358" s="249" t="str">
        <f>+INDEX(PWP!$A:$Z,MATCH('PWP-Print'!E356,PWP!$B:$B,0),MATCH("Element",PWP!$A$1:$Z$1,0))&amp;" "&amp;INDEX(PWP!$A:$Z,MATCH('PWP-Print'!E356,PWP!$B:$B,0),MATCH("Type",PWP!$A$1:$Z$1,0))&amp;" Adventurer"</f>
        <v>Wind Bow Adventurer</v>
      </c>
      <c r="K358" s="250"/>
      <c r="M358" s="729"/>
      <c r="O358" s="251" t="str">
        <f>+INDEX(PWP!$A:$Z,MATCH('PWP-Print'!O356,PWP!$B:$B,0),MATCH("Num",PWP!$A$1:$Z$1,0))</f>
        <v>A-174</v>
      </c>
      <c r="Q358" s="249" t="str">
        <f>+INDEX(PWP!$A:$Z,MATCH('PWP-Print'!O356,PWP!$B:$B,0),MATCH("Element",PWP!$A$1:$Z$1,0))&amp;" "&amp;INDEX(PWP!$A:$Z,MATCH('PWP-Print'!O356,PWP!$B:$B,0),MATCH("Type",PWP!$A$1:$Z$1,0))&amp;" Adventurer"</f>
        <v>Wind Staff Adventurer</v>
      </c>
      <c r="U358" s="250"/>
    </row>
    <row r="359" spans="1:21" ht="7.5" customHeight="1" x14ac:dyDescent="0.3">
      <c r="A359" s="244" t="s">
        <v>10763</v>
      </c>
      <c r="E359" s="250"/>
      <c r="G359" s="250"/>
      <c r="K359" s="250"/>
      <c r="O359" s="250"/>
      <c r="Q359" s="250"/>
      <c r="U359" s="250"/>
    </row>
    <row r="360" spans="1:21" ht="22.5" customHeight="1" x14ac:dyDescent="0.3">
      <c r="C360" s="729" t="e" vm="1206">
        <f>_xlfn.IMAGE("https://natalie.tf/wp-content/uploads/2023/10/DLV3_Icon_ADV_"&amp;E361&amp;"_r05.png")</f>
        <v>#VALUE!</v>
      </c>
      <c r="E360" s="249" t="str">
        <f>"PWP-"&amp;A362</f>
        <v>PWP-162</v>
      </c>
      <c r="G360" s="249" t="str">
        <f>+INDEX(PWP!$A:$Z,MATCH('PWP-Print'!E360,PWP!$B:$B,0),MATCH("Title",PWP!$A$1:$Z$1,0))</f>
        <v>Love Seeker</v>
      </c>
      <c r="I360" t="e" vm="330">
        <f>_xlfn.IMAGE("https://natalie.tf/wp-content/uploads/2023/10/DLV3_Icon_Ability_"&amp;INDEX('PWP-A'!$A$2:$C$31,MATCH('PWP-Print'!J360,'PWP-A'!$B$2:$B$31,0),1)&amp;".png")</f>
        <v>#VALUE!</v>
      </c>
      <c r="J360" s="229" t="str">
        <f>+INDEX(PWP!$A:$Z,MATCH('PWP-Print'!E360,PWP!$B:$B,0),MATCH("PWP Ability 1",PWP!$A$1:$Z$1,0))</f>
        <v>Skill Haste +10%</v>
      </c>
      <c r="K360" s="249" t="str">
        <f>+INDEX(PWP!$A:$Z,MATCH('PWP-Print'!E360,PWP!$B:$B,0),MATCH("Locked PWP Ability 1",PWP!$A$1:$Z$1,0))</f>
        <v>(Wind) Skill Haste +10%</v>
      </c>
      <c r="M360" s="729" t="e" vm="1207">
        <f>_xlfn.IMAGE("https://natalie.tf/wp-content/uploads/2023/10/DLV3_Icon_ADV_"&amp;O361&amp;"_r05.png")</f>
        <v>#VALUE!</v>
      </c>
      <c r="O360" s="249" t="str">
        <f>"PWP-"&amp;B362</f>
        <v>PWP-175</v>
      </c>
      <c r="Q360" s="249" t="str">
        <f>+INDEX(PWP!$A:$Z,MATCH('PWP-Print'!O360,PWP!$B:$B,0),MATCH("Title",PWP!$A$1:$Z$1,0))</f>
        <v>Mana Observer</v>
      </c>
      <c r="S360" t="e" vm="14">
        <f>_xlfn.IMAGE("https://natalie.tf/wp-content/uploads/2023/10/DLV3_Icon_Ability_"&amp;INDEX('PWP-A'!$A$2:$C$31,MATCH('PWP-Print'!T360,'PWP-A'!$B$2:$B$31,0),1)&amp;".png")</f>
        <v>#VALUE!</v>
      </c>
      <c r="T360" s="229" t="str">
        <f>+INDEX(PWP!$A:$Z,MATCH('PWP-Print'!O360,PWP!$B:$B,0),MATCH("PWP Ability 1",PWP!$A$1:$Z$1,0))</f>
        <v>Strength +20%</v>
      </c>
      <c r="U360" s="249" t="str">
        <f>+INDEX(PWP!$A:$Z,MATCH('PWP-Print'!O360,PWP!$B:$B,0),MATCH("Locked PWP Ability 1",PWP!$A$1:$Z$1,0))</f>
        <v>(Wind) Strength +20%</v>
      </c>
    </row>
    <row r="361" spans="1:21" ht="22.5" customHeight="1" x14ac:dyDescent="0.3">
      <c r="C361" s="729"/>
      <c r="D361" s="8"/>
      <c r="E361" s="200" t="str">
        <f>+INDEX(PWP!$A:$Z,MATCH('PWP-Print'!E360,PWP!$B:$B,0),MATCH("ID",PWP!$A$1:$Z$1,0))</f>
        <v>110028_01</v>
      </c>
      <c r="F361" s="8"/>
      <c r="G361" s="249" t="str">
        <f>+INDEX(PWP!$A:$Z,MATCH('PWP-Print'!E360,PWP!$B:$B,0),MATCH("Name",PWP!$A$1:$Z$1,0))</f>
        <v>Philia</v>
      </c>
      <c r="H361" s="8"/>
      <c r="I361" t="e" vm="693">
        <f>_xlfn.IMAGE("https://natalie.tf/wp-content/uploads/2023/10/DLV3_Icon_Ability_"&amp;INDEX('PWP-A'!$A$2:$C$31,MATCH('PWP-Print'!J361,'PWP-A'!$B$2:$B$31,0),1)&amp;".png")</f>
        <v>#VALUE!</v>
      </c>
      <c r="J361" s="229" t="str">
        <f>+INDEX(PWP!$A:$Z,MATCH('PWP-Print'!E360,PWP!$B:$B,0),MATCH("PWP Ability 2",PWP!$A$1:$Z$1,0))</f>
        <v>Combo Time +2</v>
      </c>
      <c r="K361" s="249" t="str">
        <f>+INDEX(PWP!$A:$Z,MATCH('PWP-Print'!E360,PWP!$B:$B,0),MATCH("Locked PWP Ability 2",PWP!$A$1:$Z$1,0))</f>
        <v>(Wind) Combo Time +2</v>
      </c>
      <c r="M361" s="729"/>
      <c r="N361" s="8"/>
      <c r="O361" s="200" t="str">
        <f>+INDEX(PWP!$A:$Z,MATCH('PWP-Print'!O360,PWP!$B:$B,0),MATCH("ID",PWP!$A$1:$Z$1,0))</f>
        <v>110024_01</v>
      </c>
      <c r="P361" s="8"/>
      <c r="Q361" s="249" t="str">
        <f>+INDEX(PWP!$A:$Z,MATCH('PWP-Print'!O360,PWP!$B:$B,0),MATCH("Name",PWP!$A$1:$Z$1,0))</f>
        <v>Sophie</v>
      </c>
      <c r="R361" s="8"/>
      <c r="S361" t="e" vm="349">
        <f>_xlfn.IMAGE("https://natalie.tf/wp-content/uploads/2023/10/DLV3_Icon_Ability_"&amp;INDEX('PWP-A'!$A$2:$C$31,MATCH('PWP-Print'!T361,'PWP-A'!$B$2:$B$31,0),1)&amp;".png")</f>
        <v>#VALUE!</v>
      </c>
      <c r="T361" s="229" t="str">
        <f>+INDEX(PWP!$A:$Z,MATCH('PWP-Print'!O360,PWP!$B:$B,0),MATCH("PWP Ability 2",PWP!$A$1:$Z$1,0))</f>
        <v>Recovery Potency +20%</v>
      </c>
      <c r="U361" s="249" t="str">
        <f>+INDEX(PWP!$A:$Z,MATCH('PWP-Print'!O360,PWP!$B:$B,0),MATCH("Locked PWP Ability 2",PWP!$A$1:$Z$1,0))</f>
        <v>(Wind) Recovery Potency +20%</v>
      </c>
    </row>
    <row r="362" spans="1:21" ht="22.5" customHeight="1" x14ac:dyDescent="0.3">
      <c r="A362" s="244" t="str">
        <f>TEXT(A358+1,"000")</f>
        <v>162</v>
      </c>
      <c r="B362" s="244" t="str">
        <f>TEXT(B358+1,"000")</f>
        <v>175</v>
      </c>
      <c r="C362" s="729"/>
      <c r="E362" s="251" t="str">
        <f>+INDEX(PWP!$A:$Z,MATCH('PWP-Print'!E360,PWP!$B:$B,0),MATCH("Num",PWP!$A$1:$Z$1,0))</f>
        <v>A-162</v>
      </c>
      <c r="G362" s="249" t="str">
        <f>+INDEX(PWP!$A:$Z,MATCH('PWP-Print'!E360,PWP!$B:$B,0),MATCH("Element",PWP!$A$1:$Z$1,0))&amp;" "&amp;INDEX(PWP!$A:$Z,MATCH('PWP-Print'!E360,PWP!$B:$B,0),MATCH("Type",PWP!$A$1:$Z$1,0))&amp;" Adventurer"</f>
        <v>Wind Bow Adventurer</v>
      </c>
      <c r="K362" s="250"/>
      <c r="M362" s="729"/>
      <c r="O362" s="251" t="str">
        <f>+INDEX(PWP!$A:$Z,MATCH('PWP-Print'!O360,PWP!$B:$B,0),MATCH("Num",PWP!$A$1:$Z$1,0))</f>
        <v>A-175</v>
      </c>
      <c r="Q362" s="249" t="str">
        <f>+INDEX(PWP!$A:$Z,MATCH('PWP-Print'!O360,PWP!$B:$B,0),MATCH("Element",PWP!$A$1:$Z$1,0))&amp;" "&amp;INDEX(PWP!$A:$Z,MATCH('PWP-Print'!O360,PWP!$B:$B,0),MATCH("Type",PWP!$A$1:$Z$1,0))&amp;" Adventurer"</f>
        <v>Wind Staff Adventurer</v>
      </c>
      <c r="U362" s="250"/>
    </row>
    <row r="363" spans="1:21" ht="7.5" customHeight="1" x14ac:dyDescent="0.3">
      <c r="A363" s="244" t="s">
        <v>10763</v>
      </c>
      <c r="E363" s="250"/>
      <c r="G363" s="250"/>
      <c r="K363" s="250"/>
    </row>
    <row r="364" spans="1:21" ht="22.5" customHeight="1" x14ac:dyDescent="0.3">
      <c r="C364" s="729" t="e" vm="1208">
        <f>_xlfn.IMAGE("https://natalie.tf/wp-content/uploads/2023/10/DLV3_Icon_ADV_"&amp;E365&amp;"_r05.png")</f>
        <v>#VALUE!</v>
      </c>
      <c r="E364" s="249" t="str">
        <f>"PWP-"&amp;A366</f>
        <v>PWP-163</v>
      </c>
      <c r="G364" s="249" t="str">
        <f>+INDEX(PWP!$A:$Z,MATCH('PWP-Print'!E364,PWP!$B:$B,0),MATCH("Title",PWP!$A$1:$Z$1,0))</f>
        <v>The Wing of War</v>
      </c>
      <c r="I364" t="e" vm="1036">
        <f>_xlfn.IMAGE("https://natalie.tf/wp-content/uploads/2023/10/DLV3_Icon_Ability_"&amp;INDEX('PWP-A'!$A$2:$C$31,MATCH('PWP-Print'!J364,'PWP-A'!$B$2:$B$31,0),1)&amp;".png")</f>
        <v>#VALUE!</v>
      </c>
      <c r="J364" s="229" t="str">
        <f>+INDEX(PWP!$A:$Z,MATCH('PWP-Print'!E364,PWP!$B:$B,0),MATCH("PWP Ability 1",PWP!$A$1:$Z$1,0))</f>
        <v>15 Hits = Overdamage</v>
      </c>
      <c r="K364" s="249" t="str">
        <f>+INDEX(PWP!$A:$Z,MATCH('PWP-Print'!E364,PWP!$B:$B,0),MATCH("Locked PWP Ability 1",PWP!$A$1:$Z$1,0))</f>
        <v>(Wind) 15 Hits = Overdamage</v>
      </c>
      <c r="M364" s="729"/>
      <c r="O364" s="221"/>
      <c r="Q364" s="221"/>
      <c r="U364" s="221"/>
    </row>
    <row r="365" spans="1:21" ht="22.5" customHeight="1" x14ac:dyDescent="0.3">
      <c r="C365" s="729"/>
      <c r="D365" s="8"/>
      <c r="E365" s="200" t="str">
        <f>+INDEX(PWP!$A:$Z,MATCH('PWP-Print'!E364,PWP!$B:$B,0),MATCH("ID",PWP!$A$1:$Z$1,0))</f>
        <v>110397_01</v>
      </c>
      <c r="F365" s="8"/>
      <c r="G365" s="249" t="str">
        <f>+INDEX(PWP!$A:$Z,MATCH('PWP-Print'!E364,PWP!$B:$B,0),MATCH("Name",PWP!$A$1:$Z$1,0))</f>
        <v>Basileus</v>
      </c>
      <c r="H365" s="8"/>
      <c r="I365" t="e" vm="7">
        <f>_xlfn.IMAGE("https://natalie.tf/wp-content/uploads/2023/10/DLV3_Icon_Ability_"&amp;INDEX('PWP-A'!$A$2:$C$31,MATCH('PWP-Print'!J365,'PWP-A'!$B$2:$B$31,0),1)&amp;".png")</f>
        <v>#VALUE!</v>
      </c>
      <c r="J365" s="229" t="str">
        <f>+INDEX(PWP!$A:$Z,MATCH('PWP-Print'!E364,PWP!$B:$B,0),MATCH("PWP Ability 2",PWP!$A$1:$Z$1,0))</f>
        <v>Force Strike +50%</v>
      </c>
      <c r="K365" s="249" t="str">
        <f>+INDEX(PWP!$A:$Z,MATCH('PWP-Print'!E364,PWP!$B:$B,0),MATCH("Locked PWP Ability 2",PWP!$A$1:$Z$1,0))</f>
        <v>(Wind) Force Strike +50%</v>
      </c>
      <c r="M365" s="729"/>
      <c r="N365" s="8"/>
      <c r="O365" s="221"/>
      <c r="P365" s="8"/>
      <c r="Q365" s="221"/>
      <c r="R365" s="8"/>
      <c r="S365" s="8"/>
      <c r="T365" s="8"/>
      <c r="U365" s="221"/>
    </row>
    <row r="366" spans="1:21" ht="22.5" customHeight="1" x14ac:dyDescent="0.3">
      <c r="A366" s="244" t="str">
        <f>TEXT(A362+1,"000")</f>
        <v>163</v>
      </c>
      <c r="C366" s="729"/>
      <c r="E366" s="251" t="str">
        <f>+INDEX(PWP!$A:$Z,MATCH('PWP-Print'!E364,PWP!$B:$B,0),MATCH("Num",PWP!$A$1:$Z$1,0))</f>
        <v>A-163</v>
      </c>
      <c r="G366" s="249" t="str">
        <f>+INDEX(PWP!$A:$Z,MATCH('PWP-Print'!E364,PWP!$B:$B,0),MATCH("Element",PWP!$A$1:$Z$1,0))&amp;" "&amp;INDEX(PWP!$A:$Z,MATCH('PWP-Print'!E364,PWP!$B:$B,0),MATCH("Type",PWP!$A$1:$Z$1,0))&amp;" Adventurer"</f>
        <v>Wind Wand Adventurer</v>
      </c>
      <c r="K366" s="250"/>
      <c r="M366" s="729"/>
      <c r="O366" s="221"/>
      <c r="Q366" s="221"/>
      <c r="U366" s="222"/>
    </row>
    <row r="367" spans="1:21" ht="37.5" customHeight="1" x14ac:dyDescent="0.2"/>
    <row r="368" spans="1:21" ht="22.5" customHeight="1" x14ac:dyDescent="0.3">
      <c r="C368" s="729" t="e" vm="1209">
        <f>_xlfn.IMAGE("https://natalie.tf/wp-content/uploads/2023/10/DLV3_Icon_ADV_"&amp;E369&amp;"_r05.png")</f>
        <v>#VALUE!</v>
      </c>
      <c r="E368" s="249" t="str">
        <f>"PWP-"&amp;A370</f>
        <v>PWP-176</v>
      </c>
      <c r="G368" s="249" t="str">
        <f>+INDEX(PWP!$A:$Z,MATCH('PWP-Print'!E368,PWP!$B:$B,0),MATCH("Title",PWP!$A$1:$Z$1,0))</f>
        <v>Disgraced Knight</v>
      </c>
      <c r="I368" t="e" vm="14">
        <f>_xlfn.IMAGE("https://natalie.tf/wp-content/uploads/2023/10/DLV3_Icon_Ability_"&amp;INDEX('PWP-A'!$A$2:$C$31,MATCH('PWP-Print'!J368,'PWP-A'!$B$2:$B$31,0),1)&amp;".png")</f>
        <v>#VALUE!</v>
      </c>
      <c r="J368" s="229" t="str">
        <f>+INDEX(PWP!$A:$Z,MATCH('PWP-Print'!E368,PWP!$B:$B,0),MATCH("PWP Ability 1",PWP!$A$1:$Z$1,0))</f>
        <v>Strength +20%</v>
      </c>
      <c r="K368" s="249" t="str">
        <f>+INDEX(PWP!$A:$Z,MATCH('PWP-Print'!E368,PWP!$B:$B,0),MATCH("Locked PWP Ability 1",PWP!$A$1:$Z$1,0))</f>
        <v>(Wind) Strength +20%</v>
      </c>
      <c r="M368" s="729" t="e" vm="1210">
        <f>_xlfn.IMAGE("https://natalie.tf/wp-content/uploads/2023/10/DLV3_Icon_ADV_"&amp;O369&amp;"_r05.png")</f>
        <v>#VALUE!</v>
      </c>
      <c r="O368" s="249" t="str">
        <f>"PWP-"&amp;B370</f>
        <v>PWP-189</v>
      </c>
      <c r="Q368" s="249" t="str">
        <f>+INDEX(PWP!$A:$Z,MATCH('PWP-Print'!O368,PWP!$B:$B,0),MATCH("Title",PWP!$A$1:$Z$1,0))</f>
        <v>Brilliant Beautician</v>
      </c>
      <c r="S368" t="e" vm="14">
        <f>_xlfn.IMAGE("https://natalie.tf/wp-content/uploads/2023/10/DLV3_Icon_Ability_"&amp;INDEX('PWP-A'!$A$2:$C$31,MATCH('PWP-Print'!T368,'PWP-A'!$B$2:$B$31,0),1)&amp;".png")</f>
        <v>#VALUE!</v>
      </c>
      <c r="T368" s="229" t="str">
        <f>+INDEX(PWP!$A:$Z,MATCH('PWP-Print'!O368,PWP!$B:$B,0),MATCH("PWP Ability 1",PWP!$A$1:$Z$1,0))</f>
        <v>Skill Damage +40%</v>
      </c>
      <c r="U368" s="249" t="str">
        <f>+INDEX(PWP!$A:$Z,MATCH('PWP-Print'!O368,PWP!$B:$B,0),MATCH("Locked PWP Ability 1",PWP!$A$1:$Z$1,0))</f>
        <v>(Light) Skill Damage +40%</v>
      </c>
    </row>
    <row r="369" spans="1:21" ht="22.5" customHeight="1" x14ac:dyDescent="0.3">
      <c r="C369" s="729"/>
      <c r="D369" s="8"/>
      <c r="E369" s="200" t="str">
        <f>+INDEX(PWP!$A:$Z,MATCH('PWP-Print'!E368,PWP!$B:$B,0),MATCH("ID",PWP!$A$1:$Z$1,0))</f>
        <v>110394_01</v>
      </c>
      <c r="F369" s="8"/>
      <c r="G369" s="249" t="str">
        <f>+INDEX(PWP!$A:$Z,MATCH('PWP-Print'!E368,PWP!$B:$B,0),MATCH("Name",PWP!$A$1:$Z$1,0))</f>
        <v>Cecile</v>
      </c>
      <c r="H369" s="8"/>
      <c r="I369" t="e" vm="7">
        <f>_xlfn.IMAGE("https://natalie.tf/wp-content/uploads/2023/10/DLV3_Icon_Ability_"&amp;INDEX('PWP-A'!$A$2:$C$31,MATCH('PWP-Print'!J369,'PWP-A'!$B$2:$B$31,0),1)&amp;".png")</f>
        <v>#VALUE!</v>
      </c>
      <c r="J369" s="229" t="str">
        <f>+INDEX(PWP!$A:$Z,MATCH('PWP-Print'!E368,PWP!$B:$B,0),MATCH("PWP Ability 2",PWP!$A$1:$Z$1,0))</f>
        <v>Force Strike +50%</v>
      </c>
      <c r="K369" s="249" t="str">
        <f>+INDEX(PWP!$A:$Z,MATCH('PWP-Print'!E368,PWP!$B:$B,0),MATCH("Locked PWP Ability 2",PWP!$A$1:$Z$1,0))</f>
        <v>(Wind) Force Strike +50%</v>
      </c>
      <c r="M369" s="729"/>
      <c r="N369" s="8"/>
      <c r="O369" s="200" t="str">
        <f>+INDEX(PWP!$A:$Z,MATCH('PWP-Print'!O368,PWP!$B:$B,0),MATCH("ID",PWP!$A$1:$Z$1,0))</f>
        <v>110015_02</v>
      </c>
      <c r="P369" s="8"/>
      <c r="Q369" s="249" t="str">
        <f>+INDEX(PWP!$A:$Z,MATCH('PWP-Print'!O368,PWP!$B:$B,0),MATCH("Name",PWP!$A$1:$Z$1,0))</f>
        <v>Beautician Zardin</v>
      </c>
      <c r="R369" s="8"/>
      <c r="S369" t="e" vm="688">
        <f>_xlfn.IMAGE("https://natalie.tf/wp-content/uploads/2023/10/DLV3_Icon_Ability_"&amp;INDEX('PWP-A'!$A$2:$C$31,MATCH('PWP-Print'!T369,'PWP-A'!$B$2:$B$31,0),1)&amp;".png")</f>
        <v>#VALUE!</v>
      </c>
      <c r="T369" s="229" t="str">
        <f>+INDEX(PWP!$A:$Z,MATCH('PWP-Print'!O368,PWP!$B:$B,0),MATCH("PWP Ability 2",PWP!$A$1:$Z$1,0))</f>
        <v>Overdrive Punisher +15%</v>
      </c>
      <c r="U369" s="249" t="str">
        <f>+INDEX(PWP!$A:$Z,MATCH('PWP-Print'!O368,PWP!$B:$B,0),MATCH("Locked PWP Ability 2",PWP!$A$1:$Z$1,0))</f>
        <v>(Light) Overdrive Punisher +15%</v>
      </c>
    </row>
    <row r="370" spans="1:21" ht="22.5" customHeight="1" x14ac:dyDescent="0.3">
      <c r="A370" s="242" t="str">
        <f>TEXT(B362+1,"000")</f>
        <v>176</v>
      </c>
      <c r="B370" s="244" t="str">
        <f>TEXT(A418+1,"000")</f>
        <v>189</v>
      </c>
      <c r="C370" s="729"/>
      <c r="E370" s="251" t="str">
        <f>+INDEX(PWP!$A:$Z,MATCH('PWP-Print'!E368,PWP!$B:$B,0),MATCH("Num",PWP!$A$1:$Z$1,0))</f>
        <v>A-176</v>
      </c>
      <c r="G370" s="249" t="str">
        <f>+INDEX(PWP!$A:$Z,MATCH('PWP-Print'!E368,PWP!$B:$B,0),MATCH("Element",PWP!$A$1:$Z$1,0))&amp;" "&amp;INDEX(PWP!$A:$Z,MATCH('PWP-Print'!E368,PWP!$B:$B,0),MATCH("Type",PWP!$A$1:$Z$1,0))&amp;" Adventurer"</f>
        <v>Wind Manacaster Adventurer</v>
      </c>
      <c r="K370" s="250"/>
      <c r="M370" s="729"/>
      <c r="O370" s="251" t="str">
        <f>+INDEX(PWP!$A:$Z,MATCH('PWP-Print'!O368,PWP!$B:$B,0),MATCH("Num",PWP!$A$1:$Z$1,0))</f>
        <v>A-189</v>
      </c>
      <c r="Q370" s="249" t="str">
        <f>+INDEX(PWP!$A:$Z,MATCH('PWP-Print'!O368,PWP!$B:$B,0),MATCH("Element",PWP!$A$1:$Z$1,0))&amp;" "&amp;INDEX(PWP!$A:$Z,MATCH('PWP-Print'!O368,PWP!$B:$B,0),MATCH("Type",PWP!$A$1:$Z$1,0))&amp;" Adventurer"</f>
        <v>Light Blade Adventurer</v>
      </c>
      <c r="U370" s="250"/>
    </row>
    <row r="371" spans="1:21" ht="7.5" customHeight="1" x14ac:dyDescent="0.3">
      <c r="A371" s="244" t="s">
        <v>10763</v>
      </c>
      <c r="E371" s="250"/>
      <c r="G371" s="250"/>
      <c r="K371" s="250"/>
      <c r="O371" s="250"/>
      <c r="Q371" s="250"/>
      <c r="U371" s="250"/>
    </row>
    <row r="372" spans="1:21" ht="22.5" customHeight="1" x14ac:dyDescent="0.3">
      <c r="C372" s="729" t="e" vm="1211">
        <f>_xlfn.IMAGE("https://natalie.tf/wp-content/uploads/2023/10/DLV3_Icon_ADV_"&amp;E373&amp;"_r05.png")</f>
        <v>#VALUE!</v>
      </c>
      <c r="E372" s="249" t="str">
        <f>"PWP-"&amp;A374</f>
        <v>PWP-177</v>
      </c>
      <c r="G372" s="249" t="str">
        <f>+INDEX(PWP!$A:$Z,MATCH('PWP-Print'!E372,PWP!$B:$B,0),MATCH("Title",PWP!$A$1:$Z$1,0))</f>
        <v>Sinful Marksman</v>
      </c>
      <c r="I372" t="e" vm="14">
        <f>_xlfn.IMAGE("https://natalie.tf/wp-content/uploads/2023/10/DLV3_Icon_Ability_"&amp;INDEX('PWP-A'!$A$2:$C$31,MATCH('PWP-Print'!J372,'PWP-A'!$B$2:$B$31,0),1)&amp;".png")</f>
        <v>#VALUE!</v>
      </c>
      <c r="J372" s="229" t="str">
        <f>+INDEX(PWP!$A:$Z,MATCH('PWP-Print'!E372,PWP!$B:$B,0),MATCH("PWP Ability 1",PWP!$A$1:$Z$1,0))</f>
        <v>Skill Damage +40%</v>
      </c>
      <c r="K372" s="249" t="str">
        <f>+INDEX(PWP!$A:$Z,MATCH('PWP-Print'!E372,PWP!$B:$B,0),MATCH("Locked PWP Ability 1",PWP!$A$1:$Z$1,0))</f>
        <v>(Wind) Skill Damage +40%</v>
      </c>
      <c r="M372" s="729" t="e" vm="1212">
        <f>_xlfn.IMAGE("https://natalie.tf/wp-content/uploads/2023/10/DLV3_Icon_ADV_"&amp;O373&amp;"_r05.png")</f>
        <v>#VALUE!</v>
      </c>
      <c r="O372" s="249" t="str">
        <f>"PWP-"&amp;B374</f>
        <v>PWP-190</v>
      </c>
      <c r="Q372" s="249" t="str">
        <f>+INDEX(PWP!$A:$Z,MATCH('PWP-Print'!O372,PWP!$B:$B,0),MATCH("Title",PWP!$A$1:$Z$1,0))</f>
        <v>Hinomotoan Dancer</v>
      </c>
      <c r="S372" t="e" vm="14">
        <f>_xlfn.IMAGE("https://natalie.tf/wp-content/uploads/2023/10/DLV3_Icon_Ability_"&amp;INDEX('PWP-A'!$A$2:$C$31,MATCH('PWP-Print'!T372,'PWP-A'!$B$2:$B$31,0),1)&amp;".png")</f>
        <v>#VALUE!</v>
      </c>
      <c r="T372" s="229" t="str">
        <f>+INDEX(PWP!$A:$Z,MATCH('PWP-Print'!O372,PWP!$B:$B,0),MATCH("PWP Ability 1",PWP!$A$1:$Z$1,0))</f>
        <v>Skill Damage +40%</v>
      </c>
      <c r="U372" s="249" t="str">
        <f>+INDEX(PWP!$A:$Z,MATCH('PWP-Print'!O372,PWP!$B:$B,0),MATCH("Locked PWP Ability 1",PWP!$A$1:$Z$1,0))</f>
        <v>(Light) Skill Damage +40%</v>
      </c>
    </row>
    <row r="373" spans="1:21" ht="22.5" customHeight="1" x14ac:dyDescent="0.3">
      <c r="C373" s="729"/>
      <c r="D373" s="8"/>
      <c r="E373" s="200" t="str">
        <f>+INDEX(PWP!$A:$Z,MATCH('PWP-Print'!E372,PWP!$B:$B,0),MATCH("ID",PWP!$A$1:$Z$1,0))</f>
        <v>110389_01</v>
      </c>
      <c r="F373" s="8"/>
      <c r="G373" s="249" t="str">
        <f>+INDEX(PWP!$A:$Z,MATCH('PWP-Print'!E372,PWP!$B:$B,0),MATCH("Name",PWP!$A$1:$Z$1,0))</f>
        <v>Saiga</v>
      </c>
      <c r="H373" s="8"/>
      <c r="I373" t="e" vm="688">
        <f>_xlfn.IMAGE("https://natalie.tf/wp-content/uploads/2023/10/DLV3_Icon_Ability_"&amp;INDEX('PWP-A'!$A$2:$C$31,MATCH('PWP-Print'!J373,'PWP-A'!$B$2:$B$31,0),1)&amp;".png")</f>
        <v>#VALUE!</v>
      </c>
      <c r="J373" s="229" t="str">
        <f>+INDEX(PWP!$A:$Z,MATCH('PWP-Print'!E372,PWP!$B:$B,0),MATCH("PWP Ability 2",PWP!$A$1:$Z$1,0))</f>
        <v>Overdrive Punisher +15%</v>
      </c>
      <c r="K373" s="249" t="str">
        <f>+INDEX(PWP!$A:$Z,MATCH('PWP-Print'!E372,PWP!$B:$B,0),MATCH("Locked PWP Ability 2",PWP!$A$1:$Z$1,0))</f>
        <v>(Wind) Overdrive Punisher +15%</v>
      </c>
      <c r="M373" s="729"/>
      <c r="N373" s="8"/>
      <c r="O373" s="200" t="str">
        <f>+INDEX(PWP!$A:$Z,MATCH('PWP-Print'!O372,PWP!$B:$B,0),MATCH("ID",PWP!$A$1:$Z$1,0))</f>
        <v>110348_01</v>
      </c>
      <c r="P373" s="8"/>
      <c r="Q373" s="249" t="str">
        <f>+INDEX(PWP!$A:$Z,MATCH('PWP-Print'!O372,PWP!$B:$B,0),MATCH("Name",PWP!$A$1:$Z$1,0))</f>
        <v>Hanabusa</v>
      </c>
      <c r="R373" s="8"/>
      <c r="S373" t="e" vm="330">
        <f>_xlfn.IMAGE("https://natalie.tf/wp-content/uploads/2023/10/DLV3_Icon_Ability_"&amp;INDEX('PWP-A'!$A$2:$C$31,MATCH('PWP-Print'!T373,'PWP-A'!$B$2:$B$31,0),1)&amp;".png")</f>
        <v>#VALUE!</v>
      </c>
      <c r="T373" s="229" t="str">
        <f>+INDEX(PWP!$A:$Z,MATCH('PWP-Print'!O372,PWP!$B:$B,0),MATCH("PWP Ability 2",PWP!$A$1:$Z$1,0))</f>
        <v>Skill Haste +10%</v>
      </c>
      <c r="U373" s="249" t="str">
        <f>+INDEX(PWP!$A:$Z,MATCH('PWP-Print'!O372,PWP!$B:$B,0),MATCH("Locked PWP Ability 2",PWP!$A$1:$Z$1,0))</f>
        <v>(Light) Skill Haste +10%</v>
      </c>
    </row>
    <row r="374" spans="1:21" ht="22.5" customHeight="1" x14ac:dyDescent="0.3">
      <c r="A374" s="244" t="str">
        <f>TEXT(A370+1,"000")</f>
        <v>177</v>
      </c>
      <c r="B374" s="244" t="str">
        <f>TEXT(B370+1,"000")</f>
        <v>190</v>
      </c>
      <c r="C374" s="729"/>
      <c r="E374" s="251" t="str">
        <f>+INDEX(PWP!$A:$Z,MATCH('PWP-Print'!E372,PWP!$B:$B,0),MATCH("Num",PWP!$A$1:$Z$1,0))</f>
        <v>A-177</v>
      </c>
      <c r="G374" s="249" t="str">
        <f>+INDEX(PWP!$A:$Z,MATCH('PWP-Print'!E372,PWP!$B:$B,0),MATCH("Element",PWP!$A$1:$Z$1,0))&amp;" "&amp;INDEX(PWP!$A:$Z,MATCH('PWP-Print'!E372,PWP!$B:$B,0),MATCH("Type",PWP!$A$1:$Z$1,0))&amp;" Adventurer"</f>
        <v>Wind Manacaster Adventurer</v>
      </c>
      <c r="K374" s="250"/>
      <c r="M374" s="729"/>
      <c r="O374" s="251" t="str">
        <f>+INDEX(PWP!$A:$Z,MATCH('PWP-Print'!O372,PWP!$B:$B,0),MATCH("Num",PWP!$A$1:$Z$1,0))</f>
        <v>A-190</v>
      </c>
      <c r="Q374" s="249" t="str">
        <f>+INDEX(PWP!$A:$Z,MATCH('PWP-Print'!O372,PWP!$B:$B,0),MATCH("Element",PWP!$A$1:$Z$1,0))&amp;" "&amp;INDEX(PWP!$A:$Z,MATCH('PWP-Print'!O372,PWP!$B:$B,0),MATCH("Type",PWP!$A$1:$Z$1,0))&amp;" Adventurer"</f>
        <v>Light Blade Adventurer</v>
      </c>
      <c r="U374" s="250"/>
    </row>
    <row r="375" spans="1:21" ht="7.5" customHeight="1" x14ac:dyDescent="0.3">
      <c r="A375" s="244" t="s">
        <v>10763</v>
      </c>
      <c r="E375" s="250"/>
      <c r="G375" s="250"/>
      <c r="K375" s="250"/>
      <c r="O375" s="250"/>
      <c r="Q375" s="250"/>
      <c r="U375" s="250"/>
    </row>
    <row r="376" spans="1:21" ht="22.5" customHeight="1" x14ac:dyDescent="0.3">
      <c r="C376" s="729" t="e" vm="1213">
        <f>_xlfn.IMAGE("https://natalie.tf/wp-content/uploads/2023/10/DLV3_Icon_ADV_"&amp;E377&amp;"_r05.png")</f>
        <v>#VALUE!</v>
      </c>
      <c r="E376" s="249" t="str">
        <f>"PWP-"&amp;A378</f>
        <v>PWP-178</v>
      </c>
      <c r="G376" s="249" t="str">
        <f>+INDEX(PWP!$A:$Z,MATCH('PWP-Print'!E376,PWP!$B:$B,0),MATCH("Title",PWP!$A$1:$Z$1,0))</f>
        <v>Resolved Hunter</v>
      </c>
      <c r="I376" t="e" vm="14">
        <f>_xlfn.IMAGE("https://natalie.tf/wp-content/uploads/2023/10/DLV3_Icon_Ability_"&amp;INDEX('PWP-A'!$A$2:$C$31,MATCH('PWP-Print'!J376,'PWP-A'!$B$2:$B$31,0),1)&amp;".png")</f>
        <v>#VALUE!</v>
      </c>
      <c r="J376" s="229" t="str">
        <f>+INDEX(PWP!$A:$Z,MATCH('PWP-Print'!E376,PWP!$B:$B,0),MATCH("PWP Ability 1",PWP!$A$1:$Z$1,0))</f>
        <v>Strength +20%</v>
      </c>
      <c r="K376" s="249" t="str">
        <f>+INDEX(PWP!$A:$Z,MATCH('PWP-Print'!E376,PWP!$B:$B,0),MATCH("Locked PWP Ability 1",PWP!$A$1:$Z$1,0))</f>
        <v>(Wind) Strength +20%</v>
      </c>
      <c r="M376" s="729" t="e" vm="1214">
        <f>_xlfn.IMAGE("https://natalie.tf/wp-content/uploads/2023/10/DLV3_Icon_ADV_"&amp;O377&amp;"_r05.png")</f>
        <v>#VALUE!</v>
      </c>
      <c r="O376" s="249" t="str">
        <f>"PWP-"&amp;B378</f>
        <v>PWP-191</v>
      </c>
      <c r="Q376" s="249" t="str">
        <f>+INDEX(PWP!$A:$Z,MATCH('PWP-Print'!O376,PWP!$B:$B,0),MATCH("Title",PWP!$A$1:$Z$1,0))</f>
        <v>Peerless Duelist</v>
      </c>
      <c r="S376" t="e" vm="326">
        <f>_xlfn.IMAGE("https://natalie.tf/wp-content/uploads/2023/10/DLV3_Icon_Ability_"&amp;INDEX('PWP-A'!$A$2:$C$31,MATCH('PWP-Print'!T376,'PWP-A'!$B$2:$B$31,0),1)&amp;".png")</f>
        <v>#VALUE!</v>
      </c>
      <c r="T376" s="229" t="str">
        <f>+INDEX(PWP!$A:$Z,MATCH('PWP-Print'!O376,PWP!$B:$B,0),MATCH("PWP Ability 1",PWP!$A$1:$Z$1,0))</f>
        <v>Critical Rate +15%</v>
      </c>
      <c r="U376" s="249" t="str">
        <f>+INDEX(PWP!$A:$Z,MATCH('PWP-Print'!O376,PWP!$B:$B,0),MATCH("Locked PWP Ability 1",PWP!$A$1:$Z$1,0))</f>
        <v>(Light) Critical Rate +15%</v>
      </c>
    </row>
    <row r="377" spans="1:21" ht="22.5" customHeight="1" x14ac:dyDescent="0.3">
      <c r="C377" s="729"/>
      <c r="D377" s="8"/>
      <c r="E377" s="200" t="str">
        <f>+INDEX(PWP!$A:$Z,MATCH('PWP-Print'!E376,PWP!$B:$B,0),MATCH("ID",PWP!$A$1:$Z$1,0))</f>
        <v>110350_02</v>
      </c>
      <c r="F377" s="8"/>
      <c r="G377" s="249" t="str">
        <f>+INDEX(PWP!$A:$Z,MATCH('PWP-Print'!E376,PWP!$B:$B,0),MATCH("Name",PWP!$A$1:$Z$1,0))</f>
        <v>Formal Joachim</v>
      </c>
      <c r="H377" s="8"/>
      <c r="I377" t="e" vm="688">
        <f>_xlfn.IMAGE("https://natalie.tf/wp-content/uploads/2023/10/DLV3_Icon_Ability_"&amp;INDEX('PWP-A'!$A$2:$C$31,MATCH('PWP-Print'!J377,'PWP-A'!$B$2:$B$31,0),1)&amp;".png")</f>
        <v>#VALUE!</v>
      </c>
      <c r="J377" s="229" t="str">
        <f>+INDEX(PWP!$A:$Z,MATCH('PWP-Print'!E376,PWP!$B:$B,0),MATCH("PWP Ability 2",PWP!$A$1:$Z$1,0))</f>
        <v>Overdrive Punisher +15%</v>
      </c>
      <c r="K377" s="249" t="str">
        <f>+INDEX(PWP!$A:$Z,MATCH('PWP-Print'!E376,PWP!$B:$B,0),MATCH("Locked PWP Ability 2",PWP!$A$1:$Z$1,0))</f>
        <v>(Wind) Overdrive Punisher +15%</v>
      </c>
      <c r="M377" s="729"/>
      <c r="N377" s="8"/>
      <c r="O377" s="200" t="str">
        <f>+INDEX(PWP!$A:$Z,MATCH('PWP-Print'!O376,PWP!$B:$B,0),MATCH("ID",PWP!$A$1:$Z$1,0))</f>
        <v>110064_01</v>
      </c>
      <c r="P377" s="8"/>
      <c r="Q377" s="249" t="str">
        <f>+INDEX(PWP!$A:$Z,MATCH('PWP-Print'!O376,PWP!$B:$B,0),MATCH("Name",PWP!$A$1:$Z$1,0))</f>
        <v>Yachiyo</v>
      </c>
      <c r="R377" s="8"/>
      <c r="S377" t="e" vm="330">
        <f>_xlfn.IMAGE("https://natalie.tf/wp-content/uploads/2023/10/DLV3_Icon_Ability_"&amp;INDEX('PWP-A'!$A$2:$C$31,MATCH('PWP-Print'!T377,'PWP-A'!$B$2:$B$31,0),1)&amp;".png")</f>
        <v>#VALUE!</v>
      </c>
      <c r="T377" s="229" t="str">
        <f>+INDEX(PWP!$A:$Z,MATCH('PWP-Print'!O376,PWP!$B:$B,0),MATCH("PWP Ability 2",PWP!$A$1:$Z$1,0))</f>
        <v>Skill Haste +10%</v>
      </c>
      <c r="U377" s="249" t="str">
        <f>+INDEX(PWP!$A:$Z,MATCH('PWP-Print'!O376,PWP!$B:$B,0),MATCH("Locked PWP Ability 2",PWP!$A$1:$Z$1,0))</f>
        <v>(Light) Skill Haste +10%</v>
      </c>
    </row>
    <row r="378" spans="1:21" ht="22.5" customHeight="1" x14ac:dyDescent="0.3">
      <c r="A378" s="244" t="str">
        <f>TEXT(A374+1,"000")</f>
        <v>178</v>
      </c>
      <c r="B378" s="244" t="str">
        <f>TEXT(B374+1,"000")</f>
        <v>191</v>
      </c>
      <c r="C378" s="729"/>
      <c r="E378" s="251" t="str">
        <f>+INDEX(PWP!$A:$Z,MATCH('PWP-Print'!E376,PWP!$B:$B,0),MATCH("Num",PWP!$A$1:$Z$1,0))</f>
        <v>A-178</v>
      </c>
      <c r="G378" s="249" t="str">
        <f>+INDEX(PWP!$A:$Z,MATCH('PWP-Print'!E376,PWP!$B:$B,0),MATCH("Element",PWP!$A$1:$Z$1,0))&amp;" "&amp;INDEX(PWP!$A:$Z,MATCH('PWP-Print'!E376,PWP!$B:$B,0),MATCH("Type",PWP!$A$1:$Z$1,0))&amp;" Adventurer"</f>
        <v>Wind Manacaster Adventurer</v>
      </c>
      <c r="K378" s="250"/>
      <c r="M378" s="729"/>
      <c r="O378" s="251" t="str">
        <f>+INDEX(PWP!$A:$Z,MATCH('PWP-Print'!O376,PWP!$B:$B,0),MATCH("Num",PWP!$A$1:$Z$1,0))</f>
        <v>A-191</v>
      </c>
      <c r="Q378" s="249" t="str">
        <f>+INDEX(PWP!$A:$Z,MATCH('PWP-Print'!O376,PWP!$B:$B,0),MATCH("Element",PWP!$A$1:$Z$1,0))&amp;" "&amp;INDEX(PWP!$A:$Z,MATCH('PWP-Print'!O376,PWP!$B:$B,0),MATCH("Type",PWP!$A$1:$Z$1,0))&amp;" Adventurer"</f>
        <v>Light Blade Adventurer</v>
      </c>
      <c r="U378" s="250"/>
    </row>
    <row r="379" spans="1:21" ht="7.5" customHeight="1" x14ac:dyDescent="0.3">
      <c r="A379" s="244" t="s">
        <v>10763</v>
      </c>
      <c r="E379" s="250"/>
      <c r="G379" s="250"/>
      <c r="K379" s="250"/>
      <c r="O379" s="250"/>
      <c r="Q379" s="250"/>
      <c r="U379" s="250"/>
    </row>
    <row r="380" spans="1:21" ht="22.5" customHeight="1" x14ac:dyDescent="0.3">
      <c r="C380" s="729" t="e" vm="1215">
        <f>_xlfn.IMAGE("https://natalie.tf/wp-content/uploads/2023/10/DLV3_Icon_ADV_"&amp;E381&amp;"_r05.png")</f>
        <v>#VALUE!</v>
      </c>
      <c r="E380" s="249" t="str">
        <f>"PWP-"&amp;A382</f>
        <v>PWP-179</v>
      </c>
      <c r="G380" s="249" t="str">
        <f>+INDEX(PWP!$A:$Z,MATCH('PWP-Print'!E380,PWP!$B:$B,0),MATCH("Title",PWP!$A$1:$Z$1,0))</f>
        <v>Ambitious Knight</v>
      </c>
      <c r="I380" t="e" vm="14">
        <f>_xlfn.IMAGE("https://natalie.tf/wp-content/uploads/2023/10/DLV3_Icon_Ability_"&amp;INDEX('PWP-A'!$A$2:$C$31,MATCH('PWP-Print'!J380,'PWP-A'!$B$2:$B$31,0),1)&amp;".png")</f>
        <v>#VALUE!</v>
      </c>
      <c r="J380" s="229" t="str">
        <f>+INDEX(PWP!$A:$Z,MATCH('PWP-Print'!E380,PWP!$B:$B,0),MATCH("PWP Ability 1",PWP!$A$1:$Z$1,0))</f>
        <v>Skill Damage +40%</v>
      </c>
      <c r="K380" s="249" t="str">
        <f>+INDEX(PWP!$A:$Z,MATCH('PWP-Print'!E380,PWP!$B:$B,0),MATCH("Locked PWP Ability 1",PWP!$A$1:$Z$1,0))</f>
        <v>(Light) Skill Damage +40%</v>
      </c>
      <c r="M380" s="729" t="e" vm="1216">
        <f>_xlfn.IMAGE("https://natalie.tf/wp-content/uploads/2023/10/DLV3_Icon_ADV_"&amp;O381&amp;"_r05.png")</f>
        <v>#VALUE!</v>
      </c>
      <c r="O380" s="249" t="str">
        <f>"PWP-"&amp;B382</f>
        <v>PWP-192</v>
      </c>
      <c r="Q380" s="249" t="str">
        <f>+INDEX(PWP!$A:$Z,MATCH('PWP-Print'!O380,PWP!$B:$B,0),MATCH("Title",PWP!$A$1:$Z$1,0))</f>
        <v>Bloodsucking Butler</v>
      </c>
      <c r="S380" t="e" vm="14">
        <f>_xlfn.IMAGE("https://natalie.tf/wp-content/uploads/2023/10/DLV3_Icon_Ability_"&amp;INDEX('PWP-A'!$A$2:$C$31,MATCH('PWP-Print'!T380,'PWP-A'!$B$2:$B$31,0),1)&amp;".png")</f>
        <v>#VALUE!</v>
      </c>
      <c r="T380" s="229" t="str">
        <f>+INDEX(PWP!$A:$Z,MATCH('PWP-Print'!O380,PWP!$B:$B,0),MATCH("PWP Ability 1",PWP!$A$1:$Z$1,0))</f>
        <v>Strength +20%</v>
      </c>
      <c r="U380" s="249" t="str">
        <f>+INDEX(PWP!$A:$Z,MATCH('PWP-Print'!O380,PWP!$B:$B,0),MATCH("Locked PWP Ability 1",PWP!$A$1:$Z$1,0))</f>
        <v>(Light) Strength +20%</v>
      </c>
    </row>
    <row r="381" spans="1:21" ht="22.5" customHeight="1" x14ac:dyDescent="0.3">
      <c r="C381" s="729"/>
      <c r="D381" s="8"/>
      <c r="E381" s="200" t="str">
        <f>+INDEX(PWP!$A:$Z,MATCH('PWP-Print'!E380,PWP!$B:$B,0),MATCH("ID",PWP!$A$1:$Z$1,0))</f>
        <v>100018_07</v>
      </c>
      <c r="F381" s="8"/>
      <c r="G381" s="249" t="str">
        <f>+INDEX(PWP!$A:$Z,MATCH('PWP-Print'!E380,PWP!$B:$B,0),MATCH("Name",PWP!$A$1:$Z$1,0))</f>
        <v>Civilian Leif</v>
      </c>
      <c r="H381" s="8"/>
      <c r="I381" t="e" vm="496">
        <f>_xlfn.IMAGE("https://natalie.tf/wp-content/uploads/2023/10/DLV3_Icon_Ability_"&amp;INDEX('PWP-A'!$A$2:$C$31,MATCH('PWP-Print'!J381,'PWP-A'!$B$2:$B$31,0),1)&amp;".png")</f>
        <v>#VALUE!</v>
      </c>
      <c r="J381" s="229" t="str">
        <f>+INDEX(PWP!$A:$Z,MATCH('PWP-Print'!E380,PWP!$B:$B,0),MATCH("PWP Ability 2",PWP!$A$1:$Z$1,0))</f>
        <v>HP +15%</v>
      </c>
      <c r="K381" s="249" t="str">
        <f>+INDEX(PWP!$A:$Z,MATCH('PWP-Print'!E380,PWP!$B:$B,0),MATCH("Locked PWP Ability 2",PWP!$A$1:$Z$1,0))</f>
        <v>(Light) HP +15%</v>
      </c>
      <c r="M381" s="729"/>
      <c r="N381" s="8"/>
      <c r="O381" s="200" t="str">
        <f>+INDEX(PWP!$A:$Z,MATCH('PWP-Print'!O380,PWP!$B:$B,0),MATCH("ID",PWP!$A$1:$Z$1,0))</f>
        <v>110049_02</v>
      </c>
      <c r="P381" s="8"/>
      <c r="Q381" s="249" t="str">
        <f>+INDEX(PWP!$A:$Z,MATCH('PWP-Print'!O380,PWP!$B:$B,0),MATCH("Name",PWP!$A$1:$Z$1,0))</f>
        <v>Halloween Edward</v>
      </c>
      <c r="R381" s="8"/>
      <c r="S381" t="e" vm="376">
        <f>_xlfn.IMAGE("https://natalie.tf/wp-content/uploads/2023/10/DLV3_Icon_Ability_"&amp;INDEX('PWP-A'!$A$2:$C$31,MATCH('PWP-Print'!T381,'PWP-A'!$B$2:$B$31,0),1)&amp;".png")</f>
        <v>#VALUE!</v>
      </c>
      <c r="T381" s="229" t="str">
        <f>+INDEX(PWP!$A:$Z,MATCH('PWP-Print'!O380,PWP!$B:$B,0),MATCH("PWP Ability 2",PWP!$A$1:$Z$1,0))</f>
        <v>Broken Punisher +30%</v>
      </c>
      <c r="U381" s="249" t="str">
        <f>+INDEX(PWP!$A:$Z,MATCH('PWP-Print'!O380,PWP!$B:$B,0),MATCH("Locked PWP Ability 2",PWP!$A$1:$Z$1,0))</f>
        <v>(Light) Broken Punisher +30%</v>
      </c>
    </row>
    <row r="382" spans="1:21" ht="22.5" customHeight="1" x14ac:dyDescent="0.3">
      <c r="A382" s="244" t="str">
        <f>TEXT(A378+1,"000")</f>
        <v>179</v>
      </c>
      <c r="B382" s="244" t="str">
        <f>TEXT(B378+1,"000")</f>
        <v>192</v>
      </c>
      <c r="C382" s="729"/>
      <c r="E382" s="251" t="str">
        <f>+INDEX(PWP!$A:$Z,MATCH('PWP-Print'!E380,PWP!$B:$B,0),MATCH("Num",PWP!$A$1:$Z$1,0))</f>
        <v>A-179</v>
      </c>
      <c r="G382" s="249" t="str">
        <f>+INDEX(PWP!$A:$Z,MATCH('PWP-Print'!E380,PWP!$B:$B,0),MATCH("Element",PWP!$A$1:$Z$1,0))&amp;" "&amp;INDEX(PWP!$A:$Z,MATCH('PWP-Print'!E380,PWP!$B:$B,0),MATCH("Type",PWP!$A$1:$Z$1,0))&amp;" Adventurer"</f>
        <v>Light Sword Adventurer</v>
      </c>
      <c r="K382" s="250"/>
      <c r="M382" s="729"/>
      <c r="O382" s="251" t="str">
        <f>+INDEX(PWP!$A:$Z,MATCH('PWP-Print'!O380,PWP!$B:$B,0),MATCH("Num",PWP!$A$1:$Z$1,0))</f>
        <v>A-192</v>
      </c>
      <c r="Q382" s="249" t="str">
        <f>+INDEX(PWP!$A:$Z,MATCH('PWP-Print'!O380,PWP!$B:$B,0),MATCH("Element",PWP!$A$1:$Z$1,0))&amp;" "&amp;INDEX(PWP!$A:$Z,MATCH('PWP-Print'!O380,PWP!$B:$B,0),MATCH("Type",PWP!$A$1:$Z$1,0))&amp;" Adventurer"</f>
        <v>Light Blade Adventurer</v>
      </c>
      <c r="U382" s="250"/>
    </row>
    <row r="383" spans="1:21" ht="7.5" customHeight="1" x14ac:dyDescent="0.3">
      <c r="A383" s="244" t="s">
        <v>10763</v>
      </c>
      <c r="E383" s="250"/>
      <c r="G383" s="250"/>
      <c r="K383" s="250"/>
      <c r="O383" s="250"/>
      <c r="Q383" s="250"/>
      <c r="U383" s="250"/>
    </row>
    <row r="384" spans="1:21" ht="22.5" customHeight="1" x14ac:dyDescent="0.3">
      <c r="C384" s="729" t="e" vm="1217">
        <f>_xlfn.IMAGE("https://natalie.tf/wp-content/uploads/2023/10/DLV3_Icon_ADV_"&amp;E385&amp;"_r05.png")</f>
        <v>#VALUE!</v>
      </c>
      <c r="E384" s="249" t="str">
        <f>"PWP-"&amp;A386</f>
        <v>PWP-180</v>
      </c>
      <c r="G384" s="249" t="str">
        <f>+INDEX(PWP!$A:$Z,MATCH('PWP-Print'!E384,PWP!$B:$B,0),MATCH("Title",PWP!$A$1:$Z$1,0))</f>
        <v>Peckish Princess</v>
      </c>
      <c r="I384" t="e" vm="14">
        <f>_xlfn.IMAGE("https://natalie.tf/wp-content/uploads/2023/10/DLV3_Icon_Ability_"&amp;INDEX('PWP-A'!$A$2:$C$31,MATCH('PWP-Print'!J384,'PWP-A'!$B$2:$B$31,0),1)&amp;".png")</f>
        <v>#VALUE!</v>
      </c>
      <c r="J384" s="229" t="str">
        <f>+INDEX(PWP!$A:$Z,MATCH('PWP-Print'!E384,PWP!$B:$B,0),MATCH("PWP Ability 1",PWP!$A$1:$Z$1,0))</f>
        <v>Skill Damage +40%</v>
      </c>
      <c r="K384" s="249" t="str">
        <f>+INDEX(PWP!$A:$Z,MATCH('PWP-Print'!E384,PWP!$B:$B,0),MATCH("Locked PWP Ability 1",PWP!$A$1:$Z$1,0))</f>
        <v>(Light) Skill Damage +40%</v>
      </c>
      <c r="M384" s="729" t="e" vm="1218">
        <f>_xlfn.IMAGE("https://natalie.tf/wp-content/uploads/2023/10/DLV3_Icon_ADV_"&amp;O385&amp;"_r05.png")</f>
        <v>#VALUE!</v>
      </c>
      <c r="O384" s="249" t="str">
        <f>"PWP-"&amp;B386</f>
        <v>PWP-193</v>
      </c>
      <c r="Q384" s="249" t="str">
        <f>+INDEX(PWP!$A:$Z,MATCH('PWP-Print'!O384,PWP!$B:$B,0),MATCH("Title",PWP!$A$1:$Z$1,0))</f>
        <v>Synced Wyrmbinder</v>
      </c>
      <c r="S384" t="e" vm="14">
        <f>_xlfn.IMAGE("https://natalie.tf/wp-content/uploads/2023/10/DLV3_Icon_Ability_"&amp;INDEX('PWP-A'!$A$2:$C$31,MATCH('PWP-Print'!T384,'PWP-A'!$B$2:$B$31,0),1)&amp;".png")</f>
        <v>#VALUE!</v>
      </c>
      <c r="T384" s="229" t="str">
        <f>+INDEX(PWP!$A:$Z,MATCH('PWP-Print'!O384,PWP!$B:$B,0),MATCH("PWP Ability 1",PWP!$A$1:$Z$1,0))</f>
        <v>Strength +20%</v>
      </c>
      <c r="U384" s="249" t="str">
        <f>+INDEX(PWP!$A:$Z,MATCH('PWP-Print'!O384,PWP!$B:$B,0),MATCH("Locked PWP Ability 1",PWP!$A$1:$Z$1,0))</f>
        <v>(Light) Strength +20%</v>
      </c>
    </row>
    <row r="385" spans="1:21" ht="22.5" customHeight="1" x14ac:dyDescent="0.3">
      <c r="C385" s="729"/>
      <c r="D385" s="8"/>
      <c r="E385" s="200" t="str">
        <f>+INDEX(PWP!$A:$Z,MATCH('PWP-Print'!E384,PWP!$B:$B,0),MATCH("ID",PWP!$A$1:$Z$1,0))</f>
        <v>110371_01</v>
      </c>
      <c r="F385" s="8"/>
      <c r="G385" s="249" t="str">
        <f>+INDEX(PWP!$A:$Z,MATCH('PWP-Print'!E384,PWP!$B:$B,0),MATCH("Name",PWP!$A$1:$Z$1,0))</f>
        <v>Pecorine</v>
      </c>
      <c r="H385" s="8"/>
      <c r="I385" t="e" vm="696">
        <f>_xlfn.IMAGE("https://natalie.tf/wp-content/uploads/2023/10/DLV3_Icon_Ability_"&amp;INDEX('PWP-A'!$A$2:$C$31,MATCH('PWP-Print'!J385,'PWP-A'!$B$2:$B$31,0),1)&amp;".png")</f>
        <v>#VALUE!</v>
      </c>
      <c r="J385" s="229" t="str">
        <f>+INDEX(PWP!$A:$Z,MATCH('PWP-Print'!E384,PWP!$B:$B,0),MATCH("PWP Ability 2",PWP!$A$1:$Z$1,0))</f>
        <v>Elemental Res +15%</v>
      </c>
      <c r="K385" s="249" t="str">
        <f>+INDEX(PWP!$A:$Z,MATCH('PWP-Print'!E384,PWP!$B:$B,0),MATCH("Locked PWP Ability 2",PWP!$A$1:$Z$1,0))</f>
        <v>(Light) Elemental Res +15%</v>
      </c>
      <c r="M385" s="729"/>
      <c r="N385" s="8"/>
      <c r="O385" s="200" t="str">
        <f>+INDEX(PWP!$A:$Z,MATCH('PWP-Print'!O384,PWP!$B:$B,0),MATCH("ID",PWP!$A$1:$Z$1,0))</f>
        <v>110393_01</v>
      </c>
      <c r="P385" s="8"/>
      <c r="Q385" s="249" t="str">
        <f>+INDEX(PWP!$A:$Z,MATCH('PWP-Print'!O384,PWP!$B:$B,0),MATCH("Name",PWP!$A$1:$Z$1,0))</f>
        <v>Farren</v>
      </c>
      <c r="R385" s="8"/>
      <c r="S385" t="e" vm="330">
        <f>_xlfn.IMAGE("https://natalie.tf/wp-content/uploads/2023/10/DLV3_Icon_Ability_"&amp;INDEX('PWP-A'!$A$2:$C$31,MATCH('PWP-Print'!T385,'PWP-A'!$B$2:$B$31,0),1)&amp;".png")</f>
        <v>#VALUE!</v>
      </c>
      <c r="T385" s="229" t="str">
        <f>+INDEX(PWP!$A:$Z,MATCH('PWP-Print'!O384,PWP!$B:$B,0),MATCH("PWP Ability 2",PWP!$A$1:$Z$1,0))</f>
        <v>Skill Haste +10%</v>
      </c>
      <c r="U385" s="249" t="str">
        <f>+INDEX(PWP!$A:$Z,MATCH('PWP-Print'!O384,PWP!$B:$B,0),MATCH("Locked PWP Ability 2",PWP!$A$1:$Z$1,0))</f>
        <v>(Light) Skill Haste +10%</v>
      </c>
    </row>
    <row r="386" spans="1:21" ht="22.5" customHeight="1" x14ac:dyDescent="0.3">
      <c r="A386" s="244" t="str">
        <f>TEXT(A382+1,"000")</f>
        <v>180</v>
      </c>
      <c r="B386" s="244" t="str">
        <f>TEXT(B382+1,"000")</f>
        <v>193</v>
      </c>
      <c r="C386" s="729"/>
      <c r="E386" s="251" t="str">
        <f>+INDEX(PWP!$A:$Z,MATCH('PWP-Print'!E384,PWP!$B:$B,0),MATCH("Num",PWP!$A$1:$Z$1,0))</f>
        <v>A-180</v>
      </c>
      <c r="G386" s="249" t="str">
        <f>+INDEX(PWP!$A:$Z,MATCH('PWP-Print'!E384,PWP!$B:$B,0),MATCH("Element",PWP!$A$1:$Z$1,0))&amp;" "&amp;INDEX(PWP!$A:$Z,MATCH('PWP-Print'!E384,PWP!$B:$B,0),MATCH("Type",PWP!$A$1:$Z$1,0))&amp;" Adventurer"</f>
        <v>Light Sword Adventurer</v>
      </c>
      <c r="K386" s="250"/>
      <c r="M386" s="729"/>
      <c r="O386" s="251" t="str">
        <f>+INDEX(PWP!$A:$Z,MATCH('PWP-Print'!O384,PWP!$B:$B,0),MATCH("Num",PWP!$A$1:$Z$1,0))</f>
        <v>A-193</v>
      </c>
      <c r="Q386" s="249" t="str">
        <f>+INDEX(PWP!$A:$Z,MATCH('PWP-Print'!O384,PWP!$B:$B,0),MATCH("Element",PWP!$A$1:$Z$1,0))&amp;" "&amp;INDEX(PWP!$A:$Z,MATCH('PWP-Print'!O384,PWP!$B:$B,0),MATCH("Type",PWP!$A$1:$Z$1,0))&amp;" Adventurer"</f>
        <v>Light Dagger Adventurer</v>
      </c>
      <c r="U386" s="250"/>
    </row>
    <row r="387" spans="1:21" ht="7.5" customHeight="1" x14ac:dyDescent="0.3">
      <c r="A387" s="244" t="s">
        <v>10763</v>
      </c>
      <c r="E387" s="250"/>
      <c r="G387" s="250"/>
      <c r="K387" s="250"/>
      <c r="O387" s="250"/>
      <c r="Q387" s="250"/>
      <c r="U387" s="250"/>
    </row>
    <row r="388" spans="1:21" ht="22.5" customHeight="1" x14ac:dyDescent="0.3">
      <c r="C388" s="729" t="e" vm="1219">
        <f>_xlfn.IMAGE("https://natalie.tf/wp-content/uploads/2023/10/DLV3_Icon_ADV_"&amp;E389&amp;"_r05.png")</f>
        <v>#VALUE!</v>
      </c>
      <c r="E388" s="249" t="str">
        <f>"PWP-"&amp;A390</f>
        <v>PWP-181</v>
      </c>
      <c r="G388" s="249" t="str">
        <f>+INDEX(PWP!$A:$Z,MATCH('PWP-Print'!E388,PWP!$B:$B,0),MATCH("Title",PWP!$A$1:$Z$1,0))</f>
        <v>Bearer of Dragonlight</v>
      </c>
      <c r="I388" t="e" vm="1036">
        <f>_xlfn.IMAGE("https://natalie.tf/wp-content/uploads/2023/10/DLV3_Icon_Ability_"&amp;INDEX('PWP-A'!$A$2:$C$31,MATCH('PWP-Print'!J388,'PWP-A'!$B$2:$B$31,0),1)&amp;".png")</f>
        <v>#VALUE!</v>
      </c>
      <c r="J388" s="229" t="str">
        <f>+INDEX(PWP!$A:$Z,MATCH('PWP-Print'!E388,PWP!$B:$B,0),MATCH("PWP Ability 1",PWP!$A$1:$Z$1,0))</f>
        <v>15 Hits = Overdamage</v>
      </c>
      <c r="K388" s="249" t="str">
        <f>+INDEX(PWP!$A:$Z,MATCH('PWP-Print'!E388,PWP!$B:$B,0),MATCH("Locked PWP Ability 1",PWP!$A$1:$Z$1,0))</f>
        <v>(Light) 15 Hits = Overdamage</v>
      </c>
      <c r="M388" s="729" t="e" vm="1220">
        <f>_xlfn.IMAGE("https://natalie.tf/wp-content/uploads/2023/10/DLV3_Icon_ADV_"&amp;O389&amp;"_r05.png")</f>
        <v>#VALUE!</v>
      </c>
      <c r="O388" s="249" t="str">
        <f>"PWP-"&amp;B390</f>
        <v>PWP-194</v>
      </c>
      <c r="Q388" s="249" t="str">
        <f>+INDEX(PWP!$A:$Z,MATCH('PWP-Print'!O388,PWP!$B:$B,0),MATCH("Title",PWP!$A$1:$Z$1,0))</f>
        <v>Festival Inquisitor</v>
      </c>
      <c r="S388" t="e" vm="688">
        <f>_xlfn.IMAGE("https://natalie.tf/wp-content/uploads/2023/10/DLV3_Icon_Ability_"&amp;INDEX('PWP-A'!$A$2:$C$31,MATCH('PWP-Print'!T388,'PWP-A'!$B$2:$B$31,0),1)&amp;".png")</f>
        <v>#VALUE!</v>
      </c>
      <c r="T388" s="229" t="str">
        <f>+INDEX(PWP!$A:$Z,MATCH('PWP-Print'!O388,PWP!$B:$B,0),MATCH("PWP Ability 1",PWP!$A$1:$Z$1,0))</f>
        <v>Overdrive Punisher +15%</v>
      </c>
      <c r="U388" s="249" t="str">
        <f>+INDEX(PWP!$A:$Z,MATCH('PWP-Print'!O388,PWP!$B:$B,0),MATCH("Locked PWP Ability 1",PWP!$A$1:$Z$1,0))</f>
        <v>(Light) Overdrive Punisher +15%</v>
      </c>
    </row>
    <row r="389" spans="1:21" ht="22.5" customHeight="1" x14ac:dyDescent="0.3">
      <c r="C389" s="729"/>
      <c r="D389" s="8"/>
      <c r="E389" s="200" t="str">
        <f>+INDEX(PWP!$A:$Z,MATCH('PWP-Print'!E388,PWP!$B:$B,0),MATCH("ID",PWP!$A$1:$Z$1,0))</f>
        <v>100001_08</v>
      </c>
      <c r="F389" s="8"/>
      <c r="G389" s="249" t="str">
        <f>+INDEX(PWP!$A:$Z,MATCH('PWP-Print'!E388,PWP!$B:$B,0),MATCH("Name",PWP!$A$1:$Z$1,0))</f>
        <v>Gala Prince</v>
      </c>
      <c r="H389" s="8"/>
      <c r="I389" t="e" vm="688">
        <f>_xlfn.IMAGE("https://natalie.tf/wp-content/uploads/2023/10/DLV3_Icon_Ability_"&amp;INDEX('PWP-A'!$A$2:$C$31,MATCH('PWP-Print'!J389,'PWP-A'!$B$2:$B$31,0),1)&amp;".png")</f>
        <v>#VALUE!</v>
      </c>
      <c r="J389" s="229" t="str">
        <f>+INDEX(PWP!$A:$Z,MATCH('PWP-Print'!E388,PWP!$B:$B,0),MATCH("PWP Ability 2",PWP!$A$1:$Z$1,0))</f>
        <v>Overdrive Punisher +15%</v>
      </c>
      <c r="K389" s="249" t="str">
        <f>+INDEX(PWP!$A:$Z,MATCH('PWP-Print'!E388,PWP!$B:$B,0),MATCH("Locked PWP Ability 2",PWP!$A$1:$Z$1,0))</f>
        <v>(Light) Overdrive Punisher +15%</v>
      </c>
      <c r="M389" s="729"/>
      <c r="N389" s="8"/>
      <c r="O389" s="200" t="str">
        <f>+INDEX(PWP!$A:$Z,MATCH('PWP-Print'!O388,PWP!$B:$B,0),MATCH("ID",PWP!$A$1:$Z$1,0))</f>
        <v>110281_02</v>
      </c>
      <c r="P389" s="8"/>
      <c r="Q389" s="249" t="str">
        <f>+INDEX(PWP!$A:$Z,MATCH('PWP-Print'!O388,PWP!$B:$B,0),MATCH("Name",PWP!$A$1:$Z$1,0))</f>
        <v>Yukata Curran</v>
      </c>
      <c r="R389" s="8"/>
      <c r="S389" t="e" vm="330">
        <f>_xlfn.IMAGE("https://natalie.tf/wp-content/uploads/2023/10/DLV3_Icon_Ability_"&amp;INDEX('PWP-A'!$A$2:$C$31,MATCH('PWP-Print'!T389,'PWP-A'!$B$2:$B$31,0),1)&amp;".png")</f>
        <v>#VALUE!</v>
      </c>
      <c r="T389" s="229" t="str">
        <f>+INDEX(PWP!$A:$Z,MATCH('PWP-Print'!O388,PWP!$B:$B,0),MATCH("PWP Ability 2",PWP!$A$1:$Z$1,0))</f>
        <v>Skill Haste +10%</v>
      </c>
      <c r="U389" s="249" t="str">
        <f>+INDEX(PWP!$A:$Z,MATCH('PWP-Print'!O388,PWP!$B:$B,0),MATCH("Locked PWP Ability 2",PWP!$A$1:$Z$1,0))</f>
        <v>(Light) Skill Haste +10%</v>
      </c>
    </row>
    <row r="390" spans="1:21" ht="22.5" customHeight="1" x14ac:dyDescent="0.3">
      <c r="A390" s="244" t="str">
        <f>TEXT(A386+1,"000")</f>
        <v>181</v>
      </c>
      <c r="B390" s="244" t="str">
        <f>TEXT(B386+1,"000")</f>
        <v>194</v>
      </c>
      <c r="C390" s="729"/>
      <c r="E390" s="251" t="str">
        <f>+INDEX(PWP!$A:$Z,MATCH('PWP-Print'!E388,PWP!$B:$B,0),MATCH("Num",PWP!$A$1:$Z$1,0))</f>
        <v>A-181</v>
      </c>
      <c r="G390" s="249" t="str">
        <f>+INDEX(PWP!$A:$Z,MATCH('PWP-Print'!E388,PWP!$B:$B,0),MATCH("Element",PWP!$A$1:$Z$1,0))&amp;" "&amp;INDEX(PWP!$A:$Z,MATCH('PWP-Print'!E388,PWP!$B:$B,0),MATCH("Type",PWP!$A$1:$Z$1,0))&amp;" Adventurer"</f>
        <v>Light Sword Adventurer</v>
      </c>
      <c r="K390" s="250"/>
      <c r="M390" s="729"/>
      <c r="O390" s="251" t="str">
        <f>+INDEX(PWP!$A:$Z,MATCH('PWP-Print'!O388,PWP!$B:$B,0),MATCH("Num",PWP!$A$1:$Z$1,0))</f>
        <v>A-194</v>
      </c>
      <c r="Q390" s="249" t="str">
        <f>+INDEX(PWP!$A:$Z,MATCH('PWP-Print'!O388,PWP!$B:$B,0),MATCH("Element",PWP!$A$1:$Z$1,0))&amp;" "&amp;INDEX(PWP!$A:$Z,MATCH('PWP-Print'!O388,PWP!$B:$B,0),MATCH("Type",PWP!$A$1:$Z$1,0))&amp;" Adventurer"</f>
        <v>Light Dagger Adventurer</v>
      </c>
      <c r="U390" s="250"/>
    </row>
    <row r="391" spans="1:21" ht="7.5" customHeight="1" x14ac:dyDescent="0.3">
      <c r="A391" s="244" t="s">
        <v>10763</v>
      </c>
      <c r="E391" s="250"/>
      <c r="G391" s="250"/>
      <c r="K391" s="250"/>
      <c r="O391" s="250"/>
      <c r="Q391" s="250"/>
      <c r="U391" s="250"/>
    </row>
    <row r="392" spans="1:21" ht="22.5" customHeight="1" x14ac:dyDescent="0.3">
      <c r="C392" s="729" t="e" vm="1221">
        <f>_xlfn.IMAGE("https://natalie.tf/wp-content/uploads/2023/10/DLV3_Icon_ADV_"&amp;E393&amp;"_r05.png")</f>
        <v>#VALUE!</v>
      </c>
      <c r="E392" s="249" t="str">
        <f>"PWP-"&amp;A394</f>
        <v>PWP-182</v>
      </c>
      <c r="G392" s="249" t="str">
        <f>+INDEX(PWP!$A:$Z,MATCH('PWP-Print'!E392,PWP!$B:$B,0),MATCH("Title",PWP!$A$1:$Z$1,0))</f>
        <v>Prince of Askr</v>
      </c>
      <c r="I392" t="e" vm="326">
        <f>_xlfn.IMAGE("https://natalie.tf/wp-content/uploads/2023/10/DLV3_Icon_Ability_"&amp;INDEX('PWP-A'!$A$2:$C$31,MATCH('PWP-Print'!J392,'PWP-A'!$B$2:$B$31,0),1)&amp;".png")</f>
        <v>#VALUE!</v>
      </c>
      <c r="J392" s="229" t="str">
        <f>+INDEX(PWP!$A:$Z,MATCH('PWP-Print'!E392,PWP!$B:$B,0),MATCH("PWP Ability 1",PWP!$A$1:$Z$1,0))</f>
        <v>Critical Rate +15%</v>
      </c>
      <c r="K392" s="249" t="str">
        <f>+INDEX(PWP!$A:$Z,MATCH('PWP-Print'!E392,PWP!$B:$B,0),MATCH("Locked PWP Ability 1",PWP!$A$1:$Z$1,0))</f>
        <v>(Light) Critical Rate +15%</v>
      </c>
      <c r="M392" s="729" t="e" vm="1222">
        <f>_xlfn.IMAGE("https://natalie.tf/wp-content/uploads/2023/10/DLV3_Icon_ADV_"&amp;O393&amp;"_r05.png")</f>
        <v>#VALUE!</v>
      </c>
      <c r="O392" s="249" t="str">
        <f>"PWP-"&amp;B394</f>
        <v>PWP-195</v>
      </c>
      <c r="Q392" s="249" t="str">
        <f>+INDEX(PWP!$A:$Z,MATCH('PWP-Print'!O392,PWP!$B:$B,0),MATCH("Title",PWP!$A$1:$Z$1,0))</f>
        <v>Rookie Sealer</v>
      </c>
      <c r="S392" t="e" vm="326">
        <f>_xlfn.IMAGE("https://natalie.tf/wp-content/uploads/2023/10/DLV3_Icon_Ability_"&amp;INDEX('PWP-A'!$A$2:$C$31,MATCH('PWP-Print'!T392,'PWP-A'!$B$2:$B$31,0),1)&amp;".png")</f>
        <v>#VALUE!</v>
      </c>
      <c r="T392" s="229" t="str">
        <f>+INDEX(PWP!$A:$Z,MATCH('PWP-Print'!O392,PWP!$B:$B,0),MATCH("PWP Ability 1",PWP!$A$1:$Z$1,0))</f>
        <v>Critical Rate +15%</v>
      </c>
      <c r="U392" s="249" t="str">
        <f>+INDEX(PWP!$A:$Z,MATCH('PWP-Print'!O392,PWP!$B:$B,0),MATCH("Locked PWP Ability 1",PWP!$A$1:$Z$1,0))</f>
        <v>(Light) Critical Rate +15%</v>
      </c>
    </row>
    <row r="393" spans="1:21" ht="22.5" customHeight="1" x14ac:dyDescent="0.3">
      <c r="C393" s="729"/>
      <c r="D393" s="8"/>
      <c r="E393" s="200" t="str">
        <f>+INDEX(PWP!$A:$Z,MATCH('PWP-Print'!E392,PWP!$B:$B,0),MATCH("ID",PWP!$A$1:$Z$1,0))</f>
        <v>110327_01</v>
      </c>
      <c r="F393" s="8"/>
      <c r="G393" s="249" t="str">
        <f>+INDEX(PWP!$A:$Z,MATCH('PWP-Print'!E392,PWP!$B:$B,0),MATCH("Name",PWP!$A$1:$Z$1,0))</f>
        <v>Alfonse</v>
      </c>
      <c r="H393" s="8"/>
      <c r="I393" t="e" vm="696">
        <f>_xlfn.IMAGE("https://natalie.tf/wp-content/uploads/2023/10/DLV3_Icon_Ability_"&amp;INDEX('PWP-A'!$A$2:$C$31,MATCH('PWP-Print'!J393,'PWP-A'!$B$2:$B$31,0),1)&amp;".png")</f>
        <v>#VALUE!</v>
      </c>
      <c r="J393" s="229" t="str">
        <f>+INDEX(PWP!$A:$Z,MATCH('PWP-Print'!E392,PWP!$B:$B,0),MATCH("PWP Ability 2",PWP!$A$1:$Z$1,0))</f>
        <v>Elemental Res +15%</v>
      </c>
      <c r="K393" s="249" t="str">
        <f>+INDEX(PWP!$A:$Z,MATCH('PWP-Print'!E392,PWP!$B:$B,0),MATCH("Locked PWP Ability 2",PWP!$A$1:$Z$1,0))</f>
        <v>(Light) Elemental Res +15%</v>
      </c>
      <c r="M393" s="729"/>
      <c r="N393" s="8"/>
      <c r="O393" s="200" t="str">
        <f>+INDEX(PWP!$A:$Z,MATCH('PWP-Print'!O392,PWP!$B:$B,0),MATCH("ID",PWP!$A$1:$Z$1,0))</f>
        <v>110324_01</v>
      </c>
      <c r="P393" s="8"/>
      <c r="Q393" s="249" t="str">
        <f>+INDEX(PWP!$A:$Z,MATCH('PWP-Print'!O392,PWP!$B:$B,0),MATCH("Name",PWP!$A$1:$Z$1,0))</f>
        <v>Wu Kong</v>
      </c>
      <c r="R393" s="8"/>
      <c r="S393" t="e" vm="693">
        <f>_xlfn.IMAGE("https://natalie.tf/wp-content/uploads/2023/10/DLV3_Icon_Ability_"&amp;INDEX('PWP-A'!$A$2:$C$31,MATCH('PWP-Print'!T393,'PWP-A'!$B$2:$B$31,0),1)&amp;".png")</f>
        <v>#VALUE!</v>
      </c>
      <c r="T393" s="229" t="str">
        <f>+INDEX(PWP!$A:$Z,MATCH('PWP-Print'!O392,PWP!$B:$B,0),MATCH("PWP Ability 2",PWP!$A$1:$Z$1,0))</f>
        <v>Combo Time +2</v>
      </c>
      <c r="U393" s="249" t="str">
        <f>+INDEX(PWP!$A:$Z,MATCH('PWP-Print'!O392,PWP!$B:$B,0),MATCH("Locked PWP Ability 2",PWP!$A$1:$Z$1,0))</f>
        <v>(Light) Combo Time +2</v>
      </c>
    </row>
    <row r="394" spans="1:21" ht="22.5" customHeight="1" x14ac:dyDescent="0.3">
      <c r="A394" s="244" t="str">
        <f>TEXT(A390+1,"000")</f>
        <v>182</v>
      </c>
      <c r="B394" s="244" t="str">
        <f>TEXT(B390+1,"000")</f>
        <v>195</v>
      </c>
      <c r="C394" s="729"/>
      <c r="E394" s="251" t="str">
        <f>+INDEX(PWP!$A:$Z,MATCH('PWP-Print'!E392,PWP!$B:$B,0),MATCH("Num",PWP!$A$1:$Z$1,0))</f>
        <v>A-182</v>
      </c>
      <c r="G394" s="249" t="str">
        <f>+INDEX(PWP!$A:$Z,MATCH('PWP-Print'!E392,PWP!$B:$B,0),MATCH("Element",PWP!$A$1:$Z$1,0))&amp;" "&amp;INDEX(PWP!$A:$Z,MATCH('PWP-Print'!E392,PWP!$B:$B,0),MATCH("Type",PWP!$A$1:$Z$1,0))&amp;" Adventurer"</f>
        <v>Light Sword Adventurer</v>
      </c>
      <c r="K394" s="250"/>
      <c r="M394" s="729"/>
      <c r="O394" s="251" t="str">
        <f>+INDEX(PWP!$A:$Z,MATCH('PWP-Print'!O392,PWP!$B:$B,0),MATCH("Num",PWP!$A$1:$Z$1,0))</f>
        <v>A-195</v>
      </c>
      <c r="Q394" s="249" t="str">
        <f>+INDEX(PWP!$A:$Z,MATCH('PWP-Print'!O392,PWP!$B:$B,0),MATCH("Element",PWP!$A$1:$Z$1,0))&amp;" "&amp;INDEX(PWP!$A:$Z,MATCH('PWP-Print'!O392,PWP!$B:$B,0),MATCH("Type",PWP!$A$1:$Z$1,0))&amp;" Adventurer"</f>
        <v>Light Dagger Adventurer</v>
      </c>
      <c r="U394" s="250"/>
    </row>
    <row r="395" spans="1:21" ht="7.5" customHeight="1" x14ac:dyDescent="0.3">
      <c r="A395" s="244" t="s">
        <v>10763</v>
      </c>
      <c r="E395" s="250"/>
      <c r="G395" s="250"/>
      <c r="K395" s="250"/>
      <c r="O395" s="250"/>
      <c r="Q395" s="250"/>
      <c r="U395" s="250"/>
    </row>
    <row r="396" spans="1:21" ht="22.5" customHeight="1" x14ac:dyDescent="0.3">
      <c r="C396" s="729" t="e" vm="1223">
        <f>_xlfn.IMAGE("https://natalie.tf/wp-content/uploads/2023/10/DLV3_Icon_ADV_"&amp;E397&amp;"_r05.png")</f>
        <v>#VALUE!</v>
      </c>
      <c r="E396" s="249" t="str">
        <f>"PWP-"&amp;A398</f>
        <v>PWP-183</v>
      </c>
      <c r="G396" s="249" t="str">
        <f>+INDEX(PWP!$A:$Z,MATCH('PWP-Print'!E396,PWP!$B:$B,0),MATCH("Title",PWP!$A$1:$Z$1,0))</f>
        <v>Thunderswift Lord</v>
      </c>
      <c r="I396" t="e" vm="414">
        <f>_xlfn.IMAGE("https://natalie.tf/wp-content/uploads/2023/10/DLV3_Icon_Ability_"&amp;INDEX('PWP-A'!$A$2:$C$31,MATCH('PWP-Print'!J396,'PWP-A'!$B$2:$B$31,0),1)&amp;".png")</f>
        <v>#VALUE!</v>
      </c>
      <c r="J396" s="229" t="str">
        <f>+INDEX(PWP!$A:$Z,MATCH('PWP-Print'!E396,PWP!$B:$B,0),MATCH("PWP Ability 1",PWP!$A$1:$Z$1,0))</f>
        <v>Critical Damage +25%</v>
      </c>
      <c r="K396" s="249" t="str">
        <f>+INDEX(PWP!$A:$Z,MATCH('PWP-Print'!E396,PWP!$B:$B,0),MATCH("Locked PWP Ability 1",PWP!$A$1:$Z$1,0))</f>
        <v>(Light) Critical Damage +25%</v>
      </c>
      <c r="M396" s="729" t="e" vm="1224">
        <f>_xlfn.IMAGE("https://natalie.tf/wp-content/uploads/2023/10/DLV3_Icon_ADV_"&amp;O397&amp;"_r05.png")</f>
        <v>#VALUE!</v>
      </c>
      <c r="O396" s="249" t="str">
        <f>"PWP-"&amp;B398</f>
        <v>PWP-196</v>
      </c>
      <c r="Q396" s="249" t="str">
        <f>+INDEX(PWP!$A:$Z,MATCH('PWP-Print'!O396,PWP!$B:$B,0),MATCH("Title",PWP!$A$1:$Z$1,0))</f>
        <v>Leader of the Mouse Clan</v>
      </c>
      <c r="S396" t="e" vm="1036">
        <f>_xlfn.IMAGE("https://natalie.tf/wp-content/uploads/2023/10/DLV3_Icon_Ability_"&amp;INDEX('PWP-A'!$A$2:$C$31,MATCH('PWP-Print'!T396,'PWP-A'!$B$2:$B$31,0),1)&amp;".png")</f>
        <v>#VALUE!</v>
      </c>
      <c r="T396" s="229" t="str">
        <f>+INDEX(PWP!$A:$Z,MATCH('PWP-Print'!O396,PWP!$B:$B,0),MATCH("PWP Ability 1",PWP!$A$1:$Z$1,0))</f>
        <v>15 Hits = Overdamage</v>
      </c>
      <c r="U396" s="249" t="str">
        <f>+INDEX(PWP!$A:$Z,MATCH('PWP-Print'!O396,PWP!$B:$B,0),MATCH("Locked PWP Ability 1",PWP!$A$1:$Z$1,0))</f>
        <v>(Light) 15 Hits = Overdamage</v>
      </c>
    </row>
    <row r="397" spans="1:21" ht="22.5" customHeight="1" x14ac:dyDescent="0.3">
      <c r="C397" s="729"/>
      <c r="D397" s="8"/>
      <c r="E397" s="200" t="str">
        <f>+INDEX(PWP!$A:$Z,MATCH('PWP-Print'!E396,PWP!$B:$B,0),MATCH("ID",PWP!$A$1:$Z$1,0))</f>
        <v>110274_01</v>
      </c>
      <c r="F397" s="8"/>
      <c r="G397" s="249" t="str">
        <f>+INDEX(PWP!$A:$Z,MATCH('PWP-Print'!E396,PWP!$B:$B,0),MATCH("Name",PWP!$A$1:$Z$1,0))</f>
        <v>Albert</v>
      </c>
      <c r="H397" s="8"/>
      <c r="I397" t="e" vm="7">
        <f>_xlfn.IMAGE("https://natalie.tf/wp-content/uploads/2023/10/DLV3_Icon_Ability_"&amp;INDEX('PWP-A'!$A$2:$C$31,MATCH('PWP-Print'!J397,'PWP-A'!$B$2:$B$31,0),1)&amp;".png")</f>
        <v>#VALUE!</v>
      </c>
      <c r="J397" s="229" t="str">
        <f>+INDEX(PWP!$A:$Z,MATCH('PWP-Print'!E396,PWP!$B:$B,0),MATCH("PWP Ability 2",PWP!$A$1:$Z$1,0))</f>
        <v>Force Strike +50%</v>
      </c>
      <c r="K397" s="249" t="str">
        <f>+INDEX(PWP!$A:$Z,MATCH('PWP-Print'!E396,PWP!$B:$B,0),MATCH("Locked PWP Ability 2",PWP!$A$1:$Z$1,0))</f>
        <v>(Light) Force Strike +50%</v>
      </c>
      <c r="M397" s="729"/>
      <c r="N397" s="8"/>
      <c r="O397" s="200" t="str">
        <f>+INDEX(PWP!$A:$Z,MATCH('PWP-Print'!O396,PWP!$B:$B,0),MATCH("ID",PWP!$A$1:$Z$1,0))</f>
        <v>110345_01</v>
      </c>
      <c r="P397" s="8"/>
      <c r="Q397" s="249" t="str">
        <f>+INDEX(PWP!$A:$Z,MATCH('PWP-Print'!O396,PWP!$B:$B,0),MATCH("Name",PWP!$A$1:$Z$1,0))</f>
        <v>Mitsuhide</v>
      </c>
      <c r="R397" s="8"/>
      <c r="S397" t="e" vm="693">
        <f>_xlfn.IMAGE("https://natalie.tf/wp-content/uploads/2023/10/DLV3_Icon_Ability_"&amp;INDEX('PWP-A'!$A$2:$C$31,MATCH('PWP-Print'!T397,'PWP-A'!$B$2:$B$31,0),1)&amp;".png")</f>
        <v>#VALUE!</v>
      </c>
      <c r="T397" s="229" t="str">
        <f>+INDEX(PWP!$A:$Z,MATCH('PWP-Print'!O396,PWP!$B:$B,0),MATCH("PWP Ability 2",PWP!$A$1:$Z$1,0))</f>
        <v>Combo Time +2</v>
      </c>
      <c r="U397" s="249" t="str">
        <f>+INDEX(PWP!$A:$Z,MATCH('PWP-Print'!O396,PWP!$B:$B,0),MATCH("Locked PWP Ability 2",PWP!$A$1:$Z$1,0))</f>
        <v>(Light) Combo Time +2</v>
      </c>
    </row>
    <row r="398" spans="1:21" ht="22.5" customHeight="1" x14ac:dyDescent="0.3">
      <c r="A398" s="244" t="str">
        <f>TEXT(A394+1,"000")</f>
        <v>183</v>
      </c>
      <c r="B398" s="244" t="str">
        <f>TEXT(B394+1,"000")</f>
        <v>196</v>
      </c>
      <c r="C398" s="729"/>
      <c r="E398" s="251" t="str">
        <f>+INDEX(PWP!$A:$Z,MATCH('PWP-Print'!E396,PWP!$B:$B,0),MATCH("Num",PWP!$A$1:$Z$1,0))</f>
        <v>A-183</v>
      </c>
      <c r="G398" s="249" t="str">
        <f>+INDEX(PWP!$A:$Z,MATCH('PWP-Print'!E396,PWP!$B:$B,0),MATCH("Element",PWP!$A$1:$Z$1,0))&amp;" "&amp;INDEX(PWP!$A:$Z,MATCH('PWP-Print'!E396,PWP!$B:$B,0),MATCH("Type",PWP!$A$1:$Z$1,0))&amp;" Adventurer"</f>
        <v>Light Sword Adventurer</v>
      </c>
      <c r="K398" s="250"/>
      <c r="M398" s="729"/>
      <c r="O398" s="251" t="str">
        <f>+INDEX(PWP!$A:$Z,MATCH('PWP-Print'!O396,PWP!$B:$B,0),MATCH("Num",PWP!$A$1:$Z$1,0))</f>
        <v>A-196</v>
      </c>
      <c r="Q398" s="249" t="str">
        <f>+INDEX(PWP!$A:$Z,MATCH('PWP-Print'!O396,PWP!$B:$B,0),MATCH("Element",PWP!$A$1:$Z$1,0))&amp;" "&amp;INDEX(PWP!$A:$Z,MATCH('PWP-Print'!O396,PWP!$B:$B,0),MATCH("Type",PWP!$A$1:$Z$1,0))&amp;" Adventurer"</f>
        <v>Light Dagger Adventurer</v>
      </c>
      <c r="U398" s="250"/>
    </row>
    <row r="399" spans="1:21" ht="7.5" customHeight="1" x14ac:dyDescent="0.3">
      <c r="A399" s="244" t="s">
        <v>10763</v>
      </c>
      <c r="E399" s="250"/>
      <c r="G399" s="250"/>
      <c r="K399" s="250"/>
      <c r="O399" s="250"/>
      <c r="Q399" s="250"/>
      <c r="U399" s="250"/>
    </row>
    <row r="400" spans="1:21" ht="22.5" customHeight="1" x14ac:dyDescent="0.3">
      <c r="C400" s="729" t="e" vm="1225">
        <f>_xlfn.IMAGE("https://natalie.tf/wp-content/uploads/2023/10/DLV3_Icon_ADV_"&amp;E401&amp;"_r05.png")</f>
        <v>#VALUE!</v>
      </c>
      <c r="E400" s="249" t="str">
        <f>"PWP-"&amp;A402</f>
        <v>PWP-184</v>
      </c>
      <c r="G400" s="249" t="str">
        <f>+INDEX(PWP!$A:$Z,MATCH('PWP-Print'!E400,PWP!$B:$B,0),MATCH("Title",PWP!$A$1:$Z$1,0))</f>
        <v>Wanderlust Incarnate</v>
      </c>
      <c r="I400" t="e" vm="326">
        <f>_xlfn.IMAGE("https://natalie.tf/wp-content/uploads/2023/10/DLV3_Icon_Ability_"&amp;INDEX('PWP-A'!$A$2:$C$31,MATCH('PWP-Print'!J400,'PWP-A'!$B$2:$B$31,0),1)&amp;".png")</f>
        <v>#VALUE!</v>
      </c>
      <c r="J400" s="229" t="str">
        <f>+INDEX(PWP!$A:$Z,MATCH('PWP-Print'!E400,PWP!$B:$B,0),MATCH("PWP Ability 1",PWP!$A$1:$Z$1,0))</f>
        <v>Critical Rate +15%</v>
      </c>
      <c r="K400" s="249" t="str">
        <f>+INDEX(PWP!$A:$Z,MATCH('PWP-Print'!E400,PWP!$B:$B,0),MATCH("Locked PWP Ability 1",PWP!$A$1:$Z$1,0))</f>
        <v>(Light) Critical Rate +15%</v>
      </c>
      <c r="M400" s="729" t="e" vm="1226">
        <f>_xlfn.IMAGE("https://natalie.tf/wp-content/uploads/2023/10/DLV3_Icon_ADV_"&amp;O401&amp;"_r05.png")</f>
        <v>#VALUE!</v>
      </c>
      <c r="O400" s="249" t="str">
        <f>"PWP-"&amp;B402</f>
        <v>PWP-197</v>
      </c>
      <c r="Q400" s="249" t="str">
        <f>+INDEX(PWP!$A:$Z,MATCH('PWP-Print'!O400,PWP!$B:$B,0),MATCH("Title",PWP!$A$1:$Z$1,0))</f>
        <v>Budding Artist</v>
      </c>
      <c r="S400" t="e" vm="414">
        <f>_xlfn.IMAGE("https://natalie.tf/wp-content/uploads/2023/10/DLV3_Icon_Ability_"&amp;INDEX('PWP-A'!$A$2:$C$31,MATCH('PWP-Print'!T400,'PWP-A'!$B$2:$B$31,0),1)&amp;".png")</f>
        <v>#VALUE!</v>
      </c>
      <c r="T400" s="229" t="str">
        <f>+INDEX(PWP!$A:$Z,MATCH('PWP-Print'!O400,PWP!$B:$B,0),MATCH("PWP Ability 1",PWP!$A$1:$Z$1,0))</f>
        <v>Critical Damage +25%</v>
      </c>
      <c r="U400" s="249" t="str">
        <f>+INDEX(PWP!$A:$Z,MATCH('PWP-Print'!O400,PWP!$B:$B,0),MATCH("Locked PWP Ability 1",PWP!$A$1:$Z$1,0))</f>
        <v>(Light) Critical Damage +25%</v>
      </c>
    </row>
    <row r="401" spans="1:21" ht="22.5" customHeight="1" x14ac:dyDescent="0.3">
      <c r="C401" s="729"/>
      <c r="D401" s="8"/>
      <c r="E401" s="200" t="str">
        <f>+INDEX(PWP!$A:$Z,MATCH('PWP-Print'!E400,PWP!$B:$B,0),MATCH("ID",PWP!$A$1:$Z$1,0))</f>
        <v>110301_01</v>
      </c>
      <c r="F401" s="8"/>
      <c r="G401" s="249" t="str">
        <f>+INDEX(PWP!$A:$Z,MATCH('PWP-Print'!E400,PWP!$B:$B,0),MATCH("Name",PWP!$A$1:$Z$1,0))</f>
        <v>Odetta</v>
      </c>
      <c r="H401" s="8"/>
      <c r="I401" t="e" vm="426">
        <f>_xlfn.IMAGE("https://natalie.tf/wp-content/uploads/2023/10/DLV3_Icon_Ability_"&amp;INDEX('PWP-A'!$A$2:$C$31,MATCH('PWP-Print'!J401,'PWP-A'!$B$2:$B$31,0),1)&amp;".png")</f>
        <v>#VALUE!</v>
      </c>
      <c r="J401" s="229" t="str">
        <f>+INDEX(PWP!$A:$Z,MATCH('PWP-Print'!E400,PWP!$B:$B,0),MATCH("PWP Ability 2",PWP!$A$1:$Z$1,0))</f>
        <v>Defense +20%</v>
      </c>
      <c r="K401" s="249" t="str">
        <f>+INDEX(PWP!$A:$Z,MATCH('PWP-Print'!E400,PWP!$B:$B,0),MATCH("Locked PWP Ability 2",PWP!$A$1:$Z$1,0))</f>
        <v>(Light) Defense +20%</v>
      </c>
      <c r="M401" s="729"/>
      <c r="N401" s="8"/>
      <c r="O401" s="200" t="str">
        <f>+INDEX(PWP!$A:$Z,MATCH('PWP-Print'!O400,PWP!$B:$B,0),MATCH("ID",PWP!$A$1:$Z$1,0))</f>
        <v>110319_01</v>
      </c>
      <c r="P401" s="8"/>
      <c r="Q401" s="249" t="str">
        <f>+INDEX(PWP!$A:$Z,MATCH('PWP-Print'!O400,PWP!$B:$B,0),MATCH("Name",PWP!$A$1:$Z$1,0))</f>
        <v>Fleur</v>
      </c>
      <c r="R401" s="8"/>
      <c r="S401" t="e" vm="330">
        <f>_xlfn.IMAGE("https://natalie.tf/wp-content/uploads/2023/10/DLV3_Icon_Ability_"&amp;INDEX('PWP-A'!$A$2:$C$31,MATCH('PWP-Print'!T401,'PWP-A'!$B$2:$B$31,0),1)&amp;".png")</f>
        <v>#VALUE!</v>
      </c>
      <c r="T401" s="229" t="str">
        <f>+INDEX(PWP!$A:$Z,MATCH('PWP-Print'!O400,PWP!$B:$B,0),MATCH("PWP Ability 2",PWP!$A$1:$Z$1,0))</f>
        <v>Skill Haste +10%</v>
      </c>
      <c r="U401" s="249" t="str">
        <f>+INDEX(PWP!$A:$Z,MATCH('PWP-Print'!O400,PWP!$B:$B,0),MATCH("Locked PWP Ability 2",PWP!$A$1:$Z$1,0))</f>
        <v>(Light) Skill Haste +10%</v>
      </c>
    </row>
    <row r="402" spans="1:21" ht="22.5" customHeight="1" x14ac:dyDescent="0.3">
      <c r="A402" s="244" t="str">
        <f>TEXT(A398+1,"000")</f>
        <v>184</v>
      </c>
      <c r="B402" s="244" t="str">
        <f>TEXT(B398+1,"000")</f>
        <v>197</v>
      </c>
      <c r="C402" s="729"/>
      <c r="E402" s="251" t="str">
        <f>+INDEX(PWP!$A:$Z,MATCH('PWP-Print'!E400,PWP!$B:$B,0),MATCH("Num",PWP!$A$1:$Z$1,0))</f>
        <v>A-184</v>
      </c>
      <c r="G402" s="249" t="str">
        <f>+INDEX(PWP!$A:$Z,MATCH('PWP-Print'!E400,PWP!$B:$B,0),MATCH("Element",PWP!$A$1:$Z$1,0))&amp;" "&amp;INDEX(PWP!$A:$Z,MATCH('PWP-Print'!E400,PWP!$B:$B,0),MATCH("Type",PWP!$A$1:$Z$1,0))&amp;" Adventurer"</f>
        <v>Light Sword Adventurer</v>
      </c>
      <c r="K402" s="250"/>
      <c r="M402" s="729"/>
      <c r="O402" s="251" t="str">
        <f>+INDEX(PWP!$A:$Z,MATCH('PWP-Print'!O400,PWP!$B:$B,0),MATCH("Num",PWP!$A$1:$Z$1,0))</f>
        <v>A-197</v>
      </c>
      <c r="Q402" s="249" t="str">
        <f>+INDEX(PWP!$A:$Z,MATCH('PWP-Print'!O400,PWP!$B:$B,0),MATCH("Element",PWP!$A$1:$Z$1,0))&amp;" "&amp;INDEX(PWP!$A:$Z,MATCH('PWP-Print'!O400,PWP!$B:$B,0),MATCH("Type",PWP!$A$1:$Z$1,0))&amp;" Adventurer"</f>
        <v>Light Dagger Adventurer</v>
      </c>
      <c r="U402" s="250"/>
    </row>
    <row r="403" spans="1:21" ht="7.5" customHeight="1" x14ac:dyDescent="0.3">
      <c r="A403" s="244" t="s">
        <v>10763</v>
      </c>
      <c r="E403" s="250"/>
      <c r="G403" s="250"/>
      <c r="K403" s="250"/>
      <c r="O403" s="250"/>
      <c r="Q403" s="250"/>
      <c r="U403" s="250"/>
    </row>
    <row r="404" spans="1:21" ht="22.5" customHeight="1" x14ac:dyDescent="0.3">
      <c r="C404" s="729" t="e" vm="1227">
        <f>_xlfn.IMAGE("https://natalie.tf/wp-content/uploads/2023/10/DLV3_Icon_ADV_"&amp;E405&amp;"_r05.png")</f>
        <v>#VALUE!</v>
      </c>
      <c r="E404" s="249" t="str">
        <f>"PWP-"&amp;A406</f>
        <v>PWP-185</v>
      </c>
      <c r="G404" s="249" t="str">
        <f>+INDEX(PWP!$A:$Z,MATCH('PWP-Print'!E404,PWP!$B:$B,0),MATCH("Title",PWP!$A$1:$Z$1,0))</f>
        <v>Loyal Servant</v>
      </c>
      <c r="I404" t="e" vm="414">
        <f>_xlfn.IMAGE("https://natalie.tf/wp-content/uploads/2023/10/DLV3_Icon_Ability_"&amp;INDEX('PWP-A'!$A$2:$C$31,MATCH('PWP-Print'!J404,'PWP-A'!$B$2:$B$31,0),1)&amp;".png")</f>
        <v>#VALUE!</v>
      </c>
      <c r="J404" s="229" t="str">
        <f>+INDEX(PWP!$A:$Z,MATCH('PWP-Print'!E404,PWP!$B:$B,0),MATCH("PWP Ability 1",PWP!$A$1:$Z$1,0))</f>
        <v>Critical Damage +25%</v>
      </c>
      <c r="K404" s="249" t="str">
        <f>+INDEX(PWP!$A:$Z,MATCH('PWP-Print'!E404,PWP!$B:$B,0),MATCH("Locked PWP Ability 1",PWP!$A$1:$Z$1,0))</f>
        <v>(Light) Critical Damage +25%</v>
      </c>
      <c r="M404" s="729" t="e" vm="1228">
        <f>_xlfn.IMAGE("https://natalie.tf/wp-content/uploads/2023/10/DLV3_Icon_ADV_"&amp;O405&amp;"_r05.png")</f>
        <v>#VALUE!</v>
      </c>
      <c r="O404" s="249" t="str">
        <f>"PWP-"&amp;B406</f>
        <v>PWP-198</v>
      </c>
      <c r="Q404" s="249" t="str">
        <f>+INDEX(PWP!$A:$Z,MATCH('PWP-Print'!O404,PWP!$B:$B,0),MATCH("Title",PWP!$A$1:$Z$1,0))</f>
        <v>Dagger Magnificence</v>
      </c>
      <c r="S404" t="e" vm="688">
        <f>_xlfn.IMAGE("https://natalie.tf/wp-content/uploads/2023/10/DLV3_Icon_Ability_"&amp;INDEX('PWP-A'!$A$2:$C$31,MATCH('PWP-Print'!T404,'PWP-A'!$B$2:$B$31,0),1)&amp;".png")</f>
        <v>#VALUE!</v>
      </c>
      <c r="T404" s="229" t="str">
        <f>+INDEX(PWP!$A:$Z,MATCH('PWP-Print'!O404,PWP!$B:$B,0),MATCH("PWP Ability 1",PWP!$A$1:$Z$1,0))</f>
        <v>Overdrive Punisher +15%</v>
      </c>
      <c r="U404" s="249" t="str">
        <f>+INDEX(PWP!$A:$Z,MATCH('PWP-Print'!O404,PWP!$B:$B,0),MATCH("Locked PWP Ability 1",PWP!$A$1:$Z$1,0))</f>
        <v>(Light) Overdrive Punisher +15%</v>
      </c>
    </row>
    <row r="405" spans="1:21" ht="22.5" customHeight="1" x14ac:dyDescent="0.3">
      <c r="C405" s="729"/>
      <c r="D405" s="8"/>
      <c r="E405" s="200" t="str">
        <f>+INDEX(PWP!$A:$Z,MATCH('PWP-Print'!E404,PWP!$B:$B,0),MATCH("ID",PWP!$A$1:$Z$1,0))</f>
        <v>110035_01</v>
      </c>
      <c r="F405" s="8"/>
      <c r="G405" s="249" t="str">
        <f>+INDEX(PWP!$A:$Z,MATCH('PWP-Print'!E404,PWP!$B:$B,0),MATCH("Name",PWP!$A$1:$Z$1,0))</f>
        <v>Raemond</v>
      </c>
      <c r="H405" s="8"/>
      <c r="I405" t="e" vm="426">
        <f>_xlfn.IMAGE("https://natalie.tf/wp-content/uploads/2023/10/DLV3_Icon_Ability_"&amp;INDEX('PWP-A'!$A$2:$C$31,MATCH('PWP-Print'!J405,'PWP-A'!$B$2:$B$31,0),1)&amp;".png")</f>
        <v>#VALUE!</v>
      </c>
      <c r="J405" s="229" t="str">
        <f>+INDEX(PWP!$A:$Z,MATCH('PWP-Print'!E404,PWP!$B:$B,0),MATCH("PWP Ability 2",PWP!$A$1:$Z$1,0))</f>
        <v>Defense +20%</v>
      </c>
      <c r="K405" s="249" t="str">
        <f>+INDEX(PWP!$A:$Z,MATCH('PWP-Print'!E404,PWP!$B:$B,0),MATCH("Locked PWP Ability 2",PWP!$A$1:$Z$1,0))</f>
        <v>(Light) Defense +20%</v>
      </c>
      <c r="M405" s="729"/>
      <c r="N405" s="8"/>
      <c r="O405" s="200" t="str">
        <f>+INDEX(PWP!$A:$Z,MATCH('PWP-Print'!O404,PWP!$B:$B,0),MATCH("ID",PWP!$A$1:$Z$1,0))</f>
        <v>110276_01</v>
      </c>
      <c r="P405" s="8"/>
      <c r="Q405" s="249" t="str">
        <f>+INDEX(PWP!$A:$Z,MATCH('PWP-Print'!O404,PWP!$B:$B,0),MATCH("Name",PWP!$A$1:$Z$1,0))</f>
        <v>Fritz</v>
      </c>
      <c r="R405" s="8"/>
      <c r="S405" t="e" vm="426">
        <f>_xlfn.IMAGE("https://natalie.tf/wp-content/uploads/2023/10/DLV3_Icon_Ability_"&amp;INDEX('PWP-A'!$A$2:$C$31,MATCH('PWP-Print'!T405,'PWP-A'!$B$2:$B$31,0),1)&amp;".png")</f>
        <v>#VALUE!</v>
      </c>
      <c r="T405" s="229" t="str">
        <f>+INDEX(PWP!$A:$Z,MATCH('PWP-Print'!O404,PWP!$B:$B,0),MATCH("PWP Ability 2",PWP!$A$1:$Z$1,0))</f>
        <v>Defense +20%</v>
      </c>
      <c r="U405" s="249" t="str">
        <f>+INDEX(PWP!$A:$Z,MATCH('PWP-Print'!O404,PWP!$B:$B,0),MATCH("Locked PWP Ability 2",PWP!$A$1:$Z$1,0))</f>
        <v>(Light) Defense +20%</v>
      </c>
    </row>
    <row r="406" spans="1:21" ht="22.5" customHeight="1" x14ac:dyDescent="0.3">
      <c r="A406" s="244" t="str">
        <f>TEXT(A402+1,"000")</f>
        <v>185</v>
      </c>
      <c r="B406" s="244" t="str">
        <f>TEXT(B402+1,"000")</f>
        <v>198</v>
      </c>
      <c r="C406" s="729"/>
      <c r="E406" s="251" t="str">
        <f>+INDEX(PWP!$A:$Z,MATCH('PWP-Print'!E404,PWP!$B:$B,0),MATCH("Num",PWP!$A$1:$Z$1,0))</f>
        <v>A-185</v>
      </c>
      <c r="G406" s="249" t="str">
        <f>+INDEX(PWP!$A:$Z,MATCH('PWP-Print'!E404,PWP!$B:$B,0),MATCH("Element",PWP!$A$1:$Z$1,0))&amp;" "&amp;INDEX(PWP!$A:$Z,MATCH('PWP-Print'!E404,PWP!$B:$B,0),MATCH("Type",PWP!$A$1:$Z$1,0))&amp;" Adventurer"</f>
        <v>Light Sword Adventurer</v>
      </c>
      <c r="K406" s="250"/>
      <c r="M406" s="729"/>
      <c r="O406" s="251" t="str">
        <f>+INDEX(PWP!$A:$Z,MATCH('PWP-Print'!O404,PWP!$B:$B,0),MATCH("Num",PWP!$A$1:$Z$1,0))</f>
        <v>A-198</v>
      </c>
      <c r="Q406" s="249" t="str">
        <f>+INDEX(PWP!$A:$Z,MATCH('PWP-Print'!O404,PWP!$B:$B,0),MATCH("Element",PWP!$A$1:$Z$1,0))&amp;" "&amp;INDEX(PWP!$A:$Z,MATCH('PWP-Print'!O404,PWP!$B:$B,0),MATCH("Type",PWP!$A$1:$Z$1,0))&amp;" Adventurer"</f>
        <v>Light Dagger Adventurer</v>
      </c>
      <c r="U406" s="250"/>
    </row>
    <row r="407" spans="1:21" ht="7.5" customHeight="1" x14ac:dyDescent="0.3">
      <c r="A407" s="244" t="s">
        <v>10763</v>
      </c>
      <c r="E407" s="250"/>
      <c r="G407" s="250"/>
      <c r="K407" s="250"/>
      <c r="O407" s="250"/>
      <c r="Q407" s="250"/>
      <c r="U407" s="250"/>
    </row>
    <row r="408" spans="1:21" ht="22.5" customHeight="1" x14ac:dyDescent="0.3">
      <c r="C408" s="729" t="e" vm="1229">
        <f>_xlfn.IMAGE("https://natalie.tf/wp-content/uploads/2023/10/DLV3_Icon_ADV_"&amp;E409&amp;"_r05.png")</f>
        <v>#VALUE!</v>
      </c>
      <c r="E408" s="249" t="str">
        <f>"PWP-"&amp;A410</f>
        <v>PWP-186</v>
      </c>
      <c r="G408" s="249" t="str">
        <f>+INDEX(PWP!$A:$Z,MATCH('PWP-Print'!E408,PWP!$B:$B,0),MATCH("Title",PWP!$A$1:$Z$1,0))</f>
        <v>Capricious Luminary</v>
      </c>
      <c r="I408" t="e" vm="1036">
        <f>_xlfn.IMAGE("https://natalie.tf/wp-content/uploads/2023/10/DLV3_Icon_Ability_"&amp;INDEX('PWP-A'!$A$2:$C$31,MATCH('PWP-Print'!J408,'PWP-A'!$B$2:$B$31,0),1)&amp;".png")</f>
        <v>#VALUE!</v>
      </c>
      <c r="J408" s="229" t="str">
        <f>+INDEX(PWP!$A:$Z,MATCH('PWP-Print'!E408,PWP!$B:$B,0),MATCH("PWP Ability 1",PWP!$A$1:$Z$1,0))</f>
        <v>15 Hits = Overdamage</v>
      </c>
      <c r="K408" s="249" t="str">
        <f>+INDEX(PWP!$A:$Z,MATCH('PWP-Print'!E408,PWP!$B:$B,0),MATCH("Locked PWP Ability 1",PWP!$A$1:$Z$1,0))</f>
        <v>(Light) 15 Hits = Overdamage</v>
      </c>
      <c r="M408" s="729" t="e" vm="1230">
        <f>_xlfn.IMAGE("https://natalie.tf/wp-content/uploads/2023/10/DLV3_Icon_ADV_"&amp;O409&amp;"_r05.png")</f>
        <v>#VALUE!</v>
      </c>
      <c r="O408" s="249" t="str">
        <f>"PWP-"&amp;B410</f>
        <v>PWP-199</v>
      </c>
      <c r="Q408" s="249" t="str">
        <f>+INDEX(PWP!$A:$Z,MATCH('PWP-Print'!O408,PWP!$B:$B,0),MATCH("Title",PWP!$A$1:$Z$1,0))</f>
        <v>Mammonist Mercenary</v>
      </c>
      <c r="S408" t="e" vm="426">
        <f>_xlfn.IMAGE("https://natalie.tf/wp-content/uploads/2023/10/DLV3_Icon_Ability_"&amp;INDEX('PWP-A'!$A$2:$C$31,MATCH('PWP-Print'!T408,'PWP-A'!$B$2:$B$31,0),1)&amp;".png")</f>
        <v>#VALUE!</v>
      </c>
      <c r="T408" s="229" t="str">
        <f>+INDEX(PWP!$A:$Z,MATCH('PWP-Print'!O408,PWP!$B:$B,0),MATCH("PWP Ability 1",PWP!$A$1:$Z$1,0))</f>
        <v>Defense +20%</v>
      </c>
      <c r="U408" s="249" t="str">
        <f>+INDEX(PWP!$A:$Z,MATCH('PWP-Print'!O408,PWP!$B:$B,0),MATCH("Locked PWP Ability 1",PWP!$A$1:$Z$1,0))</f>
        <v>(Light) Defense +20%</v>
      </c>
    </row>
    <row r="409" spans="1:21" ht="22.5" customHeight="1" x14ac:dyDescent="0.3">
      <c r="C409" s="729"/>
      <c r="D409" s="8"/>
      <c r="E409" s="200" t="str">
        <f>+INDEX(PWP!$A:$Z,MATCH('PWP-Print'!E408,PWP!$B:$B,0),MATCH("ID",PWP!$A$1:$Z$1,0))</f>
        <v>110398_01</v>
      </c>
      <c r="F409" s="8"/>
      <c r="G409" s="249" t="str">
        <f>+INDEX(PWP!$A:$Z,MATCH('PWP-Print'!E408,PWP!$B:$B,0),MATCH("Name",PWP!$A$1:$Z$1,0))</f>
        <v>Humanoid Jupiter</v>
      </c>
      <c r="H409" s="8"/>
      <c r="I409" t="e" vm="601">
        <f>_xlfn.IMAGE("https://natalie.tf/wp-content/uploads/2023/10/DLV3_Icon_Ability_"&amp;INDEX('PWP-A'!$A$2:$C$31,MATCH('PWP-Print'!J409,'PWP-A'!$B$2:$B$31,0),1)&amp;".png")</f>
        <v>#VALUE!</v>
      </c>
      <c r="J409" s="229" t="str">
        <f>+INDEX(PWP!$A:$Z,MATCH('PWP-Print'!E408,PWP!$B:$B,0),MATCH("PWP Ability 2",PWP!$A$1:$Z$1,0))</f>
        <v>Dragon Haste +15%</v>
      </c>
      <c r="K409" s="249" t="str">
        <f>+INDEX(PWP!$A:$Z,MATCH('PWP-Print'!E408,PWP!$B:$B,0),MATCH("Locked PWP Ability 2",PWP!$A$1:$Z$1,0))</f>
        <v>(Light) Dragon Haste +15%</v>
      </c>
      <c r="M409" s="729"/>
      <c r="N409" s="8"/>
      <c r="O409" s="200" t="str">
        <f>+INDEX(PWP!$A:$Z,MATCH('PWP-Print'!O408,PWP!$B:$B,0),MATCH("ID",PWP!$A$1:$Z$1,0))</f>
        <v>110037_01</v>
      </c>
      <c r="P409" s="8"/>
      <c r="Q409" s="249" t="str">
        <f>+INDEX(PWP!$A:$Z,MATCH('PWP-Print'!O408,PWP!$B:$B,0),MATCH("Name",PWP!$A$1:$Z$1,0))</f>
        <v>Irfan</v>
      </c>
      <c r="R409" s="8"/>
      <c r="S409" t="e" vm="349">
        <f>_xlfn.IMAGE("https://natalie.tf/wp-content/uploads/2023/10/DLV3_Icon_Ability_"&amp;INDEX('PWP-A'!$A$2:$C$31,MATCH('PWP-Print'!T409,'PWP-A'!$B$2:$B$31,0),1)&amp;".png")</f>
        <v>#VALUE!</v>
      </c>
      <c r="T409" s="229" t="str">
        <f>+INDEX(PWP!$A:$Z,MATCH('PWP-Print'!O408,PWP!$B:$B,0),MATCH("PWP Ability 2",PWP!$A$1:$Z$1,0))</f>
        <v>Recovery Potency +20%</v>
      </c>
      <c r="U409" s="249" t="str">
        <f>+INDEX(PWP!$A:$Z,MATCH('PWP-Print'!O408,PWP!$B:$B,0),MATCH("Locked PWP Ability 2",PWP!$A$1:$Z$1,0))</f>
        <v>(Light) Recovery Potency +20%</v>
      </c>
    </row>
    <row r="410" spans="1:21" ht="22.5" customHeight="1" x14ac:dyDescent="0.3">
      <c r="A410" s="244" t="str">
        <f>TEXT(A406+1,"000")</f>
        <v>186</v>
      </c>
      <c r="B410" s="244" t="str">
        <f>TEXT(B406+1,"000")</f>
        <v>199</v>
      </c>
      <c r="C410" s="729"/>
      <c r="E410" s="251" t="str">
        <f>+INDEX(PWP!$A:$Z,MATCH('PWP-Print'!E408,PWP!$B:$B,0),MATCH("Num",PWP!$A$1:$Z$1,0))</f>
        <v>A-186</v>
      </c>
      <c r="G410" s="249" t="str">
        <f>+INDEX(PWP!$A:$Z,MATCH('PWP-Print'!E408,PWP!$B:$B,0),MATCH("Element",PWP!$A$1:$Z$1,0))&amp;" "&amp;INDEX(PWP!$A:$Z,MATCH('PWP-Print'!E408,PWP!$B:$B,0),MATCH("Type",PWP!$A$1:$Z$1,0))&amp;" Adventurer"</f>
        <v>Light Blade Adventurer</v>
      </c>
      <c r="K410" s="250"/>
      <c r="M410" s="729"/>
      <c r="O410" s="251" t="str">
        <f>+INDEX(PWP!$A:$Z,MATCH('PWP-Print'!O408,PWP!$B:$B,0),MATCH("Num",PWP!$A$1:$Z$1,0))</f>
        <v>A-199</v>
      </c>
      <c r="Q410" s="249" t="str">
        <f>+INDEX(PWP!$A:$Z,MATCH('PWP-Print'!O408,PWP!$B:$B,0),MATCH("Element",PWP!$A$1:$Z$1,0))&amp;" "&amp;INDEX(PWP!$A:$Z,MATCH('PWP-Print'!O408,PWP!$B:$B,0),MATCH("Type",PWP!$A$1:$Z$1,0))&amp;" Adventurer"</f>
        <v>Light Dagger Adventurer</v>
      </c>
      <c r="U410" s="250"/>
    </row>
    <row r="411" spans="1:21" ht="7.5" customHeight="1" x14ac:dyDescent="0.3">
      <c r="A411" s="244" t="s">
        <v>10763</v>
      </c>
      <c r="E411" s="250"/>
      <c r="G411" s="250"/>
      <c r="K411" s="250"/>
      <c r="O411" s="250"/>
      <c r="Q411" s="250"/>
      <c r="U411" s="250"/>
    </row>
    <row r="412" spans="1:21" ht="22.5" customHeight="1" x14ac:dyDescent="0.3">
      <c r="C412" s="729" t="e" vm="1231">
        <f>_xlfn.IMAGE("https://natalie.tf/wp-content/uploads/2023/10/DLV3_Icon_ADV_"&amp;E413&amp;"_r05.png")</f>
        <v>#VALUE!</v>
      </c>
      <c r="E412" s="249" t="str">
        <f>"PWP-"&amp;A414</f>
        <v>PWP-187</v>
      </c>
      <c r="G412" s="249" t="str">
        <f>+INDEX(PWP!$A:$Z,MATCH('PWP-Print'!E412,PWP!$B:$B,0),MATCH("Title",PWP!$A$1:$Z$1,0))</f>
        <v>Innocent Being</v>
      </c>
      <c r="I412" t="e" vm="14">
        <f>_xlfn.IMAGE("https://natalie.tf/wp-content/uploads/2023/10/DLV3_Icon_Ability_"&amp;INDEX('PWP-A'!$A$2:$C$31,MATCH('PWP-Print'!J412,'PWP-A'!$B$2:$B$31,0),1)&amp;".png")</f>
        <v>#VALUE!</v>
      </c>
      <c r="J412" s="229" t="str">
        <f>+INDEX(PWP!$A:$Z,MATCH('PWP-Print'!E412,PWP!$B:$B,0),MATCH("PWP Ability 1",PWP!$A$1:$Z$1,0))</f>
        <v>Strength +20%</v>
      </c>
      <c r="K412" s="249" t="str">
        <f>+INDEX(PWP!$A:$Z,MATCH('PWP-Print'!E412,PWP!$B:$B,0),MATCH("Locked PWP Ability 1",PWP!$A$1:$Z$1,0))</f>
        <v>(Light) Strength +20%</v>
      </c>
      <c r="M412" s="729" t="e" vm="1232">
        <f>_xlfn.IMAGE("https://natalie.tf/wp-content/uploads/2023/10/DLV3_Icon_ADV_"&amp;O413&amp;"_r05.png")</f>
        <v>#VALUE!</v>
      </c>
      <c r="O412" s="249" t="str">
        <f>"PWP-"&amp;B414</f>
        <v>PWP-200</v>
      </c>
      <c r="Q412" s="249" t="str">
        <f>+INDEX(PWP!$A:$Z,MATCH('PWP-Print'!O412,PWP!$B:$B,0),MATCH("Title",PWP!$A$1:$Z$1,0))</f>
        <v>The Unbending</v>
      </c>
      <c r="S412" t="e" vm="14">
        <f>_xlfn.IMAGE("https://natalie.tf/wp-content/uploads/2023/10/DLV3_Icon_Ability_"&amp;INDEX('PWP-A'!$A$2:$C$31,MATCH('PWP-Print'!T412,'PWP-A'!$B$2:$B$31,0),1)&amp;".png")</f>
        <v>#VALUE!</v>
      </c>
      <c r="T412" s="229" t="str">
        <f>+INDEX(PWP!$A:$Z,MATCH('PWP-Print'!O412,PWP!$B:$B,0),MATCH("PWP Ability 1",PWP!$A$1:$Z$1,0))</f>
        <v>Strength +20%</v>
      </c>
      <c r="U412" s="249" t="str">
        <f>+INDEX(PWP!$A:$Z,MATCH('PWP-Print'!O412,PWP!$B:$B,0),MATCH("Locked PWP Ability 1",PWP!$A$1:$Z$1,0))</f>
        <v>(Light) Strength +20%</v>
      </c>
    </row>
    <row r="413" spans="1:21" ht="22.5" customHeight="1" x14ac:dyDescent="0.3">
      <c r="C413" s="729"/>
      <c r="D413" s="8"/>
      <c r="E413" s="200" t="str">
        <f>+INDEX(PWP!$A:$Z,MATCH('PWP-Print'!E412,PWP!$B:$B,0),MATCH("ID",PWP!$A$1:$Z$1,0))</f>
        <v>110369_01</v>
      </c>
      <c r="F413" s="8"/>
      <c r="G413" s="249" t="str">
        <f>+INDEX(PWP!$A:$Z,MATCH('PWP-Print'!E412,PWP!$B:$B,0),MATCH("Name",PWP!$A$1:$Z$1,0))</f>
        <v>Mordecai</v>
      </c>
      <c r="H413" s="8"/>
      <c r="I413" t="e" vm="696">
        <f>_xlfn.IMAGE("https://natalie.tf/wp-content/uploads/2023/10/DLV3_Icon_Ability_"&amp;INDEX('PWP-A'!$A$2:$C$31,MATCH('PWP-Print'!J413,'PWP-A'!$B$2:$B$31,0),1)&amp;".png")</f>
        <v>#VALUE!</v>
      </c>
      <c r="J413" s="229" t="str">
        <f>+INDEX(PWP!$A:$Z,MATCH('PWP-Print'!E412,PWP!$B:$B,0),MATCH("PWP Ability 2",PWP!$A$1:$Z$1,0))</f>
        <v>Elemental Res +15%</v>
      </c>
      <c r="K413" s="249" t="str">
        <f>+INDEX(PWP!$A:$Z,MATCH('PWP-Print'!E412,PWP!$B:$B,0),MATCH("Locked PWP Ability 2",PWP!$A$1:$Z$1,0))</f>
        <v>(Light) Elemental Res +15%</v>
      </c>
      <c r="M413" s="729"/>
      <c r="N413" s="8"/>
      <c r="O413" s="200" t="str">
        <f>+INDEX(PWP!$A:$Z,MATCH('PWP-Print'!O412,PWP!$B:$B,0),MATCH("ID",PWP!$A$1:$Z$1,0))</f>
        <v>100016_03</v>
      </c>
      <c r="P413" s="8"/>
      <c r="Q413" s="249" t="str">
        <f>+INDEX(PWP!$A:$Z,MATCH('PWP-Print'!O412,PWP!$B:$B,0),MATCH("Name",PWP!$A$1:$Z$1,0))</f>
        <v>Valyx</v>
      </c>
      <c r="R413" s="8"/>
      <c r="S413" t="e" vm="326">
        <f>_xlfn.IMAGE("https://natalie.tf/wp-content/uploads/2023/10/DLV3_Icon_Ability_"&amp;INDEX('PWP-A'!$A$2:$C$31,MATCH('PWP-Print'!T413,'PWP-A'!$B$2:$B$31,0),1)&amp;".png")</f>
        <v>#VALUE!</v>
      </c>
      <c r="T413" s="229" t="str">
        <f>+INDEX(PWP!$A:$Z,MATCH('PWP-Print'!O412,PWP!$B:$B,0),MATCH("PWP Ability 2",PWP!$A$1:$Z$1,0))</f>
        <v>Critical Rate +15%</v>
      </c>
      <c r="U413" s="249" t="str">
        <f>+INDEX(PWP!$A:$Z,MATCH('PWP-Print'!O412,PWP!$B:$B,0),MATCH("Locked PWP Ability 2",PWP!$A$1:$Z$1,0))</f>
        <v>(Light) Critical Rate +15%</v>
      </c>
    </row>
    <row r="414" spans="1:21" ht="22.5" customHeight="1" x14ac:dyDescent="0.3">
      <c r="A414" s="244" t="str">
        <f>TEXT(A410+1,"000")</f>
        <v>187</v>
      </c>
      <c r="B414" s="244" t="str">
        <f>TEXT(B410+1,"000")</f>
        <v>200</v>
      </c>
      <c r="C414" s="729"/>
      <c r="E414" s="251" t="str">
        <f>+INDEX(PWP!$A:$Z,MATCH('PWP-Print'!E412,PWP!$B:$B,0),MATCH("Num",PWP!$A$1:$Z$1,0))</f>
        <v>A-187</v>
      </c>
      <c r="G414" s="249" t="str">
        <f>+INDEX(PWP!$A:$Z,MATCH('PWP-Print'!E412,PWP!$B:$B,0),MATCH("Element",PWP!$A$1:$Z$1,0))&amp;" "&amp;INDEX(PWP!$A:$Z,MATCH('PWP-Print'!E412,PWP!$B:$B,0),MATCH("Type",PWP!$A$1:$Z$1,0))&amp;" Adventurer"</f>
        <v>Light Blade Adventurer</v>
      </c>
      <c r="K414" s="250"/>
      <c r="M414" s="729"/>
      <c r="O414" s="251" t="str">
        <f>+INDEX(PWP!$A:$Z,MATCH('PWP-Print'!O412,PWP!$B:$B,0),MATCH("Num",PWP!$A$1:$Z$1,0))</f>
        <v>A-200</v>
      </c>
      <c r="Q414" s="249" t="str">
        <f>+INDEX(PWP!$A:$Z,MATCH('PWP-Print'!O412,PWP!$B:$B,0),MATCH("Element",PWP!$A$1:$Z$1,0))&amp;" "&amp;INDEX(PWP!$A:$Z,MATCH('PWP-Print'!O412,PWP!$B:$B,0),MATCH("Type",PWP!$A$1:$Z$1,0))&amp;" Adventurer"</f>
        <v>Light Axe Adventurer</v>
      </c>
      <c r="U414" s="250"/>
    </row>
    <row r="415" spans="1:21" ht="7.5" customHeight="1" x14ac:dyDescent="0.3">
      <c r="A415" s="244" t="s">
        <v>10763</v>
      </c>
      <c r="E415" s="250"/>
      <c r="G415" s="250"/>
      <c r="K415" s="250"/>
    </row>
    <row r="416" spans="1:21" ht="22.5" customHeight="1" x14ac:dyDescent="0.3">
      <c r="C416" s="729" t="e" vm="1233">
        <f>_xlfn.IMAGE("https://natalie.tf/wp-content/uploads/2023/10/DLV3_Icon_ADV_"&amp;E417&amp;"_r05.png")</f>
        <v>#VALUE!</v>
      </c>
      <c r="E416" s="249" t="str">
        <f>"PWP-"&amp;A418</f>
        <v>PWP-188</v>
      </c>
      <c r="G416" s="249" t="str">
        <f>+INDEX(PWP!$A:$Z,MATCH('PWP-Print'!E416,PWP!$B:$B,0),MATCH("Title",PWP!$A$1:$Z$1,0))</f>
        <v>Harmony Seeker</v>
      </c>
      <c r="I416" t="e" vm="1036">
        <f>_xlfn.IMAGE("https://natalie.tf/wp-content/uploads/2023/10/DLV3_Icon_Ability_"&amp;INDEX('PWP-A'!$A$2:$C$31,MATCH('PWP-Print'!J416,'PWP-A'!$B$2:$B$31,0),1)&amp;".png")</f>
        <v>#VALUE!</v>
      </c>
      <c r="J416" s="229" t="str">
        <f>+INDEX(PWP!$A:$Z,MATCH('PWP-Print'!E416,PWP!$B:$B,0),MATCH("PWP Ability 1",PWP!$A$1:$Z$1,0))</f>
        <v>15 Hits = Overdamage</v>
      </c>
      <c r="K416" s="249" t="str">
        <f>+INDEX(PWP!$A:$Z,MATCH('PWP-Print'!E416,PWP!$B:$B,0),MATCH("Locked PWP Ability 1",PWP!$A$1:$Z$1,0))</f>
        <v>(Light) 15 Hits = Overdamage</v>
      </c>
      <c r="M416" s="729"/>
      <c r="O416" s="221"/>
      <c r="Q416" s="221"/>
      <c r="U416" s="221"/>
    </row>
    <row r="417" spans="1:21" ht="22.5" customHeight="1" x14ac:dyDescent="0.3">
      <c r="C417" s="729"/>
      <c r="D417" s="8"/>
      <c r="E417" s="200" t="str">
        <f>+INDEX(PWP!$A:$Z,MATCH('PWP-Print'!E416,PWP!$B:$B,0),MATCH("ID",PWP!$A$1:$Z$1,0))</f>
        <v>100006_09</v>
      </c>
      <c r="F417" s="8"/>
      <c r="G417" s="249" t="str">
        <f>+INDEX(PWP!$A:$Z,MATCH('PWP-Print'!E416,PWP!$B:$B,0),MATCH("Name",PWP!$A$1:$Z$1,0))</f>
        <v>Gala Luca</v>
      </c>
      <c r="H417" s="8"/>
      <c r="I417" t="e" vm="696">
        <f>_xlfn.IMAGE("https://natalie.tf/wp-content/uploads/2023/10/DLV3_Icon_Ability_"&amp;INDEX('PWP-A'!$A$2:$C$31,MATCH('PWP-Print'!J417,'PWP-A'!$B$2:$B$31,0),1)&amp;".png")</f>
        <v>#VALUE!</v>
      </c>
      <c r="J417" s="229" t="str">
        <f>+INDEX(PWP!$A:$Z,MATCH('PWP-Print'!E416,PWP!$B:$B,0),MATCH("PWP Ability 2",PWP!$A$1:$Z$1,0))</f>
        <v>Elemental Res +15%</v>
      </c>
      <c r="K417" s="249" t="str">
        <f>+INDEX(PWP!$A:$Z,MATCH('PWP-Print'!E416,PWP!$B:$B,0),MATCH("Locked PWP Ability 2",PWP!$A$1:$Z$1,0))</f>
        <v>(Light) Elemental Res +15%</v>
      </c>
      <c r="M417" s="729"/>
      <c r="N417" s="8"/>
      <c r="O417" s="221"/>
      <c r="P417" s="8"/>
      <c r="Q417" s="221"/>
      <c r="R417" s="8"/>
      <c r="S417" s="8"/>
      <c r="T417" s="8"/>
      <c r="U417" s="221"/>
    </row>
    <row r="418" spans="1:21" ht="22.5" customHeight="1" x14ac:dyDescent="0.3">
      <c r="A418" s="244" t="str">
        <f>TEXT(A414+1,"000")</f>
        <v>188</v>
      </c>
      <c r="C418" s="729"/>
      <c r="E418" s="251" t="str">
        <f>+INDEX(PWP!$A:$Z,MATCH('PWP-Print'!E416,PWP!$B:$B,0),MATCH("Num",PWP!$A$1:$Z$1,0))</f>
        <v>A-188</v>
      </c>
      <c r="G418" s="249" t="str">
        <f>+INDEX(PWP!$A:$Z,MATCH('PWP-Print'!E416,PWP!$B:$B,0),MATCH("Element",PWP!$A$1:$Z$1,0))&amp;" "&amp;INDEX(PWP!$A:$Z,MATCH('PWP-Print'!E416,PWP!$B:$B,0),MATCH("Type",PWP!$A$1:$Z$1,0))&amp;" Adventurer"</f>
        <v>Light Blade Adventurer</v>
      </c>
      <c r="K418" s="250"/>
      <c r="M418" s="729"/>
      <c r="O418" s="221"/>
      <c r="Q418" s="221"/>
      <c r="U418" s="222"/>
    </row>
    <row r="419" spans="1:21" ht="37.5" customHeight="1" x14ac:dyDescent="0.2"/>
    <row r="420" spans="1:21" ht="22.5" customHeight="1" x14ac:dyDescent="0.3">
      <c r="C420" s="729" t="e" vm="1234">
        <f>_xlfn.IMAGE("https://natalie.tf/wp-content/uploads/2023/10/DLV3_Icon_ADV_"&amp;E421&amp;"_r05.png")</f>
        <v>#VALUE!</v>
      </c>
      <c r="E420" s="249" t="str">
        <f>"PWP-"&amp;A422</f>
        <v>PWP-201</v>
      </c>
      <c r="G420" s="249" t="str">
        <f>+INDEX(PWP!$A:$Z,MATCH('PWP-Print'!E420,PWP!$B:$B,0),MATCH("Title",PWP!$A$1:$Z$1,0))</f>
        <v>The Paternal King</v>
      </c>
      <c r="I420" t="e" vm="1036">
        <f>_xlfn.IMAGE("https://natalie.tf/wp-content/uploads/2023/10/DLV3_Icon_Ability_"&amp;INDEX('PWP-A'!$A$2:$C$31,MATCH('PWP-Print'!J420,'PWP-A'!$B$2:$B$31,0),1)&amp;".png")</f>
        <v>#VALUE!</v>
      </c>
      <c r="J420" s="229" t="str">
        <f>+INDEX(PWP!$A:$Z,MATCH('PWP-Print'!E420,PWP!$B:$B,0),MATCH("PWP Ability 1",PWP!$A$1:$Z$1,0))</f>
        <v>15 Hits = Overdamage</v>
      </c>
      <c r="K420" s="249" t="str">
        <f>+INDEX(PWP!$A:$Z,MATCH('PWP-Print'!E420,PWP!$B:$B,0),MATCH("Locked PWP Ability 1",PWP!$A$1:$Z$1,0))</f>
        <v>(Light) 15 Hits = Overdamage</v>
      </c>
      <c r="M420" s="729" t="e" vm="1235">
        <f>_xlfn.IMAGE("https://natalie.tf/wp-content/uploads/2023/10/DLV3_Icon_ADV_"&amp;O421&amp;"_r05.png")</f>
        <v>#VALUE!</v>
      </c>
      <c r="O420" s="249" t="str">
        <f>"PWP-"&amp;B422</f>
        <v>PWP-214</v>
      </c>
      <c r="Q420" s="249" t="str">
        <f>+INDEX(PWP!$A:$Z,MATCH('PWP-Print'!O420,PWP!$B:$B,0),MATCH("Title",PWP!$A$1:$Z$1,0))</f>
        <v>Dormant Demon</v>
      </c>
      <c r="S420" t="e" vm="414">
        <f>_xlfn.IMAGE("https://natalie.tf/wp-content/uploads/2023/10/DLV3_Icon_Ability_"&amp;INDEX('PWP-A'!$A$2:$C$31,MATCH('PWP-Print'!T420,'PWP-A'!$B$2:$B$31,0),1)&amp;".png")</f>
        <v>#VALUE!</v>
      </c>
      <c r="T420" s="229" t="str">
        <f>+INDEX(PWP!$A:$Z,MATCH('PWP-Print'!O420,PWP!$B:$B,0),MATCH("PWP Ability 1",PWP!$A$1:$Z$1,0))</f>
        <v>Critical Damage +25%</v>
      </c>
      <c r="U420" s="249" t="str">
        <f>+INDEX(PWP!$A:$Z,MATCH('PWP-Print'!O420,PWP!$B:$B,0),MATCH("Locked PWP Ability 1",PWP!$A$1:$Z$1,0))</f>
        <v>(Light) Critical Damage +25%</v>
      </c>
    </row>
    <row r="421" spans="1:21" ht="22.5" customHeight="1" x14ac:dyDescent="0.3">
      <c r="C421" s="729"/>
      <c r="D421" s="8"/>
      <c r="E421" s="200" t="str">
        <f>+INDEX(PWP!$A:$Z,MATCH('PWP-Print'!E420,PWP!$B:$B,0),MATCH("ID",PWP!$A$1:$Z$1,0))</f>
        <v>110334_02</v>
      </c>
      <c r="F421" s="8"/>
      <c r="G421" s="249" t="str">
        <f>+INDEX(PWP!$A:$Z,MATCH('PWP-Print'!E420,PWP!$B:$B,0),MATCH("Name",PWP!$A$1:$Z$1,0))</f>
        <v>Gala Audric</v>
      </c>
      <c r="H421" s="8"/>
      <c r="I421" t="e" vm="14">
        <f>_xlfn.IMAGE("https://natalie.tf/wp-content/uploads/2023/10/DLV3_Icon_Ability_"&amp;INDEX('PWP-A'!$A$2:$C$31,MATCH('PWP-Print'!J421,'PWP-A'!$B$2:$B$31,0),1)&amp;".png")</f>
        <v>#VALUE!</v>
      </c>
      <c r="J421" s="229" t="str">
        <f>+INDEX(PWP!$A:$Z,MATCH('PWP-Print'!E420,PWP!$B:$B,0),MATCH("PWP Ability 2",PWP!$A$1:$Z$1,0))</f>
        <v>Skill Damage +40%</v>
      </c>
      <c r="K421" s="249" t="str">
        <f>+INDEX(PWP!$A:$Z,MATCH('PWP-Print'!E420,PWP!$B:$B,0),MATCH("Locked PWP Ability 2",PWP!$A$1:$Z$1,0))</f>
        <v>(Light) Skill Damage +40%</v>
      </c>
      <c r="M421" s="729"/>
      <c r="N421" s="8"/>
      <c r="O421" s="200" t="str">
        <f>+INDEX(PWP!$A:$Z,MATCH('PWP-Print'!O420,PWP!$B:$B,0),MATCH("ID",PWP!$A$1:$Z$1,0))</f>
        <v>110039_01</v>
      </c>
      <c r="P421" s="8"/>
      <c r="Q421" s="249" t="str">
        <f>+INDEX(PWP!$A:$Z,MATCH('PWP-Print'!O420,PWP!$B:$B,0),MATCH("Name",PWP!$A$1:$Z$1,0))</f>
        <v>Ryozen</v>
      </c>
      <c r="R421" s="8"/>
      <c r="S421" t="e" vm="688">
        <f>_xlfn.IMAGE("https://natalie.tf/wp-content/uploads/2023/10/DLV3_Icon_Ability_"&amp;INDEX('PWP-A'!$A$2:$C$31,MATCH('PWP-Print'!T421,'PWP-A'!$B$2:$B$31,0),1)&amp;".png")</f>
        <v>#VALUE!</v>
      </c>
      <c r="T421" s="229" t="str">
        <f>+INDEX(PWP!$A:$Z,MATCH('PWP-Print'!O420,PWP!$B:$B,0),MATCH("PWP Ability 2",PWP!$A$1:$Z$1,0))</f>
        <v>Overdrive Punisher +15%</v>
      </c>
      <c r="U421" s="249" t="str">
        <f>+INDEX(PWP!$A:$Z,MATCH('PWP-Print'!O420,PWP!$B:$B,0),MATCH("Locked PWP Ability 2",PWP!$A$1:$Z$1,0))</f>
        <v>(Light) Overdrive Punisher +15%</v>
      </c>
    </row>
    <row r="422" spans="1:21" ht="22.5" customHeight="1" x14ac:dyDescent="0.3">
      <c r="A422" s="242" t="str">
        <f>TEXT(B414+1,"000")</f>
        <v>201</v>
      </c>
      <c r="B422" s="244" t="str">
        <f>TEXT(A470+1,"000")</f>
        <v>214</v>
      </c>
      <c r="C422" s="729"/>
      <c r="E422" s="251" t="str">
        <f>+INDEX(PWP!$A:$Z,MATCH('PWP-Print'!E420,PWP!$B:$B,0),MATCH("Num",PWP!$A$1:$Z$1,0))</f>
        <v>A-201</v>
      </c>
      <c r="G422" s="249" t="str">
        <f>+INDEX(PWP!$A:$Z,MATCH('PWP-Print'!E420,PWP!$B:$B,0),MATCH("Element",PWP!$A$1:$Z$1,0))&amp;" "&amp;INDEX(PWP!$A:$Z,MATCH('PWP-Print'!E420,PWP!$B:$B,0),MATCH("Type",PWP!$A$1:$Z$1,0))&amp;" Adventurer"</f>
        <v>Light Axe Adventurer</v>
      </c>
      <c r="K422" s="250"/>
      <c r="M422" s="729"/>
      <c r="O422" s="251" t="str">
        <f>+INDEX(PWP!$A:$Z,MATCH('PWP-Print'!O420,PWP!$B:$B,0),MATCH("Num",PWP!$A$1:$Z$1,0))</f>
        <v>A-214</v>
      </c>
      <c r="Q422" s="249" t="str">
        <f>+INDEX(PWP!$A:$Z,MATCH('PWP-Print'!O420,PWP!$B:$B,0),MATCH("Element",PWP!$A$1:$Z$1,0))&amp;" "&amp;INDEX(PWP!$A:$Z,MATCH('PWP-Print'!O420,PWP!$B:$B,0),MATCH("Type",PWP!$A$1:$Z$1,0))&amp;" Adventurer"</f>
        <v>Light Lance Adventurer</v>
      </c>
      <c r="U422" s="250"/>
    </row>
    <row r="423" spans="1:21" ht="7.5" customHeight="1" x14ac:dyDescent="0.3">
      <c r="A423" s="244" t="s">
        <v>10763</v>
      </c>
      <c r="E423" s="250"/>
      <c r="G423" s="250"/>
      <c r="K423" s="250"/>
      <c r="O423" s="250"/>
      <c r="Q423" s="250"/>
      <c r="U423" s="250"/>
    </row>
    <row r="424" spans="1:21" ht="22.5" customHeight="1" x14ac:dyDescent="0.3">
      <c r="C424" s="729" t="e" vm="1236">
        <f>_xlfn.IMAGE("https://natalie.tf/wp-content/uploads/2023/10/DLV3_Icon_ADV_"&amp;E425&amp;"_r05.png")</f>
        <v>#VALUE!</v>
      </c>
      <c r="E424" s="249" t="str">
        <f>"PWP-"&amp;A426</f>
        <v>PWP-202</v>
      </c>
      <c r="G424" s="249" t="str">
        <f>+INDEX(PWP!$A:$Z,MATCH('PWP-Print'!E424,PWP!$B:$B,0),MATCH("Title",PWP!$A$1:$Z$1,0))</f>
        <v>Humanity's Companion</v>
      </c>
      <c r="I424" t="e" vm="326">
        <f>_xlfn.IMAGE("https://natalie.tf/wp-content/uploads/2023/10/DLV3_Icon_Ability_"&amp;INDEX('PWP-A'!$A$2:$C$31,MATCH('PWP-Print'!J424,'PWP-A'!$B$2:$B$31,0),1)&amp;".png")</f>
        <v>#VALUE!</v>
      </c>
      <c r="J424" s="229" t="str">
        <f>+INDEX(PWP!$A:$Z,MATCH('PWP-Print'!E424,PWP!$B:$B,0),MATCH("PWP Ability 1",PWP!$A$1:$Z$1,0))</f>
        <v>Critical Rate +15%</v>
      </c>
      <c r="K424" s="249" t="str">
        <f>+INDEX(PWP!$A:$Z,MATCH('PWP-Print'!E424,PWP!$B:$B,0),MATCH("Locked PWP Ability 1",PWP!$A$1:$Z$1,0))</f>
        <v>(Light) Critical Rate +15%</v>
      </c>
      <c r="M424" s="729" t="e" vm="1237">
        <f>_xlfn.IMAGE("https://natalie.tf/wp-content/uploads/2023/10/DLV3_Icon_ADV_"&amp;O425&amp;"_r05.png")</f>
        <v>#VALUE!</v>
      </c>
      <c r="O424" s="249" t="str">
        <f>"PWP-"&amp;B426</f>
        <v>PWP-215</v>
      </c>
      <c r="Q424" s="249" t="str">
        <f>+INDEX(PWP!$A:$Z,MATCH('PWP-Print'!O424,PWP!$B:$B,0),MATCH("Title",PWP!$A$1:$Z$1,0))</f>
        <v>Golden Armorer</v>
      </c>
      <c r="S424" t="e" vm="688">
        <f>_xlfn.IMAGE("https://natalie.tf/wp-content/uploads/2023/10/DLV3_Icon_Ability_"&amp;INDEX('PWP-A'!$A$2:$C$31,MATCH('PWP-Print'!T424,'PWP-A'!$B$2:$B$31,0),1)&amp;".png")</f>
        <v>#VALUE!</v>
      </c>
      <c r="T424" s="229" t="str">
        <f>+INDEX(PWP!$A:$Z,MATCH('PWP-Print'!O424,PWP!$B:$B,0),MATCH("PWP Ability 1",PWP!$A$1:$Z$1,0))</f>
        <v>Overdrive Punisher +15%</v>
      </c>
      <c r="U424" s="249" t="str">
        <f>+INDEX(PWP!$A:$Z,MATCH('PWP-Print'!O424,PWP!$B:$B,0),MATCH("Locked PWP Ability 1",PWP!$A$1:$Z$1,0))</f>
        <v>(Light) Overdrive Punisher +15%</v>
      </c>
    </row>
    <row r="425" spans="1:21" ht="22.5" customHeight="1" x14ac:dyDescent="0.3">
      <c r="C425" s="729"/>
      <c r="D425" s="8"/>
      <c r="E425" s="200" t="str">
        <f>+INDEX(PWP!$A:$Z,MATCH('PWP-Print'!E424,PWP!$B:$B,0),MATCH("ID",PWP!$A$1:$Z$1,0))</f>
        <v>110380_01</v>
      </c>
      <c r="F425" s="8"/>
      <c r="G425" s="249" t="str">
        <f>+INDEX(PWP!$A:$Z,MATCH('PWP-Print'!E424,PWP!$B:$B,0),MATCH("Name",PWP!$A$1:$Z$1,0))</f>
        <v>Sophie (Persona)</v>
      </c>
      <c r="H425" s="8"/>
      <c r="I425" t="e" vm="1045">
        <f>_xlfn.IMAGE("https://natalie.tf/wp-content/uploads/2023/10/DLV3_Icon_Ability_"&amp;INDEX('PWP-A'!$A$2:$C$31,MATCH('PWP-Print'!J425,'PWP-A'!$B$2:$B$31,0),1)&amp;".png")</f>
        <v>#VALUE!</v>
      </c>
      <c r="J425" s="229" t="str">
        <f>+INDEX(PWP!$A:$Z,MATCH('PWP-Print'!E424,PWP!$B:$B,0),MATCH("PWP Ability 2",PWP!$A$1:$Z$1,0))</f>
        <v>Attack Rate +20%</v>
      </c>
      <c r="K425" s="249" t="str">
        <f>+INDEX(PWP!$A:$Z,MATCH('PWP-Print'!E424,PWP!$B:$B,0),MATCH("Locked PWP Ability 2",PWP!$A$1:$Z$1,0))</f>
        <v>(Light) Attack Rate +20%</v>
      </c>
      <c r="M425" s="729"/>
      <c r="N425" s="8"/>
      <c r="O425" s="200" t="str">
        <f>+INDEX(PWP!$A:$Z,MATCH('PWP-Print'!O424,PWP!$B:$B,0),MATCH("ID",PWP!$A$1:$Z$1,0))</f>
        <v>110034_01</v>
      </c>
      <c r="P425" s="8"/>
      <c r="Q425" s="249" t="str">
        <f>+INDEX(PWP!$A:$Z,MATCH('PWP-Print'!O424,PWP!$B:$B,0),MATCH("Name",PWP!$A$1:$Z$1,0))</f>
        <v>Malka</v>
      </c>
      <c r="R425" s="8"/>
      <c r="S425" t="e" vm="496">
        <f>_xlfn.IMAGE("https://natalie.tf/wp-content/uploads/2023/10/DLV3_Icon_Ability_"&amp;INDEX('PWP-A'!$A$2:$C$31,MATCH('PWP-Print'!T425,'PWP-A'!$B$2:$B$31,0),1)&amp;".png")</f>
        <v>#VALUE!</v>
      </c>
      <c r="T425" s="229" t="str">
        <f>+INDEX(PWP!$A:$Z,MATCH('PWP-Print'!O424,PWP!$B:$B,0),MATCH("PWP Ability 2",PWP!$A$1:$Z$1,0))</f>
        <v>HP +15%</v>
      </c>
      <c r="U425" s="249" t="str">
        <f>+INDEX(PWP!$A:$Z,MATCH('PWP-Print'!O424,PWP!$B:$B,0),MATCH("Locked PWP Ability 2",PWP!$A$1:$Z$1,0))</f>
        <v>(Light) HP +15%</v>
      </c>
    </row>
    <row r="426" spans="1:21" ht="22.5" customHeight="1" x14ac:dyDescent="0.3">
      <c r="A426" s="244" t="str">
        <f>TEXT(A422+1,"000")</f>
        <v>202</v>
      </c>
      <c r="B426" s="244" t="str">
        <f>TEXT(B422+1,"000")</f>
        <v>215</v>
      </c>
      <c r="C426" s="729"/>
      <c r="E426" s="251" t="str">
        <f>+INDEX(PWP!$A:$Z,MATCH('PWP-Print'!E424,PWP!$B:$B,0),MATCH("Num",PWP!$A$1:$Z$1,0))</f>
        <v>A-202</v>
      </c>
      <c r="G426" s="249" t="str">
        <f>+INDEX(PWP!$A:$Z,MATCH('PWP-Print'!E424,PWP!$B:$B,0),MATCH("Element",PWP!$A$1:$Z$1,0))&amp;" "&amp;INDEX(PWP!$A:$Z,MATCH('PWP-Print'!E424,PWP!$B:$B,0),MATCH("Type",PWP!$A$1:$Z$1,0))&amp;" Adventurer"</f>
        <v>Light Axe Adventurer</v>
      </c>
      <c r="K426" s="250"/>
      <c r="M426" s="729"/>
      <c r="O426" s="251" t="str">
        <f>+INDEX(PWP!$A:$Z,MATCH('PWP-Print'!O424,PWP!$B:$B,0),MATCH("Num",PWP!$A$1:$Z$1,0))</f>
        <v>A-215</v>
      </c>
      <c r="Q426" s="249" t="str">
        <f>+INDEX(PWP!$A:$Z,MATCH('PWP-Print'!O424,PWP!$B:$B,0),MATCH("Element",PWP!$A$1:$Z$1,0))&amp;" "&amp;INDEX(PWP!$A:$Z,MATCH('PWP-Print'!O424,PWP!$B:$B,0),MATCH("Type",PWP!$A$1:$Z$1,0))&amp;" Adventurer"</f>
        <v>Light Lance Adventurer</v>
      </c>
      <c r="U426" s="250"/>
    </row>
    <row r="427" spans="1:21" ht="7.5" customHeight="1" x14ac:dyDescent="0.3">
      <c r="A427" s="244" t="s">
        <v>10763</v>
      </c>
      <c r="E427" s="250"/>
      <c r="G427" s="250"/>
      <c r="K427" s="250"/>
      <c r="O427" s="250"/>
      <c r="Q427" s="250"/>
      <c r="U427" s="250"/>
    </row>
    <row r="428" spans="1:21" ht="22.5" customHeight="1" x14ac:dyDescent="0.3">
      <c r="C428" s="729" t="e" vm="1238">
        <f>_xlfn.IMAGE("https://natalie.tf/wp-content/uploads/2023/10/DLV3_Icon_ADV_"&amp;E429&amp;"_r05.png")</f>
        <v>#VALUE!</v>
      </c>
      <c r="E428" s="249" t="str">
        <f>"PWP-"&amp;A430</f>
        <v>PWP-203</v>
      </c>
      <c r="G428" s="249" t="str">
        <f>+INDEX(PWP!$A:$Z,MATCH('PWP-Print'!E428,PWP!$B:$B,0),MATCH("Title",PWP!$A$1:$Z$1,0))</f>
        <v>Indebted General</v>
      </c>
      <c r="I428" t="e" vm="426">
        <f>_xlfn.IMAGE("https://natalie.tf/wp-content/uploads/2023/10/DLV3_Icon_Ability_"&amp;INDEX('PWP-A'!$A$2:$C$31,MATCH('PWP-Print'!J428,'PWP-A'!$B$2:$B$31,0),1)&amp;".png")</f>
        <v>#VALUE!</v>
      </c>
      <c r="J428" s="229" t="str">
        <f>+INDEX(PWP!$A:$Z,MATCH('PWP-Print'!E428,PWP!$B:$B,0),MATCH("PWP Ability 1",PWP!$A$1:$Z$1,0))</f>
        <v>Defense +20%</v>
      </c>
      <c r="K428" s="249" t="str">
        <f>+INDEX(PWP!$A:$Z,MATCH('PWP-Print'!E428,PWP!$B:$B,0),MATCH("Locked PWP Ability 1",PWP!$A$1:$Z$1,0))</f>
        <v>(Light) Defense +20%</v>
      </c>
      <c r="M428" s="729" t="e" vm="1239">
        <f>_xlfn.IMAGE("https://natalie.tf/wp-content/uploads/2023/10/DLV3_Icon_ADV_"&amp;O429&amp;"_r05.png")</f>
        <v>#VALUE!</v>
      </c>
      <c r="O428" s="249" t="str">
        <f>"PWP-"&amp;B430</f>
        <v>PWP-216</v>
      </c>
      <c r="Q428" s="249" t="str">
        <f>+INDEX(PWP!$A:$Z,MATCH('PWP-Print'!O428,PWP!$B:$B,0),MATCH("Title",PWP!$A$1:$Z$1,0))</f>
        <v>Guardsman of the Verdure</v>
      </c>
      <c r="S428" t="e" vm="14">
        <f>_xlfn.IMAGE("https://natalie.tf/wp-content/uploads/2023/10/DLV3_Icon_Ability_"&amp;INDEX('PWP-A'!$A$2:$C$31,MATCH('PWP-Print'!T428,'PWP-A'!$B$2:$B$31,0),1)&amp;".png")</f>
        <v>#VALUE!</v>
      </c>
      <c r="T428" s="229" t="str">
        <f>+INDEX(PWP!$A:$Z,MATCH('PWP-Print'!O428,PWP!$B:$B,0),MATCH("PWP Ability 1",PWP!$A$1:$Z$1,0))</f>
        <v>Strength +20%</v>
      </c>
      <c r="U428" s="249" t="str">
        <f>+INDEX(PWP!$A:$Z,MATCH('PWP-Print'!O428,PWP!$B:$B,0),MATCH("Locked PWP Ability 1",PWP!$A$1:$Z$1,0))</f>
        <v>(Light) Strength +20%</v>
      </c>
    </row>
    <row r="429" spans="1:21" ht="22.5" customHeight="1" x14ac:dyDescent="0.3">
      <c r="C429" s="729"/>
      <c r="D429" s="8"/>
      <c r="E429" s="200" t="str">
        <f>+INDEX(PWP!$A:$Z,MATCH('PWP-Print'!E428,PWP!$B:$B,0),MATCH("ID",PWP!$A$1:$Z$1,0))</f>
        <v>110322_01</v>
      </c>
      <c r="F429" s="8"/>
      <c r="G429" s="249" t="str">
        <f>+INDEX(PWP!$A:$Z,MATCH('PWP-Print'!E428,PWP!$B:$B,0),MATCH("Name",PWP!$A$1:$Z$1,0))</f>
        <v>Zhu Bajie</v>
      </c>
      <c r="H429" s="8"/>
      <c r="I429" t="e" vm="696">
        <f>_xlfn.IMAGE("https://natalie.tf/wp-content/uploads/2023/10/DLV3_Icon_Ability_"&amp;INDEX('PWP-A'!$A$2:$C$31,MATCH('PWP-Print'!J429,'PWP-A'!$B$2:$B$31,0),1)&amp;".png")</f>
        <v>#VALUE!</v>
      </c>
      <c r="J429" s="229" t="str">
        <f>+INDEX(PWP!$A:$Z,MATCH('PWP-Print'!E428,PWP!$B:$B,0),MATCH("PWP Ability 2",PWP!$A$1:$Z$1,0))</f>
        <v>Elemental Res +15%</v>
      </c>
      <c r="K429" s="249" t="str">
        <f>+INDEX(PWP!$A:$Z,MATCH('PWP-Print'!E428,PWP!$B:$B,0),MATCH("Locked PWP Ability 2",PWP!$A$1:$Z$1,0))</f>
        <v>(Light) Elemental Res +15%</v>
      </c>
      <c r="M429" s="729"/>
      <c r="N429" s="8"/>
      <c r="O429" s="200" t="str">
        <f>+INDEX(PWP!$A:$Z,MATCH('PWP-Print'!O428,PWP!$B:$B,0),MATCH("ID",PWP!$A$1:$Z$1,0))</f>
        <v>110391_01</v>
      </c>
      <c r="P429" s="8"/>
      <c r="Q429" s="249" t="str">
        <f>+INDEX(PWP!$A:$Z,MATCH('PWP-Print'!O428,PWP!$B:$B,0),MATCH("Name",PWP!$A$1:$Z$1,0))</f>
        <v>Isaac</v>
      </c>
      <c r="R429" s="8"/>
      <c r="S429" t="e" vm="414">
        <f>_xlfn.IMAGE("https://natalie.tf/wp-content/uploads/2023/10/DLV3_Icon_Ability_"&amp;INDEX('PWP-A'!$A$2:$C$31,MATCH('PWP-Print'!T429,'PWP-A'!$B$2:$B$31,0),1)&amp;".png")</f>
        <v>#VALUE!</v>
      </c>
      <c r="T429" s="229" t="str">
        <f>+INDEX(PWP!$A:$Z,MATCH('PWP-Print'!O428,PWP!$B:$B,0),MATCH("PWP Ability 2",PWP!$A$1:$Z$1,0))</f>
        <v>Critical Damage +25%</v>
      </c>
      <c r="U429" s="249" t="str">
        <f>+INDEX(PWP!$A:$Z,MATCH('PWP-Print'!O428,PWP!$B:$B,0),MATCH("Locked PWP Ability 2",PWP!$A$1:$Z$1,0))</f>
        <v>(Light) Critical Damage +25%</v>
      </c>
    </row>
    <row r="430" spans="1:21" ht="22.5" customHeight="1" x14ac:dyDescent="0.3">
      <c r="A430" s="244" t="str">
        <f>TEXT(A426+1,"000")</f>
        <v>203</v>
      </c>
      <c r="B430" s="244" t="str">
        <f>TEXT(B426+1,"000")</f>
        <v>216</v>
      </c>
      <c r="C430" s="729"/>
      <c r="E430" s="251" t="str">
        <f>+INDEX(PWP!$A:$Z,MATCH('PWP-Print'!E428,PWP!$B:$B,0),MATCH("Num",PWP!$A$1:$Z$1,0))</f>
        <v>A-203</v>
      </c>
      <c r="G430" s="249" t="str">
        <f>+INDEX(PWP!$A:$Z,MATCH('PWP-Print'!E428,PWP!$B:$B,0),MATCH("Element",PWP!$A$1:$Z$1,0))&amp;" "&amp;INDEX(PWP!$A:$Z,MATCH('PWP-Print'!E428,PWP!$B:$B,0),MATCH("Type",PWP!$A$1:$Z$1,0))&amp;" Adventurer"</f>
        <v>Light Axe Adventurer</v>
      </c>
      <c r="K430" s="250"/>
      <c r="M430" s="729"/>
      <c r="O430" s="251" t="str">
        <f>+INDEX(PWP!$A:$Z,MATCH('PWP-Print'!O428,PWP!$B:$B,0),MATCH("Num",PWP!$A$1:$Z$1,0))</f>
        <v>A-216</v>
      </c>
      <c r="Q430" s="249" t="str">
        <f>+INDEX(PWP!$A:$Z,MATCH('PWP-Print'!O428,PWP!$B:$B,0),MATCH("Element",PWP!$A$1:$Z$1,0))&amp;" "&amp;INDEX(PWP!$A:$Z,MATCH('PWP-Print'!O428,PWP!$B:$B,0),MATCH("Type",PWP!$A$1:$Z$1,0))&amp;" Adventurer"</f>
        <v>Light Bow Adventurer</v>
      </c>
      <c r="U430" s="250"/>
    </row>
    <row r="431" spans="1:21" ht="7.5" customHeight="1" x14ac:dyDescent="0.3">
      <c r="A431" s="244" t="s">
        <v>10763</v>
      </c>
      <c r="E431" s="250"/>
      <c r="G431" s="250"/>
      <c r="K431" s="250"/>
      <c r="O431" s="250"/>
      <c r="Q431" s="250"/>
      <c r="U431" s="250"/>
    </row>
    <row r="432" spans="1:21" ht="22.5" customHeight="1" x14ac:dyDescent="0.3">
      <c r="C432" s="729" t="e" vm="1240">
        <f>_xlfn.IMAGE("https://natalie.tf/wp-content/uploads/2023/10/DLV3_Icon_ADV_"&amp;E433&amp;"_r05.png")</f>
        <v>#VALUE!</v>
      </c>
      <c r="E432" s="249" t="str">
        <f>"PWP-"&amp;A434</f>
        <v>PWP-204</v>
      </c>
      <c r="G432" s="249" t="str">
        <f>+INDEX(PWP!$A:$Z,MATCH('PWP-Print'!E432,PWP!$B:$B,0),MATCH("Title",PWP!$A$1:$Z$1,0))</f>
        <v>Lady Starfall</v>
      </c>
      <c r="I432" t="e" vm="326">
        <f>_xlfn.IMAGE("https://natalie.tf/wp-content/uploads/2023/10/DLV3_Icon_Ability_"&amp;INDEX('PWP-A'!$A$2:$C$31,MATCH('PWP-Print'!J432,'PWP-A'!$B$2:$B$31,0),1)&amp;".png")</f>
        <v>#VALUE!</v>
      </c>
      <c r="J432" s="229" t="str">
        <f>+INDEX(PWP!$A:$Z,MATCH('PWP-Print'!E432,PWP!$B:$B,0),MATCH("PWP Ability 1",PWP!$A$1:$Z$1,0))</f>
        <v>Critical Rate +15%</v>
      </c>
      <c r="K432" s="249" t="str">
        <f>+INDEX(PWP!$A:$Z,MATCH('PWP-Print'!E432,PWP!$B:$B,0),MATCH("Locked PWP Ability 1",PWP!$A$1:$Z$1,0))</f>
        <v>(Light) Critical Rate +15%</v>
      </c>
      <c r="M432" s="729" t="e" vm="1241">
        <f>_xlfn.IMAGE("https://natalie.tf/wp-content/uploads/2023/10/DLV3_Icon_ADV_"&amp;O433&amp;"_r05.png")</f>
        <v>#VALUE!</v>
      </c>
      <c r="O432" s="249" t="str">
        <f>"PWP-"&amp;B434</f>
        <v>PWP-217</v>
      </c>
      <c r="Q432" s="249" t="str">
        <f>+INDEX(PWP!$A:$Z,MATCH('PWP-Print'!O432,PWP!$B:$B,0),MATCH("Title",PWP!$A$1:$Z$1,0))</f>
        <v>Wave-Riding Archer</v>
      </c>
      <c r="S432" t="e" vm="688">
        <f>_xlfn.IMAGE("https://natalie.tf/wp-content/uploads/2023/10/DLV3_Icon_Ability_"&amp;INDEX('PWP-A'!$A$2:$C$31,MATCH('PWP-Print'!T432,'PWP-A'!$B$2:$B$31,0),1)&amp;".png")</f>
        <v>#VALUE!</v>
      </c>
      <c r="T432" s="229" t="str">
        <f>+INDEX(PWP!$A:$Z,MATCH('PWP-Print'!O432,PWP!$B:$B,0),MATCH("PWP Ability 1",PWP!$A$1:$Z$1,0))</f>
        <v>Overdrive Punisher +15%</v>
      </c>
      <c r="U432" s="249" t="str">
        <f>+INDEX(PWP!$A:$Z,MATCH('PWP-Print'!O432,PWP!$B:$B,0),MATCH("Locked PWP Ability 1",PWP!$A$1:$Z$1,0))</f>
        <v>(Light) Overdrive Punisher +15%</v>
      </c>
    </row>
    <row r="433" spans="1:21" ht="22.5" customHeight="1" x14ac:dyDescent="0.3">
      <c r="C433" s="729"/>
      <c r="D433" s="8"/>
      <c r="E433" s="200" t="str">
        <f>+INDEX(PWP!$A:$Z,MATCH('PWP-Print'!E432,PWP!$B:$B,0),MATCH("ID",PWP!$A$1:$Z$1,0))</f>
        <v>110036_03</v>
      </c>
      <c r="F433" s="8"/>
      <c r="G433" s="249" t="str">
        <f>+INDEX(PWP!$A:$Z,MATCH('PWP-Print'!E432,PWP!$B:$B,0),MATCH("Name",PWP!$A$1:$Z$1,0))</f>
        <v>Dragonyule Malora</v>
      </c>
      <c r="H433" s="8"/>
      <c r="I433" t="e" vm="414">
        <f>_xlfn.IMAGE("https://natalie.tf/wp-content/uploads/2023/10/DLV3_Icon_Ability_"&amp;INDEX('PWP-A'!$A$2:$C$31,MATCH('PWP-Print'!J433,'PWP-A'!$B$2:$B$31,0),1)&amp;".png")</f>
        <v>#VALUE!</v>
      </c>
      <c r="J433" s="229" t="str">
        <f>+INDEX(PWP!$A:$Z,MATCH('PWP-Print'!E432,PWP!$B:$B,0),MATCH("PWP Ability 2",PWP!$A$1:$Z$1,0))</f>
        <v>Critical Damage +25%</v>
      </c>
      <c r="K433" s="249" t="str">
        <f>+INDEX(PWP!$A:$Z,MATCH('PWP-Print'!E432,PWP!$B:$B,0),MATCH("Locked PWP Ability 2",PWP!$A$1:$Z$1,0))</f>
        <v>(Light) Critical Damage +25%</v>
      </c>
      <c r="M433" s="729"/>
      <c r="N433" s="8"/>
      <c r="O433" s="200" t="str">
        <f>+INDEX(PWP!$A:$Z,MATCH('PWP-Print'!O432,PWP!$B:$B,0),MATCH("ID",PWP!$A$1:$Z$1,0))</f>
        <v>110010_02</v>
      </c>
      <c r="P433" s="8"/>
      <c r="Q433" s="249" t="str">
        <f>+INDEX(PWP!$A:$Z,MATCH('PWP-Print'!O432,PWP!$B:$B,0),MATCH("Name",PWP!$A$1:$Z$1,0))</f>
        <v>Summer Mikoto</v>
      </c>
      <c r="R433" s="8"/>
      <c r="S433" t="e" vm="376">
        <f>_xlfn.IMAGE("https://natalie.tf/wp-content/uploads/2023/10/DLV3_Icon_Ability_"&amp;INDEX('PWP-A'!$A$2:$C$31,MATCH('PWP-Print'!T433,'PWP-A'!$B$2:$B$31,0),1)&amp;".png")</f>
        <v>#VALUE!</v>
      </c>
      <c r="T433" s="229" t="str">
        <f>+INDEX(PWP!$A:$Z,MATCH('PWP-Print'!O432,PWP!$B:$B,0),MATCH("PWP Ability 2",PWP!$A$1:$Z$1,0))</f>
        <v>Broken Punisher +30%</v>
      </c>
      <c r="U433" s="249" t="str">
        <f>+INDEX(PWP!$A:$Z,MATCH('PWP-Print'!O432,PWP!$B:$B,0),MATCH("Locked PWP Ability 2",PWP!$A$1:$Z$1,0))</f>
        <v>(Light) Broken Punisher +30%</v>
      </c>
    </row>
    <row r="434" spans="1:21" ht="22.5" customHeight="1" x14ac:dyDescent="0.3">
      <c r="A434" s="244" t="str">
        <f>TEXT(A430+1,"000")</f>
        <v>204</v>
      </c>
      <c r="B434" s="244" t="str">
        <f>TEXT(B430+1,"000")</f>
        <v>217</v>
      </c>
      <c r="C434" s="729"/>
      <c r="E434" s="251" t="str">
        <f>+INDEX(PWP!$A:$Z,MATCH('PWP-Print'!E432,PWP!$B:$B,0),MATCH("Num",PWP!$A$1:$Z$1,0))</f>
        <v>A-204</v>
      </c>
      <c r="G434" s="249" t="str">
        <f>+INDEX(PWP!$A:$Z,MATCH('PWP-Print'!E432,PWP!$B:$B,0),MATCH("Element",PWP!$A$1:$Z$1,0))&amp;" "&amp;INDEX(PWP!$A:$Z,MATCH('PWP-Print'!E432,PWP!$B:$B,0),MATCH("Type",PWP!$A$1:$Z$1,0))&amp;" Adventurer"</f>
        <v>Light Axe Adventurer</v>
      </c>
      <c r="K434" s="250"/>
      <c r="M434" s="729"/>
      <c r="O434" s="251" t="str">
        <f>+INDEX(PWP!$A:$Z,MATCH('PWP-Print'!O432,PWP!$B:$B,0),MATCH("Num",PWP!$A$1:$Z$1,0))</f>
        <v>A-217</v>
      </c>
      <c r="Q434" s="249" t="str">
        <f>+INDEX(PWP!$A:$Z,MATCH('PWP-Print'!O432,PWP!$B:$B,0),MATCH("Element",PWP!$A$1:$Z$1,0))&amp;" "&amp;INDEX(PWP!$A:$Z,MATCH('PWP-Print'!O432,PWP!$B:$B,0),MATCH("Type",PWP!$A$1:$Z$1,0))&amp;" Adventurer"</f>
        <v>Light Bow Adventurer</v>
      </c>
      <c r="U434" s="250"/>
    </row>
    <row r="435" spans="1:21" ht="7.5" customHeight="1" x14ac:dyDescent="0.3">
      <c r="A435" s="244" t="s">
        <v>10763</v>
      </c>
      <c r="E435" s="250"/>
      <c r="G435" s="250"/>
      <c r="K435" s="250"/>
      <c r="O435" s="250"/>
      <c r="Q435" s="250"/>
      <c r="U435" s="250"/>
    </row>
    <row r="436" spans="1:21" ht="22.5" customHeight="1" x14ac:dyDescent="0.3">
      <c r="C436" s="729" t="e" vm="1242">
        <f>_xlfn.IMAGE("https://natalie.tf/wp-content/uploads/2023/10/DLV3_Icon_ADV_"&amp;E437&amp;"_r05.png")</f>
        <v>#VALUE!</v>
      </c>
      <c r="E436" s="249" t="str">
        <f>"PWP-"&amp;A438</f>
        <v>PWP-205</v>
      </c>
      <c r="G436" s="249" t="str">
        <f>+INDEX(PWP!$A:$Z,MATCH('PWP-Print'!E436,PWP!$B:$B,0),MATCH("Title",PWP!$A$1:$Z$1,0))</f>
        <v>Timorous Paladyn</v>
      </c>
      <c r="I436" t="e" vm="1045">
        <f>_xlfn.IMAGE("https://natalie.tf/wp-content/uploads/2023/10/DLV3_Icon_Ability_"&amp;INDEX('PWP-A'!$A$2:$C$31,MATCH('PWP-Print'!J436,'PWP-A'!$B$2:$B$31,0),1)&amp;".png")</f>
        <v>#VALUE!</v>
      </c>
      <c r="J436" s="229" t="str">
        <f>+INDEX(PWP!$A:$Z,MATCH('PWP-Print'!E436,PWP!$B:$B,0),MATCH("PWP Ability 1",PWP!$A$1:$Z$1,0))</f>
        <v>Attack Rate +20%</v>
      </c>
      <c r="K436" s="249" t="str">
        <f>+INDEX(PWP!$A:$Z,MATCH('PWP-Print'!E436,PWP!$B:$B,0),MATCH("Locked PWP Ability 1",PWP!$A$1:$Z$1,0))</f>
        <v>(Light) Attack Rate +20%</v>
      </c>
      <c r="M436" s="729" t="e" vm="1243">
        <f>_xlfn.IMAGE("https://natalie.tf/wp-content/uploads/2023/10/DLV3_Icon_ADV_"&amp;O437&amp;"_r05.png")</f>
        <v>#VALUE!</v>
      </c>
      <c r="O436" s="249" t="str">
        <f>"PWP-"&amp;B438</f>
        <v>PWP-218</v>
      </c>
      <c r="Q436" s="249" t="str">
        <f>+INDEX(PWP!$A:$Z,MATCH('PWP-Print'!O436,PWP!$B:$B,0),MATCH("Title",PWP!$A$1:$Z$1,0))</f>
        <v>Beach Belle</v>
      </c>
      <c r="S436" t="e" vm="326">
        <f>_xlfn.IMAGE("https://natalie.tf/wp-content/uploads/2023/10/DLV3_Icon_Ability_"&amp;INDEX('PWP-A'!$A$2:$C$31,MATCH('PWP-Print'!T436,'PWP-A'!$B$2:$B$31,0),1)&amp;".png")</f>
        <v>#VALUE!</v>
      </c>
      <c r="T436" s="229" t="str">
        <f>+INDEX(PWP!$A:$Z,MATCH('PWP-Print'!O436,PWP!$B:$B,0),MATCH("PWP Ability 1",PWP!$A$1:$Z$1,0))</f>
        <v>Critical Rate +15%</v>
      </c>
      <c r="U436" s="249" t="str">
        <f>+INDEX(PWP!$A:$Z,MATCH('PWP-Print'!O436,PWP!$B:$B,0),MATCH("Locked PWP Ability 1",PWP!$A$1:$Z$1,0))</f>
        <v>(Light) Critical Rate +15%</v>
      </c>
    </row>
    <row r="437" spans="1:21" ht="22.5" customHeight="1" x14ac:dyDescent="0.3">
      <c r="C437" s="729"/>
      <c r="D437" s="8"/>
      <c r="E437" s="200" t="str">
        <f>+INDEX(PWP!$A:$Z,MATCH('PWP-Print'!E436,PWP!$B:$B,0),MATCH("ID",PWP!$A$1:$Z$1,0))</f>
        <v>110042_01</v>
      </c>
      <c r="F437" s="8"/>
      <c r="G437" s="249" t="str">
        <f>+INDEX(PWP!$A:$Z,MATCH('PWP-Print'!E436,PWP!$B:$B,0),MATCH("Name",PWP!$A$1:$Z$1,0))</f>
        <v>Julietta</v>
      </c>
      <c r="H437" s="8"/>
      <c r="I437" t="e" vm="693">
        <f>_xlfn.IMAGE("https://natalie.tf/wp-content/uploads/2023/10/DLV3_Icon_Ability_"&amp;INDEX('PWP-A'!$A$2:$C$31,MATCH('PWP-Print'!J437,'PWP-A'!$B$2:$B$31,0),1)&amp;".png")</f>
        <v>#VALUE!</v>
      </c>
      <c r="J437" s="229" t="str">
        <f>+INDEX(PWP!$A:$Z,MATCH('PWP-Print'!E436,PWP!$B:$B,0),MATCH("PWP Ability 2",PWP!$A$1:$Z$1,0))</f>
        <v>Combo Time +2</v>
      </c>
      <c r="K437" s="249" t="str">
        <f>+INDEX(PWP!$A:$Z,MATCH('PWP-Print'!E436,PWP!$B:$B,0),MATCH("Locked PWP Ability 2",PWP!$A$1:$Z$1,0))</f>
        <v>(Light) Combo Time +2</v>
      </c>
      <c r="M437" s="729"/>
      <c r="N437" s="8"/>
      <c r="O437" s="200" t="str">
        <f>+INDEX(PWP!$A:$Z,MATCH('PWP-Print'!O436,PWP!$B:$B,0),MATCH("ID",PWP!$A$1:$Z$1,0))</f>
        <v>100004_04</v>
      </c>
      <c r="P437" s="8"/>
      <c r="Q437" s="249" t="str">
        <f>+INDEX(PWP!$A:$Z,MATCH('PWP-Print'!O436,PWP!$B:$B,0),MATCH("Name",PWP!$A$1:$Z$1,0))</f>
        <v>Summer Cleo</v>
      </c>
      <c r="R437" s="8"/>
      <c r="S437" t="e" vm="496">
        <f>_xlfn.IMAGE("https://natalie.tf/wp-content/uploads/2023/10/DLV3_Icon_Ability_"&amp;INDEX('PWP-A'!$A$2:$C$31,MATCH('PWP-Print'!T437,'PWP-A'!$B$2:$B$31,0),1)&amp;".png")</f>
        <v>#VALUE!</v>
      </c>
      <c r="T437" s="229" t="str">
        <f>+INDEX(PWP!$A:$Z,MATCH('PWP-Print'!O436,PWP!$B:$B,0),MATCH("PWP Ability 2",PWP!$A$1:$Z$1,0))</f>
        <v>HP +15%</v>
      </c>
      <c r="U437" s="249" t="str">
        <f>+INDEX(PWP!$A:$Z,MATCH('PWP-Print'!O436,PWP!$B:$B,0),MATCH("Locked PWP Ability 2",PWP!$A$1:$Z$1,0))</f>
        <v>(Light) HP +15%</v>
      </c>
    </row>
    <row r="438" spans="1:21" ht="22.5" customHeight="1" x14ac:dyDescent="0.3">
      <c r="A438" s="244" t="str">
        <f>TEXT(A434+1,"000")</f>
        <v>205</v>
      </c>
      <c r="B438" s="244" t="str">
        <f>TEXT(B434+1,"000")</f>
        <v>218</v>
      </c>
      <c r="C438" s="729"/>
      <c r="E438" s="251" t="str">
        <f>+INDEX(PWP!$A:$Z,MATCH('PWP-Print'!E436,PWP!$B:$B,0),MATCH("Num",PWP!$A$1:$Z$1,0))</f>
        <v>A-205</v>
      </c>
      <c r="G438" s="249" t="str">
        <f>+INDEX(PWP!$A:$Z,MATCH('PWP-Print'!E436,PWP!$B:$B,0),MATCH("Element",PWP!$A$1:$Z$1,0))&amp;" "&amp;INDEX(PWP!$A:$Z,MATCH('PWP-Print'!E436,PWP!$B:$B,0),MATCH("Type",PWP!$A$1:$Z$1,0))&amp;" Adventurer"</f>
        <v>Light Axe Adventurer</v>
      </c>
      <c r="K438" s="250"/>
      <c r="M438" s="729"/>
      <c r="O438" s="251" t="str">
        <f>+INDEX(PWP!$A:$Z,MATCH('PWP-Print'!O436,PWP!$B:$B,0),MATCH("Num",PWP!$A$1:$Z$1,0))</f>
        <v>A-218</v>
      </c>
      <c r="Q438" s="249" t="str">
        <f>+INDEX(PWP!$A:$Z,MATCH('PWP-Print'!O436,PWP!$B:$B,0),MATCH("Element",PWP!$A$1:$Z$1,0))&amp;" "&amp;INDEX(PWP!$A:$Z,MATCH('PWP-Print'!O436,PWP!$B:$B,0),MATCH("Type",PWP!$A$1:$Z$1,0))&amp;" Adventurer"</f>
        <v>Light Bow Adventurer</v>
      </c>
      <c r="U438" s="250"/>
    </row>
    <row r="439" spans="1:21" ht="7.5" customHeight="1" x14ac:dyDescent="0.3">
      <c r="A439" s="244" t="s">
        <v>10763</v>
      </c>
      <c r="E439" s="250"/>
      <c r="G439" s="250"/>
      <c r="K439" s="250"/>
      <c r="O439" s="250"/>
      <c r="Q439" s="250"/>
      <c r="U439" s="250"/>
    </row>
    <row r="440" spans="1:21" ht="22.5" customHeight="1" x14ac:dyDescent="0.3">
      <c r="C440" s="729" t="e" vm="1244">
        <f>_xlfn.IMAGE("https://natalie.tf/wp-content/uploads/2023/10/DLV3_Icon_ADV_"&amp;E441&amp;"_r05.png")</f>
        <v>#VALUE!</v>
      </c>
      <c r="E440" s="249" t="str">
        <f>"PWP-"&amp;A442</f>
        <v>PWP-206</v>
      </c>
      <c r="G440" s="249" t="str">
        <f>+INDEX(PWP!$A:$Z,MATCH('PWP-Print'!E440,PWP!$B:$B,0),MATCH("Title",PWP!$A$1:$Z$1,0))</f>
        <v>Prankster in Paradise</v>
      </c>
      <c r="I440" t="e" vm="414">
        <f>_xlfn.IMAGE("https://natalie.tf/wp-content/uploads/2023/10/DLV3_Icon_Ability_"&amp;INDEX('PWP-A'!$A$2:$C$31,MATCH('PWP-Print'!J440,'PWP-A'!$B$2:$B$31,0),1)&amp;".png")</f>
        <v>#VALUE!</v>
      </c>
      <c r="J440" s="229" t="str">
        <f>+INDEX(PWP!$A:$Z,MATCH('PWP-Print'!E440,PWP!$B:$B,0),MATCH("PWP Ability 1",PWP!$A$1:$Z$1,0))</f>
        <v>Critical Damage +25%</v>
      </c>
      <c r="K440" s="249" t="str">
        <f>+INDEX(PWP!$A:$Z,MATCH('PWP-Print'!E440,PWP!$B:$B,0),MATCH("Locked PWP Ability 1",PWP!$A$1:$Z$1,0))</f>
        <v>(Light) Critical Damage +25%</v>
      </c>
      <c r="M440" s="729" t="e" vm="1245">
        <f>_xlfn.IMAGE("https://natalie.tf/wp-content/uploads/2023/10/DLV3_Icon_ADV_"&amp;O441&amp;"_r05.png")</f>
        <v>#VALUE!</v>
      </c>
      <c r="O440" s="249" t="str">
        <f>"PWP-"&amp;B442</f>
        <v>PWP-219</v>
      </c>
      <c r="Q440" s="249" t="str">
        <f>+INDEX(PWP!$A:$Z,MATCH('PWP-Print'!O440,PWP!$B:$B,0),MATCH("Title",PWP!$A$1:$Z$1,0))</f>
        <v>Divine Voice</v>
      </c>
      <c r="S440" t="e" vm="688">
        <f>_xlfn.IMAGE("https://natalie.tf/wp-content/uploads/2023/10/DLV3_Icon_Ability_"&amp;INDEX('PWP-A'!$A$2:$C$31,MATCH('PWP-Print'!T440,'PWP-A'!$B$2:$B$31,0),1)&amp;".png")</f>
        <v>#VALUE!</v>
      </c>
      <c r="T440" s="229" t="str">
        <f>+INDEX(PWP!$A:$Z,MATCH('PWP-Print'!O440,PWP!$B:$B,0),MATCH("PWP Ability 1",PWP!$A$1:$Z$1,0))</f>
        <v>Overdrive Punisher +15%</v>
      </c>
      <c r="U440" s="249" t="str">
        <f>+INDEX(PWP!$A:$Z,MATCH('PWP-Print'!O440,PWP!$B:$B,0),MATCH("Locked PWP Ability 1",PWP!$A$1:$Z$1,0))</f>
        <v>(Light) Overdrive Punisher +15%</v>
      </c>
    </row>
    <row r="441" spans="1:21" ht="22.5" customHeight="1" x14ac:dyDescent="0.3">
      <c r="C441" s="729"/>
      <c r="D441" s="8"/>
      <c r="E441" s="200" t="str">
        <f>+INDEX(PWP!$A:$Z,MATCH('PWP-Print'!E440,PWP!$B:$B,0),MATCH("ID",PWP!$A$1:$Z$1,0))</f>
        <v>100006_03</v>
      </c>
      <c r="F441" s="8"/>
      <c r="G441" s="249" t="str">
        <f>+INDEX(PWP!$A:$Z,MATCH('PWP-Print'!E440,PWP!$B:$B,0),MATCH("Name",PWP!$A$1:$Z$1,0))</f>
        <v>Summer Luca</v>
      </c>
      <c r="H441" s="8"/>
      <c r="I441" t="e" vm="696">
        <f>_xlfn.IMAGE("https://natalie.tf/wp-content/uploads/2023/10/DLV3_Icon_Ability_"&amp;INDEX('PWP-A'!$A$2:$C$31,MATCH('PWP-Print'!J441,'PWP-A'!$B$2:$B$31,0),1)&amp;".png")</f>
        <v>#VALUE!</v>
      </c>
      <c r="J441" s="229" t="str">
        <f>+INDEX(PWP!$A:$Z,MATCH('PWP-Print'!E440,PWP!$B:$B,0),MATCH("PWP Ability 2",PWP!$A$1:$Z$1,0))</f>
        <v>Elemental Res +15%</v>
      </c>
      <c r="K441" s="249" t="str">
        <f>+INDEX(PWP!$A:$Z,MATCH('PWP-Print'!E440,PWP!$B:$B,0),MATCH("Locked PWP Ability 2",PWP!$A$1:$Z$1,0))</f>
        <v>(Light) Elemental Res +15%</v>
      </c>
      <c r="M441" s="729"/>
      <c r="N441" s="8"/>
      <c r="O441" s="200" t="str">
        <f>+INDEX(PWP!$A:$Z,MATCH('PWP-Print'!O440,PWP!$B:$B,0),MATCH("ID",PWP!$A$1:$Z$1,0))</f>
        <v>110303_01</v>
      </c>
      <c r="P441" s="8"/>
      <c r="Q441" s="249" t="str">
        <f>+INDEX(PWP!$A:$Z,MATCH('PWP-Print'!O440,PWP!$B:$B,0),MATCH("Name",PWP!$A$1:$Z$1,0))</f>
        <v>Elias</v>
      </c>
      <c r="R441" s="8"/>
      <c r="S441" t="e" vm="1045">
        <f>_xlfn.IMAGE("https://natalie.tf/wp-content/uploads/2023/10/DLV3_Icon_Ability_"&amp;INDEX('PWP-A'!$A$2:$C$31,MATCH('PWP-Print'!T441,'PWP-A'!$B$2:$B$31,0),1)&amp;".png")</f>
        <v>#VALUE!</v>
      </c>
      <c r="T441" s="229" t="str">
        <f>+INDEX(PWP!$A:$Z,MATCH('PWP-Print'!O440,PWP!$B:$B,0),MATCH("PWP Ability 2",PWP!$A$1:$Z$1,0))</f>
        <v>Attack Rate +20%</v>
      </c>
      <c r="U441" s="249" t="str">
        <f>+INDEX(PWP!$A:$Z,MATCH('PWP-Print'!O440,PWP!$B:$B,0),MATCH("Locked PWP Ability 2",PWP!$A$1:$Z$1,0))</f>
        <v>(Light) Attack Rate +20%</v>
      </c>
    </row>
    <row r="442" spans="1:21" ht="22.5" customHeight="1" x14ac:dyDescent="0.3">
      <c r="A442" s="244" t="str">
        <f>TEXT(A438+1,"000")</f>
        <v>206</v>
      </c>
      <c r="B442" s="244" t="str">
        <f>TEXT(B438+1,"000")</f>
        <v>219</v>
      </c>
      <c r="C442" s="729"/>
      <c r="E442" s="251" t="str">
        <f>+INDEX(PWP!$A:$Z,MATCH('PWP-Print'!E440,PWP!$B:$B,0),MATCH("Num",PWP!$A$1:$Z$1,0))</f>
        <v>A-206</v>
      </c>
      <c r="G442" s="249" t="str">
        <f>+INDEX(PWP!$A:$Z,MATCH('PWP-Print'!E440,PWP!$B:$B,0),MATCH("Element",PWP!$A$1:$Z$1,0))&amp;" "&amp;INDEX(PWP!$A:$Z,MATCH('PWP-Print'!E440,PWP!$B:$B,0),MATCH("Type",PWP!$A$1:$Z$1,0))&amp;" Adventurer"</f>
        <v>Light Axe Adventurer</v>
      </c>
      <c r="K442" s="250"/>
      <c r="M442" s="729"/>
      <c r="O442" s="251" t="str">
        <f>+INDEX(PWP!$A:$Z,MATCH('PWP-Print'!O440,PWP!$B:$B,0),MATCH("Num",PWP!$A$1:$Z$1,0))</f>
        <v>A-219</v>
      </c>
      <c r="Q442" s="249" t="str">
        <f>+INDEX(PWP!$A:$Z,MATCH('PWP-Print'!O440,PWP!$B:$B,0),MATCH("Element",PWP!$A$1:$Z$1,0))&amp;" "&amp;INDEX(PWP!$A:$Z,MATCH('PWP-Print'!O440,PWP!$B:$B,0),MATCH("Type",PWP!$A$1:$Z$1,0))&amp;" Adventurer"</f>
        <v>Light Bow Adventurer</v>
      </c>
      <c r="U442" s="250"/>
    </row>
    <row r="443" spans="1:21" ht="7.5" customHeight="1" x14ac:dyDescent="0.3">
      <c r="A443" s="244" t="s">
        <v>10763</v>
      </c>
      <c r="E443" s="250"/>
      <c r="G443" s="250"/>
      <c r="K443" s="250"/>
      <c r="O443" s="250"/>
      <c r="Q443" s="250"/>
      <c r="U443" s="250"/>
    </row>
    <row r="444" spans="1:21" ht="22.5" customHeight="1" x14ac:dyDescent="0.3">
      <c r="C444" s="729" t="e" vm="1246">
        <f>_xlfn.IMAGE("https://natalie.tf/wp-content/uploads/2023/10/DLV3_Icon_ADV_"&amp;E445&amp;"_r05.png")</f>
        <v>#VALUE!</v>
      </c>
      <c r="E444" s="249" t="str">
        <f>"PWP-"&amp;A446</f>
        <v>PWP-207</v>
      </c>
      <c r="G444" s="249" t="str">
        <f>+INDEX(PWP!$A:$Z,MATCH('PWP-Print'!E444,PWP!$B:$B,0),MATCH("Title",PWP!$A$1:$Z$1,0))</f>
        <v>Bantam Hero</v>
      </c>
      <c r="I444" t="e" vm="496">
        <f>_xlfn.IMAGE("https://natalie.tf/wp-content/uploads/2023/10/DLV3_Icon_Ability_"&amp;INDEX('PWP-A'!$A$2:$C$31,MATCH('PWP-Print'!J444,'PWP-A'!$B$2:$B$31,0),1)&amp;".png")</f>
        <v>#VALUE!</v>
      </c>
      <c r="J444" s="229" t="str">
        <f>+INDEX(PWP!$A:$Z,MATCH('PWP-Print'!E444,PWP!$B:$B,0),MATCH("PWP Ability 1",PWP!$A$1:$Z$1,0))</f>
        <v>HP +15%</v>
      </c>
      <c r="K444" s="249" t="str">
        <f>+INDEX(PWP!$A:$Z,MATCH('PWP-Print'!E444,PWP!$B:$B,0),MATCH("Locked PWP Ability 1",PWP!$A$1:$Z$1,0))</f>
        <v>(Light) HP +15%</v>
      </c>
      <c r="M444" s="729" t="e" vm="1247">
        <f>_xlfn.IMAGE("https://natalie.tf/wp-content/uploads/2023/10/DLV3_Icon_ADV_"&amp;O445&amp;"_r05.png")</f>
        <v>#VALUE!</v>
      </c>
      <c r="O444" s="249" t="str">
        <f>"PWP-"&amp;B446</f>
        <v>PWP-220</v>
      </c>
      <c r="Q444" s="249" t="str">
        <f>+INDEX(PWP!$A:$Z,MATCH('PWP-Print'!O444,PWP!$B:$B,0),MATCH("Title",PWP!$A$1:$Z$1,0))</f>
        <v>Wild Hunter</v>
      </c>
      <c r="S444" t="e" vm="696">
        <f>_xlfn.IMAGE("https://natalie.tf/wp-content/uploads/2023/10/DLV3_Icon_Ability_"&amp;INDEX('PWP-A'!$A$2:$C$31,MATCH('PWP-Print'!T444,'PWP-A'!$B$2:$B$31,0),1)&amp;".png")</f>
        <v>#VALUE!</v>
      </c>
      <c r="T444" s="229" t="str">
        <f>+INDEX(PWP!$A:$Z,MATCH('PWP-Print'!O444,PWP!$B:$B,0),MATCH("PWP Ability 1",PWP!$A$1:$Z$1,0))</f>
        <v>Elemental Res +15%</v>
      </c>
      <c r="U444" s="249" t="str">
        <f>+INDEX(PWP!$A:$Z,MATCH('PWP-Print'!O444,PWP!$B:$B,0),MATCH("Locked PWP Ability 1",PWP!$A$1:$Z$1,0))</f>
        <v>(Light) Elemental Res +15%</v>
      </c>
    </row>
    <row r="445" spans="1:21" ht="22.5" customHeight="1" x14ac:dyDescent="0.3">
      <c r="C445" s="729"/>
      <c r="D445" s="8"/>
      <c r="E445" s="200" t="str">
        <f>+INDEX(PWP!$A:$Z,MATCH('PWP-Print'!E444,PWP!$B:$B,0),MATCH("ID",PWP!$A$1:$Z$1,0))</f>
        <v>110033_01</v>
      </c>
      <c r="F445" s="8"/>
      <c r="G445" s="249" t="str">
        <f>+INDEX(PWP!$A:$Z,MATCH('PWP-Print'!E444,PWP!$B:$B,0),MATCH("Name",PWP!$A$1:$Z$1,0))</f>
        <v>Linus</v>
      </c>
      <c r="H445" s="8"/>
      <c r="I445" t="e" vm="802">
        <f>_xlfn.IMAGE("https://natalie.tf/wp-content/uploads/2023/10/DLV3_Icon_Ability_"&amp;INDEX('PWP-A'!$A$2:$C$31,MATCH('PWP-Print'!J445,'PWP-A'!$B$2:$B$31,0),1)&amp;".png")</f>
        <v>#VALUE!</v>
      </c>
      <c r="J445" s="229" t="str">
        <f>+INDEX(PWP!$A:$Z,MATCH('PWP-Print'!E444,PWP!$B:$B,0),MATCH("PWP Ability 2",PWP!$A$1:$Z$1,0))</f>
        <v>HP 70% = Shield +40%</v>
      </c>
      <c r="K445" s="249" t="str">
        <f>+INDEX(PWP!$A:$Z,MATCH('PWP-Print'!E444,PWP!$B:$B,0),MATCH("Locked PWP Ability 2",PWP!$A$1:$Z$1,0))</f>
        <v>(Light) HP 70% = Shield +40%</v>
      </c>
      <c r="M445" s="729"/>
      <c r="N445" s="8"/>
      <c r="O445" s="200" t="str">
        <f>+INDEX(PWP!$A:$Z,MATCH('PWP-Print'!O444,PWP!$B:$B,0),MATCH("ID",PWP!$A$1:$Z$1,0))</f>
        <v>110040_01</v>
      </c>
      <c r="P445" s="8"/>
      <c r="Q445" s="249" t="str">
        <f>+INDEX(PWP!$A:$Z,MATCH('PWP-Print'!O444,PWP!$B:$B,0),MATCH("Name",PWP!$A$1:$Z$1,0))</f>
        <v>Rawn</v>
      </c>
      <c r="R445" s="8"/>
      <c r="S445" t="e" vm="802">
        <f>_xlfn.IMAGE("https://natalie.tf/wp-content/uploads/2023/10/DLV3_Icon_Ability_"&amp;INDEX('PWP-A'!$A$2:$C$31,MATCH('PWP-Print'!T445,'PWP-A'!$B$2:$B$31,0),1)&amp;".png")</f>
        <v>#VALUE!</v>
      </c>
      <c r="T445" s="229" t="str">
        <f>+INDEX(PWP!$A:$Z,MATCH('PWP-Print'!O444,PWP!$B:$B,0),MATCH("PWP Ability 2",PWP!$A$1:$Z$1,0))</f>
        <v>HP 70% = Shield +40%</v>
      </c>
      <c r="U445" s="249" t="str">
        <f>+INDEX(PWP!$A:$Z,MATCH('PWP-Print'!O444,PWP!$B:$B,0),MATCH("Locked PWP Ability 2",PWP!$A$1:$Z$1,0))</f>
        <v>(Light) HP 70% = Shield +40%</v>
      </c>
    </row>
    <row r="446" spans="1:21" ht="22.5" customHeight="1" x14ac:dyDescent="0.3">
      <c r="A446" s="244" t="str">
        <f>TEXT(A442+1,"000")</f>
        <v>207</v>
      </c>
      <c r="B446" s="244" t="str">
        <f>TEXT(B442+1,"000")</f>
        <v>220</v>
      </c>
      <c r="C446" s="729"/>
      <c r="E446" s="251" t="str">
        <f>+INDEX(PWP!$A:$Z,MATCH('PWP-Print'!E444,PWP!$B:$B,0),MATCH("Num",PWP!$A$1:$Z$1,0))</f>
        <v>A-207</v>
      </c>
      <c r="G446" s="249" t="str">
        <f>+INDEX(PWP!$A:$Z,MATCH('PWP-Print'!E444,PWP!$B:$B,0),MATCH("Element",PWP!$A$1:$Z$1,0))&amp;" "&amp;INDEX(PWP!$A:$Z,MATCH('PWP-Print'!E444,PWP!$B:$B,0),MATCH("Type",PWP!$A$1:$Z$1,0))&amp;" Adventurer"</f>
        <v>Light Axe Adventurer</v>
      </c>
      <c r="K446" s="250"/>
      <c r="M446" s="729"/>
      <c r="O446" s="251" t="str">
        <f>+INDEX(PWP!$A:$Z,MATCH('PWP-Print'!O444,PWP!$B:$B,0),MATCH("Num",PWP!$A$1:$Z$1,0))</f>
        <v>A-220</v>
      </c>
      <c r="Q446" s="249" t="str">
        <f>+INDEX(PWP!$A:$Z,MATCH('PWP-Print'!O444,PWP!$B:$B,0),MATCH("Element",PWP!$A$1:$Z$1,0))&amp;" "&amp;INDEX(PWP!$A:$Z,MATCH('PWP-Print'!O444,PWP!$B:$B,0),MATCH("Type",PWP!$A$1:$Z$1,0))&amp;" Adventurer"</f>
        <v>Light Bow Adventurer</v>
      </c>
      <c r="U446" s="250"/>
    </row>
    <row r="447" spans="1:21" ht="7.5" customHeight="1" x14ac:dyDescent="0.3">
      <c r="A447" s="244" t="s">
        <v>10763</v>
      </c>
      <c r="E447" s="250"/>
      <c r="G447" s="250"/>
      <c r="K447" s="250"/>
      <c r="O447" s="250"/>
      <c r="Q447" s="250"/>
      <c r="U447" s="250"/>
    </row>
    <row r="448" spans="1:21" ht="22.5" customHeight="1" x14ac:dyDescent="0.3">
      <c r="C448" s="729" t="e" vm="1248">
        <f>_xlfn.IMAGE("https://natalie.tf/wp-content/uploads/2023/10/DLV3_Icon_ADV_"&amp;E449&amp;"_r05.png")</f>
        <v>#VALUE!</v>
      </c>
      <c r="E448" s="249" t="str">
        <f>"PWP-"&amp;A450</f>
        <v>PWP-208</v>
      </c>
      <c r="G448" s="249" t="str">
        <f>+INDEX(PWP!$A:$Z,MATCH('PWP-Print'!E448,PWP!$B:$B,0),MATCH("Title",PWP!$A$1:$Z$1,0))</f>
        <v>The Wing of Enlightenment</v>
      </c>
      <c r="I448" t="e" vm="1036">
        <f>_xlfn.IMAGE("https://natalie.tf/wp-content/uploads/2023/10/DLV3_Icon_Ability_"&amp;INDEX('PWP-A'!$A$2:$C$31,MATCH('PWP-Print'!J448,'PWP-A'!$B$2:$B$31,0),1)&amp;".png")</f>
        <v>#VALUE!</v>
      </c>
      <c r="J448" s="229" t="str">
        <f>+INDEX(PWP!$A:$Z,MATCH('PWP-Print'!E448,PWP!$B:$B,0),MATCH("PWP Ability 1",PWP!$A$1:$Z$1,0))</f>
        <v>15 Hits = Overdamage</v>
      </c>
      <c r="K448" s="249" t="str">
        <f>+INDEX(PWP!$A:$Z,MATCH('PWP-Print'!E448,PWP!$B:$B,0),MATCH("Locked PWP Ability 1",PWP!$A$1:$Z$1,0))</f>
        <v>(Light) 15 Hits = Overdamage</v>
      </c>
      <c r="M448" s="729" t="e" vm="1249">
        <f>_xlfn.IMAGE("https://natalie.tf/wp-content/uploads/2023/10/DLV3_Icon_ADV_"&amp;O449&amp;"_r05.png")</f>
        <v>#VALUE!</v>
      </c>
      <c r="O448" s="249" t="str">
        <f>"PWP-"&amp;B450</f>
        <v>PWP-221</v>
      </c>
      <c r="Q448" s="249" t="str">
        <f>+INDEX(PWP!$A:$Z,MATCH('PWP-Print'!O448,PWP!$B:$B,0),MATCH("Title",PWP!$A$1:$Z$1,0))</f>
        <v>Woodland Archer</v>
      </c>
      <c r="S448" t="e" vm="14">
        <f>_xlfn.IMAGE("https://natalie.tf/wp-content/uploads/2023/10/DLV3_Icon_Ability_"&amp;INDEX('PWP-A'!$A$2:$C$31,MATCH('PWP-Print'!T448,'PWP-A'!$B$2:$B$31,0),1)&amp;".png")</f>
        <v>#VALUE!</v>
      </c>
      <c r="T448" s="229" t="str">
        <f>+INDEX(PWP!$A:$Z,MATCH('PWP-Print'!O448,PWP!$B:$B,0),MATCH("PWP Ability 1",PWP!$A$1:$Z$1,0))</f>
        <v>Strength +20%</v>
      </c>
      <c r="U448" s="249" t="str">
        <f>+INDEX(PWP!$A:$Z,MATCH('PWP-Print'!O448,PWP!$B:$B,0),MATCH("Locked PWP Ability 1",PWP!$A$1:$Z$1,0))</f>
        <v>(Light) Strength +20%</v>
      </c>
    </row>
    <row r="449" spans="1:21" ht="22.5" customHeight="1" x14ac:dyDescent="0.3">
      <c r="C449" s="729"/>
      <c r="D449" s="8"/>
      <c r="E449" s="200" t="str">
        <f>+INDEX(PWP!$A:$Z,MATCH('PWP-Print'!E448,PWP!$B:$B,0),MATCH("ID",PWP!$A$1:$Z$1,0))</f>
        <v>110381_01</v>
      </c>
      <c r="F449" s="8"/>
      <c r="G449" s="249" t="str">
        <f>+INDEX(PWP!$A:$Z,MATCH('PWP-Print'!E448,PWP!$B:$B,0),MATCH("Name",PWP!$A$1:$Z$1,0))</f>
        <v>Ryszarda</v>
      </c>
      <c r="H449" s="8"/>
      <c r="I449" t="e" vm="326">
        <f>_xlfn.IMAGE("https://natalie.tf/wp-content/uploads/2023/10/DLV3_Icon_Ability_"&amp;INDEX('PWP-A'!$A$2:$C$31,MATCH('PWP-Print'!J449,'PWP-A'!$B$2:$B$31,0),1)&amp;".png")</f>
        <v>#VALUE!</v>
      </c>
      <c r="J449" s="229" t="str">
        <f>+INDEX(PWP!$A:$Z,MATCH('PWP-Print'!E448,PWP!$B:$B,0),MATCH("PWP Ability 2",PWP!$A$1:$Z$1,0))</f>
        <v>Critical Rate +15%</v>
      </c>
      <c r="K449" s="249" t="str">
        <f>+INDEX(PWP!$A:$Z,MATCH('PWP-Print'!E448,PWP!$B:$B,0),MATCH("Locked PWP Ability 2",PWP!$A$1:$Z$1,0))</f>
        <v>(Light) Critical Rate +15%</v>
      </c>
      <c r="M449" s="729"/>
      <c r="N449" s="8"/>
      <c r="O449" s="200" t="str">
        <f>+INDEX(PWP!$A:$Z,MATCH('PWP-Print'!O448,PWP!$B:$B,0),MATCH("ID",PWP!$A$1:$Z$1,0))</f>
        <v>100006_01</v>
      </c>
      <c r="P449" s="8"/>
      <c r="Q449" s="249" t="str">
        <f>+INDEX(PWP!$A:$Z,MATCH('PWP-Print'!O448,PWP!$B:$B,0),MATCH("Name",PWP!$A$1:$Z$1,0))</f>
        <v>Luca</v>
      </c>
      <c r="R449" s="8"/>
      <c r="S449" t="e" vm="426">
        <f>_xlfn.IMAGE("https://natalie.tf/wp-content/uploads/2023/10/DLV3_Icon_Ability_"&amp;INDEX('PWP-A'!$A$2:$C$31,MATCH('PWP-Print'!T449,'PWP-A'!$B$2:$B$31,0),1)&amp;".png")</f>
        <v>#VALUE!</v>
      </c>
      <c r="T449" s="229" t="str">
        <f>+INDEX(PWP!$A:$Z,MATCH('PWP-Print'!O448,PWP!$B:$B,0),MATCH("PWP Ability 2",PWP!$A$1:$Z$1,0))</f>
        <v>Defense +20%</v>
      </c>
      <c r="U449" s="249" t="str">
        <f>+INDEX(PWP!$A:$Z,MATCH('PWP-Print'!O448,PWP!$B:$B,0),MATCH("Locked PWP Ability 2",PWP!$A$1:$Z$1,0))</f>
        <v>(Light) Defense +20%</v>
      </c>
    </row>
    <row r="450" spans="1:21" ht="22.5" customHeight="1" x14ac:dyDescent="0.3">
      <c r="A450" s="244" t="str">
        <f>TEXT(A446+1,"000")</f>
        <v>208</v>
      </c>
      <c r="B450" s="244" t="str">
        <f>TEXT(B446+1,"000")</f>
        <v>221</v>
      </c>
      <c r="C450" s="729"/>
      <c r="E450" s="251" t="str">
        <f>+INDEX(PWP!$A:$Z,MATCH('PWP-Print'!E448,PWP!$B:$B,0),MATCH("Num",PWP!$A$1:$Z$1,0))</f>
        <v>A-208</v>
      </c>
      <c r="G450" s="249" t="str">
        <f>+INDEX(PWP!$A:$Z,MATCH('PWP-Print'!E448,PWP!$B:$B,0),MATCH("Element",PWP!$A$1:$Z$1,0))&amp;" "&amp;INDEX(PWP!$A:$Z,MATCH('PWP-Print'!E448,PWP!$B:$B,0),MATCH("Type",PWP!$A$1:$Z$1,0))&amp;" Adventurer"</f>
        <v>Light Lance Adventurer</v>
      </c>
      <c r="K450" s="250"/>
      <c r="M450" s="729"/>
      <c r="O450" s="251" t="str">
        <f>+INDEX(PWP!$A:$Z,MATCH('PWP-Print'!O448,PWP!$B:$B,0),MATCH("Num",PWP!$A$1:$Z$1,0))</f>
        <v>A-221</v>
      </c>
      <c r="Q450" s="249" t="str">
        <f>+INDEX(PWP!$A:$Z,MATCH('PWP-Print'!O448,PWP!$B:$B,0),MATCH("Element",PWP!$A$1:$Z$1,0))&amp;" "&amp;INDEX(PWP!$A:$Z,MATCH('PWP-Print'!O448,PWP!$B:$B,0),MATCH("Type",PWP!$A$1:$Z$1,0))&amp;" Adventurer"</f>
        <v>Light Bow Adventurer</v>
      </c>
      <c r="U450" s="250"/>
    </row>
    <row r="451" spans="1:21" ht="7.5" customHeight="1" x14ac:dyDescent="0.3">
      <c r="A451" s="244" t="s">
        <v>10763</v>
      </c>
      <c r="E451" s="250"/>
      <c r="G451" s="250"/>
      <c r="K451" s="250"/>
      <c r="O451" s="250"/>
      <c r="Q451" s="250"/>
      <c r="U451" s="250"/>
    </row>
    <row r="452" spans="1:21" ht="22.5" customHeight="1" x14ac:dyDescent="0.3">
      <c r="C452" s="729" t="e" vm="1250">
        <f>_xlfn.IMAGE("https://natalie.tf/wp-content/uploads/2023/10/DLV3_Icon_ADV_"&amp;E453&amp;"_r05.png")</f>
        <v>#VALUE!</v>
      </c>
      <c r="E452" s="249" t="str">
        <f>"PWP-"&amp;A454</f>
        <v>PWP-209</v>
      </c>
      <c r="G452" s="249" t="str">
        <f>+INDEX(PWP!$A:$Z,MATCH('PWP-Print'!E452,PWP!$B:$B,0),MATCH("Title",PWP!$A$1:$Z$1,0))</f>
        <v>Princess of Askr</v>
      </c>
      <c r="I452" t="e" vm="330">
        <f>_xlfn.IMAGE("https://natalie.tf/wp-content/uploads/2023/10/DLV3_Icon_Ability_"&amp;INDEX('PWP-A'!$A$2:$C$31,MATCH('PWP-Print'!J452,'PWP-A'!$B$2:$B$31,0),1)&amp;".png")</f>
        <v>#VALUE!</v>
      </c>
      <c r="J452" s="229" t="str">
        <f>+INDEX(PWP!$A:$Z,MATCH('PWP-Print'!E452,PWP!$B:$B,0),MATCH("PWP Ability 1",PWP!$A$1:$Z$1,0))</f>
        <v>Skill Haste +10%</v>
      </c>
      <c r="K452" s="249" t="str">
        <f>+INDEX(PWP!$A:$Z,MATCH('PWP-Print'!E452,PWP!$B:$B,0),MATCH("Locked PWP Ability 1",PWP!$A$1:$Z$1,0))</f>
        <v>(Light) Skill Haste +10%</v>
      </c>
      <c r="M452" s="729" t="e" vm="1251">
        <f>_xlfn.IMAGE("https://natalie.tf/wp-content/uploads/2023/10/DLV3_Icon_ADV_"&amp;O453&amp;"_r05.png")</f>
        <v>#VALUE!</v>
      </c>
      <c r="O452" s="249" t="str">
        <f>"PWP-"&amp;B454</f>
        <v>PWP-222</v>
      </c>
      <c r="Q452" s="249" t="str">
        <f>+INDEX(PWP!$A:$Z,MATCH('PWP-Print'!O452,PWP!$B:$B,0),MATCH("Title",PWP!$A$1:$Z$1,0))</f>
        <v>Alluring Sniper</v>
      </c>
      <c r="S452" t="e" vm="330">
        <f>_xlfn.IMAGE("https://natalie.tf/wp-content/uploads/2023/10/DLV3_Icon_Ability_"&amp;INDEX('PWP-A'!$A$2:$C$31,MATCH('PWP-Print'!T452,'PWP-A'!$B$2:$B$31,0),1)&amp;".png")</f>
        <v>#VALUE!</v>
      </c>
      <c r="T452" s="229" t="str">
        <f>+INDEX(PWP!$A:$Z,MATCH('PWP-Print'!O452,PWP!$B:$B,0),MATCH("PWP Ability 1",PWP!$A$1:$Z$1,0))</f>
        <v>Skill Haste +10%</v>
      </c>
      <c r="U452" s="249" t="str">
        <f>+INDEX(PWP!$A:$Z,MATCH('PWP-Print'!O452,PWP!$B:$B,0),MATCH("Locked PWP Ability 1",PWP!$A$1:$Z$1,0))</f>
        <v>(Light) Skill Haste +10%</v>
      </c>
    </row>
    <row r="453" spans="1:21" ht="22.5" customHeight="1" x14ac:dyDescent="0.3">
      <c r="C453" s="729"/>
      <c r="D453" s="8"/>
      <c r="E453" s="200" t="str">
        <f>+INDEX(PWP!$A:$Z,MATCH('PWP-Print'!E452,PWP!$B:$B,0),MATCH("ID",PWP!$A$1:$Z$1,0))</f>
        <v>110358_01</v>
      </c>
      <c r="F453" s="8"/>
      <c r="G453" s="249" t="str">
        <f>+INDEX(PWP!$A:$Z,MATCH('PWP-Print'!E452,PWP!$B:$B,0),MATCH("Name",PWP!$A$1:$Z$1,0))</f>
        <v>Sharena</v>
      </c>
      <c r="H453" s="8"/>
      <c r="I453" t="e" vm="696">
        <f>_xlfn.IMAGE("https://natalie.tf/wp-content/uploads/2023/10/DLV3_Icon_Ability_"&amp;INDEX('PWP-A'!$A$2:$C$31,MATCH('PWP-Print'!J453,'PWP-A'!$B$2:$B$31,0),1)&amp;".png")</f>
        <v>#VALUE!</v>
      </c>
      <c r="J453" s="229" t="str">
        <f>+INDEX(PWP!$A:$Z,MATCH('PWP-Print'!E452,PWP!$B:$B,0),MATCH("PWP Ability 2",PWP!$A$1:$Z$1,0))</f>
        <v>Elemental Res +15%</v>
      </c>
      <c r="K453" s="249" t="str">
        <f>+INDEX(PWP!$A:$Z,MATCH('PWP-Print'!E452,PWP!$B:$B,0),MATCH("Locked PWP Ability 2",PWP!$A$1:$Z$1,0))</f>
        <v>(Light) Elemental Res +15%</v>
      </c>
      <c r="M453" s="729"/>
      <c r="N453" s="8"/>
      <c r="O453" s="200" t="str">
        <f>+INDEX(PWP!$A:$Z,MATCH('PWP-Print'!O452,PWP!$B:$B,0),MATCH("ID",PWP!$A$1:$Z$1,0))</f>
        <v>110036_01</v>
      </c>
      <c r="P453" s="8"/>
      <c r="Q453" s="249" t="str">
        <f>+INDEX(PWP!$A:$Z,MATCH('PWP-Print'!O452,PWP!$B:$B,0),MATCH("Name",PWP!$A$1:$Z$1,0))</f>
        <v>Malora</v>
      </c>
      <c r="R453" s="8"/>
      <c r="S453" t="e" vm="693">
        <f>_xlfn.IMAGE("https://natalie.tf/wp-content/uploads/2023/10/DLV3_Icon_Ability_"&amp;INDEX('PWP-A'!$A$2:$C$31,MATCH('PWP-Print'!T453,'PWP-A'!$B$2:$B$31,0),1)&amp;".png")</f>
        <v>#VALUE!</v>
      </c>
      <c r="T453" s="229" t="str">
        <f>+INDEX(PWP!$A:$Z,MATCH('PWP-Print'!O452,PWP!$B:$B,0),MATCH("PWP Ability 2",PWP!$A$1:$Z$1,0))</f>
        <v>Combo Time +2</v>
      </c>
      <c r="U453" s="249" t="str">
        <f>+INDEX(PWP!$A:$Z,MATCH('PWP-Print'!O452,PWP!$B:$B,0),MATCH("Locked PWP Ability 2",PWP!$A$1:$Z$1,0))</f>
        <v>(Light) Combo Time +2</v>
      </c>
    </row>
    <row r="454" spans="1:21" ht="22.5" customHeight="1" x14ac:dyDescent="0.3">
      <c r="A454" s="244" t="str">
        <f>TEXT(A450+1,"000")</f>
        <v>209</v>
      </c>
      <c r="B454" s="244" t="str">
        <f>TEXT(B450+1,"000")</f>
        <v>222</v>
      </c>
      <c r="C454" s="729"/>
      <c r="E454" s="251" t="str">
        <f>+INDEX(PWP!$A:$Z,MATCH('PWP-Print'!E452,PWP!$B:$B,0),MATCH("Num",PWP!$A$1:$Z$1,0))</f>
        <v>A-209</v>
      </c>
      <c r="G454" s="249" t="str">
        <f>+INDEX(PWP!$A:$Z,MATCH('PWP-Print'!E452,PWP!$B:$B,0),MATCH("Element",PWP!$A$1:$Z$1,0))&amp;" "&amp;INDEX(PWP!$A:$Z,MATCH('PWP-Print'!E452,PWP!$B:$B,0),MATCH("Type",PWP!$A$1:$Z$1,0))&amp;" Adventurer"</f>
        <v>Light Lance Adventurer</v>
      </c>
      <c r="K454" s="250"/>
      <c r="M454" s="729"/>
      <c r="O454" s="251" t="str">
        <f>+INDEX(PWP!$A:$Z,MATCH('PWP-Print'!O452,PWP!$B:$B,0),MATCH("Num",PWP!$A$1:$Z$1,0))</f>
        <v>A-222</v>
      </c>
      <c r="Q454" s="249" t="str">
        <f>+INDEX(PWP!$A:$Z,MATCH('PWP-Print'!O452,PWP!$B:$B,0),MATCH("Element",PWP!$A$1:$Z$1,0))&amp;" "&amp;INDEX(PWP!$A:$Z,MATCH('PWP-Print'!O452,PWP!$B:$B,0),MATCH("Type",PWP!$A$1:$Z$1,0))&amp;" Adventurer"</f>
        <v>Light Bow Adventurer</v>
      </c>
      <c r="U454" s="250"/>
    </row>
    <row r="455" spans="1:21" ht="7.5" customHeight="1" x14ac:dyDescent="0.3">
      <c r="A455" s="244" t="s">
        <v>10763</v>
      </c>
      <c r="E455" s="250"/>
      <c r="G455" s="250"/>
      <c r="K455" s="250"/>
      <c r="O455" s="250"/>
      <c r="Q455" s="250"/>
      <c r="U455" s="250"/>
    </row>
    <row r="456" spans="1:21" ht="22.5" customHeight="1" x14ac:dyDescent="0.3">
      <c r="C456" s="729" t="e" vm="1252">
        <f>_xlfn.IMAGE("https://natalie.tf/wp-content/uploads/2023/10/DLV3_Icon_ADV_"&amp;E457&amp;"_r05.png")</f>
        <v>#VALUE!</v>
      </c>
      <c r="E456" s="249" t="str">
        <f>"PWP-"&amp;A458</f>
        <v>PWP-210</v>
      </c>
      <c r="G456" s="249" t="str">
        <f>+INDEX(PWP!$A:$Z,MATCH('PWP-Print'!E456,PWP!$B:$B,0),MATCH("Title",PWP!$A$1:$Z$1,0))</f>
        <v>Kirin Amazon</v>
      </c>
      <c r="I456" t="e" vm="14">
        <f>_xlfn.IMAGE("https://natalie.tf/wp-content/uploads/2023/10/DLV3_Icon_Ability_"&amp;INDEX('PWP-A'!$A$2:$C$31,MATCH('PWP-Print'!J456,'PWP-A'!$B$2:$B$31,0),1)&amp;".png")</f>
        <v>#VALUE!</v>
      </c>
      <c r="J456" s="229" t="str">
        <f>+INDEX(PWP!$A:$Z,MATCH('PWP-Print'!E456,PWP!$B:$B,0),MATCH("PWP Ability 1",PWP!$A$1:$Z$1,0))</f>
        <v>Skill Damage +40%</v>
      </c>
      <c r="K456" s="249" t="str">
        <f>+INDEX(PWP!$A:$Z,MATCH('PWP-Print'!E456,PWP!$B:$B,0),MATCH("Locked PWP Ability 1",PWP!$A$1:$Z$1,0))</f>
        <v>(Light) Skill Damage +40%</v>
      </c>
      <c r="M456" s="729" t="e" vm="1253">
        <f>_xlfn.IMAGE("https://natalie.tf/wp-content/uploads/2023/10/DLV3_Icon_ADV_"&amp;O457&amp;"_r05.png")</f>
        <v>#VALUE!</v>
      </c>
      <c r="O456" s="249" t="str">
        <f>"PWP-"&amp;B458</f>
        <v>PWP-223</v>
      </c>
      <c r="Q456" s="249" t="str">
        <f>+INDEX(PWP!$A:$Z,MATCH('PWP-Print'!O456,PWP!$B:$B,0),MATCH("Title",PWP!$A$1:$Z$1,0))</f>
        <v>Radiant Auspex</v>
      </c>
      <c r="S456" t="e" vm="1036">
        <f>_xlfn.IMAGE("https://natalie.tf/wp-content/uploads/2023/10/DLV3_Icon_Ability_"&amp;INDEX('PWP-A'!$A$2:$C$31,MATCH('PWP-Print'!T456,'PWP-A'!$B$2:$B$31,0),1)&amp;".png")</f>
        <v>#VALUE!</v>
      </c>
      <c r="T456" s="229" t="str">
        <f>+INDEX(PWP!$A:$Z,MATCH('PWP-Print'!O456,PWP!$B:$B,0),MATCH("PWP Ability 1",PWP!$A$1:$Z$1,0))</f>
        <v>15 Hits = Overdamage</v>
      </c>
      <c r="U456" s="249" t="str">
        <f>+INDEX(PWP!$A:$Z,MATCH('PWP-Print'!O456,PWP!$B:$B,0),MATCH("Locked PWP Ability 1",PWP!$A$1:$Z$1,0))</f>
        <v>(Light) 15 Hits = Overdamage</v>
      </c>
    </row>
    <row r="457" spans="1:21" ht="22.5" customHeight="1" x14ac:dyDescent="0.3">
      <c r="C457" s="729"/>
      <c r="D457" s="8"/>
      <c r="E457" s="200" t="str">
        <f>+INDEX(PWP!$A:$Z,MATCH('PWP-Print'!E456,PWP!$B:$B,0),MATCH("ID",PWP!$A$1:$Z$1,0))</f>
        <v>110007_02</v>
      </c>
      <c r="F457" s="8"/>
      <c r="G457" s="249" t="str">
        <f>+INDEX(PWP!$A:$Z,MATCH('PWP-Print'!E456,PWP!$B:$B,0),MATCH("Name",PWP!$A$1:$Z$1,0))</f>
        <v>Hunter Vanessa</v>
      </c>
      <c r="H457" s="8"/>
      <c r="I457" t="e" vm="7">
        <f>_xlfn.IMAGE("https://natalie.tf/wp-content/uploads/2023/10/DLV3_Icon_Ability_"&amp;INDEX('PWP-A'!$A$2:$C$31,MATCH('PWP-Print'!J457,'PWP-A'!$B$2:$B$31,0),1)&amp;".png")</f>
        <v>#VALUE!</v>
      </c>
      <c r="J457" s="229" t="str">
        <f>+INDEX(PWP!$A:$Z,MATCH('PWP-Print'!E456,PWP!$B:$B,0),MATCH("PWP Ability 2",PWP!$A$1:$Z$1,0))</f>
        <v>Force Strike +50%</v>
      </c>
      <c r="K457" s="249" t="str">
        <f>+INDEX(PWP!$A:$Z,MATCH('PWP-Print'!E456,PWP!$B:$B,0),MATCH("Locked PWP Ability 2",PWP!$A$1:$Z$1,0))</f>
        <v>(Light) Force Strike +50%</v>
      </c>
      <c r="M457" s="729"/>
      <c r="N457" s="8"/>
      <c r="O457" s="200" t="str">
        <f>+INDEX(PWP!$A:$Z,MATCH('PWP-Print'!O456,PWP!$B:$B,0),MATCH("ID",PWP!$A$1:$Z$1,0))</f>
        <v>100054_02</v>
      </c>
      <c r="P457" s="8"/>
      <c r="Q457" s="249" t="str">
        <f>+INDEX(PWP!$A:$Z,MATCH('PWP-Print'!O456,PWP!$B:$B,0),MATCH("Name",PWP!$A$1:$Z$1,0))</f>
        <v>Bondforged Zethia</v>
      </c>
      <c r="R457" s="8"/>
      <c r="S457" t="e" vm="14">
        <f>_xlfn.IMAGE("https://natalie.tf/wp-content/uploads/2023/10/DLV3_Icon_Ability_"&amp;INDEX('PWP-A'!$A$2:$C$31,MATCH('PWP-Print'!T457,'PWP-A'!$B$2:$B$31,0),1)&amp;".png")</f>
        <v>#VALUE!</v>
      </c>
      <c r="T457" s="229" t="str">
        <f>+INDEX(PWP!$A:$Z,MATCH('PWP-Print'!O456,PWP!$B:$B,0),MATCH("PWP Ability 2",PWP!$A$1:$Z$1,0))</f>
        <v>Strength +20%</v>
      </c>
      <c r="U457" s="249" t="str">
        <f>+INDEX(PWP!$A:$Z,MATCH('PWP-Print'!O456,PWP!$B:$B,0),MATCH("Locked PWP Ability 2",PWP!$A$1:$Z$1,0))</f>
        <v>(Light) Strength +20%</v>
      </c>
    </row>
    <row r="458" spans="1:21" ht="22.5" customHeight="1" x14ac:dyDescent="0.3">
      <c r="A458" s="244" t="str">
        <f>TEXT(A454+1,"000")</f>
        <v>210</v>
      </c>
      <c r="B458" s="244" t="str">
        <f>TEXT(B454+1,"000")</f>
        <v>223</v>
      </c>
      <c r="C458" s="729"/>
      <c r="E458" s="251" t="str">
        <f>+INDEX(PWP!$A:$Z,MATCH('PWP-Print'!E456,PWP!$B:$B,0),MATCH("Num",PWP!$A$1:$Z$1,0))</f>
        <v>A-210</v>
      </c>
      <c r="G458" s="249" t="str">
        <f>+INDEX(PWP!$A:$Z,MATCH('PWP-Print'!E456,PWP!$B:$B,0),MATCH("Element",PWP!$A$1:$Z$1,0))&amp;" "&amp;INDEX(PWP!$A:$Z,MATCH('PWP-Print'!E456,PWP!$B:$B,0),MATCH("Type",PWP!$A$1:$Z$1,0))&amp;" Adventurer"</f>
        <v>Light Lance Adventurer</v>
      </c>
      <c r="K458" s="250"/>
      <c r="M458" s="729"/>
      <c r="O458" s="251" t="str">
        <f>+INDEX(PWP!$A:$Z,MATCH('PWP-Print'!O456,PWP!$B:$B,0),MATCH("Num",PWP!$A$1:$Z$1,0))</f>
        <v>A-223</v>
      </c>
      <c r="Q458" s="249" t="str">
        <f>+INDEX(PWP!$A:$Z,MATCH('PWP-Print'!O456,PWP!$B:$B,0),MATCH("Element",PWP!$A$1:$Z$1,0))&amp;" "&amp;INDEX(PWP!$A:$Z,MATCH('PWP-Print'!O456,PWP!$B:$B,0),MATCH("Type",PWP!$A$1:$Z$1,0))&amp;" Adventurer"</f>
        <v>Light Wand Adventurer</v>
      </c>
      <c r="U458" s="250"/>
    </row>
    <row r="459" spans="1:21" ht="7.5" customHeight="1" x14ac:dyDescent="0.3">
      <c r="A459" s="244" t="s">
        <v>10763</v>
      </c>
      <c r="E459" s="250"/>
      <c r="G459" s="250"/>
      <c r="K459" s="250"/>
      <c r="O459" s="250"/>
      <c r="Q459" s="250"/>
      <c r="U459" s="250"/>
    </row>
    <row r="460" spans="1:21" ht="22.5" customHeight="1" x14ac:dyDescent="0.3">
      <c r="C460" s="729" t="e" vm="1254">
        <f>_xlfn.IMAGE("https://natalie.tf/wp-content/uploads/2023/10/DLV3_Icon_ADV_"&amp;E461&amp;"_r05.png")</f>
        <v>#VALUE!</v>
      </c>
      <c r="E460" s="249" t="str">
        <f>"PWP-"&amp;A462</f>
        <v>PWP-211</v>
      </c>
      <c r="G460" s="249" t="str">
        <f>+INDEX(PWP!$A:$Z,MATCH('PWP-Print'!E460,PWP!$B:$B,0),MATCH("Title",PWP!$A$1:$Z$1,0))</f>
        <v>Vampaladyn</v>
      </c>
      <c r="I460" t="e" vm="414">
        <f>_xlfn.IMAGE("https://natalie.tf/wp-content/uploads/2023/10/DLV3_Icon_Ability_"&amp;INDEX('PWP-A'!$A$2:$C$31,MATCH('PWP-Print'!J460,'PWP-A'!$B$2:$B$31,0),1)&amp;".png")</f>
        <v>#VALUE!</v>
      </c>
      <c r="J460" s="229" t="str">
        <f>+INDEX(PWP!$A:$Z,MATCH('PWP-Print'!E460,PWP!$B:$B,0),MATCH("PWP Ability 1",PWP!$A$1:$Z$1,0))</f>
        <v>Critical Damage +25%</v>
      </c>
      <c r="K460" s="249" t="str">
        <f>+INDEX(PWP!$A:$Z,MATCH('PWP-Print'!E460,PWP!$B:$B,0),MATCH("Locked PWP Ability 1",PWP!$A$1:$Z$1,0))</f>
        <v>(Light) Critical Damage +25%</v>
      </c>
      <c r="M460" s="729" t="e" vm="1255">
        <f>_xlfn.IMAGE("https://natalie.tf/wp-content/uploads/2023/10/DLV3_Icon_ADV_"&amp;O461&amp;"_r05.png")</f>
        <v>#VALUE!</v>
      </c>
      <c r="O460" s="249" t="str">
        <f>"PWP-"&amp;B462</f>
        <v>PWP-224</v>
      </c>
      <c r="Q460" s="249" t="str">
        <f>+INDEX(PWP!$A:$Z,MATCH('PWP-Print'!O460,PWP!$B:$B,0),MATCH("Title",PWP!$A$1:$Z$1,0))</f>
        <v>Unrelenting Summer Beauty</v>
      </c>
      <c r="S460" t="e" vm="688">
        <f>_xlfn.IMAGE("https://natalie.tf/wp-content/uploads/2023/10/DLV3_Icon_Ability_"&amp;INDEX('PWP-A'!$A$2:$C$31,MATCH('PWP-Print'!T460,'PWP-A'!$B$2:$B$31,0),1)&amp;".png")</f>
        <v>#VALUE!</v>
      </c>
      <c r="T460" s="229" t="str">
        <f>+INDEX(PWP!$A:$Z,MATCH('PWP-Print'!O460,PWP!$B:$B,0),MATCH("PWP Ability 1",PWP!$A$1:$Z$1,0))</f>
        <v>Overdrive Punisher +15%</v>
      </c>
      <c r="U460" s="249" t="str">
        <f>+INDEX(PWP!$A:$Z,MATCH('PWP-Print'!O460,PWP!$B:$B,0),MATCH("Locked PWP Ability 1",PWP!$A$1:$Z$1,0))</f>
        <v>(Light) Overdrive Punisher +15%</v>
      </c>
    </row>
    <row r="461" spans="1:21" ht="22.5" customHeight="1" x14ac:dyDescent="0.3">
      <c r="C461" s="729"/>
      <c r="D461" s="8"/>
      <c r="E461" s="200" t="str">
        <f>+INDEX(PWP!$A:$Z,MATCH('PWP-Print'!E460,PWP!$B:$B,0),MATCH("ID",PWP!$A$1:$Z$1,0))</f>
        <v>100002_02</v>
      </c>
      <c r="F461" s="8"/>
      <c r="G461" s="249" t="str">
        <f>+INDEX(PWP!$A:$Z,MATCH('PWP-Print'!E460,PWP!$B:$B,0),MATCH("Name",PWP!$A$1:$Z$1,0))</f>
        <v>Halloween Elisanne</v>
      </c>
      <c r="H461" s="8"/>
      <c r="I461" t="e" vm="496">
        <f>_xlfn.IMAGE("https://natalie.tf/wp-content/uploads/2023/10/DLV3_Icon_Ability_"&amp;INDEX('PWP-A'!$A$2:$C$31,MATCH('PWP-Print'!J461,'PWP-A'!$B$2:$B$31,0),1)&amp;".png")</f>
        <v>#VALUE!</v>
      </c>
      <c r="J461" s="229" t="str">
        <f>+INDEX(PWP!$A:$Z,MATCH('PWP-Print'!E460,PWP!$B:$B,0),MATCH("PWP Ability 2",PWP!$A$1:$Z$1,0))</f>
        <v>HP +15%</v>
      </c>
      <c r="K461" s="249" t="str">
        <f>+INDEX(PWP!$A:$Z,MATCH('PWP-Print'!E460,PWP!$B:$B,0),MATCH("Locked PWP Ability 2",PWP!$A$1:$Z$1,0))</f>
        <v>(Light) HP +15%</v>
      </c>
      <c r="M461" s="729"/>
      <c r="N461" s="8"/>
      <c r="O461" s="200" t="str">
        <f>+INDEX(PWP!$A:$Z,MATCH('PWP-Print'!O460,PWP!$B:$B,0),MATCH("ID",PWP!$A$1:$Z$1,0))</f>
        <v>100015_08</v>
      </c>
      <c r="P461" s="8"/>
      <c r="Q461" s="249" t="str">
        <f>+INDEX(PWP!$A:$Z,MATCH('PWP-Print'!O460,PWP!$B:$B,0),MATCH("Name",PWP!$A$1:$Z$1,0))</f>
        <v>Summer Chelle</v>
      </c>
      <c r="R461" s="8"/>
      <c r="S461" t="e" vm="696">
        <f>_xlfn.IMAGE("https://natalie.tf/wp-content/uploads/2023/10/DLV3_Icon_Ability_"&amp;INDEX('PWP-A'!$A$2:$C$31,MATCH('PWP-Print'!T461,'PWP-A'!$B$2:$B$31,0),1)&amp;".png")</f>
        <v>#VALUE!</v>
      </c>
      <c r="T461" s="229" t="str">
        <f>+INDEX(PWP!$A:$Z,MATCH('PWP-Print'!O460,PWP!$B:$B,0),MATCH("PWP Ability 2",PWP!$A$1:$Z$1,0))</f>
        <v>Elemental Res +15%</v>
      </c>
      <c r="U461" s="249" t="str">
        <f>+INDEX(PWP!$A:$Z,MATCH('PWP-Print'!O460,PWP!$B:$B,0),MATCH("Locked PWP Ability 2",PWP!$A$1:$Z$1,0))</f>
        <v>(Light) Elemental Res +15%</v>
      </c>
    </row>
    <row r="462" spans="1:21" ht="22.5" customHeight="1" x14ac:dyDescent="0.3">
      <c r="A462" s="244" t="str">
        <f>TEXT(A458+1,"000")</f>
        <v>211</v>
      </c>
      <c r="B462" s="244" t="str">
        <f>TEXT(B458+1,"000")</f>
        <v>224</v>
      </c>
      <c r="C462" s="729"/>
      <c r="E462" s="251" t="str">
        <f>+INDEX(PWP!$A:$Z,MATCH('PWP-Print'!E460,PWP!$B:$B,0),MATCH("Num",PWP!$A$1:$Z$1,0))</f>
        <v>A-211</v>
      </c>
      <c r="G462" s="249" t="str">
        <f>+INDEX(PWP!$A:$Z,MATCH('PWP-Print'!E460,PWP!$B:$B,0),MATCH("Element",PWP!$A$1:$Z$1,0))&amp;" "&amp;INDEX(PWP!$A:$Z,MATCH('PWP-Print'!E460,PWP!$B:$B,0),MATCH("Type",PWP!$A$1:$Z$1,0))&amp;" Adventurer"</f>
        <v>Light Lance Adventurer</v>
      </c>
      <c r="K462" s="250"/>
      <c r="M462" s="729"/>
      <c r="O462" s="251" t="str">
        <f>+INDEX(PWP!$A:$Z,MATCH('PWP-Print'!O460,PWP!$B:$B,0),MATCH("Num",PWP!$A$1:$Z$1,0))</f>
        <v>A-224</v>
      </c>
      <c r="Q462" s="249" t="str">
        <f>+INDEX(PWP!$A:$Z,MATCH('PWP-Print'!O460,PWP!$B:$B,0),MATCH("Element",PWP!$A$1:$Z$1,0))&amp;" "&amp;INDEX(PWP!$A:$Z,MATCH('PWP-Print'!O460,PWP!$B:$B,0),MATCH("Type",PWP!$A$1:$Z$1,0))&amp;" Adventurer"</f>
        <v>Light Wand Adventurer</v>
      </c>
      <c r="U462" s="250"/>
    </row>
    <row r="463" spans="1:21" ht="7.5" customHeight="1" x14ac:dyDescent="0.3">
      <c r="A463" s="244" t="s">
        <v>10763</v>
      </c>
      <c r="E463" s="250"/>
      <c r="G463" s="250"/>
      <c r="K463" s="250"/>
      <c r="O463" s="250"/>
      <c r="Q463" s="250"/>
      <c r="U463" s="250"/>
    </row>
    <row r="464" spans="1:21" ht="22.5" customHeight="1" x14ac:dyDescent="0.3">
      <c r="C464" s="729" t="e" vm="1256">
        <f>_xlfn.IMAGE("https://natalie.tf/wp-content/uploads/2023/10/DLV3_Icon_ADV_"&amp;E465&amp;"_r05.png")</f>
        <v>#VALUE!</v>
      </c>
      <c r="E464" s="249" t="str">
        <f>"PWP-"&amp;A466</f>
        <v>PWP-212</v>
      </c>
      <c r="G464" s="249" t="str">
        <f>+INDEX(PWP!$A:$Z,MATCH('PWP-Print'!E464,PWP!$B:$B,0),MATCH("Title",PWP!$A$1:$Z$1,0))</f>
        <v>The Sugary Star</v>
      </c>
      <c r="I464" t="e" vm="330">
        <f>_xlfn.IMAGE("https://natalie.tf/wp-content/uploads/2023/10/DLV3_Icon_Ability_"&amp;INDEX('PWP-A'!$A$2:$C$31,MATCH('PWP-Print'!J464,'PWP-A'!$B$2:$B$31,0),1)&amp;".png")</f>
        <v>#VALUE!</v>
      </c>
      <c r="J464" s="229" t="str">
        <f>+INDEX(PWP!$A:$Z,MATCH('PWP-Print'!E464,PWP!$B:$B,0),MATCH("PWP Ability 1",PWP!$A$1:$Z$1,0))</f>
        <v>Skill Haste +10%</v>
      </c>
      <c r="K464" s="249" t="str">
        <f>+INDEX(PWP!$A:$Z,MATCH('PWP-Print'!E464,PWP!$B:$B,0),MATCH("Locked PWP Ability 1",PWP!$A$1:$Z$1,0))</f>
        <v>(Light) Skill Haste +10%</v>
      </c>
      <c r="M464" s="729" t="e" vm="1257">
        <f>_xlfn.IMAGE("https://natalie.tf/wp-content/uploads/2023/10/DLV3_Icon_ADV_"&amp;O465&amp;"_r05.png")</f>
        <v>#VALUE!</v>
      </c>
      <c r="O464" s="249" t="str">
        <f>"PWP-"&amp;B466</f>
        <v>PWP-225</v>
      </c>
      <c r="Q464" s="249" t="str">
        <f>+INDEX(PWP!$A:$Z,MATCH('PWP-Print'!O464,PWP!$B:$B,0),MATCH("Title",PWP!$A$1:$Z$1,0))</f>
        <v>Radiant Sealer</v>
      </c>
      <c r="S464" t="e" vm="326">
        <f>_xlfn.IMAGE("https://natalie.tf/wp-content/uploads/2023/10/DLV3_Icon_Ability_"&amp;INDEX('PWP-A'!$A$2:$C$31,MATCH('PWP-Print'!T464,'PWP-A'!$B$2:$B$31,0),1)&amp;".png")</f>
        <v>#VALUE!</v>
      </c>
      <c r="T464" s="229" t="str">
        <f>+INDEX(PWP!$A:$Z,MATCH('PWP-Print'!O464,PWP!$B:$B,0),MATCH("PWP Ability 1",PWP!$A$1:$Z$1,0))</f>
        <v>Critical Rate +15%</v>
      </c>
      <c r="U464" s="249" t="str">
        <f>+INDEX(PWP!$A:$Z,MATCH('PWP-Print'!O464,PWP!$B:$B,0),MATCH("Locked PWP Ability 1",PWP!$A$1:$Z$1,0))</f>
        <v>(Light) Critical Rate +15%</v>
      </c>
    </row>
    <row r="465" spans="1:21" ht="22.5" customHeight="1" x14ac:dyDescent="0.3">
      <c r="C465" s="729"/>
      <c r="D465" s="8"/>
      <c r="E465" s="200" t="str">
        <f>+INDEX(PWP!$A:$Z,MATCH('PWP-Print'!E464,PWP!$B:$B,0),MATCH("ID",PWP!$A$1:$Z$1,0))</f>
        <v>110275_01</v>
      </c>
      <c r="F465" s="8"/>
      <c r="G465" s="249" t="str">
        <f>+INDEX(PWP!$A:$Z,MATCH('PWP-Print'!E464,PWP!$B:$B,0),MATCH("Name",PWP!$A$1:$Z$1,0))</f>
        <v>Annelie</v>
      </c>
      <c r="H465" s="8"/>
      <c r="I465" t="e" vm="496">
        <f>_xlfn.IMAGE("https://natalie.tf/wp-content/uploads/2023/10/DLV3_Icon_Ability_"&amp;INDEX('PWP-A'!$A$2:$C$31,MATCH('PWP-Print'!J465,'PWP-A'!$B$2:$B$31,0),1)&amp;".png")</f>
        <v>#VALUE!</v>
      </c>
      <c r="J465" s="229" t="str">
        <f>+INDEX(PWP!$A:$Z,MATCH('PWP-Print'!E464,PWP!$B:$B,0),MATCH("PWP Ability 2",PWP!$A$1:$Z$1,0))</f>
        <v>HP +15%</v>
      </c>
      <c r="K465" s="249" t="str">
        <f>+INDEX(PWP!$A:$Z,MATCH('PWP-Print'!E464,PWP!$B:$B,0),MATCH("Locked PWP Ability 2",PWP!$A$1:$Z$1,0))</f>
        <v>(Light) HP +15%</v>
      </c>
      <c r="M465" s="729"/>
      <c r="N465" s="8"/>
      <c r="O465" s="200" t="str">
        <f>+INDEX(PWP!$A:$Z,MATCH('PWP-Print'!O464,PWP!$B:$B,0),MATCH("ID",PWP!$A$1:$Z$1,0))</f>
        <v>110299_02</v>
      </c>
      <c r="P465" s="8"/>
      <c r="Q465" s="249" t="str">
        <f>+INDEX(PWP!$A:$Z,MATCH('PWP-Print'!O464,PWP!$B:$B,0),MATCH("Name",PWP!$A$1:$Z$1,0))</f>
        <v>Radiant Xuan Zang</v>
      </c>
      <c r="R465" s="8"/>
      <c r="S465" t="e" vm="688">
        <f>_xlfn.IMAGE("https://natalie.tf/wp-content/uploads/2023/10/DLV3_Icon_Ability_"&amp;INDEX('PWP-A'!$A$2:$C$31,MATCH('PWP-Print'!T465,'PWP-A'!$B$2:$B$31,0),1)&amp;".png")</f>
        <v>#VALUE!</v>
      </c>
      <c r="T465" s="229" t="str">
        <f>+INDEX(PWP!$A:$Z,MATCH('PWP-Print'!O464,PWP!$B:$B,0),MATCH("PWP Ability 2",PWP!$A$1:$Z$1,0))</f>
        <v>Overdrive Punisher +15%</v>
      </c>
      <c r="U465" s="249" t="str">
        <f>+INDEX(PWP!$A:$Z,MATCH('PWP-Print'!O464,PWP!$B:$B,0),MATCH("Locked PWP Ability 2",PWP!$A$1:$Z$1,0))</f>
        <v>(Light) Overdrive Punisher +15%</v>
      </c>
    </row>
    <row r="466" spans="1:21" ht="22.5" customHeight="1" x14ac:dyDescent="0.3">
      <c r="A466" s="244" t="str">
        <f>TEXT(A462+1,"000")</f>
        <v>212</v>
      </c>
      <c r="B466" s="244" t="str">
        <f>TEXT(B462+1,"000")</f>
        <v>225</v>
      </c>
      <c r="C466" s="729"/>
      <c r="E466" s="251" t="str">
        <f>+INDEX(PWP!$A:$Z,MATCH('PWP-Print'!E464,PWP!$B:$B,0),MATCH("Num",PWP!$A$1:$Z$1,0))</f>
        <v>A-212</v>
      </c>
      <c r="G466" s="249" t="str">
        <f>+INDEX(PWP!$A:$Z,MATCH('PWP-Print'!E464,PWP!$B:$B,0),MATCH("Element",PWP!$A$1:$Z$1,0))&amp;" "&amp;INDEX(PWP!$A:$Z,MATCH('PWP-Print'!E464,PWP!$B:$B,0),MATCH("Type",PWP!$A$1:$Z$1,0))&amp;" Adventurer"</f>
        <v>Light Lance Adventurer</v>
      </c>
      <c r="K466" s="250"/>
      <c r="M466" s="729"/>
      <c r="O466" s="251" t="str">
        <f>+INDEX(PWP!$A:$Z,MATCH('PWP-Print'!O464,PWP!$B:$B,0),MATCH("Num",PWP!$A$1:$Z$1,0))</f>
        <v>A-225</v>
      </c>
      <c r="Q466" s="249" t="str">
        <f>+INDEX(PWP!$A:$Z,MATCH('PWP-Print'!O464,PWP!$B:$B,0),MATCH("Element",PWP!$A$1:$Z$1,0))&amp;" "&amp;INDEX(PWP!$A:$Z,MATCH('PWP-Print'!O464,PWP!$B:$B,0),MATCH("Type",PWP!$A$1:$Z$1,0))&amp;" Adventurer"</f>
        <v>Light Wand Adventurer</v>
      </c>
      <c r="U466" s="250"/>
    </row>
    <row r="467" spans="1:21" ht="7.5" customHeight="1" x14ac:dyDescent="0.3">
      <c r="A467" s="244" t="s">
        <v>10763</v>
      </c>
      <c r="E467" s="250"/>
      <c r="G467" s="250"/>
      <c r="K467" s="250"/>
    </row>
    <row r="468" spans="1:21" ht="22.5" customHeight="1" x14ac:dyDescent="0.3">
      <c r="C468" s="729" t="e" vm="1258">
        <f>_xlfn.IMAGE("https://natalie.tf/wp-content/uploads/2023/10/DLV3_Icon_ADV_"&amp;E469&amp;"_r05.png")</f>
        <v>#VALUE!</v>
      </c>
      <c r="E468" s="249" t="str">
        <f>"PWP-"&amp;A470</f>
        <v>PWP-213</v>
      </c>
      <c r="G468" s="249" t="str">
        <f>+INDEX(PWP!$A:$Z,MATCH('PWP-Print'!E468,PWP!$B:$B,0),MATCH("Title",PWP!$A$1:$Z$1,0))</f>
        <v>Deadly Tactician</v>
      </c>
      <c r="I468" t="e" vm="14">
        <f>_xlfn.IMAGE("https://natalie.tf/wp-content/uploads/2023/10/DLV3_Icon_Ability_"&amp;INDEX('PWP-A'!$A$2:$C$31,MATCH('PWP-Print'!J468,'PWP-A'!$B$2:$B$31,0),1)&amp;".png")</f>
        <v>#VALUE!</v>
      </c>
      <c r="J468" s="229" t="str">
        <f>+INDEX(PWP!$A:$Z,MATCH('PWP-Print'!E468,PWP!$B:$B,0),MATCH("PWP Ability 1",PWP!$A$1:$Z$1,0))</f>
        <v>Skill Damage +40%</v>
      </c>
      <c r="K468" s="249" t="str">
        <f>+INDEX(PWP!$A:$Z,MATCH('PWP-Print'!E468,PWP!$B:$B,0),MATCH("Locked PWP Ability 1",PWP!$A$1:$Z$1,0))</f>
        <v>(Light) Skill Damage +40%</v>
      </c>
      <c r="M468" s="729"/>
      <c r="O468" s="221"/>
      <c r="Q468" s="221"/>
      <c r="U468" s="221"/>
    </row>
    <row r="469" spans="1:21" ht="22.5" customHeight="1" x14ac:dyDescent="0.3">
      <c r="C469" s="729"/>
      <c r="D469" s="8"/>
      <c r="E469" s="200" t="str">
        <f>+INDEX(PWP!$A:$Z,MATCH('PWP-Print'!E468,PWP!$B:$B,0),MATCH("ID",PWP!$A$1:$Z$1,0))</f>
        <v>110323_01</v>
      </c>
      <c r="F469" s="8"/>
      <c r="G469" s="249" t="str">
        <f>+INDEX(PWP!$A:$Z,MATCH('PWP-Print'!E468,PWP!$B:$B,0),MATCH("Name",PWP!$A$1:$Z$1,0))</f>
        <v>Sha Wujing</v>
      </c>
      <c r="H469" s="8"/>
      <c r="I469" t="e" vm="414">
        <f>_xlfn.IMAGE("https://natalie.tf/wp-content/uploads/2023/10/DLV3_Icon_Ability_"&amp;INDEX('PWP-A'!$A$2:$C$31,MATCH('PWP-Print'!J469,'PWP-A'!$B$2:$B$31,0),1)&amp;".png")</f>
        <v>#VALUE!</v>
      </c>
      <c r="J469" s="229" t="str">
        <f>+INDEX(PWP!$A:$Z,MATCH('PWP-Print'!E468,PWP!$B:$B,0),MATCH("PWP Ability 2",PWP!$A$1:$Z$1,0))</f>
        <v>Critical Damage +25%</v>
      </c>
      <c r="K469" s="249" t="str">
        <f>+INDEX(PWP!$A:$Z,MATCH('PWP-Print'!E468,PWP!$B:$B,0),MATCH("Locked PWP Ability 2",PWP!$A$1:$Z$1,0))</f>
        <v>(Light) Critical Damage +25%</v>
      </c>
      <c r="M469" s="729"/>
      <c r="N469" s="8"/>
      <c r="O469" s="221"/>
      <c r="P469" s="8"/>
      <c r="Q469" s="221"/>
      <c r="R469" s="8"/>
      <c r="S469" s="8"/>
      <c r="T469" s="8"/>
      <c r="U469" s="221"/>
    </row>
    <row r="470" spans="1:21" ht="22.5" customHeight="1" x14ac:dyDescent="0.3">
      <c r="A470" s="244" t="str">
        <f>TEXT(A466+1,"000")</f>
        <v>213</v>
      </c>
      <c r="C470" s="729"/>
      <c r="E470" s="251" t="str">
        <f>+INDEX(PWP!$A:$Z,MATCH('PWP-Print'!E468,PWP!$B:$B,0),MATCH("Num",PWP!$A$1:$Z$1,0))</f>
        <v>A-213</v>
      </c>
      <c r="G470" s="249" t="str">
        <f>+INDEX(PWP!$A:$Z,MATCH('PWP-Print'!E468,PWP!$B:$B,0),MATCH("Element",PWP!$A$1:$Z$1,0))&amp;" "&amp;INDEX(PWP!$A:$Z,MATCH('PWP-Print'!E468,PWP!$B:$B,0),MATCH("Type",PWP!$A$1:$Z$1,0))&amp;" Adventurer"</f>
        <v>Light Lance Adventurer</v>
      </c>
      <c r="K470" s="250"/>
      <c r="M470" s="729"/>
      <c r="O470" s="221"/>
      <c r="Q470" s="221"/>
      <c r="U470" s="222"/>
    </row>
    <row r="471" spans="1:21" ht="37.5" customHeight="1" x14ac:dyDescent="0.2"/>
    <row r="472" spans="1:21" ht="22.5" customHeight="1" x14ac:dyDescent="0.3">
      <c r="C472" s="729" t="e" vm="1259">
        <f>_xlfn.IMAGE("https://natalie.tf/wp-content/uploads/2023/10/DLV3_Icon_ADV_"&amp;E473&amp;"_r05.png")</f>
        <v>#VALUE!</v>
      </c>
      <c r="E472" s="249" t="str">
        <f>"PWP-"&amp;A474</f>
        <v>PWP-226</v>
      </c>
      <c r="G472" s="249" t="str">
        <f>+INDEX(PWP!$A:$Z,MATCH('PWP-Print'!E472,PWP!$B:$B,0),MATCH("Title",PWP!$A$1:$Z$1,0))</f>
        <v>Sweet Dream</v>
      </c>
      <c r="I472" t="e" vm="414">
        <f>_xlfn.IMAGE("https://natalie.tf/wp-content/uploads/2023/10/DLV3_Icon_Ability_"&amp;INDEX('PWP-A'!$A$2:$C$31,MATCH('PWP-Print'!J472,'PWP-A'!$B$2:$B$31,0),1)&amp;".png")</f>
        <v>#VALUE!</v>
      </c>
      <c r="J472" s="229" t="str">
        <f>+INDEX(PWP!$A:$Z,MATCH('PWP-Print'!E472,PWP!$B:$B,0),MATCH("PWP Ability 1",PWP!$A$1:$Z$1,0))</f>
        <v>Critical Damage +25%</v>
      </c>
      <c r="K472" s="249" t="str">
        <f>+INDEX(PWP!$A:$Z,MATCH('PWP-Print'!E472,PWP!$B:$B,0),MATCH("Locked PWP Ability 1",PWP!$A$1:$Z$1,0))</f>
        <v>(Light) Critical Damage +25%</v>
      </c>
      <c r="M472" s="729" t="e" vm="1260">
        <f>_xlfn.IMAGE("https://natalie.tf/wp-content/uploads/2023/10/DLV3_Icon_ADV_"&amp;O473&amp;"_r05.png")</f>
        <v>#VALUE!</v>
      </c>
      <c r="O472" s="249" t="str">
        <f>"PWP-"&amp;B474</f>
        <v>PWP-239</v>
      </c>
      <c r="Q472" s="249" t="str">
        <f>+INDEX(PWP!$A:$Z,MATCH('PWP-Print'!O472,PWP!$B:$B,0),MATCH("Title",PWP!$A$1:$Z$1,0))</f>
        <v>Mischievous Android</v>
      </c>
      <c r="S472" t="e" vm="14">
        <f>_xlfn.IMAGE("https://natalie.tf/wp-content/uploads/2023/10/DLV3_Icon_Ability_"&amp;INDEX('PWP-A'!$A$2:$C$31,MATCH('PWP-Print'!T472,'PWP-A'!$B$2:$B$31,0),1)&amp;".png")</f>
        <v>#VALUE!</v>
      </c>
      <c r="T472" s="229" t="str">
        <f>+INDEX(PWP!$A:$Z,MATCH('PWP-Print'!O472,PWP!$B:$B,0),MATCH("PWP Ability 1",PWP!$A$1:$Z$1,0))</f>
        <v>Strength +20%</v>
      </c>
      <c r="U472" s="249" t="str">
        <f>+INDEX(PWP!$A:$Z,MATCH('PWP-Print'!O472,PWP!$B:$B,0),MATCH("Locked PWP Ability 1",PWP!$A$1:$Z$1,0))</f>
        <v>(Light) Strength +20%</v>
      </c>
    </row>
    <row r="473" spans="1:21" ht="22.5" customHeight="1" x14ac:dyDescent="0.3">
      <c r="C473" s="729"/>
      <c r="D473" s="8"/>
      <c r="E473" s="200" t="str">
        <f>+INDEX(PWP!$A:$Z,MATCH('PWP-Print'!E472,PWP!$B:$B,0),MATCH("ID",PWP!$A$1:$Z$1,0))</f>
        <v>110361_01</v>
      </c>
      <c r="F473" s="8"/>
      <c r="G473" s="249" t="str">
        <f>+INDEX(PWP!$A:$Z,MATCH('PWP-Print'!E472,PWP!$B:$B,0),MATCH("Name",PWP!$A$1:$Z$1,0))</f>
        <v>Peony</v>
      </c>
      <c r="H473" s="8"/>
      <c r="I473" t="e" vm="1045">
        <f>_xlfn.IMAGE("https://natalie.tf/wp-content/uploads/2023/10/DLV3_Icon_Ability_"&amp;INDEX('PWP-A'!$A$2:$C$31,MATCH('PWP-Print'!J473,'PWP-A'!$B$2:$B$31,0),1)&amp;".png")</f>
        <v>#VALUE!</v>
      </c>
      <c r="J473" s="229" t="str">
        <f>+INDEX(PWP!$A:$Z,MATCH('PWP-Print'!E472,PWP!$B:$B,0),MATCH("PWP Ability 2",PWP!$A$1:$Z$1,0))</f>
        <v>Attack Rate +20%</v>
      </c>
      <c r="K473" s="249" t="str">
        <f>+INDEX(PWP!$A:$Z,MATCH('PWP-Print'!E472,PWP!$B:$B,0),MATCH("Locked PWP Ability 2",PWP!$A$1:$Z$1,0))</f>
        <v>(Light) Attack Rate +20%</v>
      </c>
      <c r="M473" s="729"/>
      <c r="N473" s="8"/>
      <c r="O473" s="200" t="str">
        <f>+INDEX(PWP!$A:$Z,MATCH('PWP-Print'!O472,PWP!$B:$B,0),MATCH("ID",PWP!$A$1:$Z$1,0))</f>
        <v>100032_07</v>
      </c>
      <c r="P473" s="8"/>
      <c r="Q473" s="249" t="str">
        <f>+INDEX(PWP!$A:$Z,MATCH('PWP-Print'!O472,PWP!$B:$B,0),MATCH("Name",PWP!$A$1:$Z$1,0))</f>
        <v>Halloween Laxi</v>
      </c>
      <c r="R473" s="8"/>
      <c r="S473" t="e" vm="7">
        <f>_xlfn.IMAGE("https://natalie.tf/wp-content/uploads/2023/10/DLV3_Icon_Ability_"&amp;INDEX('PWP-A'!$A$2:$C$31,MATCH('PWP-Print'!T473,'PWP-A'!$B$2:$B$31,0),1)&amp;".png")</f>
        <v>#VALUE!</v>
      </c>
      <c r="T473" s="229" t="str">
        <f>+INDEX(PWP!$A:$Z,MATCH('PWP-Print'!O472,PWP!$B:$B,0),MATCH("PWP Ability 2",PWP!$A$1:$Z$1,0))</f>
        <v>Force Strike +50%</v>
      </c>
      <c r="U473" s="249" t="str">
        <f>+INDEX(PWP!$A:$Z,MATCH('PWP-Print'!O472,PWP!$B:$B,0),MATCH("Locked PWP Ability 2",PWP!$A$1:$Z$1,0))</f>
        <v>(Light) Force Strike +50%</v>
      </c>
    </row>
    <row r="474" spans="1:21" ht="22.5" customHeight="1" x14ac:dyDescent="0.3">
      <c r="A474" s="242" t="str">
        <f>TEXT(B466+1,"000")</f>
        <v>226</v>
      </c>
      <c r="B474" s="244" t="str">
        <f>TEXT(A522+1,"000")</f>
        <v>239</v>
      </c>
      <c r="C474" s="729"/>
      <c r="E474" s="251" t="str">
        <f>+INDEX(PWP!$A:$Z,MATCH('PWP-Print'!E472,PWP!$B:$B,0),MATCH("Num",PWP!$A$1:$Z$1,0))</f>
        <v>A-226</v>
      </c>
      <c r="G474" s="249" t="str">
        <f>+INDEX(PWP!$A:$Z,MATCH('PWP-Print'!E472,PWP!$B:$B,0),MATCH("Element",PWP!$A$1:$Z$1,0))&amp;" "&amp;INDEX(PWP!$A:$Z,MATCH('PWP-Print'!E472,PWP!$B:$B,0),MATCH("Type",PWP!$A$1:$Z$1,0))&amp;" Adventurer"</f>
        <v>Light Wand Adventurer</v>
      </c>
      <c r="K474" s="250"/>
      <c r="M474" s="729"/>
      <c r="O474" s="251" t="str">
        <f>+INDEX(PWP!$A:$Z,MATCH('PWP-Print'!O472,PWP!$B:$B,0),MATCH("Num",PWP!$A$1:$Z$1,0))</f>
        <v>A-239</v>
      </c>
      <c r="Q474" s="249" t="str">
        <f>+INDEX(PWP!$A:$Z,MATCH('PWP-Print'!O472,PWP!$B:$B,0),MATCH("Element",PWP!$A$1:$Z$1,0))&amp;" "&amp;INDEX(PWP!$A:$Z,MATCH('PWP-Print'!O472,PWP!$B:$B,0),MATCH("Type",PWP!$A$1:$Z$1,0))&amp;" Adventurer"</f>
        <v>Light Manacaster Adventurer</v>
      </c>
      <c r="U474" s="250"/>
    </row>
    <row r="475" spans="1:21" ht="7.5" customHeight="1" x14ac:dyDescent="0.3">
      <c r="A475" s="244" t="s">
        <v>10763</v>
      </c>
      <c r="E475" s="250"/>
      <c r="G475" s="250"/>
      <c r="K475" s="250"/>
      <c r="O475" s="250"/>
      <c r="Q475" s="250"/>
      <c r="U475" s="250"/>
    </row>
    <row r="476" spans="1:21" ht="22.5" customHeight="1" x14ac:dyDescent="0.3">
      <c r="C476" s="729" t="e" vm="1261">
        <f>_xlfn.IMAGE("https://natalie.tf/wp-content/uploads/2023/10/DLV3_Icon_ADV_"&amp;E477&amp;"_r05.png")</f>
        <v>#VALUE!</v>
      </c>
      <c r="E476" s="249" t="str">
        <f>"PWP-"&amp;A478</f>
        <v>PWP-227</v>
      </c>
      <c r="G476" s="249" t="str">
        <f>+INDEX(PWP!$A:$Z,MATCH('PWP-Print'!E476,PWP!$B:$B,0),MATCH("Title",PWP!$A$1:$Z$1,0))</f>
        <v>Songstress of the Century</v>
      </c>
      <c r="I476" t="e" vm="14">
        <f>_xlfn.IMAGE("https://natalie.tf/wp-content/uploads/2023/10/DLV3_Icon_Ability_"&amp;INDEX('PWP-A'!$A$2:$C$31,MATCH('PWP-Print'!J476,'PWP-A'!$B$2:$B$31,0),1)&amp;".png")</f>
        <v>#VALUE!</v>
      </c>
      <c r="J476" s="229" t="str">
        <f>+INDEX(PWP!$A:$Z,MATCH('PWP-Print'!E476,PWP!$B:$B,0),MATCH("PWP Ability 1",PWP!$A$1:$Z$1,0))</f>
        <v>Skill Damage +40%</v>
      </c>
      <c r="K476" s="249" t="str">
        <f>+INDEX(PWP!$A:$Z,MATCH('PWP-Print'!E476,PWP!$B:$B,0),MATCH("Locked PWP Ability 1",PWP!$A$1:$Z$1,0))</f>
        <v>(Light) Skill Damage +40%</v>
      </c>
      <c r="M476" s="729" t="e" vm="1262">
        <f>_xlfn.IMAGE("https://natalie.tf/wp-content/uploads/2023/10/DLV3_Icon_ADV_"&amp;O477&amp;"_r05.png")</f>
        <v>#VALUE!</v>
      </c>
      <c r="O476" s="249" t="str">
        <f>"PWP-"&amp;B478</f>
        <v>PWP-240</v>
      </c>
      <c r="Q476" s="249" t="str">
        <f>+INDEX(PWP!$A:$Z,MATCH('PWP-Print'!O476,PWP!$B:$B,0),MATCH("Title",PWP!$A$1:$Z$1,0))</f>
        <v>Rational Android</v>
      </c>
      <c r="S476" t="e" vm="1045">
        <f>_xlfn.IMAGE("https://natalie.tf/wp-content/uploads/2023/10/DLV3_Icon_Ability_"&amp;INDEX('PWP-A'!$A$2:$C$31,MATCH('PWP-Print'!T476,'PWP-A'!$B$2:$B$31,0),1)&amp;".png")</f>
        <v>#VALUE!</v>
      </c>
      <c r="T476" s="229" t="str">
        <f>+INDEX(PWP!$A:$Z,MATCH('PWP-Print'!O476,PWP!$B:$B,0),MATCH("PWP Ability 1",PWP!$A$1:$Z$1,0))</f>
        <v>Attack Rate +20%</v>
      </c>
      <c r="U476" s="249" t="str">
        <f>+INDEX(PWP!$A:$Z,MATCH('PWP-Print'!O476,PWP!$B:$B,0),MATCH("Locked PWP Ability 1",PWP!$A$1:$Z$1,0))</f>
        <v>(Light) Attack Rate +20%</v>
      </c>
    </row>
    <row r="477" spans="1:21" ht="22.5" customHeight="1" x14ac:dyDescent="0.3">
      <c r="C477" s="729"/>
      <c r="D477" s="8"/>
      <c r="E477" s="200" t="str">
        <f>+INDEX(PWP!$A:$Z,MATCH('PWP-Print'!E476,PWP!$B:$B,0),MATCH("ID",PWP!$A$1:$Z$1,0))</f>
        <v>110305_01</v>
      </c>
      <c r="F477" s="8"/>
      <c r="G477" s="249" t="str">
        <f>+INDEX(PWP!$A:$Z,MATCH('PWP-Print'!E476,PWP!$B:$B,0),MATCH("Name",PWP!$A$1:$Z$1,0))</f>
        <v>Lucretia</v>
      </c>
      <c r="H477" s="8"/>
      <c r="I477" t="e" vm="326">
        <f>_xlfn.IMAGE("https://natalie.tf/wp-content/uploads/2023/10/DLV3_Icon_Ability_"&amp;INDEX('PWP-A'!$A$2:$C$31,MATCH('PWP-Print'!J477,'PWP-A'!$B$2:$B$31,0),1)&amp;".png")</f>
        <v>#VALUE!</v>
      </c>
      <c r="J477" s="229" t="str">
        <f>+INDEX(PWP!$A:$Z,MATCH('PWP-Print'!E476,PWP!$B:$B,0),MATCH("PWP Ability 2",PWP!$A$1:$Z$1,0))</f>
        <v>Critical Rate +15%</v>
      </c>
      <c r="K477" s="249" t="str">
        <f>+INDEX(PWP!$A:$Z,MATCH('PWP-Print'!E476,PWP!$B:$B,0),MATCH("Locked PWP Ability 2",PWP!$A$1:$Z$1,0))</f>
        <v>(Light) Critical Rate +15%</v>
      </c>
      <c r="M477" s="729"/>
      <c r="N477" s="8"/>
      <c r="O477" s="200" t="str">
        <f>+INDEX(PWP!$A:$Z,MATCH('PWP-Print'!O476,PWP!$B:$B,0),MATCH("ID",PWP!$A$1:$Z$1,0))</f>
        <v>110384_01</v>
      </c>
      <c r="P477" s="8"/>
      <c r="Q477" s="249" t="str">
        <f>+INDEX(PWP!$A:$Z,MATCH('PWP-Print'!O476,PWP!$B:$B,0),MATCH("Name",PWP!$A$1:$Z$1,0))</f>
        <v>Eirene</v>
      </c>
      <c r="R477" s="8"/>
      <c r="S477" t="e" vm="376">
        <f>_xlfn.IMAGE("https://natalie.tf/wp-content/uploads/2023/10/DLV3_Icon_Ability_"&amp;INDEX('PWP-A'!$A$2:$C$31,MATCH('PWP-Print'!T477,'PWP-A'!$B$2:$B$31,0),1)&amp;".png")</f>
        <v>#VALUE!</v>
      </c>
      <c r="T477" s="229" t="str">
        <f>+INDEX(PWP!$A:$Z,MATCH('PWP-Print'!O476,PWP!$B:$B,0),MATCH("PWP Ability 2",PWP!$A$1:$Z$1,0))</f>
        <v>Broken Punisher +30%</v>
      </c>
      <c r="U477" s="249" t="str">
        <f>+INDEX(PWP!$A:$Z,MATCH('PWP-Print'!O476,PWP!$B:$B,0),MATCH("Locked PWP Ability 2",PWP!$A$1:$Z$1,0))</f>
        <v>(Light) Broken Punisher +30%</v>
      </c>
    </row>
    <row r="478" spans="1:21" ht="22.5" customHeight="1" x14ac:dyDescent="0.3">
      <c r="A478" s="244" t="str">
        <f>TEXT(A474+1,"000")</f>
        <v>227</v>
      </c>
      <c r="B478" s="244" t="str">
        <f>TEXT(B474+1,"000")</f>
        <v>240</v>
      </c>
      <c r="C478" s="729"/>
      <c r="E478" s="251" t="str">
        <f>+INDEX(PWP!$A:$Z,MATCH('PWP-Print'!E476,PWP!$B:$B,0),MATCH("Num",PWP!$A$1:$Z$1,0))</f>
        <v>A-227</v>
      </c>
      <c r="G478" s="249" t="str">
        <f>+INDEX(PWP!$A:$Z,MATCH('PWP-Print'!E476,PWP!$B:$B,0),MATCH("Element",PWP!$A$1:$Z$1,0))&amp;" "&amp;INDEX(PWP!$A:$Z,MATCH('PWP-Print'!E476,PWP!$B:$B,0),MATCH("Type",PWP!$A$1:$Z$1,0))&amp;" Adventurer"</f>
        <v>Light Wand Adventurer</v>
      </c>
      <c r="K478" s="250"/>
      <c r="M478" s="729"/>
      <c r="O478" s="251" t="str">
        <f>+INDEX(PWP!$A:$Z,MATCH('PWP-Print'!O476,PWP!$B:$B,0),MATCH("Num",PWP!$A$1:$Z$1,0))</f>
        <v>A-240</v>
      </c>
      <c r="Q478" s="249" t="str">
        <f>+INDEX(PWP!$A:$Z,MATCH('PWP-Print'!O476,PWP!$B:$B,0),MATCH("Element",PWP!$A$1:$Z$1,0))&amp;" "&amp;INDEX(PWP!$A:$Z,MATCH('PWP-Print'!O476,PWP!$B:$B,0),MATCH("Type",PWP!$A$1:$Z$1,0))&amp;" Adventurer"</f>
        <v>Light Manacaster Adventurer</v>
      </c>
      <c r="U478" s="250"/>
    </row>
    <row r="479" spans="1:21" ht="7.5" customHeight="1" x14ac:dyDescent="0.3">
      <c r="A479" s="244" t="s">
        <v>10763</v>
      </c>
      <c r="E479" s="250"/>
      <c r="G479" s="250"/>
      <c r="K479" s="250"/>
      <c r="O479" s="250"/>
      <c r="Q479" s="250"/>
      <c r="U479" s="250"/>
    </row>
    <row r="480" spans="1:21" ht="22.5" customHeight="1" x14ac:dyDescent="0.3">
      <c r="C480" s="729" t="e" vm="1263">
        <f>_xlfn.IMAGE("https://natalie.tf/wp-content/uploads/2023/10/DLV3_Icon_ADV_"&amp;E481&amp;"_r05.png")</f>
        <v>#VALUE!</v>
      </c>
      <c r="E480" s="249" t="str">
        <f>"PWP-"&amp;A482</f>
        <v>PWP-228</v>
      </c>
      <c r="G480" s="249" t="str">
        <f>+INDEX(PWP!$A:$Z,MATCH('PWP-Print'!E480,PWP!$B:$B,0),MATCH("Title",PWP!$A$1:$Z$1,0))</f>
        <v>Cuteness Incarnate</v>
      </c>
      <c r="I480" t="e" vm="14">
        <f>_xlfn.IMAGE("https://natalie.tf/wp-content/uploads/2023/10/DLV3_Icon_Ability_"&amp;INDEX('PWP-A'!$A$2:$C$31,MATCH('PWP-Print'!J480,'PWP-A'!$B$2:$B$31,0),1)&amp;".png")</f>
        <v>#VALUE!</v>
      </c>
      <c r="J480" s="229" t="str">
        <f>+INDEX(PWP!$A:$Z,MATCH('PWP-Print'!E480,PWP!$B:$B,0),MATCH("PWP Ability 1",PWP!$A$1:$Z$1,0))</f>
        <v>Skill Damage +40%</v>
      </c>
      <c r="K480" s="249" t="str">
        <f>+INDEX(PWP!$A:$Z,MATCH('PWP-Print'!E480,PWP!$B:$B,0),MATCH("Locked PWP Ability 1",PWP!$A$1:$Z$1,0))</f>
        <v>(Light) Skill Damage +40%</v>
      </c>
      <c r="M480" s="729" t="e" vm="1264">
        <f>_xlfn.IMAGE("https://natalie.tf/wp-content/uploads/2023/10/DLV3_Icon_ADV_"&amp;O481&amp;"_r05.png")</f>
        <v>#VALUE!</v>
      </c>
      <c r="O480" s="249" t="str">
        <f>"PWP-"&amp;B482</f>
        <v>PWP-241</v>
      </c>
      <c r="Q480" s="249" t="str">
        <f>+INDEX(PWP!$A:$Z,MATCH('PWP-Print'!O480,PWP!$B:$B,0),MATCH("Title",PWP!$A$1:$Z$1,0))</f>
        <v>Flawless Alchemist</v>
      </c>
      <c r="S480" t="e" vm="1036">
        <f>_xlfn.IMAGE("https://natalie.tf/wp-content/uploads/2023/10/DLV3_Icon_Ability_"&amp;INDEX('PWP-A'!$A$2:$C$31,MATCH('PWP-Print'!T480,'PWP-A'!$B$2:$B$31,0),1)&amp;".png")</f>
        <v>#VALUE!</v>
      </c>
      <c r="T480" s="229" t="str">
        <f>+INDEX(PWP!$A:$Z,MATCH('PWP-Print'!O480,PWP!$B:$B,0),MATCH("PWP Ability 1",PWP!$A$1:$Z$1,0))</f>
        <v>15 Hits = Overdamage</v>
      </c>
      <c r="U480" s="249" t="str">
        <f>+INDEX(PWP!$A:$Z,MATCH('PWP-Print'!O480,PWP!$B:$B,0),MATCH("Locked PWP Ability 1",PWP!$A$1:$Z$1,0))</f>
        <v>(Light) 15 Hits = Overdamage</v>
      </c>
    </row>
    <row r="481" spans="1:21" ht="22.5" customHeight="1" x14ac:dyDescent="0.3">
      <c r="C481" s="729"/>
      <c r="D481" s="8"/>
      <c r="E481" s="200" t="str">
        <f>+INDEX(PWP!$A:$Z,MATCH('PWP-Print'!E480,PWP!$B:$B,0),MATCH("ID",PWP!$A$1:$Z$1,0))</f>
        <v>110347_01</v>
      </c>
      <c r="F481" s="8"/>
      <c r="G481" s="249" t="str">
        <f>+INDEX(PWP!$A:$Z,MATCH('PWP-Print'!E480,PWP!$B:$B,0),MATCH("Name",PWP!$A$1:$Z$1,0))</f>
        <v>Chitose</v>
      </c>
      <c r="H481" s="8"/>
      <c r="I481" t="e" vm="426">
        <f>_xlfn.IMAGE("https://natalie.tf/wp-content/uploads/2023/10/DLV3_Icon_Ability_"&amp;INDEX('PWP-A'!$A$2:$C$31,MATCH('PWP-Print'!J481,'PWP-A'!$B$2:$B$31,0),1)&amp;".png")</f>
        <v>#VALUE!</v>
      </c>
      <c r="J481" s="229" t="str">
        <f>+INDEX(PWP!$A:$Z,MATCH('PWP-Print'!E480,PWP!$B:$B,0),MATCH("PWP Ability 2",PWP!$A$1:$Z$1,0))</f>
        <v>Defense +20%</v>
      </c>
      <c r="K481" s="249" t="str">
        <f>+INDEX(PWP!$A:$Z,MATCH('PWP-Print'!E480,PWP!$B:$B,0),MATCH("Locked PWP Ability 2",PWP!$A$1:$Z$1,0))</f>
        <v>(Light) Defense +20%</v>
      </c>
      <c r="M481" s="729"/>
      <c r="N481" s="8"/>
      <c r="O481" s="200" t="str">
        <f>+INDEX(PWP!$A:$Z,MATCH('PWP-Print'!O480,PWP!$B:$B,0),MATCH("ID",PWP!$A$1:$Z$1,0))</f>
        <v>110367_01</v>
      </c>
      <c r="P481" s="8"/>
      <c r="Q481" s="249" t="str">
        <f>+INDEX(PWP!$A:$Z,MATCH('PWP-Print'!O480,PWP!$B:$B,0),MATCH("Name",PWP!$A$1:$Z$1,0))</f>
        <v>Ilia</v>
      </c>
      <c r="R481" s="8"/>
      <c r="S481" t="e" vm="7">
        <f>_xlfn.IMAGE("https://natalie.tf/wp-content/uploads/2023/10/DLV3_Icon_Ability_"&amp;INDEX('PWP-A'!$A$2:$C$31,MATCH('PWP-Print'!T481,'PWP-A'!$B$2:$B$31,0),1)&amp;".png")</f>
        <v>#VALUE!</v>
      </c>
      <c r="T481" s="229" t="str">
        <f>+INDEX(PWP!$A:$Z,MATCH('PWP-Print'!O480,PWP!$B:$B,0),MATCH("PWP Ability 2",PWP!$A$1:$Z$1,0))</f>
        <v>Force Strike +50%</v>
      </c>
      <c r="U481" s="249" t="str">
        <f>+INDEX(PWP!$A:$Z,MATCH('PWP-Print'!O480,PWP!$B:$B,0),MATCH("Locked PWP Ability 2",PWP!$A$1:$Z$1,0))</f>
        <v>(Light) Force Strike +50%</v>
      </c>
    </row>
    <row r="482" spans="1:21" ht="22.5" customHeight="1" x14ac:dyDescent="0.3">
      <c r="A482" s="244" t="str">
        <f>TEXT(A478+1,"000")</f>
        <v>228</v>
      </c>
      <c r="B482" s="244" t="str">
        <f>TEXT(B478+1,"000")</f>
        <v>241</v>
      </c>
      <c r="C482" s="729"/>
      <c r="E482" s="251" t="str">
        <f>+INDEX(PWP!$A:$Z,MATCH('PWP-Print'!E480,PWP!$B:$B,0),MATCH("Num",PWP!$A$1:$Z$1,0))</f>
        <v>A-228</v>
      </c>
      <c r="G482" s="249" t="str">
        <f>+INDEX(PWP!$A:$Z,MATCH('PWP-Print'!E480,PWP!$B:$B,0),MATCH("Element",PWP!$A$1:$Z$1,0))&amp;" "&amp;INDEX(PWP!$A:$Z,MATCH('PWP-Print'!E480,PWP!$B:$B,0),MATCH("Type",PWP!$A$1:$Z$1,0))&amp;" Adventurer"</f>
        <v>Light Wand Adventurer</v>
      </c>
      <c r="K482" s="250"/>
      <c r="M482" s="729"/>
      <c r="O482" s="251" t="str">
        <f>+INDEX(PWP!$A:$Z,MATCH('PWP-Print'!O480,PWP!$B:$B,0),MATCH("Num",PWP!$A$1:$Z$1,0))</f>
        <v>A-241</v>
      </c>
      <c r="Q482" s="249" t="str">
        <f>+INDEX(PWP!$A:$Z,MATCH('PWP-Print'!O480,PWP!$B:$B,0),MATCH("Element",PWP!$A$1:$Z$1,0))&amp;" "&amp;INDEX(PWP!$A:$Z,MATCH('PWP-Print'!O480,PWP!$B:$B,0),MATCH("Type",PWP!$A$1:$Z$1,0))&amp;" Adventurer"</f>
        <v>Light Manacaster Adventurer</v>
      </c>
      <c r="U482" s="250"/>
    </row>
    <row r="483" spans="1:21" ht="7.5" customHeight="1" x14ac:dyDescent="0.3">
      <c r="A483" s="244" t="s">
        <v>10763</v>
      </c>
      <c r="E483" s="250"/>
      <c r="G483" s="250"/>
      <c r="K483" s="250"/>
      <c r="O483" s="250"/>
      <c r="Q483" s="250"/>
      <c r="U483" s="250"/>
    </row>
    <row r="484" spans="1:21" ht="22.5" customHeight="1" x14ac:dyDescent="0.3">
      <c r="C484" s="729" t="e" vm="1265">
        <f>_xlfn.IMAGE("https://natalie.tf/wp-content/uploads/2023/10/DLV3_Icon_ADV_"&amp;E485&amp;"_r05.png")</f>
        <v>#VALUE!</v>
      </c>
      <c r="E484" s="249" t="str">
        <f>"PWP-"&amp;A486</f>
        <v>PWP-229</v>
      </c>
      <c r="G484" s="249" t="str">
        <f>+INDEX(PWP!$A:$Z,MATCH('PWP-Print'!E484,PWP!$B:$B,0),MATCH("Title",PWP!$A$1:$Z$1,0))</f>
        <v>Child of Miracles</v>
      </c>
      <c r="I484" t="e" vm="14">
        <f>_xlfn.IMAGE("https://natalie.tf/wp-content/uploads/2023/10/DLV3_Icon_Ability_"&amp;INDEX('PWP-A'!$A$2:$C$31,MATCH('PWP-Print'!J484,'PWP-A'!$B$2:$B$31,0),1)&amp;".png")</f>
        <v>#VALUE!</v>
      </c>
      <c r="J484" s="229" t="str">
        <f>+INDEX(PWP!$A:$Z,MATCH('PWP-Print'!E484,PWP!$B:$B,0),MATCH("PWP Ability 1",PWP!$A$1:$Z$1,0))</f>
        <v>Skill Damage +40%</v>
      </c>
      <c r="K484" s="249" t="str">
        <f>+INDEX(PWP!$A:$Z,MATCH('PWP-Print'!E484,PWP!$B:$B,0),MATCH("Locked PWP Ability 1",PWP!$A$1:$Z$1,0))</f>
        <v>(Light) Skill Damage +40%</v>
      </c>
      <c r="M484" s="729" t="e" vm="1266">
        <f>_xlfn.IMAGE("https://natalie.tf/wp-content/uploads/2023/10/DLV3_Icon_ADV_"&amp;O485&amp;"_r05.png")</f>
        <v>#VALUE!</v>
      </c>
      <c r="O484" s="249" t="str">
        <f>"PWP-"&amp;B486</f>
        <v>PWP-242</v>
      </c>
      <c r="Q484" s="249" t="str">
        <f>+INDEX(PWP!$A:$Z,MATCH('PWP-Print'!O484,PWP!$B:$B,0),MATCH("Title",PWP!$A$1:$Z$1,0))</f>
        <v>Scorching Sharpshooter</v>
      </c>
      <c r="S484" t="e" vm="14">
        <f>_xlfn.IMAGE("https://natalie.tf/wp-content/uploads/2023/10/DLV3_Icon_Ability_"&amp;INDEX('PWP-A'!$A$2:$C$31,MATCH('PWP-Print'!T484,'PWP-A'!$B$2:$B$31,0),1)&amp;".png")</f>
        <v>#VALUE!</v>
      </c>
      <c r="T484" s="229" t="str">
        <f>+INDEX(PWP!$A:$Z,MATCH('PWP-Print'!O484,PWP!$B:$B,0),MATCH("PWP Ability 1",PWP!$A$1:$Z$1,0))</f>
        <v>Strength +20%</v>
      </c>
      <c r="U484" s="249" t="str">
        <f>+INDEX(PWP!$A:$Z,MATCH('PWP-Print'!O484,PWP!$B:$B,0),MATCH("Locked PWP Ability 1",PWP!$A$1:$Z$1,0))</f>
        <v>(Light) Strength +20%</v>
      </c>
    </row>
    <row r="485" spans="1:21" ht="22.5" customHeight="1" x14ac:dyDescent="0.3">
      <c r="C485" s="729"/>
      <c r="D485" s="8"/>
      <c r="E485" s="200" t="str">
        <f>+INDEX(PWP!$A:$Z,MATCH('PWP-Print'!E484,PWP!$B:$B,0),MATCH("ID",PWP!$A$1:$Z$1,0))</f>
        <v>110041_01</v>
      </c>
      <c r="F485" s="8"/>
      <c r="G485" s="249" t="str">
        <f>+INDEX(PWP!$A:$Z,MATCH('PWP-Print'!E484,PWP!$B:$B,0),MATCH("Name",PWP!$A$1:$Z$1,0))</f>
        <v>Amane</v>
      </c>
      <c r="H485" s="8"/>
      <c r="I485" t="e" vm="1045">
        <f>_xlfn.IMAGE("https://natalie.tf/wp-content/uploads/2023/10/DLV3_Icon_Ability_"&amp;INDEX('PWP-A'!$A$2:$C$31,MATCH('PWP-Print'!J485,'PWP-A'!$B$2:$B$31,0),1)&amp;".png")</f>
        <v>#VALUE!</v>
      </c>
      <c r="J485" s="229" t="str">
        <f>+INDEX(PWP!$A:$Z,MATCH('PWP-Print'!E484,PWP!$B:$B,0),MATCH("PWP Ability 2",PWP!$A$1:$Z$1,0))</f>
        <v>Attack Rate +20%</v>
      </c>
      <c r="K485" s="249" t="str">
        <f>+INDEX(PWP!$A:$Z,MATCH('PWP-Print'!E484,PWP!$B:$B,0),MATCH("Locked PWP Ability 2",PWP!$A$1:$Z$1,0))</f>
        <v>(Light) Attack Rate +20%</v>
      </c>
      <c r="M485" s="729"/>
      <c r="N485" s="8"/>
      <c r="O485" s="200" t="str">
        <f>+INDEX(PWP!$A:$Z,MATCH('PWP-Print'!O484,PWP!$B:$B,0),MATCH("ID",PWP!$A$1:$Z$1,0))</f>
        <v>110003_02</v>
      </c>
      <c r="P485" s="8"/>
      <c r="Q485" s="249" t="str">
        <f>+INDEX(PWP!$A:$Z,MATCH('PWP-Print'!O484,PWP!$B:$B,0),MATCH("Name",PWP!$A$1:$Z$1,0))</f>
        <v>Sharpshooter Joe</v>
      </c>
      <c r="R485" s="8"/>
      <c r="S485" t="e" vm="688">
        <f>_xlfn.IMAGE("https://natalie.tf/wp-content/uploads/2023/10/DLV3_Icon_Ability_"&amp;INDEX('PWP-A'!$A$2:$C$31,MATCH('PWP-Print'!T485,'PWP-A'!$B$2:$B$31,0),1)&amp;".png")</f>
        <v>#VALUE!</v>
      </c>
      <c r="T485" s="229" t="str">
        <f>+INDEX(PWP!$A:$Z,MATCH('PWP-Print'!O484,PWP!$B:$B,0),MATCH("PWP Ability 2",PWP!$A$1:$Z$1,0))</f>
        <v>Overdrive Punisher +15%</v>
      </c>
      <c r="U485" s="249" t="str">
        <f>+INDEX(PWP!$A:$Z,MATCH('PWP-Print'!O484,PWP!$B:$B,0),MATCH("Locked PWP Ability 2",PWP!$A$1:$Z$1,0))</f>
        <v>(Light) Overdrive Punisher +15%</v>
      </c>
    </row>
    <row r="486" spans="1:21" ht="22.5" customHeight="1" x14ac:dyDescent="0.3">
      <c r="A486" s="244" t="str">
        <f>TEXT(A482+1,"000")</f>
        <v>229</v>
      </c>
      <c r="B486" s="244" t="str">
        <f>TEXT(B482+1,"000")</f>
        <v>242</v>
      </c>
      <c r="C486" s="729"/>
      <c r="E486" s="251" t="str">
        <f>+INDEX(PWP!$A:$Z,MATCH('PWP-Print'!E484,PWP!$B:$B,0),MATCH("Num",PWP!$A$1:$Z$1,0))</f>
        <v>A-229</v>
      </c>
      <c r="G486" s="249" t="str">
        <f>+INDEX(PWP!$A:$Z,MATCH('PWP-Print'!E484,PWP!$B:$B,0),MATCH("Element",PWP!$A$1:$Z$1,0))&amp;" "&amp;INDEX(PWP!$A:$Z,MATCH('PWP-Print'!E484,PWP!$B:$B,0),MATCH("Type",PWP!$A$1:$Z$1,0))&amp;" Adventurer"</f>
        <v>Light Wand Adventurer</v>
      </c>
      <c r="K486" s="250"/>
      <c r="M486" s="729"/>
      <c r="O486" s="251" t="str">
        <f>+INDEX(PWP!$A:$Z,MATCH('PWP-Print'!O484,PWP!$B:$B,0),MATCH("Num",PWP!$A$1:$Z$1,0))</f>
        <v>A-242</v>
      </c>
      <c r="Q486" s="249" t="str">
        <f>+INDEX(PWP!$A:$Z,MATCH('PWP-Print'!O484,PWP!$B:$B,0),MATCH("Element",PWP!$A$1:$Z$1,0))&amp;" "&amp;INDEX(PWP!$A:$Z,MATCH('PWP-Print'!O484,PWP!$B:$B,0),MATCH("Type",PWP!$A$1:$Z$1,0))&amp;" Adventurer"</f>
        <v>Light Manacaster Adventurer</v>
      </c>
      <c r="U486" s="250"/>
    </row>
    <row r="487" spans="1:21" ht="7.5" customHeight="1" x14ac:dyDescent="0.3">
      <c r="A487" s="244" t="s">
        <v>10763</v>
      </c>
      <c r="E487" s="250"/>
      <c r="G487" s="250"/>
      <c r="K487" s="250"/>
      <c r="O487" s="250"/>
      <c r="Q487" s="250"/>
      <c r="U487" s="250"/>
    </row>
    <row r="488" spans="1:21" ht="22.5" customHeight="1" x14ac:dyDescent="0.3">
      <c r="C488" s="729" t="e" vm="1267">
        <f>_xlfn.IMAGE("https://natalie.tf/wp-content/uploads/2023/10/DLV3_Icon_ADV_"&amp;E489&amp;"_r05.png")</f>
        <v>#VALUE!</v>
      </c>
      <c r="E488" s="249" t="str">
        <f>"PWP-"&amp;A490</f>
        <v>PWP-230</v>
      </c>
      <c r="G488" s="249" t="str">
        <f>+INDEX(PWP!$A:$Z,MATCH('PWP-Print'!E488,PWP!$B:$B,0),MATCH("Title",PWP!$A$1:$Z$1,0))</f>
        <v>Boundless Arithmetician</v>
      </c>
      <c r="I488" t="e" vm="496">
        <f>_xlfn.IMAGE("https://natalie.tf/wp-content/uploads/2023/10/DLV3_Icon_Ability_"&amp;INDEX('PWP-A'!$A$2:$C$31,MATCH('PWP-Print'!J488,'PWP-A'!$B$2:$B$31,0),1)&amp;".png")</f>
        <v>#VALUE!</v>
      </c>
      <c r="J488" s="229" t="str">
        <f>+INDEX(PWP!$A:$Z,MATCH('PWP-Print'!E488,PWP!$B:$B,0),MATCH("PWP Ability 1",PWP!$A$1:$Z$1,0))</f>
        <v>HP +15%</v>
      </c>
      <c r="K488" s="249" t="str">
        <f>+INDEX(PWP!$A:$Z,MATCH('PWP-Print'!E488,PWP!$B:$B,0),MATCH("Locked PWP Ability 1",PWP!$A$1:$Z$1,0))</f>
        <v>(Light) HP +15%</v>
      </c>
      <c r="M488" s="729" t="e" vm="1268">
        <f>_xlfn.IMAGE("https://natalie.tf/wp-content/uploads/2023/10/DLV3_Icon_ADV_"&amp;O489&amp;"_r05.png")</f>
        <v>#VALUE!</v>
      </c>
      <c r="O488" s="249" t="str">
        <f>"PWP-"&amp;B490</f>
        <v>PWP-243</v>
      </c>
      <c r="Q488" s="249" t="str">
        <f>+INDEX(PWP!$A:$Z,MATCH('PWP-Print'!O488,PWP!$B:$B,0),MATCH("Title",PWP!$A$1:$Z$1,0))</f>
        <v>Shadow of Genesis</v>
      </c>
      <c r="S488" t="e" vm="1036">
        <f>_xlfn.IMAGE("https://natalie.tf/wp-content/uploads/2023/10/DLV3_Icon_Ability_"&amp;INDEX('PWP-A'!$A$2:$C$31,MATCH('PWP-Print'!T488,'PWP-A'!$B$2:$B$31,0),1)&amp;".png")</f>
        <v>#VALUE!</v>
      </c>
      <c r="T488" s="229" t="str">
        <f>+INDEX(PWP!$A:$Z,MATCH('PWP-Print'!O488,PWP!$B:$B,0),MATCH("PWP Ability 1",PWP!$A$1:$Z$1,0))</f>
        <v>15 Hits = Overdamage</v>
      </c>
      <c r="U488" s="249" t="str">
        <f>+INDEX(PWP!$A:$Z,MATCH('PWP-Print'!O488,PWP!$B:$B,0),MATCH("Locked PWP Ability 1",PWP!$A$1:$Z$1,0))</f>
        <v>(Shadow) 15 Hits = Overdamage</v>
      </c>
    </row>
    <row r="489" spans="1:21" ht="22.5" customHeight="1" x14ac:dyDescent="0.3">
      <c r="C489" s="729"/>
      <c r="D489" s="8"/>
      <c r="E489" s="200" t="str">
        <f>+INDEX(PWP!$A:$Z,MATCH('PWP-Print'!E488,PWP!$B:$B,0),MATCH("ID",PWP!$A$1:$Z$1,0))</f>
        <v>110316_01</v>
      </c>
      <c r="F489" s="8"/>
      <c r="G489" s="249" t="str">
        <f>+INDEX(PWP!$A:$Z,MATCH('PWP-Print'!E488,PWP!$B:$B,0),MATCH("Name",PWP!$A$1:$Z$1,0))</f>
        <v>Xiao Lei</v>
      </c>
      <c r="H489" s="8"/>
      <c r="I489" t="e" vm="696">
        <f>_xlfn.IMAGE("https://natalie.tf/wp-content/uploads/2023/10/DLV3_Icon_Ability_"&amp;INDEX('PWP-A'!$A$2:$C$31,MATCH('PWP-Print'!J489,'PWP-A'!$B$2:$B$31,0),1)&amp;".png")</f>
        <v>#VALUE!</v>
      </c>
      <c r="J489" s="229" t="str">
        <f>+INDEX(PWP!$A:$Z,MATCH('PWP-Print'!E488,PWP!$B:$B,0),MATCH("PWP Ability 2",PWP!$A$1:$Z$1,0))</f>
        <v>Elemental Res +15%</v>
      </c>
      <c r="K489" s="249" t="str">
        <f>+INDEX(PWP!$A:$Z,MATCH('PWP-Print'!E488,PWP!$B:$B,0),MATCH("Locked PWP Ability 2",PWP!$A$1:$Z$1,0))</f>
        <v>(Light) Elemental Res +15%</v>
      </c>
      <c r="M489" s="729"/>
      <c r="N489" s="8"/>
      <c r="O489" s="200" t="str">
        <f>+INDEX(PWP!$A:$Z,MATCH('PWP-Print'!O488,PWP!$B:$B,0),MATCH("ID",PWP!$A$1:$Z$1,0))</f>
        <v>100039_03</v>
      </c>
      <c r="P489" s="8"/>
      <c r="Q489" s="249" t="str">
        <f>+INDEX(PWP!$A:$Z,MATCH('PWP-Print'!O488,PWP!$B:$B,0),MATCH("Name",PWP!$A$1:$Z$1,0))</f>
        <v>Gala Nedrick</v>
      </c>
      <c r="R489" s="8"/>
      <c r="S489" t="e" vm="14">
        <f>_xlfn.IMAGE("https://natalie.tf/wp-content/uploads/2023/10/DLV3_Icon_Ability_"&amp;INDEX('PWP-A'!$A$2:$C$31,MATCH('PWP-Print'!T489,'PWP-A'!$B$2:$B$31,0),1)&amp;".png")</f>
        <v>#VALUE!</v>
      </c>
      <c r="T489" s="229" t="str">
        <f>+INDEX(PWP!$A:$Z,MATCH('PWP-Print'!O488,PWP!$B:$B,0),MATCH("PWP Ability 2",PWP!$A$1:$Z$1,0))</f>
        <v>Strength +20%</v>
      </c>
      <c r="U489" s="249" t="str">
        <f>+INDEX(PWP!$A:$Z,MATCH('PWP-Print'!O488,PWP!$B:$B,0),MATCH("Locked PWP Ability 2",PWP!$A$1:$Z$1,0))</f>
        <v>(Shadow) Strength +20%</v>
      </c>
    </row>
    <row r="490" spans="1:21" ht="22.5" customHeight="1" x14ac:dyDescent="0.3">
      <c r="A490" s="244" t="str">
        <f>TEXT(A486+1,"000")</f>
        <v>230</v>
      </c>
      <c r="B490" s="244" t="str">
        <f>TEXT(B486+1,"000")</f>
        <v>243</v>
      </c>
      <c r="C490" s="729"/>
      <c r="E490" s="251" t="str">
        <f>+INDEX(PWP!$A:$Z,MATCH('PWP-Print'!E488,PWP!$B:$B,0),MATCH("Num",PWP!$A$1:$Z$1,0))</f>
        <v>A-230</v>
      </c>
      <c r="G490" s="249" t="str">
        <f>+INDEX(PWP!$A:$Z,MATCH('PWP-Print'!E488,PWP!$B:$B,0),MATCH("Element",PWP!$A$1:$Z$1,0))&amp;" "&amp;INDEX(PWP!$A:$Z,MATCH('PWP-Print'!E488,PWP!$B:$B,0),MATCH("Type",PWP!$A$1:$Z$1,0))&amp;" Adventurer"</f>
        <v>Light Wand Adventurer</v>
      </c>
      <c r="K490" s="250"/>
      <c r="M490" s="729"/>
      <c r="O490" s="251" t="str">
        <f>+INDEX(PWP!$A:$Z,MATCH('PWP-Print'!O488,PWP!$B:$B,0),MATCH("Num",PWP!$A$1:$Z$1,0))</f>
        <v>A-243</v>
      </c>
      <c r="Q490" s="249" t="str">
        <f>+INDEX(PWP!$A:$Z,MATCH('PWP-Print'!O488,PWP!$B:$B,0),MATCH("Element",PWP!$A$1:$Z$1,0))&amp;" "&amp;INDEX(PWP!$A:$Z,MATCH('PWP-Print'!O488,PWP!$B:$B,0),MATCH("Type",PWP!$A$1:$Z$1,0))&amp;" Adventurer"</f>
        <v>Shadow Sword Adventurer</v>
      </c>
      <c r="U490" s="250"/>
    </row>
    <row r="491" spans="1:21" ht="7.5" customHeight="1" x14ac:dyDescent="0.3">
      <c r="A491" s="244" t="s">
        <v>10763</v>
      </c>
      <c r="E491" s="250"/>
      <c r="G491" s="250"/>
      <c r="K491" s="250"/>
      <c r="O491" s="250"/>
      <c r="Q491" s="250"/>
      <c r="U491" s="250"/>
    </row>
    <row r="492" spans="1:21" ht="22.5" customHeight="1" x14ac:dyDescent="0.3">
      <c r="C492" s="729" t="e" vm="1269">
        <f>_xlfn.IMAGE("https://natalie.tf/wp-content/uploads/2023/10/DLV3_Icon_ADV_"&amp;E493&amp;"_r05.png")</f>
        <v>#VALUE!</v>
      </c>
      <c r="E492" s="249" t="str">
        <f>"PWP-"&amp;A494</f>
        <v>PWP-231</v>
      </c>
      <c r="G492" s="249" t="str">
        <f>+INDEX(PWP!$A:$Z,MATCH('PWP-Print'!E492,PWP!$B:$B,0),MATCH("Title",PWP!$A$1:$Z$1,0))</f>
        <v>Celebrating Cutie</v>
      </c>
      <c r="I492" t="e" vm="14">
        <f>_xlfn.IMAGE("https://natalie.tf/wp-content/uploads/2023/10/DLV3_Icon_Ability_"&amp;INDEX('PWP-A'!$A$2:$C$31,MATCH('PWP-Print'!J492,'PWP-A'!$B$2:$B$31,0),1)&amp;".png")</f>
        <v>#VALUE!</v>
      </c>
      <c r="J492" s="229" t="str">
        <f>+INDEX(PWP!$A:$Z,MATCH('PWP-Print'!E492,PWP!$B:$B,0),MATCH("PWP Ability 1",PWP!$A$1:$Z$1,0))</f>
        <v>Strength +20%</v>
      </c>
      <c r="K492" s="249" t="str">
        <f>+INDEX(PWP!$A:$Z,MATCH('PWP-Print'!E492,PWP!$B:$B,0),MATCH("Locked PWP Ability 1",PWP!$A$1:$Z$1,0))</f>
        <v>(Light) Strength +20%</v>
      </c>
      <c r="M492" s="729" t="e" vm="1270">
        <f>_xlfn.IMAGE("https://natalie.tf/wp-content/uploads/2023/10/DLV3_Icon_ADV_"&amp;O493&amp;"_r05.png")</f>
        <v>#VALUE!</v>
      </c>
      <c r="O492" s="249" t="str">
        <f>"PWP-"&amp;B494</f>
        <v>PWP-244</v>
      </c>
      <c r="Q492" s="249" t="str">
        <f>+INDEX(PWP!$A:$Z,MATCH('PWP-Print'!O492,PWP!$B:$B,0),MATCH("Title",PWP!$A$1:$Z$1,0))</f>
        <v>Dragonblooded Hero</v>
      </c>
      <c r="S492" t="e" vm="14">
        <f>_xlfn.IMAGE("https://natalie.tf/wp-content/uploads/2023/10/DLV3_Icon_Ability_"&amp;INDEX('PWP-A'!$A$2:$C$31,MATCH('PWP-Print'!T492,'PWP-A'!$B$2:$B$31,0),1)&amp;".png")</f>
        <v>#VALUE!</v>
      </c>
      <c r="T492" s="229" t="str">
        <f>+INDEX(PWP!$A:$Z,MATCH('PWP-Print'!O492,PWP!$B:$B,0),MATCH("PWP Ability 1",PWP!$A$1:$Z$1,0))</f>
        <v>Skill Damage +40%</v>
      </c>
      <c r="U492" s="249" t="str">
        <f>+INDEX(PWP!$A:$Z,MATCH('PWP-Print'!O492,PWP!$B:$B,0),MATCH("Locked PWP Ability 1",PWP!$A$1:$Z$1,0))</f>
        <v>(Shadow) Skill Damage +40%</v>
      </c>
    </row>
    <row r="493" spans="1:21" ht="22.5" customHeight="1" x14ac:dyDescent="0.3">
      <c r="C493" s="729"/>
      <c r="D493" s="8"/>
      <c r="E493" s="200" t="str">
        <f>+INDEX(PWP!$A:$Z,MATCH('PWP-Print'!E492,PWP!$B:$B,0),MATCH("ID",PWP!$A$1:$Z$1,0))</f>
        <v>100007_10</v>
      </c>
      <c r="F493" s="8"/>
      <c r="G493" s="249" t="str">
        <f>+INDEX(PWP!$A:$Z,MATCH('PWP-Print'!E492,PWP!$B:$B,0),MATCH("Name",PWP!$A$1:$Z$1,0))</f>
        <v>Kimono Notte</v>
      </c>
      <c r="H493" s="8"/>
      <c r="I493" t="e" vm="496">
        <f>_xlfn.IMAGE("https://natalie.tf/wp-content/uploads/2023/10/DLV3_Icon_Ability_"&amp;INDEX('PWP-A'!$A$2:$C$31,MATCH('PWP-Print'!J493,'PWP-A'!$B$2:$B$31,0),1)&amp;".png")</f>
        <v>#VALUE!</v>
      </c>
      <c r="J493" s="229" t="str">
        <f>+INDEX(PWP!$A:$Z,MATCH('PWP-Print'!E492,PWP!$B:$B,0),MATCH("PWP Ability 2",PWP!$A$1:$Z$1,0))</f>
        <v>HP +15%</v>
      </c>
      <c r="K493" s="249" t="str">
        <f>+INDEX(PWP!$A:$Z,MATCH('PWP-Print'!E492,PWP!$B:$B,0),MATCH("Locked PWP Ability 2",PWP!$A$1:$Z$1,0))</f>
        <v>(Light) HP +15%</v>
      </c>
      <c r="M493" s="729"/>
      <c r="N493" s="8"/>
      <c r="O493" s="200" t="str">
        <f>+INDEX(PWP!$A:$Z,MATCH('PWP-Print'!O492,PWP!$B:$B,0),MATCH("ID",PWP!$A$1:$Z$1,0))</f>
        <v>100031_03</v>
      </c>
      <c r="P493" s="8"/>
      <c r="Q493" s="249" t="str">
        <f>+INDEX(PWP!$A:$Z,MATCH('PWP-Print'!O492,PWP!$B:$B,0),MATCH("Name",PWP!$A$1:$Z$1,0))</f>
        <v>Alberius</v>
      </c>
      <c r="R493" s="8"/>
      <c r="S493" t="e" vm="496">
        <f>_xlfn.IMAGE("https://natalie.tf/wp-content/uploads/2023/10/DLV3_Icon_Ability_"&amp;INDEX('PWP-A'!$A$2:$C$31,MATCH('PWP-Print'!T493,'PWP-A'!$B$2:$B$31,0),1)&amp;".png")</f>
        <v>#VALUE!</v>
      </c>
      <c r="T493" s="229" t="str">
        <f>+INDEX(PWP!$A:$Z,MATCH('PWP-Print'!O492,PWP!$B:$B,0),MATCH("PWP Ability 2",PWP!$A$1:$Z$1,0))</f>
        <v>HP +15%</v>
      </c>
      <c r="U493" s="249" t="str">
        <f>+INDEX(PWP!$A:$Z,MATCH('PWP-Print'!O492,PWP!$B:$B,0),MATCH("Locked PWP Ability 2",PWP!$A$1:$Z$1,0))</f>
        <v>(Shadow) HP +15%</v>
      </c>
    </row>
    <row r="494" spans="1:21" ht="22.5" customHeight="1" x14ac:dyDescent="0.3">
      <c r="A494" s="244" t="str">
        <f>TEXT(A490+1,"000")</f>
        <v>231</v>
      </c>
      <c r="B494" s="244" t="str">
        <f>TEXT(B490+1,"000")</f>
        <v>244</v>
      </c>
      <c r="C494" s="729"/>
      <c r="E494" s="251" t="str">
        <f>+INDEX(PWP!$A:$Z,MATCH('PWP-Print'!E492,PWP!$B:$B,0),MATCH("Num",PWP!$A$1:$Z$1,0))</f>
        <v>A-231</v>
      </c>
      <c r="G494" s="249" t="str">
        <f>+INDEX(PWP!$A:$Z,MATCH('PWP-Print'!E492,PWP!$B:$B,0),MATCH("Element",PWP!$A$1:$Z$1,0))&amp;" "&amp;INDEX(PWP!$A:$Z,MATCH('PWP-Print'!E492,PWP!$B:$B,0),MATCH("Type",PWP!$A$1:$Z$1,0))&amp;" Adventurer"</f>
        <v>Light Staff Adventurer</v>
      </c>
      <c r="K494" s="250"/>
      <c r="M494" s="729"/>
      <c r="O494" s="251" t="str">
        <f>+INDEX(PWP!$A:$Z,MATCH('PWP-Print'!O492,PWP!$B:$B,0),MATCH("Num",PWP!$A$1:$Z$1,0))</f>
        <v>A-244</v>
      </c>
      <c r="Q494" s="249" t="str">
        <f>+INDEX(PWP!$A:$Z,MATCH('PWP-Print'!O492,PWP!$B:$B,0),MATCH("Element",PWP!$A$1:$Z$1,0))&amp;" "&amp;INDEX(PWP!$A:$Z,MATCH('PWP-Print'!O492,PWP!$B:$B,0),MATCH("Type",PWP!$A$1:$Z$1,0))&amp;" Adventurer"</f>
        <v>Shadow Sword Adventurer</v>
      </c>
      <c r="U494" s="250"/>
    </row>
    <row r="495" spans="1:21" ht="7.5" customHeight="1" x14ac:dyDescent="0.3">
      <c r="A495" s="244" t="s">
        <v>10763</v>
      </c>
      <c r="E495" s="250"/>
      <c r="G495" s="250"/>
      <c r="K495" s="250"/>
      <c r="O495" s="250"/>
      <c r="Q495" s="250"/>
      <c r="U495" s="250"/>
    </row>
    <row r="496" spans="1:21" ht="22.5" customHeight="1" x14ac:dyDescent="0.3">
      <c r="C496" s="729" t="e" vm="1271">
        <f>_xlfn.IMAGE("https://natalie.tf/wp-content/uploads/2023/10/DLV3_Icon_ADV_"&amp;E497&amp;"_r05.png")</f>
        <v>#VALUE!</v>
      </c>
      <c r="E496" s="249" t="str">
        <f>"PWP-"&amp;A498</f>
        <v>PWP-232</v>
      </c>
      <c r="G496" s="249" t="str">
        <f>+INDEX(PWP!$A:$Z,MATCH('PWP-Print'!E496,PWP!$B:$B,0),MATCH("Title",PWP!$A$1:$Z$1,0))</f>
        <v>Unwavering Auspex</v>
      </c>
      <c r="I496" t="e" vm="1036">
        <f>_xlfn.IMAGE("https://natalie.tf/wp-content/uploads/2023/10/DLV3_Icon_Ability_"&amp;INDEX('PWP-A'!$A$2:$C$31,MATCH('PWP-Print'!J496,'PWP-A'!$B$2:$B$31,0),1)&amp;".png")</f>
        <v>#VALUE!</v>
      </c>
      <c r="J496" s="229" t="str">
        <f>+INDEX(PWP!$A:$Z,MATCH('PWP-Print'!E496,PWP!$B:$B,0),MATCH("PWP Ability 1",PWP!$A$1:$Z$1,0))</f>
        <v>15 Hits = Overdamage</v>
      </c>
      <c r="K496" s="249" t="str">
        <f>+INDEX(PWP!$A:$Z,MATCH('PWP-Print'!E496,PWP!$B:$B,0),MATCH("Locked PWP Ability 1",PWP!$A$1:$Z$1,0))</f>
        <v>(Light) 15 Hits = Overdamage</v>
      </c>
      <c r="M496" s="729" t="e" vm="1272">
        <f>_xlfn.IMAGE("https://natalie.tf/wp-content/uploads/2023/10/DLV3_Icon_ADV_"&amp;O497&amp;"_r05.png")</f>
        <v>#VALUE!</v>
      </c>
      <c r="O496" s="249" t="str">
        <f>"PWP-"&amp;B498</f>
        <v>PWP-245</v>
      </c>
      <c r="Q496" s="249" t="str">
        <f>+INDEX(PWP!$A:$Z,MATCH('PWP-Print'!O496,PWP!$B:$B,0),MATCH("Title",PWP!$A$1:$Z$1,0))</f>
        <v>Liberated Assassin</v>
      </c>
      <c r="S496" t="e" vm="1036">
        <f>_xlfn.IMAGE("https://natalie.tf/wp-content/uploads/2023/10/DLV3_Icon_Ability_"&amp;INDEX('PWP-A'!$A$2:$C$31,MATCH('PWP-Print'!T496,'PWP-A'!$B$2:$B$31,0),1)&amp;".png")</f>
        <v>#VALUE!</v>
      </c>
      <c r="T496" s="229" t="str">
        <f>+INDEX(PWP!$A:$Z,MATCH('PWP-Print'!O496,PWP!$B:$B,0),MATCH("PWP Ability 1",PWP!$A$1:$Z$1,0))</f>
        <v>15 Hits = Overdamage</v>
      </c>
      <c r="U496" s="249" t="str">
        <f>+INDEX(PWP!$A:$Z,MATCH('PWP-Print'!O496,PWP!$B:$B,0),MATCH("Locked PWP Ability 1",PWP!$A$1:$Z$1,0))</f>
        <v>(Shadow) 15 Hits = Overdamage</v>
      </c>
    </row>
    <row r="497" spans="1:21" ht="22.5" customHeight="1" x14ac:dyDescent="0.3">
      <c r="C497" s="729"/>
      <c r="D497" s="8"/>
      <c r="E497" s="200" t="str">
        <f>+INDEX(PWP!$A:$Z,MATCH('PWP-Print'!E496,PWP!$B:$B,0),MATCH("ID",PWP!$A$1:$Z$1,0))</f>
        <v>100009_08</v>
      </c>
      <c r="F497" s="8"/>
      <c r="G497" s="249" t="str">
        <f>+INDEX(PWP!$A:$Z,MATCH('PWP-Print'!E496,PWP!$B:$B,0),MATCH("Name",PWP!$A$1:$Z$1,0))</f>
        <v>Gala Zena</v>
      </c>
      <c r="H497" s="8"/>
      <c r="I497" t="e" vm="414">
        <f>_xlfn.IMAGE("https://natalie.tf/wp-content/uploads/2023/10/DLV3_Icon_Ability_"&amp;INDEX('PWP-A'!$A$2:$C$31,MATCH('PWP-Print'!J497,'PWP-A'!$B$2:$B$31,0),1)&amp;".png")</f>
        <v>#VALUE!</v>
      </c>
      <c r="J497" s="229" t="str">
        <f>+INDEX(PWP!$A:$Z,MATCH('PWP-Print'!E496,PWP!$B:$B,0),MATCH("PWP Ability 2",PWP!$A$1:$Z$1,0))</f>
        <v>Critical Damage +25%</v>
      </c>
      <c r="K497" s="249" t="str">
        <f>+INDEX(PWP!$A:$Z,MATCH('PWP-Print'!E496,PWP!$B:$B,0),MATCH("Locked PWP Ability 2",PWP!$A$1:$Z$1,0))</f>
        <v>(Light) Critical Damage +25%</v>
      </c>
      <c r="M497" s="729"/>
      <c r="N497" s="8"/>
      <c r="O497" s="200" t="str">
        <f>+INDEX(PWP!$A:$Z,MATCH('PWP-Print'!O496,PWP!$B:$B,0),MATCH("ID",PWP!$A$1:$Z$1,0))</f>
        <v>100005_02</v>
      </c>
      <c r="P497" s="8"/>
      <c r="Q497" s="249" t="str">
        <f>+INDEX(PWP!$A:$Z,MATCH('PWP-Print'!O496,PWP!$B:$B,0),MATCH("Name",PWP!$A$1:$Z$1,0))</f>
        <v>Gala Alex</v>
      </c>
      <c r="R497" s="8"/>
      <c r="S497" t="e" vm="14">
        <f>_xlfn.IMAGE("https://natalie.tf/wp-content/uploads/2023/10/DLV3_Icon_Ability_"&amp;INDEX('PWP-A'!$A$2:$C$31,MATCH('PWP-Print'!T497,'PWP-A'!$B$2:$B$31,0),1)&amp;".png")</f>
        <v>#VALUE!</v>
      </c>
      <c r="T497" s="229" t="str">
        <f>+INDEX(PWP!$A:$Z,MATCH('PWP-Print'!O496,PWP!$B:$B,0),MATCH("PWP Ability 2",PWP!$A$1:$Z$1,0))</f>
        <v>Skill Damage +40%</v>
      </c>
      <c r="U497" s="249" t="str">
        <f>+INDEX(PWP!$A:$Z,MATCH('PWP-Print'!O496,PWP!$B:$B,0),MATCH("Locked PWP Ability 2",PWP!$A$1:$Z$1,0))</f>
        <v>(Shadow) Skill Damage +40%</v>
      </c>
    </row>
    <row r="498" spans="1:21" ht="22.5" customHeight="1" x14ac:dyDescent="0.3">
      <c r="A498" s="244" t="str">
        <f>TEXT(A494+1,"000")</f>
        <v>232</v>
      </c>
      <c r="B498" s="244" t="str">
        <f>TEXT(B494+1,"000")</f>
        <v>245</v>
      </c>
      <c r="C498" s="729"/>
      <c r="E498" s="251" t="str">
        <f>+INDEX(PWP!$A:$Z,MATCH('PWP-Print'!E496,PWP!$B:$B,0),MATCH("Num",PWP!$A$1:$Z$1,0))</f>
        <v>A-232</v>
      </c>
      <c r="G498" s="249" t="str">
        <f>+INDEX(PWP!$A:$Z,MATCH('PWP-Print'!E496,PWP!$B:$B,0),MATCH("Element",PWP!$A$1:$Z$1,0))&amp;" "&amp;INDEX(PWP!$A:$Z,MATCH('PWP-Print'!E496,PWP!$B:$B,0),MATCH("Type",PWP!$A$1:$Z$1,0))&amp;" Adventurer"</f>
        <v>Light Staff Adventurer</v>
      </c>
      <c r="K498" s="250"/>
      <c r="M498" s="729"/>
      <c r="O498" s="251" t="str">
        <f>+INDEX(PWP!$A:$Z,MATCH('PWP-Print'!O496,PWP!$B:$B,0),MATCH("Num",PWP!$A$1:$Z$1,0))</f>
        <v>A-245</v>
      </c>
      <c r="Q498" s="249" t="str">
        <f>+INDEX(PWP!$A:$Z,MATCH('PWP-Print'!O496,PWP!$B:$B,0),MATCH("Element",PWP!$A$1:$Z$1,0))&amp;" "&amp;INDEX(PWP!$A:$Z,MATCH('PWP-Print'!O496,PWP!$B:$B,0),MATCH("Type",PWP!$A$1:$Z$1,0))&amp;" Adventurer"</f>
        <v>Shadow Sword Adventurer</v>
      </c>
      <c r="U498" s="250"/>
    </row>
    <row r="499" spans="1:21" ht="7.5" customHeight="1" x14ac:dyDescent="0.3">
      <c r="A499" s="244" t="s">
        <v>10763</v>
      </c>
      <c r="E499" s="250"/>
      <c r="G499" s="250"/>
      <c r="K499" s="250"/>
      <c r="O499" s="250"/>
      <c r="Q499" s="250"/>
      <c r="U499" s="250"/>
    </row>
    <row r="500" spans="1:21" ht="22.5" customHeight="1" x14ac:dyDescent="0.3">
      <c r="C500" s="729" t="e" vm="1273">
        <f>_xlfn.IMAGE("https://natalie.tf/wp-content/uploads/2023/10/DLV3_Icon_ADV_"&amp;E501&amp;"_r05.png")</f>
        <v>#VALUE!</v>
      </c>
      <c r="E500" s="249" t="str">
        <f>"PWP-"&amp;A502</f>
        <v>PWP-233</v>
      </c>
      <c r="G500" s="249" t="str">
        <f>+INDEX(PWP!$A:$Z,MATCH('PWP-Print'!E500,PWP!$B:$B,0),MATCH("Title",PWP!$A$1:$Z$1,0))</f>
        <v>Devout Oracle</v>
      </c>
      <c r="I500" t="e" vm="496">
        <f>_xlfn.IMAGE("https://natalie.tf/wp-content/uploads/2023/10/DLV3_Icon_Ability_"&amp;INDEX('PWP-A'!$A$2:$C$31,MATCH('PWP-Print'!J500,'PWP-A'!$B$2:$B$31,0),1)&amp;".png")</f>
        <v>#VALUE!</v>
      </c>
      <c r="J500" s="229" t="str">
        <f>+INDEX(PWP!$A:$Z,MATCH('PWP-Print'!E500,PWP!$B:$B,0),MATCH("PWP Ability 1",PWP!$A$1:$Z$1,0))</f>
        <v>HP +15%</v>
      </c>
      <c r="K500" s="249" t="str">
        <f>+INDEX(PWP!$A:$Z,MATCH('PWP-Print'!E500,PWP!$B:$B,0),MATCH("Locked PWP Ability 1",PWP!$A$1:$Z$1,0))</f>
        <v>(Light) HP +15%</v>
      </c>
      <c r="M500" s="729" t="e" vm="1274">
        <f>_xlfn.IMAGE("https://natalie.tf/wp-content/uploads/2023/10/DLV3_Icon_ADV_"&amp;O501&amp;"_r05.png")</f>
        <v>#VALUE!</v>
      </c>
      <c r="O500" s="249" t="str">
        <f>"PWP-"&amp;B502</f>
        <v>PWP-246</v>
      </c>
      <c r="Q500" s="249" t="str">
        <f>+INDEX(PWP!$A:$Z,MATCH('PWP-Print'!O500,PWP!$B:$B,0),MATCH("Title",PWP!$A$1:$Z$1,0))</f>
        <v>Wandering Festival Planner</v>
      </c>
      <c r="S500" t="e" vm="688">
        <f>_xlfn.IMAGE("https://natalie.tf/wp-content/uploads/2023/10/DLV3_Icon_Ability_"&amp;INDEX('PWP-A'!$A$2:$C$31,MATCH('PWP-Print'!T500,'PWP-A'!$B$2:$B$31,0),1)&amp;".png")</f>
        <v>#VALUE!</v>
      </c>
      <c r="T500" s="229" t="str">
        <f>+INDEX(PWP!$A:$Z,MATCH('PWP-Print'!O500,PWP!$B:$B,0),MATCH("PWP Ability 1",PWP!$A$1:$Z$1,0))</f>
        <v>Overdrive Punisher +15%</v>
      </c>
      <c r="U500" s="255" t="str">
        <f>+INDEX(PWP!$A:$Z,MATCH('PWP-Print'!O500,PWP!$B:$B,0),MATCH("Locked PWP Ability 1",PWP!$A$1:$Z$1,0))</f>
        <v>(Shadow) Overdrive Punisher +15%</v>
      </c>
    </row>
    <row r="501" spans="1:21" ht="22.5" customHeight="1" x14ac:dyDescent="0.3">
      <c r="C501" s="729"/>
      <c r="D501" s="8"/>
      <c r="E501" s="200" t="str">
        <f>+INDEX(PWP!$A:$Z,MATCH('PWP-Print'!E500,PWP!$B:$B,0),MATCH("ID",PWP!$A$1:$Z$1,0))</f>
        <v>110043_01</v>
      </c>
      <c r="F501" s="8"/>
      <c r="G501" s="249" t="str">
        <f>+INDEX(PWP!$A:$Z,MATCH('PWP-Print'!E500,PWP!$B:$B,0),MATCH("Name",PWP!$A$1:$Z$1,0))</f>
        <v>Hildegarde</v>
      </c>
      <c r="H501" s="8"/>
      <c r="I501" t="e" vm="426">
        <f>_xlfn.IMAGE("https://natalie.tf/wp-content/uploads/2023/10/DLV3_Icon_Ability_"&amp;INDEX('PWP-A'!$A$2:$C$31,MATCH('PWP-Print'!J501,'PWP-A'!$B$2:$B$31,0),1)&amp;".png")</f>
        <v>#VALUE!</v>
      </c>
      <c r="J501" s="229" t="str">
        <f>+INDEX(PWP!$A:$Z,MATCH('PWP-Print'!E500,PWP!$B:$B,0),MATCH("PWP Ability 2",PWP!$A$1:$Z$1,0))</f>
        <v>Defense +20%</v>
      </c>
      <c r="K501" s="249" t="str">
        <f>+INDEX(PWP!$A:$Z,MATCH('PWP-Print'!E500,PWP!$B:$B,0),MATCH("Locked PWP Ability 2",PWP!$A$1:$Z$1,0))</f>
        <v>(Light) Defense +20%</v>
      </c>
      <c r="M501" s="729"/>
      <c r="N501" s="8"/>
      <c r="O501" s="200" t="str">
        <f>+INDEX(PWP!$A:$Z,MATCH('PWP-Print'!O500,PWP!$B:$B,0),MATCH("ID",PWP!$A$1:$Z$1,0))</f>
        <v>110325_01</v>
      </c>
      <c r="P501" s="8"/>
      <c r="Q501" s="249" t="str">
        <f>+INDEX(PWP!$A:$Z,MATCH('PWP-Print'!O500,PWP!$B:$B,0),MATCH("Name",PWP!$A$1:$Z$1,0))</f>
        <v>Yaten</v>
      </c>
      <c r="R501" s="8"/>
      <c r="S501" t="e" vm="376">
        <f>_xlfn.IMAGE("https://natalie.tf/wp-content/uploads/2023/10/DLV3_Icon_Ability_"&amp;INDEX('PWP-A'!$A$2:$C$31,MATCH('PWP-Print'!T501,'PWP-A'!$B$2:$B$31,0),1)&amp;".png")</f>
        <v>#VALUE!</v>
      </c>
      <c r="T501" s="229" t="str">
        <f>+INDEX(PWP!$A:$Z,MATCH('PWP-Print'!O500,PWP!$B:$B,0),MATCH("PWP Ability 2",PWP!$A$1:$Z$1,0))</f>
        <v>Broken Punisher +30%</v>
      </c>
      <c r="U501" s="249" t="str">
        <f>+INDEX(PWP!$A:$Z,MATCH('PWP-Print'!O500,PWP!$B:$B,0),MATCH("Locked PWP Ability 2",PWP!$A$1:$Z$1,0))</f>
        <v>(Shadow) Broken Punisher +30%</v>
      </c>
    </row>
    <row r="502" spans="1:21" ht="22.5" customHeight="1" x14ac:dyDescent="0.3">
      <c r="A502" s="244" t="str">
        <f>TEXT(A498+1,"000")</f>
        <v>233</v>
      </c>
      <c r="B502" s="244" t="str">
        <f>TEXT(B498+1,"000")</f>
        <v>246</v>
      </c>
      <c r="C502" s="729"/>
      <c r="E502" s="251" t="str">
        <f>+INDEX(PWP!$A:$Z,MATCH('PWP-Print'!E500,PWP!$B:$B,0),MATCH("Num",PWP!$A$1:$Z$1,0))</f>
        <v>A-233</v>
      </c>
      <c r="G502" s="249" t="str">
        <f>+INDEX(PWP!$A:$Z,MATCH('PWP-Print'!E500,PWP!$B:$B,0),MATCH("Element",PWP!$A$1:$Z$1,0))&amp;" "&amp;INDEX(PWP!$A:$Z,MATCH('PWP-Print'!E500,PWP!$B:$B,0),MATCH("Type",PWP!$A$1:$Z$1,0))&amp;" Adventurer"</f>
        <v>Light Staff Adventurer</v>
      </c>
      <c r="K502" s="250"/>
      <c r="M502" s="729"/>
      <c r="O502" s="251" t="str">
        <f>+INDEX(PWP!$A:$Z,MATCH('PWP-Print'!O500,PWP!$B:$B,0),MATCH("Num",PWP!$A$1:$Z$1,0))</f>
        <v>A-246</v>
      </c>
      <c r="Q502" s="249" t="str">
        <f>+INDEX(PWP!$A:$Z,MATCH('PWP-Print'!O500,PWP!$B:$B,0),MATCH("Element",PWP!$A$1:$Z$1,0))&amp;" "&amp;INDEX(PWP!$A:$Z,MATCH('PWP-Print'!O500,PWP!$B:$B,0),MATCH("Type",PWP!$A$1:$Z$1,0))&amp;" Adventurer"</f>
        <v>Shadow Sword Adventurer</v>
      </c>
      <c r="U502" s="250"/>
    </row>
    <row r="503" spans="1:21" ht="7.5" customHeight="1" x14ac:dyDescent="0.3">
      <c r="A503" s="244" t="s">
        <v>10763</v>
      </c>
      <c r="E503" s="250"/>
      <c r="G503" s="250"/>
      <c r="K503" s="250"/>
      <c r="O503" s="250"/>
      <c r="Q503" s="250"/>
      <c r="U503" s="250"/>
    </row>
    <row r="504" spans="1:21" ht="22.5" customHeight="1" x14ac:dyDescent="0.3">
      <c r="C504" s="729" t="e" vm="1275">
        <f>_xlfn.IMAGE("https://natalie.tf/wp-content/uploads/2023/10/DLV3_Icon_ADV_"&amp;E505&amp;"_r05.png")</f>
        <v>#VALUE!</v>
      </c>
      <c r="E504" s="249" t="str">
        <f>"PWP-"&amp;A506</f>
        <v>PWP-234</v>
      </c>
      <c r="G504" s="249" t="str">
        <f>+INDEX(PWP!$A:$Z,MATCH('PWP-Print'!E504,PWP!$B:$B,0),MATCH("Title",PWP!$A$1:$Z$1,0))</f>
        <v>Captivating Dancer</v>
      </c>
      <c r="I504" t="e" vm="426">
        <f>_xlfn.IMAGE("https://natalie.tf/wp-content/uploads/2023/10/DLV3_Icon_Ability_"&amp;INDEX('PWP-A'!$A$2:$C$31,MATCH('PWP-Print'!J504,'PWP-A'!$B$2:$B$31,0),1)&amp;".png")</f>
        <v>#VALUE!</v>
      </c>
      <c r="J504" s="229" t="str">
        <f>+INDEX(PWP!$A:$Z,MATCH('PWP-Print'!E504,PWP!$B:$B,0),MATCH("PWP Ability 1",PWP!$A$1:$Z$1,0))</f>
        <v>Defense +20%</v>
      </c>
      <c r="K504" s="249" t="str">
        <f>+INDEX(PWP!$A:$Z,MATCH('PWP-Print'!E504,PWP!$B:$B,0),MATCH("Locked PWP Ability 1",PWP!$A$1:$Z$1,0))</f>
        <v>(Light) Defense +20%</v>
      </c>
      <c r="M504" s="729" t="e" vm="1276">
        <f>_xlfn.IMAGE("https://natalie.tf/wp-content/uploads/2023/10/DLV3_Icon_ADV_"&amp;O505&amp;"_r05.png")</f>
        <v>#VALUE!</v>
      </c>
      <c r="O504" s="249" t="str">
        <f>"PWP-"&amp;B506</f>
        <v>PWP-247</v>
      </c>
      <c r="Q504" s="249" t="str">
        <f>+INDEX(PWP!$A:$Z,MATCH('PWP-Print'!O504,PWP!$B:$B,0),MATCH("Title",PWP!$A$1:$Z$1,0))</f>
        <v>Atoning King</v>
      </c>
      <c r="S504" t="e" vm="14">
        <f>_xlfn.IMAGE("https://natalie.tf/wp-content/uploads/2023/10/DLV3_Icon_Ability_"&amp;INDEX('PWP-A'!$A$2:$C$31,MATCH('PWP-Print'!T504,'PWP-A'!$B$2:$B$31,0),1)&amp;".png")</f>
        <v>#VALUE!</v>
      </c>
      <c r="T504" s="229" t="str">
        <f>+INDEX(PWP!$A:$Z,MATCH('PWP-Print'!O504,PWP!$B:$B,0),MATCH("PWP Ability 1",PWP!$A$1:$Z$1,0))</f>
        <v>Strength +20%</v>
      </c>
      <c r="U504" s="249" t="str">
        <f>+INDEX(PWP!$A:$Z,MATCH('PWP-Print'!O504,PWP!$B:$B,0),MATCH("Locked PWP Ability 1",PWP!$A$1:$Z$1,0))</f>
        <v>(Shadow) Strength +20%</v>
      </c>
    </row>
    <row r="505" spans="1:21" ht="22.5" customHeight="1" x14ac:dyDescent="0.3">
      <c r="C505" s="729"/>
      <c r="D505" s="8"/>
      <c r="E505" s="200" t="str">
        <f>+INDEX(PWP!$A:$Z,MATCH('PWP-Print'!E504,PWP!$B:$B,0),MATCH("ID",PWP!$A$1:$Z$1,0))</f>
        <v>110277_01</v>
      </c>
      <c r="F505" s="8"/>
      <c r="G505" s="249" t="str">
        <f>+INDEX(PWP!$A:$Z,MATCH('PWP-Print'!E504,PWP!$B:$B,0),MATCH("Name",PWP!$A$1:$Z$1,0))</f>
        <v>Felicia</v>
      </c>
      <c r="H505" s="8"/>
      <c r="I505" t="e" vm="802">
        <f>_xlfn.IMAGE("https://natalie.tf/wp-content/uploads/2023/10/DLV3_Icon_Ability_"&amp;INDEX('PWP-A'!$A$2:$C$31,MATCH('PWP-Print'!J505,'PWP-A'!$B$2:$B$31,0),1)&amp;".png")</f>
        <v>#VALUE!</v>
      </c>
      <c r="J505" s="229" t="str">
        <f>+INDEX(PWP!$A:$Z,MATCH('PWP-Print'!E504,PWP!$B:$B,0),MATCH("PWP Ability 2",PWP!$A$1:$Z$1,0))</f>
        <v>HP 70% = Shield +40%</v>
      </c>
      <c r="K505" s="249" t="str">
        <f>+INDEX(PWP!$A:$Z,MATCH('PWP-Print'!E504,PWP!$B:$B,0),MATCH("Locked PWP Ability 2",PWP!$A$1:$Z$1,0))</f>
        <v>(Light) HP 70% = Shield +40%</v>
      </c>
      <c r="M505" s="729"/>
      <c r="N505" s="8"/>
      <c r="O505" s="200" t="str">
        <f>+INDEX(PWP!$A:$Z,MATCH('PWP-Print'!O504,PWP!$B:$B,0),MATCH("ID",PWP!$A$1:$Z$1,0))</f>
        <v>110334_01</v>
      </c>
      <c r="P505" s="8"/>
      <c r="Q505" s="249" t="str">
        <f>+INDEX(PWP!$A:$Z,MATCH('PWP-Print'!O504,PWP!$B:$B,0),MATCH("Name",PWP!$A$1:$Z$1,0))</f>
        <v>Audric</v>
      </c>
      <c r="R505" s="8"/>
      <c r="S505" t="e" vm="496">
        <f>_xlfn.IMAGE("https://natalie.tf/wp-content/uploads/2023/10/DLV3_Icon_Ability_"&amp;INDEX('PWP-A'!$A$2:$C$31,MATCH('PWP-Print'!T505,'PWP-A'!$B$2:$B$31,0),1)&amp;".png")</f>
        <v>#VALUE!</v>
      </c>
      <c r="T505" s="229" t="str">
        <f>+INDEX(PWP!$A:$Z,MATCH('PWP-Print'!O504,PWP!$B:$B,0),MATCH("PWP Ability 2",PWP!$A$1:$Z$1,0))</f>
        <v>HP +15%</v>
      </c>
      <c r="U505" s="249" t="str">
        <f>+INDEX(PWP!$A:$Z,MATCH('PWP-Print'!O504,PWP!$B:$B,0),MATCH("Locked PWP Ability 2",PWP!$A$1:$Z$1,0))</f>
        <v>(Shadow) HP +15%</v>
      </c>
    </row>
    <row r="506" spans="1:21" ht="22.5" customHeight="1" x14ac:dyDescent="0.3">
      <c r="A506" s="244" t="str">
        <f>TEXT(A502+1,"000")</f>
        <v>234</v>
      </c>
      <c r="B506" s="244" t="str">
        <f>TEXT(B502+1,"000")</f>
        <v>247</v>
      </c>
      <c r="C506" s="729"/>
      <c r="E506" s="251" t="str">
        <f>+INDEX(PWP!$A:$Z,MATCH('PWP-Print'!E504,PWP!$B:$B,0),MATCH("Num",PWP!$A$1:$Z$1,0))</f>
        <v>A-234</v>
      </c>
      <c r="G506" s="249" t="str">
        <f>+INDEX(PWP!$A:$Z,MATCH('PWP-Print'!E504,PWP!$B:$B,0),MATCH("Element",PWP!$A$1:$Z$1,0))&amp;" "&amp;INDEX(PWP!$A:$Z,MATCH('PWP-Print'!E504,PWP!$B:$B,0),MATCH("Type",PWP!$A$1:$Z$1,0))&amp;" Adventurer"</f>
        <v>Light Staff Adventurer</v>
      </c>
      <c r="K506" s="250"/>
      <c r="M506" s="729"/>
      <c r="O506" s="251" t="str">
        <f>+INDEX(PWP!$A:$Z,MATCH('PWP-Print'!O504,PWP!$B:$B,0),MATCH("Num",PWP!$A$1:$Z$1,0))</f>
        <v>A-247</v>
      </c>
      <c r="Q506" s="249" t="str">
        <f>+INDEX(PWP!$A:$Z,MATCH('PWP-Print'!O504,PWP!$B:$B,0),MATCH("Element",PWP!$A$1:$Z$1,0))&amp;" "&amp;INDEX(PWP!$A:$Z,MATCH('PWP-Print'!O504,PWP!$B:$B,0),MATCH("Type",PWP!$A$1:$Z$1,0))&amp;" Adventurer"</f>
        <v>Shadow Sword Adventurer</v>
      </c>
      <c r="U506" s="250"/>
    </row>
    <row r="507" spans="1:21" ht="7.5" customHeight="1" x14ac:dyDescent="0.3">
      <c r="A507" s="244" t="s">
        <v>10763</v>
      </c>
      <c r="E507" s="250"/>
      <c r="G507" s="250"/>
      <c r="K507" s="250"/>
      <c r="O507" s="250"/>
      <c r="Q507" s="250"/>
      <c r="U507" s="250"/>
    </row>
    <row r="508" spans="1:21" ht="22.5" customHeight="1" x14ac:dyDescent="0.3">
      <c r="C508" s="729" t="e" vm="1277">
        <f>_xlfn.IMAGE("https://natalie.tf/wp-content/uploads/2023/10/DLV3_Icon_ADV_"&amp;E509&amp;"_r05.png")</f>
        <v>#VALUE!</v>
      </c>
      <c r="E508" s="249" t="str">
        <f>"PWP-"&amp;A510</f>
        <v>PWP-235</v>
      </c>
      <c r="G508" s="249" t="str">
        <f>+INDEX(PWP!$A:$Z,MATCH('PWP-Print'!E508,PWP!$B:$B,0),MATCH("Title",PWP!$A$1:$Z$1,0))</f>
        <v>Musical Maestro</v>
      </c>
      <c r="I508" t="e" vm="1036">
        <f>_xlfn.IMAGE("https://natalie.tf/wp-content/uploads/2023/10/DLV3_Icon_Ability_"&amp;INDEX('PWP-A'!$A$2:$C$31,MATCH('PWP-Print'!J508,'PWP-A'!$B$2:$B$31,0),1)&amp;".png")</f>
        <v>#VALUE!</v>
      </c>
      <c r="J508" s="229" t="str">
        <f>+INDEX(PWP!$A:$Z,MATCH('PWP-Print'!E508,PWP!$B:$B,0),MATCH("PWP Ability 1",PWP!$A$1:$Z$1,0))</f>
        <v>15 Hits = Overdamage</v>
      </c>
      <c r="K508" s="249" t="str">
        <f>+INDEX(PWP!$A:$Z,MATCH('PWP-Print'!E508,PWP!$B:$B,0),MATCH("Locked PWP Ability 1",PWP!$A$1:$Z$1,0))</f>
        <v>(Light) 15 Hits = Overdamage</v>
      </c>
      <c r="M508" s="729" t="e" vm="1278">
        <f>_xlfn.IMAGE("https://natalie.tf/wp-content/uploads/2023/10/DLV3_Icon_ADV_"&amp;O509&amp;"_r05.png")</f>
        <v>#VALUE!</v>
      </c>
      <c r="O508" s="249" t="str">
        <f>"PWP-"&amp;B510</f>
        <v>PWP-248</v>
      </c>
      <c r="Q508" s="249" t="str">
        <f>+INDEX(PWP!$A:$Z,MATCH('PWP-Print'!O508,PWP!$B:$B,0),MATCH("Title",PWP!$A$1:$Z$1,0))</f>
        <v>Frenzied Warrior</v>
      </c>
      <c r="S508" t="e" vm="330">
        <f>_xlfn.IMAGE("https://natalie.tf/wp-content/uploads/2023/10/DLV3_Icon_Ability_"&amp;INDEX('PWP-A'!$A$2:$C$31,MATCH('PWP-Print'!T508,'PWP-A'!$B$2:$B$31,0),1)&amp;".png")</f>
        <v>#VALUE!</v>
      </c>
      <c r="T508" s="229" t="str">
        <f>+INDEX(PWP!$A:$Z,MATCH('PWP-Print'!O508,PWP!$B:$B,0),MATCH("PWP Ability 1",PWP!$A$1:$Z$1,0))</f>
        <v>Skill Haste +10%</v>
      </c>
      <c r="U508" s="249" t="str">
        <f>+INDEX(PWP!$A:$Z,MATCH('PWP-Print'!O508,PWP!$B:$B,0),MATCH("Locked PWP Ability 1",PWP!$A$1:$Z$1,0))</f>
        <v>(Shadow) Skill Haste +10%</v>
      </c>
    </row>
    <row r="509" spans="1:21" ht="22.5" customHeight="1" x14ac:dyDescent="0.3">
      <c r="C509" s="729"/>
      <c r="D509" s="8"/>
      <c r="E509" s="200" t="str">
        <f>+INDEX(PWP!$A:$Z,MATCH('PWP-Print'!E508,PWP!$B:$B,0),MATCH("ID",PWP!$A$1:$Z$1,0))</f>
        <v>110304_01</v>
      </c>
      <c r="F509" s="8"/>
      <c r="G509" s="249" t="str">
        <f>+INDEX(PWP!$A:$Z,MATCH('PWP-Print'!E508,PWP!$B:$B,0),MATCH("Name",PWP!$A$1:$Z$1,0))</f>
        <v>Vixel</v>
      </c>
      <c r="H509" s="8"/>
      <c r="I509" t="e" vm="426">
        <f>_xlfn.IMAGE("https://natalie.tf/wp-content/uploads/2023/10/DLV3_Icon_Ability_"&amp;INDEX('PWP-A'!$A$2:$C$31,MATCH('PWP-Print'!J509,'PWP-A'!$B$2:$B$31,0),1)&amp;".png")</f>
        <v>#VALUE!</v>
      </c>
      <c r="J509" s="229" t="str">
        <f>+INDEX(PWP!$A:$Z,MATCH('PWP-Print'!E508,PWP!$B:$B,0),MATCH("PWP Ability 2",PWP!$A$1:$Z$1,0))</f>
        <v>Defense +20%</v>
      </c>
      <c r="K509" s="249" t="str">
        <f>+INDEX(PWP!$A:$Z,MATCH('PWP-Print'!E508,PWP!$B:$B,0),MATCH("Locked PWP Ability 2",PWP!$A$1:$Z$1,0))</f>
        <v>(Light) Defense +20%</v>
      </c>
      <c r="M509" s="729"/>
      <c r="N509" s="8"/>
      <c r="O509" s="200" t="str">
        <f>+INDEX(PWP!$A:$Z,MATCH('PWP-Print'!O508,PWP!$B:$B,0),MATCH("ID",PWP!$A$1:$Z$1,0))</f>
        <v>110050_01</v>
      </c>
      <c r="P509" s="8"/>
      <c r="Q509" s="249" t="str">
        <f>+INDEX(PWP!$A:$Z,MATCH('PWP-Print'!O508,PWP!$B:$B,0),MATCH("Name",PWP!$A$1:$Z$1,0))</f>
        <v>Berserker</v>
      </c>
      <c r="R509" s="8"/>
      <c r="S509" t="e" vm="496">
        <f>_xlfn.IMAGE("https://natalie.tf/wp-content/uploads/2023/10/DLV3_Icon_Ability_"&amp;INDEX('PWP-A'!$A$2:$C$31,MATCH('PWP-Print'!T509,'PWP-A'!$B$2:$B$31,0),1)&amp;".png")</f>
        <v>#VALUE!</v>
      </c>
      <c r="T509" s="229" t="str">
        <f>+INDEX(PWP!$A:$Z,MATCH('PWP-Print'!O508,PWP!$B:$B,0),MATCH("PWP Ability 2",PWP!$A$1:$Z$1,0))</f>
        <v>HP +15%</v>
      </c>
      <c r="U509" s="249" t="str">
        <f>+INDEX(PWP!$A:$Z,MATCH('PWP-Print'!O508,PWP!$B:$B,0),MATCH("Locked PWP Ability 2",PWP!$A$1:$Z$1,0))</f>
        <v>(Shadow) HP +15%</v>
      </c>
    </row>
    <row r="510" spans="1:21" ht="22.5" customHeight="1" x14ac:dyDescent="0.3">
      <c r="A510" s="244" t="str">
        <f>TEXT(A506+1,"000")</f>
        <v>235</v>
      </c>
      <c r="B510" s="244" t="str">
        <f>TEXT(B506+1,"000")</f>
        <v>248</v>
      </c>
      <c r="C510" s="729"/>
      <c r="E510" s="251" t="str">
        <f>+INDEX(PWP!$A:$Z,MATCH('PWP-Print'!E508,PWP!$B:$B,0),MATCH("Num",PWP!$A$1:$Z$1,0))</f>
        <v>A-235</v>
      </c>
      <c r="G510" s="249" t="str">
        <f>+INDEX(PWP!$A:$Z,MATCH('PWP-Print'!E508,PWP!$B:$B,0),MATCH("Element",PWP!$A$1:$Z$1,0))&amp;" "&amp;INDEX(PWP!$A:$Z,MATCH('PWP-Print'!E508,PWP!$B:$B,0),MATCH("Type",PWP!$A$1:$Z$1,0))&amp;" Adventurer"</f>
        <v>Light Staff Adventurer</v>
      </c>
      <c r="K510" s="250"/>
      <c r="M510" s="729"/>
      <c r="O510" s="251" t="str">
        <f>+INDEX(PWP!$A:$Z,MATCH('PWP-Print'!O508,PWP!$B:$B,0),MATCH("Num",PWP!$A$1:$Z$1,0))</f>
        <v>A-248</v>
      </c>
      <c r="Q510" s="249" t="str">
        <f>+INDEX(PWP!$A:$Z,MATCH('PWP-Print'!O508,PWP!$B:$B,0),MATCH("Element",PWP!$A$1:$Z$1,0))&amp;" "&amp;INDEX(PWP!$A:$Z,MATCH('PWP-Print'!O508,PWP!$B:$B,0),MATCH("Type",PWP!$A$1:$Z$1,0))&amp;" Adventurer"</f>
        <v>Shadow Sword Adventurer</v>
      </c>
      <c r="U510" s="250"/>
    </row>
    <row r="511" spans="1:21" ht="7.5" customHeight="1" x14ac:dyDescent="0.3">
      <c r="A511" s="244" t="s">
        <v>10763</v>
      </c>
      <c r="E511" s="250"/>
      <c r="G511" s="250"/>
      <c r="K511" s="250"/>
      <c r="O511" s="250"/>
      <c r="Q511" s="250"/>
      <c r="U511" s="250"/>
    </row>
    <row r="512" spans="1:21" ht="22.5" customHeight="1" x14ac:dyDescent="0.3">
      <c r="C512" s="729" t="e" vm="1279">
        <f>_xlfn.IMAGE("https://natalie.tf/wp-content/uploads/2023/10/DLV3_Icon_ADV_"&amp;E513&amp;"_r05.png")</f>
        <v>#VALUE!</v>
      </c>
      <c r="E512" s="249" t="str">
        <f>"PWP-"&amp;A514</f>
        <v>PWP-236</v>
      </c>
      <c r="G512" s="249" t="str">
        <f>+INDEX(PWP!$A:$Z,MATCH('PWP-Print'!E512,PWP!$B:$B,0),MATCH("Title",PWP!$A$1:$Z$1,0))</f>
        <v>Diametric Vampire</v>
      </c>
      <c r="I512" t="e" vm="14">
        <f>_xlfn.IMAGE("https://natalie.tf/wp-content/uploads/2023/10/DLV3_Icon_Ability_"&amp;INDEX('PWP-A'!$A$2:$C$31,MATCH('PWP-Print'!J512,'PWP-A'!$B$2:$B$31,0),1)&amp;".png")</f>
        <v>#VALUE!</v>
      </c>
      <c r="J512" s="229" t="str">
        <f>+INDEX(PWP!$A:$Z,MATCH('PWP-Print'!E512,PWP!$B:$B,0),MATCH("PWP Ability 1",PWP!$A$1:$Z$1,0))</f>
        <v>Strength +20%</v>
      </c>
      <c r="K512" s="249" t="str">
        <f>+INDEX(PWP!$A:$Z,MATCH('PWP-Print'!E512,PWP!$B:$B,0),MATCH("Locked PWP Ability 1",PWP!$A$1:$Z$1,0))</f>
        <v>(Light) Strength +20%</v>
      </c>
      <c r="M512" s="729" t="e" vm="1280">
        <f>_xlfn.IMAGE("https://natalie.tf/wp-content/uploads/2023/10/DLV3_Icon_ADV_"&amp;O513&amp;"_r05.png")</f>
        <v>#VALUE!</v>
      </c>
      <c r="O512" s="249" t="str">
        <f>"PWP-"&amp;B514</f>
        <v>PWP-249</v>
      </c>
      <c r="Q512" s="249" t="str">
        <f>+INDEX(PWP!$A:$Z,MATCH('PWP-Print'!O512,PWP!$B:$B,0),MATCH("Title",PWP!$A$1:$Z$1,0))</f>
        <v>Sincere Giver</v>
      </c>
      <c r="S512" t="e" vm="330">
        <f>_xlfn.IMAGE("https://natalie.tf/wp-content/uploads/2023/10/DLV3_Icon_Ability_"&amp;INDEX('PWP-A'!$A$2:$C$31,MATCH('PWP-Print'!T512,'PWP-A'!$B$2:$B$31,0),1)&amp;".png")</f>
        <v>#VALUE!</v>
      </c>
      <c r="T512" s="229" t="str">
        <f>+INDEX(PWP!$A:$Z,MATCH('PWP-Print'!O512,PWP!$B:$B,0),MATCH("PWP Ability 1",PWP!$A$1:$Z$1,0))</f>
        <v>Skill Haste +10%</v>
      </c>
      <c r="U512" s="249" t="str">
        <f>+INDEX(PWP!$A:$Z,MATCH('PWP-Print'!O512,PWP!$B:$B,0),MATCH("Locked PWP Ability 1",PWP!$A$1:$Z$1,0))</f>
        <v>(Shadow) Skill Haste +10%</v>
      </c>
    </row>
    <row r="513" spans="1:21" ht="22.5" customHeight="1" x14ac:dyDescent="0.3">
      <c r="C513" s="729"/>
      <c r="D513" s="8"/>
      <c r="E513" s="200" t="str">
        <f>+INDEX(PWP!$A:$Z,MATCH('PWP-Print'!E512,PWP!$B:$B,0),MATCH("ID",PWP!$A$1:$Z$1,0))</f>
        <v>110047_02</v>
      </c>
      <c r="F513" s="8"/>
      <c r="G513" s="249" t="str">
        <f>+INDEX(PWP!$A:$Z,MATCH('PWP-Print'!E512,PWP!$B:$B,0),MATCH("Name",PWP!$A$1:$Z$1,0))</f>
        <v>Halloween Althemia</v>
      </c>
      <c r="H513" s="8"/>
      <c r="I513" t="e" vm="349">
        <f>_xlfn.IMAGE("https://natalie.tf/wp-content/uploads/2023/10/DLV3_Icon_Ability_"&amp;INDEX('PWP-A'!$A$2:$C$31,MATCH('PWP-Print'!J513,'PWP-A'!$B$2:$B$31,0),1)&amp;".png")</f>
        <v>#VALUE!</v>
      </c>
      <c r="J513" s="229" t="str">
        <f>+INDEX(PWP!$A:$Z,MATCH('PWP-Print'!E512,PWP!$B:$B,0),MATCH("PWP Ability 2",PWP!$A$1:$Z$1,0))</f>
        <v>Recovery Potency +20%</v>
      </c>
      <c r="K513" s="249" t="str">
        <f>+INDEX(PWP!$A:$Z,MATCH('PWP-Print'!E512,PWP!$B:$B,0),MATCH("Locked PWP Ability 2",PWP!$A$1:$Z$1,0))</f>
        <v>(Light) Recovery Potency +20%</v>
      </c>
      <c r="M513" s="729"/>
      <c r="N513" s="8"/>
      <c r="O513" s="200" t="str">
        <f>+INDEX(PWP!$A:$Z,MATCH('PWP-Print'!O512,PWP!$B:$B,0),MATCH("ID",PWP!$A$1:$Z$1,0))</f>
        <v>110046_01</v>
      </c>
      <c r="P513" s="8"/>
      <c r="Q513" s="249" t="str">
        <f>+INDEX(PWP!$A:$Z,MATCH('PWP-Print'!O512,PWP!$B:$B,0),MATCH("Name",PWP!$A$1:$Z$1,0))</f>
        <v>Rodrigo</v>
      </c>
      <c r="R513" s="8"/>
      <c r="S513" t="e" vm="693">
        <f>_xlfn.IMAGE("https://natalie.tf/wp-content/uploads/2023/10/DLV3_Icon_Ability_"&amp;INDEX('PWP-A'!$A$2:$C$31,MATCH('PWP-Print'!T513,'PWP-A'!$B$2:$B$31,0),1)&amp;".png")</f>
        <v>#VALUE!</v>
      </c>
      <c r="T513" s="229" t="str">
        <f>+INDEX(PWP!$A:$Z,MATCH('PWP-Print'!O512,PWP!$B:$B,0),MATCH("PWP Ability 2",PWP!$A$1:$Z$1,0))</f>
        <v>Combo Time +2</v>
      </c>
      <c r="U513" s="249" t="str">
        <f>+INDEX(PWP!$A:$Z,MATCH('PWP-Print'!O512,PWP!$B:$B,0),MATCH("Locked PWP Ability 2",PWP!$A$1:$Z$1,0))</f>
        <v>(Shadow) Combo Time +2</v>
      </c>
    </row>
    <row r="514" spans="1:21" ht="22.5" customHeight="1" x14ac:dyDescent="0.3">
      <c r="A514" s="244" t="str">
        <f>TEXT(A510+1,"000")</f>
        <v>236</v>
      </c>
      <c r="B514" s="244" t="str">
        <f>TEXT(B510+1,"000")</f>
        <v>249</v>
      </c>
      <c r="C514" s="729"/>
      <c r="E514" s="251" t="str">
        <f>+INDEX(PWP!$A:$Z,MATCH('PWP-Print'!E512,PWP!$B:$B,0),MATCH("Num",PWP!$A$1:$Z$1,0))</f>
        <v>A-236</v>
      </c>
      <c r="G514" s="249" t="str">
        <f>+INDEX(PWP!$A:$Z,MATCH('PWP-Print'!E512,PWP!$B:$B,0),MATCH("Element",PWP!$A$1:$Z$1,0))&amp;" "&amp;INDEX(PWP!$A:$Z,MATCH('PWP-Print'!E512,PWP!$B:$B,0),MATCH("Type",PWP!$A$1:$Z$1,0))&amp;" Adventurer"</f>
        <v>Light Staff Adventurer</v>
      </c>
      <c r="K514" s="250"/>
      <c r="M514" s="729"/>
      <c r="O514" s="251" t="str">
        <f>+INDEX(PWP!$A:$Z,MATCH('PWP-Print'!O512,PWP!$B:$B,0),MATCH("Num",PWP!$A$1:$Z$1,0))</f>
        <v>A-249</v>
      </c>
      <c r="Q514" s="249" t="str">
        <f>+INDEX(PWP!$A:$Z,MATCH('PWP-Print'!O512,PWP!$B:$B,0),MATCH("Element",PWP!$A$1:$Z$1,0))&amp;" "&amp;INDEX(PWP!$A:$Z,MATCH('PWP-Print'!O512,PWP!$B:$B,0),MATCH("Type",PWP!$A$1:$Z$1,0))&amp;" Adventurer"</f>
        <v>Shadow Sword Adventurer</v>
      </c>
      <c r="U514" s="250"/>
    </row>
    <row r="515" spans="1:21" ht="7.5" customHeight="1" x14ac:dyDescent="0.3">
      <c r="A515" s="244" t="s">
        <v>10763</v>
      </c>
      <c r="E515" s="250"/>
      <c r="G515" s="250"/>
      <c r="K515" s="250"/>
      <c r="O515" s="250"/>
      <c r="Q515" s="250"/>
      <c r="U515" s="250"/>
    </row>
    <row r="516" spans="1:21" ht="22.5" customHeight="1" x14ac:dyDescent="0.3">
      <c r="C516" s="729" t="e" vm="1281">
        <f>_xlfn.IMAGE("https://natalie.tf/wp-content/uploads/2023/10/DLV3_Icon_ADV_"&amp;E517&amp;"_r05.png")</f>
        <v>#VALUE!</v>
      </c>
      <c r="E516" s="249" t="str">
        <f>"PWP-"&amp;A518</f>
        <v>PWP-237</v>
      </c>
      <c r="G516" s="249" t="str">
        <f>+INDEX(PWP!$A:$Z,MATCH('PWP-Print'!E516,PWP!$B:$B,0),MATCH("Title",PWP!$A$1:$Z$1,0))</f>
        <v>Loving Preacher</v>
      </c>
      <c r="I516" t="e" vm="330">
        <f>_xlfn.IMAGE("https://natalie.tf/wp-content/uploads/2023/10/DLV3_Icon_Ability_"&amp;INDEX('PWP-A'!$A$2:$C$31,MATCH('PWP-Print'!J516,'PWP-A'!$B$2:$B$31,0),1)&amp;".png")</f>
        <v>#VALUE!</v>
      </c>
      <c r="J516" s="229" t="str">
        <f>+INDEX(PWP!$A:$Z,MATCH('PWP-Print'!E516,PWP!$B:$B,0),MATCH("PWP Ability 1",PWP!$A$1:$Z$1,0))</f>
        <v>Skill Haste +10%</v>
      </c>
      <c r="K516" s="249" t="str">
        <f>+INDEX(PWP!$A:$Z,MATCH('PWP-Print'!E516,PWP!$B:$B,0),MATCH("Locked PWP Ability 1",PWP!$A$1:$Z$1,0))</f>
        <v>(Light) Skill Haste +10%</v>
      </c>
      <c r="M516" s="729" t="e" vm="1282">
        <f>_xlfn.IMAGE("https://natalie.tf/wp-content/uploads/2023/10/DLV3_Icon_ADV_"&amp;O517&amp;"_r05.png")</f>
        <v>#VALUE!</v>
      </c>
      <c r="O516" s="249" t="str">
        <f>"PWP-"&amp;B518</f>
        <v>PWP-250</v>
      </c>
      <c r="Q516" s="249" t="str">
        <f>+INDEX(PWP!$A:$Z,MATCH('PWP-Print'!O516,PWP!$B:$B,0),MATCH("Title",PWP!$A$1:$Z$1,0))</f>
        <v>Auspex of Genesis</v>
      </c>
      <c r="S516" t="e" vm="1036">
        <f>_xlfn.IMAGE("https://natalie.tf/wp-content/uploads/2023/10/DLV3_Icon_Ability_"&amp;INDEX('PWP-A'!$A$2:$C$31,MATCH('PWP-Print'!T516,'PWP-A'!$B$2:$B$31,0),1)&amp;".png")</f>
        <v>#VALUE!</v>
      </c>
      <c r="T516" s="229" t="str">
        <f>+INDEX(PWP!$A:$Z,MATCH('PWP-Print'!O516,PWP!$B:$B,0),MATCH("PWP Ability 1",PWP!$A$1:$Z$1,0))</f>
        <v>15 Hits = Overdamage</v>
      </c>
      <c r="U516" s="249" t="str">
        <f>+INDEX(PWP!$A:$Z,MATCH('PWP-Print'!O516,PWP!$B:$B,0),MATCH("Locked PWP Ability 1",PWP!$A$1:$Z$1,0))</f>
        <v>(Shadow) 15 Hits = Overdamage</v>
      </c>
    </row>
    <row r="517" spans="1:21" ht="22.5" customHeight="1" x14ac:dyDescent="0.3">
      <c r="C517" s="729"/>
      <c r="D517" s="8"/>
      <c r="E517" s="200" t="str">
        <f>+INDEX(PWP!$A:$Z,MATCH('PWP-Print'!E516,PWP!$B:$B,0),MATCH("ID",PWP!$A$1:$Z$1,0))</f>
        <v>110063_01</v>
      </c>
      <c r="F517" s="8"/>
      <c r="G517" s="249" t="str">
        <f>+INDEX(PWP!$A:$Z,MATCH('PWP-Print'!E516,PWP!$B:$B,0),MATCH("Name",PWP!$A$1:$Z$1,0))</f>
        <v>Estelle</v>
      </c>
      <c r="H517" s="8"/>
      <c r="I517" t="e" vm="426">
        <f>_xlfn.IMAGE("https://natalie.tf/wp-content/uploads/2023/10/DLV3_Icon_Ability_"&amp;INDEX('PWP-A'!$A$2:$C$31,MATCH('PWP-Print'!J517,'PWP-A'!$B$2:$B$31,0),1)&amp;".png")</f>
        <v>#VALUE!</v>
      </c>
      <c r="J517" s="229" t="str">
        <f>+INDEX(PWP!$A:$Z,MATCH('PWP-Print'!E516,PWP!$B:$B,0),MATCH("PWP Ability 2",PWP!$A$1:$Z$1,0))</f>
        <v>Defense +20%</v>
      </c>
      <c r="K517" s="249" t="str">
        <f>+INDEX(PWP!$A:$Z,MATCH('PWP-Print'!E516,PWP!$B:$B,0),MATCH("Locked PWP Ability 2",PWP!$A$1:$Z$1,0))</f>
        <v>(Light) Defense +20%</v>
      </c>
      <c r="M517" s="729"/>
      <c r="N517" s="8"/>
      <c r="O517" s="200" t="str">
        <f>+INDEX(PWP!$A:$Z,MATCH('PWP-Print'!O516,PWP!$B:$B,0),MATCH("ID",PWP!$A$1:$Z$1,0))</f>
        <v>100054_01</v>
      </c>
      <c r="P517" s="8"/>
      <c r="Q517" s="249" t="str">
        <f>+INDEX(PWP!$A:$Z,MATCH('PWP-Print'!O516,PWP!$B:$B,0),MATCH("Name",PWP!$A$1:$Z$1,0))</f>
        <v>Gala Zethia</v>
      </c>
      <c r="R517" s="8"/>
      <c r="S517" t="e" vm="688">
        <f>_xlfn.IMAGE("https://natalie.tf/wp-content/uploads/2023/10/DLV3_Icon_Ability_"&amp;INDEX('PWP-A'!$A$2:$C$31,MATCH('PWP-Print'!T517,'PWP-A'!$B$2:$B$31,0),1)&amp;".png")</f>
        <v>#VALUE!</v>
      </c>
      <c r="T517" s="229" t="str">
        <f>+INDEX(PWP!$A:$Z,MATCH('PWP-Print'!O516,PWP!$B:$B,0),MATCH("PWP Ability 2",PWP!$A$1:$Z$1,0))</f>
        <v>Overdrive Punisher +15%</v>
      </c>
      <c r="U517" s="255" t="str">
        <f>+INDEX(PWP!$A:$Z,MATCH('PWP-Print'!O516,PWP!$B:$B,0),MATCH("Locked PWP Ability 2",PWP!$A$1:$Z$1,0))</f>
        <v>(Shadow) Overdrive Punisher +15%</v>
      </c>
    </row>
    <row r="518" spans="1:21" ht="22.5" customHeight="1" x14ac:dyDescent="0.3">
      <c r="A518" s="244" t="str">
        <f>TEXT(A514+1,"000")</f>
        <v>237</v>
      </c>
      <c r="B518" s="244" t="str">
        <f>TEXT(B514+1,"000")</f>
        <v>250</v>
      </c>
      <c r="C518" s="729"/>
      <c r="E518" s="251" t="str">
        <f>+INDEX(PWP!$A:$Z,MATCH('PWP-Print'!E516,PWP!$B:$B,0),MATCH("Num",PWP!$A$1:$Z$1,0))</f>
        <v>A-237</v>
      </c>
      <c r="G518" s="249" t="str">
        <f>+INDEX(PWP!$A:$Z,MATCH('PWP-Print'!E516,PWP!$B:$B,0),MATCH("Element",PWP!$A$1:$Z$1,0))&amp;" "&amp;INDEX(PWP!$A:$Z,MATCH('PWP-Print'!E516,PWP!$B:$B,0),MATCH("Type",PWP!$A$1:$Z$1,0))&amp;" Adventurer"</f>
        <v>Light Staff Adventurer</v>
      </c>
      <c r="K518" s="250"/>
      <c r="M518" s="729"/>
      <c r="O518" s="251" t="str">
        <f>+INDEX(PWP!$A:$Z,MATCH('PWP-Print'!O516,PWP!$B:$B,0),MATCH("Num",PWP!$A$1:$Z$1,0))</f>
        <v>A-250</v>
      </c>
      <c r="Q518" s="249" t="str">
        <f>+INDEX(PWP!$A:$Z,MATCH('PWP-Print'!O516,PWP!$B:$B,0),MATCH("Element",PWP!$A$1:$Z$1,0))&amp;" "&amp;INDEX(PWP!$A:$Z,MATCH('PWP-Print'!O516,PWP!$B:$B,0),MATCH("Type",PWP!$A$1:$Z$1,0))&amp;" Adventurer"</f>
        <v>Shadow Blade Adventurer</v>
      </c>
      <c r="U518" s="250"/>
    </row>
    <row r="519" spans="1:21" ht="7.5" customHeight="1" x14ac:dyDescent="0.3">
      <c r="A519" s="244" t="s">
        <v>10763</v>
      </c>
      <c r="E519" s="250"/>
      <c r="G519" s="250"/>
      <c r="K519" s="250"/>
    </row>
    <row r="520" spans="1:21" ht="22.5" customHeight="1" x14ac:dyDescent="0.3">
      <c r="C520" s="729" t="e" vm="1283">
        <f>_xlfn.IMAGE("https://natalie.tf/wp-content/uploads/2023/10/DLV3_Icon_ADV_"&amp;E521&amp;"_r05.png")</f>
        <v>#VALUE!</v>
      </c>
      <c r="E520" s="249" t="str">
        <f>"PWP-"&amp;A522</f>
        <v>PWP-238</v>
      </c>
      <c r="G520" s="249" t="str">
        <f>+INDEX(PWP!$A:$Z,MATCH('PWP-Print'!E520,PWP!$B:$B,0),MATCH("Title",PWP!$A$1:$Z$1,0))</f>
        <v>Knight at Heart</v>
      </c>
      <c r="I520" t="e" vm="330">
        <f>_xlfn.IMAGE("https://natalie.tf/wp-content/uploads/2023/10/DLV3_Icon_Ability_"&amp;INDEX('PWP-A'!$A$2:$C$31,MATCH('PWP-Print'!J520,'PWP-A'!$B$2:$B$31,0),1)&amp;".png")</f>
        <v>#VALUE!</v>
      </c>
      <c r="J520" s="229" t="str">
        <f>+INDEX(PWP!$A:$Z,MATCH('PWP-Print'!E520,PWP!$B:$B,0),MATCH("PWP Ability 1",PWP!$A$1:$Z$1,0))</f>
        <v>Skill Haste +10%</v>
      </c>
      <c r="K520" s="249" t="str">
        <f>+INDEX(PWP!$A:$Z,MATCH('PWP-Print'!E520,PWP!$B:$B,0),MATCH("Locked PWP Ability 1",PWP!$A$1:$Z$1,0))</f>
        <v>(Light) Skill Haste +10%</v>
      </c>
      <c r="M520" s="729"/>
      <c r="O520" s="221"/>
      <c r="Q520" s="221"/>
      <c r="U520" s="221"/>
    </row>
    <row r="521" spans="1:21" ht="22.5" customHeight="1" x14ac:dyDescent="0.3">
      <c r="C521" s="729"/>
      <c r="D521" s="8"/>
      <c r="E521" s="200" t="str">
        <f>+INDEX(PWP!$A:$Z,MATCH('PWP-Print'!E520,PWP!$B:$B,0),MATCH("ID",PWP!$A$1:$Z$1,0))</f>
        <v>110038_01</v>
      </c>
      <c r="F521" s="8"/>
      <c r="G521" s="249" t="str">
        <f>+INDEX(PWP!$A:$Z,MATCH('PWP-Print'!E520,PWP!$B:$B,0),MATCH("Name",PWP!$A$1:$Z$1,0))</f>
        <v>Hope</v>
      </c>
      <c r="H521" s="8"/>
      <c r="I521" t="e" vm="349">
        <f>_xlfn.IMAGE("https://natalie.tf/wp-content/uploads/2023/10/DLV3_Icon_Ability_"&amp;INDEX('PWP-A'!$A$2:$C$31,MATCH('PWP-Print'!J521,'PWP-A'!$B$2:$B$31,0),1)&amp;".png")</f>
        <v>#VALUE!</v>
      </c>
      <c r="J521" s="229" t="str">
        <f>+INDEX(PWP!$A:$Z,MATCH('PWP-Print'!E520,PWP!$B:$B,0),MATCH("PWP Ability 2",PWP!$A$1:$Z$1,0))</f>
        <v>Recovery Potency +20%</v>
      </c>
      <c r="K521" s="249" t="str">
        <f>+INDEX(PWP!$A:$Z,MATCH('PWP-Print'!E520,PWP!$B:$B,0),MATCH("Locked PWP Ability 2",PWP!$A$1:$Z$1,0))</f>
        <v>(Light) Recovery Potency +20%</v>
      </c>
      <c r="M521" s="729"/>
      <c r="N521" s="8"/>
      <c r="O521" s="221"/>
      <c r="P521" s="8"/>
      <c r="Q521" s="221"/>
      <c r="R521" s="8"/>
      <c r="S521" s="8"/>
      <c r="T521" s="8"/>
      <c r="U521" s="221"/>
    </row>
    <row r="522" spans="1:21" ht="22.5" customHeight="1" x14ac:dyDescent="0.3">
      <c r="A522" s="244" t="str">
        <f>TEXT(A518+1,"000")</f>
        <v>238</v>
      </c>
      <c r="C522" s="729"/>
      <c r="E522" s="251" t="str">
        <f>+INDEX(PWP!$A:$Z,MATCH('PWP-Print'!E520,PWP!$B:$B,0),MATCH("Num",PWP!$A$1:$Z$1,0))</f>
        <v>A-238</v>
      </c>
      <c r="G522" s="249" t="str">
        <f>+INDEX(PWP!$A:$Z,MATCH('PWP-Print'!E520,PWP!$B:$B,0),MATCH("Element",PWP!$A$1:$Z$1,0))&amp;" "&amp;INDEX(PWP!$A:$Z,MATCH('PWP-Print'!E520,PWP!$B:$B,0),MATCH("Type",PWP!$A$1:$Z$1,0))&amp;" Adventurer"</f>
        <v>Light Staff Adventurer</v>
      </c>
      <c r="K522" s="250"/>
      <c r="M522" s="729"/>
      <c r="O522" s="221"/>
      <c r="Q522" s="221"/>
      <c r="U522" s="222"/>
    </row>
    <row r="523" spans="1:21" ht="37.5" customHeight="1" x14ac:dyDescent="0.2"/>
    <row r="524" spans="1:21" ht="22.5" customHeight="1" x14ac:dyDescent="0.3">
      <c r="C524" s="729" t="e" vm="1284">
        <f>_xlfn.IMAGE("https://natalie.tf/wp-content/uploads/2023/10/DLV3_Icon_ADV_"&amp;E525&amp;"_r05.png")</f>
        <v>#VALUE!</v>
      </c>
      <c r="E524" s="249" t="str">
        <f>"PWP-"&amp;A526</f>
        <v>PWP-251</v>
      </c>
      <c r="G524" s="249" t="str">
        <f>+INDEX(PWP!$A:$Z,MATCH('PWP-Print'!E524,PWP!$B:$B,0),MATCH("Title",PWP!$A$1:$Z$1,0))</f>
        <v>Taciturn Warrior</v>
      </c>
      <c r="I524" t="e" vm="14">
        <f>_xlfn.IMAGE("https://natalie.tf/wp-content/uploads/2023/10/DLV3_Icon_Ability_"&amp;INDEX('PWP-A'!$A$2:$C$31,MATCH('PWP-Print'!J524,'PWP-A'!$B$2:$B$31,0),1)&amp;".png")</f>
        <v>#VALUE!</v>
      </c>
      <c r="J524" s="229" t="str">
        <f>+INDEX(PWP!$A:$Z,MATCH('PWP-Print'!E524,PWP!$B:$B,0),MATCH("PWP Ability 1",PWP!$A$1:$Z$1,0))</f>
        <v>Strength +20%</v>
      </c>
      <c r="K524" s="249" t="str">
        <f>+INDEX(PWP!$A:$Z,MATCH('PWP-Print'!E524,PWP!$B:$B,0),MATCH("Locked PWP Ability 1",PWP!$A$1:$Z$1,0))</f>
        <v>(Shadow) Strength +20%</v>
      </c>
      <c r="M524" s="729" t="e" vm="1285">
        <f>_xlfn.IMAGE("https://natalie.tf/wp-content/uploads/2023/10/DLV3_Icon_ADV_"&amp;O525&amp;"_r05.png")</f>
        <v>#VALUE!</v>
      </c>
      <c r="O524" s="249" t="str">
        <f>"PWP-"&amp;B526</f>
        <v>PWP-264</v>
      </c>
      <c r="Q524" s="249" t="str">
        <f>+INDEX(PWP!$A:$Z,MATCH('PWP-Print'!O524,PWP!$B:$B,0),MATCH("Title",PWP!$A$1:$Z$1,0))</f>
        <v>Knife Fanatic</v>
      </c>
      <c r="S524" t="e" vm="496">
        <f>_xlfn.IMAGE("https://natalie.tf/wp-content/uploads/2023/10/DLV3_Icon_Ability_"&amp;INDEX('PWP-A'!$A$2:$C$31,MATCH('PWP-Print'!T524,'PWP-A'!$B$2:$B$31,0),1)&amp;".png")</f>
        <v>#VALUE!</v>
      </c>
      <c r="T524" s="229" t="str">
        <f>+INDEX(PWP!$A:$Z,MATCH('PWP-Print'!O524,PWP!$B:$B,0),MATCH("PWP Ability 1",PWP!$A$1:$Z$1,0))</f>
        <v>HP +15%</v>
      </c>
      <c r="U524" s="249" t="str">
        <f>+INDEX(PWP!$A:$Z,MATCH('PWP-Print'!O524,PWP!$B:$B,0),MATCH("Locked PWP Ability 1",PWP!$A$1:$Z$1,0))</f>
        <v>(Shadow) HP +15%</v>
      </c>
    </row>
    <row r="525" spans="1:21" ht="22.5" customHeight="1" x14ac:dyDescent="0.3">
      <c r="C525" s="729"/>
      <c r="D525" s="8"/>
      <c r="E525" s="200" t="str">
        <f>+INDEX(PWP!$A:$Z,MATCH('PWP-Print'!E524,PWP!$B:$B,0),MATCH("ID",PWP!$A$1:$Z$1,0))</f>
        <v>110271_01</v>
      </c>
      <c r="F525" s="8"/>
      <c r="G525" s="249" t="str">
        <f>+INDEX(PWP!$A:$Z,MATCH('PWP-Print'!E524,PWP!$B:$B,0),MATCH("Name",PWP!$A$1:$Z$1,0))</f>
        <v>Linnea</v>
      </c>
      <c r="H525" s="8"/>
      <c r="I525" t="e" vm="7">
        <f>_xlfn.IMAGE("https://natalie.tf/wp-content/uploads/2023/10/DLV3_Icon_Ability_"&amp;INDEX('PWP-A'!$A$2:$C$31,MATCH('PWP-Print'!J525,'PWP-A'!$B$2:$B$31,0),1)&amp;".png")</f>
        <v>#VALUE!</v>
      </c>
      <c r="J525" s="229" t="str">
        <f>+INDEX(PWP!$A:$Z,MATCH('PWP-Print'!E524,PWP!$B:$B,0),MATCH("PWP Ability 2",PWP!$A$1:$Z$1,0))</f>
        <v>Force Strike +50%</v>
      </c>
      <c r="K525" s="249" t="str">
        <f>+INDEX(PWP!$A:$Z,MATCH('PWP-Print'!E524,PWP!$B:$B,0),MATCH("Locked PWP Ability 2",PWP!$A$1:$Z$1,0))</f>
        <v>(Shadow) Force Strike +50%</v>
      </c>
      <c r="M525" s="729"/>
      <c r="N525" s="8"/>
      <c r="O525" s="200" t="str">
        <f>+INDEX(PWP!$A:$Z,MATCH('PWP-Print'!O524,PWP!$B:$B,0),MATCH("ID",PWP!$A$1:$Z$1,0))</f>
        <v>110067_01</v>
      </c>
      <c r="P525" s="8"/>
      <c r="Q525" s="249" t="str">
        <f>+INDEX(PWP!$A:$Z,MATCH('PWP-Print'!O524,PWP!$B:$B,0),MATCH("Name",PWP!$A$1:$Z$1,0))</f>
        <v>Vida</v>
      </c>
      <c r="R525" s="8"/>
      <c r="S525" t="e" vm="802">
        <f>_xlfn.IMAGE("https://natalie.tf/wp-content/uploads/2023/10/DLV3_Icon_Ability_"&amp;INDEX('PWP-A'!$A$2:$C$31,MATCH('PWP-Print'!T525,'PWP-A'!$B$2:$B$31,0),1)&amp;".png")</f>
        <v>#VALUE!</v>
      </c>
      <c r="T525" s="229" t="str">
        <f>+INDEX(PWP!$A:$Z,MATCH('PWP-Print'!O524,PWP!$B:$B,0),MATCH("PWP Ability 2",PWP!$A$1:$Z$1,0))</f>
        <v>HP 70% = Shield +40%</v>
      </c>
      <c r="U525" s="249" t="str">
        <f>+INDEX(PWP!$A:$Z,MATCH('PWP-Print'!O524,PWP!$B:$B,0),MATCH("Locked PWP Ability 2",PWP!$A$1:$Z$1,0))</f>
        <v>(Shadow) HP 70% = Shield +40%</v>
      </c>
    </row>
    <row r="526" spans="1:21" ht="22.5" customHeight="1" x14ac:dyDescent="0.3">
      <c r="A526" s="242" t="str">
        <f>TEXT(B518+1,"000")</f>
        <v>251</v>
      </c>
      <c r="B526" s="244" t="str">
        <f>TEXT(A574+1,"000")</f>
        <v>264</v>
      </c>
      <c r="C526" s="729"/>
      <c r="E526" s="251" t="str">
        <f>+INDEX(PWP!$A:$Z,MATCH('PWP-Print'!E524,PWP!$B:$B,0),MATCH("Num",PWP!$A$1:$Z$1,0))</f>
        <v>A-251</v>
      </c>
      <c r="G526" s="249" t="str">
        <f>+INDEX(PWP!$A:$Z,MATCH('PWP-Print'!E524,PWP!$B:$B,0),MATCH("Element",PWP!$A$1:$Z$1,0))&amp;" "&amp;INDEX(PWP!$A:$Z,MATCH('PWP-Print'!E524,PWP!$B:$B,0),MATCH("Type",PWP!$A$1:$Z$1,0))&amp;" Adventurer"</f>
        <v>Shadow Blade Adventurer</v>
      </c>
      <c r="K526" s="250"/>
      <c r="M526" s="729"/>
      <c r="O526" s="251" t="str">
        <f>+INDEX(PWP!$A:$Z,MATCH('PWP-Print'!O524,PWP!$B:$B,0),MATCH("Num",PWP!$A$1:$Z$1,0))</f>
        <v>A-264</v>
      </c>
      <c r="Q526" s="249" t="str">
        <f>+INDEX(PWP!$A:$Z,MATCH('PWP-Print'!O524,PWP!$B:$B,0),MATCH("Element",PWP!$A$1:$Z$1,0))&amp;" "&amp;INDEX(PWP!$A:$Z,MATCH('PWP-Print'!O524,PWP!$B:$B,0),MATCH("Type",PWP!$A$1:$Z$1,0))&amp;" Adventurer"</f>
        <v>Shadow Dagger Adventurer</v>
      </c>
      <c r="U526" s="250"/>
    </row>
    <row r="527" spans="1:21" ht="7.5" customHeight="1" x14ac:dyDescent="0.3">
      <c r="A527" s="244" t="s">
        <v>10763</v>
      </c>
      <c r="E527" s="250"/>
      <c r="G527" s="250"/>
      <c r="K527" s="250"/>
      <c r="O527" s="250"/>
      <c r="Q527" s="250"/>
      <c r="U527" s="250"/>
    </row>
    <row r="528" spans="1:21" ht="22.5" customHeight="1" x14ac:dyDescent="0.3">
      <c r="C528" s="729" t="e" vm="1286">
        <f>_xlfn.IMAGE("https://natalie.tf/wp-content/uploads/2023/10/DLV3_Icon_ADV_"&amp;E529&amp;"_r05.png")</f>
        <v>#VALUE!</v>
      </c>
      <c r="E528" s="249" t="str">
        <f>"PWP-"&amp;A530</f>
        <v>PWP-252</v>
      </c>
      <c r="G528" s="249" t="str">
        <f>+INDEX(PWP!$A:$Z,MATCH('PWP-Print'!E528,PWP!$B:$B,0),MATCH("Title",PWP!$A$1:$Z$1,0))</f>
        <v>Devoted Festival Protégé</v>
      </c>
      <c r="I528" t="e" vm="14">
        <f>_xlfn.IMAGE("https://natalie.tf/wp-content/uploads/2023/10/DLV3_Icon_Ability_"&amp;INDEX('PWP-A'!$A$2:$C$31,MATCH('PWP-Print'!J528,'PWP-A'!$B$2:$B$31,0),1)&amp;".png")</f>
        <v>#VALUE!</v>
      </c>
      <c r="J528" s="229" t="str">
        <f>+INDEX(PWP!$A:$Z,MATCH('PWP-Print'!E528,PWP!$B:$B,0),MATCH("PWP Ability 1",PWP!$A$1:$Z$1,0))</f>
        <v>Strength +20%</v>
      </c>
      <c r="K528" s="249" t="str">
        <f>+INDEX(PWP!$A:$Z,MATCH('PWP-Print'!E528,PWP!$B:$B,0),MATCH("Locked PWP Ability 1",PWP!$A$1:$Z$1,0))</f>
        <v>(Shadow) Strength +20%</v>
      </c>
      <c r="M528" s="729" t="e" vm="1287">
        <f>_xlfn.IMAGE("https://natalie.tf/wp-content/uploads/2023/10/DLV3_Icon_ADV_"&amp;O529&amp;"_r05.png")</f>
        <v>#VALUE!</v>
      </c>
      <c r="O528" s="249" t="str">
        <f>"PWP-"&amp;B530</f>
        <v>PWP-265</v>
      </c>
      <c r="Q528" s="249" t="str">
        <f>+INDEX(PWP!$A:$Z,MATCH('PWP-Print'!O528,PWP!$B:$B,0),MATCH("Title",PWP!$A$1:$Z$1,0))</f>
        <v>Eager Assassin</v>
      </c>
      <c r="S528" t="e" vm="14">
        <f>_xlfn.IMAGE("https://natalie.tf/wp-content/uploads/2023/10/DLV3_Icon_Ability_"&amp;INDEX('PWP-A'!$A$2:$C$31,MATCH('PWP-Print'!T528,'PWP-A'!$B$2:$B$31,0),1)&amp;".png")</f>
        <v>#VALUE!</v>
      </c>
      <c r="T528" s="229" t="str">
        <f>+INDEX(PWP!$A:$Z,MATCH('PWP-Print'!O528,PWP!$B:$B,0),MATCH("PWP Ability 1",PWP!$A$1:$Z$1,0))</f>
        <v>Skill Damage +40%</v>
      </c>
      <c r="U528" s="249" t="str">
        <f>+INDEX(PWP!$A:$Z,MATCH('PWP-Print'!O528,PWP!$B:$B,0),MATCH("Locked PWP Ability 1",PWP!$A$1:$Z$1,0))</f>
        <v>(Shadow) Skill Damage +40%</v>
      </c>
    </row>
    <row r="529" spans="1:21" ht="22.5" customHeight="1" x14ac:dyDescent="0.3">
      <c r="C529" s="729"/>
      <c r="D529" s="8"/>
      <c r="E529" s="200" t="str">
        <f>+INDEX(PWP!$A:$Z,MATCH('PWP-Print'!E528,PWP!$B:$B,0),MATCH("ID",PWP!$A$1:$Z$1,0))</f>
        <v>110326_01</v>
      </c>
      <c r="F529" s="8"/>
      <c r="G529" s="249" t="str">
        <f>+INDEX(PWP!$A:$Z,MATCH('PWP-Print'!E528,PWP!$B:$B,0),MATCH("Name",PWP!$A$1:$Z$1,0))</f>
        <v>Natalie</v>
      </c>
      <c r="H529" s="8"/>
      <c r="I529" t="e" vm="376">
        <f>_xlfn.IMAGE("https://natalie.tf/wp-content/uploads/2023/10/DLV3_Icon_Ability_"&amp;INDEX('PWP-A'!$A$2:$C$31,MATCH('PWP-Print'!J529,'PWP-A'!$B$2:$B$31,0),1)&amp;".png")</f>
        <v>#VALUE!</v>
      </c>
      <c r="J529" s="229" t="str">
        <f>+INDEX(PWP!$A:$Z,MATCH('PWP-Print'!E528,PWP!$B:$B,0),MATCH("PWP Ability 2",PWP!$A$1:$Z$1,0))</f>
        <v>Broken Punisher +30%</v>
      </c>
      <c r="K529" s="249" t="str">
        <f>+INDEX(PWP!$A:$Z,MATCH('PWP-Print'!E528,PWP!$B:$B,0),MATCH("Locked PWP Ability 2",PWP!$A$1:$Z$1,0))</f>
        <v>(Shadow) Broken Punisher +30%</v>
      </c>
      <c r="M529" s="729"/>
      <c r="N529" s="8"/>
      <c r="O529" s="200" t="str">
        <f>+INDEX(PWP!$A:$Z,MATCH('PWP-Print'!O528,PWP!$B:$B,0),MATCH("ID",PWP!$A$1:$Z$1,0))</f>
        <v>110048_01</v>
      </c>
      <c r="P529" s="8"/>
      <c r="Q529" s="249" t="str">
        <f>+INDEX(PWP!$A:$Z,MATCH('PWP-Print'!O528,PWP!$B:$B,0),MATCH("Name",PWP!$A$1:$Z$1,0))</f>
        <v>Vice</v>
      </c>
      <c r="R529" s="8"/>
      <c r="S529" t="e" vm="696">
        <f>_xlfn.IMAGE("https://natalie.tf/wp-content/uploads/2023/10/DLV3_Icon_Ability_"&amp;INDEX('PWP-A'!$A$2:$C$31,MATCH('PWP-Print'!T529,'PWP-A'!$B$2:$B$31,0),1)&amp;".png")</f>
        <v>#VALUE!</v>
      </c>
      <c r="T529" s="229" t="str">
        <f>+INDEX(PWP!$A:$Z,MATCH('PWP-Print'!O528,PWP!$B:$B,0),MATCH("PWP Ability 2",PWP!$A$1:$Z$1,0))</f>
        <v>Elemental Res +15%</v>
      </c>
      <c r="U529" s="249" t="str">
        <f>+INDEX(PWP!$A:$Z,MATCH('PWP-Print'!O528,PWP!$B:$B,0),MATCH("Locked PWP Ability 2",PWP!$A$1:$Z$1,0))</f>
        <v>(Shadow) Elemental Res +15%</v>
      </c>
    </row>
    <row r="530" spans="1:21" ht="22.5" customHeight="1" x14ac:dyDescent="0.3">
      <c r="A530" s="244" t="str">
        <f>TEXT(A526+1,"000")</f>
        <v>252</v>
      </c>
      <c r="B530" s="244" t="str">
        <f>TEXT(B526+1,"000")</f>
        <v>265</v>
      </c>
      <c r="C530" s="729"/>
      <c r="E530" s="251" t="str">
        <f>+INDEX(PWP!$A:$Z,MATCH('PWP-Print'!E528,PWP!$B:$B,0),MATCH("Num",PWP!$A$1:$Z$1,0))</f>
        <v>A-252</v>
      </c>
      <c r="G530" s="249" t="str">
        <f>+INDEX(PWP!$A:$Z,MATCH('PWP-Print'!E528,PWP!$B:$B,0),MATCH("Element",PWP!$A$1:$Z$1,0))&amp;" "&amp;INDEX(PWP!$A:$Z,MATCH('PWP-Print'!E528,PWP!$B:$B,0),MATCH("Type",PWP!$A$1:$Z$1,0))&amp;" Adventurer"</f>
        <v>Shadow Blade Adventurer</v>
      </c>
      <c r="K530" s="250"/>
      <c r="M530" s="729"/>
      <c r="O530" s="251" t="str">
        <f>+INDEX(PWP!$A:$Z,MATCH('PWP-Print'!O528,PWP!$B:$B,0),MATCH("Num",PWP!$A$1:$Z$1,0))</f>
        <v>A-265</v>
      </c>
      <c r="Q530" s="249" t="str">
        <f>+INDEX(PWP!$A:$Z,MATCH('PWP-Print'!O528,PWP!$B:$B,0),MATCH("Element",PWP!$A$1:$Z$1,0))&amp;" "&amp;INDEX(PWP!$A:$Z,MATCH('PWP-Print'!O528,PWP!$B:$B,0),MATCH("Type",PWP!$A$1:$Z$1,0))&amp;" Adventurer"</f>
        <v>Shadow Dagger Adventurer</v>
      </c>
      <c r="U530" s="250"/>
    </row>
    <row r="531" spans="1:21" ht="7.5" customHeight="1" x14ac:dyDescent="0.3">
      <c r="A531" s="244" t="s">
        <v>10763</v>
      </c>
      <c r="E531" s="250"/>
      <c r="G531" s="250"/>
      <c r="K531" s="250"/>
      <c r="O531" s="250"/>
      <c r="Q531" s="250"/>
      <c r="U531" s="250"/>
    </row>
    <row r="532" spans="1:21" ht="22.5" customHeight="1" x14ac:dyDescent="0.3">
      <c r="C532" s="729" t="e" vm="1288">
        <f>_xlfn.IMAGE("https://natalie.tf/wp-content/uploads/2023/10/DLV3_Icon_ADV_"&amp;E533&amp;"_r05.png")</f>
        <v>#VALUE!</v>
      </c>
      <c r="E532" s="249" t="str">
        <f>"PWP-"&amp;A534</f>
        <v>PWP-253</v>
      </c>
      <c r="G532" s="249" t="str">
        <f>+INDEX(PWP!$A:$Z,MATCH('PWP-Print'!E532,PWP!$B:$B,0),MATCH("Title",PWP!$A$1:$Z$1,0))</f>
        <v>Leader of the Boar Clan</v>
      </c>
      <c r="I532" t="e" vm="1036">
        <f>_xlfn.IMAGE("https://natalie.tf/wp-content/uploads/2023/10/DLV3_Icon_Ability_"&amp;INDEX('PWP-A'!$A$2:$C$31,MATCH('PWP-Print'!J532,'PWP-A'!$B$2:$B$31,0),1)&amp;".png")</f>
        <v>#VALUE!</v>
      </c>
      <c r="J532" s="229" t="str">
        <f>+INDEX(PWP!$A:$Z,MATCH('PWP-Print'!E532,PWP!$B:$B,0),MATCH("PWP Ability 1",PWP!$A$1:$Z$1,0))</f>
        <v>15 Hits = Overdamage</v>
      </c>
      <c r="K532" s="249" t="str">
        <f>+INDEX(PWP!$A:$Z,MATCH('PWP-Print'!E532,PWP!$B:$B,0),MATCH("Locked PWP Ability 1",PWP!$A$1:$Z$1,0))</f>
        <v>(Shadow) 15 Hits = Overdamage</v>
      </c>
      <c r="M532" s="729" t="e" vm="1289">
        <f>_xlfn.IMAGE("https://natalie.tf/wp-content/uploads/2023/10/DLV3_Icon_ADV_"&amp;O533&amp;"_r05.png")</f>
        <v>#VALUE!</v>
      </c>
      <c r="O532" s="249" t="str">
        <f>"PWP-"&amp;B534</f>
        <v>PWP-266</v>
      </c>
      <c r="Q532" s="249" t="str">
        <f>+INDEX(PWP!$A:$Z,MATCH('PWP-Print'!O532,PWP!$B:$B,0),MATCH("Title",PWP!$A$1:$Z$1,0))</f>
        <v>Festive Commander</v>
      </c>
      <c r="S532" t="e" vm="326">
        <f>_xlfn.IMAGE("https://natalie.tf/wp-content/uploads/2023/10/DLV3_Icon_Ability_"&amp;INDEX('PWP-A'!$A$2:$C$31,MATCH('PWP-Print'!T532,'PWP-A'!$B$2:$B$31,0),1)&amp;".png")</f>
        <v>#VALUE!</v>
      </c>
      <c r="T532" s="229" t="str">
        <f>+INDEX(PWP!$A:$Z,MATCH('PWP-Print'!O532,PWP!$B:$B,0),MATCH("PWP Ability 1",PWP!$A$1:$Z$1,0))</f>
        <v>Critical Rate +15%</v>
      </c>
      <c r="U532" s="249" t="str">
        <f>+INDEX(PWP!$A:$Z,MATCH('PWP-Print'!O532,PWP!$B:$B,0),MATCH("Locked PWP Ability 1",PWP!$A$1:$Z$1,0))</f>
        <v>(Shadow) Critical Rate +15%</v>
      </c>
    </row>
    <row r="533" spans="1:21" ht="22.5" customHeight="1" x14ac:dyDescent="0.3">
      <c r="C533" s="729"/>
      <c r="D533" s="8"/>
      <c r="E533" s="200" t="str">
        <f>+INDEX(PWP!$A:$Z,MATCH('PWP-Print'!E532,PWP!$B:$B,0),MATCH("ID",PWP!$A$1:$Z$1,0))</f>
        <v>110313_01</v>
      </c>
      <c r="F533" s="8"/>
      <c r="G533" s="249" t="str">
        <f>+INDEX(PWP!$A:$Z,MATCH('PWP-Print'!E532,PWP!$B:$B,0),MATCH("Name",PWP!$A$1:$Z$1,0))</f>
        <v>Ieyasu</v>
      </c>
      <c r="H533" s="8"/>
      <c r="I533" t="e" vm="414">
        <f>_xlfn.IMAGE("https://natalie.tf/wp-content/uploads/2023/10/DLV3_Icon_Ability_"&amp;INDEX('PWP-A'!$A$2:$C$31,MATCH('PWP-Print'!J533,'PWP-A'!$B$2:$B$31,0),1)&amp;".png")</f>
        <v>#VALUE!</v>
      </c>
      <c r="J533" s="229" t="str">
        <f>+INDEX(PWP!$A:$Z,MATCH('PWP-Print'!E532,PWP!$B:$B,0),MATCH("PWP Ability 2",PWP!$A$1:$Z$1,0))</f>
        <v>Critical Damage +25%</v>
      </c>
      <c r="K533" s="249" t="str">
        <f>+INDEX(PWP!$A:$Z,MATCH('PWP-Print'!E532,PWP!$B:$B,0),MATCH("Locked PWP Ability 2",PWP!$A$1:$Z$1,0))</f>
        <v>(Shadow) Critical Damage +25%</v>
      </c>
      <c r="M533" s="729"/>
      <c r="N533" s="8"/>
      <c r="O533" s="200" t="str">
        <f>+INDEX(PWP!$A:$Z,MATCH('PWP-Print'!O532,PWP!$B:$B,0),MATCH("ID",PWP!$A$1:$Z$1,0))</f>
        <v>110307_02</v>
      </c>
      <c r="P533" s="8"/>
      <c r="Q533" s="249" t="str">
        <f>+INDEX(PWP!$A:$Z,MATCH('PWP-Print'!O532,PWP!$B:$B,0),MATCH("Name",PWP!$A$1:$Z$1,0))</f>
        <v>Dragonyule Victor</v>
      </c>
      <c r="R533" s="8"/>
      <c r="S533" t="e" vm="414">
        <f>_xlfn.IMAGE("https://natalie.tf/wp-content/uploads/2023/10/DLV3_Icon_Ability_"&amp;INDEX('PWP-A'!$A$2:$C$31,MATCH('PWP-Print'!T533,'PWP-A'!$B$2:$B$31,0),1)&amp;".png")</f>
        <v>#VALUE!</v>
      </c>
      <c r="T533" s="229" t="str">
        <f>+INDEX(PWP!$A:$Z,MATCH('PWP-Print'!O532,PWP!$B:$B,0),MATCH("PWP Ability 2",PWP!$A$1:$Z$1,0))</f>
        <v>Critical Damage +25%</v>
      </c>
      <c r="U533" s="249" t="str">
        <f>+INDEX(PWP!$A:$Z,MATCH('PWP-Print'!O532,PWP!$B:$B,0),MATCH("Locked PWP Ability 2",PWP!$A$1:$Z$1,0))</f>
        <v>(Shadow) Critical Damage +25%</v>
      </c>
    </row>
    <row r="534" spans="1:21" ht="22.5" customHeight="1" x14ac:dyDescent="0.3">
      <c r="A534" s="244" t="str">
        <f>TEXT(A530+1,"000")</f>
        <v>253</v>
      </c>
      <c r="B534" s="244" t="str">
        <f>TEXT(B530+1,"000")</f>
        <v>266</v>
      </c>
      <c r="C534" s="729"/>
      <c r="E534" s="251" t="str">
        <f>+INDEX(PWP!$A:$Z,MATCH('PWP-Print'!E532,PWP!$B:$B,0),MATCH("Num",PWP!$A$1:$Z$1,0))</f>
        <v>A-253</v>
      </c>
      <c r="G534" s="249" t="str">
        <f>+INDEX(PWP!$A:$Z,MATCH('PWP-Print'!E532,PWP!$B:$B,0),MATCH("Element",PWP!$A$1:$Z$1,0))&amp;" "&amp;INDEX(PWP!$A:$Z,MATCH('PWP-Print'!E532,PWP!$B:$B,0),MATCH("Type",PWP!$A$1:$Z$1,0))&amp;" Adventurer"</f>
        <v>Shadow Blade Adventurer</v>
      </c>
      <c r="K534" s="250"/>
      <c r="M534" s="729"/>
      <c r="O534" s="251" t="str">
        <f>+INDEX(PWP!$A:$Z,MATCH('PWP-Print'!O532,PWP!$B:$B,0),MATCH("Num",PWP!$A$1:$Z$1,0))</f>
        <v>A-266</v>
      </c>
      <c r="Q534" s="249" t="str">
        <f>+INDEX(PWP!$A:$Z,MATCH('PWP-Print'!O532,PWP!$B:$B,0),MATCH("Element",PWP!$A$1:$Z$1,0))&amp;" "&amp;INDEX(PWP!$A:$Z,MATCH('PWP-Print'!O532,PWP!$B:$B,0),MATCH("Type",PWP!$A$1:$Z$1,0))&amp;" Adventurer"</f>
        <v>Shadow Axe Adventurer</v>
      </c>
      <c r="U534" s="250"/>
    </row>
    <row r="535" spans="1:21" ht="7.5" customHeight="1" x14ac:dyDescent="0.3">
      <c r="A535" s="244" t="s">
        <v>10763</v>
      </c>
      <c r="E535" s="250"/>
      <c r="G535" s="250"/>
      <c r="K535" s="250"/>
      <c r="O535" s="250"/>
      <c r="Q535" s="250"/>
      <c r="U535" s="250"/>
    </row>
    <row r="536" spans="1:21" ht="22.5" customHeight="1" x14ac:dyDescent="0.3">
      <c r="C536" s="729" t="e" vm="1290">
        <f>_xlfn.IMAGE("https://natalie.tf/wp-content/uploads/2023/10/DLV3_Icon_ADV_"&amp;E537&amp;"_r05.png")</f>
        <v>#VALUE!</v>
      </c>
      <c r="E536" s="249" t="str">
        <f>"PWP-"&amp;A538</f>
        <v>PWP-254</v>
      </c>
      <c r="G536" s="249" t="str">
        <f>+INDEX(PWP!$A:$Z,MATCH('PWP-Print'!E536,PWP!$B:$B,0),MATCH("Title",PWP!$A$1:$Z$1,0))</f>
        <v>Wyrmbound Warrior</v>
      </c>
      <c r="I536" t="e" vm="688">
        <f>_xlfn.IMAGE("https://natalie.tf/wp-content/uploads/2023/10/DLV3_Icon_Ability_"&amp;INDEX('PWP-A'!$A$2:$C$31,MATCH('PWP-Print'!J536,'PWP-A'!$B$2:$B$31,0),1)&amp;".png")</f>
        <v>#VALUE!</v>
      </c>
      <c r="J536" s="229" t="str">
        <f>+INDEX(PWP!$A:$Z,MATCH('PWP-Print'!E536,PWP!$B:$B,0),MATCH("PWP Ability 1",PWP!$A$1:$Z$1,0))</f>
        <v>Overdrive Punisher +15%</v>
      </c>
      <c r="K536" s="255" t="str">
        <f>+INDEX(PWP!$A:$Z,MATCH('PWP-Print'!E536,PWP!$B:$B,0),MATCH("Locked PWP Ability 1",PWP!$A$1:$Z$1,0))</f>
        <v>(Shadow) Overdrive Punisher +15%</v>
      </c>
      <c r="M536" s="729" t="e" vm="1291">
        <f>_xlfn.IMAGE("https://natalie.tf/wp-content/uploads/2023/10/DLV3_Icon_ADV_"&amp;O537&amp;"_r05.png")</f>
        <v>#VALUE!</v>
      </c>
      <c r="O536" s="249" t="str">
        <f>"PWP-"&amp;B538</f>
        <v>PWP-267</v>
      </c>
      <c r="Q536" s="249" t="str">
        <f>+INDEX(PWP!$A:$Z,MATCH('PWP-Print'!O536,PWP!$B:$B,0),MATCH("Title",PWP!$A$1:$Z$1,0))</f>
        <v>Seaside Sparrow</v>
      </c>
      <c r="S536" t="e" vm="414">
        <f>_xlfn.IMAGE("https://natalie.tf/wp-content/uploads/2023/10/DLV3_Icon_Ability_"&amp;INDEX('PWP-A'!$A$2:$C$31,MATCH('PWP-Print'!T536,'PWP-A'!$B$2:$B$31,0),1)&amp;".png")</f>
        <v>#VALUE!</v>
      </c>
      <c r="T536" s="229" t="str">
        <f>+INDEX(PWP!$A:$Z,MATCH('PWP-Print'!O536,PWP!$B:$B,0),MATCH("PWP Ability 1",PWP!$A$1:$Z$1,0))</f>
        <v>Critical Damage +25%</v>
      </c>
      <c r="U536" s="249" t="str">
        <f>+INDEX(PWP!$A:$Z,MATCH('PWP-Print'!O536,PWP!$B:$B,0),MATCH("Locked PWP Ability 1",PWP!$A$1:$Z$1,0))</f>
        <v>(Shadow) Critical Damage +25%</v>
      </c>
    </row>
    <row r="537" spans="1:21" ht="22.5" customHeight="1" x14ac:dyDescent="0.3">
      <c r="C537" s="729"/>
      <c r="D537" s="8"/>
      <c r="E537" s="200" t="str">
        <f>+INDEX(PWP!$A:$Z,MATCH('PWP-Print'!E536,PWP!$B:$B,0),MATCH("ID",PWP!$A$1:$Z$1,0))</f>
        <v>110262_01</v>
      </c>
      <c r="F537" s="8"/>
      <c r="G537" s="249" t="str">
        <f>+INDEX(PWP!$A:$Z,MATCH('PWP-Print'!E536,PWP!$B:$B,0),MATCH("Name",PWP!$A$1:$Z$1,0))</f>
        <v>Aldred</v>
      </c>
      <c r="H537" s="8"/>
      <c r="I537" t="e" vm="1045">
        <f>_xlfn.IMAGE("https://natalie.tf/wp-content/uploads/2023/10/DLV3_Icon_Ability_"&amp;INDEX('PWP-A'!$A$2:$C$31,MATCH('PWP-Print'!J537,'PWP-A'!$B$2:$B$31,0),1)&amp;".png")</f>
        <v>#VALUE!</v>
      </c>
      <c r="J537" s="229" t="str">
        <f>+INDEX(PWP!$A:$Z,MATCH('PWP-Print'!E536,PWP!$B:$B,0),MATCH("PWP Ability 2",PWP!$A$1:$Z$1,0))</f>
        <v>Attack Rate +20%</v>
      </c>
      <c r="K537" s="249" t="str">
        <f>+INDEX(PWP!$A:$Z,MATCH('PWP-Print'!E536,PWP!$B:$B,0),MATCH("Locked PWP Ability 2",PWP!$A$1:$Z$1,0))</f>
        <v>(Shadow) Attack Rate +20%</v>
      </c>
      <c r="M537" s="729"/>
      <c r="N537" s="8"/>
      <c r="O537" s="200" t="str">
        <f>+INDEX(PWP!$A:$Z,MATCH('PWP-Print'!O536,PWP!$B:$B,0),MATCH("ID",PWP!$A$1:$Z$1,0))</f>
        <v>110335_02</v>
      </c>
      <c r="P537" s="8"/>
      <c r="Q537" s="249" t="str">
        <f>+INDEX(PWP!$A:$Z,MATCH('PWP-Print'!O536,PWP!$B:$B,0),MATCH("Name",PWP!$A$1:$Z$1,0))</f>
        <v>Summer Patia</v>
      </c>
      <c r="R537" s="8"/>
      <c r="S537" t="e" vm="696">
        <f>_xlfn.IMAGE("https://natalie.tf/wp-content/uploads/2023/10/DLV3_Icon_Ability_"&amp;INDEX('PWP-A'!$A$2:$C$31,MATCH('PWP-Print'!T537,'PWP-A'!$B$2:$B$31,0),1)&amp;".png")</f>
        <v>#VALUE!</v>
      </c>
      <c r="T537" s="229" t="str">
        <f>+INDEX(PWP!$A:$Z,MATCH('PWP-Print'!O536,PWP!$B:$B,0),MATCH("PWP Ability 2",PWP!$A$1:$Z$1,0))</f>
        <v>Elemental Res +15%</v>
      </c>
      <c r="U537" s="249" t="str">
        <f>+INDEX(PWP!$A:$Z,MATCH('PWP-Print'!O536,PWP!$B:$B,0),MATCH("Locked PWP Ability 2",PWP!$A$1:$Z$1,0))</f>
        <v>(Shadow) Elemental Res +15%</v>
      </c>
    </row>
    <row r="538" spans="1:21" ht="22.5" customHeight="1" x14ac:dyDescent="0.3">
      <c r="A538" s="244" t="str">
        <f>TEXT(A534+1,"000")</f>
        <v>254</v>
      </c>
      <c r="B538" s="244" t="str">
        <f>TEXT(B534+1,"000")</f>
        <v>267</v>
      </c>
      <c r="C538" s="729"/>
      <c r="E538" s="251" t="str">
        <f>+INDEX(PWP!$A:$Z,MATCH('PWP-Print'!E536,PWP!$B:$B,0),MATCH("Num",PWP!$A$1:$Z$1,0))</f>
        <v>A-254</v>
      </c>
      <c r="G538" s="249" t="str">
        <f>+INDEX(PWP!$A:$Z,MATCH('PWP-Print'!E536,PWP!$B:$B,0),MATCH("Element",PWP!$A$1:$Z$1,0))&amp;" "&amp;INDEX(PWP!$A:$Z,MATCH('PWP-Print'!E536,PWP!$B:$B,0),MATCH("Type",PWP!$A$1:$Z$1,0))&amp;" Adventurer"</f>
        <v>Shadow Blade Adventurer</v>
      </c>
      <c r="K538" s="250"/>
      <c r="M538" s="729"/>
      <c r="O538" s="251" t="str">
        <f>+INDEX(PWP!$A:$Z,MATCH('PWP-Print'!O536,PWP!$B:$B,0),MATCH("Num",PWP!$A$1:$Z$1,0))</f>
        <v>A-267</v>
      </c>
      <c r="Q538" s="249" t="str">
        <f>+INDEX(PWP!$A:$Z,MATCH('PWP-Print'!O536,PWP!$B:$B,0),MATCH("Element",PWP!$A$1:$Z$1,0))&amp;" "&amp;INDEX(PWP!$A:$Z,MATCH('PWP-Print'!O536,PWP!$B:$B,0),MATCH("Type",PWP!$A$1:$Z$1,0))&amp;" Adventurer"</f>
        <v>Shadow Axe Adventurer</v>
      </c>
      <c r="U538" s="250"/>
    </row>
    <row r="539" spans="1:21" ht="7.5" customHeight="1" x14ac:dyDescent="0.3">
      <c r="A539" s="244" t="s">
        <v>10763</v>
      </c>
      <c r="E539" s="250"/>
      <c r="G539" s="250"/>
      <c r="K539" s="250"/>
      <c r="O539" s="250"/>
      <c r="Q539" s="250"/>
      <c r="U539" s="250"/>
    </row>
    <row r="540" spans="1:21" ht="22.5" customHeight="1" x14ac:dyDescent="0.3">
      <c r="C540" s="729" t="e" vm="1292">
        <f>_xlfn.IMAGE("https://natalie.tf/wp-content/uploads/2023/10/DLV3_Icon_ADV_"&amp;E541&amp;"_r05.png")</f>
        <v>#VALUE!</v>
      </c>
      <c r="E540" s="249" t="str">
        <f>"PWP-"&amp;A542</f>
        <v>PWP-255</v>
      </c>
      <c r="G540" s="249" t="str">
        <f>+INDEX(PWP!$A:$Z,MATCH('PWP-Print'!E540,PWP!$B:$B,0),MATCH("Title",PWP!$A$1:$Z$1,0))</f>
        <v>Blood-Covered Mad Dog</v>
      </c>
      <c r="I540" t="e" vm="696">
        <f>_xlfn.IMAGE("https://natalie.tf/wp-content/uploads/2023/10/DLV3_Icon_Ability_"&amp;INDEX('PWP-A'!$A$2:$C$31,MATCH('PWP-Print'!J540,'PWP-A'!$B$2:$B$31,0),1)&amp;".png")</f>
        <v>#VALUE!</v>
      </c>
      <c r="J540" s="229" t="str">
        <f>+INDEX(PWP!$A:$Z,MATCH('PWP-Print'!E540,PWP!$B:$B,0),MATCH("PWP Ability 1",PWP!$A$1:$Z$1,0))</f>
        <v>Elemental Res +15%</v>
      </c>
      <c r="K540" s="249" t="str">
        <f>+INDEX(PWP!$A:$Z,MATCH('PWP-Print'!E540,PWP!$B:$B,0),MATCH("Locked PWP Ability 1",PWP!$A$1:$Z$1,0))</f>
        <v>(Shadow) Elemental Res +15%</v>
      </c>
      <c r="M540" s="729" t="e" vm="1293">
        <f>_xlfn.IMAGE("https://natalie.tf/wp-content/uploads/2023/10/DLV3_Icon_ADV_"&amp;O541&amp;"_r05.png")</f>
        <v>#VALUE!</v>
      </c>
      <c r="O540" s="249" t="str">
        <f>"PWP-"&amp;B542</f>
        <v>PWP-268</v>
      </c>
      <c r="Q540" s="249" t="str">
        <f>+INDEX(PWP!$A:$Z,MATCH('PWP-Print'!O540,PWP!$B:$B,0),MATCH("Title",PWP!$A$1:$Z$1,0))</f>
        <v>Dogged Inquisitor</v>
      </c>
      <c r="S540" t="e" vm="414">
        <f>_xlfn.IMAGE("https://natalie.tf/wp-content/uploads/2023/10/DLV3_Icon_Ability_"&amp;INDEX('PWP-A'!$A$2:$C$31,MATCH('PWP-Print'!T540,'PWP-A'!$B$2:$B$31,0),1)&amp;".png")</f>
        <v>#VALUE!</v>
      </c>
      <c r="T540" s="229" t="str">
        <f>+INDEX(PWP!$A:$Z,MATCH('PWP-Print'!O540,PWP!$B:$B,0),MATCH("PWP Ability 1",PWP!$A$1:$Z$1,0))</f>
        <v>Critical Damage +25%</v>
      </c>
      <c r="U540" s="249" t="str">
        <f>+INDEX(PWP!$A:$Z,MATCH('PWP-Print'!O540,PWP!$B:$B,0),MATCH("Locked PWP Ability 1",PWP!$A$1:$Z$1,0))</f>
        <v>(Shadow) Critical Damage +25%</v>
      </c>
    </row>
    <row r="541" spans="1:21" ht="22.5" customHeight="1" x14ac:dyDescent="0.3">
      <c r="C541" s="729"/>
      <c r="D541" s="8"/>
      <c r="E541" s="200" t="str">
        <f>+INDEX(PWP!$A:$Z,MATCH('PWP-Print'!E540,PWP!$B:$B,0),MATCH("ID",PWP!$A$1:$Z$1,0))</f>
        <v>110343_01</v>
      </c>
      <c r="F541" s="8"/>
      <c r="G541" s="249" t="str">
        <f>+INDEX(PWP!$A:$Z,MATCH('PWP-Print'!E540,PWP!$B:$B,0),MATCH("Name",PWP!$A$1:$Z$1,0))</f>
        <v>Durant</v>
      </c>
      <c r="H541" s="8"/>
      <c r="I541" t="e" vm="802">
        <f>_xlfn.IMAGE("https://natalie.tf/wp-content/uploads/2023/10/DLV3_Icon_Ability_"&amp;INDEX('PWP-A'!$A$2:$C$31,MATCH('PWP-Print'!J541,'PWP-A'!$B$2:$B$31,0),1)&amp;".png")</f>
        <v>#VALUE!</v>
      </c>
      <c r="J541" s="229" t="str">
        <f>+INDEX(PWP!$A:$Z,MATCH('PWP-Print'!E540,PWP!$B:$B,0),MATCH("PWP Ability 2",PWP!$A$1:$Z$1,0))</f>
        <v>HP 70% = Shield +40%</v>
      </c>
      <c r="K541" s="249" t="str">
        <f>+INDEX(PWP!$A:$Z,MATCH('PWP-Print'!E540,PWP!$B:$B,0),MATCH("Locked PWP Ability 2",PWP!$A$1:$Z$1,0))</f>
        <v>(Shadow) HP 70% = Shield +40%</v>
      </c>
      <c r="M541" s="729"/>
      <c r="N541" s="8"/>
      <c r="O541" s="200" t="str">
        <f>+INDEX(PWP!$A:$Z,MATCH('PWP-Print'!O540,PWP!$B:$B,0),MATCH("ID",PWP!$A$1:$Z$1,0))</f>
        <v>110281_01</v>
      </c>
      <c r="P541" s="8"/>
      <c r="Q541" s="249" t="str">
        <f>+INDEX(PWP!$A:$Z,MATCH('PWP-Print'!O540,PWP!$B:$B,0),MATCH("Name",PWP!$A$1:$Z$1,0))</f>
        <v>Curran</v>
      </c>
      <c r="R541" s="8"/>
      <c r="S541" t="e" vm="688">
        <f>_xlfn.IMAGE("https://natalie.tf/wp-content/uploads/2023/10/DLV3_Icon_Ability_"&amp;INDEX('PWP-A'!$A$2:$C$31,MATCH('PWP-Print'!T541,'PWP-A'!$B$2:$B$31,0),1)&amp;".png")</f>
        <v>#VALUE!</v>
      </c>
      <c r="T541" s="229" t="str">
        <f>+INDEX(PWP!$A:$Z,MATCH('PWP-Print'!O540,PWP!$B:$B,0),MATCH("PWP Ability 2",PWP!$A$1:$Z$1,0))</f>
        <v>Overdrive Punisher +15%</v>
      </c>
      <c r="U541" s="255" t="str">
        <f>+INDEX(PWP!$A:$Z,MATCH('PWP-Print'!O540,PWP!$B:$B,0),MATCH("Locked PWP Ability 2",PWP!$A$1:$Z$1,0))</f>
        <v>(Shadow) Overdrive Punisher +15%</v>
      </c>
    </row>
    <row r="542" spans="1:21" ht="22.5" customHeight="1" x14ac:dyDescent="0.3">
      <c r="A542" s="244" t="str">
        <f>TEXT(A538+1,"000")</f>
        <v>255</v>
      </c>
      <c r="B542" s="244" t="str">
        <f>TEXT(B538+1,"000")</f>
        <v>268</v>
      </c>
      <c r="C542" s="729"/>
      <c r="E542" s="251" t="str">
        <f>+INDEX(PWP!$A:$Z,MATCH('PWP-Print'!E540,PWP!$B:$B,0),MATCH("Num",PWP!$A$1:$Z$1,0))</f>
        <v>A-255</v>
      </c>
      <c r="G542" s="249" t="str">
        <f>+INDEX(PWP!$A:$Z,MATCH('PWP-Print'!E540,PWP!$B:$B,0),MATCH("Element",PWP!$A$1:$Z$1,0))&amp;" "&amp;INDEX(PWP!$A:$Z,MATCH('PWP-Print'!E540,PWP!$B:$B,0),MATCH("Type",PWP!$A$1:$Z$1,0))&amp;" Adventurer"</f>
        <v>Shadow Blade Adventurer</v>
      </c>
      <c r="K542" s="250"/>
      <c r="M542" s="729"/>
      <c r="O542" s="251" t="str">
        <f>+INDEX(PWP!$A:$Z,MATCH('PWP-Print'!O540,PWP!$B:$B,0),MATCH("Num",PWP!$A$1:$Z$1,0))</f>
        <v>A-268</v>
      </c>
      <c r="Q542" s="249" t="str">
        <f>+INDEX(PWP!$A:$Z,MATCH('PWP-Print'!O540,PWP!$B:$B,0),MATCH("Element",PWP!$A$1:$Z$1,0))&amp;" "&amp;INDEX(PWP!$A:$Z,MATCH('PWP-Print'!O540,PWP!$B:$B,0),MATCH("Type",PWP!$A$1:$Z$1,0))&amp;" Adventurer"</f>
        <v>Shadow Axe Adventurer</v>
      </c>
      <c r="U542" s="250"/>
    </row>
    <row r="543" spans="1:21" ht="7.5" customHeight="1" x14ac:dyDescent="0.3">
      <c r="A543" s="244" t="s">
        <v>10763</v>
      </c>
      <c r="E543" s="250"/>
      <c r="G543" s="250"/>
      <c r="K543" s="250"/>
      <c r="O543" s="250"/>
      <c r="Q543" s="250"/>
      <c r="U543" s="250"/>
    </row>
    <row r="544" spans="1:21" ht="22.5" customHeight="1" x14ac:dyDescent="0.3">
      <c r="C544" s="729" t="e" vm="1294">
        <f>_xlfn.IMAGE("https://natalie.tf/wp-content/uploads/2023/10/DLV3_Icon_ADV_"&amp;E545&amp;"_r05.png")</f>
        <v>#VALUE!</v>
      </c>
      <c r="E544" s="249" t="str">
        <f>"PWP-"&amp;A546</f>
        <v>PWP-256</v>
      </c>
      <c r="G544" s="249" t="str">
        <f>+INDEX(PWP!$A:$Z,MATCH('PWP-Print'!E544,PWP!$B:$B,0),MATCH("Title",PWP!$A$1:$Z$1,0))</f>
        <v>Greenhorn Samurai</v>
      </c>
      <c r="I544" t="e" vm="414">
        <f>_xlfn.IMAGE("https://natalie.tf/wp-content/uploads/2023/10/DLV3_Icon_Ability_"&amp;INDEX('PWP-A'!$A$2:$C$31,MATCH('PWP-Print'!J544,'PWP-A'!$B$2:$B$31,0),1)&amp;".png")</f>
        <v>#VALUE!</v>
      </c>
      <c r="J544" s="229" t="str">
        <f>+INDEX(PWP!$A:$Z,MATCH('PWP-Print'!E544,PWP!$B:$B,0),MATCH("PWP Ability 1",PWP!$A$1:$Z$1,0))</f>
        <v>Critical Damage +25%</v>
      </c>
      <c r="K544" s="249" t="str">
        <f>+INDEX(PWP!$A:$Z,MATCH('PWP-Print'!E544,PWP!$B:$B,0),MATCH("Locked PWP Ability 1",PWP!$A$1:$Z$1,0))</f>
        <v>(Shadow) Critical Damage +25%</v>
      </c>
      <c r="M544" s="729" t="e" vm="1295">
        <f>_xlfn.IMAGE("https://natalie.tf/wp-content/uploads/2023/10/DLV3_Icon_ADV_"&amp;O545&amp;"_r05.png")</f>
        <v>#VALUE!</v>
      </c>
      <c r="O544" s="249" t="str">
        <f>"PWP-"&amp;B546</f>
        <v>PWP-269</v>
      </c>
      <c r="Q544" s="249" t="str">
        <f>+INDEX(PWP!$A:$Z,MATCH('PWP-Print'!O544,PWP!$B:$B,0),MATCH("Title",PWP!$A$1:$Z$1,0))</f>
        <v>Cultured Flower</v>
      </c>
      <c r="S544" t="e" vm="326">
        <f>_xlfn.IMAGE("https://natalie.tf/wp-content/uploads/2023/10/DLV3_Icon_Ability_"&amp;INDEX('PWP-A'!$A$2:$C$31,MATCH('PWP-Print'!T544,'PWP-A'!$B$2:$B$31,0),1)&amp;".png")</f>
        <v>#VALUE!</v>
      </c>
      <c r="T544" s="229" t="str">
        <f>+INDEX(PWP!$A:$Z,MATCH('PWP-Print'!O544,PWP!$B:$B,0),MATCH("PWP Ability 1",PWP!$A$1:$Z$1,0))</f>
        <v>Critical Rate +15%</v>
      </c>
      <c r="U544" s="249" t="str">
        <f>+INDEX(PWP!$A:$Z,MATCH('PWP-Print'!O544,PWP!$B:$B,0),MATCH("Locked PWP Ability 1",PWP!$A$1:$Z$1,0))</f>
        <v>(Shadow) Critical Rate +15%</v>
      </c>
    </row>
    <row r="545" spans="1:21" ht="22.5" customHeight="1" x14ac:dyDescent="0.3">
      <c r="C545" s="729"/>
      <c r="D545" s="8"/>
      <c r="E545" s="200" t="str">
        <f>+INDEX(PWP!$A:$Z,MATCH('PWP-Print'!E544,PWP!$B:$B,0),MATCH("ID",PWP!$A$1:$Z$1,0))</f>
        <v>110044_01</v>
      </c>
      <c r="F545" s="8"/>
      <c r="G545" s="249" t="str">
        <f>+INDEX(PWP!$A:$Z,MATCH('PWP-Print'!E544,PWP!$B:$B,0),MATCH("Name",PWP!$A$1:$Z$1,0))</f>
        <v>Taro</v>
      </c>
      <c r="H545" s="8"/>
      <c r="I545" t="e" vm="426">
        <f>_xlfn.IMAGE("https://natalie.tf/wp-content/uploads/2023/10/DLV3_Icon_Ability_"&amp;INDEX('PWP-A'!$A$2:$C$31,MATCH('PWP-Print'!J545,'PWP-A'!$B$2:$B$31,0),1)&amp;".png")</f>
        <v>#VALUE!</v>
      </c>
      <c r="J545" s="229" t="str">
        <f>+INDEX(PWP!$A:$Z,MATCH('PWP-Print'!E544,PWP!$B:$B,0),MATCH("PWP Ability 2",PWP!$A$1:$Z$1,0))</f>
        <v>Defense +20%</v>
      </c>
      <c r="K545" s="249" t="str">
        <f>+INDEX(PWP!$A:$Z,MATCH('PWP-Print'!E544,PWP!$B:$B,0),MATCH("Locked PWP Ability 2",PWP!$A$1:$Z$1,0))</f>
        <v>(Shadow) Defense +20%</v>
      </c>
      <c r="M545" s="729"/>
      <c r="N545" s="8"/>
      <c r="O545" s="200" t="str">
        <f>+INDEX(PWP!$A:$Z,MATCH('PWP-Print'!O544,PWP!$B:$B,0),MATCH("ID",PWP!$A$1:$Z$1,0))</f>
        <v>110311_01</v>
      </c>
      <c r="P545" s="8"/>
      <c r="Q545" s="249" t="str">
        <f>+INDEX(PWP!$A:$Z,MATCH('PWP-Print'!O544,PWP!$B:$B,0),MATCH("Name",PWP!$A$1:$Z$1,0))</f>
        <v>Sazanka</v>
      </c>
      <c r="R545" s="8"/>
      <c r="S545" t="e" vm="330">
        <f>_xlfn.IMAGE("https://natalie.tf/wp-content/uploads/2023/10/DLV3_Icon_Ability_"&amp;INDEX('PWP-A'!$A$2:$C$31,MATCH('PWP-Print'!T545,'PWP-A'!$B$2:$B$31,0),1)&amp;".png")</f>
        <v>#VALUE!</v>
      </c>
      <c r="T545" s="229" t="str">
        <f>+INDEX(PWP!$A:$Z,MATCH('PWP-Print'!O544,PWP!$B:$B,0),MATCH("PWP Ability 2",PWP!$A$1:$Z$1,0))</f>
        <v>Skill Haste +10%</v>
      </c>
      <c r="U545" s="249" t="str">
        <f>+INDEX(PWP!$A:$Z,MATCH('PWP-Print'!O544,PWP!$B:$B,0),MATCH("Locked PWP Ability 2",PWP!$A$1:$Z$1,0))</f>
        <v>(Shadow) Skill Haste +10%</v>
      </c>
    </row>
    <row r="546" spans="1:21" ht="22.5" customHeight="1" x14ac:dyDescent="0.3">
      <c r="A546" s="244" t="str">
        <f>TEXT(A542+1,"000")</f>
        <v>256</v>
      </c>
      <c r="B546" s="244" t="str">
        <f>TEXT(B542+1,"000")</f>
        <v>269</v>
      </c>
      <c r="C546" s="729"/>
      <c r="E546" s="251" t="str">
        <f>+INDEX(PWP!$A:$Z,MATCH('PWP-Print'!E544,PWP!$B:$B,0),MATCH("Num",PWP!$A$1:$Z$1,0))</f>
        <v>A-256</v>
      </c>
      <c r="G546" s="249" t="str">
        <f>+INDEX(PWP!$A:$Z,MATCH('PWP-Print'!E544,PWP!$B:$B,0),MATCH("Element",PWP!$A$1:$Z$1,0))&amp;" "&amp;INDEX(PWP!$A:$Z,MATCH('PWP-Print'!E544,PWP!$B:$B,0),MATCH("Type",PWP!$A$1:$Z$1,0))&amp;" Adventurer"</f>
        <v>Shadow Blade Adventurer</v>
      </c>
      <c r="K546" s="250"/>
      <c r="M546" s="729"/>
      <c r="O546" s="251" t="str">
        <f>+INDEX(PWP!$A:$Z,MATCH('PWP-Print'!O544,PWP!$B:$B,0),MATCH("Num",PWP!$A$1:$Z$1,0))</f>
        <v>A-269</v>
      </c>
      <c r="Q546" s="249" t="str">
        <f>+INDEX(PWP!$A:$Z,MATCH('PWP-Print'!O544,PWP!$B:$B,0),MATCH("Element",PWP!$A$1:$Z$1,0))&amp;" "&amp;INDEX(PWP!$A:$Z,MATCH('PWP-Print'!O544,PWP!$B:$B,0),MATCH("Type",PWP!$A$1:$Z$1,0))&amp;" Adventurer"</f>
        <v>Shadow Axe Adventurer</v>
      </c>
      <c r="U546" s="250"/>
    </row>
    <row r="547" spans="1:21" ht="7.5" customHeight="1" x14ac:dyDescent="0.3">
      <c r="A547" s="244" t="s">
        <v>10763</v>
      </c>
      <c r="E547" s="250"/>
      <c r="G547" s="250"/>
      <c r="K547" s="250"/>
      <c r="O547" s="250"/>
      <c r="Q547" s="250"/>
      <c r="U547" s="250"/>
    </row>
    <row r="548" spans="1:21" ht="22.5" customHeight="1" x14ac:dyDescent="0.3">
      <c r="C548" s="729" t="e" vm="1296">
        <f>_xlfn.IMAGE("https://natalie.tf/wp-content/uploads/2023/10/DLV3_Icon_ADV_"&amp;E549&amp;"_r05.png")</f>
        <v>#VALUE!</v>
      </c>
      <c r="E548" s="249" t="str">
        <f>"PWP-"&amp;A550</f>
        <v>PWP-257</v>
      </c>
      <c r="G548" s="249" t="str">
        <f>+INDEX(PWP!$A:$Z,MATCH('PWP-Print'!E548,PWP!$B:$B,0),MATCH("Title",PWP!$A$1:$Z$1,0))</f>
        <v>Prince of Summer</v>
      </c>
      <c r="I548" t="e" vm="326">
        <f>_xlfn.IMAGE("https://natalie.tf/wp-content/uploads/2023/10/DLV3_Icon_Ability_"&amp;INDEX('PWP-A'!$A$2:$C$31,MATCH('PWP-Print'!J548,'PWP-A'!$B$2:$B$31,0),1)&amp;".png")</f>
        <v>#VALUE!</v>
      </c>
      <c r="J548" s="229" t="str">
        <f>+INDEX(PWP!$A:$Z,MATCH('PWP-Print'!E548,PWP!$B:$B,0),MATCH("PWP Ability 1",PWP!$A$1:$Z$1,0))</f>
        <v>Critical Rate +15%</v>
      </c>
      <c r="K548" s="249" t="str">
        <f>+INDEX(PWP!$A:$Z,MATCH('PWP-Print'!E548,PWP!$B:$B,0),MATCH("Locked PWP Ability 1",PWP!$A$1:$Z$1,0))</f>
        <v>(Shadow) Critical Rate +15%</v>
      </c>
      <c r="M548" s="729" t="e" vm="1297">
        <f>_xlfn.IMAGE("https://natalie.tf/wp-content/uploads/2023/10/DLV3_Icon_ADV_"&amp;O549&amp;"_r05.png")</f>
        <v>#VALUE!</v>
      </c>
      <c r="O548" s="249" t="str">
        <f>"PWP-"&amp;B550</f>
        <v>PWP-270</v>
      </c>
      <c r="Q548" s="249" t="str">
        <f>+INDEX(PWP!$A:$Z,MATCH('PWP-Print'!O548,PWP!$B:$B,0),MATCH("Title",PWP!$A$1:$Z$1,0))</f>
        <v>Feral Noble</v>
      </c>
      <c r="S548" t="e" vm="414">
        <f>_xlfn.IMAGE("https://natalie.tf/wp-content/uploads/2023/10/DLV3_Icon_Ability_"&amp;INDEX('PWP-A'!$A$2:$C$31,MATCH('PWP-Print'!T548,'PWP-A'!$B$2:$B$31,0),1)&amp;".png")</f>
        <v>#VALUE!</v>
      </c>
      <c r="T548" s="229" t="str">
        <f>+INDEX(PWP!$A:$Z,MATCH('PWP-Print'!O548,PWP!$B:$B,0),MATCH("PWP Ability 1",PWP!$A$1:$Z$1,0))</f>
        <v>Critical Damage +25%</v>
      </c>
      <c r="U548" s="249" t="str">
        <f>+INDEX(PWP!$A:$Z,MATCH('PWP-Print'!O548,PWP!$B:$B,0),MATCH("Locked PWP Ability 1",PWP!$A$1:$Z$1,0))</f>
        <v>(Shadow) Critical Damage +25%</v>
      </c>
    </row>
    <row r="549" spans="1:21" ht="22.5" customHeight="1" x14ac:dyDescent="0.3">
      <c r="C549" s="729"/>
      <c r="D549" s="8"/>
      <c r="E549" s="200" t="str">
        <f>+INDEX(PWP!$A:$Z,MATCH('PWP-Print'!E548,PWP!$B:$B,0),MATCH("ID",PWP!$A$1:$Z$1,0))</f>
        <v>100001_12</v>
      </c>
      <c r="F549" s="8"/>
      <c r="G549" s="249" t="str">
        <f>+INDEX(PWP!$A:$Z,MATCH('PWP-Print'!E548,PWP!$B:$B,0),MATCH("Name",PWP!$A$1:$Z$1,0))</f>
        <v>Summer Prince</v>
      </c>
      <c r="H549" s="8"/>
      <c r="I549" t="e" vm="693">
        <f>_xlfn.IMAGE("https://natalie.tf/wp-content/uploads/2023/10/DLV3_Icon_Ability_"&amp;INDEX('PWP-A'!$A$2:$C$31,MATCH('PWP-Print'!J549,'PWP-A'!$B$2:$B$31,0),1)&amp;".png")</f>
        <v>#VALUE!</v>
      </c>
      <c r="J549" s="229" t="str">
        <f>+INDEX(PWP!$A:$Z,MATCH('PWP-Print'!E548,PWP!$B:$B,0),MATCH("PWP Ability 2",PWP!$A$1:$Z$1,0))</f>
        <v>Combo Time +2</v>
      </c>
      <c r="K549" s="249" t="str">
        <f>+INDEX(PWP!$A:$Z,MATCH('PWP-Print'!E548,PWP!$B:$B,0),MATCH("Locked PWP Ability 2",PWP!$A$1:$Z$1,0))</f>
        <v>(Shadow) Combo Time +2</v>
      </c>
      <c r="M549" s="729"/>
      <c r="N549" s="8"/>
      <c r="O549" s="200" t="str">
        <f>+INDEX(PWP!$A:$Z,MATCH('PWP-Print'!O548,PWP!$B:$B,0),MATCH("ID",PWP!$A$1:$Z$1,0))</f>
        <v>110045_01</v>
      </c>
      <c r="P549" s="8"/>
      <c r="Q549" s="249" t="str">
        <f>+INDEX(PWP!$A:$Z,MATCH('PWP-Print'!O548,PWP!$B:$B,0),MATCH("Name",PWP!$A$1:$Z$1,0))</f>
        <v>Erik</v>
      </c>
      <c r="R549" s="8"/>
      <c r="S549" t="e" vm="7">
        <f>_xlfn.IMAGE("https://natalie.tf/wp-content/uploads/2023/10/DLV3_Icon_Ability_"&amp;INDEX('PWP-A'!$A$2:$C$31,MATCH('PWP-Print'!T549,'PWP-A'!$B$2:$B$31,0),1)&amp;".png")</f>
        <v>#VALUE!</v>
      </c>
      <c r="T549" s="229" t="str">
        <f>+INDEX(PWP!$A:$Z,MATCH('PWP-Print'!O548,PWP!$B:$B,0),MATCH("PWP Ability 2",PWP!$A$1:$Z$1,0))</f>
        <v>Force Strike +50%</v>
      </c>
      <c r="U549" s="249" t="str">
        <f>+INDEX(PWP!$A:$Z,MATCH('PWP-Print'!O548,PWP!$B:$B,0),MATCH("Locked PWP Ability 2",PWP!$A$1:$Z$1,0))</f>
        <v>(Shadow) Force Strike +50%</v>
      </c>
    </row>
    <row r="550" spans="1:21" ht="22.5" customHeight="1" x14ac:dyDescent="0.3">
      <c r="A550" s="244" t="str">
        <f>TEXT(A546+1,"000")</f>
        <v>257</v>
      </c>
      <c r="B550" s="244" t="str">
        <f>TEXT(B546+1,"000")</f>
        <v>270</v>
      </c>
      <c r="C550" s="729"/>
      <c r="E550" s="251" t="str">
        <f>+INDEX(PWP!$A:$Z,MATCH('PWP-Print'!E548,PWP!$B:$B,0),MATCH("Num",PWP!$A$1:$Z$1,0))</f>
        <v>A-257</v>
      </c>
      <c r="G550" s="249" t="str">
        <f>+INDEX(PWP!$A:$Z,MATCH('PWP-Print'!E548,PWP!$B:$B,0),MATCH("Element",PWP!$A$1:$Z$1,0))&amp;" "&amp;INDEX(PWP!$A:$Z,MATCH('PWP-Print'!E548,PWP!$B:$B,0),MATCH("Type",PWP!$A$1:$Z$1,0))&amp;" Adventurer"</f>
        <v>Shadow Dagger Adventurer</v>
      </c>
      <c r="K550" s="250"/>
      <c r="M550" s="729"/>
      <c r="O550" s="251" t="str">
        <f>+INDEX(PWP!$A:$Z,MATCH('PWP-Print'!O548,PWP!$B:$B,0),MATCH("Num",PWP!$A$1:$Z$1,0))</f>
        <v>A-270</v>
      </c>
      <c r="Q550" s="249" t="str">
        <f>+INDEX(PWP!$A:$Z,MATCH('PWP-Print'!O548,PWP!$B:$B,0),MATCH("Element",PWP!$A$1:$Z$1,0))&amp;" "&amp;INDEX(PWP!$A:$Z,MATCH('PWP-Print'!O548,PWP!$B:$B,0),MATCH("Type",PWP!$A$1:$Z$1,0))&amp;" Adventurer"</f>
        <v>Shadow Axe Adventurer</v>
      </c>
      <c r="U550" s="250"/>
    </row>
    <row r="551" spans="1:21" ht="7.5" customHeight="1" x14ac:dyDescent="0.3">
      <c r="A551" s="244" t="s">
        <v>10763</v>
      </c>
      <c r="E551" s="250"/>
      <c r="G551" s="250"/>
      <c r="K551" s="250"/>
      <c r="O551" s="250"/>
      <c r="Q551" s="250"/>
      <c r="U551" s="250"/>
    </row>
    <row r="552" spans="1:21" ht="22.5" customHeight="1" x14ac:dyDescent="0.3">
      <c r="C552" s="729" t="e" vm="1298">
        <f>_xlfn.IMAGE("https://natalie.tf/wp-content/uploads/2023/10/DLV3_Icon_ADV_"&amp;E553&amp;"_r05.png")</f>
        <v>#VALUE!</v>
      </c>
      <c r="E552" s="249" t="str">
        <f>"PWP-"&amp;A554</f>
        <v>PWP-258</v>
      </c>
      <c r="G552" s="249" t="str">
        <f>+INDEX(PWP!$A:$Z,MATCH('PWP-Print'!E552,PWP!$B:$B,0),MATCH("Title",PWP!$A$1:$Z$1,0))</f>
        <v>Rebellion Incarnate</v>
      </c>
      <c r="I552" t="e" vm="326">
        <f>_xlfn.IMAGE("https://natalie.tf/wp-content/uploads/2023/10/DLV3_Icon_Ability_"&amp;INDEX('PWP-A'!$A$2:$C$31,MATCH('PWP-Print'!J552,'PWP-A'!$B$2:$B$31,0),1)&amp;".png")</f>
        <v>#VALUE!</v>
      </c>
      <c r="J552" s="229" t="str">
        <f>+INDEX(PWP!$A:$Z,MATCH('PWP-Print'!E552,PWP!$B:$B,0),MATCH("PWP Ability 1",PWP!$A$1:$Z$1,0))</f>
        <v>Critical Rate +15%</v>
      </c>
      <c r="K552" s="249" t="str">
        <f>+INDEX(PWP!$A:$Z,MATCH('PWP-Print'!E552,PWP!$B:$B,0),MATCH("Locked PWP Ability 1",PWP!$A$1:$Z$1,0))</f>
        <v>(Shadow) Critical Rate +15%</v>
      </c>
      <c r="M552" s="729" t="e" vm="1299">
        <f>_xlfn.IMAGE("https://natalie.tf/wp-content/uploads/2023/10/DLV3_Icon_ADV_"&amp;O553&amp;"_r05.png")</f>
        <v>#VALUE!</v>
      </c>
      <c r="O552" s="249" t="str">
        <f>"PWP-"&amp;B554</f>
        <v>PWP-271</v>
      </c>
      <c r="Q552" s="249" t="str">
        <f>+INDEX(PWP!$A:$Z,MATCH('PWP-Print'!O552,PWP!$B:$B,0),MATCH("Title",PWP!$A$1:$Z$1,0))</f>
        <v>Leader of the Monkey Clan</v>
      </c>
      <c r="S552" t="e" vm="1036">
        <f>_xlfn.IMAGE("https://natalie.tf/wp-content/uploads/2023/10/DLV3_Icon_Ability_"&amp;INDEX('PWP-A'!$A$2:$C$31,MATCH('PWP-Print'!T552,'PWP-A'!$B$2:$B$31,0),1)&amp;".png")</f>
        <v>#VALUE!</v>
      </c>
      <c r="T552" s="229" t="str">
        <f>+INDEX(PWP!$A:$Z,MATCH('PWP-Print'!O552,PWP!$B:$B,0),MATCH("PWP Ability 1",PWP!$A$1:$Z$1,0))</f>
        <v>15 Hits = Overdamage</v>
      </c>
      <c r="U552" s="249" t="str">
        <f>+INDEX(PWP!$A:$Z,MATCH('PWP-Print'!O552,PWP!$B:$B,0),MATCH("Locked PWP Ability 1",PWP!$A$1:$Z$1,0))</f>
        <v>(Shadow) 15 Hits = Overdamage</v>
      </c>
    </row>
    <row r="553" spans="1:21" ht="22.5" customHeight="1" x14ac:dyDescent="0.3">
      <c r="C553" s="729"/>
      <c r="D553" s="8"/>
      <c r="E553" s="200" t="str">
        <f>+INDEX(PWP!$A:$Z,MATCH('PWP-Print'!E552,PWP!$B:$B,0),MATCH("ID",PWP!$A$1:$Z$1,0))</f>
        <v>110377_01</v>
      </c>
      <c r="F553" s="8"/>
      <c r="G553" s="249" t="str">
        <f>+INDEX(PWP!$A:$Z,MATCH('PWP-Print'!E552,PWP!$B:$B,0),MATCH("Name",PWP!$A$1:$Z$1,0))</f>
        <v>Joker</v>
      </c>
      <c r="H553" s="8"/>
      <c r="I553" t="e" vm="1045">
        <f>_xlfn.IMAGE("https://natalie.tf/wp-content/uploads/2023/10/DLV3_Icon_Ability_"&amp;INDEX('PWP-A'!$A$2:$C$31,MATCH('PWP-Print'!J553,'PWP-A'!$B$2:$B$31,0),1)&amp;".png")</f>
        <v>#VALUE!</v>
      </c>
      <c r="J553" s="229" t="str">
        <f>+INDEX(PWP!$A:$Z,MATCH('PWP-Print'!E552,PWP!$B:$B,0),MATCH("PWP Ability 2",PWP!$A$1:$Z$1,0))</f>
        <v>Attack Rate +20%</v>
      </c>
      <c r="K553" s="249" t="str">
        <f>+INDEX(PWP!$A:$Z,MATCH('PWP-Print'!E552,PWP!$B:$B,0),MATCH("Locked PWP Ability 2",PWP!$A$1:$Z$1,0))</f>
        <v>(Shadow) Attack Rate +20%</v>
      </c>
      <c r="M553" s="729"/>
      <c r="N553" s="8"/>
      <c r="O553" s="200" t="str">
        <f>+INDEX(PWP!$A:$Z,MATCH('PWP-Print'!O552,PWP!$B:$B,0),MATCH("ID",PWP!$A$1:$Z$1,0))</f>
        <v>110402_01</v>
      </c>
      <c r="P553" s="8"/>
      <c r="Q553" s="249" t="str">
        <f>+INDEX(PWP!$A:$Z,MATCH('PWP-Print'!O552,PWP!$B:$B,0),MATCH("Name",PWP!$A$1:$Z$1,0))</f>
        <v>Yukimura</v>
      </c>
      <c r="R553" s="8"/>
      <c r="S553" t="e" vm="693">
        <f>_xlfn.IMAGE("https://natalie.tf/wp-content/uploads/2023/10/DLV3_Icon_Ability_"&amp;INDEX('PWP-A'!$A$2:$C$31,MATCH('PWP-Print'!T553,'PWP-A'!$B$2:$B$31,0),1)&amp;".png")</f>
        <v>#VALUE!</v>
      </c>
      <c r="T553" s="229" t="str">
        <f>+INDEX(PWP!$A:$Z,MATCH('PWP-Print'!O552,PWP!$B:$B,0),MATCH("PWP Ability 2",PWP!$A$1:$Z$1,0))</f>
        <v>Combo Time +2</v>
      </c>
      <c r="U553" s="249" t="str">
        <f>+INDEX(PWP!$A:$Z,MATCH('PWP-Print'!O552,PWP!$B:$B,0),MATCH("Locked PWP Ability 2",PWP!$A$1:$Z$1,0))</f>
        <v>(Shadow) Combo Time +2</v>
      </c>
    </row>
    <row r="554" spans="1:21" ht="22.5" customHeight="1" x14ac:dyDescent="0.3">
      <c r="A554" s="244" t="str">
        <f>TEXT(A550+1,"000")</f>
        <v>258</v>
      </c>
      <c r="B554" s="244" t="str">
        <f>TEXT(B550+1,"000")</f>
        <v>271</v>
      </c>
      <c r="C554" s="729"/>
      <c r="E554" s="251" t="str">
        <f>+INDEX(PWP!$A:$Z,MATCH('PWP-Print'!E552,PWP!$B:$B,0),MATCH("Num",PWP!$A$1:$Z$1,0))</f>
        <v>A-258</v>
      </c>
      <c r="G554" s="249" t="str">
        <f>+INDEX(PWP!$A:$Z,MATCH('PWP-Print'!E552,PWP!$B:$B,0),MATCH("Element",PWP!$A$1:$Z$1,0))&amp;" "&amp;INDEX(PWP!$A:$Z,MATCH('PWP-Print'!E552,PWP!$B:$B,0),MATCH("Type",PWP!$A$1:$Z$1,0))&amp;" Adventurer"</f>
        <v>Shadow Dagger Adventurer</v>
      </c>
      <c r="K554" s="250"/>
      <c r="M554" s="729"/>
      <c r="O554" s="251" t="str">
        <f>+INDEX(PWP!$A:$Z,MATCH('PWP-Print'!O552,PWP!$B:$B,0),MATCH("Num",PWP!$A$1:$Z$1,0))</f>
        <v>A-271</v>
      </c>
      <c r="Q554" s="249" t="str">
        <f>+INDEX(PWP!$A:$Z,MATCH('PWP-Print'!O552,PWP!$B:$B,0),MATCH("Element",PWP!$A$1:$Z$1,0))&amp;" "&amp;INDEX(PWP!$A:$Z,MATCH('PWP-Print'!O552,PWP!$B:$B,0),MATCH("Type",PWP!$A$1:$Z$1,0))&amp;" Adventurer"</f>
        <v>Shadow Lance Adventurer</v>
      </c>
      <c r="U554" s="250"/>
    </row>
    <row r="555" spans="1:21" ht="7.5" customHeight="1" x14ac:dyDescent="0.3">
      <c r="A555" s="244" t="s">
        <v>10763</v>
      </c>
      <c r="E555" s="250"/>
      <c r="G555" s="250"/>
      <c r="K555" s="250"/>
      <c r="O555" s="250"/>
      <c r="Q555" s="250"/>
      <c r="U555" s="250"/>
    </row>
    <row r="556" spans="1:21" ht="22.5" customHeight="1" x14ac:dyDescent="0.3">
      <c r="C556" s="729" t="e" vm="1300">
        <f>_xlfn.IMAGE("https://natalie.tf/wp-content/uploads/2023/10/DLV3_Icon_ADV_"&amp;E557&amp;"_r05.png")</f>
        <v>#VALUE!</v>
      </c>
      <c r="E556" s="249" t="str">
        <f>"PWP-"&amp;A558</f>
        <v>PWP-259</v>
      </c>
      <c r="G556" s="249" t="str">
        <f>+INDEX(PWP!$A:$Z,MATCH('PWP-Print'!E556,PWP!$B:$B,0),MATCH("Title",PWP!$A$1:$Z$1,0))</f>
        <v>The Wing of Revelation</v>
      </c>
      <c r="I556" t="e" vm="1036">
        <f>_xlfn.IMAGE("https://natalie.tf/wp-content/uploads/2023/10/DLV3_Icon_Ability_"&amp;INDEX('PWP-A'!$A$2:$C$31,MATCH('PWP-Print'!J556,'PWP-A'!$B$2:$B$31,0),1)&amp;".png")</f>
        <v>#VALUE!</v>
      </c>
      <c r="J556" s="229" t="str">
        <f>+INDEX(PWP!$A:$Z,MATCH('PWP-Print'!E556,PWP!$B:$B,0),MATCH("PWP Ability 1",PWP!$A$1:$Z$1,0))</f>
        <v>15 Hits = Overdamage</v>
      </c>
      <c r="K556" s="249" t="str">
        <f>+INDEX(PWP!$A:$Z,MATCH('PWP-Print'!E556,PWP!$B:$B,0),MATCH("Locked PWP Ability 1",PWP!$A$1:$Z$1,0))</f>
        <v>(Shadow) 15 Hits = Overdamage</v>
      </c>
      <c r="M556" s="729" t="e" vm="1301">
        <f>_xlfn.IMAGE("https://natalie.tf/wp-content/uploads/2023/10/DLV3_Icon_ADV_"&amp;O557&amp;"_r05.png")</f>
        <v>#VALUE!</v>
      </c>
      <c r="O556" s="249" t="str">
        <f>"PWP-"&amp;B558</f>
        <v>PWP-272</v>
      </c>
      <c r="Q556" s="249" t="str">
        <f>+INDEX(PWP!$A:$Z,MATCH('PWP-Print'!O556,PWP!$B:$B,0),MATCH("Title",PWP!$A$1:$Z$1,0))</f>
        <v>Lord of the Summer Sun</v>
      </c>
      <c r="S556" t="e" vm="688">
        <f>_xlfn.IMAGE("https://natalie.tf/wp-content/uploads/2023/10/DLV3_Icon_Ability_"&amp;INDEX('PWP-A'!$A$2:$C$31,MATCH('PWP-Print'!T556,'PWP-A'!$B$2:$B$31,0),1)&amp;".png")</f>
        <v>#VALUE!</v>
      </c>
      <c r="T556" s="229" t="str">
        <f>+INDEX(PWP!$A:$Z,MATCH('PWP-Print'!O556,PWP!$B:$B,0),MATCH("PWP Ability 1",PWP!$A$1:$Z$1,0))</f>
        <v>Overdrive Punisher +15%</v>
      </c>
      <c r="U556" s="255" t="str">
        <f>+INDEX(PWP!$A:$Z,MATCH('PWP-Print'!O556,PWP!$B:$B,0),MATCH("Locked PWP Ability 1",PWP!$A$1:$Z$1,0))</f>
        <v>(Shadow) Overdrive Punisher +15%</v>
      </c>
    </row>
    <row r="557" spans="1:21" ht="22.5" customHeight="1" x14ac:dyDescent="0.3">
      <c r="C557" s="729"/>
      <c r="D557" s="8"/>
      <c r="E557" s="200" t="str">
        <f>+INDEX(PWP!$A:$Z,MATCH('PWP-Print'!E556,PWP!$B:$B,0),MATCH("ID",PWP!$A$1:$Z$1,0))</f>
        <v>110365_01</v>
      </c>
      <c r="F557" s="8"/>
      <c r="G557" s="249" t="str">
        <f>+INDEX(PWP!$A:$Z,MATCH('PWP-Print'!E556,PWP!$B:$B,0),MATCH("Name",PWP!$A$1:$Z$1,0))</f>
        <v>Nevin</v>
      </c>
      <c r="H557" s="8"/>
      <c r="I557" t="e" vm="326">
        <f>_xlfn.IMAGE("https://natalie.tf/wp-content/uploads/2023/10/DLV3_Icon_Ability_"&amp;INDEX('PWP-A'!$A$2:$C$31,MATCH('PWP-Print'!J557,'PWP-A'!$B$2:$B$31,0),1)&amp;".png")</f>
        <v>#VALUE!</v>
      </c>
      <c r="J557" s="229" t="str">
        <f>+INDEX(PWP!$A:$Z,MATCH('PWP-Print'!E556,PWP!$B:$B,0),MATCH("PWP Ability 2",PWP!$A$1:$Z$1,0))</f>
        <v>Critical Rate +15%</v>
      </c>
      <c r="K557" s="249" t="str">
        <f>+INDEX(PWP!$A:$Z,MATCH('PWP-Print'!E556,PWP!$B:$B,0),MATCH("Locked PWP Ability 2",PWP!$A$1:$Z$1,0))</f>
        <v>(Shadow) Critical Rate +15%</v>
      </c>
      <c r="M557" s="729"/>
      <c r="N557" s="8"/>
      <c r="O557" s="200" t="str">
        <f>+INDEX(PWP!$A:$Z,MATCH('PWP-Print'!O556,PWP!$B:$B,0),MATCH("ID",PWP!$A$1:$Z$1,0))</f>
        <v>100013_06</v>
      </c>
      <c r="P557" s="8"/>
      <c r="Q557" s="249" t="str">
        <f>+INDEX(PWP!$A:$Z,MATCH('PWP-Print'!O556,PWP!$B:$B,0),MATCH("Name",PWP!$A$1:$Z$1,0))</f>
        <v>Summer Leonidas</v>
      </c>
      <c r="R557" s="8"/>
      <c r="S557" t="e" vm="696">
        <f>_xlfn.IMAGE("https://natalie.tf/wp-content/uploads/2023/10/DLV3_Icon_Ability_"&amp;INDEX('PWP-A'!$A$2:$C$31,MATCH('PWP-Print'!T557,'PWP-A'!$B$2:$B$31,0),1)&amp;".png")</f>
        <v>#VALUE!</v>
      </c>
      <c r="T557" s="229" t="str">
        <f>+INDEX(PWP!$A:$Z,MATCH('PWP-Print'!O556,PWP!$B:$B,0),MATCH("PWP Ability 2",PWP!$A$1:$Z$1,0))</f>
        <v>Elemental Res +15%</v>
      </c>
      <c r="U557" s="249" t="str">
        <f>+INDEX(PWP!$A:$Z,MATCH('PWP-Print'!O556,PWP!$B:$B,0),MATCH("Locked PWP Ability 2",PWP!$A$1:$Z$1,0))</f>
        <v>(Shadow) Elemental Res +15%</v>
      </c>
    </row>
    <row r="558" spans="1:21" ht="22.5" customHeight="1" x14ac:dyDescent="0.3">
      <c r="A558" s="244" t="str">
        <f>TEXT(A554+1,"000")</f>
        <v>259</v>
      </c>
      <c r="B558" s="244" t="str">
        <f>TEXT(B554+1,"000")</f>
        <v>272</v>
      </c>
      <c r="C558" s="729"/>
      <c r="E558" s="251" t="str">
        <f>+INDEX(PWP!$A:$Z,MATCH('PWP-Print'!E556,PWP!$B:$B,0),MATCH("Num",PWP!$A$1:$Z$1,0))</f>
        <v>A-259</v>
      </c>
      <c r="G558" s="249" t="str">
        <f>+INDEX(PWP!$A:$Z,MATCH('PWP-Print'!E556,PWP!$B:$B,0),MATCH("Element",PWP!$A$1:$Z$1,0))&amp;" "&amp;INDEX(PWP!$A:$Z,MATCH('PWP-Print'!E556,PWP!$B:$B,0),MATCH("Type",PWP!$A$1:$Z$1,0))&amp;" Adventurer"</f>
        <v>Shadow Dagger Adventurer</v>
      </c>
      <c r="K558" s="250"/>
      <c r="M558" s="729"/>
      <c r="O558" s="251" t="str">
        <f>+INDEX(PWP!$A:$Z,MATCH('PWP-Print'!O556,PWP!$B:$B,0),MATCH("Num",PWP!$A$1:$Z$1,0))</f>
        <v>A-272</v>
      </c>
      <c r="Q558" s="249" t="str">
        <f>+INDEX(PWP!$A:$Z,MATCH('PWP-Print'!O556,PWP!$B:$B,0),MATCH("Element",PWP!$A$1:$Z$1,0))&amp;" "&amp;INDEX(PWP!$A:$Z,MATCH('PWP-Print'!O556,PWP!$B:$B,0),MATCH("Type",PWP!$A$1:$Z$1,0))&amp;" Adventurer"</f>
        <v>Shadow Lance Adventurer</v>
      </c>
      <c r="U558" s="250"/>
    </row>
    <row r="559" spans="1:21" ht="7.5" customHeight="1" x14ac:dyDescent="0.3">
      <c r="A559" s="244" t="s">
        <v>10763</v>
      </c>
      <c r="E559" s="250"/>
      <c r="G559" s="250"/>
      <c r="K559" s="250"/>
      <c r="O559" s="250"/>
      <c r="Q559" s="250"/>
      <c r="U559" s="250"/>
    </row>
    <row r="560" spans="1:21" ht="22.5" customHeight="1" x14ac:dyDescent="0.3">
      <c r="C560" s="729" t="e" vm="1302">
        <f>_xlfn.IMAGE("https://natalie.tf/wp-content/uploads/2023/10/DLV3_Icon_ADV_"&amp;E561&amp;"_r05.png")</f>
        <v>#VALUE!</v>
      </c>
      <c r="E560" s="249" t="str">
        <f>"PWP-"&amp;A562</f>
        <v>PWP-260</v>
      </c>
      <c r="G560" s="249" t="str">
        <f>+INDEX(PWP!$A:$Z,MATCH('PWP-Print'!E560,PWP!$B:$B,0),MATCH("Title",PWP!$A$1:$Z$1,0))</f>
        <v>Renegade Spitfire</v>
      </c>
      <c r="I560" t="e" vm="14">
        <f>_xlfn.IMAGE("https://natalie.tf/wp-content/uploads/2023/10/DLV3_Icon_Ability_"&amp;INDEX('PWP-A'!$A$2:$C$31,MATCH('PWP-Print'!J560,'PWP-A'!$B$2:$B$31,0),1)&amp;".png")</f>
        <v>#VALUE!</v>
      </c>
      <c r="J560" s="229" t="str">
        <f>+INDEX(PWP!$A:$Z,MATCH('PWP-Print'!E560,PWP!$B:$B,0),MATCH("PWP Ability 1",PWP!$A$1:$Z$1,0))</f>
        <v>Strength +20%</v>
      </c>
      <c r="K560" s="249" t="str">
        <f>+INDEX(PWP!$A:$Z,MATCH('PWP-Print'!E560,PWP!$B:$B,0),MATCH("Locked PWP Ability 1",PWP!$A$1:$Z$1,0))</f>
        <v>(Shadow) Strength +20%</v>
      </c>
      <c r="M560" s="729" t="e" vm="1303">
        <f>_xlfn.IMAGE("https://natalie.tf/wp-content/uploads/2023/10/DLV3_Icon_ADV_"&amp;O561&amp;"_r05.png")</f>
        <v>#VALUE!</v>
      </c>
      <c r="O560" s="249" t="str">
        <f>"PWP-"&amp;B562</f>
        <v>PWP-273</v>
      </c>
      <c r="Q560" s="249" t="str">
        <f>+INDEX(PWP!$A:$Z,MATCH('PWP-Print'!O560,PWP!$B:$B,0),MATCH("Title",PWP!$A$1:$Z$1,0))</f>
        <v>Chaos Child</v>
      </c>
      <c r="S560" t="e" vm="14">
        <f>_xlfn.IMAGE("https://natalie.tf/wp-content/uploads/2023/10/DLV3_Icon_Ability_"&amp;INDEX('PWP-A'!$A$2:$C$31,MATCH('PWP-Print'!T560,'PWP-A'!$B$2:$B$31,0),1)&amp;".png")</f>
        <v>#VALUE!</v>
      </c>
      <c r="T560" s="229" t="str">
        <f>+INDEX(PWP!$A:$Z,MATCH('PWP-Print'!O560,PWP!$B:$B,0),MATCH("PWP Ability 1",PWP!$A$1:$Z$1,0))</f>
        <v>Strength +20%</v>
      </c>
      <c r="U560" s="249" t="str">
        <f>+INDEX(PWP!$A:$Z,MATCH('PWP-Print'!O560,PWP!$B:$B,0),MATCH("Locked PWP Ability 1",PWP!$A$1:$Z$1,0))</f>
        <v>(Shadow) Strength +20%</v>
      </c>
    </row>
    <row r="561" spans="1:21" ht="22.5" customHeight="1" x14ac:dyDescent="0.3">
      <c r="C561" s="729"/>
      <c r="D561" s="8"/>
      <c r="E561" s="200" t="str">
        <f>+INDEX(PWP!$A:$Z,MATCH('PWP-Print'!E560,PWP!$B:$B,0),MATCH("ID",PWP!$A$1:$Z$1,0))</f>
        <v>110306_01</v>
      </c>
      <c r="F561" s="8"/>
      <c r="G561" s="249" t="str">
        <f>+INDEX(PWP!$A:$Z,MATCH('PWP-Print'!E560,PWP!$B:$B,0),MATCH("Name",PWP!$A$1:$Z$1,0))</f>
        <v>Bellina</v>
      </c>
      <c r="H561" s="8"/>
      <c r="I561" t="e" vm="330">
        <f>_xlfn.IMAGE("https://natalie.tf/wp-content/uploads/2023/10/DLV3_Icon_Ability_"&amp;INDEX('PWP-A'!$A$2:$C$31,MATCH('PWP-Print'!J561,'PWP-A'!$B$2:$B$31,0),1)&amp;".png")</f>
        <v>#VALUE!</v>
      </c>
      <c r="J561" s="229" t="str">
        <f>+INDEX(PWP!$A:$Z,MATCH('PWP-Print'!E560,PWP!$B:$B,0),MATCH("PWP Ability 2",PWP!$A$1:$Z$1,0))</f>
        <v>Skill Haste +10%</v>
      </c>
      <c r="K561" s="249" t="str">
        <f>+INDEX(PWP!$A:$Z,MATCH('PWP-Print'!E560,PWP!$B:$B,0),MATCH("Locked PWP Ability 2",PWP!$A$1:$Z$1,0))</f>
        <v>(Shadow) Skill Haste +10%</v>
      </c>
      <c r="M561" s="729"/>
      <c r="N561" s="8"/>
      <c r="O561" s="200" t="str">
        <f>+INDEX(PWP!$A:$Z,MATCH('PWP-Print'!O560,PWP!$B:$B,0),MATCH("ID",PWP!$A$1:$Z$1,0))</f>
        <v>110349_01</v>
      </c>
      <c r="P561" s="8"/>
      <c r="Q561" s="249" t="str">
        <f>+INDEX(PWP!$A:$Z,MATCH('PWP-Print'!O560,PWP!$B:$B,0),MATCH("Name",PWP!$A$1:$Z$1,0))</f>
        <v>Lathna</v>
      </c>
      <c r="R561" s="8"/>
      <c r="S561" t="e" vm="414">
        <f>_xlfn.IMAGE("https://natalie.tf/wp-content/uploads/2023/10/DLV3_Icon_Ability_"&amp;INDEX('PWP-A'!$A$2:$C$31,MATCH('PWP-Print'!T561,'PWP-A'!$B$2:$B$31,0),1)&amp;".png")</f>
        <v>#VALUE!</v>
      </c>
      <c r="T561" s="229" t="str">
        <f>+INDEX(PWP!$A:$Z,MATCH('PWP-Print'!O560,PWP!$B:$B,0),MATCH("PWP Ability 2",PWP!$A$1:$Z$1,0))</f>
        <v>Critical Damage +25%</v>
      </c>
      <c r="U561" s="249" t="str">
        <f>+INDEX(PWP!$A:$Z,MATCH('PWP-Print'!O560,PWP!$B:$B,0),MATCH("Locked PWP Ability 2",PWP!$A$1:$Z$1,0))</f>
        <v>(Shadow) Critical Damage +25%</v>
      </c>
    </row>
    <row r="562" spans="1:21" ht="22.5" customHeight="1" x14ac:dyDescent="0.3">
      <c r="A562" s="244" t="str">
        <f>TEXT(A558+1,"000")</f>
        <v>260</v>
      </c>
      <c r="B562" s="244" t="str">
        <f>TEXT(B558+1,"000")</f>
        <v>273</v>
      </c>
      <c r="C562" s="729"/>
      <c r="E562" s="251" t="str">
        <f>+INDEX(PWP!$A:$Z,MATCH('PWP-Print'!E560,PWP!$B:$B,0),MATCH("Num",PWP!$A$1:$Z$1,0))</f>
        <v>A-260</v>
      </c>
      <c r="G562" s="249" t="str">
        <f>+INDEX(PWP!$A:$Z,MATCH('PWP-Print'!E560,PWP!$B:$B,0),MATCH("Element",PWP!$A$1:$Z$1,0))&amp;" "&amp;INDEX(PWP!$A:$Z,MATCH('PWP-Print'!E560,PWP!$B:$B,0),MATCH("Type",PWP!$A$1:$Z$1,0))&amp;" Adventurer"</f>
        <v>Shadow Dagger Adventurer</v>
      </c>
      <c r="K562" s="250"/>
      <c r="M562" s="729"/>
      <c r="O562" s="251" t="str">
        <f>+INDEX(PWP!$A:$Z,MATCH('PWP-Print'!O560,PWP!$B:$B,0),MATCH("Num",PWP!$A$1:$Z$1,0))</f>
        <v>A-273</v>
      </c>
      <c r="Q562" s="249" t="str">
        <f>+INDEX(PWP!$A:$Z,MATCH('PWP-Print'!O560,PWP!$B:$B,0),MATCH("Element",PWP!$A$1:$Z$1,0))&amp;" "&amp;INDEX(PWP!$A:$Z,MATCH('PWP-Print'!O560,PWP!$B:$B,0),MATCH("Type",PWP!$A$1:$Z$1,0))&amp;" Adventurer"</f>
        <v>Shadow Lance Adventurer</v>
      </c>
      <c r="U562" s="250"/>
    </row>
    <row r="563" spans="1:21" ht="7.5" customHeight="1" x14ac:dyDescent="0.3">
      <c r="A563" s="244" t="s">
        <v>10763</v>
      </c>
      <c r="E563" s="250"/>
      <c r="G563" s="250"/>
      <c r="K563" s="250"/>
      <c r="O563" s="250"/>
      <c r="Q563" s="250"/>
      <c r="U563" s="250"/>
    </row>
    <row r="564" spans="1:21" ht="22.5" customHeight="1" x14ac:dyDescent="0.3">
      <c r="C564" s="729" t="e" vm="1304">
        <f>_xlfn.IMAGE("https://natalie.tf/wp-content/uploads/2023/10/DLV3_Icon_ADV_"&amp;E565&amp;"_r05.png")</f>
        <v>#VALUE!</v>
      </c>
      <c r="E564" s="249" t="str">
        <f>"PWP-"&amp;A566</f>
        <v>PWP-261</v>
      </c>
      <c r="G564" s="249" t="str">
        <f>+INDEX(PWP!$A:$Z,MATCH('PWP-Print'!E564,PWP!$B:$B,0),MATCH("Title",PWP!$A$1:$Z$1,0))</f>
        <v>Tutelary Successor</v>
      </c>
      <c r="I564" t="e" vm="14">
        <f>_xlfn.IMAGE("https://natalie.tf/wp-content/uploads/2023/10/DLV3_Icon_Ability_"&amp;INDEX('PWP-A'!$A$2:$C$31,MATCH('PWP-Print'!J564,'PWP-A'!$B$2:$B$31,0),1)&amp;".png")</f>
        <v>#VALUE!</v>
      </c>
      <c r="J564" s="229" t="str">
        <f>+INDEX(PWP!$A:$Z,MATCH('PWP-Print'!E564,PWP!$B:$B,0),MATCH("PWP Ability 1",PWP!$A$1:$Z$1,0))</f>
        <v>Skill Damage +40%</v>
      </c>
      <c r="K564" s="249" t="str">
        <f>+INDEX(PWP!$A:$Z,MATCH('PWP-Print'!E564,PWP!$B:$B,0),MATCH("Locked PWP Ability 1",PWP!$A$1:$Z$1,0))</f>
        <v>(Shadow) Skill Damage +40%</v>
      </c>
      <c r="M564" s="729" t="e" vm="1305">
        <f>_xlfn.IMAGE("https://natalie.tf/wp-content/uploads/2023/10/DLV3_Icon_ADV_"&amp;O565&amp;"_r05.png")</f>
        <v>#VALUE!</v>
      </c>
      <c r="O564" s="249" t="str">
        <f>"PWP-"&amp;B566</f>
        <v>PWP-274</v>
      </c>
      <c r="Q564" s="249" t="str">
        <f>+INDEX(PWP!$A:$Z,MATCH('PWP-Print'!O564,PWP!$B:$B,0),MATCH("Title",PWP!$A$1:$Z$1,0))</f>
        <v>Lord of the Skies</v>
      </c>
      <c r="S564" t="e" vm="14">
        <f>_xlfn.IMAGE("https://natalie.tf/wp-content/uploads/2023/10/DLV3_Icon_Ability_"&amp;INDEX('PWP-A'!$A$2:$C$31,MATCH('PWP-Print'!T564,'PWP-A'!$B$2:$B$31,0),1)&amp;".png")</f>
        <v>#VALUE!</v>
      </c>
      <c r="T564" s="229" t="str">
        <f>+INDEX(PWP!$A:$Z,MATCH('PWP-Print'!O564,PWP!$B:$B,0),MATCH("PWP Ability 1",PWP!$A$1:$Z$1,0))</f>
        <v>Skill Damage +40%</v>
      </c>
      <c r="U564" s="249" t="str">
        <f>+INDEX(PWP!$A:$Z,MATCH('PWP-Print'!O564,PWP!$B:$B,0),MATCH("Locked PWP Ability 1",PWP!$A$1:$Z$1,0))</f>
        <v>(Shadow) Skill Damage +40%</v>
      </c>
    </row>
    <row r="565" spans="1:21" ht="22.5" customHeight="1" x14ac:dyDescent="0.3">
      <c r="C565" s="729"/>
      <c r="D565" s="8"/>
      <c r="E565" s="200" t="str">
        <f>+INDEX(PWP!$A:$Z,MATCH('PWP-Print'!E564,PWP!$B:$B,0),MATCH("ID",PWP!$A$1:$Z$1,0))</f>
        <v>110336_01</v>
      </c>
      <c r="F565" s="8"/>
      <c r="G565" s="249" t="str">
        <f>+INDEX(PWP!$A:$Z,MATCH('PWP-Print'!E564,PWP!$B:$B,0),MATCH("Name",PWP!$A$1:$Z$1,0))</f>
        <v>Delphi</v>
      </c>
      <c r="H565" s="8"/>
      <c r="I565" t="e" vm="330">
        <f>_xlfn.IMAGE("https://natalie.tf/wp-content/uploads/2023/10/DLV3_Icon_Ability_"&amp;INDEX('PWP-A'!$A$2:$C$31,MATCH('PWP-Print'!J565,'PWP-A'!$B$2:$B$31,0),1)&amp;".png")</f>
        <v>#VALUE!</v>
      </c>
      <c r="J565" s="229" t="str">
        <f>+INDEX(PWP!$A:$Z,MATCH('PWP-Print'!E564,PWP!$B:$B,0),MATCH("PWP Ability 2",PWP!$A$1:$Z$1,0))</f>
        <v>Skill Haste +10%</v>
      </c>
      <c r="K565" s="249" t="str">
        <f>+INDEX(PWP!$A:$Z,MATCH('PWP-Print'!E564,PWP!$B:$B,0),MATCH("Locked PWP Ability 2",PWP!$A$1:$Z$1,0))</f>
        <v>(Shadow) Skill Haste +10%</v>
      </c>
      <c r="M565" s="729"/>
      <c r="N565" s="8"/>
      <c r="O565" s="200" t="str">
        <f>+INDEX(PWP!$A:$Z,MATCH('PWP-Print'!O564,PWP!$B:$B,0),MATCH("ID",PWP!$A$1:$Z$1,0))</f>
        <v>110272_01</v>
      </c>
      <c r="P565" s="8"/>
      <c r="Q565" s="249" t="str">
        <f>+INDEX(PWP!$A:$Z,MATCH('PWP-Print'!O564,PWP!$B:$B,0),MATCH("Name",PWP!$A$1:$Z$1,0))</f>
        <v>Forte</v>
      </c>
      <c r="R565" s="8"/>
      <c r="S565" t="e" vm="326">
        <f>_xlfn.IMAGE("https://natalie.tf/wp-content/uploads/2023/10/DLV3_Icon_Ability_"&amp;INDEX('PWP-A'!$A$2:$C$31,MATCH('PWP-Print'!T565,'PWP-A'!$B$2:$B$31,0),1)&amp;".png")</f>
        <v>#VALUE!</v>
      </c>
      <c r="T565" s="229" t="str">
        <f>+INDEX(PWP!$A:$Z,MATCH('PWP-Print'!O564,PWP!$B:$B,0),MATCH("PWP Ability 2",PWP!$A$1:$Z$1,0))</f>
        <v>Critical Rate +15%</v>
      </c>
      <c r="U565" s="249" t="str">
        <f>+INDEX(PWP!$A:$Z,MATCH('PWP-Print'!O564,PWP!$B:$B,0),MATCH("Locked PWP Ability 2",PWP!$A$1:$Z$1,0))</f>
        <v>(Shadow) Critical Rate +15%</v>
      </c>
    </row>
    <row r="566" spans="1:21" ht="22.5" customHeight="1" x14ac:dyDescent="0.3">
      <c r="A566" s="244" t="str">
        <f>TEXT(A562+1,"000")</f>
        <v>261</v>
      </c>
      <c r="B566" s="244" t="str">
        <f>TEXT(B562+1,"000")</f>
        <v>274</v>
      </c>
      <c r="C566" s="729"/>
      <c r="E566" s="251" t="str">
        <f>+INDEX(PWP!$A:$Z,MATCH('PWP-Print'!E564,PWP!$B:$B,0),MATCH("Num",PWP!$A$1:$Z$1,0))</f>
        <v>A-261</v>
      </c>
      <c r="G566" s="249" t="str">
        <f>+INDEX(PWP!$A:$Z,MATCH('PWP-Print'!E564,PWP!$B:$B,0),MATCH("Element",PWP!$A$1:$Z$1,0))&amp;" "&amp;INDEX(PWP!$A:$Z,MATCH('PWP-Print'!E564,PWP!$B:$B,0),MATCH("Type",PWP!$A$1:$Z$1,0))&amp;" Adventurer"</f>
        <v>Shadow Dagger Adventurer</v>
      </c>
      <c r="K566" s="250"/>
      <c r="M566" s="729"/>
      <c r="O566" s="251" t="str">
        <f>+INDEX(PWP!$A:$Z,MATCH('PWP-Print'!O564,PWP!$B:$B,0),MATCH("Num",PWP!$A$1:$Z$1,0))</f>
        <v>A-274</v>
      </c>
      <c r="Q566" s="249" t="str">
        <f>+INDEX(PWP!$A:$Z,MATCH('PWP-Print'!O564,PWP!$B:$B,0),MATCH("Element",PWP!$A$1:$Z$1,0))&amp;" "&amp;INDEX(PWP!$A:$Z,MATCH('PWP-Print'!O564,PWP!$B:$B,0),MATCH("Type",PWP!$A$1:$Z$1,0))&amp;" Adventurer"</f>
        <v>Shadow Lance Adventurer</v>
      </c>
      <c r="U566" s="250"/>
    </row>
    <row r="567" spans="1:21" ht="7.5" customHeight="1" x14ac:dyDescent="0.3">
      <c r="A567" s="244" t="s">
        <v>10763</v>
      </c>
      <c r="E567" s="250"/>
      <c r="G567" s="250"/>
      <c r="K567" s="250"/>
      <c r="O567" s="250"/>
      <c r="Q567" s="250"/>
      <c r="U567" s="250"/>
    </row>
    <row r="568" spans="1:21" ht="22.5" customHeight="1" x14ac:dyDescent="0.3">
      <c r="C568" s="729" t="e" vm="1306">
        <f>_xlfn.IMAGE("https://natalie.tf/wp-content/uploads/2023/10/DLV3_Icon_ADV_"&amp;E569&amp;"_r05.png")</f>
        <v>#VALUE!</v>
      </c>
      <c r="E568" s="249" t="str">
        <f>"PWP-"&amp;A570</f>
        <v>PWP-262</v>
      </c>
      <c r="G568" s="249" t="str">
        <f>+INDEX(PWP!$A:$Z,MATCH('PWP-Print'!E568,PWP!$B:$B,0),MATCH("Title",PWP!$A$1:$Z$1,0))</f>
        <v>Shadow Assassin</v>
      </c>
      <c r="I568" t="e" vm="14">
        <f>_xlfn.IMAGE("https://natalie.tf/wp-content/uploads/2023/10/DLV3_Icon_Ability_"&amp;INDEX('PWP-A'!$A$2:$C$31,MATCH('PWP-Print'!J568,'PWP-A'!$B$2:$B$31,0),1)&amp;".png")</f>
        <v>#VALUE!</v>
      </c>
      <c r="J568" s="229" t="str">
        <f>+INDEX(PWP!$A:$Z,MATCH('PWP-Print'!E568,PWP!$B:$B,0),MATCH("PWP Ability 1",PWP!$A$1:$Z$1,0))</f>
        <v>Strength +20%</v>
      </c>
      <c r="K568" s="249" t="str">
        <f>+INDEX(PWP!$A:$Z,MATCH('PWP-Print'!E568,PWP!$B:$B,0),MATCH("Locked PWP Ability 1",PWP!$A$1:$Z$1,0))</f>
        <v>(Shadow) Strength +20%</v>
      </c>
      <c r="M568" s="729" t="e" vm="1307">
        <f>_xlfn.IMAGE("https://natalie.tf/wp-content/uploads/2023/10/DLV3_Icon_ADV_"&amp;O569&amp;"_r05.png")</f>
        <v>#VALUE!</v>
      </c>
      <c r="O568" s="249" t="str">
        <f>"PWP-"&amp;B570</f>
        <v>PWP-275</v>
      </c>
      <c r="Q568" s="249" t="str">
        <f>+INDEX(PWP!$A:$Z,MATCH('PWP-Print'!O568,PWP!$B:$B,0),MATCH("Title",PWP!$A$1:$Z$1,0))</f>
        <v>Spirited Sparrow</v>
      </c>
      <c r="S568" t="e" vm="426">
        <f>_xlfn.IMAGE("https://natalie.tf/wp-content/uploads/2023/10/DLV3_Icon_Ability_"&amp;INDEX('PWP-A'!$A$2:$C$31,MATCH('PWP-Print'!T568,'PWP-A'!$B$2:$B$31,0),1)&amp;".png")</f>
        <v>#VALUE!</v>
      </c>
      <c r="T568" s="229" t="str">
        <f>+INDEX(PWP!$A:$Z,MATCH('PWP-Print'!O568,PWP!$B:$B,0),MATCH("PWP Ability 1",PWP!$A$1:$Z$1,0))</f>
        <v>Defense +20%</v>
      </c>
      <c r="U568" s="249" t="str">
        <f>+INDEX(PWP!$A:$Z,MATCH('PWP-Print'!O568,PWP!$B:$B,0),MATCH("Locked PWP Ability 1",PWP!$A$1:$Z$1,0))</f>
        <v>(Shadow) Defense +20%</v>
      </c>
    </row>
    <row r="569" spans="1:21" ht="22.5" customHeight="1" x14ac:dyDescent="0.3">
      <c r="C569" s="729"/>
      <c r="D569" s="8"/>
      <c r="E569" s="200" t="str">
        <f>+INDEX(PWP!$A:$Z,MATCH('PWP-Print'!E568,PWP!$B:$B,0),MATCH("ID",PWP!$A$1:$Z$1,0))</f>
        <v>100005_01</v>
      </c>
      <c r="F569" s="8"/>
      <c r="G569" s="249" t="str">
        <f>+INDEX(PWP!$A:$Z,MATCH('PWP-Print'!E568,PWP!$B:$B,0),MATCH("Name",PWP!$A$1:$Z$1,0))</f>
        <v>Alex</v>
      </c>
      <c r="H569" s="8"/>
      <c r="I569" t="e" vm="326">
        <f>_xlfn.IMAGE("https://natalie.tf/wp-content/uploads/2023/10/DLV3_Icon_Ability_"&amp;INDEX('PWP-A'!$A$2:$C$31,MATCH('PWP-Print'!J569,'PWP-A'!$B$2:$B$31,0),1)&amp;".png")</f>
        <v>#VALUE!</v>
      </c>
      <c r="J569" s="229" t="str">
        <f>+INDEX(PWP!$A:$Z,MATCH('PWP-Print'!E568,PWP!$B:$B,0),MATCH("PWP Ability 2",PWP!$A$1:$Z$1,0))</f>
        <v>Critical Rate +15%</v>
      </c>
      <c r="K569" s="249" t="str">
        <f>+INDEX(PWP!$A:$Z,MATCH('PWP-Print'!E568,PWP!$B:$B,0),MATCH("Locked PWP Ability 2",PWP!$A$1:$Z$1,0))</f>
        <v>(Shadow) Critical Rate +15%</v>
      </c>
      <c r="M569" s="729"/>
      <c r="N569" s="8"/>
      <c r="O569" s="200" t="str">
        <f>+INDEX(PWP!$A:$Z,MATCH('PWP-Print'!O568,PWP!$B:$B,0),MATCH("ID",PWP!$A$1:$Z$1,0))</f>
        <v>110335_01</v>
      </c>
      <c r="P569" s="8"/>
      <c r="Q569" s="249" t="str">
        <f>+INDEX(PWP!$A:$Z,MATCH('PWP-Print'!O568,PWP!$B:$B,0),MATCH("Name",PWP!$A$1:$Z$1,0))</f>
        <v>Patia</v>
      </c>
      <c r="R569" s="8"/>
      <c r="S569" t="e" vm="696">
        <f>_xlfn.IMAGE("https://natalie.tf/wp-content/uploads/2023/10/DLV3_Icon_Ability_"&amp;INDEX('PWP-A'!$A$2:$C$31,MATCH('PWP-Print'!T569,'PWP-A'!$B$2:$B$31,0),1)&amp;".png")</f>
        <v>#VALUE!</v>
      </c>
      <c r="T569" s="229" t="str">
        <f>+INDEX(PWP!$A:$Z,MATCH('PWP-Print'!O568,PWP!$B:$B,0),MATCH("PWP Ability 2",PWP!$A$1:$Z$1,0))</f>
        <v>Elemental Res +15%</v>
      </c>
      <c r="U569" s="249" t="str">
        <f>+INDEX(PWP!$A:$Z,MATCH('PWP-Print'!O568,PWP!$B:$B,0),MATCH("Locked PWP Ability 2",PWP!$A$1:$Z$1,0))</f>
        <v>(Shadow) Elemental Res +15%</v>
      </c>
    </row>
    <row r="570" spans="1:21" ht="22.5" customHeight="1" x14ac:dyDescent="0.3">
      <c r="A570" s="244" t="str">
        <f>TEXT(A566+1,"000")</f>
        <v>262</v>
      </c>
      <c r="B570" s="244" t="str">
        <f>TEXT(B566+1,"000")</f>
        <v>275</v>
      </c>
      <c r="C570" s="729"/>
      <c r="E570" s="251" t="str">
        <f>+INDEX(PWP!$A:$Z,MATCH('PWP-Print'!E568,PWP!$B:$B,0),MATCH("Num",PWP!$A$1:$Z$1,0))</f>
        <v>A-262</v>
      </c>
      <c r="G570" s="249" t="str">
        <f>+INDEX(PWP!$A:$Z,MATCH('PWP-Print'!E568,PWP!$B:$B,0),MATCH("Element",PWP!$A$1:$Z$1,0))&amp;" "&amp;INDEX(PWP!$A:$Z,MATCH('PWP-Print'!E568,PWP!$B:$B,0),MATCH("Type",PWP!$A$1:$Z$1,0))&amp;" Adventurer"</f>
        <v>Shadow Dagger Adventurer</v>
      </c>
      <c r="K570" s="250"/>
      <c r="M570" s="729"/>
      <c r="O570" s="251" t="str">
        <f>+INDEX(PWP!$A:$Z,MATCH('PWP-Print'!O568,PWP!$B:$B,0),MATCH("Num",PWP!$A$1:$Z$1,0))</f>
        <v>A-275</v>
      </c>
      <c r="Q570" s="249" t="str">
        <f>+INDEX(PWP!$A:$Z,MATCH('PWP-Print'!O568,PWP!$B:$B,0),MATCH("Element",PWP!$A$1:$Z$1,0))&amp;" "&amp;INDEX(PWP!$A:$Z,MATCH('PWP-Print'!O568,PWP!$B:$B,0),MATCH("Type",PWP!$A$1:$Z$1,0))&amp;" Adventurer"</f>
        <v>Shadow Lance Adventurer</v>
      </c>
      <c r="U570" s="250"/>
    </row>
    <row r="571" spans="1:21" ht="7.5" customHeight="1" x14ac:dyDescent="0.3">
      <c r="A571" s="244" t="s">
        <v>10763</v>
      </c>
      <c r="E571" s="250"/>
      <c r="G571" s="250"/>
      <c r="K571" s="250"/>
    </row>
    <row r="572" spans="1:21" ht="22.5" customHeight="1" x14ac:dyDescent="0.3">
      <c r="C572" s="729" t="e" vm="1308">
        <f>_xlfn.IMAGE("https://natalie.tf/wp-content/uploads/2023/10/DLV3_Icon_ADV_"&amp;E573&amp;"_r05.png")</f>
        <v>#VALUE!</v>
      </c>
      <c r="E572" s="249" t="str">
        <f>"PWP-"&amp;A574</f>
        <v>PWP-263</v>
      </c>
      <c r="G572" s="249" t="str">
        <f>+INDEX(PWP!$A:$Z,MATCH('PWP-Print'!E572,PWP!$B:$B,0),MATCH("Title",PWP!$A$1:$Z$1,0))</f>
        <v>Maiden Protector</v>
      </c>
      <c r="I572" t="e" vm="414">
        <f>_xlfn.IMAGE("https://natalie.tf/wp-content/uploads/2023/10/DLV3_Icon_Ability_"&amp;INDEX('PWP-A'!$A$2:$C$31,MATCH('PWP-Print'!J572,'PWP-A'!$B$2:$B$31,0),1)&amp;".png")</f>
        <v>#VALUE!</v>
      </c>
      <c r="J572" s="229" t="str">
        <f>+INDEX(PWP!$A:$Z,MATCH('PWP-Print'!E572,PWP!$B:$B,0),MATCH("PWP Ability 1",PWP!$A$1:$Z$1,0))</f>
        <v>Critical Damage +25%</v>
      </c>
      <c r="K572" s="249" t="str">
        <f>+INDEX(PWP!$A:$Z,MATCH('PWP-Print'!E572,PWP!$B:$B,0),MATCH("Locked PWP Ability 1",PWP!$A$1:$Z$1,0))</f>
        <v>(Shadow) Critical Damage +25%</v>
      </c>
      <c r="M572" s="729"/>
      <c r="O572" s="221"/>
      <c r="Q572" s="221"/>
      <c r="U572" s="221"/>
    </row>
    <row r="573" spans="1:21" ht="22.5" customHeight="1" x14ac:dyDescent="0.3">
      <c r="C573" s="729"/>
      <c r="D573" s="8"/>
      <c r="E573" s="200" t="str">
        <f>+INDEX(PWP!$A:$Z,MATCH('PWP-Print'!E572,PWP!$B:$B,0),MATCH("ID",PWP!$A$1:$Z$1,0))</f>
        <v>110052_01</v>
      </c>
      <c r="F573" s="8"/>
      <c r="G573" s="249" t="str">
        <f>+INDEX(PWP!$A:$Z,MATCH('PWP-Print'!E572,PWP!$B:$B,0),MATCH("Name",PWP!$A$1:$Z$1,0))</f>
        <v>Orion</v>
      </c>
      <c r="H573" s="8"/>
      <c r="I573" t="e" vm="330">
        <f>_xlfn.IMAGE("https://natalie.tf/wp-content/uploads/2023/10/DLV3_Icon_Ability_"&amp;INDEX('PWP-A'!$A$2:$C$31,MATCH('PWP-Print'!J573,'PWP-A'!$B$2:$B$31,0),1)&amp;".png")</f>
        <v>#VALUE!</v>
      </c>
      <c r="J573" s="229" t="str">
        <f>+INDEX(PWP!$A:$Z,MATCH('PWP-Print'!E572,PWP!$B:$B,0),MATCH("PWP Ability 2",PWP!$A$1:$Z$1,0))</f>
        <v>Skill Haste +10%</v>
      </c>
      <c r="K573" s="249" t="str">
        <f>+INDEX(PWP!$A:$Z,MATCH('PWP-Print'!E572,PWP!$B:$B,0),MATCH("Locked PWP Ability 2",PWP!$A$1:$Z$1,0))</f>
        <v>(Shadow) Skill Haste +10%</v>
      </c>
      <c r="M573" s="729"/>
      <c r="N573" s="8"/>
      <c r="O573" s="221"/>
      <c r="P573" s="8"/>
      <c r="Q573" s="221"/>
      <c r="R573" s="8"/>
      <c r="S573" s="8"/>
      <c r="T573" s="8"/>
      <c r="U573" s="221"/>
    </row>
    <row r="574" spans="1:21" ht="22.5" customHeight="1" x14ac:dyDescent="0.3">
      <c r="A574" s="244" t="str">
        <f>TEXT(A570+1,"000")</f>
        <v>263</v>
      </c>
      <c r="C574" s="729"/>
      <c r="E574" s="251" t="str">
        <f>+INDEX(PWP!$A:$Z,MATCH('PWP-Print'!E572,PWP!$B:$B,0),MATCH("Num",PWP!$A$1:$Z$1,0))</f>
        <v>A-263</v>
      </c>
      <c r="G574" s="249" t="str">
        <f>+INDEX(PWP!$A:$Z,MATCH('PWP-Print'!E572,PWP!$B:$B,0),MATCH("Element",PWP!$A$1:$Z$1,0))&amp;" "&amp;INDEX(PWP!$A:$Z,MATCH('PWP-Print'!E572,PWP!$B:$B,0),MATCH("Type",PWP!$A$1:$Z$1,0))&amp;" Adventurer"</f>
        <v>Shadow Dagger Adventurer</v>
      </c>
      <c r="K574" s="250"/>
      <c r="M574" s="729"/>
      <c r="O574" s="221"/>
      <c r="Q574" s="221"/>
      <c r="U574" s="222"/>
    </row>
    <row r="575" spans="1:21" ht="37.5" customHeight="1" x14ac:dyDescent="0.2"/>
    <row r="576" spans="1:21" ht="22.5" customHeight="1" x14ac:dyDescent="0.3">
      <c r="C576" s="729" t="e" vm="1309">
        <f>_xlfn.IMAGE("https://natalie.tf/wp-content/uploads/2023/10/DLV3_Icon_ADV_"&amp;E577&amp;"_r05.png")</f>
        <v>#VALUE!</v>
      </c>
      <c r="E576" s="249" t="str">
        <f>"PWP-"&amp;A578</f>
        <v>PWP-276</v>
      </c>
      <c r="G576" s="249" t="str">
        <f>+INDEX(PWP!$A:$Z,MATCH('PWP-Print'!E576,PWP!$B:$B,0),MATCH("Title",PWP!$A$1:$Z$1,0))</f>
        <v>Naginata Cutie</v>
      </c>
      <c r="I576" t="e" vm="330">
        <f>_xlfn.IMAGE("https://natalie.tf/wp-content/uploads/2023/10/DLV3_Icon_Ability_"&amp;INDEX('PWP-A'!$A$2:$C$31,MATCH('PWP-Print'!J576,'PWP-A'!$B$2:$B$31,0),1)&amp;".png")</f>
        <v>#VALUE!</v>
      </c>
      <c r="J576" s="229" t="str">
        <f>+INDEX(PWP!$A:$Z,MATCH('PWP-Print'!E576,PWP!$B:$B,0),MATCH("PWP Ability 1",PWP!$A$1:$Z$1,0))</f>
        <v>Skill Haste +10%</v>
      </c>
      <c r="K576" s="249" t="str">
        <f>+INDEX(PWP!$A:$Z,MATCH('PWP-Print'!E576,PWP!$B:$B,0),MATCH("Locked PWP Ability 1",PWP!$A$1:$Z$1,0))</f>
        <v>(Shadow) Skill Haste +10%</v>
      </c>
      <c r="M576" s="729" t="e" vm="1310">
        <f>_xlfn.IMAGE("https://natalie.tf/wp-content/uploads/2023/10/DLV3_Icon_ADV_"&amp;O577&amp;"_r05.png")</f>
        <v>#VALUE!</v>
      </c>
      <c r="O576" s="249" t="str">
        <f>"PWP-"&amp;B578</f>
        <v>PWP-289</v>
      </c>
      <c r="Q576" s="249" t="str">
        <f>+INDEX(PWP!$A:$Z,MATCH('PWP-Print'!O576,PWP!$B:$B,0),MATCH("Title",PWP!$A$1:$Z$1,0))</f>
        <v>Mad Scientist</v>
      </c>
      <c r="S576" t="e" vm="330">
        <f>_xlfn.IMAGE("https://natalie.tf/wp-content/uploads/2023/10/DLV3_Icon_Ability_"&amp;INDEX('PWP-A'!$A$2:$C$31,MATCH('PWP-Print'!T576,'PWP-A'!$B$2:$B$31,0),1)&amp;".png")</f>
        <v>#VALUE!</v>
      </c>
      <c r="T576" s="229" t="str">
        <f>+INDEX(PWP!$A:$Z,MATCH('PWP-Print'!O576,PWP!$B:$B,0),MATCH("PWP Ability 1",PWP!$A$1:$Z$1,0))</f>
        <v>Skill Haste +10%</v>
      </c>
      <c r="U576" s="249" t="str">
        <f>+INDEX(PWP!$A:$Z,MATCH('PWP-Print'!O576,PWP!$B:$B,0),MATCH("Locked PWP Ability 1",PWP!$A$1:$Z$1,0))</f>
        <v>(Shadow) Skill Haste +10%</v>
      </c>
    </row>
    <row r="577" spans="1:21" ht="22.5" customHeight="1" x14ac:dyDescent="0.3">
      <c r="C577" s="729"/>
      <c r="D577" s="8"/>
      <c r="E577" s="200" t="str">
        <f>+INDEX(PWP!$A:$Z,MATCH('PWP-Print'!E576,PWP!$B:$B,0),MATCH("ID",PWP!$A$1:$Z$1,0))</f>
        <v>110312_01</v>
      </c>
      <c r="F577" s="8"/>
      <c r="G577" s="249" t="str">
        <f>+INDEX(PWP!$A:$Z,MATCH('PWP-Print'!E576,PWP!$B:$B,0),MATCH("Name",PWP!$A$1:$Z$1,0))</f>
        <v>Botan</v>
      </c>
      <c r="H577" s="8"/>
      <c r="I577" t="e" vm="426">
        <f>_xlfn.IMAGE("https://natalie.tf/wp-content/uploads/2023/10/DLV3_Icon_Ability_"&amp;INDEX('PWP-A'!$A$2:$C$31,MATCH('PWP-Print'!J577,'PWP-A'!$B$2:$B$31,0),1)&amp;".png")</f>
        <v>#VALUE!</v>
      </c>
      <c r="J577" s="229" t="str">
        <f>+INDEX(PWP!$A:$Z,MATCH('PWP-Print'!E576,PWP!$B:$B,0),MATCH("PWP Ability 2",PWP!$A$1:$Z$1,0))</f>
        <v>Defense +20%</v>
      </c>
      <c r="K577" s="249" t="str">
        <f>+INDEX(PWP!$A:$Z,MATCH('PWP-Print'!E576,PWP!$B:$B,0),MATCH("Locked PWP Ability 2",PWP!$A$1:$Z$1,0))</f>
        <v>(Shadow) Defense +20%</v>
      </c>
      <c r="M577" s="729"/>
      <c r="N577" s="8"/>
      <c r="O577" s="200" t="str">
        <f>+INDEX(PWP!$A:$Z,MATCH('PWP-Print'!O576,PWP!$B:$B,0),MATCH("ID",PWP!$A$1:$Z$1,0))</f>
        <v>110051_01</v>
      </c>
      <c r="P577" s="8"/>
      <c r="Q577" s="249" t="str">
        <f>+INDEX(PWP!$A:$Z,MATCH('PWP-Print'!O576,PWP!$B:$B,0),MATCH("Name",PWP!$A$1:$Z$1,0))</f>
        <v>Kleimann</v>
      </c>
      <c r="R577" s="8"/>
      <c r="S577" t="e" vm="696">
        <f>_xlfn.IMAGE("https://natalie.tf/wp-content/uploads/2023/10/DLV3_Icon_Ability_"&amp;INDEX('PWP-A'!$A$2:$C$31,MATCH('PWP-Print'!T577,'PWP-A'!$B$2:$B$31,0),1)&amp;".png")</f>
        <v>#VALUE!</v>
      </c>
      <c r="T577" s="229" t="str">
        <f>+INDEX(PWP!$A:$Z,MATCH('PWP-Print'!O576,PWP!$B:$B,0),MATCH("PWP Ability 2",PWP!$A$1:$Z$1,0))</f>
        <v>Elemental Res +15%</v>
      </c>
      <c r="U577" s="249" t="str">
        <f>+INDEX(PWP!$A:$Z,MATCH('PWP-Print'!O576,PWP!$B:$B,0),MATCH("Locked PWP Ability 2",PWP!$A$1:$Z$1,0))</f>
        <v>(Shadow) Elemental Res +15%</v>
      </c>
    </row>
    <row r="578" spans="1:21" ht="22.5" customHeight="1" x14ac:dyDescent="0.3">
      <c r="A578" s="242" t="str">
        <f>TEXT(B570+1,"000")</f>
        <v>276</v>
      </c>
      <c r="B578" s="244" t="str">
        <f>TEXT(A626+1,"000")</f>
        <v>289</v>
      </c>
      <c r="C578" s="729"/>
      <c r="E578" s="251" t="str">
        <f>+INDEX(PWP!$A:$Z,MATCH('PWP-Print'!E576,PWP!$B:$B,0),MATCH("Num",PWP!$A$1:$Z$1,0))</f>
        <v>A-276</v>
      </c>
      <c r="G578" s="249" t="str">
        <f>+INDEX(PWP!$A:$Z,MATCH('PWP-Print'!E576,PWP!$B:$B,0),MATCH("Element",PWP!$A$1:$Z$1,0))&amp;" "&amp;INDEX(PWP!$A:$Z,MATCH('PWP-Print'!E576,PWP!$B:$B,0),MATCH("Type",PWP!$A$1:$Z$1,0))&amp;" Adventurer"</f>
        <v>Shadow Lance Adventurer</v>
      </c>
      <c r="K578" s="250"/>
      <c r="M578" s="729"/>
      <c r="O578" s="251" t="str">
        <f>+INDEX(PWP!$A:$Z,MATCH('PWP-Print'!O576,PWP!$B:$B,0),MATCH("Num",PWP!$A$1:$Z$1,0))</f>
        <v>A-289</v>
      </c>
      <c r="Q578" s="249" t="str">
        <f>+INDEX(PWP!$A:$Z,MATCH('PWP-Print'!O576,PWP!$B:$B,0),MATCH("Element",PWP!$A$1:$Z$1,0))&amp;" "&amp;INDEX(PWP!$A:$Z,MATCH('PWP-Print'!O576,PWP!$B:$B,0),MATCH("Type",PWP!$A$1:$Z$1,0))&amp;" Adventurer"</f>
        <v>Shadow Wand Adventurer</v>
      </c>
      <c r="U578" s="250"/>
    </row>
    <row r="579" spans="1:21" ht="7.5" customHeight="1" x14ac:dyDescent="0.3">
      <c r="A579" s="244" t="s">
        <v>10763</v>
      </c>
      <c r="E579" s="250"/>
      <c r="G579" s="250"/>
      <c r="K579" s="250"/>
      <c r="O579" s="250"/>
      <c r="Q579" s="250"/>
      <c r="U579" s="250"/>
    </row>
    <row r="580" spans="1:21" ht="22.5" customHeight="1" x14ac:dyDescent="0.3">
      <c r="C580" s="729" t="e" vm="1311">
        <f>_xlfn.IMAGE("https://natalie.tf/wp-content/uploads/2023/10/DLV3_Icon_ADV_"&amp;E581&amp;"_r05.png")</f>
        <v>#VALUE!</v>
      </c>
      <c r="E580" s="249" t="str">
        <f>"PWP-"&amp;A582</f>
        <v>PWP-277</v>
      </c>
      <c r="G580" s="249" t="str">
        <f>+INDEX(PWP!$A:$Z,MATCH('PWP-Print'!E580,PWP!$B:$B,0),MATCH("Title",PWP!$A$1:$Z$1,0))</f>
        <v>Bone Collector</v>
      </c>
      <c r="I580" t="e" vm="688">
        <f>_xlfn.IMAGE("https://natalie.tf/wp-content/uploads/2023/10/DLV3_Icon_Ability_"&amp;INDEX('PWP-A'!$A$2:$C$31,MATCH('PWP-Print'!J580,'PWP-A'!$B$2:$B$31,0),1)&amp;".png")</f>
        <v>#VALUE!</v>
      </c>
      <c r="J580" s="229" t="str">
        <f>+INDEX(PWP!$A:$Z,MATCH('PWP-Print'!E580,PWP!$B:$B,0),MATCH("PWP Ability 1",PWP!$A$1:$Z$1,0))</f>
        <v>Overdrive Punisher +15%</v>
      </c>
      <c r="K580" s="255" t="str">
        <f>+INDEX(PWP!$A:$Z,MATCH('PWP-Print'!E580,PWP!$B:$B,0),MATCH("Locked PWP Ability 1",PWP!$A$1:$Z$1,0))</f>
        <v>(Shadow) Overdrive Punisher +15%</v>
      </c>
      <c r="M580" s="729" t="e" vm="1312">
        <f>_xlfn.IMAGE("https://natalie.tf/wp-content/uploads/2023/10/DLV3_Icon_ADV_"&amp;O581&amp;"_r05.png")</f>
        <v>#VALUE!</v>
      </c>
      <c r="O580" s="249" t="str">
        <f>"PWP-"&amp;B582</f>
        <v>PWP-290</v>
      </c>
      <c r="Q580" s="249" t="str">
        <f>+INDEX(PWP!$A:$Z,MATCH('PWP-Print'!O580,PWP!$B:$B,0),MATCH("Title",PWP!$A$1:$Z$1,0))</f>
        <v>Timid Researcher</v>
      </c>
      <c r="S580" t="e" vm="496">
        <f>_xlfn.IMAGE("https://natalie.tf/wp-content/uploads/2023/10/DLV3_Icon_Ability_"&amp;INDEX('PWP-A'!$A$2:$C$31,MATCH('PWP-Print'!T580,'PWP-A'!$B$2:$B$31,0),1)&amp;".png")</f>
        <v>#VALUE!</v>
      </c>
      <c r="T580" s="229" t="str">
        <f>+INDEX(PWP!$A:$Z,MATCH('PWP-Print'!O580,PWP!$B:$B,0),MATCH("PWP Ability 1",PWP!$A$1:$Z$1,0))</f>
        <v>HP +15%</v>
      </c>
      <c r="U580" s="249" t="str">
        <f>+INDEX(PWP!$A:$Z,MATCH('PWP-Print'!O580,PWP!$B:$B,0),MATCH("Locked PWP Ability 1",PWP!$A$1:$Z$1,0))</f>
        <v>(Shadow) HP +15%</v>
      </c>
    </row>
    <row r="581" spans="1:21" ht="22.5" customHeight="1" x14ac:dyDescent="0.3">
      <c r="C581" s="729"/>
      <c r="D581" s="8"/>
      <c r="E581" s="200" t="str">
        <f>+INDEX(PWP!$A:$Z,MATCH('PWP-Print'!E580,PWP!$B:$B,0),MATCH("ID",PWP!$A$1:$Z$1,0))</f>
        <v>110254_01</v>
      </c>
      <c r="F581" s="8"/>
      <c r="G581" s="249" t="str">
        <f>+INDEX(PWP!$A:$Z,MATCH('PWP-Print'!E580,PWP!$B:$B,0),MATCH("Name",PWP!$A$1:$Z$1,0))</f>
        <v>Zace</v>
      </c>
      <c r="H581" s="8"/>
      <c r="I581" t="e" vm="496">
        <f>_xlfn.IMAGE("https://natalie.tf/wp-content/uploads/2023/10/DLV3_Icon_Ability_"&amp;INDEX('PWP-A'!$A$2:$C$31,MATCH('PWP-Print'!J581,'PWP-A'!$B$2:$B$31,0),1)&amp;".png")</f>
        <v>#VALUE!</v>
      </c>
      <c r="J581" s="229" t="str">
        <f>+INDEX(PWP!$A:$Z,MATCH('PWP-Print'!E580,PWP!$B:$B,0),MATCH("PWP Ability 2",PWP!$A$1:$Z$1,0))</f>
        <v>HP +15%</v>
      </c>
      <c r="K581" s="249" t="str">
        <f>+INDEX(PWP!$A:$Z,MATCH('PWP-Print'!E580,PWP!$B:$B,0),MATCH("Locked PWP Ability 2",PWP!$A$1:$Z$1,0))</f>
        <v>(Shadow) HP +15%</v>
      </c>
      <c r="M581" s="729"/>
      <c r="N581" s="8"/>
      <c r="O581" s="200" t="str">
        <f>+INDEX(PWP!$A:$Z,MATCH('PWP-Print'!O580,PWP!$B:$B,0),MATCH("ID",PWP!$A$1:$Z$1,0))</f>
        <v>110047_01</v>
      </c>
      <c r="P581" s="8"/>
      <c r="Q581" s="249" t="str">
        <f>+INDEX(PWP!$A:$Z,MATCH('PWP-Print'!O580,PWP!$B:$B,0),MATCH("Name",PWP!$A$1:$Z$1,0))</f>
        <v>Althemia</v>
      </c>
      <c r="R581" s="8"/>
      <c r="S581" t="e" vm="696">
        <f>_xlfn.IMAGE("https://natalie.tf/wp-content/uploads/2023/10/DLV3_Icon_Ability_"&amp;INDEX('PWP-A'!$A$2:$C$31,MATCH('PWP-Print'!T581,'PWP-A'!$B$2:$B$31,0),1)&amp;".png")</f>
        <v>#VALUE!</v>
      </c>
      <c r="T581" s="229" t="str">
        <f>+INDEX(PWP!$A:$Z,MATCH('PWP-Print'!O580,PWP!$B:$B,0),MATCH("PWP Ability 2",PWP!$A$1:$Z$1,0))</f>
        <v>Elemental Res +15%</v>
      </c>
      <c r="U581" s="249" t="str">
        <f>+INDEX(PWP!$A:$Z,MATCH('PWP-Print'!O580,PWP!$B:$B,0),MATCH("Locked PWP Ability 2",PWP!$A$1:$Z$1,0))</f>
        <v>(Shadow) Elemental Res +15%</v>
      </c>
    </row>
    <row r="582" spans="1:21" ht="22.5" customHeight="1" x14ac:dyDescent="0.3">
      <c r="A582" s="244" t="str">
        <f>TEXT(A578+1,"000")</f>
        <v>277</v>
      </c>
      <c r="B582" s="244" t="str">
        <f>TEXT(B578+1,"000")</f>
        <v>290</v>
      </c>
      <c r="C582" s="729"/>
      <c r="E582" s="251" t="str">
        <f>+INDEX(PWP!$A:$Z,MATCH('PWP-Print'!E580,PWP!$B:$B,0),MATCH("Num",PWP!$A$1:$Z$1,0))</f>
        <v>A-277</v>
      </c>
      <c r="G582" s="249" t="str">
        <f>+INDEX(PWP!$A:$Z,MATCH('PWP-Print'!E580,PWP!$B:$B,0),MATCH("Element",PWP!$A$1:$Z$1,0))&amp;" "&amp;INDEX(PWP!$A:$Z,MATCH('PWP-Print'!E580,PWP!$B:$B,0),MATCH("Type",PWP!$A$1:$Z$1,0))&amp;" Adventurer"</f>
        <v>Shadow Lance Adventurer</v>
      </c>
      <c r="K582" s="250"/>
      <c r="M582" s="729"/>
      <c r="O582" s="251" t="str">
        <f>+INDEX(PWP!$A:$Z,MATCH('PWP-Print'!O580,PWP!$B:$B,0),MATCH("Num",PWP!$A$1:$Z$1,0))</f>
        <v>A-290</v>
      </c>
      <c r="Q582" s="249" t="str">
        <f>+INDEX(PWP!$A:$Z,MATCH('PWP-Print'!O580,PWP!$B:$B,0),MATCH("Element",PWP!$A$1:$Z$1,0))&amp;" "&amp;INDEX(PWP!$A:$Z,MATCH('PWP-Print'!O580,PWP!$B:$B,0),MATCH("Type",PWP!$A$1:$Z$1,0))&amp;" Adventurer"</f>
        <v>Shadow Wand Adventurer</v>
      </c>
      <c r="U582" s="250"/>
    </row>
    <row r="583" spans="1:21" ht="7.5" customHeight="1" x14ac:dyDescent="0.3">
      <c r="A583" s="244" t="s">
        <v>10763</v>
      </c>
      <c r="E583" s="250"/>
      <c r="G583" s="250"/>
      <c r="K583" s="250"/>
      <c r="O583" s="250"/>
      <c r="Q583" s="250"/>
      <c r="U583" s="250"/>
    </row>
    <row r="584" spans="1:21" ht="22.5" customHeight="1" x14ac:dyDescent="0.3">
      <c r="C584" s="729" t="e" vm="1313">
        <f>_xlfn.IMAGE("https://natalie.tf/wp-content/uploads/2023/10/DLV3_Icon_ADV_"&amp;E585&amp;"_r05.png")</f>
        <v>#VALUE!</v>
      </c>
      <c r="E584" s="249" t="str">
        <f>"PWP-"&amp;A586</f>
        <v>PWP-278</v>
      </c>
      <c r="G584" s="249" t="str">
        <f>+INDEX(PWP!$A:$Z,MATCH('PWP-Print'!E584,PWP!$B:$B,0),MATCH("Title",PWP!$A$1:$Z$1,0))</f>
        <v>Enchanting Aromatherapist</v>
      </c>
      <c r="I584" t="e" vm="414">
        <f>_xlfn.IMAGE("https://natalie.tf/wp-content/uploads/2023/10/DLV3_Icon_Ability_"&amp;INDEX('PWP-A'!$A$2:$C$31,MATCH('PWP-Print'!J584,'PWP-A'!$B$2:$B$31,0),1)&amp;".png")</f>
        <v>#VALUE!</v>
      </c>
      <c r="J584" s="229" t="str">
        <f>+INDEX(PWP!$A:$Z,MATCH('PWP-Print'!E584,PWP!$B:$B,0),MATCH("PWP Ability 1",PWP!$A$1:$Z$1,0))</f>
        <v>Critical Damage +25%</v>
      </c>
      <c r="K584" s="249" t="str">
        <f>+INDEX(PWP!$A:$Z,MATCH('PWP-Print'!E584,PWP!$B:$B,0),MATCH("Locked PWP Ability 1",PWP!$A$1:$Z$1,0))</f>
        <v>(Shadow) Critical Damage +25%</v>
      </c>
      <c r="M584" s="729" t="e" vm="1314">
        <f>_xlfn.IMAGE("https://natalie.tf/wp-content/uploads/2023/10/DLV3_Icon_ADV_"&amp;O585&amp;"_r05.png")</f>
        <v>#VALUE!</v>
      </c>
      <c r="O584" s="249" t="str">
        <f>"PWP-"&amp;B586</f>
        <v>PWP-291</v>
      </c>
      <c r="Q584" s="249" t="str">
        <f>+INDEX(PWP!$A:$Z,MATCH('PWP-Print'!O584,PWP!$B:$B,0),MATCH("Title",PWP!$A$1:$Z$1,0))</f>
        <v>Wistful Widow</v>
      </c>
      <c r="S584" t="e" vm="496">
        <f>_xlfn.IMAGE("https://natalie.tf/wp-content/uploads/2023/10/DLV3_Icon_Ability_"&amp;INDEX('PWP-A'!$A$2:$C$31,MATCH('PWP-Print'!T584,'PWP-A'!$B$2:$B$31,0),1)&amp;".png")</f>
        <v>#VALUE!</v>
      </c>
      <c r="T584" s="229" t="str">
        <f>+INDEX(PWP!$A:$Z,MATCH('PWP-Print'!O584,PWP!$B:$B,0),MATCH("PWP Ability 1",PWP!$A$1:$Z$1,0))</f>
        <v>HP +15%</v>
      </c>
      <c r="U584" s="249" t="str">
        <f>+INDEX(PWP!$A:$Z,MATCH('PWP-Print'!O584,PWP!$B:$B,0),MATCH("Locked PWP Ability 1",PWP!$A$1:$Z$1,0))</f>
        <v>(Shadow) HP +15%</v>
      </c>
    </row>
    <row r="585" spans="1:21" ht="22.5" customHeight="1" x14ac:dyDescent="0.3">
      <c r="C585" s="729"/>
      <c r="D585" s="8"/>
      <c r="E585" s="200" t="str">
        <f>+INDEX(PWP!$A:$Z,MATCH('PWP-Print'!E584,PWP!$B:$B,0),MATCH("ID",PWP!$A$1:$Z$1,0))</f>
        <v>110318_02</v>
      </c>
      <c r="F585" s="8"/>
      <c r="G585" s="249" t="str">
        <f>+INDEX(PWP!$A:$Z,MATCH('PWP-Print'!E584,PWP!$B:$B,0),MATCH("Name",PWP!$A$1:$Z$1,0))</f>
        <v>Halloween Sylas</v>
      </c>
      <c r="H585" s="8"/>
      <c r="I585" t="e" vm="496">
        <f>_xlfn.IMAGE("https://natalie.tf/wp-content/uploads/2023/10/DLV3_Icon_Ability_"&amp;INDEX('PWP-A'!$A$2:$C$31,MATCH('PWP-Print'!J585,'PWP-A'!$B$2:$B$31,0),1)&amp;".png")</f>
        <v>#VALUE!</v>
      </c>
      <c r="J585" s="229" t="str">
        <f>+INDEX(PWP!$A:$Z,MATCH('PWP-Print'!E584,PWP!$B:$B,0),MATCH("PWP Ability 2",PWP!$A$1:$Z$1,0))</f>
        <v>HP +15%</v>
      </c>
      <c r="K585" s="249" t="str">
        <f>+INDEX(PWP!$A:$Z,MATCH('PWP-Print'!E584,PWP!$B:$B,0),MATCH("Locked PWP Ability 2",PWP!$A$1:$Z$1,0))</f>
        <v>(Shadow) HP +15%</v>
      </c>
      <c r="M585" s="729"/>
      <c r="N585" s="8"/>
      <c r="O585" s="200" t="str">
        <f>+INDEX(PWP!$A:$Z,MATCH('PWP-Print'!O584,PWP!$B:$B,0),MATCH("ID",PWP!$A$1:$Z$1,0))</f>
        <v>110059_01</v>
      </c>
      <c r="P585" s="8"/>
      <c r="Q585" s="249" t="str">
        <f>+INDEX(PWP!$A:$Z,MATCH('PWP-Print'!O584,PWP!$B:$B,0),MATCH("Name",PWP!$A$1:$Z$1,0))</f>
        <v>Grace</v>
      </c>
      <c r="R585" s="8"/>
      <c r="S585" t="e" vm="426">
        <f>_xlfn.IMAGE("https://natalie.tf/wp-content/uploads/2023/10/DLV3_Icon_Ability_"&amp;INDEX('PWP-A'!$A$2:$C$31,MATCH('PWP-Print'!T585,'PWP-A'!$B$2:$B$31,0),1)&amp;".png")</f>
        <v>#VALUE!</v>
      </c>
      <c r="T585" s="229" t="str">
        <f>+INDEX(PWP!$A:$Z,MATCH('PWP-Print'!O584,PWP!$B:$B,0),MATCH("PWP Ability 2",PWP!$A$1:$Z$1,0))</f>
        <v>Defense +20%</v>
      </c>
      <c r="U585" s="249" t="str">
        <f>+INDEX(PWP!$A:$Z,MATCH('PWP-Print'!O584,PWP!$B:$B,0),MATCH("Locked PWP Ability 2",PWP!$A$1:$Z$1,0))</f>
        <v>(Shadow) Defense +20%</v>
      </c>
    </row>
    <row r="586" spans="1:21" ht="22.5" customHeight="1" x14ac:dyDescent="0.3">
      <c r="A586" s="244" t="str">
        <f>TEXT(A582+1,"000")</f>
        <v>278</v>
      </c>
      <c r="B586" s="244" t="str">
        <f>TEXT(B582+1,"000")</f>
        <v>291</v>
      </c>
      <c r="C586" s="729"/>
      <c r="E586" s="251" t="str">
        <f>+INDEX(PWP!$A:$Z,MATCH('PWP-Print'!E584,PWP!$B:$B,0),MATCH("Num",PWP!$A$1:$Z$1,0))</f>
        <v>A-278</v>
      </c>
      <c r="G586" s="249" t="str">
        <f>+INDEX(PWP!$A:$Z,MATCH('PWP-Print'!E584,PWP!$B:$B,0),MATCH("Element",PWP!$A$1:$Z$1,0))&amp;" "&amp;INDEX(PWP!$A:$Z,MATCH('PWP-Print'!E584,PWP!$B:$B,0),MATCH("Type",PWP!$A$1:$Z$1,0))&amp;" Adventurer"</f>
        <v>Shadow Bow Adventurer</v>
      </c>
      <c r="K586" s="250"/>
      <c r="M586" s="729"/>
      <c r="O586" s="251" t="str">
        <f>+INDEX(PWP!$A:$Z,MATCH('PWP-Print'!O584,PWP!$B:$B,0),MATCH("Num",PWP!$A$1:$Z$1,0))</f>
        <v>A-291</v>
      </c>
      <c r="Q586" s="249" t="str">
        <f>+INDEX(PWP!$A:$Z,MATCH('PWP-Print'!O584,PWP!$B:$B,0),MATCH("Element",PWP!$A$1:$Z$1,0))&amp;" "&amp;INDEX(PWP!$A:$Z,MATCH('PWP-Print'!O584,PWP!$B:$B,0),MATCH("Type",PWP!$A$1:$Z$1,0))&amp;" Adventurer"</f>
        <v>Shadow Staff Adventurer</v>
      </c>
      <c r="U586" s="250"/>
    </row>
    <row r="587" spans="1:21" ht="7.5" customHeight="1" x14ac:dyDescent="0.3">
      <c r="A587" s="244" t="s">
        <v>10763</v>
      </c>
      <c r="E587" s="250"/>
      <c r="G587" s="250"/>
      <c r="K587" s="250"/>
      <c r="O587" s="250"/>
      <c r="Q587" s="250"/>
      <c r="U587" s="250"/>
    </row>
    <row r="588" spans="1:21" ht="22.5" customHeight="1" x14ac:dyDescent="0.3">
      <c r="C588" s="729" t="e" vm="1315">
        <f>_xlfn.IMAGE("https://natalie.tf/wp-content/uploads/2023/10/DLV3_Icon_ADV_"&amp;E589&amp;"_r05.png")</f>
        <v>#VALUE!</v>
      </c>
      <c r="E588" s="249" t="str">
        <f>"PWP-"&amp;A590</f>
        <v>PWP-279</v>
      </c>
      <c r="G588" s="249" t="str">
        <f>+INDEX(PWP!$A:$Z,MATCH('PWP-Print'!E588,PWP!$B:$B,0),MATCH("Title",PWP!$A$1:$Z$1,0))</f>
        <v>Pirate Opera Prima Donna</v>
      </c>
      <c r="I588" t="e" vm="326">
        <f>_xlfn.IMAGE("https://natalie.tf/wp-content/uploads/2023/10/DLV3_Icon_Ability_"&amp;INDEX('PWP-A'!$A$2:$C$31,MATCH('PWP-Print'!J588,'PWP-A'!$B$2:$B$31,0),1)&amp;".png")</f>
        <v>#VALUE!</v>
      </c>
      <c r="J588" s="229" t="str">
        <f>+INDEX(PWP!$A:$Z,MATCH('PWP-Print'!E588,PWP!$B:$B,0),MATCH("PWP Ability 1",PWP!$A$1:$Z$1,0))</f>
        <v>Critical Rate +15%</v>
      </c>
      <c r="K588" s="249" t="str">
        <f>+INDEX(PWP!$A:$Z,MATCH('PWP-Print'!E588,PWP!$B:$B,0),MATCH("Locked PWP Ability 1",PWP!$A$1:$Z$1,0))</f>
        <v>(Shadow) Critical Rate +15%</v>
      </c>
      <c r="M588" s="729" t="e" vm="1316">
        <f>_xlfn.IMAGE("https://natalie.tf/wp-content/uploads/2023/10/DLV3_Icon_ADV_"&amp;O589&amp;"_r05.png")</f>
        <v>#VALUE!</v>
      </c>
      <c r="O588" s="249" t="str">
        <f>"PWP-"&amp;B590</f>
        <v>PWP-292</v>
      </c>
      <c r="Q588" s="249" t="str">
        <f>+INDEX(PWP!$A:$Z,MATCH('PWP-Print'!O588,PWP!$B:$B,0),MATCH("Title",PWP!$A$1:$Z$1,0))</f>
        <v>Beach Beauty</v>
      </c>
      <c r="S588" t="e" vm="1036">
        <f>_xlfn.IMAGE("https://natalie.tf/wp-content/uploads/2023/10/DLV3_Icon_Ability_"&amp;INDEX('PWP-A'!$A$2:$C$31,MATCH('PWP-Print'!T588,'PWP-A'!$B$2:$B$31,0),1)&amp;".png")</f>
        <v>#VALUE!</v>
      </c>
      <c r="T588" s="229" t="str">
        <f>+INDEX(PWP!$A:$Z,MATCH('PWP-Print'!O588,PWP!$B:$B,0),MATCH("PWP Ability 1",PWP!$A$1:$Z$1,0))</f>
        <v>15 Hits = Overdamage</v>
      </c>
      <c r="U588" s="249" t="str">
        <f>+INDEX(PWP!$A:$Z,MATCH('PWP-Print'!O588,PWP!$B:$B,0),MATCH("Locked PWP Ability 1",PWP!$A$1:$Z$1,0))</f>
        <v>(Shadow) 15 Hits = Overdamage</v>
      </c>
    </row>
    <row r="589" spans="1:21" ht="22.5" customHeight="1" x14ac:dyDescent="0.3">
      <c r="C589" s="729"/>
      <c r="D589" s="8"/>
      <c r="E589" s="200" t="str">
        <f>+INDEX(PWP!$A:$Z,MATCH('PWP-Print'!E588,PWP!$B:$B,0),MATCH("ID",PWP!$A$1:$Z$1,0))</f>
        <v>110018_02</v>
      </c>
      <c r="F589" s="8"/>
      <c r="G589" s="249" t="str">
        <f>+INDEX(PWP!$A:$Z,MATCH('PWP-Print'!E588,PWP!$B:$B,0),MATCH("Name",PWP!$A$1:$Z$1,0))</f>
        <v>Opera Karina</v>
      </c>
      <c r="H589" s="8"/>
      <c r="I589" t="e" vm="496">
        <f>_xlfn.IMAGE("https://natalie.tf/wp-content/uploads/2023/10/DLV3_Icon_Ability_"&amp;INDEX('PWP-A'!$A$2:$C$31,MATCH('PWP-Print'!J589,'PWP-A'!$B$2:$B$31,0),1)&amp;".png")</f>
        <v>#VALUE!</v>
      </c>
      <c r="J589" s="229" t="str">
        <f>+INDEX(PWP!$A:$Z,MATCH('PWP-Print'!E588,PWP!$B:$B,0),MATCH("PWP Ability 2",PWP!$A$1:$Z$1,0))</f>
        <v>HP +15%</v>
      </c>
      <c r="K589" s="249" t="str">
        <f>+INDEX(PWP!$A:$Z,MATCH('PWP-Print'!E588,PWP!$B:$B,0),MATCH("Locked PWP Ability 2",PWP!$A$1:$Z$1,0))</f>
        <v>(Shadow) HP +15%</v>
      </c>
      <c r="M589" s="729"/>
      <c r="N589" s="8"/>
      <c r="O589" s="200" t="str">
        <f>+INDEX(PWP!$A:$Z,MATCH('PWP-Print'!O588,PWP!$B:$B,0),MATCH("ID",PWP!$A$1:$Z$1,0))</f>
        <v>110269_02</v>
      </c>
      <c r="P589" s="8"/>
      <c r="Q589" s="249" t="str">
        <f>+INDEX(PWP!$A:$Z,MATCH('PWP-Print'!O588,PWP!$B:$B,0),MATCH("Name",PWP!$A$1:$Z$1,0))</f>
        <v>Summer Verica</v>
      </c>
      <c r="R589" s="8"/>
      <c r="S589" t="e" vm="426">
        <f>_xlfn.IMAGE("https://natalie.tf/wp-content/uploads/2023/10/DLV3_Icon_Ability_"&amp;INDEX('PWP-A'!$A$2:$C$31,MATCH('PWP-Print'!T589,'PWP-A'!$B$2:$B$31,0),1)&amp;".png")</f>
        <v>#VALUE!</v>
      </c>
      <c r="T589" s="229" t="str">
        <f>+INDEX(PWP!$A:$Z,MATCH('PWP-Print'!O588,PWP!$B:$B,0),MATCH("PWP Ability 2",PWP!$A$1:$Z$1,0))</f>
        <v>Defense +20%</v>
      </c>
      <c r="U589" s="249" t="str">
        <f>+INDEX(PWP!$A:$Z,MATCH('PWP-Print'!O588,PWP!$B:$B,0),MATCH("Locked PWP Ability 2",PWP!$A$1:$Z$1,0))</f>
        <v>(Shadow) Defense +20%</v>
      </c>
    </row>
    <row r="590" spans="1:21" ht="22.5" customHeight="1" x14ac:dyDescent="0.3">
      <c r="A590" s="244" t="str">
        <f>TEXT(A586+1,"000")</f>
        <v>279</v>
      </c>
      <c r="B590" s="244" t="str">
        <f>TEXT(B586+1,"000")</f>
        <v>292</v>
      </c>
      <c r="C590" s="729"/>
      <c r="E590" s="251" t="str">
        <f>+INDEX(PWP!$A:$Z,MATCH('PWP-Print'!E588,PWP!$B:$B,0),MATCH("Num",PWP!$A$1:$Z$1,0))</f>
        <v>A-279</v>
      </c>
      <c r="G590" s="249" t="str">
        <f>+INDEX(PWP!$A:$Z,MATCH('PWP-Print'!E588,PWP!$B:$B,0),MATCH("Element",PWP!$A$1:$Z$1,0))&amp;" "&amp;INDEX(PWP!$A:$Z,MATCH('PWP-Print'!E588,PWP!$B:$B,0),MATCH("Type",PWP!$A$1:$Z$1,0))&amp;" Adventurer"</f>
        <v>Shadow Bow Adventurer</v>
      </c>
      <c r="K590" s="250"/>
      <c r="M590" s="729"/>
      <c r="O590" s="251" t="str">
        <f>+INDEX(PWP!$A:$Z,MATCH('PWP-Print'!O588,PWP!$B:$B,0),MATCH("Num",PWP!$A$1:$Z$1,0))</f>
        <v>A-292</v>
      </c>
      <c r="Q590" s="249" t="str">
        <f>+INDEX(PWP!$A:$Z,MATCH('PWP-Print'!O588,PWP!$B:$B,0),MATCH("Element",PWP!$A$1:$Z$1,0))&amp;" "&amp;INDEX(PWP!$A:$Z,MATCH('PWP-Print'!O588,PWP!$B:$B,0),MATCH("Type",PWP!$A$1:$Z$1,0))&amp;" Adventurer"</f>
        <v>Shadow Staff Adventurer</v>
      </c>
      <c r="U590" s="250"/>
    </row>
    <row r="591" spans="1:21" ht="7.5" customHeight="1" x14ac:dyDescent="0.3">
      <c r="A591" s="244" t="s">
        <v>10763</v>
      </c>
      <c r="E591" s="250"/>
      <c r="G591" s="250"/>
      <c r="K591" s="250"/>
      <c r="O591" s="250"/>
      <c r="Q591" s="250"/>
      <c r="U591" s="250"/>
    </row>
    <row r="592" spans="1:21" ht="22.5" customHeight="1" x14ac:dyDescent="0.3">
      <c r="C592" s="729" t="e" vm="1317">
        <f>_xlfn.IMAGE("https://natalie.tf/wp-content/uploads/2023/10/DLV3_Icon_ADV_"&amp;E593&amp;"_r05.png")</f>
        <v>#VALUE!</v>
      </c>
      <c r="E592" s="249" t="str">
        <f>"PWP-"&amp;A594</f>
        <v>PWP-280</v>
      </c>
      <c r="G592" s="249" t="str">
        <f>+INDEX(PWP!$A:$Z,MATCH('PWP-Print'!E592,PWP!$B:$B,0),MATCH("Title",PWP!$A$1:$Z$1,0))</f>
        <v>Unrelenting Beauty</v>
      </c>
      <c r="I592" t="e" vm="326">
        <f>_xlfn.IMAGE("https://natalie.tf/wp-content/uploads/2023/10/DLV3_Icon_Ability_"&amp;INDEX('PWP-A'!$A$2:$C$31,MATCH('PWP-Print'!J592,'PWP-A'!$B$2:$B$31,0),1)&amp;".png")</f>
        <v>#VALUE!</v>
      </c>
      <c r="J592" s="229" t="str">
        <f>+INDEX(PWP!$A:$Z,MATCH('PWP-Print'!E592,PWP!$B:$B,0),MATCH("PWP Ability 1",PWP!$A$1:$Z$1,0))</f>
        <v>Critical Rate +15%</v>
      </c>
      <c r="K592" s="249" t="str">
        <f>+INDEX(PWP!$A:$Z,MATCH('PWP-Print'!E592,PWP!$B:$B,0),MATCH("Locked PWP Ability 1",PWP!$A$1:$Z$1,0))</f>
        <v>(Shadow) Critical Rate +15%</v>
      </c>
      <c r="M592" s="729" t="e" vm="1318">
        <f>_xlfn.IMAGE("https://natalie.tf/wp-content/uploads/2023/10/DLV3_Icon_ADV_"&amp;O593&amp;"_r05.png")</f>
        <v>#VALUE!</v>
      </c>
      <c r="O592" s="249" t="str">
        <f>"PWP-"&amp;B594</f>
        <v>PWP-293</v>
      </c>
      <c r="Q592" s="249" t="str">
        <f>+INDEX(PWP!$A:$Z,MATCH('PWP-Print'!O592,PWP!$B:$B,0),MATCH("Title",PWP!$A$1:$Z$1,0))</f>
        <v>Seeker of Truth</v>
      </c>
      <c r="S592" t="e" vm="14">
        <f>_xlfn.IMAGE("https://natalie.tf/wp-content/uploads/2023/10/DLV3_Icon_Ability_"&amp;INDEX('PWP-A'!$A$2:$C$31,MATCH('PWP-Print'!T592,'PWP-A'!$B$2:$B$31,0),1)&amp;".png")</f>
        <v>#VALUE!</v>
      </c>
      <c r="T592" s="229" t="str">
        <f>+INDEX(PWP!$A:$Z,MATCH('PWP-Print'!O592,PWP!$B:$B,0),MATCH("PWP Ability 1",PWP!$A$1:$Z$1,0))</f>
        <v>Strength +20%</v>
      </c>
      <c r="U592" s="249" t="str">
        <f>+INDEX(PWP!$A:$Z,MATCH('PWP-Print'!O592,PWP!$B:$B,0),MATCH("Locked PWP Ability 1",PWP!$A$1:$Z$1,0))</f>
        <v>(Shadow) Strength +20%</v>
      </c>
    </row>
    <row r="593" spans="1:21" ht="22.5" customHeight="1" x14ac:dyDescent="0.3">
      <c r="C593" s="729"/>
      <c r="D593" s="8"/>
      <c r="E593" s="200" t="str">
        <f>+INDEX(PWP!$A:$Z,MATCH('PWP-Print'!E592,PWP!$B:$B,0),MATCH("ID",PWP!$A$1:$Z$1,0))</f>
        <v>100015_04</v>
      </c>
      <c r="F593" s="8"/>
      <c r="G593" s="249" t="str">
        <f>+INDEX(PWP!$A:$Z,MATCH('PWP-Print'!E592,PWP!$B:$B,0),MATCH("Name",PWP!$A$1:$Z$1,0))</f>
        <v>Chelle</v>
      </c>
      <c r="H593" s="8"/>
      <c r="I593" t="e" vm="696">
        <f>_xlfn.IMAGE("https://natalie.tf/wp-content/uploads/2023/10/DLV3_Icon_Ability_"&amp;INDEX('PWP-A'!$A$2:$C$31,MATCH('PWP-Print'!J593,'PWP-A'!$B$2:$B$31,0),1)&amp;".png")</f>
        <v>#VALUE!</v>
      </c>
      <c r="J593" s="229" t="str">
        <f>+INDEX(PWP!$A:$Z,MATCH('PWP-Print'!E592,PWP!$B:$B,0),MATCH("PWP Ability 2",PWP!$A$1:$Z$1,0))</f>
        <v>Elemental Res +15%</v>
      </c>
      <c r="K593" s="249" t="str">
        <f>+INDEX(PWP!$A:$Z,MATCH('PWP-Print'!E592,PWP!$B:$B,0),MATCH("Locked PWP Ability 2",PWP!$A$1:$Z$1,0))</f>
        <v>(Shadow) Elemental Res +15%</v>
      </c>
      <c r="M593" s="729"/>
      <c r="N593" s="8"/>
      <c r="O593" s="200" t="str">
        <f>+INDEX(PWP!$A:$Z,MATCH('PWP-Print'!O592,PWP!$B:$B,0),MATCH("ID",PWP!$A$1:$Z$1,0))</f>
        <v>110280_01</v>
      </c>
      <c r="P593" s="8"/>
      <c r="Q593" s="249" t="str">
        <f>+INDEX(PWP!$A:$Z,MATCH('PWP-Print'!O592,PWP!$B:$B,0),MATCH("Name",PWP!$A$1:$Z$1,0))</f>
        <v>Heinwald</v>
      </c>
      <c r="R593" s="8"/>
      <c r="S593" t="e" vm="349">
        <f>_xlfn.IMAGE("https://natalie.tf/wp-content/uploads/2023/10/DLV3_Icon_Ability_"&amp;INDEX('PWP-A'!$A$2:$C$31,MATCH('PWP-Print'!T593,'PWP-A'!$B$2:$B$31,0),1)&amp;".png")</f>
        <v>#VALUE!</v>
      </c>
      <c r="T593" s="229" t="str">
        <f>+INDEX(PWP!$A:$Z,MATCH('PWP-Print'!O592,PWP!$B:$B,0),MATCH("PWP Ability 2",PWP!$A$1:$Z$1,0))</f>
        <v>Recovery Potency +20%</v>
      </c>
      <c r="U593" s="249" t="str">
        <f>+INDEX(PWP!$A:$Z,MATCH('PWP-Print'!O592,PWP!$B:$B,0),MATCH("Locked PWP Ability 2",PWP!$A$1:$Z$1,0))</f>
        <v>(Shadow) Recovery Potency +20%</v>
      </c>
    </row>
    <row r="594" spans="1:21" ht="22.5" customHeight="1" x14ac:dyDescent="0.3">
      <c r="A594" s="244" t="str">
        <f>TEXT(A590+1,"000")</f>
        <v>280</v>
      </c>
      <c r="B594" s="244" t="str">
        <f>TEXT(B590+1,"000")</f>
        <v>293</v>
      </c>
      <c r="C594" s="729"/>
      <c r="E594" s="251" t="str">
        <f>+INDEX(PWP!$A:$Z,MATCH('PWP-Print'!E592,PWP!$B:$B,0),MATCH("Num",PWP!$A$1:$Z$1,0))</f>
        <v>A-280</v>
      </c>
      <c r="G594" s="249" t="str">
        <f>+INDEX(PWP!$A:$Z,MATCH('PWP-Print'!E592,PWP!$B:$B,0),MATCH("Element",PWP!$A$1:$Z$1,0))&amp;" "&amp;INDEX(PWP!$A:$Z,MATCH('PWP-Print'!E592,PWP!$B:$B,0),MATCH("Type",PWP!$A$1:$Z$1,0))&amp;" Adventurer"</f>
        <v>Shadow Bow Adventurer</v>
      </c>
      <c r="K594" s="250"/>
      <c r="M594" s="729"/>
      <c r="O594" s="251" t="str">
        <f>+INDEX(PWP!$A:$Z,MATCH('PWP-Print'!O592,PWP!$B:$B,0),MATCH("Num",PWP!$A$1:$Z$1,0))</f>
        <v>A-293</v>
      </c>
      <c r="Q594" s="249" t="str">
        <f>+INDEX(PWP!$A:$Z,MATCH('PWP-Print'!O592,PWP!$B:$B,0),MATCH("Element",PWP!$A$1:$Z$1,0))&amp;" "&amp;INDEX(PWP!$A:$Z,MATCH('PWP-Print'!O592,PWP!$B:$B,0),MATCH("Type",PWP!$A$1:$Z$1,0))&amp;" Adventurer"</f>
        <v>Shadow Staff Adventurer</v>
      </c>
      <c r="U594" s="250"/>
    </row>
    <row r="595" spans="1:21" ht="7.5" customHeight="1" x14ac:dyDescent="0.3">
      <c r="A595" s="244" t="s">
        <v>10763</v>
      </c>
      <c r="E595" s="250"/>
      <c r="G595" s="250"/>
      <c r="K595" s="250"/>
      <c r="O595" s="250"/>
      <c r="Q595" s="250"/>
      <c r="U595" s="250"/>
    </row>
    <row r="596" spans="1:21" ht="22.5" customHeight="1" x14ac:dyDescent="0.3">
      <c r="C596" s="729" t="e" vm="1319">
        <f>_xlfn.IMAGE("https://natalie.tf/wp-content/uploads/2023/10/DLV3_Icon_ADV_"&amp;E597&amp;"_r05.png")</f>
        <v>#VALUE!</v>
      </c>
      <c r="E596" s="249" t="str">
        <f>"PWP-"&amp;A598</f>
        <v>PWP-281</v>
      </c>
      <c r="G596" s="249" t="str">
        <f>+INDEX(PWP!$A:$Z,MATCH('PWP-Print'!E596,PWP!$B:$B,0),MATCH("Title",PWP!$A$1:$Z$1,0))</f>
        <v>Devoted Samurai</v>
      </c>
      <c r="I596" t="e" vm="688">
        <f>_xlfn.IMAGE("https://natalie.tf/wp-content/uploads/2023/10/DLV3_Icon_Ability_"&amp;INDEX('PWP-A'!$A$2:$C$31,MATCH('PWP-Print'!J596,'PWP-A'!$B$2:$B$31,0),1)&amp;".png")</f>
        <v>#VALUE!</v>
      </c>
      <c r="J596" s="229" t="str">
        <f>+INDEX(PWP!$A:$Z,MATCH('PWP-Print'!E596,PWP!$B:$B,0),MATCH("PWP Ability 1",PWP!$A$1:$Z$1,0))</f>
        <v>Overdrive Punisher +15%</v>
      </c>
      <c r="K596" s="179" t="str">
        <f>+INDEX(PWP!$A:$Z,MATCH('PWP-Print'!E596,PWP!$B:$B,0),MATCH("Locked PWP Ability 1",PWP!$A$1:$Z$1,0))</f>
        <v>(Shadow) Overdrive Punisher +15%</v>
      </c>
      <c r="M596" s="729" t="e" vm="1320">
        <f>_xlfn.IMAGE("https://natalie.tf/wp-content/uploads/2023/10/DLV3_Icon_ADV_"&amp;O597&amp;"_r05.png")</f>
        <v>#VALUE!</v>
      </c>
      <c r="O596" s="249" t="str">
        <f>"PWP-"&amp;B598</f>
        <v>PWP-294</v>
      </c>
      <c r="Q596" s="249" t="str">
        <f>+INDEX(PWP!$A:$Z,MATCH('PWP-Print'!O596,PWP!$B:$B,0),MATCH("Title",PWP!$A$1:$Z$1,0))</f>
        <v>Belle Healer</v>
      </c>
      <c r="S596" t="e" vm="14">
        <f>_xlfn.IMAGE("https://natalie.tf/wp-content/uploads/2023/10/DLV3_Icon_Ability_"&amp;INDEX('PWP-A'!$A$2:$C$31,MATCH('PWP-Print'!T596,'PWP-A'!$B$2:$B$31,0),1)&amp;".png")</f>
        <v>#VALUE!</v>
      </c>
      <c r="T596" s="229" t="str">
        <f>+INDEX(PWP!$A:$Z,MATCH('PWP-Print'!O596,PWP!$B:$B,0),MATCH("PWP Ability 1",PWP!$A$1:$Z$1,0))</f>
        <v>Strength +20%</v>
      </c>
      <c r="U596" s="249" t="str">
        <f>+INDEX(PWP!$A:$Z,MATCH('PWP-Print'!O596,PWP!$B:$B,0),MATCH("Locked PWP Ability 1",PWP!$A$1:$Z$1,0))</f>
        <v>(Shadow) Strength +20%</v>
      </c>
    </row>
    <row r="597" spans="1:21" ht="22.5" customHeight="1" x14ac:dyDescent="0.3">
      <c r="C597" s="729"/>
      <c r="D597" s="8"/>
      <c r="E597" s="200" t="str">
        <f>+INDEX(PWP!$A:$Z,MATCH('PWP-Print'!E596,PWP!$B:$B,0),MATCH("ID",PWP!$A$1:$Z$1,0))</f>
        <v>110310_02</v>
      </c>
      <c r="F597" s="8"/>
      <c r="G597" s="249" t="str">
        <f>+INDEX(PWP!$A:$Z,MATCH('PWP-Print'!E596,PWP!$B:$B,0),MATCH("Name",PWP!$A$1:$Z$1,0))</f>
        <v>Valentine's Addis</v>
      </c>
      <c r="H597" s="8"/>
      <c r="I597" t="e" vm="330">
        <f>_xlfn.IMAGE("https://natalie.tf/wp-content/uploads/2023/10/DLV3_Icon_Ability_"&amp;INDEX('PWP-A'!$A$2:$C$31,MATCH('PWP-Print'!J597,'PWP-A'!$B$2:$B$31,0),1)&amp;".png")</f>
        <v>#VALUE!</v>
      </c>
      <c r="J597" s="229" t="str">
        <f>+INDEX(PWP!$A:$Z,MATCH('PWP-Print'!E596,PWP!$B:$B,0),MATCH("PWP Ability 2",PWP!$A$1:$Z$1,0))</f>
        <v>Skill Haste +10%</v>
      </c>
      <c r="K597" s="249" t="str">
        <f>+INDEX(PWP!$A:$Z,MATCH('PWP-Print'!E596,PWP!$B:$B,0),MATCH("Locked PWP Ability 2",PWP!$A$1:$Z$1,0))</f>
        <v>(Shadow) Skill Haste +10%</v>
      </c>
      <c r="M597" s="729"/>
      <c r="N597" s="8"/>
      <c r="O597" s="200" t="str">
        <f>+INDEX(PWP!$A:$Z,MATCH('PWP-Print'!O596,PWP!$B:$B,0),MATCH("ID",PWP!$A$1:$Z$1,0))</f>
        <v>100004_01</v>
      </c>
      <c r="P597" s="8"/>
      <c r="Q597" s="249" t="str">
        <f>+INDEX(PWP!$A:$Z,MATCH('PWP-Print'!O596,PWP!$B:$B,0),MATCH("Name",PWP!$A$1:$Z$1,0))</f>
        <v>Cleo</v>
      </c>
      <c r="R597" s="8"/>
      <c r="S597" t="e" vm="426">
        <f>_xlfn.IMAGE("https://natalie.tf/wp-content/uploads/2023/10/DLV3_Icon_Ability_"&amp;INDEX('PWP-A'!$A$2:$C$31,MATCH('PWP-Print'!T597,'PWP-A'!$B$2:$B$31,0),1)&amp;".png")</f>
        <v>#VALUE!</v>
      </c>
      <c r="T597" s="229" t="str">
        <f>+INDEX(PWP!$A:$Z,MATCH('PWP-Print'!O596,PWP!$B:$B,0),MATCH("PWP Ability 2",PWP!$A$1:$Z$1,0))</f>
        <v>Defense +20%</v>
      </c>
      <c r="U597" s="249" t="str">
        <f>+INDEX(PWP!$A:$Z,MATCH('PWP-Print'!O596,PWP!$B:$B,0),MATCH("Locked PWP Ability 2",PWP!$A$1:$Z$1,0))</f>
        <v>(Shadow) Defense +20%</v>
      </c>
    </row>
    <row r="598" spans="1:21" ht="22.5" customHeight="1" x14ac:dyDescent="0.3">
      <c r="A598" s="244" t="str">
        <f>TEXT(A594+1,"000")</f>
        <v>281</v>
      </c>
      <c r="B598" s="244" t="str">
        <f>TEXT(B594+1,"000")</f>
        <v>294</v>
      </c>
      <c r="C598" s="729"/>
      <c r="E598" s="251" t="str">
        <f>+INDEX(PWP!$A:$Z,MATCH('PWP-Print'!E596,PWP!$B:$B,0),MATCH("Num",PWP!$A$1:$Z$1,0))</f>
        <v>A-281</v>
      </c>
      <c r="G598" s="249" t="str">
        <f>+INDEX(PWP!$A:$Z,MATCH('PWP-Print'!E596,PWP!$B:$B,0),MATCH("Element",PWP!$A$1:$Z$1,0))&amp;" "&amp;INDEX(PWP!$A:$Z,MATCH('PWP-Print'!E596,PWP!$B:$B,0),MATCH("Type",PWP!$A$1:$Z$1,0))&amp;" Adventurer"</f>
        <v>Shadow Bow Adventurer</v>
      </c>
      <c r="K598" s="250"/>
      <c r="M598" s="729"/>
      <c r="O598" s="251" t="str">
        <f>+INDEX(PWP!$A:$Z,MATCH('PWP-Print'!O596,PWP!$B:$B,0),MATCH("Num",PWP!$A$1:$Z$1,0))</f>
        <v>A-294</v>
      </c>
      <c r="Q598" s="249" t="str">
        <f>+INDEX(PWP!$A:$Z,MATCH('PWP-Print'!O596,PWP!$B:$B,0),MATCH("Element",PWP!$A$1:$Z$1,0))&amp;" "&amp;INDEX(PWP!$A:$Z,MATCH('PWP-Print'!O596,PWP!$B:$B,0),MATCH("Type",PWP!$A$1:$Z$1,0))&amp;" Adventurer"</f>
        <v>Shadow Staff Adventurer</v>
      </c>
      <c r="U598" s="250"/>
    </row>
    <row r="599" spans="1:21" ht="7.5" customHeight="1" x14ac:dyDescent="0.3">
      <c r="A599" s="244" t="s">
        <v>10763</v>
      </c>
      <c r="E599" s="250"/>
      <c r="G599" s="250"/>
      <c r="K599" s="250"/>
      <c r="O599" s="250"/>
      <c r="Q599" s="250"/>
      <c r="U599" s="250"/>
    </row>
    <row r="600" spans="1:21" ht="22.5" customHeight="1" x14ac:dyDescent="0.3">
      <c r="C600" s="729" t="e" vm="1321">
        <f>_xlfn.IMAGE("https://natalie.tf/wp-content/uploads/2023/10/DLV3_Icon_ADV_"&amp;E601&amp;"_r05.png")</f>
        <v>#VALUE!</v>
      </c>
      <c r="E600" s="249" t="str">
        <f>"PWP-"&amp;A602</f>
        <v>PWP-282</v>
      </c>
      <c r="G600" s="249" t="str">
        <f>+INDEX(PWP!$A:$Z,MATCH('PWP-Print'!E600,PWP!$B:$B,0),MATCH("Title",PWP!$A$1:$Z$1,0))</f>
        <v>Queen of the Sands</v>
      </c>
      <c r="I600" t="e" vm="688">
        <f>_xlfn.IMAGE("https://natalie.tf/wp-content/uploads/2023/10/DLV3_Icon_Ability_"&amp;INDEX('PWP-A'!$A$2:$C$31,MATCH('PWP-Print'!J600,'PWP-A'!$B$2:$B$31,0),1)&amp;".png")</f>
        <v>#VALUE!</v>
      </c>
      <c r="J600" s="229" t="str">
        <f>+INDEX(PWP!$A:$Z,MATCH('PWP-Print'!E600,PWP!$B:$B,0),MATCH("PWP Ability 1",PWP!$A$1:$Z$1,0))</f>
        <v>Overdrive Punisher +15%</v>
      </c>
      <c r="K600" s="179" t="str">
        <f>+INDEX(PWP!$A:$Z,MATCH('PWP-Print'!E600,PWP!$B:$B,0),MATCH("Locked PWP Ability 1",PWP!$A$1:$Z$1,0))</f>
        <v>(Shadow) Overdrive Punisher +15%</v>
      </c>
      <c r="M600" s="729" t="e" vm="1322">
        <f>_xlfn.IMAGE("https://natalie.tf/wp-content/uploads/2023/10/DLV3_Icon_ADV_"&amp;O601&amp;"_r05.png")</f>
        <v>#VALUE!</v>
      </c>
      <c r="O600" s="249" t="str">
        <f>"PWP-"&amp;B602</f>
        <v>PWP-295</v>
      </c>
      <c r="Q600" s="249" t="str">
        <f>+INDEX(PWP!$A:$Z,MATCH('PWP-Print'!O600,PWP!$B:$B,0),MATCH("Title",PWP!$A$1:$Z$1,0))</f>
        <v>Perfect Butler</v>
      </c>
      <c r="S600" t="e" vm="496">
        <f>_xlfn.IMAGE("https://natalie.tf/wp-content/uploads/2023/10/DLV3_Icon_Ability_"&amp;INDEX('PWP-A'!$A$2:$C$31,MATCH('PWP-Print'!T600,'PWP-A'!$B$2:$B$31,0),1)&amp;".png")</f>
        <v>#VALUE!</v>
      </c>
      <c r="T600" s="229" t="str">
        <f>+INDEX(PWP!$A:$Z,MATCH('PWP-Print'!O600,PWP!$B:$B,0),MATCH("PWP Ability 1",PWP!$A$1:$Z$1,0))</f>
        <v>HP +15%</v>
      </c>
      <c r="U600" s="249" t="str">
        <f>+INDEX(PWP!$A:$Z,MATCH('PWP-Print'!O600,PWP!$B:$B,0),MATCH("Locked PWP Ability 1",PWP!$A$1:$Z$1,0))</f>
        <v>(Shadow) HP +15%</v>
      </c>
    </row>
    <row r="601" spans="1:21" ht="22.5" customHeight="1" x14ac:dyDescent="0.3">
      <c r="C601" s="729"/>
      <c r="D601" s="8"/>
      <c r="E601" s="200" t="str">
        <f>+INDEX(PWP!$A:$Z,MATCH('PWP-Print'!E600,PWP!$B:$B,0),MATCH("ID",PWP!$A$1:$Z$1,0))</f>
        <v>110053_01</v>
      </c>
      <c r="F601" s="8"/>
      <c r="G601" s="249" t="str">
        <f>+INDEX(PWP!$A:$Z,MATCH('PWP-Print'!E600,PWP!$B:$B,0),MATCH("Name",PWP!$A$1:$Z$1,0))</f>
        <v>Nefaria</v>
      </c>
      <c r="H601" s="8"/>
      <c r="I601" t="e" vm="426">
        <f>_xlfn.IMAGE("https://natalie.tf/wp-content/uploads/2023/10/DLV3_Icon_Ability_"&amp;INDEX('PWP-A'!$A$2:$C$31,MATCH('PWP-Print'!J601,'PWP-A'!$B$2:$B$31,0),1)&amp;".png")</f>
        <v>#VALUE!</v>
      </c>
      <c r="J601" s="229" t="str">
        <f>+INDEX(PWP!$A:$Z,MATCH('PWP-Print'!E600,PWP!$B:$B,0),MATCH("PWP Ability 2",PWP!$A$1:$Z$1,0))</f>
        <v>Defense +20%</v>
      </c>
      <c r="K601" s="249" t="str">
        <f>+INDEX(PWP!$A:$Z,MATCH('PWP-Print'!E600,PWP!$B:$B,0),MATCH("Locked PWP Ability 2",PWP!$A$1:$Z$1,0))</f>
        <v>(Shadow) Defense +20%</v>
      </c>
      <c r="M601" s="729"/>
      <c r="N601" s="8"/>
      <c r="O601" s="200" t="str">
        <f>+INDEX(PWP!$A:$Z,MATCH('PWP-Print'!O600,PWP!$B:$B,0),MATCH("ID",PWP!$A$1:$Z$1,0))</f>
        <v>110049_01</v>
      </c>
      <c r="P601" s="8"/>
      <c r="Q601" s="249" t="str">
        <f>+INDEX(PWP!$A:$Z,MATCH('PWP-Print'!O600,PWP!$B:$B,0),MATCH("Name",PWP!$A$1:$Z$1,0))</f>
        <v>Edward</v>
      </c>
      <c r="R601" s="8"/>
      <c r="S601" t="e" vm="349">
        <f>_xlfn.IMAGE("https://natalie.tf/wp-content/uploads/2023/10/DLV3_Icon_Ability_"&amp;INDEX('PWP-A'!$A$2:$C$31,MATCH('PWP-Print'!T601,'PWP-A'!$B$2:$B$31,0),1)&amp;".png")</f>
        <v>#VALUE!</v>
      </c>
      <c r="T601" s="229" t="str">
        <f>+INDEX(PWP!$A:$Z,MATCH('PWP-Print'!O600,PWP!$B:$B,0),MATCH("PWP Ability 2",PWP!$A$1:$Z$1,0))</f>
        <v>Recovery Potency +20%</v>
      </c>
      <c r="U601" s="249" t="str">
        <f>+INDEX(PWP!$A:$Z,MATCH('PWP-Print'!O600,PWP!$B:$B,0),MATCH("Locked PWP Ability 2",PWP!$A$1:$Z$1,0))</f>
        <v>(Shadow) Recovery Potency +20%</v>
      </c>
    </row>
    <row r="602" spans="1:21" ht="22.5" customHeight="1" x14ac:dyDescent="0.3">
      <c r="A602" s="244" t="str">
        <f>TEXT(A598+1,"000")</f>
        <v>282</v>
      </c>
      <c r="B602" s="244" t="str">
        <f>TEXT(B598+1,"000")</f>
        <v>295</v>
      </c>
      <c r="C602" s="729"/>
      <c r="E602" s="251" t="str">
        <f>+INDEX(PWP!$A:$Z,MATCH('PWP-Print'!E600,PWP!$B:$B,0),MATCH("Num",PWP!$A$1:$Z$1,0))</f>
        <v>A-282</v>
      </c>
      <c r="G602" s="249" t="str">
        <f>+INDEX(PWP!$A:$Z,MATCH('PWP-Print'!E600,PWP!$B:$B,0),MATCH("Element",PWP!$A$1:$Z$1,0))&amp;" "&amp;INDEX(PWP!$A:$Z,MATCH('PWP-Print'!E600,PWP!$B:$B,0),MATCH("Type",PWP!$A$1:$Z$1,0))&amp;" Adventurer"</f>
        <v>Shadow Bow Adventurer</v>
      </c>
      <c r="K602" s="250"/>
      <c r="M602" s="729"/>
      <c r="O602" s="251" t="str">
        <f>+INDEX(PWP!$A:$Z,MATCH('PWP-Print'!O600,PWP!$B:$B,0),MATCH("Num",PWP!$A$1:$Z$1,0))</f>
        <v>A-295</v>
      </c>
      <c r="Q602" s="249" t="str">
        <f>+INDEX(PWP!$A:$Z,MATCH('PWP-Print'!O600,PWP!$B:$B,0),MATCH("Element",PWP!$A$1:$Z$1,0))&amp;" "&amp;INDEX(PWP!$A:$Z,MATCH('PWP-Print'!O600,PWP!$B:$B,0),MATCH("Type",PWP!$A$1:$Z$1,0))&amp;" Adventurer"</f>
        <v>Shadow Staff Adventurer</v>
      </c>
      <c r="U602" s="250"/>
    </row>
    <row r="603" spans="1:21" ht="7.5" customHeight="1" x14ac:dyDescent="0.3">
      <c r="A603" s="244" t="s">
        <v>10763</v>
      </c>
      <c r="E603" s="250"/>
      <c r="G603" s="250"/>
      <c r="K603" s="250"/>
      <c r="O603" s="250"/>
      <c r="Q603" s="250"/>
      <c r="U603" s="250"/>
    </row>
    <row r="604" spans="1:21" ht="22.5" customHeight="1" x14ac:dyDescent="0.3">
      <c r="C604" s="729" t="e" vm="1323">
        <f>_xlfn.IMAGE("https://natalie.tf/wp-content/uploads/2023/10/DLV3_Icon_ADV_"&amp;E605&amp;"_r05.png")</f>
        <v>#VALUE!</v>
      </c>
      <c r="E604" s="249" t="str">
        <f>"PWP-"&amp;A606</f>
        <v>PWP-283</v>
      </c>
      <c r="G604" s="249" t="str">
        <f>+INDEX(PWP!$A:$Z,MATCH('PWP-Print'!E604,PWP!$B:$B,0),MATCH("Title",PWP!$A$1:$Z$1,0))</f>
        <v>Anguished Author</v>
      </c>
      <c r="I604" t="e" vm="326">
        <f>_xlfn.IMAGE("https://natalie.tf/wp-content/uploads/2023/10/DLV3_Icon_Ability_"&amp;INDEX('PWP-A'!$A$2:$C$31,MATCH('PWP-Print'!J604,'PWP-A'!$B$2:$B$31,0),1)&amp;".png")</f>
        <v>#VALUE!</v>
      </c>
      <c r="J604" s="229" t="str">
        <f>+INDEX(PWP!$A:$Z,MATCH('PWP-Print'!E604,PWP!$B:$B,0),MATCH("PWP Ability 1",PWP!$A$1:$Z$1,0))</f>
        <v>Critical Rate +15%</v>
      </c>
      <c r="K604" s="249" t="str">
        <f>+INDEX(PWP!$A:$Z,MATCH('PWP-Print'!E604,PWP!$B:$B,0),MATCH("Locked PWP Ability 1",PWP!$A$1:$Z$1,0))</f>
        <v>(Shadow) Critical Rate +15%</v>
      </c>
      <c r="M604" s="729" t="e" vm="1324">
        <f>_xlfn.IMAGE("https://natalie.tf/wp-content/uploads/2023/10/DLV3_Icon_ADV_"&amp;O605&amp;"_r05.png")</f>
        <v>#VALUE!</v>
      </c>
      <c r="O604" s="249" t="str">
        <f>"PWP-"&amp;B606</f>
        <v>PWP-296</v>
      </c>
      <c r="Q604" s="249" t="str">
        <f>+INDEX(PWP!$A:$Z,MATCH('PWP-Print'!O604,PWP!$B:$B,0),MATCH("Title",PWP!$A$1:$Z$1,0))</f>
        <v>Embracing Shadow</v>
      </c>
      <c r="S604" t="e" vm="1036">
        <f>_xlfn.IMAGE("https://natalie.tf/wp-content/uploads/2023/10/DLV3_Icon_Ability_"&amp;INDEX('PWP-A'!$A$2:$C$31,MATCH('PWP-Print'!T604,'PWP-A'!$B$2:$B$31,0),1)&amp;".png")</f>
        <v>#VALUE!</v>
      </c>
      <c r="T604" s="229" t="str">
        <f>+INDEX(PWP!$A:$Z,MATCH('PWP-Print'!O604,PWP!$B:$B,0),MATCH("PWP Ability 1",PWP!$A$1:$Z$1,0))</f>
        <v>15 Hits = Overdamage</v>
      </c>
      <c r="U604" s="249" t="str">
        <f>+INDEX(PWP!$A:$Z,MATCH('PWP-Print'!O604,PWP!$B:$B,0),MATCH("Locked PWP Ability 1",PWP!$A$1:$Z$1,0))</f>
        <v>(Shadow) 15 Hits = Overdamage</v>
      </c>
    </row>
    <row r="605" spans="1:21" ht="22.5" customHeight="1" x14ac:dyDescent="0.3">
      <c r="C605" s="729"/>
      <c r="D605" s="8"/>
      <c r="E605" s="200" t="str">
        <f>+INDEX(PWP!$A:$Z,MATCH('PWP-Print'!E604,PWP!$B:$B,0),MATCH("ID",PWP!$A$1:$Z$1,0))</f>
        <v>110066_01</v>
      </c>
      <c r="F605" s="8"/>
      <c r="G605" s="249" t="str">
        <f>+INDEX(PWP!$A:$Z,MATCH('PWP-Print'!E604,PWP!$B:$B,0),MATCH("Name",PWP!$A$1:$Z$1,0))</f>
        <v>Norwin</v>
      </c>
      <c r="H605" s="8"/>
      <c r="I605" t="e" vm="426">
        <f>_xlfn.IMAGE("https://natalie.tf/wp-content/uploads/2023/10/DLV3_Icon_Ability_"&amp;INDEX('PWP-A'!$A$2:$C$31,MATCH('PWP-Print'!J605,'PWP-A'!$B$2:$B$31,0),1)&amp;".png")</f>
        <v>#VALUE!</v>
      </c>
      <c r="J605" s="229" t="str">
        <f>+INDEX(PWP!$A:$Z,MATCH('PWP-Print'!E604,PWP!$B:$B,0),MATCH("PWP Ability 2",PWP!$A$1:$Z$1,0))</f>
        <v>Defense +20%</v>
      </c>
      <c r="K605" s="249" t="str">
        <f>+INDEX(PWP!$A:$Z,MATCH('PWP-Print'!E604,PWP!$B:$B,0),MATCH("Locked PWP Ability 2",PWP!$A$1:$Z$1,0))</f>
        <v>(Shadow) Defense +20%</v>
      </c>
      <c r="M605" s="729"/>
      <c r="N605" s="8"/>
      <c r="O605" s="200" t="str">
        <f>+INDEX(PWP!$A:$Z,MATCH('PWP-Print'!O604,PWP!$B:$B,0),MATCH("ID",PWP!$A$1:$Z$1,0))</f>
        <v>110404_01</v>
      </c>
      <c r="P605" s="8"/>
      <c r="Q605" s="249" t="str">
        <f>+INDEX(PWP!$A:$Z,MATCH('PWP-Print'!O604,PWP!$B:$B,0),MATCH("Name",PWP!$A$1:$Z$1,0))</f>
        <v>Humanoid Zodiark</v>
      </c>
      <c r="R605" s="8"/>
      <c r="S605" t="e" vm="601">
        <f>_xlfn.IMAGE("https://natalie.tf/wp-content/uploads/2023/10/DLV3_Icon_Ability_"&amp;INDEX('PWP-A'!$A$2:$C$31,MATCH('PWP-Print'!T605,'PWP-A'!$B$2:$B$31,0),1)&amp;".png")</f>
        <v>#VALUE!</v>
      </c>
      <c r="T605" s="229" t="str">
        <f>+INDEX(PWP!$A:$Z,MATCH('PWP-Print'!O604,PWP!$B:$B,0),MATCH("PWP Ability 2",PWP!$A$1:$Z$1,0))</f>
        <v>Dragon Haste +15%</v>
      </c>
      <c r="U605" s="249" t="str">
        <f>+INDEX(PWP!$A:$Z,MATCH('PWP-Print'!O604,PWP!$B:$B,0),MATCH("Locked PWP Ability 2",PWP!$A$1:$Z$1,0))</f>
        <v>(Shadow) Dragon Haste +15%</v>
      </c>
    </row>
    <row r="606" spans="1:21" ht="22.5" customHeight="1" x14ac:dyDescent="0.3">
      <c r="A606" s="244" t="str">
        <f>TEXT(A602+1,"000")</f>
        <v>283</v>
      </c>
      <c r="B606" s="244" t="str">
        <f>TEXT(B602+1,"000")</f>
        <v>296</v>
      </c>
      <c r="C606" s="729"/>
      <c r="E606" s="251" t="str">
        <f>+INDEX(PWP!$A:$Z,MATCH('PWP-Print'!E604,PWP!$B:$B,0),MATCH("Num",PWP!$A$1:$Z$1,0))</f>
        <v>A-283</v>
      </c>
      <c r="G606" s="249" t="str">
        <f>+INDEX(PWP!$A:$Z,MATCH('PWP-Print'!E604,PWP!$B:$B,0),MATCH("Element",PWP!$A$1:$Z$1,0))&amp;" "&amp;INDEX(PWP!$A:$Z,MATCH('PWP-Print'!E604,PWP!$B:$B,0),MATCH("Type",PWP!$A$1:$Z$1,0))&amp;" Adventurer"</f>
        <v>Shadow Bow Adventurer</v>
      </c>
      <c r="K606" s="250"/>
      <c r="M606" s="729"/>
      <c r="O606" s="251" t="str">
        <f>+INDEX(PWP!$A:$Z,MATCH('PWP-Print'!O604,PWP!$B:$B,0),MATCH("Num",PWP!$A$1:$Z$1,0))</f>
        <v>A-296</v>
      </c>
      <c r="Q606" s="249" t="str">
        <f>+INDEX(PWP!$A:$Z,MATCH('PWP-Print'!O604,PWP!$B:$B,0),MATCH("Element",PWP!$A$1:$Z$1,0))&amp;" "&amp;INDEX(PWP!$A:$Z,MATCH('PWP-Print'!O604,PWP!$B:$B,0),MATCH("Type",PWP!$A$1:$Z$1,0))&amp;" Adventurer"</f>
        <v>Shadow Manacaster Adventurer</v>
      </c>
      <c r="U606" s="250"/>
    </row>
    <row r="607" spans="1:21" ht="7.5" customHeight="1" x14ac:dyDescent="0.3">
      <c r="A607" s="244" t="s">
        <v>10763</v>
      </c>
      <c r="E607" s="250"/>
      <c r="G607" s="250"/>
      <c r="K607" s="250"/>
      <c r="O607" s="250"/>
      <c r="Q607" s="250"/>
      <c r="U607" s="250"/>
    </row>
    <row r="608" spans="1:21" ht="22.5" customHeight="1" x14ac:dyDescent="0.3">
      <c r="C608" s="729" t="e" vm="1325">
        <f>_xlfn.IMAGE("https://natalie.tf/wp-content/uploads/2023/10/DLV3_Icon_ADV_"&amp;E609&amp;"_r05.png")</f>
        <v>#VALUE!</v>
      </c>
      <c r="E608" s="249" t="str">
        <f>"PWP-"&amp;A610</f>
        <v>PWP-284</v>
      </c>
      <c r="G608" s="249" t="str">
        <f>+INDEX(PWP!$A:$Z,MATCH('PWP-Print'!E608,PWP!$B:$B,0),MATCH("Title",PWP!$A$1:$Z$1,0))</f>
        <v>Vampire Princess</v>
      </c>
      <c r="I608" t="e" vm="14">
        <f>_xlfn.IMAGE("https://natalie.tf/wp-content/uploads/2023/10/DLV3_Icon_Ability_"&amp;INDEX('PWP-A'!$A$2:$C$31,MATCH('PWP-Print'!J608,'PWP-A'!$B$2:$B$31,0),1)&amp;".png")</f>
        <v>#VALUE!</v>
      </c>
      <c r="J608" s="229" t="str">
        <f>+INDEX(PWP!$A:$Z,MATCH('PWP-Print'!E608,PWP!$B:$B,0),MATCH("PWP Ability 1",PWP!$A$1:$Z$1,0))</f>
        <v>Skill Damage +40%</v>
      </c>
      <c r="K608" s="249" t="str">
        <f>+INDEX(PWP!$A:$Z,MATCH('PWP-Print'!E608,PWP!$B:$B,0),MATCH("Locked PWP Ability 1",PWP!$A$1:$Z$1,0))</f>
        <v>(Shadow) Skill Damage +40%</v>
      </c>
      <c r="M608" s="729" t="e" vm="1326">
        <f>_xlfn.IMAGE("https://natalie.tf/wp-content/uploads/2023/10/DLV3_Icon_ADV_"&amp;O609&amp;"_r05.png")</f>
        <v>#VALUE!</v>
      </c>
      <c r="O608" s="249" t="str">
        <f>"PWP-"&amp;B610</f>
        <v>PWP-297</v>
      </c>
      <c r="Q608" s="249" t="str">
        <f>+INDEX(PWP!$A:$Z,MATCH('PWP-Print'!O608,PWP!$B:$B,0),MATCH("Title",PWP!$A$1:$Z$1,0))</f>
        <v>Midsummer Temptress</v>
      </c>
      <c r="S608" t="e" vm="14">
        <f>_xlfn.IMAGE("https://natalie.tf/wp-content/uploads/2023/10/DLV3_Icon_Ability_"&amp;INDEX('PWP-A'!$A$2:$C$31,MATCH('PWP-Print'!T608,'PWP-A'!$B$2:$B$31,0),1)&amp;".png")</f>
        <v>#VALUE!</v>
      </c>
      <c r="T608" s="229" t="str">
        <f>+INDEX(PWP!$A:$Z,MATCH('PWP-Print'!O608,PWP!$B:$B,0),MATCH("PWP Ability 1",PWP!$A$1:$Z$1,0))</f>
        <v>Strength +20%</v>
      </c>
      <c r="U608" s="249" t="str">
        <f>+INDEX(PWP!$A:$Z,MATCH('PWP-Print'!O608,PWP!$B:$B,0),MATCH("Locked PWP Ability 1",PWP!$A$1:$Z$1,0))</f>
        <v>(Shadow) Strength +20%</v>
      </c>
    </row>
    <row r="609" spans="1:21" ht="22.5" customHeight="1" x14ac:dyDescent="0.3">
      <c r="C609" s="729"/>
      <c r="D609" s="8"/>
      <c r="E609" s="200" t="str">
        <f>+INDEX(PWP!$A:$Z,MATCH('PWP-Print'!E608,PWP!$B:$B,0),MATCH("ID",PWP!$A$1:$Z$1,0))</f>
        <v>110388_01</v>
      </c>
      <c r="F609" s="8"/>
      <c r="G609" s="249" t="str">
        <f>+INDEX(PWP!$A:$Z,MATCH('PWP-Print'!E608,PWP!$B:$B,0),MATCH("Name",PWP!$A$1:$Z$1,0))</f>
        <v>Vania</v>
      </c>
      <c r="H609" s="8"/>
      <c r="I609" t="e" vm="688">
        <f>_xlfn.IMAGE("https://natalie.tf/wp-content/uploads/2023/10/DLV3_Icon_Ability_"&amp;INDEX('PWP-A'!$A$2:$C$31,MATCH('PWP-Print'!J609,'PWP-A'!$B$2:$B$31,0),1)&amp;".png")</f>
        <v>#VALUE!</v>
      </c>
      <c r="J609" s="229" t="str">
        <f>+INDEX(PWP!$A:$Z,MATCH('PWP-Print'!E608,PWP!$B:$B,0),MATCH("PWP Ability 2",PWP!$A$1:$Z$1,0))</f>
        <v>Overdrive Punisher +15%</v>
      </c>
      <c r="K609" s="179" t="str">
        <f>+INDEX(PWP!$A:$Z,MATCH('PWP-Print'!E608,PWP!$B:$B,0),MATCH("Locked PWP Ability 2",PWP!$A$1:$Z$1,0))</f>
        <v>(Shadow) Overdrive Punisher +15%</v>
      </c>
      <c r="M609" s="729"/>
      <c r="N609" s="8"/>
      <c r="O609" s="200" t="str">
        <f>+INDEX(PWP!$A:$Z,MATCH('PWP-Print'!O608,PWP!$B:$B,0),MATCH("ID",PWP!$A$1:$Z$1,0))</f>
        <v>100010_10</v>
      </c>
      <c r="P609" s="8"/>
      <c r="Q609" s="249" t="str">
        <f>+INDEX(PWP!$A:$Z,MATCH('PWP-Print'!O608,PWP!$B:$B,0),MATCH("Name",PWP!$A$1:$Z$1,0))</f>
        <v>Summer Mym</v>
      </c>
      <c r="R609" s="8"/>
      <c r="S609" t="e" vm="688">
        <f>_xlfn.IMAGE("https://natalie.tf/wp-content/uploads/2023/10/DLV3_Icon_Ability_"&amp;INDEX('PWP-A'!$A$2:$C$31,MATCH('PWP-Print'!T609,'PWP-A'!$B$2:$B$31,0),1)&amp;".png")</f>
        <v>#VALUE!</v>
      </c>
      <c r="T609" s="229" t="str">
        <f>+INDEX(PWP!$A:$Z,MATCH('PWP-Print'!O608,PWP!$B:$B,0),MATCH("PWP Ability 2",PWP!$A$1:$Z$1,0))</f>
        <v>Overdrive Punisher +15%</v>
      </c>
      <c r="U609" s="179" t="str">
        <f>+INDEX(PWP!$A:$Z,MATCH('PWP-Print'!O608,PWP!$B:$B,0),MATCH("Locked PWP Ability 2",PWP!$A$1:$Z$1,0))</f>
        <v>(Shadow) Overdrive Punisher +15%</v>
      </c>
    </row>
    <row r="610" spans="1:21" ht="22.5" customHeight="1" x14ac:dyDescent="0.3">
      <c r="A610" s="244" t="str">
        <f>TEXT(A606+1,"000")</f>
        <v>284</v>
      </c>
      <c r="B610" s="244" t="str">
        <f>TEXT(B606+1,"000")</f>
        <v>297</v>
      </c>
      <c r="C610" s="729"/>
      <c r="E610" s="251" t="str">
        <f>+INDEX(PWP!$A:$Z,MATCH('PWP-Print'!E608,PWP!$B:$B,0),MATCH("Num",PWP!$A$1:$Z$1,0))</f>
        <v>A-284</v>
      </c>
      <c r="G610" s="249" t="str">
        <f>+INDEX(PWP!$A:$Z,MATCH('PWP-Print'!E608,PWP!$B:$B,0),MATCH("Element",PWP!$A$1:$Z$1,0))&amp;" "&amp;INDEX(PWP!$A:$Z,MATCH('PWP-Print'!E608,PWP!$B:$B,0),MATCH("Type",PWP!$A$1:$Z$1,0))&amp;" Adventurer"</f>
        <v>Shadow Wand Adventurer</v>
      </c>
      <c r="K610" s="250"/>
      <c r="M610" s="729"/>
      <c r="O610" s="251" t="str">
        <f>+INDEX(PWP!$A:$Z,MATCH('PWP-Print'!O608,PWP!$B:$B,0),MATCH("Num",PWP!$A$1:$Z$1,0))</f>
        <v>A-297</v>
      </c>
      <c r="Q610" s="249" t="str">
        <f>+INDEX(PWP!$A:$Z,MATCH('PWP-Print'!O608,PWP!$B:$B,0),MATCH("Element",PWP!$A$1:$Z$1,0))&amp;" "&amp;INDEX(PWP!$A:$Z,MATCH('PWP-Print'!O608,PWP!$B:$B,0),MATCH("Type",PWP!$A$1:$Z$1,0))&amp;" Adventurer"</f>
        <v>Shadow Manacaster Adventurer</v>
      </c>
      <c r="U610" s="250"/>
    </row>
    <row r="611" spans="1:21" ht="7.5" customHeight="1" x14ac:dyDescent="0.3">
      <c r="A611" s="244" t="s">
        <v>10763</v>
      </c>
      <c r="E611" s="250"/>
      <c r="G611" s="250"/>
      <c r="K611" s="250"/>
      <c r="O611" s="250"/>
      <c r="Q611" s="250"/>
      <c r="U611" s="250"/>
    </row>
    <row r="612" spans="1:21" ht="22.5" customHeight="1" x14ac:dyDescent="0.3">
      <c r="C612" s="729" t="e" vm="1327">
        <f>_xlfn.IMAGE("https://natalie.tf/wp-content/uploads/2023/10/DLV3_Icon_ADV_"&amp;E613&amp;"_r05.png")</f>
        <v>#VALUE!</v>
      </c>
      <c r="E612" s="249" t="str">
        <f>"PWP-"&amp;A614</f>
        <v>PWP-285</v>
      </c>
      <c r="G612" s="249" t="str">
        <f>+INDEX(PWP!$A:$Z,MATCH('PWP-Print'!E612,PWP!$B:$B,0),MATCH("Title",PWP!$A$1:$Z$1,0))</f>
        <v>Otherworld Auspex</v>
      </c>
      <c r="I612" t="e" vm="14">
        <f>_xlfn.IMAGE("https://natalie.tf/wp-content/uploads/2023/10/DLV3_Icon_Ability_"&amp;INDEX('PWP-A'!$A$2:$C$31,MATCH('PWP-Print'!J612,'PWP-A'!$B$2:$B$31,0),1)&amp;".png")</f>
        <v>#VALUE!</v>
      </c>
      <c r="J612" s="229" t="str">
        <f>+INDEX(PWP!$A:$Z,MATCH('PWP-Print'!E612,PWP!$B:$B,0),MATCH("PWP Ability 1",PWP!$A$1:$Z$1,0))</f>
        <v>Skill Damage +40%</v>
      </c>
      <c r="K612" s="249" t="str">
        <f>+INDEX(PWP!$A:$Z,MATCH('PWP-Print'!E612,PWP!$B:$B,0),MATCH("Locked PWP Ability 1",PWP!$A$1:$Z$1,0))</f>
        <v>(Shadow) Skill Damage +40%</v>
      </c>
      <c r="M612" s="729" t="e" vm="2">
        <f>_xlfn.IMAGE("https://natalie.tf/wp-content/uploads/2023/10/DLV3_Icon_ADV_"&amp;O613&amp;"_r05.png")</f>
        <v>#VALUE!</v>
      </c>
      <c r="O612" s="249" t="str">
        <f>"PWP-"&amp;B614</f>
        <v>PWP-298</v>
      </c>
      <c r="Q612" s="249" t="str">
        <f>+INDEX(PWP!$A:$Z,MATCH('PWP-Print'!O612,PWP!$B:$B,0),MATCH("Title",PWP!$A$1:$Z$1,0))</f>
        <v>Passionate Princess</v>
      </c>
      <c r="S612" t="e" vm="1036">
        <f>_xlfn.IMAGE("https://natalie.tf/wp-content/uploads/2023/10/DLV3_Icon_Ability_"&amp;INDEX('PWP-A'!$A$2:$C$31,MATCH('PWP-Print'!T612,'PWP-A'!$B$2:$B$31,0),1)&amp;".png")</f>
        <v>#VALUE!</v>
      </c>
      <c r="T612" s="229" t="str">
        <f>+INDEX(PWP!$A:$Z,MATCH('PWP-Print'!O612,PWP!$B:$B,0),MATCH("PWP Ability 1",PWP!$A$1:$Z$1,0))</f>
        <v>15 Hits = Overdamage</v>
      </c>
      <c r="U612" s="249" t="str">
        <f>+INDEX(PWP!$A:$Z,MATCH('PWP-Print'!O612,PWP!$B:$B,0),MATCH("Locked PWP Ability 1",PWP!$A$1:$Z$1,0))</f>
        <v>(Shadow) 15 Hits = Overdamage</v>
      </c>
    </row>
    <row r="613" spans="1:21" ht="22.5" customHeight="1" x14ac:dyDescent="0.3">
      <c r="C613" s="729"/>
      <c r="D613" s="8"/>
      <c r="E613" s="200" t="str">
        <f>+INDEX(PWP!$A:$Z,MATCH('PWP-Print'!E612,PWP!$B:$B,0),MATCH("ID",PWP!$A$1:$Z$1,0))</f>
        <v>100009_07</v>
      </c>
      <c r="F613" s="8"/>
      <c r="G613" s="249" t="str">
        <f>+INDEX(PWP!$A:$Z,MATCH('PWP-Print'!E612,PWP!$B:$B,0),MATCH("Name",PWP!$A$1:$Z$1,0))</f>
        <v>Zena</v>
      </c>
      <c r="H613" s="8"/>
      <c r="I613" t="e" vm="426">
        <f>_xlfn.IMAGE("https://natalie.tf/wp-content/uploads/2023/10/DLV3_Icon_Ability_"&amp;INDEX('PWP-A'!$A$2:$C$31,MATCH('PWP-Print'!J613,'PWP-A'!$B$2:$B$31,0),1)&amp;".png")</f>
        <v>#VALUE!</v>
      </c>
      <c r="J613" s="229" t="str">
        <f>+INDEX(PWP!$A:$Z,MATCH('PWP-Print'!E612,PWP!$B:$B,0),MATCH("PWP Ability 2",PWP!$A$1:$Z$1,0))</f>
        <v>Defense +20%</v>
      </c>
      <c r="K613" s="249" t="str">
        <f>+INDEX(PWP!$A:$Z,MATCH('PWP-Print'!E612,PWP!$B:$B,0),MATCH("Locked PWP Ability 2",PWP!$A$1:$Z$1,0))</f>
        <v>(Shadow) Defense +20%</v>
      </c>
      <c r="M613" s="729"/>
      <c r="N613" s="8"/>
      <c r="O613" s="200" t="str">
        <f>+INDEX(PWP!$A:$Z,MATCH('PWP-Print'!O612,PWP!$B:$B,0),MATCH("ID",PWP!$A$1:$Z$1,0))</f>
        <v>100015_05</v>
      </c>
      <c r="P613" s="8"/>
      <c r="Q613" s="249" t="str">
        <f>+INDEX(PWP!$A:$Z,MATCH('PWP-Print'!O612,PWP!$B:$B,0),MATCH("Name",PWP!$A$1:$Z$1,0))</f>
        <v>Gala Chelle</v>
      </c>
      <c r="R613" s="8"/>
      <c r="S613" t="e" vm="7">
        <f>_xlfn.IMAGE("https://natalie.tf/wp-content/uploads/2023/10/DLV3_Icon_Ability_"&amp;INDEX('PWP-A'!$A$2:$C$31,MATCH('PWP-Print'!T613,'PWP-A'!$B$2:$B$31,0),1)&amp;".png")</f>
        <v>#VALUE!</v>
      </c>
      <c r="T613" s="229" t="str">
        <f>+INDEX(PWP!$A:$Z,MATCH('PWP-Print'!O612,PWP!$B:$B,0),MATCH("PWP Ability 2",PWP!$A$1:$Z$1,0))</f>
        <v>Force Strike +50%</v>
      </c>
      <c r="U613" s="249" t="str">
        <f>+INDEX(PWP!$A:$Z,MATCH('PWP-Print'!O612,PWP!$B:$B,0),MATCH("Locked PWP Ability 2",PWP!$A$1:$Z$1,0))</f>
        <v>(Shadow) Force Strike +50%</v>
      </c>
    </row>
    <row r="614" spans="1:21" ht="22.5" customHeight="1" x14ac:dyDescent="0.3">
      <c r="A614" s="244" t="str">
        <f>TEXT(A610+1,"000")</f>
        <v>285</v>
      </c>
      <c r="B614" s="244" t="str">
        <f>TEXT(B610+1,"000")</f>
        <v>298</v>
      </c>
      <c r="C614" s="729"/>
      <c r="E614" s="251" t="str">
        <f>+INDEX(PWP!$A:$Z,MATCH('PWP-Print'!E612,PWP!$B:$B,0),MATCH("Num",PWP!$A$1:$Z$1,0))</f>
        <v>A-285</v>
      </c>
      <c r="G614" s="249" t="str">
        <f>+INDEX(PWP!$A:$Z,MATCH('PWP-Print'!E612,PWP!$B:$B,0),MATCH("Element",PWP!$A$1:$Z$1,0))&amp;" "&amp;INDEX(PWP!$A:$Z,MATCH('PWP-Print'!E612,PWP!$B:$B,0),MATCH("Type",PWP!$A$1:$Z$1,0))&amp;" Adventurer"</f>
        <v>Shadow Wand Adventurer</v>
      </c>
      <c r="K614" s="250"/>
      <c r="M614" s="729"/>
      <c r="O614" s="251" t="str">
        <f>+INDEX(PWP!$A:$Z,MATCH('PWP-Print'!O612,PWP!$B:$B,0),MATCH("Num",PWP!$A$1:$Z$1,0))</f>
        <v>A-298</v>
      </c>
      <c r="Q614" s="249" t="str">
        <f>+INDEX(PWP!$A:$Z,MATCH('PWP-Print'!O612,PWP!$B:$B,0),MATCH("Element",PWP!$A$1:$Z$1,0))&amp;" "&amp;INDEX(PWP!$A:$Z,MATCH('PWP-Print'!O612,PWP!$B:$B,0),MATCH("Type",PWP!$A$1:$Z$1,0))&amp;" Adventurer"</f>
        <v>Shadow Manacaster Adventurer</v>
      </c>
      <c r="U614" s="250"/>
    </row>
    <row r="615" spans="1:21" ht="7.5" customHeight="1" x14ac:dyDescent="0.3">
      <c r="A615" s="244" t="s">
        <v>10763</v>
      </c>
      <c r="E615" s="250"/>
      <c r="G615" s="250"/>
      <c r="K615" s="250"/>
      <c r="O615" s="250"/>
      <c r="Q615" s="250"/>
      <c r="U615" s="250"/>
    </row>
    <row r="616" spans="1:21" ht="22.5" customHeight="1" x14ac:dyDescent="0.3">
      <c r="C616" s="729" t="e" vm="1328">
        <f>_xlfn.IMAGE("https://natalie.tf/wp-content/uploads/2023/10/DLV3_Icon_ADV_"&amp;E617&amp;"_r05.png")</f>
        <v>#VALUE!</v>
      </c>
      <c r="E616" s="249" t="str">
        <f>"PWP-"&amp;A618</f>
        <v>PWP-286</v>
      </c>
      <c r="G616" s="249" t="str">
        <f>+INDEX(PWP!$A:$Z,MATCH('PWP-Print'!E616,PWP!$B:$B,0),MATCH("Title",PWP!$A$1:$Z$1,0))</f>
        <v>Sorrowful Royal Magician</v>
      </c>
      <c r="I616" t="e" vm="14">
        <f>_xlfn.IMAGE("https://natalie.tf/wp-content/uploads/2023/10/DLV3_Icon_Ability_"&amp;INDEX('PWP-A'!$A$2:$C$31,MATCH('PWP-Print'!J616,'PWP-A'!$B$2:$B$31,0),1)&amp;".png")</f>
        <v>#VALUE!</v>
      </c>
      <c r="J616" s="229" t="str">
        <f>+INDEX(PWP!$A:$Z,MATCH('PWP-Print'!E616,PWP!$B:$B,0),MATCH("PWP Ability 1",PWP!$A$1:$Z$1,0))</f>
        <v>Skill Damage +40%</v>
      </c>
      <c r="K616" s="249" t="str">
        <f>+INDEX(PWP!$A:$Z,MATCH('PWP-Print'!E616,PWP!$B:$B,0),MATCH("Locked PWP Ability 1",PWP!$A$1:$Z$1,0))</f>
        <v>(Shadow) Skill Damage +40%</v>
      </c>
      <c r="M616" s="729" t="e" vm="1329">
        <f>_xlfn.IMAGE("https://natalie.tf/wp-content/uploads/2023/11/DLV3_Icon_ADV_Custom_"&amp;Q617&amp;".png")</f>
        <v>#VALUE!</v>
      </c>
      <c r="O616" s="249" t="str">
        <f>"PWP-"&amp;B618</f>
        <v>PWP-299</v>
      </c>
      <c r="Q616" s="249" t="str">
        <f>+INDEX(PWP!$A:$Z,MATCH('PWP-Print'!O616,PWP!$B:$B,0),MATCH("Title",PWP!$A$1:$Z$1,0))</f>
        <v>The Holy Auspex</v>
      </c>
      <c r="S616" t="e" vm="496">
        <f>_xlfn.IMAGE("https://natalie.tf/wp-content/uploads/2023/10/DLV3_Icon_Ability_"&amp;INDEX('PWP-A'!$A$2:$C$31,MATCH('PWP-Print'!T616,'PWP-A'!$B$2:$B$31,0),1)&amp;".png")</f>
        <v>#VALUE!</v>
      </c>
      <c r="T616" s="229" t="str">
        <f>+INDEX(PWP!$A:$Z,MATCH('PWP-Print'!O616,PWP!$B:$B,0),MATCH("PWP Ability 1",PWP!$A$1:$Z$1,0))</f>
        <v>HP +15%</v>
      </c>
      <c r="U616" s="249" t="str">
        <f>+INDEX(PWP!$A:$Z,MATCH('PWP-Print'!O616,PWP!$B:$B,0),MATCH("Locked PWP Ability 1",PWP!$A$1:$Z$1,0))</f>
        <v>(Light) HP +15%</v>
      </c>
    </row>
    <row r="617" spans="1:21" ht="22.5" customHeight="1" x14ac:dyDescent="0.3">
      <c r="C617" s="729"/>
      <c r="D617" s="8"/>
      <c r="E617" s="200" t="str">
        <f>+INDEX(PWP!$A:$Z,MATCH('PWP-Print'!E616,PWP!$B:$B,0),MATCH("ID",PWP!$A$1:$Z$1,0))</f>
        <v>110337_01</v>
      </c>
      <c r="F617" s="8"/>
      <c r="G617" s="249" t="str">
        <f>+INDEX(PWP!$A:$Z,MATCH('PWP-Print'!E616,PWP!$B:$B,0),MATCH("Name",PWP!$A$1:$Z$1,0))</f>
        <v>Cassandra</v>
      </c>
      <c r="H617" s="8"/>
      <c r="I617" t="e" vm="1045">
        <f>_xlfn.IMAGE("https://natalie.tf/wp-content/uploads/2023/10/DLV3_Icon_Ability_"&amp;INDEX('PWP-A'!$A$2:$C$31,MATCH('PWP-Print'!J617,'PWP-A'!$B$2:$B$31,0),1)&amp;".png")</f>
        <v>#VALUE!</v>
      </c>
      <c r="J617" s="229" t="str">
        <f>+INDEX(PWP!$A:$Z,MATCH('PWP-Print'!E616,PWP!$B:$B,0),MATCH("PWP Ability 2",PWP!$A$1:$Z$1,0))</f>
        <v>Attack Rate +20%</v>
      </c>
      <c r="K617" s="249" t="str">
        <f>+INDEX(PWP!$A:$Z,MATCH('PWP-Print'!E616,PWP!$B:$B,0),MATCH("Locked PWP Ability 2",PWP!$A$1:$Z$1,0))</f>
        <v>(Shadow) Attack Rate +20%</v>
      </c>
      <c r="M617" s="729"/>
      <c r="N617" s="8"/>
      <c r="O617" s="200" t="str">
        <f>+INDEX(PWP!$A:$Z,MATCH('PWP-Print'!O616,PWP!$B:$B,0),MATCH("ID",PWP!$A$1:$Z$1,0))</f>
        <v>100054_03</v>
      </c>
      <c r="P617" s="8"/>
      <c r="Q617" s="249" t="str">
        <f>+INDEX(PWP!$A:$Z,MATCH('PWP-Print'!O616,PWP!$B:$B,0),MATCH("Name",PWP!$A$1:$Z$1,0))</f>
        <v>Zethia</v>
      </c>
      <c r="R617" s="8"/>
      <c r="S617" t="e" vm="349">
        <f>_xlfn.IMAGE("https://natalie.tf/wp-content/uploads/2023/10/DLV3_Icon_Ability_"&amp;INDEX('PWP-A'!$A$2:$C$31,MATCH('PWP-Print'!T617,'PWP-A'!$B$2:$B$31,0),1)&amp;".png")</f>
        <v>#VALUE!</v>
      </c>
      <c r="T617" s="229" t="str">
        <f>+INDEX(PWP!$A:$Z,MATCH('PWP-Print'!O616,PWP!$B:$B,0),MATCH("PWP Ability 2",PWP!$A$1:$Z$1,0))</f>
        <v>Recovery Potency +20%</v>
      </c>
      <c r="U617" s="249" t="str">
        <f>+INDEX(PWP!$A:$Z,MATCH('PWP-Print'!O616,PWP!$B:$B,0),MATCH("Locked PWP Ability 2",PWP!$A$1:$Z$1,0))</f>
        <v>(Light) Recovery Potency +20%</v>
      </c>
    </row>
    <row r="618" spans="1:21" ht="22.5" customHeight="1" x14ac:dyDescent="0.3">
      <c r="A618" s="244" t="str">
        <f>TEXT(A614+1,"000")</f>
        <v>286</v>
      </c>
      <c r="B618" s="244" t="str">
        <f>TEXT(B614+1,"000")</f>
        <v>299</v>
      </c>
      <c r="C618" s="729"/>
      <c r="E618" s="251" t="str">
        <f>+INDEX(PWP!$A:$Z,MATCH('PWP-Print'!E616,PWP!$B:$B,0),MATCH("Num",PWP!$A$1:$Z$1,0))</f>
        <v>A-286</v>
      </c>
      <c r="G618" s="249" t="str">
        <f>+INDEX(PWP!$A:$Z,MATCH('PWP-Print'!E616,PWP!$B:$B,0),MATCH("Element",PWP!$A$1:$Z$1,0))&amp;" "&amp;INDEX(PWP!$A:$Z,MATCH('PWP-Print'!E616,PWP!$B:$B,0),MATCH("Type",PWP!$A$1:$Z$1,0))&amp;" Adventurer"</f>
        <v>Shadow Wand Adventurer</v>
      </c>
      <c r="K618" s="250"/>
      <c r="M618" s="729"/>
      <c r="O618" s="251" t="str">
        <f>+INDEX(PWP!$A:$Z,MATCH('PWP-Print'!O616,PWP!$B:$B,0),MATCH("Num",PWP!$A$1:$Z$1,0))</f>
        <v>AN-001</v>
      </c>
      <c r="Q618" s="249" t="str">
        <f>+INDEX(PWP!$A:$Z,MATCH('PWP-Print'!O616,PWP!$B:$B,0),MATCH("Element",PWP!$A$1:$Z$1,0))&amp;" "&amp;INDEX(PWP!$A:$Z,MATCH('PWP-Print'!O616,PWP!$B:$B,0),MATCH("Type",PWP!$A$1:$Z$1,0))&amp;" Adventurer"</f>
        <v>Light Staff Adventurer</v>
      </c>
      <c r="U618" s="250"/>
    </row>
    <row r="619" spans="1:21" ht="7.5" customHeight="1" x14ac:dyDescent="0.3">
      <c r="A619" s="244" t="s">
        <v>10763</v>
      </c>
      <c r="E619" s="250"/>
      <c r="G619" s="250"/>
      <c r="K619" s="250"/>
      <c r="O619" s="250"/>
      <c r="Q619" s="250"/>
      <c r="U619" s="250"/>
    </row>
    <row r="620" spans="1:21" ht="22.5" customHeight="1" x14ac:dyDescent="0.3">
      <c r="C620" s="729" t="e" vm="1330">
        <f>_xlfn.IMAGE("https://natalie.tf/wp-content/uploads/2023/10/DLV3_Icon_ADV_"&amp;E621&amp;"_r05.png")</f>
        <v>#VALUE!</v>
      </c>
      <c r="E620" s="249" t="str">
        <f>"PWP-"&amp;A622</f>
        <v>PWP-287</v>
      </c>
      <c r="G620" s="249" t="str">
        <f>+INDEX(PWP!$A:$Z,MATCH('PWP-Print'!E620,PWP!$B:$B,0),MATCH("Title",PWP!$A$1:$Z$1,0))</f>
        <v>Supreme Sorcerer</v>
      </c>
      <c r="I620" t="e" vm="1036">
        <f>_xlfn.IMAGE("https://natalie.tf/wp-content/uploads/2023/10/DLV3_Icon_Ability_"&amp;INDEX('PWP-A'!$A$2:$C$31,MATCH('PWP-Print'!J620,'PWP-A'!$B$2:$B$31,0),1)&amp;".png")</f>
        <v>#VALUE!</v>
      </c>
      <c r="J620" s="229" t="str">
        <f>+INDEX(PWP!$A:$Z,MATCH('PWP-Print'!E620,PWP!$B:$B,0),MATCH("PWP Ability 1",PWP!$A$1:$Z$1,0))</f>
        <v>15 Hits = Overdamage</v>
      </c>
      <c r="K620" s="249" t="str">
        <f>+INDEX(PWP!$A:$Z,MATCH('PWP-Print'!E620,PWP!$B:$B,0),MATCH("Locked PWP Ability 1",PWP!$A$1:$Z$1,0))</f>
        <v>(Shadow) 15 Hits = Overdamage</v>
      </c>
      <c r="M620" s="729" t="e" vm="1331">
        <f>_xlfn.IMAGE("https://natalie.tf/wp-content/uploads/2023/11/DLV3_Icon_ADV_Custom_Summer_Elisanne.png")</f>
        <v>#VALUE!</v>
      </c>
      <c r="O620" s="249" t="str">
        <f>"PWP-"&amp;B622</f>
        <v>PWP-300</v>
      </c>
      <c r="Q620" s="249" t="str">
        <f>+INDEX(PWP!$A:$Z,MATCH('PWP-Print'!O620,PWP!$B:$B,0),MATCH("Title",PWP!$A$1:$Z$1,0))</f>
        <v>Splashing Paladyn</v>
      </c>
      <c r="S620" t="e" vm="14">
        <f>_xlfn.IMAGE("https://natalie.tf/wp-content/uploads/2023/10/DLV3_Icon_Ability_"&amp;INDEX('PWP-A'!$A$2:$C$31,MATCH('PWP-Print'!T620,'PWP-A'!$B$2:$B$31,0),1)&amp;".png")</f>
        <v>#VALUE!</v>
      </c>
      <c r="T620" s="229" t="str">
        <f>+INDEX(PWP!$A:$Z,MATCH('PWP-Print'!O620,PWP!$B:$B,0),MATCH("PWP Ability 1",PWP!$A$1:$Z$1,0))</f>
        <v>Strength +20%</v>
      </c>
      <c r="U620" s="249" t="str">
        <f>+INDEX(PWP!$A:$Z,MATCH('PWP-Print'!O620,PWP!$B:$B,0),MATCH("Locked PWP Ability 1",PWP!$A$1:$Z$1,0))</f>
        <v>(Water) Strength +20%</v>
      </c>
    </row>
    <row r="621" spans="1:21" ht="22.5" customHeight="1" x14ac:dyDescent="0.3">
      <c r="C621" s="729"/>
      <c r="D621" s="8"/>
      <c r="E621" s="200" t="str">
        <f>+INDEX(PWP!$A:$Z,MATCH('PWP-Print'!E620,PWP!$B:$B,0),MATCH("ID",PWP!$A$1:$Z$1,0))</f>
        <v>100004_10</v>
      </c>
      <c r="F621" s="8"/>
      <c r="G621" s="249" t="str">
        <f>+INDEX(PWP!$A:$Z,MATCH('PWP-Print'!E620,PWP!$B:$B,0),MATCH("Name",PWP!$A$1:$Z$1,0))</f>
        <v>Gala Cleo</v>
      </c>
      <c r="H621" s="8"/>
      <c r="I621" t="e" vm="696">
        <f>_xlfn.IMAGE("https://natalie.tf/wp-content/uploads/2023/10/DLV3_Icon_Ability_"&amp;INDEX('PWP-A'!$A$2:$C$31,MATCH('PWP-Print'!J621,'PWP-A'!$B$2:$B$31,0),1)&amp;".png")</f>
        <v>#VALUE!</v>
      </c>
      <c r="J621" s="229" t="str">
        <f>+INDEX(PWP!$A:$Z,MATCH('PWP-Print'!E620,PWP!$B:$B,0),MATCH("PWP Ability 2",PWP!$A$1:$Z$1,0))</f>
        <v>Elemental Res +15%</v>
      </c>
      <c r="K621" s="249" t="str">
        <f>+INDEX(PWP!$A:$Z,MATCH('PWP-Print'!E620,PWP!$B:$B,0),MATCH("Locked PWP Ability 2",PWP!$A$1:$Z$1,0))</f>
        <v>(Shadow) Elemental Res +15%</v>
      </c>
      <c r="M621" s="729"/>
      <c r="N621" s="8"/>
      <c r="O621" s="200" t="str">
        <f>+INDEX(PWP!$A:$Z,MATCH('PWP-Print'!O620,PWP!$B:$B,0),MATCH("ID",PWP!$A$1:$Z$1,0))</f>
        <v>100002_14</v>
      </c>
      <c r="P621" s="8"/>
      <c r="Q621" s="249" t="str">
        <f>+INDEX(PWP!$A:$Z,MATCH('PWP-Print'!O620,PWP!$B:$B,0),MATCH("Name",PWP!$A$1:$Z$1,0))</f>
        <v>Summer Elisanne</v>
      </c>
      <c r="R621" s="8"/>
      <c r="S621" t="e" vm="688">
        <f>_xlfn.IMAGE("https://natalie.tf/wp-content/uploads/2023/10/DLV3_Icon_Ability_"&amp;INDEX('PWP-A'!$A$2:$C$31,MATCH('PWP-Print'!T621,'PWP-A'!$B$2:$B$31,0),1)&amp;".png")</f>
        <v>#VALUE!</v>
      </c>
      <c r="T621" s="229" t="str">
        <f>+INDEX(PWP!$A:$Z,MATCH('PWP-Print'!O620,PWP!$B:$B,0),MATCH("PWP Ability 2",PWP!$A$1:$Z$1,0))</f>
        <v>Overdrive Punisher +15%</v>
      </c>
      <c r="U621" s="249" t="str">
        <f>+INDEX(PWP!$A:$Z,MATCH('PWP-Print'!O620,PWP!$B:$B,0),MATCH("Locked PWP Ability 2",PWP!$A$1:$Z$1,0))</f>
        <v>(Water) Overdrive Punisher +15%</v>
      </c>
    </row>
    <row r="622" spans="1:21" ht="22.5" customHeight="1" x14ac:dyDescent="0.3">
      <c r="A622" s="244" t="str">
        <f>TEXT(A618+1,"000")</f>
        <v>287</v>
      </c>
      <c r="B622" s="244" t="str">
        <f>TEXT(B618+1,"000")</f>
        <v>300</v>
      </c>
      <c r="C622" s="729"/>
      <c r="E622" s="251" t="str">
        <f>+INDEX(PWP!$A:$Z,MATCH('PWP-Print'!E620,PWP!$B:$B,0),MATCH("Num",PWP!$A$1:$Z$1,0))</f>
        <v>A-287</v>
      </c>
      <c r="G622" s="249" t="str">
        <f>+INDEX(PWP!$A:$Z,MATCH('PWP-Print'!E620,PWP!$B:$B,0),MATCH("Element",PWP!$A$1:$Z$1,0))&amp;" "&amp;INDEX(PWP!$A:$Z,MATCH('PWP-Print'!E620,PWP!$B:$B,0),MATCH("Type",PWP!$A$1:$Z$1,0))&amp;" Adventurer"</f>
        <v>Shadow Wand Adventurer</v>
      </c>
      <c r="K622" s="250"/>
      <c r="M622" s="729"/>
      <c r="O622" s="251" t="str">
        <f>+INDEX(PWP!$A:$Z,MATCH('PWP-Print'!O620,PWP!$B:$B,0),MATCH("Num",PWP!$A$1:$Z$1,0))</f>
        <v>AN-002</v>
      </c>
      <c r="Q622" s="249" t="str">
        <f>+INDEX(PWP!$A:$Z,MATCH('PWP-Print'!O620,PWP!$B:$B,0),MATCH("Element",PWP!$A$1:$Z$1,0))&amp;" "&amp;INDEX(PWP!$A:$Z,MATCH('PWP-Print'!O620,PWP!$B:$B,0),MATCH("Type",PWP!$A$1:$Z$1,0))&amp;" Adventurer"</f>
        <v>Water Manacaster Adventurer</v>
      </c>
      <c r="U622" s="250"/>
    </row>
    <row r="623" spans="1:21" ht="7.5" customHeight="1" x14ac:dyDescent="0.3">
      <c r="A623" s="244" t="s">
        <v>10763</v>
      </c>
      <c r="E623" s="250"/>
      <c r="G623" s="250"/>
      <c r="K623" s="250"/>
    </row>
    <row r="624" spans="1:21" ht="22.5" customHeight="1" x14ac:dyDescent="0.3">
      <c r="C624" s="729" t="e" vm="1332">
        <f>_xlfn.IMAGE("https://natalie.tf/wp-content/uploads/2023/10/DLV3_Icon_ADV_"&amp;E625&amp;"_r05.png")</f>
        <v>#VALUE!</v>
      </c>
      <c r="E624" s="249" t="str">
        <f>"PWP-"&amp;A626</f>
        <v>PWP-288</v>
      </c>
      <c r="G624" s="249" t="str">
        <f>+INDEX(PWP!$A:$Z,MATCH('PWP-Print'!E624,PWP!$B:$B,0),MATCH("Title",PWP!$A$1:$Z$1,0))</f>
        <v>Emblian Princess</v>
      </c>
      <c r="I624" t="e" vm="414">
        <f>_xlfn.IMAGE("https://natalie.tf/wp-content/uploads/2023/10/DLV3_Icon_Ability_"&amp;INDEX('PWP-A'!$A$2:$C$31,MATCH('PWP-Print'!J624,'PWP-A'!$B$2:$B$31,0),1)&amp;".png")</f>
        <v>#VALUE!</v>
      </c>
      <c r="J624" s="229" t="str">
        <f>+INDEX(PWP!$A:$Z,MATCH('PWP-Print'!E624,PWP!$B:$B,0),MATCH("PWP Ability 1",PWP!$A$1:$Z$1,0))</f>
        <v>Critical Damage +25%</v>
      </c>
      <c r="K624" s="249" t="str">
        <f>+INDEX(PWP!$A:$Z,MATCH('PWP-Print'!E624,PWP!$B:$B,0),MATCH("Locked PWP Ability 1",PWP!$A$1:$Z$1,0))</f>
        <v>(Shadow) Critical Damage +25%</v>
      </c>
      <c r="M624" s="729"/>
      <c r="O624" s="221"/>
      <c r="Q624" s="221"/>
      <c r="U624" s="221"/>
    </row>
    <row r="625" spans="1:21" ht="22.5" customHeight="1" x14ac:dyDescent="0.3">
      <c r="C625" s="729"/>
      <c r="D625" s="8"/>
      <c r="E625" s="200" t="str">
        <f>+INDEX(PWP!$A:$Z,MATCH('PWP-Print'!E624,PWP!$B:$B,0),MATCH("ID",PWP!$A$1:$Z$1,0))</f>
        <v>110333_01</v>
      </c>
      <c r="F625" s="8"/>
      <c r="G625" s="249" t="str">
        <f>+INDEX(PWP!$A:$Z,MATCH('PWP-Print'!E624,PWP!$B:$B,0),MATCH("Name",PWP!$A$1:$Z$1,0))</f>
        <v>Veronica</v>
      </c>
      <c r="H625" s="8"/>
      <c r="I625" t="e" vm="1045">
        <f>_xlfn.IMAGE("https://natalie.tf/wp-content/uploads/2023/10/DLV3_Icon_Ability_"&amp;INDEX('PWP-A'!$A$2:$C$31,MATCH('PWP-Print'!J625,'PWP-A'!$B$2:$B$31,0),1)&amp;".png")</f>
        <v>#VALUE!</v>
      </c>
      <c r="J625" s="229" t="str">
        <f>+INDEX(PWP!$A:$Z,MATCH('PWP-Print'!E624,PWP!$B:$B,0),MATCH("PWP Ability 2",PWP!$A$1:$Z$1,0))</f>
        <v>Attack Rate +20%</v>
      </c>
      <c r="K625" s="249" t="str">
        <f>+INDEX(PWP!$A:$Z,MATCH('PWP-Print'!E624,PWP!$B:$B,0),MATCH("Locked PWP Ability 2",PWP!$A$1:$Z$1,0))</f>
        <v>(Shadow) Attack Rate +20%</v>
      </c>
      <c r="M625" s="729"/>
      <c r="N625" s="8"/>
      <c r="O625" s="221"/>
      <c r="P625" s="8"/>
      <c r="Q625" s="221"/>
      <c r="R625" s="8"/>
      <c r="S625" s="8"/>
      <c r="T625" s="8"/>
      <c r="U625" s="221"/>
    </row>
    <row r="626" spans="1:21" ht="22.5" customHeight="1" x14ac:dyDescent="0.3">
      <c r="A626" s="244" t="str">
        <f>TEXT(A622+1,"000")</f>
        <v>288</v>
      </c>
      <c r="C626" s="729"/>
      <c r="E626" s="251" t="str">
        <f>+INDEX(PWP!$A:$Z,MATCH('PWP-Print'!E624,PWP!$B:$B,0),MATCH("Num",PWP!$A$1:$Z$1,0))</f>
        <v>A-288</v>
      </c>
      <c r="G626" s="249" t="str">
        <f>+INDEX(PWP!$A:$Z,MATCH('PWP-Print'!E624,PWP!$B:$B,0),MATCH("Element",PWP!$A$1:$Z$1,0))&amp;" "&amp;INDEX(PWP!$A:$Z,MATCH('PWP-Print'!E624,PWP!$B:$B,0),MATCH("Type",PWP!$A$1:$Z$1,0))&amp;" Adventurer"</f>
        <v>Shadow Wand Adventurer</v>
      </c>
      <c r="K626" s="250"/>
      <c r="M626" s="729"/>
      <c r="O626" s="221"/>
      <c r="Q626" s="221"/>
      <c r="U626" s="222"/>
    </row>
    <row r="627" spans="1:21" ht="37.5" customHeight="1" x14ac:dyDescent="0.2">
      <c r="A627" s="244" t="s">
        <v>10763</v>
      </c>
    </row>
    <row r="628" spans="1:21" ht="22.5" customHeight="1" x14ac:dyDescent="0.3">
      <c r="C628" s="729" t="e" vm="1333">
        <f>_xlfn.IMAGE("https://natalie.tf/wp-content/uploads/2023/11/DLV3_Icon_ADV_Custom_"&amp;G629&amp;".png")</f>
        <v>#VALUE!</v>
      </c>
      <c r="E628" s="249" t="str">
        <f>"PWP-"&amp;A630</f>
        <v>PWP-301</v>
      </c>
      <c r="G628" s="249" t="str">
        <f>+INDEX(PWP!$A:$Z,MATCH('PWP-Print'!E628,PWP!$B:$B,0),MATCH("Title",PWP!$A$1:$Z$1,0))</f>
        <v>Stunning Sniper</v>
      </c>
      <c r="I628" t="e" vm="326">
        <f>_xlfn.IMAGE("https://natalie.tf/wp-content/uploads/2023/10/DLV3_Icon_Ability_"&amp;INDEX('PWP-A'!$A$2:$C$31,MATCH('PWP-Print'!J628,'PWP-A'!$B$2:$B$31,0),1)&amp;".png")</f>
        <v>#VALUE!</v>
      </c>
      <c r="J628" s="229" t="str">
        <f>+INDEX(PWP!$A:$Z,MATCH('PWP-Print'!E628,PWP!$B:$B,0),MATCH("PWP Ability 1",PWP!$A$1:$Z$1,0))</f>
        <v>Critical Rate +15%</v>
      </c>
      <c r="K628" s="249" t="str">
        <f>+INDEX(PWP!$A:$Z,MATCH('PWP-Print'!E628,PWP!$B:$B,0),MATCH("Locked PWP Ability 1",PWP!$A$1:$Z$1,0))</f>
        <v>(Wind) Critical Rate +15%</v>
      </c>
      <c r="M628" s="729" t="e" vm="1334">
        <f>_xlfn.IMAGE("https://natalie.tf/wp-content/uploads/2023/10/DLV3_Icon_DRA_"&amp;O629&amp;".png")</f>
        <v>#VALUE!</v>
      </c>
      <c r="O628" s="249" t="str">
        <f>"PWP-"&amp;B630</f>
        <v>PWP-314</v>
      </c>
      <c r="Q628" s="249" t="str">
        <f>+INDEX(PWP!$A:$Z,MATCH('PWP-Print'!O628,PWP!$B:$B,0),MATCH("Title",PWP!$A$1:$Z$1,0))</f>
        <v>King of the Skies</v>
      </c>
      <c r="S628" t="e" vm="14">
        <f>_xlfn.IMAGE("https://natalie.tf/wp-content/uploads/2023/10/DLV3_Icon_Ability_"&amp;INDEX('PWP-A'!$A$2:$C$31,MATCH('PWP-Print'!T628,'PWP-A'!$B$2:$B$31,0),1)&amp;".png")</f>
        <v>#VALUE!</v>
      </c>
      <c r="T628" s="229" t="str">
        <f>+INDEX(PWP!$A:$Z,MATCH('PWP-Print'!O628,PWP!$B:$B,0),MATCH("PWP Ability 1",PWP!$A$1:$Z$1,0))</f>
        <v>Dragon Damage +18%</v>
      </c>
      <c r="U628" s="249" t="str">
        <f>+INDEX(PWP!$A:$Z,MATCH('PWP-Print'!O628,PWP!$B:$B,0),MATCH("Locked PWP Ability 1",PWP!$A$1:$Z$1,0))</f>
        <v>(Flame) Dragon Damage +18%</v>
      </c>
    </row>
    <row r="629" spans="1:21" ht="22.5" customHeight="1" x14ac:dyDescent="0.3">
      <c r="C629" s="729"/>
      <c r="D629" s="8"/>
      <c r="E629" s="200" t="str">
        <f>+INDEX(PWP!$A:$Z,MATCH('PWP-Print'!E628,PWP!$B:$B,0),MATCH("ID",PWP!$A$1:$Z$1,0))</f>
        <v>100029_01</v>
      </c>
      <c r="F629" s="8"/>
      <c r="G629" s="249" t="str">
        <f>+INDEX(PWP!$A:$Z,MATCH('PWP-Print'!E628,PWP!$B:$B,0),MATCH("Name",PWP!$A$1:$Z$1,0))</f>
        <v>Sarisse</v>
      </c>
      <c r="H629" s="8"/>
      <c r="I629" t="e" vm="696">
        <f>_xlfn.IMAGE("https://natalie.tf/wp-content/uploads/2023/10/DLV3_Icon_Ability_"&amp;INDEX('PWP-A'!$A$2:$C$31,MATCH('PWP-Print'!J629,'PWP-A'!$B$2:$B$31,0),1)&amp;".png")</f>
        <v>#VALUE!</v>
      </c>
      <c r="J629" s="229" t="str">
        <f>+INDEX(PWP!$A:$Z,MATCH('PWP-Print'!E628,PWP!$B:$B,0),MATCH("PWP Ability 2",PWP!$A$1:$Z$1,0))</f>
        <v>Elemental Res +15%</v>
      </c>
      <c r="K629" s="249" t="str">
        <f>+INDEX(PWP!$A:$Z,MATCH('PWP-Print'!E628,PWP!$B:$B,0),MATCH("Locked PWP Ability 2",PWP!$A$1:$Z$1,0))</f>
        <v>(Wind) Elemental Res +15%</v>
      </c>
      <c r="M629" s="729"/>
      <c r="N629" s="8"/>
      <c r="O629" s="200" t="str">
        <f>+INDEX(PWP!$A:$Z,MATCH('PWP-Print'!O628,PWP!$B:$B,0),MATCH("ID",PWP!$A$1:$Z$1,0))</f>
        <v>210121_01</v>
      </c>
      <c r="P629" s="8"/>
      <c r="Q629" s="249" t="str">
        <f>+INDEX(PWP!$A:$Z,MATCH('PWP-Print'!O628,PWP!$B:$B,0),MATCH("Name",PWP!$A$1:$Z$1,0))</f>
        <v>Rathalos</v>
      </c>
      <c r="R629" s="8"/>
      <c r="S629" t="e" vm="330">
        <f>_xlfn.IMAGE("https://natalie.tf/wp-content/uploads/2023/10/DLV3_Icon_Ability_"&amp;INDEX('PWP-A'!$A$2:$C$31,MATCH('PWP-Print'!T629,'PWP-A'!$B$2:$B$31,0),1)&amp;".png")</f>
        <v>#VALUE!</v>
      </c>
      <c r="T629" s="229" t="str">
        <f>+INDEX(PWP!$A:$Z,MATCH('PWP-Print'!O628,PWP!$B:$B,0),MATCH("PWP Ability 2",PWP!$A$1:$Z$1,0))</f>
        <v>Skill Haste +10%</v>
      </c>
      <c r="U629" s="249" t="str">
        <f>+INDEX(PWP!$A:$Z,MATCH('PWP-Print'!O628,PWP!$B:$B,0),MATCH("Locked PWP Ability 2",PWP!$A$1:$Z$1,0))</f>
        <v>(Flame) Skill Haste +10%</v>
      </c>
    </row>
    <row r="630" spans="1:21" ht="22.5" customHeight="1" x14ac:dyDescent="0.3">
      <c r="A630" s="242" t="str">
        <f>TEXT(B622+1,"000")</f>
        <v>301</v>
      </c>
      <c r="B630" s="244" t="str">
        <f>TEXT(A678+1,"000")</f>
        <v>314</v>
      </c>
      <c r="C630" s="729"/>
      <c r="E630" s="251" t="str">
        <f>+INDEX(PWP!$A:$Z,MATCH('PWP-Print'!E628,PWP!$B:$B,0),MATCH("Num",PWP!$A$1:$Z$1,0))</f>
        <v>AN-003</v>
      </c>
      <c r="G630" s="249" t="str">
        <f>+INDEX(PWP!$A:$Z,MATCH('PWP-Print'!E628,PWP!$B:$B,0),MATCH("Element",PWP!$A$1:$Z$1,0))&amp;" "&amp;INDEX(PWP!$A:$Z,MATCH('PWP-Print'!E628,PWP!$B:$B,0),MATCH("Type",PWP!$A$1:$Z$1,0))&amp;" Adventurer"</f>
        <v>Wind Bow Adventurer</v>
      </c>
      <c r="K630" s="250"/>
      <c r="M630" s="729"/>
      <c r="O630" s="251" t="str">
        <f>+INDEX(PWP!$A:$Z,MATCH('PWP-Print'!O628,PWP!$B:$B,0),MATCH("Num",PWP!$A$1:$Z$1,0))</f>
        <v>D-009</v>
      </c>
      <c r="Q630" s="249" t="str">
        <f>+INDEX(PWP!$A:$Z,MATCH('PWP-Print'!O628,PWP!$B:$B,0),MATCH("Element",PWP!$A$1:$Z$1,0))&amp;" "&amp;INDEX(PWP!$A:$Z,MATCH('PWP-Print'!O628,PWP!$B:$B,0),MATCH("Type",PWP!$A$1:$Z$1,0))</f>
        <v>Flame Dragon</v>
      </c>
      <c r="U630" s="250"/>
    </row>
    <row r="631" spans="1:21" ht="7.5" customHeight="1" x14ac:dyDescent="0.3">
      <c r="A631" s="244" t="s">
        <v>10763</v>
      </c>
      <c r="E631" s="250"/>
      <c r="G631" s="250"/>
      <c r="K631" s="250"/>
      <c r="O631" s="250"/>
      <c r="Q631" s="250"/>
      <c r="U631" s="250"/>
    </row>
    <row r="632" spans="1:21" ht="22.5" customHeight="1" x14ac:dyDescent="0.3">
      <c r="C632" s="729" t="e" vm="1335">
        <f>_xlfn.IMAGE("https://natalie.tf/wp-content/uploads/2023/11/DLV3_Icon_ADV_Custom_"&amp;G633&amp;".png")</f>
        <v>#VALUE!</v>
      </c>
      <c r="E632" s="249" t="str">
        <f>"PWP-"&amp;A634</f>
        <v>PWP-302</v>
      </c>
      <c r="G632" s="249" t="str">
        <f>+INDEX(PWP!$A:$Z,MATCH('PWP-Print'!E632,PWP!$B:$B,0),MATCH("Title",PWP!$A$1:$Z$1,0))</f>
        <v>Purveyor of Plague</v>
      </c>
      <c r="I632" t="e" vm="14">
        <f>_xlfn.IMAGE("https://natalie.tf/wp-content/uploads/2023/10/DLV3_Icon_Ability_"&amp;INDEX('PWP-A'!$A$2:$C$31,MATCH('PWP-Print'!J632,'PWP-A'!$B$2:$B$31,0),1)&amp;".png")</f>
        <v>#VALUE!</v>
      </c>
      <c r="J632" s="229" t="str">
        <f>+INDEX(PWP!$A:$Z,MATCH('PWP-Print'!E632,PWP!$B:$B,0),MATCH("PWP Ability 1",PWP!$A$1:$Z$1,0))</f>
        <v>Strength +20%</v>
      </c>
      <c r="K632" s="249" t="str">
        <f>+INDEX(PWP!$A:$Z,MATCH('PWP-Print'!E632,PWP!$B:$B,0),MATCH("Locked PWP Ability 1",PWP!$A$1:$Z$1,0))</f>
        <v>(Wind) Strength +20%</v>
      </c>
      <c r="M632" s="729" t="e" vm="1336">
        <f>_xlfn.IMAGE("https://natalie.tf/wp-content/uploads/2023/10/DLV3_Icon_DRA_"&amp;O633&amp;".png")</f>
        <v>#VALUE!</v>
      </c>
      <c r="O632" s="249" t="str">
        <f>"PWP-"&amp;B634</f>
        <v>PWP-315</v>
      </c>
      <c r="Q632" s="249" t="str">
        <f>+INDEX(PWP!$A:$Z,MATCH('PWP-Print'!O632,PWP!$B:$B,0),MATCH("Title",PWP!$A$1:$Z$1,0))</f>
        <v>Incandescent General</v>
      </c>
      <c r="S632" t="e" vm="14">
        <f>_xlfn.IMAGE("https://natalie.tf/wp-content/uploads/2023/10/DLV3_Icon_Ability_"&amp;INDEX('PWP-A'!$A$2:$C$31,MATCH('PWP-Print'!T632,'PWP-A'!$B$2:$B$31,0),1)&amp;".png")</f>
        <v>#VALUE!</v>
      </c>
      <c r="T632" s="229" t="str">
        <f>+INDEX(PWP!$A:$Z,MATCH('PWP-Print'!O632,PWP!$B:$B,0),MATCH("PWP Ability 1",PWP!$A$1:$Z$1,0))</f>
        <v>Dragon Damage +18%</v>
      </c>
      <c r="U632" s="249" t="str">
        <f>+INDEX(PWP!$A:$Z,MATCH('PWP-Print'!O632,PWP!$B:$B,0),MATCH("Locked PWP Ability 1",PWP!$A$1:$Z$1,0))</f>
        <v>(Flame) Dragon Damage +18%</v>
      </c>
    </row>
    <row r="633" spans="1:21" ht="22.5" customHeight="1" x14ac:dyDescent="0.3">
      <c r="C633" s="729"/>
      <c r="D633" s="8"/>
      <c r="E633" s="200" t="str">
        <f>+INDEX(PWP!$A:$Z,MATCH('PWP-Print'!E632,PWP!$B:$B,0),MATCH("ID",PWP!$A$1:$Z$1,0))</f>
        <v>110405_01</v>
      </c>
      <c r="F633" s="8"/>
      <c r="G633" s="249" t="str">
        <f>+INDEX(PWP!$A:$Z,MATCH('PWP-Print'!E632,PWP!$B:$B,0),MATCH("Name",PWP!$A$1:$Z$1,0))</f>
        <v>Volk</v>
      </c>
      <c r="H633" s="8"/>
      <c r="I633" t="e" vm="14">
        <f>_xlfn.IMAGE("https://natalie.tf/wp-content/uploads/2023/10/DLV3_Icon_Ability_"&amp;INDEX('PWP-A'!$A$2:$C$31,MATCH('PWP-Print'!J633,'PWP-A'!$B$2:$B$31,0),1)&amp;".png")</f>
        <v>#VALUE!</v>
      </c>
      <c r="J633" s="229" t="str">
        <f>+INDEX(PWP!$A:$Z,MATCH('PWP-Print'!E632,PWP!$B:$B,0),MATCH("PWP Ability 2",PWP!$A$1:$Z$1,0))</f>
        <v>Skill Damage +40%</v>
      </c>
      <c r="K633" s="249" t="str">
        <f>+INDEX(PWP!$A:$Z,MATCH('PWP-Print'!E632,PWP!$B:$B,0),MATCH("Locked PWP Ability 2",PWP!$A$1:$Z$1,0))</f>
        <v>(Wind) Skill Damage +40%</v>
      </c>
      <c r="M633" s="729"/>
      <c r="N633" s="8"/>
      <c r="O633" s="200" t="str">
        <f>+INDEX(PWP!$A:$Z,MATCH('PWP-Print'!O632,PWP!$B:$B,0),MATCH("ID",PWP!$A$1:$Z$1,0))</f>
        <v>210107_01</v>
      </c>
      <c r="P633" s="8"/>
      <c r="Q633" s="249" t="str">
        <f>+INDEX(PWP!$A:$Z,MATCH('PWP-Print'!O632,PWP!$B:$B,0),MATCH("Name",PWP!$A$1:$Z$1,0))</f>
        <v>Kagutsuchi</v>
      </c>
      <c r="R633" s="8"/>
      <c r="S633" t="e" vm="688">
        <f>_xlfn.IMAGE("https://natalie.tf/wp-content/uploads/2023/10/DLV3_Icon_Ability_"&amp;INDEX('PWP-A'!$A$2:$C$31,MATCH('PWP-Print'!T633,'PWP-A'!$B$2:$B$31,0),1)&amp;".png")</f>
        <v>#VALUE!</v>
      </c>
      <c r="T633" s="229" t="str">
        <f>+INDEX(PWP!$A:$Z,MATCH('PWP-Print'!O632,PWP!$B:$B,0),MATCH("PWP Ability 2",PWP!$A$1:$Z$1,0))</f>
        <v>Overdrive Punisher +15%</v>
      </c>
      <c r="U633" s="249" t="str">
        <f>+INDEX(PWP!$A:$Z,MATCH('PWP-Print'!O632,PWP!$B:$B,0),MATCH("Locked PWP Ability 2",PWP!$A$1:$Z$1,0))</f>
        <v>(Flame) Overdrive Punisher +15%</v>
      </c>
    </row>
    <row r="634" spans="1:21" ht="22.5" customHeight="1" x14ac:dyDescent="0.3">
      <c r="A634" s="244" t="str">
        <f>TEXT(A630+1,"000")</f>
        <v>302</v>
      </c>
      <c r="B634" s="244" t="str">
        <f>TEXT(B630+1,"000")</f>
        <v>315</v>
      </c>
      <c r="C634" s="729"/>
      <c r="E634" s="251" t="str">
        <f>+INDEX(PWP!$A:$Z,MATCH('PWP-Print'!E632,PWP!$B:$B,0),MATCH("Num",PWP!$A$1:$Z$1,0))</f>
        <v>AN-004</v>
      </c>
      <c r="G634" s="249" t="str">
        <f>+INDEX(PWP!$A:$Z,MATCH('PWP-Print'!E632,PWP!$B:$B,0),MATCH("Element",PWP!$A$1:$Z$1,0))&amp;" "&amp;INDEX(PWP!$A:$Z,MATCH('PWP-Print'!E632,PWP!$B:$B,0),MATCH("Type",PWP!$A$1:$Z$1,0))&amp;" Adventurer"</f>
        <v>Wind Lance Adventurer</v>
      </c>
      <c r="K634" s="250"/>
      <c r="M634" s="729"/>
      <c r="O634" s="251" t="str">
        <f>+INDEX(PWP!$A:$Z,MATCH('PWP-Print'!O632,PWP!$B:$B,0),MATCH("Num",PWP!$A$1:$Z$1,0))</f>
        <v>D-010</v>
      </c>
      <c r="Q634" s="249" t="str">
        <f>+INDEX(PWP!$A:$Z,MATCH('PWP-Print'!O632,PWP!$B:$B,0),MATCH("Element",PWP!$A$1:$Z$1,0))&amp;" "&amp;INDEX(PWP!$A:$Z,MATCH('PWP-Print'!O632,PWP!$B:$B,0),MATCH("Type",PWP!$A$1:$Z$1,0))</f>
        <v>Flame Dragon</v>
      </c>
      <c r="U634" s="250"/>
    </row>
    <row r="635" spans="1:21" ht="7.5" customHeight="1" x14ac:dyDescent="0.3">
      <c r="A635" s="244" t="s">
        <v>10763</v>
      </c>
      <c r="E635" s="250"/>
      <c r="G635" s="250"/>
      <c r="K635" s="250"/>
      <c r="O635" s="250"/>
      <c r="Q635" s="250"/>
      <c r="U635" s="250"/>
    </row>
    <row r="636" spans="1:21" ht="22.5" customHeight="1" x14ac:dyDescent="0.3">
      <c r="C636" s="729" t="e" vm="1337">
        <f>_xlfn.IMAGE("https://natalie.tf/wp-content/uploads/2023/11/DLV3_Icon_ADV_Custom_Kai_Yan.png")</f>
        <v>#VALUE!</v>
      </c>
      <c r="E636" s="249" t="str">
        <f>"PWP-"&amp;A638</f>
        <v>PWP-303</v>
      </c>
      <c r="G636" s="249" t="str">
        <f>+INDEX(PWP!$A:$Z,MATCH('PWP-Print'!E636,PWP!$B:$B,0),MATCH("Title",PWP!$A$1:$Z$1,0))</f>
        <v>The Pinnacle of Evolution</v>
      </c>
      <c r="I636" t="e" vm="14">
        <f>_xlfn.IMAGE("https://natalie.tf/wp-content/uploads/2023/10/DLV3_Icon_Ability_"&amp;INDEX('PWP-A'!$A$2:$C$31,MATCH('PWP-Print'!J636,'PWP-A'!$B$2:$B$31,0),1)&amp;".png")</f>
        <v>#VALUE!</v>
      </c>
      <c r="J636" s="229" t="str">
        <f>+INDEX(PWP!$A:$Z,MATCH('PWP-Print'!E636,PWP!$B:$B,0),MATCH("PWP Ability 1",PWP!$A$1:$Z$1,0))</f>
        <v>Strength +20%</v>
      </c>
      <c r="K636" s="249" t="str">
        <f>+INDEX(PWP!$A:$Z,MATCH('PWP-Print'!E636,PWP!$B:$B,0),MATCH("Locked PWP Ability 1",PWP!$A$1:$Z$1,0))</f>
        <v>(Light) Strength +20%</v>
      </c>
      <c r="M636" s="729" t="e" vm="1338">
        <f>_xlfn.IMAGE("https://natalie.tf/wp-content/uploads/2023/10/DLV3_Icon_DRA_"&amp;O637&amp;".png")</f>
        <v>#VALUE!</v>
      </c>
      <c r="O636" s="249" t="str">
        <f>"PWP-"&amp;B638</f>
        <v>PWP-316</v>
      </c>
      <c r="Q636" s="249" t="str">
        <f>+INDEX(PWP!$A:$Z,MATCH('PWP-Print'!O636,PWP!$B:$B,0),MATCH("Title",PWP!$A$1:$Z$1,0))</f>
        <v>Burning Sun</v>
      </c>
      <c r="S636" t="e" vm="14">
        <f>_xlfn.IMAGE("https://natalie.tf/wp-content/uploads/2023/10/DLV3_Icon_Ability_"&amp;INDEX('PWP-A'!$A$2:$C$31,MATCH('PWP-Print'!T636,'PWP-A'!$B$2:$B$31,0),1)&amp;".png")</f>
        <v>#VALUE!</v>
      </c>
      <c r="T636" s="229" t="str">
        <f>+INDEX(PWP!$A:$Z,MATCH('PWP-Print'!O636,PWP!$B:$B,0),MATCH("PWP Ability 1",PWP!$A$1:$Z$1,0))</f>
        <v>Dragon Damage +18%</v>
      </c>
      <c r="U636" s="249" t="str">
        <f>+INDEX(PWP!$A:$Z,MATCH('PWP-Print'!O636,PWP!$B:$B,0),MATCH("Locked PWP Ability 1",PWP!$A$1:$Z$1,0))</f>
        <v>(Flame) Dragon Damage +18%</v>
      </c>
    </row>
    <row r="637" spans="1:21" ht="22.5" customHeight="1" x14ac:dyDescent="0.3">
      <c r="C637" s="729"/>
      <c r="D637" s="8"/>
      <c r="E637" s="200" t="str">
        <f>+INDEX(PWP!$A:$Z,MATCH('PWP-Print'!E636,PWP!$B:$B,0),MATCH("ID",PWP!$A$1:$Z$1,0))</f>
        <v>110406_01</v>
      </c>
      <c r="F637" s="8"/>
      <c r="G637" s="249" t="str">
        <f>+INDEX(PWP!$A:$Z,MATCH('PWP-Print'!E636,PWP!$B:$B,0),MATCH("Name",PWP!$A$1:$Z$1,0))</f>
        <v>Kai Yan</v>
      </c>
      <c r="H637" s="8"/>
      <c r="I637" t="e" vm="14">
        <f>_xlfn.IMAGE("https://natalie.tf/wp-content/uploads/2023/10/DLV3_Icon_Ability_"&amp;INDEX('PWP-A'!$A$2:$C$31,MATCH('PWP-Print'!J637,'PWP-A'!$B$2:$B$31,0),1)&amp;".png")</f>
        <v>#VALUE!</v>
      </c>
      <c r="J637" s="229" t="str">
        <f>+INDEX(PWP!$A:$Z,MATCH('PWP-Print'!E636,PWP!$B:$B,0),MATCH("PWP Ability 2",PWP!$A$1:$Z$1,0))</f>
        <v>Skill Damage +40%</v>
      </c>
      <c r="K637" s="249" t="str">
        <f>+INDEX(PWP!$A:$Z,MATCH('PWP-Print'!E636,PWP!$B:$B,0),MATCH("Locked PWP Ability 2",PWP!$A$1:$Z$1,0))</f>
        <v>(Light) Skill Damage +40%</v>
      </c>
      <c r="M637" s="729"/>
      <c r="N637" s="8"/>
      <c r="O637" s="200" t="str">
        <f>+INDEX(PWP!$A:$Z,MATCH('PWP-Print'!O636,PWP!$B:$B,0),MATCH("ID",PWP!$A$1:$Z$1,0))</f>
        <v>210103_01</v>
      </c>
      <c r="P637" s="8"/>
      <c r="Q637" s="249" t="str">
        <f>+INDEX(PWP!$A:$Z,MATCH('PWP-Print'!O636,PWP!$B:$B,0),MATCH("Name",PWP!$A$1:$Z$1,0))</f>
        <v>Apollo</v>
      </c>
      <c r="R637" s="8"/>
      <c r="S637" t="e" vm="414">
        <f>_xlfn.IMAGE("https://natalie.tf/wp-content/uploads/2023/10/DLV3_Icon_Ability_"&amp;INDEX('PWP-A'!$A$2:$C$31,MATCH('PWP-Print'!T637,'PWP-A'!$B$2:$B$31,0),1)&amp;".png")</f>
        <v>#VALUE!</v>
      </c>
      <c r="T637" s="229" t="str">
        <f>+INDEX(PWP!$A:$Z,MATCH('PWP-Print'!O636,PWP!$B:$B,0),MATCH("PWP Ability 2",PWP!$A$1:$Z$1,0))</f>
        <v>Critical Damage +25%</v>
      </c>
      <c r="U637" s="249" t="str">
        <f>+INDEX(PWP!$A:$Z,MATCH('PWP-Print'!O636,PWP!$B:$B,0),MATCH("Locked PWP Ability 2",PWP!$A$1:$Z$1,0))</f>
        <v>(Flame) Critical Damage +25%</v>
      </c>
    </row>
    <row r="638" spans="1:21" ht="22.5" customHeight="1" x14ac:dyDescent="0.3">
      <c r="A638" s="244" t="str">
        <f>TEXT(A634+1,"000")</f>
        <v>303</v>
      </c>
      <c r="B638" s="244" t="str">
        <f>TEXT(B634+1,"000")</f>
        <v>316</v>
      </c>
      <c r="C638" s="729"/>
      <c r="E638" s="251" t="str">
        <f>+INDEX(PWP!$A:$Z,MATCH('PWP-Print'!E636,PWP!$B:$B,0),MATCH("Num",PWP!$A$1:$Z$1,0))</f>
        <v>AN-005</v>
      </c>
      <c r="G638" s="249" t="str">
        <f>+INDEX(PWP!$A:$Z,MATCH('PWP-Print'!E636,PWP!$B:$B,0),MATCH("Element",PWP!$A$1:$Z$1,0))&amp;" "&amp;INDEX(PWP!$A:$Z,MATCH('PWP-Print'!E636,PWP!$B:$B,0),MATCH("Type",PWP!$A$1:$Z$1,0))&amp;" Adventurer"</f>
        <v>Light Axe Adventurer</v>
      </c>
      <c r="K638" s="250"/>
      <c r="M638" s="729"/>
      <c r="O638" s="251" t="str">
        <f>+INDEX(PWP!$A:$Z,MATCH('PWP-Print'!O636,PWP!$B:$B,0),MATCH("Num",PWP!$A$1:$Z$1,0))</f>
        <v>D-011</v>
      </c>
      <c r="Q638" s="249" t="str">
        <f>+INDEX(PWP!$A:$Z,MATCH('PWP-Print'!O636,PWP!$B:$B,0),MATCH("Element",PWP!$A$1:$Z$1,0))&amp;" "&amp;INDEX(PWP!$A:$Z,MATCH('PWP-Print'!O636,PWP!$B:$B,0),MATCH("Type",PWP!$A$1:$Z$1,0))</f>
        <v>Flame Dragon</v>
      </c>
      <c r="U638" s="250"/>
    </row>
    <row r="639" spans="1:21" ht="7.5" customHeight="1" x14ac:dyDescent="0.3">
      <c r="A639" s="244" t="s">
        <v>10763</v>
      </c>
      <c r="E639" s="250"/>
      <c r="G639" s="250"/>
      <c r="K639" s="250"/>
      <c r="O639" s="250"/>
      <c r="Q639" s="250"/>
      <c r="U639" s="250"/>
    </row>
    <row r="640" spans="1:21" ht="22.5" customHeight="1" x14ac:dyDescent="0.3">
      <c r="C640" s="729" t="e" vm="1339">
        <f>_xlfn.IMAGE("https://natalie.tf/wp-content/uploads/2023/11/DLV3_Icon_ADV_Custom_"&amp;G641&amp;".png")</f>
        <v>#VALUE!</v>
      </c>
      <c r="E640" s="249" t="str">
        <f>"PWP-"&amp;A642</f>
        <v>PWP-304</v>
      </c>
      <c r="G640" s="249" t="str">
        <f>+INDEX(PWP!$A:$Z,MATCH('PWP-Print'!E640,PWP!$B:$B,0),MATCH("Title",PWP!$A$1:$Z$1,0))</f>
        <v>Wings of Despair</v>
      </c>
      <c r="I640" t="e" vm="14">
        <f>_xlfn.IMAGE("https://natalie.tf/wp-content/uploads/2023/10/DLV3_Icon_Ability_"&amp;INDEX('PWP-A'!$A$2:$C$31,MATCH('PWP-Print'!J640,'PWP-A'!$B$2:$B$31,0),1)&amp;".png")</f>
        <v>#VALUE!</v>
      </c>
      <c r="J640" s="229" t="str">
        <f>+INDEX(PWP!$A:$Z,MATCH('PWP-Print'!E640,PWP!$B:$B,0),MATCH("PWP Ability 1",PWP!$A$1:$Z$1,0))</f>
        <v>Strength +20%</v>
      </c>
      <c r="K640" s="249" t="str">
        <f>+INDEX(PWP!$A:$Z,MATCH('PWP-Print'!E640,PWP!$B:$B,0),MATCH("Locked PWP Ability 1",PWP!$A$1:$Z$1,0))</f>
        <v>(Water) Strength +20%</v>
      </c>
      <c r="M640" s="729" t="e" vm="1340">
        <f>_xlfn.IMAGE("https://natalie.tf/wp-content/uploads/2023/10/DLV3_Icon_DRA_"&amp;O641&amp;".png")</f>
        <v>#VALUE!</v>
      </c>
      <c r="O640" s="249" t="str">
        <f>"PWP-"&amp;B642</f>
        <v>PWP-317</v>
      </c>
      <c r="Q640" s="249" t="str">
        <f>+INDEX(PWP!$A:$Z,MATCH('PWP-Print'!O640,PWP!$B:$B,0),MATCH("Title",PWP!$A$1:$Z$1,0))</f>
        <v>Fiery Coach</v>
      </c>
      <c r="S640" t="e" vm="382">
        <f>_xlfn.IMAGE("https://natalie.tf/wp-content/uploads/2023/10/DLV3_Icon_Ability_"&amp;INDEX('PWP-A'!$A$2:$C$31,MATCH('PWP-Print'!T640,'PWP-A'!$B$2:$B$31,0),1)&amp;".png")</f>
        <v>#VALUE!</v>
      </c>
      <c r="T640" s="229" t="str">
        <f>+INDEX(PWP!$A:$Z,MATCH('PWP-Print'!O640,PWP!$B:$B,0),MATCH("PWP Ability 1",PWP!$A$1:$Z$1,0))</f>
        <v>Dragon Time +20%</v>
      </c>
      <c r="U640" s="249" t="str">
        <f>+INDEX(PWP!$A:$Z,MATCH('PWP-Print'!O640,PWP!$B:$B,0),MATCH("Locked PWP Ability 1",PWP!$A$1:$Z$1,0))</f>
        <v>(Flame) Dragon Time +20%</v>
      </c>
    </row>
    <row r="641" spans="1:21" ht="22.5" customHeight="1" x14ac:dyDescent="0.3">
      <c r="C641" s="729"/>
      <c r="D641" s="8"/>
      <c r="E641" s="200" t="str">
        <f>+INDEX(PWP!$A:$Z,MATCH('PWP-Print'!E640,PWP!$B:$B,0),MATCH("ID",PWP!$A$1:$Z$1,0))</f>
        <v>110407_01</v>
      </c>
      <c r="F641" s="8"/>
      <c r="G641" s="249" t="str">
        <f>+INDEX(PWP!$A:$Z,MATCH('PWP-Print'!E640,PWP!$B:$B,0),MATCH("Name",PWP!$A$1:$Z$1,0))</f>
        <v>Ciella</v>
      </c>
      <c r="H641" s="8"/>
      <c r="I641" t="e" vm="14">
        <f>_xlfn.IMAGE("https://natalie.tf/wp-content/uploads/2023/10/DLV3_Icon_Ability_"&amp;INDEX('PWP-A'!$A$2:$C$31,MATCH('PWP-Print'!J641,'PWP-A'!$B$2:$B$31,0),1)&amp;".png")</f>
        <v>#VALUE!</v>
      </c>
      <c r="J641" s="229" t="str">
        <f>+INDEX(PWP!$A:$Z,MATCH('PWP-Print'!E640,PWP!$B:$B,0),MATCH("PWP Ability 2",PWP!$A$1:$Z$1,0))</f>
        <v>Skill Damage +40%</v>
      </c>
      <c r="K641" s="249" t="str">
        <f>+INDEX(PWP!$A:$Z,MATCH('PWP-Print'!E640,PWP!$B:$B,0),MATCH("Locked PWP Ability 2",PWP!$A$1:$Z$1,0))</f>
        <v>(Water) Skill Damage +40%</v>
      </c>
      <c r="M641" s="729"/>
      <c r="N641" s="8"/>
      <c r="O641" s="200" t="str">
        <f>+INDEX(PWP!$A:$Z,MATCH('PWP-Print'!O640,PWP!$B:$B,0),MATCH("ID",PWP!$A$1:$Z$1,0))</f>
        <v>210030_01</v>
      </c>
      <c r="P641" s="8"/>
      <c r="Q641" s="249" t="str">
        <f>+INDEX(PWP!$A:$Z,MATCH('PWP-Print'!O640,PWP!$B:$B,0),MATCH("Name",PWP!$A$1:$Z$1,0))</f>
        <v>Arctos</v>
      </c>
      <c r="R641" s="8"/>
      <c r="S641" t="e" vm="414">
        <f>_xlfn.IMAGE("https://natalie.tf/wp-content/uploads/2023/10/DLV3_Icon_Ability_"&amp;INDEX('PWP-A'!$A$2:$C$31,MATCH('PWP-Print'!T641,'PWP-A'!$B$2:$B$31,0),1)&amp;".png")</f>
        <v>#VALUE!</v>
      </c>
      <c r="T641" s="229" t="str">
        <f>+INDEX(PWP!$A:$Z,MATCH('PWP-Print'!O640,PWP!$B:$B,0),MATCH("PWP Ability 2",PWP!$A$1:$Z$1,0))</f>
        <v>Critical Damage +25%</v>
      </c>
      <c r="U641" s="249" t="str">
        <f>+INDEX(PWP!$A:$Z,MATCH('PWP-Print'!O640,PWP!$B:$B,0),MATCH("Locked PWP Ability 2",PWP!$A$1:$Z$1,0))</f>
        <v>(Flame) Critical Damage +25%</v>
      </c>
    </row>
    <row r="642" spans="1:21" ht="22.5" customHeight="1" x14ac:dyDescent="0.3">
      <c r="A642" s="244" t="str">
        <f>TEXT(A638+1,"000")</f>
        <v>304</v>
      </c>
      <c r="B642" s="244" t="str">
        <f>TEXT(B638+1,"000")</f>
        <v>317</v>
      </c>
      <c r="C642" s="729"/>
      <c r="E642" s="251" t="str">
        <f>+INDEX(PWP!$A:$Z,MATCH('PWP-Print'!E640,PWP!$B:$B,0),MATCH("Num",PWP!$A$1:$Z$1,0))</f>
        <v>AN-006</v>
      </c>
      <c r="G642" s="249" t="str">
        <f>+INDEX(PWP!$A:$Z,MATCH('PWP-Print'!E640,PWP!$B:$B,0),MATCH("Element",PWP!$A$1:$Z$1,0))&amp;" "&amp;INDEX(PWP!$A:$Z,MATCH('PWP-Print'!E640,PWP!$B:$B,0),MATCH("Type",PWP!$A$1:$Z$1,0))&amp;" Adventurer"</f>
        <v>Water Bow Adventurer</v>
      </c>
      <c r="K642" s="250"/>
      <c r="M642" s="729"/>
      <c r="O642" s="251" t="str">
        <f>+INDEX(PWP!$A:$Z,MATCH('PWP-Print'!O640,PWP!$B:$B,0),MATCH("Num",PWP!$A$1:$Z$1,0))</f>
        <v>D-012</v>
      </c>
      <c r="Q642" s="249" t="str">
        <f>+INDEX(PWP!$A:$Z,MATCH('PWP-Print'!O640,PWP!$B:$B,0),MATCH("Element",PWP!$A$1:$Z$1,0))&amp;" "&amp;INDEX(PWP!$A:$Z,MATCH('PWP-Print'!O640,PWP!$B:$B,0),MATCH("Type",PWP!$A$1:$Z$1,0))</f>
        <v>Flame Dragon</v>
      </c>
      <c r="U642" s="250"/>
    </row>
    <row r="643" spans="1:21" ht="7.5" customHeight="1" x14ac:dyDescent="0.3">
      <c r="A643" s="244" t="s">
        <v>10763</v>
      </c>
      <c r="E643" s="250"/>
      <c r="G643" s="250"/>
      <c r="K643" s="250"/>
      <c r="O643" s="250"/>
      <c r="Q643" s="250"/>
      <c r="U643" s="250"/>
    </row>
    <row r="644" spans="1:21" ht="22.5" customHeight="1" x14ac:dyDescent="0.3">
      <c r="C644" s="729" t="e" vm="1341">
        <f>_xlfn.IMAGE("https://natalie.tf/wp-content/uploads/2023/11/DLV3_Icon_ADV_Custom_"&amp;G645&amp;".png")</f>
        <v>#VALUE!</v>
      </c>
      <c r="E644" s="249" t="str">
        <f>"PWP-"&amp;A646</f>
        <v>PWP-305</v>
      </c>
      <c r="G644" s="249" t="str">
        <f>+INDEX(PWP!$A:$Z,MATCH('PWP-Print'!E644,PWP!$B:$B,0),MATCH("Title",PWP!$A$1:$Z$1,0))</f>
        <v>The Abyssalwyrm</v>
      </c>
      <c r="I644" t="e" vm="14">
        <f>_xlfn.IMAGE("https://natalie.tf/wp-content/uploads/2023/10/DLV3_Icon_Ability_"&amp;INDEX('PWP-A'!$A$2:$C$31,MATCH('PWP-Print'!J644,'PWP-A'!$B$2:$B$31,0),1)&amp;".png")</f>
        <v>#VALUE!</v>
      </c>
      <c r="J644" s="229" t="str">
        <f>+INDEX(PWP!$A:$Z,MATCH('PWP-Print'!E644,PWP!$B:$B,0),MATCH("PWP Ability 1",PWP!$A$1:$Z$1,0))</f>
        <v>Strength +20%</v>
      </c>
      <c r="K644" s="249" t="str">
        <f>+INDEX(PWP!$A:$Z,MATCH('PWP-Print'!E644,PWP!$B:$B,0),MATCH("Locked PWP Ability 1",PWP!$A$1:$Z$1,0))</f>
        <v>(Shadow) Strength +20%</v>
      </c>
      <c r="M644" s="729" t="e" vm="1342">
        <f>_xlfn.IMAGE("https://natalie.tf/wp-content/uploads/2023/10/DLV3_Icon_DRA_"&amp;O645&amp;".png")</f>
        <v>#VALUE!</v>
      </c>
      <c r="O644" s="249" t="str">
        <f>"PWP-"&amp;B646</f>
        <v>PWP-318</v>
      </c>
      <c r="Q644" s="249" t="str">
        <f>+INDEX(PWP!$A:$Z,MATCH('PWP-Print'!O644,PWP!$B:$B,0),MATCH("Title",PWP!$A$1:$Z$1,0))</f>
        <v>Blossoming Beauty</v>
      </c>
      <c r="S644" t="e" vm="382">
        <f>_xlfn.IMAGE("https://natalie.tf/wp-content/uploads/2023/10/DLV3_Icon_Ability_"&amp;INDEX('PWP-A'!$A$2:$C$31,MATCH('PWP-Print'!T644,'PWP-A'!$B$2:$B$31,0),1)&amp;".png")</f>
        <v>#VALUE!</v>
      </c>
      <c r="T644" s="229" t="str">
        <f>+INDEX(PWP!$A:$Z,MATCH('PWP-Print'!O644,PWP!$B:$B,0),MATCH("PWP Ability 1",PWP!$A$1:$Z$1,0))</f>
        <v>Dragon Time +20%</v>
      </c>
      <c r="U644" s="249" t="str">
        <f>+INDEX(PWP!$A:$Z,MATCH('PWP-Print'!O644,PWP!$B:$B,0),MATCH("Locked PWP Ability 1",PWP!$A$1:$Z$1,0))</f>
        <v>(Flame) Dragon Time +20%</v>
      </c>
    </row>
    <row r="645" spans="1:21" ht="22.5" customHeight="1" x14ac:dyDescent="0.3">
      <c r="C645" s="729"/>
      <c r="D645" s="8"/>
      <c r="E645" s="200" t="str">
        <f>+INDEX(PWP!$A:$Z,MATCH('PWP-Print'!E644,PWP!$B:$B,0),MATCH("ID",PWP!$A$1:$Z$1,0))</f>
        <v>110408_01</v>
      </c>
      <c r="F645" s="8"/>
      <c r="G645" s="249" t="str">
        <f>+INDEX(PWP!$A:$Z,MATCH('PWP-Print'!E644,PWP!$B:$B,0),MATCH("Name",PWP!$A$1:$Z$1,0))</f>
        <v>Tartarus</v>
      </c>
      <c r="H645" s="8"/>
      <c r="I645" t="e" vm="14">
        <f>_xlfn.IMAGE("https://natalie.tf/wp-content/uploads/2023/10/DLV3_Icon_Ability_"&amp;INDEX('PWP-A'!$A$2:$C$31,MATCH('PWP-Print'!J645,'PWP-A'!$B$2:$B$31,0),1)&amp;".png")</f>
        <v>#VALUE!</v>
      </c>
      <c r="J645" s="229" t="str">
        <f>+INDEX(PWP!$A:$Z,MATCH('PWP-Print'!E644,PWP!$B:$B,0),MATCH("PWP Ability 2",PWP!$A$1:$Z$1,0))</f>
        <v>Skill Damage +40%</v>
      </c>
      <c r="K645" s="249" t="str">
        <f>+INDEX(PWP!$A:$Z,MATCH('PWP-Print'!E644,PWP!$B:$B,0),MATCH("Locked PWP Ability 2",PWP!$A$1:$Z$1,0))</f>
        <v>(Shadow) Skill Damage +40%</v>
      </c>
      <c r="M645" s="729"/>
      <c r="N645" s="8"/>
      <c r="O645" s="200" t="str">
        <f>+INDEX(PWP!$A:$Z,MATCH('PWP-Print'!O644,PWP!$B:$B,0),MATCH("ID",PWP!$A$1:$Z$1,0))</f>
        <v>210082_01</v>
      </c>
      <c r="P645" s="8"/>
      <c r="Q645" s="249" t="str">
        <f>+INDEX(PWP!$A:$Z,MATCH('PWP-Print'!O644,PWP!$B:$B,0),MATCH("Name",PWP!$A$1:$Z$1,0))</f>
        <v>Konohana Sakuya</v>
      </c>
      <c r="R645" s="8"/>
      <c r="S645" t="e" vm="14">
        <f>_xlfn.IMAGE("https://natalie.tf/wp-content/uploads/2023/10/DLV3_Icon_Ability_"&amp;INDEX('PWP-A'!$A$2:$C$31,MATCH('PWP-Print'!T645,'PWP-A'!$B$2:$B$31,0),1)&amp;".png")</f>
        <v>#VALUE!</v>
      </c>
      <c r="T645" s="229" t="str">
        <f>+INDEX(PWP!$A:$Z,MATCH('PWP-Print'!O644,PWP!$B:$B,0),MATCH("PWP Ability 2",PWP!$A$1:$Z$1,0))</f>
        <v>Skill Damage +40%</v>
      </c>
      <c r="U645" s="249" t="str">
        <f>+INDEX(PWP!$A:$Z,MATCH('PWP-Print'!O644,PWP!$B:$B,0),MATCH("Locked PWP Ability 2",PWP!$A$1:$Z$1,0))</f>
        <v>(Flame) Skill Damage +40%</v>
      </c>
    </row>
    <row r="646" spans="1:21" ht="22.5" customHeight="1" x14ac:dyDescent="0.3">
      <c r="A646" s="244" t="str">
        <f>TEXT(A642+1,"000")</f>
        <v>305</v>
      </c>
      <c r="B646" s="244" t="str">
        <f>TEXT(B642+1,"000")</f>
        <v>318</v>
      </c>
      <c r="C646" s="729"/>
      <c r="E646" s="251" t="str">
        <f>+INDEX(PWP!$A:$Z,MATCH('PWP-Print'!E644,PWP!$B:$B,0),MATCH("Num",PWP!$A$1:$Z$1,0))</f>
        <v>AN-007</v>
      </c>
      <c r="G646" s="249" t="str">
        <f>+INDEX(PWP!$A:$Z,MATCH('PWP-Print'!E644,PWP!$B:$B,0),MATCH("Element",PWP!$A$1:$Z$1,0))&amp;" "&amp;INDEX(PWP!$A:$Z,MATCH('PWP-Print'!E644,PWP!$B:$B,0),MATCH("Type",PWP!$A$1:$Z$1,0))&amp;" Adventurer"</f>
        <v>Shadow Blade Adventurer</v>
      </c>
      <c r="K646" s="250"/>
      <c r="M646" s="729"/>
      <c r="O646" s="251" t="str">
        <f>+INDEX(PWP!$A:$Z,MATCH('PWP-Print'!O644,PWP!$B:$B,0),MATCH("Num",PWP!$A$1:$Z$1,0))</f>
        <v>D-013</v>
      </c>
      <c r="Q646" s="249" t="str">
        <f>+INDEX(PWP!$A:$Z,MATCH('PWP-Print'!O644,PWP!$B:$B,0),MATCH("Element",PWP!$A$1:$Z$1,0))&amp;" "&amp;INDEX(PWP!$A:$Z,MATCH('PWP-Print'!O644,PWP!$B:$B,0),MATCH("Type",PWP!$A$1:$Z$1,0))</f>
        <v>Flame Dragon</v>
      </c>
      <c r="U646" s="250"/>
    </row>
    <row r="647" spans="1:21" ht="7.5" customHeight="1" x14ac:dyDescent="0.3">
      <c r="A647" s="244" t="s">
        <v>10763</v>
      </c>
      <c r="E647" s="250"/>
      <c r="G647" s="250"/>
      <c r="K647" s="250"/>
      <c r="O647" s="250"/>
      <c r="Q647" s="250"/>
      <c r="U647" s="250"/>
    </row>
    <row r="648" spans="1:21" ht="22.5" customHeight="1" x14ac:dyDescent="0.3">
      <c r="C648" s="729" t="e" vm="1343">
        <f>_xlfn.IMAGE("https://natalie.tf/wp-content/uploads/2023/10/DLV3_Icon_DRA_"&amp;E649&amp;".png")</f>
        <v>#VALUE!</v>
      </c>
      <c r="E648" s="249" t="str">
        <f>"PWP-"&amp;A650</f>
        <v>PWP-306</v>
      </c>
      <c r="G648" s="249" t="str">
        <f>+INDEX(PWP!$A:$Z,MATCH('PWP-Print'!E648,PWP!$B:$B,0),MATCH("Title",PWP!$A$1:$Z$1,0))</f>
        <v>Awakened Flamewyrm</v>
      </c>
      <c r="I648" t="e" vm="14">
        <f>_xlfn.IMAGE("https://natalie.tf/wp-content/uploads/2023/10/DLV3_Icon_Ability_"&amp;INDEX('PWP-A'!$A$2:$C$31,MATCH('PWP-Print'!J648,'PWP-A'!$B$2:$B$31,0),1)&amp;".png")</f>
        <v>#VALUE!</v>
      </c>
      <c r="J648" s="229" t="str">
        <f>+INDEX(PWP!$A:$Z,MATCH('PWP-Print'!E648,PWP!$B:$B,0),MATCH("PWP Ability 1",PWP!$A$1:$Z$1,0))</f>
        <v>Dragon Damage +18%</v>
      </c>
      <c r="K648" s="249" t="str">
        <f>+INDEX(PWP!$A:$Z,MATCH('PWP-Print'!E648,PWP!$B:$B,0),MATCH("Locked PWP Ability 1",PWP!$A$1:$Z$1,0))</f>
        <v>(Flame) Dragon Damage +18%</v>
      </c>
      <c r="M648" s="729" t="e" vm="1344">
        <f>_xlfn.IMAGE("https://natalie.tf/wp-content/uploads/2023/10/DLV3_Icon_DRA_"&amp;O649&amp;".png")</f>
        <v>#VALUE!</v>
      </c>
      <c r="O648" s="249" t="str">
        <f>"PWP-"&amp;B650</f>
        <v>PWP-319</v>
      </c>
      <c r="Q648" s="249" t="str">
        <f>+INDEX(PWP!$A:$Z,MATCH('PWP-Print'!O648,PWP!$B:$B,0),MATCH("Title",PWP!$A$1:$Z$1,0))</f>
        <v>Reclusive Flame</v>
      </c>
      <c r="S648" t="e" vm="601">
        <f>_xlfn.IMAGE("https://natalie.tf/wp-content/uploads/2023/10/DLV3_Icon_Ability_"&amp;INDEX('PWP-A'!$A$2:$C$31,MATCH('PWP-Print'!T648,'PWP-A'!$B$2:$B$31,0),1)&amp;".png")</f>
        <v>#VALUE!</v>
      </c>
      <c r="T648" s="229" t="str">
        <f>+INDEX(PWP!$A:$Z,MATCH('PWP-Print'!O648,PWP!$B:$B,0),MATCH("PWP Ability 1",PWP!$A$1:$Z$1,0))</f>
        <v>Dragon Haste +15%</v>
      </c>
      <c r="U648" s="249" t="str">
        <f>+INDEX(PWP!$A:$Z,MATCH('PWP-Print'!O648,PWP!$B:$B,0),MATCH("Locked PWP Ability 1",PWP!$A$1:$Z$1,0))</f>
        <v>(Flame) Dragon Haste +15%</v>
      </c>
    </row>
    <row r="649" spans="1:21" ht="22.5" customHeight="1" x14ac:dyDescent="0.3">
      <c r="C649" s="729"/>
      <c r="D649" s="8"/>
      <c r="E649" s="200" t="str">
        <f>+INDEX(PWP!$A:$Z,MATCH('PWP-Print'!E648,PWP!$B:$B,0),MATCH("ID",PWP!$A$1:$Z$1,0))</f>
        <v>210177_01</v>
      </c>
      <c r="F649" s="8"/>
      <c r="G649" s="249" t="str">
        <f>+INDEX(PWP!$A:$Z,MATCH('PWP-Print'!E648,PWP!$B:$B,0),MATCH("Name",PWP!$A$1:$Z$1,0))</f>
        <v>Primal Brunhilda</v>
      </c>
      <c r="H649" s="8"/>
      <c r="I649" t="e" vm="14">
        <f>_xlfn.IMAGE("https://natalie.tf/wp-content/uploads/2023/10/DLV3_Icon_Ability_"&amp;INDEX('PWP-A'!$A$2:$C$31,MATCH('PWP-Print'!J649,'PWP-A'!$B$2:$B$31,0),1)&amp;".png")</f>
        <v>#VALUE!</v>
      </c>
      <c r="J649" s="229" t="str">
        <f>+INDEX(PWP!$A:$Z,MATCH('PWP-Print'!E648,PWP!$B:$B,0),MATCH("PWP Ability 2",PWP!$A$1:$Z$1,0))</f>
        <v>Strength +20%</v>
      </c>
      <c r="K649" s="249" t="str">
        <f>+INDEX(PWP!$A:$Z,MATCH('PWP-Print'!E648,PWP!$B:$B,0),MATCH("Locked PWP Ability 2",PWP!$A$1:$Z$1,0))</f>
        <v>(Flame) Strength +20%</v>
      </c>
      <c r="M649" s="729"/>
      <c r="N649" s="8"/>
      <c r="O649" s="200" t="str">
        <f>+INDEX(PWP!$A:$Z,MATCH('PWP-Print'!O648,PWP!$B:$B,0),MATCH("ID",PWP!$A$1:$Z$1,0))</f>
        <v>210052_01</v>
      </c>
      <c r="P649" s="8"/>
      <c r="Q649" s="249" t="str">
        <f>+INDEX(PWP!$A:$Z,MATCH('PWP-Print'!O648,PWP!$B:$B,0),MATCH("Name",PWP!$A$1:$Z$1,0))</f>
        <v>Prometheus</v>
      </c>
      <c r="R649" s="8"/>
      <c r="S649" t="e" vm="696">
        <f>_xlfn.IMAGE("https://natalie.tf/wp-content/uploads/2023/10/DLV3_Icon_Ability_"&amp;INDEX('PWP-A'!$A$2:$C$31,MATCH('PWP-Print'!T649,'PWP-A'!$B$2:$B$31,0),1)&amp;".png")</f>
        <v>#VALUE!</v>
      </c>
      <c r="T649" s="229" t="str">
        <f>+INDEX(PWP!$A:$Z,MATCH('PWP-Print'!O648,PWP!$B:$B,0),MATCH("PWP Ability 2",PWP!$A$1:$Z$1,0))</f>
        <v>Elemental Res +15%</v>
      </c>
      <c r="U649" s="249" t="str">
        <f>+INDEX(PWP!$A:$Z,MATCH('PWP-Print'!O648,PWP!$B:$B,0),MATCH("Locked PWP Ability 2",PWP!$A$1:$Z$1,0))</f>
        <v>(Flame) Elemental Res +15%</v>
      </c>
    </row>
    <row r="650" spans="1:21" ht="22.5" customHeight="1" x14ac:dyDescent="0.3">
      <c r="A650" s="244" t="str">
        <f>TEXT(A646+1,"000")</f>
        <v>306</v>
      </c>
      <c r="B650" s="244" t="str">
        <f>TEXT(B646+1,"000")</f>
        <v>319</v>
      </c>
      <c r="C650" s="729"/>
      <c r="E650" s="251" t="str">
        <f>+INDEX(PWP!$A:$Z,MATCH('PWP-Print'!E648,PWP!$B:$B,0),MATCH("Num",PWP!$A$1:$Z$1,0))</f>
        <v>D-001</v>
      </c>
      <c r="G650" s="249" t="str">
        <f>+INDEX(PWP!$A:$Z,MATCH('PWP-Print'!E648,PWP!$B:$B,0),MATCH("Element",PWP!$A$1:$Z$1,0))&amp;" "&amp;INDEX(PWP!$A:$Z,MATCH('PWP-Print'!E648,PWP!$B:$B,0),MATCH("Type",PWP!$A$1:$Z$1,0))</f>
        <v>Flame Dragon</v>
      </c>
      <c r="K650" s="250"/>
      <c r="M650" s="729"/>
      <c r="O650" s="251" t="str">
        <f>+INDEX(PWP!$A:$Z,MATCH('PWP-Print'!O648,PWP!$B:$B,0),MATCH("Num",PWP!$A$1:$Z$1,0))</f>
        <v>D-014</v>
      </c>
      <c r="Q650" s="249" t="str">
        <f>+INDEX(PWP!$A:$Z,MATCH('PWP-Print'!O648,PWP!$B:$B,0),MATCH("Element",PWP!$A$1:$Z$1,0))&amp;" "&amp;INDEX(PWP!$A:$Z,MATCH('PWP-Print'!O648,PWP!$B:$B,0),MATCH("Type",PWP!$A$1:$Z$1,0))</f>
        <v>Flame Dragon</v>
      </c>
      <c r="U650" s="250"/>
    </row>
    <row r="651" spans="1:21" ht="7.5" customHeight="1" x14ac:dyDescent="0.3">
      <c r="A651" s="244" t="s">
        <v>10763</v>
      </c>
      <c r="E651" s="250"/>
      <c r="G651" s="250"/>
      <c r="K651" s="250"/>
      <c r="O651" s="250"/>
      <c r="Q651" s="250"/>
      <c r="U651" s="250"/>
    </row>
    <row r="652" spans="1:21" ht="22.5" customHeight="1" x14ac:dyDescent="0.3">
      <c r="C652" s="729" t="e" vm="1345">
        <f>_xlfn.IMAGE("https://natalie.tf/wp-content/uploads/2023/10/DLV3_Icon_DRA_"&amp;E653&amp;".png")</f>
        <v>#VALUE!</v>
      </c>
      <c r="E652" s="249" t="str">
        <f>"PWP-"&amp;A654</f>
        <v>PWP-307</v>
      </c>
      <c r="G652" s="249" t="str">
        <f>+INDEX(PWP!$A:$Z,MATCH('PWP-Print'!E652,PWP!$B:$B,0),MATCH("Title",PWP!$A$1:$Z$1,0))</f>
        <v>Angel of Judgment</v>
      </c>
      <c r="I652" t="e" vm="14">
        <f>_xlfn.IMAGE("https://natalie.tf/wp-content/uploads/2023/10/DLV3_Icon_Ability_"&amp;INDEX('PWP-A'!$A$2:$C$31,MATCH('PWP-Print'!J652,'PWP-A'!$B$2:$B$31,0),1)&amp;".png")</f>
        <v>#VALUE!</v>
      </c>
      <c r="J652" s="229" t="str">
        <f>+INDEX(PWP!$A:$Z,MATCH('PWP-Print'!E652,PWP!$B:$B,0),MATCH("PWP Ability 1",PWP!$A$1:$Z$1,0))</f>
        <v>Dragon Damage +18%</v>
      </c>
      <c r="K652" s="249" t="str">
        <f>+INDEX(PWP!$A:$Z,MATCH('PWP-Print'!E652,PWP!$B:$B,0),MATCH("Locked PWP Ability 1",PWP!$A$1:$Z$1,0))</f>
        <v>(Flame) Dragon Damage +18%</v>
      </c>
      <c r="M652" s="729" t="e" vm="1346">
        <f>_xlfn.IMAGE("https://natalie.tf/wp-content/uploads/2023/10/DLV3_Icon_DRA_"&amp;O653&amp;".png")</f>
        <v>#VALUE!</v>
      </c>
      <c r="O652" s="249" t="str">
        <f>"PWP-"&amp;B654</f>
        <v>PWP-320</v>
      </c>
      <c r="Q652" s="249" t="str">
        <f>+INDEX(PWP!$A:$Z,MATCH('PWP-Print'!O652,PWP!$B:$B,0),MATCH("Title",PWP!$A$1:$Z$1,0))</f>
        <v>Azure Beacon</v>
      </c>
      <c r="S652" t="e" vm="601">
        <f>_xlfn.IMAGE("https://natalie.tf/wp-content/uploads/2023/10/DLV3_Icon_Ability_"&amp;INDEX('PWP-A'!$A$2:$C$31,MATCH('PWP-Print'!T652,'PWP-A'!$B$2:$B$31,0),1)&amp;".png")</f>
        <v>#VALUE!</v>
      </c>
      <c r="T652" s="229" t="str">
        <f>+INDEX(PWP!$A:$Z,MATCH('PWP-Print'!O652,PWP!$B:$B,0),MATCH("PWP Ability 1",PWP!$A$1:$Z$1,0))</f>
        <v>Dragon Haste +15%</v>
      </c>
      <c r="U652" s="249" t="str">
        <f>+INDEX(PWP!$A:$Z,MATCH('PWP-Print'!O652,PWP!$B:$B,0),MATCH("Locked PWP Ability 1",PWP!$A$1:$Z$1,0))</f>
        <v>(Flame) Dragon Haste +15%</v>
      </c>
    </row>
    <row r="653" spans="1:21" ht="22.5" customHeight="1" x14ac:dyDescent="0.3">
      <c r="C653" s="729"/>
      <c r="D653" s="8"/>
      <c r="E653" s="200" t="str">
        <f>+INDEX(PWP!$A:$Z,MATCH('PWP-Print'!E652,PWP!$B:$B,0),MATCH("ID",PWP!$A$1:$Z$1,0))</f>
        <v>210163_01</v>
      </c>
      <c r="F653" s="8"/>
      <c r="G653" s="249" t="str">
        <f>+INDEX(PWP!$A:$Z,MATCH('PWP-Print'!E652,PWP!$B:$B,0),MATCH("Name",PWP!$A$1:$Z$1,0))</f>
        <v>Uriel</v>
      </c>
      <c r="H653" s="8"/>
      <c r="I653" t="e" vm="696">
        <f>_xlfn.IMAGE("https://natalie.tf/wp-content/uploads/2023/10/DLV3_Icon_Ability_"&amp;INDEX('PWP-A'!$A$2:$C$31,MATCH('PWP-Print'!J653,'PWP-A'!$B$2:$B$31,0),1)&amp;".png")</f>
        <v>#VALUE!</v>
      </c>
      <c r="J653" s="229" t="str">
        <f>+INDEX(PWP!$A:$Z,MATCH('PWP-Print'!E652,PWP!$B:$B,0),MATCH("PWP Ability 2",PWP!$A$1:$Z$1,0))</f>
        <v>Elemental Res +15%</v>
      </c>
      <c r="K653" s="249" t="str">
        <f>+INDEX(PWP!$A:$Z,MATCH('PWP-Print'!E652,PWP!$B:$B,0),MATCH("Locked PWP Ability 2",PWP!$A$1:$Z$1,0))</f>
        <v>(Flame) Elemental Res +15%</v>
      </c>
      <c r="M653" s="729"/>
      <c r="N653" s="8"/>
      <c r="O653" s="200" t="str">
        <f>+INDEX(PWP!$A:$Z,MATCH('PWP-Print'!O652,PWP!$B:$B,0),MATCH("ID",PWP!$A$1:$Z$1,0))</f>
        <v>210055_01</v>
      </c>
      <c r="P653" s="8"/>
      <c r="Q653" s="249" t="str">
        <f>+INDEX(PWP!$A:$Z,MATCH('PWP-Print'!O652,PWP!$B:$B,0),MATCH("Name",PWP!$A$1:$Z$1,0))</f>
        <v>Erasmus</v>
      </c>
      <c r="R653" s="8"/>
      <c r="S653" t="e" vm="330">
        <f>_xlfn.IMAGE("https://natalie.tf/wp-content/uploads/2023/10/DLV3_Icon_Ability_"&amp;INDEX('PWP-A'!$A$2:$C$31,MATCH('PWP-Print'!T653,'PWP-A'!$B$2:$B$31,0),1)&amp;".png")</f>
        <v>#VALUE!</v>
      </c>
      <c r="T653" s="229" t="str">
        <f>+INDEX(PWP!$A:$Z,MATCH('PWP-Print'!O652,PWP!$B:$B,0),MATCH("PWP Ability 2",PWP!$A$1:$Z$1,0))</f>
        <v>Skill Haste +10%</v>
      </c>
      <c r="U653" s="249" t="str">
        <f>+INDEX(PWP!$A:$Z,MATCH('PWP-Print'!O652,PWP!$B:$B,0),MATCH("Locked PWP Ability 2",PWP!$A$1:$Z$1,0))</f>
        <v>(Flame) Skill Haste +10%</v>
      </c>
    </row>
    <row r="654" spans="1:21" ht="22.5" customHeight="1" x14ac:dyDescent="0.3">
      <c r="A654" s="244" t="str">
        <f>TEXT(A650+1,"000")</f>
        <v>307</v>
      </c>
      <c r="B654" s="244" t="str">
        <f>TEXT(B650+1,"000")</f>
        <v>320</v>
      </c>
      <c r="C654" s="729"/>
      <c r="E654" s="251" t="str">
        <f>+INDEX(PWP!$A:$Z,MATCH('PWP-Print'!E652,PWP!$B:$B,0),MATCH("Num",PWP!$A$1:$Z$1,0))</f>
        <v>D-002</v>
      </c>
      <c r="G654" s="249" t="str">
        <f>+INDEX(PWP!$A:$Z,MATCH('PWP-Print'!E652,PWP!$B:$B,0),MATCH("Element",PWP!$A$1:$Z$1,0))&amp;" "&amp;INDEX(PWP!$A:$Z,MATCH('PWP-Print'!E652,PWP!$B:$B,0),MATCH("Type",PWP!$A$1:$Z$1,0))</f>
        <v>Flame Dragon</v>
      </c>
      <c r="K654" s="250"/>
      <c r="M654" s="729"/>
      <c r="O654" s="251" t="str">
        <f>+INDEX(PWP!$A:$Z,MATCH('PWP-Print'!O652,PWP!$B:$B,0),MATCH("Num",PWP!$A$1:$Z$1,0))</f>
        <v>D-015</v>
      </c>
      <c r="Q654" s="249" t="str">
        <f>+INDEX(PWP!$A:$Z,MATCH('PWP-Print'!O652,PWP!$B:$B,0),MATCH("Element",PWP!$A$1:$Z$1,0))&amp;" "&amp;INDEX(PWP!$A:$Z,MATCH('PWP-Print'!O652,PWP!$B:$B,0),MATCH("Type",PWP!$A$1:$Z$1,0))</f>
        <v>Flame Dragon</v>
      </c>
      <c r="U654" s="250"/>
    </row>
    <row r="655" spans="1:21" ht="7.5" customHeight="1" x14ac:dyDescent="0.3">
      <c r="A655" s="244" t="s">
        <v>10763</v>
      </c>
      <c r="E655" s="250"/>
      <c r="G655" s="250"/>
      <c r="K655" s="250"/>
      <c r="O655" s="250"/>
      <c r="Q655" s="250"/>
      <c r="U655" s="250"/>
    </row>
    <row r="656" spans="1:21" ht="22.5" customHeight="1" x14ac:dyDescent="0.3">
      <c r="C656" s="729" t="e" vm="1347">
        <f>_xlfn.IMAGE("https://natalie.tf/wp-content/uploads/2023/10/DLV3_Icon_DRA_"&amp;E657&amp;".png")</f>
        <v>#VALUE!</v>
      </c>
      <c r="E656" s="249" t="str">
        <f>"PWP-"&amp;A658</f>
        <v>PWP-308</v>
      </c>
      <c r="G656" s="249" t="str">
        <f>+INDEX(PWP!$A:$Z,MATCH('PWP-Print'!E656,PWP!$B:$B,0),MATCH("Title",PWP!$A$1:$Z$1,0))</f>
        <v>Greedy Encroaching Flame</v>
      </c>
      <c r="I656" t="e" vm="382">
        <f>_xlfn.IMAGE("https://natalie.tf/wp-content/uploads/2023/10/DLV3_Icon_Ability_"&amp;INDEX('PWP-A'!$A$2:$C$31,MATCH('PWP-Print'!J656,'PWP-A'!$B$2:$B$31,0),1)&amp;".png")</f>
        <v>#VALUE!</v>
      </c>
      <c r="J656" s="229" t="str">
        <f>+INDEX(PWP!$A:$Z,MATCH('PWP-Print'!E656,PWP!$B:$B,0),MATCH("PWP Ability 1",PWP!$A$1:$Z$1,0))</f>
        <v>Dragon Time +20%</v>
      </c>
      <c r="K656" s="249" t="str">
        <f>+INDEX(PWP!$A:$Z,MATCH('PWP-Print'!E656,PWP!$B:$B,0),MATCH("Locked PWP Ability 1",PWP!$A$1:$Z$1,0))</f>
        <v>(Flame) Dragon Time +20%</v>
      </c>
      <c r="M656" s="729" t="e" vm="1348">
        <f>_xlfn.IMAGE("https://natalie.tf/wp-content/uploads/2023/10/DLV3_Icon_DRA_"&amp;O657&amp;".png")</f>
        <v>#VALUE!</v>
      </c>
      <c r="O656" s="249" t="str">
        <f>"PWP-"&amp;B658</f>
        <v>PWP-321</v>
      </c>
      <c r="Q656" s="249" t="str">
        <f>+INDEX(PWP!$A:$Z,MATCH('PWP-Print'!O656,PWP!$B:$B,0),MATCH("Title",PWP!$A$1:$Z$1,0))</f>
        <v>Underworld Gatekeeper</v>
      </c>
      <c r="S656" t="e" vm="601">
        <f>_xlfn.IMAGE("https://natalie.tf/wp-content/uploads/2023/10/DLV3_Icon_Ability_"&amp;INDEX('PWP-A'!$A$2:$C$31,MATCH('PWP-Print'!T656,'PWP-A'!$B$2:$B$31,0),1)&amp;".png")</f>
        <v>#VALUE!</v>
      </c>
      <c r="T656" s="229" t="str">
        <f>+INDEX(PWP!$A:$Z,MATCH('PWP-Print'!O656,PWP!$B:$B,0),MATCH("PWP Ability 1",PWP!$A$1:$Z$1,0))</f>
        <v>Dragon Haste +15%</v>
      </c>
      <c r="U656" s="249" t="str">
        <f>+INDEX(PWP!$A:$Z,MATCH('PWP-Print'!O656,PWP!$B:$B,0),MATCH("Locked PWP Ability 1",PWP!$A$1:$Z$1,0))</f>
        <v>(Flame) Dragon Haste +15%</v>
      </c>
    </row>
    <row r="657" spans="1:21" ht="22.5" customHeight="1" x14ac:dyDescent="0.3">
      <c r="C657" s="729"/>
      <c r="D657" s="8"/>
      <c r="E657" s="200" t="str">
        <f>+INDEX(PWP!$A:$Z,MATCH('PWP-Print'!E656,PWP!$B:$B,0),MATCH("ID",PWP!$A$1:$Z$1,0))</f>
        <v>210147_01</v>
      </c>
      <c r="F657" s="8"/>
      <c r="G657" s="249" t="str">
        <f>+INDEX(PWP!$A:$Z,MATCH('PWP-Print'!E656,PWP!$B:$B,0),MATCH("Name",PWP!$A$1:$Z$1,0))</f>
        <v>Gala Reborn Agni</v>
      </c>
      <c r="H657" s="8"/>
      <c r="I657" t="e" vm="326">
        <f>_xlfn.IMAGE("https://natalie.tf/wp-content/uploads/2023/10/DLV3_Icon_Ability_"&amp;INDEX('PWP-A'!$A$2:$C$31,MATCH('PWP-Print'!J657,'PWP-A'!$B$2:$B$31,0),1)&amp;".png")</f>
        <v>#VALUE!</v>
      </c>
      <c r="J657" s="229" t="str">
        <f>+INDEX(PWP!$A:$Z,MATCH('PWP-Print'!E656,PWP!$B:$B,0),MATCH("PWP Ability 2",PWP!$A$1:$Z$1,0))</f>
        <v>Critical Rate +15%</v>
      </c>
      <c r="K657" s="249" t="str">
        <f>+INDEX(PWP!$A:$Z,MATCH('PWP-Print'!E656,PWP!$B:$B,0),MATCH("Locked PWP Ability 2",PWP!$A$1:$Z$1,0))</f>
        <v>(Flame) Critical Rate +15%</v>
      </c>
      <c r="M657" s="729"/>
      <c r="N657" s="8"/>
      <c r="O657" s="200" t="str">
        <f>+INDEX(PWP!$A:$Z,MATCH('PWP-Print'!O656,PWP!$B:$B,0),MATCH("ID",PWP!$A$1:$Z$1,0))</f>
        <v>210024_01</v>
      </c>
      <c r="P657" s="8"/>
      <c r="Q657" s="249" t="str">
        <f>+INDEX(PWP!$A:$Z,MATCH('PWP-Print'!O656,PWP!$B:$B,0),MATCH("Name",PWP!$A$1:$Z$1,0))</f>
        <v>Cerberus</v>
      </c>
      <c r="R657" s="8"/>
      <c r="S657" t="e" vm="14">
        <f>_xlfn.IMAGE("https://natalie.tf/wp-content/uploads/2023/10/DLV3_Icon_Ability_"&amp;INDEX('PWP-A'!$A$2:$C$31,MATCH('PWP-Print'!T657,'PWP-A'!$B$2:$B$31,0),1)&amp;".png")</f>
        <v>#VALUE!</v>
      </c>
      <c r="T657" s="229" t="str">
        <f>+INDEX(PWP!$A:$Z,MATCH('PWP-Print'!O656,PWP!$B:$B,0),MATCH("PWP Ability 2",PWP!$A$1:$Z$1,0))</f>
        <v>Skill Damage +40%</v>
      </c>
      <c r="U657" s="249" t="str">
        <f>+INDEX(PWP!$A:$Z,MATCH('PWP-Print'!O656,PWP!$B:$B,0),MATCH("Locked PWP Ability 2",PWP!$A$1:$Z$1,0))</f>
        <v>(Flame) Skill Damage +40%</v>
      </c>
    </row>
    <row r="658" spans="1:21" ht="22.5" customHeight="1" x14ac:dyDescent="0.3">
      <c r="A658" s="244" t="str">
        <f>TEXT(A654+1,"000")</f>
        <v>308</v>
      </c>
      <c r="B658" s="244" t="str">
        <f>TEXT(B654+1,"000")</f>
        <v>321</v>
      </c>
      <c r="C658" s="729"/>
      <c r="E658" s="251" t="str">
        <f>+INDEX(PWP!$A:$Z,MATCH('PWP-Print'!E656,PWP!$B:$B,0),MATCH("Num",PWP!$A$1:$Z$1,0))</f>
        <v>D-003</v>
      </c>
      <c r="G658" s="249" t="str">
        <f>+INDEX(PWP!$A:$Z,MATCH('PWP-Print'!E656,PWP!$B:$B,0),MATCH("Element",PWP!$A$1:$Z$1,0))&amp;" "&amp;INDEX(PWP!$A:$Z,MATCH('PWP-Print'!E656,PWP!$B:$B,0),MATCH("Type",PWP!$A$1:$Z$1,0))</f>
        <v>Flame Dragon</v>
      </c>
      <c r="K658" s="250"/>
      <c r="M658" s="729"/>
      <c r="O658" s="251" t="str">
        <f>+INDEX(PWP!$A:$Z,MATCH('PWP-Print'!O656,PWP!$B:$B,0),MATCH("Num",PWP!$A$1:$Z$1,0))</f>
        <v>D-016</v>
      </c>
      <c r="Q658" s="249" t="str">
        <f>+INDEX(PWP!$A:$Z,MATCH('PWP-Print'!O656,PWP!$B:$B,0),MATCH("Element",PWP!$A$1:$Z$1,0))&amp;" "&amp;INDEX(PWP!$A:$Z,MATCH('PWP-Print'!O656,PWP!$B:$B,0),MATCH("Type",PWP!$A$1:$Z$1,0))</f>
        <v>Flame Dragon</v>
      </c>
      <c r="U658" s="250"/>
    </row>
    <row r="659" spans="1:21" ht="7.5" customHeight="1" x14ac:dyDescent="0.3">
      <c r="A659" s="244" t="s">
        <v>10763</v>
      </c>
      <c r="E659" s="250"/>
      <c r="G659" s="250"/>
      <c r="K659" s="250"/>
      <c r="O659" s="250"/>
      <c r="Q659" s="250"/>
      <c r="U659" s="250"/>
    </row>
    <row r="660" spans="1:21" ht="22.5" customHeight="1" x14ac:dyDescent="0.3">
      <c r="C660" s="729" t="e" vm="1349">
        <f>_xlfn.IMAGE("https://natalie.tf/wp-content/uploads/2023/10/DLV3_Icon_DRA_"&amp;E661&amp;".png")</f>
        <v>#VALUE!</v>
      </c>
      <c r="E660" s="249" t="str">
        <f>"PWP-"&amp;A662</f>
        <v>PWP-309</v>
      </c>
      <c r="G660" s="249" t="str">
        <f>+INDEX(PWP!$A:$Z,MATCH('PWP-Print'!E660,PWP!$B:$B,0),MATCH("Title",PWP!$A$1:$Z$1,0))</f>
        <v>Hard-Faced Softy</v>
      </c>
      <c r="I660" t="e" vm="601">
        <f>_xlfn.IMAGE("https://natalie.tf/wp-content/uploads/2023/10/DLV3_Icon_Ability_"&amp;INDEX('PWP-A'!$A$2:$C$31,MATCH('PWP-Print'!J660,'PWP-A'!$B$2:$B$31,0),1)&amp;".png")</f>
        <v>#VALUE!</v>
      </c>
      <c r="J660" s="229" t="str">
        <f>+INDEX(PWP!$A:$Z,MATCH('PWP-Print'!E660,PWP!$B:$B,0),MATCH("PWP Ability 1",PWP!$A$1:$Z$1,0))</f>
        <v>Dragon Haste +15%</v>
      </c>
      <c r="K660" s="249" t="str">
        <f>+INDEX(PWP!$A:$Z,MATCH('PWP-Print'!E660,PWP!$B:$B,0),MATCH("Locked PWP Ability 1",PWP!$A$1:$Z$1,0))</f>
        <v>(Flame) Dragon Haste +15%</v>
      </c>
      <c r="M660" s="729" t="e" vm="1350">
        <f>_xlfn.IMAGE("https://natalie.tf/wp-content/uploads/2023/10/DLV3_Icon_DRA_"&amp;O661&amp;".png")</f>
        <v>#VALUE!</v>
      </c>
      <c r="O660" s="249" t="str">
        <f>"PWP-"&amp;B662</f>
        <v>PWP-322</v>
      </c>
      <c r="Q660" s="249" t="str">
        <f>+INDEX(PWP!$A:$Z,MATCH('PWP-Print'!O660,PWP!$B:$B,0),MATCH("Title",PWP!$A$1:$Z$1,0))</f>
        <v>Faithful Vassal</v>
      </c>
      <c r="S660" t="e" vm="382">
        <f>_xlfn.IMAGE("https://natalie.tf/wp-content/uploads/2023/10/DLV3_Icon_Ability_"&amp;INDEX('PWP-A'!$A$2:$C$31,MATCH('PWP-Print'!T660,'PWP-A'!$B$2:$B$31,0),1)&amp;".png")</f>
        <v>#VALUE!</v>
      </c>
      <c r="T660" s="229" t="str">
        <f>+INDEX(PWP!$A:$Z,MATCH('PWP-Print'!O660,PWP!$B:$B,0),MATCH("PWP Ability 1",PWP!$A$1:$Z$1,0))</f>
        <v>Dragon Time +20%</v>
      </c>
      <c r="U660" s="249" t="str">
        <f>+INDEX(PWP!$A:$Z,MATCH('PWP-Print'!O660,PWP!$B:$B,0),MATCH("Locked PWP Ability 1",PWP!$A$1:$Z$1,0))</f>
        <v>(Flame) Dragon Time +20%</v>
      </c>
    </row>
    <row r="661" spans="1:21" ht="22.5" customHeight="1" x14ac:dyDescent="0.3">
      <c r="C661" s="729"/>
      <c r="D661" s="8"/>
      <c r="E661" s="200" t="str">
        <f>+INDEX(PWP!$A:$Z,MATCH('PWP-Print'!E660,PWP!$B:$B,0),MATCH("ID",PWP!$A$1:$Z$1,0))</f>
        <v>210136_01</v>
      </c>
      <c r="F661" s="8"/>
      <c r="G661" s="249" t="str">
        <f>+INDEX(PWP!$A:$Z,MATCH('PWP-Print'!E660,PWP!$B:$B,0),MATCH("Name",PWP!$A$1:$Z$1,0))</f>
        <v>Gozu Tenno</v>
      </c>
      <c r="H661" s="8"/>
      <c r="I661" t="e" vm="414">
        <f>_xlfn.IMAGE("https://natalie.tf/wp-content/uploads/2023/10/DLV3_Icon_Ability_"&amp;INDEX('PWP-A'!$A$2:$C$31,MATCH('PWP-Print'!J661,'PWP-A'!$B$2:$B$31,0),1)&amp;".png")</f>
        <v>#VALUE!</v>
      </c>
      <c r="J661" s="229" t="str">
        <f>+INDEX(PWP!$A:$Z,MATCH('PWP-Print'!E660,PWP!$B:$B,0),MATCH("PWP Ability 2",PWP!$A$1:$Z$1,0))</f>
        <v>Critical Damage +25%</v>
      </c>
      <c r="K661" s="249" t="str">
        <f>+INDEX(PWP!$A:$Z,MATCH('PWP-Print'!E660,PWP!$B:$B,0),MATCH("Locked PWP Ability 2",PWP!$A$1:$Z$1,0))</f>
        <v>(Flame) Critical Damage +25%</v>
      </c>
      <c r="M661" s="729"/>
      <c r="N661" s="8"/>
      <c r="O661" s="200" t="str">
        <f>+INDEX(PWP!$A:$Z,MATCH('PWP-Print'!O660,PWP!$B:$B,0),MATCH("ID",PWP!$A$1:$Z$1,0))</f>
        <v>210057_01</v>
      </c>
      <c r="P661" s="8"/>
      <c r="Q661" s="249" t="str">
        <f>+INDEX(PWP!$A:$Z,MATCH('PWP-Print'!O660,PWP!$B:$B,0),MATCH("Name",PWP!$A$1:$Z$1,0))</f>
        <v>Pele</v>
      </c>
      <c r="R661" s="8"/>
      <c r="S661" t="e" vm="330">
        <f>_xlfn.IMAGE("https://natalie.tf/wp-content/uploads/2023/10/DLV3_Icon_Ability_"&amp;INDEX('PWP-A'!$A$2:$C$31,MATCH('PWP-Print'!T661,'PWP-A'!$B$2:$B$31,0),1)&amp;".png")</f>
        <v>#VALUE!</v>
      </c>
      <c r="T661" s="229" t="str">
        <f>+INDEX(PWP!$A:$Z,MATCH('PWP-Print'!O660,PWP!$B:$B,0),MATCH("PWP Ability 2",PWP!$A$1:$Z$1,0))</f>
        <v>Skill Haste +10%</v>
      </c>
      <c r="U661" s="249" t="str">
        <f>+INDEX(PWP!$A:$Z,MATCH('PWP-Print'!O660,PWP!$B:$B,0),MATCH("Locked PWP Ability 2",PWP!$A$1:$Z$1,0))</f>
        <v>(Flame) Skill Haste +10%</v>
      </c>
    </row>
    <row r="662" spans="1:21" ht="22.5" customHeight="1" x14ac:dyDescent="0.3">
      <c r="A662" s="244" t="str">
        <f>TEXT(A658+1,"000")</f>
        <v>309</v>
      </c>
      <c r="B662" s="244" t="str">
        <f>TEXT(B658+1,"000")</f>
        <v>322</v>
      </c>
      <c r="C662" s="729"/>
      <c r="E662" s="251" t="str">
        <f>+INDEX(PWP!$A:$Z,MATCH('PWP-Print'!E660,PWP!$B:$B,0),MATCH("Num",PWP!$A$1:$Z$1,0))</f>
        <v>D-004</v>
      </c>
      <c r="G662" s="249" t="str">
        <f>+INDEX(PWP!$A:$Z,MATCH('PWP-Print'!E660,PWP!$B:$B,0),MATCH("Element",PWP!$A$1:$Z$1,0))&amp;" "&amp;INDEX(PWP!$A:$Z,MATCH('PWP-Print'!E660,PWP!$B:$B,0),MATCH("Type",PWP!$A$1:$Z$1,0))</f>
        <v>Flame Dragon</v>
      </c>
      <c r="K662" s="250"/>
      <c r="M662" s="729"/>
      <c r="O662" s="251" t="str">
        <f>+INDEX(PWP!$A:$Z,MATCH('PWP-Print'!O660,PWP!$B:$B,0),MATCH("Num",PWP!$A$1:$Z$1,0))</f>
        <v>D-017</v>
      </c>
      <c r="Q662" s="249" t="str">
        <f>+INDEX(PWP!$A:$Z,MATCH('PWP-Print'!O660,PWP!$B:$B,0),MATCH("Element",PWP!$A$1:$Z$1,0))&amp;" "&amp;INDEX(PWP!$A:$Z,MATCH('PWP-Print'!O660,PWP!$B:$B,0),MATCH("Type",PWP!$A$1:$Z$1,0))</f>
        <v>Flame Dragon</v>
      </c>
      <c r="U662" s="250"/>
    </row>
    <row r="663" spans="1:21" ht="7.5" customHeight="1" x14ac:dyDescent="0.3">
      <c r="A663" s="244" t="s">
        <v>10763</v>
      </c>
      <c r="E663" s="250"/>
      <c r="G663" s="250"/>
      <c r="K663" s="250"/>
      <c r="O663" s="250"/>
      <c r="Q663" s="250"/>
      <c r="U663" s="250"/>
    </row>
    <row r="664" spans="1:21" ht="22.5" customHeight="1" x14ac:dyDescent="0.3">
      <c r="C664" s="729" t="e" vm="1351">
        <f>_xlfn.IMAGE("https://natalie.tf/wp-content/uploads/2023/10/DLV3_Icon_DRA_"&amp;E665&amp;".png")</f>
        <v>#VALUE!</v>
      </c>
      <c r="E664" s="249" t="str">
        <f>"PWP-"&amp;A666</f>
        <v>PWP-310</v>
      </c>
      <c r="G664" s="249" t="str">
        <f>+INDEX(PWP!$A:$Z,MATCH('PWP-Print'!E664,PWP!$B:$B,0),MATCH("Title",PWP!$A$1:$Z$1,0))</f>
        <v>First &amp; Last</v>
      </c>
      <c r="I664" t="e" vm="601">
        <f>_xlfn.IMAGE("https://natalie.tf/wp-content/uploads/2023/10/DLV3_Icon_Ability_"&amp;INDEX('PWP-A'!$A$2:$C$31,MATCH('PWP-Print'!J664,'PWP-A'!$B$2:$B$31,0),1)&amp;".png")</f>
        <v>#VALUE!</v>
      </c>
      <c r="J664" s="229" t="str">
        <f>+INDEX(PWP!$A:$Z,MATCH('PWP-Print'!E664,PWP!$B:$B,0),MATCH("PWP Ability 1",PWP!$A$1:$Z$1,0))</f>
        <v>Dragon Haste +15%</v>
      </c>
      <c r="K664" s="249" t="str">
        <f>+INDEX(PWP!$A:$Z,MATCH('PWP-Print'!E664,PWP!$B:$B,0),MATCH("Locked PWP Ability 1",PWP!$A$1:$Z$1,0))</f>
        <v>(Flame) Dragon Haste +15%</v>
      </c>
      <c r="M664" s="729" t="e" vm="1352">
        <f>_xlfn.IMAGE("https://natalie.tf/wp-content/uploads/2023/10/DLV3_Icon_DRA_"&amp;O665&amp;".png")</f>
        <v>#VALUE!</v>
      </c>
      <c r="O664" s="249" t="str">
        <f>"PWP-"&amp;B666</f>
        <v>PWP-323</v>
      </c>
      <c r="Q664" s="249" t="str">
        <f>+INDEX(PWP!$A:$Z,MATCH('PWP-Print'!O664,PWP!$B:$B,0),MATCH("Title",PWP!$A$1:$Z$1,0))</f>
        <v>Crimson Companion</v>
      </c>
      <c r="S664" t="e" vm="382">
        <f>_xlfn.IMAGE("https://natalie.tf/wp-content/uploads/2023/10/DLV3_Icon_Ability_"&amp;INDEX('PWP-A'!$A$2:$C$31,MATCH('PWP-Print'!T664,'PWP-A'!$B$2:$B$31,0),1)&amp;".png")</f>
        <v>#VALUE!</v>
      </c>
      <c r="T664" s="229" t="str">
        <f>+INDEX(PWP!$A:$Z,MATCH('PWP-Print'!O664,PWP!$B:$B,0),MATCH("PWP Ability 1",PWP!$A$1:$Z$1,0))</f>
        <v>Dragon Time +20%</v>
      </c>
      <c r="U664" s="249" t="str">
        <f>+INDEX(PWP!$A:$Z,MATCH('PWP-Print'!O664,PWP!$B:$B,0),MATCH("Locked PWP Ability 1",PWP!$A$1:$Z$1,0))</f>
        <v>(Flame) Dragon Time +20%</v>
      </c>
    </row>
    <row r="665" spans="1:21" ht="22.5" customHeight="1" x14ac:dyDescent="0.3">
      <c r="C665" s="729"/>
      <c r="D665" s="8"/>
      <c r="E665" s="200" t="str">
        <f>+INDEX(PWP!$A:$Z,MATCH('PWP-Print'!E664,PWP!$B:$B,0),MATCH("ID",PWP!$A$1:$Z$1,0))</f>
        <v>210133_01</v>
      </c>
      <c r="F665" s="8"/>
      <c r="G665" s="249" t="str">
        <f>+INDEX(PWP!$A:$Z,MATCH('PWP-Print'!E664,PWP!$B:$B,0),MATCH("Name",PWP!$A$1:$Z$1,0))</f>
        <v>Mini Hildy</v>
      </c>
      <c r="H665" s="8"/>
      <c r="I665" t="e" vm="411">
        <f>_xlfn.IMAGE("https://natalie.tf/wp-content/uploads/2023/10/DLV3_Icon_Ability_"&amp;INDEX('PWP-A'!$A$2:$C$31,MATCH('PWP-Print'!J665,'PWP-A'!$B$2:$B$31,0),1)&amp;".png")</f>
        <v>#VALUE!</v>
      </c>
      <c r="J665" s="229" t="str">
        <f>+INDEX(PWP!$A:$Z,MATCH('PWP-Print'!E664,PWP!$B:$B,0),MATCH("PWP Ability 2",PWP!$A$1:$Z$1,0))</f>
        <v>Skill Prep +50%</v>
      </c>
      <c r="K665" s="249" t="str">
        <f>+INDEX(PWP!$A:$Z,MATCH('PWP-Print'!E664,PWP!$B:$B,0),MATCH("Locked PWP Ability 2",PWP!$A$1:$Z$1,0))</f>
        <v>(Flame) Skill Prep +50%</v>
      </c>
      <c r="M665" s="729"/>
      <c r="N665" s="8"/>
      <c r="O665" s="200" t="str">
        <f>+INDEX(PWP!$A:$Z,MATCH('PWP-Print'!O664,PWP!$B:$B,0),MATCH("ID",PWP!$A$1:$Z$1,0))</f>
        <v>210039_01</v>
      </c>
      <c r="P665" s="8"/>
      <c r="Q665" s="249" t="str">
        <f>+INDEX(PWP!$A:$Z,MATCH('PWP-Print'!O664,PWP!$B:$B,0),MATCH("Name",PWP!$A$1:$Z$1,0))</f>
        <v>High Brunhilda</v>
      </c>
      <c r="R665" s="8"/>
      <c r="S665" t="e" vm="426">
        <f>_xlfn.IMAGE("https://natalie.tf/wp-content/uploads/2023/10/DLV3_Icon_Ability_"&amp;INDEX('PWP-A'!$A$2:$C$31,MATCH('PWP-Print'!T665,'PWP-A'!$B$2:$B$31,0),1)&amp;".png")</f>
        <v>#VALUE!</v>
      </c>
      <c r="T665" s="229" t="str">
        <f>+INDEX(PWP!$A:$Z,MATCH('PWP-Print'!O664,PWP!$B:$B,0),MATCH("PWP Ability 2",PWP!$A$1:$Z$1,0))</f>
        <v>Defense +20%</v>
      </c>
      <c r="U665" s="249" t="str">
        <f>+INDEX(PWP!$A:$Z,MATCH('PWP-Print'!O664,PWP!$B:$B,0),MATCH("Locked PWP Ability 2",PWP!$A$1:$Z$1,0))</f>
        <v>(Flame) Defense +20%</v>
      </c>
    </row>
    <row r="666" spans="1:21" ht="22.5" customHeight="1" x14ac:dyDescent="0.3">
      <c r="A666" s="244" t="str">
        <f>TEXT(A662+1,"000")</f>
        <v>310</v>
      </c>
      <c r="B666" s="244" t="str">
        <f>TEXT(B662+1,"000")</f>
        <v>323</v>
      </c>
      <c r="C666" s="729"/>
      <c r="E666" s="251" t="str">
        <f>+INDEX(PWP!$A:$Z,MATCH('PWP-Print'!E664,PWP!$B:$B,0),MATCH("Num",PWP!$A$1:$Z$1,0))</f>
        <v>D-005</v>
      </c>
      <c r="G666" s="249" t="str">
        <f>+INDEX(PWP!$A:$Z,MATCH('PWP-Print'!E664,PWP!$B:$B,0),MATCH("Element",PWP!$A$1:$Z$1,0))&amp;" "&amp;INDEX(PWP!$A:$Z,MATCH('PWP-Print'!E664,PWP!$B:$B,0),MATCH("Type",PWP!$A$1:$Z$1,0))&amp;" Adventurer"</f>
        <v>Flame Dragon Adventurer</v>
      </c>
      <c r="K666" s="250"/>
      <c r="M666" s="729"/>
      <c r="O666" s="251" t="str">
        <f>+INDEX(PWP!$A:$Z,MATCH('PWP-Print'!O664,PWP!$B:$B,0),MATCH("Num",PWP!$A$1:$Z$1,0))</f>
        <v>D-018</v>
      </c>
      <c r="Q666" s="249" t="str">
        <f>+INDEX(PWP!$A:$Z,MATCH('PWP-Print'!O664,PWP!$B:$B,0),MATCH("Element",PWP!$A$1:$Z$1,0))&amp;" "&amp;INDEX(PWP!$A:$Z,MATCH('PWP-Print'!O664,PWP!$B:$B,0),MATCH("Type",PWP!$A$1:$Z$1,0))</f>
        <v>Flame Dragon</v>
      </c>
      <c r="U666" s="250"/>
    </row>
    <row r="667" spans="1:21" ht="7.5" customHeight="1" x14ac:dyDescent="0.3">
      <c r="A667" s="244" t="s">
        <v>10763</v>
      </c>
      <c r="E667" s="250"/>
      <c r="G667" s="250"/>
      <c r="K667" s="250"/>
      <c r="O667" s="250"/>
      <c r="Q667" s="250"/>
      <c r="U667" s="250"/>
    </row>
    <row r="668" spans="1:21" ht="22.5" customHeight="1" x14ac:dyDescent="0.3">
      <c r="C668" s="729" t="e" vm="1353">
        <f>_xlfn.IMAGE("https://natalie.tf/wp-content/uploads/2023/10/DLV3_Icon_DRA_"&amp;E669&amp;".png")</f>
        <v>#VALUE!</v>
      </c>
      <c r="E668" s="249" t="str">
        <f>"PWP-"&amp;A670</f>
        <v>PWP-311</v>
      </c>
      <c r="G668" s="249" t="str">
        <f>+INDEX(PWP!$A:$Z,MATCH('PWP-Print'!E668,PWP!$B:$B,0),MATCH("Title",PWP!$A$1:$Z$1,0))</f>
        <v>Flame-Winged Ruler</v>
      </c>
      <c r="I668" t="e" vm="601">
        <f>_xlfn.IMAGE("https://natalie.tf/wp-content/uploads/2023/10/DLV3_Icon_Ability_"&amp;INDEX('PWP-A'!$A$2:$C$31,MATCH('PWP-Print'!J668,'PWP-A'!$B$2:$B$31,0),1)&amp;".png")</f>
        <v>#VALUE!</v>
      </c>
      <c r="J668" s="229" t="str">
        <f>+INDEX(PWP!$A:$Z,MATCH('PWP-Print'!E668,PWP!$B:$B,0),MATCH("PWP Ability 1",PWP!$A$1:$Z$1,0))</f>
        <v>Dragon Haste +15%</v>
      </c>
      <c r="K668" s="249" t="str">
        <f>+INDEX(PWP!$A:$Z,MATCH('PWP-Print'!E668,PWP!$B:$B,0),MATCH("Locked PWP Ability 1",PWP!$A$1:$Z$1,0))</f>
        <v>(Flame) Dragon Haste +15%</v>
      </c>
      <c r="M668" s="729" t="e" vm="1354">
        <f>_xlfn.IMAGE("https://natalie.tf/wp-content/uploads/2023/10/DLV3_Icon_DRA_"&amp;O669&amp;".png")</f>
        <v>#VALUE!</v>
      </c>
      <c r="O668" s="249" t="str">
        <f>"PWP-"&amp;B670</f>
        <v>PWP-324</v>
      </c>
      <c r="Q668" s="249" t="str">
        <f>+INDEX(PWP!$A:$Z,MATCH('PWP-Print'!O668,PWP!$B:$B,0),MATCH("Title",PWP!$A$1:$Z$1,0))</f>
        <v>Rapacious Firelord</v>
      </c>
      <c r="S668" t="e" vm="14">
        <f>_xlfn.IMAGE("https://natalie.tf/wp-content/uploads/2023/10/DLV3_Icon_Ability_"&amp;INDEX('PWP-A'!$A$2:$C$31,MATCH('PWP-Print'!T668,'PWP-A'!$B$2:$B$31,0),1)&amp;".png")</f>
        <v>#VALUE!</v>
      </c>
      <c r="T668" s="229" t="str">
        <f>+INDEX(PWP!$A:$Z,MATCH('PWP-Print'!O668,PWP!$B:$B,0),MATCH("PWP Ability 1",PWP!$A$1:$Z$1,0))</f>
        <v>Dragon Damage +18%</v>
      </c>
      <c r="U668" s="249" t="str">
        <f>+INDEX(PWP!$A:$Z,MATCH('PWP-Print'!O668,PWP!$B:$B,0),MATCH("Locked PWP Ability 1",PWP!$A$1:$Z$1,0))</f>
        <v>(Flame) Dragon Damage +18%</v>
      </c>
    </row>
    <row r="669" spans="1:21" ht="22.5" customHeight="1" x14ac:dyDescent="0.3">
      <c r="C669" s="729"/>
      <c r="D669" s="8"/>
      <c r="E669" s="200" t="str">
        <f>+INDEX(PWP!$A:$Z,MATCH('PWP-Print'!E668,PWP!$B:$B,0),MATCH("ID",PWP!$A$1:$Z$1,0))</f>
        <v>210124_01</v>
      </c>
      <c r="F669" s="8"/>
      <c r="G669" s="249" t="str">
        <f>+INDEX(PWP!$A:$Z,MATCH('PWP-Print'!E668,PWP!$B:$B,0),MATCH("Name",PWP!$A$1:$Z$1,0))</f>
        <v>Horus</v>
      </c>
      <c r="H669" s="8"/>
      <c r="I669" t="e" vm="326">
        <f>_xlfn.IMAGE("https://natalie.tf/wp-content/uploads/2023/10/DLV3_Icon_Ability_"&amp;INDEX('PWP-A'!$A$2:$C$31,MATCH('PWP-Print'!J669,'PWP-A'!$B$2:$B$31,0),1)&amp;".png")</f>
        <v>#VALUE!</v>
      </c>
      <c r="J669" s="229" t="str">
        <f>+INDEX(PWP!$A:$Z,MATCH('PWP-Print'!E668,PWP!$B:$B,0),MATCH("PWP Ability 2",PWP!$A$1:$Z$1,0))</f>
        <v>Critical Rate +15%</v>
      </c>
      <c r="K669" s="249" t="str">
        <f>+INDEX(PWP!$A:$Z,MATCH('PWP-Print'!E668,PWP!$B:$B,0),MATCH("Locked PWP Ability 2",PWP!$A$1:$Z$1,0))</f>
        <v>(Flame) Critical Rate +15%</v>
      </c>
      <c r="M669" s="729"/>
      <c r="N669" s="8"/>
      <c r="O669" s="200" t="str">
        <f>+INDEX(PWP!$A:$Z,MATCH('PWP-Print'!O668,PWP!$B:$B,0),MATCH("ID",PWP!$A$1:$Z$1,0))</f>
        <v>210016_01</v>
      </c>
      <c r="P669" s="8"/>
      <c r="Q669" s="249" t="str">
        <f>+INDEX(PWP!$A:$Z,MATCH('PWP-Print'!O668,PWP!$B:$B,0),MATCH("Name",PWP!$A$1:$Z$1,0))</f>
        <v>Agni</v>
      </c>
      <c r="R669" s="8"/>
      <c r="S669" t="e" vm="326">
        <f>_xlfn.IMAGE("https://natalie.tf/wp-content/uploads/2023/10/DLV3_Icon_Ability_"&amp;INDEX('PWP-A'!$A$2:$C$31,MATCH('PWP-Print'!T669,'PWP-A'!$B$2:$B$31,0),1)&amp;".png")</f>
        <v>#VALUE!</v>
      </c>
      <c r="T669" s="229" t="str">
        <f>+INDEX(PWP!$A:$Z,MATCH('PWP-Print'!O668,PWP!$B:$B,0),MATCH("PWP Ability 2",PWP!$A$1:$Z$1,0))</f>
        <v>Critical Rate +15%</v>
      </c>
      <c r="U669" s="249" t="str">
        <f>+INDEX(PWP!$A:$Z,MATCH('PWP-Print'!O668,PWP!$B:$B,0),MATCH("Locked PWP Ability 2",PWP!$A$1:$Z$1,0))</f>
        <v>(Flame) Critical Rate +15%</v>
      </c>
    </row>
    <row r="670" spans="1:21" ht="22.5" customHeight="1" x14ac:dyDescent="0.3">
      <c r="A670" s="244" t="str">
        <f>TEXT(A666+1,"000")</f>
        <v>311</v>
      </c>
      <c r="B670" s="244" t="str">
        <f>TEXT(B666+1,"000")</f>
        <v>324</v>
      </c>
      <c r="C670" s="729"/>
      <c r="E670" s="251" t="str">
        <f>+INDEX(PWP!$A:$Z,MATCH('PWP-Print'!E668,PWP!$B:$B,0),MATCH("Num",PWP!$A$1:$Z$1,0))</f>
        <v>D-006</v>
      </c>
      <c r="G670" s="249" t="str">
        <f>+INDEX(PWP!$A:$Z,MATCH('PWP-Print'!E668,PWP!$B:$B,0),MATCH("Element",PWP!$A$1:$Z$1,0))&amp;" "&amp;INDEX(PWP!$A:$Z,MATCH('PWP-Print'!E668,PWP!$B:$B,0),MATCH("Type",PWP!$A$1:$Z$1,0))</f>
        <v>Flame Dragon</v>
      </c>
      <c r="K670" s="250"/>
      <c r="M670" s="729"/>
      <c r="O670" s="251" t="str">
        <f>+INDEX(PWP!$A:$Z,MATCH('PWP-Print'!O668,PWP!$B:$B,0),MATCH("Num",PWP!$A$1:$Z$1,0))</f>
        <v>D-019</v>
      </c>
      <c r="Q670" s="249" t="str">
        <f>+INDEX(PWP!$A:$Z,MATCH('PWP-Print'!O668,PWP!$B:$B,0),MATCH("Element",PWP!$A$1:$Z$1,0))&amp;" "&amp;INDEX(PWP!$A:$Z,MATCH('PWP-Print'!O668,PWP!$B:$B,0),MATCH("Type",PWP!$A$1:$Z$1,0))</f>
        <v>Flame Dragon</v>
      </c>
      <c r="U670" s="250"/>
    </row>
    <row r="671" spans="1:21" ht="7.5" customHeight="1" x14ac:dyDescent="0.3">
      <c r="A671" s="244" t="s">
        <v>10763</v>
      </c>
      <c r="E671" s="250"/>
      <c r="G671" s="250"/>
      <c r="K671" s="250"/>
      <c r="O671" s="250"/>
      <c r="Q671" s="250"/>
      <c r="U671" s="250"/>
    </row>
    <row r="672" spans="1:21" ht="22.5" customHeight="1" x14ac:dyDescent="0.3">
      <c r="C672" s="729" t="e" vm="1355">
        <f>_xlfn.IMAGE("https://natalie.tf/wp-content/uploads/2023/10/DLV3_Icon_DRA_"&amp;E673&amp;".png")</f>
        <v>#VALUE!</v>
      </c>
      <c r="E672" s="249" t="str">
        <f>"PWP-"&amp;A674</f>
        <v>PWP-312</v>
      </c>
      <c r="G672" s="249" t="str">
        <f>+INDEX(PWP!$A:$Z,MATCH('PWP-Print'!E672,PWP!$B:$B,0),MATCH("Title",PWP!$A$1:$Z$1,0))</f>
        <v>Forbidden Flamebringer</v>
      </c>
      <c r="I672" t="e" vm="382">
        <f>_xlfn.IMAGE("https://natalie.tf/wp-content/uploads/2023/10/DLV3_Icon_Ability_"&amp;INDEX('PWP-A'!$A$2:$C$31,MATCH('PWP-Print'!J672,'PWP-A'!$B$2:$B$31,0),1)&amp;".png")</f>
        <v>#VALUE!</v>
      </c>
      <c r="J672" s="229" t="str">
        <f>+INDEX(PWP!$A:$Z,MATCH('PWP-Print'!E672,PWP!$B:$B,0),MATCH("PWP Ability 1",PWP!$A$1:$Z$1,0))</f>
        <v>Dragon Time +20%</v>
      </c>
      <c r="K672" s="249" t="str">
        <f>+INDEX(PWP!$A:$Z,MATCH('PWP-Print'!E672,PWP!$B:$B,0),MATCH("Locked PWP Ability 1",PWP!$A$1:$Z$1,0))</f>
        <v>(Flame) Dragon Time +20%</v>
      </c>
      <c r="M672" s="729" t="e" vm="1356">
        <f>_xlfn.IMAGE("https://natalie.tf/wp-content/uploads/2023/10/DLV3_Icon_DRA_"&amp;O673&amp;".png")</f>
        <v>#VALUE!</v>
      </c>
      <c r="O672" s="249" t="str">
        <f>"PWP-"&amp;B674</f>
        <v>PWP-325</v>
      </c>
      <c r="Q672" s="249" t="str">
        <f>+INDEX(PWP!$A:$Z,MATCH('PWP-Print'!O672,PWP!$B:$B,0),MATCH("Title",PWP!$A$1:$Z$1,0))</f>
        <v>Ferocious Fighter</v>
      </c>
      <c r="S672" t="e" vm="14">
        <f>_xlfn.IMAGE("https://natalie.tf/wp-content/uploads/2023/10/DLV3_Icon_Ability_"&amp;INDEX('PWP-A'!$A$2:$C$31,MATCH('PWP-Print'!T672,'PWP-A'!$B$2:$B$31,0),1)&amp;".png")</f>
        <v>#VALUE!</v>
      </c>
      <c r="T672" s="229" t="str">
        <f>+INDEX(PWP!$A:$Z,MATCH('PWP-Print'!O672,PWP!$B:$B,0),MATCH("PWP Ability 1",PWP!$A$1:$Z$1,0))</f>
        <v>Dragon Damage +18%</v>
      </c>
      <c r="U672" s="249" t="str">
        <f>+INDEX(PWP!$A:$Z,MATCH('PWP-Print'!O672,PWP!$B:$B,0),MATCH("Locked PWP Ability 1",PWP!$A$1:$Z$1,0))</f>
        <v>(Flame) Dragon Damage +18%</v>
      </c>
    </row>
    <row r="673" spans="1:21" ht="22.5" customHeight="1" x14ac:dyDescent="0.3">
      <c r="C673" s="729"/>
      <c r="D673" s="8"/>
      <c r="E673" s="200" t="str">
        <f>+INDEX(PWP!$A:$Z,MATCH('PWP-Print'!E672,PWP!$B:$B,0),MATCH("ID",PWP!$A$1:$Z$1,0))</f>
        <v>200009_01</v>
      </c>
      <c r="F673" s="8"/>
      <c r="G673" s="249" t="str">
        <f>+INDEX(PWP!$A:$Z,MATCH('PWP-Print'!E672,PWP!$B:$B,0),MATCH("Name",PWP!$A$1:$Z$1,0))</f>
        <v>Gala Mars</v>
      </c>
      <c r="H673" s="8"/>
      <c r="I673" t="e" vm="14">
        <f>_xlfn.IMAGE("https://natalie.tf/wp-content/uploads/2023/10/DLV3_Icon_Ability_"&amp;INDEX('PWP-A'!$A$2:$C$31,MATCH('PWP-Print'!J673,'PWP-A'!$B$2:$B$31,0),1)&amp;".png")</f>
        <v>#VALUE!</v>
      </c>
      <c r="J673" s="229" t="str">
        <f>+INDEX(PWP!$A:$Z,MATCH('PWP-Print'!E672,PWP!$B:$B,0),MATCH("PWP Ability 2",PWP!$A$1:$Z$1,0))</f>
        <v>Strength +20%</v>
      </c>
      <c r="K673" s="249" t="str">
        <f>+INDEX(PWP!$A:$Z,MATCH('PWP-Print'!E672,PWP!$B:$B,0),MATCH("Locked PWP Ability 2",PWP!$A$1:$Z$1,0))</f>
        <v>(Flame) Strength +20%</v>
      </c>
      <c r="M673" s="729"/>
      <c r="N673" s="8"/>
      <c r="O673" s="200" t="str">
        <f>+INDEX(PWP!$A:$Z,MATCH('PWP-Print'!O672,PWP!$B:$B,0),MATCH("ID",PWP!$A$1:$Z$1,0))</f>
        <v>210007_01</v>
      </c>
      <c r="P673" s="8"/>
      <c r="Q673" s="249" t="str">
        <f>+INDEX(PWP!$A:$Z,MATCH('PWP-Print'!O672,PWP!$B:$B,0),MATCH("Name",PWP!$A$1:$Z$1,0))</f>
        <v>Ifrit</v>
      </c>
      <c r="R673" s="8"/>
      <c r="S673" t="e" vm="496">
        <f>_xlfn.IMAGE("https://natalie.tf/wp-content/uploads/2023/10/DLV3_Icon_Ability_"&amp;INDEX('PWP-A'!$A$2:$C$31,MATCH('PWP-Print'!T673,'PWP-A'!$B$2:$B$31,0),1)&amp;".png")</f>
        <v>#VALUE!</v>
      </c>
      <c r="T673" s="229" t="str">
        <f>+INDEX(PWP!$A:$Z,MATCH('PWP-Print'!O672,PWP!$B:$B,0),MATCH("PWP Ability 2",PWP!$A$1:$Z$1,0))</f>
        <v>HP +15%</v>
      </c>
      <c r="U673" s="249" t="str">
        <f>+INDEX(PWP!$A:$Z,MATCH('PWP-Print'!O672,PWP!$B:$B,0),MATCH("Locked PWP Ability 2",PWP!$A$1:$Z$1,0))</f>
        <v>(Flame) HP +15%</v>
      </c>
    </row>
    <row r="674" spans="1:21" ht="22.5" customHeight="1" x14ac:dyDescent="0.3">
      <c r="A674" s="244" t="str">
        <f>TEXT(A670+1,"000")</f>
        <v>312</v>
      </c>
      <c r="B674" s="244" t="str">
        <f>TEXT(B670+1,"000")</f>
        <v>325</v>
      </c>
      <c r="C674" s="729"/>
      <c r="E674" s="251" t="str">
        <f>+INDEX(PWP!$A:$Z,MATCH('PWP-Print'!E672,PWP!$B:$B,0),MATCH("Num",PWP!$A$1:$Z$1,0))</f>
        <v>D-007</v>
      </c>
      <c r="G674" s="249" t="str">
        <f>+INDEX(PWP!$A:$Z,MATCH('PWP-Print'!E672,PWP!$B:$B,0),MATCH("Element",PWP!$A$1:$Z$1,0))&amp;" "&amp;INDEX(PWP!$A:$Z,MATCH('PWP-Print'!E672,PWP!$B:$B,0),MATCH("Type",PWP!$A$1:$Z$1,0))</f>
        <v>Flame Dragon</v>
      </c>
      <c r="K674" s="250"/>
      <c r="M674" s="729"/>
      <c r="O674" s="251" t="str">
        <f>+INDEX(PWP!$A:$Z,MATCH('PWP-Print'!O672,PWP!$B:$B,0),MATCH("Num",PWP!$A$1:$Z$1,0))</f>
        <v>D-020</v>
      </c>
      <c r="Q674" s="249" t="str">
        <f>+INDEX(PWP!$A:$Z,MATCH('PWP-Print'!O672,PWP!$B:$B,0),MATCH("Element",PWP!$A$1:$Z$1,0))&amp;" "&amp;INDEX(PWP!$A:$Z,MATCH('PWP-Print'!O672,PWP!$B:$B,0),MATCH("Type",PWP!$A$1:$Z$1,0))</f>
        <v>Flame Dragon</v>
      </c>
      <c r="U674" s="250"/>
    </row>
    <row r="675" spans="1:21" ht="7.5" customHeight="1" x14ac:dyDescent="0.3">
      <c r="A675" s="244" t="s">
        <v>10763</v>
      </c>
      <c r="E675" s="250"/>
      <c r="G675" s="250"/>
      <c r="K675" s="250"/>
    </row>
    <row r="676" spans="1:21" ht="22.5" customHeight="1" x14ac:dyDescent="0.3">
      <c r="C676" s="729" t="e" vm="1357">
        <f>_xlfn.IMAGE("https://natalie.tf/wp-content/uploads/2023/10/DLV3_Icon_DRA_"&amp;E677&amp;".png")</f>
        <v>#VALUE!</v>
      </c>
      <c r="E676" s="249" t="str">
        <f>"PWP-"&amp;A678</f>
        <v>PWP-313</v>
      </c>
      <c r="G676" s="249" t="str">
        <f>+INDEX(PWP!$A:$Z,MATCH('PWP-Print'!E676,PWP!$B:$B,0),MATCH("Title",PWP!$A$1:$Z$1,0))</f>
        <v>Dreadking</v>
      </c>
      <c r="I676" t="e" vm="382">
        <f>_xlfn.IMAGE("https://natalie.tf/wp-content/uploads/2023/10/DLV3_Icon_Ability_"&amp;INDEX('PWP-A'!$A$2:$C$31,MATCH('PWP-Print'!J676,'PWP-A'!$B$2:$B$31,0),1)&amp;".png")</f>
        <v>#VALUE!</v>
      </c>
      <c r="J676" s="229" t="str">
        <f>+INDEX(PWP!$A:$Z,MATCH('PWP-Print'!E676,PWP!$B:$B,0),MATCH("PWP Ability 1",PWP!$A$1:$Z$1,0))</f>
        <v>Dragon Time +20%</v>
      </c>
      <c r="K676" s="249" t="str">
        <f>+INDEX(PWP!$A:$Z,MATCH('PWP-Print'!E676,PWP!$B:$B,0),MATCH("Locked PWP Ability 1",PWP!$A$1:$Z$1,0))</f>
        <v>(Flame) Dragon Time +20%</v>
      </c>
      <c r="M676" s="729"/>
      <c r="O676" s="221"/>
      <c r="Q676" s="221"/>
      <c r="U676" s="221"/>
    </row>
    <row r="677" spans="1:21" ht="22.5" customHeight="1" x14ac:dyDescent="0.3">
      <c r="C677" s="729"/>
      <c r="D677" s="8"/>
      <c r="E677" s="200" t="str">
        <f>+INDEX(PWP!$A:$Z,MATCH('PWP-Print'!E676,PWP!$B:$B,0),MATCH("ID",PWP!$A$1:$Z$1,0))</f>
        <v>210122_01</v>
      </c>
      <c r="F677" s="8"/>
      <c r="G677" s="249" t="str">
        <f>+INDEX(PWP!$A:$Z,MATCH('PWP-Print'!E676,PWP!$B:$B,0),MATCH("Name",PWP!$A$1:$Z$1,0))</f>
        <v>Dreadking Rathalos</v>
      </c>
      <c r="H677" s="8"/>
      <c r="I677" t="e" vm="696">
        <f>_xlfn.IMAGE("https://natalie.tf/wp-content/uploads/2023/10/DLV3_Icon_Ability_"&amp;INDEX('PWP-A'!$A$2:$C$31,MATCH('PWP-Print'!J677,'PWP-A'!$B$2:$B$31,0),1)&amp;".png")</f>
        <v>#VALUE!</v>
      </c>
      <c r="J677" s="229" t="str">
        <f>+INDEX(PWP!$A:$Z,MATCH('PWP-Print'!E676,PWP!$B:$B,0),MATCH("PWP Ability 2",PWP!$A$1:$Z$1,0))</f>
        <v>Elemental Res +15%</v>
      </c>
      <c r="K677" s="249" t="str">
        <f>+INDEX(PWP!$A:$Z,MATCH('PWP-Print'!E676,PWP!$B:$B,0),MATCH("Locked PWP Ability 2",PWP!$A$1:$Z$1,0))</f>
        <v>(Flame) Elemental Res +15%</v>
      </c>
      <c r="M677" s="729"/>
      <c r="N677" s="8"/>
      <c r="O677" s="221"/>
      <c r="P677" s="8"/>
      <c r="Q677" s="221"/>
      <c r="R677" s="8"/>
      <c r="S677" s="8"/>
      <c r="T677" s="8"/>
      <c r="U677" s="221"/>
    </row>
    <row r="678" spans="1:21" ht="22.5" customHeight="1" x14ac:dyDescent="0.3">
      <c r="A678" s="244" t="str">
        <f>TEXT(A674+1,"000")</f>
        <v>313</v>
      </c>
      <c r="C678" s="729"/>
      <c r="E678" s="251" t="str">
        <f>+INDEX(PWP!$A:$Z,MATCH('PWP-Print'!E676,PWP!$B:$B,0),MATCH("Num",PWP!$A$1:$Z$1,0))</f>
        <v>D-008</v>
      </c>
      <c r="G678" s="249" t="str">
        <f>+INDEX(PWP!$A:$Z,MATCH('PWP-Print'!E676,PWP!$B:$B,0),MATCH("Element",PWP!$A$1:$Z$1,0))&amp;" "&amp;INDEX(PWP!$A:$Z,MATCH('PWP-Print'!E676,PWP!$B:$B,0),MATCH("Type",PWP!$A$1:$Z$1,0))</f>
        <v>Flame Dragon</v>
      </c>
      <c r="K678" s="250"/>
      <c r="M678" s="729"/>
      <c r="O678" s="221"/>
      <c r="Q678" s="221"/>
      <c r="U678" s="222"/>
    </row>
    <row r="679" spans="1:21" ht="39" customHeight="1" x14ac:dyDescent="0.2">
      <c r="A679" s="244" t="s">
        <v>10763</v>
      </c>
    </row>
    <row r="680" spans="1:21" ht="22.5" customHeight="1" x14ac:dyDescent="0.3">
      <c r="C680" s="729" t="e" vm="1358">
        <f>_xlfn.IMAGE("https://natalie.tf/wp-content/uploads/2023/10/DLV3_Icon_DRA_"&amp;E681&amp;".png")</f>
        <v>#VALUE!</v>
      </c>
      <c r="E680" s="249" t="str">
        <f>"PWP-"&amp;A682</f>
        <v>PWP-326</v>
      </c>
      <c r="G680" s="249" t="str">
        <f>+INDEX(PWP!$A:$Z,MATCH('PWP-Print'!E680,PWP!$B:$B,0),MATCH("Title",PWP!$A$1:$Z$1,0))</f>
        <v>Bewitching Immortal</v>
      </c>
      <c r="I680" t="e" vm="382">
        <f>_xlfn.IMAGE("https://natalie.tf/wp-content/uploads/2023/10/DLV3_Icon_Ability_"&amp;INDEX('PWP-A'!$A$2:$C$31,MATCH('PWP-Print'!J680,'PWP-A'!$B$2:$B$31,0),1)&amp;".png")</f>
        <v>#VALUE!</v>
      </c>
      <c r="J680" s="229" t="str">
        <f>+INDEX(PWP!$A:$Z,MATCH('PWP-Print'!E680,PWP!$B:$B,0),MATCH("PWP Ability 1",PWP!$A$1:$Z$1,0))</f>
        <v>Dragon Time +20%</v>
      </c>
      <c r="K680" s="249" t="str">
        <f>+INDEX(PWP!$A:$Z,MATCH('PWP-Print'!E680,PWP!$B:$B,0),MATCH("Locked PWP Ability 1",PWP!$A$1:$Z$1,0))</f>
        <v>(Flame) Dragon Time +20%</v>
      </c>
      <c r="M680" s="729" t="e" vm="1359">
        <f>_xlfn.IMAGE("https://natalie.tf/wp-content/uploads/2023/10/DLV3_Icon_DRA_"&amp;O681&amp;".png")</f>
        <v>#VALUE!</v>
      </c>
      <c r="O680" s="249" t="str">
        <f>"PWP-"&amp;B682</f>
        <v>PWP-339</v>
      </c>
      <c r="Q680" s="249" t="str">
        <f>+INDEX(PWP!$A:$Z,MATCH('PWP-Print'!O680,PWP!$B:$B,0),MATCH("Title",PWP!$A$1:$Z$1,0))</f>
        <v>Guardian Wolf</v>
      </c>
      <c r="S680" t="e" vm="14">
        <f>_xlfn.IMAGE("https://natalie.tf/wp-content/uploads/2023/10/DLV3_Icon_Ability_"&amp;INDEX('PWP-A'!$A$2:$C$31,MATCH('PWP-Print'!T680,'PWP-A'!$B$2:$B$31,0),1)&amp;".png")</f>
        <v>#VALUE!</v>
      </c>
      <c r="T680" s="229" t="str">
        <f>+INDEX(PWP!$A:$Z,MATCH('PWP-Print'!O680,PWP!$B:$B,0),MATCH("PWP Ability 1",PWP!$A$1:$Z$1,0))</f>
        <v>Dragon Damage +18%</v>
      </c>
      <c r="U680" s="249" t="str">
        <f>+INDEX(PWP!$A:$Z,MATCH('PWP-Print'!O680,PWP!$B:$B,0),MATCH("Locked PWP Ability 1",PWP!$A$1:$Z$1,0))</f>
        <v>(Water) Dragon Damage +18%</v>
      </c>
    </row>
    <row r="681" spans="1:21" ht="22.5" customHeight="1" x14ac:dyDescent="0.3">
      <c r="C681" s="729"/>
      <c r="D681" s="8"/>
      <c r="E681" s="200" t="str">
        <f>+INDEX(PWP!$A:$Z,MATCH('PWP-Print'!E680,PWP!$B:$B,0),MATCH("ID",PWP!$A$1:$Z$1,0))</f>
        <v>210006_01</v>
      </c>
      <c r="F681" s="8"/>
      <c r="G681" s="249" t="str">
        <f>+INDEX(PWP!$A:$Z,MATCH('PWP-Print'!E680,PWP!$B:$B,0),MATCH("Name",PWP!$A$1:$Z$1,0))</f>
        <v>Phoenix</v>
      </c>
      <c r="H681" s="8"/>
      <c r="I681" t="e" vm="688">
        <f>_xlfn.IMAGE("https://natalie.tf/wp-content/uploads/2023/10/DLV3_Icon_Ability_"&amp;INDEX('PWP-A'!$A$2:$C$31,MATCH('PWP-Print'!J681,'PWP-A'!$B$2:$B$31,0),1)&amp;".png")</f>
        <v>#VALUE!</v>
      </c>
      <c r="J681" s="229" t="str">
        <f>+INDEX(PWP!$A:$Z,MATCH('PWP-Print'!E680,PWP!$B:$B,0),MATCH("PWP Ability 2",PWP!$A$1:$Z$1,0))</f>
        <v>Overdrive Punisher +15%</v>
      </c>
      <c r="K681" s="249" t="str">
        <f>+INDEX(PWP!$A:$Z,MATCH('PWP-Print'!E680,PWP!$B:$B,0),MATCH("Locked PWP Ability 2",PWP!$A$1:$Z$1,0))</f>
        <v>(Flame) Overdrive Punisher +15%</v>
      </c>
      <c r="M681" s="729"/>
      <c r="N681" s="8"/>
      <c r="O681" s="200" t="str">
        <f>+INDEX(PWP!$A:$Z,MATCH('PWP-Print'!O680,PWP!$B:$B,0),MATCH("ID",PWP!$A$1:$Z$1,0))</f>
        <v>210109_01</v>
      </c>
      <c r="P681" s="8"/>
      <c r="Q681" s="249" t="str">
        <f>+INDEX(PWP!$A:$Z,MATCH('PWP-Print'!O680,PWP!$B:$B,0),MATCH("Name",PWP!$A$1:$Z$1,0))</f>
        <v>Kamuy</v>
      </c>
      <c r="R681" s="8"/>
      <c r="S681" t="e" vm="688">
        <f>_xlfn.IMAGE("https://natalie.tf/wp-content/uploads/2023/10/DLV3_Icon_Ability_"&amp;INDEX('PWP-A'!$A$2:$C$31,MATCH('PWP-Print'!T681,'PWP-A'!$B$2:$B$31,0),1)&amp;".png")</f>
        <v>#VALUE!</v>
      </c>
      <c r="T681" s="229" t="str">
        <f>+INDEX(PWP!$A:$Z,MATCH('PWP-Print'!O680,PWP!$B:$B,0),MATCH("PWP Ability 2",PWP!$A$1:$Z$1,0))</f>
        <v>Overdrive Punisher +15%</v>
      </c>
      <c r="U681" s="249" t="str">
        <f>+INDEX(PWP!$A:$Z,MATCH('PWP-Print'!O680,PWP!$B:$B,0),MATCH("Locked PWP Ability 2",PWP!$A$1:$Z$1,0))</f>
        <v>(Water) Overdrive Punisher +15%</v>
      </c>
    </row>
    <row r="682" spans="1:21" ht="22.5" customHeight="1" x14ac:dyDescent="0.3">
      <c r="A682" s="242" t="str">
        <f>TEXT(B674+1,"000")</f>
        <v>326</v>
      </c>
      <c r="B682" s="244" t="str">
        <f>TEXT(A730+1,"000")</f>
        <v>339</v>
      </c>
      <c r="C682" s="729"/>
      <c r="E682" s="251" t="str">
        <f>+INDEX(PWP!$A:$Z,MATCH('PWP-Print'!E680,PWP!$B:$B,0),MATCH("Num",PWP!$A$1:$Z$1,0))</f>
        <v>D-021</v>
      </c>
      <c r="G682" s="249" t="str">
        <f>+INDEX(PWP!$A:$Z,MATCH('PWP-Print'!E680,PWP!$B:$B,0),MATCH("Element",PWP!$A$1:$Z$1,0))&amp;" "&amp;INDEX(PWP!$A:$Z,MATCH('PWP-Print'!E680,PWP!$B:$B,0),MATCH("Type",PWP!$A$1:$Z$1,0))</f>
        <v>Flame Dragon</v>
      </c>
      <c r="K682" s="250"/>
      <c r="M682" s="729"/>
      <c r="O682" s="251" t="str">
        <f>+INDEX(PWP!$A:$Z,MATCH('PWP-Print'!O680,PWP!$B:$B,0),MATCH("Num",PWP!$A$1:$Z$1,0))</f>
        <v>D-034</v>
      </c>
      <c r="Q682" s="249" t="str">
        <f>+INDEX(PWP!$A:$Z,MATCH('PWP-Print'!O680,PWP!$B:$B,0),MATCH("Element",PWP!$A$1:$Z$1,0))&amp;" "&amp;INDEX(PWP!$A:$Z,MATCH('PWP-Print'!O680,PWP!$B:$B,0),MATCH("Type",PWP!$A$1:$Z$1,0))</f>
        <v>Water Dragon</v>
      </c>
      <c r="U682" s="250"/>
    </row>
    <row r="683" spans="1:21" ht="7.5" customHeight="1" x14ac:dyDescent="0.3">
      <c r="A683" s="244" t="s">
        <v>10763</v>
      </c>
      <c r="E683" s="250"/>
      <c r="G683" s="250"/>
      <c r="K683" s="250"/>
      <c r="O683" s="250"/>
      <c r="Q683" s="250"/>
      <c r="U683" s="250"/>
    </row>
    <row r="684" spans="1:21" ht="22.5" customHeight="1" x14ac:dyDescent="0.3">
      <c r="C684" s="729" t="e" vm="1360">
        <f>_xlfn.IMAGE("https://natalie.tf/wp-content/uploads/2023/10/DLV3_Icon_DRA_"&amp;E685&amp;".png")</f>
        <v>#VALUE!</v>
      </c>
      <c r="E684" s="249" t="str">
        <f>"PWP-"&amp;A686</f>
        <v>PWP-327</v>
      </c>
      <c r="G684" s="249" t="str">
        <f>+INDEX(PWP!$A:$Z,MATCH('PWP-Print'!E684,PWP!$B:$B,0),MATCH("Title",PWP!$A$1:$Z$1,0))</f>
        <v>Crimson Sweetheart</v>
      </c>
      <c r="I684" t="e" vm="382">
        <f>_xlfn.IMAGE("https://natalie.tf/wp-content/uploads/2023/10/DLV3_Icon_Ability_"&amp;INDEX('PWP-A'!$A$2:$C$31,MATCH('PWP-Print'!J684,'PWP-A'!$B$2:$B$31,0),1)&amp;".png")</f>
        <v>#VALUE!</v>
      </c>
      <c r="J684" s="229" t="str">
        <f>+INDEX(PWP!$A:$Z,MATCH('PWP-Print'!E684,PWP!$B:$B,0),MATCH("PWP Ability 1",PWP!$A$1:$Z$1,0))</f>
        <v>Dragon Time +20%</v>
      </c>
      <c r="K684" s="249" t="str">
        <f>+INDEX(PWP!$A:$Z,MATCH('PWP-Print'!E684,PWP!$B:$B,0),MATCH("Locked PWP Ability 1",PWP!$A$1:$Z$1,0))</f>
        <v>(Flame) Dragon Time +20%</v>
      </c>
      <c r="M684" s="729" t="e" vm="1361">
        <f>_xlfn.IMAGE("https://natalie.tf/wp-content/uploads/2023/10/DLV3_Icon_DRA_"&amp;O685&amp;".png")</f>
        <v>#VALUE!</v>
      </c>
      <c r="O684" s="249" t="str">
        <f>"PWP-"&amp;B686</f>
        <v>PWP-340</v>
      </c>
      <c r="Q684" s="249" t="str">
        <f>+INDEX(PWP!$A:$Z,MATCH('PWP-Print'!O684,PWP!$B:$B,0),MATCH("Title",PWP!$A$1:$Z$1,0))</f>
        <v>The People's Magician</v>
      </c>
      <c r="S684" t="e" vm="601">
        <f>_xlfn.IMAGE("https://natalie.tf/wp-content/uploads/2023/10/DLV3_Icon_Ability_"&amp;INDEX('PWP-A'!$A$2:$C$31,MATCH('PWP-Print'!T684,'PWP-A'!$B$2:$B$31,0),1)&amp;".png")</f>
        <v>#VALUE!</v>
      </c>
      <c r="T684" s="229" t="str">
        <f>+INDEX(PWP!$A:$Z,MATCH('PWP-Print'!O684,PWP!$B:$B,0),MATCH("PWP Ability 1",PWP!$A$1:$Z$1,0))</f>
        <v>Dragon Haste +15%</v>
      </c>
      <c r="U684" s="249" t="str">
        <f>+INDEX(PWP!$A:$Z,MATCH('PWP-Print'!O684,PWP!$B:$B,0),MATCH("Locked PWP Ability 1",PWP!$A$1:$Z$1,0))</f>
        <v>(Water) Dragon Haste +15%</v>
      </c>
    </row>
    <row r="685" spans="1:21" ht="22.5" customHeight="1" x14ac:dyDescent="0.3">
      <c r="C685" s="729"/>
      <c r="D685" s="8"/>
      <c r="E685" s="200" t="str">
        <f>+INDEX(PWP!$A:$Z,MATCH('PWP-Print'!E684,PWP!$B:$B,0),MATCH("ID",PWP!$A$1:$Z$1,0))</f>
        <v>210002_01</v>
      </c>
      <c r="F685" s="8"/>
      <c r="G685" s="249" t="str">
        <f>+INDEX(PWP!$A:$Z,MATCH('PWP-Print'!E684,PWP!$B:$B,0),MATCH("Name",PWP!$A$1:$Z$1,0))</f>
        <v>Brunhilda</v>
      </c>
      <c r="H685" s="8"/>
      <c r="I685" t="e" vm="496">
        <f>_xlfn.IMAGE("https://natalie.tf/wp-content/uploads/2023/10/DLV3_Icon_Ability_"&amp;INDEX('PWP-A'!$A$2:$C$31,MATCH('PWP-Print'!J685,'PWP-A'!$B$2:$B$31,0),1)&amp;".png")</f>
        <v>#VALUE!</v>
      </c>
      <c r="J685" s="229" t="str">
        <f>+INDEX(PWP!$A:$Z,MATCH('PWP-Print'!E684,PWP!$B:$B,0),MATCH("PWP Ability 2",PWP!$A$1:$Z$1,0))</f>
        <v>HP +15%</v>
      </c>
      <c r="K685" s="249" t="str">
        <f>+INDEX(PWP!$A:$Z,MATCH('PWP-Print'!E684,PWP!$B:$B,0),MATCH("Locked PWP Ability 2",PWP!$A$1:$Z$1,0))</f>
        <v>(Flame) HP +15%</v>
      </c>
      <c r="M685" s="729"/>
      <c r="N685" s="8"/>
      <c r="O685" s="200" t="str">
        <f>+INDEX(PWP!$A:$Z,MATCH('PWP-Print'!O684,PWP!$B:$B,0),MATCH("ID",PWP!$A$1:$Z$1,0))</f>
        <v>210097_01</v>
      </c>
      <c r="P685" s="8"/>
      <c r="Q685" s="249" t="str">
        <f>+INDEX(PWP!$A:$Z,MATCH('PWP-Print'!O684,PWP!$B:$B,0),MATCH("Name",PWP!$A$1:$Z$1,0))</f>
        <v>Halloween Maritimus</v>
      </c>
      <c r="R685" s="8"/>
      <c r="S685" t="e" vm="330">
        <f>_xlfn.IMAGE("https://natalie.tf/wp-content/uploads/2023/10/DLV3_Icon_Ability_"&amp;INDEX('PWP-A'!$A$2:$C$31,MATCH('PWP-Print'!T685,'PWP-A'!$B$2:$B$31,0),1)&amp;".png")</f>
        <v>#VALUE!</v>
      </c>
      <c r="T685" s="229" t="str">
        <f>+INDEX(PWP!$A:$Z,MATCH('PWP-Print'!O684,PWP!$B:$B,0),MATCH("PWP Ability 2",PWP!$A$1:$Z$1,0))</f>
        <v>Skill Haste +10%</v>
      </c>
      <c r="U685" s="249" t="str">
        <f>+INDEX(PWP!$A:$Z,MATCH('PWP-Print'!O684,PWP!$B:$B,0),MATCH("Locked PWP Ability 2",PWP!$A$1:$Z$1,0))</f>
        <v>(Water) Skill Haste +10%</v>
      </c>
    </row>
    <row r="686" spans="1:21" ht="22.5" customHeight="1" x14ac:dyDescent="0.3">
      <c r="A686" s="244" t="str">
        <f>TEXT(A682+1,"000")</f>
        <v>327</v>
      </c>
      <c r="B686" s="244" t="str">
        <f>TEXT(B682+1,"000")</f>
        <v>340</v>
      </c>
      <c r="C686" s="729"/>
      <c r="E686" s="251" t="str">
        <f>+INDEX(PWP!$A:$Z,MATCH('PWP-Print'!E684,PWP!$B:$B,0),MATCH("Num",PWP!$A$1:$Z$1,0))</f>
        <v>D-022</v>
      </c>
      <c r="G686" s="249" t="str">
        <f>+INDEX(PWP!$A:$Z,MATCH('PWP-Print'!E684,PWP!$B:$B,0),MATCH("Element",PWP!$A$1:$Z$1,0))&amp;" "&amp;INDEX(PWP!$A:$Z,MATCH('PWP-Print'!E684,PWP!$B:$B,0),MATCH("Type",PWP!$A$1:$Z$1,0))</f>
        <v>Flame Dragon</v>
      </c>
      <c r="K686" s="250"/>
      <c r="M686" s="729"/>
      <c r="O686" s="251" t="str">
        <f>+INDEX(PWP!$A:$Z,MATCH('PWP-Print'!O684,PWP!$B:$B,0),MATCH("Num",PWP!$A$1:$Z$1,0))</f>
        <v>D-035</v>
      </c>
      <c r="Q686" s="249" t="str">
        <f>+INDEX(PWP!$A:$Z,MATCH('PWP-Print'!O684,PWP!$B:$B,0),MATCH("Element",PWP!$A$1:$Z$1,0))&amp;" "&amp;INDEX(PWP!$A:$Z,MATCH('PWP-Print'!O684,PWP!$B:$B,0),MATCH("Type",PWP!$A$1:$Z$1,0))</f>
        <v>Water Dragon</v>
      </c>
      <c r="U686" s="250"/>
    </row>
    <row r="687" spans="1:21" ht="7.5" customHeight="1" x14ac:dyDescent="0.3">
      <c r="A687" s="244" t="s">
        <v>10763</v>
      </c>
      <c r="E687" s="250"/>
      <c r="G687" s="250"/>
      <c r="K687" s="250"/>
      <c r="O687" s="250"/>
      <c r="Q687" s="250"/>
      <c r="U687" s="250"/>
    </row>
    <row r="688" spans="1:21" ht="22.5" customHeight="1" x14ac:dyDescent="0.3">
      <c r="C688" s="729" t="e" vm="1362">
        <f>_xlfn.IMAGE("https://natalie.tf/wp-content/uploads/2023/10/DLV3_Icon_DRA_"&amp;E689&amp;".png")</f>
        <v>#VALUE!</v>
      </c>
      <c r="E688" s="249" t="str">
        <f>"PWP-"&amp;A690</f>
        <v>PWP-328</v>
      </c>
      <c r="G688" s="249" t="str">
        <f>+INDEX(PWP!$A:$Z,MATCH('PWP-Print'!E688,PWP!$B:$B,0),MATCH("Title",PWP!$A$1:$Z$1,0))</f>
        <v>N/A</v>
      </c>
      <c r="I688" t="e" vm="382">
        <f>_xlfn.IMAGE("https://natalie.tf/wp-content/uploads/2023/10/DLV3_Icon_Ability_"&amp;INDEX('PWP-A'!$A$2:$C$31,MATCH('PWP-Print'!J688,'PWP-A'!$B$2:$B$31,0),1)&amp;".png")</f>
        <v>#VALUE!</v>
      </c>
      <c r="J688" s="229" t="str">
        <f>+INDEX(PWP!$A:$Z,MATCH('PWP-Print'!E688,PWP!$B:$B,0),MATCH("PWP Ability 1",PWP!$A$1:$Z$1,0))</f>
        <v>Dragon Time +20%</v>
      </c>
      <c r="K688" s="249" t="str">
        <f>+INDEX(PWP!$A:$Z,MATCH('PWP-Print'!E688,PWP!$B:$B,0),MATCH("Locked PWP Ability 1",PWP!$A$1:$Z$1,0))</f>
        <v>(Flame) Dragon Time +20%</v>
      </c>
      <c r="M688" s="729" t="e" vm="1363">
        <f>_xlfn.IMAGE("https://natalie.tf/wp-content/uploads/2023/10/DLV3_Icon_DRA_"&amp;O689&amp;".png")</f>
        <v>#VALUE!</v>
      </c>
      <c r="O688" s="249" t="str">
        <f>"PWP-"&amp;B690</f>
        <v>PWP-341</v>
      </c>
      <c r="Q688" s="249" t="str">
        <f>+INDEX(PWP!$A:$Z,MATCH('PWP-Print'!O688,PWP!$B:$B,0),MATCH("Title",PWP!$A$1:$Z$1,0))</f>
        <v>Caring Mother</v>
      </c>
      <c r="S688" t="e" vm="382">
        <f>_xlfn.IMAGE("https://natalie.tf/wp-content/uploads/2023/10/DLV3_Icon_Ability_"&amp;INDEX('PWP-A'!$A$2:$C$31,MATCH('PWP-Print'!T688,'PWP-A'!$B$2:$B$31,0),1)&amp;".png")</f>
        <v>#VALUE!</v>
      </c>
      <c r="T688" s="229" t="str">
        <f>+INDEX(PWP!$A:$Z,MATCH('PWP-Print'!O688,PWP!$B:$B,0),MATCH("PWP Ability 1",PWP!$A$1:$Z$1,0))</f>
        <v>Dragon Time +20%</v>
      </c>
      <c r="U688" s="249" t="str">
        <f>+INDEX(PWP!$A:$Z,MATCH('PWP-Print'!O688,PWP!$B:$B,0),MATCH("Locked PWP Ability 1",PWP!$A$1:$Z$1,0))</f>
        <v>(Water) Dragon Time +20%</v>
      </c>
    </row>
    <row r="689" spans="1:21" ht="22.5" customHeight="1" x14ac:dyDescent="0.3">
      <c r="C689" s="729"/>
      <c r="D689" s="8"/>
      <c r="E689" s="200" t="str">
        <f>+INDEX(PWP!$A:$Z,MATCH('PWP-Print'!E688,PWP!$B:$B,0),MATCH("ID",PWP!$A$1:$Z$1,0))</f>
        <v>210023_01</v>
      </c>
      <c r="F689" s="8"/>
      <c r="G689" s="249" t="str">
        <f>+INDEX(PWP!$A:$Z,MATCH('PWP-Print'!E688,PWP!$B:$B,0),MATCH("Name",PWP!$A$1:$Z$1,0))</f>
        <v>Kindling Imp</v>
      </c>
      <c r="H689" s="8"/>
      <c r="I689" t="e" vm="376">
        <f>_xlfn.IMAGE("https://natalie.tf/wp-content/uploads/2023/10/DLV3_Icon_Ability_"&amp;INDEX('PWP-A'!$A$2:$C$31,MATCH('PWP-Print'!J689,'PWP-A'!$B$2:$B$31,0),1)&amp;".png")</f>
        <v>#VALUE!</v>
      </c>
      <c r="J689" s="229" t="str">
        <f>+INDEX(PWP!$A:$Z,MATCH('PWP-Print'!E688,PWP!$B:$B,0),MATCH("PWP Ability 2",PWP!$A$1:$Z$1,0))</f>
        <v>Broken Punisher +30%</v>
      </c>
      <c r="K689" s="249" t="str">
        <f>+INDEX(PWP!$A:$Z,MATCH('PWP-Print'!E688,PWP!$B:$B,0),MATCH("Locked PWP Ability 2",PWP!$A$1:$Z$1,0))</f>
        <v>(Flame) Broken Punisher +30%</v>
      </c>
      <c r="M689" s="729"/>
      <c r="N689" s="8"/>
      <c r="O689" s="200" t="str">
        <f>+INDEX(PWP!$A:$Z,MATCH('PWP-Print'!O688,PWP!$B:$B,0),MATCH("ID",PWP!$A$1:$Z$1,0))</f>
        <v>210081_01</v>
      </c>
      <c r="P689" s="8"/>
      <c r="Q689" s="249" t="str">
        <f>+INDEX(PWP!$A:$Z,MATCH('PWP-Print'!O688,PWP!$B:$B,0),MATCH("Name",PWP!$A$1:$Z$1,0))</f>
        <v>Simurgh</v>
      </c>
      <c r="R689" s="8"/>
      <c r="S689" t="e" vm="688">
        <f>_xlfn.IMAGE("https://natalie.tf/wp-content/uploads/2023/10/DLV3_Icon_Ability_"&amp;INDEX('PWP-A'!$A$2:$C$31,MATCH('PWP-Print'!T689,'PWP-A'!$B$2:$B$31,0),1)&amp;".png")</f>
        <v>#VALUE!</v>
      </c>
      <c r="T689" s="229" t="str">
        <f>+INDEX(PWP!$A:$Z,MATCH('PWP-Print'!O688,PWP!$B:$B,0),MATCH("PWP Ability 2",PWP!$A$1:$Z$1,0))</f>
        <v>Overdrive Punisher +15%</v>
      </c>
      <c r="U689" s="249" t="str">
        <f>+INDEX(PWP!$A:$Z,MATCH('PWP-Print'!O688,PWP!$B:$B,0),MATCH("Locked PWP Ability 2",PWP!$A$1:$Z$1,0))</f>
        <v>(Water) Overdrive Punisher +15%</v>
      </c>
    </row>
    <row r="690" spans="1:21" ht="22.5" customHeight="1" x14ac:dyDescent="0.3">
      <c r="A690" s="244" t="str">
        <f>TEXT(A686+1,"000")</f>
        <v>328</v>
      </c>
      <c r="B690" s="244" t="str">
        <f>TEXT(B686+1,"000")</f>
        <v>341</v>
      </c>
      <c r="C690" s="729"/>
      <c r="E690" s="251" t="str">
        <f>+INDEX(PWP!$A:$Z,MATCH('PWP-Print'!E688,PWP!$B:$B,0),MATCH("Num",PWP!$A$1:$Z$1,0))</f>
        <v>D-023</v>
      </c>
      <c r="G690" s="249" t="str">
        <f>+INDEX(PWP!$A:$Z,MATCH('PWP-Print'!E688,PWP!$B:$B,0),MATCH("Element",PWP!$A$1:$Z$1,0))&amp;" "&amp;INDEX(PWP!$A:$Z,MATCH('PWP-Print'!E688,PWP!$B:$B,0),MATCH("Type",PWP!$A$1:$Z$1,0))</f>
        <v>Flame Dragon</v>
      </c>
      <c r="K690" s="250"/>
      <c r="M690" s="729"/>
      <c r="O690" s="251" t="str">
        <f>+INDEX(PWP!$A:$Z,MATCH('PWP-Print'!O688,PWP!$B:$B,0),MATCH("Num",PWP!$A$1:$Z$1,0))</f>
        <v>D-036</v>
      </c>
      <c r="Q690" s="249" t="str">
        <f>+INDEX(PWP!$A:$Z,MATCH('PWP-Print'!O688,PWP!$B:$B,0),MATCH("Element",PWP!$A$1:$Z$1,0))&amp;" "&amp;INDEX(PWP!$A:$Z,MATCH('PWP-Print'!O688,PWP!$B:$B,0),MATCH("Type",PWP!$A$1:$Z$1,0))</f>
        <v>Water Dragon</v>
      </c>
      <c r="U690" s="250"/>
    </row>
    <row r="691" spans="1:21" ht="7.5" customHeight="1" x14ac:dyDescent="0.3">
      <c r="A691" s="244" t="s">
        <v>10763</v>
      </c>
      <c r="E691" s="250"/>
      <c r="G691" s="250"/>
      <c r="K691" s="250"/>
      <c r="O691" s="250"/>
      <c r="Q691" s="250"/>
      <c r="U691" s="250"/>
    </row>
    <row r="692" spans="1:21" ht="22.5" customHeight="1" x14ac:dyDescent="0.3">
      <c r="C692" s="729" t="e" vm="1364">
        <f>_xlfn.IMAGE("https://natalie.tf/wp-content/uploads/2023/10/DLV3_Icon_DRA_"&amp;E693&amp;".png")</f>
        <v>#VALUE!</v>
      </c>
      <c r="E692" s="249" t="str">
        <f>"PWP-"&amp;A694</f>
        <v>PWP-329</v>
      </c>
      <c r="G692" s="249" t="str">
        <f>+INDEX(PWP!$A:$Z,MATCH('PWP-Print'!E692,PWP!$B:$B,0),MATCH("Title",PWP!$A$1:$Z$1,0))</f>
        <v>N/A</v>
      </c>
      <c r="I692" t="e" vm="601">
        <f>_xlfn.IMAGE("https://natalie.tf/wp-content/uploads/2023/10/DLV3_Icon_Ability_"&amp;INDEX('PWP-A'!$A$2:$C$31,MATCH('PWP-Print'!J692,'PWP-A'!$B$2:$B$31,0),1)&amp;".png")</f>
        <v>#VALUE!</v>
      </c>
      <c r="J692" s="229" t="str">
        <f>+INDEX(PWP!$A:$Z,MATCH('PWP-Print'!E692,PWP!$B:$B,0),MATCH("PWP Ability 1",PWP!$A$1:$Z$1,0))</f>
        <v>Dragon Haste +15%</v>
      </c>
      <c r="K692" s="249" t="str">
        <f>+INDEX(PWP!$A:$Z,MATCH('PWP-Print'!E692,PWP!$B:$B,0),MATCH("Locked PWP Ability 1",PWP!$A$1:$Z$1,0))</f>
        <v>(Flame) Dragon Haste +15%</v>
      </c>
      <c r="M692" s="729" t="e" vm="1365">
        <f>_xlfn.IMAGE("https://natalie.tf/wp-content/uploads/2023/10/DLV3_Icon_DRA_"&amp;O693&amp;".png")</f>
        <v>#VALUE!</v>
      </c>
      <c r="O692" s="249" t="str">
        <f>"PWP-"&amp;B694</f>
        <v>PWP-342</v>
      </c>
      <c r="Q692" s="249" t="str">
        <f>+INDEX(PWP!$A:$Z,MATCH('PWP-Print'!O692,PWP!$B:$B,0),MATCH("Title",PWP!$A$1:$Z$1,0))</f>
        <v>Earthen Emancipator</v>
      </c>
      <c r="S692" t="e" vm="601">
        <f>_xlfn.IMAGE("https://natalie.tf/wp-content/uploads/2023/10/DLV3_Icon_Ability_"&amp;INDEX('PWP-A'!$A$2:$C$31,MATCH('PWP-Print'!T692,'PWP-A'!$B$2:$B$31,0),1)&amp;".png")</f>
        <v>#VALUE!</v>
      </c>
      <c r="T692" s="229" t="str">
        <f>+INDEX(PWP!$A:$Z,MATCH('PWP-Print'!O692,PWP!$B:$B,0),MATCH("PWP Ability 1",PWP!$A$1:$Z$1,0))</f>
        <v>Dragon Haste +15%</v>
      </c>
      <c r="U692" s="249" t="str">
        <f>+INDEX(PWP!$A:$Z,MATCH('PWP-Print'!O692,PWP!$B:$B,0),MATCH("Locked PWP Ability 1",PWP!$A$1:$Z$1,0))</f>
        <v>(Water) Dragon Haste +15%</v>
      </c>
    </row>
    <row r="693" spans="1:21" ht="22.5" customHeight="1" x14ac:dyDescent="0.3">
      <c r="C693" s="729"/>
      <c r="D693" s="8"/>
      <c r="E693" s="200" t="str">
        <f>+INDEX(PWP!$A:$Z,MATCH('PWP-Print'!E692,PWP!$B:$B,0),MATCH("ID",PWP!$A$1:$Z$1,0))</f>
        <v>210022_01</v>
      </c>
      <c r="F693" s="8"/>
      <c r="G693" s="249" t="str">
        <f>+INDEX(PWP!$A:$Z,MATCH('PWP-Print'!E692,PWP!$B:$B,0),MATCH("Name",PWP!$A$1:$Z$1,0))</f>
        <v>Cinder Drake</v>
      </c>
      <c r="H693" s="8"/>
      <c r="I693" t="e" vm="376">
        <f>_xlfn.IMAGE("https://natalie.tf/wp-content/uploads/2023/10/DLV3_Icon_Ability_"&amp;INDEX('PWP-A'!$A$2:$C$31,MATCH('PWP-Print'!J693,'PWP-A'!$B$2:$B$31,0),1)&amp;".png")</f>
        <v>#VALUE!</v>
      </c>
      <c r="J693" s="229" t="str">
        <f>+INDEX(PWP!$A:$Z,MATCH('PWP-Print'!E692,PWP!$B:$B,0),MATCH("PWP Ability 2",PWP!$A$1:$Z$1,0))</f>
        <v>Broken Punisher +30%</v>
      </c>
      <c r="K693" s="249" t="str">
        <f>+INDEX(PWP!$A:$Z,MATCH('PWP-Print'!E692,PWP!$B:$B,0),MATCH("Locked PWP Ability 2",PWP!$A$1:$Z$1,0))</f>
        <v>(Flame) Broken Punisher +30%</v>
      </c>
      <c r="M693" s="729"/>
      <c r="N693" s="8"/>
      <c r="O693" s="200" t="str">
        <f>+INDEX(PWP!$A:$Z,MATCH('PWP-Print'!O692,PWP!$B:$B,0),MATCH("ID",PWP!$A$1:$Z$1,0))</f>
        <v>210079_01</v>
      </c>
      <c r="P693" s="8"/>
      <c r="Q693" s="249" t="str">
        <f>+INDEX(PWP!$A:$Z,MATCH('PWP-Print'!O692,PWP!$B:$B,0),MATCH("Name",PWP!$A$1:$Z$1,0))</f>
        <v>Peng Lai</v>
      </c>
      <c r="R693" s="8"/>
      <c r="S693" t="e" vm="426">
        <f>_xlfn.IMAGE("https://natalie.tf/wp-content/uploads/2023/10/DLV3_Icon_Ability_"&amp;INDEX('PWP-A'!$A$2:$C$31,MATCH('PWP-Print'!T693,'PWP-A'!$B$2:$B$31,0),1)&amp;".png")</f>
        <v>#VALUE!</v>
      </c>
      <c r="T693" s="229" t="str">
        <f>+INDEX(PWP!$A:$Z,MATCH('PWP-Print'!O692,PWP!$B:$B,0),MATCH("PWP Ability 2",PWP!$A$1:$Z$1,0))</f>
        <v>Defense +20%</v>
      </c>
      <c r="U693" s="249" t="str">
        <f>+INDEX(PWP!$A:$Z,MATCH('PWP-Print'!O692,PWP!$B:$B,0),MATCH("Locked PWP Ability 2",PWP!$A$1:$Z$1,0))</f>
        <v>(Water) Defense +20%</v>
      </c>
    </row>
    <row r="694" spans="1:21" ht="22.5" customHeight="1" x14ac:dyDescent="0.3">
      <c r="A694" s="244" t="str">
        <f>TEXT(A690+1,"000")</f>
        <v>329</v>
      </c>
      <c r="B694" s="244" t="str">
        <f>TEXT(B690+1,"000")</f>
        <v>342</v>
      </c>
      <c r="C694" s="729"/>
      <c r="E694" s="251" t="str">
        <f>+INDEX(PWP!$A:$Z,MATCH('PWP-Print'!E692,PWP!$B:$B,0),MATCH("Num",PWP!$A$1:$Z$1,0))</f>
        <v>D-024</v>
      </c>
      <c r="G694" s="249" t="str">
        <f>+INDEX(PWP!$A:$Z,MATCH('PWP-Print'!E692,PWP!$B:$B,0),MATCH("Element",PWP!$A$1:$Z$1,0))&amp;" "&amp;INDEX(PWP!$A:$Z,MATCH('PWP-Print'!E692,PWP!$B:$B,0),MATCH("Type",PWP!$A$1:$Z$1,0))</f>
        <v>Flame Dragon</v>
      </c>
      <c r="K694" s="250"/>
      <c r="M694" s="729"/>
      <c r="O694" s="251" t="str">
        <f>+INDEX(PWP!$A:$Z,MATCH('PWP-Print'!O692,PWP!$B:$B,0),MATCH("Num",PWP!$A$1:$Z$1,0))</f>
        <v>D-037</v>
      </c>
      <c r="Q694" s="249" t="str">
        <f>+INDEX(PWP!$A:$Z,MATCH('PWP-Print'!O692,PWP!$B:$B,0),MATCH("Element",PWP!$A$1:$Z$1,0))&amp;" "&amp;INDEX(PWP!$A:$Z,MATCH('PWP-Print'!O692,PWP!$B:$B,0),MATCH("Type",PWP!$A$1:$Z$1,0))</f>
        <v>Water Dragon</v>
      </c>
      <c r="U694" s="250"/>
    </row>
    <row r="695" spans="1:21" ht="7.5" customHeight="1" x14ac:dyDescent="0.3">
      <c r="A695" s="244" t="s">
        <v>10763</v>
      </c>
      <c r="E695" s="250"/>
      <c r="G695" s="250"/>
      <c r="K695" s="250"/>
      <c r="O695" s="250"/>
      <c r="Q695" s="250"/>
      <c r="U695" s="250"/>
    </row>
    <row r="696" spans="1:21" ht="22.5" customHeight="1" x14ac:dyDescent="0.3">
      <c r="C696" s="729" t="e" vm="1366">
        <f>_xlfn.IMAGE("https://natalie.tf/wp-content/uploads/2023/10/DLV3_Icon_DRA_"&amp;E697&amp;".png")</f>
        <v>#VALUE!</v>
      </c>
      <c r="E696" s="249" t="str">
        <f>"PWP-"&amp;A698</f>
        <v>PWP-330</v>
      </c>
      <c r="G696" s="249" t="str">
        <f>+INDEX(PWP!$A:$Z,MATCH('PWP-Print'!E696,PWP!$B:$B,0),MATCH("Title",PWP!$A$1:$Z$1,0))</f>
        <v>N/A</v>
      </c>
      <c r="I696" t="e" vm="14">
        <f>_xlfn.IMAGE("https://natalie.tf/wp-content/uploads/2023/10/DLV3_Icon_Ability_"&amp;INDEX('PWP-A'!$A$2:$C$31,MATCH('PWP-Print'!J696,'PWP-A'!$B$2:$B$31,0),1)&amp;".png")</f>
        <v>#VALUE!</v>
      </c>
      <c r="J696" s="229" t="str">
        <f>+INDEX(PWP!$A:$Z,MATCH('PWP-Print'!E696,PWP!$B:$B,0),MATCH("PWP Ability 1",PWP!$A$1:$Z$1,0))</f>
        <v>Dragon Damage +18%</v>
      </c>
      <c r="K696" s="249" t="str">
        <f>+INDEX(PWP!$A:$Z,MATCH('PWP-Print'!E696,PWP!$B:$B,0),MATCH("Locked PWP Ability 1",PWP!$A$1:$Z$1,0))</f>
        <v>(Flame) Dragon Damage +18%</v>
      </c>
      <c r="M696" s="729" t="e" vm="1367">
        <f>_xlfn.IMAGE("https://natalie.tf/wp-content/uploads/2023/10/DLV3_Icon_DRA_"&amp;O697&amp;".png")</f>
        <v>#VALUE!</v>
      </c>
      <c r="O696" s="249" t="str">
        <f>"PWP-"&amp;B698</f>
        <v>PWP-343</v>
      </c>
      <c r="Q696" s="249" t="str">
        <f>+INDEX(PWP!$A:$Z,MATCH('PWP-Print'!O696,PWP!$B:$B,0),MATCH("Title",PWP!$A$1:$Z$1,0))</f>
        <v>Defender of Dragonyule</v>
      </c>
      <c r="S696" t="e" vm="601">
        <f>_xlfn.IMAGE("https://natalie.tf/wp-content/uploads/2023/10/DLV3_Icon_Ability_"&amp;INDEX('PWP-A'!$A$2:$C$31,MATCH('PWP-Print'!T696,'PWP-A'!$B$2:$B$31,0),1)&amp;".png")</f>
        <v>#VALUE!</v>
      </c>
      <c r="T696" s="229" t="str">
        <f>+INDEX(PWP!$A:$Z,MATCH('PWP-Print'!O696,PWP!$B:$B,0),MATCH("PWP Ability 1",PWP!$A$1:$Z$1,0))</f>
        <v>Dragon Haste +15%</v>
      </c>
      <c r="U696" s="249" t="str">
        <f>+INDEX(PWP!$A:$Z,MATCH('PWP-Print'!O696,PWP!$B:$B,0),MATCH("Locked PWP Ability 1",PWP!$A$1:$Z$1,0))</f>
        <v>(Water) Dragon Haste +15%</v>
      </c>
    </row>
    <row r="697" spans="1:21" ht="22.5" customHeight="1" x14ac:dyDescent="0.3">
      <c r="C697" s="729"/>
      <c r="D697" s="8"/>
      <c r="E697" s="200" t="str">
        <f>+INDEX(PWP!$A:$Z,MATCH('PWP-Print'!E696,PWP!$B:$B,0),MATCH("ID",PWP!$A$1:$Z$1,0))</f>
        <v>210021_01</v>
      </c>
      <c r="F697" s="8"/>
      <c r="G697" s="249" t="str">
        <f>+INDEX(PWP!$A:$Z,MATCH('PWP-Print'!E696,PWP!$B:$B,0),MATCH("Name",PWP!$A$1:$Z$1,0))</f>
        <v>Homura</v>
      </c>
      <c r="H697" s="8"/>
      <c r="I697" t="e" vm="376">
        <f>_xlfn.IMAGE("https://natalie.tf/wp-content/uploads/2023/10/DLV3_Icon_Ability_"&amp;INDEX('PWP-A'!$A$2:$C$31,MATCH('PWP-Print'!J697,'PWP-A'!$B$2:$B$31,0),1)&amp;".png")</f>
        <v>#VALUE!</v>
      </c>
      <c r="J697" s="229" t="str">
        <f>+INDEX(PWP!$A:$Z,MATCH('PWP-Print'!E696,PWP!$B:$B,0),MATCH("PWP Ability 2",PWP!$A$1:$Z$1,0))</f>
        <v>Broken Punisher +30%</v>
      </c>
      <c r="K697" s="249" t="str">
        <f>+INDEX(PWP!$A:$Z,MATCH('PWP-Print'!E696,PWP!$B:$B,0),MATCH("Locked PWP Ability 2",PWP!$A$1:$Z$1,0))</f>
        <v>(Flame) Broken Punisher +30%</v>
      </c>
      <c r="M697" s="729"/>
      <c r="N697" s="8"/>
      <c r="O697" s="200" t="str">
        <f>+INDEX(PWP!$A:$Z,MATCH('PWP-Print'!O696,PWP!$B:$B,0),MATCH("ID",PWP!$A$1:$Z$1,0))</f>
        <v>210076_01</v>
      </c>
      <c r="P697" s="8"/>
      <c r="Q697" s="249" t="str">
        <f>+INDEX(PWP!$A:$Z,MATCH('PWP-Print'!O696,PWP!$B:$B,0),MATCH("Name",PWP!$A$1:$Z$1,0))</f>
        <v>Dragonyule Jeanne</v>
      </c>
      <c r="R697" s="8"/>
      <c r="S697" t="e" vm="326">
        <f>_xlfn.IMAGE("https://natalie.tf/wp-content/uploads/2023/10/DLV3_Icon_Ability_"&amp;INDEX('PWP-A'!$A$2:$C$31,MATCH('PWP-Print'!T697,'PWP-A'!$B$2:$B$31,0),1)&amp;".png")</f>
        <v>#VALUE!</v>
      </c>
      <c r="T697" s="229" t="str">
        <f>+INDEX(PWP!$A:$Z,MATCH('PWP-Print'!O696,PWP!$B:$B,0),MATCH("PWP Ability 2",PWP!$A$1:$Z$1,0))</f>
        <v>Critical Rate +15%</v>
      </c>
      <c r="U697" s="249" t="str">
        <f>+INDEX(PWP!$A:$Z,MATCH('PWP-Print'!O696,PWP!$B:$B,0),MATCH("Locked PWP Ability 2",PWP!$A$1:$Z$1,0))</f>
        <v>(Water) Critical Rate +15%</v>
      </c>
    </row>
    <row r="698" spans="1:21" ht="22.5" customHeight="1" x14ac:dyDescent="0.3">
      <c r="A698" s="244" t="str">
        <f>TEXT(A694+1,"000")</f>
        <v>330</v>
      </c>
      <c r="B698" s="244" t="str">
        <f>TEXT(B694+1,"000")</f>
        <v>343</v>
      </c>
      <c r="C698" s="729"/>
      <c r="E698" s="251" t="str">
        <f>+INDEX(PWP!$A:$Z,MATCH('PWP-Print'!E696,PWP!$B:$B,0),MATCH("Num",PWP!$A$1:$Z$1,0))</f>
        <v>D-025</v>
      </c>
      <c r="G698" s="249" t="str">
        <f>+INDEX(PWP!$A:$Z,MATCH('PWP-Print'!E696,PWP!$B:$B,0),MATCH("Element",PWP!$A$1:$Z$1,0))&amp;" "&amp;INDEX(PWP!$A:$Z,MATCH('PWP-Print'!E696,PWP!$B:$B,0),MATCH("Type",PWP!$A$1:$Z$1,0))</f>
        <v>Flame Dragon</v>
      </c>
      <c r="K698" s="250"/>
      <c r="M698" s="729"/>
      <c r="O698" s="251" t="str">
        <f>+INDEX(PWP!$A:$Z,MATCH('PWP-Print'!O696,PWP!$B:$B,0),MATCH("Num",PWP!$A$1:$Z$1,0))</f>
        <v>D-038</v>
      </c>
      <c r="Q698" s="249" t="str">
        <f>+INDEX(PWP!$A:$Z,MATCH('PWP-Print'!O696,PWP!$B:$B,0),MATCH("Element",PWP!$A$1:$Z$1,0))&amp;" "&amp;INDEX(PWP!$A:$Z,MATCH('PWP-Print'!O696,PWP!$B:$B,0),MATCH("Type",PWP!$A$1:$Z$1,0))</f>
        <v>Water Dragon</v>
      </c>
      <c r="U698" s="250"/>
    </row>
    <row r="699" spans="1:21" ht="7.5" customHeight="1" x14ac:dyDescent="0.3">
      <c r="A699" s="244" t="s">
        <v>10763</v>
      </c>
      <c r="E699" s="250"/>
      <c r="G699" s="250"/>
      <c r="K699" s="250"/>
      <c r="O699" s="250"/>
      <c r="Q699" s="250"/>
      <c r="U699" s="250"/>
    </row>
    <row r="700" spans="1:21" ht="22.5" customHeight="1" x14ac:dyDescent="0.3">
      <c r="C700" s="729" t="e" vm="1368">
        <f>_xlfn.IMAGE("https://natalie.tf/wp-content/uploads/2023/10/DLV3_Icon_DRA_"&amp;E701&amp;".png")</f>
        <v>#VALUE!</v>
      </c>
      <c r="E700" s="249" t="str">
        <f>"PWP-"&amp;A702</f>
        <v>PWP-331</v>
      </c>
      <c r="G700" s="249" t="str">
        <f>+INDEX(PWP!$A:$Z,MATCH('PWP-Print'!E700,PWP!$B:$B,0),MATCH("Title",PWP!$A$1:$Z$1,0))</f>
        <v>Wings of Judgment</v>
      </c>
      <c r="I700" t="e" vm="601">
        <f>_xlfn.IMAGE("https://natalie.tf/wp-content/uploads/2023/10/DLV3_Icon_Ability_"&amp;INDEX('PWP-A'!$A$2:$C$31,MATCH('PWP-Print'!J700,'PWP-A'!$B$2:$B$31,0),1)&amp;".png")</f>
        <v>#VALUE!</v>
      </c>
      <c r="J700" s="229" t="str">
        <f>+INDEX(PWP!$A:$Z,MATCH('PWP-Print'!E700,PWP!$B:$B,0),MATCH("PWP Ability 1",PWP!$A$1:$Z$1,0))</f>
        <v>Dragon Haste +15%</v>
      </c>
      <c r="K700" s="249" t="str">
        <f>+INDEX(PWP!$A:$Z,MATCH('PWP-Print'!E700,PWP!$B:$B,0),MATCH("Locked PWP Ability 1",PWP!$A$1:$Z$1,0))</f>
        <v>(Water) Dragon Haste +15%</v>
      </c>
      <c r="M700" s="729" t="e" vm="1369">
        <f>_xlfn.IMAGE("https://natalie.tf/wp-content/uploads/2023/10/DLV3_Icon_DRA_"&amp;O701&amp;".png")</f>
        <v>#VALUE!</v>
      </c>
      <c r="O700" s="249" t="str">
        <f>"PWP-"&amp;B702</f>
        <v>PWP-344</v>
      </c>
      <c r="Q700" s="249" t="str">
        <f>+INDEX(PWP!$A:$Z,MATCH('PWP-Print'!O700,PWP!$B:$B,0),MATCH("Title",PWP!$A$1:$Z$1,0))</f>
        <v>Spellbinding Singer</v>
      </c>
      <c r="S700" t="e" vm="382">
        <f>_xlfn.IMAGE("https://natalie.tf/wp-content/uploads/2023/10/DLV3_Icon_Ability_"&amp;INDEX('PWP-A'!$A$2:$C$31,MATCH('PWP-Print'!T700,'PWP-A'!$B$2:$B$31,0),1)&amp;".png")</f>
        <v>#VALUE!</v>
      </c>
      <c r="T700" s="229" t="str">
        <f>+INDEX(PWP!$A:$Z,MATCH('PWP-Print'!O700,PWP!$B:$B,0),MATCH("PWP Ability 1",PWP!$A$1:$Z$1,0))</f>
        <v>Dragon Time +20%</v>
      </c>
      <c r="U700" s="249" t="str">
        <f>+INDEX(PWP!$A:$Z,MATCH('PWP-Print'!O700,PWP!$B:$B,0),MATCH("Locked PWP Ability 1",PWP!$A$1:$Z$1,0))</f>
        <v>(Water) Dragon Time +20%</v>
      </c>
    </row>
    <row r="701" spans="1:21" ht="22.5" customHeight="1" x14ac:dyDescent="0.3">
      <c r="C701" s="729"/>
      <c r="D701" s="8"/>
      <c r="E701" s="200" t="str">
        <f>+INDEX(PWP!$A:$Z,MATCH('PWP-Print'!E700,PWP!$B:$B,0),MATCH("ID",PWP!$A$1:$Z$1,0))</f>
        <v>210167_01</v>
      </c>
      <c r="F701" s="8"/>
      <c r="G701" s="249" t="str">
        <f>+INDEX(PWP!$A:$Z,MATCH('PWP-Print'!E700,PWP!$B:$B,0),MATCH("Name",PWP!$A$1:$Z$1,0))</f>
        <v>Gala Beast Ciella</v>
      </c>
      <c r="H701" s="8"/>
      <c r="I701" t="e" vm="14">
        <f>_xlfn.IMAGE("https://natalie.tf/wp-content/uploads/2023/10/DLV3_Icon_Ability_"&amp;INDEX('PWP-A'!$A$2:$C$31,MATCH('PWP-Print'!J701,'PWP-A'!$B$2:$B$31,0),1)&amp;".png")</f>
        <v>#VALUE!</v>
      </c>
      <c r="J701" s="229" t="str">
        <f>+INDEX(PWP!$A:$Z,MATCH('PWP-Print'!E700,PWP!$B:$B,0),MATCH("PWP Ability 2",PWP!$A$1:$Z$1,0))</f>
        <v>Strength +20%</v>
      </c>
      <c r="K701" s="249" t="str">
        <f>+INDEX(PWP!$A:$Z,MATCH('PWP-Print'!E700,PWP!$B:$B,0),MATCH("Locked PWP Ability 2",PWP!$A$1:$Z$1,0))</f>
        <v>(Water) Strength +20%</v>
      </c>
      <c r="M701" s="729"/>
      <c r="N701" s="8"/>
      <c r="O701" s="200" t="str">
        <f>+INDEX(PWP!$A:$Z,MATCH('PWP-Print'!O700,PWP!$B:$B,0),MATCH("ID",PWP!$A$1:$Z$1,0))</f>
        <v>210054_01</v>
      </c>
      <c r="P701" s="8"/>
      <c r="Q701" s="249" t="str">
        <f>+INDEX(PWP!$A:$Z,MATCH('PWP-Print'!O700,PWP!$B:$B,0),MATCH("Name",PWP!$A$1:$Z$1,0))</f>
        <v>Siren</v>
      </c>
      <c r="R701" s="8"/>
      <c r="S701" t="e" vm="14">
        <f>_xlfn.IMAGE("https://natalie.tf/wp-content/uploads/2023/10/DLV3_Icon_Ability_"&amp;INDEX('PWP-A'!$A$2:$C$31,MATCH('PWP-Print'!T701,'PWP-A'!$B$2:$B$31,0),1)&amp;".png")</f>
        <v>#VALUE!</v>
      </c>
      <c r="T701" s="229" t="str">
        <f>+INDEX(PWP!$A:$Z,MATCH('PWP-Print'!O700,PWP!$B:$B,0),MATCH("PWP Ability 2",PWP!$A$1:$Z$1,0))</f>
        <v>Skill Damage +40%</v>
      </c>
      <c r="U701" s="249" t="str">
        <f>+INDEX(PWP!$A:$Z,MATCH('PWP-Print'!O700,PWP!$B:$B,0),MATCH("Locked PWP Ability 2",PWP!$A$1:$Z$1,0))</f>
        <v>(Water) Skill Damage +40%</v>
      </c>
    </row>
    <row r="702" spans="1:21" ht="22.5" customHeight="1" x14ac:dyDescent="0.3">
      <c r="A702" s="244" t="str">
        <f>TEXT(A698+1,"000")</f>
        <v>331</v>
      </c>
      <c r="B702" s="244" t="str">
        <f>TEXT(B698+1,"000")</f>
        <v>344</v>
      </c>
      <c r="C702" s="729"/>
      <c r="E702" s="251" t="str">
        <f>+INDEX(PWP!$A:$Z,MATCH('PWP-Print'!E700,PWP!$B:$B,0),MATCH("Num",PWP!$A$1:$Z$1,0))</f>
        <v>D-026</v>
      </c>
      <c r="G702" s="249" t="str">
        <f>+INDEX(PWP!$A:$Z,MATCH('PWP-Print'!E700,PWP!$B:$B,0),MATCH("Element",PWP!$A$1:$Z$1,0))&amp;" "&amp;INDEX(PWP!$A:$Z,MATCH('PWP-Print'!E700,PWP!$B:$B,0),MATCH("Type",PWP!$A$1:$Z$1,0))</f>
        <v>Water Dragon</v>
      </c>
      <c r="K702" s="250"/>
      <c r="M702" s="729"/>
      <c r="O702" s="251" t="str">
        <f>+INDEX(PWP!$A:$Z,MATCH('PWP-Print'!O700,PWP!$B:$B,0),MATCH("Num",PWP!$A$1:$Z$1,0))</f>
        <v>D-039</v>
      </c>
      <c r="Q702" s="249" t="str">
        <f>+INDEX(PWP!$A:$Z,MATCH('PWP-Print'!O700,PWP!$B:$B,0),MATCH("Element",PWP!$A$1:$Z$1,0))&amp;" "&amp;INDEX(PWP!$A:$Z,MATCH('PWP-Print'!O700,PWP!$B:$B,0),MATCH("Type",PWP!$A$1:$Z$1,0))</f>
        <v>Water Dragon</v>
      </c>
      <c r="U702" s="250"/>
    </row>
    <row r="703" spans="1:21" ht="7.5" customHeight="1" x14ac:dyDescent="0.3">
      <c r="A703" s="244" t="s">
        <v>10763</v>
      </c>
      <c r="E703" s="250"/>
      <c r="G703" s="250"/>
      <c r="K703" s="250"/>
      <c r="O703" s="250"/>
      <c r="Q703" s="250"/>
      <c r="U703" s="250"/>
    </row>
    <row r="704" spans="1:21" ht="22.5" customHeight="1" x14ac:dyDescent="0.3">
      <c r="C704" s="729" t="e" vm="1370">
        <f>_xlfn.IMAGE("https://natalie.tf/wp-content/uploads/2023/10/DLV3_Icon_DRA_"&amp;E705&amp;".png")</f>
        <v>#VALUE!</v>
      </c>
      <c r="E704" s="249" t="str">
        <f>"PWP-"&amp;A706</f>
        <v>PWP-332</v>
      </c>
      <c r="G704" s="249" t="str">
        <f>+INDEX(PWP!$A:$Z,MATCH('PWP-Print'!E704,PWP!$B:$B,0),MATCH("Title",PWP!$A$1:$Z$1,0))</f>
        <v>Beachside Dawn Dragon</v>
      </c>
      <c r="I704" t="e" vm="601">
        <f>_xlfn.IMAGE("https://natalie.tf/wp-content/uploads/2023/10/DLV3_Icon_Ability_"&amp;INDEX('PWP-A'!$A$2:$C$31,MATCH('PWP-Print'!J704,'PWP-A'!$B$2:$B$31,0),1)&amp;".png")</f>
        <v>#VALUE!</v>
      </c>
      <c r="J704" s="229" t="str">
        <f>+INDEX(PWP!$A:$Z,MATCH('PWP-Print'!E704,PWP!$B:$B,0),MATCH("PWP Ability 1",PWP!$A$1:$Z$1,0))</f>
        <v>Dragon Haste +15%</v>
      </c>
      <c r="K704" s="249" t="str">
        <f>+INDEX(PWP!$A:$Z,MATCH('PWP-Print'!E704,PWP!$B:$B,0),MATCH("Locked PWP Ability 1",PWP!$A$1:$Z$1,0))</f>
        <v>(Water) Dragon Haste +15%</v>
      </c>
      <c r="M704" s="729" t="e" vm="1371">
        <f>_xlfn.IMAGE("https://natalie.tf/wp-content/uploads/2023/10/DLV3_Icon_DRA_"&amp;O705&amp;".png")</f>
        <v>#VALUE!</v>
      </c>
      <c r="O704" s="249" t="str">
        <f>"PWP-"&amp;B706</f>
        <v>PWP-345</v>
      </c>
      <c r="Q704" s="249" t="str">
        <f>+INDEX(PWP!$A:$Z,MATCH('PWP-Print'!O704,PWP!$B:$B,0),MATCH("Title",PWP!$A$1:$Z$1,0))</f>
        <v>Ruler of the Seas</v>
      </c>
      <c r="S704" t="e" vm="14">
        <f>_xlfn.IMAGE("https://natalie.tf/wp-content/uploads/2023/10/DLV3_Icon_Ability_"&amp;INDEX('PWP-A'!$A$2:$C$31,MATCH('PWP-Print'!T704,'PWP-A'!$B$2:$B$31,0),1)&amp;".png")</f>
        <v>#VALUE!</v>
      </c>
      <c r="T704" s="229" t="str">
        <f>+INDEX(PWP!$A:$Z,MATCH('PWP-Print'!O704,PWP!$B:$B,0),MATCH("PWP Ability 1",PWP!$A$1:$Z$1,0))</f>
        <v>Dragon Damage +18%</v>
      </c>
      <c r="U704" s="249" t="str">
        <f>+INDEX(PWP!$A:$Z,MATCH('PWP-Print'!O704,PWP!$B:$B,0),MATCH("Locked PWP Ability 1",PWP!$A$1:$Z$1,0))</f>
        <v>(Water) Dragon Damage +18%</v>
      </c>
    </row>
    <row r="705" spans="1:21" ht="22.5" customHeight="1" x14ac:dyDescent="0.3">
      <c r="C705" s="729"/>
      <c r="D705" s="8"/>
      <c r="E705" s="200" t="str">
        <f>+INDEX(PWP!$A:$Z,MATCH('PWP-Print'!E704,PWP!$B:$B,0),MATCH("ID",PWP!$A$1:$Z$1,0))</f>
        <v>210156_01</v>
      </c>
      <c r="F705" s="8"/>
      <c r="G705" s="249" t="str">
        <f>+INDEX(PWP!$A:$Z,MATCH('PWP-Print'!E704,PWP!$B:$B,0),MATCH("Name",PWP!$A$1:$Z$1,0))</f>
        <v>Summer Marishiten</v>
      </c>
      <c r="H705" s="8"/>
      <c r="I705" t="e" vm="14">
        <f>_xlfn.IMAGE("https://natalie.tf/wp-content/uploads/2023/10/DLV3_Icon_Ability_"&amp;INDEX('PWP-A'!$A$2:$C$31,MATCH('PWP-Print'!J705,'PWP-A'!$B$2:$B$31,0),1)&amp;".png")</f>
        <v>#VALUE!</v>
      </c>
      <c r="J705" s="229" t="str">
        <f>+INDEX(PWP!$A:$Z,MATCH('PWP-Print'!E704,PWP!$B:$B,0),MATCH("PWP Ability 2",PWP!$A$1:$Z$1,0))</f>
        <v>Skill Damage +40%</v>
      </c>
      <c r="K705" s="249" t="str">
        <f>+INDEX(PWP!$A:$Z,MATCH('PWP-Print'!E704,PWP!$B:$B,0),MATCH("Locked PWP Ability 2",PWP!$A$1:$Z$1,0))</f>
        <v>(Water) Skill Damage +40%</v>
      </c>
      <c r="M705" s="729"/>
      <c r="N705" s="8"/>
      <c r="O705" s="200" t="str">
        <f>+INDEX(PWP!$A:$Z,MATCH('PWP-Print'!O704,PWP!$B:$B,0),MATCH("ID",PWP!$A$1:$Z$1,0))</f>
        <v>210017_01</v>
      </c>
      <c r="P705" s="8"/>
      <c r="Q705" s="249" t="str">
        <f>+INDEX(PWP!$A:$Z,MATCH('PWP-Print'!O704,PWP!$B:$B,0),MATCH("Name",PWP!$A$1:$Z$1,0))</f>
        <v>Leviathan</v>
      </c>
      <c r="R705" s="8"/>
      <c r="S705" t="e" vm="326">
        <f>_xlfn.IMAGE("https://natalie.tf/wp-content/uploads/2023/10/DLV3_Icon_Ability_"&amp;INDEX('PWP-A'!$A$2:$C$31,MATCH('PWP-Print'!T705,'PWP-A'!$B$2:$B$31,0),1)&amp;".png")</f>
        <v>#VALUE!</v>
      </c>
      <c r="T705" s="229" t="str">
        <f>+INDEX(PWP!$A:$Z,MATCH('PWP-Print'!O704,PWP!$B:$B,0),MATCH("PWP Ability 2",PWP!$A$1:$Z$1,0))</f>
        <v>Critical Rate +15%</v>
      </c>
      <c r="U705" s="249" t="str">
        <f>+INDEX(PWP!$A:$Z,MATCH('PWP-Print'!O704,PWP!$B:$B,0),MATCH("Locked PWP Ability 2",PWP!$A$1:$Z$1,0))</f>
        <v>(Water) Critical Rate +15%</v>
      </c>
    </row>
    <row r="706" spans="1:21" ht="22.5" customHeight="1" x14ac:dyDescent="0.3">
      <c r="A706" s="244" t="str">
        <f>TEXT(A702+1,"000")</f>
        <v>332</v>
      </c>
      <c r="B706" s="244" t="str">
        <f>TEXT(B702+1,"000")</f>
        <v>345</v>
      </c>
      <c r="C706" s="729"/>
      <c r="E706" s="251" t="str">
        <f>+INDEX(PWP!$A:$Z,MATCH('PWP-Print'!E704,PWP!$B:$B,0),MATCH("Num",PWP!$A$1:$Z$1,0))</f>
        <v>D-027</v>
      </c>
      <c r="G706" s="249" t="str">
        <f>+INDEX(PWP!$A:$Z,MATCH('PWP-Print'!E704,PWP!$B:$B,0),MATCH("Element",PWP!$A$1:$Z$1,0))&amp;" "&amp;INDEX(PWP!$A:$Z,MATCH('PWP-Print'!E704,PWP!$B:$B,0),MATCH("Type",PWP!$A$1:$Z$1,0))</f>
        <v>Water Dragon</v>
      </c>
      <c r="K706" s="250"/>
      <c r="M706" s="729"/>
      <c r="O706" s="251" t="str">
        <f>+INDEX(PWP!$A:$Z,MATCH('PWP-Print'!O704,PWP!$B:$B,0),MATCH("Num",PWP!$A$1:$Z$1,0))</f>
        <v>D-040</v>
      </c>
      <c r="Q706" s="249" t="str">
        <f>+INDEX(PWP!$A:$Z,MATCH('PWP-Print'!O704,PWP!$B:$B,0),MATCH("Element",PWP!$A$1:$Z$1,0))&amp;" "&amp;INDEX(PWP!$A:$Z,MATCH('PWP-Print'!O704,PWP!$B:$B,0),MATCH("Type",PWP!$A$1:$Z$1,0))</f>
        <v>Water Dragon</v>
      </c>
      <c r="U706" s="250"/>
    </row>
    <row r="707" spans="1:21" ht="7.5" customHeight="1" x14ac:dyDescent="0.3">
      <c r="A707" s="244" t="s">
        <v>10763</v>
      </c>
      <c r="E707" s="250"/>
      <c r="G707" s="250"/>
      <c r="K707" s="250"/>
      <c r="O707" s="250"/>
      <c r="Q707" s="250"/>
      <c r="U707" s="250"/>
    </row>
    <row r="708" spans="1:21" ht="22.5" customHeight="1" x14ac:dyDescent="0.3">
      <c r="C708" s="729" t="e" vm="1372">
        <f>_xlfn.IMAGE("https://natalie.tf/wp-content/uploads/2023/10/DLV3_Icon_DRA_"&amp;E709&amp;".png")</f>
        <v>#VALUE!</v>
      </c>
      <c r="E708" s="249" t="str">
        <f>"PWP-"&amp;A710</f>
        <v>PWP-333</v>
      </c>
      <c r="G708" s="249" t="str">
        <f>+INDEX(PWP!$A:$Z,MATCH('PWP-Print'!E708,PWP!$B:$B,0),MATCH("Title",PWP!$A$1:$Z$1,0))</f>
        <v>Mama to All</v>
      </c>
      <c r="I708" t="e" vm="601">
        <f>_xlfn.IMAGE("https://natalie.tf/wp-content/uploads/2023/10/DLV3_Icon_Ability_"&amp;INDEX('PWP-A'!$A$2:$C$31,MATCH('PWP-Print'!J708,'PWP-A'!$B$2:$B$31,0),1)&amp;".png")</f>
        <v>#VALUE!</v>
      </c>
      <c r="J708" s="229" t="str">
        <f>+INDEX(PWP!$A:$Z,MATCH('PWP-Print'!E708,PWP!$B:$B,0),MATCH("PWP Ability 1",PWP!$A$1:$Z$1,0))</f>
        <v>Dragon Haste +15%</v>
      </c>
      <c r="K708" s="249" t="str">
        <f>+INDEX(PWP!$A:$Z,MATCH('PWP-Print'!E708,PWP!$B:$B,0),MATCH("Locked PWP Ability 1",PWP!$A$1:$Z$1,0))</f>
        <v>(Water) Dragon Haste +15%</v>
      </c>
      <c r="M708" s="729" t="e" vm="1373">
        <f>_xlfn.IMAGE("https://natalie.tf/wp-content/uploads/2023/10/DLV3_Icon_DRA_"&amp;O709&amp;".png")</f>
        <v>#VALUE!</v>
      </c>
      <c r="O708" s="249" t="str">
        <f>"PWP-"&amp;B710</f>
        <v>PWP-346</v>
      </c>
      <c r="Q708" s="249" t="str">
        <f>+INDEX(PWP!$A:$Z,MATCH('PWP-Print'!O708,PWP!$B:$B,0),MATCH("Title",PWP!$A$1:$Z$1,0))</f>
        <v>Compassionate Soul</v>
      </c>
      <c r="S708" t="e" vm="382">
        <f>_xlfn.IMAGE("https://natalie.tf/wp-content/uploads/2023/10/DLV3_Icon_Ability_"&amp;INDEX('PWP-A'!$A$2:$C$31,MATCH('PWP-Print'!T708,'PWP-A'!$B$2:$B$31,0),1)&amp;".png")</f>
        <v>#VALUE!</v>
      </c>
      <c r="T708" s="229" t="str">
        <f>+INDEX(PWP!$A:$Z,MATCH('PWP-Print'!O708,PWP!$B:$B,0),MATCH("PWP Ability 1",PWP!$A$1:$Z$1,0))</f>
        <v>Dragon Time +20%</v>
      </c>
      <c r="U708" s="249" t="str">
        <f>+INDEX(PWP!$A:$Z,MATCH('PWP-Print'!O708,PWP!$B:$B,0),MATCH("Locked PWP Ability 1",PWP!$A$1:$Z$1,0))</f>
        <v>(Water) Dragon Time +20%</v>
      </c>
    </row>
    <row r="709" spans="1:21" ht="22.5" customHeight="1" x14ac:dyDescent="0.3">
      <c r="C709" s="729"/>
      <c r="D709" s="8"/>
      <c r="E709" s="200" t="str">
        <f>+INDEX(PWP!$A:$Z,MATCH('PWP-Print'!E708,PWP!$B:$B,0),MATCH("ID",PWP!$A$1:$Z$1,0))</f>
        <v>210146_01</v>
      </c>
      <c r="F709" s="8"/>
      <c r="G709" s="249" t="str">
        <f>+INDEX(PWP!$A:$Z,MATCH('PWP-Print'!E708,PWP!$B:$B,0),MATCH("Name",PWP!$A$1:$Z$1,0))</f>
        <v>Mini Mercs</v>
      </c>
      <c r="H709" s="8"/>
      <c r="I709" t="e" vm="411">
        <f>_xlfn.IMAGE("https://natalie.tf/wp-content/uploads/2023/10/DLV3_Icon_Ability_"&amp;INDEX('PWP-A'!$A$2:$C$31,MATCH('PWP-Print'!J709,'PWP-A'!$B$2:$B$31,0),1)&amp;".png")</f>
        <v>#VALUE!</v>
      </c>
      <c r="J709" s="229" t="str">
        <f>+INDEX(PWP!$A:$Z,MATCH('PWP-Print'!E708,PWP!$B:$B,0),MATCH("PWP Ability 2",PWP!$A$1:$Z$1,0))</f>
        <v>Skill Prep +50%</v>
      </c>
      <c r="K709" s="249" t="str">
        <f>+INDEX(PWP!$A:$Z,MATCH('PWP-Print'!E708,PWP!$B:$B,0),MATCH("Locked PWP Ability 2",PWP!$A$1:$Z$1,0))</f>
        <v>(Water) Skill Prep +50%</v>
      </c>
      <c r="M709" s="729"/>
      <c r="N709" s="8"/>
      <c r="O709" s="200" t="str">
        <f>+INDEX(PWP!$A:$Z,MATCH('PWP-Print'!O708,PWP!$B:$B,0),MATCH("ID",PWP!$A$1:$Z$1,0))</f>
        <v>210040_01</v>
      </c>
      <c r="P709" s="8"/>
      <c r="Q709" s="249" t="str">
        <f>+INDEX(PWP!$A:$Z,MATCH('PWP-Print'!O708,PWP!$B:$B,0),MATCH("Name",PWP!$A$1:$Z$1,0))</f>
        <v>High Mercury</v>
      </c>
      <c r="R709" s="8"/>
      <c r="S709" t="e" vm="426">
        <f>_xlfn.IMAGE("https://natalie.tf/wp-content/uploads/2023/10/DLV3_Icon_Ability_"&amp;INDEX('PWP-A'!$A$2:$C$31,MATCH('PWP-Print'!T709,'PWP-A'!$B$2:$B$31,0),1)&amp;".png")</f>
        <v>#VALUE!</v>
      </c>
      <c r="T709" s="229" t="str">
        <f>+INDEX(PWP!$A:$Z,MATCH('PWP-Print'!O708,PWP!$B:$B,0),MATCH("PWP Ability 2",PWP!$A$1:$Z$1,0))</f>
        <v>Defense +20%</v>
      </c>
      <c r="U709" s="249" t="str">
        <f>+INDEX(PWP!$A:$Z,MATCH('PWP-Print'!O708,PWP!$B:$B,0),MATCH("Locked PWP Ability 2",PWP!$A$1:$Z$1,0))</f>
        <v>(Water) Defense +20%</v>
      </c>
    </row>
    <row r="710" spans="1:21" ht="22.5" customHeight="1" x14ac:dyDescent="0.3">
      <c r="A710" s="244" t="str">
        <f>TEXT(A706+1,"000")</f>
        <v>333</v>
      </c>
      <c r="B710" s="244" t="str">
        <f>TEXT(B706+1,"000")</f>
        <v>346</v>
      </c>
      <c r="C710" s="729"/>
      <c r="E710" s="251" t="str">
        <f>+INDEX(PWP!$A:$Z,MATCH('PWP-Print'!E708,PWP!$B:$B,0),MATCH("Num",PWP!$A$1:$Z$1,0))</f>
        <v>D-028</v>
      </c>
      <c r="G710" s="249" t="str">
        <f>+INDEX(PWP!$A:$Z,MATCH('PWP-Print'!E708,PWP!$B:$B,0),MATCH("Element",PWP!$A$1:$Z$1,0))&amp;" "&amp;INDEX(PWP!$A:$Z,MATCH('PWP-Print'!E708,PWP!$B:$B,0),MATCH("Type",PWP!$A$1:$Z$1,0))</f>
        <v>Water Dragon</v>
      </c>
      <c r="K710" s="250"/>
      <c r="M710" s="729"/>
      <c r="O710" s="251" t="str">
        <f>+INDEX(PWP!$A:$Z,MATCH('PWP-Print'!O708,PWP!$B:$B,0),MATCH("Num",PWP!$A$1:$Z$1,0))</f>
        <v>D-041</v>
      </c>
      <c r="Q710" s="249" t="str">
        <f>+INDEX(PWP!$A:$Z,MATCH('PWP-Print'!O708,PWP!$B:$B,0),MATCH("Element",PWP!$A$1:$Z$1,0))&amp;" "&amp;INDEX(PWP!$A:$Z,MATCH('PWP-Print'!O708,PWP!$B:$B,0),MATCH("Type",PWP!$A$1:$Z$1,0))</f>
        <v>Water Dragon</v>
      </c>
      <c r="U710" s="250"/>
    </row>
    <row r="711" spans="1:21" ht="7.5" customHeight="1" x14ac:dyDescent="0.3">
      <c r="A711" s="244" t="s">
        <v>10763</v>
      </c>
      <c r="E711" s="250"/>
      <c r="G711" s="250"/>
      <c r="K711" s="250"/>
      <c r="O711" s="250"/>
      <c r="Q711" s="250"/>
      <c r="U711" s="250"/>
    </row>
    <row r="712" spans="1:21" ht="22.5" customHeight="1" x14ac:dyDescent="0.3">
      <c r="C712" s="729" t="e" vm="1374">
        <f>_xlfn.IMAGE("https://natalie.tf/wp-content/uploads/2023/10/DLV3_Icon_DRA_"&amp;E713&amp;".png")</f>
        <v>#VALUE!</v>
      </c>
      <c r="E712" s="249" t="str">
        <f>"PWP-"&amp;A714</f>
        <v>PWP-334</v>
      </c>
      <c r="G712" s="249" t="str">
        <f>+INDEX(PWP!$A:$Z,MATCH('PWP-Print'!E712,PWP!$B:$B,0),MATCH("Title",PWP!$A$1:$Z$1,0))</f>
        <v>Blessed Angel</v>
      </c>
      <c r="I712" t="e" vm="14">
        <f>_xlfn.IMAGE("https://natalie.tf/wp-content/uploads/2023/10/DLV3_Icon_Ability_"&amp;INDEX('PWP-A'!$A$2:$C$31,MATCH('PWP-Print'!J712,'PWP-A'!$B$2:$B$31,0),1)&amp;".png")</f>
        <v>#VALUE!</v>
      </c>
      <c r="J712" s="229" t="str">
        <f>+INDEX(PWP!$A:$Z,MATCH('PWP-Print'!E712,PWP!$B:$B,0),MATCH("PWP Ability 1",PWP!$A$1:$Z$1,0))</f>
        <v>Dragon Damage +18%</v>
      </c>
      <c r="K712" s="249" t="str">
        <f>+INDEX(PWP!$A:$Z,MATCH('PWP-Print'!E712,PWP!$B:$B,0),MATCH("Locked PWP Ability 1",PWP!$A$1:$Z$1,0))</f>
        <v>(Water) Dragon Damage +18%</v>
      </c>
      <c r="M712" s="729" t="e" vm="1375">
        <f>_xlfn.IMAGE("https://natalie.tf/wp-content/uploads/2023/10/DLV3_Icon_DRA_"&amp;O713&amp;".png")</f>
        <v>#VALUE!</v>
      </c>
      <c r="O712" s="249" t="str">
        <f>"PWP-"&amp;B714</f>
        <v>PWP-347</v>
      </c>
      <c r="Q712" s="249" t="str">
        <f>+INDEX(PWP!$A:$Z,MATCH('PWP-Print'!O712,PWP!$B:$B,0),MATCH("Title",PWP!$A$1:$Z$1,0))</f>
        <v>Ocean Voyager</v>
      </c>
      <c r="S712" t="e" vm="14">
        <f>_xlfn.IMAGE("https://natalie.tf/wp-content/uploads/2023/10/DLV3_Icon_Ability_"&amp;INDEX('PWP-A'!$A$2:$C$31,MATCH('PWP-Print'!T712,'PWP-A'!$B$2:$B$31,0),1)&amp;".png")</f>
        <v>#VALUE!</v>
      </c>
      <c r="T712" s="229" t="str">
        <f>+INDEX(PWP!$A:$Z,MATCH('PWP-Print'!O712,PWP!$B:$B,0),MATCH("PWP Ability 1",PWP!$A$1:$Z$1,0))</f>
        <v>Dragon Damage +18%</v>
      </c>
      <c r="U712" s="249" t="str">
        <f>+INDEX(PWP!$A:$Z,MATCH('PWP-Print'!O712,PWP!$B:$B,0),MATCH("Locked PWP Ability 1",PWP!$A$1:$Z$1,0))</f>
        <v>(Water) Dragon Damage +18%</v>
      </c>
    </row>
    <row r="713" spans="1:21" ht="22.5" customHeight="1" x14ac:dyDescent="0.3">
      <c r="C713" s="729"/>
      <c r="D713" s="8"/>
      <c r="E713" s="200" t="str">
        <f>+INDEX(PWP!$A:$Z,MATCH('PWP-Print'!E712,PWP!$B:$B,0),MATCH("ID",PWP!$A$1:$Z$1,0))</f>
        <v>210145_01</v>
      </c>
      <c r="F713" s="8"/>
      <c r="G713" s="249" t="str">
        <f>+INDEX(PWP!$A:$Z,MATCH('PWP-Print'!E712,PWP!$B:$B,0),MATCH("Name",PWP!$A$1:$Z$1,0))</f>
        <v>Gabriel</v>
      </c>
      <c r="H713" s="8"/>
      <c r="I713" t="e" vm="696">
        <f>_xlfn.IMAGE("https://natalie.tf/wp-content/uploads/2023/10/DLV3_Icon_Ability_"&amp;INDEX('PWP-A'!$A$2:$C$31,MATCH('PWP-Print'!J713,'PWP-A'!$B$2:$B$31,0),1)&amp;".png")</f>
        <v>#VALUE!</v>
      </c>
      <c r="J713" s="229" t="str">
        <f>+INDEX(PWP!$A:$Z,MATCH('PWP-Print'!E712,PWP!$B:$B,0),MATCH("PWP Ability 2",PWP!$A$1:$Z$1,0))</f>
        <v>Elemental Res +15%</v>
      </c>
      <c r="K713" s="249" t="str">
        <f>+INDEX(PWP!$A:$Z,MATCH('PWP-Print'!E712,PWP!$B:$B,0),MATCH("Locked PWP Ability 2",PWP!$A$1:$Z$1,0))</f>
        <v>(Water) Elemental Res +15%</v>
      </c>
      <c r="M713" s="729"/>
      <c r="N713" s="8"/>
      <c r="O713" s="200" t="str">
        <f>+INDEX(PWP!$A:$Z,MATCH('PWP-Print'!O712,PWP!$B:$B,0),MATCH("ID",PWP!$A$1:$Z$1,0))</f>
        <v>210025_01</v>
      </c>
      <c r="P713" s="8"/>
      <c r="Q713" s="249" t="str">
        <f>+INDEX(PWP!$A:$Z,MATCH('PWP-Print'!O712,PWP!$B:$B,0),MATCH("Name",PWP!$A$1:$Z$1,0))</f>
        <v>Poseidon</v>
      </c>
      <c r="R713" s="8"/>
      <c r="S713" t="e" vm="496">
        <f>_xlfn.IMAGE("https://natalie.tf/wp-content/uploads/2023/10/DLV3_Icon_Ability_"&amp;INDEX('PWP-A'!$A$2:$C$31,MATCH('PWP-Print'!T713,'PWP-A'!$B$2:$B$31,0),1)&amp;".png")</f>
        <v>#VALUE!</v>
      </c>
      <c r="T713" s="229" t="str">
        <f>+INDEX(PWP!$A:$Z,MATCH('PWP-Print'!O712,PWP!$B:$B,0),MATCH("PWP Ability 2",PWP!$A$1:$Z$1,0))</f>
        <v>HP +15%</v>
      </c>
      <c r="U713" s="249" t="str">
        <f>+INDEX(PWP!$A:$Z,MATCH('PWP-Print'!O712,PWP!$B:$B,0),MATCH("Locked PWP Ability 2",PWP!$A$1:$Z$1,0))</f>
        <v>(Water) HP +15%</v>
      </c>
    </row>
    <row r="714" spans="1:21" ht="22.5" customHeight="1" x14ac:dyDescent="0.3">
      <c r="A714" s="244" t="str">
        <f>TEXT(A710+1,"000")</f>
        <v>334</v>
      </c>
      <c r="B714" s="244" t="str">
        <f>TEXT(B710+1,"000")</f>
        <v>347</v>
      </c>
      <c r="C714" s="729"/>
      <c r="E714" s="251" t="str">
        <f>+INDEX(PWP!$A:$Z,MATCH('PWP-Print'!E712,PWP!$B:$B,0),MATCH("Num",PWP!$A$1:$Z$1,0))</f>
        <v>D-029</v>
      </c>
      <c r="G714" s="249" t="str">
        <f>+INDEX(PWP!$A:$Z,MATCH('PWP-Print'!E712,PWP!$B:$B,0),MATCH("Element",PWP!$A$1:$Z$1,0))&amp;" "&amp;INDEX(PWP!$A:$Z,MATCH('PWP-Print'!E712,PWP!$B:$B,0),MATCH("Type",PWP!$A$1:$Z$1,0))</f>
        <v>Water Dragon</v>
      </c>
      <c r="K714" s="250"/>
      <c r="M714" s="729"/>
      <c r="O714" s="251" t="str">
        <f>+INDEX(PWP!$A:$Z,MATCH('PWP-Print'!O712,PWP!$B:$B,0),MATCH("Num",PWP!$A$1:$Z$1,0))</f>
        <v>D-042</v>
      </c>
      <c r="Q714" s="249" t="str">
        <f>+INDEX(PWP!$A:$Z,MATCH('PWP-Print'!O712,PWP!$B:$B,0),MATCH("Element",PWP!$A$1:$Z$1,0))&amp;" "&amp;INDEX(PWP!$A:$Z,MATCH('PWP-Print'!O712,PWP!$B:$B,0),MATCH("Type",PWP!$A$1:$Z$1,0))</f>
        <v>Water Dragon</v>
      </c>
      <c r="U714" s="250"/>
    </row>
    <row r="715" spans="1:21" ht="7.5" customHeight="1" x14ac:dyDescent="0.3">
      <c r="A715" s="244" t="s">
        <v>10763</v>
      </c>
      <c r="E715" s="250"/>
      <c r="G715" s="250"/>
      <c r="K715" s="250"/>
      <c r="O715" s="250"/>
      <c r="Q715" s="250"/>
      <c r="U715" s="250"/>
    </row>
    <row r="716" spans="1:21" ht="22.5" customHeight="1" x14ac:dyDescent="0.3">
      <c r="C716" s="729" t="e" vm="1376">
        <f>_xlfn.IMAGE("https://natalie.tf/wp-content/uploads/2023/10/DLV3_Icon_DRA_"&amp;E717&amp;".png")</f>
        <v>#VALUE!</v>
      </c>
      <c r="E716" s="249" t="str">
        <f>"PWP-"&amp;A718</f>
        <v>PWP-335</v>
      </c>
      <c r="G716" s="249" t="str">
        <f>+INDEX(PWP!$A:$Z,MATCH('PWP-Print'!E716,PWP!$B:$B,0),MATCH("Title",PWP!$A$1:$Z$1,0))</f>
        <v>Courageous Seafarer</v>
      </c>
      <c r="I716" t="e" vm="382">
        <f>_xlfn.IMAGE("https://natalie.tf/wp-content/uploads/2023/10/DLV3_Icon_Ability_"&amp;INDEX('PWP-A'!$A$2:$C$31,MATCH('PWP-Print'!J716,'PWP-A'!$B$2:$B$31,0),1)&amp;".png")</f>
        <v>#VALUE!</v>
      </c>
      <c r="J716" s="229" t="str">
        <f>+INDEX(PWP!$A:$Z,MATCH('PWP-Print'!E716,PWP!$B:$B,0),MATCH("PWP Ability 1",PWP!$A$1:$Z$1,0))</f>
        <v>Dragon Time +20%</v>
      </c>
      <c r="K716" s="249" t="str">
        <f>+INDEX(PWP!$A:$Z,MATCH('PWP-Print'!E716,PWP!$B:$B,0),MATCH("Locked PWP Ability 1",PWP!$A$1:$Z$1,0))</f>
        <v>(Water) Dragon Time +20%</v>
      </c>
      <c r="M716" s="729" t="e" vm="1377">
        <f>_xlfn.IMAGE("https://natalie.tf/wp-content/uploads/2023/10/DLV3_Icon_DRA_"&amp;O717&amp;".png")</f>
        <v>#VALUE!</v>
      </c>
      <c r="O716" s="249" t="str">
        <f>"PWP-"&amp;B718</f>
        <v>PWP-348</v>
      </c>
      <c r="Q716" s="249" t="str">
        <f>+INDEX(PWP!$A:$Z,MATCH('PWP-Print'!O716,PWP!$B:$B,0),MATCH("Title",PWP!$A$1:$Z$1,0))</f>
        <v>Ephemeral One</v>
      </c>
      <c r="S716" t="e" vm="14">
        <f>_xlfn.IMAGE("https://natalie.tf/wp-content/uploads/2023/10/DLV3_Icon_Ability_"&amp;INDEX('PWP-A'!$A$2:$C$31,MATCH('PWP-Print'!T716,'PWP-A'!$B$2:$B$31,0),1)&amp;".png")</f>
        <v>#VALUE!</v>
      </c>
      <c r="T716" s="229" t="str">
        <f>+INDEX(PWP!$A:$Z,MATCH('PWP-Print'!O716,PWP!$B:$B,0),MATCH("PWP Ability 1",PWP!$A$1:$Z$1,0))</f>
        <v>Dragon Damage +18%</v>
      </c>
      <c r="U716" s="249" t="str">
        <f>+INDEX(PWP!$A:$Z,MATCH('PWP-Print'!O716,PWP!$B:$B,0),MATCH("Locked PWP Ability 1",PWP!$A$1:$Z$1,0))</f>
        <v>(Water) Dragon Damage +18%</v>
      </c>
    </row>
    <row r="717" spans="1:21" ht="22.5" customHeight="1" x14ac:dyDescent="0.3">
      <c r="C717" s="729"/>
      <c r="D717" s="8"/>
      <c r="E717" s="200" t="str">
        <f>+INDEX(PWP!$A:$Z,MATCH('PWP-Print'!E716,PWP!$B:$B,0),MATCH("ID",PWP!$A$1:$Z$1,0))</f>
        <v>210134_01</v>
      </c>
      <c r="F717" s="8"/>
      <c r="G717" s="249" t="str">
        <f>+INDEX(PWP!$A:$Z,MATCH('PWP-Print'!E716,PWP!$B:$B,0),MATCH("Name",PWP!$A$1:$Z$1,0))</f>
        <v>Gala Reborn Poseidon</v>
      </c>
      <c r="H717" s="8"/>
      <c r="I717" t="e" vm="326">
        <f>_xlfn.IMAGE("https://natalie.tf/wp-content/uploads/2023/10/DLV3_Icon_Ability_"&amp;INDEX('PWP-A'!$A$2:$C$31,MATCH('PWP-Print'!J717,'PWP-A'!$B$2:$B$31,0),1)&amp;".png")</f>
        <v>#VALUE!</v>
      </c>
      <c r="J717" s="229" t="str">
        <f>+INDEX(PWP!$A:$Z,MATCH('PWP-Print'!E716,PWP!$B:$B,0),MATCH("PWP Ability 2",PWP!$A$1:$Z$1,0))</f>
        <v>Critical Rate +15%</v>
      </c>
      <c r="K717" s="249" t="str">
        <f>+INDEX(PWP!$A:$Z,MATCH('PWP-Print'!E716,PWP!$B:$B,0),MATCH("Locked PWP Ability 2",PWP!$A$1:$Z$1,0))</f>
        <v>(Water) Critical Rate +15%</v>
      </c>
      <c r="M717" s="729"/>
      <c r="N717" s="8"/>
      <c r="O717" s="200" t="str">
        <f>+INDEX(PWP!$A:$Z,MATCH('PWP-Print'!O716,PWP!$B:$B,0),MATCH("ID",PWP!$A$1:$Z$1,0))</f>
        <v>210058_01</v>
      </c>
      <c r="P717" s="8"/>
      <c r="Q717" s="249" t="str">
        <f>+INDEX(PWP!$A:$Z,MATCH('PWP-Print'!O716,PWP!$B:$B,0),MATCH("Name",PWP!$A$1:$Z$1,0))</f>
        <v>Vodyanoy</v>
      </c>
      <c r="R717" s="8"/>
      <c r="S717" t="e" vm="330">
        <f>_xlfn.IMAGE("https://natalie.tf/wp-content/uploads/2023/10/DLV3_Icon_Ability_"&amp;INDEX('PWP-A'!$A$2:$C$31,MATCH('PWP-Print'!T717,'PWP-A'!$B$2:$B$31,0),1)&amp;".png")</f>
        <v>#VALUE!</v>
      </c>
      <c r="T717" s="229" t="str">
        <f>+INDEX(PWP!$A:$Z,MATCH('PWP-Print'!O716,PWP!$B:$B,0),MATCH("PWP Ability 2",PWP!$A$1:$Z$1,0))</f>
        <v>Skill Haste +10%</v>
      </c>
      <c r="U717" s="249" t="str">
        <f>+INDEX(PWP!$A:$Z,MATCH('PWP-Print'!O716,PWP!$B:$B,0),MATCH("Locked PWP Ability 2",PWP!$A$1:$Z$1,0))</f>
        <v>(Water) Skill Haste +10%</v>
      </c>
    </row>
    <row r="718" spans="1:21" ht="22.5" customHeight="1" x14ac:dyDescent="0.3">
      <c r="A718" s="244" t="str">
        <f>TEXT(A714+1,"000")</f>
        <v>335</v>
      </c>
      <c r="B718" s="244" t="str">
        <f>TEXT(B714+1,"000")</f>
        <v>348</v>
      </c>
      <c r="C718" s="729"/>
      <c r="E718" s="251" t="str">
        <f>+INDEX(PWP!$A:$Z,MATCH('PWP-Print'!E716,PWP!$B:$B,0),MATCH("Num",PWP!$A$1:$Z$1,0))</f>
        <v>D-030</v>
      </c>
      <c r="G718" s="249" t="str">
        <f>+INDEX(PWP!$A:$Z,MATCH('PWP-Print'!E716,PWP!$B:$B,0),MATCH("Element",PWP!$A$1:$Z$1,0))&amp;" "&amp;INDEX(PWP!$A:$Z,MATCH('PWP-Print'!E716,PWP!$B:$B,0),MATCH("Type",PWP!$A$1:$Z$1,0))</f>
        <v>Water Dragon</v>
      </c>
      <c r="K718" s="250"/>
      <c r="M718" s="729"/>
      <c r="O718" s="251" t="str">
        <f>+INDEX(PWP!$A:$Z,MATCH('PWP-Print'!O716,PWP!$B:$B,0),MATCH("Num",PWP!$A$1:$Z$1,0))</f>
        <v>D-043</v>
      </c>
      <c r="Q718" s="249" t="str">
        <f>+INDEX(PWP!$A:$Z,MATCH('PWP-Print'!O716,PWP!$B:$B,0),MATCH("Element",PWP!$A$1:$Z$1,0))&amp;" "&amp;INDEX(PWP!$A:$Z,MATCH('PWP-Print'!O716,PWP!$B:$B,0),MATCH("Type",PWP!$A$1:$Z$1,0))</f>
        <v>Water Dragon</v>
      </c>
      <c r="U718" s="250"/>
    </row>
    <row r="719" spans="1:21" ht="7.5" customHeight="1" x14ac:dyDescent="0.3">
      <c r="A719" s="244" t="s">
        <v>10763</v>
      </c>
      <c r="E719" s="250"/>
      <c r="G719" s="250"/>
      <c r="K719" s="250"/>
      <c r="O719" s="250"/>
      <c r="Q719" s="250"/>
      <c r="U719" s="250"/>
    </row>
    <row r="720" spans="1:21" ht="22.5" customHeight="1" x14ac:dyDescent="0.3">
      <c r="C720" s="729" t="e" vm="1378">
        <f>_xlfn.IMAGE("https://natalie.tf/wp-content/uploads/2023/10/DLV3_Icon_DRA_"&amp;E721&amp;".png")</f>
        <v>#VALUE!</v>
      </c>
      <c r="E720" s="249" t="str">
        <f>"PWP-"&amp;A722</f>
        <v>PWP-336</v>
      </c>
      <c r="G720" s="249" t="str">
        <f>+INDEX(PWP!$A:$Z,MATCH('PWP-Print'!E720,PWP!$B:$B,0),MATCH("Title",PWP!$A$1:$Z$1,0))</f>
        <v>Mischievous Guardian</v>
      </c>
      <c r="I720" t="e" vm="601">
        <f>_xlfn.IMAGE("https://natalie.tf/wp-content/uploads/2023/10/DLV3_Icon_Ability_"&amp;INDEX('PWP-A'!$A$2:$C$31,MATCH('PWP-Print'!J720,'PWP-A'!$B$2:$B$31,0),1)&amp;".png")</f>
        <v>#VALUE!</v>
      </c>
      <c r="J720" s="229" t="str">
        <f>+INDEX(PWP!$A:$Z,MATCH('PWP-Print'!E720,PWP!$B:$B,0),MATCH("PWP Ability 1",PWP!$A$1:$Z$1,0))</f>
        <v>Dragon Haste +15%</v>
      </c>
      <c r="K720" s="249" t="str">
        <f>+INDEX(PWP!$A:$Z,MATCH('PWP-Print'!E720,PWP!$B:$B,0),MATCH("Locked PWP Ability 1",PWP!$A$1:$Z$1,0))</f>
        <v>(Water) Dragon Haste +15%</v>
      </c>
      <c r="M720" s="729" t="e" vm="1379">
        <f>_xlfn.IMAGE("https://natalie.tf/wp-content/uploads/2023/10/DLV3_Icon_DRA_"&amp;O721&amp;".png")</f>
        <v>#VALUE!</v>
      </c>
      <c r="O720" s="249" t="str">
        <f>"PWP-"&amp;B722</f>
        <v>PWP-349</v>
      </c>
      <c r="Q720" s="249" t="str">
        <f>+INDEX(PWP!$A:$Z,MATCH('PWP-Print'!O720,PWP!$B:$B,0),MATCH("Title",PWP!$A$1:$Z$1,0))</f>
        <v>Placid Guide</v>
      </c>
      <c r="S720" t="e" vm="14">
        <f>_xlfn.IMAGE("https://natalie.tf/wp-content/uploads/2023/10/DLV3_Icon_Ability_"&amp;INDEX('PWP-A'!$A$2:$C$31,MATCH('PWP-Print'!T720,'PWP-A'!$B$2:$B$31,0),1)&amp;".png")</f>
        <v>#VALUE!</v>
      </c>
      <c r="T720" s="229" t="str">
        <f>+INDEX(PWP!$A:$Z,MATCH('PWP-Print'!O720,PWP!$B:$B,0),MATCH("PWP Ability 1",PWP!$A$1:$Z$1,0))</f>
        <v>Dragon Damage +18%</v>
      </c>
      <c r="U720" s="249" t="str">
        <f>+INDEX(PWP!$A:$Z,MATCH('PWP-Print'!O720,PWP!$B:$B,0),MATCH("Locked PWP Ability 1",PWP!$A$1:$Z$1,0))</f>
        <v>(Water) Dragon Damage +18%</v>
      </c>
    </row>
    <row r="721" spans="1:21" ht="22.5" customHeight="1" x14ac:dyDescent="0.3">
      <c r="C721" s="729"/>
      <c r="D721" s="8"/>
      <c r="E721" s="200" t="str">
        <f>+INDEX(PWP!$A:$Z,MATCH('PWP-Print'!E720,PWP!$B:$B,0),MATCH("ID",PWP!$A$1:$Z$1,0))</f>
        <v>210130_01</v>
      </c>
      <c r="F721" s="8"/>
      <c r="G721" s="249" t="str">
        <f>+INDEX(PWP!$A:$Z,MATCH('PWP-Print'!E720,PWP!$B:$B,0),MATCH("Name",PWP!$A$1:$Z$1,0))</f>
        <v>Styx</v>
      </c>
      <c r="H721" s="8"/>
      <c r="I721" t="e" vm="414">
        <f>_xlfn.IMAGE("https://natalie.tf/wp-content/uploads/2023/10/DLV3_Icon_Ability_"&amp;INDEX('PWP-A'!$A$2:$C$31,MATCH('PWP-Print'!J721,'PWP-A'!$B$2:$B$31,0),1)&amp;".png")</f>
        <v>#VALUE!</v>
      </c>
      <c r="J721" s="229" t="str">
        <f>+INDEX(PWP!$A:$Z,MATCH('PWP-Print'!E720,PWP!$B:$B,0),MATCH("PWP Ability 2",PWP!$A$1:$Z$1,0))</f>
        <v>Critical Damage +25%</v>
      </c>
      <c r="K721" s="249" t="str">
        <f>+INDEX(PWP!$A:$Z,MATCH('PWP-Print'!E720,PWP!$B:$B,0),MATCH("Locked PWP Ability 2",PWP!$A$1:$Z$1,0))</f>
        <v>(Water) Critical Damage +25%</v>
      </c>
      <c r="M721" s="729"/>
      <c r="N721" s="8"/>
      <c r="O721" s="200" t="str">
        <f>+INDEX(PWP!$A:$Z,MATCH('PWP-Print'!O720,PWP!$B:$B,0),MATCH("ID",PWP!$A$1:$Z$1,0))</f>
        <v>210008_01</v>
      </c>
      <c r="P721" s="8"/>
      <c r="Q721" s="249" t="str">
        <f>+INDEX(PWP!$A:$Z,MATCH('PWP-Print'!O720,PWP!$B:$B,0),MATCH("Name",PWP!$A$1:$Z$1,0))</f>
        <v>Poliʻahu</v>
      </c>
      <c r="R721" s="8"/>
      <c r="S721" t="e" vm="426">
        <f>_xlfn.IMAGE("https://natalie.tf/wp-content/uploads/2023/10/DLV3_Icon_Ability_"&amp;INDEX('PWP-A'!$A$2:$C$31,MATCH('PWP-Print'!T721,'PWP-A'!$B$2:$B$31,0),1)&amp;".png")</f>
        <v>#VALUE!</v>
      </c>
      <c r="T721" s="229" t="str">
        <f>+INDEX(PWP!$A:$Z,MATCH('PWP-Print'!O720,PWP!$B:$B,0),MATCH("PWP Ability 2",PWP!$A$1:$Z$1,0))</f>
        <v>Defense +20%</v>
      </c>
      <c r="U721" s="249" t="str">
        <f>+INDEX(PWP!$A:$Z,MATCH('PWP-Print'!O720,PWP!$B:$B,0),MATCH("Locked PWP Ability 2",PWP!$A$1:$Z$1,0))</f>
        <v>(Water) Defense +20%</v>
      </c>
    </row>
    <row r="722" spans="1:21" ht="22.5" customHeight="1" x14ac:dyDescent="0.3">
      <c r="A722" s="244" t="str">
        <f>TEXT(A718+1,"000")</f>
        <v>336</v>
      </c>
      <c r="B722" s="244" t="str">
        <f>TEXT(B718+1,"000")</f>
        <v>349</v>
      </c>
      <c r="C722" s="729"/>
      <c r="E722" s="251" t="str">
        <f>+INDEX(PWP!$A:$Z,MATCH('PWP-Print'!E720,PWP!$B:$B,0),MATCH("Num",PWP!$A$1:$Z$1,0))</f>
        <v>D-031</v>
      </c>
      <c r="G722" s="249" t="str">
        <f>+INDEX(PWP!$A:$Z,MATCH('PWP-Print'!E720,PWP!$B:$B,0),MATCH("Element",PWP!$A$1:$Z$1,0))&amp;" "&amp;INDEX(PWP!$A:$Z,MATCH('PWP-Print'!E720,PWP!$B:$B,0),MATCH("Type",PWP!$A$1:$Z$1,0))</f>
        <v>Water Dragon</v>
      </c>
      <c r="K722" s="250"/>
      <c r="M722" s="729"/>
      <c r="O722" s="251" t="str">
        <f>+INDEX(PWP!$A:$Z,MATCH('PWP-Print'!O720,PWP!$B:$B,0),MATCH("Num",PWP!$A$1:$Z$1,0))</f>
        <v>D-044</v>
      </c>
      <c r="Q722" s="249" t="str">
        <f>+INDEX(PWP!$A:$Z,MATCH('PWP-Print'!O720,PWP!$B:$B,0),MATCH("Element",PWP!$A$1:$Z$1,0))&amp;" "&amp;INDEX(PWP!$A:$Z,MATCH('PWP-Print'!O720,PWP!$B:$B,0),MATCH("Type",PWP!$A$1:$Z$1,0))</f>
        <v>Water Dragon</v>
      </c>
      <c r="U722" s="250"/>
    </row>
    <row r="723" spans="1:21" ht="7.5" customHeight="1" x14ac:dyDescent="0.3">
      <c r="A723" s="244" t="s">
        <v>10763</v>
      </c>
      <c r="E723" s="250"/>
      <c r="G723" s="250"/>
      <c r="K723" s="250"/>
      <c r="O723" s="250"/>
      <c r="Q723" s="250"/>
      <c r="U723" s="250"/>
    </row>
    <row r="724" spans="1:21" ht="22.5" customHeight="1" x14ac:dyDescent="0.3">
      <c r="C724" s="729" t="e" vm="1380">
        <f>_xlfn.IMAGE("https://natalie.tf/wp-content/uploads/2023/10/DLV3_Icon_DRA_"&amp;E725&amp;".png")</f>
        <v>#VALUE!</v>
      </c>
      <c r="E724" s="249" t="str">
        <f>"PWP-"&amp;A726</f>
        <v>PWP-337</v>
      </c>
      <c r="G724" s="249" t="str">
        <f>+INDEX(PWP!$A:$Z,MATCH('PWP-Print'!E724,PWP!$B:$B,0),MATCH("Title",PWP!$A$1:$Z$1,0))</f>
        <v>Delightful Dreamer</v>
      </c>
      <c r="I724" t="e" vm="382">
        <f>_xlfn.IMAGE("https://natalie.tf/wp-content/uploads/2023/10/DLV3_Icon_Ability_"&amp;INDEX('PWP-A'!$A$2:$C$31,MATCH('PWP-Print'!J724,'PWP-A'!$B$2:$B$31,0),1)&amp;".png")</f>
        <v>#VALUE!</v>
      </c>
      <c r="J724" s="229" t="str">
        <f>+INDEX(PWP!$A:$Z,MATCH('PWP-Print'!E724,PWP!$B:$B,0),MATCH("PWP Ability 1",PWP!$A$1:$Z$1,0))</f>
        <v>Dragon Time +20%</v>
      </c>
      <c r="K724" s="249" t="str">
        <f>+INDEX(PWP!$A:$Z,MATCH('PWP-Print'!E724,PWP!$B:$B,0),MATCH("Locked PWP Ability 1",PWP!$A$1:$Z$1,0))</f>
        <v>(Water) Dragon Time +20%</v>
      </c>
      <c r="M724" s="729" t="e" vm="1381">
        <f>_xlfn.IMAGE("https://natalie.tf/wp-content/uploads/2023/10/DLV3_Icon_DRA_"&amp;O725&amp;".png")</f>
        <v>#VALUE!</v>
      </c>
      <c r="O724" s="249" t="str">
        <f>"PWP-"&amp;B726</f>
        <v>PWP-350</v>
      </c>
      <c r="Q724" s="249" t="str">
        <f>+INDEX(PWP!$A:$Z,MATCH('PWP-Print'!O724,PWP!$B:$B,0),MATCH("Title",PWP!$A$1:$Z$1,0))</f>
        <v>Aquatic Guardian</v>
      </c>
      <c r="S724" t="e" vm="382">
        <f>_xlfn.IMAGE("https://natalie.tf/wp-content/uploads/2023/10/DLV3_Icon_Ability_"&amp;INDEX('PWP-A'!$A$2:$C$31,MATCH('PWP-Print'!T724,'PWP-A'!$B$2:$B$31,0),1)&amp;".png")</f>
        <v>#VALUE!</v>
      </c>
      <c r="T724" s="229" t="str">
        <f>+INDEX(PWP!$A:$Z,MATCH('PWP-Print'!O724,PWP!$B:$B,0),MATCH("PWP Ability 1",PWP!$A$1:$Z$1,0))</f>
        <v>Dragon Time +20%</v>
      </c>
      <c r="U724" s="249" t="str">
        <f>+INDEX(PWP!$A:$Z,MATCH('PWP-Print'!O724,PWP!$B:$B,0),MATCH("Locked PWP Ability 1",PWP!$A$1:$Z$1,0))</f>
        <v>(Water) Dragon Time +20%</v>
      </c>
    </row>
    <row r="725" spans="1:21" ht="22.5" customHeight="1" x14ac:dyDescent="0.3">
      <c r="C725" s="729"/>
      <c r="D725" s="8"/>
      <c r="E725" s="200" t="str">
        <f>+INDEX(PWP!$A:$Z,MATCH('PWP-Print'!E724,PWP!$B:$B,0),MATCH("ID",PWP!$A$1:$Z$1,0))</f>
        <v>210120_01</v>
      </c>
      <c r="F725" s="8"/>
      <c r="G725" s="249" t="str">
        <f>+INDEX(PWP!$A:$Z,MATCH('PWP-Print'!E724,PWP!$B:$B,0),MATCH("Name",PWP!$A$1:$Z$1,0))</f>
        <v>Gaibhne &amp; Creidhne</v>
      </c>
      <c r="H725" s="8"/>
      <c r="I725" t="e" vm="330">
        <f>_xlfn.IMAGE("https://natalie.tf/wp-content/uploads/2023/10/DLV3_Icon_Ability_"&amp;INDEX('PWP-A'!$A$2:$C$31,MATCH('PWP-Print'!J725,'PWP-A'!$B$2:$B$31,0),1)&amp;".png")</f>
        <v>#VALUE!</v>
      </c>
      <c r="J725" s="229" t="str">
        <f>+INDEX(PWP!$A:$Z,MATCH('PWP-Print'!E724,PWP!$B:$B,0),MATCH("PWP Ability 2",PWP!$A$1:$Z$1,0))</f>
        <v>Skill Haste +10%</v>
      </c>
      <c r="K725" s="249" t="str">
        <f>+INDEX(PWP!$A:$Z,MATCH('PWP-Print'!E724,PWP!$B:$B,0),MATCH("Locked PWP Ability 2",PWP!$A$1:$Z$1,0))</f>
        <v>(Water) Skill Haste +10%</v>
      </c>
      <c r="M725" s="729"/>
      <c r="N725" s="8"/>
      <c r="O725" s="200" t="str">
        <f>+INDEX(PWP!$A:$Z,MATCH('PWP-Print'!O724,PWP!$B:$B,0),MATCH("ID",PWP!$A$1:$Z$1,0))</f>
        <v>210003_01</v>
      </c>
      <c r="P725" s="8"/>
      <c r="Q725" s="249" t="str">
        <f>+INDEX(PWP!$A:$Z,MATCH('PWP-Print'!O724,PWP!$B:$B,0),MATCH("Name",PWP!$A$1:$Z$1,0))</f>
        <v>Mercury</v>
      </c>
      <c r="R725" s="8"/>
      <c r="S725" t="e" vm="496">
        <f>_xlfn.IMAGE("https://natalie.tf/wp-content/uploads/2023/10/DLV3_Icon_Ability_"&amp;INDEX('PWP-A'!$A$2:$C$31,MATCH('PWP-Print'!T725,'PWP-A'!$B$2:$B$31,0),1)&amp;".png")</f>
        <v>#VALUE!</v>
      </c>
      <c r="T725" s="229" t="str">
        <f>+INDEX(PWP!$A:$Z,MATCH('PWP-Print'!O724,PWP!$B:$B,0),MATCH("PWP Ability 2",PWP!$A$1:$Z$1,0))</f>
        <v>HP +15%</v>
      </c>
      <c r="U725" s="249" t="str">
        <f>+INDEX(PWP!$A:$Z,MATCH('PWP-Print'!O724,PWP!$B:$B,0),MATCH("Locked PWP Ability 2",PWP!$A$1:$Z$1,0))</f>
        <v>(Water) HP +15%</v>
      </c>
    </row>
    <row r="726" spans="1:21" ht="22.5" customHeight="1" x14ac:dyDescent="0.3">
      <c r="A726" s="244" t="str">
        <f>TEXT(A722+1,"000")</f>
        <v>337</v>
      </c>
      <c r="B726" s="244" t="str">
        <f>TEXT(B722+1,"000")</f>
        <v>350</v>
      </c>
      <c r="C726" s="729"/>
      <c r="E726" s="251" t="str">
        <f>+INDEX(PWP!$A:$Z,MATCH('PWP-Print'!E724,PWP!$B:$B,0),MATCH("Num",PWP!$A$1:$Z$1,0))</f>
        <v>D-032</v>
      </c>
      <c r="G726" s="249" t="str">
        <f>+INDEX(PWP!$A:$Z,MATCH('PWP-Print'!E724,PWP!$B:$B,0),MATCH("Element",PWP!$A$1:$Z$1,0))&amp;" "&amp;INDEX(PWP!$A:$Z,MATCH('PWP-Print'!E724,PWP!$B:$B,0),MATCH("Type",PWP!$A$1:$Z$1,0))</f>
        <v>Water Dragon</v>
      </c>
      <c r="K726" s="250"/>
      <c r="M726" s="729"/>
      <c r="O726" s="251" t="str">
        <f>+INDEX(PWP!$A:$Z,MATCH('PWP-Print'!O724,PWP!$B:$B,0),MATCH("Num",PWP!$A$1:$Z$1,0))</f>
        <v>D-045</v>
      </c>
      <c r="Q726" s="249" t="str">
        <f>+INDEX(PWP!$A:$Z,MATCH('PWP-Print'!O724,PWP!$B:$B,0),MATCH("Element",PWP!$A$1:$Z$1,0))&amp;" "&amp;INDEX(PWP!$A:$Z,MATCH('PWP-Print'!O724,PWP!$B:$B,0),MATCH("Type",PWP!$A$1:$Z$1,0))</f>
        <v>Water Dragon</v>
      </c>
      <c r="U726" s="250"/>
    </row>
    <row r="727" spans="1:21" ht="7.5" customHeight="1" x14ac:dyDescent="0.3">
      <c r="A727" s="244" t="s">
        <v>10763</v>
      </c>
      <c r="E727" s="250"/>
      <c r="G727" s="250"/>
      <c r="K727" s="250"/>
    </row>
    <row r="728" spans="1:21" ht="22.5" customHeight="1" x14ac:dyDescent="0.3">
      <c r="C728" s="729" t="e" vm="1382">
        <f>_xlfn.IMAGE("https://natalie.tf/wp-content/uploads/2023/10/DLV3_Icon_DRA_"&amp;E729&amp;".png")</f>
        <v>#VALUE!</v>
      </c>
      <c r="E728" s="249" t="str">
        <f>"PWP-"&amp;A730</f>
        <v>PWP-338</v>
      </c>
      <c r="G728" s="249" t="str">
        <f>+INDEX(PWP!$A:$Z,MATCH('PWP-Print'!E728,PWP!$B:$B,0),MATCH("Title",PWP!$A$1:$Z$1,0))</f>
        <v>Gluttonous Gourmand</v>
      </c>
      <c r="I728" t="e" vm="382">
        <f>_xlfn.IMAGE("https://natalie.tf/wp-content/uploads/2023/10/DLV3_Icon_Ability_"&amp;INDEX('PWP-A'!$A$2:$C$31,MATCH('PWP-Print'!J728,'PWP-A'!$B$2:$B$31,0),1)&amp;".png")</f>
        <v>#VALUE!</v>
      </c>
      <c r="J728" s="229" t="str">
        <f>+INDEX(PWP!$A:$Z,MATCH('PWP-Print'!E728,PWP!$B:$B,0),MATCH("PWP Ability 1",PWP!$A$1:$Z$1,0))</f>
        <v>Dragon Time +20%</v>
      </c>
      <c r="K728" s="249" t="str">
        <f>+INDEX(PWP!$A:$Z,MATCH('PWP-Print'!E728,PWP!$B:$B,0),MATCH("Locked PWP Ability 1",PWP!$A$1:$Z$1,0))</f>
        <v>(Water) Dragon Time +20%</v>
      </c>
      <c r="M728" s="729"/>
      <c r="O728" s="221"/>
      <c r="Q728" s="221"/>
      <c r="U728" s="221"/>
    </row>
    <row r="729" spans="1:21" ht="22.5" customHeight="1" x14ac:dyDescent="0.3">
      <c r="C729" s="729"/>
      <c r="D729" s="8"/>
      <c r="E729" s="200" t="str">
        <f>+INDEX(PWP!$A:$Z,MATCH('PWP-Print'!E728,PWP!$B:$B,0),MATCH("ID",PWP!$A$1:$Z$1,0))</f>
        <v>210053_01</v>
      </c>
      <c r="F729" s="8"/>
      <c r="G729" s="249" t="str">
        <f>+INDEX(PWP!$A:$Z,MATCH('PWP-Print'!E728,PWP!$B:$B,0),MATCH("Name",PWP!$A$1:$Z$1,0))</f>
        <v>Nimis</v>
      </c>
      <c r="H729" s="8"/>
      <c r="I729" t="e" vm="414">
        <f>_xlfn.IMAGE("https://natalie.tf/wp-content/uploads/2023/10/DLV3_Icon_Ability_"&amp;INDEX('PWP-A'!$A$2:$C$31,MATCH('PWP-Print'!J729,'PWP-A'!$B$2:$B$31,0),1)&amp;".png")</f>
        <v>#VALUE!</v>
      </c>
      <c r="J729" s="229" t="str">
        <f>+INDEX(PWP!$A:$Z,MATCH('PWP-Print'!E728,PWP!$B:$B,0),MATCH("PWP Ability 2",PWP!$A$1:$Z$1,0))</f>
        <v>Critical Damage +25%</v>
      </c>
      <c r="K729" s="249" t="str">
        <f>+INDEX(PWP!$A:$Z,MATCH('PWP-Print'!E728,PWP!$B:$B,0),MATCH("Locked PWP Ability 2",PWP!$A$1:$Z$1,0))</f>
        <v>(Water) Critical Damage +25%</v>
      </c>
      <c r="M729" s="729"/>
      <c r="N729" s="8"/>
      <c r="O729" s="221"/>
      <c r="P729" s="8"/>
      <c r="Q729" s="221"/>
      <c r="R729" s="8"/>
      <c r="S729" s="8"/>
      <c r="T729" s="8"/>
      <c r="U729" s="221"/>
    </row>
    <row r="730" spans="1:21" ht="22.5" customHeight="1" x14ac:dyDescent="0.3">
      <c r="A730" s="244" t="str">
        <f>TEXT(A726+1,"000")</f>
        <v>338</v>
      </c>
      <c r="C730" s="729"/>
      <c r="E730" s="251" t="str">
        <f>+INDEX(PWP!$A:$Z,MATCH('PWP-Print'!E728,PWP!$B:$B,0),MATCH("Num",PWP!$A$1:$Z$1,0))</f>
        <v>D-033</v>
      </c>
      <c r="G730" s="249" t="str">
        <f>+INDEX(PWP!$A:$Z,MATCH('PWP-Print'!E728,PWP!$B:$B,0),MATCH("Element",PWP!$A$1:$Z$1,0))&amp;" "&amp;INDEX(PWP!$A:$Z,MATCH('PWP-Print'!E728,PWP!$B:$B,0),MATCH("Type",PWP!$A$1:$Z$1,0))</f>
        <v>Water Dragon</v>
      </c>
      <c r="K730" s="250"/>
      <c r="M730" s="729"/>
      <c r="O730" s="221"/>
      <c r="Q730" s="221"/>
      <c r="U730" s="222"/>
    </row>
    <row r="731" spans="1:21" ht="39.75" customHeight="1" x14ac:dyDescent="0.2">
      <c r="A731" s="244" t="s">
        <v>10763</v>
      </c>
    </row>
    <row r="732" spans="1:21" ht="22.5" customHeight="1" x14ac:dyDescent="0.3">
      <c r="C732" s="729" t="e" vm="1383">
        <f>_xlfn.IMAGE("https://natalie.tf/wp-content/uploads/2023/10/DLV3_Icon_DRA_"&amp;E733&amp;".png")</f>
        <v>#VALUE!</v>
      </c>
      <c r="E732" s="249" t="str">
        <f>"PWP-"&amp;A734</f>
        <v>PWP-351</v>
      </c>
      <c r="G732" s="249" t="str">
        <f>+INDEX(PWP!$A:$Z,MATCH('PWP-Print'!E732,PWP!$B:$B,0),MATCH("Title",PWP!$A$1:$Z$1,0))</f>
        <v>N/A</v>
      </c>
      <c r="I732" t="e" vm="382">
        <f>_xlfn.IMAGE("https://natalie.tf/wp-content/uploads/2023/10/DLV3_Icon_Ability_"&amp;INDEX('PWP-A'!$A$2:$C$31,MATCH('PWP-Print'!J732,'PWP-A'!$B$2:$B$31,0),1)&amp;".png")</f>
        <v>#VALUE!</v>
      </c>
      <c r="J732" s="229" t="str">
        <f>+INDEX(PWP!$A:$Z,MATCH('PWP-Print'!E732,PWP!$B:$B,0),MATCH("PWP Ability 1",PWP!$A$1:$Z$1,0))</f>
        <v>Dragon Time +20%</v>
      </c>
      <c r="K732" s="249" t="str">
        <f>+INDEX(PWP!$A:$Z,MATCH('PWP-Print'!E732,PWP!$B:$B,0),MATCH("Locked PWP Ability 1",PWP!$A$1:$Z$1,0))</f>
        <v>(Water) Dragon Time +20%</v>
      </c>
      <c r="M732" s="729" t="e" vm="1384">
        <f>_xlfn.IMAGE("https://natalie.tf/wp-content/uploads/2023/10/DLV3_Icon_DRA_"&amp;O733&amp;".png")</f>
        <v>#VALUE!</v>
      </c>
      <c r="O732" s="249" t="str">
        <f>"PWP-"&amp;B734</f>
        <v>PWP-364</v>
      </c>
      <c r="Q732" s="249" t="str">
        <f>+INDEX(PWP!$A:$Z,MATCH('PWP-Print'!O732,PWP!$B:$B,0),MATCH("Title",PWP!$A$1:$Z$1,0))</f>
        <v>The Whisperer in Darkness</v>
      </c>
      <c r="S732" t="e" vm="14">
        <f>_xlfn.IMAGE("https://natalie.tf/wp-content/uploads/2023/10/DLV3_Icon_Ability_"&amp;INDEX('PWP-A'!$A$2:$C$31,MATCH('PWP-Print'!T732,'PWP-A'!$B$2:$B$31,0),1)&amp;".png")</f>
        <v>#VALUE!</v>
      </c>
      <c r="T732" s="229" t="str">
        <f>+INDEX(PWP!$A:$Z,MATCH('PWP-Print'!O732,PWP!$B:$B,0),MATCH("PWP Ability 1",PWP!$A$1:$Z$1,0))</f>
        <v>Dragon Damage +18%</v>
      </c>
      <c r="U732" s="249" t="str">
        <f>+INDEX(PWP!$A:$Z,MATCH('PWP-Print'!O732,PWP!$B:$B,0),MATCH("Locked PWP Ability 1",PWP!$A$1:$Z$1,0))</f>
        <v>(Wind) Dragon Damage +18%</v>
      </c>
    </row>
    <row r="733" spans="1:21" ht="22.5" customHeight="1" x14ac:dyDescent="0.3">
      <c r="C733" s="729"/>
      <c r="D733" s="8"/>
      <c r="E733" s="200" t="str">
        <f>+INDEX(PWP!$A:$Z,MATCH('PWP-Print'!E732,PWP!$B:$B,0),MATCH("ID",PWP!$A$1:$Z$1,0))</f>
        <v>210067_01</v>
      </c>
      <c r="F733" s="8"/>
      <c r="G733" s="249" t="str">
        <f>+INDEX(PWP!$A:$Z,MATCH('PWP-Print'!E732,PWP!$B:$B,0),MATCH("Name",PWP!$A$1:$Z$1,0))</f>
        <v>Wellspring Imp</v>
      </c>
      <c r="H733" s="8"/>
      <c r="I733" t="e" vm="376">
        <f>_xlfn.IMAGE("https://natalie.tf/wp-content/uploads/2023/10/DLV3_Icon_Ability_"&amp;INDEX('PWP-A'!$A$2:$C$31,MATCH('PWP-Print'!J733,'PWP-A'!$B$2:$B$31,0),1)&amp;".png")</f>
        <v>#VALUE!</v>
      </c>
      <c r="J733" s="229" t="str">
        <f>+INDEX(PWP!$A:$Z,MATCH('PWP-Print'!E732,PWP!$B:$B,0),MATCH("PWP Ability 2",PWP!$A$1:$Z$1,0))</f>
        <v>Broken Punisher +30%</v>
      </c>
      <c r="K733" s="249" t="str">
        <f>+INDEX(PWP!$A:$Z,MATCH('PWP-Print'!E732,PWP!$B:$B,0),MATCH("Locked PWP Ability 2",PWP!$A$1:$Z$1,0))</f>
        <v>(Water) Broken Punisher +30%</v>
      </c>
      <c r="M733" s="729"/>
      <c r="N733" s="8"/>
      <c r="O733" s="200" t="str">
        <f>+INDEX(PWP!$A:$Z,MATCH('PWP-Print'!O732,PWP!$B:$B,0),MATCH("ID",PWP!$A$1:$Z$1,0))</f>
        <v>210105_01</v>
      </c>
      <c r="P733" s="8"/>
      <c r="Q733" s="249" t="str">
        <f>+INDEX(PWP!$A:$Z,MATCH('PWP-Print'!O732,PWP!$B:$B,0),MATCH("Name",PWP!$A$1:$Z$1,0))</f>
        <v>Hastur</v>
      </c>
      <c r="R733" s="8"/>
      <c r="S733" t="e" vm="688">
        <f>_xlfn.IMAGE("https://natalie.tf/wp-content/uploads/2023/10/DLV3_Icon_Ability_"&amp;INDEX('PWP-A'!$A$2:$C$31,MATCH('PWP-Print'!T733,'PWP-A'!$B$2:$B$31,0),1)&amp;".png")</f>
        <v>#VALUE!</v>
      </c>
      <c r="T733" s="229" t="str">
        <f>+INDEX(PWP!$A:$Z,MATCH('PWP-Print'!O732,PWP!$B:$B,0),MATCH("PWP Ability 2",PWP!$A$1:$Z$1,0))</f>
        <v>Overdrive Punisher +15%</v>
      </c>
      <c r="U733" s="249" t="str">
        <f>+INDEX(PWP!$A:$Z,MATCH('PWP-Print'!O732,PWP!$B:$B,0),MATCH("Locked PWP Ability 2",PWP!$A$1:$Z$1,0))</f>
        <v>(Wind) Overdrive Punisher +15%</v>
      </c>
    </row>
    <row r="734" spans="1:21" ht="22.5" customHeight="1" x14ac:dyDescent="0.3">
      <c r="A734" s="242" t="str">
        <f>TEXT(B726+1,"000")</f>
        <v>351</v>
      </c>
      <c r="B734" s="244" t="str">
        <f>TEXT(A782+1,"000")</f>
        <v>364</v>
      </c>
      <c r="C734" s="729"/>
      <c r="E734" s="251" t="str">
        <f>+INDEX(PWP!$A:$Z,MATCH('PWP-Print'!E732,PWP!$B:$B,0),MATCH("Num",PWP!$A$1:$Z$1,0))</f>
        <v>D-046</v>
      </c>
      <c r="G734" s="249" t="str">
        <f>+INDEX(PWP!$A:$Z,MATCH('PWP-Print'!E732,PWP!$B:$B,0),MATCH("Element",PWP!$A$1:$Z$1,0))&amp;" "&amp;INDEX(PWP!$A:$Z,MATCH('PWP-Print'!E732,PWP!$B:$B,0),MATCH("Type",PWP!$A$1:$Z$1,0))</f>
        <v>Water Dragon</v>
      </c>
      <c r="K734" s="250"/>
      <c r="M734" s="729"/>
      <c r="O734" s="251" t="str">
        <f>+INDEX(PWP!$A:$Z,MATCH('PWP-Print'!O732,PWP!$B:$B,0),MATCH("Num",PWP!$A$1:$Z$1,0))</f>
        <v>D-059</v>
      </c>
      <c r="Q734" s="249" t="str">
        <f>+INDEX(PWP!$A:$Z,MATCH('PWP-Print'!O732,PWP!$B:$B,0),MATCH("Element",PWP!$A$1:$Z$1,0))&amp;" "&amp;INDEX(PWP!$A:$Z,MATCH('PWP-Print'!O732,PWP!$B:$B,0),MATCH("Type",PWP!$A$1:$Z$1,0))</f>
        <v>Wind Dragon</v>
      </c>
      <c r="U734" s="250"/>
    </row>
    <row r="735" spans="1:21" ht="7.5" customHeight="1" x14ac:dyDescent="0.3">
      <c r="A735" s="244" t="s">
        <v>10763</v>
      </c>
      <c r="E735" s="250"/>
      <c r="G735" s="250"/>
      <c r="K735" s="250"/>
      <c r="O735" s="250"/>
      <c r="Q735" s="250"/>
      <c r="U735" s="250"/>
    </row>
    <row r="736" spans="1:21" ht="22.5" customHeight="1" x14ac:dyDescent="0.3">
      <c r="C736" s="729" t="e" vm="1385">
        <f>_xlfn.IMAGE("https://natalie.tf/wp-content/uploads/2023/10/DLV3_Icon_DRA_"&amp;E737&amp;".png")</f>
        <v>#VALUE!</v>
      </c>
      <c r="E736" s="249" t="str">
        <f>"PWP-"&amp;A738</f>
        <v>PWP-352</v>
      </c>
      <c r="G736" s="249" t="str">
        <f>+INDEX(PWP!$A:$Z,MATCH('PWP-Print'!E736,PWP!$B:$B,0),MATCH("Title",PWP!$A$1:$Z$1,0))</f>
        <v>N/A</v>
      </c>
      <c r="I736" t="e" vm="601">
        <f>_xlfn.IMAGE("https://natalie.tf/wp-content/uploads/2023/10/DLV3_Icon_Ability_"&amp;INDEX('PWP-A'!$A$2:$C$31,MATCH('PWP-Print'!J736,'PWP-A'!$B$2:$B$31,0),1)&amp;".png")</f>
        <v>#VALUE!</v>
      </c>
      <c r="J736" s="229" t="str">
        <f>+INDEX(PWP!$A:$Z,MATCH('PWP-Print'!E736,PWP!$B:$B,0),MATCH("PWP Ability 1",PWP!$A$1:$Z$1,0))</f>
        <v>Dragon Haste +15%</v>
      </c>
      <c r="K736" s="249" t="str">
        <f>+INDEX(PWP!$A:$Z,MATCH('PWP-Print'!E736,PWP!$B:$B,0),MATCH("Locked PWP Ability 1",PWP!$A$1:$Z$1,0))</f>
        <v>(Water) Dragon Haste +15%</v>
      </c>
      <c r="M736" s="729" t="e" vm="1386">
        <f>_xlfn.IMAGE("https://natalie.tf/wp-content/uploads/2023/10/DLV3_Icon_DRA_"&amp;O737&amp;".png")</f>
        <v>#VALUE!</v>
      </c>
      <c r="O736" s="249" t="str">
        <f>"PWP-"&amp;B738</f>
        <v>PWP-365</v>
      </c>
      <c r="Q736" s="249" t="str">
        <f>+INDEX(PWP!$A:$Z,MATCH('PWP-Print'!O736,PWP!$B:$B,0),MATCH("Title",PWP!$A$1:$Z$1,0))</f>
        <v>Tiny Typhoon</v>
      </c>
      <c r="S736" t="e" vm="601">
        <f>_xlfn.IMAGE("https://natalie.tf/wp-content/uploads/2023/10/DLV3_Icon_Ability_"&amp;INDEX('PWP-A'!$A$2:$C$31,MATCH('PWP-Print'!T736,'PWP-A'!$B$2:$B$31,0),1)&amp;".png")</f>
        <v>#VALUE!</v>
      </c>
      <c r="T736" s="229" t="str">
        <f>+INDEX(PWP!$A:$Z,MATCH('PWP-Print'!O736,PWP!$B:$B,0),MATCH("PWP Ability 1",PWP!$A$1:$Z$1,0))</f>
        <v>Dragon Haste +15%</v>
      </c>
      <c r="U736" s="249" t="str">
        <f>+INDEX(PWP!$A:$Z,MATCH('PWP-Print'!O736,PWP!$B:$B,0),MATCH("Locked PWP Ability 1",PWP!$A$1:$Z$1,0))</f>
        <v>(Wind) Dragon Haste +15%</v>
      </c>
    </row>
    <row r="737" spans="1:21" ht="22.5" customHeight="1" x14ac:dyDescent="0.3">
      <c r="C737" s="729"/>
      <c r="D737" s="8"/>
      <c r="E737" s="200" t="str">
        <f>+INDEX(PWP!$A:$Z,MATCH('PWP-Print'!E736,PWP!$B:$B,0),MATCH("ID",PWP!$A$1:$Z$1,0))</f>
        <v>210063_01</v>
      </c>
      <c r="F737" s="8"/>
      <c r="G737" s="249" t="str">
        <f>+INDEX(PWP!$A:$Z,MATCH('PWP-Print'!E736,PWP!$B:$B,0),MATCH("Name",PWP!$A$1:$Z$1,0))</f>
        <v>Snow Drake</v>
      </c>
      <c r="H737" s="8"/>
      <c r="I737" t="e" vm="376">
        <f>_xlfn.IMAGE("https://natalie.tf/wp-content/uploads/2023/10/DLV3_Icon_Ability_"&amp;INDEX('PWP-A'!$A$2:$C$31,MATCH('PWP-Print'!J737,'PWP-A'!$B$2:$B$31,0),1)&amp;".png")</f>
        <v>#VALUE!</v>
      </c>
      <c r="J737" s="229" t="str">
        <f>+INDEX(PWP!$A:$Z,MATCH('PWP-Print'!E736,PWP!$B:$B,0),MATCH("PWP Ability 2",PWP!$A$1:$Z$1,0))</f>
        <v>Broken Punisher +30%</v>
      </c>
      <c r="K737" s="249" t="str">
        <f>+INDEX(PWP!$A:$Z,MATCH('PWP-Print'!E736,PWP!$B:$B,0),MATCH("Locked PWP Ability 2",PWP!$A$1:$Z$1,0))</f>
        <v>(Water) Broken Punisher +30%</v>
      </c>
      <c r="M737" s="729"/>
      <c r="N737" s="8"/>
      <c r="O737" s="200" t="str">
        <f>+INDEX(PWP!$A:$Z,MATCH('PWP-Print'!O736,PWP!$B:$B,0),MATCH("ID",PWP!$A$1:$Z$1,0))</f>
        <v>210111_01</v>
      </c>
      <c r="P737" s="8"/>
      <c r="Q737" s="249" t="str">
        <f>+INDEX(PWP!$A:$Z,MATCH('PWP-Print'!O736,PWP!$B:$B,0),MATCH("Name",PWP!$A$1:$Z$1,0))</f>
        <v>Mini Mids</v>
      </c>
      <c r="R737" s="8"/>
      <c r="S737" t="e" vm="411">
        <f>_xlfn.IMAGE("https://natalie.tf/wp-content/uploads/2023/10/DLV3_Icon_Ability_"&amp;INDEX('PWP-A'!$A$2:$C$31,MATCH('PWP-Print'!T737,'PWP-A'!$B$2:$B$31,0),1)&amp;".png")</f>
        <v>#VALUE!</v>
      </c>
      <c r="T737" s="229" t="str">
        <f>+INDEX(PWP!$A:$Z,MATCH('PWP-Print'!O736,PWP!$B:$B,0),MATCH("PWP Ability 2",PWP!$A$1:$Z$1,0))</f>
        <v>Skill Prep +50%</v>
      </c>
      <c r="U737" s="249" t="str">
        <f>+INDEX(PWP!$A:$Z,MATCH('PWP-Print'!O736,PWP!$B:$B,0),MATCH("Locked PWP Ability 2",PWP!$A$1:$Z$1,0))</f>
        <v>(Wind) Skill Prep +50%</v>
      </c>
    </row>
    <row r="738" spans="1:21" ht="22.5" customHeight="1" x14ac:dyDescent="0.3">
      <c r="A738" s="244" t="str">
        <f>TEXT(A734+1,"000")</f>
        <v>352</v>
      </c>
      <c r="B738" s="244" t="str">
        <f>TEXT(B734+1,"000")</f>
        <v>365</v>
      </c>
      <c r="C738" s="729"/>
      <c r="E738" s="251" t="str">
        <f>+INDEX(PWP!$A:$Z,MATCH('PWP-Print'!E736,PWP!$B:$B,0),MATCH("Num",PWP!$A$1:$Z$1,0))</f>
        <v>D-047</v>
      </c>
      <c r="G738" s="249" t="str">
        <f>+INDEX(PWP!$A:$Z,MATCH('PWP-Print'!E736,PWP!$B:$B,0),MATCH("Element",PWP!$A$1:$Z$1,0))&amp;" "&amp;INDEX(PWP!$A:$Z,MATCH('PWP-Print'!E736,PWP!$B:$B,0),MATCH("Type",PWP!$A$1:$Z$1,0))</f>
        <v>Water Dragon</v>
      </c>
      <c r="K738" s="250"/>
      <c r="M738" s="729"/>
      <c r="O738" s="251" t="str">
        <f>+INDEX(PWP!$A:$Z,MATCH('PWP-Print'!O736,PWP!$B:$B,0),MATCH("Num",PWP!$A$1:$Z$1,0))</f>
        <v>D-060</v>
      </c>
      <c r="Q738" s="249" t="str">
        <f>+INDEX(PWP!$A:$Z,MATCH('PWP-Print'!O736,PWP!$B:$B,0),MATCH("Element",PWP!$A$1:$Z$1,0))&amp;" "&amp;INDEX(PWP!$A:$Z,MATCH('PWP-Print'!O736,PWP!$B:$B,0),MATCH("Type",PWP!$A$1:$Z$1,0))</f>
        <v>Wind Dragon</v>
      </c>
      <c r="U738" s="250"/>
    </row>
    <row r="739" spans="1:21" ht="7.5" customHeight="1" x14ac:dyDescent="0.3">
      <c r="A739" s="244" t="s">
        <v>10763</v>
      </c>
      <c r="E739" s="250"/>
      <c r="G739" s="250"/>
      <c r="K739" s="250"/>
      <c r="O739" s="250"/>
      <c r="Q739" s="250"/>
      <c r="U739" s="250"/>
    </row>
    <row r="740" spans="1:21" ht="22.5" customHeight="1" x14ac:dyDescent="0.3">
      <c r="C740" s="729" t="e" vm="1387">
        <f>_xlfn.IMAGE("https://natalie.tf/wp-content/uploads/2023/10/DLV3_Icon_DRA_"&amp;E741&amp;".png")</f>
        <v>#VALUE!</v>
      </c>
      <c r="E740" s="249" t="str">
        <f>"PWP-"&amp;A742</f>
        <v>PWP-353</v>
      </c>
      <c r="G740" s="249" t="str">
        <f>+INDEX(PWP!$A:$Z,MATCH('PWP-Print'!E740,PWP!$B:$B,0),MATCH("Title",PWP!$A$1:$Z$1,0))</f>
        <v>N/A</v>
      </c>
      <c r="I740" t="e" vm="14">
        <f>_xlfn.IMAGE("https://natalie.tf/wp-content/uploads/2023/10/DLV3_Icon_Ability_"&amp;INDEX('PWP-A'!$A$2:$C$31,MATCH('PWP-Print'!J740,'PWP-A'!$B$2:$B$31,0),1)&amp;".png")</f>
        <v>#VALUE!</v>
      </c>
      <c r="J740" s="229" t="str">
        <f>+INDEX(PWP!$A:$Z,MATCH('PWP-Print'!E740,PWP!$B:$B,0),MATCH("PWP Ability 1",PWP!$A$1:$Z$1,0))</f>
        <v>Dragon Damage +18%</v>
      </c>
      <c r="K740" s="249" t="str">
        <f>+INDEX(PWP!$A:$Z,MATCH('PWP-Print'!E740,PWP!$B:$B,0),MATCH("Locked PWP Ability 1",PWP!$A$1:$Z$1,0))</f>
        <v>(Water) Dragon Damage +18%</v>
      </c>
      <c r="M740" s="729" t="e" vm="1388">
        <f>_xlfn.IMAGE("https://natalie.tf/wp-content/uploads/2023/10/DLV3_Icon_DRA_"&amp;O741&amp;".png")</f>
        <v>#VALUE!</v>
      </c>
      <c r="O740" s="249" t="str">
        <f>"PWP-"&amp;B742</f>
        <v>PWP-366</v>
      </c>
      <c r="Q740" s="249" t="str">
        <f>+INDEX(PWP!$A:$Z,MATCH('PWP-Print'!O740,PWP!$B:$B,0),MATCH("Title",PWP!$A$1:$Z$1,0))</f>
        <v>Violent Gale</v>
      </c>
      <c r="S740" t="e" vm="382">
        <f>_xlfn.IMAGE("https://natalie.tf/wp-content/uploads/2023/10/DLV3_Icon_Ability_"&amp;INDEX('PWP-A'!$A$2:$C$31,MATCH('PWP-Print'!T740,'PWP-A'!$B$2:$B$31,0),1)&amp;".png")</f>
        <v>#VALUE!</v>
      </c>
      <c r="T740" s="229" t="str">
        <f>+INDEX(PWP!$A:$Z,MATCH('PWP-Print'!O740,PWP!$B:$B,0),MATCH("PWP Ability 1",PWP!$A$1:$Z$1,0))</f>
        <v>Dragon Time +20%</v>
      </c>
      <c r="U740" s="249" t="str">
        <f>+INDEX(PWP!$A:$Z,MATCH('PWP-Print'!O740,PWP!$B:$B,0),MATCH("Locked PWP Ability 1",PWP!$A$1:$Z$1,0))</f>
        <v>(Wind) Dragon Time +20%</v>
      </c>
    </row>
    <row r="741" spans="1:21" ht="22.5" customHeight="1" x14ac:dyDescent="0.3">
      <c r="C741" s="729"/>
      <c r="D741" s="8"/>
      <c r="E741" s="200" t="str">
        <f>+INDEX(PWP!$A:$Z,MATCH('PWP-Print'!E740,PWP!$B:$B,0),MATCH("ID",PWP!$A$1:$Z$1,0))</f>
        <v>210059_01</v>
      </c>
      <c r="F741" s="8"/>
      <c r="G741" s="249" t="str">
        <f>+INDEX(PWP!$A:$Z,MATCH('PWP-Print'!E740,PWP!$B:$B,0),MATCH("Name",PWP!$A$1:$Z$1,0))</f>
        <v>Fubuki</v>
      </c>
      <c r="H741" s="8"/>
      <c r="I741" t="e" vm="376">
        <f>_xlfn.IMAGE("https://natalie.tf/wp-content/uploads/2023/10/DLV3_Icon_Ability_"&amp;INDEX('PWP-A'!$A$2:$C$31,MATCH('PWP-Print'!J741,'PWP-A'!$B$2:$B$31,0),1)&amp;".png")</f>
        <v>#VALUE!</v>
      </c>
      <c r="J741" s="229" t="str">
        <f>+INDEX(PWP!$A:$Z,MATCH('PWP-Print'!E740,PWP!$B:$B,0),MATCH("PWP Ability 2",PWP!$A$1:$Z$1,0))</f>
        <v>Broken Punisher +30%</v>
      </c>
      <c r="K741" s="249" t="str">
        <f>+INDEX(PWP!$A:$Z,MATCH('PWP-Print'!E740,PWP!$B:$B,0),MATCH("Locked PWP Ability 2",PWP!$A$1:$Z$1,0))</f>
        <v>(Water) Broken Punisher +30%</v>
      </c>
      <c r="M741" s="729"/>
      <c r="N741" s="8"/>
      <c r="O741" s="200" t="str">
        <f>+INDEX(PWP!$A:$Z,MATCH('PWP-Print'!O740,PWP!$B:$B,0),MATCH("ID",PWP!$A$1:$Z$1,0))</f>
        <v>210098_01</v>
      </c>
      <c r="P741" s="8"/>
      <c r="Q741" s="249" t="str">
        <f>+INDEX(PWP!$A:$Z,MATCH('PWP-Print'!O740,PWP!$B:$B,0),MATCH("Name",PWP!$A$1:$Z$1,0))</f>
        <v>Vayu</v>
      </c>
      <c r="R741" s="8"/>
      <c r="S741" t="e" vm="14">
        <f>_xlfn.IMAGE("https://natalie.tf/wp-content/uploads/2023/10/DLV3_Icon_Ability_"&amp;INDEX('PWP-A'!$A$2:$C$31,MATCH('PWP-Print'!T741,'PWP-A'!$B$2:$B$31,0),1)&amp;".png")</f>
        <v>#VALUE!</v>
      </c>
      <c r="T741" s="229" t="str">
        <f>+INDEX(PWP!$A:$Z,MATCH('PWP-Print'!O740,PWP!$B:$B,0),MATCH("PWP Ability 2",PWP!$A$1:$Z$1,0))</f>
        <v>Skill Damage +40%</v>
      </c>
      <c r="U741" s="249" t="str">
        <f>+INDEX(PWP!$A:$Z,MATCH('PWP-Print'!O740,PWP!$B:$B,0),MATCH("Locked PWP Ability 2",PWP!$A$1:$Z$1,0))</f>
        <v>(Wind) Skill Damage +40%</v>
      </c>
    </row>
    <row r="742" spans="1:21" ht="22.5" customHeight="1" x14ac:dyDescent="0.3">
      <c r="A742" s="244" t="str">
        <f>TEXT(A738+1,"000")</f>
        <v>353</v>
      </c>
      <c r="B742" s="244" t="str">
        <f>TEXT(B738+1,"000")</f>
        <v>366</v>
      </c>
      <c r="C742" s="729"/>
      <c r="E742" s="251" t="str">
        <f>+INDEX(PWP!$A:$Z,MATCH('PWP-Print'!E740,PWP!$B:$B,0),MATCH("Num",PWP!$A$1:$Z$1,0))</f>
        <v>D-048</v>
      </c>
      <c r="G742" s="249" t="str">
        <f>+INDEX(PWP!$A:$Z,MATCH('PWP-Print'!E740,PWP!$B:$B,0),MATCH("Element",PWP!$A$1:$Z$1,0))&amp;" "&amp;INDEX(PWP!$A:$Z,MATCH('PWP-Print'!E740,PWP!$B:$B,0),MATCH("Type",PWP!$A$1:$Z$1,0))</f>
        <v>Water Dragon</v>
      </c>
      <c r="K742" s="250"/>
      <c r="M742" s="729"/>
      <c r="O742" s="251" t="str">
        <f>+INDEX(PWP!$A:$Z,MATCH('PWP-Print'!O740,PWP!$B:$B,0),MATCH("Num",PWP!$A$1:$Z$1,0))</f>
        <v>D-061</v>
      </c>
      <c r="Q742" s="249" t="str">
        <f>+INDEX(PWP!$A:$Z,MATCH('PWP-Print'!O740,PWP!$B:$B,0),MATCH("Element",PWP!$A$1:$Z$1,0))&amp;" "&amp;INDEX(PWP!$A:$Z,MATCH('PWP-Print'!O740,PWP!$B:$B,0),MATCH("Type",PWP!$A$1:$Z$1,0))</f>
        <v>Wind Dragon</v>
      </c>
      <c r="U742" s="250"/>
    </row>
    <row r="743" spans="1:21" ht="7.5" customHeight="1" x14ac:dyDescent="0.3">
      <c r="A743" s="244" t="s">
        <v>10763</v>
      </c>
      <c r="E743" s="250"/>
      <c r="G743" s="250"/>
      <c r="K743" s="250"/>
      <c r="O743" s="250"/>
      <c r="Q743" s="250"/>
      <c r="U743" s="250"/>
    </row>
    <row r="744" spans="1:21" ht="22.5" customHeight="1" x14ac:dyDescent="0.3">
      <c r="C744" s="729" t="e" vm="1389">
        <f>_xlfn.IMAGE("https://natalie.tf/wp-content/uploads/2023/10/DLV3_Icon_DRA_"&amp;E745&amp;".png")</f>
        <v>#VALUE!</v>
      </c>
      <c r="E744" s="249" t="str">
        <f>"PWP-"&amp;A746</f>
        <v>PWP-354</v>
      </c>
      <c r="G744" s="249" t="str">
        <f>+INDEX(PWP!$A:$Z,MATCH('PWP-Print'!E744,PWP!$B:$B,0),MATCH("Title",PWP!$A$1:$Z$1,0))</f>
        <v>Angel of Lost Souls</v>
      </c>
      <c r="I744" t="e" vm="14">
        <f>_xlfn.IMAGE("https://natalie.tf/wp-content/uploads/2023/10/DLV3_Icon_Ability_"&amp;INDEX('PWP-A'!$A$2:$C$31,MATCH('PWP-Print'!J744,'PWP-A'!$B$2:$B$31,0),1)&amp;".png")</f>
        <v>#VALUE!</v>
      </c>
      <c r="J744" s="229" t="str">
        <f>+INDEX(PWP!$A:$Z,MATCH('PWP-Print'!E744,PWP!$B:$B,0),MATCH("PWP Ability 1",PWP!$A$1:$Z$1,0))</f>
        <v>Dragon Damage +18%</v>
      </c>
      <c r="K744" s="249" t="str">
        <f>+INDEX(PWP!$A:$Z,MATCH('PWP-Print'!E744,PWP!$B:$B,0),MATCH("Locked PWP Ability 1",PWP!$A$1:$Z$1,0))</f>
        <v>(Wind) Dragon Damage +18%</v>
      </c>
      <c r="M744" s="729" t="e" vm="1390">
        <f>_xlfn.IMAGE("https://natalie.tf/wp-content/uploads/2023/10/DLV3_Icon_DRA_"&amp;O745&amp;".png")</f>
        <v>#VALUE!</v>
      </c>
      <c r="O744" s="249" t="str">
        <f>"PWP-"&amp;B746</f>
        <v>PWP-367</v>
      </c>
      <c r="Q744" s="249" t="str">
        <f>+INDEX(PWP!$A:$Z,MATCH('PWP-Print'!O744,PWP!$B:$B,0),MATCH("Title",PWP!$A$1:$Z$1,0))</f>
        <v>Harvest Goddess</v>
      </c>
      <c r="S744" t="e" vm="601">
        <f>_xlfn.IMAGE("https://natalie.tf/wp-content/uploads/2023/10/DLV3_Icon_Ability_"&amp;INDEX('PWP-A'!$A$2:$C$31,MATCH('PWP-Print'!T744,'PWP-A'!$B$2:$B$31,0),1)&amp;".png")</f>
        <v>#VALUE!</v>
      </c>
      <c r="T744" s="229" t="str">
        <f>+INDEX(PWP!$A:$Z,MATCH('PWP-Print'!O744,PWP!$B:$B,0),MATCH("PWP Ability 1",PWP!$A$1:$Z$1,0))</f>
        <v>Dragon Haste +15%</v>
      </c>
      <c r="U744" s="249" t="str">
        <f>+INDEX(PWP!$A:$Z,MATCH('PWP-Print'!O744,PWP!$B:$B,0),MATCH("Locked PWP Ability 1",PWP!$A$1:$Z$1,0))</f>
        <v>(Wind) Dragon Haste +15%</v>
      </c>
    </row>
    <row r="745" spans="1:21" ht="22.5" customHeight="1" x14ac:dyDescent="0.3">
      <c r="C745" s="729"/>
      <c r="D745" s="8"/>
      <c r="E745" s="200" t="str">
        <f>+INDEX(PWP!$A:$Z,MATCH('PWP-Print'!E744,PWP!$B:$B,0),MATCH("ID",PWP!$A$1:$Z$1,0))</f>
        <v>210168_01</v>
      </c>
      <c r="F745" s="8"/>
      <c r="G745" s="249" t="str">
        <f>+INDEX(PWP!$A:$Z,MATCH('PWP-Print'!E744,PWP!$B:$B,0),MATCH("Name",PWP!$A$1:$Z$1,0))</f>
        <v>Michael</v>
      </c>
      <c r="H745" s="8"/>
      <c r="I745" t="e" vm="696">
        <f>_xlfn.IMAGE("https://natalie.tf/wp-content/uploads/2023/10/DLV3_Icon_Ability_"&amp;INDEX('PWP-A'!$A$2:$C$31,MATCH('PWP-Print'!J745,'PWP-A'!$B$2:$B$31,0),1)&amp;".png")</f>
        <v>#VALUE!</v>
      </c>
      <c r="J745" s="229" t="str">
        <f>+INDEX(PWP!$A:$Z,MATCH('PWP-Print'!E744,PWP!$B:$B,0),MATCH("PWP Ability 2",PWP!$A$1:$Z$1,0))</f>
        <v>Elemental Res +15%</v>
      </c>
      <c r="K745" s="249" t="str">
        <f>+INDEX(PWP!$A:$Z,MATCH('PWP-Print'!E744,PWP!$B:$B,0),MATCH("Locked PWP Ability 2",PWP!$A$1:$Z$1,0))</f>
        <v>(Wind) Elemental Res +15%</v>
      </c>
      <c r="M745" s="729"/>
      <c r="N745" s="8"/>
      <c r="O745" s="200" t="str">
        <f>+INDEX(PWP!$A:$Z,MATCH('PWP-Print'!O744,PWP!$B:$B,0),MATCH("ID",PWP!$A$1:$Z$1,0))</f>
        <v>210084_01</v>
      </c>
      <c r="P745" s="8"/>
      <c r="Q745" s="249" t="str">
        <f>+INDEX(PWP!$A:$Z,MATCH('PWP-Print'!O744,PWP!$B:$B,0),MATCH("Name",PWP!$A$1:$Z$1,0))</f>
        <v>Freyja</v>
      </c>
      <c r="R745" s="8"/>
      <c r="S745" t="e" vm="330">
        <f>_xlfn.IMAGE("https://natalie.tf/wp-content/uploads/2023/10/DLV3_Icon_Ability_"&amp;INDEX('PWP-A'!$A$2:$C$31,MATCH('PWP-Print'!T745,'PWP-A'!$B$2:$B$31,0),1)&amp;".png")</f>
        <v>#VALUE!</v>
      </c>
      <c r="T745" s="229" t="str">
        <f>+INDEX(PWP!$A:$Z,MATCH('PWP-Print'!O744,PWP!$B:$B,0),MATCH("PWP Ability 2",PWP!$A$1:$Z$1,0))</f>
        <v>Skill Haste +10%</v>
      </c>
      <c r="U745" s="249" t="str">
        <f>+INDEX(PWP!$A:$Z,MATCH('PWP-Print'!O744,PWP!$B:$B,0),MATCH("Locked PWP Ability 2",PWP!$A$1:$Z$1,0))</f>
        <v>(Wind) Skill Haste +10%</v>
      </c>
    </row>
    <row r="746" spans="1:21" ht="22.5" customHeight="1" x14ac:dyDescent="0.3">
      <c r="A746" s="244" t="str">
        <f>TEXT(A742+1,"000")</f>
        <v>354</v>
      </c>
      <c r="B746" s="244" t="str">
        <f>TEXT(B742+1,"000")</f>
        <v>367</v>
      </c>
      <c r="C746" s="729"/>
      <c r="E746" s="251" t="str">
        <f>+INDEX(PWP!$A:$Z,MATCH('PWP-Print'!E744,PWP!$B:$B,0),MATCH("Num",PWP!$A$1:$Z$1,0))</f>
        <v>D-049</v>
      </c>
      <c r="G746" s="249" t="str">
        <f>+INDEX(PWP!$A:$Z,MATCH('PWP-Print'!E744,PWP!$B:$B,0),MATCH("Element",PWP!$A$1:$Z$1,0))&amp;" "&amp;INDEX(PWP!$A:$Z,MATCH('PWP-Print'!E744,PWP!$B:$B,0),MATCH("Type",PWP!$A$1:$Z$1,0))</f>
        <v>Wind Dragon</v>
      </c>
      <c r="K746" s="250"/>
      <c r="M746" s="729"/>
      <c r="O746" s="251" t="str">
        <f>+INDEX(PWP!$A:$Z,MATCH('PWP-Print'!O744,PWP!$B:$B,0),MATCH("Num",PWP!$A$1:$Z$1,0))</f>
        <v>D-062</v>
      </c>
      <c r="Q746" s="249" t="str">
        <f>+INDEX(PWP!$A:$Z,MATCH('PWP-Print'!O744,PWP!$B:$B,0),MATCH("Element",PWP!$A$1:$Z$1,0))&amp;" "&amp;INDEX(PWP!$A:$Z,MATCH('PWP-Print'!O744,PWP!$B:$B,0),MATCH("Type",PWP!$A$1:$Z$1,0))</f>
        <v>Wind Dragon</v>
      </c>
      <c r="U746" s="250"/>
    </row>
    <row r="747" spans="1:21" ht="7.5" customHeight="1" x14ac:dyDescent="0.3">
      <c r="A747" s="244" t="s">
        <v>10763</v>
      </c>
      <c r="E747" s="250"/>
      <c r="G747" s="250"/>
      <c r="K747" s="250"/>
      <c r="O747" s="250"/>
      <c r="Q747" s="250"/>
      <c r="U747" s="250"/>
    </row>
    <row r="748" spans="1:21" ht="22.5" customHeight="1" x14ac:dyDescent="0.3">
      <c r="C748" s="729" t="e" vm="1391">
        <f>_xlfn.IMAGE("https://natalie.tf/wp-content/uploads/2023/10/DLV3_Icon_DRA_"&amp;E749&amp;".png")</f>
        <v>#VALUE!</v>
      </c>
      <c r="E748" s="249" t="str">
        <f>"PWP-"&amp;A750</f>
        <v>PWP-355</v>
      </c>
      <c r="G748" s="249" t="str">
        <f>+INDEX(PWP!$A:$Z,MATCH('PWP-Print'!E748,PWP!$B:$B,0),MATCH("Title",PWP!$A$1:$Z$1,0))</f>
        <v>Unwavering Guardian</v>
      </c>
      <c r="I748" t="e" vm="601">
        <f>_xlfn.IMAGE("https://natalie.tf/wp-content/uploads/2023/10/DLV3_Icon_Ability_"&amp;INDEX('PWP-A'!$A$2:$C$31,MATCH('PWP-Print'!J748,'PWP-A'!$B$2:$B$31,0),1)&amp;".png")</f>
        <v>#VALUE!</v>
      </c>
      <c r="J748" s="229" t="str">
        <f>+INDEX(PWP!$A:$Z,MATCH('PWP-Print'!E748,PWP!$B:$B,0),MATCH("PWP Ability 1",PWP!$A$1:$Z$1,0))</f>
        <v>Dragon Haste +15%</v>
      </c>
      <c r="K748" s="249" t="str">
        <f>+INDEX(PWP!$A:$Z,MATCH('PWP-Print'!E748,PWP!$B:$B,0),MATCH("Locked PWP Ability 1",PWP!$A$1:$Z$1,0))</f>
        <v>(Wind) Dragon Haste +15%</v>
      </c>
      <c r="M748" s="729" t="e" vm="1392">
        <f>_xlfn.IMAGE("https://natalie.tf/wp-content/uploads/2023/10/DLV3_Icon_DRA_"&amp;O749&amp;".png")</f>
        <v>#VALUE!</v>
      </c>
      <c r="O748" s="249" t="str">
        <f>"PWP-"&amp;B750</f>
        <v>PWP-368</v>
      </c>
      <c r="Q748" s="249" t="str">
        <f>+INDEX(PWP!$A:$Z,MATCH('PWP-Print'!O748,PWP!$B:$B,0),MATCH("Title",PWP!$A$1:$Z$1,0))</f>
        <v>Celestial Steed</v>
      </c>
      <c r="S748" t="e" vm="601">
        <f>_xlfn.IMAGE("https://natalie.tf/wp-content/uploads/2023/10/DLV3_Icon_Ability_"&amp;INDEX('PWP-A'!$A$2:$C$31,MATCH('PWP-Print'!T748,'PWP-A'!$B$2:$B$31,0),1)&amp;".png")</f>
        <v>#VALUE!</v>
      </c>
      <c r="T748" s="229" t="str">
        <f>+INDEX(PWP!$A:$Z,MATCH('PWP-Print'!O748,PWP!$B:$B,0),MATCH("PWP Ability 1",PWP!$A$1:$Z$1,0))</f>
        <v>Dragon Haste +15%</v>
      </c>
      <c r="U748" s="249" t="str">
        <f>+INDEX(PWP!$A:$Z,MATCH('PWP-Print'!O748,PWP!$B:$B,0),MATCH("Locked PWP Ability 1",PWP!$A$1:$Z$1,0))</f>
        <v>(Wind) Dragon Haste +15%</v>
      </c>
    </row>
    <row r="749" spans="1:21" ht="22.5" customHeight="1" x14ac:dyDescent="0.3">
      <c r="C749" s="729"/>
      <c r="D749" s="8"/>
      <c r="E749" s="200" t="str">
        <f>+INDEX(PWP!$A:$Z,MATCH('PWP-Print'!E748,PWP!$B:$B,0),MATCH("ID",PWP!$A$1:$Z$1,0))</f>
        <v>210169_01</v>
      </c>
      <c r="F749" s="8"/>
      <c r="G749" s="249" t="str">
        <f>+INDEX(PWP!$A:$Z,MATCH('PWP-Print'!E748,PWP!$B:$B,0),MATCH("Name",PWP!$A$1:$Z$1,0))</f>
        <v>Fudo Myo-o</v>
      </c>
      <c r="H749" s="8"/>
      <c r="I749" t="e" vm="414">
        <f>_xlfn.IMAGE("https://natalie.tf/wp-content/uploads/2023/10/DLV3_Icon_Ability_"&amp;INDEX('PWP-A'!$A$2:$C$31,MATCH('PWP-Print'!J749,'PWP-A'!$B$2:$B$31,0),1)&amp;".png")</f>
        <v>#VALUE!</v>
      </c>
      <c r="J749" s="229" t="str">
        <f>+INDEX(PWP!$A:$Z,MATCH('PWP-Print'!E748,PWP!$B:$B,0),MATCH("PWP Ability 2",PWP!$A$1:$Z$1,0))</f>
        <v>Critical Damage +25%</v>
      </c>
      <c r="K749" s="249" t="str">
        <f>+INDEX(PWP!$A:$Z,MATCH('PWP-Print'!E748,PWP!$B:$B,0),MATCH("Locked PWP Ability 2",PWP!$A$1:$Z$1,0))</f>
        <v>(Wind) Critical Damage +25%</v>
      </c>
      <c r="M749" s="729"/>
      <c r="N749" s="8"/>
      <c r="O749" s="200" t="str">
        <f>+INDEX(PWP!$A:$Z,MATCH('PWP-Print'!O748,PWP!$B:$B,0),MATCH("ID",PWP!$A$1:$Z$1,0))</f>
        <v>210074_01</v>
      </c>
      <c r="P749" s="8"/>
      <c r="Q749" s="249" t="str">
        <f>+INDEX(PWP!$A:$Z,MATCH('PWP-Print'!O748,PWP!$B:$B,0),MATCH("Name",PWP!$A$1:$Z$1,0))</f>
        <v>Yulong</v>
      </c>
      <c r="R749" s="8"/>
      <c r="S749" t="e" vm="326">
        <f>_xlfn.IMAGE("https://natalie.tf/wp-content/uploads/2023/10/DLV3_Icon_Ability_"&amp;INDEX('PWP-A'!$A$2:$C$31,MATCH('PWP-Print'!T749,'PWP-A'!$B$2:$B$31,0),1)&amp;".png")</f>
        <v>#VALUE!</v>
      </c>
      <c r="T749" s="229" t="str">
        <f>+INDEX(PWP!$A:$Z,MATCH('PWP-Print'!O748,PWP!$B:$B,0),MATCH("PWP Ability 2",PWP!$A$1:$Z$1,0))</f>
        <v>Critical Rate +15%</v>
      </c>
      <c r="U749" s="249" t="str">
        <f>+INDEX(PWP!$A:$Z,MATCH('PWP-Print'!O748,PWP!$B:$B,0),MATCH("Locked PWP Ability 2",PWP!$A$1:$Z$1,0))</f>
        <v>(Wind) Critical Rate +15%</v>
      </c>
    </row>
    <row r="750" spans="1:21" ht="22.5" customHeight="1" x14ac:dyDescent="0.3">
      <c r="A750" s="244" t="str">
        <f>TEXT(A746+1,"000")</f>
        <v>355</v>
      </c>
      <c r="B750" s="244" t="str">
        <f>TEXT(B746+1,"000")</f>
        <v>368</v>
      </c>
      <c r="C750" s="729"/>
      <c r="E750" s="251" t="str">
        <f>+INDEX(PWP!$A:$Z,MATCH('PWP-Print'!E748,PWP!$B:$B,0),MATCH("Num",PWP!$A$1:$Z$1,0))</f>
        <v>D-050</v>
      </c>
      <c r="G750" s="249" t="str">
        <f>+INDEX(PWP!$A:$Z,MATCH('PWP-Print'!E748,PWP!$B:$B,0),MATCH("Element",PWP!$A$1:$Z$1,0))&amp;" "&amp;INDEX(PWP!$A:$Z,MATCH('PWP-Print'!E748,PWP!$B:$B,0),MATCH("Type",PWP!$A$1:$Z$1,0))</f>
        <v>Wind Dragon</v>
      </c>
      <c r="K750" s="250"/>
      <c r="M750" s="729"/>
      <c r="O750" s="251" t="str">
        <f>+INDEX(PWP!$A:$Z,MATCH('PWP-Print'!O748,PWP!$B:$B,0),MATCH("Num",PWP!$A$1:$Z$1,0))</f>
        <v>D-063</v>
      </c>
      <c r="Q750" s="249" t="str">
        <f>+INDEX(PWP!$A:$Z,MATCH('PWP-Print'!O748,PWP!$B:$B,0),MATCH("Element",PWP!$A$1:$Z$1,0))&amp;" "&amp;INDEX(PWP!$A:$Z,MATCH('PWP-Print'!O748,PWP!$B:$B,0),MATCH("Type",PWP!$A$1:$Z$1,0))</f>
        <v>Wind Dragon</v>
      </c>
      <c r="U750" s="250"/>
    </row>
    <row r="751" spans="1:21" ht="7.5" customHeight="1" x14ac:dyDescent="0.3">
      <c r="A751" s="244" t="s">
        <v>10763</v>
      </c>
      <c r="E751" s="250"/>
      <c r="G751" s="250"/>
      <c r="K751" s="250"/>
      <c r="O751" s="250"/>
      <c r="Q751" s="250"/>
      <c r="U751" s="250"/>
    </row>
    <row r="752" spans="1:21" ht="22.5" customHeight="1" x14ac:dyDescent="0.3">
      <c r="C752" s="729" t="e" vm="1393">
        <f>_xlfn.IMAGE("https://natalie.tf/wp-content/uploads/2023/10/DLV3_Icon_DRA_"&amp;E753&amp;".png")</f>
        <v>#VALUE!</v>
      </c>
      <c r="E752" s="249" t="str">
        <f>"PWP-"&amp;A754</f>
        <v>PWP-356</v>
      </c>
      <c r="G752" s="249" t="str">
        <f>+INDEX(PWP!$A:$Z,MATCH('PWP-Print'!E752,PWP!$B:$B,0),MATCH("Title",PWP!$A$1:$Z$1,0))</f>
        <v>Fangs of the Fangless</v>
      </c>
      <c r="I752" t="e" vm="601">
        <f>_xlfn.IMAGE("https://natalie.tf/wp-content/uploads/2023/10/DLV3_Icon_Ability_"&amp;INDEX('PWP-A'!$A$2:$C$31,MATCH('PWP-Print'!J752,'PWP-A'!$B$2:$B$31,0),1)&amp;".png")</f>
        <v>#VALUE!</v>
      </c>
      <c r="J752" s="229" t="str">
        <f>+INDEX(PWP!$A:$Z,MATCH('PWP-Print'!E752,PWP!$B:$B,0),MATCH("PWP Ability 1",PWP!$A$1:$Z$1,0))</f>
        <v>Dragon Haste +15%</v>
      </c>
      <c r="K752" s="249" t="str">
        <f>+INDEX(PWP!$A:$Z,MATCH('PWP-Print'!E752,PWP!$B:$B,0),MATCH("Locked PWP Ability 1",PWP!$A$1:$Z$1,0))</f>
        <v>(Wind) Dragon Haste +15%</v>
      </c>
      <c r="M752" s="729" t="e" vm="1394">
        <f>_xlfn.IMAGE("https://natalie.tf/wp-content/uploads/2023/10/DLV3_Icon_DRA_"&amp;O753&amp;".png")</f>
        <v>#VALUE!</v>
      </c>
      <c r="O752" s="249" t="str">
        <f>"PWP-"&amp;B754</f>
        <v>PWP-369</v>
      </c>
      <c r="Q752" s="249" t="str">
        <f>+INDEX(PWP!$A:$Z,MATCH('PWP-Print'!O752,PWP!$B:$B,0),MATCH("Title",PWP!$A$1:$Z$1,0))</f>
        <v>Calamitous Typhoon</v>
      </c>
      <c r="S752" t="e" vm="14">
        <f>_xlfn.IMAGE("https://natalie.tf/wp-content/uploads/2023/10/DLV3_Icon_Ability_"&amp;INDEX('PWP-A'!$A$2:$C$31,MATCH('PWP-Print'!T752,'PWP-A'!$B$2:$B$31,0),1)&amp;".png")</f>
        <v>#VALUE!</v>
      </c>
      <c r="T752" s="229" t="str">
        <f>+INDEX(PWP!$A:$Z,MATCH('PWP-Print'!O752,PWP!$B:$B,0),MATCH("PWP Ability 1",PWP!$A$1:$Z$1,0))</f>
        <v>Dragon Damage +18%</v>
      </c>
      <c r="U752" s="249" t="str">
        <f>+INDEX(PWP!$A:$Z,MATCH('PWP-Print'!O752,PWP!$B:$B,0),MATCH("Locked PWP Ability 1",PWP!$A$1:$Z$1,0))</f>
        <v>(Wind) Dragon Damage +18%</v>
      </c>
    </row>
    <row r="753" spans="1:21" ht="22.5" customHeight="1" x14ac:dyDescent="0.3">
      <c r="C753" s="729"/>
      <c r="D753" s="8"/>
      <c r="E753" s="200" t="str">
        <f>+INDEX(PWP!$A:$Z,MATCH('PWP-Print'!E752,PWP!$B:$B,0),MATCH("ID",PWP!$A$1:$Z$1,0))</f>
        <v>210161_01</v>
      </c>
      <c r="F753" s="8"/>
      <c r="G753" s="249" t="str">
        <f>+INDEX(PWP!$A:$Z,MATCH('PWP-Print'!E752,PWP!$B:$B,0),MATCH("Name",PWP!$A$1:$Z$1,0))</f>
        <v>Gala Beast Volk</v>
      </c>
      <c r="H753" s="8"/>
      <c r="I753" t="e" vm="14">
        <f>_xlfn.IMAGE("https://natalie.tf/wp-content/uploads/2023/10/DLV3_Icon_Ability_"&amp;INDEX('PWP-A'!$A$2:$C$31,MATCH('PWP-Print'!J753,'PWP-A'!$B$2:$B$31,0),1)&amp;".png")</f>
        <v>#VALUE!</v>
      </c>
      <c r="J753" s="229" t="str">
        <f>+INDEX(PWP!$A:$Z,MATCH('PWP-Print'!E752,PWP!$B:$B,0),MATCH("PWP Ability 2",PWP!$A$1:$Z$1,0))</f>
        <v>Strength +20%</v>
      </c>
      <c r="K753" s="249" t="str">
        <f>+INDEX(PWP!$A:$Z,MATCH('PWP-Print'!E752,PWP!$B:$B,0),MATCH("Locked PWP Ability 2",PWP!$A$1:$Z$1,0))</f>
        <v>(Wind) Strength +20%</v>
      </c>
      <c r="M753" s="729"/>
      <c r="N753" s="8"/>
      <c r="O753" s="200" t="str">
        <f>+INDEX(PWP!$A:$Z,MATCH('PWP-Print'!O752,PWP!$B:$B,0),MATCH("ID",PWP!$A$1:$Z$1,0))</f>
        <v>210026_01</v>
      </c>
      <c r="P753" s="8"/>
      <c r="Q753" s="249" t="str">
        <f>+INDEX(PWP!$A:$Z,MATCH('PWP-Print'!O752,PWP!$B:$B,0),MATCH("Name",PWP!$A$1:$Z$1,0))</f>
        <v>Pazuzu</v>
      </c>
      <c r="R753" s="8"/>
      <c r="S753" t="e" vm="414">
        <f>_xlfn.IMAGE("https://natalie.tf/wp-content/uploads/2023/10/DLV3_Icon_Ability_"&amp;INDEX('PWP-A'!$A$2:$C$31,MATCH('PWP-Print'!T753,'PWP-A'!$B$2:$B$31,0),1)&amp;".png")</f>
        <v>#VALUE!</v>
      </c>
      <c r="T753" s="229" t="str">
        <f>+INDEX(PWP!$A:$Z,MATCH('PWP-Print'!O752,PWP!$B:$B,0),MATCH("PWP Ability 2",PWP!$A$1:$Z$1,0))</f>
        <v>Critical Damage +25%</v>
      </c>
      <c r="U753" s="249" t="str">
        <f>+INDEX(PWP!$A:$Z,MATCH('PWP-Print'!O752,PWP!$B:$B,0),MATCH("Locked PWP Ability 2",PWP!$A$1:$Z$1,0))</f>
        <v>(Wind) Critical Damage +25%</v>
      </c>
    </row>
    <row r="754" spans="1:21" ht="22.5" customHeight="1" x14ac:dyDescent="0.3">
      <c r="A754" s="244" t="str">
        <f>TEXT(A750+1,"000")</f>
        <v>356</v>
      </c>
      <c r="B754" s="244" t="str">
        <f>TEXT(B750+1,"000")</f>
        <v>369</v>
      </c>
      <c r="C754" s="729"/>
      <c r="E754" s="251" t="str">
        <f>+INDEX(PWP!$A:$Z,MATCH('PWP-Print'!E752,PWP!$B:$B,0),MATCH("Num",PWP!$A$1:$Z$1,0))</f>
        <v>D-051</v>
      </c>
      <c r="G754" s="249" t="str">
        <f>+INDEX(PWP!$A:$Z,MATCH('PWP-Print'!E752,PWP!$B:$B,0),MATCH("Element",PWP!$A$1:$Z$1,0))&amp;" "&amp;INDEX(PWP!$A:$Z,MATCH('PWP-Print'!E752,PWP!$B:$B,0),MATCH("Type",PWP!$A$1:$Z$1,0))</f>
        <v>Wind Dragon</v>
      </c>
      <c r="K754" s="250"/>
      <c r="M754" s="729"/>
      <c r="O754" s="251" t="str">
        <f>+INDEX(PWP!$A:$Z,MATCH('PWP-Print'!O752,PWP!$B:$B,0),MATCH("Num",PWP!$A$1:$Z$1,0))</f>
        <v>D-064</v>
      </c>
      <c r="Q754" s="249" t="str">
        <f>+INDEX(PWP!$A:$Z,MATCH('PWP-Print'!O752,PWP!$B:$B,0),MATCH("Element",PWP!$A$1:$Z$1,0))&amp;" "&amp;INDEX(PWP!$A:$Z,MATCH('PWP-Print'!O752,PWP!$B:$B,0),MATCH("Type",PWP!$A$1:$Z$1,0))</f>
        <v>Wind Dragon</v>
      </c>
      <c r="U754" s="250"/>
    </row>
    <row r="755" spans="1:21" ht="7.5" customHeight="1" x14ac:dyDescent="0.3">
      <c r="A755" s="244" t="s">
        <v>10763</v>
      </c>
      <c r="E755" s="250"/>
      <c r="G755" s="250"/>
      <c r="K755" s="250"/>
      <c r="O755" s="250"/>
      <c r="Q755" s="250"/>
      <c r="U755" s="250"/>
    </row>
    <row r="756" spans="1:21" ht="22.5" customHeight="1" x14ac:dyDescent="0.3">
      <c r="C756" s="729" t="e" vm="1395">
        <f>_xlfn.IMAGE("https://natalie.tf/wp-content/uploads/2023/10/DLV3_Icon_DRA_"&amp;E757&amp;".png")</f>
        <v>#VALUE!</v>
      </c>
      <c r="E756" s="249" t="str">
        <f>"PWP-"&amp;A758</f>
        <v>PWP-357</v>
      </c>
      <c r="G756" s="249" t="str">
        <f>+INDEX(PWP!$A:$Z,MATCH('PWP-Print'!E756,PWP!$B:$B,0),MATCH("Title",PWP!$A$1:$Z$1,0))</f>
        <v>Solitary Rose</v>
      </c>
      <c r="I756" t="e" vm="382">
        <f>_xlfn.IMAGE("https://natalie.tf/wp-content/uploads/2023/10/DLV3_Icon_Ability_"&amp;INDEX('PWP-A'!$A$2:$C$31,MATCH('PWP-Print'!J756,'PWP-A'!$B$2:$B$31,0),1)&amp;".png")</f>
        <v>#VALUE!</v>
      </c>
      <c r="J756" s="229" t="str">
        <f>+INDEX(PWP!$A:$Z,MATCH('PWP-Print'!E756,PWP!$B:$B,0),MATCH("PWP Ability 1",PWP!$A$1:$Z$1,0))</f>
        <v>Dragon Time +20%</v>
      </c>
      <c r="K756" s="249" t="str">
        <f>+INDEX(PWP!$A:$Z,MATCH('PWP-Print'!E756,PWP!$B:$B,0),MATCH("Locked PWP Ability 1",PWP!$A$1:$Z$1,0))</f>
        <v>(Wind) Dragon Time +20%</v>
      </c>
      <c r="M756" s="729" t="e" vm="1396">
        <f>_xlfn.IMAGE("https://natalie.tf/wp-content/uploads/2023/10/DLV3_Icon_DRA_"&amp;O757&amp;".png")</f>
        <v>#VALUE!</v>
      </c>
      <c r="O756" s="249" t="str">
        <f>"PWP-"&amp;B758</f>
        <v>PWP-370</v>
      </c>
      <c r="Q756" s="249" t="str">
        <f>+INDEX(PWP!$A:$Z,MATCH('PWP-Print'!O756,PWP!$B:$B,0),MATCH("Title",PWP!$A$1:$Z$1,0))</f>
        <v>Kung-Fu Master</v>
      </c>
      <c r="S756" t="e" vm="382">
        <f>_xlfn.IMAGE("https://natalie.tf/wp-content/uploads/2023/10/DLV3_Icon_Ability_"&amp;INDEX('PWP-A'!$A$2:$C$31,MATCH('PWP-Print'!T756,'PWP-A'!$B$2:$B$31,0),1)&amp;".png")</f>
        <v>#VALUE!</v>
      </c>
      <c r="T756" s="229" t="str">
        <f>+INDEX(PWP!$A:$Z,MATCH('PWP-Print'!O756,PWP!$B:$B,0),MATCH("PWP Ability 1",PWP!$A$1:$Z$1,0))</f>
        <v>Dragon Time +20%</v>
      </c>
      <c r="U756" s="249" t="str">
        <f>+INDEX(PWP!$A:$Z,MATCH('PWP-Print'!O756,PWP!$B:$B,0),MATCH("Locked PWP Ability 1",PWP!$A$1:$Z$1,0))</f>
        <v>(Wind) Dragon Time +20%</v>
      </c>
    </row>
    <row r="757" spans="1:21" ht="22.5" customHeight="1" x14ac:dyDescent="0.3">
      <c r="C757" s="729"/>
      <c r="D757" s="8"/>
      <c r="E757" s="200" t="str">
        <f>+INDEX(PWP!$A:$Z,MATCH('PWP-Print'!E756,PWP!$B:$B,0),MATCH("ID",PWP!$A$1:$Z$1,0))</f>
        <v>210152_01</v>
      </c>
      <c r="F757" s="8"/>
      <c r="G757" s="249" t="str">
        <f>+INDEX(PWP!$A:$Z,MATCH('PWP-Print'!E756,PWP!$B:$B,0),MATCH("Name",PWP!$A$1:$Z$1,0))</f>
        <v>Rose Queen</v>
      </c>
      <c r="H757" s="8"/>
      <c r="I757" t="e" vm="14">
        <f>_xlfn.IMAGE("https://natalie.tf/wp-content/uploads/2023/10/DLV3_Icon_Ability_"&amp;INDEX('PWP-A'!$A$2:$C$31,MATCH('PWP-Print'!J757,'PWP-A'!$B$2:$B$31,0),1)&amp;".png")</f>
        <v>#VALUE!</v>
      </c>
      <c r="J757" s="229" t="str">
        <f>+INDEX(PWP!$A:$Z,MATCH('PWP-Print'!E756,PWP!$B:$B,0),MATCH("PWP Ability 2",PWP!$A$1:$Z$1,0))</f>
        <v>Strength +20%</v>
      </c>
      <c r="K757" s="249" t="str">
        <f>+INDEX(PWP!$A:$Z,MATCH('PWP-Print'!E756,PWP!$B:$B,0),MATCH("Locked PWP Ability 2",PWP!$A$1:$Z$1,0))</f>
        <v>(Wind) Strength +20%</v>
      </c>
      <c r="M757" s="729"/>
      <c r="N757" s="8"/>
      <c r="O757" s="200" t="str">
        <f>+INDEX(PWP!$A:$Z,MATCH('PWP-Print'!O756,PWP!$B:$B,0),MATCH("ID",PWP!$A$1:$Z$1,0))</f>
        <v>210080_01</v>
      </c>
      <c r="P757" s="8"/>
      <c r="Q757" s="249" t="str">
        <f>+INDEX(PWP!$A:$Z,MATCH('PWP-Print'!O756,PWP!$B:$B,0),MATCH("Name",PWP!$A$1:$Z$1,0))</f>
        <v>Long Long</v>
      </c>
      <c r="R757" s="8"/>
      <c r="S757" t="e" vm="414">
        <f>_xlfn.IMAGE("https://natalie.tf/wp-content/uploads/2023/10/DLV3_Icon_Ability_"&amp;INDEX('PWP-A'!$A$2:$C$31,MATCH('PWP-Print'!T757,'PWP-A'!$B$2:$B$31,0),1)&amp;".png")</f>
        <v>#VALUE!</v>
      </c>
      <c r="T757" s="229" t="str">
        <f>+INDEX(PWP!$A:$Z,MATCH('PWP-Print'!O756,PWP!$B:$B,0),MATCH("PWP Ability 2",PWP!$A$1:$Z$1,0))</f>
        <v>Critical Damage +25%</v>
      </c>
      <c r="U757" s="249" t="str">
        <f>+INDEX(PWP!$A:$Z,MATCH('PWP-Print'!O756,PWP!$B:$B,0),MATCH("Locked PWP Ability 2",PWP!$A$1:$Z$1,0))</f>
        <v>(Wind) Critical Damage +25%</v>
      </c>
    </row>
    <row r="758" spans="1:21" ht="22.5" customHeight="1" x14ac:dyDescent="0.3">
      <c r="A758" s="244" t="str">
        <f>TEXT(A754+1,"000")</f>
        <v>357</v>
      </c>
      <c r="B758" s="244" t="str">
        <f>TEXT(B754+1,"000")</f>
        <v>370</v>
      </c>
      <c r="C758" s="729"/>
      <c r="E758" s="251" t="str">
        <f>+INDEX(PWP!$A:$Z,MATCH('PWP-Print'!E756,PWP!$B:$B,0),MATCH("Num",PWP!$A$1:$Z$1,0))</f>
        <v>D-052</v>
      </c>
      <c r="G758" s="249" t="str">
        <f>+INDEX(PWP!$A:$Z,MATCH('PWP-Print'!E756,PWP!$B:$B,0),MATCH("Element",PWP!$A$1:$Z$1,0))&amp;" "&amp;INDEX(PWP!$A:$Z,MATCH('PWP-Print'!E756,PWP!$B:$B,0),MATCH("Type",PWP!$A$1:$Z$1,0))</f>
        <v>Wind Dragon</v>
      </c>
      <c r="K758" s="250"/>
      <c r="M758" s="729"/>
      <c r="O758" s="251" t="str">
        <f>+INDEX(PWP!$A:$Z,MATCH('PWP-Print'!O756,PWP!$B:$B,0),MATCH("Num",PWP!$A$1:$Z$1,0))</f>
        <v>D-065</v>
      </c>
      <c r="Q758" s="249" t="str">
        <f>+INDEX(PWP!$A:$Z,MATCH('PWP-Print'!O756,PWP!$B:$B,0),MATCH("Element",PWP!$A$1:$Z$1,0))&amp;" "&amp;INDEX(PWP!$A:$Z,MATCH('PWP-Print'!O756,PWP!$B:$B,0),MATCH("Type",PWP!$A$1:$Z$1,0))</f>
        <v>Wind Dragon</v>
      </c>
      <c r="U758" s="250"/>
    </row>
    <row r="759" spans="1:21" ht="7.5" customHeight="1" x14ac:dyDescent="0.3">
      <c r="A759" s="244" t="s">
        <v>10763</v>
      </c>
      <c r="E759" s="250"/>
      <c r="G759" s="250"/>
      <c r="K759" s="250"/>
      <c r="O759" s="250"/>
      <c r="Q759" s="250"/>
      <c r="U759" s="250"/>
    </row>
    <row r="760" spans="1:21" ht="22.5" customHeight="1" x14ac:dyDescent="0.3">
      <c r="C760" s="729" t="e" vm="1397">
        <f>_xlfn.IMAGE("https://natalie.tf/wp-content/uploads/2023/10/DLV3_Icon_DRA_"&amp;E761&amp;".png")</f>
        <v>#VALUE!</v>
      </c>
      <c r="E760" s="249" t="str">
        <f>"PWP-"&amp;A762</f>
        <v>PWP-358</v>
      </c>
      <c r="G760" s="249" t="str">
        <f>+INDEX(PWP!$A:$Z,MATCH('PWP-Print'!E760,PWP!$B:$B,0),MATCH("Title",PWP!$A$1:$Z$1,0))</f>
        <v>Raging Wind</v>
      </c>
      <c r="I760" t="e" vm="601">
        <f>_xlfn.IMAGE("https://natalie.tf/wp-content/uploads/2023/10/DLV3_Icon_Ability_"&amp;INDEX('PWP-A'!$A$2:$C$31,MATCH('PWP-Print'!J760,'PWP-A'!$B$2:$B$31,0),1)&amp;".png")</f>
        <v>#VALUE!</v>
      </c>
      <c r="J760" s="229" t="str">
        <f>+INDEX(PWP!$A:$Z,MATCH('PWP-Print'!E760,PWP!$B:$B,0),MATCH("PWP Ability 1",PWP!$A$1:$Z$1,0))</f>
        <v>Dragon Haste +15%</v>
      </c>
      <c r="K760" s="249" t="str">
        <f>+INDEX(PWP!$A:$Z,MATCH('PWP-Print'!E760,PWP!$B:$B,0),MATCH("Locked PWP Ability 1",PWP!$A$1:$Z$1,0))</f>
        <v>(Wind) Dragon Haste +15%</v>
      </c>
      <c r="M760" s="729" t="e" vm="1398">
        <f>_xlfn.IMAGE("https://natalie.tf/wp-content/uploads/2023/10/DLV3_Icon_DRA_"&amp;O761&amp;".png")</f>
        <v>#VALUE!</v>
      </c>
      <c r="O760" s="249" t="str">
        <f>"PWP-"&amp;B762</f>
        <v>PWP-371</v>
      </c>
      <c r="Q760" s="249" t="str">
        <f>+INDEX(PWP!$A:$Z,MATCH('PWP-Print'!O760,PWP!$B:$B,0),MATCH("Title",PWP!$A$1:$Z$1,0))</f>
        <v>Prideful Gale</v>
      </c>
      <c r="S760" t="e" vm="382">
        <f>_xlfn.IMAGE("https://natalie.tf/wp-content/uploads/2023/10/DLV3_Icon_Ability_"&amp;INDEX('PWP-A'!$A$2:$C$31,MATCH('PWP-Print'!T760,'PWP-A'!$B$2:$B$31,0),1)&amp;".png")</f>
        <v>#VALUE!</v>
      </c>
      <c r="T760" s="229" t="str">
        <f>+INDEX(PWP!$A:$Z,MATCH('PWP-Print'!O760,PWP!$B:$B,0),MATCH("PWP Ability 1",PWP!$A$1:$Z$1,0))</f>
        <v>Dragon Time +20%</v>
      </c>
      <c r="U760" s="249" t="str">
        <f>+INDEX(PWP!$A:$Z,MATCH('PWP-Print'!O760,PWP!$B:$B,0),MATCH("Locked PWP Ability 1",PWP!$A$1:$Z$1,0))</f>
        <v>(Wind) Dragon Time +20%</v>
      </c>
    </row>
    <row r="761" spans="1:21" ht="22.5" customHeight="1" x14ac:dyDescent="0.3">
      <c r="C761" s="729"/>
      <c r="D761" s="8"/>
      <c r="E761" s="200" t="str">
        <f>+INDEX(PWP!$A:$Z,MATCH('PWP-Print'!E760,PWP!$B:$B,0),MATCH("ID",PWP!$A$1:$Z$1,0))</f>
        <v>210137_01</v>
      </c>
      <c r="F761" s="8"/>
      <c r="G761" s="249" t="str">
        <f>+INDEX(PWP!$A:$Z,MATCH('PWP-Print'!E760,PWP!$B:$B,0),MATCH("Name",PWP!$A$1:$Z$1,0))</f>
        <v>Menoetius</v>
      </c>
      <c r="H761" s="8"/>
      <c r="I761" t="e" vm="696">
        <f>_xlfn.IMAGE("https://natalie.tf/wp-content/uploads/2023/10/DLV3_Icon_Ability_"&amp;INDEX('PWP-A'!$A$2:$C$31,MATCH('PWP-Print'!J761,'PWP-A'!$B$2:$B$31,0),1)&amp;".png")</f>
        <v>#VALUE!</v>
      </c>
      <c r="J761" s="229" t="str">
        <f>+INDEX(PWP!$A:$Z,MATCH('PWP-Print'!E760,PWP!$B:$B,0),MATCH("PWP Ability 2",PWP!$A$1:$Z$1,0))</f>
        <v>Elemental Res +15%</v>
      </c>
      <c r="K761" s="249" t="str">
        <f>+INDEX(PWP!$A:$Z,MATCH('PWP-Print'!E760,PWP!$B:$B,0),MATCH("Locked PWP Ability 2",PWP!$A$1:$Z$1,0))</f>
        <v>(Wind) Elemental Res +15%</v>
      </c>
      <c r="M761" s="729"/>
      <c r="N761" s="8"/>
      <c r="O761" s="200" t="str">
        <f>+INDEX(PWP!$A:$Z,MATCH('PWP-Print'!O760,PWP!$B:$B,0),MATCH("ID",PWP!$A$1:$Z$1,0))</f>
        <v>210036_01</v>
      </c>
      <c r="P761" s="8"/>
      <c r="Q761" s="249" t="str">
        <f>+INDEX(PWP!$A:$Z,MATCH('PWP-Print'!O760,PWP!$B:$B,0),MATCH("Name",PWP!$A$1:$Z$1,0))</f>
        <v>Garuda</v>
      </c>
      <c r="R761" s="8"/>
      <c r="S761" t="e" vm="688">
        <f>_xlfn.IMAGE("https://natalie.tf/wp-content/uploads/2023/10/DLV3_Icon_Ability_"&amp;INDEX('PWP-A'!$A$2:$C$31,MATCH('PWP-Print'!T761,'PWP-A'!$B$2:$B$31,0),1)&amp;".png")</f>
        <v>#VALUE!</v>
      </c>
      <c r="T761" s="229" t="str">
        <f>+INDEX(PWP!$A:$Z,MATCH('PWP-Print'!O760,PWP!$B:$B,0),MATCH("PWP Ability 2",PWP!$A$1:$Z$1,0))</f>
        <v>Overdrive Punisher +15%</v>
      </c>
      <c r="U761" s="249" t="str">
        <f>+INDEX(PWP!$A:$Z,MATCH('PWP-Print'!O760,PWP!$B:$B,0),MATCH("Locked PWP Ability 2",PWP!$A$1:$Z$1,0))</f>
        <v>(Wind) Overdrive Punisher +15%</v>
      </c>
    </row>
    <row r="762" spans="1:21" ht="22.5" customHeight="1" x14ac:dyDescent="0.3">
      <c r="A762" s="244" t="str">
        <f>TEXT(A758+1,"000")</f>
        <v>358</v>
      </c>
      <c r="B762" s="244" t="str">
        <f>TEXT(B758+1,"000")</f>
        <v>371</v>
      </c>
      <c r="C762" s="729"/>
      <c r="E762" s="251" t="str">
        <f>+INDEX(PWP!$A:$Z,MATCH('PWP-Print'!E760,PWP!$B:$B,0),MATCH("Num",PWP!$A$1:$Z$1,0))</f>
        <v>D-053</v>
      </c>
      <c r="G762" s="249" t="str">
        <f>+INDEX(PWP!$A:$Z,MATCH('PWP-Print'!E760,PWP!$B:$B,0),MATCH("Element",PWP!$A$1:$Z$1,0))&amp;" "&amp;INDEX(PWP!$A:$Z,MATCH('PWP-Print'!E760,PWP!$B:$B,0),MATCH("Type",PWP!$A$1:$Z$1,0))</f>
        <v>Wind Dragon</v>
      </c>
      <c r="K762" s="250"/>
      <c r="M762" s="729"/>
      <c r="O762" s="251" t="str">
        <f>+INDEX(PWP!$A:$Z,MATCH('PWP-Print'!O760,PWP!$B:$B,0),MATCH("Num",PWP!$A$1:$Z$1,0))</f>
        <v>D-066</v>
      </c>
      <c r="Q762" s="249" t="str">
        <f>+INDEX(PWP!$A:$Z,MATCH('PWP-Print'!O760,PWP!$B:$B,0),MATCH("Element",PWP!$A$1:$Z$1,0))&amp;" "&amp;INDEX(PWP!$A:$Z,MATCH('PWP-Print'!O760,PWP!$B:$B,0),MATCH("Type",PWP!$A$1:$Z$1,0))</f>
        <v>Wind Dragon</v>
      </c>
      <c r="U762" s="250"/>
    </row>
    <row r="763" spans="1:21" ht="7.5" customHeight="1" x14ac:dyDescent="0.3">
      <c r="A763" s="244" t="s">
        <v>10763</v>
      </c>
      <c r="E763" s="250"/>
      <c r="G763" s="250"/>
      <c r="K763" s="250"/>
      <c r="O763" s="250"/>
      <c r="Q763" s="250"/>
      <c r="U763" s="250"/>
    </row>
    <row r="764" spans="1:21" ht="22.5" customHeight="1" x14ac:dyDescent="0.3">
      <c r="C764" s="729" t="e" vm="1399">
        <f>_xlfn.IMAGE("https://natalie.tf/wp-content/uploads/2023/10/DLV3_Icon_DRA_"&amp;E765&amp;".png")</f>
        <v>#VALUE!</v>
      </c>
      <c r="E764" s="249" t="str">
        <f>"PWP-"&amp;A766</f>
        <v>PWP-359</v>
      </c>
      <c r="G764" s="249" t="str">
        <f>+INDEX(PWP!$A:$Z,MATCH('PWP-Print'!E764,PWP!$B:$B,0),MATCH("Title",PWP!$A$1:$Z$1,0))</f>
        <v>Guardian of the Plains</v>
      </c>
      <c r="I764" t="e" vm="382">
        <f>_xlfn.IMAGE("https://natalie.tf/wp-content/uploads/2023/10/DLV3_Icon_Ability_"&amp;INDEX('PWP-A'!$A$2:$C$31,MATCH('PWP-Print'!J764,'PWP-A'!$B$2:$B$31,0),1)&amp;".png")</f>
        <v>#VALUE!</v>
      </c>
      <c r="J764" s="229" t="str">
        <f>+INDEX(PWP!$A:$Z,MATCH('PWP-Print'!E764,PWP!$B:$B,0),MATCH("PWP Ability 1",PWP!$A$1:$Z$1,0))</f>
        <v>Dragon Time +20%</v>
      </c>
      <c r="K764" s="249" t="str">
        <f>+INDEX(PWP!$A:$Z,MATCH('PWP-Print'!E764,PWP!$B:$B,0),MATCH("Locked PWP Ability 1",PWP!$A$1:$Z$1,0))</f>
        <v>(Wind) Dragon Time +20%</v>
      </c>
      <c r="M764" s="729" t="e" vm="1400">
        <f>_xlfn.IMAGE("https://natalie.tf/wp-content/uploads/2023/10/DLV3_Icon_DRA_"&amp;O765&amp;".png")</f>
        <v>#VALUE!</v>
      </c>
      <c r="O764" s="249" t="str">
        <f>"PWP-"&amp;B766</f>
        <v>PWP-372</v>
      </c>
      <c r="Q764" s="249" t="str">
        <f>+INDEX(PWP!$A:$Z,MATCH('PWP-Print'!O764,PWP!$B:$B,0),MATCH("Title",PWP!$A$1:$Z$1,0))</f>
        <v>Guardian of the Wood</v>
      </c>
      <c r="S764" t="e" vm="601">
        <f>_xlfn.IMAGE("https://natalie.tf/wp-content/uploads/2023/10/DLV3_Icon_Ability_"&amp;INDEX('PWP-A'!$A$2:$C$31,MATCH('PWP-Print'!T764,'PWP-A'!$B$2:$B$31,0),1)&amp;".png")</f>
        <v>#VALUE!</v>
      </c>
      <c r="T764" s="229" t="str">
        <f>+INDEX(PWP!$A:$Z,MATCH('PWP-Print'!O764,PWP!$B:$B,0),MATCH("PWP Ability 1",PWP!$A$1:$Z$1,0))</f>
        <v>Dragon Haste +15%</v>
      </c>
      <c r="U764" s="249" t="str">
        <f>+INDEX(PWP!$A:$Z,MATCH('PWP-Print'!O764,PWP!$B:$B,0),MATCH("Locked PWP Ability 1",PWP!$A$1:$Z$1,0))</f>
        <v>(Wind) Dragon Haste +15%</v>
      </c>
    </row>
    <row r="765" spans="1:21" ht="22.5" customHeight="1" x14ac:dyDescent="0.3">
      <c r="C765" s="729"/>
      <c r="D765" s="8"/>
      <c r="E765" s="200" t="str">
        <f>+INDEX(PWP!$A:$Z,MATCH('PWP-Print'!E764,PWP!$B:$B,0),MATCH("ID",PWP!$A$1:$Z$1,0))</f>
        <v>210143_01</v>
      </c>
      <c r="F765" s="8"/>
      <c r="G765" s="249" t="str">
        <f>+INDEX(PWP!$A:$Z,MATCH('PWP-Print'!E764,PWP!$B:$B,0),MATCH("Name",PWP!$A$1:$Z$1,0))</f>
        <v>Gala Reborn Zephyr</v>
      </c>
      <c r="H765" s="8"/>
      <c r="I765" t="e" vm="326">
        <f>_xlfn.IMAGE("https://natalie.tf/wp-content/uploads/2023/10/DLV3_Icon_Ability_"&amp;INDEX('PWP-A'!$A$2:$C$31,MATCH('PWP-Print'!J765,'PWP-A'!$B$2:$B$31,0),1)&amp;".png")</f>
        <v>#VALUE!</v>
      </c>
      <c r="J765" s="229" t="str">
        <f>+INDEX(PWP!$A:$Z,MATCH('PWP-Print'!E764,PWP!$B:$B,0),MATCH("PWP Ability 2",PWP!$A$1:$Z$1,0))</f>
        <v>Critical Rate +15%</v>
      </c>
      <c r="K765" s="249" t="str">
        <f>+INDEX(PWP!$A:$Z,MATCH('PWP-Print'!E764,PWP!$B:$B,0),MATCH("Locked PWP Ability 2",PWP!$A$1:$Z$1,0))</f>
        <v>(Wind) Critical Rate +15%</v>
      </c>
      <c r="M765" s="729"/>
      <c r="N765" s="8"/>
      <c r="O765" s="200" t="str">
        <f>+INDEX(PWP!$A:$Z,MATCH('PWP-Print'!O764,PWP!$B:$B,0),MATCH("ID",PWP!$A$1:$Z$1,0))</f>
        <v>210010_01</v>
      </c>
      <c r="P765" s="8"/>
      <c r="Q765" s="249" t="str">
        <f>+INDEX(PWP!$A:$Z,MATCH('PWP-Print'!O764,PWP!$B:$B,0),MATCH("Name",PWP!$A$1:$Z$1,0))</f>
        <v>Sylvia</v>
      </c>
      <c r="R765" s="8"/>
      <c r="S765" t="e" vm="426">
        <f>_xlfn.IMAGE("https://natalie.tf/wp-content/uploads/2023/10/DLV3_Icon_Ability_"&amp;INDEX('PWP-A'!$A$2:$C$31,MATCH('PWP-Print'!T765,'PWP-A'!$B$2:$B$31,0),1)&amp;".png")</f>
        <v>#VALUE!</v>
      </c>
      <c r="T765" s="229" t="str">
        <f>+INDEX(PWP!$A:$Z,MATCH('PWP-Print'!O764,PWP!$B:$B,0),MATCH("PWP Ability 2",PWP!$A$1:$Z$1,0))</f>
        <v>Defense +20%</v>
      </c>
      <c r="U765" s="249" t="str">
        <f>+INDEX(PWP!$A:$Z,MATCH('PWP-Print'!O764,PWP!$B:$B,0),MATCH("Locked PWP Ability 2",PWP!$A$1:$Z$1,0))</f>
        <v>(Wind) Defense +20%</v>
      </c>
    </row>
    <row r="766" spans="1:21" ht="22.5" customHeight="1" x14ac:dyDescent="0.3">
      <c r="A766" s="244" t="str">
        <f>TEXT(A762+1,"000")</f>
        <v>359</v>
      </c>
      <c r="B766" s="244" t="str">
        <f>TEXT(B762+1,"000")</f>
        <v>372</v>
      </c>
      <c r="C766" s="729"/>
      <c r="E766" s="251" t="str">
        <f>+INDEX(PWP!$A:$Z,MATCH('PWP-Print'!E764,PWP!$B:$B,0),MATCH("Num",PWP!$A$1:$Z$1,0))</f>
        <v>D-054</v>
      </c>
      <c r="G766" s="249" t="str">
        <f>+INDEX(PWP!$A:$Z,MATCH('PWP-Print'!E764,PWP!$B:$B,0),MATCH("Element",PWP!$A$1:$Z$1,0))&amp;" "&amp;INDEX(PWP!$A:$Z,MATCH('PWP-Print'!E764,PWP!$B:$B,0),MATCH("Type",PWP!$A$1:$Z$1,0))</f>
        <v>Wind Dragon</v>
      </c>
      <c r="K766" s="250"/>
      <c r="M766" s="729"/>
      <c r="O766" s="251" t="str">
        <f>+INDEX(PWP!$A:$Z,MATCH('PWP-Print'!O764,PWP!$B:$B,0),MATCH("Num",PWP!$A$1:$Z$1,0))</f>
        <v>D-067</v>
      </c>
      <c r="Q766" s="249" t="str">
        <f>+INDEX(PWP!$A:$Z,MATCH('PWP-Print'!O764,PWP!$B:$B,0),MATCH("Element",PWP!$A$1:$Z$1,0))&amp;" "&amp;INDEX(PWP!$A:$Z,MATCH('PWP-Print'!O764,PWP!$B:$B,0),MATCH("Type",PWP!$A$1:$Z$1,0))</f>
        <v>Wind Dragon</v>
      </c>
      <c r="U766" s="250"/>
    </row>
    <row r="767" spans="1:21" ht="7.5" customHeight="1" x14ac:dyDescent="0.3">
      <c r="A767" s="244" t="s">
        <v>10763</v>
      </c>
      <c r="E767" s="250"/>
      <c r="G767" s="250"/>
      <c r="K767" s="250"/>
      <c r="O767" s="250"/>
      <c r="Q767" s="250"/>
      <c r="U767" s="250"/>
    </row>
    <row r="768" spans="1:21" ht="22.5" customHeight="1" x14ac:dyDescent="0.3">
      <c r="C768" s="729" t="e" vm="1401">
        <f>_xlfn.IMAGE("https://natalie.tf/wp-content/uploads/2023/10/DLV3_Icon_DRA_"&amp;E769&amp;".png")</f>
        <v>#VALUE!</v>
      </c>
      <c r="E768" s="249" t="str">
        <f>"PWP-"&amp;A770</f>
        <v>PWP-360</v>
      </c>
      <c r="G768" s="249" t="str">
        <f>+INDEX(PWP!$A:$Z,MATCH('PWP-Print'!E768,PWP!$B:$B,0),MATCH("Title",PWP!$A$1:$Z$1,0))</f>
        <v>Primal Stormbearer</v>
      </c>
      <c r="I768" t="e" vm="382">
        <f>_xlfn.IMAGE("https://natalie.tf/wp-content/uploads/2023/10/DLV3_Icon_Ability_"&amp;INDEX('PWP-A'!$A$2:$C$31,MATCH('PWP-Print'!J768,'PWP-A'!$B$2:$B$31,0),1)&amp;".png")</f>
        <v>#VALUE!</v>
      </c>
      <c r="J768" s="229" t="str">
        <f>+INDEX(PWP!$A:$Z,MATCH('PWP-Print'!E768,PWP!$B:$B,0),MATCH("PWP Ability 1",PWP!$A$1:$Z$1,0))</f>
        <v>Dragon Time +20%</v>
      </c>
      <c r="K768" s="249" t="str">
        <f>+INDEX(PWP!$A:$Z,MATCH('PWP-Print'!E768,PWP!$B:$B,0),MATCH("Locked PWP Ability 1",PWP!$A$1:$Z$1,0))</f>
        <v>(Wind) Dragon Time +20%</v>
      </c>
      <c r="M768" s="729" t="e" vm="1402">
        <f>_xlfn.IMAGE("https://natalie.tf/wp-content/uploads/2023/10/DLV3_Icon_DRA_"&amp;O769&amp;".png")</f>
        <v>#VALUE!</v>
      </c>
      <c r="O768" s="249" t="str">
        <f>"PWP-"&amp;B770</f>
        <v>PWP-373</v>
      </c>
      <c r="Q768" s="249" t="str">
        <f>+INDEX(PWP!$A:$Z,MATCH('PWP-Print'!O768,PWP!$B:$B,0),MATCH("Title",PWP!$A$1:$Z$1,0))</f>
        <v>Conductor of Storms</v>
      </c>
      <c r="S768" t="e" vm="382">
        <f>_xlfn.IMAGE("https://natalie.tf/wp-content/uploads/2023/10/DLV3_Icon_Ability_"&amp;INDEX('PWP-A'!$A$2:$C$31,MATCH('PWP-Print'!T768,'PWP-A'!$B$2:$B$31,0),1)&amp;".png")</f>
        <v>#VALUE!</v>
      </c>
      <c r="T768" s="229" t="str">
        <f>+INDEX(PWP!$A:$Z,MATCH('PWP-Print'!O768,PWP!$B:$B,0),MATCH("PWP Ability 1",PWP!$A$1:$Z$1,0))</f>
        <v>Dragon Time +20%</v>
      </c>
      <c r="U768" s="249" t="str">
        <f>+INDEX(PWP!$A:$Z,MATCH('PWP-Print'!O768,PWP!$B:$B,0),MATCH("Locked PWP Ability 1",PWP!$A$1:$Z$1,0))</f>
        <v>(Wind) Dragon Time +20%</v>
      </c>
    </row>
    <row r="769" spans="1:21" ht="22.5" customHeight="1" x14ac:dyDescent="0.3">
      <c r="C769" s="729"/>
      <c r="D769" s="8"/>
      <c r="E769" s="200" t="str">
        <f>+INDEX(PWP!$A:$Z,MATCH('PWP-Print'!E768,PWP!$B:$B,0),MATCH("ID",PWP!$A$1:$Z$1,0))</f>
        <v>210131_01</v>
      </c>
      <c r="F769" s="8"/>
      <c r="G769" s="249" t="str">
        <f>+INDEX(PWP!$A:$Z,MATCH('PWP-Print'!E768,PWP!$B:$B,0),MATCH("Name",PWP!$A$1:$Z$1,0))</f>
        <v>Midgardsormr Zero</v>
      </c>
      <c r="H769" s="8"/>
      <c r="I769" t="e" vm="696">
        <f>_xlfn.IMAGE("https://natalie.tf/wp-content/uploads/2023/10/DLV3_Icon_Ability_"&amp;INDEX('PWP-A'!$A$2:$C$31,MATCH('PWP-Print'!J769,'PWP-A'!$B$2:$B$31,0),1)&amp;".png")</f>
        <v>#VALUE!</v>
      </c>
      <c r="J769" s="229" t="str">
        <f>+INDEX(PWP!$A:$Z,MATCH('PWP-Print'!E768,PWP!$B:$B,0),MATCH("PWP Ability 2",PWP!$A$1:$Z$1,0))</f>
        <v>Elemental Res +15%</v>
      </c>
      <c r="K769" s="249" t="str">
        <f>+INDEX(PWP!$A:$Z,MATCH('PWP-Print'!E768,PWP!$B:$B,0),MATCH("Locked PWP Ability 2",PWP!$A$1:$Z$1,0))</f>
        <v>(Wind) Elemental Res +15%</v>
      </c>
      <c r="M769" s="729"/>
      <c r="N769" s="8"/>
      <c r="O769" s="200" t="str">
        <f>+INDEX(PWP!$A:$Z,MATCH('PWP-Print'!O768,PWP!$B:$B,0),MATCH("ID",PWP!$A$1:$Z$1,0))</f>
        <v>210038_01</v>
      </c>
      <c r="P769" s="8"/>
      <c r="Q769" s="249" t="str">
        <f>+INDEX(PWP!$A:$Z,MATCH('PWP-Print'!O768,PWP!$B:$B,0),MATCH("Name",PWP!$A$1:$Z$1,0))</f>
        <v>High Midgardsormr</v>
      </c>
      <c r="R769" s="8"/>
      <c r="S769" t="e" vm="426">
        <f>_xlfn.IMAGE("https://natalie.tf/wp-content/uploads/2023/10/DLV3_Icon_Ability_"&amp;INDEX('PWP-A'!$A$2:$C$31,MATCH('PWP-Print'!T769,'PWP-A'!$B$2:$B$31,0),1)&amp;".png")</f>
        <v>#VALUE!</v>
      </c>
      <c r="T769" s="229" t="str">
        <f>+INDEX(PWP!$A:$Z,MATCH('PWP-Print'!O768,PWP!$B:$B,0),MATCH("PWP Ability 2",PWP!$A$1:$Z$1,0))</f>
        <v>Defense +20%</v>
      </c>
      <c r="U769" s="249" t="str">
        <f>+INDEX(PWP!$A:$Z,MATCH('PWP-Print'!O768,PWP!$B:$B,0),MATCH("Locked PWP Ability 2",PWP!$A$1:$Z$1,0))</f>
        <v>(Wind) Defense +20%</v>
      </c>
    </row>
    <row r="770" spans="1:21" ht="22.5" customHeight="1" x14ac:dyDescent="0.3">
      <c r="A770" s="244" t="str">
        <f>TEXT(A766+1,"000")</f>
        <v>360</v>
      </c>
      <c r="B770" s="244" t="str">
        <f>TEXT(B766+1,"000")</f>
        <v>373</v>
      </c>
      <c r="C770" s="729"/>
      <c r="E770" s="251" t="str">
        <f>+INDEX(PWP!$A:$Z,MATCH('PWP-Print'!E768,PWP!$B:$B,0),MATCH("Num",PWP!$A$1:$Z$1,0))</f>
        <v>D-055</v>
      </c>
      <c r="G770" s="249" t="str">
        <f>+INDEX(PWP!$A:$Z,MATCH('PWP-Print'!E768,PWP!$B:$B,0),MATCH("Element",PWP!$A$1:$Z$1,0))&amp;" "&amp;INDEX(PWP!$A:$Z,MATCH('PWP-Print'!E768,PWP!$B:$B,0),MATCH("Type",PWP!$A$1:$Z$1,0))</f>
        <v>Wind Dragon</v>
      </c>
      <c r="K770" s="250"/>
      <c r="M770" s="729"/>
      <c r="O770" s="251" t="str">
        <f>+INDEX(PWP!$A:$Z,MATCH('PWP-Print'!O768,PWP!$B:$B,0),MATCH("Num",PWP!$A$1:$Z$1,0))</f>
        <v>D-068</v>
      </c>
      <c r="Q770" s="249" t="str">
        <f>+INDEX(PWP!$A:$Z,MATCH('PWP-Print'!O768,PWP!$B:$B,0),MATCH("Element",PWP!$A$1:$Z$1,0))&amp;" "&amp;INDEX(PWP!$A:$Z,MATCH('PWP-Print'!O768,PWP!$B:$B,0),MATCH("Type",PWP!$A$1:$Z$1,0))</f>
        <v>Wind Dragon</v>
      </c>
      <c r="U770" s="250"/>
    </row>
    <row r="771" spans="1:21" ht="7.5" customHeight="1" x14ac:dyDescent="0.3">
      <c r="A771" s="244" t="s">
        <v>10763</v>
      </c>
      <c r="E771" s="250"/>
      <c r="G771" s="250"/>
      <c r="K771" s="250"/>
      <c r="O771" s="250"/>
      <c r="Q771" s="250"/>
      <c r="U771" s="250"/>
    </row>
    <row r="772" spans="1:21" ht="22.5" customHeight="1" x14ac:dyDescent="0.3">
      <c r="C772" s="729" t="e" vm="1403">
        <f>_xlfn.IMAGE("https://natalie.tf/wp-content/uploads/2023/10/DLV3_Icon_DRA_"&amp;E773&amp;".png")</f>
        <v>#VALUE!</v>
      </c>
      <c r="E772" s="249" t="str">
        <f>"PWP-"&amp;A774</f>
        <v>PWP-361</v>
      </c>
      <c r="G772" s="249" t="str">
        <f>+INDEX(PWP!$A:$Z,MATCH('PWP-Print'!E772,PWP!$B:$B,0),MATCH("Title",PWP!$A$1:$Z$1,0))</f>
        <v>Beachside Flower</v>
      </c>
      <c r="I772" t="e" vm="601">
        <f>_xlfn.IMAGE("https://natalie.tf/wp-content/uploads/2023/10/DLV3_Icon_Ability_"&amp;INDEX('PWP-A'!$A$2:$C$31,MATCH('PWP-Print'!J772,'PWP-A'!$B$2:$B$31,0),1)&amp;".png")</f>
        <v>#VALUE!</v>
      </c>
      <c r="J772" s="229" t="str">
        <f>+INDEX(PWP!$A:$Z,MATCH('PWP-Print'!E772,PWP!$B:$B,0),MATCH("PWP Ability 1",PWP!$A$1:$Z$1,0))</f>
        <v>Dragon Haste +15%</v>
      </c>
      <c r="K772" s="249" t="str">
        <f>+INDEX(PWP!$A:$Z,MATCH('PWP-Print'!E772,PWP!$B:$B,0),MATCH("Locked PWP Ability 1",PWP!$A$1:$Z$1,0))</f>
        <v>(Wind) Dragon Haste +15%</v>
      </c>
      <c r="M772" s="729" t="e" vm="1404">
        <f>_xlfn.IMAGE("https://natalie.tf/wp-content/uploads/2023/10/DLV3_Icon_DRA_"&amp;O773&amp;".png")</f>
        <v>#VALUE!</v>
      </c>
      <c r="O772" s="249" t="str">
        <f>"PWP-"&amp;B774</f>
        <v>PWP-374</v>
      </c>
      <c r="Q772" s="249" t="str">
        <f>+INDEX(PWP!$A:$Z,MATCH('PWP-Print'!O772,PWP!$B:$B,0),MATCH("Title",PWP!$A$1:$Z$1,0))</f>
        <v>Adulated Protector</v>
      </c>
      <c r="S772" t="e" vm="14">
        <f>_xlfn.IMAGE("https://natalie.tf/wp-content/uploads/2023/10/DLV3_Icon_Ability_"&amp;INDEX('PWP-A'!$A$2:$C$31,MATCH('PWP-Print'!T772,'PWP-A'!$B$2:$B$31,0),1)&amp;".png")</f>
        <v>#VALUE!</v>
      </c>
      <c r="T772" s="229" t="str">
        <f>+INDEX(PWP!$A:$Z,MATCH('PWP-Print'!O772,PWP!$B:$B,0),MATCH("PWP Ability 1",PWP!$A$1:$Z$1,0))</f>
        <v>Dragon Damage +18%</v>
      </c>
      <c r="U772" s="249" t="str">
        <f>+INDEX(PWP!$A:$Z,MATCH('PWP-Print'!O772,PWP!$B:$B,0),MATCH("Locked PWP Ability 1",PWP!$A$1:$Z$1,0))</f>
        <v>(Wind) Dragon Damage +18%</v>
      </c>
    </row>
    <row r="773" spans="1:21" ht="22.5" customHeight="1" x14ac:dyDescent="0.3">
      <c r="C773" s="729"/>
      <c r="D773" s="8"/>
      <c r="E773" s="200" t="str">
        <f>+INDEX(PWP!$A:$Z,MATCH('PWP-Print'!E772,PWP!$B:$B,0),MATCH("ID",PWP!$A$1:$Z$1,0))</f>
        <v>210125_01</v>
      </c>
      <c r="F773" s="8"/>
      <c r="G773" s="249" t="str">
        <f>+INDEX(PWP!$A:$Z,MATCH('PWP-Print'!E772,PWP!$B:$B,0),MATCH("Name",PWP!$A$1:$Z$1,0))</f>
        <v>Summer Konohana Sakuya</v>
      </c>
      <c r="H773" s="8"/>
      <c r="I773" t="e" vm="14">
        <f>_xlfn.IMAGE("https://natalie.tf/wp-content/uploads/2023/10/DLV3_Icon_Ability_"&amp;INDEX('PWP-A'!$A$2:$C$31,MATCH('PWP-Print'!J773,'PWP-A'!$B$2:$B$31,0),1)&amp;".png")</f>
        <v>#VALUE!</v>
      </c>
      <c r="J773" s="229" t="str">
        <f>+INDEX(PWP!$A:$Z,MATCH('PWP-Print'!E772,PWP!$B:$B,0),MATCH("PWP Ability 2",PWP!$A$1:$Z$1,0))</f>
        <v>Skill Damage +40%</v>
      </c>
      <c r="K773" s="249" t="str">
        <f>+INDEX(PWP!$A:$Z,MATCH('PWP-Print'!E772,PWP!$B:$B,0),MATCH("Locked PWP Ability 2",PWP!$A$1:$Z$1,0))</f>
        <v>(Wind) Skill Damage +40%</v>
      </c>
      <c r="M773" s="729"/>
      <c r="N773" s="8"/>
      <c r="O773" s="200" t="str">
        <f>+INDEX(PWP!$A:$Z,MATCH('PWP-Print'!O772,PWP!$B:$B,0),MATCH("ID",PWP!$A$1:$Z$1,0))</f>
        <v>210018_01</v>
      </c>
      <c r="P773" s="8"/>
      <c r="Q773" s="249" t="str">
        <f>+INDEX(PWP!$A:$Z,MATCH('PWP-Print'!O772,PWP!$B:$B,0),MATCH("Name",PWP!$A$1:$Z$1,0))</f>
        <v>Zephyr</v>
      </c>
      <c r="R773" s="8"/>
      <c r="S773" t="e" vm="326">
        <f>_xlfn.IMAGE("https://natalie.tf/wp-content/uploads/2023/10/DLV3_Icon_Ability_"&amp;INDEX('PWP-A'!$A$2:$C$31,MATCH('PWP-Print'!T773,'PWP-A'!$B$2:$B$31,0),1)&amp;".png")</f>
        <v>#VALUE!</v>
      </c>
      <c r="T773" s="229" t="str">
        <f>+INDEX(PWP!$A:$Z,MATCH('PWP-Print'!O772,PWP!$B:$B,0),MATCH("PWP Ability 2",PWP!$A$1:$Z$1,0))</f>
        <v>Critical Rate +15%</v>
      </c>
      <c r="U773" s="249" t="str">
        <f>+INDEX(PWP!$A:$Z,MATCH('PWP-Print'!O772,PWP!$B:$B,0),MATCH("Locked PWP Ability 2",PWP!$A$1:$Z$1,0))</f>
        <v>(Wind) Critical Rate +15%</v>
      </c>
    </row>
    <row r="774" spans="1:21" ht="22.5" customHeight="1" x14ac:dyDescent="0.3">
      <c r="A774" s="244" t="str">
        <f>TEXT(A770+1,"000")</f>
        <v>361</v>
      </c>
      <c r="B774" s="244" t="str">
        <f>TEXT(B770+1,"000")</f>
        <v>374</v>
      </c>
      <c r="C774" s="729"/>
      <c r="E774" s="251" t="str">
        <f>+INDEX(PWP!$A:$Z,MATCH('PWP-Print'!E772,PWP!$B:$B,0),MATCH("Num",PWP!$A$1:$Z$1,0))</f>
        <v>D-056</v>
      </c>
      <c r="G774" s="249" t="str">
        <f>+INDEX(PWP!$A:$Z,MATCH('PWP-Print'!E772,PWP!$B:$B,0),MATCH("Element",PWP!$A$1:$Z$1,0))&amp;" "&amp;INDEX(PWP!$A:$Z,MATCH('PWP-Print'!E772,PWP!$B:$B,0),MATCH("Type",PWP!$A$1:$Z$1,0))</f>
        <v>Wind Dragon</v>
      </c>
      <c r="K774" s="250"/>
      <c r="M774" s="729"/>
      <c r="O774" s="251" t="str">
        <f>+INDEX(PWP!$A:$Z,MATCH('PWP-Print'!O772,PWP!$B:$B,0),MATCH("Num",PWP!$A$1:$Z$1,0))</f>
        <v>D-069</v>
      </c>
      <c r="Q774" s="249" t="str">
        <f>+INDEX(PWP!$A:$Z,MATCH('PWP-Print'!O772,PWP!$B:$B,0),MATCH("Element",PWP!$A$1:$Z$1,0))&amp;" "&amp;INDEX(PWP!$A:$Z,MATCH('PWP-Print'!O772,PWP!$B:$B,0),MATCH("Type",PWP!$A$1:$Z$1,0))</f>
        <v>Wind Dragon</v>
      </c>
      <c r="U774" s="250"/>
    </row>
    <row r="775" spans="1:21" ht="7.5" customHeight="1" x14ac:dyDescent="0.3">
      <c r="A775" s="244" t="s">
        <v>10763</v>
      </c>
      <c r="E775" s="250"/>
      <c r="G775" s="250"/>
      <c r="K775" s="250"/>
      <c r="O775" s="250"/>
      <c r="Q775" s="250"/>
      <c r="U775" s="250"/>
    </row>
    <row r="776" spans="1:21" ht="22.5" customHeight="1" x14ac:dyDescent="0.3">
      <c r="C776" s="729" t="e" vm="1405">
        <f>_xlfn.IMAGE("https://natalie.tf/wp-content/uploads/2023/10/DLV3_Icon_DRA_"&amp;E777&amp;".png")</f>
        <v>#VALUE!</v>
      </c>
      <c r="E776" s="249" t="str">
        <f>"PWP-"&amp;A778</f>
        <v>PWP-362</v>
      </c>
      <c r="G776" s="249" t="str">
        <f>+INDEX(PWP!$A:$Z,MATCH('PWP-Print'!E776,PWP!$B:$B,0),MATCH("Title",PWP!$A$1:$Z$1,0))</f>
        <v>Lion of the Goddess</v>
      </c>
      <c r="I776" t="e" vm="382">
        <f>_xlfn.IMAGE("https://natalie.tf/wp-content/uploads/2023/10/DLV3_Icon_Ability_"&amp;INDEX('PWP-A'!$A$2:$C$31,MATCH('PWP-Print'!J776,'PWP-A'!$B$2:$B$31,0),1)&amp;".png")</f>
        <v>#VALUE!</v>
      </c>
      <c r="J776" s="229" t="str">
        <f>+INDEX(PWP!$A:$Z,MATCH('PWP-Print'!E776,PWP!$B:$B,0),MATCH("PWP Ability 1",PWP!$A$1:$Z$1,0))</f>
        <v>Dragon Time +20%</v>
      </c>
      <c r="K776" s="249" t="str">
        <f>+INDEX(PWP!$A:$Z,MATCH('PWP-Print'!E776,PWP!$B:$B,0),MATCH("Locked PWP Ability 1",PWP!$A$1:$Z$1,0))</f>
        <v>(Wind) Dragon Time +20%</v>
      </c>
      <c r="M776" s="729" t="e" vm="1406">
        <f>_xlfn.IMAGE("https://natalie.tf/wp-content/uploads/2023/10/DLV3_Icon_DRA_"&amp;O777&amp;".png")</f>
        <v>#VALUE!</v>
      </c>
      <c r="O776" s="249" t="str">
        <f>"PWP-"&amp;B778</f>
        <v>PWP-375</v>
      </c>
      <c r="Q776" s="249" t="str">
        <f>+INDEX(PWP!$A:$Z,MATCH('PWP-Print'!O776,PWP!$B:$B,0),MATCH("Title",PWP!$A$1:$Z$1,0))</f>
        <v>Ancient Knight</v>
      </c>
      <c r="S776" t="e" vm="14">
        <f>_xlfn.IMAGE("https://natalie.tf/wp-content/uploads/2023/10/DLV3_Icon_Ability_"&amp;INDEX('PWP-A'!$A$2:$C$31,MATCH('PWP-Print'!T776,'PWP-A'!$B$2:$B$31,0),1)&amp;".png")</f>
        <v>#VALUE!</v>
      </c>
      <c r="T776" s="229" t="str">
        <f>+INDEX(PWP!$A:$Z,MATCH('PWP-Print'!O776,PWP!$B:$B,0),MATCH("PWP Ability 1",PWP!$A$1:$Z$1,0))</f>
        <v>Dragon Damage +18%</v>
      </c>
      <c r="U776" s="249" t="str">
        <f>+INDEX(PWP!$A:$Z,MATCH('PWP-Print'!O776,PWP!$B:$B,0),MATCH("Locked PWP Ability 1",PWP!$A$1:$Z$1,0))</f>
        <v>(Wind) Dragon Damage +18%</v>
      </c>
    </row>
    <row r="777" spans="1:21" ht="22.5" customHeight="1" x14ac:dyDescent="0.3">
      <c r="C777" s="729"/>
      <c r="D777" s="8"/>
      <c r="E777" s="200" t="str">
        <f>+INDEX(PWP!$A:$Z,MATCH('PWP-Print'!E776,PWP!$B:$B,0),MATCH("ID",PWP!$A$1:$Z$1,0))</f>
        <v>210116_01</v>
      </c>
      <c r="F777" s="8"/>
      <c r="G777" s="249" t="str">
        <f>+INDEX(PWP!$A:$Z,MATCH('PWP-Print'!E776,PWP!$B:$B,0),MATCH("Name",PWP!$A$1:$Z$1,0))</f>
        <v>Ariel</v>
      </c>
      <c r="H777" s="8"/>
      <c r="I777" t="e" vm="330">
        <f>_xlfn.IMAGE("https://natalie.tf/wp-content/uploads/2023/10/DLV3_Icon_Ability_"&amp;INDEX('PWP-A'!$A$2:$C$31,MATCH('PWP-Print'!J777,'PWP-A'!$B$2:$B$31,0),1)&amp;".png")</f>
        <v>#VALUE!</v>
      </c>
      <c r="J777" s="229" t="str">
        <f>+INDEX(PWP!$A:$Z,MATCH('PWP-Print'!E776,PWP!$B:$B,0),MATCH("PWP Ability 2",PWP!$A$1:$Z$1,0))</f>
        <v>Skill Haste +10%</v>
      </c>
      <c r="K777" s="249" t="str">
        <f>+INDEX(PWP!$A:$Z,MATCH('PWP-Print'!E776,PWP!$B:$B,0),MATCH("Locked PWP Ability 2",PWP!$A$1:$Z$1,0))</f>
        <v>(Wind) Skill Haste +10%</v>
      </c>
      <c r="M777" s="729"/>
      <c r="N777" s="8"/>
      <c r="O777" s="200" t="str">
        <f>+INDEX(PWP!$A:$Z,MATCH('PWP-Print'!O776,PWP!$B:$B,0),MATCH("ID",PWP!$A$1:$Z$1,0))</f>
        <v>210011_01</v>
      </c>
      <c r="P777" s="8"/>
      <c r="Q777" s="249" t="str">
        <f>+INDEX(PWP!$A:$Z,MATCH('PWP-Print'!O776,PWP!$B:$B,0),MATCH("Name",PWP!$A$1:$Z$1,0))</f>
        <v>Stribog</v>
      </c>
      <c r="R777" s="8"/>
      <c r="S777" t="e" vm="330">
        <f>_xlfn.IMAGE("https://natalie.tf/wp-content/uploads/2023/10/DLV3_Icon_Ability_"&amp;INDEX('PWP-A'!$A$2:$C$31,MATCH('PWP-Print'!T777,'PWP-A'!$B$2:$B$31,0),1)&amp;".png")</f>
        <v>#VALUE!</v>
      </c>
      <c r="T777" s="229" t="str">
        <f>+INDEX(PWP!$A:$Z,MATCH('PWP-Print'!O776,PWP!$B:$B,0),MATCH("PWP Ability 2",PWP!$A$1:$Z$1,0))</f>
        <v>Skill Haste +10%</v>
      </c>
      <c r="U777" s="249" t="str">
        <f>+INDEX(PWP!$A:$Z,MATCH('PWP-Print'!O776,PWP!$B:$B,0),MATCH("Locked PWP Ability 2",PWP!$A$1:$Z$1,0))</f>
        <v>(Wind) Skill Haste +10%</v>
      </c>
    </row>
    <row r="778" spans="1:21" ht="22.5" customHeight="1" x14ac:dyDescent="0.3">
      <c r="A778" s="244" t="str">
        <f>TEXT(A774+1,"000")</f>
        <v>362</v>
      </c>
      <c r="B778" s="244" t="str">
        <f>TEXT(B774+1,"000")</f>
        <v>375</v>
      </c>
      <c r="C778" s="729"/>
      <c r="E778" s="251" t="str">
        <f>+INDEX(PWP!$A:$Z,MATCH('PWP-Print'!E776,PWP!$B:$B,0),MATCH("Num",PWP!$A$1:$Z$1,0))</f>
        <v>D-057</v>
      </c>
      <c r="G778" s="249" t="str">
        <f>+INDEX(PWP!$A:$Z,MATCH('PWP-Print'!E776,PWP!$B:$B,0),MATCH("Element",PWP!$A$1:$Z$1,0))&amp;" "&amp;INDEX(PWP!$A:$Z,MATCH('PWP-Print'!E776,PWP!$B:$B,0),MATCH("Type",PWP!$A$1:$Z$1,0))</f>
        <v>Wind Dragon</v>
      </c>
      <c r="K778" s="250"/>
      <c r="M778" s="729"/>
      <c r="O778" s="251" t="str">
        <f>+INDEX(PWP!$A:$Z,MATCH('PWP-Print'!O776,PWP!$B:$B,0),MATCH("Num",PWP!$A$1:$Z$1,0))</f>
        <v>D-070</v>
      </c>
      <c r="Q778" s="249" t="str">
        <f>+INDEX(PWP!$A:$Z,MATCH('PWP-Print'!O776,PWP!$B:$B,0),MATCH("Element",PWP!$A$1:$Z$1,0))&amp;" "&amp;INDEX(PWP!$A:$Z,MATCH('PWP-Print'!O776,PWP!$B:$B,0),MATCH("Type",PWP!$A$1:$Z$1,0))</f>
        <v>Wind Dragon</v>
      </c>
      <c r="U778" s="250"/>
    </row>
    <row r="779" spans="1:21" ht="7.5" customHeight="1" x14ac:dyDescent="0.3">
      <c r="A779" s="244" t="s">
        <v>10763</v>
      </c>
      <c r="E779" s="250"/>
      <c r="G779" s="250"/>
      <c r="K779" s="250"/>
      <c r="Q779" s="250"/>
      <c r="U779" s="250"/>
    </row>
    <row r="780" spans="1:21" ht="22.5" customHeight="1" x14ac:dyDescent="0.3">
      <c r="C780" s="729" t="e" vm="1407">
        <f>_xlfn.IMAGE("https://natalie.tf/wp-content/uploads/2023/10/DLV3_Icon_DRA_"&amp;E781&amp;".png")</f>
        <v>#VALUE!</v>
      </c>
      <c r="E780" s="249" t="str">
        <f>"PWP-"&amp;A782</f>
        <v>PWP-363</v>
      </c>
      <c r="G780" s="249" t="str">
        <f>+INDEX(PWP!$A:$Z,MATCH('PWP-Print'!E780,PWP!$B:$B,0),MATCH("Title",PWP!$A$1:$Z$1,0))</f>
        <v>Revolutionary Warrior</v>
      </c>
      <c r="I780" t="e" vm="14">
        <f>_xlfn.IMAGE("https://natalie.tf/wp-content/uploads/2023/10/DLV3_Icon_Ability_"&amp;INDEX('PWP-A'!$A$2:$C$31,MATCH('PWP-Print'!J780,'PWP-A'!$B$2:$B$31,0),1)&amp;".png")</f>
        <v>#VALUE!</v>
      </c>
      <c r="J780" s="229" t="str">
        <f>+INDEX(PWP!$A:$Z,MATCH('PWP-Print'!E780,PWP!$B:$B,0),MATCH("PWP Ability 1",PWP!$A$1:$Z$1,0))</f>
        <v>Dragon Damage +18%</v>
      </c>
      <c r="K780" s="249" t="str">
        <f>+INDEX(PWP!$A:$Z,MATCH('PWP-Print'!E780,PWP!$B:$B,0),MATCH("Locked PWP Ability 1",PWP!$A$1:$Z$1,0))</f>
        <v>(Wind) Dragon Damage +18%</v>
      </c>
      <c r="M780" s="729"/>
      <c r="N780" s="729"/>
      <c r="O780" s="252"/>
      <c r="P780" s="252"/>
      <c r="Q780" s="252"/>
      <c r="R780" s="252"/>
      <c r="S780" s="252"/>
      <c r="T780" s="252"/>
      <c r="U780" s="252"/>
    </row>
    <row r="781" spans="1:21" ht="22.5" customHeight="1" x14ac:dyDescent="0.3">
      <c r="C781" s="729"/>
      <c r="D781" s="8"/>
      <c r="E781" s="200" t="str">
        <f>+INDEX(PWP!$A:$Z,MATCH('PWP-Print'!E780,PWP!$B:$B,0),MATCH("ID",PWP!$A$1:$Z$1,0))</f>
        <v>210117_01</v>
      </c>
      <c r="F781" s="8"/>
      <c r="G781" s="249" t="str">
        <f>+INDEX(PWP!$A:$Z,MATCH('PWP-Print'!E780,PWP!$B:$B,0),MATCH("Name",PWP!$A$1:$Z$1,0))</f>
        <v>AC-011 Garland</v>
      </c>
      <c r="H781" s="8"/>
      <c r="I781" t="e" vm="426">
        <f>_xlfn.IMAGE("https://natalie.tf/wp-content/uploads/2023/10/DLV3_Icon_Ability_"&amp;INDEX('PWP-A'!$A$2:$C$31,MATCH('PWP-Print'!J781,'PWP-A'!$B$2:$B$31,0),1)&amp;".png")</f>
        <v>#VALUE!</v>
      </c>
      <c r="J781" s="229" t="str">
        <f>+INDEX(PWP!$A:$Z,MATCH('PWP-Print'!E780,PWP!$B:$B,0),MATCH("PWP Ability 2",PWP!$A$1:$Z$1,0))</f>
        <v>Defense +20%</v>
      </c>
      <c r="K781" s="249" t="str">
        <f>+INDEX(PWP!$A:$Z,MATCH('PWP-Print'!E780,PWP!$B:$B,0),MATCH("Locked PWP Ability 2",PWP!$A$1:$Z$1,0))</f>
        <v>(Wind) Defense +20%</v>
      </c>
      <c r="M781" s="729"/>
      <c r="N781" s="729"/>
      <c r="O781" s="252"/>
      <c r="P781" s="252"/>
      <c r="Q781" s="252"/>
      <c r="R781" s="252"/>
      <c r="S781" s="252"/>
      <c r="T781" s="252"/>
      <c r="U781" s="252"/>
    </row>
    <row r="782" spans="1:21" ht="22.5" customHeight="1" x14ac:dyDescent="0.3">
      <c r="A782" s="244" t="str">
        <f>TEXT(A778+1,"000")</f>
        <v>363</v>
      </c>
      <c r="C782" s="729"/>
      <c r="E782" s="251" t="str">
        <f>+INDEX(PWP!$A:$Z,MATCH('PWP-Print'!E780,PWP!$B:$B,0),MATCH("Num",PWP!$A$1:$Z$1,0))</f>
        <v>D-058</v>
      </c>
      <c r="G782" s="249" t="str">
        <f>+INDEX(PWP!$A:$Z,MATCH('PWP-Print'!E780,PWP!$B:$B,0),MATCH("Element",PWP!$A$1:$Z$1,0))&amp;" "&amp;INDEX(PWP!$A:$Z,MATCH('PWP-Print'!E780,PWP!$B:$B,0),MATCH("Type",PWP!$A$1:$Z$1,0))</f>
        <v>Wind Dragon</v>
      </c>
      <c r="K782" s="250"/>
      <c r="M782" s="729"/>
      <c r="N782" s="729"/>
      <c r="O782" s="252"/>
      <c r="P782" s="252"/>
      <c r="Q782" s="252"/>
      <c r="R782" s="252"/>
      <c r="S782" s="252"/>
      <c r="T782" s="252"/>
      <c r="U782" s="252"/>
    </row>
    <row r="783" spans="1:21" ht="39.75" customHeight="1" x14ac:dyDescent="0.2">
      <c r="A783" s="244" t="s">
        <v>10763</v>
      </c>
    </row>
    <row r="784" spans="1:21" ht="22.5" customHeight="1" x14ac:dyDescent="0.3">
      <c r="C784" s="729" t="e" vm="1408">
        <f>_xlfn.IMAGE("https://natalie.tf/wp-content/uploads/2023/10/DLV3_Icon_DRA_"&amp;E785&amp;".png")</f>
        <v>#VALUE!</v>
      </c>
      <c r="E784" s="249" t="str">
        <f>"PWP-"&amp;A786</f>
        <v>PWP-376</v>
      </c>
      <c r="G784" s="249" t="str">
        <f>+INDEX(PWP!$A:$Z,MATCH('PWP-Print'!E784,PWP!$B:$B,0),MATCH("Title",PWP!$A$1:$Z$1,0))</f>
        <v>Grand Mercenary</v>
      </c>
      <c r="I784" t="e" vm="14">
        <f>_xlfn.IMAGE("https://natalie.tf/wp-content/uploads/2023/10/DLV3_Icon_Ability_"&amp;INDEX('PWP-A'!$A$2:$C$31,MATCH('PWP-Print'!J784,'PWP-A'!$B$2:$B$31,0),1)&amp;".png")</f>
        <v>#VALUE!</v>
      </c>
      <c r="J784" s="229" t="str">
        <f>+INDEX(PWP!$A:$Z,MATCH('PWP-Print'!E784,PWP!$B:$B,0),MATCH("PWP Ability 1",PWP!$A$1:$Z$1,0))</f>
        <v>Dragon Damage +18%</v>
      </c>
      <c r="K784" s="249" t="str">
        <f>+INDEX(PWP!$A:$Z,MATCH('PWP-Print'!E784,PWP!$B:$B,0),MATCH("Locked PWP Ability 1",PWP!$A$1:$Z$1,0))</f>
        <v>(Wind) Dragon Damage +18%</v>
      </c>
      <c r="M784" s="729" t="e" vm="1409">
        <f>_xlfn.IMAGE("https://natalie.tf/wp-content/uploads/2023/10/DLV3_Icon_DRA_"&amp;O785&amp;".png")</f>
        <v>#VALUE!</v>
      </c>
      <c r="O784" s="249" t="str">
        <f>"PWP-"&amp;B786</f>
        <v>PWP-389</v>
      </c>
      <c r="Q784" s="249" t="str">
        <f>+INDEX(PWP!$A:$Z,MATCH('PWP-Print'!O784,PWP!$B:$B,0),MATCH("Title",PWP!$A$1:$Z$1,0))</f>
        <v>Ravishing Rakshesha</v>
      </c>
      <c r="S784" t="e" vm="601">
        <f>_xlfn.IMAGE("https://natalie.tf/wp-content/uploads/2023/10/DLV3_Icon_Ability_"&amp;INDEX('PWP-A'!$A$2:$C$31,MATCH('PWP-Print'!T784,'PWP-A'!$B$2:$B$31,0),1)&amp;".png")</f>
        <v>#VALUE!</v>
      </c>
      <c r="T784" s="229" t="str">
        <f>+INDEX(PWP!$A:$Z,MATCH('PWP-Print'!O784,PWP!$B:$B,0),MATCH("PWP Ability 1",PWP!$A$1:$Z$1,0))</f>
        <v>Dragon Haste +15%</v>
      </c>
      <c r="U784" s="249" t="str">
        <f>+INDEX(PWP!$A:$Z,MATCH('PWP-Print'!O784,PWP!$B:$B,0),MATCH("Locked PWP Ability 1",PWP!$A$1:$Z$1,0))</f>
        <v>(Light) Dragon Haste +15%</v>
      </c>
    </row>
    <row r="785" spans="1:21" ht="22.5" customHeight="1" x14ac:dyDescent="0.3">
      <c r="C785" s="729"/>
      <c r="D785" s="8"/>
      <c r="E785" s="200" t="str">
        <f>+INDEX(PWP!$A:$Z,MATCH('PWP-Print'!E784,PWP!$B:$B,0),MATCH("ID",PWP!$A$1:$Z$1,0))</f>
        <v>210050_01</v>
      </c>
      <c r="F785" s="8"/>
      <c r="G785" s="249" t="str">
        <f>+INDEX(PWP!$A:$Z,MATCH('PWP-Print'!E784,PWP!$B:$B,0),MATCH("Name",PWP!$A$1:$Z$1,0))</f>
        <v>Roc</v>
      </c>
      <c r="H785" s="8"/>
      <c r="I785" t="e" vm="496">
        <f>_xlfn.IMAGE("https://natalie.tf/wp-content/uploads/2023/10/DLV3_Icon_Ability_"&amp;INDEX('PWP-A'!$A$2:$C$31,MATCH('PWP-Print'!J785,'PWP-A'!$B$2:$B$31,0),1)&amp;".png")</f>
        <v>#VALUE!</v>
      </c>
      <c r="J785" s="229" t="str">
        <f>+INDEX(PWP!$A:$Z,MATCH('PWP-Print'!E784,PWP!$B:$B,0),MATCH("PWP Ability 2",PWP!$A$1:$Z$1,0))</f>
        <v>HP +15%</v>
      </c>
      <c r="K785" s="249" t="str">
        <f>+INDEX(PWP!$A:$Z,MATCH('PWP-Print'!E784,PWP!$B:$B,0),MATCH("Locked PWP Ability 2",PWP!$A$1:$Z$1,0))</f>
        <v>(Wind) HP +15%</v>
      </c>
      <c r="M785" s="729"/>
      <c r="N785" s="8"/>
      <c r="O785" s="200" t="str">
        <f>+INDEX(PWP!$A:$Z,MATCH('PWP-Print'!O784,PWP!$B:$B,0),MATCH("ID",PWP!$A$1:$Z$1,0))</f>
        <v>210085_01</v>
      </c>
      <c r="P785" s="8"/>
      <c r="Q785" s="249" t="str">
        <f>+INDEX(PWP!$A:$Z,MATCH('PWP-Print'!O784,PWP!$B:$B,0),MATCH("Name",PWP!$A$1:$Z$1,0))</f>
        <v>Tie Shan Gongzhu</v>
      </c>
      <c r="R785" s="8"/>
      <c r="S785" t="e" vm="330">
        <f>_xlfn.IMAGE("https://natalie.tf/wp-content/uploads/2023/10/DLV3_Icon_Ability_"&amp;INDEX('PWP-A'!$A$2:$C$31,MATCH('PWP-Print'!T785,'PWP-A'!$B$2:$B$31,0),1)&amp;".png")</f>
        <v>#VALUE!</v>
      </c>
      <c r="T785" s="229" t="str">
        <f>+INDEX(PWP!$A:$Z,MATCH('PWP-Print'!O784,PWP!$B:$B,0),MATCH("PWP Ability 2",PWP!$A$1:$Z$1,0))</f>
        <v>Skill Haste +10%</v>
      </c>
      <c r="U785" s="249" t="str">
        <f>+INDEX(PWP!$A:$Z,MATCH('PWP-Print'!O784,PWP!$B:$B,0),MATCH("Locked PWP Ability 2",PWP!$A$1:$Z$1,0))</f>
        <v>(Light) Skill Haste +10%</v>
      </c>
    </row>
    <row r="786" spans="1:21" ht="22.5" customHeight="1" x14ac:dyDescent="0.3">
      <c r="A786" s="242" t="str">
        <f>TEXT(B778+1,"000")</f>
        <v>376</v>
      </c>
      <c r="B786" s="244" t="str">
        <f>TEXT(A834+1,"000")</f>
        <v>389</v>
      </c>
      <c r="C786" s="729"/>
      <c r="E786" s="251" t="str">
        <f>+INDEX(PWP!$A:$Z,MATCH('PWP-Print'!E784,PWP!$B:$B,0),MATCH("Num",PWP!$A$1:$Z$1,0))</f>
        <v>D-071</v>
      </c>
      <c r="G786" s="249" t="str">
        <f>+INDEX(PWP!$A:$Z,MATCH('PWP-Print'!E784,PWP!$B:$B,0),MATCH("Element",PWP!$A$1:$Z$1,0))&amp;" "&amp;INDEX(PWP!$A:$Z,MATCH('PWP-Print'!E784,PWP!$B:$B,0),MATCH("Type",PWP!$A$1:$Z$1,0))</f>
        <v>Wind Dragon</v>
      </c>
      <c r="K786" s="250"/>
      <c r="M786" s="729"/>
      <c r="O786" s="251" t="str">
        <f>+INDEX(PWP!$A:$Z,MATCH('PWP-Print'!O784,PWP!$B:$B,0),MATCH("Num",PWP!$A$1:$Z$1,0))</f>
        <v>D-084</v>
      </c>
      <c r="Q786" s="249" t="str">
        <f>+INDEX(PWP!$A:$Z,MATCH('PWP-Print'!O784,PWP!$B:$B,0),MATCH("Element",PWP!$A$1:$Z$1,0))&amp;" "&amp;INDEX(PWP!$A:$Z,MATCH('PWP-Print'!O784,PWP!$B:$B,0),MATCH("Type",PWP!$A$1:$Z$1,0))</f>
        <v>Light Dragon</v>
      </c>
      <c r="U786" s="250"/>
    </row>
    <row r="787" spans="1:21" ht="7.5" customHeight="1" x14ac:dyDescent="0.3">
      <c r="A787" s="244" t="s">
        <v>10763</v>
      </c>
      <c r="E787" s="250"/>
      <c r="G787" s="250"/>
      <c r="K787" s="250"/>
      <c r="O787" s="250"/>
      <c r="Q787" s="250"/>
      <c r="U787" s="250"/>
    </row>
    <row r="788" spans="1:21" ht="22.5" customHeight="1" x14ac:dyDescent="0.3">
      <c r="C788" s="729" t="e" vm="1410">
        <f>_xlfn.IMAGE("https://natalie.tf/wp-content/uploads/2023/10/DLV3_Icon_DRA_"&amp;E789&amp;".png")</f>
        <v>#VALUE!</v>
      </c>
      <c r="E788" s="249" t="str">
        <f>"PWP-"&amp;A790</f>
        <v>PWP-377</v>
      </c>
      <c r="G788" s="249" t="str">
        <f>+INDEX(PWP!$A:$Z,MATCH('PWP-Print'!E788,PWP!$B:$B,0),MATCH("Title",PWP!$A$1:$Z$1,0))</f>
        <v>Stormbound Ally</v>
      </c>
      <c r="I788" t="e" vm="382">
        <f>_xlfn.IMAGE("https://natalie.tf/wp-content/uploads/2023/10/DLV3_Icon_Ability_"&amp;INDEX('PWP-A'!$A$2:$C$31,MATCH('PWP-Print'!J788,'PWP-A'!$B$2:$B$31,0),1)&amp;".png")</f>
        <v>#VALUE!</v>
      </c>
      <c r="J788" s="229" t="str">
        <f>+INDEX(PWP!$A:$Z,MATCH('PWP-Print'!E788,PWP!$B:$B,0),MATCH("PWP Ability 1",PWP!$A$1:$Z$1,0))</f>
        <v>Dragon Time +20%</v>
      </c>
      <c r="K788" s="249" t="str">
        <f>+INDEX(PWP!$A:$Z,MATCH('PWP-Print'!E788,PWP!$B:$B,0),MATCH("Locked PWP Ability 1",PWP!$A$1:$Z$1,0))</f>
        <v>(Wind) Dragon Time +20%</v>
      </c>
      <c r="M788" s="729" t="e" vm="1411">
        <f>_xlfn.IMAGE("https://natalie.tf/wp-content/uploads/2023/10/DLV3_Icon_DRA_"&amp;O789&amp;".png")</f>
        <v>#VALUE!</v>
      </c>
      <c r="O788" s="249" t="str">
        <f>"PWP-"&amp;B790</f>
        <v>PWP-390</v>
      </c>
      <c r="Q788" s="249" t="str">
        <f>+INDEX(PWP!$A:$Z,MATCH('PWP-Print'!O788,PWP!$B:$B,0),MATCH("Title",PWP!$A$1:$Z$1,0))</f>
        <v>Exalted Mouse</v>
      </c>
      <c r="S788" t="e" vm="601">
        <f>_xlfn.IMAGE("https://natalie.tf/wp-content/uploads/2023/10/DLV3_Icon_Ability_"&amp;INDEX('PWP-A'!$A$2:$C$31,MATCH('PWP-Print'!T788,'PWP-A'!$B$2:$B$31,0),1)&amp;".png")</f>
        <v>#VALUE!</v>
      </c>
      <c r="T788" s="229" t="str">
        <f>+INDEX(PWP!$A:$Z,MATCH('PWP-Print'!O788,PWP!$B:$B,0),MATCH("PWP Ability 1",PWP!$A$1:$Z$1,0))</f>
        <v>Dragon Haste +15%</v>
      </c>
      <c r="U788" s="249" t="str">
        <f>+INDEX(PWP!$A:$Z,MATCH('PWP-Print'!O788,PWP!$B:$B,0),MATCH("Locked PWP Ability 1",PWP!$A$1:$Z$1,0))</f>
        <v>(Light) Dragon Haste +15%</v>
      </c>
    </row>
    <row r="789" spans="1:21" ht="22.5" customHeight="1" x14ac:dyDescent="0.3">
      <c r="C789" s="729"/>
      <c r="D789" s="8"/>
      <c r="E789" s="200" t="str">
        <f>+INDEX(PWP!$A:$Z,MATCH('PWP-Print'!E788,PWP!$B:$B,0),MATCH("ID",PWP!$A$1:$Z$1,0))</f>
        <v>210001_01</v>
      </c>
      <c r="F789" s="8"/>
      <c r="G789" s="249" t="str">
        <f>+INDEX(PWP!$A:$Z,MATCH('PWP-Print'!E788,PWP!$B:$B,0),MATCH("Name",PWP!$A$1:$Z$1,0))</f>
        <v>Midgardsormr</v>
      </c>
      <c r="H789" s="8"/>
      <c r="I789" t="e" vm="496">
        <f>_xlfn.IMAGE("https://natalie.tf/wp-content/uploads/2023/10/DLV3_Icon_Ability_"&amp;INDEX('PWP-A'!$A$2:$C$31,MATCH('PWP-Print'!J789,'PWP-A'!$B$2:$B$31,0),1)&amp;".png")</f>
        <v>#VALUE!</v>
      </c>
      <c r="J789" s="229" t="str">
        <f>+INDEX(PWP!$A:$Z,MATCH('PWP-Print'!E788,PWP!$B:$B,0),MATCH("PWP Ability 2",PWP!$A$1:$Z$1,0))</f>
        <v>HP +15%</v>
      </c>
      <c r="K789" s="249" t="str">
        <f>+INDEX(PWP!$A:$Z,MATCH('PWP-Print'!E788,PWP!$B:$B,0),MATCH("Locked PWP Ability 2",PWP!$A$1:$Z$1,0))</f>
        <v>(Wind) HP +15%</v>
      </c>
      <c r="M789" s="729"/>
      <c r="N789" s="8"/>
      <c r="O789" s="200" t="str">
        <f>+INDEX(PWP!$A:$Z,MATCH('PWP-Print'!O788,PWP!$B:$B,0),MATCH("ID",PWP!$A$1:$Z$1,0))</f>
        <v>210110_01</v>
      </c>
      <c r="P789" s="8"/>
      <c r="Q789" s="249" t="str">
        <f>+INDEX(PWP!$A:$Z,MATCH('PWP-Print'!O788,PWP!$B:$B,0),MATCH("Name",PWP!$A$1:$Z$1,0))</f>
        <v>Daikokuten</v>
      </c>
      <c r="R789" s="8"/>
      <c r="S789" t="e" vm="414">
        <f>_xlfn.IMAGE("https://natalie.tf/wp-content/uploads/2023/10/DLV3_Icon_Ability_"&amp;INDEX('PWP-A'!$A$2:$C$31,MATCH('PWP-Print'!T789,'PWP-A'!$B$2:$B$31,0),1)&amp;".png")</f>
        <v>#VALUE!</v>
      </c>
      <c r="T789" s="229" t="str">
        <f>+INDEX(PWP!$A:$Z,MATCH('PWP-Print'!O788,PWP!$B:$B,0),MATCH("PWP Ability 2",PWP!$A$1:$Z$1,0))</f>
        <v>Critical Damage +25%</v>
      </c>
      <c r="U789" s="249" t="str">
        <f>+INDEX(PWP!$A:$Z,MATCH('PWP-Print'!O788,PWP!$B:$B,0),MATCH("Locked PWP Ability 2",PWP!$A$1:$Z$1,0))</f>
        <v>(Light) Critical Damage +25%</v>
      </c>
    </row>
    <row r="790" spans="1:21" ht="22.5" customHeight="1" x14ac:dyDescent="0.3">
      <c r="A790" s="244" t="str">
        <f>TEXT(A786+1,"000")</f>
        <v>377</v>
      </c>
      <c r="B790" s="244" t="str">
        <f>TEXT(B786+1,"000")</f>
        <v>390</v>
      </c>
      <c r="C790" s="729"/>
      <c r="E790" s="251" t="str">
        <f>+INDEX(PWP!$A:$Z,MATCH('PWP-Print'!E788,PWP!$B:$B,0),MATCH("Num",PWP!$A$1:$Z$1,0))</f>
        <v>D-072</v>
      </c>
      <c r="G790" s="249" t="str">
        <f>+INDEX(PWP!$A:$Z,MATCH('PWP-Print'!E788,PWP!$B:$B,0),MATCH("Element",PWP!$A$1:$Z$1,0))&amp;" "&amp;INDEX(PWP!$A:$Z,MATCH('PWP-Print'!E788,PWP!$B:$B,0),MATCH("Type",PWP!$A$1:$Z$1,0))</f>
        <v>Wind Dragon</v>
      </c>
      <c r="K790" s="250"/>
      <c r="M790" s="729"/>
      <c r="O790" s="251" t="str">
        <f>+INDEX(PWP!$A:$Z,MATCH('PWP-Print'!O788,PWP!$B:$B,0),MATCH("Num",PWP!$A$1:$Z$1,0))</f>
        <v>D-085</v>
      </c>
      <c r="Q790" s="249" t="str">
        <f>+INDEX(PWP!$A:$Z,MATCH('PWP-Print'!O788,PWP!$B:$B,0),MATCH("Element",PWP!$A$1:$Z$1,0))&amp;" "&amp;INDEX(PWP!$A:$Z,MATCH('PWP-Print'!O788,PWP!$B:$B,0),MATCH("Type",PWP!$A$1:$Z$1,0))</f>
        <v>Light Dragon</v>
      </c>
      <c r="U790" s="250"/>
    </row>
    <row r="791" spans="1:21" ht="7.5" customHeight="1" x14ac:dyDescent="0.3">
      <c r="A791" s="244" t="s">
        <v>10763</v>
      </c>
      <c r="E791" s="250"/>
      <c r="G791" s="250"/>
      <c r="K791" s="250"/>
      <c r="O791" s="250"/>
      <c r="Q791" s="250"/>
      <c r="U791" s="250"/>
    </row>
    <row r="792" spans="1:21" ht="22.5" customHeight="1" x14ac:dyDescent="0.3">
      <c r="C792" s="729" t="e" vm="1412">
        <f>_xlfn.IMAGE("https://natalie.tf/wp-content/uploads/2023/10/DLV3_Icon_DRA_"&amp;E793&amp;".png")</f>
        <v>#VALUE!</v>
      </c>
      <c r="E792" s="249" t="str">
        <f>"PWP-"&amp;A794</f>
        <v>PWP-378</v>
      </c>
      <c r="G792" s="249" t="str">
        <f>+INDEX(PWP!$A:$Z,MATCH('PWP-Print'!E792,PWP!$B:$B,0),MATCH("Title",PWP!$A$1:$Z$1,0))</f>
        <v>N/A</v>
      </c>
      <c r="I792" t="e" vm="382">
        <f>_xlfn.IMAGE("https://natalie.tf/wp-content/uploads/2023/10/DLV3_Icon_Ability_"&amp;INDEX('PWP-A'!$A$2:$C$31,MATCH('PWP-Print'!J792,'PWP-A'!$B$2:$B$31,0),1)&amp;".png")</f>
        <v>#VALUE!</v>
      </c>
      <c r="J792" s="229" t="str">
        <f>+INDEX(PWP!$A:$Z,MATCH('PWP-Print'!E792,PWP!$B:$B,0),MATCH("PWP Ability 1",PWP!$A$1:$Z$1,0))</f>
        <v>Dragon Time +20%</v>
      </c>
      <c r="K792" s="249" t="str">
        <f>+INDEX(PWP!$A:$Z,MATCH('PWP-Print'!E792,PWP!$B:$B,0),MATCH("Locked PWP Ability 1",PWP!$A$1:$Z$1,0))</f>
        <v>(Wind) Dragon Time +20%</v>
      </c>
      <c r="M792" s="729" t="e" vm="1413">
        <f>_xlfn.IMAGE("https://natalie.tf/wp-content/uploads/2023/10/DLV3_Icon_DRA_"&amp;O793&amp;".png")</f>
        <v>#VALUE!</v>
      </c>
      <c r="O792" s="249" t="str">
        <f>"PWP-"&amp;B794</f>
        <v>PWP-391</v>
      </c>
      <c r="Q792" s="249" t="str">
        <f>+INDEX(PWP!$A:$Z,MATCH('PWP-Print'!O792,PWP!$B:$B,0),MATCH("Title",PWP!$A$1:$Z$1,0))</f>
        <v>Seaside Songstress</v>
      </c>
      <c r="S792" t="e" vm="382">
        <f>_xlfn.IMAGE("https://natalie.tf/wp-content/uploads/2023/10/DLV3_Icon_Ability_"&amp;INDEX('PWP-A'!$A$2:$C$31,MATCH('PWP-Print'!T792,'PWP-A'!$B$2:$B$31,0),1)&amp;".png")</f>
        <v>#VALUE!</v>
      </c>
      <c r="T792" s="229" t="str">
        <f>+INDEX(PWP!$A:$Z,MATCH('PWP-Print'!O792,PWP!$B:$B,0),MATCH("PWP Ability 1",PWP!$A$1:$Z$1,0))</f>
        <v>Dragon Time +20%</v>
      </c>
      <c r="U792" s="249" t="str">
        <f>+INDEX(PWP!$A:$Z,MATCH('PWP-Print'!O792,PWP!$B:$B,0),MATCH("Locked PWP Ability 1",PWP!$A$1:$Z$1,0))</f>
        <v>(Light) Dragon Time +20%</v>
      </c>
    </row>
    <row r="793" spans="1:21" ht="22.5" customHeight="1" x14ac:dyDescent="0.3">
      <c r="C793" s="729"/>
      <c r="D793" s="8"/>
      <c r="E793" s="200" t="str">
        <f>+INDEX(PWP!$A:$Z,MATCH('PWP-Print'!E792,PWP!$B:$B,0),MATCH("ID",PWP!$A$1:$Z$1,0))</f>
        <v>210068_01</v>
      </c>
      <c r="F793" s="8"/>
      <c r="G793" s="249" t="str">
        <f>+INDEX(PWP!$A:$Z,MATCH('PWP-Print'!E792,PWP!$B:$B,0),MATCH("Name",PWP!$A$1:$Z$1,0))</f>
        <v>Zephyr Imp</v>
      </c>
      <c r="H793" s="8"/>
      <c r="I793" t="e" vm="376">
        <f>_xlfn.IMAGE("https://natalie.tf/wp-content/uploads/2023/10/DLV3_Icon_Ability_"&amp;INDEX('PWP-A'!$A$2:$C$31,MATCH('PWP-Print'!J793,'PWP-A'!$B$2:$B$31,0),1)&amp;".png")</f>
        <v>#VALUE!</v>
      </c>
      <c r="J793" s="229" t="str">
        <f>+INDEX(PWP!$A:$Z,MATCH('PWP-Print'!E792,PWP!$B:$B,0),MATCH("PWP Ability 2",PWP!$A$1:$Z$1,0))</f>
        <v>Broken Punisher +30%</v>
      </c>
      <c r="K793" s="249" t="str">
        <f>+INDEX(PWP!$A:$Z,MATCH('PWP-Print'!E792,PWP!$B:$B,0),MATCH("Locked PWP Ability 2",PWP!$A$1:$Z$1,0))</f>
        <v>(Wind) Broken Punisher +30%</v>
      </c>
      <c r="M793" s="729"/>
      <c r="N793" s="8"/>
      <c r="O793" s="200" t="str">
        <f>+INDEX(PWP!$A:$Z,MATCH('PWP-Print'!O792,PWP!$B:$B,0),MATCH("ID",PWP!$A$1:$Z$1,0))</f>
        <v>210094_01</v>
      </c>
      <c r="P793" s="8"/>
      <c r="Q793" s="249" t="str">
        <f>+INDEX(PWP!$A:$Z,MATCH('PWP-Print'!O792,PWP!$B:$B,0),MATCH("Name",PWP!$A$1:$Z$1,0))</f>
        <v>Pop-Star Siren</v>
      </c>
      <c r="R793" s="8"/>
      <c r="S793" t="e" vm="330">
        <f>_xlfn.IMAGE("https://natalie.tf/wp-content/uploads/2023/10/DLV3_Icon_Ability_"&amp;INDEX('PWP-A'!$A$2:$C$31,MATCH('PWP-Print'!T793,'PWP-A'!$B$2:$B$31,0),1)&amp;".png")</f>
        <v>#VALUE!</v>
      </c>
      <c r="T793" s="229" t="str">
        <f>+INDEX(PWP!$A:$Z,MATCH('PWP-Print'!O792,PWP!$B:$B,0),MATCH("PWP Ability 2",PWP!$A$1:$Z$1,0))</f>
        <v>Skill Haste +10%</v>
      </c>
      <c r="U793" s="249" t="str">
        <f>+INDEX(PWP!$A:$Z,MATCH('PWP-Print'!O792,PWP!$B:$B,0),MATCH("Locked PWP Ability 2",PWP!$A$1:$Z$1,0))</f>
        <v>(Light) Skill Haste +10%</v>
      </c>
    </row>
    <row r="794" spans="1:21" ht="22.5" customHeight="1" x14ac:dyDescent="0.3">
      <c r="A794" s="244" t="str">
        <f>TEXT(A790+1,"000")</f>
        <v>378</v>
      </c>
      <c r="B794" s="244" t="str">
        <f>TEXT(B790+1,"000")</f>
        <v>391</v>
      </c>
      <c r="C794" s="729"/>
      <c r="E794" s="251" t="str">
        <f>+INDEX(PWP!$A:$Z,MATCH('PWP-Print'!E792,PWP!$B:$B,0),MATCH("Num",PWP!$A$1:$Z$1,0))</f>
        <v>D-073</v>
      </c>
      <c r="G794" s="249" t="str">
        <f>+INDEX(PWP!$A:$Z,MATCH('PWP-Print'!E792,PWP!$B:$B,0),MATCH("Element",PWP!$A$1:$Z$1,0))&amp;" "&amp;INDEX(PWP!$A:$Z,MATCH('PWP-Print'!E792,PWP!$B:$B,0),MATCH("Type",PWP!$A$1:$Z$1,0))</f>
        <v>Wind Dragon</v>
      </c>
      <c r="K794" s="250"/>
      <c r="M794" s="729"/>
      <c r="O794" s="251" t="str">
        <f>+INDEX(PWP!$A:$Z,MATCH('PWP-Print'!O792,PWP!$B:$B,0),MATCH("Num",PWP!$A$1:$Z$1,0))</f>
        <v>D-086</v>
      </c>
      <c r="Q794" s="249" t="str">
        <f>+INDEX(PWP!$A:$Z,MATCH('PWP-Print'!O792,PWP!$B:$B,0),MATCH("Element",PWP!$A$1:$Z$1,0))&amp;" "&amp;INDEX(PWP!$A:$Z,MATCH('PWP-Print'!O792,PWP!$B:$B,0),MATCH("Type",PWP!$A$1:$Z$1,0))</f>
        <v>Light Dragon</v>
      </c>
      <c r="U794" s="250"/>
    </row>
    <row r="795" spans="1:21" ht="7.5" customHeight="1" x14ac:dyDescent="0.3">
      <c r="A795" s="244" t="s">
        <v>10763</v>
      </c>
      <c r="E795" s="250"/>
      <c r="G795" s="250"/>
      <c r="K795" s="250"/>
      <c r="O795" s="250"/>
      <c r="Q795" s="250"/>
      <c r="U795" s="250"/>
    </row>
    <row r="796" spans="1:21" ht="22.5" customHeight="1" x14ac:dyDescent="0.3">
      <c r="C796" s="729" t="e" vm="1414">
        <f>_xlfn.IMAGE("https://natalie.tf/wp-content/uploads/2023/10/DLV3_Icon_DRA_"&amp;E797&amp;".png")</f>
        <v>#VALUE!</v>
      </c>
      <c r="E796" s="249" t="str">
        <f>"PWP-"&amp;A798</f>
        <v>PWP-379</v>
      </c>
      <c r="G796" s="249" t="str">
        <f>+INDEX(PWP!$A:$Z,MATCH('PWP-Print'!E796,PWP!$B:$B,0),MATCH("Title",PWP!$A$1:$Z$1,0))</f>
        <v>N/A</v>
      </c>
      <c r="I796" t="e" vm="601">
        <f>_xlfn.IMAGE("https://natalie.tf/wp-content/uploads/2023/10/DLV3_Icon_Ability_"&amp;INDEX('PWP-A'!$A$2:$C$31,MATCH('PWP-Print'!J796,'PWP-A'!$B$2:$B$31,0),1)&amp;".png")</f>
        <v>#VALUE!</v>
      </c>
      <c r="J796" s="229" t="str">
        <f>+INDEX(PWP!$A:$Z,MATCH('PWP-Print'!E796,PWP!$B:$B,0),MATCH("PWP Ability 1",PWP!$A$1:$Z$1,0))</f>
        <v>Dragon Haste +15%</v>
      </c>
      <c r="K796" s="249" t="str">
        <f>+INDEX(PWP!$A:$Z,MATCH('PWP-Print'!E796,PWP!$B:$B,0),MATCH("Locked PWP Ability 1",PWP!$A$1:$Z$1,0))</f>
        <v>(Wind) Dragon Haste +15%</v>
      </c>
      <c r="M796" s="729" t="e" vm="1415">
        <f>_xlfn.IMAGE("https://natalie.tf/wp-content/uploads/2023/10/DLV3_Icon_DRA_"&amp;O797&amp;".png")</f>
        <v>#VALUE!</v>
      </c>
      <c r="O796" s="249" t="str">
        <f>"PWP-"&amp;B798</f>
        <v>PWP-392</v>
      </c>
      <c r="Q796" s="249" t="str">
        <f>+INDEX(PWP!$A:$Z,MATCH('PWP-Print'!O796,PWP!$B:$B,0),MATCH("Title",PWP!$A$1:$Z$1,0))</f>
        <v>Unrivaled Wrestler</v>
      </c>
      <c r="S796" t="e" vm="14">
        <f>_xlfn.IMAGE("https://natalie.tf/wp-content/uploads/2023/10/DLV3_Icon_Ability_"&amp;INDEX('PWP-A'!$A$2:$C$31,MATCH('PWP-Print'!T796,'PWP-A'!$B$2:$B$31,0),1)&amp;".png")</f>
        <v>#VALUE!</v>
      </c>
      <c r="T796" s="229" t="str">
        <f>+INDEX(PWP!$A:$Z,MATCH('PWP-Print'!O796,PWP!$B:$B,0),MATCH("PWP Ability 1",PWP!$A$1:$Z$1,0))</f>
        <v>Dragon Damage +18%</v>
      </c>
      <c r="U796" s="249" t="str">
        <f>+INDEX(PWP!$A:$Z,MATCH('PWP-Print'!O796,PWP!$B:$B,0),MATCH("Locked PWP Ability 1",PWP!$A$1:$Z$1,0))</f>
        <v>(Light) Dragon Damage +18%</v>
      </c>
    </row>
    <row r="797" spans="1:21" ht="22.5" customHeight="1" x14ac:dyDescent="0.3">
      <c r="C797" s="729"/>
      <c r="D797" s="8"/>
      <c r="E797" s="200" t="str">
        <f>+INDEX(PWP!$A:$Z,MATCH('PWP-Print'!E796,PWP!$B:$B,0),MATCH("ID",PWP!$A$1:$Z$1,0))</f>
        <v>210064_01</v>
      </c>
      <c r="F797" s="8"/>
      <c r="G797" s="249" t="str">
        <f>+INDEX(PWP!$A:$Z,MATCH('PWP-Print'!E796,PWP!$B:$B,0),MATCH("Name",PWP!$A$1:$Z$1,0))</f>
        <v>Gust Drake</v>
      </c>
      <c r="H797" s="8"/>
      <c r="I797" t="e" vm="376">
        <f>_xlfn.IMAGE("https://natalie.tf/wp-content/uploads/2023/10/DLV3_Icon_Ability_"&amp;INDEX('PWP-A'!$A$2:$C$31,MATCH('PWP-Print'!J797,'PWP-A'!$B$2:$B$31,0),1)&amp;".png")</f>
        <v>#VALUE!</v>
      </c>
      <c r="J797" s="229" t="str">
        <f>+INDEX(PWP!$A:$Z,MATCH('PWP-Print'!E796,PWP!$B:$B,0),MATCH("PWP Ability 2",PWP!$A$1:$Z$1,0))</f>
        <v>Broken Punisher +30%</v>
      </c>
      <c r="K797" s="249" t="str">
        <f>+INDEX(PWP!$A:$Z,MATCH('PWP-Print'!E796,PWP!$B:$B,0),MATCH("Locked PWP Ability 2",PWP!$A$1:$Z$1,0))</f>
        <v>(Wind) Broken Punisher +30%</v>
      </c>
      <c r="M797" s="729"/>
      <c r="N797" s="8"/>
      <c r="O797" s="200" t="str">
        <f>+INDEX(PWP!$A:$Z,MATCH('PWP-Print'!O796,PWP!$B:$B,0),MATCH("ID",PWP!$A$1:$Z$1,0))</f>
        <v>210051_01</v>
      </c>
      <c r="P797" s="8"/>
      <c r="Q797" s="249" t="str">
        <f>+INDEX(PWP!$A:$Z,MATCH('PWP-Print'!O796,PWP!$B:$B,0),MATCH("Name",PWP!$A$1:$Z$1,0))</f>
        <v>Takemikazuchi</v>
      </c>
      <c r="R797" s="8"/>
      <c r="S797" t="e" vm="688">
        <f>_xlfn.IMAGE("https://natalie.tf/wp-content/uploads/2023/10/DLV3_Icon_Ability_"&amp;INDEX('PWP-A'!$A$2:$C$31,MATCH('PWP-Print'!T797,'PWP-A'!$B$2:$B$31,0),1)&amp;".png")</f>
        <v>#VALUE!</v>
      </c>
      <c r="T797" s="229" t="str">
        <f>+INDEX(PWP!$A:$Z,MATCH('PWP-Print'!O796,PWP!$B:$B,0),MATCH("PWP Ability 2",PWP!$A$1:$Z$1,0))</f>
        <v>Overdrive Punisher +15%</v>
      </c>
      <c r="U797" s="249" t="str">
        <f>+INDEX(PWP!$A:$Z,MATCH('PWP-Print'!O796,PWP!$B:$B,0),MATCH("Locked PWP Ability 2",PWP!$A$1:$Z$1,0))</f>
        <v>(Light) Overdrive Punisher +15%</v>
      </c>
    </row>
    <row r="798" spans="1:21" ht="22.5" customHeight="1" x14ac:dyDescent="0.3">
      <c r="A798" s="244" t="str">
        <f>TEXT(A794+1,"000")</f>
        <v>379</v>
      </c>
      <c r="B798" s="244" t="str">
        <f>TEXT(B794+1,"000")</f>
        <v>392</v>
      </c>
      <c r="C798" s="729"/>
      <c r="E798" s="251" t="str">
        <f>+INDEX(PWP!$A:$Z,MATCH('PWP-Print'!E796,PWP!$B:$B,0),MATCH("Num",PWP!$A$1:$Z$1,0))</f>
        <v>D-074</v>
      </c>
      <c r="G798" s="249" t="str">
        <f>+INDEX(PWP!$A:$Z,MATCH('PWP-Print'!E796,PWP!$B:$B,0),MATCH("Element",PWP!$A$1:$Z$1,0))&amp;" "&amp;INDEX(PWP!$A:$Z,MATCH('PWP-Print'!E796,PWP!$B:$B,0),MATCH("Type",PWP!$A$1:$Z$1,0))</f>
        <v>Wind Dragon</v>
      </c>
      <c r="K798" s="250"/>
      <c r="M798" s="729"/>
      <c r="O798" s="251" t="str">
        <f>+INDEX(PWP!$A:$Z,MATCH('PWP-Print'!O796,PWP!$B:$B,0),MATCH("Num",PWP!$A$1:$Z$1,0))</f>
        <v>D-087</v>
      </c>
      <c r="Q798" s="249" t="str">
        <f>+INDEX(PWP!$A:$Z,MATCH('PWP-Print'!O796,PWP!$B:$B,0),MATCH("Element",PWP!$A$1:$Z$1,0))&amp;" "&amp;INDEX(PWP!$A:$Z,MATCH('PWP-Print'!O796,PWP!$B:$B,0),MATCH("Type",PWP!$A$1:$Z$1,0))</f>
        <v>Light Dragon</v>
      </c>
      <c r="U798" s="250"/>
    </row>
    <row r="799" spans="1:21" ht="7.5" customHeight="1" x14ac:dyDescent="0.3">
      <c r="A799" s="244" t="s">
        <v>10763</v>
      </c>
      <c r="E799" s="250"/>
      <c r="G799" s="250"/>
      <c r="K799" s="250"/>
      <c r="O799" s="250"/>
      <c r="Q799" s="250"/>
      <c r="U799" s="250"/>
    </row>
    <row r="800" spans="1:21" ht="22.5" customHeight="1" x14ac:dyDescent="0.3">
      <c r="C800" s="729" t="e" vm="1416">
        <f>_xlfn.IMAGE("https://natalie.tf/wp-content/uploads/2023/10/DLV3_Icon_DRA_"&amp;E801&amp;".png")</f>
        <v>#VALUE!</v>
      </c>
      <c r="E800" s="249" t="str">
        <f>"PWP-"&amp;A802</f>
        <v>PWP-380</v>
      </c>
      <c r="G800" s="249" t="str">
        <f>+INDEX(PWP!$A:$Z,MATCH('PWP-Print'!E800,PWP!$B:$B,0),MATCH("Title",PWP!$A$1:$Z$1,0))</f>
        <v>N/A</v>
      </c>
      <c r="I800" t="e" vm="14">
        <f>_xlfn.IMAGE("https://natalie.tf/wp-content/uploads/2023/10/DLV3_Icon_Ability_"&amp;INDEX('PWP-A'!$A$2:$C$31,MATCH('PWP-Print'!J800,'PWP-A'!$B$2:$B$31,0),1)&amp;".png")</f>
        <v>#VALUE!</v>
      </c>
      <c r="J800" s="229" t="str">
        <f>+INDEX(PWP!$A:$Z,MATCH('PWP-Print'!E800,PWP!$B:$B,0),MATCH("PWP Ability 1",PWP!$A$1:$Z$1,0))</f>
        <v>Dragon Damage +18%</v>
      </c>
      <c r="K800" s="249" t="str">
        <f>+INDEX(PWP!$A:$Z,MATCH('PWP-Print'!E800,PWP!$B:$B,0),MATCH("Locked PWP Ability 1",PWP!$A$1:$Z$1,0))</f>
        <v>(Wind) Dragon Damage +18%</v>
      </c>
      <c r="M800" s="729" t="e" vm="1417">
        <f>_xlfn.IMAGE("https://natalie.tf/wp-content/uploads/2023/10/DLV3_Icon_DRA_"&amp;O801&amp;".png")</f>
        <v>#VALUE!</v>
      </c>
      <c r="O800" s="249" t="str">
        <f>"PWP-"&amp;B802</f>
        <v>PWP-393</v>
      </c>
      <c r="Q800" s="249" t="str">
        <f>+INDEX(PWP!$A:$Z,MATCH('PWP-Print'!O800,PWP!$B:$B,0),MATCH("Title",PWP!$A$1:$Z$1,0))</f>
        <v>King of the Big Top</v>
      </c>
      <c r="S800" t="e" vm="14">
        <f>_xlfn.IMAGE("https://natalie.tf/wp-content/uploads/2023/10/DLV3_Icon_Ability_"&amp;INDEX('PWP-A'!$A$2:$C$31,MATCH('PWP-Print'!T800,'PWP-A'!$B$2:$B$31,0),1)&amp;".png")</f>
        <v>#VALUE!</v>
      </c>
      <c r="T800" s="229" t="str">
        <f>+INDEX(PWP!$A:$Z,MATCH('PWP-Print'!O800,PWP!$B:$B,0),MATCH("PWP Ability 1",PWP!$A$1:$Z$1,0))</f>
        <v>Dragon Damage +18%</v>
      </c>
      <c r="U800" s="249" t="str">
        <f>+INDEX(PWP!$A:$Z,MATCH('PWP-Print'!O800,PWP!$B:$B,0),MATCH("Locked PWP Ability 1",PWP!$A$1:$Z$1,0))</f>
        <v>(Light) Dragon Damage +18%</v>
      </c>
    </row>
    <row r="801" spans="1:21" ht="22.5" customHeight="1" x14ac:dyDescent="0.3">
      <c r="C801" s="729"/>
      <c r="D801" s="8"/>
      <c r="E801" s="200" t="str">
        <f>+INDEX(PWP!$A:$Z,MATCH('PWP-Print'!E800,PWP!$B:$B,0),MATCH("ID",PWP!$A$1:$Z$1,0))</f>
        <v>210060_01</v>
      </c>
      <c r="F801" s="8"/>
      <c r="G801" s="249" t="str">
        <f>+INDEX(PWP!$A:$Z,MATCH('PWP-Print'!E800,PWP!$B:$B,0),MATCH("Name",PWP!$A$1:$Z$1,0))</f>
        <v>Tsumuji</v>
      </c>
      <c r="H801" s="8"/>
      <c r="I801" t="e" vm="376">
        <f>_xlfn.IMAGE("https://natalie.tf/wp-content/uploads/2023/10/DLV3_Icon_Ability_"&amp;INDEX('PWP-A'!$A$2:$C$31,MATCH('PWP-Print'!J801,'PWP-A'!$B$2:$B$31,0),1)&amp;".png")</f>
        <v>#VALUE!</v>
      </c>
      <c r="J801" s="229" t="str">
        <f>+INDEX(PWP!$A:$Z,MATCH('PWP-Print'!E800,PWP!$B:$B,0),MATCH("PWP Ability 2",PWP!$A$1:$Z$1,0))</f>
        <v>Broken Punisher +30%</v>
      </c>
      <c r="K801" s="249" t="str">
        <f>+INDEX(PWP!$A:$Z,MATCH('PWP-Print'!E800,PWP!$B:$B,0),MATCH("Locked PWP Ability 2",PWP!$A$1:$Z$1,0))</f>
        <v>(Wind) Broken Punisher +30%</v>
      </c>
      <c r="M801" s="729"/>
      <c r="N801" s="8"/>
      <c r="O801" s="200" t="str">
        <f>+INDEX(PWP!$A:$Z,MATCH('PWP-Print'!O800,PWP!$B:$B,0),MATCH("ID",PWP!$A$1:$Z$1,0))</f>
        <v>210043_01</v>
      </c>
      <c r="P801" s="8"/>
      <c r="Q801" s="249" t="str">
        <f>+INDEX(PWP!$A:$Z,MATCH('PWP-Print'!O800,PWP!$B:$B,0),MATCH("Name",PWP!$A$1:$Z$1,0))</f>
        <v>Liger</v>
      </c>
      <c r="R801" s="8"/>
      <c r="S801" t="e" vm="496">
        <f>_xlfn.IMAGE("https://natalie.tf/wp-content/uploads/2023/10/DLV3_Icon_Ability_"&amp;INDEX('PWP-A'!$A$2:$C$31,MATCH('PWP-Print'!T801,'PWP-A'!$B$2:$B$31,0),1)&amp;".png")</f>
        <v>#VALUE!</v>
      </c>
      <c r="T801" s="229" t="str">
        <f>+INDEX(PWP!$A:$Z,MATCH('PWP-Print'!O800,PWP!$B:$B,0),MATCH("PWP Ability 2",PWP!$A$1:$Z$1,0))</f>
        <v>HP +15%</v>
      </c>
      <c r="U801" s="249" t="str">
        <f>+INDEX(PWP!$A:$Z,MATCH('PWP-Print'!O800,PWP!$B:$B,0),MATCH("Locked PWP Ability 2",PWP!$A$1:$Z$1,0))</f>
        <v>(Light) HP +15%</v>
      </c>
    </row>
    <row r="802" spans="1:21" ht="22.5" customHeight="1" x14ac:dyDescent="0.3">
      <c r="A802" s="244" t="str">
        <f>TEXT(A798+1,"000")</f>
        <v>380</v>
      </c>
      <c r="B802" s="244" t="str">
        <f>TEXT(B798+1,"000")</f>
        <v>393</v>
      </c>
      <c r="C802" s="729"/>
      <c r="E802" s="251" t="str">
        <f>+INDEX(PWP!$A:$Z,MATCH('PWP-Print'!E800,PWP!$B:$B,0),MATCH("Num",PWP!$A$1:$Z$1,0))</f>
        <v>D-075</v>
      </c>
      <c r="G802" s="249" t="str">
        <f>+INDEX(PWP!$A:$Z,MATCH('PWP-Print'!E800,PWP!$B:$B,0),MATCH("Element",PWP!$A$1:$Z$1,0))&amp;" "&amp;INDEX(PWP!$A:$Z,MATCH('PWP-Print'!E800,PWP!$B:$B,0),MATCH("Type",PWP!$A$1:$Z$1,0))</f>
        <v>Wind Dragon</v>
      </c>
      <c r="K802" s="250"/>
      <c r="M802" s="729"/>
      <c r="O802" s="251" t="str">
        <f>+INDEX(PWP!$A:$Z,MATCH('PWP-Print'!O800,PWP!$B:$B,0),MATCH("Num",PWP!$A$1:$Z$1,0))</f>
        <v>D-088</v>
      </c>
      <c r="Q802" s="249" t="str">
        <f>+INDEX(PWP!$A:$Z,MATCH('PWP-Print'!O800,PWP!$B:$B,0),MATCH("Element",PWP!$A$1:$Z$1,0))&amp;" "&amp;INDEX(PWP!$A:$Z,MATCH('PWP-Print'!O800,PWP!$B:$B,0),MATCH("Type",PWP!$A$1:$Z$1,0))</f>
        <v>Light Dragon</v>
      </c>
      <c r="U802" s="250"/>
    </row>
    <row r="803" spans="1:21" ht="7.5" customHeight="1" x14ac:dyDescent="0.3">
      <c r="A803" s="244" t="s">
        <v>10763</v>
      </c>
      <c r="E803" s="250"/>
      <c r="G803" s="250"/>
      <c r="K803" s="250"/>
      <c r="O803" s="250"/>
      <c r="Q803" s="250"/>
      <c r="U803" s="250"/>
    </row>
    <row r="804" spans="1:21" ht="22.5" customHeight="1" x14ac:dyDescent="0.3">
      <c r="C804" s="729" t="e" vm="1418">
        <f>_xlfn.IMAGE("https://natalie.tf/wp-content/uploads/2023/10/DLV3_Icon_DRA_"&amp;E805&amp;".png")</f>
        <v>#VALUE!</v>
      </c>
      <c r="E804" s="249" t="str">
        <f>"PWP-"&amp;A806</f>
        <v>PWP-381</v>
      </c>
      <c r="G804" s="249" t="str">
        <f>+INDEX(PWP!$A:$Z,MATCH('PWP-Print'!E804,PWP!$B:$B,0),MATCH("Title",PWP!$A$1:$Z$1,0))</f>
        <v>Custodian of the World</v>
      </c>
      <c r="I804" t="e" vm="14">
        <f>_xlfn.IMAGE("https://natalie.tf/wp-content/uploads/2023/10/DLV3_Icon_Ability_"&amp;INDEX('PWP-A'!$A$2:$C$31,MATCH('PWP-Print'!J804,'PWP-A'!$B$2:$B$31,0),1)&amp;".png")</f>
        <v>#VALUE!</v>
      </c>
      <c r="J804" s="229" t="str">
        <f>+INDEX(PWP!$A:$Z,MATCH('PWP-Print'!E804,PWP!$B:$B,0),MATCH("PWP Ability 1",PWP!$A$1:$Z$1,0))</f>
        <v>Dragon Damage +18%</v>
      </c>
      <c r="K804" s="249" t="str">
        <f>+INDEX(PWP!$A:$Z,MATCH('PWP-Print'!E804,PWP!$B:$B,0),MATCH("Locked PWP Ability 1",PWP!$A$1:$Z$1,0))</f>
        <v>(Light) Dragon Damage +18%</v>
      </c>
      <c r="M804" s="729" t="e" vm="1419">
        <f>_xlfn.IMAGE("https://natalie.tf/wp-content/uploads/2023/10/DLV3_Icon_DRA_"&amp;O805&amp;".png")</f>
        <v>#VALUE!</v>
      </c>
      <c r="O804" s="249" t="str">
        <f>"PWP-"&amp;B806</f>
        <v>PWP-394</v>
      </c>
      <c r="Q804" s="249" t="str">
        <f>+INDEX(PWP!$A:$Z,MATCH('PWP-Print'!O804,PWP!$B:$B,0),MATCH("Title",PWP!$A$1:$Z$1,0))</f>
        <v>Fortune Bringer</v>
      </c>
      <c r="S804" t="e" vm="382">
        <f>_xlfn.IMAGE("https://natalie.tf/wp-content/uploads/2023/10/DLV3_Icon_Ability_"&amp;INDEX('PWP-A'!$A$2:$C$31,MATCH('PWP-Print'!T804,'PWP-A'!$B$2:$B$31,0),1)&amp;".png")</f>
        <v>#VALUE!</v>
      </c>
      <c r="T804" s="229" t="str">
        <f>+INDEX(PWP!$A:$Z,MATCH('PWP-Print'!O804,PWP!$B:$B,0),MATCH("PWP Ability 1",PWP!$A$1:$Z$1,0))</f>
        <v>Dragon Time +20%</v>
      </c>
      <c r="U804" s="249" t="str">
        <f>+INDEX(PWP!$A:$Z,MATCH('PWP-Print'!O804,PWP!$B:$B,0),MATCH("Locked PWP Ability 1",PWP!$A$1:$Z$1,0))</f>
        <v>(Light) Dragon Time +20%</v>
      </c>
    </row>
    <row r="805" spans="1:21" ht="22.5" customHeight="1" x14ac:dyDescent="0.3">
      <c r="C805" s="729"/>
      <c r="D805" s="8"/>
      <c r="E805" s="200" t="str">
        <f>+INDEX(PWP!$A:$Z,MATCH('PWP-Print'!E804,PWP!$B:$B,0),MATCH("ID",PWP!$A$1:$Z$1,0))</f>
        <v>210173_01</v>
      </c>
      <c r="F805" s="8"/>
      <c r="G805" s="249" t="str">
        <f>+INDEX(PWP!$A:$Z,MATCH('PWP-Print'!E804,PWP!$B:$B,0),MATCH("Name",PWP!$A$1:$Z$1,0))</f>
        <v>Gala Elysium</v>
      </c>
      <c r="H805" s="8"/>
      <c r="I805" t="e" vm="426">
        <f>_xlfn.IMAGE("https://natalie.tf/wp-content/uploads/2023/10/DLV3_Icon_Ability_"&amp;INDEX('PWP-A'!$A$2:$C$31,MATCH('PWP-Print'!J805,'PWP-A'!$B$2:$B$31,0),1)&amp;".png")</f>
        <v>#VALUE!</v>
      </c>
      <c r="J805" s="229" t="str">
        <f>+INDEX(PWP!$A:$Z,MATCH('PWP-Print'!E804,PWP!$B:$B,0),MATCH("PWP Ability 2",PWP!$A$1:$Z$1,0))</f>
        <v>Defense +20%</v>
      </c>
      <c r="K805" s="249" t="str">
        <f>+INDEX(PWP!$A:$Z,MATCH('PWP-Print'!E804,PWP!$B:$B,0),MATCH("Locked PWP Ability 2",PWP!$A$1:$Z$1,0))</f>
        <v>(Light) Defense +20%</v>
      </c>
      <c r="M805" s="729"/>
      <c r="N805" s="8"/>
      <c r="O805" s="200" t="str">
        <f>+INDEX(PWP!$A:$Z,MATCH('PWP-Print'!O804,PWP!$B:$B,0),MATCH("ID",PWP!$A$1:$Z$1,0))</f>
        <v>210078_01</v>
      </c>
      <c r="P805" s="8"/>
      <c r="Q805" s="249" t="str">
        <f>+INDEX(PWP!$A:$Z,MATCH('PWP-Print'!O804,PWP!$B:$B,0),MATCH("Name",PWP!$A$1:$Z$1,0))</f>
        <v>Shishimai</v>
      </c>
      <c r="R805" s="8"/>
      <c r="S805" t="e" vm="414">
        <f>_xlfn.IMAGE("https://natalie.tf/wp-content/uploads/2023/10/DLV3_Icon_Ability_"&amp;INDEX('PWP-A'!$A$2:$C$31,MATCH('PWP-Print'!T805,'PWP-A'!$B$2:$B$31,0),1)&amp;".png")</f>
        <v>#VALUE!</v>
      </c>
      <c r="T805" s="229" t="str">
        <f>+INDEX(PWP!$A:$Z,MATCH('PWP-Print'!O804,PWP!$B:$B,0),MATCH("PWP Ability 2",PWP!$A$1:$Z$1,0))</f>
        <v>Critical Damage +25%</v>
      </c>
      <c r="U805" s="249" t="str">
        <f>+INDEX(PWP!$A:$Z,MATCH('PWP-Print'!O804,PWP!$B:$B,0),MATCH("Locked PWP Ability 2",PWP!$A$1:$Z$1,0))</f>
        <v>(Light) Critical Damage +25%</v>
      </c>
    </row>
    <row r="806" spans="1:21" ht="22.5" customHeight="1" x14ac:dyDescent="0.3">
      <c r="A806" s="244" t="str">
        <f>TEXT(A802+1,"000")</f>
        <v>381</v>
      </c>
      <c r="B806" s="244" t="str">
        <f>TEXT(B802+1,"000")</f>
        <v>394</v>
      </c>
      <c r="C806" s="729"/>
      <c r="E806" s="251" t="str">
        <f>+INDEX(PWP!$A:$Z,MATCH('PWP-Print'!E804,PWP!$B:$B,0),MATCH("Num",PWP!$A$1:$Z$1,0))</f>
        <v>D-076</v>
      </c>
      <c r="G806" s="249" t="str">
        <f>+INDEX(PWP!$A:$Z,MATCH('PWP-Print'!E804,PWP!$B:$B,0),MATCH("Element",PWP!$A$1:$Z$1,0))&amp;" "&amp;INDEX(PWP!$A:$Z,MATCH('PWP-Print'!E804,PWP!$B:$B,0),MATCH("Type",PWP!$A$1:$Z$1,0))</f>
        <v>Light Dragon</v>
      </c>
      <c r="K806" s="250"/>
      <c r="M806" s="729"/>
      <c r="O806" s="251" t="str">
        <f>+INDEX(PWP!$A:$Z,MATCH('PWP-Print'!O804,PWP!$B:$B,0),MATCH("Num",PWP!$A$1:$Z$1,0))</f>
        <v>D-089</v>
      </c>
      <c r="Q806" s="249" t="str">
        <f>+INDEX(PWP!$A:$Z,MATCH('PWP-Print'!O804,PWP!$B:$B,0),MATCH("Element",PWP!$A$1:$Z$1,0))&amp;" "&amp;INDEX(PWP!$A:$Z,MATCH('PWP-Print'!O804,PWP!$B:$B,0),MATCH("Type",PWP!$A$1:$Z$1,0))</f>
        <v>Light Dragon</v>
      </c>
      <c r="U806" s="250"/>
    </row>
    <row r="807" spans="1:21" ht="7.5" customHeight="1" x14ac:dyDescent="0.3">
      <c r="A807" s="244" t="s">
        <v>10763</v>
      </c>
      <c r="E807" s="250"/>
      <c r="G807" s="250"/>
      <c r="K807" s="250"/>
      <c r="O807" s="250"/>
      <c r="Q807" s="250"/>
      <c r="U807" s="250"/>
    </row>
    <row r="808" spans="1:21" ht="22.5" customHeight="1" x14ac:dyDescent="0.3">
      <c r="C808" s="729" t="e" vm="1420">
        <f>_xlfn.IMAGE("https://natalie.tf/wp-content/uploads/2023/10/DLV3_Icon_DRA_"&amp;E809&amp;".png")</f>
        <v>#VALUE!</v>
      </c>
      <c r="E808" s="249" t="str">
        <f>"PWP-"&amp;A810</f>
        <v>PWP-382</v>
      </c>
      <c r="G808" s="249" t="str">
        <f>+INDEX(PWP!$A:$Z,MATCH('PWP-Print'!E808,PWP!$B:$B,0),MATCH("Title",PWP!$A$1:$Z$1,0))</f>
        <v>Sovereign of Time</v>
      </c>
      <c r="I808" t="e" vm="382">
        <f>_xlfn.IMAGE("https://natalie.tf/wp-content/uploads/2023/10/DLV3_Icon_Ability_"&amp;INDEX('PWP-A'!$A$2:$C$31,MATCH('PWP-Print'!J808,'PWP-A'!$B$2:$B$31,0),1)&amp;".png")</f>
        <v>#VALUE!</v>
      </c>
      <c r="J808" s="229" t="str">
        <f>+INDEX(PWP!$A:$Z,MATCH('PWP-Print'!E808,PWP!$B:$B,0),MATCH("PWP Ability 1",PWP!$A$1:$Z$1,0))</f>
        <v>Dragon Time +20%</v>
      </c>
      <c r="K808" s="249" t="str">
        <f>+INDEX(PWP!$A:$Z,MATCH('PWP-Print'!E808,PWP!$B:$B,0),MATCH("Locked PWP Ability 1",PWP!$A$1:$Z$1,0))</f>
        <v>(Light) Dragon Time +20%</v>
      </c>
      <c r="M808" s="729" t="e" vm="1421">
        <f>_xlfn.IMAGE("https://natalie.tf/wp-content/uploads/2023/10/DLV3_Icon_DRA_"&amp;O809&amp;".png")</f>
        <v>#VALUE!</v>
      </c>
      <c r="O808" s="249" t="str">
        <f>"PWP-"&amp;B810</f>
        <v>PWP-395</v>
      </c>
      <c r="Q808" s="249" t="str">
        <f>+INDEX(PWP!$A:$Z,MATCH('PWP-Print'!O808,PWP!$B:$B,0),MATCH("Title",PWP!$A$1:$Z$1,0))</f>
        <v>Love's Messenger</v>
      </c>
      <c r="S808" t="e" vm="14">
        <f>_xlfn.IMAGE("https://natalie.tf/wp-content/uploads/2023/10/DLV3_Icon_Ability_"&amp;INDEX('PWP-A'!$A$2:$C$31,MATCH('PWP-Print'!T808,'PWP-A'!$B$2:$B$31,0),1)&amp;".png")</f>
        <v>#VALUE!</v>
      </c>
      <c r="T808" s="229" t="str">
        <f>+INDEX(PWP!$A:$Z,MATCH('PWP-Print'!O808,PWP!$B:$B,0),MATCH("PWP Ability 1",PWP!$A$1:$Z$1,0))</f>
        <v>Dragon Damage +18%</v>
      </c>
      <c r="U808" s="249" t="str">
        <f>+INDEX(PWP!$A:$Z,MATCH('PWP-Print'!O808,PWP!$B:$B,0),MATCH("Locked PWP Ability 1",PWP!$A$1:$Z$1,0))</f>
        <v>(Light) Dragon Damage +18%</v>
      </c>
    </row>
    <row r="809" spans="1:21" ht="22.5" customHeight="1" x14ac:dyDescent="0.3">
      <c r="C809" s="729"/>
      <c r="D809" s="8"/>
      <c r="E809" s="200" t="str">
        <f>+INDEX(PWP!$A:$Z,MATCH('PWP-Print'!E808,PWP!$B:$B,0),MATCH("ID",PWP!$A$1:$Z$1,0))</f>
        <v>210164_01</v>
      </c>
      <c r="F809" s="8"/>
      <c r="G809" s="249" t="str">
        <f>+INDEX(PWP!$A:$Z,MATCH('PWP-Print'!E808,PWP!$B:$B,0),MATCH("Name",PWP!$A$1:$Z$1,0))</f>
        <v>Gala Chronos Nyx</v>
      </c>
      <c r="H809" s="8"/>
      <c r="I809" t="e" vm="696">
        <f>_xlfn.IMAGE("https://natalie.tf/wp-content/uploads/2023/10/DLV3_Icon_Ability_"&amp;INDEX('PWP-A'!$A$2:$C$31,MATCH('PWP-Print'!J809,'PWP-A'!$B$2:$B$31,0),1)&amp;".png")</f>
        <v>#VALUE!</v>
      </c>
      <c r="J809" s="229" t="str">
        <f>+INDEX(PWP!$A:$Z,MATCH('PWP-Print'!E808,PWP!$B:$B,0),MATCH("PWP Ability 2",PWP!$A$1:$Z$1,0))</f>
        <v>Elemental Res +15%</v>
      </c>
      <c r="K809" s="249" t="str">
        <f>+INDEX(PWP!$A:$Z,MATCH('PWP-Print'!E808,PWP!$B:$B,0),MATCH("Locked PWP Ability 2",PWP!$A$1:$Z$1,0))</f>
        <v>(Light) Elemental Res +15%</v>
      </c>
      <c r="M809" s="729"/>
      <c r="N809" s="8"/>
      <c r="O809" s="200" t="str">
        <f>+INDEX(PWP!$A:$Z,MATCH('PWP-Print'!O808,PWP!$B:$B,0),MATCH("ID",PWP!$A$1:$Z$1,0))</f>
        <v>210049_01</v>
      </c>
      <c r="P809" s="8"/>
      <c r="Q809" s="249" t="str">
        <f>+INDEX(PWP!$A:$Z,MATCH('PWP-Print'!O808,PWP!$B:$B,0),MATCH("Name",PWP!$A$1:$Z$1,0))</f>
        <v>Cupid</v>
      </c>
      <c r="R809" s="8"/>
      <c r="S809" t="e" vm="326">
        <f>_xlfn.IMAGE("https://natalie.tf/wp-content/uploads/2023/10/DLV3_Icon_Ability_"&amp;INDEX('PWP-A'!$A$2:$C$31,MATCH('PWP-Print'!T809,'PWP-A'!$B$2:$B$31,0),1)&amp;".png")</f>
        <v>#VALUE!</v>
      </c>
      <c r="T809" s="229" t="str">
        <f>+INDEX(PWP!$A:$Z,MATCH('PWP-Print'!O808,PWP!$B:$B,0),MATCH("PWP Ability 2",PWP!$A$1:$Z$1,0))</f>
        <v>Critical Rate +15%</v>
      </c>
      <c r="U809" s="249" t="str">
        <f>+INDEX(PWP!$A:$Z,MATCH('PWP-Print'!O808,PWP!$B:$B,0),MATCH("Locked PWP Ability 2",PWP!$A$1:$Z$1,0))</f>
        <v>(Light) Critical Rate +15%</v>
      </c>
    </row>
    <row r="810" spans="1:21" ht="22.5" customHeight="1" x14ac:dyDescent="0.3">
      <c r="A810" s="244" t="str">
        <f>TEXT(A806+1,"000")</f>
        <v>382</v>
      </c>
      <c r="B810" s="244" t="str">
        <f>TEXT(B806+1,"000")</f>
        <v>395</v>
      </c>
      <c r="C810" s="729"/>
      <c r="E810" s="251" t="str">
        <f>+INDEX(PWP!$A:$Z,MATCH('PWP-Print'!E808,PWP!$B:$B,0),MATCH("Num",PWP!$A$1:$Z$1,0))</f>
        <v>D-077</v>
      </c>
      <c r="G810" s="249" t="str">
        <f>+INDEX(PWP!$A:$Z,MATCH('PWP-Print'!E808,PWP!$B:$B,0),MATCH("Element",PWP!$A$1:$Z$1,0))&amp;" "&amp;INDEX(PWP!$A:$Z,MATCH('PWP-Print'!E808,PWP!$B:$B,0),MATCH("Type",PWP!$A$1:$Z$1,0))</f>
        <v>Light Dragon</v>
      </c>
      <c r="K810" s="250"/>
      <c r="M810" s="729"/>
      <c r="O810" s="251" t="str">
        <f>+INDEX(PWP!$A:$Z,MATCH('PWP-Print'!O808,PWP!$B:$B,0),MATCH("Num",PWP!$A$1:$Z$1,0))</f>
        <v>D-090</v>
      </c>
      <c r="Q810" s="249" t="str">
        <f>+INDEX(PWP!$A:$Z,MATCH('PWP-Print'!O808,PWP!$B:$B,0),MATCH("Element",PWP!$A$1:$Z$1,0))&amp;" "&amp;INDEX(PWP!$A:$Z,MATCH('PWP-Print'!O808,PWP!$B:$B,0),MATCH("Type",PWP!$A$1:$Z$1,0))</f>
        <v>Light Dragon</v>
      </c>
      <c r="U810" s="250"/>
    </row>
    <row r="811" spans="1:21" ht="7.5" customHeight="1" x14ac:dyDescent="0.3">
      <c r="A811" s="244" t="s">
        <v>10763</v>
      </c>
      <c r="E811" s="250"/>
      <c r="G811" s="250"/>
      <c r="K811" s="250"/>
      <c r="O811" s="250"/>
      <c r="Q811" s="250"/>
      <c r="U811" s="250"/>
    </row>
    <row r="812" spans="1:21" ht="22.5" customHeight="1" x14ac:dyDescent="0.3">
      <c r="C812" s="729" t="e" vm="1422">
        <f>_xlfn.IMAGE("https://natalie.tf/wp-content/uploads/2023/10/DLV3_Icon_DRA_"&amp;E813&amp;".png")</f>
        <v>#VALUE!</v>
      </c>
      <c r="E812" s="249" t="str">
        <f>"PWP-"&amp;A814</f>
        <v>PWP-383</v>
      </c>
      <c r="G812" s="249" t="str">
        <f>+INDEX(PWP!$A:$Z,MATCH('PWP-Print'!E812,PWP!$B:$B,0),MATCH("Title",PWP!$A$1:$Z$1,0))</f>
        <v>The Most Handsome Boy</v>
      </c>
      <c r="I812" t="e" vm="601">
        <f>_xlfn.IMAGE("https://natalie.tf/wp-content/uploads/2023/10/DLV3_Icon_Ability_"&amp;INDEX('PWP-A'!$A$2:$C$31,MATCH('PWP-Print'!J812,'PWP-A'!$B$2:$B$31,0),1)&amp;".png")</f>
        <v>#VALUE!</v>
      </c>
      <c r="J812" s="229" t="str">
        <f>+INDEX(PWP!$A:$Z,MATCH('PWP-Print'!E812,PWP!$B:$B,0),MATCH("PWP Ability 1",PWP!$A$1:$Z$1,0))</f>
        <v>Dragon Haste +15%</v>
      </c>
      <c r="K812" s="249" t="str">
        <f>+INDEX(PWP!$A:$Z,MATCH('PWP-Print'!E812,PWP!$B:$B,0),MATCH("Locked PWP Ability 1",PWP!$A$1:$Z$1,0))</f>
        <v>(Light) Dragon Haste +15%</v>
      </c>
      <c r="M812" s="729" t="e" vm="1423">
        <f>_xlfn.IMAGE("https://natalie.tf/wp-content/uploads/2023/10/DLV3_Icon_DRA_"&amp;O813&amp;".png")</f>
        <v>#VALUE!</v>
      </c>
      <c r="O812" s="249" t="str">
        <f>"PWP-"&amp;B814</f>
        <v>PWP-396</v>
      </c>
      <c r="Q812" s="249" t="str">
        <f>+INDEX(PWP!$A:$Z,MATCH('PWP-Print'!O812,PWP!$B:$B,0),MATCH("Title",PWP!$A$1:$Z$1,0))</f>
        <v>Supreme Ruler</v>
      </c>
      <c r="S812" t="e" vm="601">
        <f>_xlfn.IMAGE("https://natalie.tf/wp-content/uploads/2023/10/DLV3_Icon_Ability_"&amp;INDEX('PWP-A'!$A$2:$C$31,MATCH('PWP-Print'!T812,'PWP-A'!$B$2:$B$31,0),1)&amp;".png")</f>
        <v>#VALUE!</v>
      </c>
      <c r="T812" s="229" t="str">
        <f>+INDEX(PWP!$A:$Z,MATCH('PWP-Print'!O812,PWP!$B:$B,0),MATCH("PWP Ability 1",PWP!$A$1:$Z$1,0))</f>
        <v>Dragon Haste +15%</v>
      </c>
      <c r="U812" s="249" t="str">
        <f>+INDEX(PWP!$A:$Z,MATCH('PWP-Print'!O812,PWP!$B:$B,0),MATCH("Locked PWP Ability 1",PWP!$A$1:$Z$1,0))</f>
        <v>(Light) Dragon Haste +15%</v>
      </c>
    </row>
    <row r="813" spans="1:21" ht="22.5" customHeight="1" x14ac:dyDescent="0.3">
      <c r="C813" s="729"/>
      <c r="D813" s="8"/>
      <c r="E813" s="200" t="str">
        <f>+INDEX(PWP!$A:$Z,MATCH('PWP-Print'!E812,PWP!$B:$B,0),MATCH("ID",PWP!$A$1:$Z$1,0))</f>
        <v>210166_01</v>
      </c>
      <c r="F813" s="8"/>
      <c r="G813" s="249" t="str">
        <f>+INDEX(PWP!$A:$Z,MATCH('PWP-Print'!E812,PWP!$B:$B,0),MATCH("Name",PWP!$A$1:$Z$1,0))</f>
        <v>Mini Jupi</v>
      </c>
      <c r="H813" s="8"/>
      <c r="I813" t="e" vm="411">
        <f>_xlfn.IMAGE("https://natalie.tf/wp-content/uploads/2023/10/DLV3_Icon_Ability_"&amp;INDEX('PWP-A'!$A$2:$C$31,MATCH('PWP-Print'!J813,'PWP-A'!$B$2:$B$31,0),1)&amp;".png")</f>
        <v>#VALUE!</v>
      </c>
      <c r="J813" s="229" t="str">
        <f>+INDEX(PWP!$A:$Z,MATCH('PWP-Print'!E812,PWP!$B:$B,0),MATCH("PWP Ability 2",PWP!$A$1:$Z$1,0))</f>
        <v>Skill Prep +50%</v>
      </c>
      <c r="K813" s="249" t="str">
        <f>+INDEX(PWP!$A:$Z,MATCH('PWP-Print'!E812,PWP!$B:$B,0),MATCH("Locked PWP Ability 2",PWP!$A$1:$Z$1,0))</f>
        <v>(Light) Skill Prep +50%</v>
      </c>
      <c r="M813" s="729"/>
      <c r="N813" s="8"/>
      <c r="O813" s="200" t="str">
        <f>+INDEX(PWP!$A:$Z,MATCH('PWP-Print'!O812,PWP!$B:$B,0),MATCH("ID",PWP!$A$1:$Z$1,0))</f>
        <v>210048_01</v>
      </c>
      <c r="P813" s="8"/>
      <c r="Q813" s="249" t="str">
        <f>+INDEX(PWP!$A:$Z,MATCH('PWP-Print'!O812,PWP!$B:$B,0),MATCH("Name",PWP!$A$1:$Z$1,0))</f>
        <v>Gilgamesh</v>
      </c>
      <c r="R813" s="8"/>
      <c r="S813" t="e" vm="696">
        <f>_xlfn.IMAGE("https://natalie.tf/wp-content/uploads/2023/10/DLV3_Icon_Ability_"&amp;INDEX('PWP-A'!$A$2:$C$31,MATCH('PWP-Print'!T813,'PWP-A'!$B$2:$B$31,0),1)&amp;".png")</f>
        <v>#VALUE!</v>
      </c>
      <c r="T813" s="229" t="str">
        <f>+INDEX(PWP!$A:$Z,MATCH('PWP-Print'!O812,PWP!$B:$B,0),MATCH("PWP Ability 2",PWP!$A$1:$Z$1,0))</f>
        <v>Elemental Res +15%</v>
      </c>
      <c r="U813" s="249" t="str">
        <f>+INDEX(PWP!$A:$Z,MATCH('PWP-Print'!O812,PWP!$B:$B,0),MATCH("Locked PWP Ability 2",PWP!$A$1:$Z$1,0))</f>
        <v>(Light) Elemental Res +15%</v>
      </c>
    </row>
    <row r="814" spans="1:21" ht="22.5" customHeight="1" x14ac:dyDescent="0.3">
      <c r="A814" s="244" t="str">
        <f>TEXT(A810+1,"000")</f>
        <v>383</v>
      </c>
      <c r="B814" s="244" t="str">
        <f>TEXT(B810+1,"000")</f>
        <v>396</v>
      </c>
      <c r="C814" s="729"/>
      <c r="E814" s="251" t="str">
        <f>+INDEX(PWP!$A:$Z,MATCH('PWP-Print'!E812,PWP!$B:$B,0),MATCH("Num",PWP!$A$1:$Z$1,0))</f>
        <v>D-078</v>
      </c>
      <c r="G814" s="249" t="str">
        <f>+INDEX(PWP!$A:$Z,MATCH('PWP-Print'!E812,PWP!$B:$B,0),MATCH("Element",PWP!$A$1:$Z$1,0))&amp;" "&amp;INDEX(PWP!$A:$Z,MATCH('PWP-Print'!E812,PWP!$B:$B,0),MATCH("Type",PWP!$A$1:$Z$1,0))</f>
        <v>Light Dragon</v>
      </c>
      <c r="K814" s="250"/>
      <c r="M814" s="729"/>
      <c r="O814" s="251" t="str">
        <f>+INDEX(PWP!$A:$Z,MATCH('PWP-Print'!O812,PWP!$B:$B,0),MATCH("Num",PWP!$A$1:$Z$1,0))</f>
        <v>D-091</v>
      </c>
      <c r="Q814" s="249" t="str">
        <f>+INDEX(PWP!$A:$Z,MATCH('PWP-Print'!O812,PWP!$B:$B,0),MATCH("Element",PWP!$A$1:$Z$1,0))&amp;" "&amp;INDEX(PWP!$A:$Z,MATCH('PWP-Print'!O812,PWP!$B:$B,0),MATCH("Type",PWP!$A$1:$Z$1,0))</f>
        <v>Light Dragon</v>
      </c>
      <c r="U814" s="250"/>
    </row>
    <row r="815" spans="1:21" ht="7.5" customHeight="1" x14ac:dyDescent="0.3">
      <c r="A815" s="244" t="s">
        <v>10763</v>
      </c>
      <c r="E815" s="250"/>
      <c r="G815" s="250"/>
      <c r="K815" s="250"/>
      <c r="O815" s="250"/>
      <c r="Q815" s="250"/>
      <c r="U815" s="250"/>
    </row>
    <row r="816" spans="1:21" ht="22.5" customHeight="1" x14ac:dyDescent="0.3">
      <c r="C816" s="729" t="e" vm="1424">
        <f>_xlfn.IMAGE("https://natalie.tf/wp-content/uploads/2023/10/DLV3_Icon_DRA_"&amp;E817&amp;".png")</f>
        <v>#VALUE!</v>
      </c>
      <c r="E816" s="249" t="str">
        <f>"PWP-"&amp;A818</f>
        <v>PWP-384</v>
      </c>
      <c r="G816" s="249" t="str">
        <f>+INDEX(PWP!$A:$Z,MATCH('PWP-Print'!E816,PWP!$B:$B,0),MATCH("Title",PWP!$A$1:$Z$1,0))</f>
        <v>Mischievous Feline</v>
      </c>
      <c r="I816" t="e" vm="601">
        <f>_xlfn.IMAGE("https://natalie.tf/wp-content/uploads/2023/10/DLV3_Icon_Ability_"&amp;INDEX('PWP-A'!$A$2:$C$31,MATCH('PWP-Print'!J816,'PWP-A'!$B$2:$B$31,0),1)&amp;".png")</f>
        <v>#VALUE!</v>
      </c>
      <c r="J816" s="229" t="str">
        <f>+INDEX(PWP!$A:$Z,MATCH('PWP-Print'!E816,PWP!$B:$B,0),MATCH("PWP Ability 1",PWP!$A$1:$Z$1,0))</f>
        <v>Dragon Haste +15%</v>
      </c>
      <c r="K816" s="249" t="str">
        <f>+INDEX(PWP!$A:$Z,MATCH('PWP-Print'!E816,PWP!$B:$B,0),MATCH("Locked PWP Ability 1",PWP!$A$1:$Z$1,0))</f>
        <v>(Light) Dragon Haste +15%</v>
      </c>
      <c r="M816" s="729" t="e" vm="1425">
        <f>_xlfn.IMAGE("https://natalie.tf/wp-content/uploads/2023/10/DLV3_Icon_DRA_"&amp;O817&amp;".png")</f>
        <v>#VALUE!</v>
      </c>
      <c r="O816" s="249" t="str">
        <f>"PWP-"&amp;B818</f>
        <v>PWP-397</v>
      </c>
      <c r="Q816" s="249" t="str">
        <f>+INDEX(PWP!$A:$Z,MATCH('PWP-Print'!O816,PWP!$B:$B,0),MATCH("Title",PWP!$A$1:$Z$1,0))</f>
        <v>Holy Regenerant</v>
      </c>
      <c r="S816" t="e" vm="14">
        <f>_xlfn.IMAGE("https://natalie.tf/wp-content/uploads/2023/10/DLV3_Icon_Ability_"&amp;INDEX('PWP-A'!$A$2:$C$31,MATCH('PWP-Print'!T816,'PWP-A'!$B$2:$B$31,0),1)&amp;".png")</f>
        <v>#VALUE!</v>
      </c>
      <c r="T816" s="229" t="str">
        <f>+INDEX(PWP!$A:$Z,MATCH('PWP-Print'!O816,PWP!$B:$B,0),MATCH("PWP Ability 1",PWP!$A$1:$Z$1,0))</f>
        <v>Dragon Damage +18%</v>
      </c>
      <c r="U816" s="249" t="str">
        <f>+INDEX(PWP!$A:$Z,MATCH('PWP-Print'!O816,PWP!$B:$B,0),MATCH("Locked PWP Ability 1",PWP!$A$1:$Z$1,0))</f>
        <v>(Light) Dragon Damage +18%</v>
      </c>
    </row>
    <row r="817" spans="1:21" ht="22.5" customHeight="1" x14ac:dyDescent="0.3">
      <c r="C817" s="729"/>
      <c r="D817" s="8"/>
      <c r="E817" s="200" t="str">
        <f>+INDEX(PWP!$A:$Z,MATCH('PWP-Print'!E816,PWP!$B:$B,0),MATCH("ID",PWP!$A$1:$Z$1,0))</f>
        <v>210158_01</v>
      </c>
      <c r="F817" s="8"/>
      <c r="G817" s="249" t="str">
        <f>+INDEX(PWP!$A:$Z,MATCH('PWP-Print'!E816,PWP!$B:$B,0),MATCH("Name",PWP!$A$1:$Z$1,0))</f>
        <v>Summer Cat Sìth</v>
      </c>
      <c r="H817" s="8"/>
      <c r="I817" t="e" vm="14">
        <f>_xlfn.IMAGE("https://natalie.tf/wp-content/uploads/2023/10/DLV3_Icon_Ability_"&amp;INDEX('PWP-A'!$A$2:$C$31,MATCH('PWP-Print'!J817,'PWP-A'!$B$2:$B$31,0),1)&amp;".png")</f>
        <v>#VALUE!</v>
      </c>
      <c r="J817" s="229" t="str">
        <f>+INDEX(PWP!$A:$Z,MATCH('PWP-Print'!E816,PWP!$B:$B,0),MATCH("PWP Ability 2",PWP!$A$1:$Z$1,0))</f>
        <v>Skill Damage +40%</v>
      </c>
      <c r="K817" s="249" t="str">
        <f>+INDEX(PWP!$A:$Z,MATCH('PWP-Print'!E816,PWP!$B:$B,0),MATCH("Locked PWP Ability 2",PWP!$A$1:$Z$1,0))</f>
        <v>(Light) Skill Damage +40%</v>
      </c>
      <c r="M817" s="729"/>
      <c r="N817" s="8"/>
      <c r="O817" s="200" t="str">
        <f>+INDEX(PWP!$A:$Z,MATCH('PWP-Print'!O816,PWP!$B:$B,0),MATCH("ID",PWP!$A$1:$Z$1,0))</f>
        <v>210056_01</v>
      </c>
      <c r="P817" s="8"/>
      <c r="Q817" s="249" t="str">
        <f>+INDEX(PWP!$A:$Z,MATCH('PWP-Print'!O816,PWP!$B:$B,0),MATCH("Name",PWP!$A$1:$Z$1,0))</f>
        <v>Corsaint Phoenix</v>
      </c>
      <c r="R817" s="8"/>
      <c r="S817" t="e" vm="414">
        <f>_xlfn.IMAGE("https://natalie.tf/wp-content/uploads/2023/10/DLV3_Icon_Ability_"&amp;INDEX('PWP-A'!$A$2:$C$31,MATCH('PWP-Print'!T817,'PWP-A'!$B$2:$B$31,0),1)&amp;".png")</f>
        <v>#VALUE!</v>
      </c>
      <c r="T817" s="229" t="str">
        <f>+INDEX(PWP!$A:$Z,MATCH('PWP-Print'!O816,PWP!$B:$B,0),MATCH("PWP Ability 2",PWP!$A$1:$Z$1,0))</f>
        <v>Critical Damage +25%</v>
      </c>
      <c r="U817" s="249" t="str">
        <f>+INDEX(PWP!$A:$Z,MATCH('PWP-Print'!O816,PWP!$B:$B,0),MATCH("Locked PWP Ability 2",PWP!$A$1:$Z$1,0))</f>
        <v>(Light) Critical Damage +25%</v>
      </c>
    </row>
    <row r="818" spans="1:21" ht="22.5" customHeight="1" x14ac:dyDescent="0.3">
      <c r="A818" s="244" t="str">
        <f>TEXT(A814+1,"000")</f>
        <v>384</v>
      </c>
      <c r="B818" s="244" t="str">
        <f>TEXT(B814+1,"000")</f>
        <v>397</v>
      </c>
      <c r="C818" s="729"/>
      <c r="E818" s="251" t="str">
        <f>+INDEX(PWP!$A:$Z,MATCH('PWP-Print'!E816,PWP!$B:$B,0),MATCH("Num",PWP!$A$1:$Z$1,0))</f>
        <v>D-079</v>
      </c>
      <c r="G818" s="249" t="str">
        <f>+INDEX(PWP!$A:$Z,MATCH('PWP-Print'!E816,PWP!$B:$B,0),MATCH("Element",PWP!$A$1:$Z$1,0))&amp;" "&amp;INDEX(PWP!$A:$Z,MATCH('PWP-Print'!E816,PWP!$B:$B,0),MATCH("Type",PWP!$A$1:$Z$1,0))</f>
        <v>Light Dragon</v>
      </c>
      <c r="K818" s="250"/>
      <c r="M818" s="729"/>
      <c r="O818" s="251" t="str">
        <f>+INDEX(PWP!$A:$Z,MATCH('PWP-Print'!O816,PWP!$B:$B,0),MATCH("Num",PWP!$A$1:$Z$1,0))</f>
        <v>D-092</v>
      </c>
      <c r="Q818" s="249" t="str">
        <f>+INDEX(PWP!$A:$Z,MATCH('PWP-Print'!O816,PWP!$B:$B,0),MATCH("Element",PWP!$A$1:$Z$1,0))&amp;" "&amp;INDEX(PWP!$A:$Z,MATCH('PWP-Print'!O816,PWP!$B:$B,0),MATCH("Type",PWP!$A$1:$Z$1,0))</f>
        <v>Light Dragon</v>
      </c>
      <c r="U818" s="250"/>
    </row>
    <row r="819" spans="1:21" ht="7.5" customHeight="1" x14ac:dyDescent="0.3">
      <c r="A819" s="244" t="s">
        <v>10763</v>
      </c>
      <c r="E819" s="250"/>
      <c r="G819" s="250"/>
      <c r="K819" s="250"/>
      <c r="O819" s="250"/>
      <c r="Q819" s="250"/>
      <c r="U819" s="250"/>
    </row>
    <row r="820" spans="1:21" ht="22.5" customHeight="1" x14ac:dyDescent="0.3">
      <c r="C820" s="729" t="e" vm="1426">
        <f>_xlfn.IMAGE("https://natalie.tf/wp-content/uploads/2023/10/DLV3_Icon_DRA_"&amp;E821&amp;".png")</f>
        <v>#VALUE!</v>
      </c>
      <c r="E820" s="249" t="str">
        <f>"PWP-"&amp;A822</f>
        <v>PWP-385</v>
      </c>
      <c r="G820" s="249" t="str">
        <f>+INDEX(PWP!$A:$Z,MATCH('PWP-Print'!E820,PWP!$B:$B,0),MATCH("Title",PWP!$A$1:$Z$1,0))</f>
        <v>Grace-Granting Angel</v>
      </c>
      <c r="I820" t="e" vm="14">
        <f>_xlfn.IMAGE("https://natalie.tf/wp-content/uploads/2023/10/DLV3_Icon_Ability_"&amp;INDEX('PWP-A'!$A$2:$C$31,MATCH('PWP-Print'!J820,'PWP-A'!$B$2:$B$31,0),1)&amp;".png")</f>
        <v>#VALUE!</v>
      </c>
      <c r="J820" s="229" t="str">
        <f>+INDEX(PWP!$A:$Z,MATCH('PWP-Print'!E820,PWP!$B:$B,0),MATCH("PWP Ability 1",PWP!$A$1:$Z$1,0))</f>
        <v>Dragon Damage +18%</v>
      </c>
      <c r="K820" s="249" t="str">
        <f>+INDEX(PWP!$A:$Z,MATCH('PWP-Print'!E820,PWP!$B:$B,0),MATCH("Locked PWP Ability 1",PWP!$A$1:$Z$1,0))</f>
        <v>(Light) Dragon Damage +18%</v>
      </c>
      <c r="M820" s="729" t="e" vm="1427">
        <f>_xlfn.IMAGE("https://natalie.tf/wp-content/uploads/2023/10/DLV3_Icon_DRA_"&amp;O821&amp;".png")</f>
        <v>#VALUE!</v>
      </c>
      <c r="O820" s="249" t="str">
        <f>"PWP-"&amp;B822</f>
        <v>PWP-398</v>
      </c>
      <c r="Q820" s="249" t="str">
        <f>+INDEX(PWP!$A:$Z,MATCH('PWP-Print'!O820,PWP!$B:$B,0),MATCH("Title",PWP!$A$1:$Z$1,0))</f>
        <v>Radiant Hedonist</v>
      </c>
      <c r="S820" t="e" vm="382">
        <f>_xlfn.IMAGE("https://natalie.tf/wp-content/uploads/2023/10/DLV3_Icon_Ability_"&amp;INDEX('PWP-A'!$A$2:$C$31,MATCH('PWP-Print'!T820,'PWP-A'!$B$2:$B$31,0),1)&amp;".png")</f>
        <v>#VALUE!</v>
      </c>
      <c r="T820" s="229" t="str">
        <f>+INDEX(PWP!$A:$Z,MATCH('PWP-Print'!O820,PWP!$B:$B,0),MATCH("PWP Ability 1",PWP!$A$1:$Z$1,0))</f>
        <v>Dragon Time +20%</v>
      </c>
      <c r="U820" s="249" t="str">
        <f>+INDEX(PWP!$A:$Z,MATCH('PWP-Print'!O820,PWP!$B:$B,0),MATCH("Locked PWP Ability 1",PWP!$A$1:$Z$1,0))</f>
        <v>(Light) Dragon Time +20%</v>
      </c>
    </row>
    <row r="821" spans="1:21" ht="22.5" customHeight="1" x14ac:dyDescent="0.3">
      <c r="C821" s="729"/>
      <c r="D821" s="8"/>
      <c r="E821" s="200" t="str">
        <f>+INDEX(PWP!$A:$Z,MATCH('PWP-Print'!E820,PWP!$B:$B,0),MATCH("ID",PWP!$A$1:$Z$1,0))</f>
        <v>210154_01</v>
      </c>
      <c r="F821" s="8"/>
      <c r="G821" s="249" t="str">
        <f>+INDEX(PWP!$A:$Z,MATCH('PWP-Print'!E820,PWP!$B:$B,0),MATCH("Name",PWP!$A$1:$Z$1,0))</f>
        <v>Raphael</v>
      </c>
      <c r="H821" s="8"/>
      <c r="I821" t="e" vm="696">
        <f>_xlfn.IMAGE("https://natalie.tf/wp-content/uploads/2023/10/DLV3_Icon_Ability_"&amp;INDEX('PWP-A'!$A$2:$C$31,MATCH('PWP-Print'!J821,'PWP-A'!$B$2:$B$31,0),1)&amp;".png")</f>
        <v>#VALUE!</v>
      </c>
      <c r="J821" s="229" t="str">
        <f>+INDEX(PWP!$A:$Z,MATCH('PWP-Print'!E820,PWP!$B:$B,0),MATCH("PWP Ability 2",PWP!$A$1:$Z$1,0))</f>
        <v>Elemental Res +15%</v>
      </c>
      <c r="K821" s="249" t="str">
        <f>+INDEX(PWP!$A:$Z,MATCH('PWP-Print'!E820,PWP!$B:$B,0),MATCH("Locked PWP Ability 2",PWP!$A$1:$Z$1,0))</f>
        <v>(Light) Elemental Res +15%</v>
      </c>
      <c r="M821" s="729"/>
      <c r="N821" s="8"/>
      <c r="O821" s="200" t="str">
        <f>+INDEX(PWP!$A:$Z,MATCH('PWP-Print'!O820,PWP!$B:$B,0),MATCH("ID",PWP!$A$1:$Z$1,0))</f>
        <v>210041_01</v>
      </c>
      <c r="P821" s="8"/>
      <c r="Q821" s="249" t="str">
        <f>+INDEX(PWP!$A:$Z,MATCH('PWP-Print'!O820,PWP!$B:$B,0),MATCH("Name",PWP!$A$1:$Z$1,0))</f>
        <v>High Jupiter</v>
      </c>
      <c r="R821" s="8"/>
      <c r="S821" t="e" vm="426">
        <f>_xlfn.IMAGE("https://natalie.tf/wp-content/uploads/2023/10/DLV3_Icon_Ability_"&amp;INDEX('PWP-A'!$A$2:$C$31,MATCH('PWP-Print'!T821,'PWP-A'!$B$2:$B$31,0),1)&amp;".png")</f>
        <v>#VALUE!</v>
      </c>
      <c r="T821" s="229" t="str">
        <f>+INDEX(PWP!$A:$Z,MATCH('PWP-Print'!O820,PWP!$B:$B,0),MATCH("PWP Ability 2",PWP!$A$1:$Z$1,0))</f>
        <v>Defense +20%</v>
      </c>
      <c r="U821" s="249" t="str">
        <f>+INDEX(PWP!$A:$Z,MATCH('PWP-Print'!O820,PWP!$B:$B,0),MATCH("Locked PWP Ability 2",PWP!$A$1:$Z$1,0))</f>
        <v>(Light) Defense +20%</v>
      </c>
    </row>
    <row r="822" spans="1:21" ht="22.5" customHeight="1" x14ac:dyDescent="0.3">
      <c r="A822" s="244" t="str">
        <f>TEXT(A818+1,"000")</f>
        <v>385</v>
      </c>
      <c r="B822" s="244" t="str">
        <f>TEXT(B818+1,"000")</f>
        <v>398</v>
      </c>
      <c r="C822" s="729"/>
      <c r="E822" s="251" t="str">
        <f>+INDEX(PWP!$A:$Z,MATCH('PWP-Print'!E820,PWP!$B:$B,0),MATCH("Num",PWP!$A$1:$Z$1,0))</f>
        <v>D-080</v>
      </c>
      <c r="G822" s="249" t="str">
        <f>+INDEX(PWP!$A:$Z,MATCH('PWP-Print'!E820,PWP!$B:$B,0),MATCH("Element",PWP!$A$1:$Z$1,0))&amp;" "&amp;INDEX(PWP!$A:$Z,MATCH('PWP-Print'!E820,PWP!$B:$B,0),MATCH("Type",PWP!$A$1:$Z$1,0))</f>
        <v>Light Dragon</v>
      </c>
      <c r="K822" s="250"/>
      <c r="M822" s="729"/>
      <c r="O822" s="251" t="str">
        <f>+INDEX(PWP!$A:$Z,MATCH('PWP-Print'!O820,PWP!$B:$B,0),MATCH("Num",PWP!$A$1:$Z$1,0))</f>
        <v>D-093</v>
      </c>
      <c r="Q822" s="249" t="str">
        <f>+INDEX(PWP!$A:$Z,MATCH('PWP-Print'!O820,PWP!$B:$B,0),MATCH("Element",PWP!$A$1:$Z$1,0))&amp;" "&amp;INDEX(PWP!$A:$Z,MATCH('PWP-Print'!O820,PWP!$B:$B,0),MATCH("Type",PWP!$A$1:$Z$1,0))</f>
        <v>Light Dragon</v>
      </c>
      <c r="U822" s="250"/>
    </row>
    <row r="823" spans="1:21" ht="7.5" customHeight="1" x14ac:dyDescent="0.3">
      <c r="A823" s="244" t="s">
        <v>10763</v>
      </c>
      <c r="E823" s="250"/>
      <c r="G823" s="250"/>
      <c r="K823" s="250"/>
      <c r="O823" s="250"/>
      <c r="Q823" s="250"/>
      <c r="U823" s="250"/>
    </row>
    <row r="824" spans="1:21" ht="22.5" customHeight="1" x14ac:dyDescent="0.3">
      <c r="C824" s="729" t="e" vm="1428">
        <f>_xlfn.IMAGE("https://natalie.tf/wp-content/uploads/2023/10/DLV3_Icon_DRA_"&amp;E825&amp;".png")</f>
        <v>#VALUE!</v>
      </c>
      <c r="E824" s="249" t="str">
        <f>"PWP-"&amp;A826</f>
        <v>PWP-386</v>
      </c>
      <c r="G824" s="249" t="str">
        <f>+INDEX(PWP!$A:$Z,MATCH('PWP-Print'!E824,PWP!$B:$B,0),MATCH("Title",PWP!$A$1:$Z$1,0))</f>
        <v>Sacred Standard Bearer</v>
      </c>
      <c r="I824" t="e" vm="382">
        <f>_xlfn.IMAGE("https://natalie.tf/wp-content/uploads/2023/10/DLV3_Icon_Ability_"&amp;INDEX('PWP-A'!$A$2:$C$31,MATCH('PWP-Print'!J824,'PWP-A'!$B$2:$B$31,0),1)&amp;".png")</f>
        <v>#VALUE!</v>
      </c>
      <c r="J824" s="229" t="str">
        <f>+INDEX(PWP!$A:$Z,MATCH('PWP-Print'!E824,PWP!$B:$B,0),MATCH("PWP Ability 1",PWP!$A$1:$Z$1,0))</f>
        <v>Dragon Time +20%</v>
      </c>
      <c r="K824" s="249" t="str">
        <f>+INDEX(PWP!$A:$Z,MATCH('PWP-Print'!E824,PWP!$B:$B,0),MATCH("Locked PWP Ability 1",PWP!$A$1:$Z$1,0))</f>
        <v>(Light) Dragon Time +20%</v>
      </c>
      <c r="M824" s="729" t="e" vm="1429">
        <f>_xlfn.IMAGE("https://natalie.tf/wp-content/uploads/2023/10/DLV3_Icon_DRA_"&amp;O825&amp;".png")</f>
        <v>#VALUE!</v>
      </c>
      <c r="O824" s="249" t="str">
        <f>"PWP-"&amp;B826</f>
        <v>PWP-399</v>
      </c>
      <c r="Q824" s="249" t="str">
        <f>+INDEX(PWP!$A:$Z,MATCH('PWP-Print'!O824,PWP!$B:$B,0),MATCH("Title",PWP!$A$1:$Z$1,0))</f>
        <v>Standard Bearer</v>
      </c>
      <c r="S824" t="e" vm="382">
        <f>_xlfn.IMAGE("https://natalie.tf/wp-content/uploads/2023/10/DLV3_Icon_Ability_"&amp;INDEX('PWP-A'!$A$2:$C$31,MATCH('PWP-Print'!T824,'PWP-A'!$B$2:$B$31,0),1)&amp;".png")</f>
        <v>#VALUE!</v>
      </c>
      <c r="T824" s="229" t="str">
        <f>+INDEX(PWP!$A:$Z,MATCH('PWP-Print'!O824,PWP!$B:$B,0),MATCH("PWP Ability 1",PWP!$A$1:$Z$1,0))</f>
        <v>Dragon Time +20%</v>
      </c>
      <c r="U824" s="249" t="str">
        <f>+INDEX(PWP!$A:$Z,MATCH('PWP-Print'!O824,PWP!$B:$B,0),MATCH("Locked PWP Ability 1",PWP!$A$1:$Z$1,0))</f>
        <v>(Light) Dragon Time +20%</v>
      </c>
    </row>
    <row r="825" spans="1:21" ht="22.5" customHeight="1" x14ac:dyDescent="0.3">
      <c r="C825" s="729"/>
      <c r="D825" s="8"/>
      <c r="E825" s="200" t="str">
        <f>+INDEX(PWP!$A:$Z,MATCH('PWP-Print'!E824,PWP!$B:$B,0),MATCH("ID",PWP!$A$1:$Z$1,0))</f>
        <v>210144_01</v>
      </c>
      <c r="F825" s="8"/>
      <c r="G825" s="249" t="str">
        <f>+INDEX(PWP!$A:$Z,MATCH('PWP-Print'!E824,PWP!$B:$B,0),MATCH("Name",PWP!$A$1:$Z$1,0))</f>
        <v>Gala Reborn Jeanne</v>
      </c>
      <c r="H825" s="8"/>
      <c r="I825" t="e" vm="326">
        <f>_xlfn.IMAGE("https://natalie.tf/wp-content/uploads/2023/10/DLV3_Icon_Ability_"&amp;INDEX('PWP-A'!$A$2:$C$31,MATCH('PWP-Print'!J825,'PWP-A'!$B$2:$B$31,0),1)&amp;".png")</f>
        <v>#VALUE!</v>
      </c>
      <c r="J825" s="229" t="str">
        <f>+INDEX(PWP!$A:$Z,MATCH('PWP-Print'!E824,PWP!$B:$B,0),MATCH("PWP Ability 2",PWP!$A$1:$Z$1,0))</f>
        <v>Critical Rate +15%</v>
      </c>
      <c r="K825" s="249" t="str">
        <f>+INDEX(PWP!$A:$Z,MATCH('PWP-Print'!E824,PWP!$B:$B,0),MATCH("Locked PWP Ability 2",PWP!$A$1:$Z$1,0))</f>
        <v>(Light) Critical Rate +15%</v>
      </c>
      <c r="M825" s="729"/>
      <c r="N825" s="8"/>
      <c r="O825" s="200" t="str">
        <f>+INDEX(PWP!$A:$Z,MATCH('PWP-Print'!O824,PWP!$B:$B,0),MATCH("ID",PWP!$A$1:$Z$1,0))</f>
        <v>210020_01</v>
      </c>
      <c r="P825" s="8"/>
      <c r="Q825" s="249" t="str">
        <f>+INDEX(PWP!$A:$Z,MATCH('PWP-Print'!O824,PWP!$B:$B,0),MATCH("Name",PWP!$A$1:$Z$1,0))</f>
        <v>Jeanne d'Arc</v>
      </c>
      <c r="R825" s="8"/>
      <c r="S825" t="e" vm="688">
        <f>_xlfn.IMAGE("https://natalie.tf/wp-content/uploads/2023/10/DLV3_Icon_Ability_"&amp;INDEX('PWP-A'!$A$2:$C$31,MATCH('PWP-Print'!T825,'PWP-A'!$B$2:$B$31,0),1)&amp;".png")</f>
        <v>#VALUE!</v>
      </c>
      <c r="T825" s="229" t="str">
        <f>+INDEX(PWP!$A:$Z,MATCH('PWP-Print'!O824,PWP!$B:$B,0),MATCH("PWP Ability 2",PWP!$A$1:$Z$1,0))</f>
        <v>Overdrive Punisher +15%</v>
      </c>
      <c r="U825" s="249" t="str">
        <f>+INDEX(PWP!$A:$Z,MATCH('PWP-Print'!O824,PWP!$B:$B,0),MATCH("Locked PWP Ability 2",PWP!$A$1:$Z$1,0))</f>
        <v>(Light) Overdrive Punisher +15%</v>
      </c>
    </row>
    <row r="826" spans="1:21" ht="22.5" customHeight="1" x14ac:dyDescent="0.3">
      <c r="A826" s="244" t="str">
        <f>TEXT(A822+1,"000")</f>
        <v>386</v>
      </c>
      <c r="B826" s="244" t="str">
        <f>TEXT(B822+1,"000")</f>
        <v>399</v>
      </c>
      <c r="C826" s="729"/>
      <c r="E826" s="251" t="str">
        <f>+INDEX(PWP!$A:$Z,MATCH('PWP-Print'!E824,PWP!$B:$B,0),MATCH("Num",PWP!$A$1:$Z$1,0))</f>
        <v>D-081</v>
      </c>
      <c r="G826" s="249" t="str">
        <f>+INDEX(PWP!$A:$Z,MATCH('PWP-Print'!E824,PWP!$B:$B,0),MATCH("Element",PWP!$A$1:$Z$1,0))&amp;" "&amp;INDEX(PWP!$A:$Z,MATCH('PWP-Print'!E824,PWP!$B:$B,0),MATCH("Type",PWP!$A$1:$Z$1,0))</f>
        <v>Light Dragon</v>
      </c>
      <c r="K826" s="250"/>
      <c r="M826" s="729"/>
      <c r="O826" s="251" t="str">
        <f>+INDEX(PWP!$A:$Z,MATCH('PWP-Print'!O824,PWP!$B:$B,0),MATCH("Num",PWP!$A$1:$Z$1,0))</f>
        <v>D-094</v>
      </c>
      <c r="Q826" s="249" t="str">
        <f>+INDEX(PWP!$A:$Z,MATCH('PWP-Print'!O824,PWP!$B:$B,0),MATCH("Element",PWP!$A$1:$Z$1,0))&amp;" "&amp;INDEX(PWP!$A:$Z,MATCH('PWP-Print'!O824,PWP!$B:$B,0),MATCH("Type",PWP!$A$1:$Z$1,0))</f>
        <v>Light Dragon</v>
      </c>
      <c r="U826" s="250"/>
    </row>
    <row r="827" spans="1:21" ht="7.5" customHeight="1" x14ac:dyDescent="0.3">
      <c r="A827" s="244" t="s">
        <v>10763</v>
      </c>
      <c r="E827" s="250"/>
      <c r="G827" s="250"/>
      <c r="K827" s="250"/>
      <c r="O827" s="250"/>
      <c r="Q827" s="250"/>
      <c r="U827" s="250"/>
    </row>
    <row r="828" spans="1:21" ht="22.5" customHeight="1" x14ac:dyDescent="0.3">
      <c r="C828" s="729" t="e" vm="1430">
        <f>_xlfn.IMAGE("https://natalie.tf/wp-content/uploads/2023/10/DLV3_Icon_DRA_"&amp;E829&amp;".png")</f>
        <v>#VALUE!</v>
      </c>
      <c r="E828" s="249" t="str">
        <f>"PWP-"&amp;A830</f>
        <v>PWP-387</v>
      </c>
      <c r="G828" s="249" t="str">
        <f>+INDEX(PWP!$A:$Z,MATCH('PWP-Print'!E828,PWP!$B:$B,0),MATCH("Title",PWP!$A$1:$Z$1,0))</f>
        <v>Box-of-Hope Bearer</v>
      </c>
      <c r="I828" t="e" vm="601">
        <f>_xlfn.IMAGE("https://natalie.tf/wp-content/uploads/2023/10/DLV3_Icon_Ability_"&amp;INDEX('PWP-A'!$A$2:$C$31,MATCH('PWP-Print'!J828,'PWP-A'!$B$2:$B$31,0),1)&amp;".png")</f>
        <v>#VALUE!</v>
      </c>
      <c r="J828" s="229" t="str">
        <f>+INDEX(PWP!$A:$Z,MATCH('PWP-Print'!E828,PWP!$B:$B,0),MATCH("PWP Ability 1",PWP!$A$1:$Z$1,0))</f>
        <v>Dragon Haste +15%</v>
      </c>
      <c r="K828" s="249" t="str">
        <f>+INDEX(PWP!$A:$Z,MATCH('PWP-Print'!E828,PWP!$B:$B,0),MATCH("Locked PWP Ability 1",PWP!$A$1:$Z$1,0))</f>
        <v>(Light) Dragon Haste +15%</v>
      </c>
      <c r="M828" s="729" t="e" vm="1431">
        <f>_xlfn.IMAGE("https://natalie.tf/wp-content/uploads/2023/10/DLV3_Icon_DRA_"&amp;O829&amp;".png")</f>
        <v>#VALUE!</v>
      </c>
      <c r="O828" s="249" t="str">
        <f>"PWP-"&amp;B830</f>
        <v>PWP-400</v>
      </c>
      <c r="Q828" s="249" t="str">
        <f>+INDEX(PWP!$A:$Z,MATCH('PWP-Print'!O828,PWP!$B:$B,0),MATCH("Title",PWP!$A$1:$Z$1,0))</f>
        <v>Festive Prankster</v>
      </c>
      <c r="S828" t="e" vm="382">
        <f>_xlfn.IMAGE("https://natalie.tf/wp-content/uploads/2023/10/DLV3_Icon_Ability_"&amp;INDEX('PWP-A'!$A$2:$C$31,MATCH('PWP-Print'!T828,'PWP-A'!$B$2:$B$31,0),1)&amp;".png")</f>
        <v>#VALUE!</v>
      </c>
      <c r="T828" s="229" t="str">
        <f>+INDEX(PWP!$A:$Z,MATCH('PWP-Print'!O828,PWP!$B:$B,0),MATCH("PWP Ability 1",PWP!$A$1:$Z$1,0))</f>
        <v>Dragon Time +20%</v>
      </c>
      <c r="U828" s="249" t="str">
        <f>+INDEX(PWP!$A:$Z,MATCH('PWP-Print'!O828,PWP!$B:$B,0),MATCH("Locked PWP Ability 1",PWP!$A$1:$Z$1,0))</f>
        <v>(Light) Dragon Time +20%</v>
      </c>
    </row>
    <row r="829" spans="1:21" ht="22.5" customHeight="1" x14ac:dyDescent="0.3">
      <c r="C829" s="729"/>
      <c r="D829" s="8"/>
      <c r="E829" s="200" t="str">
        <f>+INDEX(PWP!$A:$Z,MATCH('PWP-Print'!E828,PWP!$B:$B,0),MATCH("ID",PWP!$A$1:$Z$1,0))</f>
        <v>210142_01</v>
      </c>
      <c r="F829" s="8"/>
      <c r="G829" s="249" t="str">
        <f>+INDEX(PWP!$A:$Z,MATCH('PWP-Print'!E828,PWP!$B:$B,0),MATCH("Name",PWP!$A$1:$Z$1,0))</f>
        <v>Lumière Pandora</v>
      </c>
      <c r="H829" s="8"/>
      <c r="I829" t="e" vm="326">
        <f>_xlfn.IMAGE("https://natalie.tf/wp-content/uploads/2023/10/DLV3_Icon_Ability_"&amp;INDEX('PWP-A'!$A$2:$C$31,MATCH('PWP-Print'!J829,'PWP-A'!$B$2:$B$31,0),1)&amp;".png")</f>
        <v>#VALUE!</v>
      </c>
      <c r="J829" s="229" t="str">
        <f>+INDEX(PWP!$A:$Z,MATCH('PWP-Print'!E828,PWP!$B:$B,0),MATCH("PWP Ability 2",PWP!$A$1:$Z$1,0))</f>
        <v>Critical Rate +15%</v>
      </c>
      <c r="K829" s="249" t="str">
        <f>+INDEX(PWP!$A:$Z,MATCH('PWP-Print'!E828,PWP!$B:$B,0),MATCH("Locked PWP Ability 2",PWP!$A$1:$Z$1,0))</f>
        <v>(Light) Critical Rate +15%</v>
      </c>
      <c r="M829" s="729"/>
      <c r="N829" s="8"/>
      <c r="O829" s="200" t="str">
        <f>+INDEX(PWP!$A:$Z,MATCH('PWP-Print'!O828,PWP!$B:$B,0),MATCH("ID",PWP!$A$1:$Z$1,0))</f>
        <v>210075_01</v>
      </c>
      <c r="P829" s="8"/>
      <c r="Q829" s="249" t="str">
        <f>+INDEX(PWP!$A:$Z,MATCH('PWP-Print'!O828,PWP!$B:$B,0),MATCH("Name",PWP!$A$1:$Z$1,0))</f>
        <v>Halloween Silke</v>
      </c>
      <c r="R829" s="8"/>
      <c r="S829" t="e" vm="14">
        <f>_xlfn.IMAGE("https://natalie.tf/wp-content/uploads/2023/10/DLV3_Icon_Ability_"&amp;INDEX('PWP-A'!$A$2:$C$31,MATCH('PWP-Print'!T829,'PWP-A'!$B$2:$B$31,0),1)&amp;".png")</f>
        <v>#VALUE!</v>
      </c>
      <c r="T829" s="229" t="str">
        <f>+INDEX(PWP!$A:$Z,MATCH('PWP-Print'!O828,PWP!$B:$B,0),MATCH("PWP Ability 2",PWP!$A$1:$Z$1,0))</f>
        <v>Skill Damage +40%</v>
      </c>
      <c r="U829" s="249" t="str">
        <f>+INDEX(PWP!$A:$Z,MATCH('PWP-Print'!O828,PWP!$B:$B,0),MATCH("Locked PWP Ability 2",PWP!$A$1:$Z$1,0))</f>
        <v>(Light) Skill Damage +40%</v>
      </c>
    </row>
    <row r="830" spans="1:21" ht="22.5" customHeight="1" x14ac:dyDescent="0.3">
      <c r="A830" s="244" t="str">
        <f>TEXT(A826+1,"000")</f>
        <v>387</v>
      </c>
      <c r="B830" s="244" t="str">
        <f>TEXT(B826+1,"000")</f>
        <v>400</v>
      </c>
      <c r="C830" s="729"/>
      <c r="E830" s="251" t="str">
        <f>+INDEX(PWP!$A:$Z,MATCH('PWP-Print'!E828,PWP!$B:$B,0),MATCH("Num",PWP!$A$1:$Z$1,0))</f>
        <v>D-082</v>
      </c>
      <c r="G830" s="249" t="str">
        <f>+INDEX(PWP!$A:$Z,MATCH('PWP-Print'!E828,PWP!$B:$B,0),MATCH("Element",PWP!$A$1:$Z$1,0))&amp;" "&amp;INDEX(PWP!$A:$Z,MATCH('PWP-Print'!E828,PWP!$B:$B,0),MATCH("Type",PWP!$A$1:$Z$1,0))</f>
        <v>Light Dragon</v>
      </c>
      <c r="K830" s="250"/>
      <c r="M830" s="729"/>
      <c r="O830" s="251" t="str">
        <f>+INDEX(PWP!$A:$Z,MATCH('PWP-Print'!O828,PWP!$B:$B,0),MATCH("Num",PWP!$A$1:$Z$1,0))</f>
        <v>D-095</v>
      </c>
      <c r="Q830" s="249" t="str">
        <f>+INDEX(PWP!$A:$Z,MATCH('PWP-Print'!O828,PWP!$B:$B,0),MATCH("Element",PWP!$A$1:$Z$1,0))&amp;" "&amp;INDEX(PWP!$A:$Z,MATCH('PWP-Print'!O828,PWP!$B:$B,0),MATCH("Type",PWP!$A$1:$Z$1,0))</f>
        <v>Light Dragon</v>
      </c>
      <c r="U830" s="250"/>
    </row>
    <row r="831" spans="1:21" ht="7.5" customHeight="1" x14ac:dyDescent="0.3">
      <c r="A831" s="244" t="s">
        <v>10763</v>
      </c>
      <c r="E831" s="250"/>
      <c r="G831" s="250"/>
      <c r="K831" s="250"/>
      <c r="Q831" s="250"/>
      <c r="U831" s="250"/>
    </row>
    <row r="832" spans="1:21" ht="22.5" customHeight="1" x14ac:dyDescent="0.3">
      <c r="C832" s="729" t="e" vm="1432">
        <f>_xlfn.IMAGE("https://natalie.tf/wp-content/uploads/2023/10/DLV3_Icon_DRA_"&amp;E833&amp;".png")</f>
        <v>#VALUE!</v>
      </c>
      <c r="E832" s="249" t="str">
        <f>"PWP-"&amp;A834</f>
        <v>PWP-388</v>
      </c>
      <c r="G832" s="249" t="str">
        <f>+INDEX(PWP!$A:$Z,MATCH('PWP-Print'!E832,PWP!$B:$B,0),MATCH("Title",PWP!$A$1:$Z$1,0))</f>
        <v>The Fulminator</v>
      </c>
      <c r="I832" t="e" vm="382">
        <f>_xlfn.IMAGE("https://natalie.tf/wp-content/uploads/2023/10/DLV3_Icon_Ability_"&amp;INDEX('PWP-A'!$A$2:$C$31,MATCH('PWP-Print'!J832,'PWP-A'!$B$2:$B$31,0),1)&amp;".png")</f>
        <v>#VALUE!</v>
      </c>
      <c r="J832" s="229" t="str">
        <f>+INDEX(PWP!$A:$Z,MATCH('PWP-Print'!E832,PWP!$B:$B,0),MATCH("PWP Ability 1",PWP!$A$1:$Z$1,0))</f>
        <v>Dragon Time +20%</v>
      </c>
      <c r="K832" s="249" t="str">
        <f>+INDEX(PWP!$A:$Z,MATCH('PWP-Print'!E832,PWP!$B:$B,0),MATCH("Locked PWP Ability 1",PWP!$A$1:$Z$1,0))</f>
        <v>(Light) Dragon Time +20%</v>
      </c>
      <c r="M832" s="729"/>
      <c r="O832" s="221"/>
      <c r="P832" s="221"/>
      <c r="Q832" s="221"/>
      <c r="R832" s="221"/>
      <c r="S832" s="221"/>
      <c r="T832" s="221"/>
      <c r="U832" s="221"/>
    </row>
    <row r="833" spans="1:21" ht="22.5" customHeight="1" x14ac:dyDescent="0.3">
      <c r="C833" s="729"/>
      <c r="D833" s="8"/>
      <c r="E833" s="200" t="str">
        <f>+INDEX(PWP!$A:$Z,MATCH('PWP-Print'!E832,PWP!$B:$B,0),MATCH("ID",PWP!$A$1:$Z$1,0))</f>
        <v>200018_01</v>
      </c>
      <c r="F833" s="8"/>
      <c r="G833" s="249" t="str">
        <f>+INDEX(PWP!$A:$Z,MATCH('PWP-Print'!E832,PWP!$B:$B,0),MATCH("Name",PWP!$A$1:$Z$1,0))</f>
        <v>Gala Thor</v>
      </c>
      <c r="H833" s="8"/>
      <c r="I833" t="e" vm="14">
        <f>_xlfn.IMAGE("https://natalie.tf/wp-content/uploads/2023/10/DLV3_Icon_Ability_"&amp;INDEX('PWP-A'!$A$2:$C$31,MATCH('PWP-Print'!J833,'PWP-A'!$B$2:$B$31,0),1)&amp;".png")</f>
        <v>#VALUE!</v>
      </c>
      <c r="J833" s="229" t="str">
        <f>+INDEX(PWP!$A:$Z,MATCH('PWP-Print'!E832,PWP!$B:$B,0),MATCH("PWP Ability 2",PWP!$A$1:$Z$1,0))</f>
        <v>Strength +20%</v>
      </c>
      <c r="K833" s="249" t="str">
        <f>+INDEX(PWP!$A:$Z,MATCH('PWP-Print'!E832,PWP!$B:$B,0),MATCH("Locked PWP Ability 2",PWP!$A$1:$Z$1,0))</f>
        <v>(Light) Strength +20%</v>
      </c>
      <c r="M833" s="729"/>
      <c r="N833" s="8"/>
      <c r="O833" s="221"/>
      <c r="P833" s="221"/>
      <c r="Q833" s="221"/>
      <c r="R833" s="221"/>
      <c r="S833" s="221"/>
      <c r="T833" s="221"/>
      <c r="U833" s="221"/>
    </row>
    <row r="834" spans="1:21" ht="22.5" customHeight="1" x14ac:dyDescent="0.3">
      <c r="A834" s="244" t="str">
        <f>TEXT(A830+1,"000")</f>
        <v>388</v>
      </c>
      <c r="C834" s="729"/>
      <c r="E834" s="251" t="str">
        <f>+INDEX(PWP!$A:$Z,MATCH('PWP-Print'!E832,PWP!$B:$B,0),MATCH("Num",PWP!$A$1:$Z$1,0))</f>
        <v>D-083</v>
      </c>
      <c r="G834" s="249" t="str">
        <f>+INDEX(PWP!$A:$Z,MATCH('PWP-Print'!E832,PWP!$B:$B,0),MATCH("Element",PWP!$A$1:$Z$1,0))&amp;" "&amp;INDEX(PWP!$A:$Z,MATCH('PWP-Print'!E832,PWP!$B:$B,0),MATCH("Type",PWP!$A$1:$Z$1,0))</f>
        <v>Light Dragon</v>
      </c>
      <c r="K834" s="250"/>
      <c r="M834" s="729"/>
      <c r="O834" s="221"/>
      <c r="P834" s="221"/>
      <c r="Q834" s="221"/>
      <c r="R834" s="221"/>
      <c r="S834" s="221"/>
      <c r="T834" s="221"/>
      <c r="U834" s="221"/>
    </row>
    <row r="835" spans="1:21" ht="39.75" customHeight="1" x14ac:dyDescent="0.2">
      <c r="A835" s="244" t="s">
        <v>10763</v>
      </c>
    </row>
    <row r="836" spans="1:21" ht="22.5" customHeight="1" x14ac:dyDescent="0.3">
      <c r="C836" s="729" t="e" vm="1433">
        <f>_xlfn.IMAGE("https://natalie.tf/wp-content/uploads/2023/10/DLV3_Icon_DRA_"&amp;E837&amp;".png")</f>
        <v>#VALUE!</v>
      </c>
      <c r="E836" s="249" t="str">
        <f>"PWP-"&amp;A838</f>
        <v>PWP-401</v>
      </c>
      <c r="G836" s="249" t="str">
        <f>+INDEX(PWP!$A:$Z,MATCH('PWP-Print'!E836,PWP!$B:$B,0),MATCH("Title",PWP!$A$1:$Z$1,0))</f>
        <v>Seeker of Beauty</v>
      </c>
      <c r="I836" t="e" vm="14">
        <f>_xlfn.IMAGE("https://natalie.tf/wp-content/uploads/2023/10/DLV3_Icon_Ability_"&amp;INDEX('PWP-A'!$A$2:$C$31,MATCH('PWP-Print'!J836,'PWP-A'!$B$2:$B$31,0),1)&amp;".png")</f>
        <v>#VALUE!</v>
      </c>
      <c r="J836" s="229" t="str">
        <f>+INDEX(PWP!$A:$Z,MATCH('PWP-Print'!E836,PWP!$B:$B,0),MATCH("PWP Ability 1",PWP!$A$1:$Z$1,0))</f>
        <v>Dragon Damage +18%</v>
      </c>
      <c r="K836" s="249" t="str">
        <f>+INDEX(PWP!$A:$Z,MATCH('PWP-Print'!E836,PWP!$B:$B,0),MATCH("Locked PWP Ability 1",PWP!$A$1:$Z$1,0))</f>
        <v>(Light) Dragon Damage +18%</v>
      </c>
      <c r="M836" s="729" t="e" vm="1434">
        <f>_xlfn.IMAGE("https://natalie.tf/wp-content/uploads/2023/10/DLV3_Icon_DRA_"&amp;O837&amp;".png")</f>
        <v>#VALUE!</v>
      </c>
      <c r="O836" s="249" t="str">
        <f>"PWP-"&amp;B838</f>
        <v>PWP-414</v>
      </c>
      <c r="Q836" s="249" t="str">
        <f>+INDEX(PWP!$A:$Z,MATCH('PWP-Print'!O836,PWP!$B:$B,0),MATCH("Title",PWP!$A$1:$Z$1,0))</f>
        <v>Winged Rebel</v>
      </c>
      <c r="S836" t="e" vm="601">
        <f>_xlfn.IMAGE("https://natalie.tf/wp-content/uploads/2023/10/DLV3_Icon_Ability_"&amp;INDEX('PWP-A'!$A$2:$C$31,MATCH('PWP-Print'!T836,'PWP-A'!$B$2:$B$31,0),1)&amp;".png")</f>
        <v>#VALUE!</v>
      </c>
      <c r="T836" s="229" t="str">
        <f>+INDEX(PWP!$A:$Z,MATCH('PWP-Print'!O836,PWP!$B:$B,0),MATCH("PWP Ability 1",PWP!$A$1:$Z$1,0))</f>
        <v>Dragon Haste +15%</v>
      </c>
      <c r="U836" s="249" t="str">
        <f>+INDEX(PWP!$A:$Z,MATCH('PWP-Print'!O836,PWP!$B:$B,0),MATCH("Locked PWP Ability 1",PWP!$A$1:$Z$1,0))</f>
        <v>(Shadow) Dragon Haste +15%</v>
      </c>
    </row>
    <row r="837" spans="1:21" ht="22.5" customHeight="1" x14ac:dyDescent="0.3">
      <c r="C837" s="729"/>
      <c r="D837" s="8"/>
      <c r="E837" s="200" t="str">
        <f>+INDEX(PWP!$A:$Z,MATCH('PWP-Print'!E836,PWP!$B:$B,0),MATCH("ID",PWP!$A$1:$Z$1,0))</f>
        <v>210013_01</v>
      </c>
      <c r="F837" s="8"/>
      <c r="G837" s="249" t="str">
        <f>+INDEX(PWP!$A:$Z,MATCH('PWP-Print'!E836,PWP!$B:$B,0),MATCH("Name",PWP!$A$1:$Z$1,0))</f>
        <v>Lindworm</v>
      </c>
      <c r="H837" s="8"/>
      <c r="I837" t="e" vm="330">
        <f>_xlfn.IMAGE("https://natalie.tf/wp-content/uploads/2023/10/DLV3_Icon_Ability_"&amp;INDEX('PWP-A'!$A$2:$C$31,MATCH('PWP-Print'!J837,'PWP-A'!$B$2:$B$31,0),1)&amp;".png")</f>
        <v>#VALUE!</v>
      </c>
      <c r="J837" s="229" t="str">
        <f>+INDEX(PWP!$A:$Z,MATCH('PWP-Print'!E836,PWP!$B:$B,0),MATCH("PWP Ability 2",PWP!$A$1:$Z$1,0))</f>
        <v>Skill Haste +10%</v>
      </c>
      <c r="K837" s="249" t="str">
        <f>+INDEX(PWP!$A:$Z,MATCH('PWP-Print'!E836,PWP!$B:$B,0),MATCH("Locked PWP Ability 2",PWP!$A$1:$Z$1,0))</f>
        <v>(Light) Skill Haste +10%</v>
      </c>
      <c r="M837" s="729"/>
      <c r="N837" s="8"/>
      <c r="O837" s="200" t="str">
        <f>+INDEX(PWP!$A:$Z,MATCH('PWP-Print'!O836,PWP!$B:$B,0),MATCH("ID",PWP!$A$1:$Z$1,0))</f>
        <v>210126_01</v>
      </c>
      <c r="P837" s="8"/>
      <c r="Q837" s="249" t="str">
        <f>+INDEX(PWP!$A:$Z,MATCH('PWP-Print'!O836,PWP!$B:$B,0),MATCH("Name",PWP!$A$1:$Z$1,0))</f>
        <v>Azazel</v>
      </c>
      <c r="R837" s="8"/>
      <c r="S837" t="e" vm="330">
        <f>_xlfn.IMAGE("https://natalie.tf/wp-content/uploads/2023/10/DLV3_Icon_Ability_"&amp;INDEX('PWP-A'!$A$2:$C$31,MATCH('PWP-Print'!T837,'PWP-A'!$B$2:$B$31,0),1)&amp;".png")</f>
        <v>#VALUE!</v>
      </c>
      <c r="T837" s="229" t="str">
        <f>+INDEX(PWP!$A:$Z,MATCH('PWP-Print'!O836,PWP!$B:$B,0),MATCH("PWP Ability 2",PWP!$A$1:$Z$1,0))</f>
        <v>Skill Haste +10%</v>
      </c>
      <c r="U837" s="249" t="str">
        <f>+INDEX(PWP!$A:$Z,MATCH('PWP-Print'!O836,PWP!$B:$B,0),MATCH("Locked PWP Ability 2",PWP!$A$1:$Z$1,0))</f>
        <v>(Shadow) Skill Haste +10%</v>
      </c>
    </row>
    <row r="838" spans="1:21" ht="22.5" customHeight="1" x14ac:dyDescent="0.3">
      <c r="A838" s="242" t="str">
        <f>TEXT(B830+1,"000")</f>
        <v>401</v>
      </c>
      <c r="B838" s="244" t="str">
        <f>TEXT(A886+1,"000")</f>
        <v>414</v>
      </c>
      <c r="C838" s="729"/>
      <c r="E838" s="251" t="str">
        <f>+INDEX(PWP!$A:$Z,MATCH('PWP-Print'!E836,PWP!$B:$B,0),MATCH("Num",PWP!$A$1:$Z$1,0))</f>
        <v>D-096</v>
      </c>
      <c r="G838" s="249" t="str">
        <f>+INDEX(PWP!$A:$Z,MATCH('PWP-Print'!E836,PWP!$B:$B,0),MATCH("Element",PWP!$A$1:$Z$1,0))&amp;" "&amp;INDEX(PWP!$A:$Z,MATCH('PWP-Print'!E836,PWP!$B:$B,0),MATCH("Type",PWP!$A$1:$Z$1,0))</f>
        <v>Light Dragon</v>
      </c>
      <c r="K838" s="250"/>
      <c r="M838" s="729"/>
      <c r="O838" s="251" t="str">
        <f>+INDEX(PWP!$A:$Z,MATCH('PWP-Print'!O836,PWP!$B:$B,0),MATCH("Num",PWP!$A$1:$Z$1,0))</f>
        <v>D-109</v>
      </c>
      <c r="Q838" s="249" t="str">
        <f>+INDEX(PWP!$A:$Z,MATCH('PWP-Print'!O836,PWP!$B:$B,0),MATCH("Element",PWP!$A$1:$Z$1,0))&amp;" "&amp;INDEX(PWP!$A:$Z,MATCH('PWP-Print'!O836,PWP!$B:$B,0),MATCH("Type",PWP!$A$1:$Z$1,0))</f>
        <v>Shadow Dragon</v>
      </c>
      <c r="U838" s="250"/>
    </row>
    <row r="839" spans="1:21" ht="7.5" customHeight="1" x14ac:dyDescent="0.3">
      <c r="A839" s="244" t="s">
        <v>10763</v>
      </c>
      <c r="E839" s="250"/>
      <c r="G839" s="250"/>
      <c r="K839" s="250"/>
      <c r="O839" s="250"/>
      <c r="Q839" s="250"/>
      <c r="U839" s="250"/>
    </row>
    <row r="840" spans="1:21" ht="22.5" customHeight="1" x14ac:dyDescent="0.3">
      <c r="C840" s="729" t="e" vm="1435">
        <f>_xlfn.IMAGE("https://natalie.tf/wp-content/uploads/2023/10/DLV3_Icon_DRA_"&amp;E841&amp;".png")</f>
        <v>#VALUE!</v>
      </c>
      <c r="E840" s="249" t="str">
        <f>"PWP-"&amp;A842</f>
        <v>PWP-402</v>
      </c>
      <c r="G840" s="249" t="str">
        <f>+INDEX(PWP!$A:$Z,MATCH('PWP-Print'!E840,PWP!$B:$B,0),MATCH("Title",PWP!$A$1:$Z$1,0))</f>
        <v>Arbiter of Purity</v>
      </c>
      <c r="I840" t="e" vm="601">
        <f>_xlfn.IMAGE("https://natalie.tf/wp-content/uploads/2023/10/DLV3_Icon_Ability_"&amp;INDEX('PWP-A'!$A$2:$C$31,MATCH('PWP-Print'!J840,'PWP-A'!$B$2:$B$31,0),1)&amp;".png")</f>
        <v>#VALUE!</v>
      </c>
      <c r="J840" s="229" t="str">
        <f>+INDEX(PWP!$A:$Z,MATCH('PWP-Print'!E840,PWP!$B:$B,0),MATCH("PWP Ability 1",PWP!$A$1:$Z$1,0))</f>
        <v>Dragon Haste +15%</v>
      </c>
      <c r="K840" s="249" t="str">
        <f>+INDEX(PWP!$A:$Z,MATCH('PWP-Print'!E840,PWP!$B:$B,0),MATCH("Locked PWP Ability 1",PWP!$A$1:$Z$1,0))</f>
        <v>(Light) Dragon Haste +15%</v>
      </c>
      <c r="M840" s="729" t="e" vm="1436">
        <f>_xlfn.IMAGE("https://natalie.tf/wp-content/uploads/2023/10/DLV3_Icon_DRA_"&amp;O841&amp;".png")</f>
        <v>#VALUE!</v>
      </c>
      <c r="O840" s="249" t="str">
        <f>"PWP-"&amp;B842</f>
        <v>PWP-415</v>
      </c>
      <c r="Q840" s="249" t="str">
        <f>+INDEX(PWP!$A:$Z,MATCH('PWP-Print'!O840,PWP!$B:$B,0),MATCH("Title",PWP!$A$1:$Z$1,0))</f>
        <v>Wyrmbound Dragon</v>
      </c>
      <c r="S840" t="e" vm="14">
        <f>_xlfn.IMAGE("https://natalie.tf/wp-content/uploads/2023/10/DLV3_Icon_Ability_"&amp;INDEX('PWP-A'!$A$2:$C$31,MATCH('PWP-Print'!T840,'PWP-A'!$B$2:$B$31,0),1)&amp;".png")</f>
        <v>#VALUE!</v>
      </c>
      <c r="T840" s="229" t="str">
        <f>+INDEX(PWP!$A:$Z,MATCH('PWP-Print'!O840,PWP!$B:$B,0),MATCH("PWP Ability 1",PWP!$A$1:$Z$1,0))</f>
        <v>Dragon Damage +18%</v>
      </c>
      <c r="U840" s="249" t="str">
        <f>+INDEX(PWP!$A:$Z,MATCH('PWP-Print'!O840,PWP!$B:$B,0),MATCH("Locked PWP Ability 1",PWP!$A$1:$Z$1,0))</f>
        <v>(Shadow) Dragon Damage +18%</v>
      </c>
    </row>
    <row r="841" spans="1:21" ht="22.5" customHeight="1" x14ac:dyDescent="0.3">
      <c r="C841" s="729"/>
      <c r="D841" s="8"/>
      <c r="E841" s="200" t="str">
        <f>+INDEX(PWP!$A:$Z,MATCH('PWP-Print'!E840,PWP!$B:$B,0),MATCH("ID",PWP!$A$1:$Z$1,0))</f>
        <v>210012_01</v>
      </c>
      <c r="F841" s="8"/>
      <c r="G841" s="249" t="str">
        <f>+INDEX(PWP!$A:$Z,MATCH('PWP-Print'!E840,PWP!$B:$B,0),MATCH("Name",PWP!$A$1:$Z$1,0))</f>
        <v>Unicorn</v>
      </c>
      <c r="H841" s="8"/>
      <c r="I841" t="e" vm="426">
        <f>_xlfn.IMAGE("https://natalie.tf/wp-content/uploads/2023/10/DLV3_Icon_Ability_"&amp;INDEX('PWP-A'!$A$2:$C$31,MATCH('PWP-Print'!J841,'PWP-A'!$B$2:$B$31,0),1)&amp;".png")</f>
        <v>#VALUE!</v>
      </c>
      <c r="J841" s="229" t="str">
        <f>+INDEX(PWP!$A:$Z,MATCH('PWP-Print'!E840,PWP!$B:$B,0),MATCH("PWP Ability 2",PWP!$A$1:$Z$1,0))</f>
        <v>Defense +20%</v>
      </c>
      <c r="K841" s="249" t="str">
        <f>+INDEX(PWP!$A:$Z,MATCH('PWP-Print'!E840,PWP!$B:$B,0),MATCH("Locked PWP Ability 2",PWP!$A$1:$Z$1,0))</f>
        <v>(Light) Defense +20%</v>
      </c>
      <c r="M841" s="729"/>
      <c r="N841" s="8"/>
      <c r="O841" s="200" t="str">
        <f>+INDEX(PWP!$A:$Z,MATCH('PWP-Print'!O840,PWP!$B:$B,0),MATCH("ID",PWP!$A$1:$Z$1,0))</f>
        <v>210083_01</v>
      </c>
      <c r="P841" s="8"/>
      <c r="Q841" s="249" t="str">
        <f>+INDEX(PWP!$A:$Z,MATCH('PWP-Print'!O840,PWP!$B:$B,0),MATCH("Name",PWP!$A$1:$Z$1,0))</f>
        <v>Barbatos</v>
      </c>
      <c r="R841" s="8"/>
      <c r="S841" t="e" vm="688">
        <f>_xlfn.IMAGE("https://natalie.tf/wp-content/uploads/2023/10/DLV3_Icon_Ability_"&amp;INDEX('PWP-A'!$A$2:$C$31,MATCH('PWP-Print'!T841,'PWP-A'!$B$2:$B$31,0),1)&amp;".png")</f>
        <v>#VALUE!</v>
      </c>
      <c r="T841" s="229" t="str">
        <f>+INDEX(PWP!$A:$Z,MATCH('PWP-Print'!O840,PWP!$B:$B,0),MATCH("PWP Ability 2",PWP!$A$1:$Z$1,0))</f>
        <v>Overdrive Punisher +15%</v>
      </c>
      <c r="U841" s="179" t="str">
        <f>+INDEX(PWP!$A:$Z,MATCH('PWP-Print'!O840,PWP!$B:$B,0),MATCH("Locked PWP Ability 2",PWP!$A$1:$Z$1,0))</f>
        <v>(Shadow) Overdrive Punisher +15%</v>
      </c>
    </row>
    <row r="842" spans="1:21" ht="22.5" customHeight="1" x14ac:dyDescent="0.3">
      <c r="A842" s="244" t="str">
        <f>TEXT(A838+1,"000")</f>
        <v>402</v>
      </c>
      <c r="B842" s="244" t="str">
        <f>TEXT(B838+1,"000")</f>
        <v>415</v>
      </c>
      <c r="C842" s="729"/>
      <c r="E842" s="251" t="str">
        <f>+INDEX(PWP!$A:$Z,MATCH('PWP-Print'!E840,PWP!$B:$B,0),MATCH("Num",PWP!$A$1:$Z$1,0))</f>
        <v>D-097</v>
      </c>
      <c r="G842" s="249" t="str">
        <f>+INDEX(PWP!$A:$Z,MATCH('PWP-Print'!E840,PWP!$B:$B,0),MATCH("Element",PWP!$A$1:$Z$1,0))&amp;" "&amp;INDEX(PWP!$A:$Z,MATCH('PWP-Print'!E840,PWP!$B:$B,0),MATCH("Type",PWP!$A$1:$Z$1,0))</f>
        <v>Light Dragon</v>
      </c>
      <c r="K842" s="250"/>
      <c r="M842" s="729"/>
      <c r="O842" s="251" t="str">
        <f>+INDEX(PWP!$A:$Z,MATCH('PWP-Print'!O840,PWP!$B:$B,0),MATCH("Num",PWP!$A$1:$Z$1,0))</f>
        <v>D-110</v>
      </c>
      <c r="Q842" s="249" t="str">
        <f>+INDEX(PWP!$A:$Z,MATCH('PWP-Print'!O840,PWP!$B:$B,0),MATCH("Element",PWP!$A$1:$Z$1,0))&amp;" "&amp;INDEX(PWP!$A:$Z,MATCH('PWP-Print'!O840,PWP!$B:$B,0),MATCH("Type",PWP!$A$1:$Z$1,0))</f>
        <v>Shadow Dragon</v>
      </c>
      <c r="U842" s="250"/>
    </row>
    <row r="843" spans="1:21" ht="7.5" customHeight="1" x14ac:dyDescent="0.3">
      <c r="A843" s="244" t="s">
        <v>10763</v>
      </c>
      <c r="E843" s="250"/>
      <c r="G843" s="250"/>
      <c r="K843" s="250"/>
      <c r="O843" s="250"/>
      <c r="Q843" s="250"/>
      <c r="U843" s="250"/>
    </row>
    <row r="844" spans="1:21" ht="22.5" customHeight="1" x14ac:dyDescent="0.3">
      <c r="C844" s="729" t="e" vm="1437">
        <f>_xlfn.IMAGE("https://natalie.tf/wp-content/uploads/2023/10/DLV3_Icon_DRA_"&amp;E845&amp;".png")</f>
        <v>#VALUE!</v>
      </c>
      <c r="E844" s="249" t="str">
        <f>"PWP-"&amp;A846</f>
        <v>PWP-403</v>
      </c>
      <c r="G844" s="249" t="str">
        <f>+INDEX(PWP!$A:$Z,MATCH('PWP-Print'!E844,PWP!$B:$B,0),MATCH("Title",PWP!$A$1:$Z$1,0))</f>
        <v>Capricious Scamp</v>
      </c>
      <c r="I844" t="e" vm="382">
        <f>_xlfn.IMAGE("https://natalie.tf/wp-content/uploads/2023/10/DLV3_Icon_Ability_"&amp;INDEX('PWP-A'!$A$2:$C$31,MATCH('PWP-Print'!J844,'PWP-A'!$B$2:$B$31,0),1)&amp;".png")</f>
        <v>#VALUE!</v>
      </c>
      <c r="J844" s="229" t="str">
        <f>+INDEX(PWP!$A:$Z,MATCH('PWP-Print'!E844,PWP!$B:$B,0),MATCH("PWP Ability 1",PWP!$A$1:$Z$1,0))</f>
        <v>Dragon Time +20%</v>
      </c>
      <c r="K844" s="249" t="str">
        <f>+INDEX(PWP!$A:$Z,MATCH('PWP-Print'!E844,PWP!$B:$B,0),MATCH("Locked PWP Ability 1",PWP!$A$1:$Z$1,0))</f>
        <v>(Light) Dragon Time +20%</v>
      </c>
      <c r="M844" s="729" t="e" vm="1438">
        <f>_xlfn.IMAGE("https://natalie.tf/wp-content/uploads/2023/10/DLV3_Icon_DRA_"&amp;O845&amp;".png")</f>
        <v>#VALUE!</v>
      </c>
      <c r="O844" s="249" t="str">
        <f>"PWP-"&amp;B846</f>
        <v>PWP-416</v>
      </c>
      <c r="Q844" s="249" t="str">
        <f>+INDEX(PWP!$A:$Z,MATCH('PWP-Print'!O844,PWP!$B:$B,0),MATCH("Title",PWP!$A$1:$Z$1,0))</f>
        <v>Liberated Aid</v>
      </c>
      <c r="S844" t="e" vm="14">
        <f>_xlfn.IMAGE("https://natalie.tf/wp-content/uploads/2023/10/DLV3_Icon_Ability_"&amp;INDEX('PWP-A'!$A$2:$C$31,MATCH('PWP-Print'!T844,'PWP-A'!$B$2:$B$31,0),1)&amp;".png")</f>
        <v>#VALUE!</v>
      </c>
      <c r="T844" s="229" t="str">
        <f>+INDEX(PWP!$A:$Z,MATCH('PWP-Print'!O844,PWP!$B:$B,0),MATCH("PWP Ability 1",PWP!$A$1:$Z$1,0))</f>
        <v>Skill Damage +40%</v>
      </c>
      <c r="U844" s="249" t="str">
        <f>+INDEX(PWP!$A:$Z,MATCH('PWP-Print'!O844,PWP!$B:$B,0),MATCH("Locked PWP Ability 1",PWP!$A$1:$Z$1,0))</f>
        <v>(Shadow) Skill Damage +40%</v>
      </c>
    </row>
    <row r="845" spans="1:21" ht="22.5" customHeight="1" x14ac:dyDescent="0.3">
      <c r="C845" s="729"/>
      <c r="D845" s="8"/>
      <c r="E845" s="200" t="str">
        <f>+INDEX(PWP!$A:$Z,MATCH('PWP-Print'!E844,PWP!$B:$B,0),MATCH("ID",PWP!$A$1:$Z$1,0))</f>
        <v>210004_01</v>
      </c>
      <c r="F845" s="8"/>
      <c r="G845" s="249" t="str">
        <f>+INDEX(PWP!$A:$Z,MATCH('PWP-Print'!E844,PWP!$B:$B,0),MATCH("Name",PWP!$A$1:$Z$1,0))</f>
        <v>Jupiter</v>
      </c>
      <c r="H845" s="8"/>
      <c r="I845" t="e" vm="496">
        <f>_xlfn.IMAGE("https://natalie.tf/wp-content/uploads/2023/10/DLV3_Icon_Ability_"&amp;INDEX('PWP-A'!$A$2:$C$31,MATCH('PWP-Print'!J845,'PWP-A'!$B$2:$B$31,0),1)&amp;".png")</f>
        <v>#VALUE!</v>
      </c>
      <c r="J845" s="229" t="str">
        <f>+INDEX(PWP!$A:$Z,MATCH('PWP-Print'!E844,PWP!$B:$B,0),MATCH("PWP Ability 2",PWP!$A$1:$Z$1,0))</f>
        <v>HP +15%</v>
      </c>
      <c r="K845" s="249" t="str">
        <f>+INDEX(PWP!$A:$Z,MATCH('PWP-Print'!E844,PWP!$B:$B,0),MATCH("Locked PWP Ability 2",PWP!$A$1:$Z$1,0))</f>
        <v>(Light) HP +15%</v>
      </c>
      <c r="M845" s="729"/>
      <c r="N845" s="8"/>
      <c r="O845" s="200" t="str">
        <f>+INDEX(PWP!$A:$Z,MATCH('PWP-Print'!O844,PWP!$B:$B,0),MATCH("ID",PWP!$A$1:$Z$1,0))</f>
        <v>210115_01</v>
      </c>
      <c r="P845" s="8"/>
      <c r="Q845" s="249" t="str">
        <f>+INDEX(PWP!$A:$Z,MATCH('PWP-Print'!O844,PWP!$B:$B,0),MATCH("Name",PWP!$A$1:$Z$1,0))</f>
        <v>Andromeda</v>
      </c>
      <c r="R845" s="8"/>
      <c r="S845" t="e" vm="7">
        <f>_xlfn.IMAGE("https://natalie.tf/wp-content/uploads/2023/10/DLV3_Icon_Ability_"&amp;INDEX('PWP-A'!$A$2:$C$31,MATCH('PWP-Print'!T845,'PWP-A'!$B$2:$B$31,0),1)&amp;".png")</f>
        <v>#VALUE!</v>
      </c>
      <c r="T845" s="229" t="str">
        <f>+INDEX(PWP!$A:$Z,MATCH('PWP-Print'!O844,PWP!$B:$B,0),MATCH("PWP Ability 2",PWP!$A$1:$Z$1,0))</f>
        <v>Force Strike +50%</v>
      </c>
      <c r="U845" s="249" t="str">
        <f>+INDEX(PWP!$A:$Z,MATCH('PWP-Print'!O844,PWP!$B:$B,0),MATCH("Locked PWP Ability 2",PWP!$A$1:$Z$1,0))</f>
        <v>(Shadow) Force Strike +50%</v>
      </c>
    </row>
    <row r="846" spans="1:21" ht="22.5" customHeight="1" x14ac:dyDescent="0.3">
      <c r="A846" s="244" t="str">
        <f>TEXT(A842+1,"000")</f>
        <v>403</v>
      </c>
      <c r="B846" s="244" t="str">
        <f>TEXT(B842+1,"000")</f>
        <v>416</v>
      </c>
      <c r="C846" s="729"/>
      <c r="E846" s="251" t="str">
        <f>+INDEX(PWP!$A:$Z,MATCH('PWP-Print'!E844,PWP!$B:$B,0),MATCH("Num",PWP!$A$1:$Z$1,0))</f>
        <v>D-098</v>
      </c>
      <c r="G846" s="249" t="str">
        <f>+INDEX(PWP!$A:$Z,MATCH('PWP-Print'!E844,PWP!$B:$B,0),MATCH("Element",PWP!$A$1:$Z$1,0))&amp;" "&amp;INDEX(PWP!$A:$Z,MATCH('PWP-Print'!E844,PWP!$B:$B,0),MATCH("Type",PWP!$A$1:$Z$1,0))</f>
        <v>Light Dragon</v>
      </c>
      <c r="K846" s="250"/>
      <c r="M846" s="729"/>
      <c r="O846" s="251" t="str">
        <f>+INDEX(PWP!$A:$Z,MATCH('PWP-Print'!O844,PWP!$B:$B,0),MATCH("Num",PWP!$A$1:$Z$1,0))</f>
        <v>D-111</v>
      </c>
      <c r="Q846" s="249" t="str">
        <f>+INDEX(PWP!$A:$Z,MATCH('PWP-Print'!O844,PWP!$B:$B,0),MATCH("Element",PWP!$A$1:$Z$1,0))&amp;" "&amp;INDEX(PWP!$A:$Z,MATCH('PWP-Print'!O844,PWP!$B:$B,0),MATCH("Type",PWP!$A$1:$Z$1,0))</f>
        <v>Shadow Dragon</v>
      </c>
      <c r="U846" s="250"/>
    </row>
    <row r="847" spans="1:21" ht="7.5" customHeight="1" x14ac:dyDescent="0.3">
      <c r="A847" s="244" t="s">
        <v>10763</v>
      </c>
      <c r="E847" s="250"/>
      <c r="G847" s="250"/>
      <c r="K847" s="250"/>
      <c r="O847" s="250"/>
      <c r="Q847" s="250"/>
      <c r="U847" s="250"/>
    </row>
    <row r="848" spans="1:21" ht="22.5" customHeight="1" x14ac:dyDescent="0.3">
      <c r="C848" s="729" t="e" vm="1439">
        <f>_xlfn.IMAGE("https://natalie.tf/wp-content/uploads/2023/10/DLV3_Icon_DRA_"&amp;E849&amp;".png")</f>
        <v>#VALUE!</v>
      </c>
      <c r="E848" s="249" t="str">
        <f>"PWP-"&amp;A850</f>
        <v>PWP-404</v>
      </c>
      <c r="G848" s="249" t="str">
        <f>+INDEX(PWP!$A:$Z,MATCH('PWP-Print'!E848,PWP!$B:$B,0),MATCH("Title",PWP!$A$1:$Z$1,0))</f>
        <v>N/A</v>
      </c>
      <c r="I848" t="e" vm="382">
        <f>_xlfn.IMAGE("https://natalie.tf/wp-content/uploads/2023/10/DLV3_Icon_Ability_"&amp;INDEX('PWP-A'!$A$2:$C$31,MATCH('PWP-Print'!J848,'PWP-A'!$B$2:$B$31,0),1)&amp;".png")</f>
        <v>#VALUE!</v>
      </c>
      <c r="J848" s="229" t="str">
        <f>+INDEX(PWP!$A:$Z,MATCH('PWP-Print'!E848,PWP!$B:$B,0),MATCH("PWP Ability 1",PWP!$A$1:$Z$1,0))</f>
        <v>Dragon Time +20%</v>
      </c>
      <c r="K848" s="249" t="str">
        <f>+INDEX(PWP!$A:$Z,MATCH('PWP-Print'!E848,PWP!$B:$B,0),MATCH("Locked PWP Ability 1",PWP!$A$1:$Z$1,0))</f>
        <v>(Light) Dragon Time +20%</v>
      </c>
      <c r="M848" s="729" t="e" vm="1440">
        <f>_xlfn.IMAGE("https://natalie.tf/wp-content/uploads/2023/10/DLV3_Icon_DRA_"&amp;O849&amp;".png")</f>
        <v>#VALUE!</v>
      </c>
      <c r="O848" s="249" t="str">
        <f>"PWP-"&amp;B850</f>
        <v>PWP-417</v>
      </c>
      <c r="Q848" s="249" t="str">
        <f>+INDEX(PWP!$A:$Z,MATCH('PWP-Print'!O848,PWP!$B:$B,0),MATCH("Title",PWP!$A$1:$Z$1,0))</f>
        <v>Little Slice of Awkward</v>
      </c>
      <c r="S848" t="e" vm="601">
        <f>_xlfn.IMAGE("https://natalie.tf/wp-content/uploads/2023/10/DLV3_Icon_Ability_"&amp;INDEX('PWP-A'!$A$2:$C$31,MATCH('PWP-Print'!T848,'PWP-A'!$B$2:$B$31,0),1)&amp;".png")</f>
        <v>#VALUE!</v>
      </c>
      <c r="T848" s="229" t="str">
        <f>+INDEX(PWP!$A:$Z,MATCH('PWP-Print'!O848,PWP!$B:$B,0),MATCH("PWP Ability 1",PWP!$A$1:$Z$1,0))</f>
        <v>Dragon Haste +15%</v>
      </c>
      <c r="U848" s="249" t="str">
        <f>+INDEX(PWP!$A:$Z,MATCH('PWP-Print'!O848,PWP!$B:$B,0),MATCH("Locked PWP Ability 1",PWP!$A$1:$Z$1,0))</f>
        <v>(Shadow) Dragon Haste +15%</v>
      </c>
    </row>
    <row r="849" spans="1:21" ht="22.5" customHeight="1" x14ac:dyDescent="0.3">
      <c r="C849" s="729"/>
      <c r="D849" s="8"/>
      <c r="E849" s="200" t="str">
        <f>+INDEX(PWP!$A:$Z,MATCH('PWP-Print'!E848,PWP!$B:$B,0),MATCH("ID",PWP!$A$1:$Z$1,0))</f>
        <v>210069_01</v>
      </c>
      <c r="F849" s="8"/>
      <c r="G849" s="249" t="str">
        <f>+INDEX(PWP!$A:$Z,MATCH('PWP-Print'!E848,PWP!$B:$B,0),MATCH("Name",PWP!$A$1:$Z$1,0))</f>
        <v>Astral Imp</v>
      </c>
      <c r="H849" s="8"/>
      <c r="I849" t="e" vm="376">
        <f>_xlfn.IMAGE("https://natalie.tf/wp-content/uploads/2023/10/DLV3_Icon_Ability_"&amp;INDEX('PWP-A'!$A$2:$C$31,MATCH('PWP-Print'!J849,'PWP-A'!$B$2:$B$31,0),1)&amp;".png")</f>
        <v>#VALUE!</v>
      </c>
      <c r="J849" s="229" t="str">
        <f>+INDEX(PWP!$A:$Z,MATCH('PWP-Print'!E848,PWP!$B:$B,0),MATCH("PWP Ability 2",PWP!$A$1:$Z$1,0))</f>
        <v>Broken Punisher +30%</v>
      </c>
      <c r="K849" s="249" t="str">
        <f>+INDEX(PWP!$A:$Z,MATCH('PWP-Print'!E848,PWP!$B:$B,0),MATCH("Locked PWP Ability 2",PWP!$A$1:$Z$1,0))</f>
        <v>(Light) Broken Punisher +30%</v>
      </c>
      <c r="M849" s="729"/>
      <c r="N849" s="8"/>
      <c r="O849" s="200" t="str">
        <f>+INDEX(PWP!$A:$Z,MATCH('PWP-Print'!O848,PWP!$B:$B,0),MATCH("ID",PWP!$A$1:$Z$1,0))</f>
        <v>210127_01</v>
      </c>
      <c r="P849" s="8"/>
      <c r="Q849" s="249" t="str">
        <f>+INDEX(PWP!$A:$Z,MATCH('PWP-Print'!O848,PWP!$B:$B,0),MATCH("Name",PWP!$A$1:$Z$1,0))</f>
        <v>Mini Zodi</v>
      </c>
      <c r="R849" s="8"/>
      <c r="S849" t="e" vm="411">
        <f>_xlfn.IMAGE("https://natalie.tf/wp-content/uploads/2023/10/DLV3_Icon_Ability_"&amp;INDEX('PWP-A'!$A$2:$C$31,MATCH('PWP-Print'!T849,'PWP-A'!$B$2:$B$31,0),1)&amp;".png")</f>
        <v>#VALUE!</v>
      </c>
      <c r="T849" s="229" t="str">
        <f>+INDEX(PWP!$A:$Z,MATCH('PWP-Print'!O848,PWP!$B:$B,0),MATCH("PWP Ability 2",PWP!$A$1:$Z$1,0))</f>
        <v>Skill Prep +50%</v>
      </c>
      <c r="U849" s="249" t="str">
        <f>+INDEX(PWP!$A:$Z,MATCH('PWP-Print'!O848,PWP!$B:$B,0),MATCH("Locked PWP Ability 2",PWP!$A$1:$Z$1,0))</f>
        <v>(Shadow) Skill Prep +50%</v>
      </c>
    </row>
    <row r="850" spans="1:21" ht="22.5" customHeight="1" x14ac:dyDescent="0.3">
      <c r="A850" s="244" t="str">
        <f>TEXT(A846+1,"000")</f>
        <v>404</v>
      </c>
      <c r="B850" s="244" t="str">
        <f>TEXT(B846+1,"000")</f>
        <v>417</v>
      </c>
      <c r="C850" s="729"/>
      <c r="E850" s="251" t="str">
        <f>+INDEX(PWP!$A:$Z,MATCH('PWP-Print'!E848,PWP!$B:$B,0),MATCH("Num",PWP!$A$1:$Z$1,0))</f>
        <v>D-099</v>
      </c>
      <c r="G850" s="249" t="str">
        <f>+INDEX(PWP!$A:$Z,MATCH('PWP-Print'!E848,PWP!$B:$B,0),MATCH("Element",PWP!$A$1:$Z$1,0))&amp;" "&amp;INDEX(PWP!$A:$Z,MATCH('PWP-Print'!E848,PWP!$B:$B,0),MATCH("Type",PWP!$A$1:$Z$1,0))</f>
        <v>Light Dragon</v>
      </c>
      <c r="K850" s="250"/>
      <c r="M850" s="729"/>
      <c r="O850" s="251" t="str">
        <f>+INDEX(PWP!$A:$Z,MATCH('PWP-Print'!O848,PWP!$B:$B,0),MATCH("Num",PWP!$A$1:$Z$1,0))</f>
        <v>D-112</v>
      </c>
      <c r="Q850" s="249" t="str">
        <f>+INDEX(PWP!$A:$Z,MATCH('PWP-Print'!O848,PWP!$B:$B,0),MATCH("Element",PWP!$A$1:$Z$1,0))&amp;" "&amp;INDEX(PWP!$A:$Z,MATCH('PWP-Print'!O848,PWP!$B:$B,0),MATCH("Type",PWP!$A$1:$Z$1,0))</f>
        <v>Shadow Dragon</v>
      </c>
      <c r="U850" s="250"/>
    </row>
    <row r="851" spans="1:21" ht="7.5" customHeight="1" x14ac:dyDescent="0.3">
      <c r="A851" s="244" t="s">
        <v>10763</v>
      </c>
      <c r="E851" s="250"/>
      <c r="G851" s="250"/>
      <c r="K851" s="250"/>
      <c r="O851" s="250"/>
      <c r="Q851" s="250"/>
      <c r="U851" s="250"/>
    </row>
    <row r="852" spans="1:21" ht="22.5" customHeight="1" x14ac:dyDescent="0.3">
      <c r="C852" s="729" t="e" vm="1441">
        <f>_xlfn.IMAGE("https://natalie.tf/wp-content/uploads/2023/10/DLV3_Icon_DRA_"&amp;E853&amp;".png")</f>
        <v>#VALUE!</v>
      </c>
      <c r="E852" s="249" t="str">
        <f>"PWP-"&amp;A854</f>
        <v>PWP-405</v>
      </c>
      <c r="G852" s="249" t="str">
        <f>+INDEX(PWP!$A:$Z,MATCH('PWP-Print'!E852,PWP!$B:$B,0),MATCH("Title",PWP!$A$1:$Z$1,0))</f>
        <v>N/A</v>
      </c>
      <c r="I852" t="e" vm="601">
        <f>_xlfn.IMAGE("https://natalie.tf/wp-content/uploads/2023/10/DLV3_Icon_Ability_"&amp;INDEX('PWP-A'!$A$2:$C$31,MATCH('PWP-Print'!J852,'PWP-A'!$B$2:$B$31,0),1)&amp;".png")</f>
        <v>#VALUE!</v>
      </c>
      <c r="J852" s="229" t="str">
        <f>+INDEX(PWP!$A:$Z,MATCH('PWP-Print'!E852,PWP!$B:$B,0),MATCH("PWP Ability 1",PWP!$A$1:$Z$1,0))</f>
        <v>Dragon Haste +15%</v>
      </c>
      <c r="K852" s="249" t="str">
        <f>+INDEX(PWP!$A:$Z,MATCH('PWP-Print'!E852,PWP!$B:$B,0),MATCH("Locked PWP Ability 1",PWP!$A$1:$Z$1,0))</f>
        <v>(Light) Dragon Haste +15%</v>
      </c>
      <c r="M852" s="729" t="e" vm="1442">
        <f>_xlfn.IMAGE("https://natalie.tf/wp-content/uploads/2023/10/DLV3_Icon_DRA_"&amp;O853&amp;".png")</f>
        <v>#VALUE!</v>
      </c>
      <c r="O852" s="249" t="str">
        <f>"PWP-"&amp;B854</f>
        <v>PWP-418</v>
      </c>
      <c r="Q852" s="249" t="str">
        <f>+INDEX(PWP!$A:$Z,MATCH('PWP-Print'!O852,PWP!$B:$B,0),MATCH("Title",PWP!$A$1:$Z$1,0))</f>
        <v>Forsaken Brother</v>
      </c>
      <c r="S852" t="e" vm="601">
        <f>_xlfn.IMAGE("https://natalie.tf/wp-content/uploads/2023/10/DLV3_Icon_Ability_"&amp;INDEX('PWP-A'!$A$2:$C$31,MATCH('PWP-Print'!T852,'PWP-A'!$B$2:$B$31,0),1)&amp;".png")</f>
        <v>#VALUE!</v>
      </c>
      <c r="T852" s="229" t="str">
        <f>+INDEX(PWP!$A:$Z,MATCH('PWP-Print'!O852,PWP!$B:$B,0),MATCH("PWP Ability 1",PWP!$A$1:$Z$1,0))</f>
        <v>Dragon Haste +15%</v>
      </c>
      <c r="U852" s="249" t="str">
        <f>+INDEX(PWP!$A:$Z,MATCH('PWP-Print'!O852,PWP!$B:$B,0),MATCH("Locked PWP Ability 1",PWP!$A$1:$Z$1,0))</f>
        <v>(Shadow) Dragon Haste +15%</v>
      </c>
    </row>
    <row r="853" spans="1:21" ht="22.5" customHeight="1" x14ac:dyDescent="0.3">
      <c r="C853" s="729"/>
      <c r="D853" s="8"/>
      <c r="E853" s="200" t="str">
        <f>+INDEX(PWP!$A:$Z,MATCH('PWP-Print'!E852,PWP!$B:$B,0),MATCH("ID",PWP!$A$1:$Z$1,0))</f>
        <v>210065_01</v>
      </c>
      <c r="F853" s="8"/>
      <c r="G853" s="249" t="str">
        <f>+INDEX(PWP!$A:$Z,MATCH('PWP-Print'!E852,PWP!$B:$B,0),MATCH("Name",PWP!$A$1:$Z$1,0))</f>
        <v>Moon Drake</v>
      </c>
      <c r="H853" s="8"/>
      <c r="I853" t="e" vm="376">
        <f>_xlfn.IMAGE("https://natalie.tf/wp-content/uploads/2023/10/DLV3_Icon_Ability_"&amp;INDEX('PWP-A'!$A$2:$C$31,MATCH('PWP-Print'!J853,'PWP-A'!$B$2:$B$31,0),1)&amp;".png")</f>
        <v>#VALUE!</v>
      </c>
      <c r="J853" s="229" t="str">
        <f>+INDEX(PWP!$A:$Z,MATCH('PWP-Print'!E852,PWP!$B:$B,0),MATCH("PWP Ability 2",PWP!$A$1:$Z$1,0))</f>
        <v>Broken Punisher +30%</v>
      </c>
      <c r="K853" s="249" t="str">
        <f>+INDEX(PWP!$A:$Z,MATCH('PWP-Print'!E852,PWP!$B:$B,0),MATCH("Locked PWP Ability 2",PWP!$A$1:$Z$1,0))</f>
        <v>(Light) Broken Punisher +30%</v>
      </c>
      <c r="M853" s="729"/>
      <c r="N853" s="8"/>
      <c r="O853" s="200" t="str">
        <f>+INDEX(PWP!$A:$Z,MATCH('PWP-Print'!O852,PWP!$B:$B,0),MATCH("ID",PWP!$A$1:$Z$1,0))</f>
        <v>210112_01</v>
      </c>
      <c r="P853" s="8"/>
      <c r="Q853" s="249" t="str">
        <f>+INDEX(PWP!$A:$Z,MATCH('PWP-Print'!O852,PWP!$B:$B,0),MATCH("Name",PWP!$A$1:$Z$1,0))</f>
        <v>Epimetheus</v>
      </c>
      <c r="R853" s="8"/>
      <c r="S853" t="e" vm="696">
        <f>_xlfn.IMAGE("https://natalie.tf/wp-content/uploads/2023/10/DLV3_Icon_Ability_"&amp;INDEX('PWP-A'!$A$2:$C$31,MATCH('PWP-Print'!T853,'PWP-A'!$B$2:$B$31,0),1)&amp;".png")</f>
        <v>#VALUE!</v>
      </c>
      <c r="T853" s="229" t="str">
        <f>+INDEX(PWP!$A:$Z,MATCH('PWP-Print'!O852,PWP!$B:$B,0),MATCH("PWP Ability 2",PWP!$A$1:$Z$1,0))</f>
        <v>Elemental Res +15%</v>
      </c>
      <c r="U853" s="249" t="str">
        <f>+INDEX(PWP!$A:$Z,MATCH('PWP-Print'!O852,PWP!$B:$B,0),MATCH("Locked PWP Ability 2",PWP!$A$1:$Z$1,0))</f>
        <v>(Shadow) Elemental Res +15%</v>
      </c>
    </row>
    <row r="854" spans="1:21" ht="22.5" customHeight="1" x14ac:dyDescent="0.3">
      <c r="A854" s="244" t="str">
        <f>TEXT(A850+1,"000")</f>
        <v>405</v>
      </c>
      <c r="B854" s="244" t="str">
        <f>TEXT(B850+1,"000")</f>
        <v>418</v>
      </c>
      <c r="C854" s="729"/>
      <c r="E854" s="251" t="str">
        <f>+INDEX(PWP!$A:$Z,MATCH('PWP-Print'!E852,PWP!$B:$B,0),MATCH("Num",PWP!$A$1:$Z$1,0))</f>
        <v>D-100</v>
      </c>
      <c r="G854" s="249" t="str">
        <f>+INDEX(PWP!$A:$Z,MATCH('PWP-Print'!E852,PWP!$B:$B,0),MATCH("Element",PWP!$A$1:$Z$1,0))&amp;" "&amp;INDEX(PWP!$A:$Z,MATCH('PWP-Print'!E852,PWP!$B:$B,0),MATCH("Type",PWP!$A$1:$Z$1,0))</f>
        <v>Light Dragon</v>
      </c>
      <c r="K854" s="250"/>
      <c r="M854" s="729"/>
      <c r="O854" s="251" t="str">
        <f>+INDEX(PWP!$A:$Z,MATCH('PWP-Print'!O852,PWP!$B:$B,0),MATCH("Num",PWP!$A$1:$Z$1,0))</f>
        <v>D-113</v>
      </c>
      <c r="Q854" s="249" t="str">
        <f>+INDEX(PWP!$A:$Z,MATCH('PWP-Print'!O852,PWP!$B:$B,0),MATCH("Element",PWP!$A$1:$Z$1,0))&amp;" "&amp;INDEX(PWP!$A:$Z,MATCH('PWP-Print'!O852,PWP!$B:$B,0),MATCH("Type",PWP!$A$1:$Z$1,0))</f>
        <v>Shadow Dragon</v>
      </c>
      <c r="U854" s="250"/>
    </row>
    <row r="855" spans="1:21" ht="7.5" customHeight="1" x14ac:dyDescent="0.3">
      <c r="A855" s="244" t="s">
        <v>10763</v>
      </c>
      <c r="E855" s="250"/>
      <c r="G855" s="250"/>
      <c r="K855" s="250"/>
      <c r="O855" s="250"/>
      <c r="Q855" s="250"/>
      <c r="U855" s="250"/>
    </row>
    <row r="856" spans="1:21" ht="22.5" customHeight="1" x14ac:dyDescent="0.3">
      <c r="C856" s="729" t="e" vm="1443">
        <f>_xlfn.IMAGE("https://natalie.tf/wp-content/uploads/2023/10/DLV3_Icon_DRA_"&amp;E857&amp;".png")</f>
        <v>#VALUE!</v>
      </c>
      <c r="E856" s="249" t="str">
        <f>"PWP-"&amp;A858</f>
        <v>PWP-406</v>
      </c>
      <c r="G856" s="249" t="str">
        <f>+INDEX(PWP!$A:$Z,MATCH('PWP-Print'!E856,PWP!$B:$B,0),MATCH("Title",PWP!$A$1:$Z$1,0))</f>
        <v>N/A</v>
      </c>
      <c r="I856" t="e" vm="14">
        <f>_xlfn.IMAGE("https://natalie.tf/wp-content/uploads/2023/10/DLV3_Icon_Ability_"&amp;INDEX('PWP-A'!$A$2:$C$31,MATCH('PWP-Print'!J856,'PWP-A'!$B$2:$B$31,0),1)&amp;".png")</f>
        <v>#VALUE!</v>
      </c>
      <c r="J856" s="229" t="str">
        <f>+INDEX(PWP!$A:$Z,MATCH('PWP-Print'!E856,PWP!$B:$B,0),MATCH("PWP Ability 1",PWP!$A$1:$Z$1,0))</f>
        <v>Dragon Damage +18%</v>
      </c>
      <c r="K856" s="249" t="str">
        <f>+INDEX(PWP!$A:$Z,MATCH('PWP-Print'!E856,PWP!$B:$B,0),MATCH("Locked PWP Ability 1",PWP!$A$1:$Z$1,0))</f>
        <v>(Light) Dragon Damage +18%</v>
      </c>
      <c r="M856" s="729" t="e" vm="1444">
        <f>_xlfn.IMAGE("https://natalie.tf/wp-content/uploads/2023/10/DLV3_Icon_DRA_"&amp;O857&amp;".png")</f>
        <v>#VALUE!</v>
      </c>
      <c r="O856" s="249" t="str">
        <f>"PWP-"&amp;B858</f>
        <v>PWP-419</v>
      </c>
      <c r="Q856" s="249" t="str">
        <f>+INDEX(PWP!$A:$Z,MATCH('PWP-Print'!O856,PWP!$B:$B,0),MATCH("Title",PWP!$A$1:$Z$1,0))</f>
        <v>The Black Dragon</v>
      </c>
      <c r="S856" t="e" vm="382">
        <f>_xlfn.IMAGE("https://natalie.tf/wp-content/uploads/2023/10/DLV3_Icon_Ability_"&amp;INDEX('PWP-A'!$A$2:$C$31,MATCH('PWP-Print'!T856,'PWP-A'!$B$2:$B$31,0),1)&amp;".png")</f>
        <v>#VALUE!</v>
      </c>
      <c r="T856" s="229" t="str">
        <f>+INDEX(PWP!$A:$Z,MATCH('PWP-Print'!O856,PWP!$B:$B,0),MATCH("PWP Ability 1",PWP!$A$1:$Z$1,0))</f>
        <v>Dragon Time +20%</v>
      </c>
      <c r="U856" s="249" t="str">
        <f>+INDEX(PWP!$A:$Z,MATCH('PWP-Print'!O856,PWP!$B:$B,0),MATCH("Locked PWP Ability 1",PWP!$A$1:$Z$1,0))</f>
        <v>(Shadow) Dragon Time +20%</v>
      </c>
    </row>
    <row r="857" spans="1:21" ht="22.5" customHeight="1" x14ac:dyDescent="0.3">
      <c r="C857" s="729"/>
      <c r="D857" s="8"/>
      <c r="E857" s="200" t="str">
        <f>+INDEX(PWP!$A:$Z,MATCH('PWP-Print'!E856,PWP!$B:$B,0),MATCH("ID",PWP!$A$1:$Z$1,0))</f>
        <v>210061_01</v>
      </c>
      <c r="F857" s="8"/>
      <c r="G857" s="249" t="str">
        <f>+INDEX(PWP!$A:$Z,MATCH('PWP-Print'!E856,PWP!$B:$B,0),MATCH("Name",PWP!$A$1:$Z$1,0))</f>
        <v>Hinata</v>
      </c>
      <c r="H857" s="8"/>
      <c r="I857" t="e" vm="376">
        <f>_xlfn.IMAGE("https://natalie.tf/wp-content/uploads/2023/10/DLV3_Icon_Ability_"&amp;INDEX('PWP-A'!$A$2:$C$31,MATCH('PWP-Print'!J857,'PWP-A'!$B$2:$B$31,0),1)&amp;".png")</f>
        <v>#VALUE!</v>
      </c>
      <c r="J857" s="229" t="str">
        <f>+INDEX(PWP!$A:$Z,MATCH('PWP-Print'!E856,PWP!$B:$B,0),MATCH("PWP Ability 2",PWP!$A$1:$Z$1,0))</f>
        <v>Broken Punisher +30%</v>
      </c>
      <c r="K857" s="249" t="str">
        <f>+INDEX(PWP!$A:$Z,MATCH('PWP-Print'!E856,PWP!$B:$B,0),MATCH("Locked PWP Ability 2",PWP!$A$1:$Z$1,0))</f>
        <v>(Light) Broken Punisher +30%</v>
      </c>
      <c r="M857" s="729"/>
      <c r="N857" s="8"/>
      <c r="O857" s="200" t="str">
        <f>+INDEX(PWP!$A:$Z,MATCH('PWP-Print'!O856,PWP!$B:$B,0),MATCH("ID",PWP!$A$1:$Z$1,0))</f>
        <v>210123_01</v>
      </c>
      <c r="P857" s="8"/>
      <c r="Q857" s="249" t="str">
        <f>+INDEX(PWP!$A:$Z,MATCH('PWP-Print'!O856,PWP!$B:$B,0),MATCH("Name",PWP!$A$1:$Z$1,0))</f>
        <v>Fatalis</v>
      </c>
      <c r="R857" s="8"/>
      <c r="S857" t="e" vm="14">
        <f>_xlfn.IMAGE("https://natalie.tf/wp-content/uploads/2023/10/DLV3_Icon_Ability_"&amp;INDEX('PWP-A'!$A$2:$C$31,MATCH('PWP-Print'!T857,'PWP-A'!$B$2:$B$31,0),1)&amp;".png")</f>
        <v>#VALUE!</v>
      </c>
      <c r="T857" s="229" t="str">
        <f>+INDEX(PWP!$A:$Z,MATCH('PWP-Print'!O856,PWP!$B:$B,0),MATCH("PWP Ability 2",PWP!$A$1:$Z$1,0))</f>
        <v>Strength +20%</v>
      </c>
      <c r="U857" s="249" t="str">
        <f>+INDEX(PWP!$A:$Z,MATCH('PWP-Print'!O856,PWP!$B:$B,0),MATCH("Locked PWP Ability 2",PWP!$A$1:$Z$1,0))</f>
        <v>(Shadow) Strength +20%</v>
      </c>
    </row>
    <row r="858" spans="1:21" ht="22.5" customHeight="1" x14ac:dyDescent="0.3">
      <c r="A858" s="244" t="str">
        <f>TEXT(A854+1,"000")</f>
        <v>406</v>
      </c>
      <c r="B858" s="244" t="str">
        <f>TEXT(B854+1,"000")</f>
        <v>419</v>
      </c>
      <c r="C858" s="729"/>
      <c r="E858" s="251" t="str">
        <f>+INDEX(PWP!$A:$Z,MATCH('PWP-Print'!E856,PWP!$B:$B,0),MATCH("Num",PWP!$A$1:$Z$1,0))</f>
        <v>D-101</v>
      </c>
      <c r="G858" s="249" t="str">
        <f>+INDEX(PWP!$A:$Z,MATCH('PWP-Print'!E856,PWP!$B:$B,0),MATCH("Element",PWP!$A$1:$Z$1,0))&amp;" "&amp;INDEX(PWP!$A:$Z,MATCH('PWP-Print'!E856,PWP!$B:$B,0),MATCH("Type",PWP!$A$1:$Z$1,0))</f>
        <v>Light Dragon</v>
      </c>
      <c r="K858" s="250"/>
      <c r="M858" s="729"/>
      <c r="O858" s="251" t="str">
        <f>+INDEX(PWP!$A:$Z,MATCH('PWP-Print'!O856,PWP!$B:$B,0),MATCH("Num",PWP!$A$1:$Z$1,0))</f>
        <v>D-114</v>
      </c>
      <c r="Q858" s="249" t="str">
        <f>+INDEX(PWP!$A:$Z,MATCH('PWP-Print'!O856,PWP!$B:$B,0),MATCH("Element",PWP!$A$1:$Z$1,0))&amp;" "&amp;INDEX(PWP!$A:$Z,MATCH('PWP-Print'!O856,PWP!$B:$B,0),MATCH("Type",PWP!$A$1:$Z$1,0))</f>
        <v>Shadow Dragon</v>
      </c>
      <c r="U858" s="250"/>
    </row>
    <row r="859" spans="1:21" ht="7.5" customHeight="1" x14ac:dyDescent="0.3">
      <c r="A859" s="244" t="s">
        <v>10763</v>
      </c>
      <c r="E859" s="250"/>
      <c r="G859" s="250"/>
      <c r="K859" s="250"/>
      <c r="O859" s="250"/>
      <c r="Q859" s="250"/>
      <c r="U859" s="250"/>
    </row>
    <row r="860" spans="1:21" ht="22.5" customHeight="1" x14ac:dyDescent="0.3">
      <c r="C860" s="729" t="e" vm="1445">
        <f>_xlfn.IMAGE("https://natalie.tf/wp-content/uploads/2023/10/DLV3_Icon_DRA_"&amp;E861&amp;".png")</f>
        <v>#VALUE!</v>
      </c>
      <c r="E860" s="249" t="str">
        <f>"PWP-"&amp;A862</f>
        <v>PWP-407</v>
      </c>
      <c r="G860" s="249" t="str">
        <f>+INDEX(PWP!$A:$Z,MATCH('PWP-Print'!E860,PWP!$B:$B,0),MATCH("Title",PWP!$A$1:$Z$1,0))</f>
        <v>Imposing Wings of Black</v>
      </c>
      <c r="I860" t="e" vm="382">
        <f>_xlfn.IMAGE("https://natalie.tf/wp-content/uploads/2023/10/DLV3_Icon_Ability_"&amp;INDEX('PWP-A'!$A$2:$C$31,MATCH('PWP-Print'!J860,'PWP-A'!$B$2:$B$31,0),1)&amp;".png")</f>
        <v>#VALUE!</v>
      </c>
      <c r="J860" s="229" t="str">
        <f>+INDEX(PWP!$A:$Z,MATCH('PWP-Print'!E860,PWP!$B:$B,0),MATCH("PWP Ability 1",PWP!$A$1:$Z$1,0))</f>
        <v>Dragon Time +20%</v>
      </c>
      <c r="K860" s="249" t="str">
        <f>+INDEX(PWP!$A:$Z,MATCH('PWP-Print'!E860,PWP!$B:$B,0),MATCH("Locked PWP Ability 1",PWP!$A$1:$Z$1,0))</f>
        <v>(Shadow) Dragon Time +20%</v>
      </c>
      <c r="M860" s="729" t="e" vm="1446">
        <f>_xlfn.IMAGE("https://natalie.tf/wp-content/uploads/2023/10/DLV3_Icon_DRA_"&amp;O861&amp;".png")</f>
        <v>#VALUE!</v>
      </c>
      <c r="O860" s="249" t="str">
        <f>"PWP-"&amp;B862</f>
        <v>PWP-420</v>
      </c>
      <c r="Q860" s="249" t="str">
        <f>+INDEX(PWP!$A:$Z,MATCH('PWP-Print'!O860,PWP!$B:$B,0),MATCH("Title",PWP!$A$1:$Z$1,0))</f>
        <v>Sunbathing Feline</v>
      </c>
      <c r="S860" t="e" vm="601">
        <f>_xlfn.IMAGE("https://natalie.tf/wp-content/uploads/2023/10/DLV3_Icon_Ability_"&amp;INDEX('PWP-A'!$A$2:$C$31,MATCH('PWP-Print'!T860,'PWP-A'!$B$2:$B$31,0),1)&amp;".png")</f>
        <v>#VALUE!</v>
      </c>
      <c r="T860" s="229" t="str">
        <f>+INDEX(PWP!$A:$Z,MATCH('PWP-Print'!O860,PWP!$B:$B,0),MATCH("PWP Ability 1",PWP!$A$1:$Z$1,0))</f>
        <v>Dragon Haste +15%</v>
      </c>
      <c r="U860" s="249" t="str">
        <f>+INDEX(PWP!$A:$Z,MATCH('PWP-Print'!O860,PWP!$B:$B,0),MATCH("Locked PWP Ability 1",PWP!$A$1:$Z$1,0))</f>
        <v>(Shadow) Dragon Haste +15%</v>
      </c>
    </row>
    <row r="861" spans="1:21" ht="22.5" customHeight="1" x14ac:dyDescent="0.3">
      <c r="C861" s="729"/>
      <c r="D861" s="8"/>
      <c r="E861" s="200" t="str">
        <f>+INDEX(PWP!$A:$Z,MATCH('PWP-Print'!E860,PWP!$B:$B,0),MATCH("ID",PWP!$A$1:$Z$1,0))</f>
        <v>210162_01</v>
      </c>
      <c r="F861" s="8"/>
      <c r="G861" s="249" t="str">
        <f>+INDEX(PWP!$A:$Z,MATCH('PWP-Print'!E860,PWP!$B:$B,0),MATCH("Name",PWP!$A$1:$Z$1,0))</f>
        <v>Gala Bahamut</v>
      </c>
      <c r="H861" s="8"/>
      <c r="I861" t="e" vm="696">
        <f>_xlfn.IMAGE("https://natalie.tf/wp-content/uploads/2023/10/DLV3_Icon_Ability_"&amp;INDEX('PWP-A'!$A$2:$C$31,MATCH('PWP-Print'!J861,'PWP-A'!$B$2:$B$31,0),1)&amp;".png")</f>
        <v>#VALUE!</v>
      </c>
      <c r="J861" s="229" t="str">
        <f>+INDEX(PWP!$A:$Z,MATCH('PWP-Print'!E860,PWP!$B:$B,0),MATCH("PWP Ability 2",PWP!$A$1:$Z$1,0))</f>
        <v>Elemental Res +15%</v>
      </c>
      <c r="K861" s="249" t="str">
        <f>+INDEX(PWP!$A:$Z,MATCH('PWP-Print'!E860,PWP!$B:$B,0),MATCH("Locked PWP Ability 2",PWP!$A$1:$Z$1,0))</f>
        <v>(Shadow) Elemental Res +15%</v>
      </c>
      <c r="M861" s="729"/>
      <c r="N861" s="8"/>
      <c r="O861" s="200" t="str">
        <f>+INDEX(PWP!$A:$Z,MATCH('PWP-Print'!O860,PWP!$B:$B,0),MATCH("ID",PWP!$A$1:$Z$1,0))</f>
        <v>210114_01</v>
      </c>
      <c r="P861" s="8"/>
      <c r="Q861" s="249" t="str">
        <f>+INDEX(PWP!$A:$Z,MATCH('PWP-Print'!O860,PWP!$B:$B,0),MATCH("Name",PWP!$A$1:$Z$1,0))</f>
        <v>Ebisu</v>
      </c>
      <c r="R861" s="8"/>
      <c r="S861" t="e" vm="426">
        <f>_xlfn.IMAGE("https://natalie.tf/wp-content/uploads/2023/10/DLV3_Icon_Ability_"&amp;INDEX('PWP-A'!$A$2:$C$31,MATCH('PWP-Print'!T861,'PWP-A'!$B$2:$B$31,0),1)&amp;".png")</f>
        <v>#VALUE!</v>
      </c>
      <c r="T861" s="229" t="str">
        <f>+INDEX(PWP!$A:$Z,MATCH('PWP-Print'!O860,PWP!$B:$B,0),MATCH("PWP Ability 2",PWP!$A$1:$Z$1,0))</f>
        <v>Defense +20%</v>
      </c>
      <c r="U861" s="249" t="str">
        <f>+INDEX(PWP!$A:$Z,MATCH('PWP-Print'!O860,PWP!$B:$B,0),MATCH("Locked PWP Ability 2",PWP!$A$1:$Z$1,0))</f>
        <v>(Shadow) Defense +20%</v>
      </c>
    </row>
    <row r="862" spans="1:21" ht="22.5" customHeight="1" x14ac:dyDescent="0.3">
      <c r="A862" s="244" t="str">
        <f>TEXT(A858+1,"000")</f>
        <v>407</v>
      </c>
      <c r="B862" s="244" t="str">
        <f>TEXT(B858+1,"000")</f>
        <v>420</v>
      </c>
      <c r="C862" s="729"/>
      <c r="E862" s="251" t="str">
        <f>+INDEX(PWP!$A:$Z,MATCH('PWP-Print'!E860,PWP!$B:$B,0),MATCH("Num",PWP!$A$1:$Z$1,0))</f>
        <v>D-102</v>
      </c>
      <c r="G862" s="249" t="str">
        <f>+INDEX(PWP!$A:$Z,MATCH('PWP-Print'!E860,PWP!$B:$B,0),MATCH("Element",PWP!$A$1:$Z$1,0))&amp;" "&amp;INDEX(PWP!$A:$Z,MATCH('PWP-Print'!E860,PWP!$B:$B,0),MATCH("Type",PWP!$A$1:$Z$1,0))</f>
        <v>Shadow Dragon</v>
      </c>
      <c r="K862" s="250"/>
      <c r="M862" s="729"/>
      <c r="O862" s="251" t="str">
        <f>+INDEX(PWP!$A:$Z,MATCH('PWP-Print'!O860,PWP!$B:$B,0),MATCH("Num",PWP!$A$1:$Z$1,0))</f>
        <v>D-115</v>
      </c>
      <c r="Q862" s="249" t="str">
        <f>+INDEX(PWP!$A:$Z,MATCH('PWP-Print'!O860,PWP!$B:$B,0),MATCH("Element",PWP!$A$1:$Z$1,0))&amp;" "&amp;INDEX(PWP!$A:$Z,MATCH('PWP-Print'!O860,PWP!$B:$B,0),MATCH("Type",PWP!$A$1:$Z$1,0))</f>
        <v>Shadow Dragon</v>
      </c>
      <c r="U862" s="250"/>
    </row>
    <row r="863" spans="1:21" ht="7.5" customHeight="1" x14ac:dyDescent="0.3">
      <c r="A863" s="244" t="s">
        <v>10763</v>
      </c>
      <c r="E863" s="250"/>
      <c r="G863" s="250"/>
      <c r="K863" s="250"/>
      <c r="O863" s="250"/>
      <c r="Q863" s="250"/>
      <c r="U863" s="250"/>
    </row>
    <row r="864" spans="1:21" ht="22.5" customHeight="1" x14ac:dyDescent="0.3">
      <c r="C864" s="729" t="e" vm="1447">
        <f>_xlfn.IMAGE("https://natalie.tf/wp-content/uploads/2023/10/DLV3_Icon_DRA_"&amp;E865&amp;".png")</f>
        <v>#VALUE!</v>
      </c>
      <c r="E864" s="249" t="str">
        <f>"PWP-"&amp;A866</f>
        <v>PWP-408</v>
      </c>
      <c r="G864" s="249" t="str">
        <f>+INDEX(PWP!$A:$Z,MATCH('PWP-Print'!E864,PWP!$B:$B,0),MATCH("Title",PWP!$A$1:$Z$1,0))</f>
        <v>Observer of Life and Death</v>
      </c>
      <c r="I864" t="e" vm="382">
        <f>_xlfn.IMAGE("https://natalie.tf/wp-content/uploads/2023/10/DLV3_Icon_Ability_"&amp;INDEX('PWP-A'!$A$2:$C$31,MATCH('PWP-Print'!J864,'PWP-A'!$B$2:$B$31,0),1)&amp;".png")</f>
        <v>#VALUE!</v>
      </c>
      <c r="J864" s="229" t="str">
        <f>+INDEX(PWP!$A:$Z,MATCH('PWP-Print'!E864,PWP!$B:$B,0),MATCH("PWP Ability 1",PWP!$A$1:$Z$1,0))</f>
        <v>Dragon Time +20%</v>
      </c>
      <c r="K864" s="249" t="str">
        <f>+INDEX(PWP!$A:$Z,MATCH('PWP-Print'!E864,PWP!$B:$B,0),MATCH("Locked PWP Ability 1",PWP!$A$1:$Z$1,0))</f>
        <v>(Shadow) Dragon Time +20%</v>
      </c>
      <c r="M864" s="729" t="e" vm="1448">
        <f>_xlfn.IMAGE("https://natalie.tf/wp-content/uploads/2023/10/DLV3_Icon_DRA_"&amp;O865&amp;".png")</f>
        <v>#VALUE!</v>
      </c>
      <c r="O864" s="249" t="str">
        <f>"PWP-"&amp;B866</f>
        <v>PWP-421</v>
      </c>
      <c r="Q864" s="249" t="str">
        <f>+INDEX(PWP!$A:$Z,MATCH('PWP-Print'!O864,PWP!$B:$B,0),MATCH("Title",PWP!$A$1:$Z$1,0))</f>
        <v>Sunbathing Feline</v>
      </c>
      <c r="S864" t="e" vm="382">
        <f>_xlfn.IMAGE("https://natalie.tf/wp-content/uploads/2023/10/DLV3_Icon_Ability_"&amp;INDEX('PWP-A'!$A$2:$C$31,MATCH('PWP-Print'!T864,'PWP-A'!$B$2:$B$31,0),1)&amp;".png")</f>
        <v>#VALUE!</v>
      </c>
      <c r="T864" s="229" t="str">
        <f>+INDEX(PWP!$A:$Z,MATCH('PWP-Print'!O864,PWP!$B:$B,0),MATCH("PWP Ability 1",PWP!$A$1:$Z$1,0))</f>
        <v>Dragon Time +20%</v>
      </c>
      <c r="U864" s="249" t="str">
        <f>+INDEX(PWP!$A:$Z,MATCH('PWP-Print'!O864,PWP!$B:$B,0),MATCH("Locked PWP Ability 1",PWP!$A$1:$Z$1,0))</f>
        <v>(Shadow) Dragon Time +20%</v>
      </c>
    </row>
    <row r="865" spans="1:21" ht="22.5" customHeight="1" x14ac:dyDescent="0.3">
      <c r="C865" s="729"/>
      <c r="D865" s="8"/>
      <c r="E865" s="200" t="str">
        <f>+INDEX(PWP!$A:$Z,MATCH('PWP-Print'!E864,PWP!$B:$B,0),MATCH("ID",PWP!$A$1:$Z$1,0))</f>
        <v>210155_01</v>
      </c>
      <c r="F865" s="8"/>
      <c r="G865" s="249" t="str">
        <f>+INDEX(PWP!$A:$Z,MATCH('PWP-Print'!E864,PWP!$B:$B,0),MATCH("Name",PWP!$A$1:$Z$1,0))</f>
        <v>Gala Reborn Nidhogg</v>
      </c>
      <c r="H865" s="8"/>
      <c r="I865" t="e" vm="326">
        <f>_xlfn.IMAGE("https://natalie.tf/wp-content/uploads/2023/10/DLV3_Icon_Ability_"&amp;INDEX('PWP-A'!$A$2:$C$31,MATCH('PWP-Print'!J865,'PWP-A'!$B$2:$B$31,0),1)&amp;".png")</f>
        <v>#VALUE!</v>
      </c>
      <c r="J865" s="229" t="str">
        <f>+INDEX(PWP!$A:$Z,MATCH('PWP-Print'!E864,PWP!$B:$B,0),MATCH("PWP Ability 2",PWP!$A$1:$Z$1,0))</f>
        <v>Critical Rate +15%</v>
      </c>
      <c r="K865" s="249" t="str">
        <f>+INDEX(PWP!$A:$Z,MATCH('PWP-Print'!E864,PWP!$B:$B,0),MATCH("Locked PWP Ability 2",PWP!$A$1:$Z$1,0))</f>
        <v>(Shadow) Critical Rate +15%</v>
      </c>
      <c r="M865" s="729"/>
      <c r="N865" s="8"/>
      <c r="O865" s="200" t="str">
        <f>+INDEX(PWP!$A:$Z,MATCH('PWP-Print'!O864,PWP!$B:$B,0),MATCH("ID",PWP!$A$1:$Z$1,0))</f>
        <v>210095_01</v>
      </c>
      <c r="P865" s="8"/>
      <c r="Q865" s="249" t="str">
        <f>+INDEX(PWP!$A:$Z,MATCH('PWP-Print'!O864,PWP!$B:$B,0),MATCH("Name",PWP!$A$1:$Z$1,0))</f>
        <v>Parallel Zodiark</v>
      </c>
      <c r="R865" s="8"/>
      <c r="S865" t="e" vm="414">
        <f>_xlfn.IMAGE("https://natalie.tf/wp-content/uploads/2023/10/DLV3_Icon_Ability_"&amp;INDEX('PWP-A'!$A$2:$C$31,MATCH('PWP-Print'!T865,'PWP-A'!$B$2:$B$31,0),1)&amp;".png")</f>
        <v>#VALUE!</v>
      </c>
      <c r="T865" s="229" t="str">
        <f>+INDEX(PWP!$A:$Z,MATCH('PWP-Print'!O864,PWP!$B:$B,0),MATCH("PWP Ability 2",PWP!$A$1:$Z$1,0))</f>
        <v>Critical Damage +25%</v>
      </c>
      <c r="U865" s="249" t="str">
        <f>+INDEX(PWP!$A:$Z,MATCH('PWP-Print'!O864,PWP!$B:$B,0),MATCH("Locked PWP Ability 2",PWP!$A$1:$Z$1,0))</f>
        <v>(Shadow) Critical Damage +25%</v>
      </c>
    </row>
    <row r="866" spans="1:21" ht="22.5" customHeight="1" x14ac:dyDescent="0.3">
      <c r="A866" s="244" t="str">
        <f>TEXT(A862+1,"000")</f>
        <v>408</v>
      </c>
      <c r="B866" s="244" t="str">
        <f>TEXT(B862+1,"000")</f>
        <v>421</v>
      </c>
      <c r="C866" s="729"/>
      <c r="E866" s="251" t="str">
        <f>+INDEX(PWP!$A:$Z,MATCH('PWP-Print'!E864,PWP!$B:$B,0),MATCH("Num",PWP!$A$1:$Z$1,0))</f>
        <v>D-103</v>
      </c>
      <c r="G866" s="249" t="str">
        <f>+INDEX(PWP!$A:$Z,MATCH('PWP-Print'!E864,PWP!$B:$B,0),MATCH("Element",PWP!$A$1:$Z$1,0))&amp;" "&amp;INDEX(PWP!$A:$Z,MATCH('PWP-Print'!E864,PWP!$B:$B,0),MATCH("Type",PWP!$A$1:$Z$1,0))</f>
        <v>Shadow Dragon</v>
      </c>
      <c r="K866" s="250"/>
      <c r="M866" s="729"/>
      <c r="O866" s="251" t="str">
        <f>+INDEX(PWP!$A:$Z,MATCH('PWP-Print'!O864,PWP!$B:$B,0),MATCH("Num",PWP!$A$1:$Z$1,0))</f>
        <v>D-116</v>
      </c>
      <c r="Q866" s="249" t="str">
        <f>+INDEX(PWP!$A:$Z,MATCH('PWP-Print'!O864,PWP!$B:$B,0),MATCH("Element",PWP!$A$1:$Z$1,0))&amp;" "&amp;INDEX(PWP!$A:$Z,MATCH('PWP-Print'!O864,PWP!$B:$B,0),MATCH("Type",PWP!$A$1:$Z$1,0))</f>
        <v>Shadow Dragon</v>
      </c>
      <c r="U866" s="250"/>
    </row>
    <row r="867" spans="1:21" ht="7.5" customHeight="1" x14ac:dyDescent="0.3">
      <c r="A867" s="244" t="s">
        <v>10763</v>
      </c>
      <c r="E867" s="250"/>
      <c r="G867" s="250"/>
      <c r="K867" s="250"/>
      <c r="O867" s="250"/>
      <c r="Q867" s="250"/>
      <c r="U867" s="250"/>
    </row>
    <row r="868" spans="1:21" ht="22.5" customHeight="1" x14ac:dyDescent="0.3">
      <c r="C868" s="729" t="e" vm="1449">
        <f>_xlfn.IMAGE("https://natalie.tf/wp-content/uploads/2023/10/DLV3_Icon_DRA_"&amp;E869&amp;".png")</f>
        <v>#VALUE!</v>
      </c>
      <c r="E868" s="249" t="str">
        <f>"PWP-"&amp;A870</f>
        <v>PWP-409</v>
      </c>
      <c r="G868" s="249" t="str">
        <f>+INDEX(PWP!$A:$Z,MATCH('PWP-Print'!E868,PWP!$B:$B,0),MATCH("Title",PWP!$A$1:$Z$1,0))</f>
        <v>Eternal Dreamer</v>
      </c>
      <c r="I868" t="e" vm="382">
        <f>_xlfn.IMAGE("https://natalie.tf/wp-content/uploads/2023/10/DLV3_Icon_Ability_"&amp;INDEX('PWP-A'!$A$2:$C$31,MATCH('PWP-Print'!J868,'PWP-A'!$B$2:$B$31,0),1)&amp;".png")</f>
        <v>#VALUE!</v>
      </c>
      <c r="J868" s="229" t="str">
        <f>+INDEX(PWP!$A:$Z,MATCH('PWP-Print'!E868,PWP!$B:$B,0),MATCH("PWP Ability 1",PWP!$A$1:$Z$1,0))</f>
        <v>Dragon Time +20%</v>
      </c>
      <c r="K868" s="249" t="str">
        <f>+INDEX(PWP!$A:$Z,MATCH('PWP-Print'!E868,PWP!$B:$B,0),MATCH("Locked PWP Ability 1",PWP!$A$1:$Z$1,0))</f>
        <v>(Shadow) Dragon Time +20%</v>
      </c>
      <c r="M868" s="729" t="e" vm="1450">
        <f>_xlfn.IMAGE("https://natalie.tf/wp-content/uploads/2023/10/DLV3_Icon_DRA_"&amp;O869&amp;".png")</f>
        <v>#VALUE!</v>
      </c>
      <c r="O868" s="249" t="str">
        <f>"PWP-"&amp;B870</f>
        <v>PWP-422</v>
      </c>
      <c r="Q868" s="249" t="str">
        <f>+INDEX(PWP!$A:$Z,MATCH('PWP-Print'!O868,PWP!$B:$B,0),MATCH("Title",PWP!$A$1:$Z$1,0))</f>
        <v>Devoted Dragon</v>
      </c>
      <c r="S868" t="e" vm="14">
        <f>_xlfn.IMAGE("https://natalie.tf/wp-content/uploads/2023/10/DLV3_Icon_Ability_"&amp;INDEX('PWP-A'!$A$2:$C$31,MATCH('PWP-Print'!T868,'PWP-A'!$B$2:$B$31,0),1)&amp;".png")</f>
        <v>#VALUE!</v>
      </c>
      <c r="T868" s="229" t="str">
        <f>+INDEX(PWP!$A:$Z,MATCH('PWP-Print'!O868,PWP!$B:$B,0),MATCH("PWP Ability 1",PWP!$A$1:$Z$1,0))</f>
        <v>Dragon Damage +18%</v>
      </c>
      <c r="U868" s="249" t="str">
        <f>+INDEX(PWP!$A:$Z,MATCH('PWP-Print'!O868,PWP!$B:$B,0),MATCH("Locked PWP Ability 1",PWP!$A$1:$Z$1,0))</f>
        <v>(Shadow) Dragon Damage +18%</v>
      </c>
    </row>
    <row r="869" spans="1:21" ht="22.5" customHeight="1" x14ac:dyDescent="0.3">
      <c r="C869" s="729"/>
      <c r="D869" s="8"/>
      <c r="E869" s="200" t="str">
        <f>+INDEX(PWP!$A:$Z,MATCH('PWP-Print'!E868,PWP!$B:$B,0),MATCH("ID",PWP!$A$1:$Z$1,0))</f>
        <v>210148_01</v>
      </c>
      <c r="F869" s="8"/>
      <c r="G869" s="249" t="str">
        <f>+INDEX(PWP!$A:$Z,MATCH('PWP-Print'!E868,PWP!$B:$B,0),MATCH("Name",PWP!$A$1:$Z$1,0))</f>
        <v>High Chthonius</v>
      </c>
      <c r="H869" s="8"/>
      <c r="I869" t="e" vm="330">
        <f>_xlfn.IMAGE("https://natalie.tf/wp-content/uploads/2023/10/DLV3_Icon_Ability_"&amp;INDEX('PWP-A'!$A$2:$C$31,MATCH('PWP-Print'!J869,'PWP-A'!$B$2:$B$31,0),1)&amp;".png")</f>
        <v>#VALUE!</v>
      </c>
      <c r="J869" s="229" t="str">
        <f>+INDEX(PWP!$A:$Z,MATCH('PWP-Print'!E868,PWP!$B:$B,0),MATCH("PWP Ability 2",PWP!$A$1:$Z$1,0))</f>
        <v>Skill Haste +10%</v>
      </c>
      <c r="K869" s="249" t="str">
        <f>+INDEX(PWP!$A:$Z,MATCH('PWP-Print'!E868,PWP!$B:$B,0),MATCH("Locked PWP Ability 2",PWP!$A$1:$Z$1,0))</f>
        <v>(Shadow) Skill Haste +10%</v>
      </c>
      <c r="M869" s="729"/>
      <c r="N869" s="8"/>
      <c r="O869" s="200" t="str">
        <f>+INDEX(PWP!$A:$Z,MATCH('PWP-Print'!O868,PWP!$B:$B,0),MATCH("ID",PWP!$A$1:$Z$1,0))</f>
        <v>200010_01</v>
      </c>
      <c r="P869" s="8"/>
      <c r="Q869" s="249" t="str">
        <f>+INDEX(PWP!$A:$Z,MATCH('PWP-Print'!O868,PWP!$B:$B,0),MATCH("Name",PWP!$A$1:$Z$1,0))</f>
        <v>Chthonius</v>
      </c>
      <c r="R869" s="8"/>
      <c r="S869" t="e" vm="326">
        <f>_xlfn.IMAGE("https://natalie.tf/wp-content/uploads/2023/10/DLV3_Icon_Ability_"&amp;INDEX('PWP-A'!$A$2:$C$31,MATCH('PWP-Print'!T869,'PWP-A'!$B$2:$B$31,0),1)&amp;".png")</f>
        <v>#VALUE!</v>
      </c>
      <c r="T869" s="229" t="str">
        <f>+INDEX(PWP!$A:$Z,MATCH('PWP-Print'!O868,PWP!$B:$B,0),MATCH("PWP Ability 2",PWP!$A$1:$Z$1,0))</f>
        <v>Critical Rate +15%</v>
      </c>
      <c r="U869" s="249" t="str">
        <f>+INDEX(PWP!$A:$Z,MATCH('PWP-Print'!O868,PWP!$B:$B,0),MATCH("Locked PWP Ability 2",PWP!$A$1:$Z$1,0))</f>
        <v>(Shadow) Critical Rate +15%</v>
      </c>
    </row>
    <row r="870" spans="1:21" ht="22.5" customHeight="1" x14ac:dyDescent="0.3">
      <c r="A870" s="244" t="str">
        <f>TEXT(A866+1,"000")</f>
        <v>409</v>
      </c>
      <c r="B870" s="244" t="str">
        <f>TEXT(B866+1,"000")</f>
        <v>422</v>
      </c>
      <c r="C870" s="729"/>
      <c r="E870" s="251" t="str">
        <f>+INDEX(PWP!$A:$Z,MATCH('PWP-Print'!E868,PWP!$B:$B,0),MATCH("Num",PWP!$A$1:$Z$1,0))</f>
        <v>D-104</v>
      </c>
      <c r="G870" s="249" t="str">
        <f>+INDEX(PWP!$A:$Z,MATCH('PWP-Print'!E868,PWP!$B:$B,0),MATCH("Element",PWP!$A$1:$Z$1,0))&amp;" "&amp;INDEX(PWP!$A:$Z,MATCH('PWP-Print'!E868,PWP!$B:$B,0),MATCH("Type",PWP!$A$1:$Z$1,0))</f>
        <v>Shadow Dragon</v>
      </c>
      <c r="K870" s="250"/>
      <c r="M870" s="729"/>
      <c r="O870" s="251" t="str">
        <f>+INDEX(PWP!$A:$Z,MATCH('PWP-Print'!O868,PWP!$B:$B,0),MATCH("Num",PWP!$A$1:$Z$1,0))</f>
        <v>D-117</v>
      </c>
      <c r="Q870" s="249" t="str">
        <f>+INDEX(PWP!$A:$Z,MATCH('PWP-Print'!O868,PWP!$B:$B,0),MATCH("Element",PWP!$A$1:$Z$1,0))&amp;" "&amp;INDEX(PWP!$A:$Z,MATCH('PWP-Print'!O868,PWP!$B:$B,0),MATCH("Type",PWP!$A$1:$Z$1,0))</f>
        <v>Shadow Dragon</v>
      </c>
      <c r="U870" s="250"/>
    </row>
    <row r="871" spans="1:21" ht="7.5" customHeight="1" x14ac:dyDescent="0.3">
      <c r="A871" s="244" t="s">
        <v>10763</v>
      </c>
      <c r="E871" s="250"/>
      <c r="G871" s="250"/>
      <c r="K871" s="250"/>
      <c r="O871" s="250"/>
      <c r="Q871" s="250"/>
      <c r="U871" s="250"/>
    </row>
    <row r="872" spans="1:21" ht="22.5" customHeight="1" x14ac:dyDescent="0.3">
      <c r="C872" s="729" t="e" vm="1451">
        <f>_xlfn.IMAGE("https://natalie.tf/wp-content/uploads/2023/10/DLV3_Icon_DRA_"&amp;E873&amp;".png")</f>
        <v>#VALUE!</v>
      </c>
      <c r="E872" s="249" t="str">
        <f>"PWP-"&amp;A874</f>
        <v>PWP-410</v>
      </c>
      <c r="G872" s="249" t="str">
        <f>+INDEX(PWP!$A:$Z,MATCH('PWP-Print'!E872,PWP!$B:$B,0),MATCH("Title",PWP!$A$1:$Z$1,0))</f>
        <v>Pillager of Twilight</v>
      </c>
      <c r="I872" t="e" vm="601">
        <f>_xlfn.IMAGE("https://natalie.tf/wp-content/uploads/2023/10/DLV3_Icon_Ability_"&amp;INDEX('PWP-A'!$A$2:$C$31,MATCH('PWP-Print'!J872,'PWP-A'!$B$2:$B$31,0),1)&amp;".png")</f>
        <v>#VALUE!</v>
      </c>
      <c r="J872" s="229" t="str">
        <f>+INDEX(PWP!$A:$Z,MATCH('PWP-Print'!E872,PWP!$B:$B,0),MATCH("PWP Ability 1",PWP!$A$1:$Z$1,0))</f>
        <v>Dragon Haste +15%</v>
      </c>
      <c r="K872" s="249" t="str">
        <f>+INDEX(PWP!$A:$Z,MATCH('PWP-Print'!E872,PWP!$B:$B,0),MATCH("Locked PWP Ability 1",PWP!$A$1:$Z$1,0))</f>
        <v>(Shadow) Dragon Haste +15%</v>
      </c>
      <c r="M872" s="729" t="e" vm="1452">
        <f>_xlfn.IMAGE("https://natalie.tf/wp-content/uploads/2023/10/DLV3_Icon_DRA_"&amp;O873&amp;".png")</f>
        <v>#VALUE!</v>
      </c>
      <c r="O872" s="249" t="str">
        <f>"PWP-"&amp;B874</f>
        <v>PWP-423</v>
      </c>
      <c r="Q872" s="249" t="str">
        <f>+INDEX(PWP!$A:$Z,MATCH('PWP-Print'!O872,PWP!$B:$B,0),MATCH("Title",PWP!$A$1:$Z$1,0))</f>
        <v>Ancestral Ninja</v>
      </c>
      <c r="S872" t="e" vm="382">
        <f>_xlfn.IMAGE("https://natalie.tf/wp-content/uploads/2023/10/DLV3_Icon_Ability_"&amp;INDEX('PWP-A'!$A$2:$C$31,MATCH('PWP-Print'!T872,'PWP-A'!$B$2:$B$31,0),1)&amp;".png")</f>
        <v>#VALUE!</v>
      </c>
      <c r="T872" s="229" t="str">
        <f>+INDEX(PWP!$A:$Z,MATCH('PWP-Print'!O872,PWP!$B:$B,0),MATCH("PWP Ability 1",PWP!$A$1:$Z$1,0))</f>
        <v>Dragon Time +20%</v>
      </c>
      <c r="U872" s="249" t="str">
        <f>+INDEX(PWP!$A:$Z,MATCH('PWP-Print'!O872,PWP!$B:$B,0),MATCH("Locked PWP Ability 1",PWP!$A$1:$Z$1,0))</f>
        <v>(Shadow) Dragon Time +20%</v>
      </c>
    </row>
    <row r="873" spans="1:21" ht="22.5" customHeight="1" x14ac:dyDescent="0.3">
      <c r="C873" s="729"/>
      <c r="D873" s="8"/>
      <c r="E873" s="200" t="str">
        <f>+INDEX(PWP!$A:$Z,MATCH('PWP-Print'!E872,PWP!$B:$B,0),MATCH("ID",PWP!$A$1:$Z$1,0))</f>
        <v>210138_01</v>
      </c>
      <c r="F873" s="8"/>
      <c r="G873" s="249" t="str">
        <f>+INDEX(PWP!$A:$Z,MATCH('PWP-Print'!E872,PWP!$B:$B,0),MATCH("Name",PWP!$A$1:$Z$1,0))</f>
        <v>Arsène</v>
      </c>
      <c r="H873" s="8"/>
      <c r="I873" t="e" vm="14">
        <f>_xlfn.IMAGE("https://natalie.tf/wp-content/uploads/2023/10/DLV3_Icon_Ability_"&amp;INDEX('PWP-A'!$A$2:$C$31,MATCH('PWP-Print'!J873,'PWP-A'!$B$2:$B$31,0),1)&amp;".png")</f>
        <v>#VALUE!</v>
      </c>
      <c r="J873" s="229" t="str">
        <f>+INDEX(PWP!$A:$Z,MATCH('PWP-Print'!E872,PWP!$B:$B,0),MATCH("PWP Ability 2",PWP!$A$1:$Z$1,0))</f>
        <v>Skill Damage +40%</v>
      </c>
      <c r="K873" s="249" t="str">
        <f>+INDEX(PWP!$A:$Z,MATCH('PWP-Print'!E872,PWP!$B:$B,0),MATCH("Locked PWP Ability 2",PWP!$A$1:$Z$1,0))</f>
        <v>(Shadow) Skill Damage +40%</v>
      </c>
      <c r="M873" s="729"/>
      <c r="N873" s="8"/>
      <c r="O873" s="200" t="str">
        <f>+INDEX(PWP!$A:$Z,MATCH('PWP-Print'!O872,PWP!$B:$B,0),MATCH("ID",PWP!$A$1:$Z$1,0))</f>
        <v>210087_01</v>
      </c>
      <c r="P873" s="8"/>
      <c r="Q873" s="249" t="str">
        <f>+INDEX(PWP!$A:$Z,MATCH('PWP-Print'!O872,PWP!$B:$B,0),MATCH("Name",PWP!$A$1:$Z$1,0))</f>
        <v>Shinobi</v>
      </c>
      <c r="R873" s="8"/>
      <c r="S873" t="e" vm="14">
        <f>_xlfn.IMAGE("https://natalie.tf/wp-content/uploads/2023/10/DLV3_Icon_Ability_"&amp;INDEX('PWP-A'!$A$2:$C$31,MATCH('PWP-Print'!T873,'PWP-A'!$B$2:$B$31,0),1)&amp;".png")</f>
        <v>#VALUE!</v>
      </c>
      <c r="T873" s="229" t="str">
        <f>+INDEX(PWP!$A:$Z,MATCH('PWP-Print'!O872,PWP!$B:$B,0),MATCH("PWP Ability 2",PWP!$A$1:$Z$1,0))</f>
        <v>Skill Damage +40%</v>
      </c>
      <c r="U873" s="249" t="str">
        <f>+INDEX(PWP!$A:$Z,MATCH('PWP-Print'!O872,PWP!$B:$B,0),MATCH("Locked PWP Ability 2",PWP!$A$1:$Z$1,0))</f>
        <v>(Shadow) Skill Damage +40%</v>
      </c>
    </row>
    <row r="874" spans="1:21" ht="22.5" customHeight="1" x14ac:dyDescent="0.3">
      <c r="A874" s="244" t="str">
        <f>TEXT(A870+1,"000")</f>
        <v>410</v>
      </c>
      <c r="B874" s="244" t="str">
        <f>TEXT(B870+1,"000")</f>
        <v>423</v>
      </c>
      <c r="C874" s="729"/>
      <c r="E874" s="251" t="str">
        <f>+INDEX(PWP!$A:$Z,MATCH('PWP-Print'!E872,PWP!$B:$B,0),MATCH("Num",PWP!$A$1:$Z$1,0))</f>
        <v>D-105</v>
      </c>
      <c r="G874" s="249" t="str">
        <f>+INDEX(PWP!$A:$Z,MATCH('PWP-Print'!E872,PWP!$B:$B,0),MATCH("Element",PWP!$A$1:$Z$1,0))&amp;" "&amp;INDEX(PWP!$A:$Z,MATCH('PWP-Print'!E872,PWP!$B:$B,0),MATCH("Type",PWP!$A$1:$Z$1,0))</f>
        <v>Shadow Dragon</v>
      </c>
      <c r="K874" s="250"/>
      <c r="M874" s="729"/>
      <c r="O874" s="251" t="str">
        <f>+INDEX(PWP!$A:$Z,MATCH('PWP-Print'!O872,PWP!$B:$B,0),MATCH("Num",PWP!$A$1:$Z$1,0))</f>
        <v>D-118</v>
      </c>
      <c r="Q874" s="249" t="str">
        <f>+INDEX(PWP!$A:$Z,MATCH('PWP-Print'!O872,PWP!$B:$B,0),MATCH("Element",PWP!$A$1:$Z$1,0))&amp;" "&amp;INDEX(PWP!$A:$Z,MATCH('PWP-Print'!O872,PWP!$B:$B,0),MATCH("Type",PWP!$A$1:$Z$1,0))</f>
        <v>Shadow Dragon</v>
      </c>
      <c r="U874" s="250"/>
    </row>
    <row r="875" spans="1:21" ht="7.5" customHeight="1" x14ac:dyDescent="0.3">
      <c r="A875" s="244" t="s">
        <v>10763</v>
      </c>
      <c r="E875" s="250"/>
      <c r="G875" s="250"/>
      <c r="K875" s="250"/>
      <c r="O875" s="250"/>
      <c r="Q875" s="250"/>
      <c r="U875" s="250"/>
    </row>
    <row r="876" spans="1:21" ht="22.5" customHeight="1" x14ac:dyDescent="0.3">
      <c r="C876" s="729" t="e" vm="1453">
        <f>_xlfn.IMAGE("https://natalie.tf/wp-content/uploads/2023/10/DLV3_Icon_DRA_"&amp;E877&amp;".png")</f>
        <v>#VALUE!</v>
      </c>
      <c r="E876" s="249" t="str">
        <f>"PWP-"&amp;A878</f>
        <v>PWP-411</v>
      </c>
      <c r="G876" s="249" t="str">
        <f>+INDEX(PWP!$A:$Z,MATCH('PWP-Print'!E876,PWP!$B:$B,0),MATCH("Title",PWP!$A$1:$Z$1,0))</f>
        <v>Ark of Music</v>
      </c>
      <c r="I876" t="e" vm="601">
        <f>_xlfn.IMAGE("https://natalie.tf/wp-content/uploads/2023/10/DLV3_Icon_Ability_"&amp;INDEX('PWP-A'!$A$2:$C$31,MATCH('PWP-Print'!J876,'PWP-A'!$B$2:$B$31,0),1)&amp;".png")</f>
        <v>#VALUE!</v>
      </c>
      <c r="J876" s="229" t="str">
        <f>+INDEX(PWP!$A:$Z,MATCH('PWP-Print'!E876,PWP!$B:$B,0),MATCH("PWP Ability 1",PWP!$A$1:$Z$1,0))</f>
        <v>Dragon Haste +15%</v>
      </c>
      <c r="K876" s="249" t="str">
        <f>+INDEX(PWP!$A:$Z,MATCH('PWP-Print'!E876,PWP!$B:$B,0),MATCH("Locked PWP Ability 1",PWP!$A$1:$Z$1,0))</f>
        <v>(Shadow) Dragon Haste +15%</v>
      </c>
      <c r="M876" s="729" t="e" vm="1454">
        <f>_xlfn.IMAGE("https://natalie.tf/wp-content/uploads/2023/10/DLV3_Icon_DRA_"&amp;O877&amp;".png")</f>
        <v>#VALUE!</v>
      </c>
      <c r="O876" s="249" t="str">
        <f>"PWP-"&amp;B878</f>
        <v>PWP-424</v>
      </c>
      <c r="Q876" s="249" t="str">
        <f>+INDEX(PWP!$A:$Z,MATCH('PWP-Print'!O876,PWP!$B:$B,0),MATCH("Title",PWP!$A$1:$Z$1,0))</f>
        <v>Crawling Chaos</v>
      </c>
      <c r="S876" t="e" vm="14">
        <f>_xlfn.IMAGE("https://natalie.tf/wp-content/uploads/2023/10/DLV3_Icon_Ability_"&amp;INDEX('PWP-A'!$A$2:$C$31,MATCH('PWP-Print'!T876,'PWP-A'!$B$2:$B$31,0),1)&amp;".png")</f>
        <v>#VALUE!</v>
      </c>
      <c r="T876" s="229" t="str">
        <f>+INDEX(PWP!$A:$Z,MATCH('PWP-Print'!O876,PWP!$B:$B,0),MATCH("PWP Ability 1",PWP!$A$1:$Z$1,0))</f>
        <v>Dragon Damage +18%</v>
      </c>
      <c r="U876" s="249" t="str">
        <f>+INDEX(PWP!$A:$Z,MATCH('PWP-Print'!O876,PWP!$B:$B,0),MATCH("Locked PWP Ability 1",PWP!$A$1:$Z$1,0))</f>
        <v>(Shadow) Dragon Damage +18%</v>
      </c>
    </row>
    <row r="877" spans="1:21" ht="22.5" customHeight="1" x14ac:dyDescent="0.3">
      <c r="C877" s="729"/>
      <c r="D877" s="8"/>
      <c r="E877" s="200" t="str">
        <f>+INDEX(PWP!$A:$Z,MATCH('PWP-Print'!E876,PWP!$B:$B,0),MATCH("ID",PWP!$A$1:$Z$1,0))</f>
        <v>210135_01</v>
      </c>
      <c r="F877" s="8"/>
      <c r="G877" s="249" t="str">
        <f>+INDEX(PWP!$A:$Z,MATCH('PWP-Print'!E876,PWP!$B:$B,0),MATCH("Name",PWP!$A$1:$Z$1,0))</f>
        <v>Giovanni</v>
      </c>
      <c r="H877" s="8"/>
      <c r="I877" t="e" vm="326">
        <f>_xlfn.IMAGE("https://natalie.tf/wp-content/uploads/2023/10/DLV3_Icon_Ability_"&amp;INDEX('PWP-A'!$A$2:$C$31,MATCH('PWP-Print'!J877,'PWP-A'!$B$2:$B$31,0),1)&amp;".png")</f>
        <v>#VALUE!</v>
      </c>
      <c r="J877" s="229" t="str">
        <f>+INDEX(PWP!$A:$Z,MATCH('PWP-Print'!E876,PWP!$B:$B,0),MATCH("PWP Ability 2",PWP!$A$1:$Z$1,0))</f>
        <v>Critical Rate +15%</v>
      </c>
      <c r="K877" s="249" t="str">
        <f>+INDEX(PWP!$A:$Z,MATCH('PWP-Print'!E876,PWP!$B:$B,0),MATCH("Locked PWP Ability 2",PWP!$A$1:$Z$1,0))</f>
        <v>(Shadow) Critical Rate +15%</v>
      </c>
      <c r="M877" s="729"/>
      <c r="N877" s="8"/>
      <c r="O877" s="200" t="str">
        <f>+INDEX(PWP!$A:$Z,MATCH('PWP-Print'!O876,PWP!$B:$B,0),MATCH("ID",PWP!$A$1:$Z$1,0))</f>
        <v>210046_01</v>
      </c>
      <c r="P877" s="8"/>
      <c r="Q877" s="249" t="str">
        <f>+INDEX(PWP!$A:$Z,MATCH('PWP-Print'!O876,PWP!$B:$B,0),MATCH("Name",PWP!$A$1:$Z$1,0))</f>
        <v>Nyarlathotep</v>
      </c>
      <c r="R877" s="8"/>
      <c r="S877" t="e" vm="426">
        <f>_xlfn.IMAGE("https://natalie.tf/wp-content/uploads/2023/10/DLV3_Icon_Ability_"&amp;INDEX('PWP-A'!$A$2:$C$31,MATCH('PWP-Print'!T877,'PWP-A'!$B$2:$B$31,0),1)&amp;".png")</f>
        <v>#VALUE!</v>
      </c>
      <c r="T877" s="229" t="str">
        <f>+INDEX(PWP!$A:$Z,MATCH('PWP-Print'!O876,PWP!$B:$B,0),MATCH("PWP Ability 2",PWP!$A$1:$Z$1,0))</f>
        <v>Defense +20%</v>
      </c>
      <c r="U877" s="249" t="str">
        <f>+INDEX(PWP!$A:$Z,MATCH('PWP-Print'!O876,PWP!$B:$B,0),MATCH("Locked PWP Ability 2",PWP!$A$1:$Z$1,0))</f>
        <v>(Shadow) Defense +20%</v>
      </c>
    </row>
    <row r="878" spans="1:21" ht="22.5" customHeight="1" x14ac:dyDescent="0.3">
      <c r="A878" s="244" t="str">
        <f>TEXT(A874+1,"000")</f>
        <v>411</v>
      </c>
      <c r="B878" s="244" t="str">
        <f>TEXT(B874+1,"000")</f>
        <v>424</v>
      </c>
      <c r="C878" s="729"/>
      <c r="E878" s="251" t="str">
        <f>+INDEX(PWP!$A:$Z,MATCH('PWP-Print'!E876,PWP!$B:$B,0),MATCH("Num",PWP!$A$1:$Z$1,0))</f>
        <v>D-106</v>
      </c>
      <c r="G878" s="249" t="str">
        <f>+INDEX(PWP!$A:$Z,MATCH('PWP-Print'!E876,PWP!$B:$B,0),MATCH("Element",PWP!$A$1:$Z$1,0))&amp;" "&amp;INDEX(PWP!$A:$Z,MATCH('PWP-Print'!E876,PWP!$B:$B,0),MATCH("Type",PWP!$A$1:$Z$1,0))</f>
        <v>Shadow Dragon</v>
      </c>
      <c r="K878" s="250"/>
      <c r="M878" s="729"/>
      <c r="O878" s="251" t="str">
        <f>+INDEX(PWP!$A:$Z,MATCH('PWP-Print'!O876,PWP!$B:$B,0),MATCH("Num",PWP!$A$1:$Z$1,0))</f>
        <v>D-119</v>
      </c>
      <c r="Q878" s="249" t="str">
        <f>+INDEX(PWP!$A:$Z,MATCH('PWP-Print'!O876,PWP!$B:$B,0),MATCH("Element",PWP!$A$1:$Z$1,0))&amp;" "&amp;INDEX(PWP!$A:$Z,MATCH('PWP-Print'!O876,PWP!$B:$B,0),MATCH("Type",PWP!$A$1:$Z$1,0))</f>
        <v>Shadow Dragon</v>
      </c>
      <c r="U878" s="250"/>
    </row>
    <row r="879" spans="1:21" ht="7.5" customHeight="1" x14ac:dyDescent="0.3">
      <c r="A879" s="244" t="s">
        <v>10763</v>
      </c>
      <c r="E879" s="250"/>
      <c r="G879" s="250"/>
      <c r="K879" s="250"/>
      <c r="O879" s="250"/>
      <c r="Q879" s="250"/>
      <c r="U879" s="250"/>
    </row>
    <row r="880" spans="1:21" ht="22.5" customHeight="1" x14ac:dyDescent="0.3">
      <c r="C880" s="729" t="e" vm="1455">
        <f>_xlfn.IMAGE("https://natalie.tf/wp-content/uploads/2023/10/DLV3_Icon_DRA_"&amp;E881&amp;".png")</f>
        <v>#VALUE!</v>
      </c>
      <c r="E880" s="249" t="str">
        <f>"PWP-"&amp;A882</f>
        <v>PWP-412</v>
      </c>
      <c r="G880" s="249" t="str">
        <f>+INDEX(PWP!$A:$Z,MATCH('PWP-Print'!E880,PWP!$B:$B,0),MATCH("Title",PWP!$A$1:$Z$1,0))</f>
        <v>Angelic Herald</v>
      </c>
      <c r="I880" t="e" vm="14">
        <f>_xlfn.IMAGE("https://natalie.tf/wp-content/uploads/2023/10/DLV3_Icon_Ability_"&amp;INDEX('PWP-A'!$A$2:$C$31,MATCH('PWP-Print'!J880,'PWP-A'!$B$2:$B$31,0),1)&amp;".png")</f>
        <v>#VALUE!</v>
      </c>
      <c r="J880" s="229" t="str">
        <f>+INDEX(PWP!$A:$Z,MATCH('PWP-Print'!E880,PWP!$B:$B,0),MATCH("PWP Ability 1",PWP!$A$1:$Z$1,0))</f>
        <v>Dragon Damage +18%</v>
      </c>
      <c r="K880" s="249" t="str">
        <f>+INDEX(PWP!$A:$Z,MATCH('PWP-Print'!E880,PWP!$B:$B,0),MATCH("Locked PWP Ability 1",PWP!$A$1:$Z$1,0))</f>
        <v>(Shadow) Dragon Damage +18%</v>
      </c>
      <c r="M880" s="729" t="e" vm="1456">
        <f>_xlfn.IMAGE("https://natalie.tf/wp-content/uploads/2023/10/DLV3_Icon_DRA_"&amp;O881&amp;".png")</f>
        <v>#VALUE!</v>
      </c>
      <c r="O880" s="249" t="str">
        <f>"PWP-"&amp;B882</f>
        <v>PWP-425</v>
      </c>
      <c r="Q880" s="249" t="str">
        <f>+INDEX(PWP!$A:$Z,MATCH('PWP-Print'!O880,PWP!$B:$B,0),MATCH("Title",PWP!$A$1:$Z$1,0))</f>
        <v>Gold Gentleman</v>
      </c>
      <c r="S880" t="e" vm="330">
        <f>_xlfn.IMAGE("https://natalie.tf/wp-content/uploads/2023/10/DLV3_Icon_Ability_"&amp;INDEX('PWP-A'!$A$2:$C$31,MATCH('PWP-Print'!T880,'PWP-A'!$B$2:$B$31,0),1)&amp;".png")</f>
        <v>#VALUE!</v>
      </c>
      <c r="T880" s="229" t="str">
        <f>+INDEX(PWP!$A:$Z,MATCH('PWP-Print'!O880,PWP!$B:$B,0),MATCH("PWP Ability 1",PWP!$A$1:$Z$1,0))</f>
        <v>Skill Haste +10%</v>
      </c>
      <c r="U880" s="249" t="str">
        <f>+INDEX(PWP!$A:$Z,MATCH('PWP-Print'!O880,PWP!$B:$B,0),MATCH("Locked PWP Ability 1",PWP!$A$1:$Z$1,0))</f>
        <v>(Shadow) Skill Haste +10%</v>
      </c>
    </row>
    <row r="881" spans="1:21" ht="22.5" customHeight="1" x14ac:dyDescent="0.3">
      <c r="C881" s="729"/>
      <c r="D881" s="8"/>
      <c r="E881" s="200" t="str">
        <f>+INDEX(PWP!$A:$Z,MATCH('PWP-Print'!E880,PWP!$B:$B,0),MATCH("ID",PWP!$A$1:$Z$1,0))</f>
        <v>210132_01</v>
      </c>
      <c r="F881" s="8"/>
      <c r="G881" s="249" t="str">
        <f>+INDEX(PWP!$A:$Z,MATCH('PWP-Print'!E880,PWP!$B:$B,0),MATCH("Name",PWP!$A$1:$Z$1,0))</f>
        <v>Ramiel</v>
      </c>
      <c r="H881" s="8"/>
      <c r="I881" t="e" vm="696">
        <f>_xlfn.IMAGE("https://natalie.tf/wp-content/uploads/2023/10/DLV3_Icon_Ability_"&amp;INDEX('PWP-A'!$A$2:$C$31,MATCH('PWP-Print'!J881,'PWP-A'!$B$2:$B$31,0),1)&amp;".png")</f>
        <v>#VALUE!</v>
      </c>
      <c r="J881" s="229" t="str">
        <f>+INDEX(PWP!$A:$Z,MATCH('PWP-Print'!E880,PWP!$B:$B,0),MATCH("PWP Ability 2",PWP!$A$1:$Z$1,0))</f>
        <v>Elemental Res +15%</v>
      </c>
      <c r="K881" s="249" t="str">
        <f>+INDEX(PWP!$A:$Z,MATCH('PWP-Print'!E880,PWP!$B:$B,0),MATCH("Locked PWP Ability 2",PWP!$A$1:$Z$1,0))</f>
        <v>(Shadow) Elemental Res +15%</v>
      </c>
      <c r="M881" s="729"/>
      <c r="N881" s="8"/>
      <c r="O881" s="200" t="str">
        <f>+INDEX(PWP!$A:$Z,MATCH('PWP-Print'!O880,PWP!$B:$B,0),MATCH("ID",PWP!$A$1:$Z$1,0))</f>
        <v>210091_01</v>
      </c>
      <c r="P881" s="8"/>
      <c r="Q881" s="249" t="str">
        <f>+INDEX(PWP!$A:$Z,MATCH('PWP-Print'!O880,PWP!$B:$B,0),MATCH("Name",PWP!$A$1:$Z$1,0))</f>
        <v>Gold Fafnir</v>
      </c>
      <c r="R881" s="8"/>
      <c r="S881" t="e" vm="349">
        <f>_xlfn.IMAGE("https://natalie.tf/wp-content/uploads/2023/10/DLV3_Icon_Ability_"&amp;INDEX('PWP-A'!$A$2:$C$31,MATCH('PWP-Print'!T881,'PWP-A'!$B$2:$B$31,0),1)&amp;".png")</f>
        <v>#VALUE!</v>
      </c>
      <c r="T881" s="229" t="str">
        <f>+INDEX(PWP!$A:$Z,MATCH('PWP-Print'!O880,PWP!$B:$B,0),MATCH("PWP Ability 2",PWP!$A$1:$Z$1,0))</f>
        <v>Recovery Potency +20%</v>
      </c>
      <c r="U881" s="249" t="str">
        <f>+INDEX(PWP!$A:$Z,MATCH('PWP-Print'!O880,PWP!$B:$B,0),MATCH("Locked PWP Ability 2",PWP!$A$1:$Z$1,0))</f>
        <v>(Shadow) Recovery Potency +20%</v>
      </c>
    </row>
    <row r="882" spans="1:21" ht="22.5" customHeight="1" x14ac:dyDescent="0.3">
      <c r="A882" s="244" t="str">
        <f>TEXT(A878+1,"000")</f>
        <v>412</v>
      </c>
      <c r="B882" s="244" t="str">
        <f>TEXT(B878+1,"000")</f>
        <v>425</v>
      </c>
      <c r="C882" s="729"/>
      <c r="E882" s="251" t="str">
        <f>+INDEX(PWP!$A:$Z,MATCH('PWP-Print'!E880,PWP!$B:$B,0),MATCH("Num",PWP!$A$1:$Z$1,0))</f>
        <v>D-107</v>
      </c>
      <c r="G882" s="249" t="str">
        <f>+INDEX(PWP!$A:$Z,MATCH('PWP-Print'!E880,PWP!$B:$B,0),MATCH("Element",PWP!$A$1:$Z$1,0))&amp;" "&amp;INDEX(PWP!$A:$Z,MATCH('PWP-Print'!E880,PWP!$B:$B,0),MATCH("Type",PWP!$A$1:$Z$1,0))</f>
        <v>Shadow Dragon</v>
      </c>
      <c r="K882" s="250"/>
      <c r="M882" s="729"/>
      <c r="O882" s="251" t="str">
        <f>+INDEX(PWP!$A:$Z,MATCH('PWP-Print'!O880,PWP!$B:$B,0),MATCH("Num",PWP!$A$1:$Z$1,0))</f>
        <v>D-120</v>
      </c>
      <c r="Q882" s="249" t="str">
        <f>+INDEX(PWP!$A:$Z,MATCH('PWP-Print'!O880,PWP!$B:$B,0),MATCH("Element",PWP!$A$1:$Z$1,0))&amp;" "&amp;INDEX(PWP!$A:$Z,MATCH('PWP-Print'!O880,PWP!$B:$B,0),MATCH("Type",PWP!$A$1:$Z$1,0))</f>
        <v>Shadow Dragon</v>
      </c>
      <c r="U882" s="250"/>
    </row>
    <row r="883" spans="1:21" ht="7.5" customHeight="1" x14ac:dyDescent="0.3">
      <c r="A883" s="244" t="s">
        <v>10763</v>
      </c>
      <c r="E883" s="250"/>
      <c r="G883" s="250"/>
      <c r="K883" s="250"/>
      <c r="Q883" s="250"/>
      <c r="U883" s="250"/>
    </row>
    <row r="884" spans="1:21" ht="22.5" customHeight="1" x14ac:dyDescent="0.3">
      <c r="C884" s="729" t="e" vm="1457">
        <f>_xlfn.IMAGE("https://natalie.tf/wp-content/uploads/2023/10/DLV3_Icon_DRA_"&amp;E885&amp;".png")</f>
        <v>#VALUE!</v>
      </c>
      <c r="E884" s="249" t="str">
        <f>"PWP-"&amp;A886</f>
        <v>PWP-413</v>
      </c>
      <c r="G884" s="249" t="str">
        <f>+INDEX(PWP!$A:$Z,MATCH('PWP-Print'!E884,PWP!$B:$B,0),MATCH("Title",PWP!$A$1:$Z$1,0))</f>
        <v>Capricious Feline</v>
      </c>
      <c r="I884" t="e" vm="14">
        <f>_xlfn.IMAGE("https://natalie.tf/wp-content/uploads/2023/10/DLV3_Icon_Ability_"&amp;INDEX('PWP-A'!$A$2:$C$31,MATCH('PWP-Print'!J884,'PWP-A'!$B$2:$B$31,0),1)&amp;".png")</f>
        <v>#VALUE!</v>
      </c>
      <c r="J884" s="229" t="str">
        <f>+INDEX(PWP!$A:$Z,MATCH('PWP-Print'!E884,PWP!$B:$B,0),MATCH("PWP Ability 1",PWP!$A$1:$Z$1,0))</f>
        <v>Dragon Damage +18%</v>
      </c>
      <c r="K884" s="249" t="str">
        <f>+INDEX(PWP!$A:$Z,MATCH('PWP-Print'!E884,PWP!$B:$B,0),MATCH("Locked PWP Ability 1",PWP!$A$1:$Z$1,0))</f>
        <v>(Shadow) Dragon Damage +18%</v>
      </c>
      <c r="M884" s="729"/>
      <c r="O884" s="221"/>
      <c r="P884" s="221"/>
      <c r="Q884" s="221"/>
      <c r="R884" s="221"/>
      <c r="S884" s="221"/>
      <c r="T884" s="221"/>
      <c r="U884" s="221"/>
    </row>
    <row r="885" spans="1:21" ht="22.5" customHeight="1" x14ac:dyDescent="0.3">
      <c r="C885" s="729"/>
      <c r="D885" s="8"/>
      <c r="E885" s="200" t="str">
        <f>+INDEX(PWP!$A:$Z,MATCH('PWP-Print'!E884,PWP!$B:$B,0),MATCH("ID",PWP!$A$1:$Z$1,0))</f>
        <v>200017_01</v>
      </c>
      <c r="F885" s="8"/>
      <c r="G885" s="249" t="str">
        <f>+INDEX(PWP!$A:$Z,MATCH('PWP-Print'!E884,PWP!$B:$B,0),MATCH("Name",PWP!$A$1:$Z$1,0))</f>
        <v>Gala Cat Sìth</v>
      </c>
      <c r="H885" s="8"/>
      <c r="I885" t="e" vm="414">
        <f>_xlfn.IMAGE("https://natalie.tf/wp-content/uploads/2023/10/DLV3_Icon_Ability_"&amp;INDEX('PWP-A'!$A$2:$C$31,MATCH('PWP-Print'!J885,'PWP-A'!$B$2:$B$31,0),1)&amp;".png")</f>
        <v>#VALUE!</v>
      </c>
      <c r="J885" s="229" t="str">
        <f>+INDEX(PWP!$A:$Z,MATCH('PWP-Print'!E884,PWP!$B:$B,0),MATCH("PWP Ability 2",PWP!$A$1:$Z$1,0))</f>
        <v>Critical Damage +25%</v>
      </c>
      <c r="K885" s="249" t="str">
        <f>+INDEX(PWP!$A:$Z,MATCH('PWP-Print'!E884,PWP!$B:$B,0),MATCH("Locked PWP Ability 2",PWP!$A$1:$Z$1,0))</f>
        <v>(Shadow) Critical Damage +25%</v>
      </c>
      <c r="M885" s="729"/>
      <c r="N885" s="8"/>
      <c r="O885" s="221"/>
      <c r="P885" s="221"/>
      <c r="Q885" s="221"/>
      <c r="R885" s="221"/>
      <c r="S885" s="221"/>
      <c r="T885" s="221"/>
      <c r="U885" s="221"/>
    </row>
    <row r="886" spans="1:21" ht="22.5" customHeight="1" x14ac:dyDescent="0.3">
      <c r="A886" s="244" t="str">
        <f>TEXT(A882+1,"000")</f>
        <v>413</v>
      </c>
      <c r="C886" s="729"/>
      <c r="E886" s="251" t="str">
        <f>+INDEX(PWP!$A:$Z,MATCH('PWP-Print'!E884,PWP!$B:$B,0),MATCH("Num",PWP!$A$1:$Z$1,0))</f>
        <v>D-108</v>
      </c>
      <c r="G886" s="249" t="str">
        <f>+INDEX(PWP!$A:$Z,MATCH('PWP-Print'!E884,PWP!$B:$B,0),MATCH("Element",PWP!$A$1:$Z$1,0))&amp;" "&amp;INDEX(PWP!$A:$Z,MATCH('PWP-Print'!E884,PWP!$B:$B,0),MATCH("Type",PWP!$A$1:$Z$1,0))</f>
        <v>Shadow Dragon</v>
      </c>
      <c r="K886" s="250"/>
      <c r="M886" s="729"/>
      <c r="O886" s="221"/>
      <c r="P886" s="221"/>
      <c r="Q886" s="221"/>
      <c r="R886" s="221"/>
      <c r="S886" s="221"/>
      <c r="T886" s="221"/>
      <c r="U886" s="221"/>
    </row>
    <row r="887" spans="1:21" ht="39.75" customHeight="1" x14ac:dyDescent="0.2">
      <c r="A887" s="244" t="s">
        <v>10763</v>
      </c>
    </row>
    <row r="888" spans="1:21" ht="22.5" customHeight="1" x14ac:dyDescent="0.3">
      <c r="C888" s="729" t="e" vm="1458">
        <f>_xlfn.IMAGE("https://natalie.tf/wp-content/uploads/2023/10/DLV3_Icon_DRA_"&amp;E889&amp;".png")</f>
        <v>#VALUE!</v>
      </c>
      <c r="E888" s="249" t="str">
        <f>"PWP-"&amp;A890</f>
        <v>PWP-426</v>
      </c>
      <c r="G888" s="249" t="str">
        <f>+INDEX(PWP!$A:$Z,MATCH('PWP-Print'!E888,PWP!$B:$B,0),MATCH("Title",PWP!$A$1:$Z$1,0))</f>
        <v>Dawning Dragon</v>
      </c>
      <c r="I888" t="e" vm="601">
        <f>_xlfn.IMAGE("https://natalie.tf/wp-content/uploads/2023/10/DLV3_Icon_Ability_"&amp;INDEX('PWP-A'!$A$2:$C$31,MATCH('PWP-Print'!J888,'PWP-A'!$B$2:$B$31,0),1)&amp;".png")</f>
        <v>#VALUE!</v>
      </c>
      <c r="J888" s="229" t="str">
        <f>+INDEX(PWP!$A:$Z,MATCH('PWP-Print'!E888,PWP!$B:$B,0),MATCH("PWP Ability 1",PWP!$A$1:$Z$1,0))</f>
        <v>Dragon Haste +15%</v>
      </c>
      <c r="K888" s="249" t="str">
        <f>+INDEX(PWP!$A:$Z,MATCH('PWP-Print'!E888,PWP!$B:$B,0),MATCH("Locked PWP Ability 1",PWP!$A$1:$Z$1,0))</f>
        <v>(Shadow) Dragon Haste +15%</v>
      </c>
      <c r="M888" s="729" t="e" vm="1459">
        <f>_xlfn.IMAGE("https://natalie.tf/wp-content/uploads/2023/11/DLV3_Icon_DRA_Custom_Beast_Ayaha_Otoha.png")</f>
        <v>#VALUE!</v>
      </c>
      <c r="O888" s="249" t="str">
        <f>"PWP-"&amp;B890</f>
        <v>PWP-439</v>
      </c>
      <c r="Q888" s="249" t="str">
        <f>+INDEX(PWP!$A:$Z,MATCH('PWP-Print'!O888,PWP!$B:$B,0),MATCH("Title",PWP!$A$1:$Z$1,0))</f>
        <v>Twin Wings of Freedom</v>
      </c>
      <c r="S888" t="e" vm="601">
        <f>_xlfn.IMAGE("https://natalie.tf/wp-content/uploads/2023/10/DLV3_Icon_Ability_"&amp;INDEX('PWP-A'!$A$2:$C$31,MATCH('PWP-Print'!T888,'PWP-A'!$B$2:$B$31,0),1)&amp;".png")</f>
        <v>#VALUE!</v>
      </c>
      <c r="T888" s="229" t="str">
        <f>+INDEX(PWP!$A:$Z,MATCH('PWP-Print'!O888,PWP!$B:$B,0),MATCH("PWP Ability 1",PWP!$A$1:$Z$1,0))</f>
        <v>Dragon Haste +15%</v>
      </c>
      <c r="U888" s="249" t="str">
        <f>+INDEX(PWP!$A:$Z,MATCH('PWP-Print'!O888,PWP!$B:$B,0),MATCH("Locked PWP Ability 1",PWP!$A$1:$Z$1,0))</f>
        <v>(Flame) Dragon Haste +15%</v>
      </c>
    </row>
    <row r="889" spans="1:21" ht="22.5" customHeight="1" x14ac:dyDescent="0.3">
      <c r="C889" s="729"/>
      <c r="D889" s="8"/>
      <c r="E889" s="200" t="str">
        <f>+INDEX(PWP!$A:$Z,MATCH('PWP-Print'!E888,PWP!$B:$B,0),MATCH("ID",PWP!$A$1:$Z$1,0))</f>
        <v>210077_01</v>
      </c>
      <c r="F889" s="8"/>
      <c r="G889" s="249" t="str">
        <f>+INDEX(PWP!$A:$Z,MATCH('PWP-Print'!E888,PWP!$B:$B,0),MATCH("Name",PWP!$A$1:$Z$1,0))</f>
        <v>Marishiten</v>
      </c>
      <c r="H889" s="8"/>
      <c r="I889" t="e" vm="414">
        <f>_xlfn.IMAGE("https://natalie.tf/wp-content/uploads/2023/10/DLV3_Icon_Ability_"&amp;INDEX('PWP-A'!$A$2:$C$31,MATCH('PWP-Print'!J889,'PWP-A'!$B$2:$B$31,0),1)&amp;".png")</f>
        <v>#VALUE!</v>
      </c>
      <c r="J889" s="229" t="str">
        <f>+INDEX(PWP!$A:$Z,MATCH('PWP-Print'!E888,PWP!$B:$B,0),MATCH("PWP Ability 2",PWP!$A$1:$Z$1,0))</f>
        <v>Critical Damage +25%</v>
      </c>
      <c r="K889" s="249" t="str">
        <f>+INDEX(PWP!$A:$Z,MATCH('PWP-Print'!E888,PWP!$B:$B,0),MATCH("Locked PWP Ability 2",PWP!$A$1:$Z$1,0))</f>
        <v>(Shadow) Critical Damage +25%</v>
      </c>
      <c r="M889" s="729"/>
      <c r="N889" s="8"/>
      <c r="O889" s="200" t="str">
        <f>+INDEX(PWP!$A:$Z,MATCH('PWP-Print'!O888,PWP!$B:$B,0),MATCH("ID",PWP!$A$1:$Z$1,0))</f>
        <v>210178_01</v>
      </c>
      <c r="P889" s="8"/>
      <c r="Q889" s="249" t="str">
        <f>+INDEX(PWP!$A:$Z,MATCH('PWP-Print'!O888,PWP!$B:$B,0),MATCH("Name",PWP!$A$1:$Z$1,0))</f>
        <v>Gala Beast Ayaha &amp; Otoha</v>
      </c>
      <c r="R889" s="8"/>
      <c r="S889" t="e" vm="14">
        <f>_xlfn.IMAGE("https://natalie.tf/wp-content/uploads/2023/10/DLV3_Icon_Ability_"&amp;INDEX('PWP-A'!$A$2:$C$31,MATCH('PWP-Print'!T889,'PWP-A'!$B$2:$B$31,0),1)&amp;".png")</f>
        <v>#VALUE!</v>
      </c>
      <c r="T889" s="229" t="str">
        <f>+INDEX(PWP!$A:$Z,MATCH('PWP-Print'!O888,PWP!$B:$B,0),MATCH("PWP Ability 2",PWP!$A$1:$Z$1,0))</f>
        <v>Strength +20%</v>
      </c>
      <c r="U889" s="249" t="str">
        <f>+INDEX(PWP!$A:$Z,MATCH('PWP-Print'!O888,PWP!$B:$B,0),MATCH("Locked PWP Ability 2",PWP!$A$1:$Z$1,0))</f>
        <v>(Flame) Strength +20%</v>
      </c>
    </row>
    <row r="890" spans="1:21" ht="22.5" customHeight="1" x14ac:dyDescent="0.3">
      <c r="A890" s="242" t="str">
        <f>TEXT(B882+1,"000")</f>
        <v>426</v>
      </c>
      <c r="B890" s="244" t="str">
        <f>TEXT(A938+1,"000")</f>
        <v>439</v>
      </c>
      <c r="C890" s="729"/>
      <c r="E890" s="251" t="str">
        <f>+INDEX(PWP!$A:$Z,MATCH('PWP-Print'!E888,PWP!$B:$B,0),MATCH("Num",PWP!$A$1:$Z$1,0))</f>
        <v>D-121</v>
      </c>
      <c r="G890" s="249" t="str">
        <f>+INDEX(PWP!$A:$Z,MATCH('PWP-Print'!E888,PWP!$B:$B,0),MATCH("Element",PWP!$A$1:$Z$1,0))&amp;" "&amp;INDEX(PWP!$A:$Z,MATCH('PWP-Print'!E888,PWP!$B:$B,0),MATCH("Type",PWP!$A$1:$Z$1,0))</f>
        <v>Shadow Dragon</v>
      </c>
      <c r="K890" s="250"/>
      <c r="M890" s="729"/>
      <c r="O890" s="251" t="str">
        <f>+INDEX(PWP!$A:$Z,MATCH('PWP-Print'!O888,PWP!$B:$B,0),MATCH("Num",PWP!$A$1:$Z$1,0))</f>
        <v>DN-001</v>
      </c>
      <c r="Q890" s="249" t="str">
        <f>+INDEX(PWP!$A:$Z,MATCH('PWP-Print'!O888,PWP!$B:$B,0),MATCH("Element",PWP!$A$1:$Z$1,0))&amp;" "&amp;INDEX(PWP!$A:$Z,MATCH('PWP-Print'!O888,PWP!$B:$B,0),MATCH("Type",PWP!$A$1:$Z$1,0))</f>
        <v>Flame Dragon</v>
      </c>
      <c r="U890" s="250"/>
    </row>
    <row r="891" spans="1:21" ht="7.5" customHeight="1" x14ac:dyDescent="0.3">
      <c r="A891" s="244" t="s">
        <v>10763</v>
      </c>
      <c r="E891" s="250"/>
      <c r="G891" s="250"/>
      <c r="K891" s="250"/>
      <c r="O891" s="250"/>
      <c r="Q891" s="250"/>
      <c r="U891" s="250"/>
    </row>
    <row r="892" spans="1:21" ht="22.5" customHeight="1" x14ac:dyDescent="0.3">
      <c r="C892" s="729" t="e" vm="1460">
        <f>_xlfn.IMAGE("https://natalie.tf/wp-content/uploads/2023/10/DLV3_Icon_DRA_"&amp;E893&amp;".png")</f>
        <v>#VALUE!</v>
      </c>
      <c r="E892" s="249" t="str">
        <f>"PWP-"&amp;A894</f>
        <v>PWP-427</v>
      </c>
      <c r="G892" s="249" t="str">
        <f>+INDEX(PWP!$A:$Z,MATCH('PWP-Print'!E892,PWP!$B:$B,0),MATCH("Title",PWP!$A$1:$Z$1,0))</f>
        <v>Beloved Mascot</v>
      </c>
      <c r="I892" t="e" vm="1045">
        <f>_xlfn.IMAGE("https://natalie.tf/wp-content/uploads/2023/10/DLV3_Icon_Ability_"&amp;INDEX('PWP-A'!$A$2:$C$31,MATCH('PWP-Print'!J892,'PWP-A'!$B$2:$B$31,0),1)&amp;".png")</f>
        <v>#VALUE!</v>
      </c>
      <c r="J892" s="229" t="str">
        <f>+INDEX(PWP!$A:$Z,MATCH('PWP-Print'!E892,PWP!$B:$B,0),MATCH("PWP Ability 1",PWP!$A$1:$Z$1,0))</f>
        <v>Attack Rate +20%</v>
      </c>
      <c r="K892" s="249" t="str">
        <f>+INDEX(PWP!$A:$Z,MATCH('PWP-Print'!E892,PWP!$B:$B,0),MATCH("Locked PWP Ability 1",PWP!$A$1:$Z$1,0))</f>
        <v>(Shadow) Attack Rate +20%</v>
      </c>
      <c r="M892" s="729" t="e" vm="1461">
        <f>_xlfn.IMAGE("https://natalie.tf/wp-content/uploads/2023/11/DLV3_Icon_DRA_Custom_Beast_Kai_Yan.png")</f>
        <v>#VALUE!</v>
      </c>
      <c r="O892" s="249" t="str">
        <f>"PWP-"&amp;B894</f>
        <v>PWP-440</v>
      </c>
      <c r="Q892" s="249" t="str">
        <f>+INDEX(PWP!$A:$Z,MATCH('PWP-Print'!O892,PWP!$B:$B,0),MATCH("Title",PWP!$A$1:$Z$1,0))</f>
        <v>The Invincible Arm</v>
      </c>
      <c r="S892" t="e" vm="601">
        <f>_xlfn.IMAGE("https://natalie.tf/wp-content/uploads/2023/10/DLV3_Icon_Ability_"&amp;INDEX('PWP-A'!$A$2:$C$31,MATCH('PWP-Print'!T892,'PWP-A'!$B$2:$B$31,0),1)&amp;".png")</f>
        <v>#VALUE!</v>
      </c>
      <c r="T892" s="229" t="str">
        <f>+INDEX(PWP!$A:$Z,MATCH('PWP-Print'!O892,PWP!$B:$B,0),MATCH("PWP Ability 1",PWP!$A$1:$Z$1,0))</f>
        <v>Dragon Haste +15%</v>
      </c>
      <c r="U892" s="249" t="str">
        <f>+INDEX(PWP!$A:$Z,MATCH('PWP-Print'!O892,PWP!$B:$B,0),MATCH("Locked PWP Ability 1",PWP!$A$1:$Z$1,0))</f>
        <v>(Light) Dragon Haste +15%</v>
      </c>
    </row>
    <row r="893" spans="1:21" ht="22.5" customHeight="1" x14ac:dyDescent="0.3">
      <c r="C893" s="729"/>
      <c r="D893" s="8"/>
      <c r="E893" s="200" t="str">
        <f>+INDEX(PWP!$A:$Z,MATCH('PWP-Print'!E892,PWP!$B:$B,0),MATCH("ID",PWP!$A$1:$Z$1,0))</f>
        <v>210072_01</v>
      </c>
      <c r="F893" s="8"/>
      <c r="G893" s="249" t="str">
        <f>+INDEX(PWP!$A:$Z,MATCH('PWP-Print'!E892,PWP!$B:$B,0),MATCH("Name",PWP!$A$1:$Z$1,0))</f>
        <v>Maritimus</v>
      </c>
      <c r="H893" s="8"/>
      <c r="I893" t="e" vm="693">
        <f>_xlfn.IMAGE("https://natalie.tf/wp-content/uploads/2023/10/DLV3_Icon_Ability_"&amp;INDEX('PWP-A'!$A$2:$C$31,MATCH('PWP-Print'!J893,'PWP-A'!$B$2:$B$31,0),1)&amp;".png")</f>
        <v>#VALUE!</v>
      </c>
      <c r="J893" s="229" t="str">
        <f>+INDEX(PWP!$A:$Z,MATCH('PWP-Print'!E892,PWP!$B:$B,0),MATCH("PWP Ability 2",PWP!$A$1:$Z$1,0))</f>
        <v>Combo Time +2</v>
      </c>
      <c r="K893" s="249" t="str">
        <f>+INDEX(PWP!$A:$Z,MATCH('PWP-Print'!E892,PWP!$B:$B,0),MATCH("Locked PWP Ability 2",PWP!$A$1:$Z$1,0))</f>
        <v>(Shadow) Combo Time +2</v>
      </c>
      <c r="M893" s="729"/>
      <c r="N893" s="8"/>
      <c r="O893" s="200" t="str">
        <f>+INDEX(PWP!$A:$Z,MATCH('PWP-Print'!O892,PWP!$B:$B,0),MATCH("ID",PWP!$A$1:$Z$1,0))</f>
        <v>N/A</v>
      </c>
      <c r="P893" s="8"/>
      <c r="Q893" s="249" t="str">
        <f>+INDEX(PWP!$A:$Z,MATCH('PWP-Print'!O892,PWP!$B:$B,0),MATCH("Name",PWP!$A$1:$Z$1,0))</f>
        <v>Gala Beast Kai Yan</v>
      </c>
      <c r="R893" s="8"/>
      <c r="S893" t="e" vm="14">
        <f>_xlfn.IMAGE("https://natalie.tf/wp-content/uploads/2023/10/DLV3_Icon_Ability_"&amp;INDEX('PWP-A'!$A$2:$C$31,MATCH('PWP-Print'!T893,'PWP-A'!$B$2:$B$31,0),1)&amp;".png")</f>
        <v>#VALUE!</v>
      </c>
      <c r="T893" s="229" t="str">
        <f>+INDEX(PWP!$A:$Z,MATCH('PWP-Print'!O892,PWP!$B:$B,0),MATCH("PWP Ability 2",PWP!$A$1:$Z$1,0))</f>
        <v>Strength +20%</v>
      </c>
      <c r="U893" s="249" t="str">
        <f>+INDEX(PWP!$A:$Z,MATCH('PWP-Print'!O892,PWP!$B:$B,0),MATCH("Locked PWP Ability 2",PWP!$A$1:$Z$1,0))</f>
        <v>(Light) Strength +20%</v>
      </c>
    </row>
    <row r="894" spans="1:21" ht="22.5" customHeight="1" x14ac:dyDescent="0.3">
      <c r="A894" s="244" t="str">
        <f>TEXT(A890+1,"000")</f>
        <v>427</v>
      </c>
      <c r="B894" s="244" t="str">
        <f>TEXT(B890+1,"000")</f>
        <v>440</v>
      </c>
      <c r="C894" s="729"/>
      <c r="E894" s="251" t="str">
        <f>+INDEX(PWP!$A:$Z,MATCH('PWP-Print'!E892,PWP!$B:$B,0),MATCH("Num",PWP!$A$1:$Z$1,0))</f>
        <v>D-122</v>
      </c>
      <c r="G894" s="249" t="str">
        <f>+INDEX(PWP!$A:$Z,MATCH('PWP-Print'!E892,PWP!$B:$B,0),MATCH("Element",PWP!$A$1:$Z$1,0))&amp;" "&amp;INDEX(PWP!$A:$Z,MATCH('PWP-Print'!E892,PWP!$B:$B,0),MATCH("Type",PWP!$A$1:$Z$1,0))</f>
        <v>Shadow Dragon</v>
      </c>
      <c r="K894" s="250"/>
      <c r="M894" s="729"/>
      <c r="O894" s="251" t="str">
        <f>+INDEX(PWP!$A:$Z,MATCH('PWP-Print'!O892,PWP!$B:$B,0),MATCH("Num",PWP!$A$1:$Z$1,0))</f>
        <v>DN-002</v>
      </c>
      <c r="Q894" s="249" t="str">
        <f>+INDEX(PWP!$A:$Z,MATCH('PWP-Print'!O892,PWP!$B:$B,0),MATCH("Element",PWP!$A$1:$Z$1,0))&amp;" "&amp;INDEX(PWP!$A:$Z,MATCH('PWP-Print'!O892,PWP!$B:$B,0),MATCH("Type",PWP!$A$1:$Z$1,0))</f>
        <v>Light Dragon</v>
      </c>
      <c r="U894" s="250"/>
    </row>
    <row r="895" spans="1:21" ht="7.5" customHeight="1" x14ac:dyDescent="0.3">
      <c r="A895" s="244" t="s">
        <v>10763</v>
      </c>
      <c r="E895" s="250"/>
      <c r="G895" s="250"/>
      <c r="K895" s="250"/>
      <c r="O895" s="250"/>
      <c r="Q895" s="250"/>
      <c r="U895" s="250"/>
    </row>
    <row r="896" spans="1:21" ht="22.5" customHeight="1" x14ac:dyDescent="0.3">
      <c r="C896" s="729" t="e" vm="1462">
        <f>_xlfn.IMAGE("https://natalie.tf/wp-content/uploads/2023/10/DLV3_Icon_DRA_"&amp;E897&amp;".png")</f>
        <v>#VALUE!</v>
      </c>
      <c r="E896" s="249" t="str">
        <f>"PWP-"&amp;A898</f>
        <v>PWP-428</v>
      </c>
      <c r="G896" s="249" t="str">
        <f>+INDEX(PWP!$A:$Z,MATCH('PWP-Print'!E896,PWP!$B:$B,0),MATCH("Title",PWP!$A$1:$Z$1,0))</f>
        <v>Gruesome Specter</v>
      </c>
      <c r="I896" t="e" vm="426">
        <f>_xlfn.IMAGE("https://natalie.tf/wp-content/uploads/2023/10/DLV3_Icon_Ability_"&amp;INDEX('PWP-A'!$A$2:$C$31,MATCH('PWP-Print'!J896,'PWP-A'!$B$2:$B$31,0),1)&amp;".png")</f>
        <v>#VALUE!</v>
      </c>
      <c r="J896" s="229" t="str">
        <f>+INDEX(PWP!$A:$Z,MATCH('PWP-Print'!E896,PWP!$B:$B,0),MATCH("PWP Ability 1",PWP!$A$1:$Z$1,0))</f>
        <v>Defense +20%</v>
      </c>
      <c r="K896" s="249" t="str">
        <f>+INDEX(PWP!$A:$Z,MATCH('PWP-Print'!E896,PWP!$B:$B,0),MATCH("Locked PWP Ability 1",PWP!$A$1:$Z$1,0))</f>
        <v>(Shadow) Defense +20%</v>
      </c>
      <c r="M896" s="729" t="e" vm="1463">
        <f>_xlfn.IMAGE("https://natalie.tf/wp-content/uploads/2023/11/DLV3_Icon_DRA_Custom_Beast_Tartarus.png")</f>
        <v>#VALUE!</v>
      </c>
      <c r="O896" s="249" t="str">
        <f>"PWP-"&amp;B898</f>
        <v>PWP-441</v>
      </c>
      <c r="Q896" s="249" t="str">
        <f>+INDEX(PWP!$A:$Z,MATCH('PWP-Print'!O896,PWP!$B:$B,0),MATCH("Title",PWP!$A$1:$Z$1,0))</f>
        <v>Jaws of Destruction</v>
      </c>
      <c r="S896" t="e" vm="601">
        <f>_xlfn.IMAGE("https://natalie.tf/wp-content/uploads/2023/10/DLV3_Icon_Ability_"&amp;INDEX('PWP-A'!$A$2:$C$31,MATCH('PWP-Print'!T896,'PWP-A'!$B$2:$B$31,0),1)&amp;".png")</f>
        <v>#VALUE!</v>
      </c>
      <c r="T896" s="229" t="str">
        <f>+INDEX(PWP!$A:$Z,MATCH('PWP-Print'!O896,PWP!$B:$B,0),MATCH("PWP Ability 1",PWP!$A$1:$Z$1,0))</f>
        <v>Dragon Haste +15%</v>
      </c>
      <c r="U896" s="249" t="str">
        <f>+INDEX(PWP!$A:$Z,MATCH('PWP-Print'!O896,PWP!$B:$B,0),MATCH("Locked PWP Ability 1",PWP!$A$1:$Z$1,0))</f>
        <v>(Shadow) Dragon Haste +15%</v>
      </c>
    </row>
    <row r="897" spans="1:21" ht="22.5" customHeight="1" x14ac:dyDescent="0.3">
      <c r="C897" s="729"/>
      <c r="D897" s="8"/>
      <c r="E897" s="200" t="str">
        <f>+INDEX(PWP!$A:$Z,MATCH('PWP-Print'!E896,PWP!$B:$B,0),MATCH("ID",PWP!$A$1:$Z$1,0))</f>
        <v>210045_01</v>
      </c>
      <c r="F897" s="8"/>
      <c r="G897" s="249" t="str">
        <f>+INDEX(PWP!$A:$Z,MATCH('PWP-Print'!E896,PWP!$B:$B,0),MATCH("Name",PWP!$A$1:$Z$1,0))</f>
        <v>Phantom</v>
      </c>
      <c r="H897" s="8"/>
      <c r="I897" t="e" vm="802">
        <f>_xlfn.IMAGE("https://natalie.tf/wp-content/uploads/2023/10/DLV3_Icon_Ability_"&amp;INDEX('PWP-A'!$A$2:$C$31,MATCH('PWP-Print'!J897,'PWP-A'!$B$2:$B$31,0),1)&amp;".png")</f>
        <v>#VALUE!</v>
      </c>
      <c r="J897" s="229" t="str">
        <f>+INDEX(PWP!$A:$Z,MATCH('PWP-Print'!E896,PWP!$B:$B,0),MATCH("PWP Ability 2",PWP!$A$1:$Z$1,0))</f>
        <v>HP 70% = Shield +40%</v>
      </c>
      <c r="K897" s="249" t="str">
        <f>+INDEX(PWP!$A:$Z,MATCH('PWP-Print'!E896,PWP!$B:$B,0),MATCH("Locked PWP Ability 2",PWP!$A$1:$Z$1,0))</f>
        <v>(Shadow) HP 70% = Shield +40%</v>
      </c>
      <c r="M897" s="729"/>
      <c r="N897" s="8"/>
      <c r="O897" s="200" t="str">
        <f>+INDEX(PWP!$A:$Z,MATCH('PWP-Print'!O896,PWP!$B:$B,0),MATCH("ID",PWP!$A$1:$Z$1,0))</f>
        <v>N/A</v>
      </c>
      <c r="P897" s="8"/>
      <c r="Q897" s="249" t="str">
        <f>+INDEX(PWP!$A:$Z,MATCH('PWP-Print'!O896,PWP!$B:$B,0),MATCH("Name",PWP!$A$1:$Z$1,0))</f>
        <v>Gala Beast Tartarus</v>
      </c>
      <c r="R897" s="8"/>
      <c r="S897" t="e" vm="14">
        <f>_xlfn.IMAGE("https://natalie.tf/wp-content/uploads/2023/10/DLV3_Icon_Ability_"&amp;INDEX('PWP-A'!$A$2:$C$31,MATCH('PWP-Print'!T897,'PWP-A'!$B$2:$B$31,0),1)&amp;".png")</f>
        <v>#VALUE!</v>
      </c>
      <c r="T897" s="229" t="str">
        <f>+INDEX(PWP!$A:$Z,MATCH('PWP-Print'!O896,PWP!$B:$B,0),MATCH("PWP Ability 2",PWP!$A$1:$Z$1,0))</f>
        <v>Strength +20%</v>
      </c>
      <c r="U897" s="249" t="str">
        <f>+INDEX(PWP!$A:$Z,MATCH('PWP-Print'!O896,PWP!$B:$B,0),MATCH("Locked PWP Ability 2",PWP!$A$1:$Z$1,0))</f>
        <v>(Shadow) Strength +20%</v>
      </c>
    </row>
    <row r="898" spans="1:21" ht="22.5" customHeight="1" x14ac:dyDescent="0.3">
      <c r="A898" s="244" t="str">
        <f>TEXT(A894+1,"000")</f>
        <v>428</v>
      </c>
      <c r="B898" s="244" t="str">
        <f>TEXT(B894+1,"000")</f>
        <v>441</v>
      </c>
      <c r="C898" s="729"/>
      <c r="E898" s="251" t="str">
        <f>+INDEX(PWP!$A:$Z,MATCH('PWP-Print'!E896,PWP!$B:$B,0),MATCH("Num",PWP!$A$1:$Z$1,0))</f>
        <v>D-123</v>
      </c>
      <c r="G898" s="249" t="str">
        <f>+INDEX(PWP!$A:$Z,MATCH('PWP-Print'!E896,PWP!$B:$B,0),MATCH("Element",PWP!$A$1:$Z$1,0))&amp;" "&amp;INDEX(PWP!$A:$Z,MATCH('PWP-Print'!E896,PWP!$B:$B,0),MATCH("Type",PWP!$A$1:$Z$1,0))</f>
        <v>Shadow Dragon</v>
      </c>
      <c r="K898" s="250"/>
      <c r="M898" s="729"/>
      <c r="O898" s="251" t="str">
        <f>+INDEX(PWP!$A:$Z,MATCH('PWP-Print'!O896,PWP!$B:$B,0),MATCH("Num",PWP!$A$1:$Z$1,0))</f>
        <v>DN-003</v>
      </c>
      <c r="Q898" s="249" t="str">
        <f>+INDEX(PWP!$A:$Z,MATCH('PWP-Print'!O896,PWP!$B:$B,0),MATCH("Element",PWP!$A$1:$Z$1,0))&amp;" "&amp;INDEX(PWP!$A:$Z,MATCH('PWP-Print'!O896,PWP!$B:$B,0),MATCH("Type",PWP!$A$1:$Z$1,0))</f>
        <v>Shadow Dragon</v>
      </c>
      <c r="U898" s="250"/>
    </row>
    <row r="899" spans="1:21" ht="7.5" customHeight="1" x14ac:dyDescent="0.3">
      <c r="A899" s="244" t="s">
        <v>10763</v>
      </c>
      <c r="E899" s="250"/>
      <c r="G899" s="250"/>
      <c r="K899" s="250"/>
      <c r="O899" s="250"/>
      <c r="Q899" s="250"/>
      <c r="U899" s="250"/>
    </row>
    <row r="900" spans="1:21" ht="22.5" customHeight="1" x14ac:dyDescent="0.3">
      <c r="C900" s="729" t="e" vm="1464">
        <f>_xlfn.IMAGE("https://natalie.tf/wp-content/uploads/2023/10/DLV3_Icon_DRA_"&amp;E901&amp;".png")</f>
        <v>#VALUE!</v>
      </c>
      <c r="E900" s="249" t="str">
        <f>"PWP-"&amp;A902</f>
        <v>PWP-429</v>
      </c>
      <c r="G900" s="249" t="str">
        <f>+INDEX(PWP!$A:$Z,MATCH('PWP-Print'!E900,PWP!$B:$B,0),MATCH("Title",PWP!$A$1:$Z$1,0))</f>
        <v>Lord of Shadow</v>
      </c>
      <c r="I900" t="e" vm="382">
        <f>_xlfn.IMAGE("https://natalie.tf/wp-content/uploads/2023/10/DLV3_Icon_Ability_"&amp;INDEX('PWP-A'!$A$2:$C$31,MATCH('PWP-Print'!J900,'PWP-A'!$B$2:$B$31,0),1)&amp;".png")</f>
        <v>#VALUE!</v>
      </c>
      <c r="J900" s="229" t="str">
        <f>+INDEX(PWP!$A:$Z,MATCH('PWP-Print'!E900,PWP!$B:$B,0),MATCH("PWP Ability 1",PWP!$A$1:$Z$1,0))</f>
        <v>Dragon Time +20%</v>
      </c>
      <c r="K900" s="249" t="str">
        <f>+INDEX(PWP!$A:$Z,MATCH('PWP-Print'!E900,PWP!$B:$B,0),MATCH("Locked PWP Ability 1",PWP!$A$1:$Z$1,0))</f>
        <v>(Shadow) Dragon Time +20%</v>
      </c>
      <c r="M900" s="729" t="e" vm="1401">
        <f>_xlfn.IMAGE("https://natalie.tf/wp-content/uploads/2023/10/DLV3_Icon_DRA_"&amp;O901&amp;".png")</f>
        <v>#VALUE!</v>
      </c>
      <c r="O900" s="249" t="str">
        <f>"PWP-"&amp;B902</f>
        <v>PWP-442</v>
      </c>
      <c r="Q900" s="249" t="str">
        <f>+INDEX(PWP!$A:$Z,MATCH('PWP-Print'!O900,PWP!$B:$B,0),MATCH("Title",PWP!$A$1:$Z$1,0))</f>
        <v>Awakened Windwyrm</v>
      </c>
      <c r="S900" t="e" vm="14">
        <f>_xlfn.IMAGE("https://natalie.tf/wp-content/uploads/2023/10/DLV3_Icon_Ability_"&amp;INDEX('PWP-A'!$A$2:$C$31,MATCH('PWP-Print'!T900,'PWP-A'!$B$2:$B$31,0),1)&amp;".png")</f>
        <v>#VALUE!</v>
      </c>
      <c r="T900" s="229" t="str">
        <f>+INDEX(PWP!$A:$Z,MATCH('PWP-Print'!O900,PWP!$B:$B,0),MATCH("PWP Ability 1",PWP!$A$1:$Z$1,0))</f>
        <v>Dragon Damage +18%</v>
      </c>
      <c r="U900" s="249" t="str">
        <f>+INDEX(PWP!$A:$Z,MATCH('PWP-Print'!O900,PWP!$B:$B,0),MATCH("Locked PWP Ability 1",PWP!$A$1:$Z$1,0))</f>
        <v>(Wind) Dragon Damage +18%</v>
      </c>
    </row>
    <row r="901" spans="1:21" ht="22.5" customHeight="1" x14ac:dyDescent="0.3">
      <c r="C901" s="729"/>
      <c r="D901" s="8"/>
      <c r="E901" s="200" t="str">
        <f>+INDEX(PWP!$A:$Z,MATCH('PWP-Print'!E900,PWP!$B:$B,0),MATCH("ID",PWP!$A$1:$Z$1,0))</f>
        <v>210042_01</v>
      </c>
      <c r="F901" s="8"/>
      <c r="G901" s="249" t="str">
        <f>+INDEX(PWP!$A:$Z,MATCH('PWP-Print'!E900,PWP!$B:$B,0),MATCH("Name",PWP!$A$1:$Z$1,0))</f>
        <v>High Zodiark</v>
      </c>
      <c r="H901" s="8"/>
      <c r="I901" t="e" vm="426">
        <f>_xlfn.IMAGE("https://natalie.tf/wp-content/uploads/2023/10/DLV3_Icon_Ability_"&amp;INDEX('PWP-A'!$A$2:$C$31,MATCH('PWP-Print'!J901,'PWP-A'!$B$2:$B$31,0),1)&amp;".png")</f>
        <v>#VALUE!</v>
      </c>
      <c r="J901" s="229" t="str">
        <f>+INDEX(PWP!$A:$Z,MATCH('PWP-Print'!E900,PWP!$B:$B,0),MATCH("PWP Ability 2",PWP!$A$1:$Z$1,0))</f>
        <v>Defense +20%</v>
      </c>
      <c r="K901" s="249" t="str">
        <f>+INDEX(PWP!$A:$Z,MATCH('PWP-Print'!E900,PWP!$B:$B,0),MATCH("Locked PWP Ability 2",PWP!$A$1:$Z$1,0))</f>
        <v>(Shadow) Defense +20%</v>
      </c>
      <c r="M901" s="729"/>
      <c r="N901" s="8"/>
      <c r="O901" s="200" t="str">
        <f>+INDEX(PWP!$A:$Z,MATCH('PWP-Print'!O900,PWP!$B:$B,0),MATCH("ID",PWP!$A$1:$Z$1,0))</f>
        <v>210131_01</v>
      </c>
      <c r="P901" s="8"/>
      <c r="Q901" s="249" t="str">
        <f>+INDEX(PWP!$A:$Z,MATCH('PWP-Print'!O900,PWP!$B:$B,0),MATCH("Name",PWP!$A$1:$Z$1,0))</f>
        <v>Primal Midgardsormr</v>
      </c>
      <c r="R901" s="8"/>
      <c r="S901" t="e" vm="14">
        <f>_xlfn.IMAGE("https://natalie.tf/wp-content/uploads/2023/10/DLV3_Icon_Ability_"&amp;INDEX('PWP-A'!$A$2:$C$31,MATCH('PWP-Print'!T901,'PWP-A'!$B$2:$B$31,0),1)&amp;".png")</f>
        <v>#VALUE!</v>
      </c>
      <c r="T901" s="229" t="str">
        <f>+INDEX(PWP!$A:$Z,MATCH('PWP-Print'!O900,PWP!$B:$B,0),MATCH("PWP Ability 2",PWP!$A$1:$Z$1,0))</f>
        <v>Strength +20%</v>
      </c>
      <c r="U901" s="249" t="str">
        <f>+INDEX(PWP!$A:$Z,MATCH('PWP-Print'!O900,PWP!$B:$B,0),MATCH("Locked PWP Ability 2",PWP!$A$1:$Z$1,0))</f>
        <v>(Wind) Strength +20%</v>
      </c>
    </row>
    <row r="902" spans="1:21" ht="22.5" customHeight="1" x14ac:dyDescent="0.3">
      <c r="A902" s="244" t="str">
        <f>TEXT(A898+1,"000")</f>
        <v>429</v>
      </c>
      <c r="B902" s="244" t="str">
        <f>TEXT(B898+1,"000")</f>
        <v>442</v>
      </c>
      <c r="C902" s="729"/>
      <c r="E902" s="251" t="str">
        <f>+INDEX(PWP!$A:$Z,MATCH('PWP-Print'!E900,PWP!$B:$B,0),MATCH("Num",PWP!$A$1:$Z$1,0))</f>
        <v>D-124</v>
      </c>
      <c r="G902" s="249" t="str">
        <f>+INDEX(PWP!$A:$Z,MATCH('PWP-Print'!E900,PWP!$B:$B,0),MATCH("Element",PWP!$A$1:$Z$1,0))&amp;" "&amp;INDEX(PWP!$A:$Z,MATCH('PWP-Print'!E900,PWP!$B:$B,0),MATCH("Type",PWP!$A$1:$Z$1,0))</f>
        <v>Shadow Dragon</v>
      </c>
      <c r="K902" s="250"/>
      <c r="M902" s="729"/>
      <c r="O902" s="251" t="str">
        <f>+INDEX(PWP!$A:$Z,MATCH('PWP-Print'!O900,PWP!$B:$B,0),MATCH("Num",PWP!$A$1:$Z$1,0))</f>
        <v>DN-004</v>
      </c>
      <c r="Q902" s="249" t="str">
        <f>+INDEX(PWP!$A:$Z,MATCH('PWP-Print'!O900,PWP!$B:$B,0),MATCH("Element",PWP!$A$1:$Z$1,0))&amp;" "&amp;INDEX(PWP!$A:$Z,MATCH('PWP-Print'!O900,PWP!$B:$B,0),MATCH("Type",PWP!$A$1:$Z$1,0))</f>
        <v>Wind Dragon</v>
      </c>
      <c r="U902" s="250"/>
    </row>
    <row r="903" spans="1:21" ht="7.5" customHeight="1" x14ac:dyDescent="0.3">
      <c r="A903" s="244" t="s">
        <v>10763</v>
      </c>
      <c r="E903" s="250"/>
      <c r="G903" s="250"/>
      <c r="K903" s="250"/>
      <c r="O903" s="250"/>
      <c r="Q903" s="250"/>
      <c r="U903" s="250"/>
    </row>
    <row r="904" spans="1:21" ht="22.5" customHeight="1" x14ac:dyDescent="0.3">
      <c r="C904" s="729" t="e" vm="1465">
        <f>_xlfn.IMAGE("https://natalie.tf/wp-content/uploads/2023/10/DLV3_Icon_DRA_"&amp;E905&amp;".png")</f>
        <v>#VALUE!</v>
      </c>
      <c r="E904" s="249" t="str">
        <f>"PWP-"&amp;A906</f>
        <v>PWP-430</v>
      </c>
      <c r="G904" s="249" t="str">
        <f>+INDEX(PWP!$A:$Z,MATCH('PWP-Print'!E904,PWP!$B:$B,0),MATCH("Title",PWP!$A$1:$Z$1,0))</f>
        <v>Death's Reveler</v>
      </c>
      <c r="I904" t="e" vm="14">
        <f>_xlfn.IMAGE("https://natalie.tf/wp-content/uploads/2023/10/DLV3_Icon_Ability_"&amp;INDEX('PWP-A'!$A$2:$C$31,MATCH('PWP-Print'!J904,'PWP-A'!$B$2:$B$31,0),1)&amp;".png")</f>
        <v>#VALUE!</v>
      </c>
      <c r="J904" s="229" t="str">
        <f>+INDEX(PWP!$A:$Z,MATCH('PWP-Print'!E904,PWP!$B:$B,0),MATCH("PWP Ability 1",PWP!$A$1:$Z$1,0))</f>
        <v>Dragon Damage +18%</v>
      </c>
      <c r="K904" s="249" t="str">
        <f>+INDEX(PWP!$A:$Z,MATCH('PWP-Print'!E904,PWP!$B:$B,0),MATCH("Locked PWP Ability 1",PWP!$A$1:$Z$1,0))</f>
        <v>(Shadow) Dragon Damage +18%</v>
      </c>
      <c r="M904" s="729" t="e" vm="1466">
        <f>_xlfn.IMAGE("https://natalie.tf/wp-content/uploads/2023/11/DLV3_Icon_DRA_Custom_Primal_Mercury.png")</f>
        <v>#VALUE!</v>
      </c>
      <c r="O904" s="249" t="str">
        <f>"PWP-"&amp;B906</f>
        <v>PWP-443</v>
      </c>
      <c r="Q904" s="249" t="str">
        <f>+INDEX(PWP!$A:$Z,MATCH('PWP-Print'!O904,PWP!$B:$B,0),MATCH("Title",PWP!$A$1:$Z$1,0))</f>
        <v>Awakened Waterwyrm</v>
      </c>
      <c r="S904" t="e" vm="14">
        <f>_xlfn.IMAGE("https://natalie.tf/wp-content/uploads/2023/10/DLV3_Icon_Ability_"&amp;INDEX('PWP-A'!$A$2:$C$31,MATCH('PWP-Print'!T904,'PWP-A'!$B$2:$B$31,0),1)&amp;".png")</f>
        <v>#VALUE!</v>
      </c>
      <c r="T904" s="229" t="str">
        <f>+INDEX(PWP!$A:$Z,MATCH('PWP-Print'!O904,PWP!$B:$B,0),MATCH("PWP Ability 1",PWP!$A$1:$Z$1,0))</f>
        <v>Dragon Damage +18%</v>
      </c>
      <c r="U904" s="249" t="str">
        <f>+INDEX(PWP!$A:$Z,MATCH('PWP-Print'!O904,PWP!$B:$B,0),MATCH("Locked PWP Ability 1",PWP!$A$1:$Z$1,0))</f>
        <v>(Water) Dragon Damage +18%</v>
      </c>
    </row>
    <row r="905" spans="1:21" ht="22.5" customHeight="1" x14ac:dyDescent="0.3">
      <c r="C905" s="729"/>
      <c r="D905" s="8"/>
      <c r="E905" s="200" t="str">
        <f>+INDEX(PWP!$A:$Z,MATCH('PWP-Print'!E904,PWP!$B:$B,0),MATCH("ID",PWP!$A$1:$Z$1,0))</f>
        <v>210019_01</v>
      </c>
      <c r="F905" s="8"/>
      <c r="G905" s="249" t="str">
        <f>+INDEX(PWP!$A:$Z,MATCH('PWP-Print'!E904,PWP!$B:$B,0),MATCH("Name",PWP!$A$1:$Z$1,0))</f>
        <v>Nidhogg</v>
      </c>
      <c r="H905" s="8"/>
      <c r="I905" t="e" vm="496">
        <f>_xlfn.IMAGE("https://natalie.tf/wp-content/uploads/2023/10/DLV3_Icon_Ability_"&amp;INDEX('PWP-A'!$A$2:$C$31,MATCH('PWP-Print'!J905,'PWP-A'!$B$2:$B$31,0),1)&amp;".png")</f>
        <v>#VALUE!</v>
      </c>
      <c r="J905" s="229" t="str">
        <f>+INDEX(PWP!$A:$Z,MATCH('PWP-Print'!E904,PWP!$B:$B,0),MATCH("PWP Ability 2",PWP!$A$1:$Z$1,0))</f>
        <v>HP +15%</v>
      </c>
      <c r="K905" s="249" t="str">
        <f>+INDEX(PWP!$A:$Z,MATCH('PWP-Print'!E904,PWP!$B:$B,0),MATCH("Locked PWP Ability 2",PWP!$A$1:$Z$1,0))</f>
        <v>(Shadow) HP +15%</v>
      </c>
      <c r="M905" s="729"/>
      <c r="N905" s="8"/>
      <c r="O905" s="200" t="str">
        <f>+INDEX(PWP!$A:$Z,MATCH('PWP-Print'!O904,PWP!$B:$B,0),MATCH("ID",PWP!$A$1:$Z$1,0))</f>
        <v>120247_01</v>
      </c>
      <c r="P905" s="8"/>
      <c r="Q905" s="249" t="str">
        <f>+INDEX(PWP!$A:$Z,MATCH('PWP-Print'!O904,PWP!$B:$B,0),MATCH("Name",PWP!$A$1:$Z$1,0))</f>
        <v>Primal Mercury</v>
      </c>
      <c r="R905" s="8"/>
      <c r="S905" t="e" vm="14">
        <f>_xlfn.IMAGE("https://natalie.tf/wp-content/uploads/2023/10/DLV3_Icon_Ability_"&amp;INDEX('PWP-A'!$A$2:$C$31,MATCH('PWP-Print'!T905,'PWP-A'!$B$2:$B$31,0),1)&amp;".png")</f>
        <v>#VALUE!</v>
      </c>
      <c r="T905" s="229" t="str">
        <f>+INDEX(PWP!$A:$Z,MATCH('PWP-Print'!O904,PWP!$B:$B,0),MATCH("PWP Ability 2",PWP!$A$1:$Z$1,0))</f>
        <v>Strength +20%</v>
      </c>
      <c r="U905" s="249" t="str">
        <f>+INDEX(PWP!$A:$Z,MATCH('PWP-Print'!O904,PWP!$B:$B,0),MATCH("Locked PWP Ability 2",PWP!$A$1:$Z$1,0))</f>
        <v>(Water) Strength +20%</v>
      </c>
    </row>
    <row r="906" spans="1:21" ht="22.5" customHeight="1" x14ac:dyDescent="0.3">
      <c r="A906" s="244" t="str">
        <f>TEXT(A902+1,"000")</f>
        <v>430</v>
      </c>
      <c r="B906" s="244" t="str">
        <f>TEXT(B902+1,"000")</f>
        <v>443</v>
      </c>
      <c r="C906" s="729"/>
      <c r="E906" s="251" t="str">
        <f>+INDEX(PWP!$A:$Z,MATCH('PWP-Print'!E904,PWP!$B:$B,0),MATCH("Num",PWP!$A$1:$Z$1,0))</f>
        <v>D-125</v>
      </c>
      <c r="G906" s="249" t="str">
        <f>+INDEX(PWP!$A:$Z,MATCH('PWP-Print'!E904,PWP!$B:$B,0),MATCH("Element",PWP!$A$1:$Z$1,0))&amp;" "&amp;INDEX(PWP!$A:$Z,MATCH('PWP-Print'!E904,PWP!$B:$B,0),MATCH("Type",PWP!$A$1:$Z$1,0))</f>
        <v>Shadow Dragon</v>
      </c>
      <c r="K906" s="250"/>
      <c r="M906" s="729"/>
      <c r="O906" s="251" t="str">
        <f>+INDEX(PWP!$A:$Z,MATCH('PWP-Print'!O904,PWP!$B:$B,0),MATCH("Num",PWP!$A$1:$Z$1,0))</f>
        <v>DN-005</v>
      </c>
      <c r="Q906" s="249" t="str">
        <f>+INDEX(PWP!$A:$Z,MATCH('PWP-Print'!O904,PWP!$B:$B,0),MATCH("Element",PWP!$A$1:$Z$1,0))&amp;" "&amp;INDEX(PWP!$A:$Z,MATCH('PWP-Print'!O904,PWP!$B:$B,0),MATCH("Type",PWP!$A$1:$Z$1,0))</f>
        <v>Water Dragon</v>
      </c>
      <c r="U906" s="250"/>
    </row>
    <row r="907" spans="1:21" ht="7.5" customHeight="1" x14ac:dyDescent="0.3">
      <c r="A907" s="244" t="s">
        <v>10763</v>
      </c>
      <c r="E907" s="250"/>
      <c r="G907" s="250"/>
      <c r="K907" s="250"/>
      <c r="O907" s="250"/>
      <c r="Q907" s="250"/>
      <c r="U907" s="250"/>
    </row>
    <row r="908" spans="1:21" ht="22.5" customHeight="1" x14ac:dyDescent="0.3">
      <c r="C908" s="729" t="e" vm="1467">
        <f>_xlfn.IMAGE("https://natalie.tf/wp-content/uploads/2023/10/DLV3_Icon_DRA_"&amp;E909&amp;".png")</f>
        <v>#VALUE!</v>
      </c>
      <c r="E908" s="249" t="str">
        <f>"PWP-"&amp;A910</f>
        <v>PWP-431</v>
      </c>
      <c r="G908" s="249" t="str">
        <f>+INDEX(PWP!$A:$Z,MATCH('PWP-Print'!E908,PWP!$B:$B,0),MATCH("Title",PWP!$A$1:$Z$1,0))</f>
        <v>Silver Sidekick</v>
      </c>
      <c r="I908" t="e" vm="426">
        <f>_xlfn.IMAGE("https://natalie.tf/wp-content/uploads/2023/10/DLV3_Icon_Ability_"&amp;INDEX('PWP-A'!$A$2:$C$31,MATCH('PWP-Print'!J908,'PWP-A'!$B$2:$B$31,0),1)&amp;".png")</f>
        <v>#VALUE!</v>
      </c>
      <c r="J908" s="229" t="str">
        <f>+INDEX(PWP!$A:$Z,MATCH('PWP-Print'!E908,PWP!$B:$B,0),MATCH("PWP Ability 1",PWP!$A$1:$Z$1,0))</f>
        <v>Defense +20%</v>
      </c>
      <c r="K908" s="249" t="str">
        <f>+INDEX(PWP!$A:$Z,MATCH('PWP-Print'!E908,PWP!$B:$B,0),MATCH("Locked PWP Ability 1",PWP!$A$1:$Z$1,0))</f>
        <v>(Shadow) Defense +20%</v>
      </c>
      <c r="M908" s="729" t="e" vm="1468">
        <f>_xlfn.IMAGE("https://natalie.tf/wp-content/uploads/2023/11/DLV3_Icon_DRA_Custom_Primal_Jupiter.png")</f>
        <v>#VALUE!</v>
      </c>
      <c r="O908" s="249" t="str">
        <f>"PWP-"&amp;B910</f>
        <v>PWP-444</v>
      </c>
      <c r="Q908" s="249" t="str">
        <f>+INDEX(PWP!$A:$Z,MATCH('PWP-Print'!O908,PWP!$B:$B,0),MATCH("Title",PWP!$A$1:$Z$1,0))</f>
        <v>Awakened Lightwyrm</v>
      </c>
      <c r="S908" t="e" vm="14">
        <f>_xlfn.IMAGE("https://natalie.tf/wp-content/uploads/2023/10/DLV3_Icon_Ability_"&amp;INDEX('PWP-A'!$A$2:$C$31,MATCH('PWP-Print'!T908,'PWP-A'!$B$2:$B$31,0),1)&amp;".png")</f>
        <v>#VALUE!</v>
      </c>
      <c r="T908" s="229" t="str">
        <f>+INDEX(PWP!$A:$Z,MATCH('PWP-Print'!O908,PWP!$B:$B,0),MATCH("PWP Ability 1",PWP!$A$1:$Z$1,0))</f>
        <v>Dragon Damage +18%</v>
      </c>
      <c r="U908" s="249" t="str">
        <f>+INDEX(PWP!$A:$Z,MATCH('PWP-Print'!O908,PWP!$B:$B,0),MATCH("Locked PWP Ability 1",PWP!$A$1:$Z$1,0))</f>
        <v>(Light) Dragon Damage +18%</v>
      </c>
    </row>
    <row r="909" spans="1:21" ht="22.5" customHeight="1" x14ac:dyDescent="0.3">
      <c r="C909" s="729"/>
      <c r="D909" s="8"/>
      <c r="E909" s="200" t="str">
        <f>+INDEX(PWP!$A:$Z,MATCH('PWP-Print'!E908,PWP!$B:$B,0),MATCH("ID",PWP!$A$1:$Z$1,0))</f>
        <v>210090_01</v>
      </c>
      <c r="F909" s="8"/>
      <c r="G909" s="249" t="str">
        <f>+INDEX(PWP!$A:$Z,MATCH('PWP-Print'!E908,PWP!$B:$B,0),MATCH("Name",PWP!$A$1:$Z$1,0))</f>
        <v>Silver Fafnir</v>
      </c>
      <c r="H909" s="8"/>
      <c r="I909" t="e" vm="349">
        <f>_xlfn.IMAGE("https://natalie.tf/wp-content/uploads/2023/10/DLV3_Icon_Ability_"&amp;INDEX('PWP-A'!$A$2:$C$31,MATCH('PWP-Print'!J909,'PWP-A'!$B$2:$B$31,0),1)&amp;".png")</f>
        <v>#VALUE!</v>
      </c>
      <c r="J909" s="229" t="str">
        <f>+INDEX(PWP!$A:$Z,MATCH('PWP-Print'!E908,PWP!$B:$B,0),MATCH("PWP Ability 2",PWP!$A$1:$Z$1,0))</f>
        <v>Recovery Potency +20%</v>
      </c>
      <c r="K909" s="249" t="str">
        <f>+INDEX(PWP!$A:$Z,MATCH('PWP-Print'!E908,PWP!$B:$B,0),MATCH("Locked PWP Ability 2",PWP!$A$1:$Z$1,0))</f>
        <v>(Shadow) Recovery Potency +20%</v>
      </c>
      <c r="M909" s="729"/>
      <c r="N909" s="8"/>
      <c r="O909" s="200" t="str">
        <f>+INDEX(PWP!$A:$Z,MATCH('PWP-Print'!O908,PWP!$B:$B,0),MATCH("ID",PWP!$A$1:$Z$1,0))</f>
        <v>120248_01</v>
      </c>
      <c r="P909" s="8"/>
      <c r="Q909" s="249" t="str">
        <f>+INDEX(PWP!$A:$Z,MATCH('PWP-Print'!O908,PWP!$B:$B,0),MATCH("Name",PWP!$A$1:$Z$1,0))</f>
        <v>Primal Jupiter</v>
      </c>
      <c r="R909" s="8"/>
      <c r="S909" t="e" vm="14">
        <f>_xlfn.IMAGE("https://natalie.tf/wp-content/uploads/2023/10/DLV3_Icon_Ability_"&amp;INDEX('PWP-A'!$A$2:$C$31,MATCH('PWP-Print'!T909,'PWP-A'!$B$2:$B$31,0),1)&amp;".png")</f>
        <v>#VALUE!</v>
      </c>
      <c r="T909" s="229" t="str">
        <f>+INDEX(PWP!$A:$Z,MATCH('PWP-Print'!O908,PWP!$B:$B,0),MATCH("PWP Ability 2",PWP!$A$1:$Z$1,0))</f>
        <v>Strength +20%</v>
      </c>
      <c r="U909" s="249" t="str">
        <f>+INDEX(PWP!$A:$Z,MATCH('PWP-Print'!O908,PWP!$B:$B,0),MATCH("Locked PWP Ability 2",PWP!$A$1:$Z$1,0))</f>
        <v>(Light) Strength +20%</v>
      </c>
    </row>
    <row r="910" spans="1:21" ht="22.5" customHeight="1" x14ac:dyDescent="0.3">
      <c r="A910" s="244" t="str">
        <f>TEXT(A906+1,"000")</f>
        <v>431</v>
      </c>
      <c r="B910" s="244" t="str">
        <f>TEXT(B906+1,"000")</f>
        <v>444</v>
      </c>
      <c r="C910" s="729"/>
      <c r="E910" s="251" t="str">
        <f>+INDEX(PWP!$A:$Z,MATCH('PWP-Print'!E908,PWP!$B:$B,0),MATCH("Num",PWP!$A$1:$Z$1,0))</f>
        <v>D-126</v>
      </c>
      <c r="G910" s="249" t="str">
        <f>+INDEX(PWP!$A:$Z,MATCH('PWP-Print'!E908,PWP!$B:$B,0),MATCH("Element",PWP!$A$1:$Z$1,0))&amp;" "&amp;INDEX(PWP!$A:$Z,MATCH('PWP-Print'!E908,PWP!$B:$B,0),MATCH("Type",PWP!$A$1:$Z$1,0))</f>
        <v>Shadow Dragon</v>
      </c>
      <c r="K910" s="250"/>
      <c r="M910" s="729"/>
      <c r="O910" s="251" t="str">
        <f>+INDEX(PWP!$A:$Z,MATCH('PWP-Print'!O908,PWP!$B:$B,0),MATCH("Num",PWP!$A$1:$Z$1,0))</f>
        <v>DN-006</v>
      </c>
      <c r="Q910" s="249" t="str">
        <f>+INDEX(PWP!$A:$Z,MATCH('PWP-Print'!O908,PWP!$B:$B,0),MATCH("Element",PWP!$A$1:$Z$1,0))&amp;" "&amp;INDEX(PWP!$A:$Z,MATCH('PWP-Print'!O908,PWP!$B:$B,0),MATCH("Type",PWP!$A$1:$Z$1,0))</f>
        <v>Light Dragon</v>
      </c>
      <c r="U910" s="250"/>
    </row>
    <row r="911" spans="1:21" ht="7.5" customHeight="1" x14ac:dyDescent="0.3">
      <c r="A911" s="244" t="s">
        <v>10763</v>
      </c>
      <c r="E911" s="250"/>
      <c r="G911" s="250"/>
      <c r="K911" s="250"/>
      <c r="O911" s="250"/>
      <c r="Q911" s="250"/>
      <c r="U911" s="250"/>
    </row>
    <row r="912" spans="1:21" ht="22.5" customHeight="1" x14ac:dyDescent="0.3">
      <c r="C912" s="729" t="e" vm="1469">
        <f>_xlfn.IMAGE("https://natalie.tf/wp-content/uploads/2023/10/DLV3_Icon_DRA_"&amp;E913&amp;".png")</f>
        <v>#VALUE!</v>
      </c>
      <c r="E912" s="249" t="str">
        <f>"PWP-"&amp;A914</f>
        <v>PWP-432</v>
      </c>
      <c r="G912" s="249" t="str">
        <f>+INDEX(PWP!$A:$Z,MATCH('PWP-Print'!E912,PWP!$B:$B,0),MATCH("Title",PWP!$A$1:$Z$1,0))</f>
        <v>Bronze Buddy</v>
      </c>
      <c r="I912" t="e" vm="1045">
        <f>_xlfn.IMAGE("https://natalie.tf/wp-content/uploads/2023/10/DLV3_Icon_Ability_"&amp;INDEX('PWP-A'!$A$2:$C$31,MATCH('PWP-Print'!J912,'PWP-A'!$B$2:$B$31,0),1)&amp;".png")</f>
        <v>#VALUE!</v>
      </c>
      <c r="J912" s="229" t="str">
        <f>+INDEX(PWP!$A:$Z,MATCH('PWP-Print'!E912,PWP!$B:$B,0),MATCH("PWP Ability 1",PWP!$A$1:$Z$1,0))</f>
        <v>Attack Rate +20%</v>
      </c>
      <c r="K912" s="249" t="str">
        <f>+INDEX(PWP!$A:$Z,MATCH('PWP-Print'!E912,PWP!$B:$B,0),MATCH("Locked PWP Ability 1",PWP!$A$1:$Z$1,0))</f>
        <v>(Shadow) Attack Rate +20%</v>
      </c>
      <c r="M912" s="729" t="e" vm="1470">
        <f>_xlfn.IMAGE("https://natalie.tf/wp-content/uploads/2023/11/DLV3_Icon_DRA_Custom_Primal_Zodiark.png")</f>
        <v>#VALUE!</v>
      </c>
      <c r="O912" s="249" t="str">
        <f>"PWP-"&amp;B914</f>
        <v>PWP-445</v>
      </c>
      <c r="Q912" s="249" t="str">
        <f>+INDEX(PWP!$A:$Z,MATCH('PWP-Print'!O912,PWP!$B:$B,0),MATCH("Title",PWP!$A$1:$Z$1,0))</f>
        <v>Awakened Shadowwyrm</v>
      </c>
      <c r="S912" t="e" vm="14">
        <f>_xlfn.IMAGE("https://natalie.tf/wp-content/uploads/2023/10/DLV3_Icon_Ability_"&amp;INDEX('PWP-A'!$A$2:$C$31,MATCH('PWP-Print'!T912,'PWP-A'!$B$2:$B$31,0),1)&amp;".png")</f>
        <v>#VALUE!</v>
      </c>
      <c r="T912" s="229" t="str">
        <f>+INDEX(PWP!$A:$Z,MATCH('PWP-Print'!O912,PWP!$B:$B,0),MATCH("PWP Ability 1",PWP!$A$1:$Z$1,0))</f>
        <v>Dragon Damage +18%</v>
      </c>
      <c r="U912" s="249" t="str">
        <f>+INDEX(PWP!$A:$Z,MATCH('PWP-Print'!O912,PWP!$B:$B,0),MATCH("Locked PWP Ability 1",PWP!$A$1:$Z$1,0))</f>
        <v>(Shadow) Dragon Damage +18%</v>
      </c>
    </row>
    <row r="913" spans="1:21" ht="22.5" customHeight="1" x14ac:dyDescent="0.3">
      <c r="C913" s="729"/>
      <c r="D913" s="8"/>
      <c r="E913" s="200" t="str">
        <f>+INDEX(PWP!$A:$Z,MATCH('PWP-Print'!E912,PWP!$B:$B,0),MATCH("ID",PWP!$A$1:$Z$1,0))</f>
        <v>210089_01</v>
      </c>
      <c r="F913" s="8"/>
      <c r="G913" s="249" t="str">
        <f>+INDEX(PWP!$A:$Z,MATCH('PWP-Print'!E912,PWP!$B:$B,0),MATCH("Name",PWP!$A$1:$Z$1,0))</f>
        <v>Bronze Fafnir</v>
      </c>
      <c r="H913" s="8"/>
      <c r="I913" t="e" vm="376">
        <f>_xlfn.IMAGE("https://natalie.tf/wp-content/uploads/2023/10/DLV3_Icon_Ability_"&amp;INDEX('PWP-A'!$A$2:$C$31,MATCH('PWP-Print'!J913,'PWP-A'!$B$2:$B$31,0),1)&amp;".png")</f>
        <v>#VALUE!</v>
      </c>
      <c r="J913" s="229" t="str">
        <f>+INDEX(PWP!$A:$Z,MATCH('PWP-Print'!E912,PWP!$B:$B,0),MATCH("PWP Ability 2",PWP!$A$1:$Z$1,0))</f>
        <v>Broken Punisher +30%</v>
      </c>
      <c r="K913" s="249" t="str">
        <f>+INDEX(PWP!$A:$Z,MATCH('PWP-Print'!E912,PWP!$B:$B,0),MATCH("Locked PWP Ability 2",PWP!$A$1:$Z$1,0))</f>
        <v>(Shadow) Broken Punisher +30%</v>
      </c>
      <c r="M913" s="729"/>
      <c r="N913" s="8"/>
      <c r="O913" s="200" t="str">
        <f>+INDEX(PWP!$A:$Z,MATCH('PWP-Print'!O912,PWP!$B:$B,0),MATCH("ID",PWP!$A$1:$Z$1,0))</f>
        <v>120249_01</v>
      </c>
      <c r="P913" s="8"/>
      <c r="Q913" s="249" t="str">
        <f>+INDEX(PWP!$A:$Z,MATCH('PWP-Print'!O912,PWP!$B:$B,0),MATCH("Name",PWP!$A$1:$Z$1,0))</f>
        <v>Primal Zodiark</v>
      </c>
      <c r="R913" s="8"/>
      <c r="S913" t="e" vm="14">
        <f>_xlfn.IMAGE("https://natalie.tf/wp-content/uploads/2023/10/DLV3_Icon_Ability_"&amp;INDEX('PWP-A'!$A$2:$C$31,MATCH('PWP-Print'!T913,'PWP-A'!$B$2:$B$31,0),1)&amp;".png")</f>
        <v>#VALUE!</v>
      </c>
      <c r="T913" s="229" t="str">
        <f>+INDEX(PWP!$A:$Z,MATCH('PWP-Print'!O912,PWP!$B:$B,0),MATCH("PWP Ability 2",PWP!$A$1:$Z$1,0))</f>
        <v>Strength +20%</v>
      </c>
      <c r="U913" s="249" t="str">
        <f>+INDEX(PWP!$A:$Z,MATCH('PWP-Print'!O912,PWP!$B:$B,0),MATCH("Locked PWP Ability 2",PWP!$A$1:$Z$1,0))</f>
        <v>(Shadow) Strength +20%</v>
      </c>
    </row>
    <row r="914" spans="1:21" ht="22.5" customHeight="1" x14ac:dyDescent="0.3">
      <c r="A914" s="244" t="str">
        <f>TEXT(A910+1,"000")</f>
        <v>432</v>
      </c>
      <c r="B914" s="244" t="str">
        <f>TEXT(B910+1,"000")</f>
        <v>445</v>
      </c>
      <c r="C914" s="729"/>
      <c r="E914" s="251" t="str">
        <f>+INDEX(PWP!$A:$Z,MATCH('PWP-Print'!E912,PWP!$B:$B,0),MATCH("Num",PWP!$A$1:$Z$1,0))</f>
        <v>D-127</v>
      </c>
      <c r="G914" s="249" t="str">
        <f>+INDEX(PWP!$A:$Z,MATCH('PWP-Print'!E912,PWP!$B:$B,0),MATCH("Element",PWP!$A$1:$Z$1,0))&amp;" "&amp;INDEX(PWP!$A:$Z,MATCH('PWP-Print'!E912,PWP!$B:$B,0),MATCH("Type",PWP!$A$1:$Z$1,0))</f>
        <v>Shadow Dragon</v>
      </c>
      <c r="K914" s="250"/>
      <c r="M914" s="729"/>
      <c r="O914" s="251" t="str">
        <f>+INDEX(PWP!$A:$Z,MATCH('PWP-Print'!O912,PWP!$B:$B,0),MATCH("Num",PWP!$A$1:$Z$1,0))</f>
        <v>DN-007</v>
      </c>
      <c r="Q914" s="249" t="str">
        <f>+INDEX(PWP!$A:$Z,MATCH('PWP-Print'!O912,PWP!$B:$B,0),MATCH("Element",PWP!$A$1:$Z$1,0))&amp;" "&amp;INDEX(PWP!$A:$Z,MATCH('PWP-Print'!O912,PWP!$B:$B,0),MATCH("Type",PWP!$A$1:$Z$1,0))</f>
        <v>Shadow Dragon</v>
      </c>
      <c r="U914" s="250"/>
    </row>
    <row r="915" spans="1:21" ht="7.5" customHeight="1" x14ac:dyDescent="0.3">
      <c r="A915" s="244" t="s">
        <v>10763</v>
      </c>
      <c r="E915" s="250"/>
      <c r="G915" s="250"/>
      <c r="K915" s="250"/>
      <c r="O915" s="250"/>
      <c r="Q915" s="250"/>
      <c r="U915" s="250"/>
    </row>
    <row r="916" spans="1:21" ht="22.5" customHeight="1" x14ac:dyDescent="0.3">
      <c r="C916" s="729" t="e" vm="1471">
        <f>_xlfn.IMAGE("https://natalie.tf/wp-content/uploads/2023/10/DLV3_Icon_DRA_"&amp;E917&amp;".png")</f>
        <v>#VALUE!</v>
      </c>
      <c r="E916" s="249" t="str">
        <f>"PWP-"&amp;A918</f>
        <v>PWP-433</v>
      </c>
      <c r="G916" s="249" t="str">
        <f>+INDEX(PWP!$A:$Z,MATCH('PWP-Print'!E916,PWP!$B:$B,0),MATCH("Title",PWP!$A$1:$Z$1,0))</f>
        <v>Friend Eternal</v>
      </c>
      <c r="I916" t="e" vm="382">
        <f>_xlfn.IMAGE("https://natalie.tf/wp-content/uploads/2023/10/DLV3_Icon_Ability_"&amp;INDEX('PWP-A'!$A$2:$C$31,MATCH('PWP-Print'!J916,'PWP-A'!$B$2:$B$31,0),1)&amp;".png")</f>
        <v>#VALUE!</v>
      </c>
      <c r="J916" s="229" t="str">
        <f>+INDEX(PWP!$A:$Z,MATCH('PWP-Print'!E916,PWP!$B:$B,0),MATCH("PWP Ability 1",PWP!$A$1:$Z$1,0))</f>
        <v>Dragon Time +20%</v>
      </c>
      <c r="K916" s="249" t="str">
        <f>+INDEX(PWP!$A:$Z,MATCH('PWP-Print'!E916,PWP!$B:$B,0),MATCH("Locked PWP Ability 1",PWP!$A$1:$Z$1,0))</f>
        <v>(Shadow) Dragon Time +20%</v>
      </c>
      <c r="M916" s="729" t="e" vm="1472">
        <f>_xlfn.IMAGE("https://natalie.tf/wp-content/uploads/2023/11/DLV3_Icon_DRA_Custom_Beast_Atlas.png")</f>
        <v>#VALUE!</v>
      </c>
      <c r="O916" s="249" t="str">
        <f>"PWP-"&amp;B918</f>
        <v>PWP-446</v>
      </c>
      <c r="Q916" s="249" t="str">
        <f>+INDEX(PWP!$A:$Z,MATCH('PWP-Print'!O916,PWP!$B:$B,0),MATCH("Title",PWP!$A$1:$Z$1,0))</f>
        <v>Missing Brother</v>
      </c>
      <c r="S916" t="e" vm="601">
        <f>_xlfn.IMAGE("https://natalie.tf/wp-content/uploads/2023/10/DLV3_Icon_Ability_"&amp;INDEX('PWP-A'!$A$2:$C$31,MATCH('PWP-Print'!T916,'PWP-A'!$B$2:$B$31,0),1)&amp;".png")</f>
        <v>#VALUE!</v>
      </c>
      <c r="T916" s="229" t="str">
        <f>+INDEX(PWP!$A:$Z,MATCH('PWP-Print'!O916,PWP!$B:$B,0),MATCH("PWP Ability 1",PWP!$A$1:$Z$1,0))</f>
        <v>Dragon Haste +15%</v>
      </c>
      <c r="U916" s="249" t="str">
        <f>+INDEX(PWP!$A:$Z,MATCH('PWP-Print'!O916,PWP!$B:$B,0),MATCH("Locked PWP Ability 1",PWP!$A$1:$Z$1,0))</f>
        <v>(Water) Dragon Haste +15%</v>
      </c>
    </row>
    <row r="917" spans="1:21" ht="22.5" customHeight="1" x14ac:dyDescent="0.3">
      <c r="C917" s="729"/>
      <c r="D917" s="8"/>
      <c r="E917" s="200" t="str">
        <f>+INDEX(PWP!$A:$Z,MATCH('PWP-Print'!E916,PWP!$B:$B,0),MATCH("ID",PWP!$A$1:$Z$1,0))</f>
        <v>210015_01</v>
      </c>
      <c r="F917" s="8"/>
      <c r="G917" s="249" t="str">
        <f>+INDEX(PWP!$A:$Z,MATCH('PWP-Print'!E916,PWP!$B:$B,0),MATCH("Name",PWP!$A$1:$Z$1,0))</f>
        <v>Silke</v>
      </c>
      <c r="H917" s="8"/>
      <c r="I917" t="e" vm="688">
        <f>_xlfn.IMAGE("https://natalie.tf/wp-content/uploads/2023/10/DLV3_Icon_Ability_"&amp;INDEX('PWP-A'!$A$2:$C$31,MATCH('PWP-Print'!J917,'PWP-A'!$B$2:$B$31,0),1)&amp;".png")</f>
        <v>#VALUE!</v>
      </c>
      <c r="J917" s="229" t="str">
        <f>+INDEX(PWP!$A:$Z,MATCH('PWP-Print'!E916,PWP!$B:$B,0),MATCH("PWP Ability 2",PWP!$A$1:$Z$1,0))</f>
        <v>Overdrive Punisher +15%</v>
      </c>
      <c r="K917" s="179" t="str">
        <f>+INDEX(PWP!$A:$Z,MATCH('PWP-Print'!E916,PWP!$B:$B,0),MATCH("Locked PWP Ability 2",PWP!$A$1:$Z$1,0))</f>
        <v>(Shadow) Overdrive Punisher +15%</v>
      </c>
      <c r="M917" s="729"/>
      <c r="N917" s="8"/>
      <c r="O917" s="200" t="str">
        <f>+INDEX(PWP!$A:$Z,MATCH('PWP-Print'!O916,PWP!$B:$B,0),MATCH("ID",PWP!$A$1:$Z$1,0))</f>
        <v>N/A</v>
      </c>
      <c r="P917" s="8"/>
      <c r="Q917" s="249" t="str">
        <f>+INDEX(PWP!$A:$Z,MATCH('PWP-Print'!O916,PWP!$B:$B,0),MATCH("Name",PWP!$A$1:$Z$1,0))</f>
        <v>Atlas</v>
      </c>
      <c r="R917" s="8"/>
      <c r="S917" t="e" vm="696">
        <f>_xlfn.IMAGE("https://natalie.tf/wp-content/uploads/2023/10/DLV3_Icon_Ability_"&amp;INDEX('PWP-A'!$A$2:$C$31,MATCH('PWP-Print'!T917,'PWP-A'!$B$2:$B$31,0),1)&amp;".png")</f>
        <v>#VALUE!</v>
      </c>
      <c r="T917" s="229" t="str">
        <f>+INDEX(PWP!$A:$Z,MATCH('PWP-Print'!O916,PWP!$B:$B,0),MATCH("PWP Ability 2",PWP!$A$1:$Z$1,0))</f>
        <v>Elemental Res +15%</v>
      </c>
      <c r="U917" s="249" t="str">
        <f>+INDEX(PWP!$A:$Z,MATCH('PWP-Print'!O916,PWP!$B:$B,0),MATCH("Locked PWP Ability 2",PWP!$A$1:$Z$1,0))</f>
        <v>(Water) Elemental Res +15%</v>
      </c>
    </row>
    <row r="918" spans="1:21" ht="22.5" customHeight="1" x14ac:dyDescent="0.3">
      <c r="A918" s="244" t="str">
        <f>TEXT(A914+1,"000")</f>
        <v>433</v>
      </c>
      <c r="B918" s="244" t="str">
        <f>TEXT(B914+1,"000")</f>
        <v>446</v>
      </c>
      <c r="C918" s="729"/>
      <c r="E918" s="251" t="str">
        <f>+INDEX(PWP!$A:$Z,MATCH('PWP-Print'!E916,PWP!$B:$B,0),MATCH("Num",PWP!$A$1:$Z$1,0))</f>
        <v>D-128</v>
      </c>
      <c r="G918" s="249" t="str">
        <f>+INDEX(PWP!$A:$Z,MATCH('PWP-Print'!E916,PWP!$B:$B,0),MATCH("Element",PWP!$A$1:$Z$1,0))&amp;" "&amp;INDEX(PWP!$A:$Z,MATCH('PWP-Print'!E916,PWP!$B:$B,0),MATCH("Type",PWP!$A$1:$Z$1,0))</f>
        <v>Shadow Dragon</v>
      </c>
      <c r="K918" s="250"/>
      <c r="M918" s="729"/>
      <c r="O918" s="251" t="str">
        <f>+INDEX(PWP!$A:$Z,MATCH('PWP-Print'!O916,PWP!$B:$B,0),MATCH("Num",PWP!$A$1:$Z$1,0))</f>
        <v>DN-008</v>
      </c>
      <c r="Q918" s="249" t="str">
        <f>+INDEX(PWP!$A:$Z,MATCH('PWP-Print'!O916,PWP!$B:$B,0),MATCH("Element",PWP!$A$1:$Z$1,0))&amp;" "&amp;INDEX(PWP!$A:$Z,MATCH('PWP-Print'!O916,PWP!$B:$B,0),MATCH("Type",PWP!$A$1:$Z$1,0))</f>
        <v>Water Dragon</v>
      </c>
      <c r="U918" s="250"/>
    </row>
    <row r="919" spans="1:21" ht="7.5" customHeight="1" x14ac:dyDescent="0.3">
      <c r="A919" s="244" t="s">
        <v>10763</v>
      </c>
      <c r="E919" s="250"/>
      <c r="G919" s="250"/>
      <c r="K919" s="250"/>
      <c r="O919" s="250"/>
      <c r="Q919" s="250"/>
      <c r="U919" s="250"/>
    </row>
    <row r="920" spans="1:21" ht="22.5" customHeight="1" x14ac:dyDescent="0.3">
      <c r="C920" s="729" t="e" vm="1473">
        <f>_xlfn.IMAGE("https://natalie.tf/wp-content/uploads/2023/10/DLV3_Icon_DRA_"&amp;E921&amp;".png")</f>
        <v>#VALUE!</v>
      </c>
      <c r="E920" s="249" t="str">
        <f>"PWP-"&amp;A922</f>
        <v>PWP-434</v>
      </c>
      <c r="G920" s="249" t="str">
        <f>+INDEX(PWP!$A:$Z,MATCH('PWP-Print'!E920,PWP!$B:$B,0),MATCH("Title",PWP!$A$1:$Z$1,0))</f>
        <v>Violent Brute</v>
      </c>
      <c r="I920" t="e" vm="14">
        <f>_xlfn.IMAGE("https://natalie.tf/wp-content/uploads/2023/10/DLV3_Icon_Ability_"&amp;INDEX('PWP-A'!$A$2:$C$31,MATCH('PWP-Print'!J920,'PWP-A'!$B$2:$B$31,0),1)&amp;".png")</f>
        <v>#VALUE!</v>
      </c>
      <c r="J920" s="229" t="str">
        <f>+INDEX(PWP!$A:$Z,MATCH('PWP-Print'!E920,PWP!$B:$B,0),MATCH("PWP Ability 1",PWP!$A$1:$Z$1,0))</f>
        <v>Dragon Damage +18%</v>
      </c>
      <c r="K920" s="249" t="str">
        <f>+INDEX(PWP!$A:$Z,MATCH('PWP-Print'!E920,PWP!$B:$B,0),MATCH("Locked PWP Ability 1",PWP!$A$1:$Z$1,0))</f>
        <v>(Shadow) Dragon Damage +18%</v>
      </c>
      <c r="M920" s="729" t="e" vm="1474">
        <f>_xlfn.IMAGE("https://natalie.tf/wp-content/uploads/2023/11/DLV3_Icon_DRA_Custom_Fallen_Ramiel.png")</f>
        <v>#VALUE!</v>
      </c>
      <c r="O920" s="249" t="str">
        <f>"PWP-"&amp;B922</f>
        <v>PWP-447</v>
      </c>
      <c r="Q920" s="249" t="str">
        <f>+INDEX(PWP!$A:$Z,MATCH('PWP-Print'!O920,PWP!$B:$B,0),MATCH("Title",PWP!$A$1:$Z$1,0))</f>
        <v>The Other Ramiel</v>
      </c>
      <c r="S920" t="e" vm="14">
        <f>_xlfn.IMAGE("https://natalie.tf/wp-content/uploads/2023/10/DLV3_Icon_Ability_"&amp;INDEX('PWP-A'!$A$2:$C$31,MATCH('PWP-Print'!T920,'PWP-A'!$B$2:$B$31,0),1)&amp;".png")</f>
        <v>#VALUE!</v>
      </c>
      <c r="T920" s="229" t="str">
        <f>+INDEX(PWP!$A:$Z,MATCH('PWP-Print'!O920,PWP!$B:$B,0),MATCH("PWP Ability 1",PWP!$A$1:$Z$1,0))</f>
        <v>Dragon Damage +18%</v>
      </c>
      <c r="U920" s="249" t="str">
        <f>+INDEX(PWP!$A:$Z,MATCH('PWP-Print'!O920,PWP!$B:$B,0),MATCH("Locked PWP Ability 1",PWP!$A$1:$Z$1,0))</f>
        <v>(Shadow) Dragon Damage +18%</v>
      </c>
    </row>
    <row r="921" spans="1:21" ht="22.5" customHeight="1" x14ac:dyDescent="0.3">
      <c r="C921" s="729"/>
      <c r="D921" s="8"/>
      <c r="E921" s="200" t="str">
        <f>+INDEX(PWP!$A:$Z,MATCH('PWP-Print'!E920,PWP!$B:$B,0),MATCH("ID",PWP!$A$1:$Z$1,0))</f>
        <v>210014_01</v>
      </c>
      <c r="F921" s="8"/>
      <c r="G921" s="249" t="str">
        <f>+INDEX(PWP!$A:$Z,MATCH('PWP-Print'!E920,PWP!$B:$B,0),MATCH("Name",PWP!$A$1:$Z$1,0))</f>
        <v>Juggernaut</v>
      </c>
      <c r="H921" s="8"/>
      <c r="I921" t="e" vm="330">
        <f>_xlfn.IMAGE("https://natalie.tf/wp-content/uploads/2023/10/DLV3_Icon_Ability_"&amp;INDEX('PWP-A'!$A$2:$C$31,MATCH('PWP-Print'!J921,'PWP-A'!$B$2:$B$31,0),1)&amp;".png")</f>
        <v>#VALUE!</v>
      </c>
      <c r="J921" s="229" t="str">
        <f>+INDEX(PWP!$A:$Z,MATCH('PWP-Print'!E920,PWP!$B:$B,0),MATCH("PWP Ability 2",PWP!$A$1:$Z$1,0))</f>
        <v>Skill Haste +10%</v>
      </c>
      <c r="K921" s="249" t="str">
        <f>+INDEX(PWP!$A:$Z,MATCH('PWP-Print'!E920,PWP!$B:$B,0),MATCH("Locked PWP Ability 2",PWP!$A$1:$Z$1,0))</f>
        <v>(Shadow) Skill Haste +10%</v>
      </c>
      <c r="M921" s="729"/>
      <c r="N921" s="8"/>
      <c r="O921" s="200" t="str">
        <f>+INDEX(PWP!$A:$Z,MATCH('PWP-Print'!O920,PWP!$B:$B,0),MATCH("ID",PWP!$A$1:$Z$1,0))</f>
        <v>210132_03</v>
      </c>
      <c r="P921" s="8"/>
      <c r="Q921" s="249" t="str">
        <f>+INDEX(PWP!$A:$Z,MATCH('PWP-Print'!O920,PWP!$B:$B,0),MATCH("Name",PWP!$A$1:$Z$1,0))</f>
        <v>Fallen Angel Ramiel</v>
      </c>
      <c r="R921" s="8"/>
      <c r="S921" t="e" vm="14">
        <f>_xlfn.IMAGE("https://natalie.tf/wp-content/uploads/2023/10/DLV3_Icon_Ability_"&amp;INDEX('PWP-A'!$A$2:$C$31,MATCH('PWP-Print'!T921,'PWP-A'!$B$2:$B$31,0),1)&amp;".png")</f>
        <v>#VALUE!</v>
      </c>
      <c r="T921" s="229" t="str">
        <f>+INDEX(PWP!$A:$Z,MATCH('PWP-Print'!O920,PWP!$B:$B,0),MATCH("PWP Ability 2",PWP!$A$1:$Z$1,0))</f>
        <v>Skill Damage +40%</v>
      </c>
      <c r="U921" s="249" t="str">
        <f>+INDEX(PWP!$A:$Z,MATCH('PWP-Print'!O920,PWP!$B:$B,0),MATCH("Locked PWP Ability 2",PWP!$A$1:$Z$1,0))</f>
        <v>(Shadow) Skill Damage +40%</v>
      </c>
    </row>
    <row r="922" spans="1:21" ht="22.5" customHeight="1" x14ac:dyDescent="0.3">
      <c r="A922" s="244" t="str">
        <f>TEXT(A918+1,"000")</f>
        <v>434</v>
      </c>
      <c r="B922" s="244" t="str">
        <f>TEXT(B918+1,"000")</f>
        <v>447</v>
      </c>
      <c r="C922" s="729"/>
      <c r="E922" s="251" t="str">
        <f>+INDEX(PWP!$A:$Z,MATCH('PWP-Print'!E920,PWP!$B:$B,0),MATCH("Num",PWP!$A$1:$Z$1,0))</f>
        <v>D-129</v>
      </c>
      <c r="G922" s="249" t="str">
        <f>+INDEX(PWP!$A:$Z,MATCH('PWP-Print'!E920,PWP!$B:$B,0),MATCH("Element",PWP!$A$1:$Z$1,0))&amp;" "&amp;INDEX(PWP!$A:$Z,MATCH('PWP-Print'!E920,PWP!$B:$B,0),MATCH("Type",PWP!$A$1:$Z$1,0))</f>
        <v>Shadow Dragon</v>
      </c>
      <c r="K922" s="250"/>
      <c r="M922" s="729"/>
      <c r="O922" s="251" t="str">
        <f>+INDEX(PWP!$A:$Z,MATCH('PWP-Print'!O920,PWP!$B:$B,0),MATCH("Num",PWP!$A$1:$Z$1,0))</f>
        <v>DN-009</v>
      </c>
      <c r="Q922" s="249" t="str">
        <f>+INDEX(PWP!$A:$Z,MATCH('PWP-Print'!O920,PWP!$B:$B,0),MATCH("Element",PWP!$A$1:$Z$1,0))&amp;" "&amp;INDEX(PWP!$A:$Z,MATCH('PWP-Print'!O920,PWP!$B:$B,0),MATCH("Type",PWP!$A$1:$Z$1,0))</f>
        <v>Shadow Dragon</v>
      </c>
      <c r="U922" s="250"/>
    </row>
    <row r="923" spans="1:21" ht="7.5" customHeight="1" x14ac:dyDescent="0.3">
      <c r="A923" s="244" t="s">
        <v>10763</v>
      </c>
      <c r="E923" s="250"/>
      <c r="G923" s="250"/>
      <c r="K923" s="250"/>
      <c r="O923" s="250"/>
      <c r="Q923" s="250"/>
      <c r="U923" s="250"/>
    </row>
    <row r="924" spans="1:21" ht="22.5" customHeight="1" x14ac:dyDescent="0.3">
      <c r="C924" s="729" t="e" vm="1475">
        <f>_xlfn.IMAGE("https://natalie.tf/wp-content/uploads/2023/10/DLV3_Icon_DRA_"&amp;E925&amp;".png")</f>
        <v>#VALUE!</v>
      </c>
      <c r="E924" s="249" t="str">
        <f>"PWP-"&amp;A926</f>
        <v>PWP-435</v>
      </c>
      <c r="G924" s="249" t="str">
        <f>+INDEX(PWP!$A:$Z,MATCH('PWP-Print'!E924,PWP!$B:$B,0),MATCH("Title",PWP!$A$1:$Z$1,0))</f>
        <v>Accursed Vessel</v>
      </c>
      <c r="I924" t="e" vm="382">
        <f>_xlfn.IMAGE("https://natalie.tf/wp-content/uploads/2023/10/DLV3_Icon_Ability_"&amp;INDEX('PWP-A'!$A$2:$C$31,MATCH('PWP-Print'!J924,'PWP-A'!$B$2:$B$31,0),1)&amp;".png")</f>
        <v>#VALUE!</v>
      </c>
      <c r="J924" s="229" t="str">
        <f>+INDEX(PWP!$A:$Z,MATCH('PWP-Print'!E924,PWP!$B:$B,0),MATCH("PWP Ability 1",PWP!$A$1:$Z$1,0))</f>
        <v>Dragon Time +20%</v>
      </c>
      <c r="K924" s="249" t="str">
        <f>+INDEX(PWP!$A:$Z,MATCH('PWP-Print'!E924,PWP!$B:$B,0),MATCH("Locked PWP Ability 1",PWP!$A$1:$Z$1,0))</f>
        <v>(Shadow) Dragon Time +20%</v>
      </c>
      <c r="M924" s="729" t="e" vm="1476">
        <f>_xlfn.IMAGE("https://natalie.tf/wp-content/uploads/2023/11/DLV3_Icon_DRA_Custom_Fallen_Gabriel.png")</f>
        <v>#VALUE!</v>
      </c>
      <c r="O924" s="249" t="str">
        <f>"PWP-"&amp;B926</f>
        <v>PWP-448</v>
      </c>
      <c r="Q924" s="249" t="str">
        <f>+INDEX(PWP!$A:$Z,MATCH('PWP-Print'!O924,PWP!$B:$B,0),MATCH("Title",PWP!$A$1:$Z$1,0))</f>
        <v>The Other Gabriel</v>
      </c>
      <c r="S924" t="e" vm="14">
        <f>_xlfn.IMAGE("https://natalie.tf/wp-content/uploads/2023/10/DLV3_Icon_Ability_"&amp;INDEX('PWP-A'!$A$2:$C$31,MATCH('PWP-Print'!T924,'PWP-A'!$B$2:$B$31,0),1)&amp;".png")</f>
        <v>#VALUE!</v>
      </c>
      <c r="T924" s="229" t="str">
        <f>+INDEX(PWP!$A:$Z,MATCH('PWP-Print'!O924,PWP!$B:$B,0),MATCH("PWP Ability 1",PWP!$A$1:$Z$1,0))</f>
        <v>Dragon Damage +18%</v>
      </c>
      <c r="U924" s="249" t="str">
        <f>+INDEX(PWP!$A:$Z,MATCH('PWP-Print'!O924,PWP!$B:$B,0),MATCH("Locked PWP Ability 1",PWP!$A$1:$Z$1,0))</f>
        <v>(Wind) Dragon Damage +18%</v>
      </c>
    </row>
    <row r="925" spans="1:21" ht="22.5" customHeight="1" x14ac:dyDescent="0.3">
      <c r="C925" s="729"/>
      <c r="D925" s="8"/>
      <c r="E925" s="200" t="str">
        <f>+INDEX(PWP!$A:$Z,MATCH('PWP-Print'!E924,PWP!$B:$B,0),MATCH("ID",PWP!$A$1:$Z$1,0))</f>
        <v>210005_01</v>
      </c>
      <c r="F925" s="8"/>
      <c r="G925" s="249" t="str">
        <f>+INDEX(PWP!$A:$Z,MATCH('PWP-Print'!E924,PWP!$B:$B,0),MATCH("Name",PWP!$A$1:$Z$1,0))</f>
        <v>Zodiark</v>
      </c>
      <c r="H925" s="8"/>
      <c r="I925" t="e" vm="496">
        <f>_xlfn.IMAGE("https://natalie.tf/wp-content/uploads/2023/10/DLV3_Icon_Ability_"&amp;INDEX('PWP-A'!$A$2:$C$31,MATCH('PWP-Print'!J925,'PWP-A'!$B$2:$B$31,0),1)&amp;".png")</f>
        <v>#VALUE!</v>
      </c>
      <c r="J925" s="229" t="str">
        <f>+INDEX(PWP!$A:$Z,MATCH('PWP-Print'!E924,PWP!$B:$B,0),MATCH("PWP Ability 2",PWP!$A$1:$Z$1,0))</f>
        <v>HP +15%</v>
      </c>
      <c r="K925" s="249" t="str">
        <f>+INDEX(PWP!$A:$Z,MATCH('PWP-Print'!E924,PWP!$B:$B,0),MATCH("Locked PWP Ability 2",PWP!$A$1:$Z$1,0))</f>
        <v>(Shadow) HP +15%</v>
      </c>
      <c r="M925" s="729"/>
      <c r="N925" s="8"/>
      <c r="O925" s="200" t="str">
        <f>+INDEX(PWP!$A:$Z,MATCH('PWP-Print'!O924,PWP!$B:$B,0),MATCH("ID",PWP!$A$1:$Z$1,0))</f>
        <v>210145_03</v>
      </c>
      <c r="P925" s="8"/>
      <c r="Q925" s="249" t="str">
        <f>+INDEX(PWP!$A:$Z,MATCH('PWP-Print'!O924,PWP!$B:$B,0),MATCH("Name",PWP!$A$1:$Z$1,0))</f>
        <v>Fallen Angel Gabriel</v>
      </c>
      <c r="R925" s="8"/>
      <c r="S925" t="e" vm="14">
        <f>_xlfn.IMAGE("https://natalie.tf/wp-content/uploads/2023/10/DLV3_Icon_Ability_"&amp;INDEX('PWP-A'!$A$2:$C$31,MATCH('PWP-Print'!T925,'PWP-A'!$B$2:$B$31,0),1)&amp;".png")</f>
        <v>#VALUE!</v>
      </c>
      <c r="T925" s="229" t="str">
        <f>+INDEX(PWP!$A:$Z,MATCH('PWP-Print'!O924,PWP!$B:$B,0),MATCH("PWP Ability 2",PWP!$A$1:$Z$1,0))</f>
        <v>Skill Damage +40%</v>
      </c>
      <c r="U925" s="249" t="str">
        <f>+INDEX(PWP!$A:$Z,MATCH('PWP-Print'!O924,PWP!$B:$B,0),MATCH("Locked PWP Ability 2",PWP!$A$1:$Z$1,0))</f>
        <v>(Wind) Skill Damage +40%</v>
      </c>
    </row>
    <row r="926" spans="1:21" ht="22.5" customHeight="1" x14ac:dyDescent="0.3">
      <c r="A926" s="244" t="str">
        <f>TEXT(A922+1,"000")</f>
        <v>435</v>
      </c>
      <c r="B926" s="244" t="str">
        <f>TEXT(B922+1,"000")</f>
        <v>448</v>
      </c>
      <c r="C926" s="729"/>
      <c r="E926" s="251" t="str">
        <f>+INDEX(PWP!$A:$Z,MATCH('PWP-Print'!E924,PWP!$B:$B,0),MATCH("Num",PWP!$A$1:$Z$1,0))</f>
        <v>D-130</v>
      </c>
      <c r="G926" s="249" t="str">
        <f>+INDEX(PWP!$A:$Z,MATCH('PWP-Print'!E924,PWP!$B:$B,0),MATCH("Element",PWP!$A$1:$Z$1,0))&amp;" "&amp;INDEX(PWP!$A:$Z,MATCH('PWP-Print'!E924,PWP!$B:$B,0),MATCH("Type",PWP!$A$1:$Z$1,0))</f>
        <v>Shadow Dragon</v>
      </c>
      <c r="K926" s="250"/>
      <c r="M926" s="729"/>
      <c r="O926" s="251" t="str">
        <f>+INDEX(PWP!$A:$Z,MATCH('PWP-Print'!O924,PWP!$B:$B,0),MATCH("Num",PWP!$A$1:$Z$1,0))</f>
        <v>DN-010</v>
      </c>
      <c r="Q926" s="249" t="str">
        <f>+INDEX(PWP!$A:$Z,MATCH('PWP-Print'!O924,PWP!$B:$B,0),MATCH("Element",PWP!$A$1:$Z$1,0))&amp;" "&amp;INDEX(PWP!$A:$Z,MATCH('PWP-Print'!O924,PWP!$B:$B,0),MATCH("Type",PWP!$A$1:$Z$1,0))</f>
        <v>Wind Dragon</v>
      </c>
      <c r="U926" s="250"/>
    </row>
    <row r="927" spans="1:21" ht="7.5" customHeight="1" x14ac:dyDescent="0.3">
      <c r="A927" s="244" t="s">
        <v>10763</v>
      </c>
      <c r="E927" s="250"/>
      <c r="G927" s="250"/>
      <c r="K927" s="250"/>
      <c r="O927" s="250"/>
      <c r="Q927" s="250"/>
      <c r="U927" s="250"/>
    </row>
    <row r="928" spans="1:21" ht="22.5" customHeight="1" x14ac:dyDescent="0.3">
      <c r="C928" s="729" t="e" vm="1477">
        <f>_xlfn.IMAGE("https://natalie.tf/wp-content/uploads/2023/10/DLV3_Icon_DRA_"&amp;E929&amp;".png")</f>
        <v>#VALUE!</v>
      </c>
      <c r="E928" s="249" t="str">
        <f>"PWP-"&amp;A930</f>
        <v>PWP-436</v>
      </c>
      <c r="G928" s="249" t="str">
        <f>+INDEX(PWP!$A:$Z,MATCH('PWP-Print'!E928,PWP!$B:$B,0),MATCH("Title",PWP!$A$1:$Z$1,0))</f>
        <v>N/A</v>
      </c>
      <c r="I928" t="e" vm="382">
        <f>_xlfn.IMAGE("https://natalie.tf/wp-content/uploads/2023/10/DLV3_Icon_Ability_"&amp;INDEX('PWP-A'!$A$2:$C$31,MATCH('PWP-Print'!J928,'PWP-A'!$B$2:$B$31,0),1)&amp;".png")</f>
        <v>#VALUE!</v>
      </c>
      <c r="J928" s="229" t="str">
        <f>+INDEX(PWP!$A:$Z,MATCH('PWP-Print'!E928,PWP!$B:$B,0),MATCH("PWP Ability 1",PWP!$A$1:$Z$1,0))</f>
        <v>Dragon Time +20%</v>
      </c>
      <c r="K928" s="249" t="str">
        <f>+INDEX(PWP!$A:$Z,MATCH('PWP-Print'!E928,PWP!$B:$B,0),MATCH("Locked PWP Ability 1",PWP!$A$1:$Z$1,0))</f>
        <v>(Shadow) Dragon Time +20%</v>
      </c>
      <c r="M928" s="729" t="e" vm="1478">
        <f>_xlfn.IMAGE("https://natalie.tf/wp-content/uploads/2023/11/DLV3_Icon_DRA_Custom_Fallen_Raphael.png")</f>
        <v>#VALUE!</v>
      </c>
      <c r="O928" s="249" t="str">
        <f>"PWP-"&amp;B930</f>
        <v>PWP-449</v>
      </c>
      <c r="Q928" s="249" t="str">
        <f>+INDEX(PWP!$A:$Z,MATCH('PWP-Print'!O928,PWP!$B:$B,0),MATCH("Title",PWP!$A$1:$Z$1,0))</f>
        <v>The Other Raphael</v>
      </c>
      <c r="S928" t="e" vm="14">
        <f>_xlfn.IMAGE("https://natalie.tf/wp-content/uploads/2023/10/DLV3_Icon_Ability_"&amp;INDEX('PWP-A'!$A$2:$C$31,MATCH('PWP-Print'!T928,'PWP-A'!$B$2:$B$31,0),1)&amp;".png")</f>
        <v>#VALUE!</v>
      </c>
      <c r="T928" s="229" t="str">
        <f>+INDEX(PWP!$A:$Z,MATCH('PWP-Print'!O928,PWP!$B:$B,0),MATCH("PWP Ability 1",PWP!$A$1:$Z$1,0))</f>
        <v>Dragon Damage +18%</v>
      </c>
      <c r="U928" s="249" t="str">
        <f>+INDEX(PWP!$A:$Z,MATCH('PWP-Print'!O928,PWP!$B:$B,0),MATCH("Locked PWP Ability 1",PWP!$A$1:$Z$1,0))</f>
        <v>(Light) Dragon Damage +18%</v>
      </c>
    </row>
    <row r="929" spans="1:21" ht="22.5" customHeight="1" x14ac:dyDescent="0.3">
      <c r="C929" s="729"/>
      <c r="D929" s="8"/>
      <c r="E929" s="200" t="str">
        <f>+INDEX(PWP!$A:$Z,MATCH('PWP-Print'!E928,PWP!$B:$B,0),MATCH("ID",PWP!$A$1:$Z$1,0))</f>
        <v>210070_01</v>
      </c>
      <c r="F929" s="8"/>
      <c r="G929" s="249" t="str">
        <f>+INDEX(PWP!$A:$Z,MATCH('PWP-Print'!E928,PWP!$B:$B,0),MATCH("Name",PWP!$A$1:$Z$1,0))</f>
        <v>Pallid Imp</v>
      </c>
      <c r="H929" s="8"/>
      <c r="I929" t="e" vm="376">
        <f>_xlfn.IMAGE("https://natalie.tf/wp-content/uploads/2023/10/DLV3_Icon_Ability_"&amp;INDEX('PWP-A'!$A$2:$C$31,MATCH('PWP-Print'!J929,'PWP-A'!$B$2:$B$31,0),1)&amp;".png")</f>
        <v>#VALUE!</v>
      </c>
      <c r="J929" s="229" t="str">
        <f>+INDEX(PWP!$A:$Z,MATCH('PWP-Print'!E928,PWP!$B:$B,0),MATCH("PWP Ability 2",PWP!$A$1:$Z$1,0))</f>
        <v>Broken Punisher +30%</v>
      </c>
      <c r="K929" s="249" t="str">
        <f>+INDEX(PWP!$A:$Z,MATCH('PWP-Print'!E928,PWP!$B:$B,0),MATCH("Locked PWP Ability 2",PWP!$A$1:$Z$1,0))</f>
        <v>(Shadow) Broken Punisher +30%</v>
      </c>
      <c r="M929" s="729"/>
      <c r="N929" s="8"/>
      <c r="O929" s="200" t="str">
        <f>+INDEX(PWP!$A:$Z,MATCH('PWP-Print'!O928,PWP!$B:$B,0),MATCH("ID",PWP!$A$1:$Z$1,0))</f>
        <v>210154_03</v>
      </c>
      <c r="P929" s="8"/>
      <c r="Q929" s="249" t="str">
        <f>+INDEX(PWP!$A:$Z,MATCH('PWP-Print'!O928,PWP!$B:$B,0),MATCH("Name",PWP!$A$1:$Z$1,0))</f>
        <v>Fallen Angel Raphael</v>
      </c>
      <c r="R929" s="8"/>
      <c r="S929" t="e" vm="14">
        <f>_xlfn.IMAGE("https://natalie.tf/wp-content/uploads/2023/10/DLV3_Icon_Ability_"&amp;INDEX('PWP-A'!$A$2:$C$31,MATCH('PWP-Print'!T929,'PWP-A'!$B$2:$B$31,0),1)&amp;".png")</f>
        <v>#VALUE!</v>
      </c>
      <c r="T929" s="229" t="str">
        <f>+INDEX(PWP!$A:$Z,MATCH('PWP-Print'!O928,PWP!$B:$B,0),MATCH("PWP Ability 2",PWP!$A$1:$Z$1,0))</f>
        <v>Skill Damage +40%</v>
      </c>
      <c r="U929" s="249" t="str">
        <f>+INDEX(PWP!$A:$Z,MATCH('PWP-Print'!O928,PWP!$B:$B,0),MATCH("Locked PWP Ability 2",PWP!$A$1:$Z$1,0))</f>
        <v>(Light) Skill Damage +40%</v>
      </c>
    </row>
    <row r="930" spans="1:21" ht="22.5" customHeight="1" x14ac:dyDescent="0.3">
      <c r="A930" s="244" t="str">
        <f>TEXT(A926+1,"000")</f>
        <v>436</v>
      </c>
      <c r="B930" s="244" t="str">
        <f>TEXT(B926+1,"000")</f>
        <v>449</v>
      </c>
      <c r="C930" s="729"/>
      <c r="E930" s="251" t="str">
        <f>+INDEX(PWP!$A:$Z,MATCH('PWP-Print'!E928,PWP!$B:$B,0),MATCH("Num",PWP!$A$1:$Z$1,0))</f>
        <v>D-131</v>
      </c>
      <c r="G930" s="249" t="str">
        <f>+INDEX(PWP!$A:$Z,MATCH('PWP-Print'!E928,PWP!$B:$B,0),MATCH("Element",PWP!$A$1:$Z$1,0))&amp;" "&amp;INDEX(PWP!$A:$Z,MATCH('PWP-Print'!E928,PWP!$B:$B,0),MATCH("Type",PWP!$A$1:$Z$1,0))</f>
        <v>Shadow Dragon</v>
      </c>
      <c r="K930" s="250"/>
      <c r="M930" s="729"/>
      <c r="O930" s="251" t="str">
        <f>+INDEX(PWP!$A:$Z,MATCH('PWP-Print'!O928,PWP!$B:$B,0),MATCH("Num",PWP!$A$1:$Z$1,0))</f>
        <v>DN-011</v>
      </c>
      <c r="Q930" s="249" t="str">
        <f>+INDEX(PWP!$A:$Z,MATCH('PWP-Print'!O928,PWP!$B:$B,0),MATCH("Element",PWP!$A$1:$Z$1,0))&amp;" "&amp;INDEX(PWP!$A:$Z,MATCH('PWP-Print'!O928,PWP!$B:$B,0),MATCH("Type",PWP!$A$1:$Z$1,0))</f>
        <v>Light Dragon</v>
      </c>
      <c r="U930" s="250"/>
    </row>
    <row r="931" spans="1:21" ht="7.5" customHeight="1" x14ac:dyDescent="0.3">
      <c r="A931" s="244" t="s">
        <v>10763</v>
      </c>
      <c r="E931" s="250"/>
      <c r="G931" s="250"/>
      <c r="K931" s="250"/>
      <c r="O931" s="250"/>
      <c r="Q931" s="250"/>
      <c r="U931" s="250"/>
    </row>
    <row r="932" spans="1:21" ht="22.5" customHeight="1" x14ac:dyDescent="0.3">
      <c r="C932" s="729" t="e" vm="1479">
        <f>_xlfn.IMAGE("https://natalie.tf/wp-content/uploads/2023/10/DLV3_Icon_DRA_"&amp;E933&amp;".png")</f>
        <v>#VALUE!</v>
      </c>
      <c r="E932" s="249" t="str">
        <f>"PWP-"&amp;A934</f>
        <v>PWP-437</v>
      </c>
      <c r="G932" s="249" t="str">
        <f>+INDEX(PWP!$A:$Z,MATCH('PWP-Print'!E932,PWP!$B:$B,0),MATCH("Title",PWP!$A$1:$Z$1,0))</f>
        <v>N/A</v>
      </c>
      <c r="I932" t="e" vm="601">
        <f>_xlfn.IMAGE("https://natalie.tf/wp-content/uploads/2023/10/DLV3_Icon_Ability_"&amp;INDEX('PWP-A'!$A$2:$C$31,MATCH('PWP-Print'!J932,'PWP-A'!$B$2:$B$31,0),1)&amp;".png")</f>
        <v>#VALUE!</v>
      </c>
      <c r="J932" s="229" t="str">
        <f>+INDEX(PWP!$A:$Z,MATCH('PWP-Print'!E932,PWP!$B:$B,0),MATCH("PWP Ability 1",PWP!$A$1:$Z$1,0))</f>
        <v>Dragon Haste +15%</v>
      </c>
      <c r="K932" s="249" t="str">
        <f>+INDEX(PWP!$A:$Z,MATCH('PWP-Print'!E932,PWP!$B:$B,0),MATCH("Locked PWP Ability 1",PWP!$A$1:$Z$1,0))</f>
        <v>(Shadow) Dragon Haste +15%</v>
      </c>
      <c r="M932" s="729" t="e" vm="1480">
        <f>_xlfn.IMAGE("https://natalie.tf/wp-content/uploads/2023/11/DLV3_Icon_DRA_Custom_Fallen_Uriel.png")</f>
        <v>#VALUE!</v>
      </c>
      <c r="O932" s="249" t="str">
        <f>"PWP-"&amp;B934</f>
        <v>PWP-450</v>
      </c>
      <c r="Q932" s="249" t="str">
        <f>+INDEX(PWP!$A:$Z,MATCH('PWP-Print'!O932,PWP!$B:$B,0),MATCH("Title",PWP!$A$1:$Z$1,0))</f>
        <v>The Other Uriel</v>
      </c>
      <c r="S932" t="e" vm="14">
        <f>_xlfn.IMAGE("https://natalie.tf/wp-content/uploads/2023/10/DLV3_Icon_Ability_"&amp;INDEX('PWP-A'!$A$2:$C$31,MATCH('PWP-Print'!T932,'PWP-A'!$B$2:$B$31,0),1)&amp;".png")</f>
        <v>#VALUE!</v>
      </c>
      <c r="T932" s="229" t="str">
        <f>+INDEX(PWP!$A:$Z,MATCH('PWP-Print'!O932,PWP!$B:$B,0),MATCH("PWP Ability 1",PWP!$A$1:$Z$1,0))</f>
        <v>Dragon Damage +18%</v>
      </c>
      <c r="U932" s="249" t="str">
        <f>+INDEX(PWP!$A:$Z,MATCH('PWP-Print'!O932,PWP!$B:$B,0),MATCH("Locked PWP Ability 1",PWP!$A$1:$Z$1,0))</f>
        <v>(Water) Dragon Damage +18%</v>
      </c>
    </row>
    <row r="933" spans="1:21" ht="22.5" customHeight="1" x14ac:dyDescent="0.3">
      <c r="C933" s="729"/>
      <c r="D933" s="8"/>
      <c r="E933" s="200" t="str">
        <f>+INDEX(PWP!$A:$Z,MATCH('PWP-Print'!E932,PWP!$B:$B,0),MATCH("ID",PWP!$A$1:$Z$1,0))</f>
        <v>210066_01</v>
      </c>
      <c r="F933" s="8"/>
      <c r="G933" s="249" t="str">
        <f>+INDEX(PWP!$A:$Z,MATCH('PWP-Print'!E932,PWP!$B:$B,0),MATCH("Name",PWP!$A$1:$Z$1,0))</f>
        <v>Gloom Drake</v>
      </c>
      <c r="H933" s="8"/>
      <c r="I933" t="e" vm="376">
        <f>_xlfn.IMAGE("https://natalie.tf/wp-content/uploads/2023/10/DLV3_Icon_Ability_"&amp;INDEX('PWP-A'!$A$2:$C$31,MATCH('PWP-Print'!J933,'PWP-A'!$B$2:$B$31,0),1)&amp;".png")</f>
        <v>#VALUE!</v>
      </c>
      <c r="J933" s="229" t="str">
        <f>+INDEX(PWP!$A:$Z,MATCH('PWP-Print'!E932,PWP!$B:$B,0),MATCH("PWP Ability 2",PWP!$A$1:$Z$1,0))</f>
        <v>Broken Punisher +30%</v>
      </c>
      <c r="K933" s="249" t="str">
        <f>+INDEX(PWP!$A:$Z,MATCH('PWP-Print'!E932,PWP!$B:$B,0),MATCH("Locked PWP Ability 2",PWP!$A$1:$Z$1,0))</f>
        <v>(Shadow) Broken Punisher +30%</v>
      </c>
      <c r="M933" s="729"/>
      <c r="N933" s="8"/>
      <c r="O933" s="200" t="str">
        <f>+INDEX(PWP!$A:$Z,MATCH('PWP-Print'!O932,PWP!$B:$B,0),MATCH("ID",PWP!$A$1:$Z$1,0))</f>
        <v>210163_03</v>
      </c>
      <c r="P933" s="8"/>
      <c r="Q933" s="249" t="str">
        <f>+INDEX(PWP!$A:$Z,MATCH('PWP-Print'!O932,PWP!$B:$B,0),MATCH("Name",PWP!$A$1:$Z$1,0))</f>
        <v>Fallen Angel Uriel</v>
      </c>
      <c r="R933" s="8"/>
      <c r="S933" t="e" vm="14">
        <f>_xlfn.IMAGE("https://natalie.tf/wp-content/uploads/2023/10/DLV3_Icon_Ability_"&amp;INDEX('PWP-A'!$A$2:$C$31,MATCH('PWP-Print'!T933,'PWP-A'!$B$2:$B$31,0),1)&amp;".png")</f>
        <v>#VALUE!</v>
      </c>
      <c r="T933" s="229" t="str">
        <f>+INDEX(PWP!$A:$Z,MATCH('PWP-Print'!O932,PWP!$B:$B,0),MATCH("PWP Ability 2",PWP!$A$1:$Z$1,0))</f>
        <v>Skill Damage +40%</v>
      </c>
      <c r="U933" s="249" t="str">
        <f>+INDEX(PWP!$A:$Z,MATCH('PWP-Print'!O932,PWP!$B:$B,0),MATCH("Locked PWP Ability 2",PWP!$A$1:$Z$1,0))</f>
        <v>(Water) Skill Damage +40%</v>
      </c>
    </row>
    <row r="934" spans="1:21" ht="22.5" customHeight="1" x14ac:dyDescent="0.3">
      <c r="A934" s="244" t="str">
        <f>TEXT(A930+1,"000")</f>
        <v>437</v>
      </c>
      <c r="B934" s="244" t="str">
        <f>TEXT(B930+1,"000")</f>
        <v>450</v>
      </c>
      <c r="C934" s="729"/>
      <c r="E934" s="251" t="str">
        <f>+INDEX(PWP!$A:$Z,MATCH('PWP-Print'!E932,PWP!$B:$B,0),MATCH("Num",PWP!$A$1:$Z$1,0))</f>
        <v>D-132</v>
      </c>
      <c r="G934" s="249" t="str">
        <f>+INDEX(PWP!$A:$Z,MATCH('PWP-Print'!E932,PWP!$B:$B,0),MATCH("Element",PWP!$A$1:$Z$1,0))&amp;" "&amp;INDEX(PWP!$A:$Z,MATCH('PWP-Print'!E932,PWP!$B:$B,0),MATCH("Type",PWP!$A$1:$Z$1,0))</f>
        <v>Shadow Dragon</v>
      </c>
      <c r="K934" s="250"/>
      <c r="M934" s="729"/>
      <c r="O934" s="251" t="str">
        <f>+INDEX(PWP!$A:$Z,MATCH('PWP-Print'!O932,PWP!$B:$B,0),MATCH("Num",PWP!$A$1:$Z$1,0))</f>
        <v>DN-012</v>
      </c>
      <c r="Q934" s="249" t="str">
        <f>+INDEX(PWP!$A:$Z,MATCH('PWP-Print'!O932,PWP!$B:$B,0),MATCH("Element",PWP!$A$1:$Z$1,0))&amp;" "&amp;INDEX(PWP!$A:$Z,MATCH('PWP-Print'!O932,PWP!$B:$B,0),MATCH("Type",PWP!$A$1:$Z$1,0))</f>
        <v>Water Dragon</v>
      </c>
      <c r="U934" s="250"/>
    </row>
    <row r="935" spans="1:21" ht="7.5" customHeight="1" x14ac:dyDescent="0.3">
      <c r="A935" s="244" t="s">
        <v>10763</v>
      </c>
      <c r="E935" s="250"/>
      <c r="G935" s="250"/>
      <c r="K935" s="250"/>
      <c r="Q935" s="250"/>
      <c r="U935" s="250"/>
    </row>
    <row r="936" spans="1:21" ht="22.5" customHeight="1" x14ac:dyDescent="0.3">
      <c r="C936" s="729" t="e" vm="12">
        <f>_xlfn.IMAGE("https://natalie.tf/wp-content/uploads/2023/10/DLV3_Icon_DRA_"&amp;E937&amp;".png")</f>
        <v>#VALUE!</v>
      </c>
      <c r="E936" s="249" t="str">
        <f>"PWP-"&amp;A938</f>
        <v>PWP-438</v>
      </c>
      <c r="G936" s="249" t="str">
        <f>+INDEX(PWP!$A:$Z,MATCH('PWP-Print'!E936,PWP!$B:$B,0),MATCH("Title",PWP!$A$1:$Z$1,0))</f>
        <v>N/A</v>
      </c>
      <c r="I936" t="e" vm="14">
        <f>_xlfn.IMAGE("https://natalie.tf/wp-content/uploads/2023/10/DLV3_Icon_Ability_"&amp;INDEX('PWP-A'!$A$2:$C$31,MATCH('PWP-Print'!J936,'PWP-A'!$B$2:$B$31,0),1)&amp;".png")</f>
        <v>#VALUE!</v>
      </c>
      <c r="J936" s="229" t="str">
        <f>+INDEX(PWP!$A:$Z,MATCH('PWP-Print'!E936,PWP!$B:$B,0),MATCH("PWP Ability 1",PWP!$A$1:$Z$1,0))</f>
        <v>Dragon Damage +18%</v>
      </c>
      <c r="K936" s="249" t="str">
        <f>+INDEX(PWP!$A:$Z,MATCH('PWP-Print'!E936,PWP!$B:$B,0),MATCH("Locked PWP Ability 1",PWP!$A$1:$Z$1,0))</f>
        <v>(Shadow) Dragon Damage +18%</v>
      </c>
      <c r="M936" s="729"/>
      <c r="O936" s="221"/>
      <c r="P936" s="221"/>
      <c r="Q936" s="221"/>
      <c r="R936" s="221"/>
      <c r="S936" s="221"/>
      <c r="T936" s="221"/>
      <c r="U936" s="221"/>
    </row>
    <row r="937" spans="1:21" ht="22.5" customHeight="1" x14ac:dyDescent="0.3">
      <c r="C937" s="729"/>
      <c r="D937" s="8"/>
      <c r="E937" s="200" t="str">
        <f>+INDEX(PWP!$A:$Z,MATCH('PWP-Print'!E936,PWP!$B:$B,0),MATCH("ID",PWP!$A$1:$Z$1,0))</f>
        <v>210062_01</v>
      </c>
      <c r="F937" s="8"/>
      <c r="G937" s="249" t="str">
        <f>+INDEX(PWP!$A:$Z,MATCH('PWP-Print'!E936,PWP!$B:$B,0),MATCH("Name",PWP!$A$1:$Z$1,0))</f>
        <v>Hikage</v>
      </c>
      <c r="H937" s="8"/>
      <c r="I937" t="e" vm="376">
        <f>_xlfn.IMAGE("https://natalie.tf/wp-content/uploads/2023/10/DLV3_Icon_Ability_"&amp;INDEX('PWP-A'!$A$2:$C$31,MATCH('PWP-Print'!J937,'PWP-A'!$B$2:$B$31,0),1)&amp;".png")</f>
        <v>#VALUE!</v>
      </c>
      <c r="J937" s="229" t="str">
        <f>+INDEX(PWP!$A:$Z,MATCH('PWP-Print'!E936,PWP!$B:$B,0),MATCH("PWP Ability 2",PWP!$A$1:$Z$1,0))</f>
        <v>Broken Punisher +30%</v>
      </c>
      <c r="K937" s="249" t="str">
        <f>+INDEX(PWP!$A:$Z,MATCH('PWP-Print'!E936,PWP!$B:$B,0),MATCH("Locked PWP Ability 2",PWP!$A$1:$Z$1,0))</f>
        <v>(Shadow) Broken Punisher +30%</v>
      </c>
      <c r="M937" s="729"/>
      <c r="N937" s="8"/>
      <c r="O937" s="221"/>
      <c r="P937" s="221"/>
      <c r="Q937" s="221"/>
      <c r="R937" s="221"/>
      <c r="S937" s="221"/>
      <c r="T937" s="221"/>
      <c r="U937" s="221"/>
    </row>
    <row r="938" spans="1:21" ht="22.5" customHeight="1" x14ac:dyDescent="0.3">
      <c r="A938" s="244" t="str">
        <f>TEXT(A934+1,"000")</f>
        <v>438</v>
      </c>
      <c r="C938" s="729"/>
      <c r="E938" s="251" t="str">
        <f>+INDEX(PWP!$A:$Z,MATCH('PWP-Print'!E936,PWP!$B:$B,0),MATCH("Num",PWP!$A$1:$Z$1,0))</f>
        <v>D-133</v>
      </c>
      <c r="G938" s="249" t="str">
        <f>+INDEX(PWP!$A:$Z,MATCH('PWP-Print'!E936,PWP!$B:$B,0),MATCH("Element",PWP!$A$1:$Z$1,0))&amp;" "&amp;INDEX(PWP!$A:$Z,MATCH('PWP-Print'!E936,PWP!$B:$B,0),MATCH("Type",PWP!$A$1:$Z$1,0))</f>
        <v>Shadow Dragon</v>
      </c>
      <c r="K938" s="250"/>
      <c r="M938" s="729"/>
      <c r="O938" s="221"/>
      <c r="P938" s="221"/>
      <c r="Q938" s="221"/>
      <c r="R938" s="221"/>
      <c r="S938" s="221"/>
      <c r="T938" s="221"/>
      <c r="U938" s="221"/>
    </row>
    <row r="939" spans="1:21" ht="39.75" customHeight="1" x14ac:dyDescent="0.2">
      <c r="A939" s="244" t="s">
        <v>10763</v>
      </c>
    </row>
    <row r="940" spans="1:21" ht="22.5" customHeight="1" x14ac:dyDescent="0.3">
      <c r="C940" s="729" t="e" vm="1481">
        <f>_xlfn.IMAGE("https://natalie.tf/wp-content/uploads/2023/11/DLV3_Icon_DRA_Custom_Fallen_Michael.png")</f>
        <v>#VALUE!</v>
      </c>
      <c r="E940" s="249" t="str">
        <f>"PWP-"&amp;A942</f>
        <v>PWP-451</v>
      </c>
      <c r="G940" s="249" t="str">
        <f>+INDEX(PWP!$A:$Z,MATCH('PWP-Print'!E940,PWP!$B:$B,0),MATCH("Title",PWP!$A$1:$Z$1,0))</f>
        <v>The Other Michael</v>
      </c>
      <c r="I940" t="e" vm="14">
        <f>_xlfn.IMAGE("https://natalie.tf/wp-content/uploads/2023/10/DLV3_Icon_Ability_"&amp;INDEX('PWP-A'!$A$2:$C$31,MATCH('PWP-Print'!J940,'PWP-A'!$B$2:$B$31,0),1)&amp;".png")</f>
        <v>#VALUE!</v>
      </c>
      <c r="J940" s="229" t="str">
        <f>+INDEX(PWP!$A:$Z,MATCH('PWP-Print'!E940,PWP!$B:$B,0),MATCH("PWP Ability 1",PWP!$A$1:$Z$1,0))</f>
        <v>Dragon Damage +18%</v>
      </c>
      <c r="K940" s="249" t="str">
        <f>+INDEX(PWP!$A:$Z,MATCH('PWP-Print'!E940,PWP!$B:$B,0),MATCH("Locked PWP Ability 1",PWP!$A$1:$Z$1,0))</f>
        <v>(Flame) Dragon Damage +18%</v>
      </c>
      <c r="M940" s="729" t="e" vm="1482">
        <f>_xlfn.IMAGE("https://natalie.tf/wp-content/uploads/2023/11/DLV3_Icon_NPC_Custom_"&amp;O941&amp;".png")</f>
        <v>#VALUE!</v>
      </c>
      <c r="O940" s="249" t="str">
        <f>"PWP-"&amp;B942</f>
        <v>PWP-464</v>
      </c>
      <c r="Q940" s="179" t="str">
        <f>+INDEX(PWP!$A:$Z,MATCH('PWP-Print'!O940,PWP!$B:$B,0),MATCH("Title",PWP!$A$1:$Z$1,0))</f>
        <v>Hinomotoan Culinary Entrepreneur</v>
      </c>
      <c r="S940" t="e" vm="696">
        <f>_xlfn.IMAGE("https://natalie.tf/wp-content/uploads/2023/10/DLV3_Icon_Ability_"&amp;INDEX('PWP-A'!$A$2:$C$31,MATCH('PWP-Print'!T940,'PWP-A'!$B$2:$B$31,0),1)&amp;".png")</f>
        <v>#VALUE!</v>
      </c>
      <c r="T940" s="229" t="str">
        <f>+INDEX(PWP!$A:$Z,MATCH('PWP-Print'!O940,PWP!$B:$B,0),MATCH("PWP Ability 1",PWP!$A$1:$Z$1,0))</f>
        <v>Elemental Res +15%</v>
      </c>
      <c r="U940" s="249" t="str">
        <f>+INDEX(PWP!$A:$Z,MATCH('PWP-Print'!O940,PWP!$B:$B,0),MATCH("Locked PWP Ability 1",PWP!$A$1:$Z$1,0))</f>
        <v>(Flame) Elemental Res +15%</v>
      </c>
    </row>
    <row r="941" spans="1:21" ht="22.5" customHeight="1" x14ac:dyDescent="0.3">
      <c r="C941" s="729"/>
      <c r="D941" s="8"/>
      <c r="E941" s="200" t="str">
        <f>+INDEX(PWP!$A:$Z,MATCH('PWP-Print'!E940,PWP!$B:$B,0),MATCH("ID",PWP!$A$1:$Z$1,0))</f>
        <v>210229_03</v>
      </c>
      <c r="F941" s="8"/>
      <c r="G941" s="249" t="str">
        <f>+INDEX(PWP!$A:$Z,MATCH('PWP-Print'!E940,PWP!$B:$B,0),MATCH("Name",PWP!$A$1:$Z$1,0))</f>
        <v>Fallen Angel Michael</v>
      </c>
      <c r="H941" s="8"/>
      <c r="I941" t="e" vm="14">
        <f>_xlfn.IMAGE("https://natalie.tf/wp-content/uploads/2023/10/DLV3_Icon_Ability_"&amp;INDEX('PWP-A'!$A$2:$C$31,MATCH('PWP-Print'!J941,'PWP-A'!$B$2:$B$31,0),1)&amp;".png")</f>
        <v>#VALUE!</v>
      </c>
      <c r="J941" s="229" t="str">
        <f>+INDEX(PWP!$A:$Z,MATCH('PWP-Print'!E940,PWP!$B:$B,0),MATCH("PWP Ability 2",PWP!$A$1:$Z$1,0))</f>
        <v>Skill Damage +40%</v>
      </c>
      <c r="K941" s="249" t="str">
        <f>+INDEX(PWP!$A:$Z,MATCH('PWP-Print'!E940,PWP!$B:$B,0),MATCH("Locked PWP Ability 2",PWP!$A$1:$Z$1,0))</f>
        <v>(Flame) Skill Damage +40%</v>
      </c>
      <c r="M941" s="729"/>
      <c r="N941" s="8"/>
      <c r="O941" s="200" t="str">
        <f>+INDEX(PWP!$A:$Z,MATCH('PWP-Print'!O940,PWP!$B:$B,0),MATCH("ID",PWP!$A$1:$Z$1,0))</f>
        <v>120176_01</v>
      </c>
      <c r="P941" s="8"/>
      <c r="Q941" s="249" t="str">
        <f>+INDEX(PWP!$A:$Z,MATCH('PWP-Print'!O940,PWP!$B:$B,0),MATCH("Name",PWP!$A$1:$Z$1,0))</f>
        <v>Nazuna</v>
      </c>
      <c r="R941" s="8"/>
      <c r="S941" t="e" vm="802">
        <f>_xlfn.IMAGE("https://natalie.tf/wp-content/uploads/2023/10/DLV3_Icon_Ability_"&amp;INDEX('PWP-A'!$A$2:$C$31,MATCH('PWP-Print'!T941,'PWP-A'!$B$2:$B$31,0),1)&amp;".png")</f>
        <v>#VALUE!</v>
      </c>
      <c r="T941" s="229" t="str">
        <f>+INDEX(PWP!$A:$Z,MATCH('PWP-Print'!O940,PWP!$B:$B,0),MATCH("PWP Ability 2",PWP!$A$1:$Z$1,0))</f>
        <v>HP 70% = Shield +40%</v>
      </c>
      <c r="U941" s="249" t="str">
        <f>+INDEX(PWP!$A:$Z,MATCH('PWP-Print'!O940,PWP!$B:$B,0),MATCH("Locked PWP Ability 2",PWP!$A$1:$Z$1,0))</f>
        <v>(Flame) HP 70% = Shield +40%</v>
      </c>
    </row>
    <row r="942" spans="1:21" ht="22.5" customHeight="1" x14ac:dyDescent="0.3">
      <c r="A942" s="242" t="str">
        <f>TEXT(B934+1,"000")</f>
        <v>451</v>
      </c>
      <c r="B942" s="244" t="str">
        <f>TEXT(A990+1,"000")</f>
        <v>464</v>
      </c>
      <c r="C942" s="729"/>
      <c r="E942" s="251" t="str">
        <f>+INDEX(PWP!$A:$Z,MATCH('PWP-Print'!E940,PWP!$B:$B,0),MATCH("Num",PWP!$A$1:$Z$1,0))</f>
        <v>DN-013</v>
      </c>
      <c r="G942" s="249" t="str">
        <f>+INDEX(PWP!$A:$Z,MATCH('PWP-Print'!E940,PWP!$B:$B,0),MATCH("Element",PWP!$A$1:$Z$1,0))&amp;" "&amp;INDEX(PWP!$A:$Z,MATCH('PWP-Print'!E940,PWP!$B:$B,0),MATCH("Type",PWP!$A$1:$Z$1,0))</f>
        <v>Flame Dragon</v>
      </c>
      <c r="K942" s="250"/>
      <c r="M942" s="729"/>
      <c r="O942" s="251" t="str">
        <f>+INDEX(PWP!$A:$Z,MATCH('PWP-Print'!O940,PWP!$B:$B,0),MATCH("Num",PWP!$A$1:$Z$1,0))</f>
        <v>N/A</v>
      </c>
      <c r="Q942" s="249" t="str">
        <f>+INDEX(PWP!$A:$Z,MATCH('PWP-Print'!O940,PWP!$B:$B,0),MATCH("Element",PWP!$A$1:$Z$1,0))&amp;" "&amp;INDEX(PWP!$A:$Z,MATCH('PWP-Print'!O940,PWP!$B:$B,0),MATCH("Type",PWP!$A$1:$Z$1,0))</f>
        <v>Flame NPC</v>
      </c>
      <c r="U942" s="250"/>
    </row>
    <row r="943" spans="1:21" ht="7.5" customHeight="1" x14ac:dyDescent="0.3">
      <c r="A943" s="244" t="s">
        <v>10763</v>
      </c>
      <c r="E943" s="250"/>
      <c r="G943" s="250"/>
      <c r="K943" s="250"/>
      <c r="O943" s="250"/>
      <c r="Q943" s="250"/>
      <c r="U943" s="250"/>
    </row>
    <row r="944" spans="1:21" ht="22.5" customHeight="1" x14ac:dyDescent="0.3">
      <c r="C944" s="729" t="e" vm="1483">
        <f>_xlfn.IMAGE("https://natalie.tf/wp-content/uploads/2023/11/DLV3_Icon_DRA_Custom_Void_Agni.png")</f>
        <v>#VALUE!</v>
      </c>
      <c r="E944" s="249" t="str">
        <f>"PWP-"&amp;A946</f>
        <v>PWP-452</v>
      </c>
      <c r="G944" s="249" t="str">
        <f>+INDEX(PWP!$A:$Z,MATCH('PWP-Print'!E944,PWP!$B:$B,0),MATCH("Title",PWP!$A$1:$Z$1,0))</f>
        <v>The Ferocious Firelord</v>
      </c>
      <c r="I944" t="e" vm="601">
        <f>_xlfn.IMAGE("https://natalie.tf/wp-content/uploads/2023/10/DLV3_Icon_Ability_"&amp;INDEX('PWP-A'!$A$2:$C$31,MATCH('PWP-Print'!J944,'PWP-A'!$B$2:$B$31,0),1)&amp;".png")</f>
        <v>#VALUE!</v>
      </c>
      <c r="J944" s="229" t="str">
        <f>+INDEX(PWP!$A:$Z,MATCH('PWP-Print'!E944,PWP!$B:$B,0),MATCH("PWP Ability 1",PWP!$A$1:$Z$1,0))</f>
        <v>Dragon Haste +15%</v>
      </c>
      <c r="K944" s="249" t="str">
        <f>+INDEX(PWP!$A:$Z,MATCH('PWP-Print'!E944,PWP!$B:$B,0),MATCH("Locked PWP Ability 1",PWP!$A$1:$Z$1,0))</f>
        <v>(Flame) Dragon Haste +15%</v>
      </c>
      <c r="M944" s="729" t="e" vm="1484">
        <f>_xlfn.IMAGE("https://natalie.tf/wp-content/uploads/2023/11/DLV3_Icon_NPC_"&amp;O945&amp;".png")</f>
        <v>#VALUE!</v>
      </c>
      <c r="O944" s="249" t="str">
        <f>"PWP-"&amp;B946</f>
        <v>PWP-465</v>
      </c>
      <c r="Q944" s="249" t="str">
        <f>+INDEX(PWP!$A:$Z,MATCH('PWP-Print'!O944,PWP!$B:$B,0),MATCH("Title",PWP!$A$1:$Z$1,0))</f>
        <v>Marvelous Naoto</v>
      </c>
      <c r="S944" t="e" vm="14">
        <f>_xlfn.IMAGE("https://natalie.tf/wp-content/uploads/2023/10/DLV3_Icon_Ability_"&amp;INDEX('PWP-A'!$A$2:$C$31,MATCH('PWP-Print'!T944,'PWP-A'!$B$2:$B$31,0),1)&amp;".png")</f>
        <v>#VALUE!</v>
      </c>
      <c r="T944" s="229" t="str">
        <f>+INDEX(PWP!$A:$Z,MATCH('PWP-Print'!O944,PWP!$B:$B,0),MATCH("PWP Ability 1",PWP!$A$1:$Z$1,0))</f>
        <v>Skill Damage +40%</v>
      </c>
      <c r="U944" s="249" t="str">
        <f>+INDEX(PWP!$A:$Z,MATCH('PWP-Print'!O944,PWP!$B:$B,0),MATCH("Locked PWP Ability 1",PWP!$A$1:$Z$1,0))</f>
        <v>(Flame) Skill Damage +40%</v>
      </c>
    </row>
    <row r="945" spans="1:21" ht="22.5" customHeight="1" x14ac:dyDescent="0.3">
      <c r="C945" s="729"/>
      <c r="D945" s="8"/>
      <c r="E945" s="200" t="str">
        <f>+INDEX(PWP!$A:$Z,MATCH('PWP-Print'!E944,PWP!$B:$B,0),MATCH("ID",PWP!$A$1:$Z$1,0))</f>
        <v>210096_01</v>
      </c>
      <c r="F945" s="8"/>
      <c r="G945" s="249" t="str">
        <f>+INDEX(PWP!$A:$Z,MATCH('PWP-Print'!E944,PWP!$B:$B,0),MATCH("Name",PWP!$A$1:$Z$1,0))</f>
        <v>Void Agni</v>
      </c>
      <c r="H945" s="8"/>
      <c r="I945" t="e" vm="496">
        <f>_xlfn.IMAGE("https://natalie.tf/wp-content/uploads/2023/10/DLV3_Icon_Ability_"&amp;INDEX('PWP-A'!$A$2:$C$31,MATCH('PWP-Print'!J945,'PWP-A'!$B$2:$B$31,0),1)&amp;".png")</f>
        <v>#VALUE!</v>
      </c>
      <c r="J945" s="229" t="str">
        <f>+INDEX(PWP!$A:$Z,MATCH('PWP-Print'!E944,PWP!$B:$B,0),MATCH("PWP Ability 2",PWP!$A$1:$Z$1,0))</f>
        <v>HP +15%</v>
      </c>
      <c r="K945" s="249" t="str">
        <f>+INDEX(PWP!$A:$Z,MATCH('PWP-Print'!E944,PWP!$B:$B,0),MATCH("Locked PWP Ability 2",PWP!$A$1:$Z$1,0))</f>
        <v>(Flame) HP +15%</v>
      </c>
      <c r="M945" s="729"/>
      <c r="N945" s="8"/>
      <c r="O945" s="200" t="str">
        <f>+INDEX(PWP!$A:$Z,MATCH('PWP-Print'!O944,PWP!$B:$B,0),MATCH("ID",PWP!$A$1:$Z$1,0))</f>
        <v>120178_01</v>
      </c>
      <c r="P945" s="8"/>
      <c r="Q945" s="249" t="str">
        <f>+INDEX(PWP!$A:$Z,MATCH('PWP-Print'!O944,PWP!$B:$B,0),MATCH("Name",PWP!$A$1:$Z$1,0))</f>
        <v>Rikugo</v>
      </c>
      <c r="R945" s="8"/>
      <c r="S945" t="e" vm="330">
        <f>_xlfn.IMAGE("https://natalie.tf/wp-content/uploads/2023/10/DLV3_Icon_Ability_"&amp;INDEX('PWP-A'!$A$2:$C$31,MATCH('PWP-Print'!T945,'PWP-A'!$B$2:$B$31,0),1)&amp;".png")</f>
        <v>#VALUE!</v>
      </c>
      <c r="T945" s="229" t="str">
        <f>+INDEX(PWP!$A:$Z,MATCH('PWP-Print'!O944,PWP!$B:$B,0),MATCH("PWP Ability 2",PWP!$A$1:$Z$1,0))</f>
        <v>Skill Haste +10%</v>
      </c>
      <c r="U945" s="249" t="str">
        <f>+INDEX(PWP!$A:$Z,MATCH('PWP-Print'!O944,PWP!$B:$B,0),MATCH("Locked PWP Ability 2",PWP!$A$1:$Z$1,0))</f>
        <v>(Flame) Skill Haste +10%</v>
      </c>
    </row>
    <row r="946" spans="1:21" ht="22.5" customHeight="1" x14ac:dyDescent="0.3">
      <c r="A946" s="244" t="str">
        <f>TEXT(A942+1,"000")</f>
        <v>452</v>
      </c>
      <c r="B946" s="244" t="str">
        <f>TEXT(B942+1,"000")</f>
        <v>465</v>
      </c>
      <c r="C946" s="729"/>
      <c r="E946" s="251" t="str">
        <f>+INDEX(PWP!$A:$Z,MATCH('PWP-Print'!E944,PWP!$B:$B,0),MATCH("Num",PWP!$A$1:$Z$1,0))</f>
        <v>DN-014</v>
      </c>
      <c r="G946" s="249" t="str">
        <f>+INDEX(PWP!$A:$Z,MATCH('PWP-Print'!E944,PWP!$B:$B,0),MATCH("Element",PWP!$A$1:$Z$1,0))&amp;" "&amp;INDEX(PWP!$A:$Z,MATCH('PWP-Print'!E944,PWP!$B:$B,0),MATCH("Type",PWP!$A$1:$Z$1,0))</f>
        <v>Flame Dragon</v>
      </c>
      <c r="K946" s="250"/>
      <c r="M946" s="729"/>
      <c r="O946" s="251" t="str">
        <f>+INDEX(PWP!$A:$Z,MATCH('PWP-Print'!O944,PWP!$B:$B,0),MATCH("Num",PWP!$A$1:$Z$1,0))</f>
        <v>N/A</v>
      </c>
      <c r="Q946" s="249" t="str">
        <f>+INDEX(PWP!$A:$Z,MATCH('PWP-Print'!O944,PWP!$B:$B,0),MATCH("Element",PWP!$A$1:$Z$1,0))&amp;" "&amp;INDEX(PWP!$A:$Z,MATCH('PWP-Print'!O944,PWP!$B:$B,0),MATCH("Type",PWP!$A$1:$Z$1,0))</f>
        <v>Flame NPC</v>
      </c>
      <c r="U946" s="250"/>
    </row>
    <row r="947" spans="1:21" ht="7.5" customHeight="1" x14ac:dyDescent="0.3">
      <c r="A947" s="244" t="s">
        <v>10763</v>
      </c>
      <c r="E947" s="250"/>
      <c r="G947" s="250"/>
      <c r="K947" s="250"/>
      <c r="O947" s="250"/>
      <c r="Q947" s="250"/>
      <c r="U947" s="250"/>
    </row>
    <row r="948" spans="1:21" ht="22.5" customHeight="1" x14ac:dyDescent="0.3">
      <c r="C948" s="729" t="e" vm="1485">
        <f>_xlfn.IMAGE("https://natalie.tf/wp-content/uploads/2023/11/DLV3_Icon_DRA_Custom_Void_Poseidon.png")</f>
        <v>#VALUE!</v>
      </c>
      <c r="E948" s="249" t="str">
        <f>"PWP-"&amp;A950</f>
        <v>PWP-453</v>
      </c>
      <c r="G948" s="249" t="str">
        <f>+INDEX(PWP!$A:$Z,MATCH('PWP-Print'!E948,PWP!$B:$B,0),MATCH("Title",PWP!$A$1:$Z$1,0))</f>
        <v>The Hollow Lakelord</v>
      </c>
      <c r="I948" t="e" vm="601">
        <f>_xlfn.IMAGE("https://natalie.tf/wp-content/uploads/2023/10/DLV3_Icon_Ability_"&amp;INDEX('PWP-A'!$A$2:$C$31,MATCH('PWP-Print'!J948,'PWP-A'!$B$2:$B$31,0),1)&amp;".png")</f>
        <v>#VALUE!</v>
      </c>
      <c r="J948" s="229" t="str">
        <f>+INDEX(PWP!$A:$Z,MATCH('PWP-Print'!E948,PWP!$B:$B,0),MATCH("PWP Ability 1",PWP!$A$1:$Z$1,0))</f>
        <v>Dragon Haste +15%</v>
      </c>
      <c r="K948" s="249" t="str">
        <f>+INDEX(PWP!$A:$Z,MATCH('PWP-Print'!E948,PWP!$B:$B,0),MATCH("Locked PWP Ability 1",PWP!$A$1:$Z$1,0))</f>
        <v>(Water) Dragon Haste +15%</v>
      </c>
      <c r="M948" s="729" t="e" vm="1486">
        <f>_xlfn.IMAGE("https://natalie.tf/wp-content/uploads/2023/11/DLV3_Icon_NPC_"&amp;O949&amp;".png")</f>
        <v>#VALUE!</v>
      </c>
      <c r="O948" s="249" t="str">
        <f>"PWP-"&amp;B950</f>
        <v>PWP-466</v>
      </c>
      <c r="Q948" s="249" t="str">
        <f>+INDEX(PWP!$A:$Z,MATCH('PWP-Print'!O948,PWP!$B:$B,0),MATCH("Title",PWP!$A$1:$Z$1,0))</f>
        <v>Ex Machina Commander</v>
      </c>
      <c r="S948" t="e" vm="444">
        <f>_xlfn.IMAGE("https://natalie.tf/wp-content/uploads/2023/10/DLV3_Icon_Ability_"&amp;INDEX('PWP-A'!$A$2:$C$31,MATCH('PWP-Print'!T948,'PWP-A'!$B$2:$B$31,0),1)&amp;".png")</f>
        <v>#VALUE!</v>
      </c>
      <c r="T948" s="229" t="str">
        <f>+INDEX(PWP!$A:$Z,MATCH('PWP-Print'!O948,PWP!$B:$B,0),MATCH("PWP Ability 1",PWP!$A$1:$Z$1,0))</f>
        <v>Buff Skill Time +30%</v>
      </c>
      <c r="U948" s="249" t="str">
        <f>+INDEX(PWP!$A:$Z,MATCH('PWP-Print'!O948,PWP!$B:$B,0),MATCH("Locked PWP Ability 1",PWP!$A$1:$Z$1,0))</f>
        <v>(Flame) Buff Skill Time +30%</v>
      </c>
    </row>
    <row r="949" spans="1:21" ht="22.5" customHeight="1" x14ac:dyDescent="0.3">
      <c r="C949" s="729"/>
      <c r="D949" s="8"/>
      <c r="E949" s="200" t="str">
        <f>+INDEX(PWP!$A:$Z,MATCH('PWP-Print'!E948,PWP!$B:$B,0),MATCH("ID",PWP!$A$1:$Z$1,0))</f>
        <v>210101_01</v>
      </c>
      <c r="F949" s="8"/>
      <c r="G949" s="249" t="str">
        <f>+INDEX(PWP!$A:$Z,MATCH('PWP-Print'!E948,PWP!$B:$B,0),MATCH("Name",PWP!$A$1:$Z$1,0))</f>
        <v>Void Poseidon</v>
      </c>
      <c r="H949" s="8"/>
      <c r="I949" t="e" vm="496">
        <f>_xlfn.IMAGE("https://natalie.tf/wp-content/uploads/2023/10/DLV3_Icon_Ability_"&amp;INDEX('PWP-A'!$A$2:$C$31,MATCH('PWP-Print'!J949,'PWP-A'!$B$2:$B$31,0),1)&amp;".png")</f>
        <v>#VALUE!</v>
      </c>
      <c r="J949" s="229" t="str">
        <f>+INDEX(PWP!$A:$Z,MATCH('PWP-Print'!E948,PWP!$B:$B,0),MATCH("PWP Ability 2",PWP!$A$1:$Z$1,0))</f>
        <v>HP +15%</v>
      </c>
      <c r="K949" s="249" t="str">
        <f>+INDEX(PWP!$A:$Z,MATCH('PWP-Print'!E948,PWP!$B:$B,0),MATCH("Locked PWP Ability 2",PWP!$A$1:$Z$1,0))</f>
        <v>(Water) HP +15%</v>
      </c>
      <c r="M949" s="729"/>
      <c r="N949" s="8"/>
      <c r="O949" s="200" t="str">
        <f>+INDEX(PWP!$A:$Z,MATCH('PWP-Print'!O948,PWP!$B:$B,0),MATCH("ID",PWP!$A$1:$Z$1,0))</f>
        <v>120218_01</v>
      </c>
      <c r="P949" s="8"/>
      <c r="Q949" s="249" t="str">
        <f>+INDEX(PWP!$A:$Z,MATCH('PWP-Print'!O948,PWP!$B:$B,0),MATCH("Name",PWP!$A$1:$Z$1,0))</f>
        <v>Anassa</v>
      </c>
      <c r="R949" s="8"/>
      <c r="S949" t="e" vm="330">
        <f>_xlfn.IMAGE("https://natalie.tf/wp-content/uploads/2023/10/DLV3_Icon_Ability_"&amp;INDEX('PWP-A'!$A$2:$C$31,MATCH('PWP-Print'!T949,'PWP-A'!$B$2:$B$31,0),1)&amp;".png")</f>
        <v>#VALUE!</v>
      </c>
      <c r="T949" s="229" t="str">
        <f>+INDEX(PWP!$A:$Z,MATCH('PWP-Print'!O948,PWP!$B:$B,0),MATCH("PWP Ability 2",PWP!$A$1:$Z$1,0))</f>
        <v>Skill Haste +10%</v>
      </c>
      <c r="U949" s="249" t="str">
        <f>+INDEX(PWP!$A:$Z,MATCH('PWP-Print'!O948,PWP!$B:$B,0),MATCH("Locked PWP Ability 2",PWP!$A$1:$Z$1,0))</f>
        <v>(Flame) Skill Haste +10%</v>
      </c>
    </row>
    <row r="950" spans="1:21" ht="22.5" customHeight="1" x14ac:dyDescent="0.3">
      <c r="A950" s="244" t="str">
        <f>TEXT(A946+1,"000")</f>
        <v>453</v>
      </c>
      <c r="B950" s="244" t="str">
        <f>TEXT(B946+1,"000")</f>
        <v>466</v>
      </c>
      <c r="C950" s="729"/>
      <c r="E950" s="251" t="str">
        <f>+INDEX(PWP!$A:$Z,MATCH('PWP-Print'!E948,PWP!$B:$B,0),MATCH("Num",PWP!$A$1:$Z$1,0))</f>
        <v>DN-015</v>
      </c>
      <c r="G950" s="249" t="str">
        <f>+INDEX(PWP!$A:$Z,MATCH('PWP-Print'!E948,PWP!$B:$B,0),MATCH("Element",PWP!$A$1:$Z$1,0))&amp;" "&amp;INDEX(PWP!$A:$Z,MATCH('PWP-Print'!E948,PWP!$B:$B,0),MATCH("Type",PWP!$A$1:$Z$1,0))</f>
        <v>Water Dragon</v>
      </c>
      <c r="K950" s="250"/>
      <c r="M950" s="729"/>
      <c r="O950" s="251" t="str">
        <f>+INDEX(PWP!$A:$Z,MATCH('PWP-Print'!O948,PWP!$B:$B,0),MATCH("Num",PWP!$A$1:$Z$1,0))</f>
        <v>N/A</v>
      </c>
      <c r="Q950" s="249" t="str">
        <f>+INDEX(PWP!$A:$Z,MATCH('PWP-Print'!O948,PWP!$B:$B,0),MATCH("Element",PWP!$A$1:$Z$1,0))&amp;" "&amp;INDEX(PWP!$A:$Z,MATCH('PWP-Print'!O948,PWP!$B:$B,0),MATCH("Type",PWP!$A$1:$Z$1,0))</f>
        <v>Flame NPC</v>
      </c>
      <c r="U950" s="250"/>
    </row>
    <row r="951" spans="1:21" ht="7.5" customHeight="1" x14ac:dyDescent="0.3">
      <c r="A951" s="244" t="s">
        <v>10763</v>
      </c>
      <c r="E951" s="250"/>
      <c r="G951" s="250"/>
      <c r="K951" s="250"/>
      <c r="O951" s="250"/>
      <c r="Q951" s="250"/>
      <c r="U951" s="250"/>
    </row>
    <row r="952" spans="1:21" ht="22.5" customHeight="1" x14ac:dyDescent="0.3">
      <c r="C952" s="729" t="e" vm="1487">
        <f>_xlfn.IMAGE("https://natalie.tf/wp-content/uploads/2023/11/DLV3_Icon_DRA_Custom_Void_Zephyr.png")</f>
        <v>#VALUE!</v>
      </c>
      <c r="E952" s="249" t="str">
        <f>"PWP-"&amp;A954</f>
        <v>PWP-454</v>
      </c>
      <c r="G952" s="249" t="str">
        <f>+INDEX(PWP!$A:$Z,MATCH('PWP-Print'!E952,PWP!$B:$B,0),MATCH("Title",PWP!$A$1:$Z$1,0))</f>
        <v>The Stagnant Guardian</v>
      </c>
      <c r="I952" t="e" vm="601">
        <f>_xlfn.IMAGE("https://natalie.tf/wp-content/uploads/2023/10/DLV3_Icon_Ability_"&amp;INDEX('PWP-A'!$A$2:$C$31,MATCH('PWP-Print'!J952,'PWP-A'!$B$2:$B$31,0),1)&amp;".png")</f>
        <v>#VALUE!</v>
      </c>
      <c r="J952" s="229" t="str">
        <f>+INDEX(PWP!$A:$Z,MATCH('PWP-Print'!E952,PWP!$B:$B,0),MATCH("PWP Ability 1",PWP!$A$1:$Z$1,0))</f>
        <v>Dragon Haste +15%</v>
      </c>
      <c r="K952" s="249" t="str">
        <f>+INDEX(PWP!$A:$Z,MATCH('PWP-Print'!E952,PWP!$B:$B,0),MATCH("Locked PWP Ability 1",PWP!$A$1:$Z$1,0))</f>
        <v>(Wind) Dragon Haste +15%</v>
      </c>
      <c r="M952" s="729" t="e" vm="1488">
        <f>_xlfn.IMAGE("https://natalie.tf/wp-content/uploads/2023/11/DLV3_Icon_NPC_"&amp;O953&amp;".png")</f>
        <v>#VALUE!</v>
      </c>
      <c r="O952" s="249" t="str">
        <f>"PWP-"&amp;B954</f>
        <v>PWP-467</v>
      </c>
      <c r="Q952" s="249" t="str">
        <f>+INDEX(PWP!$A:$Z,MATCH('PWP-Print'!O952,PWP!$B:$B,0),MATCH("Title",PWP!$A$1:$Z$1,0))</f>
        <v>The Captain</v>
      </c>
      <c r="S952" t="e" vm="14">
        <f>_xlfn.IMAGE("https://natalie.tf/wp-content/uploads/2023/10/DLV3_Icon_Ability_"&amp;INDEX('PWP-A'!$A$2:$C$31,MATCH('PWP-Print'!T952,'PWP-A'!$B$2:$B$31,0),1)&amp;".png")</f>
        <v>#VALUE!</v>
      </c>
      <c r="T952" s="229" t="str">
        <f>+INDEX(PWP!$A:$Z,MATCH('PWP-Print'!O952,PWP!$B:$B,0),MATCH("PWP Ability 1",PWP!$A$1:$Z$1,0))</f>
        <v>Skill Damage +40%</v>
      </c>
      <c r="U952" s="249" t="str">
        <f>+INDEX(PWP!$A:$Z,MATCH('PWP-Print'!O952,PWP!$B:$B,0),MATCH("Locked PWP Ability 1",PWP!$A$1:$Z$1,0))</f>
        <v>(Flame) Skill Damage +40%</v>
      </c>
    </row>
    <row r="953" spans="1:21" ht="22.5" customHeight="1" x14ac:dyDescent="0.3">
      <c r="C953" s="729"/>
      <c r="D953" s="8"/>
      <c r="E953" s="200" t="str">
        <f>+INDEX(PWP!$A:$Z,MATCH('PWP-Print'!E952,PWP!$B:$B,0),MATCH("ID",PWP!$A$1:$Z$1,0))</f>
        <v>210088_01</v>
      </c>
      <c r="F953" s="8"/>
      <c r="G953" s="249" t="str">
        <f>+INDEX(PWP!$A:$Z,MATCH('PWP-Print'!E952,PWP!$B:$B,0),MATCH("Name",PWP!$A$1:$Z$1,0))</f>
        <v>Void Zephyr</v>
      </c>
      <c r="H953" s="8"/>
      <c r="I953" t="e" vm="496">
        <f>_xlfn.IMAGE("https://natalie.tf/wp-content/uploads/2023/10/DLV3_Icon_Ability_"&amp;INDEX('PWP-A'!$A$2:$C$31,MATCH('PWP-Print'!J953,'PWP-A'!$B$2:$B$31,0),1)&amp;".png")</f>
        <v>#VALUE!</v>
      </c>
      <c r="J953" s="229" t="str">
        <f>+INDEX(PWP!$A:$Z,MATCH('PWP-Print'!E952,PWP!$B:$B,0),MATCH("PWP Ability 2",PWP!$A$1:$Z$1,0))</f>
        <v>HP +15%</v>
      </c>
      <c r="K953" s="249" t="str">
        <f>+INDEX(PWP!$A:$Z,MATCH('PWP-Print'!E952,PWP!$B:$B,0),MATCH("Locked PWP Ability 2",PWP!$A$1:$Z$1,0))</f>
        <v>(Wind) HP +15%</v>
      </c>
      <c r="M953" s="729"/>
      <c r="N953" s="8"/>
      <c r="O953" s="200" t="str">
        <f>+INDEX(PWP!$A:$Z,MATCH('PWP-Print'!O952,PWP!$B:$B,0),MATCH("ID",PWP!$A$1:$Z$1,0))</f>
        <v>120237_02</v>
      </c>
      <c r="P953" s="8"/>
      <c r="Q953" s="249" t="str">
        <f>+INDEX(PWP!$A:$Z,MATCH('PWP-Print'!O952,PWP!$B:$B,0),MATCH("Name",PWP!$A$1:$Z$1,0))</f>
        <v>Jake</v>
      </c>
      <c r="R953" s="8"/>
      <c r="S953" t="e" vm="414">
        <f>_xlfn.IMAGE("https://natalie.tf/wp-content/uploads/2023/10/DLV3_Icon_Ability_"&amp;INDEX('PWP-A'!$A$2:$C$31,MATCH('PWP-Print'!T953,'PWP-A'!$B$2:$B$31,0),1)&amp;".png")</f>
        <v>#VALUE!</v>
      </c>
      <c r="T953" s="229" t="str">
        <f>+INDEX(PWP!$A:$Z,MATCH('PWP-Print'!O952,PWP!$B:$B,0),MATCH("PWP Ability 2",PWP!$A$1:$Z$1,0))</f>
        <v>Critical Damage +25%</v>
      </c>
      <c r="U953" s="249" t="str">
        <f>+INDEX(PWP!$A:$Z,MATCH('PWP-Print'!O952,PWP!$B:$B,0),MATCH("Locked PWP Ability 2",PWP!$A$1:$Z$1,0))</f>
        <v>(Flame) Critical Damage +25%</v>
      </c>
    </row>
    <row r="954" spans="1:21" ht="22.5" customHeight="1" x14ac:dyDescent="0.3">
      <c r="A954" s="244" t="str">
        <f>TEXT(A950+1,"000")</f>
        <v>454</v>
      </c>
      <c r="B954" s="244" t="str">
        <f>TEXT(B950+1,"000")</f>
        <v>467</v>
      </c>
      <c r="C954" s="729"/>
      <c r="E954" s="251" t="str">
        <f>+INDEX(PWP!$A:$Z,MATCH('PWP-Print'!E952,PWP!$B:$B,0),MATCH("Num",PWP!$A$1:$Z$1,0))</f>
        <v>DN-016</v>
      </c>
      <c r="G954" s="249" t="str">
        <f>+INDEX(PWP!$A:$Z,MATCH('PWP-Print'!E952,PWP!$B:$B,0),MATCH("Element",PWP!$A$1:$Z$1,0))&amp;" "&amp;INDEX(PWP!$A:$Z,MATCH('PWP-Print'!E952,PWP!$B:$B,0),MATCH("Type",PWP!$A$1:$Z$1,0))</f>
        <v>Wind Dragon</v>
      </c>
      <c r="K954" s="250"/>
      <c r="M954" s="729"/>
      <c r="O954" s="251" t="str">
        <f>+INDEX(PWP!$A:$Z,MATCH('PWP-Print'!O952,PWP!$B:$B,0),MATCH("Num",PWP!$A$1:$Z$1,0))</f>
        <v>N/A</v>
      </c>
      <c r="Q954" s="249" t="str">
        <f>+INDEX(PWP!$A:$Z,MATCH('PWP-Print'!O952,PWP!$B:$B,0),MATCH("Element",PWP!$A$1:$Z$1,0))&amp;" "&amp;INDEX(PWP!$A:$Z,MATCH('PWP-Print'!O952,PWP!$B:$B,0),MATCH("Type",PWP!$A$1:$Z$1,0))</f>
        <v>Flame NPC</v>
      </c>
      <c r="U954" s="250"/>
    </row>
    <row r="955" spans="1:21" ht="7.5" customHeight="1" x14ac:dyDescent="0.3">
      <c r="A955" s="244" t="s">
        <v>10763</v>
      </c>
      <c r="E955" s="250"/>
      <c r="G955" s="250"/>
      <c r="K955" s="250"/>
      <c r="O955" s="250"/>
      <c r="Q955" s="250"/>
      <c r="U955" s="250"/>
    </row>
    <row r="956" spans="1:21" ht="22.5" customHeight="1" x14ac:dyDescent="0.3">
      <c r="C956" s="729" t="e" vm="1489">
        <f>_xlfn.IMAGE("https://natalie.tf/wp-content/uploads/2023/11/DLV3_Icon_DRA_Custom_Void_Jean_dArc.png")</f>
        <v>#VALUE!</v>
      </c>
      <c r="E956" s="249" t="str">
        <f>"PWP-"&amp;A958</f>
        <v>PWP-455</v>
      </c>
      <c r="G956" s="249" t="str">
        <f>+INDEX(PWP!$A:$Z,MATCH('PWP-Print'!E956,PWP!$B:$B,0),MATCH("Title",PWP!$A$1:$Z$1,0))</f>
        <v>The Sacrilegious Saint</v>
      </c>
      <c r="I956" t="e" vm="601">
        <f>_xlfn.IMAGE("https://natalie.tf/wp-content/uploads/2023/10/DLV3_Icon_Ability_"&amp;INDEX('PWP-A'!$A$2:$C$31,MATCH('PWP-Print'!J956,'PWP-A'!$B$2:$B$31,0),1)&amp;".png")</f>
        <v>#VALUE!</v>
      </c>
      <c r="J956" s="229" t="str">
        <f>+INDEX(PWP!$A:$Z,MATCH('PWP-Print'!E956,PWP!$B:$B,0),MATCH("PWP Ability 1",PWP!$A$1:$Z$1,0))</f>
        <v>Dragon Haste +15%</v>
      </c>
      <c r="K956" s="249" t="str">
        <f>+INDEX(PWP!$A:$Z,MATCH('PWP-Print'!E956,PWP!$B:$B,0),MATCH("Locked PWP Ability 1",PWP!$A$1:$Z$1,0))</f>
        <v>(Light) Dragon Haste +15%</v>
      </c>
      <c r="M956" s="729" t="e" vm="1490">
        <f>_xlfn.IMAGE("https://natalie.tf/wp-content/uploads/2023/11/DLV3_Icon_NPC_"&amp;O957&amp;".png")</f>
        <v>#VALUE!</v>
      </c>
      <c r="O956" s="249" t="str">
        <f>"PWP-"&amp;B958</f>
        <v>PWP-468</v>
      </c>
      <c r="Q956" s="249" t="str">
        <f>+INDEX(PWP!$A:$Z,MATCH('PWP-Print'!O956,PWP!$B:$B,0),MATCH("Title",PWP!$A$1:$Z$1,0))</f>
        <v>Wagabond Pupper</v>
      </c>
      <c r="S956" t="e" vm="426">
        <f>_xlfn.IMAGE("https://natalie.tf/wp-content/uploads/2023/10/DLV3_Icon_Ability_"&amp;INDEX('PWP-A'!$A$2:$C$31,MATCH('PWP-Print'!T956,'PWP-A'!$B$2:$B$31,0),1)&amp;".png")</f>
        <v>#VALUE!</v>
      </c>
      <c r="T956" s="229" t="str">
        <f>+INDEX(PWP!$A:$Z,MATCH('PWP-Print'!O956,PWP!$B:$B,0),MATCH("PWP Ability 1",PWP!$A$1:$Z$1,0))</f>
        <v>Defense +20%</v>
      </c>
      <c r="U956" s="249" t="str">
        <f>+INDEX(PWP!$A:$Z,MATCH('PWP-Print'!O956,PWP!$B:$B,0),MATCH("Locked PWP Ability 1",PWP!$A$1:$Z$1,0))</f>
        <v>(Flame) Defense +20%</v>
      </c>
    </row>
    <row r="957" spans="1:21" ht="22.5" customHeight="1" x14ac:dyDescent="0.3">
      <c r="C957" s="729"/>
      <c r="D957" s="8"/>
      <c r="E957" s="200" t="str">
        <f>+INDEX(PWP!$A:$Z,MATCH('PWP-Print'!E956,PWP!$B:$B,0),MATCH("ID",PWP!$A$1:$Z$1,0))</f>
        <v>210102_01</v>
      </c>
      <c r="F957" s="8"/>
      <c r="G957" s="249" t="str">
        <f>+INDEX(PWP!$A:$Z,MATCH('PWP-Print'!E956,PWP!$B:$B,0),MATCH("Name",PWP!$A$1:$Z$1,0))</f>
        <v>Void Jeanne d'Arc</v>
      </c>
      <c r="H957" s="8"/>
      <c r="I957" t="e" vm="496">
        <f>_xlfn.IMAGE("https://natalie.tf/wp-content/uploads/2023/10/DLV3_Icon_Ability_"&amp;INDEX('PWP-A'!$A$2:$C$31,MATCH('PWP-Print'!J957,'PWP-A'!$B$2:$B$31,0),1)&amp;".png")</f>
        <v>#VALUE!</v>
      </c>
      <c r="J957" s="229" t="str">
        <f>+INDEX(PWP!$A:$Z,MATCH('PWP-Print'!E956,PWP!$B:$B,0),MATCH("PWP Ability 2",PWP!$A$1:$Z$1,0))</f>
        <v>HP +15%</v>
      </c>
      <c r="K957" s="249" t="str">
        <f>+INDEX(PWP!$A:$Z,MATCH('PWP-Print'!E956,PWP!$B:$B,0),MATCH("Locked PWP Ability 2",PWP!$A$1:$Z$1,0))</f>
        <v>(Light) HP +15%</v>
      </c>
      <c r="M957" s="729"/>
      <c r="N957" s="8"/>
      <c r="O957" s="200" t="str">
        <f>+INDEX(PWP!$A:$Z,MATCH('PWP-Print'!O956,PWP!$B:$B,0),MATCH("ID",PWP!$A$1:$Z$1,0))</f>
        <v>210128_01</v>
      </c>
      <c r="P957" s="8"/>
      <c r="Q957" s="249" t="str">
        <f>+INDEX(PWP!$A:$Z,MATCH('PWP-Print'!O956,PWP!$B:$B,0),MATCH("Name",PWP!$A$1:$Z$1,0))</f>
        <v>Puppy</v>
      </c>
      <c r="R957" s="8"/>
      <c r="S957" t="e" vm="802">
        <f>_xlfn.IMAGE("https://natalie.tf/wp-content/uploads/2023/10/DLV3_Icon_Ability_"&amp;INDEX('PWP-A'!$A$2:$C$31,MATCH('PWP-Print'!T957,'PWP-A'!$B$2:$B$31,0),1)&amp;".png")</f>
        <v>#VALUE!</v>
      </c>
      <c r="T957" s="229" t="str">
        <f>+INDEX(PWP!$A:$Z,MATCH('PWP-Print'!O956,PWP!$B:$B,0),MATCH("PWP Ability 2",PWP!$A$1:$Z$1,0))</f>
        <v>HP 70% = Shield +40%</v>
      </c>
      <c r="U957" s="249" t="str">
        <f>+INDEX(PWP!$A:$Z,MATCH('PWP-Print'!O956,PWP!$B:$B,0),MATCH("Locked PWP Ability 2",PWP!$A$1:$Z$1,0))</f>
        <v>(Flame) HP 70% = Shield +40%</v>
      </c>
    </row>
    <row r="958" spans="1:21" ht="22.5" customHeight="1" x14ac:dyDescent="0.3">
      <c r="A958" s="244" t="str">
        <f>TEXT(A954+1,"000")</f>
        <v>455</v>
      </c>
      <c r="B958" s="244" t="str">
        <f>TEXT(B954+1,"000")</f>
        <v>468</v>
      </c>
      <c r="C958" s="729"/>
      <c r="E958" s="251" t="str">
        <f>+INDEX(PWP!$A:$Z,MATCH('PWP-Print'!E956,PWP!$B:$B,0),MATCH("Num",PWP!$A$1:$Z$1,0))</f>
        <v>DN-017</v>
      </c>
      <c r="G958" s="249" t="str">
        <f>+INDEX(PWP!$A:$Z,MATCH('PWP-Print'!E956,PWP!$B:$B,0),MATCH("Element",PWP!$A$1:$Z$1,0))&amp;" "&amp;INDEX(PWP!$A:$Z,MATCH('PWP-Print'!E956,PWP!$B:$B,0),MATCH("Type",PWP!$A$1:$Z$1,0))</f>
        <v>Light Dragon</v>
      </c>
      <c r="K958" s="250"/>
      <c r="M958" s="729"/>
      <c r="O958" s="251" t="str">
        <f>+INDEX(PWP!$A:$Z,MATCH('PWP-Print'!O956,PWP!$B:$B,0),MATCH("Num",PWP!$A$1:$Z$1,0))</f>
        <v>N/A</v>
      </c>
      <c r="Q958" s="249" t="str">
        <f>+INDEX(PWP!$A:$Z,MATCH('PWP-Print'!O956,PWP!$B:$B,0),MATCH("Element",PWP!$A$1:$Z$1,0))&amp;" "&amp;INDEX(PWP!$A:$Z,MATCH('PWP-Print'!O956,PWP!$B:$B,0),MATCH("Type",PWP!$A$1:$Z$1,0))</f>
        <v>Flame NPC</v>
      </c>
      <c r="U958" s="250"/>
    </row>
    <row r="959" spans="1:21" ht="7.5" customHeight="1" x14ac:dyDescent="0.3">
      <c r="A959" s="244" t="s">
        <v>10763</v>
      </c>
      <c r="E959" s="250"/>
      <c r="G959" s="250"/>
      <c r="K959" s="250"/>
      <c r="O959" s="250"/>
      <c r="Q959" s="250"/>
      <c r="U959" s="250"/>
    </row>
    <row r="960" spans="1:21" ht="22.5" customHeight="1" x14ac:dyDescent="0.3">
      <c r="C960" s="729" t="e" vm="1491">
        <f>_xlfn.IMAGE("https://natalie.tf/wp-content/uploads/2023/11/DLV3_Icon_DRA_Custom_Void_Nidhogg.png")</f>
        <v>#VALUE!</v>
      </c>
      <c r="E960" s="249" t="str">
        <f>"PWP-"&amp;A962</f>
        <v>PWP-456</v>
      </c>
      <c r="G960" s="249" t="str">
        <f>+INDEX(PWP!$A:$Z,MATCH('PWP-Print'!E960,PWP!$B:$B,0),MATCH("Title",PWP!$A$1:$Z$1,0))</f>
        <v>Nidhogg Corrupted</v>
      </c>
      <c r="I960" t="e" vm="601">
        <f>_xlfn.IMAGE("https://natalie.tf/wp-content/uploads/2023/10/DLV3_Icon_Ability_"&amp;INDEX('PWP-A'!$A$2:$C$31,MATCH('PWP-Print'!J960,'PWP-A'!$B$2:$B$31,0),1)&amp;".png")</f>
        <v>#VALUE!</v>
      </c>
      <c r="J960" s="229" t="str">
        <f>+INDEX(PWP!$A:$Z,MATCH('PWP-Print'!E960,PWP!$B:$B,0),MATCH("PWP Ability 1",PWP!$A$1:$Z$1,0))</f>
        <v>Dragon Haste +15%</v>
      </c>
      <c r="K960" s="249" t="str">
        <f>+INDEX(PWP!$A:$Z,MATCH('PWP-Print'!E960,PWP!$B:$B,0),MATCH("Locked PWP Ability 1",PWP!$A$1:$Z$1,0))</f>
        <v>(Shadow) Dragon Haste +15%</v>
      </c>
      <c r="M960" s="729" t="e" vm="1492">
        <f>_xlfn.IMAGE("https://natalie.tf/wp-content/uploads/2023/11/DLV3_Icon_NPC_Custom_"&amp;O961&amp;".png")</f>
        <v>#VALUE!</v>
      </c>
      <c r="O960" s="249" t="str">
        <f>"PWP-"&amp;B962</f>
        <v>PWP-469</v>
      </c>
      <c r="Q960" s="179" t="str">
        <f>+INDEX(PWP!$A:$Z,MATCH('PWP-Print'!O960,PWP!$B:$B,0),MATCH("Title",PWP!$A$1:$Z$1,0))</f>
        <v>Monster of Legion</v>
      </c>
      <c r="S960" t="e" vm="14">
        <f>_xlfn.IMAGE("https://natalie.tf/wp-content/uploads/2023/10/DLV3_Icon_Ability_"&amp;INDEX('PWP-A'!$A$2:$C$31,MATCH('PWP-Print'!T960,'PWP-A'!$B$2:$B$31,0),1)&amp;".png")</f>
        <v>#VALUE!</v>
      </c>
      <c r="T960" s="229" t="str">
        <f>+INDEX(PWP!$A:$Z,MATCH('PWP-Print'!O960,PWP!$B:$B,0),MATCH("PWP Ability 1",PWP!$A$1:$Z$1,0))</f>
        <v>Strength +20%</v>
      </c>
      <c r="U960" s="249" t="str">
        <f>+INDEX(PWP!$A:$Z,MATCH('PWP-Print'!O960,PWP!$B:$B,0),MATCH("Locked PWP Ability 1",PWP!$A$1:$Z$1,0))</f>
        <v>(Light) Strength +20%</v>
      </c>
    </row>
    <row r="961" spans="1:21" ht="22.5" customHeight="1" x14ac:dyDescent="0.3">
      <c r="C961" s="729"/>
      <c r="D961" s="8"/>
      <c r="E961" s="200" t="str">
        <f>+INDEX(PWP!$A:$Z,MATCH('PWP-Print'!E960,PWP!$B:$B,0),MATCH("ID",PWP!$A$1:$Z$1,0))</f>
        <v>210106_01</v>
      </c>
      <c r="F961" s="8"/>
      <c r="G961" s="249" t="str">
        <f>+INDEX(PWP!$A:$Z,MATCH('PWP-Print'!E960,PWP!$B:$B,0),MATCH("Name",PWP!$A$1:$Z$1,0))</f>
        <v>Void Nidhogg</v>
      </c>
      <c r="H961" s="8"/>
      <c r="I961" t="e" vm="496">
        <f>_xlfn.IMAGE("https://natalie.tf/wp-content/uploads/2023/10/DLV3_Icon_Ability_"&amp;INDEX('PWP-A'!$A$2:$C$31,MATCH('PWP-Print'!J961,'PWP-A'!$B$2:$B$31,0),1)&amp;".png")</f>
        <v>#VALUE!</v>
      </c>
      <c r="J961" s="229" t="str">
        <f>+INDEX(PWP!$A:$Z,MATCH('PWP-Print'!E960,PWP!$B:$B,0),MATCH("PWP Ability 2",PWP!$A$1:$Z$1,0))</f>
        <v>HP +15%</v>
      </c>
      <c r="K961" s="249" t="str">
        <f>+INDEX(PWP!$A:$Z,MATCH('PWP-Print'!E960,PWP!$B:$B,0),MATCH("Locked PWP Ability 2",PWP!$A$1:$Z$1,0))</f>
        <v>(Shadow) HP +15%</v>
      </c>
      <c r="M961" s="729"/>
      <c r="N961" s="8"/>
      <c r="O961" s="200" t="str">
        <f>+INDEX(PWP!$A:$Z,MATCH('PWP-Print'!O960,PWP!$B:$B,0),MATCH("ID",PWP!$A$1:$Z$1,0))</f>
        <v>100050_01</v>
      </c>
      <c r="P961" s="8"/>
      <c r="Q961" s="249" t="str">
        <f>+INDEX(PWP!$A:$Z,MATCH('PWP-Print'!O960,PWP!$B:$B,0),MATCH("Name",PWP!$A$1:$Z$1,0))</f>
        <v>Asura</v>
      </c>
      <c r="R961" s="8"/>
      <c r="S961" t="e" vm="1045">
        <f>_xlfn.IMAGE("https://natalie.tf/wp-content/uploads/2023/10/DLV3_Icon_Ability_"&amp;INDEX('PWP-A'!$A$2:$C$31,MATCH('PWP-Print'!T961,'PWP-A'!$B$2:$B$31,0),1)&amp;".png")</f>
        <v>#VALUE!</v>
      </c>
      <c r="T961" s="229" t="str">
        <f>+INDEX(PWP!$A:$Z,MATCH('PWP-Print'!O960,PWP!$B:$B,0),MATCH("PWP Ability 2",PWP!$A$1:$Z$1,0))</f>
        <v>Attack Rate +20%</v>
      </c>
      <c r="U961" s="249" t="str">
        <f>+INDEX(PWP!$A:$Z,MATCH('PWP-Print'!O960,PWP!$B:$B,0),MATCH("Locked PWP Ability 2",PWP!$A$1:$Z$1,0))</f>
        <v>(Light) Attack Rate +20%</v>
      </c>
    </row>
    <row r="962" spans="1:21" ht="22.5" customHeight="1" x14ac:dyDescent="0.3">
      <c r="A962" s="244" t="str">
        <f>TEXT(A958+1,"000")</f>
        <v>456</v>
      </c>
      <c r="B962" s="244" t="str">
        <f>TEXT(B958+1,"000")</f>
        <v>469</v>
      </c>
      <c r="C962" s="729"/>
      <c r="E962" s="251" t="str">
        <f>+INDEX(PWP!$A:$Z,MATCH('PWP-Print'!E960,PWP!$B:$B,0),MATCH("Num",PWP!$A$1:$Z$1,0))</f>
        <v>DN-018</v>
      </c>
      <c r="G962" s="249" t="str">
        <f>+INDEX(PWP!$A:$Z,MATCH('PWP-Print'!E960,PWP!$B:$B,0),MATCH("Element",PWP!$A$1:$Z$1,0))&amp;" "&amp;INDEX(PWP!$A:$Z,MATCH('PWP-Print'!E960,PWP!$B:$B,0),MATCH("Type",PWP!$A$1:$Z$1,0))</f>
        <v>Shadow Dragon</v>
      </c>
      <c r="K962" s="250"/>
      <c r="M962" s="729"/>
      <c r="O962" s="251" t="str">
        <f>+INDEX(PWP!$A:$Z,MATCH('PWP-Print'!O960,PWP!$B:$B,0),MATCH("Num",PWP!$A$1:$Z$1,0))</f>
        <v>N/A</v>
      </c>
      <c r="Q962" s="249" t="str">
        <f>+INDEX(PWP!$A:$Z,MATCH('PWP-Print'!O960,PWP!$B:$B,0),MATCH("Element",PWP!$A$1:$Z$1,0))&amp;" "&amp;INDEX(PWP!$A:$Z,MATCH('PWP-Print'!O960,PWP!$B:$B,0),MATCH("Type",PWP!$A$1:$Z$1,0))</f>
        <v>Light NPC</v>
      </c>
      <c r="U962" s="250"/>
    </row>
    <row r="963" spans="1:21" ht="7.5" customHeight="1" x14ac:dyDescent="0.3">
      <c r="A963" s="244" t="s">
        <v>10763</v>
      </c>
      <c r="E963" s="250"/>
      <c r="G963" s="250"/>
      <c r="K963" s="250"/>
      <c r="O963" s="250"/>
      <c r="Q963" s="250"/>
      <c r="U963" s="250"/>
    </row>
    <row r="964" spans="1:21" ht="22.5" customHeight="1" x14ac:dyDescent="0.3">
      <c r="C964" s="729" t="e" vm="1493">
        <f>_xlfn.IMAGE("https://natalie.tf/wp-content/uploads/2023/11/DLV3_Icon_NPC_"&amp;E965&amp;".png")</f>
        <v>#VALUE!</v>
      </c>
      <c r="E964" s="249" t="str">
        <f>"PWP-"&amp;A966</f>
        <v>PWP-457</v>
      </c>
      <c r="G964" s="249" t="str">
        <f>+INDEX(PWP!$A:$Z,MATCH('PWP-Print'!E964,PWP!$B:$B,0),MATCH("Title",PWP!$A$1:$Z$1,0))</f>
        <v>Former Faerie King</v>
      </c>
      <c r="I964" t="e" vm="14">
        <f>_xlfn.IMAGE("https://natalie.tf/wp-content/uploads/2023/10/DLV3_Icon_Ability_"&amp;INDEX('PWP-A'!$A$2:$C$31,MATCH('PWP-Print'!J964,'PWP-A'!$B$2:$B$31,0),1)&amp;".png")</f>
        <v>#VALUE!</v>
      </c>
      <c r="J964" s="229" t="str">
        <f>+INDEX(PWP!$A:$Z,MATCH('PWP-Print'!E964,PWP!$B:$B,0),MATCH("PWP Ability 1",PWP!$A$1:$Z$1,0))</f>
        <v>Skill Damage +40%</v>
      </c>
      <c r="K964" s="249" t="str">
        <f>+INDEX(PWP!$A:$Z,MATCH('PWP-Print'!E964,PWP!$B:$B,0),MATCH("Locked PWP Ability 1",PWP!$A$1:$Z$1,0))</f>
        <v>(Flame) Skill Damage +40%</v>
      </c>
      <c r="M964" s="729" t="e" vm="1494">
        <f>_xlfn.IMAGE("https://natalie.tf/wp-content/uploads/2023/11/DLV3_Icon_NPC_"&amp;O965&amp;".png")</f>
        <v>#VALUE!</v>
      </c>
      <c r="O964" s="249" t="str">
        <f>"PWP-"&amp;B966</f>
        <v>PWP-470</v>
      </c>
      <c r="Q964" s="249" t="str">
        <f>+INDEX(PWP!$A:$Z,MATCH('PWP-Print'!O964,PWP!$B:$B,0),MATCH("Title",PWP!$A$1:$Z$1,0))</f>
        <v>The Founder King</v>
      </c>
      <c r="S964" t="e" vm="444">
        <f>_xlfn.IMAGE("https://natalie.tf/wp-content/uploads/2023/10/DLV3_Icon_Ability_"&amp;INDEX('PWP-A'!$A$2:$C$31,MATCH('PWP-Print'!T964,'PWP-A'!$B$2:$B$31,0),1)&amp;".png")</f>
        <v>#VALUE!</v>
      </c>
      <c r="T964" s="229" t="str">
        <f>+INDEX(PWP!$A:$Z,MATCH('PWP-Print'!O964,PWP!$B:$B,0),MATCH("PWP Ability 1",PWP!$A$1:$Z$1,0))</f>
        <v>Buff Skill Time +30%</v>
      </c>
      <c r="U964" s="249" t="str">
        <f>+INDEX(PWP!$A:$Z,MATCH('PWP-Print'!O964,PWP!$B:$B,0),MATCH("Locked PWP Ability 1",PWP!$A$1:$Z$1,0))</f>
        <v>(Light) Buff Skill Time +30%</v>
      </c>
    </row>
    <row r="965" spans="1:21" ht="22.5" customHeight="1" x14ac:dyDescent="0.3">
      <c r="C965" s="729"/>
      <c r="D965" s="8"/>
      <c r="E965" s="200" t="str">
        <f>+INDEX(PWP!$A:$Z,MATCH('PWP-Print'!E964,PWP!$B:$B,0),MATCH("ID",PWP!$A$1:$Z$1,0))</f>
        <v>100046_01</v>
      </c>
      <c r="F965" s="8"/>
      <c r="G965" s="249" t="str">
        <f>+INDEX(PWP!$A:$Z,MATCH('PWP-Print'!E964,PWP!$B:$B,0),MATCH("Name",PWP!$A$1:$Z$1,0))</f>
        <v>Finlorda</v>
      </c>
      <c r="H965" s="8"/>
      <c r="I965" t="e" vm="688">
        <f>_xlfn.IMAGE("https://natalie.tf/wp-content/uploads/2023/10/DLV3_Icon_Ability_"&amp;INDEX('PWP-A'!$A$2:$C$31,MATCH('PWP-Print'!J965,'PWP-A'!$B$2:$B$31,0),1)&amp;".png")</f>
        <v>#VALUE!</v>
      </c>
      <c r="J965" s="229" t="str">
        <f>+INDEX(PWP!$A:$Z,MATCH('PWP-Print'!E964,PWP!$B:$B,0),MATCH("PWP Ability 2",PWP!$A$1:$Z$1,0))</f>
        <v>Overdrive Punisher +15%</v>
      </c>
      <c r="K965" s="249" t="str">
        <f>+INDEX(PWP!$A:$Z,MATCH('PWP-Print'!E964,PWP!$B:$B,0),MATCH("Locked PWP Ability 2",PWP!$A$1:$Z$1,0))</f>
        <v>(Flame) Overdrive Punisher +15%</v>
      </c>
      <c r="M965" s="729"/>
      <c r="N965" s="8"/>
      <c r="O965" s="200" t="str">
        <f>+INDEX(PWP!$A:$Z,MATCH('PWP-Print'!O964,PWP!$B:$B,0),MATCH("ID",PWP!$A$1:$Z$1,0))</f>
        <v>100031_01</v>
      </c>
      <c r="P965" s="8"/>
      <c r="Q965" s="249" t="str">
        <f>+INDEX(PWP!$A:$Z,MATCH('PWP-Print'!O964,PWP!$B:$B,0),MATCH("Name",PWP!$A$1:$Z$1,0))</f>
        <v>King Alberius</v>
      </c>
      <c r="R965" s="8"/>
      <c r="S965" t="e" vm="330">
        <f>_xlfn.IMAGE("https://natalie.tf/wp-content/uploads/2023/10/DLV3_Icon_Ability_"&amp;INDEX('PWP-A'!$A$2:$C$31,MATCH('PWP-Print'!T965,'PWP-A'!$B$2:$B$31,0),1)&amp;".png")</f>
        <v>#VALUE!</v>
      </c>
      <c r="T965" s="229" t="str">
        <f>+INDEX(PWP!$A:$Z,MATCH('PWP-Print'!O964,PWP!$B:$B,0),MATCH("PWP Ability 2",PWP!$A$1:$Z$1,0))</f>
        <v>Skill Haste +10%</v>
      </c>
      <c r="U965" s="249" t="str">
        <f>+INDEX(PWP!$A:$Z,MATCH('PWP-Print'!O964,PWP!$B:$B,0),MATCH("Locked PWP Ability 2",PWP!$A$1:$Z$1,0))</f>
        <v>(Light) Skill Haste +10%</v>
      </c>
    </row>
    <row r="966" spans="1:21" ht="22.5" customHeight="1" x14ac:dyDescent="0.3">
      <c r="A966" s="244" t="str">
        <f>TEXT(A962+1,"000")</f>
        <v>457</v>
      </c>
      <c r="B966" s="244" t="str">
        <f>TEXT(B962+1,"000")</f>
        <v>470</v>
      </c>
      <c r="C966" s="729"/>
      <c r="E966" s="251" t="str">
        <f>+INDEX(PWP!$A:$Z,MATCH('PWP-Print'!E964,PWP!$B:$B,0),MATCH("Num",PWP!$A$1:$Z$1,0))</f>
        <v>N/A</v>
      </c>
      <c r="G966" s="249" t="str">
        <f>+INDEX(PWP!$A:$Z,MATCH('PWP-Print'!E964,PWP!$B:$B,0),MATCH("Element",PWP!$A$1:$Z$1,0))&amp;" "&amp;INDEX(PWP!$A:$Z,MATCH('PWP-Print'!E964,PWP!$B:$B,0),MATCH("Type",PWP!$A$1:$Z$1,0))</f>
        <v>Flame NPC</v>
      </c>
      <c r="K966" s="250"/>
      <c r="M966" s="729"/>
      <c r="O966" s="251" t="str">
        <f>+INDEX(PWP!$A:$Z,MATCH('PWP-Print'!O964,PWP!$B:$B,0),MATCH("Num",PWP!$A$1:$Z$1,0))</f>
        <v>N/A</v>
      </c>
      <c r="Q966" s="249" t="str">
        <f>+INDEX(PWP!$A:$Z,MATCH('PWP-Print'!O964,PWP!$B:$B,0),MATCH("Element",PWP!$A$1:$Z$1,0))&amp;" "&amp;INDEX(PWP!$A:$Z,MATCH('PWP-Print'!O964,PWP!$B:$B,0),MATCH("Type",PWP!$A$1:$Z$1,0))</f>
        <v>Light NPC</v>
      </c>
      <c r="U966" s="250"/>
    </row>
    <row r="967" spans="1:21" ht="7.5" customHeight="1" x14ac:dyDescent="0.3">
      <c r="A967" s="244" t="s">
        <v>10763</v>
      </c>
      <c r="E967" s="250"/>
      <c r="G967" s="250"/>
      <c r="K967" s="250"/>
      <c r="O967" s="250"/>
      <c r="Q967" s="250"/>
      <c r="U967" s="250"/>
    </row>
    <row r="968" spans="1:21" ht="22.5" customHeight="1" x14ac:dyDescent="0.3">
      <c r="C968" s="729" t="e" vm="1495">
        <f>_xlfn.IMAGE("https://natalie.tf/wp-content/uploads/2023/11/DLV3_Icon_NPC_"&amp;E969&amp;".png")</f>
        <v>#VALUE!</v>
      </c>
      <c r="E968" s="249" t="str">
        <f>"PWP-"&amp;A970</f>
        <v>PWP-458</v>
      </c>
      <c r="G968" s="249" t="str">
        <f>+INDEX(PWP!$A:$Z,MATCH('PWP-Print'!E968,PWP!$B:$B,0),MATCH("Title",PWP!$A$1:$Z$1,0))</f>
        <v>Faerie King</v>
      </c>
      <c r="I968" t="e" vm="14">
        <f>_xlfn.IMAGE("https://natalie.tf/wp-content/uploads/2023/10/DLV3_Icon_Ability_"&amp;INDEX('PWP-A'!$A$2:$C$31,MATCH('PWP-Print'!J968,'PWP-A'!$B$2:$B$31,0),1)&amp;".png")</f>
        <v>#VALUE!</v>
      </c>
      <c r="J968" s="229" t="str">
        <f>+INDEX(PWP!$A:$Z,MATCH('PWP-Print'!E968,PWP!$B:$B,0),MATCH("PWP Ability 1",PWP!$A$1:$Z$1,0))</f>
        <v>Strength +20%</v>
      </c>
      <c r="K968" s="249" t="str">
        <f>+INDEX(PWP!$A:$Z,MATCH('PWP-Print'!E968,PWP!$B:$B,0),MATCH("Locked PWP Ability 1",PWP!$A$1:$Z$1,0))</f>
        <v>(Flame) Strength +20%</v>
      </c>
      <c r="M968" s="729" t="e" vm="1496">
        <f>_xlfn.IMAGE("https://natalie.tf/wp-content/uploads/2023/11/DLV3_Icon_NPC_Custom_"&amp;O969&amp;".png")</f>
        <v>#VALUE!</v>
      </c>
      <c r="O968" s="249" t="str">
        <f>"PWP-"&amp;B970</f>
        <v>PWP-471</v>
      </c>
      <c r="Q968" s="249" t="str">
        <f>+INDEX(PWP!$A:$Z,MATCH('PWP-Print'!O968,PWP!$B:$B,0),MATCH("Title",PWP!$A$1:$Z$1,0))</f>
        <v>The Other's Pactwyrm</v>
      </c>
      <c r="S968" t="e" vm="685">
        <f>_xlfn.IMAGE("https://natalie.tf/wp-content/uploads/2023/10/DLV3_Icon_Ability_"&amp;INDEX('PWP-A'!$A$2:$C$31,MATCH('PWP-Print'!T968,'PWP-A'!$B$2:$B$31,0),1)&amp;".png")</f>
        <v>#VALUE!</v>
      </c>
      <c r="T968" s="229" t="str">
        <f>+INDEX(PWP!$A:$Z,MATCH('PWP-Print'!O968,PWP!$B:$B,0),MATCH("PWP Ability 1",PWP!$A$1:$Z$1,0))</f>
        <v>Debuff Skill Time +30%</v>
      </c>
      <c r="U968" s="249" t="str">
        <f>+INDEX(PWP!$A:$Z,MATCH('PWP-Print'!O968,PWP!$B:$B,0),MATCH("Locked PWP Ability 1",PWP!$A$1:$Z$1,0))</f>
        <v>(Light) Debuff Skill Time +30%</v>
      </c>
    </row>
    <row r="969" spans="1:21" ht="22.5" customHeight="1" x14ac:dyDescent="0.3">
      <c r="C969" s="729"/>
      <c r="D969" s="8"/>
      <c r="E969" s="200" t="str">
        <f>+INDEX(PWP!$A:$Z,MATCH('PWP-Print'!E968,PWP!$B:$B,0),MATCH("ID",PWP!$A$1:$Z$1,0))</f>
        <v>100048_01</v>
      </c>
      <c r="F969" s="8"/>
      <c r="G969" s="249" t="str">
        <f>+INDEX(PWP!$A:$Z,MATCH('PWP-Print'!E968,PWP!$B:$B,0),MATCH("Name",PWP!$A$1:$Z$1,0))</f>
        <v>Jinlorda</v>
      </c>
      <c r="H969" s="8"/>
      <c r="I969" t="e" vm="696">
        <f>_xlfn.IMAGE("https://natalie.tf/wp-content/uploads/2023/10/DLV3_Icon_Ability_"&amp;INDEX('PWP-A'!$A$2:$C$31,MATCH('PWP-Print'!J969,'PWP-A'!$B$2:$B$31,0),1)&amp;".png")</f>
        <v>#VALUE!</v>
      </c>
      <c r="J969" s="229" t="str">
        <f>+INDEX(PWP!$A:$Z,MATCH('PWP-Print'!E968,PWP!$B:$B,0),MATCH("PWP Ability 2",PWP!$A$1:$Z$1,0))</f>
        <v>Elemental Res +15%</v>
      </c>
      <c r="K969" s="249" t="str">
        <f>+INDEX(PWP!$A:$Z,MATCH('PWP-Print'!E968,PWP!$B:$B,0),MATCH("Locked PWP Ability 2",PWP!$A$1:$Z$1,0))</f>
        <v>(Flame) Elemental Res +15%</v>
      </c>
      <c r="M969" s="729"/>
      <c r="N969" s="8"/>
      <c r="O969" s="200" t="str">
        <f>+INDEX(PWP!$A:$Z,MATCH('PWP-Print'!O968,PWP!$B:$B,0),MATCH("ID",PWP!$A$1:$Z$1,0))</f>
        <v>120140_01</v>
      </c>
      <c r="P969" s="8"/>
      <c r="Q969" s="249" t="str">
        <f>+INDEX(PWP!$A:$Z,MATCH('PWP-Print'!O968,PWP!$B:$B,0),MATCH("Name",PWP!$A$1:$Z$1,0))</f>
        <v>Chronos</v>
      </c>
      <c r="R969" s="8"/>
      <c r="S969" t="e" vm="330">
        <f>_xlfn.IMAGE("https://natalie.tf/wp-content/uploads/2023/10/DLV3_Icon_Ability_"&amp;INDEX('PWP-A'!$A$2:$C$31,MATCH('PWP-Print'!T969,'PWP-A'!$B$2:$B$31,0),1)&amp;".png")</f>
        <v>#VALUE!</v>
      </c>
      <c r="T969" s="229" t="str">
        <f>+INDEX(PWP!$A:$Z,MATCH('PWP-Print'!O968,PWP!$B:$B,0),MATCH("PWP Ability 2",PWP!$A$1:$Z$1,0))</f>
        <v>Skill Haste +10%</v>
      </c>
      <c r="U969" s="249" t="str">
        <f>+INDEX(PWP!$A:$Z,MATCH('PWP-Print'!O968,PWP!$B:$B,0),MATCH("Locked PWP Ability 2",PWP!$A$1:$Z$1,0))</f>
        <v>(Light) Skill Haste +10%</v>
      </c>
    </row>
    <row r="970" spans="1:21" ht="22.5" customHeight="1" x14ac:dyDescent="0.3">
      <c r="A970" s="244" t="str">
        <f>TEXT(A966+1,"000")</f>
        <v>458</v>
      </c>
      <c r="B970" s="244" t="str">
        <f>TEXT(B966+1,"000")</f>
        <v>471</v>
      </c>
      <c r="C970" s="729"/>
      <c r="E970" s="251" t="str">
        <f>+INDEX(PWP!$A:$Z,MATCH('PWP-Print'!E968,PWP!$B:$B,0),MATCH("Num",PWP!$A$1:$Z$1,0))</f>
        <v>N/A</v>
      </c>
      <c r="G970" s="249" t="str">
        <f>+INDEX(PWP!$A:$Z,MATCH('PWP-Print'!E968,PWP!$B:$B,0),MATCH("Element",PWP!$A$1:$Z$1,0))&amp;" "&amp;INDEX(PWP!$A:$Z,MATCH('PWP-Print'!E968,PWP!$B:$B,0),MATCH("Type",PWP!$A$1:$Z$1,0))</f>
        <v>Flame NPC</v>
      </c>
      <c r="K970" s="250"/>
      <c r="M970" s="729"/>
      <c r="O970" s="251" t="str">
        <f>+INDEX(PWP!$A:$Z,MATCH('PWP-Print'!O968,PWP!$B:$B,0),MATCH("Num",PWP!$A$1:$Z$1,0))</f>
        <v>N/A</v>
      </c>
      <c r="Q970" s="249" t="str">
        <f>+INDEX(PWP!$A:$Z,MATCH('PWP-Print'!O968,PWP!$B:$B,0),MATCH("Element",PWP!$A$1:$Z$1,0))&amp;" "&amp;INDEX(PWP!$A:$Z,MATCH('PWP-Print'!O968,PWP!$B:$B,0),MATCH("Type",PWP!$A$1:$Z$1,0))</f>
        <v>Light NPC</v>
      </c>
      <c r="U970" s="250"/>
    </row>
    <row r="971" spans="1:21" ht="7.5" customHeight="1" x14ac:dyDescent="0.3">
      <c r="A971" s="244" t="s">
        <v>10763</v>
      </c>
      <c r="E971" s="250"/>
      <c r="G971" s="250"/>
      <c r="K971" s="250"/>
      <c r="O971" s="250"/>
      <c r="Q971" s="250"/>
      <c r="U971" s="250"/>
    </row>
    <row r="972" spans="1:21" ht="22.5" customHeight="1" x14ac:dyDescent="0.3">
      <c r="C972" s="729" t="e" vm="1497">
        <f>_xlfn.IMAGE("https://natalie.tf/wp-content/uploads/2023/11/DLV3_Icon_NPC_Custom_"&amp;E973&amp;".png")</f>
        <v>#VALUE!</v>
      </c>
      <c r="E972" s="249" t="str">
        <f>"PWP-"&amp;A974</f>
        <v>PWP-459</v>
      </c>
      <c r="G972" s="249" t="str">
        <f>+INDEX(PWP!$A:$Z,MATCH('PWP-Print'!E972,PWP!$B:$B,0),MATCH("Title",PWP!$A$1:$Z$1,0))</f>
        <v>Rent Heavens Embodiment</v>
      </c>
      <c r="I972" t="e" vm="14">
        <f>_xlfn.IMAGE("https://natalie.tf/wp-content/uploads/2023/10/DLV3_Icon_Ability_"&amp;INDEX('PWP-A'!$A$2:$C$31,MATCH('PWP-Print'!J972,'PWP-A'!$B$2:$B$31,0),1)&amp;".png")</f>
        <v>#VALUE!</v>
      </c>
      <c r="J972" s="229" t="str">
        <f>+INDEX(PWP!$A:$Z,MATCH('PWP-Print'!E972,PWP!$B:$B,0),MATCH("PWP Ability 1",PWP!$A$1:$Z$1,0))</f>
        <v>Strength +20%</v>
      </c>
      <c r="K972" s="249" t="str">
        <f>+INDEX(PWP!$A:$Z,MATCH('PWP-Print'!E972,PWP!$B:$B,0),MATCH("Locked PWP Ability 1",PWP!$A$1:$Z$1,0))</f>
        <v>(Flame) Strength +20%</v>
      </c>
      <c r="M972" s="729" t="e" vm="1498">
        <f>_xlfn.IMAGE("https://natalie.tf/wp-content/uploads/2023/11/DLV3_Icon_NPC_"&amp;O973&amp;".png")</f>
        <v>#VALUE!</v>
      </c>
      <c r="O972" s="249" t="str">
        <f>"PWP-"&amp;B974</f>
        <v>PWP-472</v>
      </c>
      <c r="Q972" s="249" t="str">
        <f>+INDEX(PWP!$A:$Z,MATCH('PWP-Print'!O972,PWP!$B:$B,0),MATCH("Title",PWP!$A$1:$Z$1,0))</f>
        <v>Genesiswyrm's Pactbound</v>
      </c>
      <c r="S972" t="e" vm="14">
        <f>_xlfn.IMAGE("https://natalie.tf/wp-content/uploads/2023/10/DLV3_Icon_Ability_"&amp;INDEX('PWP-A'!$A$2:$C$31,MATCH('PWP-Print'!T972,'PWP-A'!$B$2:$B$31,0),1)&amp;".png")</f>
        <v>#VALUE!</v>
      </c>
      <c r="T972" s="229" t="str">
        <f>+INDEX(PWP!$A:$Z,MATCH('PWP-Print'!O972,PWP!$B:$B,0),MATCH("PWP Ability 1",PWP!$A$1:$Z$1,0))</f>
        <v>Strength +20%</v>
      </c>
      <c r="U972" s="249" t="str">
        <f>+INDEX(PWP!$A:$Z,MATCH('PWP-Print'!O972,PWP!$B:$B,0),MATCH("Locked PWP Ability 1",PWP!$A$1:$Z$1,0))</f>
        <v>(Shadow) Strength +20%</v>
      </c>
    </row>
    <row r="973" spans="1:21" ht="22.5" customHeight="1" x14ac:dyDescent="0.3">
      <c r="C973" s="729"/>
      <c r="D973" s="8"/>
      <c r="E973" s="200" t="str">
        <f>+INDEX(PWP!$A:$Z,MATCH('PWP-Print'!E972,PWP!$B:$B,0),MATCH("ID",PWP!$A$1:$Z$1,0))</f>
        <v>100052_01</v>
      </c>
      <c r="F973" s="8"/>
      <c r="G973" s="249" t="str">
        <f>+INDEX(PWP!$A:$Z,MATCH('PWP-Print'!E972,PWP!$B:$B,0),MATCH("Name",PWP!$A$1:$Z$1,0))</f>
        <v>Surtr</v>
      </c>
      <c r="H973" s="8"/>
      <c r="I973" t="e" vm="1045">
        <f>_xlfn.IMAGE("https://natalie.tf/wp-content/uploads/2023/10/DLV3_Icon_Ability_"&amp;INDEX('PWP-A'!$A$2:$C$31,MATCH('PWP-Print'!J973,'PWP-A'!$B$2:$B$31,0),1)&amp;".png")</f>
        <v>#VALUE!</v>
      </c>
      <c r="J973" s="229" t="str">
        <f>+INDEX(PWP!$A:$Z,MATCH('PWP-Print'!E972,PWP!$B:$B,0),MATCH("PWP Ability 2",PWP!$A$1:$Z$1,0))</f>
        <v>Attack Rate +20%</v>
      </c>
      <c r="K973" s="249" t="str">
        <f>+INDEX(PWP!$A:$Z,MATCH('PWP-Print'!E972,PWP!$B:$B,0),MATCH("Locked PWP Ability 2",PWP!$A$1:$Z$1,0))</f>
        <v>(Flame) Attack Rate +20%</v>
      </c>
      <c r="M973" s="729"/>
      <c r="N973" s="8"/>
      <c r="O973" s="200" t="str">
        <f>+INDEX(PWP!$A:$Z,MATCH('PWP-Print'!O972,PWP!$B:$B,0),MATCH("ID",PWP!$A$1:$Z$1,0))</f>
        <v>100039_01</v>
      </c>
      <c r="P973" s="8"/>
      <c r="Q973" s="249" t="str">
        <f>+INDEX(PWP!$A:$Z,MATCH('PWP-Print'!O972,PWP!$B:$B,0),MATCH("Name",PWP!$A$1:$Z$1,0))</f>
        <v>Nedrick</v>
      </c>
      <c r="R973" s="8"/>
      <c r="S973" t="e" vm="696">
        <f>_xlfn.IMAGE("https://natalie.tf/wp-content/uploads/2023/10/DLV3_Icon_Ability_"&amp;INDEX('PWP-A'!$A$2:$C$31,MATCH('PWP-Print'!T973,'PWP-A'!$B$2:$B$31,0),1)&amp;".png")</f>
        <v>#VALUE!</v>
      </c>
      <c r="T973" s="229" t="str">
        <f>+INDEX(PWP!$A:$Z,MATCH('PWP-Print'!O972,PWP!$B:$B,0),MATCH("PWP Ability 2",PWP!$A$1:$Z$1,0))</f>
        <v>Elemental Res +15%</v>
      </c>
      <c r="U973" s="249" t="str">
        <f>+INDEX(PWP!$A:$Z,MATCH('PWP-Print'!O972,PWP!$B:$B,0),MATCH("Locked PWP Ability 2",PWP!$A$1:$Z$1,0))</f>
        <v>(Shadow) Elemental Res +15%</v>
      </c>
    </row>
    <row r="974" spans="1:21" ht="22.5" customHeight="1" x14ac:dyDescent="0.3">
      <c r="A974" s="244" t="str">
        <f>TEXT(A970+1,"000")</f>
        <v>459</v>
      </c>
      <c r="B974" s="244" t="str">
        <f>TEXT(B970+1,"000")</f>
        <v>472</v>
      </c>
      <c r="C974" s="729"/>
      <c r="E974" s="251" t="str">
        <f>+INDEX(PWP!$A:$Z,MATCH('PWP-Print'!E972,PWP!$B:$B,0),MATCH("Num",PWP!$A$1:$Z$1,0))</f>
        <v>N/A</v>
      </c>
      <c r="G974" s="249" t="str">
        <f>+INDEX(PWP!$A:$Z,MATCH('PWP-Print'!E972,PWP!$B:$B,0),MATCH("Element",PWP!$A$1:$Z$1,0))&amp;" "&amp;INDEX(PWP!$A:$Z,MATCH('PWP-Print'!E972,PWP!$B:$B,0),MATCH("Type",PWP!$A$1:$Z$1,0))</f>
        <v>Flame NPC</v>
      </c>
      <c r="K974" s="250"/>
      <c r="M974" s="729"/>
      <c r="O974" s="251" t="str">
        <f>+INDEX(PWP!$A:$Z,MATCH('PWP-Print'!O972,PWP!$B:$B,0),MATCH("Num",PWP!$A$1:$Z$1,0))</f>
        <v>N/A</v>
      </c>
      <c r="Q974" s="249" t="str">
        <f>+INDEX(PWP!$A:$Z,MATCH('PWP-Print'!O972,PWP!$B:$B,0),MATCH("Element",PWP!$A$1:$Z$1,0))&amp;" "&amp;INDEX(PWP!$A:$Z,MATCH('PWP-Print'!O972,PWP!$B:$B,0),MATCH("Type",PWP!$A$1:$Z$1,0))</f>
        <v>Shadow NPC</v>
      </c>
      <c r="U974" s="250"/>
    </row>
    <row r="975" spans="1:21" ht="7.5" customHeight="1" x14ac:dyDescent="0.3">
      <c r="A975" s="244" t="s">
        <v>10763</v>
      </c>
      <c r="E975" s="250"/>
      <c r="G975" s="250"/>
      <c r="K975" s="250"/>
      <c r="O975" s="250"/>
      <c r="Q975" s="250"/>
      <c r="U975" s="250"/>
    </row>
    <row r="976" spans="1:21" ht="22.5" customHeight="1" x14ac:dyDescent="0.3">
      <c r="C976" s="729" t="e" vm="1499">
        <f>_xlfn.IMAGE("https://natalie.tf/wp-content/uploads/2023/11/DLV3_Icon_NPC_Custom_"&amp;E977&amp;".png")</f>
        <v>#VALUE!</v>
      </c>
      <c r="E976" s="249" t="str">
        <f>"PWP-"&amp;A978</f>
        <v>PWP-460</v>
      </c>
      <c r="G976" s="249" t="str">
        <f>+INDEX(PWP!$A:$Z,MATCH('PWP-Print'!E976,PWP!$B:$B,0),MATCH("Title",PWP!$A$1:$Z$1,0))</f>
        <v>Alba's Destroyer</v>
      </c>
      <c r="I976" t="e" vm="601">
        <f>_xlfn.IMAGE("https://natalie.tf/wp-content/uploads/2023/10/DLV3_Icon_Ability_"&amp;INDEX('PWP-A'!$A$2:$C$31,MATCH('PWP-Print'!J976,'PWP-A'!$B$2:$B$31,0),1)&amp;".png")</f>
        <v>#VALUE!</v>
      </c>
      <c r="J976" s="229" t="str">
        <f>+INDEX(PWP!$A:$Z,MATCH('PWP-Print'!E976,PWP!$B:$B,0),MATCH("PWP Ability 1",PWP!$A$1:$Z$1,0))</f>
        <v>Dragon Haste +15%</v>
      </c>
      <c r="K976" s="249" t="str">
        <f>+INDEX(PWP!$A:$Z,MATCH('PWP-Print'!E976,PWP!$B:$B,0),MATCH("Locked PWP Ability 1",PWP!$A$1:$Z$1,0))</f>
        <v>(Flame) Dragon Haste +15%</v>
      </c>
      <c r="M976" s="729" t="e" vm="1500">
        <f>_xlfn.IMAGE("https://natalie.tf/wp-content/uploads/2023/11/DLV3_Icon_NPC_Custom_"&amp;O977&amp;".png")</f>
        <v>#VALUE!</v>
      </c>
      <c r="O976" s="249" t="str">
        <f>"PWP-"&amp;B978</f>
        <v>PWP-473</v>
      </c>
      <c r="Q976" s="249" t="str">
        <f>+INDEX(PWP!$A:$Z,MATCH('PWP-Print'!O976,PWP!$B:$B,0),MATCH("Title",PWP!$A$1:$Z$1,0))</f>
        <v>Avatar of Atrocity</v>
      </c>
      <c r="S976" t="e" vm="14">
        <f>_xlfn.IMAGE("https://natalie.tf/wp-content/uploads/2023/10/DLV3_Icon_Ability_"&amp;INDEX('PWP-A'!$A$2:$C$31,MATCH('PWP-Print'!T976,'PWP-A'!$B$2:$B$31,0),1)&amp;".png")</f>
        <v>#VALUE!</v>
      </c>
      <c r="T976" s="229" t="str">
        <f>+INDEX(PWP!$A:$Z,MATCH('PWP-Print'!O976,PWP!$B:$B,0),MATCH("PWP Ability 1",PWP!$A$1:$Z$1,0))</f>
        <v>Strength +20%</v>
      </c>
      <c r="U976" s="249" t="str">
        <f>+INDEX(PWP!$A:$Z,MATCH('PWP-Print'!O976,PWP!$B:$B,0),MATCH("Locked PWP Ability 1",PWP!$A$1:$Z$1,0))</f>
        <v>(Shadow) Strength +20%</v>
      </c>
    </row>
    <row r="977" spans="1:21" ht="22.5" customHeight="1" x14ac:dyDescent="0.3">
      <c r="C977" s="729"/>
      <c r="D977" s="8"/>
      <c r="E977" s="200" t="str">
        <f>+INDEX(PWP!$A:$Z,MATCH('PWP-Print'!E976,PWP!$B:$B,0),MATCH("ID",PWP!$A$1:$Z$1,0))</f>
        <v>120050_01</v>
      </c>
      <c r="F977" s="8"/>
      <c r="G977" s="249" t="str">
        <f>+INDEX(PWP!$A:$Z,MATCH('PWP-Print'!E976,PWP!$B:$B,0),MATCH("Name",PWP!$A$1:$Z$1,0))</f>
        <v>Phraeganoth</v>
      </c>
      <c r="H977" s="8"/>
      <c r="I977" t="e" vm="426">
        <f>_xlfn.IMAGE("https://natalie.tf/wp-content/uploads/2023/10/DLV3_Icon_Ability_"&amp;INDEX('PWP-A'!$A$2:$C$31,MATCH('PWP-Print'!J977,'PWP-A'!$B$2:$B$31,0),1)&amp;".png")</f>
        <v>#VALUE!</v>
      </c>
      <c r="J977" s="229" t="str">
        <f>+INDEX(PWP!$A:$Z,MATCH('PWP-Print'!E976,PWP!$B:$B,0),MATCH("PWP Ability 2",PWP!$A$1:$Z$1,0))</f>
        <v>Defense +20%</v>
      </c>
      <c r="K977" s="249" t="str">
        <f>+INDEX(PWP!$A:$Z,MATCH('PWP-Print'!E976,PWP!$B:$B,0),MATCH("Locked PWP Ability 2",PWP!$A$1:$Z$1,0))</f>
        <v>(Flame) Defense +20%</v>
      </c>
      <c r="M977" s="729"/>
      <c r="N977" s="8"/>
      <c r="O977" s="200" t="str">
        <f>+INDEX(PWP!$A:$Z,MATCH('PWP-Print'!O976,PWP!$B:$B,0),MATCH("ID",PWP!$A$1:$Z$1,0))</f>
        <v>100047_01</v>
      </c>
      <c r="P977" s="8"/>
      <c r="Q977" s="249" t="str">
        <f>+INDEX(PWP!$A:$Z,MATCH('PWP-Print'!O976,PWP!$B:$B,0),MATCH("Name",PWP!$A$1:$Z$1,0))</f>
        <v>Lilith</v>
      </c>
      <c r="R977" s="8"/>
      <c r="S977" t="e" vm="1045">
        <f>_xlfn.IMAGE("https://natalie.tf/wp-content/uploads/2023/10/DLV3_Icon_Ability_"&amp;INDEX('PWP-A'!$A$2:$C$31,MATCH('PWP-Print'!T977,'PWP-A'!$B$2:$B$31,0),1)&amp;".png")</f>
        <v>#VALUE!</v>
      </c>
      <c r="T977" s="229" t="str">
        <f>+INDEX(PWP!$A:$Z,MATCH('PWP-Print'!O976,PWP!$B:$B,0),MATCH("PWP Ability 2",PWP!$A$1:$Z$1,0))</f>
        <v>Attack Rate +20%</v>
      </c>
      <c r="U977" s="249" t="str">
        <f>+INDEX(PWP!$A:$Z,MATCH('PWP-Print'!O976,PWP!$B:$B,0),MATCH("Locked PWP Ability 2",PWP!$A$1:$Z$1,0))</f>
        <v>(Shadow) Attack Rate +20%</v>
      </c>
    </row>
    <row r="978" spans="1:21" ht="22.5" customHeight="1" x14ac:dyDescent="0.3">
      <c r="A978" s="244" t="str">
        <f>TEXT(A974+1,"000")</f>
        <v>460</v>
      </c>
      <c r="B978" s="244" t="str">
        <f>TEXT(B974+1,"000")</f>
        <v>473</v>
      </c>
      <c r="C978" s="729"/>
      <c r="E978" s="251" t="str">
        <f>+INDEX(PWP!$A:$Z,MATCH('PWP-Print'!E976,PWP!$B:$B,0),MATCH("Num",PWP!$A$1:$Z$1,0))</f>
        <v>N/A</v>
      </c>
      <c r="G978" s="249" t="str">
        <f>+INDEX(PWP!$A:$Z,MATCH('PWP-Print'!E976,PWP!$B:$B,0),MATCH("Element",PWP!$A$1:$Z$1,0))&amp;" "&amp;INDEX(PWP!$A:$Z,MATCH('PWP-Print'!E976,PWP!$B:$B,0),MATCH("Type",PWP!$A$1:$Z$1,0))</f>
        <v>Flame NPC</v>
      </c>
      <c r="K978" s="250"/>
      <c r="M978" s="729"/>
      <c r="O978" s="251" t="str">
        <f>+INDEX(PWP!$A:$Z,MATCH('PWP-Print'!O976,PWP!$B:$B,0),MATCH("Num",PWP!$A$1:$Z$1,0))</f>
        <v>N/A</v>
      </c>
      <c r="Q978" s="249" t="str">
        <f>+INDEX(PWP!$A:$Z,MATCH('PWP-Print'!O976,PWP!$B:$B,0),MATCH("Element",PWP!$A$1:$Z$1,0))&amp;" "&amp;INDEX(PWP!$A:$Z,MATCH('PWP-Print'!O976,PWP!$B:$B,0),MATCH("Type",PWP!$A$1:$Z$1,0))</f>
        <v>Shadow NPC</v>
      </c>
      <c r="U978" s="250"/>
    </row>
    <row r="979" spans="1:21" ht="7.5" customHeight="1" x14ac:dyDescent="0.3">
      <c r="A979" s="244" t="s">
        <v>10763</v>
      </c>
      <c r="E979" s="250"/>
      <c r="G979" s="250"/>
      <c r="K979" s="250"/>
      <c r="O979" s="250"/>
      <c r="Q979" s="250"/>
      <c r="U979" s="250"/>
    </row>
    <row r="980" spans="1:21" ht="22.5" customHeight="1" x14ac:dyDescent="0.3">
      <c r="C980" s="729" t="e" vm="1501">
        <f>_xlfn.IMAGE("https://natalie.tf/wp-content/uploads/2023/11/DLV3_Icon_NPC_"&amp;E981&amp;".png")</f>
        <v>#VALUE!</v>
      </c>
      <c r="E980" s="249" t="str">
        <f>"PWP-"&amp;A982</f>
        <v>PWP-461</v>
      </c>
      <c r="G980" s="249" t="str">
        <f>+INDEX(PWP!$A:$Z,MATCH('PWP-Print'!E980,PWP!$B:$B,0),MATCH("Title",PWP!$A$1:$Z$1,0))</f>
        <v>Syndicate Elite</v>
      </c>
      <c r="I980" t="e" vm="685">
        <f>_xlfn.IMAGE("https://natalie.tf/wp-content/uploads/2023/10/DLV3_Icon_Ability_"&amp;INDEX('PWP-A'!$A$2:$C$31,MATCH('PWP-Print'!J980,'PWP-A'!$B$2:$B$31,0),1)&amp;".png")</f>
        <v>#VALUE!</v>
      </c>
      <c r="J980" s="229" t="str">
        <f>+INDEX(PWP!$A:$Z,MATCH('PWP-Print'!E980,PWP!$B:$B,0),MATCH("PWP Ability 1",PWP!$A$1:$Z$1,0))</f>
        <v>Debuff Skill Time +30%</v>
      </c>
      <c r="K980" s="249" t="str">
        <f>+INDEX(PWP!$A:$Z,MATCH('PWP-Print'!E980,PWP!$B:$B,0),MATCH("Locked PWP Ability 1",PWP!$A$1:$Z$1,0))</f>
        <v>(Flame) Debuff Skill Time +30%</v>
      </c>
      <c r="M980" s="729" t="e" vm="1502">
        <f>_xlfn.IMAGE("https://natalie.tf/wp-content/uploads/2023/11/DLV3_Icon_NPC_"&amp;O981&amp;".png")</f>
        <v>#VALUE!</v>
      </c>
      <c r="O980" s="249" t="str">
        <f>"PWP-"&amp;B982</f>
        <v>PWP-474</v>
      </c>
      <c r="Q980" s="249" t="str">
        <f>+INDEX(PWP!$A:$Z,MATCH('PWP-Print'!O980,PWP!$B:$B,0),MATCH("Title",PWP!$A$1:$Z$1,0))</f>
        <v>King of Death</v>
      </c>
      <c r="S980" t="e" vm="444">
        <f>_xlfn.IMAGE("https://natalie.tf/wp-content/uploads/2023/10/DLV3_Icon_Ability_"&amp;INDEX('PWP-A'!$A$2:$C$31,MATCH('PWP-Print'!T980,'PWP-A'!$B$2:$B$31,0),1)&amp;".png")</f>
        <v>#VALUE!</v>
      </c>
      <c r="T980" s="229" t="str">
        <f>+INDEX(PWP!$A:$Z,MATCH('PWP-Print'!O980,PWP!$B:$B,0),MATCH("PWP Ability 1",PWP!$A$1:$Z$1,0))</f>
        <v>Buff Skill Time +30%</v>
      </c>
      <c r="U980" s="249" t="str">
        <f>+INDEX(PWP!$A:$Z,MATCH('PWP-Print'!O980,PWP!$B:$B,0),MATCH("Locked PWP Ability 1",PWP!$A$1:$Z$1,0))</f>
        <v>(Shadow) Buff Skill Time +30%</v>
      </c>
    </row>
    <row r="981" spans="1:21" ht="22.5" customHeight="1" x14ac:dyDescent="0.3">
      <c r="C981" s="729"/>
      <c r="D981" s="8"/>
      <c r="E981" s="200" t="str">
        <f>+INDEX(PWP!$A:$Z,MATCH('PWP-Print'!E980,PWP!$B:$B,0),MATCH("ID",PWP!$A$1:$Z$1,0))</f>
        <v>120059_01</v>
      </c>
      <c r="F981" s="8"/>
      <c r="G981" s="249" t="str">
        <f>+INDEX(PWP!$A:$Z,MATCH('PWP-Print'!E980,PWP!$B:$B,0),MATCH("Name",PWP!$A$1:$Z$1,0))</f>
        <v>The Doctor</v>
      </c>
      <c r="H981" s="8"/>
      <c r="I981" t="e" vm="330">
        <f>_xlfn.IMAGE("https://natalie.tf/wp-content/uploads/2023/10/DLV3_Icon_Ability_"&amp;INDEX('PWP-A'!$A$2:$C$31,MATCH('PWP-Print'!J981,'PWP-A'!$B$2:$B$31,0),1)&amp;".png")</f>
        <v>#VALUE!</v>
      </c>
      <c r="J981" s="229" t="str">
        <f>+INDEX(PWP!$A:$Z,MATCH('PWP-Print'!E980,PWP!$B:$B,0),MATCH("PWP Ability 2",PWP!$A$1:$Z$1,0))</f>
        <v>Skill Haste +10%</v>
      </c>
      <c r="K981" s="249" t="str">
        <f>+INDEX(PWP!$A:$Z,MATCH('PWP-Print'!E980,PWP!$B:$B,0),MATCH("Locked PWP Ability 2",PWP!$A$1:$Z$1,0))</f>
        <v>(Flame) Skill Haste +10%</v>
      </c>
      <c r="M981" s="729"/>
      <c r="N981" s="8"/>
      <c r="O981" s="200" t="str">
        <f>+INDEX(PWP!$A:$Z,MATCH('PWP-Print'!O980,PWP!$B:$B,0),MATCH("ID",PWP!$A$1:$Z$1,0))</f>
        <v>120053_01</v>
      </c>
      <c r="P981" s="8"/>
      <c r="Q981" s="249" t="str">
        <f>+INDEX(PWP!$A:$Z,MATCH('PWP-Print'!O980,PWP!$B:$B,0),MATCH("Name",PWP!$A$1:$Z$1,0))</f>
        <v>Thanatos</v>
      </c>
      <c r="R981" s="8"/>
      <c r="S981" t="e" vm="330">
        <f>_xlfn.IMAGE("https://natalie.tf/wp-content/uploads/2023/10/DLV3_Icon_Ability_"&amp;INDEX('PWP-A'!$A$2:$C$31,MATCH('PWP-Print'!T981,'PWP-A'!$B$2:$B$31,0),1)&amp;".png")</f>
        <v>#VALUE!</v>
      </c>
      <c r="T981" s="229" t="str">
        <f>+INDEX(PWP!$A:$Z,MATCH('PWP-Print'!O980,PWP!$B:$B,0),MATCH("PWP Ability 2",PWP!$A$1:$Z$1,0))</f>
        <v>Skill Haste +10%</v>
      </c>
      <c r="U981" s="249" t="str">
        <f>+INDEX(PWP!$A:$Z,MATCH('PWP-Print'!O980,PWP!$B:$B,0),MATCH("Locked PWP Ability 2",PWP!$A$1:$Z$1,0))</f>
        <v>(Shadow) Skill Haste +10%</v>
      </c>
    </row>
    <row r="982" spans="1:21" ht="22.5" customHeight="1" x14ac:dyDescent="0.3">
      <c r="A982" s="244" t="str">
        <f>TEXT(A978+1,"000")</f>
        <v>461</v>
      </c>
      <c r="B982" s="244" t="str">
        <f>TEXT(B978+1,"000")</f>
        <v>474</v>
      </c>
      <c r="C982" s="729"/>
      <c r="E982" s="251" t="str">
        <f>+INDEX(PWP!$A:$Z,MATCH('PWP-Print'!E980,PWP!$B:$B,0),MATCH("Num",PWP!$A$1:$Z$1,0))</f>
        <v>N/A</v>
      </c>
      <c r="G982" s="249" t="str">
        <f>+INDEX(PWP!$A:$Z,MATCH('PWP-Print'!E980,PWP!$B:$B,0),MATCH("Element",PWP!$A$1:$Z$1,0))&amp;" "&amp;INDEX(PWP!$A:$Z,MATCH('PWP-Print'!E980,PWP!$B:$B,0),MATCH("Type",PWP!$A$1:$Z$1,0))</f>
        <v>Flame NPC</v>
      </c>
      <c r="K982" s="250"/>
      <c r="M982" s="729"/>
      <c r="O982" s="251" t="str">
        <f>+INDEX(PWP!$A:$Z,MATCH('PWP-Print'!O980,PWP!$B:$B,0),MATCH("Num",PWP!$A$1:$Z$1,0))</f>
        <v>N/A</v>
      </c>
      <c r="Q982" s="249" t="str">
        <f>+INDEX(PWP!$A:$Z,MATCH('PWP-Print'!O980,PWP!$B:$B,0),MATCH("Element",PWP!$A$1:$Z$1,0))&amp;" "&amp;INDEX(PWP!$A:$Z,MATCH('PWP-Print'!O980,PWP!$B:$B,0),MATCH("Type",PWP!$A$1:$Z$1,0))</f>
        <v>Shadow NPC</v>
      </c>
      <c r="U982" s="250"/>
    </row>
    <row r="983" spans="1:21" ht="7.5" customHeight="1" x14ac:dyDescent="0.3">
      <c r="A983" s="244" t="s">
        <v>10763</v>
      </c>
      <c r="E983" s="250"/>
      <c r="G983" s="250"/>
      <c r="K983" s="250"/>
      <c r="O983" s="250"/>
      <c r="Q983" s="250"/>
      <c r="U983" s="250"/>
    </row>
    <row r="984" spans="1:21" ht="22.5" customHeight="1" x14ac:dyDescent="0.3">
      <c r="C984" s="729" t="e" vm="1503">
        <f>_xlfn.IMAGE("https://natalie.tf/wp-content/uploads/2023/11/DLV3_Icon_NPC_"&amp;E985&amp;".png")</f>
        <v>#VALUE!</v>
      </c>
      <c r="E984" s="249" t="str">
        <f>"PWP-"&amp;A986</f>
        <v>PWP-462</v>
      </c>
      <c r="G984" s="249" t="str">
        <f>+INDEX(PWP!$A:$Z,MATCH('PWP-Print'!E984,PWP!$B:$B,0),MATCH("Title",PWP!$A$1:$Z$1,0))</f>
        <v>The Pirate Fiend</v>
      </c>
      <c r="I984" t="e" vm="14">
        <f>_xlfn.IMAGE("https://natalie.tf/wp-content/uploads/2023/10/DLV3_Icon_Ability_"&amp;INDEX('PWP-A'!$A$2:$C$31,MATCH('PWP-Print'!J984,'PWP-A'!$B$2:$B$31,0),1)&amp;".png")</f>
        <v>#VALUE!</v>
      </c>
      <c r="J984" s="229" t="str">
        <f>+INDEX(PWP!$A:$Z,MATCH('PWP-Print'!E984,PWP!$B:$B,0),MATCH("PWP Ability 1",PWP!$A$1:$Z$1,0))</f>
        <v>Dragon Damage +18%</v>
      </c>
      <c r="K984" s="249" t="str">
        <f>+INDEX(PWP!$A:$Z,MATCH('PWP-Print'!E984,PWP!$B:$B,0),MATCH("Locked PWP Ability 1",PWP!$A$1:$Z$1,0))</f>
        <v>(Flame) Dragon Damage +18%</v>
      </c>
      <c r="M984" s="729" t="e" vm="1504">
        <f>_xlfn.IMAGE("https://natalie.tf/wp-content/uploads/2023/11/DLV3_Icon_NPC_Custom_"&amp;O985&amp;".png")</f>
        <v>#VALUE!</v>
      </c>
      <c r="O984" s="249" t="str">
        <f>"PWP-"&amp;B986</f>
        <v>PWP-475</v>
      </c>
      <c r="Q984" s="179" t="str">
        <f>+INDEX(PWP!$A:$Z,MATCH('PWP-Print'!O984,PWP!$B:$B,0),MATCH("Title",PWP!$A$1:$Z$1,0))</f>
        <v>The Darkness in Children's Hearts</v>
      </c>
      <c r="S984" t="e" vm="685">
        <f>_xlfn.IMAGE("https://natalie.tf/wp-content/uploads/2023/10/DLV3_Icon_Ability_"&amp;INDEX('PWP-A'!$A$2:$C$31,MATCH('PWP-Print'!T984,'PWP-A'!$B$2:$B$31,0),1)&amp;".png")</f>
        <v>#VALUE!</v>
      </c>
      <c r="T984" s="229" t="str">
        <f>+INDEX(PWP!$A:$Z,MATCH('PWP-Print'!O984,PWP!$B:$B,0),MATCH("PWP Ability 1",PWP!$A$1:$Z$1,0))</f>
        <v>Debuff Skill Time +30%</v>
      </c>
      <c r="U984" s="249" t="str">
        <f>+INDEX(PWP!$A:$Z,MATCH('PWP-Print'!O984,PWP!$B:$B,0),MATCH("Locked PWP Ability 1",PWP!$A$1:$Z$1,0))</f>
        <v>(Shadow) Debuff Skill Time +30%</v>
      </c>
    </row>
    <row r="985" spans="1:21" ht="22.5" customHeight="1" x14ac:dyDescent="0.3">
      <c r="C985" s="729"/>
      <c r="D985" s="8"/>
      <c r="E985" s="200" t="str">
        <f>+INDEX(PWP!$A:$Z,MATCH('PWP-Print'!E984,PWP!$B:$B,0),MATCH("ID",PWP!$A$1:$Z$1,0))</f>
        <v>120082_01</v>
      </c>
      <c r="F985" s="8"/>
      <c r="G985" s="249" t="str">
        <f>+INDEX(PWP!$A:$Z,MATCH('PWP-Print'!E984,PWP!$B:$B,0),MATCH("Name",PWP!$A$1:$Z$1,0))</f>
        <v>Barbary</v>
      </c>
      <c r="H985" s="8"/>
      <c r="I985" t="e" vm="426">
        <f>_xlfn.IMAGE("https://natalie.tf/wp-content/uploads/2023/10/DLV3_Icon_Ability_"&amp;INDEX('PWP-A'!$A$2:$C$31,MATCH('PWP-Print'!J985,'PWP-A'!$B$2:$B$31,0),1)&amp;".png")</f>
        <v>#VALUE!</v>
      </c>
      <c r="J985" s="229" t="str">
        <f>+INDEX(PWP!$A:$Z,MATCH('PWP-Print'!E984,PWP!$B:$B,0),MATCH("PWP Ability 2",PWP!$A$1:$Z$1,0))</f>
        <v>Defense +20%</v>
      </c>
      <c r="K985" s="249" t="str">
        <f>+INDEX(PWP!$A:$Z,MATCH('PWP-Print'!E984,PWP!$B:$B,0),MATCH("Locked PWP Ability 2",PWP!$A$1:$Z$1,0))</f>
        <v>(Flame) Defense +20%</v>
      </c>
      <c r="M985" s="729"/>
      <c r="N985" s="8"/>
      <c r="O985" s="200" t="str">
        <f>+INDEX(PWP!$A:$Z,MATCH('PWP-Print'!O984,PWP!$B:$B,0),MATCH("ID",PWP!$A$1:$Z$1,0))</f>
        <v>120094_01</v>
      </c>
      <c r="P985" s="8"/>
      <c r="Q985" s="249" t="str">
        <f>+INDEX(PWP!$A:$Z,MATCH('PWP-Print'!O984,PWP!$B:$B,0),MATCH("Name",PWP!$A$1:$Z$1,0))</f>
        <v>Sabnock</v>
      </c>
      <c r="R985" s="8"/>
      <c r="S985" t="e" vm="330">
        <f>_xlfn.IMAGE("https://natalie.tf/wp-content/uploads/2023/10/DLV3_Icon_Ability_"&amp;INDEX('PWP-A'!$A$2:$C$31,MATCH('PWP-Print'!T985,'PWP-A'!$B$2:$B$31,0),1)&amp;".png")</f>
        <v>#VALUE!</v>
      </c>
      <c r="T985" s="229" t="str">
        <f>+INDEX(PWP!$A:$Z,MATCH('PWP-Print'!O984,PWP!$B:$B,0),MATCH("PWP Ability 2",PWP!$A$1:$Z$1,0))</f>
        <v>Skill Haste +10%</v>
      </c>
      <c r="U985" s="249" t="str">
        <f>+INDEX(PWP!$A:$Z,MATCH('PWP-Print'!O984,PWP!$B:$B,0),MATCH("Locked PWP Ability 2",PWP!$A$1:$Z$1,0))</f>
        <v>(Shadow) Skill Haste +10%</v>
      </c>
    </row>
    <row r="986" spans="1:21" ht="22.5" customHeight="1" x14ac:dyDescent="0.3">
      <c r="A986" s="244" t="str">
        <f>TEXT(A982+1,"000")</f>
        <v>462</v>
      </c>
      <c r="B986" s="244" t="str">
        <f>TEXT(B982+1,"000")</f>
        <v>475</v>
      </c>
      <c r="C986" s="729"/>
      <c r="E986" s="251" t="str">
        <f>+INDEX(PWP!$A:$Z,MATCH('PWP-Print'!E984,PWP!$B:$B,0),MATCH("Num",PWP!$A$1:$Z$1,0))</f>
        <v>N/A</v>
      </c>
      <c r="G986" s="249" t="str">
        <f>+INDEX(PWP!$A:$Z,MATCH('PWP-Print'!E984,PWP!$B:$B,0),MATCH("Element",PWP!$A$1:$Z$1,0))&amp;" "&amp;INDEX(PWP!$A:$Z,MATCH('PWP-Print'!E984,PWP!$B:$B,0),MATCH("Type",PWP!$A$1:$Z$1,0))</f>
        <v>Flame NPC</v>
      </c>
      <c r="K986" s="250"/>
      <c r="M986" s="729"/>
      <c r="O986" s="251" t="str">
        <f>+INDEX(PWP!$A:$Z,MATCH('PWP-Print'!O984,PWP!$B:$B,0),MATCH("Num",PWP!$A$1:$Z$1,0))</f>
        <v>N/A</v>
      </c>
      <c r="Q986" s="249" t="str">
        <f>+INDEX(PWP!$A:$Z,MATCH('PWP-Print'!O984,PWP!$B:$B,0),MATCH("Element",PWP!$A$1:$Z$1,0))&amp;" "&amp;INDEX(PWP!$A:$Z,MATCH('PWP-Print'!O984,PWP!$B:$B,0),MATCH("Type",PWP!$A$1:$Z$1,0))</f>
        <v>Shadow NPC</v>
      </c>
      <c r="U986" s="250"/>
    </row>
    <row r="987" spans="1:21" ht="7.5" customHeight="1" x14ac:dyDescent="0.3">
      <c r="A987" s="244" t="s">
        <v>10763</v>
      </c>
      <c r="E987" s="250"/>
      <c r="G987" s="250"/>
      <c r="K987" s="250"/>
    </row>
    <row r="988" spans="1:21" ht="22.5" customHeight="1" x14ac:dyDescent="0.3">
      <c r="C988" s="729" t="e" vm="1505">
        <f>_xlfn.IMAGE("https://natalie.tf/wp-content/uploads/2023/11/DLV3_Icon_NPC_Custom_"&amp;E989&amp;".png")</f>
        <v>#VALUE!</v>
      </c>
      <c r="E988" s="249" t="str">
        <f>"PWP-"&amp;A990</f>
        <v>PWP-463</v>
      </c>
      <c r="G988" s="249" t="str">
        <f>+INDEX(PWP!$A:$Z,MATCH('PWP-Print'!E988,PWP!$B:$B,0),MATCH("Title",PWP!$A$1:$Z$1,0))</f>
        <v>The Tutelary's Caring Brother</v>
      </c>
      <c r="I988" t="e" vm="14">
        <f>_xlfn.IMAGE("https://natalie.tf/wp-content/uploads/2023/10/DLV3_Icon_Ability_"&amp;INDEX('PWP-A'!$A$2:$C$31,MATCH('PWP-Print'!J988,'PWP-A'!$B$2:$B$31,0),1)&amp;".png")</f>
        <v>#VALUE!</v>
      </c>
      <c r="J988" s="229" t="str">
        <f>+INDEX(PWP!$A:$Z,MATCH('PWP-Print'!E988,PWP!$B:$B,0),MATCH("PWP Ability 1",PWP!$A$1:$Z$1,0))</f>
        <v>Strength +20%</v>
      </c>
      <c r="K988" s="249" t="str">
        <f>+INDEX(PWP!$A:$Z,MATCH('PWP-Print'!E988,PWP!$B:$B,0),MATCH("Locked PWP Ability 1",PWP!$A$1:$Z$1,0))</f>
        <v>(Flame) Strength +20%</v>
      </c>
      <c r="M988" s="729"/>
      <c r="O988" s="221"/>
      <c r="Q988" s="221"/>
      <c r="U988" s="221"/>
    </row>
    <row r="989" spans="1:21" ht="22.5" customHeight="1" x14ac:dyDescent="0.3">
      <c r="C989" s="729"/>
      <c r="D989" s="8"/>
      <c r="E989" s="200" t="str">
        <f>+INDEX(PWP!$A:$Z,MATCH('PWP-Print'!E988,PWP!$B:$B,0),MATCH("ID",PWP!$A$1:$Z$1,0))</f>
        <v>120132_01</v>
      </c>
      <c r="F989" s="8"/>
      <c r="G989" s="249" t="str">
        <f>+INDEX(PWP!$A:$Z,MATCH('PWP-Print'!E988,PWP!$B:$B,0),MATCH("Name",PWP!$A$1:$Z$1,0))</f>
        <v>Shion</v>
      </c>
      <c r="H989" s="8"/>
      <c r="I989" t="e" vm="414">
        <f>_xlfn.IMAGE("https://natalie.tf/wp-content/uploads/2023/10/DLV3_Icon_Ability_"&amp;INDEX('PWP-A'!$A$2:$C$31,MATCH('PWP-Print'!J989,'PWP-A'!$B$2:$B$31,0),1)&amp;".png")</f>
        <v>#VALUE!</v>
      </c>
      <c r="J989" s="229" t="str">
        <f>+INDEX(PWP!$A:$Z,MATCH('PWP-Print'!E988,PWP!$B:$B,0),MATCH("PWP Ability 2",PWP!$A$1:$Z$1,0))</f>
        <v>Critical Damage +25%</v>
      </c>
      <c r="K989" s="249" t="str">
        <f>+INDEX(PWP!$A:$Z,MATCH('PWP-Print'!E988,PWP!$B:$B,0),MATCH("Locked PWP Ability 2",PWP!$A$1:$Z$1,0))</f>
        <v>(Flame) Critical Damage +25%</v>
      </c>
      <c r="M989" s="729"/>
      <c r="N989" s="8"/>
      <c r="O989" s="221"/>
      <c r="P989" s="8"/>
      <c r="Q989" s="221"/>
      <c r="R989" s="8"/>
      <c r="S989" s="8"/>
      <c r="T989" s="8"/>
      <c r="U989" s="221"/>
    </row>
    <row r="990" spans="1:21" ht="22.5" customHeight="1" x14ac:dyDescent="0.3">
      <c r="A990" s="244" t="str">
        <f>TEXT(A986+1,"000")</f>
        <v>463</v>
      </c>
      <c r="C990" s="729"/>
      <c r="E990" s="251" t="str">
        <f>+INDEX(PWP!$A:$Z,MATCH('PWP-Print'!E988,PWP!$B:$B,0),MATCH("Num",PWP!$A$1:$Z$1,0))</f>
        <v>N/A</v>
      </c>
      <c r="G990" s="249" t="str">
        <f>+INDEX(PWP!$A:$Z,MATCH('PWP-Print'!E988,PWP!$B:$B,0),MATCH("Element",PWP!$A$1:$Z$1,0))&amp;" "&amp;INDEX(PWP!$A:$Z,MATCH('PWP-Print'!E988,PWP!$B:$B,0),MATCH("Type",PWP!$A$1:$Z$1,0))</f>
        <v>Flame NPC</v>
      </c>
      <c r="K990" s="250"/>
      <c r="M990" s="729"/>
      <c r="O990" s="221"/>
      <c r="Q990" s="221"/>
      <c r="U990" s="222"/>
    </row>
    <row r="991" spans="1:21" ht="39.75" customHeight="1" x14ac:dyDescent="0.2">
      <c r="A991" s="244" t="s">
        <v>10763</v>
      </c>
    </row>
    <row r="992" spans="1:21" ht="22.5" customHeight="1" x14ac:dyDescent="0.3">
      <c r="C992" s="729" t="e" vm="1506">
        <f>_xlfn.IMAGE("https://natalie.tf/wp-content/uploads/2023/11/DLV3_Icon_NPC_Custom_"&amp;E993&amp;".png")</f>
        <v>#VALUE!</v>
      </c>
      <c r="E992" s="249" t="str">
        <f>"PWP-"&amp;A994</f>
        <v>PWP-476</v>
      </c>
      <c r="G992" s="249" t="str">
        <f>+INDEX(PWP!$A:$Z,MATCH('PWP-Print'!E992,PWP!$B:$B,0),MATCH("Title",PWP!$A$1:$Z$1,0))</f>
        <v>The Sugary Assassin</v>
      </c>
      <c r="I992" t="e" vm="14">
        <f>_xlfn.IMAGE("https://natalie.tf/wp-content/uploads/2023/10/DLV3_Icon_Ability_"&amp;INDEX('PWP-A'!$A$2:$C$31,MATCH('PWP-Print'!J992,'PWP-A'!$B$2:$B$31,0),1)&amp;".png")</f>
        <v>#VALUE!</v>
      </c>
      <c r="J992" s="229" t="str">
        <f>+INDEX(PWP!$A:$Z,MATCH('PWP-Print'!E992,PWP!$B:$B,0),MATCH("PWP Ability 1",PWP!$A$1:$Z$1,0))</f>
        <v>Skill Damage +40%</v>
      </c>
      <c r="K992" s="249" t="str">
        <f>+INDEX(PWP!$A:$Z,MATCH('PWP-Print'!E992,PWP!$B:$B,0),MATCH("Locked PWP Ability 1",PWP!$A$1:$Z$1,0))</f>
        <v>(Shadow) Skill Damage +40%</v>
      </c>
      <c r="M992" s="729" t="e" vm="1507">
        <f>_xlfn.IMAGE("https://natalie.tf/wp-content/uploads/2023/11/DLV3_Icon_NPC_"&amp;O993&amp;".png")</f>
        <v>#VALUE!</v>
      </c>
      <c r="O992" s="249" t="str">
        <f>"PWP-"&amp;B994</f>
        <v>PWP-489</v>
      </c>
      <c r="Q992" s="249" t="str">
        <f>+INDEX(PWP!$A:$Z,MATCH('PWP-Print'!O992,PWP!$B:$B,0),MATCH("Title",PWP!$A$1:$Z$1,0))</f>
        <v>The Abyssian Priestess</v>
      </c>
      <c r="S992" t="e" vm="382">
        <f>_xlfn.IMAGE("https://natalie.tf/wp-content/uploads/2023/10/DLV3_Icon_Ability_"&amp;INDEX('PWP-A'!$A$2:$C$31,MATCH('PWP-Print'!T992,'PWP-A'!$B$2:$B$31,0),1)&amp;".png")</f>
        <v>#VALUE!</v>
      </c>
      <c r="T992" s="229" t="str">
        <f>+INDEX(PWP!$A:$Z,MATCH('PWP-Print'!O992,PWP!$B:$B,0),MATCH("PWP Ability 1",PWP!$A$1:$Z$1,0))</f>
        <v>Dragon Time +20%</v>
      </c>
      <c r="U992" s="249" t="str">
        <f>+INDEX(PWP!$A:$Z,MATCH('PWP-Print'!O992,PWP!$B:$B,0),MATCH("Locked PWP Ability 1",PWP!$A$1:$Z$1,0))</f>
        <v>(Water) Dragon Time +20%</v>
      </c>
    </row>
    <row r="993" spans="1:21" ht="22.5" customHeight="1" x14ac:dyDescent="0.3">
      <c r="C993" s="729"/>
      <c r="D993" s="8"/>
      <c r="E993" s="200" t="str">
        <f>+INDEX(PWP!$A:$Z,MATCH('PWP-Print'!E992,PWP!$B:$B,0),MATCH("ID",PWP!$A$1:$Z$1,0))</f>
        <v>120165_01</v>
      </c>
      <c r="F993" s="8"/>
      <c r="G993" s="249" t="str">
        <f>+INDEX(PWP!$A:$Z,MATCH('PWP-Print'!E992,PWP!$B:$B,0),MATCH("Name",PWP!$A$1:$Z$1,0))</f>
        <v>Dorothy</v>
      </c>
      <c r="H993" s="8"/>
      <c r="I993" t="e" vm="414">
        <f>_xlfn.IMAGE("https://natalie.tf/wp-content/uploads/2023/10/DLV3_Icon_Ability_"&amp;INDEX('PWP-A'!$A$2:$C$31,MATCH('PWP-Print'!J993,'PWP-A'!$B$2:$B$31,0),1)&amp;".png")</f>
        <v>#VALUE!</v>
      </c>
      <c r="J993" s="229" t="str">
        <f>+INDEX(PWP!$A:$Z,MATCH('PWP-Print'!E992,PWP!$B:$B,0),MATCH("PWP Ability 2",PWP!$A$1:$Z$1,0))</f>
        <v>Critical Damage +25%</v>
      </c>
      <c r="K993" s="249" t="str">
        <f>+INDEX(PWP!$A:$Z,MATCH('PWP-Print'!E992,PWP!$B:$B,0),MATCH("Locked PWP Ability 2",PWP!$A$1:$Z$1,0))</f>
        <v>(Shadow) Critical Damage +25%</v>
      </c>
      <c r="M993" s="729"/>
      <c r="N993" s="8"/>
      <c r="O993" s="200" t="str">
        <f>+INDEX(PWP!$A:$Z,MATCH('PWP-Print'!O992,PWP!$B:$B,0),MATCH("ID",PWP!$A$1:$Z$1,0))</f>
        <v>120225_01</v>
      </c>
      <c r="P993" s="8"/>
      <c r="Q993" s="249" t="str">
        <f>+INDEX(PWP!$A:$Z,MATCH('PWP-Print'!O992,PWP!$B:$B,0),MATCH("Name",PWP!$A$1:$Z$1,0))</f>
        <v>Tiana</v>
      </c>
      <c r="R993" s="8"/>
      <c r="S993" t="e" vm="696">
        <f>_xlfn.IMAGE("https://natalie.tf/wp-content/uploads/2023/10/DLV3_Icon_Ability_"&amp;INDEX('PWP-A'!$A$2:$C$31,MATCH('PWP-Print'!T993,'PWP-A'!$B$2:$B$31,0),1)&amp;".png")</f>
        <v>#VALUE!</v>
      </c>
      <c r="T993" s="229" t="str">
        <f>+INDEX(PWP!$A:$Z,MATCH('PWP-Print'!O992,PWP!$B:$B,0),MATCH("PWP Ability 2",PWP!$A$1:$Z$1,0))</f>
        <v>Elemental Res +15%</v>
      </c>
      <c r="U993" s="249" t="str">
        <f>+INDEX(PWP!$A:$Z,MATCH('PWP-Print'!O992,PWP!$B:$B,0),MATCH("Locked PWP Ability 2",PWP!$A$1:$Z$1,0))</f>
        <v>(Water) Elemental Res +15%</v>
      </c>
    </row>
    <row r="994" spans="1:21" ht="22.5" customHeight="1" x14ac:dyDescent="0.3">
      <c r="A994" s="242" t="str">
        <f>TEXT(B986+1,"000")</f>
        <v>476</v>
      </c>
      <c r="B994" s="244" t="str">
        <f>TEXT(A1042+1,"000")</f>
        <v>489</v>
      </c>
      <c r="C994" s="729"/>
      <c r="E994" s="251" t="str">
        <f>+INDEX(PWP!$A:$Z,MATCH('PWP-Print'!E992,PWP!$B:$B,0),MATCH("Num",PWP!$A$1:$Z$1,0))</f>
        <v>N/A</v>
      </c>
      <c r="G994" s="249" t="str">
        <f>+INDEX(PWP!$A:$Z,MATCH('PWP-Print'!E992,PWP!$B:$B,0),MATCH("Element",PWP!$A$1:$Z$1,0))&amp;" "&amp;INDEX(PWP!$A:$Z,MATCH('PWP-Print'!E992,PWP!$B:$B,0),MATCH("Type",PWP!$A$1:$Z$1,0))</f>
        <v>Shadow NPC</v>
      </c>
      <c r="K994" s="250"/>
      <c r="M994" s="729"/>
      <c r="O994" s="251" t="str">
        <f>+INDEX(PWP!$A:$Z,MATCH('PWP-Print'!O992,PWP!$B:$B,0),MATCH("Num",PWP!$A$1:$Z$1,0))</f>
        <v>N/A</v>
      </c>
      <c r="Q994" s="249" t="str">
        <f>+INDEX(PWP!$A:$Z,MATCH('PWP-Print'!O992,PWP!$B:$B,0),MATCH("Element",PWP!$A$1:$Z$1,0))&amp;" "&amp;INDEX(PWP!$A:$Z,MATCH('PWP-Print'!O992,PWP!$B:$B,0),MATCH("Type",PWP!$A$1:$Z$1,0))</f>
        <v>Water NPC</v>
      </c>
      <c r="U994" s="250"/>
    </row>
    <row r="995" spans="1:21" ht="7.5" customHeight="1" x14ac:dyDescent="0.3">
      <c r="A995" s="244" t="s">
        <v>10763</v>
      </c>
      <c r="E995" s="250"/>
      <c r="G995" s="250"/>
      <c r="K995" s="250"/>
      <c r="O995" s="250"/>
      <c r="Q995" s="250"/>
      <c r="U995" s="250"/>
    </row>
    <row r="996" spans="1:21" ht="22.5" customHeight="1" x14ac:dyDescent="0.3">
      <c r="C996" s="729" t="e" vm="1508">
        <f>_xlfn.IMAGE("https://natalie.tf/wp-content/uploads/2023/11/DLV3_Icon_NPC_"&amp;E997&amp;".png")</f>
        <v>#VALUE!</v>
      </c>
      <c r="E996" s="249" t="str">
        <f>"PWP-"&amp;A998</f>
        <v>PWP-477</v>
      </c>
      <c r="G996" s="249" t="str">
        <f>+INDEX(PWP!$A:$Z,MATCH('PWP-Print'!E996,PWP!$B:$B,0),MATCH("Title",PWP!$A$1:$Z$1,0))</f>
        <v>The Kind-Hearted Fiend</v>
      </c>
      <c r="I996" t="e" vm="326">
        <f>_xlfn.IMAGE("https://natalie.tf/wp-content/uploads/2023/10/DLV3_Icon_Ability_"&amp;INDEX('PWP-A'!$A$2:$C$31,MATCH('PWP-Print'!J996,'PWP-A'!$B$2:$B$31,0),1)&amp;".png")</f>
        <v>#VALUE!</v>
      </c>
      <c r="J996" s="229" t="str">
        <f>+INDEX(PWP!$A:$Z,MATCH('PWP-Print'!E996,PWP!$B:$B,0),MATCH("PWP Ability 1",PWP!$A$1:$Z$1,0))</f>
        <v>Critical Rate +15%</v>
      </c>
      <c r="K996" s="249" t="str">
        <f>+INDEX(PWP!$A:$Z,MATCH('PWP-Print'!E996,PWP!$B:$B,0),MATCH("Locked PWP Ability 1",PWP!$A$1:$Z$1,0))</f>
        <v>(Shadow) Critical Rate +15%</v>
      </c>
      <c r="M996" s="729" t="e" vm="1509">
        <f>_xlfn.IMAGE("https://natalie.tf/wp-content/uploads/2023/11/DLV3_Icon_NPC_Custom_"&amp;O997&amp;".png")</f>
        <v>#VALUE!</v>
      </c>
      <c r="O996" s="249" t="str">
        <f>"PWP-"&amp;B998</f>
        <v>PWP-490</v>
      </c>
      <c r="Q996" s="249" t="str">
        <f>+INDEX(PWP!$A:$Z,MATCH('PWP-Print'!O996,PWP!$B:$B,0),MATCH("Title",PWP!$A$1:$Z$1,0))</f>
        <v>Ruler of Immorality</v>
      </c>
      <c r="S996" t="e" vm="14">
        <f>_xlfn.IMAGE("https://natalie.tf/wp-content/uploads/2023/10/DLV3_Icon_Ability_"&amp;INDEX('PWP-A'!$A$2:$C$31,MATCH('PWP-Print'!T996,'PWP-A'!$B$2:$B$31,0),1)&amp;".png")</f>
        <v>#VALUE!</v>
      </c>
      <c r="T996" s="229" t="str">
        <f>+INDEX(PWP!$A:$Z,MATCH('PWP-Print'!O996,PWP!$B:$B,0),MATCH("PWP Ability 1",PWP!$A$1:$Z$1,0))</f>
        <v>Strength +20%</v>
      </c>
      <c r="U996" s="249" t="str">
        <f>+INDEX(PWP!$A:$Z,MATCH('PWP-Print'!O996,PWP!$B:$B,0),MATCH("Locked PWP Ability 1",PWP!$A$1:$Z$1,0))</f>
        <v>(Wind) Strength +20%</v>
      </c>
    </row>
    <row r="997" spans="1:21" ht="22.5" customHeight="1" x14ac:dyDescent="0.3">
      <c r="C997" s="729"/>
      <c r="D997" s="8"/>
      <c r="E997" s="200" t="str">
        <f>+INDEX(PWP!$A:$Z,MATCH('PWP-Print'!E996,PWP!$B:$B,0),MATCH("ID",PWP!$A$1:$Z$1,0))</f>
        <v>120185_01</v>
      </c>
      <c r="F997" s="8"/>
      <c r="G997" s="249" t="str">
        <f>+INDEX(PWP!$A:$Z,MATCH('PWP-Print'!E996,PWP!$B:$B,0),MATCH("Name",PWP!$A$1:$Z$1,0))</f>
        <v>Mei Hou Wang</v>
      </c>
      <c r="H997" s="8"/>
      <c r="I997" t="e" vm="688">
        <f>_xlfn.IMAGE("https://natalie.tf/wp-content/uploads/2023/10/DLV3_Icon_Ability_"&amp;INDEX('PWP-A'!$A$2:$C$31,MATCH('PWP-Print'!J997,'PWP-A'!$B$2:$B$31,0),1)&amp;".png")</f>
        <v>#VALUE!</v>
      </c>
      <c r="J997" s="229" t="str">
        <f>+INDEX(PWP!$A:$Z,MATCH('PWP-Print'!E996,PWP!$B:$B,0),MATCH("PWP Ability 2",PWP!$A$1:$Z$1,0))</f>
        <v>Overdrive Punisher +15%</v>
      </c>
      <c r="K997" s="179" t="str">
        <f>+INDEX(PWP!$A:$Z,MATCH('PWP-Print'!E996,PWP!$B:$B,0),MATCH("Locked PWP Ability 2",PWP!$A$1:$Z$1,0))</f>
        <v>(Shadow) Overdrive Punisher +15%</v>
      </c>
      <c r="M997" s="729"/>
      <c r="N997" s="8"/>
      <c r="O997" s="200" t="str">
        <f>+INDEX(PWP!$A:$Z,MATCH('PWP-Print'!O996,PWP!$B:$B,0),MATCH("ID",PWP!$A$1:$Z$1,0))</f>
        <v>100049_01</v>
      </c>
      <c r="P997" s="8"/>
      <c r="Q997" s="249" t="str">
        <f>+INDEX(PWP!$A:$Z,MATCH('PWP-Print'!O996,PWP!$B:$B,0),MATCH("Name",PWP!$A$1:$Z$1,0))</f>
        <v>Jaldabaoth</v>
      </c>
      <c r="R997" s="8"/>
      <c r="S997" t="e" vm="1045">
        <f>_xlfn.IMAGE("https://natalie.tf/wp-content/uploads/2023/10/DLV3_Icon_Ability_"&amp;INDEX('PWP-A'!$A$2:$C$31,MATCH('PWP-Print'!T997,'PWP-A'!$B$2:$B$31,0),1)&amp;".png")</f>
        <v>#VALUE!</v>
      </c>
      <c r="T997" s="229" t="str">
        <f>+INDEX(PWP!$A:$Z,MATCH('PWP-Print'!O996,PWP!$B:$B,0),MATCH("PWP Ability 2",PWP!$A$1:$Z$1,0))</f>
        <v>Attack Rate +20%</v>
      </c>
      <c r="U997" s="249" t="str">
        <f>+INDEX(PWP!$A:$Z,MATCH('PWP-Print'!O996,PWP!$B:$B,0),MATCH("Locked PWP Ability 2",PWP!$A$1:$Z$1,0))</f>
        <v>(Wind) Attack Rate +20%</v>
      </c>
    </row>
    <row r="998" spans="1:21" ht="22.5" customHeight="1" x14ac:dyDescent="0.3">
      <c r="A998" s="244" t="str">
        <f>TEXT(A994+1,"000")</f>
        <v>477</v>
      </c>
      <c r="B998" s="244" t="str">
        <f>TEXT(B994+1,"000")</f>
        <v>490</v>
      </c>
      <c r="C998" s="729"/>
      <c r="E998" s="251" t="str">
        <f>+INDEX(PWP!$A:$Z,MATCH('PWP-Print'!E996,PWP!$B:$B,0),MATCH("Num",PWP!$A$1:$Z$1,0))</f>
        <v>N/A</v>
      </c>
      <c r="G998" s="249" t="str">
        <f>+INDEX(PWP!$A:$Z,MATCH('PWP-Print'!E996,PWP!$B:$B,0),MATCH("Element",PWP!$A$1:$Z$1,0))&amp;" "&amp;INDEX(PWP!$A:$Z,MATCH('PWP-Print'!E996,PWP!$B:$B,0),MATCH("Type",PWP!$A$1:$Z$1,0))</f>
        <v>Shadow NPC</v>
      </c>
      <c r="K998" s="250"/>
      <c r="M998" s="729"/>
      <c r="O998" s="251" t="str">
        <f>+INDEX(PWP!$A:$Z,MATCH('PWP-Print'!O996,PWP!$B:$B,0),MATCH("Num",PWP!$A$1:$Z$1,0))</f>
        <v>N/A</v>
      </c>
      <c r="Q998" s="249" t="str">
        <f>+INDEX(PWP!$A:$Z,MATCH('PWP-Print'!O996,PWP!$B:$B,0),MATCH("Element",PWP!$A$1:$Z$1,0))&amp;" "&amp;INDEX(PWP!$A:$Z,MATCH('PWP-Print'!O996,PWP!$B:$B,0),MATCH("Type",PWP!$A$1:$Z$1,0))</f>
        <v>Wind NPC</v>
      </c>
      <c r="U998" s="250"/>
    </row>
    <row r="999" spans="1:21" ht="7.5" customHeight="1" x14ac:dyDescent="0.3">
      <c r="A999" s="244" t="s">
        <v>10763</v>
      </c>
      <c r="E999" s="250"/>
      <c r="G999" s="250"/>
      <c r="K999" s="250"/>
      <c r="O999" s="250"/>
      <c r="Q999" s="250"/>
      <c r="U999" s="250"/>
    </row>
    <row r="1000" spans="1:21" ht="22.5" customHeight="1" x14ac:dyDescent="0.3">
      <c r="C1000" s="729" t="e" vm="1510">
        <f>_xlfn.IMAGE("https://natalie.tf/wp-content/uploads/2023/11/DLV3_Icon_NPC_"&amp;E1001&amp;".png")</f>
        <v>#VALUE!</v>
      </c>
      <c r="E1000" s="249" t="str">
        <f>"PWP-"&amp;A1002</f>
        <v>PWP-478</v>
      </c>
      <c r="G1000" s="249" t="str">
        <f>+INDEX(PWP!$A:$Z,MATCH('PWP-Print'!E1000,PWP!$B:$B,0),MATCH("Title",PWP!$A$1:$Z$1,0))</f>
        <v>The Lord of Saint Lotier</v>
      </c>
      <c r="I1000" t="e" vm="326">
        <f>_xlfn.IMAGE("https://natalie.tf/wp-content/uploads/2023/10/DLV3_Icon_Ability_"&amp;INDEX('PWP-A'!$A$2:$C$31,MATCH('PWP-Print'!J1000,'PWP-A'!$B$2:$B$31,0),1)&amp;".png")</f>
        <v>#VALUE!</v>
      </c>
      <c r="J1000" s="229" t="str">
        <f>+INDEX(PWP!$A:$Z,MATCH('PWP-Print'!E1000,PWP!$B:$B,0),MATCH("PWP Ability 1",PWP!$A$1:$Z$1,0))</f>
        <v>Critical Rate +15%</v>
      </c>
      <c r="K1000" s="249" t="str">
        <f>+INDEX(PWP!$A:$Z,MATCH('PWP-Print'!E1000,PWP!$B:$B,0),MATCH("Locked PWP Ability 1",PWP!$A$1:$Z$1,0))</f>
        <v>(Water) Critical Rate +15%</v>
      </c>
      <c r="M1000" s="729" t="e" vm="1511">
        <f>_xlfn.IMAGE("https://natalie.tf/wp-content/uploads/2023/11/DLV3_Icon_NPC_Custom_"&amp;O1001&amp;".png")</f>
        <v>#VALUE!</v>
      </c>
      <c r="O1000" s="249" t="str">
        <f>"PWP-"&amp;B1002</f>
        <v>PWP-491</v>
      </c>
      <c r="Q1000" s="249" t="str">
        <f>+INDEX(PWP!$A:$Z,MATCH('PWP-Print'!O1000,PWP!$B:$B,0),MATCH("Title",PWP!$A$1:$Z$1,0))</f>
        <v>Corrupted Dragon</v>
      </c>
      <c r="S1000" t="e" vm="685">
        <f>_xlfn.IMAGE("https://natalie.tf/wp-content/uploads/2023/10/DLV3_Icon_Ability_"&amp;INDEX('PWP-A'!$A$2:$C$31,MATCH('PWP-Print'!T1000,'PWP-A'!$B$2:$B$31,0),1)&amp;".png")</f>
        <v>#VALUE!</v>
      </c>
      <c r="T1000" s="229" t="str">
        <f>+INDEX(PWP!$A:$Z,MATCH('PWP-Print'!O1000,PWP!$B:$B,0),MATCH("PWP Ability 1",PWP!$A$1:$Z$1,0))</f>
        <v>Debuff Skill Time +30%</v>
      </c>
      <c r="U1000" s="249" t="str">
        <f>+INDEX(PWP!$A:$Z,MATCH('PWP-Print'!O1000,PWP!$B:$B,0),MATCH("Locked PWP Ability 1",PWP!$A$1:$Z$1,0))</f>
        <v>(Wind) Debuff Skill Time +30%</v>
      </c>
    </row>
    <row r="1001" spans="1:21" ht="22.5" customHeight="1" x14ac:dyDescent="0.3">
      <c r="C1001" s="729"/>
      <c r="D1001" s="8"/>
      <c r="E1001" s="200" t="str">
        <f>+INDEX(PWP!$A:$Z,MATCH('PWP-Print'!E1000,PWP!$B:$B,0),MATCH("ID",PWP!$A$1:$Z$1,0))</f>
        <v>100023_01</v>
      </c>
      <c r="F1001" s="8"/>
      <c r="G1001" s="249" t="str">
        <f>+INDEX(PWP!$A:$Z,MATCH('PWP-Print'!E1000,PWP!$B:$B,0),MATCH("Name",PWP!$A$1:$Z$1,0))</f>
        <v>Zacharias</v>
      </c>
      <c r="H1001" s="8"/>
      <c r="I1001" t="e" vm="696">
        <f>_xlfn.IMAGE("https://natalie.tf/wp-content/uploads/2023/10/DLV3_Icon_Ability_"&amp;INDEX('PWP-A'!$A$2:$C$31,MATCH('PWP-Print'!J1001,'PWP-A'!$B$2:$B$31,0),1)&amp;".png")</f>
        <v>#VALUE!</v>
      </c>
      <c r="J1001" s="229" t="str">
        <f>+INDEX(PWP!$A:$Z,MATCH('PWP-Print'!E1000,PWP!$B:$B,0),MATCH("PWP Ability 2",PWP!$A$1:$Z$1,0))</f>
        <v>Elemental Res +15%</v>
      </c>
      <c r="K1001" s="249" t="str">
        <f>+INDEX(PWP!$A:$Z,MATCH('PWP-Print'!E1000,PWP!$B:$B,0),MATCH("Locked PWP Ability 2",PWP!$A$1:$Z$1,0))</f>
        <v>(Water) Elemental Res +15%</v>
      </c>
      <c r="M1001" s="729"/>
      <c r="N1001" s="8"/>
      <c r="O1001" s="200" t="str">
        <f>+INDEX(PWP!$A:$Z,MATCH('PWP-Print'!O1000,PWP!$B:$B,0),MATCH("ID",PWP!$A$1:$Z$1,0))</f>
        <v>120051_01</v>
      </c>
      <c r="P1001" s="8"/>
      <c r="Q1001" s="249" t="str">
        <f>+INDEX(PWP!$A:$Z,MATCH('PWP-Print'!O1000,PWP!$B:$B,0),MATCH("Name",PWP!$A$1:$Z$1,0))</f>
        <v>Hypnos</v>
      </c>
      <c r="R1001" s="8"/>
      <c r="S1001" t="e" vm="330">
        <f>_xlfn.IMAGE("https://natalie.tf/wp-content/uploads/2023/10/DLV3_Icon_Ability_"&amp;INDEX('PWP-A'!$A$2:$C$31,MATCH('PWP-Print'!T1001,'PWP-A'!$B$2:$B$31,0),1)&amp;".png")</f>
        <v>#VALUE!</v>
      </c>
      <c r="T1001" s="229" t="str">
        <f>+INDEX(PWP!$A:$Z,MATCH('PWP-Print'!O1000,PWP!$B:$B,0),MATCH("PWP Ability 2",PWP!$A$1:$Z$1,0))</f>
        <v>Skill Haste +10%</v>
      </c>
      <c r="U1001" s="249" t="str">
        <f>+INDEX(PWP!$A:$Z,MATCH('PWP-Print'!O1000,PWP!$B:$B,0),MATCH("Locked PWP Ability 2",PWP!$A$1:$Z$1,0))</f>
        <v>(Wind) Skill Haste +10%</v>
      </c>
    </row>
    <row r="1002" spans="1:21" ht="22.5" customHeight="1" x14ac:dyDescent="0.3">
      <c r="A1002" s="244" t="str">
        <f>TEXT(A998+1,"000")</f>
        <v>478</v>
      </c>
      <c r="B1002" s="244" t="str">
        <f>TEXT(B998+1,"000")</f>
        <v>491</v>
      </c>
      <c r="C1002" s="729"/>
      <c r="E1002" s="251" t="str">
        <f>+INDEX(PWP!$A:$Z,MATCH('PWP-Print'!E1000,PWP!$B:$B,0),MATCH("Num",PWP!$A$1:$Z$1,0))</f>
        <v>N/A</v>
      </c>
      <c r="G1002" s="249" t="str">
        <f>+INDEX(PWP!$A:$Z,MATCH('PWP-Print'!E1000,PWP!$B:$B,0),MATCH("Element",PWP!$A$1:$Z$1,0))&amp;" "&amp;INDEX(PWP!$A:$Z,MATCH('PWP-Print'!E1000,PWP!$B:$B,0),MATCH("Type",PWP!$A$1:$Z$1,0))</f>
        <v>Water NPC</v>
      </c>
      <c r="K1002" s="250"/>
      <c r="M1002" s="729"/>
      <c r="O1002" s="251" t="str">
        <f>+INDEX(PWP!$A:$Z,MATCH('PWP-Print'!O1000,PWP!$B:$B,0),MATCH("Num",PWP!$A$1:$Z$1,0))</f>
        <v>N/A</v>
      </c>
      <c r="Q1002" s="249" t="str">
        <f>+INDEX(PWP!$A:$Z,MATCH('PWP-Print'!O1000,PWP!$B:$B,0),MATCH("Element",PWP!$A$1:$Z$1,0))&amp;" "&amp;INDEX(PWP!$A:$Z,MATCH('PWP-Print'!O1000,PWP!$B:$B,0),MATCH("Type",PWP!$A$1:$Z$1,0))</f>
        <v>Wind NPC</v>
      </c>
      <c r="U1002" s="250"/>
    </row>
    <row r="1003" spans="1:21" ht="7.5" customHeight="1" x14ac:dyDescent="0.3">
      <c r="A1003" s="244" t="s">
        <v>10763</v>
      </c>
      <c r="E1003" s="250"/>
      <c r="G1003" s="250"/>
      <c r="K1003" s="250"/>
      <c r="O1003" s="250"/>
      <c r="Q1003" s="250"/>
      <c r="U1003" s="250"/>
    </row>
    <row r="1004" spans="1:21" ht="22.5" customHeight="1" x14ac:dyDescent="0.3">
      <c r="C1004" s="729" t="e" vm="1512">
        <f>_xlfn.IMAGE("https://natalie.tf/wp-content/uploads/2023/11/DLV3_Icon_NPC_"&amp;E1005&amp;".png")</f>
        <v>#VALUE!</v>
      </c>
      <c r="E1004" s="249" t="str">
        <f>"PWP-"&amp;A1006</f>
        <v>PWP-479</v>
      </c>
      <c r="G1004" s="249" t="str">
        <f>+INDEX(PWP!$A:$Z,MATCH('PWP-Print'!E1004,PWP!$B:$B,0),MATCH("Title",PWP!$A$1:$Z$1,0))</f>
        <v>The Fifth Scion</v>
      </c>
      <c r="I1004" t="e" vm="14">
        <f>_xlfn.IMAGE("https://natalie.tf/wp-content/uploads/2023/10/DLV3_Icon_Ability_"&amp;INDEX('PWP-A'!$A$2:$C$31,MATCH('PWP-Print'!J1004,'PWP-A'!$B$2:$B$31,0),1)&amp;".png")</f>
        <v>#VALUE!</v>
      </c>
      <c r="J1004" s="229" t="str">
        <f>+INDEX(PWP!$A:$Z,MATCH('PWP-Print'!E1004,PWP!$B:$B,0),MATCH("PWP Ability 1",PWP!$A$1:$Z$1,0))</f>
        <v>Strength +20%</v>
      </c>
      <c r="K1004" s="249" t="str">
        <f>+INDEX(PWP!$A:$Z,MATCH('PWP-Print'!E1004,PWP!$B:$B,0),MATCH("Locked PWP Ability 1",PWP!$A$1:$Z$1,0))</f>
        <v>(Water) Strength +20%</v>
      </c>
      <c r="M1004" s="729" t="e" vm="1513">
        <f>_xlfn.IMAGE("https://natalie.tf/wp-content/uploads/2023/11/DLV3_Icon_NPC_Custom_"&amp;O1005&amp;".png")</f>
        <v>#VALUE!</v>
      </c>
      <c r="O1004" s="249" t="str">
        <f>"PWP-"&amp;B1006</f>
        <v>PWP-492</v>
      </c>
      <c r="Q1004" s="249" t="str">
        <f>+INDEX(PWP!$A:$Z,MATCH('PWP-Print'!O1004,PWP!$B:$B,0),MATCH("Title",PWP!$A$1:$Z$1,0))</f>
        <v>The Corrupted Rookie Sealer</v>
      </c>
      <c r="S1004" t="e" vm="444">
        <f>_xlfn.IMAGE("https://natalie.tf/wp-content/uploads/2023/10/DLV3_Icon_Ability_"&amp;INDEX('PWP-A'!$A$2:$C$31,MATCH('PWP-Print'!T1004,'PWP-A'!$B$2:$B$31,0),1)&amp;".png")</f>
        <v>#VALUE!</v>
      </c>
      <c r="T1004" s="229" t="str">
        <f>+INDEX(PWP!$A:$Z,MATCH('PWP-Print'!O1004,PWP!$B:$B,0),MATCH("PWP Ability 1",PWP!$A$1:$Z$1,0))</f>
        <v>Buff Skill Time +30%</v>
      </c>
      <c r="U1004" s="249" t="str">
        <f>+INDEX(PWP!$A:$Z,MATCH('PWP-Print'!O1004,PWP!$B:$B,0),MATCH("Locked PWP Ability 1",PWP!$A$1:$Z$1,0))</f>
        <v>(Wind) Buff Skill Time +30%</v>
      </c>
    </row>
    <row r="1005" spans="1:21" ht="22.5" customHeight="1" x14ac:dyDescent="0.3">
      <c r="C1005" s="729"/>
      <c r="D1005" s="8"/>
      <c r="E1005" s="200" t="str">
        <f>+INDEX(PWP!$A:$Z,MATCH('PWP-Print'!E1004,PWP!$B:$B,0),MATCH("ID",PWP!$A$1:$Z$1,0))</f>
        <v>100038_01</v>
      </c>
      <c r="F1005" s="8"/>
      <c r="G1005" s="249" t="str">
        <f>+INDEX(PWP!$A:$Z,MATCH('PWP-Print'!E1004,PWP!$B:$B,0),MATCH("Name",PWP!$A$1:$Z$1,0))</f>
        <v>Beren</v>
      </c>
      <c r="H1005" s="8"/>
      <c r="I1005" t="e" vm="696">
        <f>_xlfn.IMAGE("https://natalie.tf/wp-content/uploads/2023/10/DLV3_Icon_Ability_"&amp;INDEX('PWP-A'!$A$2:$C$31,MATCH('PWP-Print'!J1005,'PWP-A'!$B$2:$B$31,0),1)&amp;".png")</f>
        <v>#VALUE!</v>
      </c>
      <c r="J1005" s="229" t="str">
        <f>+INDEX(PWP!$A:$Z,MATCH('PWP-Print'!E1004,PWP!$B:$B,0),MATCH("PWP Ability 2",PWP!$A$1:$Z$1,0))</f>
        <v>Elemental Res +15%</v>
      </c>
      <c r="K1005" s="249" t="str">
        <f>+INDEX(PWP!$A:$Z,MATCH('PWP-Print'!E1004,PWP!$B:$B,0),MATCH("Locked PWP Ability 2",PWP!$A$1:$Z$1,0))</f>
        <v>(Water) Elemental Res +15%</v>
      </c>
      <c r="M1005" s="729"/>
      <c r="N1005" s="8"/>
      <c r="O1005" s="200" t="str">
        <f>+INDEX(PWP!$A:$Z,MATCH('PWP-Print'!O1004,PWP!$B:$B,0),MATCH("ID",PWP!$A$1:$Z$1,0))</f>
        <v>120125_01</v>
      </c>
      <c r="P1005" s="8"/>
      <c r="Q1005" s="249" t="str">
        <f>+INDEX(PWP!$A:$Z,MATCH('PWP-Print'!O1004,PWP!$B:$B,0),MATCH("Name",PWP!$A$1:$Z$1,0))</f>
        <v>Qitian Dasheng</v>
      </c>
      <c r="R1005" s="8"/>
      <c r="S1005" t="e" vm="330">
        <f>_xlfn.IMAGE("https://natalie.tf/wp-content/uploads/2023/10/DLV3_Icon_Ability_"&amp;INDEX('PWP-A'!$A$2:$C$31,MATCH('PWP-Print'!T1005,'PWP-A'!$B$2:$B$31,0),1)&amp;".png")</f>
        <v>#VALUE!</v>
      </c>
      <c r="T1005" s="229" t="str">
        <f>+INDEX(PWP!$A:$Z,MATCH('PWP-Print'!O1004,PWP!$B:$B,0),MATCH("PWP Ability 2",PWP!$A$1:$Z$1,0))</f>
        <v>Skill Haste +10%</v>
      </c>
      <c r="U1005" s="249" t="str">
        <f>+INDEX(PWP!$A:$Z,MATCH('PWP-Print'!O1004,PWP!$B:$B,0),MATCH("Locked PWP Ability 2",PWP!$A$1:$Z$1,0))</f>
        <v>(Wind) Skill Haste +10%</v>
      </c>
    </row>
    <row r="1006" spans="1:21" ht="22.5" customHeight="1" x14ac:dyDescent="0.3">
      <c r="A1006" s="244" t="str">
        <f>TEXT(A1002+1,"000")</f>
        <v>479</v>
      </c>
      <c r="B1006" s="244" t="str">
        <f>TEXT(B1002+1,"000")</f>
        <v>492</v>
      </c>
      <c r="C1006" s="729"/>
      <c r="E1006" s="251" t="str">
        <f>+INDEX(PWP!$A:$Z,MATCH('PWP-Print'!E1004,PWP!$B:$B,0),MATCH("Num",PWP!$A$1:$Z$1,0))</f>
        <v>N/A</v>
      </c>
      <c r="G1006" s="249" t="str">
        <f>+INDEX(PWP!$A:$Z,MATCH('PWP-Print'!E1004,PWP!$B:$B,0),MATCH("Element",PWP!$A$1:$Z$1,0))&amp;" "&amp;INDEX(PWP!$A:$Z,MATCH('PWP-Print'!E1004,PWP!$B:$B,0),MATCH("Type",PWP!$A$1:$Z$1,0))</f>
        <v>Water NPC</v>
      </c>
      <c r="K1006" s="250"/>
      <c r="M1006" s="729"/>
      <c r="O1006" s="251" t="str">
        <f>+INDEX(PWP!$A:$Z,MATCH('PWP-Print'!O1004,PWP!$B:$B,0),MATCH("Num",PWP!$A$1:$Z$1,0))</f>
        <v>N/A</v>
      </c>
      <c r="Q1006" s="249" t="str">
        <f>+INDEX(PWP!$A:$Z,MATCH('PWP-Print'!O1004,PWP!$B:$B,0),MATCH("Element",PWP!$A$1:$Z$1,0))&amp;" "&amp;INDEX(PWP!$A:$Z,MATCH('PWP-Print'!O1004,PWP!$B:$B,0),MATCH("Type",PWP!$A$1:$Z$1,0))</f>
        <v>Wind NPC</v>
      </c>
      <c r="U1006" s="250"/>
    </row>
    <row r="1007" spans="1:21" ht="7.5" customHeight="1" x14ac:dyDescent="0.3">
      <c r="A1007" s="244" t="s">
        <v>10763</v>
      </c>
      <c r="E1007" s="250"/>
      <c r="G1007" s="250"/>
      <c r="K1007" s="250"/>
      <c r="O1007" s="250"/>
      <c r="Q1007" s="250"/>
      <c r="U1007" s="250"/>
    </row>
    <row r="1008" spans="1:21" ht="22.5" customHeight="1" x14ac:dyDescent="0.3">
      <c r="C1008" s="729" t="e" vm="1514">
        <f>_xlfn.IMAGE("https://natalie.tf/wp-content/uploads/2023/11/DLV3_Icon_NPC_Custom_"&amp;E1009&amp;".png")</f>
        <v>#VALUE!</v>
      </c>
      <c r="E1008" s="249" t="str">
        <f>"PWP-"&amp;A1010</f>
        <v>PWP-480</v>
      </c>
      <c r="G1008" s="249" t="str">
        <f>+INDEX(PWP!$A:$Z,MATCH('PWP-Print'!E1008,PWP!$B:$B,0),MATCH("Title",PWP!$A$1:$Z$1,0))</f>
        <v>Secluded Demon</v>
      </c>
      <c r="I1008" t="e" vm="14">
        <f>_xlfn.IMAGE("https://natalie.tf/wp-content/uploads/2023/10/DLV3_Icon_Ability_"&amp;INDEX('PWP-A'!$A$2:$C$31,MATCH('PWP-Print'!J1008,'PWP-A'!$B$2:$B$31,0),1)&amp;".png")</f>
        <v>#VALUE!</v>
      </c>
      <c r="J1008" s="229" t="str">
        <f>+INDEX(PWP!$A:$Z,MATCH('PWP-Print'!E1008,PWP!$B:$B,0),MATCH("PWP Ability 1",PWP!$A$1:$Z$1,0))</f>
        <v>Strength +20%</v>
      </c>
      <c r="K1008" s="249" t="str">
        <f>+INDEX(PWP!$A:$Z,MATCH('PWP-Print'!E1008,PWP!$B:$B,0),MATCH("Locked PWP Ability 1",PWP!$A$1:$Z$1,0))</f>
        <v>(Water) Strength +20%</v>
      </c>
      <c r="M1008" s="729" t="e" vm="1515">
        <f>_xlfn.IMAGE("https://natalie.tf/wp-content/uploads/2023/11/DLV3_Icon_NPC_Custom_"&amp;O1009&amp;".png")</f>
        <v>#VALUE!</v>
      </c>
      <c r="O1008" s="249" t="str">
        <f>"PWP-"&amp;B1010</f>
        <v>PWP-493</v>
      </c>
      <c r="Q1008" s="249" t="str">
        <f>+INDEX(PWP!$A:$Z,MATCH('PWP-Print'!O1008,PWP!$B:$B,0),MATCH("Title",PWP!$A$1:$Z$1,0))</f>
        <v>Princess of Mentzara</v>
      </c>
      <c r="S1008" t="e" vm="426">
        <f>_xlfn.IMAGE("https://natalie.tf/wp-content/uploads/2023/10/DLV3_Icon_Ability_"&amp;INDEX('PWP-A'!$A$2:$C$31,MATCH('PWP-Print'!T1008,'PWP-A'!$B$2:$B$31,0),1)&amp;".png")</f>
        <v>#VALUE!</v>
      </c>
      <c r="T1008" s="229" t="str">
        <f>+INDEX(PWP!$A:$Z,MATCH('PWP-Print'!O1008,PWP!$B:$B,0),MATCH("PWP Ability 1",PWP!$A$1:$Z$1,0))</f>
        <v>Defense +20%</v>
      </c>
      <c r="U1008" s="249" t="str">
        <f>+INDEX(PWP!$A:$Z,MATCH('PWP-Print'!O1008,PWP!$B:$B,0),MATCH("Locked PWP Ability 1",PWP!$A$1:$Z$1,0))</f>
        <v>(Wind) Defense +20%</v>
      </c>
    </row>
    <row r="1009" spans="1:21" ht="22.5" customHeight="1" x14ac:dyDescent="0.3">
      <c r="C1009" s="729"/>
      <c r="D1009" s="8"/>
      <c r="E1009" s="200" t="str">
        <f>+INDEX(PWP!$A:$Z,MATCH('PWP-Print'!E1008,PWP!$B:$B,0),MATCH("ID",PWP!$A$1:$Z$1,0))</f>
        <v>100051_01</v>
      </c>
      <c r="F1009" s="8"/>
      <c r="G1009" s="249" t="str">
        <f>+INDEX(PWP!$A:$Z,MATCH('PWP-Print'!E1008,PWP!$B:$B,0),MATCH("Name",PWP!$A$1:$Z$1,0))</f>
        <v>Iblis</v>
      </c>
      <c r="H1009" s="8"/>
      <c r="I1009" t="e" vm="1045">
        <f>_xlfn.IMAGE("https://natalie.tf/wp-content/uploads/2023/10/DLV3_Icon_Ability_"&amp;INDEX('PWP-A'!$A$2:$C$31,MATCH('PWP-Print'!J1009,'PWP-A'!$B$2:$B$31,0),1)&amp;".png")</f>
        <v>#VALUE!</v>
      </c>
      <c r="J1009" s="229" t="str">
        <f>+INDEX(PWP!$A:$Z,MATCH('PWP-Print'!E1008,PWP!$B:$B,0),MATCH("PWP Ability 2",PWP!$A$1:$Z$1,0))</f>
        <v>Attack Rate +20%</v>
      </c>
      <c r="K1009" s="249" t="str">
        <f>+INDEX(PWP!$A:$Z,MATCH('PWP-Print'!E1008,PWP!$B:$B,0),MATCH("Locked PWP Ability 2",PWP!$A$1:$Z$1,0))</f>
        <v>(Water) Attack Rate +20%</v>
      </c>
      <c r="M1009" s="729"/>
      <c r="N1009" s="8"/>
      <c r="O1009" s="200" t="str">
        <f>+INDEX(PWP!$A:$Z,MATCH('PWP-Print'!O1008,PWP!$B:$B,0),MATCH("ID",PWP!$A$1:$Z$1,0))</f>
        <v>120145_01</v>
      </c>
      <c r="P1009" s="8"/>
      <c r="Q1009" s="249" t="str">
        <f>+INDEX(PWP!$A:$Z,MATCH('PWP-Print'!O1008,PWP!$B:$B,0),MATCH("Name",PWP!$A$1:$Z$1,0))</f>
        <v>Primia</v>
      </c>
      <c r="R1009" s="8"/>
      <c r="S1009" t="e" vm="802">
        <f>_xlfn.IMAGE("https://natalie.tf/wp-content/uploads/2023/10/DLV3_Icon_Ability_"&amp;INDEX('PWP-A'!$A$2:$C$31,MATCH('PWP-Print'!T1009,'PWP-A'!$B$2:$B$31,0),1)&amp;".png")</f>
        <v>#VALUE!</v>
      </c>
      <c r="T1009" s="229" t="str">
        <f>+INDEX(PWP!$A:$Z,MATCH('PWP-Print'!O1008,PWP!$B:$B,0),MATCH("PWP Ability 2",PWP!$A$1:$Z$1,0))</f>
        <v>HP 70% = Shield +40%</v>
      </c>
      <c r="U1009" s="249" t="str">
        <f>+INDEX(PWP!$A:$Z,MATCH('PWP-Print'!O1008,PWP!$B:$B,0),MATCH("Locked PWP Ability 2",PWP!$A$1:$Z$1,0))</f>
        <v>(Wind) HP 70% = Shield +40%</v>
      </c>
    </row>
    <row r="1010" spans="1:21" ht="22.5" customHeight="1" x14ac:dyDescent="0.3">
      <c r="A1010" s="244" t="str">
        <f>TEXT(A1006+1,"000")</f>
        <v>480</v>
      </c>
      <c r="B1010" s="244" t="str">
        <f>TEXT(B1006+1,"000")</f>
        <v>493</v>
      </c>
      <c r="C1010" s="729"/>
      <c r="E1010" s="251" t="str">
        <f>+INDEX(PWP!$A:$Z,MATCH('PWP-Print'!E1008,PWP!$B:$B,0),MATCH("Num",PWP!$A$1:$Z$1,0))</f>
        <v>N/A</v>
      </c>
      <c r="G1010" s="249" t="str">
        <f>+INDEX(PWP!$A:$Z,MATCH('PWP-Print'!E1008,PWP!$B:$B,0),MATCH("Element",PWP!$A$1:$Z$1,0))&amp;" "&amp;INDEX(PWP!$A:$Z,MATCH('PWP-Print'!E1008,PWP!$B:$B,0),MATCH("Type",PWP!$A$1:$Z$1,0))</f>
        <v>Water NPC</v>
      </c>
      <c r="K1010" s="250"/>
      <c r="M1010" s="729"/>
      <c r="O1010" s="251" t="str">
        <f>+INDEX(PWP!$A:$Z,MATCH('PWP-Print'!O1008,PWP!$B:$B,0),MATCH("Num",PWP!$A$1:$Z$1,0))</f>
        <v>N/A</v>
      </c>
      <c r="Q1010" s="249" t="str">
        <f>+INDEX(PWP!$A:$Z,MATCH('PWP-Print'!O1008,PWP!$B:$B,0),MATCH("Element",PWP!$A$1:$Z$1,0))&amp;" "&amp;INDEX(PWP!$A:$Z,MATCH('PWP-Print'!O1008,PWP!$B:$B,0),MATCH("Type",PWP!$A$1:$Z$1,0))</f>
        <v>Wind NPC</v>
      </c>
      <c r="U1010" s="250"/>
    </row>
    <row r="1011" spans="1:21" ht="7.5" customHeight="1" x14ac:dyDescent="0.3">
      <c r="A1011" s="244" t="s">
        <v>10763</v>
      </c>
      <c r="E1011" s="250"/>
      <c r="G1011" s="250"/>
      <c r="K1011" s="250"/>
      <c r="O1011" s="250"/>
      <c r="Q1011" s="250"/>
      <c r="U1011" s="250"/>
    </row>
    <row r="1012" spans="1:21" ht="22.5" customHeight="1" x14ac:dyDescent="0.3">
      <c r="C1012" s="729" t="e" vm="1516">
        <f>_xlfn.IMAGE("https://natalie.tf/wp-content/uploads/2023/11/DLV3_Icon_NPC_"&amp;E1013&amp;".png")</f>
        <v>#VALUE!</v>
      </c>
      <c r="E1012" s="249" t="str">
        <f>"PWP-"&amp;A1014</f>
        <v>PWP-481</v>
      </c>
      <c r="G1012" s="249" t="str">
        <f>+INDEX(PWP!$A:$Z,MATCH('PWP-Print'!E1012,PWP!$B:$B,0),MATCH("Title",PWP!$A$1:$Z$1,0))</f>
        <v>The Doting Little Sister</v>
      </c>
      <c r="I1012" t="e" vm="685">
        <f>_xlfn.IMAGE("https://natalie.tf/wp-content/uploads/2023/10/DLV3_Icon_Ability_"&amp;INDEX('PWP-A'!$A$2:$C$31,MATCH('PWP-Print'!J1012,'PWP-A'!$B$2:$B$31,0),1)&amp;".png")</f>
        <v>#VALUE!</v>
      </c>
      <c r="J1012" s="229" t="str">
        <f>+INDEX(PWP!$A:$Z,MATCH('PWP-Print'!E1012,PWP!$B:$B,0),MATCH("PWP Ability 1",PWP!$A$1:$Z$1,0))</f>
        <v>Debuff Skill Time +30%</v>
      </c>
      <c r="K1012" s="249" t="str">
        <f>+INDEX(PWP!$A:$Z,MATCH('PWP-Print'!E1012,PWP!$B:$B,0),MATCH("Locked PWP Ability 1",PWP!$A$1:$Z$1,0))</f>
        <v>(Water) Debuff Skill Time +30%</v>
      </c>
      <c r="M1012" s="729" t="e" vm="1517">
        <f>_xlfn.IMAGE("https://natalie.tf/wp-content/uploads/2023/11/DLV3_Icon_NPC_"&amp;O1013&amp;".png")</f>
        <v>#VALUE!</v>
      </c>
      <c r="O1012" s="249" t="str">
        <f>"PWP-"&amp;B1014</f>
        <v>PWP-494</v>
      </c>
      <c r="Q1012" s="179" t="str">
        <f>+INDEX(PWP!$A:$Z,MATCH('PWP-Print'!O1012,PWP!$B:$B,0),MATCH("Title",PWP!$A$1:$Z$1,0))</f>
        <v>Mukuroshu Member</v>
      </c>
      <c r="S1012" t="e" vm="14">
        <f>_xlfn.IMAGE("https://natalie.tf/wp-content/uploads/2023/10/DLV3_Icon_Ability_"&amp;INDEX('PWP-A'!$A$2:$C$31,MATCH('PWP-Print'!T1012,'PWP-A'!$B$2:$B$31,0),1)&amp;".png")</f>
        <v>#VALUE!</v>
      </c>
      <c r="T1012" s="229" t="str">
        <f>+INDEX(PWP!$A:$Z,MATCH('PWP-Print'!O1012,PWP!$B:$B,0),MATCH("PWP Ability 1",PWP!$A$1:$Z$1,0))</f>
        <v>Skill Damage +40%</v>
      </c>
      <c r="U1012" s="249" t="str">
        <f>+INDEX(PWP!$A:$Z,MATCH('PWP-Print'!O1012,PWP!$B:$B,0),MATCH("Locked PWP Ability 1",PWP!$A$1:$Z$1,0))</f>
        <v>(Wind) Skill Damage +40%</v>
      </c>
    </row>
    <row r="1013" spans="1:21" ht="22.5" customHeight="1" x14ac:dyDescent="0.3">
      <c r="C1013" s="729"/>
      <c r="D1013" s="8"/>
      <c r="E1013" s="200" t="str">
        <f>+INDEX(PWP!$A:$Z,MATCH('PWP-Print'!E1012,PWP!$B:$B,0),MATCH("ID",PWP!$A$1:$Z$1,0))</f>
        <v>110256_02</v>
      </c>
      <c r="F1013" s="8"/>
      <c r="G1013" s="249" t="str">
        <f>+INDEX(PWP!$A:$Z,MATCH('PWP-Print'!E1012,PWP!$B:$B,0),MATCH("Name",PWP!$A$1:$Z$1,0))</f>
        <v>Child Louise</v>
      </c>
      <c r="H1013" s="8"/>
      <c r="I1013" t="e" vm="330">
        <f>_xlfn.IMAGE("https://natalie.tf/wp-content/uploads/2023/10/DLV3_Icon_Ability_"&amp;INDEX('PWP-A'!$A$2:$C$31,MATCH('PWP-Print'!J1013,'PWP-A'!$B$2:$B$31,0),1)&amp;".png")</f>
        <v>#VALUE!</v>
      </c>
      <c r="J1013" s="229" t="str">
        <f>+INDEX(PWP!$A:$Z,MATCH('PWP-Print'!E1012,PWP!$B:$B,0),MATCH("PWP Ability 2",PWP!$A$1:$Z$1,0))</f>
        <v>Skill Haste +10%</v>
      </c>
      <c r="K1013" s="249" t="str">
        <f>+INDEX(PWP!$A:$Z,MATCH('PWP-Print'!E1012,PWP!$B:$B,0),MATCH("Locked PWP Ability 2",PWP!$A$1:$Z$1,0))</f>
        <v>(Water) Skill Haste +10%</v>
      </c>
      <c r="M1013" s="729"/>
      <c r="N1013" s="8"/>
      <c r="O1013" s="200" t="str">
        <f>+INDEX(PWP!$A:$Z,MATCH('PWP-Print'!O1012,PWP!$B:$B,0),MATCH("ID",PWP!$A$1:$Z$1,0))</f>
        <v>120212_01</v>
      </c>
      <c r="P1013" s="8"/>
      <c r="Q1013" s="249" t="str">
        <f>+INDEX(PWP!$A:$Z,MATCH('PWP-Print'!O1012,PWP!$B:$B,0),MATCH("Name",PWP!$A$1:$Z$1,0))</f>
        <v>Doman</v>
      </c>
      <c r="R1013" s="8"/>
      <c r="S1013" t="e" vm="330">
        <f>_xlfn.IMAGE("https://natalie.tf/wp-content/uploads/2023/10/DLV3_Icon_Ability_"&amp;INDEX('PWP-A'!$A$2:$C$31,MATCH('PWP-Print'!T1013,'PWP-A'!$B$2:$B$31,0),1)&amp;".png")</f>
        <v>#VALUE!</v>
      </c>
      <c r="T1013" s="229" t="str">
        <f>+INDEX(PWP!$A:$Z,MATCH('PWP-Print'!O1012,PWP!$B:$B,0),MATCH("PWP Ability 2",PWP!$A$1:$Z$1,0))</f>
        <v>Skill Haste +10%</v>
      </c>
      <c r="U1013" s="249" t="str">
        <f>+INDEX(PWP!$A:$Z,MATCH('PWP-Print'!O1012,PWP!$B:$B,0),MATCH("Locked PWP Ability 2",PWP!$A$1:$Z$1,0))</f>
        <v>(Wind) Skill Haste +10%</v>
      </c>
    </row>
    <row r="1014" spans="1:21" ht="22.5" customHeight="1" x14ac:dyDescent="0.3">
      <c r="A1014" s="244" t="str">
        <f>TEXT(A1010+1,"000")</f>
        <v>481</v>
      </c>
      <c r="B1014" s="244" t="str">
        <f>TEXT(B1010+1,"000")</f>
        <v>494</v>
      </c>
      <c r="C1014" s="729"/>
      <c r="E1014" s="251" t="str">
        <f>+INDEX(PWP!$A:$Z,MATCH('PWP-Print'!E1012,PWP!$B:$B,0),MATCH("Num",PWP!$A$1:$Z$1,0))</f>
        <v>N/A</v>
      </c>
      <c r="G1014" s="249" t="str">
        <f>+INDEX(PWP!$A:$Z,MATCH('PWP-Print'!E1012,PWP!$B:$B,0),MATCH("Element",PWP!$A$1:$Z$1,0))&amp;" "&amp;INDEX(PWP!$A:$Z,MATCH('PWP-Print'!E1012,PWP!$B:$B,0),MATCH("Type",PWP!$A$1:$Z$1,0))</f>
        <v>Water NPC</v>
      </c>
      <c r="K1014" s="250"/>
      <c r="M1014" s="729"/>
      <c r="O1014" s="251" t="str">
        <f>+INDEX(PWP!$A:$Z,MATCH('PWP-Print'!O1012,PWP!$B:$B,0),MATCH("Num",PWP!$A$1:$Z$1,0))</f>
        <v>N/A</v>
      </c>
      <c r="Q1014" s="249" t="str">
        <f>+INDEX(PWP!$A:$Z,MATCH('PWP-Print'!O1012,PWP!$B:$B,0),MATCH("Element",PWP!$A$1:$Z$1,0))&amp;" "&amp;INDEX(PWP!$A:$Z,MATCH('PWP-Print'!O1012,PWP!$B:$B,0),MATCH("Type",PWP!$A$1:$Z$1,0))</f>
        <v>Wind NPC</v>
      </c>
      <c r="U1014" s="250"/>
    </row>
    <row r="1015" spans="1:21" ht="7.5" customHeight="1" x14ac:dyDescent="0.3">
      <c r="A1015" s="244" t="s">
        <v>10763</v>
      </c>
      <c r="E1015" s="250"/>
      <c r="G1015" s="250"/>
      <c r="K1015" s="250"/>
      <c r="O1015" s="250"/>
      <c r="Q1015" s="250"/>
      <c r="U1015" s="250"/>
    </row>
    <row r="1016" spans="1:21" ht="22.5" customHeight="1" x14ac:dyDescent="0.3">
      <c r="C1016" s="729" t="e" vm="1518">
        <f>_xlfn.IMAGE("https://natalie.tf/wp-content/uploads/2023/11/DLV3_Icon_NPC_"&amp;E1017&amp;".png")</f>
        <v>#VALUE!</v>
      </c>
      <c r="E1016" s="249" t="str">
        <f>"PWP-"&amp;A1018</f>
        <v>PWP-482</v>
      </c>
      <c r="G1016" s="249" t="str">
        <f>+INDEX(PWP!$A:$Z,MATCH('PWP-Print'!E1016,PWP!$B:$B,0),MATCH("Title",PWP!$A$1:$Z$1,0))</f>
        <v>L'Amandier's Heir</v>
      </c>
      <c r="I1016" t="e" vm="696">
        <f>_xlfn.IMAGE("https://natalie.tf/wp-content/uploads/2023/10/DLV3_Icon_Ability_"&amp;INDEX('PWP-A'!$A$2:$C$31,MATCH('PWP-Print'!J1016,'PWP-A'!$B$2:$B$31,0),1)&amp;".png")</f>
        <v>#VALUE!</v>
      </c>
      <c r="J1016" s="229" t="str">
        <f>+INDEX(PWP!$A:$Z,MATCH('PWP-Print'!E1016,PWP!$B:$B,0),MATCH("PWP Ability 1",PWP!$A$1:$Z$1,0))</f>
        <v>Elemental Res +15%</v>
      </c>
      <c r="K1016" s="249" t="str">
        <f>+INDEX(PWP!$A:$Z,MATCH('PWP-Print'!E1016,PWP!$B:$B,0),MATCH("Locked PWP Ability 1",PWP!$A$1:$Z$1,0))</f>
        <v>(Water) Elemental Res +15%</v>
      </c>
      <c r="M1016" s="729" t="e" vm="1519">
        <f>_xlfn.IMAGE("https://natalie.tf/wp-content/uploads/2023/11/DLV3_Icon_NPC_Custom_"&amp;O1017&amp;".png")</f>
        <v>#VALUE!</v>
      </c>
      <c r="O1016" s="249" t="str">
        <f>"PWP-"&amp;B1018</f>
        <v>PWP-495</v>
      </c>
      <c r="Q1016" s="249" t="str">
        <f>+INDEX(PWP!$A:$Z,MATCH('PWP-Print'!O1016,PWP!$B:$B,0),MATCH("Title",PWP!$A$1:$Z$1,0))</f>
        <v>Phares's Pactwyrm</v>
      </c>
      <c r="S1016" t="e" vm="14">
        <f>_xlfn.IMAGE("https://natalie.tf/wp-content/uploads/2023/10/DLV3_Icon_Ability_"&amp;INDEX('PWP-A'!$A$2:$C$31,MATCH('PWP-Print'!T1016,'PWP-A'!$B$2:$B$31,0),1)&amp;".png")</f>
        <v>#VALUE!</v>
      </c>
      <c r="T1016" s="229" t="str">
        <f>+INDEX(PWP!$A:$Z,MATCH('PWP-Print'!O1016,PWP!$B:$B,0),MATCH("PWP Ability 1",PWP!$A$1:$Z$1,0))</f>
        <v>Strength +20%</v>
      </c>
      <c r="U1016" s="249" t="str">
        <f>+INDEX(PWP!$A:$Z,MATCH('PWP-Print'!O1016,PWP!$B:$B,0),MATCH("Locked PWP Ability 1",PWP!$A$1:$Z$1,0))</f>
        <v>(Wind) Strength +20%</v>
      </c>
    </row>
    <row r="1017" spans="1:21" ht="22.5" customHeight="1" x14ac:dyDescent="0.3">
      <c r="C1017" s="729"/>
      <c r="D1017" s="8"/>
      <c r="E1017" s="200" t="str">
        <f>+INDEX(PWP!$A:$Z,MATCH('PWP-Print'!E1016,PWP!$B:$B,0),MATCH("ID",PWP!$A$1:$Z$1,0))</f>
        <v>120111_01</v>
      </c>
      <c r="F1017" s="8"/>
      <c r="G1017" s="249" t="str">
        <f>+INDEX(PWP!$A:$Z,MATCH('PWP-Print'!E1016,PWP!$B:$B,0),MATCH("Name",PWP!$A$1:$Z$1,0))</f>
        <v>Picaro</v>
      </c>
      <c r="H1017" s="8"/>
      <c r="I1017" t="e" vm="802">
        <f>_xlfn.IMAGE("https://natalie.tf/wp-content/uploads/2023/10/DLV3_Icon_Ability_"&amp;INDEX('PWP-A'!$A$2:$C$31,MATCH('PWP-Print'!J1017,'PWP-A'!$B$2:$B$31,0),1)&amp;".png")</f>
        <v>#VALUE!</v>
      </c>
      <c r="J1017" s="229" t="str">
        <f>+INDEX(PWP!$A:$Z,MATCH('PWP-Print'!E1016,PWP!$B:$B,0),MATCH("PWP Ability 2",PWP!$A$1:$Z$1,0))</f>
        <v>HP 70% = Shield +40%</v>
      </c>
      <c r="K1017" s="249" t="str">
        <f>+INDEX(PWP!$A:$Z,MATCH('PWP-Print'!E1016,PWP!$B:$B,0),MATCH("Locked PWP Ability 2",PWP!$A$1:$Z$1,0))</f>
        <v>(Water) HP 70% = Shield +40%</v>
      </c>
      <c r="M1017" s="729"/>
      <c r="N1017" s="8"/>
      <c r="O1017" s="200" t="str">
        <f>+INDEX(PWP!$A:$Z,MATCH('PWP-Print'!O1016,PWP!$B:$B,0),MATCH("ID",PWP!$A$1:$Z$1,0))</f>
        <v>200014_01</v>
      </c>
      <c r="P1017" s="8"/>
      <c r="Q1017" s="249" t="str">
        <f>+INDEX(PWP!$A:$Z,MATCH('PWP-Print'!O1016,PWP!$B:$B,0),MATCH("Name",PWP!$A$1:$Z$1,0))</f>
        <v>Uranus</v>
      </c>
      <c r="R1017" s="8"/>
      <c r="S1017" t="e" vm="696">
        <f>_xlfn.IMAGE("https://natalie.tf/wp-content/uploads/2023/10/DLV3_Icon_Ability_"&amp;INDEX('PWP-A'!$A$2:$C$31,MATCH('PWP-Print'!T1017,'PWP-A'!$B$2:$B$31,0),1)&amp;".png")</f>
        <v>#VALUE!</v>
      </c>
      <c r="T1017" s="229" t="str">
        <f>+INDEX(PWP!$A:$Z,MATCH('PWP-Print'!O1016,PWP!$B:$B,0),MATCH("PWP Ability 2",PWP!$A$1:$Z$1,0))</f>
        <v>Elemental Res +15%</v>
      </c>
      <c r="U1017" s="249" t="str">
        <f>+INDEX(PWP!$A:$Z,MATCH('PWP-Print'!O1016,PWP!$B:$B,0),MATCH("Locked PWP Ability 2",PWP!$A$1:$Z$1,0))</f>
        <v>(Wind) Elemental Res +15%</v>
      </c>
    </row>
    <row r="1018" spans="1:21" ht="22.5" customHeight="1" x14ac:dyDescent="0.3">
      <c r="A1018" s="244" t="str">
        <f>TEXT(A1014+1,"000")</f>
        <v>482</v>
      </c>
      <c r="B1018" s="244" t="str">
        <f>TEXT(B1014+1,"000")</f>
        <v>495</v>
      </c>
      <c r="C1018" s="729"/>
      <c r="E1018" s="251" t="str">
        <f>+INDEX(PWP!$A:$Z,MATCH('PWP-Print'!E1016,PWP!$B:$B,0),MATCH("Num",PWP!$A$1:$Z$1,0))</f>
        <v>N/A</v>
      </c>
      <c r="G1018" s="249" t="str">
        <f>+INDEX(PWP!$A:$Z,MATCH('PWP-Print'!E1016,PWP!$B:$B,0),MATCH("Element",PWP!$A$1:$Z$1,0))&amp;" "&amp;INDEX(PWP!$A:$Z,MATCH('PWP-Print'!E1016,PWP!$B:$B,0),MATCH("Type",PWP!$A$1:$Z$1,0))</f>
        <v>Water NPC</v>
      </c>
      <c r="K1018" s="250"/>
      <c r="M1018" s="729"/>
      <c r="O1018" s="251" t="str">
        <f>+INDEX(PWP!$A:$Z,MATCH('PWP-Print'!O1016,PWP!$B:$B,0),MATCH("Num",PWP!$A$1:$Z$1,0))</f>
        <v>N/A</v>
      </c>
      <c r="Q1018" s="249" t="str">
        <f>+INDEX(PWP!$A:$Z,MATCH('PWP-Print'!O1016,PWP!$B:$B,0),MATCH("Element",PWP!$A$1:$Z$1,0))&amp;" "&amp;INDEX(PWP!$A:$Z,MATCH('PWP-Print'!O1016,PWP!$B:$B,0),MATCH("Type",PWP!$A$1:$Z$1,0))</f>
        <v>Wind NPC</v>
      </c>
      <c r="U1018" s="250"/>
    </row>
    <row r="1019" spans="1:21" ht="7.5" customHeight="1" x14ac:dyDescent="0.3">
      <c r="A1019" s="244" t="s">
        <v>10763</v>
      </c>
      <c r="E1019" s="250"/>
      <c r="G1019" s="250"/>
      <c r="K1019" s="250"/>
      <c r="O1019" s="250"/>
      <c r="Q1019" s="250"/>
      <c r="U1019" s="250"/>
    </row>
    <row r="1020" spans="1:21" ht="22.5" customHeight="1" x14ac:dyDescent="0.3">
      <c r="C1020" s="729" t="e" vm="1520">
        <f>_xlfn.IMAGE("https://natalie.tf/wp-content/uploads/2023/11/DLV3_Icon_NPC_Custom_"&amp;E1021&amp;".png")</f>
        <v>#VALUE!</v>
      </c>
      <c r="E1020" s="249" t="str">
        <f>"PWP-"&amp;A1022</f>
        <v>PWP-483</v>
      </c>
      <c r="G1020" s="249" t="str">
        <f>+INDEX(PWP!$A:$Z,MATCH('PWP-Print'!E1020,PWP!$B:$B,0),MATCH("Title",PWP!$A$1:$Z$1,0))</f>
        <v>The Astral Glutton</v>
      </c>
      <c r="I1020" t="e" vm="382">
        <f>_xlfn.IMAGE("https://natalie.tf/wp-content/uploads/2023/10/DLV3_Icon_Ability_"&amp;INDEX('PWP-A'!$A$2:$C$31,MATCH('PWP-Print'!J1020,'PWP-A'!$B$2:$B$31,0),1)&amp;".png")</f>
        <v>#VALUE!</v>
      </c>
      <c r="J1020" s="229" t="str">
        <f>+INDEX(PWP!$A:$Z,MATCH('PWP-Print'!E1020,PWP!$B:$B,0),MATCH("PWP Ability 1",PWP!$A$1:$Z$1,0))</f>
        <v>Dragon Time +20%</v>
      </c>
      <c r="K1020" s="249" t="str">
        <f>+INDEX(PWP!$A:$Z,MATCH('PWP-Print'!E1020,PWP!$B:$B,0),MATCH("Locked PWP Ability 1",PWP!$A$1:$Z$1,0))</f>
        <v>(Water) Dragon Time +20%</v>
      </c>
      <c r="M1020" s="729" t="e" vm="1521">
        <f>_xlfn.IMAGE("https://natalie.tf/wp-content/uploads/2023/11/DLV3_Icon_NPC_"&amp;O1021&amp;".png")</f>
        <v>#VALUE!</v>
      </c>
      <c r="O1020" s="249" t="str">
        <f>"PWP-"&amp;B1022</f>
        <v>PWP-496</v>
      </c>
      <c r="Q1020" s="249" t="str">
        <f>+INDEX(PWP!$A:$Z,MATCH('PWP-Print'!O1020,PWP!$B:$B,0),MATCH("Title",PWP!$A$1:$Z$1,0))</f>
        <v>Auspex of the Nether</v>
      </c>
      <c r="S1020" t="e" vm="1522">
        <f>_xlfn.IMAGE("https://natalie.tf/wp-content/uploads/2023/10/DLV3_Icon_Ability_"&amp;INDEX('PWP-A'!$A$2:$C$31,MATCH('PWP-Print'!T1020,'PWP-A'!$B$2:$B$31,0),1)&amp;".png")</f>
        <v>#VALUE!</v>
      </c>
      <c r="T1020" s="229" t="str">
        <f>+INDEX(PWP!$A:$Z,MATCH('PWP-Print'!O1020,PWP!$B:$B,0),MATCH("PWP Ability 1",PWP!$A$1:$Z$1,0))</f>
        <v>Afflicted Punisher I</v>
      </c>
      <c r="U1020" s="249" t="str">
        <f>+INDEX(PWP!$A:$Z,MATCH('PWP-Print'!O1020,PWP!$B:$B,0),MATCH("Locked PWP Ability 1",PWP!$A$1:$Z$1,0))</f>
        <v>Afflicted Punisher I</v>
      </c>
    </row>
    <row r="1021" spans="1:21" ht="22.5" customHeight="1" x14ac:dyDescent="0.3">
      <c r="C1021" s="729"/>
      <c r="D1021" s="8"/>
      <c r="E1021" s="200" t="str">
        <f>+INDEX(PWP!$A:$Z,MATCH('PWP-Print'!E1020,PWP!$B:$B,0),MATCH("ID",PWP!$A$1:$Z$1,0))</f>
        <v>120112_01</v>
      </c>
      <c r="F1021" s="8"/>
      <c r="G1021" s="249" t="str">
        <f>+INDEX(PWP!$A:$Z,MATCH('PWP-Print'!E1020,PWP!$B:$B,0),MATCH("Name",PWP!$A$1:$Z$1,0))</f>
        <v>Valfarre</v>
      </c>
      <c r="H1021" s="8"/>
      <c r="I1021" t="e" vm="14">
        <f>_xlfn.IMAGE("https://natalie.tf/wp-content/uploads/2023/10/DLV3_Icon_Ability_"&amp;INDEX('PWP-A'!$A$2:$C$31,MATCH('PWP-Print'!J1021,'PWP-A'!$B$2:$B$31,0),1)&amp;".png")</f>
        <v>#VALUE!</v>
      </c>
      <c r="J1021" s="229" t="str">
        <f>+INDEX(PWP!$A:$Z,MATCH('PWP-Print'!E1020,PWP!$B:$B,0),MATCH("PWP Ability 2",PWP!$A$1:$Z$1,0))</f>
        <v>Strength +20%</v>
      </c>
      <c r="K1021" s="249" t="str">
        <f>+INDEX(PWP!$A:$Z,MATCH('PWP-Print'!E1020,PWP!$B:$B,0),MATCH("Locked PWP Ability 2",PWP!$A$1:$Z$1,0))</f>
        <v>(Water) Strength +20%</v>
      </c>
      <c r="M1021" s="729"/>
      <c r="N1021" s="8"/>
      <c r="O1021" s="200" t="str">
        <f>+INDEX(PWP!$A:$Z,MATCH('PWP-Print'!O1020,PWP!$B:$B,0),MATCH("ID",PWP!$A$1:$Z$1,0))</f>
        <v>100009_06</v>
      </c>
      <c r="P1021" s="8"/>
      <c r="Q1021" s="249" t="str">
        <f>+INDEX(PWP!$A:$Z,MATCH('PWP-Print'!O1020,PWP!$B:$B,0),MATCH("Name",PWP!$A$1:$Z$1,0))</f>
        <v>Empress Zethia</v>
      </c>
      <c r="R1021" s="8"/>
      <c r="S1021" t="e" vm="14">
        <f>_xlfn.IMAGE("https://natalie.tf/wp-content/uploads/2023/10/DLV3_Icon_Ability_"&amp;INDEX('PWP-A'!$A$2:$C$31,MATCH('PWP-Print'!T1021,'PWP-A'!$B$2:$B$31,0),1)&amp;".png")</f>
        <v>#VALUE!</v>
      </c>
      <c r="T1021" s="229" t="str">
        <f>+INDEX(PWP!$A:$Z,MATCH('PWP-Print'!O1020,PWP!$B:$B,0),MATCH("PWP Ability 2",PWP!$A$1:$Z$1,0))</f>
        <v>Skill Damage +40%</v>
      </c>
      <c r="U1021" s="249" t="str">
        <f>+INDEX(PWP!$A:$Z,MATCH('PWP-Print'!O1020,PWP!$B:$B,0),MATCH("Locked PWP Ability 2",PWP!$A$1:$Z$1,0))</f>
        <v>Skill Damage +40%</v>
      </c>
    </row>
    <row r="1022" spans="1:21" ht="22.5" customHeight="1" x14ac:dyDescent="0.3">
      <c r="A1022" s="244" t="str">
        <f>TEXT(A1018+1,"000")</f>
        <v>483</v>
      </c>
      <c r="B1022" s="244" t="str">
        <f>TEXT(B1018+1,"000")</f>
        <v>496</v>
      </c>
      <c r="C1022" s="729"/>
      <c r="E1022" s="251" t="str">
        <f>+INDEX(PWP!$A:$Z,MATCH('PWP-Print'!E1020,PWP!$B:$B,0),MATCH("Num",PWP!$A$1:$Z$1,0))</f>
        <v>N/A</v>
      </c>
      <c r="G1022" s="249" t="str">
        <f>+INDEX(PWP!$A:$Z,MATCH('PWP-Print'!E1020,PWP!$B:$B,0),MATCH("Element",PWP!$A$1:$Z$1,0))&amp;" "&amp;INDEX(PWP!$A:$Z,MATCH('PWP-Print'!E1020,PWP!$B:$B,0),MATCH("Type",PWP!$A$1:$Z$1,0))</f>
        <v>Water NPC</v>
      </c>
      <c r="K1022" s="250"/>
      <c r="M1022" s="729"/>
      <c r="O1022" s="251" t="str">
        <f>+INDEX(PWP!$A:$Z,MATCH('PWP-Print'!O1020,PWP!$B:$B,0),MATCH("Num",PWP!$A$1:$Z$1,0))</f>
        <v>N/A</v>
      </c>
      <c r="Q1022" s="249" t="str">
        <f>+INDEX(PWP!$A:$Z,MATCH('PWP-Print'!O1020,PWP!$B:$B,0),MATCH("Element",PWP!$A$1:$Z$1,0))&amp;" "&amp;INDEX(PWP!$A:$Z,MATCH('PWP-Print'!O1020,PWP!$B:$B,0),MATCH("Type",PWP!$A$1:$Z$1,0))</f>
        <v>NONE NPC</v>
      </c>
      <c r="U1022" s="250"/>
    </row>
    <row r="1023" spans="1:21" ht="7.5" customHeight="1" x14ac:dyDescent="0.3">
      <c r="A1023" s="244" t="s">
        <v>10763</v>
      </c>
      <c r="E1023" s="250"/>
      <c r="G1023" s="250"/>
      <c r="K1023" s="250"/>
      <c r="O1023" s="250"/>
      <c r="Q1023" s="250"/>
      <c r="U1023" s="250"/>
    </row>
    <row r="1024" spans="1:21" ht="22.5" customHeight="1" x14ac:dyDescent="0.3">
      <c r="C1024" s="729" t="e" vm="1523">
        <f>_xlfn.IMAGE("https://natalie.tf/wp-content/uploads/2023/11/DLV3_Icon_NPC_Custom_"&amp;E1025&amp;".png")</f>
        <v>#VALUE!</v>
      </c>
      <c r="E1024" s="249" t="str">
        <f>"PWP-"&amp;A1026</f>
        <v>PWP-484</v>
      </c>
      <c r="G1024" s="249" t="str">
        <f>+INDEX(PWP!$A:$Z,MATCH('PWP-Print'!E1024,PWP!$B:$B,0),MATCH("Title",PWP!$A$1:$Z$1,0))</f>
        <v>Bloodfist's Granddaughter</v>
      </c>
      <c r="I1024" t="e" vm="444">
        <f>_xlfn.IMAGE("https://natalie.tf/wp-content/uploads/2023/10/DLV3_Icon_Ability_"&amp;INDEX('PWP-A'!$A$2:$C$31,MATCH('PWP-Print'!J1024,'PWP-A'!$B$2:$B$31,0),1)&amp;".png")</f>
        <v>#VALUE!</v>
      </c>
      <c r="J1024" s="229" t="str">
        <f>+INDEX(PWP!$A:$Z,MATCH('PWP-Print'!E1024,PWP!$B:$B,0),MATCH("PWP Ability 1",PWP!$A$1:$Z$1,0))</f>
        <v>Buff Skill Time +30%</v>
      </c>
      <c r="K1024" s="249" t="str">
        <f>+INDEX(PWP!$A:$Z,MATCH('PWP-Print'!E1024,PWP!$B:$B,0),MATCH("Locked PWP Ability 1",PWP!$A$1:$Z$1,0))</f>
        <v>(Water) Buff Skill Time +30%</v>
      </c>
      <c r="M1024" s="729" t="e" vm="1524">
        <f>_xlfn.IMAGE("https://natalie.tf/wp-content/uploads/2023/11/DLV3_Icon_NPC_"&amp;O1025&amp;".png")</f>
        <v>#VALUE!</v>
      </c>
      <c r="O1024" s="249" t="str">
        <f>"PWP-"&amp;B1026</f>
        <v>PWP-497</v>
      </c>
      <c r="Q1024" s="249" t="str">
        <f>+INDEX(PWP!$A:$Z,MATCH('PWP-Print'!O1024,PWP!$B:$B,0),MATCH("Title",PWP!$A$1:$Z$1,0))</f>
        <v>Sage-King</v>
      </c>
      <c r="S1024" t="e" vm="1522">
        <f>_xlfn.IMAGE("https://natalie.tf/wp-content/uploads/2023/10/DLV3_Icon_Ability_"&amp;INDEX('PWP-A'!$A$2:$C$31,MATCH('PWP-Print'!T1024,'PWP-A'!$B$2:$B$31,0),1)&amp;".png")</f>
        <v>#VALUE!</v>
      </c>
      <c r="T1024" s="229" t="str">
        <f>+INDEX(PWP!$A:$Z,MATCH('PWP-Print'!O1024,PWP!$B:$B,0),MATCH("PWP Ability 1",PWP!$A$1:$Z$1,0))</f>
        <v>Afflicted Punisher I</v>
      </c>
      <c r="U1024" s="249" t="str">
        <f>+INDEX(PWP!$A:$Z,MATCH('PWP-Print'!O1024,PWP!$B:$B,0),MATCH("Locked PWP Ability 1",PWP!$A$1:$Z$1,0))</f>
        <v>Afflicted Punisher I</v>
      </c>
    </row>
    <row r="1025" spans="1:21" ht="22.5" customHeight="1" x14ac:dyDescent="0.3">
      <c r="C1025" s="729"/>
      <c r="D1025" s="8"/>
      <c r="E1025" s="200" t="str">
        <f>+INDEX(PWP!$A:$Z,MATCH('PWP-Print'!E1024,PWP!$B:$B,0),MATCH("ID",PWP!$A$1:$Z$1,0))</f>
        <v>120169_01</v>
      </c>
      <c r="F1025" s="8"/>
      <c r="G1025" s="249" t="str">
        <f>+INDEX(PWP!$A:$Z,MATCH('PWP-Print'!E1024,PWP!$B:$B,0),MATCH("Name",PWP!$A$1:$Z$1,0))</f>
        <v>Angie</v>
      </c>
      <c r="H1025" s="8"/>
      <c r="I1025" t="e" vm="330">
        <f>_xlfn.IMAGE("https://natalie.tf/wp-content/uploads/2023/10/DLV3_Icon_Ability_"&amp;INDEX('PWP-A'!$A$2:$C$31,MATCH('PWP-Print'!J1025,'PWP-A'!$B$2:$B$31,0),1)&amp;".png")</f>
        <v>#VALUE!</v>
      </c>
      <c r="J1025" s="229" t="str">
        <f>+INDEX(PWP!$A:$Z,MATCH('PWP-Print'!E1024,PWP!$B:$B,0),MATCH("PWP Ability 2",PWP!$A$1:$Z$1,0))</f>
        <v>Skill Haste +10%</v>
      </c>
      <c r="K1025" s="249" t="str">
        <f>+INDEX(PWP!$A:$Z,MATCH('PWP-Print'!E1024,PWP!$B:$B,0),MATCH("Locked PWP Ability 2",PWP!$A$1:$Z$1,0))</f>
        <v>(Water) Skill Haste +10%</v>
      </c>
      <c r="M1025" s="729"/>
      <c r="N1025" s="8"/>
      <c r="O1025" s="200" t="str">
        <f>+INDEX(PWP!$A:$Z,MATCH('PWP-Print'!O1024,PWP!$B:$B,0),MATCH("ID",PWP!$A$1:$Z$1,0))</f>
        <v>100012_01</v>
      </c>
      <c r="P1025" s="8"/>
      <c r="Q1025" s="249" t="str">
        <f>+INDEX(PWP!$A:$Z,MATCH('PWP-Print'!O1024,PWP!$B:$B,0),MATCH("Name",PWP!$A$1:$Z$1,0))</f>
        <v>Aurelius</v>
      </c>
      <c r="R1025" s="8"/>
      <c r="S1025" t="e" vm="1045">
        <f>_xlfn.IMAGE("https://natalie.tf/wp-content/uploads/2023/10/DLV3_Icon_Ability_"&amp;INDEX('PWP-A'!$A$2:$C$31,MATCH('PWP-Print'!T1025,'PWP-A'!$B$2:$B$31,0),1)&amp;".png")</f>
        <v>#VALUE!</v>
      </c>
      <c r="T1025" s="229" t="str">
        <f>+INDEX(PWP!$A:$Z,MATCH('PWP-Print'!O1024,PWP!$B:$B,0),MATCH("PWP Ability 2",PWP!$A$1:$Z$1,0))</f>
        <v>Attack Rate +20%</v>
      </c>
      <c r="U1025" s="249" t="str">
        <f>+INDEX(PWP!$A:$Z,MATCH('PWP-Print'!O1024,PWP!$B:$B,0),MATCH("Locked PWP Ability 2",PWP!$A$1:$Z$1,0))</f>
        <v>Attack Rate +20%</v>
      </c>
    </row>
    <row r="1026" spans="1:21" ht="22.5" customHeight="1" x14ac:dyDescent="0.3">
      <c r="A1026" s="244" t="str">
        <f>TEXT(A1022+1,"000")</f>
        <v>484</v>
      </c>
      <c r="B1026" s="244" t="str">
        <f>TEXT(B1022+1,"000")</f>
        <v>497</v>
      </c>
      <c r="C1026" s="729"/>
      <c r="E1026" s="251" t="str">
        <f>+INDEX(PWP!$A:$Z,MATCH('PWP-Print'!E1024,PWP!$B:$B,0),MATCH("Num",PWP!$A$1:$Z$1,0))</f>
        <v>N/A</v>
      </c>
      <c r="G1026" s="249" t="str">
        <f>+INDEX(PWP!$A:$Z,MATCH('PWP-Print'!E1024,PWP!$B:$B,0),MATCH("Element",PWP!$A$1:$Z$1,0))&amp;" "&amp;INDEX(PWP!$A:$Z,MATCH('PWP-Print'!E1024,PWP!$B:$B,0),MATCH("Type",PWP!$A$1:$Z$1,0))</f>
        <v>Water NPC</v>
      </c>
      <c r="K1026" s="250"/>
      <c r="M1026" s="729"/>
      <c r="O1026" s="251" t="str">
        <f>+INDEX(PWP!$A:$Z,MATCH('PWP-Print'!O1024,PWP!$B:$B,0),MATCH("Num",PWP!$A$1:$Z$1,0))</f>
        <v>N/A</v>
      </c>
      <c r="Q1026" s="249" t="str">
        <f>+INDEX(PWP!$A:$Z,MATCH('PWP-Print'!O1024,PWP!$B:$B,0),MATCH("Element",PWP!$A$1:$Z$1,0))&amp;" "&amp;INDEX(PWP!$A:$Z,MATCH('PWP-Print'!O1024,PWP!$B:$B,0),MATCH("Type",PWP!$A$1:$Z$1,0))</f>
        <v>NONE NPC</v>
      </c>
      <c r="U1026" s="250"/>
    </row>
    <row r="1027" spans="1:21" ht="7.5" customHeight="1" x14ac:dyDescent="0.3">
      <c r="A1027" s="244" t="s">
        <v>10763</v>
      </c>
      <c r="E1027" s="250"/>
      <c r="G1027" s="250"/>
      <c r="K1027" s="250"/>
      <c r="O1027" s="250"/>
      <c r="Q1027" s="250"/>
      <c r="U1027" s="250"/>
    </row>
    <row r="1028" spans="1:21" ht="22.5" customHeight="1" x14ac:dyDescent="0.3">
      <c r="C1028" s="729" t="e" vm="1525">
        <f>_xlfn.IMAGE("https://natalie.tf/wp-content/uploads/2023/11/DLV3_Icon_NPC_"&amp;E1029&amp;".png")</f>
        <v>#VALUE!</v>
      </c>
      <c r="E1028" s="249" t="str">
        <f>"PWP-"&amp;A1030</f>
        <v>PWP-485</v>
      </c>
      <c r="G1028" s="249" t="str">
        <f>+INDEX(PWP!$A:$Z,MATCH('PWP-Print'!E1028,PWP!$B:$B,0),MATCH("Title",PWP!$A$1:$Z$1,0))</f>
        <v>Catherine's Right-Hand Woman</v>
      </c>
      <c r="I1028" t="e" vm="688">
        <f>_xlfn.IMAGE("https://natalie.tf/wp-content/uploads/2023/10/DLV3_Icon_Ability_"&amp;INDEX('PWP-A'!$A$2:$C$31,MATCH('PWP-Print'!J1028,'PWP-A'!$B$2:$B$31,0),1)&amp;".png")</f>
        <v>#VALUE!</v>
      </c>
      <c r="J1028" s="229" t="str">
        <f>+INDEX(PWP!$A:$Z,MATCH('PWP-Print'!E1028,PWP!$B:$B,0),MATCH("PWP Ability 1",PWP!$A$1:$Z$1,0))</f>
        <v>Overdrive Punisher +15%</v>
      </c>
      <c r="K1028" s="249" t="str">
        <f>+INDEX(PWP!$A:$Z,MATCH('PWP-Print'!E1028,PWP!$B:$B,0),MATCH("Locked PWP Ability 1",PWP!$A$1:$Z$1,0))</f>
        <v>(Water) Overdrive Punisher +15%</v>
      </c>
      <c r="M1028" s="729" t="e" vm="1526">
        <f>_xlfn.IMAGE("https://natalie.tf/wp-content/uploads/2023/11/DLV3_Icon_NPC_"&amp;O1029&amp;".png")</f>
        <v>#VALUE!</v>
      </c>
      <c r="O1028" s="249" t="str">
        <f>"PWP-"&amp;B1030</f>
        <v>PWP-498</v>
      </c>
      <c r="Q1028" s="249" t="str">
        <f>+INDEX(PWP!$A:$Z,MATCH('PWP-Print'!O1028,PWP!$B:$B,0),MATCH("Title",PWP!$A$1:$Z$1,0))</f>
        <v>The Other</v>
      </c>
      <c r="S1028" t="e" vm="1522">
        <f>_xlfn.IMAGE("https://natalie.tf/wp-content/uploads/2023/10/DLV3_Icon_Ability_"&amp;INDEX('PWP-A'!$A$2:$C$31,MATCH('PWP-Print'!T1028,'PWP-A'!$B$2:$B$31,0),1)&amp;".png")</f>
        <v>#VALUE!</v>
      </c>
      <c r="T1028" s="229" t="str">
        <f>+INDEX(PWP!$A:$Z,MATCH('PWP-Print'!O1028,PWP!$B:$B,0),MATCH("PWP Ability 1",PWP!$A$1:$Z$1,0))</f>
        <v>Afflicted Punisher I</v>
      </c>
      <c r="U1028" s="249" t="str">
        <f>+INDEX(PWP!$A:$Z,MATCH('PWP-Print'!O1028,PWP!$B:$B,0),MATCH("Locked PWP Ability 1",PWP!$A$1:$Z$1,0))</f>
        <v>Afflicted Punisher I</v>
      </c>
    </row>
    <row r="1029" spans="1:21" ht="22.5" customHeight="1" x14ac:dyDescent="0.3">
      <c r="C1029" s="729"/>
      <c r="D1029" s="8"/>
      <c r="E1029" s="200" t="str">
        <f>+INDEX(PWP!$A:$Z,MATCH('PWP-Print'!E1028,PWP!$B:$B,0),MATCH("ID",PWP!$A$1:$Z$1,0))</f>
        <v>120179_01</v>
      </c>
      <c r="F1029" s="8"/>
      <c r="G1029" s="249" t="str">
        <f>+INDEX(PWP!$A:$Z,MATCH('PWP-Print'!E1028,PWP!$B:$B,0),MATCH("Name",PWP!$A$1:$Z$1,0))</f>
        <v>Sandy</v>
      </c>
      <c r="H1029" s="8"/>
      <c r="I1029" t="e" vm="426">
        <f>_xlfn.IMAGE("https://natalie.tf/wp-content/uploads/2023/10/DLV3_Icon_Ability_"&amp;INDEX('PWP-A'!$A$2:$C$31,MATCH('PWP-Print'!J1029,'PWP-A'!$B$2:$B$31,0),1)&amp;".png")</f>
        <v>#VALUE!</v>
      </c>
      <c r="J1029" s="229" t="str">
        <f>+INDEX(PWP!$A:$Z,MATCH('PWP-Print'!E1028,PWP!$B:$B,0),MATCH("PWP Ability 2",PWP!$A$1:$Z$1,0))</f>
        <v>Defense +20%</v>
      </c>
      <c r="K1029" s="249" t="str">
        <f>+INDEX(PWP!$A:$Z,MATCH('PWP-Print'!E1028,PWP!$B:$B,0),MATCH("Locked PWP Ability 2",PWP!$A$1:$Z$1,0))</f>
        <v>(Water) Defense +20%</v>
      </c>
      <c r="M1029" s="729"/>
      <c r="N1029" s="8"/>
      <c r="O1029" s="200" t="str">
        <f>+INDEX(PWP!$A:$Z,MATCH('PWP-Print'!O1028,PWP!$B:$B,0),MATCH("ID",PWP!$A$1:$Z$1,0))</f>
        <v>100030_04</v>
      </c>
      <c r="P1029" s="8"/>
      <c r="Q1029" s="249" t="str">
        <f>+INDEX(PWP!$A:$Z,MATCH('PWP-Print'!O1028,PWP!$B:$B,0),MATCH("Name",PWP!$A$1:$Z$1,0))</f>
        <v>Morsayati</v>
      </c>
      <c r="R1029" s="8"/>
      <c r="S1029" t="e" vm="14">
        <f>_xlfn.IMAGE("https://natalie.tf/wp-content/uploads/2023/10/DLV3_Icon_Ability_"&amp;INDEX('PWP-A'!$A$2:$C$31,MATCH('PWP-Print'!T1029,'PWP-A'!$B$2:$B$31,0),1)&amp;".png")</f>
        <v>#VALUE!</v>
      </c>
      <c r="T1029" s="229" t="str">
        <f>+INDEX(PWP!$A:$Z,MATCH('PWP-Print'!O1028,PWP!$B:$B,0),MATCH("PWP Ability 2",PWP!$A$1:$Z$1,0))</f>
        <v>Strength +20%</v>
      </c>
      <c r="U1029" s="249" t="str">
        <f>+INDEX(PWP!$A:$Z,MATCH('PWP-Print'!O1028,PWP!$B:$B,0),MATCH("Locked PWP Ability 2",PWP!$A$1:$Z$1,0))</f>
        <v>Strength +20%</v>
      </c>
    </row>
    <row r="1030" spans="1:21" ht="22.5" customHeight="1" x14ac:dyDescent="0.3">
      <c r="A1030" s="244" t="str">
        <f>TEXT(A1026+1,"000")</f>
        <v>485</v>
      </c>
      <c r="B1030" s="244" t="str">
        <f>TEXT(B1026+1,"000")</f>
        <v>498</v>
      </c>
      <c r="C1030" s="729"/>
      <c r="E1030" s="251" t="str">
        <f>+INDEX(PWP!$A:$Z,MATCH('PWP-Print'!E1028,PWP!$B:$B,0),MATCH("Num",PWP!$A$1:$Z$1,0))</f>
        <v>N/A</v>
      </c>
      <c r="G1030" s="249" t="str">
        <f>+INDEX(PWP!$A:$Z,MATCH('PWP-Print'!E1028,PWP!$B:$B,0),MATCH("Element",PWP!$A$1:$Z$1,0))&amp;" "&amp;INDEX(PWP!$A:$Z,MATCH('PWP-Print'!E1028,PWP!$B:$B,0),MATCH("Type",PWP!$A$1:$Z$1,0))</f>
        <v>Water NPC</v>
      </c>
      <c r="K1030" s="250"/>
      <c r="M1030" s="729"/>
      <c r="O1030" s="251" t="str">
        <f>+INDEX(PWP!$A:$Z,MATCH('PWP-Print'!O1028,PWP!$B:$B,0),MATCH("Num",PWP!$A$1:$Z$1,0))</f>
        <v>N/A</v>
      </c>
      <c r="Q1030" s="249" t="str">
        <f>+INDEX(PWP!$A:$Z,MATCH('PWP-Print'!O1028,PWP!$B:$B,0),MATCH("Element",PWP!$A$1:$Z$1,0))&amp;" "&amp;INDEX(PWP!$A:$Z,MATCH('PWP-Print'!O1028,PWP!$B:$B,0),MATCH("Type",PWP!$A$1:$Z$1,0))</f>
        <v>NONE NPC</v>
      </c>
      <c r="U1030" s="250"/>
    </row>
    <row r="1031" spans="1:21" ht="7.5" customHeight="1" x14ac:dyDescent="0.3">
      <c r="A1031" s="244" t="s">
        <v>10763</v>
      </c>
      <c r="E1031" s="250"/>
      <c r="G1031" s="250"/>
      <c r="K1031" s="250"/>
      <c r="O1031" s="250"/>
      <c r="Q1031" s="250"/>
      <c r="U1031" s="250"/>
    </row>
    <row r="1032" spans="1:21" ht="22.5" customHeight="1" x14ac:dyDescent="0.3">
      <c r="C1032" s="729" t="e" vm="1527">
        <f>_xlfn.IMAGE("https://natalie.tf/wp-content/uploads/2023/11/DLV3_Icon_NPC_"&amp;E1033&amp;".png")</f>
        <v>#VALUE!</v>
      </c>
      <c r="E1032" s="249" t="str">
        <f>"PWP-"&amp;A1034</f>
        <v>PWP-486</v>
      </c>
      <c r="G1032" s="249" t="str">
        <f>+INDEX(PWP!$A:$Z,MATCH('PWP-Print'!E1032,PWP!$B:$B,0),MATCH("Title",PWP!$A$1:$Z$1,0))</f>
        <v>Catherine's Left-Hand Woman</v>
      </c>
      <c r="I1032" t="e" vm="330">
        <f>_xlfn.IMAGE("https://natalie.tf/wp-content/uploads/2023/10/DLV3_Icon_Ability_"&amp;INDEX('PWP-A'!$A$2:$C$31,MATCH('PWP-Print'!J1032,'PWP-A'!$B$2:$B$31,0),1)&amp;".png")</f>
        <v>#VALUE!</v>
      </c>
      <c r="J1032" s="229" t="str">
        <f>+INDEX(PWP!$A:$Z,MATCH('PWP-Print'!E1032,PWP!$B:$B,0),MATCH("PWP Ability 1",PWP!$A$1:$Z$1,0))</f>
        <v>Skill Haste +10%</v>
      </c>
      <c r="K1032" s="249" t="str">
        <f>+INDEX(PWP!$A:$Z,MATCH('PWP-Print'!E1032,PWP!$B:$B,0),MATCH("Locked PWP Ability 1",PWP!$A$1:$Z$1,0))</f>
        <v>(Water) Skill Haste +10%</v>
      </c>
      <c r="M1032" s="729" t="e" vm="1528">
        <f>_xlfn.IMAGE("https://natalie.tf/wp-content/uploads/2023/11/DLV3_Icon_NPC_Custom_"&amp;O1033&amp;".png")</f>
        <v>#VALUE!</v>
      </c>
      <c r="O1032" s="249" t="str">
        <f>"PWP-"&amp;B1034</f>
        <v>PWP-499</v>
      </c>
      <c r="Q1032" s="249" t="str">
        <f>+INDEX(PWP!$A:$Z,MATCH('PWP-Print'!O1032,PWP!$B:$B,0),MATCH("Title",PWP!$A$1:$Z$1,0))</f>
        <v>Guardian of the Vault</v>
      </c>
      <c r="S1032" t="e" vm="802">
        <f>_xlfn.IMAGE("https://natalie.tf/wp-content/uploads/2023/10/DLV3_Icon_Ability_"&amp;INDEX('PWP-A'!$A$2:$C$31,MATCH('PWP-Print'!T1032,'PWP-A'!$B$2:$B$31,0),1)&amp;".png")</f>
        <v>#VALUE!</v>
      </c>
      <c r="T1032" s="229" t="str">
        <f>+INDEX(PWP!$A:$Z,MATCH('PWP-Print'!O1032,PWP!$B:$B,0),MATCH("PWP Ability 1",PWP!$A$1:$Z$1,0))</f>
        <v>HP 70% = Shield +40%</v>
      </c>
      <c r="U1032" s="249" t="str">
        <f>+INDEX(PWP!$A:$Z,MATCH('PWP-Print'!O1032,PWP!$B:$B,0),MATCH("Locked PWP Ability 1",PWP!$A$1:$Z$1,0))</f>
        <v>HP 70% = Shield +40%</v>
      </c>
    </row>
    <row r="1033" spans="1:21" ht="22.5" customHeight="1" x14ac:dyDescent="0.3">
      <c r="C1033" s="729"/>
      <c r="D1033" s="8"/>
      <c r="E1033" s="200" t="str">
        <f>+INDEX(PWP!$A:$Z,MATCH('PWP-Print'!E1032,PWP!$B:$B,0),MATCH("ID",PWP!$A$1:$Z$1,0))</f>
        <v>120180_01</v>
      </c>
      <c r="F1033" s="8"/>
      <c r="G1033" s="249" t="str">
        <f>+INDEX(PWP!$A:$Z,MATCH('PWP-Print'!E1032,PWP!$B:$B,0),MATCH("Name",PWP!$A$1:$Z$1,0))</f>
        <v>Becky</v>
      </c>
      <c r="H1033" s="8"/>
      <c r="I1033" t="e" vm="496">
        <f>_xlfn.IMAGE("https://natalie.tf/wp-content/uploads/2023/10/DLV3_Icon_Ability_"&amp;INDEX('PWP-A'!$A$2:$C$31,MATCH('PWP-Print'!J1033,'PWP-A'!$B$2:$B$31,0),1)&amp;".png")</f>
        <v>#VALUE!</v>
      </c>
      <c r="J1033" s="229" t="str">
        <f>+INDEX(PWP!$A:$Z,MATCH('PWP-Print'!E1032,PWP!$B:$B,0),MATCH("PWP Ability 2",PWP!$A$1:$Z$1,0))</f>
        <v>HP +15%</v>
      </c>
      <c r="K1033" s="249" t="str">
        <f>+INDEX(PWP!$A:$Z,MATCH('PWP-Print'!E1032,PWP!$B:$B,0),MATCH("Locked PWP Ability 2",PWP!$A$1:$Z$1,0))</f>
        <v>(Water) HP +15%</v>
      </c>
      <c r="M1033" s="729"/>
      <c r="N1033" s="8"/>
      <c r="O1033" s="200" t="str">
        <f>+INDEX(PWP!$A:$Z,MATCH('PWP-Print'!O1032,PWP!$B:$B,0),MATCH("ID",PWP!$A$1:$Z$1,0))</f>
        <v>200008_01</v>
      </c>
      <c r="P1033" s="8"/>
      <c r="Q1033" s="249" t="str">
        <f>+INDEX(PWP!$A:$Z,MATCH('PWP-Print'!O1032,PWP!$B:$B,0),MATCH("Name",PWP!$A$1:$Z$1,0))</f>
        <v>Fafnir Roy III</v>
      </c>
      <c r="R1033" s="8"/>
      <c r="S1033" t="e" vm="802">
        <f>_xlfn.IMAGE("https://natalie.tf/wp-content/uploads/2023/10/DLV3_Icon_Ability_"&amp;INDEX('PWP-A'!$A$2:$C$31,MATCH('PWP-Print'!T1033,'PWP-A'!$B$2:$B$31,0),1)&amp;".png")</f>
        <v>#VALUE!</v>
      </c>
      <c r="T1033" s="229" t="str">
        <f>+INDEX(PWP!$A:$Z,MATCH('PWP-Print'!O1032,PWP!$B:$B,0),MATCH("PWP Ability 2",PWP!$A$1:$Z$1,0))</f>
        <v>HP 70% = Divergent Shield +40%</v>
      </c>
      <c r="U1033" s="249" t="str">
        <f>+INDEX(PWP!$A:$Z,MATCH('PWP-Print'!O1032,PWP!$B:$B,0),MATCH("Locked PWP Ability 2",PWP!$A$1:$Z$1,0))</f>
        <v>HP 70% = Divergent Shield +40%</v>
      </c>
    </row>
    <row r="1034" spans="1:21" ht="22.5" customHeight="1" x14ac:dyDescent="0.3">
      <c r="A1034" s="244" t="str">
        <f>TEXT(A1030+1,"000")</f>
        <v>486</v>
      </c>
      <c r="B1034" s="244" t="str">
        <f>TEXT(B1030+1,"000")</f>
        <v>499</v>
      </c>
      <c r="C1034" s="729"/>
      <c r="E1034" s="251" t="str">
        <f>+INDEX(PWP!$A:$Z,MATCH('PWP-Print'!E1032,PWP!$B:$B,0),MATCH("Num",PWP!$A$1:$Z$1,0))</f>
        <v>N/A</v>
      </c>
      <c r="G1034" s="249" t="str">
        <f>+INDEX(PWP!$A:$Z,MATCH('PWP-Print'!E1032,PWP!$B:$B,0),MATCH("Element",PWP!$A$1:$Z$1,0))&amp;" "&amp;INDEX(PWP!$A:$Z,MATCH('PWP-Print'!E1032,PWP!$B:$B,0),MATCH("Type",PWP!$A$1:$Z$1,0))</f>
        <v>Water NPC</v>
      </c>
      <c r="K1034" s="250"/>
      <c r="M1034" s="729"/>
      <c r="O1034" s="251" t="str">
        <f>+INDEX(PWP!$A:$Z,MATCH('PWP-Print'!O1032,PWP!$B:$B,0),MATCH("Num",PWP!$A$1:$Z$1,0))</f>
        <v>N/A</v>
      </c>
      <c r="Q1034" s="249" t="str">
        <f>+INDEX(PWP!$A:$Z,MATCH('PWP-Print'!O1032,PWP!$B:$B,0),MATCH("Element",PWP!$A$1:$Z$1,0))&amp;" "&amp;INDEX(PWP!$A:$Z,MATCH('PWP-Print'!O1032,PWP!$B:$B,0),MATCH("Type",PWP!$A$1:$Z$1,0))</f>
        <v>NONE NPC</v>
      </c>
      <c r="U1034" s="250"/>
    </row>
    <row r="1035" spans="1:21" ht="7.5" customHeight="1" x14ac:dyDescent="0.3">
      <c r="A1035" s="244" t="s">
        <v>10763</v>
      </c>
      <c r="E1035" s="250"/>
      <c r="G1035" s="250"/>
      <c r="K1035" s="250"/>
      <c r="O1035" s="250"/>
      <c r="Q1035" s="250"/>
      <c r="U1035" s="250"/>
    </row>
    <row r="1036" spans="1:21" ht="22.5" customHeight="1" x14ac:dyDescent="0.3">
      <c r="C1036" s="729" t="e" vm="1529">
        <f>_xlfn.IMAGE("https://natalie.tf/wp-content/uploads/2023/11/DLV3_Icon_NPC_"&amp;E1037&amp;".png")</f>
        <v>#VALUE!</v>
      </c>
      <c r="E1036" s="249" t="str">
        <f>"PWP-"&amp;A1038</f>
        <v>PWP-487</v>
      </c>
      <c r="G1036" s="249" t="str">
        <f>+INDEX(PWP!$A:$Z,MATCH('PWP-Print'!E1036,PWP!$B:$B,0),MATCH("Title",PWP!$A$1:$Z$1,0))</f>
        <v>Devourer of Souls</v>
      </c>
      <c r="I1036" t="e" vm="14">
        <f>_xlfn.IMAGE("https://natalie.tf/wp-content/uploads/2023/10/DLV3_Icon_Ability_"&amp;INDEX('PWP-A'!$A$2:$C$31,MATCH('PWP-Print'!J1036,'PWP-A'!$B$2:$B$31,0),1)&amp;".png")</f>
        <v>#VALUE!</v>
      </c>
      <c r="J1036" s="229" t="str">
        <f>+INDEX(PWP!$A:$Z,MATCH('PWP-Print'!E1036,PWP!$B:$B,0),MATCH("PWP Ability 1",PWP!$A$1:$Z$1,0))</f>
        <v>Dragon Damage +18%</v>
      </c>
      <c r="K1036" s="249" t="str">
        <f>+INDEX(PWP!$A:$Z,MATCH('PWP-Print'!E1036,PWP!$B:$B,0),MATCH("Locked PWP Ability 1",PWP!$A$1:$Z$1,0))</f>
        <v>(Water) Dragon Damage +18%</v>
      </c>
      <c r="M1036" s="729" t="e" vm="1530">
        <f>_xlfn.IMAGE("https://natalie.tf/wp-content/uploads/2023/11/DLV3_Icon_NPC_"&amp;O1037&amp;".png")</f>
        <v>#VALUE!</v>
      </c>
      <c r="O1036" s="249" t="str">
        <f>"PWP-"&amp;B1038</f>
        <v>PWP-500</v>
      </c>
      <c r="Q1036" s="249" t="str">
        <f>+INDEX(PWP!$A:$Z,MATCH('PWP-Print'!O1036,PWP!$B:$B,0),MATCH("Title",PWP!$A$1:$Z$1,0))</f>
        <v>Leader of the Mukoroshu</v>
      </c>
      <c r="S1036" t="e" vm="1531">
        <f>_xlfn.IMAGE("https://natalie.tf/wp-content/uploads/2023/10/DLV3_Icon_Ability_"&amp;INDEX('PWP-A'!$A$2:$C$31,MATCH('PWP-Print'!T1036,'PWP-A'!$B$2:$B$31,0),1)&amp;".png")</f>
        <v>#VALUE!</v>
      </c>
      <c r="T1036" s="229" t="str">
        <f>+INDEX(PWP!$A:$Z,MATCH('PWP-Print'!O1036,PWP!$B:$B,0),MATCH("PWP Ability 1",PWP!$A$1:$Z$1,0))</f>
        <v>Shapeshifting Boost VIII</v>
      </c>
      <c r="U1036" s="249" t="str">
        <f>+INDEX(PWP!$A:$Z,MATCH('PWP-Print'!O1036,PWP!$B:$B,0),MATCH("Locked PWP Ability 1",PWP!$A$1:$Z$1,0))</f>
        <v>Shapeshifting Boost VIII</v>
      </c>
    </row>
    <row r="1037" spans="1:21" ht="22.5" customHeight="1" x14ac:dyDescent="0.3">
      <c r="C1037" s="729"/>
      <c r="D1037" s="8"/>
      <c r="E1037" s="200" t="str">
        <f>+INDEX(PWP!$A:$Z,MATCH('PWP-Print'!E1036,PWP!$B:$B,0),MATCH("ID",PWP!$A$1:$Z$1,0))</f>
        <v>120200_01</v>
      </c>
      <c r="F1037" s="8"/>
      <c r="G1037" s="249" t="str">
        <f>+INDEX(PWP!$A:$Z,MATCH('PWP-Print'!E1036,PWP!$B:$B,0),MATCH("Name",PWP!$A$1:$Z$1,0))</f>
        <v>Scylla</v>
      </c>
      <c r="H1037" s="8"/>
      <c r="I1037" t="e" vm="414">
        <f>_xlfn.IMAGE("https://natalie.tf/wp-content/uploads/2023/10/DLV3_Icon_Ability_"&amp;INDEX('PWP-A'!$A$2:$C$31,MATCH('PWP-Print'!J1037,'PWP-A'!$B$2:$B$31,0),1)&amp;".png")</f>
        <v>#VALUE!</v>
      </c>
      <c r="J1037" s="229" t="str">
        <f>+INDEX(PWP!$A:$Z,MATCH('PWP-Print'!E1036,PWP!$B:$B,0),MATCH("PWP Ability 2",PWP!$A$1:$Z$1,0))</f>
        <v>Critical Damage +25%</v>
      </c>
      <c r="K1037" s="249" t="str">
        <f>+INDEX(PWP!$A:$Z,MATCH('PWP-Print'!E1036,PWP!$B:$B,0),MATCH("Locked PWP Ability 2",PWP!$A$1:$Z$1,0))</f>
        <v>(Water) Critical Damage +25%</v>
      </c>
      <c r="M1037" s="729"/>
      <c r="N1037" s="8"/>
      <c r="O1037" s="200" t="str">
        <f>+INDEX(PWP!$A:$Z,MATCH('PWP-Print'!O1036,PWP!$B:$B,0),MATCH("ID",PWP!$A$1:$Z$1,0))</f>
        <v>210028_01</v>
      </c>
      <c r="P1037" s="8"/>
      <c r="Q1037" s="249" t="str">
        <f>+INDEX(PWP!$A:$Z,MATCH('PWP-Print'!O1036,PWP!$B:$B,0),MATCH("Name",PWP!$A$1:$Z$1,0))</f>
        <v>Tsukuyomi</v>
      </c>
      <c r="R1037" s="8"/>
      <c r="S1037" t="e" vm="1532">
        <f>_xlfn.IMAGE("https://natalie.tf/wp-content/uploads/2023/10/DLV3_Icon_Ability_"&amp;INDEX('PWP-A'!$A$2:$C$31,MATCH('PWP-Print'!T1037,'PWP-A'!$B$2:$B$31,0),1)&amp;".png")</f>
        <v>#VALUE!</v>
      </c>
      <c r="T1037" s="229" t="str">
        <f>+INDEX(PWP!$A:$Z,MATCH('PWP-Print'!O1036,PWP!$B:$B,0),MATCH("PWP Ability 2",PWP!$A$1:$Z$1,0))</f>
        <v>Shapeshift Prep &amp; Dragon Defense</v>
      </c>
      <c r="U1037" s="249" t="str">
        <f>+INDEX(PWP!$A:$Z,MATCH('PWP-Print'!O1036,PWP!$B:$B,0),MATCH("Locked PWP Ability 2",PWP!$A$1:$Z$1,0))</f>
        <v>Shapeshift Prep &amp; Dragon Defense</v>
      </c>
    </row>
    <row r="1038" spans="1:21" ht="22.5" customHeight="1" x14ac:dyDescent="0.3">
      <c r="A1038" s="244" t="str">
        <f>TEXT(A1034+1,"000")</f>
        <v>487</v>
      </c>
      <c r="B1038" s="244" t="str">
        <f>TEXT(B1034+1,"000")</f>
        <v>500</v>
      </c>
      <c r="C1038" s="729"/>
      <c r="E1038" s="251" t="str">
        <f>+INDEX(PWP!$A:$Z,MATCH('PWP-Print'!E1036,PWP!$B:$B,0),MATCH("Num",PWP!$A$1:$Z$1,0))</f>
        <v>N/A</v>
      </c>
      <c r="G1038" s="249" t="str">
        <f>+INDEX(PWP!$A:$Z,MATCH('PWP-Print'!E1036,PWP!$B:$B,0),MATCH("Element",PWP!$A$1:$Z$1,0))&amp;" "&amp;INDEX(PWP!$A:$Z,MATCH('PWP-Print'!E1036,PWP!$B:$B,0),MATCH("Type",PWP!$A$1:$Z$1,0))</f>
        <v>Water NPC</v>
      </c>
      <c r="K1038" s="250"/>
      <c r="M1038" s="729"/>
      <c r="O1038" s="251" t="str">
        <f>+INDEX(PWP!$A:$Z,MATCH('PWP-Print'!O1036,PWP!$B:$B,0),MATCH("Num",PWP!$A$1:$Z$1,0))</f>
        <v>N/A</v>
      </c>
      <c r="Q1038" s="249" t="str">
        <f>+INDEX(PWP!$A:$Z,MATCH('PWP-Print'!O1036,PWP!$B:$B,0),MATCH("Element",PWP!$A$1:$Z$1,0))&amp;" "&amp;INDEX(PWP!$A:$Z,MATCH('PWP-Print'!O1036,PWP!$B:$B,0),MATCH("Type",PWP!$A$1:$Z$1,0))</f>
        <v>NONE NPC</v>
      </c>
      <c r="U1038" s="250"/>
    </row>
    <row r="1039" spans="1:21" ht="7.5" customHeight="1" x14ac:dyDescent="0.3">
      <c r="A1039" s="244" t="s">
        <v>10763</v>
      </c>
      <c r="E1039" s="250"/>
      <c r="G1039" s="250"/>
      <c r="K1039" s="250"/>
    </row>
    <row r="1040" spans="1:21" ht="22.5" customHeight="1" x14ac:dyDescent="0.3">
      <c r="C1040" s="729" t="e" vm="1533">
        <f>_xlfn.IMAGE("https://natalie.tf/wp-content/uploads/2023/11/DLV3_Icon_NPC_"&amp;E1041&amp;".png")</f>
        <v>#VALUE!</v>
      </c>
      <c r="E1040" s="249" t="str">
        <f>"PWP-"&amp;A1042</f>
        <v>PWP-488</v>
      </c>
      <c r="G1040" s="249" t="str">
        <f>+INDEX(PWP!$A:$Z,MATCH('PWP-Print'!E1040,PWP!$B:$B,0),MATCH("Title",PWP!$A$1:$Z$1,0))</f>
        <v>Songstress of Flowers</v>
      </c>
      <c r="I1040" t="e" vm="426">
        <f>_xlfn.IMAGE("https://natalie.tf/wp-content/uploads/2023/10/DLV3_Icon_Ability_"&amp;INDEX('PWP-A'!$A$2:$C$31,MATCH('PWP-Print'!J1040,'PWP-A'!$B$2:$B$31,0),1)&amp;".png")</f>
        <v>#VALUE!</v>
      </c>
      <c r="J1040" s="229" t="str">
        <f>+INDEX(PWP!$A:$Z,MATCH('PWP-Print'!E1040,PWP!$B:$B,0),MATCH("PWP Ability 1",PWP!$A$1:$Z$1,0))</f>
        <v>Defense +20%</v>
      </c>
      <c r="K1040" s="249" t="str">
        <f>+INDEX(PWP!$A:$Z,MATCH('PWP-Print'!E1040,PWP!$B:$B,0),MATCH("Locked PWP Ability 1",PWP!$A$1:$Z$1,0))</f>
        <v>(Water) Defense +20%</v>
      </c>
      <c r="M1040" s="729"/>
      <c r="O1040" s="221"/>
      <c r="Q1040" s="221"/>
      <c r="U1040" s="221"/>
    </row>
    <row r="1041" spans="1:21" ht="22.5" customHeight="1" x14ac:dyDescent="0.3">
      <c r="C1041" s="729"/>
      <c r="D1041" s="8"/>
      <c r="E1041" s="200" t="str">
        <f>+INDEX(PWP!$A:$Z,MATCH('PWP-Print'!E1040,PWP!$B:$B,0),MATCH("ID",PWP!$A$1:$Z$1,0))</f>
        <v>120205_01</v>
      </c>
      <c r="F1041" s="8"/>
      <c r="G1041" s="249" t="str">
        <f>+INDEX(PWP!$A:$Z,MATCH('PWP-Print'!E1040,PWP!$B:$B,0),MATCH("Name",PWP!$A$1:$Z$1,0))</f>
        <v>Belladonna</v>
      </c>
      <c r="H1041" s="8"/>
      <c r="I1041" t="e" vm="802">
        <f>_xlfn.IMAGE("https://natalie.tf/wp-content/uploads/2023/10/DLV3_Icon_Ability_"&amp;INDEX('PWP-A'!$A$2:$C$31,MATCH('PWP-Print'!J1041,'PWP-A'!$B$2:$B$31,0),1)&amp;".png")</f>
        <v>#VALUE!</v>
      </c>
      <c r="J1041" s="229" t="str">
        <f>+INDEX(PWP!$A:$Z,MATCH('PWP-Print'!E1040,PWP!$B:$B,0),MATCH("PWP Ability 2",PWP!$A$1:$Z$1,0))</f>
        <v>HP 70% = Shield +40%</v>
      </c>
      <c r="K1041" s="249" t="str">
        <f>+INDEX(PWP!$A:$Z,MATCH('PWP-Print'!E1040,PWP!$B:$B,0),MATCH("Locked PWP Ability 2",PWP!$A$1:$Z$1,0))</f>
        <v>(Water) HP 70% = Shield +40%</v>
      </c>
      <c r="M1041" s="729"/>
      <c r="N1041" s="8"/>
      <c r="O1041" s="221"/>
      <c r="P1041" s="8"/>
      <c r="Q1041" s="221"/>
      <c r="R1041" s="8"/>
      <c r="S1041" s="8"/>
      <c r="T1041" s="8"/>
      <c r="U1041" s="221"/>
    </row>
    <row r="1042" spans="1:21" ht="22.5" customHeight="1" x14ac:dyDescent="0.3">
      <c r="A1042" s="244" t="str">
        <f>TEXT(A1038+1,"000")</f>
        <v>488</v>
      </c>
      <c r="C1042" s="729"/>
      <c r="E1042" s="251" t="str">
        <f>+INDEX(PWP!$A:$Z,MATCH('PWP-Print'!E1040,PWP!$B:$B,0),MATCH("Num",PWP!$A$1:$Z$1,0))</f>
        <v>N/A</v>
      </c>
      <c r="G1042" s="249" t="str">
        <f>+INDEX(PWP!$A:$Z,MATCH('PWP-Print'!E1040,PWP!$B:$B,0),MATCH("Element",PWP!$A$1:$Z$1,0))&amp;" "&amp;INDEX(PWP!$A:$Z,MATCH('PWP-Print'!E1040,PWP!$B:$B,0),MATCH("Type",PWP!$A$1:$Z$1,0))</f>
        <v>Water NPC</v>
      </c>
      <c r="K1042" s="250"/>
      <c r="M1042" s="729"/>
      <c r="O1042" s="221"/>
      <c r="Q1042" s="221"/>
      <c r="U1042" s="222"/>
    </row>
    <row r="1043" spans="1:21" ht="42" customHeight="1" x14ac:dyDescent="0.2">
      <c r="A1043" s="244" t="s">
        <v>10763</v>
      </c>
    </row>
  </sheetData>
  <mergeCells count="524">
    <mergeCell ref="S2:U2"/>
    <mergeCell ref="M40:M42"/>
    <mergeCell ref="C44:C46"/>
    <mergeCell ref="M44:M46"/>
    <mergeCell ref="M4:M6"/>
    <mergeCell ref="M8:M10"/>
    <mergeCell ref="M12:M14"/>
    <mergeCell ref="M16:M18"/>
    <mergeCell ref="M20:M22"/>
    <mergeCell ref="M24:M26"/>
    <mergeCell ref="M28:M30"/>
    <mergeCell ref="C4:C6"/>
    <mergeCell ref="C8:C10"/>
    <mergeCell ref="C12:C14"/>
    <mergeCell ref="C16:C18"/>
    <mergeCell ref="E2:G2"/>
    <mergeCell ref="I2:K2"/>
    <mergeCell ref="C56:C58"/>
    <mergeCell ref="M56:M58"/>
    <mergeCell ref="C60:C62"/>
    <mergeCell ref="M60:M62"/>
    <mergeCell ref="M32:M34"/>
    <mergeCell ref="M36:M38"/>
    <mergeCell ref="C20:C22"/>
    <mergeCell ref="C24:C26"/>
    <mergeCell ref="C28:C30"/>
    <mergeCell ref="C32:C34"/>
    <mergeCell ref="C36:C38"/>
    <mergeCell ref="C48:C50"/>
    <mergeCell ref="M48:M50"/>
    <mergeCell ref="C52:C54"/>
    <mergeCell ref="M52:M54"/>
    <mergeCell ref="C40:C42"/>
    <mergeCell ref="C76:C78"/>
    <mergeCell ref="M76:M78"/>
    <mergeCell ref="C80:C82"/>
    <mergeCell ref="M80:M82"/>
    <mergeCell ref="C84:C86"/>
    <mergeCell ref="M84:M86"/>
    <mergeCell ref="C64:C66"/>
    <mergeCell ref="M64:M66"/>
    <mergeCell ref="C68:C70"/>
    <mergeCell ref="M68:M70"/>
    <mergeCell ref="C72:C74"/>
    <mergeCell ref="M72:M74"/>
    <mergeCell ref="C100:C102"/>
    <mergeCell ref="M100:M102"/>
    <mergeCell ref="C104:C106"/>
    <mergeCell ref="M104:M106"/>
    <mergeCell ref="C108:C110"/>
    <mergeCell ref="M108:M110"/>
    <mergeCell ref="C88:C90"/>
    <mergeCell ref="M88:M90"/>
    <mergeCell ref="C92:C94"/>
    <mergeCell ref="M92:M94"/>
    <mergeCell ref="C96:C98"/>
    <mergeCell ref="M96:M98"/>
    <mergeCell ref="C124:C126"/>
    <mergeCell ref="M124:M126"/>
    <mergeCell ref="C128:C130"/>
    <mergeCell ref="M128:M130"/>
    <mergeCell ref="C132:C134"/>
    <mergeCell ref="M132:M134"/>
    <mergeCell ref="C112:C114"/>
    <mergeCell ref="M112:M114"/>
    <mergeCell ref="C116:C118"/>
    <mergeCell ref="M116:M118"/>
    <mergeCell ref="C120:C122"/>
    <mergeCell ref="M120:M122"/>
    <mergeCell ref="C148:C150"/>
    <mergeCell ref="M148:M150"/>
    <mergeCell ref="C152:C154"/>
    <mergeCell ref="M152:M154"/>
    <mergeCell ref="C156:C158"/>
    <mergeCell ref="M156:M158"/>
    <mergeCell ref="C136:C138"/>
    <mergeCell ref="M136:M138"/>
    <mergeCell ref="C140:C142"/>
    <mergeCell ref="M140:M142"/>
    <mergeCell ref="C144:C146"/>
    <mergeCell ref="M144:M146"/>
    <mergeCell ref="C172:C174"/>
    <mergeCell ref="M172:M174"/>
    <mergeCell ref="C176:C178"/>
    <mergeCell ref="M176:M178"/>
    <mergeCell ref="C180:C182"/>
    <mergeCell ref="M180:M182"/>
    <mergeCell ref="C160:C162"/>
    <mergeCell ref="M160:M162"/>
    <mergeCell ref="C164:C166"/>
    <mergeCell ref="M164:M166"/>
    <mergeCell ref="C168:C170"/>
    <mergeCell ref="M168:M170"/>
    <mergeCell ref="C196:C198"/>
    <mergeCell ref="M196:M198"/>
    <mergeCell ref="C200:C202"/>
    <mergeCell ref="M200:M202"/>
    <mergeCell ref="C204:C206"/>
    <mergeCell ref="M204:M206"/>
    <mergeCell ref="C184:C186"/>
    <mergeCell ref="M184:M186"/>
    <mergeCell ref="C188:C190"/>
    <mergeCell ref="M188:M190"/>
    <mergeCell ref="C192:C194"/>
    <mergeCell ref="M192:M194"/>
    <mergeCell ref="C220:C222"/>
    <mergeCell ref="M220:M222"/>
    <mergeCell ref="C224:C226"/>
    <mergeCell ref="M224:M226"/>
    <mergeCell ref="C228:C230"/>
    <mergeCell ref="M228:M230"/>
    <mergeCell ref="C208:C210"/>
    <mergeCell ref="M208:M210"/>
    <mergeCell ref="C212:C214"/>
    <mergeCell ref="M212:M214"/>
    <mergeCell ref="C216:C218"/>
    <mergeCell ref="M216:M218"/>
    <mergeCell ref="C244:C246"/>
    <mergeCell ref="M244:M246"/>
    <mergeCell ref="C248:C250"/>
    <mergeCell ref="M248:M250"/>
    <mergeCell ref="C252:C254"/>
    <mergeCell ref="M252:M254"/>
    <mergeCell ref="C232:C234"/>
    <mergeCell ref="M232:M234"/>
    <mergeCell ref="C236:C238"/>
    <mergeCell ref="M236:M238"/>
    <mergeCell ref="C240:C242"/>
    <mergeCell ref="M240:M242"/>
    <mergeCell ref="C268:C270"/>
    <mergeCell ref="M268:M270"/>
    <mergeCell ref="C272:C274"/>
    <mergeCell ref="M272:M274"/>
    <mergeCell ref="C276:C278"/>
    <mergeCell ref="M276:M278"/>
    <mergeCell ref="C256:C258"/>
    <mergeCell ref="M256:M258"/>
    <mergeCell ref="C260:C262"/>
    <mergeCell ref="M260:M262"/>
    <mergeCell ref="C264:C266"/>
    <mergeCell ref="M264:M266"/>
    <mergeCell ref="C292:C294"/>
    <mergeCell ref="M292:M294"/>
    <mergeCell ref="C296:C298"/>
    <mergeCell ref="M296:M298"/>
    <mergeCell ref="C300:C302"/>
    <mergeCell ref="M300:M302"/>
    <mergeCell ref="C280:C282"/>
    <mergeCell ref="M280:M282"/>
    <mergeCell ref="C284:C286"/>
    <mergeCell ref="M284:M286"/>
    <mergeCell ref="C288:C290"/>
    <mergeCell ref="M288:M290"/>
    <mergeCell ref="C316:C318"/>
    <mergeCell ref="M316:M318"/>
    <mergeCell ref="C320:C322"/>
    <mergeCell ref="M320:M322"/>
    <mergeCell ref="C324:C326"/>
    <mergeCell ref="M324:M326"/>
    <mergeCell ref="C304:C306"/>
    <mergeCell ref="M304:M306"/>
    <mergeCell ref="C308:C310"/>
    <mergeCell ref="M308:M310"/>
    <mergeCell ref="C312:C314"/>
    <mergeCell ref="M312:M314"/>
    <mergeCell ref="C340:C342"/>
    <mergeCell ref="M340:M342"/>
    <mergeCell ref="C344:C346"/>
    <mergeCell ref="M344:M346"/>
    <mergeCell ref="C348:C350"/>
    <mergeCell ref="M348:M350"/>
    <mergeCell ref="C328:C330"/>
    <mergeCell ref="M328:M330"/>
    <mergeCell ref="C332:C334"/>
    <mergeCell ref="M332:M334"/>
    <mergeCell ref="C336:C338"/>
    <mergeCell ref="M336:M338"/>
    <mergeCell ref="C364:C366"/>
    <mergeCell ref="M364:M366"/>
    <mergeCell ref="C368:C370"/>
    <mergeCell ref="M368:M370"/>
    <mergeCell ref="C372:C374"/>
    <mergeCell ref="M372:M374"/>
    <mergeCell ref="C352:C354"/>
    <mergeCell ref="M352:M354"/>
    <mergeCell ref="C356:C358"/>
    <mergeCell ref="M356:M358"/>
    <mergeCell ref="C360:C362"/>
    <mergeCell ref="M360:M362"/>
    <mergeCell ref="C388:C390"/>
    <mergeCell ref="M388:M390"/>
    <mergeCell ref="C392:C394"/>
    <mergeCell ref="M392:M394"/>
    <mergeCell ref="C396:C398"/>
    <mergeCell ref="M396:M398"/>
    <mergeCell ref="C376:C378"/>
    <mergeCell ref="M376:M378"/>
    <mergeCell ref="C380:C382"/>
    <mergeCell ref="M380:M382"/>
    <mergeCell ref="C384:C386"/>
    <mergeCell ref="M384:M386"/>
    <mergeCell ref="C412:C414"/>
    <mergeCell ref="M412:M414"/>
    <mergeCell ref="C416:C418"/>
    <mergeCell ref="M416:M418"/>
    <mergeCell ref="C420:C422"/>
    <mergeCell ref="M420:M422"/>
    <mergeCell ref="C400:C402"/>
    <mergeCell ref="M400:M402"/>
    <mergeCell ref="C404:C406"/>
    <mergeCell ref="M404:M406"/>
    <mergeCell ref="C408:C410"/>
    <mergeCell ref="M408:M410"/>
    <mergeCell ref="C436:C438"/>
    <mergeCell ref="M436:M438"/>
    <mergeCell ref="C440:C442"/>
    <mergeCell ref="M440:M442"/>
    <mergeCell ref="C444:C446"/>
    <mergeCell ref="M444:M446"/>
    <mergeCell ref="C424:C426"/>
    <mergeCell ref="M424:M426"/>
    <mergeCell ref="C428:C430"/>
    <mergeCell ref="M428:M430"/>
    <mergeCell ref="C432:C434"/>
    <mergeCell ref="M432:M434"/>
    <mergeCell ref="C460:C462"/>
    <mergeCell ref="M460:M462"/>
    <mergeCell ref="C464:C466"/>
    <mergeCell ref="M464:M466"/>
    <mergeCell ref="C468:C470"/>
    <mergeCell ref="M468:M470"/>
    <mergeCell ref="C448:C450"/>
    <mergeCell ref="M448:M450"/>
    <mergeCell ref="C452:C454"/>
    <mergeCell ref="M452:M454"/>
    <mergeCell ref="C456:C458"/>
    <mergeCell ref="M456:M458"/>
    <mergeCell ref="C484:C486"/>
    <mergeCell ref="M484:M486"/>
    <mergeCell ref="C488:C490"/>
    <mergeCell ref="M488:M490"/>
    <mergeCell ref="C492:C494"/>
    <mergeCell ref="M492:M494"/>
    <mergeCell ref="C472:C474"/>
    <mergeCell ref="M472:M474"/>
    <mergeCell ref="C476:C478"/>
    <mergeCell ref="M476:M478"/>
    <mergeCell ref="C480:C482"/>
    <mergeCell ref="M480:M482"/>
    <mergeCell ref="C508:C510"/>
    <mergeCell ref="M508:M510"/>
    <mergeCell ref="C512:C514"/>
    <mergeCell ref="M512:M514"/>
    <mergeCell ref="C516:C518"/>
    <mergeCell ref="M516:M518"/>
    <mergeCell ref="C496:C498"/>
    <mergeCell ref="M496:M498"/>
    <mergeCell ref="C500:C502"/>
    <mergeCell ref="M500:M502"/>
    <mergeCell ref="C504:C506"/>
    <mergeCell ref="M504:M506"/>
    <mergeCell ref="C532:C534"/>
    <mergeCell ref="M532:M534"/>
    <mergeCell ref="C536:C538"/>
    <mergeCell ref="M536:M538"/>
    <mergeCell ref="C540:C542"/>
    <mergeCell ref="M540:M542"/>
    <mergeCell ref="C520:C522"/>
    <mergeCell ref="M520:M522"/>
    <mergeCell ref="C524:C526"/>
    <mergeCell ref="M524:M526"/>
    <mergeCell ref="C528:C530"/>
    <mergeCell ref="M528:M530"/>
    <mergeCell ref="C556:C558"/>
    <mergeCell ref="M556:M558"/>
    <mergeCell ref="C560:C562"/>
    <mergeCell ref="M560:M562"/>
    <mergeCell ref="C564:C566"/>
    <mergeCell ref="M564:M566"/>
    <mergeCell ref="C544:C546"/>
    <mergeCell ref="M544:M546"/>
    <mergeCell ref="C548:C550"/>
    <mergeCell ref="M548:M550"/>
    <mergeCell ref="C552:C554"/>
    <mergeCell ref="M552:M554"/>
    <mergeCell ref="C580:C582"/>
    <mergeCell ref="M580:M582"/>
    <mergeCell ref="C584:C586"/>
    <mergeCell ref="M584:M586"/>
    <mergeCell ref="C588:C590"/>
    <mergeCell ref="M588:M590"/>
    <mergeCell ref="C568:C570"/>
    <mergeCell ref="M568:M570"/>
    <mergeCell ref="C572:C574"/>
    <mergeCell ref="M572:M574"/>
    <mergeCell ref="C576:C578"/>
    <mergeCell ref="M576:M578"/>
    <mergeCell ref="C604:C606"/>
    <mergeCell ref="M604:M606"/>
    <mergeCell ref="C608:C610"/>
    <mergeCell ref="M608:M610"/>
    <mergeCell ref="C612:C614"/>
    <mergeCell ref="M612:M614"/>
    <mergeCell ref="C592:C594"/>
    <mergeCell ref="M592:M594"/>
    <mergeCell ref="C596:C598"/>
    <mergeCell ref="M596:M598"/>
    <mergeCell ref="C600:C602"/>
    <mergeCell ref="M600:M602"/>
    <mergeCell ref="C628:C630"/>
    <mergeCell ref="M628:M630"/>
    <mergeCell ref="C632:C634"/>
    <mergeCell ref="M632:M634"/>
    <mergeCell ref="C636:C638"/>
    <mergeCell ref="M636:M638"/>
    <mergeCell ref="C616:C618"/>
    <mergeCell ref="M616:M618"/>
    <mergeCell ref="C620:C622"/>
    <mergeCell ref="M620:M622"/>
    <mergeCell ref="C624:C626"/>
    <mergeCell ref="M624:M626"/>
    <mergeCell ref="C652:C654"/>
    <mergeCell ref="M652:M654"/>
    <mergeCell ref="C656:C658"/>
    <mergeCell ref="M656:M658"/>
    <mergeCell ref="C660:C662"/>
    <mergeCell ref="M660:M662"/>
    <mergeCell ref="C640:C642"/>
    <mergeCell ref="M640:M642"/>
    <mergeCell ref="C644:C646"/>
    <mergeCell ref="M644:M646"/>
    <mergeCell ref="C648:C650"/>
    <mergeCell ref="M648:M650"/>
    <mergeCell ref="C676:C678"/>
    <mergeCell ref="M676:M678"/>
    <mergeCell ref="C680:C682"/>
    <mergeCell ref="M680:M682"/>
    <mergeCell ref="C684:C686"/>
    <mergeCell ref="M684:M686"/>
    <mergeCell ref="C664:C666"/>
    <mergeCell ref="M664:M666"/>
    <mergeCell ref="C668:C670"/>
    <mergeCell ref="M668:M670"/>
    <mergeCell ref="C672:C674"/>
    <mergeCell ref="M672:M674"/>
    <mergeCell ref="C700:C702"/>
    <mergeCell ref="M700:M702"/>
    <mergeCell ref="C704:C706"/>
    <mergeCell ref="M704:M706"/>
    <mergeCell ref="C708:C710"/>
    <mergeCell ref="M708:M710"/>
    <mergeCell ref="C688:C690"/>
    <mergeCell ref="M688:M690"/>
    <mergeCell ref="C692:C694"/>
    <mergeCell ref="M692:M694"/>
    <mergeCell ref="C696:C698"/>
    <mergeCell ref="M696:M698"/>
    <mergeCell ref="C724:C726"/>
    <mergeCell ref="M724:M726"/>
    <mergeCell ref="C728:C730"/>
    <mergeCell ref="M728:M730"/>
    <mergeCell ref="C732:C734"/>
    <mergeCell ref="M732:M734"/>
    <mergeCell ref="C712:C714"/>
    <mergeCell ref="M712:M714"/>
    <mergeCell ref="C716:C718"/>
    <mergeCell ref="M716:M718"/>
    <mergeCell ref="C720:C722"/>
    <mergeCell ref="M720:M722"/>
    <mergeCell ref="C748:C750"/>
    <mergeCell ref="M748:M750"/>
    <mergeCell ref="C752:C754"/>
    <mergeCell ref="M752:M754"/>
    <mergeCell ref="C756:C758"/>
    <mergeCell ref="M756:M758"/>
    <mergeCell ref="C736:C738"/>
    <mergeCell ref="M736:M738"/>
    <mergeCell ref="C740:C742"/>
    <mergeCell ref="M740:M742"/>
    <mergeCell ref="C744:C746"/>
    <mergeCell ref="M744:M746"/>
    <mergeCell ref="C772:C774"/>
    <mergeCell ref="M772:M774"/>
    <mergeCell ref="C776:C778"/>
    <mergeCell ref="M776:M778"/>
    <mergeCell ref="C780:C782"/>
    <mergeCell ref="M780:M782"/>
    <mergeCell ref="C760:C762"/>
    <mergeCell ref="M760:M762"/>
    <mergeCell ref="C764:C766"/>
    <mergeCell ref="M764:M766"/>
    <mergeCell ref="C768:C770"/>
    <mergeCell ref="M768:M770"/>
    <mergeCell ref="C796:C798"/>
    <mergeCell ref="M796:M798"/>
    <mergeCell ref="C800:C802"/>
    <mergeCell ref="M800:M802"/>
    <mergeCell ref="C804:C806"/>
    <mergeCell ref="M804:M806"/>
    <mergeCell ref="C784:C786"/>
    <mergeCell ref="M784:M786"/>
    <mergeCell ref="C788:C790"/>
    <mergeCell ref="M788:M790"/>
    <mergeCell ref="C792:C794"/>
    <mergeCell ref="M792:M794"/>
    <mergeCell ref="C820:C822"/>
    <mergeCell ref="M820:M822"/>
    <mergeCell ref="C824:C826"/>
    <mergeCell ref="M824:M826"/>
    <mergeCell ref="C828:C830"/>
    <mergeCell ref="M828:M830"/>
    <mergeCell ref="C808:C810"/>
    <mergeCell ref="M808:M810"/>
    <mergeCell ref="C812:C814"/>
    <mergeCell ref="M812:M814"/>
    <mergeCell ref="C816:C818"/>
    <mergeCell ref="M816:M818"/>
    <mergeCell ref="C844:C846"/>
    <mergeCell ref="M844:M846"/>
    <mergeCell ref="C848:C850"/>
    <mergeCell ref="M848:M850"/>
    <mergeCell ref="C852:C854"/>
    <mergeCell ref="M852:M854"/>
    <mergeCell ref="C832:C834"/>
    <mergeCell ref="M832:M834"/>
    <mergeCell ref="C836:C838"/>
    <mergeCell ref="M836:M838"/>
    <mergeCell ref="C840:C842"/>
    <mergeCell ref="M840:M842"/>
    <mergeCell ref="C868:C870"/>
    <mergeCell ref="M868:M870"/>
    <mergeCell ref="C872:C874"/>
    <mergeCell ref="M872:M874"/>
    <mergeCell ref="C876:C878"/>
    <mergeCell ref="M876:M878"/>
    <mergeCell ref="C856:C858"/>
    <mergeCell ref="M856:M858"/>
    <mergeCell ref="C860:C862"/>
    <mergeCell ref="M860:M862"/>
    <mergeCell ref="C864:C866"/>
    <mergeCell ref="M864:M866"/>
    <mergeCell ref="C892:C894"/>
    <mergeCell ref="M892:M894"/>
    <mergeCell ref="C896:C898"/>
    <mergeCell ref="M896:M898"/>
    <mergeCell ref="C900:C902"/>
    <mergeCell ref="M900:M902"/>
    <mergeCell ref="C880:C882"/>
    <mergeCell ref="M880:M882"/>
    <mergeCell ref="C884:C886"/>
    <mergeCell ref="M884:M886"/>
    <mergeCell ref="C888:C890"/>
    <mergeCell ref="M888:M890"/>
    <mergeCell ref="C916:C918"/>
    <mergeCell ref="M916:M918"/>
    <mergeCell ref="C920:C922"/>
    <mergeCell ref="M920:M922"/>
    <mergeCell ref="C924:C926"/>
    <mergeCell ref="M924:M926"/>
    <mergeCell ref="C904:C906"/>
    <mergeCell ref="M904:M906"/>
    <mergeCell ref="C908:C910"/>
    <mergeCell ref="M908:M910"/>
    <mergeCell ref="C912:C914"/>
    <mergeCell ref="M912:M914"/>
    <mergeCell ref="M944:M946"/>
    <mergeCell ref="C948:C950"/>
    <mergeCell ref="M948:M950"/>
    <mergeCell ref="C928:C930"/>
    <mergeCell ref="M928:M930"/>
    <mergeCell ref="C932:C934"/>
    <mergeCell ref="M932:M934"/>
    <mergeCell ref="C936:C938"/>
    <mergeCell ref="M936:M938"/>
    <mergeCell ref="C988:C990"/>
    <mergeCell ref="M988:M990"/>
    <mergeCell ref="N780:N782"/>
    <mergeCell ref="C976:C978"/>
    <mergeCell ref="M976:M978"/>
    <mergeCell ref="C980:C982"/>
    <mergeCell ref="M980:M982"/>
    <mergeCell ref="C984:C986"/>
    <mergeCell ref="M984:M986"/>
    <mergeCell ref="C964:C966"/>
    <mergeCell ref="M964:M966"/>
    <mergeCell ref="C968:C970"/>
    <mergeCell ref="M968:M970"/>
    <mergeCell ref="C972:C974"/>
    <mergeCell ref="M972:M974"/>
    <mergeCell ref="C952:C954"/>
    <mergeCell ref="M952:M954"/>
    <mergeCell ref="C956:C958"/>
    <mergeCell ref="M956:M958"/>
    <mergeCell ref="C960:C962"/>
    <mergeCell ref="M960:M962"/>
    <mergeCell ref="C940:C942"/>
    <mergeCell ref="M940:M942"/>
    <mergeCell ref="C944:C946"/>
    <mergeCell ref="C1004:C1006"/>
    <mergeCell ref="M1004:M1006"/>
    <mergeCell ref="C1008:C1010"/>
    <mergeCell ref="M1008:M1010"/>
    <mergeCell ref="C1012:C1014"/>
    <mergeCell ref="M1012:M1014"/>
    <mergeCell ref="C992:C994"/>
    <mergeCell ref="M992:M994"/>
    <mergeCell ref="C996:C998"/>
    <mergeCell ref="M996:M998"/>
    <mergeCell ref="C1000:C1002"/>
    <mergeCell ref="M1000:M1002"/>
    <mergeCell ref="C1040:C1042"/>
    <mergeCell ref="M1040:M1042"/>
    <mergeCell ref="C1028:C1030"/>
    <mergeCell ref="M1028:M1030"/>
    <mergeCell ref="C1032:C1034"/>
    <mergeCell ref="M1032:M1034"/>
    <mergeCell ref="C1036:C1038"/>
    <mergeCell ref="M1036:M1038"/>
    <mergeCell ref="C1016:C1018"/>
    <mergeCell ref="M1016:M1018"/>
    <mergeCell ref="C1020:C1022"/>
    <mergeCell ref="M1020:M1022"/>
    <mergeCell ref="C1024:C1026"/>
    <mergeCell ref="M1024:M1026"/>
  </mergeCells>
  <printOptions horizontalCentered="1" verticalCentered="1"/>
  <pageMargins left="0" right="0" top="0" bottom="0" header="0" footer="0"/>
  <pageSetup scale="59" fitToHeight="0" orientation="landscape"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0806EB-CB53-4E13-9326-9D4BFEA17360}">
  <sheetPr>
    <pageSetUpPr fitToPage="1"/>
  </sheetPr>
  <dimension ref="A1:U538"/>
  <sheetViews>
    <sheetView zoomScaleNormal="100" workbookViewId="0"/>
  </sheetViews>
  <sheetFormatPr defaultRowHeight="14.25" outlineLevelCol="1" x14ac:dyDescent="0.2"/>
  <cols>
    <col min="1" max="1" width="10.375" bestFit="1" customWidth="1"/>
    <col min="2" max="2" width="8.375" bestFit="1" customWidth="1"/>
    <col min="4" max="4" width="22.375" bestFit="1" customWidth="1"/>
    <col min="5" max="5" width="27.5" bestFit="1" customWidth="1"/>
    <col min="6" max="6" width="9.625" hidden="1" customWidth="1" outlineLevel="1"/>
    <col min="7" max="7" width="2" hidden="1" customWidth="1" outlineLevel="1"/>
    <col min="8" max="8" width="9" hidden="1" customWidth="1" outlineLevel="1"/>
    <col min="9" max="9" width="9" collapsed="1"/>
    <col min="11" max="11" width="5.625" hidden="1" customWidth="1" outlineLevel="1" collapsed="1"/>
    <col min="12" max="13" width="5.625" hidden="1" customWidth="1" outlineLevel="1"/>
    <col min="14" max="15" width="9.5" hidden="1" customWidth="1" outlineLevel="1"/>
    <col min="16" max="16" width="22.5" bestFit="1" customWidth="1" collapsed="1"/>
    <col min="17" max="17" width="28" bestFit="1" customWidth="1"/>
    <col min="18" max="19" width="29" bestFit="1" customWidth="1"/>
    <col min="20" max="20" width="16.125" hidden="1" customWidth="1" outlineLevel="1"/>
    <col min="21" max="21" width="9" collapsed="1"/>
  </cols>
  <sheetData>
    <row r="1" spans="1:20" x14ac:dyDescent="0.2">
      <c r="A1" s="95" t="s">
        <v>87</v>
      </c>
      <c r="B1" s="67" t="s">
        <v>14985</v>
      </c>
      <c r="C1" s="67" t="s">
        <v>88</v>
      </c>
      <c r="D1" s="67" t="s">
        <v>89</v>
      </c>
      <c r="E1" s="67" t="s">
        <v>90</v>
      </c>
      <c r="F1" s="67" t="s">
        <v>14986</v>
      </c>
      <c r="G1" s="67" t="s">
        <v>14987</v>
      </c>
      <c r="H1" s="67" t="s">
        <v>94</v>
      </c>
      <c r="I1" s="67" t="s">
        <v>23</v>
      </c>
      <c r="J1" s="67" t="s">
        <v>10266</v>
      </c>
      <c r="K1" s="67" t="s">
        <v>107</v>
      </c>
      <c r="L1" s="67" t="s">
        <v>108</v>
      </c>
      <c r="M1" s="67" t="s">
        <v>109</v>
      </c>
      <c r="N1" s="67" t="s">
        <v>77</v>
      </c>
      <c r="O1" s="67" t="s">
        <v>103</v>
      </c>
      <c r="P1" s="67" t="s">
        <v>14988</v>
      </c>
      <c r="Q1" s="67" t="s">
        <v>14989</v>
      </c>
      <c r="R1" s="67" t="s">
        <v>14990</v>
      </c>
      <c r="S1" s="97" t="s">
        <v>14991</v>
      </c>
      <c r="T1" s="1" t="s">
        <v>13718</v>
      </c>
    </row>
    <row r="2" spans="1:20" x14ac:dyDescent="0.2">
      <c r="A2" s="271" t="s">
        <v>114</v>
      </c>
      <c r="B2" s="259" t="s">
        <v>14992</v>
      </c>
      <c r="C2" s="259" t="s">
        <v>115</v>
      </c>
      <c r="D2" s="259" t="s">
        <v>116</v>
      </c>
      <c r="E2" s="259" t="str">
        <f t="shared" ref="E2:E65" si="0">+F2</f>
        <v>Expiatory Researcher</v>
      </c>
      <c r="F2" s="259" t="s">
        <v>117</v>
      </c>
      <c r="G2" s="259">
        <v>5</v>
      </c>
      <c r="H2" s="259" t="s">
        <v>121</v>
      </c>
      <c r="I2" s="259" t="s">
        <v>122</v>
      </c>
      <c r="J2" s="259" t="s">
        <v>123</v>
      </c>
      <c r="K2" s="259" t="s">
        <v>129</v>
      </c>
      <c r="L2" s="259" t="s">
        <v>132</v>
      </c>
      <c r="M2" s="259" t="s">
        <v>6923</v>
      </c>
      <c r="N2" s="259" t="s">
        <v>126</v>
      </c>
      <c r="O2" s="259" t="s">
        <v>128</v>
      </c>
      <c r="P2" s="259" t="s">
        <v>618</v>
      </c>
      <c r="Q2" s="259" t="s">
        <v>970</v>
      </c>
      <c r="R2" s="259" t="str">
        <f>+"("&amp;I2&amp;") "&amp;P2</f>
        <v>(Flame) Defense +20%</v>
      </c>
      <c r="S2" s="343" t="str">
        <f>+"("&amp;I2&amp;") "&amp;Q2</f>
        <v>(Flame) Recovery Potency +20%</v>
      </c>
    </row>
    <row r="3" spans="1:20" x14ac:dyDescent="0.2">
      <c r="A3" s="306" t="s">
        <v>139</v>
      </c>
      <c r="B3" s="261" t="s">
        <v>14993</v>
      </c>
      <c r="C3" s="261" t="s">
        <v>140</v>
      </c>
      <c r="D3" s="261" t="s">
        <v>141</v>
      </c>
      <c r="E3" s="261" t="str">
        <f t="shared" si="0"/>
        <v>Prince of Ylisse</v>
      </c>
      <c r="F3" s="261" t="s">
        <v>142</v>
      </c>
      <c r="G3" s="261">
        <v>5</v>
      </c>
      <c r="H3" s="261" t="s">
        <v>121</v>
      </c>
      <c r="I3" s="261" t="s">
        <v>122</v>
      </c>
      <c r="J3" s="261" t="s">
        <v>123</v>
      </c>
      <c r="K3" s="261" t="s">
        <v>6911</v>
      </c>
      <c r="L3" s="261" t="s">
        <v>155</v>
      </c>
      <c r="M3" s="261" t="s">
        <v>156</v>
      </c>
      <c r="N3" s="261" t="s">
        <v>148</v>
      </c>
      <c r="O3" s="261" t="s">
        <v>150</v>
      </c>
      <c r="P3" s="261" t="s">
        <v>6893</v>
      </c>
      <c r="Q3" s="261" t="s">
        <v>682</v>
      </c>
      <c r="R3" s="261" t="str">
        <f t="shared" ref="R3:R66" si="1">+"("&amp;I3&amp;") "&amp;P3</f>
        <v>(Flame) Skill Damage +40%</v>
      </c>
      <c r="S3" s="330" t="str">
        <f t="shared" ref="S3:S66" si="2">+"("&amp;I3&amp;") "&amp;Q3</f>
        <v>(Flame) HP +15%</v>
      </c>
    </row>
    <row r="4" spans="1:20" x14ac:dyDescent="0.2">
      <c r="A4" s="306" t="s">
        <v>160</v>
      </c>
      <c r="B4" s="261" t="s">
        <v>14994</v>
      </c>
      <c r="C4" s="261" t="s">
        <v>161</v>
      </c>
      <c r="D4" s="261" t="s">
        <v>162</v>
      </c>
      <c r="E4" s="261" t="str">
        <f t="shared" si="0"/>
        <v>Rathalos Berserker</v>
      </c>
      <c r="F4" s="261" t="s">
        <v>163</v>
      </c>
      <c r="G4" s="261">
        <v>5</v>
      </c>
      <c r="H4" s="261" t="s">
        <v>121</v>
      </c>
      <c r="I4" s="261" t="s">
        <v>122</v>
      </c>
      <c r="J4" s="261" t="s">
        <v>123</v>
      </c>
      <c r="K4" s="261" t="s">
        <v>173</v>
      </c>
      <c r="L4" s="261" t="s">
        <v>155</v>
      </c>
      <c r="M4" s="261" t="s">
        <v>174</v>
      </c>
      <c r="N4" s="261" t="s">
        <v>126</v>
      </c>
      <c r="O4" s="261" t="s">
        <v>170</v>
      </c>
      <c r="P4" s="261" t="s">
        <v>6911</v>
      </c>
      <c r="Q4" s="261" t="s">
        <v>336</v>
      </c>
      <c r="R4" s="261" t="str">
        <f t="shared" si="1"/>
        <v>(Flame) Strength +20%</v>
      </c>
      <c r="S4" s="330" t="str">
        <f t="shared" si="2"/>
        <v>(Flame) Force Strike +50%</v>
      </c>
    </row>
    <row r="5" spans="1:20" x14ac:dyDescent="0.2">
      <c r="A5" s="306" t="s">
        <v>180</v>
      </c>
      <c r="B5" s="261" t="s">
        <v>14995</v>
      </c>
      <c r="C5" s="261" t="s">
        <v>181</v>
      </c>
      <c r="D5" s="261" t="s">
        <v>182</v>
      </c>
      <c r="E5" s="261" t="str">
        <f t="shared" si="0"/>
        <v>Sublime Swordsman</v>
      </c>
      <c r="F5" s="261" t="s">
        <v>183</v>
      </c>
      <c r="G5" s="261">
        <v>5</v>
      </c>
      <c r="H5" s="261" t="s">
        <v>121</v>
      </c>
      <c r="I5" s="261" t="s">
        <v>122</v>
      </c>
      <c r="J5" s="261" t="s">
        <v>123</v>
      </c>
      <c r="K5" s="261" t="s">
        <v>193</v>
      </c>
      <c r="L5" s="261" t="s">
        <v>132</v>
      </c>
      <c r="M5" s="261" t="s">
        <v>6897</v>
      </c>
      <c r="N5" s="261" t="s">
        <v>126</v>
      </c>
      <c r="O5" s="261" t="s">
        <v>190</v>
      </c>
      <c r="P5" s="261" t="s">
        <v>6893</v>
      </c>
      <c r="Q5" s="261" t="s">
        <v>6552</v>
      </c>
      <c r="R5" s="261" t="str">
        <f t="shared" si="1"/>
        <v>(Flame) Skill Damage +40%</v>
      </c>
      <c r="S5" s="330" t="str">
        <f t="shared" si="2"/>
        <v>(Flame) Attack Rate +20%</v>
      </c>
    </row>
    <row r="6" spans="1:20" x14ac:dyDescent="0.2">
      <c r="A6" s="306" t="s">
        <v>199</v>
      </c>
      <c r="B6" s="261" t="s">
        <v>14996</v>
      </c>
      <c r="C6" s="261" t="s">
        <v>200</v>
      </c>
      <c r="D6" s="261" t="s">
        <v>201</v>
      </c>
      <c r="E6" s="261" t="str">
        <f t="shared" si="0"/>
        <v>Altean Prince</v>
      </c>
      <c r="F6" s="261" t="s">
        <v>202</v>
      </c>
      <c r="G6" s="261">
        <v>5</v>
      </c>
      <c r="H6" s="261" t="s">
        <v>121</v>
      </c>
      <c r="I6" s="261" t="s">
        <v>122</v>
      </c>
      <c r="J6" s="261" t="s">
        <v>123</v>
      </c>
      <c r="K6" s="261" t="s">
        <v>211</v>
      </c>
      <c r="L6" s="261" t="s">
        <v>132</v>
      </c>
      <c r="M6" s="261" t="s">
        <v>212</v>
      </c>
      <c r="N6" s="261" t="s">
        <v>126</v>
      </c>
      <c r="O6" s="261" t="s">
        <v>128</v>
      </c>
      <c r="P6" s="261" t="s">
        <v>14997</v>
      </c>
      <c r="Q6" s="261" t="s">
        <v>6552</v>
      </c>
      <c r="R6" s="261" t="str">
        <f t="shared" si="1"/>
        <v>(Flame) Critical Damage +25%</v>
      </c>
      <c r="S6" s="330" t="str">
        <f t="shared" si="2"/>
        <v>(Flame) Attack Rate +20%</v>
      </c>
    </row>
    <row r="7" spans="1:20" x14ac:dyDescent="0.2">
      <c r="A7" s="306" t="s">
        <v>217</v>
      </c>
      <c r="B7" s="261" t="s">
        <v>14998</v>
      </c>
      <c r="C7" s="261" t="s">
        <v>218</v>
      </c>
      <c r="D7" s="261" t="s">
        <v>219</v>
      </c>
      <c r="E7" s="261" t="str">
        <f t="shared" si="0"/>
        <v>Suave Lithomancer</v>
      </c>
      <c r="F7" s="261" t="s">
        <v>220</v>
      </c>
      <c r="G7" s="261">
        <v>5</v>
      </c>
      <c r="H7" s="261" t="s">
        <v>121</v>
      </c>
      <c r="I7" s="261" t="s">
        <v>122</v>
      </c>
      <c r="J7" s="261" t="s">
        <v>123</v>
      </c>
      <c r="K7" s="261" t="s">
        <v>229</v>
      </c>
      <c r="L7" s="261" t="s">
        <v>155</v>
      </c>
      <c r="M7" s="261" t="s">
        <v>6662</v>
      </c>
      <c r="N7" s="261" t="s">
        <v>126</v>
      </c>
      <c r="O7" s="261" t="s">
        <v>128</v>
      </c>
      <c r="P7" s="261" t="s">
        <v>6893</v>
      </c>
      <c r="Q7" s="261" t="s">
        <v>2974</v>
      </c>
      <c r="R7" s="261" t="str">
        <f t="shared" si="1"/>
        <v>(Flame) Skill Damage +40%</v>
      </c>
      <c r="S7" s="330" t="str">
        <f t="shared" si="2"/>
        <v>(Flame) Elemental Res +15%</v>
      </c>
    </row>
    <row r="8" spans="1:20" x14ac:dyDescent="0.2">
      <c r="A8" s="306" t="s">
        <v>234</v>
      </c>
      <c r="B8" s="261" t="s">
        <v>14999</v>
      </c>
      <c r="C8" s="261" t="s">
        <v>235</v>
      </c>
      <c r="D8" s="261" t="s">
        <v>236</v>
      </c>
      <c r="E8" s="261" t="str">
        <f t="shared" si="0"/>
        <v>Purehearted Warrior</v>
      </c>
      <c r="F8" s="261" t="s">
        <v>237</v>
      </c>
      <c r="G8" s="261">
        <v>4</v>
      </c>
      <c r="H8" s="261" t="s">
        <v>241</v>
      </c>
      <c r="I8" s="261" t="s">
        <v>122</v>
      </c>
      <c r="J8" s="261" t="s">
        <v>123</v>
      </c>
      <c r="K8" s="261" t="s">
        <v>248</v>
      </c>
      <c r="L8" s="261" t="s">
        <v>132</v>
      </c>
      <c r="M8" s="261" t="s">
        <v>249</v>
      </c>
      <c r="N8" s="261" t="s">
        <v>126</v>
      </c>
      <c r="O8" s="261" t="s">
        <v>245</v>
      </c>
      <c r="P8" s="261" t="s">
        <v>14997</v>
      </c>
      <c r="Q8" s="261" t="s">
        <v>316</v>
      </c>
      <c r="R8" s="261" t="str">
        <f t="shared" si="1"/>
        <v>(Flame) Critical Damage +25%</v>
      </c>
      <c r="S8" s="330" t="str">
        <f t="shared" si="2"/>
        <v>(Flame) Skill Haste +10%</v>
      </c>
    </row>
    <row r="9" spans="1:20" x14ac:dyDescent="0.2">
      <c r="A9" s="306" t="s">
        <v>253</v>
      </c>
      <c r="B9" s="261" t="s">
        <v>15000</v>
      </c>
      <c r="C9" s="261" t="s">
        <v>254</v>
      </c>
      <c r="D9" s="261" t="s">
        <v>255</v>
      </c>
      <c r="E9" s="261" t="str">
        <f t="shared" si="0"/>
        <v>Hero of Justice</v>
      </c>
      <c r="F9" s="261" t="s">
        <v>256</v>
      </c>
      <c r="G9" s="261">
        <v>4</v>
      </c>
      <c r="H9" s="261" t="s">
        <v>260</v>
      </c>
      <c r="I9" s="261" t="s">
        <v>122</v>
      </c>
      <c r="J9" s="261" t="s">
        <v>123</v>
      </c>
      <c r="K9" s="261" t="s">
        <v>229</v>
      </c>
      <c r="L9" s="261" t="s">
        <v>155</v>
      </c>
      <c r="M9" s="261" t="s">
        <v>265</v>
      </c>
      <c r="N9" s="261" t="s">
        <v>126</v>
      </c>
      <c r="O9" s="261" t="s">
        <v>128</v>
      </c>
      <c r="P9" s="261" t="s">
        <v>417</v>
      </c>
      <c r="Q9" s="261" t="s">
        <v>618</v>
      </c>
      <c r="R9" s="261" t="str">
        <f t="shared" si="1"/>
        <v>(Flame) Overdrive Punisher +15%</v>
      </c>
      <c r="S9" s="330" t="str">
        <f t="shared" si="2"/>
        <v>(Flame) Defense +20%</v>
      </c>
    </row>
    <row r="10" spans="1:20" x14ac:dyDescent="0.2">
      <c r="A10" s="306" t="s">
        <v>270</v>
      </c>
      <c r="B10" s="261" t="s">
        <v>15001</v>
      </c>
      <c r="C10" s="261" t="s">
        <v>271</v>
      </c>
      <c r="D10" s="261" t="s">
        <v>272</v>
      </c>
      <c r="E10" s="261" t="str">
        <f t="shared" si="0"/>
        <v>Dragonblood Prince</v>
      </c>
      <c r="F10" s="261" t="s">
        <v>273</v>
      </c>
      <c r="G10" s="261">
        <v>4</v>
      </c>
      <c r="H10" s="261" t="s">
        <v>121</v>
      </c>
      <c r="I10" s="261" t="s">
        <v>122</v>
      </c>
      <c r="J10" s="261" t="s">
        <v>123</v>
      </c>
      <c r="K10" s="261" t="s">
        <v>283</v>
      </c>
      <c r="L10" s="261" t="s">
        <v>132</v>
      </c>
      <c r="M10" s="261" t="s">
        <v>284</v>
      </c>
      <c r="N10" s="261" t="s">
        <v>126</v>
      </c>
      <c r="O10" s="261" t="s">
        <v>280</v>
      </c>
      <c r="P10" s="261" t="s">
        <v>6911</v>
      </c>
      <c r="Q10" s="261" t="s">
        <v>618</v>
      </c>
      <c r="R10" s="261" t="str">
        <f t="shared" si="1"/>
        <v>(Flame) Strength +20%</v>
      </c>
      <c r="S10" s="330" t="str">
        <f t="shared" si="2"/>
        <v>(Flame) Defense +20%</v>
      </c>
    </row>
    <row r="11" spans="1:20" x14ac:dyDescent="0.2">
      <c r="A11" s="306" t="s">
        <v>288</v>
      </c>
      <c r="B11" s="261" t="s">
        <v>15002</v>
      </c>
      <c r="C11" s="261" t="s">
        <v>289</v>
      </c>
      <c r="D11" s="261" t="s">
        <v>290</v>
      </c>
      <c r="E11" s="261" t="str">
        <f t="shared" si="0"/>
        <v>Valentine's Guardian</v>
      </c>
      <c r="F11" s="261" t="s">
        <v>291</v>
      </c>
      <c r="G11" s="261">
        <v>3</v>
      </c>
      <c r="H11" s="261" t="s">
        <v>260</v>
      </c>
      <c r="I11" s="261" t="s">
        <v>122</v>
      </c>
      <c r="J11" s="261" t="s">
        <v>123</v>
      </c>
      <c r="K11" s="261" t="s">
        <v>301</v>
      </c>
      <c r="L11" s="261" t="s">
        <v>155</v>
      </c>
      <c r="M11" s="261" t="s">
        <v>302</v>
      </c>
      <c r="N11" s="261" t="s">
        <v>126</v>
      </c>
      <c r="O11" s="261" t="s">
        <v>128</v>
      </c>
      <c r="P11" s="261" t="s">
        <v>417</v>
      </c>
      <c r="Q11" s="261" t="s">
        <v>316</v>
      </c>
      <c r="R11" s="261" t="str">
        <f t="shared" si="1"/>
        <v>(Flame) Overdrive Punisher +15%</v>
      </c>
      <c r="S11" s="330" t="str">
        <f t="shared" si="2"/>
        <v>(Flame) Skill Haste +10%</v>
      </c>
    </row>
    <row r="12" spans="1:20" x14ac:dyDescent="0.2">
      <c r="A12" s="306" t="s">
        <v>305</v>
      </c>
      <c r="B12" s="261" t="s">
        <v>15003</v>
      </c>
      <c r="C12" s="261" t="s">
        <v>306</v>
      </c>
      <c r="D12" s="261" t="s">
        <v>307</v>
      </c>
      <c r="E12" s="261" t="str">
        <f t="shared" si="0"/>
        <v>Top Ruin Explorer</v>
      </c>
      <c r="F12" s="261" t="s">
        <v>308</v>
      </c>
      <c r="G12" s="261">
        <v>3</v>
      </c>
      <c r="H12" s="261" t="s">
        <v>241</v>
      </c>
      <c r="I12" s="261" t="s">
        <v>122</v>
      </c>
      <c r="J12" s="261" t="s">
        <v>123</v>
      </c>
      <c r="K12" s="261" t="s">
        <v>319</v>
      </c>
      <c r="L12" s="261" t="s">
        <v>132</v>
      </c>
      <c r="M12" s="261" t="s">
        <v>320</v>
      </c>
      <c r="N12" s="261" t="s">
        <v>126</v>
      </c>
      <c r="O12" s="261" t="s">
        <v>315</v>
      </c>
      <c r="P12" s="261" t="s">
        <v>682</v>
      </c>
      <c r="Q12" s="261" t="s">
        <v>2974</v>
      </c>
      <c r="R12" s="261" t="str">
        <f t="shared" si="1"/>
        <v>(Flame) HP +15%</v>
      </c>
      <c r="S12" s="330" t="str">
        <f t="shared" si="2"/>
        <v>(Flame) Elemental Res +15%</v>
      </c>
    </row>
    <row r="13" spans="1:20" x14ac:dyDescent="0.2">
      <c r="A13" s="306" t="s">
        <v>323</v>
      </c>
      <c r="B13" s="261" t="s">
        <v>15004</v>
      </c>
      <c r="C13" s="261" t="s">
        <v>324</v>
      </c>
      <c r="D13" s="261" t="s">
        <v>325</v>
      </c>
      <c r="E13" s="261" t="str">
        <f t="shared" si="0"/>
        <v>Resplendent Duelist</v>
      </c>
      <c r="F13" s="261" t="s">
        <v>326</v>
      </c>
      <c r="G13" s="261">
        <v>5</v>
      </c>
      <c r="H13" s="261" t="s">
        <v>121</v>
      </c>
      <c r="I13" s="261" t="s">
        <v>122</v>
      </c>
      <c r="J13" s="261" t="s">
        <v>330</v>
      </c>
      <c r="K13" s="261" t="s">
        <v>335</v>
      </c>
      <c r="L13" s="261" t="s">
        <v>132</v>
      </c>
      <c r="M13" s="261" t="s">
        <v>337</v>
      </c>
      <c r="N13" s="261" t="s">
        <v>333</v>
      </c>
      <c r="O13" s="261" t="s">
        <v>150</v>
      </c>
      <c r="P13" s="261" t="s">
        <v>6893</v>
      </c>
      <c r="Q13" s="261" t="s">
        <v>336</v>
      </c>
      <c r="R13" s="261" t="str">
        <f t="shared" si="1"/>
        <v>(Flame) Skill Damage +40%</v>
      </c>
      <c r="S13" s="330" t="str">
        <f t="shared" si="2"/>
        <v>(Flame) Force Strike +50%</v>
      </c>
    </row>
    <row r="14" spans="1:20" x14ac:dyDescent="0.2">
      <c r="A14" s="306" t="s">
        <v>343</v>
      </c>
      <c r="B14" s="261" t="s">
        <v>15005</v>
      </c>
      <c r="C14" s="261" t="s">
        <v>344</v>
      </c>
      <c r="D14" s="261" t="s">
        <v>345</v>
      </c>
      <c r="E14" s="261" t="str">
        <f t="shared" si="0"/>
        <v>Leader of the Horse Clan</v>
      </c>
      <c r="F14" s="261" t="s">
        <v>346</v>
      </c>
      <c r="G14" s="261">
        <v>5</v>
      </c>
      <c r="H14" s="261" t="s">
        <v>121</v>
      </c>
      <c r="I14" s="261" t="s">
        <v>122</v>
      </c>
      <c r="J14" s="261" t="s">
        <v>330</v>
      </c>
      <c r="K14" s="261" t="s">
        <v>229</v>
      </c>
      <c r="L14" s="261" t="s">
        <v>155</v>
      </c>
      <c r="M14" s="261" t="s">
        <v>356</v>
      </c>
      <c r="N14" s="261" t="s">
        <v>333</v>
      </c>
      <c r="O14" s="261" t="s">
        <v>353</v>
      </c>
      <c r="P14" s="261" t="s">
        <v>2620</v>
      </c>
      <c r="Q14" s="261" t="s">
        <v>7129</v>
      </c>
      <c r="R14" s="261" t="str">
        <f t="shared" si="1"/>
        <v>(Flame) 15 Hits = Overdamage</v>
      </c>
      <c r="S14" s="330" t="str">
        <f t="shared" si="2"/>
        <v>(Flame) Combo Time +2</v>
      </c>
    </row>
    <row r="15" spans="1:20" x14ac:dyDescent="0.2">
      <c r="A15" s="306" t="s">
        <v>359</v>
      </c>
      <c r="B15" s="261" t="s">
        <v>15006</v>
      </c>
      <c r="C15" s="261" t="s">
        <v>360</v>
      </c>
      <c r="D15" s="261" t="s">
        <v>361</v>
      </c>
      <c r="E15" s="261" t="str">
        <f t="shared" si="0"/>
        <v>Mana Infuser</v>
      </c>
      <c r="F15" s="261" t="s">
        <v>362</v>
      </c>
      <c r="G15" s="261">
        <v>5</v>
      </c>
      <c r="H15" s="261" t="s">
        <v>241</v>
      </c>
      <c r="I15" s="261" t="s">
        <v>122</v>
      </c>
      <c r="J15" s="261" t="s">
        <v>330</v>
      </c>
      <c r="K15" s="261" t="s">
        <v>370</v>
      </c>
      <c r="L15" s="261" t="s">
        <v>155</v>
      </c>
      <c r="M15" s="261" t="s">
        <v>371</v>
      </c>
      <c r="N15" s="261" t="s">
        <v>333</v>
      </c>
      <c r="O15" s="261" t="s">
        <v>150</v>
      </c>
      <c r="P15" s="261" t="s">
        <v>6552</v>
      </c>
      <c r="Q15" s="261" t="s">
        <v>7129</v>
      </c>
      <c r="R15" s="261" t="str">
        <f t="shared" si="1"/>
        <v>(Flame) Attack Rate +20%</v>
      </c>
      <c r="S15" s="330" t="str">
        <f t="shared" si="2"/>
        <v>(Flame) Combo Time +2</v>
      </c>
    </row>
    <row r="16" spans="1:20" x14ac:dyDescent="0.2">
      <c r="A16" s="306" t="s">
        <v>375</v>
      </c>
      <c r="B16" s="261" t="s">
        <v>15007</v>
      </c>
      <c r="C16" s="261" t="s">
        <v>376</v>
      </c>
      <c r="D16" s="261" t="s">
        <v>377</v>
      </c>
      <c r="E16" s="261" t="str">
        <f t="shared" si="0"/>
        <v>Nature's Avatar</v>
      </c>
      <c r="F16" s="261" t="s">
        <v>378</v>
      </c>
      <c r="G16" s="261">
        <v>5</v>
      </c>
      <c r="H16" s="261" t="s">
        <v>121</v>
      </c>
      <c r="I16" s="261" t="s">
        <v>122</v>
      </c>
      <c r="J16" s="261" t="s">
        <v>330</v>
      </c>
      <c r="K16" s="261" t="s">
        <v>386</v>
      </c>
      <c r="L16" s="261" t="s">
        <v>132</v>
      </c>
      <c r="M16" s="261" t="s">
        <v>249</v>
      </c>
      <c r="N16" s="261" t="s">
        <v>333</v>
      </c>
      <c r="O16" s="261" t="s">
        <v>150</v>
      </c>
      <c r="P16" s="261" t="s">
        <v>6911</v>
      </c>
      <c r="Q16" s="261" t="s">
        <v>316</v>
      </c>
      <c r="R16" s="261" t="str">
        <f t="shared" si="1"/>
        <v>(Flame) Strength +20%</v>
      </c>
      <c r="S16" s="330" t="str">
        <f t="shared" si="2"/>
        <v>(Flame) Skill Haste +10%</v>
      </c>
    </row>
    <row r="17" spans="1:19" x14ac:dyDescent="0.2">
      <c r="A17" s="306" t="s">
        <v>391</v>
      </c>
      <c r="B17" s="261" t="s">
        <v>15008</v>
      </c>
      <c r="C17" s="261" t="s">
        <v>392</v>
      </c>
      <c r="D17" s="261" t="s">
        <v>393</v>
      </c>
      <c r="E17" s="261" t="str">
        <f t="shared" si="0"/>
        <v>Dissonant Android</v>
      </c>
      <c r="F17" s="261" t="s">
        <v>394</v>
      </c>
      <c r="G17" s="261">
        <v>4</v>
      </c>
      <c r="H17" s="261" t="s">
        <v>121</v>
      </c>
      <c r="I17" s="261" t="s">
        <v>122</v>
      </c>
      <c r="J17" s="261" t="s">
        <v>330</v>
      </c>
      <c r="K17" s="261" t="s">
        <v>403</v>
      </c>
      <c r="L17" s="261" t="s">
        <v>155</v>
      </c>
      <c r="M17" s="261" t="s">
        <v>8376</v>
      </c>
      <c r="N17" s="261" t="s">
        <v>333</v>
      </c>
      <c r="O17" s="261" t="s">
        <v>150</v>
      </c>
      <c r="P17" s="261" t="s">
        <v>6911</v>
      </c>
      <c r="Q17" s="261" t="s">
        <v>6601</v>
      </c>
      <c r="R17" s="261" t="str">
        <f t="shared" si="1"/>
        <v>(Flame) Strength +20%</v>
      </c>
      <c r="S17" s="330" t="str">
        <f t="shared" si="2"/>
        <v>(Flame) Critical Rate +15%</v>
      </c>
    </row>
    <row r="18" spans="1:19" x14ac:dyDescent="0.2">
      <c r="A18" s="306" t="s">
        <v>408</v>
      </c>
      <c r="B18" s="261" t="s">
        <v>15009</v>
      </c>
      <c r="C18" s="261" t="s">
        <v>409</v>
      </c>
      <c r="D18" s="261" t="s">
        <v>410</v>
      </c>
      <c r="E18" s="261" t="str">
        <f t="shared" si="0"/>
        <v>Impassioned Ninja</v>
      </c>
      <c r="F18" s="261" t="s">
        <v>411</v>
      </c>
      <c r="G18" s="261">
        <v>3</v>
      </c>
      <c r="H18" s="261" t="s">
        <v>121</v>
      </c>
      <c r="I18" s="261" t="s">
        <v>122</v>
      </c>
      <c r="J18" s="261" t="s">
        <v>330</v>
      </c>
      <c r="K18" s="261" t="s">
        <v>417</v>
      </c>
      <c r="L18" s="261" t="s">
        <v>155</v>
      </c>
      <c r="M18" s="261" t="s">
        <v>418</v>
      </c>
      <c r="N18" s="261" t="s">
        <v>333</v>
      </c>
      <c r="O18" s="261" t="s">
        <v>150</v>
      </c>
      <c r="P18" s="261" t="s">
        <v>14997</v>
      </c>
      <c r="Q18" s="261" t="s">
        <v>417</v>
      </c>
      <c r="R18" s="261" t="str">
        <f t="shared" si="1"/>
        <v>(Flame) Critical Damage +25%</v>
      </c>
      <c r="S18" s="330" t="str">
        <f t="shared" si="2"/>
        <v>(Flame) Overdrive Punisher +15%</v>
      </c>
    </row>
    <row r="19" spans="1:19" x14ac:dyDescent="0.2">
      <c r="A19" s="306" t="s">
        <v>422</v>
      </c>
      <c r="B19" s="261" t="s">
        <v>15010</v>
      </c>
      <c r="C19" s="261" t="s">
        <v>423</v>
      </c>
      <c r="D19" s="261" t="s">
        <v>424</v>
      </c>
      <c r="E19" s="261" t="str">
        <f t="shared" si="0"/>
        <v>Blazing Auspex</v>
      </c>
      <c r="F19" s="261" t="s">
        <v>425</v>
      </c>
      <c r="G19" s="261">
        <v>5</v>
      </c>
      <c r="H19" s="261" t="s">
        <v>121</v>
      </c>
      <c r="I19" s="261" t="s">
        <v>122</v>
      </c>
      <c r="J19" s="261" t="s">
        <v>429</v>
      </c>
      <c r="K19" s="261" t="s">
        <v>434</v>
      </c>
      <c r="L19" s="261" t="s">
        <v>437</v>
      </c>
      <c r="M19" s="261" t="s">
        <v>436</v>
      </c>
      <c r="N19" s="261" t="s">
        <v>385</v>
      </c>
      <c r="O19" s="261" t="s">
        <v>433</v>
      </c>
      <c r="P19" s="261" t="s">
        <v>2620</v>
      </c>
      <c r="Q19" s="261" t="s">
        <v>6893</v>
      </c>
      <c r="R19" s="261" t="str">
        <f t="shared" si="1"/>
        <v>(Flame) 15 Hits = Overdamage</v>
      </c>
      <c r="S19" s="330" t="str">
        <f t="shared" si="2"/>
        <v>(Flame) Skill Damage +40%</v>
      </c>
    </row>
    <row r="20" spans="1:19" x14ac:dyDescent="0.2">
      <c r="A20" s="306" t="s">
        <v>441</v>
      </c>
      <c r="B20" s="261" t="s">
        <v>15011</v>
      </c>
      <c r="C20" s="261" t="s">
        <v>442</v>
      </c>
      <c r="D20" s="261" t="s">
        <v>443</v>
      </c>
      <c r="E20" s="261" t="str">
        <f t="shared" si="0"/>
        <v>Summertime Mouse</v>
      </c>
      <c r="F20" s="261" t="s">
        <v>444</v>
      </c>
      <c r="G20" s="261">
        <v>5</v>
      </c>
      <c r="H20" s="261" t="s">
        <v>121</v>
      </c>
      <c r="I20" s="261" t="s">
        <v>122</v>
      </c>
      <c r="J20" s="261" t="s">
        <v>429</v>
      </c>
      <c r="K20" s="261" t="s">
        <v>453</v>
      </c>
      <c r="L20" s="261" t="s">
        <v>155</v>
      </c>
      <c r="M20" s="261" t="s">
        <v>454</v>
      </c>
      <c r="N20" s="261" t="s">
        <v>385</v>
      </c>
      <c r="O20" s="261" t="s">
        <v>150</v>
      </c>
      <c r="P20" s="261" t="s">
        <v>14997</v>
      </c>
      <c r="Q20" s="261" t="s">
        <v>2974</v>
      </c>
      <c r="R20" s="261" t="str">
        <f t="shared" si="1"/>
        <v>(Flame) Critical Damage +25%</v>
      </c>
      <c r="S20" s="330" t="str">
        <f t="shared" si="2"/>
        <v>(Flame) Elemental Res +15%</v>
      </c>
    </row>
    <row r="21" spans="1:19" x14ac:dyDescent="0.2">
      <c r="A21" s="306" t="s">
        <v>457</v>
      </c>
      <c r="B21" s="261" t="s">
        <v>15012</v>
      </c>
      <c r="C21" s="261" t="s">
        <v>458</v>
      </c>
      <c r="D21" s="261" t="s">
        <v>459</v>
      </c>
      <c r="E21" s="261" t="str">
        <f t="shared" si="0"/>
        <v>Synchronized Android</v>
      </c>
      <c r="F21" s="261" t="s">
        <v>460</v>
      </c>
      <c r="G21" s="261">
        <v>5</v>
      </c>
      <c r="H21" s="261" t="s">
        <v>121</v>
      </c>
      <c r="I21" s="261" t="s">
        <v>122</v>
      </c>
      <c r="J21" s="261" t="s">
        <v>429</v>
      </c>
      <c r="K21" s="261" t="s">
        <v>470</v>
      </c>
      <c r="L21" s="261" t="s">
        <v>437</v>
      </c>
      <c r="M21" s="261" t="s">
        <v>471</v>
      </c>
      <c r="N21" s="261" t="s">
        <v>466</v>
      </c>
      <c r="O21" s="261" t="s">
        <v>150</v>
      </c>
      <c r="P21" s="261" t="s">
        <v>2620</v>
      </c>
      <c r="Q21" s="261" t="s">
        <v>6911</v>
      </c>
      <c r="R21" s="261" t="str">
        <f t="shared" si="1"/>
        <v>(Flame) 15 Hits = Overdamage</v>
      </c>
      <c r="S21" s="330" t="str">
        <f t="shared" si="2"/>
        <v>(Flame) Strength +20%</v>
      </c>
    </row>
    <row r="22" spans="1:19" x14ac:dyDescent="0.2">
      <c r="A22" s="306" t="s">
        <v>475</v>
      </c>
      <c r="B22" s="261" t="s">
        <v>15013</v>
      </c>
      <c r="C22" s="261" t="s">
        <v>476</v>
      </c>
      <c r="D22" s="261" t="s">
        <v>477</v>
      </c>
      <c r="E22" s="261" t="str">
        <f t="shared" si="0"/>
        <v>Genius of the Century</v>
      </c>
      <c r="F22" s="261" t="s">
        <v>478</v>
      </c>
      <c r="G22" s="261">
        <v>5</v>
      </c>
      <c r="H22" s="261" t="s">
        <v>260</v>
      </c>
      <c r="I22" s="261" t="s">
        <v>122</v>
      </c>
      <c r="J22" s="261" t="s">
        <v>429</v>
      </c>
      <c r="K22" s="261" t="s">
        <v>486</v>
      </c>
      <c r="L22" s="261" t="s">
        <v>155</v>
      </c>
      <c r="M22" s="261" t="s">
        <v>485</v>
      </c>
      <c r="N22" s="261" t="s">
        <v>385</v>
      </c>
      <c r="O22" s="261" t="s">
        <v>353</v>
      </c>
      <c r="P22" s="261" t="s">
        <v>6893</v>
      </c>
      <c r="Q22" s="261" t="s">
        <v>6601</v>
      </c>
      <c r="R22" s="261" t="str">
        <f t="shared" si="1"/>
        <v>(Flame) Skill Damage +40%</v>
      </c>
      <c r="S22" s="330" t="str">
        <f t="shared" si="2"/>
        <v>(Flame) Critical Rate +15%</v>
      </c>
    </row>
    <row r="23" spans="1:19" x14ac:dyDescent="0.2">
      <c r="A23" s="306" t="s">
        <v>489</v>
      </c>
      <c r="B23" s="261" t="s">
        <v>15014</v>
      </c>
      <c r="C23" s="261" t="s">
        <v>490</v>
      </c>
      <c r="D23" s="261" t="s">
        <v>491</v>
      </c>
      <c r="E23" s="261" t="str">
        <f t="shared" si="0"/>
        <v>Rebellious Rider</v>
      </c>
      <c r="F23" s="261" t="s">
        <v>492</v>
      </c>
      <c r="G23" s="261">
        <v>4</v>
      </c>
      <c r="H23" s="261" t="s">
        <v>260</v>
      </c>
      <c r="I23" s="261" t="s">
        <v>122</v>
      </c>
      <c r="J23" s="261" t="s">
        <v>429</v>
      </c>
      <c r="K23" s="261" t="s">
        <v>501</v>
      </c>
      <c r="L23" s="261" t="s">
        <v>132</v>
      </c>
      <c r="M23" s="261" t="s">
        <v>502</v>
      </c>
      <c r="N23" s="261" t="s">
        <v>385</v>
      </c>
      <c r="O23" s="261" t="s">
        <v>280</v>
      </c>
      <c r="P23" s="261" t="s">
        <v>6601</v>
      </c>
      <c r="Q23" s="261" t="s">
        <v>618</v>
      </c>
      <c r="R23" s="261" t="str">
        <f t="shared" si="1"/>
        <v>(Flame) Critical Rate +15%</v>
      </c>
      <c r="S23" s="330" t="str">
        <f t="shared" si="2"/>
        <v>(Flame) Defense +20%</v>
      </c>
    </row>
    <row r="24" spans="1:19" x14ac:dyDescent="0.2">
      <c r="A24" s="306" t="s">
        <v>506</v>
      </c>
      <c r="B24" s="261" t="s">
        <v>15015</v>
      </c>
      <c r="C24" s="261" t="s">
        <v>507</v>
      </c>
      <c r="D24" s="261" t="s">
        <v>508</v>
      </c>
      <c r="E24" s="261" t="str">
        <f t="shared" si="0"/>
        <v>Resolute Friend</v>
      </c>
      <c r="F24" s="261" t="s">
        <v>509</v>
      </c>
      <c r="G24" s="261">
        <v>4</v>
      </c>
      <c r="H24" s="261" t="s">
        <v>260</v>
      </c>
      <c r="I24" s="261" t="s">
        <v>122</v>
      </c>
      <c r="J24" s="261" t="s">
        <v>429</v>
      </c>
      <c r="K24" s="261" t="s">
        <v>8370</v>
      </c>
      <c r="L24" s="261" t="s">
        <v>155</v>
      </c>
      <c r="M24" s="261" t="s">
        <v>519</v>
      </c>
      <c r="N24" s="261" t="s">
        <v>385</v>
      </c>
      <c r="O24" s="261" t="s">
        <v>150</v>
      </c>
      <c r="P24" s="261" t="s">
        <v>417</v>
      </c>
      <c r="Q24" s="261" t="s">
        <v>6552</v>
      </c>
      <c r="R24" s="261" t="str">
        <f t="shared" si="1"/>
        <v>(Flame) Overdrive Punisher +15%</v>
      </c>
      <c r="S24" s="330" t="str">
        <f t="shared" si="2"/>
        <v>(Flame) Attack Rate +20%</v>
      </c>
    </row>
    <row r="25" spans="1:19" x14ac:dyDescent="0.2">
      <c r="A25" s="306" t="s">
        <v>523</v>
      </c>
      <c r="B25" s="261" t="s">
        <v>15016</v>
      </c>
      <c r="C25" s="261" t="s">
        <v>524</v>
      </c>
      <c r="D25" s="261" t="s">
        <v>525</v>
      </c>
      <c r="E25" s="261" t="str">
        <f t="shared" si="0"/>
        <v>Honorable Treasure Hunter</v>
      </c>
      <c r="F25" s="261" t="s">
        <v>526</v>
      </c>
      <c r="G25" s="261">
        <v>3</v>
      </c>
      <c r="H25" s="261" t="s">
        <v>260</v>
      </c>
      <c r="I25" s="261" t="s">
        <v>122</v>
      </c>
      <c r="J25" s="261" t="s">
        <v>429</v>
      </c>
      <c r="K25" s="261" t="s">
        <v>519</v>
      </c>
      <c r="L25" s="261" t="s">
        <v>132</v>
      </c>
      <c r="M25" s="261" t="s">
        <v>534</v>
      </c>
      <c r="N25" s="261" t="s">
        <v>385</v>
      </c>
      <c r="O25" s="261" t="s">
        <v>150</v>
      </c>
      <c r="P25" s="261" t="s">
        <v>417</v>
      </c>
      <c r="Q25" s="261" t="s">
        <v>682</v>
      </c>
      <c r="R25" s="261" t="str">
        <f t="shared" si="1"/>
        <v>(Flame) Overdrive Punisher +15%</v>
      </c>
      <c r="S25" s="330" t="str">
        <f t="shared" si="2"/>
        <v>(Flame) HP +15%</v>
      </c>
    </row>
    <row r="26" spans="1:19" x14ac:dyDescent="0.2">
      <c r="A26" s="306" t="s">
        <v>536</v>
      </c>
      <c r="B26" s="261" t="s">
        <v>15017</v>
      </c>
      <c r="C26" s="261" t="s">
        <v>537</v>
      </c>
      <c r="D26" s="261" t="s">
        <v>538</v>
      </c>
      <c r="E26" s="261" t="str">
        <f t="shared" si="0"/>
        <v>The Blazewolf</v>
      </c>
      <c r="F26" s="261" t="s">
        <v>539</v>
      </c>
      <c r="G26" s="261">
        <v>5</v>
      </c>
      <c r="H26" s="261" t="s">
        <v>121</v>
      </c>
      <c r="I26" s="261" t="s">
        <v>122</v>
      </c>
      <c r="J26" s="261" t="s">
        <v>543</v>
      </c>
      <c r="K26" s="261" t="s">
        <v>547</v>
      </c>
      <c r="L26" s="261" t="s">
        <v>437</v>
      </c>
      <c r="M26" s="261" t="s">
        <v>6869</v>
      </c>
      <c r="N26" s="261" t="s">
        <v>148</v>
      </c>
      <c r="O26" s="261" t="s">
        <v>128</v>
      </c>
      <c r="P26" s="261" t="s">
        <v>2620</v>
      </c>
      <c r="Q26" s="261" t="s">
        <v>2974</v>
      </c>
      <c r="R26" s="261" t="str">
        <f t="shared" si="1"/>
        <v>(Flame) 15 Hits = Overdamage</v>
      </c>
      <c r="S26" s="330" t="str">
        <f t="shared" si="2"/>
        <v>(Flame) Elemental Res +15%</v>
      </c>
    </row>
    <row r="27" spans="1:19" x14ac:dyDescent="0.2">
      <c r="A27" s="306" t="s">
        <v>554</v>
      </c>
      <c r="B27" s="261" t="s">
        <v>15018</v>
      </c>
      <c r="C27" s="261" t="s">
        <v>555</v>
      </c>
      <c r="D27" s="261" t="s">
        <v>556</v>
      </c>
      <c r="E27" s="261" t="str">
        <f t="shared" si="0"/>
        <v>Childlike Mercenary</v>
      </c>
      <c r="F27" s="261" t="s">
        <v>557</v>
      </c>
      <c r="G27" s="261">
        <v>5</v>
      </c>
      <c r="H27" s="261" t="s">
        <v>121</v>
      </c>
      <c r="I27" s="261" t="s">
        <v>122</v>
      </c>
      <c r="J27" s="261" t="s">
        <v>543</v>
      </c>
      <c r="K27" s="261" t="s">
        <v>6821</v>
      </c>
      <c r="L27" s="261" t="s">
        <v>132</v>
      </c>
      <c r="M27" s="261" t="s">
        <v>568</v>
      </c>
      <c r="N27" s="261" t="s">
        <v>563</v>
      </c>
      <c r="O27" s="261" t="s">
        <v>128</v>
      </c>
      <c r="P27" s="261" t="s">
        <v>6911</v>
      </c>
      <c r="Q27" s="261" t="s">
        <v>682</v>
      </c>
      <c r="R27" s="261" t="str">
        <f t="shared" si="1"/>
        <v>(Flame) Strength +20%</v>
      </c>
      <c r="S27" s="330" t="str">
        <f t="shared" si="2"/>
        <v>(Flame) HP +15%</v>
      </c>
    </row>
    <row r="28" spans="1:19" x14ac:dyDescent="0.2">
      <c r="A28" s="306" t="s">
        <v>572</v>
      </c>
      <c r="B28" s="261" t="s">
        <v>15019</v>
      </c>
      <c r="C28" s="261" t="s">
        <v>573</v>
      </c>
      <c r="D28" s="261" t="s">
        <v>574</v>
      </c>
      <c r="E28" s="261" t="str">
        <f t="shared" si="0"/>
        <v>Dragon Temptress</v>
      </c>
      <c r="F28" s="261" t="s">
        <v>575</v>
      </c>
      <c r="G28" s="261">
        <v>5</v>
      </c>
      <c r="H28" s="261" t="s">
        <v>260</v>
      </c>
      <c r="I28" s="261" t="s">
        <v>122</v>
      </c>
      <c r="J28" s="261" t="s">
        <v>543</v>
      </c>
      <c r="K28" s="261" t="s">
        <v>585</v>
      </c>
      <c r="L28" s="261" t="s">
        <v>132</v>
      </c>
      <c r="M28" s="261" t="s">
        <v>586</v>
      </c>
      <c r="N28" s="261" t="s">
        <v>581</v>
      </c>
      <c r="O28" s="261" t="s">
        <v>280</v>
      </c>
      <c r="P28" s="261" t="s">
        <v>6601</v>
      </c>
      <c r="Q28" s="261" t="s">
        <v>14997</v>
      </c>
      <c r="R28" s="261" t="str">
        <f t="shared" si="1"/>
        <v>(Flame) Critical Rate +15%</v>
      </c>
      <c r="S28" s="330" t="str">
        <f t="shared" si="2"/>
        <v>(Flame) Critical Damage +25%</v>
      </c>
    </row>
    <row r="29" spans="1:19" x14ac:dyDescent="0.2">
      <c r="A29" s="306" t="s">
        <v>590</v>
      </c>
      <c r="B29" s="261" t="s">
        <v>15020</v>
      </c>
      <c r="C29" s="261" t="s">
        <v>591</v>
      </c>
      <c r="D29" s="261" t="s">
        <v>592</v>
      </c>
      <c r="E29" s="261" t="str">
        <f t="shared" si="0"/>
        <v>Impassioned Blacksmith</v>
      </c>
      <c r="F29" s="261" t="s">
        <v>593</v>
      </c>
      <c r="G29" s="261">
        <v>5</v>
      </c>
      <c r="H29" s="261" t="s">
        <v>121</v>
      </c>
      <c r="I29" s="261" t="s">
        <v>122</v>
      </c>
      <c r="J29" s="261" t="s">
        <v>543</v>
      </c>
      <c r="K29" s="261" t="s">
        <v>601</v>
      </c>
      <c r="L29" s="261" t="s">
        <v>155</v>
      </c>
      <c r="M29" s="261" t="s">
        <v>602</v>
      </c>
      <c r="N29" s="261" t="s">
        <v>563</v>
      </c>
      <c r="O29" s="261" t="s">
        <v>128</v>
      </c>
      <c r="P29" s="261" t="s">
        <v>6601</v>
      </c>
      <c r="Q29" s="261" t="s">
        <v>417</v>
      </c>
      <c r="R29" s="261" t="str">
        <f t="shared" si="1"/>
        <v>(Flame) Critical Rate +15%</v>
      </c>
      <c r="S29" s="330" t="str">
        <f t="shared" si="2"/>
        <v>(Flame) Overdrive Punisher +15%</v>
      </c>
    </row>
    <row r="30" spans="1:19" x14ac:dyDescent="0.2">
      <c r="A30" s="306" t="s">
        <v>606</v>
      </c>
      <c r="B30" s="261" t="s">
        <v>15021</v>
      </c>
      <c r="C30" s="261" t="s">
        <v>607</v>
      </c>
      <c r="D30" s="261" t="s">
        <v>608</v>
      </c>
      <c r="E30" s="261" t="str">
        <f t="shared" si="0"/>
        <v>Hungry Hunter</v>
      </c>
      <c r="F30" s="261" t="s">
        <v>609</v>
      </c>
      <c r="G30" s="261">
        <v>4</v>
      </c>
      <c r="H30" s="261" t="s">
        <v>241</v>
      </c>
      <c r="I30" s="261" t="s">
        <v>122</v>
      </c>
      <c r="J30" s="261" t="s">
        <v>543</v>
      </c>
      <c r="K30" s="261" t="s">
        <v>618</v>
      </c>
      <c r="L30" s="261" t="s">
        <v>155</v>
      </c>
      <c r="M30" s="261" t="s">
        <v>619</v>
      </c>
      <c r="N30" s="261" t="s">
        <v>563</v>
      </c>
      <c r="O30" s="261" t="s">
        <v>128</v>
      </c>
      <c r="P30" s="261" t="s">
        <v>14997</v>
      </c>
      <c r="Q30" s="261" t="s">
        <v>618</v>
      </c>
      <c r="R30" s="261" t="str">
        <f t="shared" si="1"/>
        <v>(Flame) Critical Damage +25%</v>
      </c>
      <c r="S30" s="330" t="str">
        <f t="shared" si="2"/>
        <v>(Flame) Defense +20%</v>
      </c>
    </row>
    <row r="31" spans="1:19" x14ac:dyDescent="0.2">
      <c r="A31" s="306" t="s">
        <v>623</v>
      </c>
      <c r="B31" s="261" t="s">
        <v>15022</v>
      </c>
      <c r="C31" s="261" t="s">
        <v>624</v>
      </c>
      <c r="D31" s="261" t="s">
        <v>625</v>
      </c>
      <c r="E31" s="261" t="str">
        <f t="shared" si="0"/>
        <v>Red-Haired Warrior</v>
      </c>
      <c r="F31" s="261" t="s">
        <v>626</v>
      </c>
      <c r="G31" s="261">
        <v>4</v>
      </c>
      <c r="H31" s="261" t="s">
        <v>121</v>
      </c>
      <c r="I31" s="261" t="s">
        <v>122</v>
      </c>
      <c r="J31" s="261" t="s">
        <v>543</v>
      </c>
      <c r="K31" s="261" t="s">
        <v>635</v>
      </c>
      <c r="L31" s="261" t="s">
        <v>132</v>
      </c>
      <c r="M31" s="261" t="s">
        <v>6911</v>
      </c>
      <c r="N31" s="261" t="s">
        <v>563</v>
      </c>
      <c r="O31" s="261" t="s">
        <v>128</v>
      </c>
      <c r="P31" s="261" t="s">
        <v>14997</v>
      </c>
      <c r="Q31" s="261" t="s">
        <v>336</v>
      </c>
      <c r="R31" s="261" t="str">
        <f t="shared" si="1"/>
        <v>(Flame) Critical Damage +25%</v>
      </c>
      <c r="S31" s="330" t="str">
        <f t="shared" si="2"/>
        <v>(Flame) Force Strike +50%</v>
      </c>
    </row>
    <row r="32" spans="1:19" x14ac:dyDescent="0.2">
      <c r="A32" s="306" t="s">
        <v>638</v>
      </c>
      <c r="B32" s="261" t="s">
        <v>15023</v>
      </c>
      <c r="C32" s="261" t="s">
        <v>639</v>
      </c>
      <c r="D32" s="261" t="s">
        <v>640</v>
      </c>
      <c r="E32" s="261" t="str">
        <f t="shared" si="0"/>
        <v>Dancing Panther</v>
      </c>
      <c r="F32" s="261" t="s">
        <v>641</v>
      </c>
      <c r="G32" s="261">
        <v>5</v>
      </c>
      <c r="H32" s="261" t="s">
        <v>121</v>
      </c>
      <c r="I32" s="261" t="s">
        <v>122</v>
      </c>
      <c r="J32" s="261" t="s">
        <v>645</v>
      </c>
      <c r="K32" s="261" t="s">
        <v>653</v>
      </c>
      <c r="L32" s="261" t="s">
        <v>155</v>
      </c>
      <c r="M32" s="261" t="s">
        <v>652</v>
      </c>
      <c r="N32" s="261" t="s">
        <v>648</v>
      </c>
      <c r="O32" s="261" t="s">
        <v>650</v>
      </c>
      <c r="P32" s="261" t="s">
        <v>6601</v>
      </c>
      <c r="Q32" s="261" t="s">
        <v>6552</v>
      </c>
      <c r="R32" s="261" t="str">
        <f t="shared" si="1"/>
        <v>(Flame) Critical Rate +15%</v>
      </c>
      <c r="S32" s="330" t="str">
        <f t="shared" si="2"/>
        <v>(Flame) Attack Rate +20%</v>
      </c>
    </row>
    <row r="33" spans="1:19" x14ac:dyDescent="0.2">
      <c r="A33" s="306" t="s">
        <v>656</v>
      </c>
      <c r="B33" s="261" t="s">
        <v>15024</v>
      </c>
      <c r="C33" s="261" t="s">
        <v>657</v>
      </c>
      <c r="D33" s="261" t="s">
        <v>658</v>
      </c>
      <c r="E33" s="261" t="str">
        <f t="shared" si="0"/>
        <v>Crimson Paladyn</v>
      </c>
      <c r="F33" s="261" t="s">
        <v>659</v>
      </c>
      <c r="G33" s="261">
        <v>5</v>
      </c>
      <c r="H33" s="261" t="s">
        <v>260</v>
      </c>
      <c r="I33" s="261" t="s">
        <v>122</v>
      </c>
      <c r="J33" s="261" t="s">
        <v>645</v>
      </c>
      <c r="K33" s="261" t="s">
        <v>669</v>
      </c>
      <c r="L33" s="261" t="s">
        <v>155</v>
      </c>
      <c r="M33" s="261" t="s">
        <v>670</v>
      </c>
      <c r="N33" s="261" t="s">
        <v>665</v>
      </c>
      <c r="O33" s="261" t="s">
        <v>245</v>
      </c>
      <c r="P33" s="261" t="s">
        <v>316</v>
      </c>
      <c r="Q33" s="261" t="s">
        <v>618</v>
      </c>
      <c r="R33" s="261" t="str">
        <f t="shared" si="1"/>
        <v>(Flame) Skill Haste +10%</v>
      </c>
      <c r="S33" s="330" t="str">
        <f t="shared" si="2"/>
        <v>(Flame) Defense +20%</v>
      </c>
    </row>
    <row r="34" spans="1:19" x14ac:dyDescent="0.2">
      <c r="A34" s="306" t="s">
        <v>673</v>
      </c>
      <c r="B34" s="261" t="s">
        <v>15025</v>
      </c>
      <c r="C34" s="261" t="s">
        <v>674</v>
      </c>
      <c r="D34" s="261" t="s">
        <v>675</v>
      </c>
      <c r="E34" s="261" t="str">
        <f t="shared" si="0"/>
        <v>Selfie Addict</v>
      </c>
      <c r="F34" s="261" t="s">
        <v>676</v>
      </c>
      <c r="G34" s="261">
        <v>5</v>
      </c>
      <c r="H34" s="261" t="s">
        <v>121</v>
      </c>
      <c r="I34" s="261" t="s">
        <v>122</v>
      </c>
      <c r="J34" s="261" t="s">
        <v>645</v>
      </c>
      <c r="K34" s="261" t="s">
        <v>686</v>
      </c>
      <c r="L34" s="261" t="s">
        <v>132</v>
      </c>
      <c r="M34" s="261" t="s">
        <v>3343</v>
      </c>
      <c r="N34" s="261" t="s">
        <v>682</v>
      </c>
      <c r="O34" s="261" t="s">
        <v>128</v>
      </c>
      <c r="P34" s="261" t="s">
        <v>316</v>
      </c>
      <c r="Q34" s="261" t="s">
        <v>682</v>
      </c>
      <c r="R34" s="261" t="str">
        <f t="shared" si="1"/>
        <v>(Flame) Skill Haste +10%</v>
      </c>
      <c r="S34" s="330" t="str">
        <f t="shared" si="2"/>
        <v>(Flame) HP +15%</v>
      </c>
    </row>
    <row r="35" spans="1:19" x14ac:dyDescent="0.2">
      <c r="A35" s="306" t="s">
        <v>691</v>
      </c>
      <c r="B35" s="261" t="s">
        <v>15026</v>
      </c>
      <c r="C35" s="261" t="s">
        <v>692</v>
      </c>
      <c r="D35" s="261" t="s">
        <v>693</v>
      </c>
      <c r="E35" s="261" t="str">
        <f t="shared" si="0"/>
        <v>Lovestruck Dragon</v>
      </c>
      <c r="F35" s="261" t="s">
        <v>694</v>
      </c>
      <c r="G35" s="261">
        <v>5</v>
      </c>
      <c r="H35" s="261" t="s">
        <v>121</v>
      </c>
      <c r="I35" s="261" t="s">
        <v>122</v>
      </c>
      <c r="J35" s="261" t="s">
        <v>645</v>
      </c>
      <c r="K35" s="261" t="s">
        <v>704</v>
      </c>
      <c r="L35" s="261" t="s">
        <v>705</v>
      </c>
      <c r="M35" s="261" t="s">
        <v>703</v>
      </c>
      <c r="N35" s="261" t="s">
        <v>682</v>
      </c>
      <c r="O35" s="261" t="s">
        <v>6634</v>
      </c>
      <c r="P35" s="261" t="s">
        <v>2620</v>
      </c>
      <c r="Q35" s="261" t="s">
        <v>126</v>
      </c>
      <c r="R35" s="261" t="str">
        <f t="shared" si="1"/>
        <v>(Flame) 15 Hits = Overdamage</v>
      </c>
      <c r="S35" s="330" t="str">
        <f t="shared" si="2"/>
        <v>(Flame) Dragon Haste +15%</v>
      </c>
    </row>
    <row r="36" spans="1:19" x14ac:dyDescent="0.2">
      <c r="A36" s="306" t="s">
        <v>709</v>
      </c>
      <c r="B36" s="261" t="s">
        <v>15027</v>
      </c>
      <c r="C36" s="261" t="s">
        <v>710</v>
      </c>
      <c r="D36" s="261" t="s">
        <v>711</v>
      </c>
      <c r="E36" s="261" t="str">
        <f t="shared" si="0"/>
        <v>Encouraging Cheerleader</v>
      </c>
      <c r="F36" s="261" t="s">
        <v>712</v>
      </c>
      <c r="G36" s="261">
        <v>4</v>
      </c>
      <c r="H36" s="261" t="s">
        <v>260</v>
      </c>
      <c r="I36" s="261" t="s">
        <v>122</v>
      </c>
      <c r="J36" s="261" t="s">
        <v>645</v>
      </c>
      <c r="K36" s="261" t="s">
        <v>720</v>
      </c>
      <c r="L36" s="261" t="s">
        <v>155</v>
      </c>
      <c r="M36" s="261" t="s">
        <v>601</v>
      </c>
      <c r="N36" s="261" t="s">
        <v>682</v>
      </c>
      <c r="O36" s="261" t="s">
        <v>128</v>
      </c>
      <c r="P36" s="261" t="s">
        <v>6601</v>
      </c>
      <c r="Q36" s="261" t="s">
        <v>2974</v>
      </c>
      <c r="R36" s="261" t="str">
        <f t="shared" si="1"/>
        <v>(Flame) Critical Rate +15%</v>
      </c>
      <c r="S36" s="330" t="str">
        <f t="shared" si="2"/>
        <v>(Flame) Elemental Res +15%</v>
      </c>
    </row>
    <row r="37" spans="1:19" x14ac:dyDescent="0.2">
      <c r="A37" s="306" t="s">
        <v>724</v>
      </c>
      <c r="B37" s="261" t="s">
        <v>15028</v>
      </c>
      <c r="C37" s="261" t="s">
        <v>725</v>
      </c>
      <c r="D37" s="261" t="s">
        <v>726</v>
      </c>
      <c r="E37" s="261" t="str">
        <f t="shared" si="0"/>
        <v>Erudite Sealer</v>
      </c>
      <c r="F37" s="261" t="s">
        <v>727</v>
      </c>
      <c r="G37" s="261">
        <v>4</v>
      </c>
      <c r="H37" s="261" t="s">
        <v>260</v>
      </c>
      <c r="I37" s="261" t="s">
        <v>122</v>
      </c>
      <c r="J37" s="261" t="s">
        <v>645</v>
      </c>
      <c r="K37" s="261" t="s">
        <v>8370</v>
      </c>
      <c r="L37" s="261" t="s">
        <v>132</v>
      </c>
      <c r="M37" s="261" t="s">
        <v>735</v>
      </c>
      <c r="N37" s="261" t="s">
        <v>682</v>
      </c>
      <c r="O37" s="261" t="s">
        <v>128</v>
      </c>
      <c r="P37" s="261" t="s">
        <v>6601</v>
      </c>
      <c r="Q37" s="261" t="s">
        <v>7129</v>
      </c>
      <c r="R37" s="261" t="str">
        <f t="shared" si="1"/>
        <v>(Flame) Critical Rate +15%</v>
      </c>
      <c r="S37" s="330" t="str">
        <f t="shared" si="2"/>
        <v>(Flame) Combo Time +2</v>
      </c>
    </row>
    <row r="38" spans="1:19" x14ac:dyDescent="0.2">
      <c r="A38" s="306" t="s">
        <v>738</v>
      </c>
      <c r="B38" s="261" t="s">
        <v>15029</v>
      </c>
      <c r="C38" s="261" t="s">
        <v>739</v>
      </c>
      <c r="D38" s="261" t="s">
        <v>740</v>
      </c>
      <c r="E38" s="261" t="str">
        <f t="shared" si="0"/>
        <v>Captain Craven</v>
      </c>
      <c r="F38" s="261" t="s">
        <v>741</v>
      </c>
      <c r="G38" s="261">
        <v>3</v>
      </c>
      <c r="H38" s="261" t="s">
        <v>241</v>
      </c>
      <c r="I38" s="261" t="s">
        <v>122</v>
      </c>
      <c r="J38" s="261" t="s">
        <v>645</v>
      </c>
      <c r="K38" s="261" t="s">
        <v>618</v>
      </c>
      <c r="L38" s="261" t="s">
        <v>132</v>
      </c>
      <c r="M38" s="261" t="s">
        <v>749</v>
      </c>
      <c r="N38" s="261" t="s">
        <v>682</v>
      </c>
      <c r="O38" s="261" t="s">
        <v>128</v>
      </c>
      <c r="P38" s="261" t="s">
        <v>618</v>
      </c>
      <c r="Q38" s="261" t="s">
        <v>2974</v>
      </c>
      <c r="R38" s="261" t="str">
        <f t="shared" si="1"/>
        <v>(Flame) Defense +20%</v>
      </c>
      <c r="S38" s="330" t="str">
        <f t="shared" si="2"/>
        <v>(Flame) Elemental Res +15%</v>
      </c>
    </row>
    <row r="39" spans="1:19" x14ac:dyDescent="0.2">
      <c r="A39" s="306" t="s">
        <v>752</v>
      </c>
      <c r="B39" s="261" t="s">
        <v>15030</v>
      </c>
      <c r="C39" s="261" t="s">
        <v>753</v>
      </c>
      <c r="D39" s="261" t="s">
        <v>754</v>
      </c>
      <c r="E39" s="261" t="str">
        <f t="shared" si="0"/>
        <v>Shimmering Guardian</v>
      </c>
      <c r="F39" s="261" t="s">
        <v>755</v>
      </c>
      <c r="G39" s="261">
        <v>5</v>
      </c>
      <c r="H39" s="261" t="s">
        <v>260</v>
      </c>
      <c r="I39" s="261" t="s">
        <v>122</v>
      </c>
      <c r="J39" s="261" t="s">
        <v>759</v>
      </c>
      <c r="K39" s="261" t="s">
        <v>765</v>
      </c>
      <c r="L39" s="261" t="s">
        <v>155</v>
      </c>
      <c r="M39" s="261" t="s">
        <v>764</v>
      </c>
      <c r="N39" s="261" t="s">
        <v>762</v>
      </c>
      <c r="O39" s="261" t="s">
        <v>353</v>
      </c>
      <c r="P39" s="261" t="s">
        <v>417</v>
      </c>
      <c r="Q39" s="261" t="s">
        <v>2974</v>
      </c>
      <c r="R39" s="261" t="str">
        <f t="shared" si="1"/>
        <v>(Flame) Overdrive Punisher +15%</v>
      </c>
      <c r="S39" s="330" t="str">
        <f t="shared" si="2"/>
        <v>(Flame) Elemental Res +15%</v>
      </c>
    </row>
    <row r="40" spans="1:19" x14ac:dyDescent="0.2">
      <c r="A40" s="306" t="s">
        <v>769</v>
      </c>
      <c r="B40" s="261" t="s">
        <v>15031</v>
      </c>
      <c r="C40" s="261" t="s">
        <v>770</v>
      </c>
      <c r="D40" s="261" t="s">
        <v>771</v>
      </c>
      <c r="E40" s="261" t="str">
        <f t="shared" si="0"/>
        <v>Obvious Admirer</v>
      </c>
      <c r="F40" s="261" t="s">
        <v>772</v>
      </c>
      <c r="G40" s="261">
        <v>5</v>
      </c>
      <c r="H40" s="261" t="s">
        <v>121</v>
      </c>
      <c r="I40" s="261" t="s">
        <v>122</v>
      </c>
      <c r="J40" s="261" t="s">
        <v>759</v>
      </c>
      <c r="K40" s="261" t="s">
        <v>6911</v>
      </c>
      <c r="L40" s="261" t="s">
        <v>132</v>
      </c>
      <c r="M40" s="261" t="s">
        <v>782</v>
      </c>
      <c r="N40" s="261" t="s">
        <v>762</v>
      </c>
      <c r="O40" s="261" t="s">
        <v>779</v>
      </c>
      <c r="P40" s="261" t="s">
        <v>6601</v>
      </c>
      <c r="Q40" s="261" t="s">
        <v>682</v>
      </c>
      <c r="R40" s="261" t="str">
        <f t="shared" si="1"/>
        <v>(Flame) Critical Rate +15%</v>
      </c>
      <c r="S40" s="330" t="str">
        <f t="shared" si="2"/>
        <v>(Flame) HP +15%</v>
      </c>
    </row>
    <row r="41" spans="1:19" x14ac:dyDescent="0.2">
      <c r="A41" s="306" t="s">
        <v>785</v>
      </c>
      <c r="B41" s="261" t="s">
        <v>15032</v>
      </c>
      <c r="C41" s="261" t="s">
        <v>786</v>
      </c>
      <c r="D41" s="261" t="s">
        <v>787</v>
      </c>
      <c r="E41" s="261" t="str">
        <f t="shared" si="0"/>
        <v>The Crimson Star</v>
      </c>
      <c r="F41" s="261" t="s">
        <v>788</v>
      </c>
      <c r="G41" s="261">
        <v>5</v>
      </c>
      <c r="H41" s="261" t="s">
        <v>260</v>
      </c>
      <c r="I41" s="261" t="s">
        <v>122</v>
      </c>
      <c r="J41" s="261" t="s">
        <v>759</v>
      </c>
      <c r="K41" s="261" t="s">
        <v>798</v>
      </c>
      <c r="L41" s="261" t="s">
        <v>437</v>
      </c>
      <c r="M41" s="261" t="s">
        <v>788</v>
      </c>
      <c r="N41" s="261" t="s">
        <v>762</v>
      </c>
      <c r="O41" s="261" t="s">
        <v>795</v>
      </c>
      <c r="P41" s="261" t="s">
        <v>2620</v>
      </c>
      <c r="Q41" s="261" t="s">
        <v>6601</v>
      </c>
      <c r="R41" s="261" t="str">
        <f t="shared" si="1"/>
        <v>(Flame) 15 Hits = Overdamage</v>
      </c>
      <c r="S41" s="330" t="str">
        <f t="shared" si="2"/>
        <v>(Flame) Critical Rate +15%</v>
      </c>
    </row>
    <row r="42" spans="1:19" x14ac:dyDescent="0.2">
      <c r="A42" s="306" t="s">
        <v>802</v>
      </c>
      <c r="B42" s="261" t="s">
        <v>15033</v>
      </c>
      <c r="C42" s="261" t="s">
        <v>803</v>
      </c>
      <c r="D42" s="261" t="s">
        <v>804</v>
      </c>
      <c r="E42" s="261" t="str">
        <f t="shared" si="0"/>
        <v>Stunning Sweetheart</v>
      </c>
      <c r="F42" s="261" t="s">
        <v>805</v>
      </c>
      <c r="G42" s="261">
        <v>4</v>
      </c>
      <c r="H42" s="261" t="s">
        <v>260</v>
      </c>
      <c r="I42" s="261" t="s">
        <v>122</v>
      </c>
      <c r="J42" s="261" t="s">
        <v>759</v>
      </c>
      <c r="K42" s="261" t="s">
        <v>814</v>
      </c>
      <c r="L42" s="261" t="s">
        <v>132</v>
      </c>
      <c r="M42" s="261" t="s">
        <v>485</v>
      </c>
      <c r="N42" s="261" t="s">
        <v>762</v>
      </c>
      <c r="O42" s="261" t="s">
        <v>150</v>
      </c>
      <c r="P42" s="261" t="s">
        <v>417</v>
      </c>
      <c r="Q42" s="261" t="s">
        <v>909</v>
      </c>
      <c r="R42" s="261" t="str">
        <f t="shared" si="1"/>
        <v>(Flame) Overdrive Punisher +15%</v>
      </c>
      <c r="S42" s="330" t="str">
        <f t="shared" si="2"/>
        <v>(Flame) Broken Punisher +30%</v>
      </c>
    </row>
    <row r="43" spans="1:19" x14ac:dyDescent="0.2">
      <c r="A43" s="306" t="s">
        <v>817</v>
      </c>
      <c r="B43" s="261" t="s">
        <v>15034</v>
      </c>
      <c r="C43" s="261" t="s">
        <v>818</v>
      </c>
      <c r="D43" s="261" t="s">
        <v>819</v>
      </c>
      <c r="E43" s="261" t="str">
        <f t="shared" si="0"/>
        <v>Fire's Fletcher</v>
      </c>
      <c r="F43" s="261" t="s">
        <v>820</v>
      </c>
      <c r="G43" s="261">
        <v>3</v>
      </c>
      <c r="H43" s="261" t="s">
        <v>121</v>
      </c>
      <c r="I43" s="261" t="s">
        <v>122</v>
      </c>
      <c r="J43" s="261" t="s">
        <v>759</v>
      </c>
      <c r="K43" s="261" t="s">
        <v>828</v>
      </c>
      <c r="L43" s="261" t="s">
        <v>132</v>
      </c>
      <c r="M43" s="261" t="s">
        <v>829</v>
      </c>
      <c r="N43" s="261" t="s">
        <v>762</v>
      </c>
      <c r="O43" s="261" t="s">
        <v>826</v>
      </c>
      <c r="P43" s="261" t="s">
        <v>682</v>
      </c>
      <c r="Q43" s="261" t="s">
        <v>15035</v>
      </c>
      <c r="R43" s="261" t="str">
        <f t="shared" si="1"/>
        <v>(Flame) HP +15%</v>
      </c>
      <c r="S43" s="330" t="str">
        <f t="shared" si="2"/>
        <v>(Flame) HP 70% = Shield +40%</v>
      </c>
    </row>
    <row r="44" spans="1:19" x14ac:dyDescent="0.2">
      <c r="A44" s="306" t="s">
        <v>832</v>
      </c>
      <c r="B44" s="261" t="s">
        <v>15036</v>
      </c>
      <c r="C44" s="261" t="s">
        <v>833</v>
      </c>
      <c r="D44" s="261" t="s">
        <v>834</v>
      </c>
      <c r="E44" s="261" t="str">
        <f t="shared" si="0"/>
        <v>Festival Belle</v>
      </c>
      <c r="F44" s="261" t="s">
        <v>835</v>
      </c>
      <c r="G44" s="261">
        <v>5</v>
      </c>
      <c r="H44" s="261" t="s">
        <v>260</v>
      </c>
      <c r="I44" s="261" t="s">
        <v>122</v>
      </c>
      <c r="J44" s="261" t="s">
        <v>839</v>
      </c>
      <c r="K44" s="261" t="s">
        <v>845</v>
      </c>
      <c r="L44" s="261" t="s">
        <v>155</v>
      </c>
      <c r="M44" s="261" t="s">
        <v>846</v>
      </c>
      <c r="N44" s="261" t="s">
        <v>842</v>
      </c>
      <c r="O44" s="261" t="s">
        <v>150</v>
      </c>
      <c r="P44" s="261" t="s">
        <v>6893</v>
      </c>
      <c r="Q44" s="261" t="s">
        <v>618</v>
      </c>
      <c r="R44" s="261" t="str">
        <f t="shared" si="1"/>
        <v>(Flame) Skill Damage +40%</v>
      </c>
      <c r="S44" s="330" t="str">
        <f t="shared" si="2"/>
        <v>(Flame) Defense +20%</v>
      </c>
    </row>
    <row r="45" spans="1:19" x14ac:dyDescent="0.2">
      <c r="A45" s="306" t="s">
        <v>851</v>
      </c>
      <c r="B45" s="261" t="s">
        <v>15037</v>
      </c>
      <c r="C45" s="261" t="s">
        <v>852</v>
      </c>
      <c r="D45" s="261" t="s">
        <v>853</v>
      </c>
      <c r="E45" s="261" t="str">
        <f t="shared" si="0"/>
        <v>Leader of the Ox Clan</v>
      </c>
      <c r="F45" s="261" t="s">
        <v>854</v>
      </c>
      <c r="G45" s="261">
        <v>5</v>
      </c>
      <c r="H45" s="261" t="s">
        <v>121</v>
      </c>
      <c r="I45" s="261" t="s">
        <v>122</v>
      </c>
      <c r="J45" s="261" t="s">
        <v>839</v>
      </c>
      <c r="K45" s="261" t="s">
        <v>6766</v>
      </c>
      <c r="L45" s="261" t="s">
        <v>132</v>
      </c>
      <c r="M45" s="261" t="s">
        <v>865</v>
      </c>
      <c r="N45" s="261" t="s">
        <v>860</v>
      </c>
      <c r="O45" s="261" t="s">
        <v>862</v>
      </c>
      <c r="P45" s="261" t="s">
        <v>2620</v>
      </c>
      <c r="Q45" s="261" t="s">
        <v>14997</v>
      </c>
      <c r="R45" s="261" t="str">
        <f t="shared" si="1"/>
        <v>(Flame) 15 Hits = Overdamage</v>
      </c>
      <c r="S45" s="330" t="str">
        <f t="shared" si="2"/>
        <v>(Flame) Critical Damage +25%</v>
      </c>
    </row>
    <row r="46" spans="1:19" x14ac:dyDescent="0.2">
      <c r="A46" s="306" t="s">
        <v>868</v>
      </c>
      <c r="B46" s="261" t="s">
        <v>15038</v>
      </c>
      <c r="C46" s="261" t="s">
        <v>869</v>
      </c>
      <c r="D46" s="261" t="s">
        <v>870</v>
      </c>
      <c r="E46" s="261" t="str">
        <f t="shared" si="0"/>
        <v>Yearning Queen</v>
      </c>
      <c r="F46" s="261" t="s">
        <v>871</v>
      </c>
      <c r="G46" s="261">
        <v>5</v>
      </c>
      <c r="H46" s="261" t="s">
        <v>121</v>
      </c>
      <c r="I46" s="261" t="s">
        <v>122</v>
      </c>
      <c r="J46" s="261" t="s">
        <v>839</v>
      </c>
      <c r="K46" s="261" t="s">
        <v>879</v>
      </c>
      <c r="L46" s="261" t="s">
        <v>155</v>
      </c>
      <c r="M46" s="261" t="s">
        <v>880</v>
      </c>
      <c r="N46" s="261" t="s">
        <v>842</v>
      </c>
      <c r="O46" s="261" t="s">
        <v>150</v>
      </c>
      <c r="P46" s="261" t="s">
        <v>14997</v>
      </c>
      <c r="Q46" s="261" t="s">
        <v>682</v>
      </c>
      <c r="R46" s="261" t="str">
        <f t="shared" si="1"/>
        <v>(Flame) Critical Damage +25%</v>
      </c>
      <c r="S46" s="330" t="str">
        <f t="shared" si="2"/>
        <v>(Flame) HP +15%</v>
      </c>
    </row>
    <row r="47" spans="1:19" x14ac:dyDescent="0.2">
      <c r="A47" s="306" t="s">
        <v>884</v>
      </c>
      <c r="B47" s="261" t="s">
        <v>15039</v>
      </c>
      <c r="C47" s="261" t="s">
        <v>885</v>
      </c>
      <c r="D47" s="261" t="s">
        <v>886</v>
      </c>
      <c r="E47" s="261" t="str">
        <f t="shared" si="0"/>
        <v>Kindly Android</v>
      </c>
      <c r="F47" s="261" t="s">
        <v>887</v>
      </c>
      <c r="G47" s="261">
        <v>5</v>
      </c>
      <c r="H47" s="261" t="s">
        <v>121</v>
      </c>
      <c r="I47" s="261" t="s">
        <v>122</v>
      </c>
      <c r="J47" s="261" t="s">
        <v>839</v>
      </c>
      <c r="K47" s="261" t="s">
        <v>895</v>
      </c>
      <c r="L47" s="261" t="s">
        <v>132</v>
      </c>
      <c r="M47" s="261" t="s">
        <v>896</v>
      </c>
      <c r="N47" s="261" t="s">
        <v>860</v>
      </c>
      <c r="O47" s="261" t="s">
        <v>150</v>
      </c>
      <c r="P47" s="261" t="s">
        <v>6552</v>
      </c>
      <c r="Q47" s="261" t="s">
        <v>909</v>
      </c>
      <c r="R47" s="261" t="str">
        <f t="shared" si="1"/>
        <v>(Flame) Attack Rate +20%</v>
      </c>
      <c r="S47" s="330" t="str">
        <f t="shared" si="2"/>
        <v>(Flame) Broken Punisher +30%</v>
      </c>
    </row>
    <row r="48" spans="1:19" x14ac:dyDescent="0.2">
      <c r="A48" s="306" t="s">
        <v>899</v>
      </c>
      <c r="B48" s="261" t="s">
        <v>15040</v>
      </c>
      <c r="C48" s="261" t="s">
        <v>900</v>
      </c>
      <c r="D48" s="261" t="s">
        <v>901</v>
      </c>
      <c r="E48" s="261" t="str">
        <f t="shared" si="0"/>
        <v>Outgoing Student</v>
      </c>
      <c r="F48" s="261" t="s">
        <v>902</v>
      </c>
      <c r="G48" s="261">
        <v>5</v>
      </c>
      <c r="H48" s="261" t="s">
        <v>121</v>
      </c>
      <c r="I48" s="261" t="s">
        <v>122</v>
      </c>
      <c r="J48" s="261" t="s">
        <v>839</v>
      </c>
      <c r="K48" s="261" t="s">
        <v>910</v>
      </c>
      <c r="L48" s="261" t="s">
        <v>132</v>
      </c>
      <c r="M48" s="261" t="s">
        <v>485</v>
      </c>
      <c r="N48" s="261" t="s">
        <v>842</v>
      </c>
      <c r="O48" s="261" t="s">
        <v>150</v>
      </c>
      <c r="P48" s="261" t="s">
        <v>6911</v>
      </c>
      <c r="Q48" s="261" t="s">
        <v>909</v>
      </c>
      <c r="R48" s="261" t="str">
        <f t="shared" si="1"/>
        <v>(Flame) Strength +20%</v>
      </c>
      <c r="S48" s="330" t="str">
        <f t="shared" si="2"/>
        <v>(Flame) Broken Punisher +30%</v>
      </c>
    </row>
    <row r="49" spans="1:19" x14ac:dyDescent="0.2">
      <c r="A49" s="306" t="s">
        <v>914</v>
      </c>
      <c r="B49" s="261" t="s">
        <v>15041</v>
      </c>
      <c r="C49" s="261" t="s">
        <v>86</v>
      </c>
      <c r="D49" s="261" t="s">
        <v>915</v>
      </c>
      <c r="E49" s="261" t="str">
        <f t="shared" si="0"/>
        <v>Intrepid Scholar</v>
      </c>
      <c r="F49" s="261" t="s">
        <v>916</v>
      </c>
      <c r="G49" s="261">
        <v>4</v>
      </c>
      <c r="H49" s="261" t="s">
        <v>260</v>
      </c>
      <c r="I49" s="261" t="s">
        <v>122</v>
      </c>
      <c r="J49" s="261" t="s">
        <v>839</v>
      </c>
      <c r="K49" s="261" t="s">
        <v>6911</v>
      </c>
      <c r="L49" s="261" t="s">
        <v>155</v>
      </c>
      <c r="M49" s="261" t="s">
        <v>925</v>
      </c>
      <c r="N49" s="261" t="s">
        <v>842</v>
      </c>
      <c r="O49" s="261" t="s">
        <v>150</v>
      </c>
      <c r="P49" s="261" t="s">
        <v>316</v>
      </c>
      <c r="Q49" s="261" t="s">
        <v>2974</v>
      </c>
      <c r="R49" s="261" t="str">
        <f t="shared" si="1"/>
        <v>(Flame) Skill Haste +10%</v>
      </c>
      <c r="S49" s="330" t="str">
        <f t="shared" si="2"/>
        <v>(Flame) Elemental Res +15%</v>
      </c>
    </row>
    <row r="50" spans="1:19" x14ac:dyDescent="0.2">
      <c r="A50" s="306" t="s">
        <v>929</v>
      </c>
      <c r="B50" s="261" t="s">
        <v>15042</v>
      </c>
      <c r="C50" s="261" t="s">
        <v>930</v>
      </c>
      <c r="D50" s="261" t="s">
        <v>931</v>
      </c>
      <c r="E50" s="261" t="str">
        <f t="shared" si="0"/>
        <v>Meandering Mage</v>
      </c>
      <c r="F50" s="261" t="s">
        <v>932</v>
      </c>
      <c r="G50" s="261">
        <v>3</v>
      </c>
      <c r="H50" s="261" t="s">
        <v>121</v>
      </c>
      <c r="I50" s="261" t="s">
        <v>122</v>
      </c>
      <c r="J50" s="261" t="s">
        <v>839</v>
      </c>
      <c r="K50" s="261" t="s">
        <v>910</v>
      </c>
      <c r="L50" s="261" t="s">
        <v>132</v>
      </c>
      <c r="M50" s="261" t="s">
        <v>939</v>
      </c>
      <c r="N50" s="261" t="s">
        <v>842</v>
      </c>
      <c r="O50" s="261" t="s">
        <v>150</v>
      </c>
      <c r="P50" s="261" t="s">
        <v>316</v>
      </c>
      <c r="Q50" s="261" t="s">
        <v>7129</v>
      </c>
      <c r="R50" s="261" t="str">
        <f t="shared" si="1"/>
        <v>(Flame) Skill Haste +10%</v>
      </c>
      <c r="S50" s="330" t="str">
        <f t="shared" si="2"/>
        <v>(Flame) Combo Time +2</v>
      </c>
    </row>
    <row r="51" spans="1:19" x14ac:dyDescent="0.2">
      <c r="A51" s="306" t="s">
        <v>942</v>
      </c>
      <c r="B51" s="261" t="s">
        <v>15043</v>
      </c>
      <c r="C51" s="261" t="s">
        <v>943</v>
      </c>
      <c r="D51" s="261" t="s">
        <v>944</v>
      </c>
      <c r="E51" s="261" t="str">
        <f t="shared" si="0"/>
        <v>Twin Wings of Freedom</v>
      </c>
      <c r="F51" s="261" t="s">
        <v>945</v>
      </c>
      <c r="G51" s="261">
        <v>5</v>
      </c>
      <c r="H51" s="261" t="s">
        <v>121</v>
      </c>
      <c r="I51" s="261" t="s">
        <v>122</v>
      </c>
      <c r="J51" s="261" t="s">
        <v>949</v>
      </c>
      <c r="K51" s="261" t="s">
        <v>953</v>
      </c>
      <c r="L51" s="261" t="s">
        <v>954</v>
      </c>
      <c r="M51" s="261" t="s">
        <v>955</v>
      </c>
      <c r="N51" s="261" t="s">
        <v>952</v>
      </c>
      <c r="O51" s="261" t="s">
        <v>862</v>
      </c>
      <c r="P51" s="261" t="s">
        <v>6911</v>
      </c>
      <c r="Q51" s="261" t="s">
        <v>6893</v>
      </c>
      <c r="R51" s="261" t="str">
        <f t="shared" si="1"/>
        <v>(Flame) Strength +20%</v>
      </c>
      <c r="S51" s="330" t="str">
        <f t="shared" si="2"/>
        <v>(Flame) Skill Damage +40%</v>
      </c>
    </row>
    <row r="52" spans="1:19" x14ac:dyDescent="0.2">
      <c r="A52" s="306" t="s">
        <v>960</v>
      </c>
      <c r="B52" s="261" t="s">
        <v>15044</v>
      </c>
      <c r="C52" s="261" t="s">
        <v>961</v>
      </c>
      <c r="D52" s="261" t="s">
        <v>962</v>
      </c>
      <c r="E52" s="261" t="str">
        <f t="shared" si="0"/>
        <v>Outfoxed Fox</v>
      </c>
      <c r="F52" s="261" t="s">
        <v>963</v>
      </c>
      <c r="G52" s="261">
        <v>5</v>
      </c>
      <c r="H52" s="261" t="s">
        <v>967</v>
      </c>
      <c r="I52" s="261" t="s">
        <v>122</v>
      </c>
      <c r="J52" s="261" t="s">
        <v>949</v>
      </c>
      <c r="K52" s="261" t="s">
        <v>618</v>
      </c>
      <c r="L52" s="261" t="s">
        <v>132</v>
      </c>
      <c r="M52" s="261" t="s">
        <v>6911</v>
      </c>
      <c r="N52" s="261" t="s">
        <v>970</v>
      </c>
      <c r="O52" s="261" t="s">
        <v>353</v>
      </c>
      <c r="P52" s="261" t="s">
        <v>6601</v>
      </c>
      <c r="Q52" s="261" t="s">
        <v>316</v>
      </c>
      <c r="R52" s="261" t="str">
        <f t="shared" si="1"/>
        <v>(Flame) Critical Rate +15%</v>
      </c>
      <c r="S52" s="330" t="str">
        <f t="shared" si="2"/>
        <v>(Flame) Skill Haste +10%</v>
      </c>
    </row>
    <row r="53" spans="1:19" x14ac:dyDescent="0.2">
      <c r="A53" s="306" t="s">
        <v>977</v>
      </c>
      <c r="B53" s="261" t="s">
        <v>15045</v>
      </c>
      <c r="C53" s="261" t="s">
        <v>978</v>
      </c>
      <c r="D53" s="261" t="s">
        <v>979</v>
      </c>
      <c r="E53" s="261" t="str">
        <f t="shared" si="0"/>
        <v>Summer Sorceress</v>
      </c>
      <c r="F53" s="261" t="s">
        <v>980</v>
      </c>
      <c r="G53" s="261">
        <v>5</v>
      </c>
      <c r="H53" s="261" t="s">
        <v>967</v>
      </c>
      <c r="I53" s="261" t="s">
        <v>122</v>
      </c>
      <c r="J53" s="261" t="s">
        <v>949</v>
      </c>
      <c r="K53" s="261" t="s">
        <v>988</v>
      </c>
      <c r="L53" s="261" t="s">
        <v>132</v>
      </c>
      <c r="M53" s="261" t="s">
        <v>987</v>
      </c>
      <c r="N53" s="261" t="s">
        <v>970</v>
      </c>
      <c r="O53" s="261" t="s">
        <v>128</v>
      </c>
      <c r="P53" s="261" t="s">
        <v>2620</v>
      </c>
      <c r="Q53" s="261" t="s">
        <v>618</v>
      </c>
      <c r="R53" s="261" t="str">
        <f t="shared" si="1"/>
        <v>(Flame) 15 Hits = Overdamage</v>
      </c>
      <c r="S53" s="330" t="str">
        <f t="shared" si="2"/>
        <v>(Flame) Defense +20%</v>
      </c>
    </row>
    <row r="54" spans="1:19" x14ac:dyDescent="0.2">
      <c r="A54" s="306" t="s">
        <v>991</v>
      </c>
      <c r="B54" s="261" t="s">
        <v>15046</v>
      </c>
      <c r="C54" s="261" t="s">
        <v>992</v>
      </c>
      <c r="D54" s="261" t="s">
        <v>993</v>
      </c>
      <c r="E54" s="261" t="str">
        <f t="shared" si="0"/>
        <v>Rosy Saint</v>
      </c>
      <c r="F54" s="261" t="s">
        <v>994</v>
      </c>
      <c r="G54" s="261">
        <v>5</v>
      </c>
      <c r="H54" s="261" t="s">
        <v>967</v>
      </c>
      <c r="I54" s="261" t="s">
        <v>122</v>
      </c>
      <c r="J54" s="261" t="s">
        <v>949</v>
      </c>
      <c r="K54" s="261" t="s">
        <v>1000</v>
      </c>
      <c r="L54" s="261" t="s">
        <v>132</v>
      </c>
      <c r="M54" s="261" t="s">
        <v>670</v>
      </c>
      <c r="N54" s="261" t="s">
        <v>970</v>
      </c>
      <c r="O54" s="261" t="s">
        <v>128</v>
      </c>
      <c r="P54" s="261" t="s">
        <v>682</v>
      </c>
      <c r="Q54" s="261" t="s">
        <v>618</v>
      </c>
      <c r="R54" s="261" t="str">
        <f t="shared" si="1"/>
        <v>(Flame) HP +15%</v>
      </c>
      <c r="S54" s="330" t="str">
        <f t="shared" si="2"/>
        <v>(Flame) Defense +20%</v>
      </c>
    </row>
    <row r="55" spans="1:19" x14ac:dyDescent="0.2">
      <c r="A55" s="306" t="s">
        <v>1004</v>
      </c>
      <c r="B55" s="261" t="s">
        <v>15047</v>
      </c>
      <c r="C55" s="261" t="s">
        <v>1005</v>
      </c>
      <c r="D55" s="261" t="s">
        <v>1006</v>
      </c>
      <c r="E55" s="261" t="str">
        <f t="shared" si="0"/>
        <v>Halloween Prankster</v>
      </c>
      <c r="F55" s="261" t="s">
        <v>1007</v>
      </c>
      <c r="G55" s="261">
        <v>4</v>
      </c>
      <c r="H55" s="261" t="s">
        <v>967</v>
      </c>
      <c r="I55" s="261" t="s">
        <v>122</v>
      </c>
      <c r="J55" s="261" t="s">
        <v>949</v>
      </c>
      <c r="K55" s="261" t="s">
        <v>670</v>
      </c>
      <c r="L55" s="261" t="s">
        <v>155</v>
      </c>
      <c r="M55" s="261" t="s">
        <v>1015</v>
      </c>
      <c r="N55" s="261" t="s">
        <v>970</v>
      </c>
      <c r="O55" s="261" t="s">
        <v>128</v>
      </c>
      <c r="P55" s="261" t="s">
        <v>682</v>
      </c>
      <c r="Q55" s="261" t="s">
        <v>970</v>
      </c>
      <c r="R55" s="261" t="str">
        <f t="shared" si="1"/>
        <v>(Flame) HP +15%</v>
      </c>
      <c r="S55" s="330" t="str">
        <f t="shared" si="2"/>
        <v>(Flame) Recovery Potency +20%</v>
      </c>
    </row>
    <row r="56" spans="1:19" x14ac:dyDescent="0.2">
      <c r="A56" s="306" t="s">
        <v>1019</v>
      </c>
      <c r="B56" s="261" t="s">
        <v>15048</v>
      </c>
      <c r="C56" s="261" t="s">
        <v>1020</v>
      </c>
      <c r="D56" s="261" t="s">
        <v>1021</v>
      </c>
      <c r="E56" s="261" t="str">
        <f t="shared" si="0"/>
        <v>Guiding Seer</v>
      </c>
      <c r="F56" s="261" t="s">
        <v>1022</v>
      </c>
      <c r="G56" s="261">
        <v>4</v>
      </c>
      <c r="H56" s="261" t="s">
        <v>967</v>
      </c>
      <c r="I56" s="261" t="s">
        <v>122</v>
      </c>
      <c r="J56" s="261" t="s">
        <v>949</v>
      </c>
      <c r="K56" s="261" t="s">
        <v>1030</v>
      </c>
      <c r="L56" s="261" t="s">
        <v>132</v>
      </c>
      <c r="M56" s="261" t="s">
        <v>1031</v>
      </c>
      <c r="N56" s="261" t="s">
        <v>970</v>
      </c>
      <c r="O56" s="261" t="s">
        <v>6634</v>
      </c>
      <c r="P56" s="261" t="s">
        <v>316</v>
      </c>
      <c r="Q56" s="261" t="s">
        <v>970</v>
      </c>
      <c r="R56" s="261" t="str">
        <f t="shared" si="1"/>
        <v>(Flame) Skill Haste +10%</v>
      </c>
      <c r="S56" s="330" t="str">
        <f t="shared" si="2"/>
        <v>(Flame) Recovery Potency +20%</v>
      </c>
    </row>
    <row r="57" spans="1:19" x14ac:dyDescent="0.2">
      <c r="A57" s="306" t="s">
        <v>1035</v>
      </c>
      <c r="B57" s="261" t="s">
        <v>15049</v>
      </c>
      <c r="C57" s="261" t="s">
        <v>1036</v>
      </c>
      <c r="D57" s="261" t="s">
        <v>1037</v>
      </c>
      <c r="E57" s="261" t="str">
        <f t="shared" si="0"/>
        <v>Elegant Gambler</v>
      </c>
      <c r="F57" s="261" t="s">
        <v>1038</v>
      </c>
      <c r="G57" s="261">
        <v>3</v>
      </c>
      <c r="H57" s="261" t="s">
        <v>967</v>
      </c>
      <c r="I57" s="261" t="s">
        <v>122</v>
      </c>
      <c r="J57" s="261" t="s">
        <v>949</v>
      </c>
      <c r="K57" s="261" t="s">
        <v>910</v>
      </c>
      <c r="L57" s="261" t="s">
        <v>155</v>
      </c>
      <c r="M57" s="261" t="s">
        <v>828</v>
      </c>
      <c r="N57" s="261" t="s">
        <v>970</v>
      </c>
      <c r="O57" s="261" t="s">
        <v>245</v>
      </c>
      <c r="P57" s="261" t="s">
        <v>6911</v>
      </c>
      <c r="Q57" s="261" t="s">
        <v>970</v>
      </c>
      <c r="R57" s="261" t="str">
        <f t="shared" si="1"/>
        <v>(Flame) Strength +20%</v>
      </c>
      <c r="S57" s="330" t="str">
        <f t="shared" si="2"/>
        <v>(Flame) Recovery Potency +20%</v>
      </c>
    </row>
    <row r="58" spans="1:19" x14ac:dyDescent="0.2">
      <c r="A58" s="306" t="s">
        <v>1047</v>
      </c>
      <c r="B58" s="261" t="s">
        <v>15050</v>
      </c>
      <c r="C58" s="261" t="s">
        <v>1048</v>
      </c>
      <c r="D58" s="261" t="s">
        <v>1049</v>
      </c>
      <c r="E58" s="261" t="str">
        <f t="shared" si="0"/>
        <v>Blessed Alchemist</v>
      </c>
      <c r="F58" s="261" t="s">
        <v>1050</v>
      </c>
      <c r="G58" s="261">
        <v>5</v>
      </c>
      <c r="H58" s="261" t="s">
        <v>121</v>
      </c>
      <c r="I58" s="261" t="s">
        <v>122</v>
      </c>
      <c r="J58" s="261" t="s">
        <v>1054</v>
      </c>
      <c r="K58" s="261" t="s">
        <v>1058</v>
      </c>
      <c r="L58" s="261" t="s">
        <v>132</v>
      </c>
      <c r="M58" s="261" t="s">
        <v>1059</v>
      </c>
      <c r="N58" s="261" t="s">
        <v>1057</v>
      </c>
      <c r="O58" s="261" t="s">
        <v>150</v>
      </c>
      <c r="P58" s="261" t="s">
        <v>6911</v>
      </c>
      <c r="Q58" s="261" t="s">
        <v>417</v>
      </c>
      <c r="R58" s="261" t="str">
        <f t="shared" si="1"/>
        <v>(Flame) Strength +20%</v>
      </c>
      <c r="S58" s="330" t="str">
        <f t="shared" si="2"/>
        <v>(Flame) Overdrive Punisher +15%</v>
      </c>
    </row>
    <row r="59" spans="1:19" x14ac:dyDescent="0.2">
      <c r="A59" s="306" t="s">
        <v>1063</v>
      </c>
      <c r="B59" s="261" t="s">
        <v>15051</v>
      </c>
      <c r="C59" s="261" t="s">
        <v>1064</v>
      </c>
      <c r="D59" s="261" t="s">
        <v>1065</v>
      </c>
      <c r="E59" s="261" t="str">
        <f t="shared" si="0"/>
        <v>The Wing of Righteousness</v>
      </c>
      <c r="F59" s="261" t="s">
        <v>1066</v>
      </c>
      <c r="G59" s="261">
        <v>5</v>
      </c>
      <c r="H59" s="261" t="s">
        <v>121</v>
      </c>
      <c r="I59" s="261" t="s">
        <v>122</v>
      </c>
      <c r="J59" s="261" t="s">
        <v>1054</v>
      </c>
      <c r="K59" s="261" t="s">
        <v>1074</v>
      </c>
      <c r="L59" s="261" t="s">
        <v>155</v>
      </c>
      <c r="M59" s="261" t="s">
        <v>1075</v>
      </c>
      <c r="N59" s="261" t="s">
        <v>1057</v>
      </c>
      <c r="O59" s="261" t="s">
        <v>150</v>
      </c>
      <c r="P59" s="261" t="s">
        <v>2620</v>
      </c>
      <c r="Q59" s="261" t="s">
        <v>417</v>
      </c>
      <c r="R59" s="261" t="str">
        <f t="shared" si="1"/>
        <v>(Flame) 15 Hits = Overdamage</v>
      </c>
      <c r="S59" s="330" t="str">
        <f t="shared" si="2"/>
        <v>(Flame) Overdrive Punisher +15%</v>
      </c>
    </row>
    <row r="60" spans="1:19" x14ac:dyDescent="0.2">
      <c r="A60" s="306" t="s">
        <v>1078</v>
      </c>
      <c r="B60" s="261" t="s">
        <v>15052</v>
      </c>
      <c r="C60" s="261" t="s">
        <v>1079</v>
      </c>
      <c r="D60" s="261" t="s">
        <v>1080</v>
      </c>
      <c r="E60" s="261" t="str">
        <f t="shared" si="0"/>
        <v>Lord of the New Path</v>
      </c>
      <c r="F60" s="261" t="s">
        <v>1081</v>
      </c>
      <c r="G60" s="261">
        <v>5</v>
      </c>
      <c r="H60" s="261" t="s">
        <v>121</v>
      </c>
      <c r="I60" s="261" t="s">
        <v>122</v>
      </c>
      <c r="J60" s="261" t="s">
        <v>1054</v>
      </c>
      <c r="K60" s="261" t="s">
        <v>1092</v>
      </c>
      <c r="L60" s="261" t="s">
        <v>437</v>
      </c>
      <c r="M60" s="261" t="s">
        <v>1093</v>
      </c>
      <c r="N60" s="261" t="s">
        <v>1057</v>
      </c>
      <c r="O60" s="261" t="s">
        <v>1088</v>
      </c>
      <c r="P60" s="261" t="s">
        <v>2620</v>
      </c>
      <c r="Q60" s="261" t="s">
        <v>336</v>
      </c>
      <c r="R60" s="261" t="str">
        <f t="shared" si="1"/>
        <v>(Flame) 15 Hits = Overdamage</v>
      </c>
      <c r="S60" s="330" t="str">
        <f t="shared" si="2"/>
        <v>(Flame) Force Strike +50%</v>
      </c>
    </row>
    <row r="61" spans="1:19" x14ac:dyDescent="0.2">
      <c r="A61" s="306" t="s">
        <v>1096</v>
      </c>
      <c r="B61" s="261" t="s">
        <v>15053</v>
      </c>
      <c r="C61" s="261" t="s">
        <v>1097</v>
      </c>
      <c r="D61" s="261" t="s">
        <v>1098</v>
      </c>
      <c r="E61" s="261" t="str">
        <f t="shared" si="0"/>
        <v>Summertime Boar</v>
      </c>
      <c r="F61" s="261" t="s">
        <v>1099</v>
      </c>
      <c r="G61" s="261">
        <v>5</v>
      </c>
      <c r="H61" s="261" t="s">
        <v>121</v>
      </c>
      <c r="I61" s="261" t="s">
        <v>1103</v>
      </c>
      <c r="J61" s="261" t="s">
        <v>123</v>
      </c>
      <c r="K61" s="261" t="s">
        <v>249</v>
      </c>
      <c r="L61" s="261" t="s">
        <v>132</v>
      </c>
      <c r="M61" s="261" t="s">
        <v>581</v>
      </c>
      <c r="N61" s="261" t="s">
        <v>126</v>
      </c>
      <c r="O61" s="261" t="s">
        <v>128</v>
      </c>
      <c r="P61" s="261" t="s">
        <v>14997</v>
      </c>
      <c r="Q61" s="261" t="s">
        <v>2974</v>
      </c>
      <c r="R61" s="261" t="str">
        <f t="shared" si="1"/>
        <v>(Water) Critical Damage +25%</v>
      </c>
      <c r="S61" s="330" t="str">
        <f t="shared" si="2"/>
        <v>(Water) Elemental Res +15%</v>
      </c>
    </row>
    <row r="62" spans="1:19" x14ac:dyDescent="0.2">
      <c r="A62" s="306" t="s">
        <v>1113</v>
      </c>
      <c r="B62" s="261" t="s">
        <v>15054</v>
      </c>
      <c r="C62" s="261" t="s">
        <v>1114</v>
      </c>
      <c r="D62" s="261" t="s">
        <v>1115</v>
      </c>
      <c r="E62" s="261" t="str">
        <f t="shared" si="0"/>
        <v>Sullen Youth</v>
      </c>
      <c r="F62" s="261" t="s">
        <v>1116</v>
      </c>
      <c r="G62" s="261">
        <v>5</v>
      </c>
      <c r="H62" s="261" t="s">
        <v>260</v>
      </c>
      <c r="I62" s="261" t="s">
        <v>1103</v>
      </c>
      <c r="J62" s="261" t="s">
        <v>123</v>
      </c>
      <c r="K62" s="261" t="s">
        <v>1125</v>
      </c>
      <c r="L62" s="261" t="s">
        <v>132</v>
      </c>
      <c r="M62" s="261" t="s">
        <v>618</v>
      </c>
      <c r="N62" s="261" t="s">
        <v>126</v>
      </c>
      <c r="O62" s="261" t="s">
        <v>6634</v>
      </c>
      <c r="P62" s="261" t="s">
        <v>6601</v>
      </c>
      <c r="Q62" s="261" t="s">
        <v>316</v>
      </c>
      <c r="R62" s="261" t="str">
        <f t="shared" si="1"/>
        <v>(Water) Critical Rate +15%</v>
      </c>
      <c r="S62" s="330" t="str">
        <f t="shared" si="2"/>
        <v>(Water) Skill Haste +10%</v>
      </c>
    </row>
    <row r="63" spans="1:19" x14ac:dyDescent="0.2">
      <c r="A63" s="306" t="s">
        <v>1130</v>
      </c>
      <c r="B63" s="261" t="s">
        <v>15055</v>
      </c>
      <c r="C63" s="261" t="s">
        <v>1131</v>
      </c>
      <c r="D63" s="261" t="s">
        <v>1132</v>
      </c>
      <c r="E63" s="261" t="str">
        <f t="shared" si="0"/>
        <v>Avid Armsmaster</v>
      </c>
      <c r="F63" s="261" t="s">
        <v>1133</v>
      </c>
      <c r="G63" s="261">
        <v>5</v>
      </c>
      <c r="H63" s="261" t="s">
        <v>260</v>
      </c>
      <c r="I63" s="261" t="s">
        <v>1103</v>
      </c>
      <c r="J63" s="261" t="s">
        <v>123</v>
      </c>
      <c r="K63" s="261" t="s">
        <v>301</v>
      </c>
      <c r="L63" s="261" t="s">
        <v>1139</v>
      </c>
      <c r="M63" s="261" t="s">
        <v>1140</v>
      </c>
      <c r="N63" s="261" t="s">
        <v>126</v>
      </c>
      <c r="O63" s="261" t="s">
        <v>6634</v>
      </c>
      <c r="P63" s="261" t="s">
        <v>417</v>
      </c>
      <c r="Q63" s="261" t="s">
        <v>909</v>
      </c>
      <c r="R63" s="261" t="str">
        <f t="shared" si="1"/>
        <v>(Water) Overdrive Punisher +15%</v>
      </c>
      <c r="S63" s="330" t="str">
        <f t="shared" si="2"/>
        <v>(Water) Broken Punisher +30%</v>
      </c>
    </row>
    <row r="64" spans="1:19" x14ac:dyDescent="0.2">
      <c r="A64" s="306" t="s">
        <v>1144</v>
      </c>
      <c r="B64" s="261" t="s">
        <v>15056</v>
      </c>
      <c r="C64" s="261" t="s">
        <v>1145</v>
      </c>
      <c r="D64" s="261" t="s">
        <v>1146</v>
      </c>
      <c r="E64" s="261" t="str">
        <f t="shared" si="0"/>
        <v>Born Ruler</v>
      </c>
      <c r="F64" s="261" t="s">
        <v>1147</v>
      </c>
      <c r="G64" s="261">
        <v>5</v>
      </c>
      <c r="H64" s="261" t="s">
        <v>121</v>
      </c>
      <c r="I64" s="261" t="s">
        <v>1103</v>
      </c>
      <c r="J64" s="261" t="s">
        <v>123</v>
      </c>
      <c r="K64" s="261" t="s">
        <v>1154</v>
      </c>
      <c r="L64" s="261" t="s">
        <v>132</v>
      </c>
      <c r="M64" s="261" t="s">
        <v>1155</v>
      </c>
      <c r="N64" s="261" t="s">
        <v>126</v>
      </c>
      <c r="O64" s="261" t="s">
        <v>128</v>
      </c>
      <c r="P64" s="261" t="s">
        <v>14997</v>
      </c>
      <c r="Q64" s="261" t="s">
        <v>336</v>
      </c>
      <c r="R64" s="261" t="str">
        <f t="shared" si="1"/>
        <v>(Water) Critical Damage +25%</v>
      </c>
      <c r="S64" s="330" t="str">
        <f t="shared" si="2"/>
        <v>(Water) Force Strike +50%</v>
      </c>
    </row>
    <row r="65" spans="1:19" x14ac:dyDescent="0.2">
      <c r="A65" s="306" t="s">
        <v>1158</v>
      </c>
      <c r="B65" s="261" t="s">
        <v>15057</v>
      </c>
      <c r="C65" s="261" t="s">
        <v>1159</v>
      </c>
      <c r="D65" s="261" t="s">
        <v>1160</v>
      </c>
      <c r="E65" s="261" t="str">
        <f t="shared" si="0"/>
        <v>Wandering Spider</v>
      </c>
      <c r="F65" s="261" t="s">
        <v>1161</v>
      </c>
      <c r="G65" s="261">
        <v>4</v>
      </c>
      <c r="H65" s="261" t="s">
        <v>260</v>
      </c>
      <c r="I65" s="261" t="s">
        <v>1103</v>
      </c>
      <c r="J65" s="261" t="s">
        <v>123</v>
      </c>
      <c r="K65" s="261" t="s">
        <v>370</v>
      </c>
      <c r="L65" s="261" t="s">
        <v>132</v>
      </c>
      <c r="M65" s="261" t="s">
        <v>1140</v>
      </c>
      <c r="N65" s="261" t="s">
        <v>126</v>
      </c>
      <c r="O65" s="261" t="s">
        <v>128</v>
      </c>
      <c r="P65" s="261" t="s">
        <v>6911</v>
      </c>
      <c r="Q65" s="261" t="s">
        <v>909</v>
      </c>
      <c r="R65" s="261" t="str">
        <f t="shared" si="1"/>
        <v>(Water) Strength +20%</v>
      </c>
      <c r="S65" s="330" t="str">
        <f t="shared" si="2"/>
        <v>(Water) Broken Punisher +30%</v>
      </c>
    </row>
    <row r="66" spans="1:19" x14ac:dyDescent="0.2">
      <c r="A66" s="306" t="s">
        <v>1170</v>
      </c>
      <c r="B66" s="261" t="s">
        <v>15058</v>
      </c>
      <c r="C66" s="261" t="s">
        <v>1171</v>
      </c>
      <c r="D66" s="261" t="s">
        <v>1172</v>
      </c>
      <c r="E66" s="261" t="str">
        <f t="shared" ref="E66:E129" si="3">+F66</f>
        <v>Hopeless Narcissist</v>
      </c>
      <c r="F66" s="261" t="s">
        <v>1173</v>
      </c>
      <c r="G66" s="261">
        <v>3</v>
      </c>
      <c r="H66" s="261" t="s">
        <v>241</v>
      </c>
      <c r="I66" s="261" t="s">
        <v>1103</v>
      </c>
      <c r="J66" s="261" t="s">
        <v>123</v>
      </c>
      <c r="K66" s="261" t="s">
        <v>6911</v>
      </c>
      <c r="L66" s="261" t="s">
        <v>1139</v>
      </c>
      <c r="M66" s="261" t="s">
        <v>1181</v>
      </c>
      <c r="N66" s="261" t="s">
        <v>126</v>
      </c>
      <c r="O66" s="261" t="s">
        <v>128</v>
      </c>
      <c r="P66" s="261" t="s">
        <v>682</v>
      </c>
      <c r="Q66" s="261" t="s">
        <v>15035</v>
      </c>
      <c r="R66" s="261" t="str">
        <f t="shared" si="1"/>
        <v>(Water) HP +15%</v>
      </c>
      <c r="S66" s="330" t="str">
        <f t="shared" si="2"/>
        <v>(Water) HP 70% = Shield +40%</v>
      </c>
    </row>
    <row r="67" spans="1:19" x14ac:dyDescent="0.2">
      <c r="A67" s="306" t="s">
        <v>1184</v>
      </c>
      <c r="B67" s="261" t="s">
        <v>15059</v>
      </c>
      <c r="C67" s="261" t="s">
        <v>1185</v>
      </c>
      <c r="D67" s="261" t="s">
        <v>1186</v>
      </c>
      <c r="E67" s="261" t="str">
        <f t="shared" si="3"/>
        <v>Commander of Five Wings</v>
      </c>
      <c r="F67" s="261" t="s">
        <v>1187</v>
      </c>
      <c r="G67" s="261">
        <v>5</v>
      </c>
      <c r="H67" s="261" t="s">
        <v>121</v>
      </c>
      <c r="I67" s="261" t="s">
        <v>1103</v>
      </c>
      <c r="J67" s="261" t="s">
        <v>330</v>
      </c>
      <c r="K67" s="261" t="s">
        <v>1197</v>
      </c>
      <c r="L67" s="261" t="s">
        <v>132</v>
      </c>
      <c r="M67" s="261" t="s">
        <v>1196</v>
      </c>
      <c r="N67" s="261" t="s">
        <v>333</v>
      </c>
      <c r="O67" s="261" t="s">
        <v>1194</v>
      </c>
      <c r="P67" s="261" t="s">
        <v>2620</v>
      </c>
      <c r="Q67" s="261" t="s">
        <v>2974</v>
      </c>
      <c r="R67" s="261" t="str">
        <f t="shared" ref="R67:R130" si="4">+"("&amp;I67&amp;") "&amp;P67</f>
        <v>(Water) 15 Hits = Overdamage</v>
      </c>
      <c r="S67" s="330" t="str">
        <f t="shared" ref="S67:S130" si="5">+"("&amp;I67&amp;") "&amp;Q67</f>
        <v>(Water) Elemental Res +15%</v>
      </c>
    </row>
    <row r="68" spans="1:19" x14ac:dyDescent="0.2">
      <c r="A68" s="306" t="s">
        <v>1202</v>
      </c>
      <c r="B68" s="261" t="s">
        <v>15060</v>
      </c>
      <c r="C68" s="261" t="s">
        <v>1203</v>
      </c>
      <c r="D68" s="261" t="s">
        <v>1204</v>
      </c>
      <c r="E68" s="261" t="str">
        <f t="shared" si="3"/>
        <v>Pure-Hearted Android</v>
      </c>
      <c r="F68" s="261" t="s">
        <v>1205</v>
      </c>
      <c r="G68" s="261">
        <v>5</v>
      </c>
      <c r="H68" s="261" t="s">
        <v>121</v>
      </c>
      <c r="I68" s="261" t="s">
        <v>1103</v>
      </c>
      <c r="J68" s="261" t="s">
        <v>330</v>
      </c>
      <c r="K68" s="261" t="s">
        <v>1215</v>
      </c>
      <c r="L68" s="261" t="s">
        <v>1216</v>
      </c>
      <c r="M68" s="261" t="s">
        <v>471</v>
      </c>
      <c r="N68" s="261" t="s">
        <v>333</v>
      </c>
      <c r="O68" s="261" t="s">
        <v>862</v>
      </c>
      <c r="P68" s="261" t="s">
        <v>2620</v>
      </c>
      <c r="Q68" s="261" t="s">
        <v>6911</v>
      </c>
      <c r="R68" s="261" t="str">
        <f t="shared" si="4"/>
        <v>(Water) 15 Hits = Overdamage</v>
      </c>
      <c r="S68" s="330" t="str">
        <f t="shared" si="5"/>
        <v>(Water) Strength +20%</v>
      </c>
    </row>
    <row r="69" spans="1:19" x14ac:dyDescent="0.2">
      <c r="A69" s="306" t="s">
        <v>1220</v>
      </c>
      <c r="B69" s="261" t="s">
        <v>15061</v>
      </c>
      <c r="C69" s="261" t="s">
        <v>1221</v>
      </c>
      <c r="D69" s="261" t="s">
        <v>1222</v>
      </c>
      <c r="E69" s="261" t="str">
        <f t="shared" si="3"/>
        <v>Bloodthirsty One</v>
      </c>
      <c r="F69" s="261" t="s">
        <v>1223</v>
      </c>
      <c r="G69" s="261">
        <v>5</v>
      </c>
      <c r="H69" s="261" t="s">
        <v>121</v>
      </c>
      <c r="I69" s="261" t="s">
        <v>1103</v>
      </c>
      <c r="J69" s="261" t="s">
        <v>330</v>
      </c>
      <c r="K69" s="261" t="s">
        <v>1231</v>
      </c>
      <c r="L69" s="261" t="s">
        <v>132</v>
      </c>
      <c r="M69" s="261" t="s">
        <v>1232</v>
      </c>
      <c r="N69" s="261" t="s">
        <v>333</v>
      </c>
      <c r="O69" s="261" t="s">
        <v>1194</v>
      </c>
      <c r="P69" s="261" t="s">
        <v>14997</v>
      </c>
      <c r="Q69" s="261" t="s">
        <v>682</v>
      </c>
      <c r="R69" s="261" t="str">
        <f t="shared" si="4"/>
        <v>(Water) Critical Damage +25%</v>
      </c>
      <c r="S69" s="330" t="str">
        <f t="shared" si="5"/>
        <v>(Water) HP +15%</v>
      </c>
    </row>
    <row r="70" spans="1:19" x14ac:dyDescent="0.2">
      <c r="A70" s="306" t="s">
        <v>1236</v>
      </c>
      <c r="B70" s="261" t="s">
        <v>15062</v>
      </c>
      <c r="C70" s="261" t="s">
        <v>1237</v>
      </c>
      <c r="D70" s="261" t="s">
        <v>1238</v>
      </c>
      <c r="E70" s="261" t="str">
        <f t="shared" si="3"/>
        <v>Dutiful Chef</v>
      </c>
      <c r="F70" s="261" t="s">
        <v>1239</v>
      </c>
      <c r="G70" s="261">
        <v>5</v>
      </c>
      <c r="H70" s="261" t="s">
        <v>121</v>
      </c>
      <c r="I70" s="261" t="s">
        <v>1103</v>
      </c>
      <c r="J70" s="261" t="s">
        <v>330</v>
      </c>
      <c r="K70" s="261" t="s">
        <v>1239</v>
      </c>
      <c r="L70" s="261" t="s">
        <v>1139</v>
      </c>
      <c r="M70" s="261" t="s">
        <v>1246</v>
      </c>
      <c r="N70" s="261" t="s">
        <v>333</v>
      </c>
      <c r="O70" s="261" t="s">
        <v>128</v>
      </c>
      <c r="P70" s="261" t="s">
        <v>6893</v>
      </c>
      <c r="Q70" s="261" t="s">
        <v>682</v>
      </c>
      <c r="R70" s="261" t="str">
        <f t="shared" si="4"/>
        <v>(Water) Skill Damage +40%</v>
      </c>
      <c r="S70" s="330" t="str">
        <f t="shared" si="5"/>
        <v>(Water) HP +15%</v>
      </c>
    </row>
    <row r="71" spans="1:19" x14ac:dyDescent="0.2">
      <c r="A71" s="306" t="s">
        <v>1250</v>
      </c>
      <c r="B71" s="261" t="s">
        <v>15063</v>
      </c>
      <c r="C71" s="261" t="s">
        <v>1251</v>
      </c>
      <c r="D71" s="261" t="s">
        <v>1252</v>
      </c>
      <c r="E71" s="261" t="str">
        <f t="shared" si="3"/>
        <v>Grillmaster</v>
      </c>
      <c r="F71" s="261" t="s">
        <v>1253</v>
      </c>
      <c r="G71" s="261">
        <v>4</v>
      </c>
      <c r="H71" s="261" t="s">
        <v>241</v>
      </c>
      <c r="I71" s="261" t="s">
        <v>1103</v>
      </c>
      <c r="J71" s="261" t="s">
        <v>330</v>
      </c>
      <c r="K71" s="261" t="s">
        <v>6911</v>
      </c>
      <c r="L71" s="261" t="s">
        <v>132</v>
      </c>
      <c r="M71" s="261" t="s">
        <v>370</v>
      </c>
      <c r="N71" s="261" t="s">
        <v>333</v>
      </c>
      <c r="O71" s="261" t="s">
        <v>315</v>
      </c>
      <c r="P71" s="261" t="s">
        <v>417</v>
      </c>
      <c r="Q71" s="261" t="s">
        <v>2974</v>
      </c>
      <c r="R71" s="261" t="str">
        <f t="shared" si="4"/>
        <v>(Water) Overdrive Punisher +15%</v>
      </c>
      <c r="S71" s="330" t="str">
        <f t="shared" si="5"/>
        <v>(Water) Elemental Res +15%</v>
      </c>
    </row>
    <row r="72" spans="1:19" x14ac:dyDescent="0.2">
      <c r="A72" s="306" t="s">
        <v>1265</v>
      </c>
      <c r="B72" s="261" t="s">
        <v>15064</v>
      </c>
      <c r="C72" s="261" t="s">
        <v>1266</v>
      </c>
      <c r="D72" s="261" t="s">
        <v>1267</v>
      </c>
      <c r="E72" s="261" t="str">
        <f t="shared" si="3"/>
        <v>Hot-Blooded Instructor</v>
      </c>
      <c r="F72" s="261" t="s">
        <v>1268</v>
      </c>
      <c r="G72" s="261">
        <v>4</v>
      </c>
      <c r="H72" s="261" t="s">
        <v>121</v>
      </c>
      <c r="I72" s="261" t="s">
        <v>1103</v>
      </c>
      <c r="J72" s="261" t="s">
        <v>330</v>
      </c>
      <c r="K72" s="261" t="s">
        <v>8370</v>
      </c>
      <c r="L72" s="261" t="s">
        <v>1139</v>
      </c>
      <c r="M72" s="261" t="s">
        <v>6911</v>
      </c>
      <c r="N72" s="261" t="s">
        <v>333</v>
      </c>
      <c r="O72" s="261" t="s">
        <v>1194</v>
      </c>
      <c r="P72" s="261" t="s">
        <v>417</v>
      </c>
      <c r="Q72" s="261" t="s">
        <v>6552</v>
      </c>
      <c r="R72" s="261" t="str">
        <f t="shared" si="4"/>
        <v>(Water) Overdrive Punisher +15%</v>
      </c>
      <c r="S72" s="330" t="str">
        <f t="shared" si="5"/>
        <v>(Water) Attack Rate +20%</v>
      </c>
    </row>
    <row r="73" spans="1:19" x14ac:dyDescent="0.2">
      <c r="A73" s="306" t="s">
        <v>1278</v>
      </c>
      <c r="B73" s="261" t="s">
        <v>15065</v>
      </c>
      <c r="C73" s="261" t="s">
        <v>1279</v>
      </c>
      <c r="D73" s="261" t="s">
        <v>1280</v>
      </c>
      <c r="E73" s="261" t="str">
        <f t="shared" si="3"/>
        <v>Solemn Stalwart</v>
      </c>
      <c r="F73" s="261" t="s">
        <v>1281</v>
      </c>
      <c r="G73" s="261">
        <v>3</v>
      </c>
      <c r="H73" s="261" t="s">
        <v>121</v>
      </c>
      <c r="I73" s="261" t="s">
        <v>1103</v>
      </c>
      <c r="J73" s="261" t="s">
        <v>330</v>
      </c>
      <c r="K73" s="261" t="s">
        <v>485</v>
      </c>
      <c r="L73" s="261" t="s">
        <v>132</v>
      </c>
      <c r="M73" s="261" t="s">
        <v>896</v>
      </c>
      <c r="N73" s="261" t="s">
        <v>333</v>
      </c>
      <c r="O73" s="261" t="s">
        <v>1194</v>
      </c>
      <c r="P73" s="261" t="s">
        <v>316</v>
      </c>
      <c r="Q73" s="261" t="s">
        <v>7129</v>
      </c>
      <c r="R73" s="261" t="str">
        <f t="shared" si="4"/>
        <v>(Water) Skill Haste +10%</v>
      </c>
      <c r="S73" s="330" t="str">
        <f t="shared" si="5"/>
        <v>(Water) Combo Time +2</v>
      </c>
    </row>
    <row r="74" spans="1:19" x14ac:dyDescent="0.2">
      <c r="A74" s="306" t="s">
        <v>1291</v>
      </c>
      <c r="B74" s="261" t="s">
        <v>15066</v>
      </c>
      <c r="C74" s="261" t="s">
        <v>1292</v>
      </c>
      <c r="D74" s="261" t="s">
        <v>1293</v>
      </c>
      <c r="E74" s="261" t="str">
        <f t="shared" si="3"/>
        <v>Teacher from the Tides</v>
      </c>
      <c r="F74" s="261" t="s">
        <v>1294</v>
      </c>
      <c r="G74" s="261">
        <v>5</v>
      </c>
      <c r="H74" s="261" t="s">
        <v>121</v>
      </c>
      <c r="I74" s="261" t="s">
        <v>1103</v>
      </c>
      <c r="J74" s="261" t="s">
        <v>429</v>
      </c>
      <c r="K74" s="261" t="s">
        <v>1304</v>
      </c>
      <c r="L74" s="261" t="s">
        <v>1216</v>
      </c>
      <c r="M74" s="261" t="s">
        <v>1305</v>
      </c>
      <c r="N74" s="261" t="s">
        <v>385</v>
      </c>
      <c r="O74" s="261" t="s">
        <v>1301</v>
      </c>
      <c r="P74" s="261" t="s">
        <v>2620</v>
      </c>
      <c r="Q74" s="261" t="s">
        <v>126</v>
      </c>
      <c r="R74" s="261" t="str">
        <f t="shared" si="4"/>
        <v>(Water) 15 Hits = Overdamage</v>
      </c>
      <c r="S74" s="330" t="str">
        <f t="shared" si="5"/>
        <v>(Water) Dragon Haste +15%</v>
      </c>
    </row>
    <row r="75" spans="1:19" x14ac:dyDescent="0.2">
      <c r="A75" s="306" t="s">
        <v>1309</v>
      </c>
      <c r="B75" s="261" t="s">
        <v>15067</v>
      </c>
      <c r="C75" s="261" t="s">
        <v>1310</v>
      </c>
      <c r="D75" s="261" t="s">
        <v>1311</v>
      </c>
      <c r="E75" s="261" t="str">
        <f t="shared" si="3"/>
        <v>Dragon Scion</v>
      </c>
      <c r="F75" s="261" t="s">
        <v>1312</v>
      </c>
      <c r="G75" s="261">
        <v>5</v>
      </c>
      <c r="H75" s="261" t="s">
        <v>121</v>
      </c>
      <c r="I75" s="261" t="s">
        <v>1103</v>
      </c>
      <c r="J75" s="261" t="s">
        <v>429</v>
      </c>
      <c r="K75" s="261" t="s">
        <v>1322</v>
      </c>
      <c r="L75" s="261" t="s">
        <v>1139</v>
      </c>
      <c r="M75" s="261" t="s">
        <v>1321</v>
      </c>
      <c r="N75" s="261" t="s">
        <v>466</v>
      </c>
      <c r="O75" s="261" t="s">
        <v>280</v>
      </c>
      <c r="P75" s="261" t="s">
        <v>6601</v>
      </c>
      <c r="Q75" s="261" t="s">
        <v>6552</v>
      </c>
      <c r="R75" s="261" t="str">
        <f t="shared" si="4"/>
        <v>(Water) Critical Rate +15%</v>
      </c>
      <c r="S75" s="330" t="str">
        <f t="shared" si="5"/>
        <v>(Water) Attack Rate +20%</v>
      </c>
    </row>
    <row r="76" spans="1:19" x14ac:dyDescent="0.2">
      <c r="A76" s="306" t="s">
        <v>1325</v>
      </c>
      <c r="B76" s="261" t="s">
        <v>15068</v>
      </c>
      <c r="C76" s="261" t="s">
        <v>1326</v>
      </c>
      <c r="D76" s="261" t="s">
        <v>1327</v>
      </c>
      <c r="E76" s="261" t="str">
        <f t="shared" si="3"/>
        <v>Hinomotoan Chef</v>
      </c>
      <c r="F76" s="261" t="s">
        <v>1328</v>
      </c>
      <c r="G76" s="261">
        <v>5</v>
      </c>
      <c r="H76" s="261" t="s">
        <v>260</v>
      </c>
      <c r="I76" s="261" t="s">
        <v>1103</v>
      </c>
      <c r="J76" s="261" t="s">
        <v>429</v>
      </c>
      <c r="K76" s="261" t="s">
        <v>229</v>
      </c>
      <c r="L76" s="261" t="s">
        <v>1139</v>
      </c>
      <c r="M76" s="261" t="s">
        <v>1246</v>
      </c>
      <c r="N76" s="261" t="s">
        <v>385</v>
      </c>
      <c r="O76" s="261" t="s">
        <v>1194</v>
      </c>
      <c r="P76" s="261" t="s">
        <v>6893</v>
      </c>
      <c r="Q76" s="261" t="s">
        <v>6601</v>
      </c>
      <c r="R76" s="261" t="str">
        <f t="shared" si="4"/>
        <v>(Water) Skill Damage +40%</v>
      </c>
      <c r="S76" s="330" t="str">
        <f t="shared" si="5"/>
        <v>(Water) Critical Rate +15%</v>
      </c>
    </row>
    <row r="77" spans="1:19" x14ac:dyDescent="0.2">
      <c r="A77" s="306" t="s">
        <v>1339</v>
      </c>
      <c r="B77" s="261" t="s">
        <v>15069</v>
      </c>
      <c r="C77" s="261" t="s">
        <v>1340</v>
      </c>
      <c r="D77" s="261" t="s">
        <v>1341</v>
      </c>
      <c r="E77" s="261" t="str">
        <f t="shared" si="3"/>
        <v>Belle Bestower</v>
      </c>
      <c r="F77" s="261" t="s">
        <v>1342</v>
      </c>
      <c r="G77" s="261">
        <v>5</v>
      </c>
      <c r="H77" s="261" t="s">
        <v>260</v>
      </c>
      <c r="I77" s="261" t="s">
        <v>1103</v>
      </c>
      <c r="J77" s="261" t="s">
        <v>429</v>
      </c>
      <c r="K77" s="261" t="s">
        <v>1350</v>
      </c>
      <c r="L77" s="261" t="s">
        <v>132</v>
      </c>
      <c r="M77" s="261" t="s">
        <v>1349</v>
      </c>
      <c r="N77" s="261" t="s">
        <v>385</v>
      </c>
      <c r="O77" s="261" t="s">
        <v>353</v>
      </c>
      <c r="P77" s="261" t="s">
        <v>6911</v>
      </c>
      <c r="Q77" s="261" t="s">
        <v>682</v>
      </c>
      <c r="R77" s="261" t="str">
        <f t="shared" si="4"/>
        <v>(Water) Strength +20%</v>
      </c>
      <c r="S77" s="330" t="str">
        <f t="shared" si="5"/>
        <v>(Water) HP +15%</v>
      </c>
    </row>
    <row r="78" spans="1:19" x14ac:dyDescent="0.2">
      <c r="A78" s="306" t="s">
        <v>1355</v>
      </c>
      <c r="B78" s="261" t="s">
        <v>15070</v>
      </c>
      <c r="C78" s="261" t="s">
        <v>1356</v>
      </c>
      <c r="D78" s="261" t="s">
        <v>1357</v>
      </c>
      <c r="E78" s="261" t="str">
        <f t="shared" si="3"/>
        <v>Future Smithing Genius</v>
      </c>
      <c r="F78" s="261" t="s">
        <v>1358</v>
      </c>
      <c r="G78" s="261">
        <v>4</v>
      </c>
      <c r="H78" s="261" t="s">
        <v>260</v>
      </c>
      <c r="I78" s="261" t="s">
        <v>1103</v>
      </c>
      <c r="J78" s="261" t="s">
        <v>429</v>
      </c>
      <c r="K78" s="261" t="s">
        <v>502</v>
      </c>
      <c r="L78" s="261" t="s">
        <v>132</v>
      </c>
      <c r="M78" s="261" t="s">
        <v>1366</v>
      </c>
      <c r="N78" s="261" t="s">
        <v>385</v>
      </c>
      <c r="O78" s="261" t="s">
        <v>862</v>
      </c>
      <c r="P78" s="261" t="s">
        <v>6552</v>
      </c>
      <c r="Q78" s="261" t="s">
        <v>7129</v>
      </c>
      <c r="R78" s="261" t="str">
        <f t="shared" si="4"/>
        <v>(Water) Attack Rate +20%</v>
      </c>
      <c r="S78" s="330" t="str">
        <f t="shared" si="5"/>
        <v>(Water) Combo Time +2</v>
      </c>
    </row>
    <row r="79" spans="1:19" x14ac:dyDescent="0.2">
      <c r="A79" s="306" t="s">
        <v>1370</v>
      </c>
      <c r="B79" s="261" t="s">
        <v>15071</v>
      </c>
      <c r="C79" s="261" t="s">
        <v>1371</v>
      </c>
      <c r="D79" s="261" t="s">
        <v>1372</v>
      </c>
      <c r="E79" s="261" t="str">
        <f t="shared" si="3"/>
        <v>Dreamer on Ice</v>
      </c>
      <c r="F79" s="261" t="s">
        <v>1373</v>
      </c>
      <c r="G79" s="261">
        <v>4</v>
      </c>
      <c r="H79" s="261" t="s">
        <v>121</v>
      </c>
      <c r="I79" s="261" t="s">
        <v>1103</v>
      </c>
      <c r="J79" s="261" t="s">
        <v>429</v>
      </c>
      <c r="K79" s="261" t="s">
        <v>519</v>
      </c>
      <c r="L79" s="261" t="s">
        <v>1139</v>
      </c>
      <c r="M79" s="261" t="s">
        <v>249</v>
      </c>
      <c r="N79" s="261" t="s">
        <v>385</v>
      </c>
      <c r="O79" s="261" t="s">
        <v>128</v>
      </c>
      <c r="P79" s="261" t="s">
        <v>6601</v>
      </c>
      <c r="Q79" s="261" t="s">
        <v>618</v>
      </c>
      <c r="R79" s="261" t="str">
        <f t="shared" si="4"/>
        <v>(Water) Critical Rate +15%</v>
      </c>
      <c r="S79" s="330" t="str">
        <f t="shared" si="5"/>
        <v>(Water) Defense +20%</v>
      </c>
    </row>
    <row r="80" spans="1:19" x14ac:dyDescent="0.2">
      <c r="A80" s="306" t="s">
        <v>1384</v>
      </c>
      <c r="B80" s="261" t="s">
        <v>15072</v>
      </c>
      <c r="C80" s="261" t="s">
        <v>1385</v>
      </c>
      <c r="D80" s="261" t="s">
        <v>1386</v>
      </c>
      <c r="E80" s="261" t="str">
        <f t="shared" si="3"/>
        <v>Passionate Dancer</v>
      </c>
      <c r="F80" s="261" t="s">
        <v>1387</v>
      </c>
      <c r="G80" s="261">
        <v>4</v>
      </c>
      <c r="H80" s="261" t="s">
        <v>260</v>
      </c>
      <c r="I80" s="261" t="s">
        <v>1103</v>
      </c>
      <c r="J80" s="261" t="s">
        <v>429</v>
      </c>
      <c r="K80" s="261" t="s">
        <v>519</v>
      </c>
      <c r="L80" s="261" t="s">
        <v>132</v>
      </c>
      <c r="M80" s="261" t="s">
        <v>1393</v>
      </c>
      <c r="N80" s="261" t="s">
        <v>385</v>
      </c>
      <c r="O80" s="261" t="s">
        <v>128</v>
      </c>
      <c r="P80" s="261" t="s">
        <v>316</v>
      </c>
      <c r="Q80" s="261" t="s">
        <v>2974</v>
      </c>
      <c r="R80" s="261" t="str">
        <f t="shared" si="4"/>
        <v>(Water) Skill Haste +10%</v>
      </c>
      <c r="S80" s="330" t="str">
        <f t="shared" si="5"/>
        <v>(Water) Elemental Res +15%</v>
      </c>
    </row>
    <row r="81" spans="1:19" x14ac:dyDescent="0.2">
      <c r="A81" s="306" t="s">
        <v>1396</v>
      </c>
      <c r="B81" s="261" t="s">
        <v>15073</v>
      </c>
      <c r="C81" s="261" t="s">
        <v>1397</v>
      </c>
      <c r="D81" s="261" t="s">
        <v>1398</v>
      </c>
      <c r="E81" s="261" t="str">
        <f t="shared" si="3"/>
        <v>Emotional Android</v>
      </c>
      <c r="F81" s="261" t="s">
        <v>1399</v>
      </c>
      <c r="G81" s="261">
        <v>5</v>
      </c>
      <c r="H81" s="261" t="s">
        <v>121</v>
      </c>
      <c r="I81" s="261" t="s">
        <v>1103</v>
      </c>
      <c r="J81" s="261" t="s">
        <v>543</v>
      </c>
      <c r="K81" s="261" t="s">
        <v>1408</v>
      </c>
      <c r="L81" s="261" t="s">
        <v>132</v>
      </c>
      <c r="M81" s="261" t="s">
        <v>1409</v>
      </c>
      <c r="N81" s="261" t="s">
        <v>563</v>
      </c>
      <c r="O81" s="261" t="s">
        <v>128</v>
      </c>
      <c r="P81" s="261" t="s">
        <v>6552</v>
      </c>
      <c r="Q81" s="261" t="s">
        <v>909</v>
      </c>
      <c r="R81" s="261" t="str">
        <f t="shared" si="4"/>
        <v>(Water) Attack Rate +20%</v>
      </c>
      <c r="S81" s="330" t="str">
        <f t="shared" si="5"/>
        <v>(Water) Broken Punisher +30%</v>
      </c>
    </row>
    <row r="82" spans="1:19" x14ac:dyDescent="0.2">
      <c r="A82" s="306" t="s">
        <v>1413</v>
      </c>
      <c r="B82" s="261" t="s">
        <v>15074</v>
      </c>
      <c r="C82" s="261" t="s">
        <v>85</v>
      </c>
      <c r="D82" s="261" t="s">
        <v>1414</v>
      </c>
      <c r="E82" s="261" t="str">
        <f t="shared" si="3"/>
        <v>Mechanized Blacksmith</v>
      </c>
      <c r="F82" s="261" t="s">
        <v>1415</v>
      </c>
      <c r="G82" s="261">
        <v>5</v>
      </c>
      <c r="H82" s="261" t="s">
        <v>121</v>
      </c>
      <c r="I82" s="261" t="s">
        <v>1103</v>
      </c>
      <c r="J82" s="261" t="s">
        <v>543</v>
      </c>
      <c r="K82" s="261" t="s">
        <v>1421</v>
      </c>
      <c r="L82" s="261" t="s">
        <v>1139</v>
      </c>
      <c r="M82" s="261" t="s">
        <v>8373</v>
      </c>
      <c r="N82" s="261" t="s">
        <v>563</v>
      </c>
      <c r="O82" s="261" t="s">
        <v>128</v>
      </c>
      <c r="P82" s="261" t="s">
        <v>6911</v>
      </c>
      <c r="Q82" s="261" t="s">
        <v>14997</v>
      </c>
      <c r="R82" s="261" t="str">
        <f t="shared" si="4"/>
        <v>(Water) Strength +20%</v>
      </c>
      <c r="S82" s="330" t="str">
        <f t="shared" si="5"/>
        <v>(Water) Critical Damage +25%</v>
      </c>
    </row>
    <row r="83" spans="1:19" x14ac:dyDescent="0.2">
      <c r="A83" s="306" t="s">
        <v>1425</v>
      </c>
      <c r="B83" s="261" t="s">
        <v>15075</v>
      </c>
      <c r="C83" s="261" t="s">
        <v>1426</v>
      </c>
      <c r="D83" s="261" t="s">
        <v>1427</v>
      </c>
      <c r="E83" s="261" t="str">
        <f t="shared" si="3"/>
        <v>Godly Guide</v>
      </c>
      <c r="F83" s="261" t="s">
        <v>1428</v>
      </c>
      <c r="G83" s="261">
        <v>5</v>
      </c>
      <c r="H83" s="261" t="s">
        <v>121</v>
      </c>
      <c r="I83" s="261" t="s">
        <v>1103</v>
      </c>
      <c r="J83" s="261" t="s">
        <v>543</v>
      </c>
      <c r="K83" s="261" t="s">
        <v>1437</v>
      </c>
      <c r="L83" s="261" t="s">
        <v>1216</v>
      </c>
      <c r="M83" s="261" t="s">
        <v>1436</v>
      </c>
      <c r="N83" s="261" t="s">
        <v>563</v>
      </c>
      <c r="O83" s="261" t="s">
        <v>353</v>
      </c>
      <c r="P83" s="261" t="s">
        <v>2620</v>
      </c>
      <c r="Q83" s="261" t="s">
        <v>7129</v>
      </c>
      <c r="R83" s="261" t="str">
        <f t="shared" si="4"/>
        <v>(Water) 15 Hits = Overdamage</v>
      </c>
      <c r="S83" s="330" t="str">
        <f t="shared" si="5"/>
        <v>(Water) Combo Time +2</v>
      </c>
    </row>
    <row r="84" spans="1:19" x14ac:dyDescent="0.2">
      <c r="A84" s="306" t="s">
        <v>1441</v>
      </c>
      <c r="B84" s="261" t="s">
        <v>15076</v>
      </c>
      <c r="C84" s="261" t="s">
        <v>1442</v>
      </c>
      <c r="D84" s="261" t="s">
        <v>1443</v>
      </c>
      <c r="E84" s="261" t="str">
        <f t="shared" si="3"/>
        <v>Paladyn in Paradise</v>
      </c>
      <c r="F84" s="261" t="s">
        <v>1444</v>
      </c>
      <c r="G84" s="261">
        <v>5</v>
      </c>
      <c r="H84" s="261" t="s">
        <v>121</v>
      </c>
      <c r="I84" s="261" t="s">
        <v>1103</v>
      </c>
      <c r="J84" s="261" t="s">
        <v>543</v>
      </c>
      <c r="K84" s="261" t="s">
        <v>1451</v>
      </c>
      <c r="L84" s="261" t="s">
        <v>132</v>
      </c>
      <c r="M84" s="261" t="s">
        <v>601</v>
      </c>
      <c r="N84" s="261" t="s">
        <v>563</v>
      </c>
      <c r="O84" s="261" t="s">
        <v>128</v>
      </c>
      <c r="P84" s="261" t="s">
        <v>6601</v>
      </c>
      <c r="Q84" s="261" t="s">
        <v>14997</v>
      </c>
      <c r="R84" s="261" t="str">
        <f t="shared" si="4"/>
        <v>(Water) Critical Rate +15%</v>
      </c>
      <c r="S84" s="330" t="str">
        <f t="shared" si="5"/>
        <v>(Water) Critical Damage +25%</v>
      </c>
    </row>
    <row r="85" spans="1:19" x14ac:dyDescent="0.2">
      <c r="A85" s="306" t="s">
        <v>1455</v>
      </c>
      <c r="B85" s="261" t="s">
        <v>15077</v>
      </c>
      <c r="C85" s="261" t="s">
        <v>1456</v>
      </c>
      <c r="D85" s="261" t="s">
        <v>1457</v>
      </c>
      <c r="E85" s="261" t="str">
        <f t="shared" si="3"/>
        <v>Free-Spirited Pirate</v>
      </c>
      <c r="F85" s="261" t="s">
        <v>1458</v>
      </c>
      <c r="G85" s="261">
        <v>4</v>
      </c>
      <c r="H85" s="261" t="s">
        <v>241</v>
      </c>
      <c r="I85" s="261" t="s">
        <v>1103</v>
      </c>
      <c r="J85" s="261" t="s">
        <v>543</v>
      </c>
      <c r="K85" s="261" t="s">
        <v>371</v>
      </c>
      <c r="L85" s="261" t="s">
        <v>132</v>
      </c>
      <c r="M85" s="261" t="s">
        <v>1466</v>
      </c>
      <c r="N85" s="261" t="s">
        <v>563</v>
      </c>
      <c r="O85" s="261" t="s">
        <v>128</v>
      </c>
      <c r="P85" s="261" t="s">
        <v>6893</v>
      </c>
      <c r="Q85" s="261" t="s">
        <v>14997</v>
      </c>
      <c r="R85" s="261" t="str">
        <f t="shared" si="4"/>
        <v>(Water) Skill Damage +40%</v>
      </c>
      <c r="S85" s="330" t="str">
        <f t="shared" si="5"/>
        <v>(Water) Critical Damage +25%</v>
      </c>
    </row>
    <row r="86" spans="1:19" x14ac:dyDescent="0.2">
      <c r="A86" s="306" t="s">
        <v>1470</v>
      </c>
      <c r="B86" s="261" t="s">
        <v>15078</v>
      </c>
      <c r="C86" s="261" t="s">
        <v>1471</v>
      </c>
      <c r="D86" s="261" t="s">
        <v>1472</v>
      </c>
      <c r="E86" s="261" t="str">
        <f t="shared" si="3"/>
        <v>Visionary Adventurer</v>
      </c>
      <c r="F86" s="261" t="s">
        <v>1473</v>
      </c>
      <c r="G86" s="261">
        <v>3</v>
      </c>
      <c r="H86" s="261" t="s">
        <v>241</v>
      </c>
      <c r="I86" s="261" t="s">
        <v>1103</v>
      </c>
      <c r="J86" s="261" t="s">
        <v>543</v>
      </c>
      <c r="K86" s="261" t="s">
        <v>581</v>
      </c>
      <c r="L86" s="261" t="s">
        <v>1483</v>
      </c>
      <c r="M86" s="261" t="s">
        <v>1216</v>
      </c>
      <c r="N86" s="261" t="s">
        <v>563</v>
      </c>
      <c r="O86" s="261" t="s">
        <v>280</v>
      </c>
      <c r="P86" s="261" t="s">
        <v>618</v>
      </c>
      <c r="Q86" s="261" t="s">
        <v>2974</v>
      </c>
      <c r="R86" s="261" t="str">
        <f t="shared" si="4"/>
        <v>(Water) Defense +20%</v>
      </c>
      <c r="S86" s="330" t="str">
        <f t="shared" si="5"/>
        <v>(Water) Elemental Res +15%</v>
      </c>
    </row>
    <row r="87" spans="1:19" x14ac:dyDescent="0.2">
      <c r="A87" s="306" t="s">
        <v>1486</v>
      </c>
      <c r="B87" s="261" t="s">
        <v>15079</v>
      </c>
      <c r="C87" s="261" t="s">
        <v>1487</v>
      </c>
      <c r="D87" s="261" t="s">
        <v>1488</v>
      </c>
      <c r="E87" s="261" t="str">
        <f t="shared" si="3"/>
        <v>Charitable Lumberjack</v>
      </c>
      <c r="F87" s="261" t="s">
        <v>1489</v>
      </c>
      <c r="G87" s="261">
        <v>3</v>
      </c>
      <c r="H87" s="261" t="s">
        <v>121</v>
      </c>
      <c r="I87" s="261" t="s">
        <v>1103</v>
      </c>
      <c r="J87" s="261" t="s">
        <v>543</v>
      </c>
      <c r="K87" s="261" t="s">
        <v>1497</v>
      </c>
      <c r="L87" s="261" t="s">
        <v>1139</v>
      </c>
      <c r="M87" s="261" t="s">
        <v>229</v>
      </c>
      <c r="N87" s="261" t="s">
        <v>563</v>
      </c>
      <c r="O87" s="261" t="s">
        <v>128</v>
      </c>
      <c r="P87" s="261" t="s">
        <v>682</v>
      </c>
      <c r="Q87" s="261" t="s">
        <v>2974</v>
      </c>
      <c r="R87" s="261" t="str">
        <f t="shared" si="4"/>
        <v>(Water) HP +15%</v>
      </c>
      <c r="S87" s="330" t="str">
        <f t="shared" si="5"/>
        <v>(Water) Elemental Res +15%</v>
      </c>
    </row>
    <row r="88" spans="1:19" x14ac:dyDescent="0.2">
      <c r="A88" s="306" t="s">
        <v>1500</v>
      </c>
      <c r="B88" s="261" t="s">
        <v>15080</v>
      </c>
      <c r="C88" s="261" t="s">
        <v>1501</v>
      </c>
      <c r="D88" s="261" t="s">
        <v>1502</v>
      </c>
      <c r="E88" s="261" t="str">
        <f t="shared" si="3"/>
        <v>Winged Knight</v>
      </c>
      <c r="F88" s="261" t="s">
        <v>1503</v>
      </c>
      <c r="G88" s="261">
        <v>5</v>
      </c>
      <c r="H88" s="261" t="s">
        <v>121</v>
      </c>
      <c r="I88" s="261" t="s">
        <v>1103</v>
      </c>
      <c r="J88" s="261" t="s">
        <v>645</v>
      </c>
      <c r="K88" s="261" t="s">
        <v>519</v>
      </c>
      <c r="L88" s="261" t="s">
        <v>132</v>
      </c>
      <c r="M88" s="261" t="s">
        <v>417</v>
      </c>
      <c r="N88" s="261" t="s">
        <v>682</v>
      </c>
      <c r="O88" s="261" t="s">
        <v>245</v>
      </c>
      <c r="P88" s="261" t="s">
        <v>14997</v>
      </c>
      <c r="Q88" s="261" t="s">
        <v>417</v>
      </c>
      <c r="R88" s="261" t="str">
        <f t="shared" si="4"/>
        <v>(Water) Critical Damage +25%</v>
      </c>
      <c r="S88" s="330" t="str">
        <f t="shared" si="5"/>
        <v>(Water) Overdrive Punisher +15%</v>
      </c>
    </row>
    <row r="89" spans="1:19" x14ac:dyDescent="0.2">
      <c r="A89" s="306" t="s">
        <v>1515</v>
      </c>
      <c r="B89" s="261" t="s">
        <v>15081</v>
      </c>
      <c r="C89" s="261" t="s">
        <v>1516</v>
      </c>
      <c r="D89" s="261" t="s">
        <v>1517</v>
      </c>
      <c r="E89" s="261" t="str">
        <f t="shared" si="3"/>
        <v>Perfect Flower</v>
      </c>
      <c r="F89" s="261" t="s">
        <v>1518</v>
      </c>
      <c r="G89" s="261">
        <v>5</v>
      </c>
      <c r="H89" s="261" t="s">
        <v>121</v>
      </c>
      <c r="I89" s="261" t="s">
        <v>1103</v>
      </c>
      <c r="J89" s="261" t="s">
        <v>645</v>
      </c>
      <c r="K89" s="261" t="s">
        <v>1525</v>
      </c>
      <c r="L89" s="261" t="s">
        <v>132</v>
      </c>
      <c r="M89" s="261" t="s">
        <v>910</v>
      </c>
      <c r="N89" s="261" t="s">
        <v>682</v>
      </c>
      <c r="O89" s="261" t="s">
        <v>128</v>
      </c>
      <c r="P89" s="261" t="s">
        <v>6893</v>
      </c>
      <c r="Q89" s="261" t="s">
        <v>316</v>
      </c>
      <c r="R89" s="261" t="str">
        <f t="shared" si="4"/>
        <v>(Water) Skill Damage +40%</v>
      </c>
      <c r="S89" s="330" t="str">
        <f t="shared" si="5"/>
        <v>(Water) Skill Haste +10%</v>
      </c>
    </row>
    <row r="90" spans="1:19" x14ac:dyDescent="0.2">
      <c r="A90" s="306" t="s">
        <v>1529</v>
      </c>
      <c r="B90" s="261" t="s">
        <v>15082</v>
      </c>
      <c r="C90" s="261" t="s">
        <v>1530</v>
      </c>
      <c r="D90" s="261" t="s">
        <v>1531</v>
      </c>
      <c r="E90" s="261" t="str">
        <f t="shared" si="3"/>
        <v>Princess of Ice</v>
      </c>
      <c r="F90" s="261" t="s">
        <v>1532</v>
      </c>
      <c r="G90" s="261">
        <v>5</v>
      </c>
      <c r="H90" s="261" t="s">
        <v>121</v>
      </c>
      <c r="I90" s="261" t="s">
        <v>1103</v>
      </c>
      <c r="J90" s="261" t="s">
        <v>645</v>
      </c>
      <c r="K90" s="261" t="s">
        <v>1539</v>
      </c>
      <c r="L90" s="261" t="s">
        <v>1139</v>
      </c>
      <c r="M90" s="261" t="s">
        <v>670</v>
      </c>
      <c r="N90" s="261" t="s">
        <v>682</v>
      </c>
      <c r="O90" s="261" t="s">
        <v>128</v>
      </c>
      <c r="P90" s="261" t="s">
        <v>14997</v>
      </c>
      <c r="Q90" s="261" t="s">
        <v>6552</v>
      </c>
      <c r="R90" s="261" t="str">
        <f t="shared" si="4"/>
        <v>(Water) Critical Damage +25%</v>
      </c>
      <c r="S90" s="330" t="str">
        <f t="shared" si="5"/>
        <v>(Water) Attack Rate +20%</v>
      </c>
    </row>
    <row r="91" spans="1:19" x14ac:dyDescent="0.2">
      <c r="A91" s="306" t="s">
        <v>1542</v>
      </c>
      <c r="B91" s="261" t="s">
        <v>15083</v>
      </c>
      <c r="C91" s="261" t="s">
        <v>1543</v>
      </c>
      <c r="D91" s="261" t="s">
        <v>1544</v>
      </c>
      <c r="E91" s="261" t="str">
        <f t="shared" si="3"/>
        <v>Dragon Guardian</v>
      </c>
      <c r="F91" s="261" t="s">
        <v>1545</v>
      </c>
      <c r="G91" s="261">
        <v>5</v>
      </c>
      <c r="H91" s="261" t="s">
        <v>260</v>
      </c>
      <c r="I91" s="261" t="s">
        <v>1103</v>
      </c>
      <c r="J91" s="261" t="s">
        <v>645</v>
      </c>
      <c r="K91" s="261" t="s">
        <v>283</v>
      </c>
      <c r="L91" s="261" t="s">
        <v>1139</v>
      </c>
      <c r="M91" s="261" t="s">
        <v>703</v>
      </c>
      <c r="N91" s="261" t="s">
        <v>682</v>
      </c>
      <c r="O91" s="261" t="s">
        <v>6634</v>
      </c>
      <c r="P91" s="261" t="s">
        <v>6893</v>
      </c>
      <c r="Q91" s="261" t="s">
        <v>2974</v>
      </c>
      <c r="R91" s="261" t="str">
        <f t="shared" si="4"/>
        <v>(Water) Skill Damage +40%</v>
      </c>
      <c r="S91" s="330" t="str">
        <f t="shared" si="5"/>
        <v>(Water) Elemental Res +15%</v>
      </c>
    </row>
    <row r="92" spans="1:19" x14ac:dyDescent="0.2">
      <c r="A92" s="306" t="s">
        <v>1554</v>
      </c>
      <c r="B92" s="261" t="s">
        <v>15084</v>
      </c>
      <c r="C92" s="261" t="s">
        <v>1555</v>
      </c>
      <c r="D92" s="261" t="s">
        <v>1556</v>
      </c>
      <c r="E92" s="261" t="str">
        <f t="shared" si="3"/>
        <v>Bloodfist</v>
      </c>
      <c r="F92" s="261" t="s">
        <v>1557</v>
      </c>
      <c r="G92" s="261">
        <v>4</v>
      </c>
      <c r="H92" s="261" t="s">
        <v>121</v>
      </c>
      <c r="I92" s="261" t="s">
        <v>1103</v>
      </c>
      <c r="J92" s="261" t="s">
        <v>645</v>
      </c>
      <c r="K92" s="261" t="s">
        <v>6911</v>
      </c>
      <c r="L92" s="261" t="s">
        <v>132</v>
      </c>
      <c r="M92" s="261" t="s">
        <v>1565</v>
      </c>
      <c r="N92" s="261" t="s">
        <v>682</v>
      </c>
      <c r="O92" s="261" t="s">
        <v>128</v>
      </c>
      <c r="P92" s="261" t="s">
        <v>14997</v>
      </c>
      <c r="Q92" s="261" t="s">
        <v>316</v>
      </c>
      <c r="R92" s="261" t="str">
        <f t="shared" si="4"/>
        <v>(Water) Critical Damage +25%</v>
      </c>
      <c r="S92" s="330" t="str">
        <f t="shared" si="5"/>
        <v>(Water) Skill Haste +10%</v>
      </c>
    </row>
    <row r="93" spans="1:19" x14ac:dyDescent="0.2">
      <c r="A93" s="306" t="s">
        <v>1568</v>
      </c>
      <c r="B93" s="261" t="s">
        <v>15085</v>
      </c>
      <c r="C93" s="261" t="s">
        <v>1569</v>
      </c>
      <c r="D93" s="261" t="s">
        <v>1570</v>
      </c>
      <c r="E93" s="261" t="str">
        <f t="shared" si="3"/>
        <v>Anointed Lance</v>
      </c>
      <c r="F93" s="261" t="s">
        <v>1571</v>
      </c>
      <c r="G93" s="261">
        <v>4</v>
      </c>
      <c r="H93" s="261" t="s">
        <v>260</v>
      </c>
      <c r="I93" s="261" t="s">
        <v>1103</v>
      </c>
      <c r="J93" s="261" t="s">
        <v>645</v>
      </c>
      <c r="K93" s="261" t="s">
        <v>1140</v>
      </c>
      <c r="L93" s="261" t="s">
        <v>1216</v>
      </c>
      <c r="M93" s="261" t="s">
        <v>670</v>
      </c>
      <c r="N93" s="261" t="s">
        <v>682</v>
      </c>
      <c r="O93" s="261" t="s">
        <v>128</v>
      </c>
      <c r="P93" s="261" t="s">
        <v>6911</v>
      </c>
      <c r="Q93" s="261" t="s">
        <v>618</v>
      </c>
      <c r="R93" s="261" t="str">
        <f t="shared" si="4"/>
        <v>(Water) Strength +20%</v>
      </c>
      <c r="S93" s="330" t="str">
        <f t="shared" si="5"/>
        <v>(Water) Defense +20%</v>
      </c>
    </row>
    <row r="94" spans="1:19" x14ac:dyDescent="0.2">
      <c r="A94" s="306" t="s">
        <v>1581</v>
      </c>
      <c r="B94" s="261" t="s">
        <v>15086</v>
      </c>
      <c r="C94" s="261" t="s">
        <v>1582</v>
      </c>
      <c r="D94" s="261" t="s">
        <v>1583</v>
      </c>
      <c r="E94" s="261" t="str">
        <f t="shared" si="3"/>
        <v>Quiet Mercenary</v>
      </c>
      <c r="F94" s="261" t="s">
        <v>1584</v>
      </c>
      <c r="G94" s="261">
        <v>3</v>
      </c>
      <c r="H94" s="261" t="s">
        <v>241</v>
      </c>
      <c r="I94" s="261" t="s">
        <v>1103</v>
      </c>
      <c r="J94" s="261" t="s">
        <v>645</v>
      </c>
      <c r="K94" s="261" t="s">
        <v>670</v>
      </c>
      <c r="L94" s="261" t="s">
        <v>1139</v>
      </c>
      <c r="M94" s="261" t="s">
        <v>229</v>
      </c>
      <c r="N94" s="261" t="s">
        <v>682</v>
      </c>
      <c r="O94" s="261" t="s">
        <v>128</v>
      </c>
      <c r="P94" s="261" t="s">
        <v>6893</v>
      </c>
      <c r="Q94" s="261" t="s">
        <v>6552</v>
      </c>
      <c r="R94" s="261" t="str">
        <f t="shared" si="4"/>
        <v>(Water) Skill Damage +40%</v>
      </c>
      <c r="S94" s="330" t="str">
        <f t="shared" si="5"/>
        <v>(Water) Attack Rate +20%</v>
      </c>
    </row>
    <row r="95" spans="1:19" x14ac:dyDescent="0.2">
      <c r="A95" s="306" t="s">
        <v>1594</v>
      </c>
      <c r="B95" s="261" t="s">
        <v>15087</v>
      </c>
      <c r="C95" s="261" t="s">
        <v>1595</v>
      </c>
      <c r="D95" s="261" t="s">
        <v>1596</v>
      </c>
      <c r="E95" s="261" t="str">
        <f t="shared" si="3"/>
        <v>Staunch Avenger</v>
      </c>
      <c r="F95" s="261" t="s">
        <v>1597</v>
      </c>
      <c r="G95" s="261">
        <v>3</v>
      </c>
      <c r="H95" s="261" t="s">
        <v>241</v>
      </c>
      <c r="I95" s="261" t="s">
        <v>1103</v>
      </c>
      <c r="J95" s="261" t="s">
        <v>645</v>
      </c>
      <c r="K95" s="261" t="s">
        <v>1605</v>
      </c>
      <c r="L95" s="261" t="s">
        <v>132</v>
      </c>
      <c r="M95" s="261" t="s">
        <v>370</v>
      </c>
      <c r="N95" s="261" t="s">
        <v>682</v>
      </c>
      <c r="O95" s="261" t="s">
        <v>862</v>
      </c>
      <c r="P95" s="261" t="s">
        <v>618</v>
      </c>
      <c r="Q95" s="261" t="s">
        <v>970</v>
      </c>
      <c r="R95" s="261" t="str">
        <f t="shared" si="4"/>
        <v>(Water) Defense +20%</v>
      </c>
      <c r="S95" s="330" t="str">
        <f t="shared" si="5"/>
        <v>(Water) Recovery Potency +20%</v>
      </c>
    </row>
    <row r="96" spans="1:19" x14ac:dyDescent="0.2">
      <c r="A96" s="306" t="s">
        <v>1609</v>
      </c>
      <c r="B96" s="261" t="s">
        <v>15088</v>
      </c>
      <c r="C96" s="261" t="s">
        <v>1610</v>
      </c>
      <c r="D96" s="261" t="s">
        <v>1611</v>
      </c>
      <c r="E96" s="261" t="str">
        <f t="shared" si="3"/>
        <v>Small Singing Helper</v>
      </c>
      <c r="F96" s="261" t="s">
        <v>1612</v>
      </c>
      <c r="G96" s="261">
        <v>5</v>
      </c>
      <c r="H96" s="261" t="s">
        <v>241</v>
      </c>
      <c r="I96" s="261" t="s">
        <v>1103</v>
      </c>
      <c r="J96" s="261" t="s">
        <v>759</v>
      </c>
      <c r="K96" s="261" t="s">
        <v>618</v>
      </c>
      <c r="L96" s="261" t="s">
        <v>132</v>
      </c>
      <c r="M96" s="261" t="s">
        <v>1620</v>
      </c>
      <c r="N96" s="261" t="s">
        <v>762</v>
      </c>
      <c r="O96" s="261" t="s">
        <v>1194</v>
      </c>
      <c r="P96" s="261" t="s">
        <v>14997</v>
      </c>
      <c r="Q96" s="261" t="s">
        <v>618</v>
      </c>
      <c r="R96" s="261" t="str">
        <f t="shared" si="4"/>
        <v>(Water) Critical Damage +25%</v>
      </c>
      <c r="S96" s="330" t="str">
        <f t="shared" si="5"/>
        <v>(Water) Defense +20%</v>
      </c>
    </row>
    <row r="97" spans="1:19" x14ac:dyDescent="0.2">
      <c r="A97" s="306" t="s">
        <v>1624</v>
      </c>
      <c r="B97" s="261" t="s">
        <v>15089</v>
      </c>
      <c r="C97" s="261" t="s">
        <v>1625</v>
      </c>
      <c r="D97" s="261" t="s">
        <v>1626</v>
      </c>
      <c r="E97" s="261" t="str">
        <f t="shared" si="3"/>
        <v>The Wing of Purity</v>
      </c>
      <c r="F97" s="261" t="s">
        <v>1627</v>
      </c>
      <c r="G97" s="261">
        <v>5</v>
      </c>
      <c r="H97" s="261" t="s">
        <v>121</v>
      </c>
      <c r="I97" s="261" t="s">
        <v>1103</v>
      </c>
      <c r="J97" s="261" t="s">
        <v>759</v>
      </c>
      <c r="K97" s="261" t="s">
        <v>1635</v>
      </c>
      <c r="L97" s="261" t="s">
        <v>1139</v>
      </c>
      <c r="M97" s="261" t="s">
        <v>568</v>
      </c>
      <c r="N97" s="261" t="s">
        <v>762</v>
      </c>
      <c r="O97" s="261" t="s">
        <v>1194</v>
      </c>
      <c r="P97" s="261" t="s">
        <v>2620</v>
      </c>
      <c r="Q97" s="261" t="s">
        <v>336</v>
      </c>
      <c r="R97" s="261" t="str">
        <f t="shared" si="4"/>
        <v>(Water) 15 Hits = Overdamage</v>
      </c>
      <c r="S97" s="330" t="str">
        <f t="shared" si="5"/>
        <v>(Water) Force Strike +50%</v>
      </c>
    </row>
    <row r="98" spans="1:19" x14ac:dyDescent="0.2">
      <c r="A98" s="306" t="s">
        <v>1639</v>
      </c>
      <c r="B98" s="261" t="s">
        <v>15090</v>
      </c>
      <c r="C98" s="261" t="s">
        <v>1640</v>
      </c>
      <c r="D98" s="261" t="s">
        <v>1641</v>
      </c>
      <c r="E98" s="261" t="str">
        <f t="shared" si="3"/>
        <v>Mizutsune Archer</v>
      </c>
      <c r="F98" s="261" t="s">
        <v>1642</v>
      </c>
      <c r="G98" s="261">
        <v>5</v>
      </c>
      <c r="H98" s="261" t="s">
        <v>121</v>
      </c>
      <c r="I98" s="261" t="s">
        <v>1103</v>
      </c>
      <c r="J98" s="261" t="s">
        <v>759</v>
      </c>
      <c r="K98" s="261" t="s">
        <v>1651</v>
      </c>
      <c r="L98" s="261" t="s">
        <v>1139</v>
      </c>
      <c r="M98" s="261" t="s">
        <v>1652</v>
      </c>
      <c r="N98" s="261" t="s">
        <v>762</v>
      </c>
      <c r="O98" s="261" t="s">
        <v>795</v>
      </c>
      <c r="P98" s="261" t="s">
        <v>6893</v>
      </c>
      <c r="Q98" s="261" t="s">
        <v>336</v>
      </c>
      <c r="R98" s="261" t="str">
        <f t="shared" si="4"/>
        <v>(Water) Skill Damage +40%</v>
      </c>
      <c r="S98" s="330" t="str">
        <f t="shared" si="5"/>
        <v>(Water) Force Strike +50%</v>
      </c>
    </row>
    <row r="99" spans="1:19" x14ac:dyDescent="0.2">
      <c r="A99" s="306" t="s">
        <v>1655</v>
      </c>
      <c r="B99" s="261" t="s">
        <v>15091</v>
      </c>
      <c r="C99" s="261" t="s">
        <v>79</v>
      </c>
      <c r="D99" s="261" t="s">
        <v>1656</v>
      </c>
      <c r="E99" s="261" t="str">
        <f t="shared" si="3"/>
        <v>Lighthearted Leader</v>
      </c>
      <c r="F99" s="261" t="s">
        <v>1657</v>
      </c>
      <c r="G99" s="261">
        <v>5</v>
      </c>
      <c r="H99" s="261" t="s">
        <v>260</v>
      </c>
      <c r="I99" s="261" t="s">
        <v>1103</v>
      </c>
      <c r="J99" s="261" t="s">
        <v>759</v>
      </c>
      <c r="K99" s="261" t="s">
        <v>1664</v>
      </c>
      <c r="L99" s="261" t="s">
        <v>132</v>
      </c>
      <c r="M99" s="261" t="s">
        <v>910</v>
      </c>
      <c r="N99" s="261" t="s">
        <v>762</v>
      </c>
      <c r="O99" s="261" t="s">
        <v>128</v>
      </c>
      <c r="P99" s="261" t="s">
        <v>6893</v>
      </c>
      <c r="Q99" s="261" t="s">
        <v>417</v>
      </c>
      <c r="R99" s="261" t="str">
        <f t="shared" si="4"/>
        <v>(Water) Skill Damage +40%</v>
      </c>
      <c r="S99" s="330" t="str">
        <f t="shared" si="5"/>
        <v>(Water) Overdrive Punisher +15%</v>
      </c>
    </row>
    <row r="100" spans="1:19" x14ac:dyDescent="0.2">
      <c r="A100" s="306" t="s">
        <v>1667</v>
      </c>
      <c r="B100" s="261" t="s">
        <v>15092</v>
      </c>
      <c r="C100" s="261" t="s">
        <v>1668</v>
      </c>
      <c r="D100" s="261" t="s">
        <v>1669</v>
      </c>
      <c r="E100" s="261" t="str">
        <f t="shared" si="3"/>
        <v>Queen of Smiles</v>
      </c>
      <c r="F100" s="261" t="s">
        <v>1670</v>
      </c>
      <c r="G100" s="261">
        <v>4</v>
      </c>
      <c r="H100" s="261" t="s">
        <v>260</v>
      </c>
      <c r="I100" s="261" t="s">
        <v>1103</v>
      </c>
      <c r="J100" s="261" t="s">
        <v>759</v>
      </c>
      <c r="K100" s="261" t="s">
        <v>910</v>
      </c>
      <c r="L100" s="261" t="s">
        <v>1139</v>
      </c>
      <c r="M100" s="261" t="s">
        <v>1677</v>
      </c>
      <c r="N100" s="261" t="s">
        <v>762</v>
      </c>
      <c r="O100" s="261" t="s">
        <v>1194</v>
      </c>
      <c r="P100" s="261" t="s">
        <v>6601</v>
      </c>
      <c r="Q100" s="261" t="s">
        <v>682</v>
      </c>
      <c r="R100" s="261" t="str">
        <f t="shared" si="4"/>
        <v>(Water) Critical Rate +15%</v>
      </c>
      <c r="S100" s="330" t="str">
        <f t="shared" si="5"/>
        <v>(Water) HP +15%</v>
      </c>
    </row>
    <row r="101" spans="1:19" x14ac:dyDescent="0.2">
      <c r="A101" s="306" t="s">
        <v>1680</v>
      </c>
      <c r="B101" s="261" t="s">
        <v>15093</v>
      </c>
      <c r="C101" s="261" t="s">
        <v>1681</v>
      </c>
      <c r="D101" s="261" t="s">
        <v>1682</v>
      </c>
      <c r="E101" s="261" t="str">
        <f t="shared" si="3"/>
        <v>Noble Thief</v>
      </c>
      <c r="F101" s="261" t="s">
        <v>1683</v>
      </c>
      <c r="G101" s="261">
        <v>3</v>
      </c>
      <c r="H101" s="261" t="s">
        <v>260</v>
      </c>
      <c r="I101" s="261" t="s">
        <v>1103</v>
      </c>
      <c r="J101" s="261" t="s">
        <v>759</v>
      </c>
      <c r="K101" s="261" t="s">
        <v>1690</v>
      </c>
      <c r="L101" s="261" t="s">
        <v>1139</v>
      </c>
      <c r="M101" s="261" t="s">
        <v>229</v>
      </c>
      <c r="N101" s="261" t="s">
        <v>762</v>
      </c>
      <c r="O101" s="261" t="s">
        <v>128</v>
      </c>
      <c r="P101" s="261" t="s">
        <v>417</v>
      </c>
      <c r="Q101" s="261" t="s">
        <v>682</v>
      </c>
      <c r="R101" s="261" t="str">
        <f t="shared" si="4"/>
        <v>(Water) Overdrive Punisher +15%</v>
      </c>
      <c r="S101" s="330" t="str">
        <f t="shared" si="5"/>
        <v>(Water) HP +15%</v>
      </c>
    </row>
    <row r="102" spans="1:19" x14ac:dyDescent="0.2">
      <c r="A102" s="306" t="s">
        <v>1694</v>
      </c>
      <c r="B102" s="261" t="s">
        <v>15094</v>
      </c>
      <c r="C102" s="261" t="s">
        <v>1695</v>
      </c>
      <c r="D102" s="261" t="s">
        <v>1696</v>
      </c>
      <c r="E102" s="261" t="str">
        <f t="shared" si="3"/>
        <v>Aqueous Auspex</v>
      </c>
      <c r="F102" s="261" t="s">
        <v>1697</v>
      </c>
      <c r="G102" s="261">
        <v>5</v>
      </c>
      <c r="H102" s="261" t="s">
        <v>121</v>
      </c>
      <c r="I102" s="261" t="s">
        <v>1103</v>
      </c>
      <c r="J102" s="261" t="s">
        <v>839</v>
      </c>
      <c r="K102" s="261" t="s">
        <v>1705</v>
      </c>
      <c r="L102" s="261" t="s">
        <v>1704</v>
      </c>
      <c r="M102" s="261" t="s">
        <v>1196</v>
      </c>
      <c r="N102" s="261" t="s">
        <v>466</v>
      </c>
      <c r="O102" s="261" t="s">
        <v>1194</v>
      </c>
      <c r="P102" s="261" t="s">
        <v>2620</v>
      </c>
      <c r="Q102" s="261" t="s">
        <v>6601</v>
      </c>
      <c r="R102" s="261" t="str">
        <f t="shared" si="4"/>
        <v>(Water) 15 Hits = Overdamage</v>
      </c>
      <c r="S102" s="330" t="str">
        <f t="shared" si="5"/>
        <v>(Water) Critical Rate +15%</v>
      </c>
    </row>
    <row r="103" spans="1:19" x14ac:dyDescent="0.2">
      <c r="A103" s="306" t="s">
        <v>1708</v>
      </c>
      <c r="B103" s="261" t="s">
        <v>15095</v>
      </c>
      <c r="C103" s="261" t="s">
        <v>1709</v>
      </c>
      <c r="D103" s="261" t="s">
        <v>1710</v>
      </c>
      <c r="E103" s="261" t="str">
        <f t="shared" si="3"/>
        <v>Artistry's Pinnacle</v>
      </c>
      <c r="F103" s="261" t="s">
        <v>1711</v>
      </c>
      <c r="G103" s="261">
        <v>5</v>
      </c>
      <c r="H103" s="261" t="s">
        <v>260</v>
      </c>
      <c r="I103" s="261" t="s">
        <v>1103</v>
      </c>
      <c r="J103" s="261" t="s">
        <v>839</v>
      </c>
      <c r="K103" s="261" t="s">
        <v>1719</v>
      </c>
      <c r="L103" s="261" t="s">
        <v>1216</v>
      </c>
      <c r="M103" s="261" t="s">
        <v>1722</v>
      </c>
      <c r="N103" s="261" t="s">
        <v>842</v>
      </c>
      <c r="O103" s="261" t="s">
        <v>1718</v>
      </c>
      <c r="P103" s="261" t="s">
        <v>2620</v>
      </c>
      <c r="Q103" s="261" t="s">
        <v>6893</v>
      </c>
      <c r="R103" s="261" t="str">
        <f t="shared" si="4"/>
        <v>(Water) 15 Hits = Overdamage</v>
      </c>
      <c r="S103" s="330" t="str">
        <f t="shared" si="5"/>
        <v>(Water) Skill Damage +40%</v>
      </c>
    </row>
    <row r="104" spans="1:19" x14ac:dyDescent="0.2">
      <c r="A104" s="306" t="s">
        <v>1725</v>
      </c>
      <c r="B104" s="261" t="s">
        <v>15096</v>
      </c>
      <c r="C104" s="261" t="s">
        <v>1726</v>
      </c>
      <c r="D104" s="261" t="s">
        <v>1727</v>
      </c>
      <c r="E104" s="261" t="str">
        <f t="shared" si="3"/>
        <v>Belle Forager</v>
      </c>
      <c r="F104" s="261" t="s">
        <v>1728</v>
      </c>
      <c r="G104" s="261">
        <v>5</v>
      </c>
      <c r="H104" s="261" t="s">
        <v>121</v>
      </c>
      <c r="I104" s="261" t="s">
        <v>1103</v>
      </c>
      <c r="J104" s="261" t="s">
        <v>839</v>
      </c>
      <c r="K104" s="261" t="s">
        <v>1736</v>
      </c>
      <c r="L104" s="261" t="s">
        <v>132</v>
      </c>
      <c r="M104" s="261" t="s">
        <v>174</v>
      </c>
      <c r="N104" s="261" t="s">
        <v>842</v>
      </c>
      <c r="O104" s="261" t="s">
        <v>1194</v>
      </c>
      <c r="P104" s="261" t="s">
        <v>6893</v>
      </c>
      <c r="Q104" s="261" t="s">
        <v>618</v>
      </c>
      <c r="R104" s="261" t="str">
        <f t="shared" si="4"/>
        <v>(Water) Skill Damage +40%</v>
      </c>
      <c r="S104" s="330" t="str">
        <f t="shared" si="5"/>
        <v>(Water) Defense +20%</v>
      </c>
    </row>
    <row r="105" spans="1:19" x14ac:dyDescent="0.2">
      <c r="A105" s="306" t="s">
        <v>1740</v>
      </c>
      <c r="B105" s="261" t="s">
        <v>15097</v>
      </c>
      <c r="C105" s="261" t="s">
        <v>1741</v>
      </c>
      <c r="D105" s="261" t="s">
        <v>1742</v>
      </c>
      <c r="E105" s="261" t="str">
        <f t="shared" si="3"/>
        <v>Ravenous Researcher</v>
      </c>
      <c r="F105" s="261" t="s">
        <v>1743</v>
      </c>
      <c r="G105" s="261">
        <v>5</v>
      </c>
      <c r="H105" s="261" t="s">
        <v>121</v>
      </c>
      <c r="I105" s="261" t="s">
        <v>1103</v>
      </c>
      <c r="J105" s="261" t="s">
        <v>839</v>
      </c>
      <c r="K105" s="261" t="s">
        <v>1750</v>
      </c>
      <c r="L105" s="261" t="s">
        <v>1139</v>
      </c>
      <c r="M105" s="261" t="s">
        <v>670</v>
      </c>
      <c r="N105" s="261" t="s">
        <v>842</v>
      </c>
      <c r="O105" s="261" t="s">
        <v>280</v>
      </c>
      <c r="P105" s="261" t="s">
        <v>6601</v>
      </c>
      <c r="Q105" s="261" t="s">
        <v>417</v>
      </c>
      <c r="R105" s="261" t="str">
        <f t="shared" si="4"/>
        <v>(Water) Critical Rate +15%</v>
      </c>
      <c r="S105" s="330" t="str">
        <f t="shared" si="5"/>
        <v>(Water) Overdrive Punisher +15%</v>
      </c>
    </row>
    <row r="106" spans="1:19" x14ac:dyDescent="0.2">
      <c r="A106" s="306" t="s">
        <v>1753</v>
      </c>
      <c r="B106" s="261" t="s">
        <v>15098</v>
      </c>
      <c r="C106" s="261" t="s">
        <v>1754</v>
      </c>
      <c r="D106" s="261" t="s">
        <v>1755</v>
      </c>
      <c r="E106" s="261" t="str">
        <f t="shared" si="3"/>
        <v>Crystalian Princess</v>
      </c>
      <c r="F106" s="261" t="s">
        <v>1756</v>
      </c>
      <c r="G106" s="261">
        <v>5</v>
      </c>
      <c r="H106" s="261" t="s">
        <v>121</v>
      </c>
      <c r="I106" s="261" t="s">
        <v>1103</v>
      </c>
      <c r="J106" s="261" t="s">
        <v>839</v>
      </c>
      <c r="K106" s="261" t="s">
        <v>1762</v>
      </c>
      <c r="L106" s="261" t="s">
        <v>1139</v>
      </c>
      <c r="M106" s="261" t="s">
        <v>670</v>
      </c>
      <c r="N106" s="261" t="s">
        <v>842</v>
      </c>
      <c r="O106" s="261" t="s">
        <v>1194</v>
      </c>
      <c r="P106" s="261" t="s">
        <v>316</v>
      </c>
      <c r="Q106" s="261" t="s">
        <v>618</v>
      </c>
      <c r="R106" s="261" t="str">
        <f t="shared" si="4"/>
        <v>(Water) Skill Haste +10%</v>
      </c>
      <c r="S106" s="330" t="str">
        <f t="shared" si="5"/>
        <v>(Water) Defense +20%</v>
      </c>
    </row>
    <row r="107" spans="1:19" x14ac:dyDescent="0.2">
      <c r="A107" s="306" t="s">
        <v>1766</v>
      </c>
      <c r="B107" s="261" t="s">
        <v>15099</v>
      </c>
      <c r="C107" s="261" t="s">
        <v>1767</v>
      </c>
      <c r="D107" s="261" t="s">
        <v>1768</v>
      </c>
      <c r="E107" s="261" t="str">
        <f t="shared" si="3"/>
        <v>Sentient Vegetable</v>
      </c>
      <c r="F107" s="261" t="s">
        <v>1769</v>
      </c>
      <c r="G107" s="261">
        <v>4</v>
      </c>
      <c r="H107" s="261" t="s">
        <v>260</v>
      </c>
      <c r="I107" s="261" t="s">
        <v>1103</v>
      </c>
      <c r="J107" s="261" t="s">
        <v>839</v>
      </c>
      <c r="K107" s="261" t="s">
        <v>1778</v>
      </c>
      <c r="L107" s="261" t="s">
        <v>1139</v>
      </c>
      <c r="M107" s="261" t="s">
        <v>1779</v>
      </c>
      <c r="N107" s="261" t="s">
        <v>842</v>
      </c>
      <c r="O107" s="261" t="s">
        <v>280</v>
      </c>
      <c r="P107" s="261" t="s">
        <v>6911</v>
      </c>
      <c r="Q107" s="261" t="s">
        <v>6601</v>
      </c>
      <c r="R107" s="261" t="str">
        <f t="shared" si="4"/>
        <v>(Water) Strength +20%</v>
      </c>
      <c r="S107" s="330" t="str">
        <f t="shared" si="5"/>
        <v>(Water) Critical Rate +15%</v>
      </c>
    </row>
    <row r="108" spans="1:19" x14ac:dyDescent="0.2">
      <c r="A108" s="306" t="s">
        <v>1782</v>
      </c>
      <c r="B108" s="261" t="s">
        <v>15100</v>
      </c>
      <c r="C108" s="261" t="s">
        <v>1783</v>
      </c>
      <c r="D108" s="261" t="s">
        <v>1784</v>
      </c>
      <c r="E108" s="261" t="str">
        <f t="shared" si="3"/>
        <v>Beachside Preacher</v>
      </c>
      <c r="F108" s="261" t="s">
        <v>1785</v>
      </c>
      <c r="G108" s="261">
        <v>4</v>
      </c>
      <c r="H108" s="261" t="s">
        <v>260</v>
      </c>
      <c r="I108" s="261" t="s">
        <v>1103</v>
      </c>
      <c r="J108" s="261" t="s">
        <v>839</v>
      </c>
      <c r="K108" s="261" t="s">
        <v>8370</v>
      </c>
      <c r="L108" s="261" t="s">
        <v>132</v>
      </c>
      <c r="M108" s="261" t="s">
        <v>1140</v>
      </c>
      <c r="N108" s="261" t="s">
        <v>842</v>
      </c>
      <c r="O108" s="261" t="s">
        <v>862</v>
      </c>
      <c r="P108" s="261" t="s">
        <v>6601</v>
      </c>
      <c r="Q108" s="261" t="s">
        <v>7129</v>
      </c>
      <c r="R108" s="261" t="str">
        <f t="shared" si="4"/>
        <v>(Water) Critical Rate +15%</v>
      </c>
      <c r="S108" s="330" t="str">
        <f t="shared" si="5"/>
        <v>(Water) Combo Time +2</v>
      </c>
    </row>
    <row r="109" spans="1:19" x14ac:dyDescent="0.2">
      <c r="A109" s="306" t="s">
        <v>1794</v>
      </c>
      <c r="B109" s="261" t="s">
        <v>15101</v>
      </c>
      <c r="C109" s="261" t="s">
        <v>1795</v>
      </c>
      <c r="D109" s="261" t="s">
        <v>1796</v>
      </c>
      <c r="E109" s="261" t="str">
        <f t="shared" si="3"/>
        <v>King Starfall</v>
      </c>
      <c r="F109" s="261" t="s">
        <v>1797</v>
      </c>
      <c r="G109" s="261">
        <v>4</v>
      </c>
      <c r="H109" s="261" t="s">
        <v>121</v>
      </c>
      <c r="I109" s="261" t="s">
        <v>1103</v>
      </c>
      <c r="J109" s="261" t="s">
        <v>839</v>
      </c>
      <c r="K109" s="261" t="s">
        <v>1805</v>
      </c>
      <c r="L109" s="261" t="s">
        <v>132</v>
      </c>
      <c r="M109" s="261" t="s">
        <v>319</v>
      </c>
      <c r="N109" s="261" t="s">
        <v>842</v>
      </c>
      <c r="O109" s="261" t="s">
        <v>1194</v>
      </c>
      <c r="P109" s="261" t="s">
        <v>417</v>
      </c>
      <c r="Q109" s="261" t="s">
        <v>316</v>
      </c>
      <c r="R109" s="261" t="str">
        <f t="shared" si="4"/>
        <v>(Water) Overdrive Punisher +15%</v>
      </c>
      <c r="S109" s="330" t="str">
        <f t="shared" si="5"/>
        <v>(Water) Skill Haste +10%</v>
      </c>
    </row>
    <row r="110" spans="1:19" x14ac:dyDescent="0.2">
      <c r="A110" s="306" t="s">
        <v>1809</v>
      </c>
      <c r="B110" s="261" t="s">
        <v>15102</v>
      </c>
      <c r="C110" s="261" t="s">
        <v>1810</v>
      </c>
      <c r="D110" s="261" t="s">
        <v>1811</v>
      </c>
      <c r="E110" s="261" t="str">
        <f t="shared" si="3"/>
        <v>Angel of Information</v>
      </c>
      <c r="F110" s="261" t="s">
        <v>1812</v>
      </c>
      <c r="G110" s="261">
        <v>5</v>
      </c>
      <c r="H110" s="261" t="s">
        <v>967</v>
      </c>
      <c r="I110" s="261" t="s">
        <v>1103</v>
      </c>
      <c r="J110" s="261" t="s">
        <v>949</v>
      </c>
      <c r="K110" s="261" t="s">
        <v>1822</v>
      </c>
      <c r="L110" s="261" t="s">
        <v>132</v>
      </c>
      <c r="M110" s="261" t="s">
        <v>1821</v>
      </c>
      <c r="N110" s="261" t="s">
        <v>970</v>
      </c>
      <c r="O110" s="261" t="s">
        <v>1819</v>
      </c>
      <c r="P110" s="261" t="s">
        <v>2620</v>
      </c>
      <c r="Q110" s="261" t="s">
        <v>14997</v>
      </c>
      <c r="R110" s="261" t="str">
        <f t="shared" si="4"/>
        <v>(Water) 15 Hits = Overdamage</v>
      </c>
      <c r="S110" s="330" t="str">
        <f t="shared" si="5"/>
        <v>(Water) Critical Damage +25%</v>
      </c>
    </row>
    <row r="111" spans="1:19" x14ac:dyDescent="0.2">
      <c r="A111" s="306" t="s">
        <v>1825</v>
      </c>
      <c r="B111" s="261" t="s">
        <v>15103</v>
      </c>
      <c r="C111" s="261" t="s">
        <v>1826</v>
      </c>
      <c r="D111" s="261" t="s">
        <v>1827</v>
      </c>
      <c r="E111" s="261" t="str">
        <f t="shared" si="3"/>
        <v>Princess Starfall</v>
      </c>
      <c r="F111" s="261" t="s">
        <v>1828</v>
      </c>
      <c r="G111" s="261">
        <v>5</v>
      </c>
      <c r="H111" s="261" t="s">
        <v>967</v>
      </c>
      <c r="I111" s="261" t="s">
        <v>1103</v>
      </c>
      <c r="J111" s="261" t="s">
        <v>949</v>
      </c>
      <c r="K111" s="261" t="s">
        <v>1837</v>
      </c>
      <c r="L111" s="261" t="s">
        <v>1216</v>
      </c>
      <c r="M111" s="261" t="s">
        <v>6911</v>
      </c>
      <c r="N111" s="261" t="s">
        <v>970</v>
      </c>
      <c r="O111" s="261" t="s">
        <v>128</v>
      </c>
      <c r="P111" s="261" t="s">
        <v>2620</v>
      </c>
      <c r="Q111" s="261" t="s">
        <v>618</v>
      </c>
      <c r="R111" s="261" t="str">
        <f t="shared" si="4"/>
        <v>(Water) 15 Hits = Overdamage</v>
      </c>
      <c r="S111" s="330" t="str">
        <f t="shared" si="5"/>
        <v>(Water) Defense +20%</v>
      </c>
    </row>
    <row r="112" spans="1:19" x14ac:dyDescent="0.2">
      <c r="A112" s="306" t="s">
        <v>1840</v>
      </c>
      <c r="B112" s="261" t="s">
        <v>15104</v>
      </c>
      <c r="C112" s="261" t="s">
        <v>1841</v>
      </c>
      <c r="D112" s="261" t="s">
        <v>1842</v>
      </c>
      <c r="E112" s="261" t="str">
        <f t="shared" si="3"/>
        <v>Quirky Qilin</v>
      </c>
      <c r="F112" s="261" t="s">
        <v>1843</v>
      </c>
      <c r="G112" s="261">
        <v>5</v>
      </c>
      <c r="H112" s="261" t="s">
        <v>967</v>
      </c>
      <c r="I112" s="261" t="s">
        <v>1103</v>
      </c>
      <c r="J112" s="261" t="s">
        <v>949</v>
      </c>
      <c r="K112" s="261" t="s">
        <v>1851</v>
      </c>
      <c r="L112" s="261" t="s">
        <v>1139</v>
      </c>
      <c r="M112" s="261" t="s">
        <v>1031</v>
      </c>
      <c r="N112" s="261" t="s">
        <v>970</v>
      </c>
      <c r="O112" s="261" t="s">
        <v>190</v>
      </c>
      <c r="P112" s="261" t="s">
        <v>316</v>
      </c>
      <c r="Q112" s="261" t="s">
        <v>970</v>
      </c>
      <c r="R112" s="261" t="str">
        <f t="shared" si="4"/>
        <v>(Water) Skill Haste +10%</v>
      </c>
      <c r="S112" s="330" t="str">
        <f t="shared" si="5"/>
        <v>(Water) Recovery Potency +20%</v>
      </c>
    </row>
    <row r="113" spans="1:19" x14ac:dyDescent="0.2">
      <c r="A113" s="306" t="s">
        <v>1854</v>
      </c>
      <c r="B113" s="261" t="s">
        <v>15105</v>
      </c>
      <c r="C113" s="261" t="s">
        <v>1855</v>
      </c>
      <c r="D113" s="261" t="s">
        <v>1856</v>
      </c>
      <c r="E113" s="261" t="str">
        <f t="shared" si="3"/>
        <v>Battle-Tested Nurse</v>
      </c>
      <c r="F113" s="261" t="s">
        <v>1857</v>
      </c>
      <c r="G113" s="261">
        <v>4</v>
      </c>
      <c r="H113" s="261" t="s">
        <v>967</v>
      </c>
      <c r="I113" s="261" t="s">
        <v>1103</v>
      </c>
      <c r="J113" s="261" t="s">
        <v>949</v>
      </c>
      <c r="K113" s="261" t="s">
        <v>1864</v>
      </c>
      <c r="L113" s="261" t="s">
        <v>132</v>
      </c>
      <c r="M113" s="261" t="s">
        <v>319</v>
      </c>
      <c r="N113" s="261" t="s">
        <v>970</v>
      </c>
      <c r="O113" s="261" t="s">
        <v>280</v>
      </c>
      <c r="P113" s="261" t="s">
        <v>682</v>
      </c>
      <c r="Q113" s="261" t="s">
        <v>970</v>
      </c>
      <c r="R113" s="261" t="str">
        <f t="shared" si="4"/>
        <v>(Water) HP +15%</v>
      </c>
      <c r="S113" s="330" t="str">
        <f t="shared" si="5"/>
        <v>(Water) Recovery Potency +20%</v>
      </c>
    </row>
    <row r="114" spans="1:19" x14ac:dyDescent="0.2">
      <c r="A114" s="306" t="s">
        <v>1867</v>
      </c>
      <c r="B114" s="261" t="s">
        <v>15106</v>
      </c>
      <c r="C114" s="261" t="s">
        <v>1868</v>
      </c>
      <c r="D114" s="261" t="s">
        <v>1869</v>
      </c>
      <c r="E114" s="261" t="str">
        <f t="shared" si="3"/>
        <v>Shifty Sailor</v>
      </c>
      <c r="F114" s="261" t="s">
        <v>1870</v>
      </c>
      <c r="G114" s="261">
        <v>4</v>
      </c>
      <c r="H114" s="261" t="s">
        <v>967</v>
      </c>
      <c r="I114" s="261" t="s">
        <v>1103</v>
      </c>
      <c r="J114" s="261" t="s">
        <v>949</v>
      </c>
      <c r="K114" s="261" t="s">
        <v>1878</v>
      </c>
      <c r="L114" s="261" t="s">
        <v>1139</v>
      </c>
      <c r="M114" s="261" t="s">
        <v>1031</v>
      </c>
      <c r="N114" s="261" t="s">
        <v>970</v>
      </c>
      <c r="O114" s="261" t="s">
        <v>128</v>
      </c>
      <c r="P114" s="261" t="s">
        <v>6911</v>
      </c>
      <c r="Q114" s="261" t="s">
        <v>970</v>
      </c>
      <c r="R114" s="261" t="str">
        <f t="shared" si="4"/>
        <v>(Water) Strength +20%</v>
      </c>
      <c r="S114" s="330" t="str">
        <f t="shared" si="5"/>
        <v>(Water) Recovery Potency +20%</v>
      </c>
    </row>
    <row r="115" spans="1:19" x14ac:dyDescent="0.2">
      <c r="A115" s="306" t="s">
        <v>1880</v>
      </c>
      <c r="B115" s="261" t="s">
        <v>15107</v>
      </c>
      <c r="C115" s="261" t="s">
        <v>1881</v>
      </c>
      <c r="D115" s="261" t="s">
        <v>1882</v>
      </c>
      <c r="E115" s="261" t="str">
        <f t="shared" si="3"/>
        <v>Kindly Coward</v>
      </c>
      <c r="F115" s="261" t="s">
        <v>1883</v>
      </c>
      <c r="G115" s="261">
        <v>3</v>
      </c>
      <c r="H115" s="261" t="s">
        <v>967</v>
      </c>
      <c r="I115" s="261" t="s">
        <v>1103</v>
      </c>
      <c r="J115" s="261" t="s">
        <v>949</v>
      </c>
      <c r="K115" s="261" t="s">
        <v>1890</v>
      </c>
      <c r="L115" s="261" t="s">
        <v>132</v>
      </c>
      <c r="M115" s="261" t="s">
        <v>1366</v>
      </c>
      <c r="N115" s="261" t="s">
        <v>970</v>
      </c>
      <c r="O115" s="261" t="s">
        <v>315</v>
      </c>
      <c r="P115" s="261" t="s">
        <v>682</v>
      </c>
      <c r="Q115" s="261" t="s">
        <v>618</v>
      </c>
      <c r="R115" s="261" t="str">
        <f t="shared" si="4"/>
        <v>(Water) HP +15%</v>
      </c>
      <c r="S115" s="330" t="str">
        <f t="shared" si="5"/>
        <v>(Water) Defense +20%</v>
      </c>
    </row>
    <row r="116" spans="1:19" x14ac:dyDescent="0.2">
      <c r="A116" s="306" t="s">
        <v>1894</v>
      </c>
      <c r="B116" s="261" t="s">
        <v>15108</v>
      </c>
      <c r="C116" s="261" t="s">
        <v>1895</v>
      </c>
      <c r="D116" s="261" t="s">
        <v>1896</v>
      </c>
      <c r="E116" s="261" t="str">
        <f t="shared" si="3"/>
        <v>Sylvan Sharpshooter</v>
      </c>
      <c r="F116" s="261" t="s">
        <v>1897</v>
      </c>
      <c r="G116" s="261">
        <v>5</v>
      </c>
      <c r="H116" s="261" t="s">
        <v>121</v>
      </c>
      <c r="I116" s="261" t="s">
        <v>1103</v>
      </c>
      <c r="J116" s="261" t="s">
        <v>1054</v>
      </c>
      <c r="K116" s="261" t="s">
        <v>1905</v>
      </c>
      <c r="L116" s="261" t="s">
        <v>132</v>
      </c>
      <c r="M116" s="261" t="s">
        <v>1605</v>
      </c>
      <c r="N116" s="261" t="s">
        <v>1057</v>
      </c>
      <c r="O116" s="261" t="s">
        <v>795</v>
      </c>
      <c r="P116" s="261" t="s">
        <v>6911</v>
      </c>
      <c r="Q116" s="261" t="s">
        <v>316</v>
      </c>
      <c r="R116" s="261" t="str">
        <f t="shared" si="4"/>
        <v>(Water) Strength +20%</v>
      </c>
      <c r="S116" s="330" t="str">
        <f t="shared" si="5"/>
        <v>(Water) Skill Haste +10%</v>
      </c>
    </row>
    <row r="117" spans="1:19" x14ac:dyDescent="0.2">
      <c r="A117" s="306" t="s">
        <v>1909</v>
      </c>
      <c r="B117" s="261" t="s">
        <v>15109</v>
      </c>
      <c r="C117" s="261" t="s">
        <v>1910</v>
      </c>
      <c r="D117" s="261" t="s">
        <v>1911</v>
      </c>
      <c r="E117" s="261" t="str">
        <f t="shared" si="3"/>
        <v>Leader of the Rooster Clan</v>
      </c>
      <c r="F117" s="261" t="s">
        <v>1912</v>
      </c>
      <c r="G117" s="261">
        <v>5</v>
      </c>
      <c r="H117" s="261" t="s">
        <v>121</v>
      </c>
      <c r="I117" s="261" t="s">
        <v>1103</v>
      </c>
      <c r="J117" s="261" t="s">
        <v>1054</v>
      </c>
      <c r="K117" s="261" t="s">
        <v>1920</v>
      </c>
      <c r="L117" s="261" t="s">
        <v>132</v>
      </c>
      <c r="M117" s="261" t="s">
        <v>229</v>
      </c>
      <c r="N117" s="261" t="s">
        <v>1057</v>
      </c>
      <c r="O117" s="261" t="s">
        <v>128</v>
      </c>
      <c r="P117" s="261" t="s">
        <v>2620</v>
      </c>
      <c r="Q117" s="261" t="s">
        <v>417</v>
      </c>
      <c r="R117" s="261" t="str">
        <f t="shared" si="4"/>
        <v>(Water) 15 Hits = Overdamage</v>
      </c>
      <c r="S117" s="330" t="str">
        <f t="shared" si="5"/>
        <v>(Water) Overdrive Punisher +15%</v>
      </c>
    </row>
    <row r="118" spans="1:19" x14ac:dyDescent="0.2">
      <c r="A118" s="306" t="s">
        <v>1924</v>
      </c>
      <c r="B118" s="261" t="s">
        <v>15110</v>
      </c>
      <c r="C118" s="261" t="s">
        <v>1925</v>
      </c>
      <c r="D118" s="261" t="s">
        <v>1926</v>
      </c>
      <c r="E118" s="261" t="str">
        <f t="shared" si="3"/>
        <v>The Blue Rose</v>
      </c>
      <c r="F118" s="261" t="s">
        <v>1927</v>
      </c>
      <c r="G118" s="261">
        <v>5</v>
      </c>
      <c r="H118" s="261" t="s">
        <v>121</v>
      </c>
      <c r="I118" s="261" t="s">
        <v>1103</v>
      </c>
      <c r="J118" s="261" t="s">
        <v>1054</v>
      </c>
      <c r="K118" s="261" t="s">
        <v>1935</v>
      </c>
      <c r="L118" s="261" t="s">
        <v>132</v>
      </c>
      <c r="M118" s="261" t="s">
        <v>1936</v>
      </c>
      <c r="N118" s="261" t="s">
        <v>1057</v>
      </c>
      <c r="O118" s="261" t="s">
        <v>128</v>
      </c>
      <c r="P118" s="261" t="s">
        <v>6911</v>
      </c>
      <c r="Q118" s="261" t="s">
        <v>336</v>
      </c>
      <c r="R118" s="261" t="str">
        <f t="shared" si="4"/>
        <v>(Water) Strength +20%</v>
      </c>
      <c r="S118" s="330" t="str">
        <f t="shared" si="5"/>
        <v>(Water) Force Strike +50%</v>
      </c>
    </row>
    <row r="119" spans="1:19" x14ac:dyDescent="0.2">
      <c r="A119" s="306" t="s">
        <v>1940</v>
      </c>
      <c r="B119" s="261" t="s">
        <v>15111</v>
      </c>
      <c r="C119" s="261" t="s">
        <v>1941</v>
      </c>
      <c r="D119" s="261" t="s">
        <v>1942</v>
      </c>
      <c r="E119" s="261" t="str">
        <f t="shared" si="3"/>
        <v>Bondforged Scion</v>
      </c>
      <c r="F119" s="261" t="s">
        <v>1943</v>
      </c>
      <c r="G119" s="261">
        <v>5</v>
      </c>
      <c r="H119" s="261" t="s">
        <v>121</v>
      </c>
      <c r="I119" s="261" t="s">
        <v>1947</v>
      </c>
      <c r="J119" s="261" t="s">
        <v>123</v>
      </c>
      <c r="K119" s="261" t="s">
        <v>1952</v>
      </c>
      <c r="L119" s="261" t="s">
        <v>1955</v>
      </c>
      <c r="M119" s="261" t="s">
        <v>1954</v>
      </c>
      <c r="N119" s="261" t="s">
        <v>1950</v>
      </c>
      <c r="O119" s="261" t="s">
        <v>280</v>
      </c>
      <c r="P119" s="261" t="s">
        <v>2620</v>
      </c>
      <c r="Q119" s="261" t="s">
        <v>6911</v>
      </c>
      <c r="R119" s="261" t="str">
        <f t="shared" si="4"/>
        <v>(Wind) 15 Hits = Overdamage</v>
      </c>
      <c r="S119" s="330" t="str">
        <f t="shared" si="5"/>
        <v>(Wind) Strength +20%</v>
      </c>
    </row>
    <row r="120" spans="1:19" x14ac:dyDescent="0.2">
      <c r="A120" s="306" t="s">
        <v>1959</v>
      </c>
      <c r="B120" s="261" t="s">
        <v>15112</v>
      </c>
      <c r="C120" s="261" t="s">
        <v>1960</v>
      </c>
      <c r="D120" s="261" t="s">
        <v>1961</v>
      </c>
      <c r="E120" s="261" t="str">
        <f t="shared" si="3"/>
        <v>Inheritor of the Wing</v>
      </c>
      <c r="F120" s="261" t="s">
        <v>1962</v>
      </c>
      <c r="G120" s="261">
        <v>5</v>
      </c>
      <c r="H120" s="261" t="s">
        <v>121</v>
      </c>
      <c r="I120" s="261" t="s">
        <v>1947</v>
      </c>
      <c r="J120" s="261" t="s">
        <v>123</v>
      </c>
      <c r="K120" s="261" t="s">
        <v>1971</v>
      </c>
      <c r="L120" s="261" t="s">
        <v>1972</v>
      </c>
      <c r="M120" s="261" t="s">
        <v>519</v>
      </c>
      <c r="N120" s="261" t="s">
        <v>126</v>
      </c>
      <c r="O120" s="261" t="s">
        <v>245</v>
      </c>
      <c r="P120" s="261" t="s">
        <v>6893</v>
      </c>
      <c r="Q120" s="261" t="s">
        <v>2974</v>
      </c>
      <c r="R120" s="261" t="str">
        <f t="shared" si="4"/>
        <v>(Wind) Skill Damage +40%</v>
      </c>
      <c r="S120" s="330" t="str">
        <f t="shared" si="5"/>
        <v>(Wind) Elemental Res +15%</v>
      </c>
    </row>
    <row r="121" spans="1:19" x14ac:dyDescent="0.2">
      <c r="A121" s="306" t="s">
        <v>1976</v>
      </c>
      <c r="B121" s="261" t="s">
        <v>15113</v>
      </c>
      <c r="C121" s="261" t="s">
        <v>1977</v>
      </c>
      <c r="D121" s="261" t="s">
        <v>1978</v>
      </c>
      <c r="E121" s="261" t="str">
        <f t="shared" si="3"/>
        <v>Feline Guide</v>
      </c>
      <c r="F121" s="261" t="s">
        <v>1979</v>
      </c>
      <c r="G121" s="261">
        <v>5</v>
      </c>
      <c r="H121" s="261" t="s">
        <v>121</v>
      </c>
      <c r="I121" s="261" t="s">
        <v>1947</v>
      </c>
      <c r="J121" s="261" t="s">
        <v>123</v>
      </c>
      <c r="K121" s="261" t="s">
        <v>1989</v>
      </c>
      <c r="L121" s="261" t="s">
        <v>1972</v>
      </c>
      <c r="M121" s="261" t="s">
        <v>581</v>
      </c>
      <c r="N121" s="261" t="s">
        <v>1985</v>
      </c>
      <c r="O121" s="261" t="s">
        <v>1987</v>
      </c>
      <c r="P121" s="261" t="s">
        <v>6601</v>
      </c>
      <c r="Q121" s="261" t="s">
        <v>6552</v>
      </c>
      <c r="R121" s="261" t="str">
        <f t="shared" si="4"/>
        <v>(Wind) Critical Rate +15%</v>
      </c>
      <c r="S121" s="330" t="str">
        <f t="shared" si="5"/>
        <v>(Wind) Attack Rate +20%</v>
      </c>
    </row>
    <row r="122" spans="1:19" x14ac:dyDescent="0.2">
      <c r="A122" s="306" t="s">
        <v>1992</v>
      </c>
      <c r="B122" s="261" t="s">
        <v>15114</v>
      </c>
      <c r="C122" s="261" t="s">
        <v>1993</v>
      </c>
      <c r="D122" s="261" t="s">
        <v>1994</v>
      </c>
      <c r="E122" s="261" t="str">
        <f t="shared" si="3"/>
        <v>White Sparrow</v>
      </c>
      <c r="F122" s="261" t="s">
        <v>1995</v>
      </c>
      <c r="G122" s="261">
        <v>5</v>
      </c>
      <c r="H122" s="261" t="s">
        <v>241</v>
      </c>
      <c r="I122" s="261" t="s">
        <v>1947</v>
      </c>
      <c r="J122" s="261" t="s">
        <v>123</v>
      </c>
      <c r="K122" s="261" t="s">
        <v>2005</v>
      </c>
      <c r="L122" s="261" t="s">
        <v>1955</v>
      </c>
      <c r="M122" s="261" t="s">
        <v>2004</v>
      </c>
      <c r="N122" s="261" t="s">
        <v>2001</v>
      </c>
      <c r="O122" s="261" t="s">
        <v>128</v>
      </c>
      <c r="P122" s="261" t="s">
        <v>2620</v>
      </c>
      <c r="Q122" s="261" t="s">
        <v>417</v>
      </c>
      <c r="R122" s="261" t="str">
        <f t="shared" si="4"/>
        <v>(Wind) 15 Hits = Overdamage</v>
      </c>
      <c r="S122" s="330" t="str">
        <f t="shared" si="5"/>
        <v>(Wind) Overdrive Punisher +15%</v>
      </c>
    </row>
    <row r="123" spans="1:19" x14ac:dyDescent="0.2">
      <c r="A123" s="306" t="s">
        <v>2009</v>
      </c>
      <c r="B123" s="261" t="s">
        <v>15115</v>
      </c>
      <c r="C123" s="261" t="s">
        <v>2010</v>
      </c>
      <c r="D123" s="261" t="s">
        <v>2011</v>
      </c>
      <c r="E123" s="261" t="str">
        <f t="shared" si="3"/>
        <v>Battling Bride</v>
      </c>
      <c r="F123" s="261" t="s">
        <v>2012</v>
      </c>
      <c r="G123" s="261">
        <v>5</v>
      </c>
      <c r="H123" s="261" t="s">
        <v>260</v>
      </c>
      <c r="I123" s="261" t="s">
        <v>1947</v>
      </c>
      <c r="J123" s="261" t="s">
        <v>123</v>
      </c>
      <c r="K123" s="261" t="s">
        <v>2021</v>
      </c>
      <c r="L123" s="261" t="s">
        <v>2022</v>
      </c>
      <c r="M123" s="261" t="s">
        <v>301</v>
      </c>
      <c r="N123" s="261" t="s">
        <v>126</v>
      </c>
      <c r="O123" s="261" t="s">
        <v>128</v>
      </c>
      <c r="P123" s="261" t="s">
        <v>6911</v>
      </c>
      <c r="Q123" s="261" t="s">
        <v>682</v>
      </c>
      <c r="R123" s="261" t="str">
        <f t="shared" si="4"/>
        <v>(Wind) Strength +20%</v>
      </c>
      <c r="S123" s="330" t="str">
        <f t="shared" si="5"/>
        <v>(Wind) HP +15%</v>
      </c>
    </row>
    <row r="124" spans="1:19" x14ac:dyDescent="0.2">
      <c r="A124" s="306" t="s">
        <v>2026</v>
      </c>
      <c r="B124" s="261" t="s">
        <v>15116</v>
      </c>
      <c r="C124" s="261" t="s">
        <v>2027</v>
      </c>
      <c r="D124" s="261" t="s">
        <v>2028</v>
      </c>
      <c r="E124" s="261" t="str">
        <f t="shared" si="3"/>
        <v>Seasoned Tactician</v>
      </c>
      <c r="F124" s="261" t="s">
        <v>2029</v>
      </c>
      <c r="G124" s="261">
        <v>5</v>
      </c>
      <c r="H124" s="261" t="s">
        <v>121</v>
      </c>
      <c r="I124" s="261" t="s">
        <v>1947</v>
      </c>
      <c r="J124" s="261" t="s">
        <v>123</v>
      </c>
      <c r="K124" s="261" t="s">
        <v>2038</v>
      </c>
      <c r="L124" s="261" t="s">
        <v>1955</v>
      </c>
      <c r="M124" s="261" t="s">
        <v>910</v>
      </c>
      <c r="N124" s="261" t="s">
        <v>126</v>
      </c>
      <c r="O124" s="261" t="s">
        <v>245</v>
      </c>
      <c r="P124" s="261" t="s">
        <v>2620</v>
      </c>
      <c r="Q124" s="261" t="s">
        <v>2974</v>
      </c>
      <c r="R124" s="261" t="str">
        <f t="shared" si="4"/>
        <v>(Wind) 15 Hits = Overdamage</v>
      </c>
      <c r="S124" s="330" t="str">
        <f t="shared" si="5"/>
        <v>(Wind) Elemental Res +15%</v>
      </c>
    </row>
    <row r="125" spans="1:19" x14ac:dyDescent="0.2">
      <c r="A125" s="306" t="s">
        <v>2043</v>
      </c>
      <c r="B125" s="261" t="s">
        <v>15117</v>
      </c>
      <c r="C125" s="261" t="s">
        <v>2044</v>
      </c>
      <c r="D125" s="261" t="s">
        <v>2045</v>
      </c>
      <c r="E125" s="261" t="str">
        <f t="shared" si="3"/>
        <v>Budding Templar</v>
      </c>
      <c r="F125" s="261" t="s">
        <v>2046</v>
      </c>
      <c r="G125" s="261">
        <v>4</v>
      </c>
      <c r="H125" s="261" t="s">
        <v>241</v>
      </c>
      <c r="I125" s="261" t="s">
        <v>1947</v>
      </c>
      <c r="J125" s="261" t="s">
        <v>123</v>
      </c>
      <c r="K125" s="261" t="s">
        <v>1972</v>
      </c>
      <c r="L125" s="261" t="s">
        <v>2022</v>
      </c>
      <c r="M125" s="261" t="s">
        <v>1366</v>
      </c>
      <c r="N125" s="261" t="s">
        <v>126</v>
      </c>
      <c r="O125" s="261" t="s">
        <v>128</v>
      </c>
      <c r="P125" s="261" t="s">
        <v>316</v>
      </c>
      <c r="Q125" s="261" t="s">
        <v>970</v>
      </c>
      <c r="R125" s="261" t="str">
        <f t="shared" si="4"/>
        <v>(Wind) Skill Haste +10%</v>
      </c>
      <c r="S125" s="330" t="str">
        <f t="shared" si="5"/>
        <v>(Wind) Recovery Potency +20%</v>
      </c>
    </row>
    <row r="126" spans="1:19" x14ac:dyDescent="0.2">
      <c r="A126" s="306" t="s">
        <v>2057</v>
      </c>
      <c r="B126" s="261" t="s">
        <v>15118</v>
      </c>
      <c r="C126" s="261" t="s">
        <v>2058</v>
      </c>
      <c r="D126" s="261" t="s">
        <v>2059</v>
      </c>
      <c r="E126" s="261" t="str">
        <f t="shared" si="3"/>
        <v>Rambling Blade</v>
      </c>
      <c r="F126" s="261" t="s">
        <v>2060</v>
      </c>
      <c r="G126" s="261">
        <v>4</v>
      </c>
      <c r="H126" s="261" t="s">
        <v>121</v>
      </c>
      <c r="I126" s="261" t="s">
        <v>1947</v>
      </c>
      <c r="J126" s="261" t="s">
        <v>123</v>
      </c>
      <c r="K126" s="261" t="s">
        <v>581</v>
      </c>
      <c r="L126" s="261" t="s">
        <v>2022</v>
      </c>
      <c r="M126" s="261" t="s">
        <v>249</v>
      </c>
      <c r="N126" s="261" t="s">
        <v>126</v>
      </c>
      <c r="O126" s="261" t="s">
        <v>128</v>
      </c>
      <c r="P126" s="261" t="s">
        <v>14997</v>
      </c>
      <c r="Q126" s="261" t="s">
        <v>316</v>
      </c>
      <c r="R126" s="261" t="str">
        <f t="shared" si="4"/>
        <v>(Wind) Critical Damage +25%</v>
      </c>
      <c r="S126" s="330" t="str">
        <f t="shared" si="5"/>
        <v>(Wind) Skill Haste +10%</v>
      </c>
    </row>
    <row r="127" spans="1:19" x14ac:dyDescent="0.2">
      <c r="A127" s="306" t="s">
        <v>2072</v>
      </c>
      <c r="B127" s="261" t="s">
        <v>15119</v>
      </c>
      <c r="C127" s="261" t="s">
        <v>2073</v>
      </c>
      <c r="D127" s="261" t="s">
        <v>2074</v>
      </c>
      <c r="E127" s="261" t="str">
        <f t="shared" si="3"/>
        <v>The Black Raven</v>
      </c>
      <c r="F127" s="261" t="s">
        <v>2075</v>
      </c>
      <c r="G127" s="261">
        <v>5</v>
      </c>
      <c r="H127" s="261" t="s">
        <v>260</v>
      </c>
      <c r="I127" s="261" t="s">
        <v>1947</v>
      </c>
      <c r="J127" s="261" t="s">
        <v>330</v>
      </c>
      <c r="K127" s="261" t="s">
        <v>8370</v>
      </c>
      <c r="L127" s="261" t="s">
        <v>1972</v>
      </c>
      <c r="M127" s="261" t="s">
        <v>2083</v>
      </c>
      <c r="N127" s="261" t="s">
        <v>333</v>
      </c>
      <c r="O127" s="261" t="s">
        <v>1987</v>
      </c>
      <c r="P127" s="261" t="s">
        <v>6601</v>
      </c>
      <c r="Q127" s="261" t="s">
        <v>7129</v>
      </c>
      <c r="R127" s="261" t="str">
        <f t="shared" si="4"/>
        <v>(Wind) Critical Rate +15%</v>
      </c>
      <c r="S127" s="330" t="str">
        <f t="shared" si="5"/>
        <v>(Wind) Combo Time +2</v>
      </c>
    </row>
    <row r="128" spans="1:19" x14ac:dyDescent="0.2">
      <c r="A128" s="306" t="s">
        <v>2087</v>
      </c>
      <c r="B128" s="261" t="s">
        <v>15120</v>
      </c>
      <c r="C128" s="261" t="s">
        <v>2088</v>
      </c>
      <c r="D128" s="261" t="s">
        <v>2089</v>
      </c>
      <c r="E128" s="261" t="str">
        <f t="shared" si="3"/>
        <v>Midsummer Nightmare</v>
      </c>
      <c r="F128" s="261" t="s">
        <v>2090</v>
      </c>
      <c r="G128" s="261">
        <v>5</v>
      </c>
      <c r="H128" s="261" t="s">
        <v>121</v>
      </c>
      <c r="I128" s="261" t="s">
        <v>1947</v>
      </c>
      <c r="J128" s="261" t="s">
        <v>330</v>
      </c>
      <c r="K128" s="261" t="s">
        <v>2097</v>
      </c>
      <c r="L128" s="261" t="s">
        <v>1972</v>
      </c>
      <c r="M128" s="261" t="s">
        <v>910</v>
      </c>
      <c r="N128" s="261" t="s">
        <v>333</v>
      </c>
      <c r="O128" s="261" t="s">
        <v>280</v>
      </c>
      <c r="P128" s="261" t="s">
        <v>417</v>
      </c>
      <c r="Q128" s="261" t="s">
        <v>316</v>
      </c>
      <c r="R128" s="261" t="str">
        <f t="shared" si="4"/>
        <v>(Wind) Overdrive Punisher +15%</v>
      </c>
      <c r="S128" s="330" t="str">
        <f t="shared" si="5"/>
        <v>(Wind) Skill Haste +10%</v>
      </c>
    </row>
    <row r="129" spans="1:19" x14ac:dyDescent="0.2">
      <c r="A129" s="306" t="s">
        <v>2101</v>
      </c>
      <c r="B129" s="261" t="s">
        <v>15121</v>
      </c>
      <c r="C129" s="261" t="s">
        <v>2102</v>
      </c>
      <c r="D129" s="261" t="s">
        <v>2103</v>
      </c>
      <c r="E129" s="261" t="str">
        <f t="shared" si="3"/>
        <v>Foraging Chef</v>
      </c>
      <c r="F129" s="261" t="s">
        <v>2104</v>
      </c>
      <c r="G129" s="261">
        <v>5</v>
      </c>
      <c r="H129" s="261" t="s">
        <v>260</v>
      </c>
      <c r="I129" s="261" t="s">
        <v>1947</v>
      </c>
      <c r="J129" s="261" t="s">
        <v>330</v>
      </c>
      <c r="K129" s="261" t="s">
        <v>1231</v>
      </c>
      <c r="L129" s="261" t="s">
        <v>1972</v>
      </c>
      <c r="M129" s="261" t="s">
        <v>2112</v>
      </c>
      <c r="N129" s="261" t="s">
        <v>333</v>
      </c>
      <c r="O129" s="261" t="s">
        <v>1987</v>
      </c>
      <c r="P129" s="261" t="s">
        <v>2974</v>
      </c>
      <c r="Q129" s="261" t="s">
        <v>15035</v>
      </c>
      <c r="R129" s="261" t="str">
        <f t="shared" si="4"/>
        <v>(Wind) Elemental Res +15%</v>
      </c>
      <c r="S129" s="330" t="str">
        <f t="shared" si="5"/>
        <v>(Wind) HP 70% = Shield +40%</v>
      </c>
    </row>
    <row r="130" spans="1:19" x14ac:dyDescent="0.2">
      <c r="A130" s="306" t="s">
        <v>2115</v>
      </c>
      <c r="B130" s="261" t="s">
        <v>15122</v>
      </c>
      <c r="C130" s="261" t="s">
        <v>2116</v>
      </c>
      <c r="D130" s="261" t="s">
        <v>2117</v>
      </c>
      <c r="E130" s="261" t="str">
        <f t="shared" ref="E130:E193" si="6">+F130</f>
        <v>Faithful Knight</v>
      </c>
      <c r="F130" s="261" t="s">
        <v>2118</v>
      </c>
      <c r="G130" s="261">
        <v>5</v>
      </c>
      <c r="H130" s="261" t="s">
        <v>260</v>
      </c>
      <c r="I130" s="261" t="s">
        <v>1947</v>
      </c>
      <c r="J130" s="261" t="s">
        <v>330</v>
      </c>
      <c r="K130" s="261" t="s">
        <v>2127</v>
      </c>
      <c r="L130" s="261" t="s">
        <v>2022</v>
      </c>
      <c r="M130" s="261" t="s">
        <v>2126</v>
      </c>
      <c r="N130" s="261" t="s">
        <v>2124</v>
      </c>
      <c r="O130" s="261" t="s">
        <v>1987</v>
      </c>
      <c r="P130" s="261" t="s">
        <v>6893</v>
      </c>
      <c r="Q130" s="261" t="s">
        <v>682</v>
      </c>
      <c r="R130" s="261" t="str">
        <f t="shared" si="4"/>
        <v>(Wind) Skill Damage +40%</v>
      </c>
      <c r="S130" s="330" t="str">
        <f t="shared" si="5"/>
        <v>(Wind) HP +15%</v>
      </c>
    </row>
    <row r="131" spans="1:19" x14ac:dyDescent="0.2">
      <c r="A131" s="306" t="s">
        <v>2130</v>
      </c>
      <c r="B131" s="261" t="s">
        <v>15123</v>
      </c>
      <c r="C131" s="261" t="s">
        <v>2131</v>
      </c>
      <c r="D131" s="261" t="s">
        <v>2132</v>
      </c>
      <c r="E131" s="261" t="str">
        <f t="shared" si="6"/>
        <v>Vengeful Commander</v>
      </c>
      <c r="F131" s="261" t="s">
        <v>2133</v>
      </c>
      <c r="G131" s="261">
        <v>5</v>
      </c>
      <c r="H131" s="261" t="s">
        <v>260</v>
      </c>
      <c r="I131" s="261" t="s">
        <v>1947</v>
      </c>
      <c r="J131" s="261" t="s">
        <v>330</v>
      </c>
      <c r="K131" s="261" t="s">
        <v>2141</v>
      </c>
      <c r="L131" s="261" t="s">
        <v>2022</v>
      </c>
      <c r="M131" s="261" t="s">
        <v>1140</v>
      </c>
      <c r="N131" s="261" t="s">
        <v>333</v>
      </c>
      <c r="O131" s="261" t="s">
        <v>2140</v>
      </c>
      <c r="P131" s="261" t="s">
        <v>417</v>
      </c>
      <c r="Q131" s="261" t="s">
        <v>618</v>
      </c>
      <c r="R131" s="261" t="str">
        <f t="shared" ref="R131:R194" si="7">+"("&amp;I131&amp;") "&amp;P131</f>
        <v>(Wind) Overdrive Punisher +15%</v>
      </c>
      <c r="S131" s="330" t="str">
        <f t="shared" ref="S131:S194" si="8">+"("&amp;I131&amp;") "&amp;Q131</f>
        <v>(Wind) Defense +20%</v>
      </c>
    </row>
    <row r="132" spans="1:19" x14ac:dyDescent="0.2">
      <c r="A132" s="306" t="s">
        <v>2146</v>
      </c>
      <c r="B132" s="261" t="s">
        <v>15124</v>
      </c>
      <c r="C132" s="261" t="s">
        <v>2147</v>
      </c>
      <c r="D132" s="261" t="s">
        <v>2148</v>
      </c>
      <c r="E132" s="261" t="str">
        <f t="shared" si="6"/>
        <v>Noble Warrior</v>
      </c>
      <c r="F132" s="261" t="s">
        <v>2149</v>
      </c>
      <c r="G132" s="261">
        <v>4</v>
      </c>
      <c r="H132" s="261" t="s">
        <v>121</v>
      </c>
      <c r="I132" s="261" t="s">
        <v>1947</v>
      </c>
      <c r="J132" s="261" t="s">
        <v>330</v>
      </c>
      <c r="K132" s="261" t="s">
        <v>1231</v>
      </c>
      <c r="L132" s="261" t="s">
        <v>1972</v>
      </c>
      <c r="M132" s="261" t="s">
        <v>485</v>
      </c>
      <c r="N132" s="261" t="s">
        <v>333</v>
      </c>
      <c r="O132" s="261" t="s">
        <v>1987</v>
      </c>
      <c r="P132" s="261" t="s">
        <v>6601</v>
      </c>
      <c r="Q132" s="261" t="s">
        <v>316</v>
      </c>
      <c r="R132" s="261" t="str">
        <f t="shared" si="7"/>
        <v>(Wind) Critical Rate +15%</v>
      </c>
      <c r="S132" s="330" t="str">
        <f t="shared" si="8"/>
        <v>(Wind) Skill Haste +10%</v>
      </c>
    </row>
    <row r="133" spans="1:19" x14ac:dyDescent="0.2">
      <c r="A133" s="306" t="s">
        <v>2160</v>
      </c>
      <c r="B133" s="261" t="s">
        <v>15125</v>
      </c>
      <c r="C133" s="261" t="s">
        <v>2161</v>
      </c>
      <c r="D133" s="261" t="s">
        <v>2162</v>
      </c>
      <c r="E133" s="261" t="str">
        <f t="shared" si="6"/>
        <v>Wandering Samurai</v>
      </c>
      <c r="F133" s="261" t="s">
        <v>2163</v>
      </c>
      <c r="G133" s="261">
        <v>4</v>
      </c>
      <c r="H133" s="261" t="s">
        <v>121</v>
      </c>
      <c r="I133" s="261" t="s">
        <v>1947</v>
      </c>
      <c r="J133" s="261" t="s">
        <v>330</v>
      </c>
      <c r="K133" s="261" t="s">
        <v>6911</v>
      </c>
      <c r="L133" s="261" t="s">
        <v>2022</v>
      </c>
      <c r="M133" s="261" t="s">
        <v>417</v>
      </c>
      <c r="N133" s="261" t="s">
        <v>333</v>
      </c>
      <c r="O133" s="261" t="s">
        <v>1987</v>
      </c>
      <c r="P133" s="261" t="s">
        <v>14997</v>
      </c>
      <c r="Q133" s="261" t="s">
        <v>417</v>
      </c>
      <c r="R133" s="261" t="str">
        <f t="shared" si="7"/>
        <v>(Wind) Critical Damage +25%</v>
      </c>
      <c r="S133" s="330" t="str">
        <f t="shared" si="8"/>
        <v>(Wind) Overdrive Punisher +15%</v>
      </c>
    </row>
    <row r="134" spans="1:19" x14ac:dyDescent="0.2">
      <c r="A134" s="306" t="s">
        <v>2174</v>
      </c>
      <c r="B134" s="261" t="s">
        <v>15126</v>
      </c>
      <c r="C134" s="261" t="s">
        <v>2175</v>
      </c>
      <c r="D134" s="261" t="s">
        <v>2176</v>
      </c>
      <c r="E134" s="261" t="str">
        <f t="shared" si="6"/>
        <v>Menace of a Maid</v>
      </c>
      <c r="F134" s="261" t="s">
        <v>2177</v>
      </c>
      <c r="G134" s="261">
        <v>3</v>
      </c>
      <c r="H134" s="261" t="s">
        <v>260</v>
      </c>
      <c r="I134" s="261" t="s">
        <v>1947</v>
      </c>
      <c r="J134" s="261" t="s">
        <v>330</v>
      </c>
      <c r="K134" s="261" t="s">
        <v>249</v>
      </c>
      <c r="L134" s="261" t="s">
        <v>1972</v>
      </c>
      <c r="M134" s="261" t="s">
        <v>2186</v>
      </c>
      <c r="N134" s="261" t="s">
        <v>333</v>
      </c>
      <c r="O134" s="261" t="s">
        <v>1987</v>
      </c>
      <c r="P134" s="261" t="s">
        <v>682</v>
      </c>
      <c r="Q134" s="261" t="s">
        <v>15035</v>
      </c>
      <c r="R134" s="261" t="str">
        <f t="shared" si="7"/>
        <v>(Wind) HP +15%</v>
      </c>
      <c r="S134" s="330" t="str">
        <f t="shared" si="8"/>
        <v>(Wind) HP 70% = Shield +40%</v>
      </c>
    </row>
    <row r="135" spans="1:19" x14ac:dyDescent="0.2">
      <c r="A135" s="306" t="s">
        <v>2190</v>
      </c>
      <c r="B135" s="261" t="s">
        <v>15127</v>
      </c>
      <c r="C135" s="261" t="s">
        <v>2191</v>
      </c>
      <c r="D135" s="261" t="s">
        <v>2192</v>
      </c>
      <c r="E135" s="261" t="str">
        <f t="shared" si="6"/>
        <v>The Wintry Wing of Revelation</v>
      </c>
      <c r="F135" s="261" t="s">
        <v>2193</v>
      </c>
      <c r="G135" s="261">
        <v>5</v>
      </c>
      <c r="H135" s="261" t="s">
        <v>121</v>
      </c>
      <c r="I135" s="261" t="s">
        <v>1947</v>
      </c>
      <c r="J135" s="261" t="s">
        <v>429</v>
      </c>
      <c r="K135" s="261" t="s">
        <v>2202</v>
      </c>
      <c r="L135" s="261" t="s">
        <v>2022</v>
      </c>
      <c r="M135" s="261" t="s">
        <v>2203</v>
      </c>
      <c r="N135" s="261" t="s">
        <v>385</v>
      </c>
      <c r="O135" s="261" t="s">
        <v>1987</v>
      </c>
      <c r="P135" s="261" t="s">
        <v>2620</v>
      </c>
      <c r="Q135" s="261" t="s">
        <v>14997</v>
      </c>
      <c r="R135" s="261" t="str">
        <f t="shared" si="7"/>
        <v>(Wind) 15 Hits = Overdamage</v>
      </c>
      <c r="S135" s="330" t="str">
        <f t="shared" si="8"/>
        <v>(Wind) Critical Damage +25%</v>
      </c>
    </row>
    <row r="136" spans="1:19" x14ac:dyDescent="0.2">
      <c r="A136" s="306" t="s">
        <v>2207</v>
      </c>
      <c r="B136" s="261" t="s">
        <v>15128</v>
      </c>
      <c r="C136" s="261" t="s">
        <v>2208</v>
      </c>
      <c r="D136" s="261" t="s">
        <v>2209</v>
      </c>
      <c r="E136" s="261" t="str">
        <f t="shared" si="6"/>
        <v>Eternal Partner</v>
      </c>
      <c r="F136" s="261" t="s">
        <v>2210</v>
      </c>
      <c r="G136" s="261">
        <v>5</v>
      </c>
      <c r="H136" s="261" t="s">
        <v>121</v>
      </c>
      <c r="I136" s="261" t="s">
        <v>1947</v>
      </c>
      <c r="J136" s="261" t="s">
        <v>429</v>
      </c>
      <c r="K136" s="261" t="s">
        <v>2219</v>
      </c>
      <c r="L136" s="261" t="s">
        <v>1955</v>
      </c>
      <c r="M136" s="261" t="s">
        <v>229</v>
      </c>
      <c r="N136" s="261" t="s">
        <v>385</v>
      </c>
      <c r="O136" s="261" t="s">
        <v>1088</v>
      </c>
      <c r="P136" s="261" t="s">
        <v>2620</v>
      </c>
      <c r="Q136" s="261" t="s">
        <v>6893</v>
      </c>
      <c r="R136" s="261" t="str">
        <f t="shared" si="7"/>
        <v>(Wind) 15 Hits = Overdamage</v>
      </c>
      <c r="S136" s="330" t="str">
        <f t="shared" si="8"/>
        <v>(Wind) Skill Damage +40%</v>
      </c>
    </row>
    <row r="137" spans="1:19" x14ac:dyDescent="0.2">
      <c r="A137" s="306" t="s">
        <v>2223</v>
      </c>
      <c r="B137" s="261" t="s">
        <v>15129</v>
      </c>
      <c r="C137" s="261" t="s">
        <v>2224</v>
      </c>
      <c r="D137" s="261" t="s">
        <v>2225</v>
      </c>
      <c r="E137" s="261" t="str">
        <f t="shared" si="6"/>
        <v>Summer Scribe</v>
      </c>
      <c r="F137" s="261" t="s">
        <v>2226</v>
      </c>
      <c r="G137" s="261">
        <v>5</v>
      </c>
      <c r="H137" s="261" t="s">
        <v>121</v>
      </c>
      <c r="I137" s="261" t="s">
        <v>1947</v>
      </c>
      <c r="J137" s="261" t="s">
        <v>429</v>
      </c>
      <c r="K137" s="261" t="s">
        <v>2235</v>
      </c>
      <c r="L137" s="261" t="s">
        <v>1972</v>
      </c>
      <c r="M137" s="261" t="s">
        <v>2126</v>
      </c>
      <c r="N137" s="261" t="s">
        <v>385</v>
      </c>
      <c r="O137" s="261" t="s">
        <v>2233</v>
      </c>
      <c r="P137" s="261" t="s">
        <v>14997</v>
      </c>
      <c r="Q137" s="261" t="s">
        <v>2974</v>
      </c>
      <c r="R137" s="261" t="str">
        <f t="shared" si="7"/>
        <v>(Wind) Critical Damage +25%</v>
      </c>
      <c r="S137" s="330" t="str">
        <f t="shared" si="8"/>
        <v>(Wind) Elemental Res +15%</v>
      </c>
    </row>
    <row r="138" spans="1:19" x14ac:dyDescent="0.2">
      <c r="A138" s="306" t="s">
        <v>2239</v>
      </c>
      <c r="B138" s="261" t="s">
        <v>15130</v>
      </c>
      <c r="C138" s="261" t="s">
        <v>2240</v>
      </c>
      <c r="D138" s="261" t="s">
        <v>2241</v>
      </c>
      <c r="E138" s="261" t="str">
        <f t="shared" si="6"/>
        <v>Ninja Bride</v>
      </c>
      <c r="F138" s="261" t="s">
        <v>2242</v>
      </c>
      <c r="G138" s="261">
        <v>5</v>
      </c>
      <c r="H138" s="261" t="s">
        <v>260</v>
      </c>
      <c r="I138" s="261" t="s">
        <v>1947</v>
      </c>
      <c r="J138" s="261" t="s">
        <v>429</v>
      </c>
      <c r="K138" s="261" t="s">
        <v>2248</v>
      </c>
      <c r="L138" s="261" t="s">
        <v>1972</v>
      </c>
      <c r="M138" s="261" t="s">
        <v>6897</v>
      </c>
      <c r="N138" s="261" t="s">
        <v>385</v>
      </c>
      <c r="O138" s="261" t="s">
        <v>1987</v>
      </c>
      <c r="P138" s="261" t="s">
        <v>417</v>
      </c>
      <c r="Q138" s="261" t="s">
        <v>909</v>
      </c>
      <c r="R138" s="261" t="str">
        <f t="shared" si="7"/>
        <v>(Wind) Overdrive Punisher +15%</v>
      </c>
      <c r="S138" s="330" t="str">
        <f t="shared" si="8"/>
        <v>(Wind) Broken Punisher +30%</v>
      </c>
    </row>
    <row r="139" spans="1:19" x14ac:dyDescent="0.2">
      <c r="A139" s="306" t="s">
        <v>2252</v>
      </c>
      <c r="B139" s="261" t="s">
        <v>15131</v>
      </c>
      <c r="C139" s="261" t="s">
        <v>2253</v>
      </c>
      <c r="D139" s="261" t="s">
        <v>2254</v>
      </c>
      <c r="E139" s="261" t="str">
        <f t="shared" si="6"/>
        <v>Pyroblossom Artisan</v>
      </c>
      <c r="F139" s="261" t="s">
        <v>2255</v>
      </c>
      <c r="G139" s="261">
        <v>4</v>
      </c>
      <c r="H139" s="261" t="s">
        <v>121</v>
      </c>
      <c r="I139" s="261" t="s">
        <v>1947</v>
      </c>
      <c r="J139" s="261" t="s">
        <v>429</v>
      </c>
      <c r="K139" s="261" t="s">
        <v>8370</v>
      </c>
      <c r="L139" s="261" t="s">
        <v>2022</v>
      </c>
      <c r="M139" s="261" t="s">
        <v>910</v>
      </c>
      <c r="N139" s="261" t="s">
        <v>385</v>
      </c>
      <c r="O139" s="261" t="s">
        <v>1987</v>
      </c>
      <c r="P139" s="261" t="s">
        <v>417</v>
      </c>
      <c r="Q139" s="261" t="s">
        <v>6552</v>
      </c>
      <c r="R139" s="261" t="str">
        <f t="shared" si="7"/>
        <v>(Wind) Overdrive Punisher +15%</v>
      </c>
      <c r="S139" s="330" t="str">
        <f t="shared" si="8"/>
        <v>(Wind) Attack Rate +20%</v>
      </c>
    </row>
    <row r="140" spans="1:19" x14ac:dyDescent="0.2">
      <c r="A140" s="306" t="s">
        <v>2265</v>
      </c>
      <c r="B140" s="261" t="s">
        <v>15132</v>
      </c>
      <c r="C140" s="261" t="s">
        <v>2266</v>
      </c>
      <c r="D140" s="261" t="s">
        <v>2267</v>
      </c>
      <c r="E140" s="261" t="str">
        <f t="shared" si="6"/>
        <v>Cheerful Merchant</v>
      </c>
      <c r="F140" s="261" t="s">
        <v>2268</v>
      </c>
      <c r="G140" s="261">
        <v>3</v>
      </c>
      <c r="H140" s="261" t="s">
        <v>260</v>
      </c>
      <c r="I140" s="261" t="s">
        <v>1947</v>
      </c>
      <c r="J140" s="261" t="s">
        <v>429</v>
      </c>
      <c r="K140" s="261" t="s">
        <v>2277</v>
      </c>
      <c r="L140" s="261" t="s">
        <v>2022</v>
      </c>
      <c r="M140" s="261" t="s">
        <v>519</v>
      </c>
      <c r="N140" s="261" t="s">
        <v>385</v>
      </c>
      <c r="O140" s="261" t="s">
        <v>1987</v>
      </c>
      <c r="P140" s="261" t="s">
        <v>14997</v>
      </c>
      <c r="Q140" s="261" t="s">
        <v>336</v>
      </c>
      <c r="R140" s="261" t="str">
        <f t="shared" si="7"/>
        <v>(Wind) Critical Damage +25%</v>
      </c>
      <c r="S140" s="330" t="str">
        <f t="shared" si="8"/>
        <v>(Wind) Force Strike +50%</v>
      </c>
    </row>
    <row r="141" spans="1:19" x14ac:dyDescent="0.2">
      <c r="A141" s="306" t="s">
        <v>2281</v>
      </c>
      <c r="B141" s="261" t="s">
        <v>15133</v>
      </c>
      <c r="C141" s="261" t="s">
        <v>2282</v>
      </c>
      <c r="D141" s="261" t="s">
        <v>2283</v>
      </c>
      <c r="E141" s="261" t="str">
        <f t="shared" si="6"/>
        <v>Leader of the Tiger Clan</v>
      </c>
      <c r="F141" s="261" t="s">
        <v>2284</v>
      </c>
      <c r="G141" s="261">
        <v>5</v>
      </c>
      <c r="H141" s="261" t="s">
        <v>241</v>
      </c>
      <c r="I141" s="261" t="s">
        <v>1947</v>
      </c>
      <c r="J141" s="261" t="s">
        <v>543</v>
      </c>
      <c r="K141" s="261" t="s">
        <v>2292</v>
      </c>
      <c r="L141" s="261" t="s">
        <v>1972</v>
      </c>
      <c r="M141" s="261" t="s">
        <v>2293</v>
      </c>
      <c r="N141" s="261" t="s">
        <v>563</v>
      </c>
      <c r="O141" s="261" t="s">
        <v>2291</v>
      </c>
      <c r="P141" s="261" t="s">
        <v>2620</v>
      </c>
      <c r="Q141" s="261" t="s">
        <v>6601</v>
      </c>
      <c r="R141" s="261" t="str">
        <f t="shared" si="7"/>
        <v>(Wind) 15 Hits = Overdamage</v>
      </c>
      <c r="S141" s="330" t="str">
        <f t="shared" si="8"/>
        <v>(Wind) Critical Rate +15%</v>
      </c>
    </row>
    <row r="142" spans="1:19" x14ac:dyDescent="0.2">
      <c r="A142" s="306" t="s">
        <v>2297</v>
      </c>
      <c r="B142" s="261" t="s">
        <v>15134</v>
      </c>
      <c r="C142" s="261" t="s">
        <v>2298</v>
      </c>
      <c r="D142" s="261" t="s">
        <v>2299</v>
      </c>
      <c r="E142" s="261" t="str">
        <f t="shared" si="6"/>
        <v>New Year's Prankster</v>
      </c>
      <c r="F142" s="261" t="s">
        <v>2300</v>
      </c>
      <c r="G142" s="261">
        <v>5</v>
      </c>
      <c r="H142" s="261" t="s">
        <v>260</v>
      </c>
      <c r="I142" s="261" t="s">
        <v>1947</v>
      </c>
      <c r="J142" s="261" t="s">
        <v>543</v>
      </c>
      <c r="K142" s="261" t="s">
        <v>2308</v>
      </c>
      <c r="L142" s="261" t="s">
        <v>1972</v>
      </c>
      <c r="M142" s="261" t="s">
        <v>2309</v>
      </c>
      <c r="N142" s="261" t="s">
        <v>563</v>
      </c>
      <c r="O142" s="261" t="s">
        <v>1987</v>
      </c>
      <c r="P142" s="261" t="s">
        <v>6893</v>
      </c>
      <c r="Q142" s="261" t="s">
        <v>336</v>
      </c>
      <c r="R142" s="261" t="str">
        <f t="shared" si="7"/>
        <v>(Wind) Skill Damage +40%</v>
      </c>
      <c r="S142" s="330" t="str">
        <f t="shared" si="8"/>
        <v>(Wind) Force Strike +50%</v>
      </c>
    </row>
    <row r="143" spans="1:19" x14ac:dyDescent="0.2">
      <c r="A143" s="306" t="s">
        <v>2313</v>
      </c>
      <c r="B143" s="261" t="s">
        <v>15135</v>
      </c>
      <c r="C143" s="261" t="s">
        <v>2314</v>
      </c>
      <c r="D143" s="261" t="s">
        <v>2315</v>
      </c>
      <c r="E143" s="261" t="str">
        <f t="shared" si="6"/>
        <v>Kitty Cafe's Shining Star</v>
      </c>
      <c r="F143" s="261" t="s">
        <v>2316</v>
      </c>
      <c r="G143" s="261">
        <v>5</v>
      </c>
      <c r="H143" s="261" t="s">
        <v>967</v>
      </c>
      <c r="I143" s="261" t="s">
        <v>1947</v>
      </c>
      <c r="J143" s="261" t="s">
        <v>543</v>
      </c>
      <c r="K143" s="261" t="s">
        <v>8370</v>
      </c>
      <c r="L143" s="261" t="s">
        <v>1972</v>
      </c>
      <c r="M143" s="261" t="s">
        <v>1031</v>
      </c>
      <c r="N143" s="261" t="s">
        <v>563</v>
      </c>
      <c r="O143" s="261" t="s">
        <v>128</v>
      </c>
      <c r="P143" s="261" t="s">
        <v>6552</v>
      </c>
      <c r="Q143" s="261" t="s">
        <v>7129</v>
      </c>
      <c r="R143" s="261" t="str">
        <f t="shared" si="7"/>
        <v>(Wind) Attack Rate +20%</v>
      </c>
      <c r="S143" s="330" t="str">
        <f t="shared" si="8"/>
        <v>(Wind) Combo Time +2</v>
      </c>
    </row>
    <row r="144" spans="1:19" x14ac:dyDescent="0.2">
      <c r="A144" s="306" t="s">
        <v>2325</v>
      </c>
      <c r="B144" s="261" t="s">
        <v>15136</v>
      </c>
      <c r="C144" s="261" t="s">
        <v>2326</v>
      </c>
      <c r="D144" s="261" t="s">
        <v>2327</v>
      </c>
      <c r="E144" s="261" t="str">
        <f t="shared" si="6"/>
        <v>Lovestruck Maid</v>
      </c>
      <c r="F144" s="261" t="s">
        <v>2328</v>
      </c>
      <c r="G144" s="261">
        <v>5</v>
      </c>
      <c r="H144" s="261" t="s">
        <v>260</v>
      </c>
      <c r="I144" s="261" t="s">
        <v>1947</v>
      </c>
      <c r="J144" s="261" t="s">
        <v>543</v>
      </c>
      <c r="K144" s="261" t="s">
        <v>2004</v>
      </c>
      <c r="L144" s="261" t="s">
        <v>2022</v>
      </c>
      <c r="M144" s="261" t="s">
        <v>2126</v>
      </c>
      <c r="N144" s="261" t="s">
        <v>581</v>
      </c>
      <c r="O144" s="261" t="s">
        <v>1987</v>
      </c>
      <c r="P144" s="261" t="s">
        <v>6601</v>
      </c>
      <c r="Q144" s="261" t="s">
        <v>14997</v>
      </c>
      <c r="R144" s="261" t="str">
        <f t="shared" si="7"/>
        <v>(Wind) Critical Rate +15%</v>
      </c>
      <c r="S144" s="330" t="str">
        <f t="shared" si="8"/>
        <v>(Wind) Critical Damage +25%</v>
      </c>
    </row>
    <row r="145" spans="1:19" x14ac:dyDescent="0.2">
      <c r="A145" s="306" t="s">
        <v>2338</v>
      </c>
      <c r="B145" s="261" t="s">
        <v>15137</v>
      </c>
      <c r="C145" s="261" t="s">
        <v>2339</v>
      </c>
      <c r="D145" s="261" t="s">
        <v>2340</v>
      </c>
      <c r="E145" s="261" t="str">
        <f t="shared" si="6"/>
        <v>Kung-Fu Apprentice</v>
      </c>
      <c r="F145" s="261" t="s">
        <v>2341</v>
      </c>
      <c r="G145" s="261">
        <v>5</v>
      </c>
      <c r="H145" s="261" t="s">
        <v>121</v>
      </c>
      <c r="I145" s="261" t="s">
        <v>1947</v>
      </c>
      <c r="J145" s="261" t="s">
        <v>543</v>
      </c>
      <c r="K145" s="261" t="s">
        <v>2350</v>
      </c>
      <c r="L145" s="261" t="s">
        <v>2022</v>
      </c>
      <c r="M145" s="261" t="s">
        <v>319</v>
      </c>
      <c r="N145" s="261" t="s">
        <v>563</v>
      </c>
      <c r="O145" s="261" t="s">
        <v>128</v>
      </c>
      <c r="P145" s="261" t="s">
        <v>6911</v>
      </c>
      <c r="Q145" s="261" t="s">
        <v>14997</v>
      </c>
      <c r="R145" s="261" t="str">
        <f t="shared" si="7"/>
        <v>(Wind) Strength +20%</v>
      </c>
      <c r="S145" s="330" t="str">
        <f t="shared" si="8"/>
        <v>(Wind) Critical Damage +25%</v>
      </c>
    </row>
    <row r="146" spans="1:19" x14ac:dyDescent="0.2">
      <c r="A146" s="306" t="s">
        <v>2352</v>
      </c>
      <c r="B146" s="261" t="s">
        <v>15138</v>
      </c>
      <c r="C146" s="261" t="s">
        <v>2353</v>
      </c>
      <c r="D146" s="261" t="s">
        <v>2354</v>
      </c>
      <c r="E146" s="261" t="str">
        <f t="shared" si="6"/>
        <v>Arc in the Storm</v>
      </c>
      <c r="F146" s="261" t="s">
        <v>2355</v>
      </c>
      <c r="G146" s="261">
        <v>4</v>
      </c>
      <c r="H146" s="261" t="s">
        <v>241</v>
      </c>
      <c r="I146" s="261" t="s">
        <v>1947</v>
      </c>
      <c r="J146" s="261" t="s">
        <v>543</v>
      </c>
      <c r="K146" s="261" t="s">
        <v>229</v>
      </c>
      <c r="L146" s="261" t="s">
        <v>2022</v>
      </c>
      <c r="M146" s="261" t="s">
        <v>618</v>
      </c>
      <c r="N146" s="261" t="s">
        <v>563</v>
      </c>
      <c r="O146" s="261" t="s">
        <v>128</v>
      </c>
      <c r="P146" s="261" t="s">
        <v>6911</v>
      </c>
      <c r="Q146" s="261" t="s">
        <v>618</v>
      </c>
      <c r="R146" s="261" t="str">
        <f t="shared" si="7"/>
        <v>(Wind) Strength +20%</v>
      </c>
      <c r="S146" s="330" t="str">
        <f t="shared" si="8"/>
        <v>(Wind) Defense +20%</v>
      </c>
    </row>
    <row r="147" spans="1:19" x14ac:dyDescent="0.2">
      <c r="A147" s="306" t="s">
        <v>2366</v>
      </c>
      <c r="B147" s="261" t="s">
        <v>15139</v>
      </c>
      <c r="C147" s="261" t="s">
        <v>2367</v>
      </c>
      <c r="D147" s="261" t="s">
        <v>2368</v>
      </c>
      <c r="E147" s="261" t="str">
        <f t="shared" si="6"/>
        <v>Untamed Warrioress</v>
      </c>
      <c r="F147" s="261" t="s">
        <v>2369</v>
      </c>
      <c r="G147" s="261">
        <v>3</v>
      </c>
      <c r="H147" s="261" t="s">
        <v>241</v>
      </c>
      <c r="I147" s="261" t="s">
        <v>1947</v>
      </c>
      <c r="J147" s="261" t="s">
        <v>543</v>
      </c>
      <c r="K147" s="261" t="s">
        <v>229</v>
      </c>
      <c r="L147" s="261" t="s">
        <v>1972</v>
      </c>
      <c r="M147" s="261" t="s">
        <v>2126</v>
      </c>
      <c r="N147" s="261" t="s">
        <v>563</v>
      </c>
      <c r="O147" s="261" t="s">
        <v>128</v>
      </c>
      <c r="P147" s="261" t="s">
        <v>417</v>
      </c>
      <c r="Q147" s="261" t="s">
        <v>682</v>
      </c>
      <c r="R147" s="261" t="str">
        <f t="shared" si="7"/>
        <v>(Wind) Overdrive Punisher +15%</v>
      </c>
      <c r="S147" s="330" t="str">
        <f t="shared" si="8"/>
        <v>(Wind) HP +15%</v>
      </c>
    </row>
    <row r="148" spans="1:19" x14ac:dyDescent="0.2">
      <c r="A148" s="306" t="s">
        <v>2381</v>
      </c>
      <c r="B148" s="261" t="s">
        <v>15140</v>
      </c>
      <c r="C148" s="261" t="s">
        <v>2382</v>
      </c>
      <c r="D148" s="261" t="s">
        <v>2383</v>
      </c>
      <c r="E148" s="261" t="str">
        <f t="shared" si="6"/>
        <v>The Dawning Wind</v>
      </c>
      <c r="F148" s="261" t="s">
        <v>2384</v>
      </c>
      <c r="G148" s="261">
        <v>5</v>
      </c>
      <c r="H148" s="261" t="s">
        <v>260</v>
      </c>
      <c r="I148" s="261" t="s">
        <v>1947</v>
      </c>
      <c r="J148" s="261" t="s">
        <v>645</v>
      </c>
      <c r="K148" s="261" t="s">
        <v>2391</v>
      </c>
      <c r="L148" s="261" t="s">
        <v>1972</v>
      </c>
      <c r="M148" s="261" t="s">
        <v>2392</v>
      </c>
      <c r="N148" s="261" t="s">
        <v>682</v>
      </c>
      <c r="O148" s="261" t="s">
        <v>128</v>
      </c>
      <c r="P148" s="261" t="s">
        <v>6911</v>
      </c>
      <c r="Q148" s="261" t="s">
        <v>6601</v>
      </c>
      <c r="R148" s="261" t="str">
        <f t="shared" si="7"/>
        <v>(Wind) Strength +20%</v>
      </c>
      <c r="S148" s="330" t="str">
        <f t="shared" si="8"/>
        <v>(Wind) Critical Rate +15%</v>
      </c>
    </row>
    <row r="149" spans="1:19" x14ac:dyDescent="0.2">
      <c r="A149" s="306" t="s">
        <v>2397</v>
      </c>
      <c r="B149" s="261" t="s">
        <v>15141</v>
      </c>
      <c r="C149" s="261" t="s">
        <v>2398</v>
      </c>
      <c r="D149" s="261" t="s">
        <v>2399</v>
      </c>
      <c r="E149" s="261" t="str">
        <f t="shared" si="6"/>
        <v>Emissary of Amaterasu</v>
      </c>
      <c r="F149" s="261" t="s">
        <v>2400</v>
      </c>
      <c r="G149" s="261">
        <v>5</v>
      </c>
      <c r="H149" s="261" t="s">
        <v>260</v>
      </c>
      <c r="I149" s="261" t="s">
        <v>1947</v>
      </c>
      <c r="J149" s="261" t="s">
        <v>645</v>
      </c>
      <c r="K149" s="261" t="s">
        <v>2408</v>
      </c>
      <c r="L149" s="261" t="s">
        <v>1972</v>
      </c>
      <c r="M149" s="261" t="s">
        <v>618</v>
      </c>
      <c r="N149" s="261" t="s">
        <v>682</v>
      </c>
      <c r="O149" s="261" t="s">
        <v>128</v>
      </c>
      <c r="P149" s="261" t="s">
        <v>316</v>
      </c>
      <c r="Q149" s="261" t="s">
        <v>2974</v>
      </c>
      <c r="R149" s="261" t="str">
        <f t="shared" si="7"/>
        <v>(Wind) Skill Haste +10%</v>
      </c>
      <c r="S149" s="330" t="str">
        <f t="shared" si="8"/>
        <v>(Wind) Elemental Res +15%</v>
      </c>
    </row>
    <row r="150" spans="1:19" x14ac:dyDescent="0.2">
      <c r="A150" s="306" t="s">
        <v>2410</v>
      </c>
      <c r="B150" s="261" t="s">
        <v>15142</v>
      </c>
      <c r="C150" s="261" t="s">
        <v>2411</v>
      </c>
      <c r="D150" s="261" t="s">
        <v>2412</v>
      </c>
      <c r="E150" s="261" t="str">
        <f t="shared" si="6"/>
        <v>The Mad Cyclone</v>
      </c>
      <c r="F150" s="261" t="s">
        <v>2413</v>
      </c>
      <c r="G150" s="261">
        <v>5</v>
      </c>
      <c r="H150" s="261" t="s">
        <v>121</v>
      </c>
      <c r="I150" s="261" t="s">
        <v>1947</v>
      </c>
      <c r="J150" s="261" t="s">
        <v>645</v>
      </c>
      <c r="K150" s="261" t="s">
        <v>2422</v>
      </c>
      <c r="L150" s="261" t="s">
        <v>1972</v>
      </c>
      <c r="M150" s="261" t="s">
        <v>2423</v>
      </c>
      <c r="N150" s="261" t="s">
        <v>682</v>
      </c>
      <c r="O150" s="261" t="s">
        <v>353</v>
      </c>
      <c r="P150" s="261" t="s">
        <v>6911</v>
      </c>
      <c r="Q150" s="261" t="s">
        <v>316</v>
      </c>
      <c r="R150" s="261" t="str">
        <f t="shared" si="7"/>
        <v>(Wind) Strength +20%</v>
      </c>
      <c r="S150" s="330" t="str">
        <f t="shared" si="8"/>
        <v>(Wind) Skill Haste +10%</v>
      </c>
    </row>
    <row r="151" spans="1:19" x14ac:dyDescent="0.2">
      <c r="A151" s="306" t="s">
        <v>2425</v>
      </c>
      <c r="B151" s="261" t="s">
        <v>15143</v>
      </c>
      <c r="C151" s="261" t="s">
        <v>2426</v>
      </c>
      <c r="D151" s="261" t="s">
        <v>2427</v>
      </c>
      <c r="E151" s="261" t="str">
        <f t="shared" si="6"/>
        <v>Spirited Corpse</v>
      </c>
      <c r="F151" s="261" t="s">
        <v>2428</v>
      </c>
      <c r="G151" s="261">
        <v>5</v>
      </c>
      <c r="H151" s="261" t="s">
        <v>260</v>
      </c>
      <c r="I151" s="261" t="s">
        <v>1947</v>
      </c>
      <c r="J151" s="261" t="s">
        <v>645</v>
      </c>
      <c r="K151" s="261" t="s">
        <v>2435</v>
      </c>
      <c r="L151" s="261" t="s">
        <v>1972</v>
      </c>
      <c r="M151" s="261" t="s">
        <v>2004</v>
      </c>
      <c r="N151" s="261" t="s">
        <v>682</v>
      </c>
      <c r="O151" s="261" t="s">
        <v>128</v>
      </c>
      <c r="P151" s="261" t="s">
        <v>14997</v>
      </c>
      <c r="Q151" s="261" t="s">
        <v>682</v>
      </c>
      <c r="R151" s="261" t="str">
        <f t="shared" si="7"/>
        <v>(Wind) Critical Damage +25%</v>
      </c>
      <c r="S151" s="330" t="str">
        <f t="shared" si="8"/>
        <v>(Wind) HP +15%</v>
      </c>
    </row>
    <row r="152" spans="1:19" x14ac:dyDescent="0.2">
      <c r="A152" s="306" t="s">
        <v>2438</v>
      </c>
      <c r="B152" s="261" t="s">
        <v>15144</v>
      </c>
      <c r="C152" s="261" t="s">
        <v>2439</v>
      </c>
      <c r="D152" s="261" t="s">
        <v>2440</v>
      </c>
      <c r="E152" s="261" t="str">
        <f t="shared" si="6"/>
        <v>Rebellious Commander</v>
      </c>
      <c r="F152" s="261" t="s">
        <v>2441</v>
      </c>
      <c r="G152" s="261">
        <v>5</v>
      </c>
      <c r="H152" s="261" t="s">
        <v>121</v>
      </c>
      <c r="I152" s="261" t="s">
        <v>1947</v>
      </c>
      <c r="J152" s="261" t="s">
        <v>645</v>
      </c>
      <c r="K152" s="261" t="s">
        <v>2449</v>
      </c>
      <c r="L152" s="261" t="s">
        <v>2022</v>
      </c>
      <c r="M152" s="261" t="s">
        <v>2126</v>
      </c>
      <c r="N152" s="261" t="s">
        <v>682</v>
      </c>
      <c r="O152" s="261" t="s">
        <v>245</v>
      </c>
      <c r="P152" s="261" t="s">
        <v>6552</v>
      </c>
      <c r="Q152" s="261" t="s">
        <v>909</v>
      </c>
      <c r="R152" s="261" t="str">
        <f t="shared" si="7"/>
        <v>(Wind) Attack Rate +20%</v>
      </c>
      <c r="S152" s="330" t="str">
        <f t="shared" si="8"/>
        <v>(Wind) Broken Punisher +30%</v>
      </c>
    </row>
    <row r="153" spans="1:19" x14ac:dyDescent="0.2">
      <c r="A153" s="306" t="s">
        <v>2453</v>
      </c>
      <c r="B153" s="261" t="s">
        <v>15145</v>
      </c>
      <c r="C153" s="261" t="s">
        <v>2454</v>
      </c>
      <c r="D153" s="261" t="s">
        <v>2455</v>
      </c>
      <c r="E153" s="261" t="str">
        <f t="shared" si="6"/>
        <v>Adept Aromatherapist</v>
      </c>
      <c r="F153" s="261" t="s">
        <v>2456</v>
      </c>
      <c r="G153" s="261">
        <v>5</v>
      </c>
      <c r="H153" s="261" t="s">
        <v>260</v>
      </c>
      <c r="I153" s="261" t="s">
        <v>1947</v>
      </c>
      <c r="J153" s="261" t="s">
        <v>645</v>
      </c>
      <c r="K153" s="261" t="s">
        <v>1605</v>
      </c>
      <c r="L153" s="261" t="s">
        <v>1972</v>
      </c>
      <c r="M153" s="261" t="s">
        <v>6911</v>
      </c>
      <c r="N153" s="261" t="s">
        <v>682</v>
      </c>
      <c r="O153" s="261" t="s">
        <v>128</v>
      </c>
      <c r="P153" s="261" t="s">
        <v>618</v>
      </c>
      <c r="Q153" s="261" t="s">
        <v>2974</v>
      </c>
      <c r="R153" s="261" t="str">
        <f t="shared" si="7"/>
        <v>(Wind) Defense +20%</v>
      </c>
      <c r="S153" s="330" t="str">
        <f t="shared" si="8"/>
        <v>(Wind) Elemental Res +15%</v>
      </c>
    </row>
    <row r="154" spans="1:19" x14ac:dyDescent="0.2">
      <c r="A154" s="306" t="s">
        <v>2465</v>
      </c>
      <c r="B154" s="261" t="s">
        <v>15146</v>
      </c>
      <c r="C154" s="261" t="s">
        <v>2466</v>
      </c>
      <c r="D154" s="261" t="s">
        <v>2467</v>
      </c>
      <c r="E154" s="261" t="str">
        <f t="shared" si="6"/>
        <v>Budding Vocalist</v>
      </c>
      <c r="F154" s="261" t="s">
        <v>2468</v>
      </c>
      <c r="G154" s="261">
        <v>4</v>
      </c>
      <c r="H154" s="261" t="s">
        <v>241</v>
      </c>
      <c r="I154" s="261" t="s">
        <v>1947</v>
      </c>
      <c r="J154" s="261" t="s">
        <v>645</v>
      </c>
      <c r="K154" s="261" t="s">
        <v>618</v>
      </c>
      <c r="L154" s="261" t="s">
        <v>2022</v>
      </c>
      <c r="M154" s="261" t="s">
        <v>2477</v>
      </c>
      <c r="N154" s="261" t="s">
        <v>682</v>
      </c>
      <c r="O154" s="261" t="s">
        <v>128</v>
      </c>
      <c r="P154" s="261" t="s">
        <v>14997</v>
      </c>
      <c r="Q154" s="261" t="s">
        <v>618</v>
      </c>
      <c r="R154" s="261" t="str">
        <f t="shared" si="7"/>
        <v>(Wind) Critical Damage +25%</v>
      </c>
      <c r="S154" s="330" t="str">
        <f t="shared" si="8"/>
        <v>(Wind) Defense +20%</v>
      </c>
    </row>
    <row r="155" spans="1:19" x14ac:dyDescent="0.2">
      <c r="A155" s="306" t="s">
        <v>2481</v>
      </c>
      <c r="B155" s="261" t="s">
        <v>15147</v>
      </c>
      <c r="C155" s="261" t="s">
        <v>2482</v>
      </c>
      <c r="D155" s="261" t="s">
        <v>2483</v>
      </c>
      <c r="E155" s="261" t="str">
        <f t="shared" si="6"/>
        <v>Mercurial Lancer</v>
      </c>
      <c r="F155" s="261" t="s">
        <v>2484</v>
      </c>
      <c r="G155" s="261">
        <v>4</v>
      </c>
      <c r="H155" s="261" t="s">
        <v>260</v>
      </c>
      <c r="I155" s="261" t="s">
        <v>1947</v>
      </c>
      <c r="J155" s="261" t="s">
        <v>645</v>
      </c>
      <c r="K155" s="261" t="s">
        <v>1140</v>
      </c>
      <c r="L155" s="261" t="s">
        <v>1972</v>
      </c>
      <c r="M155" s="261" t="s">
        <v>229</v>
      </c>
      <c r="N155" s="261" t="s">
        <v>682</v>
      </c>
      <c r="O155" s="261" t="s">
        <v>128</v>
      </c>
      <c r="P155" s="261" t="s">
        <v>6601</v>
      </c>
      <c r="Q155" s="261" t="s">
        <v>618</v>
      </c>
      <c r="R155" s="261" t="str">
        <f t="shared" si="7"/>
        <v>(Wind) Critical Rate +15%</v>
      </c>
      <c r="S155" s="330" t="str">
        <f t="shared" si="8"/>
        <v>(Wind) Defense +20%</v>
      </c>
    </row>
    <row r="156" spans="1:19" x14ac:dyDescent="0.2">
      <c r="A156" s="306" t="s">
        <v>2493</v>
      </c>
      <c r="B156" s="261" t="s">
        <v>15148</v>
      </c>
      <c r="C156" s="261" t="s">
        <v>2494</v>
      </c>
      <c r="D156" s="261" t="s">
        <v>2495</v>
      </c>
      <c r="E156" s="261" t="str">
        <f t="shared" si="6"/>
        <v>Hero of Storms</v>
      </c>
      <c r="F156" s="261" t="s">
        <v>2496</v>
      </c>
      <c r="G156" s="261">
        <v>5</v>
      </c>
      <c r="H156" s="261" t="s">
        <v>121</v>
      </c>
      <c r="I156" s="261" t="s">
        <v>1947</v>
      </c>
      <c r="J156" s="261" t="s">
        <v>759</v>
      </c>
      <c r="K156" s="261" t="s">
        <v>2504</v>
      </c>
      <c r="L156" s="261" t="s">
        <v>2022</v>
      </c>
      <c r="M156" s="261" t="s">
        <v>2505</v>
      </c>
      <c r="N156" s="261" t="s">
        <v>762</v>
      </c>
      <c r="O156" s="261" t="s">
        <v>280</v>
      </c>
      <c r="P156" s="261" t="s">
        <v>2620</v>
      </c>
      <c r="Q156" s="261" t="s">
        <v>126</v>
      </c>
      <c r="R156" s="261" t="str">
        <f t="shared" si="7"/>
        <v>(Wind) 15 Hits = Overdamage</v>
      </c>
      <c r="S156" s="330" t="str">
        <f t="shared" si="8"/>
        <v>(Wind) Dragon Haste +15%</v>
      </c>
    </row>
    <row r="157" spans="1:19" x14ac:dyDescent="0.2">
      <c r="A157" s="306" t="s">
        <v>2508</v>
      </c>
      <c r="B157" s="261" t="s">
        <v>15149</v>
      </c>
      <c r="C157" s="261" t="s">
        <v>2509</v>
      </c>
      <c r="D157" s="261" t="s">
        <v>2510</v>
      </c>
      <c r="E157" s="261" t="str">
        <f t="shared" si="6"/>
        <v>Cloying Clingy Admirer</v>
      </c>
      <c r="F157" s="261" t="s">
        <v>2511</v>
      </c>
      <c r="G157" s="261">
        <v>5</v>
      </c>
      <c r="H157" s="261" t="s">
        <v>121</v>
      </c>
      <c r="I157" s="261" t="s">
        <v>1947</v>
      </c>
      <c r="J157" s="261" t="s">
        <v>759</v>
      </c>
      <c r="K157" s="261" t="s">
        <v>2518</v>
      </c>
      <c r="L157" s="261" t="s">
        <v>2519</v>
      </c>
      <c r="M157" s="261" t="s">
        <v>2520</v>
      </c>
      <c r="N157" s="261" t="s">
        <v>762</v>
      </c>
      <c r="O157" s="261" t="s">
        <v>1819</v>
      </c>
      <c r="P157" s="261" t="s">
        <v>6601</v>
      </c>
      <c r="Q157" s="261" t="s">
        <v>682</v>
      </c>
      <c r="R157" s="261" t="str">
        <f t="shared" si="7"/>
        <v>(Wind) Critical Rate +15%</v>
      </c>
      <c r="S157" s="330" t="str">
        <f t="shared" si="8"/>
        <v>(Wind) HP +15%</v>
      </c>
    </row>
    <row r="158" spans="1:19" x14ac:dyDescent="0.2">
      <c r="A158" s="306" t="s">
        <v>2524</v>
      </c>
      <c r="B158" s="261" t="s">
        <v>15150</v>
      </c>
      <c r="C158" s="261" t="s">
        <v>2525</v>
      </c>
      <c r="D158" s="261" t="s">
        <v>2526</v>
      </c>
      <c r="E158" s="261" t="str">
        <f t="shared" si="6"/>
        <v>Motherly Faerie</v>
      </c>
      <c r="F158" s="261" t="s">
        <v>2527</v>
      </c>
      <c r="G158" s="261">
        <v>5</v>
      </c>
      <c r="H158" s="261" t="s">
        <v>260</v>
      </c>
      <c r="I158" s="261" t="s">
        <v>1947</v>
      </c>
      <c r="J158" s="261" t="s">
        <v>759</v>
      </c>
      <c r="K158" s="261" t="s">
        <v>2534</v>
      </c>
      <c r="L158" s="261" t="s">
        <v>2022</v>
      </c>
      <c r="M158" s="261" t="s">
        <v>249</v>
      </c>
      <c r="N158" s="261" t="s">
        <v>762</v>
      </c>
      <c r="O158" s="261" t="s">
        <v>353</v>
      </c>
      <c r="P158" s="261" t="s">
        <v>2620</v>
      </c>
      <c r="Q158" s="261" t="s">
        <v>7129</v>
      </c>
      <c r="R158" s="261" t="str">
        <f t="shared" si="7"/>
        <v>(Wind) 15 Hits = Overdamage</v>
      </c>
      <c r="S158" s="330" t="str">
        <f t="shared" si="8"/>
        <v>(Wind) Combo Time +2</v>
      </c>
    </row>
    <row r="159" spans="1:19" x14ac:dyDescent="0.2">
      <c r="A159" s="306" t="s">
        <v>2538</v>
      </c>
      <c r="B159" s="261" t="s">
        <v>15151</v>
      </c>
      <c r="C159" s="261" t="s">
        <v>2539</v>
      </c>
      <c r="D159" s="261" t="s">
        <v>2540</v>
      </c>
      <c r="E159" s="261" t="str">
        <f t="shared" si="6"/>
        <v>Twilight Hunter</v>
      </c>
      <c r="F159" s="261" t="s">
        <v>2541</v>
      </c>
      <c r="G159" s="261">
        <v>5</v>
      </c>
      <c r="H159" s="261" t="s">
        <v>121</v>
      </c>
      <c r="I159" s="261" t="s">
        <v>1947</v>
      </c>
      <c r="J159" s="261" t="s">
        <v>759</v>
      </c>
      <c r="K159" s="261" t="s">
        <v>2004</v>
      </c>
      <c r="L159" s="261" t="s">
        <v>1972</v>
      </c>
      <c r="M159" s="261" t="s">
        <v>2549</v>
      </c>
      <c r="N159" s="261" t="s">
        <v>762</v>
      </c>
      <c r="O159" s="261" t="s">
        <v>2140</v>
      </c>
      <c r="P159" s="261" t="s">
        <v>6893</v>
      </c>
      <c r="Q159" s="261" t="s">
        <v>14997</v>
      </c>
      <c r="R159" s="261" t="str">
        <f t="shared" si="7"/>
        <v>(Wind) Skill Damage +40%</v>
      </c>
      <c r="S159" s="330" t="str">
        <f t="shared" si="8"/>
        <v>(Wind) Critical Damage +25%</v>
      </c>
    </row>
    <row r="160" spans="1:19" x14ac:dyDescent="0.2">
      <c r="A160" s="306" t="s">
        <v>2551</v>
      </c>
      <c r="B160" s="261" t="s">
        <v>15152</v>
      </c>
      <c r="C160" s="261" t="s">
        <v>2552</v>
      </c>
      <c r="D160" s="261" t="s">
        <v>2553</v>
      </c>
      <c r="E160" s="261" t="str">
        <f t="shared" si="6"/>
        <v>Doting Sister</v>
      </c>
      <c r="F160" s="261" t="s">
        <v>2554</v>
      </c>
      <c r="G160" s="261">
        <v>5</v>
      </c>
      <c r="H160" s="261" t="s">
        <v>260</v>
      </c>
      <c r="I160" s="261" t="s">
        <v>1947</v>
      </c>
      <c r="J160" s="261" t="s">
        <v>759</v>
      </c>
      <c r="K160" s="261" t="s">
        <v>417</v>
      </c>
      <c r="L160" s="261" t="s">
        <v>2022</v>
      </c>
      <c r="M160" s="261" t="s">
        <v>301</v>
      </c>
      <c r="N160" s="261" t="s">
        <v>762</v>
      </c>
      <c r="O160" s="261" t="s">
        <v>1987</v>
      </c>
      <c r="P160" s="261" t="s">
        <v>6893</v>
      </c>
      <c r="Q160" s="261" t="s">
        <v>6601</v>
      </c>
      <c r="R160" s="261" t="str">
        <f t="shared" si="7"/>
        <v>(Wind) Skill Damage +40%</v>
      </c>
      <c r="S160" s="330" t="str">
        <f t="shared" si="8"/>
        <v>(Wind) Critical Rate +15%</v>
      </c>
    </row>
    <row r="161" spans="1:19" x14ac:dyDescent="0.2">
      <c r="A161" s="306" t="s">
        <v>2564</v>
      </c>
      <c r="B161" s="261" t="s">
        <v>15153</v>
      </c>
      <c r="C161" s="261" t="s">
        <v>2565</v>
      </c>
      <c r="D161" s="261" t="s">
        <v>2566</v>
      </c>
      <c r="E161" s="261" t="str">
        <f t="shared" si="6"/>
        <v>Hidden Hunter</v>
      </c>
      <c r="F161" s="261" t="s">
        <v>2567</v>
      </c>
      <c r="G161" s="261">
        <v>4</v>
      </c>
      <c r="H161" s="261" t="s">
        <v>121</v>
      </c>
      <c r="I161" s="261" t="s">
        <v>1947</v>
      </c>
      <c r="J161" s="261" t="s">
        <v>759</v>
      </c>
      <c r="K161" s="261" t="s">
        <v>6911</v>
      </c>
      <c r="L161" s="261" t="s">
        <v>2022</v>
      </c>
      <c r="M161" s="261" t="s">
        <v>2126</v>
      </c>
      <c r="N161" s="261" t="s">
        <v>762</v>
      </c>
      <c r="O161" s="261" t="s">
        <v>1987</v>
      </c>
      <c r="P161" s="261" t="s">
        <v>316</v>
      </c>
      <c r="Q161" s="261" t="s">
        <v>682</v>
      </c>
      <c r="R161" s="261" t="str">
        <f t="shared" si="7"/>
        <v>(Wind) Skill Haste +10%</v>
      </c>
      <c r="S161" s="330" t="str">
        <f t="shared" si="8"/>
        <v>(Wind) HP +15%</v>
      </c>
    </row>
    <row r="162" spans="1:19" x14ac:dyDescent="0.2">
      <c r="A162" s="306" t="s">
        <v>2577</v>
      </c>
      <c r="B162" s="261" t="s">
        <v>15154</v>
      </c>
      <c r="C162" s="261" t="s">
        <v>2578</v>
      </c>
      <c r="D162" s="261" t="s">
        <v>2579</v>
      </c>
      <c r="E162" s="261" t="str">
        <f t="shared" si="6"/>
        <v>Curious Archer</v>
      </c>
      <c r="F162" s="261" t="s">
        <v>2580</v>
      </c>
      <c r="G162" s="261">
        <v>4</v>
      </c>
      <c r="H162" s="261" t="s">
        <v>121</v>
      </c>
      <c r="I162" s="261" t="s">
        <v>1947</v>
      </c>
      <c r="J162" s="261" t="s">
        <v>759</v>
      </c>
      <c r="K162" s="261" t="s">
        <v>2004</v>
      </c>
      <c r="L162" s="261" t="s">
        <v>2022</v>
      </c>
      <c r="M162" s="261" t="s">
        <v>670</v>
      </c>
      <c r="N162" s="261" t="s">
        <v>762</v>
      </c>
      <c r="O162" s="261" t="s">
        <v>2587</v>
      </c>
      <c r="P162" s="261" t="s">
        <v>6893</v>
      </c>
      <c r="Q162" s="261" t="s">
        <v>6552</v>
      </c>
      <c r="R162" s="261" t="str">
        <f t="shared" si="7"/>
        <v>(Wind) Skill Damage +40%</v>
      </c>
      <c r="S162" s="330" t="str">
        <f t="shared" si="8"/>
        <v>(Wind) Attack Rate +20%</v>
      </c>
    </row>
    <row r="163" spans="1:19" x14ac:dyDescent="0.2">
      <c r="A163" s="306" t="s">
        <v>2592</v>
      </c>
      <c r="B163" s="261" t="s">
        <v>15155</v>
      </c>
      <c r="C163" s="261" t="s">
        <v>2593</v>
      </c>
      <c r="D163" s="261" t="s">
        <v>2594</v>
      </c>
      <c r="E163" s="261" t="str">
        <f t="shared" si="6"/>
        <v>Love Seeker</v>
      </c>
      <c r="F163" s="261" t="s">
        <v>2595</v>
      </c>
      <c r="G163" s="261">
        <v>3</v>
      </c>
      <c r="H163" s="261" t="s">
        <v>121</v>
      </c>
      <c r="I163" s="261" t="s">
        <v>1947</v>
      </c>
      <c r="J163" s="261" t="s">
        <v>759</v>
      </c>
      <c r="K163" s="261" t="s">
        <v>6911</v>
      </c>
      <c r="L163" s="261" t="s">
        <v>2604</v>
      </c>
      <c r="M163" s="261" t="s">
        <v>2605</v>
      </c>
      <c r="N163" s="261" t="s">
        <v>762</v>
      </c>
      <c r="O163" s="261" t="s">
        <v>1987</v>
      </c>
      <c r="P163" s="261" t="s">
        <v>316</v>
      </c>
      <c r="Q163" s="261" t="s">
        <v>7129</v>
      </c>
      <c r="R163" s="261" t="str">
        <f t="shared" si="7"/>
        <v>(Wind) Skill Haste +10%</v>
      </c>
      <c r="S163" s="330" t="str">
        <f t="shared" si="8"/>
        <v>(Wind) Combo Time +2</v>
      </c>
    </row>
    <row r="164" spans="1:19" x14ac:dyDescent="0.2">
      <c r="A164" s="306" t="s">
        <v>2610</v>
      </c>
      <c r="B164" s="261" t="s">
        <v>15156</v>
      </c>
      <c r="C164" s="261" t="s">
        <v>2611</v>
      </c>
      <c r="D164" s="261" t="s">
        <v>2612</v>
      </c>
      <c r="E164" s="261" t="str">
        <f t="shared" si="6"/>
        <v>The Wing of War</v>
      </c>
      <c r="F164" s="261" t="s">
        <v>2613</v>
      </c>
      <c r="G164" s="261">
        <v>5</v>
      </c>
      <c r="H164" s="261" t="s">
        <v>121</v>
      </c>
      <c r="I164" s="261" t="s">
        <v>1947</v>
      </c>
      <c r="J164" s="261" t="s">
        <v>839</v>
      </c>
      <c r="K164" s="261" t="s">
        <v>2621</v>
      </c>
      <c r="L164" s="261" t="s">
        <v>2022</v>
      </c>
      <c r="M164" s="261" t="s">
        <v>2622</v>
      </c>
      <c r="N164" s="261" t="s">
        <v>842</v>
      </c>
      <c r="O164" s="261" t="s">
        <v>1987</v>
      </c>
      <c r="P164" s="261" t="s">
        <v>2620</v>
      </c>
      <c r="Q164" s="261" t="s">
        <v>336</v>
      </c>
      <c r="R164" s="261" t="str">
        <f t="shared" si="7"/>
        <v>(Wind) 15 Hits = Overdamage</v>
      </c>
      <c r="S164" s="330" t="str">
        <f t="shared" si="8"/>
        <v>(Wind) Force Strike +50%</v>
      </c>
    </row>
    <row r="165" spans="1:19" x14ac:dyDescent="0.2">
      <c r="A165" s="306" t="s">
        <v>2626</v>
      </c>
      <c r="B165" s="261" t="s">
        <v>15157</v>
      </c>
      <c r="C165" s="261" t="s">
        <v>2627</v>
      </c>
      <c r="D165" s="261" t="s">
        <v>2628</v>
      </c>
      <c r="E165" s="261" t="str">
        <f t="shared" si="6"/>
        <v>Secret Admirer</v>
      </c>
      <c r="F165" s="261" t="s">
        <v>2629</v>
      </c>
      <c r="G165" s="261">
        <v>5</v>
      </c>
      <c r="H165" s="261" t="s">
        <v>260</v>
      </c>
      <c r="I165" s="261" t="s">
        <v>1947</v>
      </c>
      <c r="J165" s="261" t="s">
        <v>839</v>
      </c>
      <c r="K165" s="261" t="s">
        <v>2638</v>
      </c>
      <c r="L165" s="261" t="s">
        <v>1972</v>
      </c>
      <c r="M165" s="261" t="s">
        <v>319</v>
      </c>
      <c r="N165" s="261" t="s">
        <v>842</v>
      </c>
      <c r="O165" s="261" t="s">
        <v>1987</v>
      </c>
      <c r="P165" s="261" t="s">
        <v>14997</v>
      </c>
      <c r="Q165" s="261" t="s">
        <v>6552</v>
      </c>
      <c r="R165" s="261" t="str">
        <f t="shared" si="7"/>
        <v>(Wind) Critical Damage +25%</v>
      </c>
      <c r="S165" s="330" t="str">
        <f t="shared" si="8"/>
        <v>(Wind) Attack Rate +20%</v>
      </c>
    </row>
    <row r="166" spans="1:19" x14ac:dyDescent="0.2">
      <c r="A166" s="306" t="s">
        <v>2642</v>
      </c>
      <c r="B166" s="261" t="s">
        <v>15158</v>
      </c>
      <c r="C166" s="261" t="s">
        <v>2643</v>
      </c>
      <c r="D166" s="261" t="s">
        <v>2644</v>
      </c>
      <c r="E166" s="261" t="str">
        <f t="shared" si="6"/>
        <v>Seaside Scholar</v>
      </c>
      <c r="F166" s="261" t="s">
        <v>2645</v>
      </c>
      <c r="G166" s="261">
        <v>5</v>
      </c>
      <c r="H166" s="261" t="s">
        <v>260</v>
      </c>
      <c r="I166" s="261" t="s">
        <v>1947</v>
      </c>
      <c r="J166" s="261" t="s">
        <v>839</v>
      </c>
      <c r="K166" s="261" t="s">
        <v>519</v>
      </c>
      <c r="L166" s="261" t="s">
        <v>1972</v>
      </c>
      <c r="M166" s="261" t="s">
        <v>910</v>
      </c>
      <c r="N166" s="261" t="s">
        <v>842</v>
      </c>
      <c r="O166" s="261" t="s">
        <v>1987</v>
      </c>
      <c r="P166" s="261" t="s">
        <v>417</v>
      </c>
      <c r="Q166" s="261" t="s">
        <v>2974</v>
      </c>
      <c r="R166" s="261" t="str">
        <f t="shared" si="7"/>
        <v>(Wind) Overdrive Punisher +15%</v>
      </c>
      <c r="S166" s="330" t="str">
        <f t="shared" si="8"/>
        <v>(Wind) Elemental Res +15%</v>
      </c>
    </row>
    <row r="167" spans="1:19" x14ac:dyDescent="0.2">
      <c r="A167" s="306" t="s">
        <v>2655</v>
      </c>
      <c r="B167" s="261" t="s">
        <v>15159</v>
      </c>
      <c r="C167" s="261" t="s">
        <v>2656</v>
      </c>
      <c r="D167" s="261" t="s">
        <v>2657</v>
      </c>
      <c r="E167" s="261" t="str">
        <f t="shared" si="6"/>
        <v>Child of the Forest</v>
      </c>
      <c r="F167" s="261" t="s">
        <v>2658</v>
      </c>
      <c r="G167" s="261">
        <v>5</v>
      </c>
      <c r="H167" s="261" t="s">
        <v>121</v>
      </c>
      <c r="I167" s="261" t="s">
        <v>1947</v>
      </c>
      <c r="J167" s="261" t="s">
        <v>839</v>
      </c>
      <c r="K167" s="261" t="s">
        <v>910</v>
      </c>
      <c r="L167" s="261" t="s">
        <v>2022</v>
      </c>
      <c r="M167" s="261" t="s">
        <v>670</v>
      </c>
      <c r="N167" s="261" t="s">
        <v>842</v>
      </c>
      <c r="O167" s="261" t="s">
        <v>1987</v>
      </c>
      <c r="P167" s="261" t="s">
        <v>316</v>
      </c>
      <c r="Q167" s="261" t="s">
        <v>618</v>
      </c>
      <c r="R167" s="261" t="str">
        <f t="shared" si="7"/>
        <v>(Wind) Skill Haste +10%</v>
      </c>
      <c r="S167" s="330" t="str">
        <f t="shared" si="8"/>
        <v>(Wind) Defense +20%</v>
      </c>
    </row>
    <row r="168" spans="1:19" x14ac:dyDescent="0.2">
      <c r="A168" s="306" t="s">
        <v>2668</v>
      </c>
      <c r="B168" s="261" t="s">
        <v>15160</v>
      </c>
      <c r="C168" s="261" t="s">
        <v>2669</v>
      </c>
      <c r="D168" s="261" t="s">
        <v>2670</v>
      </c>
      <c r="E168" s="261" t="str">
        <f t="shared" si="6"/>
        <v>Saint's Aegis</v>
      </c>
      <c r="F168" s="261" t="s">
        <v>2671</v>
      </c>
      <c r="G168" s="261">
        <v>4</v>
      </c>
      <c r="H168" s="261" t="s">
        <v>260</v>
      </c>
      <c r="I168" s="261" t="s">
        <v>1947</v>
      </c>
      <c r="J168" s="261" t="s">
        <v>839</v>
      </c>
      <c r="K168" s="261" t="s">
        <v>601</v>
      </c>
      <c r="L168" s="261" t="s">
        <v>2022</v>
      </c>
      <c r="M168" s="261" t="s">
        <v>283</v>
      </c>
      <c r="N168" s="261" t="s">
        <v>842</v>
      </c>
      <c r="O168" s="261" t="s">
        <v>6634</v>
      </c>
      <c r="P168" s="261" t="s">
        <v>6893</v>
      </c>
      <c r="Q168" s="261" t="s">
        <v>618</v>
      </c>
      <c r="R168" s="261" t="str">
        <f t="shared" si="7"/>
        <v>(Wind) Skill Damage +40%</v>
      </c>
      <c r="S168" s="330" t="str">
        <f t="shared" si="8"/>
        <v>(Wind) Defense +20%</v>
      </c>
    </row>
    <row r="169" spans="1:19" x14ac:dyDescent="0.2">
      <c r="A169" s="306" t="s">
        <v>2681</v>
      </c>
      <c r="B169" s="261" t="s">
        <v>15161</v>
      </c>
      <c r="C169" s="261" t="s">
        <v>2682</v>
      </c>
      <c r="D169" s="261" t="s">
        <v>2683</v>
      </c>
      <c r="E169" s="261" t="str">
        <f t="shared" si="6"/>
        <v>Meek Messenger</v>
      </c>
      <c r="F169" s="261" t="s">
        <v>2684</v>
      </c>
      <c r="G169" s="261">
        <v>4</v>
      </c>
      <c r="H169" s="261" t="s">
        <v>260</v>
      </c>
      <c r="I169" s="261" t="s">
        <v>1947</v>
      </c>
      <c r="J169" s="261" t="s">
        <v>839</v>
      </c>
      <c r="K169" s="261" t="s">
        <v>1140</v>
      </c>
      <c r="L169" s="261" t="s">
        <v>2022</v>
      </c>
      <c r="M169" s="261" t="s">
        <v>370</v>
      </c>
      <c r="N169" s="261" t="s">
        <v>842</v>
      </c>
      <c r="O169" s="261" t="s">
        <v>1987</v>
      </c>
      <c r="P169" s="261" t="s">
        <v>618</v>
      </c>
      <c r="Q169" s="261" t="s">
        <v>970</v>
      </c>
      <c r="R169" s="261" t="str">
        <f t="shared" si="7"/>
        <v>(Wind) Defense +20%</v>
      </c>
      <c r="S169" s="330" t="str">
        <f t="shared" si="8"/>
        <v>(Wind) Recovery Potency +20%</v>
      </c>
    </row>
    <row r="170" spans="1:19" x14ac:dyDescent="0.2">
      <c r="A170" s="306" t="s">
        <v>2694</v>
      </c>
      <c r="B170" s="261" t="s">
        <v>15162</v>
      </c>
      <c r="C170" s="261" t="s">
        <v>2695</v>
      </c>
      <c r="D170" s="261" t="s">
        <v>2696</v>
      </c>
      <c r="E170" s="261" t="str">
        <f t="shared" si="6"/>
        <v>Walking Encyclopedia</v>
      </c>
      <c r="F170" s="261" t="s">
        <v>2697</v>
      </c>
      <c r="G170" s="261">
        <v>3</v>
      </c>
      <c r="H170" s="261" t="s">
        <v>121</v>
      </c>
      <c r="I170" s="261" t="s">
        <v>1947</v>
      </c>
      <c r="J170" s="261" t="s">
        <v>839</v>
      </c>
      <c r="K170" s="261" t="s">
        <v>371</v>
      </c>
      <c r="L170" s="261" t="s">
        <v>1972</v>
      </c>
      <c r="M170" s="261" t="s">
        <v>2203</v>
      </c>
      <c r="N170" s="261" t="s">
        <v>842</v>
      </c>
      <c r="O170" s="261" t="s">
        <v>1987</v>
      </c>
      <c r="P170" s="261" t="s">
        <v>682</v>
      </c>
      <c r="Q170" s="261" t="s">
        <v>2974</v>
      </c>
      <c r="R170" s="261" t="str">
        <f t="shared" si="7"/>
        <v>(Wind) HP +15%</v>
      </c>
      <c r="S170" s="330" t="str">
        <f t="shared" si="8"/>
        <v>(Wind) Elemental Res +15%</v>
      </c>
    </row>
    <row r="171" spans="1:19" x14ac:dyDescent="0.2">
      <c r="A171" s="306" t="s">
        <v>2707</v>
      </c>
      <c r="B171" s="261" t="s">
        <v>15163</v>
      </c>
      <c r="C171" s="261" t="s">
        <v>2708</v>
      </c>
      <c r="D171" s="261" t="s">
        <v>2709</v>
      </c>
      <c r="E171" s="261" t="str">
        <f t="shared" si="6"/>
        <v>Spirited Shopkeeper</v>
      </c>
      <c r="F171" s="261" t="s">
        <v>2710</v>
      </c>
      <c r="G171" s="261">
        <v>5</v>
      </c>
      <c r="H171" s="261" t="s">
        <v>967</v>
      </c>
      <c r="I171" s="261" t="s">
        <v>1947</v>
      </c>
      <c r="J171" s="261" t="s">
        <v>949</v>
      </c>
      <c r="K171" s="261" t="s">
        <v>2718</v>
      </c>
      <c r="L171" s="261" t="s">
        <v>1972</v>
      </c>
      <c r="M171" s="261" t="s">
        <v>2719</v>
      </c>
      <c r="N171" s="261" t="s">
        <v>970</v>
      </c>
      <c r="O171" s="261" t="s">
        <v>2717</v>
      </c>
      <c r="P171" s="261" t="s">
        <v>6601</v>
      </c>
      <c r="Q171" s="261" t="s">
        <v>417</v>
      </c>
      <c r="R171" s="261" t="str">
        <f t="shared" si="7"/>
        <v>(Wind) Critical Rate +15%</v>
      </c>
      <c r="S171" s="330" t="str">
        <f t="shared" si="8"/>
        <v>(Wind) Overdrive Punisher +15%</v>
      </c>
    </row>
    <row r="172" spans="1:19" x14ac:dyDescent="0.2">
      <c r="A172" s="306" t="s">
        <v>2722</v>
      </c>
      <c r="B172" s="261" t="s">
        <v>15164</v>
      </c>
      <c r="C172" s="261" t="s">
        <v>2723</v>
      </c>
      <c r="D172" s="261" t="s">
        <v>2724</v>
      </c>
      <c r="E172" s="261" t="str">
        <f t="shared" si="6"/>
        <v>Bridge Builder</v>
      </c>
      <c r="F172" s="261" t="s">
        <v>2725</v>
      </c>
      <c r="G172" s="261">
        <v>5</v>
      </c>
      <c r="H172" s="261" t="s">
        <v>967</v>
      </c>
      <c r="I172" s="261" t="s">
        <v>1947</v>
      </c>
      <c r="J172" s="261" t="s">
        <v>949</v>
      </c>
      <c r="K172" s="261" t="s">
        <v>2731</v>
      </c>
      <c r="L172" s="261" t="s">
        <v>1972</v>
      </c>
      <c r="M172" s="261" t="s">
        <v>2126</v>
      </c>
      <c r="N172" s="261" t="s">
        <v>970</v>
      </c>
      <c r="O172" s="261" t="s">
        <v>128</v>
      </c>
      <c r="P172" s="261" t="s">
        <v>682</v>
      </c>
      <c r="Q172" s="261" t="s">
        <v>618</v>
      </c>
      <c r="R172" s="261" t="str">
        <f t="shared" si="7"/>
        <v>(Wind) HP +15%</v>
      </c>
      <c r="S172" s="330" t="str">
        <f t="shared" si="8"/>
        <v>(Wind) Defense +20%</v>
      </c>
    </row>
    <row r="173" spans="1:19" x14ac:dyDescent="0.2">
      <c r="A173" s="306" t="s">
        <v>2736</v>
      </c>
      <c r="B173" s="261" t="s">
        <v>15165</v>
      </c>
      <c r="C173" s="261" t="s">
        <v>2737</v>
      </c>
      <c r="D173" s="261" t="s">
        <v>2738</v>
      </c>
      <c r="E173" s="261" t="str">
        <f t="shared" si="6"/>
        <v>Pursuer of Knowledge</v>
      </c>
      <c r="F173" s="261" t="s">
        <v>2739</v>
      </c>
      <c r="G173" s="261">
        <v>5</v>
      </c>
      <c r="H173" s="261" t="s">
        <v>967</v>
      </c>
      <c r="I173" s="261" t="s">
        <v>1947</v>
      </c>
      <c r="J173" s="261" t="s">
        <v>949</v>
      </c>
      <c r="K173" s="261" t="s">
        <v>2747</v>
      </c>
      <c r="L173" s="261" t="s">
        <v>2022</v>
      </c>
      <c r="M173" s="261" t="s">
        <v>1031</v>
      </c>
      <c r="N173" s="261" t="s">
        <v>970</v>
      </c>
      <c r="O173" s="261" t="s">
        <v>245</v>
      </c>
      <c r="P173" s="261" t="s">
        <v>2620</v>
      </c>
      <c r="Q173" s="261" t="s">
        <v>618</v>
      </c>
      <c r="R173" s="261" t="str">
        <f t="shared" si="7"/>
        <v>(Wind) 15 Hits = Overdamage</v>
      </c>
      <c r="S173" s="330" t="str">
        <f t="shared" si="8"/>
        <v>(Wind) Defense +20%</v>
      </c>
    </row>
    <row r="174" spans="1:19" x14ac:dyDescent="0.2">
      <c r="A174" s="306" t="s">
        <v>2750</v>
      </c>
      <c r="B174" s="261" t="s">
        <v>15166</v>
      </c>
      <c r="C174" s="261" t="s">
        <v>2751</v>
      </c>
      <c r="D174" s="261" t="s">
        <v>2752</v>
      </c>
      <c r="E174" s="261" t="str">
        <f t="shared" si="6"/>
        <v>Magical Bride</v>
      </c>
      <c r="F174" s="261" t="s">
        <v>2753</v>
      </c>
      <c r="G174" s="261">
        <v>4</v>
      </c>
      <c r="H174" s="261" t="s">
        <v>967</v>
      </c>
      <c r="I174" s="261" t="s">
        <v>1947</v>
      </c>
      <c r="J174" s="261" t="s">
        <v>949</v>
      </c>
      <c r="K174" s="261" t="s">
        <v>1031</v>
      </c>
      <c r="L174" s="261" t="s">
        <v>1972</v>
      </c>
      <c r="M174" s="261" t="s">
        <v>1851</v>
      </c>
      <c r="N174" s="261" t="s">
        <v>970</v>
      </c>
      <c r="O174" s="261" t="s">
        <v>245</v>
      </c>
      <c r="P174" s="261" t="s">
        <v>6911</v>
      </c>
      <c r="Q174" s="261" t="s">
        <v>909</v>
      </c>
      <c r="R174" s="261" t="str">
        <f t="shared" si="7"/>
        <v>(Wind) Strength +20%</v>
      </c>
      <c r="S174" s="330" t="str">
        <f t="shared" si="8"/>
        <v>(Wind) Broken Punisher +30%</v>
      </c>
    </row>
    <row r="175" spans="1:19" x14ac:dyDescent="0.2">
      <c r="A175" s="306" t="s">
        <v>2762</v>
      </c>
      <c r="B175" s="261" t="s">
        <v>15167</v>
      </c>
      <c r="C175" s="261" t="s">
        <v>2763</v>
      </c>
      <c r="D175" s="261" t="s">
        <v>2764</v>
      </c>
      <c r="E175" s="261" t="str">
        <f t="shared" si="6"/>
        <v>Dependable Brother</v>
      </c>
      <c r="F175" s="261" t="s">
        <v>2765</v>
      </c>
      <c r="G175" s="261">
        <v>4</v>
      </c>
      <c r="H175" s="261" t="s">
        <v>967</v>
      </c>
      <c r="I175" s="261" t="s">
        <v>1947</v>
      </c>
      <c r="J175" s="261" t="s">
        <v>949</v>
      </c>
      <c r="K175" s="261" t="s">
        <v>1851</v>
      </c>
      <c r="L175" s="261" t="s">
        <v>2022</v>
      </c>
      <c r="M175" s="261" t="s">
        <v>1031</v>
      </c>
      <c r="N175" s="261" t="s">
        <v>970</v>
      </c>
      <c r="O175" s="261" t="s">
        <v>245</v>
      </c>
      <c r="P175" s="261" t="s">
        <v>682</v>
      </c>
      <c r="Q175" s="261" t="s">
        <v>970</v>
      </c>
      <c r="R175" s="261" t="str">
        <f t="shared" si="7"/>
        <v>(Wind) HP +15%</v>
      </c>
      <c r="S175" s="330" t="str">
        <f t="shared" si="8"/>
        <v>(Wind) Recovery Potency +20%</v>
      </c>
    </row>
    <row r="176" spans="1:19" x14ac:dyDescent="0.2">
      <c r="A176" s="306" t="s">
        <v>2776</v>
      </c>
      <c r="B176" s="261" t="s">
        <v>15168</v>
      </c>
      <c r="C176" s="261" t="s">
        <v>2777</v>
      </c>
      <c r="D176" s="261" t="s">
        <v>2778</v>
      </c>
      <c r="E176" s="261" t="str">
        <f t="shared" si="6"/>
        <v>Mana Observer</v>
      </c>
      <c r="F176" s="261" t="s">
        <v>2779</v>
      </c>
      <c r="G176" s="261">
        <v>3</v>
      </c>
      <c r="H176" s="261" t="s">
        <v>967</v>
      </c>
      <c r="I176" s="261" t="s">
        <v>1947</v>
      </c>
      <c r="J176" s="261" t="s">
        <v>949</v>
      </c>
      <c r="K176" s="261" t="s">
        <v>1031</v>
      </c>
      <c r="L176" s="261" t="s">
        <v>1972</v>
      </c>
      <c r="M176" s="261" t="s">
        <v>2004</v>
      </c>
      <c r="N176" s="261" t="s">
        <v>970</v>
      </c>
      <c r="O176" s="261" t="s">
        <v>245</v>
      </c>
      <c r="P176" s="261" t="s">
        <v>6911</v>
      </c>
      <c r="Q176" s="261" t="s">
        <v>970</v>
      </c>
      <c r="R176" s="261" t="str">
        <f t="shared" si="7"/>
        <v>(Wind) Strength +20%</v>
      </c>
      <c r="S176" s="330" t="str">
        <f t="shared" si="8"/>
        <v>(Wind) Recovery Potency +20%</v>
      </c>
    </row>
    <row r="177" spans="1:19" x14ac:dyDescent="0.2">
      <c r="A177" s="306" t="s">
        <v>2787</v>
      </c>
      <c r="B177" s="261" t="s">
        <v>15169</v>
      </c>
      <c r="C177" s="261" t="s">
        <v>2788</v>
      </c>
      <c r="D177" s="261" t="s">
        <v>2789</v>
      </c>
      <c r="E177" s="261" t="str">
        <f t="shared" si="6"/>
        <v>Disgraced Knight</v>
      </c>
      <c r="F177" s="261" t="s">
        <v>2790</v>
      </c>
      <c r="G177" s="261">
        <v>5</v>
      </c>
      <c r="H177" s="261" t="s">
        <v>121</v>
      </c>
      <c r="I177" s="261" t="s">
        <v>1947</v>
      </c>
      <c r="J177" s="261" t="s">
        <v>1054</v>
      </c>
      <c r="K177" s="261" t="s">
        <v>2798</v>
      </c>
      <c r="L177" s="261" t="s">
        <v>2022</v>
      </c>
      <c r="M177" s="261" t="s">
        <v>2799</v>
      </c>
      <c r="N177" s="261" t="s">
        <v>1057</v>
      </c>
      <c r="O177" s="261" t="s">
        <v>1987</v>
      </c>
      <c r="P177" s="261" t="s">
        <v>6911</v>
      </c>
      <c r="Q177" s="261" t="s">
        <v>336</v>
      </c>
      <c r="R177" s="261" t="str">
        <f t="shared" si="7"/>
        <v>(Wind) Strength +20%</v>
      </c>
      <c r="S177" s="330" t="str">
        <f t="shared" si="8"/>
        <v>(Wind) Force Strike +50%</v>
      </c>
    </row>
    <row r="178" spans="1:19" x14ac:dyDescent="0.2">
      <c r="A178" s="306" t="s">
        <v>2803</v>
      </c>
      <c r="B178" s="261" t="s">
        <v>15170</v>
      </c>
      <c r="C178" s="261" t="s">
        <v>2804</v>
      </c>
      <c r="D178" s="261" t="s">
        <v>2805</v>
      </c>
      <c r="E178" s="261" t="str">
        <f t="shared" si="6"/>
        <v>Sinful Marksman</v>
      </c>
      <c r="F178" s="261" t="s">
        <v>2806</v>
      </c>
      <c r="G178" s="261">
        <v>5</v>
      </c>
      <c r="H178" s="261" t="s">
        <v>121</v>
      </c>
      <c r="I178" s="261" t="s">
        <v>1947</v>
      </c>
      <c r="J178" s="261" t="s">
        <v>1054</v>
      </c>
      <c r="K178" s="261" t="s">
        <v>2814</v>
      </c>
      <c r="L178" s="261" t="s">
        <v>1972</v>
      </c>
      <c r="M178" s="261" t="s">
        <v>6911</v>
      </c>
      <c r="N178" s="261" t="s">
        <v>1057</v>
      </c>
      <c r="O178" s="261" t="s">
        <v>1987</v>
      </c>
      <c r="P178" s="261" t="s">
        <v>6893</v>
      </c>
      <c r="Q178" s="261" t="s">
        <v>417</v>
      </c>
      <c r="R178" s="261" t="str">
        <f t="shared" si="7"/>
        <v>(Wind) Skill Damage +40%</v>
      </c>
      <c r="S178" s="330" t="str">
        <f t="shared" si="8"/>
        <v>(Wind) Overdrive Punisher +15%</v>
      </c>
    </row>
    <row r="179" spans="1:19" x14ac:dyDescent="0.2">
      <c r="A179" s="306" t="s">
        <v>2818</v>
      </c>
      <c r="B179" s="261" t="s">
        <v>15171</v>
      </c>
      <c r="C179" s="261" t="s">
        <v>2819</v>
      </c>
      <c r="D179" s="261" t="s">
        <v>2820</v>
      </c>
      <c r="E179" s="261" t="str">
        <f t="shared" si="6"/>
        <v>Resolved Hunter</v>
      </c>
      <c r="F179" s="261" t="s">
        <v>2821</v>
      </c>
      <c r="G179" s="261">
        <v>5</v>
      </c>
      <c r="H179" s="261" t="s">
        <v>121</v>
      </c>
      <c r="I179" s="261" t="s">
        <v>1947</v>
      </c>
      <c r="J179" s="261" t="s">
        <v>1054</v>
      </c>
      <c r="K179" s="261" t="s">
        <v>2520</v>
      </c>
      <c r="L179" s="261" t="s">
        <v>1972</v>
      </c>
      <c r="M179" s="261" t="s">
        <v>2126</v>
      </c>
      <c r="N179" s="261" t="s">
        <v>1057</v>
      </c>
      <c r="O179" s="261" t="s">
        <v>1987</v>
      </c>
      <c r="P179" s="261" t="s">
        <v>6911</v>
      </c>
      <c r="Q179" s="261" t="s">
        <v>417</v>
      </c>
      <c r="R179" s="261" t="str">
        <f t="shared" si="7"/>
        <v>(Wind) Strength +20%</v>
      </c>
      <c r="S179" s="330" t="str">
        <f t="shared" si="8"/>
        <v>(Wind) Overdrive Punisher +15%</v>
      </c>
    </row>
    <row r="180" spans="1:19" x14ac:dyDescent="0.2">
      <c r="A180" s="306" t="s">
        <v>2830</v>
      </c>
      <c r="B180" s="261" t="s">
        <v>15172</v>
      </c>
      <c r="C180" s="261" t="s">
        <v>2831</v>
      </c>
      <c r="D180" s="261" t="s">
        <v>2832</v>
      </c>
      <c r="E180" s="261" t="str">
        <f t="shared" si="6"/>
        <v>Ambitious Knight</v>
      </c>
      <c r="F180" s="261" t="s">
        <v>2833</v>
      </c>
      <c r="G180" s="261">
        <v>5</v>
      </c>
      <c r="H180" s="261" t="s">
        <v>121</v>
      </c>
      <c r="I180" s="261" t="s">
        <v>2837</v>
      </c>
      <c r="J180" s="261" t="s">
        <v>123</v>
      </c>
      <c r="K180" s="261" t="s">
        <v>2843</v>
      </c>
      <c r="L180" s="261" t="s">
        <v>2844</v>
      </c>
      <c r="M180" s="261" t="s">
        <v>1903</v>
      </c>
      <c r="N180" s="261" t="s">
        <v>126</v>
      </c>
      <c r="O180" s="261" t="s">
        <v>779</v>
      </c>
      <c r="P180" s="261" t="s">
        <v>6893</v>
      </c>
      <c r="Q180" s="261" t="s">
        <v>682</v>
      </c>
      <c r="R180" s="261" t="str">
        <f t="shared" si="7"/>
        <v>(Light) Skill Damage +40%</v>
      </c>
      <c r="S180" s="330" t="str">
        <f t="shared" si="8"/>
        <v>(Light) HP +15%</v>
      </c>
    </row>
    <row r="181" spans="1:19" x14ac:dyDescent="0.2">
      <c r="A181" s="306" t="s">
        <v>2849</v>
      </c>
      <c r="B181" s="261" t="s">
        <v>15173</v>
      </c>
      <c r="C181" s="261" t="s">
        <v>2850</v>
      </c>
      <c r="D181" s="261" t="s">
        <v>2851</v>
      </c>
      <c r="E181" s="261" t="str">
        <f t="shared" si="6"/>
        <v>Peckish Princess</v>
      </c>
      <c r="F181" s="261" t="s">
        <v>2852</v>
      </c>
      <c r="G181" s="261">
        <v>5</v>
      </c>
      <c r="H181" s="261" t="s">
        <v>121</v>
      </c>
      <c r="I181" s="261" t="s">
        <v>2837</v>
      </c>
      <c r="J181" s="261" t="s">
        <v>123</v>
      </c>
      <c r="K181" s="261" t="s">
        <v>2859</v>
      </c>
      <c r="L181" s="261" t="s">
        <v>2862</v>
      </c>
      <c r="M181" s="261" t="s">
        <v>6911</v>
      </c>
      <c r="N181" s="261" t="s">
        <v>126</v>
      </c>
      <c r="O181" s="261" t="s">
        <v>128</v>
      </c>
      <c r="P181" s="261" t="s">
        <v>6893</v>
      </c>
      <c r="Q181" s="261" t="s">
        <v>2974</v>
      </c>
      <c r="R181" s="261" t="str">
        <f t="shared" si="7"/>
        <v>(Light) Skill Damage +40%</v>
      </c>
      <c r="S181" s="330" t="str">
        <f t="shared" si="8"/>
        <v>(Light) Elemental Res +15%</v>
      </c>
    </row>
    <row r="182" spans="1:19" x14ac:dyDescent="0.2">
      <c r="A182" s="306" t="s">
        <v>2866</v>
      </c>
      <c r="B182" s="261" t="s">
        <v>15174</v>
      </c>
      <c r="C182" s="261" t="s">
        <v>2867</v>
      </c>
      <c r="D182" s="261" t="s">
        <v>2868</v>
      </c>
      <c r="E182" s="261" t="str">
        <f t="shared" si="6"/>
        <v>Bearer of Dragonlight</v>
      </c>
      <c r="F182" s="261" t="s">
        <v>2869</v>
      </c>
      <c r="G182" s="261">
        <v>5</v>
      </c>
      <c r="H182" s="261" t="s">
        <v>121</v>
      </c>
      <c r="I182" s="261" t="s">
        <v>2837</v>
      </c>
      <c r="J182" s="261" t="s">
        <v>123</v>
      </c>
      <c r="K182" s="261" t="s">
        <v>2880</v>
      </c>
      <c r="L182" s="261" t="s">
        <v>2881</v>
      </c>
      <c r="M182" s="261" t="s">
        <v>2879</v>
      </c>
      <c r="N182" s="261" t="s">
        <v>1950</v>
      </c>
      <c r="O182" s="261" t="s">
        <v>2876</v>
      </c>
      <c r="P182" s="261" t="s">
        <v>2620</v>
      </c>
      <c r="Q182" s="261" t="s">
        <v>417</v>
      </c>
      <c r="R182" s="261" t="str">
        <f t="shared" si="7"/>
        <v>(Light) 15 Hits = Overdamage</v>
      </c>
      <c r="S182" s="330" t="str">
        <f t="shared" si="8"/>
        <v>(Light) Overdrive Punisher +15%</v>
      </c>
    </row>
    <row r="183" spans="1:19" x14ac:dyDescent="0.2">
      <c r="A183" s="306" t="s">
        <v>2886</v>
      </c>
      <c r="B183" s="261" t="s">
        <v>15175</v>
      </c>
      <c r="C183" s="261" t="s">
        <v>2887</v>
      </c>
      <c r="D183" s="261" t="s">
        <v>2888</v>
      </c>
      <c r="E183" s="261" t="str">
        <f t="shared" si="6"/>
        <v>Prince of Askr</v>
      </c>
      <c r="F183" s="261" t="s">
        <v>2889</v>
      </c>
      <c r="G183" s="261">
        <v>5</v>
      </c>
      <c r="H183" s="261" t="s">
        <v>121</v>
      </c>
      <c r="I183" s="261" t="s">
        <v>2837</v>
      </c>
      <c r="J183" s="261" t="s">
        <v>123</v>
      </c>
      <c r="K183" s="261" t="s">
        <v>6911</v>
      </c>
      <c r="L183" s="261" t="s">
        <v>2862</v>
      </c>
      <c r="M183" s="261" t="s">
        <v>319</v>
      </c>
      <c r="N183" s="261" t="s">
        <v>126</v>
      </c>
      <c r="O183" s="261" t="s">
        <v>128</v>
      </c>
      <c r="P183" s="261" t="s">
        <v>6601</v>
      </c>
      <c r="Q183" s="261" t="s">
        <v>2974</v>
      </c>
      <c r="R183" s="261" t="str">
        <f t="shared" si="7"/>
        <v>(Light) Critical Rate +15%</v>
      </c>
      <c r="S183" s="330" t="str">
        <f t="shared" si="8"/>
        <v>(Light) Elemental Res +15%</v>
      </c>
    </row>
    <row r="184" spans="1:19" x14ac:dyDescent="0.2">
      <c r="A184" s="306" t="s">
        <v>2899</v>
      </c>
      <c r="B184" s="261" t="s">
        <v>15176</v>
      </c>
      <c r="C184" s="261" t="s">
        <v>2900</v>
      </c>
      <c r="D184" s="261" t="s">
        <v>2901</v>
      </c>
      <c r="E184" s="261" t="str">
        <f t="shared" si="6"/>
        <v>Thunderswift Lord</v>
      </c>
      <c r="F184" s="261" t="s">
        <v>2902</v>
      </c>
      <c r="G184" s="261">
        <v>5</v>
      </c>
      <c r="H184" s="261" t="s">
        <v>121</v>
      </c>
      <c r="I184" s="261" t="s">
        <v>2837</v>
      </c>
      <c r="J184" s="261" t="s">
        <v>123</v>
      </c>
      <c r="K184" s="261" t="s">
        <v>2911</v>
      </c>
      <c r="L184" s="261" t="s">
        <v>2844</v>
      </c>
      <c r="M184" s="261" t="s">
        <v>2912</v>
      </c>
      <c r="N184" s="261" t="s">
        <v>126</v>
      </c>
      <c r="O184" s="261" t="s">
        <v>245</v>
      </c>
      <c r="P184" s="261" t="s">
        <v>14997</v>
      </c>
      <c r="Q184" s="261" t="s">
        <v>336</v>
      </c>
      <c r="R184" s="261" t="str">
        <f t="shared" si="7"/>
        <v>(Light) Critical Damage +25%</v>
      </c>
      <c r="S184" s="330" t="str">
        <f t="shared" si="8"/>
        <v>(Light) Force Strike +50%</v>
      </c>
    </row>
    <row r="185" spans="1:19" x14ac:dyDescent="0.2">
      <c r="A185" s="306" t="s">
        <v>2915</v>
      </c>
      <c r="B185" s="261" t="s">
        <v>15177</v>
      </c>
      <c r="C185" s="261" t="s">
        <v>2916</v>
      </c>
      <c r="D185" s="261" t="s">
        <v>2917</v>
      </c>
      <c r="E185" s="261" t="str">
        <f t="shared" si="6"/>
        <v>Wanderlust Incarnate</v>
      </c>
      <c r="F185" s="261" t="s">
        <v>2918</v>
      </c>
      <c r="G185" s="261">
        <v>4</v>
      </c>
      <c r="H185" s="261" t="s">
        <v>121</v>
      </c>
      <c r="I185" s="261" t="s">
        <v>2837</v>
      </c>
      <c r="J185" s="261" t="s">
        <v>123</v>
      </c>
      <c r="K185" s="261" t="s">
        <v>6911</v>
      </c>
      <c r="L185" s="261" t="s">
        <v>2844</v>
      </c>
      <c r="M185" s="261" t="s">
        <v>1140</v>
      </c>
      <c r="N185" s="261" t="s">
        <v>126</v>
      </c>
      <c r="O185" s="261" t="s">
        <v>128</v>
      </c>
      <c r="P185" s="261" t="s">
        <v>6601</v>
      </c>
      <c r="Q185" s="261" t="s">
        <v>618</v>
      </c>
      <c r="R185" s="261" t="str">
        <f t="shared" si="7"/>
        <v>(Light) Critical Rate +15%</v>
      </c>
      <c r="S185" s="330" t="str">
        <f t="shared" si="8"/>
        <v>(Light) Defense +20%</v>
      </c>
    </row>
    <row r="186" spans="1:19" x14ac:dyDescent="0.2">
      <c r="A186" s="306" t="s">
        <v>2929</v>
      </c>
      <c r="B186" s="261" t="s">
        <v>15178</v>
      </c>
      <c r="C186" s="261" t="s">
        <v>2930</v>
      </c>
      <c r="D186" s="261" t="s">
        <v>2931</v>
      </c>
      <c r="E186" s="261" t="str">
        <f t="shared" si="6"/>
        <v>Loyal Servant</v>
      </c>
      <c r="F186" s="261" t="s">
        <v>2932</v>
      </c>
      <c r="G186" s="261">
        <v>3</v>
      </c>
      <c r="H186" s="261" t="s">
        <v>121</v>
      </c>
      <c r="I186" s="261" t="s">
        <v>2837</v>
      </c>
      <c r="J186" s="261" t="s">
        <v>123</v>
      </c>
      <c r="K186" s="261" t="s">
        <v>618</v>
      </c>
      <c r="L186" s="261" t="s">
        <v>2844</v>
      </c>
      <c r="M186" s="261" t="s">
        <v>2941</v>
      </c>
      <c r="N186" s="261" t="s">
        <v>126</v>
      </c>
      <c r="O186" s="261" t="s">
        <v>128</v>
      </c>
      <c r="P186" s="261" t="s">
        <v>14997</v>
      </c>
      <c r="Q186" s="261" t="s">
        <v>618</v>
      </c>
      <c r="R186" s="261" t="str">
        <f t="shared" si="7"/>
        <v>(Light) Critical Damage +25%</v>
      </c>
      <c r="S186" s="330" t="str">
        <f t="shared" si="8"/>
        <v>(Light) Defense +20%</v>
      </c>
    </row>
    <row r="187" spans="1:19" x14ac:dyDescent="0.2">
      <c r="A187" s="306" t="s">
        <v>2945</v>
      </c>
      <c r="B187" s="261" t="s">
        <v>15179</v>
      </c>
      <c r="C187" s="261" t="s">
        <v>2946</v>
      </c>
      <c r="D187" s="261" t="s">
        <v>2947</v>
      </c>
      <c r="E187" s="261" t="str">
        <f t="shared" si="6"/>
        <v>Capricious Luminary</v>
      </c>
      <c r="F187" s="261" t="s">
        <v>2948</v>
      </c>
      <c r="G187" s="261">
        <v>5</v>
      </c>
      <c r="H187" s="261" t="s">
        <v>121</v>
      </c>
      <c r="I187" s="261" t="s">
        <v>2837</v>
      </c>
      <c r="J187" s="261" t="s">
        <v>330</v>
      </c>
      <c r="K187" s="261" t="s">
        <v>2958</v>
      </c>
      <c r="L187" s="261" t="s">
        <v>2844</v>
      </c>
      <c r="M187" s="261" t="s">
        <v>2957</v>
      </c>
      <c r="N187" s="261" t="s">
        <v>333</v>
      </c>
      <c r="O187" s="261" t="s">
        <v>2955</v>
      </c>
      <c r="P187" s="261" t="s">
        <v>2620</v>
      </c>
      <c r="Q187" s="261" t="s">
        <v>126</v>
      </c>
      <c r="R187" s="261" t="str">
        <f t="shared" si="7"/>
        <v>(Light) 15 Hits = Overdamage</v>
      </c>
      <c r="S187" s="330" t="str">
        <f t="shared" si="8"/>
        <v>(Light) Dragon Haste +15%</v>
      </c>
    </row>
    <row r="188" spans="1:19" x14ac:dyDescent="0.2">
      <c r="A188" s="306" t="s">
        <v>2963</v>
      </c>
      <c r="B188" s="261" t="s">
        <v>15180</v>
      </c>
      <c r="C188" s="261" t="s">
        <v>2964</v>
      </c>
      <c r="D188" s="261" t="s">
        <v>2965</v>
      </c>
      <c r="E188" s="261" t="str">
        <f t="shared" si="6"/>
        <v>Innocent Being</v>
      </c>
      <c r="F188" s="261" t="s">
        <v>2966</v>
      </c>
      <c r="G188" s="261">
        <v>5</v>
      </c>
      <c r="H188" s="261" t="s">
        <v>241</v>
      </c>
      <c r="I188" s="261" t="s">
        <v>2837</v>
      </c>
      <c r="J188" s="261" t="s">
        <v>330</v>
      </c>
      <c r="K188" s="261" t="s">
        <v>2976</v>
      </c>
      <c r="L188" s="261" t="s">
        <v>2862</v>
      </c>
      <c r="M188" s="261" t="s">
        <v>2977</v>
      </c>
      <c r="N188" s="261" t="s">
        <v>333</v>
      </c>
      <c r="O188" s="261" t="s">
        <v>2973</v>
      </c>
      <c r="P188" s="261" t="s">
        <v>6911</v>
      </c>
      <c r="Q188" s="261" t="s">
        <v>2974</v>
      </c>
      <c r="R188" s="261" t="str">
        <f t="shared" si="7"/>
        <v>(Light) Strength +20%</v>
      </c>
      <c r="S188" s="330" t="str">
        <f t="shared" si="8"/>
        <v>(Light) Elemental Res +15%</v>
      </c>
    </row>
    <row r="189" spans="1:19" x14ac:dyDescent="0.2">
      <c r="A189" s="306" t="s">
        <v>2981</v>
      </c>
      <c r="B189" s="261" t="s">
        <v>15181</v>
      </c>
      <c r="C189" s="261" t="s">
        <v>2982</v>
      </c>
      <c r="D189" s="261" t="s">
        <v>2983</v>
      </c>
      <c r="E189" s="261" t="str">
        <f t="shared" si="6"/>
        <v>Harmony Seeker</v>
      </c>
      <c r="F189" s="261" t="s">
        <v>2984</v>
      </c>
      <c r="G189" s="261">
        <v>5</v>
      </c>
      <c r="H189" s="261" t="s">
        <v>121</v>
      </c>
      <c r="I189" s="261" t="s">
        <v>2837</v>
      </c>
      <c r="J189" s="261" t="s">
        <v>330</v>
      </c>
      <c r="K189" s="261" t="s">
        <v>2991</v>
      </c>
      <c r="L189" s="261" t="s">
        <v>2992</v>
      </c>
      <c r="M189" s="261" t="s">
        <v>249</v>
      </c>
      <c r="N189" s="261" t="s">
        <v>333</v>
      </c>
      <c r="O189" s="261" t="s">
        <v>2973</v>
      </c>
      <c r="P189" s="261" t="s">
        <v>2620</v>
      </c>
      <c r="Q189" s="261" t="s">
        <v>2974</v>
      </c>
      <c r="R189" s="261" t="str">
        <f t="shared" si="7"/>
        <v>(Light) 15 Hits = Overdamage</v>
      </c>
      <c r="S189" s="330" t="str">
        <f t="shared" si="8"/>
        <v>(Light) Elemental Res +15%</v>
      </c>
    </row>
    <row r="190" spans="1:19" x14ac:dyDescent="0.2">
      <c r="A190" s="306" t="s">
        <v>2996</v>
      </c>
      <c r="B190" s="261" t="s">
        <v>15182</v>
      </c>
      <c r="C190" s="261" t="s">
        <v>2997</v>
      </c>
      <c r="D190" s="261" t="s">
        <v>2998</v>
      </c>
      <c r="E190" s="261" t="str">
        <f t="shared" si="6"/>
        <v>Brilliant Beautician</v>
      </c>
      <c r="F190" s="261" t="s">
        <v>2999</v>
      </c>
      <c r="G190" s="261">
        <v>5</v>
      </c>
      <c r="H190" s="261" t="s">
        <v>121</v>
      </c>
      <c r="I190" s="261" t="s">
        <v>2837</v>
      </c>
      <c r="J190" s="261" t="s">
        <v>330</v>
      </c>
      <c r="K190" s="261" t="s">
        <v>3008</v>
      </c>
      <c r="L190" s="261" t="s">
        <v>2844</v>
      </c>
      <c r="M190" s="261" t="s">
        <v>910</v>
      </c>
      <c r="N190" s="261" t="s">
        <v>333</v>
      </c>
      <c r="O190" s="261" t="s">
        <v>2973</v>
      </c>
      <c r="P190" s="261" t="s">
        <v>6893</v>
      </c>
      <c r="Q190" s="261" t="s">
        <v>417</v>
      </c>
      <c r="R190" s="261" t="str">
        <f t="shared" si="7"/>
        <v>(Light) Skill Damage +40%</v>
      </c>
      <c r="S190" s="330" t="str">
        <f t="shared" si="8"/>
        <v>(Light) Overdrive Punisher +15%</v>
      </c>
    </row>
    <row r="191" spans="1:19" x14ac:dyDescent="0.2">
      <c r="A191" s="306" t="s">
        <v>3012</v>
      </c>
      <c r="B191" s="261" t="s">
        <v>15183</v>
      </c>
      <c r="C191" s="261" t="s">
        <v>3013</v>
      </c>
      <c r="D191" s="261" t="s">
        <v>3014</v>
      </c>
      <c r="E191" s="261" t="str">
        <f t="shared" si="6"/>
        <v>Hinomotoan Dancer</v>
      </c>
      <c r="F191" s="261" t="s">
        <v>3015</v>
      </c>
      <c r="G191" s="261">
        <v>4</v>
      </c>
      <c r="H191" s="261" t="s">
        <v>260</v>
      </c>
      <c r="I191" s="261" t="s">
        <v>2837</v>
      </c>
      <c r="J191" s="261" t="s">
        <v>330</v>
      </c>
      <c r="K191" s="261" t="s">
        <v>8370</v>
      </c>
      <c r="L191" s="261" t="s">
        <v>2862</v>
      </c>
      <c r="M191" s="261" t="s">
        <v>1140</v>
      </c>
      <c r="N191" s="261" t="s">
        <v>333</v>
      </c>
      <c r="O191" s="261" t="s">
        <v>2140</v>
      </c>
      <c r="P191" s="261" t="s">
        <v>6893</v>
      </c>
      <c r="Q191" s="261" t="s">
        <v>316</v>
      </c>
      <c r="R191" s="261" t="str">
        <f t="shared" si="7"/>
        <v>(Light) Skill Damage +40%</v>
      </c>
      <c r="S191" s="330" t="str">
        <f t="shared" si="8"/>
        <v>(Light) Skill Haste +10%</v>
      </c>
    </row>
    <row r="192" spans="1:19" x14ac:dyDescent="0.2">
      <c r="A192" s="306" t="s">
        <v>3028</v>
      </c>
      <c r="B192" s="261" t="s">
        <v>15184</v>
      </c>
      <c r="C192" s="261" t="s">
        <v>3029</v>
      </c>
      <c r="D192" s="261" t="s">
        <v>3030</v>
      </c>
      <c r="E192" s="261" t="str">
        <f t="shared" si="6"/>
        <v>Peerless Duelist</v>
      </c>
      <c r="F192" s="261" t="s">
        <v>3031</v>
      </c>
      <c r="G192" s="261">
        <v>4</v>
      </c>
      <c r="H192" s="261" t="s">
        <v>121</v>
      </c>
      <c r="I192" s="261" t="s">
        <v>2837</v>
      </c>
      <c r="J192" s="261" t="s">
        <v>330</v>
      </c>
      <c r="K192" s="261" t="s">
        <v>6911</v>
      </c>
      <c r="L192" s="261" t="s">
        <v>2862</v>
      </c>
      <c r="M192" s="261" t="s">
        <v>2605</v>
      </c>
      <c r="N192" s="261" t="s">
        <v>333</v>
      </c>
      <c r="O192" s="261" t="s">
        <v>2973</v>
      </c>
      <c r="P192" s="261" t="s">
        <v>6601</v>
      </c>
      <c r="Q192" s="261" t="s">
        <v>316</v>
      </c>
      <c r="R192" s="261" t="str">
        <f t="shared" si="7"/>
        <v>(Light) Critical Rate +15%</v>
      </c>
      <c r="S192" s="330" t="str">
        <f t="shared" si="8"/>
        <v>(Light) Skill Haste +10%</v>
      </c>
    </row>
    <row r="193" spans="1:19" x14ac:dyDescent="0.2">
      <c r="A193" s="306" t="s">
        <v>3043</v>
      </c>
      <c r="B193" s="261" t="s">
        <v>15185</v>
      </c>
      <c r="C193" s="261" t="s">
        <v>3044</v>
      </c>
      <c r="D193" s="261" t="s">
        <v>3045</v>
      </c>
      <c r="E193" s="261" t="str">
        <f t="shared" si="6"/>
        <v>Bloodsucking Butler</v>
      </c>
      <c r="F193" s="261" t="s">
        <v>3046</v>
      </c>
      <c r="G193" s="261">
        <v>3</v>
      </c>
      <c r="H193" s="261" t="s">
        <v>121</v>
      </c>
      <c r="I193" s="261" t="s">
        <v>2837</v>
      </c>
      <c r="J193" s="261" t="s">
        <v>330</v>
      </c>
      <c r="K193" s="261" t="s">
        <v>6911</v>
      </c>
      <c r="L193" s="261" t="s">
        <v>2862</v>
      </c>
      <c r="M193" s="261" t="s">
        <v>1231</v>
      </c>
      <c r="N193" s="261" t="s">
        <v>333</v>
      </c>
      <c r="O193" s="261" t="s">
        <v>190</v>
      </c>
      <c r="P193" s="261" t="s">
        <v>6911</v>
      </c>
      <c r="Q193" s="261" t="s">
        <v>909</v>
      </c>
      <c r="R193" s="261" t="str">
        <f t="shared" si="7"/>
        <v>(Light) Strength +20%</v>
      </c>
      <c r="S193" s="330" t="str">
        <f t="shared" si="8"/>
        <v>(Light) Broken Punisher +30%</v>
      </c>
    </row>
    <row r="194" spans="1:19" x14ac:dyDescent="0.2">
      <c r="A194" s="306" t="s">
        <v>3057</v>
      </c>
      <c r="B194" s="261" t="s">
        <v>15186</v>
      </c>
      <c r="C194" s="261" t="s">
        <v>3058</v>
      </c>
      <c r="D194" s="261" t="s">
        <v>3059</v>
      </c>
      <c r="E194" s="261" t="str">
        <f t="shared" ref="E194:E257" si="9">+F194</f>
        <v>Synced Wyrmbinder</v>
      </c>
      <c r="F194" s="261" t="s">
        <v>3060</v>
      </c>
      <c r="G194" s="261">
        <v>5</v>
      </c>
      <c r="H194" s="261" t="s">
        <v>121</v>
      </c>
      <c r="I194" s="261" t="s">
        <v>2837</v>
      </c>
      <c r="J194" s="261" t="s">
        <v>429</v>
      </c>
      <c r="K194" s="261" t="s">
        <v>3068</v>
      </c>
      <c r="L194" s="261" t="s">
        <v>2862</v>
      </c>
      <c r="M194" s="261" t="s">
        <v>3069</v>
      </c>
      <c r="N194" s="261" t="s">
        <v>385</v>
      </c>
      <c r="O194" s="261" t="s">
        <v>2973</v>
      </c>
      <c r="P194" s="261" t="s">
        <v>6911</v>
      </c>
      <c r="Q194" s="261" t="s">
        <v>316</v>
      </c>
      <c r="R194" s="261" t="str">
        <f t="shared" si="7"/>
        <v>(Light) Strength +20%</v>
      </c>
      <c r="S194" s="330" t="str">
        <f t="shared" si="8"/>
        <v>(Light) Skill Haste +10%</v>
      </c>
    </row>
    <row r="195" spans="1:19" x14ac:dyDescent="0.2">
      <c r="A195" s="306" t="s">
        <v>3074</v>
      </c>
      <c r="B195" s="261" t="s">
        <v>15187</v>
      </c>
      <c r="C195" s="261" t="s">
        <v>3075</v>
      </c>
      <c r="D195" s="261" t="s">
        <v>3076</v>
      </c>
      <c r="E195" s="261" t="str">
        <f t="shared" si="9"/>
        <v>Festival Inquisitor</v>
      </c>
      <c r="F195" s="261" t="s">
        <v>3077</v>
      </c>
      <c r="G195" s="261">
        <v>5</v>
      </c>
      <c r="H195" s="261" t="s">
        <v>121</v>
      </c>
      <c r="I195" s="261" t="s">
        <v>2837</v>
      </c>
      <c r="J195" s="261" t="s">
        <v>429</v>
      </c>
      <c r="K195" s="261" t="s">
        <v>3085</v>
      </c>
      <c r="L195" s="261" t="s">
        <v>2844</v>
      </c>
      <c r="M195" s="261" t="s">
        <v>1779</v>
      </c>
      <c r="N195" s="261" t="s">
        <v>385</v>
      </c>
      <c r="O195" s="261" t="s">
        <v>2973</v>
      </c>
      <c r="P195" s="261" t="s">
        <v>417</v>
      </c>
      <c r="Q195" s="261" t="s">
        <v>316</v>
      </c>
      <c r="R195" s="261" t="str">
        <f t="shared" ref="R195:R258" si="10">+"("&amp;I195&amp;") "&amp;P195</f>
        <v>(Light) Overdrive Punisher +15%</v>
      </c>
      <c r="S195" s="330" t="str">
        <f t="shared" ref="S195:S258" si="11">+"("&amp;I195&amp;") "&amp;Q195</f>
        <v>(Light) Skill Haste +10%</v>
      </c>
    </row>
    <row r="196" spans="1:19" x14ac:dyDescent="0.2">
      <c r="A196" s="306" t="s">
        <v>3089</v>
      </c>
      <c r="B196" s="261" t="s">
        <v>15188</v>
      </c>
      <c r="C196" s="261" t="s">
        <v>3090</v>
      </c>
      <c r="D196" s="261" t="s">
        <v>3091</v>
      </c>
      <c r="E196" s="261" t="str">
        <f t="shared" si="9"/>
        <v>Rookie Sealer</v>
      </c>
      <c r="F196" s="261" t="s">
        <v>3092</v>
      </c>
      <c r="G196" s="261">
        <v>5</v>
      </c>
      <c r="H196" s="261" t="s">
        <v>121</v>
      </c>
      <c r="I196" s="261" t="s">
        <v>2837</v>
      </c>
      <c r="J196" s="261" t="s">
        <v>429</v>
      </c>
      <c r="K196" s="261" t="s">
        <v>8370</v>
      </c>
      <c r="L196" s="261" t="s">
        <v>2844</v>
      </c>
      <c r="M196" s="261" t="s">
        <v>2605</v>
      </c>
      <c r="N196" s="261" t="s">
        <v>385</v>
      </c>
      <c r="O196" s="261" t="s">
        <v>2973</v>
      </c>
      <c r="P196" s="261" t="s">
        <v>6601</v>
      </c>
      <c r="Q196" s="261" t="s">
        <v>7129</v>
      </c>
      <c r="R196" s="261" t="str">
        <f t="shared" si="10"/>
        <v>(Light) Critical Rate +15%</v>
      </c>
      <c r="S196" s="330" t="str">
        <f t="shared" si="11"/>
        <v>(Light) Combo Time +2</v>
      </c>
    </row>
    <row r="197" spans="1:19" x14ac:dyDescent="0.2">
      <c r="A197" s="306" t="s">
        <v>3101</v>
      </c>
      <c r="B197" s="261" t="s">
        <v>15189</v>
      </c>
      <c r="C197" s="261" t="s">
        <v>3102</v>
      </c>
      <c r="D197" s="261" t="s">
        <v>3103</v>
      </c>
      <c r="E197" s="261" t="str">
        <f t="shared" si="9"/>
        <v>Leader of the Mouse Clan</v>
      </c>
      <c r="F197" s="261" t="s">
        <v>3104</v>
      </c>
      <c r="G197" s="261">
        <v>5</v>
      </c>
      <c r="H197" s="261" t="s">
        <v>121</v>
      </c>
      <c r="I197" s="261" t="s">
        <v>2837</v>
      </c>
      <c r="J197" s="261" t="s">
        <v>429</v>
      </c>
      <c r="K197" s="261" t="s">
        <v>229</v>
      </c>
      <c r="L197" s="261" t="s">
        <v>2862</v>
      </c>
      <c r="M197" s="261" t="s">
        <v>2605</v>
      </c>
      <c r="N197" s="261" t="s">
        <v>385</v>
      </c>
      <c r="O197" s="261" t="s">
        <v>353</v>
      </c>
      <c r="P197" s="261" t="s">
        <v>2620</v>
      </c>
      <c r="Q197" s="261" t="s">
        <v>7129</v>
      </c>
      <c r="R197" s="261" t="str">
        <f t="shared" si="10"/>
        <v>(Light) 15 Hits = Overdamage</v>
      </c>
      <c r="S197" s="330" t="str">
        <f t="shared" si="11"/>
        <v>(Light) Combo Time +2</v>
      </c>
    </row>
    <row r="198" spans="1:19" x14ac:dyDescent="0.2">
      <c r="A198" s="306" t="s">
        <v>3114</v>
      </c>
      <c r="B198" s="261" t="s">
        <v>15190</v>
      </c>
      <c r="C198" s="261" t="s">
        <v>3115</v>
      </c>
      <c r="D198" s="261" t="s">
        <v>3116</v>
      </c>
      <c r="E198" s="261" t="str">
        <f t="shared" si="9"/>
        <v>Budding Artist</v>
      </c>
      <c r="F198" s="261" t="s">
        <v>3117</v>
      </c>
      <c r="G198" s="261">
        <v>4</v>
      </c>
      <c r="H198" s="261" t="s">
        <v>121</v>
      </c>
      <c r="I198" s="261" t="s">
        <v>2837</v>
      </c>
      <c r="J198" s="261" t="s">
        <v>429</v>
      </c>
      <c r="K198" s="261" t="s">
        <v>319</v>
      </c>
      <c r="L198" s="261" t="s">
        <v>2862</v>
      </c>
      <c r="M198" s="261" t="s">
        <v>2605</v>
      </c>
      <c r="N198" s="261" t="s">
        <v>385</v>
      </c>
      <c r="O198" s="261" t="s">
        <v>2973</v>
      </c>
      <c r="P198" s="261" t="s">
        <v>14997</v>
      </c>
      <c r="Q198" s="261" t="s">
        <v>316</v>
      </c>
      <c r="R198" s="261" t="str">
        <f t="shared" si="10"/>
        <v>(Light) Critical Damage +25%</v>
      </c>
      <c r="S198" s="330" t="str">
        <f t="shared" si="11"/>
        <v>(Light) Skill Haste +10%</v>
      </c>
    </row>
    <row r="199" spans="1:19" x14ac:dyDescent="0.2">
      <c r="A199" s="306" t="s">
        <v>3127</v>
      </c>
      <c r="B199" s="261" t="s">
        <v>15191</v>
      </c>
      <c r="C199" s="261" t="s">
        <v>3128</v>
      </c>
      <c r="D199" s="261" t="s">
        <v>3129</v>
      </c>
      <c r="E199" s="261" t="str">
        <f t="shared" si="9"/>
        <v>Dagger Magnificence</v>
      </c>
      <c r="F199" s="261" t="s">
        <v>3130</v>
      </c>
      <c r="G199" s="261">
        <v>4</v>
      </c>
      <c r="H199" s="261" t="s">
        <v>260</v>
      </c>
      <c r="I199" s="261" t="s">
        <v>2837</v>
      </c>
      <c r="J199" s="261" t="s">
        <v>429</v>
      </c>
      <c r="K199" s="261" t="s">
        <v>910</v>
      </c>
      <c r="L199" s="261" t="s">
        <v>2844</v>
      </c>
      <c r="M199" s="261" t="s">
        <v>301</v>
      </c>
      <c r="N199" s="261" t="s">
        <v>385</v>
      </c>
      <c r="O199" s="261" t="s">
        <v>353</v>
      </c>
      <c r="P199" s="261" t="s">
        <v>417</v>
      </c>
      <c r="Q199" s="261" t="s">
        <v>618</v>
      </c>
      <c r="R199" s="261" t="str">
        <f t="shared" si="10"/>
        <v>(Light) Overdrive Punisher +15%</v>
      </c>
      <c r="S199" s="330" t="str">
        <f t="shared" si="11"/>
        <v>(Light) Defense +20%</v>
      </c>
    </row>
    <row r="200" spans="1:19" x14ac:dyDescent="0.2">
      <c r="A200" s="306" t="s">
        <v>3143</v>
      </c>
      <c r="B200" s="261" t="s">
        <v>15192</v>
      </c>
      <c r="C200" s="261" t="s">
        <v>3144</v>
      </c>
      <c r="D200" s="261" t="s">
        <v>3145</v>
      </c>
      <c r="E200" s="261" t="str">
        <f t="shared" si="9"/>
        <v>Mammonist Mercenary</v>
      </c>
      <c r="F200" s="261" t="s">
        <v>3146</v>
      </c>
      <c r="G200" s="261">
        <v>3</v>
      </c>
      <c r="H200" s="261" t="s">
        <v>260</v>
      </c>
      <c r="I200" s="261" t="s">
        <v>2837</v>
      </c>
      <c r="J200" s="261" t="s">
        <v>429</v>
      </c>
      <c r="K200" s="261" t="s">
        <v>301</v>
      </c>
      <c r="L200" s="261" t="s">
        <v>2862</v>
      </c>
      <c r="M200" s="261" t="s">
        <v>2097</v>
      </c>
      <c r="N200" s="261" t="s">
        <v>385</v>
      </c>
      <c r="O200" s="261" t="s">
        <v>2973</v>
      </c>
      <c r="P200" s="261" t="s">
        <v>618</v>
      </c>
      <c r="Q200" s="261" t="s">
        <v>970</v>
      </c>
      <c r="R200" s="261" t="str">
        <f t="shared" si="10"/>
        <v>(Light) Defense +20%</v>
      </c>
      <c r="S200" s="330" t="str">
        <f t="shared" si="11"/>
        <v>(Light) Recovery Potency +20%</v>
      </c>
    </row>
    <row r="201" spans="1:19" x14ac:dyDescent="0.2">
      <c r="A201" s="306" t="s">
        <v>3157</v>
      </c>
      <c r="B201" s="261" t="s">
        <v>15193</v>
      </c>
      <c r="C201" s="261" t="s">
        <v>3158</v>
      </c>
      <c r="D201" s="261" t="s">
        <v>3159</v>
      </c>
      <c r="E201" s="261" t="str">
        <f t="shared" si="9"/>
        <v>The Unbending</v>
      </c>
      <c r="F201" s="261" t="s">
        <v>3160</v>
      </c>
      <c r="G201" s="261">
        <v>5</v>
      </c>
      <c r="H201" s="261" t="s">
        <v>121</v>
      </c>
      <c r="I201" s="261" t="s">
        <v>2837</v>
      </c>
      <c r="J201" s="261" t="s">
        <v>543</v>
      </c>
      <c r="K201" s="261" t="s">
        <v>3168</v>
      </c>
      <c r="L201" s="261" t="s">
        <v>2881</v>
      </c>
      <c r="M201" s="261" t="s">
        <v>3171</v>
      </c>
      <c r="N201" s="261" t="s">
        <v>563</v>
      </c>
      <c r="O201" s="261" t="s">
        <v>3167</v>
      </c>
      <c r="P201" s="261" t="s">
        <v>6911</v>
      </c>
      <c r="Q201" s="261" t="s">
        <v>6601</v>
      </c>
      <c r="R201" s="261" t="str">
        <f t="shared" si="10"/>
        <v>(Light) Strength +20%</v>
      </c>
      <c r="S201" s="330" t="str">
        <f t="shared" si="11"/>
        <v>(Light) Critical Rate +15%</v>
      </c>
    </row>
    <row r="202" spans="1:19" x14ac:dyDescent="0.2">
      <c r="A202" s="306" t="s">
        <v>3176</v>
      </c>
      <c r="B202" s="261" t="s">
        <v>15194</v>
      </c>
      <c r="C202" s="261" t="s">
        <v>3177</v>
      </c>
      <c r="D202" s="261" t="s">
        <v>3178</v>
      </c>
      <c r="E202" s="261" t="str">
        <f t="shared" si="9"/>
        <v>The Paternal King</v>
      </c>
      <c r="F202" s="261" t="s">
        <v>3179</v>
      </c>
      <c r="G202" s="261">
        <v>5</v>
      </c>
      <c r="H202" s="261" t="s">
        <v>121</v>
      </c>
      <c r="I202" s="261" t="s">
        <v>2837</v>
      </c>
      <c r="J202" s="261" t="s">
        <v>543</v>
      </c>
      <c r="K202" s="261" t="s">
        <v>3188</v>
      </c>
      <c r="L202" s="261" t="s">
        <v>2881</v>
      </c>
      <c r="M202" s="261" t="s">
        <v>896</v>
      </c>
      <c r="N202" s="261" t="s">
        <v>581</v>
      </c>
      <c r="O202" s="261" t="s">
        <v>2140</v>
      </c>
      <c r="P202" s="261" t="s">
        <v>2620</v>
      </c>
      <c r="Q202" s="261" t="s">
        <v>6893</v>
      </c>
      <c r="R202" s="261" t="str">
        <f t="shared" si="10"/>
        <v>(Light) 15 Hits = Overdamage</v>
      </c>
      <c r="S202" s="330" t="str">
        <f t="shared" si="11"/>
        <v>(Light) Skill Damage +40%</v>
      </c>
    </row>
    <row r="203" spans="1:19" x14ac:dyDescent="0.2">
      <c r="A203" s="306" t="s">
        <v>3191</v>
      </c>
      <c r="B203" s="261" t="s">
        <v>15195</v>
      </c>
      <c r="C203" s="261" t="s">
        <v>3192</v>
      </c>
      <c r="D203" s="261" t="s">
        <v>3193</v>
      </c>
      <c r="E203" s="261" t="str">
        <f t="shared" si="9"/>
        <v>Humanity's Companion</v>
      </c>
      <c r="F203" s="261" t="s">
        <v>3194</v>
      </c>
      <c r="G203" s="261">
        <v>5</v>
      </c>
      <c r="H203" s="261" t="s">
        <v>121</v>
      </c>
      <c r="I203" s="261" t="s">
        <v>2837</v>
      </c>
      <c r="J203" s="261" t="s">
        <v>543</v>
      </c>
      <c r="K203" s="261" t="s">
        <v>3204</v>
      </c>
      <c r="L203" s="261" t="s">
        <v>2862</v>
      </c>
      <c r="M203" s="261" t="s">
        <v>249</v>
      </c>
      <c r="N203" s="261" t="s">
        <v>3200</v>
      </c>
      <c r="O203" s="261" t="s">
        <v>970</v>
      </c>
      <c r="P203" s="261" t="s">
        <v>6601</v>
      </c>
      <c r="Q203" s="261" t="s">
        <v>6552</v>
      </c>
      <c r="R203" s="261" t="str">
        <f t="shared" si="10"/>
        <v>(Light) Critical Rate +15%</v>
      </c>
      <c r="S203" s="330" t="str">
        <f t="shared" si="11"/>
        <v>(Light) Attack Rate +20%</v>
      </c>
    </row>
    <row r="204" spans="1:19" x14ac:dyDescent="0.2">
      <c r="A204" s="306" t="s">
        <v>3208</v>
      </c>
      <c r="B204" s="261" t="s">
        <v>15196</v>
      </c>
      <c r="C204" s="261" t="s">
        <v>3209</v>
      </c>
      <c r="D204" s="261" t="s">
        <v>3210</v>
      </c>
      <c r="E204" s="261" t="str">
        <f t="shared" si="9"/>
        <v>Indebted General</v>
      </c>
      <c r="F204" s="261" t="s">
        <v>3211</v>
      </c>
      <c r="G204" s="261">
        <v>5</v>
      </c>
      <c r="H204" s="261" t="s">
        <v>121</v>
      </c>
      <c r="I204" s="261" t="s">
        <v>2837</v>
      </c>
      <c r="J204" s="261" t="s">
        <v>543</v>
      </c>
      <c r="K204" s="261" t="s">
        <v>3219</v>
      </c>
      <c r="L204" s="261" t="s">
        <v>2862</v>
      </c>
      <c r="M204" s="261" t="s">
        <v>6911</v>
      </c>
      <c r="N204" s="261" t="s">
        <v>563</v>
      </c>
      <c r="O204" s="261" t="s">
        <v>2973</v>
      </c>
      <c r="P204" s="261" t="s">
        <v>618</v>
      </c>
      <c r="Q204" s="261" t="s">
        <v>2974</v>
      </c>
      <c r="R204" s="261" t="str">
        <f t="shared" si="10"/>
        <v>(Light) Defense +20%</v>
      </c>
      <c r="S204" s="330" t="str">
        <f t="shared" si="11"/>
        <v>(Light) Elemental Res +15%</v>
      </c>
    </row>
    <row r="205" spans="1:19" x14ac:dyDescent="0.2">
      <c r="A205" s="306" t="s">
        <v>3222</v>
      </c>
      <c r="B205" s="261" t="s">
        <v>15197</v>
      </c>
      <c r="C205" s="261" t="s">
        <v>3223</v>
      </c>
      <c r="D205" s="261" t="s">
        <v>3224</v>
      </c>
      <c r="E205" s="261" t="str">
        <f t="shared" si="9"/>
        <v>Lady Starfall</v>
      </c>
      <c r="F205" s="261" t="s">
        <v>3225</v>
      </c>
      <c r="G205" s="261">
        <v>5</v>
      </c>
      <c r="H205" s="261" t="s">
        <v>121</v>
      </c>
      <c r="I205" s="261" t="s">
        <v>2837</v>
      </c>
      <c r="J205" s="261" t="s">
        <v>543</v>
      </c>
      <c r="K205" s="261" t="s">
        <v>417</v>
      </c>
      <c r="L205" s="261" t="s">
        <v>2862</v>
      </c>
      <c r="M205" s="261" t="s">
        <v>2097</v>
      </c>
      <c r="N205" s="261" t="s">
        <v>563</v>
      </c>
      <c r="O205" s="261" t="s">
        <v>128</v>
      </c>
      <c r="P205" s="261" t="s">
        <v>6601</v>
      </c>
      <c r="Q205" s="261" t="s">
        <v>14997</v>
      </c>
      <c r="R205" s="261" t="str">
        <f t="shared" si="10"/>
        <v>(Light) Critical Rate +15%</v>
      </c>
      <c r="S205" s="330" t="str">
        <f t="shared" si="11"/>
        <v>(Light) Critical Damage +25%</v>
      </c>
    </row>
    <row r="206" spans="1:19" x14ac:dyDescent="0.2">
      <c r="A206" s="306" t="s">
        <v>3236</v>
      </c>
      <c r="B206" s="261" t="s">
        <v>15198</v>
      </c>
      <c r="C206" s="261" t="s">
        <v>3237</v>
      </c>
      <c r="D206" s="261" t="s">
        <v>3238</v>
      </c>
      <c r="E206" s="261" t="str">
        <f t="shared" si="9"/>
        <v>Timorous Paladyn</v>
      </c>
      <c r="F206" s="261" t="s">
        <v>3239</v>
      </c>
      <c r="G206" s="261">
        <v>5</v>
      </c>
      <c r="H206" s="261" t="s">
        <v>241</v>
      </c>
      <c r="I206" s="261" t="s">
        <v>2837</v>
      </c>
      <c r="J206" s="261" t="s">
        <v>543</v>
      </c>
      <c r="K206" s="261" t="s">
        <v>3245</v>
      </c>
      <c r="L206" s="261" t="s">
        <v>2844</v>
      </c>
      <c r="M206" s="261" t="s">
        <v>1605</v>
      </c>
      <c r="N206" s="261" t="s">
        <v>563</v>
      </c>
      <c r="O206" s="261" t="s">
        <v>2973</v>
      </c>
      <c r="P206" s="261" t="s">
        <v>6552</v>
      </c>
      <c r="Q206" s="261" t="s">
        <v>7129</v>
      </c>
      <c r="R206" s="261" t="str">
        <f t="shared" si="10"/>
        <v>(Light) Attack Rate +20%</v>
      </c>
      <c r="S206" s="330" t="str">
        <f t="shared" si="11"/>
        <v>(Light) Combo Time +2</v>
      </c>
    </row>
    <row r="207" spans="1:19" x14ac:dyDescent="0.2">
      <c r="A207" s="306" t="s">
        <v>3249</v>
      </c>
      <c r="B207" s="261" t="s">
        <v>15199</v>
      </c>
      <c r="C207" s="261" t="s">
        <v>3250</v>
      </c>
      <c r="D207" s="261" t="s">
        <v>3251</v>
      </c>
      <c r="E207" s="261" t="str">
        <f t="shared" si="9"/>
        <v>Prankster in Paradise</v>
      </c>
      <c r="F207" s="261" t="s">
        <v>3252</v>
      </c>
      <c r="G207" s="261">
        <v>4</v>
      </c>
      <c r="H207" s="261" t="s">
        <v>121</v>
      </c>
      <c r="I207" s="261" t="s">
        <v>2837</v>
      </c>
      <c r="J207" s="261" t="s">
        <v>543</v>
      </c>
      <c r="K207" s="261" t="s">
        <v>6911</v>
      </c>
      <c r="L207" s="261" t="s">
        <v>2862</v>
      </c>
      <c r="M207" s="261" t="s">
        <v>686</v>
      </c>
      <c r="N207" s="261" t="s">
        <v>563</v>
      </c>
      <c r="O207" s="261" t="s">
        <v>128</v>
      </c>
      <c r="P207" s="261" t="s">
        <v>14997</v>
      </c>
      <c r="Q207" s="261" t="s">
        <v>2974</v>
      </c>
      <c r="R207" s="261" t="str">
        <f t="shared" si="10"/>
        <v>(Light) Critical Damage +25%</v>
      </c>
      <c r="S207" s="330" t="str">
        <f t="shared" si="11"/>
        <v>(Light) Elemental Res +15%</v>
      </c>
    </row>
    <row r="208" spans="1:19" x14ac:dyDescent="0.2">
      <c r="A208" s="306" t="s">
        <v>3263</v>
      </c>
      <c r="B208" s="261" t="s">
        <v>15200</v>
      </c>
      <c r="C208" s="261" t="s">
        <v>3264</v>
      </c>
      <c r="D208" s="261" t="s">
        <v>3265</v>
      </c>
      <c r="E208" s="261" t="str">
        <f t="shared" si="9"/>
        <v>Bantam Hero</v>
      </c>
      <c r="F208" s="261" t="s">
        <v>3266</v>
      </c>
      <c r="G208" s="261">
        <v>3</v>
      </c>
      <c r="H208" s="261" t="s">
        <v>241</v>
      </c>
      <c r="I208" s="261" t="s">
        <v>2837</v>
      </c>
      <c r="J208" s="261" t="s">
        <v>543</v>
      </c>
      <c r="K208" s="261" t="s">
        <v>618</v>
      </c>
      <c r="L208" s="261" t="s">
        <v>2862</v>
      </c>
      <c r="M208" s="261" t="s">
        <v>3273</v>
      </c>
      <c r="N208" s="261" t="s">
        <v>563</v>
      </c>
      <c r="O208" s="261" t="s">
        <v>128</v>
      </c>
      <c r="P208" s="261" t="s">
        <v>682</v>
      </c>
      <c r="Q208" s="261" t="s">
        <v>15035</v>
      </c>
      <c r="R208" s="261" t="str">
        <f t="shared" si="10"/>
        <v>(Light) HP +15%</v>
      </c>
      <c r="S208" s="330" t="str">
        <f t="shared" si="11"/>
        <v>(Light) HP 70% = Shield +40%</v>
      </c>
    </row>
    <row r="209" spans="1:19" x14ac:dyDescent="0.2">
      <c r="A209" s="306" t="s">
        <v>3277</v>
      </c>
      <c r="B209" s="261" t="s">
        <v>15201</v>
      </c>
      <c r="C209" s="261" t="s">
        <v>3278</v>
      </c>
      <c r="D209" s="261" t="s">
        <v>3279</v>
      </c>
      <c r="E209" s="261" t="str">
        <f t="shared" si="9"/>
        <v>The Wing of Enlightenment</v>
      </c>
      <c r="F209" s="261" t="s">
        <v>3280</v>
      </c>
      <c r="G209" s="261">
        <v>5</v>
      </c>
      <c r="H209" s="261" t="s">
        <v>241</v>
      </c>
      <c r="I209" s="261" t="s">
        <v>2837</v>
      </c>
      <c r="J209" s="261" t="s">
        <v>645</v>
      </c>
      <c r="K209" s="261" t="s">
        <v>3289</v>
      </c>
      <c r="L209" s="261" t="s">
        <v>2862</v>
      </c>
      <c r="M209" s="261" t="s">
        <v>3290</v>
      </c>
      <c r="N209" s="261" t="s">
        <v>682</v>
      </c>
      <c r="O209" s="261" t="s">
        <v>128</v>
      </c>
      <c r="P209" s="261" t="s">
        <v>2620</v>
      </c>
      <c r="Q209" s="261" t="s">
        <v>6601</v>
      </c>
      <c r="R209" s="261" t="str">
        <f t="shared" si="10"/>
        <v>(Light) 15 Hits = Overdamage</v>
      </c>
      <c r="S209" s="330" t="str">
        <f t="shared" si="11"/>
        <v>(Light) Critical Rate +15%</v>
      </c>
    </row>
    <row r="210" spans="1:19" x14ac:dyDescent="0.2">
      <c r="A210" s="306" t="s">
        <v>3293</v>
      </c>
      <c r="B210" s="261" t="s">
        <v>15202</v>
      </c>
      <c r="C210" s="261" t="s">
        <v>3294</v>
      </c>
      <c r="D210" s="261" t="s">
        <v>3295</v>
      </c>
      <c r="E210" s="261" t="str">
        <f t="shared" si="9"/>
        <v>Princess of Askr</v>
      </c>
      <c r="F210" s="261" t="s">
        <v>3296</v>
      </c>
      <c r="G210" s="261">
        <v>5</v>
      </c>
      <c r="H210" s="261" t="s">
        <v>241</v>
      </c>
      <c r="I210" s="261" t="s">
        <v>2837</v>
      </c>
      <c r="J210" s="261" t="s">
        <v>645</v>
      </c>
      <c r="K210" s="261" t="s">
        <v>519</v>
      </c>
      <c r="L210" s="261" t="s">
        <v>2862</v>
      </c>
      <c r="M210" s="261" t="s">
        <v>2605</v>
      </c>
      <c r="N210" s="261" t="s">
        <v>3302</v>
      </c>
      <c r="O210" s="261" t="s">
        <v>128</v>
      </c>
      <c r="P210" s="261" t="s">
        <v>316</v>
      </c>
      <c r="Q210" s="261" t="s">
        <v>2974</v>
      </c>
      <c r="R210" s="261" t="str">
        <f t="shared" si="10"/>
        <v>(Light) Skill Haste +10%</v>
      </c>
      <c r="S210" s="330" t="str">
        <f t="shared" si="11"/>
        <v>(Light) Elemental Res +15%</v>
      </c>
    </row>
    <row r="211" spans="1:19" x14ac:dyDescent="0.2">
      <c r="A211" s="306" t="s">
        <v>3307</v>
      </c>
      <c r="B211" s="261" t="s">
        <v>15203</v>
      </c>
      <c r="C211" s="261" t="s">
        <v>3308</v>
      </c>
      <c r="D211" s="261" t="s">
        <v>3309</v>
      </c>
      <c r="E211" s="261" t="str">
        <f t="shared" si="9"/>
        <v>Kirin Amazon</v>
      </c>
      <c r="F211" s="261" t="s">
        <v>3310</v>
      </c>
      <c r="G211" s="261">
        <v>5</v>
      </c>
      <c r="H211" s="261" t="s">
        <v>121</v>
      </c>
      <c r="I211" s="261" t="s">
        <v>2837</v>
      </c>
      <c r="J211" s="261" t="s">
        <v>645</v>
      </c>
      <c r="K211" s="261" t="s">
        <v>3317</v>
      </c>
      <c r="L211" s="261" t="s">
        <v>2862</v>
      </c>
      <c r="M211" s="261" t="s">
        <v>174</v>
      </c>
      <c r="N211" s="261" t="s">
        <v>682</v>
      </c>
      <c r="O211" s="261" t="s">
        <v>245</v>
      </c>
      <c r="P211" s="261" t="s">
        <v>6893</v>
      </c>
      <c r="Q211" s="261" t="s">
        <v>336</v>
      </c>
      <c r="R211" s="261" t="str">
        <f t="shared" si="10"/>
        <v>(Light) Skill Damage +40%</v>
      </c>
      <c r="S211" s="330" t="str">
        <f t="shared" si="11"/>
        <v>(Light) Force Strike +50%</v>
      </c>
    </row>
    <row r="212" spans="1:19" x14ac:dyDescent="0.2">
      <c r="A212" s="306" t="s">
        <v>3320</v>
      </c>
      <c r="B212" s="261" t="s">
        <v>15204</v>
      </c>
      <c r="C212" s="261" t="s">
        <v>3321</v>
      </c>
      <c r="D212" s="261" t="s">
        <v>3322</v>
      </c>
      <c r="E212" s="261" t="str">
        <f t="shared" si="9"/>
        <v>Vampaladyn</v>
      </c>
      <c r="F212" s="261" t="s">
        <v>3323</v>
      </c>
      <c r="G212" s="261">
        <v>5</v>
      </c>
      <c r="H212" s="261" t="s">
        <v>260</v>
      </c>
      <c r="I212" s="261" t="s">
        <v>2837</v>
      </c>
      <c r="J212" s="261" t="s">
        <v>645</v>
      </c>
      <c r="K212" s="261" t="s">
        <v>910</v>
      </c>
      <c r="L212" s="261" t="s">
        <v>2862</v>
      </c>
      <c r="M212" s="261" t="s">
        <v>896</v>
      </c>
      <c r="N212" s="261" t="s">
        <v>682</v>
      </c>
      <c r="O212" s="261" t="s">
        <v>128</v>
      </c>
      <c r="P212" s="261" t="s">
        <v>14997</v>
      </c>
      <c r="Q212" s="261" t="s">
        <v>682</v>
      </c>
      <c r="R212" s="261" t="str">
        <f t="shared" si="10"/>
        <v>(Light) Critical Damage +25%</v>
      </c>
      <c r="S212" s="330" t="str">
        <f t="shared" si="11"/>
        <v>(Light) HP +15%</v>
      </c>
    </row>
    <row r="213" spans="1:19" x14ac:dyDescent="0.2">
      <c r="A213" s="306" t="s">
        <v>3333</v>
      </c>
      <c r="B213" s="261" t="s">
        <v>15205</v>
      </c>
      <c r="C213" s="261" t="s">
        <v>3334</v>
      </c>
      <c r="D213" s="261" t="s">
        <v>3335</v>
      </c>
      <c r="E213" s="261" t="str">
        <f t="shared" si="9"/>
        <v>The Sugary Star</v>
      </c>
      <c r="F213" s="261" t="s">
        <v>3336</v>
      </c>
      <c r="G213" s="261">
        <v>5</v>
      </c>
      <c r="H213" s="261" t="s">
        <v>260</v>
      </c>
      <c r="I213" s="261" t="s">
        <v>2837</v>
      </c>
      <c r="J213" s="261" t="s">
        <v>645</v>
      </c>
      <c r="K213" s="261" t="s">
        <v>3344</v>
      </c>
      <c r="L213" s="261" t="s">
        <v>2844</v>
      </c>
      <c r="M213" s="261" t="s">
        <v>3343</v>
      </c>
      <c r="N213" s="261" t="s">
        <v>682</v>
      </c>
      <c r="O213" s="261" t="s">
        <v>128</v>
      </c>
      <c r="P213" s="261" t="s">
        <v>316</v>
      </c>
      <c r="Q213" s="261" t="s">
        <v>682</v>
      </c>
      <c r="R213" s="261" t="str">
        <f t="shared" si="10"/>
        <v>(Light) Skill Haste +10%</v>
      </c>
      <c r="S213" s="330" t="str">
        <f t="shared" si="11"/>
        <v>(Light) HP +15%</v>
      </c>
    </row>
    <row r="214" spans="1:19" x14ac:dyDescent="0.2">
      <c r="A214" s="306" t="s">
        <v>3348</v>
      </c>
      <c r="B214" s="261" t="s">
        <v>15206</v>
      </c>
      <c r="C214" s="261" t="s">
        <v>3349</v>
      </c>
      <c r="D214" s="261" t="s">
        <v>3350</v>
      </c>
      <c r="E214" s="261" t="str">
        <f t="shared" si="9"/>
        <v>Deadly Tactician</v>
      </c>
      <c r="F214" s="261" t="s">
        <v>3351</v>
      </c>
      <c r="G214" s="261">
        <v>4</v>
      </c>
      <c r="H214" s="261" t="s">
        <v>121</v>
      </c>
      <c r="I214" s="261" t="s">
        <v>2837</v>
      </c>
      <c r="J214" s="261" t="s">
        <v>645</v>
      </c>
      <c r="K214" s="261" t="s">
        <v>910</v>
      </c>
      <c r="L214" s="261" t="s">
        <v>2862</v>
      </c>
      <c r="M214" s="261" t="s">
        <v>6911</v>
      </c>
      <c r="N214" s="261" t="s">
        <v>682</v>
      </c>
      <c r="O214" s="261" t="s">
        <v>315</v>
      </c>
      <c r="P214" s="261" t="s">
        <v>6893</v>
      </c>
      <c r="Q214" s="261" t="s">
        <v>14997</v>
      </c>
      <c r="R214" s="261" t="str">
        <f t="shared" si="10"/>
        <v>(Light) Skill Damage +40%</v>
      </c>
      <c r="S214" s="330" t="str">
        <f t="shared" si="11"/>
        <v>(Light) Critical Damage +25%</v>
      </c>
    </row>
    <row r="215" spans="1:19" x14ac:dyDescent="0.2">
      <c r="A215" s="306" t="s">
        <v>3363</v>
      </c>
      <c r="B215" s="261" t="s">
        <v>15207</v>
      </c>
      <c r="C215" s="261" t="s">
        <v>3364</v>
      </c>
      <c r="D215" s="261" t="s">
        <v>3365</v>
      </c>
      <c r="E215" s="261" t="str">
        <f t="shared" si="9"/>
        <v>Dormant Demon</v>
      </c>
      <c r="F215" s="261" t="s">
        <v>3366</v>
      </c>
      <c r="G215" s="261">
        <v>4</v>
      </c>
      <c r="H215" s="261" t="s">
        <v>241</v>
      </c>
      <c r="I215" s="261" t="s">
        <v>2837</v>
      </c>
      <c r="J215" s="261" t="s">
        <v>645</v>
      </c>
      <c r="K215" s="261" t="s">
        <v>1366</v>
      </c>
      <c r="L215" s="261" t="s">
        <v>2862</v>
      </c>
      <c r="M215" s="261" t="s">
        <v>417</v>
      </c>
      <c r="N215" s="261" t="s">
        <v>682</v>
      </c>
      <c r="O215" s="261" t="s">
        <v>128</v>
      </c>
      <c r="P215" s="261" t="s">
        <v>14997</v>
      </c>
      <c r="Q215" s="261" t="s">
        <v>417</v>
      </c>
      <c r="R215" s="261" t="str">
        <f t="shared" si="10"/>
        <v>(Light) Critical Damage +25%</v>
      </c>
      <c r="S215" s="330" t="str">
        <f t="shared" si="11"/>
        <v>(Light) Overdrive Punisher +15%</v>
      </c>
    </row>
    <row r="216" spans="1:19" x14ac:dyDescent="0.2">
      <c r="A216" s="306" t="s">
        <v>3376</v>
      </c>
      <c r="B216" s="261" t="s">
        <v>15208</v>
      </c>
      <c r="C216" s="261" t="s">
        <v>3377</v>
      </c>
      <c r="D216" s="261" t="s">
        <v>3378</v>
      </c>
      <c r="E216" s="261" t="str">
        <f t="shared" si="9"/>
        <v>Golden Armorer</v>
      </c>
      <c r="F216" s="261" t="s">
        <v>3379</v>
      </c>
      <c r="G216" s="261">
        <v>3</v>
      </c>
      <c r="H216" s="261" t="s">
        <v>260</v>
      </c>
      <c r="I216" s="261" t="s">
        <v>2837</v>
      </c>
      <c r="J216" s="261" t="s">
        <v>645</v>
      </c>
      <c r="K216" s="261" t="s">
        <v>618</v>
      </c>
      <c r="L216" s="261" t="s">
        <v>2844</v>
      </c>
      <c r="M216" s="261" t="s">
        <v>229</v>
      </c>
      <c r="N216" s="261" t="s">
        <v>682</v>
      </c>
      <c r="O216" s="261" t="s">
        <v>2140</v>
      </c>
      <c r="P216" s="261" t="s">
        <v>417</v>
      </c>
      <c r="Q216" s="261" t="s">
        <v>682</v>
      </c>
      <c r="R216" s="261" t="str">
        <f t="shared" si="10"/>
        <v>(Light) Overdrive Punisher +15%</v>
      </c>
      <c r="S216" s="330" t="str">
        <f t="shared" si="11"/>
        <v>(Light) HP +15%</v>
      </c>
    </row>
    <row r="217" spans="1:19" x14ac:dyDescent="0.2">
      <c r="A217" s="306" t="s">
        <v>3389</v>
      </c>
      <c r="B217" s="261" t="s">
        <v>15209</v>
      </c>
      <c r="C217" s="261" t="s">
        <v>3390</v>
      </c>
      <c r="D217" s="261" t="s">
        <v>3391</v>
      </c>
      <c r="E217" s="261" t="str">
        <f t="shared" si="9"/>
        <v>Guardsman of the Verdure</v>
      </c>
      <c r="F217" s="261" t="s">
        <v>3392</v>
      </c>
      <c r="G217" s="261">
        <v>5</v>
      </c>
      <c r="H217" s="261" t="s">
        <v>260</v>
      </c>
      <c r="I217" s="261" t="s">
        <v>2837</v>
      </c>
      <c r="J217" s="261" t="s">
        <v>759</v>
      </c>
      <c r="K217" s="261" t="s">
        <v>3401</v>
      </c>
      <c r="L217" s="261" t="s">
        <v>2844</v>
      </c>
      <c r="M217" s="261" t="s">
        <v>6911</v>
      </c>
      <c r="N217" s="261" t="s">
        <v>762</v>
      </c>
      <c r="O217" s="261" t="s">
        <v>2973</v>
      </c>
      <c r="P217" s="261" t="s">
        <v>6911</v>
      </c>
      <c r="Q217" s="261" t="s">
        <v>14997</v>
      </c>
      <c r="R217" s="261" t="str">
        <f t="shared" si="10"/>
        <v>(Light) Strength +20%</v>
      </c>
      <c r="S217" s="330" t="str">
        <f t="shared" si="11"/>
        <v>(Light) Critical Damage +25%</v>
      </c>
    </row>
    <row r="218" spans="1:19" x14ac:dyDescent="0.2">
      <c r="A218" s="306" t="s">
        <v>3405</v>
      </c>
      <c r="B218" s="261" t="s">
        <v>15210</v>
      </c>
      <c r="C218" s="261" t="s">
        <v>3406</v>
      </c>
      <c r="D218" s="261" t="s">
        <v>3407</v>
      </c>
      <c r="E218" s="261" t="str">
        <f t="shared" si="9"/>
        <v>Wave-Riding Archer</v>
      </c>
      <c r="F218" s="261" t="s">
        <v>3408</v>
      </c>
      <c r="G218" s="261">
        <v>5</v>
      </c>
      <c r="H218" s="261" t="s">
        <v>121</v>
      </c>
      <c r="I218" s="261" t="s">
        <v>2837</v>
      </c>
      <c r="J218" s="261" t="s">
        <v>759</v>
      </c>
      <c r="K218" s="261" t="s">
        <v>618</v>
      </c>
      <c r="L218" s="261" t="s">
        <v>2862</v>
      </c>
      <c r="M218" s="261" t="s">
        <v>3417</v>
      </c>
      <c r="N218" s="261" t="s">
        <v>762</v>
      </c>
      <c r="O218" s="261" t="s">
        <v>2973</v>
      </c>
      <c r="P218" s="261" t="s">
        <v>417</v>
      </c>
      <c r="Q218" s="261" t="s">
        <v>909</v>
      </c>
      <c r="R218" s="261" t="str">
        <f t="shared" si="10"/>
        <v>(Light) Overdrive Punisher +15%</v>
      </c>
      <c r="S218" s="330" t="str">
        <f t="shared" si="11"/>
        <v>(Light) Broken Punisher +30%</v>
      </c>
    </row>
    <row r="219" spans="1:19" x14ac:dyDescent="0.2">
      <c r="A219" s="306" t="s">
        <v>3421</v>
      </c>
      <c r="B219" s="261" t="s">
        <v>15211</v>
      </c>
      <c r="C219" s="261" t="s">
        <v>3422</v>
      </c>
      <c r="D219" s="261" t="s">
        <v>3423</v>
      </c>
      <c r="E219" s="261" t="str">
        <f t="shared" si="9"/>
        <v>Beach Belle</v>
      </c>
      <c r="F219" s="261" t="s">
        <v>3424</v>
      </c>
      <c r="G219" s="261">
        <v>5</v>
      </c>
      <c r="H219" s="261" t="s">
        <v>260</v>
      </c>
      <c r="I219" s="261" t="s">
        <v>2837</v>
      </c>
      <c r="J219" s="261" t="s">
        <v>759</v>
      </c>
      <c r="K219" s="261" t="s">
        <v>3432</v>
      </c>
      <c r="L219" s="261" t="s">
        <v>2862</v>
      </c>
      <c r="M219" s="261" t="s">
        <v>2605</v>
      </c>
      <c r="N219" s="261" t="s">
        <v>762</v>
      </c>
      <c r="O219" s="261" t="s">
        <v>2973</v>
      </c>
      <c r="P219" s="261" t="s">
        <v>6601</v>
      </c>
      <c r="Q219" s="261" t="s">
        <v>682</v>
      </c>
      <c r="R219" s="261" t="str">
        <f t="shared" si="10"/>
        <v>(Light) Critical Rate +15%</v>
      </c>
      <c r="S219" s="330" t="str">
        <f t="shared" si="11"/>
        <v>(Light) HP +15%</v>
      </c>
    </row>
    <row r="220" spans="1:19" x14ac:dyDescent="0.2">
      <c r="A220" s="306" t="s">
        <v>3436</v>
      </c>
      <c r="B220" s="261" t="s">
        <v>15212</v>
      </c>
      <c r="C220" s="261" t="s">
        <v>3437</v>
      </c>
      <c r="D220" s="261" t="s">
        <v>3438</v>
      </c>
      <c r="E220" s="261" t="str">
        <f t="shared" si="9"/>
        <v>Divine Voice</v>
      </c>
      <c r="F220" s="261" t="s">
        <v>3439</v>
      </c>
      <c r="G220" s="261">
        <v>4</v>
      </c>
      <c r="H220" s="261" t="s">
        <v>241</v>
      </c>
      <c r="I220" s="261" t="s">
        <v>2837</v>
      </c>
      <c r="J220" s="261" t="s">
        <v>759</v>
      </c>
      <c r="K220" s="261" t="s">
        <v>8370</v>
      </c>
      <c r="L220" s="261" t="s">
        <v>2862</v>
      </c>
      <c r="M220" s="261" t="s">
        <v>6911</v>
      </c>
      <c r="N220" s="261" t="s">
        <v>762</v>
      </c>
      <c r="O220" s="261" t="s">
        <v>2973</v>
      </c>
      <c r="P220" s="261" t="s">
        <v>417</v>
      </c>
      <c r="Q220" s="261" t="s">
        <v>6552</v>
      </c>
      <c r="R220" s="261" t="str">
        <f t="shared" si="10"/>
        <v>(Light) Overdrive Punisher +15%</v>
      </c>
      <c r="S220" s="330" t="str">
        <f t="shared" si="11"/>
        <v>(Light) Attack Rate +20%</v>
      </c>
    </row>
    <row r="221" spans="1:19" x14ac:dyDescent="0.2">
      <c r="A221" s="306" t="s">
        <v>3451</v>
      </c>
      <c r="B221" s="261" t="s">
        <v>15213</v>
      </c>
      <c r="C221" s="261" t="s">
        <v>3452</v>
      </c>
      <c r="D221" s="261" t="s">
        <v>3453</v>
      </c>
      <c r="E221" s="261" t="str">
        <f t="shared" si="9"/>
        <v>Wild Hunter</v>
      </c>
      <c r="F221" s="261" t="s">
        <v>3454</v>
      </c>
      <c r="G221" s="261">
        <v>4</v>
      </c>
      <c r="H221" s="261" t="s">
        <v>260</v>
      </c>
      <c r="I221" s="261" t="s">
        <v>2837</v>
      </c>
      <c r="J221" s="261" t="s">
        <v>759</v>
      </c>
      <c r="K221" s="261" t="s">
        <v>3463</v>
      </c>
      <c r="L221" s="261" t="s">
        <v>2844</v>
      </c>
      <c r="M221" s="261" t="s">
        <v>2941</v>
      </c>
      <c r="N221" s="261" t="s">
        <v>762</v>
      </c>
      <c r="O221" s="261" t="s">
        <v>2973</v>
      </c>
      <c r="P221" s="261" t="s">
        <v>2974</v>
      </c>
      <c r="Q221" s="261" t="s">
        <v>15035</v>
      </c>
      <c r="R221" s="261" t="str">
        <f t="shared" si="10"/>
        <v>(Light) Elemental Res +15%</v>
      </c>
      <c r="S221" s="330" t="str">
        <f t="shared" si="11"/>
        <v>(Light) HP 70% = Shield +40%</v>
      </c>
    </row>
    <row r="222" spans="1:19" x14ac:dyDescent="0.2">
      <c r="A222" s="306" t="s">
        <v>3467</v>
      </c>
      <c r="B222" s="261" t="s">
        <v>15214</v>
      </c>
      <c r="C222" s="261" t="s">
        <v>3468</v>
      </c>
      <c r="D222" s="261" t="s">
        <v>3469</v>
      </c>
      <c r="E222" s="261" t="str">
        <f t="shared" si="9"/>
        <v>Woodland Archer</v>
      </c>
      <c r="F222" s="261" t="s">
        <v>3470</v>
      </c>
      <c r="G222" s="261">
        <v>4</v>
      </c>
      <c r="H222" s="261" t="s">
        <v>260</v>
      </c>
      <c r="I222" s="261" t="s">
        <v>2837</v>
      </c>
      <c r="J222" s="261" t="s">
        <v>759</v>
      </c>
      <c r="K222" s="261" t="s">
        <v>3273</v>
      </c>
      <c r="L222" s="261" t="s">
        <v>2862</v>
      </c>
      <c r="M222" s="261" t="s">
        <v>2844</v>
      </c>
      <c r="N222" s="261" t="s">
        <v>762</v>
      </c>
      <c r="O222" s="261" t="s">
        <v>2140</v>
      </c>
      <c r="P222" s="261" t="s">
        <v>6911</v>
      </c>
      <c r="Q222" s="261" t="s">
        <v>618</v>
      </c>
      <c r="R222" s="261" t="str">
        <f t="shared" si="10"/>
        <v>(Light) Strength +20%</v>
      </c>
      <c r="S222" s="330" t="str">
        <f t="shared" si="11"/>
        <v>(Light) Defense +20%</v>
      </c>
    </row>
    <row r="223" spans="1:19" x14ac:dyDescent="0.2">
      <c r="A223" s="306" t="s">
        <v>3481</v>
      </c>
      <c r="B223" s="261" t="s">
        <v>15215</v>
      </c>
      <c r="C223" s="261" t="s">
        <v>3482</v>
      </c>
      <c r="D223" s="261" t="s">
        <v>3483</v>
      </c>
      <c r="E223" s="261" t="str">
        <f t="shared" si="9"/>
        <v>Alluring Sniper</v>
      </c>
      <c r="F223" s="261" t="s">
        <v>3484</v>
      </c>
      <c r="G223" s="261">
        <v>3</v>
      </c>
      <c r="H223" s="261" t="s">
        <v>260</v>
      </c>
      <c r="I223" s="261" t="s">
        <v>2837</v>
      </c>
      <c r="J223" s="261" t="s">
        <v>759</v>
      </c>
      <c r="K223" s="261" t="s">
        <v>485</v>
      </c>
      <c r="L223" s="261" t="s">
        <v>2862</v>
      </c>
      <c r="M223" s="261" t="s">
        <v>2605</v>
      </c>
      <c r="N223" s="261" t="s">
        <v>762</v>
      </c>
      <c r="O223" s="261" t="s">
        <v>3491</v>
      </c>
      <c r="P223" s="261" t="s">
        <v>316</v>
      </c>
      <c r="Q223" s="261" t="s">
        <v>7129</v>
      </c>
      <c r="R223" s="261" t="str">
        <f t="shared" si="10"/>
        <v>(Light) Skill Haste +10%</v>
      </c>
      <c r="S223" s="330" t="str">
        <f t="shared" si="11"/>
        <v>(Light) Combo Time +2</v>
      </c>
    </row>
    <row r="224" spans="1:19" x14ac:dyDescent="0.2">
      <c r="A224" s="306" t="s">
        <v>3495</v>
      </c>
      <c r="B224" s="261" t="s">
        <v>15216</v>
      </c>
      <c r="C224" s="261" t="s">
        <v>3496</v>
      </c>
      <c r="D224" s="261" t="s">
        <v>3497</v>
      </c>
      <c r="E224" s="261" t="str">
        <f t="shared" si="9"/>
        <v>Radiant Auspex</v>
      </c>
      <c r="F224" s="261" t="s">
        <v>3498</v>
      </c>
      <c r="G224" s="261">
        <v>5</v>
      </c>
      <c r="H224" s="261" t="s">
        <v>121</v>
      </c>
      <c r="I224" s="261" t="s">
        <v>2837</v>
      </c>
      <c r="J224" s="261" t="s">
        <v>839</v>
      </c>
      <c r="K224" s="261" t="s">
        <v>3507</v>
      </c>
      <c r="L224" s="261" t="s">
        <v>2881</v>
      </c>
      <c r="M224" s="261" t="s">
        <v>910</v>
      </c>
      <c r="N224" s="261" t="s">
        <v>842</v>
      </c>
      <c r="O224" s="261" t="s">
        <v>2973</v>
      </c>
      <c r="P224" s="261" t="s">
        <v>2620</v>
      </c>
      <c r="Q224" s="261" t="s">
        <v>6911</v>
      </c>
      <c r="R224" s="261" t="str">
        <f t="shared" si="10"/>
        <v>(Light) 15 Hits = Overdamage</v>
      </c>
      <c r="S224" s="330" t="str">
        <f t="shared" si="11"/>
        <v>(Light) Strength +20%</v>
      </c>
    </row>
    <row r="225" spans="1:19" x14ac:dyDescent="0.2">
      <c r="A225" s="306" t="s">
        <v>3511</v>
      </c>
      <c r="B225" s="261" t="s">
        <v>15217</v>
      </c>
      <c r="C225" s="261" t="s">
        <v>3512</v>
      </c>
      <c r="D225" s="261" t="s">
        <v>3513</v>
      </c>
      <c r="E225" s="261" t="str">
        <f t="shared" si="9"/>
        <v>Unrelenting Summer Beauty</v>
      </c>
      <c r="F225" s="261" t="s">
        <v>3514</v>
      </c>
      <c r="G225" s="261">
        <v>5</v>
      </c>
      <c r="H225" s="261" t="s">
        <v>121</v>
      </c>
      <c r="I225" s="261" t="s">
        <v>2837</v>
      </c>
      <c r="J225" s="261" t="s">
        <v>839</v>
      </c>
      <c r="K225" s="261" t="s">
        <v>3523</v>
      </c>
      <c r="L225" s="261" t="s">
        <v>2862</v>
      </c>
      <c r="M225" s="261" t="s">
        <v>3524</v>
      </c>
      <c r="N225" s="261" t="s">
        <v>842</v>
      </c>
      <c r="O225" s="261" t="s">
        <v>2973</v>
      </c>
      <c r="P225" s="261" t="s">
        <v>417</v>
      </c>
      <c r="Q225" s="261" t="s">
        <v>2974</v>
      </c>
      <c r="R225" s="261" t="str">
        <f t="shared" si="10"/>
        <v>(Light) Overdrive Punisher +15%</v>
      </c>
      <c r="S225" s="330" t="str">
        <f t="shared" si="11"/>
        <v>(Light) Elemental Res +15%</v>
      </c>
    </row>
    <row r="226" spans="1:19" x14ac:dyDescent="0.2">
      <c r="A226" s="306" t="s">
        <v>3527</v>
      </c>
      <c r="B226" s="261" t="s">
        <v>15218</v>
      </c>
      <c r="C226" s="261" t="s">
        <v>3528</v>
      </c>
      <c r="D226" s="261" t="s">
        <v>3529</v>
      </c>
      <c r="E226" s="261" t="str">
        <f t="shared" si="9"/>
        <v>Radiant Sealer</v>
      </c>
      <c r="F226" s="261" t="s">
        <v>3530</v>
      </c>
      <c r="G226" s="261">
        <v>5</v>
      </c>
      <c r="H226" s="261" t="s">
        <v>260</v>
      </c>
      <c r="I226" s="261" t="s">
        <v>2837</v>
      </c>
      <c r="J226" s="261" t="s">
        <v>839</v>
      </c>
      <c r="K226" s="261" t="s">
        <v>3537</v>
      </c>
      <c r="L226" s="261" t="s">
        <v>2844</v>
      </c>
      <c r="M226" s="261" t="s">
        <v>1903</v>
      </c>
      <c r="N226" s="261" t="s">
        <v>842</v>
      </c>
      <c r="O226" s="261" t="s">
        <v>2973</v>
      </c>
      <c r="P226" s="261" t="s">
        <v>6601</v>
      </c>
      <c r="Q226" s="261" t="s">
        <v>417</v>
      </c>
      <c r="R226" s="261" t="str">
        <f t="shared" si="10"/>
        <v>(Light) Critical Rate +15%</v>
      </c>
      <c r="S226" s="330" t="str">
        <f t="shared" si="11"/>
        <v>(Light) Overdrive Punisher +15%</v>
      </c>
    </row>
    <row r="227" spans="1:19" x14ac:dyDescent="0.2">
      <c r="A227" s="306" t="s">
        <v>3541</v>
      </c>
      <c r="B227" s="261" t="s">
        <v>15219</v>
      </c>
      <c r="C227" s="261" t="s">
        <v>3542</v>
      </c>
      <c r="D227" s="261" t="s">
        <v>3543</v>
      </c>
      <c r="E227" s="261" t="str">
        <f t="shared" si="9"/>
        <v>Sweet Dream</v>
      </c>
      <c r="F227" s="261" t="s">
        <v>3544</v>
      </c>
      <c r="G227" s="261">
        <v>5</v>
      </c>
      <c r="H227" s="261" t="s">
        <v>260</v>
      </c>
      <c r="I227" s="261" t="s">
        <v>2837</v>
      </c>
      <c r="J227" s="261" t="s">
        <v>839</v>
      </c>
      <c r="K227" s="261" t="s">
        <v>3552</v>
      </c>
      <c r="L227" s="261" t="s">
        <v>2862</v>
      </c>
      <c r="M227" s="261" t="s">
        <v>2605</v>
      </c>
      <c r="N227" s="261" t="s">
        <v>3550</v>
      </c>
      <c r="O227" s="261" t="s">
        <v>2140</v>
      </c>
      <c r="P227" s="261" t="s">
        <v>14997</v>
      </c>
      <c r="Q227" s="261" t="s">
        <v>6552</v>
      </c>
      <c r="R227" s="261" t="str">
        <f t="shared" si="10"/>
        <v>(Light) Critical Damage +25%</v>
      </c>
      <c r="S227" s="330" t="str">
        <f t="shared" si="11"/>
        <v>(Light) Attack Rate +20%</v>
      </c>
    </row>
    <row r="228" spans="1:19" x14ac:dyDescent="0.2">
      <c r="A228" s="306" t="s">
        <v>3556</v>
      </c>
      <c r="B228" s="261" t="s">
        <v>15220</v>
      </c>
      <c r="C228" s="261" t="s">
        <v>3557</v>
      </c>
      <c r="D228" s="261" t="s">
        <v>3558</v>
      </c>
      <c r="E228" s="261" t="str">
        <f t="shared" si="9"/>
        <v>Songstress of the Century</v>
      </c>
      <c r="F228" s="261" t="s">
        <v>3559</v>
      </c>
      <c r="G228" s="261">
        <v>5</v>
      </c>
      <c r="H228" s="261" t="s">
        <v>121</v>
      </c>
      <c r="I228" s="261" t="s">
        <v>2837</v>
      </c>
      <c r="J228" s="261" t="s">
        <v>839</v>
      </c>
      <c r="K228" s="261" t="s">
        <v>3567</v>
      </c>
      <c r="L228" s="261" t="s">
        <v>2862</v>
      </c>
      <c r="M228" s="261" t="s">
        <v>485</v>
      </c>
      <c r="N228" s="261" t="s">
        <v>842</v>
      </c>
      <c r="O228" s="261" t="s">
        <v>3566</v>
      </c>
      <c r="P228" s="261" t="s">
        <v>6893</v>
      </c>
      <c r="Q228" s="261" t="s">
        <v>6601</v>
      </c>
      <c r="R228" s="261" t="str">
        <f t="shared" si="10"/>
        <v>(Light) Skill Damage +40%</v>
      </c>
      <c r="S228" s="330" t="str">
        <f t="shared" si="11"/>
        <v>(Light) Critical Rate +15%</v>
      </c>
    </row>
    <row r="229" spans="1:19" x14ac:dyDescent="0.2">
      <c r="A229" s="306" t="s">
        <v>3570</v>
      </c>
      <c r="B229" s="261" t="s">
        <v>15221</v>
      </c>
      <c r="C229" s="261" t="s">
        <v>3571</v>
      </c>
      <c r="D229" s="261" t="s">
        <v>3572</v>
      </c>
      <c r="E229" s="261" t="str">
        <f t="shared" si="9"/>
        <v>Cuteness Incarnate</v>
      </c>
      <c r="F229" s="261" t="s">
        <v>3573</v>
      </c>
      <c r="G229" s="261">
        <v>4</v>
      </c>
      <c r="H229" s="261" t="s">
        <v>241</v>
      </c>
      <c r="I229" s="261" t="s">
        <v>2837</v>
      </c>
      <c r="J229" s="261" t="s">
        <v>839</v>
      </c>
      <c r="K229" s="261" t="s">
        <v>1851</v>
      </c>
      <c r="L229" s="261" t="s">
        <v>2862</v>
      </c>
      <c r="M229" s="261" t="s">
        <v>618</v>
      </c>
      <c r="N229" s="261" t="s">
        <v>842</v>
      </c>
      <c r="O229" s="261" t="s">
        <v>2140</v>
      </c>
      <c r="P229" s="261" t="s">
        <v>6893</v>
      </c>
      <c r="Q229" s="261" t="s">
        <v>618</v>
      </c>
      <c r="R229" s="261" t="str">
        <f t="shared" si="10"/>
        <v>(Light) Skill Damage +40%</v>
      </c>
      <c r="S229" s="330" t="str">
        <f t="shared" si="11"/>
        <v>(Light) Defense +20%</v>
      </c>
    </row>
    <row r="230" spans="1:19" x14ac:dyDescent="0.2">
      <c r="A230" s="306" t="s">
        <v>3583</v>
      </c>
      <c r="B230" s="261" t="s">
        <v>15222</v>
      </c>
      <c r="C230" s="261" t="s">
        <v>3584</v>
      </c>
      <c r="D230" s="261" t="s">
        <v>3585</v>
      </c>
      <c r="E230" s="261" t="str">
        <f t="shared" si="9"/>
        <v>Child of Miracles</v>
      </c>
      <c r="F230" s="261" t="s">
        <v>3586</v>
      </c>
      <c r="G230" s="261">
        <v>4</v>
      </c>
      <c r="H230" s="261" t="s">
        <v>121</v>
      </c>
      <c r="I230" s="261" t="s">
        <v>2837</v>
      </c>
      <c r="J230" s="261" t="s">
        <v>839</v>
      </c>
      <c r="K230" s="261" t="s">
        <v>670</v>
      </c>
      <c r="L230" s="261" t="s">
        <v>2862</v>
      </c>
      <c r="M230" s="261" t="s">
        <v>485</v>
      </c>
      <c r="N230" s="261" t="s">
        <v>842</v>
      </c>
      <c r="O230" s="261" t="s">
        <v>2973</v>
      </c>
      <c r="P230" s="261" t="s">
        <v>6893</v>
      </c>
      <c r="Q230" s="261" t="s">
        <v>6552</v>
      </c>
      <c r="R230" s="261" t="str">
        <f t="shared" si="10"/>
        <v>(Light) Skill Damage +40%</v>
      </c>
      <c r="S230" s="330" t="str">
        <f t="shared" si="11"/>
        <v>(Light) Attack Rate +20%</v>
      </c>
    </row>
    <row r="231" spans="1:19" x14ac:dyDescent="0.2">
      <c r="A231" s="306" t="s">
        <v>3596</v>
      </c>
      <c r="B231" s="261" t="s">
        <v>15223</v>
      </c>
      <c r="C231" s="261" t="s">
        <v>3597</v>
      </c>
      <c r="D231" s="261" t="s">
        <v>3598</v>
      </c>
      <c r="E231" s="261" t="str">
        <f t="shared" si="9"/>
        <v>Boundless Arithmetician</v>
      </c>
      <c r="F231" s="261" t="s">
        <v>3599</v>
      </c>
      <c r="G231" s="261">
        <v>3</v>
      </c>
      <c r="H231" s="261" t="s">
        <v>260</v>
      </c>
      <c r="I231" s="261" t="s">
        <v>2837</v>
      </c>
      <c r="J231" s="261" t="s">
        <v>839</v>
      </c>
      <c r="K231" s="261" t="s">
        <v>910</v>
      </c>
      <c r="L231" s="261" t="s">
        <v>2844</v>
      </c>
      <c r="M231" s="261" t="s">
        <v>519</v>
      </c>
      <c r="N231" s="261" t="s">
        <v>842</v>
      </c>
      <c r="O231" s="261" t="s">
        <v>2973</v>
      </c>
      <c r="P231" s="261" t="s">
        <v>682</v>
      </c>
      <c r="Q231" s="261" t="s">
        <v>2974</v>
      </c>
      <c r="R231" s="261" t="str">
        <f t="shared" si="10"/>
        <v>(Light) HP +15%</v>
      </c>
      <c r="S231" s="330" t="str">
        <f t="shared" si="11"/>
        <v>(Light) Elemental Res +15%</v>
      </c>
    </row>
    <row r="232" spans="1:19" x14ac:dyDescent="0.2">
      <c r="A232" s="306" t="s">
        <v>3609</v>
      </c>
      <c r="B232" s="261" t="s">
        <v>15224</v>
      </c>
      <c r="C232" s="261" t="s">
        <v>3610</v>
      </c>
      <c r="D232" s="261" t="s">
        <v>3611</v>
      </c>
      <c r="E232" s="261" t="str">
        <f t="shared" si="9"/>
        <v>Celebrating Cutie</v>
      </c>
      <c r="F232" s="261" t="s">
        <v>3612</v>
      </c>
      <c r="G232" s="261">
        <v>5</v>
      </c>
      <c r="H232" s="261" t="s">
        <v>967</v>
      </c>
      <c r="I232" s="261" t="s">
        <v>2837</v>
      </c>
      <c r="J232" s="261" t="s">
        <v>949</v>
      </c>
      <c r="K232" s="261" t="s">
        <v>3620</v>
      </c>
      <c r="L232" s="261" t="s">
        <v>2844</v>
      </c>
      <c r="M232" s="261" t="s">
        <v>670</v>
      </c>
      <c r="N232" s="261" t="s">
        <v>970</v>
      </c>
      <c r="O232" s="261" t="s">
        <v>1088</v>
      </c>
      <c r="P232" s="261" t="s">
        <v>6911</v>
      </c>
      <c r="Q232" s="261" t="s">
        <v>682</v>
      </c>
      <c r="R232" s="261" t="str">
        <f t="shared" si="10"/>
        <v>(Light) Strength +20%</v>
      </c>
      <c r="S232" s="330" t="str">
        <f t="shared" si="11"/>
        <v>(Light) HP +15%</v>
      </c>
    </row>
    <row r="233" spans="1:19" x14ac:dyDescent="0.2">
      <c r="A233" s="306" t="s">
        <v>3624</v>
      </c>
      <c r="B233" s="261" t="s">
        <v>15225</v>
      </c>
      <c r="C233" s="261" t="s">
        <v>3625</v>
      </c>
      <c r="D233" s="261" t="s">
        <v>3626</v>
      </c>
      <c r="E233" s="261" t="str">
        <f t="shared" si="9"/>
        <v>Unwavering Auspex</v>
      </c>
      <c r="F233" s="261" t="s">
        <v>3627</v>
      </c>
      <c r="G233" s="261">
        <v>5</v>
      </c>
      <c r="H233" s="261" t="s">
        <v>121</v>
      </c>
      <c r="I233" s="261" t="s">
        <v>2837</v>
      </c>
      <c r="J233" s="261" t="s">
        <v>949</v>
      </c>
      <c r="K233" s="261" t="s">
        <v>3636</v>
      </c>
      <c r="L233" s="261" t="s">
        <v>2881</v>
      </c>
      <c r="M233" s="261" t="s">
        <v>3635</v>
      </c>
      <c r="N233" s="261" t="s">
        <v>970</v>
      </c>
      <c r="O233" s="261" t="s">
        <v>245</v>
      </c>
      <c r="P233" s="261" t="s">
        <v>2620</v>
      </c>
      <c r="Q233" s="261" t="s">
        <v>14997</v>
      </c>
      <c r="R233" s="261" t="str">
        <f t="shared" si="10"/>
        <v>(Light) 15 Hits = Overdamage</v>
      </c>
      <c r="S233" s="330" t="str">
        <f t="shared" si="11"/>
        <v>(Light) Critical Damage +25%</v>
      </c>
    </row>
    <row r="234" spans="1:19" x14ac:dyDescent="0.2">
      <c r="A234" s="306" t="s">
        <v>3639</v>
      </c>
      <c r="B234" s="261" t="s">
        <v>15226</v>
      </c>
      <c r="C234" s="261" t="s">
        <v>3640</v>
      </c>
      <c r="D234" s="261" t="s">
        <v>3641</v>
      </c>
      <c r="E234" s="261" t="str">
        <f t="shared" si="9"/>
        <v>Devout Oracle</v>
      </c>
      <c r="F234" s="261" t="s">
        <v>3642</v>
      </c>
      <c r="G234" s="261">
        <v>5</v>
      </c>
      <c r="H234" s="261" t="s">
        <v>967</v>
      </c>
      <c r="I234" s="261" t="s">
        <v>2837</v>
      </c>
      <c r="J234" s="261" t="s">
        <v>949</v>
      </c>
      <c r="K234" s="261" t="s">
        <v>670</v>
      </c>
      <c r="L234" s="261" t="s">
        <v>2862</v>
      </c>
      <c r="M234" s="261" t="s">
        <v>3648</v>
      </c>
      <c r="N234" s="261" t="s">
        <v>970</v>
      </c>
      <c r="O234" s="261" t="s">
        <v>128</v>
      </c>
      <c r="P234" s="261" t="s">
        <v>682</v>
      </c>
      <c r="Q234" s="261" t="s">
        <v>618</v>
      </c>
      <c r="R234" s="261" t="str">
        <f t="shared" si="10"/>
        <v>(Light) HP +15%</v>
      </c>
      <c r="S234" s="330" t="str">
        <f t="shared" si="11"/>
        <v>(Light) Defense +20%</v>
      </c>
    </row>
    <row r="235" spans="1:19" x14ac:dyDescent="0.2">
      <c r="A235" s="306" t="s">
        <v>3650</v>
      </c>
      <c r="B235" s="261" t="s">
        <v>15227</v>
      </c>
      <c r="C235" s="261" t="s">
        <v>3651</v>
      </c>
      <c r="D235" s="261" t="s">
        <v>3652</v>
      </c>
      <c r="E235" s="261" t="str">
        <f t="shared" si="9"/>
        <v>Captivating Dancer</v>
      </c>
      <c r="F235" s="261" t="s">
        <v>3653</v>
      </c>
      <c r="G235" s="261">
        <v>4</v>
      </c>
      <c r="H235" s="261" t="s">
        <v>967</v>
      </c>
      <c r="I235" s="261" t="s">
        <v>2837</v>
      </c>
      <c r="J235" s="261" t="s">
        <v>949</v>
      </c>
      <c r="K235" s="261" t="s">
        <v>618</v>
      </c>
      <c r="L235" s="261" t="s">
        <v>2844</v>
      </c>
      <c r="M235" s="261" t="s">
        <v>1851</v>
      </c>
      <c r="N235" s="261" t="s">
        <v>970</v>
      </c>
      <c r="O235" s="261" t="s">
        <v>2140</v>
      </c>
      <c r="P235" s="261" t="s">
        <v>618</v>
      </c>
      <c r="Q235" s="261" t="s">
        <v>15035</v>
      </c>
      <c r="R235" s="261" t="str">
        <f t="shared" si="10"/>
        <v>(Light) Defense +20%</v>
      </c>
      <c r="S235" s="330" t="str">
        <f t="shared" si="11"/>
        <v>(Light) HP 70% = Shield +40%</v>
      </c>
    </row>
    <row r="236" spans="1:19" x14ac:dyDescent="0.2">
      <c r="A236" s="306" t="s">
        <v>3661</v>
      </c>
      <c r="B236" s="261" t="s">
        <v>15228</v>
      </c>
      <c r="C236" s="261" t="s">
        <v>3662</v>
      </c>
      <c r="D236" s="261" t="s">
        <v>3663</v>
      </c>
      <c r="E236" s="261" t="str">
        <f t="shared" si="9"/>
        <v>Musical Maestro</v>
      </c>
      <c r="F236" s="261" t="s">
        <v>3664</v>
      </c>
      <c r="G236" s="261">
        <v>4</v>
      </c>
      <c r="H236" s="261" t="s">
        <v>967</v>
      </c>
      <c r="I236" s="261" t="s">
        <v>2837</v>
      </c>
      <c r="J236" s="261" t="s">
        <v>949</v>
      </c>
      <c r="K236" s="261" t="s">
        <v>3672</v>
      </c>
      <c r="L236" s="261" t="s">
        <v>2881</v>
      </c>
      <c r="M236" s="261" t="s">
        <v>670</v>
      </c>
      <c r="N236" s="261" t="s">
        <v>970</v>
      </c>
      <c r="O236" s="261" t="s">
        <v>128</v>
      </c>
      <c r="P236" s="261" t="s">
        <v>2620</v>
      </c>
      <c r="Q236" s="261" t="s">
        <v>618</v>
      </c>
      <c r="R236" s="261" t="str">
        <f t="shared" si="10"/>
        <v>(Light) 15 Hits = Overdamage</v>
      </c>
      <c r="S236" s="330" t="str">
        <f t="shared" si="11"/>
        <v>(Light) Defense +20%</v>
      </c>
    </row>
    <row r="237" spans="1:19" x14ac:dyDescent="0.2">
      <c r="A237" s="306" t="s">
        <v>3675</v>
      </c>
      <c r="B237" s="261" t="s">
        <v>15229</v>
      </c>
      <c r="C237" s="261" t="s">
        <v>3676</v>
      </c>
      <c r="D237" s="261" t="s">
        <v>3677</v>
      </c>
      <c r="E237" s="261" t="str">
        <f t="shared" si="9"/>
        <v>Diametric Vampire</v>
      </c>
      <c r="F237" s="261" t="s">
        <v>3678</v>
      </c>
      <c r="G237" s="261">
        <v>4</v>
      </c>
      <c r="H237" s="261" t="s">
        <v>967</v>
      </c>
      <c r="I237" s="261" t="s">
        <v>2837</v>
      </c>
      <c r="J237" s="261" t="s">
        <v>949</v>
      </c>
      <c r="K237" s="261" t="s">
        <v>1851</v>
      </c>
      <c r="L237" s="261" t="s">
        <v>2862</v>
      </c>
      <c r="M237" s="261" t="s">
        <v>6911</v>
      </c>
      <c r="N237" s="261" t="s">
        <v>970</v>
      </c>
      <c r="O237" s="261" t="s">
        <v>245</v>
      </c>
      <c r="P237" s="261" t="s">
        <v>6911</v>
      </c>
      <c r="Q237" s="261" t="s">
        <v>970</v>
      </c>
      <c r="R237" s="261" t="str">
        <f t="shared" si="10"/>
        <v>(Light) Strength +20%</v>
      </c>
      <c r="S237" s="330" t="str">
        <f t="shared" si="11"/>
        <v>(Light) Recovery Potency +20%</v>
      </c>
    </row>
    <row r="238" spans="1:19" x14ac:dyDescent="0.2">
      <c r="A238" s="306" t="s">
        <v>3687</v>
      </c>
      <c r="B238" s="261" t="s">
        <v>15230</v>
      </c>
      <c r="C238" s="261" t="s">
        <v>3688</v>
      </c>
      <c r="D238" s="261" t="s">
        <v>3689</v>
      </c>
      <c r="E238" s="261" t="str">
        <f t="shared" si="9"/>
        <v>Loving Preacher</v>
      </c>
      <c r="F238" s="261" t="s">
        <v>3690</v>
      </c>
      <c r="G238" s="261">
        <v>3</v>
      </c>
      <c r="H238" s="261" t="s">
        <v>967</v>
      </c>
      <c r="I238" s="261" t="s">
        <v>2837</v>
      </c>
      <c r="J238" s="261" t="s">
        <v>949</v>
      </c>
      <c r="K238" s="261" t="s">
        <v>3698</v>
      </c>
      <c r="L238" s="261" t="s">
        <v>2862</v>
      </c>
      <c r="M238" s="261" t="s">
        <v>6897</v>
      </c>
      <c r="N238" s="261" t="s">
        <v>970</v>
      </c>
      <c r="O238" s="261" t="s">
        <v>315</v>
      </c>
      <c r="P238" s="261" t="s">
        <v>316</v>
      </c>
      <c r="Q238" s="261" t="s">
        <v>618</v>
      </c>
      <c r="R238" s="261" t="str">
        <f t="shared" si="10"/>
        <v>(Light) Skill Haste +10%</v>
      </c>
      <c r="S238" s="330" t="str">
        <f t="shared" si="11"/>
        <v>(Light) Defense +20%</v>
      </c>
    </row>
    <row r="239" spans="1:19" x14ac:dyDescent="0.2">
      <c r="A239" s="306" t="s">
        <v>3701</v>
      </c>
      <c r="B239" s="261" t="s">
        <v>15231</v>
      </c>
      <c r="C239" s="261" t="s">
        <v>3702</v>
      </c>
      <c r="D239" s="261" t="s">
        <v>3703</v>
      </c>
      <c r="E239" s="261" t="str">
        <f t="shared" si="9"/>
        <v>Knight at Heart</v>
      </c>
      <c r="F239" s="261" t="s">
        <v>3704</v>
      </c>
      <c r="G239" s="261">
        <v>3</v>
      </c>
      <c r="H239" s="261" t="s">
        <v>967</v>
      </c>
      <c r="I239" s="261" t="s">
        <v>2837</v>
      </c>
      <c r="J239" s="261" t="s">
        <v>949</v>
      </c>
      <c r="K239" s="261" t="s">
        <v>1031</v>
      </c>
      <c r="L239" s="261" t="s">
        <v>2844</v>
      </c>
      <c r="M239" s="261" t="s">
        <v>1851</v>
      </c>
      <c r="N239" s="261" t="s">
        <v>970</v>
      </c>
      <c r="O239" s="261" t="s">
        <v>245</v>
      </c>
      <c r="P239" s="261" t="s">
        <v>316</v>
      </c>
      <c r="Q239" s="261" t="s">
        <v>970</v>
      </c>
      <c r="R239" s="261" t="str">
        <f t="shared" si="10"/>
        <v>(Light) Skill Haste +10%</v>
      </c>
      <c r="S239" s="330" t="str">
        <f t="shared" si="11"/>
        <v>(Light) Recovery Potency +20%</v>
      </c>
    </row>
    <row r="240" spans="1:19" x14ac:dyDescent="0.2">
      <c r="A240" s="306" t="s">
        <v>3713</v>
      </c>
      <c r="B240" s="261" t="s">
        <v>15232</v>
      </c>
      <c r="C240" s="261" t="s">
        <v>3714</v>
      </c>
      <c r="D240" s="261" t="s">
        <v>3715</v>
      </c>
      <c r="E240" s="261" t="str">
        <f t="shared" si="9"/>
        <v>Mischievous Android</v>
      </c>
      <c r="F240" s="261" t="s">
        <v>3716</v>
      </c>
      <c r="G240" s="261">
        <v>5</v>
      </c>
      <c r="H240" s="261" t="s">
        <v>121</v>
      </c>
      <c r="I240" s="261" t="s">
        <v>2837</v>
      </c>
      <c r="J240" s="261" t="s">
        <v>1054</v>
      </c>
      <c r="K240" s="261" t="s">
        <v>3725</v>
      </c>
      <c r="L240" s="261" t="s">
        <v>2862</v>
      </c>
      <c r="M240" s="261" t="s">
        <v>3726</v>
      </c>
      <c r="N240" s="261" t="s">
        <v>1057</v>
      </c>
      <c r="O240" s="261" t="s">
        <v>245</v>
      </c>
      <c r="P240" s="261" t="s">
        <v>6911</v>
      </c>
      <c r="Q240" s="261" t="s">
        <v>336</v>
      </c>
      <c r="R240" s="261" t="str">
        <f t="shared" si="10"/>
        <v>(Light) Strength +20%</v>
      </c>
      <c r="S240" s="330" t="str">
        <f t="shared" si="11"/>
        <v>(Light) Force Strike +50%</v>
      </c>
    </row>
    <row r="241" spans="1:19" x14ac:dyDescent="0.2">
      <c r="A241" s="306" t="s">
        <v>3730</v>
      </c>
      <c r="B241" s="261" t="s">
        <v>15233</v>
      </c>
      <c r="C241" s="261" t="s">
        <v>3731</v>
      </c>
      <c r="D241" s="261" t="s">
        <v>3732</v>
      </c>
      <c r="E241" s="261" t="str">
        <f t="shared" si="9"/>
        <v>Rational Android</v>
      </c>
      <c r="F241" s="261" t="s">
        <v>3733</v>
      </c>
      <c r="G241" s="261">
        <v>5</v>
      </c>
      <c r="H241" s="261" t="s">
        <v>241</v>
      </c>
      <c r="I241" s="261" t="s">
        <v>2837</v>
      </c>
      <c r="J241" s="261" t="s">
        <v>1054</v>
      </c>
      <c r="K241" s="261" t="s">
        <v>3741</v>
      </c>
      <c r="L241" s="261" t="s">
        <v>2844</v>
      </c>
      <c r="M241" s="261" t="s">
        <v>1409</v>
      </c>
      <c r="N241" s="261" t="s">
        <v>1057</v>
      </c>
      <c r="O241" s="261" t="s">
        <v>779</v>
      </c>
      <c r="P241" s="261" t="s">
        <v>6552</v>
      </c>
      <c r="Q241" s="261" t="s">
        <v>909</v>
      </c>
      <c r="R241" s="261" t="str">
        <f t="shared" si="10"/>
        <v>(Light) Attack Rate +20%</v>
      </c>
      <c r="S241" s="330" t="str">
        <f t="shared" si="11"/>
        <v>(Light) Broken Punisher +30%</v>
      </c>
    </row>
    <row r="242" spans="1:19" x14ac:dyDescent="0.2">
      <c r="A242" s="306" t="s">
        <v>3745</v>
      </c>
      <c r="B242" s="261" t="s">
        <v>15234</v>
      </c>
      <c r="C242" s="261" t="s">
        <v>3746</v>
      </c>
      <c r="D242" s="261" t="s">
        <v>3747</v>
      </c>
      <c r="E242" s="261" t="str">
        <f t="shared" si="9"/>
        <v>Flawless Alchemist</v>
      </c>
      <c r="F242" s="261" t="s">
        <v>3748</v>
      </c>
      <c r="G242" s="261">
        <v>5</v>
      </c>
      <c r="H242" s="261" t="s">
        <v>121</v>
      </c>
      <c r="I242" s="261" t="s">
        <v>2837</v>
      </c>
      <c r="J242" s="261" t="s">
        <v>1054</v>
      </c>
      <c r="K242" s="261" t="s">
        <v>3754</v>
      </c>
      <c r="L242" s="261" t="s">
        <v>2881</v>
      </c>
      <c r="M242" s="261" t="s">
        <v>3757</v>
      </c>
      <c r="N242" s="261" t="s">
        <v>1057</v>
      </c>
      <c r="O242" s="261" t="s">
        <v>2973</v>
      </c>
      <c r="P242" s="261" t="s">
        <v>2620</v>
      </c>
      <c r="Q242" s="261" t="s">
        <v>336</v>
      </c>
      <c r="R242" s="261" t="str">
        <f t="shared" si="10"/>
        <v>(Light) 15 Hits = Overdamage</v>
      </c>
      <c r="S242" s="330" t="str">
        <f t="shared" si="11"/>
        <v>(Light) Force Strike +50%</v>
      </c>
    </row>
    <row r="243" spans="1:19" x14ac:dyDescent="0.2">
      <c r="A243" s="306" t="s">
        <v>3760</v>
      </c>
      <c r="B243" s="261" t="s">
        <v>15235</v>
      </c>
      <c r="C243" s="261" t="s">
        <v>3761</v>
      </c>
      <c r="D243" s="261" t="s">
        <v>3762</v>
      </c>
      <c r="E243" s="261" t="str">
        <f t="shared" si="9"/>
        <v>Scorching Sharpshooter</v>
      </c>
      <c r="F243" s="261" t="s">
        <v>3763</v>
      </c>
      <c r="G243" s="261">
        <v>3</v>
      </c>
      <c r="H243" s="261" t="s">
        <v>121</v>
      </c>
      <c r="I243" s="261" t="s">
        <v>2837</v>
      </c>
      <c r="J243" s="261" t="s">
        <v>1054</v>
      </c>
      <c r="K243" s="261" t="s">
        <v>519</v>
      </c>
      <c r="L243" s="261" t="s">
        <v>2844</v>
      </c>
      <c r="M243" s="261" t="s">
        <v>581</v>
      </c>
      <c r="N243" s="261" t="s">
        <v>1057</v>
      </c>
      <c r="O243" s="261" t="s">
        <v>128</v>
      </c>
      <c r="P243" s="261" t="s">
        <v>6911</v>
      </c>
      <c r="Q243" s="261" t="s">
        <v>417</v>
      </c>
      <c r="R243" s="261" t="str">
        <f t="shared" si="10"/>
        <v>(Light) Strength +20%</v>
      </c>
      <c r="S243" s="330" t="str">
        <f t="shared" si="11"/>
        <v>(Light) Overdrive Punisher +15%</v>
      </c>
    </row>
    <row r="244" spans="1:19" x14ac:dyDescent="0.2">
      <c r="A244" s="306" t="s">
        <v>3772</v>
      </c>
      <c r="B244" s="261" t="s">
        <v>15236</v>
      </c>
      <c r="C244" s="261" t="s">
        <v>3773</v>
      </c>
      <c r="D244" s="261" t="s">
        <v>3774</v>
      </c>
      <c r="E244" s="261" t="str">
        <f t="shared" si="9"/>
        <v>Shadow of Genesis</v>
      </c>
      <c r="F244" s="261" t="s">
        <v>3775</v>
      </c>
      <c r="G244" s="261">
        <v>5</v>
      </c>
      <c r="H244" s="261" t="s">
        <v>121</v>
      </c>
      <c r="I244" s="261" t="s">
        <v>3779</v>
      </c>
      <c r="J244" s="261" t="s">
        <v>123</v>
      </c>
      <c r="K244" s="261" t="s">
        <v>3783</v>
      </c>
      <c r="L244" s="261" t="s">
        <v>3786</v>
      </c>
      <c r="M244" s="261" t="s">
        <v>3785</v>
      </c>
      <c r="N244" s="261" t="s">
        <v>126</v>
      </c>
      <c r="O244" s="261" t="s">
        <v>128</v>
      </c>
      <c r="P244" s="261" t="s">
        <v>2620</v>
      </c>
      <c r="Q244" s="261" t="s">
        <v>6911</v>
      </c>
      <c r="R244" s="261" t="str">
        <f t="shared" si="10"/>
        <v>(Shadow) 15 Hits = Overdamage</v>
      </c>
      <c r="S244" s="330" t="str">
        <f t="shared" si="11"/>
        <v>(Shadow) Strength +20%</v>
      </c>
    </row>
    <row r="245" spans="1:19" x14ac:dyDescent="0.2">
      <c r="A245" s="306" t="s">
        <v>3791</v>
      </c>
      <c r="B245" s="261" t="s">
        <v>15237</v>
      </c>
      <c r="C245" s="261" t="s">
        <v>3792</v>
      </c>
      <c r="D245" s="261" t="s">
        <v>3793</v>
      </c>
      <c r="E245" s="261" t="str">
        <f t="shared" si="9"/>
        <v>Dragonblooded Hero</v>
      </c>
      <c r="F245" s="261" t="s">
        <v>3794</v>
      </c>
      <c r="G245" s="261">
        <v>5</v>
      </c>
      <c r="H245" s="261" t="s">
        <v>121</v>
      </c>
      <c r="I245" s="261" t="s">
        <v>3779</v>
      </c>
      <c r="J245" s="261" t="s">
        <v>123</v>
      </c>
      <c r="K245" s="261" t="s">
        <v>2505</v>
      </c>
      <c r="L245" s="261" t="s">
        <v>1483</v>
      </c>
      <c r="M245" s="261" t="s">
        <v>3801</v>
      </c>
      <c r="N245" s="261" t="s">
        <v>126</v>
      </c>
      <c r="O245" s="261" t="s">
        <v>128</v>
      </c>
      <c r="P245" s="261" t="s">
        <v>6893</v>
      </c>
      <c r="Q245" s="261" t="s">
        <v>682</v>
      </c>
      <c r="R245" s="261" t="str">
        <f t="shared" si="10"/>
        <v>(Shadow) Skill Damage +40%</v>
      </c>
      <c r="S245" s="330" t="str">
        <f t="shared" si="11"/>
        <v>(Shadow) HP +15%</v>
      </c>
    </row>
    <row r="246" spans="1:19" x14ac:dyDescent="0.2">
      <c r="A246" s="306" t="s">
        <v>3804</v>
      </c>
      <c r="B246" s="261" t="s">
        <v>15238</v>
      </c>
      <c r="C246" s="261" t="s">
        <v>3805</v>
      </c>
      <c r="D246" s="261" t="s">
        <v>3806</v>
      </c>
      <c r="E246" s="261" t="str">
        <f t="shared" si="9"/>
        <v>Liberated Assassin</v>
      </c>
      <c r="F246" s="261" t="s">
        <v>3807</v>
      </c>
      <c r="G246" s="261">
        <v>5</v>
      </c>
      <c r="H246" s="261" t="s">
        <v>121</v>
      </c>
      <c r="I246" s="261" t="s">
        <v>3779</v>
      </c>
      <c r="J246" s="261" t="s">
        <v>123</v>
      </c>
      <c r="K246" s="261" t="s">
        <v>3816</v>
      </c>
      <c r="L246" s="261" t="s">
        <v>3786</v>
      </c>
      <c r="M246" s="261" t="s">
        <v>3815</v>
      </c>
      <c r="N246" s="261" t="s">
        <v>126</v>
      </c>
      <c r="O246" s="261" t="s">
        <v>128</v>
      </c>
      <c r="P246" s="261" t="s">
        <v>2620</v>
      </c>
      <c r="Q246" s="261" t="s">
        <v>6893</v>
      </c>
      <c r="R246" s="261" t="str">
        <f t="shared" si="10"/>
        <v>(Shadow) 15 Hits = Overdamage</v>
      </c>
      <c r="S246" s="330" t="str">
        <f t="shared" si="11"/>
        <v>(Shadow) Skill Damage +40%</v>
      </c>
    </row>
    <row r="247" spans="1:19" x14ac:dyDescent="0.2">
      <c r="A247" s="306" t="s">
        <v>3818</v>
      </c>
      <c r="B247" s="261" t="s">
        <v>15239</v>
      </c>
      <c r="C247" s="261" t="s">
        <v>3819</v>
      </c>
      <c r="D247" s="261" t="s">
        <v>3820</v>
      </c>
      <c r="E247" s="261" t="str">
        <f t="shared" si="9"/>
        <v>Wandering Festival Planner</v>
      </c>
      <c r="F247" s="261" t="s">
        <v>3821</v>
      </c>
      <c r="G247" s="261">
        <v>5</v>
      </c>
      <c r="H247" s="261" t="s">
        <v>121</v>
      </c>
      <c r="I247" s="261" t="s">
        <v>3779</v>
      </c>
      <c r="J247" s="261" t="s">
        <v>123</v>
      </c>
      <c r="K247" s="261" t="s">
        <v>3829</v>
      </c>
      <c r="L247" s="261" t="s">
        <v>2604</v>
      </c>
      <c r="M247" s="261" t="s">
        <v>3828</v>
      </c>
      <c r="N247" s="261" t="s">
        <v>126</v>
      </c>
      <c r="O247" s="261" t="s">
        <v>128</v>
      </c>
      <c r="P247" s="261" t="s">
        <v>417</v>
      </c>
      <c r="Q247" s="261" t="s">
        <v>909</v>
      </c>
      <c r="R247" s="261" t="str">
        <f t="shared" si="10"/>
        <v>(Shadow) Overdrive Punisher +15%</v>
      </c>
      <c r="S247" s="330" t="str">
        <f t="shared" si="11"/>
        <v>(Shadow) Broken Punisher +30%</v>
      </c>
    </row>
    <row r="248" spans="1:19" x14ac:dyDescent="0.2">
      <c r="A248" s="306" t="s">
        <v>3833</v>
      </c>
      <c r="B248" s="261" t="s">
        <v>15240</v>
      </c>
      <c r="C248" s="261" t="s">
        <v>3834</v>
      </c>
      <c r="D248" s="261" t="s">
        <v>3835</v>
      </c>
      <c r="E248" s="261" t="str">
        <f t="shared" si="9"/>
        <v>Atoning King</v>
      </c>
      <c r="F248" s="261" t="s">
        <v>3836</v>
      </c>
      <c r="G248" s="261">
        <v>4</v>
      </c>
      <c r="H248" s="261" t="s">
        <v>121</v>
      </c>
      <c r="I248" s="261" t="s">
        <v>3779</v>
      </c>
      <c r="J248" s="261" t="s">
        <v>123</v>
      </c>
      <c r="K248" s="261" t="s">
        <v>2505</v>
      </c>
      <c r="L248" s="261" t="s">
        <v>2604</v>
      </c>
      <c r="M248" s="261" t="s">
        <v>3844</v>
      </c>
      <c r="N248" s="261" t="s">
        <v>126</v>
      </c>
      <c r="O248" s="261" t="s">
        <v>280</v>
      </c>
      <c r="P248" s="261" t="s">
        <v>6911</v>
      </c>
      <c r="Q248" s="261" t="s">
        <v>682</v>
      </c>
      <c r="R248" s="261" t="str">
        <f t="shared" si="10"/>
        <v>(Shadow) Strength +20%</v>
      </c>
      <c r="S248" s="330" t="str">
        <f t="shared" si="11"/>
        <v>(Shadow) HP +15%</v>
      </c>
    </row>
    <row r="249" spans="1:19" x14ac:dyDescent="0.2">
      <c r="A249" s="306" t="s">
        <v>3846</v>
      </c>
      <c r="B249" s="261" t="s">
        <v>15241</v>
      </c>
      <c r="C249" s="261" t="s">
        <v>3847</v>
      </c>
      <c r="D249" s="261" t="s">
        <v>3848</v>
      </c>
      <c r="E249" s="261" t="str">
        <f t="shared" si="9"/>
        <v>Frenzied Warrior</v>
      </c>
      <c r="F249" s="261" t="s">
        <v>3849</v>
      </c>
      <c r="G249" s="261">
        <v>4</v>
      </c>
      <c r="H249" s="261" t="s">
        <v>241</v>
      </c>
      <c r="I249" s="261" t="s">
        <v>3779</v>
      </c>
      <c r="J249" s="261" t="s">
        <v>123</v>
      </c>
      <c r="K249" s="261" t="s">
        <v>910</v>
      </c>
      <c r="L249" s="261" t="s">
        <v>1483</v>
      </c>
      <c r="M249" s="261" t="s">
        <v>6911</v>
      </c>
      <c r="N249" s="261" t="s">
        <v>126</v>
      </c>
      <c r="O249" s="261" t="s">
        <v>128</v>
      </c>
      <c r="P249" s="261" t="s">
        <v>316</v>
      </c>
      <c r="Q249" s="261" t="s">
        <v>682</v>
      </c>
      <c r="R249" s="261" t="str">
        <f t="shared" si="10"/>
        <v>(Shadow) Skill Haste +10%</v>
      </c>
      <c r="S249" s="330" t="str">
        <f t="shared" si="11"/>
        <v>(Shadow) HP +15%</v>
      </c>
    </row>
    <row r="250" spans="1:19" x14ac:dyDescent="0.2">
      <c r="A250" s="306" t="s">
        <v>3860</v>
      </c>
      <c r="B250" s="261" t="s">
        <v>15242</v>
      </c>
      <c r="C250" s="261" t="s">
        <v>3861</v>
      </c>
      <c r="D250" s="261" t="s">
        <v>3862</v>
      </c>
      <c r="E250" s="261" t="str">
        <f t="shared" si="9"/>
        <v>Sincere Giver</v>
      </c>
      <c r="F250" s="261" t="s">
        <v>3863</v>
      </c>
      <c r="G250" s="261">
        <v>3</v>
      </c>
      <c r="H250" s="261" t="s">
        <v>121</v>
      </c>
      <c r="I250" s="261" t="s">
        <v>3779</v>
      </c>
      <c r="J250" s="261" t="s">
        <v>123</v>
      </c>
      <c r="K250" s="261" t="s">
        <v>6911</v>
      </c>
      <c r="L250" s="261" t="s">
        <v>2604</v>
      </c>
      <c r="M250" s="261" t="s">
        <v>2004</v>
      </c>
      <c r="N250" s="261" t="s">
        <v>126</v>
      </c>
      <c r="O250" s="261" t="s">
        <v>128</v>
      </c>
      <c r="P250" s="261" t="s">
        <v>316</v>
      </c>
      <c r="Q250" s="261" t="s">
        <v>7129</v>
      </c>
      <c r="R250" s="261" t="str">
        <f t="shared" si="10"/>
        <v>(Shadow) Skill Haste +10%</v>
      </c>
      <c r="S250" s="330" t="str">
        <f t="shared" si="11"/>
        <v>(Shadow) Combo Time +2</v>
      </c>
    </row>
    <row r="251" spans="1:19" x14ac:dyDescent="0.2">
      <c r="A251" s="306" t="s">
        <v>3874</v>
      </c>
      <c r="B251" s="261" t="s">
        <v>15243</v>
      </c>
      <c r="C251" s="261" t="s">
        <v>3875</v>
      </c>
      <c r="D251" s="261" t="s">
        <v>3876</v>
      </c>
      <c r="E251" s="261" t="str">
        <f t="shared" si="9"/>
        <v>Auspex of Genesis</v>
      </c>
      <c r="F251" s="261" t="s">
        <v>3877</v>
      </c>
      <c r="G251" s="261">
        <v>5</v>
      </c>
      <c r="H251" s="261" t="s">
        <v>121</v>
      </c>
      <c r="I251" s="261" t="s">
        <v>3779</v>
      </c>
      <c r="J251" s="261" t="s">
        <v>330</v>
      </c>
      <c r="K251" s="261" t="s">
        <v>3886</v>
      </c>
      <c r="L251" s="261" t="s">
        <v>3786</v>
      </c>
      <c r="M251" s="261" t="s">
        <v>3885</v>
      </c>
      <c r="N251" s="261" t="s">
        <v>333</v>
      </c>
      <c r="O251" s="261" t="s">
        <v>3883</v>
      </c>
      <c r="P251" s="261" t="s">
        <v>2620</v>
      </c>
      <c r="Q251" s="261" t="s">
        <v>417</v>
      </c>
      <c r="R251" s="261" t="str">
        <f t="shared" si="10"/>
        <v>(Shadow) 15 Hits = Overdamage</v>
      </c>
      <c r="S251" s="330" t="str">
        <f t="shared" si="11"/>
        <v>(Shadow) Overdrive Punisher +15%</v>
      </c>
    </row>
    <row r="252" spans="1:19" x14ac:dyDescent="0.2">
      <c r="A252" s="306" t="s">
        <v>3890</v>
      </c>
      <c r="B252" s="261" t="s">
        <v>15244</v>
      </c>
      <c r="C252" s="261" t="s">
        <v>3891</v>
      </c>
      <c r="D252" s="261" t="s">
        <v>3892</v>
      </c>
      <c r="E252" s="261" t="str">
        <f t="shared" si="9"/>
        <v>Taciturn Warrior</v>
      </c>
      <c r="F252" s="261" t="s">
        <v>3893</v>
      </c>
      <c r="G252" s="261">
        <v>5</v>
      </c>
      <c r="H252" s="261" t="s">
        <v>121</v>
      </c>
      <c r="I252" s="261" t="s">
        <v>3779</v>
      </c>
      <c r="J252" s="261" t="s">
        <v>330</v>
      </c>
      <c r="K252" s="261" t="s">
        <v>3900</v>
      </c>
      <c r="L252" s="261" t="s">
        <v>1483</v>
      </c>
      <c r="M252" s="261" t="s">
        <v>337</v>
      </c>
      <c r="N252" s="261" t="s">
        <v>333</v>
      </c>
      <c r="O252" s="261" t="s">
        <v>3883</v>
      </c>
      <c r="P252" s="261" t="s">
        <v>6911</v>
      </c>
      <c r="Q252" s="261" t="s">
        <v>336</v>
      </c>
      <c r="R252" s="261" t="str">
        <f t="shared" si="10"/>
        <v>(Shadow) Strength +20%</v>
      </c>
      <c r="S252" s="330" t="str">
        <f t="shared" si="11"/>
        <v>(Shadow) Force Strike +50%</v>
      </c>
    </row>
    <row r="253" spans="1:19" x14ac:dyDescent="0.2">
      <c r="A253" s="306" t="s">
        <v>3904</v>
      </c>
      <c r="B253" s="261" t="s">
        <v>15245</v>
      </c>
      <c r="C253" s="261" t="s">
        <v>3905</v>
      </c>
      <c r="D253" s="261" t="s">
        <v>3906</v>
      </c>
      <c r="E253" s="261" t="str">
        <f t="shared" si="9"/>
        <v>Devoted Festival Protégé</v>
      </c>
      <c r="F253" s="261" t="s">
        <v>3907</v>
      </c>
      <c r="G253" s="261">
        <v>5</v>
      </c>
      <c r="H253" s="261" t="s">
        <v>121</v>
      </c>
      <c r="I253" s="261" t="s">
        <v>3779</v>
      </c>
      <c r="J253" s="261" t="s">
        <v>330</v>
      </c>
      <c r="K253" s="261" t="s">
        <v>686</v>
      </c>
      <c r="L253" s="261" t="s">
        <v>2604</v>
      </c>
      <c r="M253" s="261" t="s">
        <v>6911</v>
      </c>
      <c r="N253" s="261" t="s">
        <v>333</v>
      </c>
      <c r="O253" s="261" t="s">
        <v>3883</v>
      </c>
      <c r="P253" s="261" t="s">
        <v>6911</v>
      </c>
      <c r="Q253" s="261" t="s">
        <v>909</v>
      </c>
      <c r="R253" s="261" t="str">
        <f t="shared" si="10"/>
        <v>(Shadow) Strength +20%</v>
      </c>
      <c r="S253" s="330" t="str">
        <f t="shared" si="11"/>
        <v>(Shadow) Broken Punisher +30%</v>
      </c>
    </row>
    <row r="254" spans="1:19" x14ac:dyDescent="0.2">
      <c r="A254" s="306" t="s">
        <v>3918</v>
      </c>
      <c r="B254" s="261" t="s">
        <v>15246</v>
      </c>
      <c r="C254" s="261" t="s">
        <v>3919</v>
      </c>
      <c r="D254" s="261" t="s">
        <v>3920</v>
      </c>
      <c r="E254" s="261" t="str">
        <f t="shared" si="9"/>
        <v>Leader of the Boar Clan</v>
      </c>
      <c r="F254" s="261" t="s">
        <v>3921</v>
      </c>
      <c r="G254" s="261">
        <v>5</v>
      </c>
      <c r="H254" s="261" t="s">
        <v>121</v>
      </c>
      <c r="I254" s="261" t="s">
        <v>3779</v>
      </c>
      <c r="J254" s="261" t="s">
        <v>330</v>
      </c>
      <c r="K254" s="261" t="s">
        <v>249</v>
      </c>
      <c r="L254" s="261" t="s">
        <v>2604</v>
      </c>
      <c r="M254" s="261" t="s">
        <v>581</v>
      </c>
      <c r="N254" s="261" t="s">
        <v>333</v>
      </c>
      <c r="O254" s="261" t="s">
        <v>280</v>
      </c>
      <c r="P254" s="261" t="s">
        <v>2620</v>
      </c>
      <c r="Q254" s="261" t="s">
        <v>14997</v>
      </c>
      <c r="R254" s="261" t="str">
        <f t="shared" si="10"/>
        <v>(Shadow) 15 Hits = Overdamage</v>
      </c>
      <c r="S254" s="330" t="str">
        <f t="shared" si="11"/>
        <v>(Shadow) Critical Damage +25%</v>
      </c>
    </row>
    <row r="255" spans="1:19" x14ac:dyDescent="0.2">
      <c r="A255" s="306" t="s">
        <v>3932</v>
      </c>
      <c r="B255" s="261" t="s">
        <v>15247</v>
      </c>
      <c r="C255" s="261" t="s">
        <v>3933</v>
      </c>
      <c r="D255" s="261" t="s">
        <v>3934</v>
      </c>
      <c r="E255" s="261" t="str">
        <f t="shared" si="9"/>
        <v>Wyrmbound Warrior</v>
      </c>
      <c r="F255" s="261" t="s">
        <v>3935</v>
      </c>
      <c r="G255" s="261">
        <v>4</v>
      </c>
      <c r="H255" s="261" t="s">
        <v>121</v>
      </c>
      <c r="I255" s="261" t="s">
        <v>3779</v>
      </c>
      <c r="J255" s="261" t="s">
        <v>330</v>
      </c>
      <c r="K255" s="261" t="s">
        <v>3944</v>
      </c>
      <c r="L255" s="261" t="s">
        <v>1483</v>
      </c>
      <c r="M255" s="261" t="s">
        <v>618</v>
      </c>
      <c r="N255" s="261" t="s">
        <v>333</v>
      </c>
      <c r="O255" s="261" t="s">
        <v>3883</v>
      </c>
      <c r="P255" s="261" t="s">
        <v>417</v>
      </c>
      <c r="Q255" s="261" t="s">
        <v>6552</v>
      </c>
      <c r="R255" s="261" t="str">
        <f t="shared" si="10"/>
        <v>(Shadow) Overdrive Punisher +15%</v>
      </c>
      <c r="S255" s="330" t="str">
        <f t="shared" si="11"/>
        <v>(Shadow) Attack Rate +20%</v>
      </c>
    </row>
    <row r="256" spans="1:19" x14ac:dyDescent="0.2">
      <c r="A256" s="306" t="s">
        <v>3949</v>
      </c>
      <c r="B256" s="261" t="s">
        <v>15248</v>
      </c>
      <c r="C256" s="261" t="s">
        <v>3950</v>
      </c>
      <c r="D256" s="261" t="s">
        <v>3951</v>
      </c>
      <c r="E256" s="261" t="str">
        <f t="shared" si="9"/>
        <v>Blood-Covered Mad Dog</v>
      </c>
      <c r="F256" s="261" t="s">
        <v>3952</v>
      </c>
      <c r="G256" s="261">
        <v>4</v>
      </c>
      <c r="H256" s="261" t="s">
        <v>121</v>
      </c>
      <c r="I256" s="261" t="s">
        <v>3779</v>
      </c>
      <c r="J256" s="261" t="s">
        <v>330</v>
      </c>
      <c r="K256" s="261" t="s">
        <v>3960</v>
      </c>
      <c r="L256" s="261" t="s">
        <v>2604</v>
      </c>
      <c r="M256" s="261" t="s">
        <v>581</v>
      </c>
      <c r="N256" s="261" t="s">
        <v>333</v>
      </c>
      <c r="O256" s="261" t="s">
        <v>3883</v>
      </c>
      <c r="P256" s="261" t="s">
        <v>2974</v>
      </c>
      <c r="Q256" s="261" t="s">
        <v>15035</v>
      </c>
      <c r="R256" s="261" t="str">
        <f t="shared" si="10"/>
        <v>(Shadow) Elemental Res +15%</v>
      </c>
      <c r="S256" s="330" t="str">
        <f t="shared" si="11"/>
        <v>(Shadow) HP 70% = Shield +40%</v>
      </c>
    </row>
    <row r="257" spans="1:19" x14ac:dyDescent="0.2">
      <c r="A257" s="306" t="s">
        <v>3963</v>
      </c>
      <c r="B257" s="261" t="s">
        <v>15249</v>
      </c>
      <c r="C257" s="261" t="s">
        <v>3964</v>
      </c>
      <c r="D257" s="261" t="s">
        <v>3965</v>
      </c>
      <c r="E257" s="261" t="str">
        <f t="shared" si="9"/>
        <v>Greenhorn Samurai</v>
      </c>
      <c r="F257" s="261" t="s">
        <v>3966</v>
      </c>
      <c r="G257" s="261">
        <v>3</v>
      </c>
      <c r="H257" s="261" t="s">
        <v>121</v>
      </c>
      <c r="I257" s="261" t="s">
        <v>3779</v>
      </c>
      <c r="J257" s="261" t="s">
        <v>330</v>
      </c>
      <c r="K257" s="261" t="s">
        <v>618</v>
      </c>
      <c r="L257" s="261" t="s">
        <v>2604</v>
      </c>
      <c r="M257" s="261" t="s">
        <v>3973</v>
      </c>
      <c r="N257" s="261" t="s">
        <v>333</v>
      </c>
      <c r="O257" s="261" t="s">
        <v>315</v>
      </c>
      <c r="P257" s="261" t="s">
        <v>14997</v>
      </c>
      <c r="Q257" s="261" t="s">
        <v>618</v>
      </c>
      <c r="R257" s="261" t="str">
        <f t="shared" si="10"/>
        <v>(Shadow) Critical Damage +25%</v>
      </c>
      <c r="S257" s="330" t="str">
        <f t="shared" si="11"/>
        <v>(Shadow) Defense +20%</v>
      </c>
    </row>
    <row r="258" spans="1:19" x14ac:dyDescent="0.2">
      <c r="A258" s="306" t="s">
        <v>3977</v>
      </c>
      <c r="B258" s="261" t="s">
        <v>15250</v>
      </c>
      <c r="C258" s="261" t="s">
        <v>3978</v>
      </c>
      <c r="D258" s="261" t="s">
        <v>3979</v>
      </c>
      <c r="E258" s="261" t="str">
        <f t="shared" ref="E258:E321" si="12">+F258</f>
        <v>Prince of Summer</v>
      </c>
      <c r="F258" s="261" t="s">
        <v>3980</v>
      </c>
      <c r="G258" s="261">
        <v>5</v>
      </c>
      <c r="H258" s="261" t="s">
        <v>121</v>
      </c>
      <c r="I258" s="261" t="s">
        <v>3779</v>
      </c>
      <c r="J258" s="261" t="s">
        <v>429</v>
      </c>
      <c r="K258" s="261" t="s">
        <v>283</v>
      </c>
      <c r="L258" s="261" t="s">
        <v>2604</v>
      </c>
      <c r="M258" s="261" t="s">
        <v>284</v>
      </c>
      <c r="N258" s="261" t="s">
        <v>385</v>
      </c>
      <c r="O258" s="261" t="s">
        <v>280</v>
      </c>
      <c r="P258" s="261" t="s">
        <v>6601</v>
      </c>
      <c r="Q258" s="261" t="s">
        <v>7129</v>
      </c>
      <c r="R258" s="261" t="str">
        <f t="shared" si="10"/>
        <v>(Shadow) Critical Rate +15%</v>
      </c>
      <c r="S258" s="330" t="str">
        <f t="shared" si="11"/>
        <v>(Shadow) Combo Time +2</v>
      </c>
    </row>
    <row r="259" spans="1:19" x14ac:dyDescent="0.2">
      <c r="A259" s="306" t="s">
        <v>3989</v>
      </c>
      <c r="B259" s="261" t="s">
        <v>15251</v>
      </c>
      <c r="C259" s="261" t="s">
        <v>3990</v>
      </c>
      <c r="D259" s="261" t="s">
        <v>3991</v>
      </c>
      <c r="E259" s="261" t="str">
        <f t="shared" si="12"/>
        <v>Rebellion Incarnate</v>
      </c>
      <c r="F259" s="261" t="s">
        <v>3992</v>
      </c>
      <c r="G259" s="261">
        <v>5</v>
      </c>
      <c r="H259" s="261" t="s">
        <v>121</v>
      </c>
      <c r="I259" s="261" t="s">
        <v>3779</v>
      </c>
      <c r="J259" s="261" t="s">
        <v>429</v>
      </c>
      <c r="K259" s="261" t="s">
        <v>4002</v>
      </c>
      <c r="L259" s="261" t="s">
        <v>1483</v>
      </c>
      <c r="M259" s="261" t="s">
        <v>2097</v>
      </c>
      <c r="N259" s="261" t="s">
        <v>3998</v>
      </c>
      <c r="O259" s="261" t="s">
        <v>3883</v>
      </c>
      <c r="P259" s="261" t="s">
        <v>6601</v>
      </c>
      <c r="Q259" s="261" t="s">
        <v>6552</v>
      </c>
      <c r="R259" s="261" t="str">
        <f t="shared" ref="R259:R322" si="13">+"("&amp;I259&amp;") "&amp;P259</f>
        <v>(Shadow) Critical Rate +15%</v>
      </c>
      <c r="S259" s="330" t="str">
        <f t="shared" ref="S259:S322" si="14">+"("&amp;I259&amp;") "&amp;Q259</f>
        <v>(Shadow) Attack Rate +20%</v>
      </c>
    </row>
    <row r="260" spans="1:19" x14ac:dyDescent="0.2">
      <c r="A260" s="306" t="s">
        <v>4005</v>
      </c>
      <c r="B260" s="261" t="s">
        <v>15252</v>
      </c>
      <c r="C260" s="261" t="s">
        <v>4006</v>
      </c>
      <c r="D260" s="261" t="s">
        <v>4007</v>
      </c>
      <c r="E260" s="261" t="str">
        <f t="shared" si="12"/>
        <v>The Wing of Revelation</v>
      </c>
      <c r="F260" s="261" t="s">
        <v>4008</v>
      </c>
      <c r="G260" s="261">
        <v>5</v>
      </c>
      <c r="H260" s="261" t="s">
        <v>260</v>
      </c>
      <c r="I260" s="261" t="s">
        <v>3779</v>
      </c>
      <c r="J260" s="261" t="s">
        <v>429</v>
      </c>
      <c r="K260" s="261" t="s">
        <v>4015</v>
      </c>
      <c r="L260" s="261" t="s">
        <v>1483</v>
      </c>
      <c r="M260" s="261" t="s">
        <v>581</v>
      </c>
      <c r="N260" s="261" t="s">
        <v>385</v>
      </c>
      <c r="O260" s="261" t="s">
        <v>3883</v>
      </c>
      <c r="P260" s="261" t="s">
        <v>2620</v>
      </c>
      <c r="Q260" s="261" t="s">
        <v>6601</v>
      </c>
      <c r="R260" s="261" t="str">
        <f t="shared" si="13"/>
        <v>(Shadow) 15 Hits = Overdamage</v>
      </c>
      <c r="S260" s="330" t="str">
        <f t="shared" si="14"/>
        <v>(Shadow) Critical Rate +15%</v>
      </c>
    </row>
    <row r="261" spans="1:19" x14ac:dyDescent="0.2">
      <c r="A261" s="306" t="s">
        <v>4019</v>
      </c>
      <c r="B261" s="261" t="s">
        <v>15253</v>
      </c>
      <c r="C261" s="261" t="s">
        <v>4020</v>
      </c>
      <c r="D261" s="261" t="s">
        <v>4021</v>
      </c>
      <c r="E261" s="261" t="str">
        <f t="shared" si="12"/>
        <v>Renegade Spitfire</v>
      </c>
      <c r="F261" s="261" t="s">
        <v>4022</v>
      </c>
      <c r="G261" s="261">
        <v>5</v>
      </c>
      <c r="H261" s="261" t="s">
        <v>121</v>
      </c>
      <c r="I261" s="261" t="s">
        <v>3779</v>
      </c>
      <c r="J261" s="261" t="s">
        <v>429</v>
      </c>
      <c r="K261" s="261" t="s">
        <v>4029</v>
      </c>
      <c r="L261" s="261" t="s">
        <v>1483</v>
      </c>
      <c r="M261" s="261" t="s">
        <v>6911</v>
      </c>
      <c r="N261" s="261" t="s">
        <v>385</v>
      </c>
      <c r="O261" s="261" t="s">
        <v>3883</v>
      </c>
      <c r="P261" s="261" t="s">
        <v>6911</v>
      </c>
      <c r="Q261" s="261" t="s">
        <v>316</v>
      </c>
      <c r="R261" s="261" t="str">
        <f t="shared" si="13"/>
        <v>(Shadow) Strength +20%</v>
      </c>
      <c r="S261" s="330" t="str">
        <f t="shared" si="14"/>
        <v>(Shadow) Skill Haste +10%</v>
      </c>
    </row>
    <row r="262" spans="1:19" x14ac:dyDescent="0.2">
      <c r="A262" s="306" t="s">
        <v>4032</v>
      </c>
      <c r="B262" s="261" t="s">
        <v>15254</v>
      </c>
      <c r="C262" s="261" t="s">
        <v>4033</v>
      </c>
      <c r="D262" s="261" t="s">
        <v>4034</v>
      </c>
      <c r="E262" s="261" t="str">
        <f t="shared" si="12"/>
        <v>Tutelary Successor</v>
      </c>
      <c r="F262" s="261" t="s">
        <v>4035</v>
      </c>
      <c r="G262" s="261">
        <v>5</v>
      </c>
      <c r="H262" s="261" t="s">
        <v>260</v>
      </c>
      <c r="I262" s="261" t="s">
        <v>3779</v>
      </c>
      <c r="J262" s="261" t="s">
        <v>429</v>
      </c>
      <c r="K262" s="261" t="s">
        <v>4044</v>
      </c>
      <c r="L262" s="261" t="s">
        <v>2604</v>
      </c>
      <c r="M262" s="261" t="s">
        <v>2004</v>
      </c>
      <c r="N262" s="261" t="s">
        <v>385</v>
      </c>
      <c r="O262" s="261" t="s">
        <v>2587</v>
      </c>
      <c r="P262" s="261" t="s">
        <v>6893</v>
      </c>
      <c r="Q262" s="261" t="s">
        <v>316</v>
      </c>
      <c r="R262" s="261" t="str">
        <f t="shared" si="13"/>
        <v>(Shadow) Skill Damage +40%</v>
      </c>
      <c r="S262" s="330" t="str">
        <f t="shared" si="14"/>
        <v>(Shadow) Skill Haste +10%</v>
      </c>
    </row>
    <row r="263" spans="1:19" x14ac:dyDescent="0.2">
      <c r="A263" s="306" t="s">
        <v>4047</v>
      </c>
      <c r="B263" s="261" t="s">
        <v>15255</v>
      </c>
      <c r="C263" s="261" t="s">
        <v>4048</v>
      </c>
      <c r="D263" s="261" t="s">
        <v>4049</v>
      </c>
      <c r="E263" s="261" t="str">
        <f t="shared" si="12"/>
        <v>Shadow Assassin</v>
      </c>
      <c r="F263" s="261" t="s">
        <v>4050</v>
      </c>
      <c r="G263" s="261">
        <v>4</v>
      </c>
      <c r="H263" s="261" t="s">
        <v>121</v>
      </c>
      <c r="I263" s="261" t="s">
        <v>3779</v>
      </c>
      <c r="J263" s="261" t="s">
        <v>429</v>
      </c>
      <c r="K263" s="261" t="s">
        <v>910</v>
      </c>
      <c r="L263" s="261" t="s">
        <v>1483</v>
      </c>
      <c r="M263" s="261" t="s">
        <v>319</v>
      </c>
      <c r="N263" s="261" t="s">
        <v>385</v>
      </c>
      <c r="O263" s="261" t="s">
        <v>3883</v>
      </c>
      <c r="P263" s="261" t="s">
        <v>6911</v>
      </c>
      <c r="Q263" s="261" t="s">
        <v>6601</v>
      </c>
      <c r="R263" s="261" t="str">
        <f t="shared" si="13"/>
        <v>(Shadow) Strength +20%</v>
      </c>
      <c r="S263" s="330" t="str">
        <f t="shared" si="14"/>
        <v>(Shadow) Critical Rate +15%</v>
      </c>
    </row>
    <row r="264" spans="1:19" x14ac:dyDescent="0.2">
      <c r="A264" s="306" t="s">
        <v>4061</v>
      </c>
      <c r="B264" s="261" t="s">
        <v>15256</v>
      </c>
      <c r="C264" s="261" t="s">
        <v>4062</v>
      </c>
      <c r="D264" s="261" t="s">
        <v>4063</v>
      </c>
      <c r="E264" s="261" t="str">
        <f t="shared" si="12"/>
        <v>Maiden Protector</v>
      </c>
      <c r="F264" s="261" t="s">
        <v>4064</v>
      </c>
      <c r="G264" s="261">
        <v>4</v>
      </c>
      <c r="H264" s="261" t="s">
        <v>260</v>
      </c>
      <c r="I264" s="261" t="s">
        <v>3779</v>
      </c>
      <c r="J264" s="261" t="s">
        <v>429</v>
      </c>
      <c r="K264" s="261" t="s">
        <v>519</v>
      </c>
      <c r="L264" s="261" t="s">
        <v>2604</v>
      </c>
      <c r="M264" s="261" t="s">
        <v>670</v>
      </c>
      <c r="N264" s="261" t="s">
        <v>385</v>
      </c>
      <c r="O264" s="261" t="s">
        <v>3883</v>
      </c>
      <c r="P264" s="261" t="s">
        <v>14997</v>
      </c>
      <c r="Q264" s="261" t="s">
        <v>316</v>
      </c>
      <c r="R264" s="261" t="str">
        <f t="shared" si="13"/>
        <v>(Shadow) Critical Damage +25%</v>
      </c>
      <c r="S264" s="330" t="str">
        <f t="shared" si="14"/>
        <v>(Shadow) Skill Haste +10%</v>
      </c>
    </row>
    <row r="265" spans="1:19" x14ac:dyDescent="0.2">
      <c r="A265" s="306" t="s">
        <v>4074</v>
      </c>
      <c r="B265" s="261" t="s">
        <v>15257</v>
      </c>
      <c r="C265" s="261" t="s">
        <v>4075</v>
      </c>
      <c r="D265" s="261" t="s">
        <v>4076</v>
      </c>
      <c r="E265" s="261" t="str">
        <f t="shared" si="12"/>
        <v>Knife Fanatic</v>
      </c>
      <c r="F265" s="261" t="s">
        <v>4077</v>
      </c>
      <c r="G265" s="261">
        <v>3</v>
      </c>
      <c r="H265" s="261" t="s">
        <v>260</v>
      </c>
      <c r="I265" s="261" t="s">
        <v>3779</v>
      </c>
      <c r="J265" s="261" t="s">
        <v>429</v>
      </c>
      <c r="K265" s="261" t="s">
        <v>337</v>
      </c>
      <c r="L265" s="261" t="s">
        <v>132</v>
      </c>
      <c r="M265" s="261" t="s">
        <v>4083</v>
      </c>
      <c r="N265" s="261" t="s">
        <v>385</v>
      </c>
      <c r="O265" s="261" t="s">
        <v>3883</v>
      </c>
      <c r="P265" s="261" t="s">
        <v>682</v>
      </c>
      <c r="Q265" s="261" t="s">
        <v>15035</v>
      </c>
      <c r="R265" s="261" t="str">
        <f t="shared" si="13"/>
        <v>(Shadow) HP +15%</v>
      </c>
      <c r="S265" s="330" t="str">
        <f t="shared" si="14"/>
        <v>(Shadow) HP 70% = Shield +40%</v>
      </c>
    </row>
    <row r="266" spans="1:19" x14ac:dyDescent="0.2">
      <c r="A266" s="306" t="s">
        <v>4085</v>
      </c>
      <c r="B266" s="261" t="s">
        <v>15258</v>
      </c>
      <c r="C266" s="261" t="s">
        <v>4086</v>
      </c>
      <c r="D266" s="261" t="s">
        <v>4087</v>
      </c>
      <c r="E266" s="261" t="str">
        <f t="shared" si="12"/>
        <v>Eager Assassin</v>
      </c>
      <c r="F266" s="261" t="s">
        <v>4088</v>
      </c>
      <c r="G266" s="261">
        <v>3</v>
      </c>
      <c r="H266" s="261" t="s">
        <v>260</v>
      </c>
      <c r="I266" s="261" t="s">
        <v>3779</v>
      </c>
      <c r="J266" s="261" t="s">
        <v>429</v>
      </c>
      <c r="K266" s="261" t="s">
        <v>485</v>
      </c>
      <c r="L266" s="261" t="s">
        <v>1483</v>
      </c>
      <c r="M266" s="261" t="s">
        <v>2004</v>
      </c>
      <c r="N266" s="261" t="s">
        <v>385</v>
      </c>
      <c r="O266" s="261" t="s">
        <v>3883</v>
      </c>
      <c r="P266" s="261" t="s">
        <v>6893</v>
      </c>
      <c r="Q266" s="261" t="s">
        <v>2974</v>
      </c>
      <c r="R266" s="261" t="str">
        <f t="shared" si="13"/>
        <v>(Shadow) Skill Damage +40%</v>
      </c>
      <c r="S266" s="330" t="str">
        <f t="shared" si="14"/>
        <v>(Shadow) Elemental Res +15%</v>
      </c>
    </row>
    <row r="267" spans="1:19" x14ac:dyDescent="0.2">
      <c r="A267" s="306" t="s">
        <v>4098</v>
      </c>
      <c r="B267" s="261" t="s">
        <v>15259</v>
      </c>
      <c r="C267" s="261" t="s">
        <v>4099</v>
      </c>
      <c r="D267" s="261" t="s">
        <v>4100</v>
      </c>
      <c r="E267" s="261" t="str">
        <f t="shared" si="12"/>
        <v>Festive Commander</v>
      </c>
      <c r="F267" s="261" t="s">
        <v>4101</v>
      </c>
      <c r="G267" s="261">
        <v>5</v>
      </c>
      <c r="H267" s="261" t="s">
        <v>121</v>
      </c>
      <c r="I267" s="261" t="s">
        <v>3779</v>
      </c>
      <c r="J267" s="261" t="s">
        <v>543</v>
      </c>
      <c r="K267" s="261" t="s">
        <v>4110</v>
      </c>
      <c r="L267" s="261" t="s">
        <v>1483</v>
      </c>
      <c r="M267" s="261" t="s">
        <v>4111</v>
      </c>
      <c r="N267" s="261" t="s">
        <v>563</v>
      </c>
      <c r="O267" s="261" t="s">
        <v>128</v>
      </c>
      <c r="P267" s="261" t="s">
        <v>6601</v>
      </c>
      <c r="Q267" s="261" t="s">
        <v>14997</v>
      </c>
      <c r="R267" s="261" t="str">
        <f t="shared" si="13"/>
        <v>(Shadow) Critical Rate +15%</v>
      </c>
      <c r="S267" s="330" t="str">
        <f t="shared" si="14"/>
        <v>(Shadow) Critical Damage +25%</v>
      </c>
    </row>
    <row r="268" spans="1:19" x14ac:dyDescent="0.2">
      <c r="A268" s="306" t="s">
        <v>4115</v>
      </c>
      <c r="B268" s="261" t="s">
        <v>15260</v>
      </c>
      <c r="C268" s="261" t="s">
        <v>4116</v>
      </c>
      <c r="D268" s="261" t="s">
        <v>4117</v>
      </c>
      <c r="E268" s="261" t="str">
        <f t="shared" si="12"/>
        <v>Seaside Sparrow</v>
      </c>
      <c r="F268" s="261" t="s">
        <v>4118</v>
      </c>
      <c r="G268" s="261">
        <v>5</v>
      </c>
      <c r="H268" s="261" t="s">
        <v>121</v>
      </c>
      <c r="I268" s="261" t="s">
        <v>3779</v>
      </c>
      <c r="J268" s="261" t="s">
        <v>543</v>
      </c>
      <c r="K268" s="261" t="s">
        <v>4127</v>
      </c>
      <c r="L268" s="261" t="s">
        <v>2604</v>
      </c>
      <c r="M268" s="261" t="s">
        <v>2004</v>
      </c>
      <c r="N268" s="261" t="s">
        <v>563</v>
      </c>
      <c r="O268" s="261" t="s">
        <v>128</v>
      </c>
      <c r="P268" s="261" t="s">
        <v>14997</v>
      </c>
      <c r="Q268" s="261" t="s">
        <v>2974</v>
      </c>
      <c r="R268" s="261" t="str">
        <f t="shared" si="13"/>
        <v>(Shadow) Critical Damage +25%</v>
      </c>
      <c r="S268" s="330" t="str">
        <f t="shared" si="14"/>
        <v>(Shadow) Elemental Res +15%</v>
      </c>
    </row>
    <row r="269" spans="1:19" x14ac:dyDescent="0.2">
      <c r="A269" s="306" t="s">
        <v>4131</v>
      </c>
      <c r="B269" s="261" t="s">
        <v>15261</v>
      </c>
      <c r="C269" s="261" t="s">
        <v>4132</v>
      </c>
      <c r="D269" s="261" t="s">
        <v>4133</v>
      </c>
      <c r="E269" s="261" t="str">
        <f t="shared" si="12"/>
        <v>Dogged Inquisitor</v>
      </c>
      <c r="F269" s="261" t="s">
        <v>4134</v>
      </c>
      <c r="G269" s="261">
        <v>5</v>
      </c>
      <c r="H269" s="261" t="s">
        <v>121</v>
      </c>
      <c r="I269" s="261" t="s">
        <v>3779</v>
      </c>
      <c r="J269" s="261" t="s">
        <v>543</v>
      </c>
      <c r="K269" s="261" t="s">
        <v>417</v>
      </c>
      <c r="L269" s="261" t="s">
        <v>2604</v>
      </c>
      <c r="M269" s="261" t="s">
        <v>6911</v>
      </c>
      <c r="N269" s="261" t="s">
        <v>563</v>
      </c>
      <c r="O269" s="261" t="s">
        <v>128</v>
      </c>
      <c r="P269" s="261" t="s">
        <v>14997</v>
      </c>
      <c r="Q269" s="261" t="s">
        <v>417</v>
      </c>
      <c r="R269" s="261" t="str">
        <f t="shared" si="13"/>
        <v>(Shadow) Critical Damage +25%</v>
      </c>
      <c r="S269" s="330" t="str">
        <f t="shared" si="14"/>
        <v>(Shadow) Overdrive Punisher +15%</v>
      </c>
    </row>
    <row r="270" spans="1:19" x14ac:dyDescent="0.2">
      <c r="A270" s="306" t="s">
        <v>4143</v>
      </c>
      <c r="B270" s="261" t="s">
        <v>15262</v>
      </c>
      <c r="C270" s="261" t="s">
        <v>4144</v>
      </c>
      <c r="D270" s="261" t="s">
        <v>4145</v>
      </c>
      <c r="E270" s="261" t="str">
        <f t="shared" si="12"/>
        <v>Cultured Flower</v>
      </c>
      <c r="F270" s="261" t="s">
        <v>4146</v>
      </c>
      <c r="G270" s="261">
        <v>4</v>
      </c>
      <c r="H270" s="261" t="s">
        <v>241</v>
      </c>
      <c r="I270" s="261" t="s">
        <v>3779</v>
      </c>
      <c r="J270" s="261" t="s">
        <v>543</v>
      </c>
      <c r="K270" s="261" t="s">
        <v>4154</v>
      </c>
      <c r="L270" s="261" t="s">
        <v>2604</v>
      </c>
      <c r="M270" s="261" t="s">
        <v>15263</v>
      </c>
      <c r="N270" s="261" t="s">
        <v>563</v>
      </c>
      <c r="O270" s="261" t="s">
        <v>315</v>
      </c>
      <c r="P270" s="261" t="s">
        <v>6601</v>
      </c>
      <c r="Q270" s="261" t="s">
        <v>316</v>
      </c>
      <c r="R270" s="261" t="str">
        <f t="shared" si="13"/>
        <v>(Shadow) Critical Rate +15%</v>
      </c>
      <c r="S270" s="330" t="str">
        <f t="shared" si="14"/>
        <v>(Shadow) Skill Haste +10%</v>
      </c>
    </row>
    <row r="271" spans="1:19" x14ac:dyDescent="0.2">
      <c r="A271" s="306" t="s">
        <v>4158</v>
      </c>
      <c r="B271" s="261" t="s">
        <v>15264</v>
      </c>
      <c r="C271" s="261" t="s">
        <v>4159</v>
      </c>
      <c r="D271" s="261" t="s">
        <v>4160</v>
      </c>
      <c r="E271" s="261" t="str">
        <f t="shared" si="12"/>
        <v>Feral Noble</v>
      </c>
      <c r="F271" s="261" t="s">
        <v>4161</v>
      </c>
      <c r="G271" s="261">
        <v>3</v>
      </c>
      <c r="H271" s="261" t="s">
        <v>121</v>
      </c>
      <c r="I271" s="261" t="s">
        <v>3779</v>
      </c>
      <c r="J271" s="261" t="s">
        <v>543</v>
      </c>
      <c r="K271" s="261" t="s">
        <v>4168</v>
      </c>
      <c r="L271" s="261" t="s">
        <v>1483</v>
      </c>
      <c r="M271" s="261" t="s">
        <v>1231</v>
      </c>
      <c r="N271" s="261" t="s">
        <v>563</v>
      </c>
      <c r="O271" s="261" t="s">
        <v>128</v>
      </c>
      <c r="P271" s="261" t="s">
        <v>14997</v>
      </c>
      <c r="Q271" s="261" t="s">
        <v>336</v>
      </c>
      <c r="R271" s="261" t="str">
        <f t="shared" si="13"/>
        <v>(Shadow) Critical Damage +25%</v>
      </c>
      <c r="S271" s="330" t="str">
        <f t="shared" si="14"/>
        <v>(Shadow) Force Strike +50%</v>
      </c>
    </row>
    <row r="272" spans="1:19" x14ac:dyDescent="0.2">
      <c r="A272" s="306" t="s">
        <v>4170</v>
      </c>
      <c r="B272" s="261" t="s">
        <v>15265</v>
      </c>
      <c r="C272" s="261" t="s">
        <v>4171</v>
      </c>
      <c r="D272" s="261" t="s">
        <v>4172</v>
      </c>
      <c r="E272" s="261" t="str">
        <f t="shared" si="12"/>
        <v>Leader of the Monkey Clan</v>
      </c>
      <c r="F272" s="261" t="s">
        <v>4173</v>
      </c>
      <c r="G272" s="261">
        <v>5</v>
      </c>
      <c r="H272" s="261" t="s">
        <v>121</v>
      </c>
      <c r="I272" s="261" t="s">
        <v>3779</v>
      </c>
      <c r="J272" s="261" t="s">
        <v>645</v>
      </c>
      <c r="K272" s="261" t="s">
        <v>4181</v>
      </c>
      <c r="L272" s="261" t="s">
        <v>2604</v>
      </c>
      <c r="M272" s="261" t="s">
        <v>229</v>
      </c>
      <c r="N272" s="261" t="s">
        <v>682</v>
      </c>
      <c r="O272" s="261" t="s">
        <v>353</v>
      </c>
      <c r="P272" s="261" t="s">
        <v>2620</v>
      </c>
      <c r="Q272" s="261" t="s">
        <v>7129</v>
      </c>
      <c r="R272" s="261" t="str">
        <f t="shared" si="13"/>
        <v>(Shadow) 15 Hits = Overdamage</v>
      </c>
      <c r="S272" s="330" t="str">
        <f t="shared" si="14"/>
        <v>(Shadow) Combo Time +2</v>
      </c>
    </row>
    <row r="273" spans="1:19" x14ac:dyDescent="0.2">
      <c r="A273" s="306" t="s">
        <v>4184</v>
      </c>
      <c r="B273" s="261" t="s">
        <v>15266</v>
      </c>
      <c r="C273" s="261" t="s">
        <v>4185</v>
      </c>
      <c r="D273" s="261" t="s">
        <v>4186</v>
      </c>
      <c r="E273" s="261" t="str">
        <f t="shared" si="12"/>
        <v>Lord of the Summer Sun</v>
      </c>
      <c r="F273" s="261" t="s">
        <v>4187</v>
      </c>
      <c r="G273" s="261">
        <v>5</v>
      </c>
      <c r="H273" s="261" t="s">
        <v>121</v>
      </c>
      <c r="I273" s="261" t="s">
        <v>3779</v>
      </c>
      <c r="J273" s="261" t="s">
        <v>645</v>
      </c>
      <c r="K273" s="261" t="s">
        <v>4194</v>
      </c>
      <c r="L273" s="261" t="s">
        <v>1483</v>
      </c>
      <c r="M273" s="261" t="s">
        <v>4196</v>
      </c>
      <c r="N273" s="261" t="s">
        <v>682</v>
      </c>
      <c r="O273" s="261" t="s">
        <v>128</v>
      </c>
      <c r="P273" s="261" t="s">
        <v>417</v>
      </c>
      <c r="Q273" s="261" t="s">
        <v>2974</v>
      </c>
      <c r="R273" s="261" t="str">
        <f t="shared" si="13"/>
        <v>(Shadow) Overdrive Punisher +15%</v>
      </c>
      <c r="S273" s="330" t="str">
        <f t="shared" si="14"/>
        <v>(Shadow) Elemental Res +15%</v>
      </c>
    </row>
    <row r="274" spans="1:19" x14ac:dyDescent="0.2">
      <c r="A274" s="306" t="s">
        <v>4200</v>
      </c>
      <c r="B274" s="261" t="s">
        <v>15267</v>
      </c>
      <c r="C274" s="261" t="s">
        <v>4201</v>
      </c>
      <c r="D274" s="261" t="s">
        <v>4202</v>
      </c>
      <c r="E274" s="261" t="str">
        <f t="shared" si="12"/>
        <v>Chaos Child</v>
      </c>
      <c r="F274" s="261" t="s">
        <v>4203</v>
      </c>
      <c r="G274" s="261">
        <v>5</v>
      </c>
      <c r="H274" s="261" t="s">
        <v>121</v>
      </c>
      <c r="I274" s="261" t="s">
        <v>3779</v>
      </c>
      <c r="J274" s="261" t="s">
        <v>645</v>
      </c>
      <c r="K274" s="261" t="s">
        <v>4209</v>
      </c>
      <c r="L274" s="261" t="s">
        <v>2604</v>
      </c>
      <c r="M274" s="261" t="s">
        <v>703</v>
      </c>
      <c r="N274" s="261" t="s">
        <v>682</v>
      </c>
      <c r="O274" s="261" t="s">
        <v>280</v>
      </c>
      <c r="P274" s="261" t="s">
        <v>6911</v>
      </c>
      <c r="Q274" s="261" t="s">
        <v>14997</v>
      </c>
      <c r="R274" s="261" t="str">
        <f t="shared" si="13"/>
        <v>(Shadow) Strength +20%</v>
      </c>
      <c r="S274" s="330" t="str">
        <f t="shared" si="14"/>
        <v>(Shadow) Critical Damage +25%</v>
      </c>
    </row>
    <row r="275" spans="1:19" x14ac:dyDescent="0.2">
      <c r="A275" s="306" t="s">
        <v>4213</v>
      </c>
      <c r="B275" s="261" t="s">
        <v>15268</v>
      </c>
      <c r="C275" s="261" t="s">
        <v>4214</v>
      </c>
      <c r="D275" s="261" t="s">
        <v>4215</v>
      </c>
      <c r="E275" s="261" t="str">
        <f t="shared" si="12"/>
        <v>Lord of the Skies</v>
      </c>
      <c r="F275" s="261" t="s">
        <v>4216</v>
      </c>
      <c r="G275" s="261">
        <v>5</v>
      </c>
      <c r="H275" s="261" t="s">
        <v>121</v>
      </c>
      <c r="I275" s="261" t="s">
        <v>3779</v>
      </c>
      <c r="J275" s="261" t="s">
        <v>645</v>
      </c>
      <c r="K275" s="261" t="s">
        <v>4224</v>
      </c>
      <c r="L275" s="261" t="s">
        <v>2604</v>
      </c>
      <c r="M275" s="261" t="s">
        <v>2126</v>
      </c>
      <c r="N275" s="261" t="s">
        <v>682</v>
      </c>
      <c r="O275" s="261" t="s">
        <v>6634</v>
      </c>
      <c r="P275" s="261" t="s">
        <v>6893</v>
      </c>
      <c r="Q275" s="261" t="s">
        <v>6601</v>
      </c>
      <c r="R275" s="261" t="str">
        <f t="shared" si="13"/>
        <v>(Shadow) Skill Damage +40%</v>
      </c>
      <c r="S275" s="330" t="str">
        <f t="shared" si="14"/>
        <v>(Shadow) Critical Rate +15%</v>
      </c>
    </row>
    <row r="276" spans="1:19" x14ac:dyDescent="0.2">
      <c r="A276" s="306" t="s">
        <v>4228</v>
      </c>
      <c r="B276" s="261" t="s">
        <v>15269</v>
      </c>
      <c r="C276" s="261" t="s">
        <v>4229</v>
      </c>
      <c r="D276" s="261" t="s">
        <v>4230</v>
      </c>
      <c r="E276" s="261" t="str">
        <f t="shared" si="12"/>
        <v>Spirited Sparrow</v>
      </c>
      <c r="F276" s="261" t="s">
        <v>4231</v>
      </c>
      <c r="G276" s="261">
        <v>4</v>
      </c>
      <c r="H276" s="261" t="s">
        <v>241</v>
      </c>
      <c r="I276" s="261" t="s">
        <v>3779</v>
      </c>
      <c r="J276" s="261" t="s">
        <v>645</v>
      </c>
      <c r="K276" s="261" t="s">
        <v>4238</v>
      </c>
      <c r="L276" s="261" t="s">
        <v>2604</v>
      </c>
      <c r="M276" s="261" t="s">
        <v>502</v>
      </c>
      <c r="N276" s="261" t="s">
        <v>682</v>
      </c>
      <c r="O276" s="261" t="s">
        <v>128</v>
      </c>
      <c r="P276" s="261" t="s">
        <v>618</v>
      </c>
      <c r="Q276" s="261" t="s">
        <v>2974</v>
      </c>
      <c r="R276" s="261" t="str">
        <f t="shared" si="13"/>
        <v>(Shadow) Defense +20%</v>
      </c>
      <c r="S276" s="330" t="str">
        <f t="shared" si="14"/>
        <v>(Shadow) Elemental Res +15%</v>
      </c>
    </row>
    <row r="277" spans="1:19" x14ac:dyDescent="0.2">
      <c r="A277" s="306" t="s">
        <v>4243</v>
      </c>
      <c r="B277" s="261" t="s">
        <v>15270</v>
      </c>
      <c r="C277" s="261" t="s">
        <v>4244</v>
      </c>
      <c r="D277" s="261" t="s">
        <v>4245</v>
      </c>
      <c r="E277" s="261" t="str">
        <f t="shared" si="12"/>
        <v>Naginata Cutie</v>
      </c>
      <c r="F277" s="261" t="s">
        <v>4246</v>
      </c>
      <c r="G277" s="261">
        <v>4</v>
      </c>
      <c r="H277" s="261" t="s">
        <v>241</v>
      </c>
      <c r="I277" s="261" t="s">
        <v>3779</v>
      </c>
      <c r="J277" s="261" t="s">
        <v>645</v>
      </c>
      <c r="K277" s="261" t="s">
        <v>8370</v>
      </c>
      <c r="L277" s="261" t="s">
        <v>2604</v>
      </c>
      <c r="M277" s="261" t="s">
        <v>670</v>
      </c>
      <c r="N277" s="261" t="s">
        <v>682</v>
      </c>
      <c r="O277" s="261" t="s">
        <v>2140</v>
      </c>
      <c r="P277" s="261" t="s">
        <v>316</v>
      </c>
      <c r="Q277" s="261" t="s">
        <v>618</v>
      </c>
      <c r="R277" s="261" t="str">
        <f t="shared" si="13"/>
        <v>(Shadow) Skill Haste +10%</v>
      </c>
      <c r="S277" s="330" t="str">
        <f t="shared" si="14"/>
        <v>(Shadow) Defense +20%</v>
      </c>
    </row>
    <row r="278" spans="1:19" x14ac:dyDescent="0.2">
      <c r="A278" s="306" t="s">
        <v>4256</v>
      </c>
      <c r="B278" s="261" t="s">
        <v>15271</v>
      </c>
      <c r="C278" s="261" t="s">
        <v>4257</v>
      </c>
      <c r="D278" s="261" t="s">
        <v>4258</v>
      </c>
      <c r="E278" s="261" t="str">
        <f t="shared" si="12"/>
        <v>Bone Collector</v>
      </c>
      <c r="F278" s="261" t="s">
        <v>4259</v>
      </c>
      <c r="G278" s="261">
        <v>3</v>
      </c>
      <c r="H278" s="261" t="s">
        <v>121</v>
      </c>
      <c r="I278" s="261" t="s">
        <v>3779</v>
      </c>
      <c r="J278" s="261" t="s">
        <v>645</v>
      </c>
      <c r="K278" s="261" t="s">
        <v>910</v>
      </c>
      <c r="L278" s="261" t="s">
        <v>2604</v>
      </c>
      <c r="M278" s="261" t="s">
        <v>4196</v>
      </c>
      <c r="N278" s="261" t="s">
        <v>682</v>
      </c>
      <c r="O278" s="261" t="s">
        <v>128</v>
      </c>
      <c r="P278" s="261" t="s">
        <v>417</v>
      </c>
      <c r="Q278" s="261" t="s">
        <v>682</v>
      </c>
      <c r="R278" s="261" t="str">
        <f t="shared" si="13"/>
        <v>(Shadow) Overdrive Punisher +15%</v>
      </c>
      <c r="S278" s="330" t="str">
        <f t="shared" si="14"/>
        <v>(Shadow) HP +15%</v>
      </c>
    </row>
    <row r="279" spans="1:19" x14ac:dyDescent="0.2">
      <c r="A279" s="306" t="s">
        <v>4267</v>
      </c>
      <c r="B279" s="261" t="s">
        <v>15272</v>
      </c>
      <c r="C279" s="261" t="s">
        <v>4268</v>
      </c>
      <c r="D279" s="261" t="s">
        <v>4269</v>
      </c>
      <c r="E279" s="261" t="str">
        <f t="shared" si="12"/>
        <v>Enchanting Aromatherapist</v>
      </c>
      <c r="F279" s="261" t="s">
        <v>4270</v>
      </c>
      <c r="G279" s="261">
        <v>5</v>
      </c>
      <c r="H279" s="261" t="s">
        <v>260</v>
      </c>
      <c r="I279" s="261" t="s">
        <v>3779</v>
      </c>
      <c r="J279" s="261" t="s">
        <v>759</v>
      </c>
      <c r="K279" s="261" t="s">
        <v>4279</v>
      </c>
      <c r="L279" s="261" t="s">
        <v>1483</v>
      </c>
      <c r="M279" s="261" t="s">
        <v>4280</v>
      </c>
      <c r="N279" s="261" t="s">
        <v>762</v>
      </c>
      <c r="O279" s="261" t="s">
        <v>190</v>
      </c>
      <c r="P279" s="261" t="s">
        <v>14997</v>
      </c>
      <c r="Q279" s="261" t="s">
        <v>682</v>
      </c>
      <c r="R279" s="261" t="str">
        <f t="shared" si="13"/>
        <v>(Shadow) Critical Damage +25%</v>
      </c>
      <c r="S279" s="330" t="str">
        <f t="shared" si="14"/>
        <v>(Shadow) HP +15%</v>
      </c>
    </row>
    <row r="280" spans="1:19" x14ac:dyDescent="0.2">
      <c r="A280" s="306" t="s">
        <v>4285</v>
      </c>
      <c r="B280" s="261" t="s">
        <v>15273</v>
      </c>
      <c r="C280" s="261" t="s">
        <v>4286</v>
      </c>
      <c r="D280" s="261" t="s">
        <v>4287</v>
      </c>
      <c r="E280" s="261" t="str">
        <f t="shared" si="12"/>
        <v>Pirate Opera Prima Donna</v>
      </c>
      <c r="F280" s="261" t="s">
        <v>4288</v>
      </c>
      <c r="G280" s="261">
        <v>5</v>
      </c>
      <c r="H280" s="261" t="s">
        <v>260</v>
      </c>
      <c r="I280" s="261" t="s">
        <v>3779</v>
      </c>
      <c r="J280" s="261" t="s">
        <v>759</v>
      </c>
      <c r="K280" s="261" t="s">
        <v>4296</v>
      </c>
      <c r="L280" s="261" t="s">
        <v>2604</v>
      </c>
      <c r="M280" s="261" t="s">
        <v>581</v>
      </c>
      <c r="N280" s="261" t="s">
        <v>762</v>
      </c>
      <c r="O280" s="261" t="s">
        <v>3883</v>
      </c>
      <c r="P280" s="261" t="s">
        <v>6601</v>
      </c>
      <c r="Q280" s="261" t="s">
        <v>682</v>
      </c>
      <c r="R280" s="261" t="str">
        <f t="shared" si="13"/>
        <v>(Shadow) Critical Rate +15%</v>
      </c>
      <c r="S280" s="330" t="str">
        <f t="shared" si="14"/>
        <v>(Shadow) HP +15%</v>
      </c>
    </row>
    <row r="281" spans="1:19" x14ac:dyDescent="0.2">
      <c r="A281" s="306" t="s">
        <v>4300</v>
      </c>
      <c r="B281" s="261" t="s">
        <v>15274</v>
      </c>
      <c r="C281" s="261" t="s">
        <v>4301</v>
      </c>
      <c r="D281" s="261" t="s">
        <v>4302</v>
      </c>
      <c r="E281" s="261" t="str">
        <f t="shared" si="12"/>
        <v>Unrelenting Beauty</v>
      </c>
      <c r="F281" s="261" t="s">
        <v>4303</v>
      </c>
      <c r="G281" s="261">
        <v>5</v>
      </c>
      <c r="H281" s="261" t="s">
        <v>260</v>
      </c>
      <c r="I281" s="261" t="s">
        <v>3779</v>
      </c>
      <c r="J281" s="261" t="s">
        <v>759</v>
      </c>
      <c r="K281" s="261" t="s">
        <v>4311</v>
      </c>
      <c r="L281" s="261" t="s">
        <v>1483</v>
      </c>
      <c r="M281" s="261" t="s">
        <v>249</v>
      </c>
      <c r="N281" s="261" t="s">
        <v>762</v>
      </c>
      <c r="O281" s="261" t="s">
        <v>3883</v>
      </c>
      <c r="P281" s="261" t="s">
        <v>6601</v>
      </c>
      <c r="Q281" s="261" t="s">
        <v>2974</v>
      </c>
      <c r="R281" s="261" t="str">
        <f t="shared" si="13"/>
        <v>(Shadow) Critical Rate +15%</v>
      </c>
      <c r="S281" s="330" t="str">
        <f t="shared" si="14"/>
        <v>(Shadow) Elemental Res +15%</v>
      </c>
    </row>
    <row r="282" spans="1:19" x14ac:dyDescent="0.2">
      <c r="A282" s="306" t="s">
        <v>4315</v>
      </c>
      <c r="B282" s="261" t="s">
        <v>15275</v>
      </c>
      <c r="C282" s="261" t="s">
        <v>4316</v>
      </c>
      <c r="D282" s="261" t="s">
        <v>4317</v>
      </c>
      <c r="E282" s="261" t="str">
        <f t="shared" si="12"/>
        <v>Devoted Samurai</v>
      </c>
      <c r="F282" s="261" t="s">
        <v>4318</v>
      </c>
      <c r="G282" s="261">
        <v>5</v>
      </c>
      <c r="H282" s="261" t="s">
        <v>121</v>
      </c>
      <c r="I282" s="261" t="s">
        <v>3779</v>
      </c>
      <c r="J282" s="261" t="s">
        <v>759</v>
      </c>
      <c r="K282" s="261" t="s">
        <v>2126</v>
      </c>
      <c r="L282" s="261" t="s">
        <v>2604</v>
      </c>
      <c r="M282" s="261" t="s">
        <v>6911</v>
      </c>
      <c r="N282" s="261" t="s">
        <v>762</v>
      </c>
      <c r="O282" s="261" t="s">
        <v>3883</v>
      </c>
      <c r="P282" s="261" t="s">
        <v>417</v>
      </c>
      <c r="Q282" s="261" t="s">
        <v>316</v>
      </c>
      <c r="R282" s="261" t="str">
        <f t="shared" si="13"/>
        <v>(Shadow) Overdrive Punisher +15%</v>
      </c>
      <c r="S282" s="330" t="str">
        <f t="shared" si="14"/>
        <v>(Shadow) Skill Haste +10%</v>
      </c>
    </row>
    <row r="283" spans="1:19" x14ac:dyDescent="0.2">
      <c r="A283" s="306" t="s">
        <v>4327</v>
      </c>
      <c r="B283" s="261" t="s">
        <v>15276</v>
      </c>
      <c r="C283" s="261" t="s">
        <v>4328</v>
      </c>
      <c r="D283" s="261" t="s">
        <v>4329</v>
      </c>
      <c r="E283" s="261" t="str">
        <f t="shared" si="12"/>
        <v>Queen of the Sands</v>
      </c>
      <c r="F283" s="261" t="s">
        <v>4330</v>
      </c>
      <c r="G283" s="261">
        <v>5</v>
      </c>
      <c r="H283" s="261" t="s">
        <v>260</v>
      </c>
      <c r="I283" s="261" t="s">
        <v>3779</v>
      </c>
      <c r="J283" s="261" t="s">
        <v>759</v>
      </c>
      <c r="K283" s="261" t="s">
        <v>2004</v>
      </c>
      <c r="L283" s="261" t="s">
        <v>2604</v>
      </c>
      <c r="M283" s="261" t="s">
        <v>4338</v>
      </c>
      <c r="N283" s="261" t="s">
        <v>762</v>
      </c>
      <c r="O283" s="261" t="s">
        <v>3883</v>
      </c>
      <c r="P283" s="261" t="s">
        <v>417</v>
      </c>
      <c r="Q283" s="261" t="s">
        <v>618</v>
      </c>
      <c r="R283" s="261" t="str">
        <f t="shared" si="13"/>
        <v>(Shadow) Overdrive Punisher +15%</v>
      </c>
      <c r="S283" s="330" t="str">
        <f t="shared" si="14"/>
        <v>(Shadow) Defense +20%</v>
      </c>
    </row>
    <row r="284" spans="1:19" x14ac:dyDescent="0.2">
      <c r="A284" s="306" t="s">
        <v>4343</v>
      </c>
      <c r="B284" s="261" t="s">
        <v>15277</v>
      </c>
      <c r="C284" s="261" t="s">
        <v>4344</v>
      </c>
      <c r="D284" s="261" t="s">
        <v>4345</v>
      </c>
      <c r="E284" s="261" t="str">
        <f t="shared" si="12"/>
        <v>Anguished Author</v>
      </c>
      <c r="F284" s="261" t="s">
        <v>4346</v>
      </c>
      <c r="G284" s="261">
        <v>4</v>
      </c>
      <c r="H284" s="261" t="s">
        <v>121</v>
      </c>
      <c r="I284" s="261" t="s">
        <v>3779</v>
      </c>
      <c r="J284" s="261" t="s">
        <v>759</v>
      </c>
      <c r="K284" s="261" t="s">
        <v>3973</v>
      </c>
      <c r="L284" s="261" t="s">
        <v>1483</v>
      </c>
      <c r="M284" s="261" t="s">
        <v>4338</v>
      </c>
      <c r="N284" s="261" t="s">
        <v>762</v>
      </c>
      <c r="O284" s="261" t="s">
        <v>3883</v>
      </c>
      <c r="P284" s="261" t="s">
        <v>6601</v>
      </c>
      <c r="Q284" s="261" t="s">
        <v>618</v>
      </c>
      <c r="R284" s="261" t="str">
        <f t="shared" si="13"/>
        <v>(Shadow) Critical Rate +15%</v>
      </c>
      <c r="S284" s="330" t="str">
        <f t="shared" si="14"/>
        <v>(Shadow) Defense +20%</v>
      </c>
    </row>
    <row r="285" spans="1:19" x14ac:dyDescent="0.2">
      <c r="A285" s="306" t="s">
        <v>4358</v>
      </c>
      <c r="B285" s="261" t="s">
        <v>15278</v>
      </c>
      <c r="C285" s="261" t="s">
        <v>4359</v>
      </c>
      <c r="D285" s="261" t="s">
        <v>4360</v>
      </c>
      <c r="E285" s="261" t="str">
        <f t="shared" si="12"/>
        <v>Vampire Princess</v>
      </c>
      <c r="F285" s="261" t="s">
        <v>4361</v>
      </c>
      <c r="G285" s="261">
        <v>5</v>
      </c>
      <c r="H285" s="261" t="s">
        <v>121</v>
      </c>
      <c r="I285" s="261" t="s">
        <v>3779</v>
      </c>
      <c r="J285" s="261" t="s">
        <v>839</v>
      </c>
      <c r="K285" s="261" t="s">
        <v>4369</v>
      </c>
      <c r="L285" s="261" t="s">
        <v>1483</v>
      </c>
      <c r="M285" s="261" t="s">
        <v>319</v>
      </c>
      <c r="N285" s="261" t="s">
        <v>842</v>
      </c>
      <c r="O285" s="261" t="s">
        <v>245</v>
      </c>
      <c r="P285" s="261" t="s">
        <v>6893</v>
      </c>
      <c r="Q285" s="261" t="s">
        <v>417</v>
      </c>
      <c r="R285" s="261" t="str">
        <f t="shared" si="13"/>
        <v>(Shadow) Skill Damage +40%</v>
      </c>
      <c r="S285" s="330" t="str">
        <f t="shared" si="14"/>
        <v>(Shadow) Overdrive Punisher +15%</v>
      </c>
    </row>
    <row r="286" spans="1:19" x14ac:dyDescent="0.2">
      <c r="A286" s="306" t="s">
        <v>4373</v>
      </c>
      <c r="B286" s="261" t="s">
        <v>15279</v>
      </c>
      <c r="C286" s="261" t="s">
        <v>4374</v>
      </c>
      <c r="D286" s="261" t="s">
        <v>4375</v>
      </c>
      <c r="E286" s="261" t="str">
        <f t="shared" si="12"/>
        <v>Otherworld Auspex</v>
      </c>
      <c r="F286" s="261" t="s">
        <v>4376</v>
      </c>
      <c r="G286" s="261">
        <v>5</v>
      </c>
      <c r="H286" s="261" t="s">
        <v>121</v>
      </c>
      <c r="I286" s="261" t="s">
        <v>3779</v>
      </c>
      <c r="J286" s="261" t="s">
        <v>839</v>
      </c>
      <c r="K286" s="261" t="s">
        <v>4383</v>
      </c>
      <c r="L286" s="261" t="s">
        <v>1483</v>
      </c>
      <c r="M286" s="261" t="s">
        <v>670</v>
      </c>
      <c r="N286" s="261" t="s">
        <v>842</v>
      </c>
      <c r="O286" s="261" t="s">
        <v>190</v>
      </c>
      <c r="P286" s="261" t="s">
        <v>6893</v>
      </c>
      <c r="Q286" s="261" t="s">
        <v>618</v>
      </c>
      <c r="R286" s="261" t="str">
        <f t="shared" si="13"/>
        <v>(Shadow) Skill Damage +40%</v>
      </c>
      <c r="S286" s="330" t="str">
        <f t="shared" si="14"/>
        <v>(Shadow) Defense +20%</v>
      </c>
    </row>
    <row r="287" spans="1:19" x14ac:dyDescent="0.2">
      <c r="A287" s="306" t="s">
        <v>4387</v>
      </c>
      <c r="B287" s="261" t="s">
        <v>15280</v>
      </c>
      <c r="C287" s="261" t="s">
        <v>4388</v>
      </c>
      <c r="D287" s="261" t="s">
        <v>4389</v>
      </c>
      <c r="E287" s="261" t="str">
        <f t="shared" si="12"/>
        <v>Sorrowful Royal Magician</v>
      </c>
      <c r="F287" s="261" t="s">
        <v>4390</v>
      </c>
      <c r="G287" s="261">
        <v>5</v>
      </c>
      <c r="H287" s="261" t="s">
        <v>121</v>
      </c>
      <c r="I287" s="261" t="s">
        <v>3779</v>
      </c>
      <c r="J287" s="261" t="s">
        <v>839</v>
      </c>
      <c r="K287" s="261" t="s">
        <v>670</v>
      </c>
      <c r="L287" s="261" t="s">
        <v>2604</v>
      </c>
      <c r="M287" s="261" t="s">
        <v>6911</v>
      </c>
      <c r="N287" s="261" t="s">
        <v>842</v>
      </c>
      <c r="O287" s="261" t="s">
        <v>3883</v>
      </c>
      <c r="P287" s="261" t="s">
        <v>6893</v>
      </c>
      <c r="Q287" s="261" t="s">
        <v>6552</v>
      </c>
      <c r="R287" s="261" t="str">
        <f t="shared" si="13"/>
        <v>(Shadow) Skill Damage +40%</v>
      </c>
      <c r="S287" s="330" t="str">
        <f t="shared" si="14"/>
        <v>(Shadow) Attack Rate +20%</v>
      </c>
    </row>
    <row r="288" spans="1:19" x14ac:dyDescent="0.2">
      <c r="A288" s="306" t="s">
        <v>4400</v>
      </c>
      <c r="B288" s="261" t="s">
        <v>15281</v>
      </c>
      <c r="C288" s="261" t="s">
        <v>4401</v>
      </c>
      <c r="D288" s="261" t="s">
        <v>4402</v>
      </c>
      <c r="E288" s="261" t="str">
        <f t="shared" si="12"/>
        <v>Supreme Sorcerer</v>
      </c>
      <c r="F288" s="261" t="s">
        <v>4403</v>
      </c>
      <c r="G288" s="261">
        <v>5</v>
      </c>
      <c r="H288" s="261" t="s">
        <v>260</v>
      </c>
      <c r="I288" s="261" t="s">
        <v>3779</v>
      </c>
      <c r="J288" s="261" t="s">
        <v>839</v>
      </c>
      <c r="K288" s="261" t="s">
        <v>4412</v>
      </c>
      <c r="L288" s="261" t="s">
        <v>3786</v>
      </c>
      <c r="M288" s="261" t="s">
        <v>4411</v>
      </c>
      <c r="N288" s="261" t="s">
        <v>842</v>
      </c>
      <c r="O288" s="261" t="s">
        <v>3883</v>
      </c>
      <c r="P288" s="261" t="s">
        <v>2620</v>
      </c>
      <c r="Q288" s="261" t="s">
        <v>2974</v>
      </c>
      <c r="R288" s="261" t="str">
        <f t="shared" si="13"/>
        <v>(Shadow) 15 Hits = Overdamage</v>
      </c>
      <c r="S288" s="330" t="str">
        <f t="shared" si="14"/>
        <v>(Shadow) Elemental Res +15%</v>
      </c>
    </row>
    <row r="289" spans="1:19" x14ac:dyDescent="0.2">
      <c r="A289" s="306" t="s">
        <v>4416</v>
      </c>
      <c r="B289" s="261" t="s">
        <v>15282</v>
      </c>
      <c r="C289" s="261" t="s">
        <v>4417</v>
      </c>
      <c r="D289" s="261" t="s">
        <v>4418</v>
      </c>
      <c r="E289" s="261" t="str">
        <f t="shared" si="12"/>
        <v>Emblian Princess</v>
      </c>
      <c r="F289" s="261" t="s">
        <v>4419</v>
      </c>
      <c r="G289" s="261">
        <v>5</v>
      </c>
      <c r="H289" s="261" t="s">
        <v>121</v>
      </c>
      <c r="I289" s="261" t="s">
        <v>3779</v>
      </c>
      <c r="J289" s="261" t="s">
        <v>839</v>
      </c>
      <c r="K289" s="261" t="s">
        <v>910</v>
      </c>
      <c r="L289" s="261" t="s">
        <v>2604</v>
      </c>
      <c r="M289" s="261" t="s">
        <v>670</v>
      </c>
      <c r="N289" s="261" t="s">
        <v>842</v>
      </c>
      <c r="O289" s="261" t="s">
        <v>3883</v>
      </c>
      <c r="P289" s="261" t="s">
        <v>14997</v>
      </c>
      <c r="Q289" s="261" t="s">
        <v>6552</v>
      </c>
      <c r="R289" s="261" t="str">
        <f t="shared" si="13"/>
        <v>(Shadow) Critical Damage +25%</v>
      </c>
      <c r="S289" s="330" t="str">
        <f t="shared" si="14"/>
        <v>(Shadow) Attack Rate +20%</v>
      </c>
    </row>
    <row r="290" spans="1:19" x14ac:dyDescent="0.2">
      <c r="A290" s="306" t="s">
        <v>4429</v>
      </c>
      <c r="B290" s="261" t="s">
        <v>15283</v>
      </c>
      <c r="C290" s="261" t="s">
        <v>4430</v>
      </c>
      <c r="D290" s="261" t="s">
        <v>4431</v>
      </c>
      <c r="E290" s="261" t="str">
        <f t="shared" si="12"/>
        <v>Mad Scientist</v>
      </c>
      <c r="F290" s="261" t="s">
        <v>4432</v>
      </c>
      <c r="G290" s="261">
        <v>4</v>
      </c>
      <c r="H290" s="261" t="s">
        <v>260</v>
      </c>
      <c r="I290" s="261" t="s">
        <v>3779</v>
      </c>
      <c r="J290" s="261" t="s">
        <v>839</v>
      </c>
      <c r="K290" s="261" t="s">
        <v>4439</v>
      </c>
      <c r="L290" s="261" t="s">
        <v>1483</v>
      </c>
      <c r="M290" s="261" t="s">
        <v>910</v>
      </c>
      <c r="N290" s="261" t="s">
        <v>842</v>
      </c>
      <c r="O290" s="261" t="s">
        <v>3883</v>
      </c>
      <c r="P290" s="261" t="s">
        <v>316</v>
      </c>
      <c r="Q290" s="261" t="s">
        <v>2974</v>
      </c>
      <c r="R290" s="261" t="str">
        <f t="shared" si="13"/>
        <v>(Shadow) Skill Haste +10%</v>
      </c>
      <c r="S290" s="330" t="str">
        <f t="shared" si="14"/>
        <v>(Shadow) Elemental Res +15%</v>
      </c>
    </row>
    <row r="291" spans="1:19" x14ac:dyDescent="0.2">
      <c r="A291" s="306" t="s">
        <v>4441</v>
      </c>
      <c r="B291" s="261" t="s">
        <v>15284</v>
      </c>
      <c r="C291" s="261" t="s">
        <v>4442</v>
      </c>
      <c r="D291" s="261" t="s">
        <v>4443</v>
      </c>
      <c r="E291" s="261" t="str">
        <f t="shared" si="12"/>
        <v>Timid Researcher</v>
      </c>
      <c r="F291" s="261" t="s">
        <v>4444</v>
      </c>
      <c r="G291" s="261">
        <v>3</v>
      </c>
      <c r="H291" s="261" t="s">
        <v>260</v>
      </c>
      <c r="I291" s="261" t="s">
        <v>3779</v>
      </c>
      <c r="J291" s="261" t="s">
        <v>839</v>
      </c>
      <c r="K291" s="261" t="s">
        <v>910</v>
      </c>
      <c r="L291" s="261" t="s">
        <v>2604</v>
      </c>
      <c r="M291" s="261" t="s">
        <v>2126</v>
      </c>
      <c r="N291" s="261" t="s">
        <v>842</v>
      </c>
      <c r="O291" s="261" t="s">
        <v>3883</v>
      </c>
      <c r="P291" s="261" t="s">
        <v>682</v>
      </c>
      <c r="Q291" s="261" t="s">
        <v>2974</v>
      </c>
      <c r="R291" s="261" t="str">
        <f t="shared" si="13"/>
        <v>(Shadow) HP +15%</v>
      </c>
      <c r="S291" s="330" t="str">
        <f t="shared" si="14"/>
        <v>(Shadow) Elemental Res +15%</v>
      </c>
    </row>
    <row r="292" spans="1:19" x14ac:dyDescent="0.2">
      <c r="A292" s="306" t="s">
        <v>4454</v>
      </c>
      <c r="B292" s="261" t="s">
        <v>15285</v>
      </c>
      <c r="C292" s="261" t="s">
        <v>71</v>
      </c>
      <c r="D292" s="261" t="s">
        <v>4455</v>
      </c>
      <c r="E292" s="261" t="str">
        <f t="shared" si="12"/>
        <v>Wistful Widow</v>
      </c>
      <c r="F292" s="261" t="s">
        <v>4456</v>
      </c>
      <c r="G292" s="261">
        <v>5</v>
      </c>
      <c r="H292" s="261" t="s">
        <v>967</v>
      </c>
      <c r="I292" s="261" t="s">
        <v>3779</v>
      </c>
      <c r="J292" s="261" t="s">
        <v>949</v>
      </c>
      <c r="K292" s="261" t="s">
        <v>4464</v>
      </c>
      <c r="L292" s="261" t="s">
        <v>1483</v>
      </c>
      <c r="M292" s="261" t="s">
        <v>1366</v>
      </c>
      <c r="N292" s="261" t="s">
        <v>170</v>
      </c>
      <c r="O292" s="261" t="s">
        <v>779</v>
      </c>
      <c r="P292" s="261" t="s">
        <v>682</v>
      </c>
      <c r="Q292" s="261" t="s">
        <v>618</v>
      </c>
      <c r="R292" s="261" t="str">
        <f t="shared" si="13"/>
        <v>(Shadow) HP +15%</v>
      </c>
      <c r="S292" s="330" t="str">
        <f t="shared" si="14"/>
        <v>(Shadow) Defense +20%</v>
      </c>
    </row>
    <row r="293" spans="1:19" x14ac:dyDescent="0.2">
      <c r="A293" s="306" t="s">
        <v>4468</v>
      </c>
      <c r="B293" s="261" t="s">
        <v>15286</v>
      </c>
      <c r="C293" s="261" t="s">
        <v>4469</v>
      </c>
      <c r="D293" s="261" t="s">
        <v>4470</v>
      </c>
      <c r="E293" s="261" t="str">
        <f t="shared" si="12"/>
        <v>Beach Beauty</v>
      </c>
      <c r="F293" s="261" t="s">
        <v>4471</v>
      </c>
      <c r="G293" s="261">
        <v>5</v>
      </c>
      <c r="H293" s="261" t="s">
        <v>967</v>
      </c>
      <c r="I293" s="261" t="s">
        <v>3779</v>
      </c>
      <c r="J293" s="261" t="s">
        <v>949</v>
      </c>
      <c r="K293" s="261" t="s">
        <v>4471</v>
      </c>
      <c r="L293" s="261" t="s">
        <v>1483</v>
      </c>
      <c r="M293" s="261" t="s">
        <v>1031</v>
      </c>
      <c r="N293" s="261" t="s">
        <v>970</v>
      </c>
      <c r="O293" s="261" t="s">
        <v>128</v>
      </c>
      <c r="P293" s="261" t="s">
        <v>2620</v>
      </c>
      <c r="Q293" s="261" t="s">
        <v>618</v>
      </c>
      <c r="R293" s="261" t="str">
        <f t="shared" si="13"/>
        <v>(Shadow) 15 Hits = Overdamage</v>
      </c>
      <c r="S293" s="330" t="str">
        <f t="shared" si="14"/>
        <v>(Shadow) Defense +20%</v>
      </c>
    </row>
    <row r="294" spans="1:19" x14ac:dyDescent="0.2">
      <c r="A294" s="306" t="s">
        <v>4479</v>
      </c>
      <c r="B294" s="261" t="s">
        <v>15287</v>
      </c>
      <c r="C294" s="261" t="s">
        <v>4480</v>
      </c>
      <c r="D294" s="261" t="s">
        <v>4481</v>
      </c>
      <c r="E294" s="261" t="str">
        <f t="shared" si="12"/>
        <v>Seeker of Truth</v>
      </c>
      <c r="F294" s="261" t="s">
        <v>1748</v>
      </c>
      <c r="G294" s="261">
        <v>5</v>
      </c>
      <c r="H294" s="261" t="s">
        <v>967</v>
      </c>
      <c r="I294" s="261" t="s">
        <v>3779</v>
      </c>
      <c r="J294" s="261" t="s">
        <v>949</v>
      </c>
      <c r="K294" s="261" t="s">
        <v>910</v>
      </c>
      <c r="L294" s="261" t="s">
        <v>2604</v>
      </c>
      <c r="M294" s="261" t="s">
        <v>670</v>
      </c>
      <c r="N294" s="261" t="s">
        <v>970</v>
      </c>
      <c r="O294" s="261" t="s">
        <v>128</v>
      </c>
      <c r="P294" s="261" t="s">
        <v>6911</v>
      </c>
      <c r="Q294" s="261" t="s">
        <v>970</v>
      </c>
      <c r="R294" s="261" t="str">
        <f t="shared" si="13"/>
        <v>(Shadow) Strength +20%</v>
      </c>
      <c r="S294" s="330" t="str">
        <f t="shared" si="14"/>
        <v>(Shadow) Recovery Potency +20%</v>
      </c>
    </row>
    <row r="295" spans="1:19" x14ac:dyDescent="0.2">
      <c r="A295" s="306" t="s">
        <v>4489</v>
      </c>
      <c r="B295" s="261" t="s">
        <v>15288</v>
      </c>
      <c r="C295" s="261" t="s">
        <v>4490</v>
      </c>
      <c r="D295" s="261" t="s">
        <v>4491</v>
      </c>
      <c r="E295" s="261" t="str">
        <f t="shared" si="12"/>
        <v>Belle Healer</v>
      </c>
      <c r="F295" s="261" t="s">
        <v>4492</v>
      </c>
      <c r="G295" s="261">
        <v>4</v>
      </c>
      <c r="H295" s="261" t="s">
        <v>967</v>
      </c>
      <c r="I295" s="261" t="s">
        <v>3779</v>
      </c>
      <c r="J295" s="261" t="s">
        <v>949</v>
      </c>
      <c r="K295" s="261" t="s">
        <v>1851</v>
      </c>
      <c r="L295" s="261" t="s">
        <v>2604</v>
      </c>
      <c r="M295" s="261" t="s">
        <v>618</v>
      </c>
      <c r="N295" s="261" t="s">
        <v>970</v>
      </c>
      <c r="O295" s="261" t="s">
        <v>6634</v>
      </c>
      <c r="P295" s="261" t="s">
        <v>6911</v>
      </c>
      <c r="Q295" s="261" t="s">
        <v>618</v>
      </c>
      <c r="R295" s="261" t="str">
        <f t="shared" si="13"/>
        <v>(Shadow) Strength +20%</v>
      </c>
      <c r="S295" s="330" t="str">
        <f t="shared" si="14"/>
        <v>(Shadow) Defense +20%</v>
      </c>
    </row>
    <row r="296" spans="1:19" x14ac:dyDescent="0.2">
      <c r="A296" s="306" t="s">
        <v>4502</v>
      </c>
      <c r="B296" s="261" t="s">
        <v>15289</v>
      </c>
      <c r="C296" s="261" t="s">
        <v>4503</v>
      </c>
      <c r="D296" s="261" t="s">
        <v>4504</v>
      </c>
      <c r="E296" s="261" t="str">
        <f t="shared" si="12"/>
        <v>Perfect Butler</v>
      </c>
      <c r="F296" s="261" t="s">
        <v>4505</v>
      </c>
      <c r="G296" s="261">
        <v>3</v>
      </c>
      <c r="H296" s="261" t="s">
        <v>967</v>
      </c>
      <c r="I296" s="261" t="s">
        <v>3779</v>
      </c>
      <c r="J296" s="261" t="s">
        <v>949</v>
      </c>
      <c r="K296" s="261" t="s">
        <v>1031</v>
      </c>
      <c r="L296" s="261" t="s">
        <v>1483</v>
      </c>
      <c r="M296" s="261" t="s">
        <v>670</v>
      </c>
      <c r="N296" s="261" t="s">
        <v>970</v>
      </c>
      <c r="O296" s="261" t="s">
        <v>128</v>
      </c>
      <c r="P296" s="261" t="s">
        <v>682</v>
      </c>
      <c r="Q296" s="261" t="s">
        <v>970</v>
      </c>
      <c r="R296" s="261" t="str">
        <f t="shared" si="13"/>
        <v>(Shadow) HP +15%</v>
      </c>
      <c r="S296" s="330" t="str">
        <f t="shared" si="14"/>
        <v>(Shadow) Recovery Potency +20%</v>
      </c>
    </row>
    <row r="297" spans="1:19" x14ac:dyDescent="0.2">
      <c r="A297" s="306" t="s">
        <v>4513</v>
      </c>
      <c r="B297" s="261" t="s">
        <v>15290</v>
      </c>
      <c r="C297" s="261" t="s">
        <v>4514</v>
      </c>
      <c r="D297" s="261" t="s">
        <v>4515</v>
      </c>
      <c r="E297" s="261" t="str">
        <f t="shared" si="12"/>
        <v>Embracing Shadow</v>
      </c>
      <c r="F297" s="261" t="s">
        <v>4516</v>
      </c>
      <c r="G297" s="261">
        <v>5</v>
      </c>
      <c r="H297" s="261" t="s">
        <v>121</v>
      </c>
      <c r="I297" s="261" t="s">
        <v>3779</v>
      </c>
      <c r="J297" s="261" t="s">
        <v>1054</v>
      </c>
      <c r="K297" s="261" t="s">
        <v>4526</v>
      </c>
      <c r="L297" s="261" t="s">
        <v>2604</v>
      </c>
      <c r="M297" s="261" t="s">
        <v>4525</v>
      </c>
      <c r="N297" s="261" t="s">
        <v>1057</v>
      </c>
      <c r="O297" s="261" t="s">
        <v>4523</v>
      </c>
      <c r="P297" s="261" t="s">
        <v>2620</v>
      </c>
      <c r="Q297" s="261" t="s">
        <v>126</v>
      </c>
      <c r="R297" s="261" t="str">
        <f t="shared" si="13"/>
        <v>(Shadow) 15 Hits = Overdamage</v>
      </c>
      <c r="S297" s="330" t="str">
        <f t="shared" si="14"/>
        <v>(Shadow) Dragon Haste +15%</v>
      </c>
    </row>
    <row r="298" spans="1:19" x14ac:dyDescent="0.2">
      <c r="A298" s="306" t="s">
        <v>4529</v>
      </c>
      <c r="B298" s="261" t="s">
        <v>15291</v>
      </c>
      <c r="C298" s="261" t="s">
        <v>4530</v>
      </c>
      <c r="D298" s="261" t="s">
        <v>4531</v>
      </c>
      <c r="E298" s="261" t="str">
        <f t="shared" si="12"/>
        <v>Midsummer Temptress</v>
      </c>
      <c r="F298" s="261" t="s">
        <v>4532</v>
      </c>
      <c r="G298" s="261">
        <v>5</v>
      </c>
      <c r="H298" s="261" t="s">
        <v>121</v>
      </c>
      <c r="I298" s="261" t="s">
        <v>3779</v>
      </c>
      <c r="J298" s="261" t="s">
        <v>1054</v>
      </c>
      <c r="K298" s="261" t="s">
        <v>4538</v>
      </c>
      <c r="L298" s="261" t="s">
        <v>2604</v>
      </c>
      <c r="M298" s="261" t="s">
        <v>670</v>
      </c>
      <c r="N298" s="261" t="s">
        <v>1057</v>
      </c>
      <c r="O298" s="261" t="s">
        <v>280</v>
      </c>
      <c r="P298" s="261" t="s">
        <v>6911</v>
      </c>
      <c r="Q298" s="261" t="s">
        <v>417</v>
      </c>
      <c r="R298" s="261" t="str">
        <f t="shared" si="13"/>
        <v>(Shadow) Strength +20%</v>
      </c>
      <c r="S298" s="330" t="str">
        <f t="shared" si="14"/>
        <v>(Shadow) Overdrive Punisher +15%</v>
      </c>
    </row>
    <row r="299" spans="1:19" x14ac:dyDescent="0.2">
      <c r="A299" s="306" t="s">
        <v>4542</v>
      </c>
      <c r="B299" s="261" t="s">
        <v>15292</v>
      </c>
      <c r="C299" s="261" t="s">
        <v>4543</v>
      </c>
      <c r="D299" s="261" t="s">
        <v>4544</v>
      </c>
      <c r="E299" s="261" t="str">
        <f t="shared" si="12"/>
        <v>Passionate Princess</v>
      </c>
      <c r="F299" s="261" t="s">
        <v>4545</v>
      </c>
      <c r="G299" s="261">
        <v>5</v>
      </c>
      <c r="H299" s="261" t="s">
        <v>121</v>
      </c>
      <c r="I299" s="261" t="s">
        <v>3779</v>
      </c>
      <c r="J299" s="261" t="s">
        <v>1054</v>
      </c>
      <c r="K299" s="261" t="s">
        <v>4556</v>
      </c>
      <c r="L299" s="261" t="s">
        <v>3786</v>
      </c>
      <c r="M299" s="261" t="s">
        <v>4557</v>
      </c>
      <c r="N299" s="261" t="s">
        <v>1057</v>
      </c>
      <c r="O299" s="261" t="s">
        <v>4552</v>
      </c>
      <c r="P299" s="261" t="s">
        <v>2620</v>
      </c>
      <c r="Q299" s="261" t="s">
        <v>336</v>
      </c>
      <c r="R299" s="261" t="str">
        <f t="shared" si="13"/>
        <v>(Shadow) 15 Hits = Overdamage</v>
      </c>
      <c r="S299" s="330" t="str">
        <f t="shared" si="14"/>
        <v>(Shadow) Force Strike +50%</v>
      </c>
    </row>
    <row r="300" spans="1:19" x14ac:dyDescent="0.2">
      <c r="A300" s="306" t="s">
        <v>4561</v>
      </c>
      <c r="B300" s="261" t="s">
        <v>15293</v>
      </c>
      <c r="C300" s="261" t="s">
        <v>4562</v>
      </c>
      <c r="D300" s="261" t="s">
        <v>4563</v>
      </c>
      <c r="E300" s="261" t="str">
        <f t="shared" si="12"/>
        <v>The Holy Auspex</v>
      </c>
      <c r="F300" s="261" t="s">
        <v>4564</v>
      </c>
      <c r="G300" s="261">
        <v>5</v>
      </c>
      <c r="H300" s="261" t="s">
        <v>967</v>
      </c>
      <c r="I300" s="261" t="s">
        <v>2837</v>
      </c>
      <c r="J300" s="261" t="s">
        <v>949</v>
      </c>
      <c r="K300" s="261"/>
      <c r="L300" s="261"/>
      <c r="M300" s="261"/>
      <c r="N300" s="261"/>
      <c r="O300" s="261"/>
      <c r="P300" s="261" t="s">
        <v>682</v>
      </c>
      <c r="Q300" s="261" t="s">
        <v>970</v>
      </c>
      <c r="R300" s="261" t="str">
        <f t="shared" si="13"/>
        <v>(Light) HP +15%</v>
      </c>
      <c r="S300" s="330" t="str">
        <f t="shared" si="14"/>
        <v>(Light) Recovery Potency +20%</v>
      </c>
    </row>
    <row r="301" spans="1:19" x14ac:dyDescent="0.2">
      <c r="A301" s="306" t="s">
        <v>4566</v>
      </c>
      <c r="B301" s="261" t="s">
        <v>15294</v>
      </c>
      <c r="C301" s="261" t="s">
        <v>4567</v>
      </c>
      <c r="D301" s="261" t="s">
        <v>4568</v>
      </c>
      <c r="E301" s="261" t="str">
        <f t="shared" si="12"/>
        <v>Splashing Paladyn</v>
      </c>
      <c r="F301" s="261" t="s">
        <v>4569</v>
      </c>
      <c r="G301" s="261">
        <v>5</v>
      </c>
      <c r="H301" s="261" t="s">
        <v>121</v>
      </c>
      <c r="I301" s="261" t="s">
        <v>1103</v>
      </c>
      <c r="J301" s="261" t="s">
        <v>1054</v>
      </c>
      <c r="K301" s="261"/>
      <c r="L301" s="261"/>
      <c r="M301" s="261"/>
      <c r="N301" s="261"/>
      <c r="O301" s="261"/>
      <c r="P301" s="261" t="s">
        <v>6911</v>
      </c>
      <c r="Q301" s="261" t="s">
        <v>417</v>
      </c>
      <c r="R301" s="261" t="str">
        <f t="shared" si="13"/>
        <v>(Water) Strength +20%</v>
      </c>
      <c r="S301" s="330" t="str">
        <f t="shared" si="14"/>
        <v>(Water) Overdrive Punisher +15%</v>
      </c>
    </row>
    <row r="302" spans="1:19" x14ac:dyDescent="0.2">
      <c r="A302" s="306" t="s">
        <v>4571</v>
      </c>
      <c r="B302" s="261" t="s">
        <v>15295</v>
      </c>
      <c r="C302" s="261" t="s">
        <v>4572</v>
      </c>
      <c r="D302" s="261" t="s">
        <v>4573</v>
      </c>
      <c r="E302" s="261" t="str">
        <f t="shared" si="12"/>
        <v>Stunning Sniper</v>
      </c>
      <c r="F302" s="261" t="s">
        <v>4574</v>
      </c>
      <c r="G302" s="261">
        <v>5</v>
      </c>
      <c r="H302" s="261" t="s">
        <v>121</v>
      </c>
      <c r="I302" s="261" t="s">
        <v>1947</v>
      </c>
      <c r="J302" s="261" t="s">
        <v>759</v>
      </c>
      <c r="K302" s="261"/>
      <c r="L302" s="261"/>
      <c r="M302" s="261"/>
      <c r="N302" s="261"/>
      <c r="O302" s="261"/>
      <c r="P302" s="261" t="s">
        <v>6601</v>
      </c>
      <c r="Q302" s="261" t="s">
        <v>2974</v>
      </c>
      <c r="R302" s="261" t="str">
        <f t="shared" si="13"/>
        <v>(Wind) Critical Rate +15%</v>
      </c>
      <c r="S302" s="330" t="str">
        <f t="shared" si="14"/>
        <v>(Wind) Elemental Res +15%</v>
      </c>
    </row>
    <row r="303" spans="1:19" x14ac:dyDescent="0.2">
      <c r="A303" s="306" t="s">
        <v>4576</v>
      </c>
      <c r="B303" s="261" t="s">
        <v>15296</v>
      </c>
      <c r="C303" s="261" t="s">
        <v>4577</v>
      </c>
      <c r="D303" s="261" t="s">
        <v>4578</v>
      </c>
      <c r="E303" s="261" t="str">
        <f t="shared" si="12"/>
        <v>Purveyor of Plague</v>
      </c>
      <c r="F303" s="261" t="s">
        <v>4579</v>
      </c>
      <c r="G303" s="261">
        <v>5</v>
      </c>
      <c r="H303" s="261" t="s">
        <v>121</v>
      </c>
      <c r="I303" s="261" t="s">
        <v>1947</v>
      </c>
      <c r="J303" s="261" t="s">
        <v>645</v>
      </c>
      <c r="K303" s="261"/>
      <c r="L303" s="261"/>
      <c r="M303" s="261"/>
      <c r="N303" s="261"/>
      <c r="O303" s="261"/>
      <c r="P303" s="261" t="s">
        <v>6911</v>
      </c>
      <c r="Q303" s="261" t="s">
        <v>6893</v>
      </c>
      <c r="R303" s="261" t="str">
        <f t="shared" si="13"/>
        <v>(Wind) Strength +20%</v>
      </c>
      <c r="S303" s="330" t="str">
        <f t="shared" si="14"/>
        <v>(Wind) Skill Damage +40%</v>
      </c>
    </row>
    <row r="304" spans="1:19" x14ac:dyDescent="0.2">
      <c r="A304" s="306" t="s">
        <v>4581</v>
      </c>
      <c r="B304" s="261" t="s">
        <v>15297</v>
      </c>
      <c r="C304" s="261" t="s">
        <v>4582</v>
      </c>
      <c r="D304" s="261" t="s">
        <v>4583</v>
      </c>
      <c r="E304" s="261" t="str">
        <f t="shared" si="12"/>
        <v>The Pinnacle of Evolution</v>
      </c>
      <c r="F304" s="261" t="s">
        <v>4584</v>
      </c>
      <c r="G304" s="261">
        <v>5</v>
      </c>
      <c r="H304" s="261" t="s">
        <v>121</v>
      </c>
      <c r="I304" s="261" t="s">
        <v>2837</v>
      </c>
      <c r="J304" s="261" t="s">
        <v>543</v>
      </c>
      <c r="K304" s="261"/>
      <c r="L304" s="261"/>
      <c r="M304" s="261"/>
      <c r="N304" s="261"/>
      <c r="O304" s="261"/>
      <c r="P304" s="261" t="s">
        <v>6911</v>
      </c>
      <c r="Q304" s="261" t="s">
        <v>6893</v>
      </c>
      <c r="R304" s="261" t="str">
        <f t="shared" si="13"/>
        <v>(Light) Strength +20%</v>
      </c>
      <c r="S304" s="330" t="str">
        <f t="shared" si="14"/>
        <v>(Light) Skill Damage +40%</v>
      </c>
    </row>
    <row r="305" spans="1:19" x14ac:dyDescent="0.2">
      <c r="A305" s="306" t="s">
        <v>4586</v>
      </c>
      <c r="B305" s="261" t="s">
        <v>15298</v>
      </c>
      <c r="C305" s="261" t="s">
        <v>4587</v>
      </c>
      <c r="D305" s="261" t="s">
        <v>4588</v>
      </c>
      <c r="E305" s="261" t="str">
        <f t="shared" si="12"/>
        <v>Wings of Despair</v>
      </c>
      <c r="F305" s="261" t="s">
        <v>4589</v>
      </c>
      <c r="G305" s="261">
        <v>5</v>
      </c>
      <c r="H305" s="261" t="s">
        <v>121</v>
      </c>
      <c r="I305" s="261" t="s">
        <v>1103</v>
      </c>
      <c r="J305" s="261" t="s">
        <v>759</v>
      </c>
      <c r="K305" s="261"/>
      <c r="L305" s="261"/>
      <c r="M305" s="261"/>
      <c r="N305" s="261"/>
      <c r="O305" s="261"/>
      <c r="P305" s="261" t="s">
        <v>6911</v>
      </c>
      <c r="Q305" s="261" t="s">
        <v>6893</v>
      </c>
      <c r="R305" s="261" t="str">
        <f t="shared" si="13"/>
        <v>(Water) Strength +20%</v>
      </c>
      <c r="S305" s="330" t="str">
        <f t="shared" si="14"/>
        <v>(Water) Skill Damage +40%</v>
      </c>
    </row>
    <row r="306" spans="1:19" x14ac:dyDescent="0.2">
      <c r="A306" s="306" t="s">
        <v>4591</v>
      </c>
      <c r="B306" s="261" t="s">
        <v>15299</v>
      </c>
      <c r="C306" s="261" t="s">
        <v>4592</v>
      </c>
      <c r="D306" s="261" t="s">
        <v>4593</v>
      </c>
      <c r="E306" s="261" t="str">
        <f t="shared" si="12"/>
        <v>The Abyssalwyrm</v>
      </c>
      <c r="F306" s="261" t="s">
        <v>4594</v>
      </c>
      <c r="G306" s="261">
        <v>5</v>
      </c>
      <c r="H306" s="261" t="s">
        <v>121</v>
      </c>
      <c r="I306" s="261" t="s">
        <v>3779</v>
      </c>
      <c r="J306" s="261" t="s">
        <v>330</v>
      </c>
      <c r="K306" s="261"/>
      <c r="L306" s="261"/>
      <c r="M306" s="261"/>
      <c r="N306" s="261"/>
      <c r="O306" s="261"/>
      <c r="P306" s="261" t="s">
        <v>6911</v>
      </c>
      <c r="Q306" s="261" t="s">
        <v>6893</v>
      </c>
      <c r="R306" s="261" t="str">
        <f t="shared" si="13"/>
        <v>(Shadow) Strength +20%</v>
      </c>
      <c r="S306" s="330" t="str">
        <f t="shared" si="14"/>
        <v>(Shadow) Skill Damage +40%</v>
      </c>
    </row>
    <row r="307" spans="1:19" x14ac:dyDescent="0.2">
      <c r="A307" s="306" t="s">
        <v>9448</v>
      </c>
      <c r="B307" s="261" t="s">
        <v>15300</v>
      </c>
      <c r="C307" s="261" t="s">
        <v>9449</v>
      </c>
      <c r="D307" s="261" t="s">
        <v>9450</v>
      </c>
      <c r="E307" s="261" t="str">
        <f t="shared" si="12"/>
        <v>Awakened Flamewyrm</v>
      </c>
      <c r="F307" s="261" t="s">
        <v>9451</v>
      </c>
      <c r="G307" s="261">
        <v>5</v>
      </c>
      <c r="H307" s="261"/>
      <c r="I307" s="261" t="s">
        <v>122</v>
      </c>
      <c r="J307" s="261" t="s">
        <v>13936</v>
      </c>
      <c r="K307" s="261" t="s">
        <v>9460</v>
      </c>
      <c r="L307" s="261"/>
      <c r="M307" s="261" t="s">
        <v>9459</v>
      </c>
      <c r="N307" s="261"/>
      <c r="O307" s="261"/>
      <c r="P307" s="261" t="s">
        <v>7254</v>
      </c>
      <c r="Q307" s="261" t="s">
        <v>6911</v>
      </c>
      <c r="R307" s="261" t="str">
        <f t="shared" si="13"/>
        <v>(Flame) Dragon Damage +18%</v>
      </c>
      <c r="S307" s="330" t="str">
        <f t="shared" si="14"/>
        <v>(Flame) Strength +20%</v>
      </c>
    </row>
    <row r="308" spans="1:19" x14ac:dyDescent="0.2">
      <c r="A308" s="306" t="s">
        <v>8822</v>
      </c>
      <c r="B308" s="261" t="s">
        <v>15301</v>
      </c>
      <c r="C308" s="261" t="s">
        <v>8823</v>
      </c>
      <c r="D308" s="261" t="s">
        <v>8824</v>
      </c>
      <c r="E308" s="261" t="str">
        <f t="shared" si="12"/>
        <v>Angel of Judgment</v>
      </c>
      <c r="F308" s="261" t="s">
        <v>8825</v>
      </c>
      <c r="G308" s="261">
        <v>5</v>
      </c>
      <c r="H308" s="261"/>
      <c r="I308" s="261" t="s">
        <v>122</v>
      </c>
      <c r="J308" s="261" t="s">
        <v>13936</v>
      </c>
      <c r="K308" s="261" t="s">
        <v>8833</v>
      </c>
      <c r="L308" s="261"/>
      <c r="M308" s="261" t="s">
        <v>8834</v>
      </c>
      <c r="N308" s="261"/>
      <c r="O308" s="261"/>
      <c r="P308" s="261" t="s">
        <v>7254</v>
      </c>
      <c r="Q308" s="261" t="s">
        <v>2974</v>
      </c>
      <c r="R308" s="261" t="str">
        <f t="shared" si="13"/>
        <v>(Flame) Dragon Damage +18%</v>
      </c>
      <c r="S308" s="330" t="str">
        <f t="shared" si="14"/>
        <v>(Flame) Elemental Res +15%</v>
      </c>
    </row>
    <row r="309" spans="1:19" x14ac:dyDescent="0.2">
      <c r="A309" s="306" t="s">
        <v>9126</v>
      </c>
      <c r="B309" s="261" t="s">
        <v>15302</v>
      </c>
      <c r="C309" s="261" t="s">
        <v>9127</v>
      </c>
      <c r="D309" s="261" t="s">
        <v>9128</v>
      </c>
      <c r="E309" s="261" t="str">
        <f t="shared" si="12"/>
        <v>Greedy Encroaching Flame</v>
      </c>
      <c r="F309" s="261" t="s">
        <v>9129</v>
      </c>
      <c r="G309" s="261">
        <v>5</v>
      </c>
      <c r="H309" s="261"/>
      <c r="I309" s="261" t="s">
        <v>122</v>
      </c>
      <c r="J309" s="261" t="s">
        <v>13936</v>
      </c>
      <c r="K309" s="261" t="s">
        <v>9012</v>
      </c>
      <c r="L309" s="261"/>
      <c r="M309" s="261" t="s">
        <v>9137</v>
      </c>
      <c r="N309" s="261"/>
      <c r="O309" s="261"/>
      <c r="P309" s="261" t="s">
        <v>650</v>
      </c>
      <c r="Q309" s="261" t="s">
        <v>6601</v>
      </c>
      <c r="R309" s="261" t="str">
        <f t="shared" si="13"/>
        <v>(Flame) Dragon Time +20%</v>
      </c>
      <c r="S309" s="330" t="str">
        <f t="shared" si="14"/>
        <v>(Flame) Critical Rate +15%</v>
      </c>
    </row>
    <row r="310" spans="1:19" x14ac:dyDescent="0.2">
      <c r="A310" s="306" t="s">
        <v>9002</v>
      </c>
      <c r="B310" s="261" t="s">
        <v>15303</v>
      </c>
      <c r="C310" s="261" t="s">
        <v>9003</v>
      </c>
      <c r="D310" s="261" t="s">
        <v>9004</v>
      </c>
      <c r="E310" s="261" t="str">
        <f t="shared" si="12"/>
        <v>Hard-Faced Softy</v>
      </c>
      <c r="F310" s="261" t="s">
        <v>9005</v>
      </c>
      <c r="G310" s="261">
        <v>5</v>
      </c>
      <c r="H310" s="261"/>
      <c r="I310" s="261" t="s">
        <v>122</v>
      </c>
      <c r="J310" s="261" t="s">
        <v>13936</v>
      </c>
      <c r="K310" s="261" t="s">
        <v>9012</v>
      </c>
      <c r="L310" s="261"/>
      <c r="M310" s="261" t="s">
        <v>9013</v>
      </c>
      <c r="N310" s="261"/>
      <c r="O310" s="261"/>
      <c r="P310" s="261" t="s">
        <v>126</v>
      </c>
      <c r="Q310" s="261" t="s">
        <v>14997</v>
      </c>
      <c r="R310" s="261" t="str">
        <f t="shared" si="13"/>
        <v>(Flame) Dragon Haste +15%</v>
      </c>
      <c r="S310" s="330" t="str">
        <f t="shared" si="14"/>
        <v>(Flame) Critical Damage +25%</v>
      </c>
    </row>
    <row r="311" spans="1:19" x14ac:dyDescent="0.2">
      <c r="A311" s="306" t="s">
        <v>9401</v>
      </c>
      <c r="B311" s="261" t="s">
        <v>15304</v>
      </c>
      <c r="C311" s="261" t="s">
        <v>9402</v>
      </c>
      <c r="D311" s="261" t="s">
        <v>9403</v>
      </c>
      <c r="E311" s="261" t="str">
        <f t="shared" si="12"/>
        <v>First &amp; Last</v>
      </c>
      <c r="F311" s="261" t="s">
        <v>9404</v>
      </c>
      <c r="G311" s="261">
        <v>5</v>
      </c>
      <c r="H311" s="261"/>
      <c r="I311" s="261" t="s">
        <v>122</v>
      </c>
      <c r="J311" s="261" t="s">
        <v>13936</v>
      </c>
      <c r="K311" s="261" t="s">
        <v>7601</v>
      </c>
      <c r="L311" s="261"/>
      <c r="M311" s="261"/>
      <c r="N311" s="261"/>
      <c r="O311" s="261"/>
      <c r="P311" s="261" t="s">
        <v>126</v>
      </c>
      <c r="Q311" s="261" t="s">
        <v>1591</v>
      </c>
      <c r="R311" s="261" t="str">
        <f t="shared" si="13"/>
        <v>(Flame) Dragon Haste +15%</v>
      </c>
      <c r="S311" s="330" t="str">
        <f t="shared" si="14"/>
        <v>(Flame) Skill Prep +50%</v>
      </c>
    </row>
    <row r="312" spans="1:19" x14ac:dyDescent="0.2">
      <c r="A312" s="306" t="s">
        <v>8887</v>
      </c>
      <c r="B312" s="261" t="s">
        <v>15305</v>
      </c>
      <c r="C312" s="261" t="s">
        <v>8888</v>
      </c>
      <c r="D312" s="261" t="s">
        <v>8889</v>
      </c>
      <c r="E312" s="261" t="str">
        <f t="shared" si="12"/>
        <v>Flame-Winged Ruler</v>
      </c>
      <c r="F312" s="261" t="s">
        <v>8890</v>
      </c>
      <c r="G312" s="261">
        <v>5</v>
      </c>
      <c r="H312" s="261"/>
      <c r="I312" s="261" t="s">
        <v>122</v>
      </c>
      <c r="J312" s="261" t="s">
        <v>13936</v>
      </c>
      <c r="K312" s="261" t="s">
        <v>8898</v>
      </c>
      <c r="L312" s="261"/>
      <c r="M312" s="261" t="s">
        <v>8899</v>
      </c>
      <c r="N312" s="261"/>
      <c r="O312" s="261"/>
      <c r="P312" s="261" t="s">
        <v>126</v>
      </c>
      <c r="Q312" s="261" t="s">
        <v>6601</v>
      </c>
      <c r="R312" s="261" t="str">
        <f t="shared" si="13"/>
        <v>(Flame) Dragon Haste +15%</v>
      </c>
      <c r="S312" s="330" t="str">
        <f t="shared" si="14"/>
        <v>(Flame) Critical Rate +15%</v>
      </c>
    </row>
    <row r="313" spans="1:19" x14ac:dyDescent="0.2">
      <c r="A313" s="306" t="s">
        <v>10117</v>
      </c>
      <c r="B313" s="261" t="s">
        <v>15306</v>
      </c>
      <c r="C313" s="261" t="s">
        <v>10118</v>
      </c>
      <c r="D313" s="261" t="s">
        <v>10119</v>
      </c>
      <c r="E313" s="261" t="str">
        <f t="shared" si="12"/>
        <v>Forbidden Flamebringer</v>
      </c>
      <c r="F313" s="261" t="s">
        <v>10120</v>
      </c>
      <c r="G313" s="261">
        <v>5</v>
      </c>
      <c r="H313" s="261"/>
      <c r="I313" s="261" t="s">
        <v>122</v>
      </c>
      <c r="J313" s="261" t="s">
        <v>13936</v>
      </c>
      <c r="K313" s="261" t="s">
        <v>10129</v>
      </c>
      <c r="L313" s="261"/>
      <c r="M313" s="261" t="s">
        <v>10130</v>
      </c>
      <c r="N313" s="261"/>
      <c r="O313" s="261"/>
      <c r="P313" s="261" t="s">
        <v>650</v>
      </c>
      <c r="Q313" s="261" t="s">
        <v>6911</v>
      </c>
      <c r="R313" s="261" t="str">
        <f t="shared" si="13"/>
        <v>(Flame) Dragon Time +20%</v>
      </c>
      <c r="S313" s="330" t="str">
        <f t="shared" si="14"/>
        <v>(Flame) Strength +20%</v>
      </c>
    </row>
    <row r="314" spans="1:19" x14ac:dyDescent="0.2">
      <c r="A314" s="306" t="s">
        <v>10154</v>
      </c>
      <c r="B314" s="261" t="s">
        <v>15307</v>
      </c>
      <c r="C314" s="261" t="s">
        <v>10155</v>
      </c>
      <c r="D314" s="261" t="s">
        <v>10156</v>
      </c>
      <c r="E314" s="261" t="str">
        <f t="shared" si="12"/>
        <v>Dreadking</v>
      </c>
      <c r="F314" s="261" t="s">
        <v>10157</v>
      </c>
      <c r="G314" s="261">
        <v>5</v>
      </c>
      <c r="H314" s="261"/>
      <c r="I314" s="261" t="s">
        <v>122</v>
      </c>
      <c r="J314" s="261" t="s">
        <v>13936</v>
      </c>
      <c r="K314" s="261" t="s">
        <v>10166</v>
      </c>
      <c r="L314" s="261"/>
      <c r="M314" s="261" t="s">
        <v>10167</v>
      </c>
      <c r="N314" s="261"/>
      <c r="O314" s="261"/>
      <c r="P314" s="261" t="s">
        <v>650</v>
      </c>
      <c r="Q314" s="261" t="s">
        <v>2974</v>
      </c>
      <c r="R314" s="261" t="str">
        <f t="shared" si="13"/>
        <v>(Flame) Dragon Time +20%</v>
      </c>
      <c r="S314" s="330" t="str">
        <f t="shared" si="14"/>
        <v>(Flame) Elemental Res +15%</v>
      </c>
    </row>
    <row r="315" spans="1:19" x14ac:dyDescent="0.2">
      <c r="A315" s="306" t="s">
        <v>8663</v>
      </c>
      <c r="B315" s="261" t="s">
        <v>15308</v>
      </c>
      <c r="C315" s="261" t="s">
        <v>8664</v>
      </c>
      <c r="D315" s="261" t="s">
        <v>8665</v>
      </c>
      <c r="E315" s="261" t="str">
        <f t="shared" si="12"/>
        <v>King of the Skies</v>
      </c>
      <c r="F315" s="261" t="s">
        <v>8666</v>
      </c>
      <c r="G315" s="261">
        <v>5</v>
      </c>
      <c r="H315" s="261"/>
      <c r="I315" s="261" t="s">
        <v>122</v>
      </c>
      <c r="J315" s="261" t="s">
        <v>13936</v>
      </c>
      <c r="K315" s="261" t="s">
        <v>8673</v>
      </c>
      <c r="L315" s="261"/>
      <c r="M315" s="261" t="s">
        <v>8674</v>
      </c>
      <c r="N315" s="261"/>
      <c r="O315" s="261"/>
      <c r="P315" s="261" t="s">
        <v>7254</v>
      </c>
      <c r="Q315" s="261" t="s">
        <v>316</v>
      </c>
      <c r="R315" s="261" t="str">
        <f t="shared" si="13"/>
        <v>(Flame) Dragon Damage +18%</v>
      </c>
      <c r="S315" s="330" t="str">
        <f t="shared" si="14"/>
        <v>(Flame) Skill Haste +10%</v>
      </c>
    </row>
    <row r="316" spans="1:19" x14ac:dyDescent="0.2">
      <c r="A316" s="306" t="s">
        <v>9487</v>
      </c>
      <c r="B316" s="261" t="s">
        <v>15309</v>
      </c>
      <c r="C316" s="261" t="s">
        <v>9488</v>
      </c>
      <c r="D316" s="261" t="s">
        <v>9489</v>
      </c>
      <c r="E316" s="261" t="str">
        <f t="shared" si="12"/>
        <v>Incandescent General</v>
      </c>
      <c r="F316" s="261" t="s">
        <v>9490</v>
      </c>
      <c r="G316" s="261">
        <v>5</v>
      </c>
      <c r="H316" s="261"/>
      <c r="I316" s="261" t="s">
        <v>122</v>
      </c>
      <c r="J316" s="261" t="s">
        <v>13936</v>
      </c>
      <c r="K316" s="261" t="s">
        <v>9499</v>
      </c>
      <c r="L316" s="261"/>
      <c r="M316" s="261" t="s">
        <v>9500</v>
      </c>
      <c r="N316" s="261"/>
      <c r="O316" s="261"/>
      <c r="P316" s="261" t="s">
        <v>7254</v>
      </c>
      <c r="Q316" s="261" t="s">
        <v>417</v>
      </c>
      <c r="R316" s="261" t="str">
        <f t="shared" si="13"/>
        <v>(Flame) Dragon Damage +18%</v>
      </c>
      <c r="S316" s="330" t="str">
        <f t="shared" si="14"/>
        <v>(Flame) Overdrive Punisher +15%</v>
      </c>
    </row>
    <row r="317" spans="1:19" x14ac:dyDescent="0.2">
      <c r="A317" s="306" t="s">
        <v>8676</v>
      </c>
      <c r="B317" s="261" t="s">
        <v>15310</v>
      </c>
      <c r="C317" s="261" t="s">
        <v>8677</v>
      </c>
      <c r="D317" s="261" t="s">
        <v>8678</v>
      </c>
      <c r="E317" s="261" t="str">
        <f t="shared" si="12"/>
        <v>Burning Sun</v>
      </c>
      <c r="F317" s="261" t="s">
        <v>8679</v>
      </c>
      <c r="G317" s="261">
        <v>5</v>
      </c>
      <c r="H317" s="261"/>
      <c r="I317" s="261" t="s">
        <v>122</v>
      </c>
      <c r="J317" s="261" t="s">
        <v>13936</v>
      </c>
      <c r="K317" s="261" t="s">
        <v>8673</v>
      </c>
      <c r="L317" s="261"/>
      <c r="M317" s="261" t="s">
        <v>8688</v>
      </c>
      <c r="N317" s="261"/>
      <c r="O317" s="261"/>
      <c r="P317" s="261" t="s">
        <v>7254</v>
      </c>
      <c r="Q317" s="261" t="s">
        <v>14997</v>
      </c>
      <c r="R317" s="261" t="str">
        <f t="shared" si="13"/>
        <v>(Flame) Dragon Damage +18%</v>
      </c>
      <c r="S317" s="330" t="str">
        <f t="shared" si="14"/>
        <v>(Flame) Critical Damage +25%</v>
      </c>
    </row>
    <row r="318" spans="1:19" x14ac:dyDescent="0.2">
      <c r="A318" s="306" t="s">
        <v>8944</v>
      </c>
      <c r="B318" s="261" t="s">
        <v>15311</v>
      </c>
      <c r="C318" s="261" t="s">
        <v>8945</v>
      </c>
      <c r="D318" s="261" t="s">
        <v>8946</v>
      </c>
      <c r="E318" s="261" t="str">
        <f t="shared" si="12"/>
        <v>Fiery Coach</v>
      </c>
      <c r="F318" s="261" t="s">
        <v>8947</v>
      </c>
      <c r="G318" s="261">
        <v>5</v>
      </c>
      <c r="H318" s="261"/>
      <c r="I318" s="261" t="s">
        <v>122</v>
      </c>
      <c r="J318" s="261" t="s">
        <v>13936</v>
      </c>
      <c r="K318" s="261" t="s">
        <v>8956</v>
      </c>
      <c r="L318" s="261"/>
      <c r="M318" s="261" t="s">
        <v>8957</v>
      </c>
      <c r="N318" s="261"/>
      <c r="O318" s="261"/>
      <c r="P318" s="261" t="s">
        <v>650</v>
      </c>
      <c r="Q318" s="261" t="s">
        <v>14997</v>
      </c>
      <c r="R318" s="261" t="str">
        <f t="shared" si="13"/>
        <v>(Flame) Dragon Time +20%</v>
      </c>
      <c r="S318" s="330" t="str">
        <f t="shared" si="14"/>
        <v>(Flame) Critical Damage +25%</v>
      </c>
    </row>
    <row r="319" spans="1:19" x14ac:dyDescent="0.2">
      <c r="A319" s="306" t="s">
        <v>9598</v>
      </c>
      <c r="B319" s="261" t="s">
        <v>15312</v>
      </c>
      <c r="C319" s="261" t="s">
        <v>9599</v>
      </c>
      <c r="D319" s="261" t="s">
        <v>9600</v>
      </c>
      <c r="E319" s="261" t="str">
        <f t="shared" si="12"/>
        <v>Blossoming Beauty</v>
      </c>
      <c r="F319" s="261" t="s">
        <v>9601</v>
      </c>
      <c r="G319" s="261">
        <v>5</v>
      </c>
      <c r="H319" s="261"/>
      <c r="I319" s="261" t="s">
        <v>122</v>
      </c>
      <c r="J319" s="261" t="s">
        <v>13936</v>
      </c>
      <c r="K319" s="261" t="s">
        <v>9610</v>
      </c>
      <c r="L319" s="261"/>
      <c r="M319" s="261" t="s">
        <v>9611</v>
      </c>
      <c r="N319" s="261"/>
      <c r="O319" s="261"/>
      <c r="P319" s="261" t="s">
        <v>650</v>
      </c>
      <c r="Q319" s="261" t="s">
        <v>6893</v>
      </c>
      <c r="R319" s="261" t="str">
        <f t="shared" si="13"/>
        <v>(Flame) Dragon Time +20%</v>
      </c>
      <c r="S319" s="330" t="str">
        <f t="shared" si="14"/>
        <v>(Flame) Skill Damage +40%</v>
      </c>
    </row>
    <row r="320" spans="1:19" x14ac:dyDescent="0.2">
      <c r="A320" s="306" t="s">
        <v>9546</v>
      </c>
      <c r="B320" s="261" t="s">
        <v>15313</v>
      </c>
      <c r="C320" s="261" t="s">
        <v>9547</v>
      </c>
      <c r="D320" s="261" t="s">
        <v>9548</v>
      </c>
      <c r="E320" s="261" t="str">
        <f t="shared" si="12"/>
        <v>Reclusive Flame</v>
      </c>
      <c r="F320" s="261" t="s">
        <v>9549</v>
      </c>
      <c r="G320" s="261">
        <v>5</v>
      </c>
      <c r="H320" s="261"/>
      <c r="I320" s="261" t="s">
        <v>122</v>
      </c>
      <c r="J320" s="261" t="s">
        <v>13936</v>
      </c>
      <c r="K320" s="261" t="s">
        <v>9557</v>
      </c>
      <c r="L320" s="261"/>
      <c r="M320" s="261" t="s">
        <v>9558</v>
      </c>
      <c r="N320" s="261"/>
      <c r="O320" s="261"/>
      <c r="P320" s="261" t="s">
        <v>126</v>
      </c>
      <c r="Q320" s="261" t="s">
        <v>2974</v>
      </c>
      <c r="R320" s="261" t="str">
        <f t="shared" si="13"/>
        <v>(Flame) Dragon Haste +15%</v>
      </c>
      <c r="S320" s="330" t="str">
        <f t="shared" si="14"/>
        <v>(Flame) Elemental Res +15%</v>
      </c>
    </row>
    <row r="321" spans="1:19" x14ac:dyDescent="0.2">
      <c r="A321" s="306" t="s">
        <v>9656</v>
      </c>
      <c r="B321" s="261" t="s">
        <v>15314</v>
      </c>
      <c r="C321" s="261" t="s">
        <v>9657</v>
      </c>
      <c r="D321" s="261" t="s">
        <v>9658</v>
      </c>
      <c r="E321" s="261" t="str">
        <f t="shared" si="12"/>
        <v>Azure Beacon</v>
      </c>
      <c r="F321" s="261" t="s">
        <v>9659</v>
      </c>
      <c r="G321" s="261">
        <v>5</v>
      </c>
      <c r="H321" s="261"/>
      <c r="I321" s="261" t="s">
        <v>122</v>
      </c>
      <c r="J321" s="261" t="s">
        <v>13936</v>
      </c>
      <c r="K321" s="261" t="s">
        <v>9667</v>
      </c>
      <c r="L321" s="261"/>
      <c r="M321" s="261" t="s">
        <v>8899</v>
      </c>
      <c r="N321" s="261"/>
      <c r="O321" s="261"/>
      <c r="P321" s="261" t="s">
        <v>126</v>
      </c>
      <c r="Q321" s="261" t="s">
        <v>316</v>
      </c>
      <c r="R321" s="261" t="str">
        <f t="shared" si="13"/>
        <v>(Flame) Dragon Haste +15%</v>
      </c>
      <c r="S321" s="330" t="str">
        <f t="shared" si="14"/>
        <v>(Flame) Skill Haste +10%</v>
      </c>
    </row>
    <row r="322" spans="1:19" x14ac:dyDescent="0.2">
      <c r="A322" s="306" t="s">
        <v>9770</v>
      </c>
      <c r="B322" s="261" t="s">
        <v>15315</v>
      </c>
      <c r="C322" s="261" t="s">
        <v>9771</v>
      </c>
      <c r="D322" s="261" t="s">
        <v>9772</v>
      </c>
      <c r="E322" s="261" t="str">
        <f t="shared" ref="E322:E385" si="15">+F322</f>
        <v>Underworld Gatekeeper</v>
      </c>
      <c r="F322" s="261" t="s">
        <v>9773</v>
      </c>
      <c r="G322" s="261">
        <v>5</v>
      </c>
      <c r="H322" s="261"/>
      <c r="I322" s="261" t="s">
        <v>122</v>
      </c>
      <c r="J322" s="261" t="s">
        <v>13936</v>
      </c>
      <c r="K322" s="261" t="s">
        <v>9012</v>
      </c>
      <c r="L322" s="261"/>
      <c r="M322" s="261" t="s">
        <v>9781</v>
      </c>
      <c r="N322" s="261"/>
      <c r="O322" s="261"/>
      <c r="P322" s="261" t="s">
        <v>126</v>
      </c>
      <c r="Q322" s="261" t="s">
        <v>6893</v>
      </c>
      <c r="R322" s="261" t="str">
        <f t="shared" si="13"/>
        <v>(Flame) Dragon Haste +15%</v>
      </c>
      <c r="S322" s="330" t="str">
        <f t="shared" si="14"/>
        <v>(Flame) Skill Damage +40%</v>
      </c>
    </row>
    <row r="323" spans="1:19" x14ac:dyDescent="0.2">
      <c r="A323" s="306" t="s">
        <v>9713</v>
      </c>
      <c r="B323" s="261" t="s">
        <v>15316</v>
      </c>
      <c r="C323" s="261" t="s">
        <v>9714</v>
      </c>
      <c r="D323" s="261" t="s">
        <v>9715</v>
      </c>
      <c r="E323" s="261" t="str">
        <f t="shared" si="15"/>
        <v>Faithful Vassal</v>
      </c>
      <c r="F323" s="261" t="s">
        <v>9716</v>
      </c>
      <c r="G323" s="261">
        <v>5</v>
      </c>
      <c r="H323" s="261"/>
      <c r="I323" s="261" t="s">
        <v>122</v>
      </c>
      <c r="J323" s="261" t="s">
        <v>13936</v>
      </c>
      <c r="K323" s="261" t="s">
        <v>9722</v>
      </c>
      <c r="L323" s="261"/>
      <c r="M323" s="261" t="s">
        <v>9723</v>
      </c>
      <c r="N323" s="261"/>
      <c r="O323" s="261"/>
      <c r="P323" s="261" t="s">
        <v>650</v>
      </c>
      <c r="Q323" s="261" t="s">
        <v>316</v>
      </c>
      <c r="R323" s="261" t="str">
        <f t="shared" ref="R323:R386" si="16">+"("&amp;I323&amp;") "&amp;P323</f>
        <v>(Flame) Dragon Time +20%</v>
      </c>
      <c r="S323" s="330" t="str">
        <f t="shared" ref="S323:S386" si="17">+"("&amp;I323&amp;") "&amp;Q323</f>
        <v>(Flame) Skill Haste +10%</v>
      </c>
    </row>
    <row r="324" spans="1:19" x14ac:dyDescent="0.2">
      <c r="A324" s="306" t="s">
        <v>9243</v>
      </c>
      <c r="B324" s="261" t="s">
        <v>15317</v>
      </c>
      <c r="C324" s="261" t="s">
        <v>9244</v>
      </c>
      <c r="D324" s="261" t="s">
        <v>9245</v>
      </c>
      <c r="E324" s="261" t="str">
        <f t="shared" si="15"/>
        <v>Crimson Companion</v>
      </c>
      <c r="F324" s="261" t="s">
        <v>9246</v>
      </c>
      <c r="G324" s="261">
        <v>5</v>
      </c>
      <c r="H324" s="261"/>
      <c r="I324" s="261" t="s">
        <v>122</v>
      </c>
      <c r="J324" s="261" t="s">
        <v>13936</v>
      </c>
      <c r="K324" s="261" t="s">
        <v>9253</v>
      </c>
      <c r="L324" s="261"/>
      <c r="M324" s="261" t="s">
        <v>9254</v>
      </c>
      <c r="N324" s="261"/>
      <c r="O324" s="261"/>
      <c r="P324" s="261" t="s">
        <v>650</v>
      </c>
      <c r="Q324" s="261" t="s">
        <v>618</v>
      </c>
      <c r="R324" s="261" t="str">
        <f t="shared" si="16"/>
        <v>(Flame) Dragon Time +20%</v>
      </c>
      <c r="S324" s="330" t="str">
        <f t="shared" si="17"/>
        <v>(Flame) Defense +20%</v>
      </c>
    </row>
    <row r="325" spans="1:19" x14ac:dyDescent="0.2">
      <c r="A325" s="306" t="s">
        <v>9829</v>
      </c>
      <c r="B325" s="261" t="s">
        <v>15318</v>
      </c>
      <c r="C325" s="261" t="s">
        <v>9830</v>
      </c>
      <c r="D325" s="261" t="s">
        <v>9831</v>
      </c>
      <c r="E325" s="261" t="str">
        <f t="shared" si="15"/>
        <v>Rapacious Firelord</v>
      </c>
      <c r="F325" s="261" t="s">
        <v>9832</v>
      </c>
      <c r="G325" s="261">
        <v>5</v>
      </c>
      <c r="H325" s="261"/>
      <c r="I325" s="261" t="s">
        <v>122</v>
      </c>
      <c r="J325" s="261" t="s">
        <v>13936</v>
      </c>
      <c r="K325" s="261" t="s">
        <v>9012</v>
      </c>
      <c r="L325" s="261"/>
      <c r="M325" s="261" t="s">
        <v>8899</v>
      </c>
      <c r="N325" s="261"/>
      <c r="O325" s="261"/>
      <c r="P325" s="261" t="s">
        <v>7254</v>
      </c>
      <c r="Q325" s="261" t="s">
        <v>6601</v>
      </c>
      <c r="R325" s="261" t="str">
        <f t="shared" si="16"/>
        <v>(Flame) Dragon Damage +18%</v>
      </c>
      <c r="S325" s="330" t="str">
        <f t="shared" si="17"/>
        <v>(Flame) Critical Rate +15%</v>
      </c>
    </row>
    <row r="326" spans="1:19" x14ac:dyDescent="0.2">
      <c r="A326" s="306" t="s">
        <v>9354</v>
      </c>
      <c r="B326" s="261" t="s">
        <v>15319</v>
      </c>
      <c r="C326" s="261" t="s">
        <v>9355</v>
      </c>
      <c r="D326" s="261" t="s">
        <v>9356</v>
      </c>
      <c r="E326" s="261" t="str">
        <f t="shared" si="15"/>
        <v>Ferocious Fighter</v>
      </c>
      <c r="F326" s="261" t="s">
        <v>9357</v>
      </c>
      <c r="G326" s="261">
        <v>4</v>
      </c>
      <c r="H326" s="261"/>
      <c r="I326" s="261" t="s">
        <v>122</v>
      </c>
      <c r="J326" s="261" t="s">
        <v>13936</v>
      </c>
      <c r="K326" s="261" t="s">
        <v>9253</v>
      </c>
      <c r="L326" s="261"/>
      <c r="M326" s="261" t="s">
        <v>8899</v>
      </c>
      <c r="N326" s="261"/>
      <c r="O326" s="261"/>
      <c r="P326" s="261" t="s">
        <v>7254</v>
      </c>
      <c r="Q326" s="261" t="s">
        <v>682</v>
      </c>
      <c r="R326" s="261" t="str">
        <f t="shared" si="16"/>
        <v>(Flame) Dragon Damage +18%</v>
      </c>
      <c r="S326" s="330" t="str">
        <f t="shared" si="17"/>
        <v>(Flame) HP +15%</v>
      </c>
    </row>
    <row r="327" spans="1:19" x14ac:dyDescent="0.2">
      <c r="A327" s="306" t="s">
        <v>9296</v>
      </c>
      <c r="B327" s="261" t="s">
        <v>15320</v>
      </c>
      <c r="C327" s="261" t="s">
        <v>9297</v>
      </c>
      <c r="D327" s="261" t="s">
        <v>9298</v>
      </c>
      <c r="E327" s="261" t="str">
        <f t="shared" si="15"/>
        <v>Bewitching Immortal</v>
      </c>
      <c r="F327" s="261" t="s">
        <v>9299</v>
      </c>
      <c r="G327" s="261">
        <v>4</v>
      </c>
      <c r="H327" s="261"/>
      <c r="I327" s="261" t="s">
        <v>122</v>
      </c>
      <c r="J327" s="261" t="s">
        <v>13936</v>
      </c>
      <c r="K327" s="261" t="s">
        <v>9307</v>
      </c>
      <c r="L327" s="261"/>
      <c r="M327" s="261" t="s">
        <v>9308</v>
      </c>
      <c r="N327" s="261"/>
      <c r="O327" s="261"/>
      <c r="P327" s="261" t="s">
        <v>650</v>
      </c>
      <c r="Q327" s="261" t="s">
        <v>417</v>
      </c>
      <c r="R327" s="261" t="str">
        <f t="shared" si="16"/>
        <v>(Flame) Dragon Time +20%</v>
      </c>
      <c r="S327" s="330" t="str">
        <f t="shared" si="17"/>
        <v>(Flame) Overdrive Punisher +15%</v>
      </c>
    </row>
    <row r="328" spans="1:19" x14ac:dyDescent="0.2">
      <c r="A328" s="306" t="s">
        <v>9186</v>
      </c>
      <c r="B328" s="261" t="s">
        <v>15321</v>
      </c>
      <c r="C328" s="261" t="s">
        <v>9187</v>
      </c>
      <c r="D328" s="261" t="s">
        <v>9188</v>
      </c>
      <c r="E328" s="261" t="str">
        <f t="shared" si="15"/>
        <v>Crimson Sweetheart</v>
      </c>
      <c r="F328" s="261" t="s">
        <v>9189</v>
      </c>
      <c r="G328" s="261">
        <v>4</v>
      </c>
      <c r="H328" s="261"/>
      <c r="I328" s="261" t="s">
        <v>122</v>
      </c>
      <c r="J328" s="261" t="s">
        <v>13936</v>
      </c>
      <c r="K328" s="261" t="s">
        <v>9197</v>
      </c>
      <c r="L328" s="261"/>
      <c r="M328" s="261" t="s">
        <v>650</v>
      </c>
      <c r="N328" s="261"/>
      <c r="O328" s="261"/>
      <c r="P328" s="261" t="s">
        <v>650</v>
      </c>
      <c r="Q328" s="261" t="s">
        <v>682</v>
      </c>
      <c r="R328" s="261" t="str">
        <f t="shared" si="16"/>
        <v>(Flame) Dragon Time +20%</v>
      </c>
      <c r="S328" s="330" t="str">
        <f t="shared" si="17"/>
        <v>(Flame) HP +15%</v>
      </c>
    </row>
    <row r="329" spans="1:19" x14ac:dyDescent="0.2">
      <c r="A329" s="306" t="s">
        <v>9925</v>
      </c>
      <c r="B329" s="261" t="s">
        <v>15322</v>
      </c>
      <c r="C329" s="261" t="s">
        <v>9926</v>
      </c>
      <c r="D329" s="261" t="s">
        <v>9927</v>
      </c>
      <c r="E329" s="261" t="str">
        <f t="shared" si="15"/>
        <v>N/A</v>
      </c>
      <c r="F329" s="261" t="s">
        <v>137</v>
      </c>
      <c r="G329" s="261">
        <v>3</v>
      </c>
      <c r="H329" s="261"/>
      <c r="I329" s="261" t="s">
        <v>122</v>
      </c>
      <c r="J329" s="261" t="s">
        <v>13936</v>
      </c>
      <c r="K329" s="261" t="s">
        <v>9610</v>
      </c>
      <c r="L329" s="261"/>
      <c r="M329" s="261"/>
      <c r="N329" s="261"/>
      <c r="O329" s="261"/>
      <c r="P329" s="261" t="s">
        <v>650</v>
      </c>
      <c r="Q329" s="261" t="s">
        <v>909</v>
      </c>
      <c r="R329" s="261" t="str">
        <f t="shared" si="16"/>
        <v>(Flame) Dragon Time +20%</v>
      </c>
      <c r="S329" s="330" t="str">
        <f t="shared" si="17"/>
        <v>(Flame) Broken Punisher +30%</v>
      </c>
    </row>
    <row r="330" spans="1:19" x14ac:dyDescent="0.2">
      <c r="A330" s="306" t="s">
        <v>9884</v>
      </c>
      <c r="B330" s="261" t="s">
        <v>15323</v>
      </c>
      <c r="C330" s="261" t="s">
        <v>9885</v>
      </c>
      <c r="D330" s="261" t="s">
        <v>9886</v>
      </c>
      <c r="E330" s="261" t="str">
        <f t="shared" si="15"/>
        <v>N/A</v>
      </c>
      <c r="F330" s="261" t="s">
        <v>137</v>
      </c>
      <c r="G330" s="261">
        <v>3</v>
      </c>
      <c r="H330" s="261"/>
      <c r="I330" s="261" t="s">
        <v>122</v>
      </c>
      <c r="J330" s="261" t="s">
        <v>13936</v>
      </c>
      <c r="K330" s="261" t="s">
        <v>9894</v>
      </c>
      <c r="L330" s="261"/>
      <c r="M330" s="261"/>
      <c r="N330" s="261"/>
      <c r="O330" s="261"/>
      <c r="P330" s="261" t="s">
        <v>126</v>
      </c>
      <c r="Q330" s="261" t="s">
        <v>909</v>
      </c>
      <c r="R330" s="261" t="str">
        <f t="shared" si="16"/>
        <v>(Flame) Dragon Haste +15%</v>
      </c>
      <c r="S330" s="330" t="str">
        <f t="shared" si="17"/>
        <v>(Flame) Broken Punisher +30%</v>
      </c>
    </row>
    <row r="331" spans="1:19" x14ac:dyDescent="0.2">
      <c r="A331" s="306" t="s">
        <v>9963</v>
      </c>
      <c r="B331" s="261" t="s">
        <v>15324</v>
      </c>
      <c r="C331" s="261" t="s">
        <v>9964</v>
      </c>
      <c r="D331" s="261" t="s">
        <v>9965</v>
      </c>
      <c r="E331" s="261" t="str">
        <f t="shared" si="15"/>
        <v>N/A</v>
      </c>
      <c r="F331" s="261" t="s">
        <v>137</v>
      </c>
      <c r="G331" s="261">
        <v>3</v>
      </c>
      <c r="H331" s="261"/>
      <c r="I331" s="261" t="s">
        <v>122</v>
      </c>
      <c r="J331" s="261" t="s">
        <v>13936</v>
      </c>
      <c r="K331" s="261" t="s">
        <v>9972</v>
      </c>
      <c r="L331" s="261"/>
      <c r="M331" s="261"/>
      <c r="N331" s="261"/>
      <c r="O331" s="261"/>
      <c r="P331" s="261" t="s">
        <v>7254</v>
      </c>
      <c r="Q331" s="261" t="s">
        <v>909</v>
      </c>
      <c r="R331" s="261" t="str">
        <f t="shared" si="16"/>
        <v>(Flame) Dragon Damage +18%</v>
      </c>
      <c r="S331" s="330" t="str">
        <f t="shared" si="17"/>
        <v>(Flame) Broken Punisher +30%</v>
      </c>
    </row>
    <row r="332" spans="1:19" x14ac:dyDescent="0.2">
      <c r="A332" s="306" t="s">
        <v>8772</v>
      </c>
      <c r="B332" s="261" t="s">
        <v>15325</v>
      </c>
      <c r="C332" s="261" t="s">
        <v>8773</v>
      </c>
      <c r="D332" s="261" t="s">
        <v>8774</v>
      </c>
      <c r="E332" s="261" t="str">
        <f t="shared" si="15"/>
        <v>Wings of Judgment</v>
      </c>
      <c r="F332" s="261" t="s">
        <v>8775</v>
      </c>
      <c r="G332" s="261">
        <v>5</v>
      </c>
      <c r="H332" s="261"/>
      <c r="I332" s="261" t="s">
        <v>1103</v>
      </c>
      <c r="J332" s="261" t="s">
        <v>13936</v>
      </c>
      <c r="K332" s="261" t="s">
        <v>8784</v>
      </c>
      <c r="L332" s="261"/>
      <c r="M332" s="261" t="s">
        <v>8785</v>
      </c>
      <c r="N332" s="261"/>
      <c r="O332" s="261"/>
      <c r="P332" s="261" t="s">
        <v>126</v>
      </c>
      <c r="Q332" s="261" t="s">
        <v>6911</v>
      </c>
      <c r="R332" s="261" t="str">
        <f t="shared" si="16"/>
        <v>(Water) Dragon Haste +15%</v>
      </c>
      <c r="S332" s="330" t="str">
        <f t="shared" si="17"/>
        <v>(Water) Strength +20%</v>
      </c>
    </row>
    <row r="333" spans="1:19" x14ac:dyDescent="0.2">
      <c r="A333" s="306" t="s">
        <v>9783</v>
      </c>
      <c r="B333" s="261" t="s">
        <v>15326</v>
      </c>
      <c r="C333" s="261" t="s">
        <v>9784</v>
      </c>
      <c r="D333" s="261" t="s">
        <v>9785</v>
      </c>
      <c r="E333" s="261" t="str">
        <f t="shared" si="15"/>
        <v>Beachside Dawn Dragon</v>
      </c>
      <c r="F333" s="261" t="s">
        <v>9786</v>
      </c>
      <c r="G333" s="261">
        <v>5</v>
      </c>
      <c r="H333" s="261"/>
      <c r="I333" s="261" t="s">
        <v>1103</v>
      </c>
      <c r="J333" s="261" t="s">
        <v>13936</v>
      </c>
      <c r="K333" s="261" t="s">
        <v>9012</v>
      </c>
      <c r="L333" s="261"/>
      <c r="M333" s="261" t="s">
        <v>9781</v>
      </c>
      <c r="N333" s="261"/>
      <c r="O333" s="261"/>
      <c r="P333" s="261" t="s">
        <v>126</v>
      </c>
      <c r="Q333" s="261" t="s">
        <v>6893</v>
      </c>
      <c r="R333" s="261" t="str">
        <f t="shared" si="16"/>
        <v>(Water) Dragon Haste +15%</v>
      </c>
      <c r="S333" s="330" t="str">
        <f t="shared" si="17"/>
        <v>(Water) Skill Damage +40%</v>
      </c>
    </row>
    <row r="334" spans="1:19" x14ac:dyDescent="0.2">
      <c r="A334" s="306" t="s">
        <v>9412</v>
      </c>
      <c r="B334" s="261" t="s">
        <v>15327</v>
      </c>
      <c r="C334" s="261" t="s">
        <v>9413</v>
      </c>
      <c r="D334" s="261" t="s">
        <v>9414</v>
      </c>
      <c r="E334" s="261" t="str">
        <f t="shared" si="15"/>
        <v>Mama to All</v>
      </c>
      <c r="F334" s="261" t="s">
        <v>9415</v>
      </c>
      <c r="G334" s="261">
        <v>5</v>
      </c>
      <c r="H334" s="261"/>
      <c r="I334" s="261" t="s">
        <v>1103</v>
      </c>
      <c r="J334" s="261" t="s">
        <v>13936</v>
      </c>
      <c r="K334" s="261" t="s">
        <v>7601</v>
      </c>
      <c r="L334" s="261"/>
      <c r="M334" s="261"/>
      <c r="N334" s="261"/>
      <c r="O334" s="261"/>
      <c r="P334" s="261" t="s">
        <v>126</v>
      </c>
      <c r="Q334" s="261" t="s">
        <v>1591</v>
      </c>
      <c r="R334" s="261" t="str">
        <f t="shared" si="16"/>
        <v>(Water) Dragon Haste +15%</v>
      </c>
      <c r="S334" s="330" t="str">
        <f t="shared" si="17"/>
        <v>(Water) Skill Prep +50%</v>
      </c>
    </row>
    <row r="335" spans="1:19" x14ac:dyDescent="0.2">
      <c r="A335" s="306" t="s">
        <v>8836</v>
      </c>
      <c r="B335" s="261" t="s">
        <v>15328</v>
      </c>
      <c r="C335" s="261" t="s">
        <v>8837</v>
      </c>
      <c r="D335" s="261" t="s">
        <v>8838</v>
      </c>
      <c r="E335" s="261" t="str">
        <f t="shared" si="15"/>
        <v>Blessed Angel</v>
      </c>
      <c r="F335" s="261" t="s">
        <v>8839</v>
      </c>
      <c r="G335" s="261">
        <v>5</v>
      </c>
      <c r="H335" s="261"/>
      <c r="I335" s="261" t="s">
        <v>1103</v>
      </c>
      <c r="J335" s="261" t="s">
        <v>13936</v>
      </c>
      <c r="K335" s="261" t="s">
        <v>8833</v>
      </c>
      <c r="L335" s="261"/>
      <c r="M335" s="261" t="s">
        <v>8848</v>
      </c>
      <c r="N335" s="261"/>
      <c r="O335" s="261"/>
      <c r="P335" s="261" t="s">
        <v>7254</v>
      </c>
      <c r="Q335" s="261" t="s">
        <v>2974</v>
      </c>
      <c r="R335" s="261" t="str">
        <f t="shared" si="16"/>
        <v>(Water) Dragon Damage +18%</v>
      </c>
      <c r="S335" s="330" t="str">
        <f t="shared" si="17"/>
        <v>(Water) Elemental Res +15%</v>
      </c>
    </row>
    <row r="336" spans="1:19" x14ac:dyDescent="0.2">
      <c r="A336" s="306" t="s">
        <v>9139</v>
      </c>
      <c r="B336" s="261" t="s">
        <v>15329</v>
      </c>
      <c r="C336" s="261" t="s">
        <v>9140</v>
      </c>
      <c r="D336" s="261" t="s">
        <v>9141</v>
      </c>
      <c r="E336" s="261" t="str">
        <f t="shared" si="15"/>
        <v>Courageous Seafarer</v>
      </c>
      <c r="F336" s="261" t="s">
        <v>9142</v>
      </c>
      <c r="G336" s="261">
        <v>5</v>
      </c>
      <c r="H336" s="261"/>
      <c r="I336" s="261" t="s">
        <v>1103</v>
      </c>
      <c r="J336" s="261" t="s">
        <v>13936</v>
      </c>
      <c r="K336" s="261" t="s">
        <v>9012</v>
      </c>
      <c r="L336" s="261"/>
      <c r="M336" s="261" t="s">
        <v>9137</v>
      </c>
      <c r="N336" s="261"/>
      <c r="O336" s="261"/>
      <c r="P336" s="261" t="s">
        <v>650</v>
      </c>
      <c r="Q336" s="261" t="s">
        <v>6601</v>
      </c>
      <c r="R336" s="261" t="str">
        <f t="shared" si="16"/>
        <v>(Water) Dragon Time +20%</v>
      </c>
      <c r="S336" s="330" t="str">
        <f t="shared" si="17"/>
        <v>(Water) Critical Rate +15%</v>
      </c>
    </row>
    <row r="337" spans="1:19" x14ac:dyDescent="0.2">
      <c r="A337" s="306" t="s">
        <v>9015</v>
      </c>
      <c r="B337" s="261" t="s">
        <v>15330</v>
      </c>
      <c r="C337" s="261" t="s">
        <v>9016</v>
      </c>
      <c r="D337" s="261" t="s">
        <v>9017</v>
      </c>
      <c r="E337" s="261" t="str">
        <f t="shared" si="15"/>
        <v>Mischievous Guardian</v>
      </c>
      <c r="F337" s="261" t="s">
        <v>9018</v>
      </c>
      <c r="G337" s="261">
        <v>5</v>
      </c>
      <c r="H337" s="261"/>
      <c r="I337" s="261" t="s">
        <v>1103</v>
      </c>
      <c r="J337" s="261" t="s">
        <v>13936</v>
      </c>
      <c r="K337" s="261" t="s">
        <v>9012</v>
      </c>
      <c r="L337" s="261"/>
      <c r="M337" s="261" t="s">
        <v>9013</v>
      </c>
      <c r="N337" s="261"/>
      <c r="O337" s="261"/>
      <c r="P337" s="261" t="s">
        <v>126</v>
      </c>
      <c r="Q337" s="261" t="s">
        <v>14997</v>
      </c>
      <c r="R337" s="261" t="str">
        <f t="shared" si="16"/>
        <v>(Water) Dragon Haste +15%</v>
      </c>
      <c r="S337" s="330" t="str">
        <f t="shared" si="17"/>
        <v>(Water) Critical Damage +25%</v>
      </c>
    </row>
    <row r="338" spans="1:19" x14ac:dyDescent="0.2">
      <c r="A338" s="306" t="s">
        <v>9725</v>
      </c>
      <c r="B338" s="261" t="s">
        <v>15331</v>
      </c>
      <c r="C338" s="261" t="s">
        <v>9726</v>
      </c>
      <c r="D338" s="261" t="s">
        <v>9727</v>
      </c>
      <c r="E338" s="261" t="str">
        <f t="shared" si="15"/>
        <v>Delightful Dreamer</v>
      </c>
      <c r="F338" s="261" t="s">
        <v>9728</v>
      </c>
      <c r="G338" s="261">
        <v>5</v>
      </c>
      <c r="H338" s="261"/>
      <c r="I338" s="261" t="s">
        <v>1103</v>
      </c>
      <c r="J338" s="261" t="s">
        <v>13936</v>
      </c>
      <c r="K338" s="261" t="s">
        <v>9722</v>
      </c>
      <c r="L338" s="261"/>
      <c r="M338" s="261" t="s">
        <v>9723</v>
      </c>
      <c r="N338" s="261"/>
      <c r="O338" s="261"/>
      <c r="P338" s="261" t="s">
        <v>650</v>
      </c>
      <c r="Q338" s="261" t="s">
        <v>316</v>
      </c>
      <c r="R338" s="261" t="str">
        <f t="shared" si="16"/>
        <v>(Water) Dragon Time +20%</v>
      </c>
      <c r="S338" s="330" t="str">
        <f t="shared" si="17"/>
        <v>(Water) Skill Haste +10%</v>
      </c>
    </row>
    <row r="339" spans="1:19" x14ac:dyDescent="0.2">
      <c r="A339" s="306" t="s">
        <v>8959</v>
      </c>
      <c r="B339" s="261" t="s">
        <v>15332</v>
      </c>
      <c r="C339" s="261" t="s">
        <v>8960</v>
      </c>
      <c r="D339" s="261" t="s">
        <v>8961</v>
      </c>
      <c r="E339" s="261" t="str">
        <f t="shared" si="15"/>
        <v>Gluttonous Gourmand</v>
      </c>
      <c r="F339" s="261" t="s">
        <v>8962</v>
      </c>
      <c r="G339" s="261">
        <v>5</v>
      </c>
      <c r="H339" s="261"/>
      <c r="I339" s="261" t="s">
        <v>1103</v>
      </c>
      <c r="J339" s="261" t="s">
        <v>13936</v>
      </c>
      <c r="K339" s="261" t="s">
        <v>8956</v>
      </c>
      <c r="L339" s="261"/>
      <c r="M339" s="261" t="s">
        <v>8957</v>
      </c>
      <c r="N339" s="261"/>
      <c r="O339" s="261"/>
      <c r="P339" s="261" t="s">
        <v>650</v>
      </c>
      <c r="Q339" s="261" t="s">
        <v>14997</v>
      </c>
      <c r="R339" s="261" t="str">
        <f t="shared" si="16"/>
        <v>(Water) Dragon Time +20%</v>
      </c>
      <c r="S339" s="330" t="str">
        <f t="shared" si="17"/>
        <v>(Water) Critical Damage +25%</v>
      </c>
    </row>
    <row r="340" spans="1:19" x14ac:dyDescent="0.2">
      <c r="A340" s="306" t="s">
        <v>9502</v>
      </c>
      <c r="B340" s="261" t="s">
        <v>15333</v>
      </c>
      <c r="C340" s="261" t="s">
        <v>9503</v>
      </c>
      <c r="D340" s="261" t="s">
        <v>9504</v>
      </c>
      <c r="E340" s="261" t="str">
        <f t="shared" si="15"/>
        <v>Guardian Wolf</v>
      </c>
      <c r="F340" s="261" t="s">
        <v>9505</v>
      </c>
      <c r="G340" s="261">
        <v>5</v>
      </c>
      <c r="H340" s="261"/>
      <c r="I340" s="261" t="s">
        <v>1103</v>
      </c>
      <c r="J340" s="261" t="s">
        <v>13936</v>
      </c>
      <c r="K340" s="261" t="s">
        <v>9499</v>
      </c>
      <c r="L340" s="261"/>
      <c r="M340" s="261" t="s">
        <v>9500</v>
      </c>
      <c r="N340" s="261"/>
      <c r="O340" s="261"/>
      <c r="P340" s="261" t="s">
        <v>7254</v>
      </c>
      <c r="Q340" s="261" t="s">
        <v>417</v>
      </c>
      <c r="R340" s="261" t="str">
        <f t="shared" si="16"/>
        <v>(Water) Dragon Damage +18%</v>
      </c>
      <c r="S340" s="330" t="str">
        <f t="shared" si="17"/>
        <v>(Water) Overdrive Punisher +15%</v>
      </c>
    </row>
    <row r="341" spans="1:19" x14ac:dyDescent="0.2">
      <c r="A341" s="306" t="s">
        <v>9669</v>
      </c>
      <c r="B341" s="261" t="s">
        <v>15334</v>
      </c>
      <c r="C341" s="261" t="s">
        <v>9670</v>
      </c>
      <c r="D341" s="261" t="s">
        <v>9671</v>
      </c>
      <c r="E341" s="261" t="str">
        <f t="shared" si="15"/>
        <v>The People's Magician</v>
      </c>
      <c r="F341" s="261" t="s">
        <v>9672</v>
      </c>
      <c r="G341" s="261">
        <v>5</v>
      </c>
      <c r="H341" s="261"/>
      <c r="I341" s="261" t="s">
        <v>1103</v>
      </c>
      <c r="J341" s="261" t="s">
        <v>13936</v>
      </c>
      <c r="K341" s="261" t="s">
        <v>9667</v>
      </c>
      <c r="L341" s="261"/>
      <c r="M341" s="261" t="s">
        <v>8899</v>
      </c>
      <c r="N341" s="261"/>
      <c r="O341" s="261"/>
      <c r="P341" s="261" t="s">
        <v>126</v>
      </c>
      <c r="Q341" s="261" t="s">
        <v>316</v>
      </c>
      <c r="R341" s="261" t="str">
        <f t="shared" si="16"/>
        <v>(Water) Dragon Haste +15%</v>
      </c>
      <c r="S341" s="330" t="str">
        <f t="shared" si="17"/>
        <v>(Water) Skill Haste +10%</v>
      </c>
    </row>
    <row r="342" spans="1:19" x14ac:dyDescent="0.2">
      <c r="A342" s="306" t="s">
        <v>9310</v>
      </c>
      <c r="B342" s="261" t="s">
        <v>15335</v>
      </c>
      <c r="C342" s="261" t="s">
        <v>9311</v>
      </c>
      <c r="D342" s="261" t="s">
        <v>9312</v>
      </c>
      <c r="E342" s="261" t="str">
        <f t="shared" si="15"/>
        <v>Caring Mother</v>
      </c>
      <c r="F342" s="261" t="s">
        <v>9313</v>
      </c>
      <c r="G342" s="261">
        <v>5</v>
      </c>
      <c r="H342" s="261"/>
      <c r="I342" s="261" t="s">
        <v>1103</v>
      </c>
      <c r="J342" s="261" t="s">
        <v>13936</v>
      </c>
      <c r="K342" s="261" t="s">
        <v>9307</v>
      </c>
      <c r="L342" s="261"/>
      <c r="M342" s="261" t="s">
        <v>9308</v>
      </c>
      <c r="N342" s="261"/>
      <c r="O342" s="261"/>
      <c r="P342" s="261" t="s">
        <v>650</v>
      </c>
      <c r="Q342" s="261" t="s">
        <v>417</v>
      </c>
      <c r="R342" s="261" t="str">
        <f t="shared" si="16"/>
        <v>(Water) Dragon Time +20%</v>
      </c>
      <c r="S342" s="330" t="str">
        <f t="shared" si="17"/>
        <v>(Water) Overdrive Punisher +15%</v>
      </c>
    </row>
    <row r="343" spans="1:19" x14ac:dyDescent="0.2">
      <c r="A343" s="306" t="s">
        <v>10040</v>
      </c>
      <c r="B343" s="261" t="s">
        <v>15336</v>
      </c>
      <c r="C343" s="261" t="s">
        <v>10041</v>
      </c>
      <c r="D343" s="261" t="s">
        <v>10042</v>
      </c>
      <c r="E343" s="261" t="str">
        <f t="shared" si="15"/>
        <v>Earthen Emancipator</v>
      </c>
      <c r="F343" s="261" t="s">
        <v>10043</v>
      </c>
      <c r="G343" s="261">
        <v>5</v>
      </c>
      <c r="H343" s="261"/>
      <c r="I343" s="261" t="s">
        <v>1103</v>
      </c>
      <c r="J343" s="261" t="s">
        <v>13936</v>
      </c>
      <c r="K343" s="261" t="s">
        <v>10051</v>
      </c>
      <c r="L343" s="261"/>
      <c r="M343" s="261" t="s">
        <v>9558</v>
      </c>
      <c r="N343" s="261"/>
      <c r="O343" s="261"/>
      <c r="P343" s="261" t="s">
        <v>126</v>
      </c>
      <c r="Q343" s="261" t="s">
        <v>618</v>
      </c>
      <c r="R343" s="261" t="str">
        <f t="shared" si="16"/>
        <v>(Water) Dragon Haste +15%</v>
      </c>
      <c r="S343" s="330" t="str">
        <f t="shared" si="17"/>
        <v>(Water) Defense +20%</v>
      </c>
    </row>
    <row r="344" spans="1:19" x14ac:dyDescent="0.2">
      <c r="A344" s="306" t="s">
        <v>8901</v>
      </c>
      <c r="B344" s="261" t="s">
        <v>15337</v>
      </c>
      <c r="C344" s="261" t="s">
        <v>8902</v>
      </c>
      <c r="D344" s="261" t="s">
        <v>8903</v>
      </c>
      <c r="E344" s="261" t="str">
        <f t="shared" si="15"/>
        <v>Defender of Dragonyule</v>
      </c>
      <c r="F344" s="261" t="s">
        <v>8904</v>
      </c>
      <c r="G344" s="261">
        <v>5</v>
      </c>
      <c r="H344" s="261"/>
      <c r="I344" s="261" t="s">
        <v>1103</v>
      </c>
      <c r="J344" s="261" t="s">
        <v>13936</v>
      </c>
      <c r="K344" s="261" t="s">
        <v>8898</v>
      </c>
      <c r="L344" s="261"/>
      <c r="M344" s="261" t="s">
        <v>8899</v>
      </c>
      <c r="N344" s="261"/>
      <c r="O344" s="261"/>
      <c r="P344" s="261" t="s">
        <v>126</v>
      </c>
      <c r="Q344" s="261" t="s">
        <v>6601</v>
      </c>
      <c r="R344" s="261" t="str">
        <f t="shared" si="16"/>
        <v>(Water) Dragon Haste +15%</v>
      </c>
      <c r="S344" s="330" t="str">
        <f t="shared" si="17"/>
        <v>(Water) Critical Rate +15%</v>
      </c>
    </row>
    <row r="345" spans="1:19" x14ac:dyDescent="0.2">
      <c r="A345" s="306" t="s">
        <v>9613</v>
      </c>
      <c r="B345" s="261" t="s">
        <v>15338</v>
      </c>
      <c r="C345" s="261" t="s">
        <v>9614</v>
      </c>
      <c r="D345" s="261" t="s">
        <v>9615</v>
      </c>
      <c r="E345" s="261" t="str">
        <f t="shared" si="15"/>
        <v>Spellbinding Singer</v>
      </c>
      <c r="F345" s="261" t="s">
        <v>9616</v>
      </c>
      <c r="G345" s="261">
        <v>5</v>
      </c>
      <c r="H345" s="261"/>
      <c r="I345" s="261" t="s">
        <v>1103</v>
      </c>
      <c r="J345" s="261" t="s">
        <v>13936</v>
      </c>
      <c r="K345" s="261" t="s">
        <v>9610</v>
      </c>
      <c r="L345" s="261"/>
      <c r="M345" s="261" t="s">
        <v>9611</v>
      </c>
      <c r="N345" s="261"/>
      <c r="O345" s="261"/>
      <c r="P345" s="261" t="s">
        <v>650</v>
      </c>
      <c r="Q345" s="261" t="s">
        <v>6893</v>
      </c>
      <c r="R345" s="261" t="str">
        <f t="shared" si="16"/>
        <v>(Water) Dragon Time +20%</v>
      </c>
      <c r="S345" s="330" t="str">
        <f t="shared" si="17"/>
        <v>(Water) Skill Damage +40%</v>
      </c>
    </row>
    <row r="346" spans="1:19" x14ac:dyDescent="0.2">
      <c r="A346" s="306" t="s">
        <v>9840</v>
      </c>
      <c r="B346" s="261" t="s">
        <v>15339</v>
      </c>
      <c r="C346" s="261" t="s">
        <v>9841</v>
      </c>
      <c r="D346" s="261" t="s">
        <v>9842</v>
      </c>
      <c r="E346" s="261" t="str">
        <f t="shared" si="15"/>
        <v>Ruler of the Seas</v>
      </c>
      <c r="F346" s="261" t="s">
        <v>9843</v>
      </c>
      <c r="G346" s="261">
        <v>5</v>
      </c>
      <c r="H346" s="261"/>
      <c r="I346" s="261" t="s">
        <v>1103</v>
      </c>
      <c r="J346" s="261" t="s">
        <v>13936</v>
      </c>
      <c r="K346" s="261" t="s">
        <v>9012</v>
      </c>
      <c r="L346" s="261"/>
      <c r="M346" s="261" t="s">
        <v>8899</v>
      </c>
      <c r="N346" s="261"/>
      <c r="O346" s="261"/>
      <c r="P346" s="261" t="s">
        <v>7254</v>
      </c>
      <c r="Q346" s="261" t="s">
        <v>6601</v>
      </c>
      <c r="R346" s="261" t="str">
        <f t="shared" si="16"/>
        <v>(Water) Dragon Damage +18%</v>
      </c>
      <c r="S346" s="330" t="str">
        <f t="shared" si="17"/>
        <v>(Water) Critical Rate +15%</v>
      </c>
    </row>
    <row r="347" spans="1:19" x14ac:dyDescent="0.2">
      <c r="A347" s="306" t="s">
        <v>9256</v>
      </c>
      <c r="B347" s="261" t="s">
        <v>15340</v>
      </c>
      <c r="C347" s="261" t="s">
        <v>9257</v>
      </c>
      <c r="D347" s="261" t="s">
        <v>9258</v>
      </c>
      <c r="E347" s="261" t="str">
        <f t="shared" si="15"/>
        <v>Compassionate Soul</v>
      </c>
      <c r="F347" s="261" t="s">
        <v>9259</v>
      </c>
      <c r="G347" s="261">
        <v>5</v>
      </c>
      <c r="H347" s="261"/>
      <c r="I347" s="261" t="s">
        <v>1103</v>
      </c>
      <c r="J347" s="261" t="s">
        <v>13936</v>
      </c>
      <c r="K347" s="261" t="s">
        <v>9253</v>
      </c>
      <c r="L347" s="261"/>
      <c r="M347" s="261" t="s">
        <v>9254</v>
      </c>
      <c r="N347" s="261"/>
      <c r="O347" s="261"/>
      <c r="P347" s="261" t="s">
        <v>650</v>
      </c>
      <c r="Q347" s="261" t="s">
        <v>618</v>
      </c>
      <c r="R347" s="261" t="str">
        <f t="shared" si="16"/>
        <v>(Water) Dragon Time +20%</v>
      </c>
      <c r="S347" s="330" t="str">
        <f t="shared" si="17"/>
        <v>(Water) Defense +20%</v>
      </c>
    </row>
    <row r="348" spans="1:19" x14ac:dyDescent="0.2">
      <c r="A348" s="306" t="s">
        <v>9366</v>
      </c>
      <c r="B348" s="261" t="s">
        <v>15341</v>
      </c>
      <c r="C348" s="261" t="s">
        <v>9367</v>
      </c>
      <c r="D348" s="261" t="s">
        <v>9368</v>
      </c>
      <c r="E348" s="261" t="str">
        <f t="shared" si="15"/>
        <v>Ocean Voyager</v>
      </c>
      <c r="F348" s="261" t="s">
        <v>9369</v>
      </c>
      <c r="G348" s="261">
        <v>5</v>
      </c>
      <c r="H348" s="261"/>
      <c r="I348" s="261" t="s">
        <v>1103</v>
      </c>
      <c r="J348" s="261" t="s">
        <v>13936</v>
      </c>
      <c r="K348" s="261" t="s">
        <v>9253</v>
      </c>
      <c r="L348" s="261"/>
      <c r="M348" s="261" t="s">
        <v>8899</v>
      </c>
      <c r="N348" s="261"/>
      <c r="O348" s="261"/>
      <c r="P348" s="261" t="s">
        <v>7254</v>
      </c>
      <c r="Q348" s="261" t="s">
        <v>682</v>
      </c>
      <c r="R348" s="261" t="str">
        <f t="shared" si="16"/>
        <v>(Water) Dragon Damage +18%</v>
      </c>
      <c r="S348" s="330" t="str">
        <f t="shared" si="17"/>
        <v>(Water) HP +15%</v>
      </c>
    </row>
    <row r="349" spans="1:19" x14ac:dyDescent="0.2">
      <c r="A349" s="306" t="s">
        <v>8689</v>
      </c>
      <c r="B349" s="261" t="s">
        <v>15342</v>
      </c>
      <c r="C349" s="261" t="s">
        <v>8690</v>
      </c>
      <c r="D349" s="261" t="s">
        <v>8691</v>
      </c>
      <c r="E349" s="261" t="str">
        <f t="shared" si="15"/>
        <v>Ephemeral One</v>
      </c>
      <c r="F349" s="261" t="s">
        <v>8692</v>
      </c>
      <c r="G349" s="261">
        <v>4</v>
      </c>
      <c r="H349" s="261"/>
      <c r="I349" s="261" t="s">
        <v>1103</v>
      </c>
      <c r="J349" s="261" t="s">
        <v>13936</v>
      </c>
      <c r="K349" s="261" t="s">
        <v>8673</v>
      </c>
      <c r="L349" s="261"/>
      <c r="M349" s="261" t="s">
        <v>8700</v>
      </c>
      <c r="N349" s="261"/>
      <c r="O349" s="261"/>
      <c r="P349" s="261" t="s">
        <v>7254</v>
      </c>
      <c r="Q349" s="261" t="s">
        <v>316</v>
      </c>
      <c r="R349" s="261" t="str">
        <f t="shared" si="16"/>
        <v>(Water) Dragon Damage +18%</v>
      </c>
      <c r="S349" s="330" t="str">
        <f t="shared" si="17"/>
        <v>(Water) Skill Haste +10%</v>
      </c>
    </row>
    <row r="350" spans="1:19" x14ac:dyDescent="0.2">
      <c r="A350" s="306" t="s">
        <v>10083</v>
      </c>
      <c r="B350" s="261" t="s">
        <v>15343</v>
      </c>
      <c r="C350" s="261" t="s">
        <v>10084</v>
      </c>
      <c r="D350" s="261" t="s">
        <v>10085</v>
      </c>
      <c r="E350" s="261" t="str">
        <f t="shared" si="15"/>
        <v>Placid Guide</v>
      </c>
      <c r="F350" s="261" t="s">
        <v>10086</v>
      </c>
      <c r="G350" s="261">
        <v>4</v>
      </c>
      <c r="H350" s="261"/>
      <c r="I350" s="261" t="s">
        <v>1103</v>
      </c>
      <c r="J350" s="261" t="s">
        <v>13936</v>
      </c>
      <c r="K350" s="261" t="s">
        <v>10093</v>
      </c>
      <c r="L350" s="261"/>
      <c r="M350" s="261" t="s">
        <v>9723</v>
      </c>
      <c r="N350" s="261"/>
      <c r="O350" s="261"/>
      <c r="P350" s="261" t="s">
        <v>7254</v>
      </c>
      <c r="Q350" s="261" t="s">
        <v>618</v>
      </c>
      <c r="R350" s="261" t="str">
        <f t="shared" si="16"/>
        <v>(Water) Dragon Damage +18%</v>
      </c>
      <c r="S350" s="330" t="str">
        <f t="shared" si="17"/>
        <v>(Water) Defense +20%</v>
      </c>
    </row>
    <row r="351" spans="1:19" x14ac:dyDescent="0.2">
      <c r="A351" s="306" t="s">
        <v>9199</v>
      </c>
      <c r="B351" s="261" t="s">
        <v>15344</v>
      </c>
      <c r="C351" s="261" t="s">
        <v>9200</v>
      </c>
      <c r="D351" s="261" t="s">
        <v>9201</v>
      </c>
      <c r="E351" s="261" t="str">
        <f t="shared" si="15"/>
        <v>Aquatic Guardian</v>
      </c>
      <c r="F351" s="261" t="s">
        <v>9202</v>
      </c>
      <c r="G351" s="261">
        <v>4</v>
      </c>
      <c r="H351" s="261"/>
      <c r="I351" s="261" t="s">
        <v>1103</v>
      </c>
      <c r="J351" s="261" t="s">
        <v>13936</v>
      </c>
      <c r="K351" s="261" t="s">
        <v>9197</v>
      </c>
      <c r="L351" s="261"/>
      <c r="M351" s="261" t="s">
        <v>650</v>
      </c>
      <c r="N351" s="261"/>
      <c r="O351" s="261"/>
      <c r="P351" s="261" t="s">
        <v>650</v>
      </c>
      <c r="Q351" s="261" t="s">
        <v>682</v>
      </c>
      <c r="R351" s="261" t="str">
        <f t="shared" si="16"/>
        <v>(Water) Dragon Time +20%</v>
      </c>
      <c r="S351" s="330" t="str">
        <f t="shared" si="17"/>
        <v>(Water) HP +15%</v>
      </c>
    </row>
    <row r="352" spans="1:19" x14ac:dyDescent="0.2">
      <c r="A352" s="306" t="s">
        <v>9935</v>
      </c>
      <c r="B352" s="261" t="s">
        <v>15345</v>
      </c>
      <c r="C352" s="261" t="s">
        <v>9936</v>
      </c>
      <c r="D352" s="261" t="s">
        <v>9937</v>
      </c>
      <c r="E352" s="261" t="str">
        <f t="shared" si="15"/>
        <v>N/A</v>
      </c>
      <c r="F352" s="261" t="s">
        <v>137</v>
      </c>
      <c r="G352" s="261">
        <v>3</v>
      </c>
      <c r="H352" s="261"/>
      <c r="I352" s="261" t="s">
        <v>1103</v>
      </c>
      <c r="J352" s="261" t="s">
        <v>13936</v>
      </c>
      <c r="K352" s="261" t="s">
        <v>9610</v>
      </c>
      <c r="L352" s="261"/>
      <c r="M352" s="261"/>
      <c r="N352" s="261"/>
      <c r="O352" s="261"/>
      <c r="P352" s="261" t="s">
        <v>650</v>
      </c>
      <c r="Q352" s="261" t="s">
        <v>909</v>
      </c>
      <c r="R352" s="261" t="str">
        <f t="shared" si="16"/>
        <v>(Water) Dragon Time +20%</v>
      </c>
      <c r="S352" s="330" t="str">
        <f t="shared" si="17"/>
        <v>(Water) Broken Punisher +30%</v>
      </c>
    </row>
    <row r="353" spans="1:19" x14ac:dyDescent="0.2">
      <c r="A353" s="306" t="s">
        <v>9896</v>
      </c>
      <c r="B353" s="261" t="s">
        <v>15346</v>
      </c>
      <c r="C353" s="261" t="s">
        <v>9897</v>
      </c>
      <c r="D353" s="261" t="s">
        <v>9898</v>
      </c>
      <c r="E353" s="261" t="str">
        <f t="shared" si="15"/>
        <v>N/A</v>
      </c>
      <c r="F353" s="261" t="s">
        <v>137</v>
      </c>
      <c r="G353" s="261">
        <v>3</v>
      </c>
      <c r="H353" s="261"/>
      <c r="I353" s="261" t="s">
        <v>1103</v>
      </c>
      <c r="J353" s="261" t="s">
        <v>13936</v>
      </c>
      <c r="K353" s="261" t="s">
        <v>9894</v>
      </c>
      <c r="L353" s="261"/>
      <c r="M353" s="261"/>
      <c r="N353" s="261"/>
      <c r="O353" s="261"/>
      <c r="P353" s="261" t="s">
        <v>126</v>
      </c>
      <c r="Q353" s="261" t="s">
        <v>909</v>
      </c>
      <c r="R353" s="261" t="str">
        <f t="shared" si="16"/>
        <v>(Water) Dragon Haste +15%</v>
      </c>
      <c r="S353" s="330" t="str">
        <f t="shared" si="17"/>
        <v>(Water) Broken Punisher +30%</v>
      </c>
    </row>
    <row r="354" spans="1:19" x14ac:dyDescent="0.2">
      <c r="A354" s="306" t="s">
        <v>9974</v>
      </c>
      <c r="B354" s="261" t="s">
        <v>15347</v>
      </c>
      <c r="C354" s="261" t="s">
        <v>9975</v>
      </c>
      <c r="D354" s="261" t="s">
        <v>9976</v>
      </c>
      <c r="E354" s="261" t="str">
        <f t="shared" si="15"/>
        <v>N/A</v>
      </c>
      <c r="F354" s="261" t="s">
        <v>137</v>
      </c>
      <c r="G354" s="261">
        <v>3</v>
      </c>
      <c r="H354" s="261"/>
      <c r="I354" s="261" t="s">
        <v>1103</v>
      </c>
      <c r="J354" s="261" t="s">
        <v>13936</v>
      </c>
      <c r="K354" s="261" t="s">
        <v>9972</v>
      </c>
      <c r="L354" s="261"/>
      <c r="M354" s="261"/>
      <c r="N354" s="261"/>
      <c r="O354" s="261"/>
      <c r="P354" s="261" t="s">
        <v>7254</v>
      </c>
      <c r="Q354" s="261" t="s">
        <v>909</v>
      </c>
      <c r="R354" s="261" t="str">
        <f t="shared" si="16"/>
        <v>(Water) Dragon Damage +18%</v>
      </c>
      <c r="S354" s="330" t="str">
        <f t="shared" si="17"/>
        <v>(Water) Broken Punisher +30%</v>
      </c>
    </row>
    <row r="355" spans="1:19" x14ac:dyDescent="0.2">
      <c r="A355" s="306" t="s">
        <v>8849</v>
      </c>
      <c r="B355" s="261" t="s">
        <v>15348</v>
      </c>
      <c r="C355" s="261" t="s">
        <v>8850</v>
      </c>
      <c r="D355" s="261" t="s">
        <v>8851</v>
      </c>
      <c r="E355" s="261" t="str">
        <f t="shared" si="15"/>
        <v>Angel of Lost Souls</v>
      </c>
      <c r="F355" s="261" t="s">
        <v>8852</v>
      </c>
      <c r="G355" s="261">
        <v>5</v>
      </c>
      <c r="H355" s="261"/>
      <c r="I355" s="261" t="s">
        <v>1947</v>
      </c>
      <c r="J355" s="261" t="s">
        <v>13936</v>
      </c>
      <c r="K355" s="261" t="s">
        <v>8833</v>
      </c>
      <c r="L355" s="261"/>
      <c r="M355" s="261" t="s">
        <v>8860</v>
      </c>
      <c r="N355" s="261"/>
      <c r="O355" s="261"/>
      <c r="P355" s="261" t="s">
        <v>7254</v>
      </c>
      <c r="Q355" s="261" t="s">
        <v>2974</v>
      </c>
      <c r="R355" s="261" t="str">
        <f t="shared" si="16"/>
        <v>(Wind) Dragon Damage +18%</v>
      </c>
      <c r="S355" s="330" t="str">
        <f t="shared" si="17"/>
        <v>(Wind) Elemental Res +15%</v>
      </c>
    </row>
    <row r="356" spans="1:19" x14ac:dyDescent="0.2">
      <c r="A356" s="306" t="s">
        <v>9027</v>
      </c>
      <c r="B356" s="261" t="s">
        <v>15349</v>
      </c>
      <c r="C356" s="261" t="s">
        <v>9028</v>
      </c>
      <c r="D356" s="261" t="s">
        <v>9029</v>
      </c>
      <c r="E356" s="261" t="str">
        <f t="shared" si="15"/>
        <v>Unwavering Guardian</v>
      </c>
      <c r="F356" s="261" t="s">
        <v>9030</v>
      </c>
      <c r="G356" s="261">
        <v>5</v>
      </c>
      <c r="H356" s="261"/>
      <c r="I356" s="261" t="s">
        <v>1947</v>
      </c>
      <c r="J356" s="261" t="s">
        <v>13936</v>
      </c>
      <c r="K356" s="261" t="s">
        <v>9012</v>
      </c>
      <c r="L356" s="261"/>
      <c r="M356" s="261" t="s">
        <v>9013</v>
      </c>
      <c r="N356" s="261"/>
      <c r="O356" s="261"/>
      <c r="P356" s="261" t="s">
        <v>126</v>
      </c>
      <c r="Q356" s="261" t="s">
        <v>14997</v>
      </c>
      <c r="R356" s="261" t="str">
        <f t="shared" si="16"/>
        <v>(Wind) Dragon Haste +15%</v>
      </c>
      <c r="S356" s="330" t="str">
        <f t="shared" si="17"/>
        <v>(Wind) Critical Damage +25%</v>
      </c>
    </row>
    <row r="357" spans="1:19" x14ac:dyDescent="0.2">
      <c r="A357" s="306" t="s">
        <v>8787</v>
      </c>
      <c r="B357" s="261" t="s">
        <v>15350</v>
      </c>
      <c r="C357" s="261" t="s">
        <v>8788</v>
      </c>
      <c r="D357" s="261" t="s">
        <v>8789</v>
      </c>
      <c r="E357" s="261" t="str">
        <f t="shared" si="15"/>
        <v>Fangs of the Fangless</v>
      </c>
      <c r="F357" s="261" t="s">
        <v>8790</v>
      </c>
      <c r="G357" s="261">
        <v>5</v>
      </c>
      <c r="H357" s="261"/>
      <c r="I357" s="261" t="s">
        <v>1947</v>
      </c>
      <c r="J357" s="261" t="s">
        <v>13936</v>
      </c>
      <c r="K357" s="261" t="s">
        <v>8799</v>
      </c>
      <c r="L357" s="261"/>
      <c r="M357" s="261" t="s">
        <v>8800</v>
      </c>
      <c r="N357" s="261"/>
      <c r="O357" s="261"/>
      <c r="P357" s="261" t="s">
        <v>126</v>
      </c>
      <c r="Q357" s="261" t="s">
        <v>6911</v>
      </c>
      <c r="R357" s="261" t="str">
        <f t="shared" si="16"/>
        <v>(Wind) Dragon Haste +15%</v>
      </c>
      <c r="S357" s="330" t="str">
        <f t="shared" si="17"/>
        <v>(Wind) Strength +20%</v>
      </c>
    </row>
    <row r="358" spans="1:19" x14ac:dyDescent="0.2">
      <c r="A358" s="306" t="s">
        <v>10132</v>
      </c>
      <c r="B358" s="261" t="s">
        <v>15351</v>
      </c>
      <c r="C358" s="261" t="s">
        <v>10133</v>
      </c>
      <c r="D358" s="261" t="s">
        <v>10134</v>
      </c>
      <c r="E358" s="261" t="str">
        <f t="shared" si="15"/>
        <v>Solitary Rose</v>
      </c>
      <c r="F358" s="261" t="s">
        <v>10135</v>
      </c>
      <c r="G358" s="261">
        <v>5</v>
      </c>
      <c r="H358" s="261"/>
      <c r="I358" s="261" t="s">
        <v>1947</v>
      </c>
      <c r="J358" s="261" t="s">
        <v>13936</v>
      </c>
      <c r="K358" s="261" t="s">
        <v>10129</v>
      </c>
      <c r="L358" s="261"/>
      <c r="M358" s="261" t="s">
        <v>10130</v>
      </c>
      <c r="N358" s="261"/>
      <c r="O358" s="261"/>
      <c r="P358" s="261" t="s">
        <v>650</v>
      </c>
      <c r="Q358" s="261" t="s">
        <v>6911</v>
      </c>
      <c r="R358" s="261" t="str">
        <f t="shared" si="16"/>
        <v>(Wind) Dragon Time +20%</v>
      </c>
      <c r="S358" s="330" t="str">
        <f t="shared" si="17"/>
        <v>(Wind) Strength +20%</v>
      </c>
    </row>
    <row r="359" spans="1:19" x14ac:dyDescent="0.2">
      <c r="A359" s="306" t="s">
        <v>9560</v>
      </c>
      <c r="B359" s="261" t="s">
        <v>15352</v>
      </c>
      <c r="C359" s="261" t="s">
        <v>9561</v>
      </c>
      <c r="D359" s="261" t="s">
        <v>9562</v>
      </c>
      <c r="E359" s="261" t="str">
        <f t="shared" si="15"/>
        <v>Raging Wind</v>
      </c>
      <c r="F359" s="261" t="s">
        <v>9563</v>
      </c>
      <c r="G359" s="261">
        <v>5</v>
      </c>
      <c r="H359" s="261"/>
      <c r="I359" s="261" t="s">
        <v>1947</v>
      </c>
      <c r="J359" s="261" t="s">
        <v>13936</v>
      </c>
      <c r="K359" s="261" t="s">
        <v>9557</v>
      </c>
      <c r="L359" s="261"/>
      <c r="M359" s="261" t="s">
        <v>9558</v>
      </c>
      <c r="N359" s="261"/>
      <c r="O359" s="261"/>
      <c r="P359" s="261" t="s">
        <v>126</v>
      </c>
      <c r="Q359" s="261" t="s">
        <v>2974</v>
      </c>
      <c r="R359" s="261" t="str">
        <f t="shared" si="16"/>
        <v>(Wind) Dragon Haste +15%</v>
      </c>
      <c r="S359" s="330" t="str">
        <f t="shared" si="17"/>
        <v>(Wind) Elemental Res +15%</v>
      </c>
    </row>
    <row r="360" spans="1:19" x14ac:dyDescent="0.2">
      <c r="A360" s="306" t="s">
        <v>9151</v>
      </c>
      <c r="B360" s="261" t="s">
        <v>15353</v>
      </c>
      <c r="C360" s="261" t="s">
        <v>9152</v>
      </c>
      <c r="D360" s="261" t="s">
        <v>9153</v>
      </c>
      <c r="E360" s="261" t="str">
        <f t="shared" si="15"/>
        <v>Guardian of the Plains</v>
      </c>
      <c r="F360" s="261" t="s">
        <v>9154</v>
      </c>
      <c r="G360" s="261">
        <v>5</v>
      </c>
      <c r="H360" s="261"/>
      <c r="I360" s="261" t="s">
        <v>1947</v>
      </c>
      <c r="J360" s="261" t="s">
        <v>13936</v>
      </c>
      <c r="K360" s="261" t="s">
        <v>9012</v>
      </c>
      <c r="L360" s="261"/>
      <c r="M360" s="261" t="s">
        <v>9137</v>
      </c>
      <c r="N360" s="261"/>
      <c r="O360" s="261"/>
      <c r="P360" s="261" t="s">
        <v>650</v>
      </c>
      <c r="Q360" s="261" t="s">
        <v>6601</v>
      </c>
      <c r="R360" s="261" t="str">
        <f t="shared" si="16"/>
        <v>(Wind) Dragon Time +20%</v>
      </c>
      <c r="S360" s="330" t="str">
        <f t="shared" si="17"/>
        <v>(Wind) Critical Rate +15%</v>
      </c>
    </row>
    <row r="361" spans="1:19" x14ac:dyDescent="0.2">
      <c r="A361" s="306" t="s">
        <v>9462</v>
      </c>
      <c r="B361" s="261" t="s">
        <v>15354</v>
      </c>
      <c r="C361" s="261" t="s">
        <v>10169</v>
      </c>
      <c r="D361" s="261" t="s">
        <v>10170</v>
      </c>
      <c r="E361" s="261" t="str">
        <f t="shared" si="15"/>
        <v>Primal Stormbearer</v>
      </c>
      <c r="F361" s="261" t="s">
        <v>10171</v>
      </c>
      <c r="G361" s="261">
        <v>5</v>
      </c>
      <c r="H361" s="261"/>
      <c r="I361" s="261" t="s">
        <v>1947</v>
      </c>
      <c r="J361" s="261" t="s">
        <v>13936</v>
      </c>
      <c r="K361" s="261" t="s">
        <v>9253</v>
      </c>
      <c r="L361" s="261"/>
      <c r="M361" s="261" t="s">
        <v>10010</v>
      </c>
      <c r="N361" s="261"/>
      <c r="O361" s="261"/>
      <c r="P361" s="261" t="s">
        <v>650</v>
      </c>
      <c r="Q361" s="261" t="s">
        <v>2974</v>
      </c>
      <c r="R361" s="261" t="str">
        <f t="shared" si="16"/>
        <v>(Wind) Dragon Time +20%</v>
      </c>
      <c r="S361" s="330" t="str">
        <f t="shared" si="17"/>
        <v>(Wind) Elemental Res +15%</v>
      </c>
    </row>
    <row r="362" spans="1:19" x14ac:dyDescent="0.2">
      <c r="A362" s="306" t="s">
        <v>9794</v>
      </c>
      <c r="B362" s="261" t="s">
        <v>15355</v>
      </c>
      <c r="C362" s="261" t="s">
        <v>9795</v>
      </c>
      <c r="D362" s="261" t="s">
        <v>9796</v>
      </c>
      <c r="E362" s="261" t="str">
        <f t="shared" si="15"/>
        <v>Beachside Flower</v>
      </c>
      <c r="F362" s="261" t="s">
        <v>9797</v>
      </c>
      <c r="G362" s="261">
        <v>5</v>
      </c>
      <c r="H362" s="261"/>
      <c r="I362" s="261" t="s">
        <v>1947</v>
      </c>
      <c r="J362" s="261" t="s">
        <v>13936</v>
      </c>
      <c r="K362" s="261" t="s">
        <v>9012</v>
      </c>
      <c r="L362" s="261"/>
      <c r="M362" s="261" t="s">
        <v>9781</v>
      </c>
      <c r="N362" s="261"/>
      <c r="O362" s="261"/>
      <c r="P362" s="261" t="s">
        <v>126</v>
      </c>
      <c r="Q362" s="261" t="s">
        <v>6893</v>
      </c>
      <c r="R362" s="261" t="str">
        <f t="shared" si="16"/>
        <v>(Wind) Dragon Haste +15%</v>
      </c>
      <c r="S362" s="330" t="str">
        <f t="shared" si="17"/>
        <v>(Wind) Skill Damage +40%</v>
      </c>
    </row>
    <row r="363" spans="1:19" x14ac:dyDescent="0.2">
      <c r="A363" s="306" t="s">
        <v>9736</v>
      </c>
      <c r="B363" s="261" t="s">
        <v>15356</v>
      </c>
      <c r="C363" s="261" t="s">
        <v>9737</v>
      </c>
      <c r="D363" s="261" t="s">
        <v>9738</v>
      </c>
      <c r="E363" s="261" t="str">
        <f t="shared" si="15"/>
        <v>Lion of the Goddess</v>
      </c>
      <c r="F363" s="261" t="s">
        <v>9739</v>
      </c>
      <c r="G363" s="261">
        <v>5</v>
      </c>
      <c r="H363" s="261"/>
      <c r="I363" s="261" t="s">
        <v>1947</v>
      </c>
      <c r="J363" s="261" t="s">
        <v>13936</v>
      </c>
      <c r="K363" s="261" t="s">
        <v>9722</v>
      </c>
      <c r="L363" s="261"/>
      <c r="M363" s="261" t="s">
        <v>9723</v>
      </c>
      <c r="N363" s="261"/>
      <c r="O363" s="261"/>
      <c r="P363" s="261" t="s">
        <v>650</v>
      </c>
      <c r="Q363" s="261" t="s">
        <v>316</v>
      </c>
      <c r="R363" s="261" t="str">
        <f t="shared" si="16"/>
        <v>(Wind) Dragon Time +20%</v>
      </c>
      <c r="S363" s="330" t="str">
        <f t="shared" si="17"/>
        <v>(Wind) Skill Haste +10%</v>
      </c>
    </row>
    <row r="364" spans="1:19" x14ac:dyDescent="0.2">
      <c r="A364" s="306" t="s">
        <v>10095</v>
      </c>
      <c r="B364" s="261" t="s">
        <v>15357</v>
      </c>
      <c r="C364" s="261" t="s">
        <v>10096</v>
      </c>
      <c r="D364" s="261" t="s">
        <v>10097</v>
      </c>
      <c r="E364" s="261" t="str">
        <f t="shared" si="15"/>
        <v>Revolutionary Warrior</v>
      </c>
      <c r="F364" s="261" t="s">
        <v>10098</v>
      </c>
      <c r="G364" s="261">
        <v>5</v>
      </c>
      <c r="H364" s="261"/>
      <c r="I364" s="261" t="s">
        <v>1947</v>
      </c>
      <c r="J364" s="261" t="s">
        <v>13936</v>
      </c>
      <c r="K364" s="261" t="s">
        <v>10093</v>
      </c>
      <c r="L364" s="261"/>
      <c r="M364" s="261" t="s">
        <v>9723</v>
      </c>
      <c r="N364" s="261"/>
      <c r="O364" s="261"/>
      <c r="P364" s="261" t="s">
        <v>7254</v>
      </c>
      <c r="Q364" s="261" t="s">
        <v>618</v>
      </c>
      <c r="R364" s="261" t="str">
        <f t="shared" si="16"/>
        <v>(Wind) Dragon Damage +18%</v>
      </c>
      <c r="S364" s="330" t="str">
        <f t="shared" si="17"/>
        <v>(Wind) Defense +20%</v>
      </c>
    </row>
    <row r="365" spans="1:19" x14ac:dyDescent="0.2">
      <c r="A365" s="306" t="s">
        <v>9513</v>
      </c>
      <c r="B365" s="261" t="s">
        <v>15358</v>
      </c>
      <c r="C365" s="261" t="s">
        <v>9514</v>
      </c>
      <c r="D365" s="261" t="s">
        <v>9515</v>
      </c>
      <c r="E365" s="261" t="str">
        <f t="shared" si="15"/>
        <v>The Whisperer in Darkness</v>
      </c>
      <c r="F365" s="261" t="s">
        <v>9516</v>
      </c>
      <c r="G365" s="261">
        <v>5</v>
      </c>
      <c r="H365" s="261"/>
      <c r="I365" s="261" t="s">
        <v>1947</v>
      </c>
      <c r="J365" s="261" t="s">
        <v>13936</v>
      </c>
      <c r="K365" s="261" t="s">
        <v>9499</v>
      </c>
      <c r="L365" s="261"/>
      <c r="M365" s="261" t="s">
        <v>9500</v>
      </c>
      <c r="N365" s="261"/>
      <c r="O365" s="261"/>
      <c r="P365" s="261" t="s">
        <v>7254</v>
      </c>
      <c r="Q365" s="261" t="s">
        <v>417</v>
      </c>
      <c r="R365" s="261" t="str">
        <f t="shared" si="16"/>
        <v>(Wind) Dragon Damage +18%</v>
      </c>
      <c r="S365" s="330" t="str">
        <f t="shared" si="17"/>
        <v>(Wind) Overdrive Punisher +15%</v>
      </c>
    </row>
    <row r="366" spans="1:19" x14ac:dyDescent="0.2">
      <c r="A366" s="306" t="s">
        <v>9421</v>
      </c>
      <c r="B366" s="261" t="s">
        <v>15359</v>
      </c>
      <c r="C366" s="261" t="s">
        <v>9422</v>
      </c>
      <c r="D366" s="261" t="s">
        <v>9423</v>
      </c>
      <c r="E366" s="261" t="str">
        <f t="shared" si="15"/>
        <v>Tiny Typhoon</v>
      </c>
      <c r="F366" s="261" t="s">
        <v>9424</v>
      </c>
      <c r="G366" s="261">
        <v>5</v>
      </c>
      <c r="H366" s="261"/>
      <c r="I366" s="261" t="s">
        <v>1947</v>
      </c>
      <c r="J366" s="261" t="s">
        <v>13936</v>
      </c>
      <c r="K366" s="261" t="s">
        <v>7601</v>
      </c>
      <c r="L366" s="261"/>
      <c r="M366" s="261"/>
      <c r="N366" s="261"/>
      <c r="O366" s="261"/>
      <c r="P366" s="261" t="s">
        <v>126</v>
      </c>
      <c r="Q366" s="261" t="s">
        <v>1591</v>
      </c>
      <c r="R366" s="261" t="str">
        <f t="shared" si="16"/>
        <v>(Wind) Dragon Haste +15%</v>
      </c>
      <c r="S366" s="330" t="str">
        <f t="shared" si="17"/>
        <v>(Wind) Skill Prep +50%</v>
      </c>
    </row>
    <row r="367" spans="1:19" x14ac:dyDescent="0.2">
      <c r="A367" s="306" t="s">
        <v>9624</v>
      </c>
      <c r="B367" s="261" t="s">
        <v>15360</v>
      </c>
      <c r="C367" s="261" t="s">
        <v>9625</v>
      </c>
      <c r="D367" s="261" t="s">
        <v>9626</v>
      </c>
      <c r="E367" s="261" t="str">
        <f t="shared" si="15"/>
        <v>Violent Gale</v>
      </c>
      <c r="F367" s="261" t="s">
        <v>9627</v>
      </c>
      <c r="G367" s="261">
        <v>5</v>
      </c>
      <c r="H367" s="261"/>
      <c r="I367" s="261" t="s">
        <v>1947</v>
      </c>
      <c r="J367" s="261" t="s">
        <v>13936</v>
      </c>
      <c r="K367" s="261" t="s">
        <v>9610</v>
      </c>
      <c r="L367" s="261"/>
      <c r="M367" s="261" t="s">
        <v>9611</v>
      </c>
      <c r="N367" s="261"/>
      <c r="O367" s="261"/>
      <c r="P367" s="261" t="s">
        <v>650</v>
      </c>
      <c r="Q367" s="261" t="s">
        <v>6893</v>
      </c>
      <c r="R367" s="261" t="str">
        <f t="shared" si="16"/>
        <v>(Wind) Dragon Time +20%</v>
      </c>
      <c r="S367" s="330" t="str">
        <f t="shared" si="17"/>
        <v>(Wind) Skill Damage +40%</v>
      </c>
    </row>
    <row r="368" spans="1:19" x14ac:dyDescent="0.2">
      <c r="A368" s="306" t="s">
        <v>9681</v>
      </c>
      <c r="B368" s="261" t="s">
        <v>15361</v>
      </c>
      <c r="C368" s="261" t="s">
        <v>9682</v>
      </c>
      <c r="D368" s="261" t="s">
        <v>9683</v>
      </c>
      <c r="E368" s="261" t="str">
        <f t="shared" si="15"/>
        <v>Harvest Goddess</v>
      </c>
      <c r="F368" s="261" t="s">
        <v>9684</v>
      </c>
      <c r="G368" s="261">
        <v>5</v>
      </c>
      <c r="H368" s="261"/>
      <c r="I368" s="261" t="s">
        <v>1947</v>
      </c>
      <c r="J368" s="261" t="s">
        <v>13936</v>
      </c>
      <c r="K368" s="261" t="s">
        <v>9667</v>
      </c>
      <c r="L368" s="261"/>
      <c r="M368" s="261" t="s">
        <v>8899</v>
      </c>
      <c r="N368" s="261"/>
      <c r="O368" s="261"/>
      <c r="P368" s="261" t="s">
        <v>126</v>
      </c>
      <c r="Q368" s="261" t="s">
        <v>316</v>
      </c>
      <c r="R368" s="261" t="str">
        <f t="shared" si="16"/>
        <v>(Wind) Dragon Haste +15%</v>
      </c>
      <c r="S368" s="330" t="str">
        <f t="shared" si="17"/>
        <v>(Wind) Skill Haste +10%</v>
      </c>
    </row>
    <row r="369" spans="1:19" x14ac:dyDescent="0.2">
      <c r="A369" s="306" t="s">
        <v>8911</v>
      </c>
      <c r="B369" s="261" t="s">
        <v>15362</v>
      </c>
      <c r="C369" s="261" t="s">
        <v>8912</v>
      </c>
      <c r="D369" s="261" t="s">
        <v>8913</v>
      </c>
      <c r="E369" s="261" t="str">
        <f t="shared" si="15"/>
        <v>Celestial Steed</v>
      </c>
      <c r="F369" s="261" t="s">
        <v>8914</v>
      </c>
      <c r="G369" s="261">
        <v>5</v>
      </c>
      <c r="H369" s="261"/>
      <c r="I369" s="261" t="s">
        <v>1947</v>
      </c>
      <c r="J369" s="261" t="s">
        <v>13936</v>
      </c>
      <c r="K369" s="261" t="s">
        <v>8898</v>
      </c>
      <c r="L369" s="261"/>
      <c r="M369" s="261" t="s">
        <v>8899</v>
      </c>
      <c r="N369" s="261"/>
      <c r="O369" s="261"/>
      <c r="P369" s="261" t="s">
        <v>126</v>
      </c>
      <c r="Q369" s="261" t="s">
        <v>6601</v>
      </c>
      <c r="R369" s="261" t="str">
        <f t="shared" si="16"/>
        <v>(Wind) Dragon Haste +15%</v>
      </c>
      <c r="S369" s="330" t="str">
        <f t="shared" si="17"/>
        <v>(Wind) Critical Rate +15%</v>
      </c>
    </row>
    <row r="370" spans="1:19" x14ac:dyDescent="0.2">
      <c r="A370" s="306" t="s">
        <v>8701</v>
      </c>
      <c r="B370" s="261" t="s">
        <v>15363</v>
      </c>
      <c r="C370" s="261" t="s">
        <v>8702</v>
      </c>
      <c r="D370" s="261" t="s">
        <v>8703</v>
      </c>
      <c r="E370" s="261" t="str">
        <f t="shared" si="15"/>
        <v>Calamitous Typhoon</v>
      </c>
      <c r="F370" s="261" t="s">
        <v>8704</v>
      </c>
      <c r="G370" s="261">
        <v>5</v>
      </c>
      <c r="H370" s="261"/>
      <c r="I370" s="261" t="s">
        <v>1947</v>
      </c>
      <c r="J370" s="261" t="s">
        <v>13936</v>
      </c>
      <c r="K370" s="261" t="s">
        <v>8673</v>
      </c>
      <c r="L370" s="261"/>
      <c r="M370" s="261" t="s">
        <v>8712</v>
      </c>
      <c r="N370" s="261"/>
      <c r="O370" s="261"/>
      <c r="P370" s="261" t="s">
        <v>7254</v>
      </c>
      <c r="Q370" s="261" t="s">
        <v>14997</v>
      </c>
      <c r="R370" s="261" t="str">
        <f t="shared" si="16"/>
        <v>(Wind) Dragon Damage +18%</v>
      </c>
      <c r="S370" s="330" t="str">
        <f t="shared" si="17"/>
        <v>(Wind) Critical Damage +25%</v>
      </c>
    </row>
    <row r="371" spans="1:19" x14ac:dyDescent="0.2">
      <c r="A371" s="306" t="s">
        <v>8969</v>
      </c>
      <c r="B371" s="261" t="s">
        <v>15364</v>
      </c>
      <c r="C371" s="261" t="s">
        <v>8970</v>
      </c>
      <c r="D371" s="261" t="s">
        <v>8971</v>
      </c>
      <c r="E371" s="261" t="str">
        <f t="shared" si="15"/>
        <v>Kung-Fu Master</v>
      </c>
      <c r="F371" s="261" t="s">
        <v>8972</v>
      </c>
      <c r="G371" s="261">
        <v>5</v>
      </c>
      <c r="H371" s="261"/>
      <c r="I371" s="261" t="s">
        <v>1947</v>
      </c>
      <c r="J371" s="261" t="s">
        <v>13936</v>
      </c>
      <c r="K371" s="261" t="s">
        <v>8956</v>
      </c>
      <c r="L371" s="261"/>
      <c r="M371" s="261" t="s">
        <v>8957</v>
      </c>
      <c r="N371" s="261"/>
      <c r="O371" s="261"/>
      <c r="P371" s="261" t="s">
        <v>650</v>
      </c>
      <c r="Q371" s="261" t="s">
        <v>14997</v>
      </c>
      <c r="R371" s="261" t="str">
        <f t="shared" si="16"/>
        <v>(Wind) Dragon Time +20%</v>
      </c>
      <c r="S371" s="330" t="str">
        <f t="shared" si="17"/>
        <v>(Wind) Critical Damage +25%</v>
      </c>
    </row>
    <row r="372" spans="1:19" x14ac:dyDescent="0.2">
      <c r="A372" s="306" t="s">
        <v>9322</v>
      </c>
      <c r="B372" s="261" t="s">
        <v>15365</v>
      </c>
      <c r="C372" s="261" t="s">
        <v>9323</v>
      </c>
      <c r="D372" s="261" t="s">
        <v>9324</v>
      </c>
      <c r="E372" s="261" t="str">
        <f t="shared" si="15"/>
        <v>Prideful Gale</v>
      </c>
      <c r="F372" s="261" t="s">
        <v>9325</v>
      </c>
      <c r="G372" s="261">
        <v>5</v>
      </c>
      <c r="H372" s="261"/>
      <c r="I372" s="261" t="s">
        <v>1947</v>
      </c>
      <c r="J372" s="261" t="s">
        <v>13936</v>
      </c>
      <c r="K372" s="261" t="s">
        <v>9307</v>
      </c>
      <c r="L372" s="261"/>
      <c r="M372" s="261" t="s">
        <v>9308</v>
      </c>
      <c r="N372" s="261"/>
      <c r="O372" s="261"/>
      <c r="P372" s="261" t="s">
        <v>650</v>
      </c>
      <c r="Q372" s="261" t="s">
        <v>417</v>
      </c>
      <c r="R372" s="261" t="str">
        <f t="shared" si="16"/>
        <v>(Wind) Dragon Time +20%</v>
      </c>
      <c r="S372" s="330" t="str">
        <f t="shared" si="17"/>
        <v>(Wind) Overdrive Punisher +15%</v>
      </c>
    </row>
    <row r="373" spans="1:19" x14ac:dyDescent="0.2">
      <c r="A373" s="306" t="s">
        <v>10053</v>
      </c>
      <c r="B373" s="261" t="s">
        <v>15366</v>
      </c>
      <c r="C373" s="261" t="s">
        <v>10054</v>
      </c>
      <c r="D373" s="261" t="s">
        <v>10055</v>
      </c>
      <c r="E373" s="261" t="str">
        <f t="shared" si="15"/>
        <v>Guardian of the Wood</v>
      </c>
      <c r="F373" s="261" t="s">
        <v>10056</v>
      </c>
      <c r="G373" s="261">
        <v>5</v>
      </c>
      <c r="H373" s="261"/>
      <c r="I373" s="261" t="s">
        <v>1947</v>
      </c>
      <c r="J373" s="261" t="s">
        <v>13936</v>
      </c>
      <c r="K373" s="261" t="s">
        <v>10051</v>
      </c>
      <c r="L373" s="261"/>
      <c r="M373" s="261" t="s">
        <v>9558</v>
      </c>
      <c r="N373" s="261"/>
      <c r="O373" s="261"/>
      <c r="P373" s="261" t="s">
        <v>126</v>
      </c>
      <c r="Q373" s="261" t="s">
        <v>618</v>
      </c>
      <c r="R373" s="261" t="str">
        <f t="shared" si="16"/>
        <v>(Wind) Dragon Haste +15%</v>
      </c>
      <c r="S373" s="330" t="str">
        <f t="shared" si="17"/>
        <v>(Wind) Defense +20%</v>
      </c>
    </row>
    <row r="374" spans="1:19" x14ac:dyDescent="0.2">
      <c r="A374" s="306" t="s">
        <v>9266</v>
      </c>
      <c r="B374" s="261" t="s">
        <v>15367</v>
      </c>
      <c r="C374" s="261" t="s">
        <v>9267</v>
      </c>
      <c r="D374" s="261" t="s">
        <v>9268</v>
      </c>
      <c r="E374" s="261" t="str">
        <f t="shared" si="15"/>
        <v>Conductor of Storms</v>
      </c>
      <c r="F374" s="261" t="s">
        <v>9269</v>
      </c>
      <c r="G374" s="261">
        <v>5</v>
      </c>
      <c r="H374" s="261"/>
      <c r="I374" s="261" t="s">
        <v>1947</v>
      </c>
      <c r="J374" s="261" t="s">
        <v>13936</v>
      </c>
      <c r="K374" s="261" t="s">
        <v>9253</v>
      </c>
      <c r="L374" s="261"/>
      <c r="M374" s="261" t="s">
        <v>9254</v>
      </c>
      <c r="N374" s="261"/>
      <c r="O374" s="261"/>
      <c r="P374" s="261" t="s">
        <v>650</v>
      </c>
      <c r="Q374" s="261" t="s">
        <v>618</v>
      </c>
      <c r="R374" s="261" t="str">
        <f t="shared" si="16"/>
        <v>(Wind) Dragon Time +20%</v>
      </c>
      <c r="S374" s="330" t="str">
        <f t="shared" si="17"/>
        <v>(Wind) Defense +20%</v>
      </c>
    </row>
    <row r="375" spans="1:19" x14ac:dyDescent="0.2">
      <c r="A375" s="306" t="s">
        <v>9851</v>
      </c>
      <c r="B375" s="261" t="s">
        <v>15368</v>
      </c>
      <c r="C375" s="261" t="s">
        <v>9852</v>
      </c>
      <c r="D375" s="261" t="s">
        <v>9853</v>
      </c>
      <c r="E375" s="261" t="str">
        <f t="shared" si="15"/>
        <v>Adulated Protector</v>
      </c>
      <c r="F375" s="261" t="s">
        <v>9854</v>
      </c>
      <c r="G375" s="261">
        <v>5</v>
      </c>
      <c r="H375" s="261"/>
      <c r="I375" s="261" t="s">
        <v>1947</v>
      </c>
      <c r="J375" s="261" t="s">
        <v>13936</v>
      </c>
      <c r="K375" s="261" t="s">
        <v>9012</v>
      </c>
      <c r="L375" s="261"/>
      <c r="M375" s="261" t="s">
        <v>8899</v>
      </c>
      <c r="N375" s="261"/>
      <c r="O375" s="261"/>
      <c r="P375" s="261" t="s">
        <v>7254</v>
      </c>
      <c r="Q375" s="261" t="s">
        <v>6601</v>
      </c>
      <c r="R375" s="261" t="str">
        <f t="shared" si="16"/>
        <v>(Wind) Dragon Damage +18%</v>
      </c>
      <c r="S375" s="330" t="str">
        <f t="shared" si="17"/>
        <v>(Wind) Critical Rate +15%</v>
      </c>
    </row>
    <row r="376" spans="1:19" x14ac:dyDescent="0.2">
      <c r="A376" s="306" t="s">
        <v>8713</v>
      </c>
      <c r="B376" s="261" t="s">
        <v>15369</v>
      </c>
      <c r="C376" s="261" t="s">
        <v>8714</v>
      </c>
      <c r="D376" s="261" t="s">
        <v>8715</v>
      </c>
      <c r="E376" s="261" t="str">
        <f t="shared" si="15"/>
        <v>Ancient Knight</v>
      </c>
      <c r="F376" s="261" t="s">
        <v>8716</v>
      </c>
      <c r="G376" s="261">
        <v>4</v>
      </c>
      <c r="H376" s="261"/>
      <c r="I376" s="261" t="s">
        <v>1947</v>
      </c>
      <c r="J376" s="261" t="s">
        <v>13936</v>
      </c>
      <c r="K376" s="261" t="s">
        <v>8673</v>
      </c>
      <c r="L376" s="261"/>
      <c r="M376" s="261" t="s">
        <v>8724</v>
      </c>
      <c r="N376" s="261"/>
      <c r="O376" s="261"/>
      <c r="P376" s="261" t="s">
        <v>7254</v>
      </c>
      <c r="Q376" s="261" t="s">
        <v>316</v>
      </c>
      <c r="R376" s="261" t="str">
        <f t="shared" si="16"/>
        <v>(Wind) Dragon Damage +18%</v>
      </c>
      <c r="S376" s="330" t="str">
        <f t="shared" si="17"/>
        <v>(Wind) Skill Haste +10%</v>
      </c>
    </row>
    <row r="377" spans="1:19" x14ac:dyDescent="0.2">
      <c r="A377" s="306" t="s">
        <v>9376</v>
      </c>
      <c r="B377" s="261" t="s">
        <v>15370</v>
      </c>
      <c r="C377" s="261" t="s">
        <v>9377</v>
      </c>
      <c r="D377" s="261" t="s">
        <v>9378</v>
      </c>
      <c r="E377" s="261" t="str">
        <f t="shared" si="15"/>
        <v>Grand Mercenary</v>
      </c>
      <c r="F377" s="261" t="s">
        <v>9379</v>
      </c>
      <c r="G377" s="261">
        <v>4</v>
      </c>
      <c r="H377" s="261"/>
      <c r="I377" s="261" t="s">
        <v>1947</v>
      </c>
      <c r="J377" s="261" t="s">
        <v>13936</v>
      </c>
      <c r="K377" s="261" t="s">
        <v>9253</v>
      </c>
      <c r="L377" s="261"/>
      <c r="M377" s="261" t="s">
        <v>8899</v>
      </c>
      <c r="N377" s="261"/>
      <c r="O377" s="261"/>
      <c r="P377" s="261" t="s">
        <v>7254</v>
      </c>
      <c r="Q377" s="261" t="s">
        <v>682</v>
      </c>
      <c r="R377" s="261" t="str">
        <f t="shared" si="16"/>
        <v>(Wind) Dragon Damage +18%</v>
      </c>
      <c r="S377" s="330" t="str">
        <f t="shared" si="17"/>
        <v>(Wind) HP +15%</v>
      </c>
    </row>
    <row r="378" spans="1:19" x14ac:dyDescent="0.2">
      <c r="A378" s="306" t="s">
        <v>9210</v>
      </c>
      <c r="B378" s="261" t="s">
        <v>15371</v>
      </c>
      <c r="C378" s="261" t="s">
        <v>9211</v>
      </c>
      <c r="D378" s="261" t="s">
        <v>9212</v>
      </c>
      <c r="E378" s="261" t="str">
        <f t="shared" si="15"/>
        <v>Stormbound Ally</v>
      </c>
      <c r="F378" s="261" t="s">
        <v>9213</v>
      </c>
      <c r="G378" s="261">
        <v>4</v>
      </c>
      <c r="H378" s="261"/>
      <c r="I378" s="261" t="s">
        <v>1947</v>
      </c>
      <c r="J378" s="261" t="s">
        <v>13936</v>
      </c>
      <c r="K378" s="261" t="s">
        <v>9197</v>
      </c>
      <c r="L378" s="261"/>
      <c r="M378" s="261" t="s">
        <v>650</v>
      </c>
      <c r="N378" s="261"/>
      <c r="O378" s="261"/>
      <c r="P378" s="261" t="s">
        <v>650</v>
      </c>
      <c r="Q378" s="261" t="s">
        <v>682</v>
      </c>
      <c r="R378" s="261" t="str">
        <f t="shared" si="16"/>
        <v>(Wind) Dragon Time +20%</v>
      </c>
      <c r="S378" s="330" t="str">
        <f t="shared" si="17"/>
        <v>(Wind) HP +15%</v>
      </c>
    </row>
    <row r="379" spans="1:19" x14ac:dyDescent="0.2">
      <c r="A379" s="306" t="s">
        <v>9942</v>
      </c>
      <c r="B379" s="261" t="s">
        <v>15372</v>
      </c>
      <c r="C379" s="261" t="s">
        <v>9943</v>
      </c>
      <c r="D379" s="261" t="s">
        <v>9944</v>
      </c>
      <c r="E379" s="261" t="str">
        <f t="shared" si="15"/>
        <v>N/A</v>
      </c>
      <c r="F379" s="261" t="s">
        <v>137</v>
      </c>
      <c r="G379" s="261">
        <v>3</v>
      </c>
      <c r="H379" s="261"/>
      <c r="I379" s="261" t="s">
        <v>1947</v>
      </c>
      <c r="J379" s="261" t="s">
        <v>13936</v>
      </c>
      <c r="K379" s="261" t="s">
        <v>9610</v>
      </c>
      <c r="L379" s="261"/>
      <c r="M379" s="261"/>
      <c r="N379" s="261"/>
      <c r="O379" s="261"/>
      <c r="P379" s="261" t="s">
        <v>650</v>
      </c>
      <c r="Q379" s="261" t="s">
        <v>909</v>
      </c>
      <c r="R379" s="261" t="str">
        <f t="shared" si="16"/>
        <v>(Wind) Dragon Time +20%</v>
      </c>
      <c r="S379" s="330" t="str">
        <f t="shared" si="17"/>
        <v>(Wind) Broken Punisher +30%</v>
      </c>
    </row>
    <row r="380" spans="1:19" x14ac:dyDescent="0.2">
      <c r="A380" s="306" t="s">
        <v>9903</v>
      </c>
      <c r="B380" s="261" t="s">
        <v>15373</v>
      </c>
      <c r="C380" s="261" t="s">
        <v>9904</v>
      </c>
      <c r="D380" s="261" t="s">
        <v>9905</v>
      </c>
      <c r="E380" s="261" t="str">
        <f t="shared" si="15"/>
        <v>N/A</v>
      </c>
      <c r="F380" s="261" t="s">
        <v>137</v>
      </c>
      <c r="G380" s="261">
        <v>3</v>
      </c>
      <c r="H380" s="261"/>
      <c r="I380" s="261" t="s">
        <v>1947</v>
      </c>
      <c r="J380" s="261" t="s">
        <v>13936</v>
      </c>
      <c r="K380" s="261" t="s">
        <v>9894</v>
      </c>
      <c r="L380" s="261"/>
      <c r="M380" s="261"/>
      <c r="N380" s="261"/>
      <c r="O380" s="261"/>
      <c r="P380" s="261" t="s">
        <v>126</v>
      </c>
      <c r="Q380" s="261" t="s">
        <v>909</v>
      </c>
      <c r="R380" s="261" t="str">
        <f t="shared" si="16"/>
        <v>(Wind) Dragon Haste +15%</v>
      </c>
      <c r="S380" s="330" t="str">
        <f t="shared" si="17"/>
        <v>(Wind) Broken Punisher +30%</v>
      </c>
    </row>
    <row r="381" spans="1:19" x14ac:dyDescent="0.2">
      <c r="A381" s="306" t="s">
        <v>9981</v>
      </c>
      <c r="B381" s="261" t="s">
        <v>15374</v>
      </c>
      <c r="C381" s="261" t="s">
        <v>9982</v>
      </c>
      <c r="D381" s="261" t="s">
        <v>9983</v>
      </c>
      <c r="E381" s="261" t="str">
        <f t="shared" si="15"/>
        <v>N/A</v>
      </c>
      <c r="F381" s="261" t="s">
        <v>137</v>
      </c>
      <c r="G381" s="261">
        <v>3</v>
      </c>
      <c r="H381" s="261"/>
      <c r="I381" s="261" t="s">
        <v>1947</v>
      </c>
      <c r="J381" s="261" t="s">
        <v>13936</v>
      </c>
      <c r="K381" s="261" t="s">
        <v>9972</v>
      </c>
      <c r="L381" s="261"/>
      <c r="M381" s="261"/>
      <c r="N381" s="261"/>
      <c r="O381" s="261"/>
      <c r="P381" s="261" t="s">
        <v>7254</v>
      </c>
      <c r="Q381" s="261" t="s">
        <v>909</v>
      </c>
      <c r="R381" s="261" t="str">
        <f t="shared" si="16"/>
        <v>(Wind) Dragon Damage +18%</v>
      </c>
      <c r="S381" s="330" t="str">
        <f t="shared" si="17"/>
        <v>(Wind) Broken Punisher +30%</v>
      </c>
    </row>
    <row r="382" spans="1:19" x14ac:dyDescent="0.2">
      <c r="A382" s="306" t="s">
        <v>10180</v>
      </c>
      <c r="B382" s="261" t="s">
        <v>15375</v>
      </c>
      <c r="C382" s="261" t="s">
        <v>10181</v>
      </c>
      <c r="D382" s="261" t="s">
        <v>10182</v>
      </c>
      <c r="E382" s="261" t="str">
        <f t="shared" si="15"/>
        <v>Custodian of the World</v>
      </c>
      <c r="F382" s="261" t="s">
        <v>10183</v>
      </c>
      <c r="G382" s="261">
        <v>5</v>
      </c>
      <c r="H382" s="261"/>
      <c r="I382" s="261" t="s">
        <v>2837</v>
      </c>
      <c r="J382" s="261" t="s">
        <v>13936</v>
      </c>
      <c r="K382" s="261" t="s">
        <v>10192</v>
      </c>
      <c r="L382" s="261"/>
      <c r="M382" s="261" t="s">
        <v>10191</v>
      </c>
      <c r="N382" s="261"/>
      <c r="O382" s="261"/>
      <c r="P382" s="261" t="s">
        <v>7254</v>
      </c>
      <c r="Q382" s="261" t="s">
        <v>618</v>
      </c>
      <c r="R382" s="261" t="str">
        <f t="shared" si="16"/>
        <v>(Light) Dragon Damage +18%</v>
      </c>
      <c r="S382" s="330" t="str">
        <f t="shared" si="17"/>
        <v>(Light) Defense +20%</v>
      </c>
    </row>
    <row r="383" spans="1:19" x14ac:dyDescent="0.2">
      <c r="A383" s="306" t="s">
        <v>10193</v>
      </c>
      <c r="B383" s="261" t="s">
        <v>15376</v>
      </c>
      <c r="C383" s="261" t="s">
        <v>10194</v>
      </c>
      <c r="D383" s="261" t="s">
        <v>10195</v>
      </c>
      <c r="E383" s="261" t="str">
        <f t="shared" si="15"/>
        <v>Sovereign of Time</v>
      </c>
      <c r="F383" s="261" t="s">
        <v>10196</v>
      </c>
      <c r="G383" s="261">
        <v>5</v>
      </c>
      <c r="H383" s="261"/>
      <c r="I383" s="261" t="s">
        <v>2837</v>
      </c>
      <c r="J383" s="261" t="s">
        <v>13936</v>
      </c>
      <c r="K383" s="261" t="s">
        <v>9460</v>
      </c>
      <c r="L383" s="261"/>
      <c r="M383" s="261" t="s">
        <v>8267</v>
      </c>
      <c r="N383" s="261"/>
      <c r="O383" s="261"/>
      <c r="P383" s="261" t="s">
        <v>650</v>
      </c>
      <c r="Q383" s="261" t="s">
        <v>2974</v>
      </c>
      <c r="R383" s="261" t="str">
        <f t="shared" si="16"/>
        <v>(Light) Dragon Time +20%</v>
      </c>
      <c r="S383" s="330" t="str">
        <f t="shared" si="17"/>
        <v>(Light) Elemental Res +15%</v>
      </c>
    </row>
    <row r="384" spans="1:19" x14ac:dyDescent="0.2">
      <c r="A384" s="306" t="s">
        <v>9430</v>
      </c>
      <c r="B384" s="261" t="s">
        <v>15377</v>
      </c>
      <c r="C384" s="261" t="s">
        <v>9431</v>
      </c>
      <c r="D384" s="261" t="s">
        <v>9432</v>
      </c>
      <c r="E384" s="261" t="str">
        <f t="shared" si="15"/>
        <v>The Most Handsome Boy</v>
      </c>
      <c r="F384" s="261" t="s">
        <v>9433</v>
      </c>
      <c r="G384" s="261">
        <v>5</v>
      </c>
      <c r="H384" s="261"/>
      <c r="I384" s="261" t="s">
        <v>2837</v>
      </c>
      <c r="J384" s="261" t="s">
        <v>13936</v>
      </c>
      <c r="K384" s="261" t="s">
        <v>7601</v>
      </c>
      <c r="L384" s="261"/>
      <c r="M384" s="261"/>
      <c r="N384" s="261"/>
      <c r="O384" s="261"/>
      <c r="P384" s="261" t="s">
        <v>126</v>
      </c>
      <c r="Q384" s="261" t="s">
        <v>1591</v>
      </c>
      <c r="R384" s="261" t="str">
        <f t="shared" si="16"/>
        <v>(Light) Dragon Haste +15%</v>
      </c>
      <c r="S384" s="330" t="str">
        <f t="shared" si="17"/>
        <v>(Light) Skill Prep +50%</v>
      </c>
    </row>
    <row r="385" spans="1:19" x14ac:dyDescent="0.2">
      <c r="A385" s="306" t="s">
        <v>9805</v>
      </c>
      <c r="B385" s="261" t="s">
        <v>15378</v>
      </c>
      <c r="C385" s="261" t="s">
        <v>9806</v>
      </c>
      <c r="D385" s="261" t="s">
        <v>9807</v>
      </c>
      <c r="E385" s="261" t="str">
        <f t="shared" si="15"/>
        <v>Mischievous Feline</v>
      </c>
      <c r="F385" s="261" t="s">
        <v>9808</v>
      </c>
      <c r="G385" s="261">
        <v>5</v>
      </c>
      <c r="H385" s="261"/>
      <c r="I385" s="261" t="s">
        <v>2837</v>
      </c>
      <c r="J385" s="261" t="s">
        <v>13936</v>
      </c>
      <c r="K385" s="261" t="s">
        <v>9012</v>
      </c>
      <c r="L385" s="261"/>
      <c r="M385" s="261" t="s">
        <v>9781</v>
      </c>
      <c r="N385" s="261"/>
      <c r="O385" s="261"/>
      <c r="P385" s="261" t="s">
        <v>126</v>
      </c>
      <c r="Q385" s="261" t="s">
        <v>6893</v>
      </c>
      <c r="R385" s="261" t="str">
        <f t="shared" si="16"/>
        <v>(Light) Dragon Haste +15%</v>
      </c>
      <c r="S385" s="330" t="str">
        <f t="shared" si="17"/>
        <v>(Light) Skill Damage +40%</v>
      </c>
    </row>
    <row r="386" spans="1:19" x14ac:dyDescent="0.2">
      <c r="A386" s="306" t="s">
        <v>8861</v>
      </c>
      <c r="B386" s="261" t="s">
        <v>15379</v>
      </c>
      <c r="C386" s="261" t="s">
        <v>8862</v>
      </c>
      <c r="D386" s="261" t="s">
        <v>8863</v>
      </c>
      <c r="E386" s="261" t="str">
        <f t="shared" ref="E386:E449" si="18">+F386</f>
        <v>Grace-Granting Angel</v>
      </c>
      <c r="F386" s="261" t="s">
        <v>8864</v>
      </c>
      <c r="G386" s="261">
        <v>5</v>
      </c>
      <c r="H386" s="261"/>
      <c r="I386" s="261" t="s">
        <v>2837</v>
      </c>
      <c r="J386" s="261" t="s">
        <v>13936</v>
      </c>
      <c r="K386" s="261" t="s">
        <v>8833</v>
      </c>
      <c r="L386" s="261"/>
      <c r="M386" s="261" t="s">
        <v>8873</v>
      </c>
      <c r="N386" s="261"/>
      <c r="O386" s="261"/>
      <c r="P386" s="261" t="s">
        <v>7254</v>
      </c>
      <c r="Q386" s="261" t="s">
        <v>2974</v>
      </c>
      <c r="R386" s="261" t="str">
        <f t="shared" si="16"/>
        <v>(Light) Dragon Damage +18%</v>
      </c>
      <c r="S386" s="330" t="str">
        <f t="shared" si="17"/>
        <v>(Light) Elemental Res +15%</v>
      </c>
    </row>
    <row r="387" spans="1:19" x14ac:dyDescent="0.2">
      <c r="A387" s="306" t="s">
        <v>9162</v>
      </c>
      <c r="B387" s="261" t="s">
        <v>15380</v>
      </c>
      <c r="C387" s="261" t="s">
        <v>9163</v>
      </c>
      <c r="D387" s="261" t="s">
        <v>9164</v>
      </c>
      <c r="E387" s="261" t="str">
        <f t="shared" si="18"/>
        <v>Sacred Standard Bearer</v>
      </c>
      <c r="F387" s="261" t="s">
        <v>9165</v>
      </c>
      <c r="G387" s="261">
        <v>5</v>
      </c>
      <c r="H387" s="261"/>
      <c r="I387" s="261" t="s">
        <v>2837</v>
      </c>
      <c r="J387" s="261" t="s">
        <v>13936</v>
      </c>
      <c r="K387" s="261" t="s">
        <v>9012</v>
      </c>
      <c r="L387" s="261"/>
      <c r="M387" s="261" t="s">
        <v>9137</v>
      </c>
      <c r="N387" s="261"/>
      <c r="O387" s="261"/>
      <c r="P387" s="261" t="s">
        <v>650</v>
      </c>
      <c r="Q387" s="261" t="s">
        <v>6601</v>
      </c>
      <c r="R387" s="261" t="str">
        <f t="shared" ref="R387:R450" si="19">+"("&amp;I387&amp;") "&amp;P387</f>
        <v>(Light) Dragon Time +20%</v>
      </c>
      <c r="S387" s="330" t="str">
        <f t="shared" ref="S387:S450" si="20">+"("&amp;I387&amp;") "&amp;Q387</f>
        <v>(Light) Critical Rate +15%</v>
      </c>
    </row>
    <row r="388" spans="1:19" x14ac:dyDescent="0.2">
      <c r="A388" s="306" t="s">
        <v>8922</v>
      </c>
      <c r="B388" s="261" t="s">
        <v>15381</v>
      </c>
      <c r="C388" s="261" t="s">
        <v>8923</v>
      </c>
      <c r="D388" s="261" t="s">
        <v>8924</v>
      </c>
      <c r="E388" s="261" t="str">
        <f t="shared" si="18"/>
        <v>Box-of-Hope Bearer</v>
      </c>
      <c r="F388" s="261" t="s">
        <v>8925</v>
      </c>
      <c r="G388" s="261">
        <v>5</v>
      </c>
      <c r="H388" s="261"/>
      <c r="I388" s="261" t="s">
        <v>2837</v>
      </c>
      <c r="J388" s="261" t="s">
        <v>13936</v>
      </c>
      <c r="K388" s="261" t="s">
        <v>8898</v>
      </c>
      <c r="L388" s="261"/>
      <c r="M388" s="261" t="s">
        <v>8899</v>
      </c>
      <c r="N388" s="261"/>
      <c r="O388" s="261"/>
      <c r="P388" s="261" t="s">
        <v>126</v>
      </c>
      <c r="Q388" s="261" t="s">
        <v>6601</v>
      </c>
      <c r="R388" s="261" t="str">
        <f t="shared" si="19"/>
        <v>(Light) Dragon Haste +15%</v>
      </c>
      <c r="S388" s="330" t="str">
        <f t="shared" si="20"/>
        <v>(Light) Critical Rate +15%</v>
      </c>
    </row>
    <row r="389" spans="1:19" x14ac:dyDescent="0.2">
      <c r="A389" s="306" t="s">
        <v>10202</v>
      </c>
      <c r="B389" s="261" t="s">
        <v>15382</v>
      </c>
      <c r="C389" s="261" t="s">
        <v>10203</v>
      </c>
      <c r="D389" s="261" t="s">
        <v>10204</v>
      </c>
      <c r="E389" s="261" t="str">
        <f t="shared" si="18"/>
        <v>The Fulminator</v>
      </c>
      <c r="F389" s="261" t="s">
        <v>10205</v>
      </c>
      <c r="G389" s="261">
        <v>5</v>
      </c>
      <c r="H389" s="261"/>
      <c r="I389" s="261" t="s">
        <v>2837</v>
      </c>
      <c r="J389" s="261" t="s">
        <v>13936</v>
      </c>
      <c r="K389" s="261" t="s">
        <v>10214</v>
      </c>
      <c r="L389" s="261"/>
      <c r="M389" s="261" t="s">
        <v>10205</v>
      </c>
      <c r="N389" s="261"/>
      <c r="O389" s="261"/>
      <c r="P389" s="261" t="s">
        <v>650</v>
      </c>
      <c r="Q389" s="261" t="s">
        <v>6911</v>
      </c>
      <c r="R389" s="261" t="str">
        <f t="shared" si="19"/>
        <v>(Light) Dragon Time +20%</v>
      </c>
      <c r="S389" s="330" t="str">
        <f t="shared" si="20"/>
        <v>(Light) Strength +20%</v>
      </c>
    </row>
    <row r="390" spans="1:19" x14ac:dyDescent="0.2">
      <c r="A390" s="306" t="s">
        <v>9693</v>
      </c>
      <c r="B390" s="261" t="s">
        <v>15383</v>
      </c>
      <c r="C390" s="261" t="s">
        <v>9694</v>
      </c>
      <c r="D390" s="261" t="s">
        <v>9695</v>
      </c>
      <c r="E390" s="261" t="str">
        <f t="shared" si="18"/>
        <v>Ravishing Rakshesha</v>
      </c>
      <c r="F390" s="261" t="s">
        <v>9696</v>
      </c>
      <c r="G390" s="261">
        <v>5</v>
      </c>
      <c r="H390" s="261"/>
      <c r="I390" s="261" t="s">
        <v>2837</v>
      </c>
      <c r="J390" s="261" t="s">
        <v>13936</v>
      </c>
      <c r="K390" s="261" t="s">
        <v>9667</v>
      </c>
      <c r="L390" s="261"/>
      <c r="M390" s="261" t="s">
        <v>8899</v>
      </c>
      <c r="N390" s="261"/>
      <c r="O390" s="261"/>
      <c r="P390" s="261" t="s">
        <v>126</v>
      </c>
      <c r="Q390" s="261" t="s">
        <v>316</v>
      </c>
      <c r="R390" s="261" t="str">
        <f t="shared" si="19"/>
        <v>(Light) Dragon Haste +15%</v>
      </c>
      <c r="S390" s="330" t="str">
        <f t="shared" si="20"/>
        <v>(Light) Skill Haste +10%</v>
      </c>
    </row>
    <row r="391" spans="1:19" x14ac:dyDescent="0.2">
      <c r="A391" s="306" t="s">
        <v>9039</v>
      </c>
      <c r="B391" s="261" t="s">
        <v>15384</v>
      </c>
      <c r="C391" s="261" t="s">
        <v>9040</v>
      </c>
      <c r="D391" s="261" t="s">
        <v>9041</v>
      </c>
      <c r="E391" s="261" t="str">
        <f t="shared" si="18"/>
        <v>Exalted Mouse</v>
      </c>
      <c r="F391" s="261" t="s">
        <v>9042</v>
      </c>
      <c r="G391" s="261">
        <v>5</v>
      </c>
      <c r="H391" s="261"/>
      <c r="I391" s="261" t="s">
        <v>2837</v>
      </c>
      <c r="J391" s="261" t="s">
        <v>13936</v>
      </c>
      <c r="K391" s="261" t="s">
        <v>9012</v>
      </c>
      <c r="L391" s="261"/>
      <c r="M391" s="261" t="s">
        <v>9013</v>
      </c>
      <c r="N391" s="261"/>
      <c r="O391" s="261"/>
      <c r="P391" s="261" t="s">
        <v>126</v>
      </c>
      <c r="Q391" s="261" t="s">
        <v>14997</v>
      </c>
      <c r="R391" s="261" t="str">
        <f t="shared" si="19"/>
        <v>(Light) Dragon Haste +15%</v>
      </c>
      <c r="S391" s="330" t="str">
        <f t="shared" si="20"/>
        <v>(Light) Critical Damage +25%</v>
      </c>
    </row>
    <row r="392" spans="1:19" x14ac:dyDescent="0.2">
      <c r="A392" s="306" t="s">
        <v>9748</v>
      </c>
      <c r="B392" s="261" t="s">
        <v>15385</v>
      </c>
      <c r="C392" s="261" t="s">
        <v>9749</v>
      </c>
      <c r="D392" s="261" t="s">
        <v>9750</v>
      </c>
      <c r="E392" s="261" t="str">
        <f t="shared" si="18"/>
        <v>Seaside Songstress</v>
      </c>
      <c r="F392" s="261" t="s">
        <v>9751</v>
      </c>
      <c r="G392" s="261">
        <v>5</v>
      </c>
      <c r="H392" s="261"/>
      <c r="I392" s="261" t="s">
        <v>2837</v>
      </c>
      <c r="J392" s="261" t="s">
        <v>13936</v>
      </c>
      <c r="K392" s="261" t="s">
        <v>9722</v>
      </c>
      <c r="L392" s="261"/>
      <c r="M392" s="261" t="s">
        <v>9723</v>
      </c>
      <c r="N392" s="261"/>
      <c r="O392" s="261"/>
      <c r="P392" s="261" t="s">
        <v>650</v>
      </c>
      <c r="Q392" s="261" t="s">
        <v>316</v>
      </c>
      <c r="R392" s="261" t="str">
        <f t="shared" si="19"/>
        <v>(Light) Dragon Time +20%</v>
      </c>
      <c r="S392" s="330" t="str">
        <f t="shared" si="20"/>
        <v>(Light) Skill Haste +10%</v>
      </c>
    </row>
    <row r="393" spans="1:19" x14ac:dyDescent="0.2">
      <c r="A393" s="306" t="s">
        <v>9524</v>
      </c>
      <c r="B393" s="261" t="s">
        <v>15386</v>
      </c>
      <c r="C393" s="261" t="s">
        <v>9525</v>
      </c>
      <c r="D393" s="261" t="s">
        <v>9526</v>
      </c>
      <c r="E393" s="261" t="str">
        <f t="shared" si="18"/>
        <v>Unrivaled Wrestler</v>
      </c>
      <c r="F393" s="261" t="s">
        <v>9527</v>
      </c>
      <c r="G393" s="261">
        <v>5</v>
      </c>
      <c r="H393" s="261"/>
      <c r="I393" s="261" t="s">
        <v>2837</v>
      </c>
      <c r="J393" s="261" t="s">
        <v>13936</v>
      </c>
      <c r="K393" s="261" t="s">
        <v>9499</v>
      </c>
      <c r="L393" s="261"/>
      <c r="M393" s="261" t="s">
        <v>9500</v>
      </c>
      <c r="N393" s="261"/>
      <c r="O393" s="261"/>
      <c r="P393" s="261" t="s">
        <v>7254</v>
      </c>
      <c r="Q393" s="261" t="s">
        <v>417</v>
      </c>
      <c r="R393" s="261" t="str">
        <f t="shared" si="19"/>
        <v>(Light) Dragon Damage +18%</v>
      </c>
      <c r="S393" s="330" t="str">
        <f t="shared" si="20"/>
        <v>(Light) Overdrive Punisher +15%</v>
      </c>
    </row>
    <row r="394" spans="1:19" x14ac:dyDescent="0.2">
      <c r="A394" s="306" t="s">
        <v>9385</v>
      </c>
      <c r="B394" s="261" t="s">
        <v>15387</v>
      </c>
      <c r="C394" s="261" t="s">
        <v>9386</v>
      </c>
      <c r="D394" s="261" t="s">
        <v>9387</v>
      </c>
      <c r="E394" s="261" t="str">
        <f t="shared" si="18"/>
        <v>King of the Big Top</v>
      </c>
      <c r="F394" s="261" t="s">
        <v>9388</v>
      </c>
      <c r="G394" s="261">
        <v>5</v>
      </c>
      <c r="H394" s="261"/>
      <c r="I394" s="261" t="s">
        <v>2837</v>
      </c>
      <c r="J394" s="261" t="s">
        <v>13936</v>
      </c>
      <c r="K394" s="261" t="s">
        <v>9253</v>
      </c>
      <c r="L394" s="261"/>
      <c r="M394" s="261" t="s">
        <v>8899</v>
      </c>
      <c r="N394" s="261"/>
      <c r="O394" s="261"/>
      <c r="P394" s="261" t="s">
        <v>7254</v>
      </c>
      <c r="Q394" s="261" t="s">
        <v>682</v>
      </c>
      <c r="R394" s="261" t="str">
        <f t="shared" si="19"/>
        <v>(Light) Dragon Damage +18%</v>
      </c>
      <c r="S394" s="330" t="str">
        <f t="shared" si="20"/>
        <v>(Light) HP +15%</v>
      </c>
    </row>
    <row r="395" spans="1:19" x14ac:dyDescent="0.2">
      <c r="A395" s="306" t="s">
        <v>8979</v>
      </c>
      <c r="B395" s="261" t="s">
        <v>15388</v>
      </c>
      <c r="C395" s="261" t="s">
        <v>8980</v>
      </c>
      <c r="D395" s="261" t="s">
        <v>8981</v>
      </c>
      <c r="E395" s="261" t="str">
        <f t="shared" si="18"/>
        <v>Fortune Bringer</v>
      </c>
      <c r="F395" s="261" t="s">
        <v>8982</v>
      </c>
      <c r="G395" s="261">
        <v>5</v>
      </c>
      <c r="H395" s="261"/>
      <c r="I395" s="261" t="s">
        <v>2837</v>
      </c>
      <c r="J395" s="261" t="s">
        <v>13936</v>
      </c>
      <c r="K395" s="261" t="s">
        <v>8956</v>
      </c>
      <c r="L395" s="261"/>
      <c r="M395" s="261" t="s">
        <v>8957</v>
      </c>
      <c r="N395" s="261"/>
      <c r="O395" s="261"/>
      <c r="P395" s="261" t="s">
        <v>650</v>
      </c>
      <c r="Q395" s="261" t="s">
        <v>14997</v>
      </c>
      <c r="R395" s="261" t="str">
        <f t="shared" si="19"/>
        <v>(Light) Dragon Time +20%</v>
      </c>
      <c r="S395" s="330" t="str">
        <f t="shared" si="20"/>
        <v>(Light) Critical Damage +25%</v>
      </c>
    </row>
    <row r="396" spans="1:19" x14ac:dyDescent="0.2">
      <c r="A396" s="306" t="s">
        <v>9862</v>
      </c>
      <c r="B396" s="261" t="s">
        <v>15389</v>
      </c>
      <c r="C396" s="261" t="s">
        <v>9863</v>
      </c>
      <c r="D396" s="261" t="s">
        <v>9864</v>
      </c>
      <c r="E396" s="261" t="str">
        <f t="shared" si="18"/>
        <v>Love's Messenger</v>
      </c>
      <c r="F396" s="261" t="s">
        <v>9865</v>
      </c>
      <c r="G396" s="261">
        <v>5</v>
      </c>
      <c r="H396" s="261"/>
      <c r="I396" s="261" t="s">
        <v>2837</v>
      </c>
      <c r="J396" s="261" t="s">
        <v>13936</v>
      </c>
      <c r="K396" s="261" t="s">
        <v>9012</v>
      </c>
      <c r="L396" s="261"/>
      <c r="M396" s="261" t="s">
        <v>8899</v>
      </c>
      <c r="N396" s="261"/>
      <c r="O396" s="261"/>
      <c r="P396" s="261" t="s">
        <v>7254</v>
      </c>
      <c r="Q396" s="261" t="s">
        <v>6601</v>
      </c>
      <c r="R396" s="261" t="str">
        <f t="shared" si="19"/>
        <v>(Light) Dragon Damage +18%</v>
      </c>
      <c r="S396" s="330" t="str">
        <f t="shared" si="20"/>
        <v>(Light) Critical Rate +15%</v>
      </c>
    </row>
    <row r="397" spans="1:19" x14ac:dyDescent="0.2">
      <c r="A397" s="306" t="s">
        <v>9572</v>
      </c>
      <c r="B397" s="261" t="s">
        <v>15390</v>
      </c>
      <c r="C397" s="261" t="s">
        <v>9573</v>
      </c>
      <c r="D397" s="261" t="s">
        <v>9574</v>
      </c>
      <c r="E397" s="261" t="str">
        <f t="shared" si="18"/>
        <v>Supreme Ruler</v>
      </c>
      <c r="F397" s="261" t="s">
        <v>9575</v>
      </c>
      <c r="G397" s="261">
        <v>5</v>
      </c>
      <c r="H397" s="261"/>
      <c r="I397" s="261" t="s">
        <v>2837</v>
      </c>
      <c r="J397" s="261" t="s">
        <v>13936</v>
      </c>
      <c r="K397" s="261" t="s">
        <v>9557</v>
      </c>
      <c r="L397" s="261"/>
      <c r="M397" s="261" t="s">
        <v>9558</v>
      </c>
      <c r="N397" s="261"/>
      <c r="O397" s="261"/>
      <c r="P397" s="261" t="s">
        <v>126</v>
      </c>
      <c r="Q397" s="261" t="s">
        <v>2974</v>
      </c>
      <c r="R397" s="261" t="str">
        <f t="shared" si="19"/>
        <v>(Light) Dragon Haste +15%</v>
      </c>
      <c r="S397" s="330" t="str">
        <f t="shared" si="20"/>
        <v>(Light) Elemental Res +15%</v>
      </c>
    </row>
    <row r="398" spans="1:19" x14ac:dyDescent="0.2">
      <c r="A398" s="306" t="s">
        <v>8725</v>
      </c>
      <c r="B398" s="261" t="s">
        <v>15391</v>
      </c>
      <c r="C398" s="261" t="s">
        <v>8726</v>
      </c>
      <c r="D398" s="261" t="s">
        <v>8727</v>
      </c>
      <c r="E398" s="261" t="str">
        <f t="shared" si="18"/>
        <v>Holy Regenerant</v>
      </c>
      <c r="F398" s="261" t="s">
        <v>8728</v>
      </c>
      <c r="G398" s="261">
        <v>5</v>
      </c>
      <c r="H398" s="261"/>
      <c r="I398" s="261" t="s">
        <v>2837</v>
      </c>
      <c r="J398" s="261" t="s">
        <v>13936</v>
      </c>
      <c r="K398" s="261" t="s">
        <v>8673</v>
      </c>
      <c r="L398" s="261"/>
      <c r="M398" s="261" t="s">
        <v>8736</v>
      </c>
      <c r="N398" s="261"/>
      <c r="O398" s="261"/>
      <c r="P398" s="261" t="s">
        <v>7254</v>
      </c>
      <c r="Q398" s="261" t="s">
        <v>14997</v>
      </c>
      <c r="R398" s="261" t="str">
        <f t="shared" si="19"/>
        <v>(Light) Dragon Damage +18%</v>
      </c>
      <c r="S398" s="330" t="str">
        <f t="shared" si="20"/>
        <v>(Light) Critical Damage +25%</v>
      </c>
    </row>
    <row r="399" spans="1:19" x14ac:dyDescent="0.2">
      <c r="A399" s="306" t="s">
        <v>9276</v>
      </c>
      <c r="B399" s="261" t="s">
        <v>15392</v>
      </c>
      <c r="C399" s="261" t="s">
        <v>9277</v>
      </c>
      <c r="D399" s="261" t="s">
        <v>9278</v>
      </c>
      <c r="E399" s="261" t="str">
        <f t="shared" si="18"/>
        <v>Radiant Hedonist</v>
      </c>
      <c r="F399" s="261" t="s">
        <v>9279</v>
      </c>
      <c r="G399" s="261">
        <v>5</v>
      </c>
      <c r="H399" s="261"/>
      <c r="I399" s="261" t="s">
        <v>2837</v>
      </c>
      <c r="J399" s="261" t="s">
        <v>13936</v>
      </c>
      <c r="K399" s="261" t="s">
        <v>9253</v>
      </c>
      <c r="L399" s="261"/>
      <c r="M399" s="261" t="s">
        <v>9254</v>
      </c>
      <c r="N399" s="261"/>
      <c r="O399" s="261"/>
      <c r="P399" s="261" t="s">
        <v>650</v>
      </c>
      <c r="Q399" s="261" t="s">
        <v>618</v>
      </c>
      <c r="R399" s="261" t="str">
        <f t="shared" si="19"/>
        <v>(Light) Dragon Time +20%</v>
      </c>
      <c r="S399" s="330" t="str">
        <f t="shared" si="20"/>
        <v>(Light) Defense +20%</v>
      </c>
    </row>
    <row r="400" spans="1:19" x14ac:dyDescent="0.2">
      <c r="A400" s="306" t="s">
        <v>9334</v>
      </c>
      <c r="B400" s="261" t="s">
        <v>15393</v>
      </c>
      <c r="C400" s="261" t="s">
        <v>9335</v>
      </c>
      <c r="D400" s="261" t="s">
        <v>9336</v>
      </c>
      <c r="E400" s="261" t="str">
        <f t="shared" si="18"/>
        <v>Standard Bearer</v>
      </c>
      <c r="F400" s="261" t="s">
        <v>9337</v>
      </c>
      <c r="G400" s="261">
        <v>5</v>
      </c>
      <c r="H400" s="261"/>
      <c r="I400" s="261" t="s">
        <v>2837</v>
      </c>
      <c r="J400" s="261" t="s">
        <v>13936</v>
      </c>
      <c r="K400" s="261" t="s">
        <v>9307</v>
      </c>
      <c r="L400" s="261"/>
      <c r="M400" s="261" t="s">
        <v>9308</v>
      </c>
      <c r="N400" s="261"/>
      <c r="O400" s="261"/>
      <c r="P400" s="261" t="s">
        <v>650</v>
      </c>
      <c r="Q400" s="261" t="s">
        <v>417</v>
      </c>
      <c r="R400" s="261" t="str">
        <f t="shared" si="19"/>
        <v>(Light) Dragon Time +20%</v>
      </c>
      <c r="S400" s="330" t="str">
        <f t="shared" si="20"/>
        <v>(Light) Overdrive Punisher +15%</v>
      </c>
    </row>
    <row r="401" spans="1:19" x14ac:dyDescent="0.2">
      <c r="A401" s="306" t="s">
        <v>9635</v>
      </c>
      <c r="B401" s="261" t="s">
        <v>15394</v>
      </c>
      <c r="C401" s="261" t="s">
        <v>9636</v>
      </c>
      <c r="D401" s="261" t="s">
        <v>9637</v>
      </c>
      <c r="E401" s="261" t="str">
        <f t="shared" si="18"/>
        <v>Festive Prankster</v>
      </c>
      <c r="F401" s="261" t="s">
        <v>9638</v>
      </c>
      <c r="G401" s="261">
        <v>4</v>
      </c>
      <c r="H401" s="261"/>
      <c r="I401" s="261" t="s">
        <v>2837</v>
      </c>
      <c r="J401" s="261" t="s">
        <v>13936</v>
      </c>
      <c r="K401" s="261" t="s">
        <v>9610</v>
      </c>
      <c r="L401" s="261"/>
      <c r="M401" s="261" t="s">
        <v>9611</v>
      </c>
      <c r="N401" s="261"/>
      <c r="O401" s="261"/>
      <c r="P401" s="261" t="s">
        <v>650</v>
      </c>
      <c r="Q401" s="261" t="s">
        <v>6893</v>
      </c>
      <c r="R401" s="261" t="str">
        <f t="shared" si="19"/>
        <v>(Light) Dragon Time +20%</v>
      </c>
      <c r="S401" s="330" t="str">
        <f t="shared" si="20"/>
        <v>(Light) Skill Damage +40%</v>
      </c>
    </row>
    <row r="402" spans="1:19" x14ac:dyDescent="0.2">
      <c r="A402" s="306" t="s">
        <v>8737</v>
      </c>
      <c r="B402" s="261" t="s">
        <v>15395</v>
      </c>
      <c r="C402" s="261" t="s">
        <v>8738</v>
      </c>
      <c r="D402" s="261" t="s">
        <v>8739</v>
      </c>
      <c r="E402" s="261" t="str">
        <f t="shared" si="18"/>
        <v>Seeker of Beauty</v>
      </c>
      <c r="F402" s="261" t="s">
        <v>8740</v>
      </c>
      <c r="G402" s="261">
        <v>4</v>
      </c>
      <c r="H402" s="261"/>
      <c r="I402" s="261" t="s">
        <v>2837</v>
      </c>
      <c r="J402" s="261" t="s">
        <v>13936</v>
      </c>
      <c r="K402" s="261" t="s">
        <v>8673</v>
      </c>
      <c r="L402" s="261"/>
      <c r="M402" s="261" t="s">
        <v>8748</v>
      </c>
      <c r="N402" s="261"/>
      <c r="O402" s="261"/>
      <c r="P402" s="261" t="s">
        <v>7254</v>
      </c>
      <c r="Q402" s="261" t="s">
        <v>316</v>
      </c>
      <c r="R402" s="261" t="str">
        <f t="shared" si="19"/>
        <v>(Light) Dragon Damage +18%</v>
      </c>
      <c r="S402" s="330" t="str">
        <f t="shared" si="20"/>
        <v>(Light) Skill Haste +10%</v>
      </c>
    </row>
    <row r="403" spans="1:19" x14ac:dyDescent="0.2">
      <c r="A403" s="306" t="s">
        <v>10064</v>
      </c>
      <c r="B403" s="261" t="s">
        <v>15396</v>
      </c>
      <c r="C403" s="261" t="s">
        <v>10065</v>
      </c>
      <c r="D403" s="261" t="s">
        <v>10066</v>
      </c>
      <c r="E403" s="261" t="str">
        <f t="shared" si="18"/>
        <v>Arbiter of Purity</v>
      </c>
      <c r="F403" s="261" t="s">
        <v>10067</v>
      </c>
      <c r="G403" s="261">
        <v>4</v>
      </c>
      <c r="H403" s="261"/>
      <c r="I403" s="261" t="s">
        <v>2837</v>
      </c>
      <c r="J403" s="261" t="s">
        <v>13936</v>
      </c>
      <c r="K403" s="261" t="s">
        <v>10051</v>
      </c>
      <c r="L403" s="261"/>
      <c r="M403" s="261" t="s">
        <v>9558</v>
      </c>
      <c r="N403" s="261"/>
      <c r="O403" s="261"/>
      <c r="P403" s="261" t="s">
        <v>126</v>
      </c>
      <c r="Q403" s="261" t="s">
        <v>618</v>
      </c>
      <c r="R403" s="261" t="str">
        <f t="shared" si="19"/>
        <v>(Light) Dragon Haste +15%</v>
      </c>
      <c r="S403" s="330" t="str">
        <f t="shared" si="20"/>
        <v>(Light) Defense +20%</v>
      </c>
    </row>
    <row r="404" spans="1:19" x14ac:dyDescent="0.2">
      <c r="A404" s="306" t="s">
        <v>9221</v>
      </c>
      <c r="B404" s="261" t="s">
        <v>15397</v>
      </c>
      <c r="C404" s="261" t="s">
        <v>9222</v>
      </c>
      <c r="D404" s="261" t="s">
        <v>9223</v>
      </c>
      <c r="E404" s="261" t="str">
        <f t="shared" si="18"/>
        <v>Capricious Scamp</v>
      </c>
      <c r="F404" s="261" t="s">
        <v>9224</v>
      </c>
      <c r="G404" s="261">
        <v>4</v>
      </c>
      <c r="H404" s="261"/>
      <c r="I404" s="261" t="s">
        <v>2837</v>
      </c>
      <c r="J404" s="261" t="s">
        <v>13936</v>
      </c>
      <c r="K404" s="261" t="s">
        <v>9197</v>
      </c>
      <c r="L404" s="261"/>
      <c r="M404" s="261" t="s">
        <v>650</v>
      </c>
      <c r="N404" s="261"/>
      <c r="O404" s="261"/>
      <c r="P404" s="261" t="s">
        <v>650</v>
      </c>
      <c r="Q404" s="261" t="s">
        <v>682</v>
      </c>
      <c r="R404" s="261" t="str">
        <f t="shared" si="19"/>
        <v>(Light) Dragon Time +20%</v>
      </c>
      <c r="S404" s="330" t="str">
        <f t="shared" si="20"/>
        <v>(Light) HP +15%</v>
      </c>
    </row>
    <row r="405" spans="1:19" x14ac:dyDescent="0.2">
      <c r="A405" s="306" t="s">
        <v>9949</v>
      </c>
      <c r="B405" s="261" t="s">
        <v>15398</v>
      </c>
      <c r="C405" s="261" t="s">
        <v>9950</v>
      </c>
      <c r="D405" s="261" t="s">
        <v>9951</v>
      </c>
      <c r="E405" s="261" t="str">
        <f t="shared" si="18"/>
        <v>N/A</v>
      </c>
      <c r="F405" s="261" t="s">
        <v>137</v>
      </c>
      <c r="G405" s="261">
        <v>3</v>
      </c>
      <c r="H405" s="261"/>
      <c r="I405" s="261" t="s">
        <v>2837</v>
      </c>
      <c r="J405" s="261" t="s">
        <v>13936</v>
      </c>
      <c r="K405" s="261" t="s">
        <v>9610</v>
      </c>
      <c r="L405" s="261"/>
      <c r="M405" s="261"/>
      <c r="N405" s="261"/>
      <c r="O405" s="261"/>
      <c r="P405" s="261" t="s">
        <v>650</v>
      </c>
      <c r="Q405" s="261" t="s">
        <v>909</v>
      </c>
      <c r="R405" s="261" t="str">
        <f t="shared" si="19"/>
        <v>(Light) Dragon Time +20%</v>
      </c>
      <c r="S405" s="330" t="str">
        <f t="shared" si="20"/>
        <v>(Light) Broken Punisher +30%</v>
      </c>
    </row>
    <row r="406" spans="1:19" x14ac:dyDescent="0.2">
      <c r="A406" s="306" t="s">
        <v>9911</v>
      </c>
      <c r="B406" s="261" t="s">
        <v>15399</v>
      </c>
      <c r="C406" s="261" t="s">
        <v>9912</v>
      </c>
      <c r="D406" s="261" t="s">
        <v>9913</v>
      </c>
      <c r="E406" s="261" t="str">
        <f t="shared" si="18"/>
        <v>N/A</v>
      </c>
      <c r="F406" s="261" t="s">
        <v>137</v>
      </c>
      <c r="G406" s="261">
        <v>3</v>
      </c>
      <c r="H406" s="261"/>
      <c r="I406" s="261" t="s">
        <v>2837</v>
      </c>
      <c r="J406" s="261" t="s">
        <v>13936</v>
      </c>
      <c r="K406" s="261" t="s">
        <v>9894</v>
      </c>
      <c r="L406" s="261"/>
      <c r="M406" s="261"/>
      <c r="N406" s="261"/>
      <c r="O406" s="261"/>
      <c r="P406" s="261" t="s">
        <v>126</v>
      </c>
      <c r="Q406" s="261" t="s">
        <v>909</v>
      </c>
      <c r="R406" s="261" t="str">
        <f t="shared" si="19"/>
        <v>(Light) Dragon Haste +15%</v>
      </c>
      <c r="S406" s="330" t="str">
        <f t="shared" si="20"/>
        <v>(Light) Broken Punisher +30%</v>
      </c>
    </row>
    <row r="407" spans="1:19" x14ac:dyDescent="0.2">
      <c r="A407" s="306" t="s">
        <v>9988</v>
      </c>
      <c r="B407" s="261" t="s">
        <v>15400</v>
      </c>
      <c r="C407" s="261" t="s">
        <v>9989</v>
      </c>
      <c r="D407" s="261" t="s">
        <v>9990</v>
      </c>
      <c r="E407" s="261" t="str">
        <f t="shared" si="18"/>
        <v>N/A</v>
      </c>
      <c r="F407" s="261" t="s">
        <v>137</v>
      </c>
      <c r="G407" s="261">
        <v>3</v>
      </c>
      <c r="H407" s="261"/>
      <c r="I407" s="261" t="s">
        <v>2837</v>
      </c>
      <c r="J407" s="261" t="s">
        <v>13936</v>
      </c>
      <c r="K407" s="261" t="s">
        <v>9972</v>
      </c>
      <c r="L407" s="261"/>
      <c r="M407" s="261"/>
      <c r="N407" s="261"/>
      <c r="O407" s="261"/>
      <c r="P407" s="261" t="s">
        <v>7254</v>
      </c>
      <c r="Q407" s="261" t="s">
        <v>909</v>
      </c>
      <c r="R407" s="261" t="str">
        <f t="shared" si="19"/>
        <v>(Light) Dragon Damage +18%</v>
      </c>
      <c r="S407" s="330" t="str">
        <f t="shared" si="20"/>
        <v>(Light) Broken Punisher +30%</v>
      </c>
    </row>
    <row r="408" spans="1:19" x14ac:dyDescent="0.2">
      <c r="A408" s="306" t="s">
        <v>10215</v>
      </c>
      <c r="B408" s="261" t="s">
        <v>15401</v>
      </c>
      <c r="C408" s="261" t="s">
        <v>10216</v>
      </c>
      <c r="D408" s="261" t="s">
        <v>10217</v>
      </c>
      <c r="E408" s="261" t="str">
        <f t="shared" si="18"/>
        <v>Imposing Wings of Black</v>
      </c>
      <c r="F408" s="261" t="s">
        <v>10218</v>
      </c>
      <c r="G408" s="261">
        <v>5</v>
      </c>
      <c r="H408" s="261"/>
      <c r="I408" s="261" t="s">
        <v>3779</v>
      </c>
      <c r="J408" s="261" t="s">
        <v>13936</v>
      </c>
      <c r="K408" s="261" t="s">
        <v>10226</v>
      </c>
      <c r="L408" s="261"/>
      <c r="M408" s="261" t="s">
        <v>6997</v>
      </c>
      <c r="N408" s="261"/>
      <c r="O408" s="261"/>
      <c r="P408" s="261" t="s">
        <v>650</v>
      </c>
      <c r="Q408" s="261" t="s">
        <v>2974</v>
      </c>
      <c r="R408" s="261" t="str">
        <f t="shared" si="19"/>
        <v>(Shadow) Dragon Time +20%</v>
      </c>
      <c r="S408" s="330" t="str">
        <f t="shared" si="20"/>
        <v>(Shadow) Elemental Res +15%</v>
      </c>
    </row>
    <row r="409" spans="1:19" x14ac:dyDescent="0.2">
      <c r="A409" s="306" t="s">
        <v>9174</v>
      </c>
      <c r="B409" s="261" t="s">
        <v>15402</v>
      </c>
      <c r="C409" s="261" t="s">
        <v>9175</v>
      </c>
      <c r="D409" s="261" t="s">
        <v>9176</v>
      </c>
      <c r="E409" s="261" t="str">
        <f t="shared" si="18"/>
        <v>Observer of Life and Death</v>
      </c>
      <c r="F409" s="261" t="s">
        <v>9177</v>
      </c>
      <c r="G409" s="261">
        <v>5</v>
      </c>
      <c r="H409" s="261"/>
      <c r="I409" s="261" t="s">
        <v>3779</v>
      </c>
      <c r="J409" s="261" t="s">
        <v>13936</v>
      </c>
      <c r="K409" s="261" t="s">
        <v>9012</v>
      </c>
      <c r="L409" s="261"/>
      <c r="M409" s="261" t="s">
        <v>9137</v>
      </c>
      <c r="N409" s="261"/>
      <c r="O409" s="261"/>
      <c r="P409" s="261" t="s">
        <v>650</v>
      </c>
      <c r="Q409" s="261" t="s">
        <v>6601</v>
      </c>
      <c r="R409" s="261" t="str">
        <f t="shared" si="19"/>
        <v>(Shadow) Dragon Time +20%</v>
      </c>
      <c r="S409" s="330" t="str">
        <f t="shared" si="20"/>
        <v>(Shadow) Critical Rate +15%</v>
      </c>
    </row>
    <row r="410" spans="1:19" x14ac:dyDescent="0.2">
      <c r="A410" s="306" t="s">
        <v>10227</v>
      </c>
      <c r="B410" s="261" t="s">
        <v>15403</v>
      </c>
      <c r="C410" s="261" t="s">
        <v>10228</v>
      </c>
      <c r="D410" s="261" t="s">
        <v>10229</v>
      </c>
      <c r="E410" s="261" t="str">
        <f t="shared" si="18"/>
        <v>Eternal Dreamer</v>
      </c>
      <c r="F410" s="261" t="s">
        <v>10230</v>
      </c>
      <c r="G410" s="261">
        <v>5</v>
      </c>
      <c r="H410" s="261"/>
      <c r="I410" s="261" t="s">
        <v>3779</v>
      </c>
      <c r="J410" s="261" t="s">
        <v>13936</v>
      </c>
      <c r="K410" s="261" t="s">
        <v>10239</v>
      </c>
      <c r="L410" s="261"/>
      <c r="M410" s="261" t="s">
        <v>10240</v>
      </c>
      <c r="N410" s="261"/>
      <c r="O410" s="261"/>
      <c r="P410" s="261" t="s">
        <v>650</v>
      </c>
      <c r="Q410" s="261" t="s">
        <v>316</v>
      </c>
      <c r="R410" s="261" t="str">
        <f t="shared" si="19"/>
        <v>(Shadow) Dragon Time +20%</v>
      </c>
      <c r="S410" s="330" t="str">
        <f t="shared" si="20"/>
        <v>(Shadow) Skill Haste +10%</v>
      </c>
    </row>
    <row r="411" spans="1:19" x14ac:dyDescent="0.2">
      <c r="A411" s="306" t="s">
        <v>10241</v>
      </c>
      <c r="B411" s="261" t="s">
        <v>15404</v>
      </c>
      <c r="C411" s="261" t="s">
        <v>10242</v>
      </c>
      <c r="D411" s="261" t="s">
        <v>10243</v>
      </c>
      <c r="E411" s="261" t="str">
        <f t="shared" si="18"/>
        <v>Pillager of Twilight</v>
      </c>
      <c r="F411" s="261" t="s">
        <v>10244</v>
      </c>
      <c r="G411" s="261">
        <v>5</v>
      </c>
      <c r="H411" s="261"/>
      <c r="I411" s="261" t="s">
        <v>3779</v>
      </c>
      <c r="J411" s="261" t="s">
        <v>13936</v>
      </c>
      <c r="K411" s="261" t="s">
        <v>10251</v>
      </c>
      <c r="L411" s="261"/>
      <c r="M411" s="261" t="s">
        <v>10252</v>
      </c>
      <c r="N411" s="261"/>
      <c r="O411" s="261"/>
      <c r="P411" s="261" t="s">
        <v>126</v>
      </c>
      <c r="Q411" s="261" t="s">
        <v>6893</v>
      </c>
      <c r="R411" s="261" t="str">
        <f t="shared" si="19"/>
        <v>(Shadow) Dragon Haste +15%</v>
      </c>
      <c r="S411" s="330" t="str">
        <f t="shared" si="20"/>
        <v>(Shadow) Skill Damage +40%</v>
      </c>
    </row>
    <row r="412" spans="1:19" x14ac:dyDescent="0.2">
      <c r="A412" s="306" t="s">
        <v>8933</v>
      </c>
      <c r="B412" s="261" t="s">
        <v>15405</v>
      </c>
      <c r="C412" s="261" t="s">
        <v>8934</v>
      </c>
      <c r="D412" s="261" t="s">
        <v>8935</v>
      </c>
      <c r="E412" s="261" t="str">
        <f t="shared" si="18"/>
        <v>Ark of Music</v>
      </c>
      <c r="F412" s="261" t="s">
        <v>8936</v>
      </c>
      <c r="G412" s="261">
        <v>5</v>
      </c>
      <c r="H412" s="261"/>
      <c r="I412" s="261" t="s">
        <v>3779</v>
      </c>
      <c r="J412" s="261" t="s">
        <v>13936</v>
      </c>
      <c r="K412" s="261" t="s">
        <v>8898</v>
      </c>
      <c r="L412" s="261"/>
      <c r="M412" s="261" t="s">
        <v>8899</v>
      </c>
      <c r="N412" s="261"/>
      <c r="O412" s="261"/>
      <c r="P412" s="261" t="s">
        <v>126</v>
      </c>
      <c r="Q412" s="261" t="s">
        <v>6601</v>
      </c>
      <c r="R412" s="261" t="str">
        <f t="shared" si="19"/>
        <v>(Shadow) Dragon Haste +15%</v>
      </c>
      <c r="S412" s="330" t="str">
        <f t="shared" si="20"/>
        <v>(Shadow) Critical Rate +15%</v>
      </c>
    </row>
    <row r="413" spans="1:19" x14ac:dyDescent="0.2">
      <c r="A413" s="306" t="s">
        <v>8874</v>
      </c>
      <c r="B413" s="261" t="s">
        <v>15406</v>
      </c>
      <c r="C413" s="261" t="s">
        <v>8875</v>
      </c>
      <c r="D413" s="261" t="s">
        <v>8876</v>
      </c>
      <c r="E413" s="261" t="str">
        <f t="shared" si="18"/>
        <v>Angelic Herald</v>
      </c>
      <c r="F413" s="261" t="s">
        <v>8877</v>
      </c>
      <c r="G413" s="261">
        <v>5</v>
      </c>
      <c r="H413" s="261"/>
      <c r="I413" s="261" t="s">
        <v>3779</v>
      </c>
      <c r="J413" s="261" t="s">
        <v>13936</v>
      </c>
      <c r="K413" s="261" t="s">
        <v>8833</v>
      </c>
      <c r="L413" s="261"/>
      <c r="M413" s="261" t="s">
        <v>8886</v>
      </c>
      <c r="N413" s="261"/>
      <c r="O413" s="261"/>
      <c r="P413" s="261" t="s">
        <v>7254</v>
      </c>
      <c r="Q413" s="261" t="s">
        <v>2974</v>
      </c>
      <c r="R413" s="261" t="str">
        <f t="shared" si="19"/>
        <v>(Shadow) Dragon Damage +18%</v>
      </c>
      <c r="S413" s="330" t="str">
        <f t="shared" si="20"/>
        <v>(Shadow) Elemental Res +15%</v>
      </c>
    </row>
    <row r="414" spans="1:19" x14ac:dyDescent="0.2">
      <c r="A414" s="306" t="s">
        <v>10253</v>
      </c>
      <c r="B414" s="261" t="s">
        <v>15407</v>
      </c>
      <c r="C414" s="261" t="s">
        <v>10254</v>
      </c>
      <c r="D414" s="261" t="s">
        <v>10255</v>
      </c>
      <c r="E414" s="261" t="str">
        <f t="shared" si="18"/>
        <v>Capricious Feline</v>
      </c>
      <c r="F414" s="261" t="s">
        <v>10256</v>
      </c>
      <c r="G414" s="261">
        <v>5</v>
      </c>
      <c r="H414" s="261"/>
      <c r="I414" s="261" t="s">
        <v>3779</v>
      </c>
      <c r="J414" s="261" t="s">
        <v>13936</v>
      </c>
      <c r="K414" s="261" t="s">
        <v>10265</v>
      </c>
      <c r="L414" s="261"/>
      <c r="M414" s="261" t="s">
        <v>9723</v>
      </c>
      <c r="N414" s="261"/>
      <c r="O414" s="261"/>
      <c r="P414" s="261" t="s">
        <v>7254</v>
      </c>
      <c r="Q414" s="261" t="s">
        <v>14997</v>
      </c>
      <c r="R414" s="261" t="str">
        <f t="shared" si="19"/>
        <v>(Shadow) Dragon Damage +18%</v>
      </c>
      <c r="S414" s="330" t="str">
        <f t="shared" si="20"/>
        <v>(Shadow) Critical Damage +25%</v>
      </c>
    </row>
    <row r="415" spans="1:19" x14ac:dyDescent="0.2">
      <c r="A415" s="306" t="s">
        <v>9703</v>
      </c>
      <c r="B415" s="261" t="s">
        <v>15408</v>
      </c>
      <c r="C415" s="261" t="s">
        <v>9704</v>
      </c>
      <c r="D415" s="261" t="s">
        <v>9705</v>
      </c>
      <c r="E415" s="261" t="str">
        <f t="shared" si="18"/>
        <v>Winged Rebel</v>
      </c>
      <c r="F415" s="261" t="s">
        <v>9706</v>
      </c>
      <c r="G415" s="261">
        <v>5</v>
      </c>
      <c r="H415" s="261"/>
      <c r="I415" s="261" t="s">
        <v>3779</v>
      </c>
      <c r="J415" s="261" t="s">
        <v>13936</v>
      </c>
      <c r="K415" s="261" t="s">
        <v>9667</v>
      </c>
      <c r="L415" s="261"/>
      <c r="M415" s="261" t="s">
        <v>8899</v>
      </c>
      <c r="N415" s="261"/>
      <c r="O415" s="261"/>
      <c r="P415" s="261" t="s">
        <v>126</v>
      </c>
      <c r="Q415" s="261" t="s">
        <v>316</v>
      </c>
      <c r="R415" s="261" t="str">
        <f t="shared" si="19"/>
        <v>(Shadow) Dragon Haste +15%</v>
      </c>
      <c r="S415" s="330" t="str">
        <f t="shared" si="20"/>
        <v>(Shadow) Skill Haste +10%</v>
      </c>
    </row>
    <row r="416" spans="1:19" x14ac:dyDescent="0.2">
      <c r="A416" s="306" t="s">
        <v>9535</v>
      </c>
      <c r="B416" s="261" t="s">
        <v>15409</v>
      </c>
      <c r="C416" s="261" t="s">
        <v>9536</v>
      </c>
      <c r="D416" s="261" t="s">
        <v>9537</v>
      </c>
      <c r="E416" s="261" t="str">
        <f t="shared" si="18"/>
        <v>Wyrmbound Dragon</v>
      </c>
      <c r="F416" s="261" t="s">
        <v>9538</v>
      </c>
      <c r="G416" s="261">
        <v>5</v>
      </c>
      <c r="H416" s="261"/>
      <c r="I416" s="261" t="s">
        <v>3779</v>
      </c>
      <c r="J416" s="261" t="s">
        <v>13936</v>
      </c>
      <c r="K416" s="261" t="s">
        <v>9499</v>
      </c>
      <c r="L416" s="261"/>
      <c r="M416" s="261" t="s">
        <v>9500</v>
      </c>
      <c r="N416" s="261"/>
      <c r="O416" s="261"/>
      <c r="P416" s="261" t="s">
        <v>7254</v>
      </c>
      <c r="Q416" s="261" t="s">
        <v>417</v>
      </c>
      <c r="R416" s="261" t="str">
        <f t="shared" si="19"/>
        <v>(Shadow) Dragon Damage +18%</v>
      </c>
      <c r="S416" s="330" t="str">
        <f t="shared" si="20"/>
        <v>(Shadow) Overdrive Punisher +15%</v>
      </c>
    </row>
    <row r="417" spans="1:19" x14ac:dyDescent="0.2">
      <c r="A417" s="306" t="s">
        <v>9817</v>
      </c>
      <c r="B417" s="261" t="s">
        <v>15410</v>
      </c>
      <c r="C417" s="261" t="s">
        <v>9818</v>
      </c>
      <c r="D417" s="261" t="s">
        <v>9819</v>
      </c>
      <c r="E417" s="261" t="str">
        <f t="shared" si="18"/>
        <v>Liberated Aid</v>
      </c>
      <c r="F417" s="261" t="s">
        <v>9820</v>
      </c>
      <c r="G417" s="261">
        <v>5</v>
      </c>
      <c r="H417" s="261"/>
      <c r="I417" s="261" t="s">
        <v>3779</v>
      </c>
      <c r="J417" s="261" t="s">
        <v>13936</v>
      </c>
      <c r="K417" s="261" t="s">
        <v>9012</v>
      </c>
      <c r="L417" s="261"/>
      <c r="M417" s="261" t="s">
        <v>9781</v>
      </c>
      <c r="N417" s="261"/>
      <c r="O417" s="261"/>
      <c r="P417" s="261" t="s">
        <v>6893</v>
      </c>
      <c r="Q417" s="261" t="s">
        <v>336</v>
      </c>
      <c r="R417" s="261" t="str">
        <f t="shared" si="19"/>
        <v>(Shadow) Skill Damage +40%</v>
      </c>
      <c r="S417" s="330" t="str">
        <f t="shared" si="20"/>
        <v>(Shadow) Force Strike +50%</v>
      </c>
    </row>
    <row r="418" spans="1:19" x14ac:dyDescent="0.2">
      <c r="A418" s="306" t="s">
        <v>9439</v>
      </c>
      <c r="B418" s="261" t="s">
        <v>15411</v>
      </c>
      <c r="C418" s="261" t="s">
        <v>9440</v>
      </c>
      <c r="D418" s="261" t="s">
        <v>9441</v>
      </c>
      <c r="E418" s="261" t="str">
        <f t="shared" si="18"/>
        <v>Little Slice of Awkward</v>
      </c>
      <c r="F418" s="261" t="s">
        <v>9442</v>
      </c>
      <c r="G418" s="261">
        <v>5</v>
      </c>
      <c r="H418" s="261"/>
      <c r="I418" s="261" t="s">
        <v>3779</v>
      </c>
      <c r="J418" s="261" t="s">
        <v>13936</v>
      </c>
      <c r="K418" s="261" t="s">
        <v>7601</v>
      </c>
      <c r="L418" s="261"/>
      <c r="M418" s="261"/>
      <c r="N418" s="261"/>
      <c r="O418" s="261"/>
      <c r="P418" s="261" t="s">
        <v>126</v>
      </c>
      <c r="Q418" s="261" t="s">
        <v>1591</v>
      </c>
      <c r="R418" s="261" t="str">
        <f t="shared" si="19"/>
        <v>(Shadow) Dragon Haste +15%</v>
      </c>
      <c r="S418" s="330" t="str">
        <f t="shared" si="20"/>
        <v>(Shadow) Skill Prep +50%</v>
      </c>
    </row>
    <row r="419" spans="1:19" x14ac:dyDescent="0.2">
      <c r="A419" s="306" t="s">
        <v>9583</v>
      </c>
      <c r="B419" s="261" t="s">
        <v>15412</v>
      </c>
      <c r="C419" s="261" t="s">
        <v>9584</v>
      </c>
      <c r="D419" s="261" t="s">
        <v>9585</v>
      </c>
      <c r="E419" s="261" t="str">
        <f t="shared" si="18"/>
        <v>Forsaken Brother</v>
      </c>
      <c r="F419" s="261" t="s">
        <v>9586</v>
      </c>
      <c r="G419" s="261">
        <v>5</v>
      </c>
      <c r="H419" s="261"/>
      <c r="I419" s="261" t="s">
        <v>3779</v>
      </c>
      <c r="J419" s="261" t="s">
        <v>13936</v>
      </c>
      <c r="K419" s="261" t="s">
        <v>9557</v>
      </c>
      <c r="L419" s="261"/>
      <c r="M419" s="261" t="s">
        <v>9558</v>
      </c>
      <c r="N419" s="261"/>
      <c r="O419" s="261"/>
      <c r="P419" s="261" t="s">
        <v>126</v>
      </c>
      <c r="Q419" s="261" t="s">
        <v>2974</v>
      </c>
      <c r="R419" s="261" t="str">
        <f t="shared" si="19"/>
        <v>(Shadow) Dragon Haste +15%</v>
      </c>
      <c r="S419" s="330" t="str">
        <f t="shared" si="20"/>
        <v>(Shadow) Elemental Res +15%</v>
      </c>
    </row>
    <row r="420" spans="1:19" x14ac:dyDescent="0.2">
      <c r="A420" s="306" t="s">
        <v>10143</v>
      </c>
      <c r="B420" s="261" t="s">
        <v>15413</v>
      </c>
      <c r="C420" s="261" t="s">
        <v>10144</v>
      </c>
      <c r="D420" s="261" t="s">
        <v>10145</v>
      </c>
      <c r="E420" s="261" t="str">
        <f t="shared" si="18"/>
        <v>The Black Dragon</v>
      </c>
      <c r="F420" s="261" t="s">
        <v>10146</v>
      </c>
      <c r="G420" s="261">
        <v>5</v>
      </c>
      <c r="H420" s="261"/>
      <c r="I420" s="261" t="s">
        <v>3779</v>
      </c>
      <c r="J420" s="261" t="s">
        <v>13936</v>
      </c>
      <c r="K420" s="261" t="s">
        <v>10129</v>
      </c>
      <c r="L420" s="261"/>
      <c r="M420" s="261" t="s">
        <v>10130</v>
      </c>
      <c r="N420" s="261"/>
      <c r="O420" s="261"/>
      <c r="P420" s="261" t="s">
        <v>650</v>
      </c>
      <c r="Q420" s="261" t="s">
        <v>6911</v>
      </c>
      <c r="R420" s="261" t="str">
        <f t="shared" si="19"/>
        <v>(Shadow) Dragon Time +20%</v>
      </c>
      <c r="S420" s="330" t="str">
        <f t="shared" si="20"/>
        <v>(Shadow) Strength +20%</v>
      </c>
    </row>
    <row r="421" spans="1:19" x14ac:dyDescent="0.2">
      <c r="A421" s="306" t="s">
        <v>10073</v>
      </c>
      <c r="B421" s="261" t="s">
        <v>15414</v>
      </c>
      <c r="C421" s="261" t="s">
        <v>10074</v>
      </c>
      <c r="D421" s="261" t="s">
        <v>10075</v>
      </c>
      <c r="E421" s="261" t="str">
        <f t="shared" si="18"/>
        <v>Sunbathing Feline</v>
      </c>
      <c r="F421" s="261" t="s">
        <v>8993</v>
      </c>
      <c r="G421" s="261">
        <v>5</v>
      </c>
      <c r="H421" s="261"/>
      <c r="I421" s="261" t="s">
        <v>3779</v>
      </c>
      <c r="J421" s="261" t="s">
        <v>13936</v>
      </c>
      <c r="K421" s="261" t="s">
        <v>10051</v>
      </c>
      <c r="L421" s="261"/>
      <c r="M421" s="261" t="s">
        <v>9558</v>
      </c>
      <c r="N421" s="261"/>
      <c r="O421" s="261"/>
      <c r="P421" s="261" t="s">
        <v>126</v>
      </c>
      <c r="Q421" s="261" t="s">
        <v>618</v>
      </c>
      <c r="R421" s="261" t="str">
        <f t="shared" si="19"/>
        <v>(Shadow) Dragon Haste +15%</v>
      </c>
      <c r="S421" s="330" t="str">
        <f t="shared" si="20"/>
        <v>(Shadow) Defense +20%</v>
      </c>
    </row>
    <row r="422" spans="1:19" x14ac:dyDescent="0.2">
      <c r="A422" s="306" t="s">
        <v>8990</v>
      </c>
      <c r="B422" s="261" t="s">
        <v>15415</v>
      </c>
      <c r="C422" s="261" t="s">
        <v>8991</v>
      </c>
      <c r="D422" s="261" t="s">
        <v>8992</v>
      </c>
      <c r="E422" s="261" t="str">
        <f t="shared" si="18"/>
        <v>Sunbathing Feline</v>
      </c>
      <c r="F422" s="261" t="s">
        <v>8993</v>
      </c>
      <c r="G422" s="261">
        <v>5</v>
      </c>
      <c r="H422" s="261"/>
      <c r="I422" s="261" t="s">
        <v>3779</v>
      </c>
      <c r="J422" s="261" t="s">
        <v>13936</v>
      </c>
      <c r="K422" s="261" t="s">
        <v>8956</v>
      </c>
      <c r="L422" s="261"/>
      <c r="M422" s="261" t="s">
        <v>8957</v>
      </c>
      <c r="N422" s="261"/>
      <c r="O422" s="261"/>
      <c r="P422" s="261" t="s">
        <v>650</v>
      </c>
      <c r="Q422" s="261" t="s">
        <v>14997</v>
      </c>
      <c r="R422" s="261" t="str">
        <f t="shared" si="19"/>
        <v>(Shadow) Dragon Time +20%</v>
      </c>
      <c r="S422" s="330" t="str">
        <f t="shared" si="20"/>
        <v>(Shadow) Critical Damage +25%</v>
      </c>
    </row>
    <row r="423" spans="1:19" x14ac:dyDescent="0.2">
      <c r="A423" s="306" t="s">
        <v>9873</v>
      </c>
      <c r="B423" s="261" t="s">
        <v>15416</v>
      </c>
      <c r="C423" s="261" t="s">
        <v>9874</v>
      </c>
      <c r="D423" s="261" t="s">
        <v>9875</v>
      </c>
      <c r="E423" s="261" t="str">
        <f t="shared" si="18"/>
        <v>Devoted Dragon</v>
      </c>
      <c r="F423" s="261" t="s">
        <v>9876</v>
      </c>
      <c r="G423" s="261">
        <v>5</v>
      </c>
      <c r="H423" s="261"/>
      <c r="I423" s="261" t="s">
        <v>3779</v>
      </c>
      <c r="J423" s="261" t="s">
        <v>13936</v>
      </c>
      <c r="K423" s="261" t="s">
        <v>9012</v>
      </c>
      <c r="L423" s="261"/>
      <c r="M423" s="261" t="s">
        <v>8899</v>
      </c>
      <c r="N423" s="261"/>
      <c r="O423" s="261"/>
      <c r="P423" s="261" t="s">
        <v>7254</v>
      </c>
      <c r="Q423" s="261" t="s">
        <v>6601</v>
      </c>
      <c r="R423" s="261" t="str">
        <f t="shared" si="19"/>
        <v>(Shadow) Dragon Damage +18%</v>
      </c>
      <c r="S423" s="330" t="str">
        <f t="shared" si="20"/>
        <v>(Shadow) Critical Rate +15%</v>
      </c>
    </row>
    <row r="424" spans="1:19" x14ac:dyDescent="0.2">
      <c r="A424" s="306" t="s">
        <v>9646</v>
      </c>
      <c r="B424" s="261" t="s">
        <v>15417</v>
      </c>
      <c r="C424" s="261" t="s">
        <v>9647</v>
      </c>
      <c r="D424" s="261" t="s">
        <v>9648</v>
      </c>
      <c r="E424" s="261" t="str">
        <f t="shared" si="18"/>
        <v>Ancestral Ninja</v>
      </c>
      <c r="F424" s="261" t="s">
        <v>9649</v>
      </c>
      <c r="G424" s="261">
        <v>5</v>
      </c>
      <c r="H424" s="261"/>
      <c r="I424" s="261" t="s">
        <v>3779</v>
      </c>
      <c r="J424" s="261" t="s">
        <v>13936</v>
      </c>
      <c r="K424" s="261" t="s">
        <v>9610</v>
      </c>
      <c r="L424" s="261"/>
      <c r="M424" s="261" t="s">
        <v>9611</v>
      </c>
      <c r="N424" s="261"/>
      <c r="O424" s="261"/>
      <c r="P424" s="261" t="s">
        <v>650</v>
      </c>
      <c r="Q424" s="261" t="s">
        <v>6893</v>
      </c>
      <c r="R424" s="261" t="str">
        <f t="shared" si="19"/>
        <v>(Shadow) Dragon Time +20%</v>
      </c>
      <c r="S424" s="330" t="str">
        <f t="shared" si="20"/>
        <v>(Shadow) Skill Damage +40%</v>
      </c>
    </row>
    <row r="425" spans="1:19" x14ac:dyDescent="0.2">
      <c r="A425" s="306" t="s">
        <v>10106</v>
      </c>
      <c r="B425" s="261" t="s">
        <v>15418</v>
      </c>
      <c r="C425" s="261" t="s">
        <v>10107</v>
      </c>
      <c r="D425" s="261" t="s">
        <v>10108</v>
      </c>
      <c r="E425" s="261" t="str">
        <f t="shared" si="18"/>
        <v>Crawling Chaos</v>
      </c>
      <c r="F425" s="261" t="s">
        <v>10109</v>
      </c>
      <c r="G425" s="261">
        <v>5</v>
      </c>
      <c r="H425" s="261"/>
      <c r="I425" s="261" t="s">
        <v>3779</v>
      </c>
      <c r="J425" s="261" t="s">
        <v>13936</v>
      </c>
      <c r="K425" s="261" t="s">
        <v>10093</v>
      </c>
      <c r="L425" s="261"/>
      <c r="M425" s="261" t="s">
        <v>9723</v>
      </c>
      <c r="N425" s="261"/>
      <c r="O425" s="261"/>
      <c r="P425" s="261" t="s">
        <v>7254</v>
      </c>
      <c r="Q425" s="261" t="s">
        <v>618</v>
      </c>
      <c r="R425" s="261" t="str">
        <f t="shared" si="19"/>
        <v>(Shadow) Dragon Damage +18%</v>
      </c>
      <c r="S425" s="330" t="str">
        <f t="shared" si="20"/>
        <v>(Shadow) Defense +20%</v>
      </c>
    </row>
    <row r="426" spans="1:19" x14ac:dyDescent="0.2">
      <c r="A426" s="306" t="s">
        <v>9062</v>
      </c>
      <c r="B426" s="261" t="s">
        <v>15419</v>
      </c>
      <c r="C426" s="261" t="s">
        <v>9063</v>
      </c>
      <c r="D426" s="261" t="s">
        <v>9064</v>
      </c>
      <c r="E426" s="261" t="str">
        <f t="shared" si="18"/>
        <v>Gold Gentleman</v>
      </c>
      <c r="F426" s="261" t="s">
        <v>9065</v>
      </c>
      <c r="G426" s="261">
        <v>5</v>
      </c>
      <c r="H426" s="261"/>
      <c r="I426" s="261" t="s">
        <v>3779</v>
      </c>
      <c r="J426" s="261" t="s">
        <v>13936</v>
      </c>
      <c r="K426" s="261" t="s">
        <v>7601</v>
      </c>
      <c r="L426" s="261"/>
      <c r="M426" s="261" t="s">
        <v>9071</v>
      </c>
      <c r="N426" s="261"/>
      <c r="O426" s="261"/>
      <c r="P426" s="261" t="s">
        <v>316</v>
      </c>
      <c r="Q426" s="261" t="s">
        <v>970</v>
      </c>
      <c r="R426" s="261" t="str">
        <f t="shared" si="19"/>
        <v>(Shadow) Skill Haste +10%</v>
      </c>
      <c r="S426" s="330" t="str">
        <f t="shared" si="20"/>
        <v>(Shadow) Recovery Potency +20%</v>
      </c>
    </row>
    <row r="427" spans="1:19" x14ac:dyDescent="0.2">
      <c r="A427" s="306" t="s">
        <v>9051</v>
      </c>
      <c r="B427" s="261" t="s">
        <v>15420</v>
      </c>
      <c r="C427" s="261" t="s">
        <v>9052</v>
      </c>
      <c r="D427" s="261" t="s">
        <v>9053</v>
      </c>
      <c r="E427" s="261" t="str">
        <f t="shared" si="18"/>
        <v>Dawning Dragon</v>
      </c>
      <c r="F427" s="261" t="s">
        <v>9054</v>
      </c>
      <c r="G427" s="261">
        <v>5</v>
      </c>
      <c r="H427" s="261"/>
      <c r="I427" s="261" t="s">
        <v>3779</v>
      </c>
      <c r="J427" s="261" t="s">
        <v>13936</v>
      </c>
      <c r="K427" s="261" t="s">
        <v>9012</v>
      </c>
      <c r="L427" s="261"/>
      <c r="M427" s="261" t="s">
        <v>9013</v>
      </c>
      <c r="N427" s="261"/>
      <c r="O427" s="261"/>
      <c r="P427" s="261" t="s">
        <v>126</v>
      </c>
      <c r="Q427" s="261" t="s">
        <v>14997</v>
      </c>
      <c r="R427" s="261" t="str">
        <f t="shared" si="19"/>
        <v>(Shadow) Dragon Haste +15%</v>
      </c>
      <c r="S427" s="330" t="str">
        <f t="shared" si="20"/>
        <v>(Shadow) Critical Damage +25%</v>
      </c>
    </row>
    <row r="428" spans="1:19" x14ac:dyDescent="0.2">
      <c r="A428" s="306" t="s">
        <v>9759</v>
      </c>
      <c r="B428" s="261" t="s">
        <v>15421</v>
      </c>
      <c r="C428" s="261" t="s">
        <v>9760</v>
      </c>
      <c r="D428" s="261" t="s">
        <v>9761</v>
      </c>
      <c r="E428" s="261" t="str">
        <f t="shared" si="18"/>
        <v>Beloved Mascot</v>
      </c>
      <c r="F428" s="261" t="s">
        <v>9762</v>
      </c>
      <c r="G428" s="261">
        <v>5</v>
      </c>
      <c r="H428" s="261"/>
      <c r="I428" s="261" t="s">
        <v>3779</v>
      </c>
      <c r="J428" s="261" t="s">
        <v>13936</v>
      </c>
      <c r="K428" s="261" t="s">
        <v>9722</v>
      </c>
      <c r="L428" s="261"/>
      <c r="M428" s="261" t="s">
        <v>9723</v>
      </c>
      <c r="N428" s="261"/>
      <c r="O428" s="261"/>
      <c r="P428" s="261" t="s">
        <v>6552</v>
      </c>
      <c r="Q428" s="261" t="s">
        <v>7129</v>
      </c>
      <c r="R428" s="261" t="str">
        <f t="shared" si="19"/>
        <v>(Shadow) Attack Rate +20%</v>
      </c>
      <c r="S428" s="330" t="str">
        <f t="shared" si="20"/>
        <v>(Shadow) Combo Time +2</v>
      </c>
    </row>
    <row r="429" spans="1:19" x14ac:dyDescent="0.2">
      <c r="A429" s="306" t="s">
        <v>8749</v>
      </c>
      <c r="B429" s="261" t="s">
        <v>15422</v>
      </c>
      <c r="C429" s="261" t="s">
        <v>8750</v>
      </c>
      <c r="D429" s="261" t="s">
        <v>8751</v>
      </c>
      <c r="E429" s="261" t="str">
        <f t="shared" si="18"/>
        <v>Gruesome Specter</v>
      </c>
      <c r="F429" s="261" t="s">
        <v>8752</v>
      </c>
      <c r="G429" s="261">
        <v>5</v>
      </c>
      <c r="H429" s="261"/>
      <c r="I429" s="261" t="s">
        <v>3779</v>
      </c>
      <c r="J429" s="261" t="s">
        <v>13936</v>
      </c>
      <c r="K429" s="261" t="s">
        <v>8673</v>
      </c>
      <c r="L429" s="261"/>
      <c r="M429" s="261" t="s">
        <v>8712</v>
      </c>
      <c r="N429" s="261"/>
      <c r="O429" s="261"/>
      <c r="P429" s="261" t="s">
        <v>618</v>
      </c>
      <c r="Q429" s="261" t="s">
        <v>15035</v>
      </c>
      <c r="R429" s="261" t="str">
        <f t="shared" si="19"/>
        <v>(Shadow) Defense +20%</v>
      </c>
      <c r="S429" s="330" t="str">
        <f t="shared" si="20"/>
        <v>(Shadow) HP 70% = Shield +40%</v>
      </c>
    </row>
    <row r="430" spans="1:19" x14ac:dyDescent="0.2">
      <c r="A430" s="306" t="s">
        <v>9286</v>
      </c>
      <c r="B430" s="261" t="s">
        <v>15423</v>
      </c>
      <c r="C430" s="261" t="s">
        <v>9287</v>
      </c>
      <c r="D430" s="261" t="s">
        <v>9288</v>
      </c>
      <c r="E430" s="261" t="str">
        <f t="shared" si="18"/>
        <v>Lord of Shadow</v>
      </c>
      <c r="F430" s="261" t="s">
        <v>9289</v>
      </c>
      <c r="G430" s="261">
        <v>5</v>
      </c>
      <c r="H430" s="261"/>
      <c r="I430" s="261" t="s">
        <v>3779</v>
      </c>
      <c r="J430" s="261" t="s">
        <v>13936</v>
      </c>
      <c r="K430" s="261" t="s">
        <v>9253</v>
      </c>
      <c r="L430" s="261"/>
      <c r="M430" s="261" t="s">
        <v>9254</v>
      </c>
      <c r="N430" s="261"/>
      <c r="O430" s="261"/>
      <c r="P430" s="261" t="s">
        <v>650</v>
      </c>
      <c r="Q430" s="261" t="s">
        <v>618</v>
      </c>
      <c r="R430" s="261" t="str">
        <f t="shared" si="19"/>
        <v>(Shadow) Dragon Time +20%</v>
      </c>
      <c r="S430" s="330" t="str">
        <f t="shared" si="20"/>
        <v>(Shadow) Defense +20%</v>
      </c>
    </row>
    <row r="431" spans="1:19" x14ac:dyDescent="0.2">
      <c r="A431" s="306" t="s">
        <v>9393</v>
      </c>
      <c r="B431" s="261" t="s">
        <v>15424</v>
      </c>
      <c r="C431" s="261" t="s">
        <v>9394</v>
      </c>
      <c r="D431" s="261" t="s">
        <v>9395</v>
      </c>
      <c r="E431" s="261" t="str">
        <f t="shared" si="18"/>
        <v>Death's Reveler</v>
      </c>
      <c r="F431" s="261" t="s">
        <v>9396</v>
      </c>
      <c r="G431" s="261">
        <v>5</v>
      </c>
      <c r="H431" s="261"/>
      <c r="I431" s="261" t="s">
        <v>3779</v>
      </c>
      <c r="J431" s="261" t="s">
        <v>13936</v>
      </c>
      <c r="K431" s="261" t="s">
        <v>9253</v>
      </c>
      <c r="L431" s="261"/>
      <c r="M431" s="261" t="s">
        <v>8899</v>
      </c>
      <c r="N431" s="261"/>
      <c r="O431" s="261"/>
      <c r="P431" s="261" t="s">
        <v>7254</v>
      </c>
      <c r="Q431" s="261" t="s">
        <v>682</v>
      </c>
      <c r="R431" s="261" t="str">
        <f t="shared" si="19"/>
        <v>(Shadow) Dragon Damage +18%</v>
      </c>
      <c r="S431" s="330" t="str">
        <f t="shared" si="20"/>
        <v>(Shadow) HP +15%</v>
      </c>
    </row>
    <row r="432" spans="1:19" x14ac:dyDescent="0.2">
      <c r="A432" s="306" t="s">
        <v>9073</v>
      </c>
      <c r="B432" s="261" t="s">
        <v>15425</v>
      </c>
      <c r="C432" s="261" t="s">
        <v>9074</v>
      </c>
      <c r="D432" s="261" t="s">
        <v>9075</v>
      </c>
      <c r="E432" s="261" t="str">
        <f t="shared" si="18"/>
        <v>Silver Sidekick</v>
      </c>
      <c r="F432" s="261" t="s">
        <v>9076</v>
      </c>
      <c r="G432" s="261">
        <v>4</v>
      </c>
      <c r="H432" s="261"/>
      <c r="I432" s="261" t="s">
        <v>3779</v>
      </c>
      <c r="J432" s="261" t="s">
        <v>13936</v>
      </c>
      <c r="K432" s="261" t="s">
        <v>7601</v>
      </c>
      <c r="L432" s="261"/>
      <c r="M432" s="261" t="s">
        <v>9082</v>
      </c>
      <c r="N432" s="261"/>
      <c r="O432" s="261"/>
      <c r="P432" s="261" t="s">
        <v>618</v>
      </c>
      <c r="Q432" s="261" t="s">
        <v>970</v>
      </c>
      <c r="R432" s="261" t="str">
        <f t="shared" si="19"/>
        <v>(Shadow) Defense +20%</v>
      </c>
      <c r="S432" s="330" t="str">
        <f t="shared" si="20"/>
        <v>(Shadow) Recovery Potency +20%</v>
      </c>
    </row>
    <row r="433" spans="1:19" x14ac:dyDescent="0.2">
      <c r="A433" s="306" t="s">
        <v>9083</v>
      </c>
      <c r="B433" s="261" t="s">
        <v>15426</v>
      </c>
      <c r="C433" s="261" t="s">
        <v>9084</v>
      </c>
      <c r="D433" s="261" t="s">
        <v>9085</v>
      </c>
      <c r="E433" s="261" t="str">
        <f t="shared" si="18"/>
        <v>Bronze Buddy</v>
      </c>
      <c r="F433" s="261" t="s">
        <v>9086</v>
      </c>
      <c r="G433" s="261">
        <v>4</v>
      </c>
      <c r="H433" s="261"/>
      <c r="I433" s="261" t="s">
        <v>3779</v>
      </c>
      <c r="J433" s="261" t="s">
        <v>13936</v>
      </c>
      <c r="K433" s="261" t="s">
        <v>7601</v>
      </c>
      <c r="L433" s="261"/>
      <c r="M433" s="261" t="s">
        <v>9093</v>
      </c>
      <c r="N433" s="261"/>
      <c r="O433" s="261"/>
      <c r="P433" s="261" t="s">
        <v>6552</v>
      </c>
      <c r="Q433" s="261" t="s">
        <v>909</v>
      </c>
      <c r="R433" s="261" t="str">
        <f t="shared" si="19"/>
        <v>(Shadow) Attack Rate +20%</v>
      </c>
      <c r="S433" s="330" t="str">
        <f t="shared" si="20"/>
        <v>(Shadow) Broken Punisher +30%</v>
      </c>
    </row>
    <row r="434" spans="1:19" x14ac:dyDescent="0.2">
      <c r="A434" s="306" t="s">
        <v>9343</v>
      </c>
      <c r="B434" s="261" t="s">
        <v>15427</v>
      </c>
      <c r="C434" s="261" t="s">
        <v>9344</v>
      </c>
      <c r="D434" s="261" t="s">
        <v>9345</v>
      </c>
      <c r="E434" s="261" t="str">
        <f t="shared" si="18"/>
        <v>Friend Eternal</v>
      </c>
      <c r="F434" s="261" t="s">
        <v>9346</v>
      </c>
      <c r="G434" s="261">
        <v>4</v>
      </c>
      <c r="H434" s="261"/>
      <c r="I434" s="261" t="s">
        <v>3779</v>
      </c>
      <c r="J434" s="261" t="s">
        <v>13936</v>
      </c>
      <c r="K434" s="261" t="s">
        <v>9307</v>
      </c>
      <c r="L434" s="261"/>
      <c r="M434" s="261" t="s">
        <v>9308</v>
      </c>
      <c r="N434" s="261"/>
      <c r="O434" s="261"/>
      <c r="P434" s="261" t="s">
        <v>650</v>
      </c>
      <c r="Q434" s="261" t="s">
        <v>417</v>
      </c>
      <c r="R434" s="261" t="str">
        <f t="shared" si="19"/>
        <v>(Shadow) Dragon Time +20%</v>
      </c>
      <c r="S434" s="330" t="str">
        <f t="shared" si="20"/>
        <v>(Shadow) Overdrive Punisher +15%</v>
      </c>
    </row>
    <row r="435" spans="1:19" x14ac:dyDescent="0.2">
      <c r="A435" s="306" t="s">
        <v>8760</v>
      </c>
      <c r="B435" s="261" t="s">
        <v>15428</v>
      </c>
      <c r="C435" s="261" t="s">
        <v>8761</v>
      </c>
      <c r="D435" s="261" t="s">
        <v>8762</v>
      </c>
      <c r="E435" s="261" t="str">
        <f t="shared" si="18"/>
        <v>Violent Brute</v>
      </c>
      <c r="F435" s="261" t="s">
        <v>8763</v>
      </c>
      <c r="G435" s="261">
        <v>4</v>
      </c>
      <c r="H435" s="261"/>
      <c r="I435" s="261" t="s">
        <v>3779</v>
      </c>
      <c r="J435" s="261" t="s">
        <v>13936</v>
      </c>
      <c r="K435" s="261" t="s">
        <v>8673</v>
      </c>
      <c r="L435" s="261"/>
      <c r="M435" s="261" t="s">
        <v>8771</v>
      </c>
      <c r="N435" s="261"/>
      <c r="O435" s="261"/>
      <c r="P435" s="261" t="s">
        <v>7254</v>
      </c>
      <c r="Q435" s="261" t="s">
        <v>316</v>
      </c>
      <c r="R435" s="261" t="str">
        <f t="shared" si="19"/>
        <v>(Shadow) Dragon Damage +18%</v>
      </c>
      <c r="S435" s="330" t="str">
        <f t="shared" si="20"/>
        <v>(Shadow) Skill Haste +10%</v>
      </c>
    </row>
    <row r="436" spans="1:19" x14ac:dyDescent="0.2">
      <c r="A436" s="306" t="s">
        <v>9232</v>
      </c>
      <c r="B436" s="261" t="s">
        <v>15429</v>
      </c>
      <c r="C436" s="261" t="s">
        <v>9233</v>
      </c>
      <c r="D436" s="261" t="s">
        <v>9234</v>
      </c>
      <c r="E436" s="261" t="str">
        <f t="shared" si="18"/>
        <v>Accursed Vessel</v>
      </c>
      <c r="F436" s="261" t="s">
        <v>9235</v>
      </c>
      <c r="G436" s="261">
        <v>4</v>
      </c>
      <c r="H436" s="261"/>
      <c r="I436" s="261" t="s">
        <v>3779</v>
      </c>
      <c r="J436" s="261" t="s">
        <v>13936</v>
      </c>
      <c r="K436" s="261" t="s">
        <v>9197</v>
      </c>
      <c r="L436" s="261"/>
      <c r="M436" s="261" t="s">
        <v>650</v>
      </c>
      <c r="N436" s="261"/>
      <c r="O436" s="261"/>
      <c r="P436" s="261" t="s">
        <v>650</v>
      </c>
      <c r="Q436" s="261" t="s">
        <v>682</v>
      </c>
      <c r="R436" s="261" t="str">
        <f t="shared" si="19"/>
        <v>(Shadow) Dragon Time +20%</v>
      </c>
      <c r="S436" s="330" t="str">
        <f t="shared" si="20"/>
        <v>(Shadow) HP +15%</v>
      </c>
    </row>
    <row r="437" spans="1:19" x14ac:dyDescent="0.2">
      <c r="A437" s="306" t="s">
        <v>9956</v>
      </c>
      <c r="B437" s="261" t="s">
        <v>15430</v>
      </c>
      <c r="C437" s="261" t="s">
        <v>9957</v>
      </c>
      <c r="D437" s="261" t="s">
        <v>9958</v>
      </c>
      <c r="E437" s="261" t="str">
        <f t="shared" si="18"/>
        <v>N/A</v>
      </c>
      <c r="F437" s="261" t="s">
        <v>137</v>
      </c>
      <c r="G437" s="261">
        <v>3</v>
      </c>
      <c r="H437" s="261"/>
      <c r="I437" s="261" t="s">
        <v>3779</v>
      </c>
      <c r="J437" s="261" t="s">
        <v>13936</v>
      </c>
      <c r="K437" s="261" t="s">
        <v>9610</v>
      </c>
      <c r="L437" s="261"/>
      <c r="M437" s="261"/>
      <c r="N437" s="261"/>
      <c r="O437" s="261"/>
      <c r="P437" s="261" t="s">
        <v>650</v>
      </c>
      <c r="Q437" s="261" t="s">
        <v>909</v>
      </c>
      <c r="R437" s="261" t="str">
        <f t="shared" si="19"/>
        <v>(Shadow) Dragon Time +20%</v>
      </c>
      <c r="S437" s="330" t="str">
        <f t="shared" si="20"/>
        <v>(Shadow) Broken Punisher +30%</v>
      </c>
    </row>
    <row r="438" spans="1:19" x14ac:dyDescent="0.2">
      <c r="A438" s="306" t="s">
        <v>9918</v>
      </c>
      <c r="B438" s="261" t="s">
        <v>15431</v>
      </c>
      <c r="C438" s="261" t="s">
        <v>9919</v>
      </c>
      <c r="D438" s="261" t="s">
        <v>9920</v>
      </c>
      <c r="E438" s="261" t="str">
        <f t="shared" si="18"/>
        <v>N/A</v>
      </c>
      <c r="F438" s="261" t="s">
        <v>137</v>
      </c>
      <c r="G438" s="261">
        <v>3</v>
      </c>
      <c r="H438" s="261"/>
      <c r="I438" s="261" t="s">
        <v>3779</v>
      </c>
      <c r="J438" s="261" t="s">
        <v>13936</v>
      </c>
      <c r="K438" s="261" t="s">
        <v>9894</v>
      </c>
      <c r="L438" s="261"/>
      <c r="M438" s="261"/>
      <c r="N438" s="261"/>
      <c r="O438" s="261"/>
      <c r="P438" s="261" t="s">
        <v>126</v>
      </c>
      <c r="Q438" s="261" t="s">
        <v>909</v>
      </c>
      <c r="R438" s="261" t="str">
        <f t="shared" si="19"/>
        <v>(Shadow) Dragon Haste +15%</v>
      </c>
      <c r="S438" s="330" t="str">
        <f t="shared" si="20"/>
        <v>(Shadow) Broken Punisher +30%</v>
      </c>
    </row>
    <row r="439" spans="1:19" x14ac:dyDescent="0.2">
      <c r="A439" s="306" t="s">
        <v>9996</v>
      </c>
      <c r="B439" s="261" t="s">
        <v>15432</v>
      </c>
      <c r="C439" s="261" t="s">
        <v>8652</v>
      </c>
      <c r="D439" s="261" t="s">
        <v>9997</v>
      </c>
      <c r="E439" s="261" t="str">
        <f t="shared" si="18"/>
        <v>N/A</v>
      </c>
      <c r="F439" s="261" t="s">
        <v>137</v>
      </c>
      <c r="G439" s="261">
        <v>3</v>
      </c>
      <c r="H439" s="261"/>
      <c r="I439" s="261" t="s">
        <v>3779</v>
      </c>
      <c r="J439" s="261" t="s">
        <v>13936</v>
      </c>
      <c r="K439" s="261" t="s">
        <v>9972</v>
      </c>
      <c r="L439" s="261"/>
      <c r="M439" s="261"/>
      <c r="N439" s="261"/>
      <c r="O439" s="261"/>
      <c r="P439" s="261" t="s">
        <v>7254</v>
      </c>
      <c r="Q439" s="261" t="s">
        <v>909</v>
      </c>
      <c r="R439" s="261" t="str">
        <f t="shared" si="19"/>
        <v>(Shadow) Dragon Damage +18%</v>
      </c>
      <c r="S439" s="330" t="str">
        <f t="shared" si="20"/>
        <v>(Shadow) Broken Punisher +30%</v>
      </c>
    </row>
    <row r="440" spans="1:19" x14ac:dyDescent="0.2">
      <c r="A440" s="306" t="s">
        <v>8801</v>
      </c>
      <c r="B440" s="261" t="s">
        <v>15433</v>
      </c>
      <c r="C440" s="261" t="s">
        <v>8802</v>
      </c>
      <c r="D440" s="261" t="s">
        <v>8803</v>
      </c>
      <c r="E440" s="261" t="str">
        <f t="shared" si="18"/>
        <v>Twin Wings of Freedom</v>
      </c>
      <c r="F440" s="261" t="s">
        <v>945</v>
      </c>
      <c r="G440" s="261">
        <v>5</v>
      </c>
      <c r="H440" s="261"/>
      <c r="I440" s="261" t="s">
        <v>122</v>
      </c>
      <c r="J440" s="261" t="s">
        <v>13936</v>
      </c>
      <c r="K440" s="261" t="s">
        <v>8806</v>
      </c>
      <c r="L440" s="261"/>
      <c r="M440" s="261" t="s">
        <v>8807</v>
      </c>
      <c r="N440" s="261"/>
      <c r="O440" s="261"/>
      <c r="P440" s="261" t="s">
        <v>126</v>
      </c>
      <c r="Q440" s="261" t="s">
        <v>6911</v>
      </c>
      <c r="R440" s="261" t="str">
        <f t="shared" si="19"/>
        <v>(Flame) Dragon Haste +15%</v>
      </c>
      <c r="S440" s="330" t="str">
        <f t="shared" si="20"/>
        <v>(Flame) Strength +20%</v>
      </c>
    </row>
    <row r="441" spans="1:19" x14ac:dyDescent="0.2">
      <c r="A441" s="306" t="s">
        <v>137</v>
      </c>
      <c r="B441" s="261" t="s">
        <v>15434</v>
      </c>
      <c r="C441" s="261" t="s">
        <v>8808</v>
      </c>
      <c r="D441" s="261" t="s">
        <v>8809</v>
      </c>
      <c r="E441" s="261" t="str">
        <f t="shared" si="18"/>
        <v>The Invincible Arm</v>
      </c>
      <c r="F441" s="261" t="s">
        <v>8810</v>
      </c>
      <c r="G441" s="261">
        <v>5</v>
      </c>
      <c r="H441" s="261"/>
      <c r="I441" s="261" t="s">
        <v>2837</v>
      </c>
      <c r="J441" s="261" t="s">
        <v>13936</v>
      </c>
      <c r="K441" s="261" t="s">
        <v>8813</v>
      </c>
      <c r="L441" s="261"/>
      <c r="M441" s="261" t="s">
        <v>8814</v>
      </c>
      <c r="N441" s="261"/>
      <c r="O441" s="261"/>
      <c r="P441" s="261" t="s">
        <v>126</v>
      </c>
      <c r="Q441" s="261" t="s">
        <v>6911</v>
      </c>
      <c r="R441" s="261" t="str">
        <f t="shared" si="19"/>
        <v>(Light) Dragon Haste +15%</v>
      </c>
      <c r="S441" s="330" t="str">
        <f t="shared" si="20"/>
        <v>(Light) Strength +20%</v>
      </c>
    </row>
    <row r="442" spans="1:19" x14ac:dyDescent="0.2">
      <c r="A442" s="306" t="s">
        <v>137</v>
      </c>
      <c r="B442" s="261" t="s">
        <v>15435</v>
      </c>
      <c r="C442" s="261" t="s">
        <v>8815</v>
      </c>
      <c r="D442" s="261" t="s">
        <v>8816</v>
      </c>
      <c r="E442" s="261" t="str">
        <f t="shared" si="18"/>
        <v>Jaws of Destruction</v>
      </c>
      <c r="F442" s="261" t="s">
        <v>8817</v>
      </c>
      <c r="G442" s="261">
        <v>5</v>
      </c>
      <c r="H442" s="261"/>
      <c r="I442" s="261" t="s">
        <v>3779</v>
      </c>
      <c r="J442" s="261" t="s">
        <v>13936</v>
      </c>
      <c r="K442" s="261" t="s">
        <v>8820</v>
      </c>
      <c r="L442" s="261"/>
      <c r="M442" s="261" t="s">
        <v>8821</v>
      </c>
      <c r="N442" s="261"/>
      <c r="O442" s="261"/>
      <c r="P442" s="261" t="s">
        <v>126</v>
      </c>
      <c r="Q442" s="261" t="s">
        <v>6911</v>
      </c>
      <c r="R442" s="261" t="str">
        <f t="shared" si="19"/>
        <v>(Shadow) Dragon Haste +15%</v>
      </c>
      <c r="S442" s="330" t="str">
        <f t="shared" si="20"/>
        <v>(Shadow) Strength +20%</v>
      </c>
    </row>
    <row r="443" spans="1:19" x14ac:dyDescent="0.2">
      <c r="A443" s="306" t="s">
        <v>9462</v>
      </c>
      <c r="B443" s="261" t="s">
        <v>15436</v>
      </c>
      <c r="C443" s="261" t="s">
        <v>9463</v>
      </c>
      <c r="D443" s="261" t="s">
        <v>9464</v>
      </c>
      <c r="E443" s="261" t="str">
        <f t="shared" si="18"/>
        <v>Awakened Windwyrm</v>
      </c>
      <c r="F443" s="261" t="s">
        <v>9465</v>
      </c>
      <c r="G443" s="261">
        <v>5</v>
      </c>
      <c r="H443" s="261"/>
      <c r="I443" s="261" t="s">
        <v>1947</v>
      </c>
      <c r="J443" s="261" t="s">
        <v>13936</v>
      </c>
      <c r="K443" s="261" t="s">
        <v>9460</v>
      </c>
      <c r="L443" s="261"/>
      <c r="M443" s="261" t="s">
        <v>9468</v>
      </c>
      <c r="N443" s="261"/>
      <c r="O443" s="261"/>
      <c r="P443" s="261" t="s">
        <v>7254</v>
      </c>
      <c r="Q443" s="261" t="s">
        <v>6911</v>
      </c>
      <c r="R443" s="261" t="str">
        <f t="shared" si="19"/>
        <v>(Wind) Dragon Damage +18%</v>
      </c>
      <c r="S443" s="330" t="str">
        <f t="shared" si="20"/>
        <v>(Wind) Strength +20%</v>
      </c>
    </row>
    <row r="444" spans="1:19" x14ac:dyDescent="0.2">
      <c r="A444" s="306" t="s">
        <v>9469</v>
      </c>
      <c r="B444" s="261" t="s">
        <v>15437</v>
      </c>
      <c r="C444" s="261" t="s">
        <v>9470</v>
      </c>
      <c r="D444" s="261" t="s">
        <v>9471</v>
      </c>
      <c r="E444" s="261" t="str">
        <f t="shared" si="18"/>
        <v>Awakened Waterwyrm</v>
      </c>
      <c r="F444" s="261" t="s">
        <v>9472</v>
      </c>
      <c r="G444" s="261">
        <v>5</v>
      </c>
      <c r="H444" s="261"/>
      <c r="I444" s="261" t="s">
        <v>1103</v>
      </c>
      <c r="J444" s="261" t="s">
        <v>13936</v>
      </c>
      <c r="K444" s="261" t="s">
        <v>9460</v>
      </c>
      <c r="L444" s="261"/>
      <c r="M444" s="261" t="s">
        <v>9468</v>
      </c>
      <c r="N444" s="261"/>
      <c r="O444" s="261"/>
      <c r="P444" s="261" t="s">
        <v>7254</v>
      </c>
      <c r="Q444" s="261" t="s">
        <v>6911</v>
      </c>
      <c r="R444" s="261" t="str">
        <f t="shared" si="19"/>
        <v>(Water) Dragon Damage +18%</v>
      </c>
      <c r="S444" s="330" t="str">
        <f t="shared" si="20"/>
        <v>(Water) Strength +20%</v>
      </c>
    </row>
    <row r="445" spans="1:19" x14ac:dyDescent="0.2">
      <c r="A445" s="306" t="s">
        <v>9475</v>
      </c>
      <c r="B445" s="261" t="s">
        <v>15438</v>
      </c>
      <c r="C445" s="261" t="s">
        <v>9476</v>
      </c>
      <c r="D445" s="261" t="s">
        <v>9477</v>
      </c>
      <c r="E445" s="261" t="str">
        <f t="shared" si="18"/>
        <v>Awakened Lightwyrm</v>
      </c>
      <c r="F445" s="261" t="s">
        <v>9478</v>
      </c>
      <c r="G445" s="261">
        <v>5</v>
      </c>
      <c r="H445" s="261"/>
      <c r="I445" s="261" t="s">
        <v>2837</v>
      </c>
      <c r="J445" s="261" t="s">
        <v>13936</v>
      </c>
      <c r="K445" s="261" t="s">
        <v>9460</v>
      </c>
      <c r="L445" s="261"/>
      <c r="M445" s="261" t="s">
        <v>9468</v>
      </c>
      <c r="N445" s="261"/>
      <c r="O445" s="261"/>
      <c r="P445" s="261" t="s">
        <v>7254</v>
      </c>
      <c r="Q445" s="261" t="s">
        <v>6911</v>
      </c>
      <c r="R445" s="261" t="str">
        <f t="shared" si="19"/>
        <v>(Light) Dragon Damage +18%</v>
      </c>
      <c r="S445" s="330" t="str">
        <f t="shared" si="20"/>
        <v>(Light) Strength +20%</v>
      </c>
    </row>
    <row r="446" spans="1:19" x14ac:dyDescent="0.2">
      <c r="A446" s="306" t="s">
        <v>9481</v>
      </c>
      <c r="B446" s="261" t="s">
        <v>15439</v>
      </c>
      <c r="C446" s="261" t="s">
        <v>9482</v>
      </c>
      <c r="D446" s="261" t="s">
        <v>9483</v>
      </c>
      <c r="E446" s="261" t="str">
        <f t="shared" si="18"/>
        <v>Awakened Shadowwyrm</v>
      </c>
      <c r="F446" s="261" t="s">
        <v>9484</v>
      </c>
      <c r="G446" s="261">
        <v>5</v>
      </c>
      <c r="H446" s="261"/>
      <c r="I446" s="261" t="s">
        <v>3779</v>
      </c>
      <c r="J446" s="261" t="s">
        <v>13936</v>
      </c>
      <c r="K446" s="261" t="s">
        <v>9460</v>
      </c>
      <c r="L446" s="261"/>
      <c r="M446" s="261" t="s">
        <v>9468</v>
      </c>
      <c r="N446" s="261"/>
      <c r="O446" s="261"/>
      <c r="P446" s="261" t="s">
        <v>7254</v>
      </c>
      <c r="Q446" s="261" t="s">
        <v>6911</v>
      </c>
      <c r="R446" s="261" t="str">
        <f t="shared" si="19"/>
        <v>(Shadow) Dragon Damage +18%</v>
      </c>
      <c r="S446" s="330" t="str">
        <f t="shared" si="20"/>
        <v>(Shadow) Strength +20%</v>
      </c>
    </row>
    <row r="447" spans="1:19" x14ac:dyDescent="0.2">
      <c r="A447" s="306" t="s">
        <v>137</v>
      </c>
      <c r="B447" s="261" t="s">
        <v>15440</v>
      </c>
      <c r="C447" s="261" t="s">
        <v>9593</v>
      </c>
      <c r="D447" s="261" t="s">
        <v>9594</v>
      </c>
      <c r="E447" s="261" t="str">
        <f t="shared" si="18"/>
        <v>Missing Brother</v>
      </c>
      <c r="F447" s="261" t="s">
        <v>9595</v>
      </c>
      <c r="G447" s="261">
        <v>5</v>
      </c>
      <c r="H447" s="261"/>
      <c r="I447" s="261" t="s">
        <v>1103</v>
      </c>
      <c r="J447" s="261" t="s">
        <v>13936</v>
      </c>
      <c r="K447" s="261" t="s">
        <v>9557</v>
      </c>
      <c r="L447" s="261"/>
      <c r="M447" s="261" t="s">
        <v>9558</v>
      </c>
      <c r="N447" s="261"/>
      <c r="O447" s="261"/>
      <c r="P447" s="261" t="s">
        <v>126</v>
      </c>
      <c r="Q447" s="261" t="s">
        <v>2974</v>
      </c>
      <c r="R447" s="261" t="str">
        <f t="shared" si="19"/>
        <v>(Water) Dragon Haste +15%</v>
      </c>
      <c r="S447" s="330" t="str">
        <f t="shared" si="20"/>
        <v>(Water) Elemental Res +15%</v>
      </c>
    </row>
    <row r="448" spans="1:19" x14ac:dyDescent="0.2">
      <c r="A448" s="306" t="s">
        <v>9094</v>
      </c>
      <c r="B448" s="261" t="s">
        <v>15441</v>
      </c>
      <c r="C448" s="261" t="s">
        <v>10003</v>
      </c>
      <c r="D448" s="261" t="s">
        <v>9096</v>
      </c>
      <c r="E448" s="261" t="str">
        <f t="shared" si="18"/>
        <v>The Other Ramiel</v>
      </c>
      <c r="F448" s="261" t="s">
        <v>9097</v>
      </c>
      <c r="G448" s="261">
        <v>5</v>
      </c>
      <c r="H448" s="261"/>
      <c r="I448" s="261" t="s">
        <v>3779</v>
      </c>
      <c r="J448" s="261" t="s">
        <v>13936</v>
      </c>
      <c r="K448" s="261" t="s">
        <v>10009</v>
      </c>
      <c r="L448" s="261"/>
      <c r="M448" s="261" t="s">
        <v>10010</v>
      </c>
      <c r="N448" s="261"/>
      <c r="O448" s="261"/>
      <c r="P448" s="261" t="s">
        <v>7254</v>
      </c>
      <c r="Q448" s="261" t="s">
        <v>6893</v>
      </c>
      <c r="R448" s="261" t="str">
        <f t="shared" si="19"/>
        <v>(Shadow) Dragon Damage +18%</v>
      </c>
      <c r="S448" s="330" t="str">
        <f t="shared" si="20"/>
        <v>(Shadow) Skill Damage +40%</v>
      </c>
    </row>
    <row r="449" spans="1:20" x14ac:dyDescent="0.2">
      <c r="A449" s="306" t="s">
        <v>9102</v>
      </c>
      <c r="B449" s="261" t="s">
        <v>15442</v>
      </c>
      <c r="C449" s="261" t="s">
        <v>10013</v>
      </c>
      <c r="D449" s="261" t="s">
        <v>9104</v>
      </c>
      <c r="E449" s="261" t="str">
        <f t="shared" si="18"/>
        <v>The Other Gabriel</v>
      </c>
      <c r="F449" s="261" t="s">
        <v>9105</v>
      </c>
      <c r="G449" s="261">
        <v>5</v>
      </c>
      <c r="H449" s="261"/>
      <c r="I449" s="261" t="s">
        <v>1947</v>
      </c>
      <c r="J449" s="261" t="s">
        <v>13936</v>
      </c>
      <c r="K449" s="261" t="s">
        <v>10009</v>
      </c>
      <c r="L449" s="261"/>
      <c r="M449" s="261" t="s">
        <v>10010</v>
      </c>
      <c r="N449" s="261"/>
      <c r="O449" s="261"/>
      <c r="P449" s="261" t="s">
        <v>7254</v>
      </c>
      <c r="Q449" s="261" t="s">
        <v>6893</v>
      </c>
      <c r="R449" s="261" t="str">
        <f t="shared" si="19"/>
        <v>(Wind) Dragon Damage +18%</v>
      </c>
      <c r="S449" s="330" t="str">
        <f t="shared" si="20"/>
        <v>(Wind) Skill Damage +40%</v>
      </c>
    </row>
    <row r="450" spans="1:20" x14ac:dyDescent="0.2">
      <c r="A450" s="306" t="s">
        <v>9108</v>
      </c>
      <c r="B450" s="261" t="s">
        <v>15443</v>
      </c>
      <c r="C450" s="261" t="s">
        <v>10020</v>
      </c>
      <c r="D450" s="261" t="s">
        <v>9110</v>
      </c>
      <c r="E450" s="261" t="str">
        <f t="shared" ref="E450:E462" si="21">+F450</f>
        <v>The Other Raphael</v>
      </c>
      <c r="F450" s="261" t="s">
        <v>9111</v>
      </c>
      <c r="G450" s="261">
        <v>5</v>
      </c>
      <c r="H450" s="261"/>
      <c r="I450" s="261" t="s">
        <v>2837</v>
      </c>
      <c r="J450" s="261" t="s">
        <v>13936</v>
      </c>
      <c r="K450" s="261" t="s">
        <v>10009</v>
      </c>
      <c r="L450" s="261"/>
      <c r="M450" s="261" t="s">
        <v>10010</v>
      </c>
      <c r="N450" s="261"/>
      <c r="O450" s="261"/>
      <c r="P450" s="261" t="s">
        <v>7254</v>
      </c>
      <c r="Q450" s="261" t="s">
        <v>6893</v>
      </c>
      <c r="R450" s="261" t="str">
        <f t="shared" si="19"/>
        <v>(Light) Dragon Damage +18%</v>
      </c>
      <c r="S450" s="330" t="str">
        <f t="shared" si="20"/>
        <v>(Light) Skill Damage +40%</v>
      </c>
    </row>
    <row r="451" spans="1:20" x14ac:dyDescent="0.2">
      <c r="A451" s="306" t="s">
        <v>9114</v>
      </c>
      <c r="B451" s="261" t="s">
        <v>15444</v>
      </c>
      <c r="C451" s="261" t="s">
        <v>10027</v>
      </c>
      <c r="D451" s="261" t="s">
        <v>9116</v>
      </c>
      <c r="E451" s="261" t="str">
        <f t="shared" si="21"/>
        <v>The Other Uriel</v>
      </c>
      <c r="F451" s="261" t="s">
        <v>9117</v>
      </c>
      <c r="G451" s="261">
        <v>5</v>
      </c>
      <c r="H451" s="261"/>
      <c r="I451" s="261" t="s">
        <v>1103</v>
      </c>
      <c r="J451" s="261" t="s">
        <v>13936</v>
      </c>
      <c r="K451" s="261" t="s">
        <v>10009</v>
      </c>
      <c r="L451" s="261"/>
      <c r="M451" s="261" t="s">
        <v>10010</v>
      </c>
      <c r="N451" s="261"/>
      <c r="O451" s="261"/>
      <c r="P451" s="261" t="s">
        <v>7254</v>
      </c>
      <c r="Q451" s="261" t="s">
        <v>6893</v>
      </c>
      <c r="R451" s="261" t="str">
        <f t="shared" ref="R451:R496" si="22">+"("&amp;I451&amp;") "&amp;P451</f>
        <v>(Water) Dragon Damage +18%</v>
      </c>
      <c r="S451" s="330" t="str">
        <f t="shared" ref="S451:S496" si="23">+"("&amp;I451&amp;") "&amp;Q451</f>
        <v>(Water) Skill Damage +40%</v>
      </c>
    </row>
    <row r="452" spans="1:20" x14ac:dyDescent="0.2">
      <c r="A452" s="306" t="s">
        <v>9120</v>
      </c>
      <c r="B452" s="261" t="s">
        <v>15445</v>
      </c>
      <c r="C452" s="261" t="s">
        <v>10034</v>
      </c>
      <c r="D452" s="261" t="s">
        <v>9122</v>
      </c>
      <c r="E452" s="261" t="str">
        <f t="shared" si="21"/>
        <v>The Other Michael</v>
      </c>
      <c r="F452" s="261" t="s">
        <v>9123</v>
      </c>
      <c r="G452" s="261">
        <v>5</v>
      </c>
      <c r="H452" s="261"/>
      <c r="I452" s="261" t="s">
        <v>122</v>
      </c>
      <c r="J452" s="261" t="s">
        <v>13936</v>
      </c>
      <c r="K452" s="261" t="s">
        <v>10009</v>
      </c>
      <c r="L452" s="261"/>
      <c r="M452" s="261" t="s">
        <v>10010</v>
      </c>
      <c r="N452" s="261"/>
      <c r="O452" s="261"/>
      <c r="P452" s="261" t="s">
        <v>7254</v>
      </c>
      <c r="Q452" s="261" t="s">
        <v>6893</v>
      </c>
      <c r="R452" s="261" t="str">
        <f t="shared" si="22"/>
        <v>(Flame) Dragon Damage +18%</v>
      </c>
      <c r="S452" s="330" t="str">
        <f t="shared" si="23"/>
        <v>(Flame) Skill Damage +40%</v>
      </c>
    </row>
    <row r="453" spans="1:20" x14ac:dyDescent="0.2">
      <c r="A453" s="306" t="s">
        <v>10002</v>
      </c>
      <c r="B453" s="261" t="s">
        <v>15446</v>
      </c>
      <c r="C453" s="261" t="s">
        <v>9095</v>
      </c>
      <c r="D453" s="261" t="s">
        <v>10004</v>
      </c>
      <c r="E453" s="261" t="str">
        <f t="shared" si="21"/>
        <v>The Ferocious Firelord</v>
      </c>
      <c r="F453" s="261" t="s">
        <v>10005</v>
      </c>
      <c r="G453" s="261">
        <v>5</v>
      </c>
      <c r="H453" s="261"/>
      <c r="I453" s="261" t="s">
        <v>122</v>
      </c>
      <c r="J453" s="261" t="s">
        <v>13936</v>
      </c>
      <c r="K453" s="261" t="s">
        <v>8833</v>
      </c>
      <c r="L453" s="261"/>
      <c r="M453" s="261" t="s">
        <v>9100</v>
      </c>
      <c r="N453" s="261"/>
      <c r="O453" s="261"/>
      <c r="P453" s="261" t="s">
        <v>126</v>
      </c>
      <c r="Q453" s="261" t="s">
        <v>682</v>
      </c>
      <c r="R453" s="261" t="str">
        <f t="shared" si="22"/>
        <v>(Flame) Dragon Haste +15%</v>
      </c>
      <c r="S453" s="330" t="str">
        <f t="shared" si="23"/>
        <v>(Flame) HP +15%</v>
      </c>
    </row>
    <row r="454" spans="1:20" x14ac:dyDescent="0.2">
      <c r="A454" s="306" t="s">
        <v>10012</v>
      </c>
      <c r="B454" s="261" t="s">
        <v>15447</v>
      </c>
      <c r="C454" s="261" t="s">
        <v>9103</v>
      </c>
      <c r="D454" s="261" t="s">
        <v>10014</v>
      </c>
      <c r="E454" s="261" t="str">
        <f t="shared" si="21"/>
        <v>The Hollow Lakelord</v>
      </c>
      <c r="F454" s="261" t="s">
        <v>10015</v>
      </c>
      <c r="G454" s="261">
        <v>5</v>
      </c>
      <c r="H454" s="261"/>
      <c r="I454" s="261" t="s">
        <v>1103</v>
      </c>
      <c r="J454" s="261" t="s">
        <v>13936</v>
      </c>
      <c r="K454" s="261" t="s">
        <v>8833</v>
      </c>
      <c r="L454" s="261"/>
      <c r="M454" s="261" t="s">
        <v>9100</v>
      </c>
      <c r="N454" s="261"/>
      <c r="O454" s="261"/>
      <c r="P454" s="261" t="s">
        <v>126</v>
      </c>
      <c r="Q454" s="261" t="s">
        <v>682</v>
      </c>
      <c r="R454" s="261" t="str">
        <f t="shared" si="22"/>
        <v>(Water) Dragon Haste +15%</v>
      </c>
      <c r="S454" s="330" t="str">
        <f t="shared" si="23"/>
        <v>(Water) HP +15%</v>
      </c>
    </row>
    <row r="455" spans="1:20" x14ac:dyDescent="0.2">
      <c r="A455" s="306" t="s">
        <v>10019</v>
      </c>
      <c r="B455" s="261" t="s">
        <v>15448</v>
      </c>
      <c r="C455" s="261" t="s">
        <v>9109</v>
      </c>
      <c r="D455" s="261" t="s">
        <v>10021</v>
      </c>
      <c r="E455" s="261" t="str">
        <f t="shared" si="21"/>
        <v>The Stagnant Guardian</v>
      </c>
      <c r="F455" s="261" t="s">
        <v>10022</v>
      </c>
      <c r="G455" s="261">
        <v>5</v>
      </c>
      <c r="H455" s="261"/>
      <c r="I455" s="261" t="s">
        <v>1947</v>
      </c>
      <c r="J455" s="261" t="s">
        <v>13936</v>
      </c>
      <c r="K455" s="261" t="s">
        <v>8833</v>
      </c>
      <c r="L455" s="261"/>
      <c r="M455" s="261" t="s">
        <v>9100</v>
      </c>
      <c r="N455" s="261"/>
      <c r="O455" s="261"/>
      <c r="P455" s="261" t="s">
        <v>126</v>
      </c>
      <c r="Q455" s="261" t="s">
        <v>682</v>
      </c>
      <c r="R455" s="261" t="str">
        <f t="shared" si="22"/>
        <v>(Wind) Dragon Haste +15%</v>
      </c>
      <c r="S455" s="330" t="str">
        <f t="shared" si="23"/>
        <v>(Wind) HP +15%</v>
      </c>
    </row>
    <row r="456" spans="1:20" x14ac:dyDescent="0.2">
      <c r="A456" s="306" t="s">
        <v>10026</v>
      </c>
      <c r="B456" s="261" t="s">
        <v>15449</v>
      </c>
      <c r="C456" s="261" t="s">
        <v>9115</v>
      </c>
      <c r="D456" s="261" t="s">
        <v>10028</v>
      </c>
      <c r="E456" s="261" t="str">
        <f t="shared" si="21"/>
        <v>The Sacrilegious Saint</v>
      </c>
      <c r="F456" s="261" t="s">
        <v>10029</v>
      </c>
      <c r="G456" s="261">
        <v>5</v>
      </c>
      <c r="H456" s="261"/>
      <c r="I456" s="261" t="s">
        <v>2837</v>
      </c>
      <c r="J456" s="261" t="s">
        <v>13936</v>
      </c>
      <c r="K456" s="261" t="s">
        <v>8833</v>
      </c>
      <c r="L456" s="261"/>
      <c r="M456" s="261" t="s">
        <v>9100</v>
      </c>
      <c r="N456" s="261"/>
      <c r="O456" s="261"/>
      <c r="P456" s="261" t="s">
        <v>126</v>
      </c>
      <c r="Q456" s="261" t="s">
        <v>682</v>
      </c>
      <c r="R456" s="261" t="str">
        <f t="shared" si="22"/>
        <v>(Light) Dragon Haste +15%</v>
      </c>
      <c r="S456" s="330" t="str">
        <f t="shared" si="23"/>
        <v>(Light) HP +15%</v>
      </c>
    </row>
    <row r="457" spans="1:20" x14ac:dyDescent="0.2">
      <c r="A457" s="306" t="s">
        <v>10033</v>
      </c>
      <c r="B457" s="261" t="s">
        <v>15450</v>
      </c>
      <c r="C457" s="261" t="s">
        <v>9121</v>
      </c>
      <c r="D457" s="261" t="s">
        <v>10035</v>
      </c>
      <c r="E457" s="261" t="str">
        <f t="shared" si="21"/>
        <v>Nidhogg Corrupted</v>
      </c>
      <c r="F457" s="261" t="s">
        <v>10036</v>
      </c>
      <c r="G457" s="261">
        <v>5</v>
      </c>
      <c r="H457" s="261"/>
      <c r="I457" s="261" t="s">
        <v>3779</v>
      </c>
      <c r="J457" s="261" t="s">
        <v>13936</v>
      </c>
      <c r="K457" s="261" t="s">
        <v>8833</v>
      </c>
      <c r="L457" s="261"/>
      <c r="M457" s="261" t="s">
        <v>9100</v>
      </c>
      <c r="N457" s="261"/>
      <c r="O457" s="261"/>
      <c r="P457" s="261" t="s">
        <v>126</v>
      </c>
      <c r="Q457" s="261" t="s">
        <v>682</v>
      </c>
      <c r="R457" s="261" t="str">
        <f t="shared" si="22"/>
        <v>(Shadow) Dragon Haste +15%</v>
      </c>
      <c r="S457" s="330" t="str">
        <f t="shared" si="23"/>
        <v>(Shadow) HP +15%</v>
      </c>
    </row>
    <row r="458" spans="1:20" x14ac:dyDescent="0.2">
      <c r="A458" s="306" t="s">
        <v>15451</v>
      </c>
      <c r="B458" s="261" t="s">
        <v>15452</v>
      </c>
      <c r="C458" s="261" t="s">
        <v>137</v>
      </c>
      <c r="D458" s="261" t="s">
        <v>15453</v>
      </c>
      <c r="E458" s="261" t="str">
        <f t="shared" si="21"/>
        <v>Former Faerie King</v>
      </c>
      <c r="F458" s="261" t="s">
        <v>15454</v>
      </c>
      <c r="G458" s="261"/>
      <c r="H458" s="261"/>
      <c r="I458" s="261" t="s">
        <v>122</v>
      </c>
      <c r="J458" s="261" t="s">
        <v>15455</v>
      </c>
      <c r="K458" s="261"/>
      <c r="L458" s="261"/>
      <c r="M458" s="261"/>
      <c r="N458" s="261"/>
      <c r="O458" s="261"/>
      <c r="P458" s="261" t="s">
        <v>6893</v>
      </c>
      <c r="Q458" s="261" t="s">
        <v>417</v>
      </c>
      <c r="R458" s="261" t="str">
        <f t="shared" si="22"/>
        <v>(Flame) Skill Damage +40%</v>
      </c>
      <c r="S458" s="330" t="str">
        <f t="shared" si="23"/>
        <v>(Flame) Overdrive Punisher +15%</v>
      </c>
    </row>
    <row r="459" spans="1:20" x14ac:dyDescent="0.2">
      <c r="A459" s="306" t="s">
        <v>15456</v>
      </c>
      <c r="B459" s="261" t="s">
        <v>15457</v>
      </c>
      <c r="C459" s="261" t="s">
        <v>137</v>
      </c>
      <c r="D459" s="261" t="s">
        <v>15458</v>
      </c>
      <c r="E459" s="261" t="str">
        <f t="shared" si="21"/>
        <v>Faerie King</v>
      </c>
      <c r="F459" s="261" t="s">
        <v>15459</v>
      </c>
      <c r="G459" s="261"/>
      <c r="H459" s="261"/>
      <c r="I459" s="261" t="s">
        <v>122</v>
      </c>
      <c r="J459" s="261" t="s">
        <v>15455</v>
      </c>
      <c r="K459" s="261"/>
      <c r="L459" s="261"/>
      <c r="M459" s="261"/>
      <c r="N459" s="261"/>
      <c r="O459" s="261"/>
      <c r="P459" s="261" t="s">
        <v>6911</v>
      </c>
      <c r="Q459" s="261" t="s">
        <v>2974</v>
      </c>
      <c r="R459" s="261" t="str">
        <f t="shared" si="22"/>
        <v>(Flame) Strength +20%</v>
      </c>
      <c r="S459" s="330" t="str">
        <f t="shared" si="23"/>
        <v>(Flame) Elemental Res +15%</v>
      </c>
    </row>
    <row r="460" spans="1:20" x14ac:dyDescent="0.2">
      <c r="A460" s="306" t="s">
        <v>15460</v>
      </c>
      <c r="B460" s="261" t="s">
        <v>15461</v>
      </c>
      <c r="C460" s="261" t="s">
        <v>137</v>
      </c>
      <c r="D460" s="261" t="s">
        <v>15462</v>
      </c>
      <c r="E460" s="261" t="str">
        <f t="shared" si="21"/>
        <v>Rent Heavens Embodiment</v>
      </c>
      <c r="F460" s="261" t="s">
        <v>15463</v>
      </c>
      <c r="G460" s="261"/>
      <c r="H460" s="261"/>
      <c r="I460" s="261" t="s">
        <v>122</v>
      </c>
      <c r="J460" s="261" t="s">
        <v>15455</v>
      </c>
      <c r="K460" s="261"/>
      <c r="L460" s="261"/>
      <c r="M460" s="261"/>
      <c r="N460" s="261"/>
      <c r="O460" s="261"/>
      <c r="P460" s="261" t="s">
        <v>6911</v>
      </c>
      <c r="Q460" s="261" t="s">
        <v>6552</v>
      </c>
      <c r="R460" s="261" t="str">
        <f t="shared" si="22"/>
        <v>(Flame) Strength +20%</v>
      </c>
      <c r="S460" s="330" t="str">
        <f t="shared" si="23"/>
        <v>(Flame) Attack Rate +20%</v>
      </c>
    </row>
    <row r="461" spans="1:20" x14ac:dyDescent="0.2">
      <c r="A461" s="306" t="s">
        <v>15464</v>
      </c>
      <c r="B461" s="261" t="s">
        <v>15465</v>
      </c>
      <c r="C461" s="261" t="s">
        <v>137</v>
      </c>
      <c r="D461" s="261" t="s">
        <v>15466</v>
      </c>
      <c r="E461" s="261" t="str">
        <f t="shared" si="21"/>
        <v>Alba's Destroyer</v>
      </c>
      <c r="F461" s="261" t="s">
        <v>15467</v>
      </c>
      <c r="G461" s="261"/>
      <c r="H461" s="261"/>
      <c r="I461" s="261" t="s">
        <v>122</v>
      </c>
      <c r="J461" s="261" t="s">
        <v>15455</v>
      </c>
      <c r="K461" s="261"/>
      <c r="L461" s="261"/>
      <c r="M461" s="261"/>
      <c r="N461" s="261"/>
      <c r="O461" s="261"/>
      <c r="P461" s="261" t="s">
        <v>126</v>
      </c>
      <c r="Q461" s="261" t="s">
        <v>618</v>
      </c>
      <c r="R461" s="261" t="str">
        <f t="shared" si="22"/>
        <v>(Flame) Dragon Haste +15%</v>
      </c>
      <c r="S461" s="330" t="str">
        <f t="shared" si="23"/>
        <v>(Flame) Defense +20%</v>
      </c>
    </row>
    <row r="462" spans="1:20" x14ac:dyDescent="0.2">
      <c r="A462" s="306" t="s">
        <v>15468</v>
      </c>
      <c r="B462" s="261" t="s">
        <v>15469</v>
      </c>
      <c r="C462" s="261" t="s">
        <v>137</v>
      </c>
      <c r="D462" s="261" t="s">
        <v>15470</v>
      </c>
      <c r="E462" s="261" t="str">
        <f t="shared" si="21"/>
        <v>Syndicate Elite</v>
      </c>
      <c r="F462" s="261" t="s">
        <v>15471</v>
      </c>
      <c r="G462" s="261"/>
      <c r="H462" s="261"/>
      <c r="I462" s="261" t="s">
        <v>122</v>
      </c>
      <c r="J462" s="261" t="s">
        <v>15455</v>
      </c>
      <c r="K462" s="261"/>
      <c r="L462" s="261"/>
      <c r="M462" s="261"/>
      <c r="N462" s="261"/>
      <c r="O462" s="261"/>
      <c r="P462" s="261" t="s">
        <v>14920</v>
      </c>
      <c r="Q462" s="261" t="s">
        <v>316</v>
      </c>
      <c r="R462" s="261" t="str">
        <f t="shared" si="22"/>
        <v>(Flame) Debuff Skill Time +30%</v>
      </c>
      <c r="S462" s="330" t="str">
        <f t="shared" si="23"/>
        <v>(Flame) Skill Haste +10%</v>
      </c>
    </row>
    <row r="463" spans="1:20" x14ac:dyDescent="0.2">
      <c r="A463" s="306" t="s">
        <v>15472</v>
      </c>
      <c r="B463" s="261" t="s">
        <v>15473</v>
      </c>
      <c r="C463" s="261" t="s">
        <v>137</v>
      </c>
      <c r="D463" s="261" t="s">
        <v>15474</v>
      </c>
      <c r="E463" s="261" t="s">
        <v>15475</v>
      </c>
      <c r="F463" s="261" t="s">
        <v>137</v>
      </c>
      <c r="G463" s="261"/>
      <c r="H463" s="261"/>
      <c r="I463" s="261" t="s">
        <v>122</v>
      </c>
      <c r="J463" s="261" t="s">
        <v>15455</v>
      </c>
      <c r="K463" s="261"/>
      <c r="L463" s="261"/>
      <c r="M463" s="261"/>
      <c r="N463" s="261"/>
      <c r="O463" s="261"/>
      <c r="P463" s="261" t="s">
        <v>7254</v>
      </c>
      <c r="Q463" s="261" t="s">
        <v>618</v>
      </c>
      <c r="R463" s="261" t="str">
        <f t="shared" si="22"/>
        <v>(Flame) Dragon Damage +18%</v>
      </c>
      <c r="S463" s="330" t="str">
        <f t="shared" si="23"/>
        <v>(Flame) Defense +20%</v>
      </c>
      <c r="T463" t="s">
        <v>15476</v>
      </c>
    </row>
    <row r="464" spans="1:20" x14ac:dyDescent="0.2">
      <c r="A464" s="306" t="s">
        <v>15477</v>
      </c>
      <c r="B464" s="261" t="s">
        <v>15478</v>
      </c>
      <c r="C464" s="261" t="s">
        <v>137</v>
      </c>
      <c r="D464" s="261" t="s">
        <v>15479</v>
      </c>
      <c r="E464" s="261" t="s">
        <v>15480</v>
      </c>
      <c r="F464" s="261" t="s">
        <v>137</v>
      </c>
      <c r="G464" s="261"/>
      <c r="H464" s="261"/>
      <c r="I464" s="261" t="s">
        <v>122</v>
      </c>
      <c r="J464" s="261" t="s">
        <v>15455</v>
      </c>
      <c r="K464" s="261"/>
      <c r="L464" s="261"/>
      <c r="M464" s="261"/>
      <c r="N464" s="261"/>
      <c r="O464" s="261"/>
      <c r="P464" s="261" t="s">
        <v>6911</v>
      </c>
      <c r="Q464" s="261" t="s">
        <v>14997</v>
      </c>
      <c r="R464" s="261" t="str">
        <f t="shared" si="22"/>
        <v>(Flame) Strength +20%</v>
      </c>
      <c r="S464" s="330" t="str">
        <f t="shared" si="23"/>
        <v>(Flame) Critical Damage +25%</v>
      </c>
      <c r="T464" t="s">
        <v>15476</v>
      </c>
    </row>
    <row r="465" spans="1:20" x14ac:dyDescent="0.2">
      <c r="A465" s="306" t="s">
        <v>15481</v>
      </c>
      <c r="B465" s="261" t="s">
        <v>15482</v>
      </c>
      <c r="C465" s="261" t="s">
        <v>137</v>
      </c>
      <c r="D465" s="261" t="s">
        <v>15483</v>
      </c>
      <c r="E465" s="261" t="s">
        <v>15484</v>
      </c>
      <c r="F465" s="261" t="s">
        <v>137</v>
      </c>
      <c r="G465" s="261"/>
      <c r="H465" s="261"/>
      <c r="I465" s="261" t="s">
        <v>122</v>
      </c>
      <c r="J465" s="261" t="s">
        <v>15455</v>
      </c>
      <c r="K465" s="261"/>
      <c r="L465" s="261"/>
      <c r="M465" s="261"/>
      <c r="N465" s="261"/>
      <c r="O465" s="261"/>
      <c r="P465" s="261" t="s">
        <v>2974</v>
      </c>
      <c r="Q465" s="261" t="s">
        <v>15035</v>
      </c>
      <c r="R465" s="261" t="str">
        <f t="shared" si="22"/>
        <v>(Flame) Elemental Res +15%</v>
      </c>
      <c r="S465" s="330" t="str">
        <f t="shared" si="23"/>
        <v>(Flame) HP 70% = Shield +40%</v>
      </c>
      <c r="T465" t="s">
        <v>15476</v>
      </c>
    </row>
    <row r="466" spans="1:20" x14ac:dyDescent="0.2">
      <c r="A466" s="306" t="s">
        <v>15485</v>
      </c>
      <c r="B466" s="261" t="s">
        <v>15486</v>
      </c>
      <c r="C466" s="261" t="s">
        <v>137</v>
      </c>
      <c r="D466" s="261" t="s">
        <v>15487</v>
      </c>
      <c r="E466" s="261" t="str">
        <f>+F466</f>
        <v>Marvelous Naoto</v>
      </c>
      <c r="F466" s="261" t="s">
        <v>15488</v>
      </c>
      <c r="G466" s="261"/>
      <c r="H466" s="261"/>
      <c r="I466" s="261" t="s">
        <v>122</v>
      </c>
      <c r="J466" s="261" t="s">
        <v>15455</v>
      </c>
      <c r="K466" s="261"/>
      <c r="L466" s="261"/>
      <c r="M466" s="261"/>
      <c r="N466" s="261"/>
      <c r="O466" s="261"/>
      <c r="P466" s="261" t="s">
        <v>6893</v>
      </c>
      <c r="Q466" s="261" t="s">
        <v>316</v>
      </c>
      <c r="R466" s="261" t="str">
        <f t="shared" si="22"/>
        <v>(Flame) Skill Damage +40%</v>
      </c>
      <c r="S466" s="330" t="str">
        <f t="shared" si="23"/>
        <v>(Flame) Skill Haste +10%</v>
      </c>
    </row>
    <row r="467" spans="1:20" x14ac:dyDescent="0.2">
      <c r="A467" s="306" t="s">
        <v>15489</v>
      </c>
      <c r="B467" s="261" t="s">
        <v>15490</v>
      </c>
      <c r="C467" s="261" t="s">
        <v>137</v>
      </c>
      <c r="D467" s="261" t="s">
        <v>15491</v>
      </c>
      <c r="E467" s="261" t="str">
        <f>+F467</f>
        <v>Ex Machina Commander</v>
      </c>
      <c r="F467" s="261" t="s">
        <v>15492</v>
      </c>
      <c r="G467" s="261"/>
      <c r="H467" s="261"/>
      <c r="I467" s="261" t="s">
        <v>122</v>
      </c>
      <c r="J467" s="261" t="s">
        <v>15455</v>
      </c>
      <c r="K467" s="261"/>
      <c r="L467" s="261"/>
      <c r="M467" s="261"/>
      <c r="N467" s="261"/>
      <c r="O467" s="261"/>
      <c r="P467" s="261" t="s">
        <v>7101</v>
      </c>
      <c r="Q467" s="261" t="s">
        <v>316</v>
      </c>
      <c r="R467" s="261" t="str">
        <f t="shared" si="22"/>
        <v>(Flame) Buff Skill Time +30%</v>
      </c>
      <c r="S467" s="330" t="str">
        <f t="shared" si="23"/>
        <v>(Flame) Skill Haste +10%</v>
      </c>
    </row>
    <row r="468" spans="1:20" x14ac:dyDescent="0.2">
      <c r="A468" s="306" t="s">
        <v>15493</v>
      </c>
      <c r="B468" s="261" t="s">
        <v>15494</v>
      </c>
      <c r="C468" s="261" t="s">
        <v>137</v>
      </c>
      <c r="D468" s="261" t="s">
        <v>15495</v>
      </c>
      <c r="E468" s="261" t="str">
        <f>+F468</f>
        <v>The Captain</v>
      </c>
      <c r="F468" s="261" t="s">
        <v>15496</v>
      </c>
      <c r="G468" s="261"/>
      <c r="H468" s="261"/>
      <c r="I468" s="261" t="s">
        <v>122</v>
      </c>
      <c r="J468" s="261" t="s">
        <v>15455</v>
      </c>
      <c r="K468" s="261"/>
      <c r="L468" s="261"/>
      <c r="M468" s="261"/>
      <c r="N468" s="261"/>
      <c r="O468" s="261"/>
      <c r="P468" s="261" t="s">
        <v>6893</v>
      </c>
      <c r="Q468" s="261" t="s">
        <v>14997</v>
      </c>
      <c r="R468" s="261" t="str">
        <f t="shared" si="22"/>
        <v>(Flame) Skill Damage +40%</v>
      </c>
      <c r="S468" s="330" t="str">
        <f t="shared" si="23"/>
        <v>(Flame) Critical Damage +25%</v>
      </c>
    </row>
    <row r="469" spans="1:20" x14ac:dyDescent="0.2">
      <c r="A469" s="306" t="s">
        <v>15497</v>
      </c>
      <c r="B469" s="261" t="s">
        <v>15498</v>
      </c>
      <c r="C469" s="261" t="s">
        <v>137</v>
      </c>
      <c r="D469" s="261" t="s">
        <v>15499</v>
      </c>
      <c r="E469" s="261" t="str">
        <f>+F469</f>
        <v>Wagabond Pupper</v>
      </c>
      <c r="F469" s="261" t="s">
        <v>15500</v>
      </c>
      <c r="G469" s="261"/>
      <c r="H469" s="261"/>
      <c r="I469" s="261" t="s">
        <v>122</v>
      </c>
      <c r="J469" s="261" t="s">
        <v>15455</v>
      </c>
      <c r="K469" s="261"/>
      <c r="L469" s="261"/>
      <c r="M469" s="261"/>
      <c r="N469" s="261"/>
      <c r="O469" s="261"/>
      <c r="P469" s="261" t="s">
        <v>618</v>
      </c>
      <c r="Q469" s="261" t="s">
        <v>15035</v>
      </c>
      <c r="R469" s="261" t="str">
        <f>+"("&amp;I469&amp;") "&amp;P469</f>
        <v>(Flame) Defense +20%</v>
      </c>
      <c r="S469" s="330" t="str">
        <f>+"("&amp;I469&amp;") "&amp;Q469</f>
        <v>(Flame) HP 70% = Shield +40%</v>
      </c>
    </row>
    <row r="470" spans="1:20" x14ac:dyDescent="0.2">
      <c r="A470" s="306" t="s">
        <v>15501</v>
      </c>
      <c r="B470" s="261" t="s">
        <v>15502</v>
      </c>
      <c r="C470" s="261" t="s">
        <v>137</v>
      </c>
      <c r="D470" s="261" t="s">
        <v>15503</v>
      </c>
      <c r="E470" s="261" t="str">
        <f>+F470</f>
        <v>Monster of Legion</v>
      </c>
      <c r="F470" s="261" t="s">
        <v>15504</v>
      </c>
      <c r="G470" s="261"/>
      <c r="H470" s="261"/>
      <c r="I470" s="261" t="s">
        <v>2837</v>
      </c>
      <c r="J470" s="261" t="s">
        <v>15455</v>
      </c>
      <c r="K470" s="261"/>
      <c r="L470" s="261"/>
      <c r="M470" s="261"/>
      <c r="N470" s="261"/>
      <c r="O470" s="261"/>
      <c r="P470" s="261" t="s">
        <v>6911</v>
      </c>
      <c r="Q470" s="261" t="s">
        <v>6552</v>
      </c>
      <c r="R470" s="261" t="str">
        <f t="shared" si="22"/>
        <v>(Light) Strength +20%</v>
      </c>
      <c r="S470" s="330" t="str">
        <f t="shared" si="23"/>
        <v>(Light) Attack Rate +20%</v>
      </c>
    </row>
    <row r="471" spans="1:20" x14ac:dyDescent="0.2">
      <c r="A471" s="306" t="s">
        <v>15505</v>
      </c>
      <c r="B471" s="261" t="s">
        <v>15506</v>
      </c>
      <c r="C471" s="261" t="s">
        <v>137</v>
      </c>
      <c r="D471" s="261" t="s">
        <v>15507</v>
      </c>
      <c r="E471" s="261" t="s">
        <v>15508</v>
      </c>
      <c r="F471" s="261" t="s">
        <v>15509</v>
      </c>
      <c r="G471" s="261"/>
      <c r="H471" s="261"/>
      <c r="I471" s="261" t="s">
        <v>2837</v>
      </c>
      <c r="J471" s="261" t="s">
        <v>15455</v>
      </c>
      <c r="K471" s="261"/>
      <c r="L471" s="261"/>
      <c r="M471" s="261"/>
      <c r="N471" s="261"/>
      <c r="O471" s="261"/>
      <c r="P471" s="261" t="s">
        <v>7101</v>
      </c>
      <c r="Q471" s="261" t="s">
        <v>316</v>
      </c>
      <c r="R471" s="261" t="str">
        <f t="shared" si="22"/>
        <v>(Light) Buff Skill Time +30%</v>
      </c>
      <c r="S471" s="330" t="str">
        <f t="shared" si="23"/>
        <v>(Light) Skill Haste +10%</v>
      </c>
    </row>
    <row r="472" spans="1:20" x14ac:dyDescent="0.2">
      <c r="A472" s="306" t="s">
        <v>15510</v>
      </c>
      <c r="B472" s="261" t="s">
        <v>15511</v>
      </c>
      <c r="C472" s="261" t="s">
        <v>137</v>
      </c>
      <c r="D472" s="261" t="s">
        <v>15512</v>
      </c>
      <c r="E472" s="261" t="s">
        <v>15513</v>
      </c>
      <c r="F472" s="261" t="s">
        <v>137</v>
      </c>
      <c r="G472" s="261"/>
      <c r="H472" s="261"/>
      <c r="I472" s="261" t="s">
        <v>2837</v>
      </c>
      <c r="J472" s="261" t="s">
        <v>15455</v>
      </c>
      <c r="K472" s="261"/>
      <c r="L472" s="261"/>
      <c r="M472" s="261"/>
      <c r="N472" s="261"/>
      <c r="O472" s="261"/>
      <c r="P472" s="261" t="s">
        <v>14920</v>
      </c>
      <c r="Q472" s="261" t="s">
        <v>316</v>
      </c>
      <c r="R472" s="261" t="str">
        <f t="shared" si="22"/>
        <v>(Light) Debuff Skill Time +30%</v>
      </c>
      <c r="S472" s="330" t="str">
        <f t="shared" si="23"/>
        <v>(Light) Skill Haste +10%</v>
      </c>
      <c r="T472" t="s">
        <v>15476</v>
      </c>
    </row>
    <row r="473" spans="1:20" x14ac:dyDescent="0.2">
      <c r="A473" s="306" t="s">
        <v>15514</v>
      </c>
      <c r="B473" s="261" t="s">
        <v>15515</v>
      </c>
      <c r="C473" s="261" t="s">
        <v>137</v>
      </c>
      <c r="D473" s="261" t="s">
        <v>15516</v>
      </c>
      <c r="E473" s="261" t="str">
        <f>+F473</f>
        <v>Genesiswyrm's Pactbound</v>
      </c>
      <c r="F473" s="261" t="s">
        <v>15517</v>
      </c>
      <c r="G473" s="261"/>
      <c r="H473" s="261"/>
      <c r="I473" s="261" t="s">
        <v>3779</v>
      </c>
      <c r="J473" s="261" t="s">
        <v>15455</v>
      </c>
      <c r="K473" s="261"/>
      <c r="L473" s="261"/>
      <c r="M473" s="261"/>
      <c r="N473" s="261"/>
      <c r="O473" s="261"/>
      <c r="P473" s="261" t="s">
        <v>6911</v>
      </c>
      <c r="Q473" s="261" t="s">
        <v>2974</v>
      </c>
      <c r="R473" s="261" t="str">
        <f t="shared" si="22"/>
        <v>(Shadow) Strength +20%</v>
      </c>
      <c r="S473" s="330" t="str">
        <f t="shared" si="23"/>
        <v>(Shadow) Elemental Res +15%</v>
      </c>
    </row>
    <row r="474" spans="1:20" x14ac:dyDescent="0.2">
      <c r="A474" s="306" t="s">
        <v>15518</v>
      </c>
      <c r="B474" s="261" t="s">
        <v>15519</v>
      </c>
      <c r="C474" s="261" t="s">
        <v>137</v>
      </c>
      <c r="D474" s="261" t="s">
        <v>15520</v>
      </c>
      <c r="E474" s="261" t="str">
        <f>+F474</f>
        <v>Avatar of Atrocity</v>
      </c>
      <c r="F474" s="261" t="s">
        <v>15521</v>
      </c>
      <c r="G474" s="261"/>
      <c r="H474" s="261"/>
      <c r="I474" s="261" t="s">
        <v>3779</v>
      </c>
      <c r="J474" s="261" t="s">
        <v>15455</v>
      </c>
      <c r="K474" s="261"/>
      <c r="L474" s="261"/>
      <c r="M474" s="261"/>
      <c r="N474" s="261"/>
      <c r="O474" s="261"/>
      <c r="P474" s="261" t="s">
        <v>6911</v>
      </c>
      <c r="Q474" s="261" t="s">
        <v>6552</v>
      </c>
      <c r="R474" s="261" t="str">
        <f t="shared" si="22"/>
        <v>(Shadow) Strength +20%</v>
      </c>
      <c r="S474" s="330" t="str">
        <f t="shared" si="23"/>
        <v>(Shadow) Attack Rate +20%</v>
      </c>
    </row>
    <row r="475" spans="1:20" x14ac:dyDescent="0.2">
      <c r="A475" s="306" t="s">
        <v>15522</v>
      </c>
      <c r="B475" s="261" t="s">
        <v>15523</v>
      </c>
      <c r="C475" s="261" t="s">
        <v>137</v>
      </c>
      <c r="D475" s="261" t="s">
        <v>15524</v>
      </c>
      <c r="E475" s="261" t="str">
        <f>+F475</f>
        <v>King of Death</v>
      </c>
      <c r="F475" s="261" t="s">
        <v>15525</v>
      </c>
      <c r="G475" s="261"/>
      <c r="H475" s="261"/>
      <c r="I475" s="261" t="s">
        <v>3779</v>
      </c>
      <c r="J475" s="261" t="s">
        <v>15455</v>
      </c>
      <c r="K475" s="261"/>
      <c r="L475" s="261"/>
      <c r="M475" s="261"/>
      <c r="N475" s="261"/>
      <c r="O475" s="261"/>
      <c r="P475" s="261" t="s">
        <v>7101</v>
      </c>
      <c r="Q475" s="261" t="s">
        <v>316</v>
      </c>
      <c r="R475" s="261" t="str">
        <f t="shared" si="22"/>
        <v>(Shadow) Buff Skill Time +30%</v>
      </c>
      <c r="S475" s="330" t="str">
        <f t="shared" si="23"/>
        <v>(Shadow) Skill Haste +10%</v>
      </c>
    </row>
    <row r="476" spans="1:20" x14ac:dyDescent="0.2">
      <c r="A476" s="306" t="s">
        <v>15526</v>
      </c>
      <c r="B476" s="261" t="s">
        <v>15527</v>
      </c>
      <c r="C476" s="261" t="s">
        <v>137</v>
      </c>
      <c r="D476" s="261" t="s">
        <v>15528</v>
      </c>
      <c r="E476" s="261" t="s">
        <v>15529</v>
      </c>
      <c r="F476" s="261" t="s">
        <v>137</v>
      </c>
      <c r="G476" s="261"/>
      <c r="H476" s="261"/>
      <c r="I476" s="261" t="s">
        <v>3779</v>
      </c>
      <c r="J476" s="261" t="s">
        <v>15455</v>
      </c>
      <c r="K476" s="261"/>
      <c r="L476" s="261"/>
      <c r="M476" s="261"/>
      <c r="N476" s="261"/>
      <c r="O476" s="261"/>
      <c r="P476" s="261" t="s">
        <v>14920</v>
      </c>
      <c r="Q476" s="261" t="s">
        <v>316</v>
      </c>
      <c r="R476" s="261" t="str">
        <f t="shared" si="22"/>
        <v>(Shadow) Debuff Skill Time +30%</v>
      </c>
      <c r="S476" s="330" t="str">
        <f t="shared" si="23"/>
        <v>(Shadow) Skill Haste +10%</v>
      </c>
      <c r="T476" t="s">
        <v>15476</v>
      </c>
    </row>
    <row r="477" spans="1:20" x14ac:dyDescent="0.2">
      <c r="A477" s="306" t="s">
        <v>15530</v>
      </c>
      <c r="B477" s="261" t="s">
        <v>15531</v>
      </c>
      <c r="C477" s="261" t="s">
        <v>137</v>
      </c>
      <c r="D477" s="261" t="s">
        <v>15532</v>
      </c>
      <c r="E477" s="261" t="s">
        <v>15533</v>
      </c>
      <c r="F477" s="261" t="s">
        <v>137</v>
      </c>
      <c r="G477" s="261"/>
      <c r="H477" s="261"/>
      <c r="I477" s="261" t="s">
        <v>3779</v>
      </c>
      <c r="J477" s="261" t="s">
        <v>15455</v>
      </c>
      <c r="K477" s="261"/>
      <c r="L477" s="261"/>
      <c r="M477" s="261"/>
      <c r="N477" s="261"/>
      <c r="O477" s="261"/>
      <c r="P477" s="261" t="s">
        <v>6893</v>
      </c>
      <c r="Q477" s="261" t="s">
        <v>14997</v>
      </c>
      <c r="R477" s="261" t="str">
        <f t="shared" si="22"/>
        <v>(Shadow) Skill Damage +40%</v>
      </c>
      <c r="S477" s="330" t="str">
        <f t="shared" si="23"/>
        <v>(Shadow) Critical Damage +25%</v>
      </c>
      <c r="T477" t="s">
        <v>15476</v>
      </c>
    </row>
    <row r="478" spans="1:20" x14ac:dyDescent="0.2">
      <c r="A478" s="306" t="s">
        <v>15534</v>
      </c>
      <c r="B478" s="261" t="s">
        <v>15535</v>
      </c>
      <c r="C478" s="261" t="s">
        <v>137</v>
      </c>
      <c r="D478" s="261" t="s">
        <v>15536</v>
      </c>
      <c r="E478" s="261" t="s">
        <v>15537</v>
      </c>
      <c r="F478" s="261" t="s">
        <v>137</v>
      </c>
      <c r="G478" s="261"/>
      <c r="H478" s="261"/>
      <c r="I478" s="261" t="s">
        <v>3779</v>
      </c>
      <c r="J478" s="261" t="s">
        <v>15455</v>
      </c>
      <c r="K478" s="261"/>
      <c r="L478" s="261"/>
      <c r="M478" s="261"/>
      <c r="N478" s="261"/>
      <c r="O478" s="261"/>
      <c r="P478" s="261" t="s">
        <v>6601</v>
      </c>
      <c r="Q478" s="261" t="s">
        <v>417</v>
      </c>
      <c r="R478" s="261" t="str">
        <f t="shared" si="22"/>
        <v>(Shadow) Critical Rate +15%</v>
      </c>
      <c r="S478" s="330" t="str">
        <f t="shared" si="23"/>
        <v>(Shadow) Overdrive Punisher +15%</v>
      </c>
      <c r="T478" t="s">
        <v>15476</v>
      </c>
    </row>
    <row r="479" spans="1:20" x14ac:dyDescent="0.2">
      <c r="A479" s="306" t="s">
        <v>15538</v>
      </c>
      <c r="B479" s="261" t="s">
        <v>15539</v>
      </c>
      <c r="C479" s="261" t="s">
        <v>137</v>
      </c>
      <c r="D479" s="261" t="s">
        <v>15540</v>
      </c>
      <c r="E479" s="261" t="str">
        <f>+F479</f>
        <v>The Lord of Saint Lotier</v>
      </c>
      <c r="F479" s="261" t="s">
        <v>15541</v>
      </c>
      <c r="G479" s="261"/>
      <c r="H479" s="261"/>
      <c r="I479" s="261" t="s">
        <v>1103</v>
      </c>
      <c r="J479" s="261" t="s">
        <v>15455</v>
      </c>
      <c r="K479" s="261"/>
      <c r="L479" s="261"/>
      <c r="M479" s="261"/>
      <c r="N479" s="261"/>
      <c r="O479" s="261"/>
      <c r="P479" s="261" t="s">
        <v>6601</v>
      </c>
      <c r="Q479" s="261" t="s">
        <v>2974</v>
      </c>
      <c r="R479" s="261" t="str">
        <f t="shared" si="22"/>
        <v>(Water) Critical Rate +15%</v>
      </c>
      <c r="S479" s="330" t="str">
        <f t="shared" si="23"/>
        <v>(Water) Elemental Res +15%</v>
      </c>
    </row>
    <row r="480" spans="1:20" x14ac:dyDescent="0.2">
      <c r="A480" s="306" t="s">
        <v>15542</v>
      </c>
      <c r="B480" s="261" t="s">
        <v>15543</v>
      </c>
      <c r="C480" s="261" t="s">
        <v>137</v>
      </c>
      <c r="D480" s="261" t="s">
        <v>15544</v>
      </c>
      <c r="E480" s="261" t="str">
        <f>+F480</f>
        <v>The Fifth Scion</v>
      </c>
      <c r="F480" s="261" t="s">
        <v>15545</v>
      </c>
      <c r="G480" s="261"/>
      <c r="H480" s="261"/>
      <c r="I480" s="261" t="s">
        <v>1103</v>
      </c>
      <c r="J480" s="261" t="s">
        <v>15455</v>
      </c>
      <c r="K480" s="261"/>
      <c r="L480" s="261"/>
      <c r="M480" s="261"/>
      <c r="N480" s="261"/>
      <c r="O480" s="261"/>
      <c r="P480" s="261" t="s">
        <v>6911</v>
      </c>
      <c r="Q480" s="261" t="s">
        <v>2974</v>
      </c>
      <c r="R480" s="261" t="str">
        <f t="shared" si="22"/>
        <v>(Water) Strength +20%</v>
      </c>
      <c r="S480" s="330" t="str">
        <f t="shared" si="23"/>
        <v>(Water) Elemental Res +15%</v>
      </c>
    </row>
    <row r="481" spans="1:20" x14ac:dyDescent="0.2">
      <c r="A481" s="306" t="s">
        <v>15546</v>
      </c>
      <c r="B481" s="261" t="s">
        <v>15547</v>
      </c>
      <c r="C481" s="261" t="s">
        <v>137</v>
      </c>
      <c r="D481" s="261" t="s">
        <v>15548</v>
      </c>
      <c r="E481" s="261" t="str">
        <f>+F481</f>
        <v>Secluded Demon</v>
      </c>
      <c r="F481" s="261" t="s">
        <v>15549</v>
      </c>
      <c r="G481" s="261"/>
      <c r="H481" s="261"/>
      <c r="I481" s="261" t="s">
        <v>1103</v>
      </c>
      <c r="J481" s="261" t="s">
        <v>15455</v>
      </c>
      <c r="K481" s="261"/>
      <c r="L481" s="261"/>
      <c r="M481" s="261"/>
      <c r="N481" s="261"/>
      <c r="O481" s="261"/>
      <c r="P481" s="261" t="s">
        <v>6911</v>
      </c>
      <c r="Q481" s="261" t="s">
        <v>6552</v>
      </c>
      <c r="R481" s="261" t="str">
        <f t="shared" si="22"/>
        <v>(Water) Strength +20%</v>
      </c>
      <c r="S481" s="330" t="str">
        <f t="shared" si="23"/>
        <v>(Water) Attack Rate +20%</v>
      </c>
    </row>
    <row r="482" spans="1:20" x14ac:dyDescent="0.2">
      <c r="A482" s="306" t="s">
        <v>15550</v>
      </c>
      <c r="B482" s="261" t="s">
        <v>15551</v>
      </c>
      <c r="C482" s="261" t="s">
        <v>137</v>
      </c>
      <c r="D482" s="261" t="s">
        <v>15552</v>
      </c>
      <c r="E482" s="261" t="s">
        <v>15553</v>
      </c>
      <c r="F482" s="261" t="s">
        <v>137</v>
      </c>
      <c r="G482" s="261"/>
      <c r="H482" s="261"/>
      <c r="I482" s="261" t="s">
        <v>1103</v>
      </c>
      <c r="J482" s="261" t="s">
        <v>15455</v>
      </c>
      <c r="K482" s="261"/>
      <c r="L482" s="261"/>
      <c r="M482" s="261"/>
      <c r="N482" s="261"/>
      <c r="O482" s="261"/>
      <c r="P482" s="261" t="s">
        <v>14920</v>
      </c>
      <c r="Q482" s="261" t="s">
        <v>316</v>
      </c>
      <c r="R482" s="261" t="str">
        <f t="shared" si="22"/>
        <v>(Water) Debuff Skill Time +30%</v>
      </c>
      <c r="S482" s="330" t="str">
        <f t="shared" si="23"/>
        <v>(Water) Skill Haste +10%</v>
      </c>
      <c r="T482" t="s">
        <v>15476</v>
      </c>
    </row>
    <row r="483" spans="1:20" x14ac:dyDescent="0.2">
      <c r="A483" s="306" t="s">
        <v>15554</v>
      </c>
      <c r="B483" s="261" t="s">
        <v>15555</v>
      </c>
      <c r="C483" s="261" t="s">
        <v>137</v>
      </c>
      <c r="D483" s="261" t="s">
        <v>15556</v>
      </c>
      <c r="E483" s="261" t="str">
        <f>+F483</f>
        <v>L'Amandier's Heir</v>
      </c>
      <c r="F483" s="261" t="s">
        <v>15557</v>
      </c>
      <c r="G483" s="261"/>
      <c r="H483" s="261"/>
      <c r="I483" s="261" t="s">
        <v>1103</v>
      </c>
      <c r="J483" s="261" t="s">
        <v>15455</v>
      </c>
      <c r="K483" s="261"/>
      <c r="L483" s="261"/>
      <c r="M483" s="261"/>
      <c r="N483" s="261"/>
      <c r="O483" s="261"/>
      <c r="P483" s="261" t="s">
        <v>2974</v>
      </c>
      <c r="Q483" s="261" t="s">
        <v>15035</v>
      </c>
      <c r="R483" s="261" t="str">
        <f t="shared" si="22"/>
        <v>(Water) Elemental Res +15%</v>
      </c>
      <c r="S483" s="330" t="str">
        <f t="shared" si="23"/>
        <v>(Water) HP 70% = Shield +40%</v>
      </c>
    </row>
    <row r="484" spans="1:20" x14ac:dyDescent="0.2">
      <c r="A484" s="306" t="s">
        <v>15558</v>
      </c>
      <c r="B484" s="261" t="s">
        <v>15559</v>
      </c>
      <c r="C484" s="261" t="s">
        <v>137</v>
      </c>
      <c r="D484" s="261" t="s">
        <v>15560</v>
      </c>
      <c r="E484" s="261" t="s">
        <v>15561</v>
      </c>
      <c r="F484" s="261" t="s">
        <v>137</v>
      </c>
      <c r="G484" s="261"/>
      <c r="H484" s="261"/>
      <c r="I484" s="261" t="s">
        <v>1103</v>
      </c>
      <c r="J484" s="261" t="s">
        <v>15455</v>
      </c>
      <c r="K484" s="261"/>
      <c r="L484" s="261"/>
      <c r="M484" s="261"/>
      <c r="N484" s="261"/>
      <c r="O484" s="261"/>
      <c r="P484" s="261" t="s">
        <v>650</v>
      </c>
      <c r="Q484" s="261" t="s">
        <v>6911</v>
      </c>
      <c r="R484" s="261" t="str">
        <f t="shared" si="22"/>
        <v>(Water) Dragon Time +20%</v>
      </c>
      <c r="S484" s="330" t="str">
        <f t="shared" si="23"/>
        <v>(Water) Strength +20%</v>
      </c>
      <c r="T484" t="s">
        <v>15476</v>
      </c>
    </row>
    <row r="485" spans="1:20" x14ac:dyDescent="0.2">
      <c r="A485" s="306" t="s">
        <v>15562</v>
      </c>
      <c r="B485" s="261" t="s">
        <v>15563</v>
      </c>
      <c r="C485" s="261" t="s">
        <v>137</v>
      </c>
      <c r="D485" s="261" t="s">
        <v>15564</v>
      </c>
      <c r="E485" s="261" t="s">
        <v>15565</v>
      </c>
      <c r="F485" s="261" t="s">
        <v>137</v>
      </c>
      <c r="G485" s="261"/>
      <c r="H485" s="261"/>
      <c r="I485" s="261" t="s">
        <v>1103</v>
      </c>
      <c r="J485" s="261" t="s">
        <v>15455</v>
      </c>
      <c r="K485" s="261"/>
      <c r="L485" s="261"/>
      <c r="M485" s="261"/>
      <c r="N485" s="261"/>
      <c r="O485" s="261"/>
      <c r="P485" s="261" t="s">
        <v>7101</v>
      </c>
      <c r="Q485" s="261" t="s">
        <v>316</v>
      </c>
      <c r="R485" s="261" t="str">
        <f t="shared" si="22"/>
        <v>(Water) Buff Skill Time +30%</v>
      </c>
      <c r="S485" s="330" t="str">
        <f t="shared" si="23"/>
        <v>(Water) Skill Haste +10%</v>
      </c>
      <c r="T485" t="s">
        <v>15476</v>
      </c>
    </row>
    <row r="486" spans="1:20" x14ac:dyDescent="0.2">
      <c r="A486" s="306" t="s">
        <v>15566</v>
      </c>
      <c r="B486" s="261" t="s">
        <v>15567</v>
      </c>
      <c r="C486" s="261" t="s">
        <v>137</v>
      </c>
      <c r="D486" s="261" t="s">
        <v>15568</v>
      </c>
      <c r="E486" s="261" t="s">
        <v>15569</v>
      </c>
      <c r="F486" s="261" t="s">
        <v>137</v>
      </c>
      <c r="G486" s="261"/>
      <c r="H486" s="261"/>
      <c r="I486" s="261" t="s">
        <v>1103</v>
      </c>
      <c r="J486" s="261" t="s">
        <v>15455</v>
      </c>
      <c r="K486" s="261"/>
      <c r="L486" s="261"/>
      <c r="M486" s="261"/>
      <c r="N486" s="261"/>
      <c r="O486" s="261"/>
      <c r="P486" s="261" t="s">
        <v>417</v>
      </c>
      <c r="Q486" s="261" t="s">
        <v>618</v>
      </c>
      <c r="R486" s="261" t="str">
        <f t="shared" si="22"/>
        <v>(Water) Overdrive Punisher +15%</v>
      </c>
      <c r="S486" s="330" t="str">
        <f t="shared" si="23"/>
        <v>(Water) Defense +20%</v>
      </c>
      <c r="T486" t="s">
        <v>15476</v>
      </c>
    </row>
    <row r="487" spans="1:20" x14ac:dyDescent="0.2">
      <c r="A487" s="306" t="s">
        <v>15570</v>
      </c>
      <c r="B487" s="261" t="s">
        <v>15571</v>
      </c>
      <c r="C487" s="261" t="s">
        <v>137</v>
      </c>
      <c r="D487" s="261" t="s">
        <v>15572</v>
      </c>
      <c r="E487" s="261" t="s">
        <v>15573</v>
      </c>
      <c r="F487" s="261" t="s">
        <v>137</v>
      </c>
      <c r="G487" s="261"/>
      <c r="H487" s="261"/>
      <c r="I487" s="261" t="s">
        <v>1103</v>
      </c>
      <c r="J487" s="261" t="s">
        <v>15455</v>
      </c>
      <c r="K487" s="261"/>
      <c r="L487" s="261"/>
      <c r="M487" s="261"/>
      <c r="N487" s="261"/>
      <c r="O487" s="261"/>
      <c r="P487" s="261" t="s">
        <v>316</v>
      </c>
      <c r="Q487" s="261" t="s">
        <v>682</v>
      </c>
      <c r="R487" s="261" t="str">
        <f t="shared" si="22"/>
        <v>(Water) Skill Haste +10%</v>
      </c>
      <c r="S487" s="330" t="str">
        <f t="shared" si="23"/>
        <v>(Water) HP +15%</v>
      </c>
      <c r="T487" t="s">
        <v>15476</v>
      </c>
    </row>
    <row r="488" spans="1:20" x14ac:dyDescent="0.2">
      <c r="A488" s="306" t="s">
        <v>15574</v>
      </c>
      <c r="B488" s="261" t="s">
        <v>15575</v>
      </c>
      <c r="C488" s="261" t="s">
        <v>137</v>
      </c>
      <c r="D488" s="261" t="s">
        <v>15576</v>
      </c>
      <c r="E488" s="261" t="s">
        <v>15577</v>
      </c>
      <c r="F488" s="261" t="s">
        <v>137</v>
      </c>
      <c r="G488" s="261"/>
      <c r="H488" s="261"/>
      <c r="I488" s="261" t="s">
        <v>1103</v>
      </c>
      <c r="J488" s="261" t="s">
        <v>15455</v>
      </c>
      <c r="K488" s="261"/>
      <c r="L488" s="261"/>
      <c r="M488" s="261"/>
      <c r="N488" s="261"/>
      <c r="O488" s="261"/>
      <c r="P488" s="261" t="s">
        <v>7254</v>
      </c>
      <c r="Q488" s="261" t="s">
        <v>14997</v>
      </c>
      <c r="R488" s="261" t="str">
        <f t="shared" si="22"/>
        <v>(Water) Dragon Damage +18%</v>
      </c>
      <c r="S488" s="330" t="str">
        <f t="shared" si="23"/>
        <v>(Water) Critical Damage +25%</v>
      </c>
      <c r="T488" t="s">
        <v>15476</v>
      </c>
    </row>
    <row r="489" spans="1:20" x14ac:dyDescent="0.2">
      <c r="A489" s="306" t="s">
        <v>15578</v>
      </c>
      <c r="B489" s="261" t="s">
        <v>15579</v>
      </c>
      <c r="C489" s="261" t="s">
        <v>137</v>
      </c>
      <c r="D489" s="261" t="s">
        <v>15580</v>
      </c>
      <c r="E489" s="261" t="str">
        <f>+F489</f>
        <v>Songstress of Flowers</v>
      </c>
      <c r="F489" s="261" t="s">
        <v>15581</v>
      </c>
      <c r="G489" s="261"/>
      <c r="H489" s="261"/>
      <c r="I489" s="261" t="s">
        <v>1103</v>
      </c>
      <c r="J489" s="261" t="s">
        <v>15455</v>
      </c>
      <c r="K489" s="261"/>
      <c r="L489" s="261"/>
      <c r="M489" s="261"/>
      <c r="N489" s="261"/>
      <c r="O489" s="261"/>
      <c r="P489" s="261" t="s">
        <v>618</v>
      </c>
      <c r="Q489" s="261" t="s">
        <v>15035</v>
      </c>
      <c r="R489" s="261" t="str">
        <f t="shared" si="22"/>
        <v>(Water) Defense +20%</v>
      </c>
      <c r="S489" s="330" t="str">
        <f t="shared" si="23"/>
        <v>(Water) HP 70% = Shield +40%</v>
      </c>
    </row>
    <row r="490" spans="1:20" x14ac:dyDescent="0.2">
      <c r="A490" s="306" t="s">
        <v>15582</v>
      </c>
      <c r="B490" s="261" t="s">
        <v>15583</v>
      </c>
      <c r="C490" s="261" t="s">
        <v>137</v>
      </c>
      <c r="D490" s="261" t="s">
        <v>15584</v>
      </c>
      <c r="E490" s="261" t="s">
        <v>15585</v>
      </c>
      <c r="F490" s="261" t="s">
        <v>137</v>
      </c>
      <c r="G490" s="261"/>
      <c r="H490" s="261"/>
      <c r="I490" s="261" t="s">
        <v>1103</v>
      </c>
      <c r="J490" s="261" t="s">
        <v>15455</v>
      </c>
      <c r="K490" s="261"/>
      <c r="L490" s="261"/>
      <c r="M490" s="261"/>
      <c r="N490" s="261"/>
      <c r="O490" s="261"/>
      <c r="P490" s="261" t="s">
        <v>650</v>
      </c>
      <c r="Q490" s="261" t="s">
        <v>2974</v>
      </c>
      <c r="R490" s="261" t="str">
        <f t="shared" si="22"/>
        <v>(Water) Dragon Time +20%</v>
      </c>
      <c r="S490" s="330" t="str">
        <f t="shared" si="23"/>
        <v>(Water) Elemental Res +15%</v>
      </c>
      <c r="T490" t="s">
        <v>15476</v>
      </c>
    </row>
    <row r="491" spans="1:20" x14ac:dyDescent="0.2">
      <c r="A491" s="306" t="s">
        <v>15586</v>
      </c>
      <c r="B491" s="261" t="s">
        <v>15587</v>
      </c>
      <c r="C491" s="261" t="s">
        <v>137</v>
      </c>
      <c r="D491" s="261" t="s">
        <v>15588</v>
      </c>
      <c r="E491" s="261" t="str">
        <f>+F491</f>
        <v>Ruler of Immorality</v>
      </c>
      <c r="F491" s="261" t="s">
        <v>15589</v>
      </c>
      <c r="G491" s="261"/>
      <c r="H491" s="261"/>
      <c r="I491" s="261" t="s">
        <v>1947</v>
      </c>
      <c r="J491" s="261" t="s">
        <v>15455</v>
      </c>
      <c r="K491" s="261"/>
      <c r="L491" s="261"/>
      <c r="M491" s="261"/>
      <c r="N491" s="261"/>
      <c r="O491" s="261"/>
      <c r="P491" s="261" t="s">
        <v>6911</v>
      </c>
      <c r="Q491" s="261" t="s">
        <v>6552</v>
      </c>
      <c r="R491" s="261" t="str">
        <f t="shared" si="22"/>
        <v>(Wind) Strength +20%</v>
      </c>
      <c r="S491" s="330" t="str">
        <f t="shared" si="23"/>
        <v>(Wind) Attack Rate +20%</v>
      </c>
    </row>
    <row r="492" spans="1:20" x14ac:dyDescent="0.2">
      <c r="A492" s="306" t="s">
        <v>15590</v>
      </c>
      <c r="B492" s="261" t="s">
        <v>15591</v>
      </c>
      <c r="C492" s="261" t="s">
        <v>137</v>
      </c>
      <c r="D492" s="261" t="s">
        <v>15592</v>
      </c>
      <c r="E492" s="261" t="str">
        <f>+F492</f>
        <v>Corrupted Dragon</v>
      </c>
      <c r="F492" s="261" t="s">
        <v>15593</v>
      </c>
      <c r="G492" s="261"/>
      <c r="H492" s="261"/>
      <c r="I492" s="261" t="s">
        <v>1947</v>
      </c>
      <c r="J492" s="261" t="s">
        <v>15455</v>
      </c>
      <c r="K492" s="261"/>
      <c r="L492" s="261"/>
      <c r="M492" s="261"/>
      <c r="N492" s="261"/>
      <c r="O492" s="261"/>
      <c r="P492" s="261" t="s">
        <v>14920</v>
      </c>
      <c r="Q492" s="261" t="s">
        <v>316</v>
      </c>
      <c r="R492" s="261" t="str">
        <f t="shared" si="22"/>
        <v>(Wind) Debuff Skill Time +30%</v>
      </c>
      <c r="S492" s="330" t="str">
        <f t="shared" si="23"/>
        <v>(Wind) Skill Haste +10%</v>
      </c>
    </row>
    <row r="493" spans="1:20" x14ac:dyDescent="0.2">
      <c r="A493" s="306" t="s">
        <v>15594</v>
      </c>
      <c r="B493" s="261" t="s">
        <v>15595</v>
      </c>
      <c r="C493" s="261" t="s">
        <v>137</v>
      </c>
      <c r="D493" s="261" t="s">
        <v>15596</v>
      </c>
      <c r="E493" s="261" t="s">
        <v>15597</v>
      </c>
      <c r="F493" s="261" t="s">
        <v>137</v>
      </c>
      <c r="G493" s="261"/>
      <c r="H493" s="261"/>
      <c r="I493" s="261" t="s">
        <v>1947</v>
      </c>
      <c r="J493" s="261" t="s">
        <v>15455</v>
      </c>
      <c r="K493" s="261"/>
      <c r="L493" s="261"/>
      <c r="M493" s="261"/>
      <c r="N493" s="261"/>
      <c r="O493" s="261"/>
      <c r="P493" s="261" t="s">
        <v>7101</v>
      </c>
      <c r="Q493" s="261" t="s">
        <v>316</v>
      </c>
      <c r="R493" s="261" t="str">
        <f t="shared" si="22"/>
        <v>(Wind) Buff Skill Time +30%</v>
      </c>
      <c r="S493" s="330" t="str">
        <f t="shared" si="23"/>
        <v>(Wind) Skill Haste +10%</v>
      </c>
      <c r="T493" t="s">
        <v>15476</v>
      </c>
    </row>
    <row r="494" spans="1:20" x14ac:dyDescent="0.2">
      <c r="A494" s="306" t="s">
        <v>15598</v>
      </c>
      <c r="B494" s="261" t="s">
        <v>15599</v>
      </c>
      <c r="C494" s="261" t="s">
        <v>137</v>
      </c>
      <c r="D494" s="261" t="s">
        <v>15600</v>
      </c>
      <c r="E494" s="261" t="str">
        <f>+F494</f>
        <v>Princess of Mentzara</v>
      </c>
      <c r="F494" s="261" t="s">
        <v>15601</v>
      </c>
      <c r="G494" s="261"/>
      <c r="H494" s="261"/>
      <c r="I494" s="261" t="s">
        <v>1947</v>
      </c>
      <c r="J494" s="261" t="s">
        <v>15455</v>
      </c>
      <c r="K494" s="261"/>
      <c r="L494" s="261"/>
      <c r="M494" s="261"/>
      <c r="N494" s="261"/>
      <c r="O494" s="261"/>
      <c r="P494" s="261" t="s">
        <v>618</v>
      </c>
      <c r="Q494" s="261" t="s">
        <v>15035</v>
      </c>
      <c r="R494" s="261" t="str">
        <f t="shared" si="22"/>
        <v>(Wind) Defense +20%</v>
      </c>
      <c r="S494" s="330" t="str">
        <f t="shared" si="23"/>
        <v>(Wind) HP 70% = Shield +40%</v>
      </c>
    </row>
    <row r="495" spans="1:20" x14ac:dyDescent="0.2">
      <c r="A495" s="306" t="s">
        <v>15602</v>
      </c>
      <c r="B495" s="261" t="s">
        <v>15603</v>
      </c>
      <c r="C495" s="261" t="s">
        <v>137</v>
      </c>
      <c r="D495" s="261" t="s">
        <v>15604</v>
      </c>
      <c r="E495" s="261" t="s">
        <v>15605</v>
      </c>
      <c r="F495" s="261" t="s">
        <v>137</v>
      </c>
      <c r="G495" s="261"/>
      <c r="H495" s="261"/>
      <c r="I495" s="261" t="s">
        <v>1947</v>
      </c>
      <c r="J495" s="261" t="s">
        <v>15455</v>
      </c>
      <c r="K495" s="261"/>
      <c r="L495" s="261"/>
      <c r="M495" s="261"/>
      <c r="N495" s="261"/>
      <c r="O495" s="261"/>
      <c r="P495" s="261" t="s">
        <v>6893</v>
      </c>
      <c r="Q495" s="261" t="s">
        <v>316</v>
      </c>
      <c r="R495" s="261" t="str">
        <f t="shared" si="22"/>
        <v>(Wind) Skill Damage +40%</v>
      </c>
      <c r="S495" s="330" t="str">
        <f t="shared" si="23"/>
        <v>(Wind) Skill Haste +10%</v>
      </c>
      <c r="T495" t="s">
        <v>15476</v>
      </c>
    </row>
    <row r="496" spans="1:20" x14ac:dyDescent="0.2">
      <c r="A496" s="306" t="s">
        <v>15606</v>
      </c>
      <c r="B496" s="261" t="s">
        <v>15607</v>
      </c>
      <c r="C496" s="261" t="s">
        <v>137</v>
      </c>
      <c r="D496" s="261" t="s">
        <v>15608</v>
      </c>
      <c r="E496" s="261" t="str">
        <f>+F496</f>
        <v>Phares's Pactwyrm</v>
      </c>
      <c r="F496" s="261" t="s">
        <v>24287</v>
      </c>
      <c r="G496" s="261"/>
      <c r="H496" s="261"/>
      <c r="I496" s="261" t="s">
        <v>1947</v>
      </c>
      <c r="J496" s="261" t="s">
        <v>15455</v>
      </c>
      <c r="K496" s="261"/>
      <c r="L496" s="261"/>
      <c r="M496" s="261"/>
      <c r="N496" s="261"/>
      <c r="O496" s="261"/>
      <c r="P496" s="261" t="s">
        <v>6911</v>
      </c>
      <c r="Q496" s="261" t="s">
        <v>2974</v>
      </c>
      <c r="R496" s="261" t="str">
        <f t="shared" si="22"/>
        <v>(Wind) Strength +20%</v>
      </c>
      <c r="S496" s="330" t="str">
        <f t="shared" si="23"/>
        <v>(Wind) Elemental Res +15%</v>
      </c>
    </row>
    <row r="497" spans="1:20" x14ac:dyDescent="0.2">
      <c r="A497" s="306" t="s">
        <v>15609</v>
      </c>
      <c r="B497" s="261" t="s">
        <v>15610</v>
      </c>
      <c r="C497" s="261" t="s">
        <v>137</v>
      </c>
      <c r="D497" s="261" t="s">
        <v>15611</v>
      </c>
      <c r="E497" s="261" t="str">
        <f>+F497</f>
        <v>Auspex of the Nether</v>
      </c>
      <c r="F497" s="261" t="s">
        <v>15612</v>
      </c>
      <c r="G497" s="261"/>
      <c r="H497" s="261"/>
      <c r="I497" s="261" t="s">
        <v>15613</v>
      </c>
      <c r="J497" s="261" t="s">
        <v>15455</v>
      </c>
      <c r="K497" s="261"/>
      <c r="L497" s="261"/>
      <c r="M497" s="261"/>
      <c r="N497" s="261"/>
      <c r="O497" s="261"/>
      <c r="P497" s="261" t="s">
        <v>6989</v>
      </c>
      <c r="Q497" s="261" t="s">
        <v>6893</v>
      </c>
      <c r="R497" s="261" t="s">
        <v>6989</v>
      </c>
      <c r="S497" s="330" t="s">
        <v>6893</v>
      </c>
    </row>
    <row r="498" spans="1:20" x14ac:dyDescent="0.2">
      <c r="A498" s="306" t="s">
        <v>15614</v>
      </c>
      <c r="B498" s="261" t="s">
        <v>15615</v>
      </c>
      <c r="C498" s="261" t="s">
        <v>137</v>
      </c>
      <c r="D498" s="261" t="s">
        <v>15616</v>
      </c>
      <c r="E498" s="261" t="str">
        <f>+F498</f>
        <v>Sage-King</v>
      </c>
      <c r="F498" s="261" t="s">
        <v>15617</v>
      </c>
      <c r="G498" s="261"/>
      <c r="H498" s="261"/>
      <c r="I498" s="261" t="s">
        <v>15613</v>
      </c>
      <c r="J498" s="261" t="s">
        <v>15455</v>
      </c>
      <c r="K498" s="261"/>
      <c r="L498" s="261"/>
      <c r="M498" s="261"/>
      <c r="N498" s="261"/>
      <c r="O498" s="261"/>
      <c r="P498" s="261" t="s">
        <v>6989</v>
      </c>
      <c r="Q498" s="261" t="s">
        <v>6552</v>
      </c>
      <c r="R498" s="261" t="s">
        <v>6989</v>
      </c>
      <c r="S498" s="330" t="s">
        <v>6552</v>
      </c>
    </row>
    <row r="499" spans="1:20" x14ac:dyDescent="0.2">
      <c r="A499" s="306" t="s">
        <v>15618</v>
      </c>
      <c r="B499" s="261" t="s">
        <v>15619</v>
      </c>
      <c r="C499" s="261" t="s">
        <v>137</v>
      </c>
      <c r="D499" s="261" t="s">
        <v>15620</v>
      </c>
      <c r="E499" s="261" t="str">
        <f>+F499</f>
        <v>The Other</v>
      </c>
      <c r="F499" s="261" t="s">
        <v>15621</v>
      </c>
      <c r="G499" s="261"/>
      <c r="H499" s="261"/>
      <c r="I499" s="261" t="s">
        <v>15613</v>
      </c>
      <c r="J499" s="261" t="s">
        <v>15455</v>
      </c>
      <c r="K499" s="261"/>
      <c r="L499" s="261"/>
      <c r="M499" s="261"/>
      <c r="N499" s="261"/>
      <c r="O499" s="261"/>
      <c r="P499" s="261" t="s">
        <v>6989</v>
      </c>
      <c r="Q499" s="261" t="s">
        <v>6911</v>
      </c>
      <c r="R499" s="261" t="s">
        <v>6989</v>
      </c>
      <c r="S499" s="330" t="s">
        <v>6911</v>
      </c>
    </row>
    <row r="500" spans="1:20" x14ac:dyDescent="0.2">
      <c r="A500" s="306" t="s">
        <v>15622</v>
      </c>
      <c r="B500" s="261" t="s">
        <v>15623</v>
      </c>
      <c r="C500" s="261" t="s">
        <v>137</v>
      </c>
      <c r="D500" s="261" t="s">
        <v>15624</v>
      </c>
      <c r="E500" s="261" t="s">
        <v>15625</v>
      </c>
      <c r="F500" s="261" t="s">
        <v>137</v>
      </c>
      <c r="G500" s="261"/>
      <c r="H500" s="261"/>
      <c r="I500" s="261" t="s">
        <v>15613</v>
      </c>
      <c r="J500" s="261" t="s">
        <v>15455</v>
      </c>
      <c r="K500" s="261"/>
      <c r="L500" s="261"/>
      <c r="M500" s="261"/>
      <c r="N500" s="261"/>
      <c r="O500" s="261"/>
      <c r="P500" s="261" t="s">
        <v>15035</v>
      </c>
      <c r="Q500" s="261" t="s">
        <v>15626</v>
      </c>
      <c r="R500" s="261" t="s">
        <v>15035</v>
      </c>
      <c r="S500" s="330" t="s">
        <v>15626</v>
      </c>
      <c r="T500" t="s">
        <v>15476</v>
      </c>
    </row>
    <row r="501" spans="1:20" x14ac:dyDescent="0.2">
      <c r="A501" s="272" t="s">
        <v>15627</v>
      </c>
      <c r="B501" s="264" t="s">
        <v>15628</v>
      </c>
      <c r="C501" s="264" t="s">
        <v>137</v>
      </c>
      <c r="D501" s="264" t="s">
        <v>15629</v>
      </c>
      <c r="E501" s="264" t="str">
        <f>+F501</f>
        <v>Leader of the Mukoroshu</v>
      </c>
      <c r="F501" s="264" t="s">
        <v>15630</v>
      </c>
      <c r="G501" s="264"/>
      <c r="H501" s="264"/>
      <c r="I501" s="264" t="s">
        <v>15613</v>
      </c>
      <c r="J501" s="264" t="s">
        <v>15455</v>
      </c>
      <c r="K501" s="264"/>
      <c r="L501" s="264"/>
      <c r="M501" s="264"/>
      <c r="N501" s="264"/>
      <c r="O501" s="264"/>
      <c r="P501" s="264" t="s">
        <v>1950</v>
      </c>
      <c r="Q501" s="264" t="s">
        <v>2505</v>
      </c>
      <c r="R501" s="264" t="s">
        <v>1950</v>
      </c>
      <c r="S501" s="332" t="s">
        <v>2505</v>
      </c>
    </row>
    <row r="503" spans="1:20" x14ac:dyDescent="0.2">
      <c r="A503" s="267" t="s">
        <v>15631</v>
      </c>
      <c r="B503" s="268" t="s">
        <v>15632</v>
      </c>
      <c r="C503" s="268" t="s">
        <v>137</v>
      </c>
      <c r="D503" s="268" t="s">
        <v>15633</v>
      </c>
      <c r="E503" s="342" t="s">
        <v>137</v>
      </c>
    </row>
    <row r="504" spans="1:20" x14ac:dyDescent="0.2">
      <c r="A504" s="306" t="s">
        <v>15634</v>
      </c>
      <c r="B504" s="261" t="s">
        <v>15632</v>
      </c>
      <c r="C504" s="261" t="s">
        <v>137</v>
      </c>
      <c r="D504" s="261" t="s">
        <v>15635</v>
      </c>
      <c r="E504" s="330" t="s">
        <v>15636</v>
      </c>
    </row>
    <row r="505" spans="1:20" x14ac:dyDescent="0.2">
      <c r="A505" s="306" t="s">
        <v>15637</v>
      </c>
      <c r="B505" s="261" t="s">
        <v>15632</v>
      </c>
      <c r="C505" s="261" t="s">
        <v>137</v>
      </c>
      <c r="D505" s="261" t="s">
        <v>15638</v>
      </c>
      <c r="E505" s="330" t="s">
        <v>15639</v>
      </c>
    </row>
    <row r="506" spans="1:20" x14ac:dyDescent="0.2">
      <c r="A506" s="306" t="s">
        <v>15640</v>
      </c>
      <c r="B506" s="261" t="s">
        <v>15632</v>
      </c>
      <c r="C506" s="261" t="s">
        <v>137</v>
      </c>
      <c r="D506" s="261" t="s">
        <v>15641</v>
      </c>
      <c r="E506" s="330" t="s">
        <v>15642</v>
      </c>
    </row>
    <row r="507" spans="1:20" x14ac:dyDescent="0.2">
      <c r="A507" s="306" t="s">
        <v>15643</v>
      </c>
      <c r="B507" s="261" t="s">
        <v>15632</v>
      </c>
      <c r="C507" s="261" t="s">
        <v>137</v>
      </c>
      <c r="D507" s="261" t="s">
        <v>15644</v>
      </c>
      <c r="E507" s="330" t="s">
        <v>15645</v>
      </c>
    </row>
    <row r="508" spans="1:20" x14ac:dyDescent="0.2">
      <c r="A508" s="306" t="s">
        <v>15646</v>
      </c>
      <c r="B508" s="261" t="s">
        <v>15632</v>
      </c>
      <c r="C508" s="261" t="s">
        <v>137</v>
      </c>
      <c r="D508" s="261" t="s">
        <v>15647</v>
      </c>
      <c r="E508" s="330" t="s">
        <v>15648</v>
      </c>
    </row>
    <row r="509" spans="1:20" x14ac:dyDescent="0.2">
      <c r="A509" s="306" t="s">
        <v>15649</v>
      </c>
      <c r="B509" s="261" t="s">
        <v>15632</v>
      </c>
      <c r="C509" s="261" t="s">
        <v>137</v>
      </c>
      <c r="D509" s="261" t="s">
        <v>15650</v>
      </c>
      <c r="E509" s="330" t="s">
        <v>3160</v>
      </c>
    </row>
    <row r="510" spans="1:20" x14ac:dyDescent="0.2">
      <c r="A510" s="306" t="s">
        <v>15651</v>
      </c>
      <c r="B510" s="261" t="s">
        <v>15632</v>
      </c>
      <c r="C510" s="261" t="s">
        <v>137</v>
      </c>
      <c r="D510" s="261" t="s">
        <v>15652</v>
      </c>
      <c r="E510" s="330" t="s">
        <v>15653</v>
      </c>
    </row>
    <row r="511" spans="1:20" x14ac:dyDescent="0.2">
      <c r="A511" s="306" t="s">
        <v>15654</v>
      </c>
      <c r="B511" s="261" t="s">
        <v>15632</v>
      </c>
      <c r="C511" s="261" t="s">
        <v>137</v>
      </c>
      <c r="D511" s="261" t="s">
        <v>15655</v>
      </c>
      <c r="E511" s="330" t="s">
        <v>15656</v>
      </c>
    </row>
    <row r="512" spans="1:20" x14ac:dyDescent="0.2">
      <c r="A512" s="306" t="s">
        <v>15657</v>
      </c>
      <c r="B512" s="261" t="s">
        <v>15632</v>
      </c>
      <c r="C512" s="261" t="s">
        <v>137</v>
      </c>
      <c r="D512" s="261" t="s">
        <v>15658</v>
      </c>
      <c r="E512" s="330" t="s">
        <v>15659</v>
      </c>
    </row>
    <row r="513" spans="1:5" x14ac:dyDescent="0.2">
      <c r="A513" s="306" t="s">
        <v>15660</v>
      </c>
      <c r="B513" s="261" t="s">
        <v>15632</v>
      </c>
      <c r="C513" s="261" t="s">
        <v>137</v>
      </c>
      <c r="D513" s="261" t="s">
        <v>15661</v>
      </c>
      <c r="E513" s="330" t="s">
        <v>15621</v>
      </c>
    </row>
    <row r="514" spans="1:5" x14ac:dyDescent="0.2">
      <c r="A514" s="306" t="s">
        <v>15662</v>
      </c>
      <c r="B514" s="261" t="s">
        <v>15632</v>
      </c>
      <c r="C514" s="261" t="s">
        <v>137</v>
      </c>
      <c r="D514" s="261" t="s">
        <v>15663</v>
      </c>
      <c r="E514" s="330" t="s">
        <v>15664</v>
      </c>
    </row>
    <row r="515" spans="1:5" x14ac:dyDescent="0.2">
      <c r="A515" s="306" t="s">
        <v>15665</v>
      </c>
      <c r="B515" s="261" t="s">
        <v>15632</v>
      </c>
      <c r="C515" s="261" t="s">
        <v>137</v>
      </c>
      <c r="D515" s="261" t="s">
        <v>15666</v>
      </c>
      <c r="E515" s="330" t="s">
        <v>15667</v>
      </c>
    </row>
    <row r="516" spans="1:5" x14ac:dyDescent="0.2">
      <c r="A516" s="306" t="s">
        <v>15668</v>
      </c>
      <c r="B516" s="261" t="s">
        <v>15632</v>
      </c>
      <c r="C516" s="261" t="s">
        <v>137</v>
      </c>
      <c r="D516" s="261" t="s">
        <v>15669</v>
      </c>
      <c r="E516" s="330" t="s">
        <v>15670</v>
      </c>
    </row>
    <row r="517" spans="1:5" x14ac:dyDescent="0.2">
      <c r="A517" s="306" t="s">
        <v>15671</v>
      </c>
      <c r="B517" s="261" t="s">
        <v>15632</v>
      </c>
      <c r="C517" s="261" t="s">
        <v>137</v>
      </c>
      <c r="D517" s="261" t="s">
        <v>15672</v>
      </c>
      <c r="E517" s="330" t="str">
        <f>+F452</f>
        <v>The Other Michael</v>
      </c>
    </row>
    <row r="518" spans="1:5" x14ac:dyDescent="0.2">
      <c r="A518" s="306" t="s">
        <v>15673</v>
      </c>
      <c r="B518" s="261" t="s">
        <v>15632</v>
      </c>
      <c r="C518" s="261" t="s">
        <v>137</v>
      </c>
      <c r="D518" s="261" t="s">
        <v>15674</v>
      </c>
      <c r="E518" s="330" t="s">
        <v>137</v>
      </c>
    </row>
    <row r="519" spans="1:5" x14ac:dyDescent="0.2">
      <c r="A519" s="306" t="s">
        <v>15675</v>
      </c>
      <c r="B519" s="261" t="s">
        <v>15632</v>
      </c>
      <c r="C519" s="261" t="s">
        <v>137</v>
      </c>
      <c r="D519" s="261" t="s">
        <v>15676</v>
      </c>
      <c r="E519" s="330" t="s">
        <v>137</v>
      </c>
    </row>
    <row r="520" spans="1:5" x14ac:dyDescent="0.2">
      <c r="A520" s="306" t="s">
        <v>15677</v>
      </c>
      <c r="B520" s="261" t="s">
        <v>15632</v>
      </c>
      <c r="C520" s="261" t="s">
        <v>137</v>
      </c>
      <c r="D520" s="261" t="s">
        <v>8971</v>
      </c>
      <c r="E520" s="330" t="s">
        <v>137</v>
      </c>
    </row>
    <row r="521" spans="1:5" x14ac:dyDescent="0.2">
      <c r="A521" s="306" t="s">
        <v>15678</v>
      </c>
      <c r="B521" s="261" t="s">
        <v>15632</v>
      </c>
      <c r="C521" s="261" t="s">
        <v>137</v>
      </c>
      <c r="D521" s="261" t="s">
        <v>15679</v>
      </c>
      <c r="E521" s="330" t="s">
        <v>137</v>
      </c>
    </row>
    <row r="522" spans="1:5" x14ac:dyDescent="0.2">
      <c r="A522" s="306" t="s">
        <v>15680</v>
      </c>
      <c r="B522" s="261" t="s">
        <v>15632</v>
      </c>
      <c r="C522" s="261" t="s">
        <v>137</v>
      </c>
      <c r="D522" s="261" t="s">
        <v>15681</v>
      </c>
      <c r="E522" s="330" t="s">
        <v>15682</v>
      </c>
    </row>
    <row r="523" spans="1:5" x14ac:dyDescent="0.2">
      <c r="A523" s="306" t="s">
        <v>15683</v>
      </c>
      <c r="B523" s="261" t="s">
        <v>15632</v>
      </c>
      <c r="C523" s="261" t="s">
        <v>137</v>
      </c>
      <c r="D523" s="261" t="s">
        <v>15684</v>
      </c>
      <c r="E523" s="330" t="s">
        <v>137</v>
      </c>
    </row>
    <row r="524" spans="1:5" x14ac:dyDescent="0.2">
      <c r="A524" s="306" t="s">
        <v>15685</v>
      </c>
      <c r="B524" s="261" t="s">
        <v>15632</v>
      </c>
      <c r="C524" s="261" t="s">
        <v>137</v>
      </c>
      <c r="D524" s="261" t="s">
        <v>15686</v>
      </c>
      <c r="E524" s="330" t="s">
        <v>137</v>
      </c>
    </row>
    <row r="525" spans="1:5" x14ac:dyDescent="0.2">
      <c r="A525" s="306" t="s">
        <v>15687</v>
      </c>
      <c r="B525" s="261" t="s">
        <v>15632</v>
      </c>
      <c r="C525" s="261" t="s">
        <v>137</v>
      </c>
      <c r="D525" s="261" t="s">
        <v>15688</v>
      </c>
      <c r="E525" s="330" t="s">
        <v>137</v>
      </c>
    </row>
    <row r="526" spans="1:5" x14ac:dyDescent="0.2">
      <c r="A526" s="306" t="s">
        <v>15689</v>
      </c>
      <c r="B526" s="261" t="s">
        <v>15632</v>
      </c>
      <c r="C526" s="261" t="s">
        <v>137</v>
      </c>
      <c r="D526" s="261" t="s">
        <v>2628</v>
      </c>
      <c r="E526" s="330" t="s">
        <v>15690</v>
      </c>
    </row>
    <row r="527" spans="1:5" x14ac:dyDescent="0.2">
      <c r="A527" s="306" t="s">
        <v>15691</v>
      </c>
      <c r="B527" s="261" t="s">
        <v>15632</v>
      </c>
      <c r="C527" s="261" t="s">
        <v>137</v>
      </c>
      <c r="D527" s="261" t="s">
        <v>15692</v>
      </c>
      <c r="E527" s="330" t="s">
        <v>137</v>
      </c>
    </row>
    <row r="528" spans="1:5" x14ac:dyDescent="0.2">
      <c r="A528" s="306" t="s">
        <v>15693</v>
      </c>
      <c r="B528" s="261" t="s">
        <v>15632</v>
      </c>
      <c r="C528" s="261" t="s">
        <v>137</v>
      </c>
      <c r="D528" s="261" t="s">
        <v>15694</v>
      </c>
      <c r="E528" s="330" t="s">
        <v>137</v>
      </c>
    </row>
    <row r="529" spans="1:5" x14ac:dyDescent="0.2">
      <c r="A529" s="306" t="s">
        <v>15695</v>
      </c>
      <c r="B529" s="261" t="s">
        <v>15632</v>
      </c>
      <c r="C529" s="261" t="s">
        <v>137</v>
      </c>
      <c r="D529" s="261" t="s">
        <v>15696</v>
      </c>
      <c r="E529" s="330" t="s">
        <v>137</v>
      </c>
    </row>
    <row r="530" spans="1:5" x14ac:dyDescent="0.2">
      <c r="A530" s="306" t="s">
        <v>15697</v>
      </c>
      <c r="B530" s="261" t="s">
        <v>15632</v>
      </c>
      <c r="C530" s="261" t="s">
        <v>137</v>
      </c>
      <c r="D530" s="261" t="s">
        <v>15698</v>
      </c>
      <c r="E530" s="330" t="s">
        <v>137</v>
      </c>
    </row>
    <row r="531" spans="1:5" x14ac:dyDescent="0.2">
      <c r="A531" s="306" t="s">
        <v>15699</v>
      </c>
      <c r="B531" s="261" t="s">
        <v>15632</v>
      </c>
      <c r="C531" s="261" t="s">
        <v>137</v>
      </c>
      <c r="D531" s="261" t="s">
        <v>15700</v>
      </c>
      <c r="E531" s="330" t="s">
        <v>137</v>
      </c>
    </row>
    <row r="532" spans="1:5" x14ac:dyDescent="0.2">
      <c r="A532" s="306" t="s">
        <v>15701</v>
      </c>
      <c r="B532" s="261" t="s">
        <v>15632</v>
      </c>
      <c r="C532" s="261" t="s">
        <v>137</v>
      </c>
      <c r="D532" s="261" t="s">
        <v>15702</v>
      </c>
      <c r="E532" s="330" t="s">
        <v>137</v>
      </c>
    </row>
    <row r="533" spans="1:5" x14ac:dyDescent="0.2">
      <c r="A533" s="306" t="s">
        <v>15703</v>
      </c>
      <c r="B533" s="261" t="s">
        <v>15632</v>
      </c>
      <c r="C533" s="261" t="s">
        <v>137</v>
      </c>
      <c r="D533" s="261" t="s">
        <v>15704</v>
      </c>
      <c r="E533" s="330" t="s">
        <v>15705</v>
      </c>
    </row>
    <row r="534" spans="1:5" x14ac:dyDescent="0.2">
      <c r="A534" s="306" t="s">
        <v>15706</v>
      </c>
      <c r="B534" s="261" t="s">
        <v>15632</v>
      </c>
      <c r="C534" s="261" t="s">
        <v>137</v>
      </c>
      <c r="D534" s="261" t="s">
        <v>15707</v>
      </c>
      <c r="E534" s="330" t="s">
        <v>137</v>
      </c>
    </row>
    <row r="535" spans="1:5" x14ac:dyDescent="0.2">
      <c r="A535" s="306" t="s">
        <v>15708</v>
      </c>
      <c r="B535" s="261" t="s">
        <v>15632</v>
      </c>
      <c r="C535" s="261" t="s">
        <v>137</v>
      </c>
      <c r="D535" s="261" t="s">
        <v>15709</v>
      </c>
      <c r="E535" s="330" t="s">
        <v>137</v>
      </c>
    </row>
    <row r="536" spans="1:5" x14ac:dyDescent="0.2">
      <c r="A536" s="272" t="s">
        <v>15710</v>
      </c>
      <c r="B536" s="264" t="s">
        <v>15632</v>
      </c>
      <c r="C536" s="264" t="s">
        <v>137</v>
      </c>
      <c r="D536" s="264" t="s">
        <v>15711</v>
      </c>
      <c r="E536" s="332" t="s">
        <v>15712</v>
      </c>
    </row>
    <row r="538" spans="1:5" x14ac:dyDescent="0.2">
      <c r="A538" t="s">
        <v>15713</v>
      </c>
    </row>
  </sheetData>
  <autoFilter ref="B1:T501" xr:uid="{A10806EB-CB53-4E13-9326-9D4BFEA17360}">
    <sortState xmlns:xlrd2="http://schemas.microsoft.com/office/spreadsheetml/2017/richdata2" ref="B2:T501">
      <sortCondition ref="B1:B501"/>
    </sortState>
  </autoFilter>
  <sortState xmlns:xlrd2="http://schemas.microsoft.com/office/spreadsheetml/2017/richdata2" ref="A504:E536">
    <sortCondition ref="A503:A536"/>
  </sortState>
  <phoneticPr fontId="26" type="noConversion"/>
  <pageMargins left="0.2" right="0.2" top="0.43" bottom="0.2" header="0.3" footer="0.3"/>
  <pageSetup scale="61" fitToHeight="0" orientation="landscape" r:id="rId1"/>
  <headerFooter>
    <oddHeader xml:space="preserve">&amp;L&amp;"-,Bold"&amp;14Dragalia Lost V3 Re;Works Portrait Wyrmprints
</oddHeader>
  </headerFooter>
  <rowBreaks count="1" manualBreakCount="1">
    <brk id="502" max="16383" man="1"/>
  </rowBreak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1FC336-7C5C-417C-A741-17094EDF7D0F}">
  <sheetPr>
    <pageSetUpPr fitToPage="1"/>
  </sheetPr>
  <dimension ref="A1:C28"/>
  <sheetViews>
    <sheetView zoomScaleNormal="100" workbookViewId="0">
      <selection activeCell="A29" sqref="A29"/>
    </sheetView>
  </sheetViews>
  <sheetFormatPr defaultRowHeight="14.25" x14ac:dyDescent="0.2"/>
  <cols>
    <col min="1" max="1" width="7.875" bestFit="1" customWidth="1"/>
    <col min="2" max="2" width="28" bestFit="1" customWidth="1"/>
    <col min="3" max="3" width="100.625" bestFit="1" customWidth="1"/>
  </cols>
  <sheetData>
    <row r="1" spans="1:3" ht="18.75" x14ac:dyDescent="0.2">
      <c r="A1" s="247" t="s">
        <v>15714</v>
      </c>
    </row>
    <row r="2" spans="1:3" x14ac:dyDescent="0.2">
      <c r="A2" s="95" t="s">
        <v>4597</v>
      </c>
      <c r="B2" s="67" t="s">
        <v>15715</v>
      </c>
      <c r="C2" s="97" t="s">
        <v>15716</v>
      </c>
    </row>
    <row r="3" spans="1:3" ht="28.5" x14ac:dyDescent="0.2">
      <c r="A3" s="216">
        <v>1010150</v>
      </c>
      <c r="B3" s="224" t="s">
        <v>2620</v>
      </c>
      <c r="C3" s="173" t="s">
        <v>6543</v>
      </c>
    </row>
    <row r="4" spans="1:3" ht="28.5" x14ac:dyDescent="0.2">
      <c r="A4" s="217">
        <v>1070022</v>
      </c>
      <c r="B4" s="225" t="s">
        <v>6989</v>
      </c>
      <c r="C4" s="172" t="s">
        <v>6990</v>
      </c>
    </row>
    <row r="5" spans="1:3" x14ac:dyDescent="0.2">
      <c r="A5" s="218">
        <v>1020014</v>
      </c>
      <c r="B5" s="226" t="s">
        <v>6552</v>
      </c>
      <c r="C5" s="174" t="s">
        <v>6553</v>
      </c>
    </row>
    <row r="6" spans="1:3" x14ac:dyDescent="0.2">
      <c r="A6" s="218">
        <v>1010009</v>
      </c>
      <c r="B6" s="226" t="s">
        <v>909</v>
      </c>
      <c r="C6" s="174" t="s">
        <v>6112</v>
      </c>
    </row>
    <row r="7" spans="1:3" x14ac:dyDescent="0.2">
      <c r="A7" s="218">
        <v>1010006</v>
      </c>
      <c r="B7" s="226" t="s">
        <v>7101</v>
      </c>
      <c r="C7" s="174" t="s">
        <v>7102</v>
      </c>
    </row>
    <row r="8" spans="1:3" x14ac:dyDescent="0.2">
      <c r="A8" s="219">
        <v>1020036</v>
      </c>
      <c r="B8" s="7" t="s">
        <v>7129</v>
      </c>
      <c r="C8" s="170" t="s">
        <v>7130</v>
      </c>
    </row>
    <row r="9" spans="1:3" x14ac:dyDescent="0.2">
      <c r="A9" s="218">
        <v>1020011</v>
      </c>
      <c r="B9" s="226" t="s">
        <v>14997</v>
      </c>
      <c r="C9" s="174" t="s">
        <v>15717</v>
      </c>
    </row>
    <row r="10" spans="1:3" x14ac:dyDescent="0.2">
      <c r="A10" s="218">
        <v>1020010</v>
      </c>
      <c r="B10" s="226" t="s">
        <v>6601</v>
      </c>
      <c r="C10" s="174" t="s">
        <v>6602</v>
      </c>
    </row>
    <row r="11" spans="1:3" x14ac:dyDescent="0.2">
      <c r="A11" s="218">
        <v>1010051</v>
      </c>
      <c r="B11" s="226" t="s">
        <v>14920</v>
      </c>
      <c r="C11" s="174" t="s">
        <v>14921</v>
      </c>
    </row>
    <row r="12" spans="1:3" x14ac:dyDescent="0.2">
      <c r="A12" s="218">
        <v>1020003</v>
      </c>
      <c r="B12" s="226" t="s">
        <v>618</v>
      </c>
      <c r="C12" s="174" t="s">
        <v>15718</v>
      </c>
    </row>
    <row r="13" spans="1:3" x14ac:dyDescent="0.2">
      <c r="A13" s="218">
        <v>1020002</v>
      </c>
      <c r="B13" s="226" t="s">
        <v>7254</v>
      </c>
      <c r="C13" s="174" t="s">
        <v>7255</v>
      </c>
    </row>
    <row r="14" spans="1:3" x14ac:dyDescent="0.2">
      <c r="A14" s="218">
        <v>1020005</v>
      </c>
      <c r="B14" s="226" t="s">
        <v>126</v>
      </c>
      <c r="C14" s="174" t="s">
        <v>15719</v>
      </c>
    </row>
    <row r="15" spans="1:3" x14ac:dyDescent="0.2">
      <c r="A15" s="218">
        <v>1010003</v>
      </c>
      <c r="B15" s="226" t="s">
        <v>650</v>
      </c>
      <c r="C15" s="174" t="s">
        <v>7276</v>
      </c>
    </row>
    <row r="16" spans="1:3" x14ac:dyDescent="0.2">
      <c r="A16" s="218">
        <v>1010075</v>
      </c>
      <c r="B16" s="226" t="s">
        <v>2974</v>
      </c>
      <c r="C16" s="174" t="s">
        <v>6179</v>
      </c>
    </row>
    <row r="17" spans="1:3" x14ac:dyDescent="0.2">
      <c r="A17" s="218">
        <v>1010001</v>
      </c>
      <c r="B17" s="226" t="s">
        <v>336</v>
      </c>
      <c r="C17" s="174" t="s">
        <v>6220</v>
      </c>
    </row>
    <row r="18" spans="1:3" x14ac:dyDescent="0.2">
      <c r="A18" s="218">
        <v>1020001</v>
      </c>
      <c r="B18" s="226" t="s">
        <v>682</v>
      </c>
      <c r="C18" s="174" t="s">
        <v>15720</v>
      </c>
    </row>
    <row r="19" spans="1:3" ht="28.5" x14ac:dyDescent="0.2">
      <c r="A19" s="218">
        <v>1020022</v>
      </c>
      <c r="B19" s="226" t="s">
        <v>15626</v>
      </c>
      <c r="C19" s="174" t="s">
        <v>15721</v>
      </c>
    </row>
    <row r="20" spans="1:3" ht="28.5" x14ac:dyDescent="0.2">
      <c r="A20" s="218">
        <v>1020022</v>
      </c>
      <c r="B20" s="226" t="s">
        <v>15035</v>
      </c>
      <c r="C20" s="174" t="s">
        <v>15722</v>
      </c>
    </row>
    <row r="21" spans="1:3" x14ac:dyDescent="0.2">
      <c r="A21" s="218">
        <v>1010010</v>
      </c>
      <c r="B21" s="226" t="s">
        <v>417</v>
      </c>
      <c r="C21" s="174" t="s">
        <v>6336</v>
      </c>
    </row>
    <row r="22" spans="1:3" x14ac:dyDescent="0.2">
      <c r="A22" s="218">
        <v>1020009</v>
      </c>
      <c r="B22" s="226" t="s">
        <v>970</v>
      </c>
      <c r="C22" s="174" t="s">
        <v>6852</v>
      </c>
    </row>
    <row r="23" spans="1:3" x14ac:dyDescent="0.2">
      <c r="A23" s="218">
        <v>1010117</v>
      </c>
      <c r="B23" s="226" t="s">
        <v>2505</v>
      </c>
      <c r="C23" s="174" t="s">
        <v>6435</v>
      </c>
    </row>
    <row r="24" spans="1:3" x14ac:dyDescent="0.2">
      <c r="A24" s="218">
        <v>1020032</v>
      </c>
      <c r="B24" s="226" t="s">
        <v>1950</v>
      </c>
      <c r="C24" s="174" t="s">
        <v>15723</v>
      </c>
    </row>
    <row r="25" spans="1:3" x14ac:dyDescent="0.2">
      <c r="A25" s="218">
        <v>1020002</v>
      </c>
      <c r="B25" s="226" t="s">
        <v>6893</v>
      </c>
      <c r="C25" s="174" t="s">
        <v>15724</v>
      </c>
    </row>
    <row r="26" spans="1:3" x14ac:dyDescent="0.2">
      <c r="A26" s="218">
        <v>1020004</v>
      </c>
      <c r="B26" s="226" t="s">
        <v>316</v>
      </c>
      <c r="C26" s="174" t="s">
        <v>6444</v>
      </c>
    </row>
    <row r="27" spans="1:3" x14ac:dyDescent="0.2">
      <c r="A27" s="218">
        <v>1010007</v>
      </c>
      <c r="B27" s="226" t="s">
        <v>1591</v>
      </c>
      <c r="C27" s="174" t="s">
        <v>6451</v>
      </c>
    </row>
    <row r="28" spans="1:3" x14ac:dyDescent="0.2">
      <c r="A28" s="227">
        <v>1020002</v>
      </c>
      <c r="B28" s="228" t="s">
        <v>6911</v>
      </c>
      <c r="C28" s="171" t="s">
        <v>6912</v>
      </c>
    </row>
  </sheetData>
  <sortState xmlns:xlrd2="http://schemas.microsoft.com/office/spreadsheetml/2017/richdata2" ref="B3:B1002">
    <sortCondition ref="B467:B1002"/>
  </sortState>
  <pageMargins left="0.25" right="0.25" top="0.5" bottom="0.75" header="0.3" footer="0.3"/>
  <pageSetup scale="90" fitToHeight="0" orientation="landscape"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F5E8EE-1FEC-4D59-BFAB-11A05FADC304}">
  <sheetPr>
    <outlinePr summaryBelow="0" summaryRight="0"/>
  </sheetPr>
  <dimension ref="A1:W516"/>
  <sheetViews>
    <sheetView zoomScaleNormal="100" workbookViewId="0">
      <selection activeCell="B2" sqref="B2"/>
    </sheetView>
  </sheetViews>
  <sheetFormatPr defaultColWidth="12.625" defaultRowHeight="14.25" x14ac:dyDescent="0.2"/>
  <cols>
    <col min="1" max="1" width="5.625" bestFit="1" customWidth="1"/>
    <col min="2" max="2" width="25.5" customWidth="1"/>
    <col min="3" max="3" width="3.125" bestFit="1" customWidth="1"/>
    <col min="4" max="4" width="6.375" bestFit="1" customWidth="1"/>
    <col min="5" max="5" width="6" bestFit="1" customWidth="1"/>
    <col min="6" max="6" width="22.875" bestFit="1" customWidth="1"/>
    <col min="7" max="7" width="9" bestFit="1" customWidth="1"/>
    <col min="8" max="8" width="21.875" bestFit="1" customWidth="1"/>
    <col min="9" max="9" width="25.375" bestFit="1" customWidth="1"/>
    <col min="10" max="10" width="4.5" customWidth="1"/>
    <col min="11" max="11" width="7" bestFit="1" customWidth="1"/>
    <col min="12" max="13" width="7.25" style="59" bestFit="1" customWidth="1"/>
    <col min="14" max="14" width="9" style="59" bestFit="1" customWidth="1"/>
    <col min="15" max="15" width="11.375" bestFit="1" customWidth="1"/>
  </cols>
  <sheetData>
    <row r="1" spans="1:23" x14ac:dyDescent="0.2">
      <c r="A1" s="257" t="s">
        <v>88</v>
      </c>
      <c r="B1" s="258" t="s">
        <v>15725</v>
      </c>
      <c r="C1" s="258" t="s">
        <v>15726</v>
      </c>
      <c r="D1" s="258" t="s">
        <v>15727</v>
      </c>
      <c r="E1" s="258" t="s">
        <v>15728</v>
      </c>
      <c r="F1" s="258" t="s">
        <v>15729</v>
      </c>
      <c r="G1" s="258" t="s">
        <v>10266</v>
      </c>
      <c r="H1" s="258" t="s">
        <v>15730</v>
      </c>
      <c r="I1" s="258" t="s">
        <v>90</v>
      </c>
      <c r="J1" s="258" t="s">
        <v>91</v>
      </c>
      <c r="K1" s="258" t="s">
        <v>23</v>
      </c>
      <c r="L1" s="258" t="s">
        <v>15731</v>
      </c>
      <c r="M1" s="258" t="s">
        <v>15732</v>
      </c>
      <c r="N1" s="258" t="s">
        <v>15733</v>
      </c>
      <c r="O1" s="67" t="s">
        <v>13718</v>
      </c>
      <c r="P1" s="67" t="s">
        <v>15734</v>
      </c>
      <c r="Q1" s="67" t="s">
        <v>15735</v>
      </c>
      <c r="R1" s="67" t="s">
        <v>15736</v>
      </c>
      <c r="S1" s="97" t="s">
        <v>15737</v>
      </c>
      <c r="T1" s="1"/>
      <c r="U1" s="1"/>
      <c r="V1" s="1"/>
      <c r="W1" s="1"/>
    </row>
    <row r="2" spans="1:23" x14ac:dyDescent="0.2">
      <c r="A2" t="s">
        <v>15738</v>
      </c>
      <c r="B2" s="79" t="s">
        <v>15739</v>
      </c>
      <c r="C2" s="101" t="s">
        <v>15740</v>
      </c>
      <c r="D2" s="79">
        <v>1</v>
      </c>
      <c r="E2" s="100">
        <v>0</v>
      </c>
      <c r="F2" s="79" t="s">
        <v>15741</v>
      </c>
      <c r="G2" s="100" t="s">
        <v>15742</v>
      </c>
      <c r="H2" s="100" t="str">
        <f t="shared" ref="H2:H65" si="0">+"CH "&amp;C2&amp;"-"&amp;D2&amp;"-"&amp;E2&amp;" "&amp;G2</f>
        <v>CH 01-1-0 Story</v>
      </c>
      <c r="I2" s="100" t="s">
        <v>15743</v>
      </c>
      <c r="J2" s="108" t="s">
        <v>15744</v>
      </c>
      <c r="L2"/>
      <c r="M2"/>
      <c r="N2"/>
    </row>
    <row r="3" spans="1:23" x14ac:dyDescent="0.2">
      <c r="A3" t="s">
        <v>15745</v>
      </c>
      <c r="B3" s="79" t="s">
        <v>15739</v>
      </c>
      <c r="C3" s="101" t="s">
        <v>15740</v>
      </c>
      <c r="D3" s="79">
        <v>1</v>
      </c>
      <c r="E3" s="100">
        <v>1</v>
      </c>
      <c r="F3" s="79" t="s">
        <v>15741</v>
      </c>
      <c r="G3" s="100" t="s">
        <v>15742</v>
      </c>
      <c r="H3" s="100" t="str">
        <f t="shared" si="0"/>
        <v>CH 01-1-1 Story</v>
      </c>
      <c r="I3" s="100" t="s">
        <v>15746</v>
      </c>
      <c r="J3" s="108" t="s">
        <v>15747</v>
      </c>
      <c r="L3"/>
      <c r="M3"/>
      <c r="N3"/>
    </row>
    <row r="4" spans="1:23" x14ac:dyDescent="0.2">
      <c r="A4" t="s">
        <v>15748</v>
      </c>
      <c r="B4" s="79" t="s">
        <v>15739</v>
      </c>
      <c r="C4" s="101" t="s">
        <v>15740</v>
      </c>
      <c r="D4" s="79">
        <v>1</v>
      </c>
      <c r="E4" s="100">
        <v>2</v>
      </c>
      <c r="F4" s="79" t="s">
        <v>15741</v>
      </c>
      <c r="G4" s="100" t="s">
        <v>15749</v>
      </c>
      <c r="H4" s="100" t="str">
        <f t="shared" si="0"/>
        <v>CH 01-1-2 Hybrid</v>
      </c>
      <c r="I4" s="100" t="s">
        <v>15750</v>
      </c>
      <c r="J4" s="108" t="s">
        <v>15751</v>
      </c>
      <c r="K4" s="100" t="s">
        <v>1947</v>
      </c>
      <c r="L4" s="59">
        <v>500</v>
      </c>
      <c r="M4" s="59">
        <v>4200</v>
      </c>
      <c r="N4" s="59">
        <v>15000</v>
      </c>
      <c r="P4" t="s">
        <v>15752</v>
      </c>
      <c r="Q4" t="s">
        <v>15753</v>
      </c>
      <c r="R4" t="s">
        <v>15754</v>
      </c>
    </row>
    <row r="5" spans="1:23" x14ac:dyDescent="0.2">
      <c r="A5" t="s">
        <v>15755</v>
      </c>
      <c r="B5" s="79" t="s">
        <v>15739</v>
      </c>
      <c r="C5" s="101" t="s">
        <v>15740</v>
      </c>
      <c r="D5" s="79">
        <v>1</v>
      </c>
      <c r="E5" s="100">
        <v>3</v>
      </c>
      <c r="F5" s="79" t="s">
        <v>15741</v>
      </c>
      <c r="G5" s="100" t="s">
        <v>15742</v>
      </c>
      <c r="H5" s="100" t="str">
        <f t="shared" si="0"/>
        <v>CH 01-1-3 Story</v>
      </c>
      <c r="I5" s="100" t="s">
        <v>15756</v>
      </c>
      <c r="J5" s="108" t="s">
        <v>15757</v>
      </c>
      <c r="L5"/>
      <c r="M5"/>
      <c r="N5"/>
    </row>
    <row r="6" spans="1:23" x14ac:dyDescent="0.2">
      <c r="A6" t="s">
        <v>15758</v>
      </c>
      <c r="B6" s="79" t="s">
        <v>15739</v>
      </c>
      <c r="C6" s="101" t="s">
        <v>15740</v>
      </c>
      <c r="D6" s="79">
        <v>2</v>
      </c>
      <c r="E6" s="100">
        <v>1</v>
      </c>
      <c r="F6" s="79" t="s">
        <v>15759</v>
      </c>
      <c r="G6" s="100" t="s">
        <v>15742</v>
      </c>
      <c r="H6" s="100" t="str">
        <f t="shared" si="0"/>
        <v>CH 01-2-1 Story</v>
      </c>
      <c r="I6" s="100" t="s">
        <v>15760</v>
      </c>
      <c r="J6" s="108" t="s">
        <v>15761</v>
      </c>
      <c r="L6"/>
      <c r="M6"/>
      <c r="N6"/>
    </row>
    <row r="7" spans="1:23" x14ac:dyDescent="0.2">
      <c r="A7" t="s">
        <v>15762</v>
      </c>
      <c r="B7" s="79" t="s">
        <v>15739</v>
      </c>
      <c r="C7" s="101" t="s">
        <v>15740</v>
      </c>
      <c r="D7" s="79">
        <v>2</v>
      </c>
      <c r="E7" s="100">
        <v>2</v>
      </c>
      <c r="F7" s="79" t="s">
        <v>15759</v>
      </c>
      <c r="G7" s="100" t="s">
        <v>15749</v>
      </c>
      <c r="H7" s="100" t="str">
        <f t="shared" si="0"/>
        <v>CH 01-2-2 Hybrid</v>
      </c>
      <c r="I7" s="100" t="s">
        <v>15763</v>
      </c>
      <c r="J7" s="108" t="s">
        <v>15764</v>
      </c>
      <c r="K7" s="100" t="s">
        <v>1947</v>
      </c>
      <c r="L7" s="59">
        <v>1000</v>
      </c>
      <c r="M7" s="59">
        <v>4300</v>
      </c>
      <c r="N7" s="59">
        <v>15000</v>
      </c>
      <c r="P7" t="s">
        <v>15752</v>
      </c>
      <c r="Q7" t="s">
        <v>15753</v>
      </c>
      <c r="R7" t="s">
        <v>15754</v>
      </c>
    </row>
    <row r="8" spans="1:23" x14ac:dyDescent="0.2">
      <c r="A8" t="s">
        <v>15765</v>
      </c>
      <c r="B8" s="79" t="s">
        <v>15739</v>
      </c>
      <c r="C8" s="101" t="s">
        <v>15740</v>
      </c>
      <c r="D8" s="79">
        <v>2</v>
      </c>
      <c r="E8" s="100">
        <v>3</v>
      </c>
      <c r="F8" s="79" t="s">
        <v>15759</v>
      </c>
      <c r="G8" s="100" t="s">
        <v>15742</v>
      </c>
      <c r="H8" s="100" t="str">
        <f t="shared" si="0"/>
        <v>CH 01-2-3 Story</v>
      </c>
      <c r="I8" s="100" t="s">
        <v>15766</v>
      </c>
      <c r="J8" s="108" t="s">
        <v>15767</v>
      </c>
      <c r="L8"/>
      <c r="M8"/>
      <c r="N8"/>
    </row>
    <row r="9" spans="1:23" x14ac:dyDescent="0.2">
      <c r="A9" t="s">
        <v>15768</v>
      </c>
      <c r="B9" s="79" t="s">
        <v>15739</v>
      </c>
      <c r="C9" s="101" t="s">
        <v>15740</v>
      </c>
      <c r="D9" s="79">
        <v>3</v>
      </c>
      <c r="E9" s="100">
        <v>1</v>
      </c>
      <c r="F9" s="79" t="s">
        <v>15769</v>
      </c>
      <c r="G9" s="100" t="s">
        <v>15770</v>
      </c>
      <c r="H9" s="100" t="str">
        <f t="shared" si="0"/>
        <v>CH 01-3-1 Gameplay</v>
      </c>
      <c r="I9" s="100" t="s">
        <v>15771</v>
      </c>
      <c r="J9" s="108" t="s">
        <v>15772</v>
      </c>
      <c r="K9" s="100" t="s">
        <v>1947</v>
      </c>
      <c r="L9" s="59">
        <v>1400</v>
      </c>
      <c r="M9" s="59">
        <v>4400</v>
      </c>
      <c r="N9" s="59">
        <v>15000</v>
      </c>
      <c r="P9" t="s">
        <v>15752</v>
      </c>
      <c r="Q9" t="s">
        <v>15753</v>
      </c>
      <c r="R9" t="s">
        <v>15754</v>
      </c>
    </row>
    <row r="10" spans="1:23" x14ac:dyDescent="0.2">
      <c r="A10" t="s">
        <v>15773</v>
      </c>
      <c r="B10" s="79" t="s">
        <v>15739</v>
      </c>
      <c r="C10" s="101" t="s">
        <v>15740</v>
      </c>
      <c r="D10" s="79">
        <v>3</v>
      </c>
      <c r="E10" s="100">
        <v>2</v>
      </c>
      <c r="F10" s="79" t="s">
        <v>15769</v>
      </c>
      <c r="G10" s="100" t="s">
        <v>15742</v>
      </c>
      <c r="H10" s="100" t="str">
        <f t="shared" si="0"/>
        <v>CH 01-3-2 Story</v>
      </c>
      <c r="I10" s="100" t="s">
        <v>15774</v>
      </c>
      <c r="J10" s="108" t="s">
        <v>15775</v>
      </c>
      <c r="L10"/>
      <c r="M10"/>
      <c r="N10"/>
    </row>
    <row r="11" spans="1:23" x14ac:dyDescent="0.2">
      <c r="A11" t="s">
        <v>15776</v>
      </c>
      <c r="B11" s="79" t="s">
        <v>15739</v>
      </c>
      <c r="C11" s="101" t="s">
        <v>15740</v>
      </c>
      <c r="D11" s="79">
        <v>3</v>
      </c>
      <c r="E11" s="100">
        <v>3</v>
      </c>
      <c r="F11" s="79" t="s">
        <v>15769</v>
      </c>
      <c r="G11" s="100" t="s">
        <v>15749</v>
      </c>
      <c r="H11" s="100" t="str">
        <f t="shared" si="0"/>
        <v>CH 01-3-3 Hybrid</v>
      </c>
      <c r="I11" s="100" t="s">
        <v>15777</v>
      </c>
      <c r="J11" s="108" t="s">
        <v>15778</v>
      </c>
      <c r="K11" s="100" t="s">
        <v>1947</v>
      </c>
      <c r="L11" s="59">
        <v>1700</v>
      </c>
      <c r="M11" s="59">
        <v>5000</v>
      </c>
      <c r="N11" s="59">
        <v>15000</v>
      </c>
      <c r="P11" t="s">
        <v>15752</v>
      </c>
      <c r="Q11" t="s">
        <v>15753</v>
      </c>
      <c r="R11" t="s">
        <v>15754</v>
      </c>
    </row>
    <row r="12" spans="1:23" x14ac:dyDescent="0.2">
      <c r="A12" t="s">
        <v>15779</v>
      </c>
      <c r="B12" s="79" t="s">
        <v>15739</v>
      </c>
      <c r="C12" s="101" t="s">
        <v>15740</v>
      </c>
      <c r="D12" s="79">
        <v>3</v>
      </c>
      <c r="E12" s="100">
        <v>4</v>
      </c>
      <c r="F12" s="79" t="s">
        <v>15769</v>
      </c>
      <c r="G12" s="100" t="s">
        <v>15742</v>
      </c>
      <c r="H12" s="100" t="str">
        <f t="shared" si="0"/>
        <v>CH 01-3-4 Story</v>
      </c>
      <c r="I12" s="100" t="s">
        <v>15780</v>
      </c>
      <c r="J12" s="108" t="s">
        <v>15781</v>
      </c>
      <c r="L12"/>
      <c r="M12"/>
      <c r="N12"/>
    </row>
    <row r="13" spans="1:23" x14ac:dyDescent="0.2">
      <c r="A13" t="s">
        <v>15782</v>
      </c>
      <c r="B13" s="79" t="s">
        <v>15739</v>
      </c>
      <c r="C13" s="101" t="s">
        <v>15740</v>
      </c>
      <c r="D13" s="79">
        <v>4</v>
      </c>
      <c r="E13" s="100">
        <v>1</v>
      </c>
      <c r="F13" s="79" t="s">
        <v>15783</v>
      </c>
      <c r="G13" s="100" t="s">
        <v>15770</v>
      </c>
      <c r="H13" s="100" t="str">
        <f t="shared" si="0"/>
        <v>CH 01-4-1 Gameplay</v>
      </c>
      <c r="I13" s="100" t="s">
        <v>15784</v>
      </c>
      <c r="J13" s="108" t="s">
        <v>15785</v>
      </c>
      <c r="K13" s="100" t="s">
        <v>1947</v>
      </c>
      <c r="L13" s="59">
        <v>1750</v>
      </c>
      <c r="M13" s="59">
        <v>4600</v>
      </c>
      <c r="N13" s="59">
        <v>15000</v>
      </c>
      <c r="P13" t="s">
        <v>15752</v>
      </c>
      <c r="Q13" t="s">
        <v>15753</v>
      </c>
      <c r="R13" t="s">
        <v>15754</v>
      </c>
    </row>
    <row r="14" spans="1:23" x14ac:dyDescent="0.2">
      <c r="A14" t="s">
        <v>15786</v>
      </c>
      <c r="B14" s="79" t="s">
        <v>15739</v>
      </c>
      <c r="C14" s="101" t="s">
        <v>15740</v>
      </c>
      <c r="D14" s="79">
        <v>4</v>
      </c>
      <c r="E14" s="100">
        <v>2</v>
      </c>
      <c r="F14" s="79" t="s">
        <v>15783</v>
      </c>
      <c r="G14" s="100" t="s">
        <v>15770</v>
      </c>
      <c r="H14" s="100" t="str">
        <f t="shared" si="0"/>
        <v>CH 01-4-2 Gameplay</v>
      </c>
      <c r="I14" s="100" t="s">
        <v>15787</v>
      </c>
      <c r="J14" s="108" t="s">
        <v>15788</v>
      </c>
      <c r="K14" s="100" t="s">
        <v>1947</v>
      </c>
      <c r="L14" s="59">
        <v>1800</v>
      </c>
      <c r="M14" s="59">
        <v>4700</v>
      </c>
      <c r="N14" s="59">
        <v>15000</v>
      </c>
      <c r="P14" t="s">
        <v>15752</v>
      </c>
      <c r="Q14" t="s">
        <v>15753</v>
      </c>
      <c r="R14" t="s">
        <v>15754</v>
      </c>
    </row>
    <row r="15" spans="1:23" x14ac:dyDescent="0.2">
      <c r="A15" t="s">
        <v>15789</v>
      </c>
      <c r="B15" s="79" t="s">
        <v>15739</v>
      </c>
      <c r="C15" s="101" t="s">
        <v>15740</v>
      </c>
      <c r="D15" s="79">
        <v>4</v>
      </c>
      <c r="E15" s="100">
        <v>3</v>
      </c>
      <c r="F15" s="79" t="s">
        <v>15783</v>
      </c>
      <c r="G15" s="100" t="s">
        <v>15742</v>
      </c>
      <c r="H15" s="100" t="str">
        <f t="shared" si="0"/>
        <v>CH 01-4-3 Story</v>
      </c>
      <c r="I15" s="100" t="s">
        <v>15790</v>
      </c>
      <c r="J15" s="108" t="s">
        <v>15791</v>
      </c>
      <c r="L15"/>
      <c r="M15"/>
      <c r="N15"/>
    </row>
    <row r="16" spans="1:23" x14ac:dyDescent="0.2">
      <c r="A16" t="s">
        <v>15792</v>
      </c>
      <c r="B16" s="79" t="s">
        <v>15739</v>
      </c>
      <c r="C16" s="101" t="s">
        <v>15740</v>
      </c>
      <c r="D16" s="79">
        <v>4</v>
      </c>
      <c r="E16" s="100">
        <v>4</v>
      </c>
      <c r="F16" s="79" t="s">
        <v>15783</v>
      </c>
      <c r="G16" s="100" t="s">
        <v>15770</v>
      </c>
      <c r="H16" s="100" t="str">
        <f t="shared" si="0"/>
        <v>CH 01-4-4 Gameplay</v>
      </c>
      <c r="I16" s="100" t="s">
        <v>15793</v>
      </c>
      <c r="J16" s="108" t="s">
        <v>15794</v>
      </c>
      <c r="K16" s="100" t="s">
        <v>1947</v>
      </c>
      <c r="L16" s="59">
        <v>1850</v>
      </c>
      <c r="M16" s="59">
        <v>4800</v>
      </c>
      <c r="N16" s="59">
        <v>15000</v>
      </c>
      <c r="P16" t="s">
        <v>15752</v>
      </c>
      <c r="Q16" t="s">
        <v>15753</v>
      </c>
      <c r="R16" t="s">
        <v>15754</v>
      </c>
    </row>
    <row r="17" spans="1:18" x14ac:dyDescent="0.2">
      <c r="A17" t="s">
        <v>15795</v>
      </c>
      <c r="B17" s="79" t="s">
        <v>15739</v>
      </c>
      <c r="C17" s="101" t="s">
        <v>15740</v>
      </c>
      <c r="D17" s="79">
        <v>4</v>
      </c>
      <c r="E17" s="100">
        <v>5</v>
      </c>
      <c r="F17" s="79" t="s">
        <v>15783</v>
      </c>
      <c r="G17" s="100" t="s">
        <v>15770</v>
      </c>
      <c r="H17" s="100" t="str">
        <f t="shared" si="0"/>
        <v>CH 01-4-5 Gameplay</v>
      </c>
      <c r="I17" s="100" t="s">
        <v>15796</v>
      </c>
      <c r="J17" s="108" t="s">
        <v>15797</v>
      </c>
      <c r="K17" s="100" t="s">
        <v>1947</v>
      </c>
      <c r="L17" s="59">
        <v>1900</v>
      </c>
      <c r="M17" s="59">
        <v>4900</v>
      </c>
      <c r="N17" s="59">
        <v>15000</v>
      </c>
      <c r="P17" t="s">
        <v>15752</v>
      </c>
      <c r="Q17" t="s">
        <v>15753</v>
      </c>
      <c r="R17" t="s">
        <v>15754</v>
      </c>
    </row>
    <row r="18" spans="1:18" x14ac:dyDescent="0.2">
      <c r="A18" t="s">
        <v>15798</v>
      </c>
      <c r="B18" s="79" t="s">
        <v>15739</v>
      </c>
      <c r="C18" s="101" t="s">
        <v>15740</v>
      </c>
      <c r="D18" s="79">
        <v>4</v>
      </c>
      <c r="E18" s="100">
        <v>6</v>
      </c>
      <c r="F18" s="79" t="s">
        <v>15783</v>
      </c>
      <c r="G18" s="100" t="s">
        <v>15742</v>
      </c>
      <c r="H18" s="100" t="str">
        <f t="shared" si="0"/>
        <v>CH 01-4-6 Story</v>
      </c>
      <c r="I18" s="100" t="s">
        <v>15799</v>
      </c>
      <c r="J18" s="108" t="s">
        <v>15800</v>
      </c>
      <c r="L18"/>
      <c r="M18"/>
      <c r="N18"/>
    </row>
    <row r="19" spans="1:18" x14ac:dyDescent="0.2">
      <c r="A19" t="s">
        <v>15801</v>
      </c>
      <c r="B19" s="79" t="s">
        <v>15802</v>
      </c>
      <c r="C19" s="101" t="s">
        <v>15803</v>
      </c>
      <c r="D19" s="79">
        <v>1</v>
      </c>
      <c r="E19" s="100">
        <v>1</v>
      </c>
      <c r="F19" s="79" t="s">
        <v>15804</v>
      </c>
      <c r="G19" s="100" t="s">
        <v>15742</v>
      </c>
      <c r="H19" s="100" t="str">
        <f t="shared" si="0"/>
        <v>CH 02-1-1 Story</v>
      </c>
      <c r="I19" s="100" t="s">
        <v>15805</v>
      </c>
      <c r="J19" s="108" t="s">
        <v>15806</v>
      </c>
      <c r="L19"/>
      <c r="M19"/>
      <c r="N19"/>
    </row>
    <row r="20" spans="1:18" x14ac:dyDescent="0.2">
      <c r="A20" t="s">
        <v>15807</v>
      </c>
      <c r="B20" s="79" t="s">
        <v>15802</v>
      </c>
      <c r="C20" s="101" t="s">
        <v>15803</v>
      </c>
      <c r="D20" s="79">
        <v>1</v>
      </c>
      <c r="E20" s="100">
        <v>2</v>
      </c>
      <c r="F20" s="79" t="s">
        <v>15804</v>
      </c>
      <c r="G20" s="100" t="s">
        <v>15770</v>
      </c>
      <c r="H20" s="100" t="str">
        <f t="shared" si="0"/>
        <v>CH 02-1-2 Gameplay</v>
      </c>
      <c r="I20" s="100" t="s">
        <v>15808</v>
      </c>
      <c r="J20" s="108" t="s">
        <v>15809</v>
      </c>
      <c r="K20" s="100" t="s">
        <v>1103</v>
      </c>
      <c r="L20" s="59">
        <v>1700</v>
      </c>
      <c r="M20" s="59">
        <v>4450</v>
      </c>
      <c r="N20" s="59">
        <v>15000</v>
      </c>
      <c r="P20" t="s">
        <v>15752</v>
      </c>
      <c r="Q20" t="s">
        <v>15753</v>
      </c>
      <c r="R20" t="s">
        <v>15754</v>
      </c>
    </row>
    <row r="21" spans="1:18" x14ac:dyDescent="0.2">
      <c r="A21" t="s">
        <v>15810</v>
      </c>
      <c r="B21" s="79" t="s">
        <v>15802</v>
      </c>
      <c r="C21" s="101" t="s">
        <v>15803</v>
      </c>
      <c r="D21" s="79">
        <v>1</v>
      </c>
      <c r="E21" s="100">
        <v>3</v>
      </c>
      <c r="F21" s="79" t="s">
        <v>15804</v>
      </c>
      <c r="G21" s="100" t="s">
        <v>15770</v>
      </c>
      <c r="H21" s="100" t="str">
        <f t="shared" si="0"/>
        <v>CH 02-1-3 Gameplay</v>
      </c>
      <c r="I21" s="100" t="s">
        <v>15811</v>
      </c>
      <c r="J21" s="108" t="s">
        <v>15812</v>
      </c>
      <c r="K21" s="100" t="s">
        <v>1103</v>
      </c>
      <c r="L21" s="59">
        <v>1800</v>
      </c>
      <c r="M21" s="59">
        <v>4500</v>
      </c>
      <c r="N21" s="59">
        <v>15000</v>
      </c>
      <c r="P21" t="s">
        <v>15752</v>
      </c>
      <c r="Q21" t="s">
        <v>15753</v>
      </c>
      <c r="R21" t="s">
        <v>15754</v>
      </c>
    </row>
    <row r="22" spans="1:18" x14ac:dyDescent="0.2">
      <c r="A22" t="s">
        <v>15813</v>
      </c>
      <c r="B22" s="79" t="s">
        <v>15802</v>
      </c>
      <c r="C22" s="101" t="s">
        <v>15803</v>
      </c>
      <c r="D22" s="79">
        <v>2</v>
      </c>
      <c r="E22" s="100">
        <v>1</v>
      </c>
      <c r="F22" s="79" t="s">
        <v>15814</v>
      </c>
      <c r="G22" s="100" t="s">
        <v>15742</v>
      </c>
      <c r="H22" s="100" t="str">
        <f t="shared" si="0"/>
        <v>CH 02-2-1 Story</v>
      </c>
      <c r="I22" s="100" t="s">
        <v>15815</v>
      </c>
      <c r="J22" s="108" t="s">
        <v>15816</v>
      </c>
      <c r="L22"/>
      <c r="M22"/>
      <c r="N22"/>
    </row>
    <row r="23" spans="1:18" x14ac:dyDescent="0.2">
      <c r="A23" t="s">
        <v>15817</v>
      </c>
      <c r="B23" s="79" t="s">
        <v>15802</v>
      </c>
      <c r="C23" s="101" t="s">
        <v>15803</v>
      </c>
      <c r="D23" s="79">
        <v>2</v>
      </c>
      <c r="E23" s="100">
        <v>2</v>
      </c>
      <c r="F23" s="79" t="s">
        <v>15814</v>
      </c>
      <c r="G23" s="100" t="s">
        <v>15770</v>
      </c>
      <c r="H23" s="100" t="str">
        <f t="shared" si="0"/>
        <v>CH 02-2-2 Gameplay</v>
      </c>
      <c r="I23" s="100" t="s">
        <v>15818</v>
      </c>
      <c r="J23" s="108" t="s">
        <v>15819</v>
      </c>
      <c r="K23" s="100" t="s">
        <v>1103</v>
      </c>
      <c r="L23" s="59">
        <v>1900</v>
      </c>
      <c r="M23" s="59">
        <v>4600</v>
      </c>
      <c r="N23" s="59">
        <v>15000</v>
      </c>
      <c r="P23" t="s">
        <v>15752</v>
      </c>
      <c r="Q23" t="s">
        <v>15753</v>
      </c>
      <c r="R23" t="s">
        <v>15754</v>
      </c>
    </row>
    <row r="24" spans="1:18" x14ac:dyDescent="0.2">
      <c r="A24" t="s">
        <v>15820</v>
      </c>
      <c r="B24" s="79" t="s">
        <v>15802</v>
      </c>
      <c r="C24" s="101" t="s">
        <v>15803</v>
      </c>
      <c r="D24" s="79" t="s">
        <v>15821</v>
      </c>
      <c r="E24" s="100">
        <v>1</v>
      </c>
      <c r="F24" s="79" t="s">
        <v>15822</v>
      </c>
      <c r="G24" s="100" t="s">
        <v>15742</v>
      </c>
      <c r="H24" s="100" t="str">
        <f t="shared" si="0"/>
        <v>CH 02-2-EX 1-1 Story</v>
      </c>
      <c r="I24" s="100" t="s">
        <v>15823</v>
      </c>
      <c r="J24" s="108" t="s">
        <v>15824</v>
      </c>
      <c r="L24"/>
      <c r="M24"/>
      <c r="N24"/>
    </row>
    <row r="25" spans="1:18" x14ac:dyDescent="0.2">
      <c r="A25" t="s">
        <v>15825</v>
      </c>
      <c r="B25" s="79" t="s">
        <v>15802</v>
      </c>
      <c r="C25" s="101" t="s">
        <v>15803</v>
      </c>
      <c r="D25" s="79" t="s">
        <v>15821</v>
      </c>
      <c r="E25" s="100">
        <v>2</v>
      </c>
      <c r="F25" s="79" t="s">
        <v>15822</v>
      </c>
      <c r="G25" s="100" t="s">
        <v>15770</v>
      </c>
      <c r="H25" s="100" t="str">
        <f t="shared" si="0"/>
        <v>CH 02-2-EX 1-2 Gameplay</v>
      </c>
      <c r="I25" s="100" t="s">
        <v>15826</v>
      </c>
      <c r="J25" s="108" t="s">
        <v>15827</v>
      </c>
      <c r="K25" s="100" t="s">
        <v>1103</v>
      </c>
      <c r="L25" s="59">
        <v>2650</v>
      </c>
      <c r="M25" s="59">
        <v>4900</v>
      </c>
      <c r="N25" s="59">
        <v>18000</v>
      </c>
      <c r="P25" t="s">
        <v>15752</v>
      </c>
      <c r="Q25" t="s">
        <v>15753</v>
      </c>
      <c r="R25" t="s">
        <v>15754</v>
      </c>
    </row>
    <row r="26" spans="1:18" x14ac:dyDescent="0.2">
      <c r="A26" t="s">
        <v>15828</v>
      </c>
      <c r="B26" s="79" t="s">
        <v>15802</v>
      </c>
      <c r="C26" s="101" t="s">
        <v>15803</v>
      </c>
      <c r="D26" s="79">
        <v>3</v>
      </c>
      <c r="E26" s="100">
        <v>1</v>
      </c>
      <c r="F26" s="79" t="s">
        <v>15829</v>
      </c>
      <c r="G26" s="100" t="s">
        <v>15742</v>
      </c>
      <c r="H26" s="100" t="str">
        <f t="shared" si="0"/>
        <v>CH 02-3-1 Story</v>
      </c>
      <c r="I26" s="100" t="s">
        <v>15830</v>
      </c>
      <c r="J26" s="108" t="s">
        <v>15831</v>
      </c>
      <c r="L26"/>
      <c r="M26"/>
      <c r="N26"/>
    </row>
    <row r="27" spans="1:18" x14ac:dyDescent="0.2">
      <c r="A27" t="s">
        <v>15832</v>
      </c>
      <c r="B27" s="79" t="s">
        <v>15802</v>
      </c>
      <c r="C27" s="101" t="s">
        <v>15803</v>
      </c>
      <c r="D27" s="79">
        <v>3</v>
      </c>
      <c r="E27" s="100">
        <v>2</v>
      </c>
      <c r="F27" s="79" t="s">
        <v>15829</v>
      </c>
      <c r="G27" s="100" t="s">
        <v>15770</v>
      </c>
      <c r="H27" s="100" t="str">
        <f t="shared" si="0"/>
        <v>CH 02-3-2 Gameplay</v>
      </c>
      <c r="I27" s="100" t="s">
        <v>15833</v>
      </c>
      <c r="J27" s="108" t="s">
        <v>15834</v>
      </c>
      <c r="K27" s="100" t="s">
        <v>1103</v>
      </c>
      <c r="L27" s="59">
        <v>2000</v>
      </c>
      <c r="M27" s="59">
        <v>4650</v>
      </c>
      <c r="N27" s="59">
        <v>15000</v>
      </c>
      <c r="P27" t="s">
        <v>15752</v>
      </c>
      <c r="Q27" t="s">
        <v>15753</v>
      </c>
      <c r="R27" t="s">
        <v>15754</v>
      </c>
    </row>
    <row r="28" spans="1:18" x14ac:dyDescent="0.2">
      <c r="A28" t="s">
        <v>15835</v>
      </c>
      <c r="B28" s="79" t="s">
        <v>15802</v>
      </c>
      <c r="C28" s="101" t="s">
        <v>15803</v>
      </c>
      <c r="D28" s="79">
        <v>3</v>
      </c>
      <c r="E28" s="100">
        <v>3</v>
      </c>
      <c r="F28" s="79" t="s">
        <v>15829</v>
      </c>
      <c r="G28" s="100" t="s">
        <v>15770</v>
      </c>
      <c r="H28" s="100" t="str">
        <f t="shared" si="0"/>
        <v>CH 02-3-3 Gameplay</v>
      </c>
      <c r="I28" s="100" t="s">
        <v>15836</v>
      </c>
      <c r="J28" s="108" t="s">
        <v>15837</v>
      </c>
      <c r="K28" s="100" t="s">
        <v>1103</v>
      </c>
      <c r="L28" s="59">
        <v>2100</v>
      </c>
      <c r="M28" s="59">
        <v>4700</v>
      </c>
      <c r="N28" s="59">
        <v>15000</v>
      </c>
      <c r="P28" t="s">
        <v>15752</v>
      </c>
      <c r="Q28" t="s">
        <v>15753</v>
      </c>
      <c r="R28" t="s">
        <v>15754</v>
      </c>
    </row>
    <row r="29" spans="1:18" x14ac:dyDescent="0.2">
      <c r="A29" t="s">
        <v>15838</v>
      </c>
      <c r="B29" s="79" t="s">
        <v>15802</v>
      </c>
      <c r="C29" s="101" t="s">
        <v>15803</v>
      </c>
      <c r="D29" s="79">
        <v>4</v>
      </c>
      <c r="E29" s="100">
        <v>1</v>
      </c>
      <c r="F29" s="79" t="s">
        <v>15839</v>
      </c>
      <c r="G29" s="100" t="s">
        <v>15742</v>
      </c>
      <c r="H29" s="100" t="str">
        <f t="shared" si="0"/>
        <v>CH 02-4-1 Story</v>
      </c>
      <c r="I29" s="100" t="s">
        <v>15840</v>
      </c>
      <c r="J29" s="108" t="s">
        <v>15841</v>
      </c>
      <c r="L29"/>
      <c r="M29"/>
      <c r="N29"/>
    </row>
    <row r="30" spans="1:18" x14ac:dyDescent="0.2">
      <c r="A30" t="s">
        <v>15842</v>
      </c>
      <c r="B30" s="79" t="s">
        <v>15802</v>
      </c>
      <c r="C30" s="101" t="s">
        <v>15803</v>
      </c>
      <c r="D30" s="79">
        <v>4</v>
      </c>
      <c r="E30" s="100">
        <v>2</v>
      </c>
      <c r="F30" s="79" t="s">
        <v>15839</v>
      </c>
      <c r="G30" s="100" t="s">
        <v>15770</v>
      </c>
      <c r="H30" s="100" t="str">
        <f t="shared" si="0"/>
        <v>CH 02-4-2 Gameplay</v>
      </c>
      <c r="I30" s="100" t="s">
        <v>15843</v>
      </c>
      <c r="J30" s="108" t="s">
        <v>15844</v>
      </c>
      <c r="K30" s="100" t="s">
        <v>1103</v>
      </c>
      <c r="L30" s="59">
        <v>2200</v>
      </c>
      <c r="M30" s="59">
        <v>4800</v>
      </c>
      <c r="N30" s="59">
        <v>15000</v>
      </c>
      <c r="P30" t="s">
        <v>15752</v>
      </c>
      <c r="Q30" t="s">
        <v>15753</v>
      </c>
      <c r="R30" t="s">
        <v>15754</v>
      </c>
    </row>
    <row r="31" spans="1:18" x14ac:dyDescent="0.2">
      <c r="A31" t="s">
        <v>15845</v>
      </c>
      <c r="B31" s="79" t="s">
        <v>15802</v>
      </c>
      <c r="C31" s="101" t="s">
        <v>15803</v>
      </c>
      <c r="D31" s="79">
        <v>5</v>
      </c>
      <c r="E31" s="100">
        <v>1</v>
      </c>
      <c r="F31" s="79" t="s">
        <v>15846</v>
      </c>
      <c r="G31" s="100" t="s">
        <v>15770</v>
      </c>
      <c r="H31" s="100" t="str">
        <f t="shared" si="0"/>
        <v>CH 02-5-1 Gameplay</v>
      </c>
      <c r="I31" s="100" t="s">
        <v>15847</v>
      </c>
      <c r="J31" s="108" t="s">
        <v>15848</v>
      </c>
      <c r="K31" s="100" t="s">
        <v>1103</v>
      </c>
      <c r="L31" s="59">
        <v>2300</v>
      </c>
      <c r="M31" s="59">
        <v>4900</v>
      </c>
      <c r="N31" s="59">
        <v>15000</v>
      </c>
      <c r="P31" t="s">
        <v>15752</v>
      </c>
      <c r="Q31" t="s">
        <v>15753</v>
      </c>
      <c r="R31" t="s">
        <v>15754</v>
      </c>
    </row>
    <row r="32" spans="1:18" x14ac:dyDescent="0.2">
      <c r="A32" t="s">
        <v>15849</v>
      </c>
      <c r="B32" s="79" t="s">
        <v>15802</v>
      </c>
      <c r="C32" s="101" t="s">
        <v>15803</v>
      </c>
      <c r="D32" s="79">
        <v>5</v>
      </c>
      <c r="E32" s="100">
        <v>2</v>
      </c>
      <c r="F32" s="79" t="s">
        <v>15846</v>
      </c>
      <c r="G32" s="100" t="s">
        <v>15742</v>
      </c>
      <c r="H32" s="100" t="str">
        <f t="shared" si="0"/>
        <v>CH 02-5-2 Story</v>
      </c>
      <c r="I32" s="100" t="s">
        <v>15850</v>
      </c>
      <c r="J32" s="108" t="s">
        <v>15851</v>
      </c>
      <c r="L32"/>
      <c r="M32"/>
      <c r="N32"/>
    </row>
    <row r="33" spans="1:18" x14ac:dyDescent="0.2">
      <c r="A33" t="s">
        <v>15852</v>
      </c>
      <c r="B33" s="79" t="s">
        <v>15802</v>
      </c>
      <c r="C33" s="101" t="s">
        <v>15803</v>
      </c>
      <c r="D33" s="79">
        <v>5</v>
      </c>
      <c r="E33" s="100">
        <v>3</v>
      </c>
      <c r="F33" s="79" t="s">
        <v>15846</v>
      </c>
      <c r="G33" s="100" t="s">
        <v>15742</v>
      </c>
      <c r="H33" s="100" t="str">
        <f t="shared" si="0"/>
        <v>CH 02-5-3 Story</v>
      </c>
      <c r="I33" s="100" t="s">
        <v>15853</v>
      </c>
      <c r="J33" s="108" t="s">
        <v>15854</v>
      </c>
      <c r="L33"/>
      <c r="M33"/>
      <c r="N33"/>
    </row>
    <row r="34" spans="1:18" x14ac:dyDescent="0.2">
      <c r="A34" t="s">
        <v>15855</v>
      </c>
      <c r="B34" s="79" t="s">
        <v>15802</v>
      </c>
      <c r="C34" s="101" t="s">
        <v>15803</v>
      </c>
      <c r="D34" s="79" t="s">
        <v>15856</v>
      </c>
      <c r="E34" s="100">
        <v>1</v>
      </c>
      <c r="F34" s="79" t="s">
        <v>15857</v>
      </c>
      <c r="G34" s="100" t="s">
        <v>15742</v>
      </c>
      <c r="H34" s="100" t="str">
        <f t="shared" si="0"/>
        <v>CH 02-5-EX 2-1 Story</v>
      </c>
      <c r="I34" s="100" t="s">
        <v>15858</v>
      </c>
      <c r="J34" s="108" t="s">
        <v>15859</v>
      </c>
      <c r="L34"/>
      <c r="M34"/>
      <c r="N34"/>
    </row>
    <row r="35" spans="1:18" x14ac:dyDescent="0.2">
      <c r="A35" t="s">
        <v>15860</v>
      </c>
      <c r="B35" s="79" t="s">
        <v>15802</v>
      </c>
      <c r="C35" s="101" t="s">
        <v>15803</v>
      </c>
      <c r="D35" s="79" t="s">
        <v>15856</v>
      </c>
      <c r="E35" s="100">
        <v>2</v>
      </c>
      <c r="F35" s="79" t="s">
        <v>15857</v>
      </c>
      <c r="G35" s="100" t="s">
        <v>15770</v>
      </c>
      <c r="H35" s="100" t="str">
        <f t="shared" si="0"/>
        <v>CH 02-5-EX 2-2 Gameplay</v>
      </c>
      <c r="I35" s="100" t="s">
        <v>15861</v>
      </c>
      <c r="J35" s="108" t="s">
        <v>15862</v>
      </c>
      <c r="K35" s="100" t="s">
        <v>1103</v>
      </c>
      <c r="L35" s="59">
        <v>3300</v>
      </c>
      <c r="M35" s="59">
        <v>5700</v>
      </c>
      <c r="N35" s="59">
        <v>18000</v>
      </c>
      <c r="P35" t="s">
        <v>15752</v>
      </c>
      <c r="Q35" t="s">
        <v>15753</v>
      </c>
      <c r="R35" t="s">
        <v>15754</v>
      </c>
    </row>
    <row r="36" spans="1:18" x14ac:dyDescent="0.2">
      <c r="A36" t="s">
        <v>15863</v>
      </c>
      <c r="B36" s="79" t="s">
        <v>15802</v>
      </c>
      <c r="C36" s="101" t="s">
        <v>15803</v>
      </c>
      <c r="D36" s="79">
        <v>6</v>
      </c>
      <c r="E36" s="100">
        <v>1</v>
      </c>
      <c r="F36" s="79" t="s">
        <v>15864</v>
      </c>
      <c r="G36" s="100" t="s">
        <v>15749</v>
      </c>
      <c r="H36" s="100" t="str">
        <f t="shared" si="0"/>
        <v>CH 02-6-1 Hybrid</v>
      </c>
      <c r="I36" s="100" t="s">
        <v>15865</v>
      </c>
      <c r="J36" s="108" t="s">
        <v>15866</v>
      </c>
      <c r="K36" s="100" t="s">
        <v>1103</v>
      </c>
      <c r="L36" s="59">
        <v>2800</v>
      </c>
      <c r="M36" s="59">
        <v>5500</v>
      </c>
      <c r="N36" s="59">
        <v>15000</v>
      </c>
      <c r="P36" t="s">
        <v>15752</v>
      </c>
      <c r="Q36" t="s">
        <v>15753</v>
      </c>
      <c r="R36" t="s">
        <v>15754</v>
      </c>
    </row>
    <row r="37" spans="1:18" x14ac:dyDescent="0.2">
      <c r="A37" t="s">
        <v>15867</v>
      </c>
      <c r="B37" s="79" t="s">
        <v>15802</v>
      </c>
      <c r="C37" s="101" t="s">
        <v>15803</v>
      </c>
      <c r="D37" s="79">
        <v>6</v>
      </c>
      <c r="E37" s="100">
        <v>2</v>
      </c>
      <c r="F37" s="79" t="s">
        <v>15864</v>
      </c>
      <c r="G37" s="100" t="s">
        <v>15742</v>
      </c>
      <c r="H37" s="100" t="str">
        <f t="shared" si="0"/>
        <v>CH 02-6-2 Story</v>
      </c>
      <c r="I37" s="100" t="s">
        <v>15868</v>
      </c>
      <c r="J37" s="108" t="s">
        <v>15869</v>
      </c>
      <c r="L37"/>
      <c r="M37"/>
      <c r="N37"/>
    </row>
    <row r="38" spans="1:18" x14ac:dyDescent="0.2">
      <c r="A38" t="s">
        <v>15870</v>
      </c>
      <c r="B38" s="79" t="s">
        <v>15871</v>
      </c>
      <c r="C38" s="101" t="s">
        <v>15872</v>
      </c>
      <c r="D38" s="79">
        <v>1</v>
      </c>
      <c r="E38" s="100">
        <v>1</v>
      </c>
      <c r="F38" s="79" t="s">
        <v>15873</v>
      </c>
      <c r="G38" s="100" t="s">
        <v>15742</v>
      </c>
      <c r="H38" s="100" t="str">
        <f t="shared" si="0"/>
        <v>CH 03-1-1 Story</v>
      </c>
      <c r="I38" s="100" t="s">
        <v>15874</v>
      </c>
      <c r="J38" s="108" t="s">
        <v>15875</v>
      </c>
      <c r="L38"/>
      <c r="M38"/>
      <c r="N38"/>
    </row>
    <row r="39" spans="1:18" x14ac:dyDescent="0.2">
      <c r="A39" t="s">
        <v>15876</v>
      </c>
      <c r="B39" s="79" t="s">
        <v>15871</v>
      </c>
      <c r="C39" s="101" t="s">
        <v>15872</v>
      </c>
      <c r="D39" s="79">
        <v>1</v>
      </c>
      <c r="E39" s="100">
        <v>2</v>
      </c>
      <c r="F39" s="79" t="s">
        <v>15873</v>
      </c>
      <c r="G39" s="100" t="s">
        <v>15770</v>
      </c>
      <c r="H39" s="100" t="str">
        <f t="shared" si="0"/>
        <v>CH 03-1-2 Gameplay</v>
      </c>
      <c r="I39" s="100" t="s">
        <v>15877</v>
      </c>
      <c r="J39" s="108" t="s">
        <v>15878</v>
      </c>
      <c r="K39" s="100" t="s">
        <v>122</v>
      </c>
      <c r="L39" s="59">
        <v>2400</v>
      </c>
      <c r="M39" s="59">
        <v>4700</v>
      </c>
      <c r="N39" s="59">
        <v>15000</v>
      </c>
      <c r="P39" t="s">
        <v>15752</v>
      </c>
      <c r="Q39" t="s">
        <v>15753</v>
      </c>
      <c r="R39" t="s">
        <v>15754</v>
      </c>
    </row>
    <row r="40" spans="1:18" x14ac:dyDescent="0.2">
      <c r="A40" t="s">
        <v>15879</v>
      </c>
      <c r="B40" s="79" t="s">
        <v>15871</v>
      </c>
      <c r="C40" s="101" t="s">
        <v>15872</v>
      </c>
      <c r="D40" s="79">
        <v>1</v>
      </c>
      <c r="E40" s="100">
        <v>3</v>
      </c>
      <c r="F40" s="79" t="s">
        <v>15873</v>
      </c>
      <c r="G40" s="100" t="s">
        <v>15770</v>
      </c>
      <c r="H40" s="100" t="str">
        <f t="shared" si="0"/>
        <v>CH 03-1-3 Gameplay</v>
      </c>
      <c r="I40" s="100" t="s">
        <v>15880</v>
      </c>
      <c r="J40" s="108" t="s">
        <v>15881</v>
      </c>
      <c r="K40" s="100" t="s">
        <v>122</v>
      </c>
      <c r="L40" s="59">
        <v>2450</v>
      </c>
      <c r="M40" s="59">
        <v>4750</v>
      </c>
      <c r="N40" s="59">
        <v>15000</v>
      </c>
      <c r="P40" t="s">
        <v>15752</v>
      </c>
      <c r="Q40" t="s">
        <v>15753</v>
      </c>
      <c r="R40" t="s">
        <v>15754</v>
      </c>
    </row>
    <row r="41" spans="1:18" x14ac:dyDescent="0.2">
      <c r="A41" t="s">
        <v>15882</v>
      </c>
      <c r="B41" s="79" t="s">
        <v>15871</v>
      </c>
      <c r="C41" s="101" t="s">
        <v>15872</v>
      </c>
      <c r="D41" s="79">
        <v>2</v>
      </c>
      <c r="E41" s="100">
        <v>1</v>
      </c>
      <c r="F41" s="79" t="s">
        <v>15883</v>
      </c>
      <c r="G41" s="100" t="s">
        <v>15742</v>
      </c>
      <c r="H41" s="100" t="str">
        <f t="shared" si="0"/>
        <v>CH 03-2-1 Story</v>
      </c>
      <c r="I41" s="100" t="s">
        <v>15884</v>
      </c>
      <c r="J41" s="108" t="s">
        <v>15885</v>
      </c>
      <c r="L41"/>
      <c r="M41"/>
      <c r="N41"/>
    </row>
    <row r="42" spans="1:18" x14ac:dyDescent="0.2">
      <c r="A42" t="s">
        <v>15886</v>
      </c>
      <c r="B42" s="79" t="s">
        <v>15871</v>
      </c>
      <c r="C42" s="101" t="s">
        <v>15872</v>
      </c>
      <c r="D42" s="79">
        <v>2</v>
      </c>
      <c r="E42" s="100">
        <v>2</v>
      </c>
      <c r="F42" s="79" t="s">
        <v>15883</v>
      </c>
      <c r="G42" s="100" t="s">
        <v>15770</v>
      </c>
      <c r="H42" s="100" t="str">
        <f t="shared" si="0"/>
        <v>CH 03-2-2 Gameplay</v>
      </c>
      <c r="I42" s="100" t="s">
        <v>15887</v>
      </c>
      <c r="J42" s="108" t="s">
        <v>15888</v>
      </c>
      <c r="K42" s="100" t="s">
        <v>122</v>
      </c>
      <c r="L42" s="59">
        <v>2550</v>
      </c>
      <c r="M42" s="59">
        <v>4800</v>
      </c>
      <c r="N42" s="59">
        <v>15000</v>
      </c>
      <c r="P42" t="s">
        <v>15752</v>
      </c>
      <c r="Q42" t="s">
        <v>15753</v>
      </c>
      <c r="R42" t="s">
        <v>15754</v>
      </c>
    </row>
    <row r="43" spans="1:18" x14ac:dyDescent="0.2">
      <c r="A43" t="s">
        <v>15889</v>
      </c>
      <c r="B43" s="79" t="s">
        <v>15871</v>
      </c>
      <c r="C43" s="101" t="s">
        <v>15872</v>
      </c>
      <c r="D43" s="79">
        <v>2</v>
      </c>
      <c r="E43" s="100">
        <v>3</v>
      </c>
      <c r="F43" s="79" t="s">
        <v>15883</v>
      </c>
      <c r="G43" s="100" t="s">
        <v>15749</v>
      </c>
      <c r="H43" s="100" t="str">
        <f t="shared" si="0"/>
        <v>CH 03-2-3 Hybrid</v>
      </c>
      <c r="I43" s="100" t="s">
        <v>15890</v>
      </c>
      <c r="J43" s="108" t="s">
        <v>15891</v>
      </c>
      <c r="K43" s="100" t="s">
        <v>122</v>
      </c>
      <c r="L43" s="59">
        <v>2600</v>
      </c>
      <c r="M43" s="59">
        <v>4850</v>
      </c>
      <c r="N43" s="59">
        <v>15000</v>
      </c>
      <c r="P43" t="s">
        <v>15752</v>
      </c>
      <c r="Q43" t="s">
        <v>15753</v>
      </c>
      <c r="R43" t="s">
        <v>15754</v>
      </c>
    </row>
    <row r="44" spans="1:18" x14ac:dyDescent="0.2">
      <c r="A44" t="s">
        <v>15892</v>
      </c>
      <c r="B44" s="79" t="s">
        <v>15871</v>
      </c>
      <c r="C44" s="101" t="s">
        <v>15872</v>
      </c>
      <c r="D44" s="79">
        <v>3</v>
      </c>
      <c r="E44" s="100">
        <v>1</v>
      </c>
      <c r="F44" s="79" t="s">
        <v>15893</v>
      </c>
      <c r="G44" s="100" t="s">
        <v>15749</v>
      </c>
      <c r="H44" s="100" t="str">
        <f t="shared" si="0"/>
        <v>CH 03-3-1 Hybrid</v>
      </c>
      <c r="I44" s="100" t="s">
        <v>15894</v>
      </c>
      <c r="J44" s="108" t="s">
        <v>15895</v>
      </c>
      <c r="K44" s="100" t="s">
        <v>122</v>
      </c>
      <c r="L44" s="59">
        <v>2650</v>
      </c>
      <c r="M44" s="59">
        <v>4900</v>
      </c>
      <c r="N44" s="59">
        <v>15000</v>
      </c>
      <c r="P44" t="s">
        <v>15752</v>
      </c>
      <c r="Q44" t="s">
        <v>15753</v>
      </c>
      <c r="R44" t="s">
        <v>15754</v>
      </c>
    </row>
    <row r="45" spans="1:18" x14ac:dyDescent="0.2">
      <c r="A45" t="s">
        <v>15896</v>
      </c>
      <c r="B45" s="79" t="s">
        <v>15871</v>
      </c>
      <c r="C45" s="101" t="s">
        <v>15872</v>
      </c>
      <c r="D45" s="79">
        <v>3</v>
      </c>
      <c r="E45" s="100">
        <v>2</v>
      </c>
      <c r="F45" s="79" t="s">
        <v>15893</v>
      </c>
      <c r="G45" s="100" t="s">
        <v>15742</v>
      </c>
      <c r="H45" s="100" t="str">
        <f t="shared" si="0"/>
        <v>CH 03-3-2 Story</v>
      </c>
      <c r="I45" s="100" t="s">
        <v>15897</v>
      </c>
      <c r="J45" s="108" t="s">
        <v>15898</v>
      </c>
      <c r="L45"/>
      <c r="M45"/>
      <c r="N45"/>
    </row>
    <row r="46" spans="1:18" x14ac:dyDescent="0.2">
      <c r="A46" t="s">
        <v>15899</v>
      </c>
      <c r="B46" s="79" t="s">
        <v>15871</v>
      </c>
      <c r="C46" s="101" t="s">
        <v>15872</v>
      </c>
      <c r="D46" s="79">
        <v>3</v>
      </c>
      <c r="E46" s="100">
        <v>3</v>
      </c>
      <c r="F46" s="79" t="s">
        <v>15893</v>
      </c>
      <c r="G46" s="100" t="s">
        <v>15770</v>
      </c>
      <c r="H46" s="100" t="str">
        <f t="shared" si="0"/>
        <v>CH 03-3-3 Gameplay</v>
      </c>
      <c r="I46" s="100" t="s">
        <v>15900</v>
      </c>
      <c r="J46" s="108" t="s">
        <v>15901</v>
      </c>
      <c r="K46" s="100" t="s">
        <v>122</v>
      </c>
      <c r="L46" s="59">
        <v>2750</v>
      </c>
      <c r="M46" s="59">
        <v>4950</v>
      </c>
      <c r="N46" s="59">
        <v>15000</v>
      </c>
      <c r="P46" t="s">
        <v>15752</v>
      </c>
      <c r="Q46" t="s">
        <v>15753</v>
      </c>
      <c r="R46" t="s">
        <v>15754</v>
      </c>
    </row>
    <row r="47" spans="1:18" x14ac:dyDescent="0.2">
      <c r="A47" t="s">
        <v>15902</v>
      </c>
      <c r="B47" s="79" t="s">
        <v>15871</v>
      </c>
      <c r="C47" s="101" t="s">
        <v>15872</v>
      </c>
      <c r="D47" s="79">
        <v>3</v>
      </c>
      <c r="E47" s="100">
        <v>4</v>
      </c>
      <c r="F47" s="79" t="s">
        <v>15893</v>
      </c>
      <c r="G47" s="100" t="s">
        <v>15742</v>
      </c>
      <c r="H47" s="100" t="str">
        <f t="shared" si="0"/>
        <v>CH 03-3-4 Story</v>
      </c>
      <c r="I47" s="100" t="s">
        <v>15903</v>
      </c>
      <c r="J47" s="108" t="s">
        <v>15904</v>
      </c>
      <c r="L47"/>
      <c r="M47"/>
      <c r="N47"/>
    </row>
    <row r="48" spans="1:18" x14ac:dyDescent="0.2">
      <c r="A48" t="s">
        <v>15905</v>
      </c>
      <c r="B48" s="79" t="s">
        <v>15871</v>
      </c>
      <c r="C48" s="101" t="s">
        <v>15872</v>
      </c>
      <c r="D48" s="79">
        <v>3</v>
      </c>
      <c r="E48" s="100">
        <v>5</v>
      </c>
      <c r="F48" s="79" t="s">
        <v>15893</v>
      </c>
      <c r="G48" s="100" t="s">
        <v>15749</v>
      </c>
      <c r="H48" s="100" t="str">
        <f t="shared" si="0"/>
        <v>CH 03-3-5 Hybrid</v>
      </c>
      <c r="I48" s="100" t="s">
        <v>15906</v>
      </c>
      <c r="J48" s="108" t="s">
        <v>15907</v>
      </c>
      <c r="K48" s="100" t="s">
        <v>122</v>
      </c>
      <c r="L48" s="59">
        <v>2800</v>
      </c>
      <c r="M48" s="59">
        <v>5000</v>
      </c>
      <c r="N48" s="59">
        <v>15000</v>
      </c>
      <c r="P48" t="s">
        <v>15752</v>
      </c>
      <c r="Q48" t="s">
        <v>15753</v>
      </c>
      <c r="R48" t="s">
        <v>15754</v>
      </c>
    </row>
    <row r="49" spans="1:18" x14ac:dyDescent="0.2">
      <c r="A49" t="s">
        <v>15908</v>
      </c>
      <c r="B49" s="79" t="s">
        <v>15871</v>
      </c>
      <c r="C49" s="101" t="s">
        <v>15872</v>
      </c>
      <c r="D49" s="79">
        <v>3</v>
      </c>
      <c r="E49" s="100">
        <v>6</v>
      </c>
      <c r="F49" s="79" t="s">
        <v>15893</v>
      </c>
      <c r="G49" s="100" t="s">
        <v>15742</v>
      </c>
      <c r="H49" s="100" t="str">
        <f t="shared" si="0"/>
        <v>CH 03-3-6 Story</v>
      </c>
      <c r="I49" s="100" t="s">
        <v>15909</v>
      </c>
      <c r="J49" s="108" t="s">
        <v>15910</v>
      </c>
      <c r="L49"/>
      <c r="M49"/>
      <c r="N49"/>
    </row>
    <row r="50" spans="1:18" x14ac:dyDescent="0.2">
      <c r="A50" t="s">
        <v>15911</v>
      </c>
      <c r="B50" s="79" t="s">
        <v>15871</v>
      </c>
      <c r="C50" s="101" t="s">
        <v>15872</v>
      </c>
      <c r="D50" s="79">
        <v>4</v>
      </c>
      <c r="E50" s="100">
        <v>1</v>
      </c>
      <c r="F50" s="79" t="s">
        <v>15912</v>
      </c>
      <c r="G50" s="100" t="s">
        <v>15770</v>
      </c>
      <c r="H50" s="100" t="str">
        <f t="shared" si="0"/>
        <v>CH 03-4-1 Gameplay</v>
      </c>
      <c r="I50" s="100" t="s">
        <v>15913</v>
      </c>
      <c r="J50" s="108" t="s">
        <v>15914</v>
      </c>
      <c r="K50" s="100" t="s">
        <v>122</v>
      </c>
      <c r="L50" s="59">
        <v>2900</v>
      </c>
      <c r="M50" s="59">
        <v>5100</v>
      </c>
      <c r="N50" s="59">
        <v>15000</v>
      </c>
      <c r="P50" t="s">
        <v>15752</v>
      </c>
      <c r="Q50" t="s">
        <v>15753</v>
      </c>
      <c r="R50" t="s">
        <v>15754</v>
      </c>
    </row>
    <row r="51" spans="1:18" x14ac:dyDescent="0.2">
      <c r="A51" t="s">
        <v>15915</v>
      </c>
      <c r="B51" s="79" t="s">
        <v>15871</v>
      </c>
      <c r="C51" s="101" t="s">
        <v>15872</v>
      </c>
      <c r="D51" s="79">
        <v>4</v>
      </c>
      <c r="E51" s="100">
        <v>2</v>
      </c>
      <c r="F51" s="79" t="s">
        <v>15912</v>
      </c>
      <c r="G51" s="100" t="s">
        <v>15770</v>
      </c>
      <c r="H51" s="100" t="str">
        <f t="shared" si="0"/>
        <v>CH 03-4-2 Gameplay</v>
      </c>
      <c r="I51" s="100" t="s">
        <v>15916</v>
      </c>
      <c r="J51" s="108" t="s">
        <v>15917</v>
      </c>
      <c r="K51" s="100" t="s">
        <v>122</v>
      </c>
      <c r="L51" s="59">
        <v>3000</v>
      </c>
      <c r="M51" s="59">
        <v>5200</v>
      </c>
      <c r="N51" s="59">
        <v>15000</v>
      </c>
      <c r="P51" t="s">
        <v>15752</v>
      </c>
      <c r="Q51" t="s">
        <v>15753</v>
      </c>
      <c r="R51" t="s">
        <v>15754</v>
      </c>
    </row>
    <row r="52" spans="1:18" x14ac:dyDescent="0.2">
      <c r="A52" t="s">
        <v>15918</v>
      </c>
      <c r="B52" s="79" t="s">
        <v>15871</v>
      </c>
      <c r="C52" s="101" t="s">
        <v>15872</v>
      </c>
      <c r="D52" s="79">
        <v>4</v>
      </c>
      <c r="E52" s="100">
        <v>3</v>
      </c>
      <c r="F52" s="79" t="s">
        <v>15912</v>
      </c>
      <c r="G52" s="100" t="s">
        <v>15749</v>
      </c>
      <c r="H52" s="100" t="str">
        <f t="shared" si="0"/>
        <v>CH 03-4-3 Hybrid</v>
      </c>
      <c r="I52" s="100" t="s">
        <v>15919</v>
      </c>
      <c r="J52" s="108" t="s">
        <v>15920</v>
      </c>
      <c r="K52" s="100" t="s">
        <v>122</v>
      </c>
      <c r="L52" s="59">
        <v>3300</v>
      </c>
      <c r="M52" s="59">
        <v>5700</v>
      </c>
      <c r="N52" s="59">
        <v>15000</v>
      </c>
      <c r="P52" t="s">
        <v>15752</v>
      </c>
      <c r="Q52" t="s">
        <v>15753</v>
      </c>
      <c r="R52" t="s">
        <v>15754</v>
      </c>
    </row>
    <row r="53" spans="1:18" x14ac:dyDescent="0.2">
      <c r="A53" t="s">
        <v>15921</v>
      </c>
      <c r="B53" s="79" t="s">
        <v>15871</v>
      </c>
      <c r="C53" s="101" t="s">
        <v>15872</v>
      </c>
      <c r="D53" s="79">
        <v>4</v>
      </c>
      <c r="E53" s="100">
        <v>4</v>
      </c>
      <c r="F53" s="79" t="s">
        <v>15912</v>
      </c>
      <c r="G53" s="100" t="s">
        <v>15742</v>
      </c>
      <c r="H53" s="100" t="str">
        <f t="shared" si="0"/>
        <v>CH 03-4-4 Story</v>
      </c>
      <c r="I53" s="100" t="s">
        <v>15922</v>
      </c>
      <c r="J53" s="108" t="s">
        <v>15923</v>
      </c>
      <c r="L53"/>
      <c r="M53"/>
      <c r="N53"/>
    </row>
    <row r="54" spans="1:18" x14ac:dyDescent="0.2">
      <c r="A54" t="s">
        <v>15924</v>
      </c>
      <c r="B54" s="79" t="s">
        <v>15925</v>
      </c>
      <c r="C54" s="101" t="s">
        <v>15926</v>
      </c>
      <c r="D54" s="79">
        <v>1</v>
      </c>
      <c r="E54" s="100">
        <v>1</v>
      </c>
      <c r="F54" s="79" t="s">
        <v>15927</v>
      </c>
      <c r="G54" s="100" t="s">
        <v>15742</v>
      </c>
      <c r="H54" s="100" t="str">
        <f t="shared" si="0"/>
        <v>CH 04-1-1 Story</v>
      </c>
      <c r="I54" s="100" t="s">
        <v>15928</v>
      </c>
      <c r="J54" s="108" t="s">
        <v>15929</v>
      </c>
      <c r="L54"/>
      <c r="M54"/>
      <c r="N54"/>
    </row>
    <row r="55" spans="1:18" x14ac:dyDescent="0.2">
      <c r="A55" t="s">
        <v>15930</v>
      </c>
      <c r="B55" s="79" t="s">
        <v>15925</v>
      </c>
      <c r="C55" s="101" t="s">
        <v>15926</v>
      </c>
      <c r="D55" s="79">
        <v>1</v>
      </c>
      <c r="E55" s="100">
        <v>2</v>
      </c>
      <c r="F55" s="79" t="s">
        <v>15927</v>
      </c>
      <c r="G55" s="100" t="s">
        <v>15770</v>
      </c>
      <c r="H55" s="100" t="str">
        <f t="shared" si="0"/>
        <v>CH 04-1-2 Gameplay</v>
      </c>
      <c r="I55" s="100" t="s">
        <v>15931</v>
      </c>
      <c r="J55" s="108" t="s">
        <v>15932</v>
      </c>
      <c r="K55" s="100" t="s">
        <v>2837</v>
      </c>
      <c r="L55" s="59">
        <v>3000</v>
      </c>
      <c r="M55" s="59">
        <v>5900</v>
      </c>
      <c r="N55" s="59">
        <v>15000</v>
      </c>
      <c r="P55" t="s">
        <v>15752</v>
      </c>
      <c r="Q55" t="s">
        <v>15753</v>
      </c>
      <c r="R55" t="s">
        <v>15754</v>
      </c>
    </row>
    <row r="56" spans="1:18" x14ac:dyDescent="0.2">
      <c r="A56" t="s">
        <v>15933</v>
      </c>
      <c r="B56" s="79" t="s">
        <v>15925</v>
      </c>
      <c r="C56" s="101" t="s">
        <v>15926</v>
      </c>
      <c r="D56" s="79">
        <v>1</v>
      </c>
      <c r="E56" s="100">
        <v>3</v>
      </c>
      <c r="F56" s="79" t="s">
        <v>15927</v>
      </c>
      <c r="G56" s="100" t="s">
        <v>15770</v>
      </c>
      <c r="H56" s="100" t="str">
        <f t="shared" si="0"/>
        <v>CH 04-1-3 Gameplay</v>
      </c>
      <c r="I56" s="100" t="s">
        <v>15934</v>
      </c>
      <c r="J56" s="108" t="s">
        <v>15935</v>
      </c>
      <c r="K56" s="100" t="s">
        <v>2837</v>
      </c>
      <c r="L56" s="59">
        <v>3050</v>
      </c>
      <c r="M56" s="59">
        <v>6000</v>
      </c>
      <c r="N56" s="59">
        <v>15000</v>
      </c>
      <c r="P56" t="s">
        <v>15752</v>
      </c>
      <c r="Q56" t="s">
        <v>15753</v>
      </c>
      <c r="R56" t="s">
        <v>15754</v>
      </c>
    </row>
    <row r="57" spans="1:18" x14ac:dyDescent="0.2">
      <c r="A57" t="s">
        <v>15936</v>
      </c>
      <c r="B57" s="79" t="s">
        <v>15925</v>
      </c>
      <c r="C57" s="101" t="s">
        <v>15926</v>
      </c>
      <c r="D57" s="79">
        <v>1</v>
      </c>
      <c r="E57" s="100">
        <v>4</v>
      </c>
      <c r="F57" s="79" t="s">
        <v>15927</v>
      </c>
      <c r="G57" s="100" t="s">
        <v>15770</v>
      </c>
      <c r="H57" s="100" t="str">
        <f t="shared" si="0"/>
        <v>CH 04-1-4 Gameplay</v>
      </c>
      <c r="I57" s="100" t="s">
        <v>15937</v>
      </c>
      <c r="J57" s="108" t="s">
        <v>15938</v>
      </c>
      <c r="K57" s="100" t="s">
        <v>2837</v>
      </c>
      <c r="L57" s="59">
        <v>3100</v>
      </c>
      <c r="M57" s="59">
        <v>6100</v>
      </c>
      <c r="N57" s="59">
        <v>15000</v>
      </c>
      <c r="P57" t="s">
        <v>15752</v>
      </c>
      <c r="Q57" t="s">
        <v>15753</v>
      </c>
      <c r="R57" t="s">
        <v>15754</v>
      </c>
    </row>
    <row r="58" spans="1:18" x14ac:dyDescent="0.2">
      <c r="A58" t="s">
        <v>15939</v>
      </c>
      <c r="B58" s="79" t="s">
        <v>15925</v>
      </c>
      <c r="C58" s="101" t="s">
        <v>15926</v>
      </c>
      <c r="D58" s="79">
        <v>2</v>
      </c>
      <c r="E58" s="100">
        <v>1</v>
      </c>
      <c r="F58" s="79" t="s">
        <v>15940</v>
      </c>
      <c r="G58" s="100" t="s">
        <v>15742</v>
      </c>
      <c r="H58" s="100" t="str">
        <f t="shared" si="0"/>
        <v>CH 04-2-1 Story</v>
      </c>
      <c r="I58" s="100" t="s">
        <v>15941</v>
      </c>
      <c r="J58" s="108" t="s">
        <v>15942</v>
      </c>
      <c r="L58"/>
      <c r="M58"/>
      <c r="N58"/>
    </row>
    <row r="59" spans="1:18" x14ac:dyDescent="0.2">
      <c r="A59" t="s">
        <v>15943</v>
      </c>
      <c r="B59" s="79" t="s">
        <v>15925</v>
      </c>
      <c r="C59" s="101" t="s">
        <v>15926</v>
      </c>
      <c r="D59" s="79">
        <v>2</v>
      </c>
      <c r="E59" s="100">
        <v>2</v>
      </c>
      <c r="F59" s="79" t="s">
        <v>15940</v>
      </c>
      <c r="G59" s="100" t="s">
        <v>15770</v>
      </c>
      <c r="H59" s="100" t="str">
        <f t="shared" si="0"/>
        <v>CH 04-2-2 Gameplay</v>
      </c>
      <c r="I59" s="100" t="s">
        <v>15944</v>
      </c>
      <c r="J59" s="108" t="s">
        <v>15945</v>
      </c>
      <c r="K59" s="100" t="s">
        <v>2837</v>
      </c>
      <c r="L59" s="59">
        <v>3200</v>
      </c>
      <c r="M59" s="59">
        <v>6200</v>
      </c>
      <c r="N59" s="59">
        <v>15000</v>
      </c>
      <c r="P59" t="s">
        <v>15752</v>
      </c>
      <c r="Q59" t="s">
        <v>15753</v>
      </c>
      <c r="R59" t="s">
        <v>15754</v>
      </c>
    </row>
    <row r="60" spans="1:18" x14ac:dyDescent="0.2">
      <c r="A60" t="s">
        <v>15946</v>
      </c>
      <c r="B60" s="79" t="s">
        <v>15925</v>
      </c>
      <c r="C60" s="101" t="s">
        <v>15926</v>
      </c>
      <c r="D60" s="79">
        <v>2</v>
      </c>
      <c r="E60" s="100">
        <v>3</v>
      </c>
      <c r="F60" s="79" t="s">
        <v>15940</v>
      </c>
      <c r="G60" s="100" t="s">
        <v>15770</v>
      </c>
      <c r="H60" s="100" t="str">
        <f t="shared" si="0"/>
        <v>CH 04-2-3 Gameplay</v>
      </c>
      <c r="I60" s="100" t="s">
        <v>15947</v>
      </c>
      <c r="J60" s="108" t="s">
        <v>15948</v>
      </c>
      <c r="K60" s="100" t="s">
        <v>2837</v>
      </c>
      <c r="L60" s="59">
        <v>3250</v>
      </c>
      <c r="M60" s="59">
        <v>6300</v>
      </c>
      <c r="N60" s="59">
        <v>15000</v>
      </c>
      <c r="P60" t="s">
        <v>15752</v>
      </c>
      <c r="Q60" t="s">
        <v>15753</v>
      </c>
      <c r="R60" t="s">
        <v>15754</v>
      </c>
    </row>
    <row r="61" spans="1:18" x14ac:dyDescent="0.2">
      <c r="A61" t="s">
        <v>15949</v>
      </c>
      <c r="B61" s="79" t="s">
        <v>15925</v>
      </c>
      <c r="C61" s="101" t="s">
        <v>15926</v>
      </c>
      <c r="D61" s="79">
        <v>2</v>
      </c>
      <c r="E61" s="100">
        <v>4</v>
      </c>
      <c r="F61" s="79" t="s">
        <v>15940</v>
      </c>
      <c r="G61" s="100" t="s">
        <v>15770</v>
      </c>
      <c r="H61" s="100" t="str">
        <f t="shared" si="0"/>
        <v>CH 04-2-4 Gameplay</v>
      </c>
      <c r="I61" s="100" t="s">
        <v>15950</v>
      </c>
      <c r="J61" s="108" t="s">
        <v>15951</v>
      </c>
      <c r="K61" s="100" t="s">
        <v>2837</v>
      </c>
      <c r="L61" s="59">
        <v>3300</v>
      </c>
      <c r="M61" s="59">
        <v>6400</v>
      </c>
      <c r="N61" s="59">
        <v>15000</v>
      </c>
      <c r="P61" t="s">
        <v>15752</v>
      </c>
      <c r="Q61" t="s">
        <v>15753</v>
      </c>
      <c r="R61" t="s">
        <v>15754</v>
      </c>
    </row>
    <row r="62" spans="1:18" x14ac:dyDescent="0.2">
      <c r="A62" t="s">
        <v>15952</v>
      </c>
      <c r="B62" s="79" t="s">
        <v>15925</v>
      </c>
      <c r="C62" s="101" t="s">
        <v>15926</v>
      </c>
      <c r="D62" s="79" t="s">
        <v>15821</v>
      </c>
      <c r="E62" s="100">
        <v>1</v>
      </c>
      <c r="F62" s="79" t="s">
        <v>15953</v>
      </c>
      <c r="G62" s="100" t="s">
        <v>15742</v>
      </c>
      <c r="H62" s="100" t="str">
        <f t="shared" si="0"/>
        <v>CH 04-2-EX 1-1 Story</v>
      </c>
      <c r="I62" s="100" t="s">
        <v>15954</v>
      </c>
      <c r="J62" s="108" t="s">
        <v>15955</v>
      </c>
      <c r="L62"/>
      <c r="M62"/>
      <c r="N62"/>
    </row>
    <row r="63" spans="1:18" x14ac:dyDescent="0.2">
      <c r="A63" t="s">
        <v>15956</v>
      </c>
      <c r="B63" s="79" t="s">
        <v>15925</v>
      </c>
      <c r="C63" s="101" t="s">
        <v>15926</v>
      </c>
      <c r="D63" s="79" t="s">
        <v>15821</v>
      </c>
      <c r="E63" s="100">
        <v>2</v>
      </c>
      <c r="F63" s="79" t="s">
        <v>15953</v>
      </c>
      <c r="G63" s="100" t="s">
        <v>15770</v>
      </c>
      <c r="H63" s="100" t="str">
        <f t="shared" si="0"/>
        <v>CH 04-2-EX 1-2 Gameplay</v>
      </c>
      <c r="I63" s="100" t="s">
        <v>15957</v>
      </c>
      <c r="J63" s="108" t="s">
        <v>15958</v>
      </c>
      <c r="K63" s="100" t="s">
        <v>2837</v>
      </c>
      <c r="L63" s="59">
        <v>4350</v>
      </c>
      <c r="M63" s="59">
        <v>7150</v>
      </c>
      <c r="N63" s="59">
        <v>18000</v>
      </c>
      <c r="P63" t="s">
        <v>15752</v>
      </c>
      <c r="Q63" t="s">
        <v>15753</v>
      </c>
      <c r="R63" t="s">
        <v>15754</v>
      </c>
    </row>
    <row r="64" spans="1:18" x14ac:dyDescent="0.2">
      <c r="A64" t="s">
        <v>15959</v>
      </c>
      <c r="B64" s="79" t="s">
        <v>15925</v>
      </c>
      <c r="C64" s="101" t="s">
        <v>15926</v>
      </c>
      <c r="D64" s="79">
        <v>3</v>
      </c>
      <c r="E64" s="100">
        <v>1</v>
      </c>
      <c r="F64" s="79" t="s">
        <v>15960</v>
      </c>
      <c r="G64" s="100" t="s">
        <v>15742</v>
      </c>
      <c r="H64" s="100" t="str">
        <f t="shared" si="0"/>
        <v>CH 04-3-1 Story</v>
      </c>
      <c r="I64" s="100" t="s">
        <v>15961</v>
      </c>
      <c r="J64" s="108" t="s">
        <v>15962</v>
      </c>
      <c r="L64"/>
      <c r="M64"/>
      <c r="N64"/>
    </row>
    <row r="65" spans="1:18" x14ac:dyDescent="0.2">
      <c r="A65" t="s">
        <v>15963</v>
      </c>
      <c r="B65" s="79" t="s">
        <v>15925</v>
      </c>
      <c r="C65" s="101" t="s">
        <v>15926</v>
      </c>
      <c r="D65" s="79">
        <v>3</v>
      </c>
      <c r="E65" s="100">
        <v>2</v>
      </c>
      <c r="F65" s="79" t="s">
        <v>15960</v>
      </c>
      <c r="G65" s="100" t="s">
        <v>15749</v>
      </c>
      <c r="H65" s="100" t="str">
        <f t="shared" si="0"/>
        <v>CH 04-3-2 Hybrid</v>
      </c>
      <c r="I65" s="100" t="s">
        <v>15964</v>
      </c>
      <c r="J65" s="108" t="s">
        <v>15965</v>
      </c>
      <c r="K65" s="100" t="s">
        <v>2837</v>
      </c>
      <c r="L65" s="59">
        <v>3400</v>
      </c>
      <c r="M65" s="59">
        <v>6500</v>
      </c>
      <c r="N65" s="59">
        <v>15000</v>
      </c>
      <c r="P65" t="s">
        <v>15752</v>
      </c>
      <c r="Q65" t="s">
        <v>15753</v>
      </c>
      <c r="R65" t="s">
        <v>15754</v>
      </c>
    </row>
    <row r="66" spans="1:18" x14ac:dyDescent="0.2">
      <c r="A66" t="s">
        <v>15966</v>
      </c>
      <c r="B66" s="79" t="s">
        <v>15925</v>
      </c>
      <c r="C66" s="101" t="s">
        <v>15926</v>
      </c>
      <c r="D66" s="79">
        <v>3</v>
      </c>
      <c r="E66" s="100">
        <v>3</v>
      </c>
      <c r="F66" s="79" t="s">
        <v>15960</v>
      </c>
      <c r="G66" s="100" t="s">
        <v>15742</v>
      </c>
      <c r="H66" s="100" t="str">
        <f t="shared" ref="H66:H129" si="1">+"CH "&amp;C66&amp;"-"&amp;D66&amp;"-"&amp;E66&amp;" "&amp;G66</f>
        <v>CH 04-3-3 Story</v>
      </c>
      <c r="I66" s="100" t="s">
        <v>15967</v>
      </c>
      <c r="J66" s="108" t="s">
        <v>15968</v>
      </c>
      <c r="L66"/>
      <c r="M66"/>
      <c r="N66"/>
    </row>
    <row r="67" spans="1:18" x14ac:dyDescent="0.2">
      <c r="A67" t="s">
        <v>15969</v>
      </c>
      <c r="B67" s="79" t="s">
        <v>15925</v>
      </c>
      <c r="C67" s="101" t="s">
        <v>15926</v>
      </c>
      <c r="D67" s="79">
        <v>3</v>
      </c>
      <c r="E67" s="100">
        <v>4</v>
      </c>
      <c r="F67" s="79" t="s">
        <v>15960</v>
      </c>
      <c r="G67" s="100" t="s">
        <v>15770</v>
      </c>
      <c r="H67" s="100" t="str">
        <f t="shared" si="1"/>
        <v>CH 04-3-4 Gameplay</v>
      </c>
      <c r="I67" s="100" t="s">
        <v>15970</v>
      </c>
      <c r="J67" s="108" t="s">
        <v>15971</v>
      </c>
      <c r="K67" s="100" t="s">
        <v>2837</v>
      </c>
      <c r="L67" s="59">
        <v>3500</v>
      </c>
      <c r="M67" s="59">
        <v>6600</v>
      </c>
      <c r="N67" s="59">
        <v>15000</v>
      </c>
      <c r="P67" t="s">
        <v>15752</v>
      </c>
      <c r="Q67" t="s">
        <v>15753</v>
      </c>
      <c r="R67" t="s">
        <v>15754</v>
      </c>
    </row>
    <row r="68" spans="1:18" x14ac:dyDescent="0.2">
      <c r="A68" t="s">
        <v>15972</v>
      </c>
      <c r="B68" s="79" t="s">
        <v>15925</v>
      </c>
      <c r="C68" s="101" t="s">
        <v>15926</v>
      </c>
      <c r="D68" s="79">
        <v>3</v>
      </c>
      <c r="E68" s="100">
        <v>5</v>
      </c>
      <c r="F68" s="79" t="s">
        <v>15960</v>
      </c>
      <c r="G68" s="100" t="s">
        <v>15770</v>
      </c>
      <c r="H68" s="100" t="str">
        <f t="shared" si="1"/>
        <v>CH 04-3-5 Gameplay</v>
      </c>
      <c r="I68" s="100" t="s">
        <v>15973</v>
      </c>
      <c r="J68" s="108" t="s">
        <v>15974</v>
      </c>
      <c r="K68" s="100" t="s">
        <v>2837</v>
      </c>
      <c r="L68" s="59">
        <v>3600</v>
      </c>
      <c r="M68" s="59">
        <v>6700</v>
      </c>
      <c r="N68" s="59">
        <v>15000</v>
      </c>
      <c r="P68" t="s">
        <v>15752</v>
      </c>
      <c r="Q68" t="s">
        <v>15753</v>
      </c>
      <c r="R68" t="s">
        <v>15754</v>
      </c>
    </row>
    <row r="69" spans="1:18" x14ac:dyDescent="0.2">
      <c r="A69" t="s">
        <v>15975</v>
      </c>
      <c r="B69" s="79" t="s">
        <v>15925</v>
      </c>
      <c r="C69" s="101" t="s">
        <v>15926</v>
      </c>
      <c r="D69" s="79">
        <v>4</v>
      </c>
      <c r="E69" s="100">
        <v>1</v>
      </c>
      <c r="F69" s="79" t="s">
        <v>15976</v>
      </c>
      <c r="G69" s="100" t="s">
        <v>15770</v>
      </c>
      <c r="H69" s="100" t="str">
        <f t="shared" si="1"/>
        <v>CH 04-4-1 Gameplay</v>
      </c>
      <c r="I69" s="100" t="s">
        <v>15977</v>
      </c>
      <c r="J69" s="108" t="s">
        <v>15978</v>
      </c>
      <c r="K69" s="100" t="s">
        <v>2837</v>
      </c>
      <c r="L69" s="59">
        <v>3700</v>
      </c>
      <c r="M69" s="59">
        <v>6800</v>
      </c>
      <c r="N69" s="59">
        <v>15000</v>
      </c>
      <c r="P69" t="s">
        <v>15752</v>
      </c>
      <c r="Q69" t="s">
        <v>15753</v>
      </c>
      <c r="R69" t="s">
        <v>15754</v>
      </c>
    </row>
    <row r="70" spans="1:18" x14ac:dyDescent="0.2">
      <c r="A70" t="s">
        <v>15979</v>
      </c>
      <c r="B70" s="79" t="s">
        <v>15925</v>
      </c>
      <c r="C70" s="101" t="s">
        <v>15926</v>
      </c>
      <c r="D70" s="79">
        <v>4</v>
      </c>
      <c r="E70" s="100">
        <v>2</v>
      </c>
      <c r="F70" s="79" t="s">
        <v>15976</v>
      </c>
      <c r="G70" s="100" t="s">
        <v>15749</v>
      </c>
      <c r="H70" s="100" t="str">
        <f t="shared" si="1"/>
        <v>CH 04-4-2 Hybrid</v>
      </c>
      <c r="I70" s="100" t="s">
        <v>15980</v>
      </c>
      <c r="J70" s="108" t="s">
        <v>15981</v>
      </c>
      <c r="K70" s="100" t="s">
        <v>2837</v>
      </c>
      <c r="L70" s="59">
        <v>3800</v>
      </c>
      <c r="M70" s="59">
        <v>6900</v>
      </c>
      <c r="N70" s="59">
        <v>15000</v>
      </c>
      <c r="P70" t="s">
        <v>15752</v>
      </c>
      <c r="Q70" t="s">
        <v>15753</v>
      </c>
      <c r="R70" t="s">
        <v>15754</v>
      </c>
    </row>
    <row r="71" spans="1:18" x14ac:dyDescent="0.2">
      <c r="A71" t="s">
        <v>15982</v>
      </c>
      <c r="B71" s="79" t="s">
        <v>15925</v>
      </c>
      <c r="C71" s="101" t="s">
        <v>15926</v>
      </c>
      <c r="D71" s="79">
        <v>4</v>
      </c>
      <c r="E71" s="100">
        <v>3</v>
      </c>
      <c r="F71" s="79" t="s">
        <v>15976</v>
      </c>
      <c r="G71" s="100" t="s">
        <v>15742</v>
      </c>
      <c r="H71" s="100" t="str">
        <f t="shared" si="1"/>
        <v>CH 04-4-3 Story</v>
      </c>
      <c r="I71" s="100" t="s">
        <v>15983</v>
      </c>
      <c r="J71" s="108" t="s">
        <v>15984</v>
      </c>
      <c r="L71"/>
      <c r="M71"/>
      <c r="N71"/>
    </row>
    <row r="72" spans="1:18" x14ac:dyDescent="0.2">
      <c r="A72" t="s">
        <v>15985</v>
      </c>
      <c r="B72" s="79" t="s">
        <v>15925</v>
      </c>
      <c r="C72" s="101" t="s">
        <v>15926</v>
      </c>
      <c r="D72" s="79" t="s">
        <v>15986</v>
      </c>
      <c r="E72" s="100">
        <v>1</v>
      </c>
      <c r="F72" s="79" t="s">
        <v>15987</v>
      </c>
      <c r="G72" s="100" t="s">
        <v>15742</v>
      </c>
      <c r="H72" s="100" t="str">
        <f t="shared" si="1"/>
        <v>CH 04-4-EX 2-1 Story</v>
      </c>
      <c r="I72" s="100" t="s">
        <v>15988</v>
      </c>
      <c r="J72" s="108" t="s">
        <v>15989</v>
      </c>
      <c r="L72"/>
      <c r="M72"/>
      <c r="N72"/>
    </row>
    <row r="73" spans="1:18" x14ac:dyDescent="0.2">
      <c r="A73" t="s">
        <v>15990</v>
      </c>
      <c r="B73" s="79" t="s">
        <v>15925</v>
      </c>
      <c r="C73" s="101" t="s">
        <v>15926</v>
      </c>
      <c r="D73" s="79" t="s">
        <v>15986</v>
      </c>
      <c r="E73" s="100">
        <v>2</v>
      </c>
      <c r="F73" s="79" t="s">
        <v>15987</v>
      </c>
      <c r="G73" s="100" t="s">
        <v>15770</v>
      </c>
      <c r="H73" s="100" t="str">
        <f t="shared" si="1"/>
        <v>CH 04-4-EX 2-2 Gameplay</v>
      </c>
      <c r="I73" s="100" t="s">
        <v>15991</v>
      </c>
      <c r="J73" s="108" t="s">
        <v>15992</v>
      </c>
      <c r="K73" s="100" t="s">
        <v>2837</v>
      </c>
      <c r="L73" s="59">
        <v>4800</v>
      </c>
      <c r="M73" s="59">
        <v>7700</v>
      </c>
      <c r="N73" s="59">
        <v>18000</v>
      </c>
      <c r="P73" t="s">
        <v>15752</v>
      </c>
      <c r="Q73" t="s">
        <v>15753</v>
      </c>
      <c r="R73" t="s">
        <v>15754</v>
      </c>
    </row>
    <row r="74" spans="1:18" x14ac:dyDescent="0.2">
      <c r="A74" t="s">
        <v>15993</v>
      </c>
      <c r="B74" s="79" t="s">
        <v>15925</v>
      </c>
      <c r="C74" s="101" t="s">
        <v>15926</v>
      </c>
      <c r="D74" s="79">
        <v>5</v>
      </c>
      <c r="E74" s="100">
        <v>1</v>
      </c>
      <c r="F74" s="79" t="s">
        <v>15994</v>
      </c>
      <c r="G74" s="100" t="s">
        <v>15770</v>
      </c>
      <c r="H74" s="100" t="str">
        <f t="shared" si="1"/>
        <v>CH 04-5-1 Gameplay</v>
      </c>
      <c r="I74" s="100" t="s">
        <v>15995</v>
      </c>
      <c r="J74" s="108" t="s">
        <v>15996</v>
      </c>
      <c r="K74" s="100" t="s">
        <v>2837</v>
      </c>
      <c r="L74" s="59">
        <v>4000</v>
      </c>
      <c r="M74" s="59">
        <v>7100</v>
      </c>
      <c r="N74" s="59">
        <v>15000</v>
      </c>
      <c r="P74" t="s">
        <v>15752</v>
      </c>
      <c r="Q74" t="s">
        <v>15753</v>
      </c>
      <c r="R74" t="s">
        <v>15754</v>
      </c>
    </row>
    <row r="75" spans="1:18" x14ac:dyDescent="0.2">
      <c r="A75" t="s">
        <v>15997</v>
      </c>
      <c r="B75" s="79" t="s">
        <v>15925</v>
      </c>
      <c r="C75" s="101" t="s">
        <v>15926</v>
      </c>
      <c r="D75" s="79">
        <v>5</v>
      </c>
      <c r="E75" s="100">
        <v>2</v>
      </c>
      <c r="F75" s="79" t="s">
        <v>15994</v>
      </c>
      <c r="G75" s="100" t="s">
        <v>15749</v>
      </c>
      <c r="H75" s="100" t="str">
        <f t="shared" si="1"/>
        <v>CH 04-5-2 Hybrid</v>
      </c>
      <c r="I75" s="100" t="s">
        <v>15998</v>
      </c>
      <c r="J75" s="108" t="s">
        <v>15999</v>
      </c>
      <c r="K75" s="100" t="s">
        <v>2837</v>
      </c>
      <c r="L75" s="59">
        <v>4200</v>
      </c>
      <c r="M75" s="59">
        <v>7500</v>
      </c>
      <c r="N75" s="59">
        <v>15000</v>
      </c>
      <c r="P75" t="s">
        <v>15752</v>
      </c>
      <c r="Q75" t="s">
        <v>15753</v>
      </c>
      <c r="R75" t="s">
        <v>15754</v>
      </c>
    </row>
    <row r="76" spans="1:18" x14ac:dyDescent="0.2">
      <c r="A76" t="s">
        <v>16000</v>
      </c>
      <c r="B76" s="79" t="s">
        <v>15925</v>
      </c>
      <c r="C76" s="101" t="s">
        <v>15926</v>
      </c>
      <c r="D76" s="79">
        <v>5</v>
      </c>
      <c r="E76" s="100">
        <v>3</v>
      </c>
      <c r="F76" s="79" t="s">
        <v>15994</v>
      </c>
      <c r="G76" s="100" t="s">
        <v>15742</v>
      </c>
      <c r="H76" s="100" t="str">
        <f t="shared" si="1"/>
        <v>CH 04-5-3 Story</v>
      </c>
      <c r="I76" s="100" t="s">
        <v>16001</v>
      </c>
      <c r="J76" s="108" t="s">
        <v>16002</v>
      </c>
      <c r="L76"/>
      <c r="M76"/>
      <c r="N76"/>
    </row>
    <row r="77" spans="1:18" x14ac:dyDescent="0.2">
      <c r="A77" t="s">
        <v>16003</v>
      </c>
      <c r="B77" s="79" t="s">
        <v>15925</v>
      </c>
      <c r="C77" s="101" t="s">
        <v>15926</v>
      </c>
      <c r="D77" s="79">
        <v>5</v>
      </c>
      <c r="E77" s="100">
        <v>4</v>
      </c>
      <c r="F77" s="79" t="s">
        <v>15994</v>
      </c>
      <c r="G77" s="100" t="s">
        <v>15742</v>
      </c>
      <c r="H77" s="100" t="str">
        <f t="shared" si="1"/>
        <v>CH 04-5-4 Story</v>
      </c>
      <c r="I77" s="100" t="s">
        <v>16004</v>
      </c>
      <c r="J77" s="108" t="s">
        <v>16005</v>
      </c>
      <c r="L77"/>
      <c r="M77"/>
      <c r="N77"/>
    </row>
    <row r="78" spans="1:18" x14ac:dyDescent="0.2">
      <c r="A78" t="s">
        <v>16006</v>
      </c>
      <c r="B78" s="79" t="s">
        <v>16007</v>
      </c>
      <c r="C78" s="101" t="s">
        <v>16008</v>
      </c>
      <c r="D78" s="79">
        <v>1</v>
      </c>
      <c r="E78" s="100">
        <v>1</v>
      </c>
      <c r="F78" s="79" t="s">
        <v>16009</v>
      </c>
      <c r="G78" s="100" t="s">
        <v>15742</v>
      </c>
      <c r="H78" s="100" t="str">
        <f t="shared" si="1"/>
        <v>CH 05-1-1 Story</v>
      </c>
      <c r="I78" s="100" t="s">
        <v>16010</v>
      </c>
      <c r="J78" s="108" t="s">
        <v>16011</v>
      </c>
      <c r="L78"/>
      <c r="M78"/>
      <c r="N78"/>
    </row>
    <row r="79" spans="1:18" x14ac:dyDescent="0.2">
      <c r="A79" t="s">
        <v>16012</v>
      </c>
      <c r="B79" s="79" t="s">
        <v>16007</v>
      </c>
      <c r="C79" s="101" t="s">
        <v>16008</v>
      </c>
      <c r="D79" s="79">
        <v>1</v>
      </c>
      <c r="E79" s="100">
        <v>2</v>
      </c>
      <c r="F79" s="79" t="s">
        <v>16009</v>
      </c>
      <c r="G79" s="100" t="s">
        <v>15770</v>
      </c>
      <c r="H79" s="100" t="str">
        <f t="shared" si="1"/>
        <v>CH 05-1-2 Gameplay</v>
      </c>
      <c r="I79" s="100" t="s">
        <v>16013</v>
      </c>
      <c r="J79" s="108" t="s">
        <v>16014</v>
      </c>
      <c r="K79" s="100" t="s">
        <v>3779</v>
      </c>
      <c r="L79" s="59">
        <v>4000</v>
      </c>
      <c r="M79" s="59">
        <v>6900</v>
      </c>
      <c r="N79" s="59">
        <v>15000</v>
      </c>
      <c r="P79" t="s">
        <v>15752</v>
      </c>
      <c r="Q79" t="s">
        <v>15753</v>
      </c>
      <c r="R79" t="s">
        <v>15754</v>
      </c>
    </row>
    <row r="80" spans="1:18" x14ac:dyDescent="0.2">
      <c r="A80" t="s">
        <v>16015</v>
      </c>
      <c r="B80" s="79" t="s">
        <v>16007</v>
      </c>
      <c r="C80" s="101" t="s">
        <v>16008</v>
      </c>
      <c r="D80" s="79">
        <v>1</v>
      </c>
      <c r="E80" s="100">
        <v>3</v>
      </c>
      <c r="F80" s="79" t="s">
        <v>16009</v>
      </c>
      <c r="G80" s="100" t="s">
        <v>15770</v>
      </c>
      <c r="H80" s="100" t="str">
        <f t="shared" si="1"/>
        <v>CH 05-1-3 Gameplay</v>
      </c>
      <c r="I80" s="100" t="s">
        <v>16016</v>
      </c>
      <c r="J80" s="108" t="s">
        <v>16017</v>
      </c>
      <c r="K80" s="100" t="s">
        <v>3779</v>
      </c>
      <c r="L80" s="59">
        <v>4100</v>
      </c>
      <c r="M80" s="59">
        <v>6950</v>
      </c>
      <c r="N80" s="59">
        <v>15000</v>
      </c>
      <c r="P80" t="s">
        <v>15752</v>
      </c>
      <c r="Q80" t="s">
        <v>15753</v>
      </c>
      <c r="R80" t="s">
        <v>15754</v>
      </c>
    </row>
    <row r="81" spans="1:18" x14ac:dyDescent="0.2">
      <c r="A81" t="s">
        <v>16018</v>
      </c>
      <c r="B81" s="79" t="s">
        <v>16007</v>
      </c>
      <c r="C81" s="101" t="s">
        <v>16008</v>
      </c>
      <c r="D81" s="79">
        <v>2</v>
      </c>
      <c r="E81" s="100">
        <v>1</v>
      </c>
      <c r="F81" s="79" t="s">
        <v>16019</v>
      </c>
      <c r="G81" s="100" t="s">
        <v>15742</v>
      </c>
      <c r="H81" s="100" t="str">
        <f t="shared" si="1"/>
        <v>CH 05-2-1 Story</v>
      </c>
      <c r="I81" s="100" t="s">
        <v>16020</v>
      </c>
      <c r="J81" s="108" t="s">
        <v>16021</v>
      </c>
      <c r="L81"/>
      <c r="M81"/>
      <c r="N81"/>
    </row>
    <row r="82" spans="1:18" x14ac:dyDescent="0.2">
      <c r="A82" t="s">
        <v>16022</v>
      </c>
      <c r="B82" s="79" t="s">
        <v>16007</v>
      </c>
      <c r="C82" s="101" t="s">
        <v>16008</v>
      </c>
      <c r="D82" s="79">
        <v>2</v>
      </c>
      <c r="E82" s="100">
        <v>2</v>
      </c>
      <c r="F82" s="79" t="s">
        <v>16019</v>
      </c>
      <c r="G82" s="100" t="s">
        <v>15770</v>
      </c>
      <c r="H82" s="100" t="str">
        <f t="shared" si="1"/>
        <v>CH 05-2-2 Gameplay</v>
      </c>
      <c r="I82" s="100" t="s">
        <v>16023</v>
      </c>
      <c r="J82" s="108" t="s">
        <v>16024</v>
      </c>
      <c r="K82" s="100" t="s">
        <v>3779</v>
      </c>
      <c r="L82" s="59">
        <v>4200</v>
      </c>
      <c r="M82" s="59">
        <v>7000</v>
      </c>
      <c r="N82" s="59">
        <v>15000</v>
      </c>
      <c r="P82" t="s">
        <v>15752</v>
      </c>
      <c r="Q82" t="s">
        <v>15753</v>
      </c>
      <c r="R82" t="s">
        <v>15754</v>
      </c>
    </row>
    <row r="83" spans="1:18" x14ac:dyDescent="0.2">
      <c r="A83" t="s">
        <v>16025</v>
      </c>
      <c r="B83" s="79" t="s">
        <v>16007</v>
      </c>
      <c r="C83" s="101" t="s">
        <v>16008</v>
      </c>
      <c r="D83" s="79">
        <v>2</v>
      </c>
      <c r="E83" s="100">
        <v>3</v>
      </c>
      <c r="F83" s="79" t="s">
        <v>16019</v>
      </c>
      <c r="G83" s="100" t="s">
        <v>15742</v>
      </c>
      <c r="H83" s="100" t="str">
        <f t="shared" si="1"/>
        <v>CH 05-2-3 Story</v>
      </c>
      <c r="I83" s="100" t="s">
        <v>16026</v>
      </c>
      <c r="J83" s="108" t="s">
        <v>16027</v>
      </c>
      <c r="L83"/>
      <c r="M83"/>
      <c r="N83"/>
    </row>
    <row r="84" spans="1:18" x14ac:dyDescent="0.2">
      <c r="A84" t="s">
        <v>16028</v>
      </c>
      <c r="B84" s="79" t="s">
        <v>16007</v>
      </c>
      <c r="C84" s="101" t="s">
        <v>16008</v>
      </c>
      <c r="D84" s="79">
        <v>2</v>
      </c>
      <c r="E84" s="100">
        <v>4</v>
      </c>
      <c r="F84" s="79" t="s">
        <v>16019</v>
      </c>
      <c r="G84" s="100" t="s">
        <v>15749</v>
      </c>
      <c r="H84" s="100" t="str">
        <f t="shared" si="1"/>
        <v>CH 05-2-4 Hybrid</v>
      </c>
      <c r="I84" s="100" t="s">
        <v>16029</v>
      </c>
      <c r="J84" s="108" t="s">
        <v>16030</v>
      </c>
      <c r="K84" s="100" t="s">
        <v>3779</v>
      </c>
      <c r="L84" s="59">
        <v>4300</v>
      </c>
      <c r="M84" s="59">
        <v>7100</v>
      </c>
      <c r="N84" s="59">
        <v>15000</v>
      </c>
      <c r="P84" t="s">
        <v>15752</v>
      </c>
      <c r="Q84" t="s">
        <v>15753</v>
      </c>
      <c r="R84" t="s">
        <v>15754</v>
      </c>
    </row>
    <row r="85" spans="1:18" x14ac:dyDescent="0.2">
      <c r="A85" t="s">
        <v>16031</v>
      </c>
      <c r="B85" s="79" t="s">
        <v>16007</v>
      </c>
      <c r="C85" s="101" t="s">
        <v>16008</v>
      </c>
      <c r="D85" s="79">
        <v>2</v>
      </c>
      <c r="E85" s="100">
        <v>5</v>
      </c>
      <c r="F85" s="79" t="s">
        <v>16019</v>
      </c>
      <c r="G85" s="100" t="s">
        <v>15742</v>
      </c>
      <c r="H85" s="100" t="str">
        <f t="shared" si="1"/>
        <v>CH 05-2-5 Story</v>
      </c>
      <c r="I85" s="100" t="s">
        <v>16032</v>
      </c>
      <c r="J85" s="108" t="s">
        <v>16033</v>
      </c>
      <c r="L85"/>
      <c r="M85"/>
      <c r="N85"/>
    </row>
    <row r="86" spans="1:18" x14ac:dyDescent="0.2">
      <c r="A86" t="s">
        <v>16034</v>
      </c>
      <c r="B86" s="79" t="s">
        <v>16007</v>
      </c>
      <c r="C86" s="101" t="s">
        <v>16008</v>
      </c>
      <c r="D86" s="79">
        <v>3</v>
      </c>
      <c r="E86" s="100">
        <v>1</v>
      </c>
      <c r="F86" s="79" t="s">
        <v>16035</v>
      </c>
      <c r="G86" s="100" t="s">
        <v>15770</v>
      </c>
      <c r="H86" s="100" t="str">
        <f t="shared" si="1"/>
        <v>CH 05-3-1 Gameplay</v>
      </c>
      <c r="I86" s="100" t="s">
        <v>16036</v>
      </c>
      <c r="J86" s="108" t="s">
        <v>16037</v>
      </c>
      <c r="K86" s="100" t="s">
        <v>3779</v>
      </c>
      <c r="L86" s="59">
        <v>4400</v>
      </c>
      <c r="M86" s="59">
        <v>7200</v>
      </c>
      <c r="N86" s="59">
        <v>15000</v>
      </c>
      <c r="P86" t="s">
        <v>15752</v>
      </c>
      <c r="Q86" t="s">
        <v>15753</v>
      </c>
      <c r="R86" t="s">
        <v>15754</v>
      </c>
    </row>
    <row r="87" spans="1:18" x14ac:dyDescent="0.2">
      <c r="A87" t="s">
        <v>16038</v>
      </c>
      <c r="B87" s="79" t="s">
        <v>16007</v>
      </c>
      <c r="C87" s="101" t="s">
        <v>16008</v>
      </c>
      <c r="D87" s="79">
        <v>3</v>
      </c>
      <c r="E87" s="100">
        <v>2</v>
      </c>
      <c r="F87" s="79" t="s">
        <v>16035</v>
      </c>
      <c r="G87" s="100" t="s">
        <v>15770</v>
      </c>
      <c r="H87" s="100" t="str">
        <f t="shared" si="1"/>
        <v>CH 05-3-2 Gameplay</v>
      </c>
      <c r="I87" s="100" t="s">
        <v>16039</v>
      </c>
      <c r="J87" s="108" t="s">
        <v>16040</v>
      </c>
      <c r="K87" s="100" t="s">
        <v>3779</v>
      </c>
      <c r="L87" s="59">
        <v>4500</v>
      </c>
      <c r="M87" s="59">
        <v>7300</v>
      </c>
      <c r="N87" s="59">
        <v>15000</v>
      </c>
      <c r="P87" t="s">
        <v>15752</v>
      </c>
      <c r="Q87" t="s">
        <v>15753</v>
      </c>
      <c r="R87" t="s">
        <v>15754</v>
      </c>
    </row>
    <row r="88" spans="1:18" x14ac:dyDescent="0.2">
      <c r="A88" t="s">
        <v>16041</v>
      </c>
      <c r="B88" s="79" t="s">
        <v>16007</v>
      </c>
      <c r="C88" s="101" t="s">
        <v>16008</v>
      </c>
      <c r="D88" s="79">
        <v>3</v>
      </c>
      <c r="E88" s="100">
        <v>3</v>
      </c>
      <c r="F88" s="79" t="s">
        <v>16035</v>
      </c>
      <c r="G88" s="100" t="s">
        <v>15749</v>
      </c>
      <c r="H88" s="100" t="str">
        <f t="shared" si="1"/>
        <v>CH 05-3-3 Hybrid</v>
      </c>
      <c r="I88" s="100" t="s">
        <v>16042</v>
      </c>
      <c r="J88" s="108" t="s">
        <v>16043</v>
      </c>
      <c r="K88" s="100" t="s">
        <v>3779</v>
      </c>
      <c r="L88" s="59">
        <v>4600</v>
      </c>
      <c r="M88" s="59">
        <v>7400</v>
      </c>
      <c r="N88" s="59">
        <v>15000</v>
      </c>
      <c r="P88" t="s">
        <v>15752</v>
      </c>
      <c r="Q88" t="s">
        <v>15753</v>
      </c>
      <c r="R88" t="s">
        <v>15754</v>
      </c>
    </row>
    <row r="89" spans="1:18" x14ac:dyDescent="0.2">
      <c r="A89" t="s">
        <v>16044</v>
      </c>
      <c r="B89" s="79" t="s">
        <v>16007</v>
      </c>
      <c r="C89" s="101" t="s">
        <v>16008</v>
      </c>
      <c r="D89" s="79">
        <v>4</v>
      </c>
      <c r="E89" s="100">
        <v>1</v>
      </c>
      <c r="F89" s="79" t="s">
        <v>16045</v>
      </c>
      <c r="G89" s="100" t="s">
        <v>15742</v>
      </c>
      <c r="H89" s="100" t="str">
        <f t="shared" si="1"/>
        <v>CH 05-4-1 Story</v>
      </c>
      <c r="I89" s="100" t="s">
        <v>4563</v>
      </c>
      <c r="J89" s="108" t="s">
        <v>16046</v>
      </c>
      <c r="L89"/>
      <c r="M89"/>
      <c r="N89"/>
    </row>
    <row r="90" spans="1:18" x14ac:dyDescent="0.2">
      <c r="A90" t="s">
        <v>16047</v>
      </c>
      <c r="B90" s="79" t="s">
        <v>16007</v>
      </c>
      <c r="C90" s="101" t="s">
        <v>16008</v>
      </c>
      <c r="D90" s="79">
        <v>4</v>
      </c>
      <c r="E90" s="100">
        <v>2</v>
      </c>
      <c r="F90" s="79" t="s">
        <v>16045</v>
      </c>
      <c r="G90" s="100" t="s">
        <v>15770</v>
      </c>
      <c r="H90" s="100" t="str">
        <f t="shared" si="1"/>
        <v>CH 05-4-2 Gameplay</v>
      </c>
      <c r="I90" s="100" t="s">
        <v>16048</v>
      </c>
      <c r="J90" s="108" t="s">
        <v>16049</v>
      </c>
      <c r="K90" s="100" t="s">
        <v>3779</v>
      </c>
      <c r="L90" s="59">
        <v>4700</v>
      </c>
      <c r="M90" s="59">
        <v>7500</v>
      </c>
      <c r="N90" s="59">
        <v>15000</v>
      </c>
      <c r="P90" t="s">
        <v>15752</v>
      </c>
      <c r="Q90" t="s">
        <v>15753</v>
      </c>
      <c r="R90" t="s">
        <v>15754</v>
      </c>
    </row>
    <row r="91" spans="1:18" x14ac:dyDescent="0.2">
      <c r="A91" t="s">
        <v>16050</v>
      </c>
      <c r="B91" s="79" t="s">
        <v>16007</v>
      </c>
      <c r="C91" s="101" t="s">
        <v>16008</v>
      </c>
      <c r="D91" s="79">
        <v>4</v>
      </c>
      <c r="E91" s="100">
        <v>3</v>
      </c>
      <c r="F91" s="79" t="s">
        <v>16045</v>
      </c>
      <c r="G91" s="100" t="s">
        <v>15749</v>
      </c>
      <c r="H91" s="100" t="str">
        <f t="shared" si="1"/>
        <v>CH 05-4-3 Hybrid</v>
      </c>
      <c r="I91" s="100" t="s">
        <v>16051</v>
      </c>
      <c r="J91" s="108" t="s">
        <v>16052</v>
      </c>
      <c r="K91" s="100" t="s">
        <v>3779</v>
      </c>
      <c r="L91" s="59">
        <v>5200</v>
      </c>
      <c r="M91" s="59">
        <v>8000</v>
      </c>
      <c r="N91" s="59">
        <v>15000</v>
      </c>
      <c r="P91" t="s">
        <v>15752</v>
      </c>
      <c r="Q91" t="s">
        <v>15753</v>
      </c>
      <c r="R91" t="s">
        <v>15754</v>
      </c>
    </row>
    <row r="92" spans="1:18" x14ac:dyDescent="0.2">
      <c r="A92" t="s">
        <v>16053</v>
      </c>
      <c r="B92" s="79" t="s">
        <v>16007</v>
      </c>
      <c r="C92" s="101" t="s">
        <v>16008</v>
      </c>
      <c r="D92" s="79">
        <v>4</v>
      </c>
      <c r="E92" s="100">
        <v>4</v>
      </c>
      <c r="F92" s="79" t="s">
        <v>16045</v>
      </c>
      <c r="G92" s="100" t="s">
        <v>15742</v>
      </c>
      <c r="H92" s="100" t="str">
        <f t="shared" si="1"/>
        <v>CH 05-4-4 Story</v>
      </c>
      <c r="I92" s="100" t="s">
        <v>16054</v>
      </c>
      <c r="J92" s="108" t="s">
        <v>16055</v>
      </c>
      <c r="L92"/>
      <c r="M92"/>
      <c r="N92"/>
    </row>
    <row r="93" spans="1:18" x14ac:dyDescent="0.2">
      <c r="A93" t="s">
        <v>16056</v>
      </c>
      <c r="B93" s="79" t="s">
        <v>16057</v>
      </c>
      <c r="C93" s="101" t="s">
        <v>16058</v>
      </c>
      <c r="D93" s="79">
        <v>1</v>
      </c>
      <c r="E93" s="100">
        <v>1</v>
      </c>
      <c r="F93" s="79" t="s">
        <v>16059</v>
      </c>
      <c r="G93" s="100" t="s">
        <v>15742</v>
      </c>
      <c r="H93" s="100" t="str">
        <f t="shared" si="1"/>
        <v>CH 06-1-1 Story</v>
      </c>
      <c r="I93" s="100" t="s">
        <v>16060</v>
      </c>
      <c r="J93" s="108" t="s">
        <v>16061</v>
      </c>
      <c r="L93"/>
      <c r="M93"/>
      <c r="N93"/>
    </row>
    <row r="94" spans="1:18" x14ac:dyDescent="0.2">
      <c r="A94" t="s">
        <v>16062</v>
      </c>
      <c r="B94" s="79" t="s">
        <v>16057</v>
      </c>
      <c r="C94" s="101" t="s">
        <v>16058</v>
      </c>
      <c r="D94" s="79">
        <v>1</v>
      </c>
      <c r="E94" s="100">
        <v>2</v>
      </c>
      <c r="F94" s="79" t="s">
        <v>16059</v>
      </c>
      <c r="G94" s="100" t="s">
        <v>15770</v>
      </c>
      <c r="H94" s="100" t="str">
        <f t="shared" si="1"/>
        <v>CH 06-1-2 Gameplay</v>
      </c>
      <c r="I94" s="100" t="s">
        <v>16063</v>
      </c>
      <c r="J94" s="108" t="s">
        <v>16064</v>
      </c>
      <c r="K94" s="100" t="s">
        <v>1947</v>
      </c>
      <c r="L94" s="59">
        <v>4800</v>
      </c>
      <c r="M94" s="59">
        <v>7350</v>
      </c>
      <c r="N94" s="59">
        <v>18000</v>
      </c>
      <c r="P94" t="s">
        <v>15752</v>
      </c>
      <c r="Q94" t="s">
        <v>15753</v>
      </c>
      <c r="R94" t="s">
        <v>15754</v>
      </c>
    </row>
    <row r="95" spans="1:18" x14ac:dyDescent="0.2">
      <c r="A95" t="s">
        <v>16065</v>
      </c>
      <c r="B95" s="79" t="s">
        <v>16057</v>
      </c>
      <c r="C95" s="101" t="s">
        <v>16058</v>
      </c>
      <c r="D95" s="79">
        <v>1</v>
      </c>
      <c r="E95" s="100">
        <v>3</v>
      </c>
      <c r="F95" s="79" t="s">
        <v>16059</v>
      </c>
      <c r="G95" s="100" t="s">
        <v>15770</v>
      </c>
      <c r="H95" s="100" t="str">
        <f t="shared" si="1"/>
        <v>CH 06-1-3 Gameplay</v>
      </c>
      <c r="I95" s="100" t="s">
        <v>16066</v>
      </c>
      <c r="J95" s="108" t="s">
        <v>16067</v>
      </c>
      <c r="K95" s="100" t="s">
        <v>1947</v>
      </c>
      <c r="L95" s="59">
        <v>4800</v>
      </c>
      <c r="M95" s="59">
        <v>7400</v>
      </c>
      <c r="N95" s="59">
        <v>18000</v>
      </c>
      <c r="P95" t="s">
        <v>15752</v>
      </c>
      <c r="Q95" t="s">
        <v>15753</v>
      </c>
      <c r="R95" t="s">
        <v>15754</v>
      </c>
    </row>
    <row r="96" spans="1:18" x14ac:dyDescent="0.2">
      <c r="A96" t="s">
        <v>16068</v>
      </c>
      <c r="B96" s="79" t="s">
        <v>16057</v>
      </c>
      <c r="C96" s="101" t="s">
        <v>16058</v>
      </c>
      <c r="D96" s="79">
        <v>1</v>
      </c>
      <c r="E96" s="100">
        <v>4</v>
      </c>
      <c r="F96" s="79" t="s">
        <v>16059</v>
      </c>
      <c r="G96" s="100" t="s">
        <v>15742</v>
      </c>
      <c r="H96" s="100" t="str">
        <f t="shared" si="1"/>
        <v>CH 06-1-4 Story</v>
      </c>
      <c r="I96" s="100" t="s">
        <v>16069</v>
      </c>
      <c r="J96" s="108" t="s">
        <v>16070</v>
      </c>
      <c r="L96"/>
      <c r="M96"/>
      <c r="N96"/>
    </row>
    <row r="97" spans="1:18" x14ac:dyDescent="0.2">
      <c r="A97" t="s">
        <v>16071</v>
      </c>
      <c r="B97" s="79" t="s">
        <v>16057</v>
      </c>
      <c r="C97" s="101" t="s">
        <v>16058</v>
      </c>
      <c r="D97" s="79">
        <v>1</v>
      </c>
      <c r="E97" s="100">
        <v>5</v>
      </c>
      <c r="F97" s="79" t="s">
        <v>16059</v>
      </c>
      <c r="G97" s="100" t="s">
        <v>15770</v>
      </c>
      <c r="H97" s="100" t="str">
        <f t="shared" si="1"/>
        <v>CH 06-1-5 Gameplay</v>
      </c>
      <c r="I97" s="100" t="s">
        <v>16072</v>
      </c>
      <c r="J97" s="108" t="s">
        <v>16073</v>
      </c>
      <c r="K97" s="100" t="s">
        <v>1947</v>
      </c>
      <c r="L97" s="59">
        <v>4850</v>
      </c>
      <c r="M97" s="59">
        <v>7450</v>
      </c>
      <c r="N97" s="59">
        <v>18000</v>
      </c>
      <c r="P97" t="s">
        <v>15752</v>
      </c>
      <c r="Q97" t="s">
        <v>15753</v>
      </c>
      <c r="R97" t="s">
        <v>15754</v>
      </c>
    </row>
    <row r="98" spans="1:18" x14ac:dyDescent="0.2">
      <c r="A98" t="s">
        <v>16074</v>
      </c>
      <c r="B98" s="79" t="s">
        <v>16057</v>
      </c>
      <c r="C98" s="101" t="s">
        <v>16058</v>
      </c>
      <c r="D98" s="79">
        <v>1</v>
      </c>
      <c r="E98" s="100">
        <v>6</v>
      </c>
      <c r="F98" s="79" t="s">
        <v>16059</v>
      </c>
      <c r="G98" s="100" t="s">
        <v>15770</v>
      </c>
      <c r="H98" s="100" t="str">
        <f t="shared" si="1"/>
        <v>CH 06-1-6 Gameplay</v>
      </c>
      <c r="I98" s="100" t="s">
        <v>16075</v>
      </c>
      <c r="J98" s="108" t="s">
        <v>16076</v>
      </c>
      <c r="K98" s="100" t="s">
        <v>1947</v>
      </c>
      <c r="L98" s="59">
        <v>4850</v>
      </c>
      <c r="M98" s="59">
        <v>7500</v>
      </c>
      <c r="N98" s="59">
        <v>18000</v>
      </c>
      <c r="P98" t="s">
        <v>15752</v>
      </c>
      <c r="Q98" t="s">
        <v>15753</v>
      </c>
      <c r="R98" t="s">
        <v>15754</v>
      </c>
    </row>
    <row r="99" spans="1:18" x14ac:dyDescent="0.2">
      <c r="A99" t="s">
        <v>16077</v>
      </c>
      <c r="B99" s="79" t="s">
        <v>16057</v>
      </c>
      <c r="C99" s="101" t="s">
        <v>16058</v>
      </c>
      <c r="D99" s="79">
        <v>2</v>
      </c>
      <c r="E99" s="100">
        <v>1</v>
      </c>
      <c r="F99" s="79" t="s">
        <v>16078</v>
      </c>
      <c r="G99" s="100" t="s">
        <v>15742</v>
      </c>
      <c r="H99" s="100" t="str">
        <f t="shared" si="1"/>
        <v>CH 06-2-1 Story</v>
      </c>
      <c r="I99" s="100" t="s">
        <v>16079</v>
      </c>
      <c r="J99" s="108" t="s">
        <v>16080</v>
      </c>
      <c r="L99"/>
      <c r="M99"/>
      <c r="N99"/>
    </row>
    <row r="100" spans="1:18" x14ac:dyDescent="0.2">
      <c r="A100" t="s">
        <v>16081</v>
      </c>
      <c r="B100" s="79" t="s">
        <v>16057</v>
      </c>
      <c r="C100" s="101" t="s">
        <v>16058</v>
      </c>
      <c r="D100" s="79">
        <v>2</v>
      </c>
      <c r="E100" s="100">
        <v>2</v>
      </c>
      <c r="F100" s="79" t="s">
        <v>16078</v>
      </c>
      <c r="G100" s="100" t="s">
        <v>15770</v>
      </c>
      <c r="H100" s="100" t="str">
        <f t="shared" si="1"/>
        <v>CH 06-2-2 Gameplay</v>
      </c>
      <c r="I100" s="100" t="s">
        <v>16082</v>
      </c>
      <c r="J100" s="108" t="s">
        <v>16083</v>
      </c>
      <c r="K100" s="100" t="s">
        <v>1947</v>
      </c>
      <c r="L100" s="59">
        <v>4900</v>
      </c>
      <c r="M100" s="59">
        <v>7550</v>
      </c>
      <c r="N100" s="59">
        <v>18000</v>
      </c>
      <c r="P100" t="s">
        <v>15752</v>
      </c>
      <c r="Q100" t="s">
        <v>15753</v>
      </c>
      <c r="R100" t="s">
        <v>15754</v>
      </c>
    </row>
    <row r="101" spans="1:18" x14ac:dyDescent="0.2">
      <c r="A101" t="s">
        <v>16084</v>
      </c>
      <c r="B101" s="79" t="s">
        <v>16057</v>
      </c>
      <c r="C101" s="101" t="s">
        <v>16058</v>
      </c>
      <c r="D101" s="79">
        <v>2</v>
      </c>
      <c r="E101" s="100">
        <v>3</v>
      </c>
      <c r="F101" s="79" t="s">
        <v>16078</v>
      </c>
      <c r="G101" s="100" t="s">
        <v>15770</v>
      </c>
      <c r="H101" s="100" t="str">
        <f t="shared" si="1"/>
        <v>CH 06-2-3 Gameplay</v>
      </c>
      <c r="I101" s="100" t="s">
        <v>16085</v>
      </c>
      <c r="J101" s="108" t="s">
        <v>16086</v>
      </c>
      <c r="K101" s="100" t="s">
        <v>1947</v>
      </c>
      <c r="L101" s="59">
        <v>4900</v>
      </c>
      <c r="M101" s="59">
        <v>7600</v>
      </c>
      <c r="N101" s="59">
        <v>18000</v>
      </c>
      <c r="P101" t="s">
        <v>15752</v>
      </c>
      <c r="Q101" t="s">
        <v>15753</v>
      </c>
      <c r="R101" t="s">
        <v>15754</v>
      </c>
    </row>
    <row r="102" spans="1:18" x14ac:dyDescent="0.2">
      <c r="A102" t="s">
        <v>16087</v>
      </c>
      <c r="B102" s="79" t="s">
        <v>16057</v>
      </c>
      <c r="C102" s="101" t="s">
        <v>16058</v>
      </c>
      <c r="D102" s="79">
        <v>2</v>
      </c>
      <c r="E102" s="100">
        <v>4</v>
      </c>
      <c r="F102" s="79" t="s">
        <v>16078</v>
      </c>
      <c r="G102" s="100" t="s">
        <v>15742</v>
      </c>
      <c r="H102" s="100" t="str">
        <f t="shared" si="1"/>
        <v>CH 06-2-4 Story</v>
      </c>
      <c r="I102" s="100" t="s">
        <v>16088</v>
      </c>
      <c r="J102" s="108" t="s">
        <v>16089</v>
      </c>
      <c r="L102"/>
      <c r="M102"/>
      <c r="N102"/>
    </row>
    <row r="103" spans="1:18" x14ac:dyDescent="0.2">
      <c r="A103" t="s">
        <v>16090</v>
      </c>
      <c r="B103" s="79" t="s">
        <v>16057</v>
      </c>
      <c r="C103" s="101" t="s">
        <v>16058</v>
      </c>
      <c r="D103" s="79">
        <v>2</v>
      </c>
      <c r="E103" s="100">
        <v>5</v>
      </c>
      <c r="F103" s="79" t="s">
        <v>16078</v>
      </c>
      <c r="G103" s="100" t="s">
        <v>15770</v>
      </c>
      <c r="H103" s="100" t="str">
        <f t="shared" si="1"/>
        <v>CH 06-2-5 Gameplay</v>
      </c>
      <c r="I103" s="100" t="s">
        <v>16091</v>
      </c>
      <c r="J103" s="108" t="s">
        <v>16092</v>
      </c>
      <c r="K103" s="100" t="s">
        <v>1947</v>
      </c>
      <c r="L103" s="59">
        <v>4950</v>
      </c>
      <c r="M103" s="59">
        <v>7650</v>
      </c>
      <c r="N103" s="59">
        <v>18000</v>
      </c>
      <c r="P103" t="s">
        <v>15752</v>
      </c>
      <c r="Q103" t="s">
        <v>15753</v>
      </c>
      <c r="R103" t="s">
        <v>15754</v>
      </c>
    </row>
    <row r="104" spans="1:18" x14ac:dyDescent="0.2">
      <c r="A104" t="s">
        <v>16093</v>
      </c>
      <c r="B104" s="79" t="s">
        <v>16057</v>
      </c>
      <c r="C104" s="101" t="s">
        <v>16058</v>
      </c>
      <c r="D104" s="79">
        <v>2</v>
      </c>
      <c r="E104" s="100">
        <v>6</v>
      </c>
      <c r="F104" s="79" t="s">
        <v>16078</v>
      </c>
      <c r="G104" s="100" t="s">
        <v>15770</v>
      </c>
      <c r="H104" s="100" t="str">
        <f t="shared" si="1"/>
        <v>CH 06-2-6 Gameplay</v>
      </c>
      <c r="I104" s="100" t="s">
        <v>16094</v>
      </c>
      <c r="J104" s="108" t="s">
        <v>16095</v>
      </c>
      <c r="K104" s="100" t="s">
        <v>1947</v>
      </c>
      <c r="L104" s="59">
        <v>4950</v>
      </c>
      <c r="M104" s="59">
        <v>7700</v>
      </c>
      <c r="N104" s="59">
        <v>18000</v>
      </c>
      <c r="P104" t="s">
        <v>15752</v>
      </c>
      <c r="Q104" t="s">
        <v>15753</v>
      </c>
      <c r="R104" t="s">
        <v>15754</v>
      </c>
    </row>
    <row r="105" spans="1:18" x14ac:dyDescent="0.2">
      <c r="A105" t="s">
        <v>16096</v>
      </c>
      <c r="B105" s="79" t="s">
        <v>16057</v>
      </c>
      <c r="C105" s="101" t="s">
        <v>16058</v>
      </c>
      <c r="D105" s="79" t="s">
        <v>15821</v>
      </c>
      <c r="E105" s="100">
        <v>1</v>
      </c>
      <c r="F105" s="79" t="s">
        <v>16097</v>
      </c>
      <c r="G105" s="100" t="s">
        <v>15770</v>
      </c>
      <c r="H105" s="100" t="str">
        <f t="shared" si="1"/>
        <v>CH 06-2-EX 1-1 Gameplay</v>
      </c>
      <c r="I105" s="100" t="s">
        <v>16098</v>
      </c>
      <c r="J105" s="108" t="s">
        <v>16099</v>
      </c>
      <c r="K105" s="100" t="s">
        <v>1947</v>
      </c>
      <c r="L105" s="59">
        <v>6000</v>
      </c>
      <c r="M105" s="59">
        <v>8700</v>
      </c>
      <c r="N105" s="59">
        <v>21000</v>
      </c>
      <c r="P105" t="s">
        <v>15752</v>
      </c>
      <c r="Q105" t="s">
        <v>15753</v>
      </c>
      <c r="R105" t="s">
        <v>15754</v>
      </c>
    </row>
    <row r="106" spans="1:18" x14ac:dyDescent="0.2">
      <c r="A106" t="s">
        <v>16100</v>
      </c>
      <c r="B106" s="79" t="s">
        <v>16057</v>
      </c>
      <c r="C106" s="101" t="s">
        <v>16058</v>
      </c>
      <c r="D106" s="79" t="s">
        <v>15821</v>
      </c>
      <c r="E106" s="100">
        <v>2</v>
      </c>
      <c r="F106" s="79" t="s">
        <v>16097</v>
      </c>
      <c r="G106" s="100" t="s">
        <v>15770</v>
      </c>
      <c r="H106" s="100" t="str">
        <f t="shared" si="1"/>
        <v>CH 06-2-EX 1-2 Gameplay</v>
      </c>
      <c r="I106" s="100" t="s">
        <v>16101</v>
      </c>
      <c r="J106" s="108" t="s">
        <v>16102</v>
      </c>
      <c r="K106" s="100" t="s">
        <v>1947</v>
      </c>
      <c r="L106" s="59">
        <v>6300</v>
      </c>
      <c r="M106" s="59">
        <v>9000</v>
      </c>
      <c r="N106" s="59">
        <v>21000</v>
      </c>
      <c r="P106" t="s">
        <v>15752</v>
      </c>
      <c r="Q106" t="s">
        <v>15753</v>
      </c>
      <c r="R106" t="s">
        <v>15754</v>
      </c>
    </row>
    <row r="107" spans="1:18" x14ac:dyDescent="0.2">
      <c r="A107" t="s">
        <v>16103</v>
      </c>
      <c r="B107" s="79" t="s">
        <v>16057</v>
      </c>
      <c r="C107" s="101" t="s">
        <v>16058</v>
      </c>
      <c r="D107" s="79">
        <v>3</v>
      </c>
      <c r="E107" s="100">
        <v>1</v>
      </c>
      <c r="F107" s="79" t="s">
        <v>16104</v>
      </c>
      <c r="G107" s="100" t="s">
        <v>15742</v>
      </c>
      <c r="H107" s="100" t="str">
        <f t="shared" si="1"/>
        <v>CH 06-3-1 Story</v>
      </c>
      <c r="I107" s="100" t="s">
        <v>16105</v>
      </c>
      <c r="J107" s="108" t="s">
        <v>16106</v>
      </c>
      <c r="L107"/>
      <c r="M107"/>
      <c r="N107"/>
    </row>
    <row r="108" spans="1:18" x14ac:dyDescent="0.2">
      <c r="A108" t="s">
        <v>16107</v>
      </c>
      <c r="B108" s="79" t="s">
        <v>16057</v>
      </c>
      <c r="C108" s="101" t="s">
        <v>16058</v>
      </c>
      <c r="D108" s="79">
        <v>3</v>
      </c>
      <c r="E108" s="100">
        <v>2</v>
      </c>
      <c r="F108" s="79" t="s">
        <v>16104</v>
      </c>
      <c r="G108" s="100" t="s">
        <v>15770</v>
      </c>
      <c r="H108" s="100" t="str">
        <f t="shared" si="1"/>
        <v>CH 06-3-2 Gameplay</v>
      </c>
      <c r="I108" s="100" t="s">
        <v>16108</v>
      </c>
      <c r="J108" s="108" t="s">
        <v>16109</v>
      </c>
      <c r="K108" s="100" t="s">
        <v>1947</v>
      </c>
      <c r="L108" s="59">
        <v>5000</v>
      </c>
      <c r="M108" s="59">
        <v>7800</v>
      </c>
      <c r="N108" s="59">
        <v>18000</v>
      </c>
      <c r="P108" t="s">
        <v>15752</v>
      </c>
      <c r="Q108" t="s">
        <v>15753</v>
      </c>
      <c r="R108" t="s">
        <v>15754</v>
      </c>
    </row>
    <row r="109" spans="1:18" x14ac:dyDescent="0.2">
      <c r="A109" t="s">
        <v>16110</v>
      </c>
      <c r="B109" s="79" t="s">
        <v>16057</v>
      </c>
      <c r="C109" s="101" t="s">
        <v>16058</v>
      </c>
      <c r="D109" s="79">
        <v>3</v>
      </c>
      <c r="E109" s="100">
        <v>3</v>
      </c>
      <c r="F109" s="79" t="s">
        <v>16104</v>
      </c>
      <c r="G109" s="100" t="s">
        <v>15770</v>
      </c>
      <c r="H109" s="100" t="str">
        <f t="shared" si="1"/>
        <v>CH 06-3-3 Gameplay</v>
      </c>
      <c r="I109" s="100" t="s">
        <v>16111</v>
      </c>
      <c r="J109" s="108" t="s">
        <v>16112</v>
      </c>
      <c r="K109" s="100" t="s">
        <v>1947</v>
      </c>
      <c r="L109" s="59">
        <v>5000</v>
      </c>
      <c r="M109" s="59">
        <v>7850</v>
      </c>
      <c r="N109" s="59">
        <v>18000</v>
      </c>
      <c r="P109" t="s">
        <v>15752</v>
      </c>
      <c r="Q109" t="s">
        <v>15753</v>
      </c>
      <c r="R109" t="s">
        <v>15754</v>
      </c>
    </row>
    <row r="110" spans="1:18" x14ac:dyDescent="0.2">
      <c r="A110" t="s">
        <v>16113</v>
      </c>
      <c r="B110" s="79" t="s">
        <v>16057</v>
      </c>
      <c r="C110" s="101" t="s">
        <v>16058</v>
      </c>
      <c r="D110" s="79">
        <v>3</v>
      </c>
      <c r="E110" s="100">
        <v>4</v>
      </c>
      <c r="F110" s="79" t="s">
        <v>16104</v>
      </c>
      <c r="G110" s="100" t="s">
        <v>15749</v>
      </c>
      <c r="H110" s="100" t="str">
        <f t="shared" si="1"/>
        <v>CH 06-3-4 Hybrid</v>
      </c>
      <c r="I110" s="100" t="s">
        <v>16114</v>
      </c>
      <c r="J110" s="108" t="s">
        <v>16115</v>
      </c>
      <c r="K110" s="100" t="s">
        <v>2837</v>
      </c>
      <c r="L110" s="59">
        <v>5050</v>
      </c>
      <c r="M110" s="59">
        <v>7900</v>
      </c>
      <c r="N110" s="59">
        <v>18000</v>
      </c>
      <c r="P110" t="s">
        <v>15752</v>
      </c>
      <c r="Q110" t="s">
        <v>15753</v>
      </c>
      <c r="R110" t="s">
        <v>15754</v>
      </c>
    </row>
    <row r="111" spans="1:18" x14ac:dyDescent="0.2">
      <c r="A111" t="s">
        <v>16116</v>
      </c>
      <c r="B111" s="79" t="s">
        <v>16057</v>
      </c>
      <c r="C111" s="101" t="s">
        <v>16058</v>
      </c>
      <c r="D111" s="79">
        <v>3</v>
      </c>
      <c r="E111" s="100">
        <v>5</v>
      </c>
      <c r="F111" s="79" t="s">
        <v>16104</v>
      </c>
      <c r="G111" s="100" t="s">
        <v>15742</v>
      </c>
      <c r="H111" s="100" t="str">
        <f t="shared" si="1"/>
        <v>CH 06-3-5 Story</v>
      </c>
      <c r="I111" s="100" t="s">
        <v>16117</v>
      </c>
      <c r="J111" s="108" t="s">
        <v>16118</v>
      </c>
      <c r="L111"/>
      <c r="M111"/>
      <c r="N111"/>
    </row>
    <row r="112" spans="1:18" x14ac:dyDescent="0.2">
      <c r="A112" t="s">
        <v>16119</v>
      </c>
      <c r="B112" s="79" t="s">
        <v>16057</v>
      </c>
      <c r="C112" s="101" t="s">
        <v>16058</v>
      </c>
      <c r="D112" s="79">
        <v>4</v>
      </c>
      <c r="E112" s="100">
        <v>1</v>
      </c>
      <c r="F112" s="79" t="s">
        <v>16120</v>
      </c>
      <c r="G112" s="100" t="s">
        <v>15770</v>
      </c>
      <c r="H112" s="100" t="str">
        <f t="shared" si="1"/>
        <v>CH 06-4-1 Gameplay</v>
      </c>
      <c r="I112" s="100" t="s">
        <v>16121</v>
      </c>
      <c r="J112" s="108" t="s">
        <v>16122</v>
      </c>
      <c r="K112" s="100" t="s">
        <v>1947</v>
      </c>
      <c r="L112" s="59">
        <v>5100</v>
      </c>
      <c r="M112" s="59">
        <v>8000</v>
      </c>
      <c r="N112" s="59">
        <v>18000</v>
      </c>
      <c r="P112" t="s">
        <v>15752</v>
      </c>
      <c r="Q112" t="s">
        <v>15753</v>
      </c>
      <c r="R112" t="s">
        <v>15754</v>
      </c>
    </row>
    <row r="113" spans="1:18" x14ac:dyDescent="0.2">
      <c r="A113" t="s">
        <v>16123</v>
      </c>
      <c r="B113" s="79" t="s">
        <v>16057</v>
      </c>
      <c r="C113" s="101" t="s">
        <v>16058</v>
      </c>
      <c r="D113" s="79">
        <v>4</v>
      </c>
      <c r="E113" s="100">
        <v>2</v>
      </c>
      <c r="F113" s="79" t="s">
        <v>16120</v>
      </c>
      <c r="G113" s="100" t="s">
        <v>15770</v>
      </c>
      <c r="H113" s="100" t="str">
        <f t="shared" si="1"/>
        <v>CH 06-4-2 Gameplay</v>
      </c>
      <c r="I113" s="100" t="s">
        <v>16124</v>
      </c>
      <c r="J113" s="108" t="s">
        <v>16125</v>
      </c>
      <c r="K113" s="100" t="s">
        <v>1947</v>
      </c>
      <c r="L113" s="59">
        <v>5200</v>
      </c>
      <c r="M113" s="59">
        <v>8100</v>
      </c>
      <c r="N113" s="59">
        <v>18000</v>
      </c>
      <c r="P113" t="s">
        <v>15752</v>
      </c>
      <c r="Q113" t="s">
        <v>15753</v>
      </c>
      <c r="R113" t="s">
        <v>15754</v>
      </c>
    </row>
    <row r="114" spans="1:18" x14ac:dyDescent="0.2">
      <c r="A114" t="s">
        <v>16126</v>
      </c>
      <c r="B114" s="79" t="s">
        <v>16057</v>
      </c>
      <c r="C114" s="101" t="s">
        <v>16058</v>
      </c>
      <c r="D114" s="79">
        <v>4</v>
      </c>
      <c r="E114" s="100">
        <v>3</v>
      </c>
      <c r="F114" s="79" t="s">
        <v>16120</v>
      </c>
      <c r="G114" s="100" t="s">
        <v>15749</v>
      </c>
      <c r="H114" s="100" t="str">
        <f t="shared" si="1"/>
        <v>CH 06-4-3 Hybrid</v>
      </c>
      <c r="I114" s="100" t="s">
        <v>16127</v>
      </c>
      <c r="J114" s="108" t="s">
        <v>16128</v>
      </c>
      <c r="K114" s="100" t="s">
        <v>2837</v>
      </c>
      <c r="L114" s="59">
        <v>5500</v>
      </c>
      <c r="M114" s="59">
        <v>8500</v>
      </c>
      <c r="N114" s="59">
        <v>18000</v>
      </c>
      <c r="P114" t="s">
        <v>15752</v>
      </c>
      <c r="Q114" t="s">
        <v>15753</v>
      </c>
      <c r="R114" t="s">
        <v>15754</v>
      </c>
    </row>
    <row r="115" spans="1:18" x14ac:dyDescent="0.2">
      <c r="A115" t="s">
        <v>16129</v>
      </c>
      <c r="B115" s="79" t="s">
        <v>16057</v>
      </c>
      <c r="C115" s="101" t="s">
        <v>16058</v>
      </c>
      <c r="D115" s="79">
        <v>4</v>
      </c>
      <c r="E115" s="100">
        <v>4</v>
      </c>
      <c r="F115" s="79" t="s">
        <v>16120</v>
      </c>
      <c r="G115" s="100" t="s">
        <v>15742</v>
      </c>
      <c r="H115" s="100" t="str">
        <f t="shared" si="1"/>
        <v>CH 06-4-4 Story</v>
      </c>
      <c r="I115" s="100" t="s">
        <v>16130</v>
      </c>
      <c r="J115" s="108" t="s">
        <v>16131</v>
      </c>
      <c r="L115"/>
      <c r="M115"/>
      <c r="N115"/>
    </row>
    <row r="116" spans="1:18" x14ac:dyDescent="0.2">
      <c r="A116" t="s">
        <v>16132</v>
      </c>
      <c r="B116" s="79" t="s">
        <v>16133</v>
      </c>
      <c r="C116" s="101" t="s">
        <v>16134</v>
      </c>
      <c r="D116" s="79">
        <v>1</v>
      </c>
      <c r="E116" s="100">
        <v>1</v>
      </c>
      <c r="F116" s="79" t="s">
        <v>16135</v>
      </c>
      <c r="G116" s="100" t="s">
        <v>15742</v>
      </c>
      <c r="H116" s="100" t="str">
        <f t="shared" si="1"/>
        <v>CH 07-1-1 Story</v>
      </c>
      <c r="I116" s="100" t="s">
        <v>16136</v>
      </c>
      <c r="J116" s="108" t="s">
        <v>16137</v>
      </c>
      <c r="L116"/>
      <c r="M116"/>
      <c r="N116"/>
    </row>
    <row r="117" spans="1:18" x14ac:dyDescent="0.2">
      <c r="A117" t="s">
        <v>16138</v>
      </c>
      <c r="B117" s="79" t="s">
        <v>16133</v>
      </c>
      <c r="C117" s="101" t="s">
        <v>16134</v>
      </c>
      <c r="D117" s="79">
        <v>1</v>
      </c>
      <c r="E117" s="100">
        <v>2</v>
      </c>
      <c r="F117" s="79" t="s">
        <v>16135</v>
      </c>
      <c r="G117" s="100" t="s">
        <v>15770</v>
      </c>
      <c r="H117" s="100" t="str">
        <f t="shared" si="1"/>
        <v>CH 07-1-2 Gameplay</v>
      </c>
      <c r="I117" s="100" t="s">
        <v>16139</v>
      </c>
      <c r="J117" s="108" t="s">
        <v>16140</v>
      </c>
      <c r="K117" s="100" t="s">
        <v>1103</v>
      </c>
      <c r="L117" s="59">
        <v>5600</v>
      </c>
      <c r="M117" s="59">
        <v>8450</v>
      </c>
      <c r="N117" s="59">
        <v>18000</v>
      </c>
      <c r="P117" t="s">
        <v>15753</v>
      </c>
      <c r="Q117" t="s">
        <v>16141</v>
      </c>
      <c r="R117" t="s">
        <v>15754</v>
      </c>
    </row>
    <row r="118" spans="1:18" x14ac:dyDescent="0.2">
      <c r="A118" t="s">
        <v>16142</v>
      </c>
      <c r="B118" s="79" t="s">
        <v>16133</v>
      </c>
      <c r="C118" s="101" t="s">
        <v>16134</v>
      </c>
      <c r="D118" s="79">
        <v>1</v>
      </c>
      <c r="E118" s="100">
        <v>3</v>
      </c>
      <c r="F118" s="79" t="s">
        <v>16135</v>
      </c>
      <c r="G118" s="100" t="s">
        <v>15770</v>
      </c>
      <c r="H118" s="100" t="str">
        <f t="shared" si="1"/>
        <v>CH 07-1-3 Gameplay</v>
      </c>
      <c r="I118" s="100" t="s">
        <v>16143</v>
      </c>
      <c r="J118" s="108" t="s">
        <v>16144</v>
      </c>
      <c r="K118" s="100" t="s">
        <v>1103</v>
      </c>
      <c r="L118" s="59">
        <v>5600</v>
      </c>
      <c r="M118" s="59">
        <v>8500</v>
      </c>
      <c r="N118" s="59">
        <v>18000</v>
      </c>
      <c r="P118" t="s">
        <v>15753</v>
      </c>
      <c r="Q118" t="s">
        <v>16141</v>
      </c>
      <c r="R118" t="s">
        <v>15754</v>
      </c>
    </row>
    <row r="119" spans="1:18" x14ac:dyDescent="0.2">
      <c r="A119" t="s">
        <v>16145</v>
      </c>
      <c r="B119" s="79" t="s">
        <v>16133</v>
      </c>
      <c r="C119" s="101" t="s">
        <v>16134</v>
      </c>
      <c r="D119" s="79">
        <v>2</v>
      </c>
      <c r="E119" s="100">
        <v>1</v>
      </c>
      <c r="F119" s="79" t="s">
        <v>16146</v>
      </c>
      <c r="G119" s="100" t="s">
        <v>15742</v>
      </c>
      <c r="H119" s="100" t="str">
        <f t="shared" si="1"/>
        <v>CH 07-2-1 Story</v>
      </c>
      <c r="I119" s="100" t="s">
        <v>16147</v>
      </c>
      <c r="J119" s="108" t="s">
        <v>16148</v>
      </c>
      <c r="L119"/>
      <c r="M119"/>
      <c r="N119"/>
    </row>
    <row r="120" spans="1:18" x14ac:dyDescent="0.2">
      <c r="A120" t="s">
        <v>16149</v>
      </c>
      <c r="B120" s="79" t="s">
        <v>16133</v>
      </c>
      <c r="C120" s="101" t="s">
        <v>16134</v>
      </c>
      <c r="D120" s="79">
        <v>2</v>
      </c>
      <c r="E120" s="100">
        <v>2</v>
      </c>
      <c r="F120" s="79" t="s">
        <v>16146</v>
      </c>
      <c r="G120" s="100" t="s">
        <v>15770</v>
      </c>
      <c r="H120" s="100" t="str">
        <f t="shared" si="1"/>
        <v>CH 07-2-2 Gameplay</v>
      </c>
      <c r="I120" s="100" t="s">
        <v>16150</v>
      </c>
      <c r="J120" s="108" t="s">
        <v>16151</v>
      </c>
      <c r="K120" s="100" t="s">
        <v>1103</v>
      </c>
      <c r="L120" s="59">
        <v>5650</v>
      </c>
      <c r="M120" s="59">
        <v>8550</v>
      </c>
      <c r="N120" s="59">
        <v>18000</v>
      </c>
      <c r="P120" t="s">
        <v>15753</v>
      </c>
      <c r="Q120" t="s">
        <v>16141</v>
      </c>
      <c r="R120" t="s">
        <v>15754</v>
      </c>
    </row>
    <row r="121" spans="1:18" x14ac:dyDescent="0.2">
      <c r="A121" t="s">
        <v>16152</v>
      </c>
      <c r="B121" s="79" t="s">
        <v>16133</v>
      </c>
      <c r="C121" s="101" t="s">
        <v>16134</v>
      </c>
      <c r="D121" s="79">
        <v>2</v>
      </c>
      <c r="E121" s="100">
        <v>3</v>
      </c>
      <c r="F121" s="79" t="s">
        <v>16146</v>
      </c>
      <c r="G121" s="100" t="s">
        <v>15770</v>
      </c>
      <c r="H121" s="100" t="str">
        <f t="shared" si="1"/>
        <v>CH 07-2-3 Gameplay</v>
      </c>
      <c r="I121" s="100" t="s">
        <v>16153</v>
      </c>
      <c r="J121" s="108" t="s">
        <v>16154</v>
      </c>
      <c r="K121" s="100" t="s">
        <v>1103</v>
      </c>
      <c r="L121" s="59">
        <v>5650</v>
      </c>
      <c r="M121" s="59">
        <v>8600</v>
      </c>
      <c r="N121" s="59">
        <v>18000</v>
      </c>
      <c r="P121" t="s">
        <v>15753</v>
      </c>
      <c r="Q121" t="s">
        <v>16141</v>
      </c>
      <c r="R121" t="s">
        <v>15754</v>
      </c>
    </row>
    <row r="122" spans="1:18" x14ac:dyDescent="0.2">
      <c r="A122" t="s">
        <v>16155</v>
      </c>
      <c r="B122" s="79" t="s">
        <v>16133</v>
      </c>
      <c r="C122" s="101" t="s">
        <v>16134</v>
      </c>
      <c r="D122" s="79">
        <v>3</v>
      </c>
      <c r="E122" s="100">
        <v>1</v>
      </c>
      <c r="F122" s="79" t="s">
        <v>16156</v>
      </c>
      <c r="G122" s="100" t="s">
        <v>15742</v>
      </c>
      <c r="H122" s="100" t="str">
        <f t="shared" si="1"/>
        <v>CH 07-3-1 Story</v>
      </c>
      <c r="I122" s="100" t="s">
        <v>16157</v>
      </c>
      <c r="J122" s="108" t="s">
        <v>16158</v>
      </c>
      <c r="L122"/>
      <c r="M122"/>
      <c r="N122"/>
    </row>
    <row r="123" spans="1:18" x14ac:dyDescent="0.2">
      <c r="A123" t="s">
        <v>16159</v>
      </c>
      <c r="B123" s="79" t="s">
        <v>16133</v>
      </c>
      <c r="C123" s="101" t="s">
        <v>16134</v>
      </c>
      <c r="D123" s="79">
        <v>3</v>
      </c>
      <c r="E123" s="100">
        <v>2</v>
      </c>
      <c r="F123" s="79" t="s">
        <v>16156</v>
      </c>
      <c r="G123" s="100" t="s">
        <v>15770</v>
      </c>
      <c r="H123" s="100" t="str">
        <f t="shared" si="1"/>
        <v>CH 07-3-2 Gameplay</v>
      </c>
      <c r="I123" s="100" t="s">
        <v>16160</v>
      </c>
      <c r="J123" s="108" t="s">
        <v>16161</v>
      </c>
      <c r="K123" s="100" t="s">
        <v>1103</v>
      </c>
      <c r="L123" s="59">
        <v>5700</v>
      </c>
      <c r="M123" s="59">
        <v>8650</v>
      </c>
      <c r="N123" s="59">
        <v>18000</v>
      </c>
      <c r="P123" t="s">
        <v>15753</v>
      </c>
      <c r="Q123" t="s">
        <v>16141</v>
      </c>
      <c r="R123" t="s">
        <v>15754</v>
      </c>
    </row>
    <row r="124" spans="1:18" x14ac:dyDescent="0.2">
      <c r="A124" t="s">
        <v>16162</v>
      </c>
      <c r="B124" s="79" t="s">
        <v>16133</v>
      </c>
      <c r="C124" s="101" t="s">
        <v>16134</v>
      </c>
      <c r="D124" s="79">
        <v>3</v>
      </c>
      <c r="E124" s="100">
        <v>3</v>
      </c>
      <c r="F124" s="79" t="s">
        <v>16156</v>
      </c>
      <c r="G124" s="100" t="s">
        <v>15770</v>
      </c>
      <c r="H124" s="100" t="str">
        <f t="shared" si="1"/>
        <v>CH 07-3-3 Gameplay</v>
      </c>
      <c r="I124" s="100" t="s">
        <v>16163</v>
      </c>
      <c r="J124" s="108" t="s">
        <v>16164</v>
      </c>
      <c r="K124" s="100" t="s">
        <v>1103</v>
      </c>
      <c r="L124" s="59">
        <v>5700</v>
      </c>
      <c r="M124" s="59">
        <v>8700</v>
      </c>
      <c r="N124" s="59">
        <v>18000</v>
      </c>
      <c r="P124" t="s">
        <v>15753</v>
      </c>
      <c r="Q124" t="s">
        <v>16141</v>
      </c>
      <c r="R124" t="s">
        <v>15754</v>
      </c>
    </row>
    <row r="125" spans="1:18" x14ac:dyDescent="0.2">
      <c r="A125" t="s">
        <v>16165</v>
      </c>
      <c r="B125" s="79" t="s">
        <v>16133</v>
      </c>
      <c r="C125" s="101" t="s">
        <v>16134</v>
      </c>
      <c r="D125" s="79">
        <v>3</v>
      </c>
      <c r="E125" s="100">
        <v>4</v>
      </c>
      <c r="F125" s="79" t="s">
        <v>16156</v>
      </c>
      <c r="G125" s="100" t="s">
        <v>15742</v>
      </c>
      <c r="H125" s="100" t="str">
        <f t="shared" si="1"/>
        <v>CH 07-3-4 Story</v>
      </c>
      <c r="I125" s="100" t="s">
        <v>16166</v>
      </c>
      <c r="J125" s="108" t="s">
        <v>16167</v>
      </c>
      <c r="L125"/>
      <c r="M125"/>
      <c r="N125"/>
    </row>
    <row r="126" spans="1:18" x14ac:dyDescent="0.2">
      <c r="A126" t="s">
        <v>16168</v>
      </c>
      <c r="B126" s="79" t="s">
        <v>16133</v>
      </c>
      <c r="C126" s="101" t="s">
        <v>16134</v>
      </c>
      <c r="D126" s="79">
        <v>3</v>
      </c>
      <c r="E126" s="100">
        <v>5</v>
      </c>
      <c r="F126" s="79" t="s">
        <v>16156</v>
      </c>
      <c r="G126" s="100" t="s">
        <v>15770</v>
      </c>
      <c r="H126" s="100" t="str">
        <f t="shared" si="1"/>
        <v>CH 07-3-5 Gameplay</v>
      </c>
      <c r="I126" s="100" t="s">
        <v>16169</v>
      </c>
      <c r="J126" s="108" t="s">
        <v>16170</v>
      </c>
      <c r="K126" s="100" t="s">
        <v>1103</v>
      </c>
      <c r="L126" s="59">
        <v>5750</v>
      </c>
      <c r="M126" s="59">
        <v>8750</v>
      </c>
      <c r="N126" s="59">
        <v>18000</v>
      </c>
      <c r="P126" t="s">
        <v>15753</v>
      </c>
      <c r="Q126" t="s">
        <v>16141</v>
      </c>
      <c r="R126" t="s">
        <v>15754</v>
      </c>
    </row>
    <row r="127" spans="1:18" x14ac:dyDescent="0.2">
      <c r="A127" t="s">
        <v>16171</v>
      </c>
      <c r="B127" s="79" t="s">
        <v>16133</v>
      </c>
      <c r="C127" s="101" t="s">
        <v>16134</v>
      </c>
      <c r="D127" s="79">
        <v>3</v>
      </c>
      <c r="E127" s="100">
        <v>6</v>
      </c>
      <c r="F127" s="79" t="s">
        <v>16156</v>
      </c>
      <c r="G127" s="100" t="s">
        <v>15770</v>
      </c>
      <c r="H127" s="100" t="str">
        <f t="shared" si="1"/>
        <v>CH 07-3-6 Gameplay</v>
      </c>
      <c r="I127" s="100" t="s">
        <v>16172</v>
      </c>
      <c r="J127" s="108" t="s">
        <v>16173</v>
      </c>
      <c r="K127" s="100" t="s">
        <v>1103</v>
      </c>
      <c r="L127" s="59">
        <v>5750</v>
      </c>
      <c r="M127" s="59">
        <v>8800</v>
      </c>
      <c r="N127" s="59">
        <v>18000</v>
      </c>
      <c r="P127" t="s">
        <v>15753</v>
      </c>
      <c r="Q127" t="s">
        <v>16141</v>
      </c>
      <c r="R127" t="s">
        <v>15754</v>
      </c>
    </row>
    <row r="128" spans="1:18" x14ac:dyDescent="0.2">
      <c r="A128" t="s">
        <v>16174</v>
      </c>
      <c r="B128" s="79" t="s">
        <v>16133</v>
      </c>
      <c r="C128" s="101" t="s">
        <v>16134</v>
      </c>
      <c r="D128" s="100" t="s">
        <v>16175</v>
      </c>
      <c r="E128" s="100">
        <v>1</v>
      </c>
      <c r="F128" s="79" t="s">
        <v>16176</v>
      </c>
      <c r="G128" s="100" t="s">
        <v>15770</v>
      </c>
      <c r="H128" s="100" t="str">
        <f t="shared" si="1"/>
        <v>CH 07-3-EX 1-1 Gameplay</v>
      </c>
      <c r="I128" s="100" t="s">
        <v>16177</v>
      </c>
      <c r="J128" s="108" t="s">
        <v>16178</v>
      </c>
      <c r="K128" s="100" t="s">
        <v>1103</v>
      </c>
      <c r="L128" s="59">
        <v>6400</v>
      </c>
      <c r="M128" s="59">
        <v>9200</v>
      </c>
      <c r="N128" s="59">
        <v>21000</v>
      </c>
      <c r="P128" t="s">
        <v>15753</v>
      </c>
      <c r="Q128" t="s">
        <v>16141</v>
      </c>
      <c r="R128" t="s">
        <v>15754</v>
      </c>
    </row>
    <row r="129" spans="1:18" x14ac:dyDescent="0.2">
      <c r="A129" t="s">
        <v>16179</v>
      </c>
      <c r="B129" s="79" t="s">
        <v>16133</v>
      </c>
      <c r="C129" s="101" t="s">
        <v>16134</v>
      </c>
      <c r="D129" s="79">
        <v>4</v>
      </c>
      <c r="E129" s="100">
        <v>1</v>
      </c>
      <c r="F129" s="79" t="s">
        <v>16180</v>
      </c>
      <c r="G129" s="100" t="s">
        <v>15742</v>
      </c>
      <c r="H129" s="100" t="str">
        <f t="shared" si="1"/>
        <v>CH 07-4-1 Story</v>
      </c>
      <c r="I129" s="100" t="s">
        <v>16181</v>
      </c>
      <c r="J129" s="108" t="s">
        <v>16182</v>
      </c>
      <c r="L129"/>
      <c r="M129"/>
      <c r="N129"/>
    </row>
    <row r="130" spans="1:18" x14ac:dyDescent="0.2">
      <c r="A130" t="s">
        <v>16183</v>
      </c>
      <c r="B130" s="79" t="s">
        <v>16133</v>
      </c>
      <c r="C130" s="101" t="s">
        <v>16134</v>
      </c>
      <c r="D130" s="79">
        <v>4</v>
      </c>
      <c r="E130" s="100">
        <v>2</v>
      </c>
      <c r="F130" s="79" t="s">
        <v>16180</v>
      </c>
      <c r="G130" s="100" t="s">
        <v>15770</v>
      </c>
      <c r="H130" s="100" t="str">
        <f t="shared" ref="H130:H193" si="2">+"CH "&amp;C130&amp;"-"&amp;D130&amp;"-"&amp;E130&amp;" "&amp;G130</f>
        <v>CH 07-4-2 Gameplay</v>
      </c>
      <c r="I130" s="100" t="s">
        <v>16184</v>
      </c>
      <c r="J130" s="108" t="s">
        <v>16185</v>
      </c>
      <c r="K130" s="100" t="s">
        <v>1103</v>
      </c>
      <c r="L130" s="59">
        <v>5800</v>
      </c>
      <c r="M130" s="59">
        <v>8850</v>
      </c>
      <c r="N130" s="59">
        <v>18000</v>
      </c>
      <c r="P130" t="s">
        <v>15753</v>
      </c>
      <c r="Q130" t="s">
        <v>16141</v>
      </c>
      <c r="R130" t="s">
        <v>15754</v>
      </c>
    </row>
    <row r="131" spans="1:18" x14ac:dyDescent="0.2">
      <c r="A131" t="s">
        <v>16186</v>
      </c>
      <c r="B131" s="79" t="s">
        <v>16133</v>
      </c>
      <c r="C131" s="101" t="s">
        <v>16134</v>
      </c>
      <c r="D131" s="79">
        <v>4</v>
      </c>
      <c r="E131" s="100">
        <v>3</v>
      </c>
      <c r="F131" s="79" t="s">
        <v>16180</v>
      </c>
      <c r="G131" s="100" t="s">
        <v>15770</v>
      </c>
      <c r="H131" s="100" t="str">
        <f t="shared" si="2"/>
        <v>CH 07-4-3 Gameplay</v>
      </c>
      <c r="I131" s="100" t="s">
        <v>16187</v>
      </c>
      <c r="J131" s="108" t="s">
        <v>16188</v>
      </c>
      <c r="K131" s="100" t="s">
        <v>1103</v>
      </c>
      <c r="L131" s="59">
        <v>5800</v>
      </c>
      <c r="M131" s="59">
        <v>8900</v>
      </c>
      <c r="N131" s="59">
        <v>18000</v>
      </c>
      <c r="P131" t="s">
        <v>15753</v>
      </c>
      <c r="Q131" t="s">
        <v>16141</v>
      </c>
      <c r="R131" t="s">
        <v>15754</v>
      </c>
    </row>
    <row r="132" spans="1:18" x14ac:dyDescent="0.2">
      <c r="A132" t="s">
        <v>16189</v>
      </c>
      <c r="B132" s="79" t="s">
        <v>16133</v>
      </c>
      <c r="C132" s="101" t="s">
        <v>16134</v>
      </c>
      <c r="D132" s="100" t="s">
        <v>15986</v>
      </c>
      <c r="E132" s="100">
        <v>1</v>
      </c>
      <c r="F132" s="79" t="s">
        <v>16190</v>
      </c>
      <c r="G132" s="100" t="s">
        <v>15770</v>
      </c>
      <c r="H132" s="100" t="str">
        <f t="shared" si="2"/>
        <v>CH 07-4-EX 2-1 Gameplay</v>
      </c>
      <c r="I132" s="100" t="s">
        <v>16191</v>
      </c>
      <c r="J132" s="108" t="s">
        <v>16192</v>
      </c>
      <c r="K132" s="100" t="s">
        <v>1103</v>
      </c>
      <c r="L132" s="59">
        <v>6700</v>
      </c>
      <c r="M132" s="59">
        <v>9500</v>
      </c>
      <c r="N132" s="59">
        <v>21000</v>
      </c>
      <c r="P132" t="s">
        <v>15753</v>
      </c>
      <c r="Q132" t="s">
        <v>16141</v>
      </c>
      <c r="R132" t="s">
        <v>15754</v>
      </c>
    </row>
    <row r="133" spans="1:18" x14ac:dyDescent="0.2">
      <c r="A133" t="s">
        <v>16193</v>
      </c>
      <c r="B133" s="79" t="s">
        <v>16133</v>
      </c>
      <c r="C133" s="101" t="s">
        <v>16134</v>
      </c>
      <c r="D133" s="79">
        <v>5</v>
      </c>
      <c r="E133" s="100">
        <v>1</v>
      </c>
      <c r="F133" s="79" t="s">
        <v>16194</v>
      </c>
      <c r="G133" s="100" t="s">
        <v>15742</v>
      </c>
      <c r="H133" s="100" t="str">
        <f t="shared" si="2"/>
        <v>CH 07-5-1 Story</v>
      </c>
      <c r="I133" s="100" t="s">
        <v>16195</v>
      </c>
      <c r="J133" s="108" t="s">
        <v>16196</v>
      </c>
      <c r="L133"/>
      <c r="M133"/>
      <c r="N133"/>
    </row>
    <row r="134" spans="1:18" x14ac:dyDescent="0.2">
      <c r="A134" t="s">
        <v>16197</v>
      </c>
      <c r="B134" s="79" t="s">
        <v>16133</v>
      </c>
      <c r="C134" s="101" t="s">
        <v>16134</v>
      </c>
      <c r="D134" s="79">
        <v>5</v>
      </c>
      <c r="E134" s="100">
        <v>2</v>
      </c>
      <c r="F134" s="79" t="s">
        <v>16194</v>
      </c>
      <c r="G134" s="100" t="s">
        <v>15770</v>
      </c>
      <c r="H134" s="100" t="str">
        <f t="shared" si="2"/>
        <v>CH 07-5-2 Gameplay</v>
      </c>
      <c r="I134" s="100" t="s">
        <v>16198</v>
      </c>
      <c r="J134" s="108" t="s">
        <v>16199</v>
      </c>
      <c r="K134" s="100" t="s">
        <v>1103</v>
      </c>
      <c r="L134" s="59">
        <v>5850</v>
      </c>
      <c r="M134" s="59">
        <v>8950</v>
      </c>
      <c r="N134" s="59">
        <v>18000</v>
      </c>
      <c r="P134" t="s">
        <v>15753</v>
      </c>
      <c r="Q134" t="s">
        <v>16141</v>
      </c>
      <c r="R134" t="s">
        <v>15754</v>
      </c>
    </row>
    <row r="135" spans="1:18" x14ac:dyDescent="0.2">
      <c r="A135" t="s">
        <v>16200</v>
      </c>
      <c r="B135" s="79" t="s">
        <v>16133</v>
      </c>
      <c r="C135" s="101" t="s">
        <v>16134</v>
      </c>
      <c r="D135" s="79">
        <v>5</v>
      </c>
      <c r="E135" s="100">
        <v>3</v>
      </c>
      <c r="F135" s="79" t="s">
        <v>16194</v>
      </c>
      <c r="G135" s="100" t="s">
        <v>15742</v>
      </c>
      <c r="H135" s="100" t="str">
        <f t="shared" si="2"/>
        <v>CH 07-5-3 Story</v>
      </c>
      <c r="I135" s="100" t="s">
        <v>16201</v>
      </c>
      <c r="J135" s="108" t="s">
        <v>16202</v>
      </c>
      <c r="L135"/>
      <c r="M135"/>
      <c r="N135"/>
    </row>
    <row r="136" spans="1:18" x14ac:dyDescent="0.2">
      <c r="A136" t="s">
        <v>16203</v>
      </c>
      <c r="B136" s="79" t="s">
        <v>16133</v>
      </c>
      <c r="C136" s="101" t="s">
        <v>16134</v>
      </c>
      <c r="D136" s="79">
        <v>5</v>
      </c>
      <c r="E136" s="100">
        <v>4</v>
      </c>
      <c r="F136" s="79" t="s">
        <v>16194</v>
      </c>
      <c r="G136" s="100" t="s">
        <v>15742</v>
      </c>
      <c r="H136" s="100" t="str">
        <f t="shared" si="2"/>
        <v>CH 07-5-4 Story</v>
      </c>
      <c r="I136" s="100" t="s">
        <v>16204</v>
      </c>
      <c r="J136" s="108" t="s">
        <v>16205</v>
      </c>
      <c r="L136"/>
      <c r="M136"/>
      <c r="N136"/>
    </row>
    <row r="137" spans="1:18" x14ac:dyDescent="0.2">
      <c r="A137" t="s">
        <v>16206</v>
      </c>
      <c r="B137" s="79" t="s">
        <v>16133</v>
      </c>
      <c r="C137" s="101" t="s">
        <v>16134</v>
      </c>
      <c r="D137" s="79">
        <v>5</v>
      </c>
      <c r="E137" s="100">
        <v>5</v>
      </c>
      <c r="F137" s="79" t="s">
        <v>16194</v>
      </c>
      <c r="G137" s="100" t="s">
        <v>15770</v>
      </c>
      <c r="H137" s="100" t="str">
        <f t="shared" si="2"/>
        <v>CH 07-5-5 Gameplay</v>
      </c>
      <c r="I137" s="100" t="s">
        <v>16207</v>
      </c>
      <c r="J137" s="108" t="s">
        <v>16208</v>
      </c>
      <c r="K137" s="100" t="s">
        <v>1103</v>
      </c>
      <c r="L137" s="59">
        <v>5850</v>
      </c>
      <c r="M137" s="59">
        <v>9000</v>
      </c>
      <c r="N137" s="59">
        <v>18000</v>
      </c>
      <c r="P137" t="s">
        <v>15753</v>
      </c>
      <c r="Q137" t="s">
        <v>16141</v>
      </c>
      <c r="R137" t="s">
        <v>15754</v>
      </c>
    </row>
    <row r="138" spans="1:18" x14ac:dyDescent="0.2">
      <c r="A138" t="s">
        <v>16209</v>
      </c>
      <c r="B138" s="79" t="s">
        <v>16133</v>
      </c>
      <c r="C138" s="101" t="s">
        <v>16134</v>
      </c>
      <c r="D138" s="79">
        <v>5</v>
      </c>
      <c r="E138" s="100">
        <v>6</v>
      </c>
      <c r="F138" s="79" t="s">
        <v>16194</v>
      </c>
      <c r="G138" s="100" t="s">
        <v>15742</v>
      </c>
      <c r="H138" s="100" t="str">
        <f t="shared" si="2"/>
        <v>CH 07-5-6 Story</v>
      </c>
      <c r="I138" s="100" t="s">
        <v>16210</v>
      </c>
      <c r="J138" s="108" t="s">
        <v>16211</v>
      </c>
      <c r="L138"/>
      <c r="M138"/>
      <c r="N138"/>
    </row>
    <row r="139" spans="1:18" x14ac:dyDescent="0.2">
      <c r="A139" t="s">
        <v>16212</v>
      </c>
      <c r="B139" s="79" t="s">
        <v>16213</v>
      </c>
      <c r="C139" s="101" t="s">
        <v>16214</v>
      </c>
      <c r="D139" s="79">
        <v>1</v>
      </c>
      <c r="E139" s="100">
        <v>1</v>
      </c>
      <c r="F139" s="79" t="s">
        <v>16215</v>
      </c>
      <c r="G139" s="100" t="s">
        <v>15742</v>
      </c>
      <c r="H139" s="100" t="str">
        <f t="shared" si="2"/>
        <v>CH 08-1-1 Story</v>
      </c>
      <c r="I139" s="100" t="s">
        <v>16216</v>
      </c>
      <c r="J139" s="108" t="s">
        <v>16217</v>
      </c>
      <c r="L139"/>
      <c r="M139"/>
      <c r="N139"/>
    </row>
    <row r="140" spans="1:18" x14ac:dyDescent="0.2">
      <c r="A140" t="s">
        <v>16218</v>
      </c>
      <c r="B140" s="79" t="s">
        <v>16213</v>
      </c>
      <c r="C140" s="101" t="s">
        <v>16214</v>
      </c>
      <c r="D140" s="79">
        <v>1</v>
      </c>
      <c r="E140" s="100">
        <v>2</v>
      </c>
      <c r="F140" s="79" t="s">
        <v>16215</v>
      </c>
      <c r="G140" s="100" t="s">
        <v>15770</v>
      </c>
      <c r="H140" s="100" t="str">
        <f t="shared" si="2"/>
        <v>CH 08-1-2 Gameplay</v>
      </c>
      <c r="I140" s="100" t="s">
        <v>16219</v>
      </c>
      <c r="J140" s="108" t="s">
        <v>16220</v>
      </c>
      <c r="K140" s="100" t="s">
        <v>122</v>
      </c>
      <c r="L140" s="59">
        <v>6000</v>
      </c>
      <c r="M140" s="59">
        <v>8950</v>
      </c>
      <c r="N140" s="59">
        <v>18000</v>
      </c>
      <c r="P140" t="s">
        <v>15753</v>
      </c>
      <c r="Q140" t="s">
        <v>16141</v>
      </c>
      <c r="R140" t="s">
        <v>15754</v>
      </c>
    </row>
    <row r="141" spans="1:18" x14ac:dyDescent="0.2">
      <c r="A141" t="s">
        <v>16221</v>
      </c>
      <c r="B141" s="79" t="s">
        <v>16213</v>
      </c>
      <c r="C141" s="101" t="s">
        <v>16214</v>
      </c>
      <c r="D141" s="79">
        <v>1</v>
      </c>
      <c r="E141" s="100">
        <v>3</v>
      </c>
      <c r="F141" s="79" t="s">
        <v>16215</v>
      </c>
      <c r="G141" s="100" t="s">
        <v>15770</v>
      </c>
      <c r="H141" s="100" t="str">
        <f t="shared" si="2"/>
        <v>CH 08-1-3 Gameplay</v>
      </c>
      <c r="I141" s="100" t="s">
        <v>16222</v>
      </c>
      <c r="J141" s="108" t="s">
        <v>16223</v>
      </c>
      <c r="K141" s="100" t="s">
        <v>122</v>
      </c>
      <c r="L141" s="59">
        <v>6000</v>
      </c>
      <c r="M141" s="59">
        <v>9000</v>
      </c>
      <c r="N141" s="59">
        <v>18000</v>
      </c>
      <c r="P141" t="s">
        <v>15753</v>
      </c>
      <c r="Q141" t="s">
        <v>16141</v>
      </c>
      <c r="R141" t="s">
        <v>15754</v>
      </c>
    </row>
    <row r="142" spans="1:18" x14ac:dyDescent="0.2">
      <c r="A142" t="s">
        <v>16224</v>
      </c>
      <c r="B142" s="79" t="s">
        <v>16213</v>
      </c>
      <c r="C142" s="101" t="s">
        <v>16214</v>
      </c>
      <c r="D142" s="79">
        <v>1</v>
      </c>
      <c r="E142" s="100">
        <v>4</v>
      </c>
      <c r="F142" s="79" t="s">
        <v>16215</v>
      </c>
      <c r="G142" s="100" t="s">
        <v>15770</v>
      </c>
      <c r="H142" s="100" t="str">
        <f t="shared" si="2"/>
        <v>CH 08-1-4 Gameplay</v>
      </c>
      <c r="I142" s="100" t="s">
        <v>16225</v>
      </c>
      <c r="J142" s="108" t="s">
        <v>16226</v>
      </c>
      <c r="K142" s="100" t="s">
        <v>122</v>
      </c>
      <c r="L142" s="59">
        <v>6050</v>
      </c>
      <c r="M142" s="59">
        <v>9050</v>
      </c>
      <c r="N142" s="59">
        <v>18000</v>
      </c>
      <c r="P142" t="s">
        <v>15753</v>
      </c>
      <c r="Q142" t="s">
        <v>16141</v>
      </c>
      <c r="R142" t="s">
        <v>15754</v>
      </c>
    </row>
    <row r="143" spans="1:18" x14ac:dyDescent="0.2">
      <c r="A143" t="s">
        <v>16227</v>
      </c>
      <c r="B143" s="79" t="s">
        <v>16213</v>
      </c>
      <c r="C143" s="101" t="s">
        <v>16214</v>
      </c>
      <c r="D143" s="79">
        <v>2</v>
      </c>
      <c r="E143" s="100">
        <v>1</v>
      </c>
      <c r="F143" s="79" t="s">
        <v>16228</v>
      </c>
      <c r="G143" s="100" t="s">
        <v>15742</v>
      </c>
      <c r="H143" s="100" t="str">
        <f t="shared" si="2"/>
        <v>CH 08-2-1 Story</v>
      </c>
      <c r="I143" s="100" t="s">
        <v>16228</v>
      </c>
      <c r="J143" s="108" t="s">
        <v>16229</v>
      </c>
      <c r="L143"/>
      <c r="M143"/>
      <c r="N143"/>
    </row>
    <row r="144" spans="1:18" x14ac:dyDescent="0.2">
      <c r="A144" t="s">
        <v>16230</v>
      </c>
      <c r="B144" s="79" t="s">
        <v>16213</v>
      </c>
      <c r="C144" s="101" t="s">
        <v>16214</v>
      </c>
      <c r="D144" s="79">
        <v>2</v>
      </c>
      <c r="E144" s="100">
        <v>2</v>
      </c>
      <c r="F144" s="79" t="s">
        <v>16228</v>
      </c>
      <c r="G144" s="100" t="s">
        <v>15770</v>
      </c>
      <c r="H144" s="100" t="str">
        <f t="shared" si="2"/>
        <v>CH 08-2-2 Gameplay</v>
      </c>
      <c r="I144" s="100" t="s">
        <v>16231</v>
      </c>
      <c r="J144" s="108" t="s">
        <v>16232</v>
      </c>
      <c r="K144" s="100" t="s">
        <v>122</v>
      </c>
      <c r="L144" s="59">
        <v>6100</v>
      </c>
      <c r="M144" s="59">
        <v>9100</v>
      </c>
      <c r="N144" s="59">
        <v>18000</v>
      </c>
      <c r="P144" t="s">
        <v>15753</v>
      </c>
      <c r="Q144" t="s">
        <v>16141</v>
      </c>
      <c r="R144" t="s">
        <v>15754</v>
      </c>
    </row>
    <row r="145" spans="1:18" x14ac:dyDescent="0.2">
      <c r="A145" t="s">
        <v>16233</v>
      </c>
      <c r="B145" s="79" t="s">
        <v>16213</v>
      </c>
      <c r="C145" s="101" t="s">
        <v>16214</v>
      </c>
      <c r="D145" s="79">
        <v>2</v>
      </c>
      <c r="E145" s="100">
        <v>3</v>
      </c>
      <c r="F145" s="79" t="s">
        <v>16228</v>
      </c>
      <c r="G145" s="100" t="s">
        <v>15770</v>
      </c>
      <c r="H145" s="100" t="str">
        <f t="shared" si="2"/>
        <v>CH 08-2-3 Gameplay</v>
      </c>
      <c r="I145" s="100" t="s">
        <v>16234</v>
      </c>
      <c r="J145" s="108" t="s">
        <v>16235</v>
      </c>
      <c r="K145" s="100" t="s">
        <v>122</v>
      </c>
      <c r="L145" s="59">
        <v>6100</v>
      </c>
      <c r="M145" s="59">
        <v>9150</v>
      </c>
      <c r="N145" s="59">
        <v>18000</v>
      </c>
      <c r="P145" t="s">
        <v>15753</v>
      </c>
      <c r="Q145" t="s">
        <v>16141</v>
      </c>
      <c r="R145" t="s">
        <v>15754</v>
      </c>
    </row>
    <row r="146" spans="1:18" x14ac:dyDescent="0.2">
      <c r="A146" t="s">
        <v>16236</v>
      </c>
      <c r="B146" s="79" t="s">
        <v>16213</v>
      </c>
      <c r="C146" s="101" t="s">
        <v>16214</v>
      </c>
      <c r="D146" s="79" t="s">
        <v>15821</v>
      </c>
      <c r="E146" s="100">
        <v>1</v>
      </c>
      <c r="F146" s="79" t="s">
        <v>16237</v>
      </c>
      <c r="G146" s="100" t="s">
        <v>15742</v>
      </c>
      <c r="H146" s="100" t="str">
        <f t="shared" si="2"/>
        <v>CH 08-2-EX 1-1 Story</v>
      </c>
      <c r="I146" s="100" t="s">
        <v>16238</v>
      </c>
      <c r="J146" s="108" t="s">
        <v>16239</v>
      </c>
      <c r="L146"/>
      <c r="M146"/>
      <c r="N146"/>
    </row>
    <row r="147" spans="1:18" x14ac:dyDescent="0.2">
      <c r="A147" t="s">
        <v>16240</v>
      </c>
      <c r="B147" s="79" t="s">
        <v>16213</v>
      </c>
      <c r="C147" s="101" t="s">
        <v>16214</v>
      </c>
      <c r="D147" s="79" t="s">
        <v>15821</v>
      </c>
      <c r="E147" s="100">
        <v>2</v>
      </c>
      <c r="F147" s="79" t="s">
        <v>16237</v>
      </c>
      <c r="G147" s="100" t="s">
        <v>15770</v>
      </c>
      <c r="H147" s="100" t="str">
        <f t="shared" si="2"/>
        <v>CH 08-2-EX 1-2 Gameplay</v>
      </c>
      <c r="I147" s="100" t="s">
        <v>16241</v>
      </c>
      <c r="J147" s="108" t="s">
        <v>16242</v>
      </c>
      <c r="K147" s="100" t="s">
        <v>122</v>
      </c>
      <c r="L147" s="59">
        <v>6800</v>
      </c>
      <c r="M147" s="59">
        <v>9700</v>
      </c>
      <c r="N147" s="59">
        <v>21000</v>
      </c>
      <c r="P147" t="s">
        <v>15753</v>
      </c>
      <c r="Q147" t="s">
        <v>16141</v>
      </c>
      <c r="R147" t="s">
        <v>15754</v>
      </c>
    </row>
    <row r="148" spans="1:18" x14ac:dyDescent="0.2">
      <c r="A148" t="s">
        <v>16243</v>
      </c>
      <c r="B148" s="79" t="s">
        <v>16213</v>
      </c>
      <c r="C148" s="101" t="s">
        <v>16214</v>
      </c>
      <c r="D148" s="79">
        <v>3</v>
      </c>
      <c r="E148" s="100">
        <v>1</v>
      </c>
      <c r="F148" s="79" t="s">
        <v>16244</v>
      </c>
      <c r="G148" s="100" t="s">
        <v>15742</v>
      </c>
      <c r="H148" s="100" t="str">
        <f t="shared" si="2"/>
        <v>CH 08-3-1 Story</v>
      </c>
      <c r="I148" s="100" t="s">
        <v>16245</v>
      </c>
      <c r="J148" s="108" t="s">
        <v>16246</v>
      </c>
      <c r="L148"/>
      <c r="M148"/>
      <c r="N148"/>
    </row>
    <row r="149" spans="1:18" x14ac:dyDescent="0.2">
      <c r="A149" t="s">
        <v>16247</v>
      </c>
      <c r="B149" s="79" t="s">
        <v>16213</v>
      </c>
      <c r="C149" s="101" t="s">
        <v>16214</v>
      </c>
      <c r="D149" s="79">
        <v>3</v>
      </c>
      <c r="E149" s="100">
        <v>2</v>
      </c>
      <c r="F149" s="79" t="s">
        <v>16244</v>
      </c>
      <c r="G149" s="100" t="s">
        <v>15770</v>
      </c>
      <c r="H149" s="100" t="str">
        <f t="shared" si="2"/>
        <v>CH 08-3-2 Gameplay</v>
      </c>
      <c r="I149" s="100" t="s">
        <v>16248</v>
      </c>
      <c r="J149" s="108" t="s">
        <v>16249</v>
      </c>
      <c r="K149" s="100" t="s">
        <v>122</v>
      </c>
      <c r="L149" s="59">
        <v>6150</v>
      </c>
      <c r="M149" s="59">
        <v>9200</v>
      </c>
      <c r="N149" s="59">
        <v>18000</v>
      </c>
      <c r="P149" t="s">
        <v>15753</v>
      </c>
      <c r="Q149" t="s">
        <v>16141</v>
      </c>
      <c r="R149" t="s">
        <v>15754</v>
      </c>
    </row>
    <row r="150" spans="1:18" x14ac:dyDescent="0.2">
      <c r="A150" t="s">
        <v>16250</v>
      </c>
      <c r="B150" s="79" t="s">
        <v>16213</v>
      </c>
      <c r="C150" s="101" t="s">
        <v>16214</v>
      </c>
      <c r="D150" s="79">
        <v>3</v>
      </c>
      <c r="E150" s="100">
        <v>3</v>
      </c>
      <c r="F150" s="79" t="s">
        <v>16244</v>
      </c>
      <c r="G150" s="100" t="s">
        <v>15770</v>
      </c>
      <c r="H150" s="100" t="str">
        <f t="shared" si="2"/>
        <v>CH 08-3-3 Gameplay</v>
      </c>
      <c r="I150" s="100" t="s">
        <v>16251</v>
      </c>
      <c r="J150" s="108" t="s">
        <v>16252</v>
      </c>
      <c r="K150" s="100" t="s">
        <v>122</v>
      </c>
      <c r="L150" s="59">
        <v>6150</v>
      </c>
      <c r="M150" s="59">
        <v>9250</v>
      </c>
      <c r="N150" s="59">
        <v>18000</v>
      </c>
      <c r="P150" t="s">
        <v>15753</v>
      </c>
      <c r="Q150" t="s">
        <v>16141</v>
      </c>
      <c r="R150" t="s">
        <v>15754</v>
      </c>
    </row>
    <row r="151" spans="1:18" x14ac:dyDescent="0.2">
      <c r="A151" t="s">
        <v>16253</v>
      </c>
      <c r="B151" s="79" t="s">
        <v>16213</v>
      </c>
      <c r="C151" s="101" t="s">
        <v>16214</v>
      </c>
      <c r="D151" s="79">
        <v>3</v>
      </c>
      <c r="E151" s="100">
        <v>4</v>
      </c>
      <c r="F151" s="79" t="s">
        <v>16244</v>
      </c>
      <c r="G151" s="100" t="s">
        <v>15770</v>
      </c>
      <c r="H151" s="100" t="str">
        <f t="shared" si="2"/>
        <v>CH 08-3-4 Gameplay</v>
      </c>
      <c r="I151" s="100" t="s">
        <v>16254</v>
      </c>
      <c r="J151" s="108" t="s">
        <v>16255</v>
      </c>
      <c r="K151" s="100" t="s">
        <v>122</v>
      </c>
      <c r="L151" s="59">
        <v>6200</v>
      </c>
      <c r="M151" s="59">
        <v>9300</v>
      </c>
      <c r="N151" s="59">
        <v>18000</v>
      </c>
      <c r="P151" t="s">
        <v>15753</v>
      </c>
      <c r="Q151" t="s">
        <v>16141</v>
      </c>
      <c r="R151" t="s">
        <v>15754</v>
      </c>
    </row>
    <row r="152" spans="1:18" x14ac:dyDescent="0.2">
      <c r="A152" t="s">
        <v>16256</v>
      </c>
      <c r="B152" s="79" t="s">
        <v>16213</v>
      </c>
      <c r="C152" s="101" t="s">
        <v>16214</v>
      </c>
      <c r="D152" s="79">
        <v>4</v>
      </c>
      <c r="E152" s="100">
        <v>1</v>
      </c>
      <c r="F152" s="79" t="s">
        <v>16257</v>
      </c>
      <c r="G152" s="100" t="s">
        <v>15742</v>
      </c>
      <c r="H152" s="100" t="str">
        <f t="shared" si="2"/>
        <v>CH 08-4-1 Story</v>
      </c>
      <c r="I152" s="100" t="s">
        <v>16258</v>
      </c>
      <c r="J152" s="108" t="s">
        <v>16259</v>
      </c>
      <c r="L152"/>
      <c r="M152"/>
      <c r="N152"/>
    </row>
    <row r="153" spans="1:18" x14ac:dyDescent="0.2">
      <c r="A153" t="s">
        <v>16260</v>
      </c>
      <c r="B153" s="79" t="s">
        <v>16213</v>
      </c>
      <c r="C153" s="101" t="s">
        <v>16214</v>
      </c>
      <c r="D153" s="79">
        <v>4</v>
      </c>
      <c r="E153" s="100">
        <v>2</v>
      </c>
      <c r="F153" s="79" t="s">
        <v>16257</v>
      </c>
      <c r="G153" s="100" t="s">
        <v>15770</v>
      </c>
      <c r="H153" s="100" t="str">
        <f t="shared" si="2"/>
        <v>CH 08-4-2 Gameplay</v>
      </c>
      <c r="I153" s="100" t="s">
        <v>16261</v>
      </c>
      <c r="J153" s="108" t="s">
        <v>16262</v>
      </c>
      <c r="K153" s="100" t="s">
        <v>122</v>
      </c>
      <c r="L153" s="59">
        <v>6250</v>
      </c>
      <c r="M153" s="59">
        <v>9350</v>
      </c>
      <c r="N153" s="59">
        <v>18000</v>
      </c>
      <c r="P153" t="s">
        <v>15753</v>
      </c>
      <c r="Q153" t="s">
        <v>16141</v>
      </c>
      <c r="R153" t="s">
        <v>15754</v>
      </c>
    </row>
    <row r="154" spans="1:18" x14ac:dyDescent="0.2">
      <c r="A154" t="s">
        <v>16263</v>
      </c>
      <c r="B154" s="79" t="s">
        <v>16213</v>
      </c>
      <c r="C154" s="101" t="s">
        <v>16214</v>
      </c>
      <c r="D154" s="79">
        <v>4</v>
      </c>
      <c r="E154" s="100">
        <v>3</v>
      </c>
      <c r="F154" s="79" t="s">
        <v>16257</v>
      </c>
      <c r="G154" s="100" t="s">
        <v>15770</v>
      </c>
      <c r="H154" s="100" t="str">
        <f t="shared" si="2"/>
        <v>CH 08-4-3 Gameplay</v>
      </c>
      <c r="I154" s="100" t="s">
        <v>16264</v>
      </c>
      <c r="J154" s="108" t="s">
        <v>16265</v>
      </c>
      <c r="K154" s="100" t="s">
        <v>122</v>
      </c>
      <c r="L154" s="59">
        <v>6250</v>
      </c>
      <c r="M154" s="59">
        <v>9400</v>
      </c>
      <c r="N154" s="59">
        <v>18000</v>
      </c>
      <c r="P154" t="s">
        <v>15753</v>
      </c>
      <c r="Q154" t="s">
        <v>16141</v>
      </c>
      <c r="R154" t="s">
        <v>15754</v>
      </c>
    </row>
    <row r="155" spans="1:18" x14ac:dyDescent="0.2">
      <c r="A155" t="s">
        <v>16266</v>
      </c>
      <c r="B155" s="79" t="s">
        <v>16213</v>
      </c>
      <c r="C155" s="101" t="s">
        <v>16214</v>
      </c>
      <c r="D155" s="79" t="s">
        <v>15986</v>
      </c>
      <c r="E155" s="100">
        <v>1</v>
      </c>
      <c r="F155" s="79" t="s">
        <v>16267</v>
      </c>
      <c r="G155" s="100" t="s">
        <v>15742</v>
      </c>
      <c r="H155" s="100" t="str">
        <f t="shared" si="2"/>
        <v>CH 08-4-EX 2-1 Story</v>
      </c>
      <c r="I155" s="100" t="s">
        <v>16268</v>
      </c>
      <c r="J155" s="108" t="s">
        <v>16269</v>
      </c>
      <c r="L155"/>
      <c r="M155"/>
      <c r="N155"/>
    </row>
    <row r="156" spans="1:18" x14ac:dyDescent="0.2">
      <c r="A156" t="s">
        <v>16270</v>
      </c>
      <c r="B156" s="79" t="s">
        <v>16213</v>
      </c>
      <c r="C156" s="101" t="s">
        <v>16214</v>
      </c>
      <c r="D156" s="79" t="s">
        <v>15986</v>
      </c>
      <c r="E156" s="100">
        <v>2</v>
      </c>
      <c r="F156" s="79" t="s">
        <v>16267</v>
      </c>
      <c r="G156" s="100" t="s">
        <v>15770</v>
      </c>
      <c r="H156" s="100" t="str">
        <f t="shared" si="2"/>
        <v>CH 08-4-EX 2-2 Gameplay</v>
      </c>
      <c r="I156" s="100" t="s">
        <v>16271</v>
      </c>
      <c r="J156" s="108" t="s">
        <v>16272</v>
      </c>
      <c r="K156" s="100" t="s">
        <v>122</v>
      </c>
      <c r="L156" s="59">
        <v>7100</v>
      </c>
      <c r="M156" s="59">
        <v>10000</v>
      </c>
      <c r="N156" s="59">
        <v>21000</v>
      </c>
      <c r="P156" t="s">
        <v>15753</v>
      </c>
      <c r="Q156" t="s">
        <v>16141</v>
      </c>
      <c r="R156" t="s">
        <v>15754</v>
      </c>
    </row>
    <row r="157" spans="1:18" x14ac:dyDescent="0.2">
      <c r="A157" t="s">
        <v>16273</v>
      </c>
      <c r="B157" s="79" t="s">
        <v>16213</v>
      </c>
      <c r="C157" s="101" t="s">
        <v>16214</v>
      </c>
      <c r="D157" s="79">
        <v>5</v>
      </c>
      <c r="E157" s="100">
        <v>1</v>
      </c>
      <c r="F157" s="79" t="s">
        <v>16274</v>
      </c>
      <c r="G157" s="100" t="s">
        <v>15770</v>
      </c>
      <c r="H157" s="100" t="str">
        <f t="shared" si="2"/>
        <v>CH 08-5-1 Gameplay</v>
      </c>
      <c r="I157" s="100" t="s">
        <v>16275</v>
      </c>
      <c r="J157" s="108" t="s">
        <v>16276</v>
      </c>
      <c r="K157" s="100" t="s">
        <v>122</v>
      </c>
      <c r="L157" s="59">
        <v>6300</v>
      </c>
      <c r="M157" s="59">
        <v>9450</v>
      </c>
      <c r="N157" s="59">
        <v>18000</v>
      </c>
      <c r="P157" t="s">
        <v>15753</v>
      </c>
      <c r="Q157" t="s">
        <v>16141</v>
      </c>
      <c r="R157" t="s">
        <v>15754</v>
      </c>
    </row>
    <row r="158" spans="1:18" x14ac:dyDescent="0.2">
      <c r="A158" t="s">
        <v>16277</v>
      </c>
      <c r="B158" s="79" t="s">
        <v>16213</v>
      </c>
      <c r="C158" s="101" t="s">
        <v>16214</v>
      </c>
      <c r="D158" s="79">
        <v>5</v>
      </c>
      <c r="E158" s="100">
        <v>2</v>
      </c>
      <c r="F158" s="79" t="s">
        <v>16274</v>
      </c>
      <c r="G158" s="100" t="s">
        <v>15742</v>
      </c>
      <c r="H158" s="100" t="str">
        <f t="shared" si="2"/>
        <v>CH 08-5-2 Story</v>
      </c>
      <c r="I158" s="100" t="s">
        <v>16278</v>
      </c>
      <c r="J158" s="108" t="s">
        <v>16279</v>
      </c>
      <c r="L158"/>
      <c r="M158"/>
      <c r="N158"/>
    </row>
    <row r="159" spans="1:18" x14ac:dyDescent="0.2">
      <c r="A159" t="s">
        <v>16280</v>
      </c>
      <c r="B159" s="79" t="s">
        <v>16213</v>
      </c>
      <c r="C159" s="101" t="s">
        <v>16214</v>
      </c>
      <c r="D159" s="79">
        <v>5</v>
      </c>
      <c r="E159" s="100">
        <v>3</v>
      </c>
      <c r="F159" s="79" t="s">
        <v>16274</v>
      </c>
      <c r="G159" s="100" t="s">
        <v>15770</v>
      </c>
      <c r="H159" s="100" t="str">
        <f t="shared" si="2"/>
        <v>CH 08-5-3 Gameplay</v>
      </c>
      <c r="I159" s="100" t="s">
        <v>16281</v>
      </c>
      <c r="J159" s="108" t="s">
        <v>16282</v>
      </c>
      <c r="K159" s="100" t="s">
        <v>122</v>
      </c>
      <c r="L159" s="59">
        <v>6300</v>
      </c>
      <c r="M159" s="59">
        <v>9500</v>
      </c>
      <c r="N159" s="59">
        <v>18000</v>
      </c>
      <c r="P159" t="s">
        <v>15753</v>
      </c>
      <c r="Q159" t="s">
        <v>16141</v>
      </c>
      <c r="R159" t="s">
        <v>15754</v>
      </c>
    </row>
    <row r="160" spans="1:18" x14ac:dyDescent="0.2">
      <c r="A160" t="s">
        <v>16283</v>
      </c>
      <c r="B160" s="79" t="s">
        <v>16213</v>
      </c>
      <c r="C160" s="101" t="s">
        <v>16214</v>
      </c>
      <c r="D160" s="79">
        <v>5</v>
      </c>
      <c r="E160" s="100">
        <v>4</v>
      </c>
      <c r="F160" s="79" t="s">
        <v>16274</v>
      </c>
      <c r="G160" s="100" t="s">
        <v>15742</v>
      </c>
      <c r="H160" s="100" t="str">
        <f t="shared" si="2"/>
        <v>CH 08-5-4 Story</v>
      </c>
      <c r="I160" s="100" t="s">
        <v>16284</v>
      </c>
      <c r="J160" s="108" t="s">
        <v>16285</v>
      </c>
      <c r="L160"/>
      <c r="M160"/>
      <c r="N160"/>
    </row>
    <row r="161" spans="1:18" x14ac:dyDescent="0.2">
      <c r="A161" t="s">
        <v>16286</v>
      </c>
      <c r="B161" s="79" t="s">
        <v>16287</v>
      </c>
      <c r="C161" s="101" t="s">
        <v>16288</v>
      </c>
      <c r="D161" s="79">
        <v>1</v>
      </c>
      <c r="E161" s="100">
        <v>1</v>
      </c>
      <c r="F161" s="79" t="s">
        <v>16289</v>
      </c>
      <c r="G161" s="100" t="s">
        <v>15742</v>
      </c>
      <c r="H161" s="100" t="str">
        <f t="shared" si="2"/>
        <v>CH 09-1-1 Story</v>
      </c>
      <c r="I161" s="100" t="s">
        <v>16290</v>
      </c>
      <c r="J161" s="108" t="s">
        <v>16291</v>
      </c>
      <c r="L161"/>
      <c r="M161"/>
      <c r="N161"/>
    </row>
    <row r="162" spans="1:18" x14ac:dyDescent="0.2">
      <c r="A162" t="s">
        <v>16292</v>
      </c>
      <c r="B162" s="79" t="s">
        <v>16287</v>
      </c>
      <c r="C162" s="101" t="s">
        <v>16288</v>
      </c>
      <c r="D162" s="79">
        <v>1</v>
      </c>
      <c r="E162" s="100">
        <v>2</v>
      </c>
      <c r="F162" s="79" t="s">
        <v>16289</v>
      </c>
      <c r="G162" s="100" t="s">
        <v>15770</v>
      </c>
      <c r="H162" s="100" t="str">
        <f t="shared" si="2"/>
        <v>CH 09-1-2 Gameplay</v>
      </c>
      <c r="I162" s="100" t="s">
        <v>16293</v>
      </c>
      <c r="J162" s="108" t="s">
        <v>16294</v>
      </c>
      <c r="K162" s="100" t="s">
        <v>2837</v>
      </c>
      <c r="L162" s="59">
        <v>7000</v>
      </c>
      <c r="M162" s="59">
        <v>10000</v>
      </c>
      <c r="N162" s="59">
        <v>18000</v>
      </c>
      <c r="P162" t="s">
        <v>15753</v>
      </c>
      <c r="Q162" t="s">
        <v>16141</v>
      </c>
      <c r="R162" t="s">
        <v>15754</v>
      </c>
    </row>
    <row r="163" spans="1:18" x14ac:dyDescent="0.2">
      <c r="A163" t="s">
        <v>16295</v>
      </c>
      <c r="B163" s="79" t="s">
        <v>16287</v>
      </c>
      <c r="C163" s="101" t="s">
        <v>16288</v>
      </c>
      <c r="D163" s="79">
        <v>2</v>
      </c>
      <c r="E163" s="100">
        <v>1</v>
      </c>
      <c r="F163" s="79" t="s">
        <v>16296</v>
      </c>
      <c r="G163" s="100" t="s">
        <v>15742</v>
      </c>
      <c r="H163" s="100" t="str">
        <f t="shared" si="2"/>
        <v>CH 09-2-1 Story</v>
      </c>
      <c r="I163" s="100" t="s">
        <v>16297</v>
      </c>
      <c r="J163" s="108" t="s">
        <v>16298</v>
      </c>
      <c r="L163"/>
      <c r="M163"/>
      <c r="N163"/>
    </row>
    <row r="164" spans="1:18" x14ac:dyDescent="0.2">
      <c r="A164" t="s">
        <v>16299</v>
      </c>
      <c r="B164" s="79" t="s">
        <v>16287</v>
      </c>
      <c r="C164" s="101" t="s">
        <v>16288</v>
      </c>
      <c r="D164" s="79">
        <v>2</v>
      </c>
      <c r="E164" s="100">
        <v>2</v>
      </c>
      <c r="F164" s="79" t="s">
        <v>16296</v>
      </c>
      <c r="G164" s="100" t="s">
        <v>15770</v>
      </c>
      <c r="H164" s="100" t="str">
        <f t="shared" si="2"/>
        <v>CH 09-2-2 Gameplay</v>
      </c>
      <c r="I164" s="100" t="s">
        <v>16300</v>
      </c>
      <c r="J164" s="108" t="s">
        <v>16301</v>
      </c>
      <c r="K164" s="100" t="s">
        <v>2837</v>
      </c>
      <c r="L164" s="59">
        <v>7050</v>
      </c>
      <c r="M164" s="59">
        <v>10050</v>
      </c>
      <c r="N164" s="59">
        <v>18000</v>
      </c>
      <c r="P164" t="s">
        <v>15753</v>
      </c>
      <c r="Q164" t="s">
        <v>16141</v>
      </c>
      <c r="R164" t="s">
        <v>15754</v>
      </c>
    </row>
    <row r="165" spans="1:18" x14ac:dyDescent="0.2">
      <c r="A165" t="s">
        <v>16302</v>
      </c>
      <c r="B165" s="79" t="s">
        <v>16287</v>
      </c>
      <c r="C165" s="101" t="s">
        <v>16288</v>
      </c>
      <c r="D165" s="79" t="s">
        <v>15821</v>
      </c>
      <c r="E165" s="100">
        <v>1</v>
      </c>
      <c r="F165" s="79" t="s">
        <v>16303</v>
      </c>
      <c r="G165" s="100" t="s">
        <v>15742</v>
      </c>
      <c r="H165" s="100" t="str">
        <f t="shared" si="2"/>
        <v>CH 09-2-EX 1-1 Story</v>
      </c>
      <c r="I165" s="100" t="s">
        <v>16304</v>
      </c>
      <c r="J165" s="108" t="s">
        <v>16305</v>
      </c>
      <c r="L165"/>
      <c r="M165"/>
      <c r="N165"/>
    </row>
    <row r="166" spans="1:18" x14ac:dyDescent="0.2">
      <c r="A166" t="s">
        <v>16306</v>
      </c>
      <c r="B166" s="79" t="s">
        <v>16287</v>
      </c>
      <c r="C166" s="101" t="s">
        <v>16288</v>
      </c>
      <c r="D166" s="79" t="s">
        <v>15821</v>
      </c>
      <c r="E166" s="100">
        <v>2</v>
      </c>
      <c r="F166" s="79" t="s">
        <v>16303</v>
      </c>
      <c r="G166" s="100" t="s">
        <v>15770</v>
      </c>
      <c r="H166" s="100" t="str">
        <f t="shared" si="2"/>
        <v>CH 09-2-EX 1-2 Gameplay</v>
      </c>
      <c r="I166" s="100" t="s">
        <v>16307</v>
      </c>
      <c r="J166" s="108" t="s">
        <v>16308</v>
      </c>
      <c r="K166" s="100" t="s">
        <v>2837</v>
      </c>
      <c r="L166" s="59">
        <v>7700</v>
      </c>
      <c r="M166" s="59">
        <v>12000</v>
      </c>
      <c r="N166" s="59">
        <v>21000</v>
      </c>
      <c r="P166" t="s">
        <v>15753</v>
      </c>
      <c r="Q166" t="s">
        <v>16141</v>
      </c>
      <c r="R166" t="s">
        <v>15754</v>
      </c>
    </row>
    <row r="167" spans="1:18" x14ac:dyDescent="0.2">
      <c r="A167" t="s">
        <v>16309</v>
      </c>
      <c r="B167" s="79" t="s">
        <v>16287</v>
      </c>
      <c r="C167" s="101" t="s">
        <v>16288</v>
      </c>
      <c r="D167" s="79">
        <v>3</v>
      </c>
      <c r="E167" s="100">
        <v>1</v>
      </c>
      <c r="F167" s="79" t="s">
        <v>16310</v>
      </c>
      <c r="G167" s="100" t="s">
        <v>15742</v>
      </c>
      <c r="H167" s="100" t="str">
        <f t="shared" si="2"/>
        <v>CH 09-3-1 Story</v>
      </c>
      <c r="I167" s="100" t="s">
        <v>16311</v>
      </c>
      <c r="J167" s="108" t="s">
        <v>16312</v>
      </c>
      <c r="L167"/>
      <c r="M167"/>
      <c r="N167"/>
    </row>
    <row r="168" spans="1:18" x14ac:dyDescent="0.2">
      <c r="A168" t="s">
        <v>16313</v>
      </c>
      <c r="B168" s="79" t="s">
        <v>16287</v>
      </c>
      <c r="C168" s="101" t="s">
        <v>16288</v>
      </c>
      <c r="D168" s="79">
        <v>3</v>
      </c>
      <c r="E168" s="100">
        <v>2</v>
      </c>
      <c r="F168" s="79" t="s">
        <v>16310</v>
      </c>
      <c r="G168" s="100" t="s">
        <v>15770</v>
      </c>
      <c r="H168" s="100" t="str">
        <f t="shared" si="2"/>
        <v>CH 09-3-2 Gameplay</v>
      </c>
      <c r="I168" s="100" t="s">
        <v>16314</v>
      </c>
      <c r="J168" s="108" t="s">
        <v>16315</v>
      </c>
      <c r="K168" s="100" t="s">
        <v>2837</v>
      </c>
      <c r="L168" s="59">
        <v>7050</v>
      </c>
      <c r="M168" s="59">
        <v>10050</v>
      </c>
      <c r="N168" s="59">
        <v>18000</v>
      </c>
      <c r="P168" t="s">
        <v>15753</v>
      </c>
      <c r="Q168" t="s">
        <v>16141</v>
      </c>
      <c r="R168" t="s">
        <v>15754</v>
      </c>
    </row>
    <row r="169" spans="1:18" x14ac:dyDescent="0.2">
      <c r="A169" t="s">
        <v>16316</v>
      </c>
      <c r="B169" s="79" t="s">
        <v>16287</v>
      </c>
      <c r="C169" s="101" t="s">
        <v>16288</v>
      </c>
      <c r="D169" s="79">
        <v>4</v>
      </c>
      <c r="E169" s="100">
        <v>1</v>
      </c>
      <c r="F169" s="79" t="s">
        <v>16317</v>
      </c>
      <c r="G169" s="100" t="s">
        <v>15770</v>
      </c>
      <c r="H169" s="100" t="str">
        <f t="shared" si="2"/>
        <v>CH 09-4-1 Gameplay</v>
      </c>
      <c r="I169" s="100" t="s">
        <v>16318</v>
      </c>
      <c r="J169" s="108" t="s">
        <v>16319</v>
      </c>
      <c r="K169" s="100" t="s">
        <v>2837</v>
      </c>
      <c r="L169" s="59">
        <v>7100</v>
      </c>
      <c r="M169" s="59">
        <v>10100</v>
      </c>
      <c r="N169" s="59">
        <v>18000</v>
      </c>
      <c r="P169" t="s">
        <v>15753</v>
      </c>
      <c r="Q169" t="s">
        <v>16141</v>
      </c>
      <c r="R169" t="s">
        <v>15754</v>
      </c>
    </row>
    <row r="170" spans="1:18" x14ac:dyDescent="0.2">
      <c r="A170" t="s">
        <v>16320</v>
      </c>
      <c r="B170" s="79" t="s">
        <v>16287</v>
      </c>
      <c r="C170" s="101" t="s">
        <v>16288</v>
      </c>
      <c r="D170" s="79">
        <v>4</v>
      </c>
      <c r="E170" s="100">
        <v>2</v>
      </c>
      <c r="F170" s="79" t="s">
        <v>16317</v>
      </c>
      <c r="G170" s="100" t="s">
        <v>15742</v>
      </c>
      <c r="H170" s="100" t="str">
        <f t="shared" si="2"/>
        <v>CH 09-4-2 Story</v>
      </c>
      <c r="I170" s="100" t="s">
        <v>16321</v>
      </c>
      <c r="J170" s="108" t="s">
        <v>16322</v>
      </c>
      <c r="L170"/>
      <c r="M170"/>
      <c r="N170"/>
    </row>
    <row r="171" spans="1:18" x14ac:dyDescent="0.2">
      <c r="A171" t="s">
        <v>16323</v>
      </c>
      <c r="B171" s="79" t="s">
        <v>16287</v>
      </c>
      <c r="C171" s="101" t="s">
        <v>16288</v>
      </c>
      <c r="D171" s="79">
        <v>4</v>
      </c>
      <c r="E171" s="100">
        <v>3</v>
      </c>
      <c r="F171" s="79" t="s">
        <v>16317</v>
      </c>
      <c r="G171" s="100" t="s">
        <v>15742</v>
      </c>
      <c r="H171" s="100" t="str">
        <f t="shared" si="2"/>
        <v>CH 09-4-3 Story</v>
      </c>
      <c r="I171" s="100" t="s">
        <v>16324</v>
      </c>
      <c r="J171" s="108" t="s">
        <v>16325</v>
      </c>
      <c r="L171"/>
      <c r="M171"/>
      <c r="N171"/>
    </row>
    <row r="172" spans="1:18" x14ac:dyDescent="0.2">
      <c r="A172" t="s">
        <v>16326</v>
      </c>
      <c r="B172" s="79" t="s">
        <v>16287</v>
      </c>
      <c r="C172" s="101" t="s">
        <v>16288</v>
      </c>
      <c r="D172" s="79">
        <v>4</v>
      </c>
      <c r="E172" s="100">
        <v>4</v>
      </c>
      <c r="F172" s="79" t="s">
        <v>16317</v>
      </c>
      <c r="G172" s="100" t="s">
        <v>15742</v>
      </c>
      <c r="H172" s="100" t="str">
        <f t="shared" si="2"/>
        <v>CH 09-4-4 Story</v>
      </c>
      <c r="I172" s="100" t="s">
        <v>16327</v>
      </c>
      <c r="J172" s="108" t="s">
        <v>16328</v>
      </c>
      <c r="L172"/>
      <c r="M172"/>
      <c r="N172"/>
    </row>
    <row r="173" spans="1:18" x14ac:dyDescent="0.2">
      <c r="A173" t="s">
        <v>16329</v>
      </c>
      <c r="B173" s="79" t="s">
        <v>16287</v>
      </c>
      <c r="C173" s="101" t="s">
        <v>16288</v>
      </c>
      <c r="D173" s="79">
        <v>5</v>
      </c>
      <c r="E173" s="100">
        <v>1</v>
      </c>
      <c r="F173" s="79" t="s">
        <v>16330</v>
      </c>
      <c r="G173" s="100" t="s">
        <v>15770</v>
      </c>
      <c r="H173" s="100" t="str">
        <f t="shared" si="2"/>
        <v>CH 09-5-1 Gameplay</v>
      </c>
      <c r="I173" s="100" t="s">
        <v>16331</v>
      </c>
      <c r="J173" s="108" t="s">
        <v>16332</v>
      </c>
      <c r="K173" s="100" t="s">
        <v>2837</v>
      </c>
      <c r="L173" s="59">
        <v>7150</v>
      </c>
      <c r="M173" s="59">
        <v>10150</v>
      </c>
      <c r="N173" s="59">
        <v>18000</v>
      </c>
      <c r="P173" t="s">
        <v>15753</v>
      </c>
      <c r="Q173" t="s">
        <v>16141</v>
      </c>
      <c r="R173" t="s">
        <v>15754</v>
      </c>
    </row>
    <row r="174" spans="1:18" x14ac:dyDescent="0.2">
      <c r="A174" t="s">
        <v>16333</v>
      </c>
      <c r="B174" s="79" t="s">
        <v>16287</v>
      </c>
      <c r="C174" s="101" t="s">
        <v>16288</v>
      </c>
      <c r="D174" s="79">
        <v>5</v>
      </c>
      <c r="E174" s="100">
        <v>2</v>
      </c>
      <c r="F174" s="79" t="s">
        <v>16330</v>
      </c>
      <c r="G174" s="100" t="s">
        <v>15770</v>
      </c>
      <c r="H174" s="100" t="str">
        <f t="shared" si="2"/>
        <v>CH 09-5-2 Gameplay</v>
      </c>
      <c r="I174" s="100" t="s">
        <v>16334</v>
      </c>
      <c r="J174" s="108" t="s">
        <v>16335</v>
      </c>
      <c r="K174" s="100" t="s">
        <v>2837</v>
      </c>
      <c r="L174" s="59">
        <v>7150</v>
      </c>
      <c r="M174" s="59">
        <v>10150</v>
      </c>
      <c r="N174" s="59">
        <v>18000</v>
      </c>
      <c r="P174" t="s">
        <v>15753</v>
      </c>
      <c r="Q174" t="s">
        <v>16141</v>
      </c>
      <c r="R174" t="s">
        <v>15754</v>
      </c>
    </row>
    <row r="175" spans="1:18" x14ac:dyDescent="0.2">
      <c r="A175" t="s">
        <v>16336</v>
      </c>
      <c r="B175" s="79" t="s">
        <v>16287</v>
      </c>
      <c r="C175" s="101" t="s">
        <v>16288</v>
      </c>
      <c r="D175" s="79">
        <v>5</v>
      </c>
      <c r="E175" s="100">
        <v>3</v>
      </c>
      <c r="F175" s="79" t="s">
        <v>16330</v>
      </c>
      <c r="G175" s="100" t="s">
        <v>15742</v>
      </c>
      <c r="H175" s="100" t="str">
        <f t="shared" si="2"/>
        <v>CH 09-5-3 Story</v>
      </c>
      <c r="I175" s="100" t="s">
        <v>16337</v>
      </c>
      <c r="J175" s="108" t="s">
        <v>16338</v>
      </c>
      <c r="L175"/>
      <c r="M175"/>
      <c r="N175"/>
    </row>
    <row r="176" spans="1:18" x14ac:dyDescent="0.2">
      <c r="A176" t="s">
        <v>16339</v>
      </c>
      <c r="B176" s="79" t="s">
        <v>16287</v>
      </c>
      <c r="C176" s="101" t="s">
        <v>16288</v>
      </c>
      <c r="D176" s="79">
        <v>5</v>
      </c>
      <c r="E176" s="100">
        <v>4</v>
      </c>
      <c r="F176" s="79" t="s">
        <v>16330</v>
      </c>
      <c r="G176" s="100" t="s">
        <v>15770</v>
      </c>
      <c r="H176" s="100" t="str">
        <f t="shared" si="2"/>
        <v>CH 09-5-4 Gameplay</v>
      </c>
      <c r="I176" s="100" t="s">
        <v>16340</v>
      </c>
      <c r="J176" s="108" t="s">
        <v>16341</v>
      </c>
      <c r="K176" s="100" t="s">
        <v>2837</v>
      </c>
      <c r="L176" s="59">
        <v>7200</v>
      </c>
      <c r="M176" s="59">
        <v>10200</v>
      </c>
      <c r="N176" s="59">
        <v>18000</v>
      </c>
      <c r="P176" t="s">
        <v>15753</v>
      </c>
      <c r="Q176" t="s">
        <v>16141</v>
      </c>
      <c r="R176" t="s">
        <v>15754</v>
      </c>
    </row>
    <row r="177" spans="1:18" x14ac:dyDescent="0.2">
      <c r="A177" t="s">
        <v>16342</v>
      </c>
      <c r="B177" s="79" t="s">
        <v>16287</v>
      </c>
      <c r="C177" s="101" t="s">
        <v>16288</v>
      </c>
      <c r="D177" s="79">
        <v>5</v>
      </c>
      <c r="E177" s="100">
        <v>5</v>
      </c>
      <c r="F177" s="79" t="s">
        <v>16330</v>
      </c>
      <c r="G177" s="100" t="s">
        <v>15742</v>
      </c>
      <c r="H177" s="100" t="str">
        <f t="shared" si="2"/>
        <v>CH 09-5-5 Story</v>
      </c>
      <c r="I177" s="100" t="s">
        <v>16343</v>
      </c>
      <c r="J177" s="108" t="s">
        <v>16344</v>
      </c>
      <c r="L177"/>
      <c r="M177"/>
      <c r="N177"/>
    </row>
    <row r="178" spans="1:18" x14ac:dyDescent="0.2">
      <c r="A178" t="s">
        <v>16345</v>
      </c>
      <c r="B178" s="79" t="s">
        <v>16346</v>
      </c>
      <c r="C178" s="79" t="s">
        <v>16347</v>
      </c>
      <c r="D178" s="79">
        <v>1</v>
      </c>
      <c r="E178" s="100">
        <v>1</v>
      </c>
      <c r="F178" s="79" t="s">
        <v>16348</v>
      </c>
      <c r="G178" s="100" t="s">
        <v>15742</v>
      </c>
      <c r="H178" s="100" t="str">
        <f t="shared" si="2"/>
        <v>CH 10-1-1 Story</v>
      </c>
      <c r="I178" s="100" t="s">
        <v>16348</v>
      </c>
      <c r="J178" s="108" t="s">
        <v>16349</v>
      </c>
      <c r="L178"/>
      <c r="M178"/>
      <c r="N178"/>
    </row>
    <row r="179" spans="1:18" x14ac:dyDescent="0.2">
      <c r="A179" t="s">
        <v>16350</v>
      </c>
      <c r="B179" s="79" t="s">
        <v>16346</v>
      </c>
      <c r="C179" s="79" t="s">
        <v>16347</v>
      </c>
      <c r="D179" s="79">
        <v>1</v>
      </c>
      <c r="E179" s="100">
        <v>2</v>
      </c>
      <c r="F179" s="79" t="s">
        <v>16348</v>
      </c>
      <c r="G179" s="100" t="s">
        <v>15770</v>
      </c>
      <c r="H179" s="100" t="str">
        <f t="shared" si="2"/>
        <v>CH 10-1-2 Gameplay</v>
      </c>
      <c r="I179" s="100" t="s">
        <v>16351</v>
      </c>
      <c r="J179" s="108" t="s">
        <v>16352</v>
      </c>
      <c r="K179" s="100" t="s">
        <v>3779</v>
      </c>
      <c r="L179" s="59">
        <v>8000</v>
      </c>
      <c r="M179" s="59">
        <v>11000</v>
      </c>
      <c r="N179" s="59">
        <v>18000</v>
      </c>
      <c r="P179" t="s">
        <v>15753</v>
      </c>
      <c r="Q179" t="s">
        <v>16141</v>
      </c>
      <c r="R179" t="s">
        <v>15754</v>
      </c>
    </row>
    <row r="180" spans="1:18" x14ac:dyDescent="0.2">
      <c r="A180" t="s">
        <v>16353</v>
      </c>
      <c r="B180" s="79" t="s">
        <v>16346</v>
      </c>
      <c r="C180" s="79" t="s">
        <v>16347</v>
      </c>
      <c r="D180" s="79">
        <v>2</v>
      </c>
      <c r="E180" s="100">
        <v>1</v>
      </c>
      <c r="F180" s="79" t="s">
        <v>16354</v>
      </c>
      <c r="G180" s="100" t="s">
        <v>15742</v>
      </c>
      <c r="H180" s="100" t="str">
        <f t="shared" si="2"/>
        <v>CH 10-2-1 Story</v>
      </c>
      <c r="I180" s="100" t="s">
        <v>16355</v>
      </c>
      <c r="J180" s="108" t="s">
        <v>16356</v>
      </c>
      <c r="L180"/>
      <c r="M180"/>
      <c r="N180"/>
    </row>
    <row r="181" spans="1:18" x14ac:dyDescent="0.2">
      <c r="A181" t="s">
        <v>16357</v>
      </c>
      <c r="B181" s="79" t="s">
        <v>16346</v>
      </c>
      <c r="C181" s="79" t="s">
        <v>16347</v>
      </c>
      <c r="D181" s="79">
        <v>2</v>
      </c>
      <c r="E181" s="100">
        <v>2</v>
      </c>
      <c r="F181" s="79" t="s">
        <v>16354</v>
      </c>
      <c r="G181" s="100" t="s">
        <v>15770</v>
      </c>
      <c r="H181" s="100" t="str">
        <f t="shared" si="2"/>
        <v>CH 10-2-2 Gameplay</v>
      </c>
      <c r="I181" s="100" t="s">
        <v>16358</v>
      </c>
      <c r="J181" s="108" t="s">
        <v>16359</v>
      </c>
      <c r="K181" s="100" t="s">
        <v>3779</v>
      </c>
      <c r="L181" s="59">
        <v>8050</v>
      </c>
      <c r="M181" s="59">
        <v>11050</v>
      </c>
      <c r="N181" s="59">
        <v>18000</v>
      </c>
      <c r="P181" t="s">
        <v>15753</v>
      </c>
      <c r="Q181" t="s">
        <v>16141</v>
      </c>
      <c r="R181" t="s">
        <v>15754</v>
      </c>
    </row>
    <row r="182" spans="1:18" x14ac:dyDescent="0.2">
      <c r="A182" t="s">
        <v>16360</v>
      </c>
      <c r="B182" s="79" t="s">
        <v>16346</v>
      </c>
      <c r="C182" s="79" t="s">
        <v>16347</v>
      </c>
      <c r="D182" s="79">
        <v>3</v>
      </c>
      <c r="E182" s="100">
        <v>1</v>
      </c>
      <c r="F182" s="79" t="s">
        <v>16361</v>
      </c>
      <c r="G182" s="100" t="s">
        <v>15742</v>
      </c>
      <c r="H182" s="100" t="str">
        <f t="shared" si="2"/>
        <v>CH 10-3-1 Story</v>
      </c>
      <c r="I182" s="100" t="s">
        <v>16362</v>
      </c>
      <c r="J182" s="108" t="s">
        <v>16363</v>
      </c>
      <c r="L182"/>
      <c r="M182"/>
      <c r="N182"/>
    </row>
    <row r="183" spans="1:18" x14ac:dyDescent="0.2">
      <c r="A183" t="s">
        <v>16364</v>
      </c>
      <c r="B183" s="79" t="s">
        <v>16346</v>
      </c>
      <c r="C183" s="79" t="s">
        <v>16347</v>
      </c>
      <c r="D183" s="79">
        <v>3</v>
      </c>
      <c r="E183" s="100">
        <v>2</v>
      </c>
      <c r="F183" s="79" t="s">
        <v>16361</v>
      </c>
      <c r="G183" s="100" t="s">
        <v>15770</v>
      </c>
      <c r="H183" s="100" t="str">
        <f t="shared" si="2"/>
        <v>CH 10-3-2 Gameplay</v>
      </c>
      <c r="I183" s="100" t="s">
        <v>16365</v>
      </c>
      <c r="J183" s="108" t="s">
        <v>16366</v>
      </c>
      <c r="K183" s="100" t="s">
        <v>3779</v>
      </c>
      <c r="L183" s="59">
        <v>8050</v>
      </c>
      <c r="M183" s="59">
        <v>11050</v>
      </c>
      <c r="N183" s="59">
        <v>18000</v>
      </c>
      <c r="P183" t="s">
        <v>15753</v>
      </c>
      <c r="Q183" t="s">
        <v>16141</v>
      </c>
      <c r="R183" t="s">
        <v>15754</v>
      </c>
    </row>
    <row r="184" spans="1:18" x14ac:dyDescent="0.2">
      <c r="A184" t="s">
        <v>16367</v>
      </c>
      <c r="B184" s="79" t="s">
        <v>16346</v>
      </c>
      <c r="C184" s="79" t="s">
        <v>16347</v>
      </c>
      <c r="D184" s="79" t="s">
        <v>16175</v>
      </c>
      <c r="E184" s="100">
        <v>1</v>
      </c>
      <c r="F184" s="79" t="s">
        <v>16368</v>
      </c>
      <c r="G184" s="100" t="s">
        <v>15742</v>
      </c>
      <c r="H184" s="100" t="str">
        <f t="shared" si="2"/>
        <v>CH 10-3-EX 1-1 Story</v>
      </c>
      <c r="I184" s="100" t="s">
        <v>16369</v>
      </c>
      <c r="J184" s="108" t="s">
        <v>16370</v>
      </c>
      <c r="L184"/>
      <c r="M184"/>
      <c r="N184"/>
    </row>
    <row r="185" spans="1:18" x14ac:dyDescent="0.2">
      <c r="A185" t="s">
        <v>16371</v>
      </c>
      <c r="B185" s="79" t="s">
        <v>16346</v>
      </c>
      <c r="C185" s="79" t="s">
        <v>16347</v>
      </c>
      <c r="D185" s="79" t="s">
        <v>16175</v>
      </c>
      <c r="E185" s="100">
        <v>2</v>
      </c>
      <c r="F185" s="79" t="s">
        <v>16368</v>
      </c>
      <c r="G185" s="100" t="s">
        <v>15770</v>
      </c>
      <c r="H185" s="100" t="str">
        <f t="shared" si="2"/>
        <v>CH 10-3-EX 1-2 Gameplay</v>
      </c>
      <c r="I185" s="100" t="s">
        <v>16372</v>
      </c>
      <c r="J185" s="108" t="s">
        <v>16373</v>
      </c>
      <c r="K185" s="100" t="s">
        <v>3779</v>
      </c>
      <c r="L185" s="59">
        <v>8700</v>
      </c>
      <c r="M185" s="59">
        <v>13000</v>
      </c>
      <c r="N185" s="59">
        <v>21000</v>
      </c>
      <c r="P185" t="s">
        <v>15753</v>
      </c>
      <c r="Q185" t="s">
        <v>16141</v>
      </c>
      <c r="R185" t="s">
        <v>15754</v>
      </c>
    </row>
    <row r="186" spans="1:18" x14ac:dyDescent="0.2">
      <c r="A186" t="s">
        <v>16374</v>
      </c>
      <c r="B186" s="79" t="s">
        <v>16346</v>
      </c>
      <c r="C186" s="79" t="s">
        <v>16347</v>
      </c>
      <c r="D186" s="79" t="s">
        <v>16175</v>
      </c>
      <c r="E186" s="100">
        <v>3</v>
      </c>
      <c r="F186" s="79" t="s">
        <v>16368</v>
      </c>
      <c r="G186" s="100" t="s">
        <v>15770</v>
      </c>
      <c r="H186" s="100" t="str">
        <f t="shared" si="2"/>
        <v>CH 10-3-EX 1-3 Gameplay</v>
      </c>
      <c r="I186" s="100" t="s">
        <v>16375</v>
      </c>
      <c r="J186" s="108" t="s">
        <v>16376</v>
      </c>
      <c r="K186" s="100" t="s">
        <v>3779</v>
      </c>
      <c r="L186" s="59">
        <v>12500</v>
      </c>
      <c r="M186" s="59">
        <v>18000</v>
      </c>
      <c r="N186" s="59">
        <v>28000</v>
      </c>
      <c r="P186" t="s">
        <v>15753</v>
      </c>
      <c r="Q186" t="s">
        <v>16141</v>
      </c>
      <c r="R186" t="s">
        <v>15754</v>
      </c>
    </row>
    <row r="187" spans="1:18" x14ac:dyDescent="0.2">
      <c r="A187" t="s">
        <v>16377</v>
      </c>
      <c r="B187" s="79" t="s">
        <v>16346</v>
      </c>
      <c r="C187" s="79" t="s">
        <v>16347</v>
      </c>
      <c r="D187" s="79">
        <v>4</v>
      </c>
      <c r="E187" s="100">
        <v>1</v>
      </c>
      <c r="F187" s="79" t="s">
        <v>16378</v>
      </c>
      <c r="G187" s="100" t="s">
        <v>15742</v>
      </c>
      <c r="H187" s="100" t="str">
        <f t="shared" si="2"/>
        <v>CH 10-4-1 Story</v>
      </c>
      <c r="I187" s="100" t="s">
        <v>16379</v>
      </c>
      <c r="J187" s="108" t="s">
        <v>16380</v>
      </c>
      <c r="L187"/>
      <c r="M187"/>
      <c r="N187"/>
    </row>
    <row r="188" spans="1:18" x14ac:dyDescent="0.2">
      <c r="A188" t="s">
        <v>16381</v>
      </c>
      <c r="B188" s="79" t="s">
        <v>16346</v>
      </c>
      <c r="C188" s="79" t="s">
        <v>16347</v>
      </c>
      <c r="D188" s="79">
        <v>4</v>
      </c>
      <c r="E188" s="100">
        <v>2</v>
      </c>
      <c r="F188" s="79" t="s">
        <v>16378</v>
      </c>
      <c r="G188" s="100" t="s">
        <v>15770</v>
      </c>
      <c r="H188" s="100" t="str">
        <f t="shared" si="2"/>
        <v>CH 10-4-2 Gameplay</v>
      </c>
      <c r="I188" s="100" t="s">
        <v>16382</v>
      </c>
      <c r="J188" s="108" t="s">
        <v>16383</v>
      </c>
      <c r="K188" s="100" t="s">
        <v>3779</v>
      </c>
      <c r="L188" s="59">
        <v>8100</v>
      </c>
      <c r="M188" s="59">
        <v>11100</v>
      </c>
      <c r="N188" s="59">
        <v>18000</v>
      </c>
      <c r="P188" t="s">
        <v>15753</v>
      </c>
      <c r="Q188" t="s">
        <v>16141</v>
      </c>
      <c r="R188" t="s">
        <v>15754</v>
      </c>
    </row>
    <row r="189" spans="1:18" x14ac:dyDescent="0.2">
      <c r="A189" t="s">
        <v>16384</v>
      </c>
      <c r="B189" s="79" t="s">
        <v>16346</v>
      </c>
      <c r="C189" s="79" t="s">
        <v>16347</v>
      </c>
      <c r="D189" s="79">
        <v>4</v>
      </c>
      <c r="E189" s="100">
        <v>3</v>
      </c>
      <c r="F189" s="79" t="s">
        <v>16378</v>
      </c>
      <c r="G189" s="100" t="s">
        <v>15770</v>
      </c>
      <c r="H189" s="100" t="str">
        <f t="shared" si="2"/>
        <v>CH 10-4-3 Gameplay</v>
      </c>
      <c r="I189" s="100" t="s">
        <v>16385</v>
      </c>
      <c r="J189" s="108" t="s">
        <v>16386</v>
      </c>
      <c r="K189" s="100" t="s">
        <v>3779</v>
      </c>
      <c r="L189" s="59">
        <v>8150</v>
      </c>
      <c r="M189" s="59">
        <v>11150</v>
      </c>
      <c r="N189" s="59">
        <v>18000</v>
      </c>
      <c r="P189" t="s">
        <v>15753</v>
      </c>
      <c r="Q189" t="s">
        <v>16141</v>
      </c>
      <c r="R189" t="s">
        <v>15754</v>
      </c>
    </row>
    <row r="190" spans="1:18" x14ac:dyDescent="0.2">
      <c r="A190" t="s">
        <v>16387</v>
      </c>
      <c r="B190" s="79" t="s">
        <v>16346</v>
      </c>
      <c r="C190" s="79" t="s">
        <v>16347</v>
      </c>
      <c r="D190" s="79">
        <v>5</v>
      </c>
      <c r="E190" s="100">
        <v>1</v>
      </c>
      <c r="F190" s="79" t="s">
        <v>16388</v>
      </c>
      <c r="G190" s="100" t="s">
        <v>15770</v>
      </c>
      <c r="H190" s="100" t="str">
        <f t="shared" si="2"/>
        <v>CH 10-5-1 Gameplay</v>
      </c>
      <c r="I190" s="100" t="s">
        <v>16389</v>
      </c>
      <c r="J190" s="108" t="s">
        <v>16390</v>
      </c>
      <c r="K190" s="100" t="s">
        <v>3779</v>
      </c>
      <c r="L190" s="59">
        <v>8150</v>
      </c>
      <c r="M190" s="59">
        <v>11150</v>
      </c>
      <c r="N190" s="59">
        <v>18000</v>
      </c>
      <c r="P190" t="s">
        <v>15753</v>
      </c>
      <c r="Q190" t="s">
        <v>16141</v>
      </c>
      <c r="R190" t="s">
        <v>15754</v>
      </c>
    </row>
    <row r="191" spans="1:18" x14ac:dyDescent="0.2">
      <c r="A191" t="s">
        <v>16391</v>
      </c>
      <c r="B191" s="79" t="s">
        <v>16346</v>
      </c>
      <c r="C191" s="79" t="s">
        <v>16347</v>
      </c>
      <c r="D191" s="79">
        <v>5</v>
      </c>
      <c r="E191" s="100">
        <v>2</v>
      </c>
      <c r="F191" s="79" t="s">
        <v>16388</v>
      </c>
      <c r="G191" s="100" t="s">
        <v>15742</v>
      </c>
      <c r="H191" s="100" t="str">
        <f t="shared" si="2"/>
        <v>CH 10-5-2 Story</v>
      </c>
      <c r="I191" s="100" t="s">
        <v>16392</v>
      </c>
      <c r="J191" s="108" t="s">
        <v>16393</v>
      </c>
      <c r="L191"/>
      <c r="M191"/>
      <c r="N191"/>
    </row>
    <row r="192" spans="1:18" x14ac:dyDescent="0.2">
      <c r="A192" t="s">
        <v>16394</v>
      </c>
      <c r="B192" s="79" t="s">
        <v>16346</v>
      </c>
      <c r="C192" s="79" t="s">
        <v>16347</v>
      </c>
      <c r="D192" s="79">
        <v>6</v>
      </c>
      <c r="E192" s="100">
        <v>1</v>
      </c>
      <c r="F192" s="79" t="s">
        <v>16395</v>
      </c>
      <c r="G192" s="100" t="s">
        <v>15749</v>
      </c>
      <c r="H192" s="100" t="str">
        <f t="shared" si="2"/>
        <v>CH 10-6-1 Hybrid</v>
      </c>
      <c r="I192" s="100" t="s">
        <v>16396</v>
      </c>
      <c r="J192" s="108" t="s">
        <v>16397</v>
      </c>
      <c r="K192" s="100" t="s">
        <v>3779</v>
      </c>
      <c r="L192" s="59">
        <v>13000</v>
      </c>
      <c r="M192" s="59">
        <v>18000</v>
      </c>
      <c r="N192" s="59">
        <v>22000</v>
      </c>
      <c r="P192" t="s">
        <v>15753</v>
      </c>
      <c r="Q192" t="s">
        <v>16141</v>
      </c>
      <c r="R192" t="s">
        <v>15754</v>
      </c>
    </row>
    <row r="193" spans="1:18" x14ac:dyDescent="0.2">
      <c r="A193" t="s">
        <v>16398</v>
      </c>
      <c r="B193" s="79" t="s">
        <v>16346</v>
      </c>
      <c r="C193" s="79" t="s">
        <v>16347</v>
      </c>
      <c r="D193" s="79">
        <v>6</v>
      </c>
      <c r="E193" s="100">
        <v>2</v>
      </c>
      <c r="F193" s="79" t="s">
        <v>16395</v>
      </c>
      <c r="G193" s="100" t="s">
        <v>15742</v>
      </c>
      <c r="H193" s="100" t="str">
        <f t="shared" si="2"/>
        <v>CH 10-6-2 Story</v>
      </c>
      <c r="I193" s="100" t="s">
        <v>16346</v>
      </c>
      <c r="J193" s="108" t="s">
        <v>16399</v>
      </c>
      <c r="L193"/>
      <c r="M193"/>
      <c r="N193"/>
    </row>
    <row r="194" spans="1:18" x14ac:dyDescent="0.2">
      <c r="A194" t="s">
        <v>16400</v>
      </c>
      <c r="B194" s="79" t="s">
        <v>16346</v>
      </c>
      <c r="C194" s="79" t="s">
        <v>16347</v>
      </c>
      <c r="D194" s="79">
        <v>6</v>
      </c>
      <c r="E194" s="100">
        <v>3</v>
      </c>
      <c r="F194" s="79" t="s">
        <v>16395</v>
      </c>
      <c r="G194" s="100" t="s">
        <v>15742</v>
      </c>
      <c r="H194" s="100" t="str">
        <f t="shared" ref="H194:H257" si="3">+"CH "&amp;C194&amp;"-"&amp;D194&amp;"-"&amp;E194&amp;" "&amp;G194</f>
        <v>CH 10-6-3 Story</v>
      </c>
      <c r="I194" s="100" t="s">
        <v>16401</v>
      </c>
      <c r="J194" s="108" t="s">
        <v>16402</v>
      </c>
      <c r="L194"/>
      <c r="M194"/>
      <c r="N194"/>
    </row>
    <row r="195" spans="1:18" x14ac:dyDescent="0.2">
      <c r="A195" t="s">
        <v>16403</v>
      </c>
      <c r="B195" s="79" t="s">
        <v>16404</v>
      </c>
      <c r="C195" s="79" t="s">
        <v>16405</v>
      </c>
      <c r="D195" s="79">
        <v>1</v>
      </c>
      <c r="E195" s="100">
        <v>1</v>
      </c>
      <c r="F195" s="79" t="s">
        <v>16406</v>
      </c>
      <c r="G195" s="100" t="s">
        <v>15742</v>
      </c>
      <c r="H195" s="100" t="str">
        <f t="shared" si="3"/>
        <v>CH 11-1-1 Story</v>
      </c>
      <c r="I195" s="100" t="s">
        <v>16407</v>
      </c>
      <c r="J195" s="108" t="s">
        <v>16408</v>
      </c>
      <c r="L195"/>
      <c r="M195"/>
      <c r="N195"/>
    </row>
    <row r="196" spans="1:18" x14ac:dyDescent="0.2">
      <c r="A196" t="s">
        <v>16409</v>
      </c>
      <c r="B196" s="79" t="s">
        <v>16404</v>
      </c>
      <c r="C196" s="79" t="s">
        <v>16405</v>
      </c>
      <c r="D196" s="79">
        <v>1</v>
      </c>
      <c r="E196" s="100">
        <v>2</v>
      </c>
      <c r="F196" s="79" t="s">
        <v>16406</v>
      </c>
      <c r="G196" s="100" t="s">
        <v>15770</v>
      </c>
      <c r="H196" s="100" t="str">
        <f t="shared" si="3"/>
        <v>CH 11-1-2 Gameplay</v>
      </c>
      <c r="I196" s="100" t="s">
        <v>16410</v>
      </c>
      <c r="J196" s="108" t="s">
        <v>16411</v>
      </c>
      <c r="K196" s="100" t="s">
        <v>122</v>
      </c>
      <c r="L196" s="59">
        <v>9000</v>
      </c>
      <c r="M196" s="59">
        <v>12000</v>
      </c>
      <c r="N196" s="59">
        <v>21000</v>
      </c>
      <c r="P196" t="s">
        <v>15753</v>
      </c>
      <c r="Q196" t="s">
        <v>16141</v>
      </c>
      <c r="R196" t="s">
        <v>15754</v>
      </c>
    </row>
    <row r="197" spans="1:18" x14ac:dyDescent="0.2">
      <c r="A197" t="s">
        <v>16412</v>
      </c>
      <c r="B197" s="79" t="s">
        <v>16404</v>
      </c>
      <c r="C197" s="79" t="s">
        <v>16405</v>
      </c>
      <c r="D197" s="79">
        <v>2</v>
      </c>
      <c r="E197" s="100">
        <v>1</v>
      </c>
      <c r="F197" s="79" t="s">
        <v>16413</v>
      </c>
      <c r="G197" s="100" t="s">
        <v>15742</v>
      </c>
      <c r="H197" s="100" t="str">
        <f t="shared" si="3"/>
        <v>CH 11-2-1 Story</v>
      </c>
      <c r="I197" s="100" t="s">
        <v>16414</v>
      </c>
      <c r="J197" s="108" t="s">
        <v>16415</v>
      </c>
      <c r="L197"/>
      <c r="M197"/>
      <c r="N197"/>
    </row>
    <row r="198" spans="1:18" x14ac:dyDescent="0.2">
      <c r="A198" t="s">
        <v>16416</v>
      </c>
      <c r="B198" s="79" t="s">
        <v>16404</v>
      </c>
      <c r="C198" s="79" t="s">
        <v>16405</v>
      </c>
      <c r="D198" s="79">
        <v>2</v>
      </c>
      <c r="E198" s="100">
        <v>2</v>
      </c>
      <c r="F198" s="79" t="s">
        <v>16413</v>
      </c>
      <c r="G198" s="100" t="s">
        <v>15770</v>
      </c>
      <c r="H198" s="100" t="str">
        <f t="shared" si="3"/>
        <v>CH 11-2-2 Gameplay</v>
      </c>
      <c r="I198" s="100" t="s">
        <v>16417</v>
      </c>
      <c r="J198" s="108" t="s">
        <v>16418</v>
      </c>
      <c r="K198" s="100" t="s">
        <v>122</v>
      </c>
      <c r="L198" s="59">
        <v>9050</v>
      </c>
      <c r="M198" s="59">
        <v>12050</v>
      </c>
      <c r="N198" s="59">
        <v>21000</v>
      </c>
      <c r="P198" t="s">
        <v>15753</v>
      </c>
      <c r="Q198" t="s">
        <v>16141</v>
      </c>
      <c r="R198" t="s">
        <v>15754</v>
      </c>
    </row>
    <row r="199" spans="1:18" x14ac:dyDescent="0.2">
      <c r="A199" t="s">
        <v>16419</v>
      </c>
      <c r="B199" s="79" t="s">
        <v>16404</v>
      </c>
      <c r="C199" s="79" t="s">
        <v>16405</v>
      </c>
      <c r="D199" s="79">
        <v>3</v>
      </c>
      <c r="E199" s="100">
        <v>1</v>
      </c>
      <c r="F199" s="79" t="s">
        <v>16420</v>
      </c>
      <c r="G199" s="100" t="s">
        <v>15742</v>
      </c>
      <c r="H199" s="100" t="str">
        <f t="shared" si="3"/>
        <v>CH 11-3-1 Story</v>
      </c>
      <c r="I199" s="100" t="s">
        <v>16421</v>
      </c>
      <c r="J199" s="108" t="s">
        <v>16422</v>
      </c>
      <c r="L199"/>
      <c r="M199"/>
      <c r="N199"/>
    </row>
    <row r="200" spans="1:18" x14ac:dyDescent="0.2">
      <c r="A200" t="s">
        <v>16423</v>
      </c>
      <c r="B200" s="79" t="s">
        <v>16404</v>
      </c>
      <c r="C200" s="79" t="s">
        <v>16405</v>
      </c>
      <c r="D200" s="79">
        <v>3</v>
      </c>
      <c r="E200" s="100">
        <v>2</v>
      </c>
      <c r="F200" s="79" t="s">
        <v>16420</v>
      </c>
      <c r="G200" s="100" t="s">
        <v>15770</v>
      </c>
      <c r="H200" s="100" t="str">
        <f t="shared" si="3"/>
        <v>CH 11-3-2 Gameplay</v>
      </c>
      <c r="I200" s="100" t="s">
        <v>16424</v>
      </c>
      <c r="J200" s="108" t="s">
        <v>16425</v>
      </c>
      <c r="K200" s="100" t="s">
        <v>122</v>
      </c>
      <c r="L200" s="59">
        <v>9050</v>
      </c>
      <c r="M200" s="59">
        <v>12050</v>
      </c>
      <c r="N200" s="59">
        <v>21000</v>
      </c>
      <c r="P200" t="s">
        <v>15753</v>
      </c>
      <c r="Q200" t="s">
        <v>16141</v>
      </c>
      <c r="R200" t="s">
        <v>15754</v>
      </c>
    </row>
    <row r="201" spans="1:18" x14ac:dyDescent="0.2">
      <c r="A201" t="s">
        <v>16426</v>
      </c>
      <c r="B201" s="79" t="s">
        <v>16404</v>
      </c>
      <c r="C201" s="79" t="s">
        <v>16405</v>
      </c>
      <c r="D201" s="79">
        <v>4</v>
      </c>
      <c r="E201" s="100">
        <v>1</v>
      </c>
      <c r="F201" s="79" t="s">
        <v>16427</v>
      </c>
      <c r="G201" s="100" t="s">
        <v>15770</v>
      </c>
      <c r="H201" s="100" t="str">
        <f t="shared" si="3"/>
        <v>CH 11-4-1 Gameplay</v>
      </c>
      <c r="I201" s="100" t="s">
        <v>16428</v>
      </c>
      <c r="J201" s="108" t="s">
        <v>16429</v>
      </c>
      <c r="K201" s="100" t="s">
        <v>122</v>
      </c>
      <c r="L201" s="59">
        <v>9100</v>
      </c>
      <c r="M201" s="59">
        <v>12100</v>
      </c>
      <c r="N201" s="59">
        <v>21000</v>
      </c>
      <c r="P201" t="s">
        <v>15753</v>
      </c>
      <c r="Q201" t="s">
        <v>16141</v>
      </c>
      <c r="R201" t="s">
        <v>15754</v>
      </c>
    </row>
    <row r="202" spans="1:18" x14ac:dyDescent="0.2">
      <c r="A202" t="s">
        <v>16430</v>
      </c>
      <c r="B202" s="79" t="s">
        <v>16404</v>
      </c>
      <c r="C202" s="79" t="s">
        <v>16405</v>
      </c>
      <c r="D202" s="79">
        <v>4</v>
      </c>
      <c r="E202" s="100">
        <v>2</v>
      </c>
      <c r="F202" s="79" t="s">
        <v>16427</v>
      </c>
      <c r="G202" s="100" t="s">
        <v>15742</v>
      </c>
      <c r="H202" s="100" t="str">
        <f t="shared" si="3"/>
        <v>CH 11-4-2 Story</v>
      </c>
      <c r="I202" s="100" t="s">
        <v>16431</v>
      </c>
      <c r="J202" s="108" t="s">
        <v>16432</v>
      </c>
      <c r="L202"/>
      <c r="M202"/>
      <c r="N202"/>
    </row>
    <row r="203" spans="1:18" x14ac:dyDescent="0.2">
      <c r="A203" t="s">
        <v>16433</v>
      </c>
      <c r="B203" s="79" t="s">
        <v>16404</v>
      </c>
      <c r="C203" s="79" t="s">
        <v>16405</v>
      </c>
      <c r="D203" s="79" t="s">
        <v>16434</v>
      </c>
      <c r="E203" s="100">
        <v>1</v>
      </c>
      <c r="F203" s="79" t="s">
        <v>16435</v>
      </c>
      <c r="G203" s="100" t="s">
        <v>15742</v>
      </c>
      <c r="H203" s="100" t="str">
        <f t="shared" si="3"/>
        <v>CH 11-4-EX 1-1 Story</v>
      </c>
      <c r="I203" s="100" t="s">
        <v>16436</v>
      </c>
      <c r="J203" s="108" t="s">
        <v>16437</v>
      </c>
      <c r="L203"/>
      <c r="M203"/>
      <c r="N203"/>
    </row>
    <row r="204" spans="1:18" x14ac:dyDescent="0.2">
      <c r="A204" t="s">
        <v>16438</v>
      </c>
      <c r="B204" s="79" t="s">
        <v>16404</v>
      </c>
      <c r="C204" s="79" t="s">
        <v>16405</v>
      </c>
      <c r="D204" s="79" t="s">
        <v>16434</v>
      </c>
      <c r="E204" s="100">
        <v>2</v>
      </c>
      <c r="F204" s="79" t="s">
        <v>16435</v>
      </c>
      <c r="G204" s="100" t="s">
        <v>15770</v>
      </c>
      <c r="H204" s="100" t="str">
        <f t="shared" si="3"/>
        <v>CH 11-4-EX 1-2 Gameplay</v>
      </c>
      <c r="I204" s="100" t="s">
        <v>16439</v>
      </c>
      <c r="J204" s="108" t="s">
        <v>16440</v>
      </c>
      <c r="K204" s="100" t="s">
        <v>122</v>
      </c>
      <c r="L204" s="59">
        <v>10000</v>
      </c>
      <c r="M204" s="59">
        <v>14000</v>
      </c>
      <c r="N204" s="59">
        <v>24000</v>
      </c>
      <c r="P204" t="s">
        <v>15753</v>
      </c>
      <c r="Q204" t="s">
        <v>16141</v>
      </c>
      <c r="R204" t="s">
        <v>15754</v>
      </c>
    </row>
    <row r="205" spans="1:18" x14ac:dyDescent="0.2">
      <c r="A205" t="s">
        <v>16441</v>
      </c>
      <c r="B205" s="79" t="s">
        <v>16404</v>
      </c>
      <c r="C205" s="79" t="s">
        <v>16405</v>
      </c>
      <c r="D205" s="79" t="s">
        <v>16434</v>
      </c>
      <c r="E205" s="100">
        <v>3</v>
      </c>
      <c r="F205" s="79" t="s">
        <v>16435</v>
      </c>
      <c r="G205" s="100" t="s">
        <v>15770</v>
      </c>
      <c r="H205" s="100" t="str">
        <f t="shared" si="3"/>
        <v>CH 11-4-EX 1-3 Gameplay</v>
      </c>
      <c r="I205" s="100" t="s">
        <v>16442</v>
      </c>
      <c r="J205" s="108" t="s">
        <v>16443</v>
      </c>
      <c r="K205" s="100" t="s">
        <v>2837</v>
      </c>
      <c r="L205" s="59">
        <v>16000</v>
      </c>
      <c r="M205" s="59">
        <v>19000</v>
      </c>
      <c r="N205" s="59">
        <v>28000</v>
      </c>
      <c r="P205" t="s">
        <v>15753</v>
      </c>
      <c r="Q205" t="s">
        <v>16141</v>
      </c>
      <c r="R205" t="s">
        <v>15754</v>
      </c>
    </row>
    <row r="206" spans="1:18" x14ac:dyDescent="0.2">
      <c r="A206" t="s">
        <v>16444</v>
      </c>
      <c r="B206" s="79" t="s">
        <v>16404</v>
      </c>
      <c r="C206" s="79" t="s">
        <v>16405</v>
      </c>
      <c r="D206" s="79">
        <v>5</v>
      </c>
      <c r="E206" s="100">
        <v>1</v>
      </c>
      <c r="F206" s="79" t="s">
        <v>16445</v>
      </c>
      <c r="G206" s="100" t="s">
        <v>15770</v>
      </c>
      <c r="H206" s="100" t="str">
        <f t="shared" si="3"/>
        <v>CH 11-5-1 Gameplay</v>
      </c>
      <c r="I206" s="100" t="s">
        <v>16446</v>
      </c>
      <c r="J206" s="108" t="s">
        <v>16447</v>
      </c>
      <c r="K206" s="100" t="s">
        <v>122</v>
      </c>
      <c r="L206" s="59">
        <v>9150</v>
      </c>
      <c r="M206" s="59">
        <v>12150</v>
      </c>
      <c r="N206" s="59">
        <v>21000</v>
      </c>
      <c r="P206" t="s">
        <v>15753</v>
      </c>
      <c r="Q206" t="s">
        <v>16141</v>
      </c>
      <c r="R206" t="s">
        <v>15754</v>
      </c>
    </row>
    <row r="207" spans="1:18" x14ac:dyDescent="0.2">
      <c r="A207" t="s">
        <v>16448</v>
      </c>
      <c r="B207" s="79" t="s">
        <v>16404</v>
      </c>
      <c r="C207" s="79" t="s">
        <v>16405</v>
      </c>
      <c r="D207" s="79">
        <v>5</v>
      </c>
      <c r="E207" s="100">
        <v>2</v>
      </c>
      <c r="F207" s="79" t="s">
        <v>16445</v>
      </c>
      <c r="G207" s="100" t="s">
        <v>15770</v>
      </c>
      <c r="H207" s="100" t="str">
        <f t="shared" si="3"/>
        <v>CH 11-5-2 Gameplay</v>
      </c>
      <c r="I207" s="100" t="s">
        <v>16449</v>
      </c>
      <c r="J207" s="108" t="s">
        <v>16450</v>
      </c>
      <c r="K207" s="100" t="s">
        <v>122</v>
      </c>
      <c r="L207" s="59">
        <v>9150</v>
      </c>
      <c r="M207" s="59">
        <v>12150</v>
      </c>
      <c r="N207" s="59">
        <v>21000</v>
      </c>
      <c r="P207" t="s">
        <v>15753</v>
      </c>
      <c r="Q207" t="s">
        <v>16141</v>
      </c>
      <c r="R207" t="s">
        <v>15754</v>
      </c>
    </row>
    <row r="208" spans="1:18" x14ac:dyDescent="0.2">
      <c r="A208" t="s">
        <v>16451</v>
      </c>
      <c r="B208" s="79" t="s">
        <v>16404</v>
      </c>
      <c r="C208" s="79" t="s">
        <v>16405</v>
      </c>
      <c r="D208" s="79">
        <v>6</v>
      </c>
      <c r="E208" s="100">
        <v>1</v>
      </c>
      <c r="F208" s="79" t="s">
        <v>16452</v>
      </c>
      <c r="G208" s="100" t="s">
        <v>15742</v>
      </c>
      <c r="H208" s="100" t="str">
        <f t="shared" si="3"/>
        <v>CH 11-6-1 Story</v>
      </c>
      <c r="I208" s="100" t="s">
        <v>16453</v>
      </c>
      <c r="J208" s="108" t="s">
        <v>16454</v>
      </c>
      <c r="L208"/>
      <c r="M208"/>
      <c r="N208"/>
    </row>
    <row r="209" spans="1:18" x14ac:dyDescent="0.2">
      <c r="A209" t="s">
        <v>16455</v>
      </c>
      <c r="B209" s="79" t="s">
        <v>16404</v>
      </c>
      <c r="C209" s="79" t="s">
        <v>16405</v>
      </c>
      <c r="D209" s="79">
        <v>6</v>
      </c>
      <c r="E209" s="100">
        <v>2</v>
      </c>
      <c r="F209" s="79" t="s">
        <v>16452</v>
      </c>
      <c r="G209" s="100" t="s">
        <v>15749</v>
      </c>
      <c r="H209" s="100" t="str">
        <f t="shared" si="3"/>
        <v>CH 11-6-2 Hybrid</v>
      </c>
      <c r="I209" s="100" t="s">
        <v>16456</v>
      </c>
      <c r="J209" s="108" t="s">
        <v>16457</v>
      </c>
      <c r="K209" s="100" t="s">
        <v>122</v>
      </c>
      <c r="L209" s="59">
        <v>16000</v>
      </c>
      <c r="M209" s="59">
        <v>19000</v>
      </c>
      <c r="N209" s="59">
        <v>23000</v>
      </c>
      <c r="P209" t="s">
        <v>15753</v>
      </c>
      <c r="Q209" t="s">
        <v>16141</v>
      </c>
      <c r="R209" t="s">
        <v>15754</v>
      </c>
    </row>
    <row r="210" spans="1:18" x14ac:dyDescent="0.2">
      <c r="A210" t="s">
        <v>16458</v>
      </c>
      <c r="B210" s="79" t="s">
        <v>16404</v>
      </c>
      <c r="C210" s="79" t="s">
        <v>16405</v>
      </c>
      <c r="D210" s="79">
        <v>6</v>
      </c>
      <c r="E210" s="100">
        <v>3</v>
      </c>
      <c r="F210" s="79" t="s">
        <v>16452</v>
      </c>
      <c r="G210" s="100" t="s">
        <v>15742</v>
      </c>
      <c r="H210" s="100" t="str">
        <f t="shared" si="3"/>
        <v>CH 11-6-3 Story</v>
      </c>
      <c r="I210" s="100" t="s">
        <v>16459</v>
      </c>
      <c r="J210" s="108" t="s">
        <v>16460</v>
      </c>
      <c r="L210"/>
      <c r="M210"/>
      <c r="N210"/>
    </row>
    <row r="211" spans="1:18" x14ac:dyDescent="0.2">
      <c r="A211" t="s">
        <v>16461</v>
      </c>
      <c r="B211" s="79" t="s">
        <v>16404</v>
      </c>
      <c r="C211" s="79" t="s">
        <v>16405</v>
      </c>
      <c r="D211" s="79">
        <v>6</v>
      </c>
      <c r="E211" s="100">
        <v>4</v>
      </c>
      <c r="F211" s="79" t="s">
        <v>16452</v>
      </c>
      <c r="G211" s="100" t="s">
        <v>15742</v>
      </c>
      <c r="H211" s="100" t="str">
        <f t="shared" si="3"/>
        <v>CH 11-6-4 Story</v>
      </c>
      <c r="I211" s="100" t="s">
        <v>16462</v>
      </c>
      <c r="J211" s="108" t="s">
        <v>16463</v>
      </c>
      <c r="L211"/>
      <c r="M211"/>
      <c r="N211"/>
    </row>
    <row r="212" spans="1:18" x14ac:dyDescent="0.2">
      <c r="A212" t="s">
        <v>16464</v>
      </c>
      <c r="B212" s="79" t="s">
        <v>16404</v>
      </c>
      <c r="C212" s="79" t="s">
        <v>16405</v>
      </c>
      <c r="D212" s="79">
        <v>6</v>
      </c>
      <c r="E212" s="100">
        <v>5</v>
      </c>
      <c r="F212" s="79" t="s">
        <v>16452</v>
      </c>
      <c r="G212" s="100" t="s">
        <v>15742</v>
      </c>
      <c r="H212" s="100" t="str">
        <f t="shared" si="3"/>
        <v>CH 11-6-5 Story</v>
      </c>
      <c r="I212" s="100" t="s">
        <v>16465</v>
      </c>
      <c r="J212" s="108" t="s">
        <v>16466</v>
      </c>
      <c r="L212"/>
      <c r="M212"/>
      <c r="N212"/>
    </row>
    <row r="213" spans="1:18" x14ac:dyDescent="0.2">
      <c r="A213" t="s">
        <v>16467</v>
      </c>
      <c r="B213" s="79" t="s">
        <v>16468</v>
      </c>
      <c r="C213" s="79" t="s">
        <v>16469</v>
      </c>
      <c r="D213" s="79">
        <v>1</v>
      </c>
      <c r="E213" s="100">
        <v>1</v>
      </c>
      <c r="F213" s="79" t="s">
        <v>16470</v>
      </c>
      <c r="G213" s="100" t="s">
        <v>15742</v>
      </c>
      <c r="H213" s="100" t="str">
        <f t="shared" si="3"/>
        <v>CH 12-1-1 Story</v>
      </c>
      <c r="I213" s="100" t="s">
        <v>16471</v>
      </c>
      <c r="J213" s="108" t="s">
        <v>16472</v>
      </c>
      <c r="L213"/>
      <c r="M213"/>
      <c r="N213"/>
    </row>
    <row r="214" spans="1:18" x14ac:dyDescent="0.2">
      <c r="A214" t="s">
        <v>16473</v>
      </c>
      <c r="B214" s="79" t="s">
        <v>16468</v>
      </c>
      <c r="C214" s="79" t="s">
        <v>16469</v>
      </c>
      <c r="D214" s="79">
        <v>1</v>
      </c>
      <c r="E214" s="100">
        <v>2</v>
      </c>
      <c r="F214" s="79" t="s">
        <v>16470</v>
      </c>
      <c r="G214" s="100" t="s">
        <v>15770</v>
      </c>
      <c r="H214" s="100" t="str">
        <f t="shared" si="3"/>
        <v>CH 12-1-2 Gameplay</v>
      </c>
      <c r="I214" s="100" t="s">
        <v>16474</v>
      </c>
      <c r="J214" s="108" t="s">
        <v>16475</v>
      </c>
      <c r="K214" s="100" t="s">
        <v>122</v>
      </c>
      <c r="L214" s="59">
        <v>14000</v>
      </c>
      <c r="M214" s="59">
        <v>18000</v>
      </c>
      <c r="N214" s="59">
        <v>21000</v>
      </c>
      <c r="P214" t="s">
        <v>15753</v>
      </c>
      <c r="Q214" t="s">
        <v>16141</v>
      </c>
      <c r="R214" t="s">
        <v>15754</v>
      </c>
    </row>
    <row r="215" spans="1:18" x14ac:dyDescent="0.2">
      <c r="A215" t="s">
        <v>16476</v>
      </c>
      <c r="B215" s="79" t="s">
        <v>16468</v>
      </c>
      <c r="C215" s="79" t="s">
        <v>16469</v>
      </c>
      <c r="D215" s="79">
        <v>2</v>
      </c>
      <c r="E215" s="100">
        <v>1</v>
      </c>
      <c r="F215" s="79" t="s">
        <v>16477</v>
      </c>
      <c r="G215" s="100" t="s">
        <v>15742</v>
      </c>
      <c r="H215" s="100" t="str">
        <f t="shared" si="3"/>
        <v>CH 12-2-1 Story</v>
      </c>
      <c r="I215" s="100" t="s">
        <v>16478</v>
      </c>
      <c r="J215" s="108" t="s">
        <v>16479</v>
      </c>
      <c r="L215"/>
      <c r="M215"/>
      <c r="N215"/>
    </row>
    <row r="216" spans="1:18" x14ac:dyDescent="0.2">
      <c r="A216" t="s">
        <v>16480</v>
      </c>
      <c r="B216" s="79" t="s">
        <v>16468</v>
      </c>
      <c r="C216" s="79" t="s">
        <v>16469</v>
      </c>
      <c r="D216" s="79">
        <v>2</v>
      </c>
      <c r="E216" s="100">
        <v>2</v>
      </c>
      <c r="F216" s="79" t="s">
        <v>16477</v>
      </c>
      <c r="G216" s="100" t="s">
        <v>15770</v>
      </c>
      <c r="H216" s="100" t="str">
        <f t="shared" si="3"/>
        <v>CH 12-2-2 Gameplay</v>
      </c>
      <c r="I216" s="100" t="s">
        <v>16481</v>
      </c>
      <c r="J216" s="108" t="s">
        <v>16482</v>
      </c>
      <c r="K216" s="100" t="s">
        <v>122</v>
      </c>
      <c r="L216" s="59">
        <v>10050</v>
      </c>
      <c r="M216" s="59">
        <v>13050</v>
      </c>
      <c r="N216" s="59">
        <v>21000</v>
      </c>
      <c r="P216" t="s">
        <v>15753</v>
      </c>
      <c r="Q216" t="s">
        <v>16141</v>
      </c>
      <c r="R216" t="s">
        <v>15754</v>
      </c>
    </row>
    <row r="217" spans="1:18" x14ac:dyDescent="0.2">
      <c r="A217" t="s">
        <v>16483</v>
      </c>
      <c r="B217" s="79" t="s">
        <v>16468</v>
      </c>
      <c r="C217" s="79" t="s">
        <v>16469</v>
      </c>
      <c r="D217" s="79">
        <v>2</v>
      </c>
      <c r="E217" s="100">
        <v>3</v>
      </c>
      <c r="F217" s="79" t="s">
        <v>16477</v>
      </c>
      <c r="G217" s="100" t="s">
        <v>15770</v>
      </c>
      <c r="H217" s="100" t="str">
        <f t="shared" si="3"/>
        <v>CH 12-2-3 Gameplay</v>
      </c>
      <c r="I217" s="100" t="s">
        <v>16484</v>
      </c>
      <c r="J217" s="108" t="s">
        <v>16485</v>
      </c>
      <c r="K217" s="100" t="s">
        <v>122</v>
      </c>
      <c r="L217" s="59">
        <v>10050</v>
      </c>
      <c r="M217" s="59">
        <v>13050</v>
      </c>
      <c r="N217" s="59">
        <v>21000</v>
      </c>
      <c r="P217" t="s">
        <v>15753</v>
      </c>
      <c r="Q217" t="s">
        <v>16141</v>
      </c>
      <c r="R217" t="s">
        <v>15754</v>
      </c>
    </row>
    <row r="218" spans="1:18" x14ac:dyDescent="0.2">
      <c r="A218" t="s">
        <v>16486</v>
      </c>
      <c r="B218" s="79" t="s">
        <v>16468</v>
      </c>
      <c r="C218" s="79" t="s">
        <v>16469</v>
      </c>
      <c r="D218" s="79">
        <v>3</v>
      </c>
      <c r="E218" s="100">
        <v>1</v>
      </c>
      <c r="F218" s="79" t="s">
        <v>16487</v>
      </c>
      <c r="G218" s="100" t="s">
        <v>15742</v>
      </c>
      <c r="H218" s="100" t="str">
        <f t="shared" si="3"/>
        <v>CH 12-3-1 Story</v>
      </c>
      <c r="I218" s="100" t="s">
        <v>16488</v>
      </c>
      <c r="J218" s="108" t="s">
        <v>16489</v>
      </c>
      <c r="L218"/>
      <c r="M218"/>
      <c r="N218"/>
    </row>
    <row r="219" spans="1:18" x14ac:dyDescent="0.2">
      <c r="A219" t="s">
        <v>16490</v>
      </c>
      <c r="B219" s="79" t="s">
        <v>16468</v>
      </c>
      <c r="C219" s="79" t="s">
        <v>16469</v>
      </c>
      <c r="D219" s="79">
        <v>3</v>
      </c>
      <c r="E219" s="100">
        <v>2</v>
      </c>
      <c r="F219" s="79" t="s">
        <v>16487</v>
      </c>
      <c r="G219" s="100" t="s">
        <v>15770</v>
      </c>
      <c r="H219" s="100" t="str">
        <f t="shared" si="3"/>
        <v>CH 12-3-2 Gameplay</v>
      </c>
      <c r="I219" s="100" t="s">
        <v>16491</v>
      </c>
      <c r="J219" s="108" t="s">
        <v>16492</v>
      </c>
      <c r="K219" s="100" t="s">
        <v>122</v>
      </c>
      <c r="L219" s="59">
        <v>10100</v>
      </c>
      <c r="M219" s="59">
        <v>13100</v>
      </c>
      <c r="N219" s="59">
        <v>21000</v>
      </c>
      <c r="P219" t="s">
        <v>15753</v>
      </c>
      <c r="Q219" t="s">
        <v>16141</v>
      </c>
      <c r="R219" t="s">
        <v>15754</v>
      </c>
    </row>
    <row r="220" spans="1:18" x14ac:dyDescent="0.2">
      <c r="A220" t="s">
        <v>16493</v>
      </c>
      <c r="B220" s="79" t="s">
        <v>16468</v>
      </c>
      <c r="C220" s="79" t="s">
        <v>16469</v>
      </c>
      <c r="D220" s="79">
        <v>3</v>
      </c>
      <c r="E220" s="100">
        <v>3</v>
      </c>
      <c r="F220" s="79" t="s">
        <v>16487</v>
      </c>
      <c r="G220" s="100" t="s">
        <v>15742</v>
      </c>
      <c r="H220" s="100" t="str">
        <f t="shared" si="3"/>
        <v>CH 12-3-3 Story</v>
      </c>
      <c r="I220" s="100" t="s">
        <v>16494</v>
      </c>
      <c r="J220" s="108" t="s">
        <v>16495</v>
      </c>
      <c r="L220"/>
      <c r="M220"/>
      <c r="N220"/>
    </row>
    <row r="221" spans="1:18" x14ac:dyDescent="0.2">
      <c r="A221" t="s">
        <v>16496</v>
      </c>
      <c r="B221" s="79" t="s">
        <v>16468</v>
      </c>
      <c r="C221" s="79" t="s">
        <v>16469</v>
      </c>
      <c r="D221" s="79">
        <v>3</v>
      </c>
      <c r="E221" s="100">
        <v>4</v>
      </c>
      <c r="F221" s="79" t="s">
        <v>16487</v>
      </c>
      <c r="G221" s="100" t="s">
        <v>15770</v>
      </c>
      <c r="H221" s="100" t="str">
        <f t="shared" si="3"/>
        <v>CH 12-3-4 Gameplay</v>
      </c>
      <c r="I221" s="100" t="s">
        <v>16497</v>
      </c>
      <c r="J221" s="108" t="s">
        <v>16498</v>
      </c>
      <c r="K221" s="100" t="s">
        <v>122</v>
      </c>
      <c r="L221" s="59">
        <v>10150</v>
      </c>
      <c r="M221" s="59">
        <v>13150</v>
      </c>
      <c r="N221" s="59">
        <v>21000</v>
      </c>
      <c r="P221" t="s">
        <v>15753</v>
      </c>
      <c r="Q221" t="s">
        <v>16141</v>
      </c>
      <c r="R221" t="s">
        <v>15754</v>
      </c>
    </row>
    <row r="222" spans="1:18" x14ac:dyDescent="0.2">
      <c r="A222" t="s">
        <v>16499</v>
      </c>
      <c r="B222" s="79" t="s">
        <v>16468</v>
      </c>
      <c r="C222" s="79" t="s">
        <v>16469</v>
      </c>
      <c r="D222" s="79" t="s">
        <v>16175</v>
      </c>
      <c r="E222" s="100">
        <v>1</v>
      </c>
      <c r="F222" s="79" t="s">
        <v>16500</v>
      </c>
      <c r="G222" s="100" t="s">
        <v>15742</v>
      </c>
      <c r="H222" s="100" t="str">
        <f t="shared" si="3"/>
        <v>CH 12-3-EX 1-1 Story</v>
      </c>
      <c r="I222" s="100" t="s">
        <v>16501</v>
      </c>
      <c r="J222" s="108" t="s">
        <v>16502</v>
      </c>
      <c r="L222"/>
      <c r="M222"/>
      <c r="N222"/>
    </row>
    <row r="223" spans="1:18" x14ac:dyDescent="0.2">
      <c r="A223" t="s">
        <v>16503</v>
      </c>
      <c r="B223" s="79" t="s">
        <v>16468</v>
      </c>
      <c r="C223" s="79" t="s">
        <v>16469</v>
      </c>
      <c r="D223" s="79" t="s">
        <v>16175</v>
      </c>
      <c r="E223" s="100">
        <v>2</v>
      </c>
      <c r="F223" s="79" t="s">
        <v>16500</v>
      </c>
      <c r="G223" s="100" t="s">
        <v>15770</v>
      </c>
      <c r="H223" s="100" t="str">
        <f t="shared" si="3"/>
        <v>CH 12-3-EX 1-2 Gameplay</v>
      </c>
      <c r="I223" s="100" t="s">
        <v>16504</v>
      </c>
      <c r="J223" s="108" t="s">
        <v>16505</v>
      </c>
      <c r="K223" s="100" t="s">
        <v>122</v>
      </c>
      <c r="L223" s="59">
        <v>12000</v>
      </c>
      <c r="M223" s="59">
        <v>15000</v>
      </c>
      <c r="N223" s="59">
        <v>23000</v>
      </c>
      <c r="P223" t="s">
        <v>15753</v>
      </c>
      <c r="Q223" t="s">
        <v>16141</v>
      </c>
      <c r="R223" t="s">
        <v>15754</v>
      </c>
    </row>
    <row r="224" spans="1:18" x14ac:dyDescent="0.2">
      <c r="A224" t="s">
        <v>16506</v>
      </c>
      <c r="B224" s="79" t="s">
        <v>16468</v>
      </c>
      <c r="C224" s="79" t="s">
        <v>16469</v>
      </c>
      <c r="D224" s="79" t="s">
        <v>16175</v>
      </c>
      <c r="E224" s="100">
        <v>3</v>
      </c>
      <c r="F224" s="79" t="s">
        <v>16500</v>
      </c>
      <c r="G224" s="100" t="s">
        <v>15770</v>
      </c>
      <c r="H224" s="100" t="str">
        <f t="shared" si="3"/>
        <v>CH 12-3-EX 1-3 Gameplay</v>
      </c>
      <c r="I224" s="100" t="s">
        <v>16507</v>
      </c>
      <c r="J224" s="108" t="s">
        <v>16508</v>
      </c>
      <c r="K224" s="100" t="s">
        <v>122</v>
      </c>
      <c r="L224" s="59">
        <v>18000</v>
      </c>
      <c r="M224" s="59">
        <v>21000</v>
      </c>
      <c r="N224" s="59">
        <v>28000</v>
      </c>
      <c r="P224" t="s">
        <v>15753</v>
      </c>
      <c r="Q224" t="s">
        <v>16141</v>
      </c>
      <c r="R224" t="s">
        <v>15754</v>
      </c>
    </row>
    <row r="225" spans="1:18" x14ac:dyDescent="0.2">
      <c r="A225" t="s">
        <v>16509</v>
      </c>
      <c r="B225" s="79" t="s">
        <v>16468</v>
      </c>
      <c r="C225" s="79" t="s">
        <v>16469</v>
      </c>
      <c r="D225" s="79">
        <v>4</v>
      </c>
      <c r="E225" s="100">
        <v>1</v>
      </c>
      <c r="F225" s="79" t="s">
        <v>16510</v>
      </c>
      <c r="G225" s="100" t="s">
        <v>15770</v>
      </c>
      <c r="H225" s="100" t="str">
        <f t="shared" si="3"/>
        <v>CH 12-4-1 Gameplay</v>
      </c>
      <c r="I225" s="100" t="s">
        <v>16511</v>
      </c>
      <c r="J225" s="108" t="s">
        <v>16512</v>
      </c>
      <c r="K225" s="100" t="s">
        <v>122</v>
      </c>
      <c r="L225" s="59">
        <v>10150</v>
      </c>
      <c r="M225" s="59">
        <v>13150</v>
      </c>
      <c r="N225" s="59">
        <v>21000</v>
      </c>
      <c r="P225" t="s">
        <v>15753</v>
      </c>
      <c r="Q225" t="s">
        <v>16141</v>
      </c>
      <c r="R225" t="s">
        <v>15754</v>
      </c>
    </row>
    <row r="226" spans="1:18" x14ac:dyDescent="0.2">
      <c r="A226" t="s">
        <v>16513</v>
      </c>
      <c r="B226" s="79" t="s">
        <v>16468</v>
      </c>
      <c r="C226" s="79" t="s">
        <v>16469</v>
      </c>
      <c r="D226" s="79">
        <v>4</v>
      </c>
      <c r="E226" s="100">
        <v>2</v>
      </c>
      <c r="F226" s="79" t="s">
        <v>16510</v>
      </c>
      <c r="G226" s="100" t="s">
        <v>15742</v>
      </c>
      <c r="H226" s="100" t="str">
        <f t="shared" si="3"/>
        <v>CH 12-4-2 Story</v>
      </c>
      <c r="I226" s="100" t="s">
        <v>16514</v>
      </c>
      <c r="J226" s="108" t="s">
        <v>16515</v>
      </c>
      <c r="L226"/>
      <c r="M226"/>
      <c r="N226"/>
    </row>
    <row r="227" spans="1:18" x14ac:dyDescent="0.2">
      <c r="A227" t="s">
        <v>16516</v>
      </c>
      <c r="B227" s="79" t="s">
        <v>16468</v>
      </c>
      <c r="C227" s="79" t="s">
        <v>16469</v>
      </c>
      <c r="D227" s="79">
        <v>4</v>
      </c>
      <c r="E227" s="100">
        <v>3</v>
      </c>
      <c r="F227" s="79" t="s">
        <v>16510</v>
      </c>
      <c r="G227" s="100" t="s">
        <v>15749</v>
      </c>
      <c r="H227" s="100" t="str">
        <f t="shared" si="3"/>
        <v>CH 12-4-3 Hybrid</v>
      </c>
      <c r="I227" s="100" t="s">
        <v>16517</v>
      </c>
      <c r="J227" s="108" t="s">
        <v>16518</v>
      </c>
      <c r="K227" s="100" t="s">
        <v>122</v>
      </c>
      <c r="L227" s="59">
        <v>18000</v>
      </c>
      <c r="M227" s="59">
        <v>21000</v>
      </c>
      <c r="N227" s="59">
        <v>25000</v>
      </c>
      <c r="P227" t="s">
        <v>15753</v>
      </c>
      <c r="Q227" t="s">
        <v>16141</v>
      </c>
      <c r="R227" t="s">
        <v>15754</v>
      </c>
    </row>
    <row r="228" spans="1:18" x14ac:dyDescent="0.2">
      <c r="A228" t="s">
        <v>16519</v>
      </c>
      <c r="B228" s="79" t="s">
        <v>16468</v>
      </c>
      <c r="C228" s="79" t="s">
        <v>16469</v>
      </c>
      <c r="D228" s="79">
        <v>4</v>
      </c>
      <c r="E228" s="100">
        <v>4</v>
      </c>
      <c r="F228" s="79" t="s">
        <v>16510</v>
      </c>
      <c r="G228" s="100" t="s">
        <v>15742</v>
      </c>
      <c r="H228" s="100" t="str">
        <f t="shared" si="3"/>
        <v>CH 12-4-4 Story</v>
      </c>
      <c r="I228" s="100" t="s">
        <v>16520</v>
      </c>
      <c r="J228" s="108" t="s">
        <v>16521</v>
      </c>
      <c r="L228"/>
      <c r="M228"/>
      <c r="N228"/>
    </row>
    <row r="229" spans="1:18" x14ac:dyDescent="0.2">
      <c r="A229" t="s">
        <v>16522</v>
      </c>
      <c r="B229" s="79" t="s">
        <v>16468</v>
      </c>
      <c r="C229" s="79" t="s">
        <v>16469</v>
      </c>
      <c r="D229" s="79">
        <v>4</v>
      </c>
      <c r="E229" s="100">
        <v>5</v>
      </c>
      <c r="F229" s="79" t="s">
        <v>16510</v>
      </c>
      <c r="G229" s="100" t="s">
        <v>15742</v>
      </c>
      <c r="H229" s="100" t="str">
        <f t="shared" si="3"/>
        <v>CH 12-4-5 Story</v>
      </c>
      <c r="I229" s="100" t="s">
        <v>16523</v>
      </c>
      <c r="J229" s="108" t="s">
        <v>16524</v>
      </c>
      <c r="L229"/>
      <c r="M229"/>
      <c r="N229"/>
    </row>
    <row r="230" spans="1:18" x14ac:dyDescent="0.2">
      <c r="A230" t="s">
        <v>16525</v>
      </c>
      <c r="B230" s="79" t="s">
        <v>16468</v>
      </c>
      <c r="C230" s="79" t="s">
        <v>16469</v>
      </c>
      <c r="D230" s="79">
        <v>4</v>
      </c>
      <c r="E230" s="100">
        <v>6</v>
      </c>
      <c r="F230" s="79" t="s">
        <v>16510</v>
      </c>
      <c r="G230" s="100" t="s">
        <v>15742</v>
      </c>
      <c r="H230" s="100" t="str">
        <f t="shared" si="3"/>
        <v>CH 12-4-6 Story</v>
      </c>
      <c r="I230" s="100" t="s">
        <v>16526</v>
      </c>
      <c r="J230" s="108" t="s">
        <v>16527</v>
      </c>
      <c r="L230"/>
      <c r="M230"/>
      <c r="N230"/>
    </row>
    <row r="231" spans="1:18" x14ac:dyDescent="0.2">
      <c r="A231" t="s">
        <v>16528</v>
      </c>
      <c r="B231" s="79" t="s">
        <v>16468</v>
      </c>
      <c r="C231" s="79" t="s">
        <v>16469</v>
      </c>
      <c r="D231" s="79">
        <v>4</v>
      </c>
      <c r="E231" s="100">
        <v>7</v>
      </c>
      <c r="F231" s="79" t="s">
        <v>16510</v>
      </c>
      <c r="G231" s="100" t="s">
        <v>15742</v>
      </c>
      <c r="H231" s="100" t="str">
        <f t="shared" si="3"/>
        <v>CH 12-4-7 Story</v>
      </c>
      <c r="I231" s="100" t="s">
        <v>16529</v>
      </c>
      <c r="J231" s="108" t="s">
        <v>16530</v>
      </c>
      <c r="L231"/>
      <c r="M231"/>
      <c r="N231"/>
    </row>
    <row r="232" spans="1:18" x14ac:dyDescent="0.2">
      <c r="A232" t="s">
        <v>16531</v>
      </c>
      <c r="B232" s="79" t="s">
        <v>16532</v>
      </c>
      <c r="C232" s="79" t="s">
        <v>16533</v>
      </c>
      <c r="D232" s="79">
        <v>1</v>
      </c>
      <c r="E232" s="100">
        <v>1</v>
      </c>
      <c r="F232" s="79" t="s">
        <v>16534</v>
      </c>
      <c r="G232" s="100" t="s">
        <v>15742</v>
      </c>
      <c r="H232" s="100" t="str">
        <f t="shared" si="3"/>
        <v>CH 13-1-1 Story</v>
      </c>
      <c r="I232" s="100" t="s">
        <v>16535</v>
      </c>
      <c r="J232" s="108" t="s">
        <v>16536</v>
      </c>
      <c r="L232"/>
      <c r="M232"/>
      <c r="N232"/>
    </row>
    <row r="233" spans="1:18" x14ac:dyDescent="0.2">
      <c r="A233" t="s">
        <v>16537</v>
      </c>
      <c r="B233" s="79" t="s">
        <v>16532</v>
      </c>
      <c r="C233" s="79" t="s">
        <v>16533</v>
      </c>
      <c r="D233" s="79">
        <v>1</v>
      </c>
      <c r="E233" s="100">
        <v>2</v>
      </c>
      <c r="F233" s="79" t="s">
        <v>16534</v>
      </c>
      <c r="G233" s="100" t="s">
        <v>15742</v>
      </c>
      <c r="H233" s="100" t="str">
        <f t="shared" si="3"/>
        <v>CH 13-1-2 Story</v>
      </c>
      <c r="I233" s="100" t="s">
        <v>16538</v>
      </c>
      <c r="J233" s="108" t="s">
        <v>16539</v>
      </c>
      <c r="L233"/>
      <c r="M233"/>
      <c r="N233"/>
    </row>
    <row r="234" spans="1:18" x14ac:dyDescent="0.2">
      <c r="A234" t="s">
        <v>16540</v>
      </c>
      <c r="B234" s="79" t="s">
        <v>16532</v>
      </c>
      <c r="C234" s="79" t="s">
        <v>16533</v>
      </c>
      <c r="D234" s="79">
        <v>1</v>
      </c>
      <c r="E234" s="100">
        <v>3</v>
      </c>
      <c r="F234" s="79" t="s">
        <v>16534</v>
      </c>
      <c r="G234" s="100" t="s">
        <v>15770</v>
      </c>
      <c r="H234" s="100" t="str">
        <f t="shared" si="3"/>
        <v>CH 13-1-3 Gameplay</v>
      </c>
      <c r="I234" s="100" t="s">
        <v>16541</v>
      </c>
      <c r="J234" s="108" t="s">
        <v>16542</v>
      </c>
      <c r="K234" s="100" t="s">
        <v>1103</v>
      </c>
      <c r="L234" s="59">
        <v>11000</v>
      </c>
      <c r="M234" s="59">
        <v>14000</v>
      </c>
      <c r="N234" s="59">
        <v>21000</v>
      </c>
      <c r="P234" t="s">
        <v>15753</v>
      </c>
      <c r="Q234" t="s">
        <v>16141</v>
      </c>
      <c r="R234" t="s">
        <v>15754</v>
      </c>
    </row>
    <row r="235" spans="1:18" x14ac:dyDescent="0.2">
      <c r="A235" t="s">
        <v>16543</v>
      </c>
      <c r="B235" s="79" t="s">
        <v>16532</v>
      </c>
      <c r="C235" s="79" t="s">
        <v>16533</v>
      </c>
      <c r="D235" s="79">
        <v>2</v>
      </c>
      <c r="E235" s="100">
        <v>1</v>
      </c>
      <c r="F235" s="79" t="s">
        <v>16544</v>
      </c>
      <c r="G235" s="100" t="s">
        <v>15770</v>
      </c>
      <c r="H235" s="100" t="str">
        <f t="shared" si="3"/>
        <v>CH 13-2-1 Gameplay</v>
      </c>
      <c r="I235" s="100" t="s">
        <v>16545</v>
      </c>
      <c r="J235" s="108" t="s">
        <v>16546</v>
      </c>
      <c r="K235" s="100" t="s">
        <v>1103</v>
      </c>
      <c r="L235" s="59">
        <v>11050</v>
      </c>
      <c r="M235" s="59">
        <v>14050</v>
      </c>
      <c r="N235" s="59">
        <v>21000</v>
      </c>
      <c r="P235" t="s">
        <v>15753</v>
      </c>
      <c r="Q235" t="s">
        <v>16141</v>
      </c>
      <c r="R235" t="s">
        <v>15754</v>
      </c>
    </row>
    <row r="236" spans="1:18" x14ac:dyDescent="0.2">
      <c r="A236" t="s">
        <v>16547</v>
      </c>
      <c r="B236" s="79" t="s">
        <v>16532</v>
      </c>
      <c r="C236" s="79" t="s">
        <v>16533</v>
      </c>
      <c r="D236" s="79">
        <v>2</v>
      </c>
      <c r="E236" s="100">
        <v>2</v>
      </c>
      <c r="F236" s="79" t="s">
        <v>16544</v>
      </c>
      <c r="G236" s="100" t="s">
        <v>15770</v>
      </c>
      <c r="H236" s="100" t="str">
        <f t="shared" si="3"/>
        <v>CH 13-2-2 Gameplay</v>
      </c>
      <c r="I236" s="100" t="s">
        <v>16548</v>
      </c>
      <c r="J236" s="108" t="s">
        <v>16549</v>
      </c>
      <c r="K236" s="100" t="s">
        <v>3779</v>
      </c>
      <c r="L236" s="59">
        <v>20000</v>
      </c>
      <c r="M236" s="59">
        <v>22000</v>
      </c>
      <c r="N236" s="59">
        <v>26000</v>
      </c>
      <c r="O236" t="s">
        <v>10035</v>
      </c>
      <c r="P236" t="s">
        <v>16550</v>
      </c>
      <c r="Q236" t="s">
        <v>16550</v>
      </c>
      <c r="R236" t="s">
        <v>16551</v>
      </c>
    </row>
    <row r="237" spans="1:18" x14ac:dyDescent="0.2">
      <c r="A237" t="s">
        <v>16552</v>
      </c>
      <c r="B237" s="79" t="s">
        <v>16532</v>
      </c>
      <c r="C237" s="79" t="s">
        <v>16533</v>
      </c>
      <c r="D237" s="79">
        <v>3</v>
      </c>
      <c r="E237" s="100">
        <v>1</v>
      </c>
      <c r="F237" s="79" t="s">
        <v>16553</v>
      </c>
      <c r="G237" s="100" t="s">
        <v>15742</v>
      </c>
      <c r="H237" s="100" t="str">
        <f t="shared" si="3"/>
        <v>CH 13-3-1 Story</v>
      </c>
      <c r="I237" s="100" t="s">
        <v>16554</v>
      </c>
      <c r="J237" s="108" t="s">
        <v>16555</v>
      </c>
      <c r="L237"/>
      <c r="M237"/>
      <c r="N237"/>
    </row>
    <row r="238" spans="1:18" x14ac:dyDescent="0.2">
      <c r="A238" t="s">
        <v>16556</v>
      </c>
      <c r="B238" s="79" t="s">
        <v>16532</v>
      </c>
      <c r="C238" s="79" t="s">
        <v>16533</v>
      </c>
      <c r="D238" s="79">
        <v>3</v>
      </c>
      <c r="E238" s="100">
        <v>2</v>
      </c>
      <c r="F238" s="79" t="s">
        <v>16553</v>
      </c>
      <c r="G238" s="100" t="s">
        <v>15770</v>
      </c>
      <c r="H238" s="100" t="str">
        <f t="shared" si="3"/>
        <v>CH 13-3-2 Gameplay</v>
      </c>
      <c r="I238" s="100" t="s">
        <v>16557</v>
      </c>
      <c r="J238" s="108" t="s">
        <v>16558</v>
      </c>
      <c r="K238" s="100" t="s">
        <v>3779</v>
      </c>
      <c r="L238" s="59">
        <v>11000</v>
      </c>
      <c r="M238" s="59">
        <v>14100</v>
      </c>
      <c r="N238" s="59">
        <v>21000</v>
      </c>
      <c r="P238" t="s">
        <v>15753</v>
      </c>
      <c r="Q238" t="s">
        <v>16141</v>
      </c>
      <c r="R238" t="s">
        <v>15754</v>
      </c>
    </row>
    <row r="239" spans="1:18" x14ac:dyDescent="0.2">
      <c r="A239" t="s">
        <v>16559</v>
      </c>
      <c r="B239" s="79" t="s">
        <v>16532</v>
      </c>
      <c r="C239" s="79" t="s">
        <v>16533</v>
      </c>
      <c r="D239" s="79" t="s">
        <v>16175</v>
      </c>
      <c r="E239" s="100">
        <v>1</v>
      </c>
      <c r="F239" s="79" t="s">
        <v>16560</v>
      </c>
      <c r="G239" s="100" t="s">
        <v>15742</v>
      </c>
      <c r="H239" s="100" t="str">
        <f t="shared" si="3"/>
        <v>CH 13-3-EX 1-1 Story</v>
      </c>
      <c r="I239" s="100" t="s">
        <v>16561</v>
      </c>
      <c r="J239" s="108" t="s">
        <v>16562</v>
      </c>
      <c r="L239"/>
      <c r="M239"/>
      <c r="N239"/>
    </row>
    <row r="240" spans="1:18" x14ac:dyDescent="0.2">
      <c r="A240" t="s">
        <v>16563</v>
      </c>
      <c r="B240" s="79" t="s">
        <v>16532</v>
      </c>
      <c r="C240" s="79" t="s">
        <v>16533</v>
      </c>
      <c r="D240" s="79" t="s">
        <v>16175</v>
      </c>
      <c r="E240" s="100">
        <v>2</v>
      </c>
      <c r="F240" s="79" t="s">
        <v>16560</v>
      </c>
      <c r="G240" s="100" t="s">
        <v>15770</v>
      </c>
      <c r="H240" s="100" t="str">
        <f t="shared" si="3"/>
        <v>CH 13-3-EX 1-2 Gameplay</v>
      </c>
      <c r="I240" s="100" t="s">
        <v>16564</v>
      </c>
      <c r="J240" s="108" t="s">
        <v>16565</v>
      </c>
      <c r="K240" s="100" t="s">
        <v>1103</v>
      </c>
      <c r="L240" s="59">
        <v>12000</v>
      </c>
      <c r="M240" s="59">
        <v>15000</v>
      </c>
      <c r="N240" s="59">
        <v>22000</v>
      </c>
      <c r="P240" t="s">
        <v>15753</v>
      </c>
      <c r="Q240" t="s">
        <v>16141</v>
      </c>
      <c r="R240" t="s">
        <v>15754</v>
      </c>
    </row>
    <row r="241" spans="1:18" x14ac:dyDescent="0.2">
      <c r="A241" t="s">
        <v>16566</v>
      </c>
      <c r="B241" s="79" t="s">
        <v>16532</v>
      </c>
      <c r="C241" s="79" t="s">
        <v>16533</v>
      </c>
      <c r="D241" s="79" t="s">
        <v>16175</v>
      </c>
      <c r="E241" s="100">
        <v>3</v>
      </c>
      <c r="F241" s="79" t="s">
        <v>16560</v>
      </c>
      <c r="G241" s="100" t="s">
        <v>15770</v>
      </c>
      <c r="H241" s="100" t="str">
        <f t="shared" si="3"/>
        <v>CH 13-3-EX 1-3 Gameplay</v>
      </c>
      <c r="I241" s="100" t="s">
        <v>16567</v>
      </c>
      <c r="J241" s="108" t="s">
        <v>16568</v>
      </c>
      <c r="K241" s="100" t="s">
        <v>1103</v>
      </c>
      <c r="L241" s="59">
        <v>20000</v>
      </c>
      <c r="M241" s="59">
        <v>22000</v>
      </c>
      <c r="N241" s="59">
        <v>28000</v>
      </c>
      <c r="P241" t="s">
        <v>15753</v>
      </c>
      <c r="Q241" t="s">
        <v>16141</v>
      </c>
      <c r="R241" t="s">
        <v>15754</v>
      </c>
    </row>
    <row r="242" spans="1:18" x14ac:dyDescent="0.2">
      <c r="A242" t="s">
        <v>16569</v>
      </c>
      <c r="B242" s="79" t="s">
        <v>16532</v>
      </c>
      <c r="C242" s="79" t="s">
        <v>16533</v>
      </c>
      <c r="D242" s="79">
        <v>4</v>
      </c>
      <c r="E242" s="100">
        <v>1</v>
      </c>
      <c r="F242" s="79" t="s">
        <v>16570</v>
      </c>
      <c r="G242" s="100" t="s">
        <v>15742</v>
      </c>
      <c r="H242" s="100" t="str">
        <f t="shared" si="3"/>
        <v>CH 13-4-1 Story</v>
      </c>
      <c r="I242" s="100" t="s">
        <v>16571</v>
      </c>
      <c r="J242" s="108" t="s">
        <v>16572</v>
      </c>
      <c r="L242"/>
      <c r="M242"/>
      <c r="N242"/>
    </row>
    <row r="243" spans="1:18" x14ac:dyDescent="0.2">
      <c r="A243" t="s">
        <v>16573</v>
      </c>
      <c r="B243" s="79" t="s">
        <v>16532</v>
      </c>
      <c r="C243" s="79" t="s">
        <v>16533</v>
      </c>
      <c r="D243" s="79">
        <v>4</v>
      </c>
      <c r="E243" s="100">
        <v>2</v>
      </c>
      <c r="F243" s="79" t="s">
        <v>16570</v>
      </c>
      <c r="G243" s="100" t="s">
        <v>15770</v>
      </c>
      <c r="H243" s="100" t="str">
        <f t="shared" si="3"/>
        <v>CH 13-4-2 Gameplay</v>
      </c>
      <c r="I243" s="100" t="s">
        <v>10022</v>
      </c>
      <c r="J243" s="108" t="s">
        <v>16574</v>
      </c>
      <c r="K243" s="100" t="s">
        <v>1947</v>
      </c>
      <c r="L243" s="59">
        <v>20000</v>
      </c>
      <c r="M243" s="59">
        <v>22000</v>
      </c>
      <c r="N243" s="59">
        <v>26000</v>
      </c>
      <c r="O243" t="s">
        <v>10021</v>
      </c>
      <c r="P243" t="s">
        <v>16550</v>
      </c>
      <c r="Q243" t="s">
        <v>16550</v>
      </c>
      <c r="R243" t="s">
        <v>16551</v>
      </c>
    </row>
    <row r="244" spans="1:18" x14ac:dyDescent="0.2">
      <c r="A244" t="s">
        <v>16575</v>
      </c>
      <c r="B244" s="79" t="s">
        <v>16532</v>
      </c>
      <c r="C244" s="79" t="s">
        <v>16533</v>
      </c>
      <c r="D244" s="79">
        <v>4</v>
      </c>
      <c r="E244" s="100">
        <v>3</v>
      </c>
      <c r="F244" s="79" t="s">
        <v>16570</v>
      </c>
      <c r="G244" s="100" t="s">
        <v>15770</v>
      </c>
      <c r="H244" s="100" t="str">
        <f t="shared" si="3"/>
        <v>CH 13-4-3 Gameplay</v>
      </c>
      <c r="I244" s="100" t="s">
        <v>10029</v>
      </c>
      <c r="J244" s="108" t="s">
        <v>16576</v>
      </c>
      <c r="K244" s="100" t="s">
        <v>2837</v>
      </c>
      <c r="L244" s="59">
        <v>20000</v>
      </c>
      <c r="M244" s="59">
        <v>22000</v>
      </c>
      <c r="N244" s="59">
        <v>26000</v>
      </c>
      <c r="O244" t="s">
        <v>16577</v>
      </c>
      <c r="P244" t="s">
        <v>16550</v>
      </c>
      <c r="Q244" t="s">
        <v>16550</v>
      </c>
      <c r="R244" t="s">
        <v>16551</v>
      </c>
    </row>
    <row r="245" spans="1:18" x14ac:dyDescent="0.2">
      <c r="A245" t="s">
        <v>16578</v>
      </c>
      <c r="B245" s="79" t="s">
        <v>16532</v>
      </c>
      <c r="C245" s="79" t="s">
        <v>16533</v>
      </c>
      <c r="D245" s="79">
        <v>5</v>
      </c>
      <c r="E245" s="100">
        <v>1</v>
      </c>
      <c r="F245" s="79" t="s">
        <v>16579</v>
      </c>
      <c r="G245" s="100" t="s">
        <v>15742</v>
      </c>
      <c r="H245" s="100" t="str">
        <f t="shared" si="3"/>
        <v>CH 13-5-1 Story</v>
      </c>
      <c r="I245" s="100" t="s">
        <v>16580</v>
      </c>
      <c r="J245" s="108" t="s">
        <v>16581</v>
      </c>
      <c r="L245"/>
      <c r="M245"/>
      <c r="N245"/>
    </row>
    <row r="246" spans="1:18" x14ac:dyDescent="0.2">
      <c r="A246" t="s">
        <v>16582</v>
      </c>
      <c r="B246" s="79" t="s">
        <v>16532</v>
      </c>
      <c r="C246" s="79" t="s">
        <v>16533</v>
      </c>
      <c r="D246" s="79">
        <v>5</v>
      </c>
      <c r="E246" s="100">
        <v>2</v>
      </c>
      <c r="F246" s="79" t="s">
        <v>16579</v>
      </c>
      <c r="G246" s="100" t="s">
        <v>15770</v>
      </c>
      <c r="H246" s="100" t="str">
        <f t="shared" si="3"/>
        <v>CH 13-5-2 Gameplay</v>
      </c>
      <c r="I246" s="100" t="s">
        <v>10005</v>
      </c>
      <c r="J246" s="108" t="s">
        <v>16583</v>
      </c>
      <c r="K246" s="100" t="s">
        <v>122</v>
      </c>
      <c r="L246" s="59">
        <v>20000</v>
      </c>
      <c r="M246" s="59">
        <v>22000</v>
      </c>
      <c r="N246" s="59">
        <v>26000</v>
      </c>
      <c r="O246" t="s">
        <v>10004</v>
      </c>
      <c r="P246" t="s">
        <v>16550</v>
      </c>
      <c r="Q246" t="s">
        <v>16550</v>
      </c>
      <c r="R246" t="s">
        <v>16551</v>
      </c>
    </row>
    <row r="247" spans="1:18" x14ac:dyDescent="0.2">
      <c r="A247" t="s">
        <v>16584</v>
      </c>
      <c r="B247" s="79" t="s">
        <v>16532</v>
      </c>
      <c r="C247" s="79" t="s">
        <v>16533</v>
      </c>
      <c r="D247" s="79">
        <v>5</v>
      </c>
      <c r="E247" s="100">
        <v>3</v>
      </c>
      <c r="F247" s="79" t="s">
        <v>16579</v>
      </c>
      <c r="G247" s="100" t="s">
        <v>15742</v>
      </c>
      <c r="H247" s="100" t="str">
        <f t="shared" si="3"/>
        <v>CH 13-5-3 Story</v>
      </c>
      <c r="I247" s="100" t="s">
        <v>16585</v>
      </c>
      <c r="J247" s="108" t="s">
        <v>16586</v>
      </c>
      <c r="L247"/>
      <c r="M247"/>
      <c r="N247"/>
    </row>
    <row r="248" spans="1:18" x14ac:dyDescent="0.2">
      <c r="A248" t="s">
        <v>16587</v>
      </c>
      <c r="B248" s="79" t="s">
        <v>16532</v>
      </c>
      <c r="C248" s="79" t="s">
        <v>16533</v>
      </c>
      <c r="D248" s="79">
        <v>5</v>
      </c>
      <c r="E248" s="100">
        <v>4</v>
      </c>
      <c r="F248" s="79" t="s">
        <v>16579</v>
      </c>
      <c r="G248" s="100" t="s">
        <v>15770</v>
      </c>
      <c r="H248" s="100" t="str">
        <f t="shared" si="3"/>
        <v>CH 13-5-4 Gameplay</v>
      </c>
      <c r="I248" s="100" t="s">
        <v>10015</v>
      </c>
      <c r="J248" s="108" t="s">
        <v>16588</v>
      </c>
      <c r="K248" s="100" t="s">
        <v>1103</v>
      </c>
      <c r="L248" s="59">
        <v>20000</v>
      </c>
      <c r="M248" s="59">
        <v>22000</v>
      </c>
      <c r="N248" s="59">
        <v>26000</v>
      </c>
      <c r="O248" t="s">
        <v>10014</v>
      </c>
      <c r="P248" t="s">
        <v>16550</v>
      </c>
      <c r="Q248" t="s">
        <v>16550</v>
      </c>
      <c r="R248" t="s">
        <v>16551</v>
      </c>
    </row>
    <row r="249" spans="1:18" x14ac:dyDescent="0.2">
      <c r="A249" t="s">
        <v>16589</v>
      </c>
      <c r="B249" s="79" t="s">
        <v>16532</v>
      </c>
      <c r="C249" s="79" t="s">
        <v>16533</v>
      </c>
      <c r="D249" s="79">
        <v>5</v>
      </c>
      <c r="E249" s="100">
        <v>5</v>
      </c>
      <c r="F249" s="79" t="s">
        <v>16579</v>
      </c>
      <c r="G249" s="100" t="s">
        <v>15742</v>
      </c>
      <c r="H249" s="100" t="str">
        <f t="shared" si="3"/>
        <v>CH 13-5-5 Story</v>
      </c>
      <c r="I249" s="100" t="s">
        <v>16590</v>
      </c>
      <c r="J249" s="108" t="s">
        <v>16591</v>
      </c>
      <c r="L249"/>
      <c r="M249"/>
      <c r="N249"/>
    </row>
    <row r="250" spans="1:18" x14ac:dyDescent="0.2">
      <c r="A250" t="s">
        <v>16592</v>
      </c>
      <c r="B250" s="79" t="s">
        <v>16532</v>
      </c>
      <c r="C250" s="79" t="s">
        <v>16533</v>
      </c>
      <c r="D250" s="79">
        <v>5</v>
      </c>
      <c r="E250" s="100">
        <v>6</v>
      </c>
      <c r="F250" s="79" t="s">
        <v>16579</v>
      </c>
      <c r="G250" s="100" t="s">
        <v>15742</v>
      </c>
      <c r="H250" s="100" t="str">
        <f t="shared" si="3"/>
        <v>CH 13-5-6 Story</v>
      </c>
      <c r="I250" s="100" t="s">
        <v>16593</v>
      </c>
      <c r="J250" s="108" t="s">
        <v>16594</v>
      </c>
      <c r="L250"/>
      <c r="M250"/>
      <c r="N250"/>
    </row>
    <row r="251" spans="1:18" x14ac:dyDescent="0.2">
      <c r="A251" t="s">
        <v>16595</v>
      </c>
      <c r="B251" s="79" t="s">
        <v>16532</v>
      </c>
      <c r="C251" s="79" t="s">
        <v>16533</v>
      </c>
      <c r="D251" s="79">
        <v>5</v>
      </c>
      <c r="E251" s="100">
        <v>7</v>
      </c>
      <c r="F251" s="79" t="s">
        <v>16579</v>
      </c>
      <c r="G251" s="100" t="s">
        <v>15742</v>
      </c>
      <c r="H251" s="100" t="str">
        <f t="shared" si="3"/>
        <v>CH 13-5-7 Story</v>
      </c>
      <c r="I251" s="100" t="s">
        <v>16596</v>
      </c>
      <c r="J251" s="108" t="s">
        <v>16597</v>
      </c>
      <c r="L251"/>
      <c r="M251"/>
      <c r="N251"/>
    </row>
    <row r="252" spans="1:18" x14ac:dyDescent="0.2">
      <c r="A252" t="s">
        <v>16598</v>
      </c>
      <c r="B252" s="79" t="s">
        <v>16532</v>
      </c>
      <c r="C252" s="79" t="s">
        <v>16533</v>
      </c>
      <c r="D252" s="79">
        <v>5</v>
      </c>
      <c r="E252" s="100">
        <v>8</v>
      </c>
      <c r="F252" s="79" t="s">
        <v>16579</v>
      </c>
      <c r="G252" s="100" t="s">
        <v>15742</v>
      </c>
      <c r="H252" s="100" t="str">
        <f t="shared" si="3"/>
        <v>CH 13-5-8 Story</v>
      </c>
      <c r="I252" s="100" t="s">
        <v>16599</v>
      </c>
      <c r="J252" s="108" t="s">
        <v>16600</v>
      </c>
      <c r="L252"/>
      <c r="M252"/>
      <c r="N252"/>
    </row>
    <row r="253" spans="1:18" x14ac:dyDescent="0.2">
      <c r="A253" t="s">
        <v>16601</v>
      </c>
      <c r="B253" s="79" t="s">
        <v>16532</v>
      </c>
      <c r="C253" s="79" t="s">
        <v>16533</v>
      </c>
      <c r="D253" s="79">
        <v>5</v>
      </c>
      <c r="E253" s="100">
        <v>9</v>
      </c>
      <c r="F253" s="79" t="s">
        <v>16579</v>
      </c>
      <c r="G253" s="100" t="s">
        <v>15742</v>
      </c>
      <c r="H253" s="100" t="str">
        <f t="shared" si="3"/>
        <v>CH 13-5-9 Story</v>
      </c>
      <c r="I253" s="100" t="s">
        <v>16602</v>
      </c>
      <c r="J253" s="108" t="s">
        <v>16603</v>
      </c>
      <c r="L253"/>
      <c r="M253"/>
      <c r="N253"/>
    </row>
    <row r="254" spans="1:18" x14ac:dyDescent="0.2">
      <c r="A254" t="s">
        <v>16604</v>
      </c>
      <c r="B254" s="79" t="s">
        <v>16605</v>
      </c>
      <c r="C254" s="79" t="s">
        <v>16606</v>
      </c>
      <c r="D254" s="79">
        <v>1</v>
      </c>
      <c r="E254" s="100">
        <v>1</v>
      </c>
      <c r="F254" s="79" t="s">
        <v>16607</v>
      </c>
      <c r="G254" s="100" t="s">
        <v>15742</v>
      </c>
      <c r="H254" s="100" t="str">
        <f t="shared" si="3"/>
        <v>CH 14-1-1 Story</v>
      </c>
      <c r="I254" s="100" t="s">
        <v>16608</v>
      </c>
      <c r="J254" s="108" t="s">
        <v>16609</v>
      </c>
      <c r="L254"/>
      <c r="M254"/>
      <c r="N254"/>
    </row>
    <row r="255" spans="1:18" x14ac:dyDescent="0.2">
      <c r="A255" t="s">
        <v>16610</v>
      </c>
      <c r="B255" s="79" t="s">
        <v>16605</v>
      </c>
      <c r="C255" s="79" t="s">
        <v>16606</v>
      </c>
      <c r="D255" s="79">
        <v>1</v>
      </c>
      <c r="E255" s="100">
        <v>2</v>
      </c>
      <c r="F255" s="79" t="s">
        <v>16607</v>
      </c>
      <c r="G255" s="100" t="s">
        <v>15770</v>
      </c>
      <c r="H255" s="100" t="str">
        <f t="shared" si="3"/>
        <v>CH 14-1-2 Gameplay</v>
      </c>
      <c r="I255" s="100" t="s">
        <v>16611</v>
      </c>
      <c r="J255" s="108" t="s">
        <v>16612</v>
      </c>
      <c r="K255" s="100" t="s">
        <v>1947</v>
      </c>
      <c r="L255" s="59">
        <v>12000</v>
      </c>
      <c r="M255" s="59">
        <v>15000</v>
      </c>
      <c r="N255" s="59">
        <v>21000</v>
      </c>
      <c r="P255" t="s">
        <v>15753</v>
      </c>
      <c r="Q255" t="s">
        <v>16141</v>
      </c>
      <c r="R255" t="s">
        <v>15754</v>
      </c>
    </row>
    <row r="256" spans="1:18" x14ac:dyDescent="0.2">
      <c r="A256" t="s">
        <v>16613</v>
      </c>
      <c r="B256" s="79" t="s">
        <v>16605</v>
      </c>
      <c r="C256" s="79" t="s">
        <v>16606</v>
      </c>
      <c r="D256" s="79">
        <v>2</v>
      </c>
      <c r="E256" s="100">
        <v>1</v>
      </c>
      <c r="F256" s="79" t="s">
        <v>16614</v>
      </c>
      <c r="G256" s="100" t="s">
        <v>15742</v>
      </c>
      <c r="H256" s="100" t="str">
        <f t="shared" si="3"/>
        <v>CH 14-2-1 Story</v>
      </c>
      <c r="I256" s="100" t="s">
        <v>16615</v>
      </c>
      <c r="J256" s="108" t="s">
        <v>16616</v>
      </c>
      <c r="L256"/>
      <c r="M256"/>
      <c r="N256"/>
    </row>
    <row r="257" spans="1:18" x14ac:dyDescent="0.2">
      <c r="A257" t="s">
        <v>16617</v>
      </c>
      <c r="B257" s="79" t="s">
        <v>16605</v>
      </c>
      <c r="C257" s="79" t="s">
        <v>16606</v>
      </c>
      <c r="D257" s="79">
        <v>2</v>
      </c>
      <c r="E257" s="100">
        <v>2</v>
      </c>
      <c r="F257" s="79" t="s">
        <v>16614</v>
      </c>
      <c r="G257" s="100" t="s">
        <v>15770</v>
      </c>
      <c r="H257" s="100" t="str">
        <f t="shared" si="3"/>
        <v>CH 14-2-2 Gameplay</v>
      </c>
      <c r="I257" s="100" t="s">
        <v>16618</v>
      </c>
      <c r="J257" s="108" t="s">
        <v>16619</v>
      </c>
      <c r="K257" s="100" t="s">
        <v>122</v>
      </c>
      <c r="L257" s="59">
        <v>20000</v>
      </c>
      <c r="M257" s="59">
        <v>22000</v>
      </c>
      <c r="N257" s="59">
        <v>26000</v>
      </c>
      <c r="O257" t="s">
        <v>16620</v>
      </c>
      <c r="P257" t="s">
        <v>16621</v>
      </c>
      <c r="Q257" t="s">
        <v>16621</v>
      </c>
      <c r="R257" t="s">
        <v>16621</v>
      </c>
    </row>
    <row r="258" spans="1:18" x14ac:dyDescent="0.2">
      <c r="A258" t="s">
        <v>16622</v>
      </c>
      <c r="B258" s="79" t="s">
        <v>16605</v>
      </c>
      <c r="C258" s="79" t="s">
        <v>16606</v>
      </c>
      <c r="D258" s="79">
        <v>3</v>
      </c>
      <c r="E258" s="100">
        <v>1</v>
      </c>
      <c r="F258" s="79" t="s">
        <v>16623</v>
      </c>
      <c r="G258" s="100" t="s">
        <v>15742</v>
      </c>
      <c r="H258" s="100" t="str">
        <f t="shared" ref="H258:H321" si="4">+"CH "&amp;C258&amp;"-"&amp;D258&amp;"-"&amp;E258&amp;" "&amp;G258</f>
        <v>CH 14-3-1 Story</v>
      </c>
      <c r="I258" s="100" t="s">
        <v>16624</v>
      </c>
      <c r="J258" s="108" t="s">
        <v>16625</v>
      </c>
      <c r="L258"/>
      <c r="M258"/>
      <c r="N258"/>
    </row>
    <row r="259" spans="1:18" x14ac:dyDescent="0.2">
      <c r="A259" t="s">
        <v>16626</v>
      </c>
      <c r="B259" s="79" t="s">
        <v>16605</v>
      </c>
      <c r="C259" s="79" t="s">
        <v>16606</v>
      </c>
      <c r="D259" s="79">
        <v>3</v>
      </c>
      <c r="E259" s="100">
        <v>2</v>
      </c>
      <c r="F259" s="79" t="s">
        <v>16623</v>
      </c>
      <c r="G259" s="100" t="s">
        <v>15742</v>
      </c>
      <c r="H259" s="100" t="str">
        <f t="shared" si="4"/>
        <v>CH 14-3-2 Story</v>
      </c>
      <c r="I259" s="100" t="s">
        <v>16627</v>
      </c>
      <c r="J259" s="108" t="s">
        <v>16628</v>
      </c>
      <c r="L259"/>
      <c r="M259"/>
      <c r="N259"/>
    </row>
    <row r="260" spans="1:18" x14ac:dyDescent="0.2">
      <c r="A260" t="s">
        <v>16629</v>
      </c>
      <c r="B260" s="79" t="s">
        <v>16605</v>
      </c>
      <c r="C260" s="79" t="s">
        <v>16606</v>
      </c>
      <c r="D260" s="79">
        <v>3</v>
      </c>
      <c r="E260" s="100">
        <v>3</v>
      </c>
      <c r="F260" s="79" t="s">
        <v>16623</v>
      </c>
      <c r="G260" s="100" t="s">
        <v>15770</v>
      </c>
      <c r="H260" s="100" t="str">
        <f t="shared" si="4"/>
        <v>CH 14-3-3 Gameplay</v>
      </c>
      <c r="I260" s="100" t="s">
        <v>16630</v>
      </c>
      <c r="J260" s="108" t="s">
        <v>16631</v>
      </c>
      <c r="K260" s="100" t="s">
        <v>1947</v>
      </c>
      <c r="L260" s="59">
        <v>12050</v>
      </c>
      <c r="M260" s="59">
        <v>15050</v>
      </c>
      <c r="N260" s="59">
        <v>21000</v>
      </c>
      <c r="P260" t="s">
        <v>15753</v>
      </c>
      <c r="Q260" t="s">
        <v>16141</v>
      </c>
      <c r="R260" t="s">
        <v>15754</v>
      </c>
    </row>
    <row r="261" spans="1:18" x14ac:dyDescent="0.2">
      <c r="A261" t="s">
        <v>16632</v>
      </c>
      <c r="B261" s="79" t="s">
        <v>16605</v>
      </c>
      <c r="C261" s="79" t="s">
        <v>16606</v>
      </c>
      <c r="D261" s="79">
        <v>3</v>
      </c>
      <c r="E261" s="100">
        <v>4</v>
      </c>
      <c r="F261" s="79" t="s">
        <v>16623</v>
      </c>
      <c r="G261" s="100" t="s">
        <v>15770</v>
      </c>
      <c r="H261" s="100" t="str">
        <f t="shared" si="4"/>
        <v>CH 14-3-4 Gameplay</v>
      </c>
      <c r="I261" s="100" t="s">
        <v>16633</v>
      </c>
      <c r="J261" s="108" t="s">
        <v>16634</v>
      </c>
      <c r="K261" s="100" t="s">
        <v>122</v>
      </c>
      <c r="L261" s="59">
        <v>20000</v>
      </c>
      <c r="M261" s="59">
        <v>22000</v>
      </c>
      <c r="N261" s="59">
        <v>26000</v>
      </c>
      <c r="O261" t="s">
        <v>16620</v>
      </c>
      <c r="P261" t="s">
        <v>16635</v>
      </c>
      <c r="Q261" t="s">
        <v>16635</v>
      </c>
      <c r="R261" t="s">
        <v>16635</v>
      </c>
    </row>
    <row r="262" spans="1:18" x14ac:dyDescent="0.2">
      <c r="A262" t="s">
        <v>16636</v>
      </c>
      <c r="B262" s="79" t="s">
        <v>16605</v>
      </c>
      <c r="C262" s="79" t="s">
        <v>16606</v>
      </c>
      <c r="D262" s="79" t="s">
        <v>16175</v>
      </c>
      <c r="E262" s="100">
        <v>1</v>
      </c>
      <c r="F262" s="79" t="s">
        <v>16637</v>
      </c>
      <c r="G262" s="100" t="s">
        <v>15742</v>
      </c>
      <c r="H262" s="100" t="str">
        <f t="shared" si="4"/>
        <v>CH 14-3-EX 1-1 Story</v>
      </c>
      <c r="I262" s="100" t="s">
        <v>16638</v>
      </c>
      <c r="J262" s="108" t="s">
        <v>16639</v>
      </c>
      <c r="L262"/>
      <c r="M262"/>
      <c r="N262"/>
    </row>
    <row r="263" spans="1:18" x14ac:dyDescent="0.2">
      <c r="A263" t="s">
        <v>16640</v>
      </c>
      <c r="B263" s="79" t="s">
        <v>16605</v>
      </c>
      <c r="C263" s="79" t="s">
        <v>16606</v>
      </c>
      <c r="D263" s="79" t="s">
        <v>16175</v>
      </c>
      <c r="E263" s="100">
        <v>2</v>
      </c>
      <c r="F263" s="79" t="s">
        <v>16637</v>
      </c>
      <c r="G263" s="100" t="s">
        <v>15770</v>
      </c>
      <c r="H263" s="100" t="str">
        <f t="shared" si="4"/>
        <v>CH 14-3-EX 1-2 Gameplay</v>
      </c>
      <c r="I263" s="100" t="s">
        <v>16641</v>
      </c>
      <c r="J263" s="108" t="s">
        <v>16642</v>
      </c>
      <c r="K263" s="100" t="s">
        <v>1947</v>
      </c>
      <c r="L263" s="59">
        <v>13000</v>
      </c>
      <c r="M263" s="59">
        <v>16000</v>
      </c>
      <c r="N263" s="59">
        <v>22000</v>
      </c>
      <c r="P263" t="s">
        <v>15753</v>
      </c>
      <c r="Q263" t="s">
        <v>16141</v>
      </c>
      <c r="R263" t="s">
        <v>15754</v>
      </c>
    </row>
    <row r="264" spans="1:18" x14ac:dyDescent="0.2">
      <c r="A264" t="s">
        <v>16643</v>
      </c>
      <c r="B264" s="79" t="s">
        <v>16605</v>
      </c>
      <c r="C264" s="79" t="s">
        <v>16606</v>
      </c>
      <c r="D264" s="79" t="s">
        <v>16175</v>
      </c>
      <c r="E264" s="100">
        <v>3</v>
      </c>
      <c r="F264" s="79" t="s">
        <v>16637</v>
      </c>
      <c r="G264" s="100" t="s">
        <v>15770</v>
      </c>
      <c r="H264" s="100" t="str">
        <f t="shared" si="4"/>
        <v>CH 14-3-EX 1-3 Gameplay</v>
      </c>
      <c r="I264" s="100" t="s">
        <v>16644</v>
      </c>
      <c r="J264" s="108" t="s">
        <v>16645</v>
      </c>
      <c r="K264" s="100" t="s">
        <v>1947</v>
      </c>
      <c r="L264" s="59">
        <v>21000</v>
      </c>
      <c r="M264" s="59">
        <v>23000</v>
      </c>
      <c r="N264" s="59">
        <v>28000</v>
      </c>
      <c r="P264" t="s">
        <v>15753</v>
      </c>
      <c r="Q264" t="s">
        <v>16141</v>
      </c>
      <c r="R264" t="s">
        <v>15754</v>
      </c>
    </row>
    <row r="265" spans="1:18" x14ac:dyDescent="0.2">
      <c r="A265" t="s">
        <v>16646</v>
      </c>
      <c r="B265" s="79" t="s">
        <v>16605</v>
      </c>
      <c r="C265" s="79" t="s">
        <v>16606</v>
      </c>
      <c r="D265" s="79">
        <v>4</v>
      </c>
      <c r="E265" s="100">
        <v>1</v>
      </c>
      <c r="F265" s="79" t="s">
        <v>16647</v>
      </c>
      <c r="G265" s="100" t="s">
        <v>15770</v>
      </c>
      <c r="H265" s="100" t="str">
        <f t="shared" si="4"/>
        <v>CH 14-4-1 Gameplay</v>
      </c>
      <c r="I265" s="100" t="s">
        <v>16648</v>
      </c>
      <c r="J265" s="108" t="s">
        <v>16649</v>
      </c>
      <c r="K265" s="100" t="s">
        <v>1947</v>
      </c>
      <c r="L265" s="59">
        <v>12100</v>
      </c>
      <c r="M265" s="59">
        <v>15100</v>
      </c>
      <c r="N265" s="59">
        <v>21000</v>
      </c>
      <c r="P265" t="s">
        <v>15753</v>
      </c>
      <c r="Q265" t="s">
        <v>16141</v>
      </c>
      <c r="R265" t="s">
        <v>15754</v>
      </c>
    </row>
    <row r="266" spans="1:18" x14ac:dyDescent="0.2">
      <c r="A266" t="s">
        <v>16650</v>
      </c>
      <c r="B266" s="79" t="s">
        <v>16605</v>
      </c>
      <c r="C266" s="79" t="s">
        <v>16606</v>
      </c>
      <c r="D266" s="79">
        <v>4</v>
      </c>
      <c r="E266" s="100">
        <v>2</v>
      </c>
      <c r="F266" s="79" t="s">
        <v>16647</v>
      </c>
      <c r="G266" s="100" t="s">
        <v>15742</v>
      </c>
      <c r="H266" s="100" t="str">
        <f t="shared" si="4"/>
        <v>CH 14-4-2 Story</v>
      </c>
      <c r="I266" s="100" t="s">
        <v>16651</v>
      </c>
      <c r="J266" s="108" t="s">
        <v>16652</v>
      </c>
      <c r="L266"/>
      <c r="M266"/>
      <c r="N266"/>
    </row>
    <row r="267" spans="1:18" x14ac:dyDescent="0.2">
      <c r="A267" t="s">
        <v>16653</v>
      </c>
      <c r="B267" s="79" t="s">
        <v>16605</v>
      </c>
      <c r="C267" s="79" t="s">
        <v>16606</v>
      </c>
      <c r="D267" s="79">
        <v>4</v>
      </c>
      <c r="E267" s="100">
        <v>3</v>
      </c>
      <c r="F267" s="79" t="s">
        <v>16647</v>
      </c>
      <c r="G267" s="100" t="s">
        <v>15770</v>
      </c>
      <c r="H267" s="100" t="str">
        <f t="shared" si="4"/>
        <v>CH 14-4-3 Gameplay</v>
      </c>
      <c r="I267" s="100" t="s">
        <v>16654</v>
      </c>
      <c r="J267" s="108" t="s">
        <v>16655</v>
      </c>
      <c r="K267" s="100" t="s">
        <v>1947</v>
      </c>
      <c r="L267" s="59">
        <v>12200</v>
      </c>
      <c r="M267" s="59">
        <v>15200</v>
      </c>
      <c r="N267" s="59">
        <v>21000</v>
      </c>
      <c r="P267" t="s">
        <v>15753</v>
      </c>
      <c r="Q267" t="s">
        <v>16141</v>
      </c>
      <c r="R267" t="s">
        <v>15754</v>
      </c>
    </row>
    <row r="268" spans="1:18" x14ac:dyDescent="0.2">
      <c r="A268" t="s">
        <v>16656</v>
      </c>
      <c r="B268" s="79" t="s">
        <v>16605</v>
      </c>
      <c r="C268" s="79" t="s">
        <v>16606</v>
      </c>
      <c r="D268" s="79">
        <v>4</v>
      </c>
      <c r="E268" s="100">
        <v>4</v>
      </c>
      <c r="F268" s="79" t="s">
        <v>16647</v>
      </c>
      <c r="G268" s="100" t="s">
        <v>15742</v>
      </c>
      <c r="H268" s="100" t="str">
        <f t="shared" si="4"/>
        <v>CH 14-4-4 Story</v>
      </c>
      <c r="I268" s="100" t="s">
        <v>16657</v>
      </c>
      <c r="J268" s="108" t="s">
        <v>16658</v>
      </c>
      <c r="L268"/>
      <c r="M268"/>
      <c r="N268"/>
    </row>
    <row r="269" spans="1:18" x14ac:dyDescent="0.2">
      <c r="A269" t="s">
        <v>16659</v>
      </c>
      <c r="B269" s="79" t="s">
        <v>16605</v>
      </c>
      <c r="C269" s="79" t="s">
        <v>16606</v>
      </c>
      <c r="D269" s="79">
        <v>4</v>
      </c>
      <c r="E269" s="100">
        <v>5</v>
      </c>
      <c r="F269" s="79" t="s">
        <v>16647</v>
      </c>
      <c r="G269" s="100" t="s">
        <v>15742</v>
      </c>
      <c r="H269" s="100" t="str">
        <f t="shared" si="4"/>
        <v>CH 14-4-5 Story</v>
      </c>
      <c r="I269" s="100" t="s">
        <v>16660</v>
      </c>
      <c r="J269" s="108" t="s">
        <v>16661</v>
      </c>
      <c r="L269"/>
      <c r="M269"/>
      <c r="N269"/>
    </row>
    <row r="270" spans="1:18" x14ac:dyDescent="0.2">
      <c r="A270" t="s">
        <v>16662</v>
      </c>
      <c r="B270" s="79" t="s">
        <v>16605</v>
      </c>
      <c r="C270" s="79" t="s">
        <v>16606</v>
      </c>
      <c r="D270" s="79">
        <v>4</v>
      </c>
      <c r="E270" s="100">
        <v>6</v>
      </c>
      <c r="F270" s="79" t="s">
        <v>16647</v>
      </c>
      <c r="G270" s="100" t="s">
        <v>15770</v>
      </c>
      <c r="H270" s="100" t="str">
        <f t="shared" si="4"/>
        <v>CH 14-4-6 Gameplay</v>
      </c>
      <c r="I270" s="100" t="s">
        <v>16663</v>
      </c>
      <c r="J270" s="108" t="s">
        <v>16664</v>
      </c>
      <c r="K270" s="100" t="s">
        <v>1947</v>
      </c>
      <c r="L270" s="59">
        <v>20500</v>
      </c>
      <c r="M270" s="59">
        <v>22500</v>
      </c>
      <c r="N270" s="59">
        <v>26500</v>
      </c>
      <c r="O270" t="s">
        <v>4578</v>
      </c>
      <c r="P270" t="s">
        <v>16665</v>
      </c>
      <c r="Q270" t="s">
        <v>16665</v>
      </c>
      <c r="R270" t="s">
        <v>16665</v>
      </c>
    </row>
    <row r="271" spans="1:18" x14ac:dyDescent="0.2">
      <c r="A271" t="s">
        <v>16666</v>
      </c>
      <c r="B271" s="79" t="s">
        <v>16605</v>
      </c>
      <c r="C271" s="79" t="s">
        <v>16606</v>
      </c>
      <c r="D271" s="79">
        <v>4</v>
      </c>
      <c r="E271" s="100">
        <v>7</v>
      </c>
      <c r="F271" s="79" t="s">
        <v>16647</v>
      </c>
      <c r="G271" s="100" t="s">
        <v>15742</v>
      </c>
      <c r="H271" s="100" t="str">
        <f t="shared" si="4"/>
        <v>CH 14-4-7 Story</v>
      </c>
      <c r="I271" s="100" t="s">
        <v>16667</v>
      </c>
      <c r="J271" s="108" t="s">
        <v>16668</v>
      </c>
      <c r="L271"/>
      <c r="M271"/>
      <c r="N271"/>
    </row>
    <row r="272" spans="1:18" x14ac:dyDescent="0.2">
      <c r="A272" t="s">
        <v>16669</v>
      </c>
      <c r="B272" s="79" t="s">
        <v>16605</v>
      </c>
      <c r="C272" s="79" t="s">
        <v>16606</v>
      </c>
      <c r="D272" s="79">
        <v>4</v>
      </c>
      <c r="E272" s="100">
        <v>8</v>
      </c>
      <c r="F272" s="79" t="s">
        <v>16647</v>
      </c>
      <c r="G272" s="100" t="s">
        <v>15770</v>
      </c>
      <c r="H272" s="100" t="str">
        <f t="shared" si="4"/>
        <v>CH 14-4-8 Gameplay</v>
      </c>
      <c r="I272" s="100" t="s">
        <v>16670</v>
      </c>
      <c r="J272" s="108" t="s">
        <v>16671</v>
      </c>
      <c r="K272" s="100" t="s">
        <v>1947</v>
      </c>
      <c r="L272" s="59">
        <v>21000</v>
      </c>
      <c r="M272" s="59">
        <v>23000</v>
      </c>
      <c r="N272" s="59">
        <v>27000</v>
      </c>
      <c r="O272" t="s">
        <v>4578</v>
      </c>
      <c r="P272" t="s">
        <v>16665</v>
      </c>
      <c r="Q272" t="s">
        <v>16665</v>
      </c>
      <c r="R272" t="s">
        <v>16665</v>
      </c>
    </row>
    <row r="273" spans="1:18" x14ac:dyDescent="0.2">
      <c r="A273" t="s">
        <v>16672</v>
      </c>
      <c r="B273" s="79" t="s">
        <v>16605</v>
      </c>
      <c r="C273" s="79" t="s">
        <v>16606</v>
      </c>
      <c r="D273" s="79">
        <v>4</v>
      </c>
      <c r="E273" s="100">
        <v>9</v>
      </c>
      <c r="F273" s="79" t="s">
        <v>16647</v>
      </c>
      <c r="G273" s="100" t="s">
        <v>15742</v>
      </c>
      <c r="H273" s="100" t="str">
        <f t="shared" si="4"/>
        <v>CH 14-4-9 Story</v>
      </c>
      <c r="I273" s="100" t="s">
        <v>16673</v>
      </c>
      <c r="J273" s="108" t="s">
        <v>16674</v>
      </c>
      <c r="L273"/>
      <c r="M273"/>
      <c r="N273"/>
    </row>
    <row r="274" spans="1:18" x14ac:dyDescent="0.2">
      <c r="A274" t="s">
        <v>16675</v>
      </c>
      <c r="B274" s="79" t="s">
        <v>16605</v>
      </c>
      <c r="C274" s="79" t="s">
        <v>16606</v>
      </c>
      <c r="D274" s="79">
        <v>4</v>
      </c>
      <c r="E274" s="100">
        <v>10</v>
      </c>
      <c r="F274" s="79" t="s">
        <v>16647</v>
      </c>
      <c r="G274" s="100" t="s">
        <v>15742</v>
      </c>
      <c r="H274" s="100" t="str">
        <f t="shared" si="4"/>
        <v>CH 14-4-10 Story</v>
      </c>
      <c r="I274" s="100" t="s">
        <v>16676</v>
      </c>
      <c r="J274" s="108" t="s">
        <v>16677</v>
      </c>
      <c r="L274"/>
      <c r="M274"/>
      <c r="N274"/>
    </row>
    <row r="275" spans="1:18" x14ac:dyDescent="0.2">
      <c r="A275" t="s">
        <v>16678</v>
      </c>
      <c r="B275" s="79" t="s">
        <v>16605</v>
      </c>
      <c r="C275" s="79" t="s">
        <v>16606</v>
      </c>
      <c r="D275" s="79">
        <v>4</v>
      </c>
      <c r="E275" s="100">
        <v>11</v>
      </c>
      <c r="F275" s="79" t="s">
        <v>16647</v>
      </c>
      <c r="G275" s="100" t="s">
        <v>15742</v>
      </c>
      <c r="H275" s="100" t="str">
        <f t="shared" si="4"/>
        <v>CH 14-4-11 Story</v>
      </c>
      <c r="I275" s="100" t="s">
        <v>16679</v>
      </c>
      <c r="J275" s="108" t="s">
        <v>16680</v>
      </c>
      <c r="L275"/>
      <c r="M275"/>
      <c r="N275"/>
    </row>
    <row r="276" spans="1:18" x14ac:dyDescent="0.2">
      <c r="A276" t="s">
        <v>16681</v>
      </c>
      <c r="B276" s="79" t="s">
        <v>16605</v>
      </c>
      <c r="C276" s="79" t="s">
        <v>16606</v>
      </c>
      <c r="D276" s="79">
        <v>4</v>
      </c>
      <c r="E276" s="100">
        <v>12</v>
      </c>
      <c r="F276" s="79" t="s">
        <v>16647</v>
      </c>
      <c r="G276" s="100" t="s">
        <v>15742</v>
      </c>
      <c r="H276" s="100" t="str">
        <f t="shared" si="4"/>
        <v>CH 14-4-12 Story</v>
      </c>
      <c r="I276" s="100" t="s">
        <v>16682</v>
      </c>
      <c r="J276" s="108" t="s">
        <v>16683</v>
      </c>
      <c r="L276"/>
      <c r="M276"/>
      <c r="N276"/>
    </row>
    <row r="277" spans="1:18" x14ac:dyDescent="0.2">
      <c r="A277" t="s">
        <v>16684</v>
      </c>
      <c r="B277" s="79" t="s">
        <v>16685</v>
      </c>
      <c r="C277" s="79" t="s">
        <v>16686</v>
      </c>
      <c r="D277" s="79">
        <v>1</v>
      </c>
      <c r="E277" s="100">
        <v>1</v>
      </c>
      <c r="F277" s="79" t="s">
        <v>16687</v>
      </c>
      <c r="G277" s="100" t="s">
        <v>15742</v>
      </c>
      <c r="H277" s="100" t="str">
        <f t="shared" si="4"/>
        <v>CH 15-1-1 Story</v>
      </c>
      <c r="I277" s="100" t="s">
        <v>16688</v>
      </c>
      <c r="J277" s="108" t="s">
        <v>16689</v>
      </c>
      <c r="L277"/>
      <c r="M277"/>
      <c r="N277"/>
    </row>
    <row r="278" spans="1:18" x14ac:dyDescent="0.2">
      <c r="A278" t="s">
        <v>16690</v>
      </c>
      <c r="B278" s="79" t="s">
        <v>16685</v>
      </c>
      <c r="C278" s="79" t="s">
        <v>16686</v>
      </c>
      <c r="D278" s="79">
        <v>1</v>
      </c>
      <c r="E278" s="100">
        <v>2</v>
      </c>
      <c r="F278" s="79" t="s">
        <v>16687</v>
      </c>
      <c r="G278" s="100" t="s">
        <v>15770</v>
      </c>
      <c r="H278" s="100" t="str">
        <f t="shared" si="4"/>
        <v>CH 15-1-2 Gameplay</v>
      </c>
      <c r="I278" s="100" t="s">
        <v>16691</v>
      </c>
      <c r="J278" s="108" t="s">
        <v>16692</v>
      </c>
      <c r="K278" s="100" t="s">
        <v>2837</v>
      </c>
      <c r="L278" s="59">
        <v>13000</v>
      </c>
      <c r="M278" s="59">
        <v>16000</v>
      </c>
      <c r="N278" s="59">
        <v>21000</v>
      </c>
      <c r="P278" t="s">
        <v>15753</v>
      </c>
      <c r="Q278" t="s">
        <v>16141</v>
      </c>
      <c r="R278" t="s">
        <v>15754</v>
      </c>
    </row>
    <row r="279" spans="1:18" x14ac:dyDescent="0.2">
      <c r="A279" t="s">
        <v>16693</v>
      </c>
      <c r="B279" s="79" t="s">
        <v>16685</v>
      </c>
      <c r="C279" s="79" t="s">
        <v>16686</v>
      </c>
      <c r="D279" s="79">
        <v>2</v>
      </c>
      <c r="E279" s="100">
        <v>1</v>
      </c>
      <c r="F279" s="79" t="s">
        <v>16694</v>
      </c>
      <c r="G279" s="100" t="s">
        <v>15742</v>
      </c>
      <c r="H279" s="100" t="str">
        <f t="shared" si="4"/>
        <v>CH 15-2-1 Story</v>
      </c>
      <c r="I279" s="100" t="s">
        <v>16695</v>
      </c>
      <c r="J279" s="108" t="s">
        <v>16696</v>
      </c>
      <c r="L279"/>
      <c r="M279"/>
      <c r="N279"/>
    </row>
    <row r="280" spans="1:18" x14ac:dyDescent="0.2">
      <c r="A280" t="s">
        <v>16697</v>
      </c>
      <c r="B280" s="79" t="s">
        <v>16685</v>
      </c>
      <c r="C280" s="79" t="s">
        <v>16686</v>
      </c>
      <c r="D280" s="79">
        <v>2</v>
      </c>
      <c r="E280" s="100">
        <v>2</v>
      </c>
      <c r="F280" s="79" t="s">
        <v>16694</v>
      </c>
      <c r="G280" s="100" t="s">
        <v>15770</v>
      </c>
      <c r="H280" s="100" t="str">
        <f t="shared" si="4"/>
        <v>CH 15-2-2 Gameplay</v>
      </c>
      <c r="I280" s="100" t="s">
        <v>16698</v>
      </c>
      <c r="J280" s="108" t="s">
        <v>16699</v>
      </c>
      <c r="K280" s="100" t="s">
        <v>1103</v>
      </c>
      <c r="L280" s="59">
        <v>20500</v>
      </c>
      <c r="M280" s="59">
        <v>22500</v>
      </c>
      <c r="N280" s="59">
        <v>26500</v>
      </c>
      <c r="O280" t="s">
        <v>4588</v>
      </c>
      <c r="P280" t="s">
        <v>16665</v>
      </c>
      <c r="Q280" t="s">
        <v>16665</v>
      </c>
      <c r="R280" t="s">
        <v>16665</v>
      </c>
    </row>
    <row r="281" spans="1:18" x14ac:dyDescent="0.2">
      <c r="A281" t="s">
        <v>16700</v>
      </c>
      <c r="B281" s="79" t="s">
        <v>16685</v>
      </c>
      <c r="C281" s="79" t="s">
        <v>16686</v>
      </c>
      <c r="D281" s="79">
        <v>2</v>
      </c>
      <c r="E281" s="100">
        <v>3</v>
      </c>
      <c r="F281" s="79" t="s">
        <v>16694</v>
      </c>
      <c r="G281" s="100" t="s">
        <v>15742</v>
      </c>
      <c r="H281" s="100" t="str">
        <f t="shared" si="4"/>
        <v>CH 15-2-3 Story</v>
      </c>
      <c r="I281" s="100" t="s">
        <v>16701</v>
      </c>
      <c r="J281" s="108" t="s">
        <v>16702</v>
      </c>
      <c r="L281"/>
      <c r="M281"/>
      <c r="N281"/>
    </row>
    <row r="282" spans="1:18" x14ac:dyDescent="0.2">
      <c r="A282" t="s">
        <v>16703</v>
      </c>
      <c r="B282" s="79" t="s">
        <v>16685</v>
      </c>
      <c r="C282" s="79" t="s">
        <v>16686</v>
      </c>
      <c r="D282" s="100">
        <v>3</v>
      </c>
      <c r="E282" s="100">
        <v>1</v>
      </c>
      <c r="F282" s="79" t="s">
        <v>16704</v>
      </c>
      <c r="G282" s="100" t="s">
        <v>15770</v>
      </c>
      <c r="H282" s="100" t="str">
        <f t="shared" si="4"/>
        <v>CH 15-3-1 Gameplay</v>
      </c>
      <c r="I282" s="100" t="s">
        <v>16705</v>
      </c>
      <c r="J282" s="108" t="s">
        <v>16706</v>
      </c>
      <c r="K282" s="100" t="s">
        <v>2837</v>
      </c>
      <c r="L282" s="59">
        <v>13050</v>
      </c>
      <c r="M282" s="59">
        <v>16050</v>
      </c>
      <c r="N282" s="59">
        <v>21000</v>
      </c>
      <c r="P282" t="s">
        <v>15753</v>
      </c>
      <c r="Q282" t="s">
        <v>16141</v>
      </c>
      <c r="R282" t="s">
        <v>15754</v>
      </c>
    </row>
    <row r="283" spans="1:18" x14ac:dyDescent="0.2">
      <c r="A283" t="s">
        <v>16707</v>
      </c>
      <c r="B283" s="79" t="s">
        <v>16685</v>
      </c>
      <c r="C283" s="79" t="s">
        <v>16686</v>
      </c>
      <c r="D283" s="79" t="s">
        <v>16175</v>
      </c>
      <c r="E283" s="100">
        <v>1</v>
      </c>
      <c r="F283" s="79" t="s">
        <v>16708</v>
      </c>
      <c r="G283" s="100" t="s">
        <v>15742</v>
      </c>
      <c r="H283" s="100" t="str">
        <f t="shared" si="4"/>
        <v>CH 15-3-EX 1-1 Story</v>
      </c>
      <c r="I283" s="100" t="s">
        <v>16709</v>
      </c>
      <c r="J283" s="108" t="s">
        <v>16710</v>
      </c>
      <c r="L283"/>
      <c r="M283"/>
      <c r="N283"/>
    </row>
    <row r="284" spans="1:18" x14ac:dyDescent="0.2">
      <c r="A284" t="s">
        <v>16711</v>
      </c>
      <c r="B284" s="79" t="s">
        <v>16685</v>
      </c>
      <c r="C284" s="79" t="s">
        <v>16686</v>
      </c>
      <c r="D284" s="79" t="s">
        <v>16175</v>
      </c>
      <c r="E284" s="100">
        <v>2</v>
      </c>
      <c r="F284" s="79" t="s">
        <v>16708</v>
      </c>
      <c r="G284" s="100" t="s">
        <v>15770</v>
      </c>
      <c r="H284" s="100" t="str">
        <f t="shared" si="4"/>
        <v>CH 15-3-EX 1-2 Gameplay</v>
      </c>
      <c r="I284" s="100" t="s">
        <v>16712</v>
      </c>
      <c r="J284" s="108" t="s">
        <v>16713</v>
      </c>
      <c r="K284" s="100" t="s">
        <v>2837</v>
      </c>
      <c r="L284" s="59">
        <v>14000</v>
      </c>
      <c r="M284" s="59">
        <v>17000</v>
      </c>
      <c r="N284" s="59">
        <v>22000</v>
      </c>
      <c r="P284" t="s">
        <v>15753</v>
      </c>
      <c r="Q284" t="s">
        <v>16141</v>
      </c>
      <c r="R284" t="s">
        <v>15754</v>
      </c>
    </row>
    <row r="285" spans="1:18" x14ac:dyDescent="0.2">
      <c r="A285" t="s">
        <v>16714</v>
      </c>
      <c r="B285" s="79" t="s">
        <v>16685</v>
      </c>
      <c r="C285" s="79" t="s">
        <v>16686</v>
      </c>
      <c r="D285" s="79" t="s">
        <v>16175</v>
      </c>
      <c r="E285" s="100">
        <v>3</v>
      </c>
      <c r="F285" s="79" t="s">
        <v>16708</v>
      </c>
      <c r="G285" s="100" t="s">
        <v>15770</v>
      </c>
      <c r="H285" s="100" t="str">
        <f t="shared" si="4"/>
        <v>CH 15-3-EX 1-3 Gameplay</v>
      </c>
      <c r="I285" s="100" t="s">
        <v>16715</v>
      </c>
      <c r="J285" s="108" t="s">
        <v>16716</v>
      </c>
      <c r="K285" s="100" t="s">
        <v>10772</v>
      </c>
      <c r="L285" s="59">
        <v>22000</v>
      </c>
      <c r="M285" s="59">
        <v>25700</v>
      </c>
      <c r="N285" s="59">
        <v>29000</v>
      </c>
      <c r="P285" t="s">
        <v>15753</v>
      </c>
      <c r="Q285" t="s">
        <v>16141</v>
      </c>
      <c r="R285" t="s">
        <v>15754</v>
      </c>
    </row>
    <row r="286" spans="1:18" x14ac:dyDescent="0.2">
      <c r="A286" t="s">
        <v>16717</v>
      </c>
      <c r="B286" s="79" t="s">
        <v>16685</v>
      </c>
      <c r="C286" s="79" t="s">
        <v>16686</v>
      </c>
      <c r="D286" s="79">
        <v>4</v>
      </c>
      <c r="E286" s="100">
        <v>1</v>
      </c>
      <c r="F286" s="79" t="s">
        <v>16718</v>
      </c>
      <c r="G286" s="100" t="s">
        <v>15770</v>
      </c>
      <c r="H286" s="100" t="str">
        <f t="shared" si="4"/>
        <v>CH 15-4-1 Gameplay</v>
      </c>
      <c r="I286" s="100" t="s">
        <v>16719</v>
      </c>
      <c r="J286" s="108" t="s">
        <v>16720</v>
      </c>
      <c r="K286" s="100" t="s">
        <v>2837</v>
      </c>
      <c r="L286" s="59">
        <v>13100</v>
      </c>
      <c r="M286" s="59">
        <v>16100</v>
      </c>
      <c r="N286" s="59">
        <v>21000</v>
      </c>
      <c r="P286" t="s">
        <v>15753</v>
      </c>
      <c r="Q286" t="s">
        <v>16141</v>
      </c>
      <c r="R286" t="s">
        <v>15754</v>
      </c>
    </row>
    <row r="287" spans="1:18" x14ac:dyDescent="0.2">
      <c r="A287" t="s">
        <v>16721</v>
      </c>
      <c r="B287" s="79" t="s">
        <v>16685</v>
      </c>
      <c r="C287" s="79" t="s">
        <v>16686</v>
      </c>
      <c r="D287" s="79">
        <v>4</v>
      </c>
      <c r="E287" s="100">
        <v>2</v>
      </c>
      <c r="F287" s="79" t="s">
        <v>16718</v>
      </c>
      <c r="G287" s="100" t="s">
        <v>15742</v>
      </c>
      <c r="H287" s="100" t="str">
        <f t="shared" si="4"/>
        <v>CH 15-4-2 Story</v>
      </c>
      <c r="I287" s="100" t="s">
        <v>16722</v>
      </c>
      <c r="J287" s="108" t="s">
        <v>16723</v>
      </c>
      <c r="L287"/>
      <c r="M287"/>
      <c r="N287"/>
    </row>
    <row r="288" spans="1:18" x14ac:dyDescent="0.2">
      <c r="A288" t="s">
        <v>16724</v>
      </c>
      <c r="B288" s="79" t="s">
        <v>16685</v>
      </c>
      <c r="C288" s="79" t="s">
        <v>16686</v>
      </c>
      <c r="D288" s="79">
        <v>4</v>
      </c>
      <c r="E288" s="100">
        <v>3</v>
      </c>
      <c r="F288" s="79" t="s">
        <v>16718</v>
      </c>
      <c r="G288" s="100" t="s">
        <v>15770</v>
      </c>
      <c r="H288" s="100" t="str">
        <f t="shared" si="4"/>
        <v>CH 15-4-3 Gameplay</v>
      </c>
      <c r="I288" s="100" t="s">
        <v>16725</v>
      </c>
      <c r="J288" s="108" t="s">
        <v>16726</v>
      </c>
      <c r="K288" s="100" t="s">
        <v>2837</v>
      </c>
      <c r="L288" s="59">
        <v>21000</v>
      </c>
      <c r="M288" s="59">
        <v>24240</v>
      </c>
      <c r="N288" s="59">
        <v>27730</v>
      </c>
      <c r="P288" t="s">
        <v>15753</v>
      </c>
      <c r="Q288" t="s">
        <v>16141</v>
      </c>
      <c r="R288" t="s">
        <v>15754</v>
      </c>
    </row>
    <row r="289" spans="1:18" x14ac:dyDescent="0.2">
      <c r="A289" t="s">
        <v>16727</v>
      </c>
      <c r="B289" s="79" t="s">
        <v>16685</v>
      </c>
      <c r="C289" s="79" t="s">
        <v>16686</v>
      </c>
      <c r="D289" s="79">
        <v>4</v>
      </c>
      <c r="E289" s="100">
        <v>4</v>
      </c>
      <c r="F289" s="79" t="s">
        <v>16718</v>
      </c>
      <c r="G289" s="100" t="s">
        <v>15742</v>
      </c>
      <c r="H289" s="100" t="str">
        <f t="shared" si="4"/>
        <v>CH 15-4-4 Story</v>
      </c>
      <c r="I289" s="100" t="s">
        <v>16728</v>
      </c>
      <c r="J289" s="108" t="s">
        <v>16729</v>
      </c>
      <c r="L289"/>
      <c r="M289"/>
      <c r="N289"/>
    </row>
    <row r="290" spans="1:18" x14ac:dyDescent="0.2">
      <c r="A290" t="s">
        <v>16730</v>
      </c>
      <c r="B290" s="79" t="s">
        <v>16685</v>
      </c>
      <c r="C290" s="79" t="s">
        <v>16686</v>
      </c>
      <c r="D290" s="79">
        <v>4</v>
      </c>
      <c r="E290" s="100">
        <v>5</v>
      </c>
      <c r="F290" s="79" t="s">
        <v>16718</v>
      </c>
      <c r="G290" s="100" t="s">
        <v>15770</v>
      </c>
      <c r="H290" s="100" t="str">
        <f t="shared" si="4"/>
        <v>CH 15-4-5 Gameplay</v>
      </c>
      <c r="I290" s="100" t="s">
        <v>16731</v>
      </c>
      <c r="J290" s="108" t="s">
        <v>16732</v>
      </c>
      <c r="K290" s="100" t="s">
        <v>2837</v>
      </c>
      <c r="L290" s="59">
        <v>22000</v>
      </c>
      <c r="M290" s="59">
        <v>25700</v>
      </c>
      <c r="N290" s="59">
        <v>29000</v>
      </c>
      <c r="P290" t="s">
        <v>15753</v>
      </c>
      <c r="Q290" t="s">
        <v>16141</v>
      </c>
      <c r="R290" t="s">
        <v>15754</v>
      </c>
    </row>
    <row r="291" spans="1:18" x14ac:dyDescent="0.2">
      <c r="A291" t="s">
        <v>16733</v>
      </c>
      <c r="B291" s="79" t="s">
        <v>16685</v>
      </c>
      <c r="C291" s="79" t="s">
        <v>16686</v>
      </c>
      <c r="D291" s="79">
        <v>4</v>
      </c>
      <c r="E291" s="100">
        <v>6</v>
      </c>
      <c r="F291" s="79" t="s">
        <v>16718</v>
      </c>
      <c r="G291" s="100" t="s">
        <v>15742</v>
      </c>
      <c r="H291" s="100" t="str">
        <f t="shared" si="4"/>
        <v>CH 15-4-6 Story</v>
      </c>
      <c r="I291" s="100" t="s">
        <v>16734</v>
      </c>
      <c r="J291" s="108" t="s">
        <v>16735</v>
      </c>
      <c r="L291"/>
      <c r="M291"/>
      <c r="N291"/>
    </row>
    <row r="292" spans="1:18" x14ac:dyDescent="0.2">
      <c r="A292" t="s">
        <v>16736</v>
      </c>
      <c r="B292" s="79" t="s">
        <v>16685</v>
      </c>
      <c r="C292" s="79" t="s">
        <v>16686</v>
      </c>
      <c r="D292" s="79">
        <v>4</v>
      </c>
      <c r="E292" s="100">
        <v>7</v>
      </c>
      <c r="F292" s="79" t="s">
        <v>16718</v>
      </c>
      <c r="G292" s="100" t="s">
        <v>15742</v>
      </c>
      <c r="H292" s="100" t="str">
        <f t="shared" si="4"/>
        <v>CH 15-4-7 Story</v>
      </c>
      <c r="I292" s="100" t="s">
        <v>16737</v>
      </c>
      <c r="J292" s="108" t="s">
        <v>16738</v>
      </c>
      <c r="L292"/>
      <c r="M292"/>
      <c r="N292"/>
    </row>
    <row r="293" spans="1:18" x14ac:dyDescent="0.2">
      <c r="A293" t="s">
        <v>16739</v>
      </c>
      <c r="B293" s="79" t="s">
        <v>16685</v>
      </c>
      <c r="C293" s="79" t="s">
        <v>16686</v>
      </c>
      <c r="D293" s="79">
        <v>4</v>
      </c>
      <c r="E293" s="100">
        <v>8</v>
      </c>
      <c r="F293" s="79" t="s">
        <v>16718</v>
      </c>
      <c r="G293" s="100" t="s">
        <v>15742</v>
      </c>
      <c r="H293" s="100" t="str">
        <f t="shared" si="4"/>
        <v>CH 15-4-8 Story</v>
      </c>
      <c r="I293" s="100" t="s">
        <v>16740</v>
      </c>
      <c r="J293" s="108" t="s">
        <v>16741</v>
      </c>
      <c r="L293"/>
      <c r="M293"/>
      <c r="N293"/>
    </row>
    <row r="294" spans="1:18" x14ac:dyDescent="0.2">
      <c r="A294" t="s">
        <v>16742</v>
      </c>
      <c r="B294" s="79" t="s">
        <v>16685</v>
      </c>
      <c r="C294" s="79" t="s">
        <v>16686</v>
      </c>
      <c r="D294" s="79">
        <v>4</v>
      </c>
      <c r="E294" s="100">
        <v>9</v>
      </c>
      <c r="F294" s="79" t="s">
        <v>16718</v>
      </c>
      <c r="G294" s="100" t="s">
        <v>15742</v>
      </c>
      <c r="H294" s="100" t="str">
        <f t="shared" si="4"/>
        <v>CH 15-4-9 Story</v>
      </c>
      <c r="I294" s="100" t="s">
        <v>16743</v>
      </c>
      <c r="J294" s="108" t="s">
        <v>16744</v>
      </c>
      <c r="L294"/>
      <c r="M294"/>
      <c r="N294"/>
    </row>
    <row r="295" spans="1:18" x14ac:dyDescent="0.2">
      <c r="A295" t="s">
        <v>16745</v>
      </c>
      <c r="B295" s="79" t="s">
        <v>16685</v>
      </c>
      <c r="C295" s="79" t="s">
        <v>16686</v>
      </c>
      <c r="D295" s="79">
        <v>4</v>
      </c>
      <c r="E295" s="100">
        <v>10</v>
      </c>
      <c r="F295" s="79" t="s">
        <v>16718</v>
      </c>
      <c r="G295" s="100" t="s">
        <v>15742</v>
      </c>
      <c r="H295" s="100" t="str">
        <f t="shared" si="4"/>
        <v>CH 15-4-10 Story</v>
      </c>
      <c r="I295" s="100" t="s">
        <v>16746</v>
      </c>
      <c r="J295" s="108" t="s">
        <v>16747</v>
      </c>
      <c r="L295"/>
      <c r="M295"/>
      <c r="N295"/>
    </row>
    <row r="296" spans="1:18" x14ac:dyDescent="0.2">
      <c r="A296" t="s">
        <v>16748</v>
      </c>
      <c r="B296" s="79" t="s">
        <v>16685</v>
      </c>
      <c r="C296" s="79" t="s">
        <v>16686</v>
      </c>
      <c r="D296" s="79">
        <v>4</v>
      </c>
      <c r="E296" s="100">
        <v>11</v>
      </c>
      <c r="F296" s="79" t="s">
        <v>16718</v>
      </c>
      <c r="G296" s="100" t="s">
        <v>15742</v>
      </c>
      <c r="H296" s="100" t="str">
        <f t="shared" si="4"/>
        <v>CH 15-4-11 Story</v>
      </c>
      <c r="I296" s="100" t="s">
        <v>16749</v>
      </c>
      <c r="J296" s="108" t="s">
        <v>16750</v>
      </c>
      <c r="L296"/>
      <c r="M296"/>
      <c r="N296"/>
    </row>
    <row r="297" spans="1:18" x14ac:dyDescent="0.2">
      <c r="A297" t="s">
        <v>16751</v>
      </c>
      <c r="B297" s="79" t="s">
        <v>16752</v>
      </c>
      <c r="C297" s="79" t="s">
        <v>16753</v>
      </c>
      <c r="D297" s="79">
        <v>1</v>
      </c>
      <c r="E297" s="100">
        <v>1</v>
      </c>
      <c r="F297" s="79" t="s">
        <v>16754</v>
      </c>
      <c r="G297" s="100" t="s">
        <v>15742</v>
      </c>
      <c r="H297" s="100" t="str">
        <f t="shared" si="4"/>
        <v>CH 16-1-1 Story</v>
      </c>
      <c r="I297" s="100" t="s">
        <v>16755</v>
      </c>
      <c r="J297" s="108" t="s">
        <v>16756</v>
      </c>
      <c r="L297"/>
      <c r="M297"/>
      <c r="N297"/>
    </row>
    <row r="298" spans="1:18" x14ac:dyDescent="0.2">
      <c r="A298" t="s">
        <v>16757</v>
      </c>
      <c r="B298" s="79" t="s">
        <v>16752</v>
      </c>
      <c r="C298" s="79" t="s">
        <v>16753</v>
      </c>
      <c r="D298" s="79">
        <v>1</v>
      </c>
      <c r="E298" s="100">
        <v>2</v>
      </c>
      <c r="F298" s="79" t="s">
        <v>16754</v>
      </c>
      <c r="G298" s="100" t="s">
        <v>15742</v>
      </c>
      <c r="H298" s="100" t="str">
        <f t="shared" si="4"/>
        <v>CH 16-1-2 Story</v>
      </c>
      <c r="I298" s="100" t="s">
        <v>16758</v>
      </c>
      <c r="J298" s="108" t="s">
        <v>16759</v>
      </c>
      <c r="L298"/>
      <c r="M298"/>
      <c r="N298"/>
    </row>
    <row r="299" spans="1:18" x14ac:dyDescent="0.2">
      <c r="A299" t="s">
        <v>16760</v>
      </c>
      <c r="B299" s="79" t="s">
        <v>16752</v>
      </c>
      <c r="C299" s="79" t="s">
        <v>16753</v>
      </c>
      <c r="D299" s="79">
        <v>1</v>
      </c>
      <c r="E299" s="100">
        <v>3</v>
      </c>
      <c r="F299" s="79" t="s">
        <v>16754</v>
      </c>
      <c r="G299" s="100" t="s">
        <v>15770</v>
      </c>
      <c r="H299" s="100" t="str">
        <f t="shared" si="4"/>
        <v>CH 16-1-3 Gameplay</v>
      </c>
      <c r="I299" s="100" t="s">
        <v>16761</v>
      </c>
      <c r="J299" s="108" t="s">
        <v>16762</v>
      </c>
      <c r="K299" s="100" t="s">
        <v>1103</v>
      </c>
      <c r="L299" s="59">
        <v>14000</v>
      </c>
      <c r="M299" s="59">
        <v>17000</v>
      </c>
      <c r="N299" s="59">
        <v>21000</v>
      </c>
      <c r="P299" t="s">
        <v>15753</v>
      </c>
      <c r="Q299" t="s">
        <v>16141</v>
      </c>
      <c r="R299" t="s">
        <v>15754</v>
      </c>
    </row>
    <row r="300" spans="1:18" x14ac:dyDescent="0.2">
      <c r="A300" t="s">
        <v>16763</v>
      </c>
      <c r="B300" s="79" t="s">
        <v>16752</v>
      </c>
      <c r="C300" s="79" t="s">
        <v>16753</v>
      </c>
      <c r="D300" s="79">
        <v>2</v>
      </c>
      <c r="E300" s="100">
        <v>1</v>
      </c>
      <c r="F300" s="79" t="s">
        <v>16764</v>
      </c>
      <c r="G300" s="100" t="s">
        <v>15742</v>
      </c>
      <c r="H300" s="100" t="str">
        <f t="shared" si="4"/>
        <v>CH 16-2-1 Story</v>
      </c>
      <c r="I300" s="100" t="s">
        <v>16765</v>
      </c>
      <c r="J300" s="108" t="s">
        <v>16766</v>
      </c>
      <c r="L300"/>
      <c r="M300"/>
      <c r="N300"/>
    </row>
    <row r="301" spans="1:18" x14ac:dyDescent="0.2">
      <c r="A301" t="s">
        <v>16767</v>
      </c>
      <c r="B301" s="79" t="s">
        <v>16752</v>
      </c>
      <c r="C301" s="79" t="s">
        <v>16753</v>
      </c>
      <c r="D301" s="79">
        <v>2</v>
      </c>
      <c r="E301" s="100">
        <v>2</v>
      </c>
      <c r="F301" s="79" t="s">
        <v>16764</v>
      </c>
      <c r="G301" s="100" t="s">
        <v>15770</v>
      </c>
      <c r="H301" s="100" t="str">
        <f t="shared" si="4"/>
        <v>CH 16-2-2 Gameplay</v>
      </c>
      <c r="I301" s="100" t="s">
        <v>16768</v>
      </c>
      <c r="J301" s="108" t="s">
        <v>16769</v>
      </c>
      <c r="K301" s="100" t="s">
        <v>122</v>
      </c>
      <c r="L301" s="59">
        <v>21000</v>
      </c>
      <c r="M301" s="59">
        <v>23000</v>
      </c>
      <c r="N301" s="59">
        <v>27000</v>
      </c>
      <c r="O301" t="s">
        <v>944</v>
      </c>
      <c r="P301" t="s">
        <v>16665</v>
      </c>
      <c r="Q301" t="s">
        <v>16665</v>
      </c>
      <c r="R301" t="s">
        <v>16665</v>
      </c>
    </row>
    <row r="302" spans="1:18" x14ac:dyDescent="0.2">
      <c r="A302" t="s">
        <v>16770</v>
      </c>
      <c r="B302" s="79" t="s">
        <v>16752</v>
      </c>
      <c r="C302" s="79" t="s">
        <v>16753</v>
      </c>
      <c r="D302" s="79">
        <v>2</v>
      </c>
      <c r="E302" s="100">
        <v>3</v>
      </c>
      <c r="F302" s="79" t="s">
        <v>16764</v>
      </c>
      <c r="G302" s="100" t="s">
        <v>15742</v>
      </c>
      <c r="H302" s="100" t="str">
        <f t="shared" si="4"/>
        <v>CH 16-2-3 Story</v>
      </c>
      <c r="I302" s="100" t="s">
        <v>16771</v>
      </c>
      <c r="J302" s="108" t="s">
        <v>16772</v>
      </c>
      <c r="L302"/>
      <c r="M302"/>
      <c r="N302"/>
    </row>
    <row r="303" spans="1:18" x14ac:dyDescent="0.2">
      <c r="A303" t="s">
        <v>16773</v>
      </c>
      <c r="B303" s="79" t="s">
        <v>16752</v>
      </c>
      <c r="C303" s="79" t="s">
        <v>16753</v>
      </c>
      <c r="D303" s="79">
        <v>2</v>
      </c>
      <c r="E303" s="100">
        <v>4</v>
      </c>
      <c r="F303" s="79" t="s">
        <v>16764</v>
      </c>
      <c r="G303" s="100" t="s">
        <v>15742</v>
      </c>
      <c r="H303" s="100" t="str">
        <f t="shared" si="4"/>
        <v>CH 16-2-4 Story</v>
      </c>
      <c r="I303" s="100" t="s">
        <v>16774</v>
      </c>
      <c r="J303" s="108" t="s">
        <v>16775</v>
      </c>
      <c r="L303"/>
      <c r="M303"/>
      <c r="N303"/>
    </row>
    <row r="304" spans="1:18" x14ac:dyDescent="0.2">
      <c r="A304" t="s">
        <v>16776</v>
      </c>
      <c r="B304" s="79" t="s">
        <v>16752</v>
      </c>
      <c r="C304" s="79" t="s">
        <v>16753</v>
      </c>
      <c r="D304" s="79">
        <v>2</v>
      </c>
      <c r="E304" s="100">
        <v>5</v>
      </c>
      <c r="F304" s="79" t="s">
        <v>16764</v>
      </c>
      <c r="G304" s="100" t="s">
        <v>15770</v>
      </c>
      <c r="H304" s="100" t="str">
        <f t="shared" si="4"/>
        <v>CH 16-2-5 Gameplay</v>
      </c>
      <c r="I304" s="100" t="s">
        <v>16777</v>
      </c>
      <c r="J304" s="108" t="s">
        <v>16778</v>
      </c>
      <c r="K304" s="100" t="s">
        <v>1103</v>
      </c>
      <c r="L304" s="59">
        <v>14050</v>
      </c>
      <c r="M304" s="59">
        <v>17050</v>
      </c>
      <c r="N304" s="59">
        <v>21000</v>
      </c>
      <c r="P304" t="s">
        <v>15753</v>
      </c>
      <c r="Q304" t="s">
        <v>16141</v>
      </c>
      <c r="R304" t="s">
        <v>15754</v>
      </c>
    </row>
    <row r="305" spans="1:18" x14ac:dyDescent="0.2">
      <c r="A305" t="s">
        <v>16779</v>
      </c>
      <c r="B305" s="79" t="s">
        <v>16752</v>
      </c>
      <c r="C305" s="79" t="s">
        <v>16753</v>
      </c>
      <c r="D305" s="79" t="s">
        <v>15821</v>
      </c>
      <c r="E305" s="100">
        <v>1</v>
      </c>
      <c r="F305" s="79" t="s">
        <v>16780</v>
      </c>
      <c r="G305" s="100" t="s">
        <v>15742</v>
      </c>
      <c r="H305" s="100" t="str">
        <f t="shared" si="4"/>
        <v>CH 16-2-EX 1-1 Story</v>
      </c>
      <c r="I305" s="100" t="s">
        <v>16781</v>
      </c>
      <c r="J305" s="108" t="s">
        <v>16782</v>
      </c>
      <c r="L305"/>
      <c r="M305"/>
      <c r="N305"/>
    </row>
    <row r="306" spans="1:18" x14ac:dyDescent="0.2">
      <c r="A306" t="s">
        <v>16783</v>
      </c>
      <c r="B306" s="79" t="s">
        <v>16752</v>
      </c>
      <c r="C306" s="79" t="s">
        <v>16753</v>
      </c>
      <c r="D306" s="79" t="s">
        <v>15821</v>
      </c>
      <c r="E306" s="100">
        <v>2</v>
      </c>
      <c r="F306" s="79" t="s">
        <v>16780</v>
      </c>
      <c r="G306" s="100" t="s">
        <v>15770</v>
      </c>
      <c r="H306" s="100" t="str">
        <f t="shared" si="4"/>
        <v>CH 16-2-EX 1-2 Gameplay</v>
      </c>
      <c r="I306" s="100" t="s">
        <v>16784</v>
      </c>
      <c r="J306" s="108" t="s">
        <v>16785</v>
      </c>
      <c r="K306" s="100" t="s">
        <v>1103</v>
      </c>
      <c r="L306" s="59">
        <v>15000</v>
      </c>
      <c r="M306" s="59">
        <v>18000</v>
      </c>
      <c r="N306" s="59">
        <v>22000</v>
      </c>
      <c r="P306" t="s">
        <v>15753</v>
      </c>
      <c r="Q306" t="s">
        <v>16141</v>
      </c>
      <c r="R306" t="s">
        <v>15754</v>
      </c>
    </row>
    <row r="307" spans="1:18" x14ac:dyDescent="0.2">
      <c r="A307" t="s">
        <v>16786</v>
      </c>
      <c r="B307" s="79" t="s">
        <v>16752</v>
      </c>
      <c r="C307" s="79" t="s">
        <v>16753</v>
      </c>
      <c r="D307" s="100">
        <v>3</v>
      </c>
      <c r="E307" s="100">
        <v>1</v>
      </c>
      <c r="F307" s="100" t="s">
        <v>16787</v>
      </c>
      <c r="G307" s="100" t="s">
        <v>15770</v>
      </c>
      <c r="H307" s="100" t="str">
        <f t="shared" si="4"/>
        <v>CH 16-3-1 Gameplay</v>
      </c>
      <c r="I307" s="100" t="s">
        <v>16788</v>
      </c>
      <c r="J307" s="108" t="s">
        <v>16789</v>
      </c>
      <c r="K307" s="100" t="s">
        <v>1103</v>
      </c>
      <c r="L307" s="59">
        <v>14100</v>
      </c>
      <c r="M307" s="59">
        <v>17100</v>
      </c>
      <c r="N307" s="59">
        <v>21000</v>
      </c>
      <c r="P307" t="s">
        <v>15753</v>
      </c>
      <c r="Q307" t="s">
        <v>16141</v>
      </c>
      <c r="R307" t="s">
        <v>15754</v>
      </c>
    </row>
    <row r="308" spans="1:18" x14ac:dyDescent="0.2">
      <c r="A308" t="s">
        <v>16790</v>
      </c>
      <c r="B308" s="79" t="s">
        <v>16752</v>
      </c>
      <c r="C308" s="79" t="s">
        <v>16753</v>
      </c>
      <c r="D308" s="79">
        <v>4</v>
      </c>
      <c r="E308" s="100">
        <v>1</v>
      </c>
      <c r="F308" s="79" t="s">
        <v>16791</v>
      </c>
      <c r="G308" s="100" t="s">
        <v>15742</v>
      </c>
      <c r="H308" s="100" t="str">
        <f t="shared" si="4"/>
        <v>CH 16-4-1 Story</v>
      </c>
      <c r="I308" s="100" t="s">
        <v>16792</v>
      </c>
      <c r="J308" s="108" t="s">
        <v>16793</v>
      </c>
      <c r="L308"/>
      <c r="M308"/>
      <c r="N308"/>
    </row>
    <row r="309" spans="1:18" x14ac:dyDescent="0.2">
      <c r="A309" t="s">
        <v>16794</v>
      </c>
      <c r="B309" s="79" t="s">
        <v>16752</v>
      </c>
      <c r="C309" s="79" t="s">
        <v>16753</v>
      </c>
      <c r="D309" s="79">
        <v>4</v>
      </c>
      <c r="E309" s="100">
        <v>2</v>
      </c>
      <c r="F309" s="79" t="s">
        <v>16791</v>
      </c>
      <c r="G309" s="100" t="s">
        <v>15770</v>
      </c>
      <c r="H309" s="100" t="str">
        <f t="shared" si="4"/>
        <v>CH 16-4-2 Gameplay</v>
      </c>
      <c r="I309" s="100" t="s">
        <v>16795</v>
      </c>
      <c r="J309" s="108" t="s">
        <v>16796</v>
      </c>
      <c r="K309" s="100" t="s">
        <v>1103</v>
      </c>
      <c r="L309" s="59">
        <v>14200</v>
      </c>
      <c r="M309" s="59">
        <v>17200</v>
      </c>
      <c r="N309" s="59">
        <v>21000</v>
      </c>
      <c r="P309" t="s">
        <v>15753</v>
      </c>
      <c r="Q309" t="s">
        <v>16141</v>
      </c>
      <c r="R309" t="s">
        <v>15754</v>
      </c>
    </row>
    <row r="310" spans="1:18" x14ac:dyDescent="0.2">
      <c r="A310" t="s">
        <v>16797</v>
      </c>
      <c r="B310" s="79" t="s">
        <v>16752</v>
      </c>
      <c r="C310" s="79" t="s">
        <v>16753</v>
      </c>
      <c r="D310" s="79">
        <v>4</v>
      </c>
      <c r="E310" s="100">
        <v>3</v>
      </c>
      <c r="F310" s="79" t="s">
        <v>16791</v>
      </c>
      <c r="G310" s="100" t="s">
        <v>15742</v>
      </c>
      <c r="H310" s="100" t="str">
        <f t="shared" si="4"/>
        <v>CH 16-4-3 Story</v>
      </c>
      <c r="I310" s="100" t="s">
        <v>16798</v>
      </c>
      <c r="J310" s="108" t="s">
        <v>16799</v>
      </c>
      <c r="L310"/>
      <c r="M310"/>
      <c r="N310"/>
    </row>
    <row r="311" spans="1:18" x14ac:dyDescent="0.2">
      <c r="A311" t="s">
        <v>16800</v>
      </c>
      <c r="B311" s="79" t="s">
        <v>16752</v>
      </c>
      <c r="C311" s="79" t="s">
        <v>16753</v>
      </c>
      <c r="D311" s="79">
        <v>4</v>
      </c>
      <c r="E311" s="100">
        <v>4</v>
      </c>
      <c r="F311" s="79" t="s">
        <v>16791</v>
      </c>
      <c r="G311" s="100" t="s">
        <v>15770</v>
      </c>
      <c r="H311" s="100" t="str">
        <f t="shared" si="4"/>
        <v>CH 16-4-4 Gameplay</v>
      </c>
      <c r="I311" s="100" t="s">
        <v>16801</v>
      </c>
      <c r="J311" s="108" t="s">
        <v>16802</v>
      </c>
      <c r="K311" s="100" t="s">
        <v>1103</v>
      </c>
      <c r="L311" s="59">
        <v>23000</v>
      </c>
      <c r="M311" s="59">
        <v>26000</v>
      </c>
      <c r="N311" s="59">
        <v>30000</v>
      </c>
      <c r="O311" t="s">
        <v>4588</v>
      </c>
      <c r="P311" t="s">
        <v>16803</v>
      </c>
      <c r="Q311" t="s">
        <v>16803</v>
      </c>
      <c r="R311" t="s">
        <v>16803</v>
      </c>
    </row>
    <row r="312" spans="1:18" x14ac:dyDescent="0.2">
      <c r="A312" t="s">
        <v>16804</v>
      </c>
      <c r="B312" s="79" t="s">
        <v>16752</v>
      </c>
      <c r="C312" s="79" t="s">
        <v>16753</v>
      </c>
      <c r="D312" s="79">
        <v>4</v>
      </c>
      <c r="E312" s="100">
        <v>5</v>
      </c>
      <c r="F312" s="79" t="s">
        <v>16791</v>
      </c>
      <c r="G312" s="100" t="s">
        <v>15742</v>
      </c>
      <c r="H312" s="100" t="str">
        <f t="shared" si="4"/>
        <v>CH 16-4-5 Story</v>
      </c>
      <c r="I312" s="100" t="s">
        <v>16805</v>
      </c>
      <c r="J312" s="108" t="s">
        <v>16806</v>
      </c>
      <c r="L312"/>
      <c r="M312"/>
      <c r="N312"/>
    </row>
    <row r="313" spans="1:18" x14ac:dyDescent="0.2">
      <c r="A313" t="s">
        <v>16807</v>
      </c>
      <c r="B313" s="79" t="s">
        <v>16752</v>
      </c>
      <c r="C313" s="79" t="s">
        <v>16753</v>
      </c>
      <c r="D313" s="79">
        <v>4</v>
      </c>
      <c r="E313" s="100">
        <v>6</v>
      </c>
      <c r="F313" s="79" t="s">
        <v>16791</v>
      </c>
      <c r="G313" s="100" t="s">
        <v>15742</v>
      </c>
      <c r="H313" s="100" t="str">
        <f t="shared" si="4"/>
        <v>CH 16-4-6 Story</v>
      </c>
      <c r="I313" s="100" t="s">
        <v>16808</v>
      </c>
      <c r="J313" s="108" t="s">
        <v>16809</v>
      </c>
      <c r="L313"/>
      <c r="M313"/>
      <c r="N313"/>
    </row>
    <row r="314" spans="1:18" x14ac:dyDescent="0.2">
      <c r="A314" t="s">
        <v>16810</v>
      </c>
      <c r="B314" s="79" t="s">
        <v>16752</v>
      </c>
      <c r="C314" s="79" t="s">
        <v>16753</v>
      </c>
      <c r="D314" s="79">
        <v>4</v>
      </c>
      <c r="E314" s="100">
        <v>7</v>
      </c>
      <c r="F314" s="79" t="s">
        <v>16791</v>
      </c>
      <c r="G314" s="100" t="s">
        <v>15742</v>
      </c>
      <c r="H314" s="100" t="str">
        <f t="shared" si="4"/>
        <v>CH 16-4-7 Story</v>
      </c>
      <c r="I314" s="100" t="s">
        <v>16811</v>
      </c>
      <c r="J314" s="108" t="s">
        <v>16812</v>
      </c>
      <c r="L314"/>
      <c r="M314"/>
      <c r="N314"/>
    </row>
    <row r="315" spans="1:18" x14ac:dyDescent="0.2">
      <c r="A315" t="s">
        <v>16813</v>
      </c>
      <c r="B315" s="79" t="s">
        <v>16752</v>
      </c>
      <c r="C315" s="79" t="s">
        <v>16753</v>
      </c>
      <c r="D315" s="79">
        <v>4</v>
      </c>
      <c r="E315" s="100">
        <v>8</v>
      </c>
      <c r="F315" s="79" t="s">
        <v>16791</v>
      </c>
      <c r="G315" s="100" t="s">
        <v>15742</v>
      </c>
      <c r="H315" s="100" t="str">
        <f t="shared" si="4"/>
        <v>CH 16-4-8 Story</v>
      </c>
      <c r="I315" s="100" t="s">
        <v>16814</v>
      </c>
      <c r="J315" s="108" t="s">
        <v>16815</v>
      </c>
      <c r="L315"/>
      <c r="M315"/>
      <c r="N315"/>
    </row>
    <row r="316" spans="1:18" x14ac:dyDescent="0.2">
      <c r="A316" t="s">
        <v>16816</v>
      </c>
      <c r="B316" s="79" t="s">
        <v>16752</v>
      </c>
      <c r="C316" s="79" t="s">
        <v>16753</v>
      </c>
      <c r="D316" s="79">
        <v>4</v>
      </c>
      <c r="E316" s="100">
        <v>9</v>
      </c>
      <c r="F316" s="79" t="s">
        <v>16791</v>
      </c>
      <c r="G316" s="100" t="s">
        <v>15742</v>
      </c>
      <c r="H316" s="100" t="str">
        <f t="shared" si="4"/>
        <v>CH 16-4-9 Story</v>
      </c>
      <c r="I316" s="100" t="s">
        <v>16817</v>
      </c>
      <c r="J316" s="108" t="s">
        <v>16818</v>
      </c>
      <c r="L316"/>
      <c r="M316"/>
      <c r="N316"/>
    </row>
    <row r="317" spans="1:18" x14ac:dyDescent="0.2">
      <c r="A317" t="s">
        <v>16819</v>
      </c>
      <c r="B317" s="79" t="s">
        <v>16820</v>
      </c>
      <c r="C317" s="79" t="s">
        <v>16821</v>
      </c>
      <c r="D317" s="79">
        <v>1</v>
      </c>
      <c r="E317" s="100">
        <v>1</v>
      </c>
      <c r="F317" s="79" t="s">
        <v>16822</v>
      </c>
      <c r="G317" s="100" t="s">
        <v>15742</v>
      </c>
      <c r="H317" s="100" t="str">
        <f t="shared" si="4"/>
        <v>CH 17-1-1 Story</v>
      </c>
      <c r="I317" s="100" t="s">
        <v>16823</v>
      </c>
      <c r="J317" s="108" t="s">
        <v>16824</v>
      </c>
      <c r="L317"/>
      <c r="M317"/>
      <c r="N317"/>
    </row>
    <row r="318" spans="1:18" x14ac:dyDescent="0.2">
      <c r="A318" t="s">
        <v>16825</v>
      </c>
      <c r="B318" s="79" t="s">
        <v>16820</v>
      </c>
      <c r="C318" s="79" t="s">
        <v>16821</v>
      </c>
      <c r="D318" s="79">
        <v>1</v>
      </c>
      <c r="E318" s="100">
        <v>2</v>
      </c>
      <c r="F318" s="79" t="s">
        <v>16822</v>
      </c>
      <c r="G318" s="100" t="s">
        <v>15770</v>
      </c>
      <c r="H318" s="100" t="str">
        <f t="shared" si="4"/>
        <v>CH 17-1-2 Gameplay</v>
      </c>
      <c r="I318" s="100" t="s">
        <v>16826</v>
      </c>
      <c r="J318" s="108" t="s">
        <v>16827</v>
      </c>
      <c r="K318" s="100" t="s">
        <v>1947</v>
      </c>
      <c r="L318" s="59">
        <v>15000</v>
      </c>
      <c r="M318" s="59">
        <v>18000</v>
      </c>
      <c r="N318" s="59">
        <v>21500</v>
      </c>
      <c r="P318" t="s">
        <v>15753</v>
      </c>
      <c r="Q318" t="s">
        <v>16141</v>
      </c>
      <c r="R318" t="s">
        <v>15754</v>
      </c>
    </row>
    <row r="319" spans="1:18" x14ac:dyDescent="0.2">
      <c r="A319" t="s">
        <v>16828</v>
      </c>
      <c r="B319" s="79" t="s">
        <v>16820</v>
      </c>
      <c r="C319" s="79" t="s">
        <v>16821</v>
      </c>
      <c r="D319" s="79">
        <v>1</v>
      </c>
      <c r="E319" s="100">
        <v>3</v>
      </c>
      <c r="F319" s="79" t="s">
        <v>16822</v>
      </c>
      <c r="G319" s="100" t="s">
        <v>15742</v>
      </c>
      <c r="H319" s="100" t="str">
        <f t="shared" si="4"/>
        <v>CH 17-1-3 Story</v>
      </c>
      <c r="I319" s="100" t="s">
        <v>16829</v>
      </c>
      <c r="J319" s="108" t="s">
        <v>16830</v>
      </c>
      <c r="L319"/>
      <c r="M319"/>
      <c r="N319"/>
    </row>
    <row r="320" spans="1:18" x14ac:dyDescent="0.2">
      <c r="A320" t="s">
        <v>16831</v>
      </c>
      <c r="B320" s="79" t="s">
        <v>16820</v>
      </c>
      <c r="C320" s="79" t="s">
        <v>16821</v>
      </c>
      <c r="D320" s="79">
        <v>2</v>
      </c>
      <c r="E320" s="100">
        <v>1</v>
      </c>
      <c r="F320" s="79" t="s">
        <v>16832</v>
      </c>
      <c r="G320" s="100" t="s">
        <v>15742</v>
      </c>
      <c r="H320" s="100" t="str">
        <f t="shared" si="4"/>
        <v>CH 17-2-1 Story</v>
      </c>
      <c r="I320" s="100" t="s">
        <v>16833</v>
      </c>
      <c r="J320" s="108" t="s">
        <v>16834</v>
      </c>
      <c r="L320"/>
      <c r="M320"/>
      <c r="N320"/>
    </row>
    <row r="321" spans="1:18" x14ac:dyDescent="0.2">
      <c r="A321" t="s">
        <v>16835</v>
      </c>
      <c r="B321" s="79" t="s">
        <v>16820</v>
      </c>
      <c r="C321" s="79" t="s">
        <v>16821</v>
      </c>
      <c r="D321" s="79">
        <v>2</v>
      </c>
      <c r="E321" s="100">
        <v>2</v>
      </c>
      <c r="F321" s="79" t="s">
        <v>16832</v>
      </c>
      <c r="G321" s="100" t="s">
        <v>15770</v>
      </c>
      <c r="H321" s="100" t="str">
        <f t="shared" si="4"/>
        <v>CH 17-2-2 Gameplay</v>
      </c>
      <c r="I321" s="100" t="s">
        <v>16836</v>
      </c>
      <c r="J321" s="108" t="s">
        <v>16837</v>
      </c>
      <c r="K321" s="100" t="s">
        <v>1947</v>
      </c>
      <c r="L321" s="59">
        <v>15050</v>
      </c>
      <c r="M321" s="59">
        <v>18050</v>
      </c>
      <c r="N321" s="59">
        <v>21500</v>
      </c>
      <c r="P321" t="s">
        <v>15753</v>
      </c>
      <c r="Q321" t="s">
        <v>16141</v>
      </c>
      <c r="R321" t="s">
        <v>15754</v>
      </c>
    </row>
    <row r="322" spans="1:18" x14ac:dyDescent="0.2">
      <c r="A322" t="s">
        <v>16838</v>
      </c>
      <c r="B322" s="79" t="s">
        <v>16820</v>
      </c>
      <c r="C322" s="79" t="s">
        <v>16821</v>
      </c>
      <c r="D322" s="79">
        <v>2</v>
      </c>
      <c r="E322" s="100">
        <v>3</v>
      </c>
      <c r="F322" s="79" t="s">
        <v>16832</v>
      </c>
      <c r="G322" s="100" t="s">
        <v>15742</v>
      </c>
      <c r="H322" s="100" t="str">
        <f t="shared" ref="H322:H385" si="5">+"CH "&amp;C322&amp;"-"&amp;D322&amp;"-"&amp;E322&amp;" "&amp;G322</f>
        <v>CH 17-2-3 Story</v>
      </c>
      <c r="I322" s="100" t="s">
        <v>16839</v>
      </c>
      <c r="J322" s="108" t="s">
        <v>16840</v>
      </c>
      <c r="L322"/>
      <c r="M322"/>
      <c r="N322"/>
    </row>
    <row r="323" spans="1:18" x14ac:dyDescent="0.2">
      <c r="A323" t="s">
        <v>16841</v>
      </c>
      <c r="B323" s="79" t="s">
        <v>16820</v>
      </c>
      <c r="C323" s="79" t="s">
        <v>16821</v>
      </c>
      <c r="D323" s="79">
        <v>2</v>
      </c>
      <c r="E323" s="100">
        <v>4</v>
      </c>
      <c r="F323" s="79" t="s">
        <v>16832</v>
      </c>
      <c r="G323" s="100" t="s">
        <v>15770</v>
      </c>
      <c r="H323" s="100" t="str">
        <f t="shared" si="5"/>
        <v>CH 17-2-4 Gameplay</v>
      </c>
      <c r="I323" s="100" t="s">
        <v>16842</v>
      </c>
      <c r="J323" s="108" t="s">
        <v>16843</v>
      </c>
      <c r="K323" s="100" t="s">
        <v>1947</v>
      </c>
      <c r="L323" s="59">
        <v>15100</v>
      </c>
      <c r="M323" s="59">
        <v>18100</v>
      </c>
      <c r="N323" s="59">
        <v>21500</v>
      </c>
      <c r="P323" t="s">
        <v>15753</v>
      </c>
      <c r="Q323" t="s">
        <v>16141</v>
      </c>
      <c r="R323" t="s">
        <v>15754</v>
      </c>
    </row>
    <row r="324" spans="1:18" x14ac:dyDescent="0.2">
      <c r="A324" t="s">
        <v>16844</v>
      </c>
      <c r="B324" s="79" t="s">
        <v>16820</v>
      </c>
      <c r="C324" s="79" t="s">
        <v>16821</v>
      </c>
      <c r="D324" s="79">
        <v>3</v>
      </c>
      <c r="E324" s="100">
        <v>1</v>
      </c>
      <c r="F324" s="79" t="s">
        <v>16845</v>
      </c>
      <c r="G324" s="100" t="s">
        <v>15742</v>
      </c>
      <c r="H324" s="100" t="str">
        <f t="shared" si="5"/>
        <v>CH 17-3-1 Story</v>
      </c>
      <c r="I324" s="100" t="s">
        <v>16846</v>
      </c>
      <c r="J324" s="108" t="s">
        <v>16847</v>
      </c>
      <c r="L324"/>
      <c r="M324"/>
      <c r="N324"/>
    </row>
    <row r="325" spans="1:18" x14ac:dyDescent="0.2">
      <c r="A325" t="s">
        <v>16848</v>
      </c>
      <c r="B325" s="79" t="s">
        <v>16820</v>
      </c>
      <c r="C325" s="79" t="s">
        <v>16821</v>
      </c>
      <c r="D325" s="79">
        <v>3</v>
      </c>
      <c r="E325" s="100">
        <v>2</v>
      </c>
      <c r="F325" s="79" t="s">
        <v>16845</v>
      </c>
      <c r="G325" s="100" t="s">
        <v>15742</v>
      </c>
      <c r="H325" s="100" t="str">
        <f t="shared" si="5"/>
        <v>CH 17-3-2 Story</v>
      </c>
      <c r="I325" s="100" t="s">
        <v>16849</v>
      </c>
      <c r="J325" s="108" t="s">
        <v>16850</v>
      </c>
      <c r="L325"/>
      <c r="M325"/>
      <c r="N325"/>
    </row>
    <row r="326" spans="1:18" x14ac:dyDescent="0.2">
      <c r="A326" t="s">
        <v>16851</v>
      </c>
      <c r="B326" s="79" t="s">
        <v>16820</v>
      </c>
      <c r="C326" s="79" t="s">
        <v>16821</v>
      </c>
      <c r="D326" s="79">
        <v>3</v>
      </c>
      <c r="E326" s="100">
        <v>3</v>
      </c>
      <c r="F326" s="79" t="s">
        <v>16845</v>
      </c>
      <c r="G326" s="100" t="s">
        <v>15770</v>
      </c>
      <c r="H326" s="100" t="str">
        <f t="shared" si="5"/>
        <v>CH 17-3-3 Gameplay</v>
      </c>
      <c r="I326" s="100" t="s">
        <v>16852</v>
      </c>
      <c r="J326" s="108" t="s">
        <v>16853</v>
      </c>
      <c r="K326" s="100" t="s">
        <v>1947</v>
      </c>
      <c r="L326" s="59">
        <v>15150</v>
      </c>
      <c r="M326" s="59">
        <v>18150</v>
      </c>
      <c r="N326" s="59">
        <v>21500</v>
      </c>
      <c r="P326" t="s">
        <v>15753</v>
      </c>
      <c r="Q326" t="s">
        <v>16141</v>
      </c>
      <c r="R326" t="s">
        <v>15754</v>
      </c>
    </row>
    <row r="327" spans="1:18" x14ac:dyDescent="0.2">
      <c r="A327" t="s">
        <v>16854</v>
      </c>
      <c r="B327" s="79" t="s">
        <v>16820</v>
      </c>
      <c r="C327" s="79" t="s">
        <v>16821</v>
      </c>
      <c r="D327" s="79" t="s">
        <v>16175</v>
      </c>
      <c r="E327" s="100">
        <v>1</v>
      </c>
      <c r="F327" s="79" t="s">
        <v>16855</v>
      </c>
      <c r="G327" s="100" t="s">
        <v>15742</v>
      </c>
      <c r="H327" s="100" t="str">
        <f t="shared" si="5"/>
        <v>CH 17-3-EX 1-1 Story</v>
      </c>
      <c r="I327" s="100" t="s">
        <v>16856</v>
      </c>
      <c r="J327" s="108" t="s">
        <v>16857</v>
      </c>
      <c r="L327"/>
      <c r="M327"/>
      <c r="N327"/>
    </row>
    <row r="328" spans="1:18" x14ac:dyDescent="0.2">
      <c r="A328" t="s">
        <v>16858</v>
      </c>
      <c r="B328" s="79" t="s">
        <v>16820</v>
      </c>
      <c r="C328" s="79" t="s">
        <v>16821</v>
      </c>
      <c r="D328" s="79" t="s">
        <v>16175</v>
      </c>
      <c r="E328" s="100">
        <v>2</v>
      </c>
      <c r="F328" s="79" t="s">
        <v>16855</v>
      </c>
      <c r="G328" s="100" t="s">
        <v>15770</v>
      </c>
      <c r="H328" s="100" t="str">
        <f t="shared" si="5"/>
        <v>CH 17-3-EX 1-2 Gameplay</v>
      </c>
      <c r="I328" s="100" t="s">
        <v>16859</v>
      </c>
      <c r="J328" s="108" t="s">
        <v>16860</v>
      </c>
      <c r="K328" s="100" t="s">
        <v>1947</v>
      </c>
      <c r="L328" s="59">
        <v>16000</v>
      </c>
      <c r="M328" s="59">
        <v>19000</v>
      </c>
      <c r="N328" s="59">
        <v>22000</v>
      </c>
      <c r="P328" t="s">
        <v>15753</v>
      </c>
      <c r="Q328" t="s">
        <v>16141</v>
      </c>
      <c r="R328" t="s">
        <v>15754</v>
      </c>
    </row>
    <row r="329" spans="1:18" x14ac:dyDescent="0.2">
      <c r="A329" t="s">
        <v>16861</v>
      </c>
      <c r="B329" s="79" t="s">
        <v>16820</v>
      </c>
      <c r="C329" s="79" t="s">
        <v>16821</v>
      </c>
      <c r="D329" s="79">
        <v>4</v>
      </c>
      <c r="E329" s="100">
        <v>1</v>
      </c>
      <c r="F329" s="79" t="s">
        <v>16862</v>
      </c>
      <c r="G329" s="100" t="s">
        <v>15742</v>
      </c>
      <c r="H329" s="100" t="str">
        <f t="shared" si="5"/>
        <v>CH 17-4-1 Story</v>
      </c>
      <c r="I329" s="100" t="s">
        <v>16863</v>
      </c>
      <c r="J329" s="108" t="s">
        <v>16864</v>
      </c>
      <c r="L329"/>
      <c r="M329"/>
      <c r="N329"/>
    </row>
    <row r="330" spans="1:18" x14ac:dyDescent="0.2">
      <c r="A330" t="s">
        <v>16865</v>
      </c>
      <c r="B330" s="79" t="s">
        <v>16820</v>
      </c>
      <c r="C330" s="79" t="s">
        <v>16821</v>
      </c>
      <c r="D330" s="79">
        <v>4</v>
      </c>
      <c r="E330" s="100">
        <v>2</v>
      </c>
      <c r="F330" s="79" t="s">
        <v>16862</v>
      </c>
      <c r="G330" s="100" t="s">
        <v>15770</v>
      </c>
      <c r="H330" s="100" t="str">
        <f t="shared" si="5"/>
        <v>CH 17-4-2 Gameplay</v>
      </c>
      <c r="I330" s="100" t="s">
        <v>16866</v>
      </c>
      <c r="J330" s="108" t="s">
        <v>16867</v>
      </c>
      <c r="K330" s="100" t="s">
        <v>1947</v>
      </c>
      <c r="L330" s="59">
        <v>15200</v>
      </c>
      <c r="M330" s="59">
        <v>18200</v>
      </c>
      <c r="N330" s="59">
        <v>21500</v>
      </c>
      <c r="P330" t="s">
        <v>15753</v>
      </c>
      <c r="Q330" t="s">
        <v>16141</v>
      </c>
      <c r="R330" t="s">
        <v>15754</v>
      </c>
    </row>
    <row r="331" spans="1:18" x14ac:dyDescent="0.2">
      <c r="A331" t="s">
        <v>16868</v>
      </c>
      <c r="B331" s="79" t="s">
        <v>16820</v>
      </c>
      <c r="C331" s="79" t="s">
        <v>16821</v>
      </c>
      <c r="D331" s="79">
        <v>4</v>
      </c>
      <c r="E331" s="100">
        <v>3</v>
      </c>
      <c r="F331" s="79" t="s">
        <v>16862</v>
      </c>
      <c r="G331" s="100" t="s">
        <v>15742</v>
      </c>
      <c r="H331" s="100" t="str">
        <f t="shared" si="5"/>
        <v>CH 17-4-3 Story</v>
      </c>
      <c r="I331" s="100" t="s">
        <v>16869</v>
      </c>
      <c r="J331" s="108" t="s">
        <v>16870</v>
      </c>
      <c r="L331"/>
      <c r="M331"/>
      <c r="N331"/>
    </row>
    <row r="332" spans="1:18" x14ac:dyDescent="0.2">
      <c r="A332" t="s">
        <v>16871</v>
      </c>
      <c r="B332" s="79" t="s">
        <v>16820</v>
      </c>
      <c r="C332" s="79" t="s">
        <v>16821</v>
      </c>
      <c r="D332" s="79">
        <v>5</v>
      </c>
      <c r="E332" s="100">
        <v>1</v>
      </c>
      <c r="F332" s="79" t="s">
        <v>16872</v>
      </c>
      <c r="G332" s="100" t="s">
        <v>15742</v>
      </c>
      <c r="H332" s="100" t="str">
        <f t="shared" si="5"/>
        <v>CH 17-5-1 Story</v>
      </c>
      <c r="I332" s="100" t="s">
        <v>16873</v>
      </c>
      <c r="J332" s="108" t="s">
        <v>16874</v>
      </c>
      <c r="L332"/>
      <c r="M332"/>
      <c r="N332"/>
    </row>
    <row r="333" spans="1:18" x14ac:dyDescent="0.2">
      <c r="A333" t="s">
        <v>16875</v>
      </c>
      <c r="B333" s="79" t="s">
        <v>16820</v>
      </c>
      <c r="C333" s="79" t="s">
        <v>16821</v>
      </c>
      <c r="D333" s="79">
        <v>5</v>
      </c>
      <c r="E333" s="100">
        <v>2</v>
      </c>
      <c r="F333" s="79" t="s">
        <v>16872</v>
      </c>
      <c r="G333" s="100" t="s">
        <v>15770</v>
      </c>
      <c r="H333" s="100" t="str">
        <f t="shared" si="5"/>
        <v>CH 17-5-2 Gameplay</v>
      </c>
      <c r="I333" s="100" t="s">
        <v>16876</v>
      </c>
      <c r="J333" s="108" t="s">
        <v>16877</v>
      </c>
      <c r="K333" s="100" t="s">
        <v>1947</v>
      </c>
      <c r="L333" s="59">
        <v>23000</v>
      </c>
      <c r="M333" s="59">
        <v>26000</v>
      </c>
      <c r="N333" s="59">
        <v>30000</v>
      </c>
      <c r="O333" t="s">
        <v>4578</v>
      </c>
      <c r="P333" t="s">
        <v>16803</v>
      </c>
      <c r="Q333" t="s">
        <v>16803</v>
      </c>
      <c r="R333" t="s">
        <v>16803</v>
      </c>
    </row>
    <row r="334" spans="1:18" x14ac:dyDescent="0.2">
      <c r="A334" t="s">
        <v>16878</v>
      </c>
      <c r="B334" s="79" t="s">
        <v>16820</v>
      </c>
      <c r="C334" s="79" t="s">
        <v>16821</v>
      </c>
      <c r="D334" s="79">
        <v>5</v>
      </c>
      <c r="E334" s="100">
        <v>3</v>
      </c>
      <c r="F334" s="79" t="s">
        <v>16872</v>
      </c>
      <c r="G334" s="100" t="s">
        <v>15742</v>
      </c>
      <c r="H334" s="100" t="str">
        <f t="shared" si="5"/>
        <v>CH 17-5-3 Story</v>
      </c>
      <c r="I334" s="100" t="s">
        <v>11452</v>
      </c>
      <c r="J334" s="108" t="s">
        <v>16879</v>
      </c>
      <c r="L334"/>
      <c r="M334"/>
      <c r="N334"/>
    </row>
    <row r="335" spans="1:18" x14ac:dyDescent="0.2">
      <c r="A335" t="s">
        <v>16880</v>
      </c>
      <c r="B335" s="79" t="s">
        <v>16820</v>
      </c>
      <c r="C335" s="79" t="s">
        <v>16821</v>
      </c>
      <c r="D335" s="79">
        <v>5</v>
      </c>
      <c r="E335" s="100">
        <v>4</v>
      </c>
      <c r="F335" s="79" t="s">
        <v>16872</v>
      </c>
      <c r="G335" s="100" t="s">
        <v>15742</v>
      </c>
      <c r="H335" s="100" t="str">
        <f t="shared" si="5"/>
        <v>CH 17-5-4 Story</v>
      </c>
      <c r="I335" s="100" t="s">
        <v>16881</v>
      </c>
      <c r="J335" s="108" t="s">
        <v>16882</v>
      </c>
      <c r="L335"/>
      <c r="M335"/>
      <c r="N335"/>
    </row>
    <row r="336" spans="1:18" x14ac:dyDescent="0.2">
      <c r="A336" t="s">
        <v>16883</v>
      </c>
      <c r="B336" s="79" t="s">
        <v>16820</v>
      </c>
      <c r="C336" s="79" t="s">
        <v>16821</v>
      </c>
      <c r="D336" s="79">
        <v>5</v>
      </c>
      <c r="E336" s="100">
        <v>5</v>
      </c>
      <c r="F336" s="79" t="s">
        <v>16872</v>
      </c>
      <c r="G336" s="100" t="s">
        <v>15742</v>
      </c>
      <c r="H336" s="100" t="str">
        <f t="shared" si="5"/>
        <v>CH 17-5-5 Story</v>
      </c>
      <c r="I336" s="100" t="s">
        <v>16884</v>
      </c>
      <c r="J336" s="108" t="s">
        <v>16885</v>
      </c>
      <c r="L336"/>
      <c r="M336"/>
      <c r="N336"/>
    </row>
    <row r="337" spans="1:18" x14ac:dyDescent="0.2">
      <c r="A337" t="s">
        <v>16886</v>
      </c>
      <c r="B337" s="79" t="s">
        <v>16820</v>
      </c>
      <c r="C337" s="79" t="s">
        <v>16821</v>
      </c>
      <c r="D337" s="79">
        <v>5</v>
      </c>
      <c r="E337" s="100">
        <v>6</v>
      </c>
      <c r="F337" s="79" t="s">
        <v>16872</v>
      </c>
      <c r="G337" s="100" t="s">
        <v>15742</v>
      </c>
      <c r="H337" s="100" t="str">
        <f t="shared" si="5"/>
        <v>CH 17-5-6 Story</v>
      </c>
      <c r="I337" s="100" t="s">
        <v>16887</v>
      </c>
      <c r="J337" s="108" t="s">
        <v>16888</v>
      </c>
      <c r="L337"/>
      <c r="M337"/>
      <c r="N337"/>
    </row>
    <row r="338" spans="1:18" x14ac:dyDescent="0.2">
      <c r="A338" t="s">
        <v>16889</v>
      </c>
      <c r="B338" s="79" t="s">
        <v>16890</v>
      </c>
      <c r="C338" s="79" t="s">
        <v>16891</v>
      </c>
      <c r="D338" s="79">
        <v>1</v>
      </c>
      <c r="E338" s="100">
        <v>1</v>
      </c>
      <c r="F338" s="79" t="s">
        <v>16892</v>
      </c>
      <c r="G338" s="100" t="s">
        <v>15742</v>
      </c>
      <c r="H338" s="100" t="str">
        <f t="shared" si="5"/>
        <v>CH 18-1-1 Story</v>
      </c>
      <c r="I338" s="100" t="s">
        <v>16893</v>
      </c>
      <c r="J338" s="108" t="s">
        <v>16894</v>
      </c>
      <c r="L338"/>
      <c r="M338"/>
      <c r="N338"/>
    </row>
    <row r="339" spans="1:18" x14ac:dyDescent="0.2">
      <c r="A339" t="s">
        <v>16895</v>
      </c>
      <c r="B339" s="79" t="s">
        <v>16890</v>
      </c>
      <c r="C339" s="79" t="s">
        <v>16891</v>
      </c>
      <c r="D339" s="79">
        <v>1</v>
      </c>
      <c r="E339" s="100">
        <v>2</v>
      </c>
      <c r="F339" s="79" t="s">
        <v>16892</v>
      </c>
      <c r="G339" s="100" t="s">
        <v>15770</v>
      </c>
      <c r="H339" s="100" t="str">
        <f t="shared" si="5"/>
        <v>CH 18-1-2 Gameplay</v>
      </c>
      <c r="I339" s="100" t="s">
        <v>16896</v>
      </c>
      <c r="J339" s="108" t="s">
        <v>16897</v>
      </c>
      <c r="K339" s="100" t="s">
        <v>1103</v>
      </c>
      <c r="L339" s="59">
        <v>16000</v>
      </c>
      <c r="M339" s="59">
        <v>19000</v>
      </c>
      <c r="N339" s="59">
        <v>22000</v>
      </c>
      <c r="P339" t="s">
        <v>15753</v>
      </c>
      <c r="Q339" t="s">
        <v>16141</v>
      </c>
      <c r="R339" t="s">
        <v>15754</v>
      </c>
    </row>
    <row r="340" spans="1:18" x14ac:dyDescent="0.2">
      <c r="A340" t="s">
        <v>16898</v>
      </c>
      <c r="B340" s="79" t="s">
        <v>16890</v>
      </c>
      <c r="C340" s="79" t="s">
        <v>16891</v>
      </c>
      <c r="D340" s="79">
        <v>2</v>
      </c>
      <c r="E340" s="100">
        <v>1</v>
      </c>
      <c r="F340" s="79" t="s">
        <v>16899</v>
      </c>
      <c r="G340" s="100" t="s">
        <v>15742</v>
      </c>
      <c r="H340" s="100" t="str">
        <f t="shared" si="5"/>
        <v>CH 18-2-1 Story</v>
      </c>
      <c r="I340" s="100" t="s">
        <v>16900</v>
      </c>
      <c r="J340" s="108" t="s">
        <v>16901</v>
      </c>
      <c r="L340"/>
      <c r="M340"/>
      <c r="N340"/>
    </row>
    <row r="341" spans="1:18" x14ac:dyDescent="0.2">
      <c r="A341" t="s">
        <v>16902</v>
      </c>
      <c r="B341" s="79" t="s">
        <v>16890</v>
      </c>
      <c r="C341" s="79" t="s">
        <v>16891</v>
      </c>
      <c r="D341" s="79">
        <v>2</v>
      </c>
      <c r="E341" s="100">
        <v>2</v>
      </c>
      <c r="F341" s="79" t="s">
        <v>16899</v>
      </c>
      <c r="G341" s="100" t="s">
        <v>15770</v>
      </c>
      <c r="H341" s="100" t="str">
        <f t="shared" si="5"/>
        <v>CH 18-2-2 Gameplay</v>
      </c>
      <c r="I341" s="100" t="s">
        <v>16903</v>
      </c>
      <c r="J341" s="108" t="s">
        <v>16904</v>
      </c>
      <c r="K341" s="100" t="s">
        <v>1103</v>
      </c>
      <c r="L341" s="59">
        <v>16050</v>
      </c>
      <c r="M341" s="59">
        <v>19050</v>
      </c>
      <c r="N341" s="59">
        <v>22000</v>
      </c>
      <c r="P341" t="s">
        <v>15753</v>
      </c>
      <c r="Q341" t="s">
        <v>16141</v>
      </c>
      <c r="R341" t="s">
        <v>15754</v>
      </c>
    </row>
    <row r="342" spans="1:18" x14ac:dyDescent="0.2">
      <c r="A342" t="s">
        <v>16905</v>
      </c>
      <c r="B342" s="79" t="s">
        <v>16890</v>
      </c>
      <c r="C342" s="79" t="s">
        <v>16891</v>
      </c>
      <c r="D342" s="79">
        <v>3</v>
      </c>
      <c r="E342" s="100">
        <v>1</v>
      </c>
      <c r="F342" s="79" t="s">
        <v>16906</v>
      </c>
      <c r="G342" s="100" t="s">
        <v>15742</v>
      </c>
      <c r="H342" s="100" t="str">
        <f t="shared" si="5"/>
        <v>CH 18-3-1 Story</v>
      </c>
      <c r="I342" s="100" t="s">
        <v>16907</v>
      </c>
      <c r="J342" s="108" t="s">
        <v>16908</v>
      </c>
      <c r="L342"/>
      <c r="M342"/>
      <c r="N342"/>
    </row>
    <row r="343" spans="1:18" x14ac:dyDescent="0.2">
      <c r="A343" t="s">
        <v>16909</v>
      </c>
      <c r="B343" s="79" t="s">
        <v>16890</v>
      </c>
      <c r="C343" s="79" t="s">
        <v>16891</v>
      </c>
      <c r="D343" s="79">
        <v>3</v>
      </c>
      <c r="E343" s="100">
        <v>2</v>
      </c>
      <c r="F343" s="79" t="s">
        <v>16906</v>
      </c>
      <c r="G343" s="100" t="s">
        <v>15770</v>
      </c>
      <c r="H343" s="100" t="str">
        <f t="shared" si="5"/>
        <v>CH 18-3-2 Gameplay</v>
      </c>
      <c r="I343" s="100" t="s">
        <v>16910</v>
      </c>
      <c r="J343" s="108" t="s">
        <v>16911</v>
      </c>
      <c r="K343" s="100" t="s">
        <v>2837</v>
      </c>
      <c r="L343" s="59">
        <v>23500</v>
      </c>
      <c r="M343" s="59">
        <v>26500</v>
      </c>
      <c r="N343" s="59">
        <v>30500</v>
      </c>
      <c r="O343" t="s">
        <v>4583</v>
      </c>
      <c r="P343" t="s">
        <v>16665</v>
      </c>
      <c r="Q343" t="s">
        <v>16665</v>
      </c>
      <c r="R343" t="s">
        <v>16665</v>
      </c>
    </row>
    <row r="344" spans="1:18" x14ac:dyDescent="0.2">
      <c r="A344" t="s">
        <v>16912</v>
      </c>
      <c r="B344" s="79" t="s">
        <v>16890</v>
      </c>
      <c r="C344" s="79" t="s">
        <v>16891</v>
      </c>
      <c r="D344" s="79">
        <v>3</v>
      </c>
      <c r="E344" s="100">
        <v>3</v>
      </c>
      <c r="F344" s="79" t="s">
        <v>16906</v>
      </c>
      <c r="G344" s="100" t="s">
        <v>15742</v>
      </c>
      <c r="H344" s="100" t="str">
        <f t="shared" si="5"/>
        <v>CH 18-3-3 Story</v>
      </c>
      <c r="I344" s="100" t="s">
        <v>8810</v>
      </c>
      <c r="J344" s="108" t="s">
        <v>16913</v>
      </c>
      <c r="L344"/>
      <c r="M344"/>
      <c r="N344"/>
    </row>
    <row r="345" spans="1:18" x14ac:dyDescent="0.2">
      <c r="A345" t="s">
        <v>16914</v>
      </c>
      <c r="B345" s="79" t="s">
        <v>16890</v>
      </c>
      <c r="C345" s="79" t="s">
        <v>16891</v>
      </c>
      <c r="D345" s="79">
        <v>3</v>
      </c>
      <c r="E345" s="100">
        <v>4</v>
      </c>
      <c r="F345" s="79" t="s">
        <v>16906</v>
      </c>
      <c r="G345" s="100" t="s">
        <v>15770</v>
      </c>
      <c r="H345" s="100" t="str">
        <f t="shared" si="5"/>
        <v>CH 18-3-4 Gameplay</v>
      </c>
      <c r="I345" s="100" t="s">
        <v>16915</v>
      </c>
      <c r="J345" s="108" t="s">
        <v>16916</v>
      </c>
      <c r="K345" s="100" t="s">
        <v>2837</v>
      </c>
      <c r="L345" s="59">
        <v>24000</v>
      </c>
      <c r="M345" s="59">
        <v>27000</v>
      </c>
      <c r="N345" s="59">
        <v>31000</v>
      </c>
      <c r="O345" t="s">
        <v>4583</v>
      </c>
      <c r="P345" t="s">
        <v>16803</v>
      </c>
      <c r="Q345" t="s">
        <v>16803</v>
      </c>
      <c r="R345" t="s">
        <v>16803</v>
      </c>
    </row>
    <row r="346" spans="1:18" x14ac:dyDescent="0.2">
      <c r="A346" t="s">
        <v>16917</v>
      </c>
      <c r="B346" s="79" t="s">
        <v>16890</v>
      </c>
      <c r="C346" s="79" t="s">
        <v>16891</v>
      </c>
      <c r="D346" s="79">
        <v>3</v>
      </c>
      <c r="E346" s="100">
        <v>5</v>
      </c>
      <c r="F346" s="79" t="s">
        <v>16906</v>
      </c>
      <c r="G346" s="100" t="s">
        <v>15742</v>
      </c>
      <c r="H346" s="100" t="str">
        <f t="shared" si="5"/>
        <v>CH 18-3-5 Story</v>
      </c>
      <c r="I346" s="100" t="s">
        <v>16918</v>
      </c>
      <c r="J346" s="108" t="s">
        <v>16919</v>
      </c>
      <c r="L346"/>
      <c r="M346"/>
      <c r="N346"/>
    </row>
    <row r="347" spans="1:18" x14ac:dyDescent="0.2">
      <c r="A347" t="s">
        <v>16920</v>
      </c>
      <c r="B347" s="79" t="s">
        <v>16890</v>
      </c>
      <c r="C347" s="79" t="s">
        <v>16891</v>
      </c>
      <c r="D347" s="79">
        <v>4</v>
      </c>
      <c r="E347" s="100">
        <v>1</v>
      </c>
      <c r="F347" s="79" t="s">
        <v>16921</v>
      </c>
      <c r="G347" s="100" t="s">
        <v>15770</v>
      </c>
      <c r="H347" s="100" t="str">
        <f t="shared" si="5"/>
        <v>CH 18-4-1 Gameplay</v>
      </c>
      <c r="I347" s="100" t="s">
        <v>16922</v>
      </c>
      <c r="J347" s="108" t="s">
        <v>16923</v>
      </c>
      <c r="K347" s="100" t="s">
        <v>1103</v>
      </c>
      <c r="L347" s="59">
        <v>16100</v>
      </c>
      <c r="M347" s="59">
        <v>19100</v>
      </c>
      <c r="N347" s="59">
        <v>22000</v>
      </c>
      <c r="P347" t="s">
        <v>15753</v>
      </c>
      <c r="Q347" t="s">
        <v>16141</v>
      </c>
      <c r="R347" t="s">
        <v>15754</v>
      </c>
    </row>
    <row r="348" spans="1:18" x14ac:dyDescent="0.2">
      <c r="A348" t="s">
        <v>16924</v>
      </c>
      <c r="B348" s="79" t="s">
        <v>16890</v>
      </c>
      <c r="C348" s="79" t="s">
        <v>16891</v>
      </c>
      <c r="D348" s="79">
        <v>4</v>
      </c>
      <c r="E348" s="100">
        <v>2</v>
      </c>
      <c r="F348" s="79" t="s">
        <v>16921</v>
      </c>
      <c r="G348" s="100" t="s">
        <v>15742</v>
      </c>
      <c r="H348" s="100" t="str">
        <f t="shared" si="5"/>
        <v>CH 18-4-2 Story</v>
      </c>
      <c r="I348" s="100" t="s">
        <v>16925</v>
      </c>
      <c r="J348" s="108" t="s">
        <v>16926</v>
      </c>
      <c r="L348"/>
      <c r="M348"/>
      <c r="N348"/>
    </row>
    <row r="349" spans="1:18" x14ac:dyDescent="0.2">
      <c r="A349" t="s">
        <v>16927</v>
      </c>
      <c r="B349" s="79" t="s">
        <v>16890</v>
      </c>
      <c r="C349" s="79" t="s">
        <v>16891</v>
      </c>
      <c r="D349" s="79">
        <v>4</v>
      </c>
      <c r="E349" s="100">
        <v>3</v>
      </c>
      <c r="F349" s="79" t="s">
        <v>16921</v>
      </c>
      <c r="G349" s="100" t="s">
        <v>15770</v>
      </c>
      <c r="H349" s="100" t="str">
        <f t="shared" si="5"/>
        <v>CH 18-4-3 Gameplay</v>
      </c>
      <c r="I349" s="100" t="s">
        <v>16928</v>
      </c>
      <c r="J349" s="108" t="s">
        <v>16929</v>
      </c>
      <c r="K349" s="100" t="s">
        <v>1103</v>
      </c>
      <c r="L349" s="59">
        <v>16150</v>
      </c>
      <c r="M349" s="59">
        <v>19150</v>
      </c>
      <c r="N349" s="59">
        <v>22000</v>
      </c>
      <c r="P349" t="s">
        <v>15753</v>
      </c>
      <c r="Q349" t="s">
        <v>16141</v>
      </c>
      <c r="R349" t="s">
        <v>15754</v>
      </c>
    </row>
    <row r="350" spans="1:18" x14ac:dyDescent="0.2">
      <c r="A350" t="s">
        <v>16930</v>
      </c>
      <c r="B350" s="79" t="s">
        <v>16890</v>
      </c>
      <c r="C350" s="79" t="s">
        <v>16891</v>
      </c>
      <c r="D350" s="79">
        <v>4</v>
      </c>
      <c r="E350" s="100">
        <v>4</v>
      </c>
      <c r="F350" s="79" t="s">
        <v>16921</v>
      </c>
      <c r="G350" s="100" t="s">
        <v>15742</v>
      </c>
      <c r="H350" s="100" t="str">
        <f t="shared" si="5"/>
        <v>CH 18-4-4 Story</v>
      </c>
      <c r="I350" s="100" t="s">
        <v>16931</v>
      </c>
      <c r="J350" s="108" t="s">
        <v>16932</v>
      </c>
      <c r="L350"/>
      <c r="M350"/>
      <c r="N350"/>
    </row>
    <row r="351" spans="1:18" x14ac:dyDescent="0.2">
      <c r="A351" t="s">
        <v>16933</v>
      </c>
      <c r="B351" s="79" t="s">
        <v>16890</v>
      </c>
      <c r="C351" s="79" t="s">
        <v>16891</v>
      </c>
      <c r="D351" s="79">
        <v>4</v>
      </c>
      <c r="E351" s="100">
        <v>5</v>
      </c>
      <c r="F351" s="79" t="s">
        <v>16921</v>
      </c>
      <c r="G351" s="100" t="s">
        <v>15770</v>
      </c>
      <c r="H351" s="100" t="str">
        <f t="shared" si="5"/>
        <v>CH 18-4-5 Gameplay</v>
      </c>
      <c r="I351" s="100" t="s">
        <v>16934</v>
      </c>
      <c r="J351" s="108" t="s">
        <v>16935</v>
      </c>
      <c r="K351" s="100" t="s">
        <v>1103</v>
      </c>
      <c r="L351" s="59">
        <v>24000</v>
      </c>
      <c r="M351" s="59">
        <v>27000</v>
      </c>
      <c r="N351" s="59">
        <v>31000</v>
      </c>
      <c r="P351" t="s">
        <v>15753</v>
      </c>
      <c r="Q351" t="s">
        <v>16141</v>
      </c>
      <c r="R351" t="s">
        <v>15754</v>
      </c>
    </row>
    <row r="352" spans="1:18" x14ac:dyDescent="0.2">
      <c r="A352" t="s">
        <v>16936</v>
      </c>
      <c r="B352" s="79" t="s">
        <v>16890</v>
      </c>
      <c r="C352" s="79" t="s">
        <v>16891</v>
      </c>
      <c r="D352" s="79">
        <v>4</v>
      </c>
      <c r="E352" s="100">
        <v>6</v>
      </c>
      <c r="F352" s="79" t="s">
        <v>16921</v>
      </c>
      <c r="G352" s="100" t="s">
        <v>15742</v>
      </c>
      <c r="H352" s="100" t="str">
        <f t="shared" si="5"/>
        <v>CH 18-4-6 Story</v>
      </c>
      <c r="I352" s="100" t="s">
        <v>16937</v>
      </c>
      <c r="J352" s="108" t="s">
        <v>16938</v>
      </c>
      <c r="L352"/>
      <c r="M352"/>
      <c r="N352"/>
    </row>
    <row r="353" spans="1:18" x14ac:dyDescent="0.2">
      <c r="A353" t="s">
        <v>16939</v>
      </c>
      <c r="B353" s="79" t="s">
        <v>16890</v>
      </c>
      <c r="C353" s="79" t="s">
        <v>16891</v>
      </c>
      <c r="D353" s="79">
        <v>5</v>
      </c>
      <c r="E353" s="100">
        <v>1</v>
      </c>
      <c r="F353" s="79" t="s">
        <v>16940</v>
      </c>
      <c r="G353" s="100" t="s">
        <v>15770</v>
      </c>
      <c r="H353" s="100" t="str">
        <f t="shared" si="5"/>
        <v>CH 18-5-1 Gameplay</v>
      </c>
      <c r="I353" s="100" t="s">
        <v>16941</v>
      </c>
      <c r="J353" s="108" t="s">
        <v>16942</v>
      </c>
      <c r="K353" s="100" t="s">
        <v>1103</v>
      </c>
      <c r="L353" s="59">
        <v>16200</v>
      </c>
      <c r="M353" s="59">
        <v>19200</v>
      </c>
      <c r="N353" s="59">
        <v>22000</v>
      </c>
      <c r="P353" t="s">
        <v>15753</v>
      </c>
      <c r="Q353" t="s">
        <v>16141</v>
      </c>
      <c r="R353" t="s">
        <v>15754</v>
      </c>
    </row>
    <row r="354" spans="1:18" x14ac:dyDescent="0.2">
      <c r="A354" t="s">
        <v>16943</v>
      </c>
      <c r="B354" s="79" t="s">
        <v>16890</v>
      </c>
      <c r="C354" s="79" t="s">
        <v>16891</v>
      </c>
      <c r="D354" s="79">
        <v>5</v>
      </c>
      <c r="E354" s="100">
        <v>2</v>
      </c>
      <c r="F354" s="79" t="s">
        <v>16940</v>
      </c>
      <c r="G354" s="100" t="s">
        <v>15742</v>
      </c>
      <c r="H354" s="100" t="str">
        <f t="shared" si="5"/>
        <v>CH 18-5-2 Story</v>
      </c>
      <c r="I354" s="100" t="s">
        <v>16944</v>
      </c>
      <c r="J354" s="108" t="s">
        <v>16945</v>
      </c>
      <c r="L354"/>
      <c r="M354"/>
      <c r="N354"/>
    </row>
    <row r="355" spans="1:18" x14ac:dyDescent="0.2">
      <c r="A355" t="s">
        <v>16946</v>
      </c>
      <c r="B355" s="79" t="s">
        <v>16890</v>
      </c>
      <c r="C355" s="79" t="s">
        <v>16891</v>
      </c>
      <c r="D355" s="79">
        <v>5</v>
      </c>
      <c r="E355" s="100">
        <v>3</v>
      </c>
      <c r="F355" s="79" t="s">
        <v>16940</v>
      </c>
      <c r="G355" s="100" t="s">
        <v>15742</v>
      </c>
      <c r="H355" s="100" t="str">
        <f t="shared" si="5"/>
        <v>CH 18-5-3 Story</v>
      </c>
      <c r="I355" s="100" t="s">
        <v>16947</v>
      </c>
      <c r="J355" s="108" t="s">
        <v>16948</v>
      </c>
      <c r="L355"/>
      <c r="M355"/>
      <c r="N355"/>
    </row>
    <row r="356" spans="1:18" x14ac:dyDescent="0.2">
      <c r="A356" t="s">
        <v>16949</v>
      </c>
      <c r="B356" s="79" t="s">
        <v>16950</v>
      </c>
      <c r="C356" s="79" t="s">
        <v>16951</v>
      </c>
      <c r="D356" s="79">
        <v>1</v>
      </c>
      <c r="E356" s="100">
        <v>1</v>
      </c>
      <c r="F356" s="79" t="s">
        <v>16952</v>
      </c>
      <c r="G356" s="100" t="s">
        <v>15742</v>
      </c>
      <c r="H356" s="100" t="str">
        <f t="shared" si="5"/>
        <v>CH 19-1-1 Story</v>
      </c>
      <c r="I356" s="100" t="s">
        <v>16953</v>
      </c>
      <c r="J356" s="108" t="s">
        <v>16954</v>
      </c>
      <c r="L356"/>
      <c r="M356"/>
      <c r="N356"/>
    </row>
    <row r="357" spans="1:18" x14ac:dyDescent="0.2">
      <c r="A357" t="s">
        <v>16955</v>
      </c>
      <c r="B357" s="79" t="s">
        <v>16950</v>
      </c>
      <c r="C357" s="79" t="s">
        <v>16951</v>
      </c>
      <c r="D357" s="79">
        <v>1</v>
      </c>
      <c r="E357" s="100">
        <v>2</v>
      </c>
      <c r="F357" s="79" t="s">
        <v>16952</v>
      </c>
      <c r="G357" s="100" t="s">
        <v>15742</v>
      </c>
      <c r="H357" s="100" t="str">
        <f t="shared" si="5"/>
        <v>CH 19-1-2 Story</v>
      </c>
      <c r="I357" s="100" t="s">
        <v>16956</v>
      </c>
      <c r="J357" s="108" t="s">
        <v>16957</v>
      </c>
      <c r="L357"/>
      <c r="M357"/>
      <c r="N357"/>
    </row>
    <row r="358" spans="1:18" x14ac:dyDescent="0.2">
      <c r="A358" t="s">
        <v>16958</v>
      </c>
      <c r="B358" s="79" t="s">
        <v>16950</v>
      </c>
      <c r="C358" s="79" t="s">
        <v>16951</v>
      </c>
      <c r="D358" s="79">
        <v>1</v>
      </c>
      <c r="E358" s="100">
        <v>3</v>
      </c>
      <c r="F358" s="79" t="s">
        <v>16952</v>
      </c>
      <c r="G358" s="100" t="s">
        <v>15770</v>
      </c>
      <c r="H358" s="100" t="str">
        <f t="shared" si="5"/>
        <v>CH 19-1-3 Gameplay</v>
      </c>
      <c r="I358" s="100" t="s">
        <v>16959</v>
      </c>
      <c r="J358" s="108" t="s">
        <v>16960</v>
      </c>
      <c r="K358" s="100" t="s">
        <v>3779</v>
      </c>
      <c r="L358" s="59">
        <v>17000</v>
      </c>
      <c r="M358" s="59">
        <v>20000</v>
      </c>
      <c r="N358" s="59">
        <v>22500</v>
      </c>
      <c r="P358" t="s">
        <v>15753</v>
      </c>
      <c r="Q358" t="s">
        <v>16141</v>
      </c>
      <c r="R358" t="s">
        <v>15754</v>
      </c>
    </row>
    <row r="359" spans="1:18" x14ac:dyDescent="0.2">
      <c r="A359" t="s">
        <v>16961</v>
      </c>
      <c r="B359" s="79" t="s">
        <v>16950</v>
      </c>
      <c r="C359" s="79" t="s">
        <v>16951</v>
      </c>
      <c r="D359" s="79">
        <v>2</v>
      </c>
      <c r="E359" s="100">
        <v>1</v>
      </c>
      <c r="F359" s="79" t="s">
        <v>16962</v>
      </c>
      <c r="G359" s="100" t="s">
        <v>15742</v>
      </c>
      <c r="H359" s="100" t="str">
        <f t="shared" si="5"/>
        <v>CH 19-2-1 Story</v>
      </c>
      <c r="I359" s="100" t="s">
        <v>16963</v>
      </c>
      <c r="J359" s="108" t="s">
        <v>16964</v>
      </c>
      <c r="L359"/>
      <c r="M359"/>
      <c r="N359"/>
    </row>
    <row r="360" spans="1:18" x14ac:dyDescent="0.2">
      <c r="A360" t="s">
        <v>16965</v>
      </c>
      <c r="B360" s="79" t="s">
        <v>16950</v>
      </c>
      <c r="C360" s="79" t="s">
        <v>16951</v>
      </c>
      <c r="D360" s="79">
        <v>2</v>
      </c>
      <c r="E360" s="100">
        <v>2</v>
      </c>
      <c r="F360" s="79" t="s">
        <v>16962</v>
      </c>
      <c r="G360" s="100" t="s">
        <v>15770</v>
      </c>
      <c r="H360" s="100" t="str">
        <f t="shared" si="5"/>
        <v>CH 19-2-2 Gameplay</v>
      </c>
      <c r="I360" s="100" t="s">
        <v>16966</v>
      </c>
      <c r="J360" s="108" t="s">
        <v>16967</v>
      </c>
      <c r="K360" s="100" t="s">
        <v>122</v>
      </c>
      <c r="L360" s="59">
        <v>23500</v>
      </c>
      <c r="M360" s="59">
        <v>26500</v>
      </c>
      <c r="N360" s="59">
        <v>30500</v>
      </c>
      <c r="O360" t="s">
        <v>944</v>
      </c>
      <c r="P360" t="s">
        <v>16665</v>
      </c>
      <c r="Q360" t="s">
        <v>16665</v>
      </c>
      <c r="R360" t="s">
        <v>16665</v>
      </c>
    </row>
    <row r="361" spans="1:18" x14ac:dyDescent="0.2">
      <c r="A361" t="s">
        <v>16968</v>
      </c>
      <c r="B361" s="79" t="s">
        <v>16950</v>
      </c>
      <c r="C361" s="79" t="s">
        <v>16951</v>
      </c>
      <c r="D361" s="79">
        <v>2</v>
      </c>
      <c r="E361" s="100">
        <v>3</v>
      </c>
      <c r="F361" s="79" t="s">
        <v>16962</v>
      </c>
      <c r="G361" s="100" t="s">
        <v>15742</v>
      </c>
      <c r="H361" s="100" t="str">
        <f t="shared" si="5"/>
        <v>CH 19-2-3 Story</v>
      </c>
      <c r="I361" s="100" t="s">
        <v>16969</v>
      </c>
      <c r="J361" s="108" t="s">
        <v>16970</v>
      </c>
      <c r="L361"/>
      <c r="M361"/>
      <c r="N361"/>
    </row>
    <row r="362" spans="1:18" x14ac:dyDescent="0.2">
      <c r="A362" t="s">
        <v>16971</v>
      </c>
      <c r="B362" s="79" t="s">
        <v>16950</v>
      </c>
      <c r="C362" s="79" t="s">
        <v>16951</v>
      </c>
      <c r="D362" s="79">
        <v>2</v>
      </c>
      <c r="E362" s="100">
        <v>4</v>
      </c>
      <c r="F362" s="79" t="s">
        <v>16962</v>
      </c>
      <c r="G362" s="100" t="s">
        <v>15770</v>
      </c>
      <c r="H362" s="100" t="str">
        <f t="shared" si="5"/>
        <v>CH 19-2-4 Gameplay</v>
      </c>
      <c r="I362" s="100" t="s">
        <v>16972</v>
      </c>
      <c r="J362" s="108" t="s">
        <v>16973</v>
      </c>
      <c r="K362" s="100" t="s">
        <v>122</v>
      </c>
      <c r="L362" s="59">
        <v>24000</v>
      </c>
      <c r="M362" s="59">
        <v>27000</v>
      </c>
      <c r="N362" s="59">
        <v>31000</v>
      </c>
      <c r="O362" t="s">
        <v>944</v>
      </c>
      <c r="P362" t="s">
        <v>16803</v>
      </c>
      <c r="Q362" t="s">
        <v>16803</v>
      </c>
      <c r="R362" t="s">
        <v>16803</v>
      </c>
    </row>
    <row r="363" spans="1:18" x14ac:dyDescent="0.2">
      <c r="A363" t="s">
        <v>16974</v>
      </c>
      <c r="B363" s="79" t="s">
        <v>16950</v>
      </c>
      <c r="C363" s="79" t="s">
        <v>16951</v>
      </c>
      <c r="D363" s="79">
        <v>2</v>
      </c>
      <c r="E363" s="100">
        <v>5</v>
      </c>
      <c r="F363" s="79" t="s">
        <v>16962</v>
      </c>
      <c r="G363" s="100" t="s">
        <v>15742</v>
      </c>
      <c r="H363" s="100" t="str">
        <f t="shared" si="5"/>
        <v>CH 19-2-5 Story</v>
      </c>
      <c r="I363" s="100" t="s">
        <v>16975</v>
      </c>
      <c r="J363" s="108" t="s">
        <v>16976</v>
      </c>
      <c r="L363"/>
      <c r="M363"/>
      <c r="N363"/>
    </row>
    <row r="364" spans="1:18" x14ac:dyDescent="0.2">
      <c r="A364" t="s">
        <v>16977</v>
      </c>
      <c r="B364" s="79" t="s">
        <v>16950</v>
      </c>
      <c r="C364" s="79" t="s">
        <v>16951</v>
      </c>
      <c r="D364" s="79">
        <v>3</v>
      </c>
      <c r="E364" s="100">
        <v>1</v>
      </c>
      <c r="F364" s="79" t="s">
        <v>16694</v>
      </c>
      <c r="G364" s="100" t="s">
        <v>15770</v>
      </c>
      <c r="H364" s="100" t="str">
        <f t="shared" si="5"/>
        <v>CH 19-3-1 Gameplay</v>
      </c>
      <c r="I364" s="100" t="s">
        <v>16978</v>
      </c>
      <c r="J364" s="108" t="s">
        <v>16979</v>
      </c>
      <c r="K364" s="100" t="s">
        <v>3779</v>
      </c>
      <c r="L364" s="59">
        <v>17050</v>
      </c>
      <c r="M364" s="59">
        <v>20050</v>
      </c>
      <c r="N364" s="59">
        <v>22500</v>
      </c>
      <c r="P364" t="s">
        <v>15753</v>
      </c>
      <c r="Q364" t="s">
        <v>16141</v>
      </c>
      <c r="R364" t="s">
        <v>15754</v>
      </c>
    </row>
    <row r="365" spans="1:18" x14ac:dyDescent="0.2">
      <c r="A365" t="s">
        <v>16980</v>
      </c>
      <c r="B365" s="79" t="s">
        <v>16950</v>
      </c>
      <c r="C365" s="79" t="s">
        <v>16951</v>
      </c>
      <c r="D365" s="79">
        <v>3</v>
      </c>
      <c r="E365" s="100">
        <v>2</v>
      </c>
      <c r="F365" s="79" t="s">
        <v>16694</v>
      </c>
      <c r="G365" s="100" t="s">
        <v>15770</v>
      </c>
      <c r="H365" s="100" t="str">
        <f t="shared" si="5"/>
        <v>CH 19-3-2 Gameplay</v>
      </c>
      <c r="I365" s="100" t="s">
        <v>16981</v>
      </c>
      <c r="J365" s="108" t="s">
        <v>16982</v>
      </c>
      <c r="K365" s="100" t="s">
        <v>3779</v>
      </c>
      <c r="L365" s="59">
        <v>17050</v>
      </c>
      <c r="M365" s="59">
        <v>20050</v>
      </c>
      <c r="N365" s="59">
        <v>22500</v>
      </c>
      <c r="P365" t="s">
        <v>15753</v>
      </c>
      <c r="Q365" t="s">
        <v>16141</v>
      </c>
      <c r="R365" t="s">
        <v>15754</v>
      </c>
    </row>
    <row r="366" spans="1:18" x14ac:dyDescent="0.2">
      <c r="A366" t="s">
        <v>16983</v>
      </c>
      <c r="B366" s="79" t="s">
        <v>16950</v>
      </c>
      <c r="C366" s="79" t="s">
        <v>16951</v>
      </c>
      <c r="D366" s="79">
        <v>3</v>
      </c>
      <c r="E366" s="100">
        <v>3</v>
      </c>
      <c r="F366" s="79" t="s">
        <v>16694</v>
      </c>
      <c r="G366" s="100" t="s">
        <v>15742</v>
      </c>
      <c r="H366" s="100" t="str">
        <f t="shared" si="5"/>
        <v>CH 19-3-3 Story</v>
      </c>
      <c r="I366" s="100" t="s">
        <v>16984</v>
      </c>
      <c r="J366" s="108" t="s">
        <v>16985</v>
      </c>
      <c r="L366"/>
      <c r="M366"/>
      <c r="N366"/>
    </row>
    <row r="367" spans="1:18" x14ac:dyDescent="0.2">
      <c r="A367" t="s">
        <v>16986</v>
      </c>
      <c r="B367" s="79" t="s">
        <v>16950</v>
      </c>
      <c r="C367" s="79" t="s">
        <v>16951</v>
      </c>
      <c r="D367" s="79">
        <v>3</v>
      </c>
      <c r="E367" s="100">
        <v>4</v>
      </c>
      <c r="F367" s="79" t="s">
        <v>16694</v>
      </c>
      <c r="G367" s="100" t="s">
        <v>15742</v>
      </c>
      <c r="H367" s="100" t="str">
        <f t="shared" si="5"/>
        <v>CH 19-3-4 Story</v>
      </c>
      <c r="I367" s="100" t="s">
        <v>16987</v>
      </c>
      <c r="J367" s="108" t="s">
        <v>16988</v>
      </c>
      <c r="L367"/>
      <c r="M367"/>
      <c r="N367"/>
    </row>
    <row r="368" spans="1:18" x14ac:dyDescent="0.2">
      <c r="A368" t="s">
        <v>16989</v>
      </c>
      <c r="B368" s="79" t="s">
        <v>16950</v>
      </c>
      <c r="C368" s="79" t="s">
        <v>16951</v>
      </c>
      <c r="D368" s="79">
        <v>3</v>
      </c>
      <c r="E368" s="100">
        <v>5</v>
      </c>
      <c r="F368" s="79" t="s">
        <v>16694</v>
      </c>
      <c r="G368" s="100" t="s">
        <v>15742</v>
      </c>
      <c r="H368" s="100" t="str">
        <f t="shared" si="5"/>
        <v>CH 19-3-5 Story</v>
      </c>
      <c r="I368" s="100" t="s">
        <v>16990</v>
      </c>
      <c r="J368" s="108" t="s">
        <v>16991</v>
      </c>
      <c r="L368"/>
      <c r="M368"/>
      <c r="N368"/>
    </row>
    <row r="369" spans="1:18" x14ac:dyDescent="0.2">
      <c r="A369" t="s">
        <v>16992</v>
      </c>
      <c r="B369" s="79" t="s">
        <v>16950</v>
      </c>
      <c r="C369" s="79" t="s">
        <v>16951</v>
      </c>
      <c r="D369" s="79">
        <v>4</v>
      </c>
      <c r="E369" s="100">
        <v>1</v>
      </c>
      <c r="F369" s="79" t="s">
        <v>16993</v>
      </c>
      <c r="G369" s="100" t="s">
        <v>15742</v>
      </c>
      <c r="H369" s="100" t="str">
        <f t="shared" si="5"/>
        <v>CH 19-4-1 Story</v>
      </c>
      <c r="I369" s="100" t="s">
        <v>16994</v>
      </c>
      <c r="J369" s="108" t="s">
        <v>16995</v>
      </c>
      <c r="L369"/>
      <c r="M369"/>
      <c r="N369"/>
    </row>
    <row r="370" spans="1:18" x14ac:dyDescent="0.2">
      <c r="A370" t="s">
        <v>16996</v>
      </c>
      <c r="B370" s="79" t="s">
        <v>16950</v>
      </c>
      <c r="C370" s="79" t="s">
        <v>16951</v>
      </c>
      <c r="D370" s="79">
        <v>4</v>
      </c>
      <c r="E370" s="100">
        <v>2</v>
      </c>
      <c r="F370" s="79" t="s">
        <v>16993</v>
      </c>
      <c r="G370" s="100" t="s">
        <v>15742</v>
      </c>
      <c r="H370" s="100" t="str">
        <f t="shared" si="5"/>
        <v>CH 19-4-2 Story</v>
      </c>
      <c r="I370" s="100" t="s">
        <v>16997</v>
      </c>
      <c r="J370" s="108" t="s">
        <v>16998</v>
      </c>
      <c r="L370"/>
      <c r="M370"/>
      <c r="N370"/>
    </row>
    <row r="371" spans="1:18" x14ac:dyDescent="0.2">
      <c r="A371" t="s">
        <v>16999</v>
      </c>
      <c r="B371" s="79" t="s">
        <v>16950</v>
      </c>
      <c r="C371" s="79" t="s">
        <v>16951</v>
      </c>
      <c r="D371" s="79">
        <v>4</v>
      </c>
      <c r="E371" s="100">
        <v>3</v>
      </c>
      <c r="F371" s="79" t="s">
        <v>16993</v>
      </c>
      <c r="G371" s="100" t="s">
        <v>15770</v>
      </c>
      <c r="H371" s="100" t="str">
        <f t="shared" si="5"/>
        <v>CH 19-4-3 Gameplay</v>
      </c>
      <c r="I371" s="100" t="s">
        <v>17000</v>
      </c>
      <c r="J371" s="108" t="s">
        <v>17001</v>
      </c>
      <c r="K371" s="100" t="s">
        <v>3779</v>
      </c>
      <c r="L371" s="59">
        <v>17100</v>
      </c>
      <c r="M371" s="59">
        <v>20100</v>
      </c>
      <c r="N371" s="59">
        <v>22500</v>
      </c>
      <c r="P371" t="s">
        <v>15753</v>
      </c>
      <c r="Q371" t="s">
        <v>16141</v>
      </c>
      <c r="R371" t="s">
        <v>15754</v>
      </c>
    </row>
    <row r="372" spans="1:18" x14ac:dyDescent="0.2">
      <c r="A372" t="s">
        <v>17002</v>
      </c>
      <c r="B372" s="79" t="s">
        <v>16950</v>
      </c>
      <c r="C372" s="79" t="s">
        <v>16951</v>
      </c>
      <c r="D372" s="79">
        <v>4</v>
      </c>
      <c r="E372" s="100">
        <v>4</v>
      </c>
      <c r="F372" s="79" t="s">
        <v>16993</v>
      </c>
      <c r="G372" s="100" t="s">
        <v>15770</v>
      </c>
      <c r="H372" s="100" t="str">
        <f t="shared" si="5"/>
        <v>CH 19-4-4 Gameplay</v>
      </c>
      <c r="I372" s="100" t="s">
        <v>17003</v>
      </c>
      <c r="J372" s="108" t="s">
        <v>17004</v>
      </c>
      <c r="K372" s="100" t="s">
        <v>3779</v>
      </c>
      <c r="L372" s="59">
        <v>17150</v>
      </c>
      <c r="M372" s="59">
        <v>20150</v>
      </c>
      <c r="N372" s="59">
        <v>22500</v>
      </c>
      <c r="P372" t="s">
        <v>15753</v>
      </c>
      <c r="Q372" t="s">
        <v>16141</v>
      </c>
      <c r="R372" t="s">
        <v>15754</v>
      </c>
    </row>
    <row r="373" spans="1:18" x14ac:dyDescent="0.2">
      <c r="A373" t="s">
        <v>17005</v>
      </c>
      <c r="B373" s="79" t="s">
        <v>16950</v>
      </c>
      <c r="C373" s="79" t="s">
        <v>16951</v>
      </c>
      <c r="D373" s="79">
        <v>4</v>
      </c>
      <c r="E373" s="100">
        <v>5</v>
      </c>
      <c r="F373" s="79" t="s">
        <v>16993</v>
      </c>
      <c r="G373" s="100" t="s">
        <v>15742</v>
      </c>
      <c r="H373" s="100" t="str">
        <f t="shared" si="5"/>
        <v>CH 19-4-5 Story</v>
      </c>
      <c r="I373" s="100" t="s">
        <v>17006</v>
      </c>
      <c r="J373" s="108" t="s">
        <v>17007</v>
      </c>
      <c r="L373"/>
      <c r="M373"/>
      <c r="N373"/>
    </row>
    <row r="374" spans="1:18" x14ac:dyDescent="0.2">
      <c r="A374" t="s">
        <v>17008</v>
      </c>
      <c r="B374" s="79" t="s">
        <v>16950</v>
      </c>
      <c r="C374" s="79" t="s">
        <v>16951</v>
      </c>
      <c r="D374" s="79">
        <v>5</v>
      </c>
      <c r="E374" s="100">
        <v>1</v>
      </c>
      <c r="F374" s="79" t="s">
        <v>17009</v>
      </c>
      <c r="G374" s="100" t="s">
        <v>15770</v>
      </c>
      <c r="H374" s="100" t="str">
        <f t="shared" si="5"/>
        <v>CH 19-5-1 Gameplay</v>
      </c>
      <c r="I374" s="100" t="s">
        <v>17010</v>
      </c>
      <c r="J374" s="108" t="s">
        <v>17011</v>
      </c>
      <c r="K374" s="100" t="s">
        <v>3779</v>
      </c>
      <c r="L374" s="59">
        <v>17200</v>
      </c>
      <c r="M374" s="59">
        <v>20200</v>
      </c>
      <c r="N374" s="59">
        <v>22500</v>
      </c>
      <c r="P374" t="s">
        <v>15753</v>
      </c>
      <c r="Q374" t="s">
        <v>16141</v>
      </c>
      <c r="R374" t="s">
        <v>15754</v>
      </c>
    </row>
    <row r="375" spans="1:18" x14ac:dyDescent="0.2">
      <c r="A375" t="s">
        <v>17012</v>
      </c>
      <c r="B375" s="79" t="s">
        <v>16950</v>
      </c>
      <c r="C375" s="79" t="s">
        <v>16951</v>
      </c>
      <c r="D375" s="79">
        <v>5</v>
      </c>
      <c r="E375" s="100">
        <v>2</v>
      </c>
      <c r="F375" s="79" t="s">
        <v>17009</v>
      </c>
      <c r="G375" s="100" t="s">
        <v>15742</v>
      </c>
      <c r="H375" s="100" t="str">
        <f t="shared" si="5"/>
        <v>CH 19-5-2 Story</v>
      </c>
      <c r="I375" s="100" t="s">
        <v>17013</v>
      </c>
      <c r="J375" s="108" t="s">
        <v>17014</v>
      </c>
      <c r="L375"/>
      <c r="M375"/>
      <c r="N375"/>
    </row>
    <row r="376" spans="1:18" x14ac:dyDescent="0.2">
      <c r="A376" t="s">
        <v>17015</v>
      </c>
      <c r="B376" s="79" t="s">
        <v>16950</v>
      </c>
      <c r="C376" s="79" t="s">
        <v>16951</v>
      </c>
      <c r="D376" s="79">
        <v>5</v>
      </c>
      <c r="E376" s="100">
        <v>3</v>
      </c>
      <c r="F376" s="79" t="s">
        <v>17009</v>
      </c>
      <c r="G376" s="100" t="s">
        <v>15770</v>
      </c>
      <c r="H376" s="100" t="str">
        <f t="shared" si="5"/>
        <v>CH 19-5-3 Gameplay</v>
      </c>
      <c r="I376" s="100" t="s">
        <v>17016</v>
      </c>
      <c r="J376" s="108" t="s">
        <v>17017</v>
      </c>
      <c r="K376" s="100" t="s">
        <v>3779</v>
      </c>
      <c r="L376" s="59">
        <v>24000</v>
      </c>
      <c r="M376" s="59">
        <v>27000</v>
      </c>
      <c r="N376" s="59">
        <v>31000</v>
      </c>
      <c r="O376" t="s">
        <v>4593</v>
      </c>
      <c r="P376" t="s">
        <v>16665</v>
      </c>
      <c r="Q376" t="s">
        <v>16665</v>
      </c>
      <c r="R376" t="s">
        <v>16665</v>
      </c>
    </row>
    <row r="377" spans="1:18" x14ac:dyDescent="0.2">
      <c r="A377" t="s">
        <v>17018</v>
      </c>
      <c r="B377" s="79" t="s">
        <v>16950</v>
      </c>
      <c r="C377" s="79" t="s">
        <v>16951</v>
      </c>
      <c r="D377" s="79">
        <v>5</v>
      </c>
      <c r="E377" s="100">
        <v>4</v>
      </c>
      <c r="F377" s="79" t="s">
        <v>17009</v>
      </c>
      <c r="G377" s="100" t="s">
        <v>15742</v>
      </c>
      <c r="H377" s="100" t="str">
        <f t="shared" si="5"/>
        <v>CH 19-5-4 Story</v>
      </c>
      <c r="I377" s="100" t="s">
        <v>17019</v>
      </c>
      <c r="J377" s="108" t="s">
        <v>17020</v>
      </c>
      <c r="L377"/>
      <c r="M377"/>
      <c r="N377"/>
    </row>
    <row r="378" spans="1:18" x14ac:dyDescent="0.2">
      <c r="A378" t="s">
        <v>17021</v>
      </c>
      <c r="B378" s="79" t="s">
        <v>17022</v>
      </c>
      <c r="C378" s="79" t="s">
        <v>17023</v>
      </c>
      <c r="D378" s="79">
        <v>1</v>
      </c>
      <c r="E378" s="100">
        <v>1</v>
      </c>
      <c r="F378" s="79" t="s">
        <v>17024</v>
      </c>
      <c r="G378" s="100" t="s">
        <v>15742</v>
      </c>
      <c r="H378" s="100" t="str">
        <f t="shared" si="5"/>
        <v>CH 20-1-1 Story</v>
      </c>
      <c r="I378" s="100" t="s">
        <v>17025</v>
      </c>
      <c r="J378" s="108" t="s">
        <v>17026</v>
      </c>
      <c r="L378"/>
      <c r="M378"/>
      <c r="N378"/>
    </row>
    <row r="379" spans="1:18" x14ac:dyDescent="0.2">
      <c r="A379" t="s">
        <v>17027</v>
      </c>
      <c r="B379" s="79" t="s">
        <v>17022</v>
      </c>
      <c r="C379" s="79" t="s">
        <v>17023</v>
      </c>
      <c r="D379" s="79">
        <v>1</v>
      </c>
      <c r="E379" s="100">
        <v>2</v>
      </c>
      <c r="F379" s="79" t="s">
        <v>17024</v>
      </c>
      <c r="G379" s="100" t="s">
        <v>15770</v>
      </c>
      <c r="H379" s="100" t="str">
        <f t="shared" si="5"/>
        <v>CH 20-1-2 Gameplay</v>
      </c>
      <c r="I379" s="100" t="s">
        <v>17028</v>
      </c>
      <c r="J379" s="108" t="s">
        <v>17029</v>
      </c>
      <c r="K379" s="100" t="s">
        <v>122</v>
      </c>
      <c r="L379" s="59">
        <v>18000</v>
      </c>
      <c r="M379" s="59">
        <v>21000</v>
      </c>
      <c r="N379" s="59">
        <v>22500</v>
      </c>
      <c r="P379" t="s">
        <v>15753</v>
      </c>
      <c r="Q379" t="s">
        <v>16141</v>
      </c>
      <c r="R379" t="s">
        <v>15754</v>
      </c>
    </row>
    <row r="380" spans="1:18" x14ac:dyDescent="0.2">
      <c r="A380" t="s">
        <v>17030</v>
      </c>
      <c r="B380" s="79" t="s">
        <v>17022</v>
      </c>
      <c r="C380" s="79" t="s">
        <v>17023</v>
      </c>
      <c r="D380" s="79">
        <v>1</v>
      </c>
      <c r="E380" s="100">
        <v>3</v>
      </c>
      <c r="F380" s="79" t="s">
        <v>17024</v>
      </c>
      <c r="G380" s="100" t="s">
        <v>15770</v>
      </c>
      <c r="H380" s="100" t="str">
        <f t="shared" si="5"/>
        <v>CH 20-1-3 Gameplay</v>
      </c>
      <c r="I380" s="100" t="s">
        <v>17031</v>
      </c>
      <c r="J380" s="108" t="s">
        <v>17032</v>
      </c>
      <c r="K380" s="100" t="s">
        <v>122</v>
      </c>
      <c r="L380" s="59">
        <v>18050</v>
      </c>
      <c r="M380" s="59">
        <v>21050</v>
      </c>
      <c r="N380" s="59">
        <v>22500</v>
      </c>
      <c r="P380" t="s">
        <v>15753</v>
      </c>
      <c r="Q380" t="s">
        <v>16141</v>
      </c>
      <c r="R380" t="s">
        <v>15754</v>
      </c>
    </row>
    <row r="381" spans="1:18" x14ac:dyDescent="0.2">
      <c r="A381" t="s">
        <v>17033</v>
      </c>
      <c r="B381" s="79" t="s">
        <v>17022</v>
      </c>
      <c r="C381" s="79" t="s">
        <v>17023</v>
      </c>
      <c r="D381" s="79">
        <v>2</v>
      </c>
      <c r="E381" s="100">
        <v>1</v>
      </c>
      <c r="F381" s="79" t="s">
        <v>17034</v>
      </c>
      <c r="G381" s="100" t="s">
        <v>15742</v>
      </c>
      <c r="H381" s="100" t="str">
        <f t="shared" si="5"/>
        <v>CH 20-2-1 Story</v>
      </c>
      <c r="I381" s="100" t="s">
        <v>17035</v>
      </c>
      <c r="J381" s="108" t="s">
        <v>17036</v>
      </c>
      <c r="L381"/>
      <c r="M381"/>
      <c r="N381"/>
    </row>
    <row r="382" spans="1:18" x14ac:dyDescent="0.2">
      <c r="A382" t="s">
        <v>17037</v>
      </c>
      <c r="B382" s="79" t="s">
        <v>17022</v>
      </c>
      <c r="C382" s="79" t="s">
        <v>17023</v>
      </c>
      <c r="D382" s="79">
        <v>2</v>
      </c>
      <c r="E382" s="100">
        <v>2</v>
      </c>
      <c r="F382" s="79" t="s">
        <v>17034</v>
      </c>
      <c r="G382" s="100" t="s">
        <v>15770</v>
      </c>
      <c r="H382" s="100" t="str">
        <f t="shared" si="5"/>
        <v>CH 20-2-2 Gameplay</v>
      </c>
      <c r="I382" s="100" t="s">
        <v>17038</v>
      </c>
      <c r="J382" s="108" t="s">
        <v>17039</v>
      </c>
      <c r="K382" s="100" t="s">
        <v>122</v>
      </c>
      <c r="L382" s="59">
        <v>18100</v>
      </c>
      <c r="M382" s="59">
        <v>21100</v>
      </c>
      <c r="N382" s="59">
        <v>22500</v>
      </c>
      <c r="P382" t="s">
        <v>15753</v>
      </c>
      <c r="Q382" t="s">
        <v>16141</v>
      </c>
      <c r="R382" t="s">
        <v>15754</v>
      </c>
    </row>
    <row r="383" spans="1:18" x14ac:dyDescent="0.2">
      <c r="A383" t="s">
        <v>17040</v>
      </c>
      <c r="B383" s="79" t="s">
        <v>17022</v>
      </c>
      <c r="C383" s="79" t="s">
        <v>17023</v>
      </c>
      <c r="D383" s="79">
        <v>2</v>
      </c>
      <c r="E383" s="100">
        <v>3</v>
      </c>
      <c r="F383" s="79" t="s">
        <v>17034</v>
      </c>
      <c r="G383" s="100" t="s">
        <v>15770</v>
      </c>
      <c r="H383" s="100" t="str">
        <f t="shared" si="5"/>
        <v>CH 20-2-3 Gameplay</v>
      </c>
      <c r="I383" s="100" t="s">
        <v>17041</v>
      </c>
      <c r="J383" s="108" t="s">
        <v>17042</v>
      </c>
      <c r="K383" s="100" t="s">
        <v>122</v>
      </c>
      <c r="L383" s="59">
        <v>18150</v>
      </c>
      <c r="M383" s="59">
        <v>21150</v>
      </c>
      <c r="N383" s="59">
        <v>22500</v>
      </c>
      <c r="P383" t="s">
        <v>15753</v>
      </c>
      <c r="Q383" t="s">
        <v>16141</v>
      </c>
      <c r="R383" t="s">
        <v>15754</v>
      </c>
    </row>
    <row r="384" spans="1:18" x14ac:dyDescent="0.2">
      <c r="A384" t="s">
        <v>17043</v>
      </c>
      <c r="B384" s="79" t="s">
        <v>17022</v>
      </c>
      <c r="C384" s="79" t="s">
        <v>17023</v>
      </c>
      <c r="D384" s="79">
        <v>3</v>
      </c>
      <c r="E384" s="100">
        <v>1</v>
      </c>
      <c r="F384" s="79" t="s">
        <v>17044</v>
      </c>
      <c r="G384" s="100" t="s">
        <v>15742</v>
      </c>
      <c r="H384" s="100" t="str">
        <f t="shared" si="5"/>
        <v>CH 20-3-1 Story</v>
      </c>
      <c r="I384" s="100" t="s">
        <v>17045</v>
      </c>
      <c r="J384" s="108" t="s">
        <v>17046</v>
      </c>
      <c r="L384"/>
      <c r="M384"/>
      <c r="N384"/>
    </row>
    <row r="385" spans="1:18" x14ac:dyDescent="0.2">
      <c r="A385" t="s">
        <v>17047</v>
      </c>
      <c r="B385" s="79" t="s">
        <v>17022</v>
      </c>
      <c r="C385" s="79" t="s">
        <v>17023</v>
      </c>
      <c r="D385" s="79">
        <v>3</v>
      </c>
      <c r="E385" s="100">
        <v>2</v>
      </c>
      <c r="F385" s="79" t="s">
        <v>17044</v>
      </c>
      <c r="G385" s="100" t="s">
        <v>15742</v>
      </c>
      <c r="H385" s="100" t="str">
        <f t="shared" si="5"/>
        <v>CH 20-3-2 Story</v>
      </c>
      <c r="I385" s="100" t="s">
        <v>17048</v>
      </c>
      <c r="J385" s="108" t="s">
        <v>17049</v>
      </c>
      <c r="L385"/>
      <c r="M385"/>
      <c r="N385"/>
    </row>
    <row r="386" spans="1:18" x14ac:dyDescent="0.2">
      <c r="A386" t="s">
        <v>17050</v>
      </c>
      <c r="B386" s="79" t="s">
        <v>17022</v>
      </c>
      <c r="C386" s="79" t="s">
        <v>17023</v>
      </c>
      <c r="D386" s="79">
        <v>3</v>
      </c>
      <c r="E386" s="100">
        <v>3</v>
      </c>
      <c r="F386" s="79" t="s">
        <v>17044</v>
      </c>
      <c r="G386" s="100" t="s">
        <v>15770</v>
      </c>
      <c r="H386" s="100" t="str">
        <f t="shared" ref="H386:H449" si="6">+"CH "&amp;C386&amp;"-"&amp;D386&amp;"-"&amp;E386&amp;" "&amp;G386</f>
        <v>CH 20-3-3 Gameplay</v>
      </c>
      <c r="I386" s="100" t="s">
        <v>17051</v>
      </c>
      <c r="J386" s="108" t="s">
        <v>17052</v>
      </c>
      <c r="K386" s="100" t="s">
        <v>122</v>
      </c>
      <c r="L386" s="59">
        <v>18200</v>
      </c>
      <c r="M386" s="59">
        <v>21200</v>
      </c>
      <c r="N386" s="59">
        <v>22500</v>
      </c>
      <c r="P386" t="s">
        <v>15753</v>
      </c>
      <c r="Q386" t="s">
        <v>16141</v>
      </c>
      <c r="R386" t="s">
        <v>15754</v>
      </c>
    </row>
    <row r="387" spans="1:18" x14ac:dyDescent="0.2">
      <c r="A387" t="s">
        <v>17053</v>
      </c>
      <c r="B387" s="79" t="s">
        <v>17022</v>
      </c>
      <c r="C387" s="79" t="s">
        <v>17023</v>
      </c>
      <c r="D387" s="79">
        <v>4</v>
      </c>
      <c r="E387" s="100">
        <v>1</v>
      </c>
      <c r="F387" s="79" t="s">
        <v>17054</v>
      </c>
      <c r="G387" s="100" t="s">
        <v>15742</v>
      </c>
      <c r="H387" s="100" t="str">
        <f t="shared" si="6"/>
        <v>CH 20-4-1 Story</v>
      </c>
      <c r="I387" s="100" t="s">
        <v>17055</v>
      </c>
      <c r="J387" s="108" t="s">
        <v>17056</v>
      </c>
      <c r="L387"/>
      <c r="M387"/>
      <c r="N387"/>
    </row>
    <row r="388" spans="1:18" x14ac:dyDescent="0.2">
      <c r="A388" t="s">
        <v>17057</v>
      </c>
      <c r="B388" s="79" t="s">
        <v>17022</v>
      </c>
      <c r="C388" s="79" t="s">
        <v>17023</v>
      </c>
      <c r="D388" s="79">
        <v>4</v>
      </c>
      <c r="E388" s="100">
        <v>2</v>
      </c>
      <c r="F388" s="79" t="s">
        <v>17054</v>
      </c>
      <c r="G388" s="100" t="s">
        <v>15770</v>
      </c>
      <c r="H388" s="100" t="str">
        <f t="shared" si="6"/>
        <v>CH 20-4-2 Gameplay</v>
      </c>
      <c r="I388" s="100" t="s">
        <v>17058</v>
      </c>
      <c r="J388" s="108" t="s">
        <v>17059</v>
      </c>
      <c r="K388" s="100" t="s">
        <v>3779</v>
      </c>
      <c r="L388" s="59">
        <v>24500</v>
      </c>
      <c r="M388" s="59">
        <v>27500</v>
      </c>
      <c r="N388" s="59">
        <v>31500</v>
      </c>
      <c r="O388" t="s">
        <v>4593</v>
      </c>
      <c r="P388" t="s">
        <v>16803</v>
      </c>
      <c r="Q388" t="s">
        <v>16803</v>
      </c>
      <c r="R388" t="s">
        <v>16803</v>
      </c>
    </row>
    <row r="389" spans="1:18" x14ac:dyDescent="0.2">
      <c r="A389" t="s">
        <v>17060</v>
      </c>
      <c r="B389" s="79" t="s">
        <v>17022</v>
      </c>
      <c r="C389" s="79" t="s">
        <v>17023</v>
      </c>
      <c r="D389" s="79">
        <v>4</v>
      </c>
      <c r="E389" s="100">
        <v>3</v>
      </c>
      <c r="F389" s="79" t="s">
        <v>17054</v>
      </c>
      <c r="G389" s="100" t="s">
        <v>15742</v>
      </c>
      <c r="H389" s="100" t="str">
        <f t="shared" si="6"/>
        <v>CH 20-4-3 Story</v>
      </c>
      <c r="I389" s="100" t="s">
        <v>17061</v>
      </c>
      <c r="J389" s="108" t="s">
        <v>17062</v>
      </c>
      <c r="L389"/>
      <c r="M389"/>
      <c r="N389"/>
    </row>
    <row r="390" spans="1:18" x14ac:dyDescent="0.2">
      <c r="A390" t="s">
        <v>17063</v>
      </c>
      <c r="B390" s="79" t="s">
        <v>17022</v>
      </c>
      <c r="C390" s="79" t="s">
        <v>17023</v>
      </c>
      <c r="D390" s="79">
        <v>4</v>
      </c>
      <c r="E390" s="100">
        <v>4</v>
      </c>
      <c r="F390" s="79" t="s">
        <v>17054</v>
      </c>
      <c r="G390" s="100" t="s">
        <v>15742</v>
      </c>
      <c r="H390" s="100" t="str">
        <f t="shared" si="6"/>
        <v>CH 20-4-4 Story</v>
      </c>
      <c r="I390" s="100" t="s">
        <v>17064</v>
      </c>
      <c r="J390" s="108" t="s">
        <v>17065</v>
      </c>
      <c r="L390"/>
      <c r="M390"/>
      <c r="N390"/>
    </row>
    <row r="391" spans="1:18" x14ac:dyDescent="0.2">
      <c r="A391" t="s">
        <v>17066</v>
      </c>
      <c r="B391" s="79" t="s">
        <v>17022</v>
      </c>
      <c r="C391" s="79" t="s">
        <v>17023</v>
      </c>
      <c r="D391" s="79">
        <v>5</v>
      </c>
      <c r="E391" s="100">
        <v>1</v>
      </c>
      <c r="F391" s="79" t="s">
        <v>17067</v>
      </c>
      <c r="G391" s="100" t="s">
        <v>15742</v>
      </c>
      <c r="H391" s="100" t="str">
        <f t="shared" si="6"/>
        <v>CH 20-5-1 Story</v>
      </c>
      <c r="I391" s="100" t="s">
        <v>17068</v>
      </c>
      <c r="J391" s="108" t="s">
        <v>17069</v>
      </c>
      <c r="L391"/>
      <c r="M391"/>
      <c r="N391"/>
    </row>
    <row r="392" spans="1:18" x14ac:dyDescent="0.2">
      <c r="A392" t="s">
        <v>17070</v>
      </c>
      <c r="B392" s="79" t="s">
        <v>17022</v>
      </c>
      <c r="C392" s="79" t="s">
        <v>17023</v>
      </c>
      <c r="D392" s="79">
        <v>5</v>
      </c>
      <c r="E392" s="100">
        <v>2</v>
      </c>
      <c r="F392" s="79" t="s">
        <v>17067</v>
      </c>
      <c r="G392" s="100" t="s">
        <v>15770</v>
      </c>
      <c r="H392" s="100" t="str">
        <f t="shared" si="6"/>
        <v>CH 20-5-2 Gameplay</v>
      </c>
      <c r="I392" s="100" t="s">
        <v>17071</v>
      </c>
      <c r="J392" s="108" t="s">
        <v>17072</v>
      </c>
      <c r="K392" s="100" t="s">
        <v>122</v>
      </c>
      <c r="L392" s="59">
        <v>18250</v>
      </c>
      <c r="M392" s="59">
        <v>21250</v>
      </c>
      <c r="N392" s="59">
        <v>22500</v>
      </c>
      <c r="P392" t="s">
        <v>15753</v>
      </c>
      <c r="Q392" t="s">
        <v>16141</v>
      </c>
      <c r="R392" t="s">
        <v>15754</v>
      </c>
    </row>
    <row r="393" spans="1:18" x14ac:dyDescent="0.2">
      <c r="A393" t="s">
        <v>17073</v>
      </c>
      <c r="B393" s="79" t="s">
        <v>17022</v>
      </c>
      <c r="C393" s="79" t="s">
        <v>17023</v>
      </c>
      <c r="D393" s="79">
        <v>5</v>
      </c>
      <c r="E393" s="100">
        <v>3</v>
      </c>
      <c r="F393" s="79" t="s">
        <v>17067</v>
      </c>
      <c r="G393" s="100" t="s">
        <v>15770</v>
      </c>
      <c r="H393" s="100" t="str">
        <f t="shared" si="6"/>
        <v>CH 20-5-3 Gameplay</v>
      </c>
      <c r="I393" s="100" t="s">
        <v>17074</v>
      </c>
      <c r="J393" s="108" t="s">
        <v>17075</v>
      </c>
      <c r="K393" s="100" t="s">
        <v>122</v>
      </c>
      <c r="L393" s="59">
        <v>18300</v>
      </c>
      <c r="M393" s="59">
        <v>21300</v>
      </c>
      <c r="N393" s="59">
        <v>22500</v>
      </c>
      <c r="P393" t="s">
        <v>15753</v>
      </c>
      <c r="Q393" t="s">
        <v>16141</v>
      </c>
      <c r="R393" t="s">
        <v>15754</v>
      </c>
    </row>
    <row r="394" spans="1:18" x14ac:dyDescent="0.2">
      <c r="A394" t="s">
        <v>17076</v>
      </c>
      <c r="B394" s="79" t="s">
        <v>17022</v>
      </c>
      <c r="C394" s="79" t="s">
        <v>17023</v>
      </c>
      <c r="D394" s="79">
        <v>6</v>
      </c>
      <c r="E394" s="100">
        <v>1</v>
      </c>
      <c r="F394" s="79" t="s">
        <v>17077</v>
      </c>
      <c r="G394" s="100" t="s">
        <v>15742</v>
      </c>
      <c r="H394" s="100" t="str">
        <f t="shared" si="6"/>
        <v>CH 20-6-1 Story</v>
      </c>
      <c r="I394" s="100" t="s">
        <v>17078</v>
      </c>
      <c r="J394" s="108" t="s">
        <v>17079</v>
      </c>
      <c r="L394"/>
      <c r="M394"/>
      <c r="N394"/>
    </row>
    <row r="395" spans="1:18" x14ac:dyDescent="0.2">
      <c r="A395" t="s">
        <v>17080</v>
      </c>
      <c r="B395" s="79" t="s">
        <v>17022</v>
      </c>
      <c r="C395" s="79" t="s">
        <v>17023</v>
      </c>
      <c r="D395" s="79">
        <v>6</v>
      </c>
      <c r="E395" s="100">
        <v>2</v>
      </c>
      <c r="F395" s="79" t="s">
        <v>17077</v>
      </c>
      <c r="G395" s="100" t="s">
        <v>15770</v>
      </c>
      <c r="H395" s="100" t="str">
        <f t="shared" si="6"/>
        <v>CH 20-6-2 Gameplay</v>
      </c>
      <c r="I395" s="100" t="s">
        <v>17081</v>
      </c>
      <c r="J395" s="108" t="s">
        <v>17082</v>
      </c>
      <c r="K395" s="100" t="s">
        <v>122</v>
      </c>
      <c r="L395" s="59">
        <v>18350</v>
      </c>
      <c r="M395" s="59">
        <v>21350</v>
      </c>
      <c r="N395" s="59">
        <v>22500</v>
      </c>
      <c r="P395" t="s">
        <v>15753</v>
      </c>
      <c r="Q395" t="s">
        <v>16141</v>
      </c>
      <c r="R395" t="s">
        <v>15754</v>
      </c>
    </row>
    <row r="396" spans="1:18" x14ac:dyDescent="0.2">
      <c r="A396" t="s">
        <v>17083</v>
      </c>
      <c r="B396" s="79" t="s">
        <v>17022</v>
      </c>
      <c r="C396" s="79" t="s">
        <v>17023</v>
      </c>
      <c r="D396" s="79">
        <v>7</v>
      </c>
      <c r="E396" s="100">
        <v>1</v>
      </c>
      <c r="F396" s="79" t="s">
        <v>17084</v>
      </c>
      <c r="G396" s="100" t="s">
        <v>15742</v>
      </c>
      <c r="H396" s="100" t="str">
        <f t="shared" si="6"/>
        <v>CH 20-7-1 Story</v>
      </c>
      <c r="I396" s="100" t="s">
        <v>17085</v>
      </c>
      <c r="J396" s="108" t="s">
        <v>17086</v>
      </c>
      <c r="L396"/>
      <c r="M396"/>
      <c r="N396"/>
    </row>
    <row r="397" spans="1:18" x14ac:dyDescent="0.2">
      <c r="A397" t="s">
        <v>17087</v>
      </c>
      <c r="B397" s="79" t="s">
        <v>17022</v>
      </c>
      <c r="C397" s="79" t="s">
        <v>17023</v>
      </c>
      <c r="D397" s="79">
        <v>7</v>
      </c>
      <c r="E397" s="100">
        <v>2</v>
      </c>
      <c r="F397" s="79" t="s">
        <v>17084</v>
      </c>
      <c r="G397" s="100" t="s">
        <v>15770</v>
      </c>
      <c r="H397" s="100" t="str">
        <f t="shared" si="6"/>
        <v>CH 20-7-2 Gameplay</v>
      </c>
      <c r="I397" s="100" t="s">
        <v>17088</v>
      </c>
      <c r="J397" s="108" t="s">
        <v>17089</v>
      </c>
      <c r="K397" s="100" t="s">
        <v>10772</v>
      </c>
      <c r="L397" s="59">
        <v>24500</v>
      </c>
      <c r="M397" s="59">
        <v>27500</v>
      </c>
      <c r="N397" s="59">
        <v>31500</v>
      </c>
      <c r="O397" t="s">
        <v>17090</v>
      </c>
      <c r="P397" t="s">
        <v>16665</v>
      </c>
      <c r="Q397" t="s">
        <v>16803</v>
      </c>
      <c r="R397" t="s">
        <v>17091</v>
      </c>
    </row>
    <row r="398" spans="1:18" x14ac:dyDescent="0.2">
      <c r="A398" t="s">
        <v>17092</v>
      </c>
      <c r="B398" s="79" t="s">
        <v>17022</v>
      </c>
      <c r="C398" s="79" t="s">
        <v>17023</v>
      </c>
      <c r="D398" s="79">
        <v>7</v>
      </c>
      <c r="E398" s="100">
        <v>3</v>
      </c>
      <c r="F398" s="79" t="s">
        <v>17084</v>
      </c>
      <c r="G398" s="100" t="s">
        <v>15742</v>
      </c>
      <c r="H398" s="100" t="str">
        <f t="shared" si="6"/>
        <v>CH 20-7-3 Story</v>
      </c>
      <c r="I398" s="100" t="s">
        <v>17093</v>
      </c>
      <c r="J398" s="108" t="s">
        <v>17094</v>
      </c>
      <c r="L398"/>
      <c r="M398"/>
      <c r="N398"/>
    </row>
    <row r="399" spans="1:18" x14ac:dyDescent="0.2">
      <c r="A399" t="s">
        <v>17095</v>
      </c>
      <c r="B399" s="79" t="s">
        <v>17022</v>
      </c>
      <c r="C399" s="79" t="s">
        <v>17023</v>
      </c>
      <c r="D399" s="79">
        <v>7</v>
      </c>
      <c r="E399" s="100">
        <v>4</v>
      </c>
      <c r="F399" s="79" t="s">
        <v>17084</v>
      </c>
      <c r="G399" s="100" t="s">
        <v>15742</v>
      </c>
      <c r="H399" s="100" t="str">
        <f t="shared" si="6"/>
        <v>CH 20-7-4 Story</v>
      </c>
      <c r="I399" s="100" t="s">
        <v>17096</v>
      </c>
      <c r="J399" s="108" t="s">
        <v>17097</v>
      </c>
      <c r="L399"/>
      <c r="M399"/>
      <c r="N399"/>
    </row>
    <row r="400" spans="1:18" x14ac:dyDescent="0.2">
      <c r="A400" t="s">
        <v>17098</v>
      </c>
      <c r="B400" s="79" t="s">
        <v>17022</v>
      </c>
      <c r="C400" s="79" t="s">
        <v>17023</v>
      </c>
      <c r="D400" s="79">
        <v>7</v>
      </c>
      <c r="E400" s="100">
        <v>5</v>
      </c>
      <c r="F400" s="79" t="s">
        <v>17084</v>
      </c>
      <c r="G400" s="100" t="s">
        <v>15742</v>
      </c>
      <c r="H400" s="100" t="str">
        <f t="shared" si="6"/>
        <v>CH 20-7-5 Story</v>
      </c>
      <c r="I400" s="100" t="s">
        <v>17099</v>
      </c>
      <c r="J400" s="108" t="s">
        <v>17100</v>
      </c>
      <c r="L400"/>
      <c r="M400"/>
      <c r="N400"/>
    </row>
    <row r="401" spans="1:18" x14ac:dyDescent="0.2">
      <c r="A401" t="s">
        <v>17101</v>
      </c>
      <c r="B401" s="79" t="s">
        <v>17102</v>
      </c>
      <c r="C401" s="79" t="s">
        <v>17103</v>
      </c>
      <c r="D401" s="79">
        <v>1</v>
      </c>
      <c r="E401" s="100">
        <v>1</v>
      </c>
      <c r="F401" s="79" t="s">
        <v>17104</v>
      </c>
      <c r="G401" s="100" t="s">
        <v>15742</v>
      </c>
      <c r="H401" s="100" t="str">
        <f t="shared" si="6"/>
        <v>CH 21-1-1 Story</v>
      </c>
      <c r="I401" s="100" t="s">
        <v>17105</v>
      </c>
      <c r="J401" s="108" t="s">
        <v>17106</v>
      </c>
      <c r="L401"/>
      <c r="M401"/>
      <c r="N401"/>
    </row>
    <row r="402" spans="1:18" x14ac:dyDescent="0.2">
      <c r="A402" t="s">
        <v>17107</v>
      </c>
      <c r="B402" s="79" t="s">
        <v>17102</v>
      </c>
      <c r="C402" s="79" t="s">
        <v>17103</v>
      </c>
      <c r="D402" s="79">
        <v>1</v>
      </c>
      <c r="E402" s="100">
        <v>2</v>
      </c>
      <c r="F402" s="79" t="s">
        <v>17104</v>
      </c>
      <c r="G402" s="100" t="s">
        <v>15770</v>
      </c>
      <c r="H402" s="100" t="str">
        <f t="shared" si="6"/>
        <v>CH 21-1-2 Gameplay</v>
      </c>
      <c r="I402" s="100" t="s">
        <v>17108</v>
      </c>
      <c r="J402" s="108" t="s">
        <v>17109</v>
      </c>
      <c r="K402" s="100" t="s">
        <v>2837</v>
      </c>
      <c r="L402" s="59">
        <v>18500</v>
      </c>
      <c r="M402" s="59">
        <v>21500</v>
      </c>
      <c r="N402" s="59">
        <v>23500</v>
      </c>
      <c r="P402" t="s">
        <v>15753</v>
      </c>
      <c r="Q402" t="s">
        <v>16141</v>
      </c>
      <c r="R402" t="s">
        <v>15754</v>
      </c>
    </row>
    <row r="403" spans="1:18" x14ac:dyDescent="0.2">
      <c r="A403" t="s">
        <v>17110</v>
      </c>
      <c r="B403" s="79" t="s">
        <v>17102</v>
      </c>
      <c r="C403" s="79" t="s">
        <v>17103</v>
      </c>
      <c r="D403" s="79">
        <v>1</v>
      </c>
      <c r="E403" s="100">
        <v>3</v>
      </c>
      <c r="F403" s="79" t="s">
        <v>17104</v>
      </c>
      <c r="G403" s="100" t="s">
        <v>15770</v>
      </c>
      <c r="H403" s="100" t="str">
        <f t="shared" si="6"/>
        <v>CH 21-1-3 Gameplay</v>
      </c>
      <c r="I403" s="100" t="s">
        <v>17111</v>
      </c>
      <c r="J403" s="108" t="s">
        <v>17112</v>
      </c>
      <c r="K403" s="100" t="s">
        <v>2837</v>
      </c>
      <c r="L403" s="59">
        <v>18550</v>
      </c>
      <c r="M403" s="59">
        <v>21550</v>
      </c>
      <c r="N403" s="59">
        <v>23500</v>
      </c>
      <c r="P403" t="s">
        <v>15753</v>
      </c>
      <c r="Q403" t="s">
        <v>16141</v>
      </c>
      <c r="R403" t="s">
        <v>15754</v>
      </c>
    </row>
    <row r="404" spans="1:18" x14ac:dyDescent="0.2">
      <c r="A404" t="s">
        <v>17113</v>
      </c>
      <c r="B404" s="79" t="s">
        <v>17102</v>
      </c>
      <c r="C404" s="79" t="s">
        <v>17103</v>
      </c>
      <c r="D404" s="79">
        <v>2</v>
      </c>
      <c r="E404" s="100">
        <v>1</v>
      </c>
      <c r="F404" s="79" t="s">
        <v>17114</v>
      </c>
      <c r="G404" s="100" t="s">
        <v>15742</v>
      </c>
      <c r="H404" s="100" t="str">
        <f t="shared" si="6"/>
        <v>CH 21-2-1 Story</v>
      </c>
      <c r="I404" s="100" t="s">
        <v>17115</v>
      </c>
      <c r="J404" s="108" t="s">
        <v>17116</v>
      </c>
      <c r="L404"/>
      <c r="M404"/>
      <c r="N404"/>
    </row>
    <row r="405" spans="1:18" x14ac:dyDescent="0.2">
      <c r="A405" t="s">
        <v>17117</v>
      </c>
      <c r="B405" s="79" t="s">
        <v>17102</v>
      </c>
      <c r="C405" s="79" t="s">
        <v>17103</v>
      </c>
      <c r="D405" s="79">
        <v>2</v>
      </c>
      <c r="E405" s="100">
        <v>2</v>
      </c>
      <c r="F405" s="79" t="s">
        <v>17114</v>
      </c>
      <c r="G405" s="100" t="s">
        <v>15770</v>
      </c>
      <c r="H405" s="100" t="str">
        <f t="shared" si="6"/>
        <v>CH 21-2-2 Gameplay</v>
      </c>
      <c r="I405" s="100" t="s">
        <v>17118</v>
      </c>
      <c r="J405" s="108" t="s">
        <v>17119</v>
      </c>
      <c r="K405" s="100" t="s">
        <v>122</v>
      </c>
      <c r="L405" s="59">
        <v>19000</v>
      </c>
      <c r="M405" s="59">
        <v>22000</v>
      </c>
      <c r="N405" s="59">
        <v>24000</v>
      </c>
      <c r="P405" t="s">
        <v>15753</v>
      </c>
      <c r="Q405" t="s">
        <v>16141</v>
      </c>
      <c r="R405" t="s">
        <v>15754</v>
      </c>
    </row>
    <row r="406" spans="1:18" x14ac:dyDescent="0.2">
      <c r="A406" t="s">
        <v>17120</v>
      </c>
      <c r="B406" s="79" t="s">
        <v>17102</v>
      </c>
      <c r="C406" s="79" t="s">
        <v>17103</v>
      </c>
      <c r="D406" s="79">
        <v>2</v>
      </c>
      <c r="E406" s="100">
        <v>3</v>
      </c>
      <c r="F406" s="79" t="s">
        <v>17114</v>
      </c>
      <c r="G406" s="100" t="s">
        <v>15742</v>
      </c>
      <c r="H406" s="100" t="str">
        <f t="shared" si="6"/>
        <v>CH 21-2-3 Story</v>
      </c>
      <c r="I406" s="100" t="s">
        <v>17102</v>
      </c>
      <c r="J406" s="108" t="s">
        <v>17121</v>
      </c>
      <c r="L406"/>
      <c r="M406"/>
      <c r="N406"/>
    </row>
    <row r="407" spans="1:18" x14ac:dyDescent="0.2">
      <c r="A407" t="s">
        <v>17122</v>
      </c>
      <c r="B407" s="79" t="s">
        <v>17102</v>
      </c>
      <c r="C407" s="79" t="s">
        <v>17103</v>
      </c>
      <c r="D407" s="79">
        <v>2</v>
      </c>
      <c r="E407" s="100">
        <v>4</v>
      </c>
      <c r="F407" s="79" t="s">
        <v>17114</v>
      </c>
      <c r="G407" s="100" t="s">
        <v>15770</v>
      </c>
      <c r="H407" s="100" t="str">
        <f t="shared" si="6"/>
        <v>CH 21-2-4 Gameplay</v>
      </c>
      <c r="I407" s="100" t="s">
        <v>17123</v>
      </c>
      <c r="J407" s="108" t="s">
        <v>17124</v>
      </c>
      <c r="K407" s="100" t="s">
        <v>2837</v>
      </c>
      <c r="L407" s="59">
        <v>18600</v>
      </c>
      <c r="M407" s="59">
        <v>21600</v>
      </c>
      <c r="N407" s="59">
        <v>23500</v>
      </c>
      <c r="P407" t="s">
        <v>15753</v>
      </c>
      <c r="Q407" t="s">
        <v>16141</v>
      </c>
      <c r="R407" t="s">
        <v>15754</v>
      </c>
    </row>
    <row r="408" spans="1:18" x14ac:dyDescent="0.2">
      <c r="A408" t="s">
        <v>17125</v>
      </c>
      <c r="B408" s="79" t="s">
        <v>17102</v>
      </c>
      <c r="C408" s="79" t="s">
        <v>17103</v>
      </c>
      <c r="D408" s="79">
        <v>2</v>
      </c>
      <c r="E408" s="100">
        <v>5</v>
      </c>
      <c r="F408" s="79" t="s">
        <v>17114</v>
      </c>
      <c r="G408" s="100" t="s">
        <v>15770</v>
      </c>
      <c r="H408" s="100" t="str">
        <f t="shared" si="6"/>
        <v>CH 21-2-5 Gameplay</v>
      </c>
      <c r="I408" s="100" t="s">
        <v>17126</v>
      </c>
      <c r="J408" s="108" t="s">
        <v>17127</v>
      </c>
      <c r="K408" s="100" t="s">
        <v>1947</v>
      </c>
      <c r="L408" s="59">
        <v>19000</v>
      </c>
      <c r="M408" s="59">
        <v>22000</v>
      </c>
      <c r="N408" s="59">
        <v>24000</v>
      </c>
      <c r="P408" t="s">
        <v>15753</v>
      </c>
      <c r="Q408" t="s">
        <v>16141</v>
      </c>
      <c r="R408" t="s">
        <v>15754</v>
      </c>
    </row>
    <row r="409" spans="1:18" x14ac:dyDescent="0.2">
      <c r="A409" t="s">
        <v>17128</v>
      </c>
      <c r="B409" s="79" t="s">
        <v>17102</v>
      </c>
      <c r="C409" s="79" t="s">
        <v>17103</v>
      </c>
      <c r="D409" s="79">
        <v>3</v>
      </c>
      <c r="E409" s="100">
        <v>1</v>
      </c>
      <c r="F409" s="79" t="s">
        <v>17129</v>
      </c>
      <c r="G409" s="100" t="s">
        <v>15742</v>
      </c>
      <c r="H409" s="100" t="str">
        <f t="shared" si="6"/>
        <v>CH 21-3-1 Story</v>
      </c>
      <c r="I409" s="100" t="s">
        <v>17130</v>
      </c>
      <c r="J409" s="108" t="s">
        <v>17131</v>
      </c>
      <c r="L409"/>
      <c r="M409"/>
      <c r="N409"/>
    </row>
    <row r="410" spans="1:18" x14ac:dyDescent="0.2">
      <c r="A410" t="s">
        <v>17132</v>
      </c>
      <c r="B410" s="79" t="s">
        <v>17102</v>
      </c>
      <c r="C410" s="79" t="s">
        <v>17103</v>
      </c>
      <c r="D410" s="79">
        <v>3</v>
      </c>
      <c r="E410" s="100">
        <v>2</v>
      </c>
      <c r="F410" s="79" t="s">
        <v>17129</v>
      </c>
      <c r="G410" s="100" t="s">
        <v>15770</v>
      </c>
      <c r="H410" s="100" t="str">
        <f t="shared" si="6"/>
        <v>CH 21-3-2 Gameplay</v>
      </c>
      <c r="I410" s="100" t="s">
        <v>17133</v>
      </c>
      <c r="J410" s="108" t="s">
        <v>17134</v>
      </c>
      <c r="K410" s="100" t="s">
        <v>10772</v>
      </c>
      <c r="L410" s="59">
        <v>25000</v>
      </c>
      <c r="M410" s="59">
        <v>28000</v>
      </c>
      <c r="N410" s="59">
        <v>32000</v>
      </c>
      <c r="O410" t="s">
        <v>17135</v>
      </c>
      <c r="P410" t="s">
        <v>17136</v>
      </c>
      <c r="Q410" t="s">
        <v>17137</v>
      </c>
      <c r="R410" t="s">
        <v>17138</v>
      </c>
    </row>
    <row r="411" spans="1:18" x14ac:dyDescent="0.2">
      <c r="A411" t="s">
        <v>17139</v>
      </c>
      <c r="B411" s="79" t="s">
        <v>17102</v>
      </c>
      <c r="C411" s="79" t="s">
        <v>17103</v>
      </c>
      <c r="D411" s="79">
        <v>3</v>
      </c>
      <c r="E411" s="100">
        <v>3</v>
      </c>
      <c r="F411" s="79" t="s">
        <v>17129</v>
      </c>
      <c r="G411" s="100" t="s">
        <v>15742</v>
      </c>
      <c r="H411" s="100" t="str">
        <f t="shared" si="6"/>
        <v>CH 21-3-3 Story</v>
      </c>
      <c r="I411" s="100" t="s">
        <v>17140</v>
      </c>
      <c r="J411" s="108" t="s">
        <v>17141</v>
      </c>
      <c r="L411"/>
      <c r="M411"/>
      <c r="N411"/>
    </row>
    <row r="412" spans="1:18" x14ac:dyDescent="0.2">
      <c r="A412" t="s">
        <v>17142</v>
      </c>
      <c r="B412" s="79" t="s">
        <v>17102</v>
      </c>
      <c r="C412" s="79" t="s">
        <v>17103</v>
      </c>
      <c r="D412" s="79">
        <v>3</v>
      </c>
      <c r="E412" s="100">
        <v>4</v>
      </c>
      <c r="F412" s="79" t="s">
        <v>17129</v>
      </c>
      <c r="G412" s="100" t="s">
        <v>15742</v>
      </c>
      <c r="H412" s="100" t="str">
        <f t="shared" si="6"/>
        <v>CH 21-3-4 Story</v>
      </c>
      <c r="I412" s="100" t="s">
        <v>17143</v>
      </c>
      <c r="J412" s="108" t="s">
        <v>17144</v>
      </c>
      <c r="L412"/>
      <c r="M412"/>
      <c r="N412"/>
    </row>
    <row r="413" spans="1:18" x14ac:dyDescent="0.2">
      <c r="A413" t="s">
        <v>17145</v>
      </c>
      <c r="B413" s="79" t="s">
        <v>17102</v>
      </c>
      <c r="C413" s="79" t="s">
        <v>17103</v>
      </c>
      <c r="D413" s="79">
        <v>3</v>
      </c>
      <c r="E413" s="100">
        <v>5</v>
      </c>
      <c r="F413" s="79" t="s">
        <v>17129</v>
      </c>
      <c r="G413" s="100" t="s">
        <v>15770</v>
      </c>
      <c r="H413" s="100" t="str">
        <f t="shared" si="6"/>
        <v>CH 21-3-5 Gameplay</v>
      </c>
      <c r="I413" s="100" t="s">
        <v>17146</v>
      </c>
      <c r="J413" s="108" t="s">
        <v>17147</v>
      </c>
      <c r="K413" s="100" t="s">
        <v>2837</v>
      </c>
      <c r="L413" s="59">
        <v>18650</v>
      </c>
      <c r="M413" s="59">
        <v>21650</v>
      </c>
      <c r="N413" s="59">
        <v>23500</v>
      </c>
      <c r="P413" t="s">
        <v>15753</v>
      </c>
      <c r="Q413" t="s">
        <v>16141</v>
      </c>
      <c r="R413" t="s">
        <v>15754</v>
      </c>
    </row>
    <row r="414" spans="1:18" x14ac:dyDescent="0.2">
      <c r="A414" t="s">
        <v>17148</v>
      </c>
      <c r="B414" s="79" t="s">
        <v>17102</v>
      </c>
      <c r="C414" s="79" t="s">
        <v>17103</v>
      </c>
      <c r="D414" s="79">
        <v>4</v>
      </c>
      <c r="E414" s="100">
        <v>1</v>
      </c>
      <c r="F414" s="79" t="s">
        <v>17149</v>
      </c>
      <c r="G414" s="100" t="s">
        <v>15742</v>
      </c>
      <c r="H414" s="100" t="str">
        <f t="shared" si="6"/>
        <v>CH 21-4-1 Story</v>
      </c>
      <c r="I414" s="100" t="s">
        <v>17150</v>
      </c>
      <c r="J414" s="108" t="s">
        <v>17151</v>
      </c>
      <c r="L414"/>
      <c r="M414"/>
      <c r="N414"/>
    </row>
    <row r="415" spans="1:18" x14ac:dyDescent="0.2">
      <c r="A415" t="s">
        <v>17152</v>
      </c>
      <c r="B415" s="79" t="s">
        <v>17102</v>
      </c>
      <c r="C415" s="79" t="s">
        <v>17103</v>
      </c>
      <c r="D415" s="79">
        <v>4</v>
      </c>
      <c r="E415" s="100">
        <v>2</v>
      </c>
      <c r="F415" s="79" t="s">
        <v>17149</v>
      </c>
      <c r="G415" s="100" t="s">
        <v>15770</v>
      </c>
      <c r="H415" s="100" t="str">
        <f t="shared" si="6"/>
        <v>CH 21-4-2 Gameplay</v>
      </c>
      <c r="I415" s="100" t="s">
        <v>17153</v>
      </c>
      <c r="J415" s="108" t="s">
        <v>17154</v>
      </c>
      <c r="K415" s="100" t="s">
        <v>2837</v>
      </c>
      <c r="L415" s="59">
        <v>18700</v>
      </c>
      <c r="M415" s="59">
        <v>21700</v>
      </c>
      <c r="N415" s="59">
        <v>23500</v>
      </c>
      <c r="P415" t="s">
        <v>15753</v>
      </c>
      <c r="Q415" t="s">
        <v>16141</v>
      </c>
      <c r="R415" t="s">
        <v>15754</v>
      </c>
    </row>
    <row r="416" spans="1:18" x14ac:dyDescent="0.2">
      <c r="A416" t="s">
        <v>17155</v>
      </c>
      <c r="B416" s="79" t="s">
        <v>17102</v>
      </c>
      <c r="C416" s="79" t="s">
        <v>17103</v>
      </c>
      <c r="D416" s="79">
        <v>5</v>
      </c>
      <c r="E416" s="100">
        <v>1</v>
      </c>
      <c r="F416" s="79" t="s">
        <v>17156</v>
      </c>
      <c r="G416" s="100" t="s">
        <v>15742</v>
      </c>
      <c r="H416" s="100" t="str">
        <f t="shared" si="6"/>
        <v>CH 21-5-1 Story</v>
      </c>
      <c r="I416" s="100" t="s">
        <v>17157</v>
      </c>
      <c r="J416" s="108" t="s">
        <v>17158</v>
      </c>
      <c r="L416"/>
      <c r="M416"/>
      <c r="N416"/>
    </row>
    <row r="417" spans="1:19" x14ac:dyDescent="0.2">
      <c r="A417" t="s">
        <v>17159</v>
      </c>
      <c r="B417" s="79" t="s">
        <v>17102</v>
      </c>
      <c r="C417" s="79" t="s">
        <v>17103</v>
      </c>
      <c r="D417" s="79">
        <v>5</v>
      </c>
      <c r="E417" s="100">
        <v>2</v>
      </c>
      <c r="F417" s="79" t="s">
        <v>17156</v>
      </c>
      <c r="G417" s="100" t="s">
        <v>15770</v>
      </c>
      <c r="H417" s="100" t="str">
        <f t="shared" si="6"/>
        <v>CH 21-5-2 Gameplay</v>
      </c>
      <c r="I417" s="100" t="s">
        <v>17160</v>
      </c>
      <c r="J417" s="108" t="s">
        <v>17161</v>
      </c>
      <c r="K417" s="100" t="s">
        <v>10772</v>
      </c>
      <c r="L417" s="59">
        <v>25000</v>
      </c>
      <c r="M417" s="59">
        <v>28000</v>
      </c>
      <c r="N417" s="59">
        <v>32000</v>
      </c>
      <c r="O417" t="s">
        <v>17135</v>
      </c>
      <c r="P417" t="s">
        <v>17136</v>
      </c>
      <c r="Q417" t="s">
        <v>17137</v>
      </c>
      <c r="R417" t="s">
        <v>17138</v>
      </c>
    </row>
    <row r="418" spans="1:19" x14ac:dyDescent="0.2">
      <c r="A418" t="s">
        <v>17162</v>
      </c>
      <c r="B418" s="79" t="s">
        <v>17102</v>
      </c>
      <c r="C418" s="79" t="s">
        <v>17103</v>
      </c>
      <c r="D418" s="79">
        <v>5</v>
      </c>
      <c r="E418" s="100">
        <v>3</v>
      </c>
      <c r="F418" s="79" t="s">
        <v>17156</v>
      </c>
      <c r="G418" s="100" t="s">
        <v>15742</v>
      </c>
      <c r="H418" s="100" t="str">
        <f t="shared" si="6"/>
        <v>CH 21-5-3 Story</v>
      </c>
      <c r="I418" s="100" t="s">
        <v>17163</v>
      </c>
      <c r="J418" s="108" t="s">
        <v>17164</v>
      </c>
      <c r="L418"/>
      <c r="M418"/>
      <c r="N418"/>
    </row>
    <row r="419" spans="1:19" x14ac:dyDescent="0.2">
      <c r="A419" t="s">
        <v>17165</v>
      </c>
      <c r="B419" s="79" t="s">
        <v>17102</v>
      </c>
      <c r="C419" s="79" t="s">
        <v>17103</v>
      </c>
      <c r="D419" s="79">
        <v>6</v>
      </c>
      <c r="E419" s="100">
        <v>1</v>
      </c>
      <c r="F419" s="79" t="s">
        <v>17166</v>
      </c>
      <c r="G419" s="100" t="s">
        <v>15770</v>
      </c>
      <c r="H419" s="100" t="str">
        <f t="shared" si="6"/>
        <v>CH 21-6-1 Gameplay</v>
      </c>
      <c r="I419" s="100" t="s">
        <v>17167</v>
      </c>
      <c r="J419" s="108" t="s">
        <v>17168</v>
      </c>
      <c r="K419" s="100" t="s">
        <v>2837</v>
      </c>
      <c r="L419" s="59">
        <v>18750</v>
      </c>
      <c r="M419" s="59">
        <v>21750</v>
      </c>
      <c r="N419" s="59">
        <v>23500</v>
      </c>
      <c r="P419" t="s">
        <v>15753</v>
      </c>
      <c r="Q419" t="s">
        <v>16141</v>
      </c>
      <c r="R419" t="s">
        <v>15754</v>
      </c>
    </row>
    <row r="420" spans="1:19" x14ac:dyDescent="0.2">
      <c r="A420" t="s">
        <v>17169</v>
      </c>
      <c r="B420" s="79" t="s">
        <v>17102</v>
      </c>
      <c r="C420" s="79" t="s">
        <v>17103</v>
      </c>
      <c r="D420" s="79">
        <v>6</v>
      </c>
      <c r="E420" s="100">
        <v>2</v>
      </c>
      <c r="F420" s="79" t="s">
        <v>17166</v>
      </c>
      <c r="G420" s="100" t="s">
        <v>15770</v>
      </c>
      <c r="H420" s="100" t="str">
        <f t="shared" si="6"/>
        <v>CH 21-6-2 Gameplay</v>
      </c>
      <c r="I420" s="100" t="s">
        <v>17170</v>
      </c>
      <c r="J420" s="108" t="s">
        <v>17171</v>
      </c>
      <c r="K420" s="100" t="s">
        <v>2837</v>
      </c>
      <c r="L420" s="59">
        <v>19000</v>
      </c>
      <c r="M420" s="59">
        <v>22000</v>
      </c>
      <c r="N420" s="59">
        <v>32000</v>
      </c>
      <c r="P420" t="s">
        <v>15753</v>
      </c>
      <c r="Q420" t="s">
        <v>16141</v>
      </c>
      <c r="R420" t="s">
        <v>15754</v>
      </c>
    </row>
    <row r="421" spans="1:19" x14ac:dyDescent="0.2">
      <c r="A421" t="s">
        <v>17172</v>
      </c>
      <c r="B421" s="79" t="s">
        <v>17102</v>
      </c>
      <c r="C421" s="79" t="s">
        <v>17103</v>
      </c>
      <c r="D421" s="79">
        <v>6</v>
      </c>
      <c r="E421" s="100">
        <v>3</v>
      </c>
      <c r="F421" s="79" t="s">
        <v>17166</v>
      </c>
      <c r="G421" s="100" t="s">
        <v>15742</v>
      </c>
      <c r="H421" s="100" t="str">
        <f t="shared" si="6"/>
        <v>CH 21-6-3 Story</v>
      </c>
      <c r="I421" s="100" t="s">
        <v>17173</v>
      </c>
      <c r="J421" s="108" t="s">
        <v>17174</v>
      </c>
      <c r="L421"/>
      <c r="M421"/>
      <c r="N421"/>
    </row>
    <row r="422" spans="1:19" x14ac:dyDescent="0.2">
      <c r="A422" t="s">
        <v>17175</v>
      </c>
      <c r="B422" s="79" t="s">
        <v>17176</v>
      </c>
      <c r="C422" s="79" t="s">
        <v>17177</v>
      </c>
      <c r="D422" s="79">
        <v>1</v>
      </c>
      <c r="E422" s="100">
        <v>1</v>
      </c>
      <c r="F422" s="79" t="s">
        <v>17166</v>
      </c>
      <c r="G422" s="100" t="s">
        <v>15742</v>
      </c>
      <c r="H422" s="100" t="str">
        <f t="shared" si="6"/>
        <v>CH 22-1-1 Story</v>
      </c>
      <c r="I422" s="100" t="s">
        <v>17178</v>
      </c>
      <c r="J422" s="108" t="s">
        <v>17179</v>
      </c>
      <c r="L422"/>
      <c r="M422"/>
      <c r="N422"/>
    </row>
    <row r="423" spans="1:19" x14ac:dyDescent="0.2">
      <c r="A423" t="s">
        <v>17180</v>
      </c>
      <c r="B423" s="79" t="s">
        <v>17176</v>
      </c>
      <c r="C423" s="79" t="s">
        <v>17177</v>
      </c>
      <c r="D423" s="79">
        <v>1</v>
      </c>
      <c r="E423" s="100">
        <v>2</v>
      </c>
      <c r="F423" s="79" t="s">
        <v>17166</v>
      </c>
      <c r="G423" s="100" t="s">
        <v>15770</v>
      </c>
      <c r="H423" s="100" t="str">
        <f t="shared" si="6"/>
        <v>CH 22-1-2 Gameplay</v>
      </c>
      <c r="I423" s="100" t="s">
        <v>17181</v>
      </c>
      <c r="J423" s="108" t="s">
        <v>17182</v>
      </c>
      <c r="K423" s="100" t="s">
        <v>1103</v>
      </c>
      <c r="L423" s="59">
        <v>19500</v>
      </c>
      <c r="M423" s="59">
        <v>22000</v>
      </c>
      <c r="N423" s="59">
        <v>23500</v>
      </c>
      <c r="P423" t="s">
        <v>15753</v>
      </c>
      <c r="Q423" t="s">
        <v>16141</v>
      </c>
      <c r="R423" t="s">
        <v>15754</v>
      </c>
    </row>
    <row r="424" spans="1:19" x14ac:dyDescent="0.2">
      <c r="A424" t="s">
        <v>17183</v>
      </c>
      <c r="B424" s="79" t="s">
        <v>17176</v>
      </c>
      <c r="C424" s="79" t="s">
        <v>17177</v>
      </c>
      <c r="D424" s="79">
        <v>2</v>
      </c>
      <c r="E424" s="100">
        <v>1</v>
      </c>
      <c r="F424" s="79" t="s">
        <v>17114</v>
      </c>
      <c r="G424" s="100" t="s">
        <v>15770</v>
      </c>
      <c r="H424" s="100" t="str">
        <f t="shared" si="6"/>
        <v>CH 22-2-1 Gameplay</v>
      </c>
      <c r="I424" s="100" t="s">
        <v>17184</v>
      </c>
      <c r="J424" s="108" t="s">
        <v>17185</v>
      </c>
      <c r="K424" s="100" t="s">
        <v>1103</v>
      </c>
      <c r="L424" s="59">
        <v>19550</v>
      </c>
      <c r="M424" s="59">
        <v>22050</v>
      </c>
      <c r="N424" s="59">
        <v>23500</v>
      </c>
      <c r="P424" t="s">
        <v>15753</v>
      </c>
      <c r="Q424" t="s">
        <v>16141</v>
      </c>
      <c r="R424" t="s">
        <v>15754</v>
      </c>
    </row>
    <row r="425" spans="1:19" x14ac:dyDescent="0.2">
      <c r="A425" t="s">
        <v>17186</v>
      </c>
      <c r="B425" s="79" t="s">
        <v>17176</v>
      </c>
      <c r="C425" s="79" t="s">
        <v>17177</v>
      </c>
      <c r="D425" s="79">
        <v>2</v>
      </c>
      <c r="E425" s="100">
        <v>2</v>
      </c>
      <c r="F425" s="79" t="s">
        <v>17114</v>
      </c>
      <c r="G425" s="100" t="s">
        <v>15742</v>
      </c>
      <c r="H425" s="100" t="str">
        <f t="shared" si="6"/>
        <v>CH 22-2-2 Story</v>
      </c>
      <c r="I425" s="100" t="s">
        <v>17187</v>
      </c>
      <c r="J425" s="108" t="s">
        <v>17188</v>
      </c>
      <c r="L425"/>
      <c r="M425"/>
      <c r="N425"/>
    </row>
    <row r="426" spans="1:19" x14ac:dyDescent="0.2">
      <c r="A426" t="s">
        <v>17189</v>
      </c>
      <c r="B426" s="79" t="s">
        <v>17176</v>
      </c>
      <c r="C426" s="79" t="s">
        <v>17177</v>
      </c>
      <c r="D426" s="79">
        <v>2</v>
      </c>
      <c r="E426" s="100">
        <v>3</v>
      </c>
      <c r="F426" s="79" t="s">
        <v>17114</v>
      </c>
      <c r="G426" s="100" t="s">
        <v>15770</v>
      </c>
      <c r="H426" s="100" t="str">
        <f t="shared" si="6"/>
        <v>CH 22-2-3 Gameplay</v>
      </c>
      <c r="I426" s="100" t="s">
        <v>17190</v>
      </c>
      <c r="J426" s="108" t="s">
        <v>17191</v>
      </c>
      <c r="K426" s="100" t="s">
        <v>1103</v>
      </c>
      <c r="L426" s="59">
        <v>19600</v>
      </c>
      <c r="M426" s="59">
        <v>22100</v>
      </c>
      <c r="N426" s="59">
        <v>23500</v>
      </c>
      <c r="P426" t="s">
        <v>15753</v>
      </c>
      <c r="Q426" t="s">
        <v>16141</v>
      </c>
      <c r="R426" t="s">
        <v>15754</v>
      </c>
    </row>
    <row r="427" spans="1:19" x14ac:dyDescent="0.2">
      <c r="A427" t="s">
        <v>17192</v>
      </c>
      <c r="B427" s="79" t="s">
        <v>17176</v>
      </c>
      <c r="C427" s="79" t="s">
        <v>17177</v>
      </c>
      <c r="D427" s="79">
        <v>2</v>
      </c>
      <c r="E427" s="100">
        <v>4</v>
      </c>
      <c r="F427" s="79" t="s">
        <v>17114</v>
      </c>
      <c r="G427" s="100" t="s">
        <v>15742</v>
      </c>
      <c r="H427" s="100" t="str">
        <f t="shared" si="6"/>
        <v>CH 22-2-4 Story</v>
      </c>
      <c r="I427" s="100" t="s">
        <v>17193</v>
      </c>
      <c r="J427" s="108" t="s">
        <v>17194</v>
      </c>
      <c r="L427"/>
      <c r="M427"/>
      <c r="N427"/>
    </row>
    <row r="428" spans="1:19" x14ac:dyDescent="0.2">
      <c r="A428" t="s">
        <v>17195</v>
      </c>
      <c r="B428" s="79" t="s">
        <v>17176</v>
      </c>
      <c r="C428" s="79" t="s">
        <v>17177</v>
      </c>
      <c r="D428" s="79">
        <v>3</v>
      </c>
      <c r="E428" s="100">
        <v>1</v>
      </c>
      <c r="F428" s="79" t="s">
        <v>17129</v>
      </c>
      <c r="G428" s="100" t="s">
        <v>15742</v>
      </c>
      <c r="H428" s="100" t="str">
        <f t="shared" si="6"/>
        <v>CH 22-3-1 Story</v>
      </c>
      <c r="I428" s="100" t="s">
        <v>17196</v>
      </c>
      <c r="J428" s="108" t="s">
        <v>17197</v>
      </c>
      <c r="L428"/>
      <c r="M428"/>
      <c r="N428"/>
    </row>
    <row r="429" spans="1:19" x14ac:dyDescent="0.2">
      <c r="A429" t="s">
        <v>17198</v>
      </c>
      <c r="B429" s="79" t="s">
        <v>17176</v>
      </c>
      <c r="C429" s="79" t="s">
        <v>17177</v>
      </c>
      <c r="D429" s="79">
        <v>3</v>
      </c>
      <c r="E429" s="100">
        <v>2</v>
      </c>
      <c r="F429" s="79" t="s">
        <v>17129</v>
      </c>
      <c r="G429" s="100" t="s">
        <v>15770</v>
      </c>
      <c r="H429" s="100" t="str">
        <f t="shared" si="6"/>
        <v>CH 22-3-2 Gameplay</v>
      </c>
      <c r="I429" s="100" t="s">
        <v>17199</v>
      </c>
      <c r="J429" s="108" t="s">
        <v>17200</v>
      </c>
      <c r="K429" s="100" t="s">
        <v>10772</v>
      </c>
      <c r="L429" s="59">
        <v>25500</v>
      </c>
      <c r="M429" s="59">
        <v>28500</v>
      </c>
      <c r="N429" s="59">
        <v>32500</v>
      </c>
      <c r="O429" t="s">
        <v>17201</v>
      </c>
      <c r="P429" t="s">
        <v>15753</v>
      </c>
      <c r="Q429" t="s">
        <v>16141</v>
      </c>
      <c r="R429" t="s">
        <v>15754</v>
      </c>
      <c r="S429" t="s">
        <v>17202</v>
      </c>
    </row>
    <row r="430" spans="1:19" x14ac:dyDescent="0.2">
      <c r="A430" t="s">
        <v>17203</v>
      </c>
      <c r="B430" s="79" t="s">
        <v>17176</v>
      </c>
      <c r="C430" s="79" t="s">
        <v>17177</v>
      </c>
      <c r="D430" s="79">
        <v>3</v>
      </c>
      <c r="E430" s="100">
        <v>3</v>
      </c>
      <c r="F430" s="79" t="s">
        <v>17129</v>
      </c>
      <c r="G430" s="100" t="s">
        <v>15742</v>
      </c>
      <c r="H430" s="100" t="str">
        <f t="shared" si="6"/>
        <v>CH 22-3-3 Story</v>
      </c>
      <c r="I430" s="100" t="s">
        <v>17204</v>
      </c>
      <c r="J430" s="108" t="s">
        <v>17205</v>
      </c>
      <c r="L430"/>
      <c r="M430"/>
      <c r="N430"/>
    </row>
    <row r="431" spans="1:19" x14ac:dyDescent="0.2">
      <c r="A431" t="s">
        <v>17206</v>
      </c>
      <c r="B431" s="79" t="s">
        <v>17176</v>
      </c>
      <c r="C431" s="79" t="s">
        <v>17177</v>
      </c>
      <c r="D431" s="79">
        <v>3</v>
      </c>
      <c r="E431" s="100">
        <v>4</v>
      </c>
      <c r="F431" s="79" t="s">
        <v>17129</v>
      </c>
      <c r="G431" s="100" t="s">
        <v>15742</v>
      </c>
      <c r="H431" s="100" t="str">
        <f t="shared" si="6"/>
        <v>CH 22-3-4 Story</v>
      </c>
      <c r="I431" s="100" t="s">
        <v>17207</v>
      </c>
      <c r="J431" s="108" t="s">
        <v>17208</v>
      </c>
      <c r="L431"/>
      <c r="M431"/>
      <c r="N431"/>
    </row>
    <row r="432" spans="1:19" x14ac:dyDescent="0.2">
      <c r="A432" t="s">
        <v>17209</v>
      </c>
      <c r="B432" s="79" t="s">
        <v>17176</v>
      </c>
      <c r="C432" s="79" t="s">
        <v>17177</v>
      </c>
      <c r="D432" s="79">
        <v>3</v>
      </c>
      <c r="E432" s="100">
        <v>5</v>
      </c>
      <c r="F432" s="79" t="s">
        <v>17129</v>
      </c>
      <c r="G432" s="100" t="s">
        <v>15770</v>
      </c>
      <c r="H432" s="100" t="str">
        <f t="shared" si="6"/>
        <v>CH 22-3-5 Gameplay</v>
      </c>
      <c r="I432" s="100" t="s">
        <v>17210</v>
      </c>
      <c r="J432" s="108" t="s">
        <v>17211</v>
      </c>
      <c r="K432" s="100" t="s">
        <v>1103</v>
      </c>
      <c r="L432" s="59">
        <v>19750</v>
      </c>
      <c r="M432" s="59">
        <v>22250</v>
      </c>
      <c r="N432" s="59">
        <v>23500</v>
      </c>
      <c r="P432" t="s">
        <v>15753</v>
      </c>
      <c r="Q432" t="s">
        <v>16141</v>
      </c>
      <c r="R432" t="s">
        <v>15754</v>
      </c>
    </row>
    <row r="433" spans="1:19" x14ac:dyDescent="0.2">
      <c r="A433" t="s">
        <v>17212</v>
      </c>
      <c r="B433" s="79" t="s">
        <v>17176</v>
      </c>
      <c r="C433" s="79" t="s">
        <v>17177</v>
      </c>
      <c r="D433" s="79">
        <v>4</v>
      </c>
      <c r="E433" s="100">
        <v>1</v>
      </c>
      <c r="F433" s="79" t="s">
        <v>17149</v>
      </c>
      <c r="G433" s="100" t="s">
        <v>15770</v>
      </c>
      <c r="H433" s="100" t="str">
        <f t="shared" si="6"/>
        <v>CH 22-4-1 Gameplay</v>
      </c>
      <c r="I433" s="100" t="s">
        <v>17213</v>
      </c>
      <c r="J433" s="108" t="s">
        <v>17214</v>
      </c>
      <c r="K433" s="100" t="s">
        <v>1103</v>
      </c>
      <c r="L433" s="59">
        <v>19800</v>
      </c>
      <c r="M433" s="59">
        <v>22300</v>
      </c>
      <c r="N433" s="59">
        <v>23500</v>
      </c>
      <c r="P433" t="s">
        <v>15753</v>
      </c>
      <c r="Q433" t="s">
        <v>16141</v>
      </c>
      <c r="R433" t="s">
        <v>15754</v>
      </c>
    </row>
    <row r="434" spans="1:19" x14ac:dyDescent="0.2">
      <c r="A434" t="s">
        <v>17215</v>
      </c>
      <c r="B434" s="79" t="s">
        <v>17176</v>
      </c>
      <c r="C434" s="79" t="s">
        <v>17177</v>
      </c>
      <c r="D434" s="79">
        <v>4</v>
      </c>
      <c r="E434" s="100">
        <v>2</v>
      </c>
      <c r="F434" s="79" t="s">
        <v>17149</v>
      </c>
      <c r="G434" s="100" t="s">
        <v>15742</v>
      </c>
      <c r="H434" s="100" t="str">
        <f t="shared" si="6"/>
        <v>CH 22-4-2 Story</v>
      </c>
      <c r="I434" s="100" t="s">
        <v>17216</v>
      </c>
      <c r="J434" s="108" t="s">
        <v>17217</v>
      </c>
      <c r="L434"/>
      <c r="M434"/>
      <c r="N434"/>
    </row>
    <row r="435" spans="1:19" x14ac:dyDescent="0.2">
      <c r="A435" t="s">
        <v>17218</v>
      </c>
      <c r="B435" s="79" t="s">
        <v>17176</v>
      </c>
      <c r="C435" s="79" t="s">
        <v>17177</v>
      </c>
      <c r="D435" s="79">
        <v>4</v>
      </c>
      <c r="E435" s="100">
        <v>3</v>
      </c>
      <c r="F435" s="79" t="s">
        <v>17149</v>
      </c>
      <c r="G435" s="100" t="s">
        <v>15742</v>
      </c>
      <c r="H435" s="100" t="str">
        <f t="shared" si="6"/>
        <v>CH 22-4-3 Story</v>
      </c>
      <c r="I435" s="100" t="s">
        <v>17219</v>
      </c>
      <c r="J435" s="108" t="s">
        <v>17220</v>
      </c>
      <c r="L435"/>
      <c r="M435"/>
      <c r="N435"/>
    </row>
    <row r="436" spans="1:19" x14ac:dyDescent="0.2">
      <c r="A436" t="s">
        <v>17221</v>
      </c>
      <c r="B436" s="79" t="s">
        <v>17176</v>
      </c>
      <c r="C436" s="79" t="s">
        <v>17177</v>
      </c>
      <c r="D436" s="79">
        <v>4</v>
      </c>
      <c r="E436" s="100">
        <v>4</v>
      </c>
      <c r="F436" s="79" t="s">
        <v>17149</v>
      </c>
      <c r="G436" s="100" t="s">
        <v>15770</v>
      </c>
      <c r="H436" s="100" t="str">
        <f t="shared" si="6"/>
        <v>CH 22-4-4 Gameplay</v>
      </c>
      <c r="I436" s="100" t="s">
        <v>17222</v>
      </c>
      <c r="J436" s="108" t="s">
        <v>17223</v>
      </c>
      <c r="K436" s="100" t="s">
        <v>10772</v>
      </c>
      <c r="L436" s="59">
        <v>25500</v>
      </c>
      <c r="M436" s="59">
        <v>28500</v>
      </c>
      <c r="N436" s="59">
        <v>32500</v>
      </c>
      <c r="O436" t="s">
        <v>17224</v>
      </c>
      <c r="P436" t="s">
        <v>15753</v>
      </c>
      <c r="Q436" t="s">
        <v>16141</v>
      </c>
      <c r="R436" t="s">
        <v>15754</v>
      </c>
      <c r="S436" t="s">
        <v>17225</v>
      </c>
    </row>
    <row r="437" spans="1:19" x14ac:dyDescent="0.2">
      <c r="A437" t="s">
        <v>17226</v>
      </c>
      <c r="B437" s="79" t="s">
        <v>17176</v>
      </c>
      <c r="C437" s="79" t="s">
        <v>17177</v>
      </c>
      <c r="D437" s="79">
        <v>5</v>
      </c>
      <c r="E437" s="100">
        <v>1</v>
      </c>
      <c r="F437" s="79" t="s">
        <v>17156</v>
      </c>
      <c r="G437" s="100" t="s">
        <v>15742</v>
      </c>
      <c r="H437" s="100" t="str">
        <f t="shared" si="6"/>
        <v>CH 22-5-1 Story</v>
      </c>
      <c r="I437" s="100" t="s">
        <v>17227</v>
      </c>
      <c r="J437" s="108" t="s">
        <v>17228</v>
      </c>
      <c r="L437"/>
      <c r="M437"/>
      <c r="N437"/>
    </row>
    <row r="438" spans="1:19" x14ac:dyDescent="0.2">
      <c r="A438" t="s">
        <v>17229</v>
      </c>
      <c r="B438" s="79" t="s">
        <v>17176</v>
      </c>
      <c r="C438" s="79" t="s">
        <v>17177</v>
      </c>
      <c r="D438" s="79">
        <v>5</v>
      </c>
      <c r="E438" s="100">
        <v>2</v>
      </c>
      <c r="F438" s="79" t="s">
        <v>17156</v>
      </c>
      <c r="G438" s="100" t="s">
        <v>15770</v>
      </c>
      <c r="H438" s="100" t="str">
        <f t="shared" si="6"/>
        <v>CH 22-5-2 Gameplay</v>
      </c>
      <c r="I438" s="100" t="s">
        <v>16685</v>
      </c>
      <c r="J438" s="108" t="s">
        <v>17230</v>
      </c>
      <c r="K438" s="100" t="s">
        <v>10772</v>
      </c>
      <c r="L438" s="59">
        <v>25500</v>
      </c>
      <c r="M438" s="59">
        <v>28500</v>
      </c>
      <c r="N438" s="59">
        <v>32500</v>
      </c>
      <c r="O438" t="s">
        <v>17231</v>
      </c>
      <c r="P438" t="s">
        <v>15753</v>
      </c>
      <c r="Q438" t="s">
        <v>16141</v>
      </c>
      <c r="R438" t="s">
        <v>15754</v>
      </c>
      <c r="S438" t="s">
        <v>17232</v>
      </c>
    </row>
    <row r="439" spans="1:19" x14ac:dyDescent="0.2">
      <c r="A439" t="s">
        <v>17233</v>
      </c>
      <c r="B439" s="79" t="s">
        <v>17176</v>
      </c>
      <c r="C439" s="79" t="s">
        <v>17177</v>
      </c>
      <c r="D439" s="79">
        <v>5</v>
      </c>
      <c r="E439" s="100">
        <v>3</v>
      </c>
      <c r="F439" s="79" t="s">
        <v>17156</v>
      </c>
      <c r="G439" s="100" t="s">
        <v>15742</v>
      </c>
      <c r="H439" s="100" t="str">
        <f t="shared" si="6"/>
        <v>CH 22-5-3 Story</v>
      </c>
      <c r="I439" s="100" t="s">
        <v>17234</v>
      </c>
      <c r="J439" s="108" t="s">
        <v>17235</v>
      </c>
      <c r="L439"/>
      <c r="M439"/>
      <c r="N439"/>
    </row>
    <row r="440" spans="1:19" x14ac:dyDescent="0.2">
      <c r="A440" t="s">
        <v>17236</v>
      </c>
      <c r="B440" s="79" t="s">
        <v>17176</v>
      </c>
      <c r="C440" s="79" t="s">
        <v>17177</v>
      </c>
      <c r="D440" s="79">
        <v>5</v>
      </c>
      <c r="E440" s="100">
        <v>4</v>
      </c>
      <c r="F440" s="79" t="s">
        <v>17156</v>
      </c>
      <c r="G440" s="100" t="s">
        <v>15742</v>
      </c>
      <c r="H440" s="100" t="str">
        <f t="shared" si="6"/>
        <v>CH 22-5-4 Story</v>
      </c>
      <c r="I440" s="100" t="s">
        <v>17237</v>
      </c>
      <c r="J440" s="108" t="s">
        <v>17238</v>
      </c>
      <c r="L440"/>
      <c r="M440"/>
      <c r="N440"/>
    </row>
    <row r="441" spans="1:19" x14ac:dyDescent="0.2">
      <c r="A441" t="s">
        <v>17239</v>
      </c>
      <c r="B441" s="79" t="s">
        <v>15670</v>
      </c>
      <c r="C441" s="79" t="s">
        <v>17240</v>
      </c>
      <c r="D441" s="79">
        <v>1</v>
      </c>
      <c r="E441" s="100">
        <v>1</v>
      </c>
      <c r="F441" s="79" t="s">
        <v>17241</v>
      </c>
      <c r="G441" s="100" t="s">
        <v>15742</v>
      </c>
      <c r="H441" s="100" t="str">
        <f t="shared" si="6"/>
        <v>CH 23-1-1 Story</v>
      </c>
      <c r="I441" s="100" t="s">
        <v>17242</v>
      </c>
      <c r="J441" s="108" t="s">
        <v>17243</v>
      </c>
      <c r="L441"/>
      <c r="M441"/>
      <c r="N441"/>
    </row>
    <row r="442" spans="1:19" x14ac:dyDescent="0.2">
      <c r="A442" t="s">
        <v>17244</v>
      </c>
      <c r="B442" s="79" t="s">
        <v>15670</v>
      </c>
      <c r="C442" s="79" t="s">
        <v>17240</v>
      </c>
      <c r="D442" s="79">
        <v>1</v>
      </c>
      <c r="E442" s="100">
        <v>2</v>
      </c>
      <c r="F442" s="79" t="s">
        <v>17241</v>
      </c>
      <c r="G442" s="100" t="s">
        <v>15770</v>
      </c>
      <c r="H442" s="100" t="str">
        <f t="shared" si="6"/>
        <v>CH 23-1-2 Gameplay</v>
      </c>
      <c r="I442" s="100" t="s">
        <v>17245</v>
      </c>
      <c r="J442" s="108" t="s">
        <v>17246</v>
      </c>
      <c r="K442" s="100" t="s">
        <v>1947</v>
      </c>
      <c r="L442" s="59">
        <v>20500</v>
      </c>
      <c r="M442" s="59">
        <v>22500</v>
      </c>
      <c r="N442" s="59">
        <v>24000</v>
      </c>
      <c r="P442" t="s">
        <v>15753</v>
      </c>
      <c r="Q442" t="s">
        <v>16141</v>
      </c>
      <c r="R442" t="s">
        <v>15754</v>
      </c>
    </row>
    <row r="443" spans="1:19" x14ac:dyDescent="0.2">
      <c r="A443" t="s">
        <v>17247</v>
      </c>
      <c r="B443" s="79" t="s">
        <v>15670</v>
      </c>
      <c r="C443" s="79" t="s">
        <v>17240</v>
      </c>
      <c r="D443" s="79">
        <v>2</v>
      </c>
      <c r="E443" s="100">
        <v>1</v>
      </c>
      <c r="F443" s="79" t="s">
        <v>17248</v>
      </c>
      <c r="G443" s="100" t="s">
        <v>15742</v>
      </c>
      <c r="H443" s="100" t="str">
        <f t="shared" si="6"/>
        <v>CH 23-2-1 Story</v>
      </c>
      <c r="I443" s="100" t="s">
        <v>17249</v>
      </c>
      <c r="J443" s="108" t="s">
        <v>17250</v>
      </c>
      <c r="L443"/>
      <c r="M443"/>
      <c r="N443"/>
    </row>
    <row r="444" spans="1:19" x14ac:dyDescent="0.2">
      <c r="A444" t="s">
        <v>17251</v>
      </c>
      <c r="B444" s="79" t="s">
        <v>15670</v>
      </c>
      <c r="C444" s="79" t="s">
        <v>17240</v>
      </c>
      <c r="D444" s="79">
        <v>2</v>
      </c>
      <c r="E444" s="100">
        <v>2</v>
      </c>
      <c r="F444" s="79" t="s">
        <v>17248</v>
      </c>
      <c r="G444" s="100" t="s">
        <v>15770</v>
      </c>
      <c r="H444" s="100" t="str">
        <f t="shared" si="6"/>
        <v>CH 23-2-2 Gameplay</v>
      </c>
      <c r="I444" s="100" t="s">
        <v>17252</v>
      </c>
      <c r="J444" s="108" t="s">
        <v>17253</v>
      </c>
      <c r="K444" s="100" t="s">
        <v>1947</v>
      </c>
      <c r="L444" s="59">
        <v>20550</v>
      </c>
      <c r="M444" s="59">
        <v>22550</v>
      </c>
      <c r="N444" s="59">
        <v>24000</v>
      </c>
      <c r="P444" t="s">
        <v>15753</v>
      </c>
      <c r="Q444" t="s">
        <v>16141</v>
      </c>
      <c r="R444" t="s">
        <v>15754</v>
      </c>
    </row>
    <row r="445" spans="1:19" x14ac:dyDescent="0.2">
      <c r="A445" t="s">
        <v>17254</v>
      </c>
      <c r="B445" s="79" t="s">
        <v>15670</v>
      </c>
      <c r="C445" s="79" t="s">
        <v>17240</v>
      </c>
      <c r="D445" s="79">
        <v>2</v>
      </c>
      <c r="E445" s="100">
        <v>3</v>
      </c>
      <c r="F445" s="79" t="s">
        <v>17248</v>
      </c>
      <c r="G445" s="100" t="s">
        <v>15742</v>
      </c>
      <c r="H445" s="100" t="str">
        <f t="shared" si="6"/>
        <v>CH 23-2-3 Story</v>
      </c>
      <c r="I445" s="100" t="s">
        <v>17255</v>
      </c>
      <c r="J445" s="108" t="s">
        <v>17256</v>
      </c>
      <c r="L445"/>
      <c r="M445"/>
      <c r="N445"/>
    </row>
    <row r="446" spans="1:19" x14ac:dyDescent="0.2">
      <c r="A446" t="s">
        <v>17257</v>
      </c>
      <c r="B446" s="79" t="s">
        <v>15670</v>
      </c>
      <c r="C446" s="79" t="s">
        <v>17240</v>
      </c>
      <c r="D446" s="79">
        <v>2</v>
      </c>
      <c r="E446" s="100">
        <v>4</v>
      </c>
      <c r="F446" s="79" t="s">
        <v>17248</v>
      </c>
      <c r="G446" s="100" t="s">
        <v>15770</v>
      </c>
      <c r="H446" s="100" t="str">
        <f t="shared" si="6"/>
        <v>CH 23-2-4 Gameplay</v>
      </c>
      <c r="I446" s="100" t="s">
        <v>17258</v>
      </c>
      <c r="J446" s="108" t="s">
        <v>17259</v>
      </c>
      <c r="K446" s="100" t="s">
        <v>1947</v>
      </c>
      <c r="L446" s="59">
        <v>20600</v>
      </c>
      <c r="M446" s="59">
        <v>22600</v>
      </c>
      <c r="N446" s="59">
        <v>24000</v>
      </c>
      <c r="P446" t="s">
        <v>15753</v>
      </c>
      <c r="Q446" t="s">
        <v>16141</v>
      </c>
      <c r="R446" t="s">
        <v>15754</v>
      </c>
    </row>
    <row r="447" spans="1:19" x14ac:dyDescent="0.2">
      <c r="A447" t="s">
        <v>17260</v>
      </c>
      <c r="B447" s="79" t="s">
        <v>15670</v>
      </c>
      <c r="C447" s="79" t="s">
        <v>17240</v>
      </c>
      <c r="D447" s="79">
        <v>3</v>
      </c>
      <c r="E447" s="100">
        <v>1</v>
      </c>
      <c r="F447" s="79" t="s">
        <v>16845</v>
      </c>
      <c r="G447" s="100" t="s">
        <v>15742</v>
      </c>
      <c r="H447" s="100" t="str">
        <f t="shared" si="6"/>
        <v>CH 23-3-1 Story</v>
      </c>
      <c r="I447" s="100" t="s">
        <v>17261</v>
      </c>
      <c r="J447" s="108" t="s">
        <v>17262</v>
      </c>
      <c r="L447"/>
      <c r="M447"/>
      <c r="N447"/>
    </row>
    <row r="448" spans="1:19" x14ac:dyDescent="0.2">
      <c r="A448" t="s">
        <v>17263</v>
      </c>
      <c r="B448" s="79" t="s">
        <v>15670</v>
      </c>
      <c r="C448" s="79" t="s">
        <v>17240</v>
      </c>
      <c r="D448" s="79">
        <v>3</v>
      </c>
      <c r="E448" s="100">
        <v>2</v>
      </c>
      <c r="F448" s="79" t="s">
        <v>16845</v>
      </c>
      <c r="G448" s="100" t="s">
        <v>15770</v>
      </c>
      <c r="H448" s="100" t="str">
        <f t="shared" si="6"/>
        <v>CH 23-3-2 Gameplay</v>
      </c>
      <c r="I448" s="100" t="s">
        <v>17264</v>
      </c>
      <c r="J448" s="108" t="s">
        <v>17265</v>
      </c>
      <c r="K448" s="100" t="s">
        <v>1947</v>
      </c>
      <c r="L448" s="59">
        <v>26000</v>
      </c>
      <c r="M448" s="59">
        <v>29000</v>
      </c>
      <c r="N448" s="59">
        <v>33000</v>
      </c>
      <c r="O448" t="s">
        <v>17266</v>
      </c>
      <c r="P448" t="s">
        <v>15753</v>
      </c>
      <c r="Q448" t="s">
        <v>16141</v>
      </c>
      <c r="R448" t="s">
        <v>15754</v>
      </c>
      <c r="S448" t="s">
        <v>17266</v>
      </c>
    </row>
    <row r="449" spans="1:19" x14ac:dyDescent="0.2">
      <c r="A449" t="s">
        <v>17267</v>
      </c>
      <c r="B449" s="79" t="s">
        <v>15670</v>
      </c>
      <c r="C449" s="79" t="s">
        <v>17240</v>
      </c>
      <c r="D449" s="79">
        <v>3</v>
      </c>
      <c r="E449" s="100">
        <v>3</v>
      </c>
      <c r="F449" s="79" t="s">
        <v>16845</v>
      </c>
      <c r="G449" s="100" t="s">
        <v>15742</v>
      </c>
      <c r="H449" s="100" t="str">
        <f t="shared" si="6"/>
        <v>CH 23-3-3 Story</v>
      </c>
      <c r="I449" s="100" t="s">
        <v>8662</v>
      </c>
      <c r="J449" s="108" t="s">
        <v>17268</v>
      </c>
      <c r="L449"/>
      <c r="M449"/>
      <c r="N449"/>
    </row>
    <row r="450" spans="1:19" x14ac:dyDescent="0.2">
      <c r="A450" t="s">
        <v>17269</v>
      </c>
      <c r="B450" s="79" t="s">
        <v>15670</v>
      </c>
      <c r="C450" s="79" t="s">
        <v>17240</v>
      </c>
      <c r="D450" s="79">
        <v>3</v>
      </c>
      <c r="E450" s="100">
        <v>4</v>
      </c>
      <c r="F450" s="79" t="s">
        <v>16845</v>
      </c>
      <c r="G450" s="100" t="s">
        <v>15742</v>
      </c>
      <c r="H450" s="100" t="str">
        <f t="shared" ref="H450:H513" si="7">+"CH "&amp;C450&amp;"-"&amp;D450&amp;"-"&amp;E450&amp;" "&amp;G450</f>
        <v>CH 23-3-4 Story</v>
      </c>
      <c r="I450" s="100" t="s">
        <v>17270</v>
      </c>
      <c r="J450" s="108" t="s">
        <v>17271</v>
      </c>
      <c r="L450"/>
      <c r="M450"/>
      <c r="N450"/>
    </row>
    <row r="451" spans="1:19" x14ac:dyDescent="0.2">
      <c r="A451" t="s">
        <v>17272</v>
      </c>
      <c r="B451" s="79" t="s">
        <v>15670</v>
      </c>
      <c r="C451" s="79" t="s">
        <v>17240</v>
      </c>
      <c r="D451" s="79">
        <v>3</v>
      </c>
      <c r="E451" s="100">
        <v>5</v>
      </c>
      <c r="F451" s="79" t="s">
        <v>16845</v>
      </c>
      <c r="G451" s="100" t="s">
        <v>15770</v>
      </c>
      <c r="H451" s="100" t="str">
        <f t="shared" si="7"/>
        <v>CH 23-3-5 Gameplay</v>
      </c>
      <c r="I451" s="100" t="s">
        <v>17273</v>
      </c>
      <c r="J451" s="108" t="s">
        <v>17274</v>
      </c>
      <c r="K451" s="100" t="s">
        <v>1947</v>
      </c>
      <c r="L451" s="59">
        <v>20650</v>
      </c>
      <c r="M451" s="59">
        <v>22650</v>
      </c>
      <c r="N451" s="59">
        <v>24000</v>
      </c>
      <c r="P451" t="s">
        <v>15753</v>
      </c>
      <c r="Q451" t="s">
        <v>16141</v>
      </c>
      <c r="R451" t="s">
        <v>15754</v>
      </c>
    </row>
    <row r="452" spans="1:19" x14ac:dyDescent="0.2">
      <c r="A452" t="s">
        <v>17275</v>
      </c>
      <c r="B452" s="79" t="s">
        <v>15670</v>
      </c>
      <c r="C452" s="79" t="s">
        <v>17240</v>
      </c>
      <c r="D452" s="79">
        <v>3</v>
      </c>
      <c r="E452" s="100">
        <v>6</v>
      </c>
      <c r="F452" s="79" t="s">
        <v>16845</v>
      </c>
      <c r="G452" s="100" t="s">
        <v>15742</v>
      </c>
      <c r="H452" s="100" t="str">
        <f t="shared" si="7"/>
        <v>CH 23-3-6 Story</v>
      </c>
      <c r="I452" s="100" t="s">
        <v>17276</v>
      </c>
      <c r="J452" s="108" t="s">
        <v>17277</v>
      </c>
      <c r="L452"/>
      <c r="M452"/>
      <c r="N452"/>
    </row>
    <row r="453" spans="1:19" x14ac:dyDescent="0.2">
      <c r="A453" t="s">
        <v>17278</v>
      </c>
      <c r="B453" s="79" t="s">
        <v>15670</v>
      </c>
      <c r="C453" s="79" t="s">
        <v>17240</v>
      </c>
      <c r="D453" s="79">
        <v>4</v>
      </c>
      <c r="E453" s="100">
        <v>1</v>
      </c>
      <c r="F453" s="79" t="s">
        <v>16832</v>
      </c>
      <c r="G453" s="100" t="s">
        <v>15770</v>
      </c>
      <c r="H453" s="100" t="str">
        <f t="shared" si="7"/>
        <v>CH 23-4-1 Gameplay</v>
      </c>
      <c r="I453" s="100" t="s">
        <v>17279</v>
      </c>
      <c r="J453" s="108" t="s">
        <v>17280</v>
      </c>
      <c r="K453" s="100" t="s">
        <v>1947</v>
      </c>
      <c r="L453" s="59">
        <v>20700</v>
      </c>
      <c r="M453" s="59">
        <v>22700</v>
      </c>
      <c r="N453" s="59">
        <v>24000</v>
      </c>
      <c r="P453" t="s">
        <v>15753</v>
      </c>
      <c r="Q453" t="s">
        <v>16141</v>
      </c>
      <c r="R453" t="s">
        <v>15754</v>
      </c>
    </row>
    <row r="454" spans="1:19" x14ac:dyDescent="0.2">
      <c r="A454" t="s">
        <v>17281</v>
      </c>
      <c r="B454" s="79" t="s">
        <v>15670</v>
      </c>
      <c r="C454" s="79" t="s">
        <v>17240</v>
      </c>
      <c r="D454" s="79">
        <v>4</v>
      </c>
      <c r="E454" s="100">
        <v>2</v>
      </c>
      <c r="F454" s="79" t="s">
        <v>16832</v>
      </c>
      <c r="G454" s="100" t="s">
        <v>15742</v>
      </c>
      <c r="H454" s="100" t="str">
        <f t="shared" si="7"/>
        <v>CH 23-4-2 Story</v>
      </c>
      <c r="I454" s="100" t="s">
        <v>17282</v>
      </c>
      <c r="J454" s="108" t="s">
        <v>17283</v>
      </c>
      <c r="L454"/>
      <c r="M454"/>
      <c r="N454"/>
    </row>
    <row r="455" spans="1:19" x14ac:dyDescent="0.2">
      <c r="A455" t="s">
        <v>17284</v>
      </c>
      <c r="B455" s="79" t="s">
        <v>15670</v>
      </c>
      <c r="C455" s="79" t="s">
        <v>17240</v>
      </c>
      <c r="D455" s="79">
        <v>4</v>
      </c>
      <c r="E455" s="100">
        <v>3</v>
      </c>
      <c r="F455" s="79" t="s">
        <v>16832</v>
      </c>
      <c r="G455" s="100" t="s">
        <v>15770</v>
      </c>
      <c r="H455" s="100" t="str">
        <f t="shared" si="7"/>
        <v>CH 23-4-3 Gameplay</v>
      </c>
      <c r="I455" s="100" t="s">
        <v>17285</v>
      </c>
      <c r="J455" s="108" t="s">
        <v>17286</v>
      </c>
      <c r="K455" s="100" t="s">
        <v>1947</v>
      </c>
      <c r="L455" s="59">
        <v>20750</v>
      </c>
      <c r="M455" s="59">
        <v>22750</v>
      </c>
      <c r="N455" s="59">
        <v>24000</v>
      </c>
      <c r="P455" t="s">
        <v>15753</v>
      </c>
      <c r="Q455" t="s">
        <v>16141</v>
      </c>
      <c r="R455" t="s">
        <v>15754</v>
      </c>
    </row>
    <row r="456" spans="1:19" x14ac:dyDescent="0.2">
      <c r="A456" t="s">
        <v>17287</v>
      </c>
      <c r="B456" s="79" t="s">
        <v>15670</v>
      </c>
      <c r="C456" s="79" t="s">
        <v>17240</v>
      </c>
      <c r="D456" s="79">
        <v>5</v>
      </c>
      <c r="E456" s="100">
        <v>1</v>
      </c>
      <c r="F456" s="79" t="s">
        <v>17288</v>
      </c>
      <c r="G456" s="100" t="s">
        <v>15742</v>
      </c>
      <c r="H456" s="100" t="str">
        <f t="shared" si="7"/>
        <v>CH 23-5-1 Story</v>
      </c>
      <c r="I456" s="100" t="s">
        <v>17289</v>
      </c>
      <c r="J456" s="108" t="s">
        <v>17290</v>
      </c>
      <c r="L456"/>
      <c r="M456"/>
      <c r="N456"/>
    </row>
    <row r="457" spans="1:19" x14ac:dyDescent="0.2">
      <c r="A457" t="s">
        <v>17291</v>
      </c>
      <c r="B457" s="79" t="s">
        <v>15670</v>
      </c>
      <c r="C457" s="79" t="s">
        <v>17240</v>
      </c>
      <c r="D457" s="79">
        <v>5</v>
      </c>
      <c r="E457" s="100">
        <v>2</v>
      </c>
      <c r="F457" s="79" t="s">
        <v>17288</v>
      </c>
      <c r="G457" s="100" t="s">
        <v>15770</v>
      </c>
      <c r="H457" s="100" t="str">
        <f t="shared" si="7"/>
        <v>CH 23-5-2 Gameplay</v>
      </c>
      <c r="I457" s="100" t="s">
        <v>17292</v>
      </c>
      <c r="J457" s="108" t="s">
        <v>17293</v>
      </c>
      <c r="K457" s="100" t="s">
        <v>1947</v>
      </c>
      <c r="L457" s="59">
        <v>26000</v>
      </c>
      <c r="M457" s="59">
        <v>29000</v>
      </c>
      <c r="N457" s="59">
        <v>33000</v>
      </c>
      <c r="O457" t="s">
        <v>17294</v>
      </c>
      <c r="P457" t="s">
        <v>15753</v>
      </c>
      <c r="Q457" t="s">
        <v>16141</v>
      </c>
      <c r="R457" t="s">
        <v>15754</v>
      </c>
      <c r="S457" t="s">
        <v>17294</v>
      </c>
    </row>
    <row r="458" spans="1:19" x14ac:dyDescent="0.2">
      <c r="A458" t="s">
        <v>17295</v>
      </c>
      <c r="B458" s="79" t="s">
        <v>15670</v>
      </c>
      <c r="C458" s="79" t="s">
        <v>17240</v>
      </c>
      <c r="D458" s="79">
        <v>5</v>
      </c>
      <c r="E458" s="100">
        <v>3</v>
      </c>
      <c r="F458" s="79" t="s">
        <v>17288</v>
      </c>
      <c r="G458" s="100" t="s">
        <v>15742</v>
      </c>
      <c r="H458" s="100" t="str">
        <f t="shared" si="7"/>
        <v>CH 23-5-3 Story</v>
      </c>
      <c r="I458" s="100" t="s">
        <v>17296</v>
      </c>
      <c r="J458" s="108" t="s">
        <v>17297</v>
      </c>
      <c r="L458"/>
      <c r="M458"/>
      <c r="N458"/>
    </row>
    <row r="459" spans="1:19" x14ac:dyDescent="0.2">
      <c r="A459" t="s">
        <v>17298</v>
      </c>
      <c r="B459" s="79" t="s">
        <v>17299</v>
      </c>
      <c r="C459" s="79" t="s">
        <v>17300</v>
      </c>
      <c r="D459" s="79">
        <v>1</v>
      </c>
      <c r="E459" s="100">
        <v>1</v>
      </c>
      <c r="F459" s="79" t="s">
        <v>17301</v>
      </c>
      <c r="G459" s="100" t="s">
        <v>15742</v>
      </c>
      <c r="H459" s="100" t="str">
        <f t="shared" si="7"/>
        <v>CH 24-1-1 Story</v>
      </c>
      <c r="I459" s="100" t="s">
        <v>17302</v>
      </c>
      <c r="J459" s="108" t="s">
        <v>17303</v>
      </c>
      <c r="L459"/>
      <c r="M459"/>
      <c r="N459"/>
    </row>
    <row r="460" spans="1:19" x14ac:dyDescent="0.2">
      <c r="A460" t="s">
        <v>17304</v>
      </c>
      <c r="B460" s="79" t="s">
        <v>17299</v>
      </c>
      <c r="C460" s="79" t="s">
        <v>17300</v>
      </c>
      <c r="D460" s="79">
        <v>1</v>
      </c>
      <c r="E460" s="100">
        <v>2</v>
      </c>
      <c r="F460" s="79" t="s">
        <v>17301</v>
      </c>
      <c r="G460" s="100" t="s">
        <v>15770</v>
      </c>
      <c r="H460" s="100" t="str">
        <f t="shared" si="7"/>
        <v>CH 24-1-2 Gameplay</v>
      </c>
      <c r="I460" s="100" t="s">
        <v>17305</v>
      </c>
      <c r="J460" s="108" t="s">
        <v>17306</v>
      </c>
      <c r="K460" s="100" t="s">
        <v>122</v>
      </c>
      <c r="L460" s="59">
        <v>21000</v>
      </c>
      <c r="M460" s="59">
        <v>23000</v>
      </c>
      <c r="N460" s="59">
        <v>24500</v>
      </c>
      <c r="P460" t="s">
        <v>15753</v>
      </c>
      <c r="Q460" t="s">
        <v>16141</v>
      </c>
      <c r="R460" t="s">
        <v>15754</v>
      </c>
    </row>
    <row r="461" spans="1:19" x14ac:dyDescent="0.2">
      <c r="A461" t="s">
        <v>17307</v>
      </c>
      <c r="B461" s="79" t="s">
        <v>17299</v>
      </c>
      <c r="C461" s="79" t="s">
        <v>17300</v>
      </c>
      <c r="D461" s="79">
        <v>2</v>
      </c>
      <c r="E461" s="100">
        <v>1</v>
      </c>
      <c r="F461" s="79" t="s">
        <v>17308</v>
      </c>
      <c r="G461" s="100" t="s">
        <v>15742</v>
      </c>
      <c r="H461" s="100" t="str">
        <f t="shared" si="7"/>
        <v>CH 24-2-1 Story</v>
      </c>
      <c r="I461" s="100" t="s">
        <v>17309</v>
      </c>
      <c r="J461" s="108" t="s">
        <v>17310</v>
      </c>
      <c r="L461"/>
      <c r="M461"/>
      <c r="N461"/>
    </row>
    <row r="462" spans="1:19" x14ac:dyDescent="0.2">
      <c r="A462" t="s">
        <v>17311</v>
      </c>
      <c r="B462" s="79" t="s">
        <v>17299</v>
      </c>
      <c r="C462" s="79" t="s">
        <v>17300</v>
      </c>
      <c r="D462" s="79">
        <v>2</v>
      </c>
      <c r="E462" s="100">
        <v>2</v>
      </c>
      <c r="F462" s="79" t="s">
        <v>17308</v>
      </c>
      <c r="G462" s="100" t="s">
        <v>15742</v>
      </c>
      <c r="H462" s="100" t="str">
        <f t="shared" si="7"/>
        <v>CH 24-2-2 Story</v>
      </c>
      <c r="I462" s="100" t="s">
        <v>17312</v>
      </c>
      <c r="J462" s="108" t="s">
        <v>17313</v>
      </c>
      <c r="L462"/>
      <c r="M462"/>
      <c r="N462"/>
    </row>
    <row r="463" spans="1:19" x14ac:dyDescent="0.2">
      <c r="A463" t="s">
        <v>17314</v>
      </c>
      <c r="B463" s="79" t="s">
        <v>17299</v>
      </c>
      <c r="C463" s="79" t="s">
        <v>17300</v>
      </c>
      <c r="D463" s="79">
        <v>2</v>
      </c>
      <c r="E463" s="100">
        <v>3</v>
      </c>
      <c r="F463" s="79" t="s">
        <v>17308</v>
      </c>
      <c r="G463" s="100" t="s">
        <v>15770</v>
      </c>
      <c r="H463" s="100" t="str">
        <f t="shared" si="7"/>
        <v>CH 24-2-3 Gameplay</v>
      </c>
      <c r="I463" s="100" t="s">
        <v>17315</v>
      </c>
      <c r="J463" s="108" t="s">
        <v>17316</v>
      </c>
      <c r="K463" s="100" t="s">
        <v>122</v>
      </c>
      <c r="L463" s="59">
        <f>+L462+50</f>
        <v>50</v>
      </c>
      <c r="M463" s="59">
        <f>+M462+50</f>
        <v>50</v>
      </c>
      <c r="N463" s="59">
        <v>24500</v>
      </c>
      <c r="P463" t="s">
        <v>15753</v>
      </c>
      <c r="Q463" t="s">
        <v>16141</v>
      </c>
      <c r="R463" t="s">
        <v>15754</v>
      </c>
    </row>
    <row r="464" spans="1:19" x14ac:dyDescent="0.2">
      <c r="A464" t="s">
        <v>17317</v>
      </c>
      <c r="B464" s="79" t="s">
        <v>17299</v>
      </c>
      <c r="C464" s="79" t="s">
        <v>17300</v>
      </c>
      <c r="D464" s="79">
        <v>3</v>
      </c>
      <c r="E464" s="100">
        <v>1</v>
      </c>
      <c r="F464" s="79" t="s">
        <v>17318</v>
      </c>
      <c r="G464" s="100" t="s">
        <v>15742</v>
      </c>
      <c r="H464" s="100" t="str">
        <f t="shared" si="7"/>
        <v>CH 24-3-1 Story</v>
      </c>
      <c r="I464" s="100" t="s">
        <v>17319</v>
      </c>
      <c r="J464" s="108" t="s">
        <v>17320</v>
      </c>
      <c r="L464"/>
      <c r="M464"/>
      <c r="N464"/>
    </row>
    <row r="465" spans="1:19" x14ac:dyDescent="0.2">
      <c r="A465" t="s">
        <v>17321</v>
      </c>
      <c r="B465" s="79" t="s">
        <v>17299</v>
      </c>
      <c r="C465" s="79" t="s">
        <v>17300</v>
      </c>
      <c r="D465" s="79">
        <v>3</v>
      </c>
      <c r="E465" s="100">
        <v>2</v>
      </c>
      <c r="F465" s="79" t="s">
        <v>17318</v>
      </c>
      <c r="G465" s="100" t="s">
        <v>15770</v>
      </c>
      <c r="H465" s="100" t="str">
        <f t="shared" si="7"/>
        <v>CH 24-3-2 Gameplay</v>
      </c>
      <c r="I465" s="100" t="s">
        <v>17322</v>
      </c>
      <c r="J465" s="108" t="s">
        <v>17323</v>
      </c>
      <c r="K465" s="100" t="s">
        <v>122</v>
      </c>
      <c r="L465" s="59">
        <f>+L464+50</f>
        <v>50</v>
      </c>
      <c r="M465" s="59">
        <f>+M464+50</f>
        <v>50</v>
      </c>
      <c r="N465" s="59">
        <v>24500</v>
      </c>
      <c r="P465" t="s">
        <v>15753</v>
      </c>
      <c r="Q465" t="s">
        <v>16141</v>
      </c>
      <c r="R465" t="s">
        <v>15754</v>
      </c>
    </row>
    <row r="466" spans="1:19" x14ac:dyDescent="0.2">
      <c r="A466" t="s">
        <v>17324</v>
      </c>
      <c r="B466" s="79" t="s">
        <v>17299</v>
      </c>
      <c r="C466" s="79" t="s">
        <v>17300</v>
      </c>
      <c r="D466" s="79">
        <v>4</v>
      </c>
      <c r="E466" s="100">
        <v>1</v>
      </c>
      <c r="F466" s="79" t="s">
        <v>17325</v>
      </c>
      <c r="G466" s="100" t="s">
        <v>15770</v>
      </c>
      <c r="H466" s="100" t="str">
        <f t="shared" si="7"/>
        <v>CH 24-4-1 Gameplay</v>
      </c>
      <c r="I466" s="100" t="s">
        <v>17326</v>
      </c>
      <c r="J466" s="108" t="s">
        <v>17327</v>
      </c>
      <c r="K466" s="100" t="s">
        <v>122</v>
      </c>
      <c r="L466" s="59">
        <f>+L465+50</f>
        <v>100</v>
      </c>
      <c r="M466" s="59">
        <f>+M465+50</f>
        <v>100</v>
      </c>
      <c r="N466" s="59">
        <v>24500</v>
      </c>
      <c r="P466" t="s">
        <v>15753</v>
      </c>
      <c r="Q466" t="s">
        <v>16141</v>
      </c>
      <c r="R466" t="s">
        <v>15754</v>
      </c>
    </row>
    <row r="467" spans="1:19" x14ac:dyDescent="0.2">
      <c r="A467" t="s">
        <v>17328</v>
      </c>
      <c r="B467" s="79" t="s">
        <v>17299</v>
      </c>
      <c r="C467" s="79" t="s">
        <v>17300</v>
      </c>
      <c r="D467" s="79">
        <v>4</v>
      </c>
      <c r="E467" s="100">
        <v>2</v>
      </c>
      <c r="F467" s="79" t="s">
        <v>17325</v>
      </c>
      <c r="G467" s="100" t="s">
        <v>15742</v>
      </c>
      <c r="H467" s="100" t="str">
        <f t="shared" si="7"/>
        <v>CH 24-4-2 Story</v>
      </c>
      <c r="I467" s="100" t="s">
        <v>17329</v>
      </c>
      <c r="J467" s="108" t="s">
        <v>17330</v>
      </c>
      <c r="L467"/>
      <c r="M467"/>
      <c r="N467"/>
    </row>
    <row r="468" spans="1:19" x14ac:dyDescent="0.2">
      <c r="A468" t="s">
        <v>17331</v>
      </c>
      <c r="B468" s="79" t="s">
        <v>17299</v>
      </c>
      <c r="C468" s="79" t="s">
        <v>17300</v>
      </c>
      <c r="D468" s="79">
        <v>4</v>
      </c>
      <c r="E468" s="100">
        <v>3</v>
      </c>
      <c r="F468" s="79" t="s">
        <v>17325</v>
      </c>
      <c r="G468" s="100" t="s">
        <v>15742</v>
      </c>
      <c r="H468" s="100" t="str">
        <f t="shared" si="7"/>
        <v>CH 24-4-3 Story</v>
      </c>
      <c r="I468" s="100" t="s">
        <v>17332</v>
      </c>
      <c r="J468" s="108" t="s">
        <v>17333</v>
      </c>
      <c r="L468"/>
      <c r="M468"/>
      <c r="N468"/>
    </row>
    <row r="469" spans="1:19" x14ac:dyDescent="0.2">
      <c r="A469" t="s">
        <v>17334</v>
      </c>
      <c r="B469" s="79" t="s">
        <v>17299</v>
      </c>
      <c r="C469" s="79" t="s">
        <v>17300</v>
      </c>
      <c r="D469" s="79">
        <v>4</v>
      </c>
      <c r="E469" s="100">
        <v>4</v>
      </c>
      <c r="F469" s="79" t="s">
        <v>17325</v>
      </c>
      <c r="G469" s="100" t="s">
        <v>15742</v>
      </c>
      <c r="H469" s="100" t="str">
        <f t="shared" si="7"/>
        <v>CH 24-4-4 Story</v>
      </c>
      <c r="I469" s="100" t="s">
        <v>17335</v>
      </c>
      <c r="J469" s="108" t="s">
        <v>17336</v>
      </c>
      <c r="L469"/>
      <c r="M469"/>
      <c r="N469"/>
    </row>
    <row r="470" spans="1:19" x14ac:dyDescent="0.2">
      <c r="A470" t="s">
        <v>17337</v>
      </c>
      <c r="B470" s="79" t="s">
        <v>17299</v>
      </c>
      <c r="C470" s="79" t="s">
        <v>17300</v>
      </c>
      <c r="D470" s="79">
        <v>4</v>
      </c>
      <c r="E470" s="100">
        <v>5</v>
      </c>
      <c r="F470" s="79" t="s">
        <v>17325</v>
      </c>
      <c r="G470" s="100" t="s">
        <v>15742</v>
      </c>
      <c r="H470" s="100" t="str">
        <f t="shared" si="7"/>
        <v>CH 24-4-5 Story</v>
      </c>
      <c r="I470" s="100" t="s">
        <v>17338</v>
      </c>
      <c r="J470" s="108" t="s">
        <v>17339</v>
      </c>
      <c r="L470"/>
      <c r="M470"/>
      <c r="N470"/>
    </row>
    <row r="471" spans="1:19" x14ac:dyDescent="0.2">
      <c r="A471" t="s">
        <v>17340</v>
      </c>
      <c r="B471" s="79" t="s">
        <v>17299</v>
      </c>
      <c r="C471" s="79" t="s">
        <v>17300</v>
      </c>
      <c r="D471" s="79">
        <v>5</v>
      </c>
      <c r="E471" s="100">
        <v>1</v>
      </c>
      <c r="F471" s="79" t="s">
        <v>17341</v>
      </c>
      <c r="G471" s="100" t="s">
        <v>15770</v>
      </c>
      <c r="H471" s="100" t="str">
        <f t="shared" si="7"/>
        <v>CH 24-5-1 Gameplay</v>
      </c>
      <c r="I471" s="100" t="s">
        <v>17342</v>
      </c>
      <c r="J471" s="108" t="s">
        <v>17343</v>
      </c>
      <c r="K471" s="100" t="s">
        <v>122</v>
      </c>
      <c r="L471" s="59">
        <f>+L470+50</f>
        <v>50</v>
      </c>
      <c r="M471" s="59">
        <f>+M470+50</f>
        <v>50</v>
      </c>
      <c r="N471" s="59">
        <v>24500</v>
      </c>
      <c r="P471" t="s">
        <v>15753</v>
      </c>
      <c r="Q471" t="s">
        <v>16141</v>
      </c>
      <c r="R471" t="s">
        <v>15754</v>
      </c>
    </row>
    <row r="472" spans="1:19" x14ac:dyDescent="0.2">
      <c r="A472" t="s">
        <v>17344</v>
      </c>
      <c r="B472" s="79" t="s">
        <v>17299</v>
      </c>
      <c r="C472" s="79" t="s">
        <v>17300</v>
      </c>
      <c r="D472" s="79">
        <v>5</v>
      </c>
      <c r="E472" s="100">
        <v>2</v>
      </c>
      <c r="F472" s="79" t="s">
        <v>17341</v>
      </c>
      <c r="G472" s="100" t="s">
        <v>15770</v>
      </c>
      <c r="H472" s="100" t="str">
        <f t="shared" si="7"/>
        <v>CH 24-5-2 Gameplay</v>
      </c>
      <c r="I472" s="100" t="s">
        <v>17345</v>
      </c>
      <c r="J472" s="108" t="s">
        <v>17346</v>
      </c>
      <c r="K472" s="100" t="s">
        <v>10772</v>
      </c>
      <c r="L472" s="59">
        <v>26500</v>
      </c>
      <c r="M472" s="59">
        <v>29500</v>
      </c>
      <c r="N472" s="59">
        <v>33500</v>
      </c>
      <c r="O472" t="s">
        <v>15707</v>
      </c>
      <c r="P472" t="s">
        <v>17347</v>
      </c>
      <c r="Q472" t="s">
        <v>17348</v>
      </c>
      <c r="R472" t="s">
        <v>17349</v>
      </c>
      <c r="S472" t="s">
        <v>17350</v>
      </c>
    </row>
    <row r="473" spans="1:19" x14ac:dyDescent="0.2">
      <c r="A473" t="s">
        <v>17351</v>
      </c>
      <c r="B473" s="79" t="s">
        <v>17299</v>
      </c>
      <c r="C473" s="79" t="s">
        <v>17300</v>
      </c>
      <c r="D473" s="79">
        <v>5</v>
      </c>
      <c r="E473" s="100">
        <v>3</v>
      </c>
      <c r="F473" s="79" t="s">
        <v>17341</v>
      </c>
      <c r="G473" s="100" t="s">
        <v>15742</v>
      </c>
      <c r="H473" s="100" t="str">
        <f t="shared" si="7"/>
        <v>CH 24-5-3 Story</v>
      </c>
      <c r="I473" s="100" t="s">
        <v>17352</v>
      </c>
      <c r="J473" s="108" t="s">
        <v>17353</v>
      </c>
      <c r="L473"/>
      <c r="M473"/>
      <c r="N473"/>
    </row>
    <row r="474" spans="1:19" x14ac:dyDescent="0.2">
      <c r="A474" t="s">
        <v>17354</v>
      </c>
      <c r="B474" s="79" t="s">
        <v>17299</v>
      </c>
      <c r="C474" s="79" t="s">
        <v>17300</v>
      </c>
      <c r="D474" s="79">
        <v>5</v>
      </c>
      <c r="E474" s="100">
        <v>4</v>
      </c>
      <c r="F474" s="79" t="s">
        <v>17341</v>
      </c>
      <c r="G474" s="100" t="s">
        <v>15770</v>
      </c>
      <c r="H474" s="100" t="str">
        <f t="shared" si="7"/>
        <v>CH 24-5-4 Gameplay</v>
      </c>
      <c r="I474" s="100" t="s">
        <v>17355</v>
      </c>
      <c r="J474" s="108" t="s">
        <v>17356</v>
      </c>
      <c r="K474" s="100" t="s">
        <v>122</v>
      </c>
      <c r="L474" s="59">
        <v>26500</v>
      </c>
      <c r="M474" s="59">
        <v>29500</v>
      </c>
      <c r="N474" s="59">
        <v>33500</v>
      </c>
      <c r="O474" t="s">
        <v>17294</v>
      </c>
      <c r="P474" t="s">
        <v>15753</v>
      </c>
      <c r="Q474" t="s">
        <v>16141</v>
      </c>
      <c r="R474" t="s">
        <v>15754</v>
      </c>
      <c r="S474" t="s">
        <v>17294</v>
      </c>
    </row>
    <row r="475" spans="1:19" x14ac:dyDescent="0.2">
      <c r="A475" t="s">
        <v>17357</v>
      </c>
      <c r="B475" s="79" t="s">
        <v>17299</v>
      </c>
      <c r="C475" s="79" t="s">
        <v>17300</v>
      </c>
      <c r="D475" s="79">
        <v>5</v>
      </c>
      <c r="E475" s="100">
        <v>5</v>
      </c>
      <c r="F475" s="79" t="s">
        <v>17341</v>
      </c>
      <c r="G475" s="100" t="s">
        <v>15742</v>
      </c>
      <c r="H475" s="100" t="str">
        <f t="shared" si="7"/>
        <v>CH 24-5-5 Story</v>
      </c>
      <c r="I475" s="100" t="s">
        <v>17358</v>
      </c>
      <c r="J475" s="108" t="s">
        <v>17359</v>
      </c>
      <c r="L475"/>
      <c r="M475"/>
      <c r="N475"/>
    </row>
    <row r="476" spans="1:19" x14ac:dyDescent="0.2">
      <c r="A476" t="s">
        <v>17360</v>
      </c>
      <c r="B476" s="79" t="s">
        <v>17299</v>
      </c>
      <c r="C476" s="79" t="s">
        <v>17300</v>
      </c>
      <c r="D476" s="79">
        <v>5</v>
      </c>
      <c r="E476" s="100">
        <v>6</v>
      </c>
      <c r="F476" s="79" t="s">
        <v>17341</v>
      </c>
      <c r="G476" s="100" t="s">
        <v>15742</v>
      </c>
      <c r="H476" s="100" t="str">
        <f t="shared" si="7"/>
        <v>CH 24-5-6 Story</v>
      </c>
      <c r="I476" s="100" t="s">
        <v>17361</v>
      </c>
      <c r="J476" s="108" t="s">
        <v>17362</v>
      </c>
      <c r="L476"/>
      <c r="M476"/>
      <c r="N476"/>
    </row>
    <row r="477" spans="1:19" x14ac:dyDescent="0.2">
      <c r="A477" t="s">
        <v>17363</v>
      </c>
      <c r="B477" s="79" t="s">
        <v>17364</v>
      </c>
      <c r="C477" s="79" t="s">
        <v>17365</v>
      </c>
      <c r="D477" s="79">
        <v>1</v>
      </c>
      <c r="E477" s="100">
        <v>1</v>
      </c>
      <c r="F477" s="79" t="s">
        <v>16791</v>
      </c>
      <c r="G477" s="100" t="s">
        <v>15742</v>
      </c>
      <c r="H477" s="100" t="str">
        <f t="shared" si="7"/>
        <v>CH 25-1-1 Story</v>
      </c>
      <c r="I477" s="100" t="s">
        <v>17366</v>
      </c>
      <c r="J477" s="108" t="s">
        <v>17367</v>
      </c>
      <c r="L477"/>
      <c r="M477"/>
      <c r="N477"/>
    </row>
    <row r="478" spans="1:19" x14ac:dyDescent="0.2">
      <c r="A478" t="s">
        <v>17368</v>
      </c>
      <c r="B478" s="79" t="s">
        <v>17364</v>
      </c>
      <c r="C478" s="79" t="s">
        <v>17365</v>
      </c>
      <c r="D478" s="79">
        <v>1</v>
      </c>
      <c r="E478" s="100">
        <v>2</v>
      </c>
      <c r="F478" s="79" t="s">
        <v>16791</v>
      </c>
      <c r="G478" s="100" t="s">
        <v>15770</v>
      </c>
      <c r="H478" s="100" t="str">
        <f t="shared" si="7"/>
        <v>CH 25-1-2 Gameplay</v>
      </c>
      <c r="I478" s="100" t="s">
        <v>17369</v>
      </c>
      <c r="J478" s="108" t="s">
        <v>17370</v>
      </c>
      <c r="K478" s="100" t="s">
        <v>2837</v>
      </c>
      <c r="L478" s="59">
        <v>21500</v>
      </c>
      <c r="M478" s="59">
        <v>23500</v>
      </c>
      <c r="N478" s="59">
        <v>25000</v>
      </c>
      <c r="P478" t="s">
        <v>15753</v>
      </c>
      <c r="Q478" t="s">
        <v>16141</v>
      </c>
      <c r="R478" t="s">
        <v>15754</v>
      </c>
    </row>
    <row r="479" spans="1:19" x14ac:dyDescent="0.2">
      <c r="A479" t="s">
        <v>17371</v>
      </c>
      <c r="B479" s="79" t="s">
        <v>17364</v>
      </c>
      <c r="C479" s="79" t="s">
        <v>17365</v>
      </c>
      <c r="D479" s="79">
        <v>2</v>
      </c>
      <c r="E479" s="100">
        <v>1</v>
      </c>
      <c r="F479" s="79" t="s">
        <v>16477</v>
      </c>
      <c r="G479" s="100" t="s">
        <v>15742</v>
      </c>
      <c r="H479" s="100" t="str">
        <f t="shared" si="7"/>
        <v>CH 25-2-1 Story</v>
      </c>
      <c r="I479" s="100" t="s">
        <v>17372</v>
      </c>
      <c r="J479" s="108" t="s">
        <v>17373</v>
      </c>
      <c r="L479"/>
      <c r="M479"/>
      <c r="N479"/>
    </row>
    <row r="480" spans="1:19" x14ac:dyDescent="0.2">
      <c r="A480" t="s">
        <v>17374</v>
      </c>
      <c r="B480" s="79" t="s">
        <v>17364</v>
      </c>
      <c r="C480" s="79" t="s">
        <v>17365</v>
      </c>
      <c r="D480" s="79">
        <v>2</v>
      </c>
      <c r="E480" s="100">
        <v>2</v>
      </c>
      <c r="F480" s="79" t="s">
        <v>16477</v>
      </c>
      <c r="G480" s="100" t="s">
        <v>15770</v>
      </c>
      <c r="H480" s="100" t="str">
        <f t="shared" si="7"/>
        <v>CH 25-2-2 Gameplay</v>
      </c>
      <c r="I480" s="100" t="s">
        <v>17375</v>
      </c>
      <c r="J480" s="108" t="s">
        <v>17376</v>
      </c>
      <c r="K480" s="100" t="s">
        <v>2837</v>
      </c>
      <c r="L480" s="59">
        <v>27000</v>
      </c>
      <c r="M480" s="59">
        <v>30000</v>
      </c>
      <c r="N480" s="59">
        <v>34000</v>
      </c>
      <c r="P480" t="s">
        <v>15753</v>
      </c>
      <c r="Q480" t="s">
        <v>16141</v>
      </c>
      <c r="R480" t="s">
        <v>15754</v>
      </c>
    </row>
    <row r="481" spans="1:19" x14ac:dyDescent="0.2">
      <c r="A481" t="s">
        <v>17377</v>
      </c>
      <c r="B481" s="79" t="s">
        <v>17364</v>
      </c>
      <c r="C481" s="79" t="s">
        <v>17365</v>
      </c>
      <c r="D481" s="79">
        <v>2</v>
      </c>
      <c r="E481" s="100">
        <v>3</v>
      </c>
      <c r="F481" s="79" t="s">
        <v>16477</v>
      </c>
      <c r="G481" s="100" t="s">
        <v>15742</v>
      </c>
      <c r="H481" s="100" t="str">
        <f t="shared" si="7"/>
        <v>CH 25-2-3 Story</v>
      </c>
      <c r="I481" s="100" t="s">
        <v>17378</v>
      </c>
      <c r="J481" s="108" t="s">
        <v>17379</v>
      </c>
      <c r="L481"/>
      <c r="M481"/>
      <c r="N481"/>
    </row>
    <row r="482" spans="1:19" x14ac:dyDescent="0.2">
      <c r="A482" t="s">
        <v>17380</v>
      </c>
      <c r="B482" s="79" t="s">
        <v>17364</v>
      </c>
      <c r="C482" s="79" t="s">
        <v>17365</v>
      </c>
      <c r="D482" s="79">
        <v>2</v>
      </c>
      <c r="E482" s="100">
        <v>4</v>
      </c>
      <c r="F482" s="79" t="s">
        <v>16477</v>
      </c>
      <c r="G482" s="100" t="s">
        <v>15742</v>
      </c>
      <c r="H482" s="100" t="str">
        <f t="shared" si="7"/>
        <v>CH 25-2-4 Story</v>
      </c>
      <c r="I482" s="100" t="s">
        <v>17381</v>
      </c>
      <c r="J482" s="108" t="s">
        <v>17382</v>
      </c>
      <c r="L482"/>
      <c r="M482"/>
      <c r="N482"/>
    </row>
    <row r="483" spans="1:19" x14ac:dyDescent="0.2">
      <c r="A483" t="s">
        <v>17383</v>
      </c>
      <c r="B483" s="79" t="s">
        <v>17364</v>
      </c>
      <c r="C483" s="79" t="s">
        <v>17365</v>
      </c>
      <c r="D483" s="79">
        <v>2</v>
      </c>
      <c r="E483" s="100">
        <v>5</v>
      </c>
      <c r="F483" s="79" t="s">
        <v>16477</v>
      </c>
      <c r="G483" s="100" t="s">
        <v>15770</v>
      </c>
      <c r="H483" s="100" t="str">
        <f t="shared" si="7"/>
        <v>CH 25-2-5 Gameplay</v>
      </c>
      <c r="I483" s="100" t="s">
        <v>17384</v>
      </c>
      <c r="J483" s="108" t="s">
        <v>17385</v>
      </c>
      <c r="K483" s="100" t="s">
        <v>1947</v>
      </c>
      <c r="L483" s="59">
        <v>27000</v>
      </c>
      <c r="M483" s="59">
        <v>30000</v>
      </c>
      <c r="N483" s="59">
        <v>34000</v>
      </c>
      <c r="O483" t="s">
        <v>9464</v>
      </c>
      <c r="P483" t="s">
        <v>17386</v>
      </c>
      <c r="Q483" t="s">
        <v>17387</v>
      </c>
      <c r="R483" t="s">
        <v>17388</v>
      </c>
      <c r="S483" t="s">
        <v>9464</v>
      </c>
    </row>
    <row r="484" spans="1:19" x14ac:dyDescent="0.2">
      <c r="A484" t="s">
        <v>17389</v>
      </c>
      <c r="B484" s="79" t="s">
        <v>17364</v>
      </c>
      <c r="C484" s="79" t="s">
        <v>17365</v>
      </c>
      <c r="D484" s="79">
        <v>3</v>
      </c>
      <c r="E484" s="100">
        <v>1</v>
      </c>
      <c r="F484" s="79" t="s">
        <v>17390</v>
      </c>
      <c r="G484" s="100" t="s">
        <v>15770</v>
      </c>
      <c r="H484" s="100" t="str">
        <f t="shared" si="7"/>
        <v>CH 25-3-1 Gameplay</v>
      </c>
      <c r="I484" s="100" t="s">
        <v>17391</v>
      </c>
      <c r="J484" s="108" t="s">
        <v>17392</v>
      </c>
      <c r="K484" s="100" t="s">
        <v>2837</v>
      </c>
      <c r="L484" s="59">
        <v>27000</v>
      </c>
      <c r="M484" s="59">
        <v>30000</v>
      </c>
      <c r="N484" s="59">
        <v>34000</v>
      </c>
      <c r="O484" t="s">
        <v>17232</v>
      </c>
      <c r="P484" t="s">
        <v>15753</v>
      </c>
      <c r="Q484" t="s">
        <v>16141</v>
      </c>
      <c r="R484" t="s">
        <v>15754</v>
      </c>
      <c r="S484" t="s">
        <v>17232</v>
      </c>
    </row>
    <row r="485" spans="1:19" x14ac:dyDescent="0.2">
      <c r="A485" t="s">
        <v>17393</v>
      </c>
      <c r="B485" s="79" t="s">
        <v>17364</v>
      </c>
      <c r="C485" s="79" t="s">
        <v>17365</v>
      </c>
      <c r="D485" s="79">
        <v>3</v>
      </c>
      <c r="E485" s="100">
        <v>2</v>
      </c>
      <c r="F485" s="79" t="s">
        <v>17390</v>
      </c>
      <c r="G485" s="100" t="s">
        <v>15742</v>
      </c>
      <c r="H485" s="100" t="str">
        <f t="shared" si="7"/>
        <v>CH 25-3-2 Story</v>
      </c>
      <c r="I485" s="100" t="s">
        <v>17394</v>
      </c>
      <c r="J485" s="108" t="s">
        <v>17395</v>
      </c>
      <c r="L485"/>
      <c r="M485"/>
      <c r="N485"/>
    </row>
    <row r="486" spans="1:19" x14ac:dyDescent="0.2">
      <c r="A486" t="s">
        <v>17396</v>
      </c>
      <c r="B486" s="79" t="s">
        <v>17364</v>
      </c>
      <c r="C486" s="79" t="s">
        <v>17365</v>
      </c>
      <c r="D486" s="79">
        <v>3</v>
      </c>
      <c r="E486" s="100">
        <v>3</v>
      </c>
      <c r="F486" s="79" t="s">
        <v>17390</v>
      </c>
      <c r="G486" s="100" t="s">
        <v>15742</v>
      </c>
      <c r="H486" s="100" t="str">
        <f t="shared" si="7"/>
        <v>CH 25-3-3 Story</v>
      </c>
      <c r="I486" s="100" t="s">
        <v>17397</v>
      </c>
      <c r="J486" s="108" t="s">
        <v>17398</v>
      </c>
      <c r="L486"/>
      <c r="M486"/>
      <c r="N486"/>
    </row>
    <row r="487" spans="1:19" x14ac:dyDescent="0.2">
      <c r="A487" t="s">
        <v>17399</v>
      </c>
      <c r="B487" s="79" t="s">
        <v>17364</v>
      </c>
      <c r="C487" s="79" t="s">
        <v>17365</v>
      </c>
      <c r="D487" s="79">
        <v>3</v>
      </c>
      <c r="E487" s="100">
        <v>4</v>
      </c>
      <c r="F487" s="79" t="s">
        <v>17390</v>
      </c>
      <c r="G487" s="100" t="s">
        <v>15770</v>
      </c>
      <c r="H487" s="100" t="str">
        <f t="shared" si="7"/>
        <v>CH 25-3-4 Gameplay</v>
      </c>
      <c r="I487" s="100" t="s">
        <v>17400</v>
      </c>
      <c r="J487" s="108" t="s">
        <v>17401</v>
      </c>
      <c r="K487" s="100" t="s">
        <v>2837</v>
      </c>
      <c r="L487" s="59">
        <v>21550</v>
      </c>
      <c r="M487" s="59">
        <v>23550</v>
      </c>
      <c r="N487" s="59">
        <v>25000</v>
      </c>
      <c r="P487" t="s">
        <v>15753</v>
      </c>
      <c r="Q487" t="s">
        <v>16141</v>
      </c>
      <c r="R487" t="s">
        <v>15754</v>
      </c>
    </row>
    <row r="488" spans="1:19" x14ac:dyDescent="0.2">
      <c r="A488" t="s">
        <v>17402</v>
      </c>
      <c r="B488" s="79" t="s">
        <v>17364</v>
      </c>
      <c r="C488" s="79" t="s">
        <v>17365</v>
      </c>
      <c r="D488" s="79">
        <v>3</v>
      </c>
      <c r="E488" s="100">
        <v>5</v>
      </c>
      <c r="F488" s="79" t="s">
        <v>17390</v>
      </c>
      <c r="G488" s="100" t="s">
        <v>15770</v>
      </c>
      <c r="H488" s="100" t="str">
        <f t="shared" si="7"/>
        <v>CH 25-3-5 Gameplay</v>
      </c>
      <c r="I488" s="100" t="s">
        <v>17403</v>
      </c>
      <c r="J488" s="108" t="s">
        <v>17404</v>
      </c>
      <c r="K488" s="100" t="s">
        <v>10772</v>
      </c>
      <c r="L488" s="59">
        <v>27000</v>
      </c>
      <c r="M488" s="59">
        <v>30000</v>
      </c>
      <c r="N488" s="59">
        <v>34000</v>
      </c>
      <c r="O488" t="s">
        <v>17405</v>
      </c>
      <c r="P488" t="s">
        <v>17406</v>
      </c>
      <c r="Q488" t="s">
        <v>17407</v>
      </c>
      <c r="R488" t="s">
        <v>17408</v>
      </c>
    </row>
    <row r="489" spans="1:19" x14ac:dyDescent="0.2">
      <c r="A489" t="s">
        <v>17409</v>
      </c>
      <c r="B489" s="79" t="s">
        <v>17364</v>
      </c>
      <c r="C489" s="79" t="s">
        <v>17365</v>
      </c>
      <c r="D489" s="79">
        <v>3</v>
      </c>
      <c r="E489" s="100">
        <v>6</v>
      </c>
      <c r="F489" s="79" t="s">
        <v>17390</v>
      </c>
      <c r="G489" s="100" t="s">
        <v>15742</v>
      </c>
      <c r="H489" s="100" t="str">
        <f t="shared" si="7"/>
        <v>CH 25-3-6 Story</v>
      </c>
      <c r="I489" s="100" t="s">
        <v>17410</v>
      </c>
      <c r="J489" s="108" t="s">
        <v>17411</v>
      </c>
      <c r="L489"/>
      <c r="M489"/>
      <c r="N489"/>
    </row>
    <row r="490" spans="1:19" x14ac:dyDescent="0.2">
      <c r="A490" t="s">
        <v>17412</v>
      </c>
      <c r="B490" s="79" t="s">
        <v>17364</v>
      </c>
      <c r="C490" s="79" t="s">
        <v>17365</v>
      </c>
      <c r="D490" s="79">
        <v>4</v>
      </c>
      <c r="E490" s="100">
        <v>1</v>
      </c>
      <c r="F490" s="79" t="s">
        <v>16059</v>
      </c>
      <c r="G490" s="100" t="s">
        <v>15742</v>
      </c>
      <c r="H490" s="100" t="str">
        <f t="shared" si="7"/>
        <v>CH 25-4-1 Story</v>
      </c>
      <c r="I490" s="100" t="s">
        <v>17413</v>
      </c>
      <c r="J490" s="108" t="s">
        <v>17414</v>
      </c>
      <c r="L490"/>
      <c r="M490"/>
      <c r="N490"/>
    </row>
    <row r="491" spans="1:19" x14ac:dyDescent="0.2">
      <c r="A491" t="s">
        <v>17415</v>
      </c>
      <c r="B491" s="79" t="s">
        <v>17364</v>
      </c>
      <c r="C491" s="79" t="s">
        <v>17365</v>
      </c>
      <c r="D491" s="79">
        <v>4</v>
      </c>
      <c r="E491" s="100">
        <v>2</v>
      </c>
      <c r="F491" s="79" t="s">
        <v>16059</v>
      </c>
      <c r="G491" s="100" t="s">
        <v>15770</v>
      </c>
      <c r="H491" s="100" t="str">
        <f t="shared" si="7"/>
        <v>CH 25-4-2 Gameplay</v>
      </c>
      <c r="I491" s="100" t="s">
        <v>17416</v>
      </c>
      <c r="J491" s="108" t="s">
        <v>17417</v>
      </c>
      <c r="K491" s="100" t="s">
        <v>10772</v>
      </c>
      <c r="L491" s="59">
        <v>27000</v>
      </c>
      <c r="M491" s="59">
        <v>30000</v>
      </c>
      <c r="N491" s="59">
        <v>34000</v>
      </c>
      <c r="O491" t="s">
        <v>17418</v>
      </c>
      <c r="P491" t="s">
        <v>17136</v>
      </c>
      <c r="Q491" t="s">
        <v>17137</v>
      </c>
      <c r="R491" t="s">
        <v>17138</v>
      </c>
    </row>
    <row r="492" spans="1:19" x14ac:dyDescent="0.2">
      <c r="A492" t="s">
        <v>17419</v>
      </c>
      <c r="B492" s="79" t="s">
        <v>17364</v>
      </c>
      <c r="C492" s="79" t="s">
        <v>17365</v>
      </c>
      <c r="D492" s="79">
        <v>4</v>
      </c>
      <c r="E492" s="100">
        <v>3</v>
      </c>
      <c r="F492" s="79" t="s">
        <v>16059</v>
      </c>
      <c r="G492" s="100" t="s">
        <v>15742</v>
      </c>
      <c r="H492" s="100" t="str">
        <f t="shared" si="7"/>
        <v>CH 25-4-3 Story</v>
      </c>
      <c r="I492" s="100" t="s">
        <v>17420</v>
      </c>
      <c r="J492" s="108" t="s">
        <v>17421</v>
      </c>
      <c r="L492"/>
      <c r="M492"/>
      <c r="N492"/>
    </row>
    <row r="493" spans="1:19" x14ac:dyDescent="0.2">
      <c r="A493" t="s">
        <v>17422</v>
      </c>
      <c r="B493" s="79" t="s">
        <v>17364</v>
      </c>
      <c r="C493" s="79" t="s">
        <v>17365</v>
      </c>
      <c r="D493" s="79">
        <v>4</v>
      </c>
      <c r="E493" s="100">
        <v>4</v>
      </c>
      <c r="F493" s="79" t="s">
        <v>16059</v>
      </c>
      <c r="G493" s="100" t="s">
        <v>15770</v>
      </c>
      <c r="H493" s="100" t="str">
        <f t="shared" si="7"/>
        <v>CH 25-4-4 Gameplay</v>
      </c>
      <c r="I493" s="100" t="s">
        <v>17423</v>
      </c>
      <c r="J493" s="108" t="s">
        <v>17424</v>
      </c>
      <c r="K493" s="100" t="s">
        <v>2837</v>
      </c>
      <c r="L493" s="59">
        <v>27000</v>
      </c>
      <c r="M493" s="59">
        <v>30000</v>
      </c>
      <c r="N493" s="59">
        <v>34000</v>
      </c>
      <c r="O493" t="s">
        <v>17425</v>
      </c>
      <c r="P493" t="s">
        <v>17136</v>
      </c>
      <c r="Q493" t="s">
        <v>17137</v>
      </c>
      <c r="R493" t="s">
        <v>17138</v>
      </c>
    </row>
    <row r="494" spans="1:19" x14ac:dyDescent="0.2">
      <c r="A494" t="s">
        <v>17426</v>
      </c>
      <c r="B494" s="79" t="s">
        <v>17364</v>
      </c>
      <c r="C494" s="79" t="s">
        <v>17365</v>
      </c>
      <c r="D494" s="79">
        <v>4</v>
      </c>
      <c r="E494" s="100">
        <v>5</v>
      </c>
      <c r="F494" s="79" t="s">
        <v>16059</v>
      </c>
      <c r="G494" s="100" t="s">
        <v>15742</v>
      </c>
      <c r="H494" s="100" t="str">
        <f t="shared" si="7"/>
        <v>CH 25-4-5 Story</v>
      </c>
      <c r="I494" s="100" t="s">
        <v>17364</v>
      </c>
      <c r="J494" s="108" t="s">
        <v>17427</v>
      </c>
      <c r="L494"/>
      <c r="M494"/>
      <c r="N494"/>
    </row>
    <row r="495" spans="1:19" x14ac:dyDescent="0.2">
      <c r="A495" t="s">
        <v>17428</v>
      </c>
      <c r="B495" s="79" t="s">
        <v>15853</v>
      </c>
      <c r="C495" s="79" t="s">
        <v>17429</v>
      </c>
      <c r="D495" s="79">
        <v>1</v>
      </c>
      <c r="E495" s="100">
        <v>1</v>
      </c>
      <c r="F495" s="79" t="s">
        <v>17430</v>
      </c>
      <c r="G495" s="100" t="s">
        <v>15742</v>
      </c>
      <c r="H495" s="100" t="str">
        <f t="shared" si="7"/>
        <v>CH 26-1-1 Story</v>
      </c>
      <c r="I495" s="100" t="s">
        <v>17431</v>
      </c>
      <c r="J495" s="108" t="s">
        <v>17432</v>
      </c>
      <c r="L495"/>
      <c r="M495"/>
      <c r="N495"/>
    </row>
    <row r="496" spans="1:19" x14ac:dyDescent="0.2">
      <c r="A496" t="s">
        <v>17433</v>
      </c>
      <c r="B496" s="79" t="s">
        <v>15853</v>
      </c>
      <c r="C496" s="79" t="s">
        <v>17429</v>
      </c>
      <c r="D496" s="79">
        <v>1</v>
      </c>
      <c r="E496" s="100">
        <v>2</v>
      </c>
      <c r="F496" s="79" t="s">
        <v>17430</v>
      </c>
      <c r="G496" s="100" t="s">
        <v>15770</v>
      </c>
      <c r="H496" s="100" t="str">
        <f t="shared" si="7"/>
        <v>CH 26-1-2 Gameplay</v>
      </c>
      <c r="I496" s="100" t="s">
        <v>17434</v>
      </c>
      <c r="J496" s="108" t="s">
        <v>17435</v>
      </c>
      <c r="K496" s="100" t="s">
        <v>2837</v>
      </c>
      <c r="L496" s="59">
        <v>27500</v>
      </c>
      <c r="M496" s="59">
        <v>30500</v>
      </c>
      <c r="N496" s="59">
        <v>34500</v>
      </c>
      <c r="P496" t="s">
        <v>15753</v>
      </c>
      <c r="Q496" t="s">
        <v>16141</v>
      </c>
      <c r="R496" t="s">
        <v>15754</v>
      </c>
    </row>
    <row r="497" spans="1:18" x14ac:dyDescent="0.2">
      <c r="A497" t="s">
        <v>17436</v>
      </c>
      <c r="B497" s="79" t="s">
        <v>15853</v>
      </c>
      <c r="C497" s="79" t="s">
        <v>17429</v>
      </c>
      <c r="D497" s="79">
        <v>2</v>
      </c>
      <c r="E497" s="100">
        <v>1</v>
      </c>
      <c r="F497" s="79" t="s">
        <v>17437</v>
      </c>
      <c r="G497" s="100" t="s">
        <v>15742</v>
      </c>
      <c r="H497" s="100" t="str">
        <f t="shared" si="7"/>
        <v>CH 26-2-1 Story</v>
      </c>
      <c r="I497" s="100" t="s">
        <v>17397</v>
      </c>
      <c r="J497" s="108" t="s">
        <v>17398</v>
      </c>
      <c r="L497"/>
      <c r="M497"/>
      <c r="N497"/>
    </row>
    <row r="498" spans="1:18" x14ac:dyDescent="0.2">
      <c r="A498" t="s">
        <v>17438</v>
      </c>
      <c r="B498" s="79" t="s">
        <v>15853</v>
      </c>
      <c r="C498" s="79" t="s">
        <v>17429</v>
      </c>
      <c r="D498" s="79">
        <v>2</v>
      </c>
      <c r="E498" s="100">
        <v>2</v>
      </c>
      <c r="F498" s="79" t="s">
        <v>17437</v>
      </c>
      <c r="G498" s="100" t="s">
        <v>15770</v>
      </c>
      <c r="H498" s="100" t="str">
        <f t="shared" si="7"/>
        <v>CH 26-2-2 Gameplay</v>
      </c>
      <c r="I498" s="100" t="s">
        <v>17439</v>
      </c>
      <c r="J498" s="108" t="s">
        <v>17440</v>
      </c>
      <c r="K498" s="100" t="s">
        <v>1947</v>
      </c>
      <c r="L498" s="59">
        <v>27500</v>
      </c>
      <c r="M498" s="59">
        <v>30500</v>
      </c>
      <c r="N498" s="59">
        <v>34500</v>
      </c>
      <c r="P498" t="s">
        <v>15753</v>
      </c>
      <c r="Q498" t="s">
        <v>16141</v>
      </c>
      <c r="R498" t="s">
        <v>15754</v>
      </c>
    </row>
    <row r="499" spans="1:18" x14ac:dyDescent="0.2">
      <c r="A499" t="s">
        <v>17441</v>
      </c>
      <c r="B499" s="79" t="s">
        <v>15853</v>
      </c>
      <c r="C499" s="79" t="s">
        <v>17429</v>
      </c>
      <c r="D499" s="79">
        <v>2</v>
      </c>
      <c r="E499" s="100">
        <v>3</v>
      </c>
      <c r="F499" s="79" t="s">
        <v>17437</v>
      </c>
      <c r="G499" s="100" t="s">
        <v>15742</v>
      </c>
      <c r="H499" s="100" t="str">
        <f t="shared" si="7"/>
        <v>CH 26-2-3 Story</v>
      </c>
      <c r="I499" s="100" t="s">
        <v>17442</v>
      </c>
      <c r="J499" s="108" t="s">
        <v>17443</v>
      </c>
      <c r="L499"/>
      <c r="M499"/>
      <c r="N499"/>
    </row>
    <row r="500" spans="1:18" x14ac:dyDescent="0.2">
      <c r="A500" t="s">
        <v>17444</v>
      </c>
      <c r="B500" s="79" t="s">
        <v>15853</v>
      </c>
      <c r="C500" s="79" t="s">
        <v>17429</v>
      </c>
      <c r="D500" s="79">
        <v>2</v>
      </c>
      <c r="E500" s="100">
        <v>4</v>
      </c>
      <c r="F500" s="79" t="s">
        <v>17437</v>
      </c>
      <c r="G500" s="100" t="s">
        <v>15770</v>
      </c>
      <c r="H500" s="100" t="str">
        <f t="shared" si="7"/>
        <v>CH 26-2-4 Gameplay</v>
      </c>
      <c r="I500" s="100" t="s">
        <v>17445</v>
      </c>
      <c r="J500" s="108" t="s">
        <v>17446</v>
      </c>
      <c r="K500" s="100" t="s">
        <v>3779</v>
      </c>
      <c r="L500" s="59">
        <v>27500</v>
      </c>
      <c r="M500" s="59">
        <v>30500</v>
      </c>
      <c r="N500" s="59">
        <v>34500</v>
      </c>
      <c r="O500" t="s">
        <v>17447</v>
      </c>
      <c r="P500" t="s">
        <v>17386</v>
      </c>
      <c r="Q500" t="s">
        <v>17387</v>
      </c>
      <c r="R500" t="s">
        <v>17388</v>
      </c>
    </row>
    <row r="501" spans="1:18" x14ac:dyDescent="0.2">
      <c r="A501" t="s">
        <v>17448</v>
      </c>
      <c r="B501" s="79" t="s">
        <v>15853</v>
      </c>
      <c r="C501" s="79" t="s">
        <v>17429</v>
      </c>
      <c r="D501" s="79">
        <v>3</v>
      </c>
      <c r="E501" s="100">
        <v>1</v>
      </c>
      <c r="F501" s="79" t="s">
        <v>17449</v>
      </c>
      <c r="G501" s="100" t="s">
        <v>15742</v>
      </c>
      <c r="H501" s="100" t="str">
        <f t="shared" si="7"/>
        <v>CH 26-3-1 Story</v>
      </c>
      <c r="I501" s="100" t="s">
        <v>17450</v>
      </c>
      <c r="J501" s="108" t="s">
        <v>17451</v>
      </c>
      <c r="L501"/>
      <c r="M501"/>
      <c r="N501"/>
    </row>
    <row r="502" spans="1:18" x14ac:dyDescent="0.2">
      <c r="A502" t="s">
        <v>17452</v>
      </c>
      <c r="B502" s="79" t="s">
        <v>15853</v>
      </c>
      <c r="C502" s="79" t="s">
        <v>17429</v>
      </c>
      <c r="D502" s="79">
        <v>3</v>
      </c>
      <c r="E502" s="100">
        <v>2</v>
      </c>
      <c r="F502" s="79" t="s">
        <v>17449</v>
      </c>
      <c r="G502" s="100" t="s">
        <v>15770</v>
      </c>
      <c r="H502" s="100" t="str">
        <f t="shared" si="7"/>
        <v>CH 26-3-2 Gameplay</v>
      </c>
      <c r="I502" s="100" t="s">
        <v>17453</v>
      </c>
      <c r="J502" s="108" t="s">
        <v>17454</v>
      </c>
      <c r="K502" s="100" t="s">
        <v>10772</v>
      </c>
      <c r="L502" s="59">
        <v>27500</v>
      </c>
      <c r="M502" s="59">
        <v>30500</v>
      </c>
      <c r="N502" s="59">
        <v>34500</v>
      </c>
      <c r="O502" t="s">
        <v>17455</v>
      </c>
      <c r="P502" t="s">
        <v>17136</v>
      </c>
      <c r="Q502" t="s">
        <v>17137</v>
      </c>
      <c r="R502" t="s">
        <v>17138</v>
      </c>
    </row>
    <row r="503" spans="1:18" x14ac:dyDescent="0.2">
      <c r="A503" t="s">
        <v>17456</v>
      </c>
      <c r="B503" s="79" t="s">
        <v>15853</v>
      </c>
      <c r="C503" s="79" t="s">
        <v>17429</v>
      </c>
      <c r="D503" s="79">
        <v>3</v>
      </c>
      <c r="E503" s="100">
        <v>3</v>
      </c>
      <c r="F503" s="79" t="s">
        <v>17449</v>
      </c>
      <c r="G503" s="100" t="s">
        <v>15742</v>
      </c>
      <c r="H503" s="100" t="str">
        <f t="shared" si="7"/>
        <v>CH 26-3-3 Story</v>
      </c>
      <c r="I503" s="100" t="s">
        <v>17457</v>
      </c>
      <c r="J503" s="108" t="s">
        <v>17458</v>
      </c>
      <c r="L503"/>
      <c r="M503"/>
      <c r="N503"/>
    </row>
    <row r="504" spans="1:18" x14ac:dyDescent="0.2">
      <c r="A504" t="s">
        <v>17459</v>
      </c>
      <c r="B504" s="79" t="s">
        <v>15853</v>
      </c>
      <c r="C504" s="79" t="s">
        <v>17429</v>
      </c>
      <c r="D504" s="79">
        <v>3</v>
      </c>
      <c r="E504" s="100">
        <v>4</v>
      </c>
      <c r="F504" s="79" t="s">
        <v>17449</v>
      </c>
      <c r="G504" s="100" t="s">
        <v>15742</v>
      </c>
      <c r="H504" s="100" t="str">
        <f t="shared" si="7"/>
        <v>CH 26-3-4 Story</v>
      </c>
      <c r="I504" s="100" t="s">
        <v>17460</v>
      </c>
      <c r="J504" s="108" t="s">
        <v>17461</v>
      </c>
      <c r="L504"/>
      <c r="M504"/>
      <c r="N504"/>
    </row>
    <row r="505" spans="1:18" x14ac:dyDescent="0.2">
      <c r="A505" t="s">
        <v>17462</v>
      </c>
      <c r="B505" s="79" t="s">
        <v>15853</v>
      </c>
      <c r="C505" s="79" t="s">
        <v>17429</v>
      </c>
      <c r="D505" s="79">
        <v>4</v>
      </c>
      <c r="E505" s="100">
        <v>1</v>
      </c>
      <c r="F505" s="79" t="s">
        <v>17463</v>
      </c>
      <c r="G505" s="100" t="s">
        <v>15770</v>
      </c>
      <c r="H505" s="100" t="str">
        <f t="shared" si="7"/>
        <v>CH 26-4-1 Gameplay</v>
      </c>
      <c r="I505" s="100" t="s">
        <v>17464</v>
      </c>
      <c r="J505" s="108" t="s">
        <v>17465</v>
      </c>
      <c r="K505" s="100" t="s">
        <v>122</v>
      </c>
      <c r="L505" s="59">
        <v>27500</v>
      </c>
      <c r="M505" s="59">
        <v>30500</v>
      </c>
      <c r="N505" s="59">
        <v>34500</v>
      </c>
      <c r="O505" t="s">
        <v>15462</v>
      </c>
      <c r="P505" t="s">
        <v>17347</v>
      </c>
      <c r="Q505" t="s">
        <v>17348</v>
      </c>
      <c r="R505" t="s">
        <v>17349</v>
      </c>
    </row>
    <row r="506" spans="1:18" x14ac:dyDescent="0.2">
      <c r="A506" t="s">
        <v>17466</v>
      </c>
      <c r="B506" s="79" t="s">
        <v>15853</v>
      </c>
      <c r="C506" s="79" t="s">
        <v>17429</v>
      </c>
      <c r="D506" s="79">
        <v>4</v>
      </c>
      <c r="E506" s="100">
        <v>2</v>
      </c>
      <c r="F506" s="79" t="s">
        <v>17463</v>
      </c>
      <c r="G506" s="100" t="s">
        <v>15742</v>
      </c>
      <c r="H506" s="100" t="str">
        <f t="shared" si="7"/>
        <v>CH 26-4-2 Story</v>
      </c>
      <c r="I506" s="100" t="s">
        <v>17467</v>
      </c>
      <c r="J506" s="108" t="s">
        <v>17468</v>
      </c>
      <c r="L506"/>
      <c r="M506"/>
      <c r="N506"/>
    </row>
    <row r="507" spans="1:18" x14ac:dyDescent="0.2">
      <c r="A507" t="s">
        <v>17469</v>
      </c>
      <c r="B507" s="79" t="s">
        <v>15853</v>
      </c>
      <c r="C507" s="79" t="s">
        <v>17429</v>
      </c>
      <c r="D507" s="79">
        <v>4</v>
      </c>
      <c r="E507" s="100">
        <v>3</v>
      </c>
      <c r="F507" s="79" t="s">
        <v>17463</v>
      </c>
      <c r="G507" s="100" t="s">
        <v>15742</v>
      </c>
      <c r="H507" s="100" t="str">
        <f t="shared" si="7"/>
        <v>CH 26-4-3 Story</v>
      </c>
      <c r="I507" s="100" t="s">
        <v>17470</v>
      </c>
      <c r="J507" s="108" t="s">
        <v>17471</v>
      </c>
      <c r="L507"/>
      <c r="M507"/>
      <c r="N507"/>
    </row>
    <row r="508" spans="1:18" x14ac:dyDescent="0.2">
      <c r="A508" t="s">
        <v>17472</v>
      </c>
      <c r="B508" s="79" t="s">
        <v>15853</v>
      </c>
      <c r="C508" s="79" t="s">
        <v>17429</v>
      </c>
      <c r="D508" s="79">
        <v>4</v>
      </c>
      <c r="E508" s="100">
        <v>4</v>
      </c>
      <c r="F508" s="79" t="s">
        <v>17463</v>
      </c>
      <c r="G508" s="100" t="s">
        <v>15770</v>
      </c>
      <c r="H508" s="100" t="str">
        <f t="shared" si="7"/>
        <v>CH 26-4-4 Gameplay</v>
      </c>
      <c r="I508" s="100" t="s">
        <v>17473</v>
      </c>
      <c r="J508" s="108" t="s">
        <v>17474</v>
      </c>
      <c r="K508" s="100" t="s">
        <v>1103</v>
      </c>
      <c r="L508" s="59">
        <v>27500</v>
      </c>
      <c r="M508" s="59">
        <v>30500</v>
      </c>
      <c r="N508" s="59">
        <v>34500</v>
      </c>
      <c r="O508" t="s">
        <v>15548</v>
      </c>
      <c r="P508" t="s">
        <v>17347</v>
      </c>
      <c r="Q508" t="s">
        <v>17348</v>
      </c>
      <c r="R508" t="s">
        <v>17349</v>
      </c>
    </row>
    <row r="509" spans="1:18" x14ac:dyDescent="0.2">
      <c r="A509" t="s">
        <v>17475</v>
      </c>
      <c r="B509" s="79" t="s">
        <v>15853</v>
      </c>
      <c r="C509" s="79" t="s">
        <v>17429</v>
      </c>
      <c r="D509" s="79">
        <v>4</v>
      </c>
      <c r="E509" s="100">
        <v>5</v>
      </c>
      <c r="F509" s="79" t="s">
        <v>17463</v>
      </c>
      <c r="G509" s="100" t="s">
        <v>15742</v>
      </c>
      <c r="H509" s="100" t="str">
        <f t="shared" si="7"/>
        <v>CH 26-4-5 Story</v>
      </c>
      <c r="I509" s="100" t="s">
        <v>17476</v>
      </c>
      <c r="J509" s="108" t="s">
        <v>17477</v>
      </c>
      <c r="L509"/>
      <c r="M509"/>
      <c r="N509"/>
    </row>
    <row r="510" spans="1:18" x14ac:dyDescent="0.2">
      <c r="A510" t="s">
        <v>17478</v>
      </c>
      <c r="B510" s="79" t="s">
        <v>15853</v>
      </c>
      <c r="C510" s="79" t="s">
        <v>17429</v>
      </c>
      <c r="D510" s="79">
        <v>5</v>
      </c>
      <c r="E510" s="100">
        <v>1</v>
      </c>
      <c r="F510" s="79" t="s">
        <v>17479</v>
      </c>
      <c r="G510" s="100" t="s">
        <v>15742</v>
      </c>
      <c r="H510" s="100" t="str">
        <f t="shared" si="7"/>
        <v>CH 26-5-1 Story</v>
      </c>
      <c r="I510" s="100" t="s">
        <v>17480</v>
      </c>
      <c r="J510" s="108" t="s">
        <v>17481</v>
      </c>
      <c r="L510"/>
      <c r="M510"/>
      <c r="N510"/>
    </row>
    <row r="511" spans="1:18" x14ac:dyDescent="0.2">
      <c r="A511" t="s">
        <v>17482</v>
      </c>
      <c r="B511" s="79" t="s">
        <v>15853</v>
      </c>
      <c r="C511" s="79" t="s">
        <v>17429</v>
      </c>
      <c r="D511" s="79">
        <v>5</v>
      </c>
      <c r="E511" s="100">
        <v>2</v>
      </c>
      <c r="F511" s="79" t="s">
        <v>17479</v>
      </c>
      <c r="G511" s="100" t="s">
        <v>15742</v>
      </c>
      <c r="H511" s="100" t="str">
        <f t="shared" si="7"/>
        <v>CH 26-5-2 Story</v>
      </c>
      <c r="I511" s="100" t="s">
        <v>17483</v>
      </c>
      <c r="J511" s="108" t="s">
        <v>17484</v>
      </c>
      <c r="L511"/>
      <c r="M511"/>
      <c r="N511"/>
    </row>
    <row r="512" spans="1:18" x14ac:dyDescent="0.2">
      <c r="A512" t="s">
        <v>17485</v>
      </c>
      <c r="B512" s="79" t="s">
        <v>15853</v>
      </c>
      <c r="C512" s="79" t="s">
        <v>17429</v>
      </c>
      <c r="D512" s="79">
        <v>5</v>
      </c>
      <c r="E512" s="100">
        <v>3</v>
      </c>
      <c r="F512" s="79" t="s">
        <v>17479</v>
      </c>
      <c r="G512" s="100" t="s">
        <v>15770</v>
      </c>
      <c r="H512" s="100" t="str">
        <f t="shared" si="7"/>
        <v>CH 26-5-3 Gameplay</v>
      </c>
      <c r="I512" s="100" t="s">
        <v>17486</v>
      </c>
      <c r="J512" s="108" t="s">
        <v>17487</v>
      </c>
      <c r="K512" s="100" t="s">
        <v>10772</v>
      </c>
      <c r="L512" s="59">
        <v>27500</v>
      </c>
      <c r="M512" s="59">
        <v>30500</v>
      </c>
      <c r="N512" s="59">
        <v>34500</v>
      </c>
      <c r="O512" t="s">
        <v>17488</v>
      </c>
    </row>
    <row r="513" spans="1:14" x14ac:dyDescent="0.2">
      <c r="A513" t="s">
        <v>17489</v>
      </c>
      <c r="B513" s="79" t="s">
        <v>15853</v>
      </c>
      <c r="C513" s="79" t="s">
        <v>17429</v>
      </c>
      <c r="D513" s="79">
        <v>5</v>
      </c>
      <c r="E513" s="100">
        <v>4</v>
      </c>
      <c r="F513" s="79" t="s">
        <v>17479</v>
      </c>
      <c r="G513" s="100" t="s">
        <v>15742</v>
      </c>
      <c r="H513" s="100" t="str">
        <f t="shared" si="7"/>
        <v>CH 26-5-4 Story</v>
      </c>
      <c r="I513" s="100" t="s">
        <v>17490</v>
      </c>
      <c r="J513" s="108" t="s">
        <v>17491</v>
      </c>
      <c r="L513"/>
      <c r="M513"/>
      <c r="N513"/>
    </row>
    <row r="514" spans="1:14" x14ac:dyDescent="0.2">
      <c r="A514" t="s">
        <v>17492</v>
      </c>
      <c r="B514" s="79" t="s">
        <v>15853</v>
      </c>
      <c r="C514" s="79" t="s">
        <v>17429</v>
      </c>
      <c r="D514" s="79">
        <v>5</v>
      </c>
      <c r="E514" s="100">
        <v>5</v>
      </c>
      <c r="F514" s="79" t="s">
        <v>17479</v>
      </c>
      <c r="G514" s="100" t="s">
        <v>15749</v>
      </c>
      <c r="H514" s="100" t="str">
        <f t="shared" ref="H514:H516" si="8">+"CH "&amp;C514&amp;"-"&amp;D514&amp;"-"&amp;E514&amp;" "&amp;G514</f>
        <v>CH 26-5-5 Hybrid</v>
      </c>
      <c r="I514" s="100" t="s">
        <v>17493</v>
      </c>
      <c r="J514" s="108" t="s">
        <v>17494</v>
      </c>
      <c r="K514" s="100" t="s">
        <v>10772</v>
      </c>
      <c r="L514" s="59">
        <v>27500</v>
      </c>
    </row>
    <row r="515" spans="1:14" x14ac:dyDescent="0.2">
      <c r="A515" t="s">
        <v>17495</v>
      </c>
      <c r="B515" s="79" t="s">
        <v>15853</v>
      </c>
      <c r="C515" s="79" t="s">
        <v>17429</v>
      </c>
      <c r="D515" s="79">
        <v>5</v>
      </c>
      <c r="E515" s="100">
        <v>6</v>
      </c>
      <c r="F515" s="79" t="s">
        <v>17479</v>
      </c>
      <c r="G515" s="100" t="s">
        <v>15742</v>
      </c>
      <c r="H515" s="100" t="str">
        <f t="shared" si="8"/>
        <v>CH 26-5-6 Story</v>
      </c>
      <c r="I515" s="100" t="s">
        <v>17496</v>
      </c>
      <c r="J515" s="108" t="s">
        <v>17497</v>
      </c>
      <c r="L515"/>
      <c r="M515"/>
      <c r="N515"/>
    </row>
    <row r="516" spans="1:14" x14ac:dyDescent="0.2">
      <c r="A516" t="s">
        <v>17498</v>
      </c>
      <c r="B516" s="79" t="s">
        <v>15853</v>
      </c>
      <c r="C516" s="79" t="s">
        <v>17429</v>
      </c>
      <c r="D516" s="79">
        <v>5</v>
      </c>
      <c r="E516" s="100">
        <v>7</v>
      </c>
      <c r="F516" s="79" t="s">
        <v>17479</v>
      </c>
      <c r="G516" s="100" t="s">
        <v>15742</v>
      </c>
      <c r="H516" s="100" t="str">
        <f t="shared" si="8"/>
        <v>CH 26-5-7 Story</v>
      </c>
      <c r="I516" s="100" t="s">
        <v>17499</v>
      </c>
      <c r="J516" s="108" t="s">
        <v>17500</v>
      </c>
      <c r="L516"/>
      <c r="M516"/>
      <c r="N516"/>
    </row>
  </sheetData>
  <autoFilter ref="A1:S516" xr:uid="{40F5E8EE-1FEC-4D59-BFAB-11A05FADC304}">
    <sortState xmlns:xlrd2="http://schemas.microsoft.com/office/spreadsheetml/2017/richdata2" ref="A2:S516">
      <sortCondition ref="A1:A516"/>
    </sortState>
  </autoFilter>
  <phoneticPr fontId="26" type="noConversion"/>
  <hyperlinks>
    <hyperlink ref="J483" r:id="rId1" xr:uid="{E45BE40B-07CC-42F3-8AD2-2A9493E14D8A}"/>
    <hyperlink ref="J2" r:id="rId2" xr:uid="{93F714B4-C17A-4599-855F-2F11E5E1A802}"/>
    <hyperlink ref="J3" r:id="rId3" xr:uid="{E4571D67-882E-414F-A58B-6469A5B67384}"/>
    <hyperlink ref="J4" r:id="rId4" xr:uid="{151780BB-2074-4848-88D3-3315D35E47AA}"/>
    <hyperlink ref="J6" r:id="rId5" xr:uid="{15D09724-B009-4812-87F7-F1EB5440E91F}"/>
    <hyperlink ref="J7" r:id="rId6" display="https://dragalialost.wiki/w/The_Mercenary's_Test" xr:uid="{00B5211F-0886-44E8-BFE0-61B3225C58F9}"/>
    <hyperlink ref="J8" r:id="rId7" xr:uid="{A62FE47B-AF73-49FB-B106-9C563DA331B5}"/>
    <hyperlink ref="J9" r:id="rId8" xr:uid="{A0CCE5F2-CB28-4EA3-8084-AAA8612A436E}"/>
    <hyperlink ref="J10" r:id="rId9" xr:uid="{FCC57168-42DA-4127-88AE-37E6A4729EA5}"/>
    <hyperlink ref="J11" r:id="rId10" xr:uid="{21320CB2-76B9-4EB7-B735-C220AE5CAA7B}"/>
    <hyperlink ref="J12" r:id="rId11" xr:uid="{946661E6-7F16-4A7E-88E6-A1FA06613D0A}"/>
    <hyperlink ref="J5" r:id="rId12" xr:uid="{5D7716D9-398F-4C65-ABA1-F36138D0BD83}"/>
    <hyperlink ref="J13" r:id="rId13" xr:uid="{27380308-FA74-48B2-A6A6-C1B3290F458E}"/>
    <hyperlink ref="J14" r:id="rId14" xr:uid="{BC41DE9C-6005-4BF6-87C5-767F38BBFFCF}"/>
    <hyperlink ref="J15" r:id="rId15" xr:uid="{8ADFDDD1-4F76-45B1-B5AE-C42CF4C33B35}"/>
    <hyperlink ref="J16" r:id="rId16" xr:uid="{B5821A39-22C8-4E77-9C07-48C78AE882F4}"/>
    <hyperlink ref="J17" r:id="rId17" xr:uid="{0A860EBF-BB66-4236-8F34-C82E9DCA536F}"/>
    <hyperlink ref="J18" r:id="rId18" xr:uid="{4B5B864C-362C-4334-8F82-AF318A1554CA}"/>
    <hyperlink ref="J19" r:id="rId19" xr:uid="{321ED55F-953F-4278-BA5C-A567B0E87D65}"/>
    <hyperlink ref="J21" r:id="rId20" xr:uid="{8BC46765-5531-4E65-AD41-E942FDCA7B2A}"/>
    <hyperlink ref="J22" r:id="rId21" xr:uid="{80D29790-8294-47F4-827E-EDD1D3BE8AD6}"/>
    <hyperlink ref="J23" r:id="rId22" xr:uid="{92A07474-ECA3-419A-B3E5-F37783CF46E3}"/>
    <hyperlink ref="J24" r:id="rId23" xr:uid="{263DCA56-9E59-46A1-AF90-D4861B2190A0}"/>
    <hyperlink ref="J25" r:id="rId24" xr:uid="{74047A07-7B43-4863-9173-27858078EDC9}"/>
    <hyperlink ref="J26" r:id="rId25" xr:uid="{E27BB412-98EB-40A4-AA3E-462D1765C34A}"/>
    <hyperlink ref="J27" r:id="rId26" xr:uid="{B307C3C0-9C2F-46E3-8827-1B44A64078F6}"/>
    <hyperlink ref="J28" r:id="rId27" xr:uid="{CF326AC5-4E2E-4BCA-85D0-9A6183EF1D09}"/>
    <hyperlink ref="J29" r:id="rId28" xr:uid="{E68C1FF8-C32C-42A4-BAAE-6CC190F62C8C}"/>
    <hyperlink ref="J30" r:id="rId29" xr:uid="{851C7BAC-F0AD-46D5-9829-BB84064682D2}"/>
    <hyperlink ref="J32" r:id="rId30" xr:uid="{EC9466FF-8908-4876-9C93-BAD913476FFE}"/>
    <hyperlink ref="J34" r:id="rId31" xr:uid="{8F3BDD9D-AD28-496B-B104-3ED70A65AE27}"/>
    <hyperlink ref="J35" r:id="rId32" xr:uid="{D17B6EA6-E574-43D8-A329-842E1B2F6F54}"/>
    <hyperlink ref="J36" r:id="rId33" xr:uid="{68BD7904-E318-4C2B-BB69-308B0FB1A8B7}"/>
    <hyperlink ref="J37" r:id="rId34" xr:uid="{03406B4A-DCF9-452B-93C6-6887A3C5C0BA}"/>
    <hyperlink ref="J38" r:id="rId35" xr:uid="{C1C00399-C24B-4453-89DE-3ED58E24764A}"/>
    <hyperlink ref="J39" r:id="rId36" xr:uid="{E8BE0403-A2DD-4436-BA74-353D02FDBF5F}"/>
    <hyperlink ref="J40" r:id="rId37" xr:uid="{B44E1900-21D6-48FC-A166-AFBA55B4D548}"/>
    <hyperlink ref="J41" r:id="rId38" xr:uid="{12A4B49C-E76D-45DE-8F63-05AB26C44610}"/>
    <hyperlink ref="J42" r:id="rId39" xr:uid="{C4072F84-D935-4107-988D-81829B3D971C}"/>
    <hyperlink ref="J43" r:id="rId40" display="https://dragalialost.wiki/w/Terror's_Approach" xr:uid="{EB17E27C-2819-4D74-9DED-6F8620666853}"/>
    <hyperlink ref="J44" r:id="rId41" xr:uid="{5517C301-5016-47A5-ACB1-5BEE75D04DF2}"/>
    <hyperlink ref="J46" r:id="rId42" xr:uid="{965E2E81-F01C-4D83-94B9-424E68097EEF}"/>
    <hyperlink ref="J47" r:id="rId43" xr:uid="{2EEFEE6B-7E6E-46C5-B663-A7A4AC520906}"/>
    <hyperlink ref="J48" r:id="rId44" xr:uid="{1CEB203F-48BB-49B0-963A-53E8408F378D}"/>
    <hyperlink ref="J49" r:id="rId45" xr:uid="{BE7D57A8-1290-496E-8995-B8C424A6CA5D}"/>
    <hyperlink ref="J50" r:id="rId46" xr:uid="{F09E4E8A-C90C-47E7-9051-6563B6D879EE}"/>
    <hyperlink ref="J51" r:id="rId47" xr:uid="{31A995A4-08D0-46D8-893D-2BF2C198ADAA}"/>
    <hyperlink ref="J52" r:id="rId48" xr:uid="{4F0AD318-8F98-47ED-98B6-394EFCEA7D76}"/>
    <hyperlink ref="J53" r:id="rId49" xr:uid="{C188EB5A-8315-476B-8813-9D8FDBD2CCFB}"/>
    <hyperlink ref="J54" r:id="rId50" xr:uid="{9DB138A8-79B5-45CE-B4C9-F583F6B5886D}"/>
    <hyperlink ref="J55" r:id="rId51" display="https://dragalialost.wiki/w/The_Rat's_Overlook" xr:uid="{97DF6D50-1D1B-4380-966A-BC9A2DFCE4E2}"/>
    <hyperlink ref="J56" r:id="rId52" xr:uid="{6A8E4A22-C9D7-4416-A5DB-92BB0999B7BE}"/>
    <hyperlink ref="J57" r:id="rId53" xr:uid="{CDB13CEF-FD0A-440B-9743-379F5EE0ED65}"/>
    <hyperlink ref="J58" r:id="rId54" xr:uid="{F6CE33B5-737B-4699-ABEB-6990F180CC7D}"/>
    <hyperlink ref="J59" r:id="rId55" xr:uid="{E02C61E4-FF1F-4436-938C-42419CE086F4}"/>
    <hyperlink ref="J60" r:id="rId56" xr:uid="{8DEB0193-2430-4964-8134-7E9F0CAD0FBB}"/>
    <hyperlink ref="J61" r:id="rId57" xr:uid="{8045D440-7000-4054-9659-121BD7C807E6}"/>
    <hyperlink ref="J62" r:id="rId58" xr:uid="{7F38CD65-FDD7-4B5E-9ACF-1EEBD379FFA3}"/>
    <hyperlink ref="J63" r:id="rId59" xr:uid="{665E2EB1-048C-47DF-A79B-03D70810AA9D}"/>
    <hyperlink ref="J64" r:id="rId60" xr:uid="{7288A806-E50A-433D-B5F4-93B11E4D57B0}"/>
    <hyperlink ref="J65" r:id="rId61" xr:uid="{7C89DB82-70E9-487B-9036-E9FDC314EF54}"/>
    <hyperlink ref="J66" r:id="rId62" xr:uid="{8D8CA397-F143-48F6-9456-605925EE8C82}"/>
    <hyperlink ref="J67" r:id="rId63" xr:uid="{931DB03A-3455-445E-9424-B40C9826320B}"/>
    <hyperlink ref="J68" r:id="rId64" xr:uid="{CE002805-BADD-4735-9B2B-E1DA9DF8498E}"/>
    <hyperlink ref="J69" r:id="rId65" xr:uid="{B4DC9500-CE60-48CF-9FE6-F6502726021C}"/>
    <hyperlink ref="J70" r:id="rId66" xr:uid="{45B2E743-EDEE-4971-985A-79A19C87B7B0}"/>
    <hyperlink ref="J71" r:id="rId67" xr:uid="{281745C5-00E0-4F82-8310-DC451313D475}"/>
    <hyperlink ref="J72" r:id="rId68" xr:uid="{04D6F38D-B3BD-4A73-A4BD-F0C6BFDD5487}"/>
    <hyperlink ref="J73" r:id="rId69" xr:uid="{9FDE27AC-B082-4E74-8946-975F63219896}"/>
    <hyperlink ref="J74" r:id="rId70" xr:uid="{081ECAAC-7956-43C6-A803-813893BA290D}"/>
    <hyperlink ref="J76" r:id="rId71" xr:uid="{C6199E1F-CE05-4422-998A-5972B1E33666}"/>
    <hyperlink ref="J77" r:id="rId72" xr:uid="{0D705362-D38C-48F9-AAD4-86DA75987B35}"/>
    <hyperlink ref="J78" r:id="rId73" xr:uid="{A03D4B68-FC8F-4940-B508-5408CF274E4E}"/>
    <hyperlink ref="J79" r:id="rId74" xr:uid="{9E8CCFEF-0BCC-4313-8CF0-0FD48355797F}"/>
    <hyperlink ref="J80" r:id="rId75" xr:uid="{BAE8EC4D-D4AC-4D1D-AA8D-12EA2C917F2D}"/>
    <hyperlink ref="J81" r:id="rId76" xr:uid="{28CF002E-D409-40BE-87C6-C83A785DBA28}"/>
    <hyperlink ref="J82" r:id="rId77" xr:uid="{E8D0A5E1-904C-4A79-93B4-15B3CF86FA31}"/>
    <hyperlink ref="J83" r:id="rId78" xr:uid="{D78A4994-0165-4FD5-B5B8-2668B9644C38}"/>
    <hyperlink ref="J84" r:id="rId79" xr:uid="{9CC90F1A-010A-49F6-9167-6D94B5D4D2E4}"/>
    <hyperlink ref="J85" r:id="rId80" xr:uid="{B8A80836-DC05-4925-8D48-2A2CA0E6A00B}"/>
    <hyperlink ref="J86" r:id="rId81" xr:uid="{D5FCAA77-306D-4CD0-ABFE-0737BFEA126B}"/>
    <hyperlink ref="J87" r:id="rId82" xr:uid="{B9F70055-A5B3-4113-91E5-938E7A3D4BEE}"/>
    <hyperlink ref="J88" r:id="rId83" xr:uid="{AB58A775-953F-4B3E-8D7E-20B3FBF821CA}"/>
    <hyperlink ref="J89" r:id="rId84" xr:uid="{83880BB7-545D-44B8-A4A7-EF041BE08CF8}"/>
    <hyperlink ref="J91" r:id="rId85" xr:uid="{5FA48471-CC3E-43F6-96A2-8E31A07B3C03}"/>
    <hyperlink ref="J92" r:id="rId86" xr:uid="{A9288533-C2BD-4671-B776-1C0AB10C9A30}"/>
    <hyperlink ref="J93" r:id="rId87" xr:uid="{4FE89C8D-82DF-492E-82F2-7677B68BD3DE}"/>
    <hyperlink ref="J94" r:id="rId88" xr:uid="{5412ED62-DED1-41BF-A4F4-81D59B3A3910}"/>
    <hyperlink ref="J95" r:id="rId89" xr:uid="{497EF14D-E21E-4EE1-AF66-0528EB11B272}"/>
    <hyperlink ref="J96" r:id="rId90" xr:uid="{71940DEE-30EC-46A2-AF00-F12E7335B847}"/>
    <hyperlink ref="J97" r:id="rId91" xr:uid="{D24965B7-887A-4DCA-98D5-65BE055C10A9}"/>
    <hyperlink ref="J98" r:id="rId92" xr:uid="{B4199A70-A38D-4C22-91FB-F7DC097DC2A3}"/>
    <hyperlink ref="J99" r:id="rId93" xr:uid="{55502B36-6BC8-4D27-BC20-316BE3FD86C7}"/>
    <hyperlink ref="J101" r:id="rId94" xr:uid="{BC0DA45D-6F14-41DC-A557-34F3C303CA41}"/>
    <hyperlink ref="J102" r:id="rId95" xr:uid="{84A52BB9-79E3-4DD8-8D80-2FF86B8314A7}"/>
    <hyperlink ref="J103" r:id="rId96" xr:uid="{054221DE-E01C-4312-BEC4-45D76486CBEC}"/>
    <hyperlink ref="J104" r:id="rId97" xr:uid="{1460BC36-91A2-4F3A-B546-B17F579AEF80}"/>
    <hyperlink ref="J105" r:id="rId98" xr:uid="{573D1A8C-FCAC-4CA4-98C3-96C6EC9D959D}"/>
    <hyperlink ref="J106" r:id="rId99" xr:uid="{5D492FDC-44A9-4E9D-95D0-76387F733255}"/>
    <hyperlink ref="J107" r:id="rId100" xr:uid="{541DDAC8-1AC6-4EA2-9D24-148E090AB695}"/>
    <hyperlink ref="J108" r:id="rId101" xr:uid="{52BF95CE-A848-4786-BD2E-360B4155E9B8}"/>
    <hyperlink ref="J109" r:id="rId102" xr:uid="{BC039691-D707-4ED0-833F-4BAEB0AA9687}"/>
    <hyperlink ref="J111" r:id="rId103" xr:uid="{FD79CBEA-3657-48CA-B296-074AD9D42779}"/>
    <hyperlink ref="J112" r:id="rId104" xr:uid="{A1BF562E-E574-401A-AFED-2FFA6B3CD405}"/>
    <hyperlink ref="J113" r:id="rId105" xr:uid="{9B7833A5-9C32-44B7-A1FA-02B01BE6FF1F}"/>
    <hyperlink ref="J114" r:id="rId106" xr:uid="{E03DA4B0-48DA-4E19-B237-CBD97422BB77}"/>
    <hyperlink ref="J115" r:id="rId107" xr:uid="{8140D9B1-7440-4DDD-BAFE-22008FE40266}"/>
    <hyperlink ref="J116" r:id="rId108" xr:uid="{95A0A99D-BED4-49A9-BE98-F7F23147D25C}"/>
    <hyperlink ref="J117" r:id="rId109" xr:uid="{9D78BF11-60BC-4179-BF18-0DA26571B250}"/>
    <hyperlink ref="J118" r:id="rId110" xr:uid="{B54B45BB-A171-421C-AD57-FC3E9C99BB05}"/>
    <hyperlink ref="J119" r:id="rId111" xr:uid="{F42860A9-1F03-48B9-9763-98547B21DD4C}"/>
    <hyperlink ref="J121" r:id="rId112" xr:uid="{EDCD1268-8AE2-4227-A2C2-B19E862982C0}"/>
    <hyperlink ref="J122" r:id="rId113" xr:uid="{2AE5A78E-0816-4301-B127-DF5C394C3664}"/>
    <hyperlink ref="J123" r:id="rId114" xr:uid="{016D80A3-9499-4806-A5A8-89924ED80407}"/>
    <hyperlink ref="J124" r:id="rId115" xr:uid="{04AD72AA-2E06-4A3F-8450-C7B2DA5C40D8}"/>
    <hyperlink ref="J125" r:id="rId116" xr:uid="{27A78615-63DA-440B-AFA7-19FB30E6844B}"/>
    <hyperlink ref="J126" r:id="rId117" xr:uid="{3D094D0A-038C-485B-8883-0ED9C85C7470}"/>
    <hyperlink ref="J127" r:id="rId118" xr:uid="{02939963-AD5A-4DF8-A6D2-752109365941}"/>
    <hyperlink ref="J128" r:id="rId119" xr:uid="{E90D400D-77E8-4BC4-9E3B-25CA702983DD}"/>
    <hyperlink ref="J129" r:id="rId120" xr:uid="{08605C29-F668-4CC9-AC99-730FCEFE4D69}"/>
    <hyperlink ref="J130" r:id="rId121" xr:uid="{497125E5-0DB0-4014-8CE8-8F1853AED8A3}"/>
    <hyperlink ref="J132" r:id="rId122" xr:uid="{6397C322-B99F-487D-A668-576195AE1517}"/>
    <hyperlink ref="J133" r:id="rId123" xr:uid="{799362B5-55B8-429A-83F0-FE9D9316E813}"/>
    <hyperlink ref="J134" r:id="rId124" xr:uid="{D2DD51D8-059E-435C-A7D6-39AC06DBC9E2}"/>
    <hyperlink ref="J135" r:id="rId125" xr:uid="{61EC6E65-D4F9-4DC0-AB0F-DB206F719BCF}"/>
    <hyperlink ref="J136" r:id="rId126" xr:uid="{BC437A9F-F16D-43A2-965F-07CFF95AEB7E}"/>
    <hyperlink ref="J137" r:id="rId127" xr:uid="{322B5795-D711-4A8C-95CA-9217BFF33625}"/>
    <hyperlink ref="J138" r:id="rId128" xr:uid="{FEA137FE-E268-4F91-9521-D1BFFC573096}"/>
    <hyperlink ref="J139" r:id="rId129" xr:uid="{8C14D2C8-F39F-4197-974B-B69D20BB4795}"/>
    <hyperlink ref="J140" r:id="rId130" xr:uid="{8193E029-2090-4502-91BA-7F3F9D4618FA}"/>
    <hyperlink ref="J141" r:id="rId131" xr:uid="{48EBE1A6-3CF4-4B55-AAF8-AA308EFB3063}"/>
    <hyperlink ref="J142" r:id="rId132" xr:uid="{7E4A6CC2-6DF5-4B27-9F6A-6CEE2C2B9E09}"/>
    <hyperlink ref="J144" r:id="rId133" xr:uid="{9D4C4997-72CB-48D6-9567-FFB546570651}"/>
    <hyperlink ref="J145" r:id="rId134" xr:uid="{DF34E046-F477-4187-9DE8-AD6436685CB8}"/>
    <hyperlink ref="J146" r:id="rId135" xr:uid="{62091102-83C5-4982-A3FB-FA6F3B1520EB}"/>
    <hyperlink ref="J148" r:id="rId136" xr:uid="{AFD9F96A-D04F-4AEC-9303-6376174DE2AA}"/>
    <hyperlink ref="J149" r:id="rId137" xr:uid="{1D713622-FF7E-453D-86F7-C0DB1503017F}"/>
    <hyperlink ref="J150" r:id="rId138" xr:uid="{750E6F89-0708-4DF5-B34F-BA4A02554B32}"/>
    <hyperlink ref="J151" r:id="rId139" xr:uid="{3D46F6C8-A882-4FA9-B6A2-9AC6BAB9ABFE}"/>
    <hyperlink ref="J152" r:id="rId140" xr:uid="{A1E36703-E498-4C60-B326-C6F9598F66BC}"/>
    <hyperlink ref="J153" r:id="rId141" display="https://dragalialost.wiki/w/The_Undead's_Approach" xr:uid="{6250CA53-3566-4ADF-9DDB-4C2491831CE7}"/>
    <hyperlink ref="J154" r:id="rId142" xr:uid="{2016EDBF-4743-4116-B423-C10E1C9E3092}"/>
    <hyperlink ref="J155" r:id="rId143" xr:uid="{5768CDB5-D7E2-4053-9B45-7112FC350068}"/>
    <hyperlink ref="J156" r:id="rId144" xr:uid="{A8E53E4A-98A7-486D-B854-9EDD0EECBAD5}"/>
    <hyperlink ref="J157" r:id="rId145" xr:uid="{3F271A75-0428-4265-B1FA-C1E5703807DE}"/>
    <hyperlink ref="J159" r:id="rId146" xr:uid="{7AC0FC67-8022-41C1-B833-84DEA27D766D}"/>
    <hyperlink ref="J160" r:id="rId147" xr:uid="{00D432BC-2033-4AD0-9262-DFE271395349}"/>
    <hyperlink ref="J161" r:id="rId148" xr:uid="{7BD7668E-ED72-42F4-9CE1-1B38D8C35498}"/>
    <hyperlink ref="J162" r:id="rId149" xr:uid="{05B40F72-9E55-42C5-BBFD-E8A16781EC9B}"/>
    <hyperlink ref="J163" r:id="rId150" xr:uid="{8FF1474E-B4AE-4052-9E69-AFA9B4AE449C}"/>
    <hyperlink ref="J164" r:id="rId151" xr:uid="{9B0416A7-AD05-4BF9-A17E-54FFB1F13505}"/>
    <hyperlink ref="J166" r:id="rId152" xr:uid="{104AB9FA-C518-4FEA-8EB6-C7A63E419576}"/>
    <hyperlink ref="J167" r:id="rId153" xr:uid="{6D4E0F35-2BD7-4883-83DA-C6B4DADD15A4}"/>
    <hyperlink ref="J168" r:id="rId154" display="https://dragalialost.wiki/w/The_Fiends'_Feast" xr:uid="{13551658-EC37-4659-A4F3-689695E6A5CE}"/>
    <hyperlink ref="J169" r:id="rId155" xr:uid="{97989A4A-6A6F-4CB9-BD5C-A711230C274C}"/>
    <hyperlink ref="J170" r:id="rId156" xr:uid="{2EBBC22F-01A5-4471-912C-6A15928EDBEF}"/>
    <hyperlink ref="J171" r:id="rId157" xr:uid="{E87004AC-E832-48AD-A944-190C66AF185C}"/>
    <hyperlink ref="J172" r:id="rId158" xr:uid="{F3A4231B-8A4E-4350-B58A-2395B04AD5E0}"/>
    <hyperlink ref="J173" r:id="rId159" xr:uid="{9776BCE1-BB9B-43DD-903F-228BC5E9373A}"/>
    <hyperlink ref="J174" r:id="rId160" xr:uid="{17D74FEA-75BA-419F-B0A7-45ED47B85BA2}"/>
    <hyperlink ref="J175" r:id="rId161" xr:uid="{EEF4DD74-C55A-4876-AD0C-C0574DAD33E1}"/>
    <hyperlink ref="J176" r:id="rId162" xr:uid="{1369E766-E2D4-4773-82BA-AACFD16AEF60}"/>
    <hyperlink ref="J177" r:id="rId163" xr:uid="{4A72F38F-E8C5-4571-9456-339393DD002F}"/>
    <hyperlink ref="J178" r:id="rId164" xr:uid="{09A1696C-5884-445A-A729-AF06C99C56D2}"/>
    <hyperlink ref="J179" r:id="rId165" xr:uid="{2B53D14F-10C3-4FFF-A3B2-9D792EDE2B97}"/>
    <hyperlink ref="J181" r:id="rId166" xr:uid="{CDB10BE6-F731-40CC-9370-3624E298AC4F}"/>
    <hyperlink ref="J182" r:id="rId167" xr:uid="{700BDCF5-5A3C-4FB9-8BFD-8851B6FEE873}"/>
    <hyperlink ref="J183" r:id="rId168" xr:uid="{6F43E68C-CF51-4758-A5DD-9A8EF29BD85A}"/>
    <hyperlink ref="J184" r:id="rId169" xr:uid="{AED36841-DB1A-4236-B7B4-DE82BA172FBE}"/>
    <hyperlink ref="J185" r:id="rId170" xr:uid="{64D48FF1-5918-4B96-9C77-97E1EE40307A}"/>
    <hyperlink ref="J187" r:id="rId171" xr:uid="{FA54AB2B-5D07-49B0-AB09-684ABCB10F02}"/>
    <hyperlink ref="J188" r:id="rId172" xr:uid="{8250F29A-1C48-4847-B228-DB25B19280E0}"/>
    <hyperlink ref="J189" r:id="rId173" display="https://dragalialost.wiki/w/A_Corpse's_Invitation" xr:uid="{737E0D72-646E-4E69-82FE-100D17885DE7}"/>
    <hyperlink ref="J191" r:id="rId174" xr:uid="{81C73D24-F93B-463F-B867-5A9B8F97E2B1}"/>
    <hyperlink ref="J193" r:id="rId175" xr:uid="{D7537858-BBF5-4D64-8BCA-F83F599EB59D}"/>
    <hyperlink ref="J194" r:id="rId176" xr:uid="{3397324B-7502-4FC3-ACBE-3084349550AD}"/>
    <hyperlink ref="J195" r:id="rId177" xr:uid="{C4E4557F-C6AB-4586-9FF5-EA5B26BED5D0}"/>
    <hyperlink ref="J196" r:id="rId178" xr:uid="{FB4437AF-E254-40F2-83E0-20B64D661B2D}"/>
    <hyperlink ref="J197" r:id="rId179" xr:uid="{26CE2206-843D-4112-B7D8-812BC4F79A2A}"/>
    <hyperlink ref="J198" r:id="rId180" xr:uid="{D4013B04-EE54-420F-8D72-B4E9E47B171E}"/>
    <hyperlink ref="J199" r:id="rId181" xr:uid="{3EC6D0F4-3179-4A50-8D0B-91EF21307B02}"/>
    <hyperlink ref="J200" r:id="rId182" display="https://dragalialost.wiki/w/Prince_Emile's_Obsession" xr:uid="{A1A1D558-A632-4E62-9BEC-706132E34568}"/>
    <hyperlink ref="J201" r:id="rId183" xr:uid="{5D77780D-2C2A-4428-84D3-E3CBCDC17F8D}"/>
    <hyperlink ref="J202" r:id="rId184" xr:uid="{88E075FC-F722-40E8-96AB-500304A8AD18}"/>
    <hyperlink ref="J180" r:id="rId185" xr:uid="{1E3D305A-E4B1-4820-AA1C-50A0F4C894D7}"/>
    <hyperlink ref="J186" r:id="rId186" xr:uid="{2F3F15CD-F4C8-4D5D-8ACE-BABEF856579A}"/>
    <hyperlink ref="J190" r:id="rId187" xr:uid="{C9E33560-58D5-4BDC-BD3F-CA3CC7D3EBC8}"/>
    <hyperlink ref="J192" r:id="rId188" display="https://dragalialost.wiki/w/The_Netherwyrm's_Roar" xr:uid="{14E365D6-DC94-4A8F-84CB-4B949BAB0BDC}"/>
    <hyperlink ref="J203" r:id="rId189" xr:uid="{D987F30D-BA4B-4781-9817-B3B109878322}"/>
    <hyperlink ref="J204" r:id="rId190" xr:uid="{A3230DB4-BE18-4FB0-81AB-1935B7FAFC33}"/>
    <hyperlink ref="J205" r:id="rId191" xr:uid="{4F90EE5D-A49E-4057-B740-1B5C3658EC3D}"/>
    <hyperlink ref="J206" r:id="rId192" xr:uid="{65EC6F81-4FCD-43AB-A33C-55AA5397B810}"/>
    <hyperlink ref="J207" r:id="rId193" xr:uid="{DFC2214B-C400-4FFF-A061-F8A21FB22B64}"/>
    <hyperlink ref="J208" r:id="rId194" xr:uid="{60041CD0-8CBC-4DA2-8D1E-83B17ED7C8BC}"/>
    <hyperlink ref="J209" r:id="rId195" xr:uid="{2E4438D0-FAC8-4605-A50F-46FBC9EFA852}"/>
    <hyperlink ref="J210" r:id="rId196" xr:uid="{FAD81AEB-C038-477D-84D6-F537F6056332}"/>
    <hyperlink ref="J211" r:id="rId197" xr:uid="{E763DC69-DA8D-4E72-9778-B848BA3E61F7}"/>
    <hyperlink ref="J212" r:id="rId198" xr:uid="{69628E4C-CD9C-4430-B2A2-EDC33553A118}"/>
    <hyperlink ref="J213" r:id="rId199" xr:uid="{74C32E6B-008E-4FE6-AA5C-EB9E05F3BE54}"/>
    <hyperlink ref="J214" r:id="rId200" xr:uid="{853279E5-5198-4AD6-B934-4FFBEE103BDE}"/>
    <hyperlink ref="J215" r:id="rId201" xr:uid="{03296143-375C-4243-B26E-244180919AD3}"/>
    <hyperlink ref="J216" r:id="rId202" xr:uid="{5D99037F-3C54-4C0C-B4A3-47886D7B4FD8}"/>
    <hyperlink ref="J217" r:id="rId203" xr:uid="{8BBEA438-DE62-4E1C-AA87-7619AEFBD318}"/>
    <hyperlink ref="J218" r:id="rId204" xr:uid="{5847E473-465C-4871-AA32-43D0F3B65986}"/>
    <hyperlink ref="J219" r:id="rId205" xr:uid="{B55F5FEB-7353-4A95-8291-5694181F1853}"/>
    <hyperlink ref="J220" r:id="rId206" xr:uid="{85A781B4-37BE-4686-9BEE-8C410C42D216}"/>
    <hyperlink ref="J221" r:id="rId207" xr:uid="{532F1340-4FB5-480E-87FC-DEAD7200100E}"/>
    <hyperlink ref="J222" r:id="rId208" xr:uid="{055A8E14-C64F-465C-AFFB-59E7FFCDEED4}"/>
    <hyperlink ref="J223" r:id="rId209" xr:uid="{9972177F-AA88-4ED1-A70D-EB9549AE5CD4}"/>
    <hyperlink ref="J224" r:id="rId210" xr:uid="{20660462-60AA-4179-83B2-D684C24E9CE8}"/>
    <hyperlink ref="J225" r:id="rId211" xr:uid="{B1C32051-62C8-4E53-B25A-B894B2BBC93E}"/>
    <hyperlink ref="J226" r:id="rId212" xr:uid="{1A92228E-2BE7-49FF-8667-08EE59997FBD}"/>
    <hyperlink ref="J227" r:id="rId213" xr:uid="{3F498C03-B25D-4874-AA9E-0EC8979F55F0}"/>
    <hyperlink ref="J228" r:id="rId214" xr:uid="{C289999F-3416-4C11-B11C-4FE3AC56A770}"/>
    <hyperlink ref="J230" r:id="rId215" xr:uid="{8D95A09C-A2C5-4A60-B147-A4D0CBB846BA}"/>
    <hyperlink ref="J231" r:id="rId216" xr:uid="{F7EFE46A-8391-43C6-A71C-682CCD1C8DD6}"/>
    <hyperlink ref="J232" r:id="rId217" xr:uid="{23984852-5113-40CB-9047-59E582D1F34F}"/>
    <hyperlink ref="J233" r:id="rId218" xr:uid="{F605C0F0-9958-4B33-94E4-0DD787FC3EBB}"/>
    <hyperlink ref="J235" r:id="rId219" xr:uid="{1FA64DE9-FB73-4073-BAD2-169C30FB19DC}"/>
    <hyperlink ref="J236" r:id="rId220" xr:uid="{DD4594B3-5E0E-4D9C-A75D-D8ACCE4B84DA}"/>
    <hyperlink ref="J237" r:id="rId221" xr:uid="{71937311-6F0D-4D19-9C3B-AF7A14BED9C4}"/>
    <hyperlink ref="J238" r:id="rId222" xr:uid="{0F86DA9D-F770-4712-8F05-5A5383DB5263}"/>
    <hyperlink ref="J239" r:id="rId223" xr:uid="{69A5FECE-31EB-4424-8442-8D90C8DD2BC5}"/>
    <hyperlink ref="J240" r:id="rId224" xr:uid="{F8867202-758D-429B-A097-0E44FC08252E}"/>
    <hyperlink ref="J241" r:id="rId225" xr:uid="{83E3147E-7A89-401C-BFB8-66D27A78388A}"/>
    <hyperlink ref="J242" r:id="rId226" xr:uid="{C85F3E1E-B8CC-40ED-B463-7C0D5C06B99A}"/>
    <hyperlink ref="J243" r:id="rId227" xr:uid="{E2B4A740-9F5E-451C-A9DD-5F1671DABE82}"/>
    <hyperlink ref="J244" r:id="rId228" xr:uid="{C42C8CF8-8AD3-4FE5-842E-621870ADE1AE}"/>
    <hyperlink ref="J245" r:id="rId229" xr:uid="{C9689A6E-F955-403C-8B05-B6375D8ED4BA}"/>
    <hyperlink ref="J246" r:id="rId230" xr:uid="{CE4B0CC3-E2FC-42C9-AA14-8B7FAC0F8A1F}"/>
    <hyperlink ref="J247" r:id="rId231" xr:uid="{33D3CC39-67D1-4254-B8FD-B576728EA7BF}"/>
    <hyperlink ref="J248" r:id="rId232" xr:uid="{DF73540F-0930-48E1-B261-C3F452128A0F}"/>
    <hyperlink ref="J249" r:id="rId233" xr:uid="{1F856370-49C4-4FC2-82ED-26B8D2A799FF}"/>
    <hyperlink ref="J250" r:id="rId234" xr:uid="{C7A6789C-2B04-4B07-80BA-B2A793577179}"/>
    <hyperlink ref="J251" r:id="rId235" xr:uid="{51081636-4E78-44BA-A86B-59CE6488BFDD}"/>
    <hyperlink ref="J252" r:id="rId236" xr:uid="{AF70BC1A-95AB-4BDA-AB48-C61075F7879B}"/>
    <hyperlink ref="J253" r:id="rId237" xr:uid="{6C6310B4-8938-4E9C-9B7E-D04A0FC08DF3}"/>
    <hyperlink ref="J254" r:id="rId238" xr:uid="{65DC7C82-D3C0-474E-BAC2-85633132C7C4}"/>
    <hyperlink ref="J255" r:id="rId239" xr:uid="{6A15D6CF-730A-4FAC-A683-0F90B4A2C92C}"/>
    <hyperlink ref="J256" r:id="rId240" xr:uid="{3631E4EB-8D96-46BC-A4A9-771CE6C478BE}"/>
    <hyperlink ref="J257" r:id="rId241" display="https://dragalialost.wiki/w/The_Other's_Assassins" xr:uid="{89769D23-81A5-462A-A769-0ADD3BC17233}"/>
    <hyperlink ref="J258" r:id="rId242" xr:uid="{691883DB-0BCA-49E4-8B0B-5810CDFFB6A8}"/>
    <hyperlink ref="J260" r:id="rId243" xr:uid="{05E2380B-D490-4A30-97B1-6BCF579B80D7}"/>
    <hyperlink ref="J261" r:id="rId244" xr:uid="{AE4DABD0-9E90-4338-9D28-DEB6B3E118EB}"/>
    <hyperlink ref="J263" r:id="rId245" xr:uid="{5C2F6D2F-E599-4638-8B83-7A64C3CADAA2}"/>
    <hyperlink ref="J264" r:id="rId246" xr:uid="{870080CC-C9E3-4785-98FB-A22E3F0DAE05}"/>
    <hyperlink ref="J265" r:id="rId247" xr:uid="{BAD28DEC-A127-407A-B026-6BD7EE509949}"/>
    <hyperlink ref="J266" r:id="rId248" xr:uid="{131A6A13-FBD6-4C9A-9A7F-772FD8F177CE}"/>
    <hyperlink ref="J267" r:id="rId249" display="https://dragalialost.wiki/w/To_the_Demon's_Throne" xr:uid="{ADDD2FEC-924B-43C7-969D-FB268A1BE399}"/>
    <hyperlink ref="J269" r:id="rId250" xr:uid="{16F3FC5C-0242-4283-B789-0C10125C8D24}"/>
    <hyperlink ref="J270" r:id="rId251" xr:uid="{01FFED0F-FD13-440D-AA64-7FE97441F005}"/>
    <hyperlink ref="J271" r:id="rId252" xr:uid="{47C8D664-965D-4B64-95CF-8EDD7E28B1B1}"/>
    <hyperlink ref="J272" r:id="rId253" xr:uid="{9256F293-B4BA-40E8-BEE4-3B7A0264F90A}"/>
    <hyperlink ref="J273" r:id="rId254" xr:uid="{41C0CEFE-05B0-4748-9505-C985A5EFE44E}"/>
    <hyperlink ref="J274" r:id="rId255" xr:uid="{F529165B-057B-4CEE-AEC1-1A9127E6ADD3}"/>
    <hyperlink ref="J275" r:id="rId256" xr:uid="{4E83A243-D45E-4A41-A216-BAFD9764F09E}"/>
    <hyperlink ref="J276" r:id="rId257" xr:uid="{2286A140-8F45-4222-A4E0-FCF172B5AE52}"/>
    <hyperlink ref="J277" r:id="rId258" xr:uid="{D54BA187-3864-462F-A000-0A8DFFD1C908}"/>
    <hyperlink ref="J278" r:id="rId259" xr:uid="{BCA3A70B-33B2-4931-B388-0BB370B5E5E8}"/>
    <hyperlink ref="J279" r:id="rId260" xr:uid="{24270285-BC47-4A47-A413-6E6A6FEA061D}"/>
    <hyperlink ref="J281" r:id="rId261" xr:uid="{2CEEE11E-B110-4484-B8FD-A35F89533BB8}"/>
    <hyperlink ref="J282" r:id="rId262" xr:uid="{B563324B-F441-404C-981C-B73B8D3FA59D}"/>
    <hyperlink ref="J283" r:id="rId263" xr:uid="{E18BB029-821C-4530-85DD-F54706E1EF5E}"/>
    <hyperlink ref="J284" r:id="rId264" xr:uid="{1A79B1A9-CA88-4BDA-807E-22F5D9F572DD}"/>
    <hyperlink ref="J285" r:id="rId265" xr:uid="{02950940-A0A4-4FCB-A224-0DB506934E86}"/>
    <hyperlink ref="J286" r:id="rId266" xr:uid="{5B1A33D1-CE10-4A13-8B59-57CE6F3FDF13}"/>
    <hyperlink ref="J287" r:id="rId267" xr:uid="{CA0D199F-089C-4CFD-B254-30AAA12178CC}"/>
    <hyperlink ref="J288" r:id="rId268" display="https://dragalialost.wiki/w/The_Warrior's_Challenge" xr:uid="{78D05D39-2635-4D7A-BA27-12CD380DAB7D}"/>
    <hyperlink ref="J289" r:id="rId269" xr:uid="{B6273B2B-A547-4427-BE7C-E43DC1A8DE8E}"/>
    <hyperlink ref="J290" r:id="rId270" display="https://dragalialost.wiki/w/The_Fulminator's_Fury" xr:uid="{10343D17-9D3A-4211-A9BE-AEDF3B3F512D}"/>
    <hyperlink ref="J292" r:id="rId271" xr:uid="{16BA0825-741A-4FD7-B0E5-83D2AA7144A3}"/>
    <hyperlink ref="J293" r:id="rId272" xr:uid="{964DA912-ED98-4E53-8FDA-F5A9E946CA1E}"/>
    <hyperlink ref="J294" r:id="rId273" xr:uid="{F5971664-8D70-4D80-B0EB-B7E62475E49C}"/>
    <hyperlink ref="J295" r:id="rId274" xr:uid="{0745423D-F707-4223-8575-E46EE30053A5}"/>
    <hyperlink ref="J296" r:id="rId275" xr:uid="{393ACE07-4059-47CF-8C78-6FDDE691FEEC}"/>
    <hyperlink ref="J297" r:id="rId276" xr:uid="{FACBE17E-E81A-46D6-ADF0-B17DC90814E2}"/>
    <hyperlink ref="J298" r:id="rId277" xr:uid="{7733E410-4712-4CF2-8683-29D3F4851FB8}"/>
    <hyperlink ref="J299" r:id="rId278" xr:uid="{ADBC874A-1EC8-4F6E-84D3-76E3F89EBD3D}"/>
    <hyperlink ref="J301" r:id="rId279" xr:uid="{4D07BEF1-7472-473B-826F-AE1818BF95CD}"/>
    <hyperlink ref="J302" r:id="rId280" xr:uid="{357C9D3E-73FB-4860-A1F9-2F4EE93798A1}"/>
    <hyperlink ref="J303" r:id="rId281" xr:uid="{7A2AA2B4-68DC-45B1-8EB2-D86B8214C620}"/>
    <hyperlink ref="J304" r:id="rId282" xr:uid="{F0CD3896-8FC7-4D7E-9B09-8D138D905ADD}"/>
    <hyperlink ref="J305" r:id="rId283" xr:uid="{32E9B07A-13EA-4CAA-AD91-745113A2C4E8}"/>
    <hyperlink ref="J306" r:id="rId284" xr:uid="{5184DF3A-E2EA-4116-949C-4C24990DDF81}"/>
    <hyperlink ref="J307" r:id="rId285" display="https://dragalialost.wiki/w/The_Dragon's_Whereabouts" xr:uid="{EA19E9EB-20C9-427E-ACB0-EBD47FBA0FA9}"/>
    <hyperlink ref="J308" r:id="rId286" xr:uid="{79935DF4-7A31-4EAD-9D64-1C9086F62CC0}"/>
    <hyperlink ref="J310" r:id="rId287" xr:uid="{6E2D1E20-71C6-4535-8D2C-DC2C319780DE}"/>
    <hyperlink ref="J311" r:id="rId288" xr:uid="{5E67BE92-4E9A-4654-BB53-074562992B4D}"/>
    <hyperlink ref="J312" r:id="rId289" xr:uid="{5265A3E7-4997-4AC4-A153-B51D2C0D5D52}"/>
    <hyperlink ref="J313" r:id="rId290" xr:uid="{55604EA2-6273-4744-B5F2-C120EC2D74FB}"/>
    <hyperlink ref="J314" r:id="rId291" xr:uid="{E8DE802E-2980-4BB3-9F04-BEF46F7453D9}"/>
    <hyperlink ref="J315" r:id="rId292" xr:uid="{340FC166-6062-4CF1-9698-B4EAA9FE1054}"/>
    <hyperlink ref="J316" r:id="rId293" xr:uid="{BE275461-C110-4FAC-9694-88139716F51E}"/>
    <hyperlink ref="J291" r:id="rId294" xr:uid="{69721AF7-8520-43E4-91F7-BBD52D1ADA05}"/>
    <hyperlink ref="J300" r:id="rId295" xr:uid="{59005E86-522E-4B8A-A593-15F4924F1C09}"/>
    <hyperlink ref="J309" r:id="rId296" xr:uid="{1D442437-C6ED-487A-9668-276ACCDA3C88}"/>
    <hyperlink ref="J268" r:id="rId297" xr:uid="{6821B915-8745-4F1D-A705-864382CCF368}"/>
    <hyperlink ref="J262" r:id="rId298" xr:uid="{C0A66588-8B19-4C0C-9B29-970764D435A9}"/>
    <hyperlink ref="J259" r:id="rId299" xr:uid="{063DAA7B-A9E0-4145-89D5-C011BD9A7471}"/>
    <hyperlink ref="J280" r:id="rId300" xr:uid="{D1860458-375B-45EC-B2C5-3076B1F0AB6B}"/>
    <hyperlink ref="J229" r:id="rId301" xr:uid="{41F8924D-C07E-466A-87A3-BA4D0E033FED}"/>
    <hyperlink ref="J234" r:id="rId302" xr:uid="{6535D9EA-5693-4668-9041-519FEEE80D7B}"/>
    <hyperlink ref="J328" r:id="rId303" xr:uid="{8528BE78-28BE-44BE-B7F7-6E13D54F84C5}"/>
    <hyperlink ref="J317" r:id="rId304" xr:uid="{B3AE6841-6BDF-40FE-A3FB-C5EE34F53BE9}"/>
    <hyperlink ref="J318" r:id="rId305" xr:uid="{B129D4F7-12FC-40D9-9161-E4E2A962914E}"/>
    <hyperlink ref="J319" r:id="rId306" xr:uid="{DB6334A1-E6EB-46EC-BA36-9B46BA97959B}"/>
    <hyperlink ref="J320" r:id="rId307" xr:uid="{2EBCC3BB-24BE-4AF2-B4A1-47E0AFA5F22A}"/>
    <hyperlink ref="J321" r:id="rId308" xr:uid="{131089C4-47C9-4DF9-8E7D-FA8196EAA7EF}"/>
    <hyperlink ref="J322" r:id="rId309" xr:uid="{0382BF4F-648B-4F70-AAA7-002A2E29C7D9}"/>
    <hyperlink ref="J323" r:id="rId310" display="https://dragalialost.wiki/w/The_Guards'_Pursuit" xr:uid="{AC5E20FA-542B-440B-BCE7-262A3E90E9BC}"/>
    <hyperlink ref="J324" r:id="rId311" xr:uid="{97C0E4B4-367F-4463-AE39-4FB7AE628C72}"/>
    <hyperlink ref="J325" r:id="rId312" xr:uid="{04EEFC07-D9BF-404C-B3CD-00BB173860DE}"/>
    <hyperlink ref="J326" r:id="rId313" xr:uid="{CD432625-9D5F-4870-A20B-698B6D07E415}"/>
    <hyperlink ref="J327" r:id="rId314" xr:uid="{F78D549D-16E0-4D54-B504-6704A35FD470}"/>
    <hyperlink ref="J329" r:id="rId315" xr:uid="{BB553C9C-AA0B-47A3-AC93-2EA794417D63}"/>
    <hyperlink ref="J330" r:id="rId316" xr:uid="{98492329-48E8-4AD6-B112-1E15F3C45E58}"/>
    <hyperlink ref="J331" r:id="rId317" xr:uid="{23DF4EB3-CAF6-44E2-99D7-C83B2CB4E17E}"/>
    <hyperlink ref="J332" r:id="rId318" xr:uid="{16B464D7-B408-44D2-8EE4-3728100B81D5}"/>
    <hyperlink ref="J333" r:id="rId319" xr:uid="{CB7B19FF-D849-4534-97C2-B77106BF28E9}"/>
    <hyperlink ref="J334" r:id="rId320" xr:uid="{9BCCE63B-CBFC-4C4E-B6B1-AFFF598C05BA}"/>
    <hyperlink ref="J335" r:id="rId321" xr:uid="{0BA47678-243E-4E01-893C-C5E45B21B3D7}"/>
    <hyperlink ref="J336" r:id="rId322" xr:uid="{8E65ADDC-8B44-49C9-90D9-0685730A7837}"/>
    <hyperlink ref="J337" r:id="rId323" xr:uid="{2F9D2D8E-517C-4BC9-80C2-77A7CD65D7C7}"/>
    <hyperlink ref="J338" r:id="rId324" xr:uid="{90977443-B0CD-4BEC-BAEE-61A7DA278650}"/>
    <hyperlink ref="J339" r:id="rId325" xr:uid="{70466C27-6C98-4998-AE5C-BFE876DBA8BF}"/>
    <hyperlink ref="J340" r:id="rId326" xr:uid="{2A3DE72F-2CD9-4A83-B69A-61BD350BC513}"/>
    <hyperlink ref="J341" r:id="rId327" xr:uid="{C5402206-C745-4A6C-A636-589A1108656E}"/>
    <hyperlink ref="J342" r:id="rId328" xr:uid="{65236082-0F64-4EE4-B65A-26846EC7D67E}"/>
    <hyperlink ref="J343" r:id="rId329" xr:uid="{21C5F7F3-A528-4F37-94E0-34B294883074}"/>
    <hyperlink ref="J344" r:id="rId330" xr:uid="{07385046-50CF-4D96-9A6D-947A521BBAE5}"/>
    <hyperlink ref="J345" r:id="rId331" xr:uid="{7965E6E8-6092-4BCE-AF2B-2E879F57E4CD}"/>
    <hyperlink ref="J346" r:id="rId332" xr:uid="{56BFCE44-575D-48FF-AA94-9F23578366A0}"/>
    <hyperlink ref="J347" r:id="rId333" xr:uid="{1CB19960-DCC9-4212-BAB5-53489CECD417}"/>
    <hyperlink ref="J348" r:id="rId334" xr:uid="{FAA31BD3-835B-4C1C-B8B4-26D562E9CA0A}"/>
    <hyperlink ref="J349" r:id="rId335" xr:uid="{99DACBAA-EE07-4AFD-B455-73A90C5CEAF7}"/>
    <hyperlink ref="J350" r:id="rId336" xr:uid="{478801B5-1E66-41BD-8FD4-E3B322F26342}"/>
    <hyperlink ref="J351" r:id="rId337" xr:uid="{B69BAB70-40D4-4891-B046-A41284AEC36C}"/>
    <hyperlink ref="J352" r:id="rId338" xr:uid="{FEEA0E05-4D02-4B24-AD6E-FEE006E325AE}"/>
    <hyperlink ref="J353" r:id="rId339" xr:uid="{C4671C41-360E-401D-8307-C2CBADA18751}"/>
    <hyperlink ref="J354" r:id="rId340" xr:uid="{592D6B37-529B-45D1-B861-16F25CD2DB57}"/>
    <hyperlink ref="J355" r:id="rId341" xr:uid="{E5B47D77-936F-41AC-B234-7BCF847EF142}"/>
    <hyperlink ref="J356" r:id="rId342" xr:uid="{1649C6E3-4047-4C2B-A30A-867391C47085}"/>
    <hyperlink ref="J357" r:id="rId343" xr:uid="{AF0E8045-F99D-44E0-BBFA-9852CB829203}"/>
    <hyperlink ref="J358" r:id="rId344" xr:uid="{23A3B968-2980-4EAB-AE2D-564F8571D453}"/>
    <hyperlink ref="J360" r:id="rId345" xr:uid="{74476C88-07A6-4210-8E02-1E449E963BCB}"/>
    <hyperlink ref="J362" r:id="rId346" xr:uid="{0569E430-07C7-43B8-A08F-6F188C2D77B5}"/>
    <hyperlink ref="J363" r:id="rId347" xr:uid="{33450B35-AAAE-4C97-85AF-438B7BC5F297}"/>
    <hyperlink ref="J364" r:id="rId348" xr:uid="{DA7CE7E9-A747-4621-B7F1-D4EA62DD6C6D}"/>
    <hyperlink ref="J366" r:id="rId349" xr:uid="{BFEC652E-8A22-4BE9-BD6C-1D0FCC90A389}"/>
    <hyperlink ref="J368" r:id="rId350" xr:uid="{71392549-03B9-4580-AF70-6A16B4AE4527}"/>
    <hyperlink ref="J369" r:id="rId351" xr:uid="{9CF20740-245E-4956-AA23-CD783F8BF110}"/>
    <hyperlink ref="J370" r:id="rId352" xr:uid="{22EECCDC-846D-44B4-9452-353524180BB7}"/>
    <hyperlink ref="J371" r:id="rId353" xr:uid="{818DC81A-2F0D-4522-AF07-CC7A375258D6}"/>
    <hyperlink ref="J372" r:id="rId354" display="https://dragalialost.wiki/w/The_Androids'_Pursuit" xr:uid="{F5DE7E33-76FA-4958-851D-B532BFE78907}"/>
    <hyperlink ref="J373" r:id="rId355" xr:uid="{1778DF3E-5BC2-4D01-9B0F-B2B0ED8482C2}"/>
    <hyperlink ref="J359" r:id="rId356" xr:uid="{416583B0-008A-46EC-B90C-4BC2BEEF8CD4}"/>
    <hyperlink ref="J365" r:id="rId357" display="https://dragalialost.wiki/w/To_the_Former_King's_Mansion" xr:uid="{B8DB9FA8-E08F-47F1-92E1-4B3D4A509B4B}"/>
    <hyperlink ref="J361" r:id="rId358" xr:uid="{7E0D2612-901C-4649-B77A-E2DC756ABC8F}"/>
    <hyperlink ref="J367" r:id="rId359" xr:uid="{111A7063-1787-4FE9-8907-F8A5BD536BA7}"/>
    <hyperlink ref="J374" r:id="rId360" xr:uid="{D61DCC52-EFAB-4453-9C04-8041C2655F61}"/>
    <hyperlink ref="J375" r:id="rId361" xr:uid="{7CC474BD-DBEA-44F3-967B-9C1EBEDC8362}"/>
    <hyperlink ref="J377" r:id="rId362" xr:uid="{1EADDD7D-9F4C-4386-A624-60F133205562}"/>
    <hyperlink ref="J378" r:id="rId363" xr:uid="{1B213E56-8574-4CE8-9EA6-A47A70B82DF2}"/>
    <hyperlink ref="J379" r:id="rId364" xr:uid="{1D0A8FEB-E8F8-4BE4-9627-5141D0BD36AF}"/>
    <hyperlink ref="J380" r:id="rId365" xr:uid="{46CDF514-9DA1-4A67-8F49-774D5B8DC03C}"/>
    <hyperlink ref="J381" r:id="rId366" xr:uid="{0D55FEEC-ABBC-4975-8777-A0F5CDBC24B4}"/>
    <hyperlink ref="J382" r:id="rId367" xr:uid="{D5F8ACCE-0C2F-450E-97E9-7F6E82F08267}"/>
    <hyperlink ref="J383" r:id="rId368" xr:uid="{0305C3AC-CA70-460C-BE12-B6117748D221}"/>
    <hyperlink ref="J384" r:id="rId369" xr:uid="{3415F5B2-9588-4061-B556-A212113D6A31}"/>
    <hyperlink ref="J385" r:id="rId370" xr:uid="{DFCC64A0-2C6B-4018-BC9D-15A036542728}"/>
    <hyperlink ref="J386" r:id="rId371" xr:uid="{E198D43D-4ED4-447B-B475-1EC818707D29}"/>
    <hyperlink ref="J387" r:id="rId372" xr:uid="{2574E312-0A85-48EE-A7F0-D8E7AA181D56}"/>
    <hyperlink ref="J388" r:id="rId373" xr:uid="{C78391D0-039A-4849-B721-9854931FCFC8}"/>
    <hyperlink ref="J389" r:id="rId374" xr:uid="{88D8C0A3-272A-4602-9A0F-383AD8607C91}"/>
    <hyperlink ref="J390" r:id="rId375" xr:uid="{74678D5A-00E5-41EC-8D3E-C0FC47BE278B}"/>
    <hyperlink ref="J391" r:id="rId376" xr:uid="{D8D6FDEC-7CE4-4C98-A96E-85145F86C9C0}"/>
    <hyperlink ref="J392" r:id="rId377" xr:uid="{47733A99-A699-499E-A7C5-5F7DFF538FCB}"/>
    <hyperlink ref="J393" r:id="rId378" xr:uid="{2D6B2BD3-340A-4413-A420-5722C757BD85}"/>
    <hyperlink ref="J394" r:id="rId379" xr:uid="{A365569F-A1C5-479F-888E-764D1735F8D3}"/>
    <hyperlink ref="J395" r:id="rId380" xr:uid="{DBEE0B0A-7446-4E2F-AE4A-2BA46D6B4A8D}"/>
    <hyperlink ref="J396" r:id="rId381" xr:uid="{80596251-264F-477B-8E99-FD289E76FFA0}"/>
    <hyperlink ref="J397" r:id="rId382" xr:uid="{EE66FCD7-F297-4488-A803-A581245B885A}"/>
    <hyperlink ref="J398" r:id="rId383" xr:uid="{60DBF9B9-6AA7-4727-9103-A6AEE17BBB27}"/>
    <hyperlink ref="J399" r:id="rId384" xr:uid="{CE5D5D3A-1CD6-451C-B459-5EE76B5FC654}"/>
    <hyperlink ref="J401" r:id="rId385" xr:uid="{1F93C433-CA79-45CF-8CE3-5ABCA758CB60}"/>
    <hyperlink ref="J402" r:id="rId386" xr:uid="{E6C9CE3E-F628-4BD2-A2E1-7E0B40120890}"/>
    <hyperlink ref="J403" r:id="rId387" display="https://dragalialost.wiki/w/The_Faerie_King's_New_Strength" xr:uid="{142ABC01-E821-4180-A5F0-AD47E5381732}"/>
    <hyperlink ref="J404" r:id="rId388" xr:uid="{FC57A02C-5294-4991-894E-FAF1FB224D28}"/>
    <hyperlink ref="J405" r:id="rId389" display="https://dragalialost.wiki/w/The_Flamewyrm's_Stolen_Power" xr:uid="{A238D972-4833-47F3-9CB4-C58229992F7E}"/>
    <hyperlink ref="J406" r:id="rId390" xr:uid="{53C37A4C-75FB-441B-B229-46FCBEFD2E24}"/>
    <hyperlink ref="J407" r:id="rId391" display="https://dragalialost.wiki/w/The_Holywyrm's_Vengeance" xr:uid="{6BDA92FD-F4C6-4A38-A838-E7252E508494}"/>
    <hyperlink ref="J408" r:id="rId392" display="https://dragalialost.wiki/w/The_Holywyrm's_Apostle" xr:uid="{FC3DE7A6-DF81-4EF1-B645-9CB7A787F749}"/>
    <hyperlink ref="J409" r:id="rId393" xr:uid="{2D70D2D8-A506-433B-9B20-DB198E1BC4CE}"/>
    <hyperlink ref="J410" r:id="rId394" display="https://dragalialost.wiki/w/The_Holywyrm's_Advent" xr:uid="{D0EFD624-8A26-4891-9A30-2BAF98C309BC}"/>
    <hyperlink ref="J411" r:id="rId395" xr:uid="{E27B0EEA-90B7-445E-AB1F-98DDEEA0D015}"/>
    <hyperlink ref="J412" r:id="rId396" xr:uid="{FAD29F9E-BDD9-462A-8408-C34E17C8B2A7}"/>
    <hyperlink ref="J413" r:id="rId397" xr:uid="{12A4BFDE-C621-4541-A0BF-A7D5C6FA00E5}"/>
    <hyperlink ref="J414" r:id="rId398" xr:uid="{51A53863-111C-48DC-8A44-23F0D80127AF}"/>
    <hyperlink ref="J415" r:id="rId399" xr:uid="{DAC7D33E-0C6B-4D83-8FB7-606C4FB0C87D}"/>
    <hyperlink ref="J416" r:id="rId400" xr:uid="{414E3A6F-2EB7-4560-949C-AFA8954DC888}"/>
    <hyperlink ref="J417" r:id="rId401" display="https://dragalialost.wiki/w/The_Holywyrm's_Disgrace" xr:uid="{20841C51-6428-4C46-A667-04E48EBD13CE}"/>
    <hyperlink ref="J418" r:id="rId402" xr:uid="{9A87C5E9-E09A-4BE9-9478-944C5AE68579}"/>
    <hyperlink ref="J419" r:id="rId403" xr:uid="{B7332BF2-5F98-49B0-8547-251AB55D4493}"/>
    <hyperlink ref="J421" r:id="rId404" xr:uid="{5B0DDFB8-83BB-4ED8-A687-7FD37CACEE3B}"/>
    <hyperlink ref="J422" r:id="rId405" xr:uid="{182713C6-0C90-4524-914B-C4253C244763}"/>
    <hyperlink ref="J424" r:id="rId406" xr:uid="{CC797745-A3DD-4DF5-B501-B4D13124E136}"/>
    <hyperlink ref="J425" r:id="rId407" xr:uid="{354A1051-2A2B-4569-A1B1-2FA0DF86A1DD}"/>
    <hyperlink ref="J426" r:id="rId408" xr:uid="{D4F821D9-4F33-4399-84EB-7158FD37B396}"/>
    <hyperlink ref="J427" r:id="rId409" xr:uid="{BC495297-285F-422F-8911-0E1DC025826F}"/>
    <hyperlink ref="J428" r:id="rId410" xr:uid="{3C8B6ACE-FE6C-40BD-BEF7-BAD7C78AEB14}"/>
    <hyperlink ref="J429" r:id="rId411" xr:uid="{28E16975-D487-4F30-BB1C-FA0C0C32A687}"/>
    <hyperlink ref="J430" r:id="rId412" xr:uid="{61684D11-801F-4582-9864-DCD5F38DF74D}"/>
    <hyperlink ref="J431" r:id="rId413" xr:uid="{14037990-A8DB-4571-BB6D-2D7431A4B0BC}"/>
    <hyperlink ref="J432" r:id="rId414" xr:uid="{C776D712-4A8C-4789-8E85-5FA12FBABB4B}"/>
    <hyperlink ref="J433" r:id="rId415" xr:uid="{F0C2A698-3FFF-41AA-8681-D0B98993F814}"/>
    <hyperlink ref="J434" r:id="rId416" xr:uid="{2BA64003-22DD-4760-84B1-0B5787D28DBF}"/>
    <hyperlink ref="J435" r:id="rId417" xr:uid="{99BBCE05-F237-4012-8818-AD3BD14E3A5B}"/>
    <hyperlink ref="J436" r:id="rId418" xr:uid="{D8BFBB3E-E2F4-4BE6-9066-464C17687095}"/>
    <hyperlink ref="J437" r:id="rId419" xr:uid="{957126D8-4073-4477-85F0-0A679C390E15}"/>
    <hyperlink ref="J438" r:id="rId420" xr:uid="{D5B2D3F9-B071-4BAA-8A9E-CBE7C19C5B4A}"/>
    <hyperlink ref="J439" r:id="rId421" xr:uid="{E04A5256-0163-4AE5-A5AD-C23A1BFC110D}"/>
    <hyperlink ref="J440" r:id="rId422" xr:uid="{C76C2D53-DC86-44D9-BE5E-35196ACBEE68}"/>
    <hyperlink ref="J441" r:id="rId423" xr:uid="{AFCBB612-EF42-4331-B787-6B7EDE277356}"/>
    <hyperlink ref="J442" r:id="rId424" xr:uid="{EBF7349C-F573-415E-BAB8-3E96F195D8A8}"/>
    <hyperlink ref="J443" r:id="rId425" xr:uid="{C1DF3BD9-005D-419F-BF00-0964954EE4BC}"/>
    <hyperlink ref="J444" r:id="rId426" xr:uid="{ED447A3F-B3F4-40F9-ADF1-A981137DAF2E}"/>
    <hyperlink ref="J446" r:id="rId427" xr:uid="{D56C82A3-31F3-426B-AF22-093626566857}"/>
    <hyperlink ref="J447" r:id="rId428" xr:uid="{595A4401-B37B-48EE-A5A9-29B9C8149EFA}"/>
    <hyperlink ref="J448" r:id="rId429" xr:uid="{B0FA127F-69A9-419C-9131-81F94F5E2167}"/>
    <hyperlink ref="J449" r:id="rId430" xr:uid="{7C692DE8-8018-4FBC-9F5F-866BFDC5B7F0}"/>
    <hyperlink ref="J450" r:id="rId431" xr:uid="{364BDBC4-1849-4E56-B733-94B57B1F3352}"/>
    <hyperlink ref="J451" r:id="rId432" xr:uid="{00B5866B-7544-47C7-94E9-204BD75AE30C}"/>
    <hyperlink ref="J452" r:id="rId433" xr:uid="{F3A81BCA-9B41-4D33-80F3-E02CEC76DD2A}"/>
    <hyperlink ref="J453" r:id="rId434" xr:uid="{8799619D-35B7-479A-9AC6-FC605DF4E8E3}"/>
    <hyperlink ref="J454" r:id="rId435" xr:uid="{A993B26B-FF28-4D26-A6AF-E344325B6A94}"/>
    <hyperlink ref="J456" r:id="rId436" xr:uid="{F81056F3-A07E-45A8-847C-FEE58E8DCA40}"/>
    <hyperlink ref="J457" r:id="rId437" xr:uid="{744DC7E7-ECF1-4A3B-B41D-D1ED83554107}"/>
    <hyperlink ref="J458" r:id="rId438" xr:uid="{5D63BA16-7814-4CDF-B05F-53C125F5F643}"/>
    <hyperlink ref="J459" r:id="rId439" xr:uid="{3E039089-41F2-4B2A-B8C6-49C69E99F07C}"/>
    <hyperlink ref="J460" r:id="rId440" xr:uid="{6A8B540E-14BE-42F6-9135-77B933A5AF80}"/>
    <hyperlink ref="J461" r:id="rId441" xr:uid="{AA0CEE2B-F1D5-4863-97DB-6F1AEC6569A8}"/>
    <hyperlink ref="J462" r:id="rId442" xr:uid="{C13275BE-8881-4344-B772-F9BB6675AC94}"/>
    <hyperlink ref="J463" r:id="rId443" xr:uid="{7C4735EE-FB5A-4204-8AA1-3BF89CF01786}"/>
    <hyperlink ref="J465" r:id="rId444" display="https://dragalialost.wiki/w/The_Soul's_Cry" xr:uid="{AFBEA40C-67BF-4C1A-BAA8-BFE09704E30A}"/>
    <hyperlink ref="J466" r:id="rId445" xr:uid="{FFE83CDA-ED8E-46BE-BB50-C7DF31AEA0CB}"/>
    <hyperlink ref="J467" r:id="rId446" xr:uid="{DE1D561C-6D25-430F-958F-099F91E0DFF7}"/>
    <hyperlink ref="J468" r:id="rId447" xr:uid="{149FF5AD-FD10-4B91-8E0E-4DCF6B0E0F95}"/>
    <hyperlink ref="J469" r:id="rId448" xr:uid="{C61A2267-D1BC-4B0F-B4C6-DB1564C2F459}"/>
    <hyperlink ref="J470" r:id="rId449" xr:uid="{D7434CEF-4813-41C5-8EA4-F056D439B415}"/>
    <hyperlink ref="J471" r:id="rId450" xr:uid="{774F1DBD-8F59-490A-B050-3F8537ABD917}"/>
    <hyperlink ref="J473" r:id="rId451" xr:uid="{F2685902-5540-4D9A-9FE7-A5F022E8017D}"/>
    <hyperlink ref="J474" r:id="rId452" xr:uid="{EF3B0554-6299-46B8-A0DC-87F159D6E573}"/>
    <hyperlink ref="J475" r:id="rId453" xr:uid="{DFD282E8-FB56-4540-80B0-F9C8FF7721A9}"/>
    <hyperlink ref="J476" r:id="rId454" xr:uid="{DAC5794A-6620-4E7A-B01F-60D3589555E9}"/>
    <hyperlink ref="J477" r:id="rId455" xr:uid="{FEBAA80E-B049-4E09-83CE-DBA12FF0FDE1}"/>
    <hyperlink ref="J478" r:id="rId456" display="https://dragalialost.wiki/w/In_the_Creator's_Wake" xr:uid="{91FA50EE-F41C-4643-B007-E5527EB15B6D}"/>
    <hyperlink ref="J479" r:id="rId457" xr:uid="{3FFC4268-77B5-4D50-801D-EBDF890383F9}"/>
    <hyperlink ref="J480" r:id="rId458" xr:uid="{87B5DCA4-364E-4118-8858-2A4ADB484F0F}"/>
    <hyperlink ref="J481" r:id="rId459" xr:uid="{5BCC62BB-8154-4680-84AC-82140D7128A3}"/>
    <hyperlink ref="J482" r:id="rId460" xr:uid="{4A51F90C-8497-432A-B352-FA3106D106E5}"/>
    <hyperlink ref="J484" r:id="rId461" xr:uid="{66959501-06B2-4EE0-B385-8ECACEC022EA}"/>
    <hyperlink ref="J485" r:id="rId462" xr:uid="{CF9FF27C-7B02-4435-A49C-66C3CFB9A00F}"/>
    <hyperlink ref="J487" r:id="rId463" xr:uid="{7E08D6E2-8DC6-4709-8AF3-FECEDA6F4CCF}"/>
    <hyperlink ref="J488" r:id="rId464" xr:uid="{FA79E8D5-5204-4CB9-91B3-E3DB998A97B3}"/>
    <hyperlink ref="J489" r:id="rId465" xr:uid="{E599D239-C83E-499D-9BEA-DD01F4C7D02A}"/>
    <hyperlink ref="J490" r:id="rId466" xr:uid="{C5112F17-81C8-4D61-9FF6-4D80472CE5DC}"/>
    <hyperlink ref="J491" r:id="rId467" xr:uid="{6B34E1F3-2827-4086-838F-D7E6CFE47767}"/>
    <hyperlink ref="J492" r:id="rId468" xr:uid="{F1152707-6C1E-454F-B39E-E1B00F53BFAC}"/>
    <hyperlink ref="J493" r:id="rId469" xr:uid="{A29D23C6-AFFA-4579-A86C-D52BA97546AC}"/>
    <hyperlink ref="J494" r:id="rId470" xr:uid="{8D65372A-412C-45BB-B09C-0008383D850A}"/>
    <hyperlink ref="J495" r:id="rId471" xr:uid="{B13850DC-1B41-40E1-B7B5-069BA73CEFE5}"/>
    <hyperlink ref="J496" r:id="rId472" xr:uid="{B49F5AE6-52BA-474E-BB63-7621D8610030}"/>
    <hyperlink ref="J498" r:id="rId473" xr:uid="{482D2972-D0F5-4796-87B5-3AF028C42625}"/>
    <hyperlink ref="J499" r:id="rId474" xr:uid="{F0740016-7997-45C6-876C-8C9040314EA1}"/>
    <hyperlink ref="J500" r:id="rId475" xr:uid="{821F609D-8B06-4BBA-910E-D0915401E3FD}"/>
    <hyperlink ref="J501" r:id="rId476" xr:uid="{C4C4447C-375D-4DB5-B1C7-CCD58132EA4C}"/>
    <hyperlink ref="J502" r:id="rId477" xr:uid="{DCD3C5C1-8A11-427E-AA66-2990175E8211}"/>
    <hyperlink ref="J503" r:id="rId478" xr:uid="{9CC12C73-8A2A-42D9-8006-A1FB5287EA7A}"/>
    <hyperlink ref="J504" r:id="rId479" xr:uid="{A957B0C5-BE95-42CD-AF9F-6150E2B0CE50}"/>
    <hyperlink ref="J505" r:id="rId480" xr:uid="{82324614-F166-47F8-B314-F4CFAF178A3A}"/>
    <hyperlink ref="J506" r:id="rId481" xr:uid="{0C7A8036-204D-4A6F-A31B-DEDC3AC67952}"/>
    <hyperlink ref="J508" r:id="rId482" xr:uid="{8861AF94-E983-4129-9638-351967237FFF}"/>
    <hyperlink ref="J509" r:id="rId483" xr:uid="{882C48F0-E0F4-4CCA-9CDD-7FAE76D7CAC6}"/>
    <hyperlink ref="J510" r:id="rId484" xr:uid="{2949BD7F-208F-4A33-8CEE-66A1092AB873}"/>
    <hyperlink ref="J511" r:id="rId485" xr:uid="{392032F4-47EF-401B-BB0A-E8B33C038386}"/>
    <hyperlink ref="J512" r:id="rId486" xr:uid="{33E4A4E9-304E-42CB-8E64-044C61754C6A}"/>
    <hyperlink ref="J513" r:id="rId487" xr:uid="{D9261D36-E8BF-49F6-9F65-39227372A35C}"/>
    <hyperlink ref="J514" r:id="rId488" xr:uid="{D6223932-830A-4739-A094-CCFAD8C5039D}"/>
    <hyperlink ref="J515" r:id="rId489" xr:uid="{73E15029-3E9D-4202-80EF-CA4F13317943}"/>
    <hyperlink ref="J516" r:id="rId490" xr:uid="{D773BF32-6035-46ED-A9B8-910D8BEE862D}"/>
    <hyperlink ref="J507" r:id="rId491" xr:uid="{9A818CB1-1255-4C5D-ACE5-99234AD71B3D}"/>
    <hyperlink ref="J497" r:id="rId492" xr:uid="{36A6603B-7354-4566-9C18-C2144DF2A55D}"/>
    <hyperlink ref="J486" r:id="rId493" xr:uid="{DAAA66B5-95CF-4EA3-BC36-4E6682C40C0A}"/>
    <hyperlink ref="J464" r:id="rId494" xr:uid="{2358878C-1624-467E-A3EA-798320E40C8A}"/>
    <hyperlink ref="J472" r:id="rId495" xr:uid="{9E247AFC-A95B-4038-BA28-245CFB23EE25}"/>
    <hyperlink ref="J445" r:id="rId496" xr:uid="{BCE970AC-FE62-42AC-BFFD-BFA699D50049}"/>
    <hyperlink ref="J455" r:id="rId497" xr:uid="{35DAA169-E858-456F-B2FB-FFDCACAF0D31}"/>
    <hyperlink ref="J423" r:id="rId498" xr:uid="{507C3D77-AC8C-42B9-94A0-604211E15C41}"/>
    <hyperlink ref="J420" r:id="rId499" xr:uid="{9FD52EE1-FFF2-4351-B506-F31E23BCEA7F}"/>
    <hyperlink ref="J400" r:id="rId500" xr:uid="{395C90DC-83C8-44FE-9E40-F50636BA3E48}"/>
    <hyperlink ref="J376" r:id="rId501" display="https://dragalialost.wiki/w/The_Abyssalwyrm's_Madness" xr:uid="{6DDC68C5-C5BF-41AA-9DE6-56FB95A98DDA}"/>
    <hyperlink ref="J143" r:id="rId502" xr:uid="{20A17CF3-9D8C-451F-977E-0F612D72AF64}"/>
    <hyperlink ref="J158" r:id="rId503" xr:uid="{B26F1F5E-0598-4BAF-B8F2-3286D76CC855}"/>
    <hyperlink ref="J131" r:id="rId504" xr:uid="{971D7BFB-7985-46C7-874C-42DC62E42B73}"/>
    <hyperlink ref="J120" r:id="rId505" xr:uid="{BDF148B4-1A12-4A37-86C9-05BBF1AED2AF}"/>
    <hyperlink ref="J100" r:id="rId506" display="https://dragalialost.wiki/w/The_Serpent's_Gaze" xr:uid="{9CFA5B43-CDEA-4EA9-B24E-E2B3D25FE9A6}"/>
    <hyperlink ref="J90" r:id="rId507" xr:uid="{6FF77300-16C1-4023-A247-C9141BD260DE}"/>
    <hyperlink ref="J75" r:id="rId508" xr:uid="{51160D6F-FC4D-4A94-BF78-2A517963F190}"/>
    <hyperlink ref="J45" r:id="rId509" xr:uid="{A5DD5253-1C70-47F3-8B83-ADB2D4C7D17C}"/>
    <hyperlink ref="J33" r:id="rId510" xr:uid="{589F7E57-150E-448B-95AC-AA5C26A43D55}"/>
    <hyperlink ref="J31" r:id="rId511" xr:uid="{46653763-3632-42F2-AF0E-927C2D3FC797}"/>
    <hyperlink ref="J20" r:id="rId512" xr:uid="{171CC933-5CCD-4141-B877-B3314F78D05C}"/>
    <hyperlink ref="J110" r:id="rId513" xr:uid="{FF283E49-9855-4206-BA14-0675B458C441}"/>
    <hyperlink ref="J147" r:id="rId514" xr:uid="{21EF4D90-70BF-4320-981A-A10D44B3ED75}"/>
    <hyperlink ref="J165" r:id="rId515" xr:uid="{028F19BC-A02C-4967-8BA8-FBBD548CB470}"/>
  </hyperlinks>
  <pageMargins left="0.7" right="0.7" top="0.75" bottom="0.75" header="0.3" footer="0.3"/>
  <pageSetup orientation="portrait" r:id="rId516"/>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861571-9EBB-4233-8269-92E139B10D69}">
  <sheetPr>
    <pageSetUpPr fitToPage="1"/>
  </sheetPr>
  <dimension ref="A1:U1806"/>
  <sheetViews>
    <sheetView zoomScaleNormal="100" workbookViewId="0"/>
  </sheetViews>
  <sheetFormatPr defaultRowHeight="14.25" x14ac:dyDescent="0.2"/>
  <cols>
    <col min="1" max="1" width="7.25" bestFit="1" customWidth="1"/>
    <col min="2" max="2" width="13.125" bestFit="1" customWidth="1"/>
    <col min="3" max="3" width="35.75" bestFit="1" customWidth="1"/>
    <col min="4" max="4" width="39.5" bestFit="1" customWidth="1"/>
    <col min="5" max="5" width="22" bestFit="1" customWidth="1"/>
    <col min="6" max="6" width="3.375" bestFit="1" customWidth="1"/>
    <col min="7" max="7" width="7" bestFit="1" customWidth="1"/>
    <col min="8" max="8" width="11.375" bestFit="1" customWidth="1"/>
    <col min="9" max="9" width="7.25" style="59" bestFit="1" customWidth="1"/>
    <col min="10" max="10" width="4.75" bestFit="1" customWidth="1"/>
    <col min="11" max="12" width="8.25" style="59" bestFit="1" customWidth="1"/>
    <col min="13" max="13" width="7.25" style="59" bestFit="1" customWidth="1"/>
    <col min="14" max="14" width="15.125" bestFit="1" customWidth="1"/>
    <col min="15" max="15" width="9.625" bestFit="1" customWidth="1"/>
    <col min="16" max="16" width="9.5" bestFit="1" customWidth="1"/>
    <col min="17" max="17" width="8.25" bestFit="1" customWidth="1"/>
    <col min="18" max="19" width="10.875" customWidth="1"/>
    <col min="20" max="20" width="6.25" bestFit="1" customWidth="1"/>
    <col min="21" max="21" width="11.375" bestFit="1" customWidth="1"/>
  </cols>
  <sheetData>
    <row r="1" spans="1:21" x14ac:dyDescent="0.2">
      <c r="A1" s="789" t="s">
        <v>88</v>
      </c>
      <c r="B1" s="790" t="s">
        <v>10266</v>
      </c>
      <c r="C1" s="790" t="s">
        <v>17501</v>
      </c>
      <c r="D1" s="790" t="s">
        <v>17502</v>
      </c>
      <c r="E1" s="790" t="s">
        <v>13839</v>
      </c>
      <c r="F1" s="790" t="s">
        <v>17503</v>
      </c>
      <c r="G1" s="790" t="s">
        <v>23</v>
      </c>
      <c r="H1" s="790" t="s">
        <v>17504</v>
      </c>
      <c r="I1" s="790" t="s">
        <v>17505</v>
      </c>
      <c r="J1" s="790" t="s">
        <v>17506</v>
      </c>
      <c r="K1" s="790" t="s">
        <v>17507</v>
      </c>
      <c r="L1" s="790" t="s">
        <v>10756</v>
      </c>
      <c r="M1" s="790" t="s">
        <v>17508</v>
      </c>
      <c r="N1" s="790" t="s">
        <v>17509</v>
      </c>
      <c r="O1" s="789" t="s">
        <v>17510</v>
      </c>
      <c r="P1" s="790" t="s">
        <v>17511</v>
      </c>
      <c r="Q1" s="791" t="s">
        <v>17512</v>
      </c>
      <c r="R1" s="1"/>
      <c r="S1" s="1"/>
      <c r="T1" s="1"/>
      <c r="U1" s="1"/>
    </row>
    <row r="2" spans="1:21" x14ac:dyDescent="0.2">
      <c r="A2" s="792" t="s">
        <v>15748</v>
      </c>
      <c r="B2" s="793" t="s">
        <v>13918</v>
      </c>
      <c r="C2" s="793" t="s">
        <v>17513</v>
      </c>
      <c r="D2" s="793" t="s">
        <v>24293</v>
      </c>
      <c r="E2" s="793" t="s">
        <v>15731</v>
      </c>
      <c r="F2" s="793">
        <v>1</v>
      </c>
      <c r="G2" s="793" t="s">
        <v>1947</v>
      </c>
      <c r="H2" s="793" t="s">
        <v>1947</v>
      </c>
      <c r="I2" s="794">
        <v>500</v>
      </c>
      <c r="J2" s="793">
        <v>1</v>
      </c>
      <c r="K2" s="794">
        <f t="shared" ref="K2:K65" si="0">+I2</f>
        <v>500</v>
      </c>
      <c r="L2" s="794">
        <f t="shared" ref="L2:L65" si="1">+I2</f>
        <v>500</v>
      </c>
      <c r="M2" s="794">
        <f t="shared" ref="M2:M65" si="2">+I2</f>
        <v>500</v>
      </c>
      <c r="N2" s="793" t="s">
        <v>15752</v>
      </c>
      <c r="O2" s="795">
        <f t="shared" ref="O2:O65" si="3">+J2*K2</f>
        <v>500</v>
      </c>
      <c r="P2" s="795">
        <f t="shared" ref="P2:P65" si="4">+J2*L2</f>
        <v>500</v>
      </c>
      <c r="Q2" s="796">
        <f t="shared" ref="Q2:Q65" si="5">+J2*M2</f>
        <v>500</v>
      </c>
    </row>
    <row r="3" spans="1:21" x14ac:dyDescent="0.2">
      <c r="A3" s="797" t="s">
        <v>17514</v>
      </c>
      <c r="B3" s="798" t="s">
        <v>13918</v>
      </c>
      <c r="C3" s="798" t="s">
        <v>17513</v>
      </c>
      <c r="D3" s="798" t="s">
        <v>24293</v>
      </c>
      <c r="E3" s="798" t="s">
        <v>15732</v>
      </c>
      <c r="F3" s="798">
        <v>2</v>
      </c>
      <c r="G3" s="798" t="s">
        <v>1947</v>
      </c>
      <c r="H3" s="798" t="s">
        <v>1947</v>
      </c>
      <c r="I3" s="799">
        <v>4200</v>
      </c>
      <c r="J3" s="798">
        <v>1</v>
      </c>
      <c r="K3" s="799">
        <f t="shared" si="0"/>
        <v>4200</v>
      </c>
      <c r="L3" s="799">
        <f t="shared" si="1"/>
        <v>4200</v>
      </c>
      <c r="M3" s="799">
        <f t="shared" si="2"/>
        <v>4200</v>
      </c>
      <c r="N3" s="798" t="s">
        <v>15753</v>
      </c>
      <c r="O3" s="800">
        <f t="shared" si="3"/>
        <v>4200</v>
      </c>
      <c r="P3" s="800">
        <f t="shared" si="4"/>
        <v>4200</v>
      </c>
      <c r="Q3" s="801">
        <f t="shared" si="5"/>
        <v>4200</v>
      </c>
    </row>
    <row r="4" spans="1:21" x14ac:dyDescent="0.2">
      <c r="A4" s="802" t="s">
        <v>17515</v>
      </c>
      <c r="B4" s="803" t="s">
        <v>13918</v>
      </c>
      <c r="C4" s="803" t="s">
        <v>17513</v>
      </c>
      <c r="D4" s="803" t="s">
        <v>24293</v>
      </c>
      <c r="E4" s="803" t="s">
        <v>15733</v>
      </c>
      <c r="F4" s="803">
        <v>3</v>
      </c>
      <c r="G4" s="803" t="s">
        <v>1947</v>
      </c>
      <c r="H4" s="803" t="s">
        <v>1947</v>
      </c>
      <c r="I4" s="804">
        <v>15000</v>
      </c>
      <c r="J4" s="803">
        <v>1</v>
      </c>
      <c r="K4" s="804">
        <f t="shared" si="0"/>
        <v>15000</v>
      </c>
      <c r="L4" s="804">
        <f t="shared" si="1"/>
        <v>15000</v>
      </c>
      <c r="M4" s="804">
        <f t="shared" si="2"/>
        <v>15000</v>
      </c>
      <c r="N4" s="803" t="s">
        <v>15754</v>
      </c>
      <c r="O4" s="805">
        <f t="shared" si="3"/>
        <v>15000</v>
      </c>
      <c r="P4" s="805">
        <f t="shared" si="4"/>
        <v>15000</v>
      </c>
      <c r="Q4" s="806">
        <f t="shared" si="5"/>
        <v>15000</v>
      </c>
    </row>
    <row r="5" spans="1:21" x14ac:dyDescent="0.2">
      <c r="A5" s="797" t="s">
        <v>15762</v>
      </c>
      <c r="B5" s="798" t="s">
        <v>13918</v>
      </c>
      <c r="C5" s="798" t="s">
        <v>17513</v>
      </c>
      <c r="D5" s="798" t="s">
        <v>24294</v>
      </c>
      <c r="E5" s="798" t="s">
        <v>15731</v>
      </c>
      <c r="F5" s="798">
        <v>1</v>
      </c>
      <c r="G5" s="798" t="s">
        <v>1947</v>
      </c>
      <c r="H5" s="798" t="s">
        <v>1947</v>
      </c>
      <c r="I5" s="799">
        <v>1000</v>
      </c>
      <c r="J5" s="798">
        <v>1</v>
      </c>
      <c r="K5" s="799">
        <f t="shared" si="0"/>
        <v>1000</v>
      </c>
      <c r="L5" s="799">
        <f t="shared" si="1"/>
        <v>1000</v>
      </c>
      <c r="M5" s="799">
        <f t="shared" si="2"/>
        <v>1000</v>
      </c>
      <c r="N5" s="798" t="s">
        <v>15752</v>
      </c>
      <c r="O5" s="800">
        <f t="shared" si="3"/>
        <v>1000</v>
      </c>
      <c r="P5" s="800">
        <f t="shared" si="4"/>
        <v>1000</v>
      </c>
      <c r="Q5" s="801">
        <f t="shared" si="5"/>
        <v>1000</v>
      </c>
    </row>
    <row r="6" spans="1:21" x14ac:dyDescent="0.2">
      <c r="A6" s="802" t="s">
        <v>17516</v>
      </c>
      <c r="B6" s="803" t="s">
        <v>13918</v>
      </c>
      <c r="C6" s="803" t="s">
        <v>17513</v>
      </c>
      <c r="D6" s="803" t="s">
        <v>24294</v>
      </c>
      <c r="E6" s="803" t="s">
        <v>15732</v>
      </c>
      <c r="F6" s="803">
        <v>2</v>
      </c>
      <c r="G6" s="803" t="s">
        <v>1947</v>
      </c>
      <c r="H6" s="803" t="s">
        <v>1947</v>
      </c>
      <c r="I6" s="804">
        <v>4300</v>
      </c>
      <c r="J6" s="803">
        <v>1</v>
      </c>
      <c r="K6" s="804">
        <f t="shared" si="0"/>
        <v>4300</v>
      </c>
      <c r="L6" s="804">
        <f t="shared" si="1"/>
        <v>4300</v>
      </c>
      <c r="M6" s="804">
        <f t="shared" si="2"/>
        <v>4300</v>
      </c>
      <c r="N6" s="803" t="s">
        <v>15753</v>
      </c>
      <c r="O6" s="805">
        <f t="shared" si="3"/>
        <v>4300</v>
      </c>
      <c r="P6" s="805">
        <f t="shared" si="4"/>
        <v>4300</v>
      </c>
      <c r="Q6" s="806">
        <f t="shared" si="5"/>
        <v>4300</v>
      </c>
    </row>
    <row r="7" spans="1:21" x14ac:dyDescent="0.2">
      <c r="A7" s="797" t="s">
        <v>17517</v>
      </c>
      <c r="B7" s="798" t="s">
        <v>13918</v>
      </c>
      <c r="C7" s="798" t="s">
        <v>17513</v>
      </c>
      <c r="D7" s="798" t="s">
        <v>24294</v>
      </c>
      <c r="E7" s="798" t="s">
        <v>15733</v>
      </c>
      <c r="F7" s="798">
        <v>3</v>
      </c>
      <c r="G7" s="798" t="s">
        <v>1947</v>
      </c>
      <c r="H7" s="798" t="s">
        <v>1947</v>
      </c>
      <c r="I7" s="799">
        <v>15000</v>
      </c>
      <c r="J7" s="798">
        <v>1</v>
      </c>
      <c r="K7" s="799">
        <f t="shared" si="0"/>
        <v>15000</v>
      </c>
      <c r="L7" s="799">
        <f t="shared" si="1"/>
        <v>15000</v>
      </c>
      <c r="M7" s="799">
        <f t="shared" si="2"/>
        <v>15000</v>
      </c>
      <c r="N7" s="798" t="s">
        <v>15754</v>
      </c>
      <c r="O7" s="800">
        <f t="shared" si="3"/>
        <v>15000</v>
      </c>
      <c r="P7" s="800">
        <f t="shared" si="4"/>
        <v>15000</v>
      </c>
      <c r="Q7" s="801">
        <f t="shared" si="5"/>
        <v>15000</v>
      </c>
    </row>
    <row r="8" spans="1:21" x14ac:dyDescent="0.2">
      <c r="A8" s="802" t="s">
        <v>15768</v>
      </c>
      <c r="B8" s="803" t="s">
        <v>13918</v>
      </c>
      <c r="C8" s="803" t="s">
        <v>17513</v>
      </c>
      <c r="D8" s="803" t="s">
        <v>24295</v>
      </c>
      <c r="E8" s="803" t="s">
        <v>15731</v>
      </c>
      <c r="F8" s="803">
        <v>1</v>
      </c>
      <c r="G8" s="803" t="s">
        <v>1947</v>
      </c>
      <c r="H8" s="803" t="s">
        <v>1947</v>
      </c>
      <c r="I8" s="804">
        <v>1400</v>
      </c>
      <c r="J8" s="803">
        <v>1</v>
      </c>
      <c r="K8" s="804">
        <f t="shared" si="0"/>
        <v>1400</v>
      </c>
      <c r="L8" s="804">
        <f t="shared" si="1"/>
        <v>1400</v>
      </c>
      <c r="M8" s="804">
        <f t="shared" si="2"/>
        <v>1400</v>
      </c>
      <c r="N8" s="803" t="s">
        <v>15752</v>
      </c>
      <c r="O8" s="805">
        <f t="shared" si="3"/>
        <v>1400</v>
      </c>
      <c r="P8" s="805">
        <f t="shared" si="4"/>
        <v>1400</v>
      </c>
      <c r="Q8" s="806">
        <f t="shared" si="5"/>
        <v>1400</v>
      </c>
    </row>
    <row r="9" spans="1:21" x14ac:dyDescent="0.2">
      <c r="A9" s="797" t="s">
        <v>17518</v>
      </c>
      <c r="B9" s="798" t="s">
        <v>13918</v>
      </c>
      <c r="C9" s="798" t="s">
        <v>17513</v>
      </c>
      <c r="D9" s="798" t="s">
        <v>24295</v>
      </c>
      <c r="E9" s="798" t="s">
        <v>15732</v>
      </c>
      <c r="F9" s="798">
        <v>2</v>
      </c>
      <c r="G9" s="798" t="s">
        <v>1947</v>
      </c>
      <c r="H9" s="798" t="s">
        <v>1947</v>
      </c>
      <c r="I9" s="799">
        <v>4400</v>
      </c>
      <c r="J9" s="798">
        <v>1</v>
      </c>
      <c r="K9" s="799">
        <f t="shared" si="0"/>
        <v>4400</v>
      </c>
      <c r="L9" s="799">
        <f t="shared" si="1"/>
        <v>4400</v>
      </c>
      <c r="M9" s="799">
        <f t="shared" si="2"/>
        <v>4400</v>
      </c>
      <c r="N9" s="798" t="s">
        <v>15753</v>
      </c>
      <c r="O9" s="800">
        <f t="shared" si="3"/>
        <v>4400</v>
      </c>
      <c r="P9" s="800">
        <f t="shared" si="4"/>
        <v>4400</v>
      </c>
      <c r="Q9" s="801">
        <f t="shared" si="5"/>
        <v>4400</v>
      </c>
    </row>
    <row r="10" spans="1:21" x14ac:dyDescent="0.2">
      <c r="A10" s="802" t="s">
        <v>17519</v>
      </c>
      <c r="B10" s="803" t="s">
        <v>13918</v>
      </c>
      <c r="C10" s="803" t="s">
        <v>17513</v>
      </c>
      <c r="D10" s="803" t="s">
        <v>24295</v>
      </c>
      <c r="E10" s="803" t="s">
        <v>15733</v>
      </c>
      <c r="F10" s="803">
        <v>3</v>
      </c>
      <c r="G10" s="803" t="s">
        <v>1947</v>
      </c>
      <c r="H10" s="803" t="s">
        <v>1947</v>
      </c>
      <c r="I10" s="804">
        <v>15000</v>
      </c>
      <c r="J10" s="803">
        <v>1</v>
      </c>
      <c r="K10" s="804">
        <f t="shared" si="0"/>
        <v>15000</v>
      </c>
      <c r="L10" s="804">
        <f t="shared" si="1"/>
        <v>15000</v>
      </c>
      <c r="M10" s="804">
        <f t="shared" si="2"/>
        <v>15000</v>
      </c>
      <c r="N10" s="803" t="s">
        <v>15754</v>
      </c>
      <c r="O10" s="805">
        <f t="shared" si="3"/>
        <v>15000</v>
      </c>
      <c r="P10" s="805">
        <f t="shared" si="4"/>
        <v>15000</v>
      </c>
      <c r="Q10" s="806">
        <f t="shared" si="5"/>
        <v>15000</v>
      </c>
    </row>
    <row r="11" spans="1:21" x14ac:dyDescent="0.2">
      <c r="A11" s="797" t="s">
        <v>15776</v>
      </c>
      <c r="B11" s="798" t="s">
        <v>13918</v>
      </c>
      <c r="C11" s="798" t="s">
        <v>17513</v>
      </c>
      <c r="D11" s="798" t="s">
        <v>24296</v>
      </c>
      <c r="E11" s="798" t="s">
        <v>15731</v>
      </c>
      <c r="F11" s="798">
        <v>1</v>
      </c>
      <c r="G11" s="798" t="s">
        <v>1947</v>
      </c>
      <c r="H11" s="798" t="s">
        <v>1947</v>
      </c>
      <c r="I11" s="799">
        <v>1700</v>
      </c>
      <c r="J11" s="798">
        <v>1</v>
      </c>
      <c r="K11" s="799">
        <f t="shared" si="0"/>
        <v>1700</v>
      </c>
      <c r="L11" s="799">
        <f t="shared" si="1"/>
        <v>1700</v>
      </c>
      <c r="M11" s="799">
        <f t="shared" si="2"/>
        <v>1700</v>
      </c>
      <c r="N11" s="798" t="s">
        <v>15752</v>
      </c>
      <c r="O11" s="800">
        <f t="shared" si="3"/>
        <v>1700</v>
      </c>
      <c r="P11" s="800">
        <f t="shared" si="4"/>
        <v>1700</v>
      </c>
      <c r="Q11" s="801">
        <f t="shared" si="5"/>
        <v>1700</v>
      </c>
    </row>
    <row r="12" spans="1:21" x14ac:dyDescent="0.2">
      <c r="A12" s="802" t="s">
        <v>17520</v>
      </c>
      <c r="B12" s="803" t="s">
        <v>13918</v>
      </c>
      <c r="C12" s="803" t="s">
        <v>17513</v>
      </c>
      <c r="D12" s="803" t="s">
        <v>24296</v>
      </c>
      <c r="E12" s="803" t="s">
        <v>15732</v>
      </c>
      <c r="F12" s="803">
        <v>2</v>
      </c>
      <c r="G12" s="803" t="s">
        <v>1947</v>
      </c>
      <c r="H12" s="803" t="s">
        <v>1947</v>
      </c>
      <c r="I12" s="804">
        <v>5000</v>
      </c>
      <c r="J12" s="803">
        <v>1</v>
      </c>
      <c r="K12" s="804">
        <f t="shared" si="0"/>
        <v>5000</v>
      </c>
      <c r="L12" s="804">
        <f t="shared" si="1"/>
        <v>5000</v>
      </c>
      <c r="M12" s="804">
        <f t="shared" si="2"/>
        <v>5000</v>
      </c>
      <c r="N12" s="803" t="s">
        <v>15753</v>
      </c>
      <c r="O12" s="805">
        <f t="shared" si="3"/>
        <v>5000</v>
      </c>
      <c r="P12" s="805">
        <f t="shared" si="4"/>
        <v>5000</v>
      </c>
      <c r="Q12" s="806">
        <f t="shared" si="5"/>
        <v>5000</v>
      </c>
    </row>
    <row r="13" spans="1:21" x14ac:dyDescent="0.2">
      <c r="A13" s="797" t="s">
        <v>17521</v>
      </c>
      <c r="B13" s="798" t="s">
        <v>13918</v>
      </c>
      <c r="C13" s="798" t="s">
        <v>17513</v>
      </c>
      <c r="D13" s="798" t="s">
        <v>24296</v>
      </c>
      <c r="E13" s="798" t="s">
        <v>15733</v>
      </c>
      <c r="F13" s="798">
        <v>3</v>
      </c>
      <c r="G13" s="798" t="s">
        <v>1947</v>
      </c>
      <c r="H13" s="798" t="s">
        <v>1947</v>
      </c>
      <c r="I13" s="799">
        <v>15000</v>
      </c>
      <c r="J13" s="798">
        <v>1</v>
      </c>
      <c r="K13" s="799">
        <f t="shared" si="0"/>
        <v>15000</v>
      </c>
      <c r="L13" s="799">
        <f t="shared" si="1"/>
        <v>15000</v>
      </c>
      <c r="M13" s="799">
        <f t="shared" si="2"/>
        <v>15000</v>
      </c>
      <c r="N13" s="798" t="s">
        <v>15754</v>
      </c>
      <c r="O13" s="800">
        <f t="shared" si="3"/>
        <v>15000</v>
      </c>
      <c r="P13" s="800">
        <f t="shared" si="4"/>
        <v>15000</v>
      </c>
      <c r="Q13" s="801">
        <f t="shared" si="5"/>
        <v>15000</v>
      </c>
    </row>
    <row r="14" spans="1:21" x14ac:dyDescent="0.2">
      <c r="A14" s="802" t="s">
        <v>15782</v>
      </c>
      <c r="B14" s="803" t="s">
        <v>13918</v>
      </c>
      <c r="C14" s="803" t="s">
        <v>17513</v>
      </c>
      <c r="D14" s="803" t="s">
        <v>24297</v>
      </c>
      <c r="E14" s="803" t="s">
        <v>15731</v>
      </c>
      <c r="F14" s="803">
        <v>1</v>
      </c>
      <c r="G14" s="803" t="s">
        <v>1947</v>
      </c>
      <c r="H14" s="803" t="s">
        <v>1947</v>
      </c>
      <c r="I14" s="804">
        <v>1750</v>
      </c>
      <c r="J14" s="803">
        <v>1</v>
      </c>
      <c r="K14" s="804">
        <f t="shared" si="0"/>
        <v>1750</v>
      </c>
      <c r="L14" s="804">
        <f t="shared" si="1"/>
        <v>1750</v>
      </c>
      <c r="M14" s="804">
        <f t="shared" si="2"/>
        <v>1750</v>
      </c>
      <c r="N14" s="803" t="s">
        <v>15752</v>
      </c>
      <c r="O14" s="805">
        <f t="shared" si="3"/>
        <v>1750</v>
      </c>
      <c r="P14" s="805">
        <f t="shared" si="4"/>
        <v>1750</v>
      </c>
      <c r="Q14" s="806">
        <f t="shared" si="5"/>
        <v>1750</v>
      </c>
    </row>
    <row r="15" spans="1:21" x14ac:dyDescent="0.2">
      <c r="A15" s="797" t="s">
        <v>17522</v>
      </c>
      <c r="B15" s="798" t="s">
        <v>13918</v>
      </c>
      <c r="C15" s="798" t="s">
        <v>17513</v>
      </c>
      <c r="D15" s="798" t="s">
        <v>24297</v>
      </c>
      <c r="E15" s="798" t="s">
        <v>15732</v>
      </c>
      <c r="F15" s="798">
        <v>2</v>
      </c>
      <c r="G15" s="798" t="s">
        <v>1947</v>
      </c>
      <c r="H15" s="798" t="s">
        <v>1947</v>
      </c>
      <c r="I15" s="799">
        <v>4600</v>
      </c>
      <c r="J15" s="798">
        <v>1</v>
      </c>
      <c r="K15" s="799">
        <f t="shared" si="0"/>
        <v>4600</v>
      </c>
      <c r="L15" s="799">
        <f t="shared" si="1"/>
        <v>4600</v>
      </c>
      <c r="M15" s="799">
        <f t="shared" si="2"/>
        <v>4600</v>
      </c>
      <c r="N15" s="798" t="s">
        <v>15753</v>
      </c>
      <c r="O15" s="800">
        <f t="shared" si="3"/>
        <v>4600</v>
      </c>
      <c r="P15" s="800">
        <f t="shared" si="4"/>
        <v>4600</v>
      </c>
      <c r="Q15" s="801">
        <f t="shared" si="5"/>
        <v>4600</v>
      </c>
    </row>
    <row r="16" spans="1:21" x14ac:dyDescent="0.2">
      <c r="A16" s="802" t="s">
        <v>17523</v>
      </c>
      <c r="B16" s="803" t="s">
        <v>13918</v>
      </c>
      <c r="C16" s="803" t="s">
        <v>17513</v>
      </c>
      <c r="D16" s="803" t="s">
        <v>24297</v>
      </c>
      <c r="E16" s="803" t="s">
        <v>15733</v>
      </c>
      <c r="F16" s="803">
        <v>3</v>
      </c>
      <c r="G16" s="803" t="s">
        <v>1947</v>
      </c>
      <c r="H16" s="803" t="s">
        <v>1947</v>
      </c>
      <c r="I16" s="804">
        <v>15000</v>
      </c>
      <c r="J16" s="803">
        <v>1</v>
      </c>
      <c r="K16" s="804">
        <f t="shared" si="0"/>
        <v>15000</v>
      </c>
      <c r="L16" s="804">
        <f t="shared" si="1"/>
        <v>15000</v>
      </c>
      <c r="M16" s="804">
        <f t="shared" si="2"/>
        <v>15000</v>
      </c>
      <c r="N16" s="803" t="s">
        <v>15754</v>
      </c>
      <c r="O16" s="805">
        <f t="shared" si="3"/>
        <v>15000</v>
      </c>
      <c r="P16" s="805">
        <f t="shared" si="4"/>
        <v>15000</v>
      </c>
      <c r="Q16" s="806">
        <f t="shared" si="5"/>
        <v>15000</v>
      </c>
    </row>
    <row r="17" spans="1:17" x14ac:dyDescent="0.2">
      <c r="A17" s="797" t="s">
        <v>15786</v>
      </c>
      <c r="B17" s="798" t="s">
        <v>13918</v>
      </c>
      <c r="C17" s="798" t="s">
        <v>17513</v>
      </c>
      <c r="D17" s="798" t="s">
        <v>24298</v>
      </c>
      <c r="E17" s="798" t="s">
        <v>15731</v>
      </c>
      <c r="F17" s="798">
        <v>1</v>
      </c>
      <c r="G17" s="798" t="s">
        <v>1947</v>
      </c>
      <c r="H17" s="798" t="s">
        <v>1947</v>
      </c>
      <c r="I17" s="799">
        <v>1800</v>
      </c>
      <c r="J17" s="798">
        <v>1</v>
      </c>
      <c r="K17" s="799">
        <f t="shared" si="0"/>
        <v>1800</v>
      </c>
      <c r="L17" s="799">
        <f t="shared" si="1"/>
        <v>1800</v>
      </c>
      <c r="M17" s="799">
        <f t="shared" si="2"/>
        <v>1800</v>
      </c>
      <c r="N17" s="798" t="s">
        <v>15752</v>
      </c>
      <c r="O17" s="800">
        <f t="shared" si="3"/>
        <v>1800</v>
      </c>
      <c r="P17" s="800">
        <f t="shared" si="4"/>
        <v>1800</v>
      </c>
      <c r="Q17" s="801">
        <f t="shared" si="5"/>
        <v>1800</v>
      </c>
    </row>
    <row r="18" spans="1:17" x14ac:dyDescent="0.2">
      <c r="A18" s="802" t="s">
        <v>17524</v>
      </c>
      <c r="B18" s="803" t="s">
        <v>13918</v>
      </c>
      <c r="C18" s="803" t="s">
        <v>17513</v>
      </c>
      <c r="D18" s="803" t="s">
        <v>24298</v>
      </c>
      <c r="E18" s="803" t="s">
        <v>15732</v>
      </c>
      <c r="F18" s="803">
        <v>2</v>
      </c>
      <c r="G18" s="803" t="s">
        <v>1947</v>
      </c>
      <c r="H18" s="803" t="s">
        <v>1947</v>
      </c>
      <c r="I18" s="804">
        <v>4700</v>
      </c>
      <c r="J18" s="803">
        <v>1</v>
      </c>
      <c r="K18" s="804">
        <f t="shared" si="0"/>
        <v>4700</v>
      </c>
      <c r="L18" s="804">
        <f t="shared" si="1"/>
        <v>4700</v>
      </c>
      <c r="M18" s="804">
        <f t="shared" si="2"/>
        <v>4700</v>
      </c>
      <c r="N18" s="803" t="s">
        <v>15753</v>
      </c>
      <c r="O18" s="805">
        <f t="shared" si="3"/>
        <v>4700</v>
      </c>
      <c r="P18" s="805">
        <f t="shared" si="4"/>
        <v>4700</v>
      </c>
      <c r="Q18" s="806">
        <f t="shared" si="5"/>
        <v>4700</v>
      </c>
    </row>
    <row r="19" spans="1:17" x14ac:dyDescent="0.2">
      <c r="A19" s="797" t="s">
        <v>17525</v>
      </c>
      <c r="B19" s="798" t="s">
        <v>13918</v>
      </c>
      <c r="C19" s="798" t="s">
        <v>17513</v>
      </c>
      <c r="D19" s="798" t="s">
        <v>24298</v>
      </c>
      <c r="E19" s="798" t="s">
        <v>15733</v>
      </c>
      <c r="F19" s="798">
        <v>3</v>
      </c>
      <c r="G19" s="798" t="s">
        <v>1947</v>
      </c>
      <c r="H19" s="798" t="s">
        <v>1947</v>
      </c>
      <c r="I19" s="799">
        <v>15000</v>
      </c>
      <c r="J19" s="798">
        <v>1</v>
      </c>
      <c r="K19" s="799">
        <f t="shared" si="0"/>
        <v>15000</v>
      </c>
      <c r="L19" s="799">
        <f t="shared" si="1"/>
        <v>15000</v>
      </c>
      <c r="M19" s="799">
        <f t="shared" si="2"/>
        <v>15000</v>
      </c>
      <c r="N19" s="798" t="s">
        <v>15754</v>
      </c>
      <c r="O19" s="800">
        <f t="shared" si="3"/>
        <v>15000</v>
      </c>
      <c r="P19" s="800">
        <f t="shared" si="4"/>
        <v>15000</v>
      </c>
      <c r="Q19" s="801">
        <f t="shared" si="5"/>
        <v>15000</v>
      </c>
    </row>
    <row r="20" spans="1:17" x14ac:dyDescent="0.2">
      <c r="A20" s="802" t="s">
        <v>15792</v>
      </c>
      <c r="B20" s="803" t="s">
        <v>13918</v>
      </c>
      <c r="C20" s="803" t="s">
        <v>17513</v>
      </c>
      <c r="D20" s="803" t="s">
        <v>24299</v>
      </c>
      <c r="E20" s="803" t="s">
        <v>15731</v>
      </c>
      <c r="F20" s="803">
        <v>1</v>
      </c>
      <c r="G20" s="803" t="s">
        <v>1947</v>
      </c>
      <c r="H20" s="803" t="s">
        <v>1947</v>
      </c>
      <c r="I20" s="804">
        <v>1850</v>
      </c>
      <c r="J20" s="803">
        <v>1</v>
      </c>
      <c r="K20" s="804">
        <f t="shared" si="0"/>
        <v>1850</v>
      </c>
      <c r="L20" s="804">
        <f t="shared" si="1"/>
        <v>1850</v>
      </c>
      <c r="M20" s="804">
        <f t="shared" si="2"/>
        <v>1850</v>
      </c>
      <c r="N20" s="803" t="s">
        <v>15752</v>
      </c>
      <c r="O20" s="805">
        <f t="shared" si="3"/>
        <v>1850</v>
      </c>
      <c r="P20" s="805">
        <f t="shared" si="4"/>
        <v>1850</v>
      </c>
      <c r="Q20" s="806">
        <f t="shared" si="5"/>
        <v>1850</v>
      </c>
    </row>
    <row r="21" spans="1:17" x14ac:dyDescent="0.2">
      <c r="A21" s="797" t="s">
        <v>17526</v>
      </c>
      <c r="B21" s="798" t="s">
        <v>13918</v>
      </c>
      <c r="C21" s="798" t="s">
        <v>17513</v>
      </c>
      <c r="D21" s="798" t="s">
        <v>24299</v>
      </c>
      <c r="E21" s="798" t="s">
        <v>15732</v>
      </c>
      <c r="F21" s="798">
        <v>2</v>
      </c>
      <c r="G21" s="798" t="s">
        <v>1947</v>
      </c>
      <c r="H21" s="798" t="s">
        <v>1947</v>
      </c>
      <c r="I21" s="799">
        <v>4800</v>
      </c>
      <c r="J21" s="798">
        <v>1</v>
      </c>
      <c r="K21" s="799">
        <f t="shared" si="0"/>
        <v>4800</v>
      </c>
      <c r="L21" s="799">
        <f t="shared" si="1"/>
        <v>4800</v>
      </c>
      <c r="M21" s="799">
        <f t="shared" si="2"/>
        <v>4800</v>
      </c>
      <c r="N21" s="798" t="s">
        <v>15753</v>
      </c>
      <c r="O21" s="800">
        <f t="shared" si="3"/>
        <v>4800</v>
      </c>
      <c r="P21" s="800">
        <f t="shared" si="4"/>
        <v>4800</v>
      </c>
      <c r="Q21" s="801">
        <f t="shared" si="5"/>
        <v>4800</v>
      </c>
    </row>
    <row r="22" spans="1:17" x14ac:dyDescent="0.2">
      <c r="A22" s="802" t="s">
        <v>17527</v>
      </c>
      <c r="B22" s="803" t="s">
        <v>13918</v>
      </c>
      <c r="C22" s="803" t="s">
        <v>17513</v>
      </c>
      <c r="D22" s="803" t="s">
        <v>24299</v>
      </c>
      <c r="E22" s="803" t="s">
        <v>15733</v>
      </c>
      <c r="F22" s="803">
        <v>3</v>
      </c>
      <c r="G22" s="803" t="s">
        <v>1947</v>
      </c>
      <c r="H22" s="803" t="s">
        <v>1947</v>
      </c>
      <c r="I22" s="804">
        <v>15000</v>
      </c>
      <c r="J22" s="803">
        <v>1</v>
      </c>
      <c r="K22" s="804">
        <f t="shared" si="0"/>
        <v>15000</v>
      </c>
      <c r="L22" s="804">
        <f t="shared" si="1"/>
        <v>15000</v>
      </c>
      <c r="M22" s="804">
        <f t="shared" si="2"/>
        <v>15000</v>
      </c>
      <c r="N22" s="803" t="s">
        <v>15754</v>
      </c>
      <c r="O22" s="805">
        <f t="shared" si="3"/>
        <v>15000</v>
      </c>
      <c r="P22" s="805">
        <f t="shared" si="4"/>
        <v>15000</v>
      </c>
      <c r="Q22" s="806">
        <f t="shared" si="5"/>
        <v>15000</v>
      </c>
    </row>
    <row r="23" spans="1:17" x14ac:dyDescent="0.2">
      <c r="A23" s="797" t="s">
        <v>15795</v>
      </c>
      <c r="B23" s="798" t="s">
        <v>13918</v>
      </c>
      <c r="C23" s="798" t="s">
        <v>17513</v>
      </c>
      <c r="D23" s="798" t="s">
        <v>24300</v>
      </c>
      <c r="E23" s="798" t="s">
        <v>15731</v>
      </c>
      <c r="F23" s="798">
        <v>1</v>
      </c>
      <c r="G23" s="798" t="s">
        <v>1947</v>
      </c>
      <c r="H23" s="798" t="s">
        <v>1947</v>
      </c>
      <c r="I23" s="799">
        <v>1900</v>
      </c>
      <c r="J23" s="798">
        <v>1</v>
      </c>
      <c r="K23" s="799">
        <f t="shared" si="0"/>
        <v>1900</v>
      </c>
      <c r="L23" s="799">
        <f t="shared" si="1"/>
        <v>1900</v>
      </c>
      <c r="M23" s="799">
        <f t="shared" si="2"/>
        <v>1900</v>
      </c>
      <c r="N23" s="798" t="s">
        <v>15752</v>
      </c>
      <c r="O23" s="800">
        <f t="shared" si="3"/>
        <v>1900</v>
      </c>
      <c r="P23" s="800">
        <f t="shared" si="4"/>
        <v>1900</v>
      </c>
      <c r="Q23" s="801">
        <f t="shared" si="5"/>
        <v>1900</v>
      </c>
    </row>
    <row r="24" spans="1:17" x14ac:dyDescent="0.2">
      <c r="A24" s="802" t="s">
        <v>17528</v>
      </c>
      <c r="B24" s="803" t="s">
        <v>13918</v>
      </c>
      <c r="C24" s="803" t="s">
        <v>17513</v>
      </c>
      <c r="D24" s="803" t="s">
        <v>24300</v>
      </c>
      <c r="E24" s="803" t="s">
        <v>15732</v>
      </c>
      <c r="F24" s="803">
        <v>2</v>
      </c>
      <c r="G24" s="803" t="s">
        <v>1947</v>
      </c>
      <c r="H24" s="803" t="s">
        <v>1947</v>
      </c>
      <c r="I24" s="804">
        <v>4900</v>
      </c>
      <c r="J24" s="803">
        <v>1</v>
      </c>
      <c r="K24" s="804">
        <f t="shared" si="0"/>
        <v>4900</v>
      </c>
      <c r="L24" s="804">
        <f t="shared" si="1"/>
        <v>4900</v>
      </c>
      <c r="M24" s="804">
        <f t="shared" si="2"/>
        <v>4900</v>
      </c>
      <c r="N24" s="803" t="s">
        <v>15753</v>
      </c>
      <c r="O24" s="805">
        <f t="shared" si="3"/>
        <v>4900</v>
      </c>
      <c r="P24" s="805">
        <f t="shared" si="4"/>
        <v>4900</v>
      </c>
      <c r="Q24" s="806">
        <f t="shared" si="5"/>
        <v>4900</v>
      </c>
    </row>
    <row r="25" spans="1:17" x14ac:dyDescent="0.2">
      <c r="A25" s="797" t="s">
        <v>17529</v>
      </c>
      <c r="B25" s="798" t="s">
        <v>13918</v>
      </c>
      <c r="C25" s="798" t="s">
        <v>17513</v>
      </c>
      <c r="D25" s="798" t="s">
        <v>24300</v>
      </c>
      <c r="E25" s="798" t="s">
        <v>15733</v>
      </c>
      <c r="F25" s="798">
        <v>3</v>
      </c>
      <c r="G25" s="798" t="s">
        <v>1947</v>
      </c>
      <c r="H25" s="798" t="s">
        <v>1947</v>
      </c>
      <c r="I25" s="799">
        <v>15000</v>
      </c>
      <c r="J25" s="798">
        <v>1</v>
      </c>
      <c r="K25" s="799">
        <f t="shared" si="0"/>
        <v>15000</v>
      </c>
      <c r="L25" s="799">
        <f t="shared" si="1"/>
        <v>15000</v>
      </c>
      <c r="M25" s="799">
        <f t="shared" si="2"/>
        <v>15000</v>
      </c>
      <c r="N25" s="798" t="s">
        <v>15754</v>
      </c>
      <c r="O25" s="800">
        <f t="shared" si="3"/>
        <v>15000</v>
      </c>
      <c r="P25" s="800">
        <f t="shared" si="4"/>
        <v>15000</v>
      </c>
      <c r="Q25" s="801">
        <f t="shared" si="5"/>
        <v>15000</v>
      </c>
    </row>
    <row r="26" spans="1:17" x14ac:dyDescent="0.2">
      <c r="A26" s="802" t="s">
        <v>15807</v>
      </c>
      <c r="B26" s="803" t="s">
        <v>13918</v>
      </c>
      <c r="C26" s="803" t="s">
        <v>17513</v>
      </c>
      <c r="D26" s="803" t="s">
        <v>24301</v>
      </c>
      <c r="E26" s="803" t="s">
        <v>15731</v>
      </c>
      <c r="F26" s="803">
        <v>1</v>
      </c>
      <c r="G26" s="803" t="s">
        <v>1103</v>
      </c>
      <c r="H26" s="803" t="s">
        <v>1103</v>
      </c>
      <c r="I26" s="804">
        <v>1700</v>
      </c>
      <c r="J26" s="803">
        <v>1</v>
      </c>
      <c r="K26" s="804">
        <f t="shared" si="0"/>
        <v>1700</v>
      </c>
      <c r="L26" s="804">
        <f t="shared" si="1"/>
        <v>1700</v>
      </c>
      <c r="M26" s="804">
        <f t="shared" si="2"/>
        <v>1700</v>
      </c>
      <c r="N26" s="803" t="s">
        <v>15752</v>
      </c>
      <c r="O26" s="805">
        <f t="shared" si="3"/>
        <v>1700</v>
      </c>
      <c r="P26" s="805">
        <f t="shared" si="4"/>
        <v>1700</v>
      </c>
      <c r="Q26" s="806">
        <f t="shared" si="5"/>
        <v>1700</v>
      </c>
    </row>
    <row r="27" spans="1:17" x14ac:dyDescent="0.2">
      <c r="A27" s="797" t="s">
        <v>17530</v>
      </c>
      <c r="B27" s="798" t="s">
        <v>13918</v>
      </c>
      <c r="C27" s="798" t="s">
        <v>17513</v>
      </c>
      <c r="D27" s="798" t="s">
        <v>24301</v>
      </c>
      <c r="E27" s="798" t="s">
        <v>15732</v>
      </c>
      <c r="F27" s="798">
        <v>2</v>
      </c>
      <c r="G27" s="798" t="s">
        <v>1103</v>
      </c>
      <c r="H27" s="798" t="s">
        <v>1103</v>
      </c>
      <c r="I27" s="799">
        <v>4450</v>
      </c>
      <c r="J27" s="798">
        <v>1</v>
      </c>
      <c r="K27" s="799">
        <f t="shared" si="0"/>
        <v>4450</v>
      </c>
      <c r="L27" s="799">
        <f t="shared" si="1"/>
        <v>4450</v>
      </c>
      <c r="M27" s="799">
        <f t="shared" si="2"/>
        <v>4450</v>
      </c>
      <c r="N27" s="798" t="s">
        <v>15753</v>
      </c>
      <c r="O27" s="800">
        <f t="shared" si="3"/>
        <v>4450</v>
      </c>
      <c r="P27" s="800">
        <f t="shared" si="4"/>
        <v>4450</v>
      </c>
      <c r="Q27" s="801">
        <f t="shared" si="5"/>
        <v>4450</v>
      </c>
    </row>
    <row r="28" spans="1:17" x14ac:dyDescent="0.2">
      <c r="A28" s="802" t="s">
        <v>17531</v>
      </c>
      <c r="B28" s="803" t="s">
        <v>13918</v>
      </c>
      <c r="C28" s="803" t="s">
        <v>17513</v>
      </c>
      <c r="D28" s="803" t="s">
        <v>24301</v>
      </c>
      <c r="E28" s="803" t="s">
        <v>15733</v>
      </c>
      <c r="F28" s="803">
        <v>3</v>
      </c>
      <c r="G28" s="803" t="s">
        <v>1103</v>
      </c>
      <c r="H28" s="803" t="s">
        <v>1103</v>
      </c>
      <c r="I28" s="804">
        <v>15000</v>
      </c>
      <c r="J28" s="803">
        <v>1</v>
      </c>
      <c r="K28" s="804">
        <f t="shared" si="0"/>
        <v>15000</v>
      </c>
      <c r="L28" s="804">
        <f t="shared" si="1"/>
        <v>15000</v>
      </c>
      <c r="M28" s="804">
        <f t="shared" si="2"/>
        <v>15000</v>
      </c>
      <c r="N28" s="803" t="s">
        <v>15754</v>
      </c>
      <c r="O28" s="805">
        <f t="shared" si="3"/>
        <v>15000</v>
      </c>
      <c r="P28" s="805">
        <f t="shared" si="4"/>
        <v>15000</v>
      </c>
      <c r="Q28" s="806">
        <f t="shared" si="5"/>
        <v>15000</v>
      </c>
    </row>
    <row r="29" spans="1:17" x14ac:dyDescent="0.2">
      <c r="A29" s="797" t="s">
        <v>15810</v>
      </c>
      <c r="B29" s="798" t="s">
        <v>13918</v>
      </c>
      <c r="C29" s="798" t="s">
        <v>17513</v>
      </c>
      <c r="D29" s="798" t="s">
        <v>24302</v>
      </c>
      <c r="E29" s="798" t="s">
        <v>15731</v>
      </c>
      <c r="F29" s="798">
        <v>1</v>
      </c>
      <c r="G29" s="798" t="s">
        <v>1103</v>
      </c>
      <c r="H29" s="798" t="s">
        <v>1103</v>
      </c>
      <c r="I29" s="799">
        <v>1800</v>
      </c>
      <c r="J29" s="798">
        <v>1</v>
      </c>
      <c r="K29" s="799">
        <f t="shared" si="0"/>
        <v>1800</v>
      </c>
      <c r="L29" s="799">
        <f t="shared" si="1"/>
        <v>1800</v>
      </c>
      <c r="M29" s="799">
        <f t="shared" si="2"/>
        <v>1800</v>
      </c>
      <c r="N29" s="798" t="s">
        <v>15752</v>
      </c>
      <c r="O29" s="800">
        <f t="shared" si="3"/>
        <v>1800</v>
      </c>
      <c r="P29" s="800">
        <f t="shared" si="4"/>
        <v>1800</v>
      </c>
      <c r="Q29" s="801">
        <f t="shared" si="5"/>
        <v>1800</v>
      </c>
    </row>
    <row r="30" spans="1:17" x14ac:dyDescent="0.2">
      <c r="A30" s="802" t="s">
        <v>17532</v>
      </c>
      <c r="B30" s="803" t="s">
        <v>13918</v>
      </c>
      <c r="C30" s="803" t="s">
        <v>17513</v>
      </c>
      <c r="D30" s="803" t="s">
        <v>24302</v>
      </c>
      <c r="E30" s="803" t="s">
        <v>15732</v>
      </c>
      <c r="F30" s="803">
        <v>2</v>
      </c>
      <c r="G30" s="803" t="s">
        <v>1103</v>
      </c>
      <c r="H30" s="803" t="s">
        <v>1103</v>
      </c>
      <c r="I30" s="804">
        <v>4500</v>
      </c>
      <c r="J30" s="803">
        <v>1</v>
      </c>
      <c r="K30" s="804">
        <f t="shared" si="0"/>
        <v>4500</v>
      </c>
      <c r="L30" s="804">
        <f t="shared" si="1"/>
        <v>4500</v>
      </c>
      <c r="M30" s="804">
        <f t="shared" si="2"/>
        <v>4500</v>
      </c>
      <c r="N30" s="803" t="s">
        <v>15753</v>
      </c>
      <c r="O30" s="805">
        <f t="shared" si="3"/>
        <v>4500</v>
      </c>
      <c r="P30" s="805">
        <f t="shared" si="4"/>
        <v>4500</v>
      </c>
      <c r="Q30" s="806">
        <f t="shared" si="5"/>
        <v>4500</v>
      </c>
    </row>
    <row r="31" spans="1:17" x14ac:dyDescent="0.2">
      <c r="A31" s="797" t="s">
        <v>17533</v>
      </c>
      <c r="B31" s="798" t="s">
        <v>13918</v>
      </c>
      <c r="C31" s="798" t="s">
        <v>17513</v>
      </c>
      <c r="D31" s="798" t="s">
        <v>24302</v>
      </c>
      <c r="E31" s="798" t="s">
        <v>15733</v>
      </c>
      <c r="F31" s="798">
        <v>3</v>
      </c>
      <c r="G31" s="798" t="s">
        <v>1103</v>
      </c>
      <c r="H31" s="798" t="s">
        <v>1103</v>
      </c>
      <c r="I31" s="799">
        <v>15000</v>
      </c>
      <c r="J31" s="798">
        <v>1</v>
      </c>
      <c r="K31" s="799">
        <f t="shared" si="0"/>
        <v>15000</v>
      </c>
      <c r="L31" s="799">
        <f t="shared" si="1"/>
        <v>15000</v>
      </c>
      <c r="M31" s="799">
        <f t="shared" si="2"/>
        <v>15000</v>
      </c>
      <c r="N31" s="798" t="s">
        <v>15754</v>
      </c>
      <c r="O31" s="800">
        <f t="shared" si="3"/>
        <v>15000</v>
      </c>
      <c r="P31" s="800">
        <f t="shared" si="4"/>
        <v>15000</v>
      </c>
      <c r="Q31" s="801">
        <f t="shared" si="5"/>
        <v>15000</v>
      </c>
    </row>
    <row r="32" spans="1:17" x14ac:dyDescent="0.2">
      <c r="A32" s="802" t="s">
        <v>15817</v>
      </c>
      <c r="B32" s="803" t="s">
        <v>13918</v>
      </c>
      <c r="C32" s="803" t="s">
        <v>17513</v>
      </c>
      <c r="D32" s="803" t="s">
        <v>24303</v>
      </c>
      <c r="E32" s="803" t="s">
        <v>15731</v>
      </c>
      <c r="F32" s="803">
        <v>1</v>
      </c>
      <c r="G32" s="803" t="s">
        <v>1103</v>
      </c>
      <c r="H32" s="803" t="s">
        <v>1103</v>
      </c>
      <c r="I32" s="804">
        <v>1900</v>
      </c>
      <c r="J32" s="803">
        <v>1</v>
      </c>
      <c r="K32" s="804">
        <f t="shared" si="0"/>
        <v>1900</v>
      </c>
      <c r="L32" s="804">
        <f t="shared" si="1"/>
        <v>1900</v>
      </c>
      <c r="M32" s="804">
        <f t="shared" si="2"/>
        <v>1900</v>
      </c>
      <c r="N32" s="803" t="s">
        <v>15752</v>
      </c>
      <c r="O32" s="805">
        <f t="shared" si="3"/>
        <v>1900</v>
      </c>
      <c r="P32" s="805">
        <f t="shared" si="4"/>
        <v>1900</v>
      </c>
      <c r="Q32" s="806">
        <f t="shared" si="5"/>
        <v>1900</v>
      </c>
    </row>
    <row r="33" spans="1:17" x14ac:dyDescent="0.2">
      <c r="A33" s="797" t="s">
        <v>17534</v>
      </c>
      <c r="B33" s="798" t="s">
        <v>13918</v>
      </c>
      <c r="C33" s="798" t="s">
        <v>17513</v>
      </c>
      <c r="D33" s="798" t="s">
        <v>24303</v>
      </c>
      <c r="E33" s="798" t="s">
        <v>15732</v>
      </c>
      <c r="F33" s="798">
        <v>2</v>
      </c>
      <c r="G33" s="798" t="s">
        <v>1103</v>
      </c>
      <c r="H33" s="798" t="s">
        <v>1103</v>
      </c>
      <c r="I33" s="799">
        <v>4600</v>
      </c>
      <c r="J33" s="798">
        <v>1</v>
      </c>
      <c r="K33" s="799">
        <f t="shared" si="0"/>
        <v>4600</v>
      </c>
      <c r="L33" s="799">
        <f t="shared" si="1"/>
        <v>4600</v>
      </c>
      <c r="M33" s="799">
        <f t="shared" si="2"/>
        <v>4600</v>
      </c>
      <c r="N33" s="798" t="s">
        <v>15753</v>
      </c>
      <c r="O33" s="800">
        <f t="shared" si="3"/>
        <v>4600</v>
      </c>
      <c r="P33" s="800">
        <f t="shared" si="4"/>
        <v>4600</v>
      </c>
      <c r="Q33" s="801">
        <f t="shared" si="5"/>
        <v>4600</v>
      </c>
    </row>
    <row r="34" spans="1:17" x14ac:dyDescent="0.2">
      <c r="A34" s="802" t="s">
        <v>17535</v>
      </c>
      <c r="B34" s="803" t="s">
        <v>13918</v>
      </c>
      <c r="C34" s="803" t="s">
        <v>17513</v>
      </c>
      <c r="D34" s="803" t="s">
        <v>24303</v>
      </c>
      <c r="E34" s="803" t="s">
        <v>15733</v>
      </c>
      <c r="F34" s="803">
        <v>3</v>
      </c>
      <c r="G34" s="803" t="s">
        <v>1103</v>
      </c>
      <c r="H34" s="803" t="s">
        <v>1103</v>
      </c>
      <c r="I34" s="804">
        <v>15000</v>
      </c>
      <c r="J34" s="803">
        <v>1</v>
      </c>
      <c r="K34" s="804">
        <f t="shared" si="0"/>
        <v>15000</v>
      </c>
      <c r="L34" s="804">
        <f t="shared" si="1"/>
        <v>15000</v>
      </c>
      <c r="M34" s="804">
        <f t="shared" si="2"/>
        <v>15000</v>
      </c>
      <c r="N34" s="803" t="s">
        <v>15754</v>
      </c>
      <c r="O34" s="805">
        <f t="shared" si="3"/>
        <v>15000</v>
      </c>
      <c r="P34" s="805">
        <f t="shared" si="4"/>
        <v>15000</v>
      </c>
      <c r="Q34" s="806">
        <f t="shared" si="5"/>
        <v>15000</v>
      </c>
    </row>
    <row r="35" spans="1:17" x14ac:dyDescent="0.2">
      <c r="A35" s="797" t="s">
        <v>15825</v>
      </c>
      <c r="B35" s="798" t="s">
        <v>13918</v>
      </c>
      <c r="C35" s="798" t="s">
        <v>17513</v>
      </c>
      <c r="D35" s="798" t="s">
        <v>24304</v>
      </c>
      <c r="E35" s="798" t="s">
        <v>15731</v>
      </c>
      <c r="F35" s="798">
        <v>1</v>
      </c>
      <c r="G35" s="798" t="s">
        <v>1103</v>
      </c>
      <c r="H35" s="798" t="s">
        <v>1103</v>
      </c>
      <c r="I35" s="799">
        <v>2650</v>
      </c>
      <c r="J35" s="798">
        <v>1</v>
      </c>
      <c r="K35" s="799">
        <f t="shared" si="0"/>
        <v>2650</v>
      </c>
      <c r="L35" s="799">
        <f t="shared" si="1"/>
        <v>2650</v>
      </c>
      <c r="M35" s="799">
        <f t="shared" si="2"/>
        <v>2650</v>
      </c>
      <c r="N35" s="798" t="s">
        <v>15752</v>
      </c>
      <c r="O35" s="800">
        <f t="shared" si="3"/>
        <v>2650</v>
      </c>
      <c r="P35" s="800">
        <f t="shared" si="4"/>
        <v>2650</v>
      </c>
      <c r="Q35" s="801">
        <f t="shared" si="5"/>
        <v>2650</v>
      </c>
    </row>
    <row r="36" spans="1:17" x14ac:dyDescent="0.2">
      <c r="A36" s="802" t="s">
        <v>17536</v>
      </c>
      <c r="B36" s="803" t="s">
        <v>13918</v>
      </c>
      <c r="C36" s="803" t="s">
        <v>17513</v>
      </c>
      <c r="D36" s="803" t="s">
        <v>24304</v>
      </c>
      <c r="E36" s="803" t="s">
        <v>15732</v>
      </c>
      <c r="F36" s="803">
        <v>2</v>
      </c>
      <c r="G36" s="803" t="s">
        <v>1103</v>
      </c>
      <c r="H36" s="803" t="s">
        <v>1103</v>
      </c>
      <c r="I36" s="804">
        <v>4900</v>
      </c>
      <c r="J36" s="803">
        <v>1</v>
      </c>
      <c r="K36" s="804">
        <f t="shared" si="0"/>
        <v>4900</v>
      </c>
      <c r="L36" s="804">
        <f t="shared" si="1"/>
        <v>4900</v>
      </c>
      <c r="M36" s="804">
        <f t="shared" si="2"/>
        <v>4900</v>
      </c>
      <c r="N36" s="803" t="s">
        <v>15753</v>
      </c>
      <c r="O36" s="805">
        <f t="shared" si="3"/>
        <v>4900</v>
      </c>
      <c r="P36" s="805">
        <f t="shared" si="4"/>
        <v>4900</v>
      </c>
      <c r="Q36" s="806">
        <f t="shared" si="5"/>
        <v>4900</v>
      </c>
    </row>
    <row r="37" spans="1:17" x14ac:dyDescent="0.2">
      <c r="A37" s="797" t="s">
        <v>17537</v>
      </c>
      <c r="B37" s="798" t="s">
        <v>13918</v>
      </c>
      <c r="C37" s="798" t="s">
        <v>17513</v>
      </c>
      <c r="D37" s="798" t="s">
        <v>24304</v>
      </c>
      <c r="E37" s="798" t="s">
        <v>15733</v>
      </c>
      <c r="F37" s="798">
        <v>3</v>
      </c>
      <c r="G37" s="798" t="s">
        <v>1103</v>
      </c>
      <c r="H37" s="798" t="s">
        <v>1103</v>
      </c>
      <c r="I37" s="799">
        <v>18000</v>
      </c>
      <c r="J37" s="798">
        <v>1</v>
      </c>
      <c r="K37" s="799">
        <f t="shared" si="0"/>
        <v>18000</v>
      </c>
      <c r="L37" s="799">
        <f t="shared" si="1"/>
        <v>18000</v>
      </c>
      <c r="M37" s="799">
        <f t="shared" si="2"/>
        <v>18000</v>
      </c>
      <c r="N37" s="798" t="s">
        <v>15754</v>
      </c>
      <c r="O37" s="800">
        <f t="shared" si="3"/>
        <v>18000</v>
      </c>
      <c r="P37" s="800">
        <f t="shared" si="4"/>
        <v>18000</v>
      </c>
      <c r="Q37" s="801">
        <f t="shared" si="5"/>
        <v>18000</v>
      </c>
    </row>
    <row r="38" spans="1:17" x14ac:dyDescent="0.2">
      <c r="A38" s="802" t="s">
        <v>15832</v>
      </c>
      <c r="B38" s="803" t="s">
        <v>13918</v>
      </c>
      <c r="C38" s="803" t="s">
        <v>17513</v>
      </c>
      <c r="D38" s="803" t="s">
        <v>24305</v>
      </c>
      <c r="E38" s="803" t="s">
        <v>15731</v>
      </c>
      <c r="F38" s="803">
        <v>1</v>
      </c>
      <c r="G38" s="803" t="s">
        <v>1103</v>
      </c>
      <c r="H38" s="803" t="s">
        <v>1103</v>
      </c>
      <c r="I38" s="804">
        <v>2000</v>
      </c>
      <c r="J38" s="803">
        <v>1</v>
      </c>
      <c r="K38" s="804">
        <f t="shared" si="0"/>
        <v>2000</v>
      </c>
      <c r="L38" s="804">
        <f t="shared" si="1"/>
        <v>2000</v>
      </c>
      <c r="M38" s="804">
        <f t="shared" si="2"/>
        <v>2000</v>
      </c>
      <c r="N38" s="803" t="s">
        <v>15752</v>
      </c>
      <c r="O38" s="805">
        <f t="shared" si="3"/>
        <v>2000</v>
      </c>
      <c r="P38" s="805">
        <f t="shared" si="4"/>
        <v>2000</v>
      </c>
      <c r="Q38" s="806">
        <f t="shared" si="5"/>
        <v>2000</v>
      </c>
    </row>
    <row r="39" spans="1:17" x14ac:dyDescent="0.2">
      <c r="A39" s="797" t="s">
        <v>17538</v>
      </c>
      <c r="B39" s="798" t="s">
        <v>13918</v>
      </c>
      <c r="C39" s="798" t="s">
        <v>17513</v>
      </c>
      <c r="D39" s="798" t="s">
        <v>24305</v>
      </c>
      <c r="E39" s="798" t="s">
        <v>15732</v>
      </c>
      <c r="F39" s="798">
        <v>2</v>
      </c>
      <c r="G39" s="798" t="s">
        <v>1103</v>
      </c>
      <c r="H39" s="798" t="s">
        <v>1103</v>
      </c>
      <c r="I39" s="799">
        <v>4650</v>
      </c>
      <c r="J39" s="798">
        <v>1</v>
      </c>
      <c r="K39" s="799">
        <f t="shared" si="0"/>
        <v>4650</v>
      </c>
      <c r="L39" s="799">
        <f t="shared" si="1"/>
        <v>4650</v>
      </c>
      <c r="M39" s="799">
        <f t="shared" si="2"/>
        <v>4650</v>
      </c>
      <c r="N39" s="798" t="s">
        <v>15753</v>
      </c>
      <c r="O39" s="800">
        <f t="shared" si="3"/>
        <v>4650</v>
      </c>
      <c r="P39" s="800">
        <f t="shared" si="4"/>
        <v>4650</v>
      </c>
      <c r="Q39" s="801">
        <f t="shared" si="5"/>
        <v>4650</v>
      </c>
    </row>
    <row r="40" spans="1:17" x14ac:dyDescent="0.2">
      <c r="A40" s="802" t="s">
        <v>17539</v>
      </c>
      <c r="B40" s="803" t="s">
        <v>13918</v>
      </c>
      <c r="C40" s="803" t="s">
        <v>17513</v>
      </c>
      <c r="D40" s="803" t="s">
        <v>24305</v>
      </c>
      <c r="E40" s="803" t="s">
        <v>15733</v>
      </c>
      <c r="F40" s="803">
        <v>3</v>
      </c>
      <c r="G40" s="803" t="s">
        <v>1103</v>
      </c>
      <c r="H40" s="803" t="s">
        <v>1103</v>
      </c>
      <c r="I40" s="804">
        <v>15000</v>
      </c>
      <c r="J40" s="803">
        <v>1</v>
      </c>
      <c r="K40" s="804">
        <f t="shared" si="0"/>
        <v>15000</v>
      </c>
      <c r="L40" s="804">
        <f t="shared" si="1"/>
        <v>15000</v>
      </c>
      <c r="M40" s="804">
        <f t="shared" si="2"/>
        <v>15000</v>
      </c>
      <c r="N40" s="803" t="s">
        <v>15754</v>
      </c>
      <c r="O40" s="805">
        <f t="shared" si="3"/>
        <v>15000</v>
      </c>
      <c r="P40" s="805">
        <f t="shared" si="4"/>
        <v>15000</v>
      </c>
      <c r="Q40" s="806">
        <f t="shared" si="5"/>
        <v>15000</v>
      </c>
    </row>
    <row r="41" spans="1:17" x14ac:dyDescent="0.2">
      <c r="A41" s="797" t="s">
        <v>15835</v>
      </c>
      <c r="B41" s="798" t="s">
        <v>13918</v>
      </c>
      <c r="C41" s="798" t="s">
        <v>17513</v>
      </c>
      <c r="D41" s="798" t="s">
        <v>24306</v>
      </c>
      <c r="E41" s="798" t="s">
        <v>15731</v>
      </c>
      <c r="F41" s="798">
        <v>1</v>
      </c>
      <c r="G41" s="798" t="s">
        <v>1103</v>
      </c>
      <c r="H41" s="798" t="s">
        <v>1103</v>
      </c>
      <c r="I41" s="799">
        <v>2100</v>
      </c>
      <c r="J41" s="798">
        <v>1</v>
      </c>
      <c r="K41" s="799">
        <f t="shared" si="0"/>
        <v>2100</v>
      </c>
      <c r="L41" s="799">
        <f t="shared" si="1"/>
        <v>2100</v>
      </c>
      <c r="M41" s="799">
        <f t="shared" si="2"/>
        <v>2100</v>
      </c>
      <c r="N41" s="798" t="s">
        <v>15752</v>
      </c>
      <c r="O41" s="800">
        <f t="shared" si="3"/>
        <v>2100</v>
      </c>
      <c r="P41" s="800">
        <f t="shared" si="4"/>
        <v>2100</v>
      </c>
      <c r="Q41" s="801">
        <f t="shared" si="5"/>
        <v>2100</v>
      </c>
    </row>
    <row r="42" spans="1:17" x14ac:dyDescent="0.2">
      <c r="A42" s="802" t="s">
        <v>17540</v>
      </c>
      <c r="B42" s="803" t="s">
        <v>13918</v>
      </c>
      <c r="C42" s="803" t="s">
        <v>17513</v>
      </c>
      <c r="D42" s="803" t="s">
        <v>24306</v>
      </c>
      <c r="E42" s="803" t="s">
        <v>15732</v>
      </c>
      <c r="F42" s="803">
        <v>2</v>
      </c>
      <c r="G42" s="803" t="s">
        <v>1103</v>
      </c>
      <c r="H42" s="803" t="s">
        <v>1103</v>
      </c>
      <c r="I42" s="804">
        <v>4700</v>
      </c>
      <c r="J42" s="803">
        <v>1</v>
      </c>
      <c r="K42" s="804">
        <f t="shared" si="0"/>
        <v>4700</v>
      </c>
      <c r="L42" s="804">
        <f t="shared" si="1"/>
        <v>4700</v>
      </c>
      <c r="M42" s="804">
        <f t="shared" si="2"/>
        <v>4700</v>
      </c>
      <c r="N42" s="803" t="s">
        <v>15753</v>
      </c>
      <c r="O42" s="805">
        <f t="shared" si="3"/>
        <v>4700</v>
      </c>
      <c r="P42" s="805">
        <f t="shared" si="4"/>
        <v>4700</v>
      </c>
      <c r="Q42" s="806">
        <f t="shared" si="5"/>
        <v>4700</v>
      </c>
    </row>
    <row r="43" spans="1:17" x14ac:dyDescent="0.2">
      <c r="A43" s="797" t="s">
        <v>17541</v>
      </c>
      <c r="B43" s="798" t="s">
        <v>13918</v>
      </c>
      <c r="C43" s="798" t="s">
        <v>17513</v>
      </c>
      <c r="D43" s="798" t="s">
        <v>24306</v>
      </c>
      <c r="E43" s="798" t="s">
        <v>15733</v>
      </c>
      <c r="F43" s="798">
        <v>3</v>
      </c>
      <c r="G43" s="798" t="s">
        <v>1103</v>
      </c>
      <c r="H43" s="798" t="s">
        <v>1103</v>
      </c>
      <c r="I43" s="799">
        <v>15000</v>
      </c>
      <c r="J43" s="798">
        <v>1</v>
      </c>
      <c r="K43" s="799">
        <f t="shared" si="0"/>
        <v>15000</v>
      </c>
      <c r="L43" s="799">
        <f t="shared" si="1"/>
        <v>15000</v>
      </c>
      <c r="M43" s="799">
        <f t="shared" si="2"/>
        <v>15000</v>
      </c>
      <c r="N43" s="798" t="s">
        <v>15754</v>
      </c>
      <c r="O43" s="800">
        <f t="shared" si="3"/>
        <v>15000</v>
      </c>
      <c r="P43" s="800">
        <f t="shared" si="4"/>
        <v>15000</v>
      </c>
      <c r="Q43" s="801">
        <f t="shared" si="5"/>
        <v>15000</v>
      </c>
    </row>
    <row r="44" spans="1:17" x14ac:dyDescent="0.2">
      <c r="A44" s="802" t="s">
        <v>15842</v>
      </c>
      <c r="B44" s="803" t="s">
        <v>13918</v>
      </c>
      <c r="C44" s="803" t="s">
        <v>17513</v>
      </c>
      <c r="D44" s="803" t="s">
        <v>24307</v>
      </c>
      <c r="E44" s="803" t="s">
        <v>15731</v>
      </c>
      <c r="F44" s="803">
        <v>1</v>
      </c>
      <c r="G44" s="803" t="s">
        <v>1103</v>
      </c>
      <c r="H44" s="803" t="s">
        <v>1103</v>
      </c>
      <c r="I44" s="804">
        <v>2200</v>
      </c>
      <c r="J44" s="803">
        <v>1</v>
      </c>
      <c r="K44" s="804">
        <f t="shared" si="0"/>
        <v>2200</v>
      </c>
      <c r="L44" s="804">
        <f t="shared" si="1"/>
        <v>2200</v>
      </c>
      <c r="M44" s="804">
        <f t="shared" si="2"/>
        <v>2200</v>
      </c>
      <c r="N44" s="803" t="s">
        <v>15752</v>
      </c>
      <c r="O44" s="805">
        <f t="shared" si="3"/>
        <v>2200</v>
      </c>
      <c r="P44" s="805">
        <f t="shared" si="4"/>
        <v>2200</v>
      </c>
      <c r="Q44" s="806">
        <f t="shared" si="5"/>
        <v>2200</v>
      </c>
    </row>
    <row r="45" spans="1:17" x14ac:dyDescent="0.2">
      <c r="A45" s="797" t="s">
        <v>17542</v>
      </c>
      <c r="B45" s="798" t="s">
        <v>13918</v>
      </c>
      <c r="C45" s="798" t="s">
        <v>17513</v>
      </c>
      <c r="D45" s="798" t="s">
        <v>24307</v>
      </c>
      <c r="E45" s="798" t="s">
        <v>15732</v>
      </c>
      <c r="F45" s="798">
        <v>2</v>
      </c>
      <c r="G45" s="798" t="s">
        <v>1103</v>
      </c>
      <c r="H45" s="798" t="s">
        <v>1103</v>
      </c>
      <c r="I45" s="799">
        <v>4800</v>
      </c>
      <c r="J45" s="798">
        <v>1</v>
      </c>
      <c r="K45" s="799">
        <f t="shared" si="0"/>
        <v>4800</v>
      </c>
      <c r="L45" s="799">
        <f t="shared" si="1"/>
        <v>4800</v>
      </c>
      <c r="M45" s="799">
        <f t="shared" si="2"/>
        <v>4800</v>
      </c>
      <c r="N45" s="798" t="s">
        <v>15753</v>
      </c>
      <c r="O45" s="800">
        <f t="shared" si="3"/>
        <v>4800</v>
      </c>
      <c r="P45" s="800">
        <f t="shared" si="4"/>
        <v>4800</v>
      </c>
      <c r="Q45" s="801">
        <f t="shared" si="5"/>
        <v>4800</v>
      </c>
    </row>
    <row r="46" spans="1:17" x14ac:dyDescent="0.2">
      <c r="A46" s="802" t="s">
        <v>17543</v>
      </c>
      <c r="B46" s="803" t="s">
        <v>13918</v>
      </c>
      <c r="C46" s="803" t="s">
        <v>17513</v>
      </c>
      <c r="D46" s="803" t="s">
        <v>24307</v>
      </c>
      <c r="E46" s="803" t="s">
        <v>15733</v>
      </c>
      <c r="F46" s="803">
        <v>3</v>
      </c>
      <c r="G46" s="803" t="s">
        <v>1103</v>
      </c>
      <c r="H46" s="803" t="s">
        <v>1103</v>
      </c>
      <c r="I46" s="804">
        <v>15000</v>
      </c>
      <c r="J46" s="803">
        <v>1</v>
      </c>
      <c r="K46" s="804">
        <f t="shared" si="0"/>
        <v>15000</v>
      </c>
      <c r="L46" s="804">
        <f t="shared" si="1"/>
        <v>15000</v>
      </c>
      <c r="M46" s="804">
        <f t="shared" si="2"/>
        <v>15000</v>
      </c>
      <c r="N46" s="803" t="s">
        <v>15754</v>
      </c>
      <c r="O46" s="805">
        <f t="shared" si="3"/>
        <v>15000</v>
      </c>
      <c r="P46" s="805">
        <f t="shared" si="4"/>
        <v>15000</v>
      </c>
      <c r="Q46" s="806">
        <f t="shared" si="5"/>
        <v>15000</v>
      </c>
    </row>
    <row r="47" spans="1:17" x14ac:dyDescent="0.2">
      <c r="A47" s="797" t="s">
        <v>15845</v>
      </c>
      <c r="B47" s="798" t="s">
        <v>13918</v>
      </c>
      <c r="C47" s="798" t="s">
        <v>17513</v>
      </c>
      <c r="D47" s="798" t="s">
        <v>24308</v>
      </c>
      <c r="E47" s="798" t="s">
        <v>15731</v>
      </c>
      <c r="F47" s="798">
        <v>1</v>
      </c>
      <c r="G47" s="798" t="s">
        <v>1103</v>
      </c>
      <c r="H47" s="798" t="s">
        <v>1103</v>
      </c>
      <c r="I47" s="799">
        <v>2300</v>
      </c>
      <c r="J47" s="798">
        <v>1</v>
      </c>
      <c r="K47" s="799">
        <f t="shared" si="0"/>
        <v>2300</v>
      </c>
      <c r="L47" s="799">
        <f t="shared" si="1"/>
        <v>2300</v>
      </c>
      <c r="M47" s="799">
        <f t="shared" si="2"/>
        <v>2300</v>
      </c>
      <c r="N47" s="798" t="s">
        <v>15752</v>
      </c>
      <c r="O47" s="800">
        <f t="shared" si="3"/>
        <v>2300</v>
      </c>
      <c r="P47" s="800">
        <f t="shared" si="4"/>
        <v>2300</v>
      </c>
      <c r="Q47" s="801">
        <f t="shared" si="5"/>
        <v>2300</v>
      </c>
    </row>
    <row r="48" spans="1:17" x14ac:dyDescent="0.2">
      <c r="A48" s="802" t="s">
        <v>17544</v>
      </c>
      <c r="B48" s="803" t="s">
        <v>13918</v>
      </c>
      <c r="C48" s="803" t="s">
        <v>17513</v>
      </c>
      <c r="D48" s="803" t="s">
        <v>24308</v>
      </c>
      <c r="E48" s="803" t="s">
        <v>15732</v>
      </c>
      <c r="F48" s="803">
        <v>2</v>
      </c>
      <c r="G48" s="803" t="s">
        <v>1103</v>
      </c>
      <c r="H48" s="803" t="s">
        <v>1103</v>
      </c>
      <c r="I48" s="804">
        <v>4900</v>
      </c>
      <c r="J48" s="803">
        <v>1</v>
      </c>
      <c r="K48" s="804">
        <f t="shared" si="0"/>
        <v>4900</v>
      </c>
      <c r="L48" s="804">
        <f t="shared" si="1"/>
        <v>4900</v>
      </c>
      <c r="M48" s="804">
        <f t="shared" si="2"/>
        <v>4900</v>
      </c>
      <c r="N48" s="803" t="s">
        <v>15753</v>
      </c>
      <c r="O48" s="805">
        <f t="shared" si="3"/>
        <v>4900</v>
      </c>
      <c r="P48" s="805">
        <f t="shared" si="4"/>
        <v>4900</v>
      </c>
      <c r="Q48" s="806">
        <f t="shared" si="5"/>
        <v>4900</v>
      </c>
    </row>
    <row r="49" spans="1:17" x14ac:dyDescent="0.2">
      <c r="A49" s="797" t="s">
        <v>17545</v>
      </c>
      <c r="B49" s="798" t="s">
        <v>13918</v>
      </c>
      <c r="C49" s="798" t="s">
        <v>17513</v>
      </c>
      <c r="D49" s="798" t="s">
        <v>24308</v>
      </c>
      <c r="E49" s="798" t="s">
        <v>15733</v>
      </c>
      <c r="F49" s="798">
        <v>3</v>
      </c>
      <c r="G49" s="798" t="s">
        <v>1103</v>
      </c>
      <c r="H49" s="798" t="s">
        <v>1103</v>
      </c>
      <c r="I49" s="799">
        <v>15000</v>
      </c>
      <c r="J49" s="798">
        <v>1</v>
      </c>
      <c r="K49" s="799">
        <f t="shared" si="0"/>
        <v>15000</v>
      </c>
      <c r="L49" s="799">
        <f t="shared" si="1"/>
        <v>15000</v>
      </c>
      <c r="M49" s="799">
        <f t="shared" si="2"/>
        <v>15000</v>
      </c>
      <c r="N49" s="798" t="s">
        <v>15754</v>
      </c>
      <c r="O49" s="800">
        <f t="shared" si="3"/>
        <v>15000</v>
      </c>
      <c r="P49" s="800">
        <f t="shared" si="4"/>
        <v>15000</v>
      </c>
      <c r="Q49" s="801">
        <f t="shared" si="5"/>
        <v>15000</v>
      </c>
    </row>
    <row r="50" spans="1:17" x14ac:dyDescent="0.2">
      <c r="A50" s="802" t="s">
        <v>15860</v>
      </c>
      <c r="B50" s="803" t="s">
        <v>13918</v>
      </c>
      <c r="C50" s="803" t="s">
        <v>17513</v>
      </c>
      <c r="D50" s="803" t="s">
        <v>24309</v>
      </c>
      <c r="E50" s="803" t="s">
        <v>15731</v>
      </c>
      <c r="F50" s="803">
        <v>1</v>
      </c>
      <c r="G50" s="803" t="s">
        <v>1103</v>
      </c>
      <c r="H50" s="803" t="s">
        <v>1103</v>
      </c>
      <c r="I50" s="804">
        <v>3300</v>
      </c>
      <c r="J50" s="803">
        <v>1</v>
      </c>
      <c r="K50" s="804">
        <f t="shared" si="0"/>
        <v>3300</v>
      </c>
      <c r="L50" s="804">
        <f t="shared" si="1"/>
        <v>3300</v>
      </c>
      <c r="M50" s="804">
        <f t="shared" si="2"/>
        <v>3300</v>
      </c>
      <c r="N50" s="803" t="s">
        <v>15752</v>
      </c>
      <c r="O50" s="805">
        <f t="shared" si="3"/>
        <v>3300</v>
      </c>
      <c r="P50" s="805">
        <f t="shared" si="4"/>
        <v>3300</v>
      </c>
      <c r="Q50" s="806">
        <f t="shared" si="5"/>
        <v>3300</v>
      </c>
    </row>
    <row r="51" spans="1:17" x14ac:dyDescent="0.2">
      <c r="A51" s="797" t="s">
        <v>17546</v>
      </c>
      <c r="B51" s="798" t="s">
        <v>13918</v>
      </c>
      <c r="C51" s="798" t="s">
        <v>17513</v>
      </c>
      <c r="D51" s="798" t="s">
        <v>24309</v>
      </c>
      <c r="E51" s="798" t="s">
        <v>15732</v>
      </c>
      <c r="F51" s="798">
        <v>2</v>
      </c>
      <c r="G51" s="798" t="s">
        <v>1103</v>
      </c>
      <c r="H51" s="798" t="s">
        <v>1103</v>
      </c>
      <c r="I51" s="799">
        <v>5700</v>
      </c>
      <c r="J51" s="798">
        <v>1</v>
      </c>
      <c r="K51" s="799">
        <f t="shared" si="0"/>
        <v>5700</v>
      </c>
      <c r="L51" s="799">
        <f t="shared" si="1"/>
        <v>5700</v>
      </c>
      <c r="M51" s="799">
        <f t="shared" si="2"/>
        <v>5700</v>
      </c>
      <c r="N51" s="798" t="s">
        <v>15753</v>
      </c>
      <c r="O51" s="800">
        <f t="shared" si="3"/>
        <v>5700</v>
      </c>
      <c r="P51" s="800">
        <f t="shared" si="4"/>
        <v>5700</v>
      </c>
      <c r="Q51" s="801">
        <f t="shared" si="5"/>
        <v>5700</v>
      </c>
    </row>
    <row r="52" spans="1:17" x14ac:dyDescent="0.2">
      <c r="A52" s="802" t="s">
        <v>17547</v>
      </c>
      <c r="B52" s="803" t="s">
        <v>13918</v>
      </c>
      <c r="C52" s="803" t="s">
        <v>17513</v>
      </c>
      <c r="D52" s="803" t="s">
        <v>24309</v>
      </c>
      <c r="E52" s="803" t="s">
        <v>15733</v>
      </c>
      <c r="F52" s="803">
        <v>3</v>
      </c>
      <c r="G52" s="803" t="s">
        <v>1103</v>
      </c>
      <c r="H52" s="803" t="s">
        <v>1103</v>
      </c>
      <c r="I52" s="804">
        <v>18000</v>
      </c>
      <c r="J52" s="803">
        <v>1</v>
      </c>
      <c r="K52" s="804">
        <f t="shared" si="0"/>
        <v>18000</v>
      </c>
      <c r="L52" s="804">
        <f t="shared" si="1"/>
        <v>18000</v>
      </c>
      <c r="M52" s="804">
        <f t="shared" si="2"/>
        <v>18000</v>
      </c>
      <c r="N52" s="803" t="s">
        <v>15754</v>
      </c>
      <c r="O52" s="805">
        <f t="shared" si="3"/>
        <v>18000</v>
      </c>
      <c r="P52" s="805">
        <f t="shared" si="4"/>
        <v>18000</v>
      </c>
      <c r="Q52" s="806">
        <f t="shared" si="5"/>
        <v>18000</v>
      </c>
    </row>
    <row r="53" spans="1:17" x14ac:dyDescent="0.2">
      <c r="A53" s="797" t="s">
        <v>15863</v>
      </c>
      <c r="B53" s="798" t="s">
        <v>13918</v>
      </c>
      <c r="C53" s="798" t="s">
        <v>17513</v>
      </c>
      <c r="D53" s="798" t="s">
        <v>24310</v>
      </c>
      <c r="E53" s="798" t="s">
        <v>15731</v>
      </c>
      <c r="F53" s="798">
        <v>1</v>
      </c>
      <c r="G53" s="798" t="s">
        <v>1103</v>
      </c>
      <c r="H53" s="798" t="s">
        <v>1103</v>
      </c>
      <c r="I53" s="799">
        <v>2800</v>
      </c>
      <c r="J53" s="798">
        <v>1</v>
      </c>
      <c r="K53" s="799">
        <f t="shared" si="0"/>
        <v>2800</v>
      </c>
      <c r="L53" s="799">
        <f t="shared" si="1"/>
        <v>2800</v>
      </c>
      <c r="M53" s="799">
        <f t="shared" si="2"/>
        <v>2800</v>
      </c>
      <c r="N53" s="798" t="s">
        <v>15752</v>
      </c>
      <c r="O53" s="800">
        <f t="shared" si="3"/>
        <v>2800</v>
      </c>
      <c r="P53" s="800">
        <f t="shared" si="4"/>
        <v>2800</v>
      </c>
      <c r="Q53" s="801">
        <f t="shared" si="5"/>
        <v>2800</v>
      </c>
    </row>
    <row r="54" spans="1:17" x14ac:dyDescent="0.2">
      <c r="A54" s="802" t="s">
        <v>17548</v>
      </c>
      <c r="B54" s="803" t="s">
        <v>13918</v>
      </c>
      <c r="C54" s="803" t="s">
        <v>17513</v>
      </c>
      <c r="D54" s="803" t="s">
        <v>24310</v>
      </c>
      <c r="E54" s="803" t="s">
        <v>15732</v>
      </c>
      <c r="F54" s="803">
        <v>2</v>
      </c>
      <c r="G54" s="803" t="s">
        <v>1103</v>
      </c>
      <c r="H54" s="803" t="s">
        <v>1103</v>
      </c>
      <c r="I54" s="804">
        <v>5500</v>
      </c>
      <c r="J54" s="803">
        <v>1</v>
      </c>
      <c r="K54" s="804">
        <f t="shared" si="0"/>
        <v>5500</v>
      </c>
      <c r="L54" s="804">
        <f t="shared" si="1"/>
        <v>5500</v>
      </c>
      <c r="M54" s="804">
        <f t="shared" si="2"/>
        <v>5500</v>
      </c>
      <c r="N54" s="803" t="s">
        <v>15753</v>
      </c>
      <c r="O54" s="805">
        <f t="shared" si="3"/>
        <v>5500</v>
      </c>
      <c r="P54" s="805">
        <f t="shared" si="4"/>
        <v>5500</v>
      </c>
      <c r="Q54" s="806">
        <f t="shared" si="5"/>
        <v>5500</v>
      </c>
    </row>
    <row r="55" spans="1:17" x14ac:dyDescent="0.2">
      <c r="A55" s="797" t="s">
        <v>17549</v>
      </c>
      <c r="B55" s="798" t="s">
        <v>13918</v>
      </c>
      <c r="C55" s="798" t="s">
        <v>17513</v>
      </c>
      <c r="D55" s="798" t="s">
        <v>24310</v>
      </c>
      <c r="E55" s="798" t="s">
        <v>15733</v>
      </c>
      <c r="F55" s="798">
        <v>3</v>
      </c>
      <c r="G55" s="798" t="s">
        <v>1103</v>
      </c>
      <c r="H55" s="798" t="s">
        <v>1103</v>
      </c>
      <c r="I55" s="799">
        <v>15000</v>
      </c>
      <c r="J55" s="798">
        <v>1</v>
      </c>
      <c r="K55" s="799">
        <f t="shared" si="0"/>
        <v>15000</v>
      </c>
      <c r="L55" s="799">
        <f t="shared" si="1"/>
        <v>15000</v>
      </c>
      <c r="M55" s="799">
        <f t="shared" si="2"/>
        <v>15000</v>
      </c>
      <c r="N55" s="798" t="s">
        <v>15754</v>
      </c>
      <c r="O55" s="800">
        <f t="shared" si="3"/>
        <v>15000</v>
      </c>
      <c r="P55" s="800">
        <f t="shared" si="4"/>
        <v>15000</v>
      </c>
      <c r="Q55" s="801">
        <f t="shared" si="5"/>
        <v>15000</v>
      </c>
    </row>
    <row r="56" spans="1:17" x14ac:dyDescent="0.2">
      <c r="A56" s="802" t="s">
        <v>15876</v>
      </c>
      <c r="B56" s="803" t="s">
        <v>13918</v>
      </c>
      <c r="C56" s="803" t="s">
        <v>17513</v>
      </c>
      <c r="D56" s="803" t="s">
        <v>24311</v>
      </c>
      <c r="E56" s="803" t="s">
        <v>15731</v>
      </c>
      <c r="F56" s="803">
        <v>1</v>
      </c>
      <c r="G56" s="803" t="s">
        <v>122</v>
      </c>
      <c r="H56" s="803" t="s">
        <v>122</v>
      </c>
      <c r="I56" s="804">
        <v>2400</v>
      </c>
      <c r="J56" s="803">
        <v>1</v>
      </c>
      <c r="K56" s="804">
        <f t="shared" si="0"/>
        <v>2400</v>
      </c>
      <c r="L56" s="804">
        <f t="shared" si="1"/>
        <v>2400</v>
      </c>
      <c r="M56" s="804">
        <f t="shared" si="2"/>
        <v>2400</v>
      </c>
      <c r="N56" s="803" t="s">
        <v>15752</v>
      </c>
      <c r="O56" s="805">
        <f t="shared" si="3"/>
        <v>2400</v>
      </c>
      <c r="P56" s="805">
        <f t="shared" si="4"/>
        <v>2400</v>
      </c>
      <c r="Q56" s="806">
        <f t="shared" si="5"/>
        <v>2400</v>
      </c>
    </row>
    <row r="57" spans="1:17" x14ac:dyDescent="0.2">
      <c r="A57" s="797" t="s">
        <v>17550</v>
      </c>
      <c r="B57" s="798" t="s">
        <v>13918</v>
      </c>
      <c r="C57" s="798" t="s">
        <v>17513</v>
      </c>
      <c r="D57" s="798" t="s">
        <v>24311</v>
      </c>
      <c r="E57" s="798" t="s">
        <v>15732</v>
      </c>
      <c r="F57" s="798">
        <v>2</v>
      </c>
      <c r="G57" s="798" t="s">
        <v>122</v>
      </c>
      <c r="H57" s="798" t="s">
        <v>122</v>
      </c>
      <c r="I57" s="799">
        <v>4700</v>
      </c>
      <c r="J57" s="798">
        <v>1</v>
      </c>
      <c r="K57" s="799">
        <f t="shared" si="0"/>
        <v>4700</v>
      </c>
      <c r="L57" s="799">
        <f t="shared" si="1"/>
        <v>4700</v>
      </c>
      <c r="M57" s="799">
        <f t="shared" si="2"/>
        <v>4700</v>
      </c>
      <c r="N57" s="798" t="s">
        <v>15753</v>
      </c>
      <c r="O57" s="800">
        <f t="shared" si="3"/>
        <v>4700</v>
      </c>
      <c r="P57" s="800">
        <f t="shared" si="4"/>
        <v>4700</v>
      </c>
      <c r="Q57" s="801">
        <f t="shared" si="5"/>
        <v>4700</v>
      </c>
    </row>
    <row r="58" spans="1:17" x14ac:dyDescent="0.2">
      <c r="A58" s="802" t="s">
        <v>17551</v>
      </c>
      <c r="B58" s="803" t="s">
        <v>13918</v>
      </c>
      <c r="C58" s="803" t="s">
        <v>17513</v>
      </c>
      <c r="D58" s="803" t="s">
        <v>24311</v>
      </c>
      <c r="E58" s="803" t="s">
        <v>15733</v>
      </c>
      <c r="F58" s="803">
        <v>3</v>
      </c>
      <c r="G58" s="803" t="s">
        <v>122</v>
      </c>
      <c r="H58" s="803" t="s">
        <v>122</v>
      </c>
      <c r="I58" s="804">
        <v>15000</v>
      </c>
      <c r="J58" s="803">
        <v>1</v>
      </c>
      <c r="K58" s="804">
        <f t="shared" si="0"/>
        <v>15000</v>
      </c>
      <c r="L58" s="804">
        <f t="shared" si="1"/>
        <v>15000</v>
      </c>
      <c r="M58" s="804">
        <f t="shared" si="2"/>
        <v>15000</v>
      </c>
      <c r="N58" s="803" t="s">
        <v>15754</v>
      </c>
      <c r="O58" s="805">
        <f t="shared" si="3"/>
        <v>15000</v>
      </c>
      <c r="P58" s="805">
        <f t="shared" si="4"/>
        <v>15000</v>
      </c>
      <c r="Q58" s="806">
        <f t="shared" si="5"/>
        <v>15000</v>
      </c>
    </row>
    <row r="59" spans="1:17" x14ac:dyDescent="0.2">
      <c r="A59" s="797" t="s">
        <v>15879</v>
      </c>
      <c r="B59" s="798" t="s">
        <v>13918</v>
      </c>
      <c r="C59" s="798" t="s">
        <v>17513</v>
      </c>
      <c r="D59" s="798" t="s">
        <v>24312</v>
      </c>
      <c r="E59" s="798" t="s">
        <v>15731</v>
      </c>
      <c r="F59" s="798">
        <v>1</v>
      </c>
      <c r="G59" s="798" t="s">
        <v>122</v>
      </c>
      <c r="H59" s="798" t="s">
        <v>122</v>
      </c>
      <c r="I59" s="799">
        <v>2450</v>
      </c>
      <c r="J59" s="798">
        <v>1</v>
      </c>
      <c r="K59" s="799">
        <f t="shared" si="0"/>
        <v>2450</v>
      </c>
      <c r="L59" s="799">
        <f t="shared" si="1"/>
        <v>2450</v>
      </c>
      <c r="M59" s="799">
        <f t="shared" si="2"/>
        <v>2450</v>
      </c>
      <c r="N59" s="798" t="s">
        <v>15752</v>
      </c>
      <c r="O59" s="800">
        <f t="shared" si="3"/>
        <v>2450</v>
      </c>
      <c r="P59" s="800">
        <f t="shared" si="4"/>
        <v>2450</v>
      </c>
      <c r="Q59" s="801">
        <f t="shared" si="5"/>
        <v>2450</v>
      </c>
    </row>
    <row r="60" spans="1:17" x14ac:dyDescent="0.2">
      <c r="A60" s="802" t="s">
        <v>17552</v>
      </c>
      <c r="B60" s="803" t="s">
        <v>13918</v>
      </c>
      <c r="C60" s="803" t="s">
        <v>17513</v>
      </c>
      <c r="D60" s="803" t="s">
        <v>24312</v>
      </c>
      <c r="E60" s="803" t="s">
        <v>15732</v>
      </c>
      <c r="F60" s="803">
        <v>2</v>
      </c>
      <c r="G60" s="803" t="s">
        <v>122</v>
      </c>
      <c r="H60" s="803" t="s">
        <v>122</v>
      </c>
      <c r="I60" s="804">
        <v>4750</v>
      </c>
      <c r="J60" s="803">
        <v>1</v>
      </c>
      <c r="K60" s="804">
        <f t="shared" si="0"/>
        <v>4750</v>
      </c>
      <c r="L60" s="804">
        <f t="shared" si="1"/>
        <v>4750</v>
      </c>
      <c r="M60" s="804">
        <f t="shared" si="2"/>
        <v>4750</v>
      </c>
      <c r="N60" s="803" t="s">
        <v>15753</v>
      </c>
      <c r="O60" s="805">
        <f t="shared" si="3"/>
        <v>4750</v>
      </c>
      <c r="P60" s="805">
        <f t="shared" si="4"/>
        <v>4750</v>
      </c>
      <c r="Q60" s="806">
        <f t="shared" si="5"/>
        <v>4750</v>
      </c>
    </row>
    <row r="61" spans="1:17" x14ac:dyDescent="0.2">
      <c r="A61" s="797" t="s">
        <v>17553</v>
      </c>
      <c r="B61" s="798" t="s">
        <v>13918</v>
      </c>
      <c r="C61" s="798" t="s">
        <v>17513</v>
      </c>
      <c r="D61" s="798" t="s">
        <v>24312</v>
      </c>
      <c r="E61" s="798" t="s">
        <v>15733</v>
      </c>
      <c r="F61" s="798">
        <v>3</v>
      </c>
      <c r="G61" s="798" t="s">
        <v>122</v>
      </c>
      <c r="H61" s="798" t="s">
        <v>122</v>
      </c>
      <c r="I61" s="799">
        <v>15000</v>
      </c>
      <c r="J61" s="798">
        <v>1</v>
      </c>
      <c r="K61" s="799">
        <f t="shared" si="0"/>
        <v>15000</v>
      </c>
      <c r="L61" s="799">
        <f t="shared" si="1"/>
        <v>15000</v>
      </c>
      <c r="M61" s="799">
        <f t="shared" si="2"/>
        <v>15000</v>
      </c>
      <c r="N61" s="798" t="s">
        <v>15754</v>
      </c>
      <c r="O61" s="800">
        <f t="shared" si="3"/>
        <v>15000</v>
      </c>
      <c r="P61" s="800">
        <f t="shared" si="4"/>
        <v>15000</v>
      </c>
      <c r="Q61" s="801">
        <f t="shared" si="5"/>
        <v>15000</v>
      </c>
    </row>
    <row r="62" spans="1:17" x14ac:dyDescent="0.2">
      <c r="A62" s="802" t="s">
        <v>15886</v>
      </c>
      <c r="B62" s="803" t="s">
        <v>13918</v>
      </c>
      <c r="C62" s="803" t="s">
        <v>17513</v>
      </c>
      <c r="D62" s="803" t="s">
        <v>24313</v>
      </c>
      <c r="E62" s="803" t="s">
        <v>15731</v>
      </c>
      <c r="F62" s="803">
        <v>1</v>
      </c>
      <c r="G62" s="803" t="s">
        <v>122</v>
      </c>
      <c r="H62" s="803" t="s">
        <v>122</v>
      </c>
      <c r="I62" s="804">
        <v>2550</v>
      </c>
      <c r="J62" s="803">
        <v>1</v>
      </c>
      <c r="K62" s="804">
        <f t="shared" si="0"/>
        <v>2550</v>
      </c>
      <c r="L62" s="804">
        <f t="shared" si="1"/>
        <v>2550</v>
      </c>
      <c r="M62" s="804">
        <f t="shared" si="2"/>
        <v>2550</v>
      </c>
      <c r="N62" s="803" t="s">
        <v>15752</v>
      </c>
      <c r="O62" s="805">
        <f t="shared" si="3"/>
        <v>2550</v>
      </c>
      <c r="P62" s="805">
        <f t="shared" si="4"/>
        <v>2550</v>
      </c>
      <c r="Q62" s="806">
        <f t="shared" si="5"/>
        <v>2550</v>
      </c>
    </row>
    <row r="63" spans="1:17" x14ac:dyDescent="0.2">
      <c r="A63" s="797" t="s">
        <v>17554</v>
      </c>
      <c r="B63" s="798" t="s">
        <v>13918</v>
      </c>
      <c r="C63" s="798" t="s">
        <v>17513</v>
      </c>
      <c r="D63" s="798" t="s">
        <v>24313</v>
      </c>
      <c r="E63" s="798" t="s">
        <v>15732</v>
      </c>
      <c r="F63" s="798">
        <v>2</v>
      </c>
      <c r="G63" s="798" t="s">
        <v>122</v>
      </c>
      <c r="H63" s="798" t="s">
        <v>122</v>
      </c>
      <c r="I63" s="799">
        <v>4800</v>
      </c>
      <c r="J63" s="798">
        <v>1</v>
      </c>
      <c r="K63" s="799">
        <f t="shared" si="0"/>
        <v>4800</v>
      </c>
      <c r="L63" s="799">
        <f t="shared" si="1"/>
        <v>4800</v>
      </c>
      <c r="M63" s="799">
        <f t="shared" si="2"/>
        <v>4800</v>
      </c>
      <c r="N63" s="798" t="s">
        <v>15753</v>
      </c>
      <c r="O63" s="800">
        <f t="shared" si="3"/>
        <v>4800</v>
      </c>
      <c r="P63" s="800">
        <f t="shared" si="4"/>
        <v>4800</v>
      </c>
      <c r="Q63" s="801">
        <f t="shared" si="5"/>
        <v>4800</v>
      </c>
    </row>
    <row r="64" spans="1:17" x14ac:dyDescent="0.2">
      <c r="A64" s="802" t="s">
        <v>17555</v>
      </c>
      <c r="B64" s="803" t="s">
        <v>13918</v>
      </c>
      <c r="C64" s="803" t="s">
        <v>17513</v>
      </c>
      <c r="D64" s="803" t="s">
        <v>24313</v>
      </c>
      <c r="E64" s="803" t="s">
        <v>15733</v>
      </c>
      <c r="F64" s="803">
        <v>3</v>
      </c>
      <c r="G64" s="803" t="s">
        <v>122</v>
      </c>
      <c r="H64" s="803" t="s">
        <v>122</v>
      </c>
      <c r="I64" s="804">
        <v>15000</v>
      </c>
      <c r="J64" s="803">
        <v>1</v>
      </c>
      <c r="K64" s="804">
        <f t="shared" si="0"/>
        <v>15000</v>
      </c>
      <c r="L64" s="804">
        <f t="shared" si="1"/>
        <v>15000</v>
      </c>
      <c r="M64" s="804">
        <f t="shared" si="2"/>
        <v>15000</v>
      </c>
      <c r="N64" s="803" t="s">
        <v>15754</v>
      </c>
      <c r="O64" s="805">
        <f t="shared" si="3"/>
        <v>15000</v>
      </c>
      <c r="P64" s="805">
        <f t="shared" si="4"/>
        <v>15000</v>
      </c>
      <c r="Q64" s="806">
        <f t="shared" si="5"/>
        <v>15000</v>
      </c>
    </row>
    <row r="65" spans="1:17" x14ac:dyDescent="0.2">
      <c r="A65" s="797" t="s">
        <v>15889</v>
      </c>
      <c r="B65" s="798" t="s">
        <v>13918</v>
      </c>
      <c r="C65" s="798" t="s">
        <v>17513</v>
      </c>
      <c r="D65" s="798" t="s">
        <v>24314</v>
      </c>
      <c r="E65" s="798" t="s">
        <v>15731</v>
      </c>
      <c r="F65" s="798">
        <v>1</v>
      </c>
      <c r="G65" s="798" t="s">
        <v>122</v>
      </c>
      <c r="H65" s="798" t="s">
        <v>122</v>
      </c>
      <c r="I65" s="799">
        <v>2600</v>
      </c>
      <c r="J65" s="798">
        <v>1</v>
      </c>
      <c r="K65" s="799">
        <f t="shared" si="0"/>
        <v>2600</v>
      </c>
      <c r="L65" s="799">
        <f t="shared" si="1"/>
        <v>2600</v>
      </c>
      <c r="M65" s="799">
        <f t="shared" si="2"/>
        <v>2600</v>
      </c>
      <c r="N65" s="798" t="s">
        <v>15752</v>
      </c>
      <c r="O65" s="800">
        <f t="shared" si="3"/>
        <v>2600</v>
      </c>
      <c r="P65" s="800">
        <f t="shared" si="4"/>
        <v>2600</v>
      </c>
      <c r="Q65" s="801">
        <f t="shared" si="5"/>
        <v>2600</v>
      </c>
    </row>
    <row r="66" spans="1:17" x14ac:dyDescent="0.2">
      <c r="A66" s="802" t="s">
        <v>17556</v>
      </c>
      <c r="B66" s="803" t="s">
        <v>13918</v>
      </c>
      <c r="C66" s="803" t="s">
        <v>17513</v>
      </c>
      <c r="D66" s="803" t="s">
        <v>24314</v>
      </c>
      <c r="E66" s="803" t="s">
        <v>15732</v>
      </c>
      <c r="F66" s="803">
        <v>2</v>
      </c>
      <c r="G66" s="803" t="s">
        <v>122</v>
      </c>
      <c r="H66" s="803" t="s">
        <v>122</v>
      </c>
      <c r="I66" s="804">
        <v>4850</v>
      </c>
      <c r="J66" s="803">
        <v>1</v>
      </c>
      <c r="K66" s="804">
        <f t="shared" ref="K66:K129" si="6">+I66</f>
        <v>4850</v>
      </c>
      <c r="L66" s="804">
        <f t="shared" ref="L66:L129" si="7">+I66</f>
        <v>4850</v>
      </c>
      <c r="M66" s="804">
        <f t="shared" ref="M66:M129" si="8">+I66</f>
        <v>4850</v>
      </c>
      <c r="N66" s="803" t="s">
        <v>15753</v>
      </c>
      <c r="O66" s="805">
        <f t="shared" ref="O66:O129" si="9">+J66*K66</f>
        <v>4850</v>
      </c>
      <c r="P66" s="805">
        <f t="shared" ref="P66:P129" si="10">+J66*L66</f>
        <v>4850</v>
      </c>
      <c r="Q66" s="806">
        <f t="shared" ref="Q66:Q129" si="11">+J66*M66</f>
        <v>4850</v>
      </c>
    </row>
    <row r="67" spans="1:17" x14ac:dyDescent="0.2">
      <c r="A67" s="797" t="s">
        <v>17557</v>
      </c>
      <c r="B67" s="798" t="s">
        <v>13918</v>
      </c>
      <c r="C67" s="798" t="s">
        <v>17513</v>
      </c>
      <c r="D67" s="798" t="s">
        <v>24314</v>
      </c>
      <c r="E67" s="798" t="s">
        <v>15733</v>
      </c>
      <c r="F67" s="798">
        <v>3</v>
      </c>
      <c r="G67" s="798" t="s">
        <v>122</v>
      </c>
      <c r="H67" s="798" t="s">
        <v>122</v>
      </c>
      <c r="I67" s="799">
        <v>15000</v>
      </c>
      <c r="J67" s="798">
        <v>1</v>
      </c>
      <c r="K67" s="799">
        <f t="shared" si="6"/>
        <v>15000</v>
      </c>
      <c r="L67" s="799">
        <f t="shared" si="7"/>
        <v>15000</v>
      </c>
      <c r="M67" s="799">
        <f t="shared" si="8"/>
        <v>15000</v>
      </c>
      <c r="N67" s="798" t="s">
        <v>15754</v>
      </c>
      <c r="O67" s="800">
        <f t="shared" si="9"/>
        <v>15000</v>
      </c>
      <c r="P67" s="800">
        <f t="shared" si="10"/>
        <v>15000</v>
      </c>
      <c r="Q67" s="801">
        <f t="shared" si="11"/>
        <v>15000</v>
      </c>
    </row>
    <row r="68" spans="1:17" x14ac:dyDescent="0.2">
      <c r="A68" s="802" t="s">
        <v>15892</v>
      </c>
      <c r="B68" s="803" t="s">
        <v>13918</v>
      </c>
      <c r="C68" s="803" t="s">
        <v>17513</v>
      </c>
      <c r="D68" s="803" t="s">
        <v>24315</v>
      </c>
      <c r="E68" s="803" t="s">
        <v>15731</v>
      </c>
      <c r="F68" s="803">
        <v>1</v>
      </c>
      <c r="G68" s="803" t="s">
        <v>122</v>
      </c>
      <c r="H68" s="803" t="s">
        <v>122</v>
      </c>
      <c r="I68" s="804">
        <v>2650</v>
      </c>
      <c r="J68" s="803">
        <v>1</v>
      </c>
      <c r="K68" s="804">
        <f t="shared" si="6"/>
        <v>2650</v>
      </c>
      <c r="L68" s="804">
        <f t="shared" si="7"/>
        <v>2650</v>
      </c>
      <c r="M68" s="804">
        <f t="shared" si="8"/>
        <v>2650</v>
      </c>
      <c r="N68" s="803" t="s">
        <v>15752</v>
      </c>
      <c r="O68" s="805">
        <f t="shared" si="9"/>
        <v>2650</v>
      </c>
      <c r="P68" s="805">
        <f t="shared" si="10"/>
        <v>2650</v>
      </c>
      <c r="Q68" s="806">
        <f t="shared" si="11"/>
        <v>2650</v>
      </c>
    </row>
    <row r="69" spans="1:17" x14ac:dyDescent="0.2">
      <c r="A69" s="797" t="s">
        <v>17558</v>
      </c>
      <c r="B69" s="798" t="s">
        <v>13918</v>
      </c>
      <c r="C69" s="798" t="s">
        <v>17513</v>
      </c>
      <c r="D69" s="798" t="s">
        <v>24315</v>
      </c>
      <c r="E69" s="798" t="s">
        <v>15732</v>
      </c>
      <c r="F69" s="798">
        <v>2</v>
      </c>
      <c r="G69" s="798" t="s">
        <v>122</v>
      </c>
      <c r="H69" s="798" t="s">
        <v>122</v>
      </c>
      <c r="I69" s="799">
        <v>4900</v>
      </c>
      <c r="J69" s="798">
        <v>1</v>
      </c>
      <c r="K69" s="799">
        <f t="shared" si="6"/>
        <v>4900</v>
      </c>
      <c r="L69" s="799">
        <f t="shared" si="7"/>
        <v>4900</v>
      </c>
      <c r="M69" s="799">
        <f t="shared" si="8"/>
        <v>4900</v>
      </c>
      <c r="N69" s="798" t="s">
        <v>15753</v>
      </c>
      <c r="O69" s="800">
        <f t="shared" si="9"/>
        <v>4900</v>
      </c>
      <c r="P69" s="800">
        <f t="shared" si="10"/>
        <v>4900</v>
      </c>
      <c r="Q69" s="801">
        <f t="shared" si="11"/>
        <v>4900</v>
      </c>
    </row>
    <row r="70" spans="1:17" x14ac:dyDescent="0.2">
      <c r="A70" s="802" t="s">
        <v>17559</v>
      </c>
      <c r="B70" s="803" t="s">
        <v>13918</v>
      </c>
      <c r="C70" s="803" t="s">
        <v>17513</v>
      </c>
      <c r="D70" s="803" t="s">
        <v>24315</v>
      </c>
      <c r="E70" s="803" t="s">
        <v>15733</v>
      </c>
      <c r="F70" s="803">
        <v>3</v>
      </c>
      <c r="G70" s="803" t="s">
        <v>122</v>
      </c>
      <c r="H70" s="803" t="s">
        <v>122</v>
      </c>
      <c r="I70" s="804">
        <v>15000</v>
      </c>
      <c r="J70" s="803">
        <v>1</v>
      </c>
      <c r="K70" s="804">
        <f t="shared" si="6"/>
        <v>15000</v>
      </c>
      <c r="L70" s="804">
        <f t="shared" si="7"/>
        <v>15000</v>
      </c>
      <c r="M70" s="804">
        <f t="shared" si="8"/>
        <v>15000</v>
      </c>
      <c r="N70" s="803" t="s">
        <v>15754</v>
      </c>
      <c r="O70" s="805">
        <f t="shared" si="9"/>
        <v>15000</v>
      </c>
      <c r="P70" s="805">
        <f t="shared" si="10"/>
        <v>15000</v>
      </c>
      <c r="Q70" s="806">
        <f t="shared" si="11"/>
        <v>15000</v>
      </c>
    </row>
    <row r="71" spans="1:17" x14ac:dyDescent="0.2">
      <c r="A71" s="797" t="s">
        <v>15899</v>
      </c>
      <c r="B71" s="798" t="s">
        <v>13918</v>
      </c>
      <c r="C71" s="798" t="s">
        <v>17513</v>
      </c>
      <c r="D71" s="798" t="s">
        <v>24316</v>
      </c>
      <c r="E71" s="798" t="s">
        <v>15731</v>
      </c>
      <c r="F71" s="798">
        <v>1</v>
      </c>
      <c r="G71" s="798" t="s">
        <v>122</v>
      </c>
      <c r="H71" s="798" t="s">
        <v>122</v>
      </c>
      <c r="I71" s="799">
        <v>2750</v>
      </c>
      <c r="J71" s="798">
        <v>1</v>
      </c>
      <c r="K71" s="799">
        <f t="shared" si="6"/>
        <v>2750</v>
      </c>
      <c r="L71" s="799">
        <f t="shared" si="7"/>
        <v>2750</v>
      </c>
      <c r="M71" s="799">
        <f t="shared" si="8"/>
        <v>2750</v>
      </c>
      <c r="N71" s="798" t="s">
        <v>15752</v>
      </c>
      <c r="O71" s="800">
        <f t="shared" si="9"/>
        <v>2750</v>
      </c>
      <c r="P71" s="800">
        <f t="shared" si="10"/>
        <v>2750</v>
      </c>
      <c r="Q71" s="801">
        <f t="shared" si="11"/>
        <v>2750</v>
      </c>
    </row>
    <row r="72" spans="1:17" x14ac:dyDescent="0.2">
      <c r="A72" s="802" t="s">
        <v>17560</v>
      </c>
      <c r="B72" s="803" t="s">
        <v>13918</v>
      </c>
      <c r="C72" s="803" t="s">
        <v>17513</v>
      </c>
      <c r="D72" s="803" t="s">
        <v>24316</v>
      </c>
      <c r="E72" s="803" t="s">
        <v>15732</v>
      </c>
      <c r="F72" s="803">
        <v>2</v>
      </c>
      <c r="G72" s="803" t="s">
        <v>122</v>
      </c>
      <c r="H72" s="803" t="s">
        <v>122</v>
      </c>
      <c r="I72" s="804">
        <v>4950</v>
      </c>
      <c r="J72" s="803">
        <v>1</v>
      </c>
      <c r="K72" s="804">
        <f t="shared" si="6"/>
        <v>4950</v>
      </c>
      <c r="L72" s="804">
        <f t="shared" si="7"/>
        <v>4950</v>
      </c>
      <c r="M72" s="804">
        <f t="shared" si="8"/>
        <v>4950</v>
      </c>
      <c r="N72" s="803" t="s">
        <v>15753</v>
      </c>
      <c r="O72" s="805">
        <f t="shared" si="9"/>
        <v>4950</v>
      </c>
      <c r="P72" s="805">
        <f t="shared" si="10"/>
        <v>4950</v>
      </c>
      <c r="Q72" s="806">
        <f t="shared" si="11"/>
        <v>4950</v>
      </c>
    </row>
    <row r="73" spans="1:17" x14ac:dyDescent="0.2">
      <c r="A73" s="797" t="s">
        <v>17561</v>
      </c>
      <c r="B73" s="798" t="s">
        <v>13918</v>
      </c>
      <c r="C73" s="798" t="s">
        <v>17513</v>
      </c>
      <c r="D73" s="798" t="s">
        <v>24316</v>
      </c>
      <c r="E73" s="798" t="s">
        <v>15733</v>
      </c>
      <c r="F73" s="798">
        <v>3</v>
      </c>
      <c r="G73" s="798" t="s">
        <v>122</v>
      </c>
      <c r="H73" s="798" t="s">
        <v>122</v>
      </c>
      <c r="I73" s="799">
        <v>15000</v>
      </c>
      <c r="J73" s="798">
        <v>1</v>
      </c>
      <c r="K73" s="799">
        <f t="shared" si="6"/>
        <v>15000</v>
      </c>
      <c r="L73" s="799">
        <f t="shared" si="7"/>
        <v>15000</v>
      </c>
      <c r="M73" s="799">
        <f t="shared" si="8"/>
        <v>15000</v>
      </c>
      <c r="N73" s="798" t="s">
        <v>15754</v>
      </c>
      <c r="O73" s="800">
        <f t="shared" si="9"/>
        <v>15000</v>
      </c>
      <c r="P73" s="800">
        <f t="shared" si="10"/>
        <v>15000</v>
      </c>
      <c r="Q73" s="801">
        <f t="shared" si="11"/>
        <v>15000</v>
      </c>
    </row>
    <row r="74" spans="1:17" x14ac:dyDescent="0.2">
      <c r="A74" s="802" t="s">
        <v>15905</v>
      </c>
      <c r="B74" s="803" t="s">
        <v>13918</v>
      </c>
      <c r="C74" s="803" t="s">
        <v>17513</v>
      </c>
      <c r="D74" s="803" t="s">
        <v>24317</v>
      </c>
      <c r="E74" s="803" t="s">
        <v>15731</v>
      </c>
      <c r="F74" s="803">
        <v>1</v>
      </c>
      <c r="G74" s="803" t="s">
        <v>122</v>
      </c>
      <c r="H74" s="803" t="s">
        <v>122</v>
      </c>
      <c r="I74" s="804">
        <v>2800</v>
      </c>
      <c r="J74" s="803">
        <v>1</v>
      </c>
      <c r="K74" s="804">
        <f t="shared" si="6"/>
        <v>2800</v>
      </c>
      <c r="L74" s="804">
        <f t="shared" si="7"/>
        <v>2800</v>
      </c>
      <c r="M74" s="804">
        <f t="shared" si="8"/>
        <v>2800</v>
      </c>
      <c r="N74" s="803" t="s">
        <v>15752</v>
      </c>
      <c r="O74" s="805">
        <f t="shared" si="9"/>
        <v>2800</v>
      </c>
      <c r="P74" s="805">
        <f t="shared" si="10"/>
        <v>2800</v>
      </c>
      <c r="Q74" s="806">
        <f t="shared" si="11"/>
        <v>2800</v>
      </c>
    </row>
    <row r="75" spans="1:17" x14ac:dyDescent="0.2">
      <c r="A75" s="797" t="s">
        <v>17562</v>
      </c>
      <c r="B75" s="798" t="s">
        <v>13918</v>
      </c>
      <c r="C75" s="798" t="s">
        <v>17513</v>
      </c>
      <c r="D75" s="798" t="s">
        <v>24317</v>
      </c>
      <c r="E75" s="798" t="s">
        <v>15732</v>
      </c>
      <c r="F75" s="798">
        <v>2</v>
      </c>
      <c r="G75" s="798" t="s">
        <v>122</v>
      </c>
      <c r="H75" s="798" t="s">
        <v>122</v>
      </c>
      <c r="I75" s="799">
        <v>5000</v>
      </c>
      <c r="J75" s="798">
        <v>1</v>
      </c>
      <c r="K75" s="799">
        <f t="shared" si="6"/>
        <v>5000</v>
      </c>
      <c r="L75" s="799">
        <f t="shared" si="7"/>
        <v>5000</v>
      </c>
      <c r="M75" s="799">
        <f t="shared" si="8"/>
        <v>5000</v>
      </c>
      <c r="N75" s="798" t="s">
        <v>15753</v>
      </c>
      <c r="O75" s="800">
        <f t="shared" si="9"/>
        <v>5000</v>
      </c>
      <c r="P75" s="800">
        <f t="shared" si="10"/>
        <v>5000</v>
      </c>
      <c r="Q75" s="801">
        <f t="shared" si="11"/>
        <v>5000</v>
      </c>
    </row>
    <row r="76" spans="1:17" x14ac:dyDescent="0.2">
      <c r="A76" s="802" t="s">
        <v>17563</v>
      </c>
      <c r="B76" s="803" t="s">
        <v>13918</v>
      </c>
      <c r="C76" s="803" t="s">
        <v>17513</v>
      </c>
      <c r="D76" s="803" t="s">
        <v>24317</v>
      </c>
      <c r="E76" s="803" t="s">
        <v>15733</v>
      </c>
      <c r="F76" s="803">
        <v>3</v>
      </c>
      <c r="G76" s="803" t="s">
        <v>122</v>
      </c>
      <c r="H76" s="803" t="s">
        <v>122</v>
      </c>
      <c r="I76" s="804">
        <v>15000</v>
      </c>
      <c r="J76" s="803">
        <v>1</v>
      </c>
      <c r="K76" s="804">
        <f t="shared" si="6"/>
        <v>15000</v>
      </c>
      <c r="L76" s="804">
        <f t="shared" si="7"/>
        <v>15000</v>
      </c>
      <c r="M76" s="804">
        <f t="shared" si="8"/>
        <v>15000</v>
      </c>
      <c r="N76" s="803" t="s">
        <v>15754</v>
      </c>
      <c r="O76" s="805">
        <f t="shared" si="9"/>
        <v>15000</v>
      </c>
      <c r="P76" s="805">
        <f t="shared" si="10"/>
        <v>15000</v>
      </c>
      <c r="Q76" s="806">
        <f t="shared" si="11"/>
        <v>15000</v>
      </c>
    </row>
    <row r="77" spans="1:17" x14ac:dyDescent="0.2">
      <c r="A77" s="797" t="s">
        <v>15911</v>
      </c>
      <c r="B77" s="798" t="s">
        <v>13918</v>
      </c>
      <c r="C77" s="798" t="s">
        <v>17513</v>
      </c>
      <c r="D77" s="798" t="s">
        <v>24318</v>
      </c>
      <c r="E77" s="798" t="s">
        <v>15731</v>
      </c>
      <c r="F77" s="798">
        <v>1</v>
      </c>
      <c r="G77" s="798" t="s">
        <v>122</v>
      </c>
      <c r="H77" s="798" t="s">
        <v>122</v>
      </c>
      <c r="I77" s="799">
        <v>2900</v>
      </c>
      <c r="J77" s="798">
        <v>1</v>
      </c>
      <c r="K77" s="799">
        <f t="shared" si="6"/>
        <v>2900</v>
      </c>
      <c r="L77" s="799">
        <f t="shared" si="7"/>
        <v>2900</v>
      </c>
      <c r="M77" s="799">
        <f t="shared" si="8"/>
        <v>2900</v>
      </c>
      <c r="N77" s="798" t="s">
        <v>15752</v>
      </c>
      <c r="O77" s="800">
        <f t="shared" si="9"/>
        <v>2900</v>
      </c>
      <c r="P77" s="800">
        <f t="shared" si="10"/>
        <v>2900</v>
      </c>
      <c r="Q77" s="801">
        <f t="shared" si="11"/>
        <v>2900</v>
      </c>
    </row>
    <row r="78" spans="1:17" x14ac:dyDescent="0.2">
      <c r="A78" s="802" t="s">
        <v>17564</v>
      </c>
      <c r="B78" s="803" t="s">
        <v>13918</v>
      </c>
      <c r="C78" s="803" t="s">
        <v>17513</v>
      </c>
      <c r="D78" s="803" t="s">
        <v>24318</v>
      </c>
      <c r="E78" s="803" t="s">
        <v>15732</v>
      </c>
      <c r="F78" s="803">
        <v>2</v>
      </c>
      <c r="G78" s="803" t="s">
        <v>122</v>
      </c>
      <c r="H78" s="803" t="s">
        <v>122</v>
      </c>
      <c r="I78" s="804">
        <v>5100</v>
      </c>
      <c r="J78" s="803">
        <v>1</v>
      </c>
      <c r="K78" s="804">
        <f t="shared" si="6"/>
        <v>5100</v>
      </c>
      <c r="L78" s="804">
        <f t="shared" si="7"/>
        <v>5100</v>
      </c>
      <c r="M78" s="804">
        <f t="shared" si="8"/>
        <v>5100</v>
      </c>
      <c r="N78" s="803" t="s">
        <v>15753</v>
      </c>
      <c r="O78" s="805">
        <f t="shared" si="9"/>
        <v>5100</v>
      </c>
      <c r="P78" s="805">
        <f t="shared" si="10"/>
        <v>5100</v>
      </c>
      <c r="Q78" s="806">
        <f t="shared" si="11"/>
        <v>5100</v>
      </c>
    </row>
    <row r="79" spans="1:17" x14ac:dyDescent="0.2">
      <c r="A79" s="797" t="s">
        <v>17565</v>
      </c>
      <c r="B79" s="798" t="s">
        <v>13918</v>
      </c>
      <c r="C79" s="798" t="s">
        <v>17513</v>
      </c>
      <c r="D79" s="798" t="s">
        <v>24318</v>
      </c>
      <c r="E79" s="798" t="s">
        <v>15733</v>
      </c>
      <c r="F79" s="798">
        <v>3</v>
      </c>
      <c r="G79" s="798" t="s">
        <v>122</v>
      </c>
      <c r="H79" s="798" t="s">
        <v>122</v>
      </c>
      <c r="I79" s="799">
        <v>15000</v>
      </c>
      <c r="J79" s="798">
        <v>1</v>
      </c>
      <c r="K79" s="799">
        <f t="shared" si="6"/>
        <v>15000</v>
      </c>
      <c r="L79" s="799">
        <f t="shared" si="7"/>
        <v>15000</v>
      </c>
      <c r="M79" s="799">
        <f t="shared" si="8"/>
        <v>15000</v>
      </c>
      <c r="N79" s="798" t="s">
        <v>15754</v>
      </c>
      <c r="O79" s="800">
        <f t="shared" si="9"/>
        <v>15000</v>
      </c>
      <c r="P79" s="800">
        <f t="shared" si="10"/>
        <v>15000</v>
      </c>
      <c r="Q79" s="801">
        <f t="shared" si="11"/>
        <v>15000</v>
      </c>
    </row>
    <row r="80" spans="1:17" x14ac:dyDescent="0.2">
      <c r="A80" s="802" t="s">
        <v>15915</v>
      </c>
      <c r="B80" s="803" t="s">
        <v>13918</v>
      </c>
      <c r="C80" s="803" t="s">
        <v>17513</v>
      </c>
      <c r="D80" s="803" t="s">
        <v>24319</v>
      </c>
      <c r="E80" s="803" t="s">
        <v>15731</v>
      </c>
      <c r="F80" s="803">
        <v>1</v>
      </c>
      <c r="G80" s="803" t="s">
        <v>122</v>
      </c>
      <c r="H80" s="803" t="s">
        <v>122</v>
      </c>
      <c r="I80" s="804">
        <v>3000</v>
      </c>
      <c r="J80" s="803">
        <v>1</v>
      </c>
      <c r="K80" s="804">
        <f t="shared" si="6"/>
        <v>3000</v>
      </c>
      <c r="L80" s="804">
        <f t="shared" si="7"/>
        <v>3000</v>
      </c>
      <c r="M80" s="804">
        <f t="shared" si="8"/>
        <v>3000</v>
      </c>
      <c r="N80" s="803" t="s">
        <v>15752</v>
      </c>
      <c r="O80" s="805">
        <f t="shared" si="9"/>
        <v>3000</v>
      </c>
      <c r="P80" s="805">
        <f t="shared" si="10"/>
        <v>3000</v>
      </c>
      <c r="Q80" s="806">
        <f t="shared" si="11"/>
        <v>3000</v>
      </c>
    </row>
    <row r="81" spans="1:17" x14ac:dyDescent="0.2">
      <c r="A81" s="797" t="s">
        <v>17566</v>
      </c>
      <c r="B81" s="798" t="s">
        <v>13918</v>
      </c>
      <c r="C81" s="798" t="s">
        <v>17513</v>
      </c>
      <c r="D81" s="798" t="s">
        <v>24319</v>
      </c>
      <c r="E81" s="798" t="s">
        <v>15732</v>
      </c>
      <c r="F81" s="798">
        <v>2</v>
      </c>
      <c r="G81" s="798" t="s">
        <v>122</v>
      </c>
      <c r="H81" s="798" t="s">
        <v>122</v>
      </c>
      <c r="I81" s="799">
        <v>5200</v>
      </c>
      <c r="J81" s="798">
        <v>1</v>
      </c>
      <c r="K81" s="799">
        <f t="shared" si="6"/>
        <v>5200</v>
      </c>
      <c r="L81" s="799">
        <f t="shared" si="7"/>
        <v>5200</v>
      </c>
      <c r="M81" s="799">
        <f t="shared" si="8"/>
        <v>5200</v>
      </c>
      <c r="N81" s="798" t="s">
        <v>15753</v>
      </c>
      <c r="O81" s="800">
        <f t="shared" si="9"/>
        <v>5200</v>
      </c>
      <c r="P81" s="800">
        <f t="shared" si="10"/>
        <v>5200</v>
      </c>
      <c r="Q81" s="801">
        <f t="shared" si="11"/>
        <v>5200</v>
      </c>
    </row>
    <row r="82" spans="1:17" x14ac:dyDescent="0.2">
      <c r="A82" s="802" t="s">
        <v>17567</v>
      </c>
      <c r="B82" s="803" t="s">
        <v>13918</v>
      </c>
      <c r="C82" s="803" t="s">
        <v>17513</v>
      </c>
      <c r="D82" s="803" t="s">
        <v>24319</v>
      </c>
      <c r="E82" s="803" t="s">
        <v>15733</v>
      </c>
      <c r="F82" s="803">
        <v>3</v>
      </c>
      <c r="G82" s="803" t="s">
        <v>122</v>
      </c>
      <c r="H82" s="803" t="s">
        <v>122</v>
      </c>
      <c r="I82" s="804">
        <v>15000</v>
      </c>
      <c r="J82" s="803">
        <v>1</v>
      </c>
      <c r="K82" s="804">
        <f t="shared" si="6"/>
        <v>15000</v>
      </c>
      <c r="L82" s="804">
        <f t="shared" si="7"/>
        <v>15000</v>
      </c>
      <c r="M82" s="804">
        <f t="shared" si="8"/>
        <v>15000</v>
      </c>
      <c r="N82" s="803" t="s">
        <v>15754</v>
      </c>
      <c r="O82" s="805">
        <f t="shared" si="9"/>
        <v>15000</v>
      </c>
      <c r="P82" s="805">
        <f t="shared" si="10"/>
        <v>15000</v>
      </c>
      <c r="Q82" s="806">
        <f t="shared" si="11"/>
        <v>15000</v>
      </c>
    </row>
    <row r="83" spans="1:17" x14ac:dyDescent="0.2">
      <c r="A83" s="797" t="s">
        <v>15918</v>
      </c>
      <c r="B83" s="798" t="s">
        <v>13918</v>
      </c>
      <c r="C83" s="798" t="s">
        <v>17513</v>
      </c>
      <c r="D83" s="798" t="s">
        <v>24320</v>
      </c>
      <c r="E83" s="798" t="s">
        <v>15731</v>
      </c>
      <c r="F83" s="798">
        <v>1</v>
      </c>
      <c r="G83" s="798" t="s">
        <v>122</v>
      </c>
      <c r="H83" s="798" t="s">
        <v>122</v>
      </c>
      <c r="I83" s="799">
        <v>3300</v>
      </c>
      <c r="J83" s="798">
        <v>1</v>
      </c>
      <c r="K83" s="799">
        <f t="shared" si="6"/>
        <v>3300</v>
      </c>
      <c r="L83" s="799">
        <f t="shared" si="7"/>
        <v>3300</v>
      </c>
      <c r="M83" s="799">
        <f t="shared" si="8"/>
        <v>3300</v>
      </c>
      <c r="N83" s="798" t="s">
        <v>15752</v>
      </c>
      <c r="O83" s="800">
        <f t="shared" si="9"/>
        <v>3300</v>
      </c>
      <c r="P83" s="800">
        <f t="shared" si="10"/>
        <v>3300</v>
      </c>
      <c r="Q83" s="801">
        <f t="shared" si="11"/>
        <v>3300</v>
      </c>
    </row>
    <row r="84" spans="1:17" x14ac:dyDescent="0.2">
      <c r="A84" s="802" t="s">
        <v>17568</v>
      </c>
      <c r="B84" s="803" t="s">
        <v>13918</v>
      </c>
      <c r="C84" s="803" t="s">
        <v>17513</v>
      </c>
      <c r="D84" s="803" t="s">
        <v>24320</v>
      </c>
      <c r="E84" s="803" t="s">
        <v>15732</v>
      </c>
      <c r="F84" s="803">
        <v>2</v>
      </c>
      <c r="G84" s="803" t="s">
        <v>122</v>
      </c>
      <c r="H84" s="803" t="s">
        <v>122</v>
      </c>
      <c r="I84" s="804">
        <v>5700</v>
      </c>
      <c r="J84" s="803">
        <v>1</v>
      </c>
      <c r="K84" s="804">
        <f t="shared" si="6"/>
        <v>5700</v>
      </c>
      <c r="L84" s="804">
        <f t="shared" si="7"/>
        <v>5700</v>
      </c>
      <c r="M84" s="804">
        <f t="shared" si="8"/>
        <v>5700</v>
      </c>
      <c r="N84" s="803" t="s">
        <v>15753</v>
      </c>
      <c r="O84" s="805">
        <f t="shared" si="9"/>
        <v>5700</v>
      </c>
      <c r="P84" s="805">
        <f t="shared" si="10"/>
        <v>5700</v>
      </c>
      <c r="Q84" s="806">
        <f t="shared" si="11"/>
        <v>5700</v>
      </c>
    </row>
    <row r="85" spans="1:17" x14ac:dyDescent="0.2">
      <c r="A85" s="797" t="s">
        <v>17569</v>
      </c>
      <c r="B85" s="798" t="s">
        <v>13918</v>
      </c>
      <c r="C85" s="798" t="s">
        <v>17513</v>
      </c>
      <c r="D85" s="798" t="s">
        <v>24320</v>
      </c>
      <c r="E85" s="798" t="s">
        <v>15733</v>
      </c>
      <c r="F85" s="798">
        <v>3</v>
      </c>
      <c r="G85" s="798" t="s">
        <v>122</v>
      </c>
      <c r="H85" s="798" t="s">
        <v>122</v>
      </c>
      <c r="I85" s="799">
        <v>15000</v>
      </c>
      <c r="J85" s="798">
        <v>1</v>
      </c>
      <c r="K85" s="799">
        <f t="shared" si="6"/>
        <v>15000</v>
      </c>
      <c r="L85" s="799">
        <f t="shared" si="7"/>
        <v>15000</v>
      </c>
      <c r="M85" s="799">
        <f t="shared" si="8"/>
        <v>15000</v>
      </c>
      <c r="N85" s="798" t="s">
        <v>15754</v>
      </c>
      <c r="O85" s="800">
        <f t="shared" si="9"/>
        <v>15000</v>
      </c>
      <c r="P85" s="800">
        <f t="shared" si="10"/>
        <v>15000</v>
      </c>
      <c r="Q85" s="801">
        <f t="shared" si="11"/>
        <v>15000</v>
      </c>
    </row>
    <row r="86" spans="1:17" x14ac:dyDescent="0.2">
      <c r="A86" s="802" t="s">
        <v>15930</v>
      </c>
      <c r="B86" s="803" t="s">
        <v>13918</v>
      </c>
      <c r="C86" s="803" t="s">
        <v>17513</v>
      </c>
      <c r="D86" s="803" t="s">
        <v>24321</v>
      </c>
      <c r="E86" s="803" t="s">
        <v>15731</v>
      </c>
      <c r="F86" s="803">
        <v>1</v>
      </c>
      <c r="G86" s="803" t="s">
        <v>2837</v>
      </c>
      <c r="H86" s="803" t="s">
        <v>2837</v>
      </c>
      <c r="I86" s="804">
        <v>3000</v>
      </c>
      <c r="J86" s="803">
        <v>1</v>
      </c>
      <c r="K86" s="804">
        <f t="shared" si="6"/>
        <v>3000</v>
      </c>
      <c r="L86" s="804">
        <f t="shared" si="7"/>
        <v>3000</v>
      </c>
      <c r="M86" s="804">
        <f t="shared" si="8"/>
        <v>3000</v>
      </c>
      <c r="N86" s="803" t="s">
        <v>15752</v>
      </c>
      <c r="O86" s="805">
        <f t="shared" si="9"/>
        <v>3000</v>
      </c>
      <c r="P86" s="805">
        <f t="shared" si="10"/>
        <v>3000</v>
      </c>
      <c r="Q86" s="806">
        <f t="shared" si="11"/>
        <v>3000</v>
      </c>
    </row>
    <row r="87" spans="1:17" x14ac:dyDescent="0.2">
      <c r="A87" s="797" t="s">
        <v>17570</v>
      </c>
      <c r="B87" s="798" t="s">
        <v>13918</v>
      </c>
      <c r="C87" s="798" t="s">
        <v>17513</v>
      </c>
      <c r="D87" s="798" t="s">
        <v>24321</v>
      </c>
      <c r="E87" s="798" t="s">
        <v>15732</v>
      </c>
      <c r="F87" s="798">
        <v>2</v>
      </c>
      <c r="G87" s="798" t="s">
        <v>2837</v>
      </c>
      <c r="H87" s="798" t="s">
        <v>2837</v>
      </c>
      <c r="I87" s="799">
        <v>5900</v>
      </c>
      <c r="J87" s="798">
        <v>1</v>
      </c>
      <c r="K87" s="799">
        <f t="shared" si="6"/>
        <v>5900</v>
      </c>
      <c r="L87" s="799">
        <f t="shared" si="7"/>
        <v>5900</v>
      </c>
      <c r="M87" s="799">
        <f t="shared" si="8"/>
        <v>5900</v>
      </c>
      <c r="N87" s="798" t="s">
        <v>15753</v>
      </c>
      <c r="O87" s="800">
        <f t="shared" si="9"/>
        <v>5900</v>
      </c>
      <c r="P87" s="800">
        <f t="shared" si="10"/>
        <v>5900</v>
      </c>
      <c r="Q87" s="801">
        <f t="shared" si="11"/>
        <v>5900</v>
      </c>
    </row>
    <row r="88" spans="1:17" x14ac:dyDescent="0.2">
      <c r="A88" s="802" t="s">
        <v>17571</v>
      </c>
      <c r="B88" s="803" t="s">
        <v>13918</v>
      </c>
      <c r="C88" s="803" t="s">
        <v>17513</v>
      </c>
      <c r="D88" s="803" t="s">
        <v>24321</v>
      </c>
      <c r="E88" s="803" t="s">
        <v>15733</v>
      </c>
      <c r="F88" s="803">
        <v>3</v>
      </c>
      <c r="G88" s="803" t="s">
        <v>2837</v>
      </c>
      <c r="H88" s="803" t="s">
        <v>2837</v>
      </c>
      <c r="I88" s="804">
        <v>15000</v>
      </c>
      <c r="J88" s="803">
        <v>1</v>
      </c>
      <c r="K88" s="804">
        <f t="shared" si="6"/>
        <v>15000</v>
      </c>
      <c r="L88" s="804">
        <f t="shared" si="7"/>
        <v>15000</v>
      </c>
      <c r="M88" s="804">
        <f t="shared" si="8"/>
        <v>15000</v>
      </c>
      <c r="N88" s="803" t="s">
        <v>15754</v>
      </c>
      <c r="O88" s="805">
        <f t="shared" si="9"/>
        <v>15000</v>
      </c>
      <c r="P88" s="805">
        <f t="shared" si="10"/>
        <v>15000</v>
      </c>
      <c r="Q88" s="806">
        <f t="shared" si="11"/>
        <v>15000</v>
      </c>
    </row>
    <row r="89" spans="1:17" x14ac:dyDescent="0.2">
      <c r="A89" s="797" t="s">
        <v>15933</v>
      </c>
      <c r="B89" s="798" t="s">
        <v>13918</v>
      </c>
      <c r="C89" s="798" t="s">
        <v>17513</v>
      </c>
      <c r="D89" s="798" t="s">
        <v>24322</v>
      </c>
      <c r="E89" s="798" t="s">
        <v>15731</v>
      </c>
      <c r="F89" s="798">
        <v>1</v>
      </c>
      <c r="G89" s="798" t="s">
        <v>2837</v>
      </c>
      <c r="H89" s="798" t="s">
        <v>2837</v>
      </c>
      <c r="I89" s="799">
        <v>3050</v>
      </c>
      <c r="J89" s="798">
        <v>1</v>
      </c>
      <c r="K89" s="799">
        <f t="shared" si="6"/>
        <v>3050</v>
      </c>
      <c r="L89" s="799">
        <f t="shared" si="7"/>
        <v>3050</v>
      </c>
      <c r="M89" s="799">
        <f t="shared" si="8"/>
        <v>3050</v>
      </c>
      <c r="N89" s="798" t="s">
        <v>15752</v>
      </c>
      <c r="O89" s="800">
        <f t="shared" si="9"/>
        <v>3050</v>
      </c>
      <c r="P89" s="800">
        <f t="shared" si="10"/>
        <v>3050</v>
      </c>
      <c r="Q89" s="801">
        <f t="shared" si="11"/>
        <v>3050</v>
      </c>
    </row>
    <row r="90" spans="1:17" x14ac:dyDescent="0.2">
      <c r="A90" s="802" t="s">
        <v>17572</v>
      </c>
      <c r="B90" s="803" t="s">
        <v>13918</v>
      </c>
      <c r="C90" s="803" t="s">
        <v>17513</v>
      </c>
      <c r="D90" s="803" t="s">
        <v>24322</v>
      </c>
      <c r="E90" s="803" t="s">
        <v>15732</v>
      </c>
      <c r="F90" s="803">
        <v>2</v>
      </c>
      <c r="G90" s="803" t="s">
        <v>2837</v>
      </c>
      <c r="H90" s="803" t="s">
        <v>2837</v>
      </c>
      <c r="I90" s="804">
        <v>6000</v>
      </c>
      <c r="J90" s="803">
        <v>1</v>
      </c>
      <c r="K90" s="804">
        <f t="shared" si="6"/>
        <v>6000</v>
      </c>
      <c r="L90" s="804">
        <f t="shared" si="7"/>
        <v>6000</v>
      </c>
      <c r="M90" s="804">
        <f t="shared" si="8"/>
        <v>6000</v>
      </c>
      <c r="N90" s="803" t="s">
        <v>15753</v>
      </c>
      <c r="O90" s="805">
        <f t="shared" si="9"/>
        <v>6000</v>
      </c>
      <c r="P90" s="805">
        <f t="shared" si="10"/>
        <v>6000</v>
      </c>
      <c r="Q90" s="806">
        <f t="shared" si="11"/>
        <v>6000</v>
      </c>
    </row>
    <row r="91" spans="1:17" x14ac:dyDescent="0.2">
      <c r="A91" s="797" t="s">
        <v>17573</v>
      </c>
      <c r="B91" s="798" t="s">
        <v>13918</v>
      </c>
      <c r="C91" s="798" t="s">
        <v>17513</v>
      </c>
      <c r="D91" s="798" t="s">
        <v>24322</v>
      </c>
      <c r="E91" s="798" t="s">
        <v>15733</v>
      </c>
      <c r="F91" s="798">
        <v>3</v>
      </c>
      <c r="G91" s="798" t="s">
        <v>2837</v>
      </c>
      <c r="H91" s="798" t="s">
        <v>2837</v>
      </c>
      <c r="I91" s="799">
        <v>15000</v>
      </c>
      <c r="J91" s="798">
        <v>1</v>
      </c>
      <c r="K91" s="799">
        <f t="shared" si="6"/>
        <v>15000</v>
      </c>
      <c r="L91" s="799">
        <f t="shared" si="7"/>
        <v>15000</v>
      </c>
      <c r="M91" s="799">
        <f t="shared" si="8"/>
        <v>15000</v>
      </c>
      <c r="N91" s="798" t="s">
        <v>15754</v>
      </c>
      <c r="O91" s="800">
        <f t="shared" si="9"/>
        <v>15000</v>
      </c>
      <c r="P91" s="800">
        <f t="shared" si="10"/>
        <v>15000</v>
      </c>
      <c r="Q91" s="801">
        <f t="shared" si="11"/>
        <v>15000</v>
      </c>
    </row>
    <row r="92" spans="1:17" x14ac:dyDescent="0.2">
      <c r="A92" s="802" t="s">
        <v>15936</v>
      </c>
      <c r="B92" s="803" t="s">
        <v>13918</v>
      </c>
      <c r="C92" s="803" t="s">
        <v>17513</v>
      </c>
      <c r="D92" s="803" t="s">
        <v>24323</v>
      </c>
      <c r="E92" s="803" t="s">
        <v>15731</v>
      </c>
      <c r="F92" s="803">
        <v>1</v>
      </c>
      <c r="G92" s="803" t="s">
        <v>2837</v>
      </c>
      <c r="H92" s="803" t="s">
        <v>2837</v>
      </c>
      <c r="I92" s="804">
        <v>3100</v>
      </c>
      <c r="J92" s="803">
        <v>1</v>
      </c>
      <c r="K92" s="804">
        <f t="shared" si="6"/>
        <v>3100</v>
      </c>
      <c r="L92" s="804">
        <f t="shared" si="7"/>
        <v>3100</v>
      </c>
      <c r="M92" s="804">
        <f t="shared" si="8"/>
        <v>3100</v>
      </c>
      <c r="N92" s="803" t="s">
        <v>15752</v>
      </c>
      <c r="O92" s="805">
        <f t="shared" si="9"/>
        <v>3100</v>
      </c>
      <c r="P92" s="805">
        <f t="shared" si="10"/>
        <v>3100</v>
      </c>
      <c r="Q92" s="806">
        <f t="shared" si="11"/>
        <v>3100</v>
      </c>
    </row>
    <row r="93" spans="1:17" x14ac:dyDescent="0.2">
      <c r="A93" s="797" t="s">
        <v>17574</v>
      </c>
      <c r="B93" s="798" t="s">
        <v>13918</v>
      </c>
      <c r="C93" s="798" t="s">
        <v>17513</v>
      </c>
      <c r="D93" s="798" t="s">
        <v>24323</v>
      </c>
      <c r="E93" s="798" t="s">
        <v>15732</v>
      </c>
      <c r="F93" s="798">
        <v>2</v>
      </c>
      <c r="G93" s="798" t="s">
        <v>2837</v>
      </c>
      <c r="H93" s="798" t="s">
        <v>2837</v>
      </c>
      <c r="I93" s="799">
        <v>6100</v>
      </c>
      <c r="J93" s="798">
        <v>1</v>
      </c>
      <c r="K93" s="799">
        <f t="shared" si="6"/>
        <v>6100</v>
      </c>
      <c r="L93" s="799">
        <f t="shared" si="7"/>
        <v>6100</v>
      </c>
      <c r="M93" s="799">
        <f t="shared" si="8"/>
        <v>6100</v>
      </c>
      <c r="N93" s="798" t="s">
        <v>15753</v>
      </c>
      <c r="O93" s="800">
        <f t="shared" si="9"/>
        <v>6100</v>
      </c>
      <c r="P93" s="800">
        <f t="shared" si="10"/>
        <v>6100</v>
      </c>
      <c r="Q93" s="801">
        <f t="shared" si="11"/>
        <v>6100</v>
      </c>
    </row>
    <row r="94" spans="1:17" x14ac:dyDescent="0.2">
      <c r="A94" s="802" t="s">
        <v>17575</v>
      </c>
      <c r="B94" s="803" t="s">
        <v>13918</v>
      </c>
      <c r="C94" s="803" t="s">
        <v>17513</v>
      </c>
      <c r="D94" s="803" t="s">
        <v>24323</v>
      </c>
      <c r="E94" s="803" t="s">
        <v>15733</v>
      </c>
      <c r="F94" s="803">
        <v>3</v>
      </c>
      <c r="G94" s="803" t="s">
        <v>2837</v>
      </c>
      <c r="H94" s="803" t="s">
        <v>2837</v>
      </c>
      <c r="I94" s="804">
        <v>15000</v>
      </c>
      <c r="J94" s="803">
        <v>1</v>
      </c>
      <c r="K94" s="804">
        <f t="shared" si="6"/>
        <v>15000</v>
      </c>
      <c r="L94" s="804">
        <f t="shared" si="7"/>
        <v>15000</v>
      </c>
      <c r="M94" s="804">
        <f t="shared" si="8"/>
        <v>15000</v>
      </c>
      <c r="N94" s="803" t="s">
        <v>15754</v>
      </c>
      <c r="O94" s="805">
        <f t="shared" si="9"/>
        <v>15000</v>
      </c>
      <c r="P94" s="805">
        <f t="shared" si="10"/>
        <v>15000</v>
      </c>
      <c r="Q94" s="806">
        <f t="shared" si="11"/>
        <v>15000</v>
      </c>
    </row>
    <row r="95" spans="1:17" x14ac:dyDescent="0.2">
      <c r="A95" s="797" t="s">
        <v>15943</v>
      </c>
      <c r="B95" s="798" t="s">
        <v>13918</v>
      </c>
      <c r="C95" s="798" t="s">
        <v>17513</v>
      </c>
      <c r="D95" s="798" t="s">
        <v>24324</v>
      </c>
      <c r="E95" s="798" t="s">
        <v>15731</v>
      </c>
      <c r="F95" s="798">
        <v>1</v>
      </c>
      <c r="G95" s="798" t="s">
        <v>2837</v>
      </c>
      <c r="H95" s="798" t="s">
        <v>2837</v>
      </c>
      <c r="I95" s="799">
        <v>3200</v>
      </c>
      <c r="J95" s="798">
        <v>1</v>
      </c>
      <c r="K95" s="799">
        <f t="shared" si="6"/>
        <v>3200</v>
      </c>
      <c r="L95" s="799">
        <f t="shared" si="7"/>
        <v>3200</v>
      </c>
      <c r="M95" s="799">
        <f t="shared" si="8"/>
        <v>3200</v>
      </c>
      <c r="N95" s="798" t="s">
        <v>15752</v>
      </c>
      <c r="O95" s="800">
        <f t="shared" si="9"/>
        <v>3200</v>
      </c>
      <c r="P95" s="800">
        <f t="shared" si="10"/>
        <v>3200</v>
      </c>
      <c r="Q95" s="801">
        <f t="shared" si="11"/>
        <v>3200</v>
      </c>
    </row>
    <row r="96" spans="1:17" x14ac:dyDescent="0.2">
      <c r="A96" s="802" t="s">
        <v>17576</v>
      </c>
      <c r="B96" s="803" t="s">
        <v>13918</v>
      </c>
      <c r="C96" s="803" t="s">
        <v>17513</v>
      </c>
      <c r="D96" s="803" t="s">
        <v>24324</v>
      </c>
      <c r="E96" s="803" t="s">
        <v>15732</v>
      </c>
      <c r="F96" s="803">
        <v>2</v>
      </c>
      <c r="G96" s="803" t="s">
        <v>2837</v>
      </c>
      <c r="H96" s="803" t="s">
        <v>2837</v>
      </c>
      <c r="I96" s="804">
        <v>6200</v>
      </c>
      <c r="J96" s="803">
        <v>1</v>
      </c>
      <c r="K96" s="804">
        <f t="shared" si="6"/>
        <v>6200</v>
      </c>
      <c r="L96" s="804">
        <f t="shared" si="7"/>
        <v>6200</v>
      </c>
      <c r="M96" s="804">
        <f t="shared" si="8"/>
        <v>6200</v>
      </c>
      <c r="N96" s="803" t="s">
        <v>15753</v>
      </c>
      <c r="O96" s="805">
        <f t="shared" si="9"/>
        <v>6200</v>
      </c>
      <c r="P96" s="805">
        <f t="shared" si="10"/>
        <v>6200</v>
      </c>
      <c r="Q96" s="806">
        <f t="shared" si="11"/>
        <v>6200</v>
      </c>
    </row>
    <row r="97" spans="1:17" x14ac:dyDescent="0.2">
      <c r="A97" s="797" t="s">
        <v>17577</v>
      </c>
      <c r="B97" s="798" t="s">
        <v>13918</v>
      </c>
      <c r="C97" s="798" t="s">
        <v>17513</v>
      </c>
      <c r="D97" s="798" t="s">
        <v>24324</v>
      </c>
      <c r="E97" s="798" t="s">
        <v>15733</v>
      </c>
      <c r="F97" s="798">
        <v>3</v>
      </c>
      <c r="G97" s="798" t="s">
        <v>2837</v>
      </c>
      <c r="H97" s="798" t="s">
        <v>2837</v>
      </c>
      <c r="I97" s="799">
        <v>15000</v>
      </c>
      <c r="J97" s="798">
        <v>1</v>
      </c>
      <c r="K97" s="799">
        <f t="shared" si="6"/>
        <v>15000</v>
      </c>
      <c r="L97" s="799">
        <f t="shared" si="7"/>
        <v>15000</v>
      </c>
      <c r="M97" s="799">
        <f t="shared" si="8"/>
        <v>15000</v>
      </c>
      <c r="N97" s="798" t="s">
        <v>15754</v>
      </c>
      <c r="O97" s="800">
        <f t="shared" si="9"/>
        <v>15000</v>
      </c>
      <c r="P97" s="800">
        <f t="shared" si="10"/>
        <v>15000</v>
      </c>
      <c r="Q97" s="801">
        <f t="shared" si="11"/>
        <v>15000</v>
      </c>
    </row>
    <row r="98" spans="1:17" x14ac:dyDescent="0.2">
      <c r="A98" s="802" t="s">
        <v>15946</v>
      </c>
      <c r="B98" s="803" t="s">
        <v>13918</v>
      </c>
      <c r="C98" s="803" t="s">
        <v>17513</v>
      </c>
      <c r="D98" s="803" t="s">
        <v>24325</v>
      </c>
      <c r="E98" s="803" t="s">
        <v>15731</v>
      </c>
      <c r="F98" s="803">
        <v>1</v>
      </c>
      <c r="G98" s="803" t="s">
        <v>2837</v>
      </c>
      <c r="H98" s="803" t="s">
        <v>2837</v>
      </c>
      <c r="I98" s="804">
        <v>3250</v>
      </c>
      <c r="J98" s="803">
        <v>1</v>
      </c>
      <c r="K98" s="804">
        <f t="shared" si="6"/>
        <v>3250</v>
      </c>
      <c r="L98" s="804">
        <f t="shared" si="7"/>
        <v>3250</v>
      </c>
      <c r="M98" s="804">
        <f t="shared" si="8"/>
        <v>3250</v>
      </c>
      <c r="N98" s="803" t="s">
        <v>15752</v>
      </c>
      <c r="O98" s="805">
        <f t="shared" si="9"/>
        <v>3250</v>
      </c>
      <c r="P98" s="805">
        <f t="shared" si="10"/>
        <v>3250</v>
      </c>
      <c r="Q98" s="806">
        <f t="shared" si="11"/>
        <v>3250</v>
      </c>
    </row>
    <row r="99" spans="1:17" x14ac:dyDescent="0.2">
      <c r="A99" s="797" t="s">
        <v>17578</v>
      </c>
      <c r="B99" s="798" t="s">
        <v>13918</v>
      </c>
      <c r="C99" s="798" t="s">
        <v>17513</v>
      </c>
      <c r="D99" s="798" t="s">
        <v>24325</v>
      </c>
      <c r="E99" s="798" t="s">
        <v>15732</v>
      </c>
      <c r="F99" s="798">
        <v>2</v>
      </c>
      <c r="G99" s="798" t="s">
        <v>2837</v>
      </c>
      <c r="H99" s="798" t="s">
        <v>2837</v>
      </c>
      <c r="I99" s="799">
        <v>6300</v>
      </c>
      <c r="J99" s="798">
        <v>1</v>
      </c>
      <c r="K99" s="799">
        <f t="shared" si="6"/>
        <v>6300</v>
      </c>
      <c r="L99" s="799">
        <f t="shared" si="7"/>
        <v>6300</v>
      </c>
      <c r="M99" s="799">
        <f t="shared" si="8"/>
        <v>6300</v>
      </c>
      <c r="N99" s="798" t="s">
        <v>15753</v>
      </c>
      <c r="O99" s="800">
        <f t="shared" si="9"/>
        <v>6300</v>
      </c>
      <c r="P99" s="800">
        <f t="shared" si="10"/>
        <v>6300</v>
      </c>
      <c r="Q99" s="801">
        <f t="shared" si="11"/>
        <v>6300</v>
      </c>
    </row>
    <row r="100" spans="1:17" x14ac:dyDescent="0.2">
      <c r="A100" s="802" t="s">
        <v>17579</v>
      </c>
      <c r="B100" s="803" t="s">
        <v>13918</v>
      </c>
      <c r="C100" s="803" t="s">
        <v>17513</v>
      </c>
      <c r="D100" s="803" t="s">
        <v>24325</v>
      </c>
      <c r="E100" s="803" t="s">
        <v>15733</v>
      </c>
      <c r="F100" s="803">
        <v>3</v>
      </c>
      <c r="G100" s="803" t="s">
        <v>2837</v>
      </c>
      <c r="H100" s="803" t="s">
        <v>2837</v>
      </c>
      <c r="I100" s="804">
        <v>15000</v>
      </c>
      <c r="J100" s="803">
        <v>1</v>
      </c>
      <c r="K100" s="804">
        <f t="shared" si="6"/>
        <v>15000</v>
      </c>
      <c r="L100" s="804">
        <f t="shared" si="7"/>
        <v>15000</v>
      </c>
      <c r="M100" s="804">
        <f t="shared" si="8"/>
        <v>15000</v>
      </c>
      <c r="N100" s="803" t="s">
        <v>15754</v>
      </c>
      <c r="O100" s="805">
        <f t="shared" si="9"/>
        <v>15000</v>
      </c>
      <c r="P100" s="805">
        <f t="shared" si="10"/>
        <v>15000</v>
      </c>
      <c r="Q100" s="806">
        <f t="shared" si="11"/>
        <v>15000</v>
      </c>
    </row>
    <row r="101" spans="1:17" x14ac:dyDescent="0.2">
      <c r="A101" s="797" t="s">
        <v>15949</v>
      </c>
      <c r="B101" s="798" t="s">
        <v>13918</v>
      </c>
      <c r="C101" s="798" t="s">
        <v>17513</v>
      </c>
      <c r="D101" s="798" t="s">
        <v>24326</v>
      </c>
      <c r="E101" s="798" t="s">
        <v>15731</v>
      </c>
      <c r="F101" s="798">
        <v>1</v>
      </c>
      <c r="G101" s="798" t="s">
        <v>2837</v>
      </c>
      <c r="H101" s="798" t="s">
        <v>2837</v>
      </c>
      <c r="I101" s="799">
        <v>3300</v>
      </c>
      <c r="J101" s="798">
        <v>1</v>
      </c>
      <c r="K101" s="799">
        <f t="shared" si="6"/>
        <v>3300</v>
      </c>
      <c r="L101" s="799">
        <f t="shared" si="7"/>
        <v>3300</v>
      </c>
      <c r="M101" s="799">
        <f t="shared" si="8"/>
        <v>3300</v>
      </c>
      <c r="N101" s="798" t="s">
        <v>15752</v>
      </c>
      <c r="O101" s="800">
        <f t="shared" si="9"/>
        <v>3300</v>
      </c>
      <c r="P101" s="800">
        <f t="shared" si="10"/>
        <v>3300</v>
      </c>
      <c r="Q101" s="801">
        <f t="shared" si="11"/>
        <v>3300</v>
      </c>
    </row>
    <row r="102" spans="1:17" x14ac:dyDescent="0.2">
      <c r="A102" s="802" t="s">
        <v>17580</v>
      </c>
      <c r="B102" s="803" t="s">
        <v>13918</v>
      </c>
      <c r="C102" s="803" t="s">
        <v>17513</v>
      </c>
      <c r="D102" s="803" t="s">
        <v>24326</v>
      </c>
      <c r="E102" s="803" t="s">
        <v>15732</v>
      </c>
      <c r="F102" s="803">
        <v>2</v>
      </c>
      <c r="G102" s="803" t="s">
        <v>2837</v>
      </c>
      <c r="H102" s="803" t="s">
        <v>2837</v>
      </c>
      <c r="I102" s="804">
        <v>6400</v>
      </c>
      <c r="J102" s="803">
        <v>1</v>
      </c>
      <c r="K102" s="804">
        <f t="shared" si="6"/>
        <v>6400</v>
      </c>
      <c r="L102" s="804">
        <f t="shared" si="7"/>
        <v>6400</v>
      </c>
      <c r="M102" s="804">
        <f t="shared" si="8"/>
        <v>6400</v>
      </c>
      <c r="N102" s="803" t="s">
        <v>15753</v>
      </c>
      <c r="O102" s="805">
        <f t="shared" si="9"/>
        <v>6400</v>
      </c>
      <c r="P102" s="805">
        <f t="shared" si="10"/>
        <v>6400</v>
      </c>
      <c r="Q102" s="806">
        <f t="shared" si="11"/>
        <v>6400</v>
      </c>
    </row>
    <row r="103" spans="1:17" x14ac:dyDescent="0.2">
      <c r="A103" s="797" t="s">
        <v>17581</v>
      </c>
      <c r="B103" s="798" t="s">
        <v>13918</v>
      </c>
      <c r="C103" s="798" t="s">
        <v>17513</v>
      </c>
      <c r="D103" s="798" t="s">
        <v>24326</v>
      </c>
      <c r="E103" s="798" t="s">
        <v>15733</v>
      </c>
      <c r="F103" s="798">
        <v>3</v>
      </c>
      <c r="G103" s="798" t="s">
        <v>2837</v>
      </c>
      <c r="H103" s="798" t="s">
        <v>2837</v>
      </c>
      <c r="I103" s="799">
        <v>15000</v>
      </c>
      <c r="J103" s="798">
        <v>1</v>
      </c>
      <c r="K103" s="799">
        <f t="shared" si="6"/>
        <v>15000</v>
      </c>
      <c r="L103" s="799">
        <f t="shared" si="7"/>
        <v>15000</v>
      </c>
      <c r="M103" s="799">
        <f t="shared" si="8"/>
        <v>15000</v>
      </c>
      <c r="N103" s="798" t="s">
        <v>15754</v>
      </c>
      <c r="O103" s="800">
        <f t="shared" si="9"/>
        <v>15000</v>
      </c>
      <c r="P103" s="800">
        <f t="shared" si="10"/>
        <v>15000</v>
      </c>
      <c r="Q103" s="801">
        <f t="shared" si="11"/>
        <v>15000</v>
      </c>
    </row>
    <row r="104" spans="1:17" x14ac:dyDescent="0.2">
      <c r="A104" s="802" t="s">
        <v>15956</v>
      </c>
      <c r="B104" s="803" t="s">
        <v>13918</v>
      </c>
      <c r="C104" s="803" t="s">
        <v>17513</v>
      </c>
      <c r="D104" s="803" t="s">
        <v>24327</v>
      </c>
      <c r="E104" s="803" t="s">
        <v>15731</v>
      </c>
      <c r="F104" s="803">
        <v>1</v>
      </c>
      <c r="G104" s="803" t="s">
        <v>2837</v>
      </c>
      <c r="H104" s="803" t="s">
        <v>2837</v>
      </c>
      <c r="I104" s="804">
        <v>4350</v>
      </c>
      <c r="J104" s="803">
        <v>1</v>
      </c>
      <c r="K104" s="804">
        <f t="shared" si="6"/>
        <v>4350</v>
      </c>
      <c r="L104" s="804">
        <f t="shared" si="7"/>
        <v>4350</v>
      </c>
      <c r="M104" s="804">
        <f t="shared" si="8"/>
        <v>4350</v>
      </c>
      <c r="N104" s="803" t="s">
        <v>15752</v>
      </c>
      <c r="O104" s="805">
        <f t="shared" si="9"/>
        <v>4350</v>
      </c>
      <c r="P104" s="805">
        <f t="shared" si="10"/>
        <v>4350</v>
      </c>
      <c r="Q104" s="806">
        <f t="shared" si="11"/>
        <v>4350</v>
      </c>
    </row>
    <row r="105" spans="1:17" x14ac:dyDescent="0.2">
      <c r="A105" s="797" t="s">
        <v>17582</v>
      </c>
      <c r="B105" s="798" t="s">
        <v>13918</v>
      </c>
      <c r="C105" s="798" t="s">
        <v>17513</v>
      </c>
      <c r="D105" s="798" t="s">
        <v>24327</v>
      </c>
      <c r="E105" s="798" t="s">
        <v>15732</v>
      </c>
      <c r="F105" s="798">
        <v>2</v>
      </c>
      <c r="G105" s="798" t="s">
        <v>2837</v>
      </c>
      <c r="H105" s="798" t="s">
        <v>2837</v>
      </c>
      <c r="I105" s="799">
        <v>7150</v>
      </c>
      <c r="J105" s="798">
        <v>1</v>
      </c>
      <c r="K105" s="799">
        <f t="shared" si="6"/>
        <v>7150</v>
      </c>
      <c r="L105" s="799">
        <f t="shared" si="7"/>
        <v>7150</v>
      </c>
      <c r="M105" s="799">
        <f t="shared" si="8"/>
        <v>7150</v>
      </c>
      <c r="N105" s="798" t="s">
        <v>15753</v>
      </c>
      <c r="O105" s="800">
        <f t="shared" si="9"/>
        <v>7150</v>
      </c>
      <c r="P105" s="800">
        <f t="shared" si="10"/>
        <v>7150</v>
      </c>
      <c r="Q105" s="801">
        <f t="shared" si="11"/>
        <v>7150</v>
      </c>
    </row>
    <row r="106" spans="1:17" x14ac:dyDescent="0.2">
      <c r="A106" s="802" t="s">
        <v>17583</v>
      </c>
      <c r="B106" s="803" t="s">
        <v>13918</v>
      </c>
      <c r="C106" s="803" t="s">
        <v>17513</v>
      </c>
      <c r="D106" s="803" t="s">
        <v>24327</v>
      </c>
      <c r="E106" s="803" t="s">
        <v>15733</v>
      </c>
      <c r="F106" s="803">
        <v>3</v>
      </c>
      <c r="G106" s="803" t="s">
        <v>2837</v>
      </c>
      <c r="H106" s="803" t="s">
        <v>2837</v>
      </c>
      <c r="I106" s="804">
        <v>18000</v>
      </c>
      <c r="J106" s="803">
        <v>1</v>
      </c>
      <c r="K106" s="804">
        <f t="shared" si="6"/>
        <v>18000</v>
      </c>
      <c r="L106" s="804">
        <f t="shared" si="7"/>
        <v>18000</v>
      </c>
      <c r="M106" s="804">
        <f t="shared" si="8"/>
        <v>18000</v>
      </c>
      <c r="N106" s="803" t="s">
        <v>15754</v>
      </c>
      <c r="O106" s="805">
        <f t="shared" si="9"/>
        <v>18000</v>
      </c>
      <c r="P106" s="805">
        <f t="shared" si="10"/>
        <v>18000</v>
      </c>
      <c r="Q106" s="806">
        <f t="shared" si="11"/>
        <v>18000</v>
      </c>
    </row>
    <row r="107" spans="1:17" x14ac:dyDescent="0.2">
      <c r="A107" s="797" t="s">
        <v>15963</v>
      </c>
      <c r="B107" s="798" t="s">
        <v>13918</v>
      </c>
      <c r="C107" s="798" t="s">
        <v>17513</v>
      </c>
      <c r="D107" s="798" t="s">
        <v>24328</v>
      </c>
      <c r="E107" s="798" t="s">
        <v>15731</v>
      </c>
      <c r="F107" s="798">
        <v>1</v>
      </c>
      <c r="G107" s="798" t="s">
        <v>2837</v>
      </c>
      <c r="H107" s="798" t="s">
        <v>2837</v>
      </c>
      <c r="I107" s="799">
        <v>3400</v>
      </c>
      <c r="J107" s="798">
        <v>1</v>
      </c>
      <c r="K107" s="799">
        <f t="shared" si="6"/>
        <v>3400</v>
      </c>
      <c r="L107" s="799">
        <f t="shared" si="7"/>
        <v>3400</v>
      </c>
      <c r="M107" s="799">
        <f t="shared" si="8"/>
        <v>3400</v>
      </c>
      <c r="N107" s="798" t="s">
        <v>15752</v>
      </c>
      <c r="O107" s="800">
        <f t="shared" si="9"/>
        <v>3400</v>
      </c>
      <c r="P107" s="800">
        <f t="shared" si="10"/>
        <v>3400</v>
      </c>
      <c r="Q107" s="801">
        <f t="shared" si="11"/>
        <v>3400</v>
      </c>
    </row>
    <row r="108" spans="1:17" x14ac:dyDescent="0.2">
      <c r="A108" s="802" t="s">
        <v>17584</v>
      </c>
      <c r="B108" s="803" t="s">
        <v>13918</v>
      </c>
      <c r="C108" s="803" t="s">
        <v>17513</v>
      </c>
      <c r="D108" s="803" t="s">
        <v>24328</v>
      </c>
      <c r="E108" s="803" t="s">
        <v>15732</v>
      </c>
      <c r="F108" s="803">
        <v>2</v>
      </c>
      <c r="G108" s="803" t="s">
        <v>2837</v>
      </c>
      <c r="H108" s="803" t="s">
        <v>2837</v>
      </c>
      <c r="I108" s="804">
        <v>6500</v>
      </c>
      <c r="J108" s="803">
        <v>1</v>
      </c>
      <c r="K108" s="804">
        <f t="shared" si="6"/>
        <v>6500</v>
      </c>
      <c r="L108" s="804">
        <f t="shared" si="7"/>
        <v>6500</v>
      </c>
      <c r="M108" s="804">
        <f t="shared" si="8"/>
        <v>6500</v>
      </c>
      <c r="N108" s="803" t="s">
        <v>15753</v>
      </c>
      <c r="O108" s="805">
        <f t="shared" si="9"/>
        <v>6500</v>
      </c>
      <c r="P108" s="805">
        <f t="shared" si="10"/>
        <v>6500</v>
      </c>
      <c r="Q108" s="806">
        <f t="shared" si="11"/>
        <v>6500</v>
      </c>
    </row>
    <row r="109" spans="1:17" x14ac:dyDescent="0.2">
      <c r="A109" s="797" t="s">
        <v>17585</v>
      </c>
      <c r="B109" s="798" t="s">
        <v>13918</v>
      </c>
      <c r="C109" s="798" t="s">
        <v>17513</v>
      </c>
      <c r="D109" s="798" t="s">
        <v>24328</v>
      </c>
      <c r="E109" s="798" t="s">
        <v>15733</v>
      </c>
      <c r="F109" s="798">
        <v>3</v>
      </c>
      <c r="G109" s="798" t="s">
        <v>2837</v>
      </c>
      <c r="H109" s="798" t="s">
        <v>2837</v>
      </c>
      <c r="I109" s="799">
        <v>15000</v>
      </c>
      <c r="J109" s="798">
        <v>1</v>
      </c>
      <c r="K109" s="799">
        <f t="shared" si="6"/>
        <v>15000</v>
      </c>
      <c r="L109" s="799">
        <f t="shared" si="7"/>
        <v>15000</v>
      </c>
      <c r="M109" s="799">
        <f t="shared" si="8"/>
        <v>15000</v>
      </c>
      <c r="N109" s="798" t="s">
        <v>15754</v>
      </c>
      <c r="O109" s="800">
        <f t="shared" si="9"/>
        <v>15000</v>
      </c>
      <c r="P109" s="800">
        <f t="shared" si="10"/>
        <v>15000</v>
      </c>
      <c r="Q109" s="801">
        <f t="shared" si="11"/>
        <v>15000</v>
      </c>
    </row>
    <row r="110" spans="1:17" x14ac:dyDescent="0.2">
      <c r="A110" s="802" t="s">
        <v>15969</v>
      </c>
      <c r="B110" s="803" t="s">
        <v>13918</v>
      </c>
      <c r="C110" s="803" t="s">
        <v>17513</v>
      </c>
      <c r="D110" s="803" t="s">
        <v>24329</v>
      </c>
      <c r="E110" s="803" t="s">
        <v>15731</v>
      </c>
      <c r="F110" s="803">
        <v>1</v>
      </c>
      <c r="G110" s="803" t="s">
        <v>2837</v>
      </c>
      <c r="H110" s="803" t="s">
        <v>2837</v>
      </c>
      <c r="I110" s="804">
        <v>3500</v>
      </c>
      <c r="J110" s="803">
        <v>1</v>
      </c>
      <c r="K110" s="804">
        <f t="shared" si="6"/>
        <v>3500</v>
      </c>
      <c r="L110" s="804">
        <f t="shared" si="7"/>
        <v>3500</v>
      </c>
      <c r="M110" s="804">
        <f t="shared" si="8"/>
        <v>3500</v>
      </c>
      <c r="N110" s="803" t="s">
        <v>15752</v>
      </c>
      <c r="O110" s="805">
        <f t="shared" si="9"/>
        <v>3500</v>
      </c>
      <c r="P110" s="805">
        <f t="shared" si="10"/>
        <v>3500</v>
      </c>
      <c r="Q110" s="806">
        <f t="shared" si="11"/>
        <v>3500</v>
      </c>
    </row>
    <row r="111" spans="1:17" x14ac:dyDescent="0.2">
      <c r="A111" s="797" t="s">
        <v>17586</v>
      </c>
      <c r="B111" s="798" t="s">
        <v>13918</v>
      </c>
      <c r="C111" s="798" t="s">
        <v>17513</v>
      </c>
      <c r="D111" s="798" t="s">
        <v>24329</v>
      </c>
      <c r="E111" s="798" t="s">
        <v>15732</v>
      </c>
      <c r="F111" s="798">
        <v>2</v>
      </c>
      <c r="G111" s="798" t="s">
        <v>2837</v>
      </c>
      <c r="H111" s="798" t="s">
        <v>2837</v>
      </c>
      <c r="I111" s="799">
        <v>6600</v>
      </c>
      <c r="J111" s="798">
        <v>1</v>
      </c>
      <c r="K111" s="799">
        <f t="shared" si="6"/>
        <v>6600</v>
      </c>
      <c r="L111" s="799">
        <f t="shared" si="7"/>
        <v>6600</v>
      </c>
      <c r="M111" s="799">
        <f t="shared" si="8"/>
        <v>6600</v>
      </c>
      <c r="N111" s="798" t="s">
        <v>15753</v>
      </c>
      <c r="O111" s="800">
        <f t="shared" si="9"/>
        <v>6600</v>
      </c>
      <c r="P111" s="800">
        <f t="shared" si="10"/>
        <v>6600</v>
      </c>
      <c r="Q111" s="801">
        <f t="shared" si="11"/>
        <v>6600</v>
      </c>
    </row>
    <row r="112" spans="1:17" x14ac:dyDescent="0.2">
      <c r="A112" s="802" t="s">
        <v>17587</v>
      </c>
      <c r="B112" s="803" t="s">
        <v>13918</v>
      </c>
      <c r="C112" s="803" t="s">
        <v>17513</v>
      </c>
      <c r="D112" s="803" t="s">
        <v>24329</v>
      </c>
      <c r="E112" s="803" t="s">
        <v>15733</v>
      </c>
      <c r="F112" s="803">
        <v>3</v>
      </c>
      <c r="G112" s="803" t="s">
        <v>2837</v>
      </c>
      <c r="H112" s="803" t="s">
        <v>2837</v>
      </c>
      <c r="I112" s="804">
        <v>15000</v>
      </c>
      <c r="J112" s="803">
        <v>1</v>
      </c>
      <c r="K112" s="804">
        <f t="shared" si="6"/>
        <v>15000</v>
      </c>
      <c r="L112" s="804">
        <f t="shared" si="7"/>
        <v>15000</v>
      </c>
      <c r="M112" s="804">
        <f t="shared" si="8"/>
        <v>15000</v>
      </c>
      <c r="N112" s="803" t="s">
        <v>15754</v>
      </c>
      <c r="O112" s="805">
        <f t="shared" si="9"/>
        <v>15000</v>
      </c>
      <c r="P112" s="805">
        <f t="shared" si="10"/>
        <v>15000</v>
      </c>
      <c r="Q112" s="806">
        <f t="shared" si="11"/>
        <v>15000</v>
      </c>
    </row>
    <row r="113" spans="1:17" x14ac:dyDescent="0.2">
      <c r="A113" s="797" t="s">
        <v>15972</v>
      </c>
      <c r="B113" s="798" t="s">
        <v>13918</v>
      </c>
      <c r="C113" s="798" t="s">
        <v>17513</v>
      </c>
      <c r="D113" s="798" t="s">
        <v>24330</v>
      </c>
      <c r="E113" s="798" t="s">
        <v>15731</v>
      </c>
      <c r="F113" s="798">
        <v>1</v>
      </c>
      <c r="G113" s="798" t="s">
        <v>2837</v>
      </c>
      <c r="H113" s="798" t="s">
        <v>2837</v>
      </c>
      <c r="I113" s="799">
        <v>3600</v>
      </c>
      <c r="J113" s="798">
        <v>1</v>
      </c>
      <c r="K113" s="799">
        <f t="shared" si="6"/>
        <v>3600</v>
      </c>
      <c r="L113" s="799">
        <f t="shared" si="7"/>
        <v>3600</v>
      </c>
      <c r="M113" s="799">
        <f t="shared" si="8"/>
        <v>3600</v>
      </c>
      <c r="N113" s="798" t="s">
        <v>15752</v>
      </c>
      <c r="O113" s="800">
        <f t="shared" si="9"/>
        <v>3600</v>
      </c>
      <c r="P113" s="800">
        <f t="shared" si="10"/>
        <v>3600</v>
      </c>
      <c r="Q113" s="801">
        <f t="shared" si="11"/>
        <v>3600</v>
      </c>
    </row>
    <row r="114" spans="1:17" x14ac:dyDescent="0.2">
      <c r="A114" s="802" t="s">
        <v>17588</v>
      </c>
      <c r="B114" s="803" t="s">
        <v>13918</v>
      </c>
      <c r="C114" s="803" t="s">
        <v>17513</v>
      </c>
      <c r="D114" s="803" t="s">
        <v>24330</v>
      </c>
      <c r="E114" s="803" t="s">
        <v>15732</v>
      </c>
      <c r="F114" s="803">
        <v>2</v>
      </c>
      <c r="G114" s="803" t="s">
        <v>2837</v>
      </c>
      <c r="H114" s="803" t="s">
        <v>2837</v>
      </c>
      <c r="I114" s="804">
        <v>6700</v>
      </c>
      <c r="J114" s="803">
        <v>1</v>
      </c>
      <c r="K114" s="804">
        <f t="shared" si="6"/>
        <v>6700</v>
      </c>
      <c r="L114" s="804">
        <f t="shared" si="7"/>
        <v>6700</v>
      </c>
      <c r="M114" s="804">
        <f t="shared" si="8"/>
        <v>6700</v>
      </c>
      <c r="N114" s="803" t="s">
        <v>15753</v>
      </c>
      <c r="O114" s="805">
        <f t="shared" si="9"/>
        <v>6700</v>
      </c>
      <c r="P114" s="805">
        <f t="shared" si="10"/>
        <v>6700</v>
      </c>
      <c r="Q114" s="806">
        <f t="shared" si="11"/>
        <v>6700</v>
      </c>
    </row>
    <row r="115" spans="1:17" x14ac:dyDescent="0.2">
      <c r="A115" s="797" t="s">
        <v>17589</v>
      </c>
      <c r="B115" s="798" t="s">
        <v>13918</v>
      </c>
      <c r="C115" s="798" t="s">
        <v>17513</v>
      </c>
      <c r="D115" s="798" t="s">
        <v>24330</v>
      </c>
      <c r="E115" s="798" t="s">
        <v>15733</v>
      </c>
      <c r="F115" s="798">
        <v>3</v>
      </c>
      <c r="G115" s="798" t="s">
        <v>2837</v>
      </c>
      <c r="H115" s="798" t="s">
        <v>2837</v>
      </c>
      <c r="I115" s="799">
        <v>15000</v>
      </c>
      <c r="J115" s="798">
        <v>1</v>
      </c>
      <c r="K115" s="799">
        <f t="shared" si="6"/>
        <v>15000</v>
      </c>
      <c r="L115" s="799">
        <f t="shared" si="7"/>
        <v>15000</v>
      </c>
      <c r="M115" s="799">
        <f t="shared" si="8"/>
        <v>15000</v>
      </c>
      <c r="N115" s="798" t="s">
        <v>15754</v>
      </c>
      <c r="O115" s="800">
        <f t="shared" si="9"/>
        <v>15000</v>
      </c>
      <c r="P115" s="800">
        <f t="shared" si="10"/>
        <v>15000</v>
      </c>
      <c r="Q115" s="801">
        <f t="shared" si="11"/>
        <v>15000</v>
      </c>
    </row>
    <row r="116" spans="1:17" x14ac:dyDescent="0.2">
      <c r="A116" s="802" t="s">
        <v>15975</v>
      </c>
      <c r="B116" s="803" t="s">
        <v>13918</v>
      </c>
      <c r="C116" s="803" t="s">
        <v>17513</v>
      </c>
      <c r="D116" s="803" t="s">
        <v>24331</v>
      </c>
      <c r="E116" s="803" t="s">
        <v>15731</v>
      </c>
      <c r="F116" s="803">
        <v>1</v>
      </c>
      <c r="G116" s="803" t="s">
        <v>2837</v>
      </c>
      <c r="H116" s="803" t="s">
        <v>2837</v>
      </c>
      <c r="I116" s="804">
        <v>3700</v>
      </c>
      <c r="J116" s="803">
        <v>1</v>
      </c>
      <c r="K116" s="804">
        <f t="shared" si="6"/>
        <v>3700</v>
      </c>
      <c r="L116" s="804">
        <f t="shared" si="7"/>
        <v>3700</v>
      </c>
      <c r="M116" s="804">
        <f t="shared" si="8"/>
        <v>3700</v>
      </c>
      <c r="N116" s="803" t="s">
        <v>15752</v>
      </c>
      <c r="O116" s="805">
        <f t="shared" si="9"/>
        <v>3700</v>
      </c>
      <c r="P116" s="805">
        <f t="shared" si="10"/>
        <v>3700</v>
      </c>
      <c r="Q116" s="806">
        <f t="shared" si="11"/>
        <v>3700</v>
      </c>
    </row>
    <row r="117" spans="1:17" x14ac:dyDescent="0.2">
      <c r="A117" s="797" t="s">
        <v>17590</v>
      </c>
      <c r="B117" s="798" t="s">
        <v>13918</v>
      </c>
      <c r="C117" s="798" t="s">
        <v>17513</v>
      </c>
      <c r="D117" s="798" t="s">
        <v>24331</v>
      </c>
      <c r="E117" s="798" t="s">
        <v>15732</v>
      </c>
      <c r="F117" s="798">
        <v>2</v>
      </c>
      <c r="G117" s="798" t="s">
        <v>2837</v>
      </c>
      <c r="H117" s="798" t="s">
        <v>2837</v>
      </c>
      <c r="I117" s="799">
        <v>6800</v>
      </c>
      <c r="J117" s="798">
        <v>1</v>
      </c>
      <c r="K117" s="799">
        <f t="shared" si="6"/>
        <v>6800</v>
      </c>
      <c r="L117" s="799">
        <f t="shared" si="7"/>
        <v>6800</v>
      </c>
      <c r="M117" s="799">
        <f t="shared" si="8"/>
        <v>6800</v>
      </c>
      <c r="N117" s="798" t="s">
        <v>15753</v>
      </c>
      <c r="O117" s="800">
        <f t="shared" si="9"/>
        <v>6800</v>
      </c>
      <c r="P117" s="800">
        <f t="shared" si="10"/>
        <v>6800</v>
      </c>
      <c r="Q117" s="801">
        <f t="shared" si="11"/>
        <v>6800</v>
      </c>
    </row>
    <row r="118" spans="1:17" x14ac:dyDescent="0.2">
      <c r="A118" s="802" t="s">
        <v>17591</v>
      </c>
      <c r="B118" s="803" t="s">
        <v>13918</v>
      </c>
      <c r="C118" s="803" t="s">
        <v>17513</v>
      </c>
      <c r="D118" s="803" t="s">
        <v>24331</v>
      </c>
      <c r="E118" s="803" t="s">
        <v>15733</v>
      </c>
      <c r="F118" s="803">
        <v>3</v>
      </c>
      <c r="G118" s="803" t="s">
        <v>2837</v>
      </c>
      <c r="H118" s="803" t="s">
        <v>2837</v>
      </c>
      <c r="I118" s="804">
        <v>15000</v>
      </c>
      <c r="J118" s="803">
        <v>1</v>
      </c>
      <c r="K118" s="804">
        <f t="shared" si="6"/>
        <v>15000</v>
      </c>
      <c r="L118" s="804">
        <f t="shared" si="7"/>
        <v>15000</v>
      </c>
      <c r="M118" s="804">
        <f t="shared" si="8"/>
        <v>15000</v>
      </c>
      <c r="N118" s="803" t="s">
        <v>15754</v>
      </c>
      <c r="O118" s="805">
        <f t="shared" si="9"/>
        <v>15000</v>
      </c>
      <c r="P118" s="805">
        <f t="shared" si="10"/>
        <v>15000</v>
      </c>
      <c r="Q118" s="806">
        <f t="shared" si="11"/>
        <v>15000</v>
      </c>
    </row>
    <row r="119" spans="1:17" x14ac:dyDescent="0.2">
      <c r="A119" s="797" t="s">
        <v>15979</v>
      </c>
      <c r="B119" s="798" t="s">
        <v>13918</v>
      </c>
      <c r="C119" s="798" t="s">
        <v>17513</v>
      </c>
      <c r="D119" s="798" t="s">
        <v>24332</v>
      </c>
      <c r="E119" s="798" t="s">
        <v>15731</v>
      </c>
      <c r="F119" s="798">
        <v>1</v>
      </c>
      <c r="G119" s="798" t="s">
        <v>2837</v>
      </c>
      <c r="H119" s="798" t="s">
        <v>2837</v>
      </c>
      <c r="I119" s="799">
        <v>3800</v>
      </c>
      <c r="J119" s="798">
        <v>1</v>
      </c>
      <c r="K119" s="799">
        <f t="shared" si="6"/>
        <v>3800</v>
      </c>
      <c r="L119" s="799">
        <f t="shared" si="7"/>
        <v>3800</v>
      </c>
      <c r="M119" s="799">
        <f t="shared" si="8"/>
        <v>3800</v>
      </c>
      <c r="N119" s="798" t="s">
        <v>15752</v>
      </c>
      <c r="O119" s="800">
        <f t="shared" si="9"/>
        <v>3800</v>
      </c>
      <c r="P119" s="800">
        <f t="shared" si="10"/>
        <v>3800</v>
      </c>
      <c r="Q119" s="801">
        <f t="shared" si="11"/>
        <v>3800</v>
      </c>
    </row>
    <row r="120" spans="1:17" x14ac:dyDescent="0.2">
      <c r="A120" s="802" t="s">
        <v>17592</v>
      </c>
      <c r="B120" s="803" t="s">
        <v>13918</v>
      </c>
      <c r="C120" s="803" t="s">
        <v>17513</v>
      </c>
      <c r="D120" s="803" t="s">
        <v>24332</v>
      </c>
      <c r="E120" s="803" t="s">
        <v>15732</v>
      </c>
      <c r="F120" s="803">
        <v>2</v>
      </c>
      <c r="G120" s="803" t="s">
        <v>2837</v>
      </c>
      <c r="H120" s="803" t="s">
        <v>2837</v>
      </c>
      <c r="I120" s="804">
        <v>6900</v>
      </c>
      <c r="J120" s="803">
        <v>1</v>
      </c>
      <c r="K120" s="804">
        <f t="shared" si="6"/>
        <v>6900</v>
      </c>
      <c r="L120" s="804">
        <f t="shared" si="7"/>
        <v>6900</v>
      </c>
      <c r="M120" s="804">
        <f t="shared" si="8"/>
        <v>6900</v>
      </c>
      <c r="N120" s="803" t="s">
        <v>15753</v>
      </c>
      <c r="O120" s="805">
        <f t="shared" si="9"/>
        <v>6900</v>
      </c>
      <c r="P120" s="805">
        <f t="shared" si="10"/>
        <v>6900</v>
      </c>
      <c r="Q120" s="806">
        <f t="shared" si="11"/>
        <v>6900</v>
      </c>
    </row>
    <row r="121" spans="1:17" x14ac:dyDescent="0.2">
      <c r="A121" s="797" t="s">
        <v>17593</v>
      </c>
      <c r="B121" s="798" t="s">
        <v>13918</v>
      </c>
      <c r="C121" s="798" t="s">
        <v>17513</v>
      </c>
      <c r="D121" s="798" t="s">
        <v>24332</v>
      </c>
      <c r="E121" s="798" t="s">
        <v>15733</v>
      </c>
      <c r="F121" s="798">
        <v>3</v>
      </c>
      <c r="G121" s="798" t="s">
        <v>2837</v>
      </c>
      <c r="H121" s="798" t="s">
        <v>2837</v>
      </c>
      <c r="I121" s="799">
        <v>15000</v>
      </c>
      <c r="J121" s="798">
        <v>1</v>
      </c>
      <c r="K121" s="799">
        <f t="shared" si="6"/>
        <v>15000</v>
      </c>
      <c r="L121" s="799">
        <f t="shared" si="7"/>
        <v>15000</v>
      </c>
      <c r="M121" s="799">
        <f t="shared" si="8"/>
        <v>15000</v>
      </c>
      <c r="N121" s="798" t="s">
        <v>15754</v>
      </c>
      <c r="O121" s="800">
        <f t="shared" si="9"/>
        <v>15000</v>
      </c>
      <c r="P121" s="800">
        <f t="shared" si="10"/>
        <v>15000</v>
      </c>
      <c r="Q121" s="801">
        <f t="shared" si="11"/>
        <v>15000</v>
      </c>
    </row>
    <row r="122" spans="1:17" x14ac:dyDescent="0.2">
      <c r="A122" s="802" t="s">
        <v>15990</v>
      </c>
      <c r="B122" s="803" t="s">
        <v>13918</v>
      </c>
      <c r="C122" s="803" t="s">
        <v>17513</v>
      </c>
      <c r="D122" s="803" t="s">
        <v>24333</v>
      </c>
      <c r="E122" s="803" t="s">
        <v>15731</v>
      </c>
      <c r="F122" s="803">
        <v>1</v>
      </c>
      <c r="G122" s="803" t="s">
        <v>2837</v>
      </c>
      <c r="H122" s="803" t="s">
        <v>2837</v>
      </c>
      <c r="I122" s="804">
        <v>4800</v>
      </c>
      <c r="J122" s="803">
        <v>1</v>
      </c>
      <c r="K122" s="804">
        <f t="shared" si="6"/>
        <v>4800</v>
      </c>
      <c r="L122" s="804">
        <f t="shared" si="7"/>
        <v>4800</v>
      </c>
      <c r="M122" s="804">
        <f t="shared" si="8"/>
        <v>4800</v>
      </c>
      <c r="N122" s="803" t="s">
        <v>15752</v>
      </c>
      <c r="O122" s="805">
        <f t="shared" si="9"/>
        <v>4800</v>
      </c>
      <c r="P122" s="805">
        <f t="shared" si="10"/>
        <v>4800</v>
      </c>
      <c r="Q122" s="806">
        <f t="shared" si="11"/>
        <v>4800</v>
      </c>
    </row>
    <row r="123" spans="1:17" x14ac:dyDescent="0.2">
      <c r="A123" s="797" t="s">
        <v>17594</v>
      </c>
      <c r="B123" s="798" t="s">
        <v>13918</v>
      </c>
      <c r="C123" s="798" t="s">
        <v>17513</v>
      </c>
      <c r="D123" s="798" t="s">
        <v>24333</v>
      </c>
      <c r="E123" s="798" t="s">
        <v>15732</v>
      </c>
      <c r="F123" s="798">
        <v>2</v>
      </c>
      <c r="G123" s="798" t="s">
        <v>2837</v>
      </c>
      <c r="H123" s="798" t="s">
        <v>2837</v>
      </c>
      <c r="I123" s="799">
        <v>7700</v>
      </c>
      <c r="J123" s="798">
        <v>1</v>
      </c>
      <c r="K123" s="799">
        <f t="shared" si="6"/>
        <v>7700</v>
      </c>
      <c r="L123" s="799">
        <f t="shared" si="7"/>
        <v>7700</v>
      </c>
      <c r="M123" s="799">
        <f t="shared" si="8"/>
        <v>7700</v>
      </c>
      <c r="N123" s="798" t="s">
        <v>15753</v>
      </c>
      <c r="O123" s="800">
        <f t="shared" si="9"/>
        <v>7700</v>
      </c>
      <c r="P123" s="800">
        <f t="shared" si="10"/>
        <v>7700</v>
      </c>
      <c r="Q123" s="801">
        <f t="shared" si="11"/>
        <v>7700</v>
      </c>
    </row>
    <row r="124" spans="1:17" x14ac:dyDescent="0.2">
      <c r="A124" s="802" t="s">
        <v>17595</v>
      </c>
      <c r="B124" s="803" t="s">
        <v>13918</v>
      </c>
      <c r="C124" s="803" t="s">
        <v>17513</v>
      </c>
      <c r="D124" s="803" t="s">
        <v>24333</v>
      </c>
      <c r="E124" s="803" t="s">
        <v>15733</v>
      </c>
      <c r="F124" s="803">
        <v>3</v>
      </c>
      <c r="G124" s="803" t="s">
        <v>2837</v>
      </c>
      <c r="H124" s="803" t="s">
        <v>2837</v>
      </c>
      <c r="I124" s="804">
        <v>18000</v>
      </c>
      <c r="J124" s="803">
        <v>1</v>
      </c>
      <c r="K124" s="804">
        <f t="shared" si="6"/>
        <v>18000</v>
      </c>
      <c r="L124" s="804">
        <f t="shared" si="7"/>
        <v>18000</v>
      </c>
      <c r="M124" s="804">
        <f t="shared" si="8"/>
        <v>18000</v>
      </c>
      <c r="N124" s="803" t="s">
        <v>15754</v>
      </c>
      <c r="O124" s="805">
        <f t="shared" si="9"/>
        <v>18000</v>
      </c>
      <c r="P124" s="805">
        <f t="shared" si="10"/>
        <v>18000</v>
      </c>
      <c r="Q124" s="806">
        <f t="shared" si="11"/>
        <v>18000</v>
      </c>
    </row>
    <row r="125" spans="1:17" x14ac:dyDescent="0.2">
      <c r="A125" s="797" t="s">
        <v>15993</v>
      </c>
      <c r="B125" s="798" t="s">
        <v>13918</v>
      </c>
      <c r="C125" s="798" t="s">
        <v>17513</v>
      </c>
      <c r="D125" s="798" t="s">
        <v>24334</v>
      </c>
      <c r="E125" s="798" t="s">
        <v>15731</v>
      </c>
      <c r="F125" s="798">
        <v>1</v>
      </c>
      <c r="G125" s="798" t="s">
        <v>2837</v>
      </c>
      <c r="H125" s="798" t="s">
        <v>2837</v>
      </c>
      <c r="I125" s="799">
        <v>4000</v>
      </c>
      <c r="J125" s="798">
        <v>1</v>
      </c>
      <c r="K125" s="799">
        <f t="shared" si="6"/>
        <v>4000</v>
      </c>
      <c r="L125" s="799">
        <f t="shared" si="7"/>
        <v>4000</v>
      </c>
      <c r="M125" s="799">
        <f t="shared" si="8"/>
        <v>4000</v>
      </c>
      <c r="N125" s="798" t="s">
        <v>15752</v>
      </c>
      <c r="O125" s="800">
        <f t="shared" si="9"/>
        <v>4000</v>
      </c>
      <c r="P125" s="800">
        <f t="shared" si="10"/>
        <v>4000</v>
      </c>
      <c r="Q125" s="801">
        <f t="shared" si="11"/>
        <v>4000</v>
      </c>
    </row>
    <row r="126" spans="1:17" x14ac:dyDescent="0.2">
      <c r="A126" s="802" t="s">
        <v>17596</v>
      </c>
      <c r="B126" s="803" t="s">
        <v>13918</v>
      </c>
      <c r="C126" s="803" t="s">
        <v>17513</v>
      </c>
      <c r="D126" s="803" t="s">
        <v>24334</v>
      </c>
      <c r="E126" s="803" t="s">
        <v>15732</v>
      </c>
      <c r="F126" s="803">
        <v>2</v>
      </c>
      <c r="G126" s="803" t="s">
        <v>2837</v>
      </c>
      <c r="H126" s="803" t="s">
        <v>2837</v>
      </c>
      <c r="I126" s="804">
        <v>7100</v>
      </c>
      <c r="J126" s="803">
        <v>1</v>
      </c>
      <c r="K126" s="804">
        <f t="shared" si="6"/>
        <v>7100</v>
      </c>
      <c r="L126" s="804">
        <f t="shared" si="7"/>
        <v>7100</v>
      </c>
      <c r="M126" s="804">
        <f t="shared" si="8"/>
        <v>7100</v>
      </c>
      <c r="N126" s="803" t="s">
        <v>15753</v>
      </c>
      <c r="O126" s="805">
        <f t="shared" si="9"/>
        <v>7100</v>
      </c>
      <c r="P126" s="805">
        <f t="shared" si="10"/>
        <v>7100</v>
      </c>
      <c r="Q126" s="806">
        <f t="shared" si="11"/>
        <v>7100</v>
      </c>
    </row>
    <row r="127" spans="1:17" x14ac:dyDescent="0.2">
      <c r="A127" s="797" t="s">
        <v>17597</v>
      </c>
      <c r="B127" s="798" t="s">
        <v>13918</v>
      </c>
      <c r="C127" s="798" t="s">
        <v>17513</v>
      </c>
      <c r="D127" s="798" t="s">
        <v>24334</v>
      </c>
      <c r="E127" s="798" t="s">
        <v>15733</v>
      </c>
      <c r="F127" s="798">
        <v>3</v>
      </c>
      <c r="G127" s="798" t="s">
        <v>2837</v>
      </c>
      <c r="H127" s="798" t="s">
        <v>2837</v>
      </c>
      <c r="I127" s="799">
        <v>15000</v>
      </c>
      <c r="J127" s="798">
        <v>1</v>
      </c>
      <c r="K127" s="799">
        <f t="shared" si="6"/>
        <v>15000</v>
      </c>
      <c r="L127" s="799">
        <f t="shared" si="7"/>
        <v>15000</v>
      </c>
      <c r="M127" s="799">
        <f t="shared" si="8"/>
        <v>15000</v>
      </c>
      <c r="N127" s="798" t="s">
        <v>15754</v>
      </c>
      <c r="O127" s="800">
        <f t="shared" si="9"/>
        <v>15000</v>
      </c>
      <c r="P127" s="800">
        <f t="shared" si="10"/>
        <v>15000</v>
      </c>
      <c r="Q127" s="801">
        <f t="shared" si="11"/>
        <v>15000</v>
      </c>
    </row>
    <row r="128" spans="1:17" x14ac:dyDescent="0.2">
      <c r="A128" s="802" t="s">
        <v>15997</v>
      </c>
      <c r="B128" s="803" t="s">
        <v>13918</v>
      </c>
      <c r="C128" s="803" t="s">
        <v>17513</v>
      </c>
      <c r="D128" s="803" t="s">
        <v>24335</v>
      </c>
      <c r="E128" s="803" t="s">
        <v>15731</v>
      </c>
      <c r="F128" s="803">
        <v>1</v>
      </c>
      <c r="G128" s="803" t="s">
        <v>2837</v>
      </c>
      <c r="H128" s="803" t="s">
        <v>2837</v>
      </c>
      <c r="I128" s="804">
        <v>4200</v>
      </c>
      <c r="J128" s="803">
        <v>1</v>
      </c>
      <c r="K128" s="804">
        <f t="shared" si="6"/>
        <v>4200</v>
      </c>
      <c r="L128" s="804">
        <f t="shared" si="7"/>
        <v>4200</v>
      </c>
      <c r="M128" s="804">
        <f t="shared" si="8"/>
        <v>4200</v>
      </c>
      <c r="N128" s="803" t="s">
        <v>15752</v>
      </c>
      <c r="O128" s="805">
        <f t="shared" si="9"/>
        <v>4200</v>
      </c>
      <c r="P128" s="805">
        <f t="shared" si="10"/>
        <v>4200</v>
      </c>
      <c r="Q128" s="806">
        <f t="shared" si="11"/>
        <v>4200</v>
      </c>
    </row>
    <row r="129" spans="1:17" x14ac:dyDescent="0.2">
      <c r="A129" s="797" t="s">
        <v>17598</v>
      </c>
      <c r="B129" s="798" t="s">
        <v>13918</v>
      </c>
      <c r="C129" s="798" t="s">
        <v>17513</v>
      </c>
      <c r="D129" s="798" t="s">
        <v>24335</v>
      </c>
      <c r="E129" s="798" t="s">
        <v>15732</v>
      </c>
      <c r="F129" s="798">
        <v>2</v>
      </c>
      <c r="G129" s="798" t="s">
        <v>2837</v>
      </c>
      <c r="H129" s="798" t="s">
        <v>2837</v>
      </c>
      <c r="I129" s="799">
        <v>7500</v>
      </c>
      <c r="J129" s="798">
        <v>1</v>
      </c>
      <c r="K129" s="799">
        <f t="shared" si="6"/>
        <v>7500</v>
      </c>
      <c r="L129" s="799">
        <f t="shared" si="7"/>
        <v>7500</v>
      </c>
      <c r="M129" s="799">
        <f t="shared" si="8"/>
        <v>7500</v>
      </c>
      <c r="N129" s="798" t="s">
        <v>15753</v>
      </c>
      <c r="O129" s="800">
        <f t="shared" si="9"/>
        <v>7500</v>
      </c>
      <c r="P129" s="800">
        <f t="shared" si="10"/>
        <v>7500</v>
      </c>
      <c r="Q129" s="801">
        <f t="shared" si="11"/>
        <v>7500</v>
      </c>
    </row>
    <row r="130" spans="1:17" x14ac:dyDescent="0.2">
      <c r="A130" s="802" t="s">
        <v>17599</v>
      </c>
      <c r="B130" s="803" t="s">
        <v>13918</v>
      </c>
      <c r="C130" s="803" t="s">
        <v>17513</v>
      </c>
      <c r="D130" s="803" t="s">
        <v>24335</v>
      </c>
      <c r="E130" s="803" t="s">
        <v>15733</v>
      </c>
      <c r="F130" s="803">
        <v>3</v>
      </c>
      <c r="G130" s="803" t="s">
        <v>2837</v>
      </c>
      <c r="H130" s="803" t="s">
        <v>2837</v>
      </c>
      <c r="I130" s="804">
        <v>15000</v>
      </c>
      <c r="J130" s="803">
        <v>1</v>
      </c>
      <c r="K130" s="804">
        <f t="shared" ref="K130:K193" si="12">+I130</f>
        <v>15000</v>
      </c>
      <c r="L130" s="804">
        <f t="shared" ref="L130:L193" si="13">+I130</f>
        <v>15000</v>
      </c>
      <c r="M130" s="804">
        <f t="shared" ref="M130:M193" si="14">+I130</f>
        <v>15000</v>
      </c>
      <c r="N130" s="803" t="s">
        <v>15754</v>
      </c>
      <c r="O130" s="805">
        <f t="shared" ref="O130:O193" si="15">+J130*K130</f>
        <v>15000</v>
      </c>
      <c r="P130" s="805">
        <f t="shared" ref="P130:P193" si="16">+J130*L130</f>
        <v>15000</v>
      </c>
      <c r="Q130" s="806">
        <f t="shared" ref="Q130:Q193" si="17">+J130*M130</f>
        <v>15000</v>
      </c>
    </row>
    <row r="131" spans="1:17" x14ac:dyDescent="0.2">
      <c r="A131" s="797" t="s">
        <v>16012</v>
      </c>
      <c r="B131" s="798" t="s">
        <v>13918</v>
      </c>
      <c r="C131" s="798" t="s">
        <v>17513</v>
      </c>
      <c r="D131" s="798" t="s">
        <v>24336</v>
      </c>
      <c r="E131" s="798" t="s">
        <v>15731</v>
      </c>
      <c r="F131" s="798">
        <v>1</v>
      </c>
      <c r="G131" s="798" t="s">
        <v>3779</v>
      </c>
      <c r="H131" s="798" t="s">
        <v>3779</v>
      </c>
      <c r="I131" s="799">
        <v>4000</v>
      </c>
      <c r="J131" s="798">
        <v>1</v>
      </c>
      <c r="K131" s="799">
        <f t="shared" si="12"/>
        <v>4000</v>
      </c>
      <c r="L131" s="799">
        <f t="shared" si="13"/>
        <v>4000</v>
      </c>
      <c r="M131" s="799">
        <f t="shared" si="14"/>
        <v>4000</v>
      </c>
      <c r="N131" s="798" t="s">
        <v>15752</v>
      </c>
      <c r="O131" s="800">
        <f t="shared" si="15"/>
        <v>4000</v>
      </c>
      <c r="P131" s="800">
        <f t="shared" si="16"/>
        <v>4000</v>
      </c>
      <c r="Q131" s="801">
        <f t="shared" si="17"/>
        <v>4000</v>
      </c>
    </row>
    <row r="132" spans="1:17" x14ac:dyDescent="0.2">
      <c r="A132" s="802" t="s">
        <v>17600</v>
      </c>
      <c r="B132" s="803" t="s">
        <v>13918</v>
      </c>
      <c r="C132" s="803" t="s">
        <v>17513</v>
      </c>
      <c r="D132" s="803" t="s">
        <v>24336</v>
      </c>
      <c r="E132" s="803" t="s">
        <v>15732</v>
      </c>
      <c r="F132" s="803">
        <v>2</v>
      </c>
      <c r="G132" s="803" t="s">
        <v>3779</v>
      </c>
      <c r="H132" s="803" t="s">
        <v>3779</v>
      </c>
      <c r="I132" s="804">
        <v>6900</v>
      </c>
      <c r="J132" s="803">
        <v>1</v>
      </c>
      <c r="K132" s="804">
        <f t="shared" si="12"/>
        <v>6900</v>
      </c>
      <c r="L132" s="804">
        <f t="shared" si="13"/>
        <v>6900</v>
      </c>
      <c r="M132" s="804">
        <f t="shared" si="14"/>
        <v>6900</v>
      </c>
      <c r="N132" s="803" t="s">
        <v>15753</v>
      </c>
      <c r="O132" s="805">
        <f t="shared" si="15"/>
        <v>6900</v>
      </c>
      <c r="P132" s="805">
        <f t="shared" si="16"/>
        <v>6900</v>
      </c>
      <c r="Q132" s="806">
        <f t="shared" si="17"/>
        <v>6900</v>
      </c>
    </row>
    <row r="133" spans="1:17" x14ac:dyDescent="0.2">
      <c r="A133" s="797" t="s">
        <v>17601</v>
      </c>
      <c r="B133" s="798" t="s">
        <v>13918</v>
      </c>
      <c r="C133" s="798" t="s">
        <v>17513</v>
      </c>
      <c r="D133" s="798" t="s">
        <v>24336</v>
      </c>
      <c r="E133" s="798" t="s">
        <v>15733</v>
      </c>
      <c r="F133" s="798">
        <v>3</v>
      </c>
      <c r="G133" s="798" t="s">
        <v>3779</v>
      </c>
      <c r="H133" s="798" t="s">
        <v>3779</v>
      </c>
      <c r="I133" s="799">
        <v>15000</v>
      </c>
      <c r="J133" s="798">
        <v>1</v>
      </c>
      <c r="K133" s="799">
        <f t="shared" si="12"/>
        <v>15000</v>
      </c>
      <c r="L133" s="799">
        <f t="shared" si="13"/>
        <v>15000</v>
      </c>
      <c r="M133" s="799">
        <f t="shared" si="14"/>
        <v>15000</v>
      </c>
      <c r="N133" s="798" t="s">
        <v>15754</v>
      </c>
      <c r="O133" s="800">
        <f t="shared" si="15"/>
        <v>15000</v>
      </c>
      <c r="P133" s="800">
        <f t="shared" si="16"/>
        <v>15000</v>
      </c>
      <c r="Q133" s="801">
        <f t="shared" si="17"/>
        <v>15000</v>
      </c>
    </row>
    <row r="134" spans="1:17" x14ac:dyDescent="0.2">
      <c r="A134" s="802" t="s">
        <v>16015</v>
      </c>
      <c r="B134" s="803" t="s">
        <v>13918</v>
      </c>
      <c r="C134" s="803" t="s">
        <v>17513</v>
      </c>
      <c r="D134" s="803" t="s">
        <v>24337</v>
      </c>
      <c r="E134" s="803" t="s">
        <v>15731</v>
      </c>
      <c r="F134" s="803">
        <v>1</v>
      </c>
      <c r="G134" s="803" t="s">
        <v>3779</v>
      </c>
      <c r="H134" s="803" t="s">
        <v>3779</v>
      </c>
      <c r="I134" s="804">
        <v>4100</v>
      </c>
      <c r="J134" s="803">
        <v>1</v>
      </c>
      <c r="K134" s="804">
        <f t="shared" si="12"/>
        <v>4100</v>
      </c>
      <c r="L134" s="804">
        <f t="shared" si="13"/>
        <v>4100</v>
      </c>
      <c r="M134" s="804">
        <f t="shared" si="14"/>
        <v>4100</v>
      </c>
      <c r="N134" s="803" t="s">
        <v>15752</v>
      </c>
      <c r="O134" s="805">
        <f t="shared" si="15"/>
        <v>4100</v>
      </c>
      <c r="P134" s="805">
        <f t="shared" si="16"/>
        <v>4100</v>
      </c>
      <c r="Q134" s="806">
        <f t="shared" si="17"/>
        <v>4100</v>
      </c>
    </row>
    <row r="135" spans="1:17" x14ac:dyDescent="0.2">
      <c r="A135" s="797" t="s">
        <v>17602</v>
      </c>
      <c r="B135" s="798" t="s">
        <v>13918</v>
      </c>
      <c r="C135" s="798" t="s">
        <v>17513</v>
      </c>
      <c r="D135" s="798" t="s">
        <v>24337</v>
      </c>
      <c r="E135" s="798" t="s">
        <v>15732</v>
      </c>
      <c r="F135" s="798">
        <v>2</v>
      </c>
      <c r="G135" s="798" t="s">
        <v>3779</v>
      </c>
      <c r="H135" s="798" t="s">
        <v>3779</v>
      </c>
      <c r="I135" s="799">
        <v>6950</v>
      </c>
      <c r="J135" s="798">
        <v>1</v>
      </c>
      <c r="K135" s="799">
        <f t="shared" si="12"/>
        <v>6950</v>
      </c>
      <c r="L135" s="799">
        <f t="shared" si="13"/>
        <v>6950</v>
      </c>
      <c r="M135" s="799">
        <f t="shared" si="14"/>
        <v>6950</v>
      </c>
      <c r="N135" s="798" t="s">
        <v>15753</v>
      </c>
      <c r="O135" s="800">
        <f t="shared" si="15"/>
        <v>6950</v>
      </c>
      <c r="P135" s="800">
        <f t="shared" si="16"/>
        <v>6950</v>
      </c>
      <c r="Q135" s="801">
        <f t="shared" si="17"/>
        <v>6950</v>
      </c>
    </row>
    <row r="136" spans="1:17" x14ac:dyDescent="0.2">
      <c r="A136" s="802" t="s">
        <v>17603</v>
      </c>
      <c r="B136" s="803" t="s">
        <v>13918</v>
      </c>
      <c r="C136" s="803" t="s">
        <v>17513</v>
      </c>
      <c r="D136" s="803" t="s">
        <v>24337</v>
      </c>
      <c r="E136" s="803" t="s">
        <v>15733</v>
      </c>
      <c r="F136" s="803">
        <v>3</v>
      </c>
      <c r="G136" s="803" t="s">
        <v>3779</v>
      </c>
      <c r="H136" s="803" t="s">
        <v>3779</v>
      </c>
      <c r="I136" s="804">
        <v>15000</v>
      </c>
      <c r="J136" s="803">
        <v>1</v>
      </c>
      <c r="K136" s="804">
        <f t="shared" si="12"/>
        <v>15000</v>
      </c>
      <c r="L136" s="804">
        <f t="shared" si="13"/>
        <v>15000</v>
      </c>
      <c r="M136" s="804">
        <f t="shared" si="14"/>
        <v>15000</v>
      </c>
      <c r="N136" s="803" t="s">
        <v>15754</v>
      </c>
      <c r="O136" s="805">
        <f t="shared" si="15"/>
        <v>15000</v>
      </c>
      <c r="P136" s="805">
        <f t="shared" si="16"/>
        <v>15000</v>
      </c>
      <c r="Q136" s="806">
        <f t="shared" si="17"/>
        <v>15000</v>
      </c>
    </row>
    <row r="137" spans="1:17" x14ac:dyDescent="0.2">
      <c r="A137" s="797" t="s">
        <v>16022</v>
      </c>
      <c r="B137" s="798" t="s">
        <v>13918</v>
      </c>
      <c r="C137" s="798" t="s">
        <v>17513</v>
      </c>
      <c r="D137" s="798" t="s">
        <v>24338</v>
      </c>
      <c r="E137" s="798" t="s">
        <v>15731</v>
      </c>
      <c r="F137" s="798">
        <v>1</v>
      </c>
      <c r="G137" s="798" t="s">
        <v>3779</v>
      </c>
      <c r="H137" s="798" t="s">
        <v>3779</v>
      </c>
      <c r="I137" s="799">
        <v>4200</v>
      </c>
      <c r="J137" s="798">
        <v>1</v>
      </c>
      <c r="K137" s="799">
        <f t="shared" si="12"/>
        <v>4200</v>
      </c>
      <c r="L137" s="799">
        <f t="shared" si="13"/>
        <v>4200</v>
      </c>
      <c r="M137" s="799">
        <f t="shared" si="14"/>
        <v>4200</v>
      </c>
      <c r="N137" s="798" t="s">
        <v>15752</v>
      </c>
      <c r="O137" s="800">
        <f t="shared" si="15"/>
        <v>4200</v>
      </c>
      <c r="P137" s="800">
        <f t="shared" si="16"/>
        <v>4200</v>
      </c>
      <c r="Q137" s="801">
        <f t="shared" si="17"/>
        <v>4200</v>
      </c>
    </row>
    <row r="138" spans="1:17" x14ac:dyDescent="0.2">
      <c r="A138" s="802" t="s">
        <v>17604</v>
      </c>
      <c r="B138" s="803" t="s">
        <v>13918</v>
      </c>
      <c r="C138" s="803" t="s">
        <v>17513</v>
      </c>
      <c r="D138" s="803" t="s">
        <v>24338</v>
      </c>
      <c r="E138" s="803" t="s">
        <v>15732</v>
      </c>
      <c r="F138" s="803">
        <v>2</v>
      </c>
      <c r="G138" s="803" t="s">
        <v>3779</v>
      </c>
      <c r="H138" s="803" t="s">
        <v>3779</v>
      </c>
      <c r="I138" s="804">
        <v>7000</v>
      </c>
      <c r="J138" s="803">
        <v>1</v>
      </c>
      <c r="K138" s="804">
        <f t="shared" si="12"/>
        <v>7000</v>
      </c>
      <c r="L138" s="804">
        <f t="shared" si="13"/>
        <v>7000</v>
      </c>
      <c r="M138" s="804">
        <f t="shared" si="14"/>
        <v>7000</v>
      </c>
      <c r="N138" s="803" t="s">
        <v>15753</v>
      </c>
      <c r="O138" s="805">
        <f t="shared" si="15"/>
        <v>7000</v>
      </c>
      <c r="P138" s="805">
        <f t="shared" si="16"/>
        <v>7000</v>
      </c>
      <c r="Q138" s="806">
        <f t="shared" si="17"/>
        <v>7000</v>
      </c>
    </row>
    <row r="139" spans="1:17" x14ac:dyDescent="0.2">
      <c r="A139" s="797" t="s">
        <v>17605</v>
      </c>
      <c r="B139" s="798" t="s">
        <v>13918</v>
      </c>
      <c r="C139" s="798" t="s">
        <v>17513</v>
      </c>
      <c r="D139" s="798" t="s">
        <v>24338</v>
      </c>
      <c r="E139" s="798" t="s">
        <v>15733</v>
      </c>
      <c r="F139" s="798">
        <v>3</v>
      </c>
      <c r="G139" s="798" t="s">
        <v>3779</v>
      </c>
      <c r="H139" s="798" t="s">
        <v>3779</v>
      </c>
      <c r="I139" s="799">
        <v>15000</v>
      </c>
      <c r="J139" s="798">
        <v>1</v>
      </c>
      <c r="K139" s="799">
        <f t="shared" si="12"/>
        <v>15000</v>
      </c>
      <c r="L139" s="799">
        <f t="shared" si="13"/>
        <v>15000</v>
      </c>
      <c r="M139" s="799">
        <f t="shared" si="14"/>
        <v>15000</v>
      </c>
      <c r="N139" s="798" t="s">
        <v>15754</v>
      </c>
      <c r="O139" s="800">
        <f t="shared" si="15"/>
        <v>15000</v>
      </c>
      <c r="P139" s="800">
        <f t="shared" si="16"/>
        <v>15000</v>
      </c>
      <c r="Q139" s="801">
        <f t="shared" si="17"/>
        <v>15000</v>
      </c>
    </row>
    <row r="140" spans="1:17" x14ac:dyDescent="0.2">
      <c r="A140" s="802" t="s">
        <v>16028</v>
      </c>
      <c r="B140" s="803" t="s">
        <v>13918</v>
      </c>
      <c r="C140" s="803" t="s">
        <v>17513</v>
      </c>
      <c r="D140" s="803" t="s">
        <v>24339</v>
      </c>
      <c r="E140" s="803" t="s">
        <v>15731</v>
      </c>
      <c r="F140" s="803">
        <v>1</v>
      </c>
      <c r="G140" s="803" t="s">
        <v>3779</v>
      </c>
      <c r="H140" s="803" t="s">
        <v>3779</v>
      </c>
      <c r="I140" s="804">
        <v>4300</v>
      </c>
      <c r="J140" s="803">
        <v>1</v>
      </c>
      <c r="K140" s="804">
        <f t="shared" si="12"/>
        <v>4300</v>
      </c>
      <c r="L140" s="804">
        <f t="shared" si="13"/>
        <v>4300</v>
      </c>
      <c r="M140" s="804">
        <f t="shared" si="14"/>
        <v>4300</v>
      </c>
      <c r="N140" s="803" t="s">
        <v>15752</v>
      </c>
      <c r="O140" s="805">
        <f t="shared" si="15"/>
        <v>4300</v>
      </c>
      <c r="P140" s="805">
        <f t="shared" si="16"/>
        <v>4300</v>
      </c>
      <c r="Q140" s="806">
        <f t="shared" si="17"/>
        <v>4300</v>
      </c>
    </row>
    <row r="141" spans="1:17" x14ac:dyDescent="0.2">
      <c r="A141" s="797" t="s">
        <v>17606</v>
      </c>
      <c r="B141" s="798" t="s">
        <v>13918</v>
      </c>
      <c r="C141" s="798" t="s">
        <v>17513</v>
      </c>
      <c r="D141" s="798" t="s">
        <v>24339</v>
      </c>
      <c r="E141" s="798" t="s">
        <v>15732</v>
      </c>
      <c r="F141" s="798">
        <v>2</v>
      </c>
      <c r="G141" s="798" t="s">
        <v>3779</v>
      </c>
      <c r="H141" s="798" t="s">
        <v>3779</v>
      </c>
      <c r="I141" s="799">
        <v>7100</v>
      </c>
      <c r="J141" s="798">
        <v>1</v>
      </c>
      <c r="K141" s="799">
        <f t="shared" si="12"/>
        <v>7100</v>
      </c>
      <c r="L141" s="799">
        <f t="shared" si="13"/>
        <v>7100</v>
      </c>
      <c r="M141" s="799">
        <f t="shared" si="14"/>
        <v>7100</v>
      </c>
      <c r="N141" s="798" t="s">
        <v>15753</v>
      </c>
      <c r="O141" s="800">
        <f t="shared" si="15"/>
        <v>7100</v>
      </c>
      <c r="P141" s="800">
        <f t="shared" si="16"/>
        <v>7100</v>
      </c>
      <c r="Q141" s="801">
        <f t="shared" si="17"/>
        <v>7100</v>
      </c>
    </row>
    <row r="142" spans="1:17" x14ac:dyDescent="0.2">
      <c r="A142" s="802" t="s">
        <v>17607</v>
      </c>
      <c r="B142" s="803" t="s">
        <v>13918</v>
      </c>
      <c r="C142" s="803" t="s">
        <v>17513</v>
      </c>
      <c r="D142" s="803" t="s">
        <v>24339</v>
      </c>
      <c r="E142" s="803" t="s">
        <v>15733</v>
      </c>
      <c r="F142" s="803">
        <v>3</v>
      </c>
      <c r="G142" s="803" t="s">
        <v>3779</v>
      </c>
      <c r="H142" s="803" t="s">
        <v>3779</v>
      </c>
      <c r="I142" s="804">
        <v>15000</v>
      </c>
      <c r="J142" s="803">
        <v>1</v>
      </c>
      <c r="K142" s="804">
        <f t="shared" si="12"/>
        <v>15000</v>
      </c>
      <c r="L142" s="804">
        <f t="shared" si="13"/>
        <v>15000</v>
      </c>
      <c r="M142" s="804">
        <f t="shared" si="14"/>
        <v>15000</v>
      </c>
      <c r="N142" s="803" t="s">
        <v>15754</v>
      </c>
      <c r="O142" s="805">
        <f t="shared" si="15"/>
        <v>15000</v>
      </c>
      <c r="P142" s="805">
        <f t="shared" si="16"/>
        <v>15000</v>
      </c>
      <c r="Q142" s="806">
        <f t="shared" si="17"/>
        <v>15000</v>
      </c>
    </row>
    <row r="143" spans="1:17" x14ac:dyDescent="0.2">
      <c r="A143" s="797" t="s">
        <v>16034</v>
      </c>
      <c r="B143" s="798" t="s">
        <v>13918</v>
      </c>
      <c r="C143" s="798" t="s">
        <v>17513</v>
      </c>
      <c r="D143" s="798" t="s">
        <v>24340</v>
      </c>
      <c r="E143" s="798" t="s">
        <v>15731</v>
      </c>
      <c r="F143" s="798">
        <v>1</v>
      </c>
      <c r="G143" s="798" t="s">
        <v>3779</v>
      </c>
      <c r="H143" s="798" t="s">
        <v>3779</v>
      </c>
      <c r="I143" s="799">
        <v>4400</v>
      </c>
      <c r="J143" s="798">
        <v>1</v>
      </c>
      <c r="K143" s="799">
        <f t="shared" si="12"/>
        <v>4400</v>
      </c>
      <c r="L143" s="799">
        <f t="shared" si="13"/>
        <v>4400</v>
      </c>
      <c r="M143" s="799">
        <f t="shared" si="14"/>
        <v>4400</v>
      </c>
      <c r="N143" s="798" t="s">
        <v>15752</v>
      </c>
      <c r="O143" s="800">
        <f t="shared" si="15"/>
        <v>4400</v>
      </c>
      <c r="P143" s="800">
        <f t="shared" si="16"/>
        <v>4400</v>
      </c>
      <c r="Q143" s="801">
        <f t="shared" si="17"/>
        <v>4400</v>
      </c>
    </row>
    <row r="144" spans="1:17" x14ac:dyDescent="0.2">
      <c r="A144" s="802" t="s">
        <v>17608</v>
      </c>
      <c r="B144" s="803" t="s">
        <v>13918</v>
      </c>
      <c r="C144" s="803" t="s">
        <v>17513</v>
      </c>
      <c r="D144" s="803" t="s">
        <v>24340</v>
      </c>
      <c r="E144" s="803" t="s">
        <v>15732</v>
      </c>
      <c r="F144" s="803">
        <v>2</v>
      </c>
      <c r="G144" s="803" t="s">
        <v>3779</v>
      </c>
      <c r="H144" s="803" t="s">
        <v>3779</v>
      </c>
      <c r="I144" s="804">
        <v>7200</v>
      </c>
      <c r="J144" s="803">
        <v>1</v>
      </c>
      <c r="K144" s="804">
        <f t="shared" si="12"/>
        <v>7200</v>
      </c>
      <c r="L144" s="804">
        <f t="shared" si="13"/>
        <v>7200</v>
      </c>
      <c r="M144" s="804">
        <f t="shared" si="14"/>
        <v>7200</v>
      </c>
      <c r="N144" s="803" t="s">
        <v>15753</v>
      </c>
      <c r="O144" s="805">
        <f t="shared" si="15"/>
        <v>7200</v>
      </c>
      <c r="P144" s="805">
        <f t="shared" si="16"/>
        <v>7200</v>
      </c>
      <c r="Q144" s="806">
        <f t="shared" si="17"/>
        <v>7200</v>
      </c>
    </row>
    <row r="145" spans="1:17" x14ac:dyDescent="0.2">
      <c r="A145" s="797" t="s">
        <v>17609</v>
      </c>
      <c r="B145" s="798" t="s">
        <v>13918</v>
      </c>
      <c r="C145" s="798" t="s">
        <v>17513</v>
      </c>
      <c r="D145" s="798" t="s">
        <v>24340</v>
      </c>
      <c r="E145" s="798" t="s">
        <v>15733</v>
      </c>
      <c r="F145" s="798">
        <v>3</v>
      </c>
      <c r="G145" s="798" t="s">
        <v>3779</v>
      </c>
      <c r="H145" s="798" t="s">
        <v>3779</v>
      </c>
      <c r="I145" s="799">
        <v>15000</v>
      </c>
      <c r="J145" s="798">
        <v>1</v>
      </c>
      <c r="K145" s="799">
        <f t="shared" si="12"/>
        <v>15000</v>
      </c>
      <c r="L145" s="799">
        <f t="shared" si="13"/>
        <v>15000</v>
      </c>
      <c r="M145" s="799">
        <f t="shared" si="14"/>
        <v>15000</v>
      </c>
      <c r="N145" s="798" t="s">
        <v>15754</v>
      </c>
      <c r="O145" s="800">
        <f t="shared" si="15"/>
        <v>15000</v>
      </c>
      <c r="P145" s="800">
        <f t="shared" si="16"/>
        <v>15000</v>
      </c>
      <c r="Q145" s="801">
        <f t="shared" si="17"/>
        <v>15000</v>
      </c>
    </row>
    <row r="146" spans="1:17" x14ac:dyDescent="0.2">
      <c r="A146" s="802" t="s">
        <v>16038</v>
      </c>
      <c r="B146" s="803" t="s">
        <v>13918</v>
      </c>
      <c r="C146" s="803" t="s">
        <v>17513</v>
      </c>
      <c r="D146" s="803" t="s">
        <v>24341</v>
      </c>
      <c r="E146" s="803" t="s">
        <v>15731</v>
      </c>
      <c r="F146" s="803">
        <v>1</v>
      </c>
      <c r="G146" s="803" t="s">
        <v>3779</v>
      </c>
      <c r="H146" s="803" t="s">
        <v>3779</v>
      </c>
      <c r="I146" s="804">
        <v>4500</v>
      </c>
      <c r="J146" s="803">
        <v>1</v>
      </c>
      <c r="K146" s="804">
        <f t="shared" si="12"/>
        <v>4500</v>
      </c>
      <c r="L146" s="804">
        <f t="shared" si="13"/>
        <v>4500</v>
      </c>
      <c r="M146" s="804">
        <f t="shared" si="14"/>
        <v>4500</v>
      </c>
      <c r="N146" s="803" t="s">
        <v>15752</v>
      </c>
      <c r="O146" s="805">
        <f t="shared" si="15"/>
        <v>4500</v>
      </c>
      <c r="P146" s="805">
        <f t="shared" si="16"/>
        <v>4500</v>
      </c>
      <c r="Q146" s="806">
        <f t="shared" si="17"/>
        <v>4500</v>
      </c>
    </row>
    <row r="147" spans="1:17" x14ac:dyDescent="0.2">
      <c r="A147" s="797" t="s">
        <v>17610</v>
      </c>
      <c r="B147" s="798" t="s">
        <v>13918</v>
      </c>
      <c r="C147" s="798" t="s">
        <v>17513</v>
      </c>
      <c r="D147" s="798" t="s">
        <v>24341</v>
      </c>
      <c r="E147" s="798" t="s">
        <v>15732</v>
      </c>
      <c r="F147" s="798">
        <v>2</v>
      </c>
      <c r="G147" s="798" t="s">
        <v>3779</v>
      </c>
      <c r="H147" s="798" t="s">
        <v>3779</v>
      </c>
      <c r="I147" s="799">
        <v>7300</v>
      </c>
      <c r="J147" s="798">
        <v>1</v>
      </c>
      <c r="K147" s="799">
        <f t="shared" si="12"/>
        <v>7300</v>
      </c>
      <c r="L147" s="799">
        <f t="shared" si="13"/>
        <v>7300</v>
      </c>
      <c r="M147" s="799">
        <f t="shared" si="14"/>
        <v>7300</v>
      </c>
      <c r="N147" s="798" t="s">
        <v>15753</v>
      </c>
      <c r="O147" s="800">
        <f t="shared" si="15"/>
        <v>7300</v>
      </c>
      <c r="P147" s="800">
        <f t="shared" si="16"/>
        <v>7300</v>
      </c>
      <c r="Q147" s="801">
        <f t="shared" si="17"/>
        <v>7300</v>
      </c>
    </row>
    <row r="148" spans="1:17" x14ac:dyDescent="0.2">
      <c r="A148" s="802" t="s">
        <v>17611</v>
      </c>
      <c r="B148" s="803" t="s">
        <v>13918</v>
      </c>
      <c r="C148" s="803" t="s">
        <v>17513</v>
      </c>
      <c r="D148" s="803" t="s">
        <v>24341</v>
      </c>
      <c r="E148" s="803" t="s">
        <v>15733</v>
      </c>
      <c r="F148" s="803">
        <v>3</v>
      </c>
      <c r="G148" s="803" t="s">
        <v>3779</v>
      </c>
      <c r="H148" s="803" t="s">
        <v>3779</v>
      </c>
      <c r="I148" s="804">
        <v>15000</v>
      </c>
      <c r="J148" s="803">
        <v>1</v>
      </c>
      <c r="K148" s="804">
        <f t="shared" si="12"/>
        <v>15000</v>
      </c>
      <c r="L148" s="804">
        <f t="shared" si="13"/>
        <v>15000</v>
      </c>
      <c r="M148" s="804">
        <f t="shared" si="14"/>
        <v>15000</v>
      </c>
      <c r="N148" s="803" t="s">
        <v>15754</v>
      </c>
      <c r="O148" s="805">
        <f t="shared" si="15"/>
        <v>15000</v>
      </c>
      <c r="P148" s="805">
        <f t="shared" si="16"/>
        <v>15000</v>
      </c>
      <c r="Q148" s="806">
        <f t="shared" si="17"/>
        <v>15000</v>
      </c>
    </row>
    <row r="149" spans="1:17" x14ac:dyDescent="0.2">
      <c r="A149" s="797" t="s">
        <v>16041</v>
      </c>
      <c r="B149" s="798" t="s">
        <v>13918</v>
      </c>
      <c r="C149" s="798" t="s">
        <v>17513</v>
      </c>
      <c r="D149" s="798" t="s">
        <v>24342</v>
      </c>
      <c r="E149" s="798" t="s">
        <v>15731</v>
      </c>
      <c r="F149" s="798">
        <v>1</v>
      </c>
      <c r="G149" s="798" t="s">
        <v>3779</v>
      </c>
      <c r="H149" s="798" t="s">
        <v>3779</v>
      </c>
      <c r="I149" s="799">
        <v>4600</v>
      </c>
      <c r="J149" s="798">
        <v>1</v>
      </c>
      <c r="K149" s="799">
        <f t="shared" si="12"/>
        <v>4600</v>
      </c>
      <c r="L149" s="799">
        <f t="shared" si="13"/>
        <v>4600</v>
      </c>
      <c r="M149" s="799">
        <f t="shared" si="14"/>
        <v>4600</v>
      </c>
      <c r="N149" s="798" t="s">
        <v>15752</v>
      </c>
      <c r="O149" s="800">
        <f t="shared" si="15"/>
        <v>4600</v>
      </c>
      <c r="P149" s="800">
        <f t="shared" si="16"/>
        <v>4600</v>
      </c>
      <c r="Q149" s="801">
        <f t="shared" si="17"/>
        <v>4600</v>
      </c>
    </row>
    <row r="150" spans="1:17" x14ac:dyDescent="0.2">
      <c r="A150" s="802" t="s">
        <v>17612</v>
      </c>
      <c r="B150" s="803" t="s">
        <v>13918</v>
      </c>
      <c r="C150" s="803" t="s">
        <v>17513</v>
      </c>
      <c r="D150" s="803" t="s">
        <v>24342</v>
      </c>
      <c r="E150" s="803" t="s">
        <v>15732</v>
      </c>
      <c r="F150" s="803">
        <v>2</v>
      </c>
      <c r="G150" s="803" t="s">
        <v>3779</v>
      </c>
      <c r="H150" s="803" t="s">
        <v>3779</v>
      </c>
      <c r="I150" s="804">
        <v>7400</v>
      </c>
      <c r="J150" s="803">
        <v>1</v>
      </c>
      <c r="K150" s="804">
        <f t="shared" si="12"/>
        <v>7400</v>
      </c>
      <c r="L150" s="804">
        <f t="shared" si="13"/>
        <v>7400</v>
      </c>
      <c r="M150" s="804">
        <f t="shared" si="14"/>
        <v>7400</v>
      </c>
      <c r="N150" s="803" t="s">
        <v>15753</v>
      </c>
      <c r="O150" s="805">
        <f t="shared" si="15"/>
        <v>7400</v>
      </c>
      <c r="P150" s="805">
        <f t="shared" si="16"/>
        <v>7400</v>
      </c>
      <c r="Q150" s="806">
        <f t="shared" si="17"/>
        <v>7400</v>
      </c>
    </row>
    <row r="151" spans="1:17" x14ac:dyDescent="0.2">
      <c r="A151" s="797" t="s">
        <v>17613</v>
      </c>
      <c r="B151" s="798" t="s">
        <v>13918</v>
      </c>
      <c r="C151" s="798" t="s">
        <v>17513</v>
      </c>
      <c r="D151" s="798" t="s">
        <v>24342</v>
      </c>
      <c r="E151" s="798" t="s">
        <v>15733</v>
      </c>
      <c r="F151" s="798">
        <v>3</v>
      </c>
      <c r="G151" s="798" t="s">
        <v>3779</v>
      </c>
      <c r="H151" s="798" t="s">
        <v>3779</v>
      </c>
      <c r="I151" s="799">
        <v>15000</v>
      </c>
      <c r="J151" s="798">
        <v>1</v>
      </c>
      <c r="K151" s="799">
        <f t="shared" si="12"/>
        <v>15000</v>
      </c>
      <c r="L151" s="799">
        <f t="shared" si="13"/>
        <v>15000</v>
      </c>
      <c r="M151" s="799">
        <f t="shared" si="14"/>
        <v>15000</v>
      </c>
      <c r="N151" s="798" t="s">
        <v>15754</v>
      </c>
      <c r="O151" s="800">
        <f t="shared" si="15"/>
        <v>15000</v>
      </c>
      <c r="P151" s="800">
        <f t="shared" si="16"/>
        <v>15000</v>
      </c>
      <c r="Q151" s="801">
        <f t="shared" si="17"/>
        <v>15000</v>
      </c>
    </row>
    <row r="152" spans="1:17" x14ac:dyDescent="0.2">
      <c r="A152" s="802" t="s">
        <v>16047</v>
      </c>
      <c r="B152" s="803" t="s">
        <v>13918</v>
      </c>
      <c r="C152" s="803" t="s">
        <v>17513</v>
      </c>
      <c r="D152" s="803" t="s">
        <v>24343</v>
      </c>
      <c r="E152" s="803" t="s">
        <v>15731</v>
      </c>
      <c r="F152" s="803">
        <v>1</v>
      </c>
      <c r="G152" s="803" t="s">
        <v>3779</v>
      </c>
      <c r="H152" s="803" t="s">
        <v>3779</v>
      </c>
      <c r="I152" s="804">
        <v>4700</v>
      </c>
      <c r="J152" s="803">
        <v>1</v>
      </c>
      <c r="K152" s="804">
        <f t="shared" si="12"/>
        <v>4700</v>
      </c>
      <c r="L152" s="804">
        <f t="shared" si="13"/>
        <v>4700</v>
      </c>
      <c r="M152" s="804">
        <f t="shared" si="14"/>
        <v>4700</v>
      </c>
      <c r="N152" s="803" t="s">
        <v>15752</v>
      </c>
      <c r="O152" s="805">
        <f t="shared" si="15"/>
        <v>4700</v>
      </c>
      <c r="P152" s="805">
        <f t="shared" si="16"/>
        <v>4700</v>
      </c>
      <c r="Q152" s="806">
        <f t="shared" si="17"/>
        <v>4700</v>
      </c>
    </row>
    <row r="153" spans="1:17" x14ac:dyDescent="0.2">
      <c r="A153" s="797" t="s">
        <v>17614</v>
      </c>
      <c r="B153" s="798" t="s">
        <v>13918</v>
      </c>
      <c r="C153" s="798" t="s">
        <v>17513</v>
      </c>
      <c r="D153" s="798" t="s">
        <v>24343</v>
      </c>
      <c r="E153" s="798" t="s">
        <v>15732</v>
      </c>
      <c r="F153" s="798">
        <v>2</v>
      </c>
      <c r="G153" s="798" t="s">
        <v>3779</v>
      </c>
      <c r="H153" s="798" t="s">
        <v>3779</v>
      </c>
      <c r="I153" s="799">
        <v>7500</v>
      </c>
      <c r="J153" s="798">
        <v>1</v>
      </c>
      <c r="K153" s="799">
        <f t="shared" si="12"/>
        <v>7500</v>
      </c>
      <c r="L153" s="799">
        <f t="shared" si="13"/>
        <v>7500</v>
      </c>
      <c r="M153" s="799">
        <f t="shared" si="14"/>
        <v>7500</v>
      </c>
      <c r="N153" s="798" t="s">
        <v>15753</v>
      </c>
      <c r="O153" s="800">
        <f t="shared" si="15"/>
        <v>7500</v>
      </c>
      <c r="P153" s="800">
        <f t="shared" si="16"/>
        <v>7500</v>
      </c>
      <c r="Q153" s="801">
        <f t="shared" si="17"/>
        <v>7500</v>
      </c>
    </row>
    <row r="154" spans="1:17" x14ac:dyDescent="0.2">
      <c r="A154" s="802" t="s">
        <v>17615</v>
      </c>
      <c r="B154" s="803" t="s">
        <v>13918</v>
      </c>
      <c r="C154" s="803" t="s">
        <v>17513</v>
      </c>
      <c r="D154" s="803" t="s">
        <v>24343</v>
      </c>
      <c r="E154" s="803" t="s">
        <v>15733</v>
      </c>
      <c r="F154" s="803">
        <v>3</v>
      </c>
      <c r="G154" s="803" t="s">
        <v>3779</v>
      </c>
      <c r="H154" s="803" t="s">
        <v>3779</v>
      </c>
      <c r="I154" s="804">
        <v>15000</v>
      </c>
      <c r="J154" s="803">
        <v>1</v>
      </c>
      <c r="K154" s="804">
        <f t="shared" si="12"/>
        <v>15000</v>
      </c>
      <c r="L154" s="804">
        <f t="shared" si="13"/>
        <v>15000</v>
      </c>
      <c r="M154" s="804">
        <f t="shared" si="14"/>
        <v>15000</v>
      </c>
      <c r="N154" s="803" t="s">
        <v>15754</v>
      </c>
      <c r="O154" s="805">
        <f t="shared" si="15"/>
        <v>15000</v>
      </c>
      <c r="P154" s="805">
        <f t="shared" si="16"/>
        <v>15000</v>
      </c>
      <c r="Q154" s="806">
        <f t="shared" si="17"/>
        <v>15000</v>
      </c>
    </row>
    <row r="155" spans="1:17" x14ac:dyDescent="0.2">
      <c r="A155" s="797" t="s">
        <v>16050</v>
      </c>
      <c r="B155" s="798" t="s">
        <v>13918</v>
      </c>
      <c r="C155" s="798" t="s">
        <v>17513</v>
      </c>
      <c r="D155" s="798" t="s">
        <v>24344</v>
      </c>
      <c r="E155" s="798" t="s">
        <v>15731</v>
      </c>
      <c r="F155" s="798">
        <v>1</v>
      </c>
      <c r="G155" s="798" t="s">
        <v>3779</v>
      </c>
      <c r="H155" s="798" t="s">
        <v>3779</v>
      </c>
      <c r="I155" s="799">
        <v>5200</v>
      </c>
      <c r="J155" s="798">
        <v>1</v>
      </c>
      <c r="K155" s="799">
        <f t="shared" si="12"/>
        <v>5200</v>
      </c>
      <c r="L155" s="799">
        <f t="shared" si="13"/>
        <v>5200</v>
      </c>
      <c r="M155" s="799">
        <f t="shared" si="14"/>
        <v>5200</v>
      </c>
      <c r="N155" s="798" t="s">
        <v>15752</v>
      </c>
      <c r="O155" s="800">
        <f t="shared" si="15"/>
        <v>5200</v>
      </c>
      <c r="P155" s="800">
        <f t="shared" si="16"/>
        <v>5200</v>
      </c>
      <c r="Q155" s="801">
        <f t="shared" si="17"/>
        <v>5200</v>
      </c>
    </row>
    <row r="156" spans="1:17" x14ac:dyDescent="0.2">
      <c r="A156" s="802" t="s">
        <v>17616</v>
      </c>
      <c r="B156" s="803" t="s">
        <v>13918</v>
      </c>
      <c r="C156" s="803" t="s">
        <v>17513</v>
      </c>
      <c r="D156" s="803" t="s">
        <v>24344</v>
      </c>
      <c r="E156" s="803" t="s">
        <v>15732</v>
      </c>
      <c r="F156" s="803">
        <v>2</v>
      </c>
      <c r="G156" s="803" t="s">
        <v>3779</v>
      </c>
      <c r="H156" s="803" t="s">
        <v>3779</v>
      </c>
      <c r="I156" s="804">
        <v>8000</v>
      </c>
      <c r="J156" s="803">
        <v>1</v>
      </c>
      <c r="K156" s="804">
        <f t="shared" si="12"/>
        <v>8000</v>
      </c>
      <c r="L156" s="804">
        <f t="shared" si="13"/>
        <v>8000</v>
      </c>
      <c r="M156" s="804">
        <f t="shared" si="14"/>
        <v>8000</v>
      </c>
      <c r="N156" s="803" t="s">
        <v>15753</v>
      </c>
      <c r="O156" s="805">
        <f t="shared" si="15"/>
        <v>8000</v>
      </c>
      <c r="P156" s="805">
        <f t="shared" si="16"/>
        <v>8000</v>
      </c>
      <c r="Q156" s="806">
        <f t="shared" si="17"/>
        <v>8000</v>
      </c>
    </row>
    <row r="157" spans="1:17" x14ac:dyDescent="0.2">
      <c r="A157" s="797" t="s">
        <v>17617</v>
      </c>
      <c r="B157" s="798" t="s">
        <v>13918</v>
      </c>
      <c r="C157" s="798" t="s">
        <v>17513</v>
      </c>
      <c r="D157" s="798" t="s">
        <v>24344</v>
      </c>
      <c r="E157" s="798" t="s">
        <v>15733</v>
      </c>
      <c r="F157" s="798">
        <v>3</v>
      </c>
      <c r="G157" s="798" t="s">
        <v>3779</v>
      </c>
      <c r="H157" s="798" t="s">
        <v>3779</v>
      </c>
      <c r="I157" s="799">
        <v>15000</v>
      </c>
      <c r="J157" s="798">
        <v>1</v>
      </c>
      <c r="K157" s="799">
        <f t="shared" si="12"/>
        <v>15000</v>
      </c>
      <c r="L157" s="799">
        <f t="shared" si="13"/>
        <v>15000</v>
      </c>
      <c r="M157" s="799">
        <f t="shared" si="14"/>
        <v>15000</v>
      </c>
      <c r="N157" s="798" t="s">
        <v>15754</v>
      </c>
      <c r="O157" s="800">
        <f t="shared" si="15"/>
        <v>15000</v>
      </c>
      <c r="P157" s="800">
        <f t="shared" si="16"/>
        <v>15000</v>
      </c>
      <c r="Q157" s="801">
        <f t="shared" si="17"/>
        <v>15000</v>
      </c>
    </row>
    <row r="158" spans="1:17" x14ac:dyDescent="0.2">
      <c r="A158" s="802" t="s">
        <v>16062</v>
      </c>
      <c r="B158" s="803" t="s">
        <v>13918</v>
      </c>
      <c r="C158" s="803" t="s">
        <v>17513</v>
      </c>
      <c r="D158" s="803" t="s">
        <v>24345</v>
      </c>
      <c r="E158" s="803" t="s">
        <v>15731</v>
      </c>
      <c r="F158" s="803">
        <v>1</v>
      </c>
      <c r="G158" s="803" t="s">
        <v>1947</v>
      </c>
      <c r="H158" s="803" t="s">
        <v>1947</v>
      </c>
      <c r="I158" s="804">
        <v>4800</v>
      </c>
      <c r="J158" s="803">
        <v>1</v>
      </c>
      <c r="K158" s="804">
        <f t="shared" si="12"/>
        <v>4800</v>
      </c>
      <c r="L158" s="804">
        <f t="shared" si="13"/>
        <v>4800</v>
      </c>
      <c r="M158" s="804">
        <f t="shared" si="14"/>
        <v>4800</v>
      </c>
      <c r="N158" s="803" t="s">
        <v>15752</v>
      </c>
      <c r="O158" s="805">
        <f t="shared" si="15"/>
        <v>4800</v>
      </c>
      <c r="P158" s="805">
        <f t="shared" si="16"/>
        <v>4800</v>
      </c>
      <c r="Q158" s="806">
        <f t="shared" si="17"/>
        <v>4800</v>
      </c>
    </row>
    <row r="159" spans="1:17" x14ac:dyDescent="0.2">
      <c r="A159" s="797" t="s">
        <v>17618</v>
      </c>
      <c r="B159" s="798" t="s">
        <v>13918</v>
      </c>
      <c r="C159" s="798" t="s">
        <v>17513</v>
      </c>
      <c r="D159" s="798" t="s">
        <v>24345</v>
      </c>
      <c r="E159" s="798" t="s">
        <v>15732</v>
      </c>
      <c r="F159" s="798">
        <v>2</v>
      </c>
      <c r="G159" s="798" t="s">
        <v>1947</v>
      </c>
      <c r="H159" s="798" t="s">
        <v>1947</v>
      </c>
      <c r="I159" s="799">
        <v>7350</v>
      </c>
      <c r="J159" s="798">
        <v>1</v>
      </c>
      <c r="K159" s="799">
        <f t="shared" si="12"/>
        <v>7350</v>
      </c>
      <c r="L159" s="799">
        <f t="shared" si="13"/>
        <v>7350</v>
      </c>
      <c r="M159" s="799">
        <f t="shared" si="14"/>
        <v>7350</v>
      </c>
      <c r="N159" s="798" t="s">
        <v>15753</v>
      </c>
      <c r="O159" s="800">
        <f t="shared" si="15"/>
        <v>7350</v>
      </c>
      <c r="P159" s="800">
        <f t="shared" si="16"/>
        <v>7350</v>
      </c>
      <c r="Q159" s="801">
        <f t="shared" si="17"/>
        <v>7350</v>
      </c>
    </row>
    <row r="160" spans="1:17" x14ac:dyDescent="0.2">
      <c r="A160" s="802" t="s">
        <v>17619</v>
      </c>
      <c r="B160" s="803" t="s">
        <v>13918</v>
      </c>
      <c r="C160" s="803" t="s">
        <v>17513</v>
      </c>
      <c r="D160" s="803" t="s">
        <v>24345</v>
      </c>
      <c r="E160" s="803" t="s">
        <v>15733</v>
      </c>
      <c r="F160" s="803">
        <v>3</v>
      </c>
      <c r="G160" s="803" t="s">
        <v>1947</v>
      </c>
      <c r="H160" s="803" t="s">
        <v>1947</v>
      </c>
      <c r="I160" s="804">
        <v>18000</v>
      </c>
      <c r="J160" s="803">
        <v>1</v>
      </c>
      <c r="K160" s="804">
        <f t="shared" si="12"/>
        <v>18000</v>
      </c>
      <c r="L160" s="804">
        <f t="shared" si="13"/>
        <v>18000</v>
      </c>
      <c r="M160" s="804">
        <f t="shared" si="14"/>
        <v>18000</v>
      </c>
      <c r="N160" s="803" t="s">
        <v>15754</v>
      </c>
      <c r="O160" s="805">
        <f t="shared" si="15"/>
        <v>18000</v>
      </c>
      <c r="P160" s="805">
        <f t="shared" si="16"/>
        <v>18000</v>
      </c>
      <c r="Q160" s="806">
        <f t="shared" si="17"/>
        <v>18000</v>
      </c>
    </row>
    <row r="161" spans="1:17" x14ac:dyDescent="0.2">
      <c r="A161" s="797" t="s">
        <v>16065</v>
      </c>
      <c r="B161" s="798" t="s">
        <v>13918</v>
      </c>
      <c r="C161" s="798" t="s">
        <v>17513</v>
      </c>
      <c r="D161" s="798" t="s">
        <v>24346</v>
      </c>
      <c r="E161" s="798" t="s">
        <v>15731</v>
      </c>
      <c r="F161" s="798">
        <v>1</v>
      </c>
      <c r="G161" s="798" t="s">
        <v>1947</v>
      </c>
      <c r="H161" s="798" t="s">
        <v>1947</v>
      </c>
      <c r="I161" s="799">
        <v>4800</v>
      </c>
      <c r="J161" s="798">
        <v>1</v>
      </c>
      <c r="K161" s="799">
        <f t="shared" si="12"/>
        <v>4800</v>
      </c>
      <c r="L161" s="799">
        <f t="shared" si="13"/>
        <v>4800</v>
      </c>
      <c r="M161" s="799">
        <f t="shared" si="14"/>
        <v>4800</v>
      </c>
      <c r="N161" s="798" t="s">
        <v>15752</v>
      </c>
      <c r="O161" s="800">
        <f t="shared" si="15"/>
        <v>4800</v>
      </c>
      <c r="P161" s="800">
        <f t="shared" si="16"/>
        <v>4800</v>
      </c>
      <c r="Q161" s="801">
        <f t="shared" si="17"/>
        <v>4800</v>
      </c>
    </row>
    <row r="162" spans="1:17" x14ac:dyDescent="0.2">
      <c r="A162" s="802" t="s">
        <v>17620</v>
      </c>
      <c r="B162" s="803" t="s">
        <v>13918</v>
      </c>
      <c r="C162" s="803" t="s">
        <v>17513</v>
      </c>
      <c r="D162" s="803" t="s">
        <v>24346</v>
      </c>
      <c r="E162" s="803" t="s">
        <v>15732</v>
      </c>
      <c r="F162" s="803">
        <v>2</v>
      </c>
      <c r="G162" s="803" t="s">
        <v>1947</v>
      </c>
      <c r="H162" s="803" t="s">
        <v>1947</v>
      </c>
      <c r="I162" s="804">
        <v>7400</v>
      </c>
      <c r="J162" s="803">
        <v>1</v>
      </c>
      <c r="K162" s="804">
        <f t="shared" si="12"/>
        <v>7400</v>
      </c>
      <c r="L162" s="804">
        <f t="shared" si="13"/>
        <v>7400</v>
      </c>
      <c r="M162" s="804">
        <f t="shared" si="14"/>
        <v>7400</v>
      </c>
      <c r="N162" s="803" t="s">
        <v>15753</v>
      </c>
      <c r="O162" s="805">
        <f t="shared" si="15"/>
        <v>7400</v>
      </c>
      <c r="P162" s="805">
        <f t="shared" si="16"/>
        <v>7400</v>
      </c>
      <c r="Q162" s="806">
        <f t="shared" si="17"/>
        <v>7400</v>
      </c>
    </row>
    <row r="163" spans="1:17" x14ac:dyDescent="0.2">
      <c r="A163" s="797" t="s">
        <v>17621</v>
      </c>
      <c r="B163" s="798" t="s">
        <v>13918</v>
      </c>
      <c r="C163" s="798" t="s">
        <v>17513</v>
      </c>
      <c r="D163" s="798" t="s">
        <v>24346</v>
      </c>
      <c r="E163" s="798" t="s">
        <v>15733</v>
      </c>
      <c r="F163" s="798">
        <v>3</v>
      </c>
      <c r="G163" s="798" t="s">
        <v>1947</v>
      </c>
      <c r="H163" s="798" t="s">
        <v>1947</v>
      </c>
      <c r="I163" s="799">
        <v>18000</v>
      </c>
      <c r="J163" s="798">
        <v>1</v>
      </c>
      <c r="K163" s="799">
        <f t="shared" si="12"/>
        <v>18000</v>
      </c>
      <c r="L163" s="799">
        <f t="shared" si="13"/>
        <v>18000</v>
      </c>
      <c r="M163" s="799">
        <f t="shared" si="14"/>
        <v>18000</v>
      </c>
      <c r="N163" s="798" t="s">
        <v>15754</v>
      </c>
      <c r="O163" s="800">
        <f t="shared" si="15"/>
        <v>18000</v>
      </c>
      <c r="P163" s="800">
        <f t="shared" si="16"/>
        <v>18000</v>
      </c>
      <c r="Q163" s="801">
        <f t="shared" si="17"/>
        <v>18000</v>
      </c>
    </row>
    <row r="164" spans="1:17" x14ac:dyDescent="0.2">
      <c r="A164" s="802" t="s">
        <v>16071</v>
      </c>
      <c r="B164" s="803" t="s">
        <v>13918</v>
      </c>
      <c r="C164" s="803" t="s">
        <v>17513</v>
      </c>
      <c r="D164" s="803" t="s">
        <v>24347</v>
      </c>
      <c r="E164" s="803" t="s">
        <v>15731</v>
      </c>
      <c r="F164" s="803">
        <v>1</v>
      </c>
      <c r="G164" s="803" t="s">
        <v>1947</v>
      </c>
      <c r="H164" s="803" t="s">
        <v>1947</v>
      </c>
      <c r="I164" s="804">
        <v>4850</v>
      </c>
      <c r="J164" s="803">
        <v>1</v>
      </c>
      <c r="K164" s="804">
        <f t="shared" si="12"/>
        <v>4850</v>
      </c>
      <c r="L164" s="804">
        <f t="shared" si="13"/>
        <v>4850</v>
      </c>
      <c r="M164" s="804">
        <f t="shared" si="14"/>
        <v>4850</v>
      </c>
      <c r="N164" s="803" t="s">
        <v>15752</v>
      </c>
      <c r="O164" s="805">
        <f t="shared" si="15"/>
        <v>4850</v>
      </c>
      <c r="P164" s="805">
        <f t="shared" si="16"/>
        <v>4850</v>
      </c>
      <c r="Q164" s="806">
        <f t="shared" si="17"/>
        <v>4850</v>
      </c>
    </row>
    <row r="165" spans="1:17" x14ac:dyDescent="0.2">
      <c r="A165" s="797" t="s">
        <v>17622</v>
      </c>
      <c r="B165" s="798" t="s">
        <v>13918</v>
      </c>
      <c r="C165" s="798" t="s">
        <v>17513</v>
      </c>
      <c r="D165" s="798" t="s">
        <v>24347</v>
      </c>
      <c r="E165" s="798" t="s">
        <v>15732</v>
      </c>
      <c r="F165" s="798">
        <v>2</v>
      </c>
      <c r="G165" s="798" t="s">
        <v>1947</v>
      </c>
      <c r="H165" s="798" t="s">
        <v>1947</v>
      </c>
      <c r="I165" s="799">
        <v>7450</v>
      </c>
      <c r="J165" s="798">
        <v>1</v>
      </c>
      <c r="K165" s="799">
        <f t="shared" si="12"/>
        <v>7450</v>
      </c>
      <c r="L165" s="799">
        <f t="shared" si="13"/>
        <v>7450</v>
      </c>
      <c r="M165" s="799">
        <f t="shared" si="14"/>
        <v>7450</v>
      </c>
      <c r="N165" s="798" t="s">
        <v>15753</v>
      </c>
      <c r="O165" s="800">
        <f t="shared" si="15"/>
        <v>7450</v>
      </c>
      <c r="P165" s="800">
        <f t="shared" si="16"/>
        <v>7450</v>
      </c>
      <c r="Q165" s="801">
        <f t="shared" si="17"/>
        <v>7450</v>
      </c>
    </row>
    <row r="166" spans="1:17" x14ac:dyDescent="0.2">
      <c r="A166" s="802" t="s">
        <v>17623</v>
      </c>
      <c r="B166" s="803" t="s">
        <v>13918</v>
      </c>
      <c r="C166" s="803" t="s">
        <v>17513</v>
      </c>
      <c r="D166" s="803" t="s">
        <v>24347</v>
      </c>
      <c r="E166" s="803" t="s">
        <v>15733</v>
      </c>
      <c r="F166" s="803">
        <v>3</v>
      </c>
      <c r="G166" s="803" t="s">
        <v>1947</v>
      </c>
      <c r="H166" s="803" t="s">
        <v>1947</v>
      </c>
      <c r="I166" s="804">
        <v>18000</v>
      </c>
      <c r="J166" s="803">
        <v>1</v>
      </c>
      <c r="K166" s="804">
        <f t="shared" si="12"/>
        <v>18000</v>
      </c>
      <c r="L166" s="804">
        <f t="shared" si="13"/>
        <v>18000</v>
      </c>
      <c r="M166" s="804">
        <f t="shared" si="14"/>
        <v>18000</v>
      </c>
      <c r="N166" s="803" t="s">
        <v>15754</v>
      </c>
      <c r="O166" s="805">
        <f t="shared" si="15"/>
        <v>18000</v>
      </c>
      <c r="P166" s="805">
        <f t="shared" si="16"/>
        <v>18000</v>
      </c>
      <c r="Q166" s="806">
        <f t="shared" si="17"/>
        <v>18000</v>
      </c>
    </row>
    <row r="167" spans="1:17" x14ac:dyDescent="0.2">
      <c r="A167" s="797" t="s">
        <v>16074</v>
      </c>
      <c r="B167" s="798" t="s">
        <v>13918</v>
      </c>
      <c r="C167" s="798" t="s">
        <v>17513</v>
      </c>
      <c r="D167" s="798" t="s">
        <v>24348</v>
      </c>
      <c r="E167" s="798" t="s">
        <v>15731</v>
      </c>
      <c r="F167" s="798">
        <v>1</v>
      </c>
      <c r="G167" s="798" t="s">
        <v>1947</v>
      </c>
      <c r="H167" s="798" t="s">
        <v>1947</v>
      </c>
      <c r="I167" s="799">
        <v>4850</v>
      </c>
      <c r="J167" s="798">
        <v>1</v>
      </c>
      <c r="K167" s="799">
        <f t="shared" si="12"/>
        <v>4850</v>
      </c>
      <c r="L167" s="799">
        <f t="shared" si="13"/>
        <v>4850</v>
      </c>
      <c r="M167" s="799">
        <f t="shared" si="14"/>
        <v>4850</v>
      </c>
      <c r="N167" s="798" t="s">
        <v>15752</v>
      </c>
      <c r="O167" s="800">
        <f t="shared" si="15"/>
        <v>4850</v>
      </c>
      <c r="P167" s="800">
        <f t="shared" si="16"/>
        <v>4850</v>
      </c>
      <c r="Q167" s="801">
        <f t="shared" si="17"/>
        <v>4850</v>
      </c>
    </row>
    <row r="168" spans="1:17" x14ac:dyDescent="0.2">
      <c r="A168" s="802" t="s">
        <v>17624</v>
      </c>
      <c r="B168" s="803" t="s">
        <v>13918</v>
      </c>
      <c r="C168" s="803" t="s">
        <v>17513</v>
      </c>
      <c r="D168" s="803" t="s">
        <v>24348</v>
      </c>
      <c r="E168" s="803" t="s">
        <v>15732</v>
      </c>
      <c r="F168" s="803">
        <v>2</v>
      </c>
      <c r="G168" s="803" t="s">
        <v>1947</v>
      </c>
      <c r="H168" s="803" t="s">
        <v>1947</v>
      </c>
      <c r="I168" s="804">
        <v>7500</v>
      </c>
      <c r="J168" s="803">
        <v>1</v>
      </c>
      <c r="K168" s="804">
        <f t="shared" si="12"/>
        <v>7500</v>
      </c>
      <c r="L168" s="804">
        <f t="shared" si="13"/>
        <v>7500</v>
      </c>
      <c r="M168" s="804">
        <f t="shared" si="14"/>
        <v>7500</v>
      </c>
      <c r="N168" s="803" t="s">
        <v>15753</v>
      </c>
      <c r="O168" s="805">
        <f t="shared" si="15"/>
        <v>7500</v>
      </c>
      <c r="P168" s="805">
        <f t="shared" si="16"/>
        <v>7500</v>
      </c>
      <c r="Q168" s="806">
        <f t="shared" si="17"/>
        <v>7500</v>
      </c>
    </row>
    <row r="169" spans="1:17" x14ac:dyDescent="0.2">
      <c r="A169" s="797" t="s">
        <v>17625</v>
      </c>
      <c r="B169" s="798" t="s">
        <v>13918</v>
      </c>
      <c r="C169" s="798" t="s">
        <v>17513</v>
      </c>
      <c r="D169" s="798" t="s">
        <v>24348</v>
      </c>
      <c r="E169" s="798" t="s">
        <v>15733</v>
      </c>
      <c r="F169" s="798">
        <v>3</v>
      </c>
      <c r="G169" s="798" t="s">
        <v>1947</v>
      </c>
      <c r="H169" s="798" t="s">
        <v>1947</v>
      </c>
      <c r="I169" s="799">
        <v>18000</v>
      </c>
      <c r="J169" s="798">
        <v>1</v>
      </c>
      <c r="K169" s="799">
        <f t="shared" si="12"/>
        <v>18000</v>
      </c>
      <c r="L169" s="799">
        <f t="shared" si="13"/>
        <v>18000</v>
      </c>
      <c r="M169" s="799">
        <f t="shared" si="14"/>
        <v>18000</v>
      </c>
      <c r="N169" s="798" t="s">
        <v>15754</v>
      </c>
      <c r="O169" s="800">
        <f t="shared" si="15"/>
        <v>18000</v>
      </c>
      <c r="P169" s="800">
        <f t="shared" si="16"/>
        <v>18000</v>
      </c>
      <c r="Q169" s="801">
        <f t="shared" si="17"/>
        <v>18000</v>
      </c>
    </row>
    <row r="170" spans="1:17" x14ac:dyDescent="0.2">
      <c r="A170" s="802" t="s">
        <v>16081</v>
      </c>
      <c r="B170" s="803" t="s">
        <v>13918</v>
      </c>
      <c r="C170" s="803" t="s">
        <v>17513</v>
      </c>
      <c r="D170" s="803" t="s">
        <v>24349</v>
      </c>
      <c r="E170" s="803" t="s">
        <v>15731</v>
      </c>
      <c r="F170" s="803">
        <v>1</v>
      </c>
      <c r="G170" s="803" t="s">
        <v>1947</v>
      </c>
      <c r="H170" s="803" t="s">
        <v>1947</v>
      </c>
      <c r="I170" s="804">
        <v>4900</v>
      </c>
      <c r="J170" s="803">
        <v>1</v>
      </c>
      <c r="K170" s="804">
        <f t="shared" si="12"/>
        <v>4900</v>
      </c>
      <c r="L170" s="804">
        <f t="shared" si="13"/>
        <v>4900</v>
      </c>
      <c r="M170" s="804">
        <f t="shared" si="14"/>
        <v>4900</v>
      </c>
      <c r="N170" s="803" t="s">
        <v>15752</v>
      </c>
      <c r="O170" s="805">
        <f t="shared" si="15"/>
        <v>4900</v>
      </c>
      <c r="P170" s="805">
        <f t="shared" si="16"/>
        <v>4900</v>
      </c>
      <c r="Q170" s="806">
        <f t="shared" si="17"/>
        <v>4900</v>
      </c>
    </row>
    <row r="171" spans="1:17" x14ac:dyDescent="0.2">
      <c r="A171" s="797" t="s">
        <v>17626</v>
      </c>
      <c r="B171" s="798" t="s">
        <v>13918</v>
      </c>
      <c r="C171" s="798" t="s">
        <v>17513</v>
      </c>
      <c r="D171" s="798" t="s">
        <v>24349</v>
      </c>
      <c r="E171" s="798" t="s">
        <v>15732</v>
      </c>
      <c r="F171" s="798">
        <v>2</v>
      </c>
      <c r="G171" s="798" t="s">
        <v>1947</v>
      </c>
      <c r="H171" s="798" t="s">
        <v>1947</v>
      </c>
      <c r="I171" s="799">
        <v>7550</v>
      </c>
      <c r="J171" s="798">
        <v>1</v>
      </c>
      <c r="K171" s="799">
        <f t="shared" si="12"/>
        <v>7550</v>
      </c>
      <c r="L171" s="799">
        <f t="shared" si="13"/>
        <v>7550</v>
      </c>
      <c r="M171" s="799">
        <f t="shared" si="14"/>
        <v>7550</v>
      </c>
      <c r="N171" s="798" t="s">
        <v>15753</v>
      </c>
      <c r="O171" s="800">
        <f t="shared" si="15"/>
        <v>7550</v>
      </c>
      <c r="P171" s="800">
        <f t="shared" si="16"/>
        <v>7550</v>
      </c>
      <c r="Q171" s="801">
        <f t="shared" si="17"/>
        <v>7550</v>
      </c>
    </row>
    <row r="172" spans="1:17" x14ac:dyDescent="0.2">
      <c r="A172" s="802" t="s">
        <v>17627</v>
      </c>
      <c r="B172" s="803" t="s">
        <v>13918</v>
      </c>
      <c r="C172" s="803" t="s">
        <v>17513</v>
      </c>
      <c r="D172" s="803" t="s">
        <v>24349</v>
      </c>
      <c r="E172" s="803" t="s">
        <v>15733</v>
      </c>
      <c r="F172" s="803">
        <v>3</v>
      </c>
      <c r="G172" s="803" t="s">
        <v>1947</v>
      </c>
      <c r="H172" s="803" t="s">
        <v>1947</v>
      </c>
      <c r="I172" s="804">
        <v>18000</v>
      </c>
      <c r="J172" s="803">
        <v>1</v>
      </c>
      <c r="K172" s="804">
        <f t="shared" si="12"/>
        <v>18000</v>
      </c>
      <c r="L172" s="804">
        <f t="shared" si="13"/>
        <v>18000</v>
      </c>
      <c r="M172" s="804">
        <f t="shared" si="14"/>
        <v>18000</v>
      </c>
      <c r="N172" s="803" t="s">
        <v>15754</v>
      </c>
      <c r="O172" s="805">
        <f t="shared" si="15"/>
        <v>18000</v>
      </c>
      <c r="P172" s="805">
        <f t="shared" si="16"/>
        <v>18000</v>
      </c>
      <c r="Q172" s="806">
        <f t="shared" si="17"/>
        <v>18000</v>
      </c>
    </row>
    <row r="173" spans="1:17" x14ac:dyDescent="0.2">
      <c r="A173" s="797" t="s">
        <v>16084</v>
      </c>
      <c r="B173" s="798" t="s">
        <v>13918</v>
      </c>
      <c r="C173" s="798" t="s">
        <v>17513</v>
      </c>
      <c r="D173" s="798" t="s">
        <v>24350</v>
      </c>
      <c r="E173" s="798" t="s">
        <v>15731</v>
      </c>
      <c r="F173" s="798">
        <v>1</v>
      </c>
      <c r="G173" s="798" t="s">
        <v>1947</v>
      </c>
      <c r="H173" s="798" t="s">
        <v>1947</v>
      </c>
      <c r="I173" s="799">
        <v>4900</v>
      </c>
      <c r="J173" s="798">
        <v>1</v>
      </c>
      <c r="K173" s="799">
        <f t="shared" si="12"/>
        <v>4900</v>
      </c>
      <c r="L173" s="799">
        <f t="shared" si="13"/>
        <v>4900</v>
      </c>
      <c r="M173" s="799">
        <f t="shared" si="14"/>
        <v>4900</v>
      </c>
      <c r="N173" s="798" t="s">
        <v>15752</v>
      </c>
      <c r="O173" s="800">
        <f t="shared" si="15"/>
        <v>4900</v>
      </c>
      <c r="P173" s="800">
        <f t="shared" si="16"/>
        <v>4900</v>
      </c>
      <c r="Q173" s="801">
        <f t="shared" si="17"/>
        <v>4900</v>
      </c>
    </row>
    <row r="174" spans="1:17" x14ac:dyDescent="0.2">
      <c r="A174" s="802" t="s">
        <v>17628</v>
      </c>
      <c r="B174" s="803" t="s">
        <v>13918</v>
      </c>
      <c r="C174" s="803" t="s">
        <v>17513</v>
      </c>
      <c r="D174" s="803" t="s">
        <v>24350</v>
      </c>
      <c r="E174" s="803" t="s">
        <v>15732</v>
      </c>
      <c r="F174" s="803">
        <v>2</v>
      </c>
      <c r="G174" s="803" t="s">
        <v>1947</v>
      </c>
      <c r="H174" s="803" t="s">
        <v>1947</v>
      </c>
      <c r="I174" s="804">
        <v>7600</v>
      </c>
      <c r="J174" s="803">
        <v>1</v>
      </c>
      <c r="K174" s="804">
        <f t="shared" si="12"/>
        <v>7600</v>
      </c>
      <c r="L174" s="804">
        <f t="shared" si="13"/>
        <v>7600</v>
      </c>
      <c r="M174" s="804">
        <f t="shared" si="14"/>
        <v>7600</v>
      </c>
      <c r="N174" s="803" t="s">
        <v>15753</v>
      </c>
      <c r="O174" s="805">
        <f t="shared" si="15"/>
        <v>7600</v>
      </c>
      <c r="P174" s="805">
        <f t="shared" si="16"/>
        <v>7600</v>
      </c>
      <c r="Q174" s="806">
        <f t="shared" si="17"/>
        <v>7600</v>
      </c>
    </row>
    <row r="175" spans="1:17" x14ac:dyDescent="0.2">
      <c r="A175" s="797" t="s">
        <v>17629</v>
      </c>
      <c r="B175" s="798" t="s">
        <v>13918</v>
      </c>
      <c r="C175" s="798" t="s">
        <v>17513</v>
      </c>
      <c r="D175" s="798" t="s">
        <v>24350</v>
      </c>
      <c r="E175" s="798" t="s">
        <v>15733</v>
      </c>
      <c r="F175" s="798">
        <v>3</v>
      </c>
      <c r="G175" s="798" t="s">
        <v>1947</v>
      </c>
      <c r="H175" s="798" t="s">
        <v>1947</v>
      </c>
      <c r="I175" s="799">
        <v>18000</v>
      </c>
      <c r="J175" s="798">
        <v>1</v>
      </c>
      <c r="K175" s="799">
        <f t="shared" si="12"/>
        <v>18000</v>
      </c>
      <c r="L175" s="799">
        <f t="shared" si="13"/>
        <v>18000</v>
      </c>
      <c r="M175" s="799">
        <f t="shared" si="14"/>
        <v>18000</v>
      </c>
      <c r="N175" s="798" t="s">
        <v>15754</v>
      </c>
      <c r="O175" s="800">
        <f t="shared" si="15"/>
        <v>18000</v>
      </c>
      <c r="P175" s="800">
        <f t="shared" si="16"/>
        <v>18000</v>
      </c>
      <c r="Q175" s="801">
        <f t="shared" si="17"/>
        <v>18000</v>
      </c>
    </row>
    <row r="176" spans="1:17" x14ac:dyDescent="0.2">
      <c r="A176" s="802" t="s">
        <v>16090</v>
      </c>
      <c r="B176" s="803" t="s">
        <v>13918</v>
      </c>
      <c r="C176" s="803" t="s">
        <v>17513</v>
      </c>
      <c r="D176" s="803" t="s">
        <v>24351</v>
      </c>
      <c r="E176" s="803" t="s">
        <v>15731</v>
      </c>
      <c r="F176" s="803">
        <v>1</v>
      </c>
      <c r="G176" s="803" t="s">
        <v>1947</v>
      </c>
      <c r="H176" s="803" t="s">
        <v>1947</v>
      </c>
      <c r="I176" s="804">
        <v>4950</v>
      </c>
      <c r="J176" s="803">
        <v>1</v>
      </c>
      <c r="K176" s="804">
        <f t="shared" si="12"/>
        <v>4950</v>
      </c>
      <c r="L176" s="804">
        <f t="shared" si="13"/>
        <v>4950</v>
      </c>
      <c r="M176" s="804">
        <f t="shared" si="14"/>
        <v>4950</v>
      </c>
      <c r="N176" s="803" t="s">
        <v>15752</v>
      </c>
      <c r="O176" s="805">
        <f t="shared" si="15"/>
        <v>4950</v>
      </c>
      <c r="P176" s="805">
        <f t="shared" si="16"/>
        <v>4950</v>
      </c>
      <c r="Q176" s="806">
        <f t="shared" si="17"/>
        <v>4950</v>
      </c>
    </row>
    <row r="177" spans="1:17" x14ac:dyDescent="0.2">
      <c r="A177" s="797" t="s">
        <v>17630</v>
      </c>
      <c r="B177" s="798" t="s">
        <v>13918</v>
      </c>
      <c r="C177" s="798" t="s">
        <v>17513</v>
      </c>
      <c r="D177" s="798" t="s">
        <v>24351</v>
      </c>
      <c r="E177" s="798" t="s">
        <v>15732</v>
      </c>
      <c r="F177" s="798">
        <v>2</v>
      </c>
      <c r="G177" s="798" t="s">
        <v>1947</v>
      </c>
      <c r="H177" s="798" t="s">
        <v>1947</v>
      </c>
      <c r="I177" s="799">
        <v>7650</v>
      </c>
      <c r="J177" s="798">
        <v>1</v>
      </c>
      <c r="K177" s="799">
        <f t="shared" si="12"/>
        <v>7650</v>
      </c>
      <c r="L177" s="799">
        <f t="shared" si="13"/>
        <v>7650</v>
      </c>
      <c r="M177" s="799">
        <f t="shared" si="14"/>
        <v>7650</v>
      </c>
      <c r="N177" s="798" t="s">
        <v>15753</v>
      </c>
      <c r="O177" s="800">
        <f t="shared" si="15"/>
        <v>7650</v>
      </c>
      <c r="P177" s="800">
        <f t="shared" si="16"/>
        <v>7650</v>
      </c>
      <c r="Q177" s="801">
        <f t="shared" si="17"/>
        <v>7650</v>
      </c>
    </row>
    <row r="178" spans="1:17" x14ac:dyDescent="0.2">
      <c r="A178" s="802" t="s">
        <v>17631</v>
      </c>
      <c r="B178" s="803" t="s">
        <v>13918</v>
      </c>
      <c r="C178" s="803" t="s">
        <v>17513</v>
      </c>
      <c r="D178" s="803" t="s">
        <v>24351</v>
      </c>
      <c r="E178" s="803" t="s">
        <v>15733</v>
      </c>
      <c r="F178" s="803">
        <v>3</v>
      </c>
      <c r="G178" s="803" t="s">
        <v>1947</v>
      </c>
      <c r="H178" s="803" t="s">
        <v>1947</v>
      </c>
      <c r="I178" s="804">
        <v>18000</v>
      </c>
      <c r="J178" s="803">
        <v>1</v>
      </c>
      <c r="K178" s="804">
        <f t="shared" si="12"/>
        <v>18000</v>
      </c>
      <c r="L178" s="804">
        <f t="shared" si="13"/>
        <v>18000</v>
      </c>
      <c r="M178" s="804">
        <f t="shared" si="14"/>
        <v>18000</v>
      </c>
      <c r="N178" s="803" t="s">
        <v>15754</v>
      </c>
      <c r="O178" s="805">
        <f t="shared" si="15"/>
        <v>18000</v>
      </c>
      <c r="P178" s="805">
        <f t="shared" si="16"/>
        <v>18000</v>
      </c>
      <c r="Q178" s="806">
        <f t="shared" si="17"/>
        <v>18000</v>
      </c>
    </row>
    <row r="179" spans="1:17" x14ac:dyDescent="0.2">
      <c r="A179" s="797" t="s">
        <v>16093</v>
      </c>
      <c r="B179" s="798" t="s">
        <v>13918</v>
      </c>
      <c r="C179" s="798" t="s">
        <v>17513</v>
      </c>
      <c r="D179" s="798" t="s">
        <v>24352</v>
      </c>
      <c r="E179" s="798" t="s">
        <v>15731</v>
      </c>
      <c r="F179" s="798">
        <v>1</v>
      </c>
      <c r="G179" s="798" t="s">
        <v>1947</v>
      </c>
      <c r="H179" s="798" t="s">
        <v>1947</v>
      </c>
      <c r="I179" s="799">
        <v>4950</v>
      </c>
      <c r="J179" s="798">
        <v>1</v>
      </c>
      <c r="K179" s="799">
        <f t="shared" si="12"/>
        <v>4950</v>
      </c>
      <c r="L179" s="799">
        <f t="shared" si="13"/>
        <v>4950</v>
      </c>
      <c r="M179" s="799">
        <f t="shared" si="14"/>
        <v>4950</v>
      </c>
      <c r="N179" s="798" t="s">
        <v>15752</v>
      </c>
      <c r="O179" s="800">
        <f t="shared" si="15"/>
        <v>4950</v>
      </c>
      <c r="P179" s="800">
        <f t="shared" si="16"/>
        <v>4950</v>
      </c>
      <c r="Q179" s="801">
        <f t="shared" si="17"/>
        <v>4950</v>
      </c>
    </row>
    <row r="180" spans="1:17" x14ac:dyDescent="0.2">
      <c r="A180" s="802" t="s">
        <v>17632</v>
      </c>
      <c r="B180" s="803" t="s">
        <v>13918</v>
      </c>
      <c r="C180" s="803" t="s">
        <v>17513</v>
      </c>
      <c r="D180" s="803" t="s">
        <v>24352</v>
      </c>
      <c r="E180" s="803" t="s">
        <v>15732</v>
      </c>
      <c r="F180" s="803">
        <v>2</v>
      </c>
      <c r="G180" s="803" t="s">
        <v>1947</v>
      </c>
      <c r="H180" s="803" t="s">
        <v>1947</v>
      </c>
      <c r="I180" s="804">
        <v>7700</v>
      </c>
      <c r="J180" s="803">
        <v>1</v>
      </c>
      <c r="K180" s="804">
        <f t="shared" si="12"/>
        <v>7700</v>
      </c>
      <c r="L180" s="804">
        <f t="shared" si="13"/>
        <v>7700</v>
      </c>
      <c r="M180" s="804">
        <f t="shared" si="14"/>
        <v>7700</v>
      </c>
      <c r="N180" s="803" t="s">
        <v>15753</v>
      </c>
      <c r="O180" s="805">
        <f t="shared" si="15"/>
        <v>7700</v>
      </c>
      <c r="P180" s="805">
        <f t="shared" si="16"/>
        <v>7700</v>
      </c>
      <c r="Q180" s="806">
        <f t="shared" si="17"/>
        <v>7700</v>
      </c>
    </row>
    <row r="181" spans="1:17" x14ac:dyDescent="0.2">
      <c r="A181" s="797" t="s">
        <v>17633</v>
      </c>
      <c r="B181" s="798" t="s">
        <v>13918</v>
      </c>
      <c r="C181" s="798" t="s">
        <v>17513</v>
      </c>
      <c r="D181" s="798" t="s">
        <v>24352</v>
      </c>
      <c r="E181" s="798" t="s">
        <v>15733</v>
      </c>
      <c r="F181" s="798">
        <v>3</v>
      </c>
      <c r="G181" s="798" t="s">
        <v>1947</v>
      </c>
      <c r="H181" s="798" t="s">
        <v>1947</v>
      </c>
      <c r="I181" s="799">
        <v>18000</v>
      </c>
      <c r="J181" s="798">
        <v>1</v>
      </c>
      <c r="K181" s="799">
        <f t="shared" si="12"/>
        <v>18000</v>
      </c>
      <c r="L181" s="799">
        <f t="shared" si="13"/>
        <v>18000</v>
      </c>
      <c r="M181" s="799">
        <f t="shared" si="14"/>
        <v>18000</v>
      </c>
      <c r="N181" s="798" t="s">
        <v>15754</v>
      </c>
      <c r="O181" s="800">
        <f t="shared" si="15"/>
        <v>18000</v>
      </c>
      <c r="P181" s="800">
        <f t="shared" si="16"/>
        <v>18000</v>
      </c>
      <c r="Q181" s="801">
        <f t="shared" si="17"/>
        <v>18000</v>
      </c>
    </row>
    <row r="182" spans="1:17" x14ac:dyDescent="0.2">
      <c r="A182" s="802" t="s">
        <v>16096</v>
      </c>
      <c r="B182" s="803" t="s">
        <v>13918</v>
      </c>
      <c r="C182" s="803" t="s">
        <v>17513</v>
      </c>
      <c r="D182" s="803" t="s">
        <v>24353</v>
      </c>
      <c r="E182" s="803" t="s">
        <v>15731</v>
      </c>
      <c r="F182" s="803">
        <v>1</v>
      </c>
      <c r="G182" s="803" t="s">
        <v>1947</v>
      </c>
      <c r="H182" s="803" t="s">
        <v>1947</v>
      </c>
      <c r="I182" s="804">
        <v>6000</v>
      </c>
      <c r="J182" s="803">
        <v>1</v>
      </c>
      <c r="K182" s="804">
        <f t="shared" si="12"/>
        <v>6000</v>
      </c>
      <c r="L182" s="804">
        <f t="shared" si="13"/>
        <v>6000</v>
      </c>
      <c r="M182" s="804">
        <f t="shared" si="14"/>
        <v>6000</v>
      </c>
      <c r="N182" s="803" t="s">
        <v>15752</v>
      </c>
      <c r="O182" s="805">
        <f t="shared" si="15"/>
        <v>6000</v>
      </c>
      <c r="P182" s="805">
        <f t="shared" si="16"/>
        <v>6000</v>
      </c>
      <c r="Q182" s="806">
        <f t="shared" si="17"/>
        <v>6000</v>
      </c>
    </row>
    <row r="183" spans="1:17" x14ac:dyDescent="0.2">
      <c r="A183" s="797" t="s">
        <v>17634</v>
      </c>
      <c r="B183" s="798" t="s">
        <v>13918</v>
      </c>
      <c r="C183" s="798" t="s">
        <v>17513</v>
      </c>
      <c r="D183" s="798" t="s">
        <v>24353</v>
      </c>
      <c r="E183" s="798" t="s">
        <v>15732</v>
      </c>
      <c r="F183" s="798">
        <v>2</v>
      </c>
      <c r="G183" s="798" t="s">
        <v>1947</v>
      </c>
      <c r="H183" s="798" t="s">
        <v>1947</v>
      </c>
      <c r="I183" s="799">
        <v>8700</v>
      </c>
      <c r="J183" s="798">
        <v>1</v>
      </c>
      <c r="K183" s="799">
        <f t="shared" si="12"/>
        <v>8700</v>
      </c>
      <c r="L183" s="799">
        <f t="shared" si="13"/>
        <v>8700</v>
      </c>
      <c r="M183" s="799">
        <f t="shared" si="14"/>
        <v>8700</v>
      </c>
      <c r="N183" s="798" t="s">
        <v>15753</v>
      </c>
      <c r="O183" s="800">
        <f t="shared" si="15"/>
        <v>8700</v>
      </c>
      <c r="P183" s="800">
        <f t="shared" si="16"/>
        <v>8700</v>
      </c>
      <c r="Q183" s="801">
        <f t="shared" si="17"/>
        <v>8700</v>
      </c>
    </row>
    <row r="184" spans="1:17" x14ac:dyDescent="0.2">
      <c r="A184" s="802" t="s">
        <v>17635</v>
      </c>
      <c r="B184" s="803" t="s">
        <v>13918</v>
      </c>
      <c r="C184" s="803" t="s">
        <v>17513</v>
      </c>
      <c r="D184" s="803" t="s">
        <v>24353</v>
      </c>
      <c r="E184" s="803" t="s">
        <v>15733</v>
      </c>
      <c r="F184" s="803">
        <v>3</v>
      </c>
      <c r="G184" s="803" t="s">
        <v>1947</v>
      </c>
      <c r="H184" s="803" t="s">
        <v>1947</v>
      </c>
      <c r="I184" s="804">
        <v>21000</v>
      </c>
      <c r="J184" s="803">
        <v>1</v>
      </c>
      <c r="K184" s="804">
        <f t="shared" si="12"/>
        <v>21000</v>
      </c>
      <c r="L184" s="804">
        <f t="shared" si="13"/>
        <v>21000</v>
      </c>
      <c r="M184" s="804">
        <f t="shared" si="14"/>
        <v>21000</v>
      </c>
      <c r="N184" s="803" t="s">
        <v>15754</v>
      </c>
      <c r="O184" s="805">
        <f t="shared" si="15"/>
        <v>21000</v>
      </c>
      <c r="P184" s="805">
        <f t="shared" si="16"/>
        <v>21000</v>
      </c>
      <c r="Q184" s="806">
        <f t="shared" si="17"/>
        <v>21000</v>
      </c>
    </row>
    <row r="185" spans="1:17" x14ac:dyDescent="0.2">
      <c r="A185" s="797" t="s">
        <v>16100</v>
      </c>
      <c r="B185" s="798" t="s">
        <v>13918</v>
      </c>
      <c r="C185" s="798" t="s">
        <v>17513</v>
      </c>
      <c r="D185" s="798" t="s">
        <v>24354</v>
      </c>
      <c r="E185" s="798" t="s">
        <v>15731</v>
      </c>
      <c r="F185" s="798">
        <v>1</v>
      </c>
      <c r="G185" s="798" t="s">
        <v>1947</v>
      </c>
      <c r="H185" s="798" t="s">
        <v>1947</v>
      </c>
      <c r="I185" s="799">
        <v>6300</v>
      </c>
      <c r="J185" s="798">
        <v>1</v>
      </c>
      <c r="K185" s="799">
        <f t="shared" si="12"/>
        <v>6300</v>
      </c>
      <c r="L185" s="799">
        <f t="shared" si="13"/>
        <v>6300</v>
      </c>
      <c r="M185" s="799">
        <f t="shared" si="14"/>
        <v>6300</v>
      </c>
      <c r="N185" s="798" t="s">
        <v>15752</v>
      </c>
      <c r="O185" s="800">
        <f t="shared" si="15"/>
        <v>6300</v>
      </c>
      <c r="P185" s="800">
        <f t="shared" si="16"/>
        <v>6300</v>
      </c>
      <c r="Q185" s="801">
        <f t="shared" si="17"/>
        <v>6300</v>
      </c>
    </row>
    <row r="186" spans="1:17" x14ac:dyDescent="0.2">
      <c r="A186" s="802" t="s">
        <v>17636</v>
      </c>
      <c r="B186" s="803" t="s">
        <v>13918</v>
      </c>
      <c r="C186" s="803" t="s">
        <v>17513</v>
      </c>
      <c r="D186" s="803" t="s">
        <v>24354</v>
      </c>
      <c r="E186" s="803" t="s">
        <v>15732</v>
      </c>
      <c r="F186" s="803">
        <v>2</v>
      </c>
      <c r="G186" s="803" t="s">
        <v>1947</v>
      </c>
      <c r="H186" s="803" t="s">
        <v>1947</v>
      </c>
      <c r="I186" s="804">
        <v>9000</v>
      </c>
      <c r="J186" s="803">
        <v>1</v>
      </c>
      <c r="K186" s="804">
        <f t="shared" si="12"/>
        <v>9000</v>
      </c>
      <c r="L186" s="804">
        <f t="shared" si="13"/>
        <v>9000</v>
      </c>
      <c r="M186" s="804">
        <f t="shared" si="14"/>
        <v>9000</v>
      </c>
      <c r="N186" s="803" t="s">
        <v>15753</v>
      </c>
      <c r="O186" s="805">
        <f t="shared" si="15"/>
        <v>9000</v>
      </c>
      <c r="P186" s="805">
        <f t="shared" si="16"/>
        <v>9000</v>
      </c>
      <c r="Q186" s="806">
        <f t="shared" si="17"/>
        <v>9000</v>
      </c>
    </row>
    <row r="187" spans="1:17" x14ac:dyDescent="0.2">
      <c r="A187" s="797" t="s">
        <v>17637</v>
      </c>
      <c r="B187" s="798" t="s">
        <v>13918</v>
      </c>
      <c r="C187" s="798" t="s">
        <v>17513</v>
      </c>
      <c r="D187" s="798" t="s">
        <v>24354</v>
      </c>
      <c r="E187" s="798" t="s">
        <v>15733</v>
      </c>
      <c r="F187" s="798">
        <v>3</v>
      </c>
      <c r="G187" s="798" t="s">
        <v>1947</v>
      </c>
      <c r="H187" s="798" t="s">
        <v>1947</v>
      </c>
      <c r="I187" s="799">
        <v>21000</v>
      </c>
      <c r="J187" s="798">
        <v>1</v>
      </c>
      <c r="K187" s="799">
        <f t="shared" si="12"/>
        <v>21000</v>
      </c>
      <c r="L187" s="799">
        <f t="shared" si="13"/>
        <v>21000</v>
      </c>
      <c r="M187" s="799">
        <f t="shared" si="14"/>
        <v>21000</v>
      </c>
      <c r="N187" s="798" t="s">
        <v>15754</v>
      </c>
      <c r="O187" s="800">
        <f t="shared" si="15"/>
        <v>21000</v>
      </c>
      <c r="P187" s="800">
        <f t="shared" si="16"/>
        <v>21000</v>
      </c>
      <c r="Q187" s="801">
        <f t="shared" si="17"/>
        <v>21000</v>
      </c>
    </row>
    <row r="188" spans="1:17" x14ac:dyDescent="0.2">
      <c r="A188" s="802" t="s">
        <v>16107</v>
      </c>
      <c r="B188" s="803" t="s">
        <v>13918</v>
      </c>
      <c r="C188" s="803" t="s">
        <v>17513</v>
      </c>
      <c r="D188" s="803" t="s">
        <v>24355</v>
      </c>
      <c r="E188" s="803" t="s">
        <v>15731</v>
      </c>
      <c r="F188" s="803">
        <v>1</v>
      </c>
      <c r="G188" s="803" t="s">
        <v>1947</v>
      </c>
      <c r="H188" s="803" t="s">
        <v>1947</v>
      </c>
      <c r="I188" s="804">
        <v>5000</v>
      </c>
      <c r="J188" s="803">
        <v>1</v>
      </c>
      <c r="K188" s="804">
        <f t="shared" si="12"/>
        <v>5000</v>
      </c>
      <c r="L188" s="804">
        <f t="shared" si="13"/>
        <v>5000</v>
      </c>
      <c r="M188" s="804">
        <f t="shared" si="14"/>
        <v>5000</v>
      </c>
      <c r="N188" s="803" t="s">
        <v>15752</v>
      </c>
      <c r="O188" s="805">
        <f t="shared" si="15"/>
        <v>5000</v>
      </c>
      <c r="P188" s="805">
        <f t="shared" si="16"/>
        <v>5000</v>
      </c>
      <c r="Q188" s="806">
        <f t="shared" si="17"/>
        <v>5000</v>
      </c>
    </row>
    <row r="189" spans="1:17" x14ac:dyDescent="0.2">
      <c r="A189" s="797" t="s">
        <v>17638</v>
      </c>
      <c r="B189" s="798" t="s">
        <v>13918</v>
      </c>
      <c r="C189" s="798" t="s">
        <v>17513</v>
      </c>
      <c r="D189" s="798" t="s">
        <v>24355</v>
      </c>
      <c r="E189" s="798" t="s">
        <v>15732</v>
      </c>
      <c r="F189" s="798">
        <v>2</v>
      </c>
      <c r="G189" s="798" t="s">
        <v>1947</v>
      </c>
      <c r="H189" s="798" t="s">
        <v>1947</v>
      </c>
      <c r="I189" s="799">
        <v>7800</v>
      </c>
      <c r="J189" s="798">
        <v>1</v>
      </c>
      <c r="K189" s="799">
        <f t="shared" si="12"/>
        <v>7800</v>
      </c>
      <c r="L189" s="799">
        <f t="shared" si="13"/>
        <v>7800</v>
      </c>
      <c r="M189" s="799">
        <f t="shared" si="14"/>
        <v>7800</v>
      </c>
      <c r="N189" s="798" t="s">
        <v>15753</v>
      </c>
      <c r="O189" s="800">
        <f t="shared" si="15"/>
        <v>7800</v>
      </c>
      <c r="P189" s="800">
        <f t="shared" si="16"/>
        <v>7800</v>
      </c>
      <c r="Q189" s="801">
        <f t="shared" si="17"/>
        <v>7800</v>
      </c>
    </row>
    <row r="190" spans="1:17" x14ac:dyDescent="0.2">
      <c r="A190" s="802" t="s">
        <v>17639</v>
      </c>
      <c r="B190" s="803" t="s">
        <v>13918</v>
      </c>
      <c r="C190" s="803" t="s">
        <v>17513</v>
      </c>
      <c r="D190" s="803" t="s">
        <v>24355</v>
      </c>
      <c r="E190" s="803" t="s">
        <v>15733</v>
      </c>
      <c r="F190" s="803">
        <v>3</v>
      </c>
      <c r="G190" s="803" t="s">
        <v>1947</v>
      </c>
      <c r="H190" s="803" t="s">
        <v>1947</v>
      </c>
      <c r="I190" s="804">
        <v>18000</v>
      </c>
      <c r="J190" s="803">
        <v>1</v>
      </c>
      <c r="K190" s="804">
        <f t="shared" si="12"/>
        <v>18000</v>
      </c>
      <c r="L190" s="804">
        <f t="shared" si="13"/>
        <v>18000</v>
      </c>
      <c r="M190" s="804">
        <f t="shared" si="14"/>
        <v>18000</v>
      </c>
      <c r="N190" s="803" t="s">
        <v>15754</v>
      </c>
      <c r="O190" s="805">
        <f t="shared" si="15"/>
        <v>18000</v>
      </c>
      <c r="P190" s="805">
        <f t="shared" si="16"/>
        <v>18000</v>
      </c>
      <c r="Q190" s="806">
        <f t="shared" si="17"/>
        <v>18000</v>
      </c>
    </row>
    <row r="191" spans="1:17" x14ac:dyDescent="0.2">
      <c r="A191" s="797" t="s">
        <v>16110</v>
      </c>
      <c r="B191" s="798" t="s">
        <v>13918</v>
      </c>
      <c r="C191" s="798" t="s">
        <v>17513</v>
      </c>
      <c r="D191" s="798" t="s">
        <v>24356</v>
      </c>
      <c r="E191" s="798" t="s">
        <v>15731</v>
      </c>
      <c r="F191" s="798">
        <v>1</v>
      </c>
      <c r="G191" s="798" t="s">
        <v>1947</v>
      </c>
      <c r="H191" s="798" t="s">
        <v>1947</v>
      </c>
      <c r="I191" s="799">
        <v>5000</v>
      </c>
      <c r="J191" s="798">
        <v>1</v>
      </c>
      <c r="K191" s="799">
        <f t="shared" si="12"/>
        <v>5000</v>
      </c>
      <c r="L191" s="799">
        <f t="shared" si="13"/>
        <v>5000</v>
      </c>
      <c r="M191" s="799">
        <f t="shared" si="14"/>
        <v>5000</v>
      </c>
      <c r="N191" s="798" t="s">
        <v>15752</v>
      </c>
      <c r="O191" s="800">
        <f t="shared" si="15"/>
        <v>5000</v>
      </c>
      <c r="P191" s="800">
        <f t="shared" si="16"/>
        <v>5000</v>
      </c>
      <c r="Q191" s="801">
        <f t="shared" si="17"/>
        <v>5000</v>
      </c>
    </row>
    <row r="192" spans="1:17" x14ac:dyDescent="0.2">
      <c r="A192" s="802" t="s">
        <v>17640</v>
      </c>
      <c r="B192" s="803" t="s">
        <v>13918</v>
      </c>
      <c r="C192" s="803" t="s">
        <v>17513</v>
      </c>
      <c r="D192" s="803" t="s">
        <v>24356</v>
      </c>
      <c r="E192" s="803" t="s">
        <v>15732</v>
      </c>
      <c r="F192" s="803">
        <v>2</v>
      </c>
      <c r="G192" s="803" t="s">
        <v>1947</v>
      </c>
      <c r="H192" s="803" t="s">
        <v>1947</v>
      </c>
      <c r="I192" s="804">
        <v>7850</v>
      </c>
      <c r="J192" s="803">
        <v>1</v>
      </c>
      <c r="K192" s="804">
        <f t="shared" si="12"/>
        <v>7850</v>
      </c>
      <c r="L192" s="804">
        <f t="shared" si="13"/>
        <v>7850</v>
      </c>
      <c r="M192" s="804">
        <f t="shared" si="14"/>
        <v>7850</v>
      </c>
      <c r="N192" s="803" t="s">
        <v>15753</v>
      </c>
      <c r="O192" s="805">
        <f t="shared" si="15"/>
        <v>7850</v>
      </c>
      <c r="P192" s="805">
        <f t="shared" si="16"/>
        <v>7850</v>
      </c>
      <c r="Q192" s="806">
        <f t="shared" si="17"/>
        <v>7850</v>
      </c>
    </row>
    <row r="193" spans="1:17" x14ac:dyDescent="0.2">
      <c r="A193" s="797" t="s">
        <v>17641</v>
      </c>
      <c r="B193" s="798" t="s">
        <v>13918</v>
      </c>
      <c r="C193" s="798" t="s">
        <v>17513</v>
      </c>
      <c r="D193" s="798" t="s">
        <v>24356</v>
      </c>
      <c r="E193" s="798" t="s">
        <v>15733</v>
      </c>
      <c r="F193" s="798">
        <v>3</v>
      </c>
      <c r="G193" s="798" t="s">
        <v>1947</v>
      </c>
      <c r="H193" s="798" t="s">
        <v>1947</v>
      </c>
      <c r="I193" s="799">
        <v>18000</v>
      </c>
      <c r="J193" s="798">
        <v>1</v>
      </c>
      <c r="K193" s="799">
        <f t="shared" si="12"/>
        <v>18000</v>
      </c>
      <c r="L193" s="799">
        <f t="shared" si="13"/>
        <v>18000</v>
      </c>
      <c r="M193" s="799">
        <f t="shared" si="14"/>
        <v>18000</v>
      </c>
      <c r="N193" s="798" t="s">
        <v>15754</v>
      </c>
      <c r="O193" s="800">
        <f t="shared" si="15"/>
        <v>18000</v>
      </c>
      <c r="P193" s="800">
        <f t="shared" si="16"/>
        <v>18000</v>
      </c>
      <c r="Q193" s="801">
        <f t="shared" si="17"/>
        <v>18000</v>
      </c>
    </row>
    <row r="194" spans="1:17" x14ac:dyDescent="0.2">
      <c r="A194" s="802" t="s">
        <v>16113</v>
      </c>
      <c r="B194" s="803" t="s">
        <v>13918</v>
      </c>
      <c r="C194" s="803" t="s">
        <v>17513</v>
      </c>
      <c r="D194" s="803" t="s">
        <v>24357</v>
      </c>
      <c r="E194" s="803" t="s">
        <v>15731</v>
      </c>
      <c r="F194" s="803">
        <v>1</v>
      </c>
      <c r="G194" s="803" t="s">
        <v>2837</v>
      </c>
      <c r="H194" s="803" t="s">
        <v>2837</v>
      </c>
      <c r="I194" s="804">
        <v>5050</v>
      </c>
      <c r="J194" s="803">
        <v>1</v>
      </c>
      <c r="K194" s="804">
        <f t="shared" ref="K194:K257" si="18">+I194</f>
        <v>5050</v>
      </c>
      <c r="L194" s="804">
        <f t="shared" ref="L194:L257" si="19">+I194</f>
        <v>5050</v>
      </c>
      <c r="M194" s="804">
        <f t="shared" ref="M194:M257" si="20">+I194</f>
        <v>5050</v>
      </c>
      <c r="N194" s="803" t="s">
        <v>15752</v>
      </c>
      <c r="O194" s="805">
        <f t="shared" ref="O194:O257" si="21">+J194*K194</f>
        <v>5050</v>
      </c>
      <c r="P194" s="805">
        <f t="shared" ref="P194:P257" si="22">+J194*L194</f>
        <v>5050</v>
      </c>
      <c r="Q194" s="806">
        <f t="shared" ref="Q194:Q257" si="23">+J194*M194</f>
        <v>5050</v>
      </c>
    </row>
    <row r="195" spans="1:17" x14ac:dyDescent="0.2">
      <c r="A195" s="797" t="s">
        <v>17642</v>
      </c>
      <c r="B195" s="798" t="s">
        <v>13918</v>
      </c>
      <c r="C195" s="798" t="s">
        <v>17513</v>
      </c>
      <c r="D195" s="798" t="s">
        <v>24357</v>
      </c>
      <c r="E195" s="798" t="s">
        <v>15732</v>
      </c>
      <c r="F195" s="798">
        <v>2</v>
      </c>
      <c r="G195" s="798" t="s">
        <v>2837</v>
      </c>
      <c r="H195" s="798" t="s">
        <v>2837</v>
      </c>
      <c r="I195" s="799">
        <v>7900</v>
      </c>
      <c r="J195" s="798">
        <v>1</v>
      </c>
      <c r="K195" s="799">
        <f t="shared" si="18"/>
        <v>7900</v>
      </c>
      <c r="L195" s="799">
        <f t="shared" si="19"/>
        <v>7900</v>
      </c>
      <c r="M195" s="799">
        <f t="shared" si="20"/>
        <v>7900</v>
      </c>
      <c r="N195" s="798" t="s">
        <v>15753</v>
      </c>
      <c r="O195" s="800">
        <f t="shared" si="21"/>
        <v>7900</v>
      </c>
      <c r="P195" s="800">
        <f t="shared" si="22"/>
        <v>7900</v>
      </c>
      <c r="Q195" s="801">
        <f t="shared" si="23"/>
        <v>7900</v>
      </c>
    </row>
    <row r="196" spans="1:17" x14ac:dyDescent="0.2">
      <c r="A196" s="802" t="s">
        <v>17643</v>
      </c>
      <c r="B196" s="803" t="s">
        <v>13918</v>
      </c>
      <c r="C196" s="803" t="s">
        <v>17513</v>
      </c>
      <c r="D196" s="803" t="s">
        <v>24357</v>
      </c>
      <c r="E196" s="803" t="s">
        <v>15733</v>
      </c>
      <c r="F196" s="803">
        <v>3</v>
      </c>
      <c r="G196" s="803" t="s">
        <v>2837</v>
      </c>
      <c r="H196" s="803" t="s">
        <v>2837</v>
      </c>
      <c r="I196" s="804">
        <v>18000</v>
      </c>
      <c r="J196" s="803">
        <v>1</v>
      </c>
      <c r="K196" s="804">
        <f t="shared" si="18"/>
        <v>18000</v>
      </c>
      <c r="L196" s="804">
        <f t="shared" si="19"/>
        <v>18000</v>
      </c>
      <c r="M196" s="804">
        <f t="shared" si="20"/>
        <v>18000</v>
      </c>
      <c r="N196" s="803" t="s">
        <v>15754</v>
      </c>
      <c r="O196" s="805">
        <f t="shared" si="21"/>
        <v>18000</v>
      </c>
      <c r="P196" s="805">
        <f t="shared" si="22"/>
        <v>18000</v>
      </c>
      <c r="Q196" s="806">
        <f t="shared" si="23"/>
        <v>18000</v>
      </c>
    </row>
    <row r="197" spans="1:17" x14ac:dyDescent="0.2">
      <c r="A197" s="797" t="s">
        <v>16119</v>
      </c>
      <c r="B197" s="798" t="s">
        <v>13918</v>
      </c>
      <c r="C197" s="798" t="s">
        <v>17513</v>
      </c>
      <c r="D197" s="798" t="s">
        <v>24358</v>
      </c>
      <c r="E197" s="798" t="s">
        <v>15731</v>
      </c>
      <c r="F197" s="798">
        <v>1</v>
      </c>
      <c r="G197" s="798" t="s">
        <v>1947</v>
      </c>
      <c r="H197" s="798" t="s">
        <v>1947</v>
      </c>
      <c r="I197" s="799">
        <v>5100</v>
      </c>
      <c r="J197" s="798">
        <v>1</v>
      </c>
      <c r="K197" s="799">
        <f t="shared" si="18"/>
        <v>5100</v>
      </c>
      <c r="L197" s="799">
        <f t="shared" si="19"/>
        <v>5100</v>
      </c>
      <c r="M197" s="799">
        <f t="shared" si="20"/>
        <v>5100</v>
      </c>
      <c r="N197" s="798" t="s">
        <v>15752</v>
      </c>
      <c r="O197" s="800">
        <f t="shared" si="21"/>
        <v>5100</v>
      </c>
      <c r="P197" s="800">
        <f t="shared" si="22"/>
        <v>5100</v>
      </c>
      <c r="Q197" s="801">
        <f t="shared" si="23"/>
        <v>5100</v>
      </c>
    </row>
    <row r="198" spans="1:17" x14ac:dyDescent="0.2">
      <c r="A198" s="802" t="s">
        <v>17644</v>
      </c>
      <c r="B198" s="803" t="s">
        <v>13918</v>
      </c>
      <c r="C198" s="803" t="s">
        <v>17513</v>
      </c>
      <c r="D198" s="803" t="s">
        <v>24358</v>
      </c>
      <c r="E198" s="803" t="s">
        <v>15732</v>
      </c>
      <c r="F198" s="803">
        <v>2</v>
      </c>
      <c r="G198" s="803" t="s">
        <v>1947</v>
      </c>
      <c r="H198" s="803" t="s">
        <v>1947</v>
      </c>
      <c r="I198" s="804">
        <v>8000</v>
      </c>
      <c r="J198" s="803">
        <v>1</v>
      </c>
      <c r="K198" s="804">
        <f t="shared" si="18"/>
        <v>8000</v>
      </c>
      <c r="L198" s="804">
        <f t="shared" si="19"/>
        <v>8000</v>
      </c>
      <c r="M198" s="804">
        <f t="shared" si="20"/>
        <v>8000</v>
      </c>
      <c r="N198" s="803" t="s">
        <v>15753</v>
      </c>
      <c r="O198" s="805">
        <f t="shared" si="21"/>
        <v>8000</v>
      </c>
      <c r="P198" s="805">
        <f t="shared" si="22"/>
        <v>8000</v>
      </c>
      <c r="Q198" s="806">
        <f t="shared" si="23"/>
        <v>8000</v>
      </c>
    </row>
    <row r="199" spans="1:17" x14ac:dyDescent="0.2">
      <c r="A199" s="797" t="s">
        <v>17645</v>
      </c>
      <c r="B199" s="798" t="s">
        <v>13918</v>
      </c>
      <c r="C199" s="798" t="s">
        <v>17513</v>
      </c>
      <c r="D199" s="798" t="s">
        <v>24358</v>
      </c>
      <c r="E199" s="798" t="s">
        <v>15733</v>
      </c>
      <c r="F199" s="798">
        <v>3</v>
      </c>
      <c r="G199" s="798" t="s">
        <v>1947</v>
      </c>
      <c r="H199" s="798" t="s">
        <v>1947</v>
      </c>
      <c r="I199" s="799">
        <v>18000</v>
      </c>
      <c r="J199" s="798">
        <v>1</v>
      </c>
      <c r="K199" s="799">
        <f t="shared" si="18"/>
        <v>18000</v>
      </c>
      <c r="L199" s="799">
        <f t="shared" si="19"/>
        <v>18000</v>
      </c>
      <c r="M199" s="799">
        <f t="shared" si="20"/>
        <v>18000</v>
      </c>
      <c r="N199" s="798" t="s">
        <v>15754</v>
      </c>
      <c r="O199" s="800">
        <f t="shared" si="21"/>
        <v>18000</v>
      </c>
      <c r="P199" s="800">
        <f t="shared" si="22"/>
        <v>18000</v>
      </c>
      <c r="Q199" s="801">
        <f t="shared" si="23"/>
        <v>18000</v>
      </c>
    </row>
    <row r="200" spans="1:17" x14ac:dyDescent="0.2">
      <c r="A200" s="802" t="s">
        <v>16123</v>
      </c>
      <c r="B200" s="803" t="s">
        <v>13918</v>
      </c>
      <c r="C200" s="803" t="s">
        <v>17513</v>
      </c>
      <c r="D200" s="803" t="s">
        <v>24359</v>
      </c>
      <c r="E200" s="803" t="s">
        <v>15731</v>
      </c>
      <c r="F200" s="803">
        <v>1</v>
      </c>
      <c r="G200" s="803" t="s">
        <v>1947</v>
      </c>
      <c r="H200" s="803" t="s">
        <v>1947</v>
      </c>
      <c r="I200" s="804">
        <v>5200</v>
      </c>
      <c r="J200" s="803">
        <v>1</v>
      </c>
      <c r="K200" s="804">
        <f t="shared" si="18"/>
        <v>5200</v>
      </c>
      <c r="L200" s="804">
        <f t="shared" si="19"/>
        <v>5200</v>
      </c>
      <c r="M200" s="804">
        <f t="shared" si="20"/>
        <v>5200</v>
      </c>
      <c r="N200" s="803" t="s">
        <v>15752</v>
      </c>
      <c r="O200" s="805">
        <f t="shared" si="21"/>
        <v>5200</v>
      </c>
      <c r="P200" s="805">
        <f t="shared" si="22"/>
        <v>5200</v>
      </c>
      <c r="Q200" s="806">
        <f t="shared" si="23"/>
        <v>5200</v>
      </c>
    </row>
    <row r="201" spans="1:17" x14ac:dyDescent="0.2">
      <c r="A201" s="797" t="s">
        <v>17646</v>
      </c>
      <c r="B201" s="798" t="s">
        <v>13918</v>
      </c>
      <c r="C201" s="798" t="s">
        <v>17513</v>
      </c>
      <c r="D201" s="798" t="s">
        <v>24359</v>
      </c>
      <c r="E201" s="798" t="s">
        <v>15732</v>
      </c>
      <c r="F201" s="798">
        <v>2</v>
      </c>
      <c r="G201" s="798" t="s">
        <v>1947</v>
      </c>
      <c r="H201" s="798" t="s">
        <v>1947</v>
      </c>
      <c r="I201" s="799">
        <v>8100</v>
      </c>
      <c r="J201" s="798">
        <v>1</v>
      </c>
      <c r="K201" s="799">
        <f t="shared" si="18"/>
        <v>8100</v>
      </c>
      <c r="L201" s="799">
        <f t="shared" si="19"/>
        <v>8100</v>
      </c>
      <c r="M201" s="799">
        <f t="shared" si="20"/>
        <v>8100</v>
      </c>
      <c r="N201" s="798" t="s">
        <v>15753</v>
      </c>
      <c r="O201" s="800">
        <f t="shared" si="21"/>
        <v>8100</v>
      </c>
      <c r="P201" s="800">
        <f t="shared" si="22"/>
        <v>8100</v>
      </c>
      <c r="Q201" s="801">
        <f t="shared" si="23"/>
        <v>8100</v>
      </c>
    </row>
    <row r="202" spans="1:17" x14ac:dyDescent="0.2">
      <c r="A202" s="802" t="s">
        <v>17647</v>
      </c>
      <c r="B202" s="803" t="s">
        <v>13918</v>
      </c>
      <c r="C202" s="803" t="s">
        <v>17513</v>
      </c>
      <c r="D202" s="803" t="s">
        <v>24359</v>
      </c>
      <c r="E202" s="803" t="s">
        <v>15733</v>
      </c>
      <c r="F202" s="803">
        <v>3</v>
      </c>
      <c r="G202" s="803" t="s">
        <v>1947</v>
      </c>
      <c r="H202" s="803" t="s">
        <v>1947</v>
      </c>
      <c r="I202" s="804">
        <v>18000</v>
      </c>
      <c r="J202" s="803">
        <v>1</v>
      </c>
      <c r="K202" s="804">
        <f t="shared" si="18"/>
        <v>18000</v>
      </c>
      <c r="L202" s="804">
        <f t="shared" si="19"/>
        <v>18000</v>
      </c>
      <c r="M202" s="804">
        <f t="shared" si="20"/>
        <v>18000</v>
      </c>
      <c r="N202" s="803" t="s">
        <v>15754</v>
      </c>
      <c r="O202" s="805">
        <f t="shared" si="21"/>
        <v>18000</v>
      </c>
      <c r="P202" s="805">
        <f t="shared" si="22"/>
        <v>18000</v>
      </c>
      <c r="Q202" s="806">
        <f t="shared" si="23"/>
        <v>18000</v>
      </c>
    </row>
    <row r="203" spans="1:17" x14ac:dyDescent="0.2">
      <c r="A203" s="797" t="s">
        <v>16126</v>
      </c>
      <c r="B203" s="798" t="s">
        <v>13918</v>
      </c>
      <c r="C203" s="798" t="s">
        <v>17513</v>
      </c>
      <c r="D203" s="798" t="s">
        <v>24360</v>
      </c>
      <c r="E203" s="798" t="s">
        <v>15731</v>
      </c>
      <c r="F203" s="798">
        <v>1</v>
      </c>
      <c r="G203" s="798" t="s">
        <v>2837</v>
      </c>
      <c r="H203" s="798" t="s">
        <v>2837</v>
      </c>
      <c r="I203" s="799">
        <v>5500</v>
      </c>
      <c r="J203" s="798">
        <v>1</v>
      </c>
      <c r="K203" s="799">
        <f t="shared" si="18"/>
        <v>5500</v>
      </c>
      <c r="L203" s="799">
        <f t="shared" si="19"/>
        <v>5500</v>
      </c>
      <c r="M203" s="799">
        <f t="shared" si="20"/>
        <v>5500</v>
      </c>
      <c r="N203" s="798" t="s">
        <v>15752</v>
      </c>
      <c r="O203" s="800">
        <f t="shared" si="21"/>
        <v>5500</v>
      </c>
      <c r="P203" s="800">
        <f t="shared" si="22"/>
        <v>5500</v>
      </c>
      <c r="Q203" s="801">
        <f t="shared" si="23"/>
        <v>5500</v>
      </c>
    </row>
    <row r="204" spans="1:17" x14ac:dyDescent="0.2">
      <c r="A204" s="802" t="s">
        <v>17648</v>
      </c>
      <c r="B204" s="803" t="s">
        <v>13918</v>
      </c>
      <c r="C204" s="803" t="s">
        <v>17513</v>
      </c>
      <c r="D204" s="803" t="s">
        <v>24360</v>
      </c>
      <c r="E204" s="803" t="s">
        <v>15732</v>
      </c>
      <c r="F204" s="803">
        <v>2</v>
      </c>
      <c r="G204" s="803" t="s">
        <v>2837</v>
      </c>
      <c r="H204" s="803" t="s">
        <v>2837</v>
      </c>
      <c r="I204" s="804">
        <v>8500</v>
      </c>
      <c r="J204" s="803">
        <v>1</v>
      </c>
      <c r="K204" s="804">
        <f t="shared" si="18"/>
        <v>8500</v>
      </c>
      <c r="L204" s="804">
        <f t="shared" si="19"/>
        <v>8500</v>
      </c>
      <c r="M204" s="804">
        <f t="shared" si="20"/>
        <v>8500</v>
      </c>
      <c r="N204" s="803" t="s">
        <v>15753</v>
      </c>
      <c r="O204" s="805">
        <f t="shared" si="21"/>
        <v>8500</v>
      </c>
      <c r="P204" s="805">
        <f t="shared" si="22"/>
        <v>8500</v>
      </c>
      <c r="Q204" s="806">
        <f t="shared" si="23"/>
        <v>8500</v>
      </c>
    </row>
    <row r="205" spans="1:17" x14ac:dyDescent="0.2">
      <c r="A205" s="797" t="s">
        <v>17649</v>
      </c>
      <c r="B205" s="798" t="s">
        <v>13918</v>
      </c>
      <c r="C205" s="798" t="s">
        <v>17513</v>
      </c>
      <c r="D205" s="798" t="s">
        <v>24360</v>
      </c>
      <c r="E205" s="798" t="s">
        <v>15733</v>
      </c>
      <c r="F205" s="798">
        <v>3</v>
      </c>
      <c r="G205" s="798" t="s">
        <v>2837</v>
      </c>
      <c r="H205" s="798" t="s">
        <v>2837</v>
      </c>
      <c r="I205" s="799">
        <v>18000</v>
      </c>
      <c r="J205" s="798">
        <v>1</v>
      </c>
      <c r="K205" s="799">
        <f t="shared" si="18"/>
        <v>18000</v>
      </c>
      <c r="L205" s="799">
        <f t="shared" si="19"/>
        <v>18000</v>
      </c>
      <c r="M205" s="799">
        <f t="shared" si="20"/>
        <v>18000</v>
      </c>
      <c r="N205" s="798" t="s">
        <v>15754</v>
      </c>
      <c r="O205" s="800">
        <f t="shared" si="21"/>
        <v>18000</v>
      </c>
      <c r="P205" s="800">
        <f t="shared" si="22"/>
        <v>18000</v>
      </c>
      <c r="Q205" s="801">
        <f t="shared" si="23"/>
        <v>18000</v>
      </c>
    </row>
    <row r="206" spans="1:17" x14ac:dyDescent="0.2">
      <c r="A206" s="802" t="s">
        <v>16138</v>
      </c>
      <c r="B206" s="803" t="s">
        <v>13918</v>
      </c>
      <c r="C206" s="803" t="s">
        <v>17513</v>
      </c>
      <c r="D206" s="803" t="s">
        <v>24361</v>
      </c>
      <c r="E206" s="803" t="s">
        <v>15731</v>
      </c>
      <c r="F206" s="803">
        <v>1</v>
      </c>
      <c r="G206" s="803" t="s">
        <v>1103</v>
      </c>
      <c r="H206" s="803" t="s">
        <v>1103</v>
      </c>
      <c r="I206" s="804">
        <v>5600</v>
      </c>
      <c r="J206" s="803">
        <v>1</v>
      </c>
      <c r="K206" s="804">
        <f t="shared" si="18"/>
        <v>5600</v>
      </c>
      <c r="L206" s="804">
        <f t="shared" si="19"/>
        <v>5600</v>
      </c>
      <c r="M206" s="804">
        <f t="shared" si="20"/>
        <v>5600</v>
      </c>
      <c r="N206" s="803" t="s">
        <v>15753</v>
      </c>
      <c r="O206" s="805">
        <f t="shared" si="21"/>
        <v>5600</v>
      </c>
      <c r="P206" s="805">
        <f t="shared" si="22"/>
        <v>5600</v>
      </c>
      <c r="Q206" s="806">
        <f t="shared" si="23"/>
        <v>5600</v>
      </c>
    </row>
    <row r="207" spans="1:17" x14ac:dyDescent="0.2">
      <c r="A207" s="797" t="s">
        <v>17650</v>
      </c>
      <c r="B207" s="798" t="s">
        <v>13918</v>
      </c>
      <c r="C207" s="798" t="s">
        <v>17513</v>
      </c>
      <c r="D207" s="798" t="s">
        <v>24361</v>
      </c>
      <c r="E207" s="798" t="s">
        <v>15732</v>
      </c>
      <c r="F207" s="798">
        <v>2</v>
      </c>
      <c r="G207" s="798" t="s">
        <v>1103</v>
      </c>
      <c r="H207" s="798" t="s">
        <v>1103</v>
      </c>
      <c r="I207" s="799">
        <v>8450</v>
      </c>
      <c r="J207" s="798">
        <v>1</v>
      </c>
      <c r="K207" s="799">
        <f t="shared" si="18"/>
        <v>8450</v>
      </c>
      <c r="L207" s="799">
        <f t="shared" si="19"/>
        <v>8450</v>
      </c>
      <c r="M207" s="799">
        <f t="shared" si="20"/>
        <v>8450</v>
      </c>
      <c r="N207" s="798" t="s">
        <v>16141</v>
      </c>
      <c r="O207" s="800">
        <f t="shared" si="21"/>
        <v>8450</v>
      </c>
      <c r="P207" s="800">
        <f t="shared" si="22"/>
        <v>8450</v>
      </c>
      <c r="Q207" s="801">
        <f t="shared" si="23"/>
        <v>8450</v>
      </c>
    </row>
    <row r="208" spans="1:17" x14ac:dyDescent="0.2">
      <c r="A208" s="802" t="s">
        <v>17651</v>
      </c>
      <c r="B208" s="803" t="s">
        <v>13918</v>
      </c>
      <c r="C208" s="803" t="s">
        <v>17513</v>
      </c>
      <c r="D208" s="803" t="s">
        <v>24361</v>
      </c>
      <c r="E208" s="803" t="s">
        <v>15733</v>
      </c>
      <c r="F208" s="803">
        <v>3</v>
      </c>
      <c r="G208" s="803" t="s">
        <v>1103</v>
      </c>
      <c r="H208" s="803" t="s">
        <v>1103</v>
      </c>
      <c r="I208" s="804">
        <v>18000</v>
      </c>
      <c r="J208" s="803">
        <v>1</v>
      </c>
      <c r="K208" s="804">
        <f t="shared" si="18"/>
        <v>18000</v>
      </c>
      <c r="L208" s="804">
        <f t="shared" si="19"/>
        <v>18000</v>
      </c>
      <c r="M208" s="804">
        <f t="shared" si="20"/>
        <v>18000</v>
      </c>
      <c r="N208" s="803" t="s">
        <v>15754</v>
      </c>
      <c r="O208" s="805">
        <f t="shared" si="21"/>
        <v>18000</v>
      </c>
      <c r="P208" s="805">
        <f t="shared" si="22"/>
        <v>18000</v>
      </c>
      <c r="Q208" s="806">
        <f t="shared" si="23"/>
        <v>18000</v>
      </c>
    </row>
    <row r="209" spans="1:17" x14ac:dyDescent="0.2">
      <c r="A209" s="797" t="s">
        <v>16142</v>
      </c>
      <c r="B209" s="798" t="s">
        <v>13918</v>
      </c>
      <c r="C209" s="798" t="s">
        <v>17513</v>
      </c>
      <c r="D209" s="798" t="s">
        <v>24362</v>
      </c>
      <c r="E209" s="798" t="s">
        <v>15731</v>
      </c>
      <c r="F209" s="798">
        <v>1</v>
      </c>
      <c r="G209" s="798" t="s">
        <v>1103</v>
      </c>
      <c r="H209" s="798" t="s">
        <v>1103</v>
      </c>
      <c r="I209" s="799">
        <v>5600</v>
      </c>
      <c r="J209" s="798">
        <v>1</v>
      </c>
      <c r="K209" s="799">
        <f t="shared" si="18"/>
        <v>5600</v>
      </c>
      <c r="L209" s="799">
        <f t="shared" si="19"/>
        <v>5600</v>
      </c>
      <c r="M209" s="799">
        <f t="shared" si="20"/>
        <v>5600</v>
      </c>
      <c r="N209" s="798" t="s">
        <v>15753</v>
      </c>
      <c r="O209" s="800">
        <f t="shared" si="21"/>
        <v>5600</v>
      </c>
      <c r="P209" s="800">
        <f t="shared" si="22"/>
        <v>5600</v>
      </c>
      <c r="Q209" s="801">
        <f t="shared" si="23"/>
        <v>5600</v>
      </c>
    </row>
    <row r="210" spans="1:17" x14ac:dyDescent="0.2">
      <c r="A210" s="802" t="s">
        <v>17652</v>
      </c>
      <c r="B210" s="803" t="s">
        <v>13918</v>
      </c>
      <c r="C210" s="803" t="s">
        <v>17513</v>
      </c>
      <c r="D210" s="803" t="s">
        <v>24362</v>
      </c>
      <c r="E210" s="803" t="s">
        <v>15732</v>
      </c>
      <c r="F210" s="803">
        <v>2</v>
      </c>
      <c r="G210" s="803" t="s">
        <v>1103</v>
      </c>
      <c r="H210" s="803" t="s">
        <v>1103</v>
      </c>
      <c r="I210" s="804">
        <v>8500</v>
      </c>
      <c r="J210" s="803">
        <v>1</v>
      </c>
      <c r="K210" s="804">
        <f t="shared" si="18"/>
        <v>8500</v>
      </c>
      <c r="L210" s="804">
        <f t="shared" si="19"/>
        <v>8500</v>
      </c>
      <c r="M210" s="804">
        <f t="shared" si="20"/>
        <v>8500</v>
      </c>
      <c r="N210" s="803" t="s">
        <v>16141</v>
      </c>
      <c r="O210" s="805">
        <f t="shared" si="21"/>
        <v>8500</v>
      </c>
      <c r="P210" s="805">
        <f t="shared" si="22"/>
        <v>8500</v>
      </c>
      <c r="Q210" s="806">
        <f t="shared" si="23"/>
        <v>8500</v>
      </c>
    </row>
    <row r="211" spans="1:17" x14ac:dyDescent="0.2">
      <c r="A211" s="797" t="s">
        <v>17653</v>
      </c>
      <c r="B211" s="798" t="s">
        <v>13918</v>
      </c>
      <c r="C211" s="798" t="s">
        <v>17513</v>
      </c>
      <c r="D211" s="798" t="s">
        <v>24362</v>
      </c>
      <c r="E211" s="798" t="s">
        <v>15733</v>
      </c>
      <c r="F211" s="798">
        <v>3</v>
      </c>
      <c r="G211" s="798" t="s">
        <v>1103</v>
      </c>
      <c r="H211" s="798" t="s">
        <v>1103</v>
      </c>
      <c r="I211" s="799">
        <v>18000</v>
      </c>
      <c r="J211" s="798">
        <v>1</v>
      </c>
      <c r="K211" s="799">
        <f t="shared" si="18"/>
        <v>18000</v>
      </c>
      <c r="L211" s="799">
        <f t="shared" si="19"/>
        <v>18000</v>
      </c>
      <c r="M211" s="799">
        <f t="shared" si="20"/>
        <v>18000</v>
      </c>
      <c r="N211" s="798" t="s">
        <v>15754</v>
      </c>
      <c r="O211" s="800">
        <f t="shared" si="21"/>
        <v>18000</v>
      </c>
      <c r="P211" s="800">
        <f t="shared" si="22"/>
        <v>18000</v>
      </c>
      <c r="Q211" s="801">
        <f t="shared" si="23"/>
        <v>18000</v>
      </c>
    </row>
    <row r="212" spans="1:17" x14ac:dyDescent="0.2">
      <c r="A212" s="802" t="s">
        <v>16149</v>
      </c>
      <c r="B212" s="803" t="s">
        <v>13918</v>
      </c>
      <c r="C212" s="803" t="s">
        <v>17513</v>
      </c>
      <c r="D212" s="803" t="s">
        <v>24363</v>
      </c>
      <c r="E212" s="803" t="s">
        <v>15731</v>
      </c>
      <c r="F212" s="803">
        <v>1</v>
      </c>
      <c r="G212" s="803" t="s">
        <v>1103</v>
      </c>
      <c r="H212" s="803" t="s">
        <v>1103</v>
      </c>
      <c r="I212" s="804">
        <v>5650</v>
      </c>
      <c r="J212" s="803">
        <v>1</v>
      </c>
      <c r="K212" s="804">
        <f t="shared" si="18"/>
        <v>5650</v>
      </c>
      <c r="L212" s="804">
        <f t="shared" si="19"/>
        <v>5650</v>
      </c>
      <c r="M212" s="804">
        <f t="shared" si="20"/>
        <v>5650</v>
      </c>
      <c r="N212" s="803" t="s">
        <v>15753</v>
      </c>
      <c r="O212" s="805">
        <f t="shared" si="21"/>
        <v>5650</v>
      </c>
      <c r="P212" s="805">
        <f t="shared" si="22"/>
        <v>5650</v>
      </c>
      <c r="Q212" s="806">
        <f t="shared" si="23"/>
        <v>5650</v>
      </c>
    </row>
    <row r="213" spans="1:17" x14ac:dyDescent="0.2">
      <c r="A213" s="797" t="s">
        <v>17654</v>
      </c>
      <c r="B213" s="798" t="s">
        <v>13918</v>
      </c>
      <c r="C213" s="798" t="s">
        <v>17513</v>
      </c>
      <c r="D213" s="798" t="s">
        <v>24363</v>
      </c>
      <c r="E213" s="798" t="s">
        <v>15732</v>
      </c>
      <c r="F213" s="798">
        <v>2</v>
      </c>
      <c r="G213" s="798" t="s">
        <v>1103</v>
      </c>
      <c r="H213" s="798" t="s">
        <v>1103</v>
      </c>
      <c r="I213" s="799">
        <v>8550</v>
      </c>
      <c r="J213" s="798">
        <v>1</v>
      </c>
      <c r="K213" s="799">
        <f t="shared" si="18"/>
        <v>8550</v>
      </c>
      <c r="L213" s="799">
        <f t="shared" si="19"/>
        <v>8550</v>
      </c>
      <c r="M213" s="799">
        <f t="shared" si="20"/>
        <v>8550</v>
      </c>
      <c r="N213" s="798" t="s">
        <v>16141</v>
      </c>
      <c r="O213" s="800">
        <f t="shared" si="21"/>
        <v>8550</v>
      </c>
      <c r="P213" s="800">
        <f t="shared" si="22"/>
        <v>8550</v>
      </c>
      <c r="Q213" s="801">
        <f t="shared" si="23"/>
        <v>8550</v>
      </c>
    </row>
    <row r="214" spans="1:17" x14ac:dyDescent="0.2">
      <c r="A214" s="802" t="s">
        <v>17655</v>
      </c>
      <c r="B214" s="803" t="s">
        <v>13918</v>
      </c>
      <c r="C214" s="803" t="s">
        <v>17513</v>
      </c>
      <c r="D214" s="803" t="s">
        <v>24363</v>
      </c>
      <c r="E214" s="803" t="s">
        <v>15733</v>
      </c>
      <c r="F214" s="803">
        <v>3</v>
      </c>
      <c r="G214" s="803" t="s">
        <v>1103</v>
      </c>
      <c r="H214" s="803" t="s">
        <v>1103</v>
      </c>
      <c r="I214" s="804">
        <v>18000</v>
      </c>
      <c r="J214" s="803">
        <v>1</v>
      </c>
      <c r="K214" s="804">
        <f t="shared" si="18"/>
        <v>18000</v>
      </c>
      <c r="L214" s="804">
        <f t="shared" si="19"/>
        <v>18000</v>
      </c>
      <c r="M214" s="804">
        <f t="shared" si="20"/>
        <v>18000</v>
      </c>
      <c r="N214" s="803" t="s">
        <v>15754</v>
      </c>
      <c r="O214" s="805">
        <f t="shared" si="21"/>
        <v>18000</v>
      </c>
      <c r="P214" s="805">
        <f t="shared" si="22"/>
        <v>18000</v>
      </c>
      <c r="Q214" s="806">
        <f t="shared" si="23"/>
        <v>18000</v>
      </c>
    </row>
    <row r="215" spans="1:17" x14ac:dyDescent="0.2">
      <c r="A215" s="797" t="s">
        <v>16152</v>
      </c>
      <c r="B215" s="798" t="s">
        <v>13918</v>
      </c>
      <c r="C215" s="798" t="s">
        <v>17513</v>
      </c>
      <c r="D215" s="798" t="s">
        <v>24364</v>
      </c>
      <c r="E215" s="798" t="s">
        <v>15731</v>
      </c>
      <c r="F215" s="798">
        <v>1</v>
      </c>
      <c r="G215" s="798" t="s">
        <v>1103</v>
      </c>
      <c r="H215" s="798" t="s">
        <v>1103</v>
      </c>
      <c r="I215" s="799">
        <v>5650</v>
      </c>
      <c r="J215" s="798">
        <v>1</v>
      </c>
      <c r="K215" s="799">
        <f t="shared" si="18"/>
        <v>5650</v>
      </c>
      <c r="L215" s="799">
        <f t="shared" si="19"/>
        <v>5650</v>
      </c>
      <c r="M215" s="799">
        <f t="shared" si="20"/>
        <v>5650</v>
      </c>
      <c r="N215" s="798" t="s">
        <v>15753</v>
      </c>
      <c r="O215" s="800">
        <f t="shared" si="21"/>
        <v>5650</v>
      </c>
      <c r="P215" s="800">
        <f t="shared" si="22"/>
        <v>5650</v>
      </c>
      <c r="Q215" s="801">
        <f t="shared" si="23"/>
        <v>5650</v>
      </c>
    </row>
    <row r="216" spans="1:17" x14ac:dyDescent="0.2">
      <c r="A216" s="802" t="s">
        <v>17656</v>
      </c>
      <c r="B216" s="803" t="s">
        <v>13918</v>
      </c>
      <c r="C216" s="803" t="s">
        <v>17513</v>
      </c>
      <c r="D216" s="803" t="s">
        <v>24364</v>
      </c>
      <c r="E216" s="803" t="s">
        <v>15732</v>
      </c>
      <c r="F216" s="803">
        <v>2</v>
      </c>
      <c r="G216" s="803" t="s">
        <v>1103</v>
      </c>
      <c r="H216" s="803" t="s">
        <v>1103</v>
      </c>
      <c r="I216" s="804">
        <v>8600</v>
      </c>
      <c r="J216" s="803">
        <v>1</v>
      </c>
      <c r="K216" s="804">
        <f t="shared" si="18"/>
        <v>8600</v>
      </c>
      <c r="L216" s="804">
        <f t="shared" si="19"/>
        <v>8600</v>
      </c>
      <c r="M216" s="804">
        <f t="shared" si="20"/>
        <v>8600</v>
      </c>
      <c r="N216" s="803" t="s">
        <v>16141</v>
      </c>
      <c r="O216" s="805">
        <f t="shared" si="21"/>
        <v>8600</v>
      </c>
      <c r="P216" s="805">
        <f t="shared" si="22"/>
        <v>8600</v>
      </c>
      <c r="Q216" s="806">
        <f t="shared" si="23"/>
        <v>8600</v>
      </c>
    </row>
    <row r="217" spans="1:17" x14ac:dyDescent="0.2">
      <c r="A217" s="797" t="s">
        <v>17657</v>
      </c>
      <c r="B217" s="798" t="s">
        <v>13918</v>
      </c>
      <c r="C217" s="798" t="s">
        <v>17513</v>
      </c>
      <c r="D217" s="798" t="s">
        <v>24364</v>
      </c>
      <c r="E217" s="798" t="s">
        <v>15733</v>
      </c>
      <c r="F217" s="798">
        <v>3</v>
      </c>
      <c r="G217" s="798" t="s">
        <v>1103</v>
      </c>
      <c r="H217" s="798" t="s">
        <v>1103</v>
      </c>
      <c r="I217" s="799">
        <v>18000</v>
      </c>
      <c r="J217" s="798">
        <v>1</v>
      </c>
      <c r="K217" s="799">
        <f t="shared" si="18"/>
        <v>18000</v>
      </c>
      <c r="L217" s="799">
        <f t="shared" si="19"/>
        <v>18000</v>
      </c>
      <c r="M217" s="799">
        <f t="shared" si="20"/>
        <v>18000</v>
      </c>
      <c r="N217" s="798" t="s">
        <v>15754</v>
      </c>
      <c r="O217" s="800">
        <f t="shared" si="21"/>
        <v>18000</v>
      </c>
      <c r="P217" s="800">
        <f t="shared" si="22"/>
        <v>18000</v>
      </c>
      <c r="Q217" s="801">
        <f t="shared" si="23"/>
        <v>18000</v>
      </c>
    </row>
    <row r="218" spans="1:17" x14ac:dyDescent="0.2">
      <c r="A218" s="802" t="s">
        <v>16159</v>
      </c>
      <c r="B218" s="803" t="s">
        <v>13918</v>
      </c>
      <c r="C218" s="803" t="s">
        <v>17513</v>
      </c>
      <c r="D218" s="803" t="s">
        <v>24365</v>
      </c>
      <c r="E218" s="803" t="s">
        <v>15731</v>
      </c>
      <c r="F218" s="803">
        <v>1</v>
      </c>
      <c r="G218" s="803" t="s">
        <v>1103</v>
      </c>
      <c r="H218" s="803" t="s">
        <v>1103</v>
      </c>
      <c r="I218" s="804">
        <v>5700</v>
      </c>
      <c r="J218" s="803">
        <v>1</v>
      </c>
      <c r="K218" s="804">
        <f t="shared" si="18"/>
        <v>5700</v>
      </c>
      <c r="L218" s="804">
        <f t="shared" si="19"/>
        <v>5700</v>
      </c>
      <c r="M218" s="804">
        <f t="shared" si="20"/>
        <v>5700</v>
      </c>
      <c r="N218" s="803" t="s">
        <v>15753</v>
      </c>
      <c r="O218" s="805">
        <f t="shared" si="21"/>
        <v>5700</v>
      </c>
      <c r="P218" s="805">
        <f t="shared" si="22"/>
        <v>5700</v>
      </c>
      <c r="Q218" s="806">
        <f t="shared" si="23"/>
        <v>5700</v>
      </c>
    </row>
    <row r="219" spans="1:17" x14ac:dyDescent="0.2">
      <c r="A219" s="797" t="s">
        <v>17658</v>
      </c>
      <c r="B219" s="798" t="s">
        <v>13918</v>
      </c>
      <c r="C219" s="798" t="s">
        <v>17513</v>
      </c>
      <c r="D219" s="798" t="s">
        <v>24365</v>
      </c>
      <c r="E219" s="798" t="s">
        <v>15732</v>
      </c>
      <c r="F219" s="798">
        <v>2</v>
      </c>
      <c r="G219" s="798" t="s">
        <v>1103</v>
      </c>
      <c r="H219" s="798" t="s">
        <v>1103</v>
      </c>
      <c r="I219" s="799">
        <v>8650</v>
      </c>
      <c r="J219" s="798">
        <v>1</v>
      </c>
      <c r="K219" s="799">
        <f t="shared" si="18"/>
        <v>8650</v>
      </c>
      <c r="L219" s="799">
        <f t="shared" si="19"/>
        <v>8650</v>
      </c>
      <c r="M219" s="799">
        <f t="shared" si="20"/>
        <v>8650</v>
      </c>
      <c r="N219" s="798" t="s">
        <v>16141</v>
      </c>
      <c r="O219" s="800">
        <f t="shared" si="21"/>
        <v>8650</v>
      </c>
      <c r="P219" s="800">
        <f t="shared" si="22"/>
        <v>8650</v>
      </c>
      <c r="Q219" s="801">
        <f t="shared" si="23"/>
        <v>8650</v>
      </c>
    </row>
    <row r="220" spans="1:17" x14ac:dyDescent="0.2">
      <c r="A220" s="802" t="s">
        <v>17659</v>
      </c>
      <c r="B220" s="803" t="s">
        <v>13918</v>
      </c>
      <c r="C220" s="803" t="s">
        <v>17513</v>
      </c>
      <c r="D220" s="803" t="s">
        <v>24365</v>
      </c>
      <c r="E220" s="803" t="s">
        <v>15733</v>
      </c>
      <c r="F220" s="803">
        <v>3</v>
      </c>
      <c r="G220" s="803" t="s">
        <v>1103</v>
      </c>
      <c r="H220" s="803" t="s">
        <v>1103</v>
      </c>
      <c r="I220" s="804">
        <v>18000</v>
      </c>
      <c r="J220" s="803">
        <v>1</v>
      </c>
      <c r="K220" s="804">
        <f t="shared" si="18"/>
        <v>18000</v>
      </c>
      <c r="L220" s="804">
        <f t="shared" si="19"/>
        <v>18000</v>
      </c>
      <c r="M220" s="804">
        <f t="shared" si="20"/>
        <v>18000</v>
      </c>
      <c r="N220" s="803" t="s">
        <v>15754</v>
      </c>
      <c r="O220" s="805">
        <f t="shared" si="21"/>
        <v>18000</v>
      </c>
      <c r="P220" s="805">
        <f t="shared" si="22"/>
        <v>18000</v>
      </c>
      <c r="Q220" s="806">
        <f t="shared" si="23"/>
        <v>18000</v>
      </c>
    </row>
    <row r="221" spans="1:17" x14ac:dyDescent="0.2">
      <c r="A221" s="797" t="s">
        <v>16162</v>
      </c>
      <c r="B221" s="798" t="s">
        <v>13918</v>
      </c>
      <c r="C221" s="798" t="s">
        <v>17513</v>
      </c>
      <c r="D221" s="798" t="s">
        <v>24366</v>
      </c>
      <c r="E221" s="798" t="s">
        <v>15731</v>
      </c>
      <c r="F221" s="798">
        <v>1</v>
      </c>
      <c r="G221" s="798" t="s">
        <v>1103</v>
      </c>
      <c r="H221" s="798" t="s">
        <v>1103</v>
      </c>
      <c r="I221" s="799">
        <v>5700</v>
      </c>
      <c r="J221" s="798">
        <v>1</v>
      </c>
      <c r="K221" s="799">
        <f t="shared" si="18"/>
        <v>5700</v>
      </c>
      <c r="L221" s="799">
        <f t="shared" si="19"/>
        <v>5700</v>
      </c>
      <c r="M221" s="799">
        <f t="shared" si="20"/>
        <v>5700</v>
      </c>
      <c r="N221" s="798" t="s">
        <v>15753</v>
      </c>
      <c r="O221" s="800">
        <f t="shared" si="21"/>
        <v>5700</v>
      </c>
      <c r="P221" s="800">
        <f t="shared" si="22"/>
        <v>5700</v>
      </c>
      <c r="Q221" s="801">
        <f t="shared" si="23"/>
        <v>5700</v>
      </c>
    </row>
    <row r="222" spans="1:17" x14ac:dyDescent="0.2">
      <c r="A222" s="802" t="s">
        <v>17660</v>
      </c>
      <c r="B222" s="803" t="s">
        <v>13918</v>
      </c>
      <c r="C222" s="803" t="s">
        <v>17513</v>
      </c>
      <c r="D222" s="803" t="s">
        <v>24366</v>
      </c>
      <c r="E222" s="803" t="s">
        <v>15732</v>
      </c>
      <c r="F222" s="803">
        <v>2</v>
      </c>
      <c r="G222" s="803" t="s">
        <v>1103</v>
      </c>
      <c r="H222" s="803" t="s">
        <v>1103</v>
      </c>
      <c r="I222" s="804">
        <v>8700</v>
      </c>
      <c r="J222" s="803">
        <v>1</v>
      </c>
      <c r="K222" s="804">
        <f t="shared" si="18"/>
        <v>8700</v>
      </c>
      <c r="L222" s="804">
        <f t="shared" si="19"/>
        <v>8700</v>
      </c>
      <c r="M222" s="804">
        <f t="shared" si="20"/>
        <v>8700</v>
      </c>
      <c r="N222" s="803" t="s">
        <v>16141</v>
      </c>
      <c r="O222" s="805">
        <f t="shared" si="21"/>
        <v>8700</v>
      </c>
      <c r="P222" s="805">
        <f t="shared" si="22"/>
        <v>8700</v>
      </c>
      <c r="Q222" s="806">
        <f t="shared" si="23"/>
        <v>8700</v>
      </c>
    </row>
    <row r="223" spans="1:17" x14ac:dyDescent="0.2">
      <c r="A223" s="797" t="s">
        <v>17661</v>
      </c>
      <c r="B223" s="798" t="s">
        <v>13918</v>
      </c>
      <c r="C223" s="798" t="s">
        <v>17513</v>
      </c>
      <c r="D223" s="798" t="s">
        <v>24366</v>
      </c>
      <c r="E223" s="798" t="s">
        <v>15733</v>
      </c>
      <c r="F223" s="798">
        <v>3</v>
      </c>
      <c r="G223" s="798" t="s">
        <v>1103</v>
      </c>
      <c r="H223" s="798" t="s">
        <v>1103</v>
      </c>
      <c r="I223" s="799">
        <v>18000</v>
      </c>
      <c r="J223" s="798">
        <v>1</v>
      </c>
      <c r="K223" s="799">
        <f t="shared" si="18"/>
        <v>18000</v>
      </c>
      <c r="L223" s="799">
        <f t="shared" si="19"/>
        <v>18000</v>
      </c>
      <c r="M223" s="799">
        <f t="shared" si="20"/>
        <v>18000</v>
      </c>
      <c r="N223" s="798" t="s">
        <v>15754</v>
      </c>
      <c r="O223" s="800">
        <f t="shared" si="21"/>
        <v>18000</v>
      </c>
      <c r="P223" s="800">
        <f t="shared" si="22"/>
        <v>18000</v>
      </c>
      <c r="Q223" s="801">
        <f t="shared" si="23"/>
        <v>18000</v>
      </c>
    </row>
    <row r="224" spans="1:17" x14ac:dyDescent="0.2">
      <c r="A224" s="802" t="s">
        <v>16168</v>
      </c>
      <c r="B224" s="803" t="s">
        <v>13918</v>
      </c>
      <c r="C224" s="803" t="s">
        <v>17513</v>
      </c>
      <c r="D224" s="803" t="s">
        <v>24367</v>
      </c>
      <c r="E224" s="803" t="s">
        <v>15731</v>
      </c>
      <c r="F224" s="803">
        <v>1</v>
      </c>
      <c r="G224" s="803" t="s">
        <v>1103</v>
      </c>
      <c r="H224" s="803" t="s">
        <v>1103</v>
      </c>
      <c r="I224" s="804">
        <v>5750</v>
      </c>
      <c r="J224" s="803">
        <v>1</v>
      </c>
      <c r="K224" s="804">
        <f t="shared" si="18"/>
        <v>5750</v>
      </c>
      <c r="L224" s="804">
        <f t="shared" si="19"/>
        <v>5750</v>
      </c>
      <c r="M224" s="804">
        <f t="shared" si="20"/>
        <v>5750</v>
      </c>
      <c r="N224" s="803" t="s">
        <v>15753</v>
      </c>
      <c r="O224" s="805">
        <f t="shared" si="21"/>
        <v>5750</v>
      </c>
      <c r="P224" s="805">
        <f t="shared" si="22"/>
        <v>5750</v>
      </c>
      <c r="Q224" s="806">
        <f t="shared" si="23"/>
        <v>5750</v>
      </c>
    </row>
    <row r="225" spans="1:17" x14ac:dyDescent="0.2">
      <c r="A225" s="797" t="s">
        <v>17662</v>
      </c>
      <c r="B225" s="798" t="s">
        <v>13918</v>
      </c>
      <c r="C225" s="798" t="s">
        <v>17513</v>
      </c>
      <c r="D225" s="798" t="s">
        <v>24367</v>
      </c>
      <c r="E225" s="798" t="s">
        <v>15732</v>
      </c>
      <c r="F225" s="798">
        <v>2</v>
      </c>
      <c r="G225" s="798" t="s">
        <v>1103</v>
      </c>
      <c r="H225" s="798" t="s">
        <v>1103</v>
      </c>
      <c r="I225" s="799">
        <v>8750</v>
      </c>
      <c r="J225" s="798">
        <v>1</v>
      </c>
      <c r="K225" s="799">
        <f t="shared" si="18"/>
        <v>8750</v>
      </c>
      <c r="L225" s="799">
        <f t="shared" si="19"/>
        <v>8750</v>
      </c>
      <c r="M225" s="799">
        <f t="shared" si="20"/>
        <v>8750</v>
      </c>
      <c r="N225" s="798" t="s">
        <v>16141</v>
      </c>
      <c r="O225" s="800">
        <f t="shared" si="21"/>
        <v>8750</v>
      </c>
      <c r="P225" s="800">
        <f t="shared" si="22"/>
        <v>8750</v>
      </c>
      <c r="Q225" s="801">
        <f t="shared" si="23"/>
        <v>8750</v>
      </c>
    </row>
    <row r="226" spans="1:17" x14ac:dyDescent="0.2">
      <c r="A226" s="802" t="s">
        <v>17663</v>
      </c>
      <c r="B226" s="803" t="s">
        <v>13918</v>
      </c>
      <c r="C226" s="803" t="s">
        <v>17513</v>
      </c>
      <c r="D226" s="803" t="s">
        <v>24367</v>
      </c>
      <c r="E226" s="803" t="s">
        <v>15733</v>
      </c>
      <c r="F226" s="803">
        <v>3</v>
      </c>
      <c r="G226" s="803" t="s">
        <v>1103</v>
      </c>
      <c r="H226" s="803" t="s">
        <v>1103</v>
      </c>
      <c r="I226" s="804">
        <v>18000</v>
      </c>
      <c r="J226" s="803">
        <v>1</v>
      </c>
      <c r="K226" s="804">
        <f t="shared" si="18"/>
        <v>18000</v>
      </c>
      <c r="L226" s="804">
        <f t="shared" si="19"/>
        <v>18000</v>
      </c>
      <c r="M226" s="804">
        <f t="shared" si="20"/>
        <v>18000</v>
      </c>
      <c r="N226" s="803" t="s">
        <v>15754</v>
      </c>
      <c r="O226" s="805">
        <f t="shared" si="21"/>
        <v>18000</v>
      </c>
      <c r="P226" s="805">
        <f t="shared" si="22"/>
        <v>18000</v>
      </c>
      <c r="Q226" s="806">
        <f t="shared" si="23"/>
        <v>18000</v>
      </c>
    </row>
    <row r="227" spans="1:17" x14ac:dyDescent="0.2">
      <c r="A227" s="797" t="s">
        <v>16171</v>
      </c>
      <c r="B227" s="798" t="s">
        <v>13918</v>
      </c>
      <c r="C227" s="798" t="s">
        <v>17513</v>
      </c>
      <c r="D227" s="798" t="s">
        <v>24368</v>
      </c>
      <c r="E227" s="798" t="s">
        <v>15731</v>
      </c>
      <c r="F227" s="798">
        <v>1</v>
      </c>
      <c r="G227" s="798" t="s">
        <v>1103</v>
      </c>
      <c r="H227" s="798" t="s">
        <v>1103</v>
      </c>
      <c r="I227" s="799">
        <v>5750</v>
      </c>
      <c r="J227" s="798">
        <v>1</v>
      </c>
      <c r="K227" s="799">
        <f t="shared" si="18"/>
        <v>5750</v>
      </c>
      <c r="L227" s="799">
        <f t="shared" si="19"/>
        <v>5750</v>
      </c>
      <c r="M227" s="799">
        <f t="shared" si="20"/>
        <v>5750</v>
      </c>
      <c r="N227" s="798" t="s">
        <v>15753</v>
      </c>
      <c r="O227" s="800">
        <f t="shared" si="21"/>
        <v>5750</v>
      </c>
      <c r="P227" s="800">
        <f t="shared" si="22"/>
        <v>5750</v>
      </c>
      <c r="Q227" s="801">
        <f t="shared" si="23"/>
        <v>5750</v>
      </c>
    </row>
    <row r="228" spans="1:17" x14ac:dyDescent="0.2">
      <c r="A228" s="802" t="s">
        <v>17664</v>
      </c>
      <c r="B228" s="803" t="s">
        <v>13918</v>
      </c>
      <c r="C228" s="803" t="s">
        <v>17513</v>
      </c>
      <c r="D228" s="803" t="s">
        <v>24368</v>
      </c>
      <c r="E228" s="803" t="s">
        <v>15732</v>
      </c>
      <c r="F228" s="803">
        <v>2</v>
      </c>
      <c r="G228" s="803" t="s">
        <v>1103</v>
      </c>
      <c r="H228" s="803" t="s">
        <v>1103</v>
      </c>
      <c r="I228" s="804">
        <v>8800</v>
      </c>
      <c r="J228" s="803">
        <v>1</v>
      </c>
      <c r="K228" s="804">
        <f t="shared" si="18"/>
        <v>8800</v>
      </c>
      <c r="L228" s="804">
        <f t="shared" si="19"/>
        <v>8800</v>
      </c>
      <c r="M228" s="804">
        <f t="shared" si="20"/>
        <v>8800</v>
      </c>
      <c r="N228" s="803" t="s">
        <v>16141</v>
      </c>
      <c r="O228" s="805">
        <f t="shared" si="21"/>
        <v>8800</v>
      </c>
      <c r="P228" s="805">
        <f t="shared" si="22"/>
        <v>8800</v>
      </c>
      <c r="Q228" s="806">
        <f t="shared" si="23"/>
        <v>8800</v>
      </c>
    </row>
    <row r="229" spans="1:17" x14ac:dyDescent="0.2">
      <c r="A229" s="797" t="s">
        <v>17665</v>
      </c>
      <c r="B229" s="798" t="s">
        <v>13918</v>
      </c>
      <c r="C229" s="798" t="s">
        <v>17513</v>
      </c>
      <c r="D229" s="798" t="s">
        <v>24368</v>
      </c>
      <c r="E229" s="798" t="s">
        <v>15733</v>
      </c>
      <c r="F229" s="798">
        <v>3</v>
      </c>
      <c r="G229" s="798" t="s">
        <v>1103</v>
      </c>
      <c r="H229" s="798" t="s">
        <v>1103</v>
      </c>
      <c r="I229" s="799">
        <v>18000</v>
      </c>
      <c r="J229" s="798">
        <v>1</v>
      </c>
      <c r="K229" s="799">
        <f t="shared" si="18"/>
        <v>18000</v>
      </c>
      <c r="L229" s="799">
        <f t="shared" si="19"/>
        <v>18000</v>
      </c>
      <c r="M229" s="799">
        <f t="shared" si="20"/>
        <v>18000</v>
      </c>
      <c r="N229" s="798" t="s">
        <v>15754</v>
      </c>
      <c r="O229" s="800">
        <f t="shared" si="21"/>
        <v>18000</v>
      </c>
      <c r="P229" s="800">
        <f t="shared" si="22"/>
        <v>18000</v>
      </c>
      <c r="Q229" s="801">
        <f t="shared" si="23"/>
        <v>18000</v>
      </c>
    </row>
    <row r="230" spans="1:17" x14ac:dyDescent="0.2">
      <c r="A230" s="802" t="s">
        <v>16174</v>
      </c>
      <c r="B230" s="803" t="s">
        <v>13918</v>
      </c>
      <c r="C230" s="803" t="s">
        <v>17513</v>
      </c>
      <c r="D230" s="803" t="s">
        <v>24369</v>
      </c>
      <c r="E230" s="803" t="s">
        <v>15731</v>
      </c>
      <c r="F230" s="803">
        <v>1</v>
      </c>
      <c r="G230" s="803" t="s">
        <v>1103</v>
      </c>
      <c r="H230" s="803" t="s">
        <v>1103</v>
      </c>
      <c r="I230" s="804">
        <v>6400</v>
      </c>
      <c r="J230" s="803">
        <v>1</v>
      </c>
      <c r="K230" s="804">
        <f t="shared" si="18"/>
        <v>6400</v>
      </c>
      <c r="L230" s="804">
        <f t="shared" si="19"/>
        <v>6400</v>
      </c>
      <c r="M230" s="804">
        <f t="shared" si="20"/>
        <v>6400</v>
      </c>
      <c r="N230" s="803" t="s">
        <v>15753</v>
      </c>
      <c r="O230" s="805">
        <f t="shared" si="21"/>
        <v>6400</v>
      </c>
      <c r="P230" s="805">
        <f t="shared" si="22"/>
        <v>6400</v>
      </c>
      <c r="Q230" s="806">
        <f t="shared" si="23"/>
        <v>6400</v>
      </c>
    </row>
    <row r="231" spans="1:17" x14ac:dyDescent="0.2">
      <c r="A231" s="797" t="s">
        <v>17666</v>
      </c>
      <c r="B231" s="798" t="s">
        <v>13918</v>
      </c>
      <c r="C231" s="798" t="s">
        <v>17513</v>
      </c>
      <c r="D231" s="798" t="s">
        <v>24369</v>
      </c>
      <c r="E231" s="798" t="s">
        <v>15732</v>
      </c>
      <c r="F231" s="798">
        <v>2</v>
      </c>
      <c r="G231" s="798" t="s">
        <v>1103</v>
      </c>
      <c r="H231" s="798" t="s">
        <v>1103</v>
      </c>
      <c r="I231" s="799">
        <v>9200</v>
      </c>
      <c r="J231" s="798">
        <v>1</v>
      </c>
      <c r="K231" s="799">
        <f t="shared" si="18"/>
        <v>9200</v>
      </c>
      <c r="L231" s="799">
        <f t="shared" si="19"/>
        <v>9200</v>
      </c>
      <c r="M231" s="799">
        <f t="shared" si="20"/>
        <v>9200</v>
      </c>
      <c r="N231" s="798" t="s">
        <v>16141</v>
      </c>
      <c r="O231" s="800">
        <f t="shared" si="21"/>
        <v>9200</v>
      </c>
      <c r="P231" s="800">
        <f t="shared" si="22"/>
        <v>9200</v>
      </c>
      <c r="Q231" s="801">
        <f t="shared" si="23"/>
        <v>9200</v>
      </c>
    </row>
    <row r="232" spans="1:17" x14ac:dyDescent="0.2">
      <c r="A232" s="802" t="s">
        <v>17667</v>
      </c>
      <c r="B232" s="803" t="s">
        <v>13918</v>
      </c>
      <c r="C232" s="803" t="s">
        <v>17513</v>
      </c>
      <c r="D232" s="803" t="s">
        <v>24369</v>
      </c>
      <c r="E232" s="803" t="s">
        <v>15733</v>
      </c>
      <c r="F232" s="803">
        <v>3</v>
      </c>
      <c r="G232" s="803" t="s">
        <v>1103</v>
      </c>
      <c r="H232" s="803" t="s">
        <v>1103</v>
      </c>
      <c r="I232" s="804">
        <v>21000</v>
      </c>
      <c r="J232" s="803">
        <v>1</v>
      </c>
      <c r="K232" s="804">
        <f t="shared" si="18"/>
        <v>21000</v>
      </c>
      <c r="L232" s="804">
        <f t="shared" si="19"/>
        <v>21000</v>
      </c>
      <c r="M232" s="804">
        <f t="shared" si="20"/>
        <v>21000</v>
      </c>
      <c r="N232" s="803" t="s">
        <v>15754</v>
      </c>
      <c r="O232" s="805">
        <f t="shared" si="21"/>
        <v>21000</v>
      </c>
      <c r="P232" s="805">
        <f t="shared" si="22"/>
        <v>21000</v>
      </c>
      <c r="Q232" s="806">
        <f t="shared" si="23"/>
        <v>21000</v>
      </c>
    </row>
    <row r="233" spans="1:17" x14ac:dyDescent="0.2">
      <c r="A233" s="797" t="s">
        <v>16183</v>
      </c>
      <c r="B233" s="798" t="s">
        <v>13918</v>
      </c>
      <c r="C233" s="798" t="s">
        <v>17513</v>
      </c>
      <c r="D233" s="798" t="s">
        <v>24370</v>
      </c>
      <c r="E233" s="798" t="s">
        <v>15731</v>
      </c>
      <c r="F233" s="798">
        <v>1</v>
      </c>
      <c r="G233" s="798" t="s">
        <v>1103</v>
      </c>
      <c r="H233" s="798" t="s">
        <v>1103</v>
      </c>
      <c r="I233" s="799">
        <v>5800</v>
      </c>
      <c r="J233" s="798">
        <v>1</v>
      </c>
      <c r="K233" s="799">
        <f t="shared" si="18"/>
        <v>5800</v>
      </c>
      <c r="L233" s="799">
        <f t="shared" si="19"/>
        <v>5800</v>
      </c>
      <c r="M233" s="799">
        <f t="shared" si="20"/>
        <v>5800</v>
      </c>
      <c r="N233" s="798" t="s">
        <v>15753</v>
      </c>
      <c r="O233" s="800">
        <f t="shared" si="21"/>
        <v>5800</v>
      </c>
      <c r="P233" s="800">
        <f t="shared" si="22"/>
        <v>5800</v>
      </c>
      <c r="Q233" s="801">
        <f t="shared" si="23"/>
        <v>5800</v>
      </c>
    </row>
    <row r="234" spans="1:17" x14ac:dyDescent="0.2">
      <c r="A234" s="802" t="s">
        <v>17668</v>
      </c>
      <c r="B234" s="803" t="s">
        <v>13918</v>
      </c>
      <c r="C234" s="803" t="s">
        <v>17513</v>
      </c>
      <c r="D234" s="803" t="s">
        <v>24370</v>
      </c>
      <c r="E234" s="803" t="s">
        <v>15732</v>
      </c>
      <c r="F234" s="803">
        <v>2</v>
      </c>
      <c r="G234" s="803" t="s">
        <v>1103</v>
      </c>
      <c r="H234" s="803" t="s">
        <v>1103</v>
      </c>
      <c r="I234" s="804">
        <v>8850</v>
      </c>
      <c r="J234" s="803">
        <v>1</v>
      </c>
      <c r="K234" s="804">
        <f t="shared" si="18"/>
        <v>8850</v>
      </c>
      <c r="L234" s="804">
        <f t="shared" si="19"/>
        <v>8850</v>
      </c>
      <c r="M234" s="804">
        <f t="shared" si="20"/>
        <v>8850</v>
      </c>
      <c r="N234" s="803" t="s">
        <v>16141</v>
      </c>
      <c r="O234" s="805">
        <f t="shared" si="21"/>
        <v>8850</v>
      </c>
      <c r="P234" s="805">
        <f t="shared" si="22"/>
        <v>8850</v>
      </c>
      <c r="Q234" s="806">
        <f t="shared" si="23"/>
        <v>8850</v>
      </c>
    </row>
    <row r="235" spans="1:17" x14ac:dyDescent="0.2">
      <c r="A235" s="797" t="s">
        <v>17669</v>
      </c>
      <c r="B235" s="798" t="s">
        <v>13918</v>
      </c>
      <c r="C235" s="798" t="s">
        <v>17513</v>
      </c>
      <c r="D235" s="798" t="s">
        <v>24370</v>
      </c>
      <c r="E235" s="798" t="s">
        <v>15733</v>
      </c>
      <c r="F235" s="798">
        <v>3</v>
      </c>
      <c r="G235" s="798" t="s">
        <v>1103</v>
      </c>
      <c r="H235" s="798" t="s">
        <v>1103</v>
      </c>
      <c r="I235" s="799">
        <v>18000</v>
      </c>
      <c r="J235" s="798">
        <v>1</v>
      </c>
      <c r="K235" s="799">
        <f t="shared" si="18"/>
        <v>18000</v>
      </c>
      <c r="L235" s="799">
        <f t="shared" si="19"/>
        <v>18000</v>
      </c>
      <c r="M235" s="799">
        <f t="shared" si="20"/>
        <v>18000</v>
      </c>
      <c r="N235" s="798" t="s">
        <v>15754</v>
      </c>
      <c r="O235" s="800">
        <f t="shared" si="21"/>
        <v>18000</v>
      </c>
      <c r="P235" s="800">
        <f t="shared" si="22"/>
        <v>18000</v>
      </c>
      <c r="Q235" s="801">
        <f t="shared" si="23"/>
        <v>18000</v>
      </c>
    </row>
    <row r="236" spans="1:17" x14ac:dyDescent="0.2">
      <c r="A236" s="802" t="s">
        <v>16186</v>
      </c>
      <c r="B236" s="803" t="s">
        <v>13918</v>
      </c>
      <c r="C236" s="803" t="s">
        <v>17513</v>
      </c>
      <c r="D236" s="803" t="s">
        <v>24371</v>
      </c>
      <c r="E236" s="803" t="s">
        <v>15731</v>
      </c>
      <c r="F236" s="803">
        <v>1</v>
      </c>
      <c r="G236" s="803" t="s">
        <v>1103</v>
      </c>
      <c r="H236" s="803" t="s">
        <v>1103</v>
      </c>
      <c r="I236" s="804">
        <v>5800</v>
      </c>
      <c r="J236" s="803">
        <v>1</v>
      </c>
      <c r="K236" s="804">
        <f t="shared" si="18"/>
        <v>5800</v>
      </c>
      <c r="L236" s="804">
        <f t="shared" si="19"/>
        <v>5800</v>
      </c>
      <c r="M236" s="804">
        <f t="shared" si="20"/>
        <v>5800</v>
      </c>
      <c r="N236" s="803" t="s">
        <v>15753</v>
      </c>
      <c r="O236" s="805">
        <f t="shared" si="21"/>
        <v>5800</v>
      </c>
      <c r="P236" s="805">
        <f t="shared" si="22"/>
        <v>5800</v>
      </c>
      <c r="Q236" s="806">
        <f t="shared" si="23"/>
        <v>5800</v>
      </c>
    </row>
    <row r="237" spans="1:17" x14ac:dyDescent="0.2">
      <c r="A237" s="797" t="s">
        <v>17670</v>
      </c>
      <c r="B237" s="798" t="s">
        <v>13918</v>
      </c>
      <c r="C237" s="798" t="s">
        <v>17513</v>
      </c>
      <c r="D237" s="798" t="s">
        <v>24371</v>
      </c>
      <c r="E237" s="798" t="s">
        <v>15732</v>
      </c>
      <c r="F237" s="798">
        <v>2</v>
      </c>
      <c r="G237" s="798" t="s">
        <v>1103</v>
      </c>
      <c r="H237" s="798" t="s">
        <v>1103</v>
      </c>
      <c r="I237" s="799">
        <v>8900</v>
      </c>
      <c r="J237" s="798">
        <v>1</v>
      </c>
      <c r="K237" s="799">
        <f t="shared" si="18"/>
        <v>8900</v>
      </c>
      <c r="L237" s="799">
        <f t="shared" si="19"/>
        <v>8900</v>
      </c>
      <c r="M237" s="799">
        <f t="shared" si="20"/>
        <v>8900</v>
      </c>
      <c r="N237" s="798" t="s">
        <v>16141</v>
      </c>
      <c r="O237" s="800">
        <f t="shared" si="21"/>
        <v>8900</v>
      </c>
      <c r="P237" s="800">
        <f t="shared" si="22"/>
        <v>8900</v>
      </c>
      <c r="Q237" s="801">
        <f t="shared" si="23"/>
        <v>8900</v>
      </c>
    </row>
    <row r="238" spans="1:17" x14ac:dyDescent="0.2">
      <c r="A238" s="802" t="s">
        <v>17671</v>
      </c>
      <c r="B238" s="803" t="s">
        <v>13918</v>
      </c>
      <c r="C238" s="803" t="s">
        <v>17513</v>
      </c>
      <c r="D238" s="803" t="s">
        <v>24371</v>
      </c>
      <c r="E238" s="803" t="s">
        <v>15733</v>
      </c>
      <c r="F238" s="803">
        <v>3</v>
      </c>
      <c r="G238" s="803" t="s">
        <v>1103</v>
      </c>
      <c r="H238" s="803" t="s">
        <v>1103</v>
      </c>
      <c r="I238" s="804">
        <v>18000</v>
      </c>
      <c r="J238" s="803">
        <v>1</v>
      </c>
      <c r="K238" s="804">
        <f t="shared" si="18"/>
        <v>18000</v>
      </c>
      <c r="L238" s="804">
        <f t="shared" si="19"/>
        <v>18000</v>
      </c>
      <c r="M238" s="804">
        <f t="shared" si="20"/>
        <v>18000</v>
      </c>
      <c r="N238" s="803" t="s">
        <v>15754</v>
      </c>
      <c r="O238" s="805">
        <f t="shared" si="21"/>
        <v>18000</v>
      </c>
      <c r="P238" s="805">
        <f t="shared" si="22"/>
        <v>18000</v>
      </c>
      <c r="Q238" s="806">
        <f t="shared" si="23"/>
        <v>18000</v>
      </c>
    </row>
    <row r="239" spans="1:17" x14ac:dyDescent="0.2">
      <c r="A239" s="797" t="s">
        <v>16189</v>
      </c>
      <c r="B239" s="798" t="s">
        <v>13918</v>
      </c>
      <c r="C239" s="798" t="s">
        <v>17513</v>
      </c>
      <c r="D239" s="798" t="s">
        <v>24372</v>
      </c>
      <c r="E239" s="798" t="s">
        <v>15731</v>
      </c>
      <c r="F239" s="798">
        <v>1</v>
      </c>
      <c r="G239" s="798" t="s">
        <v>1103</v>
      </c>
      <c r="H239" s="798" t="s">
        <v>1103</v>
      </c>
      <c r="I239" s="799">
        <v>6700</v>
      </c>
      <c r="J239" s="798">
        <v>1</v>
      </c>
      <c r="K239" s="799">
        <f t="shared" si="18"/>
        <v>6700</v>
      </c>
      <c r="L239" s="799">
        <f t="shared" si="19"/>
        <v>6700</v>
      </c>
      <c r="M239" s="799">
        <f t="shared" si="20"/>
        <v>6700</v>
      </c>
      <c r="N239" s="798" t="s">
        <v>15753</v>
      </c>
      <c r="O239" s="800">
        <f t="shared" si="21"/>
        <v>6700</v>
      </c>
      <c r="P239" s="800">
        <f t="shared" si="22"/>
        <v>6700</v>
      </c>
      <c r="Q239" s="801">
        <f t="shared" si="23"/>
        <v>6700</v>
      </c>
    </row>
    <row r="240" spans="1:17" x14ac:dyDescent="0.2">
      <c r="A240" s="802" t="s">
        <v>17672</v>
      </c>
      <c r="B240" s="803" t="s">
        <v>13918</v>
      </c>
      <c r="C240" s="803" t="s">
        <v>17513</v>
      </c>
      <c r="D240" s="803" t="s">
        <v>24372</v>
      </c>
      <c r="E240" s="803" t="s">
        <v>15732</v>
      </c>
      <c r="F240" s="803">
        <v>2</v>
      </c>
      <c r="G240" s="803" t="s">
        <v>1103</v>
      </c>
      <c r="H240" s="803" t="s">
        <v>1103</v>
      </c>
      <c r="I240" s="804">
        <v>9500</v>
      </c>
      <c r="J240" s="803">
        <v>1</v>
      </c>
      <c r="K240" s="804">
        <f t="shared" si="18"/>
        <v>9500</v>
      </c>
      <c r="L240" s="804">
        <f t="shared" si="19"/>
        <v>9500</v>
      </c>
      <c r="M240" s="804">
        <f t="shared" si="20"/>
        <v>9500</v>
      </c>
      <c r="N240" s="803" t="s">
        <v>16141</v>
      </c>
      <c r="O240" s="805">
        <f t="shared" si="21"/>
        <v>9500</v>
      </c>
      <c r="P240" s="805">
        <f t="shared" si="22"/>
        <v>9500</v>
      </c>
      <c r="Q240" s="806">
        <f t="shared" si="23"/>
        <v>9500</v>
      </c>
    </row>
    <row r="241" spans="1:17" x14ac:dyDescent="0.2">
      <c r="A241" s="797" t="s">
        <v>17673</v>
      </c>
      <c r="B241" s="798" t="s">
        <v>13918</v>
      </c>
      <c r="C241" s="798" t="s">
        <v>17513</v>
      </c>
      <c r="D241" s="798" t="s">
        <v>24372</v>
      </c>
      <c r="E241" s="798" t="s">
        <v>15733</v>
      </c>
      <c r="F241" s="798">
        <v>3</v>
      </c>
      <c r="G241" s="798" t="s">
        <v>1103</v>
      </c>
      <c r="H241" s="798" t="s">
        <v>1103</v>
      </c>
      <c r="I241" s="799">
        <v>21000</v>
      </c>
      <c r="J241" s="798">
        <v>1</v>
      </c>
      <c r="K241" s="799">
        <f t="shared" si="18"/>
        <v>21000</v>
      </c>
      <c r="L241" s="799">
        <f t="shared" si="19"/>
        <v>21000</v>
      </c>
      <c r="M241" s="799">
        <f t="shared" si="20"/>
        <v>21000</v>
      </c>
      <c r="N241" s="798" t="s">
        <v>15754</v>
      </c>
      <c r="O241" s="800">
        <f t="shared" si="21"/>
        <v>21000</v>
      </c>
      <c r="P241" s="800">
        <f t="shared" si="22"/>
        <v>21000</v>
      </c>
      <c r="Q241" s="801">
        <f t="shared" si="23"/>
        <v>21000</v>
      </c>
    </row>
    <row r="242" spans="1:17" x14ac:dyDescent="0.2">
      <c r="A242" s="802" t="s">
        <v>16197</v>
      </c>
      <c r="B242" s="803" t="s">
        <v>13918</v>
      </c>
      <c r="C242" s="803" t="s">
        <v>17513</v>
      </c>
      <c r="D242" s="803" t="s">
        <v>24373</v>
      </c>
      <c r="E242" s="803" t="s">
        <v>15731</v>
      </c>
      <c r="F242" s="803">
        <v>1</v>
      </c>
      <c r="G242" s="803" t="s">
        <v>1103</v>
      </c>
      <c r="H242" s="803" t="s">
        <v>1103</v>
      </c>
      <c r="I242" s="804">
        <v>5850</v>
      </c>
      <c r="J242" s="803">
        <v>1</v>
      </c>
      <c r="K242" s="804">
        <f t="shared" si="18"/>
        <v>5850</v>
      </c>
      <c r="L242" s="804">
        <f t="shared" si="19"/>
        <v>5850</v>
      </c>
      <c r="M242" s="804">
        <f t="shared" si="20"/>
        <v>5850</v>
      </c>
      <c r="N242" s="803" t="s">
        <v>15753</v>
      </c>
      <c r="O242" s="805">
        <f t="shared" si="21"/>
        <v>5850</v>
      </c>
      <c r="P242" s="805">
        <f t="shared" si="22"/>
        <v>5850</v>
      </c>
      <c r="Q242" s="806">
        <f t="shared" si="23"/>
        <v>5850</v>
      </c>
    </row>
    <row r="243" spans="1:17" x14ac:dyDescent="0.2">
      <c r="A243" s="797" t="s">
        <v>17674</v>
      </c>
      <c r="B243" s="798" t="s">
        <v>13918</v>
      </c>
      <c r="C243" s="798" t="s">
        <v>17513</v>
      </c>
      <c r="D243" s="798" t="s">
        <v>24373</v>
      </c>
      <c r="E243" s="798" t="s">
        <v>15732</v>
      </c>
      <c r="F243" s="798">
        <v>2</v>
      </c>
      <c r="G243" s="798" t="s">
        <v>1103</v>
      </c>
      <c r="H243" s="798" t="s">
        <v>1103</v>
      </c>
      <c r="I243" s="799">
        <v>8950</v>
      </c>
      <c r="J243" s="798">
        <v>1</v>
      </c>
      <c r="K243" s="799">
        <f t="shared" si="18"/>
        <v>8950</v>
      </c>
      <c r="L243" s="799">
        <f t="shared" si="19"/>
        <v>8950</v>
      </c>
      <c r="M243" s="799">
        <f t="shared" si="20"/>
        <v>8950</v>
      </c>
      <c r="N243" s="798" t="s">
        <v>16141</v>
      </c>
      <c r="O243" s="800">
        <f t="shared" si="21"/>
        <v>8950</v>
      </c>
      <c r="P243" s="800">
        <f t="shared" si="22"/>
        <v>8950</v>
      </c>
      <c r="Q243" s="801">
        <f t="shared" si="23"/>
        <v>8950</v>
      </c>
    </row>
    <row r="244" spans="1:17" x14ac:dyDescent="0.2">
      <c r="A244" s="802" t="s">
        <v>17675</v>
      </c>
      <c r="B244" s="803" t="s">
        <v>13918</v>
      </c>
      <c r="C244" s="803" t="s">
        <v>17513</v>
      </c>
      <c r="D244" s="803" t="s">
        <v>24373</v>
      </c>
      <c r="E244" s="803" t="s">
        <v>15733</v>
      </c>
      <c r="F244" s="803">
        <v>3</v>
      </c>
      <c r="G244" s="803" t="s">
        <v>1103</v>
      </c>
      <c r="H244" s="803" t="s">
        <v>1103</v>
      </c>
      <c r="I244" s="804">
        <v>18000</v>
      </c>
      <c r="J244" s="803">
        <v>1</v>
      </c>
      <c r="K244" s="804">
        <f t="shared" si="18"/>
        <v>18000</v>
      </c>
      <c r="L244" s="804">
        <f t="shared" si="19"/>
        <v>18000</v>
      </c>
      <c r="M244" s="804">
        <f t="shared" si="20"/>
        <v>18000</v>
      </c>
      <c r="N244" s="803" t="s">
        <v>15754</v>
      </c>
      <c r="O244" s="805">
        <f t="shared" si="21"/>
        <v>18000</v>
      </c>
      <c r="P244" s="805">
        <f t="shared" si="22"/>
        <v>18000</v>
      </c>
      <c r="Q244" s="806">
        <f t="shared" si="23"/>
        <v>18000</v>
      </c>
    </row>
    <row r="245" spans="1:17" x14ac:dyDescent="0.2">
      <c r="A245" s="797" t="s">
        <v>16206</v>
      </c>
      <c r="B245" s="798" t="s">
        <v>13918</v>
      </c>
      <c r="C245" s="798" t="s">
        <v>17513</v>
      </c>
      <c r="D245" s="798" t="s">
        <v>24374</v>
      </c>
      <c r="E245" s="798" t="s">
        <v>15731</v>
      </c>
      <c r="F245" s="798">
        <v>1</v>
      </c>
      <c r="G245" s="798" t="s">
        <v>1103</v>
      </c>
      <c r="H245" s="798" t="s">
        <v>1103</v>
      </c>
      <c r="I245" s="799">
        <v>5850</v>
      </c>
      <c r="J245" s="798">
        <v>1</v>
      </c>
      <c r="K245" s="799">
        <f t="shared" si="18"/>
        <v>5850</v>
      </c>
      <c r="L245" s="799">
        <f t="shared" si="19"/>
        <v>5850</v>
      </c>
      <c r="M245" s="799">
        <f t="shared" si="20"/>
        <v>5850</v>
      </c>
      <c r="N245" s="798" t="s">
        <v>15753</v>
      </c>
      <c r="O245" s="800">
        <f t="shared" si="21"/>
        <v>5850</v>
      </c>
      <c r="P245" s="800">
        <f t="shared" si="22"/>
        <v>5850</v>
      </c>
      <c r="Q245" s="801">
        <f t="shared" si="23"/>
        <v>5850</v>
      </c>
    </row>
    <row r="246" spans="1:17" x14ac:dyDescent="0.2">
      <c r="A246" s="802" t="s">
        <v>17676</v>
      </c>
      <c r="B246" s="803" t="s">
        <v>13918</v>
      </c>
      <c r="C246" s="803" t="s">
        <v>17513</v>
      </c>
      <c r="D246" s="803" t="s">
        <v>24374</v>
      </c>
      <c r="E246" s="803" t="s">
        <v>15732</v>
      </c>
      <c r="F246" s="803">
        <v>2</v>
      </c>
      <c r="G246" s="803" t="s">
        <v>1103</v>
      </c>
      <c r="H246" s="803" t="s">
        <v>1103</v>
      </c>
      <c r="I246" s="804">
        <v>9000</v>
      </c>
      <c r="J246" s="803">
        <v>1</v>
      </c>
      <c r="K246" s="804">
        <f t="shared" si="18"/>
        <v>9000</v>
      </c>
      <c r="L246" s="804">
        <f t="shared" si="19"/>
        <v>9000</v>
      </c>
      <c r="M246" s="804">
        <f t="shared" si="20"/>
        <v>9000</v>
      </c>
      <c r="N246" s="803" t="s">
        <v>16141</v>
      </c>
      <c r="O246" s="805">
        <f t="shared" si="21"/>
        <v>9000</v>
      </c>
      <c r="P246" s="805">
        <f t="shared" si="22"/>
        <v>9000</v>
      </c>
      <c r="Q246" s="806">
        <f t="shared" si="23"/>
        <v>9000</v>
      </c>
    </row>
    <row r="247" spans="1:17" x14ac:dyDescent="0.2">
      <c r="A247" s="797" t="s">
        <v>17677</v>
      </c>
      <c r="B247" s="798" t="s">
        <v>13918</v>
      </c>
      <c r="C247" s="798" t="s">
        <v>17513</v>
      </c>
      <c r="D247" s="798" t="s">
        <v>24374</v>
      </c>
      <c r="E247" s="798" t="s">
        <v>15733</v>
      </c>
      <c r="F247" s="798">
        <v>3</v>
      </c>
      <c r="G247" s="798" t="s">
        <v>1103</v>
      </c>
      <c r="H247" s="798" t="s">
        <v>1103</v>
      </c>
      <c r="I247" s="799">
        <v>18000</v>
      </c>
      <c r="J247" s="798">
        <v>1</v>
      </c>
      <c r="K247" s="799">
        <f t="shared" si="18"/>
        <v>18000</v>
      </c>
      <c r="L247" s="799">
        <f t="shared" si="19"/>
        <v>18000</v>
      </c>
      <c r="M247" s="799">
        <f t="shared" si="20"/>
        <v>18000</v>
      </c>
      <c r="N247" s="798" t="s">
        <v>15754</v>
      </c>
      <c r="O247" s="800">
        <f t="shared" si="21"/>
        <v>18000</v>
      </c>
      <c r="P247" s="800">
        <f t="shared" si="22"/>
        <v>18000</v>
      </c>
      <c r="Q247" s="801">
        <f t="shared" si="23"/>
        <v>18000</v>
      </c>
    </row>
    <row r="248" spans="1:17" x14ac:dyDescent="0.2">
      <c r="A248" s="802" t="s">
        <v>16218</v>
      </c>
      <c r="B248" s="803" t="s">
        <v>13918</v>
      </c>
      <c r="C248" s="803" t="s">
        <v>17513</v>
      </c>
      <c r="D248" s="803" t="s">
        <v>24375</v>
      </c>
      <c r="E248" s="803" t="s">
        <v>15731</v>
      </c>
      <c r="F248" s="803">
        <v>1</v>
      </c>
      <c r="G248" s="803" t="s">
        <v>122</v>
      </c>
      <c r="H248" s="803" t="s">
        <v>122</v>
      </c>
      <c r="I248" s="804">
        <v>6000</v>
      </c>
      <c r="J248" s="803">
        <v>1</v>
      </c>
      <c r="K248" s="804">
        <f t="shared" si="18"/>
        <v>6000</v>
      </c>
      <c r="L248" s="804">
        <f t="shared" si="19"/>
        <v>6000</v>
      </c>
      <c r="M248" s="804">
        <f t="shared" si="20"/>
        <v>6000</v>
      </c>
      <c r="N248" s="803" t="s">
        <v>15753</v>
      </c>
      <c r="O248" s="805">
        <f t="shared" si="21"/>
        <v>6000</v>
      </c>
      <c r="P248" s="805">
        <f t="shared" si="22"/>
        <v>6000</v>
      </c>
      <c r="Q248" s="806">
        <f t="shared" si="23"/>
        <v>6000</v>
      </c>
    </row>
    <row r="249" spans="1:17" x14ac:dyDescent="0.2">
      <c r="A249" s="797" t="s">
        <v>17678</v>
      </c>
      <c r="B249" s="798" t="s">
        <v>13918</v>
      </c>
      <c r="C249" s="798" t="s">
        <v>17513</v>
      </c>
      <c r="D249" s="798" t="s">
        <v>24375</v>
      </c>
      <c r="E249" s="798" t="s">
        <v>15732</v>
      </c>
      <c r="F249" s="798">
        <v>2</v>
      </c>
      <c r="G249" s="798" t="s">
        <v>122</v>
      </c>
      <c r="H249" s="798" t="s">
        <v>122</v>
      </c>
      <c r="I249" s="799">
        <v>8950</v>
      </c>
      <c r="J249" s="798">
        <v>1</v>
      </c>
      <c r="K249" s="799">
        <f t="shared" si="18"/>
        <v>8950</v>
      </c>
      <c r="L249" s="799">
        <f t="shared" si="19"/>
        <v>8950</v>
      </c>
      <c r="M249" s="799">
        <f t="shared" si="20"/>
        <v>8950</v>
      </c>
      <c r="N249" s="798" t="s">
        <v>16141</v>
      </c>
      <c r="O249" s="800">
        <f t="shared" si="21"/>
        <v>8950</v>
      </c>
      <c r="P249" s="800">
        <f t="shared" si="22"/>
        <v>8950</v>
      </c>
      <c r="Q249" s="801">
        <f t="shared" si="23"/>
        <v>8950</v>
      </c>
    </row>
    <row r="250" spans="1:17" x14ac:dyDescent="0.2">
      <c r="A250" s="802" t="s">
        <v>17679</v>
      </c>
      <c r="B250" s="803" t="s">
        <v>13918</v>
      </c>
      <c r="C250" s="803" t="s">
        <v>17513</v>
      </c>
      <c r="D250" s="803" t="s">
        <v>24375</v>
      </c>
      <c r="E250" s="803" t="s">
        <v>15733</v>
      </c>
      <c r="F250" s="803">
        <v>3</v>
      </c>
      <c r="G250" s="803" t="s">
        <v>122</v>
      </c>
      <c r="H250" s="803" t="s">
        <v>122</v>
      </c>
      <c r="I250" s="804">
        <v>18000</v>
      </c>
      <c r="J250" s="803">
        <v>1</v>
      </c>
      <c r="K250" s="804">
        <f t="shared" si="18"/>
        <v>18000</v>
      </c>
      <c r="L250" s="804">
        <f t="shared" si="19"/>
        <v>18000</v>
      </c>
      <c r="M250" s="804">
        <f t="shared" si="20"/>
        <v>18000</v>
      </c>
      <c r="N250" s="803" t="s">
        <v>15754</v>
      </c>
      <c r="O250" s="805">
        <f t="shared" si="21"/>
        <v>18000</v>
      </c>
      <c r="P250" s="805">
        <f t="shared" si="22"/>
        <v>18000</v>
      </c>
      <c r="Q250" s="806">
        <f t="shared" si="23"/>
        <v>18000</v>
      </c>
    </row>
    <row r="251" spans="1:17" x14ac:dyDescent="0.2">
      <c r="A251" s="797" t="s">
        <v>16221</v>
      </c>
      <c r="B251" s="798" t="s">
        <v>13918</v>
      </c>
      <c r="C251" s="798" t="s">
        <v>17513</v>
      </c>
      <c r="D251" s="798" t="s">
        <v>24376</v>
      </c>
      <c r="E251" s="798" t="s">
        <v>15731</v>
      </c>
      <c r="F251" s="798">
        <v>1</v>
      </c>
      <c r="G251" s="798" t="s">
        <v>122</v>
      </c>
      <c r="H251" s="798" t="s">
        <v>122</v>
      </c>
      <c r="I251" s="799">
        <v>6000</v>
      </c>
      <c r="J251" s="798">
        <v>1</v>
      </c>
      <c r="K251" s="799">
        <f t="shared" si="18"/>
        <v>6000</v>
      </c>
      <c r="L251" s="799">
        <f t="shared" si="19"/>
        <v>6000</v>
      </c>
      <c r="M251" s="799">
        <f t="shared" si="20"/>
        <v>6000</v>
      </c>
      <c r="N251" s="798" t="s">
        <v>15753</v>
      </c>
      <c r="O251" s="800">
        <f t="shared" si="21"/>
        <v>6000</v>
      </c>
      <c r="P251" s="800">
        <f t="shared" si="22"/>
        <v>6000</v>
      </c>
      <c r="Q251" s="801">
        <f t="shared" si="23"/>
        <v>6000</v>
      </c>
    </row>
    <row r="252" spans="1:17" x14ac:dyDescent="0.2">
      <c r="A252" s="802" t="s">
        <v>17680</v>
      </c>
      <c r="B252" s="803" t="s">
        <v>13918</v>
      </c>
      <c r="C252" s="803" t="s">
        <v>17513</v>
      </c>
      <c r="D252" s="803" t="s">
        <v>24376</v>
      </c>
      <c r="E252" s="803" t="s">
        <v>15732</v>
      </c>
      <c r="F252" s="803">
        <v>2</v>
      </c>
      <c r="G252" s="803" t="s">
        <v>122</v>
      </c>
      <c r="H252" s="803" t="s">
        <v>122</v>
      </c>
      <c r="I252" s="804">
        <v>9000</v>
      </c>
      <c r="J252" s="803">
        <v>1</v>
      </c>
      <c r="K252" s="804">
        <f t="shared" si="18"/>
        <v>9000</v>
      </c>
      <c r="L252" s="804">
        <f t="shared" si="19"/>
        <v>9000</v>
      </c>
      <c r="M252" s="804">
        <f t="shared" si="20"/>
        <v>9000</v>
      </c>
      <c r="N252" s="803" t="s">
        <v>16141</v>
      </c>
      <c r="O252" s="805">
        <f t="shared" si="21"/>
        <v>9000</v>
      </c>
      <c r="P252" s="805">
        <f t="shared" si="22"/>
        <v>9000</v>
      </c>
      <c r="Q252" s="806">
        <f t="shared" si="23"/>
        <v>9000</v>
      </c>
    </row>
    <row r="253" spans="1:17" x14ac:dyDescent="0.2">
      <c r="A253" s="797" t="s">
        <v>17681</v>
      </c>
      <c r="B253" s="798" t="s">
        <v>13918</v>
      </c>
      <c r="C253" s="798" t="s">
        <v>17513</v>
      </c>
      <c r="D253" s="798" t="s">
        <v>24376</v>
      </c>
      <c r="E253" s="798" t="s">
        <v>15733</v>
      </c>
      <c r="F253" s="798">
        <v>3</v>
      </c>
      <c r="G253" s="798" t="s">
        <v>122</v>
      </c>
      <c r="H253" s="798" t="s">
        <v>122</v>
      </c>
      <c r="I253" s="799">
        <v>18000</v>
      </c>
      <c r="J253" s="798">
        <v>1</v>
      </c>
      <c r="K253" s="799">
        <f t="shared" si="18"/>
        <v>18000</v>
      </c>
      <c r="L253" s="799">
        <f t="shared" si="19"/>
        <v>18000</v>
      </c>
      <c r="M253" s="799">
        <f t="shared" si="20"/>
        <v>18000</v>
      </c>
      <c r="N253" s="798" t="s">
        <v>15754</v>
      </c>
      <c r="O253" s="800">
        <f t="shared" si="21"/>
        <v>18000</v>
      </c>
      <c r="P253" s="800">
        <f t="shared" si="22"/>
        <v>18000</v>
      </c>
      <c r="Q253" s="801">
        <f t="shared" si="23"/>
        <v>18000</v>
      </c>
    </row>
    <row r="254" spans="1:17" x14ac:dyDescent="0.2">
      <c r="A254" s="802" t="s">
        <v>16224</v>
      </c>
      <c r="B254" s="803" t="s">
        <v>13918</v>
      </c>
      <c r="C254" s="803" t="s">
        <v>17513</v>
      </c>
      <c r="D254" s="803" t="s">
        <v>24377</v>
      </c>
      <c r="E254" s="803" t="s">
        <v>15731</v>
      </c>
      <c r="F254" s="803">
        <v>1</v>
      </c>
      <c r="G254" s="803" t="s">
        <v>122</v>
      </c>
      <c r="H254" s="803" t="s">
        <v>122</v>
      </c>
      <c r="I254" s="804">
        <v>6050</v>
      </c>
      <c r="J254" s="803">
        <v>1</v>
      </c>
      <c r="K254" s="804">
        <f t="shared" si="18"/>
        <v>6050</v>
      </c>
      <c r="L254" s="804">
        <f t="shared" si="19"/>
        <v>6050</v>
      </c>
      <c r="M254" s="804">
        <f t="shared" si="20"/>
        <v>6050</v>
      </c>
      <c r="N254" s="803" t="s">
        <v>15753</v>
      </c>
      <c r="O254" s="805">
        <f t="shared" si="21"/>
        <v>6050</v>
      </c>
      <c r="P254" s="805">
        <f t="shared" si="22"/>
        <v>6050</v>
      </c>
      <c r="Q254" s="806">
        <f t="shared" si="23"/>
        <v>6050</v>
      </c>
    </row>
    <row r="255" spans="1:17" x14ac:dyDescent="0.2">
      <c r="A255" s="797" t="s">
        <v>17682</v>
      </c>
      <c r="B255" s="798" t="s">
        <v>13918</v>
      </c>
      <c r="C255" s="798" t="s">
        <v>17513</v>
      </c>
      <c r="D255" s="798" t="s">
        <v>24377</v>
      </c>
      <c r="E255" s="798" t="s">
        <v>15732</v>
      </c>
      <c r="F255" s="798">
        <v>2</v>
      </c>
      <c r="G255" s="798" t="s">
        <v>122</v>
      </c>
      <c r="H255" s="798" t="s">
        <v>122</v>
      </c>
      <c r="I255" s="799">
        <v>9050</v>
      </c>
      <c r="J255" s="798">
        <v>1</v>
      </c>
      <c r="K255" s="799">
        <f t="shared" si="18"/>
        <v>9050</v>
      </c>
      <c r="L255" s="799">
        <f t="shared" si="19"/>
        <v>9050</v>
      </c>
      <c r="M255" s="799">
        <f t="shared" si="20"/>
        <v>9050</v>
      </c>
      <c r="N255" s="798" t="s">
        <v>16141</v>
      </c>
      <c r="O255" s="800">
        <f t="shared" si="21"/>
        <v>9050</v>
      </c>
      <c r="P255" s="800">
        <f t="shared" si="22"/>
        <v>9050</v>
      </c>
      <c r="Q255" s="801">
        <f t="shared" si="23"/>
        <v>9050</v>
      </c>
    </row>
    <row r="256" spans="1:17" x14ac:dyDescent="0.2">
      <c r="A256" s="802" t="s">
        <v>17683</v>
      </c>
      <c r="B256" s="803" t="s">
        <v>13918</v>
      </c>
      <c r="C256" s="803" t="s">
        <v>17513</v>
      </c>
      <c r="D256" s="803" t="s">
        <v>24377</v>
      </c>
      <c r="E256" s="803" t="s">
        <v>15733</v>
      </c>
      <c r="F256" s="803">
        <v>3</v>
      </c>
      <c r="G256" s="803" t="s">
        <v>122</v>
      </c>
      <c r="H256" s="803" t="s">
        <v>122</v>
      </c>
      <c r="I256" s="804">
        <v>18000</v>
      </c>
      <c r="J256" s="803">
        <v>1</v>
      </c>
      <c r="K256" s="804">
        <f t="shared" si="18"/>
        <v>18000</v>
      </c>
      <c r="L256" s="804">
        <f t="shared" si="19"/>
        <v>18000</v>
      </c>
      <c r="M256" s="804">
        <f t="shared" si="20"/>
        <v>18000</v>
      </c>
      <c r="N256" s="803" t="s">
        <v>15754</v>
      </c>
      <c r="O256" s="805">
        <f t="shared" si="21"/>
        <v>18000</v>
      </c>
      <c r="P256" s="805">
        <f t="shared" si="22"/>
        <v>18000</v>
      </c>
      <c r="Q256" s="806">
        <f t="shared" si="23"/>
        <v>18000</v>
      </c>
    </row>
    <row r="257" spans="1:17" x14ac:dyDescent="0.2">
      <c r="A257" s="797" t="s">
        <v>16230</v>
      </c>
      <c r="B257" s="798" t="s">
        <v>13918</v>
      </c>
      <c r="C257" s="798" t="s">
        <v>17513</v>
      </c>
      <c r="D257" s="798" t="s">
        <v>24378</v>
      </c>
      <c r="E257" s="798" t="s">
        <v>15731</v>
      </c>
      <c r="F257" s="798">
        <v>1</v>
      </c>
      <c r="G257" s="798" t="s">
        <v>122</v>
      </c>
      <c r="H257" s="798" t="s">
        <v>122</v>
      </c>
      <c r="I257" s="799">
        <v>6100</v>
      </c>
      <c r="J257" s="798">
        <v>1</v>
      </c>
      <c r="K257" s="799">
        <f t="shared" si="18"/>
        <v>6100</v>
      </c>
      <c r="L257" s="799">
        <f t="shared" si="19"/>
        <v>6100</v>
      </c>
      <c r="M257" s="799">
        <f t="shared" si="20"/>
        <v>6100</v>
      </c>
      <c r="N257" s="798" t="s">
        <v>15753</v>
      </c>
      <c r="O257" s="800">
        <f t="shared" si="21"/>
        <v>6100</v>
      </c>
      <c r="P257" s="800">
        <f t="shared" si="22"/>
        <v>6100</v>
      </c>
      <c r="Q257" s="801">
        <f t="shared" si="23"/>
        <v>6100</v>
      </c>
    </row>
    <row r="258" spans="1:17" x14ac:dyDescent="0.2">
      <c r="A258" s="802" t="s">
        <v>17684</v>
      </c>
      <c r="B258" s="803" t="s">
        <v>13918</v>
      </c>
      <c r="C258" s="803" t="s">
        <v>17513</v>
      </c>
      <c r="D258" s="803" t="s">
        <v>24378</v>
      </c>
      <c r="E258" s="803" t="s">
        <v>15732</v>
      </c>
      <c r="F258" s="803">
        <v>2</v>
      </c>
      <c r="G258" s="803" t="s">
        <v>122</v>
      </c>
      <c r="H258" s="803" t="s">
        <v>122</v>
      </c>
      <c r="I258" s="804">
        <v>9100</v>
      </c>
      <c r="J258" s="803">
        <v>1</v>
      </c>
      <c r="K258" s="804">
        <f t="shared" ref="K258:K321" si="24">+I258</f>
        <v>9100</v>
      </c>
      <c r="L258" s="804">
        <f t="shared" ref="L258:L321" si="25">+I258</f>
        <v>9100</v>
      </c>
      <c r="M258" s="804">
        <f t="shared" ref="M258:M321" si="26">+I258</f>
        <v>9100</v>
      </c>
      <c r="N258" s="803" t="s">
        <v>16141</v>
      </c>
      <c r="O258" s="805">
        <f t="shared" ref="O258:O321" si="27">+J258*K258</f>
        <v>9100</v>
      </c>
      <c r="P258" s="805">
        <f t="shared" ref="P258:P321" si="28">+J258*L258</f>
        <v>9100</v>
      </c>
      <c r="Q258" s="806">
        <f t="shared" ref="Q258:Q321" si="29">+J258*M258</f>
        <v>9100</v>
      </c>
    </row>
    <row r="259" spans="1:17" x14ac:dyDescent="0.2">
      <c r="A259" s="797" t="s">
        <v>17685</v>
      </c>
      <c r="B259" s="798" t="s">
        <v>13918</v>
      </c>
      <c r="C259" s="798" t="s">
        <v>17513</v>
      </c>
      <c r="D259" s="798" t="s">
        <v>24378</v>
      </c>
      <c r="E259" s="798" t="s">
        <v>15733</v>
      </c>
      <c r="F259" s="798">
        <v>3</v>
      </c>
      <c r="G259" s="798" t="s">
        <v>122</v>
      </c>
      <c r="H259" s="798" t="s">
        <v>122</v>
      </c>
      <c r="I259" s="799">
        <v>18000</v>
      </c>
      <c r="J259" s="798">
        <v>1</v>
      </c>
      <c r="K259" s="799">
        <f t="shared" si="24"/>
        <v>18000</v>
      </c>
      <c r="L259" s="799">
        <f t="shared" si="25"/>
        <v>18000</v>
      </c>
      <c r="M259" s="799">
        <f t="shared" si="26"/>
        <v>18000</v>
      </c>
      <c r="N259" s="798" t="s">
        <v>15754</v>
      </c>
      <c r="O259" s="800">
        <f t="shared" si="27"/>
        <v>18000</v>
      </c>
      <c r="P259" s="800">
        <f t="shared" si="28"/>
        <v>18000</v>
      </c>
      <c r="Q259" s="801">
        <f t="shared" si="29"/>
        <v>18000</v>
      </c>
    </row>
    <row r="260" spans="1:17" x14ac:dyDescent="0.2">
      <c r="A260" s="802" t="s">
        <v>16233</v>
      </c>
      <c r="B260" s="803" t="s">
        <v>13918</v>
      </c>
      <c r="C260" s="803" t="s">
        <v>17513</v>
      </c>
      <c r="D260" s="803" t="s">
        <v>24379</v>
      </c>
      <c r="E260" s="803" t="s">
        <v>15731</v>
      </c>
      <c r="F260" s="803">
        <v>1</v>
      </c>
      <c r="G260" s="803" t="s">
        <v>122</v>
      </c>
      <c r="H260" s="803" t="s">
        <v>122</v>
      </c>
      <c r="I260" s="804">
        <v>6100</v>
      </c>
      <c r="J260" s="803">
        <v>1</v>
      </c>
      <c r="K260" s="804">
        <f t="shared" si="24"/>
        <v>6100</v>
      </c>
      <c r="L260" s="804">
        <f t="shared" si="25"/>
        <v>6100</v>
      </c>
      <c r="M260" s="804">
        <f t="shared" si="26"/>
        <v>6100</v>
      </c>
      <c r="N260" s="803" t="s">
        <v>15753</v>
      </c>
      <c r="O260" s="805">
        <f t="shared" si="27"/>
        <v>6100</v>
      </c>
      <c r="P260" s="805">
        <f t="shared" si="28"/>
        <v>6100</v>
      </c>
      <c r="Q260" s="806">
        <f t="shared" si="29"/>
        <v>6100</v>
      </c>
    </row>
    <row r="261" spans="1:17" x14ac:dyDescent="0.2">
      <c r="A261" s="797" t="s">
        <v>17686</v>
      </c>
      <c r="B261" s="798" t="s">
        <v>13918</v>
      </c>
      <c r="C261" s="798" t="s">
        <v>17513</v>
      </c>
      <c r="D261" s="798" t="s">
        <v>24379</v>
      </c>
      <c r="E261" s="798" t="s">
        <v>15732</v>
      </c>
      <c r="F261" s="798">
        <v>2</v>
      </c>
      <c r="G261" s="798" t="s">
        <v>122</v>
      </c>
      <c r="H261" s="798" t="s">
        <v>122</v>
      </c>
      <c r="I261" s="799">
        <v>9150</v>
      </c>
      <c r="J261" s="798">
        <v>1</v>
      </c>
      <c r="K261" s="799">
        <f t="shared" si="24"/>
        <v>9150</v>
      </c>
      <c r="L261" s="799">
        <f t="shared" si="25"/>
        <v>9150</v>
      </c>
      <c r="M261" s="799">
        <f t="shared" si="26"/>
        <v>9150</v>
      </c>
      <c r="N261" s="798" t="s">
        <v>16141</v>
      </c>
      <c r="O261" s="800">
        <f t="shared" si="27"/>
        <v>9150</v>
      </c>
      <c r="P261" s="800">
        <f t="shared" si="28"/>
        <v>9150</v>
      </c>
      <c r="Q261" s="801">
        <f t="shared" si="29"/>
        <v>9150</v>
      </c>
    </row>
    <row r="262" spans="1:17" x14ac:dyDescent="0.2">
      <c r="A262" s="802" t="s">
        <v>17687</v>
      </c>
      <c r="B262" s="803" t="s">
        <v>13918</v>
      </c>
      <c r="C262" s="803" t="s">
        <v>17513</v>
      </c>
      <c r="D262" s="803" t="s">
        <v>24379</v>
      </c>
      <c r="E262" s="803" t="s">
        <v>15733</v>
      </c>
      <c r="F262" s="803">
        <v>3</v>
      </c>
      <c r="G262" s="803" t="s">
        <v>122</v>
      </c>
      <c r="H262" s="803" t="s">
        <v>122</v>
      </c>
      <c r="I262" s="804">
        <v>18000</v>
      </c>
      <c r="J262" s="803">
        <v>1</v>
      </c>
      <c r="K262" s="804">
        <f t="shared" si="24"/>
        <v>18000</v>
      </c>
      <c r="L262" s="804">
        <f t="shared" si="25"/>
        <v>18000</v>
      </c>
      <c r="M262" s="804">
        <f t="shared" si="26"/>
        <v>18000</v>
      </c>
      <c r="N262" s="803" t="s">
        <v>15754</v>
      </c>
      <c r="O262" s="805">
        <f t="shared" si="27"/>
        <v>18000</v>
      </c>
      <c r="P262" s="805">
        <f t="shared" si="28"/>
        <v>18000</v>
      </c>
      <c r="Q262" s="806">
        <f t="shared" si="29"/>
        <v>18000</v>
      </c>
    </row>
    <row r="263" spans="1:17" x14ac:dyDescent="0.2">
      <c r="A263" s="797" t="s">
        <v>16240</v>
      </c>
      <c r="B263" s="798" t="s">
        <v>13918</v>
      </c>
      <c r="C263" s="798" t="s">
        <v>17513</v>
      </c>
      <c r="D263" s="798" t="s">
        <v>24380</v>
      </c>
      <c r="E263" s="798" t="s">
        <v>15731</v>
      </c>
      <c r="F263" s="798">
        <v>1</v>
      </c>
      <c r="G263" s="798" t="s">
        <v>122</v>
      </c>
      <c r="H263" s="798" t="s">
        <v>122</v>
      </c>
      <c r="I263" s="799">
        <v>6800</v>
      </c>
      <c r="J263" s="798">
        <v>1</v>
      </c>
      <c r="K263" s="799">
        <f t="shared" si="24"/>
        <v>6800</v>
      </c>
      <c r="L263" s="799">
        <f t="shared" si="25"/>
        <v>6800</v>
      </c>
      <c r="M263" s="799">
        <f t="shared" si="26"/>
        <v>6800</v>
      </c>
      <c r="N263" s="798" t="s">
        <v>15753</v>
      </c>
      <c r="O263" s="800">
        <f t="shared" si="27"/>
        <v>6800</v>
      </c>
      <c r="P263" s="800">
        <f t="shared" si="28"/>
        <v>6800</v>
      </c>
      <c r="Q263" s="801">
        <f t="shared" si="29"/>
        <v>6800</v>
      </c>
    </row>
    <row r="264" spans="1:17" x14ac:dyDescent="0.2">
      <c r="A264" s="802" t="s">
        <v>17688</v>
      </c>
      <c r="B264" s="803" t="s">
        <v>13918</v>
      </c>
      <c r="C264" s="803" t="s">
        <v>17513</v>
      </c>
      <c r="D264" s="803" t="s">
        <v>24380</v>
      </c>
      <c r="E264" s="803" t="s">
        <v>15732</v>
      </c>
      <c r="F264" s="803">
        <v>2</v>
      </c>
      <c r="G264" s="803" t="s">
        <v>122</v>
      </c>
      <c r="H264" s="803" t="s">
        <v>122</v>
      </c>
      <c r="I264" s="804">
        <v>9700</v>
      </c>
      <c r="J264" s="803">
        <v>1</v>
      </c>
      <c r="K264" s="804">
        <f t="shared" si="24"/>
        <v>9700</v>
      </c>
      <c r="L264" s="804">
        <f t="shared" si="25"/>
        <v>9700</v>
      </c>
      <c r="M264" s="804">
        <f t="shared" si="26"/>
        <v>9700</v>
      </c>
      <c r="N264" s="803" t="s">
        <v>16141</v>
      </c>
      <c r="O264" s="805">
        <f t="shared" si="27"/>
        <v>9700</v>
      </c>
      <c r="P264" s="805">
        <f t="shared" si="28"/>
        <v>9700</v>
      </c>
      <c r="Q264" s="806">
        <f t="shared" si="29"/>
        <v>9700</v>
      </c>
    </row>
    <row r="265" spans="1:17" x14ac:dyDescent="0.2">
      <c r="A265" s="797" t="s">
        <v>17689</v>
      </c>
      <c r="B265" s="798" t="s">
        <v>13918</v>
      </c>
      <c r="C265" s="798" t="s">
        <v>17513</v>
      </c>
      <c r="D265" s="798" t="s">
        <v>24380</v>
      </c>
      <c r="E265" s="798" t="s">
        <v>15733</v>
      </c>
      <c r="F265" s="798">
        <v>3</v>
      </c>
      <c r="G265" s="798" t="s">
        <v>122</v>
      </c>
      <c r="H265" s="798" t="s">
        <v>122</v>
      </c>
      <c r="I265" s="799">
        <v>21000</v>
      </c>
      <c r="J265" s="798">
        <v>1</v>
      </c>
      <c r="K265" s="799">
        <f t="shared" si="24"/>
        <v>21000</v>
      </c>
      <c r="L265" s="799">
        <f t="shared" si="25"/>
        <v>21000</v>
      </c>
      <c r="M265" s="799">
        <f t="shared" si="26"/>
        <v>21000</v>
      </c>
      <c r="N265" s="798" t="s">
        <v>15754</v>
      </c>
      <c r="O265" s="800">
        <f t="shared" si="27"/>
        <v>21000</v>
      </c>
      <c r="P265" s="800">
        <f t="shared" si="28"/>
        <v>21000</v>
      </c>
      <c r="Q265" s="801">
        <f t="shared" si="29"/>
        <v>21000</v>
      </c>
    </row>
    <row r="266" spans="1:17" x14ac:dyDescent="0.2">
      <c r="A266" s="802" t="s">
        <v>16247</v>
      </c>
      <c r="B266" s="803" t="s">
        <v>13918</v>
      </c>
      <c r="C266" s="803" t="s">
        <v>17513</v>
      </c>
      <c r="D266" s="803" t="s">
        <v>24381</v>
      </c>
      <c r="E266" s="803" t="s">
        <v>15731</v>
      </c>
      <c r="F266" s="803">
        <v>1</v>
      </c>
      <c r="G266" s="803" t="s">
        <v>122</v>
      </c>
      <c r="H266" s="803" t="s">
        <v>122</v>
      </c>
      <c r="I266" s="804">
        <v>6150</v>
      </c>
      <c r="J266" s="803">
        <v>1</v>
      </c>
      <c r="K266" s="804">
        <f t="shared" si="24"/>
        <v>6150</v>
      </c>
      <c r="L266" s="804">
        <f t="shared" si="25"/>
        <v>6150</v>
      </c>
      <c r="M266" s="804">
        <f t="shared" si="26"/>
        <v>6150</v>
      </c>
      <c r="N266" s="803" t="s">
        <v>15753</v>
      </c>
      <c r="O266" s="805">
        <f t="shared" si="27"/>
        <v>6150</v>
      </c>
      <c r="P266" s="805">
        <f t="shared" si="28"/>
        <v>6150</v>
      </c>
      <c r="Q266" s="806">
        <f t="shared" si="29"/>
        <v>6150</v>
      </c>
    </row>
    <row r="267" spans="1:17" x14ac:dyDescent="0.2">
      <c r="A267" s="797" t="s">
        <v>17690</v>
      </c>
      <c r="B267" s="798" t="s">
        <v>13918</v>
      </c>
      <c r="C267" s="798" t="s">
        <v>17513</v>
      </c>
      <c r="D267" s="798" t="s">
        <v>24381</v>
      </c>
      <c r="E267" s="798" t="s">
        <v>15732</v>
      </c>
      <c r="F267" s="798">
        <v>2</v>
      </c>
      <c r="G267" s="798" t="s">
        <v>122</v>
      </c>
      <c r="H267" s="798" t="s">
        <v>122</v>
      </c>
      <c r="I267" s="799">
        <v>9200</v>
      </c>
      <c r="J267" s="798">
        <v>1</v>
      </c>
      <c r="K267" s="799">
        <f t="shared" si="24"/>
        <v>9200</v>
      </c>
      <c r="L267" s="799">
        <f t="shared" si="25"/>
        <v>9200</v>
      </c>
      <c r="M267" s="799">
        <f t="shared" si="26"/>
        <v>9200</v>
      </c>
      <c r="N267" s="798" t="s">
        <v>16141</v>
      </c>
      <c r="O267" s="800">
        <f t="shared" si="27"/>
        <v>9200</v>
      </c>
      <c r="P267" s="800">
        <f t="shared" si="28"/>
        <v>9200</v>
      </c>
      <c r="Q267" s="801">
        <f t="shared" si="29"/>
        <v>9200</v>
      </c>
    </row>
    <row r="268" spans="1:17" x14ac:dyDescent="0.2">
      <c r="A268" s="802" t="s">
        <v>17691</v>
      </c>
      <c r="B268" s="803" t="s">
        <v>13918</v>
      </c>
      <c r="C268" s="803" t="s">
        <v>17513</v>
      </c>
      <c r="D268" s="803" t="s">
        <v>24381</v>
      </c>
      <c r="E268" s="803" t="s">
        <v>15733</v>
      </c>
      <c r="F268" s="803">
        <v>3</v>
      </c>
      <c r="G268" s="803" t="s">
        <v>122</v>
      </c>
      <c r="H268" s="803" t="s">
        <v>122</v>
      </c>
      <c r="I268" s="804">
        <v>18000</v>
      </c>
      <c r="J268" s="803">
        <v>1</v>
      </c>
      <c r="K268" s="804">
        <f t="shared" si="24"/>
        <v>18000</v>
      </c>
      <c r="L268" s="804">
        <f t="shared" si="25"/>
        <v>18000</v>
      </c>
      <c r="M268" s="804">
        <f t="shared" si="26"/>
        <v>18000</v>
      </c>
      <c r="N268" s="803" t="s">
        <v>15754</v>
      </c>
      <c r="O268" s="805">
        <f t="shared" si="27"/>
        <v>18000</v>
      </c>
      <c r="P268" s="805">
        <f t="shared" si="28"/>
        <v>18000</v>
      </c>
      <c r="Q268" s="806">
        <f t="shared" si="29"/>
        <v>18000</v>
      </c>
    </row>
    <row r="269" spans="1:17" x14ac:dyDescent="0.2">
      <c r="A269" s="797" t="s">
        <v>16250</v>
      </c>
      <c r="B269" s="798" t="s">
        <v>13918</v>
      </c>
      <c r="C269" s="798" t="s">
        <v>17513</v>
      </c>
      <c r="D269" s="798" t="s">
        <v>24382</v>
      </c>
      <c r="E269" s="798" t="s">
        <v>15731</v>
      </c>
      <c r="F269" s="798">
        <v>1</v>
      </c>
      <c r="G269" s="798" t="s">
        <v>122</v>
      </c>
      <c r="H269" s="798" t="s">
        <v>122</v>
      </c>
      <c r="I269" s="799">
        <v>6150</v>
      </c>
      <c r="J269" s="798">
        <v>1</v>
      </c>
      <c r="K269" s="799">
        <f t="shared" si="24"/>
        <v>6150</v>
      </c>
      <c r="L269" s="799">
        <f t="shared" si="25"/>
        <v>6150</v>
      </c>
      <c r="M269" s="799">
        <f t="shared" si="26"/>
        <v>6150</v>
      </c>
      <c r="N269" s="798" t="s">
        <v>15753</v>
      </c>
      <c r="O269" s="800">
        <f t="shared" si="27"/>
        <v>6150</v>
      </c>
      <c r="P269" s="800">
        <f t="shared" si="28"/>
        <v>6150</v>
      </c>
      <c r="Q269" s="801">
        <f t="shared" si="29"/>
        <v>6150</v>
      </c>
    </row>
    <row r="270" spans="1:17" x14ac:dyDescent="0.2">
      <c r="A270" s="802" t="s">
        <v>17692</v>
      </c>
      <c r="B270" s="803" t="s">
        <v>13918</v>
      </c>
      <c r="C270" s="803" t="s">
        <v>17513</v>
      </c>
      <c r="D270" s="803" t="s">
        <v>24382</v>
      </c>
      <c r="E270" s="803" t="s">
        <v>15732</v>
      </c>
      <c r="F270" s="803">
        <v>2</v>
      </c>
      <c r="G270" s="803" t="s">
        <v>122</v>
      </c>
      <c r="H270" s="803" t="s">
        <v>122</v>
      </c>
      <c r="I270" s="804">
        <v>9250</v>
      </c>
      <c r="J270" s="803">
        <v>1</v>
      </c>
      <c r="K270" s="804">
        <f t="shared" si="24"/>
        <v>9250</v>
      </c>
      <c r="L270" s="804">
        <f t="shared" si="25"/>
        <v>9250</v>
      </c>
      <c r="M270" s="804">
        <f t="shared" si="26"/>
        <v>9250</v>
      </c>
      <c r="N270" s="803" t="s">
        <v>16141</v>
      </c>
      <c r="O270" s="805">
        <f t="shared" si="27"/>
        <v>9250</v>
      </c>
      <c r="P270" s="805">
        <f t="shared" si="28"/>
        <v>9250</v>
      </c>
      <c r="Q270" s="806">
        <f t="shared" si="29"/>
        <v>9250</v>
      </c>
    </row>
    <row r="271" spans="1:17" x14ac:dyDescent="0.2">
      <c r="A271" s="797" t="s">
        <v>17693</v>
      </c>
      <c r="B271" s="798" t="s">
        <v>13918</v>
      </c>
      <c r="C271" s="798" t="s">
        <v>17513</v>
      </c>
      <c r="D271" s="798" t="s">
        <v>24382</v>
      </c>
      <c r="E271" s="798" t="s">
        <v>15733</v>
      </c>
      <c r="F271" s="798">
        <v>3</v>
      </c>
      <c r="G271" s="798" t="s">
        <v>122</v>
      </c>
      <c r="H271" s="798" t="s">
        <v>122</v>
      </c>
      <c r="I271" s="799">
        <v>18000</v>
      </c>
      <c r="J271" s="798">
        <v>1</v>
      </c>
      <c r="K271" s="799">
        <f t="shared" si="24"/>
        <v>18000</v>
      </c>
      <c r="L271" s="799">
        <f t="shared" si="25"/>
        <v>18000</v>
      </c>
      <c r="M271" s="799">
        <f t="shared" si="26"/>
        <v>18000</v>
      </c>
      <c r="N271" s="798" t="s">
        <v>15754</v>
      </c>
      <c r="O271" s="800">
        <f t="shared" si="27"/>
        <v>18000</v>
      </c>
      <c r="P271" s="800">
        <f t="shared" si="28"/>
        <v>18000</v>
      </c>
      <c r="Q271" s="801">
        <f t="shared" si="29"/>
        <v>18000</v>
      </c>
    </row>
    <row r="272" spans="1:17" x14ac:dyDescent="0.2">
      <c r="A272" s="802" t="s">
        <v>16253</v>
      </c>
      <c r="B272" s="803" t="s">
        <v>13918</v>
      </c>
      <c r="C272" s="803" t="s">
        <v>17513</v>
      </c>
      <c r="D272" s="803" t="s">
        <v>24383</v>
      </c>
      <c r="E272" s="803" t="s">
        <v>15731</v>
      </c>
      <c r="F272" s="803">
        <v>1</v>
      </c>
      <c r="G272" s="803" t="s">
        <v>122</v>
      </c>
      <c r="H272" s="803" t="s">
        <v>122</v>
      </c>
      <c r="I272" s="804">
        <v>6200</v>
      </c>
      <c r="J272" s="803">
        <v>1</v>
      </c>
      <c r="K272" s="804">
        <f t="shared" si="24"/>
        <v>6200</v>
      </c>
      <c r="L272" s="804">
        <f t="shared" si="25"/>
        <v>6200</v>
      </c>
      <c r="M272" s="804">
        <f t="shared" si="26"/>
        <v>6200</v>
      </c>
      <c r="N272" s="803" t="s">
        <v>15753</v>
      </c>
      <c r="O272" s="805">
        <f t="shared" si="27"/>
        <v>6200</v>
      </c>
      <c r="P272" s="805">
        <f t="shared" si="28"/>
        <v>6200</v>
      </c>
      <c r="Q272" s="806">
        <f t="shared" si="29"/>
        <v>6200</v>
      </c>
    </row>
    <row r="273" spans="1:17" x14ac:dyDescent="0.2">
      <c r="A273" s="797" t="s">
        <v>17694</v>
      </c>
      <c r="B273" s="798" t="s">
        <v>13918</v>
      </c>
      <c r="C273" s="798" t="s">
        <v>17513</v>
      </c>
      <c r="D273" s="798" t="s">
        <v>24383</v>
      </c>
      <c r="E273" s="798" t="s">
        <v>15732</v>
      </c>
      <c r="F273" s="798">
        <v>2</v>
      </c>
      <c r="G273" s="798" t="s">
        <v>122</v>
      </c>
      <c r="H273" s="798" t="s">
        <v>122</v>
      </c>
      <c r="I273" s="799">
        <v>9300</v>
      </c>
      <c r="J273" s="798">
        <v>1</v>
      </c>
      <c r="K273" s="799">
        <f t="shared" si="24"/>
        <v>9300</v>
      </c>
      <c r="L273" s="799">
        <f t="shared" si="25"/>
        <v>9300</v>
      </c>
      <c r="M273" s="799">
        <f t="shared" si="26"/>
        <v>9300</v>
      </c>
      <c r="N273" s="798" t="s">
        <v>16141</v>
      </c>
      <c r="O273" s="800">
        <f t="shared" si="27"/>
        <v>9300</v>
      </c>
      <c r="P273" s="800">
        <f t="shared" si="28"/>
        <v>9300</v>
      </c>
      <c r="Q273" s="801">
        <f t="shared" si="29"/>
        <v>9300</v>
      </c>
    </row>
    <row r="274" spans="1:17" x14ac:dyDescent="0.2">
      <c r="A274" s="802" t="s">
        <v>17695</v>
      </c>
      <c r="B274" s="803" t="s">
        <v>13918</v>
      </c>
      <c r="C274" s="803" t="s">
        <v>17513</v>
      </c>
      <c r="D274" s="803" t="s">
        <v>24383</v>
      </c>
      <c r="E274" s="803" t="s">
        <v>15733</v>
      </c>
      <c r="F274" s="803">
        <v>3</v>
      </c>
      <c r="G274" s="803" t="s">
        <v>122</v>
      </c>
      <c r="H274" s="803" t="s">
        <v>122</v>
      </c>
      <c r="I274" s="804">
        <v>18000</v>
      </c>
      <c r="J274" s="803">
        <v>1</v>
      </c>
      <c r="K274" s="804">
        <f t="shared" si="24"/>
        <v>18000</v>
      </c>
      <c r="L274" s="804">
        <f t="shared" si="25"/>
        <v>18000</v>
      </c>
      <c r="M274" s="804">
        <f t="shared" si="26"/>
        <v>18000</v>
      </c>
      <c r="N274" s="803" t="s">
        <v>15754</v>
      </c>
      <c r="O274" s="805">
        <f t="shared" si="27"/>
        <v>18000</v>
      </c>
      <c r="P274" s="805">
        <f t="shared" si="28"/>
        <v>18000</v>
      </c>
      <c r="Q274" s="806">
        <f t="shared" si="29"/>
        <v>18000</v>
      </c>
    </row>
    <row r="275" spans="1:17" x14ac:dyDescent="0.2">
      <c r="A275" s="797" t="s">
        <v>16260</v>
      </c>
      <c r="B275" s="798" t="s">
        <v>13918</v>
      </c>
      <c r="C275" s="798" t="s">
        <v>17513</v>
      </c>
      <c r="D275" s="798" t="s">
        <v>24384</v>
      </c>
      <c r="E275" s="798" t="s">
        <v>15731</v>
      </c>
      <c r="F275" s="798">
        <v>1</v>
      </c>
      <c r="G275" s="798" t="s">
        <v>122</v>
      </c>
      <c r="H275" s="798" t="s">
        <v>122</v>
      </c>
      <c r="I275" s="799">
        <v>6250</v>
      </c>
      <c r="J275" s="798">
        <v>1</v>
      </c>
      <c r="K275" s="799">
        <f t="shared" si="24"/>
        <v>6250</v>
      </c>
      <c r="L275" s="799">
        <f t="shared" si="25"/>
        <v>6250</v>
      </c>
      <c r="M275" s="799">
        <f t="shared" si="26"/>
        <v>6250</v>
      </c>
      <c r="N275" s="798" t="s">
        <v>15753</v>
      </c>
      <c r="O275" s="800">
        <f t="shared" si="27"/>
        <v>6250</v>
      </c>
      <c r="P275" s="800">
        <f t="shared" si="28"/>
        <v>6250</v>
      </c>
      <c r="Q275" s="801">
        <f t="shared" si="29"/>
        <v>6250</v>
      </c>
    </row>
    <row r="276" spans="1:17" x14ac:dyDescent="0.2">
      <c r="A276" s="802" t="s">
        <v>17696</v>
      </c>
      <c r="B276" s="803" t="s">
        <v>13918</v>
      </c>
      <c r="C276" s="803" t="s">
        <v>17513</v>
      </c>
      <c r="D276" s="803" t="s">
        <v>24384</v>
      </c>
      <c r="E276" s="803" t="s">
        <v>15732</v>
      </c>
      <c r="F276" s="803">
        <v>2</v>
      </c>
      <c r="G276" s="803" t="s">
        <v>122</v>
      </c>
      <c r="H276" s="803" t="s">
        <v>122</v>
      </c>
      <c r="I276" s="804">
        <v>9350</v>
      </c>
      <c r="J276" s="803">
        <v>1</v>
      </c>
      <c r="K276" s="804">
        <f t="shared" si="24"/>
        <v>9350</v>
      </c>
      <c r="L276" s="804">
        <f t="shared" si="25"/>
        <v>9350</v>
      </c>
      <c r="M276" s="804">
        <f t="shared" si="26"/>
        <v>9350</v>
      </c>
      <c r="N276" s="803" t="s">
        <v>16141</v>
      </c>
      <c r="O276" s="805">
        <f t="shared" si="27"/>
        <v>9350</v>
      </c>
      <c r="P276" s="805">
        <f t="shared" si="28"/>
        <v>9350</v>
      </c>
      <c r="Q276" s="806">
        <f t="shared" si="29"/>
        <v>9350</v>
      </c>
    </row>
    <row r="277" spans="1:17" x14ac:dyDescent="0.2">
      <c r="A277" s="797" t="s">
        <v>17697</v>
      </c>
      <c r="B277" s="798" t="s">
        <v>13918</v>
      </c>
      <c r="C277" s="798" t="s">
        <v>17513</v>
      </c>
      <c r="D277" s="798" t="s">
        <v>24384</v>
      </c>
      <c r="E277" s="798" t="s">
        <v>15733</v>
      </c>
      <c r="F277" s="798">
        <v>3</v>
      </c>
      <c r="G277" s="798" t="s">
        <v>122</v>
      </c>
      <c r="H277" s="798" t="s">
        <v>122</v>
      </c>
      <c r="I277" s="799">
        <v>18000</v>
      </c>
      <c r="J277" s="798">
        <v>1</v>
      </c>
      <c r="K277" s="799">
        <f t="shared" si="24"/>
        <v>18000</v>
      </c>
      <c r="L277" s="799">
        <f t="shared" si="25"/>
        <v>18000</v>
      </c>
      <c r="M277" s="799">
        <f t="shared" si="26"/>
        <v>18000</v>
      </c>
      <c r="N277" s="798" t="s">
        <v>15754</v>
      </c>
      <c r="O277" s="800">
        <f t="shared" si="27"/>
        <v>18000</v>
      </c>
      <c r="P277" s="800">
        <f t="shared" si="28"/>
        <v>18000</v>
      </c>
      <c r="Q277" s="801">
        <f t="shared" si="29"/>
        <v>18000</v>
      </c>
    </row>
    <row r="278" spans="1:17" x14ac:dyDescent="0.2">
      <c r="A278" s="802" t="s">
        <v>16263</v>
      </c>
      <c r="B278" s="803" t="s">
        <v>13918</v>
      </c>
      <c r="C278" s="803" t="s">
        <v>17513</v>
      </c>
      <c r="D278" s="803" t="s">
        <v>24385</v>
      </c>
      <c r="E278" s="803" t="s">
        <v>15731</v>
      </c>
      <c r="F278" s="803">
        <v>1</v>
      </c>
      <c r="G278" s="803" t="s">
        <v>122</v>
      </c>
      <c r="H278" s="803" t="s">
        <v>122</v>
      </c>
      <c r="I278" s="804">
        <v>6250</v>
      </c>
      <c r="J278" s="803">
        <v>1</v>
      </c>
      <c r="K278" s="804">
        <f t="shared" si="24"/>
        <v>6250</v>
      </c>
      <c r="L278" s="804">
        <f t="shared" si="25"/>
        <v>6250</v>
      </c>
      <c r="M278" s="804">
        <f t="shared" si="26"/>
        <v>6250</v>
      </c>
      <c r="N278" s="803" t="s">
        <v>15753</v>
      </c>
      <c r="O278" s="805">
        <f t="shared" si="27"/>
        <v>6250</v>
      </c>
      <c r="P278" s="805">
        <f t="shared" si="28"/>
        <v>6250</v>
      </c>
      <c r="Q278" s="806">
        <f t="shared" si="29"/>
        <v>6250</v>
      </c>
    </row>
    <row r="279" spans="1:17" x14ac:dyDescent="0.2">
      <c r="A279" s="797" t="s">
        <v>17698</v>
      </c>
      <c r="B279" s="798" t="s">
        <v>13918</v>
      </c>
      <c r="C279" s="798" t="s">
        <v>17513</v>
      </c>
      <c r="D279" s="798" t="s">
        <v>24385</v>
      </c>
      <c r="E279" s="798" t="s">
        <v>15732</v>
      </c>
      <c r="F279" s="798">
        <v>2</v>
      </c>
      <c r="G279" s="798" t="s">
        <v>122</v>
      </c>
      <c r="H279" s="798" t="s">
        <v>122</v>
      </c>
      <c r="I279" s="799">
        <v>9400</v>
      </c>
      <c r="J279" s="798">
        <v>1</v>
      </c>
      <c r="K279" s="799">
        <f t="shared" si="24"/>
        <v>9400</v>
      </c>
      <c r="L279" s="799">
        <f t="shared" si="25"/>
        <v>9400</v>
      </c>
      <c r="M279" s="799">
        <f t="shared" si="26"/>
        <v>9400</v>
      </c>
      <c r="N279" s="798" t="s">
        <v>16141</v>
      </c>
      <c r="O279" s="800">
        <f t="shared" si="27"/>
        <v>9400</v>
      </c>
      <c r="P279" s="800">
        <f t="shared" si="28"/>
        <v>9400</v>
      </c>
      <c r="Q279" s="801">
        <f t="shared" si="29"/>
        <v>9400</v>
      </c>
    </row>
    <row r="280" spans="1:17" x14ac:dyDescent="0.2">
      <c r="A280" s="802" t="s">
        <v>17699</v>
      </c>
      <c r="B280" s="803" t="s">
        <v>13918</v>
      </c>
      <c r="C280" s="803" t="s">
        <v>17513</v>
      </c>
      <c r="D280" s="803" t="s">
        <v>24385</v>
      </c>
      <c r="E280" s="803" t="s">
        <v>15733</v>
      </c>
      <c r="F280" s="803">
        <v>3</v>
      </c>
      <c r="G280" s="803" t="s">
        <v>122</v>
      </c>
      <c r="H280" s="803" t="s">
        <v>122</v>
      </c>
      <c r="I280" s="804">
        <v>18000</v>
      </c>
      <c r="J280" s="803">
        <v>1</v>
      </c>
      <c r="K280" s="804">
        <f t="shared" si="24"/>
        <v>18000</v>
      </c>
      <c r="L280" s="804">
        <f t="shared" si="25"/>
        <v>18000</v>
      </c>
      <c r="M280" s="804">
        <f t="shared" si="26"/>
        <v>18000</v>
      </c>
      <c r="N280" s="803" t="s">
        <v>15754</v>
      </c>
      <c r="O280" s="805">
        <f t="shared" si="27"/>
        <v>18000</v>
      </c>
      <c r="P280" s="805">
        <f t="shared" si="28"/>
        <v>18000</v>
      </c>
      <c r="Q280" s="806">
        <f t="shared" si="29"/>
        <v>18000</v>
      </c>
    </row>
    <row r="281" spans="1:17" x14ac:dyDescent="0.2">
      <c r="A281" s="797" t="s">
        <v>16270</v>
      </c>
      <c r="B281" s="798" t="s">
        <v>13918</v>
      </c>
      <c r="C281" s="798" t="s">
        <v>17513</v>
      </c>
      <c r="D281" s="798" t="s">
        <v>24386</v>
      </c>
      <c r="E281" s="798" t="s">
        <v>15731</v>
      </c>
      <c r="F281" s="798">
        <v>1</v>
      </c>
      <c r="G281" s="798" t="s">
        <v>122</v>
      </c>
      <c r="H281" s="798" t="s">
        <v>122</v>
      </c>
      <c r="I281" s="799">
        <v>7100</v>
      </c>
      <c r="J281" s="798">
        <v>1</v>
      </c>
      <c r="K281" s="799">
        <f t="shared" si="24"/>
        <v>7100</v>
      </c>
      <c r="L281" s="799">
        <f t="shared" si="25"/>
        <v>7100</v>
      </c>
      <c r="M281" s="799">
        <f t="shared" si="26"/>
        <v>7100</v>
      </c>
      <c r="N281" s="798" t="s">
        <v>15753</v>
      </c>
      <c r="O281" s="800">
        <f t="shared" si="27"/>
        <v>7100</v>
      </c>
      <c r="P281" s="800">
        <f t="shared" si="28"/>
        <v>7100</v>
      </c>
      <c r="Q281" s="801">
        <f t="shared" si="29"/>
        <v>7100</v>
      </c>
    </row>
    <row r="282" spans="1:17" x14ac:dyDescent="0.2">
      <c r="A282" s="802" t="s">
        <v>17700</v>
      </c>
      <c r="B282" s="803" t="s">
        <v>13918</v>
      </c>
      <c r="C282" s="803" t="s">
        <v>17513</v>
      </c>
      <c r="D282" s="803" t="s">
        <v>24386</v>
      </c>
      <c r="E282" s="803" t="s">
        <v>15732</v>
      </c>
      <c r="F282" s="803">
        <v>2</v>
      </c>
      <c r="G282" s="803" t="s">
        <v>122</v>
      </c>
      <c r="H282" s="803" t="s">
        <v>122</v>
      </c>
      <c r="I282" s="804">
        <v>10000</v>
      </c>
      <c r="J282" s="803">
        <v>1</v>
      </c>
      <c r="K282" s="804">
        <f t="shared" si="24"/>
        <v>10000</v>
      </c>
      <c r="L282" s="804">
        <f t="shared" si="25"/>
        <v>10000</v>
      </c>
      <c r="M282" s="804">
        <f t="shared" si="26"/>
        <v>10000</v>
      </c>
      <c r="N282" s="803" t="s">
        <v>16141</v>
      </c>
      <c r="O282" s="805">
        <f t="shared" si="27"/>
        <v>10000</v>
      </c>
      <c r="P282" s="805">
        <f t="shared" si="28"/>
        <v>10000</v>
      </c>
      <c r="Q282" s="806">
        <f t="shared" si="29"/>
        <v>10000</v>
      </c>
    </row>
    <row r="283" spans="1:17" x14ac:dyDescent="0.2">
      <c r="A283" s="797" t="s">
        <v>17701</v>
      </c>
      <c r="B283" s="798" t="s">
        <v>13918</v>
      </c>
      <c r="C283" s="798" t="s">
        <v>17513</v>
      </c>
      <c r="D283" s="798" t="s">
        <v>24386</v>
      </c>
      <c r="E283" s="798" t="s">
        <v>15733</v>
      </c>
      <c r="F283" s="798">
        <v>3</v>
      </c>
      <c r="G283" s="798" t="s">
        <v>122</v>
      </c>
      <c r="H283" s="798" t="s">
        <v>122</v>
      </c>
      <c r="I283" s="799">
        <v>21000</v>
      </c>
      <c r="J283" s="798">
        <v>1</v>
      </c>
      <c r="K283" s="799">
        <f t="shared" si="24"/>
        <v>21000</v>
      </c>
      <c r="L283" s="799">
        <f t="shared" si="25"/>
        <v>21000</v>
      </c>
      <c r="M283" s="799">
        <f t="shared" si="26"/>
        <v>21000</v>
      </c>
      <c r="N283" s="798" t="s">
        <v>15754</v>
      </c>
      <c r="O283" s="800">
        <f t="shared" si="27"/>
        <v>21000</v>
      </c>
      <c r="P283" s="800">
        <f t="shared" si="28"/>
        <v>21000</v>
      </c>
      <c r="Q283" s="801">
        <f t="shared" si="29"/>
        <v>21000</v>
      </c>
    </row>
    <row r="284" spans="1:17" x14ac:dyDescent="0.2">
      <c r="A284" s="802" t="s">
        <v>16273</v>
      </c>
      <c r="B284" s="803" t="s">
        <v>13918</v>
      </c>
      <c r="C284" s="803" t="s">
        <v>17513</v>
      </c>
      <c r="D284" s="803" t="s">
        <v>24387</v>
      </c>
      <c r="E284" s="803" t="s">
        <v>15731</v>
      </c>
      <c r="F284" s="803">
        <v>1</v>
      </c>
      <c r="G284" s="803" t="s">
        <v>122</v>
      </c>
      <c r="H284" s="803" t="s">
        <v>122</v>
      </c>
      <c r="I284" s="804">
        <v>6300</v>
      </c>
      <c r="J284" s="803">
        <v>1</v>
      </c>
      <c r="K284" s="804">
        <f t="shared" si="24"/>
        <v>6300</v>
      </c>
      <c r="L284" s="804">
        <f t="shared" si="25"/>
        <v>6300</v>
      </c>
      <c r="M284" s="804">
        <f t="shared" si="26"/>
        <v>6300</v>
      </c>
      <c r="N284" s="803" t="s">
        <v>15753</v>
      </c>
      <c r="O284" s="805">
        <f t="shared" si="27"/>
        <v>6300</v>
      </c>
      <c r="P284" s="805">
        <f t="shared" si="28"/>
        <v>6300</v>
      </c>
      <c r="Q284" s="806">
        <f t="shared" si="29"/>
        <v>6300</v>
      </c>
    </row>
    <row r="285" spans="1:17" x14ac:dyDescent="0.2">
      <c r="A285" s="797" t="s">
        <v>17702</v>
      </c>
      <c r="B285" s="798" t="s">
        <v>13918</v>
      </c>
      <c r="C285" s="798" t="s">
        <v>17513</v>
      </c>
      <c r="D285" s="798" t="s">
        <v>24387</v>
      </c>
      <c r="E285" s="798" t="s">
        <v>15732</v>
      </c>
      <c r="F285" s="798">
        <v>2</v>
      </c>
      <c r="G285" s="798" t="s">
        <v>122</v>
      </c>
      <c r="H285" s="798" t="s">
        <v>122</v>
      </c>
      <c r="I285" s="799">
        <v>9450</v>
      </c>
      <c r="J285" s="798">
        <v>1</v>
      </c>
      <c r="K285" s="799">
        <f t="shared" si="24"/>
        <v>9450</v>
      </c>
      <c r="L285" s="799">
        <f t="shared" si="25"/>
        <v>9450</v>
      </c>
      <c r="M285" s="799">
        <f t="shared" si="26"/>
        <v>9450</v>
      </c>
      <c r="N285" s="798" t="s">
        <v>16141</v>
      </c>
      <c r="O285" s="800">
        <f t="shared" si="27"/>
        <v>9450</v>
      </c>
      <c r="P285" s="800">
        <f t="shared" si="28"/>
        <v>9450</v>
      </c>
      <c r="Q285" s="801">
        <f t="shared" si="29"/>
        <v>9450</v>
      </c>
    </row>
    <row r="286" spans="1:17" x14ac:dyDescent="0.2">
      <c r="A286" s="802" t="s">
        <v>17703</v>
      </c>
      <c r="B286" s="803" t="s">
        <v>13918</v>
      </c>
      <c r="C286" s="803" t="s">
        <v>17513</v>
      </c>
      <c r="D286" s="803" t="s">
        <v>24387</v>
      </c>
      <c r="E286" s="803" t="s">
        <v>15733</v>
      </c>
      <c r="F286" s="803">
        <v>3</v>
      </c>
      <c r="G286" s="803" t="s">
        <v>122</v>
      </c>
      <c r="H286" s="803" t="s">
        <v>122</v>
      </c>
      <c r="I286" s="804">
        <v>18000</v>
      </c>
      <c r="J286" s="803">
        <v>1</v>
      </c>
      <c r="K286" s="804">
        <f t="shared" si="24"/>
        <v>18000</v>
      </c>
      <c r="L286" s="804">
        <f t="shared" si="25"/>
        <v>18000</v>
      </c>
      <c r="M286" s="804">
        <f t="shared" si="26"/>
        <v>18000</v>
      </c>
      <c r="N286" s="803" t="s">
        <v>15754</v>
      </c>
      <c r="O286" s="805">
        <f t="shared" si="27"/>
        <v>18000</v>
      </c>
      <c r="P286" s="805">
        <f t="shared" si="28"/>
        <v>18000</v>
      </c>
      <c r="Q286" s="806">
        <f t="shared" si="29"/>
        <v>18000</v>
      </c>
    </row>
    <row r="287" spans="1:17" x14ac:dyDescent="0.2">
      <c r="A287" s="797" t="s">
        <v>16280</v>
      </c>
      <c r="B287" s="798" t="s">
        <v>13918</v>
      </c>
      <c r="C287" s="798" t="s">
        <v>17513</v>
      </c>
      <c r="D287" s="798" t="s">
        <v>24388</v>
      </c>
      <c r="E287" s="798" t="s">
        <v>15731</v>
      </c>
      <c r="F287" s="798">
        <v>1</v>
      </c>
      <c r="G287" s="798" t="s">
        <v>122</v>
      </c>
      <c r="H287" s="798" t="s">
        <v>122</v>
      </c>
      <c r="I287" s="799">
        <v>6300</v>
      </c>
      <c r="J287" s="798">
        <v>1</v>
      </c>
      <c r="K287" s="799">
        <f t="shared" si="24"/>
        <v>6300</v>
      </c>
      <c r="L287" s="799">
        <f t="shared" si="25"/>
        <v>6300</v>
      </c>
      <c r="M287" s="799">
        <f t="shared" si="26"/>
        <v>6300</v>
      </c>
      <c r="N287" s="798" t="s">
        <v>15753</v>
      </c>
      <c r="O287" s="800">
        <f t="shared" si="27"/>
        <v>6300</v>
      </c>
      <c r="P287" s="800">
        <f t="shared" si="28"/>
        <v>6300</v>
      </c>
      <c r="Q287" s="801">
        <f t="shared" si="29"/>
        <v>6300</v>
      </c>
    </row>
    <row r="288" spans="1:17" x14ac:dyDescent="0.2">
      <c r="A288" s="802" t="s">
        <v>17704</v>
      </c>
      <c r="B288" s="803" t="s">
        <v>13918</v>
      </c>
      <c r="C288" s="803" t="s">
        <v>17513</v>
      </c>
      <c r="D288" s="803" t="s">
        <v>24388</v>
      </c>
      <c r="E288" s="803" t="s">
        <v>15732</v>
      </c>
      <c r="F288" s="803">
        <v>2</v>
      </c>
      <c r="G288" s="803" t="s">
        <v>122</v>
      </c>
      <c r="H288" s="803" t="s">
        <v>122</v>
      </c>
      <c r="I288" s="804">
        <v>9500</v>
      </c>
      <c r="J288" s="803">
        <v>1</v>
      </c>
      <c r="K288" s="804">
        <f t="shared" si="24"/>
        <v>9500</v>
      </c>
      <c r="L288" s="804">
        <f t="shared" si="25"/>
        <v>9500</v>
      </c>
      <c r="M288" s="804">
        <f t="shared" si="26"/>
        <v>9500</v>
      </c>
      <c r="N288" s="803" t="s">
        <v>16141</v>
      </c>
      <c r="O288" s="805">
        <f t="shared" si="27"/>
        <v>9500</v>
      </c>
      <c r="P288" s="805">
        <f t="shared" si="28"/>
        <v>9500</v>
      </c>
      <c r="Q288" s="806">
        <f t="shared" si="29"/>
        <v>9500</v>
      </c>
    </row>
    <row r="289" spans="1:17" x14ac:dyDescent="0.2">
      <c r="A289" s="797" t="s">
        <v>17705</v>
      </c>
      <c r="B289" s="798" t="s">
        <v>13918</v>
      </c>
      <c r="C289" s="798" t="s">
        <v>17513</v>
      </c>
      <c r="D289" s="798" t="s">
        <v>24388</v>
      </c>
      <c r="E289" s="798" t="s">
        <v>15733</v>
      </c>
      <c r="F289" s="798">
        <v>3</v>
      </c>
      <c r="G289" s="798" t="s">
        <v>122</v>
      </c>
      <c r="H289" s="798" t="s">
        <v>122</v>
      </c>
      <c r="I289" s="799">
        <v>18000</v>
      </c>
      <c r="J289" s="798">
        <v>1</v>
      </c>
      <c r="K289" s="799">
        <f t="shared" si="24"/>
        <v>18000</v>
      </c>
      <c r="L289" s="799">
        <f t="shared" si="25"/>
        <v>18000</v>
      </c>
      <c r="M289" s="799">
        <f t="shared" si="26"/>
        <v>18000</v>
      </c>
      <c r="N289" s="798" t="s">
        <v>15754</v>
      </c>
      <c r="O289" s="800">
        <f t="shared" si="27"/>
        <v>18000</v>
      </c>
      <c r="P289" s="800">
        <f t="shared" si="28"/>
        <v>18000</v>
      </c>
      <c r="Q289" s="801">
        <f t="shared" si="29"/>
        <v>18000</v>
      </c>
    </row>
    <row r="290" spans="1:17" x14ac:dyDescent="0.2">
      <c r="A290" s="802" t="s">
        <v>16292</v>
      </c>
      <c r="B290" s="803" t="s">
        <v>13918</v>
      </c>
      <c r="C290" s="803" t="s">
        <v>17513</v>
      </c>
      <c r="D290" s="803" t="s">
        <v>24389</v>
      </c>
      <c r="E290" s="803" t="s">
        <v>15731</v>
      </c>
      <c r="F290" s="803">
        <v>1</v>
      </c>
      <c r="G290" s="803" t="s">
        <v>2837</v>
      </c>
      <c r="H290" s="803" t="s">
        <v>2837</v>
      </c>
      <c r="I290" s="804">
        <v>7000</v>
      </c>
      <c r="J290" s="803">
        <v>1</v>
      </c>
      <c r="K290" s="804">
        <f t="shared" si="24"/>
        <v>7000</v>
      </c>
      <c r="L290" s="804">
        <f t="shared" si="25"/>
        <v>7000</v>
      </c>
      <c r="M290" s="804">
        <f t="shared" si="26"/>
        <v>7000</v>
      </c>
      <c r="N290" s="803" t="s">
        <v>15753</v>
      </c>
      <c r="O290" s="805">
        <f t="shared" si="27"/>
        <v>7000</v>
      </c>
      <c r="P290" s="805">
        <f t="shared" si="28"/>
        <v>7000</v>
      </c>
      <c r="Q290" s="806">
        <f t="shared" si="29"/>
        <v>7000</v>
      </c>
    </row>
    <row r="291" spans="1:17" x14ac:dyDescent="0.2">
      <c r="A291" s="797" t="s">
        <v>17706</v>
      </c>
      <c r="B291" s="798" t="s">
        <v>13918</v>
      </c>
      <c r="C291" s="798" t="s">
        <v>17513</v>
      </c>
      <c r="D291" s="798" t="s">
        <v>24389</v>
      </c>
      <c r="E291" s="798" t="s">
        <v>15732</v>
      </c>
      <c r="F291" s="798">
        <v>2</v>
      </c>
      <c r="G291" s="798" t="s">
        <v>2837</v>
      </c>
      <c r="H291" s="798" t="s">
        <v>2837</v>
      </c>
      <c r="I291" s="799">
        <v>10000</v>
      </c>
      <c r="J291" s="798">
        <v>1</v>
      </c>
      <c r="K291" s="799">
        <f t="shared" si="24"/>
        <v>10000</v>
      </c>
      <c r="L291" s="799">
        <f t="shared" si="25"/>
        <v>10000</v>
      </c>
      <c r="M291" s="799">
        <f t="shared" si="26"/>
        <v>10000</v>
      </c>
      <c r="N291" s="798" t="s">
        <v>16141</v>
      </c>
      <c r="O291" s="800">
        <f t="shared" si="27"/>
        <v>10000</v>
      </c>
      <c r="P291" s="800">
        <f t="shared" si="28"/>
        <v>10000</v>
      </c>
      <c r="Q291" s="801">
        <f t="shared" si="29"/>
        <v>10000</v>
      </c>
    </row>
    <row r="292" spans="1:17" x14ac:dyDescent="0.2">
      <c r="A292" s="802" t="s">
        <v>17707</v>
      </c>
      <c r="B292" s="803" t="s">
        <v>13918</v>
      </c>
      <c r="C292" s="803" t="s">
        <v>17513</v>
      </c>
      <c r="D292" s="803" t="s">
        <v>24389</v>
      </c>
      <c r="E292" s="803" t="s">
        <v>15733</v>
      </c>
      <c r="F292" s="803">
        <v>3</v>
      </c>
      <c r="G292" s="803" t="s">
        <v>2837</v>
      </c>
      <c r="H292" s="803" t="s">
        <v>2837</v>
      </c>
      <c r="I292" s="804">
        <v>18000</v>
      </c>
      <c r="J292" s="803">
        <v>1</v>
      </c>
      <c r="K292" s="804">
        <f t="shared" si="24"/>
        <v>18000</v>
      </c>
      <c r="L292" s="804">
        <f t="shared" si="25"/>
        <v>18000</v>
      </c>
      <c r="M292" s="804">
        <f t="shared" si="26"/>
        <v>18000</v>
      </c>
      <c r="N292" s="803" t="s">
        <v>15754</v>
      </c>
      <c r="O292" s="805">
        <f t="shared" si="27"/>
        <v>18000</v>
      </c>
      <c r="P292" s="805">
        <f t="shared" si="28"/>
        <v>18000</v>
      </c>
      <c r="Q292" s="806">
        <f t="shared" si="29"/>
        <v>18000</v>
      </c>
    </row>
    <row r="293" spans="1:17" x14ac:dyDescent="0.2">
      <c r="A293" s="797" t="s">
        <v>16299</v>
      </c>
      <c r="B293" s="798" t="s">
        <v>13918</v>
      </c>
      <c r="C293" s="798" t="s">
        <v>17513</v>
      </c>
      <c r="D293" s="798" t="s">
        <v>24390</v>
      </c>
      <c r="E293" s="798" t="s">
        <v>15731</v>
      </c>
      <c r="F293" s="798">
        <v>1</v>
      </c>
      <c r="G293" s="798" t="s">
        <v>2837</v>
      </c>
      <c r="H293" s="798" t="s">
        <v>2837</v>
      </c>
      <c r="I293" s="799">
        <v>7050</v>
      </c>
      <c r="J293" s="798">
        <v>1</v>
      </c>
      <c r="K293" s="799">
        <f t="shared" si="24"/>
        <v>7050</v>
      </c>
      <c r="L293" s="799">
        <f t="shared" si="25"/>
        <v>7050</v>
      </c>
      <c r="M293" s="799">
        <f t="shared" si="26"/>
        <v>7050</v>
      </c>
      <c r="N293" s="798" t="s">
        <v>15753</v>
      </c>
      <c r="O293" s="800">
        <f t="shared" si="27"/>
        <v>7050</v>
      </c>
      <c r="P293" s="800">
        <f t="shared" si="28"/>
        <v>7050</v>
      </c>
      <c r="Q293" s="801">
        <f t="shared" si="29"/>
        <v>7050</v>
      </c>
    </row>
    <row r="294" spans="1:17" x14ac:dyDescent="0.2">
      <c r="A294" s="802" t="s">
        <v>17708</v>
      </c>
      <c r="B294" s="803" t="s">
        <v>13918</v>
      </c>
      <c r="C294" s="803" t="s">
        <v>17513</v>
      </c>
      <c r="D294" s="803" t="s">
        <v>24390</v>
      </c>
      <c r="E294" s="803" t="s">
        <v>15732</v>
      </c>
      <c r="F294" s="803">
        <v>2</v>
      </c>
      <c r="G294" s="803" t="s">
        <v>2837</v>
      </c>
      <c r="H294" s="803" t="s">
        <v>2837</v>
      </c>
      <c r="I294" s="804">
        <v>10050</v>
      </c>
      <c r="J294" s="803">
        <v>1</v>
      </c>
      <c r="K294" s="804">
        <f t="shared" si="24"/>
        <v>10050</v>
      </c>
      <c r="L294" s="804">
        <f t="shared" si="25"/>
        <v>10050</v>
      </c>
      <c r="M294" s="804">
        <f t="shared" si="26"/>
        <v>10050</v>
      </c>
      <c r="N294" s="803" t="s">
        <v>16141</v>
      </c>
      <c r="O294" s="805">
        <f t="shared" si="27"/>
        <v>10050</v>
      </c>
      <c r="P294" s="805">
        <f t="shared" si="28"/>
        <v>10050</v>
      </c>
      <c r="Q294" s="806">
        <f t="shared" si="29"/>
        <v>10050</v>
      </c>
    </row>
    <row r="295" spans="1:17" x14ac:dyDescent="0.2">
      <c r="A295" s="797" t="s">
        <v>17709</v>
      </c>
      <c r="B295" s="798" t="s">
        <v>13918</v>
      </c>
      <c r="C295" s="798" t="s">
        <v>17513</v>
      </c>
      <c r="D295" s="798" t="s">
        <v>24390</v>
      </c>
      <c r="E295" s="798" t="s">
        <v>15733</v>
      </c>
      <c r="F295" s="798">
        <v>3</v>
      </c>
      <c r="G295" s="798" t="s">
        <v>2837</v>
      </c>
      <c r="H295" s="798" t="s">
        <v>2837</v>
      </c>
      <c r="I295" s="799">
        <v>18000</v>
      </c>
      <c r="J295" s="798">
        <v>1</v>
      </c>
      <c r="K295" s="799">
        <f t="shared" si="24"/>
        <v>18000</v>
      </c>
      <c r="L295" s="799">
        <f t="shared" si="25"/>
        <v>18000</v>
      </c>
      <c r="M295" s="799">
        <f t="shared" si="26"/>
        <v>18000</v>
      </c>
      <c r="N295" s="798" t="s">
        <v>15754</v>
      </c>
      <c r="O295" s="800">
        <f t="shared" si="27"/>
        <v>18000</v>
      </c>
      <c r="P295" s="800">
        <f t="shared" si="28"/>
        <v>18000</v>
      </c>
      <c r="Q295" s="801">
        <f t="shared" si="29"/>
        <v>18000</v>
      </c>
    </row>
    <row r="296" spans="1:17" x14ac:dyDescent="0.2">
      <c r="A296" s="802" t="s">
        <v>16306</v>
      </c>
      <c r="B296" s="803" t="s">
        <v>13918</v>
      </c>
      <c r="C296" s="803" t="s">
        <v>17513</v>
      </c>
      <c r="D296" s="803" t="s">
        <v>24391</v>
      </c>
      <c r="E296" s="803" t="s">
        <v>15731</v>
      </c>
      <c r="F296" s="803">
        <v>1</v>
      </c>
      <c r="G296" s="803" t="s">
        <v>2837</v>
      </c>
      <c r="H296" s="803" t="s">
        <v>2837</v>
      </c>
      <c r="I296" s="804">
        <v>7700</v>
      </c>
      <c r="J296" s="803">
        <v>1</v>
      </c>
      <c r="K296" s="804">
        <f t="shared" si="24"/>
        <v>7700</v>
      </c>
      <c r="L296" s="804">
        <f t="shared" si="25"/>
        <v>7700</v>
      </c>
      <c r="M296" s="804">
        <f t="shared" si="26"/>
        <v>7700</v>
      </c>
      <c r="N296" s="803" t="s">
        <v>15753</v>
      </c>
      <c r="O296" s="805">
        <f t="shared" si="27"/>
        <v>7700</v>
      </c>
      <c r="P296" s="805">
        <f t="shared" si="28"/>
        <v>7700</v>
      </c>
      <c r="Q296" s="806">
        <f t="shared" si="29"/>
        <v>7700</v>
      </c>
    </row>
    <row r="297" spans="1:17" x14ac:dyDescent="0.2">
      <c r="A297" s="797" t="s">
        <v>17710</v>
      </c>
      <c r="B297" s="798" t="s">
        <v>13918</v>
      </c>
      <c r="C297" s="798" t="s">
        <v>17513</v>
      </c>
      <c r="D297" s="798" t="s">
        <v>24391</v>
      </c>
      <c r="E297" s="798" t="s">
        <v>15732</v>
      </c>
      <c r="F297" s="798">
        <v>2</v>
      </c>
      <c r="G297" s="798" t="s">
        <v>2837</v>
      </c>
      <c r="H297" s="798" t="s">
        <v>2837</v>
      </c>
      <c r="I297" s="799">
        <v>12000</v>
      </c>
      <c r="J297" s="798">
        <v>1</v>
      </c>
      <c r="K297" s="799">
        <f t="shared" si="24"/>
        <v>12000</v>
      </c>
      <c r="L297" s="799">
        <f t="shared" si="25"/>
        <v>12000</v>
      </c>
      <c r="M297" s="799">
        <f t="shared" si="26"/>
        <v>12000</v>
      </c>
      <c r="N297" s="798" t="s">
        <v>16141</v>
      </c>
      <c r="O297" s="800">
        <f t="shared" si="27"/>
        <v>12000</v>
      </c>
      <c r="P297" s="800">
        <f t="shared" si="28"/>
        <v>12000</v>
      </c>
      <c r="Q297" s="801">
        <f t="shared" si="29"/>
        <v>12000</v>
      </c>
    </row>
    <row r="298" spans="1:17" x14ac:dyDescent="0.2">
      <c r="A298" s="802" t="s">
        <v>17711</v>
      </c>
      <c r="B298" s="803" t="s">
        <v>13918</v>
      </c>
      <c r="C298" s="803" t="s">
        <v>17513</v>
      </c>
      <c r="D298" s="803" t="s">
        <v>24391</v>
      </c>
      <c r="E298" s="803" t="s">
        <v>15733</v>
      </c>
      <c r="F298" s="803">
        <v>3</v>
      </c>
      <c r="G298" s="803" t="s">
        <v>2837</v>
      </c>
      <c r="H298" s="803" t="s">
        <v>2837</v>
      </c>
      <c r="I298" s="804">
        <v>21000</v>
      </c>
      <c r="J298" s="803">
        <v>1</v>
      </c>
      <c r="K298" s="804">
        <f t="shared" si="24"/>
        <v>21000</v>
      </c>
      <c r="L298" s="804">
        <f t="shared" si="25"/>
        <v>21000</v>
      </c>
      <c r="M298" s="804">
        <f t="shared" si="26"/>
        <v>21000</v>
      </c>
      <c r="N298" s="803" t="s">
        <v>15754</v>
      </c>
      <c r="O298" s="805">
        <f t="shared" si="27"/>
        <v>21000</v>
      </c>
      <c r="P298" s="805">
        <f t="shared" si="28"/>
        <v>21000</v>
      </c>
      <c r="Q298" s="806">
        <f t="shared" si="29"/>
        <v>21000</v>
      </c>
    </row>
    <row r="299" spans="1:17" x14ac:dyDescent="0.2">
      <c r="A299" s="797" t="s">
        <v>16313</v>
      </c>
      <c r="B299" s="798" t="s">
        <v>13918</v>
      </c>
      <c r="C299" s="798" t="s">
        <v>17513</v>
      </c>
      <c r="D299" s="798" t="s">
        <v>24392</v>
      </c>
      <c r="E299" s="798" t="s">
        <v>15731</v>
      </c>
      <c r="F299" s="798">
        <v>1</v>
      </c>
      <c r="G299" s="798" t="s">
        <v>2837</v>
      </c>
      <c r="H299" s="798" t="s">
        <v>2837</v>
      </c>
      <c r="I299" s="799">
        <v>7050</v>
      </c>
      <c r="J299" s="798">
        <v>1</v>
      </c>
      <c r="K299" s="799">
        <f t="shared" si="24"/>
        <v>7050</v>
      </c>
      <c r="L299" s="799">
        <f t="shared" si="25"/>
        <v>7050</v>
      </c>
      <c r="M299" s="799">
        <f t="shared" si="26"/>
        <v>7050</v>
      </c>
      <c r="N299" s="798" t="s">
        <v>15753</v>
      </c>
      <c r="O299" s="800">
        <f t="shared" si="27"/>
        <v>7050</v>
      </c>
      <c r="P299" s="800">
        <f t="shared" si="28"/>
        <v>7050</v>
      </c>
      <c r="Q299" s="801">
        <f t="shared" si="29"/>
        <v>7050</v>
      </c>
    </row>
    <row r="300" spans="1:17" x14ac:dyDescent="0.2">
      <c r="A300" s="802" t="s">
        <v>17712</v>
      </c>
      <c r="B300" s="803" t="s">
        <v>13918</v>
      </c>
      <c r="C300" s="803" t="s">
        <v>17513</v>
      </c>
      <c r="D300" s="803" t="s">
        <v>24392</v>
      </c>
      <c r="E300" s="803" t="s">
        <v>15732</v>
      </c>
      <c r="F300" s="803">
        <v>2</v>
      </c>
      <c r="G300" s="803" t="s">
        <v>2837</v>
      </c>
      <c r="H300" s="803" t="s">
        <v>2837</v>
      </c>
      <c r="I300" s="804">
        <v>10050</v>
      </c>
      <c r="J300" s="803">
        <v>1</v>
      </c>
      <c r="K300" s="804">
        <f t="shared" si="24"/>
        <v>10050</v>
      </c>
      <c r="L300" s="804">
        <f t="shared" si="25"/>
        <v>10050</v>
      </c>
      <c r="M300" s="804">
        <f t="shared" si="26"/>
        <v>10050</v>
      </c>
      <c r="N300" s="803" t="s">
        <v>16141</v>
      </c>
      <c r="O300" s="805">
        <f t="shared" si="27"/>
        <v>10050</v>
      </c>
      <c r="P300" s="805">
        <f t="shared" si="28"/>
        <v>10050</v>
      </c>
      <c r="Q300" s="806">
        <f t="shared" si="29"/>
        <v>10050</v>
      </c>
    </row>
    <row r="301" spans="1:17" x14ac:dyDescent="0.2">
      <c r="A301" s="797" t="s">
        <v>17713</v>
      </c>
      <c r="B301" s="798" t="s">
        <v>13918</v>
      </c>
      <c r="C301" s="798" t="s">
        <v>17513</v>
      </c>
      <c r="D301" s="798" t="s">
        <v>24392</v>
      </c>
      <c r="E301" s="798" t="s">
        <v>15733</v>
      </c>
      <c r="F301" s="798">
        <v>3</v>
      </c>
      <c r="G301" s="798" t="s">
        <v>2837</v>
      </c>
      <c r="H301" s="798" t="s">
        <v>2837</v>
      </c>
      <c r="I301" s="799">
        <v>18000</v>
      </c>
      <c r="J301" s="798">
        <v>1</v>
      </c>
      <c r="K301" s="799">
        <f t="shared" si="24"/>
        <v>18000</v>
      </c>
      <c r="L301" s="799">
        <f t="shared" si="25"/>
        <v>18000</v>
      </c>
      <c r="M301" s="799">
        <f t="shared" si="26"/>
        <v>18000</v>
      </c>
      <c r="N301" s="798" t="s">
        <v>15754</v>
      </c>
      <c r="O301" s="800">
        <f t="shared" si="27"/>
        <v>18000</v>
      </c>
      <c r="P301" s="800">
        <f t="shared" si="28"/>
        <v>18000</v>
      </c>
      <c r="Q301" s="801">
        <f t="shared" si="29"/>
        <v>18000</v>
      </c>
    </row>
    <row r="302" spans="1:17" x14ac:dyDescent="0.2">
      <c r="A302" s="802" t="s">
        <v>16316</v>
      </c>
      <c r="B302" s="803" t="s">
        <v>13918</v>
      </c>
      <c r="C302" s="803" t="s">
        <v>17513</v>
      </c>
      <c r="D302" s="803" t="s">
        <v>24393</v>
      </c>
      <c r="E302" s="803" t="s">
        <v>15731</v>
      </c>
      <c r="F302" s="803">
        <v>1</v>
      </c>
      <c r="G302" s="803" t="s">
        <v>2837</v>
      </c>
      <c r="H302" s="803" t="s">
        <v>2837</v>
      </c>
      <c r="I302" s="804">
        <v>7100</v>
      </c>
      <c r="J302" s="803">
        <v>1</v>
      </c>
      <c r="K302" s="804">
        <f t="shared" si="24"/>
        <v>7100</v>
      </c>
      <c r="L302" s="804">
        <f t="shared" si="25"/>
        <v>7100</v>
      </c>
      <c r="M302" s="804">
        <f t="shared" si="26"/>
        <v>7100</v>
      </c>
      <c r="N302" s="803" t="s">
        <v>15753</v>
      </c>
      <c r="O302" s="805">
        <f t="shared" si="27"/>
        <v>7100</v>
      </c>
      <c r="P302" s="805">
        <f t="shared" si="28"/>
        <v>7100</v>
      </c>
      <c r="Q302" s="806">
        <f t="shared" si="29"/>
        <v>7100</v>
      </c>
    </row>
    <row r="303" spans="1:17" x14ac:dyDescent="0.2">
      <c r="A303" s="797" t="s">
        <v>17714</v>
      </c>
      <c r="B303" s="798" t="s">
        <v>13918</v>
      </c>
      <c r="C303" s="798" t="s">
        <v>17513</v>
      </c>
      <c r="D303" s="798" t="s">
        <v>24393</v>
      </c>
      <c r="E303" s="798" t="s">
        <v>15732</v>
      </c>
      <c r="F303" s="798">
        <v>2</v>
      </c>
      <c r="G303" s="798" t="s">
        <v>2837</v>
      </c>
      <c r="H303" s="798" t="s">
        <v>2837</v>
      </c>
      <c r="I303" s="799">
        <v>10100</v>
      </c>
      <c r="J303" s="798">
        <v>1</v>
      </c>
      <c r="K303" s="799">
        <f t="shared" si="24"/>
        <v>10100</v>
      </c>
      <c r="L303" s="799">
        <f t="shared" si="25"/>
        <v>10100</v>
      </c>
      <c r="M303" s="799">
        <f t="shared" si="26"/>
        <v>10100</v>
      </c>
      <c r="N303" s="798" t="s">
        <v>16141</v>
      </c>
      <c r="O303" s="800">
        <f t="shared" si="27"/>
        <v>10100</v>
      </c>
      <c r="P303" s="800">
        <f t="shared" si="28"/>
        <v>10100</v>
      </c>
      <c r="Q303" s="801">
        <f t="shared" si="29"/>
        <v>10100</v>
      </c>
    </row>
    <row r="304" spans="1:17" x14ac:dyDescent="0.2">
      <c r="A304" s="802" t="s">
        <v>17715</v>
      </c>
      <c r="B304" s="803" t="s">
        <v>13918</v>
      </c>
      <c r="C304" s="803" t="s">
        <v>17513</v>
      </c>
      <c r="D304" s="803" t="s">
        <v>24393</v>
      </c>
      <c r="E304" s="803" t="s">
        <v>15733</v>
      </c>
      <c r="F304" s="803">
        <v>3</v>
      </c>
      <c r="G304" s="803" t="s">
        <v>2837</v>
      </c>
      <c r="H304" s="803" t="s">
        <v>2837</v>
      </c>
      <c r="I304" s="804">
        <v>18000</v>
      </c>
      <c r="J304" s="803">
        <v>1</v>
      </c>
      <c r="K304" s="804">
        <f t="shared" si="24"/>
        <v>18000</v>
      </c>
      <c r="L304" s="804">
        <f t="shared" si="25"/>
        <v>18000</v>
      </c>
      <c r="M304" s="804">
        <f t="shared" si="26"/>
        <v>18000</v>
      </c>
      <c r="N304" s="803" t="s">
        <v>15754</v>
      </c>
      <c r="O304" s="805">
        <f t="shared" si="27"/>
        <v>18000</v>
      </c>
      <c r="P304" s="805">
        <f t="shared" si="28"/>
        <v>18000</v>
      </c>
      <c r="Q304" s="806">
        <f t="shared" si="29"/>
        <v>18000</v>
      </c>
    </row>
    <row r="305" spans="1:17" x14ac:dyDescent="0.2">
      <c r="A305" s="797" t="s">
        <v>16329</v>
      </c>
      <c r="B305" s="798" t="s">
        <v>13918</v>
      </c>
      <c r="C305" s="798" t="s">
        <v>17513</v>
      </c>
      <c r="D305" s="798" t="s">
        <v>24394</v>
      </c>
      <c r="E305" s="798" t="s">
        <v>15731</v>
      </c>
      <c r="F305" s="798">
        <v>1</v>
      </c>
      <c r="G305" s="798" t="s">
        <v>2837</v>
      </c>
      <c r="H305" s="798" t="s">
        <v>2837</v>
      </c>
      <c r="I305" s="799">
        <v>7150</v>
      </c>
      <c r="J305" s="798">
        <v>1</v>
      </c>
      <c r="K305" s="799">
        <f t="shared" si="24"/>
        <v>7150</v>
      </c>
      <c r="L305" s="799">
        <f t="shared" si="25"/>
        <v>7150</v>
      </c>
      <c r="M305" s="799">
        <f t="shared" si="26"/>
        <v>7150</v>
      </c>
      <c r="N305" s="798" t="s">
        <v>15753</v>
      </c>
      <c r="O305" s="800">
        <f t="shared" si="27"/>
        <v>7150</v>
      </c>
      <c r="P305" s="800">
        <f t="shared" si="28"/>
        <v>7150</v>
      </c>
      <c r="Q305" s="801">
        <f t="shared" si="29"/>
        <v>7150</v>
      </c>
    </row>
    <row r="306" spans="1:17" x14ac:dyDescent="0.2">
      <c r="A306" s="802" t="s">
        <v>17716</v>
      </c>
      <c r="B306" s="803" t="s">
        <v>13918</v>
      </c>
      <c r="C306" s="803" t="s">
        <v>17513</v>
      </c>
      <c r="D306" s="803" t="s">
        <v>24394</v>
      </c>
      <c r="E306" s="803" t="s">
        <v>15732</v>
      </c>
      <c r="F306" s="803">
        <v>2</v>
      </c>
      <c r="G306" s="803" t="s">
        <v>2837</v>
      </c>
      <c r="H306" s="803" t="s">
        <v>2837</v>
      </c>
      <c r="I306" s="804">
        <v>10150</v>
      </c>
      <c r="J306" s="803">
        <v>1</v>
      </c>
      <c r="K306" s="804">
        <f t="shared" si="24"/>
        <v>10150</v>
      </c>
      <c r="L306" s="804">
        <f t="shared" si="25"/>
        <v>10150</v>
      </c>
      <c r="M306" s="804">
        <f t="shared" si="26"/>
        <v>10150</v>
      </c>
      <c r="N306" s="803" t="s">
        <v>16141</v>
      </c>
      <c r="O306" s="805">
        <f t="shared" si="27"/>
        <v>10150</v>
      </c>
      <c r="P306" s="805">
        <f t="shared" si="28"/>
        <v>10150</v>
      </c>
      <c r="Q306" s="806">
        <f t="shared" si="29"/>
        <v>10150</v>
      </c>
    </row>
    <row r="307" spans="1:17" x14ac:dyDescent="0.2">
      <c r="A307" s="797" t="s">
        <v>17717</v>
      </c>
      <c r="B307" s="798" t="s">
        <v>13918</v>
      </c>
      <c r="C307" s="798" t="s">
        <v>17513</v>
      </c>
      <c r="D307" s="798" t="s">
        <v>24394</v>
      </c>
      <c r="E307" s="798" t="s">
        <v>15733</v>
      </c>
      <c r="F307" s="798">
        <v>3</v>
      </c>
      <c r="G307" s="798" t="s">
        <v>2837</v>
      </c>
      <c r="H307" s="798" t="s">
        <v>2837</v>
      </c>
      <c r="I307" s="799">
        <v>18000</v>
      </c>
      <c r="J307" s="798">
        <v>1</v>
      </c>
      <c r="K307" s="799">
        <f t="shared" si="24"/>
        <v>18000</v>
      </c>
      <c r="L307" s="799">
        <f t="shared" si="25"/>
        <v>18000</v>
      </c>
      <c r="M307" s="799">
        <f t="shared" si="26"/>
        <v>18000</v>
      </c>
      <c r="N307" s="798" t="s">
        <v>15754</v>
      </c>
      <c r="O307" s="800">
        <f t="shared" si="27"/>
        <v>18000</v>
      </c>
      <c r="P307" s="800">
        <f t="shared" si="28"/>
        <v>18000</v>
      </c>
      <c r="Q307" s="801">
        <f t="shared" si="29"/>
        <v>18000</v>
      </c>
    </row>
    <row r="308" spans="1:17" x14ac:dyDescent="0.2">
      <c r="A308" s="802" t="s">
        <v>16333</v>
      </c>
      <c r="B308" s="803" t="s">
        <v>13918</v>
      </c>
      <c r="C308" s="803" t="s">
        <v>17513</v>
      </c>
      <c r="D308" s="803" t="s">
        <v>24395</v>
      </c>
      <c r="E308" s="803" t="s">
        <v>15731</v>
      </c>
      <c r="F308" s="803">
        <v>1</v>
      </c>
      <c r="G308" s="803" t="s">
        <v>2837</v>
      </c>
      <c r="H308" s="803" t="s">
        <v>2837</v>
      </c>
      <c r="I308" s="804">
        <v>7150</v>
      </c>
      <c r="J308" s="803">
        <v>1</v>
      </c>
      <c r="K308" s="804">
        <f t="shared" si="24"/>
        <v>7150</v>
      </c>
      <c r="L308" s="804">
        <f t="shared" si="25"/>
        <v>7150</v>
      </c>
      <c r="M308" s="804">
        <f t="shared" si="26"/>
        <v>7150</v>
      </c>
      <c r="N308" s="803" t="s">
        <v>15753</v>
      </c>
      <c r="O308" s="805">
        <f t="shared" si="27"/>
        <v>7150</v>
      </c>
      <c r="P308" s="805">
        <f t="shared" si="28"/>
        <v>7150</v>
      </c>
      <c r="Q308" s="806">
        <f t="shared" si="29"/>
        <v>7150</v>
      </c>
    </row>
    <row r="309" spans="1:17" x14ac:dyDescent="0.2">
      <c r="A309" s="797" t="s">
        <v>17718</v>
      </c>
      <c r="B309" s="798" t="s">
        <v>13918</v>
      </c>
      <c r="C309" s="798" t="s">
        <v>17513</v>
      </c>
      <c r="D309" s="798" t="s">
        <v>24395</v>
      </c>
      <c r="E309" s="798" t="s">
        <v>15732</v>
      </c>
      <c r="F309" s="798">
        <v>2</v>
      </c>
      <c r="G309" s="798" t="s">
        <v>2837</v>
      </c>
      <c r="H309" s="798" t="s">
        <v>2837</v>
      </c>
      <c r="I309" s="799">
        <v>10150</v>
      </c>
      <c r="J309" s="798">
        <v>1</v>
      </c>
      <c r="K309" s="799">
        <f t="shared" si="24"/>
        <v>10150</v>
      </c>
      <c r="L309" s="799">
        <f t="shared" si="25"/>
        <v>10150</v>
      </c>
      <c r="M309" s="799">
        <f t="shared" si="26"/>
        <v>10150</v>
      </c>
      <c r="N309" s="798" t="s">
        <v>16141</v>
      </c>
      <c r="O309" s="800">
        <f t="shared" si="27"/>
        <v>10150</v>
      </c>
      <c r="P309" s="800">
        <f t="shared" si="28"/>
        <v>10150</v>
      </c>
      <c r="Q309" s="801">
        <f t="shared" si="29"/>
        <v>10150</v>
      </c>
    </row>
    <row r="310" spans="1:17" x14ac:dyDescent="0.2">
      <c r="A310" s="802" t="s">
        <v>17719</v>
      </c>
      <c r="B310" s="803" t="s">
        <v>13918</v>
      </c>
      <c r="C310" s="803" t="s">
        <v>17513</v>
      </c>
      <c r="D310" s="803" t="s">
        <v>24395</v>
      </c>
      <c r="E310" s="803" t="s">
        <v>15733</v>
      </c>
      <c r="F310" s="803">
        <v>3</v>
      </c>
      <c r="G310" s="803" t="s">
        <v>2837</v>
      </c>
      <c r="H310" s="803" t="s">
        <v>2837</v>
      </c>
      <c r="I310" s="804">
        <v>18000</v>
      </c>
      <c r="J310" s="803">
        <v>1</v>
      </c>
      <c r="K310" s="804">
        <f t="shared" si="24"/>
        <v>18000</v>
      </c>
      <c r="L310" s="804">
        <f t="shared" si="25"/>
        <v>18000</v>
      </c>
      <c r="M310" s="804">
        <f t="shared" si="26"/>
        <v>18000</v>
      </c>
      <c r="N310" s="803" t="s">
        <v>15754</v>
      </c>
      <c r="O310" s="805">
        <f t="shared" si="27"/>
        <v>18000</v>
      </c>
      <c r="P310" s="805">
        <f t="shared" si="28"/>
        <v>18000</v>
      </c>
      <c r="Q310" s="806">
        <f t="shared" si="29"/>
        <v>18000</v>
      </c>
    </row>
    <row r="311" spans="1:17" x14ac:dyDescent="0.2">
      <c r="A311" s="797" t="s">
        <v>16339</v>
      </c>
      <c r="B311" s="798" t="s">
        <v>13918</v>
      </c>
      <c r="C311" s="798" t="s">
        <v>17513</v>
      </c>
      <c r="D311" s="798" t="s">
        <v>24396</v>
      </c>
      <c r="E311" s="798" t="s">
        <v>15731</v>
      </c>
      <c r="F311" s="798">
        <v>1</v>
      </c>
      <c r="G311" s="798" t="s">
        <v>2837</v>
      </c>
      <c r="H311" s="798" t="s">
        <v>2837</v>
      </c>
      <c r="I311" s="799">
        <v>7200</v>
      </c>
      <c r="J311" s="798">
        <v>1</v>
      </c>
      <c r="K311" s="799">
        <f t="shared" si="24"/>
        <v>7200</v>
      </c>
      <c r="L311" s="799">
        <f t="shared" si="25"/>
        <v>7200</v>
      </c>
      <c r="M311" s="799">
        <f t="shared" si="26"/>
        <v>7200</v>
      </c>
      <c r="N311" s="798" t="s">
        <v>15753</v>
      </c>
      <c r="O311" s="800">
        <f t="shared" si="27"/>
        <v>7200</v>
      </c>
      <c r="P311" s="800">
        <f t="shared" si="28"/>
        <v>7200</v>
      </c>
      <c r="Q311" s="801">
        <f t="shared" si="29"/>
        <v>7200</v>
      </c>
    </row>
    <row r="312" spans="1:17" x14ac:dyDescent="0.2">
      <c r="A312" s="802" t="s">
        <v>17720</v>
      </c>
      <c r="B312" s="803" t="s">
        <v>13918</v>
      </c>
      <c r="C312" s="803" t="s">
        <v>17513</v>
      </c>
      <c r="D312" s="803" t="s">
        <v>24396</v>
      </c>
      <c r="E312" s="803" t="s">
        <v>15732</v>
      </c>
      <c r="F312" s="803">
        <v>2</v>
      </c>
      <c r="G312" s="803" t="s">
        <v>2837</v>
      </c>
      <c r="H312" s="803" t="s">
        <v>2837</v>
      </c>
      <c r="I312" s="804">
        <v>10200</v>
      </c>
      <c r="J312" s="803">
        <v>1</v>
      </c>
      <c r="K312" s="804">
        <f t="shared" si="24"/>
        <v>10200</v>
      </c>
      <c r="L312" s="804">
        <f t="shared" si="25"/>
        <v>10200</v>
      </c>
      <c r="M312" s="804">
        <f t="shared" si="26"/>
        <v>10200</v>
      </c>
      <c r="N312" s="803" t="s">
        <v>16141</v>
      </c>
      <c r="O312" s="805">
        <f t="shared" si="27"/>
        <v>10200</v>
      </c>
      <c r="P312" s="805">
        <f t="shared" si="28"/>
        <v>10200</v>
      </c>
      <c r="Q312" s="806">
        <f t="shared" si="29"/>
        <v>10200</v>
      </c>
    </row>
    <row r="313" spans="1:17" x14ac:dyDescent="0.2">
      <c r="A313" s="797" t="s">
        <v>17721</v>
      </c>
      <c r="B313" s="798" t="s">
        <v>13918</v>
      </c>
      <c r="C313" s="798" t="s">
        <v>17513</v>
      </c>
      <c r="D313" s="798" t="s">
        <v>24396</v>
      </c>
      <c r="E313" s="798" t="s">
        <v>15733</v>
      </c>
      <c r="F313" s="798">
        <v>3</v>
      </c>
      <c r="G313" s="798" t="s">
        <v>2837</v>
      </c>
      <c r="H313" s="798" t="s">
        <v>2837</v>
      </c>
      <c r="I313" s="799">
        <v>18000</v>
      </c>
      <c r="J313" s="798">
        <v>1</v>
      </c>
      <c r="K313" s="799">
        <f t="shared" si="24"/>
        <v>18000</v>
      </c>
      <c r="L313" s="799">
        <f t="shared" si="25"/>
        <v>18000</v>
      </c>
      <c r="M313" s="799">
        <f t="shared" si="26"/>
        <v>18000</v>
      </c>
      <c r="N313" s="798" t="s">
        <v>15754</v>
      </c>
      <c r="O313" s="800">
        <f t="shared" si="27"/>
        <v>18000</v>
      </c>
      <c r="P313" s="800">
        <f t="shared" si="28"/>
        <v>18000</v>
      </c>
      <c r="Q313" s="801">
        <f t="shared" si="29"/>
        <v>18000</v>
      </c>
    </row>
    <row r="314" spans="1:17" x14ac:dyDescent="0.2">
      <c r="A314" s="802" t="s">
        <v>16350</v>
      </c>
      <c r="B314" s="803" t="s">
        <v>13918</v>
      </c>
      <c r="C314" s="803" t="s">
        <v>17513</v>
      </c>
      <c r="D314" s="803" t="s">
        <v>24397</v>
      </c>
      <c r="E314" s="803" t="s">
        <v>15731</v>
      </c>
      <c r="F314" s="803">
        <v>1</v>
      </c>
      <c r="G314" s="803" t="s">
        <v>3779</v>
      </c>
      <c r="H314" s="803" t="s">
        <v>3779</v>
      </c>
      <c r="I314" s="804">
        <v>8000</v>
      </c>
      <c r="J314" s="803">
        <v>1</v>
      </c>
      <c r="K314" s="804">
        <f t="shared" si="24"/>
        <v>8000</v>
      </c>
      <c r="L314" s="804">
        <f t="shared" si="25"/>
        <v>8000</v>
      </c>
      <c r="M314" s="804">
        <f t="shared" si="26"/>
        <v>8000</v>
      </c>
      <c r="N314" s="803" t="s">
        <v>15753</v>
      </c>
      <c r="O314" s="805">
        <f t="shared" si="27"/>
        <v>8000</v>
      </c>
      <c r="P314" s="805">
        <f t="shared" si="28"/>
        <v>8000</v>
      </c>
      <c r="Q314" s="806">
        <f t="shared" si="29"/>
        <v>8000</v>
      </c>
    </row>
    <row r="315" spans="1:17" x14ac:dyDescent="0.2">
      <c r="A315" s="797" t="s">
        <v>17722</v>
      </c>
      <c r="B315" s="798" t="s">
        <v>13918</v>
      </c>
      <c r="C315" s="798" t="s">
        <v>17513</v>
      </c>
      <c r="D315" s="798" t="s">
        <v>24397</v>
      </c>
      <c r="E315" s="798" t="s">
        <v>15732</v>
      </c>
      <c r="F315" s="798">
        <v>2</v>
      </c>
      <c r="G315" s="798" t="s">
        <v>3779</v>
      </c>
      <c r="H315" s="798" t="s">
        <v>3779</v>
      </c>
      <c r="I315" s="799">
        <v>11000</v>
      </c>
      <c r="J315" s="798">
        <v>1</v>
      </c>
      <c r="K315" s="799">
        <f t="shared" si="24"/>
        <v>11000</v>
      </c>
      <c r="L315" s="799">
        <f t="shared" si="25"/>
        <v>11000</v>
      </c>
      <c r="M315" s="799">
        <f t="shared" si="26"/>
        <v>11000</v>
      </c>
      <c r="N315" s="798" t="s">
        <v>16141</v>
      </c>
      <c r="O315" s="800">
        <f t="shared" si="27"/>
        <v>11000</v>
      </c>
      <c r="P315" s="800">
        <f t="shared" si="28"/>
        <v>11000</v>
      </c>
      <c r="Q315" s="801">
        <f t="shared" si="29"/>
        <v>11000</v>
      </c>
    </row>
    <row r="316" spans="1:17" x14ac:dyDescent="0.2">
      <c r="A316" s="802" t="s">
        <v>17723</v>
      </c>
      <c r="B316" s="803" t="s">
        <v>13918</v>
      </c>
      <c r="C316" s="803" t="s">
        <v>17513</v>
      </c>
      <c r="D316" s="803" t="s">
        <v>24397</v>
      </c>
      <c r="E316" s="803" t="s">
        <v>15733</v>
      </c>
      <c r="F316" s="803">
        <v>3</v>
      </c>
      <c r="G316" s="803" t="s">
        <v>3779</v>
      </c>
      <c r="H316" s="803" t="s">
        <v>3779</v>
      </c>
      <c r="I316" s="804">
        <v>18000</v>
      </c>
      <c r="J316" s="803">
        <v>1</v>
      </c>
      <c r="K316" s="804">
        <f t="shared" si="24"/>
        <v>18000</v>
      </c>
      <c r="L316" s="804">
        <f t="shared" si="25"/>
        <v>18000</v>
      </c>
      <c r="M316" s="804">
        <f t="shared" si="26"/>
        <v>18000</v>
      </c>
      <c r="N316" s="803" t="s">
        <v>15754</v>
      </c>
      <c r="O316" s="805">
        <f t="shared" si="27"/>
        <v>18000</v>
      </c>
      <c r="P316" s="805">
        <f t="shared" si="28"/>
        <v>18000</v>
      </c>
      <c r="Q316" s="806">
        <f t="shared" si="29"/>
        <v>18000</v>
      </c>
    </row>
    <row r="317" spans="1:17" x14ac:dyDescent="0.2">
      <c r="A317" s="797" t="s">
        <v>16357</v>
      </c>
      <c r="B317" s="798" t="s">
        <v>13918</v>
      </c>
      <c r="C317" s="798" t="s">
        <v>17513</v>
      </c>
      <c r="D317" s="798" t="s">
        <v>24398</v>
      </c>
      <c r="E317" s="798" t="s">
        <v>15731</v>
      </c>
      <c r="F317" s="798">
        <v>1</v>
      </c>
      <c r="G317" s="798" t="s">
        <v>3779</v>
      </c>
      <c r="H317" s="798" t="s">
        <v>3779</v>
      </c>
      <c r="I317" s="799">
        <v>8050</v>
      </c>
      <c r="J317" s="798">
        <v>1</v>
      </c>
      <c r="K317" s="799">
        <f t="shared" si="24"/>
        <v>8050</v>
      </c>
      <c r="L317" s="799">
        <f t="shared" si="25"/>
        <v>8050</v>
      </c>
      <c r="M317" s="799">
        <f t="shared" si="26"/>
        <v>8050</v>
      </c>
      <c r="N317" s="798" t="s">
        <v>15753</v>
      </c>
      <c r="O317" s="800">
        <f t="shared" si="27"/>
        <v>8050</v>
      </c>
      <c r="P317" s="800">
        <f t="shared" si="28"/>
        <v>8050</v>
      </c>
      <c r="Q317" s="801">
        <f t="shared" si="29"/>
        <v>8050</v>
      </c>
    </row>
    <row r="318" spans="1:17" x14ac:dyDescent="0.2">
      <c r="A318" s="802" t="s">
        <v>17724</v>
      </c>
      <c r="B318" s="803" t="s">
        <v>13918</v>
      </c>
      <c r="C318" s="803" t="s">
        <v>17513</v>
      </c>
      <c r="D318" s="803" t="s">
        <v>24398</v>
      </c>
      <c r="E318" s="803" t="s">
        <v>15732</v>
      </c>
      <c r="F318" s="803">
        <v>2</v>
      </c>
      <c r="G318" s="803" t="s">
        <v>3779</v>
      </c>
      <c r="H318" s="803" t="s">
        <v>3779</v>
      </c>
      <c r="I318" s="804">
        <v>11050</v>
      </c>
      <c r="J318" s="803">
        <v>1</v>
      </c>
      <c r="K318" s="804">
        <f t="shared" si="24"/>
        <v>11050</v>
      </c>
      <c r="L318" s="804">
        <f t="shared" si="25"/>
        <v>11050</v>
      </c>
      <c r="M318" s="804">
        <f t="shared" si="26"/>
        <v>11050</v>
      </c>
      <c r="N318" s="803" t="s">
        <v>16141</v>
      </c>
      <c r="O318" s="805">
        <f t="shared" si="27"/>
        <v>11050</v>
      </c>
      <c r="P318" s="805">
        <f t="shared" si="28"/>
        <v>11050</v>
      </c>
      <c r="Q318" s="806">
        <f t="shared" si="29"/>
        <v>11050</v>
      </c>
    </row>
    <row r="319" spans="1:17" x14ac:dyDescent="0.2">
      <c r="A319" s="797" t="s">
        <v>17725</v>
      </c>
      <c r="B319" s="798" t="s">
        <v>13918</v>
      </c>
      <c r="C319" s="798" t="s">
        <v>17513</v>
      </c>
      <c r="D319" s="798" t="s">
        <v>24398</v>
      </c>
      <c r="E319" s="798" t="s">
        <v>15733</v>
      </c>
      <c r="F319" s="798">
        <v>3</v>
      </c>
      <c r="G319" s="798" t="s">
        <v>3779</v>
      </c>
      <c r="H319" s="798" t="s">
        <v>3779</v>
      </c>
      <c r="I319" s="799">
        <v>18000</v>
      </c>
      <c r="J319" s="798">
        <v>1</v>
      </c>
      <c r="K319" s="799">
        <f t="shared" si="24"/>
        <v>18000</v>
      </c>
      <c r="L319" s="799">
        <f t="shared" si="25"/>
        <v>18000</v>
      </c>
      <c r="M319" s="799">
        <f t="shared" si="26"/>
        <v>18000</v>
      </c>
      <c r="N319" s="798" t="s">
        <v>15754</v>
      </c>
      <c r="O319" s="800">
        <f t="shared" si="27"/>
        <v>18000</v>
      </c>
      <c r="P319" s="800">
        <f t="shared" si="28"/>
        <v>18000</v>
      </c>
      <c r="Q319" s="801">
        <f t="shared" si="29"/>
        <v>18000</v>
      </c>
    </row>
    <row r="320" spans="1:17" x14ac:dyDescent="0.2">
      <c r="A320" s="802" t="s">
        <v>16364</v>
      </c>
      <c r="B320" s="803" t="s">
        <v>13918</v>
      </c>
      <c r="C320" s="803" t="s">
        <v>17513</v>
      </c>
      <c r="D320" s="803" t="s">
        <v>24399</v>
      </c>
      <c r="E320" s="803" t="s">
        <v>15731</v>
      </c>
      <c r="F320" s="803">
        <v>1</v>
      </c>
      <c r="G320" s="803" t="s">
        <v>3779</v>
      </c>
      <c r="H320" s="803" t="s">
        <v>3779</v>
      </c>
      <c r="I320" s="804">
        <v>8050</v>
      </c>
      <c r="J320" s="803">
        <v>1</v>
      </c>
      <c r="K320" s="804">
        <f t="shared" si="24"/>
        <v>8050</v>
      </c>
      <c r="L320" s="804">
        <f t="shared" si="25"/>
        <v>8050</v>
      </c>
      <c r="M320" s="804">
        <f t="shared" si="26"/>
        <v>8050</v>
      </c>
      <c r="N320" s="803" t="s">
        <v>15753</v>
      </c>
      <c r="O320" s="805">
        <f t="shared" si="27"/>
        <v>8050</v>
      </c>
      <c r="P320" s="805">
        <f t="shared" si="28"/>
        <v>8050</v>
      </c>
      <c r="Q320" s="806">
        <f t="shared" si="29"/>
        <v>8050</v>
      </c>
    </row>
    <row r="321" spans="1:17" x14ac:dyDescent="0.2">
      <c r="A321" s="797" t="s">
        <v>17726</v>
      </c>
      <c r="B321" s="798" t="s">
        <v>13918</v>
      </c>
      <c r="C321" s="798" t="s">
        <v>17513</v>
      </c>
      <c r="D321" s="798" t="s">
        <v>24399</v>
      </c>
      <c r="E321" s="798" t="s">
        <v>15732</v>
      </c>
      <c r="F321" s="798">
        <v>2</v>
      </c>
      <c r="G321" s="798" t="s">
        <v>3779</v>
      </c>
      <c r="H321" s="798" t="s">
        <v>3779</v>
      </c>
      <c r="I321" s="799">
        <v>11050</v>
      </c>
      <c r="J321" s="798">
        <v>1</v>
      </c>
      <c r="K321" s="799">
        <f t="shared" si="24"/>
        <v>11050</v>
      </c>
      <c r="L321" s="799">
        <f t="shared" si="25"/>
        <v>11050</v>
      </c>
      <c r="M321" s="799">
        <f t="shared" si="26"/>
        <v>11050</v>
      </c>
      <c r="N321" s="798" t="s">
        <v>16141</v>
      </c>
      <c r="O321" s="800">
        <f t="shared" si="27"/>
        <v>11050</v>
      </c>
      <c r="P321" s="800">
        <f t="shared" si="28"/>
        <v>11050</v>
      </c>
      <c r="Q321" s="801">
        <f t="shared" si="29"/>
        <v>11050</v>
      </c>
    </row>
    <row r="322" spans="1:17" x14ac:dyDescent="0.2">
      <c r="A322" s="802" t="s">
        <v>17727</v>
      </c>
      <c r="B322" s="803" t="s">
        <v>13918</v>
      </c>
      <c r="C322" s="803" t="s">
        <v>17513</v>
      </c>
      <c r="D322" s="803" t="s">
        <v>24399</v>
      </c>
      <c r="E322" s="803" t="s">
        <v>15733</v>
      </c>
      <c r="F322" s="803">
        <v>3</v>
      </c>
      <c r="G322" s="803" t="s">
        <v>3779</v>
      </c>
      <c r="H322" s="803" t="s">
        <v>3779</v>
      </c>
      <c r="I322" s="804">
        <v>18000</v>
      </c>
      <c r="J322" s="803">
        <v>1</v>
      </c>
      <c r="K322" s="804">
        <f t="shared" ref="K322:K385" si="30">+I322</f>
        <v>18000</v>
      </c>
      <c r="L322" s="804">
        <f t="shared" ref="L322:L385" si="31">+I322</f>
        <v>18000</v>
      </c>
      <c r="M322" s="804">
        <f t="shared" ref="M322:M385" si="32">+I322</f>
        <v>18000</v>
      </c>
      <c r="N322" s="803" t="s">
        <v>15754</v>
      </c>
      <c r="O322" s="805">
        <f t="shared" ref="O322:O385" si="33">+J322*K322</f>
        <v>18000</v>
      </c>
      <c r="P322" s="805">
        <f t="shared" ref="P322:P385" si="34">+J322*L322</f>
        <v>18000</v>
      </c>
      <c r="Q322" s="806">
        <f t="shared" ref="Q322:Q385" si="35">+J322*M322</f>
        <v>18000</v>
      </c>
    </row>
    <row r="323" spans="1:17" x14ac:dyDescent="0.2">
      <c r="A323" s="797" t="s">
        <v>16371</v>
      </c>
      <c r="B323" s="798" t="s">
        <v>13918</v>
      </c>
      <c r="C323" s="798" t="s">
        <v>17513</v>
      </c>
      <c r="D323" s="798" t="s">
        <v>24400</v>
      </c>
      <c r="E323" s="798" t="s">
        <v>15731</v>
      </c>
      <c r="F323" s="798">
        <v>1</v>
      </c>
      <c r="G323" s="798" t="s">
        <v>3779</v>
      </c>
      <c r="H323" s="798" t="s">
        <v>3779</v>
      </c>
      <c r="I323" s="799">
        <v>8700</v>
      </c>
      <c r="J323" s="798">
        <v>1</v>
      </c>
      <c r="K323" s="799">
        <f t="shared" si="30"/>
        <v>8700</v>
      </c>
      <c r="L323" s="799">
        <f t="shared" si="31"/>
        <v>8700</v>
      </c>
      <c r="M323" s="799">
        <f t="shared" si="32"/>
        <v>8700</v>
      </c>
      <c r="N323" s="798" t="s">
        <v>15753</v>
      </c>
      <c r="O323" s="800">
        <f t="shared" si="33"/>
        <v>8700</v>
      </c>
      <c r="P323" s="800">
        <f t="shared" si="34"/>
        <v>8700</v>
      </c>
      <c r="Q323" s="801">
        <f t="shared" si="35"/>
        <v>8700</v>
      </c>
    </row>
    <row r="324" spans="1:17" x14ac:dyDescent="0.2">
      <c r="A324" s="802" t="s">
        <v>17728</v>
      </c>
      <c r="B324" s="803" t="s">
        <v>13918</v>
      </c>
      <c r="C324" s="803" t="s">
        <v>17513</v>
      </c>
      <c r="D324" s="803" t="s">
        <v>24400</v>
      </c>
      <c r="E324" s="803" t="s">
        <v>15732</v>
      </c>
      <c r="F324" s="803">
        <v>2</v>
      </c>
      <c r="G324" s="803" t="s">
        <v>3779</v>
      </c>
      <c r="H324" s="803" t="s">
        <v>3779</v>
      </c>
      <c r="I324" s="804">
        <v>13000</v>
      </c>
      <c r="J324" s="803">
        <v>1</v>
      </c>
      <c r="K324" s="804">
        <f t="shared" si="30"/>
        <v>13000</v>
      </c>
      <c r="L324" s="804">
        <f t="shared" si="31"/>
        <v>13000</v>
      </c>
      <c r="M324" s="804">
        <f t="shared" si="32"/>
        <v>13000</v>
      </c>
      <c r="N324" s="803" t="s">
        <v>16141</v>
      </c>
      <c r="O324" s="805">
        <f t="shared" si="33"/>
        <v>13000</v>
      </c>
      <c r="P324" s="805">
        <f t="shared" si="34"/>
        <v>13000</v>
      </c>
      <c r="Q324" s="806">
        <f t="shared" si="35"/>
        <v>13000</v>
      </c>
    </row>
    <row r="325" spans="1:17" x14ac:dyDescent="0.2">
      <c r="A325" s="797" t="s">
        <v>17729</v>
      </c>
      <c r="B325" s="798" t="s">
        <v>13918</v>
      </c>
      <c r="C325" s="798" t="s">
        <v>17513</v>
      </c>
      <c r="D325" s="798" t="s">
        <v>24400</v>
      </c>
      <c r="E325" s="798" t="s">
        <v>15733</v>
      </c>
      <c r="F325" s="798">
        <v>3</v>
      </c>
      <c r="G325" s="798" t="s">
        <v>3779</v>
      </c>
      <c r="H325" s="798" t="s">
        <v>3779</v>
      </c>
      <c r="I325" s="799">
        <v>21000</v>
      </c>
      <c r="J325" s="798">
        <v>1</v>
      </c>
      <c r="K325" s="799">
        <f t="shared" si="30"/>
        <v>21000</v>
      </c>
      <c r="L325" s="799">
        <f t="shared" si="31"/>
        <v>21000</v>
      </c>
      <c r="M325" s="799">
        <f t="shared" si="32"/>
        <v>21000</v>
      </c>
      <c r="N325" s="798" t="s">
        <v>15754</v>
      </c>
      <c r="O325" s="800">
        <f t="shared" si="33"/>
        <v>21000</v>
      </c>
      <c r="P325" s="800">
        <f t="shared" si="34"/>
        <v>21000</v>
      </c>
      <c r="Q325" s="801">
        <f t="shared" si="35"/>
        <v>21000</v>
      </c>
    </row>
    <row r="326" spans="1:17" x14ac:dyDescent="0.2">
      <c r="A326" s="802" t="s">
        <v>16374</v>
      </c>
      <c r="B326" s="803" t="s">
        <v>13918</v>
      </c>
      <c r="C326" s="803" t="s">
        <v>17513</v>
      </c>
      <c r="D326" s="803" t="s">
        <v>24401</v>
      </c>
      <c r="E326" s="803" t="s">
        <v>15731</v>
      </c>
      <c r="F326" s="803">
        <v>1</v>
      </c>
      <c r="G326" s="803" t="s">
        <v>3779</v>
      </c>
      <c r="H326" s="803" t="s">
        <v>3779</v>
      </c>
      <c r="I326" s="804">
        <v>12500</v>
      </c>
      <c r="J326" s="803">
        <v>1</v>
      </c>
      <c r="K326" s="804">
        <f t="shared" si="30"/>
        <v>12500</v>
      </c>
      <c r="L326" s="804">
        <f t="shared" si="31"/>
        <v>12500</v>
      </c>
      <c r="M326" s="804">
        <f t="shared" si="32"/>
        <v>12500</v>
      </c>
      <c r="N326" s="803" t="s">
        <v>15753</v>
      </c>
      <c r="O326" s="805">
        <f t="shared" si="33"/>
        <v>12500</v>
      </c>
      <c r="P326" s="805">
        <f t="shared" si="34"/>
        <v>12500</v>
      </c>
      <c r="Q326" s="806">
        <f t="shared" si="35"/>
        <v>12500</v>
      </c>
    </row>
    <row r="327" spans="1:17" x14ac:dyDescent="0.2">
      <c r="A327" s="797" t="s">
        <v>17730</v>
      </c>
      <c r="B327" s="798" t="s">
        <v>13918</v>
      </c>
      <c r="C327" s="798" t="s">
        <v>17513</v>
      </c>
      <c r="D327" s="798" t="s">
        <v>24401</v>
      </c>
      <c r="E327" s="798" t="s">
        <v>15732</v>
      </c>
      <c r="F327" s="798">
        <v>2</v>
      </c>
      <c r="G327" s="798" t="s">
        <v>3779</v>
      </c>
      <c r="H327" s="798" t="s">
        <v>3779</v>
      </c>
      <c r="I327" s="799">
        <v>18000</v>
      </c>
      <c r="J327" s="798">
        <v>1</v>
      </c>
      <c r="K327" s="799">
        <f t="shared" si="30"/>
        <v>18000</v>
      </c>
      <c r="L327" s="799">
        <f t="shared" si="31"/>
        <v>18000</v>
      </c>
      <c r="M327" s="799">
        <f t="shared" si="32"/>
        <v>18000</v>
      </c>
      <c r="N327" s="798" t="s">
        <v>16141</v>
      </c>
      <c r="O327" s="800">
        <f t="shared" si="33"/>
        <v>18000</v>
      </c>
      <c r="P327" s="800">
        <f t="shared" si="34"/>
        <v>18000</v>
      </c>
      <c r="Q327" s="801">
        <f t="shared" si="35"/>
        <v>18000</v>
      </c>
    </row>
    <row r="328" spans="1:17" x14ac:dyDescent="0.2">
      <c r="A328" s="802" t="s">
        <v>17731</v>
      </c>
      <c r="B328" s="803" t="s">
        <v>13918</v>
      </c>
      <c r="C328" s="803" t="s">
        <v>17513</v>
      </c>
      <c r="D328" s="803" t="s">
        <v>24401</v>
      </c>
      <c r="E328" s="803" t="s">
        <v>15733</v>
      </c>
      <c r="F328" s="803">
        <v>3</v>
      </c>
      <c r="G328" s="803" t="s">
        <v>3779</v>
      </c>
      <c r="H328" s="803" t="s">
        <v>3779</v>
      </c>
      <c r="I328" s="804">
        <v>28000</v>
      </c>
      <c r="J328" s="803">
        <v>1</v>
      </c>
      <c r="K328" s="804">
        <f t="shared" si="30"/>
        <v>28000</v>
      </c>
      <c r="L328" s="804">
        <f t="shared" si="31"/>
        <v>28000</v>
      </c>
      <c r="M328" s="804">
        <f t="shared" si="32"/>
        <v>28000</v>
      </c>
      <c r="N328" s="803" t="s">
        <v>15754</v>
      </c>
      <c r="O328" s="805">
        <f t="shared" si="33"/>
        <v>28000</v>
      </c>
      <c r="P328" s="805">
        <f t="shared" si="34"/>
        <v>28000</v>
      </c>
      <c r="Q328" s="806">
        <f t="shared" si="35"/>
        <v>28000</v>
      </c>
    </row>
    <row r="329" spans="1:17" x14ac:dyDescent="0.2">
      <c r="A329" s="797" t="s">
        <v>16381</v>
      </c>
      <c r="B329" s="798" t="s">
        <v>13918</v>
      </c>
      <c r="C329" s="798" t="s">
        <v>17513</v>
      </c>
      <c r="D329" s="798" t="s">
        <v>24402</v>
      </c>
      <c r="E329" s="798" t="s">
        <v>15731</v>
      </c>
      <c r="F329" s="798">
        <v>1</v>
      </c>
      <c r="G329" s="798" t="s">
        <v>3779</v>
      </c>
      <c r="H329" s="798" t="s">
        <v>3779</v>
      </c>
      <c r="I329" s="799">
        <v>8100</v>
      </c>
      <c r="J329" s="798">
        <v>1</v>
      </c>
      <c r="K329" s="799">
        <f t="shared" si="30"/>
        <v>8100</v>
      </c>
      <c r="L329" s="799">
        <f t="shared" si="31"/>
        <v>8100</v>
      </c>
      <c r="M329" s="799">
        <f t="shared" si="32"/>
        <v>8100</v>
      </c>
      <c r="N329" s="798" t="s">
        <v>15753</v>
      </c>
      <c r="O329" s="800">
        <f t="shared" si="33"/>
        <v>8100</v>
      </c>
      <c r="P329" s="800">
        <f t="shared" si="34"/>
        <v>8100</v>
      </c>
      <c r="Q329" s="801">
        <f t="shared" si="35"/>
        <v>8100</v>
      </c>
    </row>
    <row r="330" spans="1:17" x14ac:dyDescent="0.2">
      <c r="A330" s="802" t="s">
        <v>17732</v>
      </c>
      <c r="B330" s="803" t="s">
        <v>13918</v>
      </c>
      <c r="C330" s="803" t="s">
        <v>17513</v>
      </c>
      <c r="D330" s="803" t="s">
        <v>24402</v>
      </c>
      <c r="E330" s="803" t="s">
        <v>15732</v>
      </c>
      <c r="F330" s="803">
        <v>2</v>
      </c>
      <c r="G330" s="803" t="s">
        <v>3779</v>
      </c>
      <c r="H330" s="803" t="s">
        <v>3779</v>
      </c>
      <c r="I330" s="804">
        <v>11100</v>
      </c>
      <c r="J330" s="803">
        <v>1</v>
      </c>
      <c r="K330" s="804">
        <f t="shared" si="30"/>
        <v>11100</v>
      </c>
      <c r="L330" s="804">
        <f t="shared" si="31"/>
        <v>11100</v>
      </c>
      <c r="M330" s="804">
        <f t="shared" si="32"/>
        <v>11100</v>
      </c>
      <c r="N330" s="803" t="s">
        <v>16141</v>
      </c>
      <c r="O330" s="805">
        <f t="shared" si="33"/>
        <v>11100</v>
      </c>
      <c r="P330" s="805">
        <f t="shared" si="34"/>
        <v>11100</v>
      </c>
      <c r="Q330" s="806">
        <f t="shared" si="35"/>
        <v>11100</v>
      </c>
    </row>
    <row r="331" spans="1:17" x14ac:dyDescent="0.2">
      <c r="A331" s="797" t="s">
        <v>17733</v>
      </c>
      <c r="B331" s="798" t="s">
        <v>13918</v>
      </c>
      <c r="C331" s="798" t="s">
        <v>17513</v>
      </c>
      <c r="D331" s="798" t="s">
        <v>24402</v>
      </c>
      <c r="E331" s="798" t="s">
        <v>15733</v>
      </c>
      <c r="F331" s="798">
        <v>3</v>
      </c>
      <c r="G331" s="798" t="s">
        <v>3779</v>
      </c>
      <c r="H331" s="798" t="s">
        <v>3779</v>
      </c>
      <c r="I331" s="799">
        <v>18000</v>
      </c>
      <c r="J331" s="798">
        <v>1</v>
      </c>
      <c r="K331" s="799">
        <f t="shared" si="30"/>
        <v>18000</v>
      </c>
      <c r="L331" s="799">
        <f t="shared" si="31"/>
        <v>18000</v>
      </c>
      <c r="M331" s="799">
        <f t="shared" si="32"/>
        <v>18000</v>
      </c>
      <c r="N331" s="798" t="s">
        <v>15754</v>
      </c>
      <c r="O331" s="800">
        <f t="shared" si="33"/>
        <v>18000</v>
      </c>
      <c r="P331" s="800">
        <f t="shared" si="34"/>
        <v>18000</v>
      </c>
      <c r="Q331" s="801">
        <f t="shared" si="35"/>
        <v>18000</v>
      </c>
    </row>
    <row r="332" spans="1:17" x14ac:dyDescent="0.2">
      <c r="A332" s="802" t="s">
        <v>16384</v>
      </c>
      <c r="B332" s="803" t="s">
        <v>13918</v>
      </c>
      <c r="C332" s="803" t="s">
        <v>17513</v>
      </c>
      <c r="D332" s="803" t="s">
        <v>24403</v>
      </c>
      <c r="E332" s="803" t="s">
        <v>15731</v>
      </c>
      <c r="F332" s="803">
        <v>1</v>
      </c>
      <c r="G332" s="803" t="s">
        <v>3779</v>
      </c>
      <c r="H332" s="803" t="s">
        <v>3779</v>
      </c>
      <c r="I332" s="804">
        <v>8150</v>
      </c>
      <c r="J332" s="803">
        <v>1</v>
      </c>
      <c r="K332" s="804">
        <f t="shared" si="30"/>
        <v>8150</v>
      </c>
      <c r="L332" s="804">
        <f t="shared" si="31"/>
        <v>8150</v>
      </c>
      <c r="M332" s="804">
        <f t="shared" si="32"/>
        <v>8150</v>
      </c>
      <c r="N332" s="803" t="s">
        <v>15753</v>
      </c>
      <c r="O332" s="805">
        <f t="shared" si="33"/>
        <v>8150</v>
      </c>
      <c r="P332" s="805">
        <f t="shared" si="34"/>
        <v>8150</v>
      </c>
      <c r="Q332" s="806">
        <f t="shared" si="35"/>
        <v>8150</v>
      </c>
    </row>
    <row r="333" spans="1:17" x14ac:dyDescent="0.2">
      <c r="A333" s="797" t="s">
        <v>17734</v>
      </c>
      <c r="B333" s="798" t="s">
        <v>13918</v>
      </c>
      <c r="C333" s="798" t="s">
        <v>17513</v>
      </c>
      <c r="D333" s="798" t="s">
        <v>24403</v>
      </c>
      <c r="E333" s="798" t="s">
        <v>15732</v>
      </c>
      <c r="F333" s="798">
        <v>2</v>
      </c>
      <c r="G333" s="798" t="s">
        <v>3779</v>
      </c>
      <c r="H333" s="798" t="s">
        <v>3779</v>
      </c>
      <c r="I333" s="799">
        <v>11150</v>
      </c>
      <c r="J333" s="798">
        <v>1</v>
      </c>
      <c r="K333" s="799">
        <f t="shared" si="30"/>
        <v>11150</v>
      </c>
      <c r="L333" s="799">
        <f t="shared" si="31"/>
        <v>11150</v>
      </c>
      <c r="M333" s="799">
        <f t="shared" si="32"/>
        <v>11150</v>
      </c>
      <c r="N333" s="798" t="s">
        <v>16141</v>
      </c>
      <c r="O333" s="800">
        <f t="shared" si="33"/>
        <v>11150</v>
      </c>
      <c r="P333" s="800">
        <f t="shared" si="34"/>
        <v>11150</v>
      </c>
      <c r="Q333" s="801">
        <f t="shared" si="35"/>
        <v>11150</v>
      </c>
    </row>
    <row r="334" spans="1:17" x14ac:dyDescent="0.2">
      <c r="A334" s="802" t="s">
        <v>17735</v>
      </c>
      <c r="B334" s="803" t="s">
        <v>13918</v>
      </c>
      <c r="C334" s="803" t="s">
        <v>17513</v>
      </c>
      <c r="D334" s="803" t="s">
        <v>24403</v>
      </c>
      <c r="E334" s="803" t="s">
        <v>15733</v>
      </c>
      <c r="F334" s="803">
        <v>3</v>
      </c>
      <c r="G334" s="803" t="s">
        <v>3779</v>
      </c>
      <c r="H334" s="803" t="s">
        <v>3779</v>
      </c>
      <c r="I334" s="804">
        <v>18000</v>
      </c>
      <c r="J334" s="803">
        <v>1</v>
      </c>
      <c r="K334" s="804">
        <f t="shared" si="30"/>
        <v>18000</v>
      </c>
      <c r="L334" s="804">
        <f t="shared" si="31"/>
        <v>18000</v>
      </c>
      <c r="M334" s="804">
        <f t="shared" si="32"/>
        <v>18000</v>
      </c>
      <c r="N334" s="803" t="s">
        <v>15754</v>
      </c>
      <c r="O334" s="805">
        <f t="shared" si="33"/>
        <v>18000</v>
      </c>
      <c r="P334" s="805">
        <f t="shared" si="34"/>
        <v>18000</v>
      </c>
      <c r="Q334" s="806">
        <f t="shared" si="35"/>
        <v>18000</v>
      </c>
    </row>
    <row r="335" spans="1:17" x14ac:dyDescent="0.2">
      <c r="A335" s="797" t="s">
        <v>16387</v>
      </c>
      <c r="B335" s="798" t="s">
        <v>13918</v>
      </c>
      <c r="C335" s="798" t="s">
        <v>17513</v>
      </c>
      <c r="D335" s="798" t="s">
        <v>24404</v>
      </c>
      <c r="E335" s="798" t="s">
        <v>15731</v>
      </c>
      <c r="F335" s="798">
        <v>1</v>
      </c>
      <c r="G335" s="798" t="s">
        <v>3779</v>
      </c>
      <c r="H335" s="798" t="s">
        <v>3779</v>
      </c>
      <c r="I335" s="799">
        <v>8150</v>
      </c>
      <c r="J335" s="798">
        <v>1</v>
      </c>
      <c r="K335" s="799">
        <f t="shared" si="30"/>
        <v>8150</v>
      </c>
      <c r="L335" s="799">
        <f t="shared" si="31"/>
        <v>8150</v>
      </c>
      <c r="M335" s="799">
        <f t="shared" si="32"/>
        <v>8150</v>
      </c>
      <c r="N335" s="798" t="s">
        <v>15753</v>
      </c>
      <c r="O335" s="800">
        <f t="shared" si="33"/>
        <v>8150</v>
      </c>
      <c r="P335" s="800">
        <f t="shared" si="34"/>
        <v>8150</v>
      </c>
      <c r="Q335" s="801">
        <f t="shared" si="35"/>
        <v>8150</v>
      </c>
    </row>
    <row r="336" spans="1:17" x14ac:dyDescent="0.2">
      <c r="A336" s="802" t="s">
        <v>17736</v>
      </c>
      <c r="B336" s="803" t="s">
        <v>13918</v>
      </c>
      <c r="C336" s="803" t="s">
        <v>17513</v>
      </c>
      <c r="D336" s="803" t="s">
        <v>24404</v>
      </c>
      <c r="E336" s="803" t="s">
        <v>15732</v>
      </c>
      <c r="F336" s="803">
        <v>2</v>
      </c>
      <c r="G336" s="803" t="s">
        <v>3779</v>
      </c>
      <c r="H336" s="803" t="s">
        <v>3779</v>
      </c>
      <c r="I336" s="804">
        <v>11150</v>
      </c>
      <c r="J336" s="803">
        <v>1</v>
      </c>
      <c r="K336" s="804">
        <f t="shared" si="30"/>
        <v>11150</v>
      </c>
      <c r="L336" s="804">
        <f t="shared" si="31"/>
        <v>11150</v>
      </c>
      <c r="M336" s="804">
        <f t="shared" si="32"/>
        <v>11150</v>
      </c>
      <c r="N336" s="803" t="s">
        <v>16141</v>
      </c>
      <c r="O336" s="805">
        <f t="shared" si="33"/>
        <v>11150</v>
      </c>
      <c r="P336" s="805">
        <f t="shared" si="34"/>
        <v>11150</v>
      </c>
      <c r="Q336" s="806">
        <f t="shared" si="35"/>
        <v>11150</v>
      </c>
    </row>
    <row r="337" spans="1:17" x14ac:dyDescent="0.2">
      <c r="A337" s="797" t="s">
        <v>17737</v>
      </c>
      <c r="B337" s="798" t="s">
        <v>13918</v>
      </c>
      <c r="C337" s="798" t="s">
        <v>17513</v>
      </c>
      <c r="D337" s="798" t="s">
        <v>24404</v>
      </c>
      <c r="E337" s="798" t="s">
        <v>15733</v>
      </c>
      <c r="F337" s="798">
        <v>3</v>
      </c>
      <c r="G337" s="798" t="s">
        <v>3779</v>
      </c>
      <c r="H337" s="798" t="s">
        <v>3779</v>
      </c>
      <c r="I337" s="799">
        <v>18000</v>
      </c>
      <c r="J337" s="798">
        <v>1</v>
      </c>
      <c r="K337" s="799">
        <f t="shared" si="30"/>
        <v>18000</v>
      </c>
      <c r="L337" s="799">
        <f t="shared" si="31"/>
        <v>18000</v>
      </c>
      <c r="M337" s="799">
        <f t="shared" si="32"/>
        <v>18000</v>
      </c>
      <c r="N337" s="798" t="s">
        <v>15754</v>
      </c>
      <c r="O337" s="800">
        <f t="shared" si="33"/>
        <v>18000</v>
      </c>
      <c r="P337" s="800">
        <f t="shared" si="34"/>
        <v>18000</v>
      </c>
      <c r="Q337" s="801">
        <f t="shared" si="35"/>
        <v>18000</v>
      </c>
    </row>
    <row r="338" spans="1:17" x14ac:dyDescent="0.2">
      <c r="A338" s="802" t="s">
        <v>16394</v>
      </c>
      <c r="B338" s="803" t="s">
        <v>13918</v>
      </c>
      <c r="C338" s="803" t="s">
        <v>17513</v>
      </c>
      <c r="D338" s="803" t="s">
        <v>24405</v>
      </c>
      <c r="E338" s="803" t="s">
        <v>15731</v>
      </c>
      <c r="F338" s="803">
        <v>1</v>
      </c>
      <c r="G338" s="803" t="s">
        <v>3779</v>
      </c>
      <c r="H338" s="803" t="s">
        <v>3779</v>
      </c>
      <c r="I338" s="804">
        <v>13000</v>
      </c>
      <c r="J338" s="803">
        <v>1</v>
      </c>
      <c r="K338" s="804">
        <f t="shared" si="30"/>
        <v>13000</v>
      </c>
      <c r="L338" s="804">
        <f t="shared" si="31"/>
        <v>13000</v>
      </c>
      <c r="M338" s="804">
        <f t="shared" si="32"/>
        <v>13000</v>
      </c>
      <c r="N338" s="803" t="s">
        <v>15753</v>
      </c>
      <c r="O338" s="805">
        <f t="shared" si="33"/>
        <v>13000</v>
      </c>
      <c r="P338" s="805">
        <f t="shared" si="34"/>
        <v>13000</v>
      </c>
      <c r="Q338" s="806">
        <f t="shared" si="35"/>
        <v>13000</v>
      </c>
    </row>
    <row r="339" spans="1:17" x14ac:dyDescent="0.2">
      <c r="A339" s="797" t="s">
        <v>17738</v>
      </c>
      <c r="B339" s="798" t="s">
        <v>13918</v>
      </c>
      <c r="C339" s="798" t="s">
        <v>17513</v>
      </c>
      <c r="D339" s="798" t="s">
        <v>24405</v>
      </c>
      <c r="E339" s="798" t="s">
        <v>15732</v>
      </c>
      <c r="F339" s="798">
        <v>2</v>
      </c>
      <c r="G339" s="798" t="s">
        <v>3779</v>
      </c>
      <c r="H339" s="798" t="s">
        <v>3779</v>
      </c>
      <c r="I339" s="799">
        <v>18000</v>
      </c>
      <c r="J339" s="798">
        <v>1</v>
      </c>
      <c r="K339" s="799">
        <f t="shared" si="30"/>
        <v>18000</v>
      </c>
      <c r="L339" s="799">
        <f t="shared" si="31"/>
        <v>18000</v>
      </c>
      <c r="M339" s="799">
        <f t="shared" si="32"/>
        <v>18000</v>
      </c>
      <c r="N339" s="798" t="s">
        <v>16141</v>
      </c>
      <c r="O339" s="800">
        <f t="shared" si="33"/>
        <v>18000</v>
      </c>
      <c r="P339" s="800">
        <f t="shared" si="34"/>
        <v>18000</v>
      </c>
      <c r="Q339" s="801">
        <f t="shared" si="35"/>
        <v>18000</v>
      </c>
    </row>
    <row r="340" spans="1:17" x14ac:dyDescent="0.2">
      <c r="A340" s="802" t="s">
        <v>17739</v>
      </c>
      <c r="B340" s="803" t="s">
        <v>13918</v>
      </c>
      <c r="C340" s="803" t="s">
        <v>17513</v>
      </c>
      <c r="D340" s="803" t="s">
        <v>24405</v>
      </c>
      <c r="E340" s="803" t="s">
        <v>15733</v>
      </c>
      <c r="F340" s="803">
        <v>3</v>
      </c>
      <c r="G340" s="803" t="s">
        <v>3779</v>
      </c>
      <c r="H340" s="803" t="s">
        <v>3779</v>
      </c>
      <c r="I340" s="804">
        <v>22000</v>
      </c>
      <c r="J340" s="803">
        <v>1</v>
      </c>
      <c r="K340" s="804">
        <f t="shared" si="30"/>
        <v>22000</v>
      </c>
      <c r="L340" s="804">
        <f t="shared" si="31"/>
        <v>22000</v>
      </c>
      <c r="M340" s="804">
        <f t="shared" si="32"/>
        <v>22000</v>
      </c>
      <c r="N340" s="803" t="s">
        <v>15754</v>
      </c>
      <c r="O340" s="805">
        <f t="shared" si="33"/>
        <v>22000</v>
      </c>
      <c r="P340" s="805">
        <f t="shared" si="34"/>
        <v>22000</v>
      </c>
      <c r="Q340" s="806">
        <f t="shared" si="35"/>
        <v>22000</v>
      </c>
    </row>
    <row r="341" spans="1:17" x14ac:dyDescent="0.2">
      <c r="A341" s="797" t="s">
        <v>16409</v>
      </c>
      <c r="B341" s="798" t="s">
        <v>13918</v>
      </c>
      <c r="C341" s="798" t="s">
        <v>17513</v>
      </c>
      <c r="D341" s="798" t="s">
        <v>24406</v>
      </c>
      <c r="E341" s="798" t="s">
        <v>15731</v>
      </c>
      <c r="F341" s="798">
        <v>1</v>
      </c>
      <c r="G341" s="798" t="s">
        <v>122</v>
      </c>
      <c r="H341" s="798" t="s">
        <v>122</v>
      </c>
      <c r="I341" s="799">
        <v>9000</v>
      </c>
      <c r="J341" s="798">
        <v>1</v>
      </c>
      <c r="K341" s="799">
        <f t="shared" si="30"/>
        <v>9000</v>
      </c>
      <c r="L341" s="799">
        <f t="shared" si="31"/>
        <v>9000</v>
      </c>
      <c r="M341" s="799">
        <f t="shared" si="32"/>
        <v>9000</v>
      </c>
      <c r="N341" s="798" t="s">
        <v>15753</v>
      </c>
      <c r="O341" s="800">
        <f t="shared" si="33"/>
        <v>9000</v>
      </c>
      <c r="P341" s="800">
        <f t="shared" si="34"/>
        <v>9000</v>
      </c>
      <c r="Q341" s="801">
        <f t="shared" si="35"/>
        <v>9000</v>
      </c>
    </row>
    <row r="342" spans="1:17" x14ac:dyDescent="0.2">
      <c r="A342" s="802" t="s">
        <v>17740</v>
      </c>
      <c r="B342" s="803" t="s">
        <v>13918</v>
      </c>
      <c r="C342" s="803" t="s">
        <v>17513</v>
      </c>
      <c r="D342" s="803" t="s">
        <v>24406</v>
      </c>
      <c r="E342" s="803" t="s">
        <v>15732</v>
      </c>
      <c r="F342" s="803">
        <v>2</v>
      </c>
      <c r="G342" s="803" t="s">
        <v>122</v>
      </c>
      <c r="H342" s="803" t="s">
        <v>122</v>
      </c>
      <c r="I342" s="804">
        <v>12000</v>
      </c>
      <c r="J342" s="803">
        <v>1</v>
      </c>
      <c r="K342" s="804">
        <f t="shared" si="30"/>
        <v>12000</v>
      </c>
      <c r="L342" s="804">
        <f t="shared" si="31"/>
        <v>12000</v>
      </c>
      <c r="M342" s="804">
        <f t="shared" si="32"/>
        <v>12000</v>
      </c>
      <c r="N342" s="803" t="s">
        <v>16141</v>
      </c>
      <c r="O342" s="805">
        <f t="shared" si="33"/>
        <v>12000</v>
      </c>
      <c r="P342" s="805">
        <f t="shared" si="34"/>
        <v>12000</v>
      </c>
      <c r="Q342" s="806">
        <f t="shared" si="35"/>
        <v>12000</v>
      </c>
    </row>
    <row r="343" spans="1:17" x14ac:dyDescent="0.2">
      <c r="A343" s="797" t="s">
        <v>17741</v>
      </c>
      <c r="B343" s="798" t="s">
        <v>13918</v>
      </c>
      <c r="C343" s="798" t="s">
        <v>17513</v>
      </c>
      <c r="D343" s="798" t="s">
        <v>24406</v>
      </c>
      <c r="E343" s="798" t="s">
        <v>15733</v>
      </c>
      <c r="F343" s="798">
        <v>3</v>
      </c>
      <c r="G343" s="798" t="s">
        <v>122</v>
      </c>
      <c r="H343" s="798" t="s">
        <v>122</v>
      </c>
      <c r="I343" s="799">
        <v>21000</v>
      </c>
      <c r="J343" s="798">
        <v>1</v>
      </c>
      <c r="K343" s="799">
        <f t="shared" si="30"/>
        <v>21000</v>
      </c>
      <c r="L343" s="799">
        <f t="shared" si="31"/>
        <v>21000</v>
      </c>
      <c r="M343" s="799">
        <f t="shared" si="32"/>
        <v>21000</v>
      </c>
      <c r="N343" s="798" t="s">
        <v>15754</v>
      </c>
      <c r="O343" s="800">
        <f t="shared" si="33"/>
        <v>21000</v>
      </c>
      <c r="P343" s="800">
        <f t="shared" si="34"/>
        <v>21000</v>
      </c>
      <c r="Q343" s="801">
        <f t="shared" si="35"/>
        <v>21000</v>
      </c>
    </row>
    <row r="344" spans="1:17" x14ac:dyDescent="0.2">
      <c r="A344" s="802" t="s">
        <v>16416</v>
      </c>
      <c r="B344" s="803" t="s">
        <v>13918</v>
      </c>
      <c r="C344" s="803" t="s">
        <v>17513</v>
      </c>
      <c r="D344" s="803" t="s">
        <v>24407</v>
      </c>
      <c r="E344" s="803" t="s">
        <v>15731</v>
      </c>
      <c r="F344" s="803">
        <v>1</v>
      </c>
      <c r="G344" s="803" t="s">
        <v>122</v>
      </c>
      <c r="H344" s="803" t="s">
        <v>122</v>
      </c>
      <c r="I344" s="804">
        <v>9050</v>
      </c>
      <c r="J344" s="803">
        <v>1</v>
      </c>
      <c r="K344" s="804">
        <f t="shared" si="30"/>
        <v>9050</v>
      </c>
      <c r="L344" s="804">
        <f t="shared" si="31"/>
        <v>9050</v>
      </c>
      <c r="M344" s="804">
        <f t="shared" si="32"/>
        <v>9050</v>
      </c>
      <c r="N344" s="803" t="s">
        <v>15753</v>
      </c>
      <c r="O344" s="805">
        <f t="shared" si="33"/>
        <v>9050</v>
      </c>
      <c r="P344" s="805">
        <f t="shared" si="34"/>
        <v>9050</v>
      </c>
      <c r="Q344" s="806">
        <f t="shared" si="35"/>
        <v>9050</v>
      </c>
    </row>
    <row r="345" spans="1:17" x14ac:dyDescent="0.2">
      <c r="A345" s="797" t="s">
        <v>17742</v>
      </c>
      <c r="B345" s="798" t="s">
        <v>13918</v>
      </c>
      <c r="C345" s="798" t="s">
        <v>17513</v>
      </c>
      <c r="D345" s="798" t="s">
        <v>24407</v>
      </c>
      <c r="E345" s="798" t="s">
        <v>15732</v>
      </c>
      <c r="F345" s="798">
        <v>2</v>
      </c>
      <c r="G345" s="798" t="s">
        <v>122</v>
      </c>
      <c r="H345" s="798" t="s">
        <v>122</v>
      </c>
      <c r="I345" s="799">
        <v>12050</v>
      </c>
      <c r="J345" s="798">
        <v>1</v>
      </c>
      <c r="K345" s="799">
        <f t="shared" si="30"/>
        <v>12050</v>
      </c>
      <c r="L345" s="799">
        <f t="shared" si="31"/>
        <v>12050</v>
      </c>
      <c r="M345" s="799">
        <f t="shared" si="32"/>
        <v>12050</v>
      </c>
      <c r="N345" s="798" t="s">
        <v>16141</v>
      </c>
      <c r="O345" s="800">
        <f t="shared" si="33"/>
        <v>12050</v>
      </c>
      <c r="P345" s="800">
        <f t="shared" si="34"/>
        <v>12050</v>
      </c>
      <c r="Q345" s="801">
        <f t="shared" si="35"/>
        <v>12050</v>
      </c>
    </row>
    <row r="346" spans="1:17" x14ac:dyDescent="0.2">
      <c r="A346" s="802" t="s">
        <v>17743</v>
      </c>
      <c r="B346" s="803" t="s">
        <v>13918</v>
      </c>
      <c r="C346" s="803" t="s">
        <v>17513</v>
      </c>
      <c r="D346" s="803" t="s">
        <v>24407</v>
      </c>
      <c r="E346" s="803" t="s">
        <v>15733</v>
      </c>
      <c r="F346" s="803">
        <v>3</v>
      </c>
      <c r="G346" s="803" t="s">
        <v>122</v>
      </c>
      <c r="H346" s="803" t="s">
        <v>122</v>
      </c>
      <c r="I346" s="804">
        <v>21000</v>
      </c>
      <c r="J346" s="803">
        <v>1</v>
      </c>
      <c r="K346" s="804">
        <f t="shared" si="30"/>
        <v>21000</v>
      </c>
      <c r="L346" s="804">
        <f t="shared" si="31"/>
        <v>21000</v>
      </c>
      <c r="M346" s="804">
        <f t="shared" si="32"/>
        <v>21000</v>
      </c>
      <c r="N346" s="803" t="s">
        <v>15754</v>
      </c>
      <c r="O346" s="805">
        <f t="shared" si="33"/>
        <v>21000</v>
      </c>
      <c r="P346" s="805">
        <f t="shared" si="34"/>
        <v>21000</v>
      </c>
      <c r="Q346" s="806">
        <f t="shared" si="35"/>
        <v>21000</v>
      </c>
    </row>
    <row r="347" spans="1:17" x14ac:dyDescent="0.2">
      <c r="A347" s="797" t="s">
        <v>16423</v>
      </c>
      <c r="B347" s="798" t="s">
        <v>13918</v>
      </c>
      <c r="C347" s="798" t="s">
        <v>17513</v>
      </c>
      <c r="D347" s="798" t="s">
        <v>24408</v>
      </c>
      <c r="E347" s="798" t="s">
        <v>15731</v>
      </c>
      <c r="F347" s="798">
        <v>1</v>
      </c>
      <c r="G347" s="798" t="s">
        <v>122</v>
      </c>
      <c r="H347" s="798" t="s">
        <v>122</v>
      </c>
      <c r="I347" s="799">
        <v>9050</v>
      </c>
      <c r="J347" s="798">
        <v>1</v>
      </c>
      <c r="K347" s="799">
        <f t="shared" si="30"/>
        <v>9050</v>
      </c>
      <c r="L347" s="799">
        <f t="shared" si="31"/>
        <v>9050</v>
      </c>
      <c r="M347" s="799">
        <f t="shared" si="32"/>
        <v>9050</v>
      </c>
      <c r="N347" s="798" t="s">
        <v>15753</v>
      </c>
      <c r="O347" s="800">
        <f t="shared" si="33"/>
        <v>9050</v>
      </c>
      <c r="P347" s="800">
        <f t="shared" si="34"/>
        <v>9050</v>
      </c>
      <c r="Q347" s="801">
        <f t="shared" si="35"/>
        <v>9050</v>
      </c>
    </row>
    <row r="348" spans="1:17" x14ac:dyDescent="0.2">
      <c r="A348" s="802" t="s">
        <v>17744</v>
      </c>
      <c r="B348" s="803" t="s">
        <v>13918</v>
      </c>
      <c r="C348" s="803" t="s">
        <v>17513</v>
      </c>
      <c r="D348" s="803" t="s">
        <v>24408</v>
      </c>
      <c r="E348" s="803" t="s">
        <v>15732</v>
      </c>
      <c r="F348" s="803">
        <v>2</v>
      </c>
      <c r="G348" s="803" t="s">
        <v>122</v>
      </c>
      <c r="H348" s="803" t="s">
        <v>122</v>
      </c>
      <c r="I348" s="804">
        <v>12050</v>
      </c>
      <c r="J348" s="803">
        <v>1</v>
      </c>
      <c r="K348" s="804">
        <f t="shared" si="30"/>
        <v>12050</v>
      </c>
      <c r="L348" s="804">
        <f t="shared" si="31"/>
        <v>12050</v>
      </c>
      <c r="M348" s="804">
        <f t="shared" si="32"/>
        <v>12050</v>
      </c>
      <c r="N348" s="803" t="s">
        <v>16141</v>
      </c>
      <c r="O348" s="805">
        <f t="shared" si="33"/>
        <v>12050</v>
      </c>
      <c r="P348" s="805">
        <f t="shared" si="34"/>
        <v>12050</v>
      </c>
      <c r="Q348" s="806">
        <f t="shared" si="35"/>
        <v>12050</v>
      </c>
    </row>
    <row r="349" spans="1:17" x14ac:dyDescent="0.2">
      <c r="A349" s="797" t="s">
        <v>17745</v>
      </c>
      <c r="B349" s="798" t="s">
        <v>13918</v>
      </c>
      <c r="C349" s="798" t="s">
        <v>17513</v>
      </c>
      <c r="D349" s="798" t="s">
        <v>24408</v>
      </c>
      <c r="E349" s="798" t="s">
        <v>15733</v>
      </c>
      <c r="F349" s="798">
        <v>3</v>
      </c>
      <c r="G349" s="798" t="s">
        <v>122</v>
      </c>
      <c r="H349" s="798" t="s">
        <v>122</v>
      </c>
      <c r="I349" s="799">
        <v>21000</v>
      </c>
      <c r="J349" s="798">
        <v>1</v>
      </c>
      <c r="K349" s="799">
        <f t="shared" si="30"/>
        <v>21000</v>
      </c>
      <c r="L349" s="799">
        <f t="shared" si="31"/>
        <v>21000</v>
      </c>
      <c r="M349" s="799">
        <f t="shared" si="32"/>
        <v>21000</v>
      </c>
      <c r="N349" s="798" t="s">
        <v>15754</v>
      </c>
      <c r="O349" s="800">
        <f t="shared" si="33"/>
        <v>21000</v>
      </c>
      <c r="P349" s="800">
        <f t="shared" si="34"/>
        <v>21000</v>
      </c>
      <c r="Q349" s="801">
        <f t="shared" si="35"/>
        <v>21000</v>
      </c>
    </row>
    <row r="350" spans="1:17" x14ac:dyDescent="0.2">
      <c r="A350" s="802" t="s">
        <v>16426</v>
      </c>
      <c r="B350" s="803" t="s">
        <v>13918</v>
      </c>
      <c r="C350" s="803" t="s">
        <v>17513</v>
      </c>
      <c r="D350" s="803" t="s">
        <v>24409</v>
      </c>
      <c r="E350" s="803" t="s">
        <v>15731</v>
      </c>
      <c r="F350" s="803">
        <v>1</v>
      </c>
      <c r="G350" s="803" t="s">
        <v>122</v>
      </c>
      <c r="H350" s="803" t="s">
        <v>122</v>
      </c>
      <c r="I350" s="804">
        <v>9100</v>
      </c>
      <c r="J350" s="803">
        <v>1</v>
      </c>
      <c r="K350" s="804">
        <f t="shared" si="30"/>
        <v>9100</v>
      </c>
      <c r="L350" s="804">
        <f t="shared" si="31"/>
        <v>9100</v>
      </c>
      <c r="M350" s="804">
        <f t="shared" si="32"/>
        <v>9100</v>
      </c>
      <c r="N350" s="803" t="s">
        <v>15753</v>
      </c>
      <c r="O350" s="805">
        <f t="shared" si="33"/>
        <v>9100</v>
      </c>
      <c r="P350" s="805">
        <f t="shared" si="34"/>
        <v>9100</v>
      </c>
      <c r="Q350" s="806">
        <f t="shared" si="35"/>
        <v>9100</v>
      </c>
    </row>
    <row r="351" spans="1:17" x14ac:dyDescent="0.2">
      <c r="A351" s="797" t="s">
        <v>17746</v>
      </c>
      <c r="B351" s="798" t="s">
        <v>13918</v>
      </c>
      <c r="C351" s="798" t="s">
        <v>17513</v>
      </c>
      <c r="D351" s="798" t="s">
        <v>24409</v>
      </c>
      <c r="E351" s="798" t="s">
        <v>15732</v>
      </c>
      <c r="F351" s="798">
        <v>2</v>
      </c>
      <c r="G351" s="798" t="s">
        <v>122</v>
      </c>
      <c r="H351" s="798" t="s">
        <v>122</v>
      </c>
      <c r="I351" s="799">
        <v>12100</v>
      </c>
      <c r="J351" s="798">
        <v>1</v>
      </c>
      <c r="K351" s="799">
        <f t="shared" si="30"/>
        <v>12100</v>
      </c>
      <c r="L351" s="799">
        <f t="shared" si="31"/>
        <v>12100</v>
      </c>
      <c r="M351" s="799">
        <f t="shared" si="32"/>
        <v>12100</v>
      </c>
      <c r="N351" s="798" t="s">
        <v>16141</v>
      </c>
      <c r="O351" s="800">
        <f t="shared" si="33"/>
        <v>12100</v>
      </c>
      <c r="P351" s="800">
        <f t="shared" si="34"/>
        <v>12100</v>
      </c>
      <c r="Q351" s="801">
        <f t="shared" si="35"/>
        <v>12100</v>
      </c>
    </row>
    <row r="352" spans="1:17" x14ac:dyDescent="0.2">
      <c r="A352" s="802" t="s">
        <v>17747</v>
      </c>
      <c r="B352" s="803" t="s">
        <v>13918</v>
      </c>
      <c r="C352" s="803" t="s">
        <v>17513</v>
      </c>
      <c r="D352" s="803" t="s">
        <v>24409</v>
      </c>
      <c r="E352" s="803" t="s">
        <v>15733</v>
      </c>
      <c r="F352" s="803">
        <v>3</v>
      </c>
      <c r="G352" s="803" t="s">
        <v>122</v>
      </c>
      <c r="H352" s="803" t="s">
        <v>122</v>
      </c>
      <c r="I352" s="804">
        <v>21000</v>
      </c>
      <c r="J352" s="803">
        <v>1</v>
      </c>
      <c r="K352" s="804">
        <f t="shared" si="30"/>
        <v>21000</v>
      </c>
      <c r="L352" s="804">
        <f t="shared" si="31"/>
        <v>21000</v>
      </c>
      <c r="M352" s="804">
        <f t="shared" si="32"/>
        <v>21000</v>
      </c>
      <c r="N352" s="803" t="s">
        <v>15754</v>
      </c>
      <c r="O352" s="805">
        <f t="shared" si="33"/>
        <v>21000</v>
      </c>
      <c r="P352" s="805">
        <f t="shared" si="34"/>
        <v>21000</v>
      </c>
      <c r="Q352" s="806">
        <f t="shared" si="35"/>
        <v>21000</v>
      </c>
    </row>
    <row r="353" spans="1:17" x14ac:dyDescent="0.2">
      <c r="A353" s="797" t="s">
        <v>16438</v>
      </c>
      <c r="B353" s="798" t="s">
        <v>13918</v>
      </c>
      <c r="C353" s="798" t="s">
        <v>17513</v>
      </c>
      <c r="D353" s="798" t="s">
        <v>24410</v>
      </c>
      <c r="E353" s="798" t="s">
        <v>15731</v>
      </c>
      <c r="F353" s="798">
        <v>1</v>
      </c>
      <c r="G353" s="798" t="s">
        <v>122</v>
      </c>
      <c r="H353" s="798" t="s">
        <v>122</v>
      </c>
      <c r="I353" s="799">
        <v>10000</v>
      </c>
      <c r="J353" s="798">
        <v>1</v>
      </c>
      <c r="K353" s="799">
        <f t="shared" si="30"/>
        <v>10000</v>
      </c>
      <c r="L353" s="799">
        <f t="shared" si="31"/>
        <v>10000</v>
      </c>
      <c r="M353" s="799">
        <f t="shared" si="32"/>
        <v>10000</v>
      </c>
      <c r="N353" s="798" t="s">
        <v>15753</v>
      </c>
      <c r="O353" s="800">
        <f t="shared" si="33"/>
        <v>10000</v>
      </c>
      <c r="P353" s="800">
        <f t="shared" si="34"/>
        <v>10000</v>
      </c>
      <c r="Q353" s="801">
        <f t="shared" si="35"/>
        <v>10000</v>
      </c>
    </row>
    <row r="354" spans="1:17" x14ac:dyDescent="0.2">
      <c r="A354" s="802" t="s">
        <v>17748</v>
      </c>
      <c r="B354" s="803" t="s">
        <v>13918</v>
      </c>
      <c r="C354" s="803" t="s">
        <v>17513</v>
      </c>
      <c r="D354" s="803" t="s">
        <v>24410</v>
      </c>
      <c r="E354" s="803" t="s">
        <v>15732</v>
      </c>
      <c r="F354" s="803">
        <v>2</v>
      </c>
      <c r="G354" s="803" t="s">
        <v>122</v>
      </c>
      <c r="H354" s="803" t="s">
        <v>122</v>
      </c>
      <c r="I354" s="804">
        <v>14000</v>
      </c>
      <c r="J354" s="803">
        <v>1</v>
      </c>
      <c r="K354" s="804">
        <f t="shared" si="30"/>
        <v>14000</v>
      </c>
      <c r="L354" s="804">
        <f t="shared" si="31"/>
        <v>14000</v>
      </c>
      <c r="M354" s="804">
        <f t="shared" si="32"/>
        <v>14000</v>
      </c>
      <c r="N354" s="803" t="s">
        <v>16141</v>
      </c>
      <c r="O354" s="805">
        <f t="shared" si="33"/>
        <v>14000</v>
      </c>
      <c r="P354" s="805">
        <f t="shared" si="34"/>
        <v>14000</v>
      </c>
      <c r="Q354" s="806">
        <f t="shared" si="35"/>
        <v>14000</v>
      </c>
    </row>
    <row r="355" spans="1:17" x14ac:dyDescent="0.2">
      <c r="A355" s="797" t="s">
        <v>17749</v>
      </c>
      <c r="B355" s="798" t="s">
        <v>13918</v>
      </c>
      <c r="C355" s="798" t="s">
        <v>17513</v>
      </c>
      <c r="D355" s="798" t="s">
        <v>24410</v>
      </c>
      <c r="E355" s="798" t="s">
        <v>15733</v>
      </c>
      <c r="F355" s="798">
        <v>3</v>
      </c>
      <c r="G355" s="798" t="s">
        <v>122</v>
      </c>
      <c r="H355" s="798" t="s">
        <v>122</v>
      </c>
      <c r="I355" s="799">
        <v>24000</v>
      </c>
      <c r="J355" s="798">
        <v>1</v>
      </c>
      <c r="K355" s="799">
        <f t="shared" si="30"/>
        <v>24000</v>
      </c>
      <c r="L355" s="799">
        <f t="shared" si="31"/>
        <v>24000</v>
      </c>
      <c r="M355" s="799">
        <f t="shared" si="32"/>
        <v>24000</v>
      </c>
      <c r="N355" s="798" t="s">
        <v>15754</v>
      </c>
      <c r="O355" s="800">
        <f t="shared" si="33"/>
        <v>24000</v>
      </c>
      <c r="P355" s="800">
        <f t="shared" si="34"/>
        <v>24000</v>
      </c>
      <c r="Q355" s="801">
        <f t="shared" si="35"/>
        <v>24000</v>
      </c>
    </row>
    <row r="356" spans="1:17" x14ac:dyDescent="0.2">
      <c r="A356" s="802" t="s">
        <v>16441</v>
      </c>
      <c r="B356" s="803" t="s">
        <v>13918</v>
      </c>
      <c r="C356" s="803" t="s">
        <v>17513</v>
      </c>
      <c r="D356" s="803" t="s">
        <v>24411</v>
      </c>
      <c r="E356" s="803" t="s">
        <v>15731</v>
      </c>
      <c r="F356" s="803">
        <v>1</v>
      </c>
      <c r="G356" s="803" t="s">
        <v>2837</v>
      </c>
      <c r="H356" s="803" t="s">
        <v>2837</v>
      </c>
      <c r="I356" s="804">
        <v>16000</v>
      </c>
      <c r="J356" s="803">
        <v>1</v>
      </c>
      <c r="K356" s="804">
        <f t="shared" si="30"/>
        <v>16000</v>
      </c>
      <c r="L356" s="804">
        <f t="shared" si="31"/>
        <v>16000</v>
      </c>
      <c r="M356" s="804">
        <f t="shared" si="32"/>
        <v>16000</v>
      </c>
      <c r="N356" s="803" t="s">
        <v>15753</v>
      </c>
      <c r="O356" s="805">
        <f t="shared" si="33"/>
        <v>16000</v>
      </c>
      <c r="P356" s="805">
        <f t="shared" si="34"/>
        <v>16000</v>
      </c>
      <c r="Q356" s="806">
        <f t="shared" si="35"/>
        <v>16000</v>
      </c>
    </row>
    <row r="357" spans="1:17" x14ac:dyDescent="0.2">
      <c r="A357" s="797" t="s">
        <v>17750</v>
      </c>
      <c r="B357" s="798" t="s">
        <v>13918</v>
      </c>
      <c r="C357" s="798" t="s">
        <v>17513</v>
      </c>
      <c r="D357" s="798" t="s">
        <v>24411</v>
      </c>
      <c r="E357" s="798" t="s">
        <v>15732</v>
      </c>
      <c r="F357" s="798">
        <v>2</v>
      </c>
      <c r="G357" s="798" t="s">
        <v>2837</v>
      </c>
      <c r="H357" s="798" t="s">
        <v>2837</v>
      </c>
      <c r="I357" s="799">
        <v>19000</v>
      </c>
      <c r="J357" s="798">
        <v>1</v>
      </c>
      <c r="K357" s="799">
        <f t="shared" si="30"/>
        <v>19000</v>
      </c>
      <c r="L357" s="799">
        <f t="shared" si="31"/>
        <v>19000</v>
      </c>
      <c r="M357" s="799">
        <f t="shared" si="32"/>
        <v>19000</v>
      </c>
      <c r="N357" s="798" t="s">
        <v>16141</v>
      </c>
      <c r="O357" s="800">
        <f t="shared" si="33"/>
        <v>19000</v>
      </c>
      <c r="P357" s="800">
        <f t="shared" si="34"/>
        <v>19000</v>
      </c>
      <c r="Q357" s="801">
        <f t="shared" si="35"/>
        <v>19000</v>
      </c>
    </row>
    <row r="358" spans="1:17" x14ac:dyDescent="0.2">
      <c r="A358" s="802" t="s">
        <v>17751</v>
      </c>
      <c r="B358" s="803" t="s">
        <v>13918</v>
      </c>
      <c r="C358" s="803" t="s">
        <v>17513</v>
      </c>
      <c r="D358" s="803" t="s">
        <v>24411</v>
      </c>
      <c r="E358" s="803" t="s">
        <v>15733</v>
      </c>
      <c r="F358" s="803">
        <v>3</v>
      </c>
      <c r="G358" s="803" t="s">
        <v>2837</v>
      </c>
      <c r="H358" s="803" t="s">
        <v>2837</v>
      </c>
      <c r="I358" s="804">
        <v>28000</v>
      </c>
      <c r="J358" s="803">
        <v>1</v>
      </c>
      <c r="K358" s="804">
        <f t="shared" si="30"/>
        <v>28000</v>
      </c>
      <c r="L358" s="804">
        <f t="shared" si="31"/>
        <v>28000</v>
      </c>
      <c r="M358" s="804">
        <f t="shared" si="32"/>
        <v>28000</v>
      </c>
      <c r="N358" s="803" t="s">
        <v>15754</v>
      </c>
      <c r="O358" s="805">
        <f t="shared" si="33"/>
        <v>28000</v>
      </c>
      <c r="P358" s="805">
        <f t="shared" si="34"/>
        <v>28000</v>
      </c>
      <c r="Q358" s="806">
        <f t="shared" si="35"/>
        <v>28000</v>
      </c>
    </row>
    <row r="359" spans="1:17" x14ac:dyDescent="0.2">
      <c r="A359" s="797" t="s">
        <v>16444</v>
      </c>
      <c r="B359" s="798" t="s">
        <v>13918</v>
      </c>
      <c r="C359" s="798" t="s">
        <v>17513</v>
      </c>
      <c r="D359" s="798" t="s">
        <v>24412</v>
      </c>
      <c r="E359" s="798" t="s">
        <v>15731</v>
      </c>
      <c r="F359" s="798">
        <v>1</v>
      </c>
      <c r="G359" s="798" t="s">
        <v>122</v>
      </c>
      <c r="H359" s="798" t="s">
        <v>122</v>
      </c>
      <c r="I359" s="799">
        <v>9150</v>
      </c>
      <c r="J359" s="798">
        <v>1</v>
      </c>
      <c r="K359" s="799">
        <f t="shared" si="30"/>
        <v>9150</v>
      </c>
      <c r="L359" s="799">
        <f t="shared" si="31"/>
        <v>9150</v>
      </c>
      <c r="M359" s="799">
        <f t="shared" si="32"/>
        <v>9150</v>
      </c>
      <c r="N359" s="798" t="s">
        <v>15753</v>
      </c>
      <c r="O359" s="800">
        <f t="shared" si="33"/>
        <v>9150</v>
      </c>
      <c r="P359" s="800">
        <f t="shared" si="34"/>
        <v>9150</v>
      </c>
      <c r="Q359" s="801">
        <f t="shared" si="35"/>
        <v>9150</v>
      </c>
    </row>
    <row r="360" spans="1:17" x14ac:dyDescent="0.2">
      <c r="A360" s="802" t="s">
        <v>17752</v>
      </c>
      <c r="B360" s="803" t="s">
        <v>13918</v>
      </c>
      <c r="C360" s="803" t="s">
        <v>17513</v>
      </c>
      <c r="D360" s="803" t="s">
        <v>24412</v>
      </c>
      <c r="E360" s="803" t="s">
        <v>15732</v>
      </c>
      <c r="F360" s="803">
        <v>2</v>
      </c>
      <c r="G360" s="803" t="s">
        <v>122</v>
      </c>
      <c r="H360" s="803" t="s">
        <v>122</v>
      </c>
      <c r="I360" s="804">
        <v>12150</v>
      </c>
      <c r="J360" s="803">
        <v>1</v>
      </c>
      <c r="K360" s="804">
        <f t="shared" si="30"/>
        <v>12150</v>
      </c>
      <c r="L360" s="804">
        <f t="shared" si="31"/>
        <v>12150</v>
      </c>
      <c r="M360" s="804">
        <f t="shared" si="32"/>
        <v>12150</v>
      </c>
      <c r="N360" s="803" t="s">
        <v>16141</v>
      </c>
      <c r="O360" s="805">
        <f t="shared" si="33"/>
        <v>12150</v>
      </c>
      <c r="P360" s="805">
        <f t="shared" si="34"/>
        <v>12150</v>
      </c>
      <c r="Q360" s="806">
        <f t="shared" si="35"/>
        <v>12150</v>
      </c>
    </row>
    <row r="361" spans="1:17" x14ac:dyDescent="0.2">
      <c r="A361" s="797" t="s">
        <v>17753</v>
      </c>
      <c r="B361" s="798" t="s">
        <v>13918</v>
      </c>
      <c r="C361" s="798" t="s">
        <v>17513</v>
      </c>
      <c r="D361" s="798" t="s">
        <v>24412</v>
      </c>
      <c r="E361" s="798" t="s">
        <v>15733</v>
      </c>
      <c r="F361" s="798">
        <v>3</v>
      </c>
      <c r="G361" s="798" t="s">
        <v>122</v>
      </c>
      <c r="H361" s="798" t="s">
        <v>122</v>
      </c>
      <c r="I361" s="799">
        <v>21000</v>
      </c>
      <c r="J361" s="798">
        <v>1</v>
      </c>
      <c r="K361" s="799">
        <f t="shared" si="30"/>
        <v>21000</v>
      </c>
      <c r="L361" s="799">
        <f t="shared" si="31"/>
        <v>21000</v>
      </c>
      <c r="M361" s="799">
        <f t="shared" si="32"/>
        <v>21000</v>
      </c>
      <c r="N361" s="798" t="s">
        <v>15754</v>
      </c>
      <c r="O361" s="800">
        <f t="shared" si="33"/>
        <v>21000</v>
      </c>
      <c r="P361" s="800">
        <f t="shared" si="34"/>
        <v>21000</v>
      </c>
      <c r="Q361" s="801">
        <f t="shared" si="35"/>
        <v>21000</v>
      </c>
    </row>
    <row r="362" spans="1:17" x14ac:dyDescent="0.2">
      <c r="A362" s="802" t="s">
        <v>16448</v>
      </c>
      <c r="B362" s="803" t="s">
        <v>13918</v>
      </c>
      <c r="C362" s="803" t="s">
        <v>17513</v>
      </c>
      <c r="D362" s="803" t="s">
        <v>24413</v>
      </c>
      <c r="E362" s="803" t="s">
        <v>15731</v>
      </c>
      <c r="F362" s="803">
        <v>1</v>
      </c>
      <c r="G362" s="803" t="s">
        <v>122</v>
      </c>
      <c r="H362" s="803" t="s">
        <v>122</v>
      </c>
      <c r="I362" s="804">
        <v>9150</v>
      </c>
      <c r="J362" s="803">
        <v>1</v>
      </c>
      <c r="K362" s="804">
        <f t="shared" si="30"/>
        <v>9150</v>
      </c>
      <c r="L362" s="804">
        <f t="shared" si="31"/>
        <v>9150</v>
      </c>
      <c r="M362" s="804">
        <f t="shared" si="32"/>
        <v>9150</v>
      </c>
      <c r="N362" s="803" t="s">
        <v>15753</v>
      </c>
      <c r="O362" s="805">
        <f t="shared" si="33"/>
        <v>9150</v>
      </c>
      <c r="P362" s="805">
        <f t="shared" si="34"/>
        <v>9150</v>
      </c>
      <c r="Q362" s="806">
        <f t="shared" si="35"/>
        <v>9150</v>
      </c>
    </row>
    <row r="363" spans="1:17" x14ac:dyDescent="0.2">
      <c r="A363" s="797" t="s">
        <v>17754</v>
      </c>
      <c r="B363" s="798" t="s">
        <v>13918</v>
      </c>
      <c r="C363" s="798" t="s">
        <v>17513</v>
      </c>
      <c r="D363" s="798" t="s">
        <v>24413</v>
      </c>
      <c r="E363" s="798" t="s">
        <v>15732</v>
      </c>
      <c r="F363" s="798">
        <v>2</v>
      </c>
      <c r="G363" s="798" t="s">
        <v>122</v>
      </c>
      <c r="H363" s="798" t="s">
        <v>122</v>
      </c>
      <c r="I363" s="799">
        <v>12150</v>
      </c>
      <c r="J363" s="798">
        <v>1</v>
      </c>
      <c r="K363" s="799">
        <f t="shared" si="30"/>
        <v>12150</v>
      </c>
      <c r="L363" s="799">
        <f t="shared" si="31"/>
        <v>12150</v>
      </c>
      <c r="M363" s="799">
        <f t="shared" si="32"/>
        <v>12150</v>
      </c>
      <c r="N363" s="798" t="s">
        <v>16141</v>
      </c>
      <c r="O363" s="800">
        <f t="shared" si="33"/>
        <v>12150</v>
      </c>
      <c r="P363" s="800">
        <f t="shared" si="34"/>
        <v>12150</v>
      </c>
      <c r="Q363" s="801">
        <f t="shared" si="35"/>
        <v>12150</v>
      </c>
    </row>
    <row r="364" spans="1:17" x14ac:dyDescent="0.2">
      <c r="A364" s="802" t="s">
        <v>17755</v>
      </c>
      <c r="B364" s="803" t="s">
        <v>13918</v>
      </c>
      <c r="C364" s="803" t="s">
        <v>17513</v>
      </c>
      <c r="D364" s="803" t="s">
        <v>24413</v>
      </c>
      <c r="E364" s="803" t="s">
        <v>15733</v>
      </c>
      <c r="F364" s="803">
        <v>3</v>
      </c>
      <c r="G364" s="803" t="s">
        <v>122</v>
      </c>
      <c r="H364" s="803" t="s">
        <v>122</v>
      </c>
      <c r="I364" s="804">
        <v>21000</v>
      </c>
      <c r="J364" s="803">
        <v>1</v>
      </c>
      <c r="K364" s="804">
        <f t="shared" si="30"/>
        <v>21000</v>
      </c>
      <c r="L364" s="804">
        <f t="shared" si="31"/>
        <v>21000</v>
      </c>
      <c r="M364" s="804">
        <f t="shared" si="32"/>
        <v>21000</v>
      </c>
      <c r="N364" s="803" t="s">
        <v>15754</v>
      </c>
      <c r="O364" s="805">
        <f t="shared" si="33"/>
        <v>21000</v>
      </c>
      <c r="P364" s="805">
        <f t="shared" si="34"/>
        <v>21000</v>
      </c>
      <c r="Q364" s="806">
        <f t="shared" si="35"/>
        <v>21000</v>
      </c>
    </row>
    <row r="365" spans="1:17" x14ac:dyDescent="0.2">
      <c r="A365" s="797" t="s">
        <v>16455</v>
      </c>
      <c r="B365" s="798" t="s">
        <v>13918</v>
      </c>
      <c r="C365" s="798" t="s">
        <v>17513</v>
      </c>
      <c r="D365" s="798" t="s">
        <v>24414</v>
      </c>
      <c r="E365" s="798" t="s">
        <v>15731</v>
      </c>
      <c r="F365" s="798">
        <v>1</v>
      </c>
      <c r="G365" s="798" t="s">
        <v>122</v>
      </c>
      <c r="H365" s="798" t="s">
        <v>122</v>
      </c>
      <c r="I365" s="799">
        <v>16000</v>
      </c>
      <c r="J365" s="798">
        <v>1</v>
      </c>
      <c r="K365" s="799">
        <f t="shared" si="30"/>
        <v>16000</v>
      </c>
      <c r="L365" s="799">
        <f t="shared" si="31"/>
        <v>16000</v>
      </c>
      <c r="M365" s="799">
        <f t="shared" si="32"/>
        <v>16000</v>
      </c>
      <c r="N365" s="798" t="s">
        <v>15753</v>
      </c>
      <c r="O365" s="800">
        <f t="shared" si="33"/>
        <v>16000</v>
      </c>
      <c r="P365" s="800">
        <f t="shared" si="34"/>
        <v>16000</v>
      </c>
      <c r="Q365" s="801">
        <f t="shared" si="35"/>
        <v>16000</v>
      </c>
    </row>
    <row r="366" spans="1:17" x14ac:dyDescent="0.2">
      <c r="A366" s="802" t="s">
        <v>17756</v>
      </c>
      <c r="B366" s="803" t="s">
        <v>13918</v>
      </c>
      <c r="C366" s="803" t="s">
        <v>17513</v>
      </c>
      <c r="D366" s="803" t="s">
        <v>24414</v>
      </c>
      <c r="E366" s="803" t="s">
        <v>15732</v>
      </c>
      <c r="F366" s="803">
        <v>2</v>
      </c>
      <c r="G366" s="803" t="s">
        <v>122</v>
      </c>
      <c r="H366" s="803" t="s">
        <v>122</v>
      </c>
      <c r="I366" s="804">
        <v>19000</v>
      </c>
      <c r="J366" s="803">
        <v>1</v>
      </c>
      <c r="K366" s="804">
        <f t="shared" si="30"/>
        <v>19000</v>
      </c>
      <c r="L366" s="804">
        <f t="shared" si="31"/>
        <v>19000</v>
      </c>
      <c r="M366" s="804">
        <f t="shared" si="32"/>
        <v>19000</v>
      </c>
      <c r="N366" s="803" t="s">
        <v>16141</v>
      </c>
      <c r="O366" s="805">
        <f t="shared" si="33"/>
        <v>19000</v>
      </c>
      <c r="P366" s="805">
        <f t="shared" si="34"/>
        <v>19000</v>
      </c>
      <c r="Q366" s="806">
        <f t="shared" si="35"/>
        <v>19000</v>
      </c>
    </row>
    <row r="367" spans="1:17" x14ac:dyDescent="0.2">
      <c r="A367" s="797" t="s">
        <v>17757</v>
      </c>
      <c r="B367" s="798" t="s">
        <v>13918</v>
      </c>
      <c r="C367" s="798" t="s">
        <v>17513</v>
      </c>
      <c r="D367" s="798" t="s">
        <v>24414</v>
      </c>
      <c r="E367" s="798" t="s">
        <v>15733</v>
      </c>
      <c r="F367" s="798">
        <v>3</v>
      </c>
      <c r="G367" s="798" t="s">
        <v>122</v>
      </c>
      <c r="H367" s="798" t="s">
        <v>122</v>
      </c>
      <c r="I367" s="799">
        <v>23000</v>
      </c>
      <c r="J367" s="798">
        <v>1</v>
      </c>
      <c r="K367" s="799">
        <f t="shared" si="30"/>
        <v>23000</v>
      </c>
      <c r="L367" s="799">
        <f t="shared" si="31"/>
        <v>23000</v>
      </c>
      <c r="M367" s="799">
        <f t="shared" si="32"/>
        <v>23000</v>
      </c>
      <c r="N367" s="798" t="s">
        <v>15754</v>
      </c>
      <c r="O367" s="800">
        <f t="shared" si="33"/>
        <v>23000</v>
      </c>
      <c r="P367" s="800">
        <f t="shared" si="34"/>
        <v>23000</v>
      </c>
      <c r="Q367" s="801">
        <f t="shared" si="35"/>
        <v>23000</v>
      </c>
    </row>
    <row r="368" spans="1:17" x14ac:dyDescent="0.2">
      <c r="A368" s="802" t="s">
        <v>16473</v>
      </c>
      <c r="B368" s="803" t="s">
        <v>13918</v>
      </c>
      <c r="C368" s="803" t="s">
        <v>17513</v>
      </c>
      <c r="D368" s="803" t="s">
        <v>24415</v>
      </c>
      <c r="E368" s="803" t="s">
        <v>15731</v>
      </c>
      <c r="F368" s="803">
        <v>1</v>
      </c>
      <c r="G368" s="803" t="s">
        <v>122</v>
      </c>
      <c r="H368" s="803" t="s">
        <v>122</v>
      </c>
      <c r="I368" s="804">
        <v>14000</v>
      </c>
      <c r="J368" s="803">
        <v>1</v>
      </c>
      <c r="K368" s="804">
        <f t="shared" si="30"/>
        <v>14000</v>
      </c>
      <c r="L368" s="804">
        <f t="shared" si="31"/>
        <v>14000</v>
      </c>
      <c r="M368" s="804">
        <f t="shared" si="32"/>
        <v>14000</v>
      </c>
      <c r="N368" s="803" t="s">
        <v>15753</v>
      </c>
      <c r="O368" s="805">
        <f t="shared" si="33"/>
        <v>14000</v>
      </c>
      <c r="P368" s="805">
        <f t="shared" si="34"/>
        <v>14000</v>
      </c>
      <c r="Q368" s="806">
        <f t="shared" si="35"/>
        <v>14000</v>
      </c>
    </row>
    <row r="369" spans="1:17" x14ac:dyDescent="0.2">
      <c r="A369" s="797" t="s">
        <v>17758</v>
      </c>
      <c r="B369" s="798" t="s">
        <v>13918</v>
      </c>
      <c r="C369" s="798" t="s">
        <v>17513</v>
      </c>
      <c r="D369" s="798" t="s">
        <v>24415</v>
      </c>
      <c r="E369" s="798" t="s">
        <v>15732</v>
      </c>
      <c r="F369" s="798">
        <v>2</v>
      </c>
      <c r="G369" s="798" t="s">
        <v>122</v>
      </c>
      <c r="H369" s="798" t="s">
        <v>122</v>
      </c>
      <c r="I369" s="799">
        <v>18000</v>
      </c>
      <c r="J369" s="798">
        <v>1</v>
      </c>
      <c r="K369" s="799">
        <f t="shared" si="30"/>
        <v>18000</v>
      </c>
      <c r="L369" s="799">
        <f t="shared" si="31"/>
        <v>18000</v>
      </c>
      <c r="M369" s="799">
        <f t="shared" si="32"/>
        <v>18000</v>
      </c>
      <c r="N369" s="798" t="s">
        <v>16141</v>
      </c>
      <c r="O369" s="800">
        <f t="shared" si="33"/>
        <v>18000</v>
      </c>
      <c r="P369" s="800">
        <f t="shared" si="34"/>
        <v>18000</v>
      </c>
      <c r="Q369" s="801">
        <f t="shared" si="35"/>
        <v>18000</v>
      </c>
    </row>
    <row r="370" spans="1:17" x14ac:dyDescent="0.2">
      <c r="A370" s="802" t="s">
        <v>17759</v>
      </c>
      <c r="B370" s="803" t="s">
        <v>13918</v>
      </c>
      <c r="C370" s="803" t="s">
        <v>17513</v>
      </c>
      <c r="D370" s="803" t="s">
        <v>24415</v>
      </c>
      <c r="E370" s="803" t="s">
        <v>15733</v>
      </c>
      <c r="F370" s="803">
        <v>3</v>
      </c>
      <c r="G370" s="803" t="s">
        <v>122</v>
      </c>
      <c r="H370" s="803" t="s">
        <v>122</v>
      </c>
      <c r="I370" s="804">
        <v>21000</v>
      </c>
      <c r="J370" s="803">
        <v>1</v>
      </c>
      <c r="K370" s="804">
        <f t="shared" si="30"/>
        <v>21000</v>
      </c>
      <c r="L370" s="804">
        <f t="shared" si="31"/>
        <v>21000</v>
      </c>
      <c r="M370" s="804">
        <f t="shared" si="32"/>
        <v>21000</v>
      </c>
      <c r="N370" s="803" t="s">
        <v>15754</v>
      </c>
      <c r="O370" s="805">
        <f t="shared" si="33"/>
        <v>21000</v>
      </c>
      <c r="P370" s="805">
        <f t="shared" si="34"/>
        <v>21000</v>
      </c>
      <c r="Q370" s="806">
        <f t="shared" si="35"/>
        <v>21000</v>
      </c>
    </row>
    <row r="371" spans="1:17" x14ac:dyDescent="0.2">
      <c r="A371" s="797" t="s">
        <v>16480</v>
      </c>
      <c r="B371" s="798" t="s">
        <v>13918</v>
      </c>
      <c r="C371" s="798" t="s">
        <v>17513</v>
      </c>
      <c r="D371" s="798" t="s">
        <v>24416</v>
      </c>
      <c r="E371" s="798" t="s">
        <v>15731</v>
      </c>
      <c r="F371" s="798">
        <v>1</v>
      </c>
      <c r="G371" s="798" t="s">
        <v>122</v>
      </c>
      <c r="H371" s="798" t="s">
        <v>122</v>
      </c>
      <c r="I371" s="799">
        <v>10050</v>
      </c>
      <c r="J371" s="798">
        <v>1</v>
      </c>
      <c r="K371" s="799">
        <f t="shared" si="30"/>
        <v>10050</v>
      </c>
      <c r="L371" s="799">
        <f t="shared" si="31"/>
        <v>10050</v>
      </c>
      <c r="M371" s="799">
        <f t="shared" si="32"/>
        <v>10050</v>
      </c>
      <c r="N371" s="798" t="s">
        <v>15753</v>
      </c>
      <c r="O371" s="800">
        <f t="shared" si="33"/>
        <v>10050</v>
      </c>
      <c r="P371" s="800">
        <f t="shared" si="34"/>
        <v>10050</v>
      </c>
      <c r="Q371" s="801">
        <f t="shared" si="35"/>
        <v>10050</v>
      </c>
    </row>
    <row r="372" spans="1:17" x14ac:dyDescent="0.2">
      <c r="A372" s="802" t="s">
        <v>17760</v>
      </c>
      <c r="B372" s="803" t="s">
        <v>13918</v>
      </c>
      <c r="C372" s="803" t="s">
        <v>17513</v>
      </c>
      <c r="D372" s="803" t="s">
        <v>24416</v>
      </c>
      <c r="E372" s="803" t="s">
        <v>15732</v>
      </c>
      <c r="F372" s="803">
        <v>2</v>
      </c>
      <c r="G372" s="803" t="s">
        <v>122</v>
      </c>
      <c r="H372" s="803" t="s">
        <v>122</v>
      </c>
      <c r="I372" s="804">
        <v>13050</v>
      </c>
      <c r="J372" s="803">
        <v>1</v>
      </c>
      <c r="K372" s="804">
        <f t="shared" si="30"/>
        <v>13050</v>
      </c>
      <c r="L372" s="804">
        <f t="shared" si="31"/>
        <v>13050</v>
      </c>
      <c r="M372" s="804">
        <f t="shared" si="32"/>
        <v>13050</v>
      </c>
      <c r="N372" s="803" t="s">
        <v>16141</v>
      </c>
      <c r="O372" s="805">
        <f t="shared" si="33"/>
        <v>13050</v>
      </c>
      <c r="P372" s="805">
        <f t="shared" si="34"/>
        <v>13050</v>
      </c>
      <c r="Q372" s="806">
        <f t="shared" si="35"/>
        <v>13050</v>
      </c>
    </row>
    <row r="373" spans="1:17" x14ac:dyDescent="0.2">
      <c r="A373" s="797" t="s">
        <v>17761</v>
      </c>
      <c r="B373" s="798" t="s">
        <v>13918</v>
      </c>
      <c r="C373" s="798" t="s">
        <v>17513</v>
      </c>
      <c r="D373" s="798" t="s">
        <v>24416</v>
      </c>
      <c r="E373" s="798" t="s">
        <v>15733</v>
      </c>
      <c r="F373" s="798">
        <v>3</v>
      </c>
      <c r="G373" s="798" t="s">
        <v>122</v>
      </c>
      <c r="H373" s="798" t="s">
        <v>122</v>
      </c>
      <c r="I373" s="799">
        <v>21000</v>
      </c>
      <c r="J373" s="798">
        <v>1</v>
      </c>
      <c r="K373" s="799">
        <f t="shared" si="30"/>
        <v>21000</v>
      </c>
      <c r="L373" s="799">
        <f t="shared" si="31"/>
        <v>21000</v>
      </c>
      <c r="M373" s="799">
        <f t="shared" si="32"/>
        <v>21000</v>
      </c>
      <c r="N373" s="798" t="s">
        <v>15754</v>
      </c>
      <c r="O373" s="800">
        <f t="shared" si="33"/>
        <v>21000</v>
      </c>
      <c r="P373" s="800">
        <f t="shared" si="34"/>
        <v>21000</v>
      </c>
      <c r="Q373" s="801">
        <f t="shared" si="35"/>
        <v>21000</v>
      </c>
    </row>
    <row r="374" spans="1:17" x14ac:dyDescent="0.2">
      <c r="A374" s="802" t="s">
        <v>16483</v>
      </c>
      <c r="B374" s="803" t="s">
        <v>13918</v>
      </c>
      <c r="C374" s="803" t="s">
        <v>17513</v>
      </c>
      <c r="D374" s="803" t="s">
        <v>24417</v>
      </c>
      <c r="E374" s="803" t="s">
        <v>15731</v>
      </c>
      <c r="F374" s="803">
        <v>1</v>
      </c>
      <c r="G374" s="803" t="s">
        <v>122</v>
      </c>
      <c r="H374" s="803" t="s">
        <v>122</v>
      </c>
      <c r="I374" s="804">
        <v>10050</v>
      </c>
      <c r="J374" s="803">
        <v>1</v>
      </c>
      <c r="K374" s="804">
        <f t="shared" si="30"/>
        <v>10050</v>
      </c>
      <c r="L374" s="804">
        <f t="shared" si="31"/>
        <v>10050</v>
      </c>
      <c r="M374" s="804">
        <f t="shared" si="32"/>
        <v>10050</v>
      </c>
      <c r="N374" s="803" t="s">
        <v>15753</v>
      </c>
      <c r="O374" s="805">
        <f t="shared" si="33"/>
        <v>10050</v>
      </c>
      <c r="P374" s="805">
        <f t="shared" si="34"/>
        <v>10050</v>
      </c>
      <c r="Q374" s="806">
        <f t="shared" si="35"/>
        <v>10050</v>
      </c>
    </row>
    <row r="375" spans="1:17" x14ac:dyDescent="0.2">
      <c r="A375" s="797" t="s">
        <v>17762</v>
      </c>
      <c r="B375" s="798" t="s">
        <v>13918</v>
      </c>
      <c r="C375" s="798" t="s">
        <v>17513</v>
      </c>
      <c r="D375" s="798" t="s">
        <v>24417</v>
      </c>
      <c r="E375" s="798" t="s">
        <v>15732</v>
      </c>
      <c r="F375" s="798">
        <v>2</v>
      </c>
      <c r="G375" s="798" t="s">
        <v>122</v>
      </c>
      <c r="H375" s="798" t="s">
        <v>122</v>
      </c>
      <c r="I375" s="799">
        <v>13050</v>
      </c>
      <c r="J375" s="798">
        <v>1</v>
      </c>
      <c r="K375" s="799">
        <f t="shared" si="30"/>
        <v>13050</v>
      </c>
      <c r="L375" s="799">
        <f t="shared" si="31"/>
        <v>13050</v>
      </c>
      <c r="M375" s="799">
        <f t="shared" si="32"/>
        <v>13050</v>
      </c>
      <c r="N375" s="798" t="s">
        <v>16141</v>
      </c>
      <c r="O375" s="800">
        <f t="shared" si="33"/>
        <v>13050</v>
      </c>
      <c r="P375" s="800">
        <f t="shared" si="34"/>
        <v>13050</v>
      </c>
      <c r="Q375" s="801">
        <f t="shared" si="35"/>
        <v>13050</v>
      </c>
    </row>
    <row r="376" spans="1:17" x14ac:dyDescent="0.2">
      <c r="A376" s="802" t="s">
        <v>17763</v>
      </c>
      <c r="B376" s="803" t="s">
        <v>13918</v>
      </c>
      <c r="C376" s="803" t="s">
        <v>17513</v>
      </c>
      <c r="D376" s="803" t="s">
        <v>24417</v>
      </c>
      <c r="E376" s="803" t="s">
        <v>15733</v>
      </c>
      <c r="F376" s="803">
        <v>3</v>
      </c>
      <c r="G376" s="803" t="s">
        <v>122</v>
      </c>
      <c r="H376" s="803" t="s">
        <v>122</v>
      </c>
      <c r="I376" s="804">
        <v>21000</v>
      </c>
      <c r="J376" s="803">
        <v>1</v>
      </c>
      <c r="K376" s="804">
        <f t="shared" si="30"/>
        <v>21000</v>
      </c>
      <c r="L376" s="804">
        <f t="shared" si="31"/>
        <v>21000</v>
      </c>
      <c r="M376" s="804">
        <f t="shared" si="32"/>
        <v>21000</v>
      </c>
      <c r="N376" s="803" t="s">
        <v>15754</v>
      </c>
      <c r="O376" s="805">
        <f t="shared" si="33"/>
        <v>21000</v>
      </c>
      <c r="P376" s="805">
        <f t="shared" si="34"/>
        <v>21000</v>
      </c>
      <c r="Q376" s="806">
        <f t="shared" si="35"/>
        <v>21000</v>
      </c>
    </row>
    <row r="377" spans="1:17" x14ac:dyDescent="0.2">
      <c r="A377" s="797" t="s">
        <v>16490</v>
      </c>
      <c r="B377" s="798" t="s">
        <v>13918</v>
      </c>
      <c r="C377" s="798" t="s">
        <v>17513</v>
      </c>
      <c r="D377" s="798" t="s">
        <v>24418</v>
      </c>
      <c r="E377" s="798" t="s">
        <v>15731</v>
      </c>
      <c r="F377" s="798">
        <v>1</v>
      </c>
      <c r="G377" s="798" t="s">
        <v>122</v>
      </c>
      <c r="H377" s="798" t="s">
        <v>122</v>
      </c>
      <c r="I377" s="799">
        <v>10100</v>
      </c>
      <c r="J377" s="798">
        <v>1</v>
      </c>
      <c r="K377" s="799">
        <f t="shared" si="30"/>
        <v>10100</v>
      </c>
      <c r="L377" s="799">
        <f t="shared" si="31"/>
        <v>10100</v>
      </c>
      <c r="M377" s="799">
        <f t="shared" si="32"/>
        <v>10100</v>
      </c>
      <c r="N377" s="798" t="s">
        <v>15753</v>
      </c>
      <c r="O377" s="800">
        <f t="shared" si="33"/>
        <v>10100</v>
      </c>
      <c r="P377" s="800">
        <f t="shared" si="34"/>
        <v>10100</v>
      </c>
      <c r="Q377" s="801">
        <f t="shared" si="35"/>
        <v>10100</v>
      </c>
    </row>
    <row r="378" spans="1:17" x14ac:dyDescent="0.2">
      <c r="A378" s="802" t="s">
        <v>17764</v>
      </c>
      <c r="B378" s="803" t="s">
        <v>13918</v>
      </c>
      <c r="C378" s="803" t="s">
        <v>17513</v>
      </c>
      <c r="D378" s="803" t="s">
        <v>24418</v>
      </c>
      <c r="E378" s="803" t="s">
        <v>15732</v>
      </c>
      <c r="F378" s="803">
        <v>2</v>
      </c>
      <c r="G378" s="803" t="s">
        <v>122</v>
      </c>
      <c r="H378" s="803" t="s">
        <v>122</v>
      </c>
      <c r="I378" s="804">
        <v>13100</v>
      </c>
      <c r="J378" s="803">
        <v>1</v>
      </c>
      <c r="K378" s="804">
        <f t="shared" si="30"/>
        <v>13100</v>
      </c>
      <c r="L378" s="804">
        <f t="shared" si="31"/>
        <v>13100</v>
      </c>
      <c r="M378" s="804">
        <f t="shared" si="32"/>
        <v>13100</v>
      </c>
      <c r="N378" s="803" t="s">
        <v>16141</v>
      </c>
      <c r="O378" s="805">
        <f t="shared" si="33"/>
        <v>13100</v>
      </c>
      <c r="P378" s="805">
        <f t="shared" si="34"/>
        <v>13100</v>
      </c>
      <c r="Q378" s="806">
        <f t="shared" si="35"/>
        <v>13100</v>
      </c>
    </row>
    <row r="379" spans="1:17" x14ac:dyDescent="0.2">
      <c r="A379" s="797" t="s">
        <v>17765</v>
      </c>
      <c r="B379" s="798" t="s">
        <v>13918</v>
      </c>
      <c r="C379" s="798" t="s">
        <v>17513</v>
      </c>
      <c r="D379" s="798" t="s">
        <v>24418</v>
      </c>
      <c r="E379" s="798" t="s">
        <v>15733</v>
      </c>
      <c r="F379" s="798">
        <v>3</v>
      </c>
      <c r="G379" s="798" t="s">
        <v>122</v>
      </c>
      <c r="H379" s="798" t="s">
        <v>122</v>
      </c>
      <c r="I379" s="799">
        <v>21000</v>
      </c>
      <c r="J379" s="798">
        <v>1</v>
      </c>
      <c r="K379" s="799">
        <f t="shared" si="30"/>
        <v>21000</v>
      </c>
      <c r="L379" s="799">
        <f t="shared" si="31"/>
        <v>21000</v>
      </c>
      <c r="M379" s="799">
        <f t="shared" si="32"/>
        <v>21000</v>
      </c>
      <c r="N379" s="798" t="s">
        <v>15754</v>
      </c>
      <c r="O379" s="800">
        <f t="shared" si="33"/>
        <v>21000</v>
      </c>
      <c r="P379" s="800">
        <f t="shared" si="34"/>
        <v>21000</v>
      </c>
      <c r="Q379" s="801">
        <f t="shared" si="35"/>
        <v>21000</v>
      </c>
    </row>
    <row r="380" spans="1:17" x14ac:dyDescent="0.2">
      <c r="A380" s="802" t="s">
        <v>16496</v>
      </c>
      <c r="B380" s="803" t="s">
        <v>13918</v>
      </c>
      <c r="C380" s="803" t="s">
        <v>17513</v>
      </c>
      <c r="D380" s="803" t="s">
        <v>24419</v>
      </c>
      <c r="E380" s="803" t="s">
        <v>15731</v>
      </c>
      <c r="F380" s="803">
        <v>1</v>
      </c>
      <c r="G380" s="803" t="s">
        <v>122</v>
      </c>
      <c r="H380" s="803" t="s">
        <v>122</v>
      </c>
      <c r="I380" s="804">
        <v>10150</v>
      </c>
      <c r="J380" s="803">
        <v>1</v>
      </c>
      <c r="K380" s="804">
        <f t="shared" si="30"/>
        <v>10150</v>
      </c>
      <c r="L380" s="804">
        <f t="shared" si="31"/>
        <v>10150</v>
      </c>
      <c r="M380" s="804">
        <f t="shared" si="32"/>
        <v>10150</v>
      </c>
      <c r="N380" s="803" t="s">
        <v>15753</v>
      </c>
      <c r="O380" s="805">
        <f t="shared" si="33"/>
        <v>10150</v>
      </c>
      <c r="P380" s="805">
        <f t="shared" si="34"/>
        <v>10150</v>
      </c>
      <c r="Q380" s="806">
        <f t="shared" si="35"/>
        <v>10150</v>
      </c>
    </row>
    <row r="381" spans="1:17" x14ac:dyDescent="0.2">
      <c r="A381" s="797" t="s">
        <v>17766</v>
      </c>
      <c r="B381" s="798" t="s">
        <v>13918</v>
      </c>
      <c r="C381" s="798" t="s">
        <v>17513</v>
      </c>
      <c r="D381" s="798" t="s">
        <v>24419</v>
      </c>
      <c r="E381" s="798" t="s">
        <v>15732</v>
      </c>
      <c r="F381" s="798">
        <v>2</v>
      </c>
      <c r="G381" s="798" t="s">
        <v>122</v>
      </c>
      <c r="H381" s="798" t="s">
        <v>122</v>
      </c>
      <c r="I381" s="799">
        <v>13150</v>
      </c>
      <c r="J381" s="798">
        <v>1</v>
      </c>
      <c r="K381" s="799">
        <f t="shared" si="30"/>
        <v>13150</v>
      </c>
      <c r="L381" s="799">
        <f t="shared" si="31"/>
        <v>13150</v>
      </c>
      <c r="M381" s="799">
        <f t="shared" si="32"/>
        <v>13150</v>
      </c>
      <c r="N381" s="798" t="s">
        <v>16141</v>
      </c>
      <c r="O381" s="800">
        <f t="shared" si="33"/>
        <v>13150</v>
      </c>
      <c r="P381" s="800">
        <f t="shared" si="34"/>
        <v>13150</v>
      </c>
      <c r="Q381" s="801">
        <f t="shared" si="35"/>
        <v>13150</v>
      </c>
    </row>
    <row r="382" spans="1:17" x14ac:dyDescent="0.2">
      <c r="A382" s="802" t="s">
        <v>17767</v>
      </c>
      <c r="B382" s="803" t="s">
        <v>13918</v>
      </c>
      <c r="C382" s="803" t="s">
        <v>17513</v>
      </c>
      <c r="D382" s="803" t="s">
        <v>24419</v>
      </c>
      <c r="E382" s="803" t="s">
        <v>15733</v>
      </c>
      <c r="F382" s="803">
        <v>3</v>
      </c>
      <c r="G382" s="803" t="s">
        <v>122</v>
      </c>
      <c r="H382" s="803" t="s">
        <v>122</v>
      </c>
      <c r="I382" s="804">
        <v>21000</v>
      </c>
      <c r="J382" s="803">
        <v>1</v>
      </c>
      <c r="K382" s="804">
        <f t="shared" si="30"/>
        <v>21000</v>
      </c>
      <c r="L382" s="804">
        <f t="shared" si="31"/>
        <v>21000</v>
      </c>
      <c r="M382" s="804">
        <f t="shared" si="32"/>
        <v>21000</v>
      </c>
      <c r="N382" s="803" t="s">
        <v>15754</v>
      </c>
      <c r="O382" s="805">
        <f t="shared" si="33"/>
        <v>21000</v>
      </c>
      <c r="P382" s="805">
        <f t="shared" si="34"/>
        <v>21000</v>
      </c>
      <c r="Q382" s="806">
        <f t="shared" si="35"/>
        <v>21000</v>
      </c>
    </row>
    <row r="383" spans="1:17" x14ac:dyDescent="0.2">
      <c r="A383" s="797" t="s">
        <v>16503</v>
      </c>
      <c r="B383" s="798" t="s">
        <v>13918</v>
      </c>
      <c r="C383" s="798" t="s">
        <v>17513</v>
      </c>
      <c r="D383" s="798" t="s">
        <v>24420</v>
      </c>
      <c r="E383" s="798" t="s">
        <v>15731</v>
      </c>
      <c r="F383" s="798">
        <v>1</v>
      </c>
      <c r="G383" s="798" t="s">
        <v>122</v>
      </c>
      <c r="H383" s="798" t="s">
        <v>122</v>
      </c>
      <c r="I383" s="799">
        <v>12000</v>
      </c>
      <c r="J383" s="798">
        <v>1</v>
      </c>
      <c r="K383" s="799">
        <f t="shared" si="30"/>
        <v>12000</v>
      </c>
      <c r="L383" s="799">
        <f t="shared" si="31"/>
        <v>12000</v>
      </c>
      <c r="M383" s="799">
        <f t="shared" si="32"/>
        <v>12000</v>
      </c>
      <c r="N383" s="798" t="s">
        <v>15753</v>
      </c>
      <c r="O383" s="800">
        <f t="shared" si="33"/>
        <v>12000</v>
      </c>
      <c r="P383" s="800">
        <f t="shared" si="34"/>
        <v>12000</v>
      </c>
      <c r="Q383" s="801">
        <f t="shared" si="35"/>
        <v>12000</v>
      </c>
    </row>
    <row r="384" spans="1:17" x14ac:dyDescent="0.2">
      <c r="A384" s="802" t="s">
        <v>17768</v>
      </c>
      <c r="B384" s="803" t="s">
        <v>13918</v>
      </c>
      <c r="C384" s="803" t="s">
        <v>17513</v>
      </c>
      <c r="D384" s="803" t="s">
        <v>24420</v>
      </c>
      <c r="E384" s="803" t="s">
        <v>15732</v>
      </c>
      <c r="F384" s="803">
        <v>2</v>
      </c>
      <c r="G384" s="803" t="s">
        <v>122</v>
      </c>
      <c r="H384" s="803" t="s">
        <v>122</v>
      </c>
      <c r="I384" s="804">
        <v>15000</v>
      </c>
      <c r="J384" s="803">
        <v>1</v>
      </c>
      <c r="K384" s="804">
        <f t="shared" si="30"/>
        <v>15000</v>
      </c>
      <c r="L384" s="804">
        <f t="shared" si="31"/>
        <v>15000</v>
      </c>
      <c r="M384" s="804">
        <f t="shared" si="32"/>
        <v>15000</v>
      </c>
      <c r="N384" s="803" t="s">
        <v>16141</v>
      </c>
      <c r="O384" s="805">
        <f t="shared" si="33"/>
        <v>15000</v>
      </c>
      <c r="P384" s="805">
        <f t="shared" si="34"/>
        <v>15000</v>
      </c>
      <c r="Q384" s="806">
        <f t="shared" si="35"/>
        <v>15000</v>
      </c>
    </row>
    <row r="385" spans="1:17" x14ac:dyDescent="0.2">
      <c r="A385" s="797" t="s">
        <v>17769</v>
      </c>
      <c r="B385" s="798" t="s">
        <v>13918</v>
      </c>
      <c r="C385" s="798" t="s">
        <v>17513</v>
      </c>
      <c r="D385" s="798" t="s">
        <v>24420</v>
      </c>
      <c r="E385" s="798" t="s">
        <v>15733</v>
      </c>
      <c r="F385" s="798">
        <v>3</v>
      </c>
      <c r="G385" s="798" t="s">
        <v>122</v>
      </c>
      <c r="H385" s="798" t="s">
        <v>122</v>
      </c>
      <c r="I385" s="799">
        <v>23000</v>
      </c>
      <c r="J385" s="798">
        <v>1</v>
      </c>
      <c r="K385" s="799">
        <f t="shared" si="30"/>
        <v>23000</v>
      </c>
      <c r="L385" s="799">
        <f t="shared" si="31"/>
        <v>23000</v>
      </c>
      <c r="M385" s="799">
        <f t="shared" si="32"/>
        <v>23000</v>
      </c>
      <c r="N385" s="798" t="s">
        <v>15754</v>
      </c>
      <c r="O385" s="800">
        <f t="shared" si="33"/>
        <v>23000</v>
      </c>
      <c r="P385" s="800">
        <f t="shared" si="34"/>
        <v>23000</v>
      </c>
      <c r="Q385" s="801">
        <f t="shared" si="35"/>
        <v>23000</v>
      </c>
    </row>
    <row r="386" spans="1:17" x14ac:dyDescent="0.2">
      <c r="A386" s="802" t="s">
        <v>16506</v>
      </c>
      <c r="B386" s="803" t="s">
        <v>13918</v>
      </c>
      <c r="C386" s="803" t="s">
        <v>17513</v>
      </c>
      <c r="D386" s="803" t="s">
        <v>24421</v>
      </c>
      <c r="E386" s="803" t="s">
        <v>15731</v>
      </c>
      <c r="F386" s="803">
        <v>1</v>
      </c>
      <c r="G386" s="803" t="s">
        <v>122</v>
      </c>
      <c r="H386" s="803" t="s">
        <v>122</v>
      </c>
      <c r="I386" s="804">
        <v>18000</v>
      </c>
      <c r="J386" s="803">
        <v>1</v>
      </c>
      <c r="K386" s="804">
        <f t="shared" ref="K386:K449" si="36">+I386</f>
        <v>18000</v>
      </c>
      <c r="L386" s="804">
        <f t="shared" ref="L386:L449" si="37">+I386</f>
        <v>18000</v>
      </c>
      <c r="M386" s="804">
        <f t="shared" ref="M386:M449" si="38">+I386</f>
        <v>18000</v>
      </c>
      <c r="N386" s="803" t="s">
        <v>15753</v>
      </c>
      <c r="O386" s="805">
        <f t="shared" ref="O386:O449" si="39">+J386*K386</f>
        <v>18000</v>
      </c>
      <c r="P386" s="805">
        <f t="shared" ref="P386:P449" si="40">+J386*L386</f>
        <v>18000</v>
      </c>
      <c r="Q386" s="806">
        <f t="shared" ref="Q386:Q449" si="41">+J386*M386</f>
        <v>18000</v>
      </c>
    </row>
    <row r="387" spans="1:17" x14ac:dyDescent="0.2">
      <c r="A387" s="797" t="s">
        <v>17770</v>
      </c>
      <c r="B387" s="798" t="s">
        <v>13918</v>
      </c>
      <c r="C387" s="798" t="s">
        <v>17513</v>
      </c>
      <c r="D387" s="798" t="s">
        <v>24421</v>
      </c>
      <c r="E387" s="798" t="s">
        <v>15732</v>
      </c>
      <c r="F387" s="798">
        <v>2</v>
      </c>
      <c r="G387" s="798" t="s">
        <v>122</v>
      </c>
      <c r="H387" s="798" t="s">
        <v>122</v>
      </c>
      <c r="I387" s="799">
        <v>21000</v>
      </c>
      <c r="J387" s="798">
        <v>1</v>
      </c>
      <c r="K387" s="799">
        <f t="shared" si="36"/>
        <v>21000</v>
      </c>
      <c r="L387" s="799">
        <f t="shared" si="37"/>
        <v>21000</v>
      </c>
      <c r="M387" s="799">
        <f t="shared" si="38"/>
        <v>21000</v>
      </c>
      <c r="N387" s="798" t="s">
        <v>16141</v>
      </c>
      <c r="O387" s="800">
        <f t="shared" si="39"/>
        <v>21000</v>
      </c>
      <c r="P387" s="800">
        <f t="shared" si="40"/>
        <v>21000</v>
      </c>
      <c r="Q387" s="801">
        <f t="shared" si="41"/>
        <v>21000</v>
      </c>
    </row>
    <row r="388" spans="1:17" x14ac:dyDescent="0.2">
      <c r="A388" s="802" t="s">
        <v>17771</v>
      </c>
      <c r="B388" s="803" t="s">
        <v>13918</v>
      </c>
      <c r="C388" s="803" t="s">
        <v>17513</v>
      </c>
      <c r="D388" s="803" t="s">
        <v>24421</v>
      </c>
      <c r="E388" s="803" t="s">
        <v>15733</v>
      </c>
      <c r="F388" s="803">
        <v>3</v>
      </c>
      <c r="G388" s="803" t="s">
        <v>122</v>
      </c>
      <c r="H388" s="803" t="s">
        <v>122</v>
      </c>
      <c r="I388" s="804">
        <v>28000</v>
      </c>
      <c r="J388" s="803">
        <v>1</v>
      </c>
      <c r="K388" s="804">
        <f t="shared" si="36"/>
        <v>28000</v>
      </c>
      <c r="L388" s="804">
        <f t="shared" si="37"/>
        <v>28000</v>
      </c>
      <c r="M388" s="804">
        <f t="shared" si="38"/>
        <v>28000</v>
      </c>
      <c r="N388" s="803" t="s">
        <v>15754</v>
      </c>
      <c r="O388" s="805">
        <f t="shared" si="39"/>
        <v>28000</v>
      </c>
      <c r="P388" s="805">
        <f t="shared" si="40"/>
        <v>28000</v>
      </c>
      <c r="Q388" s="806">
        <f t="shared" si="41"/>
        <v>28000</v>
      </c>
    </row>
    <row r="389" spans="1:17" x14ac:dyDescent="0.2">
      <c r="A389" s="797" t="s">
        <v>16509</v>
      </c>
      <c r="B389" s="798" t="s">
        <v>13918</v>
      </c>
      <c r="C389" s="798" t="s">
        <v>17513</v>
      </c>
      <c r="D389" s="798" t="s">
        <v>24422</v>
      </c>
      <c r="E389" s="798" t="s">
        <v>15731</v>
      </c>
      <c r="F389" s="798">
        <v>1</v>
      </c>
      <c r="G389" s="798" t="s">
        <v>122</v>
      </c>
      <c r="H389" s="798" t="s">
        <v>122</v>
      </c>
      <c r="I389" s="799">
        <v>10150</v>
      </c>
      <c r="J389" s="798">
        <v>1</v>
      </c>
      <c r="K389" s="799">
        <f t="shared" si="36"/>
        <v>10150</v>
      </c>
      <c r="L389" s="799">
        <f t="shared" si="37"/>
        <v>10150</v>
      </c>
      <c r="M389" s="799">
        <f t="shared" si="38"/>
        <v>10150</v>
      </c>
      <c r="N389" s="798" t="s">
        <v>15753</v>
      </c>
      <c r="O389" s="800">
        <f t="shared" si="39"/>
        <v>10150</v>
      </c>
      <c r="P389" s="800">
        <f t="shared" si="40"/>
        <v>10150</v>
      </c>
      <c r="Q389" s="801">
        <f t="shared" si="41"/>
        <v>10150</v>
      </c>
    </row>
    <row r="390" spans="1:17" x14ac:dyDescent="0.2">
      <c r="A390" s="802" t="s">
        <v>17772</v>
      </c>
      <c r="B390" s="803" t="s">
        <v>13918</v>
      </c>
      <c r="C390" s="803" t="s">
        <v>17513</v>
      </c>
      <c r="D390" s="803" t="s">
        <v>24422</v>
      </c>
      <c r="E390" s="803" t="s">
        <v>15732</v>
      </c>
      <c r="F390" s="803">
        <v>2</v>
      </c>
      <c r="G390" s="803" t="s">
        <v>122</v>
      </c>
      <c r="H390" s="803" t="s">
        <v>122</v>
      </c>
      <c r="I390" s="804">
        <v>13150</v>
      </c>
      <c r="J390" s="803">
        <v>1</v>
      </c>
      <c r="K390" s="804">
        <f t="shared" si="36"/>
        <v>13150</v>
      </c>
      <c r="L390" s="804">
        <f t="shared" si="37"/>
        <v>13150</v>
      </c>
      <c r="M390" s="804">
        <f t="shared" si="38"/>
        <v>13150</v>
      </c>
      <c r="N390" s="803" t="s">
        <v>16141</v>
      </c>
      <c r="O390" s="805">
        <f t="shared" si="39"/>
        <v>13150</v>
      </c>
      <c r="P390" s="805">
        <f t="shared" si="40"/>
        <v>13150</v>
      </c>
      <c r="Q390" s="806">
        <f t="shared" si="41"/>
        <v>13150</v>
      </c>
    </row>
    <row r="391" spans="1:17" x14ac:dyDescent="0.2">
      <c r="A391" s="797" t="s">
        <v>17773</v>
      </c>
      <c r="B391" s="798" t="s">
        <v>13918</v>
      </c>
      <c r="C391" s="798" t="s">
        <v>17513</v>
      </c>
      <c r="D391" s="798" t="s">
        <v>24422</v>
      </c>
      <c r="E391" s="798" t="s">
        <v>15733</v>
      </c>
      <c r="F391" s="798">
        <v>3</v>
      </c>
      <c r="G391" s="798" t="s">
        <v>122</v>
      </c>
      <c r="H391" s="798" t="s">
        <v>122</v>
      </c>
      <c r="I391" s="799">
        <v>21000</v>
      </c>
      <c r="J391" s="798">
        <v>1</v>
      </c>
      <c r="K391" s="799">
        <f t="shared" si="36"/>
        <v>21000</v>
      </c>
      <c r="L391" s="799">
        <f t="shared" si="37"/>
        <v>21000</v>
      </c>
      <c r="M391" s="799">
        <f t="shared" si="38"/>
        <v>21000</v>
      </c>
      <c r="N391" s="798" t="s">
        <v>15754</v>
      </c>
      <c r="O391" s="800">
        <f t="shared" si="39"/>
        <v>21000</v>
      </c>
      <c r="P391" s="800">
        <f t="shared" si="40"/>
        <v>21000</v>
      </c>
      <c r="Q391" s="801">
        <f t="shared" si="41"/>
        <v>21000</v>
      </c>
    </row>
    <row r="392" spans="1:17" x14ac:dyDescent="0.2">
      <c r="A392" s="802" t="s">
        <v>16516</v>
      </c>
      <c r="B392" s="803" t="s">
        <v>13918</v>
      </c>
      <c r="C392" s="803" t="s">
        <v>17513</v>
      </c>
      <c r="D392" s="803" t="s">
        <v>24423</v>
      </c>
      <c r="E392" s="803" t="s">
        <v>15731</v>
      </c>
      <c r="F392" s="803">
        <v>1</v>
      </c>
      <c r="G392" s="803" t="s">
        <v>122</v>
      </c>
      <c r="H392" s="803" t="s">
        <v>122</v>
      </c>
      <c r="I392" s="804">
        <v>18000</v>
      </c>
      <c r="J392" s="803">
        <v>1</v>
      </c>
      <c r="K392" s="804">
        <f t="shared" si="36"/>
        <v>18000</v>
      </c>
      <c r="L392" s="804">
        <f t="shared" si="37"/>
        <v>18000</v>
      </c>
      <c r="M392" s="804">
        <f t="shared" si="38"/>
        <v>18000</v>
      </c>
      <c r="N392" s="803" t="s">
        <v>15753</v>
      </c>
      <c r="O392" s="805">
        <f t="shared" si="39"/>
        <v>18000</v>
      </c>
      <c r="P392" s="805">
        <f t="shared" si="40"/>
        <v>18000</v>
      </c>
      <c r="Q392" s="806">
        <f t="shared" si="41"/>
        <v>18000</v>
      </c>
    </row>
    <row r="393" spans="1:17" x14ac:dyDescent="0.2">
      <c r="A393" s="797" t="s">
        <v>17774</v>
      </c>
      <c r="B393" s="798" t="s">
        <v>13918</v>
      </c>
      <c r="C393" s="798" t="s">
        <v>17513</v>
      </c>
      <c r="D393" s="798" t="s">
        <v>24423</v>
      </c>
      <c r="E393" s="798" t="s">
        <v>15732</v>
      </c>
      <c r="F393" s="798">
        <v>2</v>
      </c>
      <c r="G393" s="798" t="s">
        <v>122</v>
      </c>
      <c r="H393" s="798" t="s">
        <v>122</v>
      </c>
      <c r="I393" s="799">
        <v>21000</v>
      </c>
      <c r="J393" s="798">
        <v>1</v>
      </c>
      <c r="K393" s="799">
        <f t="shared" si="36"/>
        <v>21000</v>
      </c>
      <c r="L393" s="799">
        <f t="shared" si="37"/>
        <v>21000</v>
      </c>
      <c r="M393" s="799">
        <f t="shared" si="38"/>
        <v>21000</v>
      </c>
      <c r="N393" s="798" t="s">
        <v>16141</v>
      </c>
      <c r="O393" s="800">
        <f t="shared" si="39"/>
        <v>21000</v>
      </c>
      <c r="P393" s="800">
        <f t="shared" si="40"/>
        <v>21000</v>
      </c>
      <c r="Q393" s="801">
        <f t="shared" si="41"/>
        <v>21000</v>
      </c>
    </row>
    <row r="394" spans="1:17" x14ac:dyDescent="0.2">
      <c r="A394" s="802" t="s">
        <v>17775</v>
      </c>
      <c r="B394" s="803" t="s">
        <v>13918</v>
      </c>
      <c r="C394" s="803" t="s">
        <v>17513</v>
      </c>
      <c r="D394" s="803" t="s">
        <v>24423</v>
      </c>
      <c r="E394" s="803" t="s">
        <v>15733</v>
      </c>
      <c r="F394" s="803">
        <v>3</v>
      </c>
      <c r="G394" s="803" t="s">
        <v>122</v>
      </c>
      <c r="H394" s="803" t="s">
        <v>122</v>
      </c>
      <c r="I394" s="804">
        <v>25000</v>
      </c>
      <c r="J394" s="803">
        <v>1</v>
      </c>
      <c r="K394" s="804">
        <f t="shared" si="36"/>
        <v>25000</v>
      </c>
      <c r="L394" s="804">
        <f t="shared" si="37"/>
        <v>25000</v>
      </c>
      <c r="M394" s="804">
        <f t="shared" si="38"/>
        <v>25000</v>
      </c>
      <c r="N394" s="803" t="s">
        <v>15754</v>
      </c>
      <c r="O394" s="805">
        <f t="shared" si="39"/>
        <v>25000</v>
      </c>
      <c r="P394" s="805">
        <f t="shared" si="40"/>
        <v>25000</v>
      </c>
      <c r="Q394" s="806">
        <f t="shared" si="41"/>
        <v>25000</v>
      </c>
    </row>
    <row r="395" spans="1:17" x14ac:dyDescent="0.2">
      <c r="A395" s="797" t="s">
        <v>16540</v>
      </c>
      <c r="B395" s="798" t="s">
        <v>13918</v>
      </c>
      <c r="C395" s="798" t="s">
        <v>17513</v>
      </c>
      <c r="D395" s="798" t="s">
        <v>24424</v>
      </c>
      <c r="E395" s="798" t="s">
        <v>15731</v>
      </c>
      <c r="F395" s="798">
        <v>1</v>
      </c>
      <c r="G395" s="798" t="s">
        <v>1103</v>
      </c>
      <c r="H395" s="798" t="s">
        <v>1103</v>
      </c>
      <c r="I395" s="799">
        <v>11000</v>
      </c>
      <c r="J395" s="798">
        <v>1</v>
      </c>
      <c r="K395" s="799">
        <f t="shared" si="36"/>
        <v>11000</v>
      </c>
      <c r="L395" s="799">
        <f t="shared" si="37"/>
        <v>11000</v>
      </c>
      <c r="M395" s="799">
        <f t="shared" si="38"/>
        <v>11000</v>
      </c>
      <c r="N395" s="798" t="s">
        <v>15753</v>
      </c>
      <c r="O395" s="800">
        <f t="shared" si="39"/>
        <v>11000</v>
      </c>
      <c r="P395" s="800">
        <f t="shared" si="40"/>
        <v>11000</v>
      </c>
      <c r="Q395" s="801">
        <f t="shared" si="41"/>
        <v>11000</v>
      </c>
    </row>
    <row r="396" spans="1:17" x14ac:dyDescent="0.2">
      <c r="A396" s="802" t="s">
        <v>17776</v>
      </c>
      <c r="B396" s="803" t="s">
        <v>13918</v>
      </c>
      <c r="C396" s="803" t="s">
        <v>17513</v>
      </c>
      <c r="D396" s="803" t="s">
        <v>24424</v>
      </c>
      <c r="E396" s="803" t="s">
        <v>15732</v>
      </c>
      <c r="F396" s="803">
        <v>2</v>
      </c>
      <c r="G396" s="803" t="s">
        <v>1103</v>
      </c>
      <c r="H396" s="803" t="s">
        <v>1103</v>
      </c>
      <c r="I396" s="804">
        <v>14000</v>
      </c>
      <c r="J396" s="803">
        <v>1</v>
      </c>
      <c r="K396" s="804">
        <f t="shared" si="36"/>
        <v>14000</v>
      </c>
      <c r="L396" s="804">
        <f t="shared" si="37"/>
        <v>14000</v>
      </c>
      <c r="M396" s="804">
        <f t="shared" si="38"/>
        <v>14000</v>
      </c>
      <c r="N396" s="803" t="s">
        <v>16141</v>
      </c>
      <c r="O396" s="805">
        <f t="shared" si="39"/>
        <v>14000</v>
      </c>
      <c r="P396" s="805">
        <f t="shared" si="40"/>
        <v>14000</v>
      </c>
      <c r="Q396" s="806">
        <f t="shared" si="41"/>
        <v>14000</v>
      </c>
    </row>
    <row r="397" spans="1:17" x14ac:dyDescent="0.2">
      <c r="A397" s="797" t="s">
        <v>17777</v>
      </c>
      <c r="B397" s="798" t="s">
        <v>13918</v>
      </c>
      <c r="C397" s="798" t="s">
        <v>17513</v>
      </c>
      <c r="D397" s="798" t="s">
        <v>24424</v>
      </c>
      <c r="E397" s="798" t="s">
        <v>15733</v>
      </c>
      <c r="F397" s="798">
        <v>3</v>
      </c>
      <c r="G397" s="798" t="s">
        <v>1103</v>
      </c>
      <c r="H397" s="798" t="s">
        <v>1103</v>
      </c>
      <c r="I397" s="799">
        <v>21000</v>
      </c>
      <c r="J397" s="798">
        <v>1</v>
      </c>
      <c r="K397" s="799">
        <f t="shared" si="36"/>
        <v>21000</v>
      </c>
      <c r="L397" s="799">
        <f t="shared" si="37"/>
        <v>21000</v>
      </c>
      <c r="M397" s="799">
        <f t="shared" si="38"/>
        <v>21000</v>
      </c>
      <c r="N397" s="798" t="s">
        <v>15754</v>
      </c>
      <c r="O397" s="800">
        <f t="shared" si="39"/>
        <v>21000</v>
      </c>
      <c r="P397" s="800">
        <f t="shared" si="40"/>
        <v>21000</v>
      </c>
      <c r="Q397" s="801">
        <f t="shared" si="41"/>
        <v>21000</v>
      </c>
    </row>
    <row r="398" spans="1:17" x14ac:dyDescent="0.2">
      <c r="A398" s="802" t="s">
        <v>16543</v>
      </c>
      <c r="B398" s="803" t="s">
        <v>13918</v>
      </c>
      <c r="C398" s="803" t="s">
        <v>17513</v>
      </c>
      <c r="D398" s="803" t="s">
        <v>24425</v>
      </c>
      <c r="E398" s="803" t="s">
        <v>15731</v>
      </c>
      <c r="F398" s="803">
        <v>1</v>
      </c>
      <c r="G398" s="803" t="s">
        <v>1103</v>
      </c>
      <c r="H398" s="803" t="s">
        <v>1103</v>
      </c>
      <c r="I398" s="804">
        <v>11050</v>
      </c>
      <c r="J398" s="803">
        <v>1</v>
      </c>
      <c r="K398" s="804">
        <f t="shared" si="36"/>
        <v>11050</v>
      </c>
      <c r="L398" s="804">
        <f t="shared" si="37"/>
        <v>11050</v>
      </c>
      <c r="M398" s="804">
        <f t="shared" si="38"/>
        <v>11050</v>
      </c>
      <c r="N398" s="803" t="s">
        <v>15753</v>
      </c>
      <c r="O398" s="805">
        <f t="shared" si="39"/>
        <v>11050</v>
      </c>
      <c r="P398" s="805">
        <f t="shared" si="40"/>
        <v>11050</v>
      </c>
      <c r="Q398" s="806">
        <f t="shared" si="41"/>
        <v>11050</v>
      </c>
    </row>
    <row r="399" spans="1:17" x14ac:dyDescent="0.2">
      <c r="A399" s="797" t="s">
        <v>17778</v>
      </c>
      <c r="B399" s="798" t="s">
        <v>13918</v>
      </c>
      <c r="C399" s="798" t="s">
        <v>17513</v>
      </c>
      <c r="D399" s="798" t="s">
        <v>24425</v>
      </c>
      <c r="E399" s="798" t="s">
        <v>15732</v>
      </c>
      <c r="F399" s="798">
        <v>2</v>
      </c>
      <c r="G399" s="798" t="s">
        <v>1103</v>
      </c>
      <c r="H399" s="798" t="s">
        <v>1103</v>
      </c>
      <c r="I399" s="799">
        <v>14050</v>
      </c>
      <c r="J399" s="798">
        <v>1</v>
      </c>
      <c r="K399" s="799">
        <f t="shared" si="36"/>
        <v>14050</v>
      </c>
      <c r="L399" s="799">
        <f t="shared" si="37"/>
        <v>14050</v>
      </c>
      <c r="M399" s="799">
        <f t="shared" si="38"/>
        <v>14050</v>
      </c>
      <c r="N399" s="798" t="s">
        <v>16141</v>
      </c>
      <c r="O399" s="800">
        <f t="shared" si="39"/>
        <v>14050</v>
      </c>
      <c r="P399" s="800">
        <f t="shared" si="40"/>
        <v>14050</v>
      </c>
      <c r="Q399" s="801">
        <f t="shared" si="41"/>
        <v>14050</v>
      </c>
    </row>
    <row r="400" spans="1:17" x14ac:dyDescent="0.2">
      <c r="A400" s="802" t="s">
        <v>17779</v>
      </c>
      <c r="B400" s="803" t="s">
        <v>13918</v>
      </c>
      <c r="C400" s="803" t="s">
        <v>17513</v>
      </c>
      <c r="D400" s="803" t="s">
        <v>24425</v>
      </c>
      <c r="E400" s="803" t="s">
        <v>15733</v>
      </c>
      <c r="F400" s="803">
        <v>3</v>
      </c>
      <c r="G400" s="803" t="s">
        <v>1103</v>
      </c>
      <c r="H400" s="803" t="s">
        <v>1103</v>
      </c>
      <c r="I400" s="804">
        <v>21000</v>
      </c>
      <c r="J400" s="803">
        <v>1</v>
      </c>
      <c r="K400" s="804">
        <f t="shared" si="36"/>
        <v>21000</v>
      </c>
      <c r="L400" s="804">
        <f t="shared" si="37"/>
        <v>21000</v>
      </c>
      <c r="M400" s="804">
        <f t="shared" si="38"/>
        <v>21000</v>
      </c>
      <c r="N400" s="803" t="s">
        <v>15754</v>
      </c>
      <c r="O400" s="805">
        <f t="shared" si="39"/>
        <v>21000</v>
      </c>
      <c r="P400" s="805">
        <f t="shared" si="40"/>
        <v>21000</v>
      </c>
      <c r="Q400" s="806">
        <f t="shared" si="41"/>
        <v>21000</v>
      </c>
    </row>
    <row r="401" spans="1:17" x14ac:dyDescent="0.2">
      <c r="A401" s="797" t="s">
        <v>16547</v>
      </c>
      <c r="B401" s="798" t="s">
        <v>13918</v>
      </c>
      <c r="C401" s="798" t="s">
        <v>17513</v>
      </c>
      <c r="D401" s="798" t="s">
        <v>24426</v>
      </c>
      <c r="E401" s="798" t="s">
        <v>15731</v>
      </c>
      <c r="F401" s="798">
        <v>1</v>
      </c>
      <c r="G401" s="798" t="s">
        <v>3779</v>
      </c>
      <c r="H401" s="798" t="s">
        <v>3779</v>
      </c>
      <c r="I401" s="799">
        <v>20000</v>
      </c>
      <c r="J401" s="798">
        <v>1</v>
      </c>
      <c r="K401" s="799">
        <f t="shared" si="36"/>
        <v>20000</v>
      </c>
      <c r="L401" s="799">
        <f t="shared" si="37"/>
        <v>20000</v>
      </c>
      <c r="M401" s="799">
        <f t="shared" si="38"/>
        <v>20000</v>
      </c>
      <c r="N401" s="798" t="s">
        <v>16550</v>
      </c>
      <c r="O401" s="800">
        <f t="shared" si="39"/>
        <v>20000</v>
      </c>
      <c r="P401" s="800">
        <f t="shared" si="40"/>
        <v>20000</v>
      </c>
      <c r="Q401" s="801">
        <f t="shared" si="41"/>
        <v>20000</v>
      </c>
    </row>
    <row r="402" spans="1:17" x14ac:dyDescent="0.2">
      <c r="A402" s="802" t="s">
        <v>17780</v>
      </c>
      <c r="B402" s="803" t="s">
        <v>13918</v>
      </c>
      <c r="C402" s="803" t="s">
        <v>17513</v>
      </c>
      <c r="D402" s="803" t="s">
        <v>24426</v>
      </c>
      <c r="E402" s="803" t="s">
        <v>15732</v>
      </c>
      <c r="F402" s="803">
        <v>2</v>
      </c>
      <c r="G402" s="803" t="s">
        <v>3779</v>
      </c>
      <c r="H402" s="803" t="s">
        <v>3779</v>
      </c>
      <c r="I402" s="804">
        <v>22000</v>
      </c>
      <c r="J402" s="803">
        <v>1</v>
      </c>
      <c r="K402" s="804">
        <f t="shared" si="36"/>
        <v>22000</v>
      </c>
      <c r="L402" s="804">
        <f t="shared" si="37"/>
        <v>22000</v>
      </c>
      <c r="M402" s="804">
        <f t="shared" si="38"/>
        <v>22000</v>
      </c>
      <c r="N402" s="803" t="s">
        <v>16550</v>
      </c>
      <c r="O402" s="805">
        <f t="shared" si="39"/>
        <v>22000</v>
      </c>
      <c r="P402" s="805">
        <f t="shared" si="40"/>
        <v>22000</v>
      </c>
      <c r="Q402" s="806">
        <f t="shared" si="41"/>
        <v>22000</v>
      </c>
    </row>
    <row r="403" spans="1:17" x14ac:dyDescent="0.2">
      <c r="A403" s="797" t="s">
        <v>17781</v>
      </c>
      <c r="B403" s="798" t="s">
        <v>13918</v>
      </c>
      <c r="C403" s="798" t="s">
        <v>17513</v>
      </c>
      <c r="D403" s="798" t="s">
        <v>24426</v>
      </c>
      <c r="E403" s="798" t="s">
        <v>15733</v>
      </c>
      <c r="F403" s="798">
        <v>3</v>
      </c>
      <c r="G403" s="798" t="s">
        <v>3779</v>
      </c>
      <c r="H403" s="798" t="s">
        <v>3779</v>
      </c>
      <c r="I403" s="799">
        <v>26000</v>
      </c>
      <c r="J403" s="798">
        <v>1</v>
      </c>
      <c r="K403" s="799">
        <f t="shared" si="36"/>
        <v>26000</v>
      </c>
      <c r="L403" s="799">
        <f t="shared" si="37"/>
        <v>26000</v>
      </c>
      <c r="M403" s="799">
        <f t="shared" si="38"/>
        <v>26000</v>
      </c>
      <c r="N403" s="798" t="s">
        <v>16551</v>
      </c>
      <c r="O403" s="800">
        <f t="shared" si="39"/>
        <v>26000</v>
      </c>
      <c r="P403" s="800">
        <f t="shared" si="40"/>
        <v>26000</v>
      </c>
      <c r="Q403" s="801">
        <f t="shared" si="41"/>
        <v>26000</v>
      </c>
    </row>
    <row r="404" spans="1:17" x14ac:dyDescent="0.2">
      <c r="A404" s="802" t="s">
        <v>16556</v>
      </c>
      <c r="B404" s="803" t="s">
        <v>13918</v>
      </c>
      <c r="C404" s="803" t="s">
        <v>17513</v>
      </c>
      <c r="D404" s="803" t="s">
        <v>24427</v>
      </c>
      <c r="E404" s="803" t="s">
        <v>15731</v>
      </c>
      <c r="F404" s="803">
        <v>1</v>
      </c>
      <c r="G404" s="803" t="s">
        <v>3779</v>
      </c>
      <c r="H404" s="803" t="s">
        <v>3779</v>
      </c>
      <c r="I404" s="804">
        <v>11000</v>
      </c>
      <c r="J404" s="803">
        <v>1</v>
      </c>
      <c r="K404" s="804">
        <f t="shared" si="36"/>
        <v>11000</v>
      </c>
      <c r="L404" s="804">
        <f t="shared" si="37"/>
        <v>11000</v>
      </c>
      <c r="M404" s="804">
        <f t="shared" si="38"/>
        <v>11000</v>
      </c>
      <c r="N404" s="803" t="s">
        <v>15753</v>
      </c>
      <c r="O404" s="805">
        <f t="shared" si="39"/>
        <v>11000</v>
      </c>
      <c r="P404" s="805">
        <f t="shared" si="40"/>
        <v>11000</v>
      </c>
      <c r="Q404" s="806">
        <f t="shared" si="41"/>
        <v>11000</v>
      </c>
    </row>
    <row r="405" spans="1:17" x14ac:dyDescent="0.2">
      <c r="A405" s="797" t="s">
        <v>17782</v>
      </c>
      <c r="B405" s="798" t="s">
        <v>13918</v>
      </c>
      <c r="C405" s="798" t="s">
        <v>17513</v>
      </c>
      <c r="D405" s="798" t="s">
        <v>24427</v>
      </c>
      <c r="E405" s="798" t="s">
        <v>15732</v>
      </c>
      <c r="F405" s="798">
        <v>2</v>
      </c>
      <c r="G405" s="798" t="s">
        <v>3779</v>
      </c>
      <c r="H405" s="798" t="s">
        <v>3779</v>
      </c>
      <c r="I405" s="799">
        <v>14100</v>
      </c>
      <c r="J405" s="798">
        <v>1</v>
      </c>
      <c r="K405" s="799">
        <f t="shared" si="36"/>
        <v>14100</v>
      </c>
      <c r="L405" s="799">
        <f t="shared" si="37"/>
        <v>14100</v>
      </c>
      <c r="M405" s="799">
        <f t="shared" si="38"/>
        <v>14100</v>
      </c>
      <c r="N405" s="798" t="s">
        <v>16141</v>
      </c>
      <c r="O405" s="800">
        <f t="shared" si="39"/>
        <v>14100</v>
      </c>
      <c r="P405" s="800">
        <f t="shared" si="40"/>
        <v>14100</v>
      </c>
      <c r="Q405" s="801">
        <f t="shared" si="41"/>
        <v>14100</v>
      </c>
    </row>
    <row r="406" spans="1:17" x14ac:dyDescent="0.2">
      <c r="A406" s="802" t="s">
        <v>17783</v>
      </c>
      <c r="B406" s="803" t="s">
        <v>13918</v>
      </c>
      <c r="C406" s="803" t="s">
        <v>17513</v>
      </c>
      <c r="D406" s="803" t="s">
        <v>24427</v>
      </c>
      <c r="E406" s="803" t="s">
        <v>15733</v>
      </c>
      <c r="F406" s="803">
        <v>3</v>
      </c>
      <c r="G406" s="803" t="s">
        <v>3779</v>
      </c>
      <c r="H406" s="803" t="s">
        <v>3779</v>
      </c>
      <c r="I406" s="804">
        <v>21000</v>
      </c>
      <c r="J406" s="803">
        <v>1</v>
      </c>
      <c r="K406" s="804">
        <f t="shared" si="36"/>
        <v>21000</v>
      </c>
      <c r="L406" s="804">
        <f t="shared" si="37"/>
        <v>21000</v>
      </c>
      <c r="M406" s="804">
        <f t="shared" si="38"/>
        <v>21000</v>
      </c>
      <c r="N406" s="803" t="s">
        <v>15754</v>
      </c>
      <c r="O406" s="805">
        <f t="shared" si="39"/>
        <v>21000</v>
      </c>
      <c r="P406" s="805">
        <f t="shared" si="40"/>
        <v>21000</v>
      </c>
      <c r="Q406" s="806">
        <f t="shared" si="41"/>
        <v>21000</v>
      </c>
    </row>
    <row r="407" spans="1:17" x14ac:dyDescent="0.2">
      <c r="A407" s="797" t="s">
        <v>16563</v>
      </c>
      <c r="B407" s="798" t="s">
        <v>13918</v>
      </c>
      <c r="C407" s="798" t="s">
        <v>17513</v>
      </c>
      <c r="D407" s="798" t="s">
        <v>24428</v>
      </c>
      <c r="E407" s="798" t="s">
        <v>15731</v>
      </c>
      <c r="F407" s="798">
        <v>1</v>
      </c>
      <c r="G407" s="798" t="s">
        <v>1103</v>
      </c>
      <c r="H407" s="798" t="s">
        <v>1103</v>
      </c>
      <c r="I407" s="799">
        <v>12000</v>
      </c>
      <c r="J407" s="798">
        <v>1</v>
      </c>
      <c r="K407" s="799">
        <f t="shared" si="36"/>
        <v>12000</v>
      </c>
      <c r="L407" s="799">
        <f t="shared" si="37"/>
        <v>12000</v>
      </c>
      <c r="M407" s="799">
        <f t="shared" si="38"/>
        <v>12000</v>
      </c>
      <c r="N407" s="798" t="s">
        <v>15753</v>
      </c>
      <c r="O407" s="800">
        <f t="shared" si="39"/>
        <v>12000</v>
      </c>
      <c r="P407" s="800">
        <f t="shared" si="40"/>
        <v>12000</v>
      </c>
      <c r="Q407" s="801">
        <f t="shared" si="41"/>
        <v>12000</v>
      </c>
    </row>
    <row r="408" spans="1:17" x14ac:dyDescent="0.2">
      <c r="A408" s="802" t="s">
        <v>17784</v>
      </c>
      <c r="B408" s="803" t="s">
        <v>13918</v>
      </c>
      <c r="C408" s="803" t="s">
        <v>17513</v>
      </c>
      <c r="D408" s="803" t="s">
        <v>24428</v>
      </c>
      <c r="E408" s="803" t="s">
        <v>15732</v>
      </c>
      <c r="F408" s="803">
        <v>2</v>
      </c>
      <c r="G408" s="803" t="s">
        <v>1103</v>
      </c>
      <c r="H408" s="803" t="s">
        <v>1103</v>
      </c>
      <c r="I408" s="804">
        <v>15000</v>
      </c>
      <c r="J408" s="803">
        <v>1</v>
      </c>
      <c r="K408" s="804">
        <f t="shared" si="36"/>
        <v>15000</v>
      </c>
      <c r="L408" s="804">
        <f t="shared" si="37"/>
        <v>15000</v>
      </c>
      <c r="M408" s="804">
        <f t="shared" si="38"/>
        <v>15000</v>
      </c>
      <c r="N408" s="803" t="s">
        <v>16141</v>
      </c>
      <c r="O408" s="805">
        <f t="shared" si="39"/>
        <v>15000</v>
      </c>
      <c r="P408" s="805">
        <f t="shared" si="40"/>
        <v>15000</v>
      </c>
      <c r="Q408" s="806">
        <f t="shared" si="41"/>
        <v>15000</v>
      </c>
    </row>
    <row r="409" spans="1:17" x14ac:dyDescent="0.2">
      <c r="A409" s="797" t="s">
        <v>17785</v>
      </c>
      <c r="B409" s="798" t="s">
        <v>13918</v>
      </c>
      <c r="C409" s="798" t="s">
        <v>17513</v>
      </c>
      <c r="D409" s="798" t="s">
        <v>24428</v>
      </c>
      <c r="E409" s="798" t="s">
        <v>15733</v>
      </c>
      <c r="F409" s="798">
        <v>3</v>
      </c>
      <c r="G409" s="798" t="s">
        <v>1103</v>
      </c>
      <c r="H409" s="798" t="s">
        <v>1103</v>
      </c>
      <c r="I409" s="799">
        <v>22000</v>
      </c>
      <c r="J409" s="798">
        <v>1</v>
      </c>
      <c r="K409" s="799">
        <f t="shared" si="36"/>
        <v>22000</v>
      </c>
      <c r="L409" s="799">
        <f t="shared" si="37"/>
        <v>22000</v>
      </c>
      <c r="M409" s="799">
        <f t="shared" si="38"/>
        <v>22000</v>
      </c>
      <c r="N409" s="798" t="s">
        <v>15754</v>
      </c>
      <c r="O409" s="800">
        <f t="shared" si="39"/>
        <v>22000</v>
      </c>
      <c r="P409" s="800">
        <f t="shared" si="40"/>
        <v>22000</v>
      </c>
      <c r="Q409" s="801">
        <f t="shared" si="41"/>
        <v>22000</v>
      </c>
    </row>
    <row r="410" spans="1:17" x14ac:dyDescent="0.2">
      <c r="A410" s="802" t="s">
        <v>16566</v>
      </c>
      <c r="B410" s="803" t="s">
        <v>13918</v>
      </c>
      <c r="C410" s="803" t="s">
        <v>17513</v>
      </c>
      <c r="D410" s="803" t="s">
        <v>24429</v>
      </c>
      <c r="E410" s="803" t="s">
        <v>15731</v>
      </c>
      <c r="F410" s="803">
        <v>1</v>
      </c>
      <c r="G410" s="803" t="s">
        <v>1103</v>
      </c>
      <c r="H410" s="803" t="s">
        <v>1103</v>
      </c>
      <c r="I410" s="804">
        <v>20000</v>
      </c>
      <c r="J410" s="803">
        <v>1</v>
      </c>
      <c r="K410" s="804">
        <f t="shared" si="36"/>
        <v>20000</v>
      </c>
      <c r="L410" s="804">
        <f t="shared" si="37"/>
        <v>20000</v>
      </c>
      <c r="M410" s="804">
        <f t="shared" si="38"/>
        <v>20000</v>
      </c>
      <c r="N410" s="803" t="s">
        <v>15753</v>
      </c>
      <c r="O410" s="805">
        <f t="shared" si="39"/>
        <v>20000</v>
      </c>
      <c r="P410" s="805">
        <f t="shared" si="40"/>
        <v>20000</v>
      </c>
      <c r="Q410" s="806">
        <f t="shared" si="41"/>
        <v>20000</v>
      </c>
    </row>
    <row r="411" spans="1:17" x14ac:dyDescent="0.2">
      <c r="A411" s="797" t="s">
        <v>17786</v>
      </c>
      <c r="B411" s="798" t="s">
        <v>13918</v>
      </c>
      <c r="C411" s="798" t="s">
        <v>17513</v>
      </c>
      <c r="D411" s="798" t="s">
        <v>24429</v>
      </c>
      <c r="E411" s="798" t="s">
        <v>15732</v>
      </c>
      <c r="F411" s="798">
        <v>2</v>
      </c>
      <c r="G411" s="798" t="s">
        <v>1103</v>
      </c>
      <c r="H411" s="798" t="s">
        <v>1103</v>
      </c>
      <c r="I411" s="799">
        <v>22000</v>
      </c>
      <c r="J411" s="798">
        <v>1</v>
      </c>
      <c r="K411" s="799">
        <f t="shared" si="36"/>
        <v>22000</v>
      </c>
      <c r="L411" s="799">
        <f t="shared" si="37"/>
        <v>22000</v>
      </c>
      <c r="M411" s="799">
        <f t="shared" si="38"/>
        <v>22000</v>
      </c>
      <c r="N411" s="798" t="s">
        <v>16141</v>
      </c>
      <c r="O411" s="800">
        <f t="shared" si="39"/>
        <v>22000</v>
      </c>
      <c r="P411" s="800">
        <f t="shared" si="40"/>
        <v>22000</v>
      </c>
      <c r="Q411" s="801">
        <f t="shared" si="41"/>
        <v>22000</v>
      </c>
    </row>
    <row r="412" spans="1:17" x14ac:dyDescent="0.2">
      <c r="A412" s="802" t="s">
        <v>17787</v>
      </c>
      <c r="B412" s="803" t="s">
        <v>13918</v>
      </c>
      <c r="C412" s="803" t="s">
        <v>17513</v>
      </c>
      <c r="D412" s="803" t="s">
        <v>24429</v>
      </c>
      <c r="E412" s="803" t="s">
        <v>15733</v>
      </c>
      <c r="F412" s="803">
        <v>3</v>
      </c>
      <c r="G412" s="803" t="s">
        <v>1103</v>
      </c>
      <c r="H412" s="803" t="s">
        <v>1103</v>
      </c>
      <c r="I412" s="804">
        <v>28000</v>
      </c>
      <c r="J412" s="803">
        <v>1</v>
      </c>
      <c r="K412" s="804">
        <f t="shared" si="36"/>
        <v>28000</v>
      </c>
      <c r="L412" s="804">
        <f t="shared" si="37"/>
        <v>28000</v>
      </c>
      <c r="M412" s="804">
        <f t="shared" si="38"/>
        <v>28000</v>
      </c>
      <c r="N412" s="803" t="s">
        <v>15754</v>
      </c>
      <c r="O412" s="805">
        <f t="shared" si="39"/>
        <v>28000</v>
      </c>
      <c r="P412" s="805">
        <f t="shared" si="40"/>
        <v>28000</v>
      </c>
      <c r="Q412" s="806">
        <f t="shared" si="41"/>
        <v>28000</v>
      </c>
    </row>
    <row r="413" spans="1:17" x14ac:dyDescent="0.2">
      <c r="A413" s="797" t="s">
        <v>16573</v>
      </c>
      <c r="B413" s="798" t="s">
        <v>13918</v>
      </c>
      <c r="C413" s="798" t="s">
        <v>17513</v>
      </c>
      <c r="D413" s="798" t="s">
        <v>24430</v>
      </c>
      <c r="E413" s="798" t="s">
        <v>15731</v>
      </c>
      <c r="F413" s="798">
        <v>1</v>
      </c>
      <c r="G413" s="798" t="s">
        <v>1947</v>
      </c>
      <c r="H413" s="798" t="s">
        <v>1947</v>
      </c>
      <c r="I413" s="799">
        <v>20000</v>
      </c>
      <c r="J413" s="798">
        <v>1</v>
      </c>
      <c r="K413" s="799">
        <f t="shared" si="36"/>
        <v>20000</v>
      </c>
      <c r="L413" s="799">
        <f t="shared" si="37"/>
        <v>20000</v>
      </c>
      <c r="M413" s="799">
        <f t="shared" si="38"/>
        <v>20000</v>
      </c>
      <c r="N413" s="798" t="s">
        <v>16550</v>
      </c>
      <c r="O413" s="800">
        <f t="shared" si="39"/>
        <v>20000</v>
      </c>
      <c r="P413" s="800">
        <f t="shared" si="40"/>
        <v>20000</v>
      </c>
      <c r="Q413" s="801">
        <f t="shared" si="41"/>
        <v>20000</v>
      </c>
    </row>
    <row r="414" spans="1:17" x14ac:dyDescent="0.2">
      <c r="A414" s="802" t="s">
        <v>17788</v>
      </c>
      <c r="B414" s="803" t="s">
        <v>13918</v>
      </c>
      <c r="C414" s="803" t="s">
        <v>17513</v>
      </c>
      <c r="D414" s="803" t="s">
        <v>24430</v>
      </c>
      <c r="E414" s="803" t="s">
        <v>15732</v>
      </c>
      <c r="F414" s="803">
        <v>2</v>
      </c>
      <c r="G414" s="803" t="s">
        <v>1947</v>
      </c>
      <c r="H414" s="803" t="s">
        <v>1947</v>
      </c>
      <c r="I414" s="804">
        <v>22000</v>
      </c>
      <c r="J414" s="803">
        <v>1</v>
      </c>
      <c r="K414" s="804">
        <f t="shared" si="36"/>
        <v>22000</v>
      </c>
      <c r="L414" s="804">
        <f t="shared" si="37"/>
        <v>22000</v>
      </c>
      <c r="M414" s="804">
        <f t="shared" si="38"/>
        <v>22000</v>
      </c>
      <c r="N414" s="803" t="s">
        <v>16550</v>
      </c>
      <c r="O414" s="805">
        <f t="shared" si="39"/>
        <v>22000</v>
      </c>
      <c r="P414" s="805">
        <f t="shared" si="40"/>
        <v>22000</v>
      </c>
      <c r="Q414" s="806">
        <f t="shared" si="41"/>
        <v>22000</v>
      </c>
    </row>
    <row r="415" spans="1:17" x14ac:dyDescent="0.2">
      <c r="A415" s="797" t="s">
        <v>17789</v>
      </c>
      <c r="B415" s="798" t="s">
        <v>13918</v>
      </c>
      <c r="C415" s="798" t="s">
        <v>17513</v>
      </c>
      <c r="D415" s="798" t="s">
        <v>24430</v>
      </c>
      <c r="E415" s="798" t="s">
        <v>15733</v>
      </c>
      <c r="F415" s="798">
        <v>3</v>
      </c>
      <c r="G415" s="798" t="s">
        <v>1947</v>
      </c>
      <c r="H415" s="798" t="s">
        <v>1947</v>
      </c>
      <c r="I415" s="799">
        <v>26000</v>
      </c>
      <c r="J415" s="798">
        <v>1</v>
      </c>
      <c r="K415" s="799">
        <f t="shared" si="36"/>
        <v>26000</v>
      </c>
      <c r="L415" s="799">
        <f t="shared" si="37"/>
        <v>26000</v>
      </c>
      <c r="M415" s="799">
        <f t="shared" si="38"/>
        <v>26000</v>
      </c>
      <c r="N415" s="798" t="s">
        <v>16551</v>
      </c>
      <c r="O415" s="800">
        <f t="shared" si="39"/>
        <v>26000</v>
      </c>
      <c r="P415" s="800">
        <f t="shared" si="40"/>
        <v>26000</v>
      </c>
      <c r="Q415" s="801">
        <f t="shared" si="41"/>
        <v>26000</v>
      </c>
    </row>
    <row r="416" spans="1:17" x14ac:dyDescent="0.2">
      <c r="A416" s="802" t="s">
        <v>16575</v>
      </c>
      <c r="B416" s="803" t="s">
        <v>13918</v>
      </c>
      <c r="C416" s="803" t="s">
        <v>17513</v>
      </c>
      <c r="D416" s="803" t="s">
        <v>24431</v>
      </c>
      <c r="E416" s="803" t="s">
        <v>15731</v>
      </c>
      <c r="F416" s="803">
        <v>1</v>
      </c>
      <c r="G416" s="803" t="s">
        <v>2837</v>
      </c>
      <c r="H416" s="803" t="s">
        <v>2837</v>
      </c>
      <c r="I416" s="804">
        <v>20000</v>
      </c>
      <c r="J416" s="803">
        <v>1</v>
      </c>
      <c r="K416" s="804">
        <f t="shared" si="36"/>
        <v>20000</v>
      </c>
      <c r="L416" s="804">
        <f t="shared" si="37"/>
        <v>20000</v>
      </c>
      <c r="M416" s="804">
        <f t="shared" si="38"/>
        <v>20000</v>
      </c>
      <c r="N416" s="803" t="s">
        <v>16550</v>
      </c>
      <c r="O416" s="805">
        <f t="shared" si="39"/>
        <v>20000</v>
      </c>
      <c r="P416" s="805">
        <f t="shared" si="40"/>
        <v>20000</v>
      </c>
      <c r="Q416" s="806">
        <f t="shared" si="41"/>
        <v>20000</v>
      </c>
    </row>
    <row r="417" spans="1:17" x14ac:dyDescent="0.2">
      <c r="A417" s="797" t="s">
        <v>17790</v>
      </c>
      <c r="B417" s="798" t="s">
        <v>13918</v>
      </c>
      <c r="C417" s="798" t="s">
        <v>17513</v>
      </c>
      <c r="D417" s="798" t="s">
        <v>24431</v>
      </c>
      <c r="E417" s="798" t="s">
        <v>15732</v>
      </c>
      <c r="F417" s="798">
        <v>2</v>
      </c>
      <c r="G417" s="798" t="s">
        <v>2837</v>
      </c>
      <c r="H417" s="798" t="s">
        <v>2837</v>
      </c>
      <c r="I417" s="799">
        <v>22000</v>
      </c>
      <c r="J417" s="798">
        <v>1</v>
      </c>
      <c r="K417" s="799">
        <f t="shared" si="36"/>
        <v>22000</v>
      </c>
      <c r="L417" s="799">
        <f t="shared" si="37"/>
        <v>22000</v>
      </c>
      <c r="M417" s="799">
        <f t="shared" si="38"/>
        <v>22000</v>
      </c>
      <c r="N417" s="798" t="s">
        <v>16550</v>
      </c>
      <c r="O417" s="800">
        <f t="shared" si="39"/>
        <v>22000</v>
      </c>
      <c r="P417" s="800">
        <f t="shared" si="40"/>
        <v>22000</v>
      </c>
      <c r="Q417" s="801">
        <f t="shared" si="41"/>
        <v>22000</v>
      </c>
    </row>
    <row r="418" spans="1:17" x14ac:dyDescent="0.2">
      <c r="A418" s="802" t="s">
        <v>17791</v>
      </c>
      <c r="B418" s="803" t="s">
        <v>13918</v>
      </c>
      <c r="C418" s="803" t="s">
        <v>17513</v>
      </c>
      <c r="D418" s="803" t="s">
        <v>24431</v>
      </c>
      <c r="E418" s="803" t="s">
        <v>15733</v>
      </c>
      <c r="F418" s="803">
        <v>3</v>
      </c>
      <c r="G418" s="803" t="s">
        <v>2837</v>
      </c>
      <c r="H418" s="803" t="s">
        <v>2837</v>
      </c>
      <c r="I418" s="804">
        <v>26000</v>
      </c>
      <c r="J418" s="803">
        <v>1</v>
      </c>
      <c r="K418" s="804">
        <f t="shared" si="36"/>
        <v>26000</v>
      </c>
      <c r="L418" s="804">
        <f t="shared" si="37"/>
        <v>26000</v>
      </c>
      <c r="M418" s="804">
        <f t="shared" si="38"/>
        <v>26000</v>
      </c>
      <c r="N418" s="803" t="s">
        <v>16551</v>
      </c>
      <c r="O418" s="805">
        <f t="shared" si="39"/>
        <v>26000</v>
      </c>
      <c r="P418" s="805">
        <f t="shared" si="40"/>
        <v>26000</v>
      </c>
      <c r="Q418" s="806">
        <f t="shared" si="41"/>
        <v>26000</v>
      </c>
    </row>
    <row r="419" spans="1:17" x14ac:dyDescent="0.2">
      <c r="A419" s="797" t="s">
        <v>16582</v>
      </c>
      <c r="B419" s="798" t="s">
        <v>13918</v>
      </c>
      <c r="C419" s="798" t="s">
        <v>17513</v>
      </c>
      <c r="D419" s="798" t="s">
        <v>24432</v>
      </c>
      <c r="E419" s="798" t="s">
        <v>15731</v>
      </c>
      <c r="F419" s="798">
        <v>1</v>
      </c>
      <c r="G419" s="798" t="s">
        <v>122</v>
      </c>
      <c r="H419" s="798" t="s">
        <v>122</v>
      </c>
      <c r="I419" s="799">
        <v>20000</v>
      </c>
      <c r="J419" s="798">
        <v>1</v>
      </c>
      <c r="K419" s="799">
        <f t="shared" si="36"/>
        <v>20000</v>
      </c>
      <c r="L419" s="799">
        <f t="shared" si="37"/>
        <v>20000</v>
      </c>
      <c r="M419" s="799">
        <f t="shared" si="38"/>
        <v>20000</v>
      </c>
      <c r="N419" s="798" t="s">
        <v>16550</v>
      </c>
      <c r="O419" s="800">
        <f t="shared" si="39"/>
        <v>20000</v>
      </c>
      <c r="P419" s="800">
        <f t="shared" si="40"/>
        <v>20000</v>
      </c>
      <c r="Q419" s="801">
        <f t="shared" si="41"/>
        <v>20000</v>
      </c>
    </row>
    <row r="420" spans="1:17" x14ac:dyDescent="0.2">
      <c r="A420" s="802" t="s">
        <v>17792</v>
      </c>
      <c r="B420" s="803" t="s">
        <v>13918</v>
      </c>
      <c r="C420" s="803" t="s">
        <v>17513</v>
      </c>
      <c r="D420" s="803" t="s">
        <v>24432</v>
      </c>
      <c r="E420" s="803" t="s">
        <v>15732</v>
      </c>
      <c r="F420" s="803">
        <v>2</v>
      </c>
      <c r="G420" s="803" t="s">
        <v>122</v>
      </c>
      <c r="H420" s="803" t="s">
        <v>122</v>
      </c>
      <c r="I420" s="804">
        <v>22000</v>
      </c>
      <c r="J420" s="803">
        <v>1</v>
      </c>
      <c r="K420" s="804">
        <f t="shared" si="36"/>
        <v>22000</v>
      </c>
      <c r="L420" s="804">
        <f t="shared" si="37"/>
        <v>22000</v>
      </c>
      <c r="M420" s="804">
        <f t="shared" si="38"/>
        <v>22000</v>
      </c>
      <c r="N420" s="803" t="s">
        <v>16550</v>
      </c>
      <c r="O420" s="805">
        <f t="shared" si="39"/>
        <v>22000</v>
      </c>
      <c r="P420" s="805">
        <f t="shared" si="40"/>
        <v>22000</v>
      </c>
      <c r="Q420" s="806">
        <f t="shared" si="41"/>
        <v>22000</v>
      </c>
    </row>
    <row r="421" spans="1:17" x14ac:dyDescent="0.2">
      <c r="A421" s="797" t="s">
        <v>17793</v>
      </c>
      <c r="B421" s="798" t="s">
        <v>13918</v>
      </c>
      <c r="C421" s="798" t="s">
        <v>17513</v>
      </c>
      <c r="D421" s="798" t="s">
        <v>24432</v>
      </c>
      <c r="E421" s="798" t="s">
        <v>15733</v>
      </c>
      <c r="F421" s="798">
        <v>3</v>
      </c>
      <c r="G421" s="798" t="s">
        <v>122</v>
      </c>
      <c r="H421" s="798" t="s">
        <v>122</v>
      </c>
      <c r="I421" s="799">
        <v>26000</v>
      </c>
      <c r="J421" s="798">
        <v>1</v>
      </c>
      <c r="K421" s="799">
        <f t="shared" si="36"/>
        <v>26000</v>
      </c>
      <c r="L421" s="799">
        <f t="shared" si="37"/>
        <v>26000</v>
      </c>
      <c r="M421" s="799">
        <f t="shared" si="38"/>
        <v>26000</v>
      </c>
      <c r="N421" s="798" t="s">
        <v>16551</v>
      </c>
      <c r="O421" s="800">
        <f t="shared" si="39"/>
        <v>26000</v>
      </c>
      <c r="P421" s="800">
        <f t="shared" si="40"/>
        <v>26000</v>
      </c>
      <c r="Q421" s="801">
        <f t="shared" si="41"/>
        <v>26000</v>
      </c>
    </row>
    <row r="422" spans="1:17" x14ac:dyDescent="0.2">
      <c r="A422" s="802" t="s">
        <v>16587</v>
      </c>
      <c r="B422" s="803" t="s">
        <v>13918</v>
      </c>
      <c r="C422" s="803" t="s">
        <v>17513</v>
      </c>
      <c r="D422" s="803" t="s">
        <v>24433</v>
      </c>
      <c r="E422" s="803" t="s">
        <v>15731</v>
      </c>
      <c r="F422" s="803">
        <v>1</v>
      </c>
      <c r="G422" s="803" t="s">
        <v>1103</v>
      </c>
      <c r="H422" s="803" t="s">
        <v>1103</v>
      </c>
      <c r="I422" s="804">
        <v>20000</v>
      </c>
      <c r="J422" s="803">
        <v>1</v>
      </c>
      <c r="K422" s="804">
        <f t="shared" si="36"/>
        <v>20000</v>
      </c>
      <c r="L422" s="804">
        <f t="shared" si="37"/>
        <v>20000</v>
      </c>
      <c r="M422" s="804">
        <f t="shared" si="38"/>
        <v>20000</v>
      </c>
      <c r="N422" s="803" t="s">
        <v>16550</v>
      </c>
      <c r="O422" s="805">
        <f t="shared" si="39"/>
        <v>20000</v>
      </c>
      <c r="P422" s="805">
        <f t="shared" si="40"/>
        <v>20000</v>
      </c>
      <c r="Q422" s="806">
        <f t="shared" si="41"/>
        <v>20000</v>
      </c>
    </row>
    <row r="423" spans="1:17" x14ac:dyDescent="0.2">
      <c r="A423" s="797" t="s">
        <v>17794</v>
      </c>
      <c r="B423" s="798" t="s">
        <v>13918</v>
      </c>
      <c r="C423" s="798" t="s">
        <v>17513</v>
      </c>
      <c r="D423" s="798" t="s">
        <v>24433</v>
      </c>
      <c r="E423" s="798" t="s">
        <v>15732</v>
      </c>
      <c r="F423" s="798">
        <v>2</v>
      </c>
      <c r="G423" s="798" t="s">
        <v>1103</v>
      </c>
      <c r="H423" s="798" t="s">
        <v>1103</v>
      </c>
      <c r="I423" s="799">
        <v>22000</v>
      </c>
      <c r="J423" s="798">
        <v>1</v>
      </c>
      <c r="K423" s="799">
        <f t="shared" si="36"/>
        <v>22000</v>
      </c>
      <c r="L423" s="799">
        <f t="shared" si="37"/>
        <v>22000</v>
      </c>
      <c r="M423" s="799">
        <f t="shared" si="38"/>
        <v>22000</v>
      </c>
      <c r="N423" s="798" t="s">
        <v>16550</v>
      </c>
      <c r="O423" s="800">
        <f t="shared" si="39"/>
        <v>22000</v>
      </c>
      <c r="P423" s="800">
        <f t="shared" si="40"/>
        <v>22000</v>
      </c>
      <c r="Q423" s="801">
        <f t="shared" si="41"/>
        <v>22000</v>
      </c>
    </row>
    <row r="424" spans="1:17" x14ac:dyDescent="0.2">
      <c r="A424" s="802" t="s">
        <v>17795</v>
      </c>
      <c r="B424" s="803" t="s">
        <v>13918</v>
      </c>
      <c r="C424" s="803" t="s">
        <v>17513</v>
      </c>
      <c r="D424" s="803" t="s">
        <v>24433</v>
      </c>
      <c r="E424" s="803" t="s">
        <v>15733</v>
      </c>
      <c r="F424" s="803">
        <v>3</v>
      </c>
      <c r="G424" s="803" t="s">
        <v>1103</v>
      </c>
      <c r="H424" s="803" t="s">
        <v>1103</v>
      </c>
      <c r="I424" s="804">
        <v>26000</v>
      </c>
      <c r="J424" s="803">
        <v>1</v>
      </c>
      <c r="K424" s="804">
        <f t="shared" si="36"/>
        <v>26000</v>
      </c>
      <c r="L424" s="804">
        <f t="shared" si="37"/>
        <v>26000</v>
      </c>
      <c r="M424" s="804">
        <f t="shared" si="38"/>
        <v>26000</v>
      </c>
      <c r="N424" s="803" t="s">
        <v>16551</v>
      </c>
      <c r="O424" s="805">
        <f t="shared" si="39"/>
        <v>26000</v>
      </c>
      <c r="P424" s="805">
        <f t="shared" si="40"/>
        <v>26000</v>
      </c>
      <c r="Q424" s="806">
        <f t="shared" si="41"/>
        <v>26000</v>
      </c>
    </row>
    <row r="425" spans="1:17" x14ac:dyDescent="0.2">
      <c r="A425" s="797" t="s">
        <v>16610</v>
      </c>
      <c r="B425" s="798" t="s">
        <v>13918</v>
      </c>
      <c r="C425" s="798" t="s">
        <v>17513</v>
      </c>
      <c r="D425" s="798" t="s">
        <v>24434</v>
      </c>
      <c r="E425" s="798" t="s">
        <v>15731</v>
      </c>
      <c r="F425" s="798">
        <v>1</v>
      </c>
      <c r="G425" s="798" t="s">
        <v>1947</v>
      </c>
      <c r="H425" s="798" t="s">
        <v>1947</v>
      </c>
      <c r="I425" s="799">
        <v>12000</v>
      </c>
      <c r="J425" s="798">
        <v>1</v>
      </c>
      <c r="K425" s="799">
        <f t="shared" si="36"/>
        <v>12000</v>
      </c>
      <c r="L425" s="799">
        <f t="shared" si="37"/>
        <v>12000</v>
      </c>
      <c r="M425" s="799">
        <f t="shared" si="38"/>
        <v>12000</v>
      </c>
      <c r="N425" s="798" t="s">
        <v>15753</v>
      </c>
      <c r="O425" s="800">
        <f t="shared" si="39"/>
        <v>12000</v>
      </c>
      <c r="P425" s="800">
        <f t="shared" si="40"/>
        <v>12000</v>
      </c>
      <c r="Q425" s="801">
        <f t="shared" si="41"/>
        <v>12000</v>
      </c>
    </row>
    <row r="426" spans="1:17" x14ac:dyDescent="0.2">
      <c r="A426" s="802" t="s">
        <v>17796</v>
      </c>
      <c r="B426" s="803" t="s">
        <v>13918</v>
      </c>
      <c r="C426" s="803" t="s">
        <v>17513</v>
      </c>
      <c r="D426" s="803" t="s">
        <v>24434</v>
      </c>
      <c r="E426" s="803" t="s">
        <v>15732</v>
      </c>
      <c r="F426" s="803">
        <v>2</v>
      </c>
      <c r="G426" s="803" t="s">
        <v>1947</v>
      </c>
      <c r="H426" s="803" t="s">
        <v>1947</v>
      </c>
      <c r="I426" s="804">
        <v>15000</v>
      </c>
      <c r="J426" s="803">
        <v>1</v>
      </c>
      <c r="K426" s="804">
        <f t="shared" si="36"/>
        <v>15000</v>
      </c>
      <c r="L426" s="804">
        <f t="shared" si="37"/>
        <v>15000</v>
      </c>
      <c r="M426" s="804">
        <f t="shared" si="38"/>
        <v>15000</v>
      </c>
      <c r="N426" s="803" t="s">
        <v>16141</v>
      </c>
      <c r="O426" s="805">
        <f t="shared" si="39"/>
        <v>15000</v>
      </c>
      <c r="P426" s="805">
        <f t="shared" si="40"/>
        <v>15000</v>
      </c>
      <c r="Q426" s="806">
        <f t="shared" si="41"/>
        <v>15000</v>
      </c>
    </row>
    <row r="427" spans="1:17" x14ac:dyDescent="0.2">
      <c r="A427" s="797" t="s">
        <v>17797</v>
      </c>
      <c r="B427" s="798" t="s">
        <v>13918</v>
      </c>
      <c r="C427" s="798" t="s">
        <v>17513</v>
      </c>
      <c r="D427" s="798" t="s">
        <v>24434</v>
      </c>
      <c r="E427" s="798" t="s">
        <v>15733</v>
      </c>
      <c r="F427" s="798">
        <v>3</v>
      </c>
      <c r="G427" s="798" t="s">
        <v>1947</v>
      </c>
      <c r="H427" s="798" t="s">
        <v>1947</v>
      </c>
      <c r="I427" s="799">
        <v>21000</v>
      </c>
      <c r="J427" s="798">
        <v>1</v>
      </c>
      <c r="K427" s="799">
        <f t="shared" si="36"/>
        <v>21000</v>
      </c>
      <c r="L427" s="799">
        <f t="shared" si="37"/>
        <v>21000</v>
      </c>
      <c r="M427" s="799">
        <f t="shared" si="38"/>
        <v>21000</v>
      </c>
      <c r="N427" s="798" t="s">
        <v>15754</v>
      </c>
      <c r="O427" s="800">
        <f t="shared" si="39"/>
        <v>21000</v>
      </c>
      <c r="P427" s="800">
        <f t="shared" si="40"/>
        <v>21000</v>
      </c>
      <c r="Q427" s="801">
        <f t="shared" si="41"/>
        <v>21000</v>
      </c>
    </row>
    <row r="428" spans="1:17" x14ac:dyDescent="0.2">
      <c r="A428" s="802" t="s">
        <v>16617</v>
      </c>
      <c r="B428" s="803" t="s">
        <v>13918</v>
      </c>
      <c r="C428" s="803" t="s">
        <v>17513</v>
      </c>
      <c r="D428" s="803" t="s">
        <v>24435</v>
      </c>
      <c r="E428" s="803" t="s">
        <v>15731</v>
      </c>
      <c r="F428" s="803">
        <v>1</v>
      </c>
      <c r="G428" s="803" t="s">
        <v>122</v>
      </c>
      <c r="H428" s="803" t="s">
        <v>122</v>
      </c>
      <c r="I428" s="804">
        <v>20000</v>
      </c>
      <c r="J428" s="803">
        <v>1</v>
      </c>
      <c r="K428" s="804">
        <f t="shared" si="36"/>
        <v>20000</v>
      </c>
      <c r="L428" s="804">
        <f t="shared" si="37"/>
        <v>20000</v>
      </c>
      <c r="M428" s="804">
        <f t="shared" si="38"/>
        <v>20000</v>
      </c>
      <c r="N428" s="803" t="s">
        <v>16621</v>
      </c>
      <c r="O428" s="805">
        <f t="shared" si="39"/>
        <v>20000</v>
      </c>
      <c r="P428" s="805">
        <f t="shared" si="40"/>
        <v>20000</v>
      </c>
      <c r="Q428" s="806">
        <f t="shared" si="41"/>
        <v>20000</v>
      </c>
    </row>
    <row r="429" spans="1:17" x14ac:dyDescent="0.2">
      <c r="A429" s="797" t="s">
        <v>17798</v>
      </c>
      <c r="B429" s="798" t="s">
        <v>13918</v>
      </c>
      <c r="C429" s="798" t="s">
        <v>17513</v>
      </c>
      <c r="D429" s="798" t="s">
        <v>24435</v>
      </c>
      <c r="E429" s="798" t="s">
        <v>15732</v>
      </c>
      <c r="F429" s="798">
        <v>2</v>
      </c>
      <c r="G429" s="798" t="s">
        <v>122</v>
      </c>
      <c r="H429" s="798" t="s">
        <v>122</v>
      </c>
      <c r="I429" s="799">
        <v>22000</v>
      </c>
      <c r="J429" s="798">
        <v>1</v>
      </c>
      <c r="K429" s="799">
        <f t="shared" si="36"/>
        <v>22000</v>
      </c>
      <c r="L429" s="799">
        <f t="shared" si="37"/>
        <v>22000</v>
      </c>
      <c r="M429" s="799">
        <f t="shared" si="38"/>
        <v>22000</v>
      </c>
      <c r="N429" s="798" t="s">
        <v>16621</v>
      </c>
      <c r="O429" s="800">
        <f t="shared" si="39"/>
        <v>22000</v>
      </c>
      <c r="P429" s="800">
        <f t="shared" si="40"/>
        <v>22000</v>
      </c>
      <c r="Q429" s="801">
        <f t="shared" si="41"/>
        <v>22000</v>
      </c>
    </row>
    <row r="430" spans="1:17" x14ac:dyDescent="0.2">
      <c r="A430" s="802" t="s">
        <v>17799</v>
      </c>
      <c r="B430" s="803" t="s">
        <v>13918</v>
      </c>
      <c r="C430" s="803" t="s">
        <v>17513</v>
      </c>
      <c r="D430" s="803" t="s">
        <v>24435</v>
      </c>
      <c r="E430" s="803" t="s">
        <v>15733</v>
      </c>
      <c r="F430" s="803">
        <v>3</v>
      </c>
      <c r="G430" s="803" t="s">
        <v>122</v>
      </c>
      <c r="H430" s="803" t="s">
        <v>122</v>
      </c>
      <c r="I430" s="804">
        <v>26000</v>
      </c>
      <c r="J430" s="803">
        <v>1</v>
      </c>
      <c r="K430" s="804">
        <f t="shared" si="36"/>
        <v>26000</v>
      </c>
      <c r="L430" s="804">
        <f t="shared" si="37"/>
        <v>26000</v>
      </c>
      <c r="M430" s="804">
        <f t="shared" si="38"/>
        <v>26000</v>
      </c>
      <c r="N430" s="803" t="s">
        <v>16621</v>
      </c>
      <c r="O430" s="805">
        <f t="shared" si="39"/>
        <v>26000</v>
      </c>
      <c r="P430" s="805">
        <f t="shared" si="40"/>
        <v>26000</v>
      </c>
      <c r="Q430" s="806">
        <f t="shared" si="41"/>
        <v>26000</v>
      </c>
    </row>
    <row r="431" spans="1:17" x14ac:dyDescent="0.2">
      <c r="A431" s="797" t="s">
        <v>16629</v>
      </c>
      <c r="B431" s="798" t="s">
        <v>13918</v>
      </c>
      <c r="C431" s="798" t="s">
        <v>17513</v>
      </c>
      <c r="D431" s="798" t="s">
        <v>24436</v>
      </c>
      <c r="E431" s="798" t="s">
        <v>15731</v>
      </c>
      <c r="F431" s="798">
        <v>1</v>
      </c>
      <c r="G431" s="798" t="s">
        <v>1947</v>
      </c>
      <c r="H431" s="798" t="s">
        <v>1947</v>
      </c>
      <c r="I431" s="799">
        <v>12050</v>
      </c>
      <c r="J431" s="798">
        <v>1</v>
      </c>
      <c r="K431" s="799">
        <f t="shared" si="36"/>
        <v>12050</v>
      </c>
      <c r="L431" s="799">
        <f t="shared" si="37"/>
        <v>12050</v>
      </c>
      <c r="M431" s="799">
        <f t="shared" si="38"/>
        <v>12050</v>
      </c>
      <c r="N431" s="798" t="s">
        <v>15753</v>
      </c>
      <c r="O431" s="800">
        <f t="shared" si="39"/>
        <v>12050</v>
      </c>
      <c r="P431" s="800">
        <f t="shared" si="40"/>
        <v>12050</v>
      </c>
      <c r="Q431" s="801">
        <f t="shared" si="41"/>
        <v>12050</v>
      </c>
    </row>
    <row r="432" spans="1:17" x14ac:dyDescent="0.2">
      <c r="A432" s="802" t="s">
        <v>17800</v>
      </c>
      <c r="B432" s="803" t="s">
        <v>13918</v>
      </c>
      <c r="C432" s="803" t="s">
        <v>17513</v>
      </c>
      <c r="D432" s="803" t="s">
        <v>24436</v>
      </c>
      <c r="E432" s="803" t="s">
        <v>15732</v>
      </c>
      <c r="F432" s="803">
        <v>2</v>
      </c>
      <c r="G432" s="803" t="s">
        <v>1947</v>
      </c>
      <c r="H432" s="803" t="s">
        <v>1947</v>
      </c>
      <c r="I432" s="804">
        <v>15050</v>
      </c>
      <c r="J432" s="803">
        <v>1</v>
      </c>
      <c r="K432" s="804">
        <f t="shared" si="36"/>
        <v>15050</v>
      </c>
      <c r="L432" s="804">
        <f t="shared" si="37"/>
        <v>15050</v>
      </c>
      <c r="M432" s="804">
        <f t="shared" si="38"/>
        <v>15050</v>
      </c>
      <c r="N432" s="803" t="s">
        <v>16141</v>
      </c>
      <c r="O432" s="805">
        <f t="shared" si="39"/>
        <v>15050</v>
      </c>
      <c r="P432" s="805">
        <f t="shared" si="40"/>
        <v>15050</v>
      </c>
      <c r="Q432" s="806">
        <f t="shared" si="41"/>
        <v>15050</v>
      </c>
    </row>
    <row r="433" spans="1:17" x14ac:dyDescent="0.2">
      <c r="A433" s="797" t="s">
        <v>17801</v>
      </c>
      <c r="B433" s="798" t="s">
        <v>13918</v>
      </c>
      <c r="C433" s="798" t="s">
        <v>17513</v>
      </c>
      <c r="D433" s="798" t="s">
        <v>24436</v>
      </c>
      <c r="E433" s="798" t="s">
        <v>15733</v>
      </c>
      <c r="F433" s="798">
        <v>3</v>
      </c>
      <c r="G433" s="798" t="s">
        <v>1947</v>
      </c>
      <c r="H433" s="798" t="s">
        <v>1947</v>
      </c>
      <c r="I433" s="799">
        <v>21000</v>
      </c>
      <c r="J433" s="798">
        <v>1</v>
      </c>
      <c r="K433" s="799">
        <f t="shared" si="36"/>
        <v>21000</v>
      </c>
      <c r="L433" s="799">
        <f t="shared" si="37"/>
        <v>21000</v>
      </c>
      <c r="M433" s="799">
        <f t="shared" si="38"/>
        <v>21000</v>
      </c>
      <c r="N433" s="798" t="s">
        <v>15754</v>
      </c>
      <c r="O433" s="800">
        <f t="shared" si="39"/>
        <v>21000</v>
      </c>
      <c r="P433" s="800">
        <f t="shared" si="40"/>
        <v>21000</v>
      </c>
      <c r="Q433" s="801">
        <f t="shared" si="41"/>
        <v>21000</v>
      </c>
    </row>
    <row r="434" spans="1:17" x14ac:dyDescent="0.2">
      <c r="A434" s="802" t="s">
        <v>16632</v>
      </c>
      <c r="B434" s="803" t="s">
        <v>13918</v>
      </c>
      <c r="C434" s="803" t="s">
        <v>17513</v>
      </c>
      <c r="D434" s="803" t="s">
        <v>24437</v>
      </c>
      <c r="E434" s="803" t="s">
        <v>15731</v>
      </c>
      <c r="F434" s="803">
        <v>1</v>
      </c>
      <c r="G434" s="803" t="s">
        <v>122</v>
      </c>
      <c r="H434" s="803" t="s">
        <v>122</v>
      </c>
      <c r="I434" s="804">
        <v>20000</v>
      </c>
      <c r="J434" s="803">
        <v>1</v>
      </c>
      <c r="K434" s="804">
        <f t="shared" si="36"/>
        <v>20000</v>
      </c>
      <c r="L434" s="804">
        <f t="shared" si="37"/>
        <v>20000</v>
      </c>
      <c r="M434" s="804">
        <f t="shared" si="38"/>
        <v>20000</v>
      </c>
      <c r="N434" s="803" t="s">
        <v>16635</v>
      </c>
      <c r="O434" s="805">
        <f t="shared" si="39"/>
        <v>20000</v>
      </c>
      <c r="P434" s="805">
        <f t="shared" si="40"/>
        <v>20000</v>
      </c>
      <c r="Q434" s="806">
        <f t="shared" si="41"/>
        <v>20000</v>
      </c>
    </row>
    <row r="435" spans="1:17" x14ac:dyDescent="0.2">
      <c r="A435" s="797" t="s">
        <v>17802</v>
      </c>
      <c r="B435" s="798" t="s">
        <v>13918</v>
      </c>
      <c r="C435" s="798" t="s">
        <v>17513</v>
      </c>
      <c r="D435" s="798" t="s">
        <v>24437</v>
      </c>
      <c r="E435" s="798" t="s">
        <v>15732</v>
      </c>
      <c r="F435" s="798">
        <v>2</v>
      </c>
      <c r="G435" s="798" t="s">
        <v>122</v>
      </c>
      <c r="H435" s="798" t="s">
        <v>122</v>
      </c>
      <c r="I435" s="799">
        <v>22000</v>
      </c>
      <c r="J435" s="798">
        <v>1</v>
      </c>
      <c r="K435" s="799">
        <f t="shared" si="36"/>
        <v>22000</v>
      </c>
      <c r="L435" s="799">
        <f t="shared" si="37"/>
        <v>22000</v>
      </c>
      <c r="M435" s="799">
        <f t="shared" si="38"/>
        <v>22000</v>
      </c>
      <c r="N435" s="798" t="s">
        <v>16635</v>
      </c>
      <c r="O435" s="800">
        <f t="shared" si="39"/>
        <v>22000</v>
      </c>
      <c r="P435" s="800">
        <f t="shared" si="40"/>
        <v>22000</v>
      </c>
      <c r="Q435" s="801">
        <f t="shared" si="41"/>
        <v>22000</v>
      </c>
    </row>
    <row r="436" spans="1:17" x14ac:dyDescent="0.2">
      <c r="A436" s="802" t="s">
        <v>17803</v>
      </c>
      <c r="B436" s="803" t="s">
        <v>13918</v>
      </c>
      <c r="C436" s="803" t="s">
        <v>17513</v>
      </c>
      <c r="D436" s="803" t="s">
        <v>24437</v>
      </c>
      <c r="E436" s="803" t="s">
        <v>15733</v>
      </c>
      <c r="F436" s="803">
        <v>3</v>
      </c>
      <c r="G436" s="803" t="s">
        <v>122</v>
      </c>
      <c r="H436" s="803" t="s">
        <v>122</v>
      </c>
      <c r="I436" s="804">
        <v>26000</v>
      </c>
      <c r="J436" s="803">
        <v>1</v>
      </c>
      <c r="K436" s="804">
        <f t="shared" si="36"/>
        <v>26000</v>
      </c>
      <c r="L436" s="804">
        <f t="shared" si="37"/>
        <v>26000</v>
      </c>
      <c r="M436" s="804">
        <f t="shared" si="38"/>
        <v>26000</v>
      </c>
      <c r="N436" s="803" t="s">
        <v>16635</v>
      </c>
      <c r="O436" s="805">
        <f t="shared" si="39"/>
        <v>26000</v>
      </c>
      <c r="P436" s="805">
        <f t="shared" si="40"/>
        <v>26000</v>
      </c>
      <c r="Q436" s="806">
        <f t="shared" si="41"/>
        <v>26000</v>
      </c>
    </row>
    <row r="437" spans="1:17" x14ac:dyDescent="0.2">
      <c r="A437" s="797" t="s">
        <v>16640</v>
      </c>
      <c r="B437" s="798" t="s">
        <v>13918</v>
      </c>
      <c r="C437" s="798" t="s">
        <v>17513</v>
      </c>
      <c r="D437" s="798" t="s">
        <v>24438</v>
      </c>
      <c r="E437" s="798" t="s">
        <v>15731</v>
      </c>
      <c r="F437" s="798">
        <v>1</v>
      </c>
      <c r="G437" s="798" t="s">
        <v>1947</v>
      </c>
      <c r="H437" s="798" t="s">
        <v>1947</v>
      </c>
      <c r="I437" s="799">
        <v>13000</v>
      </c>
      <c r="J437" s="798">
        <v>1</v>
      </c>
      <c r="K437" s="799">
        <f t="shared" si="36"/>
        <v>13000</v>
      </c>
      <c r="L437" s="799">
        <f t="shared" si="37"/>
        <v>13000</v>
      </c>
      <c r="M437" s="799">
        <f t="shared" si="38"/>
        <v>13000</v>
      </c>
      <c r="N437" s="798" t="s">
        <v>15753</v>
      </c>
      <c r="O437" s="800">
        <f t="shared" si="39"/>
        <v>13000</v>
      </c>
      <c r="P437" s="800">
        <f t="shared" si="40"/>
        <v>13000</v>
      </c>
      <c r="Q437" s="801">
        <f t="shared" si="41"/>
        <v>13000</v>
      </c>
    </row>
    <row r="438" spans="1:17" x14ac:dyDescent="0.2">
      <c r="A438" s="802" t="s">
        <v>17804</v>
      </c>
      <c r="B438" s="803" t="s">
        <v>13918</v>
      </c>
      <c r="C438" s="803" t="s">
        <v>17513</v>
      </c>
      <c r="D438" s="803" t="s">
        <v>24438</v>
      </c>
      <c r="E438" s="803" t="s">
        <v>15732</v>
      </c>
      <c r="F438" s="803">
        <v>2</v>
      </c>
      <c r="G438" s="803" t="s">
        <v>1947</v>
      </c>
      <c r="H438" s="803" t="s">
        <v>1947</v>
      </c>
      <c r="I438" s="804">
        <v>16000</v>
      </c>
      <c r="J438" s="803">
        <v>1</v>
      </c>
      <c r="K438" s="804">
        <f t="shared" si="36"/>
        <v>16000</v>
      </c>
      <c r="L438" s="804">
        <f t="shared" si="37"/>
        <v>16000</v>
      </c>
      <c r="M438" s="804">
        <f t="shared" si="38"/>
        <v>16000</v>
      </c>
      <c r="N438" s="803" t="s">
        <v>16141</v>
      </c>
      <c r="O438" s="805">
        <f t="shared" si="39"/>
        <v>16000</v>
      </c>
      <c r="P438" s="805">
        <f t="shared" si="40"/>
        <v>16000</v>
      </c>
      <c r="Q438" s="806">
        <f t="shared" si="41"/>
        <v>16000</v>
      </c>
    </row>
    <row r="439" spans="1:17" x14ac:dyDescent="0.2">
      <c r="A439" s="797" t="s">
        <v>17805</v>
      </c>
      <c r="B439" s="798" t="s">
        <v>13918</v>
      </c>
      <c r="C439" s="798" t="s">
        <v>17513</v>
      </c>
      <c r="D439" s="798" t="s">
        <v>24438</v>
      </c>
      <c r="E439" s="798" t="s">
        <v>15733</v>
      </c>
      <c r="F439" s="798">
        <v>3</v>
      </c>
      <c r="G439" s="798" t="s">
        <v>1947</v>
      </c>
      <c r="H439" s="798" t="s">
        <v>1947</v>
      </c>
      <c r="I439" s="799">
        <v>22000</v>
      </c>
      <c r="J439" s="798">
        <v>1</v>
      </c>
      <c r="K439" s="799">
        <f t="shared" si="36"/>
        <v>22000</v>
      </c>
      <c r="L439" s="799">
        <f t="shared" si="37"/>
        <v>22000</v>
      </c>
      <c r="M439" s="799">
        <f t="shared" si="38"/>
        <v>22000</v>
      </c>
      <c r="N439" s="798" t="s">
        <v>15754</v>
      </c>
      <c r="O439" s="800">
        <f t="shared" si="39"/>
        <v>22000</v>
      </c>
      <c r="P439" s="800">
        <f t="shared" si="40"/>
        <v>22000</v>
      </c>
      <c r="Q439" s="801">
        <f t="shared" si="41"/>
        <v>22000</v>
      </c>
    </row>
    <row r="440" spans="1:17" x14ac:dyDescent="0.2">
      <c r="A440" s="802" t="s">
        <v>16643</v>
      </c>
      <c r="B440" s="803" t="s">
        <v>13918</v>
      </c>
      <c r="C440" s="803" t="s">
        <v>17513</v>
      </c>
      <c r="D440" s="803" t="s">
        <v>24439</v>
      </c>
      <c r="E440" s="803" t="s">
        <v>15731</v>
      </c>
      <c r="F440" s="803">
        <v>1</v>
      </c>
      <c r="G440" s="803" t="s">
        <v>1947</v>
      </c>
      <c r="H440" s="803" t="s">
        <v>1947</v>
      </c>
      <c r="I440" s="804">
        <v>21000</v>
      </c>
      <c r="J440" s="803">
        <v>1</v>
      </c>
      <c r="K440" s="804">
        <f t="shared" si="36"/>
        <v>21000</v>
      </c>
      <c r="L440" s="804">
        <f t="shared" si="37"/>
        <v>21000</v>
      </c>
      <c r="M440" s="804">
        <f t="shared" si="38"/>
        <v>21000</v>
      </c>
      <c r="N440" s="803" t="s">
        <v>15753</v>
      </c>
      <c r="O440" s="805">
        <f t="shared" si="39"/>
        <v>21000</v>
      </c>
      <c r="P440" s="805">
        <f t="shared" si="40"/>
        <v>21000</v>
      </c>
      <c r="Q440" s="806">
        <f t="shared" si="41"/>
        <v>21000</v>
      </c>
    </row>
    <row r="441" spans="1:17" x14ac:dyDescent="0.2">
      <c r="A441" s="797" t="s">
        <v>17806</v>
      </c>
      <c r="B441" s="798" t="s">
        <v>13918</v>
      </c>
      <c r="C441" s="798" t="s">
        <v>17513</v>
      </c>
      <c r="D441" s="798" t="s">
        <v>24439</v>
      </c>
      <c r="E441" s="798" t="s">
        <v>15732</v>
      </c>
      <c r="F441" s="798">
        <v>2</v>
      </c>
      <c r="G441" s="798" t="s">
        <v>1947</v>
      </c>
      <c r="H441" s="798" t="s">
        <v>1947</v>
      </c>
      <c r="I441" s="799">
        <v>23000</v>
      </c>
      <c r="J441" s="798">
        <v>1</v>
      </c>
      <c r="K441" s="799">
        <f t="shared" si="36"/>
        <v>23000</v>
      </c>
      <c r="L441" s="799">
        <f t="shared" si="37"/>
        <v>23000</v>
      </c>
      <c r="M441" s="799">
        <f t="shared" si="38"/>
        <v>23000</v>
      </c>
      <c r="N441" s="798" t="s">
        <v>16141</v>
      </c>
      <c r="O441" s="800">
        <f t="shared" si="39"/>
        <v>23000</v>
      </c>
      <c r="P441" s="800">
        <f t="shared" si="40"/>
        <v>23000</v>
      </c>
      <c r="Q441" s="801">
        <f t="shared" si="41"/>
        <v>23000</v>
      </c>
    </row>
    <row r="442" spans="1:17" x14ac:dyDescent="0.2">
      <c r="A442" s="802" t="s">
        <v>17807</v>
      </c>
      <c r="B442" s="803" t="s">
        <v>13918</v>
      </c>
      <c r="C442" s="803" t="s">
        <v>17513</v>
      </c>
      <c r="D442" s="803" t="s">
        <v>24439</v>
      </c>
      <c r="E442" s="803" t="s">
        <v>15733</v>
      </c>
      <c r="F442" s="803">
        <v>3</v>
      </c>
      <c r="G442" s="803" t="s">
        <v>1947</v>
      </c>
      <c r="H442" s="803" t="s">
        <v>1947</v>
      </c>
      <c r="I442" s="804">
        <v>28000</v>
      </c>
      <c r="J442" s="803">
        <v>1</v>
      </c>
      <c r="K442" s="804">
        <f t="shared" si="36"/>
        <v>28000</v>
      </c>
      <c r="L442" s="804">
        <f t="shared" si="37"/>
        <v>28000</v>
      </c>
      <c r="M442" s="804">
        <f t="shared" si="38"/>
        <v>28000</v>
      </c>
      <c r="N442" s="803" t="s">
        <v>15754</v>
      </c>
      <c r="O442" s="805">
        <f t="shared" si="39"/>
        <v>28000</v>
      </c>
      <c r="P442" s="805">
        <f t="shared" si="40"/>
        <v>28000</v>
      </c>
      <c r="Q442" s="806">
        <f t="shared" si="41"/>
        <v>28000</v>
      </c>
    </row>
    <row r="443" spans="1:17" x14ac:dyDescent="0.2">
      <c r="A443" s="797" t="s">
        <v>16646</v>
      </c>
      <c r="B443" s="798" t="s">
        <v>13918</v>
      </c>
      <c r="C443" s="798" t="s">
        <v>17513</v>
      </c>
      <c r="D443" s="798" t="s">
        <v>24440</v>
      </c>
      <c r="E443" s="798" t="s">
        <v>15731</v>
      </c>
      <c r="F443" s="798">
        <v>1</v>
      </c>
      <c r="G443" s="798" t="s">
        <v>1947</v>
      </c>
      <c r="H443" s="798" t="s">
        <v>1947</v>
      </c>
      <c r="I443" s="799">
        <v>12100</v>
      </c>
      <c r="J443" s="798">
        <v>1</v>
      </c>
      <c r="K443" s="799">
        <f t="shared" si="36"/>
        <v>12100</v>
      </c>
      <c r="L443" s="799">
        <f t="shared" si="37"/>
        <v>12100</v>
      </c>
      <c r="M443" s="799">
        <f t="shared" si="38"/>
        <v>12100</v>
      </c>
      <c r="N443" s="798" t="s">
        <v>15753</v>
      </c>
      <c r="O443" s="800">
        <f t="shared" si="39"/>
        <v>12100</v>
      </c>
      <c r="P443" s="800">
        <f t="shared" si="40"/>
        <v>12100</v>
      </c>
      <c r="Q443" s="801">
        <f t="shared" si="41"/>
        <v>12100</v>
      </c>
    </row>
    <row r="444" spans="1:17" x14ac:dyDescent="0.2">
      <c r="A444" s="802" t="s">
        <v>17808</v>
      </c>
      <c r="B444" s="803" t="s">
        <v>13918</v>
      </c>
      <c r="C444" s="803" t="s">
        <v>17513</v>
      </c>
      <c r="D444" s="803" t="s">
        <v>24440</v>
      </c>
      <c r="E444" s="803" t="s">
        <v>15732</v>
      </c>
      <c r="F444" s="803">
        <v>2</v>
      </c>
      <c r="G444" s="803" t="s">
        <v>1947</v>
      </c>
      <c r="H444" s="803" t="s">
        <v>1947</v>
      </c>
      <c r="I444" s="804">
        <v>15100</v>
      </c>
      <c r="J444" s="803">
        <v>1</v>
      </c>
      <c r="K444" s="804">
        <f t="shared" si="36"/>
        <v>15100</v>
      </c>
      <c r="L444" s="804">
        <f t="shared" si="37"/>
        <v>15100</v>
      </c>
      <c r="M444" s="804">
        <f t="shared" si="38"/>
        <v>15100</v>
      </c>
      <c r="N444" s="803" t="s">
        <v>16141</v>
      </c>
      <c r="O444" s="805">
        <f t="shared" si="39"/>
        <v>15100</v>
      </c>
      <c r="P444" s="805">
        <f t="shared" si="40"/>
        <v>15100</v>
      </c>
      <c r="Q444" s="806">
        <f t="shared" si="41"/>
        <v>15100</v>
      </c>
    </row>
    <row r="445" spans="1:17" x14ac:dyDescent="0.2">
      <c r="A445" s="797" t="s">
        <v>17809</v>
      </c>
      <c r="B445" s="798" t="s">
        <v>13918</v>
      </c>
      <c r="C445" s="798" t="s">
        <v>17513</v>
      </c>
      <c r="D445" s="798" t="s">
        <v>24440</v>
      </c>
      <c r="E445" s="798" t="s">
        <v>15733</v>
      </c>
      <c r="F445" s="798">
        <v>3</v>
      </c>
      <c r="G445" s="798" t="s">
        <v>1947</v>
      </c>
      <c r="H445" s="798" t="s">
        <v>1947</v>
      </c>
      <c r="I445" s="799">
        <v>21000</v>
      </c>
      <c r="J445" s="798">
        <v>1</v>
      </c>
      <c r="K445" s="799">
        <f t="shared" si="36"/>
        <v>21000</v>
      </c>
      <c r="L445" s="799">
        <f t="shared" si="37"/>
        <v>21000</v>
      </c>
      <c r="M445" s="799">
        <f t="shared" si="38"/>
        <v>21000</v>
      </c>
      <c r="N445" s="798" t="s">
        <v>15754</v>
      </c>
      <c r="O445" s="800">
        <f t="shared" si="39"/>
        <v>21000</v>
      </c>
      <c r="P445" s="800">
        <f t="shared" si="40"/>
        <v>21000</v>
      </c>
      <c r="Q445" s="801">
        <f t="shared" si="41"/>
        <v>21000</v>
      </c>
    </row>
    <row r="446" spans="1:17" x14ac:dyDescent="0.2">
      <c r="A446" s="802" t="s">
        <v>16653</v>
      </c>
      <c r="B446" s="803" t="s">
        <v>13918</v>
      </c>
      <c r="C446" s="803" t="s">
        <v>17513</v>
      </c>
      <c r="D446" s="803" t="s">
        <v>24441</v>
      </c>
      <c r="E446" s="803" t="s">
        <v>15731</v>
      </c>
      <c r="F446" s="803">
        <v>1</v>
      </c>
      <c r="G446" s="803" t="s">
        <v>1947</v>
      </c>
      <c r="H446" s="803" t="s">
        <v>1947</v>
      </c>
      <c r="I446" s="804">
        <v>12200</v>
      </c>
      <c r="J446" s="803">
        <v>1</v>
      </c>
      <c r="K446" s="804">
        <f t="shared" si="36"/>
        <v>12200</v>
      </c>
      <c r="L446" s="804">
        <f t="shared" si="37"/>
        <v>12200</v>
      </c>
      <c r="M446" s="804">
        <f t="shared" si="38"/>
        <v>12200</v>
      </c>
      <c r="N446" s="803" t="s">
        <v>15753</v>
      </c>
      <c r="O446" s="805">
        <f t="shared" si="39"/>
        <v>12200</v>
      </c>
      <c r="P446" s="805">
        <f t="shared" si="40"/>
        <v>12200</v>
      </c>
      <c r="Q446" s="806">
        <f t="shared" si="41"/>
        <v>12200</v>
      </c>
    </row>
    <row r="447" spans="1:17" x14ac:dyDescent="0.2">
      <c r="A447" s="797" t="s">
        <v>17810</v>
      </c>
      <c r="B447" s="798" t="s">
        <v>13918</v>
      </c>
      <c r="C447" s="798" t="s">
        <v>17513</v>
      </c>
      <c r="D447" s="798" t="s">
        <v>24441</v>
      </c>
      <c r="E447" s="798" t="s">
        <v>15732</v>
      </c>
      <c r="F447" s="798">
        <v>2</v>
      </c>
      <c r="G447" s="798" t="s">
        <v>1947</v>
      </c>
      <c r="H447" s="798" t="s">
        <v>1947</v>
      </c>
      <c r="I447" s="799">
        <v>15200</v>
      </c>
      <c r="J447" s="798">
        <v>1</v>
      </c>
      <c r="K447" s="799">
        <f t="shared" si="36"/>
        <v>15200</v>
      </c>
      <c r="L447" s="799">
        <f t="shared" si="37"/>
        <v>15200</v>
      </c>
      <c r="M447" s="799">
        <f t="shared" si="38"/>
        <v>15200</v>
      </c>
      <c r="N447" s="798" t="s">
        <v>16141</v>
      </c>
      <c r="O447" s="800">
        <f t="shared" si="39"/>
        <v>15200</v>
      </c>
      <c r="P447" s="800">
        <f t="shared" si="40"/>
        <v>15200</v>
      </c>
      <c r="Q447" s="801">
        <f t="shared" si="41"/>
        <v>15200</v>
      </c>
    </row>
    <row r="448" spans="1:17" x14ac:dyDescent="0.2">
      <c r="A448" s="802" t="s">
        <v>17811</v>
      </c>
      <c r="B448" s="803" t="s">
        <v>13918</v>
      </c>
      <c r="C448" s="803" t="s">
        <v>17513</v>
      </c>
      <c r="D448" s="803" t="s">
        <v>24441</v>
      </c>
      <c r="E448" s="803" t="s">
        <v>15733</v>
      </c>
      <c r="F448" s="803">
        <v>3</v>
      </c>
      <c r="G448" s="803" t="s">
        <v>1947</v>
      </c>
      <c r="H448" s="803" t="s">
        <v>1947</v>
      </c>
      <c r="I448" s="804">
        <v>21000</v>
      </c>
      <c r="J448" s="803">
        <v>1</v>
      </c>
      <c r="K448" s="804">
        <f t="shared" si="36"/>
        <v>21000</v>
      </c>
      <c r="L448" s="804">
        <f t="shared" si="37"/>
        <v>21000</v>
      </c>
      <c r="M448" s="804">
        <f t="shared" si="38"/>
        <v>21000</v>
      </c>
      <c r="N448" s="803" t="s">
        <v>15754</v>
      </c>
      <c r="O448" s="805">
        <f t="shared" si="39"/>
        <v>21000</v>
      </c>
      <c r="P448" s="805">
        <f t="shared" si="40"/>
        <v>21000</v>
      </c>
      <c r="Q448" s="806">
        <f t="shared" si="41"/>
        <v>21000</v>
      </c>
    </row>
    <row r="449" spans="1:17" x14ac:dyDescent="0.2">
      <c r="A449" s="797" t="s">
        <v>16662</v>
      </c>
      <c r="B449" s="798" t="s">
        <v>13918</v>
      </c>
      <c r="C449" s="798" t="s">
        <v>17513</v>
      </c>
      <c r="D449" s="798" t="s">
        <v>24442</v>
      </c>
      <c r="E449" s="798" t="s">
        <v>15731</v>
      </c>
      <c r="F449" s="798">
        <v>1</v>
      </c>
      <c r="G449" s="798" t="s">
        <v>1947</v>
      </c>
      <c r="H449" s="798" t="s">
        <v>1947</v>
      </c>
      <c r="I449" s="799">
        <v>20500</v>
      </c>
      <c r="J449" s="798">
        <v>1</v>
      </c>
      <c r="K449" s="799">
        <f t="shared" si="36"/>
        <v>20500</v>
      </c>
      <c r="L449" s="799">
        <f t="shared" si="37"/>
        <v>20500</v>
      </c>
      <c r="M449" s="799">
        <f t="shared" si="38"/>
        <v>20500</v>
      </c>
      <c r="N449" s="798" t="s">
        <v>16665</v>
      </c>
      <c r="O449" s="800">
        <f t="shared" si="39"/>
        <v>20500</v>
      </c>
      <c r="P449" s="800">
        <f t="shared" si="40"/>
        <v>20500</v>
      </c>
      <c r="Q449" s="801">
        <f t="shared" si="41"/>
        <v>20500</v>
      </c>
    </row>
    <row r="450" spans="1:17" x14ac:dyDescent="0.2">
      <c r="A450" s="802" t="s">
        <v>17812</v>
      </c>
      <c r="B450" s="803" t="s">
        <v>13918</v>
      </c>
      <c r="C450" s="803" t="s">
        <v>17513</v>
      </c>
      <c r="D450" s="803" t="s">
        <v>24442</v>
      </c>
      <c r="E450" s="803" t="s">
        <v>15732</v>
      </c>
      <c r="F450" s="803">
        <v>2</v>
      </c>
      <c r="G450" s="803" t="s">
        <v>1947</v>
      </c>
      <c r="H450" s="803" t="s">
        <v>1947</v>
      </c>
      <c r="I450" s="804">
        <v>22500</v>
      </c>
      <c r="J450" s="803">
        <v>1</v>
      </c>
      <c r="K450" s="804">
        <f t="shared" ref="K450:K513" si="42">+I450</f>
        <v>22500</v>
      </c>
      <c r="L450" s="804">
        <f t="shared" ref="L450:L513" si="43">+I450</f>
        <v>22500</v>
      </c>
      <c r="M450" s="804">
        <f t="shared" ref="M450:M513" si="44">+I450</f>
        <v>22500</v>
      </c>
      <c r="N450" s="803" t="s">
        <v>16665</v>
      </c>
      <c r="O450" s="805">
        <f t="shared" ref="O450:O513" si="45">+J450*K450</f>
        <v>22500</v>
      </c>
      <c r="P450" s="805">
        <f t="shared" ref="P450:P513" si="46">+J450*L450</f>
        <v>22500</v>
      </c>
      <c r="Q450" s="806">
        <f t="shared" ref="Q450:Q513" si="47">+J450*M450</f>
        <v>22500</v>
      </c>
    </row>
    <row r="451" spans="1:17" x14ac:dyDescent="0.2">
      <c r="A451" s="797" t="s">
        <v>17813</v>
      </c>
      <c r="B451" s="798" t="s">
        <v>13918</v>
      </c>
      <c r="C451" s="798" t="s">
        <v>17513</v>
      </c>
      <c r="D451" s="798" t="s">
        <v>24442</v>
      </c>
      <c r="E451" s="798" t="s">
        <v>15733</v>
      </c>
      <c r="F451" s="798">
        <v>3</v>
      </c>
      <c r="G451" s="798" t="s">
        <v>1947</v>
      </c>
      <c r="H451" s="798" t="s">
        <v>1947</v>
      </c>
      <c r="I451" s="799">
        <v>26500</v>
      </c>
      <c r="J451" s="798">
        <v>1</v>
      </c>
      <c r="K451" s="799">
        <f t="shared" si="42"/>
        <v>26500</v>
      </c>
      <c r="L451" s="799">
        <f t="shared" si="43"/>
        <v>26500</v>
      </c>
      <c r="M451" s="799">
        <f t="shared" si="44"/>
        <v>26500</v>
      </c>
      <c r="N451" s="798" t="s">
        <v>16665</v>
      </c>
      <c r="O451" s="800">
        <f t="shared" si="45"/>
        <v>26500</v>
      </c>
      <c r="P451" s="800">
        <f t="shared" si="46"/>
        <v>26500</v>
      </c>
      <c r="Q451" s="801">
        <f t="shared" si="47"/>
        <v>26500</v>
      </c>
    </row>
    <row r="452" spans="1:17" x14ac:dyDescent="0.2">
      <c r="A452" s="802" t="s">
        <v>16669</v>
      </c>
      <c r="B452" s="803" t="s">
        <v>13918</v>
      </c>
      <c r="C452" s="803" t="s">
        <v>17513</v>
      </c>
      <c r="D452" s="803" t="s">
        <v>24443</v>
      </c>
      <c r="E452" s="803" t="s">
        <v>15731</v>
      </c>
      <c r="F452" s="803">
        <v>1</v>
      </c>
      <c r="G452" s="803" t="s">
        <v>1947</v>
      </c>
      <c r="H452" s="803" t="s">
        <v>1947</v>
      </c>
      <c r="I452" s="804">
        <v>21000</v>
      </c>
      <c r="J452" s="803">
        <v>1</v>
      </c>
      <c r="K452" s="804">
        <f t="shared" si="42"/>
        <v>21000</v>
      </c>
      <c r="L452" s="804">
        <f t="shared" si="43"/>
        <v>21000</v>
      </c>
      <c r="M452" s="804">
        <f t="shared" si="44"/>
        <v>21000</v>
      </c>
      <c r="N452" s="803" t="s">
        <v>16665</v>
      </c>
      <c r="O452" s="805">
        <f t="shared" si="45"/>
        <v>21000</v>
      </c>
      <c r="P452" s="805">
        <f t="shared" si="46"/>
        <v>21000</v>
      </c>
      <c r="Q452" s="806">
        <f t="shared" si="47"/>
        <v>21000</v>
      </c>
    </row>
    <row r="453" spans="1:17" x14ac:dyDescent="0.2">
      <c r="A453" s="797" t="s">
        <v>17814</v>
      </c>
      <c r="B453" s="798" t="s">
        <v>13918</v>
      </c>
      <c r="C453" s="798" t="s">
        <v>17513</v>
      </c>
      <c r="D453" s="798" t="s">
        <v>24443</v>
      </c>
      <c r="E453" s="798" t="s">
        <v>15732</v>
      </c>
      <c r="F453" s="798">
        <v>2</v>
      </c>
      <c r="G453" s="798" t="s">
        <v>1947</v>
      </c>
      <c r="H453" s="798" t="s">
        <v>1947</v>
      </c>
      <c r="I453" s="799">
        <v>23000</v>
      </c>
      <c r="J453" s="798">
        <v>1</v>
      </c>
      <c r="K453" s="799">
        <f t="shared" si="42"/>
        <v>23000</v>
      </c>
      <c r="L453" s="799">
        <f t="shared" si="43"/>
        <v>23000</v>
      </c>
      <c r="M453" s="799">
        <f t="shared" si="44"/>
        <v>23000</v>
      </c>
      <c r="N453" s="798" t="s">
        <v>16665</v>
      </c>
      <c r="O453" s="800">
        <f t="shared" si="45"/>
        <v>23000</v>
      </c>
      <c r="P453" s="800">
        <f t="shared" si="46"/>
        <v>23000</v>
      </c>
      <c r="Q453" s="801">
        <f t="shared" si="47"/>
        <v>23000</v>
      </c>
    </row>
    <row r="454" spans="1:17" x14ac:dyDescent="0.2">
      <c r="A454" s="802" t="s">
        <v>17815</v>
      </c>
      <c r="B454" s="803" t="s">
        <v>13918</v>
      </c>
      <c r="C454" s="803" t="s">
        <v>17513</v>
      </c>
      <c r="D454" s="803" t="s">
        <v>24443</v>
      </c>
      <c r="E454" s="803" t="s">
        <v>15733</v>
      </c>
      <c r="F454" s="803">
        <v>3</v>
      </c>
      <c r="G454" s="803" t="s">
        <v>1947</v>
      </c>
      <c r="H454" s="803" t="s">
        <v>1947</v>
      </c>
      <c r="I454" s="804">
        <v>27000</v>
      </c>
      <c r="J454" s="803">
        <v>1</v>
      </c>
      <c r="K454" s="804">
        <f t="shared" si="42"/>
        <v>27000</v>
      </c>
      <c r="L454" s="804">
        <f t="shared" si="43"/>
        <v>27000</v>
      </c>
      <c r="M454" s="804">
        <f t="shared" si="44"/>
        <v>27000</v>
      </c>
      <c r="N454" s="803" t="s">
        <v>16665</v>
      </c>
      <c r="O454" s="805">
        <f t="shared" si="45"/>
        <v>27000</v>
      </c>
      <c r="P454" s="805">
        <f t="shared" si="46"/>
        <v>27000</v>
      </c>
      <c r="Q454" s="806">
        <f t="shared" si="47"/>
        <v>27000</v>
      </c>
    </row>
    <row r="455" spans="1:17" x14ac:dyDescent="0.2">
      <c r="A455" s="797" t="s">
        <v>16690</v>
      </c>
      <c r="B455" s="798" t="s">
        <v>13918</v>
      </c>
      <c r="C455" s="798" t="s">
        <v>17513</v>
      </c>
      <c r="D455" s="798" t="s">
        <v>24444</v>
      </c>
      <c r="E455" s="798" t="s">
        <v>15731</v>
      </c>
      <c r="F455" s="798">
        <v>1</v>
      </c>
      <c r="G455" s="798" t="s">
        <v>2837</v>
      </c>
      <c r="H455" s="798" t="s">
        <v>2837</v>
      </c>
      <c r="I455" s="799">
        <v>13000</v>
      </c>
      <c r="J455" s="798">
        <v>1</v>
      </c>
      <c r="K455" s="799">
        <f t="shared" si="42"/>
        <v>13000</v>
      </c>
      <c r="L455" s="799">
        <f t="shared" si="43"/>
        <v>13000</v>
      </c>
      <c r="M455" s="799">
        <f t="shared" si="44"/>
        <v>13000</v>
      </c>
      <c r="N455" s="798" t="s">
        <v>15753</v>
      </c>
      <c r="O455" s="800">
        <f t="shared" si="45"/>
        <v>13000</v>
      </c>
      <c r="P455" s="800">
        <f t="shared" si="46"/>
        <v>13000</v>
      </c>
      <c r="Q455" s="801">
        <f t="shared" si="47"/>
        <v>13000</v>
      </c>
    </row>
    <row r="456" spans="1:17" x14ac:dyDescent="0.2">
      <c r="A456" s="802" t="s">
        <v>17816</v>
      </c>
      <c r="B456" s="803" t="s">
        <v>13918</v>
      </c>
      <c r="C456" s="803" t="s">
        <v>17513</v>
      </c>
      <c r="D456" s="803" t="s">
        <v>24444</v>
      </c>
      <c r="E456" s="803" t="s">
        <v>15732</v>
      </c>
      <c r="F456" s="803">
        <v>2</v>
      </c>
      <c r="G456" s="803" t="s">
        <v>2837</v>
      </c>
      <c r="H456" s="803" t="s">
        <v>2837</v>
      </c>
      <c r="I456" s="804">
        <v>16000</v>
      </c>
      <c r="J456" s="803">
        <v>1</v>
      </c>
      <c r="K456" s="804">
        <f t="shared" si="42"/>
        <v>16000</v>
      </c>
      <c r="L456" s="804">
        <f t="shared" si="43"/>
        <v>16000</v>
      </c>
      <c r="M456" s="804">
        <f t="shared" si="44"/>
        <v>16000</v>
      </c>
      <c r="N456" s="803" t="s">
        <v>16141</v>
      </c>
      <c r="O456" s="805">
        <f t="shared" si="45"/>
        <v>16000</v>
      </c>
      <c r="P456" s="805">
        <f t="shared" si="46"/>
        <v>16000</v>
      </c>
      <c r="Q456" s="806">
        <f t="shared" si="47"/>
        <v>16000</v>
      </c>
    </row>
    <row r="457" spans="1:17" x14ac:dyDescent="0.2">
      <c r="A457" s="797" t="s">
        <v>17817</v>
      </c>
      <c r="B457" s="798" t="s">
        <v>13918</v>
      </c>
      <c r="C457" s="798" t="s">
        <v>17513</v>
      </c>
      <c r="D457" s="798" t="s">
        <v>24444</v>
      </c>
      <c r="E457" s="798" t="s">
        <v>15733</v>
      </c>
      <c r="F457" s="798">
        <v>3</v>
      </c>
      <c r="G457" s="798" t="s">
        <v>2837</v>
      </c>
      <c r="H457" s="798" t="s">
        <v>2837</v>
      </c>
      <c r="I457" s="799">
        <v>21000</v>
      </c>
      <c r="J457" s="798">
        <v>1</v>
      </c>
      <c r="K457" s="799">
        <f t="shared" si="42"/>
        <v>21000</v>
      </c>
      <c r="L457" s="799">
        <f t="shared" si="43"/>
        <v>21000</v>
      </c>
      <c r="M457" s="799">
        <f t="shared" si="44"/>
        <v>21000</v>
      </c>
      <c r="N457" s="798" t="s">
        <v>15754</v>
      </c>
      <c r="O457" s="800">
        <f t="shared" si="45"/>
        <v>21000</v>
      </c>
      <c r="P457" s="800">
        <f t="shared" si="46"/>
        <v>21000</v>
      </c>
      <c r="Q457" s="801">
        <f t="shared" si="47"/>
        <v>21000</v>
      </c>
    </row>
    <row r="458" spans="1:17" x14ac:dyDescent="0.2">
      <c r="A458" s="802" t="s">
        <v>16697</v>
      </c>
      <c r="B458" s="803" t="s">
        <v>13918</v>
      </c>
      <c r="C458" s="803" t="s">
        <v>17513</v>
      </c>
      <c r="D458" s="803" t="s">
        <v>24445</v>
      </c>
      <c r="E458" s="803" t="s">
        <v>15731</v>
      </c>
      <c r="F458" s="803">
        <v>1</v>
      </c>
      <c r="G458" s="803" t="s">
        <v>1103</v>
      </c>
      <c r="H458" s="803" t="s">
        <v>1103</v>
      </c>
      <c r="I458" s="804">
        <v>20500</v>
      </c>
      <c r="J458" s="803">
        <v>1</v>
      </c>
      <c r="K458" s="804">
        <f t="shared" si="42"/>
        <v>20500</v>
      </c>
      <c r="L458" s="804">
        <f t="shared" si="43"/>
        <v>20500</v>
      </c>
      <c r="M458" s="804">
        <f t="shared" si="44"/>
        <v>20500</v>
      </c>
      <c r="N458" s="803" t="s">
        <v>16665</v>
      </c>
      <c r="O458" s="805">
        <f t="shared" si="45"/>
        <v>20500</v>
      </c>
      <c r="P458" s="805">
        <f t="shared" si="46"/>
        <v>20500</v>
      </c>
      <c r="Q458" s="806">
        <f t="shared" si="47"/>
        <v>20500</v>
      </c>
    </row>
    <row r="459" spans="1:17" x14ac:dyDescent="0.2">
      <c r="A459" s="797" t="s">
        <v>17818</v>
      </c>
      <c r="B459" s="798" t="s">
        <v>13918</v>
      </c>
      <c r="C459" s="798" t="s">
        <v>17513</v>
      </c>
      <c r="D459" s="798" t="s">
        <v>24445</v>
      </c>
      <c r="E459" s="798" t="s">
        <v>15732</v>
      </c>
      <c r="F459" s="798">
        <v>2</v>
      </c>
      <c r="G459" s="798" t="s">
        <v>1103</v>
      </c>
      <c r="H459" s="798" t="s">
        <v>1103</v>
      </c>
      <c r="I459" s="799">
        <v>22500</v>
      </c>
      <c r="J459" s="798">
        <v>1</v>
      </c>
      <c r="K459" s="799">
        <f t="shared" si="42"/>
        <v>22500</v>
      </c>
      <c r="L459" s="799">
        <f t="shared" si="43"/>
        <v>22500</v>
      </c>
      <c r="M459" s="799">
        <f t="shared" si="44"/>
        <v>22500</v>
      </c>
      <c r="N459" s="798" t="s">
        <v>16665</v>
      </c>
      <c r="O459" s="800">
        <f t="shared" si="45"/>
        <v>22500</v>
      </c>
      <c r="P459" s="800">
        <f t="shared" si="46"/>
        <v>22500</v>
      </c>
      <c r="Q459" s="801">
        <f t="shared" si="47"/>
        <v>22500</v>
      </c>
    </row>
    <row r="460" spans="1:17" x14ac:dyDescent="0.2">
      <c r="A460" s="802" t="s">
        <v>17819</v>
      </c>
      <c r="B460" s="803" t="s">
        <v>13918</v>
      </c>
      <c r="C460" s="803" t="s">
        <v>17513</v>
      </c>
      <c r="D460" s="803" t="s">
        <v>24445</v>
      </c>
      <c r="E460" s="803" t="s">
        <v>15733</v>
      </c>
      <c r="F460" s="803">
        <v>3</v>
      </c>
      <c r="G460" s="803" t="s">
        <v>1103</v>
      </c>
      <c r="H460" s="803" t="s">
        <v>1103</v>
      </c>
      <c r="I460" s="804">
        <v>26500</v>
      </c>
      <c r="J460" s="803">
        <v>1</v>
      </c>
      <c r="K460" s="804">
        <f t="shared" si="42"/>
        <v>26500</v>
      </c>
      <c r="L460" s="804">
        <f t="shared" si="43"/>
        <v>26500</v>
      </c>
      <c r="M460" s="804">
        <f t="shared" si="44"/>
        <v>26500</v>
      </c>
      <c r="N460" s="803" t="s">
        <v>16665</v>
      </c>
      <c r="O460" s="805">
        <f t="shared" si="45"/>
        <v>26500</v>
      </c>
      <c r="P460" s="805">
        <f t="shared" si="46"/>
        <v>26500</v>
      </c>
      <c r="Q460" s="806">
        <f t="shared" si="47"/>
        <v>26500</v>
      </c>
    </row>
    <row r="461" spans="1:17" x14ac:dyDescent="0.2">
      <c r="A461" s="797" t="s">
        <v>16703</v>
      </c>
      <c r="B461" s="798" t="s">
        <v>13918</v>
      </c>
      <c r="C461" s="798" t="s">
        <v>17513</v>
      </c>
      <c r="D461" s="798" t="s">
        <v>24446</v>
      </c>
      <c r="E461" s="798" t="s">
        <v>15731</v>
      </c>
      <c r="F461" s="798">
        <v>1</v>
      </c>
      <c r="G461" s="798" t="s">
        <v>2837</v>
      </c>
      <c r="H461" s="798" t="s">
        <v>2837</v>
      </c>
      <c r="I461" s="799">
        <v>13050</v>
      </c>
      <c r="J461" s="798">
        <v>1</v>
      </c>
      <c r="K461" s="799">
        <f t="shared" si="42"/>
        <v>13050</v>
      </c>
      <c r="L461" s="799">
        <f t="shared" si="43"/>
        <v>13050</v>
      </c>
      <c r="M461" s="799">
        <f t="shared" si="44"/>
        <v>13050</v>
      </c>
      <c r="N461" s="798" t="s">
        <v>15753</v>
      </c>
      <c r="O461" s="800">
        <f t="shared" si="45"/>
        <v>13050</v>
      </c>
      <c r="P461" s="800">
        <f t="shared" si="46"/>
        <v>13050</v>
      </c>
      <c r="Q461" s="801">
        <f t="shared" si="47"/>
        <v>13050</v>
      </c>
    </row>
    <row r="462" spans="1:17" x14ac:dyDescent="0.2">
      <c r="A462" s="802" t="s">
        <v>17820</v>
      </c>
      <c r="B462" s="803" t="s">
        <v>13918</v>
      </c>
      <c r="C462" s="803" t="s">
        <v>17513</v>
      </c>
      <c r="D462" s="803" t="s">
        <v>24446</v>
      </c>
      <c r="E462" s="803" t="s">
        <v>15732</v>
      </c>
      <c r="F462" s="803">
        <v>2</v>
      </c>
      <c r="G462" s="803" t="s">
        <v>2837</v>
      </c>
      <c r="H462" s="803" t="s">
        <v>2837</v>
      </c>
      <c r="I462" s="804">
        <v>16050</v>
      </c>
      <c r="J462" s="803">
        <v>1</v>
      </c>
      <c r="K462" s="804">
        <f t="shared" si="42"/>
        <v>16050</v>
      </c>
      <c r="L462" s="804">
        <f t="shared" si="43"/>
        <v>16050</v>
      </c>
      <c r="M462" s="804">
        <f t="shared" si="44"/>
        <v>16050</v>
      </c>
      <c r="N462" s="803" t="s">
        <v>16141</v>
      </c>
      <c r="O462" s="805">
        <f t="shared" si="45"/>
        <v>16050</v>
      </c>
      <c r="P462" s="805">
        <f t="shared" si="46"/>
        <v>16050</v>
      </c>
      <c r="Q462" s="806">
        <f t="shared" si="47"/>
        <v>16050</v>
      </c>
    </row>
    <row r="463" spans="1:17" x14ac:dyDescent="0.2">
      <c r="A463" s="797" t="s">
        <v>17821</v>
      </c>
      <c r="B463" s="798" t="s">
        <v>13918</v>
      </c>
      <c r="C463" s="798" t="s">
        <v>17513</v>
      </c>
      <c r="D463" s="798" t="s">
        <v>24446</v>
      </c>
      <c r="E463" s="798" t="s">
        <v>15733</v>
      </c>
      <c r="F463" s="798">
        <v>3</v>
      </c>
      <c r="G463" s="798" t="s">
        <v>2837</v>
      </c>
      <c r="H463" s="798" t="s">
        <v>2837</v>
      </c>
      <c r="I463" s="799">
        <v>21000</v>
      </c>
      <c r="J463" s="798">
        <v>1</v>
      </c>
      <c r="K463" s="799">
        <f t="shared" si="42"/>
        <v>21000</v>
      </c>
      <c r="L463" s="799">
        <f t="shared" si="43"/>
        <v>21000</v>
      </c>
      <c r="M463" s="799">
        <f t="shared" si="44"/>
        <v>21000</v>
      </c>
      <c r="N463" s="798" t="s">
        <v>15754</v>
      </c>
      <c r="O463" s="800">
        <f t="shared" si="45"/>
        <v>21000</v>
      </c>
      <c r="P463" s="800">
        <f t="shared" si="46"/>
        <v>21000</v>
      </c>
      <c r="Q463" s="801">
        <f t="shared" si="47"/>
        <v>21000</v>
      </c>
    </row>
    <row r="464" spans="1:17" x14ac:dyDescent="0.2">
      <c r="A464" s="802" t="s">
        <v>16711</v>
      </c>
      <c r="B464" s="803" t="s">
        <v>13918</v>
      </c>
      <c r="C464" s="803" t="s">
        <v>17513</v>
      </c>
      <c r="D464" s="803" t="s">
        <v>24447</v>
      </c>
      <c r="E464" s="803" t="s">
        <v>15731</v>
      </c>
      <c r="F464" s="803">
        <v>1</v>
      </c>
      <c r="G464" s="803" t="s">
        <v>2837</v>
      </c>
      <c r="H464" s="803" t="s">
        <v>2837</v>
      </c>
      <c r="I464" s="804">
        <v>14000</v>
      </c>
      <c r="J464" s="803">
        <v>1</v>
      </c>
      <c r="K464" s="804">
        <f t="shared" si="42"/>
        <v>14000</v>
      </c>
      <c r="L464" s="804">
        <f t="shared" si="43"/>
        <v>14000</v>
      </c>
      <c r="M464" s="804">
        <f t="shared" si="44"/>
        <v>14000</v>
      </c>
      <c r="N464" s="803" t="s">
        <v>15753</v>
      </c>
      <c r="O464" s="805">
        <f t="shared" si="45"/>
        <v>14000</v>
      </c>
      <c r="P464" s="805">
        <f t="shared" si="46"/>
        <v>14000</v>
      </c>
      <c r="Q464" s="806">
        <f t="shared" si="47"/>
        <v>14000</v>
      </c>
    </row>
    <row r="465" spans="1:17" x14ac:dyDescent="0.2">
      <c r="A465" s="797" t="s">
        <v>17822</v>
      </c>
      <c r="B465" s="798" t="s">
        <v>13918</v>
      </c>
      <c r="C465" s="798" t="s">
        <v>17513</v>
      </c>
      <c r="D465" s="798" t="s">
        <v>24447</v>
      </c>
      <c r="E465" s="798" t="s">
        <v>15732</v>
      </c>
      <c r="F465" s="798">
        <v>2</v>
      </c>
      <c r="G465" s="798" t="s">
        <v>2837</v>
      </c>
      <c r="H465" s="798" t="s">
        <v>2837</v>
      </c>
      <c r="I465" s="799">
        <v>17000</v>
      </c>
      <c r="J465" s="798">
        <v>1</v>
      </c>
      <c r="K465" s="799">
        <f t="shared" si="42"/>
        <v>17000</v>
      </c>
      <c r="L465" s="799">
        <f t="shared" si="43"/>
        <v>17000</v>
      </c>
      <c r="M465" s="799">
        <f t="shared" si="44"/>
        <v>17000</v>
      </c>
      <c r="N465" s="798" t="s">
        <v>16141</v>
      </c>
      <c r="O465" s="800">
        <f t="shared" si="45"/>
        <v>17000</v>
      </c>
      <c r="P465" s="800">
        <f t="shared" si="46"/>
        <v>17000</v>
      </c>
      <c r="Q465" s="801">
        <f t="shared" si="47"/>
        <v>17000</v>
      </c>
    </row>
    <row r="466" spans="1:17" x14ac:dyDescent="0.2">
      <c r="A466" s="802" t="s">
        <v>17823</v>
      </c>
      <c r="B466" s="803" t="s">
        <v>13918</v>
      </c>
      <c r="C466" s="803" t="s">
        <v>17513</v>
      </c>
      <c r="D466" s="803" t="s">
        <v>24447</v>
      </c>
      <c r="E466" s="803" t="s">
        <v>15733</v>
      </c>
      <c r="F466" s="803">
        <v>3</v>
      </c>
      <c r="G466" s="803" t="s">
        <v>2837</v>
      </c>
      <c r="H466" s="803" t="s">
        <v>2837</v>
      </c>
      <c r="I466" s="804">
        <v>22000</v>
      </c>
      <c r="J466" s="803">
        <v>1</v>
      </c>
      <c r="K466" s="804">
        <f t="shared" si="42"/>
        <v>22000</v>
      </c>
      <c r="L466" s="804">
        <f t="shared" si="43"/>
        <v>22000</v>
      </c>
      <c r="M466" s="804">
        <f t="shared" si="44"/>
        <v>22000</v>
      </c>
      <c r="N466" s="803" t="s">
        <v>15754</v>
      </c>
      <c r="O466" s="805">
        <f t="shared" si="45"/>
        <v>22000</v>
      </c>
      <c r="P466" s="805">
        <f t="shared" si="46"/>
        <v>22000</v>
      </c>
      <c r="Q466" s="806">
        <f t="shared" si="47"/>
        <v>22000</v>
      </c>
    </row>
    <row r="467" spans="1:17" x14ac:dyDescent="0.2">
      <c r="A467" s="797" t="s">
        <v>16714</v>
      </c>
      <c r="B467" s="798" t="s">
        <v>13918</v>
      </c>
      <c r="C467" s="798" t="s">
        <v>17513</v>
      </c>
      <c r="D467" s="798" t="s">
        <v>24448</v>
      </c>
      <c r="E467" s="798" t="s">
        <v>15731</v>
      </c>
      <c r="F467" s="798">
        <v>1</v>
      </c>
      <c r="G467" s="798" t="s">
        <v>10772</v>
      </c>
      <c r="H467" s="798" t="s">
        <v>17824</v>
      </c>
      <c r="I467" s="799">
        <v>22000</v>
      </c>
      <c r="J467" s="798">
        <v>1</v>
      </c>
      <c r="K467" s="799">
        <f t="shared" si="42"/>
        <v>22000</v>
      </c>
      <c r="L467" s="799">
        <f t="shared" si="43"/>
        <v>22000</v>
      </c>
      <c r="M467" s="799">
        <f t="shared" si="44"/>
        <v>22000</v>
      </c>
      <c r="N467" s="798" t="s">
        <v>15753</v>
      </c>
      <c r="O467" s="800">
        <f t="shared" si="45"/>
        <v>22000</v>
      </c>
      <c r="P467" s="800">
        <f t="shared" si="46"/>
        <v>22000</v>
      </c>
      <c r="Q467" s="801">
        <f t="shared" si="47"/>
        <v>22000</v>
      </c>
    </row>
    <row r="468" spans="1:17" x14ac:dyDescent="0.2">
      <c r="A468" s="802" t="s">
        <v>17825</v>
      </c>
      <c r="B468" s="803" t="s">
        <v>13918</v>
      </c>
      <c r="C468" s="803" t="s">
        <v>17513</v>
      </c>
      <c r="D468" s="803" t="s">
        <v>24448</v>
      </c>
      <c r="E468" s="803" t="s">
        <v>15732</v>
      </c>
      <c r="F468" s="803">
        <v>2</v>
      </c>
      <c r="G468" s="803" t="s">
        <v>10772</v>
      </c>
      <c r="H468" s="803" t="s">
        <v>17824</v>
      </c>
      <c r="I468" s="804">
        <v>25700</v>
      </c>
      <c r="J468" s="803">
        <v>1</v>
      </c>
      <c r="K468" s="804">
        <f t="shared" si="42"/>
        <v>25700</v>
      </c>
      <c r="L468" s="804">
        <f t="shared" si="43"/>
        <v>25700</v>
      </c>
      <c r="M468" s="804">
        <f t="shared" si="44"/>
        <v>25700</v>
      </c>
      <c r="N468" s="803" t="s">
        <v>16141</v>
      </c>
      <c r="O468" s="805">
        <f t="shared" si="45"/>
        <v>25700</v>
      </c>
      <c r="P468" s="805">
        <f t="shared" si="46"/>
        <v>25700</v>
      </c>
      <c r="Q468" s="806">
        <f t="shared" si="47"/>
        <v>25700</v>
      </c>
    </row>
    <row r="469" spans="1:17" x14ac:dyDescent="0.2">
      <c r="A469" s="797" t="s">
        <v>17826</v>
      </c>
      <c r="B469" s="798" t="s">
        <v>13918</v>
      </c>
      <c r="C469" s="798" t="s">
        <v>17513</v>
      </c>
      <c r="D469" s="798" t="s">
        <v>24448</v>
      </c>
      <c r="E469" s="798" t="s">
        <v>15733</v>
      </c>
      <c r="F469" s="798">
        <v>3</v>
      </c>
      <c r="G469" s="798" t="s">
        <v>10772</v>
      </c>
      <c r="H469" s="798" t="s">
        <v>17824</v>
      </c>
      <c r="I469" s="799">
        <v>29000</v>
      </c>
      <c r="J469" s="798">
        <v>1</v>
      </c>
      <c r="K469" s="799">
        <f t="shared" si="42"/>
        <v>29000</v>
      </c>
      <c r="L469" s="799">
        <f t="shared" si="43"/>
        <v>29000</v>
      </c>
      <c r="M469" s="799">
        <f t="shared" si="44"/>
        <v>29000</v>
      </c>
      <c r="N469" s="798" t="s">
        <v>15754</v>
      </c>
      <c r="O469" s="800">
        <f t="shared" si="45"/>
        <v>29000</v>
      </c>
      <c r="P469" s="800">
        <f t="shared" si="46"/>
        <v>29000</v>
      </c>
      <c r="Q469" s="801">
        <f t="shared" si="47"/>
        <v>29000</v>
      </c>
    </row>
    <row r="470" spans="1:17" x14ac:dyDescent="0.2">
      <c r="A470" s="802" t="s">
        <v>16717</v>
      </c>
      <c r="B470" s="803" t="s">
        <v>13918</v>
      </c>
      <c r="C470" s="803" t="s">
        <v>17513</v>
      </c>
      <c r="D470" s="803" t="s">
        <v>24449</v>
      </c>
      <c r="E470" s="803" t="s">
        <v>15731</v>
      </c>
      <c r="F470" s="803">
        <v>1</v>
      </c>
      <c r="G470" s="803" t="s">
        <v>2837</v>
      </c>
      <c r="H470" s="803" t="s">
        <v>2837</v>
      </c>
      <c r="I470" s="804">
        <v>13100</v>
      </c>
      <c r="J470" s="803">
        <v>1</v>
      </c>
      <c r="K470" s="804">
        <f t="shared" si="42"/>
        <v>13100</v>
      </c>
      <c r="L470" s="804">
        <f t="shared" si="43"/>
        <v>13100</v>
      </c>
      <c r="M470" s="804">
        <f t="shared" si="44"/>
        <v>13100</v>
      </c>
      <c r="N470" s="803" t="s">
        <v>15753</v>
      </c>
      <c r="O470" s="805">
        <f t="shared" si="45"/>
        <v>13100</v>
      </c>
      <c r="P470" s="805">
        <f t="shared" si="46"/>
        <v>13100</v>
      </c>
      <c r="Q470" s="806">
        <f t="shared" si="47"/>
        <v>13100</v>
      </c>
    </row>
    <row r="471" spans="1:17" x14ac:dyDescent="0.2">
      <c r="A471" s="797" t="s">
        <v>17827</v>
      </c>
      <c r="B471" s="798" t="s">
        <v>13918</v>
      </c>
      <c r="C471" s="798" t="s">
        <v>17513</v>
      </c>
      <c r="D471" s="798" t="s">
        <v>24449</v>
      </c>
      <c r="E471" s="798" t="s">
        <v>15732</v>
      </c>
      <c r="F471" s="798">
        <v>2</v>
      </c>
      <c r="G471" s="798" t="s">
        <v>2837</v>
      </c>
      <c r="H471" s="798" t="s">
        <v>2837</v>
      </c>
      <c r="I471" s="799">
        <v>16100</v>
      </c>
      <c r="J471" s="798">
        <v>1</v>
      </c>
      <c r="K471" s="799">
        <f t="shared" si="42"/>
        <v>16100</v>
      </c>
      <c r="L471" s="799">
        <f t="shared" si="43"/>
        <v>16100</v>
      </c>
      <c r="M471" s="799">
        <f t="shared" si="44"/>
        <v>16100</v>
      </c>
      <c r="N471" s="798" t="s">
        <v>16141</v>
      </c>
      <c r="O471" s="800">
        <f t="shared" si="45"/>
        <v>16100</v>
      </c>
      <c r="P471" s="800">
        <f t="shared" si="46"/>
        <v>16100</v>
      </c>
      <c r="Q471" s="801">
        <f t="shared" si="47"/>
        <v>16100</v>
      </c>
    </row>
    <row r="472" spans="1:17" x14ac:dyDescent="0.2">
      <c r="A472" s="802" t="s">
        <v>17828</v>
      </c>
      <c r="B472" s="803" t="s">
        <v>13918</v>
      </c>
      <c r="C472" s="803" t="s">
        <v>17513</v>
      </c>
      <c r="D472" s="803" t="s">
        <v>24449</v>
      </c>
      <c r="E472" s="803" t="s">
        <v>15733</v>
      </c>
      <c r="F472" s="803">
        <v>3</v>
      </c>
      <c r="G472" s="803" t="s">
        <v>2837</v>
      </c>
      <c r="H472" s="803" t="s">
        <v>2837</v>
      </c>
      <c r="I472" s="804">
        <v>21000</v>
      </c>
      <c r="J472" s="803">
        <v>1</v>
      </c>
      <c r="K472" s="804">
        <f t="shared" si="42"/>
        <v>21000</v>
      </c>
      <c r="L472" s="804">
        <f t="shared" si="43"/>
        <v>21000</v>
      </c>
      <c r="M472" s="804">
        <f t="shared" si="44"/>
        <v>21000</v>
      </c>
      <c r="N472" s="803" t="s">
        <v>15754</v>
      </c>
      <c r="O472" s="805">
        <f t="shared" si="45"/>
        <v>21000</v>
      </c>
      <c r="P472" s="805">
        <f t="shared" si="46"/>
        <v>21000</v>
      </c>
      <c r="Q472" s="806">
        <f t="shared" si="47"/>
        <v>21000</v>
      </c>
    </row>
    <row r="473" spans="1:17" x14ac:dyDescent="0.2">
      <c r="A473" s="797" t="s">
        <v>16724</v>
      </c>
      <c r="B473" s="798" t="s">
        <v>13918</v>
      </c>
      <c r="C473" s="798" t="s">
        <v>17513</v>
      </c>
      <c r="D473" s="798" t="s">
        <v>24450</v>
      </c>
      <c r="E473" s="798" t="s">
        <v>15731</v>
      </c>
      <c r="F473" s="798">
        <v>1</v>
      </c>
      <c r="G473" s="798" t="s">
        <v>2837</v>
      </c>
      <c r="H473" s="798" t="s">
        <v>2837</v>
      </c>
      <c r="I473" s="799">
        <v>21000</v>
      </c>
      <c r="J473" s="798">
        <v>1</v>
      </c>
      <c r="K473" s="799">
        <f t="shared" si="42"/>
        <v>21000</v>
      </c>
      <c r="L473" s="799">
        <f t="shared" si="43"/>
        <v>21000</v>
      </c>
      <c r="M473" s="799">
        <f t="shared" si="44"/>
        <v>21000</v>
      </c>
      <c r="N473" s="798" t="s">
        <v>15753</v>
      </c>
      <c r="O473" s="800">
        <f t="shared" si="45"/>
        <v>21000</v>
      </c>
      <c r="P473" s="800">
        <f t="shared" si="46"/>
        <v>21000</v>
      </c>
      <c r="Q473" s="801">
        <f t="shared" si="47"/>
        <v>21000</v>
      </c>
    </row>
    <row r="474" spans="1:17" x14ac:dyDescent="0.2">
      <c r="A474" s="802" t="s">
        <v>17829</v>
      </c>
      <c r="B474" s="803" t="s">
        <v>13918</v>
      </c>
      <c r="C474" s="803" t="s">
        <v>17513</v>
      </c>
      <c r="D474" s="803" t="s">
        <v>24450</v>
      </c>
      <c r="E474" s="803" t="s">
        <v>15732</v>
      </c>
      <c r="F474" s="803">
        <v>2</v>
      </c>
      <c r="G474" s="803" t="s">
        <v>2837</v>
      </c>
      <c r="H474" s="803" t="s">
        <v>2837</v>
      </c>
      <c r="I474" s="804">
        <v>24240</v>
      </c>
      <c r="J474" s="803">
        <v>1</v>
      </c>
      <c r="K474" s="804">
        <f t="shared" si="42"/>
        <v>24240</v>
      </c>
      <c r="L474" s="804">
        <f t="shared" si="43"/>
        <v>24240</v>
      </c>
      <c r="M474" s="804">
        <f t="shared" si="44"/>
        <v>24240</v>
      </c>
      <c r="N474" s="803" t="s">
        <v>16141</v>
      </c>
      <c r="O474" s="805">
        <f t="shared" si="45"/>
        <v>24240</v>
      </c>
      <c r="P474" s="805">
        <f t="shared" si="46"/>
        <v>24240</v>
      </c>
      <c r="Q474" s="806">
        <f t="shared" si="47"/>
        <v>24240</v>
      </c>
    </row>
    <row r="475" spans="1:17" x14ac:dyDescent="0.2">
      <c r="A475" s="797" t="s">
        <v>17830</v>
      </c>
      <c r="B475" s="798" t="s">
        <v>13918</v>
      </c>
      <c r="C475" s="798" t="s">
        <v>17513</v>
      </c>
      <c r="D475" s="798" t="s">
        <v>24450</v>
      </c>
      <c r="E475" s="798" t="s">
        <v>15733</v>
      </c>
      <c r="F475" s="798">
        <v>3</v>
      </c>
      <c r="G475" s="798" t="s">
        <v>2837</v>
      </c>
      <c r="H475" s="798" t="s">
        <v>2837</v>
      </c>
      <c r="I475" s="799">
        <v>27730</v>
      </c>
      <c r="J475" s="798">
        <v>1</v>
      </c>
      <c r="K475" s="799">
        <f t="shared" si="42"/>
        <v>27730</v>
      </c>
      <c r="L475" s="799">
        <f t="shared" si="43"/>
        <v>27730</v>
      </c>
      <c r="M475" s="799">
        <f t="shared" si="44"/>
        <v>27730</v>
      </c>
      <c r="N475" s="798" t="s">
        <v>15754</v>
      </c>
      <c r="O475" s="800">
        <f t="shared" si="45"/>
        <v>27730</v>
      </c>
      <c r="P475" s="800">
        <f t="shared" si="46"/>
        <v>27730</v>
      </c>
      <c r="Q475" s="801">
        <f t="shared" si="47"/>
        <v>27730</v>
      </c>
    </row>
    <row r="476" spans="1:17" x14ac:dyDescent="0.2">
      <c r="A476" s="802" t="s">
        <v>16730</v>
      </c>
      <c r="B476" s="803" t="s">
        <v>13918</v>
      </c>
      <c r="C476" s="803" t="s">
        <v>17513</v>
      </c>
      <c r="D476" s="803" t="s">
        <v>24451</v>
      </c>
      <c r="E476" s="803" t="s">
        <v>15731</v>
      </c>
      <c r="F476" s="803">
        <v>1</v>
      </c>
      <c r="G476" s="803" t="s">
        <v>2837</v>
      </c>
      <c r="H476" s="803" t="s">
        <v>2837</v>
      </c>
      <c r="I476" s="804">
        <v>22000</v>
      </c>
      <c r="J476" s="803">
        <v>1</v>
      </c>
      <c r="K476" s="804">
        <f t="shared" si="42"/>
        <v>22000</v>
      </c>
      <c r="L476" s="804">
        <f t="shared" si="43"/>
        <v>22000</v>
      </c>
      <c r="M476" s="804">
        <f t="shared" si="44"/>
        <v>22000</v>
      </c>
      <c r="N476" s="803" t="s">
        <v>15753</v>
      </c>
      <c r="O476" s="805">
        <f t="shared" si="45"/>
        <v>22000</v>
      </c>
      <c r="P476" s="805">
        <f t="shared" si="46"/>
        <v>22000</v>
      </c>
      <c r="Q476" s="806">
        <f t="shared" si="47"/>
        <v>22000</v>
      </c>
    </row>
    <row r="477" spans="1:17" x14ac:dyDescent="0.2">
      <c r="A477" s="797" t="s">
        <v>17831</v>
      </c>
      <c r="B477" s="798" t="s">
        <v>13918</v>
      </c>
      <c r="C477" s="798" t="s">
        <v>17513</v>
      </c>
      <c r="D477" s="798" t="s">
        <v>24451</v>
      </c>
      <c r="E477" s="798" t="s">
        <v>15732</v>
      </c>
      <c r="F477" s="798">
        <v>2</v>
      </c>
      <c r="G477" s="798" t="s">
        <v>2837</v>
      </c>
      <c r="H477" s="798" t="s">
        <v>2837</v>
      </c>
      <c r="I477" s="799">
        <v>25700</v>
      </c>
      <c r="J477" s="798">
        <v>1</v>
      </c>
      <c r="K477" s="799">
        <f t="shared" si="42"/>
        <v>25700</v>
      </c>
      <c r="L477" s="799">
        <f t="shared" si="43"/>
        <v>25700</v>
      </c>
      <c r="M477" s="799">
        <f t="shared" si="44"/>
        <v>25700</v>
      </c>
      <c r="N477" s="798" t="s">
        <v>16141</v>
      </c>
      <c r="O477" s="800">
        <f t="shared" si="45"/>
        <v>25700</v>
      </c>
      <c r="P477" s="800">
        <f t="shared" si="46"/>
        <v>25700</v>
      </c>
      <c r="Q477" s="801">
        <f t="shared" si="47"/>
        <v>25700</v>
      </c>
    </row>
    <row r="478" spans="1:17" x14ac:dyDescent="0.2">
      <c r="A478" s="802" t="s">
        <v>17832</v>
      </c>
      <c r="B478" s="803" t="s">
        <v>13918</v>
      </c>
      <c r="C478" s="803" t="s">
        <v>17513</v>
      </c>
      <c r="D478" s="803" t="s">
        <v>24451</v>
      </c>
      <c r="E478" s="803" t="s">
        <v>15733</v>
      </c>
      <c r="F478" s="803">
        <v>3</v>
      </c>
      <c r="G478" s="803" t="s">
        <v>2837</v>
      </c>
      <c r="H478" s="803" t="s">
        <v>2837</v>
      </c>
      <c r="I478" s="804">
        <v>29000</v>
      </c>
      <c r="J478" s="803">
        <v>1</v>
      </c>
      <c r="K478" s="804">
        <f t="shared" si="42"/>
        <v>29000</v>
      </c>
      <c r="L478" s="804">
        <f t="shared" si="43"/>
        <v>29000</v>
      </c>
      <c r="M478" s="804">
        <f t="shared" si="44"/>
        <v>29000</v>
      </c>
      <c r="N478" s="803" t="s">
        <v>15754</v>
      </c>
      <c r="O478" s="805">
        <f t="shared" si="45"/>
        <v>29000</v>
      </c>
      <c r="P478" s="805">
        <f t="shared" si="46"/>
        <v>29000</v>
      </c>
      <c r="Q478" s="806">
        <f t="shared" si="47"/>
        <v>29000</v>
      </c>
    </row>
    <row r="479" spans="1:17" x14ac:dyDescent="0.2">
      <c r="A479" s="797" t="s">
        <v>16760</v>
      </c>
      <c r="B479" s="798" t="s">
        <v>13918</v>
      </c>
      <c r="C479" s="798" t="s">
        <v>17513</v>
      </c>
      <c r="D479" s="798" t="s">
        <v>24452</v>
      </c>
      <c r="E479" s="798" t="s">
        <v>15731</v>
      </c>
      <c r="F479" s="798">
        <v>1</v>
      </c>
      <c r="G479" s="798" t="s">
        <v>1103</v>
      </c>
      <c r="H479" s="798" t="s">
        <v>1103</v>
      </c>
      <c r="I479" s="799">
        <v>14000</v>
      </c>
      <c r="J479" s="798">
        <v>1</v>
      </c>
      <c r="K479" s="799">
        <f t="shared" si="42"/>
        <v>14000</v>
      </c>
      <c r="L479" s="799">
        <f t="shared" si="43"/>
        <v>14000</v>
      </c>
      <c r="M479" s="799">
        <f t="shared" si="44"/>
        <v>14000</v>
      </c>
      <c r="N479" s="798" t="s">
        <v>15753</v>
      </c>
      <c r="O479" s="800">
        <f t="shared" si="45"/>
        <v>14000</v>
      </c>
      <c r="P479" s="800">
        <f t="shared" si="46"/>
        <v>14000</v>
      </c>
      <c r="Q479" s="801">
        <f t="shared" si="47"/>
        <v>14000</v>
      </c>
    </row>
    <row r="480" spans="1:17" x14ac:dyDescent="0.2">
      <c r="A480" s="802" t="s">
        <v>17833</v>
      </c>
      <c r="B480" s="803" t="s">
        <v>13918</v>
      </c>
      <c r="C480" s="803" t="s">
        <v>17513</v>
      </c>
      <c r="D480" s="803" t="s">
        <v>24452</v>
      </c>
      <c r="E480" s="803" t="s">
        <v>15732</v>
      </c>
      <c r="F480" s="803">
        <v>2</v>
      </c>
      <c r="G480" s="803" t="s">
        <v>1103</v>
      </c>
      <c r="H480" s="803" t="s">
        <v>1103</v>
      </c>
      <c r="I480" s="804">
        <v>17000</v>
      </c>
      <c r="J480" s="803">
        <v>1</v>
      </c>
      <c r="K480" s="804">
        <f t="shared" si="42"/>
        <v>17000</v>
      </c>
      <c r="L480" s="804">
        <f t="shared" si="43"/>
        <v>17000</v>
      </c>
      <c r="M480" s="804">
        <f t="shared" si="44"/>
        <v>17000</v>
      </c>
      <c r="N480" s="803" t="s">
        <v>16141</v>
      </c>
      <c r="O480" s="805">
        <f t="shared" si="45"/>
        <v>17000</v>
      </c>
      <c r="P480" s="805">
        <f t="shared" si="46"/>
        <v>17000</v>
      </c>
      <c r="Q480" s="806">
        <f t="shared" si="47"/>
        <v>17000</v>
      </c>
    </row>
    <row r="481" spans="1:17" x14ac:dyDescent="0.2">
      <c r="A481" s="797" t="s">
        <v>17834</v>
      </c>
      <c r="B481" s="798" t="s">
        <v>13918</v>
      </c>
      <c r="C481" s="798" t="s">
        <v>17513</v>
      </c>
      <c r="D481" s="798" t="s">
        <v>24452</v>
      </c>
      <c r="E481" s="798" t="s">
        <v>15733</v>
      </c>
      <c r="F481" s="798">
        <v>3</v>
      </c>
      <c r="G481" s="798" t="s">
        <v>1103</v>
      </c>
      <c r="H481" s="798" t="s">
        <v>1103</v>
      </c>
      <c r="I481" s="799">
        <v>21000</v>
      </c>
      <c r="J481" s="798">
        <v>1</v>
      </c>
      <c r="K481" s="799">
        <f t="shared" si="42"/>
        <v>21000</v>
      </c>
      <c r="L481" s="799">
        <f t="shared" si="43"/>
        <v>21000</v>
      </c>
      <c r="M481" s="799">
        <f t="shared" si="44"/>
        <v>21000</v>
      </c>
      <c r="N481" s="798" t="s">
        <v>15754</v>
      </c>
      <c r="O481" s="800">
        <f t="shared" si="45"/>
        <v>21000</v>
      </c>
      <c r="P481" s="800">
        <f t="shared" si="46"/>
        <v>21000</v>
      </c>
      <c r="Q481" s="801">
        <f t="shared" si="47"/>
        <v>21000</v>
      </c>
    </row>
    <row r="482" spans="1:17" x14ac:dyDescent="0.2">
      <c r="A482" s="802" t="s">
        <v>16767</v>
      </c>
      <c r="B482" s="803" t="s">
        <v>13918</v>
      </c>
      <c r="C482" s="803" t="s">
        <v>17513</v>
      </c>
      <c r="D482" s="803" t="s">
        <v>24453</v>
      </c>
      <c r="E482" s="803" t="s">
        <v>15731</v>
      </c>
      <c r="F482" s="803">
        <v>1</v>
      </c>
      <c r="G482" s="803" t="s">
        <v>122</v>
      </c>
      <c r="H482" s="803" t="s">
        <v>122</v>
      </c>
      <c r="I482" s="804">
        <v>21000</v>
      </c>
      <c r="J482" s="803">
        <v>1</v>
      </c>
      <c r="K482" s="804">
        <f t="shared" si="42"/>
        <v>21000</v>
      </c>
      <c r="L482" s="804">
        <f t="shared" si="43"/>
        <v>21000</v>
      </c>
      <c r="M482" s="804">
        <f t="shared" si="44"/>
        <v>21000</v>
      </c>
      <c r="N482" s="803" t="s">
        <v>16665</v>
      </c>
      <c r="O482" s="805">
        <f t="shared" si="45"/>
        <v>21000</v>
      </c>
      <c r="P482" s="805">
        <f t="shared" si="46"/>
        <v>21000</v>
      </c>
      <c r="Q482" s="806">
        <f t="shared" si="47"/>
        <v>21000</v>
      </c>
    </row>
    <row r="483" spans="1:17" x14ac:dyDescent="0.2">
      <c r="A483" s="797" t="s">
        <v>17835</v>
      </c>
      <c r="B483" s="798" t="s">
        <v>13918</v>
      </c>
      <c r="C483" s="798" t="s">
        <v>17513</v>
      </c>
      <c r="D483" s="798" t="s">
        <v>24453</v>
      </c>
      <c r="E483" s="798" t="s">
        <v>15732</v>
      </c>
      <c r="F483" s="798">
        <v>2</v>
      </c>
      <c r="G483" s="798" t="s">
        <v>122</v>
      </c>
      <c r="H483" s="798" t="s">
        <v>122</v>
      </c>
      <c r="I483" s="799">
        <v>23000</v>
      </c>
      <c r="J483" s="798">
        <v>1</v>
      </c>
      <c r="K483" s="799">
        <f t="shared" si="42"/>
        <v>23000</v>
      </c>
      <c r="L483" s="799">
        <f t="shared" si="43"/>
        <v>23000</v>
      </c>
      <c r="M483" s="799">
        <f t="shared" si="44"/>
        <v>23000</v>
      </c>
      <c r="N483" s="798" t="s">
        <v>16665</v>
      </c>
      <c r="O483" s="800">
        <f t="shared" si="45"/>
        <v>23000</v>
      </c>
      <c r="P483" s="800">
        <f t="shared" si="46"/>
        <v>23000</v>
      </c>
      <c r="Q483" s="801">
        <f t="shared" si="47"/>
        <v>23000</v>
      </c>
    </row>
    <row r="484" spans="1:17" x14ac:dyDescent="0.2">
      <c r="A484" s="802" t="s">
        <v>17836</v>
      </c>
      <c r="B484" s="803" t="s">
        <v>13918</v>
      </c>
      <c r="C484" s="803" t="s">
        <v>17513</v>
      </c>
      <c r="D484" s="803" t="s">
        <v>24453</v>
      </c>
      <c r="E484" s="803" t="s">
        <v>15733</v>
      </c>
      <c r="F484" s="803">
        <v>3</v>
      </c>
      <c r="G484" s="803" t="s">
        <v>122</v>
      </c>
      <c r="H484" s="803" t="s">
        <v>122</v>
      </c>
      <c r="I484" s="804">
        <v>27000</v>
      </c>
      <c r="J484" s="803">
        <v>1</v>
      </c>
      <c r="K484" s="804">
        <f t="shared" si="42"/>
        <v>27000</v>
      </c>
      <c r="L484" s="804">
        <f t="shared" si="43"/>
        <v>27000</v>
      </c>
      <c r="M484" s="804">
        <f t="shared" si="44"/>
        <v>27000</v>
      </c>
      <c r="N484" s="803" t="s">
        <v>16665</v>
      </c>
      <c r="O484" s="805">
        <f t="shared" si="45"/>
        <v>27000</v>
      </c>
      <c r="P484" s="805">
        <f t="shared" si="46"/>
        <v>27000</v>
      </c>
      <c r="Q484" s="806">
        <f t="shared" si="47"/>
        <v>27000</v>
      </c>
    </row>
    <row r="485" spans="1:17" x14ac:dyDescent="0.2">
      <c r="A485" s="797" t="s">
        <v>16776</v>
      </c>
      <c r="B485" s="798" t="s">
        <v>13918</v>
      </c>
      <c r="C485" s="798" t="s">
        <v>17513</v>
      </c>
      <c r="D485" s="798" t="s">
        <v>24454</v>
      </c>
      <c r="E485" s="798" t="s">
        <v>15731</v>
      </c>
      <c r="F485" s="798">
        <v>1</v>
      </c>
      <c r="G485" s="798" t="s">
        <v>1103</v>
      </c>
      <c r="H485" s="798" t="s">
        <v>1103</v>
      </c>
      <c r="I485" s="799">
        <v>14050</v>
      </c>
      <c r="J485" s="798">
        <v>1</v>
      </c>
      <c r="K485" s="799">
        <f t="shared" si="42"/>
        <v>14050</v>
      </c>
      <c r="L485" s="799">
        <f t="shared" si="43"/>
        <v>14050</v>
      </c>
      <c r="M485" s="799">
        <f t="shared" si="44"/>
        <v>14050</v>
      </c>
      <c r="N485" s="798" t="s">
        <v>15753</v>
      </c>
      <c r="O485" s="800">
        <f t="shared" si="45"/>
        <v>14050</v>
      </c>
      <c r="P485" s="800">
        <f t="shared" si="46"/>
        <v>14050</v>
      </c>
      <c r="Q485" s="801">
        <f t="shared" si="47"/>
        <v>14050</v>
      </c>
    </row>
    <row r="486" spans="1:17" x14ac:dyDescent="0.2">
      <c r="A486" s="802" t="s">
        <v>17837</v>
      </c>
      <c r="B486" s="803" t="s">
        <v>13918</v>
      </c>
      <c r="C486" s="803" t="s">
        <v>17513</v>
      </c>
      <c r="D486" s="803" t="s">
        <v>24454</v>
      </c>
      <c r="E486" s="803" t="s">
        <v>15732</v>
      </c>
      <c r="F486" s="803">
        <v>2</v>
      </c>
      <c r="G486" s="803" t="s">
        <v>1103</v>
      </c>
      <c r="H486" s="803" t="s">
        <v>1103</v>
      </c>
      <c r="I486" s="804">
        <v>17050</v>
      </c>
      <c r="J486" s="803">
        <v>1</v>
      </c>
      <c r="K486" s="804">
        <f t="shared" si="42"/>
        <v>17050</v>
      </c>
      <c r="L486" s="804">
        <f t="shared" si="43"/>
        <v>17050</v>
      </c>
      <c r="M486" s="804">
        <f t="shared" si="44"/>
        <v>17050</v>
      </c>
      <c r="N486" s="803" t="s">
        <v>16141</v>
      </c>
      <c r="O486" s="805">
        <f t="shared" si="45"/>
        <v>17050</v>
      </c>
      <c r="P486" s="805">
        <f t="shared" si="46"/>
        <v>17050</v>
      </c>
      <c r="Q486" s="806">
        <f t="shared" si="47"/>
        <v>17050</v>
      </c>
    </row>
    <row r="487" spans="1:17" x14ac:dyDescent="0.2">
      <c r="A487" s="797" t="s">
        <v>17838</v>
      </c>
      <c r="B487" s="798" t="s">
        <v>13918</v>
      </c>
      <c r="C487" s="798" t="s">
        <v>17513</v>
      </c>
      <c r="D487" s="798" t="s">
        <v>24454</v>
      </c>
      <c r="E487" s="798" t="s">
        <v>15733</v>
      </c>
      <c r="F487" s="798">
        <v>3</v>
      </c>
      <c r="G487" s="798" t="s">
        <v>1103</v>
      </c>
      <c r="H487" s="798" t="s">
        <v>1103</v>
      </c>
      <c r="I487" s="799">
        <v>21000</v>
      </c>
      <c r="J487" s="798">
        <v>1</v>
      </c>
      <c r="K487" s="799">
        <f t="shared" si="42"/>
        <v>21000</v>
      </c>
      <c r="L487" s="799">
        <f t="shared" si="43"/>
        <v>21000</v>
      </c>
      <c r="M487" s="799">
        <f t="shared" si="44"/>
        <v>21000</v>
      </c>
      <c r="N487" s="798" t="s">
        <v>15754</v>
      </c>
      <c r="O487" s="800">
        <f t="shared" si="45"/>
        <v>21000</v>
      </c>
      <c r="P487" s="800">
        <f t="shared" si="46"/>
        <v>21000</v>
      </c>
      <c r="Q487" s="801">
        <f t="shared" si="47"/>
        <v>21000</v>
      </c>
    </row>
    <row r="488" spans="1:17" x14ac:dyDescent="0.2">
      <c r="A488" s="802" t="s">
        <v>16783</v>
      </c>
      <c r="B488" s="803" t="s">
        <v>13918</v>
      </c>
      <c r="C488" s="803" t="s">
        <v>17513</v>
      </c>
      <c r="D488" s="803" t="s">
        <v>24455</v>
      </c>
      <c r="E488" s="803" t="s">
        <v>15731</v>
      </c>
      <c r="F488" s="803">
        <v>1</v>
      </c>
      <c r="G488" s="803" t="s">
        <v>1103</v>
      </c>
      <c r="H488" s="803" t="s">
        <v>1103</v>
      </c>
      <c r="I488" s="804">
        <v>15000</v>
      </c>
      <c r="J488" s="803">
        <v>1</v>
      </c>
      <c r="K488" s="804">
        <f t="shared" si="42"/>
        <v>15000</v>
      </c>
      <c r="L488" s="804">
        <f t="shared" si="43"/>
        <v>15000</v>
      </c>
      <c r="M488" s="804">
        <f t="shared" si="44"/>
        <v>15000</v>
      </c>
      <c r="N488" s="803" t="s">
        <v>15753</v>
      </c>
      <c r="O488" s="805">
        <f t="shared" si="45"/>
        <v>15000</v>
      </c>
      <c r="P488" s="805">
        <f t="shared" si="46"/>
        <v>15000</v>
      </c>
      <c r="Q488" s="806">
        <f t="shared" si="47"/>
        <v>15000</v>
      </c>
    </row>
    <row r="489" spans="1:17" x14ac:dyDescent="0.2">
      <c r="A489" s="797" t="s">
        <v>17839</v>
      </c>
      <c r="B489" s="798" t="s">
        <v>13918</v>
      </c>
      <c r="C489" s="798" t="s">
        <v>17513</v>
      </c>
      <c r="D489" s="798" t="s">
        <v>24455</v>
      </c>
      <c r="E489" s="798" t="s">
        <v>15732</v>
      </c>
      <c r="F489" s="798">
        <v>2</v>
      </c>
      <c r="G489" s="798" t="s">
        <v>1103</v>
      </c>
      <c r="H489" s="798" t="s">
        <v>1103</v>
      </c>
      <c r="I489" s="799">
        <v>18000</v>
      </c>
      <c r="J489" s="798">
        <v>1</v>
      </c>
      <c r="K489" s="799">
        <f t="shared" si="42"/>
        <v>18000</v>
      </c>
      <c r="L489" s="799">
        <f t="shared" si="43"/>
        <v>18000</v>
      </c>
      <c r="M489" s="799">
        <f t="shared" si="44"/>
        <v>18000</v>
      </c>
      <c r="N489" s="798" t="s">
        <v>16141</v>
      </c>
      <c r="O489" s="800">
        <f t="shared" si="45"/>
        <v>18000</v>
      </c>
      <c r="P489" s="800">
        <f t="shared" si="46"/>
        <v>18000</v>
      </c>
      <c r="Q489" s="801">
        <f t="shared" si="47"/>
        <v>18000</v>
      </c>
    </row>
    <row r="490" spans="1:17" x14ac:dyDescent="0.2">
      <c r="A490" s="802" t="s">
        <v>17840</v>
      </c>
      <c r="B490" s="803" t="s">
        <v>13918</v>
      </c>
      <c r="C490" s="803" t="s">
        <v>17513</v>
      </c>
      <c r="D490" s="803" t="s">
        <v>24455</v>
      </c>
      <c r="E490" s="803" t="s">
        <v>15733</v>
      </c>
      <c r="F490" s="803">
        <v>3</v>
      </c>
      <c r="G490" s="803" t="s">
        <v>1103</v>
      </c>
      <c r="H490" s="803" t="s">
        <v>1103</v>
      </c>
      <c r="I490" s="804">
        <v>22000</v>
      </c>
      <c r="J490" s="803">
        <v>1</v>
      </c>
      <c r="K490" s="804">
        <f t="shared" si="42"/>
        <v>22000</v>
      </c>
      <c r="L490" s="804">
        <f t="shared" si="43"/>
        <v>22000</v>
      </c>
      <c r="M490" s="804">
        <f t="shared" si="44"/>
        <v>22000</v>
      </c>
      <c r="N490" s="803" t="s">
        <v>15754</v>
      </c>
      <c r="O490" s="805">
        <f t="shared" si="45"/>
        <v>22000</v>
      </c>
      <c r="P490" s="805">
        <f t="shared" si="46"/>
        <v>22000</v>
      </c>
      <c r="Q490" s="806">
        <f t="shared" si="47"/>
        <v>22000</v>
      </c>
    </row>
    <row r="491" spans="1:17" x14ac:dyDescent="0.2">
      <c r="A491" s="797" t="s">
        <v>16786</v>
      </c>
      <c r="B491" s="798" t="s">
        <v>13918</v>
      </c>
      <c r="C491" s="798" t="s">
        <v>17513</v>
      </c>
      <c r="D491" s="798" t="s">
        <v>24456</v>
      </c>
      <c r="E491" s="798" t="s">
        <v>15731</v>
      </c>
      <c r="F491" s="798">
        <v>1</v>
      </c>
      <c r="G491" s="798" t="s">
        <v>1103</v>
      </c>
      <c r="H491" s="798" t="s">
        <v>1103</v>
      </c>
      <c r="I491" s="799">
        <v>14100</v>
      </c>
      <c r="J491" s="798">
        <v>1</v>
      </c>
      <c r="K491" s="799">
        <f t="shared" si="42"/>
        <v>14100</v>
      </c>
      <c r="L491" s="799">
        <f t="shared" si="43"/>
        <v>14100</v>
      </c>
      <c r="M491" s="799">
        <f t="shared" si="44"/>
        <v>14100</v>
      </c>
      <c r="N491" s="798" t="s">
        <v>15753</v>
      </c>
      <c r="O491" s="800">
        <f t="shared" si="45"/>
        <v>14100</v>
      </c>
      <c r="P491" s="800">
        <f t="shared" si="46"/>
        <v>14100</v>
      </c>
      <c r="Q491" s="801">
        <f t="shared" si="47"/>
        <v>14100</v>
      </c>
    </row>
    <row r="492" spans="1:17" x14ac:dyDescent="0.2">
      <c r="A492" s="802" t="s">
        <v>17841</v>
      </c>
      <c r="B492" s="803" t="s">
        <v>13918</v>
      </c>
      <c r="C492" s="803" t="s">
        <v>17513</v>
      </c>
      <c r="D492" s="803" t="s">
        <v>24456</v>
      </c>
      <c r="E492" s="803" t="s">
        <v>15732</v>
      </c>
      <c r="F492" s="803">
        <v>2</v>
      </c>
      <c r="G492" s="803" t="s">
        <v>1103</v>
      </c>
      <c r="H492" s="803" t="s">
        <v>1103</v>
      </c>
      <c r="I492" s="804">
        <v>17100</v>
      </c>
      <c r="J492" s="803">
        <v>1</v>
      </c>
      <c r="K492" s="804">
        <f t="shared" si="42"/>
        <v>17100</v>
      </c>
      <c r="L492" s="804">
        <f t="shared" si="43"/>
        <v>17100</v>
      </c>
      <c r="M492" s="804">
        <f t="shared" si="44"/>
        <v>17100</v>
      </c>
      <c r="N492" s="803" t="s">
        <v>16141</v>
      </c>
      <c r="O492" s="805">
        <f t="shared" si="45"/>
        <v>17100</v>
      </c>
      <c r="P492" s="805">
        <f t="shared" si="46"/>
        <v>17100</v>
      </c>
      <c r="Q492" s="806">
        <f t="shared" si="47"/>
        <v>17100</v>
      </c>
    </row>
    <row r="493" spans="1:17" x14ac:dyDescent="0.2">
      <c r="A493" s="797" t="s">
        <v>17842</v>
      </c>
      <c r="B493" s="798" t="s">
        <v>13918</v>
      </c>
      <c r="C493" s="798" t="s">
        <v>17513</v>
      </c>
      <c r="D493" s="798" t="s">
        <v>24456</v>
      </c>
      <c r="E493" s="798" t="s">
        <v>15733</v>
      </c>
      <c r="F493" s="798">
        <v>3</v>
      </c>
      <c r="G493" s="798" t="s">
        <v>1103</v>
      </c>
      <c r="H493" s="798" t="s">
        <v>1103</v>
      </c>
      <c r="I493" s="799">
        <v>21000</v>
      </c>
      <c r="J493" s="798">
        <v>1</v>
      </c>
      <c r="K493" s="799">
        <f t="shared" si="42"/>
        <v>21000</v>
      </c>
      <c r="L493" s="799">
        <f t="shared" si="43"/>
        <v>21000</v>
      </c>
      <c r="M493" s="799">
        <f t="shared" si="44"/>
        <v>21000</v>
      </c>
      <c r="N493" s="798" t="s">
        <v>15754</v>
      </c>
      <c r="O493" s="800">
        <f t="shared" si="45"/>
        <v>21000</v>
      </c>
      <c r="P493" s="800">
        <f t="shared" si="46"/>
        <v>21000</v>
      </c>
      <c r="Q493" s="801">
        <f t="shared" si="47"/>
        <v>21000</v>
      </c>
    </row>
    <row r="494" spans="1:17" x14ac:dyDescent="0.2">
      <c r="A494" s="802" t="s">
        <v>16794</v>
      </c>
      <c r="B494" s="803" t="s">
        <v>13918</v>
      </c>
      <c r="C494" s="803" t="s">
        <v>17513</v>
      </c>
      <c r="D494" s="803" t="s">
        <v>24457</v>
      </c>
      <c r="E494" s="803" t="s">
        <v>15731</v>
      </c>
      <c r="F494" s="803">
        <v>1</v>
      </c>
      <c r="G494" s="803" t="s">
        <v>1103</v>
      </c>
      <c r="H494" s="803" t="s">
        <v>1103</v>
      </c>
      <c r="I494" s="804">
        <v>14200</v>
      </c>
      <c r="J494" s="803">
        <v>1</v>
      </c>
      <c r="K494" s="804">
        <f t="shared" si="42"/>
        <v>14200</v>
      </c>
      <c r="L494" s="804">
        <f t="shared" si="43"/>
        <v>14200</v>
      </c>
      <c r="M494" s="804">
        <f t="shared" si="44"/>
        <v>14200</v>
      </c>
      <c r="N494" s="803" t="s">
        <v>15753</v>
      </c>
      <c r="O494" s="805">
        <f t="shared" si="45"/>
        <v>14200</v>
      </c>
      <c r="P494" s="805">
        <f t="shared" si="46"/>
        <v>14200</v>
      </c>
      <c r="Q494" s="806">
        <f t="shared" si="47"/>
        <v>14200</v>
      </c>
    </row>
    <row r="495" spans="1:17" x14ac:dyDescent="0.2">
      <c r="A495" s="797" t="s">
        <v>17843</v>
      </c>
      <c r="B495" s="798" t="s">
        <v>13918</v>
      </c>
      <c r="C495" s="798" t="s">
        <v>17513</v>
      </c>
      <c r="D495" s="798" t="s">
        <v>24457</v>
      </c>
      <c r="E495" s="798" t="s">
        <v>15732</v>
      </c>
      <c r="F495" s="798">
        <v>2</v>
      </c>
      <c r="G495" s="798" t="s">
        <v>1103</v>
      </c>
      <c r="H495" s="798" t="s">
        <v>1103</v>
      </c>
      <c r="I495" s="799">
        <v>17200</v>
      </c>
      <c r="J495" s="798">
        <v>1</v>
      </c>
      <c r="K495" s="799">
        <f t="shared" si="42"/>
        <v>17200</v>
      </c>
      <c r="L495" s="799">
        <f t="shared" si="43"/>
        <v>17200</v>
      </c>
      <c r="M495" s="799">
        <f t="shared" si="44"/>
        <v>17200</v>
      </c>
      <c r="N495" s="798" t="s">
        <v>16141</v>
      </c>
      <c r="O495" s="800">
        <f t="shared" si="45"/>
        <v>17200</v>
      </c>
      <c r="P495" s="800">
        <f t="shared" si="46"/>
        <v>17200</v>
      </c>
      <c r="Q495" s="801">
        <f t="shared" si="47"/>
        <v>17200</v>
      </c>
    </row>
    <row r="496" spans="1:17" x14ac:dyDescent="0.2">
      <c r="A496" s="802" t="s">
        <v>17844</v>
      </c>
      <c r="B496" s="803" t="s">
        <v>13918</v>
      </c>
      <c r="C496" s="803" t="s">
        <v>17513</v>
      </c>
      <c r="D496" s="803" t="s">
        <v>24457</v>
      </c>
      <c r="E496" s="803" t="s">
        <v>15733</v>
      </c>
      <c r="F496" s="803">
        <v>3</v>
      </c>
      <c r="G496" s="803" t="s">
        <v>1103</v>
      </c>
      <c r="H496" s="803" t="s">
        <v>1103</v>
      </c>
      <c r="I496" s="804">
        <v>21000</v>
      </c>
      <c r="J496" s="803">
        <v>1</v>
      </c>
      <c r="K496" s="804">
        <f t="shared" si="42"/>
        <v>21000</v>
      </c>
      <c r="L496" s="804">
        <f t="shared" si="43"/>
        <v>21000</v>
      </c>
      <c r="M496" s="804">
        <f t="shared" si="44"/>
        <v>21000</v>
      </c>
      <c r="N496" s="803" t="s">
        <v>15754</v>
      </c>
      <c r="O496" s="805">
        <f t="shared" si="45"/>
        <v>21000</v>
      </c>
      <c r="P496" s="805">
        <f t="shared" si="46"/>
        <v>21000</v>
      </c>
      <c r="Q496" s="806">
        <f t="shared" si="47"/>
        <v>21000</v>
      </c>
    </row>
    <row r="497" spans="1:17" x14ac:dyDescent="0.2">
      <c r="A497" s="797" t="s">
        <v>16800</v>
      </c>
      <c r="B497" s="798" t="s">
        <v>13918</v>
      </c>
      <c r="C497" s="798" t="s">
        <v>17513</v>
      </c>
      <c r="D497" s="798" t="s">
        <v>24458</v>
      </c>
      <c r="E497" s="798" t="s">
        <v>15731</v>
      </c>
      <c r="F497" s="798">
        <v>1</v>
      </c>
      <c r="G497" s="798" t="s">
        <v>1103</v>
      </c>
      <c r="H497" s="798" t="s">
        <v>1103</v>
      </c>
      <c r="I497" s="799">
        <v>23000</v>
      </c>
      <c r="J497" s="798">
        <v>1</v>
      </c>
      <c r="K497" s="799">
        <f t="shared" si="42"/>
        <v>23000</v>
      </c>
      <c r="L497" s="799">
        <f t="shared" si="43"/>
        <v>23000</v>
      </c>
      <c r="M497" s="799">
        <f t="shared" si="44"/>
        <v>23000</v>
      </c>
      <c r="N497" s="798" t="s">
        <v>16803</v>
      </c>
      <c r="O497" s="800">
        <f t="shared" si="45"/>
        <v>23000</v>
      </c>
      <c r="P497" s="800">
        <f t="shared" si="46"/>
        <v>23000</v>
      </c>
      <c r="Q497" s="801">
        <f t="shared" si="47"/>
        <v>23000</v>
      </c>
    </row>
    <row r="498" spans="1:17" x14ac:dyDescent="0.2">
      <c r="A498" s="802" t="s">
        <v>17845</v>
      </c>
      <c r="B498" s="803" t="s">
        <v>13918</v>
      </c>
      <c r="C498" s="803" t="s">
        <v>17513</v>
      </c>
      <c r="D498" s="803" t="s">
        <v>24458</v>
      </c>
      <c r="E498" s="803" t="s">
        <v>15732</v>
      </c>
      <c r="F498" s="803">
        <v>2</v>
      </c>
      <c r="G498" s="803" t="s">
        <v>1103</v>
      </c>
      <c r="H498" s="803" t="s">
        <v>1103</v>
      </c>
      <c r="I498" s="804">
        <v>26000</v>
      </c>
      <c r="J498" s="803">
        <v>1</v>
      </c>
      <c r="K498" s="804">
        <f t="shared" si="42"/>
        <v>26000</v>
      </c>
      <c r="L498" s="804">
        <f t="shared" si="43"/>
        <v>26000</v>
      </c>
      <c r="M498" s="804">
        <f t="shared" si="44"/>
        <v>26000</v>
      </c>
      <c r="N498" s="803" t="s">
        <v>16803</v>
      </c>
      <c r="O498" s="805">
        <f t="shared" si="45"/>
        <v>26000</v>
      </c>
      <c r="P498" s="805">
        <f t="shared" si="46"/>
        <v>26000</v>
      </c>
      <c r="Q498" s="806">
        <f t="shared" si="47"/>
        <v>26000</v>
      </c>
    </row>
    <row r="499" spans="1:17" x14ac:dyDescent="0.2">
      <c r="A499" s="797" t="s">
        <v>17846</v>
      </c>
      <c r="B499" s="798" t="s">
        <v>13918</v>
      </c>
      <c r="C499" s="798" t="s">
        <v>17513</v>
      </c>
      <c r="D499" s="798" t="s">
        <v>24458</v>
      </c>
      <c r="E499" s="798" t="s">
        <v>15733</v>
      </c>
      <c r="F499" s="798">
        <v>3</v>
      </c>
      <c r="G499" s="798" t="s">
        <v>1103</v>
      </c>
      <c r="H499" s="798" t="s">
        <v>1103</v>
      </c>
      <c r="I499" s="799">
        <v>30000</v>
      </c>
      <c r="J499" s="798">
        <v>1</v>
      </c>
      <c r="K499" s="799">
        <f t="shared" si="42"/>
        <v>30000</v>
      </c>
      <c r="L499" s="799">
        <f t="shared" si="43"/>
        <v>30000</v>
      </c>
      <c r="M499" s="799">
        <f t="shared" si="44"/>
        <v>30000</v>
      </c>
      <c r="N499" s="798" t="s">
        <v>16803</v>
      </c>
      <c r="O499" s="800">
        <f t="shared" si="45"/>
        <v>30000</v>
      </c>
      <c r="P499" s="800">
        <f t="shared" si="46"/>
        <v>30000</v>
      </c>
      <c r="Q499" s="801">
        <f t="shared" si="47"/>
        <v>30000</v>
      </c>
    </row>
    <row r="500" spans="1:17" x14ac:dyDescent="0.2">
      <c r="A500" s="802" t="s">
        <v>16825</v>
      </c>
      <c r="B500" s="803" t="s">
        <v>13918</v>
      </c>
      <c r="C500" s="803" t="s">
        <v>17513</v>
      </c>
      <c r="D500" s="803" t="s">
        <v>24459</v>
      </c>
      <c r="E500" s="803" t="s">
        <v>15731</v>
      </c>
      <c r="F500" s="803">
        <v>1</v>
      </c>
      <c r="G500" s="803" t="s">
        <v>1947</v>
      </c>
      <c r="H500" s="803" t="s">
        <v>1947</v>
      </c>
      <c r="I500" s="804">
        <v>15000</v>
      </c>
      <c r="J500" s="803">
        <v>1</v>
      </c>
      <c r="K500" s="804">
        <f t="shared" si="42"/>
        <v>15000</v>
      </c>
      <c r="L500" s="804">
        <f t="shared" si="43"/>
        <v>15000</v>
      </c>
      <c r="M500" s="804">
        <f t="shared" si="44"/>
        <v>15000</v>
      </c>
      <c r="N500" s="803" t="s">
        <v>15753</v>
      </c>
      <c r="O500" s="805">
        <f t="shared" si="45"/>
        <v>15000</v>
      </c>
      <c r="P500" s="805">
        <f t="shared" si="46"/>
        <v>15000</v>
      </c>
      <c r="Q500" s="806">
        <f t="shared" si="47"/>
        <v>15000</v>
      </c>
    </row>
    <row r="501" spans="1:17" x14ac:dyDescent="0.2">
      <c r="A501" s="797" t="s">
        <v>17847</v>
      </c>
      <c r="B501" s="798" t="s">
        <v>13918</v>
      </c>
      <c r="C501" s="798" t="s">
        <v>17513</v>
      </c>
      <c r="D501" s="798" t="s">
        <v>24459</v>
      </c>
      <c r="E501" s="798" t="s">
        <v>15732</v>
      </c>
      <c r="F501" s="798">
        <v>2</v>
      </c>
      <c r="G501" s="798" t="s">
        <v>1947</v>
      </c>
      <c r="H501" s="798" t="s">
        <v>1947</v>
      </c>
      <c r="I501" s="799">
        <v>18000</v>
      </c>
      <c r="J501" s="798">
        <v>1</v>
      </c>
      <c r="K501" s="799">
        <f t="shared" si="42"/>
        <v>18000</v>
      </c>
      <c r="L501" s="799">
        <f t="shared" si="43"/>
        <v>18000</v>
      </c>
      <c r="M501" s="799">
        <f t="shared" si="44"/>
        <v>18000</v>
      </c>
      <c r="N501" s="798" t="s">
        <v>16141</v>
      </c>
      <c r="O501" s="800">
        <f t="shared" si="45"/>
        <v>18000</v>
      </c>
      <c r="P501" s="800">
        <f t="shared" si="46"/>
        <v>18000</v>
      </c>
      <c r="Q501" s="801">
        <f t="shared" si="47"/>
        <v>18000</v>
      </c>
    </row>
    <row r="502" spans="1:17" x14ac:dyDescent="0.2">
      <c r="A502" s="802" t="s">
        <v>17848</v>
      </c>
      <c r="B502" s="803" t="s">
        <v>13918</v>
      </c>
      <c r="C502" s="803" t="s">
        <v>17513</v>
      </c>
      <c r="D502" s="803" t="s">
        <v>24459</v>
      </c>
      <c r="E502" s="803" t="s">
        <v>15733</v>
      </c>
      <c r="F502" s="803">
        <v>3</v>
      </c>
      <c r="G502" s="803" t="s">
        <v>1947</v>
      </c>
      <c r="H502" s="803" t="s">
        <v>1947</v>
      </c>
      <c r="I502" s="804">
        <v>21500</v>
      </c>
      <c r="J502" s="803">
        <v>1</v>
      </c>
      <c r="K502" s="804">
        <f t="shared" si="42"/>
        <v>21500</v>
      </c>
      <c r="L502" s="804">
        <f t="shared" si="43"/>
        <v>21500</v>
      </c>
      <c r="M502" s="804">
        <f t="shared" si="44"/>
        <v>21500</v>
      </c>
      <c r="N502" s="803" t="s">
        <v>15754</v>
      </c>
      <c r="O502" s="805">
        <f t="shared" si="45"/>
        <v>21500</v>
      </c>
      <c r="P502" s="805">
        <f t="shared" si="46"/>
        <v>21500</v>
      </c>
      <c r="Q502" s="806">
        <f t="shared" si="47"/>
        <v>21500</v>
      </c>
    </row>
    <row r="503" spans="1:17" x14ac:dyDescent="0.2">
      <c r="A503" s="797" t="s">
        <v>16835</v>
      </c>
      <c r="B503" s="798" t="s">
        <v>13918</v>
      </c>
      <c r="C503" s="798" t="s">
        <v>17513</v>
      </c>
      <c r="D503" s="798" t="s">
        <v>24460</v>
      </c>
      <c r="E503" s="798" t="s">
        <v>15731</v>
      </c>
      <c r="F503" s="798">
        <v>1</v>
      </c>
      <c r="G503" s="798" t="s">
        <v>1947</v>
      </c>
      <c r="H503" s="798" t="s">
        <v>1947</v>
      </c>
      <c r="I503" s="799">
        <v>15050</v>
      </c>
      <c r="J503" s="798">
        <v>1</v>
      </c>
      <c r="K503" s="799">
        <f t="shared" si="42"/>
        <v>15050</v>
      </c>
      <c r="L503" s="799">
        <f t="shared" si="43"/>
        <v>15050</v>
      </c>
      <c r="M503" s="799">
        <f t="shared" si="44"/>
        <v>15050</v>
      </c>
      <c r="N503" s="798" t="s">
        <v>15753</v>
      </c>
      <c r="O503" s="800">
        <f t="shared" si="45"/>
        <v>15050</v>
      </c>
      <c r="P503" s="800">
        <f t="shared" si="46"/>
        <v>15050</v>
      </c>
      <c r="Q503" s="801">
        <f t="shared" si="47"/>
        <v>15050</v>
      </c>
    </row>
    <row r="504" spans="1:17" x14ac:dyDescent="0.2">
      <c r="A504" s="802" t="s">
        <v>17849</v>
      </c>
      <c r="B504" s="803" t="s">
        <v>13918</v>
      </c>
      <c r="C504" s="803" t="s">
        <v>17513</v>
      </c>
      <c r="D504" s="803" t="s">
        <v>24460</v>
      </c>
      <c r="E504" s="803" t="s">
        <v>15732</v>
      </c>
      <c r="F504" s="803">
        <v>2</v>
      </c>
      <c r="G504" s="803" t="s">
        <v>1947</v>
      </c>
      <c r="H504" s="803" t="s">
        <v>1947</v>
      </c>
      <c r="I504" s="804">
        <v>18050</v>
      </c>
      <c r="J504" s="803">
        <v>1</v>
      </c>
      <c r="K504" s="804">
        <f t="shared" si="42"/>
        <v>18050</v>
      </c>
      <c r="L504" s="804">
        <f t="shared" si="43"/>
        <v>18050</v>
      </c>
      <c r="M504" s="804">
        <f t="shared" si="44"/>
        <v>18050</v>
      </c>
      <c r="N504" s="803" t="s">
        <v>16141</v>
      </c>
      <c r="O504" s="805">
        <f t="shared" si="45"/>
        <v>18050</v>
      </c>
      <c r="P504" s="805">
        <f t="shared" si="46"/>
        <v>18050</v>
      </c>
      <c r="Q504" s="806">
        <f t="shared" si="47"/>
        <v>18050</v>
      </c>
    </row>
    <row r="505" spans="1:17" x14ac:dyDescent="0.2">
      <c r="A505" s="797" t="s">
        <v>17850</v>
      </c>
      <c r="B505" s="798" t="s">
        <v>13918</v>
      </c>
      <c r="C505" s="798" t="s">
        <v>17513</v>
      </c>
      <c r="D505" s="798" t="s">
        <v>24460</v>
      </c>
      <c r="E505" s="798" t="s">
        <v>15733</v>
      </c>
      <c r="F505" s="798">
        <v>3</v>
      </c>
      <c r="G505" s="798" t="s">
        <v>1947</v>
      </c>
      <c r="H505" s="798" t="s">
        <v>1947</v>
      </c>
      <c r="I505" s="799">
        <v>21500</v>
      </c>
      <c r="J505" s="798">
        <v>1</v>
      </c>
      <c r="K505" s="799">
        <f t="shared" si="42"/>
        <v>21500</v>
      </c>
      <c r="L505" s="799">
        <f t="shared" si="43"/>
        <v>21500</v>
      </c>
      <c r="M505" s="799">
        <f t="shared" si="44"/>
        <v>21500</v>
      </c>
      <c r="N505" s="798" t="s">
        <v>15754</v>
      </c>
      <c r="O505" s="800">
        <f t="shared" si="45"/>
        <v>21500</v>
      </c>
      <c r="P505" s="800">
        <f t="shared" si="46"/>
        <v>21500</v>
      </c>
      <c r="Q505" s="801">
        <f t="shared" si="47"/>
        <v>21500</v>
      </c>
    </row>
    <row r="506" spans="1:17" x14ac:dyDescent="0.2">
      <c r="A506" s="802" t="s">
        <v>16841</v>
      </c>
      <c r="B506" s="803" t="s">
        <v>13918</v>
      </c>
      <c r="C506" s="803" t="s">
        <v>17513</v>
      </c>
      <c r="D506" s="803" t="s">
        <v>24461</v>
      </c>
      <c r="E506" s="803" t="s">
        <v>15731</v>
      </c>
      <c r="F506" s="803">
        <v>1</v>
      </c>
      <c r="G506" s="803" t="s">
        <v>1947</v>
      </c>
      <c r="H506" s="803" t="s">
        <v>1947</v>
      </c>
      <c r="I506" s="804">
        <v>15100</v>
      </c>
      <c r="J506" s="803">
        <v>1</v>
      </c>
      <c r="K506" s="804">
        <f t="shared" si="42"/>
        <v>15100</v>
      </c>
      <c r="L506" s="804">
        <f t="shared" si="43"/>
        <v>15100</v>
      </c>
      <c r="M506" s="804">
        <f t="shared" si="44"/>
        <v>15100</v>
      </c>
      <c r="N506" s="803" t="s">
        <v>15753</v>
      </c>
      <c r="O506" s="805">
        <f t="shared" si="45"/>
        <v>15100</v>
      </c>
      <c r="P506" s="805">
        <f t="shared" si="46"/>
        <v>15100</v>
      </c>
      <c r="Q506" s="806">
        <f t="shared" si="47"/>
        <v>15100</v>
      </c>
    </row>
    <row r="507" spans="1:17" x14ac:dyDescent="0.2">
      <c r="A507" s="797" t="s">
        <v>17851</v>
      </c>
      <c r="B507" s="798" t="s">
        <v>13918</v>
      </c>
      <c r="C507" s="798" t="s">
        <v>17513</v>
      </c>
      <c r="D507" s="798" t="s">
        <v>24461</v>
      </c>
      <c r="E507" s="798" t="s">
        <v>15732</v>
      </c>
      <c r="F507" s="798">
        <v>2</v>
      </c>
      <c r="G507" s="798" t="s">
        <v>1947</v>
      </c>
      <c r="H507" s="798" t="s">
        <v>1947</v>
      </c>
      <c r="I507" s="799">
        <v>18100</v>
      </c>
      <c r="J507" s="798">
        <v>1</v>
      </c>
      <c r="K507" s="799">
        <f t="shared" si="42"/>
        <v>18100</v>
      </c>
      <c r="L507" s="799">
        <f t="shared" si="43"/>
        <v>18100</v>
      </c>
      <c r="M507" s="799">
        <f t="shared" si="44"/>
        <v>18100</v>
      </c>
      <c r="N507" s="798" t="s">
        <v>16141</v>
      </c>
      <c r="O507" s="800">
        <f t="shared" si="45"/>
        <v>18100</v>
      </c>
      <c r="P507" s="800">
        <f t="shared" si="46"/>
        <v>18100</v>
      </c>
      <c r="Q507" s="801">
        <f t="shared" si="47"/>
        <v>18100</v>
      </c>
    </row>
    <row r="508" spans="1:17" x14ac:dyDescent="0.2">
      <c r="A508" s="802" t="s">
        <v>17852</v>
      </c>
      <c r="B508" s="803" t="s">
        <v>13918</v>
      </c>
      <c r="C508" s="803" t="s">
        <v>17513</v>
      </c>
      <c r="D508" s="803" t="s">
        <v>24461</v>
      </c>
      <c r="E508" s="803" t="s">
        <v>15733</v>
      </c>
      <c r="F508" s="803">
        <v>3</v>
      </c>
      <c r="G508" s="803" t="s">
        <v>1947</v>
      </c>
      <c r="H508" s="803" t="s">
        <v>1947</v>
      </c>
      <c r="I508" s="804">
        <v>21500</v>
      </c>
      <c r="J508" s="803">
        <v>1</v>
      </c>
      <c r="K508" s="804">
        <f t="shared" si="42"/>
        <v>21500</v>
      </c>
      <c r="L508" s="804">
        <f t="shared" si="43"/>
        <v>21500</v>
      </c>
      <c r="M508" s="804">
        <f t="shared" si="44"/>
        <v>21500</v>
      </c>
      <c r="N508" s="803" t="s">
        <v>15754</v>
      </c>
      <c r="O508" s="805">
        <f t="shared" si="45"/>
        <v>21500</v>
      </c>
      <c r="P508" s="805">
        <f t="shared" si="46"/>
        <v>21500</v>
      </c>
      <c r="Q508" s="806">
        <f t="shared" si="47"/>
        <v>21500</v>
      </c>
    </row>
    <row r="509" spans="1:17" x14ac:dyDescent="0.2">
      <c r="A509" s="797" t="s">
        <v>16851</v>
      </c>
      <c r="B509" s="798" t="s">
        <v>13918</v>
      </c>
      <c r="C509" s="798" t="s">
        <v>17513</v>
      </c>
      <c r="D509" s="798" t="s">
        <v>24462</v>
      </c>
      <c r="E509" s="798" t="s">
        <v>15731</v>
      </c>
      <c r="F509" s="798">
        <v>1</v>
      </c>
      <c r="G509" s="798" t="s">
        <v>1947</v>
      </c>
      <c r="H509" s="798" t="s">
        <v>1947</v>
      </c>
      <c r="I509" s="799">
        <v>15150</v>
      </c>
      <c r="J509" s="798">
        <v>1</v>
      </c>
      <c r="K509" s="799">
        <f t="shared" si="42"/>
        <v>15150</v>
      </c>
      <c r="L509" s="799">
        <f t="shared" si="43"/>
        <v>15150</v>
      </c>
      <c r="M509" s="799">
        <f t="shared" si="44"/>
        <v>15150</v>
      </c>
      <c r="N509" s="798" t="s">
        <v>15753</v>
      </c>
      <c r="O509" s="800">
        <f t="shared" si="45"/>
        <v>15150</v>
      </c>
      <c r="P509" s="800">
        <f t="shared" si="46"/>
        <v>15150</v>
      </c>
      <c r="Q509" s="801">
        <f t="shared" si="47"/>
        <v>15150</v>
      </c>
    </row>
    <row r="510" spans="1:17" x14ac:dyDescent="0.2">
      <c r="A510" s="802" t="s">
        <v>17853</v>
      </c>
      <c r="B510" s="803" t="s">
        <v>13918</v>
      </c>
      <c r="C510" s="803" t="s">
        <v>17513</v>
      </c>
      <c r="D510" s="803" t="s">
        <v>24462</v>
      </c>
      <c r="E510" s="803" t="s">
        <v>15732</v>
      </c>
      <c r="F510" s="803">
        <v>2</v>
      </c>
      <c r="G510" s="803" t="s">
        <v>1947</v>
      </c>
      <c r="H510" s="803" t="s">
        <v>1947</v>
      </c>
      <c r="I510" s="804">
        <v>18150</v>
      </c>
      <c r="J510" s="803">
        <v>1</v>
      </c>
      <c r="K510" s="804">
        <f t="shared" si="42"/>
        <v>18150</v>
      </c>
      <c r="L510" s="804">
        <f t="shared" si="43"/>
        <v>18150</v>
      </c>
      <c r="M510" s="804">
        <f t="shared" si="44"/>
        <v>18150</v>
      </c>
      <c r="N510" s="803" t="s">
        <v>16141</v>
      </c>
      <c r="O510" s="805">
        <f t="shared" si="45"/>
        <v>18150</v>
      </c>
      <c r="P510" s="805">
        <f t="shared" si="46"/>
        <v>18150</v>
      </c>
      <c r="Q510" s="806">
        <f t="shared" si="47"/>
        <v>18150</v>
      </c>
    </row>
    <row r="511" spans="1:17" x14ac:dyDescent="0.2">
      <c r="A511" s="797" t="s">
        <v>17854</v>
      </c>
      <c r="B511" s="798" t="s">
        <v>13918</v>
      </c>
      <c r="C511" s="798" t="s">
        <v>17513</v>
      </c>
      <c r="D511" s="798" t="s">
        <v>24462</v>
      </c>
      <c r="E511" s="798" t="s">
        <v>15733</v>
      </c>
      <c r="F511" s="798">
        <v>3</v>
      </c>
      <c r="G511" s="798" t="s">
        <v>1947</v>
      </c>
      <c r="H511" s="798" t="s">
        <v>1947</v>
      </c>
      <c r="I511" s="799">
        <v>21500</v>
      </c>
      <c r="J511" s="798">
        <v>1</v>
      </c>
      <c r="K511" s="799">
        <f t="shared" si="42"/>
        <v>21500</v>
      </c>
      <c r="L511" s="799">
        <f t="shared" si="43"/>
        <v>21500</v>
      </c>
      <c r="M511" s="799">
        <f t="shared" si="44"/>
        <v>21500</v>
      </c>
      <c r="N511" s="798" t="s">
        <v>15754</v>
      </c>
      <c r="O511" s="800">
        <f t="shared" si="45"/>
        <v>21500</v>
      </c>
      <c r="P511" s="800">
        <f t="shared" si="46"/>
        <v>21500</v>
      </c>
      <c r="Q511" s="801">
        <f t="shared" si="47"/>
        <v>21500</v>
      </c>
    </row>
    <row r="512" spans="1:17" x14ac:dyDescent="0.2">
      <c r="A512" s="802" t="s">
        <v>16858</v>
      </c>
      <c r="B512" s="803" t="s">
        <v>13918</v>
      </c>
      <c r="C512" s="803" t="s">
        <v>17513</v>
      </c>
      <c r="D512" s="803" t="s">
        <v>24463</v>
      </c>
      <c r="E512" s="803" t="s">
        <v>15731</v>
      </c>
      <c r="F512" s="803">
        <v>1</v>
      </c>
      <c r="G512" s="803" t="s">
        <v>1947</v>
      </c>
      <c r="H512" s="803" t="s">
        <v>1947</v>
      </c>
      <c r="I512" s="804">
        <v>16000</v>
      </c>
      <c r="J512" s="803">
        <v>1</v>
      </c>
      <c r="K512" s="804">
        <f t="shared" si="42"/>
        <v>16000</v>
      </c>
      <c r="L512" s="804">
        <f t="shared" si="43"/>
        <v>16000</v>
      </c>
      <c r="M512" s="804">
        <f t="shared" si="44"/>
        <v>16000</v>
      </c>
      <c r="N512" s="803" t="s">
        <v>15753</v>
      </c>
      <c r="O512" s="805">
        <f t="shared" si="45"/>
        <v>16000</v>
      </c>
      <c r="P512" s="805">
        <f t="shared" si="46"/>
        <v>16000</v>
      </c>
      <c r="Q512" s="806">
        <f t="shared" si="47"/>
        <v>16000</v>
      </c>
    </row>
    <row r="513" spans="1:17" x14ac:dyDescent="0.2">
      <c r="A513" s="797" t="s">
        <v>17855</v>
      </c>
      <c r="B513" s="798" t="s">
        <v>13918</v>
      </c>
      <c r="C513" s="798" t="s">
        <v>17513</v>
      </c>
      <c r="D513" s="798" t="s">
        <v>24463</v>
      </c>
      <c r="E513" s="798" t="s">
        <v>15732</v>
      </c>
      <c r="F513" s="798">
        <v>2</v>
      </c>
      <c r="G513" s="798" t="s">
        <v>1947</v>
      </c>
      <c r="H513" s="798" t="s">
        <v>1947</v>
      </c>
      <c r="I513" s="799">
        <v>19000</v>
      </c>
      <c r="J513" s="798">
        <v>1</v>
      </c>
      <c r="K513" s="799">
        <f t="shared" si="42"/>
        <v>19000</v>
      </c>
      <c r="L513" s="799">
        <f t="shared" si="43"/>
        <v>19000</v>
      </c>
      <c r="M513" s="799">
        <f t="shared" si="44"/>
        <v>19000</v>
      </c>
      <c r="N513" s="798" t="s">
        <v>16141</v>
      </c>
      <c r="O513" s="800">
        <f t="shared" si="45"/>
        <v>19000</v>
      </c>
      <c r="P513" s="800">
        <f t="shared" si="46"/>
        <v>19000</v>
      </c>
      <c r="Q513" s="801">
        <f t="shared" si="47"/>
        <v>19000</v>
      </c>
    </row>
    <row r="514" spans="1:17" x14ac:dyDescent="0.2">
      <c r="A514" s="802" t="s">
        <v>17856</v>
      </c>
      <c r="B514" s="803" t="s">
        <v>13918</v>
      </c>
      <c r="C514" s="803" t="s">
        <v>17513</v>
      </c>
      <c r="D514" s="803" t="s">
        <v>24463</v>
      </c>
      <c r="E514" s="803" t="s">
        <v>15733</v>
      </c>
      <c r="F514" s="803">
        <v>3</v>
      </c>
      <c r="G514" s="803" t="s">
        <v>1947</v>
      </c>
      <c r="H514" s="803" t="s">
        <v>1947</v>
      </c>
      <c r="I514" s="804">
        <v>22000</v>
      </c>
      <c r="J514" s="803">
        <v>1</v>
      </c>
      <c r="K514" s="804">
        <f t="shared" ref="K514:K577" si="48">+I514</f>
        <v>22000</v>
      </c>
      <c r="L514" s="804">
        <f t="shared" ref="L514:L577" si="49">+I514</f>
        <v>22000</v>
      </c>
      <c r="M514" s="804">
        <f t="shared" ref="M514:M577" si="50">+I514</f>
        <v>22000</v>
      </c>
      <c r="N514" s="803" t="s">
        <v>15754</v>
      </c>
      <c r="O514" s="805">
        <f t="shared" ref="O514:O577" si="51">+J514*K514</f>
        <v>22000</v>
      </c>
      <c r="P514" s="805">
        <f t="shared" ref="P514:P577" si="52">+J514*L514</f>
        <v>22000</v>
      </c>
      <c r="Q514" s="806">
        <f t="shared" ref="Q514:Q577" si="53">+J514*M514</f>
        <v>22000</v>
      </c>
    </row>
    <row r="515" spans="1:17" x14ac:dyDescent="0.2">
      <c r="A515" s="797" t="s">
        <v>16865</v>
      </c>
      <c r="B515" s="798" t="s">
        <v>13918</v>
      </c>
      <c r="C515" s="798" t="s">
        <v>17513</v>
      </c>
      <c r="D515" s="798" t="s">
        <v>24464</v>
      </c>
      <c r="E515" s="798" t="s">
        <v>15731</v>
      </c>
      <c r="F515" s="798">
        <v>1</v>
      </c>
      <c r="G515" s="798" t="s">
        <v>1947</v>
      </c>
      <c r="H515" s="798" t="s">
        <v>1947</v>
      </c>
      <c r="I515" s="799">
        <v>15200</v>
      </c>
      <c r="J515" s="798">
        <v>1</v>
      </c>
      <c r="K515" s="799">
        <f t="shared" si="48"/>
        <v>15200</v>
      </c>
      <c r="L515" s="799">
        <f t="shared" si="49"/>
        <v>15200</v>
      </c>
      <c r="M515" s="799">
        <f t="shared" si="50"/>
        <v>15200</v>
      </c>
      <c r="N515" s="798" t="s">
        <v>15753</v>
      </c>
      <c r="O515" s="800">
        <f t="shared" si="51"/>
        <v>15200</v>
      </c>
      <c r="P515" s="800">
        <f t="shared" si="52"/>
        <v>15200</v>
      </c>
      <c r="Q515" s="801">
        <f t="shared" si="53"/>
        <v>15200</v>
      </c>
    </row>
    <row r="516" spans="1:17" x14ac:dyDescent="0.2">
      <c r="A516" s="802" t="s">
        <v>17857</v>
      </c>
      <c r="B516" s="803" t="s">
        <v>13918</v>
      </c>
      <c r="C516" s="803" t="s">
        <v>17513</v>
      </c>
      <c r="D516" s="803" t="s">
        <v>24464</v>
      </c>
      <c r="E516" s="803" t="s">
        <v>15732</v>
      </c>
      <c r="F516" s="803">
        <v>2</v>
      </c>
      <c r="G516" s="803" t="s">
        <v>1947</v>
      </c>
      <c r="H516" s="803" t="s">
        <v>1947</v>
      </c>
      <c r="I516" s="804">
        <v>18200</v>
      </c>
      <c r="J516" s="803">
        <v>1</v>
      </c>
      <c r="K516" s="804">
        <f t="shared" si="48"/>
        <v>18200</v>
      </c>
      <c r="L516" s="804">
        <f t="shared" si="49"/>
        <v>18200</v>
      </c>
      <c r="M516" s="804">
        <f t="shared" si="50"/>
        <v>18200</v>
      </c>
      <c r="N516" s="803" t="s">
        <v>16141</v>
      </c>
      <c r="O516" s="805">
        <f t="shared" si="51"/>
        <v>18200</v>
      </c>
      <c r="P516" s="805">
        <f t="shared" si="52"/>
        <v>18200</v>
      </c>
      <c r="Q516" s="806">
        <f t="shared" si="53"/>
        <v>18200</v>
      </c>
    </row>
    <row r="517" spans="1:17" x14ac:dyDescent="0.2">
      <c r="A517" s="797" t="s">
        <v>17858</v>
      </c>
      <c r="B517" s="798" t="s">
        <v>13918</v>
      </c>
      <c r="C517" s="798" t="s">
        <v>17513</v>
      </c>
      <c r="D517" s="798" t="s">
        <v>24464</v>
      </c>
      <c r="E517" s="798" t="s">
        <v>15733</v>
      </c>
      <c r="F517" s="798">
        <v>3</v>
      </c>
      <c r="G517" s="798" t="s">
        <v>1947</v>
      </c>
      <c r="H517" s="798" t="s">
        <v>1947</v>
      </c>
      <c r="I517" s="799">
        <v>21500</v>
      </c>
      <c r="J517" s="798">
        <v>1</v>
      </c>
      <c r="K517" s="799">
        <f t="shared" si="48"/>
        <v>21500</v>
      </c>
      <c r="L517" s="799">
        <f t="shared" si="49"/>
        <v>21500</v>
      </c>
      <c r="M517" s="799">
        <f t="shared" si="50"/>
        <v>21500</v>
      </c>
      <c r="N517" s="798" t="s">
        <v>15754</v>
      </c>
      <c r="O517" s="800">
        <f t="shared" si="51"/>
        <v>21500</v>
      </c>
      <c r="P517" s="800">
        <f t="shared" si="52"/>
        <v>21500</v>
      </c>
      <c r="Q517" s="801">
        <f t="shared" si="53"/>
        <v>21500</v>
      </c>
    </row>
    <row r="518" spans="1:17" x14ac:dyDescent="0.2">
      <c r="A518" s="802" t="s">
        <v>16875</v>
      </c>
      <c r="B518" s="803" t="s">
        <v>13918</v>
      </c>
      <c r="C518" s="803" t="s">
        <v>17513</v>
      </c>
      <c r="D518" s="803" t="s">
        <v>24465</v>
      </c>
      <c r="E518" s="803" t="s">
        <v>15731</v>
      </c>
      <c r="F518" s="803">
        <v>1</v>
      </c>
      <c r="G518" s="803" t="s">
        <v>1947</v>
      </c>
      <c r="H518" s="803" t="s">
        <v>1947</v>
      </c>
      <c r="I518" s="804">
        <v>23000</v>
      </c>
      <c r="J518" s="803">
        <v>1</v>
      </c>
      <c r="K518" s="804">
        <f t="shared" si="48"/>
        <v>23000</v>
      </c>
      <c r="L518" s="804">
        <f t="shared" si="49"/>
        <v>23000</v>
      </c>
      <c r="M518" s="804">
        <f t="shared" si="50"/>
        <v>23000</v>
      </c>
      <c r="N518" s="803" t="s">
        <v>16803</v>
      </c>
      <c r="O518" s="805">
        <f t="shared" si="51"/>
        <v>23000</v>
      </c>
      <c r="P518" s="805">
        <f t="shared" si="52"/>
        <v>23000</v>
      </c>
      <c r="Q518" s="806">
        <f t="shared" si="53"/>
        <v>23000</v>
      </c>
    </row>
    <row r="519" spans="1:17" x14ac:dyDescent="0.2">
      <c r="A519" s="797" t="s">
        <v>17859</v>
      </c>
      <c r="B519" s="798" t="s">
        <v>13918</v>
      </c>
      <c r="C519" s="798" t="s">
        <v>17513</v>
      </c>
      <c r="D519" s="798" t="s">
        <v>24465</v>
      </c>
      <c r="E519" s="798" t="s">
        <v>15732</v>
      </c>
      <c r="F519" s="798">
        <v>2</v>
      </c>
      <c r="G519" s="798" t="s">
        <v>1947</v>
      </c>
      <c r="H519" s="798" t="s">
        <v>1947</v>
      </c>
      <c r="I519" s="799">
        <v>26000</v>
      </c>
      <c r="J519" s="798">
        <v>1</v>
      </c>
      <c r="K519" s="799">
        <f t="shared" si="48"/>
        <v>26000</v>
      </c>
      <c r="L519" s="799">
        <f t="shared" si="49"/>
        <v>26000</v>
      </c>
      <c r="M519" s="799">
        <f t="shared" si="50"/>
        <v>26000</v>
      </c>
      <c r="N519" s="798" t="s">
        <v>16803</v>
      </c>
      <c r="O519" s="800">
        <f t="shared" si="51"/>
        <v>26000</v>
      </c>
      <c r="P519" s="800">
        <f t="shared" si="52"/>
        <v>26000</v>
      </c>
      <c r="Q519" s="801">
        <f t="shared" si="53"/>
        <v>26000</v>
      </c>
    </row>
    <row r="520" spans="1:17" x14ac:dyDescent="0.2">
      <c r="A520" s="802" t="s">
        <v>17860</v>
      </c>
      <c r="B520" s="803" t="s">
        <v>13918</v>
      </c>
      <c r="C520" s="803" t="s">
        <v>17513</v>
      </c>
      <c r="D520" s="803" t="s">
        <v>24465</v>
      </c>
      <c r="E520" s="803" t="s">
        <v>15733</v>
      </c>
      <c r="F520" s="803">
        <v>3</v>
      </c>
      <c r="G520" s="803" t="s">
        <v>1947</v>
      </c>
      <c r="H520" s="803" t="s">
        <v>1947</v>
      </c>
      <c r="I520" s="804">
        <v>30000</v>
      </c>
      <c r="J520" s="803">
        <v>1</v>
      </c>
      <c r="K520" s="804">
        <f t="shared" si="48"/>
        <v>30000</v>
      </c>
      <c r="L520" s="804">
        <f t="shared" si="49"/>
        <v>30000</v>
      </c>
      <c r="M520" s="804">
        <f t="shared" si="50"/>
        <v>30000</v>
      </c>
      <c r="N520" s="803" t="s">
        <v>16803</v>
      </c>
      <c r="O520" s="805">
        <f t="shared" si="51"/>
        <v>30000</v>
      </c>
      <c r="P520" s="805">
        <f t="shared" si="52"/>
        <v>30000</v>
      </c>
      <c r="Q520" s="806">
        <f t="shared" si="53"/>
        <v>30000</v>
      </c>
    </row>
    <row r="521" spans="1:17" x14ac:dyDescent="0.2">
      <c r="A521" s="797" t="s">
        <v>16895</v>
      </c>
      <c r="B521" s="798" t="s">
        <v>13918</v>
      </c>
      <c r="C521" s="798" t="s">
        <v>17513</v>
      </c>
      <c r="D521" s="798" t="s">
        <v>24466</v>
      </c>
      <c r="E521" s="798" t="s">
        <v>15731</v>
      </c>
      <c r="F521" s="798">
        <v>1</v>
      </c>
      <c r="G521" s="798" t="s">
        <v>1103</v>
      </c>
      <c r="H521" s="798" t="s">
        <v>1103</v>
      </c>
      <c r="I521" s="799">
        <v>16000</v>
      </c>
      <c r="J521" s="798">
        <v>1</v>
      </c>
      <c r="K521" s="799">
        <f t="shared" si="48"/>
        <v>16000</v>
      </c>
      <c r="L521" s="799">
        <f t="shared" si="49"/>
        <v>16000</v>
      </c>
      <c r="M521" s="799">
        <f t="shared" si="50"/>
        <v>16000</v>
      </c>
      <c r="N521" s="798" t="s">
        <v>15753</v>
      </c>
      <c r="O521" s="800">
        <f t="shared" si="51"/>
        <v>16000</v>
      </c>
      <c r="P521" s="800">
        <f t="shared" si="52"/>
        <v>16000</v>
      </c>
      <c r="Q521" s="801">
        <f t="shared" si="53"/>
        <v>16000</v>
      </c>
    </row>
    <row r="522" spans="1:17" x14ac:dyDescent="0.2">
      <c r="A522" s="802" t="s">
        <v>17861</v>
      </c>
      <c r="B522" s="803" t="s">
        <v>13918</v>
      </c>
      <c r="C522" s="803" t="s">
        <v>17513</v>
      </c>
      <c r="D522" s="803" t="s">
        <v>24466</v>
      </c>
      <c r="E522" s="803" t="s">
        <v>15732</v>
      </c>
      <c r="F522" s="803">
        <v>2</v>
      </c>
      <c r="G522" s="803" t="s">
        <v>1103</v>
      </c>
      <c r="H522" s="803" t="s">
        <v>1103</v>
      </c>
      <c r="I522" s="804">
        <v>19000</v>
      </c>
      <c r="J522" s="803">
        <v>1</v>
      </c>
      <c r="K522" s="804">
        <f t="shared" si="48"/>
        <v>19000</v>
      </c>
      <c r="L522" s="804">
        <f t="shared" si="49"/>
        <v>19000</v>
      </c>
      <c r="M522" s="804">
        <f t="shared" si="50"/>
        <v>19000</v>
      </c>
      <c r="N522" s="803" t="s">
        <v>16141</v>
      </c>
      <c r="O522" s="805">
        <f t="shared" si="51"/>
        <v>19000</v>
      </c>
      <c r="P522" s="805">
        <f t="shared" si="52"/>
        <v>19000</v>
      </c>
      <c r="Q522" s="806">
        <f t="shared" si="53"/>
        <v>19000</v>
      </c>
    </row>
    <row r="523" spans="1:17" x14ac:dyDescent="0.2">
      <c r="A523" s="797" t="s">
        <v>17862</v>
      </c>
      <c r="B523" s="798" t="s">
        <v>13918</v>
      </c>
      <c r="C523" s="798" t="s">
        <v>17513</v>
      </c>
      <c r="D523" s="798" t="s">
        <v>24466</v>
      </c>
      <c r="E523" s="798" t="s">
        <v>15733</v>
      </c>
      <c r="F523" s="798">
        <v>3</v>
      </c>
      <c r="G523" s="798" t="s">
        <v>1103</v>
      </c>
      <c r="H523" s="798" t="s">
        <v>1103</v>
      </c>
      <c r="I523" s="799">
        <v>22000</v>
      </c>
      <c r="J523" s="798">
        <v>1</v>
      </c>
      <c r="K523" s="799">
        <f t="shared" si="48"/>
        <v>22000</v>
      </c>
      <c r="L523" s="799">
        <f t="shared" si="49"/>
        <v>22000</v>
      </c>
      <c r="M523" s="799">
        <f t="shared" si="50"/>
        <v>22000</v>
      </c>
      <c r="N523" s="798" t="s">
        <v>15754</v>
      </c>
      <c r="O523" s="800">
        <f t="shared" si="51"/>
        <v>22000</v>
      </c>
      <c r="P523" s="800">
        <f t="shared" si="52"/>
        <v>22000</v>
      </c>
      <c r="Q523" s="801">
        <f t="shared" si="53"/>
        <v>22000</v>
      </c>
    </row>
    <row r="524" spans="1:17" x14ac:dyDescent="0.2">
      <c r="A524" s="802" t="s">
        <v>16902</v>
      </c>
      <c r="B524" s="803" t="s">
        <v>13918</v>
      </c>
      <c r="C524" s="803" t="s">
        <v>17513</v>
      </c>
      <c r="D524" s="803" t="s">
        <v>24467</v>
      </c>
      <c r="E524" s="803" t="s">
        <v>15731</v>
      </c>
      <c r="F524" s="803">
        <v>1</v>
      </c>
      <c r="G524" s="803" t="s">
        <v>1103</v>
      </c>
      <c r="H524" s="803" t="s">
        <v>1103</v>
      </c>
      <c r="I524" s="804">
        <v>16050</v>
      </c>
      <c r="J524" s="803">
        <v>1</v>
      </c>
      <c r="K524" s="804">
        <f t="shared" si="48"/>
        <v>16050</v>
      </c>
      <c r="L524" s="804">
        <f t="shared" si="49"/>
        <v>16050</v>
      </c>
      <c r="M524" s="804">
        <f t="shared" si="50"/>
        <v>16050</v>
      </c>
      <c r="N524" s="803" t="s">
        <v>15753</v>
      </c>
      <c r="O524" s="805">
        <f t="shared" si="51"/>
        <v>16050</v>
      </c>
      <c r="P524" s="805">
        <f t="shared" si="52"/>
        <v>16050</v>
      </c>
      <c r="Q524" s="806">
        <f t="shared" si="53"/>
        <v>16050</v>
      </c>
    </row>
    <row r="525" spans="1:17" x14ac:dyDescent="0.2">
      <c r="A525" s="797" t="s">
        <v>17863</v>
      </c>
      <c r="B525" s="798" t="s">
        <v>13918</v>
      </c>
      <c r="C525" s="798" t="s">
        <v>17513</v>
      </c>
      <c r="D525" s="798" t="s">
        <v>24467</v>
      </c>
      <c r="E525" s="798" t="s">
        <v>15732</v>
      </c>
      <c r="F525" s="798">
        <v>2</v>
      </c>
      <c r="G525" s="798" t="s">
        <v>1103</v>
      </c>
      <c r="H525" s="798" t="s">
        <v>1103</v>
      </c>
      <c r="I525" s="799">
        <v>19050</v>
      </c>
      <c r="J525" s="798">
        <v>1</v>
      </c>
      <c r="K525" s="799">
        <f t="shared" si="48"/>
        <v>19050</v>
      </c>
      <c r="L525" s="799">
        <f t="shared" si="49"/>
        <v>19050</v>
      </c>
      <c r="M525" s="799">
        <f t="shared" si="50"/>
        <v>19050</v>
      </c>
      <c r="N525" s="798" t="s">
        <v>16141</v>
      </c>
      <c r="O525" s="800">
        <f t="shared" si="51"/>
        <v>19050</v>
      </c>
      <c r="P525" s="800">
        <f t="shared" si="52"/>
        <v>19050</v>
      </c>
      <c r="Q525" s="801">
        <f t="shared" si="53"/>
        <v>19050</v>
      </c>
    </row>
    <row r="526" spans="1:17" x14ac:dyDescent="0.2">
      <c r="A526" s="802" t="s">
        <v>17864</v>
      </c>
      <c r="B526" s="803" t="s">
        <v>13918</v>
      </c>
      <c r="C526" s="803" t="s">
        <v>17513</v>
      </c>
      <c r="D526" s="803" t="s">
        <v>24467</v>
      </c>
      <c r="E526" s="803" t="s">
        <v>15733</v>
      </c>
      <c r="F526" s="803">
        <v>3</v>
      </c>
      <c r="G526" s="803" t="s">
        <v>1103</v>
      </c>
      <c r="H526" s="803" t="s">
        <v>1103</v>
      </c>
      <c r="I526" s="804">
        <v>22000</v>
      </c>
      <c r="J526" s="803">
        <v>1</v>
      </c>
      <c r="K526" s="804">
        <f t="shared" si="48"/>
        <v>22000</v>
      </c>
      <c r="L526" s="804">
        <f t="shared" si="49"/>
        <v>22000</v>
      </c>
      <c r="M526" s="804">
        <f t="shared" si="50"/>
        <v>22000</v>
      </c>
      <c r="N526" s="803" t="s">
        <v>15754</v>
      </c>
      <c r="O526" s="805">
        <f t="shared" si="51"/>
        <v>22000</v>
      </c>
      <c r="P526" s="805">
        <f t="shared" si="52"/>
        <v>22000</v>
      </c>
      <c r="Q526" s="806">
        <f t="shared" si="53"/>
        <v>22000</v>
      </c>
    </row>
    <row r="527" spans="1:17" x14ac:dyDescent="0.2">
      <c r="A527" s="797" t="s">
        <v>16909</v>
      </c>
      <c r="B527" s="798" t="s">
        <v>13918</v>
      </c>
      <c r="C527" s="798" t="s">
        <v>17513</v>
      </c>
      <c r="D527" s="798" t="s">
        <v>24468</v>
      </c>
      <c r="E527" s="798" t="s">
        <v>15731</v>
      </c>
      <c r="F527" s="798">
        <v>1</v>
      </c>
      <c r="G527" s="798" t="s">
        <v>2837</v>
      </c>
      <c r="H527" s="798" t="s">
        <v>2837</v>
      </c>
      <c r="I527" s="799">
        <v>23500</v>
      </c>
      <c r="J527" s="798">
        <v>1</v>
      </c>
      <c r="K527" s="799">
        <f t="shared" si="48"/>
        <v>23500</v>
      </c>
      <c r="L527" s="799">
        <f t="shared" si="49"/>
        <v>23500</v>
      </c>
      <c r="M527" s="799">
        <f t="shared" si="50"/>
        <v>23500</v>
      </c>
      <c r="N527" s="798" t="s">
        <v>16665</v>
      </c>
      <c r="O527" s="800">
        <f t="shared" si="51"/>
        <v>23500</v>
      </c>
      <c r="P527" s="800">
        <f t="shared" si="52"/>
        <v>23500</v>
      </c>
      <c r="Q527" s="801">
        <f t="shared" si="53"/>
        <v>23500</v>
      </c>
    </row>
    <row r="528" spans="1:17" x14ac:dyDescent="0.2">
      <c r="A528" s="802" t="s">
        <v>17865</v>
      </c>
      <c r="B528" s="803" t="s">
        <v>13918</v>
      </c>
      <c r="C528" s="803" t="s">
        <v>17513</v>
      </c>
      <c r="D528" s="803" t="s">
        <v>24468</v>
      </c>
      <c r="E528" s="803" t="s">
        <v>15732</v>
      </c>
      <c r="F528" s="803">
        <v>2</v>
      </c>
      <c r="G528" s="803" t="s">
        <v>2837</v>
      </c>
      <c r="H528" s="803" t="s">
        <v>2837</v>
      </c>
      <c r="I528" s="804">
        <v>26500</v>
      </c>
      <c r="J528" s="803">
        <v>1</v>
      </c>
      <c r="K528" s="804">
        <f t="shared" si="48"/>
        <v>26500</v>
      </c>
      <c r="L528" s="804">
        <f t="shared" si="49"/>
        <v>26500</v>
      </c>
      <c r="M528" s="804">
        <f t="shared" si="50"/>
        <v>26500</v>
      </c>
      <c r="N528" s="803" t="s">
        <v>16665</v>
      </c>
      <c r="O528" s="805">
        <f t="shared" si="51"/>
        <v>26500</v>
      </c>
      <c r="P528" s="805">
        <f t="shared" si="52"/>
        <v>26500</v>
      </c>
      <c r="Q528" s="806">
        <f t="shared" si="53"/>
        <v>26500</v>
      </c>
    </row>
    <row r="529" spans="1:17" x14ac:dyDescent="0.2">
      <c r="A529" s="797" t="s">
        <v>17866</v>
      </c>
      <c r="B529" s="798" t="s">
        <v>13918</v>
      </c>
      <c r="C529" s="798" t="s">
        <v>17513</v>
      </c>
      <c r="D529" s="798" t="s">
        <v>24468</v>
      </c>
      <c r="E529" s="798" t="s">
        <v>15733</v>
      </c>
      <c r="F529" s="798">
        <v>3</v>
      </c>
      <c r="G529" s="798" t="s">
        <v>2837</v>
      </c>
      <c r="H529" s="798" t="s">
        <v>2837</v>
      </c>
      <c r="I529" s="799">
        <v>30500</v>
      </c>
      <c r="J529" s="798">
        <v>1</v>
      </c>
      <c r="K529" s="799">
        <f t="shared" si="48"/>
        <v>30500</v>
      </c>
      <c r="L529" s="799">
        <f t="shared" si="49"/>
        <v>30500</v>
      </c>
      <c r="M529" s="799">
        <f t="shared" si="50"/>
        <v>30500</v>
      </c>
      <c r="N529" s="798" t="s">
        <v>16665</v>
      </c>
      <c r="O529" s="800">
        <f t="shared" si="51"/>
        <v>30500</v>
      </c>
      <c r="P529" s="800">
        <f t="shared" si="52"/>
        <v>30500</v>
      </c>
      <c r="Q529" s="801">
        <f t="shared" si="53"/>
        <v>30500</v>
      </c>
    </row>
    <row r="530" spans="1:17" x14ac:dyDescent="0.2">
      <c r="A530" s="802" t="s">
        <v>16914</v>
      </c>
      <c r="B530" s="803" t="s">
        <v>13918</v>
      </c>
      <c r="C530" s="803" t="s">
        <v>17513</v>
      </c>
      <c r="D530" s="803" t="s">
        <v>24469</v>
      </c>
      <c r="E530" s="803" t="s">
        <v>15731</v>
      </c>
      <c r="F530" s="803">
        <v>1</v>
      </c>
      <c r="G530" s="803" t="s">
        <v>2837</v>
      </c>
      <c r="H530" s="803" t="s">
        <v>2837</v>
      </c>
      <c r="I530" s="804">
        <v>24000</v>
      </c>
      <c r="J530" s="803">
        <v>1</v>
      </c>
      <c r="K530" s="804">
        <f t="shared" si="48"/>
        <v>24000</v>
      </c>
      <c r="L530" s="804">
        <f t="shared" si="49"/>
        <v>24000</v>
      </c>
      <c r="M530" s="804">
        <f t="shared" si="50"/>
        <v>24000</v>
      </c>
      <c r="N530" s="803" t="s">
        <v>16803</v>
      </c>
      <c r="O530" s="805">
        <f t="shared" si="51"/>
        <v>24000</v>
      </c>
      <c r="P530" s="805">
        <f t="shared" si="52"/>
        <v>24000</v>
      </c>
      <c r="Q530" s="806">
        <f t="shared" si="53"/>
        <v>24000</v>
      </c>
    </row>
    <row r="531" spans="1:17" x14ac:dyDescent="0.2">
      <c r="A531" s="797" t="s">
        <v>17867</v>
      </c>
      <c r="B531" s="798" t="s">
        <v>13918</v>
      </c>
      <c r="C531" s="798" t="s">
        <v>17513</v>
      </c>
      <c r="D531" s="798" t="s">
        <v>24469</v>
      </c>
      <c r="E531" s="798" t="s">
        <v>15732</v>
      </c>
      <c r="F531" s="798">
        <v>2</v>
      </c>
      <c r="G531" s="798" t="s">
        <v>2837</v>
      </c>
      <c r="H531" s="798" t="s">
        <v>2837</v>
      </c>
      <c r="I531" s="799">
        <v>27000</v>
      </c>
      <c r="J531" s="798">
        <v>1</v>
      </c>
      <c r="K531" s="799">
        <f t="shared" si="48"/>
        <v>27000</v>
      </c>
      <c r="L531" s="799">
        <f t="shared" si="49"/>
        <v>27000</v>
      </c>
      <c r="M531" s="799">
        <f t="shared" si="50"/>
        <v>27000</v>
      </c>
      <c r="N531" s="798" t="s">
        <v>16803</v>
      </c>
      <c r="O531" s="800">
        <f t="shared" si="51"/>
        <v>27000</v>
      </c>
      <c r="P531" s="800">
        <f t="shared" si="52"/>
        <v>27000</v>
      </c>
      <c r="Q531" s="801">
        <f t="shared" si="53"/>
        <v>27000</v>
      </c>
    </row>
    <row r="532" spans="1:17" x14ac:dyDescent="0.2">
      <c r="A532" s="802" t="s">
        <v>17868</v>
      </c>
      <c r="B532" s="803" t="s">
        <v>13918</v>
      </c>
      <c r="C532" s="803" t="s">
        <v>17513</v>
      </c>
      <c r="D532" s="803" t="s">
        <v>24469</v>
      </c>
      <c r="E532" s="803" t="s">
        <v>15733</v>
      </c>
      <c r="F532" s="803">
        <v>3</v>
      </c>
      <c r="G532" s="803" t="s">
        <v>2837</v>
      </c>
      <c r="H532" s="803" t="s">
        <v>2837</v>
      </c>
      <c r="I532" s="804">
        <v>31000</v>
      </c>
      <c r="J532" s="803">
        <v>1</v>
      </c>
      <c r="K532" s="804">
        <f t="shared" si="48"/>
        <v>31000</v>
      </c>
      <c r="L532" s="804">
        <f t="shared" si="49"/>
        <v>31000</v>
      </c>
      <c r="M532" s="804">
        <f t="shared" si="50"/>
        <v>31000</v>
      </c>
      <c r="N532" s="803" t="s">
        <v>16803</v>
      </c>
      <c r="O532" s="805">
        <f t="shared" si="51"/>
        <v>31000</v>
      </c>
      <c r="P532" s="805">
        <f t="shared" si="52"/>
        <v>31000</v>
      </c>
      <c r="Q532" s="806">
        <f t="shared" si="53"/>
        <v>31000</v>
      </c>
    </row>
    <row r="533" spans="1:17" x14ac:dyDescent="0.2">
      <c r="A533" s="797" t="s">
        <v>16920</v>
      </c>
      <c r="B533" s="798" t="s">
        <v>13918</v>
      </c>
      <c r="C533" s="798" t="s">
        <v>17513</v>
      </c>
      <c r="D533" s="798" t="s">
        <v>24470</v>
      </c>
      <c r="E533" s="798" t="s">
        <v>15731</v>
      </c>
      <c r="F533" s="798">
        <v>1</v>
      </c>
      <c r="G533" s="798" t="s">
        <v>1103</v>
      </c>
      <c r="H533" s="798" t="s">
        <v>1103</v>
      </c>
      <c r="I533" s="799">
        <v>16100</v>
      </c>
      <c r="J533" s="798">
        <v>1</v>
      </c>
      <c r="K533" s="799">
        <f t="shared" si="48"/>
        <v>16100</v>
      </c>
      <c r="L533" s="799">
        <f t="shared" si="49"/>
        <v>16100</v>
      </c>
      <c r="M533" s="799">
        <f t="shared" si="50"/>
        <v>16100</v>
      </c>
      <c r="N533" s="798" t="s">
        <v>15753</v>
      </c>
      <c r="O533" s="800">
        <f t="shared" si="51"/>
        <v>16100</v>
      </c>
      <c r="P533" s="800">
        <f t="shared" si="52"/>
        <v>16100</v>
      </c>
      <c r="Q533" s="801">
        <f t="shared" si="53"/>
        <v>16100</v>
      </c>
    </row>
    <row r="534" spans="1:17" x14ac:dyDescent="0.2">
      <c r="A534" s="802" t="s">
        <v>17869</v>
      </c>
      <c r="B534" s="803" t="s">
        <v>13918</v>
      </c>
      <c r="C534" s="803" t="s">
        <v>17513</v>
      </c>
      <c r="D534" s="803" t="s">
        <v>24470</v>
      </c>
      <c r="E534" s="803" t="s">
        <v>15732</v>
      </c>
      <c r="F534" s="803">
        <v>2</v>
      </c>
      <c r="G534" s="803" t="s">
        <v>1103</v>
      </c>
      <c r="H534" s="803" t="s">
        <v>1103</v>
      </c>
      <c r="I534" s="804">
        <v>19100</v>
      </c>
      <c r="J534" s="803">
        <v>1</v>
      </c>
      <c r="K534" s="804">
        <f t="shared" si="48"/>
        <v>19100</v>
      </c>
      <c r="L534" s="804">
        <f t="shared" si="49"/>
        <v>19100</v>
      </c>
      <c r="M534" s="804">
        <f t="shared" si="50"/>
        <v>19100</v>
      </c>
      <c r="N534" s="803" t="s">
        <v>16141</v>
      </c>
      <c r="O534" s="805">
        <f t="shared" si="51"/>
        <v>19100</v>
      </c>
      <c r="P534" s="805">
        <f t="shared" si="52"/>
        <v>19100</v>
      </c>
      <c r="Q534" s="806">
        <f t="shared" si="53"/>
        <v>19100</v>
      </c>
    </row>
    <row r="535" spans="1:17" x14ac:dyDescent="0.2">
      <c r="A535" s="797" t="s">
        <v>17870</v>
      </c>
      <c r="B535" s="798" t="s">
        <v>13918</v>
      </c>
      <c r="C535" s="798" t="s">
        <v>17513</v>
      </c>
      <c r="D535" s="798" t="s">
        <v>24470</v>
      </c>
      <c r="E535" s="798" t="s">
        <v>15733</v>
      </c>
      <c r="F535" s="798">
        <v>3</v>
      </c>
      <c r="G535" s="798" t="s">
        <v>1103</v>
      </c>
      <c r="H535" s="798" t="s">
        <v>1103</v>
      </c>
      <c r="I535" s="799">
        <v>22000</v>
      </c>
      <c r="J535" s="798">
        <v>1</v>
      </c>
      <c r="K535" s="799">
        <f t="shared" si="48"/>
        <v>22000</v>
      </c>
      <c r="L535" s="799">
        <f t="shared" si="49"/>
        <v>22000</v>
      </c>
      <c r="M535" s="799">
        <f t="shared" si="50"/>
        <v>22000</v>
      </c>
      <c r="N535" s="798" t="s">
        <v>15754</v>
      </c>
      <c r="O535" s="800">
        <f t="shared" si="51"/>
        <v>22000</v>
      </c>
      <c r="P535" s="800">
        <f t="shared" si="52"/>
        <v>22000</v>
      </c>
      <c r="Q535" s="801">
        <f t="shared" si="53"/>
        <v>22000</v>
      </c>
    </row>
    <row r="536" spans="1:17" x14ac:dyDescent="0.2">
      <c r="A536" s="802" t="s">
        <v>16927</v>
      </c>
      <c r="B536" s="803" t="s">
        <v>13918</v>
      </c>
      <c r="C536" s="803" t="s">
        <v>17513</v>
      </c>
      <c r="D536" s="803" t="s">
        <v>24471</v>
      </c>
      <c r="E536" s="803" t="s">
        <v>15731</v>
      </c>
      <c r="F536" s="803">
        <v>1</v>
      </c>
      <c r="G536" s="803" t="s">
        <v>1103</v>
      </c>
      <c r="H536" s="803" t="s">
        <v>1103</v>
      </c>
      <c r="I536" s="804">
        <v>16150</v>
      </c>
      <c r="J536" s="803">
        <v>1</v>
      </c>
      <c r="K536" s="804">
        <f t="shared" si="48"/>
        <v>16150</v>
      </c>
      <c r="L536" s="804">
        <f t="shared" si="49"/>
        <v>16150</v>
      </c>
      <c r="M536" s="804">
        <f t="shared" si="50"/>
        <v>16150</v>
      </c>
      <c r="N536" s="803" t="s">
        <v>15753</v>
      </c>
      <c r="O536" s="805">
        <f t="shared" si="51"/>
        <v>16150</v>
      </c>
      <c r="P536" s="805">
        <f t="shared" si="52"/>
        <v>16150</v>
      </c>
      <c r="Q536" s="806">
        <f t="shared" si="53"/>
        <v>16150</v>
      </c>
    </row>
    <row r="537" spans="1:17" x14ac:dyDescent="0.2">
      <c r="A537" s="797" t="s">
        <v>17871</v>
      </c>
      <c r="B537" s="798" t="s">
        <v>13918</v>
      </c>
      <c r="C537" s="798" t="s">
        <v>17513</v>
      </c>
      <c r="D537" s="798" t="s">
        <v>24471</v>
      </c>
      <c r="E537" s="798" t="s">
        <v>15732</v>
      </c>
      <c r="F537" s="798">
        <v>2</v>
      </c>
      <c r="G537" s="798" t="s">
        <v>1103</v>
      </c>
      <c r="H537" s="798" t="s">
        <v>1103</v>
      </c>
      <c r="I537" s="799">
        <v>19150</v>
      </c>
      <c r="J537" s="798">
        <v>1</v>
      </c>
      <c r="K537" s="799">
        <f t="shared" si="48"/>
        <v>19150</v>
      </c>
      <c r="L537" s="799">
        <f t="shared" si="49"/>
        <v>19150</v>
      </c>
      <c r="M537" s="799">
        <f t="shared" si="50"/>
        <v>19150</v>
      </c>
      <c r="N537" s="798" t="s">
        <v>16141</v>
      </c>
      <c r="O537" s="800">
        <f t="shared" si="51"/>
        <v>19150</v>
      </c>
      <c r="P537" s="800">
        <f t="shared" si="52"/>
        <v>19150</v>
      </c>
      <c r="Q537" s="801">
        <f t="shared" si="53"/>
        <v>19150</v>
      </c>
    </row>
    <row r="538" spans="1:17" x14ac:dyDescent="0.2">
      <c r="A538" s="802" t="s">
        <v>17872</v>
      </c>
      <c r="B538" s="803" t="s">
        <v>13918</v>
      </c>
      <c r="C538" s="803" t="s">
        <v>17513</v>
      </c>
      <c r="D538" s="803" t="s">
        <v>24471</v>
      </c>
      <c r="E538" s="803" t="s">
        <v>15733</v>
      </c>
      <c r="F538" s="803">
        <v>3</v>
      </c>
      <c r="G538" s="803" t="s">
        <v>1103</v>
      </c>
      <c r="H538" s="803" t="s">
        <v>1103</v>
      </c>
      <c r="I538" s="804">
        <v>22000</v>
      </c>
      <c r="J538" s="803">
        <v>1</v>
      </c>
      <c r="K538" s="804">
        <f t="shared" si="48"/>
        <v>22000</v>
      </c>
      <c r="L538" s="804">
        <f t="shared" si="49"/>
        <v>22000</v>
      </c>
      <c r="M538" s="804">
        <f t="shared" si="50"/>
        <v>22000</v>
      </c>
      <c r="N538" s="803" t="s">
        <v>15754</v>
      </c>
      <c r="O538" s="805">
        <f t="shared" si="51"/>
        <v>22000</v>
      </c>
      <c r="P538" s="805">
        <f t="shared" si="52"/>
        <v>22000</v>
      </c>
      <c r="Q538" s="806">
        <f t="shared" si="53"/>
        <v>22000</v>
      </c>
    </row>
    <row r="539" spans="1:17" x14ac:dyDescent="0.2">
      <c r="A539" s="797" t="s">
        <v>16933</v>
      </c>
      <c r="B539" s="798" t="s">
        <v>13918</v>
      </c>
      <c r="C539" s="798" t="s">
        <v>17513</v>
      </c>
      <c r="D539" s="798" t="s">
        <v>24472</v>
      </c>
      <c r="E539" s="798" t="s">
        <v>15731</v>
      </c>
      <c r="F539" s="798">
        <v>1</v>
      </c>
      <c r="G539" s="798" t="s">
        <v>1103</v>
      </c>
      <c r="H539" s="798" t="s">
        <v>1103</v>
      </c>
      <c r="I539" s="799">
        <v>24000</v>
      </c>
      <c r="J539" s="798">
        <v>1</v>
      </c>
      <c r="K539" s="799">
        <f t="shared" si="48"/>
        <v>24000</v>
      </c>
      <c r="L539" s="799">
        <f t="shared" si="49"/>
        <v>24000</v>
      </c>
      <c r="M539" s="799">
        <f t="shared" si="50"/>
        <v>24000</v>
      </c>
      <c r="N539" s="798" t="s">
        <v>15753</v>
      </c>
      <c r="O539" s="800">
        <f t="shared" si="51"/>
        <v>24000</v>
      </c>
      <c r="P539" s="800">
        <f t="shared" si="52"/>
        <v>24000</v>
      </c>
      <c r="Q539" s="801">
        <f t="shared" si="53"/>
        <v>24000</v>
      </c>
    </row>
    <row r="540" spans="1:17" x14ac:dyDescent="0.2">
      <c r="A540" s="802" t="s">
        <v>17873</v>
      </c>
      <c r="B540" s="803" t="s">
        <v>13918</v>
      </c>
      <c r="C540" s="803" t="s">
        <v>17513</v>
      </c>
      <c r="D540" s="803" t="s">
        <v>24472</v>
      </c>
      <c r="E540" s="803" t="s">
        <v>15732</v>
      </c>
      <c r="F540" s="803">
        <v>2</v>
      </c>
      <c r="G540" s="803" t="s">
        <v>1103</v>
      </c>
      <c r="H540" s="803" t="s">
        <v>1103</v>
      </c>
      <c r="I540" s="804">
        <v>27000</v>
      </c>
      <c r="J540" s="803">
        <v>1</v>
      </c>
      <c r="K540" s="804">
        <f t="shared" si="48"/>
        <v>27000</v>
      </c>
      <c r="L540" s="804">
        <f t="shared" si="49"/>
        <v>27000</v>
      </c>
      <c r="M540" s="804">
        <f t="shared" si="50"/>
        <v>27000</v>
      </c>
      <c r="N540" s="803" t="s">
        <v>16141</v>
      </c>
      <c r="O540" s="805">
        <f t="shared" si="51"/>
        <v>27000</v>
      </c>
      <c r="P540" s="805">
        <f t="shared" si="52"/>
        <v>27000</v>
      </c>
      <c r="Q540" s="806">
        <f t="shared" si="53"/>
        <v>27000</v>
      </c>
    </row>
    <row r="541" spans="1:17" x14ac:dyDescent="0.2">
      <c r="A541" s="797" t="s">
        <v>17874</v>
      </c>
      <c r="B541" s="798" t="s">
        <v>13918</v>
      </c>
      <c r="C541" s="798" t="s">
        <v>17513</v>
      </c>
      <c r="D541" s="798" t="s">
        <v>24472</v>
      </c>
      <c r="E541" s="798" t="s">
        <v>15733</v>
      </c>
      <c r="F541" s="798">
        <v>3</v>
      </c>
      <c r="G541" s="798" t="s">
        <v>1103</v>
      </c>
      <c r="H541" s="798" t="s">
        <v>1103</v>
      </c>
      <c r="I541" s="799">
        <v>31000</v>
      </c>
      <c r="J541" s="798">
        <v>1</v>
      </c>
      <c r="K541" s="799">
        <f t="shared" si="48"/>
        <v>31000</v>
      </c>
      <c r="L541" s="799">
        <f t="shared" si="49"/>
        <v>31000</v>
      </c>
      <c r="M541" s="799">
        <f t="shared" si="50"/>
        <v>31000</v>
      </c>
      <c r="N541" s="798" t="s">
        <v>15754</v>
      </c>
      <c r="O541" s="800">
        <f t="shared" si="51"/>
        <v>31000</v>
      </c>
      <c r="P541" s="800">
        <f t="shared" si="52"/>
        <v>31000</v>
      </c>
      <c r="Q541" s="801">
        <f t="shared" si="53"/>
        <v>31000</v>
      </c>
    </row>
    <row r="542" spans="1:17" x14ac:dyDescent="0.2">
      <c r="A542" s="802" t="s">
        <v>16939</v>
      </c>
      <c r="B542" s="803" t="s">
        <v>13918</v>
      </c>
      <c r="C542" s="803" t="s">
        <v>17513</v>
      </c>
      <c r="D542" s="803" t="s">
        <v>24473</v>
      </c>
      <c r="E542" s="803" t="s">
        <v>15731</v>
      </c>
      <c r="F542" s="803">
        <v>1</v>
      </c>
      <c r="G542" s="803" t="s">
        <v>1103</v>
      </c>
      <c r="H542" s="803" t="s">
        <v>1103</v>
      </c>
      <c r="I542" s="804">
        <v>16200</v>
      </c>
      <c r="J542" s="803">
        <v>1</v>
      </c>
      <c r="K542" s="804">
        <f t="shared" si="48"/>
        <v>16200</v>
      </c>
      <c r="L542" s="804">
        <f t="shared" si="49"/>
        <v>16200</v>
      </c>
      <c r="M542" s="804">
        <f t="shared" si="50"/>
        <v>16200</v>
      </c>
      <c r="N542" s="803" t="s">
        <v>15753</v>
      </c>
      <c r="O542" s="805">
        <f t="shared" si="51"/>
        <v>16200</v>
      </c>
      <c r="P542" s="805">
        <f t="shared" si="52"/>
        <v>16200</v>
      </c>
      <c r="Q542" s="806">
        <f t="shared" si="53"/>
        <v>16200</v>
      </c>
    </row>
    <row r="543" spans="1:17" x14ac:dyDescent="0.2">
      <c r="A543" s="797" t="s">
        <v>17875</v>
      </c>
      <c r="B543" s="798" t="s">
        <v>13918</v>
      </c>
      <c r="C543" s="798" t="s">
        <v>17513</v>
      </c>
      <c r="D543" s="798" t="s">
        <v>24473</v>
      </c>
      <c r="E543" s="798" t="s">
        <v>15732</v>
      </c>
      <c r="F543" s="798">
        <v>2</v>
      </c>
      <c r="G543" s="798" t="s">
        <v>1103</v>
      </c>
      <c r="H543" s="798" t="s">
        <v>1103</v>
      </c>
      <c r="I543" s="799">
        <v>19200</v>
      </c>
      <c r="J543" s="798">
        <v>1</v>
      </c>
      <c r="K543" s="799">
        <f t="shared" si="48"/>
        <v>19200</v>
      </c>
      <c r="L543" s="799">
        <f t="shared" si="49"/>
        <v>19200</v>
      </c>
      <c r="M543" s="799">
        <f t="shared" si="50"/>
        <v>19200</v>
      </c>
      <c r="N543" s="798" t="s">
        <v>16141</v>
      </c>
      <c r="O543" s="800">
        <f t="shared" si="51"/>
        <v>19200</v>
      </c>
      <c r="P543" s="800">
        <f t="shared" si="52"/>
        <v>19200</v>
      </c>
      <c r="Q543" s="801">
        <f t="shared" si="53"/>
        <v>19200</v>
      </c>
    </row>
    <row r="544" spans="1:17" x14ac:dyDescent="0.2">
      <c r="A544" s="802" t="s">
        <v>17876</v>
      </c>
      <c r="B544" s="803" t="s">
        <v>13918</v>
      </c>
      <c r="C544" s="803" t="s">
        <v>17513</v>
      </c>
      <c r="D544" s="803" t="s">
        <v>24473</v>
      </c>
      <c r="E544" s="803" t="s">
        <v>15733</v>
      </c>
      <c r="F544" s="803">
        <v>3</v>
      </c>
      <c r="G544" s="803" t="s">
        <v>1103</v>
      </c>
      <c r="H544" s="803" t="s">
        <v>1103</v>
      </c>
      <c r="I544" s="804">
        <v>22000</v>
      </c>
      <c r="J544" s="803">
        <v>1</v>
      </c>
      <c r="K544" s="804">
        <f t="shared" si="48"/>
        <v>22000</v>
      </c>
      <c r="L544" s="804">
        <f t="shared" si="49"/>
        <v>22000</v>
      </c>
      <c r="M544" s="804">
        <f t="shared" si="50"/>
        <v>22000</v>
      </c>
      <c r="N544" s="803" t="s">
        <v>15754</v>
      </c>
      <c r="O544" s="805">
        <f t="shared" si="51"/>
        <v>22000</v>
      </c>
      <c r="P544" s="805">
        <f t="shared" si="52"/>
        <v>22000</v>
      </c>
      <c r="Q544" s="806">
        <f t="shared" si="53"/>
        <v>22000</v>
      </c>
    </row>
    <row r="545" spans="1:17" x14ac:dyDescent="0.2">
      <c r="A545" s="797" t="s">
        <v>16958</v>
      </c>
      <c r="B545" s="798" t="s">
        <v>13918</v>
      </c>
      <c r="C545" s="798" t="s">
        <v>17513</v>
      </c>
      <c r="D545" s="798" t="s">
        <v>24474</v>
      </c>
      <c r="E545" s="798" t="s">
        <v>15731</v>
      </c>
      <c r="F545" s="798">
        <v>1</v>
      </c>
      <c r="G545" s="798" t="s">
        <v>3779</v>
      </c>
      <c r="H545" s="798" t="s">
        <v>3779</v>
      </c>
      <c r="I545" s="799">
        <v>17000</v>
      </c>
      <c r="J545" s="798">
        <v>1</v>
      </c>
      <c r="K545" s="799">
        <f t="shared" si="48"/>
        <v>17000</v>
      </c>
      <c r="L545" s="799">
        <f t="shared" si="49"/>
        <v>17000</v>
      </c>
      <c r="M545" s="799">
        <f t="shared" si="50"/>
        <v>17000</v>
      </c>
      <c r="N545" s="798" t="s">
        <v>15753</v>
      </c>
      <c r="O545" s="800">
        <f t="shared" si="51"/>
        <v>17000</v>
      </c>
      <c r="P545" s="800">
        <f t="shared" si="52"/>
        <v>17000</v>
      </c>
      <c r="Q545" s="801">
        <f t="shared" si="53"/>
        <v>17000</v>
      </c>
    </row>
    <row r="546" spans="1:17" x14ac:dyDescent="0.2">
      <c r="A546" s="802" t="s">
        <v>17877</v>
      </c>
      <c r="B546" s="803" t="s">
        <v>13918</v>
      </c>
      <c r="C546" s="803" t="s">
        <v>17513</v>
      </c>
      <c r="D546" s="803" t="s">
        <v>24474</v>
      </c>
      <c r="E546" s="803" t="s">
        <v>15732</v>
      </c>
      <c r="F546" s="803">
        <v>2</v>
      </c>
      <c r="G546" s="803" t="s">
        <v>3779</v>
      </c>
      <c r="H546" s="803" t="s">
        <v>3779</v>
      </c>
      <c r="I546" s="804">
        <v>20000</v>
      </c>
      <c r="J546" s="803">
        <v>1</v>
      </c>
      <c r="K546" s="804">
        <f t="shared" si="48"/>
        <v>20000</v>
      </c>
      <c r="L546" s="804">
        <f t="shared" si="49"/>
        <v>20000</v>
      </c>
      <c r="M546" s="804">
        <f t="shared" si="50"/>
        <v>20000</v>
      </c>
      <c r="N546" s="803" t="s">
        <v>16141</v>
      </c>
      <c r="O546" s="805">
        <f t="shared" si="51"/>
        <v>20000</v>
      </c>
      <c r="P546" s="805">
        <f t="shared" si="52"/>
        <v>20000</v>
      </c>
      <c r="Q546" s="806">
        <f t="shared" si="53"/>
        <v>20000</v>
      </c>
    </row>
    <row r="547" spans="1:17" x14ac:dyDescent="0.2">
      <c r="A547" s="797" t="s">
        <v>17878</v>
      </c>
      <c r="B547" s="798" t="s">
        <v>13918</v>
      </c>
      <c r="C547" s="798" t="s">
        <v>17513</v>
      </c>
      <c r="D547" s="798" t="s">
        <v>24474</v>
      </c>
      <c r="E547" s="798" t="s">
        <v>15733</v>
      </c>
      <c r="F547" s="798">
        <v>3</v>
      </c>
      <c r="G547" s="798" t="s">
        <v>3779</v>
      </c>
      <c r="H547" s="798" t="s">
        <v>3779</v>
      </c>
      <c r="I547" s="799">
        <v>22500</v>
      </c>
      <c r="J547" s="798">
        <v>1</v>
      </c>
      <c r="K547" s="799">
        <f t="shared" si="48"/>
        <v>22500</v>
      </c>
      <c r="L547" s="799">
        <f t="shared" si="49"/>
        <v>22500</v>
      </c>
      <c r="M547" s="799">
        <f t="shared" si="50"/>
        <v>22500</v>
      </c>
      <c r="N547" s="798" t="s">
        <v>15754</v>
      </c>
      <c r="O547" s="800">
        <f t="shared" si="51"/>
        <v>22500</v>
      </c>
      <c r="P547" s="800">
        <f t="shared" si="52"/>
        <v>22500</v>
      </c>
      <c r="Q547" s="801">
        <f t="shared" si="53"/>
        <v>22500</v>
      </c>
    </row>
    <row r="548" spans="1:17" x14ac:dyDescent="0.2">
      <c r="A548" s="802" t="s">
        <v>16965</v>
      </c>
      <c r="B548" s="803" t="s">
        <v>13918</v>
      </c>
      <c r="C548" s="803" t="s">
        <v>17513</v>
      </c>
      <c r="D548" s="803" t="s">
        <v>24475</v>
      </c>
      <c r="E548" s="803" t="s">
        <v>15731</v>
      </c>
      <c r="F548" s="803">
        <v>1</v>
      </c>
      <c r="G548" s="803" t="s">
        <v>122</v>
      </c>
      <c r="H548" s="803" t="s">
        <v>122</v>
      </c>
      <c r="I548" s="804">
        <v>23500</v>
      </c>
      <c r="J548" s="803">
        <v>1</v>
      </c>
      <c r="K548" s="804">
        <f t="shared" si="48"/>
        <v>23500</v>
      </c>
      <c r="L548" s="804">
        <f t="shared" si="49"/>
        <v>23500</v>
      </c>
      <c r="M548" s="804">
        <f t="shared" si="50"/>
        <v>23500</v>
      </c>
      <c r="N548" s="803" t="s">
        <v>16665</v>
      </c>
      <c r="O548" s="805">
        <f t="shared" si="51"/>
        <v>23500</v>
      </c>
      <c r="P548" s="805">
        <f t="shared" si="52"/>
        <v>23500</v>
      </c>
      <c r="Q548" s="806">
        <f t="shared" si="53"/>
        <v>23500</v>
      </c>
    </row>
    <row r="549" spans="1:17" x14ac:dyDescent="0.2">
      <c r="A549" s="797" t="s">
        <v>17879</v>
      </c>
      <c r="B549" s="798" t="s">
        <v>13918</v>
      </c>
      <c r="C549" s="798" t="s">
        <v>17513</v>
      </c>
      <c r="D549" s="798" t="s">
        <v>24475</v>
      </c>
      <c r="E549" s="798" t="s">
        <v>15732</v>
      </c>
      <c r="F549" s="798">
        <v>2</v>
      </c>
      <c r="G549" s="798" t="s">
        <v>122</v>
      </c>
      <c r="H549" s="798" t="s">
        <v>122</v>
      </c>
      <c r="I549" s="799">
        <v>26500</v>
      </c>
      <c r="J549" s="798">
        <v>1</v>
      </c>
      <c r="K549" s="799">
        <f t="shared" si="48"/>
        <v>26500</v>
      </c>
      <c r="L549" s="799">
        <f t="shared" si="49"/>
        <v>26500</v>
      </c>
      <c r="M549" s="799">
        <f t="shared" si="50"/>
        <v>26500</v>
      </c>
      <c r="N549" s="798" t="s">
        <v>16665</v>
      </c>
      <c r="O549" s="800">
        <f t="shared" si="51"/>
        <v>26500</v>
      </c>
      <c r="P549" s="800">
        <f t="shared" si="52"/>
        <v>26500</v>
      </c>
      <c r="Q549" s="801">
        <f t="shared" si="53"/>
        <v>26500</v>
      </c>
    </row>
    <row r="550" spans="1:17" x14ac:dyDescent="0.2">
      <c r="A550" s="802" t="s">
        <v>17880</v>
      </c>
      <c r="B550" s="803" t="s">
        <v>13918</v>
      </c>
      <c r="C550" s="803" t="s">
        <v>17513</v>
      </c>
      <c r="D550" s="803" t="s">
        <v>24475</v>
      </c>
      <c r="E550" s="803" t="s">
        <v>15733</v>
      </c>
      <c r="F550" s="803">
        <v>3</v>
      </c>
      <c r="G550" s="803" t="s">
        <v>122</v>
      </c>
      <c r="H550" s="803" t="s">
        <v>122</v>
      </c>
      <c r="I550" s="804">
        <v>30500</v>
      </c>
      <c r="J550" s="803">
        <v>1</v>
      </c>
      <c r="K550" s="804">
        <f t="shared" si="48"/>
        <v>30500</v>
      </c>
      <c r="L550" s="804">
        <f t="shared" si="49"/>
        <v>30500</v>
      </c>
      <c r="M550" s="804">
        <f t="shared" si="50"/>
        <v>30500</v>
      </c>
      <c r="N550" s="803" t="s">
        <v>16665</v>
      </c>
      <c r="O550" s="805">
        <f t="shared" si="51"/>
        <v>30500</v>
      </c>
      <c r="P550" s="805">
        <f t="shared" si="52"/>
        <v>30500</v>
      </c>
      <c r="Q550" s="806">
        <f t="shared" si="53"/>
        <v>30500</v>
      </c>
    </row>
    <row r="551" spans="1:17" x14ac:dyDescent="0.2">
      <c r="A551" s="797" t="s">
        <v>16971</v>
      </c>
      <c r="B551" s="798" t="s">
        <v>13918</v>
      </c>
      <c r="C551" s="798" t="s">
        <v>17513</v>
      </c>
      <c r="D551" s="798" t="s">
        <v>24476</v>
      </c>
      <c r="E551" s="798" t="s">
        <v>15731</v>
      </c>
      <c r="F551" s="798">
        <v>1</v>
      </c>
      <c r="G551" s="798" t="s">
        <v>122</v>
      </c>
      <c r="H551" s="798" t="s">
        <v>122</v>
      </c>
      <c r="I551" s="799">
        <v>24000</v>
      </c>
      <c r="J551" s="798">
        <v>1</v>
      </c>
      <c r="K551" s="799">
        <f t="shared" si="48"/>
        <v>24000</v>
      </c>
      <c r="L551" s="799">
        <f t="shared" si="49"/>
        <v>24000</v>
      </c>
      <c r="M551" s="799">
        <f t="shared" si="50"/>
        <v>24000</v>
      </c>
      <c r="N551" s="798" t="s">
        <v>16803</v>
      </c>
      <c r="O551" s="800">
        <f t="shared" si="51"/>
        <v>24000</v>
      </c>
      <c r="P551" s="800">
        <f t="shared" si="52"/>
        <v>24000</v>
      </c>
      <c r="Q551" s="801">
        <f t="shared" si="53"/>
        <v>24000</v>
      </c>
    </row>
    <row r="552" spans="1:17" x14ac:dyDescent="0.2">
      <c r="A552" s="802" t="s">
        <v>17881</v>
      </c>
      <c r="B552" s="803" t="s">
        <v>13918</v>
      </c>
      <c r="C552" s="803" t="s">
        <v>17513</v>
      </c>
      <c r="D552" s="803" t="s">
        <v>24476</v>
      </c>
      <c r="E552" s="803" t="s">
        <v>15732</v>
      </c>
      <c r="F552" s="803">
        <v>2</v>
      </c>
      <c r="G552" s="803" t="s">
        <v>122</v>
      </c>
      <c r="H552" s="803" t="s">
        <v>122</v>
      </c>
      <c r="I552" s="804">
        <v>27000</v>
      </c>
      <c r="J552" s="803">
        <v>1</v>
      </c>
      <c r="K552" s="804">
        <f t="shared" si="48"/>
        <v>27000</v>
      </c>
      <c r="L552" s="804">
        <f t="shared" si="49"/>
        <v>27000</v>
      </c>
      <c r="M552" s="804">
        <f t="shared" si="50"/>
        <v>27000</v>
      </c>
      <c r="N552" s="803" t="s">
        <v>16803</v>
      </c>
      <c r="O552" s="805">
        <f t="shared" si="51"/>
        <v>27000</v>
      </c>
      <c r="P552" s="805">
        <f t="shared" si="52"/>
        <v>27000</v>
      </c>
      <c r="Q552" s="806">
        <f t="shared" si="53"/>
        <v>27000</v>
      </c>
    </row>
    <row r="553" spans="1:17" x14ac:dyDescent="0.2">
      <c r="A553" s="797" t="s">
        <v>17882</v>
      </c>
      <c r="B553" s="798" t="s">
        <v>13918</v>
      </c>
      <c r="C553" s="798" t="s">
        <v>17513</v>
      </c>
      <c r="D553" s="798" t="s">
        <v>24476</v>
      </c>
      <c r="E553" s="798" t="s">
        <v>15733</v>
      </c>
      <c r="F553" s="798">
        <v>3</v>
      </c>
      <c r="G553" s="798" t="s">
        <v>122</v>
      </c>
      <c r="H553" s="798" t="s">
        <v>122</v>
      </c>
      <c r="I553" s="799">
        <v>31000</v>
      </c>
      <c r="J553" s="798">
        <v>1</v>
      </c>
      <c r="K553" s="799">
        <f t="shared" si="48"/>
        <v>31000</v>
      </c>
      <c r="L553" s="799">
        <f t="shared" si="49"/>
        <v>31000</v>
      </c>
      <c r="M553" s="799">
        <f t="shared" si="50"/>
        <v>31000</v>
      </c>
      <c r="N553" s="798" t="s">
        <v>16803</v>
      </c>
      <c r="O553" s="800">
        <f t="shared" si="51"/>
        <v>31000</v>
      </c>
      <c r="P553" s="800">
        <f t="shared" si="52"/>
        <v>31000</v>
      </c>
      <c r="Q553" s="801">
        <f t="shared" si="53"/>
        <v>31000</v>
      </c>
    </row>
    <row r="554" spans="1:17" x14ac:dyDescent="0.2">
      <c r="A554" s="802" t="s">
        <v>16977</v>
      </c>
      <c r="B554" s="803" t="s">
        <v>13918</v>
      </c>
      <c r="C554" s="803" t="s">
        <v>17513</v>
      </c>
      <c r="D554" s="803" t="s">
        <v>24477</v>
      </c>
      <c r="E554" s="803" t="s">
        <v>15731</v>
      </c>
      <c r="F554" s="803">
        <v>1</v>
      </c>
      <c r="G554" s="803" t="s">
        <v>3779</v>
      </c>
      <c r="H554" s="803" t="s">
        <v>3779</v>
      </c>
      <c r="I554" s="804">
        <v>17050</v>
      </c>
      <c r="J554" s="803">
        <v>1</v>
      </c>
      <c r="K554" s="804">
        <f t="shared" si="48"/>
        <v>17050</v>
      </c>
      <c r="L554" s="804">
        <f t="shared" si="49"/>
        <v>17050</v>
      </c>
      <c r="M554" s="804">
        <f t="shared" si="50"/>
        <v>17050</v>
      </c>
      <c r="N554" s="803" t="s">
        <v>15753</v>
      </c>
      <c r="O554" s="805">
        <f t="shared" si="51"/>
        <v>17050</v>
      </c>
      <c r="P554" s="805">
        <f t="shared" si="52"/>
        <v>17050</v>
      </c>
      <c r="Q554" s="806">
        <f t="shared" si="53"/>
        <v>17050</v>
      </c>
    </row>
    <row r="555" spans="1:17" x14ac:dyDescent="0.2">
      <c r="A555" s="797" t="s">
        <v>17883</v>
      </c>
      <c r="B555" s="798" t="s">
        <v>13918</v>
      </c>
      <c r="C555" s="798" t="s">
        <v>17513</v>
      </c>
      <c r="D555" s="798" t="s">
        <v>24477</v>
      </c>
      <c r="E555" s="798" t="s">
        <v>15732</v>
      </c>
      <c r="F555" s="798">
        <v>2</v>
      </c>
      <c r="G555" s="798" t="s">
        <v>3779</v>
      </c>
      <c r="H555" s="798" t="s">
        <v>3779</v>
      </c>
      <c r="I555" s="799">
        <v>20050</v>
      </c>
      <c r="J555" s="798">
        <v>1</v>
      </c>
      <c r="K555" s="799">
        <f t="shared" si="48"/>
        <v>20050</v>
      </c>
      <c r="L555" s="799">
        <f t="shared" si="49"/>
        <v>20050</v>
      </c>
      <c r="M555" s="799">
        <f t="shared" si="50"/>
        <v>20050</v>
      </c>
      <c r="N555" s="798" t="s">
        <v>16141</v>
      </c>
      <c r="O555" s="800">
        <f t="shared" si="51"/>
        <v>20050</v>
      </c>
      <c r="P555" s="800">
        <f t="shared" si="52"/>
        <v>20050</v>
      </c>
      <c r="Q555" s="801">
        <f t="shared" si="53"/>
        <v>20050</v>
      </c>
    </row>
    <row r="556" spans="1:17" x14ac:dyDescent="0.2">
      <c r="A556" s="802" t="s">
        <v>17884</v>
      </c>
      <c r="B556" s="803" t="s">
        <v>13918</v>
      </c>
      <c r="C556" s="803" t="s">
        <v>17513</v>
      </c>
      <c r="D556" s="803" t="s">
        <v>24477</v>
      </c>
      <c r="E556" s="803" t="s">
        <v>15733</v>
      </c>
      <c r="F556" s="803">
        <v>3</v>
      </c>
      <c r="G556" s="803" t="s">
        <v>3779</v>
      </c>
      <c r="H556" s="803" t="s">
        <v>3779</v>
      </c>
      <c r="I556" s="804">
        <v>22500</v>
      </c>
      <c r="J556" s="803">
        <v>1</v>
      </c>
      <c r="K556" s="804">
        <f t="shared" si="48"/>
        <v>22500</v>
      </c>
      <c r="L556" s="804">
        <f t="shared" si="49"/>
        <v>22500</v>
      </c>
      <c r="M556" s="804">
        <f t="shared" si="50"/>
        <v>22500</v>
      </c>
      <c r="N556" s="803" t="s">
        <v>15754</v>
      </c>
      <c r="O556" s="805">
        <f t="shared" si="51"/>
        <v>22500</v>
      </c>
      <c r="P556" s="805">
        <f t="shared" si="52"/>
        <v>22500</v>
      </c>
      <c r="Q556" s="806">
        <f t="shared" si="53"/>
        <v>22500</v>
      </c>
    </row>
    <row r="557" spans="1:17" x14ac:dyDescent="0.2">
      <c r="A557" s="797" t="s">
        <v>16980</v>
      </c>
      <c r="B557" s="798" t="s">
        <v>13918</v>
      </c>
      <c r="C557" s="798" t="s">
        <v>17513</v>
      </c>
      <c r="D557" s="798" t="s">
        <v>24478</v>
      </c>
      <c r="E557" s="798" t="s">
        <v>15731</v>
      </c>
      <c r="F557" s="798">
        <v>1</v>
      </c>
      <c r="G557" s="798" t="s">
        <v>3779</v>
      </c>
      <c r="H557" s="798" t="s">
        <v>3779</v>
      </c>
      <c r="I557" s="799">
        <v>17050</v>
      </c>
      <c r="J557" s="798">
        <v>1</v>
      </c>
      <c r="K557" s="799">
        <f t="shared" si="48"/>
        <v>17050</v>
      </c>
      <c r="L557" s="799">
        <f t="shared" si="49"/>
        <v>17050</v>
      </c>
      <c r="M557" s="799">
        <f t="shared" si="50"/>
        <v>17050</v>
      </c>
      <c r="N557" s="798" t="s">
        <v>15753</v>
      </c>
      <c r="O557" s="800">
        <f t="shared" si="51"/>
        <v>17050</v>
      </c>
      <c r="P557" s="800">
        <f t="shared" si="52"/>
        <v>17050</v>
      </c>
      <c r="Q557" s="801">
        <f t="shared" si="53"/>
        <v>17050</v>
      </c>
    </row>
    <row r="558" spans="1:17" x14ac:dyDescent="0.2">
      <c r="A558" s="802" t="s">
        <v>17885</v>
      </c>
      <c r="B558" s="803" t="s">
        <v>13918</v>
      </c>
      <c r="C558" s="803" t="s">
        <v>17513</v>
      </c>
      <c r="D558" s="803" t="s">
        <v>24478</v>
      </c>
      <c r="E558" s="803" t="s">
        <v>15732</v>
      </c>
      <c r="F558" s="803">
        <v>2</v>
      </c>
      <c r="G558" s="803" t="s">
        <v>3779</v>
      </c>
      <c r="H558" s="803" t="s">
        <v>3779</v>
      </c>
      <c r="I558" s="804">
        <v>20050</v>
      </c>
      <c r="J558" s="803">
        <v>1</v>
      </c>
      <c r="K558" s="804">
        <f t="shared" si="48"/>
        <v>20050</v>
      </c>
      <c r="L558" s="804">
        <f t="shared" si="49"/>
        <v>20050</v>
      </c>
      <c r="M558" s="804">
        <f t="shared" si="50"/>
        <v>20050</v>
      </c>
      <c r="N558" s="803" t="s">
        <v>16141</v>
      </c>
      <c r="O558" s="805">
        <f t="shared" si="51"/>
        <v>20050</v>
      </c>
      <c r="P558" s="805">
        <f t="shared" si="52"/>
        <v>20050</v>
      </c>
      <c r="Q558" s="806">
        <f t="shared" si="53"/>
        <v>20050</v>
      </c>
    </row>
    <row r="559" spans="1:17" x14ac:dyDescent="0.2">
      <c r="A559" s="797" t="s">
        <v>17886</v>
      </c>
      <c r="B559" s="798" t="s">
        <v>13918</v>
      </c>
      <c r="C559" s="798" t="s">
        <v>17513</v>
      </c>
      <c r="D559" s="798" t="s">
        <v>24478</v>
      </c>
      <c r="E559" s="798" t="s">
        <v>15733</v>
      </c>
      <c r="F559" s="798">
        <v>3</v>
      </c>
      <c r="G559" s="798" t="s">
        <v>3779</v>
      </c>
      <c r="H559" s="798" t="s">
        <v>3779</v>
      </c>
      <c r="I559" s="799">
        <v>22500</v>
      </c>
      <c r="J559" s="798">
        <v>1</v>
      </c>
      <c r="K559" s="799">
        <f t="shared" si="48"/>
        <v>22500</v>
      </c>
      <c r="L559" s="799">
        <f t="shared" si="49"/>
        <v>22500</v>
      </c>
      <c r="M559" s="799">
        <f t="shared" si="50"/>
        <v>22500</v>
      </c>
      <c r="N559" s="798" t="s">
        <v>15754</v>
      </c>
      <c r="O559" s="800">
        <f t="shared" si="51"/>
        <v>22500</v>
      </c>
      <c r="P559" s="800">
        <f t="shared" si="52"/>
        <v>22500</v>
      </c>
      <c r="Q559" s="801">
        <f t="shared" si="53"/>
        <v>22500</v>
      </c>
    </row>
    <row r="560" spans="1:17" x14ac:dyDescent="0.2">
      <c r="A560" s="802" t="s">
        <v>16999</v>
      </c>
      <c r="B560" s="803" t="s">
        <v>13918</v>
      </c>
      <c r="C560" s="803" t="s">
        <v>17513</v>
      </c>
      <c r="D560" s="803" t="s">
        <v>24479</v>
      </c>
      <c r="E560" s="803" t="s">
        <v>15731</v>
      </c>
      <c r="F560" s="803">
        <v>1</v>
      </c>
      <c r="G560" s="803" t="s">
        <v>3779</v>
      </c>
      <c r="H560" s="803" t="s">
        <v>3779</v>
      </c>
      <c r="I560" s="804">
        <v>17100</v>
      </c>
      <c r="J560" s="803">
        <v>1</v>
      </c>
      <c r="K560" s="804">
        <f t="shared" si="48"/>
        <v>17100</v>
      </c>
      <c r="L560" s="804">
        <f t="shared" si="49"/>
        <v>17100</v>
      </c>
      <c r="M560" s="804">
        <f t="shared" si="50"/>
        <v>17100</v>
      </c>
      <c r="N560" s="803" t="s">
        <v>15753</v>
      </c>
      <c r="O560" s="805">
        <f t="shared" si="51"/>
        <v>17100</v>
      </c>
      <c r="P560" s="805">
        <f t="shared" si="52"/>
        <v>17100</v>
      </c>
      <c r="Q560" s="806">
        <f t="shared" si="53"/>
        <v>17100</v>
      </c>
    </row>
    <row r="561" spans="1:17" x14ac:dyDescent="0.2">
      <c r="A561" s="797" t="s">
        <v>17887</v>
      </c>
      <c r="B561" s="798" t="s">
        <v>13918</v>
      </c>
      <c r="C561" s="798" t="s">
        <v>17513</v>
      </c>
      <c r="D561" s="798" t="s">
        <v>24479</v>
      </c>
      <c r="E561" s="798" t="s">
        <v>15732</v>
      </c>
      <c r="F561" s="798">
        <v>2</v>
      </c>
      <c r="G561" s="798" t="s">
        <v>3779</v>
      </c>
      <c r="H561" s="798" t="s">
        <v>3779</v>
      </c>
      <c r="I561" s="799">
        <v>20100</v>
      </c>
      <c r="J561" s="798">
        <v>1</v>
      </c>
      <c r="K561" s="799">
        <f t="shared" si="48"/>
        <v>20100</v>
      </c>
      <c r="L561" s="799">
        <f t="shared" si="49"/>
        <v>20100</v>
      </c>
      <c r="M561" s="799">
        <f t="shared" si="50"/>
        <v>20100</v>
      </c>
      <c r="N561" s="798" t="s">
        <v>16141</v>
      </c>
      <c r="O561" s="800">
        <f t="shared" si="51"/>
        <v>20100</v>
      </c>
      <c r="P561" s="800">
        <f t="shared" si="52"/>
        <v>20100</v>
      </c>
      <c r="Q561" s="801">
        <f t="shared" si="53"/>
        <v>20100</v>
      </c>
    </row>
    <row r="562" spans="1:17" x14ac:dyDescent="0.2">
      <c r="A562" s="802" t="s">
        <v>17888</v>
      </c>
      <c r="B562" s="803" t="s">
        <v>13918</v>
      </c>
      <c r="C562" s="803" t="s">
        <v>17513</v>
      </c>
      <c r="D562" s="803" t="s">
        <v>24479</v>
      </c>
      <c r="E562" s="803" t="s">
        <v>15733</v>
      </c>
      <c r="F562" s="803">
        <v>3</v>
      </c>
      <c r="G562" s="803" t="s">
        <v>3779</v>
      </c>
      <c r="H562" s="803" t="s">
        <v>3779</v>
      </c>
      <c r="I562" s="804">
        <v>22500</v>
      </c>
      <c r="J562" s="803">
        <v>1</v>
      </c>
      <c r="K562" s="804">
        <f t="shared" si="48"/>
        <v>22500</v>
      </c>
      <c r="L562" s="804">
        <f t="shared" si="49"/>
        <v>22500</v>
      </c>
      <c r="M562" s="804">
        <f t="shared" si="50"/>
        <v>22500</v>
      </c>
      <c r="N562" s="803" t="s">
        <v>15754</v>
      </c>
      <c r="O562" s="805">
        <f t="shared" si="51"/>
        <v>22500</v>
      </c>
      <c r="P562" s="805">
        <f t="shared" si="52"/>
        <v>22500</v>
      </c>
      <c r="Q562" s="806">
        <f t="shared" si="53"/>
        <v>22500</v>
      </c>
    </row>
    <row r="563" spans="1:17" x14ac:dyDescent="0.2">
      <c r="A563" s="797" t="s">
        <v>17002</v>
      </c>
      <c r="B563" s="798" t="s">
        <v>13918</v>
      </c>
      <c r="C563" s="798" t="s">
        <v>17513</v>
      </c>
      <c r="D563" s="798" t="s">
        <v>24480</v>
      </c>
      <c r="E563" s="798" t="s">
        <v>15731</v>
      </c>
      <c r="F563" s="798">
        <v>1</v>
      </c>
      <c r="G563" s="798" t="s">
        <v>3779</v>
      </c>
      <c r="H563" s="798" t="s">
        <v>3779</v>
      </c>
      <c r="I563" s="799">
        <v>17150</v>
      </c>
      <c r="J563" s="798">
        <v>1</v>
      </c>
      <c r="K563" s="799">
        <f t="shared" si="48"/>
        <v>17150</v>
      </c>
      <c r="L563" s="799">
        <f t="shared" si="49"/>
        <v>17150</v>
      </c>
      <c r="M563" s="799">
        <f t="shared" si="50"/>
        <v>17150</v>
      </c>
      <c r="N563" s="798" t="s">
        <v>15753</v>
      </c>
      <c r="O563" s="800">
        <f t="shared" si="51"/>
        <v>17150</v>
      </c>
      <c r="P563" s="800">
        <f t="shared" si="52"/>
        <v>17150</v>
      </c>
      <c r="Q563" s="801">
        <f t="shared" si="53"/>
        <v>17150</v>
      </c>
    </row>
    <row r="564" spans="1:17" x14ac:dyDescent="0.2">
      <c r="A564" s="802" t="s">
        <v>17889</v>
      </c>
      <c r="B564" s="803" t="s">
        <v>13918</v>
      </c>
      <c r="C564" s="803" t="s">
        <v>17513</v>
      </c>
      <c r="D564" s="803" t="s">
        <v>24480</v>
      </c>
      <c r="E564" s="803" t="s">
        <v>15732</v>
      </c>
      <c r="F564" s="803">
        <v>2</v>
      </c>
      <c r="G564" s="803" t="s">
        <v>3779</v>
      </c>
      <c r="H564" s="803" t="s">
        <v>3779</v>
      </c>
      <c r="I564" s="804">
        <v>20150</v>
      </c>
      <c r="J564" s="803">
        <v>1</v>
      </c>
      <c r="K564" s="804">
        <f t="shared" si="48"/>
        <v>20150</v>
      </c>
      <c r="L564" s="804">
        <f t="shared" si="49"/>
        <v>20150</v>
      </c>
      <c r="M564" s="804">
        <f t="shared" si="50"/>
        <v>20150</v>
      </c>
      <c r="N564" s="803" t="s">
        <v>16141</v>
      </c>
      <c r="O564" s="805">
        <f t="shared" si="51"/>
        <v>20150</v>
      </c>
      <c r="P564" s="805">
        <f t="shared" si="52"/>
        <v>20150</v>
      </c>
      <c r="Q564" s="806">
        <f t="shared" si="53"/>
        <v>20150</v>
      </c>
    </row>
    <row r="565" spans="1:17" x14ac:dyDescent="0.2">
      <c r="A565" s="797" t="s">
        <v>17890</v>
      </c>
      <c r="B565" s="798" t="s">
        <v>13918</v>
      </c>
      <c r="C565" s="798" t="s">
        <v>17513</v>
      </c>
      <c r="D565" s="798" t="s">
        <v>24480</v>
      </c>
      <c r="E565" s="798" t="s">
        <v>15733</v>
      </c>
      <c r="F565" s="798">
        <v>3</v>
      </c>
      <c r="G565" s="798" t="s">
        <v>3779</v>
      </c>
      <c r="H565" s="798" t="s">
        <v>3779</v>
      </c>
      <c r="I565" s="799">
        <v>22500</v>
      </c>
      <c r="J565" s="798">
        <v>1</v>
      </c>
      <c r="K565" s="799">
        <f t="shared" si="48"/>
        <v>22500</v>
      </c>
      <c r="L565" s="799">
        <f t="shared" si="49"/>
        <v>22500</v>
      </c>
      <c r="M565" s="799">
        <f t="shared" si="50"/>
        <v>22500</v>
      </c>
      <c r="N565" s="798" t="s">
        <v>15754</v>
      </c>
      <c r="O565" s="800">
        <f t="shared" si="51"/>
        <v>22500</v>
      </c>
      <c r="P565" s="800">
        <f t="shared" si="52"/>
        <v>22500</v>
      </c>
      <c r="Q565" s="801">
        <f t="shared" si="53"/>
        <v>22500</v>
      </c>
    </row>
    <row r="566" spans="1:17" x14ac:dyDescent="0.2">
      <c r="A566" s="802" t="s">
        <v>17008</v>
      </c>
      <c r="B566" s="803" t="s">
        <v>13918</v>
      </c>
      <c r="C566" s="803" t="s">
        <v>17513</v>
      </c>
      <c r="D566" s="803" t="s">
        <v>24481</v>
      </c>
      <c r="E566" s="803" t="s">
        <v>15731</v>
      </c>
      <c r="F566" s="803">
        <v>1</v>
      </c>
      <c r="G566" s="803" t="s">
        <v>3779</v>
      </c>
      <c r="H566" s="803" t="s">
        <v>3779</v>
      </c>
      <c r="I566" s="804">
        <v>17200</v>
      </c>
      <c r="J566" s="803">
        <v>1</v>
      </c>
      <c r="K566" s="804">
        <f t="shared" si="48"/>
        <v>17200</v>
      </c>
      <c r="L566" s="804">
        <f t="shared" si="49"/>
        <v>17200</v>
      </c>
      <c r="M566" s="804">
        <f t="shared" si="50"/>
        <v>17200</v>
      </c>
      <c r="N566" s="803" t="s">
        <v>15753</v>
      </c>
      <c r="O566" s="805">
        <f t="shared" si="51"/>
        <v>17200</v>
      </c>
      <c r="P566" s="805">
        <f t="shared" si="52"/>
        <v>17200</v>
      </c>
      <c r="Q566" s="806">
        <f t="shared" si="53"/>
        <v>17200</v>
      </c>
    </row>
    <row r="567" spans="1:17" x14ac:dyDescent="0.2">
      <c r="A567" s="797" t="s">
        <v>17891</v>
      </c>
      <c r="B567" s="798" t="s">
        <v>13918</v>
      </c>
      <c r="C567" s="798" t="s">
        <v>17513</v>
      </c>
      <c r="D567" s="798" t="s">
        <v>24481</v>
      </c>
      <c r="E567" s="798" t="s">
        <v>15732</v>
      </c>
      <c r="F567" s="798">
        <v>2</v>
      </c>
      <c r="G567" s="798" t="s">
        <v>3779</v>
      </c>
      <c r="H567" s="798" t="s">
        <v>3779</v>
      </c>
      <c r="I567" s="799">
        <v>20200</v>
      </c>
      <c r="J567" s="798">
        <v>1</v>
      </c>
      <c r="K567" s="799">
        <f t="shared" si="48"/>
        <v>20200</v>
      </c>
      <c r="L567" s="799">
        <f t="shared" si="49"/>
        <v>20200</v>
      </c>
      <c r="M567" s="799">
        <f t="shared" si="50"/>
        <v>20200</v>
      </c>
      <c r="N567" s="798" t="s">
        <v>16141</v>
      </c>
      <c r="O567" s="800">
        <f t="shared" si="51"/>
        <v>20200</v>
      </c>
      <c r="P567" s="800">
        <f t="shared" si="52"/>
        <v>20200</v>
      </c>
      <c r="Q567" s="801">
        <f t="shared" si="53"/>
        <v>20200</v>
      </c>
    </row>
    <row r="568" spans="1:17" x14ac:dyDescent="0.2">
      <c r="A568" s="802" t="s">
        <v>17892</v>
      </c>
      <c r="B568" s="803" t="s">
        <v>13918</v>
      </c>
      <c r="C568" s="803" t="s">
        <v>17513</v>
      </c>
      <c r="D568" s="803" t="s">
        <v>24481</v>
      </c>
      <c r="E568" s="803" t="s">
        <v>15733</v>
      </c>
      <c r="F568" s="803">
        <v>3</v>
      </c>
      <c r="G568" s="803" t="s">
        <v>3779</v>
      </c>
      <c r="H568" s="803" t="s">
        <v>3779</v>
      </c>
      <c r="I568" s="804">
        <v>22500</v>
      </c>
      <c r="J568" s="803">
        <v>1</v>
      </c>
      <c r="K568" s="804">
        <f t="shared" si="48"/>
        <v>22500</v>
      </c>
      <c r="L568" s="804">
        <f t="shared" si="49"/>
        <v>22500</v>
      </c>
      <c r="M568" s="804">
        <f t="shared" si="50"/>
        <v>22500</v>
      </c>
      <c r="N568" s="803" t="s">
        <v>15754</v>
      </c>
      <c r="O568" s="805">
        <f t="shared" si="51"/>
        <v>22500</v>
      </c>
      <c r="P568" s="805">
        <f t="shared" si="52"/>
        <v>22500</v>
      </c>
      <c r="Q568" s="806">
        <f t="shared" si="53"/>
        <v>22500</v>
      </c>
    </row>
    <row r="569" spans="1:17" x14ac:dyDescent="0.2">
      <c r="A569" s="797" t="s">
        <v>17015</v>
      </c>
      <c r="B569" s="798" t="s">
        <v>13918</v>
      </c>
      <c r="C569" s="798" t="s">
        <v>17513</v>
      </c>
      <c r="D569" s="798" t="s">
        <v>24482</v>
      </c>
      <c r="E569" s="798" t="s">
        <v>15731</v>
      </c>
      <c r="F569" s="798">
        <v>1</v>
      </c>
      <c r="G569" s="798" t="s">
        <v>3779</v>
      </c>
      <c r="H569" s="798" t="s">
        <v>3779</v>
      </c>
      <c r="I569" s="799">
        <v>24000</v>
      </c>
      <c r="J569" s="798">
        <v>1</v>
      </c>
      <c r="K569" s="799">
        <f t="shared" si="48"/>
        <v>24000</v>
      </c>
      <c r="L569" s="799">
        <f t="shared" si="49"/>
        <v>24000</v>
      </c>
      <c r="M569" s="799">
        <f t="shared" si="50"/>
        <v>24000</v>
      </c>
      <c r="N569" s="798" t="s">
        <v>16665</v>
      </c>
      <c r="O569" s="800">
        <f t="shared" si="51"/>
        <v>24000</v>
      </c>
      <c r="P569" s="800">
        <f t="shared" si="52"/>
        <v>24000</v>
      </c>
      <c r="Q569" s="801">
        <f t="shared" si="53"/>
        <v>24000</v>
      </c>
    </row>
    <row r="570" spans="1:17" x14ac:dyDescent="0.2">
      <c r="A570" s="802" t="s">
        <v>17893</v>
      </c>
      <c r="B570" s="803" t="s">
        <v>13918</v>
      </c>
      <c r="C570" s="803" t="s">
        <v>17513</v>
      </c>
      <c r="D570" s="803" t="s">
        <v>24482</v>
      </c>
      <c r="E570" s="803" t="s">
        <v>15732</v>
      </c>
      <c r="F570" s="803">
        <v>2</v>
      </c>
      <c r="G570" s="803" t="s">
        <v>3779</v>
      </c>
      <c r="H570" s="803" t="s">
        <v>3779</v>
      </c>
      <c r="I570" s="804">
        <v>27000</v>
      </c>
      <c r="J570" s="803">
        <v>1</v>
      </c>
      <c r="K570" s="804">
        <f t="shared" si="48"/>
        <v>27000</v>
      </c>
      <c r="L570" s="804">
        <f t="shared" si="49"/>
        <v>27000</v>
      </c>
      <c r="M570" s="804">
        <f t="shared" si="50"/>
        <v>27000</v>
      </c>
      <c r="N570" s="803" t="s">
        <v>16665</v>
      </c>
      <c r="O570" s="805">
        <f t="shared" si="51"/>
        <v>27000</v>
      </c>
      <c r="P570" s="805">
        <f t="shared" si="52"/>
        <v>27000</v>
      </c>
      <c r="Q570" s="806">
        <f t="shared" si="53"/>
        <v>27000</v>
      </c>
    </row>
    <row r="571" spans="1:17" x14ac:dyDescent="0.2">
      <c r="A571" s="797" t="s">
        <v>17894</v>
      </c>
      <c r="B571" s="798" t="s">
        <v>13918</v>
      </c>
      <c r="C571" s="798" t="s">
        <v>17513</v>
      </c>
      <c r="D571" s="798" t="s">
        <v>24482</v>
      </c>
      <c r="E571" s="798" t="s">
        <v>15733</v>
      </c>
      <c r="F571" s="798">
        <v>3</v>
      </c>
      <c r="G571" s="798" t="s">
        <v>3779</v>
      </c>
      <c r="H571" s="798" t="s">
        <v>3779</v>
      </c>
      <c r="I571" s="799">
        <v>31000</v>
      </c>
      <c r="J571" s="798">
        <v>1</v>
      </c>
      <c r="K571" s="799">
        <f t="shared" si="48"/>
        <v>31000</v>
      </c>
      <c r="L571" s="799">
        <f t="shared" si="49"/>
        <v>31000</v>
      </c>
      <c r="M571" s="799">
        <f t="shared" si="50"/>
        <v>31000</v>
      </c>
      <c r="N571" s="798" t="s">
        <v>16665</v>
      </c>
      <c r="O571" s="800">
        <f t="shared" si="51"/>
        <v>31000</v>
      </c>
      <c r="P571" s="800">
        <f t="shared" si="52"/>
        <v>31000</v>
      </c>
      <c r="Q571" s="801">
        <f t="shared" si="53"/>
        <v>31000</v>
      </c>
    </row>
    <row r="572" spans="1:17" x14ac:dyDescent="0.2">
      <c r="A572" s="802" t="s">
        <v>17027</v>
      </c>
      <c r="B572" s="803" t="s">
        <v>13918</v>
      </c>
      <c r="C572" s="803" t="s">
        <v>17513</v>
      </c>
      <c r="D572" s="803" t="s">
        <v>24483</v>
      </c>
      <c r="E572" s="803" t="s">
        <v>15731</v>
      </c>
      <c r="F572" s="803">
        <v>1</v>
      </c>
      <c r="G572" s="803" t="s">
        <v>122</v>
      </c>
      <c r="H572" s="803" t="s">
        <v>122</v>
      </c>
      <c r="I572" s="804">
        <v>18000</v>
      </c>
      <c r="J572" s="803">
        <v>1</v>
      </c>
      <c r="K572" s="804">
        <f t="shared" si="48"/>
        <v>18000</v>
      </c>
      <c r="L572" s="804">
        <f t="shared" si="49"/>
        <v>18000</v>
      </c>
      <c r="M572" s="804">
        <f t="shared" si="50"/>
        <v>18000</v>
      </c>
      <c r="N572" s="803" t="s">
        <v>15753</v>
      </c>
      <c r="O572" s="805">
        <f t="shared" si="51"/>
        <v>18000</v>
      </c>
      <c r="P572" s="805">
        <f t="shared" si="52"/>
        <v>18000</v>
      </c>
      <c r="Q572" s="806">
        <f t="shared" si="53"/>
        <v>18000</v>
      </c>
    </row>
    <row r="573" spans="1:17" x14ac:dyDescent="0.2">
      <c r="A573" s="797" t="s">
        <v>17895</v>
      </c>
      <c r="B573" s="798" t="s">
        <v>13918</v>
      </c>
      <c r="C573" s="798" t="s">
        <v>17513</v>
      </c>
      <c r="D573" s="798" t="s">
        <v>24483</v>
      </c>
      <c r="E573" s="798" t="s">
        <v>15732</v>
      </c>
      <c r="F573" s="798">
        <v>2</v>
      </c>
      <c r="G573" s="798" t="s">
        <v>122</v>
      </c>
      <c r="H573" s="798" t="s">
        <v>122</v>
      </c>
      <c r="I573" s="799">
        <v>21000</v>
      </c>
      <c r="J573" s="798">
        <v>1</v>
      </c>
      <c r="K573" s="799">
        <f t="shared" si="48"/>
        <v>21000</v>
      </c>
      <c r="L573" s="799">
        <f t="shared" si="49"/>
        <v>21000</v>
      </c>
      <c r="M573" s="799">
        <f t="shared" si="50"/>
        <v>21000</v>
      </c>
      <c r="N573" s="798" t="s">
        <v>16141</v>
      </c>
      <c r="O573" s="800">
        <f t="shared" si="51"/>
        <v>21000</v>
      </c>
      <c r="P573" s="800">
        <f t="shared" si="52"/>
        <v>21000</v>
      </c>
      <c r="Q573" s="801">
        <f t="shared" si="53"/>
        <v>21000</v>
      </c>
    </row>
    <row r="574" spans="1:17" x14ac:dyDescent="0.2">
      <c r="A574" s="802" t="s">
        <v>17896</v>
      </c>
      <c r="B574" s="803" t="s">
        <v>13918</v>
      </c>
      <c r="C574" s="803" t="s">
        <v>17513</v>
      </c>
      <c r="D574" s="803" t="s">
        <v>24483</v>
      </c>
      <c r="E574" s="803" t="s">
        <v>15733</v>
      </c>
      <c r="F574" s="803">
        <v>3</v>
      </c>
      <c r="G574" s="803" t="s">
        <v>122</v>
      </c>
      <c r="H574" s="803" t="s">
        <v>122</v>
      </c>
      <c r="I574" s="804">
        <v>22500</v>
      </c>
      <c r="J574" s="803">
        <v>1</v>
      </c>
      <c r="K574" s="804">
        <f t="shared" si="48"/>
        <v>22500</v>
      </c>
      <c r="L574" s="804">
        <f t="shared" si="49"/>
        <v>22500</v>
      </c>
      <c r="M574" s="804">
        <f t="shared" si="50"/>
        <v>22500</v>
      </c>
      <c r="N574" s="803" t="s">
        <v>15754</v>
      </c>
      <c r="O574" s="805">
        <f t="shared" si="51"/>
        <v>22500</v>
      </c>
      <c r="P574" s="805">
        <f t="shared" si="52"/>
        <v>22500</v>
      </c>
      <c r="Q574" s="806">
        <f t="shared" si="53"/>
        <v>22500</v>
      </c>
    </row>
    <row r="575" spans="1:17" x14ac:dyDescent="0.2">
      <c r="A575" s="797" t="s">
        <v>17030</v>
      </c>
      <c r="B575" s="798" t="s">
        <v>13918</v>
      </c>
      <c r="C575" s="798" t="s">
        <v>17513</v>
      </c>
      <c r="D575" s="798" t="s">
        <v>24484</v>
      </c>
      <c r="E575" s="798" t="s">
        <v>15731</v>
      </c>
      <c r="F575" s="798">
        <v>1</v>
      </c>
      <c r="G575" s="798" t="s">
        <v>122</v>
      </c>
      <c r="H575" s="798" t="s">
        <v>122</v>
      </c>
      <c r="I575" s="799">
        <v>18050</v>
      </c>
      <c r="J575" s="798">
        <v>1</v>
      </c>
      <c r="K575" s="799">
        <f t="shared" si="48"/>
        <v>18050</v>
      </c>
      <c r="L575" s="799">
        <f t="shared" si="49"/>
        <v>18050</v>
      </c>
      <c r="M575" s="799">
        <f t="shared" si="50"/>
        <v>18050</v>
      </c>
      <c r="N575" s="798" t="s">
        <v>15753</v>
      </c>
      <c r="O575" s="800">
        <f t="shared" si="51"/>
        <v>18050</v>
      </c>
      <c r="P575" s="800">
        <f t="shared" si="52"/>
        <v>18050</v>
      </c>
      <c r="Q575" s="801">
        <f t="shared" si="53"/>
        <v>18050</v>
      </c>
    </row>
    <row r="576" spans="1:17" x14ac:dyDescent="0.2">
      <c r="A576" s="802" t="s">
        <v>17897</v>
      </c>
      <c r="B576" s="803" t="s">
        <v>13918</v>
      </c>
      <c r="C576" s="803" t="s">
        <v>17513</v>
      </c>
      <c r="D576" s="803" t="s">
        <v>24484</v>
      </c>
      <c r="E576" s="803" t="s">
        <v>15732</v>
      </c>
      <c r="F576" s="803">
        <v>2</v>
      </c>
      <c r="G576" s="803" t="s">
        <v>122</v>
      </c>
      <c r="H576" s="803" t="s">
        <v>122</v>
      </c>
      <c r="I576" s="804">
        <v>21050</v>
      </c>
      <c r="J576" s="803">
        <v>1</v>
      </c>
      <c r="K576" s="804">
        <f t="shared" si="48"/>
        <v>21050</v>
      </c>
      <c r="L576" s="804">
        <f t="shared" si="49"/>
        <v>21050</v>
      </c>
      <c r="M576" s="804">
        <f t="shared" si="50"/>
        <v>21050</v>
      </c>
      <c r="N576" s="803" t="s">
        <v>16141</v>
      </c>
      <c r="O576" s="805">
        <f t="shared" si="51"/>
        <v>21050</v>
      </c>
      <c r="P576" s="805">
        <f t="shared" si="52"/>
        <v>21050</v>
      </c>
      <c r="Q576" s="806">
        <f t="shared" si="53"/>
        <v>21050</v>
      </c>
    </row>
    <row r="577" spans="1:17" x14ac:dyDescent="0.2">
      <c r="A577" s="797" t="s">
        <v>17898</v>
      </c>
      <c r="B577" s="798" t="s">
        <v>13918</v>
      </c>
      <c r="C577" s="798" t="s">
        <v>17513</v>
      </c>
      <c r="D577" s="798" t="s">
        <v>24484</v>
      </c>
      <c r="E577" s="798" t="s">
        <v>15733</v>
      </c>
      <c r="F577" s="798">
        <v>3</v>
      </c>
      <c r="G577" s="798" t="s">
        <v>122</v>
      </c>
      <c r="H577" s="798" t="s">
        <v>122</v>
      </c>
      <c r="I577" s="799">
        <v>22500</v>
      </c>
      <c r="J577" s="798">
        <v>1</v>
      </c>
      <c r="K577" s="799">
        <f t="shared" si="48"/>
        <v>22500</v>
      </c>
      <c r="L577" s="799">
        <f t="shared" si="49"/>
        <v>22500</v>
      </c>
      <c r="M577" s="799">
        <f t="shared" si="50"/>
        <v>22500</v>
      </c>
      <c r="N577" s="798" t="s">
        <v>15754</v>
      </c>
      <c r="O577" s="800">
        <f t="shared" si="51"/>
        <v>22500</v>
      </c>
      <c r="P577" s="800">
        <f t="shared" si="52"/>
        <v>22500</v>
      </c>
      <c r="Q577" s="801">
        <f t="shared" si="53"/>
        <v>22500</v>
      </c>
    </row>
    <row r="578" spans="1:17" x14ac:dyDescent="0.2">
      <c r="A578" s="802" t="s">
        <v>17037</v>
      </c>
      <c r="B578" s="803" t="s">
        <v>13918</v>
      </c>
      <c r="C578" s="803" t="s">
        <v>17513</v>
      </c>
      <c r="D578" s="803" t="s">
        <v>24485</v>
      </c>
      <c r="E578" s="803" t="s">
        <v>15731</v>
      </c>
      <c r="F578" s="803">
        <v>1</v>
      </c>
      <c r="G578" s="803" t="s">
        <v>122</v>
      </c>
      <c r="H578" s="803" t="s">
        <v>122</v>
      </c>
      <c r="I578" s="804">
        <v>18100</v>
      </c>
      <c r="J578" s="803">
        <v>1</v>
      </c>
      <c r="K578" s="804">
        <f t="shared" ref="K578:K641" si="54">+I578</f>
        <v>18100</v>
      </c>
      <c r="L578" s="804">
        <f t="shared" ref="L578:L641" si="55">+I578</f>
        <v>18100</v>
      </c>
      <c r="M578" s="804">
        <f t="shared" ref="M578:M641" si="56">+I578</f>
        <v>18100</v>
      </c>
      <c r="N578" s="803" t="s">
        <v>15753</v>
      </c>
      <c r="O578" s="805">
        <f t="shared" ref="O578:O641" si="57">+J578*K578</f>
        <v>18100</v>
      </c>
      <c r="P578" s="805">
        <f t="shared" ref="P578:P641" si="58">+J578*L578</f>
        <v>18100</v>
      </c>
      <c r="Q578" s="806">
        <f t="shared" ref="Q578:Q641" si="59">+J578*M578</f>
        <v>18100</v>
      </c>
    </row>
    <row r="579" spans="1:17" x14ac:dyDescent="0.2">
      <c r="A579" s="797" t="s">
        <v>17899</v>
      </c>
      <c r="B579" s="798" t="s">
        <v>13918</v>
      </c>
      <c r="C579" s="798" t="s">
        <v>17513</v>
      </c>
      <c r="D579" s="798" t="s">
        <v>24485</v>
      </c>
      <c r="E579" s="798" t="s">
        <v>15732</v>
      </c>
      <c r="F579" s="798">
        <v>2</v>
      </c>
      <c r="G579" s="798" t="s">
        <v>122</v>
      </c>
      <c r="H579" s="798" t="s">
        <v>122</v>
      </c>
      <c r="I579" s="799">
        <v>21100</v>
      </c>
      <c r="J579" s="798">
        <v>1</v>
      </c>
      <c r="K579" s="799">
        <f t="shared" si="54"/>
        <v>21100</v>
      </c>
      <c r="L579" s="799">
        <f t="shared" si="55"/>
        <v>21100</v>
      </c>
      <c r="M579" s="799">
        <f t="shared" si="56"/>
        <v>21100</v>
      </c>
      <c r="N579" s="798" t="s">
        <v>16141</v>
      </c>
      <c r="O579" s="800">
        <f t="shared" si="57"/>
        <v>21100</v>
      </c>
      <c r="P579" s="800">
        <f t="shared" si="58"/>
        <v>21100</v>
      </c>
      <c r="Q579" s="801">
        <f t="shared" si="59"/>
        <v>21100</v>
      </c>
    </row>
    <row r="580" spans="1:17" x14ac:dyDescent="0.2">
      <c r="A580" s="802" t="s">
        <v>17900</v>
      </c>
      <c r="B580" s="803" t="s">
        <v>13918</v>
      </c>
      <c r="C580" s="803" t="s">
        <v>17513</v>
      </c>
      <c r="D580" s="803" t="s">
        <v>24485</v>
      </c>
      <c r="E580" s="803" t="s">
        <v>15733</v>
      </c>
      <c r="F580" s="803">
        <v>3</v>
      </c>
      <c r="G580" s="803" t="s">
        <v>122</v>
      </c>
      <c r="H580" s="803" t="s">
        <v>122</v>
      </c>
      <c r="I580" s="804">
        <v>22500</v>
      </c>
      <c r="J580" s="803">
        <v>1</v>
      </c>
      <c r="K580" s="804">
        <f t="shared" si="54"/>
        <v>22500</v>
      </c>
      <c r="L580" s="804">
        <f t="shared" si="55"/>
        <v>22500</v>
      </c>
      <c r="M580" s="804">
        <f t="shared" si="56"/>
        <v>22500</v>
      </c>
      <c r="N580" s="803" t="s">
        <v>15754</v>
      </c>
      <c r="O580" s="805">
        <f t="shared" si="57"/>
        <v>22500</v>
      </c>
      <c r="P580" s="805">
        <f t="shared" si="58"/>
        <v>22500</v>
      </c>
      <c r="Q580" s="806">
        <f t="shared" si="59"/>
        <v>22500</v>
      </c>
    </row>
    <row r="581" spans="1:17" x14ac:dyDescent="0.2">
      <c r="A581" s="797" t="s">
        <v>17040</v>
      </c>
      <c r="B581" s="798" t="s">
        <v>13918</v>
      </c>
      <c r="C581" s="798" t="s">
        <v>17513</v>
      </c>
      <c r="D581" s="798" t="s">
        <v>24486</v>
      </c>
      <c r="E581" s="798" t="s">
        <v>15731</v>
      </c>
      <c r="F581" s="798">
        <v>1</v>
      </c>
      <c r="G581" s="798" t="s">
        <v>122</v>
      </c>
      <c r="H581" s="798" t="s">
        <v>122</v>
      </c>
      <c r="I581" s="799">
        <v>18150</v>
      </c>
      <c r="J581" s="798">
        <v>1</v>
      </c>
      <c r="K581" s="799">
        <f t="shared" si="54"/>
        <v>18150</v>
      </c>
      <c r="L581" s="799">
        <f t="shared" si="55"/>
        <v>18150</v>
      </c>
      <c r="M581" s="799">
        <f t="shared" si="56"/>
        <v>18150</v>
      </c>
      <c r="N581" s="798" t="s">
        <v>15753</v>
      </c>
      <c r="O581" s="800">
        <f t="shared" si="57"/>
        <v>18150</v>
      </c>
      <c r="P581" s="800">
        <f t="shared" si="58"/>
        <v>18150</v>
      </c>
      <c r="Q581" s="801">
        <f t="shared" si="59"/>
        <v>18150</v>
      </c>
    </row>
    <row r="582" spans="1:17" x14ac:dyDescent="0.2">
      <c r="A582" s="802" t="s">
        <v>17901</v>
      </c>
      <c r="B582" s="803" t="s">
        <v>13918</v>
      </c>
      <c r="C582" s="803" t="s">
        <v>17513</v>
      </c>
      <c r="D582" s="803" t="s">
        <v>24486</v>
      </c>
      <c r="E582" s="803" t="s">
        <v>15732</v>
      </c>
      <c r="F582" s="803">
        <v>2</v>
      </c>
      <c r="G582" s="803" t="s">
        <v>122</v>
      </c>
      <c r="H582" s="803" t="s">
        <v>122</v>
      </c>
      <c r="I582" s="804">
        <v>21150</v>
      </c>
      <c r="J582" s="803">
        <v>1</v>
      </c>
      <c r="K582" s="804">
        <f t="shared" si="54"/>
        <v>21150</v>
      </c>
      <c r="L582" s="804">
        <f t="shared" si="55"/>
        <v>21150</v>
      </c>
      <c r="M582" s="804">
        <f t="shared" si="56"/>
        <v>21150</v>
      </c>
      <c r="N582" s="803" t="s">
        <v>16141</v>
      </c>
      <c r="O582" s="805">
        <f t="shared" si="57"/>
        <v>21150</v>
      </c>
      <c r="P582" s="805">
        <f t="shared" si="58"/>
        <v>21150</v>
      </c>
      <c r="Q582" s="806">
        <f t="shared" si="59"/>
        <v>21150</v>
      </c>
    </row>
    <row r="583" spans="1:17" x14ac:dyDescent="0.2">
      <c r="A583" s="797" t="s">
        <v>17902</v>
      </c>
      <c r="B583" s="798" t="s">
        <v>13918</v>
      </c>
      <c r="C583" s="798" t="s">
        <v>17513</v>
      </c>
      <c r="D583" s="798" t="s">
        <v>24486</v>
      </c>
      <c r="E583" s="798" t="s">
        <v>15733</v>
      </c>
      <c r="F583" s="798">
        <v>3</v>
      </c>
      <c r="G583" s="798" t="s">
        <v>122</v>
      </c>
      <c r="H583" s="798" t="s">
        <v>122</v>
      </c>
      <c r="I583" s="799">
        <v>22500</v>
      </c>
      <c r="J583" s="798">
        <v>1</v>
      </c>
      <c r="K583" s="799">
        <f t="shared" si="54"/>
        <v>22500</v>
      </c>
      <c r="L583" s="799">
        <f t="shared" si="55"/>
        <v>22500</v>
      </c>
      <c r="M583" s="799">
        <f t="shared" si="56"/>
        <v>22500</v>
      </c>
      <c r="N583" s="798" t="s">
        <v>15754</v>
      </c>
      <c r="O583" s="800">
        <f t="shared" si="57"/>
        <v>22500</v>
      </c>
      <c r="P583" s="800">
        <f t="shared" si="58"/>
        <v>22500</v>
      </c>
      <c r="Q583" s="801">
        <f t="shared" si="59"/>
        <v>22500</v>
      </c>
    </row>
    <row r="584" spans="1:17" x14ac:dyDescent="0.2">
      <c r="A584" s="802" t="s">
        <v>17050</v>
      </c>
      <c r="B584" s="803" t="s">
        <v>13918</v>
      </c>
      <c r="C584" s="803" t="s">
        <v>17513</v>
      </c>
      <c r="D584" s="803" t="s">
        <v>24487</v>
      </c>
      <c r="E584" s="803" t="s">
        <v>15731</v>
      </c>
      <c r="F584" s="803">
        <v>1</v>
      </c>
      <c r="G584" s="803" t="s">
        <v>122</v>
      </c>
      <c r="H584" s="803" t="s">
        <v>122</v>
      </c>
      <c r="I584" s="804">
        <v>18200</v>
      </c>
      <c r="J584" s="803">
        <v>1</v>
      </c>
      <c r="K584" s="804">
        <f t="shared" si="54"/>
        <v>18200</v>
      </c>
      <c r="L584" s="804">
        <f t="shared" si="55"/>
        <v>18200</v>
      </c>
      <c r="M584" s="804">
        <f t="shared" si="56"/>
        <v>18200</v>
      </c>
      <c r="N584" s="803" t="s">
        <v>15753</v>
      </c>
      <c r="O584" s="805">
        <f t="shared" si="57"/>
        <v>18200</v>
      </c>
      <c r="P584" s="805">
        <f t="shared" si="58"/>
        <v>18200</v>
      </c>
      <c r="Q584" s="806">
        <f t="shared" si="59"/>
        <v>18200</v>
      </c>
    </row>
    <row r="585" spans="1:17" x14ac:dyDescent="0.2">
      <c r="A585" s="797" t="s">
        <v>17903</v>
      </c>
      <c r="B585" s="798" t="s">
        <v>13918</v>
      </c>
      <c r="C585" s="798" t="s">
        <v>17513</v>
      </c>
      <c r="D585" s="798" t="s">
        <v>24487</v>
      </c>
      <c r="E585" s="798" t="s">
        <v>15732</v>
      </c>
      <c r="F585" s="798">
        <v>2</v>
      </c>
      <c r="G585" s="798" t="s">
        <v>122</v>
      </c>
      <c r="H585" s="798" t="s">
        <v>122</v>
      </c>
      <c r="I585" s="799">
        <v>21200</v>
      </c>
      <c r="J585" s="798">
        <v>1</v>
      </c>
      <c r="K585" s="799">
        <f t="shared" si="54"/>
        <v>21200</v>
      </c>
      <c r="L585" s="799">
        <f t="shared" si="55"/>
        <v>21200</v>
      </c>
      <c r="M585" s="799">
        <f t="shared" si="56"/>
        <v>21200</v>
      </c>
      <c r="N585" s="798" t="s">
        <v>16141</v>
      </c>
      <c r="O585" s="800">
        <f t="shared" si="57"/>
        <v>21200</v>
      </c>
      <c r="P585" s="800">
        <f t="shared" si="58"/>
        <v>21200</v>
      </c>
      <c r="Q585" s="801">
        <f t="shared" si="59"/>
        <v>21200</v>
      </c>
    </row>
    <row r="586" spans="1:17" x14ac:dyDescent="0.2">
      <c r="A586" s="802" t="s">
        <v>17904</v>
      </c>
      <c r="B586" s="803" t="s">
        <v>13918</v>
      </c>
      <c r="C586" s="803" t="s">
        <v>17513</v>
      </c>
      <c r="D586" s="803" t="s">
        <v>24487</v>
      </c>
      <c r="E586" s="803" t="s">
        <v>15733</v>
      </c>
      <c r="F586" s="803">
        <v>3</v>
      </c>
      <c r="G586" s="803" t="s">
        <v>122</v>
      </c>
      <c r="H586" s="803" t="s">
        <v>122</v>
      </c>
      <c r="I586" s="804">
        <v>22500</v>
      </c>
      <c r="J586" s="803">
        <v>1</v>
      </c>
      <c r="K586" s="804">
        <f t="shared" si="54"/>
        <v>22500</v>
      </c>
      <c r="L586" s="804">
        <f t="shared" si="55"/>
        <v>22500</v>
      </c>
      <c r="M586" s="804">
        <f t="shared" si="56"/>
        <v>22500</v>
      </c>
      <c r="N586" s="803" t="s">
        <v>15754</v>
      </c>
      <c r="O586" s="805">
        <f t="shared" si="57"/>
        <v>22500</v>
      </c>
      <c r="P586" s="805">
        <f t="shared" si="58"/>
        <v>22500</v>
      </c>
      <c r="Q586" s="806">
        <f t="shared" si="59"/>
        <v>22500</v>
      </c>
    </row>
    <row r="587" spans="1:17" x14ac:dyDescent="0.2">
      <c r="A587" s="797" t="s">
        <v>17057</v>
      </c>
      <c r="B587" s="798" t="s">
        <v>13918</v>
      </c>
      <c r="C587" s="798" t="s">
        <v>17513</v>
      </c>
      <c r="D587" s="798" t="s">
        <v>24488</v>
      </c>
      <c r="E587" s="798" t="s">
        <v>15731</v>
      </c>
      <c r="F587" s="798">
        <v>1</v>
      </c>
      <c r="G587" s="798" t="s">
        <v>3779</v>
      </c>
      <c r="H587" s="798" t="s">
        <v>3779</v>
      </c>
      <c r="I587" s="799">
        <v>24500</v>
      </c>
      <c r="J587" s="798">
        <v>1</v>
      </c>
      <c r="K587" s="799">
        <f t="shared" si="54"/>
        <v>24500</v>
      </c>
      <c r="L587" s="799">
        <f t="shared" si="55"/>
        <v>24500</v>
      </c>
      <c r="M587" s="799">
        <f t="shared" si="56"/>
        <v>24500</v>
      </c>
      <c r="N587" s="798" t="s">
        <v>16803</v>
      </c>
      <c r="O587" s="800">
        <f t="shared" si="57"/>
        <v>24500</v>
      </c>
      <c r="P587" s="800">
        <f t="shared" si="58"/>
        <v>24500</v>
      </c>
      <c r="Q587" s="801">
        <f t="shared" si="59"/>
        <v>24500</v>
      </c>
    </row>
    <row r="588" spans="1:17" x14ac:dyDescent="0.2">
      <c r="A588" s="802" t="s">
        <v>17905</v>
      </c>
      <c r="B588" s="803" t="s">
        <v>13918</v>
      </c>
      <c r="C588" s="803" t="s">
        <v>17513</v>
      </c>
      <c r="D588" s="803" t="s">
        <v>24488</v>
      </c>
      <c r="E588" s="803" t="s">
        <v>15732</v>
      </c>
      <c r="F588" s="803">
        <v>2</v>
      </c>
      <c r="G588" s="803" t="s">
        <v>3779</v>
      </c>
      <c r="H588" s="803" t="s">
        <v>3779</v>
      </c>
      <c r="I588" s="804">
        <v>27500</v>
      </c>
      <c r="J588" s="803">
        <v>1</v>
      </c>
      <c r="K588" s="804">
        <f t="shared" si="54"/>
        <v>27500</v>
      </c>
      <c r="L588" s="804">
        <f t="shared" si="55"/>
        <v>27500</v>
      </c>
      <c r="M588" s="804">
        <f t="shared" si="56"/>
        <v>27500</v>
      </c>
      <c r="N588" s="803" t="s">
        <v>16803</v>
      </c>
      <c r="O588" s="805">
        <f t="shared" si="57"/>
        <v>27500</v>
      </c>
      <c r="P588" s="805">
        <f t="shared" si="58"/>
        <v>27500</v>
      </c>
      <c r="Q588" s="806">
        <f t="shared" si="59"/>
        <v>27500</v>
      </c>
    </row>
    <row r="589" spans="1:17" x14ac:dyDescent="0.2">
      <c r="A589" s="797" t="s">
        <v>17906</v>
      </c>
      <c r="B589" s="798" t="s">
        <v>13918</v>
      </c>
      <c r="C589" s="798" t="s">
        <v>17513</v>
      </c>
      <c r="D589" s="798" t="s">
        <v>24488</v>
      </c>
      <c r="E589" s="798" t="s">
        <v>15733</v>
      </c>
      <c r="F589" s="798">
        <v>3</v>
      </c>
      <c r="G589" s="798" t="s">
        <v>3779</v>
      </c>
      <c r="H589" s="798" t="s">
        <v>3779</v>
      </c>
      <c r="I589" s="799">
        <v>31500</v>
      </c>
      <c r="J589" s="798">
        <v>1</v>
      </c>
      <c r="K589" s="799">
        <f t="shared" si="54"/>
        <v>31500</v>
      </c>
      <c r="L589" s="799">
        <f t="shared" si="55"/>
        <v>31500</v>
      </c>
      <c r="M589" s="799">
        <f t="shared" si="56"/>
        <v>31500</v>
      </c>
      <c r="N589" s="798" t="s">
        <v>16803</v>
      </c>
      <c r="O589" s="800">
        <f t="shared" si="57"/>
        <v>31500</v>
      </c>
      <c r="P589" s="800">
        <f t="shared" si="58"/>
        <v>31500</v>
      </c>
      <c r="Q589" s="801">
        <f t="shared" si="59"/>
        <v>31500</v>
      </c>
    </row>
    <row r="590" spans="1:17" x14ac:dyDescent="0.2">
      <c r="A590" s="802" t="s">
        <v>17070</v>
      </c>
      <c r="B590" s="803" t="s">
        <v>13918</v>
      </c>
      <c r="C590" s="803" t="s">
        <v>17513</v>
      </c>
      <c r="D590" s="803" t="s">
        <v>24489</v>
      </c>
      <c r="E590" s="803" t="s">
        <v>15731</v>
      </c>
      <c r="F590" s="803">
        <v>1</v>
      </c>
      <c r="G590" s="803" t="s">
        <v>122</v>
      </c>
      <c r="H590" s="803" t="s">
        <v>122</v>
      </c>
      <c r="I590" s="804">
        <v>18250</v>
      </c>
      <c r="J590" s="803">
        <v>1</v>
      </c>
      <c r="K590" s="804">
        <f t="shared" si="54"/>
        <v>18250</v>
      </c>
      <c r="L590" s="804">
        <f t="shared" si="55"/>
        <v>18250</v>
      </c>
      <c r="M590" s="804">
        <f t="shared" si="56"/>
        <v>18250</v>
      </c>
      <c r="N590" s="803" t="s">
        <v>15753</v>
      </c>
      <c r="O590" s="805">
        <f t="shared" si="57"/>
        <v>18250</v>
      </c>
      <c r="P590" s="805">
        <f t="shared" si="58"/>
        <v>18250</v>
      </c>
      <c r="Q590" s="806">
        <f t="shared" si="59"/>
        <v>18250</v>
      </c>
    </row>
    <row r="591" spans="1:17" x14ac:dyDescent="0.2">
      <c r="A591" s="797" t="s">
        <v>17907</v>
      </c>
      <c r="B591" s="798" t="s">
        <v>13918</v>
      </c>
      <c r="C591" s="798" t="s">
        <v>17513</v>
      </c>
      <c r="D591" s="798" t="s">
        <v>24489</v>
      </c>
      <c r="E591" s="798" t="s">
        <v>15732</v>
      </c>
      <c r="F591" s="798">
        <v>2</v>
      </c>
      <c r="G591" s="798" t="s">
        <v>122</v>
      </c>
      <c r="H591" s="798" t="s">
        <v>122</v>
      </c>
      <c r="I591" s="799">
        <v>21250</v>
      </c>
      <c r="J591" s="798">
        <v>1</v>
      </c>
      <c r="K591" s="799">
        <f t="shared" si="54"/>
        <v>21250</v>
      </c>
      <c r="L591" s="799">
        <f t="shared" si="55"/>
        <v>21250</v>
      </c>
      <c r="M591" s="799">
        <f t="shared" si="56"/>
        <v>21250</v>
      </c>
      <c r="N591" s="798" t="s">
        <v>16141</v>
      </c>
      <c r="O591" s="800">
        <f t="shared" si="57"/>
        <v>21250</v>
      </c>
      <c r="P591" s="800">
        <f t="shared" si="58"/>
        <v>21250</v>
      </c>
      <c r="Q591" s="801">
        <f t="shared" si="59"/>
        <v>21250</v>
      </c>
    </row>
    <row r="592" spans="1:17" x14ac:dyDescent="0.2">
      <c r="A592" s="802" t="s">
        <v>17908</v>
      </c>
      <c r="B592" s="803" t="s">
        <v>13918</v>
      </c>
      <c r="C592" s="803" t="s">
        <v>17513</v>
      </c>
      <c r="D592" s="803" t="s">
        <v>24489</v>
      </c>
      <c r="E592" s="803" t="s">
        <v>15733</v>
      </c>
      <c r="F592" s="803">
        <v>3</v>
      </c>
      <c r="G592" s="803" t="s">
        <v>122</v>
      </c>
      <c r="H592" s="803" t="s">
        <v>122</v>
      </c>
      <c r="I592" s="804">
        <v>22500</v>
      </c>
      <c r="J592" s="803">
        <v>1</v>
      </c>
      <c r="K592" s="804">
        <f t="shared" si="54"/>
        <v>22500</v>
      </c>
      <c r="L592" s="804">
        <f t="shared" si="55"/>
        <v>22500</v>
      </c>
      <c r="M592" s="804">
        <f t="shared" si="56"/>
        <v>22500</v>
      </c>
      <c r="N592" s="803" t="s">
        <v>15754</v>
      </c>
      <c r="O592" s="805">
        <f t="shared" si="57"/>
        <v>22500</v>
      </c>
      <c r="P592" s="805">
        <f t="shared" si="58"/>
        <v>22500</v>
      </c>
      <c r="Q592" s="806">
        <f t="shared" si="59"/>
        <v>22500</v>
      </c>
    </row>
    <row r="593" spans="1:17" x14ac:dyDescent="0.2">
      <c r="A593" s="797" t="s">
        <v>17073</v>
      </c>
      <c r="B593" s="798" t="s">
        <v>13918</v>
      </c>
      <c r="C593" s="798" t="s">
        <v>17513</v>
      </c>
      <c r="D593" s="798" t="s">
        <v>24490</v>
      </c>
      <c r="E593" s="798" t="s">
        <v>15731</v>
      </c>
      <c r="F593" s="798">
        <v>1</v>
      </c>
      <c r="G593" s="798" t="s">
        <v>122</v>
      </c>
      <c r="H593" s="798" t="s">
        <v>122</v>
      </c>
      <c r="I593" s="799">
        <v>18300</v>
      </c>
      <c r="J593" s="798">
        <v>1</v>
      </c>
      <c r="K593" s="799">
        <f t="shared" si="54"/>
        <v>18300</v>
      </c>
      <c r="L593" s="799">
        <f t="shared" si="55"/>
        <v>18300</v>
      </c>
      <c r="M593" s="799">
        <f t="shared" si="56"/>
        <v>18300</v>
      </c>
      <c r="N593" s="798" t="s">
        <v>15753</v>
      </c>
      <c r="O593" s="800">
        <f t="shared" si="57"/>
        <v>18300</v>
      </c>
      <c r="P593" s="800">
        <f t="shared" si="58"/>
        <v>18300</v>
      </c>
      <c r="Q593" s="801">
        <f t="shared" si="59"/>
        <v>18300</v>
      </c>
    </row>
    <row r="594" spans="1:17" x14ac:dyDescent="0.2">
      <c r="A594" s="802" t="s">
        <v>17909</v>
      </c>
      <c r="B594" s="803" t="s">
        <v>13918</v>
      </c>
      <c r="C594" s="803" t="s">
        <v>17513</v>
      </c>
      <c r="D594" s="803" t="s">
        <v>24490</v>
      </c>
      <c r="E594" s="803" t="s">
        <v>15732</v>
      </c>
      <c r="F594" s="803">
        <v>2</v>
      </c>
      <c r="G594" s="803" t="s">
        <v>122</v>
      </c>
      <c r="H594" s="803" t="s">
        <v>122</v>
      </c>
      <c r="I594" s="804">
        <v>21300</v>
      </c>
      <c r="J594" s="803">
        <v>1</v>
      </c>
      <c r="K594" s="804">
        <f t="shared" si="54"/>
        <v>21300</v>
      </c>
      <c r="L594" s="804">
        <f t="shared" si="55"/>
        <v>21300</v>
      </c>
      <c r="M594" s="804">
        <f t="shared" si="56"/>
        <v>21300</v>
      </c>
      <c r="N594" s="803" t="s">
        <v>16141</v>
      </c>
      <c r="O594" s="805">
        <f t="shared" si="57"/>
        <v>21300</v>
      </c>
      <c r="P594" s="805">
        <f t="shared" si="58"/>
        <v>21300</v>
      </c>
      <c r="Q594" s="806">
        <f t="shared" si="59"/>
        <v>21300</v>
      </c>
    </row>
    <row r="595" spans="1:17" x14ac:dyDescent="0.2">
      <c r="A595" s="797" t="s">
        <v>17910</v>
      </c>
      <c r="B595" s="798" t="s">
        <v>13918</v>
      </c>
      <c r="C595" s="798" t="s">
        <v>17513</v>
      </c>
      <c r="D595" s="798" t="s">
        <v>24490</v>
      </c>
      <c r="E595" s="798" t="s">
        <v>15733</v>
      </c>
      <c r="F595" s="798">
        <v>3</v>
      </c>
      <c r="G595" s="798" t="s">
        <v>122</v>
      </c>
      <c r="H595" s="798" t="s">
        <v>122</v>
      </c>
      <c r="I595" s="799">
        <v>22500</v>
      </c>
      <c r="J595" s="798">
        <v>1</v>
      </c>
      <c r="K595" s="799">
        <f t="shared" si="54"/>
        <v>22500</v>
      </c>
      <c r="L595" s="799">
        <f t="shared" si="55"/>
        <v>22500</v>
      </c>
      <c r="M595" s="799">
        <f t="shared" si="56"/>
        <v>22500</v>
      </c>
      <c r="N595" s="798" t="s">
        <v>15754</v>
      </c>
      <c r="O595" s="800">
        <f t="shared" si="57"/>
        <v>22500</v>
      </c>
      <c r="P595" s="800">
        <f t="shared" si="58"/>
        <v>22500</v>
      </c>
      <c r="Q595" s="801">
        <f t="shared" si="59"/>
        <v>22500</v>
      </c>
    </row>
    <row r="596" spans="1:17" x14ac:dyDescent="0.2">
      <c r="A596" s="802" t="s">
        <v>17080</v>
      </c>
      <c r="B596" s="803" t="s">
        <v>13918</v>
      </c>
      <c r="C596" s="803" t="s">
        <v>17513</v>
      </c>
      <c r="D596" s="803" t="s">
        <v>24491</v>
      </c>
      <c r="E596" s="803" t="s">
        <v>15731</v>
      </c>
      <c r="F596" s="803">
        <v>1</v>
      </c>
      <c r="G596" s="803" t="s">
        <v>122</v>
      </c>
      <c r="H596" s="803" t="s">
        <v>122</v>
      </c>
      <c r="I596" s="804">
        <v>18350</v>
      </c>
      <c r="J596" s="803">
        <v>1</v>
      </c>
      <c r="K596" s="804">
        <f t="shared" si="54"/>
        <v>18350</v>
      </c>
      <c r="L596" s="804">
        <f t="shared" si="55"/>
        <v>18350</v>
      </c>
      <c r="M596" s="804">
        <f t="shared" si="56"/>
        <v>18350</v>
      </c>
      <c r="N596" s="803" t="s">
        <v>15753</v>
      </c>
      <c r="O596" s="805">
        <f t="shared" si="57"/>
        <v>18350</v>
      </c>
      <c r="P596" s="805">
        <f t="shared" si="58"/>
        <v>18350</v>
      </c>
      <c r="Q596" s="806">
        <f t="shared" si="59"/>
        <v>18350</v>
      </c>
    </row>
    <row r="597" spans="1:17" x14ac:dyDescent="0.2">
      <c r="A597" s="797" t="s">
        <v>17911</v>
      </c>
      <c r="B597" s="798" t="s">
        <v>13918</v>
      </c>
      <c r="C597" s="798" t="s">
        <v>17513</v>
      </c>
      <c r="D597" s="798" t="s">
        <v>24491</v>
      </c>
      <c r="E597" s="798" t="s">
        <v>15732</v>
      </c>
      <c r="F597" s="798">
        <v>2</v>
      </c>
      <c r="G597" s="798" t="s">
        <v>122</v>
      </c>
      <c r="H597" s="798" t="s">
        <v>122</v>
      </c>
      <c r="I597" s="799">
        <v>21350</v>
      </c>
      <c r="J597" s="798">
        <v>1</v>
      </c>
      <c r="K597" s="799">
        <f t="shared" si="54"/>
        <v>21350</v>
      </c>
      <c r="L597" s="799">
        <f t="shared" si="55"/>
        <v>21350</v>
      </c>
      <c r="M597" s="799">
        <f t="shared" si="56"/>
        <v>21350</v>
      </c>
      <c r="N597" s="798" t="s">
        <v>16141</v>
      </c>
      <c r="O597" s="800">
        <f t="shared" si="57"/>
        <v>21350</v>
      </c>
      <c r="P597" s="800">
        <f t="shared" si="58"/>
        <v>21350</v>
      </c>
      <c r="Q597" s="801">
        <f t="shared" si="59"/>
        <v>21350</v>
      </c>
    </row>
    <row r="598" spans="1:17" x14ac:dyDescent="0.2">
      <c r="A598" s="802" t="s">
        <v>17912</v>
      </c>
      <c r="B598" s="803" t="s">
        <v>13918</v>
      </c>
      <c r="C598" s="803" t="s">
        <v>17513</v>
      </c>
      <c r="D598" s="803" t="s">
        <v>24491</v>
      </c>
      <c r="E598" s="803" t="s">
        <v>15733</v>
      </c>
      <c r="F598" s="803">
        <v>3</v>
      </c>
      <c r="G598" s="803" t="s">
        <v>122</v>
      </c>
      <c r="H598" s="803" t="s">
        <v>122</v>
      </c>
      <c r="I598" s="804">
        <v>22500</v>
      </c>
      <c r="J598" s="803">
        <v>1</v>
      </c>
      <c r="K598" s="804">
        <f t="shared" si="54"/>
        <v>22500</v>
      </c>
      <c r="L598" s="804">
        <f t="shared" si="55"/>
        <v>22500</v>
      </c>
      <c r="M598" s="804">
        <f t="shared" si="56"/>
        <v>22500</v>
      </c>
      <c r="N598" s="803" t="s">
        <v>15754</v>
      </c>
      <c r="O598" s="805">
        <f t="shared" si="57"/>
        <v>22500</v>
      </c>
      <c r="P598" s="805">
        <f t="shared" si="58"/>
        <v>22500</v>
      </c>
      <c r="Q598" s="806">
        <f t="shared" si="59"/>
        <v>22500</v>
      </c>
    </row>
    <row r="599" spans="1:17" x14ac:dyDescent="0.2">
      <c r="A599" s="797" t="s">
        <v>17087</v>
      </c>
      <c r="B599" s="798" t="s">
        <v>13918</v>
      </c>
      <c r="C599" s="798" t="s">
        <v>17513</v>
      </c>
      <c r="D599" s="798" t="s">
        <v>24492</v>
      </c>
      <c r="E599" s="798" t="s">
        <v>15731</v>
      </c>
      <c r="F599" s="798">
        <v>1</v>
      </c>
      <c r="G599" s="798" t="s">
        <v>10772</v>
      </c>
      <c r="H599" s="798" t="s">
        <v>17824</v>
      </c>
      <c r="I599" s="799">
        <v>24500</v>
      </c>
      <c r="J599" s="798">
        <v>1</v>
      </c>
      <c r="K599" s="799">
        <f t="shared" si="54"/>
        <v>24500</v>
      </c>
      <c r="L599" s="799">
        <f t="shared" si="55"/>
        <v>24500</v>
      </c>
      <c r="M599" s="799">
        <f t="shared" si="56"/>
        <v>24500</v>
      </c>
      <c r="N599" s="798" t="s">
        <v>16665</v>
      </c>
      <c r="O599" s="800">
        <f t="shared" si="57"/>
        <v>24500</v>
      </c>
      <c r="P599" s="800">
        <f t="shared" si="58"/>
        <v>24500</v>
      </c>
      <c r="Q599" s="801">
        <f t="shared" si="59"/>
        <v>24500</v>
      </c>
    </row>
    <row r="600" spans="1:17" x14ac:dyDescent="0.2">
      <c r="A600" s="802" t="s">
        <v>17913</v>
      </c>
      <c r="B600" s="803" t="s">
        <v>13918</v>
      </c>
      <c r="C600" s="803" t="s">
        <v>17513</v>
      </c>
      <c r="D600" s="803" t="s">
        <v>24492</v>
      </c>
      <c r="E600" s="803" t="s">
        <v>15732</v>
      </c>
      <c r="F600" s="803">
        <v>2</v>
      </c>
      <c r="G600" s="803" t="s">
        <v>10772</v>
      </c>
      <c r="H600" s="803" t="s">
        <v>17824</v>
      </c>
      <c r="I600" s="804">
        <v>27500</v>
      </c>
      <c r="J600" s="803">
        <v>1</v>
      </c>
      <c r="K600" s="804">
        <f t="shared" si="54"/>
        <v>27500</v>
      </c>
      <c r="L600" s="804">
        <f t="shared" si="55"/>
        <v>27500</v>
      </c>
      <c r="M600" s="804">
        <f t="shared" si="56"/>
        <v>27500</v>
      </c>
      <c r="N600" s="803" t="s">
        <v>16803</v>
      </c>
      <c r="O600" s="805">
        <f t="shared" si="57"/>
        <v>27500</v>
      </c>
      <c r="P600" s="805">
        <f t="shared" si="58"/>
        <v>27500</v>
      </c>
      <c r="Q600" s="806">
        <f t="shared" si="59"/>
        <v>27500</v>
      </c>
    </row>
    <row r="601" spans="1:17" x14ac:dyDescent="0.2">
      <c r="A601" s="797" t="s">
        <v>17914</v>
      </c>
      <c r="B601" s="798" t="s">
        <v>13918</v>
      </c>
      <c r="C601" s="798" t="s">
        <v>17513</v>
      </c>
      <c r="D601" s="798" t="s">
        <v>24492</v>
      </c>
      <c r="E601" s="798" t="s">
        <v>15733</v>
      </c>
      <c r="F601" s="798">
        <v>3</v>
      </c>
      <c r="G601" s="798" t="s">
        <v>10772</v>
      </c>
      <c r="H601" s="798" t="s">
        <v>17824</v>
      </c>
      <c r="I601" s="799">
        <v>31500</v>
      </c>
      <c r="J601" s="798">
        <v>1</v>
      </c>
      <c r="K601" s="799">
        <f t="shared" si="54"/>
        <v>31500</v>
      </c>
      <c r="L601" s="799">
        <f t="shared" si="55"/>
        <v>31500</v>
      </c>
      <c r="M601" s="799">
        <f t="shared" si="56"/>
        <v>31500</v>
      </c>
      <c r="N601" s="798" t="s">
        <v>17091</v>
      </c>
      <c r="O601" s="800">
        <f t="shared" si="57"/>
        <v>31500</v>
      </c>
      <c r="P601" s="800">
        <f t="shared" si="58"/>
        <v>31500</v>
      </c>
      <c r="Q601" s="801">
        <f t="shared" si="59"/>
        <v>31500</v>
      </c>
    </row>
    <row r="602" spans="1:17" x14ac:dyDescent="0.2">
      <c r="A602" s="802" t="s">
        <v>17107</v>
      </c>
      <c r="B602" s="803" t="s">
        <v>13918</v>
      </c>
      <c r="C602" s="803" t="s">
        <v>17513</v>
      </c>
      <c r="D602" s="803" t="s">
        <v>24493</v>
      </c>
      <c r="E602" s="803" t="s">
        <v>15731</v>
      </c>
      <c r="F602" s="803">
        <v>1</v>
      </c>
      <c r="G602" s="803" t="s">
        <v>2837</v>
      </c>
      <c r="H602" s="803" t="s">
        <v>2837</v>
      </c>
      <c r="I602" s="804">
        <v>18500</v>
      </c>
      <c r="J602" s="803">
        <v>1</v>
      </c>
      <c r="K602" s="804">
        <f t="shared" si="54"/>
        <v>18500</v>
      </c>
      <c r="L602" s="804">
        <f t="shared" si="55"/>
        <v>18500</v>
      </c>
      <c r="M602" s="804">
        <f t="shared" si="56"/>
        <v>18500</v>
      </c>
      <c r="N602" s="803" t="s">
        <v>15753</v>
      </c>
      <c r="O602" s="805">
        <f t="shared" si="57"/>
        <v>18500</v>
      </c>
      <c r="P602" s="805">
        <f t="shared" si="58"/>
        <v>18500</v>
      </c>
      <c r="Q602" s="806">
        <f t="shared" si="59"/>
        <v>18500</v>
      </c>
    </row>
    <row r="603" spans="1:17" x14ac:dyDescent="0.2">
      <c r="A603" s="797" t="s">
        <v>17915</v>
      </c>
      <c r="B603" s="798" t="s">
        <v>13918</v>
      </c>
      <c r="C603" s="798" t="s">
        <v>17513</v>
      </c>
      <c r="D603" s="798" t="s">
        <v>24493</v>
      </c>
      <c r="E603" s="798" t="s">
        <v>15732</v>
      </c>
      <c r="F603" s="798">
        <v>2</v>
      </c>
      <c r="G603" s="798" t="s">
        <v>2837</v>
      </c>
      <c r="H603" s="798" t="s">
        <v>2837</v>
      </c>
      <c r="I603" s="799">
        <v>21500</v>
      </c>
      <c r="J603" s="798">
        <v>1</v>
      </c>
      <c r="K603" s="799">
        <f t="shared" si="54"/>
        <v>21500</v>
      </c>
      <c r="L603" s="799">
        <f t="shared" si="55"/>
        <v>21500</v>
      </c>
      <c r="M603" s="799">
        <f t="shared" si="56"/>
        <v>21500</v>
      </c>
      <c r="N603" s="798" t="s">
        <v>16141</v>
      </c>
      <c r="O603" s="800">
        <f t="shared" si="57"/>
        <v>21500</v>
      </c>
      <c r="P603" s="800">
        <f t="shared" si="58"/>
        <v>21500</v>
      </c>
      <c r="Q603" s="801">
        <f t="shared" si="59"/>
        <v>21500</v>
      </c>
    </row>
    <row r="604" spans="1:17" x14ac:dyDescent="0.2">
      <c r="A604" s="802" t="s">
        <v>17916</v>
      </c>
      <c r="B604" s="803" t="s">
        <v>13918</v>
      </c>
      <c r="C604" s="803" t="s">
        <v>17513</v>
      </c>
      <c r="D604" s="803" t="s">
        <v>24493</v>
      </c>
      <c r="E604" s="803" t="s">
        <v>15733</v>
      </c>
      <c r="F604" s="803">
        <v>3</v>
      </c>
      <c r="G604" s="803" t="s">
        <v>2837</v>
      </c>
      <c r="H604" s="803" t="s">
        <v>2837</v>
      </c>
      <c r="I604" s="804">
        <v>23500</v>
      </c>
      <c r="J604" s="803">
        <v>1</v>
      </c>
      <c r="K604" s="804">
        <f t="shared" si="54"/>
        <v>23500</v>
      </c>
      <c r="L604" s="804">
        <f t="shared" si="55"/>
        <v>23500</v>
      </c>
      <c r="M604" s="804">
        <f t="shared" si="56"/>
        <v>23500</v>
      </c>
      <c r="N604" s="803" t="s">
        <v>15754</v>
      </c>
      <c r="O604" s="805">
        <f t="shared" si="57"/>
        <v>23500</v>
      </c>
      <c r="P604" s="805">
        <f t="shared" si="58"/>
        <v>23500</v>
      </c>
      <c r="Q604" s="806">
        <f t="shared" si="59"/>
        <v>23500</v>
      </c>
    </row>
    <row r="605" spans="1:17" x14ac:dyDescent="0.2">
      <c r="A605" s="797" t="s">
        <v>17110</v>
      </c>
      <c r="B605" s="798" t="s">
        <v>13918</v>
      </c>
      <c r="C605" s="798" t="s">
        <v>17513</v>
      </c>
      <c r="D605" s="798" t="s">
        <v>24494</v>
      </c>
      <c r="E605" s="798" t="s">
        <v>15731</v>
      </c>
      <c r="F605" s="798">
        <v>1</v>
      </c>
      <c r="G605" s="798" t="s">
        <v>2837</v>
      </c>
      <c r="H605" s="798" t="s">
        <v>2837</v>
      </c>
      <c r="I605" s="799">
        <v>18550</v>
      </c>
      <c r="J605" s="798">
        <v>1</v>
      </c>
      <c r="K605" s="799">
        <f t="shared" si="54"/>
        <v>18550</v>
      </c>
      <c r="L605" s="799">
        <f t="shared" si="55"/>
        <v>18550</v>
      </c>
      <c r="M605" s="799">
        <f t="shared" si="56"/>
        <v>18550</v>
      </c>
      <c r="N605" s="798" t="s">
        <v>15753</v>
      </c>
      <c r="O605" s="800">
        <f t="shared" si="57"/>
        <v>18550</v>
      </c>
      <c r="P605" s="800">
        <f t="shared" si="58"/>
        <v>18550</v>
      </c>
      <c r="Q605" s="801">
        <f t="shared" si="59"/>
        <v>18550</v>
      </c>
    </row>
    <row r="606" spans="1:17" x14ac:dyDescent="0.2">
      <c r="A606" s="802" t="s">
        <v>17917</v>
      </c>
      <c r="B606" s="803" t="s">
        <v>13918</v>
      </c>
      <c r="C606" s="803" t="s">
        <v>17513</v>
      </c>
      <c r="D606" s="803" t="s">
        <v>24494</v>
      </c>
      <c r="E606" s="803" t="s">
        <v>15732</v>
      </c>
      <c r="F606" s="803">
        <v>2</v>
      </c>
      <c r="G606" s="803" t="s">
        <v>2837</v>
      </c>
      <c r="H606" s="803" t="s">
        <v>2837</v>
      </c>
      <c r="I606" s="804">
        <v>21550</v>
      </c>
      <c r="J606" s="803">
        <v>1</v>
      </c>
      <c r="K606" s="804">
        <f t="shared" si="54"/>
        <v>21550</v>
      </c>
      <c r="L606" s="804">
        <f t="shared" si="55"/>
        <v>21550</v>
      </c>
      <c r="M606" s="804">
        <f t="shared" si="56"/>
        <v>21550</v>
      </c>
      <c r="N606" s="803" t="s">
        <v>16141</v>
      </c>
      <c r="O606" s="805">
        <f t="shared" si="57"/>
        <v>21550</v>
      </c>
      <c r="P606" s="805">
        <f t="shared" si="58"/>
        <v>21550</v>
      </c>
      <c r="Q606" s="806">
        <f t="shared" si="59"/>
        <v>21550</v>
      </c>
    </row>
    <row r="607" spans="1:17" x14ac:dyDescent="0.2">
      <c r="A607" s="797" t="s">
        <v>17918</v>
      </c>
      <c r="B607" s="798" t="s">
        <v>13918</v>
      </c>
      <c r="C607" s="798" t="s">
        <v>17513</v>
      </c>
      <c r="D607" s="798" t="s">
        <v>24494</v>
      </c>
      <c r="E607" s="798" t="s">
        <v>15733</v>
      </c>
      <c r="F607" s="798">
        <v>3</v>
      </c>
      <c r="G607" s="798" t="s">
        <v>2837</v>
      </c>
      <c r="H607" s="798" t="s">
        <v>2837</v>
      </c>
      <c r="I607" s="799">
        <v>23500</v>
      </c>
      <c r="J607" s="798">
        <v>1</v>
      </c>
      <c r="K607" s="799">
        <f t="shared" si="54"/>
        <v>23500</v>
      </c>
      <c r="L607" s="799">
        <f t="shared" si="55"/>
        <v>23500</v>
      </c>
      <c r="M607" s="799">
        <f t="shared" si="56"/>
        <v>23500</v>
      </c>
      <c r="N607" s="798" t="s">
        <v>15754</v>
      </c>
      <c r="O607" s="800">
        <f t="shared" si="57"/>
        <v>23500</v>
      </c>
      <c r="P607" s="800">
        <f t="shared" si="58"/>
        <v>23500</v>
      </c>
      <c r="Q607" s="801">
        <f t="shared" si="59"/>
        <v>23500</v>
      </c>
    </row>
    <row r="608" spans="1:17" x14ac:dyDescent="0.2">
      <c r="A608" s="802" t="s">
        <v>17117</v>
      </c>
      <c r="B608" s="803" t="s">
        <v>13918</v>
      </c>
      <c r="C608" s="803" t="s">
        <v>17513</v>
      </c>
      <c r="D608" s="803" t="s">
        <v>24495</v>
      </c>
      <c r="E608" s="803" t="s">
        <v>15731</v>
      </c>
      <c r="F608" s="803">
        <v>1</v>
      </c>
      <c r="G608" s="803" t="s">
        <v>122</v>
      </c>
      <c r="H608" s="803" t="s">
        <v>122</v>
      </c>
      <c r="I608" s="804">
        <v>19000</v>
      </c>
      <c r="J608" s="803">
        <v>1</v>
      </c>
      <c r="K608" s="804">
        <f t="shared" si="54"/>
        <v>19000</v>
      </c>
      <c r="L608" s="804">
        <f t="shared" si="55"/>
        <v>19000</v>
      </c>
      <c r="M608" s="804">
        <f t="shared" si="56"/>
        <v>19000</v>
      </c>
      <c r="N608" s="803" t="s">
        <v>15753</v>
      </c>
      <c r="O608" s="805">
        <f t="shared" si="57"/>
        <v>19000</v>
      </c>
      <c r="P608" s="805">
        <f t="shared" si="58"/>
        <v>19000</v>
      </c>
      <c r="Q608" s="806">
        <f t="shared" si="59"/>
        <v>19000</v>
      </c>
    </row>
    <row r="609" spans="1:17" x14ac:dyDescent="0.2">
      <c r="A609" s="797" t="s">
        <v>17919</v>
      </c>
      <c r="B609" s="798" t="s">
        <v>13918</v>
      </c>
      <c r="C609" s="798" t="s">
        <v>17513</v>
      </c>
      <c r="D609" s="798" t="s">
        <v>24495</v>
      </c>
      <c r="E609" s="798" t="s">
        <v>15732</v>
      </c>
      <c r="F609" s="798">
        <v>2</v>
      </c>
      <c r="G609" s="798" t="s">
        <v>122</v>
      </c>
      <c r="H609" s="798" t="s">
        <v>122</v>
      </c>
      <c r="I609" s="799">
        <v>22000</v>
      </c>
      <c r="J609" s="798">
        <v>1</v>
      </c>
      <c r="K609" s="799">
        <f t="shared" si="54"/>
        <v>22000</v>
      </c>
      <c r="L609" s="799">
        <f t="shared" si="55"/>
        <v>22000</v>
      </c>
      <c r="M609" s="799">
        <f t="shared" si="56"/>
        <v>22000</v>
      </c>
      <c r="N609" s="798" t="s">
        <v>16141</v>
      </c>
      <c r="O609" s="800">
        <f t="shared" si="57"/>
        <v>22000</v>
      </c>
      <c r="P609" s="800">
        <f t="shared" si="58"/>
        <v>22000</v>
      </c>
      <c r="Q609" s="801">
        <f t="shared" si="59"/>
        <v>22000</v>
      </c>
    </row>
    <row r="610" spans="1:17" x14ac:dyDescent="0.2">
      <c r="A610" s="802" t="s">
        <v>17920</v>
      </c>
      <c r="B610" s="803" t="s">
        <v>13918</v>
      </c>
      <c r="C610" s="803" t="s">
        <v>17513</v>
      </c>
      <c r="D610" s="803" t="s">
        <v>24495</v>
      </c>
      <c r="E610" s="803" t="s">
        <v>15733</v>
      </c>
      <c r="F610" s="803">
        <v>3</v>
      </c>
      <c r="G610" s="803" t="s">
        <v>122</v>
      </c>
      <c r="H610" s="803" t="s">
        <v>122</v>
      </c>
      <c r="I610" s="804">
        <v>24000</v>
      </c>
      <c r="J610" s="803">
        <v>1</v>
      </c>
      <c r="K610" s="804">
        <f t="shared" si="54"/>
        <v>24000</v>
      </c>
      <c r="L610" s="804">
        <f t="shared" si="55"/>
        <v>24000</v>
      </c>
      <c r="M610" s="804">
        <f t="shared" si="56"/>
        <v>24000</v>
      </c>
      <c r="N610" s="803" t="s">
        <v>15754</v>
      </c>
      <c r="O610" s="805">
        <f t="shared" si="57"/>
        <v>24000</v>
      </c>
      <c r="P610" s="805">
        <f t="shared" si="58"/>
        <v>24000</v>
      </c>
      <c r="Q610" s="806">
        <f t="shared" si="59"/>
        <v>24000</v>
      </c>
    </row>
    <row r="611" spans="1:17" x14ac:dyDescent="0.2">
      <c r="A611" s="797" t="s">
        <v>17122</v>
      </c>
      <c r="B611" s="798" t="s">
        <v>13918</v>
      </c>
      <c r="C611" s="798" t="s">
        <v>17513</v>
      </c>
      <c r="D611" s="798" t="s">
        <v>24496</v>
      </c>
      <c r="E611" s="798" t="s">
        <v>15731</v>
      </c>
      <c r="F611" s="798">
        <v>1</v>
      </c>
      <c r="G611" s="798" t="s">
        <v>2837</v>
      </c>
      <c r="H611" s="798" t="s">
        <v>2837</v>
      </c>
      <c r="I611" s="799">
        <v>18600</v>
      </c>
      <c r="J611" s="798">
        <v>1</v>
      </c>
      <c r="K611" s="799">
        <f t="shared" si="54"/>
        <v>18600</v>
      </c>
      <c r="L611" s="799">
        <f t="shared" si="55"/>
        <v>18600</v>
      </c>
      <c r="M611" s="799">
        <f t="shared" si="56"/>
        <v>18600</v>
      </c>
      <c r="N611" s="798" t="s">
        <v>15753</v>
      </c>
      <c r="O611" s="800">
        <f t="shared" si="57"/>
        <v>18600</v>
      </c>
      <c r="P611" s="800">
        <f t="shared" si="58"/>
        <v>18600</v>
      </c>
      <c r="Q611" s="801">
        <f t="shared" si="59"/>
        <v>18600</v>
      </c>
    </row>
    <row r="612" spans="1:17" x14ac:dyDescent="0.2">
      <c r="A612" s="802" t="s">
        <v>17921</v>
      </c>
      <c r="B612" s="803" t="s">
        <v>13918</v>
      </c>
      <c r="C612" s="803" t="s">
        <v>17513</v>
      </c>
      <c r="D612" s="803" t="s">
        <v>24496</v>
      </c>
      <c r="E612" s="803" t="s">
        <v>15732</v>
      </c>
      <c r="F612" s="803">
        <v>2</v>
      </c>
      <c r="G612" s="803" t="s">
        <v>2837</v>
      </c>
      <c r="H612" s="803" t="s">
        <v>2837</v>
      </c>
      <c r="I612" s="804">
        <v>21600</v>
      </c>
      <c r="J612" s="803">
        <v>1</v>
      </c>
      <c r="K612" s="804">
        <f t="shared" si="54"/>
        <v>21600</v>
      </c>
      <c r="L612" s="804">
        <f t="shared" si="55"/>
        <v>21600</v>
      </c>
      <c r="M612" s="804">
        <f t="shared" si="56"/>
        <v>21600</v>
      </c>
      <c r="N612" s="803" t="s">
        <v>16141</v>
      </c>
      <c r="O612" s="805">
        <f t="shared" si="57"/>
        <v>21600</v>
      </c>
      <c r="P612" s="805">
        <f t="shared" si="58"/>
        <v>21600</v>
      </c>
      <c r="Q612" s="806">
        <f t="shared" si="59"/>
        <v>21600</v>
      </c>
    </row>
    <row r="613" spans="1:17" x14ac:dyDescent="0.2">
      <c r="A613" s="797" t="s">
        <v>17922</v>
      </c>
      <c r="B613" s="798" t="s">
        <v>13918</v>
      </c>
      <c r="C613" s="798" t="s">
        <v>17513</v>
      </c>
      <c r="D613" s="798" t="s">
        <v>24496</v>
      </c>
      <c r="E613" s="798" t="s">
        <v>15733</v>
      </c>
      <c r="F613" s="798">
        <v>3</v>
      </c>
      <c r="G613" s="798" t="s">
        <v>2837</v>
      </c>
      <c r="H613" s="798" t="s">
        <v>2837</v>
      </c>
      <c r="I613" s="799">
        <v>23500</v>
      </c>
      <c r="J613" s="798">
        <v>1</v>
      </c>
      <c r="K613" s="799">
        <f t="shared" si="54"/>
        <v>23500</v>
      </c>
      <c r="L613" s="799">
        <f t="shared" si="55"/>
        <v>23500</v>
      </c>
      <c r="M613" s="799">
        <f t="shared" si="56"/>
        <v>23500</v>
      </c>
      <c r="N613" s="798" t="s">
        <v>15754</v>
      </c>
      <c r="O613" s="800">
        <f t="shared" si="57"/>
        <v>23500</v>
      </c>
      <c r="P613" s="800">
        <f t="shared" si="58"/>
        <v>23500</v>
      </c>
      <c r="Q613" s="801">
        <f t="shared" si="59"/>
        <v>23500</v>
      </c>
    </row>
    <row r="614" spans="1:17" x14ac:dyDescent="0.2">
      <c r="A614" s="802" t="s">
        <v>17125</v>
      </c>
      <c r="B614" s="803" t="s">
        <v>13918</v>
      </c>
      <c r="C614" s="803" t="s">
        <v>17513</v>
      </c>
      <c r="D614" s="803" t="s">
        <v>24497</v>
      </c>
      <c r="E614" s="803" t="s">
        <v>15731</v>
      </c>
      <c r="F614" s="803">
        <v>1</v>
      </c>
      <c r="G614" s="803" t="s">
        <v>1947</v>
      </c>
      <c r="H614" s="803" t="s">
        <v>1947</v>
      </c>
      <c r="I614" s="804">
        <v>19000</v>
      </c>
      <c r="J614" s="803">
        <v>1</v>
      </c>
      <c r="K614" s="804">
        <f t="shared" si="54"/>
        <v>19000</v>
      </c>
      <c r="L614" s="804">
        <f t="shared" si="55"/>
        <v>19000</v>
      </c>
      <c r="M614" s="804">
        <f t="shared" si="56"/>
        <v>19000</v>
      </c>
      <c r="N614" s="803" t="s">
        <v>15753</v>
      </c>
      <c r="O614" s="805">
        <f t="shared" si="57"/>
        <v>19000</v>
      </c>
      <c r="P614" s="805">
        <f t="shared" si="58"/>
        <v>19000</v>
      </c>
      <c r="Q614" s="806">
        <f t="shared" si="59"/>
        <v>19000</v>
      </c>
    </row>
    <row r="615" spans="1:17" x14ac:dyDescent="0.2">
      <c r="A615" s="797" t="s">
        <v>17923</v>
      </c>
      <c r="B615" s="798" t="s">
        <v>13918</v>
      </c>
      <c r="C615" s="798" t="s">
        <v>17513</v>
      </c>
      <c r="D615" s="798" t="s">
        <v>24497</v>
      </c>
      <c r="E615" s="798" t="s">
        <v>15732</v>
      </c>
      <c r="F615" s="798">
        <v>2</v>
      </c>
      <c r="G615" s="798" t="s">
        <v>1947</v>
      </c>
      <c r="H615" s="798" t="s">
        <v>1947</v>
      </c>
      <c r="I615" s="799">
        <v>22000</v>
      </c>
      <c r="J615" s="798">
        <v>1</v>
      </c>
      <c r="K615" s="799">
        <f t="shared" si="54"/>
        <v>22000</v>
      </c>
      <c r="L615" s="799">
        <f t="shared" si="55"/>
        <v>22000</v>
      </c>
      <c r="M615" s="799">
        <f t="shared" si="56"/>
        <v>22000</v>
      </c>
      <c r="N615" s="798" t="s">
        <v>16141</v>
      </c>
      <c r="O615" s="800">
        <f t="shared" si="57"/>
        <v>22000</v>
      </c>
      <c r="P615" s="800">
        <f t="shared" si="58"/>
        <v>22000</v>
      </c>
      <c r="Q615" s="801">
        <f t="shared" si="59"/>
        <v>22000</v>
      </c>
    </row>
    <row r="616" spans="1:17" x14ac:dyDescent="0.2">
      <c r="A616" s="802" t="s">
        <v>17924</v>
      </c>
      <c r="B616" s="803" t="s">
        <v>13918</v>
      </c>
      <c r="C616" s="803" t="s">
        <v>17513</v>
      </c>
      <c r="D616" s="803" t="s">
        <v>24497</v>
      </c>
      <c r="E616" s="803" t="s">
        <v>15733</v>
      </c>
      <c r="F616" s="803">
        <v>3</v>
      </c>
      <c r="G616" s="803" t="s">
        <v>1947</v>
      </c>
      <c r="H616" s="803" t="s">
        <v>1947</v>
      </c>
      <c r="I616" s="804">
        <v>24000</v>
      </c>
      <c r="J616" s="803">
        <v>1</v>
      </c>
      <c r="K616" s="804">
        <f t="shared" si="54"/>
        <v>24000</v>
      </c>
      <c r="L616" s="804">
        <f t="shared" si="55"/>
        <v>24000</v>
      </c>
      <c r="M616" s="804">
        <f t="shared" si="56"/>
        <v>24000</v>
      </c>
      <c r="N616" s="803" t="s">
        <v>15754</v>
      </c>
      <c r="O616" s="805">
        <f t="shared" si="57"/>
        <v>24000</v>
      </c>
      <c r="P616" s="805">
        <f t="shared" si="58"/>
        <v>24000</v>
      </c>
      <c r="Q616" s="806">
        <f t="shared" si="59"/>
        <v>24000</v>
      </c>
    </row>
    <row r="617" spans="1:17" x14ac:dyDescent="0.2">
      <c r="A617" s="797" t="s">
        <v>17132</v>
      </c>
      <c r="B617" s="798" t="s">
        <v>13918</v>
      </c>
      <c r="C617" s="798" t="s">
        <v>17513</v>
      </c>
      <c r="D617" s="798" t="s">
        <v>24498</v>
      </c>
      <c r="E617" s="798" t="s">
        <v>15731</v>
      </c>
      <c r="F617" s="798">
        <v>1</v>
      </c>
      <c r="G617" s="798" t="s">
        <v>10772</v>
      </c>
      <c r="H617" s="798" t="s">
        <v>17824</v>
      </c>
      <c r="I617" s="799">
        <v>25000</v>
      </c>
      <c r="J617" s="798">
        <v>1</v>
      </c>
      <c r="K617" s="799">
        <f t="shared" si="54"/>
        <v>25000</v>
      </c>
      <c r="L617" s="799">
        <f t="shared" si="55"/>
        <v>25000</v>
      </c>
      <c r="M617" s="799">
        <f t="shared" si="56"/>
        <v>25000</v>
      </c>
      <c r="N617" s="798" t="s">
        <v>17925</v>
      </c>
      <c r="O617" s="800">
        <f t="shared" si="57"/>
        <v>25000</v>
      </c>
      <c r="P617" s="800">
        <f t="shared" si="58"/>
        <v>25000</v>
      </c>
      <c r="Q617" s="801">
        <f t="shared" si="59"/>
        <v>25000</v>
      </c>
    </row>
    <row r="618" spans="1:17" x14ac:dyDescent="0.2">
      <c r="A618" s="802" t="s">
        <v>17926</v>
      </c>
      <c r="B618" s="803" t="s">
        <v>13918</v>
      </c>
      <c r="C618" s="803" t="s">
        <v>17513</v>
      </c>
      <c r="D618" s="803" t="s">
        <v>24498</v>
      </c>
      <c r="E618" s="803" t="s">
        <v>15732</v>
      </c>
      <c r="F618" s="803">
        <v>2</v>
      </c>
      <c r="G618" s="803" t="s">
        <v>10772</v>
      </c>
      <c r="H618" s="803" t="s">
        <v>17824</v>
      </c>
      <c r="I618" s="804">
        <v>28000</v>
      </c>
      <c r="J618" s="803">
        <v>1</v>
      </c>
      <c r="K618" s="804">
        <f t="shared" si="54"/>
        <v>28000</v>
      </c>
      <c r="L618" s="804">
        <f t="shared" si="55"/>
        <v>28000</v>
      </c>
      <c r="M618" s="804">
        <f t="shared" si="56"/>
        <v>28000</v>
      </c>
      <c r="N618" s="803" t="s">
        <v>17927</v>
      </c>
      <c r="O618" s="805">
        <f t="shared" si="57"/>
        <v>28000</v>
      </c>
      <c r="P618" s="805">
        <f t="shared" si="58"/>
        <v>28000</v>
      </c>
      <c r="Q618" s="806">
        <f t="shared" si="59"/>
        <v>28000</v>
      </c>
    </row>
    <row r="619" spans="1:17" x14ac:dyDescent="0.2">
      <c r="A619" s="797" t="s">
        <v>17928</v>
      </c>
      <c r="B619" s="798" t="s">
        <v>13918</v>
      </c>
      <c r="C619" s="798" t="s">
        <v>17513</v>
      </c>
      <c r="D619" s="798" t="s">
        <v>24498</v>
      </c>
      <c r="E619" s="798" t="s">
        <v>15733</v>
      </c>
      <c r="F619" s="798">
        <v>3</v>
      </c>
      <c r="G619" s="798" t="s">
        <v>10772</v>
      </c>
      <c r="H619" s="798" t="s">
        <v>17824</v>
      </c>
      <c r="I619" s="799">
        <v>32000</v>
      </c>
      <c r="J619" s="798">
        <v>1</v>
      </c>
      <c r="K619" s="799">
        <f t="shared" si="54"/>
        <v>32000</v>
      </c>
      <c r="L619" s="799">
        <f t="shared" si="55"/>
        <v>32000</v>
      </c>
      <c r="M619" s="799">
        <f t="shared" si="56"/>
        <v>32000</v>
      </c>
      <c r="N619" s="798" t="s">
        <v>17929</v>
      </c>
      <c r="O619" s="800">
        <f t="shared" si="57"/>
        <v>32000</v>
      </c>
      <c r="P619" s="800">
        <f t="shared" si="58"/>
        <v>32000</v>
      </c>
      <c r="Q619" s="801">
        <f t="shared" si="59"/>
        <v>32000</v>
      </c>
    </row>
    <row r="620" spans="1:17" x14ac:dyDescent="0.2">
      <c r="A620" s="802" t="s">
        <v>17145</v>
      </c>
      <c r="B620" s="803" t="s">
        <v>13918</v>
      </c>
      <c r="C620" s="803" t="s">
        <v>17513</v>
      </c>
      <c r="D620" s="803" t="s">
        <v>24499</v>
      </c>
      <c r="E620" s="803" t="s">
        <v>15731</v>
      </c>
      <c r="F620" s="803">
        <v>1</v>
      </c>
      <c r="G620" s="803" t="s">
        <v>2837</v>
      </c>
      <c r="H620" s="803" t="s">
        <v>2837</v>
      </c>
      <c r="I620" s="804">
        <v>18650</v>
      </c>
      <c r="J620" s="803">
        <v>1</v>
      </c>
      <c r="K620" s="804">
        <f t="shared" si="54"/>
        <v>18650</v>
      </c>
      <c r="L620" s="804">
        <f t="shared" si="55"/>
        <v>18650</v>
      </c>
      <c r="M620" s="804">
        <f t="shared" si="56"/>
        <v>18650</v>
      </c>
      <c r="N620" s="803" t="s">
        <v>15753</v>
      </c>
      <c r="O620" s="805">
        <f t="shared" si="57"/>
        <v>18650</v>
      </c>
      <c r="P620" s="805">
        <f t="shared" si="58"/>
        <v>18650</v>
      </c>
      <c r="Q620" s="806">
        <f t="shared" si="59"/>
        <v>18650</v>
      </c>
    </row>
    <row r="621" spans="1:17" x14ac:dyDescent="0.2">
      <c r="A621" s="797" t="s">
        <v>17930</v>
      </c>
      <c r="B621" s="798" t="s">
        <v>13918</v>
      </c>
      <c r="C621" s="798" t="s">
        <v>17513</v>
      </c>
      <c r="D621" s="798" t="s">
        <v>24499</v>
      </c>
      <c r="E621" s="798" t="s">
        <v>15732</v>
      </c>
      <c r="F621" s="798">
        <v>2</v>
      </c>
      <c r="G621" s="798" t="s">
        <v>2837</v>
      </c>
      <c r="H621" s="798" t="s">
        <v>2837</v>
      </c>
      <c r="I621" s="799">
        <v>21650</v>
      </c>
      <c r="J621" s="798">
        <v>1</v>
      </c>
      <c r="K621" s="799">
        <f t="shared" si="54"/>
        <v>21650</v>
      </c>
      <c r="L621" s="799">
        <f t="shared" si="55"/>
        <v>21650</v>
      </c>
      <c r="M621" s="799">
        <f t="shared" si="56"/>
        <v>21650</v>
      </c>
      <c r="N621" s="798" t="s">
        <v>16141</v>
      </c>
      <c r="O621" s="800">
        <f t="shared" si="57"/>
        <v>21650</v>
      </c>
      <c r="P621" s="800">
        <f t="shared" si="58"/>
        <v>21650</v>
      </c>
      <c r="Q621" s="801">
        <f t="shared" si="59"/>
        <v>21650</v>
      </c>
    </row>
    <row r="622" spans="1:17" x14ac:dyDescent="0.2">
      <c r="A622" s="802" t="s">
        <v>17931</v>
      </c>
      <c r="B622" s="803" t="s">
        <v>13918</v>
      </c>
      <c r="C622" s="803" t="s">
        <v>17513</v>
      </c>
      <c r="D622" s="803" t="s">
        <v>24499</v>
      </c>
      <c r="E622" s="803" t="s">
        <v>15733</v>
      </c>
      <c r="F622" s="803">
        <v>3</v>
      </c>
      <c r="G622" s="803" t="s">
        <v>2837</v>
      </c>
      <c r="H622" s="803" t="s">
        <v>2837</v>
      </c>
      <c r="I622" s="804">
        <v>23500</v>
      </c>
      <c r="J622" s="803">
        <v>1</v>
      </c>
      <c r="K622" s="804">
        <f t="shared" si="54"/>
        <v>23500</v>
      </c>
      <c r="L622" s="804">
        <f t="shared" si="55"/>
        <v>23500</v>
      </c>
      <c r="M622" s="804">
        <f t="shared" si="56"/>
        <v>23500</v>
      </c>
      <c r="N622" s="803" t="s">
        <v>15754</v>
      </c>
      <c r="O622" s="805">
        <f t="shared" si="57"/>
        <v>23500</v>
      </c>
      <c r="P622" s="805">
        <f t="shared" si="58"/>
        <v>23500</v>
      </c>
      <c r="Q622" s="806">
        <f t="shared" si="59"/>
        <v>23500</v>
      </c>
    </row>
    <row r="623" spans="1:17" x14ac:dyDescent="0.2">
      <c r="A623" s="797" t="s">
        <v>17152</v>
      </c>
      <c r="B623" s="798" t="s">
        <v>13918</v>
      </c>
      <c r="C623" s="798" t="s">
        <v>17513</v>
      </c>
      <c r="D623" s="798" t="s">
        <v>24500</v>
      </c>
      <c r="E623" s="798" t="s">
        <v>15731</v>
      </c>
      <c r="F623" s="798">
        <v>1</v>
      </c>
      <c r="G623" s="798" t="s">
        <v>2837</v>
      </c>
      <c r="H623" s="798" t="s">
        <v>2837</v>
      </c>
      <c r="I623" s="799">
        <v>18700</v>
      </c>
      <c r="J623" s="798">
        <v>1</v>
      </c>
      <c r="K623" s="799">
        <f t="shared" si="54"/>
        <v>18700</v>
      </c>
      <c r="L623" s="799">
        <f t="shared" si="55"/>
        <v>18700</v>
      </c>
      <c r="M623" s="799">
        <f t="shared" si="56"/>
        <v>18700</v>
      </c>
      <c r="N623" s="798" t="s">
        <v>15753</v>
      </c>
      <c r="O623" s="800">
        <f t="shared" si="57"/>
        <v>18700</v>
      </c>
      <c r="P623" s="800">
        <f t="shared" si="58"/>
        <v>18700</v>
      </c>
      <c r="Q623" s="801">
        <f t="shared" si="59"/>
        <v>18700</v>
      </c>
    </row>
    <row r="624" spans="1:17" x14ac:dyDescent="0.2">
      <c r="A624" s="802" t="s">
        <v>17932</v>
      </c>
      <c r="B624" s="803" t="s">
        <v>13918</v>
      </c>
      <c r="C624" s="803" t="s">
        <v>17513</v>
      </c>
      <c r="D624" s="803" t="s">
        <v>24500</v>
      </c>
      <c r="E624" s="803" t="s">
        <v>15732</v>
      </c>
      <c r="F624" s="803">
        <v>2</v>
      </c>
      <c r="G624" s="803" t="s">
        <v>2837</v>
      </c>
      <c r="H624" s="803" t="s">
        <v>2837</v>
      </c>
      <c r="I624" s="804">
        <v>21700</v>
      </c>
      <c r="J624" s="803">
        <v>1</v>
      </c>
      <c r="K624" s="804">
        <f t="shared" si="54"/>
        <v>21700</v>
      </c>
      <c r="L624" s="804">
        <f t="shared" si="55"/>
        <v>21700</v>
      </c>
      <c r="M624" s="804">
        <f t="shared" si="56"/>
        <v>21700</v>
      </c>
      <c r="N624" s="803" t="s">
        <v>16141</v>
      </c>
      <c r="O624" s="805">
        <f t="shared" si="57"/>
        <v>21700</v>
      </c>
      <c r="P624" s="805">
        <f t="shared" si="58"/>
        <v>21700</v>
      </c>
      <c r="Q624" s="806">
        <f t="shared" si="59"/>
        <v>21700</v>
      </c>
    </row>
    <row r="625" spans="1:17" x14ac:dyDescent="0.2">
      <c r="A625" s="797" t="s">
        <v>17933</v>
      </c>
      <c r="B625" s="798" t="s">
        <v>13918</v>
      </c>
      <c r="C625" s="798" t="s">
        <v>17513</v>
      </c>
      <c r="D625" s="798" t="s">
        <v>24500</v>
      </c>
      <c r="E625" s="798" t="s">
        <v>15733</v>
      </c>
      <c r="F625" s="798">
        <v>3</v>
      </c>
      <c r="G625" s="798" t="s">
        <v>2837</v>
      </c>
      <c r="H625" s="798" t="s">
        <v>2837</v>
      </c>
      <c r="I625" s="799">
        <v>23500</v>
      </c>
      <c r="J625" s="798">
        <v>1</v>
      </c>
      <c r="K625" s="799">
        <f t="shared" si="54"/>
        <v>23500</v>
      </c>
      <c r="L625" s="799">
        <f t="shared" si="55"/>
        <v>23500</v>
      </c>
      <c r="M625" s="799">
        <f t="shared" si="56"/>
        <v>23500</v>
      </c>
      <c r="N625" s="798" t="s">
        <v>15754</v>
      </c>
      <c r="O625" s="800">
        <f t="shared" si="57"/>
        <v>23500</v>
      </c>
      <c r="P625" s="800">
        <f t="shared" si="58"/>
        <v>23500</v>
      </c>
      <c r="Q625" s="801">
        <f t="shared" si="59"/>
        <v>23500</v>
      </c>
    </row>
    <row r="626" spans="1:17" x14ac:dyDescent="0.2">
      <c r="A626" s="802" t="s">
        <v>17159</v>
      </c>
      <c r="B626" s="803" t="s">
        <v>13918</v>
      </c>
      <c r="C626" s="803" t="s">
        <v>17513</v>
      </c>
      <c r="D626" s="803" t="s">
        <v>24501</v>
      </c>
      <c r="E626" s="803" t="s">
        <v>15731</v>
      </c>
      <c r="F626" s="803">
        <v>1</v>
      </c>
      <c r="G626" s="803" t="s">
        <v>10772</v>
      </c>
      <c r="H626" s="803" t="s">
        <v>17824</v>
      </c>
      <c r="I626" s="804">
        <v>25000</v>
      </c>
      <c r="J626" s="803">
        <v>1</v>
      </c>
      <c r="K626" s="804">
        <f t="shared" si="54"/>
        <v>25000</v>
      </c>
      <c r="L626" s="804">
        <f t="shared" si="55"/>
        <v>25000</v>
      </c>
      <c r="M626" s="804">
        <f t="shared" si="56"/>
        <v>25000</v>
      </c>
      <c r="N626" s="803" t="s">
        <v>17925</v>
      </c>
      <c r="O626" s="805">
        <f t="shared" si="57"/>
        <v>25000</v>
      </c>
      <c r="P626" s="805">
        <f t="shared" si="58"/>
        <v>25000</v>
      </c>
      <c r="Q626" s="806">
        <f t="shared" si="59"/>
        <v>25000</v>
      </c>
    </row>
    <row r="627" spans="1:17" x14ac:dyDescent="0.2">
      <c r="A627" s="797" t="s">
        <v>17934</v>
      </c>
      <c r="B627" s="798" t="s">
        <v>13918</v>
      </c>
      <c r="C627" s="798" t="s">
        <v>17513</v>
      </c>
      <c r="D627" s="798" t="s">
        <v>24501</v>
      </c>
      <c r="E627" s="798" t="s">
        <v>15732</v>
      </c>
      <c r="F627" s="798">
        <v>2</v>
      </c>
      <c r="G627" s="798" t="s">
        <v>10772</v>
      </c>
      <c r="H627" s="798" t="s">
        <v>17824</v>
      </c>
      <c r="I627" s="799">
        <v>28000</v>
      </c>
      <c r="J627" s="798">
        <v>1</v>
      </c>
      <c r="K627" s="799">
        <f t="shared" si="54"/>
        <v>28000</v>
      </c>
      <c r="L627" s="799">
        <f t="shared" si="55"/>
        <v>28000</v>
      </c>
      <c r="M627" s="799">
        <f t="shared" si="56"/>
        <v>28000</v>
      </c>
      <c r="N627" s="798" t="s">
        <v>17927</v>
      </c>
      <c r="O627" s="800">
        <f t="shared" si="57"/>
        <v>28000</v>
      </c>
      <c r="P627" s="800">
        <f t="shared" si="58"/>
        <v>28000</v>
      </c>
      <c r="Q627" s="801">
        <f t="shared" si="59"/>
        <v>28000</v>
      </c>
    </row>
    <row r="628" spans="1:17" x14ac:dyDescent="0.2">
      <c r="A628" s="802" t="s">
        <v>17935</v>
      </c>
      <c r="B628" s="803" t="s">
        <v>13918</v>
      </c>
      <c r="C628" s="803" t="s">
        <v>17513</v>
      </c>
      <c r="D628" s="803" t="s">
        <v>24501</v>
      </c>
      <c r="E628" s="803" t="s">
        <v>15733</v>
      </c>
      <c r="F628" s="803">
        <v>3</v>
      </c>
      <c r="G628" s="803" t="s">
        <v>10772</v>
      </c>
      <c r="H628" s="803" t="s">
        <v>17824</v>
      </c>
      <c r="I628" s="804">
        <v>32000</v>
      </c>
      <c r="J628" s="803">
        <v>1</v>
      </c>
      <c r="K628" s="804">
        <f t="shared" si="54"/>
        <v>32000</v>
      </c>
      <c r="L628" s="804">
        <f t="shared" si="55"/>
        <v>32000</v>
      </c>
      <c r="M628" s="804">
        <f t="shared" si="56"/>
        <v>32000</v>
      </c>
      <c r="N628" s="803" t="s">
        <v>17929</v>
      </c>
      <c r="O628" s="805">
        <f t="shared" si="57"/>
        <v>32000</v>
      </c>
      <c r="P628" s="805">
        <f t="shared" si="58"/>
        <v>32000</v>
      </c>
      <c r="Q628" s="806">
        <f t="shared" si="59"/>
        <v>32000</v>
      </c>
    </row>
    <row r="629" spans="1:17" x14ac:dyDescent="0.2">
      <c r="A629" s="797" t="s">
        <v>17165</v>
      </c>
      <c r="B629" s="798" t="s">
        <v>13918</v>
      </c>
      <c r="C629" s="798" t="s">
        <v>17513</v>
      </c>
      <c r="D629" s="798" t="s">
        <v>24502</v>
      </c>
      <c r="E629" s="798" t="s">
        <v>15731</v>
      </c>
      <c r="F629" s="798">
        <v>1</v>
      </c>
      <c r="G629" s="798" t="s">
        <v>2837</v>
      </c>
      <c r="H629" s="798" t="s">
        <v>2837</v>
      </c>
      <c r="I629" s="799">
        <v>18750</v>
      </c>
      <c r="J629" s="798">
        <v>1</v>
      </c>
      <c r="K629" s="799">
        <f t="shared" si="54"/>
        <v>18750</v>
      </c>
      <c r="L629" s="799">
        <f t="shared" si="55"/>
        <v>18750</v>
      </c>
      <c r="M629" s="799">
        <f t="shared" si="56"/>
        <v>18750</v>
      </c>
      <c r="N629" s="798" t="s">
        <v>15753</v>
      </c>
      <c r="O629" s="800">
        <f t="shared" si="57"/>
        <v>18750</v>
      </c>
      <c r="P629" s="800">
        <f t="shared" si="58"/>
        <v>18750</v>
      </c>
      <c r="Q629" s="801">
        <f t="shared" si="59"/>
        <v>18750</v>
      </c>
    </row>
    <row r="630" spans="1:17" x14ac:dyDescent="0.2">
      <c r="A630" s="802" t="s">
        <v>17936</v>
      </c>
      <c r="B630" s="803" t="s">
        <v>13918</v>
      </c>
      <c r="C630" s="803" t="s">
        <v>17513</v>
      </c>
      <c r="D630" s="803" t="s">
        <v>24502</v>
      </c>
      <c r="E630" s="803" t="s">
        <v>15732</v>
      </c>
      <c r="F630" s="803">
        <v>2</v>
      </c>
      <c r="G630" s="803" t="s">
        <v>2837</v>
      </c>
      <c r="H630" s="803" t="s">
        <v>2837</v>
      </c>
      <c r="I630" s="804">
        <v>21750</v>
      </c>
      <c r="J630" s="803">
        <v>1</v>
      </c>
      <c r="K630" s="804">
        <f t="shared" si="54"/>
        <v>21750</v>
      </c>
      <c r="L630" s="804">
        <f t="shared" si="55"/>
        <v>21750</v>
      </c>
      <c r="M630" s="804">
        <f t="shared" si="56"/>
        <v>21750</v>
      </c>
      <c r="N630" s="803" t="s">
        <v>16141</v>
      </c>
      <c r="O630" s="805">
        <f t="shared" si="57"/>
        <v>21750</v>
      </c>
      <c r="P630" s="805">
        <f t="shared" si="58"/>
        <v>21750</v>
      </c>
      <c r="Q630" s="806">
        <f t="shared" si="59"/>
        <v>21750</v>
      </c>
    </row>
    <row r="631" spans="1:17" x14ac:dyDescent="0.2">
      <c r="A631" s="797" t="s">
        <v>17937</v>
      </c>
      <c r="B631" s="798" t="s">
        <v>13918</v>
      </c>
      <c r="C631" s="798" t="s">
        <v>17513</v>
      </c>
      <c r="D631" s="798" t="s">
        <v>24502</v>
      </c>
      <c r="E631" s="798" t="s">
        <v>15733</v>
      </c>
      <c r="F631" s="798">
        <v>3</v>
      </c>
      <c r="G631" s="798" t="s">
        <v>2837</v>
      </c>
      <c r="H631" s="798" t="s">
        <v>2837</v>
      </c>
      <c r="I631" s="799">
        <v>23500</v>
      </c>
      <c r="J631" s="798">
        <v>1</v>
      </c>
      <c r="K631" s="799">
        <f t="shared" si="54"/>
        <v>23500</v>
      </c>
      <c r="L631" s="799">
        <f t="shared" si="55"/>
        <v>23500</v>
      </c>
      <c r="M631" s="799">
        <f t="shared" si="56"/>
        <v>23500</v>
      </c>
      <c r="N631" s="798" t="s">
        <v>15754</v>
      </c>
      <c r="O631" s="800">
        <f t="shared" si="57"/>
        <v>23500</v>
      </c>
      <c r="P631" s="800">
        <f t="shared" si="58"/>
        <v>23500</v>
      </c>
      <c r="Q631" s="801">
        <f t="shared" si="59"/>
        <v>23500</v>
      </c>
    </row>
    <row r="632" spans="1:17" x14ac:dyDescent="0.2">
      <c r="A632" s="802" t="s">
        <v>17169</v>
      </c>
      <c r="B632" s="803" t="s">
        <v>13918</v>
      </c>
      <c r="C632" s="803" t="s">
        <v>17513</v>
      </c>
      <c r="D632" s="803" t="s">
        <v>24503</v>
      </c>
      <c r="E632" s="803" t="s">
        <v>15731</v>
      </c>
      <c r="F632" s="803">
        <v>1</v>
      </c>
      <c r="G632" s="803" t="s">
        <v>2837</v>
      </c>
      <c r="H632" s="803" t="s">
        <v>2837</v>
      </c>
      <c r="I632" s="804">
        <v>19000</v>
      </c>
      <c r="J632" s="803">
        <v>1</v>
      </c>
      <c r="K632" s="804">
        <f t="shared" si="54"/>
        <v>19000</v>
      </c>
      <c r="L632" s="804">
        <f t="shared" si="55"/>
        <v>19000</v>
      </c>
      <c r="M632" s="804">
        <f t="shared" si="56"/>
        <v>19000</v>
      </c>
      <c r="N632" s="803" t="s">
        <v>15753</v>
      </c>
      <c r="O632" s="805">
        <f t="shared" si="57"/>
        <v>19000</v>
      </c>
      <c r="P632" s="805">
        <f t="shared" si="58"/>
        <v>19000</v>
      </c>
      <c r="Q632" s="806">
        <f t="shared" si="59"/>
        <v>19000</v>
      </c>
    </row>
    <row r="633" spans="1:17" x14ac:dyDescent="0.2">
      <c r="A633" s="797" t="s">
        <v>17938</v>
      </c>
      <c r="B633" s="798" t="s">
        <v>13918</v>
      </c>
      <c r="C633" s="798" t="s">
        <v>17513</v>
      </c>
      <c r="D633" s="798" t="s">
        <v>24503</v>
      </c>
      <c r="E633" s="798" t="s">
        <v>15732</v>
      </c>
      <c r="F633" s="798">
        <v>2</v>
      </c>
      <c r="G633" s="798" t="s">
        <v>2837</v>
      </c>
      <c r="H633" s="798" t="s">
        <v>2837</v>
      </c>
      <c r="I633" s="799">
        <v>22000</v>
      </c>
      <c r="J633" s="798">
        <v>1</v>
      </c>
      <c r="K633" s="799">
        <f t="shared" si="54"/>
        <v>22000</v>
      </c>
      <c r="L633" s="799">
        <f t="shared" si="55"/>
        <v>22000</v>
      </c>
      <c r="M633" s="799">
        <f t="shared" si="56"/>
        <v>22000</v>
      </c>
      <c r="N633" s="798" t="s">
        <v>16141</v>
      </c>
      <c r="O633" s="800">
        <f t="shared" si="57"/>
        <v>22000</v>
      </c>
      <c r="P633" s="800">
        <f t="shared" si="58"/>
        <v>22000</v>
      </c>
      <c r="Q633" s="801">
        <f t="shared" si="59"/>
        <v>22000</v>
      </c>
    </row>
    <row r="634" spans="1:17" x14ac:dyDescent="0.2">
      <c r="A634" s="802" t="s">
        <v>17939</v>
      </c>
      <c r="B634" s="803" t="s">
        <v>13918</v>
      </c>
      <c r="C634" s="803" t="s">
        <v>17513</v>
      </c>
      <c r="D634" s="803" t="s">
        <v>24503</v>
      </c>
      <c r="E634" s="803" t="s">
        <v>15733</v>
      </c>
      <c r="F634" s="803">
        <v>3</v>
      </c>
      <c r="G634" s="803" t="s">
        <v>2837</v>
      </c>
      <c r="H634" s="803" t="s">
        <v>2837</v>
      </c>
      <c r="I634" s="804">
        <v>32000</v>
      </c>
      <c r="J634" s="803">
        <v>1</v>
      </c>
      <c r="K634" s="804">
        <f t="shared" si="54"/>
        <v>32000</v>
      </c>
      <c r="L634" s="804">
        <f t="shared" si="55"/>
        <v>32000</v>
      </c>
      <c r="M634" s="804">
        <f t="shared" si="56"/>
        <v>32000</v>
      </c>
      <c r="N634" s="803" t="s">
        <v>15754</v>
      </c>
      <c r="O634" s="805">
        <f t="shared" si="57"/>
        <v>32000</v>
      </c>
      <c r="P634" s="805">
        <f t="shared" si="58"/>
        <v>32000</v>
      </c>
      <c r="Q634" s="806">
        <f t="shared" si="59"/>
        <v>32000</v>
      </c>
    </row>
    <row r="635" spans="1:17" x14ac:dyDescent="0.2">
      <c r="A635" s="797" t="s">
        <v>17180</v>
      </c>
      <c r="B635" s="798" t="s">
        <v>13918</v>
      </c>
      <c r="C635" s="798" t="s">
        <v>17513</v>
      </c>
      <c r="D635" s="798" t="s">
        <v>24504</v>
      </c>
      <c r="E635" s="798" t="s">
        <v>15731</v>
      </c>
      <c r="F635" s="798">
        <v>1</v>
      </c>
      <c r="G635" s="798" t="s">
        <v>1103</v>
      </c>
      <c r="H635" s="798" t="s">
        <v>1103</v>
      </c>
      <c r="I635" s="799">
        <v>19500</v>
      </c>
      <c r="J635" s="798">
        <v>1</v>
      </c>
      <c r="K635" s="799">
        <f t="shared" si="54"/>
        <v>19500</v>
      </c>
      <c r="L635" s="799">
        <f t="shared" si="55"/>
        <v>19500</v>
      </c>
      <c r="M635" s="799">
        <f t="shared" si="56"/>
        <v>19500</v>
      </c>
      <c r="N635" s="798" t="s">
        <v>15753</v>
      </c>
      <c r="O635" s="800">
        <f t="shared" si="57"/>
        <v>19500</v>
      </c>
      <c r="P635" s="800">
        <f t="shared" si="58"/>
        <v>19500</v>
      </c>
      <c r="Q635" s="801">
        <f t="shared" si="59"/>
        <v>19500</v>
      </c>
    </row>
    <row r="636" spans="1:17" x14ac:dyDescent="0.2">
      <c r="A636" s="802" t="s">
        <v>17940</v>
      </c>
      <c r="B636" s="803" t="s">
        <v>13918</v>
      </c>
      <c r="C636" s="803" t="s">
        <v>17513</v>
      </c>
      <c r="D636" s="803" t="s">
        <v>24504</v>
      </c>
      <c r="E636" s="803" t="s">
        <v>15732</v>
      </c>
      <c r="F636" s="803">
        <v>2</v>
      </c>
      <c r="G636" s="803" t="s">
        <v>1103</v>
      </c>
      <c r="H636" s="803" t="s">
        <v>1103</v>
      </c>
      <c r="I636" s="804">
        <v>22000</v>
      </c>
      <c r="J636" s="803">
        <v>1</v>
      </c>
      <c r="K636" s="804">
        <f t="shared" si="54"/>
        <v>22000</v>
      </c>
      <c r="L636" s="804">
        <f t="shared" si="55"/>
        <v>22000</v>
      </c>
      <c r="M636" s="804">
        <f t="shared" si="56"/>
        <v>22000</v>
      </c>
      <c r="N636" s="803" t="s">
        <v>16141</v>
      </c>
      <c r="O636" s="805">
        <f t="shared" si="57"/>
        <v>22000</v>
      </c>
      <c r="P636" s="805">
        <f t="shared" si="58"/>
        <v>22000</v>
      </c>
      <c r="Q636" s="806">
        <f t="shared" si="59"/>
        <v>22000</v>
      </c>
    </row>
    <row r="637" spans="1:17" x14ac:dyDescent="0.2">
      <c r="A637" s="797" t="s">
        <v>17941</v>
      </c>
      <c r="B637" s="798" t="s">
        <v>13918</v>
      </c>
      <c r="C637" s="798" t="s">
        <v>17513</v>
      </c>
      <c r="D637" s="798" t="s">
        <v>24504</v>
      </c>
      <c r="E637" s="798" t="s">
        <v>15733</v>
      </c>
      <c r="F637" s="798">
        <v>3</v>
      </c>
      <c r="G637" s="798" t="s">
        <v>1103</v>
      </c>
      <c r="H637" s="798" t="s">
        <v>1103</v>
      </c>
      <c r="I637" s="799">
        <v>23500</v>
      </c>
      <c r="J637" s="798">
        <v>1</v>
      </c>
      <c r="K637" s="799">
        <f t="shared" si="54"/>
        <v>23500</v>
      </c>
      <c r="L637" s="799">
        <f t="shared" si="55"/>
        <v>23500</v>
      </c>
      <c r="M637" s="799">
        <f t="shared" si="56"/>
        <v>23500</v>
      </c>
      <c r="N637" s="798" t="s">
        <v>15754</v>
      </c>
      <c r="O637" s="800">
        <f t="shared" si="57"/>
        <v>23500</v>
      </c>
      <c r="P637" s="800">
        <f t="shared" si="58"/>
        <v>23500</v>
      </c>
      <c r="Q637" s="801">
        <f t="shared" si="59"/>
        <v>23500</v>
      </c>
    </row>
    <row r="638" spans="1:17" x14ac:dyDescent="0.2">
      <c r="A638" s="802" t="s">
        <v>17183</v>
      </c>
      <c r="B638" s="803" t="s">
        <v>13918</v>
      </c>
      <c r="C638" s="803" t="s">
        <v>17513</v>
      </c>
      <c r="D638" s="803" t="s">
        <v>24505</v>
      </c>
      <c r="E638" s="803" t="s">
        <v>15731</v>
      </c>
      <c r="F638" s="803">
        <v>1</v>
      </c>
      <c r="G638" s="803" t="s">
        <v>1103</v>
      </c>
      <c r="H638" s="803" t="s">
        <v>1103</v>
      </c>
      <c r="I638" s="804">
        <v>19550</v>
      </c>
      <c r="J638" s="803">
        <v>1</v>
      </c>
      <c r="K638" s="804">
        <f t="shared" si="54"/>
        <v>19550</v>
      </c>
      <c r="L638" s="804">
        <f t="shared" si="55"/>
        <v>19550</v>
      </c>
      <c r="M638" s="804">
        <f t="shared" si="56"/>
        <v>19550</v>
      </c>
      <c r="N638" s="803" t="s">
        <v>15753</v>
      </c>
      <c r="O638" s="805">
        <f t="shared" si="57"/>
        <v>19550</v>
      </c>
      <c r="P638" s="805">
        <f t="shared" si="58"/>
        <v>19550</v>
      </c>
      <c r="Q638" s="806">
        <f t="shared" si="59"/>
        <v>19550</v>
      </c>
    </row>
    <row r="639" spans="1:17" x14ac:dyDescent="0.2">
      <c r="A639" s="797" t="s">
        <v>17942</v>
      </c>
      <c r="B639" s="798" t="s">
        <v>13918</v>
      </c>
      <c r="C639" s="798" t="s">
        <v>17513</v>
      </c>
      <c r="D639" s="798" t="s">
        <v>24505</v>
      </c>
      <c r="E639" s="798" t="s">
        <v>15732</v>
      </c>
      <c r="F639" s="798">
        <v>2</v>
      </c>
      <c r="G639" s="798" t="s">
        <v>1103</v>
      </c>
      <c r="H639" s="798" t="s">
        <v>1103</v>
      </c>
      <c r="I639" s="799">
        <v>22050</v>
      </c>
      <c r="J639" s="798">
        <v>1</v>
      </c>
      <c r="K639" s="799">
        <f t="shared" si="54"/>
        <v>22050</v>
      </c>
      <c r="L639" s="799">
        <f t="shared" si="55"/>
        <v>22050</v>
      </c>
      <c r="M639" s="799">
        <f t="shared" si="56"/>
        <v>22050</v>
      </c>
      <c r="N639" s="798" t="s">
        <v>16141</v>
      </c>
      <c r="O639" s="800">
        <f t="shared" si="57"/>
        <v>22050</v>
      </c>
      <c r="P639" s="800">
        <f t="shared" si="58"/>
        <v>22050</v>
      </c>
      <c r="Q639" s="801">
        <f t="shared" si="59"/>
        <v>22050</v>
      </c>
    </row>
    <row r="640" spans="1:17" x14ac:dyDescent="0.2">
      <c r="A640" s="802" t="s">
        <v>17943</v>
      </c>
      <c r="B640" s="803" t="s">
        <v>13918</v>
      </c>
      <c r="C640" s="803" t="s">
        <v>17513</v>
      </c>
      <c r="D640" s="803" t="s">
        <v>24505</v>
      </c>
      <c r="E640" s="803" t="s">
        <v>15733</v>
      </c>
      <c r="F640" s="803">
        <v>3</v>
      </c>
      <c r="G640" s="803" t="s">
        <v>1103</v>
      </c>
      <c r="H640" s="803" t="s">
        <v>1103</v>
      </c>
      <c r="I640" s="804">
        <v>23500</v>
      </c>
      <c r="J640" s="803">
        <v>1</v>
      </c>
      <c r="K640" s="804">
        <f t="shared" si="54"/>
        <v>23500</v>
      </c>
      <c r="L640" s="804">
        <f t="shared" si="55"/>
        <v>23500</v>
      </c>
      <c r="M640" s="804">
        <f t="shared" si="56"/>
        <v>23500</v>
      </c>
      <c r="N640" s="803" t="s">
        <v>15754</v>
      </c>
      <c r="O640" s="805">
        <f t="shared" si="57"/>
        <v>23500</v>
      </c>
      <c r="P640" s="805">
        <f t="shared" si="58"/>
        <v>23500</v>
      </c>
      <c r="Q640" s="806">
        <f t="shared" si="59"/>
        <v>23500</v>
      </c>
    </row>
    <row r="641" spans="1:17" x14ac:dyDescent="0.2">
      <c r="A641" s="797" t="s">
        <v>17189</v>
      </c>
      <c r="B641" s="798" t="s">
        <v>13918</v>
      </c>
      <c r="C641" s="798" t="s">
        <v>17513</v>
      </c>
      <c r="D641" s="798" t="s">
        <v>24506</v>
      </c>
      <c r="E641" s="798" t="s">
        <v>15731</v>
      </c>
      <c r="F641" s="798">
        <v>1</v>
      </c>
      <c r="G641" s="798" t="s">
        <v>1103</v>
      </c>
      <c r="H641" s="798" t="s">
        <v>1103</v>
      </c>
      <c r="I641" s="799">
        <v>19600</v>
      </c>
      <c r="J641" s="798">
        <v>1</v>
      </c>
      <c r="K641" s="799">
        <f t="shared" si="54"/>
        <v>19600</v>
      </c>
      <c r="L641" s="799">
        <f t="shared" si="55"/>
        <v>19600</v>
      </c>
      <c r="M641" s="799">
        <f t="shared" si="56"/>
        <v>19600</v>
      </c>
      <c r="N641" s="798" t="s">
        <v>15753</v>
      </c>
      <c r="O641" s="800">
        <f t="shared" si="57"/>
        <v>19600</v>
      </c>
      <c r="P641" s="800">
        <f t="shared" si="58"/>
        <v>19600</v>
      </c>
      <c r="Q641" s="801">
        <f t="shared" si="59"/>
        <v>19600</v>
      </c>
    </row>
    <row r="642" spans="1:17" x14ac:dyDescent="0.2">
      <c r="A642" s="802" t="s">
        <v>17944</v>
      </c>
      <c r="B642" s="803" t="s">
        <v>13918</v>
      </c>
      <c r="C642" s="803" t="s">
        <v>17513</v>
      </c>
      <c r="D642" s="803" t="s">
        <v>24506</v>
      </c>
      <c r="E642" s="803" t="s">
        <v>15732</v>
      </c>
      <c r="F642" s="803">
        <v>2</v>
      </c>
      <c r="G642" s="803" t="s">
        <v>1103</v>
      </c>
      <c r="H642" s="803" t="s">
        <v>1103</v>
      </c>
      <c r="I642" s="804">
        <v>22100</v>
      </c>
      <c r="J642" s="803">
        <v>1</v>
      </c>
      <c r="K642" s="804">
        <f t="shared" ref="K642:K705" si="60">+I642</f>
        <v>22100</v>
      </c>
      <c r="L642" s="804">
        <f t="shared" ref="L642:L705" si="61">+I642</f>
        <v>22100</v>
      </c>
      <c r="M642" s="804">
        <f t="shared" ref="M642:M705" si="62">+I642</f>
        <v>22100</v>
      </c>
      <c r="N642" s="803" t="s">
        <v>16141</v>
      </c>
      <c r="O642" s="805">
        <f t="shared" ref="O642:O705" si="63">+J642*K642</f>
        <v>22100</v>
      </c>
      <c r="P642" s="805">
        <f t="shared" ref="P642:P705" si="64">+J642*L642</f>
        <v>22100</v>
      </c>
      <c r="Q642" s="806">
        <f t="shared" ref="Q642:Q705" si="65">+J642*M642</f>
        <v>22100</v>
      </c>
    </row>
    <row r="643" spans="1:17" x14ac:dyDescent="0.2">
      <c r="A643" s="797" t="s">
        <v>17945</v>
      </c>
      <c r="B643" s="798" t="s">
        <v>13918</v>
      </c>
      <c r="C643" s="798" t="s">
        <v>17513</v>
      </c>
      <c r="D643" s="798" t="s">
        <v>24506</v>
      </c>
      <c r="E643" s="798" t="s">
        <v>15733</v>
      </c>
      <c r="F643" s="798">
        <v>3</v>
      </c>
      <c r="G643" s="798" t="s">
        <v>1103</v>
      </c>
      <c r="H643" s="798" t="s">
        <v>1103</v>
      </c>
      <c r="I643" s="799">
        <v>23500</v>
      </c>
      <c r="J643" s="798">
        <v>1</v>
      </c>
      <c r="K643" s="799">
        <f t="shared" si="60"/>
        <v>23500</v>
      </c>
      <c r="L643" s="799">
        <f t="shared" si="61"/>
        <v>23500</v>
      </c>
      <c r="M643" s="799">
        <f t="shared" si="62"/>
        <v>23500</v>
      </c>
      <c r="N643" s="798" t="s">
        <v>15754</v>
      </c>
      <c r="O643" s="800">
        <f t="shared" si="63"/>
        <v>23500</v>
      </c>
      <c r="P643" s="800">
        <f t="shared" si="64"/>
        <v>23500</v>
      </c>
      <c r="Q643" s="801">
        <f t="shared" si="65"/>
        <v>23500</v>
      </c>
    </row>
    <row r="644" spans="1:17" x14ac:dyDescent="0.2">
      <c r="A644" s="802" t="s">
        <v>17198</v>
      </c>
      <c r="B644" s="803" t="s">
        <v>13918</v>
      </c>
      <c r="C644" s="803" t="s">
        <v>17513</v>
      </c>
      <c r="D644" s="803" t="s">
        <v>24507</v>
      </c>
      <c r="E644" s="803" t="s">
        <v>15731</v>
      </c>
      <c r="F644" s="803">
        <v>1</v>
      </c>
      <c r="G644" s="803" t="s">
        <v>10772</v>
      </c>
      <c r="H644" s="803" t="s">
        <v>17824</v>
      </c>
      <c r="I644" s="804">
        <v>25500</v>
      </c>
      <c r="J644" s="803">
        <v>1</v>
      </c>
      <c r="K644" s="804">
        <f t="shared" si="60"/>
        <v>25500</v>
      </c>
      <c r="L644" s="804">
        <f t="shared" si="61"/>
        <v>25500</v>
      </c>
      <c r="M644" s="804">
        <f t="shared" si="62"/>
        <v>25500</v>
      </c>
      <c r="N644" s="803" t="s">
        <v>15753</v>
      </c>
      <c r="O644" s="805">
        <f t="shared" si="63"/>
        <v>25500</v>
      </c>
      <c r="P644" s="805">
        <f t="shared" si="64"/>
        <v>25500</v>
      </c>
      <c r="Q644" s="806">
        <f t="shared" si="65"/>
        <v>25500</v>
      </c>
    </row>
    <row r="645" spans="1:17" x14ac:dyDescent="0.2">
      <c r="A645" s="797" t="s">
        <v>17946</v>
      </c>
      <c r="B645" s="798" t="s">
        <v>13918</v>
      </c>
      <c r="C645" s="798" t="s">
        <v>17513</v>
      </c>
      <c r="D645" s="798" t="s">
        <v>24507</v>
      </c>
      <c r="E645" s="798" t="s">
        <v>15732</v>
      </c>
      <c r="F645" s="798">
        <v>2</v>
      </c>
      <c r="G645" s="798" t="s">
        <v>10772</v>
      </c>
      <c r="H645" s="798" t="s">
        <v>17824</v>
      </c>
      <c r="I645" s="799">
        <v>28500</v>
      </c>
      <c r="J645" s="798">
        <v>1</v>
      </c>
      <c r="K645" s="799">
        <f t="shared" si="60"/>
        <v>28500</v>
      </c>
      <c r="L645" s="799">
        <f t="shared" si="61"/>
        <v>28500</v>
      </c>
      <c r="M645" s="799">
        <f t="shared" si="62"/>
        <v>28500</v>
      </c>
      <c r="N645" s="798" t="s">
        <v>16141</v>
      </c>
      <c r="O645" s="800">
        <f t="shared" si="63"/>
        <v>28500</v>
      </c>
      <c r="P645" s="800">
        <f t="shared" si="64"/>
        <v>28500</v>
      </c>
      <c r="Q645" s="801">
        <f t="shared" si="65"/>
        <v>28500</v>
      </c>
    </row>
    <row r="646" spans="1:17" x14ac:dyDescent="0.2">
      <c r="A646" s="802" t="s">
        <v>17947</v>
      </c>
      <c r="B646" s="803" t="s">
        <v>13918</v>
      </c>
      <c r="C646" s="803" t="s">
        <v>17513</v>
      </c>
      <c r="D646" s="803" t="s">
        <v>24507</v>
      </c>
      <c r="E646" s="803" t="s">
        <v>15733</v>
      </c>
      <c r="F646" s="803">
        <v>3</v>
      </c>
      <c r="G646" s="803" t="s">
        <v>10772</v>
      </c>
      <c r="H646" s="803" t="s">
        <v>17824</v>
      </c>
      <c r="I646" s="804">
        <v>32500</v>
      </c>
      <c r="J646" s="803">
        <v>1</v>
      </c>
      <c r="K646" s="804">
        <f t="shared" si="60"/>
        <v>32500</v>
      </c>
      <c r="L646" s="804">
        <f t="shared" si="61"/>
        <v>32500</v>
      </c>
      <c r="M646" s="804">
        <f t="shared" si="62"/>
        <v>32500</v>
      </c>
      <c r="N646" s="803" t="s">
        <v>15754</v>
      </c>
      <c r="O646" s="805">
        <f t="shared" si="63"/>
        <v>32500</v>
      </c>
      <c r="P646" s="805">
        <f t="shared" si="64"/>
        <v>32500</v>
      </c>
      <c r="Q646" s="806">
        <f t="shared" si="65"/>
        <v>32500</v>
      </c>
    </row>
    <row r="647" spans="1:17" x14ac:dyDescent="0.2">
      <c r="A647" s="797" t="s">
        <v>17209</v>
      </c>
      <c r="B647" s="798" t="s">
        <v>13918</v>
      </c>
      <c r="C647" s="798" t="s">
        <v>17513</v>
      </c>
      <c r="D647" s="798" t="s">
        <v>24508</v>
      </c>
      <c r="E647" s="798" t="s">
        <v>15731</v>
      </c>
      <c r="F647" s="798">
        <v>1</v>
      </c>
      <c r="G647" s="798" t="s">
        <v>1103</v>
      </c>
      <c r="H647" s="798" t="s">
        <v>1103</v>
      </c>
      <c r="I647" s="799">
        <v>19750</v>
      </c>
      <c r="J647" s="798">
        <v>1</v>
      </c>
      <c r="K647" s="799">
        <f t="shared" si="60"/>
        <v>19750</v>
      </c>
      <c r="L647" s="799">
        <f t="shared" si="61"/>
        <v>19750</v>
      </c>
      <c r="M647" s="799">
        <f t="shared" si="62"/>
        <v>19750</v>
      </c>
      <c r="N647" s="798" t="s">
        <v>15753</v>
      </c>
      <c r="O647" s="800">
        <f t="shared" si="63"/>
        <v>19750</v>
      </c>
      <c r="P647" s="800">
        <f t="shared" si="64"/>
        <v>19750</v>
      </c>
      <c r="Q647" s="801">
        <f t="shared" si="65"/>
        <v>19750</v>
      </c>
    </row>
    <row r="648" spans="1:17" x14ac:dyDescent="0.2">
      <c r="A648" s="802" t="s">
        <v>17948</v>
      </c>
      <c r="B648" s="803" t="s">
        <v>13918</v>
      </c>
      <c r="C648" s="803" t="s">
        <v>17513</v>
      </c>
      <c r="D648" s="803" t="s">
        <v>24508</v>
      </c>
      <c r="E648" s="803" t="s">
        <v>15732</v>
      </c>
      <c r="F648" s="803">
        <v>2</v>
      </c>
      <c r="G648" s="803" t="s">
        <v>1103</v>
      </c>
      <c r="H648" s="803" t="s">
        <v>1103</v>
      </c>
      <c r="I648" s="804">
        <v>22250</v>
      </c>
      <c r="J648" s="803">
        <v>1</v>
      </c>
      <c r="K648" s="804">
        <f t="shared" si="60"/>
        <v>22250</v>
      </c>
      <c r="L648" s="804">
        <f t="shared" si="61"/>
        <v>22250</v>
      </c>
      <c r="M648" s="804">
        <f t="shared" si="62"/>
        <v>22250</v>
      </c>
      <c r="N648" s="803" t="s">
        <v>16141</v>
      </c>
      <c r="O648" s="805">
        <f t="shared" si="63"/>
        <v>22250</v>
      </c>
      <c r="P648" s="805">
        <f t="shared" si="64"/>
        <v>22250</v>
      </c>
      <c r="Q648" s="806">
        <f t="shared" si="65"/>
        <v>22250</v>
      </c>
    </row>
    <row r="649" spans="1:17" x14ac:dyDescent="0.2">
      <c r="A649" s="797" t="s">
        <v>17949</v>
      </c>
      <c r="B649" s="798" t="s">
        <v>13918</v>
      </c>
      <c r="C649" s="798" t="s">
        <v>17513</v>
      </c>
      <c r="D649" s="798" t="s">
        <v>24508</v>
      </c>
      <c r="E649" s="798" t="s">
        <v>15733</v>
      </c>
      <c r="F649" s="798">
        <v>3</v>
      </c>
      <c r="G649" s="798" t="s">
        <v>1103</v>
      </c>
      <c r="H649" s="798" t="s">
        <v>1103</v>
      </c>
      <c r="I649" s="799">
        <v>23500</v>
      </c>
      <c r="J649" s="798">
        <v>1</v>
      </c>
      <c r="K649" s="799">
        <f t="shared" si="60"/>
        <v>23500</v>
      </c>
      <c r="L649" s="799">
        <f t="shared" si="61"/>
        <v>23500</v>
      </c>
      <c r="M649" s="799">
        <f t="shared" si="62"/>
        <v>23500</v>
      </c>
      <c r="N649" s="798" t="s">
        <v>15754</v>
      </c>
      <c r="O649" s="800">
        <f t="shared" si="63"/>
        <v>23500</v>
      </c>
      <c r="P649" s="800">
        <f t="shared" si="64"/>
        <v>23500</v>
      </c>
      <c r="Q649" s="801">
        <f t="shared" si="65"/>
        <v>23500</v>
      </c>
    </row>
    <row r="650" spans="1:17" x14ac:dyDescent="0.2">
      <c r="A650" s="802" t="s">
        <v>17212</v>
      </c>
      <c r="B650" s="803" t="s">
        <v>13918</v>
      </c>
      <c r="C650" s="803" t="s">
        <v>17513</v>
      </c>
      <c r="D650" s="803" t="s">
        <v>24509</v>
      </c>
      <c r="E650" s="803" t="s">
        <v>15731</v>
      </c>
      <c r="F650" s="803">
        <v>1</v>
      </c>
      <c r="G650" s="803" t="s">
        <v>1103</v>
      </c>
      <c r="H650" s="803" t="s">
        <v>1103</v>
      </c>
      <c r="I650" s="804">
        <v>19800</v>
      </c>
      <c r="J650" s="803">
        <v>1</v>
      </c>
      <c r="K650" s="804">
        <f t="shared" si="60"/>
        <v>19800</v>
      </c>
      <c r="L650" s="804">
        <f t="shared" si="61"/>
        <v>19800</v>
      </c>
      <c r="M650" s="804">
        <f t="shared" si="62"/>
        <v>19800</v>
      </c>
      <c r="N650" s="803" t="s">
        <v>15753</v>
      </c>
      <c r="O650" s="805">
        <f t="shared" si="63"/>
        <v>19800</v>
      </c>
      <c r="P650" s="805">
        <f t="shared" si="64"/>
        <v>19800</v>
      </c>
      <c r="Q650" s="806">
        <f t="shared" si="65"/>
        <v>19800</v>
      </c>
    </row>
    <row r="651" spans="1:17" x14ac:dyDescent="0.2">
      <c r="A651" s="797" t="s">
        <v>17950</v>
      </c>
      <c r="B651" s="798" t="s">
        <v>13918</v>
      </c>
      <c r="C651" s="798" t="s">
        <v>17513</v>
      </c>
      <c r="D651" s="798" t="s">
        <v>24509</v>
      </c>
      <c r="E651" s="798" t="s">
        <v>15732</v>
      </c>
      <c r="F651" s="798">
        <v>2</v>
      </c>
      <c r="G651" s="798" t="s">
        <v>1103</v>
      </c>
      <c r="H651" s="798" t="s">
        <v>1103</v>
      </c>
      <c r="I651" s="799">
        <v>22300</v>
      </c>
      <c r="J651" s="798">
        <v>1</v>
      </c>
      <c r="K651" s="799">
        <f t="shared" si="60"/>
        <v>22300</v>
      </c>
      <c r="L651" s="799">
        <f t="shared" si="61"/>
        <v>22300</v>
      </c>
      <c r="M651" s="799">
        <f t="shared" si="62"/>
        <v>22300</v>
      </c>
      <c r="N651" s="798" t="s">
        <v>16141</v>
      </c>
      <c r="O651" s="800">
        <f t="shared" si="63"/>
        <v>22300</v>
      </c>
      <c r="P651" s="800">
        <f t="shared" si="64"/>
        <v>22300</v>
      </c>
      <c r="Q651" s="801">
        <f t="shared" si="65"/>
        <v>22300</v>
      </c>
    </row>
    <row r="652" spans="1:17" x14ac:dyDescent="0.2">
      <c r="A652" s="802" t="s">
        <v>17951</v>
      </c>
      <c r="B652" s="803" t="s">
        <v>13918</v>
      </c>
      <c r="C652" s="803" t="s">
        <v>17513</v>
      </c>
      <c r="D652" s="803" t="s">
        <v>24509</v>
      </c>
      <c r="E652" s="803" t="s">
        <v>15733</v>
      </c>
      <c r="F652" s="803">
        <v>3</v>
      </c>
      <c r="G652" s="803" t="s">
        <v>1103</v>
      </c>
      <c r="H652" s="803" t="s">
        <v>1103</v>
      </c>
      <c r="I652" s="804">
        <v>23500</v>
      </c>
      <c r="J652" s="803">
        <v>1</v>
      </c>
      <c r="K652" s="804">
        <f t="shared" si="60"/>
        <v>23500</v>
      </c>
      <c r="L652" s="804">
        <f t="shared" si="61"/>
        <v>23500</v>
      </c>
      <c r="M652" s="804">
        <f t="shared" si="62"/>
        <v>23500</v>
      </c>
      <c r="N652" s="803" t="s">
        <v>15754</v>
      </c>
      <c r="O652" s="805">
        <f t="shared" si="63"/>
        <v>23500</v>
      </c>
      <c r="P652" s="805">
        <f t="shared" si="64"/>
        <v>23500</v>
      </c>
      <c r="Q652" s="806">
        <f t="shared" si="65"/>
        <v>23500</v>
      </c>
    </row>
    <row r="653" spans="1:17" x14ac:dyDescent="0.2">
      <c r="A653" s="797" t="s">
        <v>17221</v>
      </c>
      <c r="B653" s="798" t="s">
        <v>13918</v>
      </c>
      <c r="C653" s="798" t="s">
        <v>17513</v>
      </c>
      <c r="D653" s="798" t="s">
        <v>24510</v>
      </c>
      <c r="E653" s="798" t="s">
        <v>15731</v>
      </c>
      <c r="F653" s="798">
        <v>1</v>
      </c>
      <c r="G653" s="798" t="s">
        <v>10772</v>
      </c>
      <c r="H653" s="798" t="s">
        <v>17824</v>
      </c>
      <c r="I653" s="799">
        <v>25500</v>
      </c>
      <c r="J653" s="798">
        <v>1</v>
      </c>
      <c r="K653" s="799">
        <f t="shared" si="60"/>
        <v>25500</v>
      </c>
      <c r="L653" s="799">
        <f t="shared" si="61"/>
        <v>25500</v>
      </c>
      <c r="M653" s="799">
        <f t="shared" si="62"/>
        <v>25500</v>
      </c>
      <c r="N653" s="798" t="s">
        <v>15753</v>
      </c>
      <c r="O653" s="800">
        <f t="shared" si="63"/>
        <v>25500</v>
      </c>
      <c r="P653" s="800">
        <f t="shared" si="64"/>
        <v>25500</v>
      </c>
      <c r="Q653" s="801">
        <f t="shared" si="65"/>
        <v>25500</v>
      </c>
    </row>
    <row r="654" spans="1:17" x14ac:dyDescent="0.2">
      <c r="A654" s="802" t="s">
        <v>17952</v>
      </c>
      <c r="B654" s="803" t="s">
        <v>13918</v>
      </c>
      <c r="C654" s="803" t="s">
        <v>17513</v>
      </c>
      <c r="D654" s="803" t="s">
        <v>24510</v>
      </c>
      <c r="E654" s="803" t="s">
        <v>15732</v>
      </c>
      <c r="F654" s="803">
        <v>2</v>
      </c>
      <c r="G654" s="803" t="s">
        <v>10772</v>
      </c>
      <c r="H654" s="803" t="s">
        <v>17824</v>
      </c>
      <c r="I654" s="804">
        <v>28500</v>
      </c>
      <c r="J654" s="803">
        <v>1</v>
      </c>
      <c r="K654" s="804">
        <f t="shared" si="60"/>
        <v>28500</v>
      </c>
      <c r="L654" s="804">
        <f t="shared" si="61"/>
        <v>28500</v>
      </c>
      <c r="M654" s="804">
        <f t="shared" si="62"/>
        <v>28500</v>
      </c>
      <c r="N654" s="803" t="s">
        <v>16141</v>
      </c>
      <c r="O654" s="805">
        <f t="shared" si="63"/>
        <v>28500</v>
      </c>
      <c r="P654" s="805">
        <f t="shared" si="64"/>
        <v>28500</v>
      </c>
      <c r="Q654" s="806">
        <f t="shared" si="65"/>
        <v>28500</v>
      </c>
    </row>
    <row r="655" spans="1:17" x14ac:dyDescent="0.2">
      <c r="A655" s="797" t="s">
        <v>17953</v>
      </c>
      <c r="B655" s="798" t="s">
        <v>13918</v>
      </c>
      <c r="C655" s="798" t="s">
        <v>17513</v>
      </c>
      <c r="D655" s="798" t="s">
        <v>24510</v>
      </c>
      <c r="E655" s="798" t="s">
        <v>15733</v>
      </c>
      <c r="F655" s="798">
        <v>3</v>
      </c>
      <c r="G655" s="798" t="s">
        <v>10772</v>
      </c>
      <c r="H655" s="798" t="s">
        <v>17824</v>
      </c>
      <c r="I655" s="799">
        <v>32500</v>
      </c>
      <c r="J655" s="798">
        <v>1</v>
      </c>
      <c r="K655" s="799">
        <f t="shared" si="60"/>
        <v>32500</v>
      </c>
      <c r="L655" s="799">
        <f t="shared" si="61"/>
        <v>32500</v>
      </c>
      <c r="M655" s="799">
        <f t="shared" si="62"/>
        <v>32500</v>
      </c>
      <c r="N655" s="798" t="s">
        <v>15754</v>
      </c>
      <c r="O655" s="800">
        <f t="shared" si="63"/>
        <v>32500</v>
      </c>
      <c r="P655" s="800">
        <f t="shared" si="64"/>
        <v>32500</v>
      </c>
      <c r="Q655" s="801">
        <f t="shared" si="65"/>
        <v>32500</v>
      </c>
    </row>
    <row r="656" spans="1:17" x14ac:dyDescent="0.2">
      <c r="A656" s="802" t="s">
        <v>17229</v>
      </c>
      <c r="B656" s="803" t="s">
        <v>13918</v>
      </c>
      <c r="C656" s="803" t="s">
        <v>17513</v>
      </c>
      <c r="D656" s="803" t="s">
        <v>24511</v>
      </c>
      <c r="E656" s="803" t="s">
        <v>15731</v>
      </c>
      <c r="F656" s="803">
        <v>1</v>
      </c>
      <c r="G656" s="803" t="s">
        <v>10772</v>
      </c>
      <c r="H656" s="803" t="s">
        <v>17824</v>
      </c>
      <c r="I656" s="804">
        <v>25500</v>
      </c>
      <c r="J656" s="803">
        <v>1</v>
      </c>
      <c r="K656" s="804">
        <f t="shared" si="60"/>
        <v>25500</v>
      </c>
      <c r="L656" s="804">
        <f t="shared" si="61"/>
        <v>25500</v>
      </c>
      <c r="M656" s="804">
        <f t="shared" si="62"/>
        <v>25500</v>
      </c>
      <c r="N656" s="803" t="s">
        <v>15753</v>
      </c>
      <c r="O656" s="805">
        <f t="shared" si="63"/>
        <v>25500</v>
      </c>
      <c r="P656" s="805">
        <f t="shared" si="64"/>
        <v>25500</v>
      </c>
      <c r="Q656" s="806">
        <f t="shared" si="65"/>
        <v>25500</v>
      </c>
    </row>
    <row r="657" spans="1:17" x14ac:dyDescent="0.2">
      <c r="A657" s="797" t="s">
        <v>17954</v>
      </c>
      <c r="B657" s="798" t="s">
        <v>13918</v>
      </c>
      <c r="C657" s="798" t="s">
        <v>17513</v>
      </c>
      <c r="D657" s="798" t="s">
        <v>24511</v>
      </c>
      <c r="E657" s="798" t="s">
        <v>15732</v>
      </c>
      <c r="F657" s="798">
        <v>2</v>
      </c>
      <c r="G657" s="798" t="s">
        <v>10772</v>
      </c>
      <c r="H657" s="798" t="s">
        <v>17824</v>
      </c>
      <c r="I657" s="799">
        <v>28500</v>
      </c>
      <c r="J657" s="798">
        <v>1</v>
      </c>
      <c r="K657" s="799">
        <f t="shared" si="60"/>
        <v>28500</v>
      </c>
      <c r="L657" s="799">
        <f t="shared" si="61"/>
        <v>28500</v>
      </c>
      <c r="M657" s="799">
        <f t="shared" si="62"/>
        <v>28500</v>
      </c>
      <c r="N657" s="798" t="s">
        <v>16141</v>
      </c>
      <c r="O657" s="800">
        <f t="shared" si="63"/>
        <v>28500</v>
      </c>
      <c r="P657" s="800">
        <f t="shared" si="64"/>
        <v>28500</v>
      </c>
      <c r="Q657" s="801">
        <f t="shared" si="65"/>
        <v>28500</v>
      </c>
    </row>
    <row r="658" spans="1:17" x14ac:dyDescent="0.2">
      <c r="A658" s="802" t="s">
        <v>17955</v>
      </c>
      <c r="B658" s="803" t="s">
        <v>13918</v>
      </c>
      <c r="C658" s="803" t="s">
        <v>17513</v>
      </c>
      <c r="D658" s="803" t="s">
        <v>24511</v>
      </c>
      <c r="E658" s="803" t="s">
        <v>15733</v>
      </c>
      <c r="F658" s="803">
        <v>3</v>
      </c>
      <c r="G658" s="803" t="s">
        <v>10772</v>
      </c>
      <c r="H658" s="803" t="s">
        <v>17824</v>
      </c>
      <c r="I658" s="804">
        <v>32500</v>
      </c>
      <c r="J658" s="803">
        <v>1</v>
      </c>
      <c r="K658" s="804">
        <f t="shared" si="60"/>
        <v>32500</v>
      </c>
      <c r="L658" s="804">
        <f t="shared" si="61"/>
        <v>32500</v>
      </c>
      <c r="M658" s="804">
        <f t="shared" si="62"/>
        <v>32500</v>
      </c>
      <c r="N658" s="803" t="s">
        <v>15754</v>
      </c>
      <c r="O658" s="805">
        <f t="shared" si="63"/>
        <v>32500</v>
      </c>
      <c r="P658" s="805">
        <f t="shared" si="64"/>
        <v>32500</v>
      </c>
      <c r="Q658" s="806">
        <f t="shared" si="65"/>
        <v>32500</v>
      </c>
    </row>
    <row r="659" spans="1:17" x14ac:dyDescent="0.2">
      <c r="A659" s="797" t="s">
        <v>17244</v>
      </c>
      <c r="B659" s="798" t="s">
        <v>13918</v>
      </c>
      <c r="C659" s="798" t="s">
        <v>17513</v>
      </c>
      <c r="D659" s="798" t="s">
        <v>24512</v>
      </c>
      <c r="E659" s="798" t="s">
        <v>15731</v>
      </c>
      <c r="F659" s="798">
        <v>1</v>
      </c>
      <c r="G659" s="798" t="s">
        <v>1947</v>
      </c>
      <c r="H659" s="798" t="s">
        <v>1947</v>
      </c>
      <c r="I659" s="799">
        <v>20500</v>
      </c>
      <c r="J659" s="798">
        <v>1</v>
      </c>
      <c r="K659" s="799">
        <f t="shared" si="60"/>
        <v>20500</v>
      </c>
      <c r="L659" s="799">
        <f t="shared" si="61"/>
        <v>20500</v>
      </c>
      <c r="M659" s="799">
        <f t="shared" si="62"/>
        <v>20500</v>
      </c>
      <c r="N659" s="798" t="s">
        <v>15753</v>
      </c>
      <c r="O659" s="800">
        <f t="shared" si="63"/>
        <v>20500</v>
      </c>
      <c r="P659" s="800">
        <f t="shared" si="64"/>
        <v>20500</v>
      </c>
      <c r="Q659" s="801">
        <f t="shared" si="65"/>
        <v>20500</v>
      </c>
    </row>
    <row r="660" spans="1:17" x14ac:dyDescent="0.2">
      <c r="A660" s="802" t="s">
        <v>17956</v>
      </c>
      <c r="B660" s="803" t="s">
        <v>13918</v>
      </c>
      <c r="C660" s="803" t="s">
        <v>17513</v>
      </c>
      <c r="D660" s="803" t="s">
        <v>24512</v>
      </c>
      <c r="E660" s="803" t="s">
        <v>15732</v>
      </c>
      <c r="F660" s="803">
        <v>2</v>
      </c>
      <c r="G660" s="803" t="s">
        <v>1947</v>
      </c>
      <c r="H660" s="803" t="s">
        <v>1947</v>
      </c>
      <c r="I660" s="804">
        <v>22500</v>
      </c>
      <c r="J660" s="803">
        <v>1</v>
      </c>
      <c r="K660" s="804">
        <f t="shared" si="60"/>
        <v>22500</v>
      </c>
      <c r="L660" s="804">
        <f t="shared" si="61"/>
        <v>22500</v>
      </c>
      <c r="M660" s="804">
        <f t="shared" si="62"/>
        <v>22500</v>
      </c>
      <c r="N660" s="803" t="s">
        <v>16141</v>
      </c>
      <c r="O660" s="805">
        <f t="shared" si="63"/>
        <v>22500</v>
      </c>
      <c r="P660" s="805">
        <f t="shared" si="64"/>
        <v>22500</v>
      </c>
      <c r="Q660" s="806">
        <f t="shared" si="65"/>
        <v>22500</v>
      </c>
    </row>
    <row r="661" spans="1:17" x14ac:dyDescent="0.2">
      <c r="A661" s="797" t="s">
        <v>17957</v>
      </c>
      <c r="B661" s="798" t="s">
        <v>13918</v>
      </c>
      <c r="C661" s="798" t="s">
        <v>17513</v>
      </c>
      <c r="D661" s="798" t="s">
        <v>24512</v>
      </c>
      <c r="E661" s="798" t="s">
        <v>15733</v>
      </c>
      <c r="F661" s="798">
        <v>3</v>
      </c>
      <c r="G661" s="798" t="s">
        <v>1947</v>
      </c>
      <c r="H661" s="798" t="s">
        <v>1947</v>
      </c>
      <c r="I661" s="799">
        <v>24000</v>
      </c>
      <c r="J661" s="798">
        <v>1</v>
      </c>
      <c r="K661" s="799">
        <f t="shared" si="60"/>
        <v>24000</v>
      </c>
      <c r="L661" s="799">
        <f t="shared" si="61"/>
        <v>24000</v>
      </c>
      <c r="M661" s="799">
        <f t="shared" si="62"/>
        <v>24000</v>
      </c>
      <c r="N661" s="798" t="s">
        <v>15754</v>
      </c>
      <c r="O661" s="800">
        <f t="shared" si="63"/>
        <v>24000</v>
      </c>
      <c r="P661" s="800">
        <f t="shared" si="64"/>
        <v>24000</v>
      </c>
      <c r="Q661" s="801">
        <f t="shared" si="65"/>
        <v>24000</v>
      </c>
    </row>
    <row r="662" spans="1:17" x14ac:dyDescent="0.2">
      <c r="A662" s="802" t="s">
        <v>17251</v>
      </c>
      <c r="B662" s="803" t="s">
        <v>13918</v>
      </c>
      <c r="C662" s="803" t="s">
        <v>17513</v>
      </c>
      <c r="D662" s="803" t="s">
        <v>24513</v>
      </c>
      <c r="E662" s="803" t="s">
        <v>15731</v>
      </c>
      <c r="F662" s="803">
        <v>1</v>
      </c>
      <c r="G662" s="803" t="s">
        <v>1947</v>
      </c>
      <c r="H662" s="803" t="s">
        <v>1947</v>
      </c>
      <c r="I662" s="804">
        <v>20550</v>
      </c>
      <c r="J662" s="803">
        <v>1</v>
      </c>
      <c r="K662" s="804">
        <f t="shared" si="60"/>
        <v>20550</v>
      </c>
      <c r="L662" s="804">
        <f t="shared" si="61"/>
        <v>20550</v>
      </c>
      <c r="M662" s="804">
        <f t="shared" si="62"/>
        <v>20550</v>
      </c>
      <c r="N662" s="803" t="s">
        <v>15753</v>
      </c>
      <c r="O662" s="805">
        <f t="shared" si="63"/>
        <v>20550</v>
      </c>
      <c r="P662" s="805">
        <f t="shared" si="64"/>
        <v>20550</v>
      </c>
      <c r="Q662" s="806">
        <f t="shared" si="65"/>
        <v>20550</v>
      </c>
    </row>
    <row r="663" spans="1:17" x14ac:dyDescent="0.2">
      <c r="A663" s="797" t="s">
        <v>17958</v>
      </c>
      <c r="B663" s="798" t="s">
        <v>13918</v>
      </c>
      <c r="C663" s="798" t="s">
        <v>17513</v>
      </c>
      <c r="D663" s="798" t="s">
        <v>24513</v>
      </c>
      <c r="E663" s="798" t="s">
        <v>15732</v>
      </c>
      <c r="F663" s="798">
        <v>2</v>
      </c>
      <c r="G663" s="798" t="s">
        <v>1947</v>
      </c>
      <c r="H663" s="798" t="s">
        <v>1947</v>
      </c>
      <c r="I663" s="799">
        <v>22550</v>
      </c>
      <c r="J663" s="798">
        <v>1</v>
      </c>
      <c r="K663" s="799">
        <f t="shared" si="60"/>
        <v>22550</v>
      </c>
      <c r="L663" s="799">
        <f t="shared" si="61"/>
        <v>22550</v>
      </c>
      <c r="M663" s="799">
        <f t="shared" si="62"/>
        <v>22550</v>
      </c>
      <c r="N663" s="798" t="s">
        <v>16141</v>
      </c>
      <c r="O663" s="800">
        <f t="shared" si="63"/>
        <v>22550</v>
      </c>
      <c r="P663" s="800">
        <f t="shared" si="64"/>
        <v>22550</v>
      </c>
      <c r="Q663" s="801">
        <f t="shared" si="65"/>
        <v>22550</v>
      </c>
    </row>
    <row r="664" spans="1:17" x14ac:dyDescent="0.2">
      <c r="A664" s="802" t="s">
        <v>17959</v>
      </c>
      <c r="B664" s="803" t="s">
        <v>13918</v>
      </c>
      <c r="C664" s="803" t="s">
        <v>17513</v>
      </c>
      <c r="D664" s="803" t="s">
        <v>24513</v>
      </c>
      <c r="E664" s="803" t="s">
        <v>15733</v>
      </c>
      <c r="F664" s="803">
        <v>3</v>
      </c>
      <c r="G664" s="803" t="s">
        <v>1947</v>
      </c>
      <c r="H664" s="803" t="s">
        <v>1947</v>
      </c>
      <c r="I664" s="804">
        <v>24000</v>
      </c>
      <c r="J664" s="803">
        <v>1</v>
      </c>
      <c r="K664" s="804">
        <f t="shared" si="60"/>
        <v>24000</v>
      </c>
      <c r="L664" s="804">
        <f t="shared" si="61"/>
        <v>24000</v>
      </c>
      <c r="M664" s="804">
        <f t="shared" si="62"/>
        <v>24000</v>
      </c>
      <c r="N664" s="803" t="s">
        <v>15754</v>
      </c>
      <c r="O664" s="805">
        <f t="shared" si="63"/>
        <v>24000</v>
      </c>
      <c r="P664" s="805">
        <f t="shared" si="64"/>
        <v>24000</v>
      </c>
      <c r="Q664" s="806">
        <f t="shared" si="65"/>
        <v>24000</v>
      </c>
    </row>
    <row r="665" spans="1:17" x14ac:dyDescent="0.2">
      <c r="A665" s="797" t="s">
        <v>17257</v>
      </c>
      <c r="B665" s="798" t="s">
        <v>13918</v>
      </c>
      <c r="C665" s="798" t="s">
        <v>17513</v>
      </c>
      <c r="D665" s="798" t="s">
        <v>24514</v>
      </c>
      <c r="E665" s="798" t="s">
        <v>15731</v>
      </c>
      <c r="F665" s="798">
        <v>1</v>
      </c>
      <c r="G665" s="798" t="s">
        <v>1947</v>
      </c>
      <c r="H665" s="798" t="s">
        <v>1947</v>
      </c>
      <c r="I665" s="799">
        <v>20600</v>
      </c>
      <c r="J665" s="798">
        <v>1</v>
      </c>
      <c r="K665" s="799">
        <f t="shared" si="60"/>
        <v>20600</v>
      </c>
      <c r="L665" s="799">
        <f t="shared" si="61"/>
        <v>20600</v>
      </c>
      <c r="M665" s="799">
        <f t="shared" si="62"/>
        <v>20600</v>
      </c>
      <c r="N665" s="798" t="s">
        <v>15753</v>
      </c>
      <c r="O665" s="800">
        <f t="shared" si="63"/>
        <v>20600</v>
      </c>
      <c r="P665" s="800">
        <f t="shared" si="64"/>
        <v>20600</v>
      </c>
      <c r="Q665" s="801">
        <f t="shared" si="65"/>
        <v>20600</v>
      </c>
    </row>
    <row r="666" spans="1:17" x14ac:dyDescent="0.2">
      <c r="A666" s="802" t="s">
        <v>17960</v>
      </c>
      <c r="B666" s="803" t="s">
        <v>13918</v>
      </c>
      <c r="C666" s="803" t="s">
        <v>17513</v>
      </c>
      <c r="D666" s="803" t="s">
        <v>24514</v>
      </c>
      <c r="E666" s="803" t="s">
        <v>15732</v>
      </c>
      <c r="F666" s="803">
        <v>2</v>
      </c>
      <c r="G666" s="803" t="s">
        <v>1947</v>
      </c>
      <c r="H666" s="803" t="s">
        <v>1947</v>
      </c>
      <c r="I666" s="804">
        <v>22600</v>
      </c>
      <c r="J666" s="803">
        <v>1</v>
      </c>
      <c r="K666" s="804">
        <f t="shared" si="60"/>
        <v>22600</v>
      </c>
      <c r="L666" s="804">
        <f t="shared" si="61"/>
        <v>22600</v>
      </c>
      <c r="M666" s="804">
        <f t="shared" si="62"/>
        <v>22600</v>
      </c>
      <c r="N666" s="803" t="s">
        <v>16141</v>
      </c>
      <c r="O666" s="805">
        <f t="shared" si="63"/>
        <v>22600</v>
      </c>
      <c r="P666" s="805">
        <f t="shared" si="64"/>
        <v>22600</v>
      </c>
      <c r="Q666" s="806">
        <f t="shared" si="65"/>
        <v>22600</v>
      </c>
    </row>
    <row r="667" spans="1:17" x14ac:dyDescent="0.2">
      <c r="A667" s="797" t="s">
        <v>17961</v>
      </c>
      <c r="B667" s="798" t="s">
        <v>13918</v>
      </c>
      <c r="C667" s="798" t="s">
        <v>17513</v>
      </c>
      <c r="D667" s="798" t="s">
        <v>24514</v>
      </c>
      <c r="E667" s="798" t="s">
        <v>15733</v>
      </c>
      <c r="F667" s="798">
        <v>3</v>
      </c>
      <c r="G667" s="798" t="s">
        <v>1947</v>
      </c>
      <c r="H667" s="798" t="s">
        <v>1947</v>
      </c>
      <c r="I667" s="799">
        <v>24000</v>
      </c>
      <c r="J667" s="798">
        <v>1</v>
      </c>
      <c r="K667" s="799">
        <f t="shared" si="60"/>
        <v>24000</v>
      </c>
      <c r="L667" s="799">
        <f t="shared" si="61"/>
        <v>24000</v>
      </c>
      <c r="M667" s="799">
        <f t="shared" si="62"/>
        <v>24000</v>
      </c>
      <c r="N667" s="798" t="s">
        <v>15754</v>
      </c>
      <c r="O667" s="800">
        <f t="shared" si="63"/>
        <v>24000</v>
      </c>
      <c r="P667" s="800">
        <f t="shared" si="64"/>
        <v>24000</v>
      </c>
      <c r="Q667" s="801">
        <f t="shared" si="65"/>
        <v>24000</v>
      </c>
    </row>
    <row r="668" spans="1:17" x14ac:dyDescent="0.2">
      <c r="A668" s="802" t="s">
        <v>17263</v>
      </c>
      <c r="B668" s="803" t="s">
        <v>13918</v>
      </c>
      <c r="C668" s="803" t="s">
        <v>17513</v>
      </c>
      <c r="D668" s="803" t="s">
        <v>24515</v>
      </c>
      <c r="E668" s="803" t="s">
        <v>15731</v>
      </c>
      <c r="F668" s="803">
        <v>1</v>
      </c>
      <c r="G668" s="803" t="s">
        <v>1947</v>
      </c>
      <c r="H668" s="803" t="s">
        <v>1947</v>
      </c>
      <c r="I668" s="804">
        <v>26000</v>
      </c>
      <c r="J668" s="803">
        <v>1</v>
      </c>
      <c r="K668" s="804">
        <f t="shared" si="60"/>
        <v>26000</v>
      </c>
      <c r="L668" s="804">
        <f t="shared" si="61"/>
        <v>26000</v>
      </c>
      <c r="M668" s="804">
        <f t="shared" si="62"/>
        <v>26000</v>
      </c>
      <c r="N668" s="803" t="s">
        <v>15753</v>
      </c>
      <c r="O668" s="805">
        <f t="shared" si="63"/>
        <v>26000</v>
      </c>
      <c r="P668" s="805">
        <f t="shared" si="64"/>
        <v>26000</v>
      </c>
      <c r="Q668" s="806">
        <f t="shared" si="65"/>
        <v>26000</v>
      </c>
    </row>
    <row r="669" spans="1:17" x14ac:dyDescent="0.2">
      <c r="A669" s="797" t="s">
        <v>17962</v>
      </c>
      <c r="B669" s="798" t="s">
        <v>13918</v>
      </c>
      <c r="C669" s="798" t="s">
        <v>17513</v>
      </c>
      <c r="D669" s="798" t="s">
        <v>24515</v>
      </c>
      <c r="E669" s="798" t="s">
        <v>15732</v>
      </c>
      <c r="F669" s="798">
        <v>2</v>
      </c>
      <c r="G669" s="798" t="s">
        <v>1947</v>
      </c>
      <c r="H669" s="798" t="s">
        <v>1947</v>
      </c>
      <c r="I669" s="799">
        <v>29000</v>
      </c>
      <c r="J669" s="798">
        <v>1</v>
      </c>
      <c r="K669" s="799">
        <f t="shared" si="60"/>
        <v>29000</v>
      </c>
      <c r="L669" s="799">
        <f t="shared" si="61"/>
        <v>29000</v>
      </c>
      <c r="M669" s="799">
        <f t="shared" si="62"/>
        <v>29000</v>
      </c>
      <c r="N669" s="798" t="s">
        <v>16141</v>
      </c>
      <c r="O669" s="800">
        <f t="shared" si="63"/>
        <v>29000</v>
      </c>
      <c r="P669" s="800">
        <f t="shared" si="64"/>
        <v>29000</v>
      </c>
      <c r="Q669" s="801">
        <f t="shared" si="65"/>
        <v>29000</v>
      </c>
    </row>
    <row r="670" spans="1:17" x14ac:dyDescent="0.2">
      <c r="A670" s="802" t="s">
        <v>17963</v>
      </c>
      <c r="B670" s="803" t="s">
        <v>13918</v>
      </c>
      <c r="C670" s="803" t="s">
        <v>17513</v>
      </c>
      <c r="D670" s="803" t="s">
        <v>24515</v>
      </c>
      <c r="E670" s="803" t="s">
        <v>15733</v>
      </c>
      <c r="F670" s="803">
        <v>3</v>
      </c>
      <c r="G670" s="803" t="s">
        <v>1947</v>
      </c>
      <c r="H670" s="803" t="s">
        <v>1947</v>
      </c>
      <c r="I670" s="804">
        <v>33000</v>
      </c>
      <c r="J670" s="803">
        <v>1</v>
      </c>
      <c r="K670" s="804">
        <f t="shared" si="60"/>
        <v>33000</v>
      </c>
      <c r="L670" s="804">
        <f t="shared" si="61"/>
        <v>33000</v>
      </c>
      <c r="M670" s="804">
        <f t="shared" si="62"/>
        <v>33000</v>
      </c>
      <c r="N670" s="803" t="s">
        <v>15754</v>
      </c>
      <c r="O670" s="805">
        <f t="shared" si="63"/>
        <v>33000</v>
      </c>
      <c r="P670" s="805">
        <f t="shared" si="64"/>
        <v>33000</v>
      </c>
      <c r="Q670" s="806">
        <f t="shared" si="65"/>
        <v>33000</v>
      </c>
    </row>
    <row r="671" spans="1:17" x14ac:dyDescent="0.2">
      <c r="A671" s="797" t="s">
        <v>17272</v>
      </c>
      <c r="B671" s="798" t="s">
        <v>13918</v>
      </c>
      <c r="C671" s="798" t="s">
        <v>17513</v>
      </c>
      <c r="D671" s="798" t="s">
        <v>24516</v>
      </c>
      <c r="E671" s="798" t="s">
        <v>15731</v>
      </c>
      <c r="F671" s="798">
        <v>1</v>
      </c>
      <c r="G671" s="798" t="s">
        <v>1947</v>
      </c>
      <c r="H671" s="798" t="s">
        <v>1947</v>
      </c>
      <c r="I671" s="799">
        <v>20650</v>
      </c>
      <c r="J671" s="798">
        <v>1</v>
      </c>
      <c r="K671" s="799">
        <f t="shared" si="60"/>
        <v>20650</v>
      </c>
      <c r="L671" s="799">
        <f t="shared" si="61"/>
        <v>20650</v>
      </c>
      <c r="M671" s="799">
        <f t="shared" si="62"/>
        <v>20650</v>
      </c>
      <c r="N671" s="798" t="s">
        <v>15753</v>
      </c>
      <c r="O671" s="800">
        <f t="shared" si="63"/>
        <v>20650</v>
      </c>
      <c r="P671" s="800">
        <f t="shared" si="64"/>
        <v>20650</v>
      </c>
      <c r="Q671" s="801">
        <f t="shared" si="65"/>
        <v>20650</v>
      </c>
    </row>
    <row r="672" spans="1:17" x14ac:dyDescent="0.2">
      <c r="A672" s="802" t="s">
        <v>17964</v>
      </c>
      <c r="B672" s="803" t="s">
        <v>13918</v>
      </c>
      <c r="C672" s="803" t="s">
        <v>17513</v>
      </c>
      <c r="D672" s="803" t="s">
        <v>24516</v>
      </c>
      <c r="E672" s="803" t="s">
        <v>15732</v>
      </c>
      <c r="F672" s="803">
        <v>2</v>
      </c>
      <c r="G672" s="803" t="s">
        <v>1947</v>
      </c>
      <c r="H672" s="803" t="s">
        <v>1947</v>
      </c>
      <c r="I672" s="804">
        <v>22650</v>
      </c>
      <c r="J672" s="803">
        <v>1</v>
      </c>
      <c r="K672" s="804">
        <f t="shared" si="60"/>
        <v>22650</v>
      </c>
      <c r="L672" s="804">
        <f t="shared" si="61"/>
        <v>22650</v>
      </c>
      <c r="M672" s="804">
        <f t="shared" si="62"/>
        <v>22650</v>
      </c>
      <c r="N672" s="803" t="s">
        <v>16141</v>
      </c>
      <c r="O672" s="805">
        <f t="shared" si="63"/>
        <v>22650</v>
      </c>
      <c r="P672" s="805">
        <f t="shared" si="64"/>
        <v>22650</v>
      </c>
      <c r="Q672" s="806">
        <f t="shared" si="65"/>
        <v>22650</v>
      </c>
    </row>
    <row r="673" spans="1:17" x14ac:dyDescent="0.2">
      <c r="A673" s="797" t="s">
        <v>17965</v>
      </c>
      <c r="B673" s="798" t="s">
        <v>13918</v>
      </c>
      <c r="C673" s="798" t="s">
        <v>17513</v>
      </c>
      <c r="D673" s="798" t="s">
        <v>24516</v>
      </c>
      <c r="E673" s="798" t="s">
        <v>15733</v>
      </c>
      <c r="F673" s="798">
        <v>3</v>
      </c>
      <c r="G673" s="798" t="s">
        <v>1947</v>
      </c>
      <c r="H673" s="798" t="s">
        <v>1947</v>
      </c>
      <c r="I673" s="799">
        <v>24000</v>
      </c>
      <c r="J673" s="798">
        <v>1</v>
      </c>
      <c r="K673" s="799">
        <f t="shared" si="60"/>
        <v>24000</v>
      </c>
      <c r="L673" s="799">
        <f t="shared" si="61"/>
        <v>24000</v>
      </c>
      <c r="M673" s="799">
        <f t="shared" si="62"/>
        <v>24000</v>
      </c>
      <c r="N673" s="798" t="s">
        <v>15754</v>
      </c>
      <c r="O673" s="800">
        <f t="shared" si="63"/>
        <v>24000</v>
      </c>
      <c r="P673" s="800">
        <f t="shared" si="64"/>
        <v>24000</v>
      </c>
      <c r="Q673" s="801">
        <f t="shared" si="65"/>
        <v>24000</v>
      </c>
    </row>
    <row r="674" spans="1:17" x14ac:dyDescent="0.2">
      <c r="A674" s="802" t="s">
        <v>17278</v>
      </c>
      <c r="B674" s="803" t="s">
        <v>13918</v>
      </c>
      <c r="C674" s="803" t="s">
        <v>17513</v>
      </c>
      <c r="D674" s="803" t="s">
        <v>24517</v>
      </c>
      <c r="E674" s="803" t="s">
        <v>15731</v>
      </c>
      <c r="F674" s="803">
        <v>1</v>
      </c>
      <c r="G674" s="803" t="s">
        <v>1947</v>
      </c>
      <c r="H674" s="803" t="s">
        <v>1947</v>
      </c>
      <c r="I674" s="804">
        <v>20700</v>
      </c>
      <c r="J674" s="803">
        <v>1</v>
      </c>
      <c r="K674" s="804">
        <f t="shared" si="60"/>
        <v>20700</v>
      </c>
      <c r="L674" s="804">
        <f t="shared" si="61"/>
        <v>20700</v>
      </c>
      <c r="M674" s="804">
        <f t="shared" si="62"/>
        <v>20700</v>
      </c>
      <c r="N674" s="803" t="s">
        <v>15753</v>
      </c>
      <c r="O674" s="805">
        <f t="shared" si="63"/>
        <v>20700</v>
      </c>
      <c r="P674" s="805">
        <f t="shared" si="64"/>
        <v>20700</v>
      </c>
      <c r="Q674" s="806">
        <f t="shared" si="65"/>
        <v>20700</v>
      </c>
    </row>
    <row r="675" spans="1:17" x14ac:dyDescent="0.2">
      <c r="A675" s="797" t="s">
        <v>17966</v>
      </c>
      <c r="B675" s="798" t="s">
        <v>13918</v>
      </c>
      <c r="C675" s="798" t="s">
        <v>17513</v>
      </c>
      <c r="D675" s="798" t="s">
        <v>24517</v>
      </c>
      <c r="E675" s="798" t="s">
        <v>15732</v>
      </c>
      <c r="F675" s="798">
        <v>2</v>
      </c>
      <c r="G675" s="798" t="s">
        <v>1947</v>
      </c>
      <c r="H675" s="798" t="s">
        <v>1947</v>
      </c>
      <c r="I675" s="799">
        <v>22700</v>
      </c>
      <c r="J675" s="798">
        <v>1</v>
      </c>
      <c r="K675" s="799">
        <f t="shared" si="60"/>
        <v>22700</v>
      </c>
      <c r="L675" s="799">
        <f t="shared" si="61"/>
        <v>22700</v>
      </c>
      <c r="M675" s="799">
        <f t="shared" si="62"/>
        <v>22700</v>
      </c>
      <c r="N675" s="798" t="s">
        <v>16141</v>
      </c>
      <c r="O675" s="800">
        <f t="shared" si="63"/>
        <v>22700</v>
      </c>
      <c r="P675" s="800">
        <f t="shared" si="64"/>
        <v>22700</v>
      </c>
      <c r="Q675" s="801">
        <f t="shared" si="65"/>
        <v>22700</v>
      </c>
    </row>
    <row r="676" spans="1:17" x14ac:dyDescent="0.2">
      <c r="A676" s="802" t="s">
        <v>17967</v>
      </c>
      <c r="B676" s="803" t="s">
        <v>13918</v>
      </c>
      <c r="C676" s="803" t="s">
        <v>17513</v>
      </c>
      <c r="D676" s="803" t="s">
        <v>24517</v>
      </c>
      <c r="E676" s="803" t="s">
        <v>15733</v>
      </c>
      <c r="F676" s="803">
        <v>3</v>
      </c>
      <c r="G676" s="803" t="s">
        <v>1947</v>
      </c>
      <c r="H676" s="803" t="s">
        <v>1947</v>
      </c>
      <c r="I676" s="804">
        <v>24000</v>
      </c>
      <c r="J676" s="803">
        <v>1</v>
      </c>
      <c r="K676" s="804">
        <f t="shared" si="60"/>
        <v>24000</v>
      </c>
      <c r="L676" s="804">
        <f t="shared" si="61"/>
        <v>24000</v>
      </c>
      <c r="M676" s="804">
        <f t="shared" si="62"/>
        <v>24000</v>
      </c>
      <c r="N676" s="803" t="s">
        <v>15754</v>
      </c>
      <c r="O676" s="805">
        <f t="shared" si="63"/>
        <v>24000</v>
      </c>
      <c r="P676" s="805">
        <f t="shared" si="64"/>
        <v>24000</v>
      </c>
      <c r="Q676" s="806">
        <f t="shared" si="65"/>
        <v>24000</v>
      </c>
    </row>
    <row r="677" spans="1:17" x14ac:dyDescent="0.2">
      <c r="A677" s="797" t="s">
        <v>17284</v>
      </c>
      <c r="B677" s="798" t="s">
        <v>13918</v>
      </c>
      <c r="C677" s="798" t="s">
        <v>17513</v>
      </c>
      <c r="D677" s="798" t="s">
        <v>24518</v>
      </c>
      <c r="E677" s="798" t="s">
        <v>15731</v>
      </c>
      <c r="F677" s="798">
        <v>1</v>
      </c>
      <c r="G677" s="798" t="s">
        <v>1947</v>
      </c>
      <c r="H677" s="798" t="s">
        <v>1947</v>
      </c>
      <c r="I677" s="799">
        <v>20750</v>
      </c>
      <c r="J677" s="798">
        <v>1</v>
      </c>
      <c r="K677" s="799">
        <f t="shared" si="60"/>
        <v>20750</v>
      </c>
      <c r="L677" s="799">
        <f t="shared" si="61"/>
        <v>20750</v>
      </c>
      <c r="M677" s="799">
        <f t="shared" si="62"/>
        <v>20750</v>
      </c>
      <c r="N677" s="798" t="s">
        <v>15753</v>
      </c>
      <c r="O677" s="800">
        <f t="shared" si="63"/>
        <v>20750</v>
      </c>
      <c r="P677" s="800">
        <f t="shared" si="64"/>
        <v>20750</v>
      </c>
      <c r="Q677" s="801">
        <f t="shared" si="65"/>
        <v>20750</v>
      </c>
    </row>
    <row r="678" spans="1:17" x14ac:dyDescent="0.2">
      <c r="A678" s="802" t="s">
        <v>17968</v>
      </c>
      <c r="B678" s="803" t="s">
        <v>13918</v>
      </c>
      <c r="C678" s="803" t="s">
        <v>17513</v>
      </c>
      <c r="D678" s="803" t="s">
        <v>24518</v>
      </c>
      <c r="E678" s="803" t="s">
        <v>15732</v>
      </c>
      <c r="F678" s="803">
        <v>2</v>
      </c>
      <c r="G678" s="803" t="s">
        <v>1947</v>
      </c>
      <c r="H678" s="803" t="s">
        <v>1947</v>
      </c>
      <c r="I678" s="804">
        <v>22750</v>
      </c>
      <c r="J678" s="803">
        <v>1</v>
      </c>
      <c r="K678" s="804">
        <f t="shared" si="60"/>
        <v>22750</v>
      </c>
      <c r="L678" s="804">
        <f t="shared" si="61"/>
        <v>22750</v>
      </c>
      <c r="M678" s="804">
        <f t="shared" si="62"/>
        <v>22750</v>
      </c>
      <c r="N678" s="803" t="s">
        <v>16141</v>
      </c>
      <c r="O678" s="805">
        <f t="shared" si="63"/>
        <v>22750</v>
      </c>
      <c r="P678" s="805">
        <f t="shared" si="64"/>
        <v>22750</v>
      </c>
      <c r="Q678" s="806">
        <f t="shared" si="65"/>
        <v>22750</v>
      </c>
    </row>
    <row r="679" spans="1:17" x14ac:dyDescent="0.2">
      <c r="A679" s="797" t="s">
        <v>17969</v>
      </c>
      <c r="B679" s="798" t="s">
        <v>13918</v>
      </c>
      <c r="C679" s="798" t="s">
        <v>17513</v>
      </c>
      <c r="D679" s="798" t="s">
        <v>24518</v>
      </c>
      <c r="E679" s="798" t="s">
        <v>15733</v>
      </c>
      <c r="F679" s="798">
        <v>3</v>
      </c>
      <c r="G679" s="798" t="s">
        <v>1947</v>
      </c>
      <c r="H679" s="798" t="s">
        <v>1947</v>
      </c>
      <c r="I679" s="799">
        <v>24000</v>
      </c>
      <c r="J679" s="798">
        <v>1</v>
      </c>
      <c r="K679" s="799">
        <f t="shared" si="60"/>
        <v>24000</v>
      </c>
      <c r="L679" s="799">
        <f t="shared" si="61"/>
        <v>24000</v>
      </c>
      <c r="M679" s="799">
        <f t="shared" si="62"/>
        <v>24000</v>
      </c>
      <c r="N679" s="798" t="s">
        <v>15754</v>
      </c>
      <c r="O679" s="800">
        <f t="shared" si="63"/>
        <v>24000</v>
      </c>
      <c r="P679" s="800">
        <f t="shared" si="64"/>
        <v>24000</v>
      </c>
      <c r="Q679" s="801">
        <f t="shared" si="65"/>
        <v>24000</v>
      </c>
    </row>
    <row r="680" spans="1:17" x14ac:dyDescent="0.2">
      <c r="A680" s="802" t="s">
        <v>17291</v>
      </c>
      <c r="B680" s="803" t="s">
        <v>13918</v>
      </c>
      <c r="C680" s="803" t="s">
        <v>17513</v>
      </c>
      <c r="D680" s="803" t="s">
        <v>24519</v>
      </c>
      <c r="E680" s="803" t="s">
        <v>15731</v>
      </c>
      <c r="F680" s="803">
        <v>1</v>
      </c>
      <c r="G680" s="803" t="s">
        <v>1947</v>
      </c>
      <c r="H680" s="803" t="s">
        <v>1947</v>
      </c>
      <c r="I680" s="804">
        <v>26000</v>
      </c>
      <c r="J680" s="803">
        <v>1</v>
      </c>
      <c r="K680" s="804">
        <f t="shared" si="60"/>
        <v>26000</v>
      </c>
      <c r="L680" s="804">
        <f t="shared" si="61"/>
        <v>26000</v>
      </c>
      <c r="M680" s="804">
        <f t="shared" si="62"/>
        <v>26000</v>
      </c>
      <c r="N680" s="803" t="s">
        <v>15753</v>
      </c>
      <c r="O680" s="805">
        <f t="shared" si="63"/>
        <v>26000</v>
      </c>
      <c r="P680" s="805">
        <f t="shared" si="64"/>
        <v>26000</v>
      </c>
      <c r="Q680" s="806">
        <f t="shared" si="65"/>
        <v>26000</v>
      </c>
    </row>
    <row r="681" spans="1:17" x14ac:dyDescent="0.2">
      <c r="A681" s="797" t="s">
        <v>17970</v>
      </c>
      <c r="B681" s="798" t="s">
        <v>13918</v>
      </c>
      <c r="C681" s="798" t="s">
        <v>17513</v>
      </c>
      <c r="D681" s="798" t="s">
        <v>24519</v>
      </c>
      <c r="E681" s="798" t="s">
        <v>15732</v>
      </c>
      <c r="F681" s="798">
        <v>2</v>
      </c>
      <c r="G681" s="798" t="s">
        <v>1947</v>
      </c>
      <c r="H681" s="798" t="s">
        <v>1947</v>
      </c>
      <c r="I681" s="799">
        <v>29000</v>
      </c>
      <c r="J681" s="798">
        <v>1</v>
      </c>
      <c r="K681" s="799">
        <f t="shared" si="60"/>
        <v>29000</v>
      </c>
      <c r="L681" s="799">
        <f t="shared" si="61"/>
        <v>29000</v>
      </c>
      <c r="M681" s="799">
        <f t="shared" si="62"/>
        <v>29000</v>
      </c>
      <c r="N681" s="798" t="s">
        <v>16141</v>
      </c>
      <c r="O681" s="800">
        <f t="shared" si="63"/>
        <v>29000</v>
      </c>
      <c r="P681" s="800">
        <f t="shared" si="64"/>
        <v>29000</v>
      </c>
      <c r="Q681" s="801">
        <f t="shared" si="65"/>
        <v>29000</v>
      </c>
    </row>
    <row r="682" spans="1:17" x14ac:dyDescent="0.2">
      <c r="A682" s="802" t="s">
        <v>17971</v>
      </c>
      <c r="B682" s="803" t="s">
        <v>13918</v>
      </c>
      <c r="C682" s="803" t="s">
        <v>17513</v>
      </c>
      <c r="D682" s="803" t="s">
        <v>24519</v>
      </c>
      <c r="E682" s="803" t="s">
        <v>15733</v>
      </c>
      <c r="F682" s="803">
        <v>3</v>
      </c>
      <c r="G682" s="803" t="s">
        <v>1947</v>
      </c>
      <c r="H682" s="803" t="s">
        <v>1947</v>
      </c>
      <c r="I682" s="804">
        <v>33000</v>
      </c>
      <c r="J682" s="803">
        <v>1</v>
      </c>
      <c r="K682" s="804">
        <f t="shared" si="60"/>
        <v>33000</v>
      </c>
      <c r="L682" s="804">
        <f t="shared" si="61"/>
        <v>33000</v>
      </c>
      <c r="M682" s="804">
        <f t="shared" si="62"/>
        <v>33000</v>
      </c>
      <c r="N682" s="803" t="s">
        <v>15754</v>
      </c>
      <c r="O682" s="805">
        <f t="shared" si="63"/>
        <v>33000</v>
      </c>
      <c r="P682" s="805">
        <f t="shared" si="64"/>
        <v>33000</v>
      </c>
      <c r="Q682" s="806">
        <f t="shared" si="65"/>
        <v>33000</v>
      </c>
    </row>
    <row r="683" spans="1:17" x14ac:dyDescent="0.2">
      <c r="A683" s="797" t="s">
        <v>17304</v>
      </c>
      <c r="B683" s="798" t="s">
        <v>13918</v>
      </c>
      <c r="C683" s="798" t="s">
        <v>17513</v>
      </c>
      <c r="D683" s="798" t="s">
        <v>24520</v>
      </c>
      <c r="E683" s="798" t="s">
        <v>15731</v>
      </c>
      <c r="F683" s="798">
        <v>1</v>
      </c>
      <c r="G683" s="798" t="s">
        <v>122</v>
      </c>
      <c r="H683" s="798" t="s">
        <v>122</v>
      </c>
      <c r="I683" s="799">
        <v>21000</v>
      </c>
      <c r="J683" s="798">
        <v>1</v>
      </c>
      <c r="K683" s="799">
        <f t="shared" si="60"/>
        <v>21000</v>
      </c>
      <c r="L683" s="799">
        <f t="shared" si="61"/>
        <v>21000</v>
      </c>
      <c r="M683" s="799">
        <f t="shared" si="62"/>
        <v>21000</v>
      </c>
      <c r="N683" s="798" t="s">
        <v>15753</v>
      </c>
      <c r="O683" s="800">
        <f t="shared" si="63"/>
        <v>21000</v>
      </c>
      <c r="P683" s="800">
        <f t="shared" si="64"/>
        <v>21000</v>
      </c>
      <c r="Q683" s="801">
        <f t="shared" si="65"/>
        <v>21000</v>
      </c>
    </row>
    <row r="684" spans="1:17" x14ac:dyDescent="0.2">
      <c r="A684" s="802" t="s">
        <v>17972</v>
      </c>
      <c r="B684" s="803" t="s">
        <v>13918</v>
      </c>
      <c r="C684" s="803" t="s">
        <v>17513</v>
      </c>
      <c r="D684" s="803" t="s">
        <v>24520</v>
      </c>
      <c r="E684" s="803" t="s">
        <v>15732</v>
      </c>
      <c r="F684" s="803">
        <v>2</v>
      </c>
      <c r="G684" s="803" t="s">
        <v>122</v>
      </c>
      <c r="H684" s="803" t="s">
        <v>122</v>
      </c>
      <c r="I684" s="804">
        <v>23000</v>
      </c>
      <c r="J684" s="803">
        <v>1</v>
      </c>
      <c r="K684" s="804">
        <f t="shared" si="60"/>
        <v>23000</v>
      </c>
      <c r="L684" s="804">
        <f t="shared" si="61"/>
        <v>23000</v>
      </c>
      <c r="M684" s="804">
        <f t="shared" si="62"/>
        <v>23000</v>
      </c>
      <c r="N684" s="803" t="s">
        <v>16141</v>
      </c>
      <c r="O684" s="805">
        <f t="shared" si="63"/>
        <v>23000</v>
      </c>
      <c r="P684" s="805">
        <f t="shared" si="64"/>
        <v>23000</v>
      </c>
      <c r="Q684" s="806">
        <f t="shared" si="65"/>
        <v>23000</v>
      </c>
    </row>
    <row r="685" spans="1:17" x14ac:dyDescent="0.2">
      <c r="A685" s="797" t="s">
        <v>17973</v>
      </c>
      <c r="B685" s="798" t="s">
        <v>13918</v>
      </c>
      <c r="C685" s="798" t="s">
        <v>17513</v>
      </c>
      <c r="D685" s="798" t="s">
        <v>24520</v>
      </c>
      <c r="E685" s="798" t="s">
        <v>15733</v>
      </c>
      <c r="F685" s="798">
        <v>3</v>
      </c>
      <c r="G685" s="798" t="s">
        <v>122</v>
      </c>
      <c r="H685" s="798" t="s">
        <v>122</v>
      </c>
      <c r="I685" s="799">
        <v>24500</v>
      </c>
      <c r="J685" s="798">
        <v>1</v>
      </c>
      <c r="K685" s="799">
        <f t="shared" si="60"/>
        <v>24500</v>
      </c>
      <c r="L685" s="799">
        <f t="shared" si="61"/>
        <v>24500</v>
      </c>
      <c r="M685" s="799">
        <f t="shared" si="62"/>
        <v>24500</v>
      </c>
      <c r="N685" s="798" t="s">
        <v>15754</v>
      </c>
      <c r="O685" s="800">
        <f t="shared" si="63"/>
        <v>24500</v>
      </c>
      <c r="P685" s="800">
        <f t="shared" si="64"/>
        <v>24500</v>
      </c>
      <c r="Q685" s="801">
        <f t="shared" si="65"/>
        <v>24500</v>
      </c>
    </row>
    <row r="686" spans="1:17" x14ac:dyDescent="0.2">
      <c r="A686" s="802" t="s">
        <v>17314</v>
      </c>
      <c r="B686" s="803" t="s">
        <v>13918</v>
      </c>
      <c r="C686" s="803" t="s">
        <v>17513</v>
      </c>
      <c r="D686" s="803" t="s">
        <v>24521</v>
      </c>
      <c r="E686" s="803" t="s">
        <v>15731</v>
      </c>
      <c r="F686" s="803">
        <v>1</v>
      </c>
      <c r="G686" s="803" t="s">
        <v>122</v>
      </c>
      <c r="H686" s="803" t="s">
        <v>122</v>
      </c>
      <c r="I686" s="804">
        <v>21050</v>
      </c>
      <c r="J686" s="803">
        <v>1</v>
      </c>
      <c r="K686" s="804">
        <f t="shared" si="60"/>
        <v>21050</v>
      </c>
      <c r="L686" s="804">
        <f t="shared" si="61"/>
        <v>21050</v>
      </c>
      <c r="M686" s="804">
        <f t="shared" si="62"/>
        <v>21050</v>
      </c>
      <c r="N686" s="803" t="s">
        <v>15753</v>
      </c>
      <c r="O686" s="805">
        <f t="shared" si="63"/>
        <v>21050</v>
      </c>
      <c r="P686" s="805">
        <f t="shared" si="64"/>
        <v>21050</v>
      </c>
      <c r="Q686" s="806">
        <f t="shared" si="65"/>
        <v>21050</v>
      </c>
    </row>
    <row r="687" spans="1:17" x14ac:dyDescent="0.2">
      <c r="A687" s="797" t="s">
        <v>17974</v>
      </c>
      <c r="B687" s="798" t="s">
        <v>13918</v>
      </c>
      <c r="C687" s="798" t="s">
        <v>17513</v>
      </c>
      <c r="D687" s="798" t="s">
        <v>24521</v>
      </c>
      <c r="E687" s="798" t="s">
        <v>15732</v>
      </c>
      <c r="F687" s="798">
        <v>2</v>
      </c>
      <c r="G687" s="798" t="s">
        <v>122</v>
      </c>
      <c r="H687" s="798" t="s">
        <v>122</v>
      </c>
      <c r="I687" s="799">
        <v>23050</v>
      </c>
      <c r="J687" s="798">
        <v>1</v>
      </c>
      <c r="K687" s="799">
        <f t="shared" si="60"/>
        <v>23050</v>
      </c>
      <c r="L687" s="799">
        <f t="shared" si="61"/>
        <v>23050</v>
      </c>
      <c r="M687" s="799">
        <f t="shared" si="62"/>
        <v>23050</v>
      </c>
      <c r="N687" s="798" t="s">
        <v>16141</v>
      </c>
      <c r="O687" s="800">
        <f t="shared" si="63"/>
        <v>23050</v>
      </c>
      <c r="P687" s="800">
        <f t="shared" si="64"/>
        <v>23050</v>
      </c>
      <c r="Q687" s="801">
        <f t="shared" si="65"/>
        <v>23050</v>
      </c>
    </row>
    <row r="688" spans="1:17" x14ac:dyDescent="0.2">
      <c r="A688" s="802" t="s">
        <v>17975</v>
      </c>
      <c r="B688" s="803" t="s">
        <v>13918</v>
      </c>
      <c r="C688" s="803" t="s">
        <v>17513</v>
      </c>
      <c r="D688" s="803" t="s">
        <v>24521</v>
      </c>
      <c r="E688" s="803" t="s">
        <v>15733</v>
      </c>
      <c r="F688" s="803">
        <v>3</v>
      </c>
      <c r="G688" s="803" t="s">
        <v>122</v>
      </c>
      <c r="H688" s="803" t="s">
        <v>122</v>
      </c>
      <c r="I688" s="804">
        <v>24500</v>
      </c>
      <c r="J688" s="803">
        <v>1</v>
      </c>
      <c r="K688" s="804">
        <f t="shared" si="60"/>
        <v>24500</v>
      </c>
      <c r="L688" s="804">
        <f t="shared" si="61"/>
        <v>24500</v>
      </c>
      <c r="M688" s="804">
        <f t="shared" si="62"/>
        <v>24500</v>
      </c>
      <c r="N688" s="803" t="s">
        <v>15754</v>
      </c>
      <c r="O688" s="805">
        <f t="shared" si="63"/>
        <v>24500</v>
      </c>
      <c r="P688" s="805">
        <f t="shared" si="64"/>
        <v>24500</v>
      </c>
      <c r="Q688" s="806">
        <f t="shared" si="65"/>
        <v>24500</v>
      </c>
    </row>
    <row r="689" spans="1:17" x14ac:dyDescent="0.2">
      <c r="A689" s="797" t="s">
        <v>17321</v>
      </c>
      <c r="B689" s="798" t="s">
        <v>13918</v>
      </c>
      <c r="C689" s="798" t="s">
        <v>17513</v>
      </c>
      <c r="D689" s="798" t="s">
        <v>24522</v>
      </c>
      <c r="E689" s="798" t="s">
        <v>15731</v>
      </c>
      <c r="F689" s="798">
        <v>1</v>
      </c>
      <c r="G689" s="798" t="s">
        <v>122</v>
      </c>
      <c r="H689" s="798" t="s">
        <v>122</v>
      </c>
      <c r="I689" s="799">
        <v>21100</v>
      </c>
      <c r="J689" s="798">
        <v>1</v>
      </c>
      <c r="K689" s="799">
        <f t="shared" si="60"/>
        <v>21100</v>
      </c>
      <c r="L689" s="799">
        <f t="shared" si="61"/>
        <v>21100</v>
      </c>
      <c r="M689" s="799">
        <f t="shared" si="62"/>
        <v>21100</v>
      </c>
      <c r="N689" s="798" t="s">
        <v>15753</v>
      </c>
      <c r="O689" s="800">
        <f t="shared" si="63"/>
        <v>21100</v>
      </c>
      <c r="P689" s="800">
        <f t="shared" si="64"/>
        <v>21100</v>
      </c>
      <c r="Q689" s="801">
        <f t="shared" si="65"/>
        <v>21100</v>
      </c>
    </row>
    <row r="690" spans="1:17" x14ac:dyDescent="0.2">
      <c r="A690" s="802" t="s">
        <v>17976</v>
      </c>
      <c r="B690" s="803" t="s">
        <v>13918</v>
      </c>
      <c r="C690" s="803" t="s">
        <v>17513</v>
      </c>
      <c r="D690" s="803" t="s">
        <v>24522</v>
      </c>
      <c r="E690" s="803" t="s">
        <v>15732</v>
      </c>
      <c r="F690" s="803">
        <v>2</v>
      </c>
      <c r="G690" s="803" t="s">
        <v>122</v>
      </c>
      <c r="H690" s="803" t="s">
        <v>122</v>
      </c>
      <c r="I690" s="804">
        <v>23100</v>
      </c>
      <c r="J690" s="803">
        <v>1</v>
      </c>
      <c r="K690" s="804">
        <f t="shared" si="60"/>
        <v>23100</v>
      </c>
      <c r="L690" s="804">
        <f t="shared" si="61"/>
        <v>23100</v>
      </c>
      <c r="M690" s="804">
        <f t="shared" si="62"/>
        <v>23100</v>
      </c>
      <c r="N690" s="803" t="s">
        <v>16141</v>
      </c>
      <c r="O690" s="805">
        <f t="shared" si="63"/>
        <v>23100</v>
      </c>
      <c r="P690" s="805">
        <f t="shared" si="64"/>
        <v>23100</v>
      </c>
      <c r="Q690" s="806">
        <f t="shared" si="65"/>
        <v>23100</v>
      </c>
    </row>
    <row r="691" spans="1:17" x14ac:dyDescent="0.2">
      <c r="A691" s="797" t="s">
        <v>17977</v>
      </c>
      <c r="B691" s="798" t="s">
        <v>13918</v>
      </c>
      <c r="C691" s="798" t="s">
        <v>17513</v>
      </c>
      <c r="D691" s="798" t="s">
        <v>24522</v>
      </c>
      <c r="E691" s="798" t="s">
        <v>15733</v>
      </c>
      <c r="F691" s="798">
        <v>3</v>
      </c>
      <c r="G691" s="798" t="s">
        <v>122</v>
      </c>
      <c r="H691" s="798" t="s">
        <v>122</v>
      </c>
      <c r="I691" s="799">
        <v>24500</v>
      </c>
      <c r="J691" s="798">
        <v>1</v>
      </c>
      <c r="K691" s="799">
        <f t="shared" si="60"/>
        <v>24500</v>
      </c>
      <c r="L691" s="799">
        <f t="shared" si="61"/>
        <v>24500</v>
      </c>
      <c r="M691" s="799">
        <f t="shared" si="62"/>
        <v>24500</v>
      </c>
      <c r="N691" s="798" t="s">
        <v>15754</v>
      </c>
      <c r="O691" s="800">
        <f t="shared" si="63"/>
        <v>24500</v>
      </c>
      <c r="P691" s="800">
        <f t="shared" si="64"/>
        <v>24500</v>
      </c>
      <c r="Q691" s="801">
        <f t="shared" si="65"/>
        <v>24500</v>
      </c>
    </row>
    <row r="692" spans="1:17" x14ac:dyDescent="0.2">
      <c r="A692" s="802" t="s">
        <v>17324</v>
      </c>
      <c r="B692" s="803" t="s">
        <v>13918</v>
      </c>
      <c r="C692" s="803" t="s">
        <v>17513</v>
      </c>
      <c r="D692" s="803" t="s">
        <v>24523</v>
      </c>
      <c r="E692" s="803" t="s">
        <v>15731</v>
      </c>
      <c r="F692" s="803">
        <v>1</v>
      </c>
      <c r="G692" s="803" t="s">
        <v>122</v>
      </c>
      <c r="H692" s="803" t="s">
        <v>122</v>
      </c>
      <c r="I692" s="804">
        <v>21150</v>
      </c>
      <c r="J692" s="803">
        <v>1</v>
      </c>
      <c r="K692" s="804">
        <f t="shared" si="60"/>
        <v>21150</v>
      </c>
      <c r="L692" s="804">
        <f t="shared" si="61"/>
        <v>21150</v>
      </c>
      <c r="M692" s="804">
        <f t="shared" si="62"/>
        <v>21150</v>
      </c>
      <c r="N692" s="803" t="s">
        <v>15753</v>
      </c>
      <c r="O692" s="805">
        <f t="shared" si="63"/>
        <v>21150</v>
      </c>
      <c r="P692" s="805">
        <f t="shared" si="64"/>
        <v>21150</v>
      </c>
      <c r="Q692" s="806">
        <f t="shared" si="65"/>
        <v>21150</v>
      </c>
    </row>
    <row r="693" spans="1:17" x14ac:dyDescent="0.2">
      <c r="A693" s="797" t="s">
        <v>17978</v>
      </c>
      <c r="B693" s="798" t="s">
        <v>13918</v>
      </c>
      <c r="C693" s="798" t="s">
        <v>17513</v>
      </c>
      <c r="D693" s="798" t="s">
        <v>24523</v>
      </c>
      <c r="E693" s="798" t="s">
        <v>15732</v>
      </c>
      <c r="F693" s="798">
        <v>2</v>
      </c>
      <c r="G693" s="798" t="s">
        <v>122</v>
      </c>
      <c r="H693" s="798" t="s">
        <v>122</v>
      </c>
      <c r="I693" s="799">
        <v>23150</v>
      </c>
      <c r="J693" s="798">
        <v>1</v>
      </c>
      <c r="K693" s="799">
        <f t="shared" si="60"/>
        <v>23150</v>
      </c>
      <c r="L693" s="799">
        <f t="shared" si="61"/>
        <v>23150</v>
      </c>
      <c r="M693" s="799">
        <f t="shared" si="62"/>
        <v>23150</v>
      </c>
      <c r="N693" s="798" t="s">
        <v>16141</v>
      </c>
      <c r="O693" s="800">
        <f t="shared" si="63"/>
        <v>23150</v>
      </c>
      <c r="P693" s="800">
        <f t="shared" si="64"/>
        <v>23150</v>
      </c>
      <c r="Q693" s="801">
        <f t="shared" si="65"/>
        <v>23150</v>
      </c>
    </row>
    <row r="694" spans="1:17" x14ac:dyDescent="0.2">
      <c r="A694" s="802" t="s">
        <v>17979</v>
      </c>
      <c r="B694" s="803" t="s">
        <v>13918</v>
      </c>
      <c r="C694" s="803" t="s">
        <v>17513</v>
      </c>
      <c r="D694" s="803" t="s">
        <v>24523</v>
      </c>
      <c r="E694" s="803" t="s">
        <v>15733</v>
      </c>
      <c r="F694" s="803">
        <v>3</v>
      </c>
      <c r="G694" s="803" t="s">
        <v>122</v>
      </c>
      <c r="H694" s="803" t="s">
        <v>122</v>
      </c>
      <c r="I694" s="804">
        <v>24500</v>
      </c>
      <c r="J694" s="803">
        <v>1</v>
      </c>
      <c r="K694" s="804">
        <f t="shared" si="60"/>
        <v>24500</v>
      </c>
      <c r="L694" s="804">
        <f t="shared" si="61"/>
        <v>24500</v>
      </c>
      <c r="M694" s="804">
        <f t="shared" si="62"/>
        <v>24500</v>
      </c>
      <c r="N694" s="803" t="s">
        <v>15754</v>
      </c>
      <c r="O694" s="805">
        <f t="shared" si="63"/>
        <v>24500</v>
      </c>
      <c r="P694" s="805">
        <f t="shared" si="64"/>
        <v>24500</v>
      </c>
      <c r="Q694" s="806">
        <f t="shared" si="65"/>
        <v>24500</v>
      </c>
    </row>
    <row r="695" spans="1:17" x14ac:dyDescent="0.2">
      <c r="A695" s="797" t="s">
        <v>17340</v>
      </c>
      <c r="B695" s="798" t="s">
        <v>13918</v>
      </c>
      <c r="C695" s="798" t="s">
        <v>17513</v>
      </c>
      <c r="D695" s="798" t="s">
        <v>24524</v>
      </c>
      <c r="E695" s="798" t="s">
        <v>15731</v>
      </c>
      <c r="F695" s="798">
        <v>1</v>
      </c>
      <c r="G695" s="798" t="s">
        <v>122</v>
      </c>
      <c r="H695" s="798" t="s">
        <v>122</v>
      </c>
      <c r="I695" s="799">
        <v>21200</v>
      </c>
      <c r="J695" s="798">
        <v>1</v>
      </c>
      <c r="K695" s="799">
        <f t="shared" si="60"/>
        <v>21200</v>
      </c>
      <c r="L695" s="799">
        <f t="shared" si="61"/>
        <v>21200</v>
      </c>
      <c r="M695" s="799">
        <f t="shared" si="62"/>
        <v>21200</v>
      </c>
      <c r="N695" s="798" t="s">
        <v>15753</v>
      </c>
      <c r="O695" s="800">
        <f t="shared" si="63"/>
        <v>21200</v>
      </c>
      <c r="P695" s="800">
        <f t="shared" si="64"/>
        <v>21200</v>
      </c>
      <c r="Q695" s="801">
        <f t="shared" si="65"/>
        <v>21200</v>
      </c>
    </row>
    <row r="696" spans="1:17" x14ac:dyDescent="0.2">
      <c r="A696" s="802" t="s">
        <v>17980</v>
      </c>
      <c r="B696" s="803" t="s">
        <v>13918</v>
      </c>
      <c r="C696" s="803" t="s">
        <v>17513</v>
      </c>
      <c r="D696" s="803" t="s">
        <v>24524</v>
      </c>
      <c r="E696" s="803" t="s">
        <v>15732</v>
      </c>
      <c r="F696" s="803">
        <v>2</v>
      </c>
      <c r="G696" s="803" t="s">
        <v>122</v>
      </c>
      <c r="H696" s="803" t="s">
        <v>122</v>
      </c>
      <c r="I696" s="804">
        <v>23200</v>
      </c>
      <c r="J696" s="803">
        <v>1</v>
      </c>
      <c r="K696" s="804">
        <f t="shared" si="60"/>
        <v>23200</v>
      </c>
      <c r="L696" s="804">
        <f t="shared" si="61"/>
        <v>23200</v>
      </c>
      <c r="M696" s="804">
        <f t="shared" si="62"/>
        <v>23200</v>
      </c>
      <c r="N696" s="803" t="s">
        <v>16141</v>
      </c>
      <c r="O696" s="805">
        <f t="shared" si="63"/>
        <v>23200</v>
      </c>
      <c r="P696" s="805">
        <f t="shared" si="64"/>
        <v>23200</v>
      </c>
      <c r="Q696" s="806">
        <f t="shared" si="65"/>
        <v>23200</v>
      </c>
    </row>
    <row r="697" spans="1:17" x14ac:dyDescent="0.2">
      <c r="A697" s="797" t="s">
        <v>17981</v>
      </c>
      <c r="B697" s="798" t="s">
        <v>13918</v>
      </c>
      <c r="C697" s="798" t="s">
        <v>17513</v>
      </c>
      <c r="D697" s="798" t="s">
        <v>24524</v>
      </c>
      <c r="E697" s="798" t="s">
        <v>15733</v>
      </c>
      <c r="F697" s="798">
        <v>3</v>
      </c>
      <c r="G697" s="798" t="s">
        <v>122</v>
      </c>
      <c r="H697" s="798" t="s">
        <v>122</v>
      </c>
      <c r="I697" s="799">
        <v>24500</v>
      </c>
      <c r="J697" s="798">
        <v>1</v>
      </c>
      <c r="K697" s="799">
        <f t="shared" si="60"/>
        <v>24500</v>
      </c>
      <c r="L697" s="799">
        <f t="shared" si="61"/>
        <v>24500</v>
      </c>
      <c r="M697" s="799">
        <f t="shared" si="62"/>
        <v>24500</v>
      </c>
      <c r="N697" s="798" t="s">
        <v>15754</v>
      </c>
      <c r="O697" s="800">
        <f t="shared" si="63"/>
        <v>24500</v>
      </c>
      <c r="P697" s="800">
        <f t="shared" si="64"/>
        <v>24500</v>
      </c>
      <c r="Q697" s="801">
        <f t="shared" si="65"/>
        <v>24500</v>
      </c>
    </row>
    <row r="698" spans="1:17" x14ac:dyDescent="0.2">
      <c r="A698" s="802" t="s">
        <v>17344</v>
      </c>
      <c r="B698" s="803" t="s">
        <v>13918</v>
      </c>
      <c r="C698" s="803" t="s">
        <v>17513</v>
      </c>
      <c r="D698" s="803" t="s">
        <v>24525</v>
      </c>
      <c r="E698" s="803" t="s">
        <v>15731</v>
      </c>
      <c r="F698" s="803">
        <v>1</v>
      </c>
      <c r="G698" s="803" t="s">
        <v>10772</v>
      </c>
      <c r="H698" s="803" t="s">
        <v>17824</v>
      </c>
      <c r="I698" s="804">
        <v>26500</v>
      </c>
      <c r="J698" s="803">
        <v>1</v>
      </c>
      <c r="K698" s="804">
        <f t="shared" si="60"/>
        <v>26500</v>
      </c>
      <c r="L698" s="804">
        <f t="shared" si="61"/>
        <v>26500</v>
      </c>
      <c r="M698" s="804">
        <f t="shared" si="62"/>
        <v>26500</v>
      </c>
      <c r="N698" s="803" t="s">
        <v>17347</v>
      </c>
      <c r="O698" s="805">
        <f t="shared" si="63"/>
        <v>26500</v>
      </c>
      <c r="P698" s="805">
        <f t="shared" si="64"/>
        <v>26500</v>
      </c>
      <c r="Q698" s="806">
        <f t="shared" si="65"/>
        <v>26500</v>
      </c>
    </row>
    <row r="699" spans="1:17" x14ac:dyDescent="0.2">
      <c r="A699" s="797" t="s">
        <v>17982</v>
      </c>
      <c r="B699" s="798" t="s">
        <v>13918</v>
      </c>
      <c r="C699" s="798" t="s">
        <v>17513</v>
      </c>
      <c r="D699" s="798" t="s">
        <v>24525</v>
      </c>
      <c r="E699" s="798" t="s">
        <v>15732</v>
      </c>
      <c r="F699" s="798">
        <v>2</v>
      </c>
      <c r="G699" s="798" t="s">
        <v>10772</v>
      </c>
      <c r="H699" s="798" t="s">
        <v>17824</v>
      </c>
      <c r="I699" s="799">
        <v>29500</v>
      </c>
      <c r="J699" s="798">
        <v>1</v>
      </c>
      <c r="K699" s="799">
        <f t="shared" si="60"/>
        <v>29500</v>
      </c>
      <c r="L699" s="799">
        <f t="shared" si="61"/>
        <v>29500</v>
      </c>
      <c r="M699" s="799">
        <f t="shared" si="62"/>
        <v>29500</v>
      </c>
      <c r="N699" s="798" t="s">
        <v>17348</v>
      </c>
      <c r="O699" s="800">
        <f t="shared" si="63"/>
        <v>29500</v>
      </c>
      <c r="P699" s="800">
        <f t="shared" si="64"/>
        <v>29500</v>
      </c>
      <c r="Q699" s="801">
        <f t="shared" si="65"/>
        <v>29500</v>
      </c>
    </row>
    <row r="700" spans="1:17" x14ac:dyDescent="0.2">
      <c r="A700" s="802" t="s">
        <v>17983</v>
      </c>
      <c r="B700" s="803" t="s">
        <v>13918</v>
      </c>
      <c r="C700" s="803" t="s">
        <v>17513</v>
      </c>
      <c r="D700" s="803" t="s">
        <v>24525</v>
      </c>
      <c r="E700" s="803" t="s">
        <v>15733</v>
      </c>
      <c r="F700" s="803">
        <v>3</v>
      </c>
      <c r="G700" s="803" t="s">
        <v>10772</v>
      </c>
      <c r="H700" s="803" t="s">
        <v>17824</v>
      </c>
      <c r="I700" s="804">
        <v>33500</v>
      </c>
      <c r="J700" s="803">
        <v>1</v>
      </c>
      <c r="K700" s="804">
        <f t="shared" si="60"/>
        <v>33500</v>
      </c>
      <c r="L700" s="804">
        <f t="shared" si="61"/>
        <v>33500</v>
      </c>
      <c r="M700" s="804">
        <f t="shared" si="62"/>
        <v>33500</v>
      </c>
      <c r="N700" s="803" t="s">
        <v>17349</v>
      </c>
      <c r="O700" s="805">
        <f t="shared" si="63"/>
        <v>33500</v>
      </c>
      <c r="P700" s="805">
        <f t="shared" si="64"/>
        <v>33500</v>
      </c>
      <c r="Q700" s="806">
        <f t="shared" si="65"/>
        <v>33500</v>
      </c>
    </row>
    <row r="701" spans="1:17" x14ac:dyDescent="0.2">
      <c r="A701" s="797" t="s">
        <v>17354</v>
      </c>
      <c r="B701" s="798" t="s">
        <v>13918</v>
      </c>
      <c r="C701" s="798" t="s">
        <v>17513</v>
      </c>
      <c r="D701" s="798" t="s">
        <v>24526</v>
      </c>
      <c r="E701" s="798" t="s">
        <v>15731</v>
      </c>
      <c r="F701" s="798">
        <v>1</v>
      </c>
      <c r="G701" s="798" t="s">
        <v>122</v>
      </c>
      <c r="H701" s="798" t="s">
        <v>122</v>
      </c>
      <c r="I701" s="799">
        <v>26500</v>
      </c>
      <c r="J701" s="798">
        <v>1</v>
      </c>
      <c r="K701" s="799">
        <f t="shared" si="60"/>
        <v>26500</v>
      </c>
      <c r="L701" s="799">
        <f t="shared" si="61"/>
        <v>26500</v>
      </c>
      <c r="M701" s="799">
        <f t="shared" si="62"/>
        <v>26500</v>
      </c>
      <c r="N701" s="798" t="s">
        <v>15753</v>
      </c>
      <c r="O701" s="800">
        <f t="shared" si="63"/>
        <v>26500</v>
      </c>
      <c r="P701" s="800">
        <f t="shared" si="64"/>
        <v>26500</v>
      </c>
      <c r="Q701" s="801">
        <f t="shared" si="65"/>
        <v>26500</v>
      </c>
    </row>
    <row r="702" spans="1:17" x14ac:dyDescent="0.2">
      <c r="A702" s="802" t="s">
        <v>17984</v>
      </c>
      <c r="B702" s="803" t="s">
        <v>13918</v>
      </c>
      <c r="C702" s="803" t="s">
        <v>17513</v>
      </c>
      <c r="D702" s="803" t="s">
        <v>24526</v>
      </c>
      <c r="E702" s="803" t="s">
        <v>15732</v>
      </c>
      <c r="F702" s="803">
        <v>2</v>
      </c>
      <c r="G702" s="803" t="s">
        <v>122</v>
      </c>
      <c r="H702" s="803" t="s">
        <v>122</v>
      </c>
      <c r="I702" s="804">
        <v>29500</v>
      </c>
      <c r="J702" s="803">
        <v>1</v>
      </c>
      <c r="K702" s="804">
        <f t="shared" si="60"/>
        <v>29500</v>
      </c>
      <c r="L702" s="804">
        <f t="shared" si="61"/>
        <v>29500</v>
      </c>
      <c r="M702" s="804">
        <f t="shared" si="62"/>
        <v>29500</v>
      </c>
      <c r="N702" s="803" t="s">
        <v>16141</v>
      </c>
      <c r="O702" s="805">
        <f t="shared" si="63"/>
        <v>29500</v>
      </c>
      <c r="P702" s="805">
        <f t="shared" si="64"/>
        <v>29500</v>
      </c>
      <c r="Q702" s="806">
        <f t="shared" si="65"/>
        <v>29500</v>
      </c>
    </row>
    <row r="703" spans="1:17" x14ac:dyDescent="0.2">
      <c r="A703" s="797" t="s">
        <v>17985</v>
      </c>
      <c r="B703" s="798" t="s">
        <v>13918</v>
      </c>
      <c r="C703" s="798" t="s">
        <v>17513</v>
      </c>
      <c r="D703" s="798" t="s">
        <v>24526</v>
      </c>
      <c r="E703" s="798" t="s">
        <v>15733</v>
      </c>
      <c r="F703" s="798">
        <v>3</v>
      </c>
      <c r="G703" s="798" t="s">
        <v>122</v>
      </c>
      <c r="H703" s="798" t="s">
        <v>122</v>
      </c>
      <c r="I703" s="799">
        <v>33500</v>
      </c>
      <c r="J703" s="798">
        <v>1</v>
      </c>
      <c r="K703" s="799">
        <f t="shared" si="60"/>
        <v>33500</v>
      </c>
      <c r="L703" s="799">
        <f t="shared" si="61"/>
        <v>33500</v>
      </c>
      <c r="M703" s="799">
        <f t="shared" si="62"/>
        <v>33500</v>
      </c>
      <c r="N703" s="798" t="s">
        <v>15754</v>
      </c>
      <c r="O703" s="800">
        <f t="shared" si="63"/>
        <v>33500</v>
      </c>
      <c r="P703" s="800">
        <f t="shared" si="64"/>
        <v>33500</v>
      </c>
      <c r="Q703" s="801">
        <f t="shared" si="65"/>
        <v>33500</v>
      </c>
    </row>
    <row r="704" spans="1:17" x14ac:dyDescent="0.2">
      <c r="A704" s="802" t="s">
        <v>17368</v>
      </c>
      <c r="B704" s="803" t="s">
        <v>13918</v>
      </c>
      <c r="C704" s="803" t="s">
        <v>17513</v>
      </c>
      <c r="D704" s="803" t="s">
        <v>24527</v>
      </c>
      <c r="E704" s="803" t="s">
        <v>15731</v>
      </c>
      <c r="F704" s="803">
        <v>1</v>
      </c>
      <c r="G704" s="803" t="s">
        <v>2837</v>
      </c>
      <c r="H704" s="803" t="s">
        <v>2837</v>
      </c>
      <c r="I704" s="804">
        <v>21500</v>
      </c>
      <c r="J704" s="803">
        <v>1</v>
      </c>
      <c r="K704" s="804">
        <f t="shared" si="60"/>
        <v>21500</v>
      </c>
      <c r="L704" s="804">
        <f t="shared" si="61"/>
        <v>21500</v>
      </c>
      <c r="M704" s="804">
        <f t="shared" si="62"/>
        <v>21500</v>
      </c>
      <c r="N704" s="803" t="s">
        <v>15753</v>
      </c>
      <c r="O704" s="805">
        <f t="shared" si="63"/>
        <v>21500</v>
      </c>
      <c r="P704" s="805">
        <f t="shared" si="64"/>
        <v>21500</v>
      </c>
      <c r="Q704" s="806">
        <f t="shared" si="65"/>
        <v>21500</v>
      </c>
    </row>
    <row r="705" spans="1:17" x14ac:dyDescent="0.2">
      <c r="A705" s="797" t="s">
        <v>17986</v>
      </c>
      <c r="B705" s="798" t="s">
        <v>13918</v>
      </c>
      <c r="C705" s="798" t="s">
        <v>17513</v>
      </c>
      <c r="D705" s="798" t="s">
        <v>24527</v>
      </c>
      <c r="E705" s="798" t="s">
        <v>15732</v>
      </c>
      <c r="F705" s="798">
        <v>2</v>
      </c>
      <c r="G705" s="798" t="s">
        <v>2837</v>
      </c>
      <c r="H705" s="798" t="s">
        <v>2837</v>
      </c>
      <c r="I705" s="799">
        <v>23500</v>
      </c>
      <c r="J705" s="798">
        <v>1</v>
      </c>
      <c r="K705" s="799">
        <f t="shared" si="60"/>
        <v>23500</v>
      </c>
      <c r="L705" s="799">
        <f t="shared" si="61"/>
        <v>23500</v>
      </c>
      <c r="M705" s="799">
        <f t="shared" si="62"/>
        <v>23500</v>
      </c>
      <c r="N705" s="798" t="s">
        <v>16141</v>
      </c>
      <c r="O705" s="800">
        <f t="shared" si="63"/>
        <v>23500</v>
      </c>
      <c r="P705" s="800">
        <f t="shared" si="64"/>
        <v>23500</v>
      </c>
      <c r="Q705" s="801">
        <f t="shared" si="65"/>
        <v>23500</v>
      </c>
    </row>
    <row r="706" spans="1:17" x14ac:dyDescent="0.2">
      <c r="A706" s="802" t="s">
        <v>17987</v>
      </c>
      <c r="B706" s="803" t="s">
        <v>13918</v>
      </c>
      <c r="C706" s="803" t="s">
        <v>17513</v>
      </c>
      <c r="D706" s="803" t="s">
        <v>24527</v>
      </c>
      <c r="E706" s="803" t="s">
        <v>15733</v>
      </c>
      <c r="F706" s="803">
        <v>3</v>
      </c>
      <c r="G706" s="803" t="s">
        <v>2837</v>
      </c>
      <c r="H706" s="803" t="s">
        <v>2837</v>
      </c>
      <c r="I706" s="804">
        <v>25000</v>
      </c>
      <c r="J706" s="803">
        <v>1</v>
      </c>
      <c r="K706" s="804">
        <f t="shared" ref="K706:K760" si="66">+I706</f>
        <v>25000</v>
      </c>
      <c r="L706" s="804">
        <f t="shared" ref="L706:L760" si="67">+I706</f>
        <v>25000</v>
      </c>
      <c r="M706" s="804">
        <f t="shared" ref="M706:M769" si="68">+I706</f>
        <v>25000</v>
      </c>
      <c r="N706" s="803" t="s">
        <v>15754</v>
      </c>
      <c r="O706" s="805">
        <f t="shared" ref="O706:O769" si="69">+J706*K706</f>
        <v>25000</v>
      </c>
      <c r="P706" s="805">
        <f t="shared" ref="P706:P769" si="70">+J706*L706</f>
        <v>25000</v>
      </c>
      <c r="Q706" s="806">
        <f t="shared" ref="Q706:Q769" si="71">+J706*M706</f>
        <v>25000</v>
      </c>
    </row>
    <row r="707" spans="1:17" x14ac:dyDescent="0.2">
      <c r="A707" s="797" t="s">
        <v>17374</v>
      </c>
      <c r="B707" s="798" t="s">
        <v>13918</v>
      </c>
      <c r="C707" s="798" t="s">
        <v>17513</v>
      </c>
      <c r="D707" s="798" t="s">
        <v>24528</v>
      </c>
      <c r="E707" s="798" t="s">
        <v>15731</v>
      </c>
      <c r="F707" s="798">
        <v>1</v>
      </c>
      <c r="G707" s="798" t="s">
        <v>2837</v>
      </c>
      <c r="H707" s="798" t="s">
        <v>2837</v>
      </c>
      <c r="I707" s="799">
        <v>27000</v>
      </c>
      <c r="J707" s="798">
        <v>1</v>
      </c>
      <c r="K707" s="799">
        <f t="shared" si="66"/>
        <v>27000</v>
      </c>
      <c r="L707" s="799">
        <f t="shared" si="67"/>
        <v>27000</v>
      </c>
      <c r="M707" s="799">
        <f t="shared" si="68"/>
        <v>27000</v>
      </c>
      <c r="N707" s="798" t="s">
        <v>15753</v>
      </c>
      <c r="O707" s="800">
        <f t="shared" si="69"/>
        <v>27000</v>
      </c>
      <c r="P707" s="800">
        <f t="shared" si="70"/>
        <v>27000</v>
      </c>
      <c r="Q707" s="801">
        <f t="shared" si="71"/>
        <v>27000</v>
      </c>
    </row>
    <row r="708" spans="1:17" x14ac:dyDescent="0.2">
      <c r="A708" s="802" t="s">
        <v>17988</v>
      </c>
      <c r="B708" s="803" t="s">
        <v>13918</v>
      </c>
      <c r="C708" s="803" t="s">
        <v>17513</v>
      </c>
      <c r="D708" s="803" t="s">
        <v>24528</v>
      </c>
      <c r="E708" s="803" t="s">
        <v>15732</v>
      </c>
      <c r="F708" s="803">
        <v>2</v>
      </c>
      <c r="G708" s="803" t="s">
        <v>2837</v>
      </c>
      <c r="H708" s="803" t="s">
        <v>2837</v>
      </c>
      <c r="I708" s="804">
        <v>30000</v>
      </c>
      <c r="J708" s="803">
        <v>1</v>
      </c>
      <c r="K708" s="804">
        <f t="shared" si="66"/>
        <v>30000</v>
      </c>
      <c r="L708" s="804">
        <f t="shared" si="67"/>
        <v>30000</v>
      </c>
      <c r="M708" s="804">
        <f t="shared" si="68"/>
        <v>30000</v>
      </c>
      <c r="N708" s="803" t="s">
        <v>16141</v>
      </c>
      <c r="O708" s="805">
        <f t="shared" si="69"/>
        <v>30000</v>
      </c>
      <c r="P708" s="805">
        <f t="shared" si="70"/>
        <v>30000</v>
      </c>
      <c r="Q708" s="806">
        <f t="shared" si="71"/>
        <v>30000</v>
      </c>
    </row>
    <row r="709" spans="1:17" x14ac:dyDescent="0.2">
      <c r="A709" s="797" t="s">
        <v>17989</v>
      </c>
      <c r="B709" s="798" t="s">
        <v>13918</v>
      </c>
      <c r="C709" s="798" t="s">
        <v>17513</v>
      </c>
      <c r="D709" s="798" t="s">
        <v>24528</v>
      </c>
      <c r="E709" s="798" t="s">
        <v>15733</v>
      </c>
      <c r="F709" s="798">
        <v>3</v>
      </c>
      <c r="G709" s="798" t="s">
        <v>2837</v>
      </c>
      <c r="H709" s="798" t="s">
        <v>2837</v>
      </c>
      <c r="I709" s="799">
        <v>34000</v>
      </c>
      <c r="J709" s="798">
        <v>1</v>
      </c>
      <c r="K709" s="799">
        <f t="shared" si="66"/>
        <v>34000</v>
      </c>
      <c r="L709" s="799">
        <f t="shared" si="67"/>
        <v>34000</v>
      </c>
      <c r="M709" s="799">
        <f t="shared" si="68"/>
        <v>34000</v>
      </c>
      <c r="N709" s="798" t="s">
        <v>15754</v>
      </c>
      <c r="O709" s="800">
        <f t="shared" si="69"/>
        <v>34000</v>
      </c>
      <c r="P709" s="800">
        <f t="shared" si="70"/>
        <v>34000</v>
      </c>
      <c r="Q709" s="801">
        <f t="shared" si="71"/>
        <v>34000</v>
      </c>
    </row>
    <row r="710" spans="1:17" x14ac:dyDescent="0.2">
      <c r="A710" s="802" t="s">
        <v>17383</v>
      </c>
      <c r="B710" s="803" t="s">
        <v>13918</v>
      </c>
      <c r="C710" s="803" t="s">
        <v>17513</v>
      </c>
      <c r="D710" s="803" t="s">
        <v>24529</v>
      </c>
      <c r="E710" s="803" t="s">
        <v>15731</v>
      </c>
      <c r="F710" s="803">
        <v>1</v>
      </c>
      <c r="G710" s="803" t="s">
        <v>1947</v>
      </c>
      <c r="H710" s="803" t="s">
        <v>2837</v>
      </c>
      <c r="I710" s="804">
        <v>27000</v>
      </c>
      <c r="J710" s="803">
        <v>1</v>
      </c>
      <c r="K710" s="804">
        <f t="shared" si="66"/>
        <v>27000</v>
      </c>
      <c r="L710" s="804">
        <f t="shared" si="67"/>
        <v>27000</v>
      </c>
      <c r="M710" s="804">
        <f t="shared" si="68"/>
        <v>27000</v>
      </c>
      <c r="N710" s="803" t="s">
        <v>17386</v>
      </c>
      <c r="O710" s="805">
        <f t="shared" si="69"/>
        <v>27000</v>
      </c>
      <c r="P710" s="805">
        <f t="shared" si="70"/>
        <v>27000</v>
      </c>
      <c r="Q710" s="806">
        <f t="shared" si="71"/>
        <v>27000</v>
      </c>
    </row>
    <row r="711" spans="1:17" x14ac:dyDescent="0.2">
      <c r="A711" s="797" t="s">
        <v>17990</v>
      </c>
      <c r="B711" s="798" t="s">
        <v>13918</v>
      </c>
      <c r="C711" s="798" t="s">
        <v>17513</v>
      </c>
      <c r="D711" s="798" t="s">
        <v>24529</v>
      </c>
      <c r="E711" s="798" t="s">
        <v>15732</v>
      </c>
      <c r="F711" s="798">
        <v>2</v>
      </c>
      <c r="G711" s="798" t="s">
        <v>1947</v>
      </c>
      <c r="H711" s="798" t="s">
        <v>2837</v>
      </c>
      <c r="I711" s="799">
        <v>30000</v>
      </c>
      <c r="J711" s="798">
        <v>1</v>
      </c>
      <c r="K711" s="799">
        <f t="shared" si="66"/>
        <v>30000</v>
      </c>
      <c r="L711" s="799">
        <f t="shared" si="67"/>
        <v>30000</v>
      </c>
      <c r="M711" s="799">
        <f t="shared" si="68"/>
        <v>30000</v>
      </c>
      <c r="N711" s="798" t="s">
        <v>17387</v>
      </c>
      <c r="O711" s="800">
        <f t="shared" si="69"/>
        <v>30000</v>
      </c>
      <c r="P711" s="800">
        <f t="shared" si="70"/>
        <v>30000</v>
      </c>
      <c r="Q711" s="801">
        <f t="shared" si="71"/>
        <v>30000</v>
      </c>
    </row>
    <row r="712" spans="1:17" x14ac:dyDescent="0.2">
      <c r="A712" s="802" t="s">
        <v>17991</v>
      </c>
      <c r="B712" s="803" t="s">
        <v>13918</v>
      </c>
      <c r="C712" s="803" t="s">
        <v>17513</v>
      </c>
      <c r="D712" s="803" t="s">
        <v>24529</v>
      </c>
      <c r="E712" s="803" t="s">
        <v>15733</v>
      </c>
      <c r="F712" s="803">
        <v>3</v>
      </c>
      <c r="G712" s="803" t="s">
        <v>1947</v>
      </c>
      <c r="H712" s="803" t="s">
        <v>2837</v>
      </c>
      <c r="I712" s="804">
        <v>34000</v>
      </c>
      <c r="J712" s="803">
        <v>1</v>
      </c>
      <c r="K712" s="804">
        <f t="shared" si="66"/>
        <v>34000</v>
      </c>
      <c r="L712" s="804">
        <f t="shared" si="67"/>
        <v>34000</v>
      </c>
      <c r="M712" s="804">
        <f t="shared" si="68"/>
        <v>34000</v>
      </c>
      <c r="N712" s="803" t="s">
        <v>17388</v>
      </c>
      <c r="O712" s="805">
        <f t="shared" si="69"/>
        <v>34000</v>
      </c>
      <c r="P712" s="805">
        <f t="shared" si="70"/>
        <v>34000</v>
      </c>
      <c r="Q712" s="806">
        <f t="shared" si="71"/>
        <v>34000</v>
      </c>
    </row>
    <row r="713" spans="1:17" x14ac:dyDescent="0.2">
      <c r="A713" s="797" t="s">
        <v>17389</v>
      </c>
      <c r="B713" s="798" t="s">
        <v>13918</v>
      </c>
      <c r="C713" s="798" t="s">
        <v>17513</v>
      </c>
      <c r="D713" s="798" t="s">
        <v>24530</v>
      </c>
      <c r="E713" s="798" t="s">
        <v>15731</v>
      </c>
      <c r="F713" s="798">
        <v>1</v>
      </c>
      <c r="G713" s="798" t="s">
        <v>2837</v>
      </c>
      <c r="H713" s="798" t="s">
        <v>2837</v>
      </c>
      <c r="I713" s="799">
        <v>27000</v>
      </c>
      <c r="J713" s="798">
        <v>1</v>
      </c>
      <c r="K713" s="799">
        <f t="shared" si="66"/>
        <v>27000</v>
      </c>
      <c r="L713" s="799">
        <f t="shared" si="67"/>
        <v>27000</v>
      </c>
      <c r="M713" s="799">
        <f t="shared" si="68"/>
        <v>27000</v>
      </c>
      <c r="N713" s="798" t="s">
        <v>15753</v>
      </c>
      <c r="O713" s="800">
        <f t="shared" si="69"/>
        <v>27000</v>
      </c>
      <c r="P713" s="800">
        <f t="shared" si="70"/>
        <v>27000</v>
      </c>
      <c r="Q713" s="801">
        <f t="shared" si="71"/>
        <v>27000</v>
      </c>
    </row>
    <row r="714" spans="1:17" x14ac:dyDescent="0.2">
      <c r="A714" s="802" t="s">
        <v>17992</v>
      </c>
      <c r="B714" s="803" t="s">
        <v>13918</v>
      </c>
      <c r="C714" s="803" t="s">
        <v>17513</v>
      </c>
      <c r="D714" s="803" t="s">
        <v>24530</v>
      </c>
      <c r="E714" s="803" t="s">
        <v>15732</v>
      </c>
      <c r="F714" s="803">
        <v>2</v>
      </c>
      <c r="G714" s="803" t="s">
        <v>2837</v>
      </c>
      <c r="H714" s="803" t="s">
        <v>2837</v>
      </c>
      <c r="I714" s="804">
        <v>30000</v>
      </c>
      <c r="J714" s="803">
        <v>1</v>
      </c>
      <c r="K714" s="804">
        <f t="shared" si="66"/>
        <v>30000</v>
      </c>
      <c r="L714" s="804">
        <f t="shared" si="67"/>
        <v>30000</v>
      </c>
      <c r="M714" s="804">
        <f t="shared" si="68"/>
        <v>30000</v>
      </c>
      <c r="N714" s="803" t="s">
        <v>16141</v>
      </c>
      <c r="O714" s="805">
        <f t="shared" si="69"/>
        <v>30000</v>
      </c>
      <c r="P714" s="805">
        <f t="shared" si="70"/>
        <v>30000</v>
      </c>
      <c r="Q714" s="806">
        <f t="shared" si="71"/>
        <v>30000</v>
      </c>
    </row>
    <row r="715" spans="1:17" x14ac:dyDescent="0.2">
      <c r="A715" s="797" t="s">
        <v>17993</v>
      </c>
      <c r="B715" s="798" t="s">
        <v>13918</v>
      </c>
      <c r="C715" s="798" t="s">
        <v>17513</v>
      </c>
      <c r="D715" s="798" t="s">
        <v>24530</v>
      </c>
      <c r="E715" s="798" t="s">
        <v>15733</v>
      </c>
      <c r="F715" s="798">
        <v>3</v>
      </c>
      <c r="G715" s="798" t="s">
        <v>2837</v>
      </c>
      <c r="H715" s="798" t="s">
        <v>2837</v>
      </c>
      <c r="I715" s="799">
        <v>34000</v>
      </c>
      <c r="J715" s="798">
        <v>1</v>
      </c>
      <c r="K715" s="799">
        <f t="shared" si="66"/>
        <v>34000</v>
      </c>
      <c r="L715" s="799">
        <f t="shared" si="67"/>
        <v>34000</v>
      </c>
      <c r="M715" s="799">
        <f t="shared" si="68"/>
        <v>34000</v>
      </c>
      <c r="N715" s="798" t="s">
        <v>15754</v>
      </c>
      <c r="O715" s="800">
        <f t="shared" si="69"/>
        <v>34000</v>
      </c>
      <c r="P715" s="800">
        <f t="shared" si="70"/>
        <v>34000</v>
      </c>
      <c r="Q715" s="801">
        <f t="shared" si="71"/>
        <v>34000</v>
      </c>
    </row>
    <row r="716" spans="1:17" x14ac:dyDescent="0.2">
      <c r="A716" s="802" t="s">
        <v>17399</v>
      </c>
      <c r="B716" s="803" t="s">
        <v>13918</v>
      </c>
      <c r="C716" s="803" t="s">
        <v>17513</v>
      </c>
      <c r="D716" s="803" t="s">
        <v>24531</v>
      </c>
      <c r="E716" s="803" t="s">
        <v>15731</v>
      </c>
      <c r="F716" s="803">
        <v>1</v>
      </c>
      <c r="G716" s="803" t="s">
        <v>2837</v>
      </c>
      <c r="H716" s="803" t="s">
        <v>2837</v>
      </c>
      <c r="I716" s="804">
        <v>21550</v>
      </c>
      <c r="J716" s="803">
        <v>1</v>
      </c>
      <c r="K716" s="804">
        <f t="shared" si="66"/>
        <v>21550</v>
      </c>
      <c r="L716" s="804">
        <f t="shared" si="67"/>
        <v>21550</v>
      </c>
      <c r="M716" s="804">
        <f t="shared" si="68"/>
        <v>21550</v>
      </c>
      <c r="N716" s="803" t="s">
        <v>15753</v>
      </c>
      <c r="O716" s="805">
        <f t="shared" si="69"/>
        <v>21550</v>
      </c>
      <c r="P716" s="805">
        <f t="shared" si="70"/>
        <v>21550</v>
      </c>
      <c r="Q716" s="806">
        <f t="shared" si="71"/>
        <v>21550</v>
      </c>
    </row>
    <row r="717" spans="1:17" x14ac:dyDescent="0.2">
      <c r="A717" s="797" t="s">
        <v>17994</v>
      </c>
      <c r="B717" s="798" t="s">
        <v>13918</v>
      </c>
      <c r="C717" s="798" t="s">
        <v>17513</v>
      </c>
      <c r="D717" s="798" t="s">
        <v>24531</v>
      </c>
      <c r="E717" s="798" t="s">
        <v>15732</v>
      </c>
      <c r="F717" s="798">
        <v>2</v>
      </c>
      <c r="G717" s="798" t="s">
        <v>2837</v>
      </c>
      <c r="H717" s="798" t="s">
        <v>2837</v>
      </c>
      <c r="I717" s="799">
        <v>23550</v>
      </c>
      <c r="J717" s="798">
        <v>1</v>
      </c>
      <c r="K717" s="799">
        <f t="shared" si="66"/>
        <v>23550</v>
      </c>
      <c r="L717" s="799">
        <f t="shared" si="67"/>
        <v>23550</v>
      </c>
      <c r="M717" s="799">
        <f t="shared" si="68"/>
        <v>23550</v>
      </c>
      <c r="N717" s="798" t="s">
        <v>16141</v>
      </c>
      <c r="O717" s="800">
        <f t="shared" si="69"/>
        <v>23550</v>
      </c>
      <c r="P717" s="800">
        <f t="shared" si="70"/>
        <v>23550</v>
      </c>
      <c r="Q717" s="801">
        <f t="shared" si="71"/>
        <v>23550</v>
      </c>
    </row>
    <row r="718" spans="1:17" x14ac:dyDescent="0.2">
      <c r="A718" s="802" t="s">
        <v>17995</v>
      </c>
      <c r="B718" s="803" t="s">
        <v>13918</v>
      </c>
      <c r="C718" s="803" t="s">
        <v>17513</v>
      </c>
      <c r="D718" s="803" t="s">
        <v>24531</v>
      </c>
      <c r="E718" s="803" t="s">
        <v>15733</v>
      </c>
      <c r="F718" s="803">
        <v>3</v>
      </c>
      <c r="G718" s="803" t="s">
        <v>2837</v>
      </c>
      <c r="H718" s="803" t="s">
        <v>2837</v>
      </c>
      <c r="I718" s="804">
        <v>25000</v>
      </c>
      <c r="J718" s="803">
        <v>1</v>
      </c>
      <c r="K718" s="804">
        <f t="shared" si="66"/>
        <v>25000</v>
      </c>
      <c r="L718" s="804">
        <f t="shared" si="67"/>
        <v>25000</v>
      </c>
      <c r="M718" s="804">
        <f t="shared" si="68"/>
        <v>25000</v>
      </c>
      <c r="N718" s="803" t="s">
        <v>15754</v>
      </c>
      <c r="O718" s="805">
        <f t="shared" si="69"/>
        <v>25000</v>
      </c>
      <c r="P718" s="805">
        <f t="shared" si="70"/>
        <v>25000</v>
      </c>
      <c r="Q718" s="806">
        <f t="shared" si="71"/>
        <v>25000</v>
      </c>
    </row>
    <row r="719" spans="1:17" x14ac:dyDescent="0.2">
      <c r="A719" s="797" t="s">
        <v>17402</v>
      </c>
      <c r="B719" s="798" t="s">
        <v>13918</v>
      </c>
      <c r="C719" s="798" t="s">
        <v>17513</v>
      </c>
      <c r="D719" s="798" t="s">
        <v>24532</v>
      </c>
      <c r="E719" s="798" t="s">
        <v>15731</v>
      </c>
      <c r="F719" s="798">
        <v>1</v>
      </c>
      <c r="G719" s="798" t="s">
        <v>10772</v>
      </c>
      <c r="H719" s="798" t="s">
        <v>17824</v>
      </c>
      <c r="I719" s="799">
        <v>27000</v>
      </c>
      <c r="J719" s="798">
        <v>1</v>
      </c>
      <c r="K719" s="799">
        <f t="shared" si="66"/>
        <v>27000</v>
      </c>
      <c r="L719" s="799">
        <f t="shared" si="67"/>
        <v>27000</v>
      </c>
      <c r="M719" s="799">
        <f t="shared" si="68"/>
        <v>27000</v>
      </c>
      <c r="N719" s="798" t="s">
        <v>17406</v>
      </c>
      <c r="O719" s="800">
        <f t="shared" si="69"/>
        <v>27000</v>
      </c>
      <c r="P719" s="800">
        <f t="shared" si="70"/>
        <v>27000</v>
      </c>
      <c r="Q719" s="801">
        <f t="shared" si="71"/>
        <v>27000</v>
      </c>
    </row>
    <row r="720" spans="1:17" x14ac:dyDescent="0.2">
      <c r="A720" s="802" t="s">
        <v>17996</v>
      </c>
      <c r="B720" s="803" t="s">
        <v>13918</v>
      </c>
      <c r="C720" s="803" t="s">
        <v>17513</v>
      </c>
      <c r="D720" s="803" t="s">
        <v>24532</v>
      </c>
      <c r="E720" s="803" t="s">
        <v>15732</v>
      </c>
      <c r="F720" s="803">
        <v>2</v>
      </c>
      <c r="G720" s="803" t="s">
        <v>10772</v>
      </c>
      <c r="H720" s="803" t="s">
        <v>17824</v>
      </c>
      <c r="I720" s="804">
        <v>30000</v>
      </c>
      <c r="J720" s="803">
        <v>1</v>
      </c>
      <c r="K720" s="804">
        <f t="shared" si="66"/>
        <v>30000</v>
      </c>
      <c r="L720" s="804">
        <f t="shared" si="67"/>
        <v>30000</v>
      </c>
      <c r="M720" s="804">
        <f t="shared" si="68"/>
        <v>30000</v>
      </c>
      <c r="N720" s="803" t="s">
        <v>17407</v>
      </c>
      <c r="O720" s="805">
        <f t="shared" si="69"/>
        <v>30000</v>
      </c>
      <c r="P720" s="805">
        <f t="shared" si="70"/>
        <v>30000</v>
      </c>
      <c r="Q720" s="806">
        <f t="shared" si="71"/>
        <v>30000</v>
      </c>
    </row>
    <row r="721" spans="1:17" x14ac:dyDescent="0.2">
      <c r="A721" s="797" t="s">
        <v>17997</v>
      </c>
      <c r="B721" s="798" t="s">
        <v>13918</v>
      </c>
      <c r="C721" s="798" t="s">
        <v>17513</v>
      </c>
      <c r="D721" s="798" t="s">
        <v>24532</v>
      </c>
      <c r="E721" s="798" t="s">
        <v>15733</v>
      </c>
      <c r="F721" s="798">
        <v>3</v>
      </c>
      <c r="G721" s="798" t="s">
        <v>10772</v>
      </c>
      <c r="H721" s="798" t="s">
        <v>17824</v>
      </c>
      <c r="I721" s="799">
        <v>34000</v>
      </c>
      <c r="J721" s="798">
        <v>1</v>
      </c>
      <c r="K721" s="799">
        <f t="shared" si="66"/>
        <v>34000</v>
      </c>
      <c r="L721" s="799">
        <f t="shared" si="67"/>
        <v>34000</v>
      </c>
      <c r="M721" s="799">
        <f t="shared" si="68"/>
        <v>34000</v>
      </c>
      <c r="N721" s="798" t="s">
        <v>17408</v>
      </c>
      <c r="O721" s="800">
        <f t="shared" si="69"/>
        <v>34000</v>
      </c>
      <c r="P721" s="800">
        <f t="shared" si="70"/>
        <v>34000</v>
      </c>
      <c r="Q721" s="801">
        <f t="shared" si="71"/>
        <v>34000</v>
      </c>
    </row>
    <row r="722" spans="1:17" x14ac:dyDescent="0.2">
      <c r="A722" s="802" t="s">
        <v>17415</v>
      </c>
      <c r="B722" s="803" t="s">
        <v>13918</v>
      </c>
      <c r="C722" s="803" t="s">
        <v>17513</v>
      </c>
      <c r="D722" s="803" t="s">
        <v>24533</v>
      </c>
      <c r="E722" s="803" t="s">
        <v>15731</v>
      </c>
      <c r="F722" s="803">
        <v>1</v>
      </c>
      <c r="G722" s="803" t="s">
        <v>10772</v>
      </c>
      <c r="H722" s="803" t="s">
        <v>17824</v>
      </c>
      <c r="I722" s="804">
        <v>27000</v>
      </c>
      <c r="J722" s="803">
        <v>1</v>
      </c>
      <c r="K722" s="804">
        <f t="shared" si="66"/>
        <v>27000</v>
      </c>
      <c r="L722" s="804">
        <f t="shared" si="67"/>
        <v>27000</v>
      </c>
      <c r="M722" s="804">
        <f t="shared" si="68"/>
        <v>27000</v>
      </c>
      <c r="N722" s="803" t="s">
        <v>17925</v>
      </c>
      <c r="O722" s="805">
        <f t="shared" si="69"/>
        <v>27000</v>
      </c>
      <c r="P722" s="805">
        <f t="shared" si="70"/>
        <v>27000</v>
      </c>
      <c r="Q722" s="806">
        <f t="shared" si="71"/>
        <v>27000</v>
      </c>
    </row>
    <row r="723" spans="1:17" x14ac:dyDescent="0.2">
      <c r="A723" s="797" t="s">
        <v>17998</v>
      </c>
      <c r="B723" s="798" t="s">
        <v>13918</v>
      </c>
      <c r="C723" s="798" t="s">
        <v>17513</v>
      </c>
      <c r="D723" s="798" t="s">
        <v>24533</v>
      </c>
      <c r="E723" s="798" t="s">
        <v>15732</v>
      </c>
      <c r="F723" s="798">
        <v>2</v>
      </c>
      <c r="G723" s="798" t="s">
        <v>10772</v>
      </c>
      <c r="H723" s="798" t="s">
        <v>17824</v>
      </c>
      <c r="I723" s="799">
        <v>30000</v>
      </c>
      <c r="J723" s="798">
        <v>1</v>
      </c>
      <c r="K723" s="799">
        <f t="shared" si="66"/>
        <v>30000</v>
      </c>
      <c r="L723" s="799">
        <f t="shared" si="67"/>
        <v>30000</v>
      </c>
      <c r="M723" s="799">
        <f t="shared" si="68"/>
        <v>30000</v>
      </c>
      <c r="N723" s="798" t="s">
        <v>17927</v>
      </c>
      <c r="O723" s="800">
        <f t="shared" si="69"/>
        <v>30000</v>
      </c>
      <c r="P723" s="800">
        <f t="shared" si="70"/>
        <v>30000</v>
      </c>
      <c r="Q723" s="801">
        <f t="shared" si="71"/>
        <v>30000</v>
      </c>
    </row>
    <row r="724" spans="1:17" x14ac:dyDescent="0.2">
      <c r="A724" s="802" t="s">
        <v>17999</v>
      </c>
      <c r="B724" s="803" t="s">
        <v>13918</v>
      </c>
      <c r="C724" s="803" t="s">
        <v>17513</v>
      </c>
      <c r="D724" s="803" t="s">
        <v>24533</v>
      </c>
      <c r="E724" s="803" t="s">
        <v>15733</v>
      </c>
      <c r="F724" s="803">
        <v>3</v>
      </c>
      <c r="G724" s="803" t="s">
        <v>10772</v>
      </c>
      <c r="H724" s="803" t="s">
        <v>17824</v>
      </c>
      <c r="I724" s="804">
        <v>34000</v>
      </c>
      <c r="J724" s="803">
        <v>1</v>
      </c>
      <c r="K724" s="804">
        <f t="shared" si="66"/>
        <v>34000</v>
      </c>
      <c r="L724" s="804">
        <f t="shared" si="67"/>
        <v>34000</v>
      </c>
      <c r="M724" s="804">
        <f t="shared" si="68"/>
        <v>34000</v>
      </c>
      <c r="N724" s="803" t="s">
        <v>17929</v>
      </c>
      <c r="O724" s="805">
        <f t="shared" si="69"/>
        <v>34000</v>
      </c>
      <c r="P724" s="805">
        <f t="shared" si="70"/>
        <v>34000</v>
      </c>
      <c r="Q724" s="806">
        <f t="shared" si="71"/>
        <v>34000</v>
      </c>
    </row>
    <row r="725" spans="1:17" x14ac:dyDescent="0.2">
      <c r="A725" s="797" t="s">
        <v>17422</v>
      </c>
      <c r="B725" s="798" t="s">
        <v>13918</v>
      </c>
      <c r="C725" s="798" t="s">
        <v>17513</v>
      </c>
      <c r="D725" s="798" t="s">
        <v>24534</v>
      </c>
      <c r="E725" s="798" t="s">
        <v>15731</v>
      </c>
      <c r="F725" s="798">
        <v>1</v>
      </c>
      <c r="G725" s="798" t="s">
        <v>2837</v>
      </c>
      <c r="H725" s="798" t="s">
        <v>2837</v>
      </c>
      <c r="I725" s="799">
        <v>27000</v>
      </c>
      <c r="J725" s="798">
        <v>1</v>
      </c>
      <c r="K725" s="799">
        <f t="shared" si="66"/>
        <v>27000</v>
      </c>
      <c r="L725" s="799">
        <f t="shared" si="67"/>
        <v>27000</v>
      </c>
      <c r="M725" s="799">
        <f t="shared" si="68"/>
        <v>27000</v>
      </c>
      <c r="N725" s="798" t="s">
        <v>17925</v>
      </c>
      <c r="O725" s="800">
        <f t="shared" si="69"/>
        <v>27000</v>
      </c>
      <c r="P725" s="800">
        <f t="shared" si="70"/>
        <v>27000</v>
      </c>
      <c r="Q725" s="801">
        <f t="shared" si="71"/>
        <v>27000</v>
      </c>
    </row>
    <row r="726" spans="1:17" x14ac:dyDescent="0.2">
      <c r="A726" s="802" t="s">
        <v>18000</v>
      </c>
      <c r="B726" s="803" t="s">
        <v>13918</v>
      </c>
      <c r="C726" s="803" t="s">
        <v>17513</v>
      </c>
      <c r="D726" s="803" t="s">
        <v>24534</v>
      </c>
      <c r="E726" s="803" t="s">
        <v>15732</v>
      </c>
      <c r="F726" s="803">
        <v>2</v>
      </c>
      <c r="G726" s="803" t="s">
        <v>2837</v>
      </c>
      <c r="H726" s="803" t="s">
        <v>2837</v>
      </c>
      <c r="I726" s="804">
        <v>30000</v>
      </c>
      <c r="J726" s="803">
        <v>1</v>
      </c>
      <c r="K726" s="804">
        <f t="shared" si="66"/>
        <v>30000</v>
      </c>
      <c r="L726" s="804">
        <f t="shared" si="67"/>
        <v>30000</v>
      </c>
      <c r="M726" s="804">
        <f t="shared" si="68"/>
        <v>30000</v>
      </c>
      <c r="N726" s="803" t="s">
        <v>17927</v>
      </c>
      <c r="O726" s="805">
        <f t="shared" si="69"/>
        <v>30000</v>
      </c>
      <c r="P726" s="805">
        <f t="shared" si="70"/>
        <v>30000</v>
      </c>
      <c r="Q726" s="806">
        <f t="shared" si="71"/>
        <v>30000</v>
      </c>
    </row>
    <row r="727" spans="1:17" x14ac:dyDescent="0.2">
      <c r="A727" s="797" t="s">
        <v>18001</v>
      </c>
      <c r="B727" s="798" t="s">
        <v>13918</v>
      </c>
      <c r="C727" s="798" t="s">
        <v>17513</v>
      </c>
      <c r="D727" s="798" t="s">
        <v>24534</v>
      </c>
      <c r="E727" s="798" t="s">
        <v>15733</v>
      </c>
      <c r="F727" s="798">
        <v>3</v>
      </c>
      <c r="G727" s="798" t="s">
        <v>2837</v>
      </c>
      <c r="H727" s="798" t="s">
        <v>2837</v>
      </c>
      <c r="I727" s="799">
        <v>34000</v>
      </c>
      <c r="J727" s="798">
        <v>1</v>
      </c>
      <c r="K727" s="799">
        <f t="shared" si="66"/>
        <v>34000</v>
      </c>
      <c r="L727" s="799">
        <f t="shared" si="67"/>
        <v>34000</v>
      </c>
      <c r="M727" s="799">
        <f t="shared" si="68"/>
        <v>34000</v>
      </c>
      <c r="N727" s="798" t="s">
        <v>17929</v>
      </c>
      <c r="O727" s="800">
        <f t="shared" si="69"/>
        <v>34000</v>
      </c>
      <c r="P727" s="800">
        <f t="shared" si="70"/>
        <v>34000</v>
      </c>
      <c r="Q727" s="801">
        <f t="shared" si="71"/>
        <v>34000</v>
      </c>
    </row>
    <row r="728" spans="1:17" x14ac:dyDescent="0.2">
      <c r="A728" s="802" t="s">
        <v>17433</v>
      </c>
      <c r="B728" s="803" t="s">
        <v>13918</v>
      </c>
      <c r="C728" s="803" t="s">
        <v>17513</v>
      </c>
      <c r="D728" s="803" t="s">
        <v>24535</v>
      </c>
      <c r="E728" s="803" t="s">
        <v>15731</v>
      </c>
      <c r="F728" s="803">
        <v>1</v>
      </c>
      <c r="G728" s="803" t="s">
        <v>2837</v>
      </c>
      <c r="H728" s="803" t="s">
        <v>2837</v>
      </c>
      <c r="I728" s="804">
        <v>27500</v>
      </c>
      <c r="J728" s="803">
        <v>1</v>
      </c>
      <c r="K728" s="804">
        <f t="shared" si="66"/>
        <v>27500</v>
      </c>
      <c r="L728" s="804">
        <f t="shared" si="67"/>
        <v>27500</v>
      </c>
      <c r="M728" s="804">
        <f t="shared" si="68"/>
        <v>27500</v>
      </c>
      <c r="N728" s="803" t="s">
        <v>15753</v>
      </c>
      <c r="O728" s="805">
        <f t="shared" si="69"/>
        <v>27500</v>
      </c>
      <c r="P728" s="805">
        <f t="shared" si="70"/>
        <v>27500</v>
      </c>
      <c r="Q728" s="806">
        <f t="shared" si="71"/>
        <v>27500</v>
      </c>
    </row>
    <row r="729" spans="1:17" x14ac:dyDescent="0.2">
      <c r="A729" s="797" t="s">
        <v>18002</v>
      </c>
      <c r="B729" s="798" t="s">
        <v>13918</v>
      </c>
      <c r="C729" s="798" t="s">
        <v>17513</v>
      </c>
      <c r="D729" s="798" t="s">
        <v>24535</v>
      </c>
      <c r="E729" s="798" t="s">
        <v>15732</v>
      </c>
      <c r="F729" s="798">
        <v>2</v>
      </c>
      <c r="G729" s="798" t="s">
        <v>2837</v>
      </c>
      <c r="H729" s="798" t="s">
        <v>2837</v>
      </c>
      <c r="I729" s="799">
        <v>30500</v>
      </c>
      <c r="J729" s="798">
        <v>1</v>
      </c>
      <c r="K729" s="799">
        <f t="shared" si="66"/>
        <v>30500</v>
      </c>
      <c r="L729" s="799">
        <f t="shared" si="67"/>
        <v>30500</v>
      </c>
      <c r="M729" s="799">
        <f t="shared" si="68"/>
        <v>30500</v>
      </c>
      <c r="N729" s="798" t="s">
        <v>16141</v>
      </c>
      <c r="O729" s="800">
        <f t="shared" si="69"/>
        <v>30500</v>
      </c>
      <c r="P729" s="800">
        <f t="shared" si="70"/>
        <v>30500</v>
      </c>
      <c r="Q729" s="801">
        <f t="shared" si="71"/>
        <v>30500</v>
      </c>
    </row>
    <row r="730" spans="1:17" x14ac:dyDescent="0.2">
      <c r="A730" s="802" t="s">
        <v>18003</v>
      </c>
      <c r="B730" s="803" t="s">
        <v>13918</v>
      </c>
      <c r="C730" s="803" t="s">
        <v>17513</v>
      </c>
      <c r="D730" s="803" t="s">
        <v>24535</v>
      </c>
      <c r="E730" s="803" t="s">
        <v>15733</v>
      </c>
      <c r="F730" s="803">
        <v>3</v>
      </c>
      <c r="G730" s="803" t="s">
        <v>2837</v>
      </c>
      <c r="H730" s="803" t="s">
        <v>2837</v>
      </c>
      <c r="I730" s="804">
        <v>34500</v>
      </c>
      <c r="J730" s="803">
        <v>1</v>
      </c>
      <c r="K730" s="804">
        <f t="shared" si="66"/>
        <v>34500</v>
      </c>
      <c r="L730" s="804">
        <f t="shared" si="67"/>
        <v>34500</v>
      </c>
      <c r="M730" s="804">
        <f t="shared" si="68"/>
        <v>34500</v>
      </c>
      <c r="N730" s="803" t="s">
        <v>15754</v>
      </c>
      <c r="O730" s="805">
        <f t="shared" si="69"/>
        <v>34500</v>
      </c>
      <c r="P730" s="805">
        <f t="shared" si="70"/>
        <v>34500</v>
      </c>
      <c r="Q730" s="806">
        <f t="shared" si="71"/>
        <v>34500</v>
      </c>
    </row>
    <row r="731" spans="1:17" x14ac:dyDescent="0.2">
      <c r="A731" s="797" t="s">
        <v>17438</v>
      </c>
      <c r="B731" s="798" t="s">
        <v>13918</v>
      </c>
      <c r="C731" s="798" t="s">
        <v>17513</v>
      </c>
      <c r="D731" s="798" t="s">
        <v>24536</v>
      </c>
      <c r="E731" s="798" t="s">
        <v>15731</v>
      </c>
      <c r="F731" s="798">
        <v>1</v>
      </c>
      <c r="G731" s="798" t="s">
        <v>1947</v>
      </c>
      <c r="H731" s="798" t="s">
        <v>1947</v>
      </c>
      <c r="I731" s="799">
        <v>27500</v>
      </c>
      <c r="J731" s="798">
        <v>1</v>
      </c>
      <c r="K731" s="799">
        <f t="shared" si="66"/>
        <v>27500</v>
      </c>
      <c r="L731" s="799">
        <f t="shared" si="67"/>
        <v>27500</v>
      </c>
      <c r="M731" s="799">
        <f t="shared" si="68"/>
        <v>27500</v>
      </c>
      <c r="N731" s="798" t="s">
        <v>15753</v>
      </c>
      <c r="O731" s="800">
        <f t="shared" si="69"/>
        <v>27500</v>
      </c>
      <c r="P731" s="800">
        <f t="shared" si="70"/>
        <v>27500</v>
      </c>
      <c r="Q731" s="801">
        <f t="shared" si="71"/>
        <v>27500</v>
      </c>
    </row>
    <row r="732" spans="1:17" x14ac:dyDescent="0.2">
      <c r="A732" s="802" t="s">
        <v>18004</v>
      </c>
      <c r="B732" s="803" t="s">
        <v>13918</v>
      </c>
      <c r="C732" s="803" t="s">
        <v>17513</v>
      </c>
      <c r="D732" s="803" t="s">
        <v>24536</v>
      </c>
      <c r="E732" s="803" t="s">
        <v>15732</v>
      </c>
      <c r="F732" s="803">
        <v>2</v>
      </c>
      <c r="G732" s="803" t="s">
        <v>1947</v>
      </c>
      <c r="H732" s="803" t="s">
        <v>1947</v>
      </c>
      <c r="I732" s="804">
        <v>30500</v>
      </c>
      <c r="J732" s="803">
        <v>1</v>
      </c>
      <c r="K732" s="804">
        <f t="shared" si="66"/>
        <v>30500</v>
      </c>
      <c r="L732" s="804">
        <f t="shared" si="67"/>
        <v>30500</v>
      </c>
      <c r="M732" s="804">
        <f t="shared" si="68"/>
        <v>30500</v>
      </c>
      <c r="N732" s="803" t="s">
        <v>16141</v>
      </c>
      <c r="O732" s="805">
        <f t="shared" si="69"/>
        <v>30500</v>
      </c>
      <c r="P732" s="805">
        <f t="shared" si="70"/>
        <v>30500</v>
      </c>
      <c r="Q732" s="806">
        <f t="shared" si="71"/>
        <v>30500</v>
      </c>
    </row>
    <row r="733" spans="1:17" x14ac:dyDescent="0.2">
      <c r="A733" s="797" t="s">
        <v>18005</v>
      </c>
      <c r="B733" s="798" t="s">
        <v>13918</v>
      </c>
      <c r="C733" s="798" t="s">
        <v>17513</v>
      </c>
      <c r="D733" s="798" t="s">
        <v>24536</v>
      </c>
      <c r="E733" s="798" t="s">
        <v>15733</v>
      </c>
      <c r="F733" s="798">
        <v>3</v>
      </c>
      <c r="G733" s="798" t="s">
        <v>1947</v>
      </c>
      <c r="H733" s="798" t="s">
        <v>1947</v>
      </c>
      <c r="I733" s="799">
        <v>34500</v>
      </c>
      <c r="J733" s="798">
        <v>1</v>
      </c>
      <c r="K733" s="799">
        <f t="shared" si="66"/>
        <v>34500</v>
      </c>
      <c r="L733" s="799">
        <f t="shared" si="67"/>
        <v>34500</v>
      </c>
      <c r="M733" s="799">
        <f t="shared" si="68"/>
        <v>34500</v>
      </c>
      <c r="N733" s="798" t="s">
        <v>15754</v>
      </c>
      <c r="O733" s="800">
        <f t="shared" si="69"/>
        <v>34500</v>
      </c>
      <c r="P733" s="800">
        <f t="shared" si="70"/>
        <v>34500</v>
      </c>
      <c r="Q733" s="801">
        <f t="shared" si="71"/>
        <v>34500</v>
      </c>
    </row>
    <row r="734" spans="1:17" x14ac:dyDescent="0.2">
      <c r="A734" s="802" t="s">
        <v>17444</v>
      </c>
      <c r="B734" s="803" t="s">
        <v>13918</v>
      </c>
      <c r="C734" s="803" t="s">
        <v>17513</v>
      </c>
      <c r="D734" s="803" t="s">
        <v>24537</v>
      </c>
      <c r="E734" s="803" t="s">
        <v>15731</v>
      </c>
      <c r="F734" s="803">
        <v>1</v>
      </c>
      <c r="G734" s="803" t="s">
        <v>3779</v>
      </c>
      <c r="H734" s="803" t="s">
        <v>3779</v>
      </c>
      <c r="I734" s="804">
        <v>27500</v>
      </c>
      <c r="J734" s="803">
        <v>1</v>
      </c>
      <c r="K734" s="804">
        <f t="shared" si="66"/>
        <v>27500</v>
      </c>
      <c r="L734" s="804">
        <f t="shared" si="67"/>
        <v>27500</v>
      </c>
      <c r="M734" s="804">
        <f t="shared" si="68"/>
        <v>27500</v>
      </c>
      <c r="N734" s="803" t="s">
        <v>17386</v>
      </c>
      <c r="O734" s="805">
        <f t="shared" si="69"/>
        <v>27500</v>
      </c>
      <c r="P734" s="805">
        <f t="shared" si="70"/>
        <v>27500</v>
      </c>
      <c r="Q734" s="806">
        <f t="shared" si="71"/>
        <v>27500</v>
      </c>
    </row>
    <row r="735" spans="1:17" x14ac:dyDescent="0.2">
      <c r="A735" s="797" t="s">
        <v>18006</v>
      </c>
      <c r="B735" s="798" t="s">
        <v>13918</v>
      </c>
      <c r="C735" s="798" t="s">
        <v>17513</v>
      </c>
      <c r="D735" s="798" t="s">
        <v>24537</v>
      </c>
      <c r="E735" s="798" t="s">
        <v>15732</v>
      </c>
      <c r="F735" s="798">
        <v>2</v>
      </c>
      <c r="G735" s="798" t="s">
        <v>3779</v>
      </c>
      <c r="H735" s="798" t="s">
        <v>3779</v>
      </c>
      <c r="I735" s="799">
        <v>30500</v>
      </c>
      <c r="J735" s="798">
        <v>1</v>
      </c>
      <c r="K735" s="799">
        <f t="shared" si="66"/>
        <v>30500</v>
      </c>
      <c r="L735" s="799">
        <f t="shared" si="67"/>
        <v>30500</v>
      </c>
      <c r="M735" s="799">
        <f t="shared" si="68"/>
        <v>30500</v>
      </c>
      <c r="N735" s="798" t="s">
        <v>17387</v>
      </c>
      <c r="O735" s="800">
        <f t="shared" si="69"/>
        <v>30500</v>
      </c>
      <c r="P735" s="800">
        <f t="shared" si="70"/>
        <v>30500</v>
      </c>
      <c r="Q735" s="801">
        <f t="shared" si="71"/>
        <v>30500</v>
      </c>
    </row>
    <row r="736" spans="1:17" x14ac:dyDescent="0.2">
      <c r="A736" s="802" t="s">
        <v>18007</v>
      </c>
      <c r="B736" s="803" t="s">
        <v>13918</v>
      </c>
      <c r="C736" s="803" t="s">
        <v>17513</v>
      </c>
      <c r="D736" s="803" t="s">
        <v>24537</v>
      </c>
      <c r="E736" s="803" t="s">
        <v>15733</v>
      </c>
      <c r="F736" s="803">
        <v>3</v>
      </c>
      <c r="G736" s="803" t="s">
        <v>3779</v>
      </c>
      <c r="H736" s="803" t="s">
        <v>3779</v>
      </c>
      <c r="I736" s="804">
        <v>34500</v>
      </c>
      <c r="J736" s="803">
        <v>1</v>
      </c>
      <c r="K736" s="804">
        <f t="shared" si="66"/>
        <v>34500</v>
      </c>
      <c r="L736" s="804">
        <f t="shared" si="67"/>
        <v>34500</v>
      </c>
      <c r="M736" s="804">
        <f t="shared" si="68"/>
        <v>34500</v>
      </c>
      <c r="N736" s="803" t="s">
        <v>17388</v>
      </c>
      <c r="O736" s="805">
        <f t="shared" si="69"/>
        <v>34500</v>
      </c>
      <c r="P736" s="805">
        <f t="shared" si="70"/>
        <v>34500</v>
      </c>
      <c r="Q736" s="806">
        <f t="shared" si="71"/>
        <v>34500</v>
      </c>
    </row>
    <row r="737" spans="1:17" x14ac:dyDescent="0.2">
      <c r="A737" s="797" t="s">
        <v>17452</v>
      </c>
      <c r="B737" s="798" t="s">
        <v>13918</v>
      </c>
      <c r="C737" s="798" t="s">
        <v>17513</v>
      </c>
      <c r="D737" s="798" t="s">
        <v>24538</v>
      </c>
      <c r="E737" s="798" t="s">
        <v>15731</v>
      </c>
      <c r="F737" s="798">
        <v>1</v>
      </c>
      <c r="G737" s="798" t="s">
        <v>10772</v>
      </c>
      <c r="H737" s="798" t="s">
        <v>17824</v>
      </c>
      <c r="I737" s="799">
        <v>27500</v>
      </c>
      <c r="J737" s="798">
        <v>1</v>
      </c>
      <c r="K737" s="799">
        <f t="shared" si="66"/>
        <v>27500</v>
      </c>
      <c r="L737" s="799">
        <f t="shared" si="67"/>
        <v>27500</v>
      </c>
      <c r="M737" s="799">
        <f t="shared" si="68"/>
        <v>27500</v>
      </c>
      <c r="N737" s="798" t="s">
        <v>17925</v>
      </c>
      <c r="O737" s="800">
        <f t="shared" si="69"/>
        <v>27500</v>
      </c>
      <c r="P737" s="800">
        <f t="shared" si="70"/>
        <v>27500</v>
      </c>
      <c r="Q737" s="801">
        <f t="shared" si="71"/>
        <v>27500</v>
      </c>
    </row>
    <row r="738" spans="1:17" x14ac:dyDescent="0.2">
      <c r="A738" s="802" t="s">
        <v>18008</v>
      </c>
      <c r="B738" s="803" t="s">
        <v>13918</v>
      </c>
      <c r="C738" s="803" t="s">
        <v>17513</v>
      </c>
      <c r="D738" s="803" t="s">
        <v>24538</v>
      </c>
      <c r="E738" s="803" t="s">
        <v>15732</v>
      </c>
      <c r="F738" s="803">
        <v>2</v>
      </c>
      <c r="G738" s="803" t="s">
        <v>10772</v>
      </c>
      <c r="H738" s="803" t="s">
        <v>17824</v>
      </c>
      <c r="I738" s="804">
        <v>30500</v>
      </c>
      <c r="J738" s="803">
        <v>1</v>
      </c>
      <c r="K738" s="804">
        <f t="shared" si="66"/>
        <v>30500</v>
      </c>
      <c r="L738" s="804">
        <f t="shared" si="67"/>
        <v>30500</v>
      </c>
      <c r="M738" s="804">
        <f t="shared" si="68"/>
        <v>30500</v>
      </c>
      <c r="N738" s="803" t="s">
        <v>17927</v>
      </c>
      <c r="O738" s="805">
        <f t="shared" si="69"/>
        <v>30500</v>
      </c>
      <c r="P738" s="805">
        <f t="shared" si="70"/>
        <v>30500</v>
      </c>
      <c r="Q738" s="806">
        <f t="shared" si="71"/>
        <v>30500</v>
      </c>
    </row>
    <row r="739" spans="1:17" x14ac:dyDescent="0.2">
      <c r="A739" s="797" t="s">
        <v>18009</v>
      </c>
      <c r="B739" s="798" t="s">
        <v>13918</v>
      </c>
      <c r="C739" s="798" t="s">
        <v>17513</v>
      </c>
      <c r="D739" s="798" t="s">
        <v>24538</v>
      </c>
      <c r="E739" s="798" t="s">
        <v>15733</v>
      </c>
      <c r="F739" s="798">
        <v>3</v>
      </c>
      <c r="G739" s="798" t="s">
        <v>10772</v>
      </c>
      <c r="H739" s="798" t="s">
        <v>17824</v>
      </c>
      <c r="I739" s="799">
        <v>34500</v>
      </c>
      <c r="J739" s="798">
        <v>1</v>
      </c>
      <c r="K739" s="799">
        <f t="shared" si="66"/>
        <v>34500</v>
      </c>
      <c r="L739" s="799">
        <f t="shared" si="67"/>
        <v>34500</v>
      </c>
      <c r="M739" s="799">
        <f t="shared" si="68"/>
        <v>34500</v>
      </c>
      <c r="N739" s="798" t="s">
        <v>17929</v>
      </c>
      <c r="O739" s="800">
        <f t="shared" si="69"/>
        <v>34500</v>
      </c>
      <c r="P739" s="800">
        <f t="shared" si="70"/>
        <v>34500</v>
      </c>
      <c r="Q739" s="801">
        <f t="shared" si="71"/>
        <v>34500</v>
      </c>
    </row>
    <row r="740" spans="1:17" x14ac:dyDescent="0.2">
      <c r="A740" s="802" t="s">
        <v>17462</v>
      </c>
      <c r="B740" s="803" t="s">
        <v>13918</v>
      </c>
      <c r="C740" s="803" t="s">
        <v>17513</v>
      </c>
      <c r="D740" s="803" t="s">
        <v>24539</v>
      </c>
      <c r="E740" s="803" t="s">
        <v>15731</v>
      </c>
      <c r="F740" s="803">
        <v>1</v>
      </c>
      <c r="G740" s="803" t="s">
        <v>122</v>
      </c>
      <c r="H740" s="803" t="s">
        <v>122</v>
      </c>
      <c r="I740" s="804">
        <v>27500</v>
      </c>
      <c r="J740" s="803">
        <v>1</v>
      </c>
      <c r="K740" s="804">
        <f t="shared" si="66"/>
        <v>27500</v>
      </c>
      <c r="L740" s="804">
        <f t="shared" si="67"/>
        <v>27500</v>
      </c>
      <c r="M740" s="804">
        <f t="shared" si="68"/>
        <v>27500</v>
      </c>
      <c r="N740" s="803" t="s">
        <v>17347</v>
      </c>
      <c r="O740" s="805">
        <f t="shared" si="69"/>
        <v>27500</v>
      </c>
      <c r="P740" s="805">
        <f t="shared" si="70"/>
        <v>27500</v>
      </c>
      <c r="Q740" s="806">
        <f t="shared" si="71"/>
        <v>27500</v>
      </c>
    </row>
    <row r="741" spans="1:17" x14ac:dyDescent="0.2">
      <c r="A741" s="797" t="s">
        <v>18010</v>
      </c>
      <c r="B741" s="798" t="s">
        <v>13918</v>
      </c>
      <c r="C741" s="798" t="s">
        <v>17513</v>
      </c>
      <c r="D741" s="798" t="s">
        <v>24539</v>
      </c>
      <c r="E741" s="798" t="s">
        <v>15732</v>
      </c>
      <c r="F741" s="798">
        <v>2</v>
      </c>
      <c r="G741" s="798" t="s">
        <v>122</v>
      </c>
      <c r="H741" s="798" t="s">
        <v>122</v>
      </c>
      <c r="I741" s="799">
        <v>30500</v>
      </c>
      <c r="J741" s="798">
        <v>1</v>
      </c>
      <c r="K741" s="799">
        <f t="shared" si="66"/>
        <v>30500</v>
      </c>
      <c r="L741" s="799">
        <f t="shared" si="67"/>
        <v>30500</v>
      </c>
      <c r="M741" s="799">
        <f t="shared" si="68"/>
        <v>30500</v>
      </c>
      <c r="N741" s="798" t="s">
        <v>17348</v>
      </c>
      <c r="O741" s="800">
        <f t="shared" si="69"/>
        <v>30500</v>
      </c>
      <c r="P741" s="800">
        <f t="shared" si="70"/>
        <v>30500</v>
      </c>
      <c r="Q741" s="801">
        <f t="shared" si="71"/>
        <v>30500</v>
      </c>
    </row>
    <row r="742" spans="1:17" x14ac:dyDescent="0.2">
      <c r="A742" s="802" t="s">
        <v>18011</v>
      </c>
      <c r="B742" s="803" t="s">
        <v>13918</v>
      </c>
      <c r="C742" s="803" t="s">
        <v>17513</v>
      </c>
      <c r="D742" s="803" t="s">
        <v>24539</v>
      </c>
      <c r="E742" s="803" t="s">
        <v>15733</v>
      </c>
      <c r="F742" s="803">
        <v>3</v>
      </c>
      <c r="G742" s="803" t="s">
        <v>122</v>
      </c>
      <c r="H742" s="803" t="s">
        <v>122</v>
      </c>
      <c r="I742" s="804">
        <v>34500</v>
      </c>
      <c r="J742" s="803">
        <v>1</v>
      </c>
      <c r="K742" s="804">
        <f t="shared" si="66"/>
        <v>34500</v>
      </c>
      <c r="L742" s="804">
        <f t="shared" si="67"/>
        <v>34500</v>
      </c>
      <c r="M742" s="804">
        <f t="shared" si="68"/>
        <v>34500</v>
      </c>
      <c r="N742" s="803" t="s">
        <v>17349</v>
      </c>
      <c r="O742" s="805">
        <f t="shared" si="69"/>
        <v>34500</v>
      </c>
      <c r="P742" s="805">
        <f t="shared" si="70"/>
        <v>34500</v>
      </c>
      <c r="Q742" s="806">
        <f t="shared" si="71"/>
        <v>34500</v>
      </c>
    </row>
    <row r="743" spans="1:17" x14ac:dyDescent="0.2">
      <c r="A743" s="797" t="s">
        <v>17472</v>
      </c>
      <c r="B743" s="798" t="s">
        <v>13918</v>
      </c>
      <c r="C743" s="798" t="s">
        <v>17513</v>
      </c>
      <c r="D743" s="798" t="s">
        <v>24540</v>
      </c>
      <c r="E743" s="798" t="s">
        <v>15731</v>
      </c>
      <c r="F743" s="798">
        <v>1</v>
      </c>
      <c r="G743" s="798" t="s">
        <v>1103</v>
      </c>
      <c r="H743" s="798" t="s">
        <v>1103</v>
      </c>
      <c r="I743" s="799">
        <v>27500</v>
      </c>
      <c r="J743" s="798">
        <v>1</v>
      </c>
      <c r="K743" s="799">
        <f t="shared" si="66"/>
        <v>27500</v>
      </c>
      <c r="L743" s="799">
        <f t="shared" si="67"/>
        <v>27500</v>
      </c>
      <c r="M743" s="799">
        <f t="shared" si="68"/>
        <v>27500</v>
      </c>
      <c r="N743" s="798" t="s">
        <v>17347</v>
      </c>
      <c r="O743" s="800">
        <f t="shared" si="69"/>
        <v>27500</v>
      </c>
      <c r="P743" s="800">
        <f t="shared" si="70"/>
        <v>27500</v>
      </c>
      <c r="Q743" s="801">
        <f t="shared" si="71"/>
        <v>27500</v>
      </c>
    </row>
    <row r="744" spans="1:17" x14ac:dyDescent="0.2">
      <c r="A744" s="802" t="s">
        <v>18012</v>
      </c>
      <c r="B744" s="803" t="s">
        <v>13918</v>
      </c>
      <c r="C744" s="803" t="s">
        <v>17513</v>
      </c>
      <c r="D744" s="803" t="s">
        <v>24540</v>
      </c>
      <c r="E744" s="803" t="s">
        <v>15732</v>
      </c>
      <c r="F744" s="803">
        <v>2</v>
      </c>
      <c r="G744" s="803" t="s">
        <v>1103</v>
      </c>
      <c r="H744" s="803" t="s">
        <v>1103</v>
      </c>
      <c r="I744" s="804">
        <v>30500</v>
      </c>
      <c r="J744" s="803">
        <v>1</v>
      </c>
      <c r="K744" s="804">
        <f t="shared" si="66"/>
        <v>30500</v>
      </c>
      <c r="L744" s="804">
        <f t="shared" si="67"/>
        <v>30500</v>
      </c>
      <c r="M744" s="804">
        <f t="shared" si="68"/>
        <v>30500</v>
      </c>
      <c r="N744" s="803" t="s">
        <v>17348</v>
      </c>
      <c r="O744" s="805">
        <f t="shared" si="69"/>
        <v>30500</v>
      </c>
      <c r="P744" s="805">
        <f t="shared" si="70"/>
        <v>30500</v>
      </c>
      <c r="Q744" s="806">
        <f t="shared" si="71"/>
        <v>30500</v>
      </c>
    </row>
    <row r="745" spans="1:17" x14ac:dyDescent="0.2">
      <c r="A745" s="797" t="s">
        <v>18013</v>
      </c>
      <c r="B745" s="798" t="s">
        <v>13918</v>
      </c>
      <c r="C745" s="798" t="s">
        <v>17513</v>
      </c>
      <c r="D745" s="798" t="s">
        <v>24540</v>
      </c>
      <c r="E745" s="798" t="s">
        <v>15733</v>
      </c>
      <c r="F745" s="798">
        <v>3</v>
      </c>
      <c r="G745" s="798" t="s">
        <v>1103</v>
      </c>
      <c r="H745" s="798" t="s">
        <v>1103</v>
      </c>
      <c r="I745" s="799">
        <v>34500</v>
      </c>
      <c r="J745" s="798">
        <v>1</v>
      </c>
      <c r="K745" s="799">
        <f t="shared" si="66"/>
        <v>34500</v>
      </c>
      <c r="L745" s="799">
        <f t="shared" si="67"/>
        <v>34500</v>
      </c>
      <c r="M745" s="799">
        <f t="shared" si="68"/>
        <v>34500</v>
      </c>
      <c r="N745" s="798" t="s">
        <v>17349</v>
      </c>
      <c r="O745" s="800">
        <f t="shared" si="69"/>
        <v>34500</v>
      </c>
      <c r="P745" s="800">
        <f t="shared" si="70"/>
        <v>34500</v>
      </c>
      <c r="Q745" s="801">
        <f t="shared" si="71"/>
        <v>34500</v>
      </c>
    </row>
    <row r="746" spans="1:17" x14ac:dyDescent="0.2">
      <c r="A746" s="802" t="s">
        <v>17485</v>
      </c>
      <c r="B746" s="803" t="s">
        <v>13918</v>
      </c>
      <c r="C746" s="803" t="s">
        <v>17513</v>
      </c>
      <c r="D746" s="803" t="s">
        <v>24541</v>
      </c>
      <c r="E746" s="803" t="s">
        <v>15731</v>
      </c>
      <c r="F746" s="803">
        <v>1</v>
      </c>
      <c r="G746" s="803" t="s">
        <v>10772</v>
      </c>
      <c r="H746" s="803" t="s">
        <v>17824</v>
      </c>
      <c r="I746" s="804">
        <v>27500</v>
      </c>
      <c r="J746" s="803">
        <v>1</v>
      </c>
      <c r="K746" s="804">
        <f t="shared" si="66"/>
        <v>27500</v>
      </c>
      <c r="L746" s="804">
        <f t="shared" si="67"/>
        <v>27500</v>
      </c>
      <c r="M746" s="804">
        <f t="shared" si="68"/>
        <v>27500</v>
      </c>
      <c r="N746" s="803" t="s">
        <v>10772</v>
      </c>
      <c r="O746" s="805">
        <f t="shared" si="69"/>
        <v>27500</v>
      </c>
      <c r="P746" s="805">
        <f t="shared" si="70"/>
        <v>27500</v>
      </c>
      <c r="Q746" s="806">
        <f t="shared" si="71"/>
        <v>27500</v>
      </c>
    </row>
    <row r="747" spans="1:17" x14ac:dyDescent="0.2">
      <c r="A747" s="797" t="s">
        <v>18014</v>
      </c>
      <c r="B747" s="798" t="s">
        <v>13918</v>
      </c>
      <c r="C747" s="798" t="s">
        <v>17513</v>
      </c>
      <c r="D747" s="798" t="s">
        <v>24541</v>
      </c>
      <c r="E747" s="798" t="s">
        <v>15732</v>
      </c>
      <c r="F747" s="798">
        <v>2</v>
      </c>
      <c r="G747" s="798" t="s">
        <v>10772</v>
      </c>
      <c r="H747" s="798" t="s">
        <v>17824</v>
      </c>
      <c r="I747" s="799">
        <v>30500</v>
      </c>
      <c r="J747" s="798">
        <v>1</v>
      </c>
      <c r="K747" s="799">
        <f t="shared" si="66"/>
        <v>30500</v>
      </c>
      <c r="L747" s="799">
        <f t="shared" si="67"/>
        <v>30500</v>
      </c>
      <c r="M747" s="799">
        <f t="shared" si="68"/>
        <v>30500</v>
      </c>
      <c r="N747" s="798" t="s">
        <v>10772</v>
      </c>
      <c r="O747" s="800">
        <f t="shared" si="69"/>
        <v>30500</v>
      </c>
      <c r="P747" s="800">
        <f t="shared" si="70"/>
        <v>30500</v>
      </c>
      <c r="Q747" s="801">
        <f t="shared" si="71"/>
        <v>30500</v>
      </c>
    </row>
    <row r="748" spans="1:17" x14ac:dyDescent="0.2">
      <c r="A748" s="802" t="s">
        <v>18015</v>
      </c>
      <c r="B748" s="803" t="s">
        <v>13918</v>
      </c>
      <c r="C748" s="803" t="s">
        <v>17513</v>
      </c>
      <c r="D748" s="803" t="s">
        <v>24541</v>
      </c>
      <c r="E748" s="803" t="s">
        <v>15733</v>
      </c>
      <c r="F748" s="803">
        <v>3</v>
      </c>
      <c r="G748" s="803" t="s">
        <v>10772</v>
      </c>
      <c r="H748" s="803" t="s">
        <v>17824</v>
      </c>
      <c r="I748" s="804">
        <v>34500</v>
      </c>
      <c r="J748" s="803">
        <v>1</v>
      </c>
      <c r="K748" s="804">
        <f t="shared" si="66"/>
        <v>34500</v>
      </c>
      <c r="L748" s="804">
        <f t="shared" si="67"/>
        <v>34500</v>
      </c>
      <c r="M748" s="804">
        <f t="shared" si="68"/>
        <v>34500</v>
      </c>
      <c r="N748" s="803" t="s">
        <v>10772</v>
      </c>
      <c r="O748" s="805">
        <f t="shared" si="69"/>
        <v>34500</v>
      </c>
      <c r="P748" s="805">
        <f t="shared" si="70"/>
        <v>34500</v>
      </c>
      <c r="Q748" s="806">
        <f t="shared" si="71"/>
        <v>34500</v>
      </c>
    </row>
    <row r="749" spans="1:17" x14ac:dyDescent="0.2">
      <c r="A749" s="797" t="s">
        <v>17492</v>
      </c>
      <c r="B749" s="798" t="s">
        <v>13918</v>
      </c>
      <c r="C749" s="798" t="s">
        <v>17513</v>
      </c>
      <c r="D749" s="798" t="s">
        <v>24542</v>
      </c>
      <c r="E749" s="798" t="s">
        <v>15731</v>
      </c>
      <c r="F749" s="798">
        <v>1</v>
      </c>
      <c r="G749" s="798" t="s">
        <v>10772</v>
      </c>
      <c r="H749" s="798" t="s">
        <v>17824</v>
      </c>
      <c r="I749" s="799">
        <v>27500</v>
      </c>
      <c r="J749" s="798">
        <v>1</v>
      </c>
      <c r="K749" s="799">
        <f t="shared" si="66"/>
        <v>27500</v>
      </c>
      <c r="L749" s="799">
        <f t="shared" si="67"/>
        <v>27500</v>
      </c>
      <c r="M749" s="799">
        <f t="shared" si="68"/>
        <v>27500</v>
      </c>
      <c r="N749" s="798" t="s">
        <v>10772</v>
      </c>
      <c r="O749" s="800">
        <f t="shared" si="69"/>
        <v>27500</v>
      </c>
      <c r="P749" s="800">
        <f t="shared" si="70"/>
        <v>27500</v>
      </c>
      <c r="Q749" s="801">
        <f t="shared" si="71"/>
        <v>27500</v>
      </c>
    </row>
    <row r="750" spans="1:17" x14ac:dyDescent="0.2">
      <c r="A750" s="802" t="s">
        <v>18016</v>
      </c>
      <c r="B750" s="803" t="s">
        <v>18017</v>
      </c>
      <c r="C750" s="803" t="s">
        <v>13959</v>
      </c>
      <c r="D750" s="803" t="s">
        <v>18018</v>
      </c>
      <c r="E750" s="803" t="s">
        <v>18019</v>
      </c>
      <c r="F750" s="803">
        <v>1</v>
      </c>
      <c r="G750" s="803" t="s">
        <v>122</v>
      </c>
      <c r="H750" s="803" t="s">
        <v>122</v>
      </c>
      <c r="I750" s="804">
        <v>1500</v>
      </c>
      <c r="J750" s="803">
        <v>1</v>
      </c>
      <c r="K750" s="804">
        <f t="shared" si="66"/>
        <v>1500</v>
      </c>
      <c r="L750" s="804">
        <f t="shared" si="67"/>
        <v>1500</v>
      </c>
      <c r="M750" s="804">
        <f t="shared" si="68"/>
        <v>1500</v>
      </c>
      <c r="N750" s="803" t="s">
        <v>18020</v>
      </c>
      <c r="O750" s="805">
        <f t="shared" si="69"/>
        <v>1500</v>
      </c>
      <c r="P750" s="805">
        <f t="shared" si="70"/>
        <v>1500</v>
      </c>
      <c r="Q750" s="806">
        <f t="shared" si="71"/>
        <v>1500</v>
      </c>
    </row>
    <row r="751" spans="1:17" x14ac:dyDescent="0.2">
      <c r="A751" s="797" t="s">
        <v>18021</v>
      </c>
      <c r="B751" s="798" t="s">
        <v>18017</v>
      </c>
      <c r="C751" s="798" t="s">
        <v>13959</v>
      </c>
      <c r="D751" s="798" t="s">
        <v>18022</v>
      </c>
      <c r="E751" s="798" t="s">
        <v>18019</v>
      </c>
      <c r="F751" s="798">
        <v>1</v>
      </c>
      <c r="G751" s="798" t="s">
        <v>122</v>
      </c>
      <c r="H751" s="798" t="s">
        <v>122</v>
      </c>
      <c r="I751" s="799">
        <v>1600</v>
      </c>
      <c r="J751" s="798">
        <v>1</v>
      </c>
      <c r="K751" s="799">
        <f t="shared" si="66"/>
        <v>1600</v>
      </c>
      <c r="L751" s="799">
        <f t="shared" si="67"/>
        <v>1600</v>
      </c>
      <c r="M751" s="799">
        <f t="shared" si="68"/>
        <v>1600</v>
      </c>
      <c r="N751" s="798" t="s">
        <v>18020</v>
      </c>
      <c r="O751" s="800">
        <f t="shared" si="69"/>
        <v>1600</v>
      </c>
      <c r="P751" s="800">
        <f t="shared" si="70"/>
        <v>1600</v>
      </c>
      <c r="Q751" s="801">
        <f t="shared" si="71"/>
        <v>1600</v>
      </c>
    </row>
    <row r="752" spans="1:17" x14ac:dyDescent="0.2">
      <c r="A752" s="802" t="s">
        <v>18023</v>
      </c>
      <c r="B752" s="803" t="s">
        <v>18017</v>
      </c>
      <c r="C752" s="803" t="s">
        <v>13959</v>
      </c>
      <c r="D752" s="803" t="s">
        <v>18024</v>
      </c>
      <c r="E752" s="803" t="s">
        <v>18019</v>
      </c>
      <c r="F752" s="803">
        <v>1</v>
      </c>
      <c r="G752" s="803" t="s">
        <v>122</v>
      </c>
      <c r="H752" s="803" t="s">
        <v>122</v>
      </c>
      <c r="I752" s="804">
        <v>1700</v>
      </c>
      <c r="J752" s="803">
        <v>1</v>
      </c>
      <c r="K752" s="804">
        <f t="shared" si="66"/>
        <v>1700</v>
      </c>
      <c r="L752" s="804">
        <f t="shared" si="67"/>
        <v>1700</v>
      </c>
      <c r="M752" s="804">
        <f t="shared" si="68"/>
        <v>1700</v>
      </c>
      <c r="N752" s="803" t="s">
        <v>18020</v>
      </c>
      <c r="O752" s="805">
        <f t="shared" si="69"/>
        <v>1700</v>
      </c>
      <c r="P752" s="805">
        <f t="shared" si="70"/>
        <v>1700</v>
      </c>
      <c r="Q752" s="806">
        <f t="shared" si="71"/>
        <v>1700</v>
      </c>
    </row>
    <row r="753" spans="1:17" x14ac:dyDescent="0.2">
      <c r="A753" s="797" t="s">
        <v>18025</v>
      </c>
      <c r="B753" s="798" t="s">
        <v>18017</v>
      </c>
      <c r="C753" s="798" t="s">
        <v>13959</v>
      </c>
      <c r="D753" s="798" t="s">
        <v>18026</v>
      </c>
      <c r="E753" s="798" t="s">
        <v>18019</v>
      </c>
      <c r="F753" s="798">
        <v>1</v>
      </c>
      <c r="G753" s="798" t="s">
        <v>122</v>
      </c>
      <c r="H753" s="798" t="s">
        <v>122</v>
      </c>
      <c r="I753" s="799">
        <v>1800</v>
      </c>
      <c r="J753" s="798">
        <v>1</v>
      </c>
      <c r="K753" s="799">
        <f t="shared" si="66"/>
        <v>1800</v>
      </c>
      <c r="L753" s="799">
        <f t="shared" si="67"/>
        <v>1800</v>
      </c>
      <c r="M753" s="799">
        <f t="shared" si="68"/>
        <v>1800</v>
      </c>
      <c r="N753" s="798" t="s">
        <v>18020</v>
      </c>
      <c r="O753" s="800">
        <f t="shared" si="69"/>
        <v>1800</v>
      </c>
      <c r="P753" s="800">
        <f t="shared" si="70"/>
        <v>1800</v>
      </c>
      <c r="Q753" s="801">
        <f t="shared" si="71"/>
        <v>1800</v>
      </c>
    </row>
    <row r="754" spans="1:17" x14ac:dyDescent="0.2">
      <c r="A754" s="802" t="s">
        <v>18027</v>
      </c>
      <c r="B754" s="803" t="s">
        <v>18017</v>
      </c>
      <c r="C754" s="803" t="s">
        <v>13959</v>
      </c>
      <c r="D754" s="803" t="s">
        <v>18028</v>
      </c>
      <c r="E754" s="803" t="s">
        <v>18019</v>
      </c>
      <c r="F754" s="803">
        <v>1</v>
      </c>
      <c r="G754" s="803" t="s">
        <v>122</v>
      </c>
      <c r="H754" s="803" t="s">
        <v>122</v>
      </c>
      <c r="I754" s="804">
        <v>1900</v>
      </c>
      <c r="J754" s="803">
        <v>1</v>
      </c>
      <c r="K754" s="804">
        <f t="shared" si="66"/>
        <v>1900</v>
      </c>
      <c r="L754" s="804">
        <f t="shared" si="67"/>
        <v>1900</v>
      </c>
      <c r="M754" s="804">
        <f t="shared" si="68"/>
        <v>1900</v>
      </c>
      <c r="N754" s="803" t="s">
        <v>18020</v>
      </c>
      <c r="O754" s="805">
        <f t="shared" si="69"/>
        <v>1900</v>
      </c>
      <c r="P754" s="805">
        <f t="shared" si="70"/>
        <v>1900</v>
      </c>
      <c r="Q754" s="806">
        <f t="shared" si="71"/>
        <v>1900</v>
      </c>
    </row>
    <row r="755" spans="1:17" x14ac:dyDescent="0.2">
      <c r="A755" s="797" t="s">
        <v>18029</v>
      </c>
      <c r="B755" s="798" t="s">
        <v>18017</v>
      </c>
      <c r="C755" s="798" t="s">
        <v>13959</v>
      </c>
      <c r="D755" s="798" t="s">
        <v>18030</v>
      </c>
      <c r="E755" s="798" t="s">
        <v>18031</v>
      </c>
      <c r="F755" s="798">
        <v>1</v>
      </c>
      <c r="G755" s="798" t="s">
        <v>122</v>
      </c>
      <c r="H755" s="798" t="s">
        <v>1103</v>
      </c>
      <c r="I755" s="799">
        <v>2000</v>
      </c>
      <c r="J755" s="798">
        <v>1</v>
      </c>
      <c r="K755" s="799">
        <f t="shared" si="66"/>
        <v>2000</v>
      </c>
      <c r="L755" s="799">
        <f t="shared" si="67"/>
        <v>2000</v>
      </c>
      <c r="M755" s="799">
        <f t="shared" si="68"/>
        <v>2000</v>
      </c>
      <c r="N755" s="798" t="s">
        <v>18020</v>
      </c>
      <c r="O755" s="800">
        <f t="shared" si="69"/>
        <v>2000</v>
      </c>
      <c r="P755" s="800">
        <f t="shared" si="70"/>
        <v>2000</v>
      </c>
      <c r="Q755" s="801">
        <f t="shared" si="71"/>
        <v>2000</v>
      </c>
    </row>
    <row r="756" spans="1:17" x14ac:dyDescent="0.2">
      <c r="A756" s="802" t="s">
        <v>18032</v>
      </c>
      <c r="B756" s="803" t="s">
        <v>18017</v>
      </c>
      <c r="C756" s="803" t="s">
        <v>13959</v>
      </c>
      <c r="D756" s="803" t="s">
        <v>18030</v>
      </c>
      <c r="E756" s="803" t="s">
        <v>18033</v>
      </c>
      <c r="F756" s="803">
        <v>2</v>
      </c>
      <c r="G756" s="803" t="s">
        <v>122</v>
      </c>
      <c r="H756" s="803" t="s">
        <v>1103</v>
      </c>
      <c r="I756" s="804">
        <v>5200</v>
      </c>
      <c r="J756" s="803">
        <v>1</v>
      </c>
      <c r="K756" s="804">
        <f t="shared" si="66"/>
        <v>5200</v>
      </c>
      <c r="L756" s="804">
        <f t="shared" si="67"/>
        <v>5200</v>
      </c>
      <c r="M756" s="804">
        <f t="shared" si="68"/>
        <v>5200</v>
      </c>
      <c r="N756" s="803" t="s">
        <v>18020</v>
      </c>
      <c r="O756" s="805">
        <f t="shared" si="69"/>
        <v>5200</v>
      </c>
      <c r="P756" s="805">
        <f t="shared" si="70"/>
        <v>5200</v>
      </c>
      <c r="Q756" s="806">
        <f t="shared" si="71"/>
        <v>5200</v>
      </c>
    </row>
    <row r="757" spans="1:17" x14ac:dyDescent="0.2">
      <c r="A757" s="797" t="s">
        <v>18034</v>
      </c>
      <c r="B757" s="798" t="s">
        <v>18017</v>
      </c>
      <c r="C757" s="798" t="s">
        <v>13959</v>
      </c>
      <c r="D757" s="798" t="s">
        <v>18035</v>
      </c>
      <c r="E757" s="798" t="s">
        <v>18031</v>
      </c>
      <c r="F757" s="798">
        <v>1</v>
      </c>
      <c r="G757" s="798" t="s">
        <v>122</v>
      </c>
      <c r="H757" s="798" t="s">
        <v>1103</v>
      </c>
      <c r="I757" s="799">
        <v>2500</v>
      </c>
      <c r="J757" s="798">
        <v>1</v>
      </c>
      <c r="K757" s="799">
        <f t="shared" si="66"/>
        <v>2500</v>
      </c>
      <c r="L757" s="799">
        <f t="shared" si="67"/>
        <v>2500</v>
      </c>
      <c r="M757" s="799">
        <f t="shared" si="68"/>
        <v>2500</v>
      </c>
      <c r="N757" s="798" t="s">
        <v>18020</v>
      </c>
      <c r="O757" s="800">
        <f t="shared" si="69"/>
        <v>2500</v>
      </c>
      <c r="P757" s="800">
        <f t="shared" si="70"/>
        <v>2500</v>
      </c>
      <c r="Q757" s="801">
        <f t="shared" si="71"/>
        <v>2500</v>
      </c>
    </row>
    <row r="758" spans="1:17" x14ac:dyDescent="0.2">
      <c r="A758" s="802" t="s">
        <v>18036</v>
      </c>
      <c r="B758" s="803" t="s">
        <v>18017</v>
      </c>
      <c r="C758" s="803" t="s">
        <v>13959</v>
      </c>
      <c r="D758" s="803" t="s">
        <v>18035</v>
      </c>
      <c r="E758" s="803" t="s">
        <v>18033</v>
      </c>
      <c r="F758" s="803">
        <v>2</v>
      </c>
      <c r="G758" s="803" t="s">
        <v>122</v>
      </c>
      <c r="H758" s="803" t="s">
        <v>1103</v>
      </c>
      <c r="I758" s="804">
        <v>7800</v>
      </c>
      <c r="J758" s="803">
        <v>1</v>
      </c>
      <c r="K758" s="804">
        <f t="shared" si="66"/>
        <v>7800</v>
      </c>
      <c r="L758" s="804">
        <f t="shared" si="67"/>
        <v>7800</v>
      </c>
      <c r="M758" s="804">
        <f t="shared" si="68"/>
        <v>7800</v>
      </c>
      <c r="N758" s="803" t="s">
        <v>18037</v>
      </c>
      <c r="O758" s="805">
        <f t="shared" si="69"/>
        <v>7800</v>
      </c>
      <c r="P758" s="805">
        <f t="shared" si="70"/>
        <v>7800</v>
      </c>
      <c r="Q758" s="806">
        <f t="shared" si="71"/>
        <v>7800</v>
      </c>
    </row>
    <row r="759" spans="1:17" x14ac:dyDescent="0.2">
      <c r="A759" s="797" t="s">
        <v>18038</v>
      </c>
      <c r="B759" s="798" t="s">
        <v>18017</v>
      </c>
      <c r="C759" s="798" t="s">
        <v>13959</v>
      </c>
      <c r="D759" s="798" t="s">
        <v>18035</v>
      </c>
      <c r="E759" s="798" t="s">
        <v>18039</v>
      </c>
      <c r="F759" s="798">
        <v>3</v>
      </c>
      <c r="G759" s="798" t="s">
        <v>122</v>
      </c>
      <c r="H759" s="798" t="s">
        <v>1103</v>
      </c>
      <c r="I759" s="799">
        <v>9500</v>
      </c>
      <c r="J759" s="798">
        <v>1</v>
      </c>
      <c r="K759" s="799">
        <f t="shared" si="66"/>
        <v>9500</v>
      </c>
      <c r="L759" s="799">
        <f t="shared" si="67"/>
        <v>9500</v>
      </c>
      <c r="M759" s="799">
        <f t="shared" si="68"/>
        <v>9500</v>
      </c>
      <c r="N759" s="798" t="s">
        <v>18037</v>
      </c>
      <c r="O759" s="800">
        <f t="shared" si="69"/>
        <v>9500</v>
      </c>
      <c r="P759" s="800">
        <f t="shared" si="70"/>
        <v>9500</v>
      </c>
      <c r="Q759" s="801">
        <f t="shared" si="71"/>
        <v>9500</v>
      </c>
    </row>
    <row r="760" spans="1:17" x14ac:dyDescent="0.2">
      <c r="A760" s="802" t="s">
        <v>18040</v>
      </c>
      <c r="B760" s="803" t="s">
        <v>18017</v>
      </c>
      <c r="C760" s="803" t="s">
        <v>13959</v>
      </c>
      <c r="D760" s="803" t="s">
        <v>18035</v>
      </c>
      <c r="E760" s="803" t="s">
        <v>18041</v>
      </c>
      <c r="F760" s="803">
        <v>4</v>
      </c>
      <c r="G760" s="803" t="s">
        <v>122</v>
      </c>
      <c r="H760" s="803" t="s">
        <v>1103</v>
      </c>
      <c r="I760" s="804">
        <v>15000</v>
      </c>
      <c r="J760" s="803">
        <v>1</v>
      </c>
      <c r="K760" s="804">
        <f t="shared" si="66"/>
        <v>15000</v>
      </c>
      <c r="L760" s="804">
        <f t="shared" si="67"/>
        <v>15000</v>
      </c>
      <c r="M760" s="804">
        <f t="shared" si="68"/>
        <v>15000</v>
      </c>
      <c r="N760" s="803" t="s">
        <v>18042</v>
      </c>
      <c r="O760" s="805">
        <f t="shared" si="69"/>
        <v>15000</v>
      </c>
      <c r="P760" s="805">
        <f t="shared" si="70"/>
        <v>15000</v>
      </c>
      <c r="Q760" s="806">
        <f t="shared" si="71"/>
        <v>15000</v>
      </c>
    </row>
    <row r="761" spans="1:17" x14ac:dyDescent="0.2">
      <c r="A761" s="797" t="s">
        <v>18043</v>
      </c>
      <c r="B761" s="798" t="s">
        <v>18017</v>
      </c>
      <c r="C761" s="798" t="s">
        <v>13959</v>
      </c>
      <c r="D761" s="798" t="s">
        <v>18035</v>
      </c>
      <c r="E761" s="798" t="s">
        <v>18044</v>
      </c>
      <c r="F761" s="798">
        <v>5</v>
      </c>
      <c r="G761" s="798" t="s">
        <v>122</v>
      </c>
      <c r="H761" s="798" t="s">
        <v>1103</v>
      </c>
      <c r="I761" s="799">
        <v>22000</v>
      </c>
      <c r="J761" s="798">
        <v>1</v>
      </c>
      <c r="K761" s="799">
        <v>100000</v>
      </c>
      <c r="L761" s="799">
        <v>100000</v>
      </c>
      <c r="M761" s="799">
        <f t="shared" si="68"/>
        <v>22000</v>
      </c>
      <c r="N761" s="798" t="s">
        <v>18042</v>
      </c>
      <c r="O761" s="800">
        <f t="shared" si="69"/>
        <v>100000</v>
      </c>
      <c r="P761" s="800">
        <f t="shared" si="70"/>
        <v>100000</v>
      </c>
      <c r="Q761" s="801">
        <f t="shared" si="71"/>
        <v>22000</v>
      </c>
    </row>
    <row r="762" spans="1:17" x14ac:dyDescent="0.2">
      <c r="A762" s="802" t="s">
        <v>18045</v>
      </c>
      <c r="B762" s="803" t="s">
        <v>18046</v>
      </c>
      <c r="C762" s="803" t="s">
        <v>13967</v>
      </c>
      <c r="D762" s="803" t="s">
        <v>18047</v>
      </c>
      <c r="E762" s="803" t="s">
        <v>18019</v>
      </c>
      <c r="F762" s="803">
        <v>1</v>
      </c>
      <c r="G762" s="803" t="s">
        <v>3779</v>
      </c>
      <c r="H762" s="803" t="s">
        <v>2837</v>
      </c>
      <c r="I762" s="804">
        <v>1800</v>
      </c>
      <c r="J762" s="803">
        <v>1</v>
      </c>
      <c r="K762" s="804">
        <f t="shared" ref="K762:K780" si="72">+I762</f>
        <v>1800</v>
      </c>
      <c r="L762" s="804">
        <f t="shared" ref="L762:L780" si="73">+I762</f>
        <v>1800</v>
      </c>
      <c r="M762" s="804">
        <f t="shared" si="68"/>
        <v>1800</v>
      </c>
      <c r="N762" s="803" t="s">
        <v>18048</v>
      </c>
      <c r="O762" s="805">
        <f t="shared" si="69"/>
        <v>1800</v>
      </c>
      <c r="P762" s="805">
        <f t="shared" si="70"/>
        <v>1800</v>
      </c>
      <c r="Q762" s="806">
        <f t="shared" si="71"/>
        <v>1800</v>
      </c>
    </row>
    <row r="763" spans="1:17" x14ac:dyDescent="0.2">
      <c r="A763" s="797" t="s">
        <v>18049</v>
      </c>
      <c r="B763" s="798" t="s">
        <v>18046</v>
      </c>
      <c r="C763" s="798" t="s">
        <v>13967</v>
      </c>
      <c r="D763" s="798" t="s">
        <v>18050</v>
      </c>
      <c r="E763" s="798" t="s">
        <v>18019</v>
      </c>
      <c r="F763" s="798">
        <v>1</v>
      </c>
      <c r="G763" s="798" t="s">
        <v>3779</v>
      </c>
      <c r="H763" s="798" t="s">
        <v>2837</v>
      </c>
      <c r="I763" s="799">
        <v>2200</v>
      </c>
      <c r="J763" s="798">
        <v>1</v>
      </c>
      <c r="K763" s="799">
        <f t="shared" si="72"/>
        <v>2200</v>
      </c>
      <c r="L763" s="799">
        <f t="shared" si="73"/>
        <v>2200</v>
      </c>
      <c r="M763" s="799">
        <f t="shared" si="68"/>
        <v>2200</v>
      </c>
      <c r="N763" s="798" t="s">
        <v>18048</v>
      </c>
      <c r="O763" s="800">
        <f t="shared" si="69"/>
        <v>2200</v>
      </c>
      <c r="P763" s="800">
        <f t="shared" si="70"/>
        <v>2200</v>
      </c>
      <c r="Q763" s="801">
        <f t="shared" si="71"/>
        <v>2200</v>
      </c>
    </row>
    <row r="764" spans="1:17" x14ac:dyDescent="0.2">
      <c r="A764" s="802" t="s">
        <v>18051</v>
      </c>
      <c r="B764" s="803" t="s">
        <v>18046</v>
      </c>
      <c r="C764" s="803" t="s">
        <v>13967</v>
      </c>
      <c r="D764" s="803" t="s">
        <v>18052</v>
      </c>
      <c r="E764" s="803" t="s">
        <v>18031</v>
      </c>
      <c r="F764" s="803">
        <v>1</v>
      </c>
      <c r="G764" s="803" t="s">
        <v>3779</v>
      </c>
      <c r="H764" s="803" t="s">
        <v>2837</v>
      </c>
      <c r="I764" s="804">
        <v>3000</v>
      </c>
      <c r="J764" s="803">
        <v>1</v>
      </c>
      <c r="K764" s="804">
        <f t="shared" si="72"/>
        <v>3000</v>
      </c>
      <c r="L764" s="804">
        <f t="shared" si="73"/>
        <v>3000</v>
      </c>
      <c r="M764" s="804">
        <f t="shared" si="68"/>
        <v>3000</v>
      </c>
      <c r="N764" s="803" t="s">
        <v>18048</v>
      </c>
      <c r="O764" s="805">
        <f t="shared" si="69"/>
        <v>3000</v>
      </c>
      <c r="P764" s="805">
        <f t="shared" si="70"/>
        <v>3000</v>
      </c>
      <c r="Q764" s="806">
        <f t="shared" si="71"/>
        <v>3000</v>
      </c>
    </row>
    <row r="765" spans="1:17" x14ac:dyDescent="0.2">
      <c r="A765" s="797" t="s">
        <v>18053</v>
      </c>
      <c r="B765" s="798" t="s">
        <v>18046</v>
      </c>
      <c r="C765" s="798" t="s">
        <v>13967</v>
      </c>
      <c r="D765" s="798" t="s">
        <v>18052</v>
      </c>
      <c r="E765" s="798" t="s">
        <v>18054</v>
      </c>
      <c r="F765" s="798">
        <v>2</v>
      </c>
      <c r="G765" s="798" t="s">
        <v>3779</v>
      </c>
      <c r="H765" s="798" t="s">
        <v>2837</v>
      </c>
      <c r="I765" s="799">
        <v>5000</v>
      </c>
      <c r="J765" s="798">
        <v>1</v>
      </c>
      <c r="K765" s="799">
        <f t="shared" si="72"/>
        <v>5000</v>
      </c>
      <c r="L765" s="799">
        <f t="shared" si="73"/>
        <v>5000</v>
      </c>
      <c r="M765" s="799">
        <f t="shared" si="68"/>
        <v>5000</v>
      </c>
      <c r="N765" s="798" t="s">
        <v>18055</v>
      </c>
      <c r="O765" s="800">
        <f t="shared" si="69"/>
        <v>5000</v>
      </c>
      <c r="P765" s="800">
        <f t="shared" si="70"/>
        <v>5000</v>
      </c>
      <c r="Q765" s="801">
        <f t="shared" si="71"/>
        <v>5000</v>
      </c>
    </row>
    <row r="766" spans="1:17" x14ac:dyDescent="0.2">
      <c r="A766" s="802" t="s">
        <v>18056</v>
      </c>
      <c r="B766" s="803" t="s">
        <v>18046</v>
      </c>
      <c r="C766" s="803" t="s">
        <v>13967</v>
      </c>
      <c r="D766" s="803" t="s">
        <v>18052</v>
      </c>
      <c r="E766" s="803" t="s">
        <v>18033</v>
      </c>
      <c r="F766" s="803">
        <v>3</v>
      </c>
      <c r="G766" s="803" t="s">
        <v>3779</v>
      </c>
      <c r="H766" s="803" t="s">
        <v>2837</v>
      </c>
      <c r="I766" s="804">
        <v>7000</v>
      </c>
      <c r="J766" s="803">
        <v>1</v>
      </c>
      <c r="K766" s="804">
        <f t="shared" si="72"/>
        <v>7000</v>
      </c>
      <c r="L766" s="804">
        <f t="shared" si="73"/>
        <v>7000</v>
      </c>
      <c r="M766" s="804">
        <f t="shared" si="68"/>
        <v>7000</v>
      </c>
      <c r="N766" s="803" t="s">
        <v>18057</v>
      </c>
      <c r="O766" s="805">
        <f t="shared" si="69"/>
        <v>7000</v>
      </c>
      <c r="P766" s="805">
        <f t="shared" si="70"/>
        <v>7000</v>
      </c>
      <c r="Q766" s="806">
        <f t="shared" si="71"/>
        <v>7000</v>
      </c>
    </row>
    <row r="767" spans="1:17" x14ac:dyDescent="0.2">
      <c r="A767" s="797" t="s">
        <v>18058</v>
      </c>
      <c r="B767" s="798" t="s">
        <v>18046</v>
      </c>
      <c r="C767" s="798" t="s">
        <v>13967</v>
      </c>
      <c r="D767" s="798" t="s">
        <v>18059</v>
      </c>
      <c r="E767" s="798" t="s">
        <v>18033</v>
      </c>
      <c r="F767" s="798">
        <v>1</v>
      </c>
      <c r="G767" s="798" t="s">
        <v>3779</v>
      </c>
      <c r="H767" s="798" t="s">
        <v>2837</v>
      </c>
      <c r="I767" s="799">
        <v>7000</v>
      </c>
      <c r="J767" s="798">
        <v>1</v>
      </c>
      <c r="K767" s="799">
        <f t="shared" si="72"/>
        <v>7000</v>
      </c>
      <c r="L767" s="799">
        <f t="shared" si="73"/>
        <v>7000</v>
      </c>
      <c r="M767" s="799">
        <f t="shared" si="68"/>
        <v>7000</v>
      </c>
      <c r="N767" s="798" t="s">
        <v>18057</v>
      </c>
      <c r="O767" s="800">
        <f t="shared" si="69"/>
        <v>7000</v>
      </c>
      <c r="P767" s="800">
        <f t="shared" si="70"/>
        <v>7000</v>
      </c>
      <c r="Q767" s="801">
        <f t="shared" si="71"/>
        <v>7000</v>
      </c>
    </row>
    <row r="768" spans="1:17" x14ac:dyDescent="0.2">
      <c r="A768" s="802" t="s">
        <v>18060</v>
      </c>
      <c r="B768" s="803" t="s">
        <v>18046</v>
      </c>
      <c r="C768" s="803" t="s">
        <v>13967</v>
      </c>
      <c r="D768" s="803" t="s">
        <v>18059</v>
      </c>
      <c r="E768" s="803" t="s">
        <v>18061</v>
      </c>
      <c r="F768" s="803">
        <v>2</v>
      </c>
      <c r="G768" s="803" t="s">
        <v>3779</v>
      </c>
      <c r="H768" s="803" t="s">
        <v>2837</v>
      </c>
      <c r="I768" s="804">
        <v>12000</v>
      </c>
      <c r="J768" s="803">
        <v>1</v>
      </c>
      <c r="K768" s="804">
        <f t="shared" si="72"/>
        <v>12000</v>
      </c>
      <c r="L768" s="804">
        <f t="shared" si="73"/>
        <v>12000</v>
      </c>
      <c r="M768" s="804">
        <f t="shared" si="68"/>
        <v>12000</v>
      </c>
      <c r="N768" s="803" t="s">
        <v>18062</v>
      </c>
      <c r="O768" s="805">
        <f t="shared" si="69"/>
        <v>12000</v>
      </c>
      <c r="P768" s="805">
        <f t="shared" si="70"/>
        <v>12000</v>
      </c>
      <c r="Q768" s="806">
        <f t="shared" si="71"/>
        <v>12000</v>
      </c>
    </row>
    <row r="769" spans="1:17" x14ac:dyDescent="0.2">
      <c r="A769" s="797" t="s">
        <v>18063</v>
      </c>
      <c r="B769" s="798" t="s">
        <v>18017</v>
      </c>
      <c r="C769" s="798" t="s">
        <v>13976</v>
      </c>
      <c r="D769" s="798" t="s">
        <v>18064</v>
      </c>
      <c r="E769" s="798" t="s">
        <v>18019</v>
      </c>
      <c r="F769" s="798">
        <v>1</v>
      </c>
      <c r="G769" s="798" t="s">
        <v>1947</v>
      </c>
      <c r="H769" s="798" t="s">
        <v>1947</v>
      </c>
      <c r="I769" s="799">
        <v>1500</v>
      </c>
      <c r="J769" s="798">
        <v>1</v>
      </c>
      <c r="K769" s="799">
        <f t="shared" si="72"/>
        <v>1500</v>
      </c>
      <c r="L769" s="799">
        <f t="shared" si="73"/>
        <v>1500</v>
      </c>
      <c r="M769" s="799">
        <f t="shared" si="68"/>
        <v>1500</v>
      </c>
      <c r="N769" s="798" t="s">
        <v>18020</v>
      </c>
      <c r="O769" s="800">
        <f t="shared" si="69"/>
        <v>1500</v>
      </c>
      <c r="P769" s="800">
        <f t="shared" si="70"/>
        <v>1500</v>
      </c>
      <c r="Q769" s="801">
        <f t="shared" si="71"/>
        <v>1500</v>
      </c>
    </row>
    <row r="770" spans="1:17" x14ac:dyDescent="0.2">
      <c r="A770" s="802" t="s">
        <v>18065</v>
      </c>
      <c r="B770" s="803" t="s">
        <v>18017</v>
      </c>
      <c r="C770" s="803" t="s">
        <v>13976</v>
      </c>
      <c r="D770" s="803" t="s">
        <v>18066</v>
      </c>
      <c r="E770" s="803" t="s">
        <v>18019</v>
      </c>
      <c r="F770" s="803">
        <v>1</v>
      </c>
      <c r="G770" s="803" t="s">
        <v>1947</v>
      </c>
      <c r="H770" s="803" t="s">
        <v>1947</v>
      </c>
      <c r="I770" s="804">
        <v>1600</v>
      </c>
      <c r="J770" s="803">
        <v>1</v>
      </c>
      <c r="K770" s="804">
        <f t="shared" si="72"/>
        <v>1600</v>
      </c>
      <c r="L770" s="804">
        <f t="shared" si="73"/>
        <v>1600</v>
      </c>
      <c r="M770" s="804">
        <f t="shared" ref="M770:M833" si="74">+I770</f>
        <v>1600</v>
      </c>
      <c r="N770" s="803" t="s">
        <v>18020</v>
      </c>
      <c r="O770" s="805">
        <f t="shared" ref="O770:O833" si="75">+J770*K770</f>
        <v>1600</v>
      </c>
      <c r="P770" s="805">
        <f t="shared" ref="P770:P833" si="76">+J770*L770</f>
        <v>1600</v>
      </c>
      <c r="Q770" s="806">
        <f t="shared" ref="Q770:Q833" si="77">+J770*M770</f>
        <v>1600</v>
      </c>
    </row>
    <row r="771" spans="1:17" x14ac:dyDescent="0.2">
      <c r="A771" s="797" t="s">
        <v>18067</v>
      </c>
      <c r="B771" s="798" t="s">
        <v>18017</v>
      </c>
      <c r="C771" s="798" t="s">
        <v>13976</v>
      </c>
      <c r="D771" s="798" t="s">
        <v>18068</v>
      </c>
      <c r="E771" s="798" t="s">
        <v>18019</v>
      </c>
      <c r="F771" s="798">
        <v>1</v>
      </c>
      <c r="G771" s="798" t="s">
        <v>1947</v>
      </c>
      <c r="H771" s="798" t="s">
        <v>1947</v>
      </c>
      <c r="I771" s="799">
        <v>1700</v>
      </c>
      <c r="J771" s="798">
        <v>1</v>
      </c>
      <c r="K771" s="799">
        <f t="shared" si="72"/>
        <v>1700</v>
      </c>
      <c r="L771" s="799">
        <f t="shared" si="73"/>
        <v>1700</v>
      </c>
      <c r="M771" s="799">
        <f t="shared" si="74"/>
        <v>1700</v>
      </c>
      <c r="N771" s="798" t="s">
        <v>18020</v>
      </c>
      <c r="O771" s="800">
        <f t="shared" si="75"/>
        <v>1700</v>
      </c>
      <c r="P771" s="800">
        <f t="shared" si="76"/>
        <v>1700</v>
      </c>
      <c r="Q771" s="801">
        <f t="shared" si="77"/>
        <v>1700</v>
      </c>
    </row>
    <row r="772" spans="1:17" x14ac:dyDescent="0.2">
      <c r="A772" s="802" t="s">
        <v>18069</v>
      </c>
      <c r="B772" s="803" t="s">
        <v>18017</v>
      </c>
      <c r="C772" s="803" t="s">
        <v>13976</v>
      </c>
      <c r="D772" s="803" t="s">
        <v>18070</v>
      </c>
      <c r="E772" s="803" t="s">
        <v>18019</v>
      </c>
      <c r="F772" s="803">
        <v>1</v>
      </c>
      <c r="G772" s="803" t="s">
        <v>1947</v>
      </c>
      <c r="H772" s="803" t="s">
        <v>1947</v>
      </c>
      <c r="I772" s="804">
        <v>1800</v>
      </c>
      <c r="J772" s="803">
        <v>1</v>
      </c>
      <c r="K772" s="804">
        <f t="shared" si="72"/>
        <v>1800</v>
      </c>
      <c r="L772" s="804">
        <f t="shared" si="73"/>
        <v>1800</v>
      </c>
      <c r="M772" s="804">
        <f t="shared" si="74"/>
        <v>1800</v>
      </c>
      <c r="N772" s="803" t="s">
        <v>18020</v>
      </c>
      <c r="O772" s="805">
        <f t="shared" si="75"/>
        <v>1800</v>
      </c>
      <c r="P772" s="805">
        <f t="shared" si="76"/>
        <v>1800</v>
      </c>
      <c r="Q772" s="806">
        <f t="shared" si="77"/>
        <v>1800</v>
      </c>
    </row>
    <row r="773" spans="1:17" x14ac:dyDescent="0.2">
      <c r="A773" s="797" t="s">
        <v>18071</v>
      </c>
      <c r="B773" s="798" t="s">
        <v>18017</v>
      </c>
      <c r="C773" s="798" t="s">
        <v>13976</v>
      </c>
      <c r="D773" s="798" t="s">
        <v>18072</v>
      </c>
      <c r="E773" s="798" t="s">
        <v>18019</v>
      </c>
      <c r="F773" s="798">
        <v>1</v>
      </c>
      <c r="G773" s="798" t="s">
        <v>1947</v>
      </c>
      <c r="H773" s="798" t="s">
        <v>1947</v>
      </c>
      <c r="I773" s="799">
        <v>1900</v>
      </c>
      <c r="J773" s="798">
        <v>1</v>
      </c>
      <c r="K773" s="799">
        <f t="shared" si="72"/>
        <v>1900</v>
      </c>
      <c r="L773" s="799">
        <f t="shared" si="73"/>
        <v>1900</v>
      </c>
      <c r="M773" s="799">
        <f t="shared" si="74"/>
        <v>1900</v>
      </c>
      <c r="N773" s="798" t="s">
        <v>18020</v>
      </c>
      <c r="O773" s="800">
        <f t="shared" si="75"/>
        <v>1900</v>
      </c>
      <c r="P773" s="800">
        <f t="shared" si="76"/>
        <v>1900</v>
      </c>
      <c r="Q773" s="801">
        <f t="shared" si="77"/>
        <v>1900</v>
      </c>
    </row>
    <row r="774" spans="1:17" x14ac:dyDescent="0.2">
      <c r="A774" s="802" t="s">
        <v>18073</v>
      </c>
      <c r="B774" s="803" t="s">
        <v>18017</v>
      </c>
      <c r="C774" s="803" t="s">
        <v>13976</v>
      </c>
      <c r="D774" s="803" t="s">
        <v>18074</v>
      </c>
      <c r="E774" s="803" t="s">
        <v>18031</v>
      </c>
      <c r="F774" s="803">
        <v>1</v>
      </c>
      <c r="G774" s="803" t="s">
        <v>1947</v>
      </c>
      <c r="H774" s="803" t="s">
        <v>122</v>
      </c>
      <c r="I774" s="804">
        <v>2500</v>
      </c>
      <c r="J774" s="803">
        <v>1</v>
      </c>
      <c r="K774" s="804">
        <f t="shared" si="72"/>
        <v>2500</v>
      </c>
      <c r="L774" s="804">
        <f t="shared" si="73"/>
        <v>2500</v>
      </c>
      <c r="M774" s="804">
        <f t="shared" si="74"/>
        <v>2500</v>
      </c>
      <c r="N774" s="803" t="s">
        <v>18020</v>
      </c>
      <c r="O774" s="805">
        <f t="shared" si="75"/>
        <v>2500</v>
      </c>
      <c r="P774" s="805">
        <f t="shared" si="76"/>
        <v>2500</v>
      </c>
      <c r="Q774" s="806">
        <f t="shared" si="77"/>
        <v>2500</v>
      </c>
    </row>
    <row r="775" spans="1:17" x14ac:dyDescent="0.2">
      <c r="A775" s="797" t="s">
        <v>18075</v>
      </c>
      <c r="B775" s="798" t="s">
        <v>18017</v>
      </c>
      <c r="C775" s="798" t="s">
        <v>13976</v>
      </c>
      <c r="D775" s="798" t="s">
        <v>18074</v>
      </c>
      <c r="E775" s="798" t="s">
        <v>18054</v>
      </c>
      <c r="F775" s="798">
        <v>2</v>
      </c>
      <c r="G775" s="798" t="s">
        <v>1947</v>
      </c>
      <c r="H775" s="798" t="s">
        <v>122</v>
      </c>
      <c r="I775" s="799">
        <v>3300</v>
      </c>
      <c r="J775" s="798">
        <v>1</v>
      </c>
      <c r="K775" s="799">
        <f t="shared" si="72"/>
        <v>3300</v>
      </c>
      <c r="L775" s="799">
        <f t="shared" si="73"/>
        <v>3300</v>
      </c>
      <c r="M775" s="799">
        <f t="shared" si="74"/>
        <v>3300</v>
      </c>
      <c r="N775" s="798" t="s">
        <v>18020</v>
      </c>
      <c r="O775" s="800">
        <f t="shared" si="75"/>
        <v>3300</v>
      </c>
      <c r="P775" s="800">
        <f t="shared" si="76"/>
        <v>3300</v>
      </c>
      <c r="Q775" s="801">
        <f t="shared" si="77"/>
        <v>3300</v>
      </c>
    </row>
    <row r="776" spans="1:17" x14ac:dyDescent="0.2">
      <c r="A776" s="802" t="s">
        <v>18076</v>
      </c>
      <c r="B776" s="803" t="s">
        <v>18017</v>
      </c>
      <c r="C776" s="803" t="s">
        <v>13976</v>
      </c>
      <c r="D776" s="803" t="s">
        <v>18074</v>
      </c>
      <c r="E776" s="803" t="s">
        <v>18033</v>
      </c>
      <c r="F776" s="803">
        <v>3</v>
      </c>
      <c r="G776" s="803" t="s">
        <v>1947</v>
      </c>
      <c r="H776" s="803" t="s">
        <v>122</v>
      </c>
      <c r="I776" s="804">
        <v>5200</v>
      </c>
      <c r="J776" s="803">
        <v>1</v>
      </c>
      <c r="K776" s="804">
        <f t="shared" si="72"/>
        <v>5200</v>
      </c>
      <c r="L776" s="804">
        <f t="shared" si="73"/>
        <v>5200</v>
      </c>
      <c r="M776" s="804">
        <f t="shared" si="74"/>
        <v>5200</v>
      </c>
      <c r="N776" s="803" t="s">
        <v>18037</v>
      </c>
      <c r="O776" s="805">
        <f t="shared" si="75"/>
        <v>5200</v>
      </c>
      <c r="P776" s="805">
        <f t="shared" si="76"/>
        <v>5200</v>
      </c>
      <c r="Q776" s="806">
        <f t="shared" si="77"/>
        <v>5200</v>
      </c>
    </row>
    <row r="777" spans="1:17" x14ac:dyDescent="0.2">
      <c r="A777" s="797" t="s">
        <v>18077</v>
      </c>
      <c r="B777" s="798" t="s">
        <v>18017</v>
      </c>
      <c r="C777" s="798" t="s">
        <v>13976</v>
      </c>
      <c r="D777" s="798" t="s">
        <v>18078</v>
      </c>
      <c r="E777" s="798" t="s">
        <v>18031</v>
      </c>
      <c r="F777" s="798">
        <v>1</v>
      </c>
      <c r="G777" s="798" t="s">
        <v>1947</v>
      </c>
      <c r="H777" s="798" t="s">
        <v>122</v>
      </c>
      <c r="I777" s="799">
        <v>2500</v>
      </c>
      <c r="J777" s="798">
        <v>1</v>
      </c>
      <c r="K777" s="799">
        <f t="shared" si="72"/>
        <v>2500</v>
      </c>
      <c r="L777" s="799">
        <f t="shared" si="73"/>
        <v>2500</v>
      </c>
      <c r="M777" s="799">
        <f t="shared" si="74"/>
        <v>2500</v>
      </c>
      <c r="N777" s="798" t="s">
        <v>18020</v>
      </c>
      <c r="O777" s="800">
        <f t="shared" si="75"/>
        <v>2500</v>
      </c>
      <c r="P777" s="800">
        <f t="shared" si="76"/>
        <v>2500</v>
      </c>
      <c r="Q777" s="801">
        <f t="shared" si="77"/>
        <v>2500</v>
      </c>
    </row>
    <row r="778" spans="1:17" x14ac:dyDescent="0.2">
      <c r="A778" s="802" t="s">
        <v>18079</v>
      </c>
      <c r="B778" s="803" t="s">
        <v>18017</v>
      </c>
      <c r="C778" s="803" t="s">
        <v>13976</v>
      </c>
      <c r="D778" s="803" t="s">
        <v>18078</v>
      </c>
      <c r="E778" s="803" t="s">
        <v>18033</v>
      </c>
      <c r="F778" s="803">
        <v>2</v>
      </c>
      <c r="G778" s="803" t="s">
        <v>1947</v>
      </c>
      <c r="H778" s="803" t="s">
        <v>122</v>
      </c>
      <c r="I778" s="804">
        <v>7800</v>
      </c>
      <c r="J778" s="803">
        <v>1</v>
      </c>
      <c r="K778" s="804">
        <f t="shared" si="72"/>
        <v>7800</v>
      </c>
      <c r="L778" s="804">
        <f t="shared" si="73"/>
        <v>7800</v>
      </c>
      <c r="M778" s="804">
        <f t="shared" si="74"/>
        <v>7800</v>
      </c>
      <c r="N778" s="803" t="s">
        <v>18037</v>
      </c>
      <c r="O778" s="805">
        <f t="shared" si="75"/>
        <v>7800</v>
      </c>
      <c r="P778" s="805">
        <f t="shared" si="76"/>
        <v>7800</v>
      </c>
      <c r="Q778" s="806">
        <f t="shared" si="77"/>
        <v>7800</v>
      </c>
    </row>
    <row r="779" spans="1:17" x14ac:dyDescent="0.2">
      <c r="A779" s="797" t="s">
        <v>18080</v>
      </c>
      <c r="B779" s="798" t="s">
        <v>18017</v>
      </c>
      <c r="C779" s="798" t="s">
        <v>13976</v>
      </c>
      <c r="D779" s="798" t="s">
        <v>18078</v>
      </c>
      <c r="E779" s="798" t="s">
        <v>18039</v>
      </c>
      <c r="F779" s="798">
        <v>3</v>
      </c>
      <c r="G779" s="798" t="s">
        <v>1947</v>
      </c>
      <c r="H779" s="798" t="s">
        <v>122</v>
      </c>
      <c r="I779" s="799">
        <v>9500</v>
      </c>
      <c r="J779" s="798">
        <v>1</v>
      </c>
      <c r="K779" s="799">
        <f t="shared" si="72"/>
        <v>9500</v>
      </c>
      <c r="L779" s="799">
        <f t="shared" si="73"/>
        <v>9500</v>
      </c>
      <c r="M779" s="799">
        <f t="shared" si="74"/>
        <v>9500</v>
      </c>
      <c r="N779" s="798" t="s">
        <v>18037</v>
      </c>
      <c r="O779" s="800">
        <f t="shared" si="75"/>
        <v>9500</v>
      </c>
      <c r="P779" s="800">
        <f t="shared" si="76"/>
        <v>9500</v>
      </c>
      <c r="Q779" s="801">
        <f t="shared" si="77"/>
        <v>9500</v>
      </c>
    </row>
    <row r="780" spans="1:17" x14ac:dyDescent="0.2">
      <c r="A780" s="802" t="s">
        <v>18081</v>
      </c>
      <c r="B780" s="803" t="s">
        <v>18017</v>
      </c>
      <c r="C780" s="803" t="s">
        <v>13976</v>
      </c>
      <c r="D780" s="803" t="s">
        <v>18078</v>
      </c>
      <c r="E780" s="803" t="s">
        <v>18041</v>
      </c>
      <c r="F780" s="803">
        <v>4</v>
      </c>
      <c r="G780" s="803" t="s">
        <v>1947</v>
      </c>
      <c r="H780" s="803" t="s">
        <v>122</v>
      </c>
      <c r="I780" s="804">
        <v>15000</v>
      </c>
      <c r="J780" s="803">
        <v>1</v>
      </c>
      <c r="K780" s="804">
        <f t="shared" si="72"/>
        <v>15000</v>
      </c>
      <c r="L780" s="804">
        <f t="shared" si="73"/>
        <v>15000</v>
      </c>
      <c r="M780" s="804">
        <f t="shared" si="74"/>
        <v>15000</v>
      </c>
      <c r="N780" s="803" t="s">
        <v>18042</v>
      </c>
      <c r="O780" s="805">
        <f t="shared" si="75"/>
        <v>15000</v>
      </c>
      <c r="P780" s="805">
        <f t="shared" si="76"/>
        <v>15000</v>
      </c>
      <c r="Q780" s="806">
        <f t="shared" si="77"/>
        <v>15000</v>
      </c>
    </row>
    <row r="781" spans="1:17" x14ac:dyDescent="0.2">
      <c r="A781" s="797" t="s">
        <v>18082</v>
      </c>
      <c r="B781" s="798" t="s">
        <v>18017</v>
      </c>
      <c r="C781" s="798" t="s">
        <v>13976</v>
      </c>
      <c r="D781" s="798" t="s">
        <v>18078</v>
      </c>
      <c r="E781" s="798" t="s">
        <v>18044</v>
      </c>
      <c r="F781" s="798">
        <v>5</v>
      </c>
      <c r="G781" s="798" t="s">
        <v>1947</v>
      </c>
      <c r="H781" s="798" t="s">
        <v>122</v>
      </c>
      <c r="I781" s="799">
        <v>22000</v>
      </c>
      <c r="J781" s="798">
        <v>1</v>
      </c>
      <c r="K781" s="799">
        <v>100000</v>
      </c>
      <c r="L781" s="799">
        <v>100000</v>
      </c>
      <c r="M781" s="799">
        <f t="shared" si="74"/>
        <v>22000</v>
      </c>
      <c r="N781" s="798" t="s">
        <v>18042</v>
      </c>
      <c r="O781" s="800">
        <f t="shared" si="75"/>
        <v>100000</v>
      </c>
      <c r="P781" s="800">
        <f t="shared" si="76"/>
        <v>100000</v>
      </c>
      <c r="Q781" s="801">
        <f t="shared" si="77"/>
        <v>22000</v>
      </c>
    </row>
    <row r="782" spans="1:17" x14ac:dyDescent="0.2">
      <c r="A782" s="802" t="s">
        <v>18083</v>
      </c>
      <c r="B782" s="803" t="s">
        <v>18046</v>
      </c>
      <c r="C782" s="803" t="s">
        <v>13983</v>
      </c>
      <c r="D782" s="803" t="s">
        <v>18084</v>
      </c>
      <c r="E782" s="803" t="s">
        <v>18019</v>
      </c>
      <c r="F782" s="803">
        <v>1</v>
      </c>
      <c r="G782" s="803" t="s">
        <v>1103</v>
      </c>
      <c r="H782" s="803" t="s">
        <v>1947</v>
      </c>
      <c r="I782" s="804">
        <v>1800</v>
      </c>
      <c r="J782" s="803">
        <v>1</v>
      </c>
      <c r="K782" s="804">
        <f t="shared" ref="K782:K813" si="78">+I782</f>
        <v>1800</v>
      </c>
      <c r="L782" s="804">
        <f t="shared" ref="L782:L813" si="79">+I782</f>
        <v>1800</v>
      </c>
      <c r="M782" s="804">
        <f t="shared" si="74"/>
        <v>1800</v>
      </c>
      <c r="N782" s="803" t="s">
        <v>18048</v>
      </c>
      <c r="O782" s="805">
        <f t="shared" si="75"/>
        <v>1800</v>
      </c>
      <c r="P782" s="805">
        <f t="shared" si="76"/>
        <v>1800</v>
      </c>
      <c r="Q782" s="806">
        <f t="shared" si="77"/>
        <v>1800</v>
      </c>
    </row>
    <row r="783" spans="1:17" x14ac:dyDescent="0.2">
      <c r="A783" s="797" t="s">
        <v>18085</v>
      </c>
      <c r="B783" s="798" t="s">
        <v>18046</v>
      </c>
      <c r="C783" s="798" t="s">
        <v>13983</v>
      </c>
      <c r="D783" s="798" t="s">
        <v>18086</v>
      </c>
      <c r="E783" s="798" t="s">
        <v>18019</v>
      </c>
      <c r="F783" s="798">
        <v>1</v>
      </c>
      <c r="G783" s="798" t="s">
        <v>1103</v>
      </c>
      <c r="H783" s="798" t="s">
        <v>1947</v>
      </c>
      <c r="I783" s="799">
        <v>2200</v>
      </c>
      <c r="J783" s="798">
        <v>1</v>
      </c>
      <c r="K783" s="799">
        <f t="shared" si="78"/>
        <v>2200</v>
      </c>
      <c r="L783" s="799">
        <f t="shared" si="79"/>
        <v>2200</v>
      </c>
      <c r="M783" s="799">
        <f t="shared" si="74"/>
        <v>2200</v>
      </c>
      <c r="N783" s="798" t="s">
        <v>18048</v>
      </c>
      <c r="O783" s="800">
        <f t="shared" si="75"/>
        <v>2200</v>
      </c>
      <c r="P783" s="800">
        <f t="shared" si="76"/>
        <v>2200</v>
      </c>
      <c r="Q783" s="801">
        <f t="shared" si="77"/>
        <v>2200</v>
      </c>
    </row>
    <row r="784" spans="1:17" x14ac:dyDescent="0.2">
      <c r="A784" s="802" t="s">
        <v>18087</v>
      </c>
      <c r="B784" s="803" t="s">
        <v>18046</v>
      </c>
      <c r="C784" s="803" t="s">
        <v>13983</v>
      </c>
      <c r="D784" s="803" t="s">
        <v>18088</v>
      </c>
      <c r="E784" s="803" t="s">
        <v>18031</v>
      </c>
      <c r="F784" s="803">
        <v>1</v>
      </c>
      <c r="G784" s="803" t="s">
        <v>1103</v>
      </c>
      <c r="H784" s="803" t="s">
        <v>1947</v>
      </c>
      <c r="I784" s="804">
        <v>3000</v>
      </c>
      <c r="J784" s="803">
        <v>1</v>
      </c>
      <c r="K784" s="804">
        <f t="shared" si="78"/>
        <v>3000</v>
      </c>
      <c r="L784" s="804">
        <f t="shared" si="79"/>
        <v>3000</v>
      </c>
      <c r="M784" s="804">
        <f t="shared" si="74"/>
        <v>3000</v>
      </c>
      <c r="N784" s="803" t="s">
        <v>18048</v>
      </c>
      <c r="O784" s="805">
        <f t="shared" si="75"/>
        <v>3000</v>
      </c>
      <c r="P784" s="805">
        <f t="shared" si="76"/>
        <v>3000</v>
      </c>
      <c r="Q784" s="806">
        <f t="shared" si="77"/>
        <v>3000</v>
      </c>
    </row>
    <row r="785" spans="1:17" x14ac:dyDescent="0.2">
      <c r="A785" s="797" t="s">
        <v>18089</v>
      </c>
      <c r="B785" s="798" t="s">
        <v>18046</v>
      </c>
      <c r="C785" s="798" t="s">
        <v>13983</v>
      </c>
      <c r="D785" s="798" t="s">
        <v>18088</v>
      </c>
      <c r="E785" s="798" t="s">
        <v>18054</v>
      </c>
      <c r="F785" s="798">
        <v>2</v>
      </c>
      <c r="G785" s="798" t="s">
        <v>1103</v>
      </c>
      <c r="H785" s="798" t="s">
        <v>1947</v>
      </c>
      <c r="I785" s="799">
        <v>5000</v>
      </c>
      <c r="J785" s="798">
        <v>1</v>
      </c>
      <c r="K785" s="799">
        <f t="shared" si="78"/>
        <v>5000</v>
      </c>
      <c r="L785" s="799">
        <f t="shared" si="79"/>
        <v>5000</v>
      </c>
      <c r="M785" s="799">
        <f t="shared" si="74"/>
        <v>5000</v>
      </c>
      <c r="N785" s="798" t="s">
        <v>18055</v>
      </c>
      <c r="O785" s="800">
        <f t="shared" si="75"/>
        <v>5000</v>
      </c>
      <c r="P785" s="800">
        <f t="shared" si="76"/>
        <v>5000</v>
      </c>
      <c r="Q785" s="801">
        <f t="shared" si="77"/>
        <v>5000</v>
      </c>
    </row>
    <row r="786" spans="1:17" x14ac:dyDescent="0.2">
      <c r="A786" s="802" t="s">
        <v>18090</v>
      </c>
      <c r="B786" s="803" t="s">
        <v>18046</v>
      </c>
      <c r="C786" s="803" t="s">
        <v>13983</v>
      </c>
      <c r="D786" s="803" t="s">
        <v>18088</v>
      </c>
      <c r="E786" s="803" t="s">
        <v>18033</v>
      </c>
      <c r="F786" s="803">
        <v>3</v>
      </c>
      <c r="G786" s="803" t="s">
        <v>1103</v>
      </c>
      <c r="H786" s="803" t="s">
        <v>1947</v>
      </c>
      <c r="I786" s="804">
        <v>7000</v>
      </c>
      <c r="J786" s="803">
        <v>1</v>
      </c>
      <c r="K786" s="804">
        <f t="shared" si="78"/>
        <v>7000</v>
      </c>
      <c r="L786" s="804">
        <f t="shared" si="79"/>
        <v>7000</v>
      </c>
      <c r="M786" s="804">
        <f t="shared" si="74"/>
        <v>7000</v>
      </c>
      <c r="N786" s="803" t="s">
        <v>18057</v>
      </c>
      <c r="O786" s="805">
        <f t="shared" si="75"/>
        <v>7000</v>
      </c>
      <c r="P786" s="805">
        <f t="shared" si="76"/>
        <v>7000</v>
      </c>
      <c r="Q786" s="806">
        <f t="shared" si="77"/>
        <v>7000</v>
      </c>
    </row>
    <row r="787" spans="1:17" x14ac:dyDescent="0.2">
      <c r="A787" s="797" t="s">
        <v>18091</v>
      </c>
      <c r="B787" s="798" t="s">
        <v>18046</v>
      </c>
      <c r="C787" s="798" t="s">
        <v>13983</v>
      </c>
      <c r="D787" s="798" t="s">
        <v>18092</v>
      </c>
      <c r="E787" s="798" t="s">
        <v>18033</v>
      </c>
      <c r="F787" s="798">
        <v>1</v>
      </c>
      <c r="G787" s="798" t="s">
        <v>1103</v>
      </c>
      <c r="H787" s="798" t="s">
        <v>1947</v>
      </c>
      <c r="I787" s="799">
        <v>7000</v>
      </c>
      <c r="J787" s="798">
        <v>1</v>
      </c>
      <c r="K787" s="799">
        <f t="shared" si="78"/>
        <v>7000</v>
      </c>
      <c r="L787" s="799">
        <f t="shared" si="79"/>
        <v>7000</v>
      </c>
      <c r="M787" s="799">
        <f t="shared" si="74"/>
        <v>7000</v>
      </c>
      <c r="N787" s="798" t="s">
        <v>18057</v>
      </c>
      <c r="O787" s="800">
        <f t="shared" si="75"/>
        <v>7000</v>
      </c>
      <c r="P787" s="800">
        <f t="shared" si="76"/>
        <v>7000</v>
      </c>
      <c r="Q787" s="801">
        <f t="shared" si="77"/>
        <v>7000</v>
      </c>
    </row>
    <row r="788" spans="1:17" x14ac:dyDescent="0.2">
      <c r="A788" s="802" t="s">
        <v>18093</v>
      </c>
      <c r="B788" s="803" t="s">
        <v>18046</v>
      </c>
      <c r="C788" s="803" t="s">
        <v>13983</v>
      </c>
      <c r="D788" s="803" t="s">
        <v>18092</v>
      </c>
      <c r="E788" s="803" t="s">
        <v>18061</v>
      </c>
      <c r="F788" s="803">
        <v>2</v>
      </c>
      <c r="G788" s="803" t="s">
        <v>1103</v>
      </c>
      <c r="H788" s="803" t="s">
        <v>1947</v>
      </c>
      <c r="I788" s="804">
        <v>12000</v>
      </c>
      <c r="J788" s="803">
        <v>1</v>
      </c>
      <c r="K788" s="804">
        <f t="shared" si="78"/>
        <v>12000</v>
      </c>
      <c r="L788" s="804">
        <f t="shared" si="79"/>
        <v>12000</v>
      </c>
      <c r="M788" s="804">
        <f t="shared" si="74"/>
        <v>12000</v>
      </c>
      <c r="N788" s="803" t="s">
        <v>18062</v>
      </c>
      <c r="O788" s="805">
        <f t="shared" si="75"/>
        <v>12000</v>
      </c>
      <c r="P788" s="805">
        <f t="shared" si="76"/>
        <v>12000</v>
      </c>
      <c r="Q788" s="806">
        <f t="shared" si="77"/>
        <v>12000</v>
      </c>
    </row>
    <row r="789" spans="1:17" x14ac:dyDescent="0.2">
      <c r="A789" s="797" t="s">
        <v>18094</v>
      </c>
      <c r="B789" s="798" t="s">
        <v>18017</v>
      </c>
      <c r="C789" s="798" t="s">
        <v>13990</v>
      </c>
      <c r="D789" s="798" t="s">
        <v>18095</v>
      </c>
      <c r="E789" s="798" t="s">
        <v>18019</v>
      </c>
      <c r="F789" s="798">
        <v>1</v>
      </c>
      <c r="G789" s="798" t="s">
        <v>3779</v>
      </c>
      <c r="H789" s="798" t="s">
        <v>3779</v>
      </c>
      <c r="I789" s="799">
        <v>1500</v>
      </c>
      <c r="J789" s="798">
        <v>1</v>
      </c>
      <c r="K789" s="799">
        <f t="shared" si="78"/>
        <v>1500</v>
      </c>
      <c r="L789" s="799">
        <f t="shared" si="79"/>
        <v>1500</v>
      </c>
      <c r="M789" s="799">
        <f t="shared" si="74"/>
        <v>1500</v>
      </c>
      <c r="N789" s="798" t="s">
        <v>18020</v>
      </c>
      <c r="O789" s="800">
        <f t="shared" si="75"/>
        <v>1500</v>
      </c>
      <c r="P789" s="800">
        <f t="shared" si="76"/>
        <v>1500</v>
      </c>
      <c r="Q789" s="801">
        <f t="shared" si="77"/>
        <v>1500</v>
      </c>
    </row>
    <row r="790" spans="1:17" x14ac:dyDescent="0.2">
      <c r="A790" s="802" t="s">
        <v>18096</v>
      </c>
      <c r="B790" s="803" t="s">
        <v>18017</v>
      </c>
      <c r="C790" s="803" t="s">
        <v>13990</v>
      </c>
      <c r="D790" s="803" t="s">
        <v>18097</v>
      </c>
      <c r="E790" s="803" t="s">
        <v>18019</v>
      </c>
      <c r="F790" s="803">
        <v>1</v>
      </c>
      <c r="G790" s="803" t="s">
        <v>3779</v>
      </c>
      <c r="H790" s="803" t="s">
        <v>3779</v>
      </c>
      <c r="I790" s="804">
        <v>1600</v>
      </c>
      <c r="J790" s="803">
        <v>1</v>
      </c>
      <c r="K790" s="804">
        <f t="shared" si="78"/>
        <v>1600</v>
      </c>
      <c r="L790" s="804">
        <f t="shared" si="79"/>
        <v>1600</v>
      </c>
      <c r="M790" s="804">
        <f t="shared" si="74"/>
        <v>1600</v>
      </c>
      <c r="N790" s="803" t="s">
        <v>18020</v>
      </c>
      <c r="O790" s="805">
        <f t="shared" si="75"/>
        <v>1600</v>
      </c>
      <c r="P790" s="805">
        <f t="shared" si="76"/>
        <v>1600</v>
      </c>
      <c r="Q790" s="806">
        <f t="shared" si="77"/>
        <v>1600</v>
      </c>
    </row>
    <row r="791" spans="1:17" x14ac:dyDescent="0.2">
      <c r="A791" s="797" t="s">
        <v>18098</v>
      </c>
      <c r="B791" s="798" t="s">
        <v>18017</v>
      </c>
      <c r="C791" s="798" t="s">
        <v>13990</v>
      </c>
      <c r="D791" s="798" t="s">
        <v>18099</v>
      </c>
      <c r="E791" s="798" t="s">
        <v>18019</v>
      </c>
      <c r="F791" s="798">
        <v>1</v>
      </c>
      <c r="G791" s="798" t="s">
        <v>3779</v>
      </c>
      <c r="H791" s="798" t="s">
        <v>3779</v>
      </c>
      <c r="I791" s="799">
        <v>1700</v>
      </c>
      <c r="J791" s="798">
        <v>1</v>
      </c>
      <c r="K791" s="799">
        <f t="shared" si="78"/>
        <v>1700</v>
      </c>
      <c r="L791" s="799">
        <f t="shared" si="79"/>
        <v>1700</v>
      </c>
      <c r="M791" s="799">
        <f t="shared" si="74"/>
        <v>1700</v>
      </c>
      <c r="N791" s="798" t="s">
        <v>18020</v>
      </c>
      <c r="O791" s="800">
        <f t="shared" si="75"/>
        <v>1700</v>
      </c>
      <c r="P791" s="800">
        <f t="shared" si="76"/>
        <v>1700</v>
      </c>
      <c r="Q791" s="801">
        <f t="shared" si="77"/>
        <v>1700</v>
      </c>
    </row>
    <row r="792" spans="1:17" x14ac:dyDescent="0.2">
      <c r="A792" s="802" t="s">
        <v>18100</v>
      </c>
      <c r="B792" s="803" t="s">
        <v>18017</v>
      </c>
      <c r="C792" s="803" t="s">
        <v>13990</v>
      </c>
      <c r="D792" s="803" t="s">
        <v>18101</v>
      </c>
      <c r="E792" s="803" t="s">
        <v>18019</v>
      </c>
      <c r="F792" s="803">
        <v>1</v>
      </c>
      <c r="G792" s="803" t="s">
        <v>3779</v>
      </c>
      <c r="H792" s="803" t="s">
        <v>3779</v>
      </c>
      <c r="I792" s="804">
        <v>1800</v>
      </c>
      <c r="J792" s="803">
        <v>1</v>
      </c>
      <c r="K792" s="804">
        <f t="shared" si="78"/>
        <v>1800</v>
      </c>
      <c r="L792" s="804">
        <f t="shared" si="79"/>
        <v>1800</v>
      </c>
      <c r="M792" s="804">
        <f t="shared" si="74"/>
        <v>1800</v>
      </c>
      <c r="N792" s="803" t="s">
        <v>18020</v>
      </c>
      <c r="O792" s="805">
        <f t="shared" si="75"/>
        <v>1800</v>
      </c>
      <c r="P792" s="805">
        <f t="shared" si="76"/>
        <v>1800</v>
      </c>
      <c r="Q792" s="806">
        <f t="shared" si="77"/>
        <v>1800</v>
      </c>
    </row>
    <row r="793" spans="1:17" x14ac:dyDescent="0.2">
      <c r="A793" s="797" t="s">
        <v>18102</v>
      </c>
      <c r="B793" s="798" t="s">
        <v>18017</v>
      </c>
      <c r="C793" s="798" t="s">
        <v>13990</v>
      </c>
      <c r="D793" s="798" t="s">
        <v>18103</v>
      </c>
      <c r="E793" s="798" t="s">
        <v>18019</v>
      </c>
      <c r="F793" s="798">
        <v>1</v>
      </c>
      <c r="G793" s="798" t="s">
        <v>3779</v>
      </c>
      <c r="H793" s="798" t="s">
        <v>3779</v>
      </c>
      <c r="I793" s="799">
        <v>1900</v>
      </c>
      <c r="J793" s="798">
        <v>1</v>
      </c>
      <c r="K793" s="799">
        <f t="shared" si="78"/>
        <v>1900</v>
      </c>
      <c r="L793" s="799">
        <f t="shared" si="79"/>
        <v>1900</v>
      </c>
      <c r="M793" s="799">
        <f t="shared" si="74"/>
        <v>1900</v>
      </c>
      <c r="N793" s="798" t="s">
        <v>18020</v>
      </c>
      <c r="O793" s="800">
        <f t="shared" si="75"/>
        <v>1900</v>
      </c>
      <c r="P793" s="800">
        <f t="shared" si="76"/>
        <v>1900</v>
      </c>
      <c r="Q793" s="801">
        <f t="shared" si="77"/>
        <v>1900</v>
      </c>
    </row>
    <row r="794" spans="1:17" x14ac:dyDescent="0.2">
      <c r="A794" s="802" t="s">
        <v>18104</v>
      </c>
      <c r="B794" s="803" t="s">
        <v>18017</v>
      </c>
      <c r="C794" s="803" t="s">
        <v>13990</v>
      </c>
      <c r="D794" s="803" t="s">
        <v>18105</v>
      </c>
      <c r="E794" s="803" t="s">
        <v>18031</v>
      </c>
      <c r="F794" s="803">
        <v>1</v>
      </c>
      <c r="G794" s="803" t="s">
        <v>3779</v>
      </c>
      <c r="H794" s="803" t="s">
        <v>2837</v>
      </c>
      <c r="I794" s="804">
        <v>2000</v>
      </c>
      <c r="J794" s="803">
        <v>1</v>
      </c>
      <c r="K794" s="804">
        <f t="shared" si="78"/>
        <v>2000</v>
      </c>
      <c r="L794" s="804">
        <f t="shared" si="79"/>
        <v>2000</v>
      </c>
      <c r="M794" s="804">
        <f t="shared" si="74"/>
        <v>2000</v>
      </c>
      <c r="N794" s="803" t="s">
        <v>18020</v>
      </c>
      <c r="O794" s="805">
        <f t="shared" si="75"/>
        <v>2000</v>
      </c>
      <c r="P794" s="805">
        <f t="shared" si="76"/>
        <v>2000</v>
      </c>
      <c r="Q794" s="806">
        <f t="shared" si="77"/>
        <v>2000</v>
      </c>
    </row>
    <row r="795" spans="1:17" x14ac:dyDescent="0.2">
      <c r="A795" s="797" t="s">
        <v>18106</v>
      </c>
      <c r="B795" s="798" t="s">
        <v>18017</v>
      </c>
      <c r="C795" s="798" t="s">
        <v>13990</v>
      </c>
      <c r="D795" s="798" t="s">
        <v>18105</v>
      </c>
      <c r="E795" s="798" t="s">
        <v>18033</v>
      </c>
      <c r="F795" s="798">
        <v>3</v>
      </c>
      <c r="G795" s="798" t="s">
        <v>3779</v>
      </c>
      <c r="H795" s="798" t="s">
        <v>2837</v>
      </c>
      <c r="I795" s="799">
        <v>5200</v>
      </c>
      <c r="J795" s="798">
        <v>1</v>
      </c>
      <c r="K795" s="799">
        <f t="shared" si="78"/>
        <v>5200</v>
      </c>
      <c r="L795" s="799">
        <f t="shared" si="79"/>
        <v>5200</v>
      </c>
      <c r="M795" s="799">
        <f t="shared" si="74"/>
        <v>5200</v>
      </c>
      <c r="N795" s="798" t="s">
        <v>18037</v>
      </c>
      <c r="O795" s="800">
        <f t="shared" si="75"/>
        <v>5200</v>
      </c>
      <c r="P795" s="800">
        <f t="shared" si="76"/>
        <v>5200</v>
      </c>
      <c r="Q795" s="801">
        <f t="shared" si="77"/>
        <v>5200</v>
      </c>
    </row>
    <row r="796" spans="1:17" x14ac:dyDescent="0.2">
      <c r="A796" s="802" t="s">
        <v>18107</v>
      </c>
      <c r="B796" s="803" t="s">
        <v>18017</v>
      </c>
      <c r="C796" s="803" t="s">
        <v>13990</v>
      </c>
      <c r="D796" s="803" t="s">
        <v>18108</v>
      </c>
      <c r="E796" s="803" t="s">
        <v>18031</v>
      </c>
      <c r="F796" s="803">
        <v>1</v>
      </c>
      <c r="G796" s="803" t="s">
        <v>3779</v>
      </c>
      <c r="H796" s="803" t="s">
        <v>2837</v>
      </c>
      <c r="I796" s="804">
        <v>2000</v>
      </c>
      <c r="J796" s="803">
        <v>1</v>
      </c>
      <c r="K796" s="804">
        <f t="shared" si="78"/>
        <v>2000</v>
      </c>
      <c r="L796" s="804">
        <f t="shared" si="79"/>
        <v>2000</v>
      </c>
      <c r="M796" s="804">
        <f t="shared" si="74"/>
        <v>2000</v>
      </c>
      <c r="N796" s="803" t="s">
        <v>18020</v>
      </c>
      <c r="O796" s="805">
        <f t="shared" si="75"/>
        <v>2000</v>
      </c>
      <c r="P796" s="805">
        <f t="shared" si="76"/>
        <v>2000</v>
      </c>
      <c r="Q796" s="806">
        <f t="shared" si="77"/>
        <v>2000</v>
      </c>
    </row>
    <row r="797" spans="1:17" x14ac:dyDescent="0.2">
      <c r="A797" s="797" t="s">
        <v>18109</v>
      </c>
      <c r="B797" s="798" t="s">
        <v>18017</v>
      </c>
      <c r="C797" s="798" t="s">
        <v>13990</v>
      </c>
      <c r="D797" s="798" t="s">
        <v>18108</v>
      </c>
      <c r="E797" s="798" t="s">
        <v>18033</v>
      </c>
      <c r="F797" s="798">
        <v>3</v>
      </c>
      <c r="G797" s="798" t="s">
        <v>3779</v>
      </c>
      <c r="H797" s="798" t="s">
        <v>2837</v>
      </c>
      <c r="I797" s="799">
        <v>5200</v>
      </c>
      <c r="J797" s="798">
        <v>1</v>
      </c>
      <c r="K797" s="799">
        <f t="shared" si="78"/>
        <v>5200</v>
      </c>
      <c r="L797" s="799">
        <f t="shared" si="79"/>
        <v>5200</v>
      </c>
      <c r="M797" s="799">
        <f t="shared" si="74"/>
        <v>5200</v>
      </c>
      <c r="N797" s="798" t="s">
        <v>18037</v>
      </c>
      <c r="O797" s="800">
        <f t="shared" si="75"/>
        <v>5200</v>
      </c>
      <c r="P797" s="800">
        <f t="shared" si="76"/>
        <v>5200</v>
      </c>
      <c r="Q797" s="801">
        <f t="shared" si="77"/>
        <v>5200</v>
      </c>
    </row>
    <row r="798" spans="1:17" x14ac:dyDescent="0.2">
      <c r="A798" s="802" t="s">
        <v>18110</v>
      </c>
      <c r="B798" s="803" t="s">
        <v>18017</v>
      </c>
      <c r="C798" s="803" t="s">
        <v>13990</v>
      </c>
      <c r="D798" s="803" t="s">
        <v>18108</v>
      </c>
      <c r="E798" s="803" t="s">
        <v>18039</v>
      </c>
      <c r="F798" s="803">
        <v>4</v>
      </c>
      <c r="G798" s="803" t="s">
        <v>3779</v>
      </c>
      <c r="H798" s="803" t="s">
        <v>2837</v>
      </c>
      <c r="I798" s="804">
        <v>9500</v>
      </c>
      <c r="J798" s="803">
        <v>1</v>
      </c>
      <c r="K798" s="804">
        <f t="shared" si="78"/>
        <v>9500</v>
      </c>
      <c r="L798" s="804">
        <f t="shared" si="79"/>
        <v>9500</v>
      </c>
      <c r="M798" s="804">
        <f t="shared" si="74"/>
        <v>9500</v>
      </c>
      <c r="N798" s="803" t="s">
        <v>18037</v>
      </c>
      <c r="O798" s="805">
        <f t="shared" si="75"/>
        <v>9500</v>
      </c>
      <c r="P798" s="805">
        <f t="shared" si="76"/>
        <v>9500</v>
      </c>
      <c r="Q798" s="806">
        <f t="shared" si="77"/>
        <v>9500</v>
      </c>
    </row>
    <row r="799" spans="1:17" x14ac:dyDescent="0.2">
      <c r="A799" s="797" t="s">
        <v>18111</v>
      </c>
      <c r="B799" s="798" t="s">
        <v>18017</v>
      </c>
      <c r="C799" s="798" t="s">
        <v>13990</v>
      </c>
      <c r="D799" s="798" t="s">
        <v>18108</v>
      </c>
      <c r="E799" s="798" t="s">
        <v>18041</v>
      </c>
      <c r="F799" s="798">
        <v>5</v>
      </c>
      <c r="G799" s="798" t="s">
        <v>3779</v>
      </c>
      <c r="H799" s="798" t="s">
        <v>2837</v>
      </c>
      <c r="I799" s="799">
        <v>15000</v>
      </c>
      <c r="J799" s="798">
        <v>1</v>
      </c>
      <c r="K799" s="799">
        <f t="shared" si="78"/>
        <v>15000</v>
      </c>
      <c r="L799" s="799">
        <f t="shared" si="79"/>
        <v>15000</v>
      </c>
      <c r="M799" s="799">
        <f t="shared" si="74"/>
        <v>15000</v>
      </c>
      <c r="N799" s="798" t="s">
        <v>18042</v>
      </c>
      <c r="O799" s="800">
        <f t="shared" si="75"/>
        <v>15000</v>
      </c>
      <c r="P799" s="800">
        <f t="shared" si="76"/>
        <v>15000</v>
      </c>
      <c r="Q799" s="801">
        <f t="shared" si="77"/>
        <v>15000</v>
      </c>
    </row>
    <row r="800" spans="1:17" x14ac:dyDescent="0.2">
      <c r="A800" s="802" t="s">
        <v>18112</v>
      </c>
      <c r="B800" s="803" t="s">
        <v>18046</v>
      </c>
      <c r="C800" s="803" t="s">
        <v>14001</v>
      </c>
      <c r="D800" s="803" t="s">
        <v>18113</v>
      </c>
      <c r="E800" s="803" t="s">
        <v>18019</v>
      </c>
      <c r="F800" s="803">
        <v>1</v>
      </c>
      <c r="G800" s="803" t="s">
        <v>122</v>
      </c>
      <c r="H800" s="803" t="s">
        <v>122</v>
      </c>
      <c r="I800" s="804">
        <v>1800</v>
      </c>
      <c r="J800" s="803">
        <v>1</v>
      </c>
      <c r="K800" s="804">
        <f t="shared" si="78"/>
        <v>1800</v>
      </c>
      <c r="L800" s="804">
        <f t="shared" si="79"/>
        <v>1800</v>
      </c>
      <c r="M800" s="804">
        <f t="shared" si="74"/>
        <v>1800</v>
      </c>
      <c r="N800" s="803" t="s">
        <v>18048</v>
      </c>
      <c r="O800" s="805">
        <f t="shared" si="75"/>
        <v>1800</v>
      </c>
      <c r="P800" s="805">
        <f t="shared" si="76"/>
        <v>1800</v>
      </c>
      <c r="Q800" s="806">
        <f t="shared" si="77"/>
        <v>1800</v>
      </c>
    </row>
    <row r="801" spans="1:17" x14ac:dyDescent="0.2">
      <c r="A801" s="797" t="s">
        <v>18114</v>
      </c>
      <c r="B801" s="798" t="s">
        <v>18046</v>
      </c>
      <c r="C801" s="798" t="s">
        <v>14001</v>
      </c>
      <c r="D801" s="798" t="s">
        <v>18115</v>
      </c>
      <c r="E801" s="798" t="s">
        <v>18019</v>
      </c>
      <c r="F801" s="798">
        <v>1</v>
      </c>
      <c r="G801" s="798" t="s">
        <v>122</v>
      </c>
      <c r="H801" s="798" t="s">
        <v>122</v>
      </c>
      <c r="I801" s="799">
        <v>2200</v>
      </c>
      <c r="J801" s="798">
        <v>1</v>
      </c>
      <c r="K801" s="799">
        <f t="shared" si="78"/>
        <v>2200</v>
      </c>
      <c r="L801" s="799">
        <f t="shared" si="79"/>
        <v>2200</v>
      </c>
      <c r="M801" s="799">
        <f t="shared" si="74"/>
        <v>2200</v>
      </c>
      <c r="N801" s="798" t="s">
        <v>18048</v>
      </c>
      <c r="O801" s="800">
        <f t="shared" si="75"/>
        <v>2200</v>
      </c>
      <c r="P801" s="800">
        <f t="shared" si="76"/>
        <v>2200</v>
      </c>
      <c r="Q801" s="801">
        <f t="shared" si="77"/>
        <v>2200</v>
      </c>
    </row>
    <row r="802" spans="1:17" x14ac:dyDescent="0.2">
      <c r="A802" s="802" t="s">
        <v>18116</v>
      </c>
      <c r="B802" s="803" t="s">
        <v>18046</v>
      </c>
      <c r="C802" s="803" t="s">
        <v>14001</v>
      </c>
      <c r="D802" s="803" t="s">
        <v>18117</v>
      </c>
      <c r="E802" s="803" t="s">
        <v>18031</v>
      </c>
      <c r="F802" s="803">
        <v>1</v>
      </c>
      <c r="G802" s="803" t="s">
        <v>122</v>
      </c>
      <c r="H802" s="803" t="s">
        <v>1103</v>
      </c>
      <c r="I802" s="804">
        <v>3000</v>
      </c>
      <c r="J802" s="803">
        <v>1</v>
      </c>
      <c r="K802" s="804">
        <f t="shared" si="78"/>
        <v>3000</v>
      </c>
      <c r="L802" s="804">
        <f t="shared" si="79"/>
        <v>3000</v>
      </c>
      <c r="M802" s="804">
        <f t="shared" si="74"/>
        <v>3000</v>
      </c>
      <c r="N802" s="803" t="s">
        <v>18048</v>
      </c>
      <c r="O802" s="805">
        <f t="shared" si="75"/>
        <v>3000</v>
      </c>
      <c r="P802" s="805">
        <f t="shared" si="76"/>
        <v>3000</v>
      </c>
      <c r="Q802" s="806">
        <f t="shared" si="77"/>
        <v>3000</v>
      </c>
    </row>
    <row r="803" spans="1:17" x14ac:dyDescent="0.2">
      <c r="A803" s="797" t="s">
        <v>18118</v>
      </c>
      <c r="B803" s="798" t="s">
        <v>18046</v>
      </c>
      <c r="C803" s="798" t="s">
        <v>14001</v>
      </c>
      <c r="D803" s="798" t="s">
        <v>18117</v>
      </c>
      <c r="E803" s="798" t="s">
        <v>18054</v>
      </c>
      <c r="F803" s="798">
        <v>2</v>
      </c>
      <c r="G803" s="798" t="s">
        <v>122</v>
      </c>
      <c r="H803" s="798" t="s">
        <v>1103</v>
      </c>
      <c r="I803" s="799">
        <v>5000</v>
      </c>
      <c r="J803" s="798">
        <v>1</v>
      </c>
      <c r="K803" s="799">
        <f t="shared" si="78"/>
        <v>5000</v>
      </c>
      <c r="L803" s="799">
        <f t="shared" si="79"/>
        <v>5000</v>
      </c>
      <c r="M803" s="799">
        <f t="shared" si="74"/>
        <v>5000</v>
      </c>
      <c r="N803" s="798" t="s">
        <v>18055</v>
      </c>
      <c r="O803" s="800">
        <f t="shared" si="75"/>
        <v>5000</v>
      </c>
      <c r="P803" s="800">
        <f t="shared" si="76"/>
        <v>5000</v>
      </c>
      <c r="Q803" s="801">
        <f t="shared" si="77"/>
        <v>5000</v>
      </c>
    </row>
    <row r="804" spans="1:17" x14ac:dyDescent="0.2">
      <c r="A804" s="802" t="s">
        <v>18119</v>
      </c>
      <c r="B804" s="803" t="s">
        <v>18046</v>
      </c>
      <c r="C804" s="803" t="s">
        <v>14001</v>
      </c>
      <c r="D804" s="803" t="s">
        <v>18117</v>
      </c>
      <c r="E804" s="803" t="s">
        <v>18033</v>
      </c>
      <c r="F804" s="803">
        <v>3</v>
      </c>
      <c r="G804" s="803" t="s">
        <v>122</v>
      </c>
      <c r="H804" s="803" t="s">
        <v>1103</v>
      </c>
      <c r="I804" s="804">
        <v>7000</v>
      </c>
      <c r="J804" s="803">
        <v>1</v>
      </c>
      <c r="K804" s="804">
        <f t="shared" si="78"/>
        <v>7000</v>
      </c>
      <c r="L804" s="804">
        <f t="shared" si="79"/>
        <v>7000</v>
      </c>
      <c r="M804" s="804">
        <f t="shared" si="74"/>
        <v>7000</v>
      </c>
      <c r="N804" s="803" t="s">
        <v>18057</v>
      </c>
      <c r="O804" s="805">
        <f t="shared" si="75"/>
        <v>7000</v>
      </c>
      <c r="P804" s="805">
        <f t="shared" si="76"/>
        <v>7000</v>
      </c>
      <c r="Q804" s="806">
        <f t="shared" si="77"/>
        <v>7000</v>
      </c>
    </row>
    <row r="805" spans="1:17" x14ac:dyDescent="0.2">
      <c r="A805" s="797" t="s">
        <v>18120</v>
      </c>
      <c r="B805" s="798" t="s">
        <v>18046</v>
      </c>
      <c r="C805" s="798" t="s">
        <v>14001</v>
      </c>
      <c r="D805" s="798" t="s">
        <v>18121</v>
      </c>
      <c r="E805" s="798" t="s">
        <v>18033</v>
      </c>
      <c r="F805" s="798">
        <v>1</v>
      </c>
      <c r="G805" s="798" t="s">
        <v>122</v>
      </c>
      <c r="H805" s="798" t="s">
        <v>1103</v>
      </c>
      <c r="I805" s="799">
        <v>7000</v>
      </c>
      <c r="J805" s="798">
        <v>1</v>
      </c>
      <c r="K805" s="799">
        <f t="shared" si="78"/>
        <v>7000</v>
      </c>
      <c r="L805" s="799">
        <f t="shared" si="79"/>
        <v>7000</v>
      </c>
      <c r="M805" s="799">
        <f t="shared" si="74"/>
        <v>7000</v>
      </c>
      <c r="N805" s="798" t="s">
        <v>18057</v>
      </c>
      <c r="O805" s="800">
        <f t="shared" si="75"/>
        <v>7000</v>
      </c>
      <c r="P805" s="800">
        <f t="shared" si="76"/>
        <v>7000</v>
      </c>
      <c r="Q805" s="801">
        <f t="shared" si="77"/>
        <v>7000</v>
      </c>
    </row>
    <row r="806" spans="1:17" x14ac:dyDescent="0.2">
      <c r="A806" s="802" t="s">
        <v>18122</v>
      </c>
      <c r="B806" s="803" t="s">
        <v>18046</v>
      </c>
      <c r="C806" s="803" t="s">
        <v>14001</v>
      </c>
      <c r="D806" s="803" t="s">
        <v>18121</v>
      </c>
      <c r="E806" s="803" t="s">
        <v>18061</v>
      </c>
      <c r="F806" s="803">
        <v>2</v>
      </c>
      <c r="G806" s="803" t="s">
        <v>122</v>
      </c>
      <c r="H806" s="803" t="s">
        <v>1103</v>
      </c>
      <c r="I806" s="804">
        <v>12000</v>
      </c>
      <c r="J806" s="803">
        <v>1</v>
      </c>
      <c r="K806" s="804">
        <f t="shared" si="78"/>
        <v>12000</v>
      </c>
      <c r="L806" s="804">
        <f t="shared" si="79"/>
        <v>12000</v>
      </c>
      <c r="M806" s="804">
        <f t="shared" si="74"/>
        <v>12000</v>
      </c>
      <c r="N806" s="803" t="s">
        <v>18062</v>
      </c>
      <c r="O806" s="805">
        <f t="shared" si="75"/>
        <v>12000</v>
      </c>
      <c r="P806" s="805">
        <f t="shared" si="76"/>
        <v>12000</v>
      </c>
      <c r="Q806" s="806">
        <f t="shared" si="77"/>
        <v>12000</v>
      </c>
    </row>
    <row r="807" spans="1:17" x14ac:dyDescent="0.2">
      <c r="A807" s="797" t="s">
        <v>18123</v>
      </c>
      <c r="B807" s="798" t="s">
        <v>18017</v>
      </c>
      <c r="C807" s="798" t="s">
        <v>18124</v>
      </c>
      <c r="D807" s="798" t="s">
        <v>18125</v>
      </c>
      <c r="E807" s="798" t="s">
        <v>18019</v>
      </c>
      <c r="F807" s="798">
        <v>1</v>
      </c>
      <c r="G807" s="798" t="s">
        <v>2837</v>
      </c>
      <c r="H807" s="798" t="s">
        <v>2837</v>
      </c>
      <c r="I807" s="799">
        <v>1500</v>
      </c>
      <c r="J807" s="798">
        <v>1</v>
      </c>
      <c r="K807" s="799">
        <f t="shared" si="78"/>
        <v>1500</v>
      </c>
      <c r="L807" s="799">
        <f t="shared" si="79"/>
        <v>1500</v>
      </c>
      <c r="M807" s="799">
        <f t="shared" si="74"/>
        <v>1500</v>
      </c>
      <c r="N807" s="798" t="s">
        <v>18020</v>
      </c>
      <c r="O807" s="800">
        <f t="shared" si="75"/>
        <v>1500</v>
      </c>
      <c r="P807" s="800">
        <f t="shared" si="76"/>
        <v>1500</v>
      </c>
      <c r="Q807" s="801">
        <f t="shared" si="77"/>
        <v>1500</v>
      </c>
    </row>
    <row r="808" spans="1:17" x14ac:dyDescent="0.2">
      <c r="A808" s="802" t="s">
        <v>18126</v>
      </c>
      <c r="B808" s="803" t="s">
        <v>18017</v>
      </c>
      <c r="C808" s="803" t="s">
        <v>18124</v>
      </c>
      <c r="D808" s="803" t="s">
        <v>18127</v>
      </c>
      <c r="E808" s="803" t="s">
        <v>18019</v>
      </c>
      <c r="F808" s="803">
        <v>1</v>
      </c>
      <c r="G808" s="803" t="s">
        <v>2837</v>
      </c>
      <c r="H808" s="803" t="s">
        <v>2837</v>
      </c>
      <c r="I808" s="804">
        <v>1600</v>
      </c>
      <c r="J808" s="803">
        <v>1</v>
      </c>
      <c r="K808" s="804">
        <f t="shared" si="78"/>
        <v>1600</v>
      </c>
      <c r="L808" s="804">
        <f t="shared" si="79"/>
        <v>1600</v>
      </c>
      <c r="M808" s="804">
        <f t="shared" si="74"/>
        <v>1600</v>
      </c>
      <c r="N808" s="803" t="s">
        <v>18020</v>
      </c>
      <c r="O808" s="805">
        <f t="shared" si="75"/>
        <v>1600</v>
      </c>
      <c r="P808" s="805">
        <f t="shared" si="76"/>
        <v>1600</v>
      </c>
      <c r="Q808" s="806">
        <f t="shared" si="77"/>
        <v>1600</v>
      </c>
    </row>
    <row r="809" spans="1:17" x14ac:dyDescent="0.2">
      <c r="A809" s="797" t="s">
        <v>18128</v>
      </c>
      <c r="B809" s="798" t="s">
        <v>18017</v>
      </c>
      <c r="C809" s="798" t="s">
        <v>18124</v>
      </c>
      <c r="D809" s="798" t="s">
        <v>18129</v>
      </c>
      <c r="E809" s="798" t="s">
        <v>18019</v>
      </c>
      <c r="F809" s="798">
        <v>1</v>
      </c>
      <c r="G809" s="798" t="s">
        <v>2837</v>
      </c>
      <c r="H809" s="798" t="s">
        <v>2837</v>
      </c>
      <c r="I809" s="799">
        <v>1700</v>
      </c>
      <c r="J809" s="798">
        <v>1</v>
      </c>
      <c r="K809" s="799">
        <f t="shared" si="78"/>
        <v>1700</v>
      </c>
      <c r="L809" s="799">
        <f t="shared" si="79"/>
        <v>1700</v>
      </c>
      <c r="M809" s="799">
        <f t="shared" si="74"/>
        <v>1700</v>
      </c>
      <c r="N809" s="798" t="s">
        <v>18020</v>
      </c>
      <c r="O809" s="800">
        <f t="shared" si="75"/>
        <v>1700</v>
      </c>
      <c r="P809" s="800">
        <f t="shared" si="76"/>
        <v>1700</v>
      </c>
      <c r="Q809" s="801">
        <f t="shared" si="77"/>
        <v>1700</v>
      </c>
    </row>
    <row r="810" spans="1:17" x14ac:dyDescent="0.2">
      <c r="A810" s="802" t="s">
        <v>18130</v>
      </c>
      <c r="B810" s="803" t="s">
        <v>18017</v>
      </c>
      <c r="C810" s="803" t="s">
        <v>18124</v>
      </c>
      <c r="D810" s="803" t="s">
        <v>18131</v>
      </c>
      <c r="E810" s="803" t="s">
        <v>18019</v>
      </c>
      <c r="F810" s="803">
        <v>1</v>
      </c>
      <c r="G810" s="803" t="s">
        <v>2837</v>
      </c>
      <c r="H810" s="803" t="s">
        <v>2837</v>
      </c>
      <c r="I810" s="804">
        <v>1800</v>
      </c>
      <c r="J810" s="803">
        <v>1</v>
      </c>
      <c r="K810" s="804">
        <f t="shared" si="78"/>
        <v>1800</v>
      </c>
      <c r="L810" s="804">
        <f t="shared" si="79"/>
        <v>1800</v>
      </c>
      <c r="M810" s="804">
        <f t="shared" si="74"/>
        <v>1800</v>
      </c>
      <c r="N810" s="803" t="s">
        <v>18020</v>
      </c>
      <c r="O810" s="805">
        <f t="shared" si="75"/>
        <v>1800</v>
      </c>
      <c r="P810" s="805">
        <f t="shared" si="76"/>
        <v>1800</v>
      </c>
      <c r="Q810" s="806">
        <f t="shared" si="77"/>
        <v>1800</v>
      </c>
    </row>
    <row r="811" spans="1:17" x14ac:dyDescent="0.2">
      <c r="A811" s="797" t="s">
        <v>18132</v>
      </c>
      <c r="B811" s="798" t="s">
        <v>18017</v>
      </c>
      <c r="C811" s="798" t="s">
        <v>18124</v>
      </c>
      <c r="D811" s="798" t="s">
        <v>18133</v>
      </c>
      <c r="E811" s="798" t="s">
        <v>18019</v>
      </c>
      <c r="F811" s="798">
        <v>1</v>
      </c>
      <c r="G811" s="798" t="s">
        <v>2837</v>
      </c>
      <c r="H811" s="798" t="s">
        <v>2837</v>
      </c>
      <c r="I811" s="799">
        <v>1900</v>
      </c>
      <c r="J811" s="798">
        <v>1</v>
      </c>
      <c r="K811" s="799">
        <f t="shared" si="78"/>
        <v>1900</v>
      </c>
      <c r="L811" s="799">
        <f t="shared" si="79"/>
        <v>1900</v>
      </c>
      <c r="M811" s="799">
        <f t="shared" si="74"/>
        <v>1900</v>
      </c>
      <c r="N811" s="798" t="s">
        <v>18020</v>
      </c>
      <c r="O811" s="800">
        <f t="shared" si="75"/>
        <v>1900</v>
      </c>
      <c r="P811" s="800">
        <f t="shared" si="76"/>
        <v>1900</v>
      </c>
      <c r="Q811" s="801">
        <f t="shared" si="77"/>
        <v>1900</v>
      </c>
    </row>
    <row r="812" spans="1:17" x14ac:dyDescent="0.2">
      <c r="A812" s="802" t="s">
        <v>18134</v>
      </c>
      <c r="B812" s="803" t="s">
        <v>18017</v>
      </c>
      <c r="C812" s="803" t="s">
        <v>18124</v>
      </c>
      <c r="D812" s="803" t="s">
        <v>18135</v>
      </c>
      <c r="E812" s="803" t="s">
        <v>18031</v>
      </c>
      <c r="F812" s="803">
        <v>1</v>
      </c>
      <c r="G812" s="803" t="s">
        <v>2837</v>
      </c>
      <c r="H812" s="803" t="s">
        <v>3779</v>
      </c>
      <c r="I812" s="804">
        <v>2500</v>
      </c>
      <c r="J812" s="803">
        <v>1</v>
      </c>
      <c r="K812" s="804">
        <f t="shared" si="78"/>
        <v>2500</v>
      </c>
      <c r="L812" s="804">
        <f t="shared" si="79"/>
        <v>2500</v>
      </c>
      <c r="M812" s="804">
        <f t="shared" si="74"/>
        <v>2500</v>
      </c>
      <c r="N812" s="803" t="s">
        <v>18020</v>
      </c>
      <c r="O812" s="805">
        <f t="shared" si="75"/>
        <v>2500</v>
      </c>
      <c r="P812" s="805">
        <f t="shared" si="76"/>
        <v>2500</v>
      </c>
      <c r="Q812" s="806">
        <f t="shared" si="77"/>
        <v>2500</v>
      </c>
    </row>
    <row r="813" spans="1:17" x14ac:dyDescent="0.2">
      <c r="A813" s="797" t="s">
        <v>18136</v>
      </c>
      <c r="B813" s="798" t="s">
        <v>18017</v>
      </c>
      <c r="C813" s="798" t="s">
        <v>18124</v>
      </c>
      <c r="D813" s="798" t="s">
        <v>18135</v>
      </c>
      <c r="E813" s="798" t="s">
        <v>18054</v>
      </c>
      <c r="F813" s="798">
        <v>2</v>
      </c>
      <c r="G813" s="798" t="s">
        <v>2837</v>
      </c>
      <c r="H813" s="798" t="s">
        <v>3779</v>
      </c>
      <c r="I813" s="799">
        <v>3300</v>
      </c>
      <c r="J813" s="798">
        <v>1</v>
      </c>
      <c r="K813" s="799">
        <f t="shared" si="78"/>
        <v>3300</v>
      </c>
      <c r="L813" s="799">
        <f t="shared" si="79"/>
        <v>3300</v>
      </c>
      <c r="M813" s="799">
        <f t="shared" si="74"/>
        <v>3300</v>
      </c>
      <c r="N813" s="798" t="s">
        <v>18020</v>
      </c>
      <c r="O813" s="800">
        <f t="shared" si="75"/>
        <v>3300</v>
      </c>
      <c r="P813" s="800">
        <f t="shared" si="76"/>
        <v>3300</v>
      </c>
      <c r="Q813" s="801">
        <f t="shared" si="77"/>
        <v>3300</v>
      </c>
    </row>
    <row r="814" spans="1:17" x14ac:dyDescent="0.2">
      <c r="A814" s="802" t="s">
        <v>18137</v>
      </c>
      <c r="B814" s="803" t="s">
        <v>18017</v>
      </c>
      <c r="C814" s="803" t="s">
        <v>18124</v>
      </c>
      <c r="D814" s="803" t="s">
        <v>18135</v>
      </c>
      <c r="E814" s="803" t="s">
        <v>18033</v>
      </c>
      <c r="F814" s="803">
        <v>3</v>
      </c>
      <c r="G814" s="803" t="s">
        <v>2837</v>
      </c>
      <c r="H814" s="803" t="s">
        <v>3779</v>
      </c>
      <c r="I814" s="804">
        <v>5200</v>
      </c>
      <c r="J814" s="803">
        <v>1</v>
      </c>
      <c r="K814" s="804">
        <f t="shared" ref="K814:K837" si="80">+I814</f>
        <v>5200</v>
      </c>
      <c r="L814" s="804">
        <f t="shared" ref="L814:L837" si="81">+I814</f>
        <v>5200</v>
      </c>
      <c r="M814" s="804">
        <f t="shared" si="74"/>
        <v>5200</v>
      </c>
      <c r="N814" s="803" t="s">
        <v>18037</v>
      </c>
      <c r="O814" s="805">
        <f t="shared" si="75"/>
        <v>5200</v>
      </c>
      <c r="P814" s="805">
        <f t="shared" si="76"/>
        <v>5200</v>
      </c>
      <c r="Q814" s="806">
        <f t="shared" si="77"/>
        <v>5200</v>
      </c>
    </row>
    <row r="815" spans="1:17" x14ac:dyDescent="0.2">
      <c r="A815" s="797" t="s">
        <v>18138</v>
      </c>
      <c r="B815" s="798" t="s">
        <v>18017</v>
      </c>
      <c r="C815" s="798" t="s">
        <v>18124</v>
      </c>
      <c r="D815" s="798" t="s">
        <v>18139</v>
      </c>
      <c r="E815" s="798" t="s">
        <v>18031</v>
      </c>
      <c r="F815" s="798">
        <v>1</v>
      </c>
      <c r="G815" s="798" t="s">
        <v>2837</v>
      </c>
      <c r="H815" s="798" t="s">
        <v>3779</v>
      </c>
      <c r="I815" s="799">
        <v>2500</v>
      </c>
      <c r="J815" s="798">
        <v>1</v>
      </c>
      <c r="K815" s="799">
        <f t="shared" si="80"/>
        <v>2500</v>
      </c>
      <c r="L815" s="799">
        <f t="shared" si="81"/>
        <v>2500</v>
      </c>
      <c r="M815" s="799">
        <f t="shared" si="74"/>
        <v>2500</v>
      </c>
      <c r="N815" s="798" t="s">
        <v>18020</v>
      </c>
      <c r="O815" s="800">
        <f t="shared" si="75"/>
        <v>2500</v>
      </c>
      <c r="P815" s="800">
        <f t="shared" si="76"/>
        <v>2500</v>
      </c>
      <c r="Q815" s="801">
        <f t="shared" si="77"/>
        <v>2500</v>
      </c>
    </row>
    <row r="816" spans="1:17" x14ac:dyDescent="0.2">
      <c r="A816" s="802" t="s">
        <v>18140</v>
      </c>
      <c r="B816" s="803" t="s">
        <v>18017</v>
      </c>
      <c r="C816" s="803" t="s">
        <v>18124</v>
      </c>
      <c r="D816" s="803" t="s">
        <v>18139</v>
      </c>
      <c r="E816" s="803" t="s">
        <v>18054</v>
      </c>
      <c r="F816" s="803">
        <v>2</v>
      </c>
      <c r="G816" s="803" t="s">
        <v>2837</v>
      </c>
      <c r="H816" s="803" t="s">
        <v>3779</v>
      </c>
      <c r="I816" s="804">
        <v>4000</v>
      </c>
      <c r="J816" s="803">
        <v>1</v>
      </c>
      <c r="K816" s="804">
        <f t="shared" si="80"/>
        <v>4000</v>
      </c>
      <c r="L816" s="804">
        <f t="shared" si="81"/>
        <v>4000</v>
      </c>
      <c r="M816" s="804">
        <f t="shared" si="74"/>
        <v>4000</v>
      </c>
      <c r="N816" s="803" t="s">
        <v>18020</v>
      </c>
      <c r="O816" s="805">
        <f t="shared" si="75"/>
        <v>4000</v>
      </c>
      <c r="P816" s="805">
        <f t="shared" si="76"/>
        <v>4000</v>
      </c>
      <c r="Q816" s="806">
        <f t="shared" si="77"/>
        <v>4000</v>
      </c>
    </row>
    <row r="817" spans="1:17" x14ac:dyDescent="0.2">
      <c r="A817" s="797" t="s">
        <v>18141</v>
      </c>
      <c r="B817" s="798" t="s">
        <v>18017</v>
      </c>
      <c r="C817" s="798" t="s">
        <v>18124</v>
      </c>
      <c r="D817" s="798" t="s">
        <v>18139</v>
      </c>
      <c r="E817" s="798" t="s">
        <v>18033</v>
      </c>
      <c r="F817" s="798">
        <v>3</v>
      </c>
      <c r="G817" s="798" t="s">
        <v>2837</v>
      </c>
      <c r="H817" s="798" t="s">
        <v>3779</v>
      </c>
      <c r="I817" s="799">
        <v>7800</v>
      </c>
      <c r="J817" s="798">
        <v>1</v>
      </c>
      <c r="K817" s="799">
        <f t="shared" si="80"/>
        <v>7800</v>
      </c>
      <c r="L817" s="799">
        <f t="shared" si="81"/>
        <v>7800</v>
      </c>
      <c r="M817" s="799">
        <f t="shared" si="74"/>
        <v>7800</v>
      </c>
      <c r="N817" s="798" t="s">
        <v>18037</v>
      </c>
      <c r="O817" s="800">
        <f t="shared" si="75"/>
        <v>7800</v>
      </c>
      <c r="P817" s="800">
        <f t="shared" si="76"/>
        <v>7800</v>
      </c>
      <c r="Q817" s="801">
        <f t="shared" si="77"/>
        <v>7800</v>
      </c>
    </row>
    <row r="818" spans="1:17" x14ac:dyDescent="0.2">
      <c r="A818" s="802" t="s">
        <v>18142</v>
      </c>
      <c r="B818" s="803" t="s">
        <v>18017</v>
      </c>
      <c r="C818" s="803" t="s">
        <v>18124</v>
      </c>
      <c r="D818" s="803" t="s">
        <v>18139</v>
      </c>
      <c r="E818" s="803" t="s">
        <v>18039</v>
      </c>
      <c r="F818" s="803">
        <v>4</v>
      </c>
      <c r="G818" s="803" t="s">
        <v>2837</v>
      </c>
      <c r="H818" s="803" t="s">
        <v>3779</v>
      </c>
      <c r="I818" s="804">
        <v>9500</v>
      </c>
      <c r="J818" s="803">
        <v>1</v>
      </c>
      <c r="K818" s="804">
        <f t="shared" si="80"/>
        <v>9500</v>
      </c>
      <c r="L818" s="804">
        <f t="shared" si="81"/>
        <v>9500</v>
      </c>
      <c r="M818" s="804">
        <f t="shared" si="74"/>
        <v>9500</v>
      </c>
      <c r="N818" s="803" t="s">
        <v>18037</v>
      </c>
      <c r="O818" s="805">
        <f t="shared" si="75"/>
        <v>9500</v>
      </c>
      <c r="P818" s="805">
        <f t="shared" si="76"/>
        <v>9500</v>
      </c>
      <c r="Q818" s="806">
        <f t="shared" si="77"/>
        <v>9500</v>
      </c>
    </row>
    <row r="819" spans="1:17" x14ac:dyDescent="0.2">
      <c r="A819" s="797" t="s">
        <v>18143</v>
      </c>
      <c r="B819" s="798" t="s">
        <v>18017</v>
      </c>
      <c r="C819" s="798" t="s">
        <v>18124</v>
      </c>
      <c r="D819" s="798" t="s">
        <v>18139</v>
      </c>
      <c r="E819" s="798" t="s">
        <v>18041</v>
      </c>
      <c r="F819" s="798">
        <v>5</v>
      </c>
      <c r="G819" s="798" t="s">
        <v>2837</v>
      </c>
      <c r="H819" s="798" t="s">
        <v>3779</v>
      </c>
      <c r="I819" s="799">
        <v>15000</v>
      </c>
      <c r="J819" s="798">
        <v>1</v>
      </c>
      <c r="K819" s="799">
        <f t="shared" si="80"/>
        <v>15000</v>
      </c>
      <c r="L819" s="799">
        <f t="shared" si="81"/>
        <v>15000</v>
      </c>
      <c r="M819" s="799">
        <f t="shared" si="74"/>
        <v>15000</v>
      </c>
      <c r="N819" s="798" t="s">
        <v>18042</v>
      </c>
      <c r="O819" s="800">
        <f t="shared" si="75"/>
        <v>15000</v>
      </c>
      <c r="P819" s="800">
        <f t="shared" si="76"/>
        <v>15000</v>
      </c>
      <c r="Q819" s="801">
        <f t="shared" si="77"/>
        <v>15000</v>
      </c>
    </row>
    <row r="820" spans="1:17" x14ac:dyDescent="0.2">
      <c r="A820" s="802" t="s">
        <v>18144</v>
      </c>
      <c r="B820" s="803" t="s">
        <v>18046</v>
      </c>
      <c r="C820" s="803" t="s">
        <v>14017</v>
      </c>
      <c r="D820" s="803" t="s">
        <v>18145</v>
      </c>
      <c r="E820" s="803" t="s">
        <v>18019</v>
      </c>
      <c r="F820" s="803">
        <v>1</v>
      </c>
      <c r="G820" s="803" t="s">
        <v>3779</v>
      </c>
      <c r="H820" s="803" t="s">
        <v>2837</v>
      </c>
      <c r="I820" s="804">
        <v>1800</v>
      </c>
      <c r="J820" s="803">
        <v>1</v>
      </c>
      <c r="K820" s="804">
        <f t="shared" si="80"/>
        <v>1800</v>
      </c>
      <c r="L820" s="804">
        <f t="shared" si="81"/>
        <v>1800</v>
      </c>
      <c r="M820" s="804">
        <f t="shared" si="74"/>
        <v>1800</v>
      </c>
      <c r="N820" s="803" t="s">
        <v>18048</v>
      </c>
      <c r="O820" s="805">
        <f t="shared" si="75"/>
        <v>1800</v>
      </c>
      <c r="P820" s="805">
        <f t="shared" si="76"/>
        <v>1800</v>
      </c>
      <c r="Q820" s="806">
        <f t="shared" si="77"/>
        <v>1800</v>
      </c>
    </row>
    <row r="821" spans="1:17" x14ac:dyDescent="0.2">
      <c r="A821" s="797" t="s">
        <v>18146</v>
      </c>
      <c r="B821" s="798" t="s">
        <v>18046</v>
      </c>
      <c r="C821" s="798" t="s">
        <v>14017</v>
      </c>
      <c r="D821" s="798" t="s">
        <v>18147</v>
      </c>
      <c r="E821" s="798" t="s">
        <v>18019</v>
      </c>
      <c r="F821" s="798">
        <v>1</v>
      </c>
      <c r="G821" s="798" t="s">
        <v>3779</v>
      </c>
      <c r="H821" s="798" t="s">
        <v>2837</v>
      </c>
      <c r="I821" s="799">
        <v>2200</v>
      </c>
      <c r="J821" s="798">
        <v>1</v>
      </c>
      <c r="K821" s="799">
        <f t="shared" si="80"/>
        <v>2200</v>
      </c>
      <c r="L821" s="799">
        <f t="shared" si="81"/>
        <v>2200</v>
      </c>
      <c r="M821" s="799">
        <f t="shared" si="74"/>
        <v>2200</v>
      </c>
      <c r="N821" s="798" t="s">
        <v>18048</v>
      </c>
      <c r="O821" s="800">
        <f t="shared" si="75"/>
        <v>2200</v>
      </c>
      <c r="P821" s="800">
        <f t="shared" si="76"/>
        <v>2200</v>
      </c>
      <c r="Q821" s="801">
        <f t="shared" si="77"/>
        <v>2200</v>
      </c>
    </row>
    <row r="822" spans="1:17" x14ac:dyDescent="0.2">
      <c r="A822" s="802" t="s">
        <v>18148</v>
      </c>
      <c r="B822" s="803" t="s">
        <v>18046</v>
      </c>
      <c r="C822" s="803" t="s">
        <v>14017</v>
      </c>
      <c r="D822" s="803" t="s">
        <v>18149</v>
      </c>
      <c r="E822" s="803" t="s">
        <v>18031</v>
      </c>
      <c r="F822" s="803">
        <v>1</v>
      </c>
      <c r="G822" s="803" t="s">
        <v>3779</v>
      </c>
      <c r="H822" s="803" t="s">
        <v>2837</v>
      </c>
      <c r="I822" s="804">
        <v>3000</v>
      </c>
      <c r="J822" s="803">
        <v>1</v>
      </c>
      <c r="K822" s="804">
        <f t="shared" si="80"/>
        <v>3000</v>
      </c>
      <c r="L822" s="804">
        <f t="shared" si="81"/>
        <v>3000</v>
      </c>
      <c r="M822" s="804">
        <f t="shared" si="74"/>
        <v>3000</v>
      </c>
      <c r="N822" s="803" t="s">
        <v>18048</v>
      </c>
      <c r="O822" s="805">
        <f t="shared" si="75"/>
        <v>3000</v>
      </c>
      <c r="P822" s="805">
        <f t="shared" si="76"/>
        <v>3000</v>
      </c>
      <c r="Q822" s="806">
        <f t="shared" si="77"/>
        <v>3000</v>
      </c>
    </row>
    <row r="823" spans="1:17" x14ac:dyDescent="0.2">
      <c r="A823" s="797" t="s">
        <v>18150</v>
      </c>
      <c r="B823" s="798" t="s">
        <v>18046</v>
      </c>
      <c r="C823" s="798" t="s">
        <v>14017</v>
      </c>
      <c r="D823" s="798" t="s">
        <v>18149</v>
      </c>
      <c r="E823" s="798" t="s">
        <v>18054</v>
      </c>
      <c r="F823" s="798">
        <v>2</v>
      </c>
      <c r="G823" s="798" t="s">
        <v>3779</v>
      </c>
      <c r="H823" s="798" t="s">
        <v>2837</v>
      </c>
      <c r="I823" s="799">
        <v>5000</v>
      </c>
      <c r="J823" s="798">
        <v>1</v>
      </c>
      <c r="K823" s="799">
        <f t="shared" si="80"/>
        <v>5000</v>
      </c>
      <c r="L823" s="799">
        <f t="shared" si="81"/>
        <v>5000</v>
      </c>
      <c r="M823" s="799">
        <f t="shared" si="74"/>
        <v>5000</v>
      </c>
      <c r="N823" s="798" t="s">
        <v>18055</v>
      </c>
      <c r="O823" s="800">
        <f t="shared" si="75"/>
        <v>5000</v>
      </c>
      <c r="P823" s="800">
        <f t="shared" si="76"/>
        <v>5000</v>
      </c>
      <c r="Q823" s="801">
        <f t="shared" si="77"/>
        <v>5000</v>
      </c>
    </row>
    <row r="824" spans="1:17" x14ac:dyDescent="0.2">
      <c r="A824" s="802" t="s">
        <v>18151</v>
      </c>
      <c r="B824" s="803" t="s">
        <v>18046</v>
      </c>
      <c r="C824" s="803" t="s">
        <v>14017</v>
      </c>
      <c r="D824" s="803" t="s">
        <v>18149</v>
      </c>
      <c r="E824" s="803" t="s">
        <v>18033</v>
      </c>
      <c r="F824" s="803">
        <v>3</v>
      </c>
      <c r="G824" s="803" t="s">
        <v>3779</v>
      </c>
      <c r="H824" s="803" t="s">
        <v>2837</v>
      </c>
      <c r="I824" s="804">
        <v>7000</v>
      </c>
      <c r="J824" s="803">
        <v>1</v>
      </c>
      <c r="K824" s="804">
        <f t="shared" si="80"/>
        <v>7000</v>
      </c>
      <c r="L824" s="804">
        <f t="shared" si="81"/>
        <v>7000</v>
      </c>
      <c r="M824" s="804">
        <f t="shared" si="74"/>
        <v>7000</v>
      </c>
      <c r="N824" s="803" t="s">
        <v>18057</v>
      </c>
      <c r="O824" s="805">
        <f t="shared" si="75"/>
        <v>7000</v>
      </c>
      <c r="P824" s="805">
        <f t="shared" si="76"/>
        <v>7000</v>
      </c>
      <c r="Q824" s="806">
        <f t="shared" si="77"/>
        <v>7000</v>
      </c>
    </row>
    <row r="825" spans="1:17" x14ac:dyDescent="0.2">
      <c r="A825" s="797" t="s">
        <v>18152</v>
      </c>
      <c r="B825" s="798" t="s">
        <v>18046</v>
      </c>
      <c r="C825" s="798" t="s">
        <v>14017</v>
      </c>
      <c r="D825" s="798" t="s">
        <v>18153</v>
      </c>
      <c r="E825" s="798" t="s">
        <v>18033</v>
      </c>
      <c r="F825" s="798">
        <v>1</v>
      </c>
      <c r="G825" s="798" t="s">
        <v>3779</v>
      </c>
      <c r="H825" s="798" t="s">
        <v>2837</v>
      </c>
      <c r="I825" s="799">
        <v>7000</v>
      </c>
      <c r="J825" s="798">
        <v>1</v>
      </c>
      <c r="K825" s="799">
        <f t="shared" si="80"/>
        <v>7000</v>
      </c>
      <c r="L825" s="799">
        <f t="shared" si="81"/>
        <v>7000</v>
      </c>
      <c r="M825" s="799">
        <f t="shared" si="74"/>
        <v>7000</v>
      </c>
      <c r="N825" s="798" t="s">
        <v>18057</v>
      </c>
      <c r="O825" s="800">
        <f t="shared" si="75"/>
        <v>7000</v>
      </c>
      <c r="P825" s="800">
        <f t="shared" si="76"/>
        <v>7000</v>
      </c>
      <c r="Q825" s="801">
        <f t="shared" si="77"/>
        <v>7000</v>
      </c>
    </row>
    <row r="826" spans="1:17" x14ac:dyDescent="0.2">
      <c r="A826" s="802" t="s">
        <v>18154</v>
      </c>
      <c r="B826" s="803" t="s">
        <v>18046</v>
      </c>
      <c r="C826" s="803" t="s">
        <v>14017</v>
      </c>
      <c r="D826" s="803" t="s">
        <v>18153</v>
      </c>
      <c r="E826" s="803" t="s">
        <v>18061</v>
      </c>
      <c r="F826" s="803">
        <v>2</v>
      </c>
      <c r="G826" s="803" t="s">
        <v>3779</v>
      </c>
      <c r="H826" s="803" t="s">
        <v>2837</v>
      </c>
      <c r="I826" s="804">
        <v>12000</v>
      </c>
      <c r="J826" s="803">
        <v>1</v>
      </c>
      <c r="K826" s="804">
        <f t="shared" si="80"/>
        <v>12000</v>
      </c>
      <c r="L826" s="804">
        <f t="shared" si="81"/>
        <v>12000</v>
      </c>
      <c r="M826" s="804">
        <f t="shared" si="74"/>
        <v>12000</v>
      </c>
      <c r="N826" s="803" t="s">
        <v>18062</v>
      </c>
      <c r="O826" s="805">
        <f t="shared" si="75"/>
        <v>12000</v>
      </c>
      <c r="P826" s="805">
        <f t="shared" si="76"/>
        <v>12000</v>
      </c>
      <c r="Q826" s="806">
        <f t="shared" si="77"/>
        <v>12000</v>
      </c>
    </row>
    <row r="827" spans="1:17" x14ac:dyDescent="0.2">
      <c r="A827" s="797" t="s">
        <v>18155</v>
      </c>
      <c r="B827" s="798" t="s">
        <v>18017</v>
      </c>
      <c r="C827" s="798" t="s">
        <v>14028</v>
      </c>
      <c r="D827" s="798" t="s">
        <v>18156</v>
      </c>
      <c r="E827" s="798" t="s">
        <v>18019</v>
      </c>
      <c r="F827" s="798">
        <v>1</v>
      </c>
      <c r="G827" s="798" t="s">
        <v>1103</v>
      </c>
      <c r="H827" s="798" t="s">
        <v>1103</v>
      </c>
      <c r="I827" s="799">
        <v>1500</v>
      </c>
      <c r="J827" s="798">
        <v>1</v>
      </c>
      <c r="K827" s="799">
        <f t="shared" si="80"/>
        <v>1500</v>
      </c>
      <c r="L827" s="799">
        <f t="shared" si="81"/>
        <v>1500</v>
      </c>
      <c r="M827" s="799">
        <f t="shared" si="74"/>
        <v>1500</v>
      </c>
      <c r="N827" s="798" t="s">
        <v>18020</v>
      </c>
      <c r="O827" s="800">
        <f t="shared" si="75"/>
        <v>1500</v>
      </c>
      <c r="P827" s="800">
        <f t="shared" si="76"/>
        <v>1500</v>
      </c>
      <c r="Q827" s="801">
        <f t="shared" si="77"/>
        <v>1500</v>
      </c>
    </row>
    <row r="828" spans="1:17" x14ac:dyDescent="0.2">
      <c r="A828" s="802" t="s">
        <v>18157</v>
      </c>
      <c r="B828" s="803" t="s">
        <v>18017</v>
      </c>
      <c r="C828" s="803" t="s">
        <v>14028</v>
      </c>
      <c r="D828" s="803" t="s">
        <v>18158</v>
      </c>
      <c r="E828" s="803" t="s">
        <v>18019</v>
      </c>
      <c r="F828" s="803">
        <v>1</v>
      </c>
      <c r="G828" s="803" t="s">
        <v>1103</v>
      </c>
      <c r="H828" s="803" t="s">
        <v>1103</v>
      </c>
      <c r="I828" s="804">
        <v>1600</v>
      </c>
      <c r="J828" s="803">
        <v>1</v>
      </c>
      <c r="K828" s="804">
        <f t="shared" si="80"/>
        <v>1600</v>
      </c>
      <c r="L828" s="804">
        <f t="shared" si="81"/>
        <v>1600</v>
      </c>
      <c r="M828" s="804">
        <f t="shared" si="74"/>
        <v>1600</v>
      </c>
      <c r="N828" s="803" t="s">
        <v>18020</v>
      </c>
      <c r="O828" s="805">
        <f t="shared" si="75"/>
        <v>1600</v>
      </c>
      <c r="P828" s="805">
        <f t="shared" si="76"/>
        <v>1600</v>
      </c>
      <c r="Q828" s="806">
        <f t="shared" si="77"/>
        <v>1600</v>
      </c>
    </row>
    <row r="829" spans="1:17" x14ac:dyDescent="0.2">
      <c r="A829" s="797" t="s">
        <v>18159</v>
      </c>
      <c r="B829" s="798" t="s">
        <v>18017</v>
      </c>
      <c r="C829" s="798" t="s">
        <v>14028</v>
      </c>
      <c r="D829" s="798" t="s">
        <v>18160</v>
      </c>
      <c r="E829" s="798" t="s">
        <v>18019</v>
      </c>
      <c r="F829" s="798">
        <v>1</v>
      </c>
      <c r="G829" s="798" t="s">
        <v>1103</v>
      </c>
      <c r="H829" s="798" t="s">
        <v>1103</v>
      </c>
      <c r="I829" s="799">
        <v>1700</v>
      </c>
      <c r="J829" s="798">
        <v>1</v>
      </c>
      <c r="K829" s="799">
        <f t="shared" si="80"/>
        <v>1700</v>
      </c>
      <c r="L829" s="799">
        <f t="shared" si="81"/>
        <v>1700</v>
      </c>
      <c r="M829" s="799">
        <f t="shared" si="74"/>
        <v>1700</v>
      </c>
      <c r="N829" s="798" t="s">
        <v>18020</v>
      </c>
      <c r="O829" s="800">
        <f t="shared" si="75"/>
        <v>1700</v>
      </c>
      <c r="P829" s="800">
        <f t="shared" si="76"/>
        <v>1700</v>
      </c>
      <c r="Q829" s="801">
        <f t="shared" si="77"/>
        <v>1700</v>
      </c>
    </row>
    <row r="830" spans="1:17" x14ac:dyDescent="0.2">
      <c r="A830" s="802" t="s">
        <v>18161</v>
      </c>
      <c r="B830" s="803" t="s">
        <v>18017</v>
      </c>
      <c r="C830" s="803" t="s">
        <v>14028</v>
      </c>
      <c r="D830" s="803" t="s">
        <v>18162</v>
      </c>
      <c r="E830" s="803" t="s">
        <v>18019</v>
      </c>
      <c r="F830" s="803">
        <v>1</v>
      </c>
      <c r="G830" s="803" t="s">
        <v>1103</v>
      </c>
      <c r="H830" s="803" t="s">
        <v>1103</v>
      </c>
      <c r="I830" s="804">
        <v>1800</v>
      </c>
      <c r="J830" s="803">
        <v>1</v>
      </c>
      <c r="K830" s="804">
        <f t="shared" si="80"/>
        <v>1800</v>
      </c>
      <c r="L830" s="804">
        <f t="shared" si="81"/>
        <v>1800</v>
      </c>
      <c r="M830" s="804">
        <f t="shared" si="74"/>
        <v>1800</v>
      </c>
      <c r="N830" s="803" t="s">
        <v>18020</v>
      </c>
      <c r="O830" s="805">
        <f t="shared" si="75"/>
        <v>1800</v>
      </c>
      <c r="P830" s="805">
        <f t="shared" si="76"/>
        <v>1800</v>
      </c>
      <c r="Q830" s="806">
        <f t="shared" si="77"/>
        <v>1800</v>
      </c>
    </row>
    <row r="831" spans="1:17" x14ac:dyDescent="0.2">
      <c r="A831" s="797" t="s">
        <v>18163</v>
      </c>
      <c r="B831" s="798" t="s">
        <v>18017</v>
      </c>
      <c r="C831" s="798" t="s">
        <v>14028</v>
      </c>
      <c r="D831" s="798" t="s">
        <v>18164</v>
      </c>
      <c r="E831" s="798" t="s">
        <v>18019</v>
      </c>
      <c r="F831" s="798">
        <v>1</v>
      </c>
      <c r="G831" s="798" t="s">
        <v>1103</v>
      </c>
      <c r="H831" s="798" t="s">
        <v>1103</v>
      </c>
      <c r="I831" s="799">
        <v>1900</v>
      </c>
      <c r="J831" s="798">
        <v>1</v>
      </c>
      <c r="K831" s="799">
        <f t="shared" si="80"/>
        <v>1900</v>
      </c>
      <c r="L831" s="799">
        <f t="shared" si="81"/>
        <v>1900</v>
      </c>
      <c r="M831" s="799">
        <f t="shared" si="74"/>
        <v>1900</v>
      </c>
      <c r="N831" s="798" t="s">
        <v>18020</v>
      </c>
      <c r="O831" s="800">
        <f t="shared" si="75"/>
        <v>1900</v>
      </c>
      <c r="P831" s="800">
        <f t="shared" si="76"/>
        <v>1900</v>
      </c>
      <c r="Q831" s="801">
        <f t="shared" si="77"/>
        <v>1900</v>
      </c>
    </row>
    <row r="832" spans="1:17" x14ac:dyDescent="0.2">
      <c r="A832" s="802" t="s">
        <v>18165</v>
      </c>
      <c r="B832" s="803" t="s">
        <v>18017</v>
      </c>
      <c r="C832" s="803" t="s">
        <v>14028</v>
      </c>
      <c r="D832" s="803" t="s">
        <v>18166</v>
      </c>
      <c r="E832" s="803" t="s">
        <v>18031</v>
      </c>
      <c r="F832" s="803">
        <v>1</v>
      </c>
      <c r="G832" s="803" t="s">
        <v>1103</v>
      </c>
      <c r="H832" s="803" t="s">
        <v>1947</v>
      </c>
      <c r="I832" s="804">
        <v>2000</v>
      </c>
      <c r="J832" s="803">
        <v>1</v>
      </c>
      <c r="K832" s="804">
        <f t="shared" si="80"/>
        <v>2000</v>
      </c>
      <c r="L832" s="804">
        <f t="shared" si="81"/>
        <v>2000</v>
      </c>
      <c r="M832" s="804">
        <f t="shared" si="74"/>
        <v>2000</v>
      </c>
      <c r="N832" s="803" t="s">
        <v>18020</v>
      </c>
      <c r="O832" s="805">
        <f t="shared" si="75"/>
        <v>2000</v>
      </c>
      <c r="P832" s="805">
        <f t="shared" si="76"/>
        <v>2000</v>
      </c>
      <c r="Q832" s="806">
        <f t="shared" si="77"/>
        <v>2000</v>
      </c>
    </row>
    <row r="833" spans="1:17" x14ac:dyDescent="0.2">
      <c r="A833" s="797" t="s">
        <v>18167</v>
      </c>
      <c r="B833" s="798" t="s">
        <v>18017</v>
      </c>
      <c r="C833" s="798" t="s">
        <v>14028</v>
      </c>
      <c r="D833" s="798" t="s">
        <v>18166</v>
      </c>
      <c r="E833" s="798" t="s">
        <v>18033</v>
      </c>
      <c r="F833" s="798">
        <v>3</v>
      </c>
      <c r="G833" s="798" t="s">
        <v>1103</v>
      </c>
      <c r="H833" s="798" t="s">
        <v>1947</v>
      </c>
      <c r="I833" s="799">
        <v>5200</v>
      </c>
      <c r="J833" s="798">
        <v>1</v>
      </c>
      <c r="K833" s="799">
        <f t="shared" si="80"/>
        <v>5200</v>
      </c>
      <c r="L833" s="799">
        <f t="shared" si="81"/>
        <v>5200</v>
      </c>
      <c r="M833" s="799">
        <f t="shared" si="74"/>
        <v>5200</v>
      </c>
      <c r="N833" s="798" t="s">
        <v>18037</v>
      </c>
      <c r="O833" s="800">
        <f t="shared" si="75"/>
        <v>5200</v>
      </c>
      <c r="P833" s="800">
        <f t="shared" si="76"/>
        <v>5200</v>
      </c>
      <c r="Q833" s="801">
        <f t="shared" si="77"/>
        <v>5200</v>
      </c>
    </row>
    <row r="834" spans="1:17" x14ac:dyDescent="0.2">
      <c r="A834" s="802" t="s">
        <v>18168</v>
      </c>
      <c r="B834" s="803" t="s">
        <v>18017</v>
      </c>
      <c r="C834" s="803" t="s">
        <v>14028</v>
      </c>
      <c r="D834" s="803" t="s">
        <v>18169</v>
      </c>
      <c r="E834" s="803" t="s">
        <v>18031</v>
      </c>
      <c r="F834" s="803">
        <v>1</v>
      </c>
      <c r="G834" s="803" t="s">
        <v>1103</v>
      </c>
      <c r="H834" s="803" t="s">
        <v>1947</v>
      </c>
      <c r="I834" s="804">
        <v>2500</v>
      </c>
      <c r="J834" s="803">
        <v>1</v>
      </c>
      <c r="K834" s="804">
        <f t="shared" si="80"/>
        <v>2500</v>
      </c>
      <c r="L834" s="804">
        <f t="shared" si="81"/>
        <v>2500</v>
      </c>
      <c r="M834" s="804">
        <f t="shared" ref="M834:M897" si="82">+I834</f>
        <v>2500</v>
      </c>
      <c r="N834" s="803" t="s">
        <v>18020</v>
      </c>
      <c r="O834" s="805">
        <f t="shared" ref="O834:O897" si="83">+J834*K834</f>
        <v>2500</v>
      </c>
      <c r="P834" s="805">
        <f t="shared" ref="P834:P897" si="84">+J834*L834</f>
        <v>2500</v>
      </c>
      <c r="Q834" s="806">
        <f t="shared" ref="Q834:Q897" si="85">+J834*M834</f>
        <v>2500</v>
      </c>
    </row>
    <row r="835" spans="1:17" x14ac:dyDescent="0.2">
      <c r="A835" s="797" t="s">
        <v>18170</v>
      </c>
      <c r="B835" s="798" t="s">
        <v>18017</v>
      </c>
      <c r="C835" s="798" t="s">
        <v>14028</v>
      </c>
      <c r="D835" s="798" t="s">
        <v>18169</v>
      </c>
      <c r="E835" s="798" t="s">
        <v>18033</v>
      </c>
      <c r="F835" s="798">
        <v>2</v>
      </c>
      <c r="G835" s="798" t="s">
        <v>1103</v>
      </c>
      <c r="H835" s="798" t="s">
        <v>1947</v>
      </c>
      <c r="I835" s="799">
        <v>7800</v>
      </c>
      <c r="J835" s="798">
        <v>1</v>
      </c>
      <c r="K835" s="799">
        <f t="shared" si="80"/>
        <v>7800</v>
      </c>
      <c r="L835" s="799">
        <f t="shared" si="81"/>
        <v>7800</v>
      </c>
      <c r="M835" s="799">
        <f t="shared" si="82"/>
        <v>7800</v>
      </c>
      <c r="N835" s="798" t="s">
        <v>18037</v>
      </c>
      <c r="O835" s="800">
        <f t="shared" si="83"/>
        <v>7800</v>
      </c>
      <c r="P835" s="800">
        <f t="shared" si="84"/>
        <v>7800</v>
      </c>
      <c r="Q835" s="801">
        <f t="shared" si="85"/>
        <v>7800</v>
      </c>
    </row>
    <row r="836" spans="1:17" x14ac:dyDescent="0.2">
      <c r="A836" s="802" t="s">
        <v>18171</v>
      </c>
      <c r="B836" s="803" t="s">
        <v>18017</v>
      </c>
      <c r="C836" s="803" t="s">
        <v>14028</v>
      </c>
      <c r="D836" s="803" t="s">
        <v>18169</v>
      </c>
      <c r="E836" s="803" t="s">
        <v>18039</v>
      </c>
      <c r="F836" s="803">
        <v>3</v>
      </c>
      <c r="G836" s="803" t="s">
        <v>1103</v>
      </c>
      <c r="H836" s="803" t="s">
        <v>1947</v>
      </c>
      <c r="I836" s="804">
        <v>9500</v>
      </c>
      <c r="J836" s="803">
        <v>1</v>
      </c>
      <c r="K836" s="804">
        <f t="shared" si="80"/>
        <v>9500</v>
      </c>
      <c r="L836" s="804">
        <f t="shared" si="81"/>
        <v>9500</v>
      </c>
      <c r="M836" s="804">
        <f t="shared" si="82"/>
        <v>9500</v>
      </c>
      <c r="N836" s="803" t="s">
        <v>18037</v>
      </c>
      <c r="O836" s="805">
        <f t="shared" si="83"/>
        <v>9500</v>
      </c>
      <c r="P836" s="805">
        <f t="shared" si="84"/>
        <v>9500</v>
      </c>
      <c r="Q836" s="806">
        <f t="shared" si="85"/>
        <v>9500</v>
      </c>
    </row>
    <row r="837" spans="1:17" x14ac:dyDescent="0.2">
      <c r="A837" s="797" t="s">
        <v>18172</v>
      </c>
      <c r="B837" s="798" t="s">
        <v>18017</v>
      </c>
      <c r="C837" s="798" t="s">
        <v>14028</v>
      </c>
      <c r="D837" s="798" t="s">
        <v>18169</v>
      </c>
      <c r="E837" s="798" t="s">
        <v>18041</v>
      </c>
      <c r="F837" s="798">
        <v>4</v>
      </c>
      <c r="G837" s="798" t="s">
        <v>1103</v>
      </c>
      <c r="H837" s="798" t="s">
        <v>1947</v>
      </c>
      <c r="I837" s="799">
        <v>15000</v>
      </c>
      <c r="J837" s="798">
        <v>1</v>
      </c>
      <c r="K837" s="799">
        <f t="shared" si="80"/>
        <v>15000</v>
      </c>
      <c r="L837" s="799">
        <f t="shared" si="81"/>
        <v>15000</v>
      </c>
      <c r="M837" s="799">
        <f t="shared" si="82"/>
        <v>15000</v>
      </c>
      <c r="N837" s="798" t="s">
        <v>18042</v>
      </c>
      <c r="O837" s="800">
        <f t="shared" si="83"/>
        <v>15000</v>
      </c>
      <c r="P837" s="800">
        <f t="shared" si="84"/>
        <v>15000</v>
      </c>
      <c r="Q837" s="801">
        <f t="shared" si="85"/>
        <v>15000</v>
      </c>
    </row>
    <row r="838" spans="1:17" x14ac:dyDescent="0.2">
      <c r="A838" s="802" t="s">
        <v>18173</v>
      </c>
      <c r="B838" s="803" t="s">
        <v>18017</v>
      </c>
      <c r="C838" s="803" t="s">
        <v>14028</v>
      </c>
      <c r="D838" s="803" t="s">
        <v>18169</v>
      </c>
      <c r="E838" s="803" t="s">
        <v>18044</v>
      </c>
      <c r="F838" s="803">
        <v>5</v>
      </c>
      <c r="G838" s="803" t="s">
        <v>1103</v>
      </c>
      <c r="H838" s="803" t="s">
        <v>1947</v>
      </c>
      <c r="I838" s="804">
        <v>22000</v>
      </c>
      <c r="J838" s="803">
        <v>1</v>
      </c>
      <c r="K838" s="804">
        <v>100000</v>
      </c>
      <c r="L838" s="804">
        <v>100000</v>
      </c>
      <c r="M838" s="804">
        <f t="shared" si="82"/>
        <v>22000</v>
      </c>
      <c r="N838" s="803" t="s">
        <v>18042</v>
      </c>
      <c r="O838" s="805">
        <f t="shared" si="83"/>
        <v>100000</v>
      </c>
      <c r="P838" s="805">
        <f t="shared" si="84"/>
        <v>100000</v>
      </c>
      <c r="Q838" s="806">
        <f t="shared" si="85"/>
        <v>22000</v>
      </c>
    </row>
    <row r="839" spans="1:17" x14ac:dyDescent="0.2">
      <c r="A839" s="797" t="s">
        <v>18174</v>
      </c>
      <c r="B839" s="798" t="s">
        <v>18175</v>
      </c>
      <c r="C839" s="798" t="s">
        <v>14038</v>
      </c>
      <c r="D839" s="798" t="s">
        <v>18176</v>
      </c>
      <c r="E839" s="798" t="s">
        <v>18031</v>
      </c>
      <c r="F839" s="798">
        <v>1</v>
      </c>
      <c r="G839" s="798" t="s">
        <v>1947</v>
      </c>
      <c r="H839" s="798" t="s">
        <v>122</v>
      </c>
      <c r="I839" s="799">
        <v>1500</v>
      </c>
      <c r="J839" s="798">
        <v>1</v>
      </c>
      <c r="K839" s="799">
        <f t="shared" ref="K839:K849" si="86">+I839</f>
        <v>1500</v>
      </c>
      <c r="L839" s="799">
        <f t="shared" ref="L839:L849" si="87">+I839</f>
        <v>1500</v>
      </c>
      <c r="M839" s="799">
        <f t="shared" si="82"/>
        <v>1500</v>
      </c>
      <c r="N839" s="798" t="s">
        <v>18048</v>
      </c>
      <c r="O839" s="800">
        <f t="shared" si="83"/>
        <v>1500</v>
      </c>
      <c r="P839" s="800">
        <f t="shared" si="84"/>
        <v>1500</v>
      </c>
      <c r="Q839" s="801">
        <f t="shared" si="85"/>
        <v>1500</v>
      </c>
    </row>
    <row r="840" spans="1:17" x14ac:dyDescent="0.2">
      <c r="A840" s="802" t="s">
        <v>18177</v>
      </c>
      <c r="B840" s="803" t="s">
        <v>18175</v>
      </c>
      <c r="C840" s="803" t="s">
        <v>14038</v>
      </c>
      <c r="D840" s="803" t="s">
        <v>18178</v>
      </c>
      <c r="E840" s="803" t="s">
        <v>18031</v>
      </c>
      <c r="F840" s="803">
        <v>1</v>
      </c>
      <c r="G840" s="803" t="s">
        <v>1947</v>
      </c>
      <c r="H840" s="803" t="s">
        <v>122</v>
      </c>
      <c r="I840" s="804">
        <v>2000</v>
      </c>
      <c r="J840" s="803">
        <v>1</v>
      </c>
      <c r="K840" s="804">
        <f t="shared" si="86"/>
        <v>2000</v>
      </c>
      <c r="L840" s="804">
        <f t="shared" si="87"/>
        <v>2000</v>
      </c>
      <c r="M840" s="804">
        <f t="shared" si="82"/>
        <v>2000</v>
      </c>
      <c r="N840" s="803" t="s">
        <v>18048</v>
      </c>
      <c r="O840" s="805">
        <f t="shared" si="83"/>
        <v>2000</v>
      </c>
      <c r="P840" s="805">
        <f t="shared" si="84"/>
        <v>2000</v>
      </c>
      <c r="Q840" s="806">
        <f t="shared" si="85"/>
        <v>2000</v>
      </c>
    </row>
    <row r="841" spans="1:17" x14ac:dyDescent="0.2">
      <c r="A841" s="797" t="s">
        <v>18179</v>
      </c>
      <c r="B841" s="798" t="s">
        <v>18175</v>
      </c>
      <c r="C841" s="798" t="s">
        <v>14038</v>
      </c>
      <c r="D841" s="798" t="s">
        <v>18180</v>
      </c>
      <c r="E841" s="798" t="s">
        <v>18031</v>
      </c>
      <c r="F841" s="798">
        <v>1</v>
      </c>
      <c r="G841" s="798" t="s">
        <v>1947</v>
      </c>
      <c r="H841" s="798" t="s">
        <v>122</v>
      </c>
      <c r="I841" s="799">
        <v>800</v>
      </c>
      <c r="J841" s="798">
        <v>1</v>
      </c>
      <c r="K841" s="799">
        <f t="shared" si="86"/>
        <v>800</v>
      </c>
      <c r="L841" s="799">
        <f t="shared" si="87"/>
        <v>800</v>
      </c>
      <c r="M841" s="799">
        <f t="shared" si="82"/>
        <v>800</v>
      </c>
      <c r="N841" s="798" t="s">
        <v>18048</v>
      </c>
      <c r="O841" s="800">
        <f t="shared" si="83"/>
        <v>800</v>
      </c>
      <c r="P841" s="800">
        <f t="shared" si="84"/>
        <v>800</v>
      </c>
      <c r="Q841" s="801">
        <f t="shared" si="85"/>
        <v>800</v>
      </c>
    </row>
    <row r="842" spans="1:17" x14ac:dyDescent="0.2">
      <c r="A842" s="802" t="s">
        <v>18181</v>
      </c>
      <c r="B842" s="803" t="s">
        <v>18175</v>
      </c>
      <c r="C842" s="803" t="s">
        <v>14038</v>
      </c>
      <c r="D842" s="803" t="s">
        <v>18176</v>
      </c>
      <c r="E842" s="803" t="s">
        <v>18054</v>
      </c>
      <c r="F842" s="803">
        <v>2</v>
      </c>
      <c r="G842" s="803" t="s">
        <v>122</v>
      </c>
      <c r="H842" s="803" t="s">
        <v>1103</v>
      </c>
      <c r="I842" s="804">
        <v>5000</v>
      </c>
      <c r="J842" s="803">
        <v>1</v>
      </c>
      <c r="K842" s="804">
        <f t="shared" si="86"/>
        <v>5000</v>
      </c>
      <c r="L842" s="804">
        <f t="shared" si="87"/>
        <v>5000</v>
      </c>
      <c r="M842" s="804">
        <f t="shared" si="82"/>
        <v>5000</v>
      </c>
      <c r="N842" s="803" t="s">
        <v>18057</v>
      </c>
      <c r="O842" s="805">
        <f t="shared" si="83"/>
        <v>5000</v>
      </c>
      <c r="P842" s="805">
        <f t="shared" si="84"/>
        <v>5000</v>
      </c>
      <c r="Q842" s="806">
        <f t="shared" si="85"/>
        <v>5000</v>
      </c>
    </row>
    <row r="843" spans="1:17" x14ac:dyDescent="0.2">
      <c r="A843" s="797" t="s">
        <v>18182</v>
      </c>
      <c r="B843" s="798" t="s">
        <v>18175</v>
      </c>
      <c r="C843" s="798" t="s">
        <v>14038</v>
      </c>
      <c r="D843" s="798" t="s">
        <v>18178</v>
      </c>
      <c r="E843" s="798" t="s">
        <v>18054</v>
      </c>
      <c r="F843" s="798">
        <v>2</v>
      </c>
      <c r="G843" s="798" t="s">
        <v>122</v>
      </c>
      <c r="H843" s="798" t="s">
        <v>1103</v>
      </c>
      <c r="I843" s="799">
        <v>5500</v>
      </c>
      <c r="J843" s="798">
        <v>1</v>
      </c>
      <c r="K843" s="799">
        <f t="shared" si="86"/>
        <v>5500</v>
      </c>
      <c r="L843" s="799">
        <f t="shared" si="87"/>
        <v>5500</v>
      </c>
      <c r="M843" s="799">
        <f t="shared" si="82"/>
        <v>5500</v>
      </c>
      <c r="N843" s="798" t="s">
        <v>18057</v>
      </c>
      <c r="O843" s="800">
        <f t="shared" si="83"/>
        <v>5500</v>
      </c>
      <c r="P843" s="800">
        <f t="shared" si="84"/>
        <v>5500</v>
      </c>
      <c r="Q843" s="801">
        <f t="shared" si="85"/>
        <v>5500</v>
      </c>
    </row>
    <row r="844" spans="1:17" x14ac:dyDescent="0.2">
      <c r="A844" s="802" t="s">
        <v>18183</v>
      </c>
      <c r="B844" s="803" t="s">
        <v>18175</v>
      </c>
      <c r="C844" s="803" t="s">
        <v>14038</v>
      </c>
      <c r="D844" s="803" t="s">
        <v>18180</v>
      </c>
      <c r="E844" s="803" t="s">
        <v>18054</v>
      </c>
      <c r="F844" s="803">
        <v>2</v>
      </c>
      <c r="G844" s="803" t="s">
        <v>122</v>
      </c>
      <c r="H844" s="803" t="s">
        <v>1103</v>
      </c>
      <c r="I844" s="804">
        <v>1700</v>
      </c>
      <c r="J844" s="803">
        <v>1</v>
      </c>
      <c r="K844" s="804">
        <f t="shared" si="86"/>
        <v>1700</v>
      </c>
      <c r="L844" s="804">
        <f t="shared" si="87"/>
        <v>1700</v>
      </c>
      <c r="M844" s="804">
        <f t="shared" si="82"/>
        <v>1700</v>
      </c>
      <c r="N844" s="803" t="s">
        <v>18057</v>
      </c>
      <c r="O844" s="805">
        <f t="shared" si="83"/>
        <v>1700</v>
      </c>
      <c r="P844" s="805">
        <f t="shared" si="84"/>
        <v>1700</v>
      </c>
      <c r="Q844" s="806">
        <f t="shared" si="85"/>
        <v>1700</v>
      </c>
    </row>
    <row r="845" spans="1:17" x14ac:dyDescent="0.2">
      <c r="A845" s="797" t="s">
        <v>18184</v>
      </c>
      <c r="B845" s="798" t="s">
        <v>18175</v>
      </c>
      <c r="C845" s="798" t="s">
        <v>14038</v>
      </c>
      <c r="D845" s="798" t="s">
        <v>18176</v>
      </c>
      <c r="E845" s="798" t="s">
        <v>18033</v>
      </c>
      <c r="F845" s="798">
        <v>3</v>
      </c>
      <c r="G845" s="798" t="s">
        <v>1947</v>
      </c>
      <c r="H845" s="798" t="s">
        <v>122</v>
      </c>
      <c r="I845" s="799">
        <v>9000</v>
      </c>
      <c r="J845" s="798">
        <v>1</v>
      </c>
      <c r="K845" s="799">
        <f t="shared" si="86"/>
        <v>9000</v>
      </c>
      <c r="L845" s="799">
        <f t="shared" si="87"/>
        <v>9000</v>
      </c>
      <c r="M845" s="799">
        <f t="shared" si="82"/>
        <v>9000</v>
      </c>
      <c r="N845" s="798" t="s">
        <v>18062</v>
      </c>
      <c r="O845" s="800">
        <f t="shared" si="83"/>
        <v>9000</v>
      </c>
      <c r="P845" s="800">
        <f t="shared" si="84"/>
        <v>9000</v>
      </c>
      <c r="Q845" s="801">
        <f t="shared" si="85"/>
        <v>9000</v>
      </c>
    </row>
    <row r="846" spans="1:17" x14ac:dyDescent="0.2">
      <c r="A846" s="802" t="s">
        <v>18185</v>
      </c>
      <c r="B846" s="803" t="s">
        <v>18175</v>
      </c>
      <c r="C846" s="803" t="s">
        <v>14038</v>
      </c>
      <c r="D846" s="803" t="s">
        <v>18178</v>
      </c>
      <c r="E846" s="803" t="s">
        <v>18033</v>
      </c>
      <c r="F846" s="803">
        <v>3</v>
      </c>
      <c r="G846" s="803" t="s">
        <v>1947</v>
      </c>
      <c r="H846" s="803" t="s">
        <v>122</v>
      </c>
      <c r="I846" s="804">
        <v>10000</v>
      </c>
      <c r="J846" s="803">
        <v>1</v>
      </c>
      <c r="K846" s="804">
        <f t="shared" si="86"/>
        <v>10000</v>
      </c>
      <c r="L846" s="804">
        <f t="shared" si="87"/>
        <v>10000</v>
      </c>
      <c r="M846" s="804">
        <f t="shared" si="82"/>
        <v>10000</v>
      </c>
      <c r="N846" s="803" t="s">
        <v>18062</v>
      </c>
      <c r="O846" s="805">
        <f t="shared" si="83"/>
        <v>10000</v>
      </c>
      <c r="P846" s="805">
        <f t="shared" si="84"/>
        <v>10000</v>
      </c>
      <c r="Q846" s="806">
        <f t="shared" si="85"/>
        <v>10000</v>
      </c>
    </row>
    <row r="847" spans="1:17" x14ac:dyDescent="0.2">
      <c r="A847" s="797" t="s">
        <v>18186</v>
      </c>
      <c r="B847" s="798" t="s">
        <v>18175</v>
      </c>
      <c r="C847" s="798" t="s">
        <v>14038</v>
      </c>
      <c r="D847" s="798" t="s">
        <v>18180</v>
      </c>
      <c r="E847" s="798" t="s">
        <v>18033</v>
      </c>
      <c r="F847" s="798">
        <v>3</v>
      </c>
      <c r="G847" s="798" t="s">
        <v>1947</v>
      </c>
      <c r="H847" s="798" t="s">
        <v>122</v>
      </c>
      <c r="I847" s="799">
        <v>3000</v>
      </c>
      <c r="J847" s="798">
        <v>1</v>
      </c>
      <c r="K847" s="799">
        <f t="shared" si="86"/>
        <v>3000</v>
      </c>
      <c r="L847" s="799">
        <f t="shared" si="87"/>
        <v>3000</v>
      </c>
      <c r="M847" s="799">
        <f t="shared" si="82"/>
        <v>3000</v>
      </c>
      <c r="N847" s="798" t="s">
        <v>18062</v>
      </c>
      <c r="O847" s="800">
        <f t="shared" si="83"/>
        <v>3000</v>
      </c>
      <c r="P847" s="800">
        <f t="shared" si="84"/>
        <v>3000</v>
      </c>
      <c r="Q847" s="801">
        <f t="shared" si="85"/>
        <v>3000</v>
      </c>
    </row>
    <row r="848" spans="1:17" x14ac:dyDescent="0.2">
      <c r="A848" s="802" t="s">
        <v>18187</v>
      </c>
      <c r="B848" s="803" t="s">
        <v>18175</v>
      </c>
      <c r="C848" s="803" t="s">
        <v>14038</v>
      </c>
      <c r="D848" s="803" t="s">
        <v>18176</v>
      </c>
      <c r="E848" s="803" t="s">
        <v>18061</v>
      </c>
      <c r="F848" s="803">
        <v>4</v>
      </c>
      <c r="G848" s="803" t="s">
        <v>122</v>
      </c>
      <c r="H848" s="803" t="s">
        <v>1103</v>
      </c>
      <c r="I848" s="804">
        <v>15000</v>
      </c>
      <c r="J848" s="803">
        <v>1</v>
      </c>
      <c r="K848" s="804">
        <f t="shared" si="86"/>
        <v>15000</v>
      </c>
      <c r="L848" s="804">
        <f t="shared" si="87"/>
        <v>15000</v>
      </c>
      <c r="M848" s="804">
        <f t="shared" si="82"/>
        <v>15000</v>
      </c>
      <c r="N848" s="803" t="s">
        <v>18188</v>
      </c>
      <c r="O848" s="805">
        <f t="shared" si="83"/>
        <v>15000</v>
      </c>
      <c r="P848" s="805">
        <f t="shared" si="84"/>
        <v>15000</v>
      </c>
      <c r="Q848" s="806">
        <f t="shared" si="85"/>
        <v>15000</v>
      </c>
    </row>
    <row r="849" spans="1:17" x14ac:dyDescent="0.2">
      <c r="A849" s="797" t="s">
        <v>18189</v>
      </c>
      <c r="B849" s="798" t="s">
        <v>18175</v>
      </c>
      <c r="C849" s="798" t="s">
        <v>14038</v>
      </c>
      <c r="D849" s="798" t="s">
        <v>18178</v>
      </c>
      <c r="E849" s="798" t="s">
        <v>18061</v>
      </c>
      <c r="F849" s="798">
        <v>4</v>
      </c>
      <c r="G849" s="798" t="s">
        <v>122</v>
      </c>
      <c r="H849" s="798" t="s">
        <v>1103</v>
      </c>
      <c r="I849" s="799">
        <v>17000</v>
      </c>
      <c r="J849" s="798">
        <v>1</v>
      </c>
      <c r="K849" s="799">
        <f t="shared" si="86"/>
        <v>17000</v>
      </c>
      <c r="L849" s="799">
        <f t="shared" si="87"/>
        <v>17000</v>
      </c>
      <c r="M849" s="799">
        <f t="shared" si="82"/>
        <v>17000</v>
      </c>
      <c r="N849" s="798" t="s">
        <v>18188</v>
      </c>
      <c r="O849" s="800">
        <f t="shared" si="83"/>
        <v>17000</v>
      </c>
      <c r="P849" s="800">
        <f t="shared" si="84"/>
        <v>17000</v>
      </c>
      <c r="Q849" s="801">
        <f t="shared" si="85"/>
        <v>17000</v>
      </c>
    </row>
    <row r="850" spans="1:17" x14ac:dyDescent="0.2">
      <c r="A850" s="802" t="s">
        <v>18190</v>
      </c>
      <c r="B850" s="803" t="s">
        <v>18175</v>
      </c>
      <c r="C850" s="803" t="s">
        <v>14038</v>
      </c>
      <c r="D850" s="803" t="s">
        <v>18180</v>
      </c>
      <c r="E850" s="803" t="s">
        <v>18061</v>
      </c>
      <c r="F850" s="803">
        <v>4</v>
      </c>
      <c r="G850" s="803" t="s">
        <v>122</v>
      </c>
      <c r="H850" s="803" t="s">
        <v>1103</v>
      </c>
      <c r="I850" s="804">
        <v>5200</v>
      </c>
      <c r="J850" s="803">
        <v>1</v>
      </c>
      <c r="K850" s="804">
        <v>20800</v>
      </c>
      <c r="L850" s="804">
        <v>20800</v>
      </c>
      <c r="M850" s="804">
        <f t="shared" si="82"/>
        <v>5200</v>
      </c>
      <c r="N850" s="803" t="s">
        <v>18188</v>
      </c>
      <c r="O850" s="805">
        <f t="shared" si="83"/>
        <v>20800</v>
      </c>
      <c r="P850" s="805">
        <f t="shared" si="84"/>
        <v>20800</v>
      </c>
      <c r="Q850" s="806">
        <f t="shared" si="85"/>
        <v>5200</v>
      </c>
    </row>
    <row r="851" spans="1:17" x14ac:dyDescent="0.2">
      <c r="A851" s="797" t="s">
        <v>18191</v>
      </c>
      <c r="B851" s="798" t="s">
        <v>18175</v>
      </c>
      <c r="C851" s="798" t="s">
        <v>14038</v>
      </c>
      <c r="D851" s="798" t="s">
        <v>18180</v>
      </c>
      <c r="E851" s="798" t="s">
        <v>18039</v>
      </c>
      <c r="F851" s="798">
        <v>5</v>
      </c>
      <c r="G851" s="798" t="s">
        <v>10772</v>
      </c>
      <c r="H851" s="798" t="s">
        <v>122</v>
      </c>
      <c r="I851" s="799">
        <v>25000</v>
      </c>
      <c r="J851" s="798">
        <v>1</v>
      </c>
      <c r="K851" s="799">
        <f t="shared" ref="K851:K862" si="88">+I851</f>
        <v>25000</v>
      </c>
      <c r="L851" s="799">
        <f t="shared" ref="L851:L862" si="89">+I851</f>
        <v>25000</v>
      </c>
      <c r="M851" s="799">
        <f t="shared" si="82"/>
        <v>25000</v>
      </c>
      <c r="N851" s="798" t="s">
        <v>18192</v>
      </c>
      <c r="O851" s="800">
        <f t="shared" si="83"/>
        <v>25000</v>
      </c>
      <c r="P851" s="800">
        <f t="shared" si="84"/>
        <v>25000</v>
      </c>
      <c r="Q851" s="801">
        <f t="shared" si="85"/>
        <v>25000</v>
      </c>
    </row>
    <row r="852" spans="1:17" x14ac:dyDescent="0.2">
      <c r="A852" s="802" t="s">
        <v>18193</v>
      </c>
      <c r="B852" s="803" t="s">
        <v>18017</v>
      </c>
      <c r="C852" s="803" t="s">
        <v>14057</v>
      </c>
      <c r="D852" s="803" t="s">
        <v>18194</v>
      </c>
      <c r="E852" s="803" t="s">
        <v>18019</v>
      </c>
      <c r="F852" s="803">
        <v>1</v>
      </c>
      <c r="G852" s="803" t="s">
        <v>3779</v>
      </c>
      <c r="H852" s="803" t="s">
        <v>3779</v>
      </c>
      <c r="I852" s="804">
        <v>1500</v>
      </c>
      <c r="J852" s="803">
        <v>1</v>
      </c>
      <c r="K852" s="804">
        <f t="shared" si="88"/>
        <v>1500</v>
      </c>
      <c r="L852" s="804">
        <f t="shared" si="89"/>
        <v>1500</v>
      </c>
      <c r="M852" s="804">
        <f t="shared" si="82"/>
        <v>1500</v>
      </c>
      <c r="N852" s="803" t="s">
        <v>18020</v>
      </c>
      <c r="O852" s="805">
        <f t="shared" si="83"/>
        <v>1500</v>
      </c>
      <c r="P852" s="805">
        <f t="shared" si="84"/>
        <v>1500</v>
      </c>
      <c r="Q852" s="806">
        <f t="shared" si="85"/>
        <v>1500</v>
      </c>
    </row>
    <row r="853" spans="1:17" x14ac:dyDescent="0.2">
      <c r="A853" s="797" t="s">
        <v>18195</v>
      </c>
      <c r="B853" s="798" t="s">
        <v>18017</v>
      </c>
      <c r="C853" s="798" t="s">
        <v>14057</v>
      </c>
      <c r="D853" s="798" t="s">
        <v>18196</v>
      </c>
      <c r="E853" s="798" t="s">
        <v>18019</v>
      </c>
      <c r="F853" s="798">
        <v>1</v>
      </c>
      <c r="G853" s="798" t="s">
        <v>3779</v>
      </c>
      <c r="H853" s="798" t="s">
        <v>3779</v>
      </c>
      <c r="I853" s="799">
        <v>1600</v>
      </c>
      <c r="J853" s="798">
        <v>1</v>
      </c>
      <c r="K853" s="799">
        <f t="shared" si="88"/>
        <v>1600</v>
      </c>
      <c r="L853" s="799">
        <f t="shared" si="89"/>
        <v>1600</v>
      </c>
      <c r="M853" s="799">
        <f t="shared" si="82"/>
        <v>1600</v>
      </c>
      <c r="N853" s="798" t="s">
        <v>18020</v>
      </c>
      <c r="O853" s="800">
        <f t="shared" si="83"/>
        <v>1600</v>
      </c>
      <c r="P853" s="800">
        <f t="shared" si="84"/>
        <v>1600</v>
      </c>
      <c r="Q853" s="801">
        <f t="shared" si="85"/>
        <v>1600</v>
      </c>
    </row>
    <row r="854" spans="1:17" x14ac:dyDescent="0.2">
      <c r="A854" s="802" t="s">
        <v>18197</v>
      </c>
      <c r="B854" s="803" t="s">
        <v>18017</v>
      </c>
      <c r="C854" s="803" t="s">
        <v>14057</v>
      </c>
      <c r="D854" s="803" t="s">
        <v>18198</v>
      </c>
      <c r="E854" s="803" t="s">
        <v>18019</v>
      </c>
      <c r="F854" s="803">
        <v>1</v>
      </c>
      <c r="G854" s="803" t="s">
        <v>3779</v>
      </c>
      <c r="H854" s="803" t="s">
        <v>3779</v>
      </c>
      <c r="I854" s="804">
        <v>1700</v>
      </c>
      <c r="J854" s="803">
        <v>1</v>
      </c>
      <c r="K854" s="804">
        <f t="shared" si="88"/>
        <v>1700</v>
      </c>
      <c r="L854" s="804">
        <f t="shared" si="89"/>
        <v>1700</v>
      </c>
      <c r="M854" s="804">
        <f t="shared" si="82"/>
        <v>1700</v>
      </c>
      <c r="N854" s="803" t="s">
        <v>18020</v>
      </c>
      <c r="O854" s="805">
        <f t="shared" si="83"/>
        <v>1700</v>
      </c>
      <c r="P854" s="805">
        <f t="shared" si="84"/>
        <v>1700</v>
      </c>
      <c r="Q854" s="806">
        <f t="shared" si="85"/>
        <v>1700</v>
      </c>
    </row>
    <row r="855" spans="1:17" x14ac:dyDescent="0.2">
      <c r="A855" s="797" t="s">
        <v>18199</v>
      </c>
      <c r="B855" s="798" t="s">
        <v>18017</v>
      </c>
      <c r="C855" s="798" t="s">
        <v>14057</v>
      </c>
      <c r="D855" s="798" t="s">
        <v>18200</v>
      </c>
      <c r="E855" s="798" t="s">
        <v>18019</v>
      </c>
      <c r="F855" s="798">
        <v>1</v>
      </c>
      <c r="G855" s="798" t="s">
        <v>3779</v>
      </c>
      <c r="H855" s="798" t="s">
        <v>3779</v>
      </c>
      <c r="I855" s="799">
        <v>1800</v>
      </c>
      <c r="J855" s="798">
        <v>1</v>
      </c>
      <c r="K855" s="799">
        <f t="shared" si="88"/>
        <v>1800</v>
      </c>
      <c r="L855" s="799">
        <f t="shared" si="89"/>
        <v>1800</v>
      </c>
      <c r="M855" s="799">
        <f t="shared" si="82"/>
        <v>1800</v>
      </c>
      <c r="N855" s="798" t="s">
        <v>18020</v>
      </c>
      <c r="O855" s="800">
        <f t="shared" si="83"/>
        <v>1800</v>
      </c>
      <c r="P855" s="800">
        <f t="shared" si="84"/>
        <v>1800</v>
      </c>
      <c r="Q855" s="801">
        <f t="shared" si="85"/>
        <v>1800</v>
      </c>
    </row>
    <row r="856" spans="1:17" x14ac:dyDescent="0.2">
      <c r="A856" s="802" t="s">
        <v>18201</v>
      </c>
      <c r="B856" s="803" t="s">
        <v>18017</v>
      </c>
      <c r="C856" s="803" t="s">
        <v>14057</v>
      </c>
      <c r="D856" s="803" t="s">
        <v>18202</v>
      </c>
      <c r="E856" s="803" t="s">
        <v>18019</v>
      </c>
      <c r="F856" s="803">
        <v>1</v>
      </c>
      <c r="G856" s="803" t="s">
        <v>3779</v>
      </c>
      <c r="H856" s="803" t="s">
        <v>3779</v>
      </c>
      <c r="I856" s="804">
        <v>1900</v>
      </c>
      <c r="J856" s="803">
        <v>1</v>
      </c>
      <c r="K856" s="804">
        <f t="shared" si="88"/>
        <v>1900</v>
      </c>
      <c r="L856" s="804">
        <f t="shared" si="89"/>
        <v>1900</v>
      </c>
      <c r="M856" s="804">
        <f t="shared" si="82"/>
        <v>1900</v>
      </c>
      <c r="N856" s="803" t="s">
        <v>18020</v>
      </c>
      <c r="O856" s="805">
        <f t="shared" si="83"/>
        <v>1900</v>
      </c>
      <c r="P856" s="805">
        <f t="shared" si="84"/>
        <v>1900</v>
      </c>
      <c r="Q856" s="806">
        <f t="shared" si="85"/>
        <v>1900</v>
      </c>
    </row>
    <row r="857" spans="1:17" x14ac:dyDescent="0.2">
      <c r="A857" s="797" t="s">
        <v>18203</v>
      </c>
      <c r="B857" s="798" t="s">
        <v>18017</v>
      </c>
      <c r="C857" s="798" t="s">
        <v>14057</v>
      </c>
      <c r="D857" s="798" t="s">
        <v>18204</v>
      </c>
      <c r="E857" s="798" t="s">
        <v>18031</v>
      </c>
      <c r="F857" s="798">
        <v>1</v>
      </c>
      <c r="G857" s="798" t="s">
        <v>3779</v>
      </c>
      <c r="H857" s="798" t="s">
        <v>2837</v>
      </c>
      <c r="I857" s="799">
        <v>2000</v>
      </c>
      <c r="J857" s="798">
        <v>1</v>
      </c>
      <c r="K857" s="799">
        <f t="shared" si="88"/>
        <v>2000</v>
      </c>
      <c r="L857" s="799">
        <f t="shared" si="89"/>
        <v>2000</v>
      </c>
      <c r="M857" s="799">
        <f t="shared" si="82"/>
        <v>2000</v>
      </c>
      <c r="N857" s="798" t="s">
        <v>18020</v>
      </c>
      <c r="O857" s="800">
        <f t="shared" si="83"/>
        <v>2000</v>
      </c>
      <c r="P857" s="800">
        <f t="shared" si="84"/>
        <v>2000</v>
      </c>
      <c r="Q857" s="801">
        <f t="shared" si="85"/>
        <v>2000</v>
      </c>
    </row>
    <row r="858" spans="1:17" x14ac:dyDescent="0.2">
      <c r="A858" s="802" t="s">
        <v>18205</v>
      </c>
      <c r="B858" s="803" t="s">
        <v>18017</v>
      </c>
      <c r="C858" s="803" t="s">
        <v>14057</v>
      </c>
      <c r="D858" s="803" t="s">
        <v>18204</v>
      </c>
      <c r="E858" s="803" t="s">
        <v>18033</v>
      </c>
      <c r="F858" s="803">
        <v>2</v>
      </c>
      <c r="G858" s="803" t="s">
        <v>3779</v>
      </c>
      <c r="H858" s="803" t="s">
        <v>2837</v>
      </c>
      <c r="I858" s="804">
        <v>5200</v>
      </c>
      <c r="J858" s="803">
        <v>1</v>
      </c>
      <c r="K858" s="804">
        <f t="shared" si="88"/>
        <v>5200</v>
      </c>
      <c r="L858" s="804">
        <f t="shared" si="89"/>
        <v>5200</v>
      </c>
      <c r="M858" s="804">
        <f t="shared" si="82"/>
        <v>5200</v>
      </c>
      <c r="N858" s="803" t="s">
        <v>18020</v>
      </c>
      <c r="O858" s="805">
        <f t="shared" si="83"/>
        <v>5200</v>
      </c>
      <c r="P858" s="805">
        <f t="shared" si="84"/>
        <v>5200</v>
      </c>
      <c r="Q858" s="806">
        <f t="shared" si="85"/>
        <v>5200</v>
      </c>
    </row>
    <row r="859" spans="1:17" x14ac:dyDescent="0.2">
      <c r="A859" s="797" t="s">
        <v>18206</v>
      </c>
      <c r="B859" s="798" t="s">
        <v>18017</v>
      </c>
      <c r="C859" s="798" t="s">
        <v>14057</v>
      </c>
      <c r="D859" s="798" t="s">
        <v>18207</v>
      </c>
      <c r="E859" s="798" t="s">
        <v>18031</v>
      </c>
      <c r="F859" s="798">
        <v>1</v>
      </c>
      <c r="G859" s="798" t="s">
        <v>3779</v>
      </c>
      <c r="H859" s="798" t="s">
        <v>2837</v>
      </c>
      <c r="I859" s="799">
        <v>2500</v>
      </c>
      <c r="J859" s="798">
        <v>1</v>
      </c>
      <c r="K859" s="799">
        <f t="shared" si="88"/>
        <v>2500</v>
      </c>
      <c r="L859" s="799">
        <f t="shared" si="89"/>
        <v>2500</v>
      </c>
      <c r="M859" s="799">
        <f t="shared" si="82"/>
        <v>2500</v>
      </c>
      <c r="N859" s="798" t="s">
        <v>18020</v>
      </c>
      <c r="O859" s="800">
        <f t="shared" si="83"/>
        <v>2500</v>
      </c>
      <c r="P859" s="800">
        <f t="shared" si="84"/>
        <v>2500</v>
      </c>
      <c r="Q859" s="801">
        <f t="shared" si="85"/>
        <v>2500</v>
      </c>
    </row>
    <row r="860" spans="1:17" x14ac:dyDescent="0.2">
      <c r="A860" s="802" t="s">
        <v>18208</v>
      </c>
      <c r="B860" s="803" t="s">
        <v>18017</v>
      </c>
      <c r="C860" s="803" t="s">
        <v>14057</v>
      </c>
      <c r="D860" s="803" t="s">
        <v>18207</v>
      </c>
      <c r="E860" s="803" t="s">
        <v>18033</v>
      </c>
      <c r="F860" s="803">
        <v>2</v>
      </c>
      <c r="G860" s="803" t="s">
        <v>3779</v>
      </c>
      <c r="H860" s="803" t="s">
        <v>2837</v>
      </c>
      <c r="I860" s="804">
        <v>7800</v>
      </c>
      <c r="J860" s="803">
        <v>1</v>
      </c>
      <c r="K860" s="804">
        <f t="shared" si="88"/>
        <v>7800</v>
      </c>
      <c r="L860" s="804">
        <f t="shared" si="89"/>
        <v>7800</v>
      </c>
      <c r="M860" s="804">
        <f t="shared" si="82"/>
        <v>7800</v>
      </c>
      <c r="N860" s="803" t="s">
        <v>18037</v>
      </c>
      <c r="O860" s="805">
        <f t="shared" si="83"/>
        <v>7800</v>
      </c>
      <c r="P860" s="805">
        <f t="shared" si="84"/>
        <v>7800</v>
      </c>
      <c r="Q860" s="806">
        <f t="shared" si="85"/>
        <v>7800</v>
      </c>
    </row>
    <row r="861" spans="1:17" x14ac:dyDescent="0.2">
      <c r="A861" s="797" t="s">
        <v>18209</v>
      </c>
      <c r="B861" s="798" t="s">
        <v>18017</v>
      </c>
      <c r="C861" s="798" t="s">
        <v>14057</v>
      </c>
      <c r="D861" s="798" t="s">
        <v>18207</v>
      </c>
      <c r="E861" s="798" t="s">
        <v>18039</v>
      </c>
      <c r="F861" s="798">
        <v>3</v>
      </c>
      <c r="G861" s="798" t="s">
        <v>3779</v>
      </c>
      <c r="H861" s="798" t="s">
        <v>2837</v>
      </c>
      <c r="I861" s="799">
        <v>9500</v>
      </c>
      <c r="J861" s="798">
        <v>1</v>
      </c>
      <c r="K861" s="799">
        <f t="shared" si="88"/>
        <v>9500</v>
      </c>
      <c r="L861" s="799">
        <f t="shared" si="89"/>
        <v>9500</v>
      </c>
      <c r="M861" s="799">
        <f t="shared" si="82"/>
        <v>9500</v>
      </c>
      <c r="N861" s="798" t="s">
        <v>18037</v>
      </c>
      <c r="O861" s="800">
        <f t="shared" si="83"/>
        <v>9500</v>
      </c>
      <c r="P861" s="800">
        <f t="shared" si="84"/>
        <v>9500</v>
      </c>
      <c r="Q861" s="801">
        <f t="shared" si="85"/>
        <v>9500</v>
      </c>
    </row>
    <row r="862" spans="1:17" x14ac:dyDescent="0.2">
      <c r="A862" s="802" t="s">
        <v>18210</v>
      </c>
      <c r="B862" s="803" t="s">
        <v>18017</v>
      </c>
      <c r="C862" s="803" t="s">
        <v>14057</v>
      </c>
      <c r="D862" s="803" t="s">
        <v>18207</v>
      </c>
      <c r="E862" s="803" t="s">
        <v>18041</v>
      </c>
      <c r="F862" s="803">
        <v>4</v>
      </c>
      <c r="G862" s="803" t="s">
        <v>3779</v>
      </c>
      <c r="H862" s="803" t="s">
        <v>2837</v>
      </c>
      <c r="I862" s="804">
        <v>15000</v>
      </c>
      <c r="J862" s="803">
        <v>1</v>
      </c>
      <c r="K862" s="804">
        <f t="shared" si="88"/>
        <v>15000</v>
      </c>
      <c r="L862" s="804">
        <f t="shared" si="89"/>
        <v>15000</v>
      </c>
      <c r="M862" s="804">
        <f t="shared" si="82"/>
        <v>15000</v>
      </c>
      <c r="N862" s="803" t="s">
        <v>18042</v>
      </c>
      <c r="O862" s="805">
        <f t="shared" si="83"/>
        <v>15000</v>
      </c>
      <c r="P862" s="805">
        <f t="shared" si="84"/>
        <v>15000</v>
      </c>
      <c r="Q862" s="806">
        <f t="shared" si="85"/>
        <v>15000</v>
      </c>
    </row>
    <row r="863" spans="1:17" x14ac:dyDescent="0.2">
      <c r="A863" s="797" t="s">
        <v>18211</v>
      </c>
      <c r="B863" s="798" t="s">
        <v>18017</v>
      </c>
      <c r="C863" s="798" t="s">
        <v>14057</v>
      </c>
      <c r="D863" s="798" t="s">
        <v>18207</v>
      </c>
      <c r="E863" s="798" t="s">
        <v>18212</v>
      </c>
      <c r="F863" s="798">
        <v>5</v>
      </c>
      <c r="G863" s="798" t="s">
        <v>3779</v>
      </c>
      <c r="H863" s="798" t="s">
        <v>2837</v>
      </c>
      <c r="I863" s="799">
        <v>22000</v>
      </c>
      <c r="J863" s="798">
        <v>1</v>
      </c>
      <c r="K863" s="799">
        <v>100000</v>
      </c>
      <c r="L863" s="799">
        <v>100000</v>
      </c>
      <c r="M863" s="799">
        <f t="shared" si="82"/>
        <v>22000</v>
      </c>
      <c r="N863" s="798" t="s">
        <v>18042</v>
      </c>
      <c r="O863" s="800">
        <f t="shared" si="83"/>
        <v>100000</v>
      </c>
      <c r="P863" s="800">
        <f t="shared" si="84"/>
        <v>100000</v>
      </c>
      <c r="Q863" s="801">
        <f t="shared" si="85"/>
        <v>22000</v>
      </c>
    </row>
    <row r="864" spans="1:17" x14ac:dyDescent="0.2">
      <c r="A864" s="802" t="s">
        <v>18213</v>
      </c>
      <c r="B864" s="803" t="s">
        <v>18017</v>
      </c>
      <c r="C864" s="803" t="s">
        <v>14057</v>
      </c>
      <c r="D864" s="803" t="s">
        <v>18207</v>
      </c>
      <c r="E864" s="803" t="s">
        <v>18214</v>
      </c>
      <c r="F864" s="803">
        <v>6</v>
      </c>
      <c r="G864" s="803" t="s">
        <v>3779</v>
      </c>
      <c r="H864" s="803" t="s">
        <v>2837</v>
      </c>
      <c r="I864" s="804">
        <v>31000</v>
      </c>
      <c r="J864" s="803">
        <v>1</v>
      </c>
      <c r="K864" s="804">
        <v>100000</v>
      </c>
      <c r="L864" s="804">
        <v>100000</v>
      </c>
      <c r="M864" s="804">
        <f t="shared" si="82"/>
        <v>31000</v>
      </c>
      <c r="N864" s="803" t="s">
        <v>18215</v>
      </c>
      <c r="O864" s="805">
        <f t="shared" si="83"/>
        <v>100000</v>
      </c>
      <c r="P864" s="805">
        <f t="shared" si="84"/>
        <v>100000</v>
      </c>
      <c r="Q864" s="806">
        <f t="shared" si="85"/>
        <v>31000</v>
      </c>
    </row>
    <row r="865" spans="1:17" x14ac:dyDescent="0.2">
      <c r="A865" s="797" t="s">
        <v>18216</v>
      </c>
      <c r="B865" s="798" t="s">
        <v>18017</v>
      </c>
      <c r="C865" s="798" t="s">
        <v>14057</v>
      </c>
      <c r="D865" s="798" t="s">
        <v>18207</v>
      </c>
      <c r="E865" s="798" t="s">
        <v>18217</v>
      </c>
      <c r="F865" s="798">
        <v>7</v>
      </c>
      <c r="G865" s="798" t="s">
        <v>3779</v>
      </c>
      <c r="H865" s="798" t="s">
        <v>2837</v>
      </c>
      <c r="I865" s="799">
        <v>37000</v>
      </c>
      <c r="J865" s="798">
        <v>1</v>
      </c>
      <c r="K865" s="799">
        <v>100000</v>
      </c>
      <c r="L865" s="799">
        <v>100000</v>
      </c>
      <c r="M865" s="799">
        <f t="shared" si="82"/>
        <v>37000</v>
      </c>
      <c r="N865" s="798" t="s">
        <v>18215</v>
      </c>
      <c r="O865" s="800">
        <f t="shared" si="83"/>
        <v>100000</v>
      </c>
      <c r="P865" s="800">
        <f t="shared" si="84"/>
        <v>100000</v>
      </c>
      <c r="Q865" s="801">
        <f t="shared" si="85"/>
        <v>37000</v>
      </c>
    </row>
    <row r="866" spans="1:17" x14ac:dyDescent="0.2">
      <c r="A866" s="802" t="s">
        <v>18218</v>
      </c>
      <c r="B866" s="803" t="s">
        <v>18046</v>
      </c>
      <c r="C866" s="803" t="s">
        <v>14060</v>
      </c>
      <c r="D866" s="803" t="s">
        <v>18219</v>
      </c>
      <c r="E866" s="803" t="s">
        <v>18019</v>
      </c>
      <c r="F866" s="803">
        <v>1</v>
      </c>
      <c r="G866" s="803" t="s">
        <v>2837</v>
      </c>
      <c r="H866" s="803" t="s">
        <v>2837</v>
      </c>
      <c r="I866" s="804">
        <v>1600</v>
      </c>
      <c r="J866" s="803">
        <v>1</v>
      </c>
      <c r="K866" s="804">
        <f t="shared" ref="K866:K899" si="90">+I866</f>
        <v>1600</v>
      </c>
      <c r="L866" s="804">
        <f t="shared" ref="L866:L899" si="91">+I866</f>
        <v>1600</v>
      </c>
      <c r="M866" s="804">
        <f t="shared" si="82"/>
        <v>1600</v>
      </c>
      <c r="N866" s="803" t="s">
        <v>18048</v>
      </c>
      <c r="O866" s="805">
        <f t="shared" si="83"/>
        <v>1600</v>
      </c>
      <c r="P866" s="805">
        <f t="shared" si="84"/>
        <v>1600</v>
      </c>
      <c r="Q866" s="806">
        <f t="shared" si="85"/>
        <v>1600</v>
      </c>
    </row>
    <row r="867" spans="1:17" x14ac:dyDescent="0.2">
      <c r="A867" s="797" t="s">
        <v>18220</v>
      </c>
      <c r="B867" s="798" t="s">
        <v>18046</v>
      </c>
      <c r="C867" s="798" t="s">
        <v>14060</v>
      </c>
      <c r="D867" s="798" t="s">
        <v>18221</v>
      </c>
      <c r="E867" s="798" t="s">
        <v>18019</v>
      </c>
      <c r="F867" s="798">
        <v>1</v>
      </c>
      <c r="G867" s="798" t="s">
        <v>2837</v>
      </c>
      <c r="H867" s="798" t="s">
        <v>2837</v>
      </c>
      <c r="I867" s="799">
        <v>1800</v>
      </c>
      <c r="J867" s="798">
        <v>1</v>
      </c>
      <c r="K867" s="799">
        <f t="shared" si="90"/>
        <v>1800</v>
      </c>
      <c r="L867" s="799">
        <f t="shared" si="91"/>
        <v>1800</v>
      </c>
      <c r="M867" s="799">
        <f t="shared" si="82"/>
        <v>1800</v>
      </c>
      <c r="N867" s="798" t="s">
        <v>18048</v>
      </c>
      <c r="O867" s="800">
        <f t="shared" si="83"/>
        <v>1800</v>
      </c>
      <c r="P867" s="800">
        <f t="shared" si="84"/>
        <v>1800</v>
      </c>
      <c r="Q867" s="801">
        <f t="shared" si="85"/>
        <v>1800</v>
      </c>
    </row>
    <row r="868" spans="1:17" x14ac:dyDescent="0.2">
      <c r="A868" s="802" t="s">
        <v>18222</v>
      </c>
      <c r="B868" s="803" t="s">
        <v>18046</v>
      </c>
      <c r="C868" s="803" t="s">
        <v>14060</v>
      </c>
      <c r="D868" s="803" t="s">
        <v>18223</v>
      </c>
      <c r="E868" s="803" t="s">
        <v>18031</v>
      </c>
      <c r="F868" s="803">
        <v>1</v>
      </c>
      <c r="G868" s="803" t="s">
        <v>2837</v>
      </c>
      <c r="H868" s="803" t="s">
        <v>3779</v>
      </c>
      <c r="I868" s="804">
        <v>3000</v>
      </c>
      <c r="J868" s="803">
        <v>1</v>
      </c>
      <c r="K868" s="804">
        <f t="shared" si="90"/>
        <v>3000</v>
      </c>
      <c r="L868" s="804">
        <f t="shared" si="91"/>
        <v>3000</v>
      </c>
      <c r="M868" s="804">
        <f t="shared" si="82"/>
        <v>3000</v>
      </c>
      <c r="N868" s="803" t="s">
        <v>18048</v>
      </c>
      <c r="O868" s="805">
        <f t="shared" si="83"/>
        <v>3000</v>
      </c>
      <c r="P868" s="805">
        <f t="shared" si="84"/>
        <v>3000</v>
      </c>
      <c r="Q868" s="806">
        <f t="shared" si="85"/>
        <v>3000</v>
      </c>
    </row>
    <row r="869" spans="1:17" x14ac:dyDescent="0.2">
      <c r="A869" s="797" t="s">
        <v>18224</v>
      </c>
      <c r="B869" s="798" t="s">
        <v>18046</v>
      </c>
      <c r="C869" s="798" t="s">
        <v>14060</v>
      </c>
      <c r="D869" s="798" t="s">
        <v>18223</v>
      </c>
      <c r="E869" s="798" t="s">
        <v>18054</v>
      </c>
      <c r="F869" s="798">
        <v>2</v>
      </c>
      <c r="G869" s="798" t="s">
        <v>2837</v>
      </c>
      <c r="H869" s="798" t="s">
        <v>3779</v>
      </c>
      <c r="I869" s="799">
        <v>5000</v>
      </c>
      <c r="J869" s="798">
        <v>1</v>
      </c>
      <c r="K869" s="799">
        <f t="shared" si="90"/>
        <v>5000</v>
      </c>
      <c r="L869" s="799">
        <f t="shared" si="91"/>
        <v>5000</v>
      </c>
      <c r="M869" s="799">
        <f t="shared" si="82"/>
        <v>5000</v>
      </c>
      <c r="N869" s="798" t="s">
        <v>18055</v>
      </c>
      <c r="O869" s="800">
        <f t="shared" si="83"/>
        <v>5000</v>
      </c>
      <c r="P869" s="800">
        <f t="shared" si="84"/>
        <v>5000</v>
      </c>
      <c r="Q869" s="801">
        <f t="shared" si="85"/>
        <v>5000</v>
      </c>
    </row>
    <row r="870" spans="1:17" x14ac:dyDescent="0.2">
      <c r="A870" s="802" t="s">
        <v>18225</v>
      </c>
      <c r="B870" s="803" t="s">
        <v>18046</v>
      </c>
      <c r="C870" s="803" t="s">
        <v>14060</v>
      </c>
      <c r="D870" s="803" t="s">
        <v>18223</v>
      </c>
      <c r="E870" s="803" t="s">
        <v>18033</v>
      </c>
      <c r="F870" s="803">
        <v>3</v>
      </c>
      <c r="G870" s="803" t="s">
        <v>2837</v>
      </c>
      <c r="H870" s="803" t="s">
        <v>3779</v>
      </c>
      <c r="I870" s="804">
        <v>7000</v>
      </c>
      <c r="J870" s="803">
        <v>1</v>
      </c>
      <c r="K870" s="804">
        <f t="shared" si="90"/>
        <v>7000</v>
      </c>
      <c r="L870" s="804">
        <f t="shared" si="91"/>
        <v>7000</v>
      </c>
      <c r="M870" s="804">
        <f t="shared" si="82"/>
        <v>7000</v>
      </c>
      <c r="N870" s="803" t="s">
        <v>18057</v>
      </c>
      <c r="O870" s="805">
        <f t="shared" si="83"/>
        <v>7000</v>
      </c>
      <c r="P870" s="805">
        <f t="shared" si="84"/>
        <v>7000</v>
      </c>
      <c r="Q870" s="806">
        <f t="shared" si="85"/>
        <v>7000</v>
      </c>
    </row>
    <row r="871" spans="1:17" x14ac:dyDescent="0.2">
      <c r="A871" s="797" t="s">
        <v>18226</v>
      </c>
      <c r="B871" s="798" t="s">
        <v>18046</v>
      </c>
      <c r="C871" s="798" t="s">
        <v>14060</v>
      </c>
      <c r="D871" s="798" t="s">
        <v>18227</v>
      </c>
      <c r="E871" s="798" t="s">
        <v>18033</v>
      </c>
      <c r="F871" s="798">
        <v>1</v>
      </c>
      <c r="G871" s="798" t="s">
        <v>2837</v>
      </c>
      <c r="H871" s="798" t="s">
        <v>3779</v>
      </c>
      <c r="I871" s="799">
        <v>7000</v>
      </c>
      <c r="J871" s="798">
        <v>1</v>
      </c>
      <c r="K871" s="799">
        <f t="shared" si="90"/>
        <v>7000</v>
      </c>
      <c r="L871" s="799">
        <f t="shared" si="91"/>
        <v>7000</v>
      </c>
      <c r="M871" s="799">
        <f t="shared" si="82"/>
        <v>7000</v>
      </c>
      <c r="N871" s="798" t="s">
        <v>18057</v>
      </c>
      <c r="O871" s="800">
        <f t="shared" si="83"/>
        <v>7000</v>
      </c>
      <c r="P871" s="800">
        <f t="shared" si="84"/>
        <v>7000</v>
      </c>
      <c r="Q871" s="801">
        <f t="shared" si="85"/>
        <v>7000</v>
      </c>
    </row>
    <row r="872" spans="1:17" x14ac:dyDescent="0.2">
      <c r="A872" s="802" t="s">
        <v>18228</v>
      </c>
      <c r="B872" s="803" t="s">
        <v>18046</v>
      </c>
      <c r="C872" s="803" t="s">
        <v>14060</v>
      </c>
      <c r="D872" s="803" t="s">
        <v>18227</v>
      </c>
      <c r="E872" s="803" t="s">
        <v>18061</v>
      </c>
      <c r="F872" s="803">
        <v>2</v>
      </c>
      <c r="G872" s="803" t="s">
        <v>2837</v>
      </c>
      <c r="H872" s="803" t="s">
        <v>3779</v>
      </c>
      <c r="I872" s="804">
        <v>12000</v>
      </c>
      <c r="J872" s="803">
        <v>1</v>
      </c>
      <c r="K872" s="804">
        <f t="shared" si="90"/>
        <v>12000</v>
      </c>
      <c r="L872" s="804">
        <f t="shared" si="91"/>
        <v>12000</v>
      </c>
      <c r="M872" s="804">
        <f t="shared" si="82"/>
        <v>12000</v>
      </c>
      <c r="N872" s="803" t="s">
        <v>18062</v>
      </c>
      <c r="O872" s="805">
        <f t="shared" si="83"/>
        <v>12000</v>
      </c>
      <c r="P872" s="805">
        <f t="shared" si="84"/>
        <v>12000</v>
      </c>
      <c r="Q872" s="806">
        <f t="shared" si="85"/>
        <v>12000</v>
      </c>
    </row>
    <row r="873" spans="1:17" x14ac:dyDescent="0.2">
      <c r="A873" s="797" t="s">
        <v>18229</v>
      </c>
      <c r="B873" s="798" t="s">
        <v>18046</v>
      </c>
      <c r="C873" s="798" t="s">
        <v>14065</v>
      </c>
      <c r="D873" s="798" t="s">
        <v>18230</v>
      </c>
      <c r="E873" s="798" t="s">
        <v>18019</v>
      </c>
      <c r="F873" s="798">
        <v>1</v>
      </c>
      <c r="G873" s="798" t="s">
        <v>122</v>
      </c>
      <c r="H873" s="798" t="s">
        <v>122</v>
      </c>
      <c r="I873" s="799">
        <v>1600</v>
      </c>
      <c r="J873" s="798">
        <v>1</v>
      </c>
      <c r="K873" s="799">
        <f t="shared" si="90"/>
        <v>1600</v>
      </c>
      <c r="L873" s="799">
        <f t="shared" si="91"/>
        <v>1600</v>
      </c>
      <c r="M873" s="799">
        <f t="shared" si="82"/>
        <v>1600</v>
      </c>
      <c r="N873" s="798" t="s">
        <v>18048</v>
      </c>
      <c r="O873" s="800">
        <f t="shared" si="83"/>
        <v>1600</v>
      </c>
      <c r="P873" s="800">
        <f t="shared" si="84"/>
        <v>1600</v>
      </c>
      <c r="Q873" s="801">
        <f t="shared" si="85"/>
        <v>1600</v>
      </c>
    </row>
    <row r="874" spans="1:17" x14ac:dyDescent="0.2">
      <c r="A874" s="802" t="s">
        <v>18231</v>
      </c>
      <c r="B874" s="803" t="s">
        <v>18046</v>
      </c>
      <c r="C874" s="803" t="s">
        <v>14065</v>
      </c>
      <c r="D874" s="803" t="s">
        <v>18232</v>
      </c>
      <c r="E874" s="803" t="s">
        <v>18019</v>
      </c>
      <c r="F874" s="803">
        <v>1</v>
      </c>
      <c r="G874" s="803" t="s">
        <v>122</v>
      </c>
      <c r="H874" s="803" t="s">
        <v>122</v>
      </c>
      <c r="I874" s="804">
        <v>1800</v>
      </c>
      <c r="J874" s="803">
        <v>1</v>
      </c>
      <c r="K874" s="804">
        <f t="shared" si="90"/>
        <v>1800</v>
      </c>
      <c r="L874" s="804">
        <f t="shared" si="91"/>
        <v>1800</v>
      </c>
      <c r="M874" s="804">
        <f t="shared" si="82"/>
        <v>1800</v>
      </c>
      <c r="N874" s="803" t="s">
        <v>18048</v>
      </c>
      <c r="O874" s="805">
        <f t="shared" si="83"/>
        <v>1800</v>
      </c>
      <c r="P874" s="805">
        <f t="shared" si="84"/>
        <v>1800</v>
      </c>
      <c r="Q874" s="806">
        <f t="shared" si="85"/>
        <v>1800</v>
      </c>
    </row>
    <row r="875" spans="1:17" x14ac:dyDescent="0.2">
      <c r="A875" s="797" t="s">
        <v>18233</v>
      </c>
      <c r="B875" s="798" t="s">
        <v>18046</v>
      </c>
      <c r="C875" s="798" t="s">
        <v>14065</v>
      </c>
      <c r="D875" s="798" t="s">
        <v>18234</v>
      </c>
      <c r="E875" s="798" t="s">
        <v>18031</v>
      </c>
      <c r="F875" s="798">
        <v>1</v>
      </c>
      <c r="G875" s="798" t="s">
        <v>122</v>
      </c>
      <c r="H875" s="798" t="s">
        <v>1103</v>
      </c>
      <c r="I875" s="799">
        <v>3000</v>
      </c>
      <c r="J875" s="798">
        <v>1</v>
      </c>
      <c r="K875" s="799">
        <f t="shared" si="90"/>
        <v>3000</v>
      </c>
      <c r="L875" s="799">
        <f t="shared" si="91"/>
        <v>3000</v>
      </c>
      <c r="M875" s="799">
        <f t="shared" si="82"/>
        <v>3000</v>
      </c>
      <c r="N875" s="798" t="s">
        <v>18048</v>
      </c>
      <c r="O875" s="800">
        <f t="shared" si="83"/>
        <v>3000</v>
      </c>
      <c r="P875" s="800">
        <f t="shared" si="84"/>
        <v>3000</v>
      </c>
      <c r="Q875" s="801">
        <f t="shared" si="85"/>
        <v>3000</v>
      </c>
    </row>
    <row r="876" spans="1:17" x14ac:dyDescent="0.2">
      <c r="A876" s="802" t="s">
        <v>18235</v>
      </c>
      <c r="B876" s="803" t="s">
        <v>18046</v>
      </c>
      <c r="C876" s="803" t="s">
        <v>14065</v>
      </c>
      <c r="D876" s="803" t="s">
        <v>18234</v>
      </c>
      <c r="E876" s="803" t="s">
        <v>18054</v>
      </c>
      <c r="F876" s="803">
        <v>2</v>
      </c>
      <c r="G876" s="803" t="s">
        <v>122</v>
      </c>
      <c r="H876" s="803" t="s">
        <v>1103</v>
      </c>
      <c r="I876" s="804">
        <v>5000</v>
      </c>
      <c r="J876" s="803">
        <v>1</v>
      </c>
      <c r="K876" s="804">
        <f t="shared" si="90"/>
        <v>5000</v>
      </c>
      <c r="L876" s="804">
        <f t="shared" si="91"/>
        <v>5000</v>
      </c>
      <c r="M876" s="804">
        <f t="shared" si="82"/>
        <v>5000</v>
      </c>
      <c r="N876" s="803" t="s">
        <v>18055</v>
      </c>
      <c r="O876" s="805">
        <f t="shared" si="83"/>
        <v>5000</v>
      </c>
      <c r="P876" s="805">
        <f t="shared" si="84"/>
        <v>5000</v>
      </c>
      <c r="Q876" s="806">
        <f t="shared" si="85"/>
        <v>5000</v>
      </c>
    </row>
    <row r="877" spans="1:17" x14ac:dyDescent="0.2">
      <c r="A877" s="797" t="s">
        <v>18236</v>
      </c>
      <c r="B877" s="798" t="s">
        <v>18046</v>
      </c>
      <c r="C877" s="798" t="s">
        <v>14065</v>
      </c>
      <c r="D877" s="798" t="s">
        <v>18234</v>
      </c>
      <c r="E877" s="798" t="s">
        <v>18033</v>
      </c>
      <c r="F877" s="798">
        <v>3</v>
      </c>
      <c r="G877" s="798" t="s">
        <v>122</v>
      </c>
      <c r="H877" s="798" t="s">
        <v>1103</v>
      </c>
      <c r="I877" s="799">
        <v>7000</v>
      </c>
      <c r="J877" s="798">
        <v>1</v>
      </c>
      <c r="K877" s="799">
        <f t="shared" si="90"/>
        <v>7000</v>
      </c>
      <c r="L877" s="799">
        <f t="shared" si="91"/>
        <v>7000</v>
      </c>
      <c r="M877" s="799">
        <f t="shared" si="82"/>
        <v>7000</v>
      </c>
      <c r="N877" s="798" t="s">
        <v>18057</v>
      </c>
      <c r="O877" s="800">
        <f t="shared" si="83"/>
        <v>7000</v>
      </c>
      <c r="P877" s="800">
        <f t="shared" si="84"/>
        <v>7000</v>
      </c>
      <c r="Q877" s="801">
        <f t="shared" si="85"/>
        <v>7000</v>
      </c>
    </row>
    <row r="878" spans="1:17" x14ac:dyDescent="0.2">
      <c r="A878" s="802" t="s">
        <v>18237</v>
      </c>
      <c r="B878" s="803" t="s">
        <v>18046</v>
      </c>
      <c r="C878" s="803" t="s">
        <v>14065</v>
      </c>
      <c r="D878" s="803" t="s">
        <v>18238</v>
      </c>
      <c r="E878" s="803" t="s">
        <v>18033</v>
      </c>
      <c r="F878" s="803">
        <v>1</v>
      </c>
      <c r="G878" s="803" t="s">
        <v>122</v>
      </c>
      <c r="H878" s="803" t="s">
        <v>1103</v>
      </c>
      <c r="I878" s="804">
        <v>7000</v>
      </c>
      <c r="J878" s="803">
        <v>1</v>
      </c>
      <c r="K878" s="804">
        <f t="shared" si="90"/>
        <v>7000</v>
      </c>
      <c r="L878" s="804">
        <f t="shared" si="91"/>
        <v>7000</v>
      </c>
      <c r="M878" s="804">
        <f t="shared" si="82"/>
        <v>7000</v>
      </c>
      <c r="N878" s="803" t="s">
        <v>18057</v>
      </c>
      <c r="O878" s="805">
        <f t="shared" si="83"/>
        <v>7000</v>
      </c>
      <c r="P878" s="805">
        <f t="shared" si="84"/>
        <v>7000</v>
      </c>
      <c r="Q878" s="806">
        <f t="shared" si="85"/>
        <v>7000</v>
      </c>
    </row>
    <row r="879" spans="1:17" x14ac:dyDescent="0.2">
      <c r="A879" s="797" t="s">
        <v>18239</v>
      </c>
      <c r="B879" s="798" t="s">
        <v>18046</v>
      </c>
      <c r="C879" s="798" t="s">
        <v>14065</v>
      </c>
      <c r="D879" s="798" t="s">
        <v>18238</v>
      </c>
      <c r="E879" s="798" t="s">
        <v>18061</v>
      </c>
      <c r="F879" s="798">
        <v>2</v>
      </c>
      <c r="G879" s="798" t="s">
        <v>122</v>
      </c>
      <c r="H879" s="798" t="s">
        <v>1103</v>
      </c>
      <c r="I879" s="799">
        <v>12000</v>
      </c>
      <c r="J879" s="798">
        <v>1</v>
      </c>
      <c r="K879" s="799">
        <f t="shared" si="90"/>
        <v>12000</v>
      </c>
      <c r="L879" s="799">
        <f t="shared" si="91"/>
        <v>12000</v>
      </c>
      <c r="M879" s="799">
        <f t="shared" si="82"/>
        <v>12000</v>
      </c>
      <c r="N879" s="798" t="s">
        <v>18062</v>
      </c>
      <c r="O879" s="800">
        <f t="shared" si="83"/>
        <v>12000</v>
      </c>
      <c r="P879" s="800">
        <f t="shared" si="84"/>
        <v>12000</v>
      </c>
      <c r="Q879" s="801">
        <f t="shared" si="85"/>
        <v>12000</v>
      </c>
    </row>
    <row r="880" spans="1:17" x14ac:dyDescent="0.2">
      <c r="A880" s="802" t="s">
        <v>18240</v>
      </c>
      <c r="B880" s="803" t="s">
        <v>18241</v>
      </c>
      <c r="C880" s="803" t="s">
        <v>18242</v>
      </c>
      <c r="D880" s="803" t="s">
        <v>18243</v>
      </c>
      <c r="E880" s="803" t="s">
        <v>18019</v>
      </c>
      <c r="F880" s="803">
        <v>1</v>
      </c>
      <c r="G880" s="803" t="s">
        <v>10772</v>
      </c>
      <c r="H880" s="803" t="s">
        <v>18244</v>
      </c>
      <c r="I880" s="804">
        <v>2000</v>
      </c>
      <c r="J880" s="803">
        <v>1</v>
      </c>
      <c r="K880" s="804">
        <f t="shared" si="90"/>
        <v>2000</v>
      </c>
      <c r="L880" s="804">
        <f t="shared" si="91"/>
        <v>2000</v>
      </c>
      <c r="M880" s="804">
        <f t="shared" si="82"/>
        <v>2000</v>
      </c>
      <c r="N880" s="803" t="s">
        <v>18020</v>
      </c>
      <c r="O880" s="805">
        <f t="shared" si="83"/>
        <v>2000</v>
      </c>
      <c r="P880" s="805">
        <f t="shared" si="84"/>
        <v>2000</v>
      </c>
      <c r="Q880" s="806">
        <f t="shared" si="85"/>
        <v>2000</v>
      </c>
    </row>
    <row r="881" spans="1:17" x14ac:dyDescent="0.2">
      <c r="A881" s="797" t="s">
        <v>18245</v>
      </c>
      <c r="B881" s="798" t="s">
        <v>18241</v>
      </c>
      <c r="C881" s="798" t="s">
        <v>18242</v>
      </c>
      <c r="D881" s="798" t="s">
        <v>18246</v>
      </c>
      <c r="E881" s="798" t="s">
        <v>18019</v>
      </c>
      <c r="F881" s="798">
        <v>1</v>
      </c>
      <c r="G881" s="798" t="s">
        <v>2837</v>
      </c>
      <c r="H881" s="798" t="s">
        <v>2837</v>
      </c>
      <c r="I881" s="799">
        <v>500</v>
      </c>
      <c r="J881" s="798">
        <v>1</v>
      </c>
      <c r="K881" s="799">
        <f t="shared" si="90"/>
        <v>500</v>
      </c>
      <c r="L881" s="799">
        <f t="shared" si="91"/>
        <v>500</v>
      </c>
      <c r="M881" s="799">
        <f t="shared" si="82"/>
        <v>500</v>
      </c>
      <c r="N881" s="798" t="s">
        <v>18020</v>
      </c>
      <c r="O881" s="800">
        <f t="shared" si="83"/>
        <v>500</v>
      </c>
      <c r="P881" s="800">
        <f t="shared" si="84"/>
        <v>500</v>
      </c>
      <c r="Q881" s="801">
        <f t="shared" si="85"/>
        <v>500</v>
      </c>
    </row>
    <row r="882" spans="1:17" x14ac:dyDescent="0.2">
      <c r="A882" s="802" t="s">
        <v>18247</v>
      </c>
      <c r="B882" s="803" t="s">
        <v>18241</v>
      </c>
      <c r="C882" s="803" t="s">
        <v>18242</v>
      </c>
      <c r="D882" s="803" t="s">
        <v>18248</v>
      </c>
      <c r="E882" s="803" t="s">
        <v>18019</v>
      </c>
      <c r="F882" s="803">
        <v>1</v>
      </c>
      <c r="G882" s="803" t="s">
        <v>3779</v>
      </c>
      <c r="H882" s="803" t="s">
        <v>3779</v>
      </c>
      <c r="I882" s="804">
        <v>500</v>
      </c>
      <c r="J882" s="803">
        <v>1</v>
      </c>
      <c r="K882" s="804">
        <f t="shared" si="90"/>
        <v>500</v>
      </c>
      <c r="L882" s="804">
        <f t="shared" si="91"/>
        <v>500</v>
      </c>
      <c r="M882" s="804">
        <f t="shared" si="82"/>
        <v>500</v>
      </c>
      <c r="N882" s="803" t="s">
        <v>18020</v>
      </c>
      <c r="O882" s="805">
        <f t="shared" si="83"/>
        <v>500</v>
      </c>
      <c r="P882" s="805">
        <f t="shared" si="84"/>
        <v>500</v>
      </c>
      <c r="Q882" s="806">
        <f t="shared" si="85"/>
        <v>500</v>
      </c>
    </row>
    <row r="883" spans="1:17" x14ac:dyDescent="0.2">
      <c r="A883" s="797" t="s">
        <v>18249</v>
      </c>
      <c r="B883" s="798" t="s">
        <v>18241</v>
      </c>
      <c r="C883" s="798" t="s">
        <v>18242</v>
      </c>
      <c r="D883" s="798" t="s">
        <v>18250</v>
      </c>
      <c r="E883" s="798" t="s">
        <v>15731</v>
      </c>
      <c r="F883" s="798">
        <v>1</v>
      </c>
      <c r="G883" s="798" t="s">
        <v>10772</v>
      </c>
      <c r="H883" s="798" t="s">
        <v>2837</v>
      </c>
      <c r="I883" s="799">
        <v>2000</v>
      </c>
      <c r="J883" s="798">
        <v>1</v>
      </c>
      <c r="K883" s="799">
        <f t="shared" si="90"/>
        <v>2000</v>
      </c>
      <c r="L883" s="799">
        <f t="shared" si="91"/>
        <v>2000</v>
      </c>
      <c r="M883" s="799">
        <f t="shared" si="82"/>
        <v>2000</v>
      </c>
      <c r="N883" s="798" t="s">
        <v>18048</v>
      </c>
      <c r="O883" s="800">
        <f t="shared" si="83"/>
        <v>2000</v>
      </c>
      <c r="P883" s="800">
        <f t="shared" si="84"/>
        <v>2000</v>
      </c>
      <c r="Q883" s="801">
        <f t="shared" si="85"/>
        <v>2000</v>
      </c>
    </row>
    <row r="884" spans="1:17" x14ac:dyDescent="0.2">
      <c r="A884" s="802" t="s">
        <v>18251</v>
      </c>
      <c r="B884" s="803" t="s">
        <v>18241</v>
      </c>
      <c r="C884" s="803" t="s">
        <v>18242</v>
      </c>
      <c r="D884" s="803" t="s">
        <v>18250</v>
      </c>
      <c r="E884" s="803" t="s">
        <v>15732</v>
      </c>
      <c r="F884" s="803">
        <v>2</v>
      </c>
      <c r="G884" s="803" t="s">
        <v>10772</v>
      </c>
      <c r="H884" s="803" t="s">
        <v>2837</v>
      </c>
      <c r="I884" s="804">
        <v>4000</v>
      </c>
      <c r="J884" s="803">
        <v>1</v>
      </c>
      <c r="K884" s="804">
        <f t="shared" si="90"/>
        <v>4000</v>
      </c>
      <c r="L884" s="804">
        <f t="shared" si="91"/>
        <v>4000</v>
      </c>
      <c r="M884" s="804">
        <f t="shared" si="82"/>
        <v>4000</v>
      </c>
      <c r="N884" s="803" t="s">
        <v>18048</v>
      </c>
      <c r="O884" s="805">
        <f t="shared" si="83"/>
        <v>4000</v>
      </c>
      <c r="P884" s="805">
        <f t="shared" si="84"/>
        <v>4000</v>
      </c>
      <c r="Q884" s="806">
        <f t="shared" si="85"/>
        <v>4000</v>
      </c>
    </row>
    <row r="885" spans="1:17" x14ac:dyDescent="0.2">
      <c r="A885" s="797" t="s">
        <v>18252</v>
      </c>
      <c r="B885" s="798" t="s">
        <v>18241</v>
      </c>
      <c r="C885" s="798" t="s">
        <v>18242</v>
      </c>
      <c r="D885" s="798" t="s">
        <v>18250</v>
      </c>
      <c r="E885" s="798" t="s">
        <v>18253</v>
      </c>
      <c r="F885" s="798">
        <v>3</v>
      </c>
      <c r="G885" s="798" t="s">
        <v>10772</v>
      </c>
      <c r="H885" s="798" t="s">
        <v>2837</v>
      </c>
      <c r="I885" s="799">
        <v>7000</v>
      </c>
      <c r="J885" s="798">
        <v>1</v>
      </c>
      <c r="K885" s="799">
        <f t="shared" si="90"/>
        <v>7000</v>
      </c>
      <c r="L885" s="799">
        <f t="shared" si="91"/>
        <v>7000</v>
      </c>
      <c r="M885" s="799">
        <f t="shared" si="82"/>
        <v>7000</v>
      </c>
      <c r="N885" s="798" t="s">
        <v>18057</v>
      </c>
      <c r="O885" s="800">
        <f t="shared" si="83"/>
        <v>7000</v>
      </c>
      <c r="P885" s="800">
        <f t="shared" si="84"/>
        <v>7000</v>
      </c>
      <c r="Q885" s="801">
        <f t="shared" si="85"/>
        <v>7000</v>
      </c>
    </row>
    <row r="886" spans="1:17" x14ac:dyDescent="0.2">
      <c r="A886" s="802" t="s">
        <v>18254</v>
      </c>
      <c r="B886" s="803" t="s">
        <v>18241</v>
      </c>
      <c r="C886" s="803" t="s">
        <v>18242</v>
      </c>
      <c r="D886" s="803" t="s">
        <v>18250</v>
      </c>
      <c r="E886" s="803" t="s">
        <v>18255</v>
      </c>
      <c r="F886" s="803">
        <v>4</v>
      </c>
      <c r="G886" s="803" t="s">
        <v>10772</v>
      </c>
      <c r="H886" s="803" t="s">
        <v>2837</v>
      </c>
      <c r="I886" s="804">
        <v>10000</v>
      </c>
      <c r="J886" s="803">
        <v>1</v>
      </c>
      <c r="K886" s="804">
        <f t="shared" si="90"/>
        <v>10000</v>
      </c>
      <c r="L886" s="804">
        <f t="shared" si="91"/>
        <v>10000</v>
      </c>
      <c r="M886" s="804">
        <f t="shared" si="82"/>
        <v>10000</v>
      </c>
      <c r="N886" s="803" t="s">
        <v>18062</v>
      </c>
      <c r="O886" s="805">
        <f t="shared" si="83"/>
        <v>10000</v>
      </c>
      <c r="P886" s="805">
        <f t="shared" si="84"/>
        <v>10000</v>
      </c>
      <c r="Q886" s="806">
        <f t="shared" si="85"/>
        <v>10000</v>
      </c>
    </row>
    <row r="887" spans="1:17" x14ac:dyDescent="0.2">
      <c r="A887" s="797" t="s">
        <v>18256</v>
      </c>
      <c r="B887" s="798" t="s">
        <v>18241</v>
      </c>
      <c r="C887" s="798" t="s">
        <v>18242</v>
      </c>
      <c r="D887" s="798" t="s">
        <v>18257</v>
      </c>
      <c r="E887" s="798" t="s">
        <v>15731</v>
      </c>
      <c r="F887" s="798">
        <v>1</v>
      </c>
      <c r="G887" s="798" t="s">
        <v>10772</v>
      </c>
      <c r="H887" s="798" t="s">
        <v>2837</v>
      </c>
      <c r="I887" s="799">
        <v>4500</v>
      </c>
      <c r="J887" s="798">
        <v>1</v>
      </c>
      <c r="K887" s="799">
        <f t="shared" si="90"/>
        <v>4500</v>
      </c>
      <c r="L887" s="799">
        <f t="shared" si="91"/>
        <v>4500</v>
      </c>
      <c r="M887" s="799">
        <f t="shared" si="82"/>
        <v>4500</v>
      </c>
      <c r="N887" s="798" t="s">
        <v>18258</v>
      </c>
      <c r="O887" s="800">
        <f t="shared" si="83"/>
        <v>4500</v>
      </c>
      <c r="P887" s="800">
        <f t="shared" si="84"/>
        <v>4500</v>
      </c>
      <c r="Q887" s="801">
        <f t="shared" si="85"/>
        <v>4500</v>
      </c>
    </row>
    <row r="888" spans="1:17" x14ac:dyDescent="0.2">
      <c r="A888" s="802" t="s">
        <v>18259</v>
      </c>
      <c r="B888" s="803" t="s">
        <v>18241</v>
      </c>
      <c r="C888" s="803" t="s">
        <v>18242</v>
      </c>
      <c r="D888" s="803" t="s">
        <v>18257</v>
      </c>
      <c r="E888" s="803" t="s">
        <v>15732</v>
      </c>
      <c r="F888" s="803">
        <v>2</v>
      </c>
      <c r="G888" s="803" t="s">
        <v>10772</v>
      </c>
      <c r="H888" s="803" t="s">
        <v>2837</v>
      </c>
      <c r="I888" s="804">
        <v>10000</v>
      </c>
      <c r="J888" s="803">
        <v>1</v>
      </c>
      <c r="K888" s="804">
        <f t="shared" si="90"/>
        <v>10000</v>
      </c>
      <c r="L888" s="804">
        <f t="shared" si="91"/>
        <v>10000</v>
      </c>
      <c r="M888" s="804">
        <f t="shared" si="82"/>
        <v>10000</v>
      </c>
      <c r="N888" s="803" t="s">
        <v>18260</v>
      </c>
      <c r="O888" s="805">
        <f t="shared" si="83"/>
        <v>10000</v>
      </c>
      <c r="P888" s="805">
        <f t="shared" si="84"/>
        <v>10000</v>
      </c>
      <c r="Q888" s="806">
        <f t="shared" si="85"/>
        <v>10000</v>
      </c>
    </row>
    <row r="889" spans="1:17" x14ac:dyDescent="0.2">
      <c r="A889" s="797" t="s">
        <v>18261</v>
      </c>
      <c r="B889" s="798" t="s">
        <v>18241</v>
      </c>
      <c r="C889" s="798" t="s">
        <v>18242</v>
      </c>
      <c r="D889" s="798" t="s">
        <v>18257</v>
      </c>
      <c r="E889" s="798" t="s">
        <v>18253</v>
      </c>
      <c r="F889" s="798">
        <v>3</v>
      </c>
      <c r="G889" s="798" t="s">
        <v>10772</v>
      </c>
      <c r="H889" s="798" t="s">
        <v>2837</v>
      </c>
      <c r="I889" s="799">
        <v>16000</v>
      </c>
      <c r="J889" s="798">
        <v>1</v>
      </c>
      <c r="K889" s="799">
        <f t="shared" si="90"/>
        <v>16000</v>
      </c>
      <c r="L889" s="799">
        <f t="shared" si="91"/>
        <v>16000</v>
      </c>
      <c r="M889" s="799">
        <f t="shared" si="82"/>
        <v>16000</v>
      </c>
      <c r="N889" s="798" t="s">
        <v>18262</v>
      </c>
      <c r="O889" s="800">
        <f t="shared" si="83"/>
        <v>16000</v>
      </c>
      <c r="P889" s="800">
        <f t="shared" si="84"/>
        <v>16000</v>
      </c>
      <c r="Q889" s="801">
        <f t="shared" si="85"/>
        <v>16000</v>
      </c>
    </row>
    <row r="890" spans="1:17" x14ac:dyDescent="0.2">
      <c r="A890" s="802" t="s">
        <v>18263</v>
      </c>
      <c r="B890" s="803" t="s">
        <v>18241</v>
      </c>
      <c r="C890" s="803" t="s">
        <v>18242</v>
      </c>
      <c r="D890" s="803" t="s">
        <v>18264</v>
      </c>
      <c r="E890" s="803" t="s">
        <v>18019</v>
      </c>
      <c r="F890" s="803">
        <v>1</v>
      </c>
      <c r="G890" s="803" t="s">
        <v>2837</v>
      </c>
      <c r="H890" s="803" t="s">
        <v>2837</v>
      </c>
      <c r="I890" s="804">
        <v>12500</v>
      </c>
      <c r="J890" s="803">
        <v>1</v>
      </c>
      <c r="K890" s="804">
        <f t="shared" si="90"/>
        <v>12500</v>
      </c>
      <c r="L890" s="804">
        <f t="shared" si="91"/>
        <v>12500</v>
      </c>
      <c r="M890" s="804">
        <f t="shared" si="82"/>
        <v>12500</v>
      </c>
      <c r="N890" s="803" t="s">
        <v>18265</v>
      </c>
      <c r="O890" s="805">
        <f t="shared" si="83"/>
        <v>12500</v>
      </c>
      <c r="P890" s="805">
        <f t="shared" si="84"/>
        <v>12500</v>
      </c>
      <c r="Q890" s="806">
        <f t="shared" si="85"/>
        <v>12500</v>
      </c>
    </row>
    <row r="891" spans="1:17" x14ac:dyDescent="0.2">
      <c r="A891" s="797" t="s">
        <v>18266</v>
      </c>
      <c r="B891" s="798" t="s">
        <v>18241</v>
      </c>
      <c r="C891" s="798" t="s">
        <v>18242</v>
      </c>
      <c r="D891" s="798" t="s">
        <v>18267</v>
      </c>
      <c r="E891" s="798" t="s">
        <v>18019</v>
      </c>
      <c r="F891" s="798">
        <v>1</v>
      </c>
      <c r="G891" s="798" t="s">
        <v>3779</v>
      </c>
      <c r="H891" s="798" t="s">
        <v>3779</v>
      </c>
      <c r="I891" s="799">
        <v>12500</v>
      </c>
      <c r="J891" s="798">
        <v>1</v>
      </c>
      <c r="K891" s="799">
        <f t="shared" si="90"/>
        <v>12500</v>
      </c>
      <c r="L891" s="799">
        <f t="shared" si="91"/>
        <v>12500</v>
      </c>
      <c r="M891" s="799">
        <f t="shared" si="82"/>
        <v>12500</v>
      </c>
      <c r="N891" s="798" t="s">
        <v>18265</v>
      </c>
      <c r="O891" s="800">
        <f t="shared" si="83"/>
        <v>12500</v>
      </c>
      <c r="P891" s="800">
        <f t="shared" si="84"/>
        <v>12500</v>
      </c>
      <c r="Q891" s="801">
        <f t="shared" si="85"/>
        <v>12500</v>
      </c>
    </row>
    <row r="892" spans="1:17" x14ac:dyDescent="0.2">
      <c r="A892" s="802" t="s">
        <v>18268</v>
      </c>
      <c r="B892" s="803" t="s">
        <v>18017</v>
      </c>
      <c r="C892" s="803" t="s">
        <v>14476</v>
      </c>
      <c r="D892" s="803" t="s">
        <v>18269</v>
      </c>
      <c r="E892" s="803" t="s">
        <v>18019</v>
      </c>
      <c r="F892" s="803">
        <v>1</v>
      </c>
      <c r="G892" s="803" t="s">
        <v>1947</v>
      </c>
      <c r="H892" s="803" t="s">
        <v>1947</v>
      </c>
      <c r="I892" s="804">
        <v>1500</v>
      </c>
      <c r="J892" s="803">
        <v>1</v>
      </c>
      <c r="K892" s="804">
        <f t="shared" si="90"/>
        <v>1500</v>
      </c>
      <c r="L892" s="804">
        <f t="shared" si="91"/>
        <v>1500</v>
      </c>
      <c r="M892" s="804">
        <f t="shared" si="82"/>
        <v>1500</v>
      </c>
      <c r="N892" s="803" t="s">
        <v>18020</v>
      </c>
      <c r="O892" s="805">
        <f t="shared" si="83"/>
        <v>1500</v>
      </c>
      <c r="P892" s="805">
        <f t="shared" si="84"/>
        <v>1500</v>
      </c>
      <c r="Q892" s="806">
        <f t="shared" si="85"/>
        <v>1500</v>
      </c>
    </row>
    <row r="893" spans="1:17" x14ac:dyDescent="0.2">
      <c r="A893" s="797" t="s">
        <v>18270</v>
      </c>
      <c r="B893" s="798" t="s">
        <v>18017</v>
      </c>
      <c r="C893" s="798" t="s">
        <v>14476</v>
      </c>
      <c r="D893" s="798" t="s">
        <v>18271</v>
      </c>
      <c r="E893" s="798" t="s">
        <v>18019</v>
      </c>
      <c r="F893" s="798">
        <v>1</v>
      </c>
      <c r="G893" s="798" t="s">
        <v>1947</v>
      </c>
      <c r="H893" s="798" t="s">
        <v>1947</v>
      </c>
      <c r="I893" s="799">
        <v>1600</v>
      </c>
      <c r="J893" s="798">
        <v>1</v>
      </c>
      <c r="K893" s="799">
        <f t="shared" si="90"/>
        <v>1600</v>
      </c>
      <c r="L893" s="799">
        <f t="shared" si="91"/>
        <v>1600</v>
      </c>
      <c r="M893" s="799">
        <f t="shared" si="82"/>
        <v>1600</v>
      </c>
      <c r="N893" s="798" t="s">
        <v>18020</v>
      </c>
      <c r="O893" s="800">
        <f t="shared" si="83"/>
        <v>1600</v>
      </c>
      <c r="P893" s="800">
        <f t="shared" si="84"/>
        <v>1600</v>
      </c>
      <c r="Q893" s="801">
        <f t="shared" si="85"/>
        <v>1600</v>
      </c>
    </row>
    <row r="894" spans="1:17" x14ac:dyDescent="0.2">
      <c r="A894" s="802" t="s">
        <v>18272</v>
      </c>
      <c r="B894" s="803" t="s">
        <v>18017</v>
      </c>
      <c r="C894" s="803" t="s">
        <v>14476</v>
      </c>
      <c r="D894" s="803" t="s">
        <v>18273</v>
      </c>
      <c r="E894" s="803" t="s">
        <v>18031</v>
      </c>
      <c r="F894" s="803">
        <v>1</v>
      </c>
      <c r="G894" s="803" t="s">
        <v>1947</v>
      </c>
      <c r="H894" s="803" t="s">
        <v>122</v>
      </c>
      <c r="I894" s="804">
        <v>2000</v>
      </c>
      <c r="J894" s="803">
        <v>1</v>
      </c>
      <c r="K894" s="804">
        <f t="shared" si="90"/>
        <v>2000</v>
      </c>
      <c r="L894" s="804">
        <f t="shared" si="91"/>
        <v>2000</v>
      </c>
      <c r="M894" s="804">
        <f t="shared" si="82"/>
        <v>2000</v>
      </c>
      <c r="N894" s="803" t="s">
        <v>18020</v>
      </c>
      <c r="O894" s="805">
        <f t="shared" si="83"/>
        <v>2000</v>
      </c>
      <c r="P894" s="805">
        <f t="shared" si="84"/>
        <v>2000</v>
      </c>
      <c r="Q894" s="806">
        <f t="shared" si="85"/>
        <v>2000</v>
      </c>
    </row>
    <row r="895" spans="1:17" x14ac:dyDescent="0.2">
      <c r="A895" s="797" t="s">
        <v>18274</v>
      </c>
      <c r="B895" s="798" t="s">
        <v>18017</v>
      </c>
      <c r="C895" s="798" t="s">
        <v>14476</v>
      </c>
      <c r="D895" s="798" t="s">
        <v>18273</v>
      </c>
      <c r="E895" s="798" t="s">
        <v>18033</v>
      </c>
      <c r="F895" s="798">
        <v>2</v>
      </c>
      <c r="G895" s="798" t="s">
        <v>1947</v>
      </c>
      <c r="H895" s="798" t="s">
        <v>122</v>
      </c>
      <c r="I895" s="799">
        <v>5200</v>
      </c>
      <c r="J895" s="798">
        <v>1</v>
      </c>
      <c r="K895" s="799">
        <f t="shared" si="90"/>
        <v>5200</v>
      </c>
      <c r="L895" s="799">
        <f t="shared" si="91"/>
        <v>5200</v>
      </c>
      <c r="M895" s="799">
        <f t="shared" si="82"/>
        <v>5200</v>
      </c>
      <c r="N895" s="798" t="s">
        <v>18020</v>
      </c>
      <c r="O895" s="800">
        <f t="shared" si="83"/>
        <v>5200</v>
      </c>
      <c r="P895" s="800">
        <f t="shared" si="84"/>
        <v>5200</v>
      </c>
      <c r="Q895" s="801">
        <f t="shared" si="85"/>
        <v>5200</v>
      </c>
    </row>
    <row r="896" spans="1:17" x14ac:dyDescent="0.2">
      <c r="A896" s="802" t="s">
        <v>18275</v>
      </c>
      <c r="B896" s="803" t="s">
        <v>18017</v>
      </c>
      <c r="C896" s="803" t="s">
        <v>14476</v>
      </c>
      <c r="D896" s="803" t="s">
        <v>18276</v>
      </c>
      <c r="E896" s="803" t="s">
        <v>18031</v>
      </c>
      <c r="F896" s="803">
        <v>1</v>
      </c>
      <c r="G896" s="803" t="s">
        <v>1947</v>
      </c>
      <c r="H896" s="803" t="s">
        <v>122</v>
      </c>
      <c r="I896" s="804">
        <v>2500</v>
      </c>
      <c r="J896" s="803">
        <v>1</v>
      </c>
      <c r="K896" s="804">
        <f t="shared" si="90"/>
        <v>2500</v>
      </c>
      <c r="L896" s="804">
        <f t="shared" si="91"/>
        <v>2500</v>
      </c>
      <c r="M896" s="804">
        <f t="shared" si="82"/>
        <v>2500</v>
      </c>
      <c r="N896" s="803" t="s">
        <v>18020</v>
      </c>
      <c r="O896" s="805">
        <f t="shared" si="83"/>
        <v>2500</v>
      </c>
      <c r="P896" s="805">
        <f t="shared" si="84"/>
        <v>2500</v>
      </c>
      <c r="Q896" s="806">
        <f t="shared" si="85"/>
        <v>2500</v>
      </c>
    </row>
    <row r="897" spans="1:17" x14ac:dyDescent="0.2">
      <c r="A897" s="797" t="s">
        <v>18277</v>
      </c>
      <c r="B897" s="798" t="s">
        <v>18017</v>
      </c>
      <c r="C897" s="798" t="s">
        <v>14476</v>
      </c>
      <c r="D897" s="798" t="s">
        <v>18276</v>
      </c>
      <c r="E897" s="798" t="s">
        <v>18033</v>
      </c>
      <c r="F897" s="798">
        <v>2</v>
      </c>
      <c r="G897" s="798" t="s">
        <v>1947</v>
      </c>
      <c r="H897" s="798" t="s">
        <v>122</v>
      </c>
      <c r="I897" s="799">
        <v>7800</v>
      </c>
      <c r="J897" s="798">
        <v>1</v>
      </c>
      <c r="K897" s="799">
        <f t="shared" si="90"/>
        <v>7800</v>
      </c>
      <c r="L897" s="799">
        <f t="shared" si="91"/>
        <v>7800</v>
      </c>
      <c r="M897" s="799">
        <f t="shared" si="82"/>
        <v>7800</v>
      </c>
      <c r="N897" s="798" t="s">
        <v>18037</v>
      </c>
      <c r="O897" s="800">
        <f t="shared" si="83"/>
        <v>7800</v>
      </c>
      <c r="P897" s="800">
        <f t="shared" si="84"/>
        <v>7800</v>
      </c>
      <c r="Q897" s="801">
        <f t="shared" si="85"/>
        <v>7800</v>
      </c>
    </row>
    <row r="898" spans="1:17" x14ac:dyDescent="0.2">
      <c r="A898" s="802" t="s">
        <v>18278</v>
      </c>
      <c r="B898" s="803" t="s">
        <v>18017</v>
      </c>
      <c r="C898" s="803" t="s">
        <v>14476</v>
      </c>
      <c r="D898" s="803" t="s">
        <v>18276</v>
      </c>
      <c r="E898" s="803" t="s">
        <v>18039</v>
      </c>
      <c r="F898" s="803">
        <v>3</v>
      </c>
      <c r="G898" s="803" t="s">
        <v>1947</v>
      </c>
      <c r="H898" s="803" t="s">
        <v>122</v>
      </c>
      <c r="I898" s="804">
        <v>9500</v>
      </c>
      <c r="J898" s="803">
        <v>1</v>
      </c>
      <c r="K898" s="804">
        <f t="shared" si="90"/>
        <v>9500</v>
      </c>
      <c r="L898" s="804">
        <f t="shared" si="91"/>
        <v>9500</v>
      </c>
      <c r="M898" s="804">
        <f t="shared" ref="M898:M961" si="92">+I898</f>
        <v>9500</v>
      </c>
      <c r="N898" s="803" t="s">
        <v>18037</v>
      </c>
      <c r="O898" s="805">
        <f t="shared" ref="O898:O961" si="93">+J898*K898</f>
        <v>9500</v>
      </c>
      <c r="P898" s="805">
        <f t="shared" ref="P898:P961" si="94">+J898*L898</f>
        <v>9500</v>
      </c>
      <c r="Q898" s="806">
        <f t="shared" ref="Q898:Q961" si="95">+J898*M898</f>
        <v>9500</v>
      </c>
    </row>
    <row r="899" spans="1:17" x14ac:dyDescent="0.2">
      <c r="A899" s="797" t="s">
        <v>18279</v>
      </c>
      <c r="B899" s="798" t="s">
        <v>18017</v>
      </c>
      <c r="C899" s="798" t="s">
        <v>14476</v>
      </c>
      <c r="D899" s="798" t="s">
        <v>18276</v>
      </c>
      <c r="E899" s="798" t="s">
        <v>18041</v>
      </c>
      <c r="F899" s="798">
        <v>4</v>
      </c>
      <c r="G899" s="798" t="s">
        <v>1947</v>
      </c>
      <c r="H899" s="798" t="s">
        <v>122</v>
      </c>
      <c r="I899" s="799">
        <v>15000</v>
      </c>
      <c r="J899" s="798">
        <v>1</v>
      </c>
      <c r="K899" s="799">
        <f t="shared" si="90"/>
        <v>15000</v>
      </c>
      <c r="L899" s="799">
        <f t="shared" si="91"/>
        <v>15000</v>
      </c>
      <c r="M899" s="799">
        <f t="shared" si="92"/>
        <v>15000</v>
      </c>
      <c r="N899" s="798" t="s">
        <v>18042</v>
      </c>
      <c r="O899" s="800">
        <f t="shared" si="93"/>
        <v>15000</v>
      </c>
      <c r="P899" s="800">
        <f t="shared" si="94"/>
        <v>15000</v>
      </c>
      <c r="Q899" s="801">
        <f t="shared" si="95"/>
        <v>15000</v>
      </c>
    </row>
    <row r="900" spans="1:17" x14ac:dyDescent="0.2">
      <c r="A900" s="802" t="s">
        <v>18280</v>
      </c>
      <c r="B900" s="803" t="s">
        <v>18017</v>
      </c>
      <c r="C900" s="803" t="s">
        <v>14476</v>
      </c>
      <c r="D900" s="803" t="s">
        <v>18276</v>
      </c>
      <c r="E900" s="803" t="s">
        <v>18212</v>
      </c>
      <c r="F900" s="803">
        <v>5</v>
      </c>
      <c r="G900" s="803" t="s">
        <v>1947</v>
      </c>
      <c r="H900" s="803" t="s">
        <v>122</v>
      </c>
      <c r="I900" s="804">
        <v>22000</v>
      </c>
      <c r="J900" s="803">
        <v>1</v>
      </c>
      <c r="K900" s="804">
        <v>100000</v>
      </c>
      <c r="L900" s="804">
        <v>100000</v>
      </c>
      <c r="M900" s="804">
        <f t="shared" si="92"/>
        <v>22000</v>
      </c>
      <c r="N900" s="803" t="s">
        <v>18042</v>
      </c>
      <c r="O900" s="805">
        <f t="shared" si="93"/>
        <v>100000</v>
      </c>
      <c r="P900" s="805">
        <f t="shared" si="94"/>
        <v>100000</v>
      </c>
      <c r="Q900" s="806">
        <f t="shared" si="95"/>
        <v>22000</v>
      </c>
    </row>
    <row r="901" spans="1:17" x14ac:dyDescent="0.2">
      <c r="A901" s="797" t="s">
        <v>18281</v>
      </c>
      <c r="B901" s="798" t="s">
        <v>18017</v>
      </c>
      <c r="C901" s="798" t="s">
        <v>14476</v>
      </c>
      <c r="D901" s="798" t="s">
        <v>18276</v>
      </c>
      <c r="E901" s="798" t="s">
        <v>18214</v>
      </c>
      <c r="F901" s="798">
        <v>6</v>
      </c>
      <c r="G901" s="798" t="s">
        <v>1947</v>
      </c>
      <c r="H901" s="798" t="s">
        <v>122</v>
      </c>
      <c r="I901" s="799">
        <v>31000</v>
      </c>
      <c r="J901" s="798">
        <v>1</v>
      </c>
      <c r="K901" s="799">
        <v>100000</v>
      </c>
      <c r="L901" s="799">
        <v>100000</v>
      </c>
      <c r="M901" s="799">
        <f t="shared" si="92"/>
        <v>31000</v>
      </c>
      <c r="N901" s="798" t="s">
        <v>18215</v>
      </c>
      <c r="O901" s="800">
        <f t="shared" si="93"/>
        <v>100000</v>
      </c>
      <c r="P901" s="800">
        <f t="shared" si="94"/>
        <v>100000</v>
      </c>
      <c r="Q901" s="801">
        <f t="shared" si="95"/>
        <v>31000</v>
      </c>
    </row>
    <row r="902" spans="1:17" x14ac:dyDescent="0.2">
      <c r="A902" s="802" t="s">
        <v>18282</v>
      </c>
      <c r="B902" s="803" t="s">
        <v>18017</v>
      </c>
      <c r="C902" s="803" t="s">
        <v>14476</v>
      </c>
      <c r="D902" s="803" t="s">
        <v>18276</v>
      </c>
      <c r="E902" s="803" t="s">
        <v>18217</v>
      </c>
      <c r="F902" s="803">
        <v>7</v>
      </c>
      <c r="G902" s="803" t="s">
        <v>1947</v>
      </c>
      <c r="H902" s="803" t="s">
        <v>122</v>
      </c>
      <c r="I902" s="804">
        <v>37000</v>
      </c>
      <c r="J902" s="803">
        <v>1</v>
      </c>
      <c r="K902" s="804">
        <v>100000</v>
      </c>
      <c r="L902" s="804">
        <v>100000</v>
      </c>
      <c r="M902" s="804">
        <f t="shared" si="92"/>
        <v>37000</v>
      </c>
      <c r="N902" s="803" t="s">
        <v>18215</v>
      </c>
      <c r="O902" s="805">
        <f t="shared" si="93"/>
        <v>100000</v>
      </c>
      <c r="P902" s="805">
        <f t="shared" si="94"/>
        <v>100000</v>
      </c>
      <c r="Q902" s="806">
        <f t="shared" si="95"/>
        <v>37000</v>
      </c>
    </row>
    <row r="903" spans="1:17" x14ac:dyDescent="0.2">
      <c r="A903" s="797" t="s">
        <v>18283</v>
      </c>
      <c r="B903" s="798" t="s">
        <v>18046</v>
      </c>
      <c r="C903" s="798" t="s">
        <v>14095</v>
      </c>
      <c r="D903" s="798" t="s">
        <v>18284</v>
      </c>
      <c r="E903" s="798" t="s">
        <v>18019</v>
      </c>
      <c r="F903" s="798">
        <v>1</v>
      </c>
      <c r="G903" s="798" t="s">
        <v>1947</v>
      </c>
      <c r="H903" s="798" t="s">
        <v>1947</v>
      </c>
      <c r="I903" s="799">
        <v>1600</v>
      </c>
      <c r="J903" s="798">
        <v>1</v>
      </c>
      <c r="K903" s="799">
        <f t="shared" ref="K903:K919" si="96">+I903</f>
        <v>1600</v>
      </c>
      <c r="L903" s="799">
        <f t="shared" ref="L903:L919" si="97">+I903</f>
        <v>1600</v>
      </c>
      <c r="M903" s="799">
        <f t="shared" si="92"/>
        <v>1600</v>
      </c>
      <c r="N903" s="798" t="s">
        <v>18048</v>
      </c>
      <c r="O903" s="800">
        <f t="shared" si="93"/>
        <v>1600</v>
      </c>
      <c r="P903" s="800">
        <f t="shared" si="94"/>
        <v>1600</v>
      </c>
      <c r="Q903" s="801">
        <f t="shared" si="95"/>
        <v>1600</v>
      </c>
    </row>
    <row r="904" spans="1:17" x14ac:dyDescent="0.2">
      <c r="A904" s="802" t="s">
        <v>18285</v>
      </c>
      <c r="B904" s="803" t="s">
        <v>18046</v>
      </c>
      <c r="C904" s="803" t="s">
        <v>14095</v>
      </c>
      <c r="D904" s="803" t="s">
        <v>18286</v>
      </c>
      <c r="E904" s="803" t="s">
        <v>18019</v>
      </c>
      <c r="F904" s="803">
        <v>1</v>
      </c>
      <c r="G904" s="803" t="s">
        <v>1947</v>
      </c>
      <c r="H904" s="803" t="s">
        <v>1947</v>
      </c>
      <c r="I904" s="804">
        <v>1800</v>
      </c>
      <c r="J904" s="803">
        <v>1</v>
      </c>
      <c r="K904" s="804">
        <f t="shared" si="96"/>
        <v>1800</v>
      </c>
      <c r="L904" s="804">
        <f t="shared" si="97"/>
        <v>1800</v>
      </c>
      <c r="M904" s="804">
        <f t="shared" si="92"/>
        <v>1800</v>
      </c>
      <c r="N904" s="803" t="s">
        <v>18048</v>
      </c>
      <c r="O904" s="805">
        <f t="shared" si="93"/>
        <v>1800</v>
      </c>
      <c r="P904" s="805">
        <f t="shared" si="94"/>
        <v>1800</v>
      </c>
      <c r="Q904" s="806">
        <f t="shared" si="95"/>
        <v>1800</v>
      </c>
    </row>
    <row r="905" spans="1:17" x14ac:dyDescent="0.2">
      <c r="A905" s="797" t="s">
        <v>18287</v>
      </c>
      <c r="B905" s="798" t="s">
        <v>18046</v>
      </c>
      <c r="C905" s="798" t="s">
        <v>14095</v>
      </c>
      <c r="D905" s="798" t="s">
        <v>18288</v>
      </c>
      <c r="E905" s="798" t="s">
        <v>18031</v>
      </c>
      <c r="F905" s="798">
        <v>1</v>
      </c>
      <c r="G905" s="798" t="s">
        <v>1947</v>
      </c>
      <c r="H905" s="798" t="s">
        <v>122</v>
      </c>
      <c r="I905" s="799">
        <v>3000</v>
      </c>
      <c r="J905" s="798">
        <v>1</v>
      </c>
      <c r="K905" s="799">
        <f t="shared" si="96"/>
        <v>3000</v>
      </c>
      <c r="L905" s="799">
        <f t="shared" si="97"/>
        <v>3000</v>
      </c>
      <c r="M905" s="799">
        <f t="shared" si="92"/>
        <v>3000</v>
      </c>
      <c r="N905" s="798" t="s">
        <v>18048</v>
      </c>
      <c r="O905" s="800">
        <f t="shared" si="93"/>
        <v>3000</v>
      </c>
      <c r="P905" s="800">
        <f t="shared" si="94"/>
        <v>3000</v>
      </c>
      <c r="Q905" s="801">
        <f t="shared" si="95"/>
        <v>3000</v>
      </c>
    </row>
    <row r="906" spans="1:17" x14ac:dyDescent="0.2">
      <c r="A906" s="802" t="s">
        <v>18289</v>
      </c>
      <c r="B906" s="803" t="s">
        <v>18046</v>
      </c>
      <c r="C906" s="803" t="s">
        <v>14095</v>
      </c>
      <c r="D906" s="803" t="s">
        <v>18288</v>
      </c>
      <c r="E906" s="803" t="s">
        <v>18054</v>
      </c>
      <c r="F906" s="803">
        <v>2</v>
      </c>
      <c r="G906" s="803" t="s">
        <v>1947</v>
      </c>
      <c r="H906" s="803" t="s">
        <v>122</v>
      </c>
      <c r="I906" s="804">
        <v>5000</v>
      </c>
      <c r="J906" s="803">
        <v>1</v>
      </c>
      <c r="K906" s="804">
        <f t="shared" si="96"/>
        <v>5000</v>
      </c>
      <c r="L906" s="804">
        <f t="shared" si="97"/>
        <v>5000</v>
      </c>
      <c r="M906" s="804">
        <f t="shared" si="92"/>
        <v>5000</v>
      </c>
      <c r="N906" s="803" t="s">
        <v>18055</v>
      </c>
      <c r="O906" s="805">
        <f t="shared" si="93"/>
        <v>5000</v>
      </c>
      <c r="P906" s="805">
        <f t="shared" si="94"/>
        <v>5000</v>
      </c>
      <c r="Q906" s="806">
        <f t="shared" si="95"/>
        <v>5000</v>
      </c>
    </row>
    <row r="907" spans="1:17" x14ac:dyDescent="0.2">
      <c r="A907" s="797" t="s">
        <v>18290</v>
      </c>
      <c r="B907" s="798" t="s">
        <v>18046</v>
      </c>
      <c r="C907" s="798" t="s">
        <v>14095</v>
      </c>
      <c r="D907" s="798" t="s">
        <v>18288</v>
      </c>
      <c r="E907" s="798" t="s">
        <v>18033</v>
      </c>
      <c r="F907" s="798">
        <v>3</v>
      </c>
      <c r="G907" s="798" t="s">
        <v>1947</v>
      </c>
      <c r="H907" s="798" t="s">
        <v>122</v>
      </c>
      <c r="I907" s="799">
        <v>7000</v>
      </c>
      <c r="J907" s="798">
        <v>1</v>
      </c>
      <c r="K907" s="799">
        <f t="shared" si="96"/>
        <v>7000</v>
      </c>
      <c r="L907" s="799">
        <f t="shared" si="97"/>
        <v>7000</v>
      </c>
      <c r="M907" s="799">
        <f t="shared" si="92"/>
        <v>7000</v>
      </c>
      <c r="N907" s="798" t="s">
        <v>18057</v>
      </c>
      <c r="O907" s="800">
        <f t="shared" si="93"/>
        <v>7000</v>
      </c>
      <c r="P907" s="800">
        <f t="shared" si="94"/>
        <v>7000</v>
      </c>
      <c r="Q907" s="801">
        <f t="shared" si="95"/>
        <v>7000</v>
      </c>
    </row>
    <row r="908" spans="1:17" x14ac:dyDescent="0.2">
      <c r="A908" s="802" t="s">
        <v>18291</v>
      </c>
      <c r="B908" s="803" t="s">
        <v>18046</v>
      </c>
      <c r="C908" s="803" t="s">
        <v>14095</v>
      </c>
      <c r="D908" s="803" t="s">
        <v>18292</v>
      </c>
      <c r="E908" s="803" t="s">
        <v>18033</v>
      </c>
      <c r="F908" s="803">
        <v>1</v>
      </c>
      <c r="G908" s="803" t="s">
        <v>1947</v>
      </c>
      <c r="H908" s="803" t="s">
        <v>122</v>
      </c>
      <c r="I908" s="804">
        <v>7000</v>
      </c>
      <c r="J908" s="803">
        <v>1</v>
      </c>
      <c r="K908" s="804">
        <f t="shared" si="96"/>
        <v>7000</v>
      </c>
      <c r="L908" s="804">
        <f t="shared" si="97"/>
        <v>7000</v>
      </c>
      <c r="M908" s="804">
        <f t="shared" si="92"/>
        <v>7000</v>
      </c>
      <c r="N908" s="803" t="s">
        <v>18057</v>
      </c>
      <c r="O908" s="805">
        <f t="shared" si="93"/>
        <v>7000</v>
      </c>
      <c r="P908" s="805">
        <f t="shared" si="94"/>
        <v>7000</v>
      </c>
      <c r="Q908" s="806">
        <f t="shared" si="95"/>
        <v>7000</v>
      </c>
    </row>
    <row r="909" spans="1:17" x14ac:dyDescent="0.2">
      <c r="A909" s="797" t="s">
        <v>18293</v>
      </c>
      <c r="B909" s="798" t="s">
        <v>18046</v>
      </c>
      <c r="C909" s="798" t="s">
        <v>14095</v>
      </c>
      <c r="D909" s="798" t="s">
        <v>18292</v>
      </c>
      <c r="E909" s="798" t="s">
        <v>18061</v>
      </c>
      <c r="F909" s="798">
        <v>2</v>
      </c>
      <c r="G909" s="798" t="s">
        <v>1947</v>
      </c>
      <c r="H909" s="798" t="s">
        <v>122</v>
      </c>
      <c r="I909" s="799">
        <v>12000</v>
      </c>
      <c r="J909" s="798">
        <v>1</v>
      </c>
      <c r="K909" s="799">
        <f t="shared" si="96"/>
        <v>12000</v>
      </c>
      <c r="L909" s="799">
        <f t="shared" si="97"/>
        <v>12000</v>
      </c>
      <c r="M909" s="799">
        <f t="shared" si="92"/>
        <v>12000</v>
      </c>
      <c r="N909" s="798" t="s">
        <v>18062</v>
      </c>
      <c r="O909" s="800">
        <f t="shared" si="93"/>
        <v>12000</v>
      </c>
      <c r="P909" s="800">
        <f t="shared" si="94"/>
        <v>12000</v>
      </c>
      <c r="Q909" s="801">
        <f t="shared" si="95"/>
        <v>12000</v>
      </c>
    </row>
    <row r="910" spans="1:17" x14ac:dyDescent="0.2">
      <c r="A910" s="802" t="s">
        <v>18294</v>
      </c>
      <c r="B910" s="803" t="s">
        <v>18017</v>
      </c>
      <c r="C910" s="803" t="s">
        <v>14102</v>
      </c>
      <c r="D910" s="803" t="s">
        <v>18295</v>
      </c>
      <c r="E910" s="803" t="s">
        <v>18019</v>
      </c>
      <c r="F910" s="803">
        <v>1</v>
      </c>
      <c r="G910" s="803" t="s">
        <v>122</v>
      </c>
      <c r="H910" s="803" t="s">
        <v>122</v>
      </c>
      <c r="I910" s="804">
        <v>1500</v>
      </c>
      <c r="J910" s="803">
        <v>1</v>
      </c>
      <c r="K910" s="804">
        <f t="shared" si="96"/>
        <v>1500</v>
      </c>
      <c r="L910" s="804">
        <f t="shared" si="97"/>
        <v>1500</v>
      </c>
      <c r="M910" s="804">
        <f t="shared" si="92"/>
        <v>1500</v>
      </c>
      <c r="N910" s="803" t="s">
        <v>18020</v>
      </c>
      <c r="O910" s="805">
        <f t="shared" si="93"/>
        <v>1500</v>
      </c>
      <c r="P910" s="805">
        <f t="shared" si="94"/>
        <v>1500</v>
      </c>
      <c r="Q910" s="806">
        <f t="shared" si="95"/>
        <v>1500</v>
      </c>
    </row>
    <row r="911" spans="1:17" x14ac:dyDescent="0.2">
      <c r="A911" s="797" t="s">
        <v>18296</v>
      </c>
      <c r="B911" s="798" t="s">
        <v>18017</v>
      </c>
      <c r="C911" s="798" t="s">
        <v>14102</v>
      </c>
      <c r="D911" s="798" t="s">
        <v>18297</v>
      </c>
      <c r="E911" s="798" t="s">
        <v>18019</v>
      </c>
      <c r="F911" s="798">
        <v>1</v>
      </c>
      <c r="G911" s="798" t="s">
        <v>122</v>
      </c>
      <c r="H911" s="798" t="s">
        <v>122</v>
      </c>
      <c r="I911" s="799">
        <v>1600</v>
      </c>
      <c r="J911" s="798">
        <v>1</v>
      </c>
      <c r="K911" s="799">
        <f t="shared" si="96"/>
        <v>1600</v>
      </c>
      <c r="L911" s="799">
        <f t="shared" si="97"/>
        <v>1600</v>
      </c>
      <c r="M911" s="799">
        <f t="shared" si="92"/>
        <v>1600</v>
      </c>
      <c r="N911" s="798" t="s">
        <v>18020</v>
      </c>
      <c r="O911" s="800">
        <f t="shared" si="93"/>
        <v>1600</v>
      </c>
      <c r="P911" s="800">
        <f t="shared" si="94"/>
        <v>1600</v>
      </c>
      <c r="Q911" s="801">
        <f t="shared" si="95"/>
        <v>1600</v>
      </c>
    </row>
    <row r="912" spans="1:17" x14ac:dyDescent="0.2">
      <c r="A912" s="802" t="s">
        <v>18298</v>
      </c>
      <c r="B912" s="803" t="s">
        <v>18017</v>
      </c>
      <c r="C912" s="803" t="s">
        <v>14102</v>
      </c>
      <c r="D912" s="803" t="s">
        <v>18299</v>
      </c>
      <c r="E912" s="803" t="s">
        <v>18031</v>
      </c>
      <c r="F912" s="803">
        <v>1</v>
      </c>
      <c r="G912" s="803" t="s">
        <v>122</v>
      </c>
      <c r="H912" s="803" t="s">
        <v>1103</v>
      </c>
      <c r="I912" s="804">
        <v>2000</v>
      </c>
      <c r="J912" s="803">
        <v>1</v>
      </c>
      <c r="K912" s="804">
        <f t="shared" si="96"/>
        <v>2000</v>
      </c>
      <c r="L912" s="804">
        <f t="shared" si="97"/>
        <v>2000</v>
      </c>
      <c r="M912" s="804">
        <f t="shared" si="92"/>
        <v>2000</v>
      </c>
      <c r="N912" s="803" t="s">
        <v>18020</v>
      </c>
      <c r="O912" s="805">
        <f t="shared" si="93"/>
        <v>2000</v>
      </c>
      <c r="P912" s="805">
        <f t="shared" si="94"/>
        <v>2000</v>
      </c>
      <c r="Q912" s="806">
        <f t="shared" si="95"/>
        <v>2000</v>
      </c>
    </row>
    <row r="913" spans="1:17" x14ac:dyDescent="0.2">
      <c r="A913" s="797" t="s">
        <v>18300</v>
      </c>
      <c r="B913" s="798" t="s">
        <v>18017</v>
      </c>
      <c r="C913" s="798" t="s">
        <v>14102</v>
      </c>
      <c r="D913" s="798" t="s">
        <v>18299</v>
      </c>
      <c r="E913" s="798" t="s">
        <v>18054</v>
      </c>
      <c r="F913" s="798">
        <v>2</v>
      </c>
      <c r="G913" s="798" t="s">
        <v>122</v>
      </c>
      <c r="H913" s="798" t="s">
        <v>1103</v>
      </c>
      <c r="I913" s="799">
        <v>3300</v>
      </c>
      <c r="J913" s="798">
        <v>1</v>
      </c>
      <c r="K913" s="799">
        <f t="shared" si="96"/>
        <v>3300</v>
      </c>
      <c r="L913" s="799">
        <f t="shared" si="97"/>
        <v>3300</v>
      </c>
      <c r="M913" s="799">
        <f t="shared" si="92"/>
        <v>3300</v>
      </c>
      <c r="N913" s="798" t="s">
        <v>18020</v>
      </c>
      <c r="O913" s="800">
        <f t="shared" si="93"/>
        <v>3300</v>
      </c>
      <c r="P913" s="800">
        <f t="shared" si="94"/>
        <v>3300</v>
      </c>
      <c r="Q913" s="801">
        <f t="shared" si="95"/>
        <v>3300</v>
      </c>
    </row>
    <row r="914" spans="1:17" x14ac:dyDescent="0.2">
      <c r="A914" s="802" t="s">
        <v>18301</v>
      </c>
      <c r="B914" s="803" t="s">
        <v>18017</v>
      </c>
      <c r="C914" s="803" t="s">
        <v>14102</v>
      </c>
      <c r="D914" s="803" t="s">
        <v>18299</v>
      </c>
      <c r="E914" s="803" t="s">
        <v>18033</v>
      </c>
      <c r="F914" s="803">
        <v>3</v>
      </c>
      <c r="G914" s="803" t="s">
        <v>122</v>
      </c>
      <c r="H914" s="803" t="s">
        <v>1103</v>
      </c>
      <c r="I914" s="804">
        <v>5200</v>
      </c>
      <c r="J914" s="803">
        <v>1</v>
      </c>
      <c r="K914" s="804">
        <f t="shared" si="96"/>
        <v>5200</v>
      </c>
      <c r="L914" s="804">
        <f t="shared" si="97"/>
        <v>5200</v>
      </c>
      <c r="M914" s="804">
        <f t="shared" si="92"/>
        <v>5200</v>
      </c>
      <c r="N914" s="803" t="s">
        <v>18037</v>
      </c>
      <c r="O914" s="805">
        <f t="shared" si="93"/>
        <v>5200</v>
      </c>
      <c r="P914" s="805">
        <f t="shared" si="94"/>
        <v>5200</v>
      </c>
      <c r="Q914" s="806">
        <f t="shared" si="95"/>
        <v>5200</v>
      </c>
    </row>
    <row r="915" spans="1:17" x14ac:dyDescent="0.2">
      <c r="A915" s="797" t="s">
        <v>18302</v>
      </c>
      <c r="B915" s="798" t="s">
        <v>18017</v>
      </c>
      <c r="C915" s="798" t="s">
        <v>14102</v>
      </c>
      <c r="D915" s="798" t="s">
        <v>18303</v>
      </c>
      <c r="E915" s="798" t="s">
        <v>18031</v>
      </c>
      <c r="F915" s="798">
        <v>1</v>
      </c>
      <c r="G915" s="798" t="s">
        <v>122</v>
      </c>
      <c r="H915" s="798" t="s">
        <v>1103</v>
      </c>
      <c r="I915" s="799">
        <v>2500</v>
      </c>
      <c r="J915" s="798">
        <v>1</v>
      </c>
      <c r="K915" s="799">
        <f t="shared" si="96"/>
        <v>2500</v>
      </c>
      <c r="L915" s="799">
        <f t="shared" si="97"/>
        <v>2500</v>
      </c>
      <c r="M915" s="799">
        <f t="shared" si="92"/>
        <v>2500</v>
      </c>
      <c r="N915" s="798" t="s">
        <v>18020</v>
      </c>
      <c r="O915" s="800">
        <f t="shared" si="93"/>
        <v>2500</v>
      </c>
      <c r="P915" s="800">
        <f t="shared" si="94"/>
        <v>2500</v>
      </c>
      <c r="Q915" s="801">
        <f t="shared" si="95"/>
        <v>2500</v>
      </c>
    </row>
    <row r="916" spans="1:17" x14ac:dyDescent="0.2">
      <c r="A916" s="802" t="s">
        <v>18304</v>
      </c>
      <c r="B916" s="803" t="s">
        <v>18017</v>
      </c>
      <c r="C916" s="803" t="s">
        <v>14102</v>
      </c>
      <c r="D916" s="803" t="s">
        <v>18303</v>
      </c>
      <c r="E916" s="803" t="s">
        <v>18054</v>
      </c>
      <c r="F916" s="803">
        <v>2</v>
      </c>
      <c r="G916" s="803" t="s">
        <v>122</v>
      </c>
      <c r="H916" s="803" t="s">
        <v>1103</v>
      </c>
      <c r="I916" s="804">
        <v>4000</v>
      </c>
      <c r="J916" s="803">
        <v>1</v>
      </c>
      <c r="K916" s="804">
        <f t="shared" si="96"/>
        <v>4000</v>
      </c>
      <c r="L916" s="804">
        <f t="shared" si="97"/>
        <v>4000</v>
      </c>
      <c r="M916" s="804">
        <f t="shared" si="92"/>
        <v>4000</v>
      </c>
      <c r="N916" s="803" t="s">
        <v>18020</v>
      </c>
      <c r="O916" s="805">
        <f t="shared" si="93"/>
        <v>4000</v>
      </c>
      <c r="P916" s="805">
        <f t="shared" si="94"/>
        <v>4000</v>
      </c>
      <c r="Q916" s="806">
        <f t="shared" si="95"/>
        <v>4000</v>
      </c>
    </row>
    <row r="917" spans="1:17" x14ac:dyDescent="0.2">
      <c r="A917" s="797" t="s">
        <v>18305</v>
      </c>
      <c r="B917" s="798" t="s">
        <v>18017</v>
      </c>
      <c r="C917" s="798" t="s">
        <v>14102</v>
      </c>
      <c r="D917" s="798" t="s">
        <v>18303</v>
      </c>
      <c r="E917" s="798" t="s">
        <v>18033</v>
      </c>
      <c r="F917" s="798">
        <v>3</v>
      </c>
      <c r="G917" s="798" t="s">
        <v>122</v>
      </c>
      <c r="H917" s="798" t="s">
        <v>1103</v>
      </c>
      <c r="I917" s="799">
        <v>7800</v>
      </c>
      <c r="J917" s="798">
        <v>1</v>
      </c>
      <c r="K917" s="799">
        <f t="shared" si="96"/>
        <v>7800</v>
      </c>
      <c r="L917" s="799">
        <f t="shared" si="97"/>
        <v>7800</v>
      </c>
      <c r="M917" s="799">
        <f t="shared" si="92"/>
        <v>7800</v>
      </c>
      <c r="N917" s="798" t="s">
        <v>18037</v>
      </c>
      <c r="O917" s="800">
        <f t="shared" si="93"/>
        <v>7800</v>
      </c>
      <c r="P917" s="800">
        <f t="shared" si="94"/>
        <v>7800</v>
      </c>
      <c r="Q917" s="801">
        <f t="shared" si="95"/>
        <v>7800</v>
      </c>
    </row>
    <row r="918" spans="1:17" x14ac:dyDescent="0.2">
      <c r="A918" s="802" t="s">
        <v>18306</v>
      </c>
      <c r="B918" s="803" t="s">
        <v>18017</v>
      </c>
      <c r="C918" s="803" t="s">
        <v>14102</v>
      </c>
      <c r="D918" s="803" t="s">
        <v>18303</v>
      </c>
      <c r="E918" s="803" t="s">
        <v>18039</v>
      </c>
      <c r="F918" s="803">
        <v>4</v>
      </c>
      <c r="G918" s="803" t="s">
        <v>122</v>
      </c>
      <c r="H918" s="803" t="s">
        <v>1103</v>
      </c>
      <c r="I918" s="804">
        <v>9500</v>
      </c>
      <c r="J918" s="803">
        <v>1</v>
      </c>
      <c r="K918" s="804">
        <f t="shared" si="96"/>
        <v>9500</v>
      </c>
      <c r="L918" s="804">
        <f t="shared" si="97"/>
        <v>9500</v>
      </c>
      <c r="M918" s="804">
        <f t="shared" si="92"/>
        <v>9500</v>
      </c>
      <c r="N918" s="803" t="s">
        <v>18037</v>
      </c>
      <c r="O918" s="805">
        <f t="shared" si="93"/>
        <v>9500</v>
      </c>
      <c r="P918" s="805">
        <f t="shared" si="94"/>
        <v>9500</v>
      </c>
      <c r="Q918" s="806">
        <f t="shared" si="95"/>
        <v>9500</v>
      </c>
    </row>
    <row r="919" spans="1:17" x14ac:dyDescent="0.2">
      <c r="A919" s="797" t="s">
        <v>18307</v>
      </c>
      <c r="B919" s="798" t="s">
        <v>18017</v>
      </c>
      <c r="C919" s="798" t="s">
        <v>14102</v>
      </c>
      <c r="D919" s="798" t="s">
        <v>18303</v>
      </c>
      <c r="E919" s="798" t="s">
        <v>18041</v>
      </c>
      <c r="F919" s="798">
        <v>5</v>
      </c>
      <c r="G919" s="798" t="s">
        <v>122</v>
      </c>
      <c r="H919" s="798" t="s">
        <v>1103</v>
      </c>
      <c r="I919" s="799">
        <v>15000</v>
      </c>
      <c r="J919" s="798">
        <v>1</v>
      </c>
      <c r="K919" s="799">
        <f t="shared" si="96"/>
        <v>15000</v>
      </c>
      <c r="L919" s="799">
        <f t="shared" si="97"/>
        <v>15000</v>
      </c>
      <c r="M919" s="799">
        <f t="shared" si="92"/>
        <v>15000</v>
      </c>
      <c r="N919" s="798" t="s">
        <v>18042</v>
      </c>
      <c r="O919" s="800">
        <f t="shared" si="93"/>
        <v>15000</v>
      </c>
      <c r="P919" s="800">
        <f t="shared" si="94"/>
        <v>15000</v>
      </c>
      <c r="Q919" s="801">
        <f t="shared" si="95"/>
        <v>15000</v>
      </c>
    </row>
    <row r="920" spans="1:17" x14ac:dyDescent="0.2">
      <c r="A920" s="802" t="s">
        <v>18308</v>
      </c>
      <c r="B920" s="803" t="s">
        <v>18017</v>
      </c>
      <c r="C920" s="803" t="s">
        <v>14102</v>
      </c>
      <c r="D920" s="803" t="s">
        <v>18303</v>
      </c>
      <c r="E920" s="803" t="s">
        <v>18044</v>
      </c>
      <c r="F920" s="803">
        <v>6</v>
      </c>
      <c r="G920" s="803" t="s">
        <v>122</v>
      </c>
      <c r="H920" s="803" t="s">
        <v>1103</v>
      </c>
      <c r="I920" s="804">
        <v>22000</v>
      </c>
      <c r="J920" s="803">
        <v>1</v>
      </c>
      <c r="K920" s="804">
        <v>100000</v>
      </c>
      <c r="L920" s="804">
        <v>100000</v>
      </c>
      <c r="M920" s="804">
        <f t="shared" si="92"/>
        <v>22000</v>
      </c>
      <c r="N920" s="803" t="s">
        <v>18042</v>
      </c>
      <c r="O920" s="805">
        <f t="shared" si="93"/>
        <v>100000</v>
      </c>
      <c r="P920" s="805">
        <f t="shared" si="94"/>
        <v>100000</v>
      </c>
      <c r="Q920" s="806">
        <f t="shared" si="95"/>
        <v>22000</v>
      </c>
    </row>
    <row r="921" spans="1:17" x14ac:dyDescent="0.2">
      <c r="A921" s="797" t="s">
        <v>18309</v>
      </c>
      <c r="B921" s="798" t="s">
        <v>18046</v>
      </c>
      <c r="C921" s="798" t="s">
        <v>14105</v>
      </c>
      <c r="D921" s="798" t="s">
        <v>18310</v>
      </c>
      <c r="E921" s="798" t="s">
        <v>18019</v>
      </c>
      <c r="F921" s="798">
        <v>1</v>
      </c>
      <c r="G921" s="798" t="s">
        <v>3779</v>
      </c>
      <c r="H921" s="798" t="s">
        <v>3779</v>
      </c>
      <c r="I921" s="799">
        <v>1600</v>
      </c>
      <c r="J921" s="798">
        <v>1</v>
      </c>
      <c r="K921" s="799">
        <f t="shared" ref="K921:K939" si="98">+I921</f>
        <v>1600</v>
      </c>
      <c r="L921" s="799">
        <f t="shared" ref="L921:L939" si="99">+I921</f>
        <v>1600</v>
      </c>
      <c r="M921" s="799">
        <f t="shared" si="92"/>
        <v>1600</v>
      </c>
      <c r="N921" s="798" t="s">
        <v>18048</v>
      </c>
      <c r="O921" s="800">
        <f t="shared" si="93"/>
        <v>1600</v>
      </c>
      <c r="P921" s="800">
        <f t="shared" si="94"/>
        <v>1600</v>
      </c>
      <c r="Q921" s="801">
        <f t="shared" si="95"/>
        <v>1600</v>
      </c>
    </row>
    <row r="922" spans="1:17" x14ac:dyDescent="0.2">
      <c r="A922" s="802" t="s">
        <v>18311</v>
      </c>
      <c r="B922" s="803" t="s">
        <v>18046</v>
      </c>
      <c r="C922" s="803" t="s">
        <v>14105</v>
      </c>
      <c r="D922" s="803" t="s">
        <v>18312</v>
      </c>
      <c r="E922" s="803" t="s">
        <v>18019</v>
      </c>
      <c r="F922" s="803">
        <v>1</v>
      </c>
      <c r="G922" s="803" t="s">
        <v>3779</v>
      </c>
      <c r="H922" s="803" t="s">
        <v>3779</v>
      </c>
      <c r="I922" s="804">
        <v>1800</v>
      </c>
      <c r="J922" s="803">
        <v>1</v>
      </c>
      <c r="K922" s="804">
        <f t="shared" si="98"/>
        <v>1800</v>
      </c>
      <c r="L922" s="804">
        <f t="shared" si="99"/>
        <v>1800</v>
      </c>
      <c r="M922" s="804">
        <f t="shared" si="92"/>
        <v>1800</v>
      </c>
      <c r="N922" s="803" t="s">
        <v>18048</v>
      </c>
      <c r="O922" s="805">
        <f t="shared" si="93"/>
        <v>1800</v>
      </c>
      <c r="P922" s="805">
        <f t="shared" si="94"/>
        <v>1800</v>
      </c>
      <c r="Q922" s="806">
        <f t="shared" si="95"/>
        <v>1800</v>
      </c>
    </row>
    <row r="923" spans="1:17" x14ac:dyDescent="0.2">
      <c r="A923" s="797" t="s">
        <v>18313</v>
      </c>
      <c r="B923" s="798" t="s">
        <v>18046</v>
      </c>
      <c r="C923" s="798" t="s">
        <v>14105</v>
      </c>
      <c r="D923" s="798" t="s">
        <v>18314</v>
      </c>
      <c r="E923" s="798" t="s">
        <v>18031</v>
      </c>
      <c r="F923" s="798">
        <v>1</v>
      </c>
      <c r="G923" s="798" t="s">
        <v>3779</v>
      </c>
      <c r="H923" s="798" t="s">
        <v>2837</v>
      </c>
      <c r="I923" s="799">
        <v>3000</v>
      </c>
      <c r="J923" s="798">
        <v>1</v>
      </c>
      <c r="K923" s="799">
        <f t="shared" si="98"/>
        <v>3000</v>
      </c>
      <c r="L923" s="799">
        <f t="shared" si="99"/>
        <v>3000</v>
      </c>
      <c r="M923" s="799">
        <f t="shared" si="92"/>
        <v>3000</v>
      </c>
      <c r="N923" s="798" t="s">
        <v>18048</v>
      </c>
      <c r="O923" s="800">
        <f t="shared" si="93"/>
        <v>3000</v>
      </c>
      <c r="P923" s="800">
        <f t="shared" si="94"/>
        <v>3000</v>
      </c>
      <c r="Q923" s="801">
        <f t="shared" si="95"/>
        <v>3000</v>
      </c>
    </row>
    <row r="924" spans="1:17" x14ac:dyDescent="0.2">
      <c r="A924" s="802" t="s">
        <v>18315</v>
      </c>
      <c r="B924" s="803" t="s">
        <v>18046</v>
      </c>
      <c r="C924" s="803" t="s">
        <v>14105</v>
      </c>
      <c r="D924" s="803" t="s">
        <v>18314</v>
      </c>
      <c r="E924" s="803" t="s">
        <v>18054</v>
      </c>
      <c r="F924" s="803">
        <v>2</v>
      </c>
      <c r="G924" s="803" t="s">
        <v>3779</v>
      </c>
      <c r="H924" s="803" t="s">
        <v>2837</v>
      </c>
      <c r="I924" s="804">
        <v>5000</v>
      </c>
      <c r="J924" s="803">
        <v>1</v>
      </c>
      <c r="K924" s="804">
        <f t="shared" si="98"/>
        <v>5000</v>
      </c>
      <c r="L924" s="804">
        <f t="shared" si="99"/>
        <v>5000</v>
      </c>
      <c r="M924" s="804">
        <f t="shared" si="92"/>
        <v>5000</v>
      </c>
      <c r="N924" s="803" t="s">
        <v>18055</v>
      </c>
      <c r="O924" s="805">
        <f t="shared" si="93"/>
        <v>5000</v>
      </c>
      <c r="P924" s="805">
        <f t="shared" si="94"/>
        <v>5000</v>
      </c>
      <c r="Q924" s="806">
        <f t="shared" si="95"/>
        <v>5000</v>
      </c>
    </row>
    <row r="925" spans="1:17" x14ac:dyDescent="0.2">
      <c r="A925" s="797" t="s">
        <v>18316</v>
      </c>
      <c r="B925" s="798" t="s">
        <v>18046</v>
      </c>
      <c r="C925" s="798" t="s">
        <v>14105</v>
      </c>
      <c r="D925" s="798" t="s">
        <v>18314</v>
      </c>
      <c r="E925" s="798" t="s">
        <v>18033</v>
      </c>
      <c r="F925" s="798">
        <v>3</v>
      </c>
      <c r="G925" s="798" t="s">
        <v>3779</v>
      </c>
      <c r="H925" s="798" t="s">
        <v>2837</v>
      </c>
      <c r="I925" s="799">
        <v>7000</v>
      </c>
      <c r="J925" s="798">
        <v>1</v>
      </c>
      <c r="K925" s="799">
        <f t="shared" si="98"/>
        <v>7000</v>
      </c>
      <c r="L925" s="799">
        <f t="shared" si="99"/>
        <v>7000</v>
      </c>
      <c r="M925" s="799">
        <f t="shared" si="92"/>
        <v>7000</v>
      </c>
      <c r="N925" s="798" t="s">
        <v>18057</v>
      </c>
      <c r="O925" s="800">
        <f t="shared" si="93"/>
        <v>7000</v>
      </c>
      <c r="P925" s="800">
        <f t="shared" si="94"/>
        <v>7000</v>
      </c>
      <c r="Q925" s="801">
        <f t="shared" si="95"/>
        <v>7000</v>
      </c>
    </row>
    <row r="926" spans="1:17" x14ac:dyDescent="0.2">
      <c r="A926" s="802" t="s">
        <v>18317</v>
      </c>
      <c r="B926" s="803" t="s">
        <v>18046</v>
      </c>
      <c r="C926" s="803" t="s">
        <v>14105</v>
      </c>
      <c r="D926" s="803" t="s">
        <v>18318</v>
      </c>
      <c r="E926" s="803" t="s">
        <v>18033</v>
      </c>
      <c r="F926" s="803">
        <v>1</v>
      </c>
      <c r="G926" s="803" t="s">
        <v>3779</v>
      </c>
      <c r="H926" s="803" t="s">
        <v>2837</v>
      </c>
      <c r="I926" s="804">
        <v>7000</v>
      </c>
      <c r="J926" s="803">
        <v>1</v>
      </c>
      <c r="K926" s="804">
        <f t="shared" si="98"/>
        <v>7000</v>
      </c>
      <c r="L926" s="804">
        <f t="shared" si="99"/>
        <v>7000</v>
      </c>
      <c r="M926" s="804">
        <f t="shared" si="92"/>
        <v>7000</v>
      </c>
      <c r="N926" s="803" t="s">
        <v>18057</v>
      </c>
      <c r="O926" s="805">
        <f t="shared" si="93"/>
        <v>7000</v>
      </c>
      <c r="P926" s="805">
        <f t="shared" si="94"/>
        <v>7000</v>
      </c>
      <c r="Q926" s="806">
        <f t="shared" si="95"/>
        <v>7000</v>
      </c>
    </row>
    <row r="927" spans="1:17" x14ac:dyDescent="0.2">
      <c r="A927" s="797" t="s">
        <v>18319</v>
      </c>
      <c r="B927" s="798" t="s">
        <v>18046</v>
      </c>
      <c r="C927" s="798" t="s">
        <v>14105</v>
      </c>
      <c r="D927" s="798" t="s">
        <v>18318</v>
      </c>
      <c r="E927" s="798" t="s">
        <v>18061</v>
      </c>
      <c r="F927" s="798">
        <v>2</v>
      </c>
      <c r="G927" s="798" t="s">
        <v>3779</v>
      </c>
      <c r="H927" s="798" t="s">
        <v>2837</v>
      </c>
      <c r="I927" s="799">
        <v>12000</v>
      </c>
      <c r="J927" s="798">
        <v>1</v>
      </c>
      <c r="K927" s="799">
        <f t="shared" si="98"/>
        <v>12000</v>
      </c>
      <c r="L927" s="799">
        <f t="shared" si="99"/>
        <v>12000</v>
      </c>
      <c r="M927" s="799">
        <f t="shared" si="92"/>
        <v>12000</v>
      </c>
      <c r="N927" s="798" t="s">
        <v>18062</v>
      </c>
      <c r="O927" s="800">
        <f t="shared" si="93"/>
        <v>12000</v>
      </c>
      <c r="P927" s="800">
        <f t="shared" si="94"/>
        <v>12000</v>
      </c>
      <c r="Q927" s="801">
        <f t="shared" si="95"/>
        <v>12000</v>
      </c>
    </row>
    <row r="928" spans="1:17" x14ac:dyDescent="0.2">
      <c r="A928" s="802" t="s">
        <v>18320</v>
      </c>
      <c r="B928" s="803" t="s">
        <v>18017</v>
      </c>
      <c r="C928" s="803" t="s">
        <v>14119</v>
      </c>
      <c r="D928" s="803" t="s">
        <v>18321</v>
      </c>
      <c r="E928" s="803" t="s">
        <v>18019</v>
      </c>
      <c r="F928" s="803">
        <v>1</v>
      </c>
      <c r="G928" s="803" t="s">
        <v>2837</v>
      </c>
      <c r="H928" s="803" t="s">
        <v>2837</v>
      </c>
      <c r="I928" s="804">
        <v>1500</v>
      </c>
      <c r="J928" s="803">
        <v>1</v>
      </c>
      <c r="K928" s="804">
        <f t="shared" si="98"/>
        <v>1500</v>
      </c>
      <c r="L928" s="804">
        <f t="shared" si="99"/>
        <v>1500</v>
      </c>
      <c r="M928" s="804">
        <f t="shared" si="92"/>
        <v>1500</v>
      </c>
      <c r="N928" s="803" t="s">
        <v>18020</v>
      </c>
      <c r="O928" s="805">
        <f t="shared" si="93"/>
        <v>1500</v>
      </c>
      <c r="P928" s="805">
        <f t="shared" si="94"/>
        <v>1500</v>
      </c>
      <c r="Q928" s="806">
        <f t="shared" si="95"/>
        <v>1500</v>
      </c>
    </row>
    <row r="929" spans="1:17" x14ac:dyDescent="0.2">
      <c r="A929" s="797" t="s">
        <v>18322</v>
      </c>
      <c r="B929" s="798" t="s">
        <v>18017</v>
      </c>
      <c r="C929" s="798" t="s">
        <v>14119</v>
      </c>
      <c r="D929" s="798" t="s">
        <v>18323</v>
      </c>
      <c r="E929" s="798" t="s">
        <v>18019</v>
      </c>
      <c r="F929" s="798">
        <v>1</v>
      </c>
      <c r="G929" s="798" t="s">
        <v>2837</v>
      </c>
      <c r="H929" s="798" t="s">
        <v>2837</v>
      </c>
      <c r="I929" s="799">
        <v>1600</v>
      </c>
      <c r="J929" s="798">
        <v>1</v>
      </c>
      <c r="K929" s="799">
        <f t="shared" si="98"/>
        <v>1600</v>
      </c>
      <c r="L929" s="799">
        <f t="shared" si="99"/>
        <v>1600</v>
      </c>
      <c r="M929" s="799">
        <f t="shared" si="92"/>
        <v>1600</v>
      </c>
      <c r="N929" s="798" t="s">
        <v>18020</v>
      </c>
      <c r="O929" s="800">
        <f t="shared" si="93"/>
        <v>1600</v>
      </c>
      <c r="P929" s="800">
        <f t="shared" si="94"/>
        <v>1600</v>
      </c>
      <c r="Q929" s="801">
        <f t="shared" si="95"/>
        <v>1600</v>
      </c>
    </row>
    <row r="930" spans="1:17" x14ac:dyDescent="0.2">
      <c r="A930" s="802" t="s">
        <v>18324</v>
      </c>
      <c r="B930" s="803" t="s">
        <v>18017</v>
      </c>
      <c r="C930" s="803" t="s">
        <v>14119</v>
      </c>
      <c r="D930" s="803" t="s">
        <v>16514</v>
      </c>
      <c r="E930" s="803" t="s">
        <v>18019</v>
      </c>
      <c r="F930" s="803">
        <v>1</v>
      </c>
      <c r="G930" s="803" t="s">
        <v>2837</v>
      </c>
      <c r="H930" s="803" t="s">
        <v>2837</v>
      </c>
      <c r="I930" s="804">
        <v>100</v>
      </c>
      <c r="J930" s="803">
        <v>1</v>
      </c>
      <c r="K930" s="804">
        <f t="shared" si="98"/>
        <v>100</v>
      </c>
      <c r="L930" s="804">
        <f t="shared" si="99"/>
        <v>100</v>
      </c>
      <c r="M930" s="804">
        <f t="shared" si="92"/>
        <v>100</v>
      </c>
      <c r="N930" s="803" t="s">
        <v>18020</v>
      </c>
      <c r="O930" s="805">
        <f t="shared" si="93"/>
        <v>100</v>
      </c>
      <c r="P930" s="805">
        <f t="shared" si="94"/>
        <v>100</v>
      </c>
      <c r="Q930" s="806">
        <f t="shared" si="95"/>
        <v>100</v>
      </c>
    </row>
    <row r="931" spans="1:17" x14ac:dyDescent="0.2">
      <c r="A931" s="797" t="s">
        <v>18325</v>
      </c>
      <c r="B931" s="798" t="s">
        <v>18017</v>
      </c>
      <c r="C931" s="798" t="s">
        <v>14119</v>
      </c>
      <c r="D931" s="798" t="s">
        <v>18326</v>
      </c>
      <c r="E931" s="798" t="s">
        <v>18019</v>
      </c>
      <c r="F931" s="798">
        <v>1</v>
      </c>
      <c r="G931" s="798" t="s">
        <v>2837</v>
      </c>
      <c r="H931" s="798" t="s">
        <v>2837</v>
      </c>
      <c r="I931" s="799">
        <v>100</v>
      </c>
      <c r="J931" s="798">
        <v>1</v>
      </c>
      <c r="K931" s="799">
        <f t="shared" si="98"/>
        <v>100</v>
      </c>
      <c r="L931" s="799">
        <f t="shared" si="99"/>
        <v>100</v>
      </c>
      <c r="M931" s="799">
        <f t="shared" si="92"/>
        <v>100</v>
      </c>
      <c r="N931" s="798" t="s">
        <v>18020</v>
      </c>
      <c r="O931" s="800">
        <f t="shared" si="93"/>
        <v>100</v>
      </c>
      <c r="P931" s="800">
        <f t="shared" si="94"/>
        <v>100</v>
      </c>
      <c r="Q931" s="801">
        <f t="shared" si="95"/>
        <v>100</v>
      </c>
    </row>
    <row r="932" spans="1:17" x14ac:dyDescent="0.2">
      <c r="A932" s="802" t="s">
        <v>18327</v>
      </c>
      <c r="B932" s="803" t="s">
        <v>18017</v>
      </c>
      <c r="C932" s="803" t="s">
        <v>14119</v>
      </c>
      <c r="D932" s="803" t="s">
        <v>18328</v>
      </c>
      <c r="E932" s="803" t="s">
        <v>18031</v>
      </c>
      <c r="F932" s="803">
        <v>1</v>
      </c>
      <c r="G932" s="803" t="s">
        <v>2837</v>
      </c>
      <c r="H932" s="803" t="s">
        <v>3779</v>
      </c>
      <c r="I932" s="804">
        <v>2500</v>
      </c>
      <c r="J932" s="803">
        <v>1</v>
      </c>
      <c r="K932" s="804">
        <f t="shared" si="98"/>
        <v>2500</v>
      </c>
      <c r="L932" s="804">
        <f t="shared" si="99"/>
        <v>2500</v>
      </c>
      <c r="M932" s="804">
        <f t="shared" si="92"/>
        <v>2500</v>
      </c>
      <c r="N932" s="803" t="s">
        <v>18020</v>
      </c>
      <c r="O932" s="805">
        <f t="shared" si="93"/>
        <v>2500</v>
      </c>
      <c r="P932" s="805">
        <f t="shared" si="94"/>
        <v>2500</v>
      </c>
      <c r="Q932" s="806">
        <f t="shared" si="95"/>
        <v>2500</v>
      </c>
    </row>
    <row r="933" spans="1:17" x14ac:dyDescent="0.2">
      <c r="A933" s="797" t="s">
        <v>18329</v>
      </c>
      <c r="B933" s="798" t="s">
        <v>18017</v>
      </c>
      <c r="C933" s="798" t="s">
        <v>14119</v>
      </c>
      <c r="D933" s="798" t="s">
        <v>18328</v>
      </c>
      <c r="E933" s="798" t="s">
        <v>18054</v>
      </c>
      <c r="F933" s="798">
        <v>2</v>
      </c>
      <c r="G933" s="798" t="s">
        <v>2837</v>
      </c>
      <c r="H933" s="798" t="s">
        <v>3779</v>
      </c>
      <c r="I933" s="799">
        <v>3300</v>
      </c>
      <c r="J933" s="798">
        <v>1</v>
      </c>
      <c r="K933" s="799">
        <f t="shared" si="98"/>
        <v>3300</v>
      </c>
      <c r="L933" s="799">
        <f t="shared" si="99"/>
        <v>3300</v>
      </c>
      <c r="M933" s="799">
        <f t="shared" si="92"/>
        <v>3300</v>
      </c>
      <c r="N933" s="798" t="s">
        <v>18020</v>
      </c>
      <c r="O933" s="800">
        <f t="shared" si="93"/>
        <v>3300</v>
      </c>
      <c r="P933" s="800">
        <f t="shared" si="94"/>
        <v>3300</v>
      </c>
      <c r="Q933" s="801">
        <f t="shared" si="95"/>
        <v>3300</v>
      </c>
    </row>
    <row r="934" spans="1:17" x14ac:dyDescent="0.2">
      <c r="A934" s="802" t="s">
        <v>18330</v>
      </c>
      <c r="B934" s="803" t="s">
        <v>18017</v>
      </c>
      <c r="C934" s="803" t="s">
        <v>14119</v>
      </c>
      <c r="D934" s="803" t="s">
        <v>18328</v>
      </c>
      <c r="E934" s="803" t="s">
        <v>18033</v>
      </c>
      <c r="F934" s="803">
        <v>3</v>
      </c>
      <c r="G934" s="803" t="s">
        <v>2837</v>
      </c>
      <c r="H934" s="803" t="s">
        <v>3779</v>
      </c>
      <c r="I934" s="804">
        <v>5200</v>
      </c>
      <c r="J934" s="803">
        <v>1</v>
      </c>
      <c r="K934" s="804">
        <f t="shared" si="98"/>
        <v>5200</v>
      </c>
      <c r="L934" s="804">
        <f t="shared" si="99"/>
        <v>5200</v>
      </c>
      <c r="M934" s="804">
        <f t="shared" si="92"/>
        <v>5200</v>
      </c>
      <c r="N934" s="803" t="s">
        <v>18037</v>
      </c>
      <c r="O934" s="805">
        <f t="shared" si="93"/>
        <v>5200</v>
      </c>
      <c r="P934" s="805">
        <f t="shared" si="94"/>
        <v>5200</v>
      </c>
      <c r="Q934" s="806">
        <f t="shared" si="95"/>
        <v>5200</v>
      </c>
    </row>
    <row r="935" spans="1:17" x14ac:dyDescent="0.2">
      <c r="A935" s="797" t="s">
        <v>18331</v>
      </c>
      <c r="B935" s="798" t="s">
        <v>18017</v>
      </c>
      <c r="C935" s="798" t="s">
        <v>14119</v>
      </c>
      <c r="D935" s="798" t="s">
        <v>18332</v>
      </c>
      <c r="E935" s="798" t="s">
        <v>18031</v>
      </c>
      <c r="F935" s="798">
        <v>1</v>
      </c>
      <c r="G935" s="798" t="s">
        <v>2837</v>
      </c>
      <c r="H935" s="798" t="s">
        <v>3779</v>
      </c>
      <c r="I935" s="799">
        <v>2500</v>
      </c>
      <c r="J935" s="798">
        <v>1</v>
      </c>
      <c r="K935" s="799">
        <f t="shared" si="98"/>
        <v>2500</v>
      </c>
      <c r="L935" s="799">
        <f t="shared" si="99"/>
        <v>2500</v>
      </c>
      <c r="M935" s="799">
        <f t="shared" si="92"/>
        <v>2500</v>
      </c>
      <c r="N935" s="798" t="s">
        <v>18020</v>
      </c>
      <c r="O935" s="800">
        <f t="shared" si="93"/>
        <v>2500</v>
      </c>
      <c r="P935" s="800">
        <f t="shared" si="94"/>
        <v>2500</v>
      </c>
      <c r="Q935" s="801">
        <f t="shared" si="95"/>
        <v>2500</v>
      </c>
    </row>
    <row r="936" spans="1:17" x14ac:dyDescent="0.2">
      <c r="A936" s="802" t="s">
        <v>18333</v>
      </c>
      <c r="B936" s="803" t="s">
        <v>18017</v>
      </c>
      <c r="C936" s="803" t="s">
        <v>14119</v>
      </c>
      <c r="D936" s="803" t="s">
        <v>18332</v>
      </c>
      <c r="E936" s="803" t="s">
        <v>18054</v>
      </c>
      <c r="F936" s="803">
        <v>2</v>
      </c>
      <c r="G936" s="803" t="s">
        <v>2837</v>
      </c>
      <c r="H936" s="803" t="s">
        <v>3779</v>
      </c>
      <c r="I936" s="804">
        <v>4000</v>
      </c>
      <c r="J936" s="803">
        <v>1</v>
      </c>
      <c r="K936" s="804">
        <f t="shared" si="98"/>
        <v>4000</v>
      </c>
      <c r="L936" s="804">
        <f t="shared" si="99"/>
        <v>4000</v>
      </c>
      <c r="M936" s="804">
        <f t="shared" si="92"/>
        <v>4000</v>
      </c>
      <c r="N936" s="803" t="s">
        <v>18020</v>
      </c>
      <c r="O936" s="805">
        <f t="shared" si="93"/>
        <v>4000</v>
      </c>
      <c r="P936" s="805">
        <f t="shared" si="94"/>
        <v>4000</v>
      </c>
      <c r="Q936" s="806">
        <f t="shared" si="95"/>
        <v>4000</v>
      </c>
    </row>
    <row r="937" spans="1:17" x14ac:dyDescent="0.2">
      <c r="A937" s="797" t="s">
        <v>18334</v>
      </c>
      <c r="B937" s="798" t="s">
        <v>18017</v>
      </c>
      <c r="C937" s="798" t="s">
        <v>14119</v>
      </c>
      <c r="D937" s="798" t="s">
        <v>18332</v>
      </c>
      <c r="E937" s="798" t="s">
        <v>18033</v>
      </c>
      <c r="F937" s="798">
        <v>3</v>
      </c>
      <c r="G937" s="798" t="s">
        <v>2837</v>
      </c>
      <c r="H937" s="798" t="s">
        <v>3779</v>
      </c>
      <c r="I937" s="799">
        <v>7800</v>
      </c>
      <c r="J937" s="798">
        <v>1</v>
      </c>
      <c r="K937" s="799">
        <f t="shared" si="98"/>
        <v>7800</v>
      </c>
      <c r="L937" s="799">
        <f t="shared" si="99"/>
        <v>7800</v>
      </c>
      <c r="M937" s="799">
        <f t="shared" si="92"/>
        <v>7800</v>
      </c>
      <c r="N937" s="798" t="s">
        <v>18037</v>
      </c>
      <c r="O937" s="800">
        <f t="shared" si="93"/>
        <v>7800</v>
      </c>
      <c r="P937" s="800">
        <f t="shared" si="94"/>
        <v>7800</v>
      </c>
      <c r="Q937" s="801">
        <f t="shared" si="95"/>
        <v>7800</v>
      </c>
    </row>
    <row r="938" spans="1:17" x14ac:dyDescent="0.2">
      <c r="A938" s="802" t="s">
        <v>18335</v>
      </c>
      <c r="B938" s="803" t="s">
        <v>18017</v>
      </c>
      <c r="C938" s="803" t="s">
        <v>14119</v>
      </c>
      <c r="D938" s="803" t="s">
        <v>18336</v>
      </c>
      <c r="E938" s="803" t="s">
        <v>18039</v>
      </c>
      <c r="F938" s="803">
        <v>4</v>
      </c>
      <c r="G938" s="803" t="s">
        <v>2837</v>
      </c>
      <c r="H938" s="803" t="s">
        <v>3779</v>
      </c>
      <c r="I938" s="804">
        <v>9500</v>
      </c>
      <c r="J938" s="803">
        <v>1</v>
      </c>
      <c r="K938" s="804">
        <f t="shared" si="98"/>
        <v>9500</v>
      </c>
      <c r="L938" s="804">
        <f t="shared" si="99"/>
        <v>9500</v>
      </c>
      <c r="M938" s="804">
        <f t="shared" si="92"/>
        <v>9500</v>
      </c>
      <c r="N938" s="803" t="s">
        <v>18037</v>
      </c>
      <c r="O938" s="805">
        <f t="shared" si="93"/>
        <v>9500</v>
      </c>
      <c r="P938" s="805">
        <f t="shared" si="94"/>
        <v>9500</v>
      </c>
      <c r="Q938" s="806">
        <f t="shared" si="95"/>
        <v>9500</v>
      </c>
    </row>
    <row r="939" spans="1:17" x14ac:dyDescent="0.2">
      <c r="A939" s="797" t="s">
        <v>18337</v>
      </c>
      <c r="B939" s="798" t="s">
        <v>18017</v>
      </c>
      <c r="C939" s="798" t="s">
        <v>14119</v>
      </c>
      <c r="D939" s="798" t="s">
        <v>18336</v>
      </c>
      <c r="E939" s="798" t="s">
        <v>18041</v>
      </c>
      <c r="F939" s="798">
        <v>5</v>
      </c>
      <c r="G939" s="798" t="s">
        <v>2837</v>
      </c>
      <c r="H939" s="798" t="s">
        <v>3779</v>
      </c>
      <c r="I939" s="799">
        <v>15000</v>
      </c>
      <c r="J939" s="798">
        <v>1</v>
      </c>
      <c r="K939" s="799">
        <f t="shared" si="98"/>
        <v>15000</v>
      </c>
      <c r="L939" s="799">
        <f t="shared" si="99"/>
        <v>15000</v>
      </c>
      <c r="M939" s="799">
        <f t="shared" si="92"/>
        <v>15000</v>
      </c>
      <c r="N939" s="798" t="s">
        <v>18042</v>
      </c>
      <c r="O939" s="800">
        <f t="shared" si="93"/>
        <v>15000</v>
      </c>
      <c r="P939" s="800">
        <f t="shared" si="94"/>
        <v>15000</v>
      </c>
      <c r="Q939" s="801">
        <f t="shared" si="95"/>
        <v>15000</v>
      </c>
    </row>
    <row r="940" spans="1:17" x14ac:dyDescent="0.2">
      <c r="A940" s="802" t="s">
        <v>18338</v>
      </c>
      <c r="B940" s="803" t="s">
        <v>18017</v>
      </c>
      <c r="C940" s="803" t="s">
        <v>14119</v>
      </c>
      <c r="D940" s="803" t="s">
        <v>18332</v>
      </c>
      <c r="E940" s="803" t="s">
        <v>18212</v>
      </c>
      <c r="F940" s="803">
        <v>6</v>
      </c>
      <c r="G940" s="803" t="s">
        <v>2837</v>
      </c>
      <c r="H940" s="803" t="s">
        <v>3779</v>
      </c>
      <c r="I940" s="804">
        <v>22000</v>
      </c>
      <c r="J940" s="803">
        <v>1</v>
      </c>
      <c r="K940" s="804">
        <v>100000</v>
      </c>
      <c r="L940" s="804">
        <v>100000</v>
      </c>
      <c r="M940" s="804">
        <f t="shared" si="92"/>
        <v>22000</v>
      </c>
      <c r="N940" s="803" t="s">
        <v>18042</v>
      </c>
      <c r="O940" s="805">
        <f t="shared" si="93"/>
        <v>100000</v>
      </c>
      <c r="P940" s="805">
        <f t="shared" si="94"/>
        <v>100000</v>
      </c>
      <c r="Q940" s="806">
        <f t="shared" si="95"/>
        <v>22000</v>
      </c>
    </row>
    <row r="941" spans="1:17" x14ac:dyDescent="0.2">
      <c r="A941" s="797" t="s">
        <v>18339</v>
      </c>
      <c r="B941" s="798" t="s">
        <v>18017</v>
      </c>
      <c r="C941" s="798" t="s">
        <v>14119</v>
      </c>
      <c r="D941" s="798" t="s">
        <v>18336</v>
      </c>
      <c r="E941" s="798" t="s">
        <v>18044</v>
      </c>
      <c r="F941" s="798">
        <v>7</v>
      </c>
      <c r="G941" s="798" t="s">
        <v>2837</v>
      </c>
      <c r="H941" s="798" t="s">
        <v>3779</v>
      </c>
      <c r="I941" s="799">
        <v>25000</v>
      </c>
      <c r="J941" s="798">
        <v>1</v>
      </c>
      <c r="K941" s="799">
        <v>100000</v>
      </c>
      <c r="L941" s="799">
        <v>100000</v>
      </c>
      <c r="M941" s="799">
        <f t="shared" si="92"/>
        <v>25000</v>
      </c>
      <c r="N941" s="798" t="s">
        <v>18042</v>
      </c>
      <c r="O941" s="800">
        <f t="shared" si="93"/>
        <v>100000</v>
      </c>
      <c r="P941" s="800">
        <f t="shared" si="94"/>
        <v>100000</v>
      </c>
      <c r="Q941" s="801">
        <f t="shared" si="95"/>
        <v>25000</v>
      </c>
    </row>
    <row r="942" spans="1:17" x14ac:dyDescent="0.2">
      <c r="A942" s="802" t="s">
        <v>18340</v>
      </c>
      <c r="B942" s="803" t="s">
        <v>18017</v>
      </c>
      <c r="C942" s="803" t="s">
        <v>14119</v>
      </c>
      <c r="D942" s="803" t="s">
        <v>18332</v>
      </c>
      <c r="E942" s="803" t="s">
        <v>18214</v>
      </c>
      <c r="F942" s="803">
        <v>8</v>
      </c>
      <c r="G942" s="803" t="s">
        <v>2837</v>
      </c>
      <c r="H942" s="803" t="s">
        <v>3779</v>
      </c>
      <c r="I942" s="804">
        <v>31000</v>
      </c>
      <c r="J942" s="803">
        <v>1</v>
      </c>
      <c r="K942" s="804">
        <v>100000</v>
      </c>
      <c r="L942" s="804">
        <v>100000</v>
      </c>
      <c r="M942" s="804">
        <f t="shared" si="92"/>
        <v>31000</v>
      </c>
      <c r="N942" s="803" t="s">
        <v>18215</v>
      </c>
      <c r="O942" s="805">
        <f t="shared" si="93"/>
        <v>100000</v>
      </c>
      <c r="P942" s="805">
        <f t="shared" si="94"/>
        <v>100000</v>
      </c>
      <c r="Q942" s="806">
        <f t="shared" si="95"/>
        <v>31000</v>
      </c>
    </row>
    <row r="943" spans="1:17" x14ac:dyDescent="0.2">
      <c r="A943" s="797" t="s">
        <v>18341</v>
      </c>
      <c r="B943" s="798" t="s">
        <v>18175</v>
      </c>
      <c r="C943" s="798" t="s">
        <v>14130</v>
      </c>
      <c r="D943" s="798" t="s">
        <v>18342</v>
      </c>
      <c r="E943" s="798" t="s">
        <v>18031</v>
      </c>
      <c r="F943" s="798">
        <v>1</v>
      </c>
      <c r="G943" s="798" t="s">
        <v>2837</v>
      </c>
      <c r="H943" s="798" t="s">
        <v>3779</v>
      </c>
      <c r="I943" s="799">
        <v>1500</v>
      </c>
      <c r="J943" s="798">
        <v>1</v>
      </c>
      <c r="K943" s="799">
        <f t="shared" ref="K943:K953" si="100">+I943</f>
        <v>1500</v>
      </c>
      <c r="L943" s="799">
        <f t="shared" ref="L943:L953" si="101">+I943</f>
        <v>1500</v>
      </c>
      <c r="M943" s="799">
        <f t="shared" si="92"/>
        <v>1500</v>
      </c>
      <c r="N943" s="798" t="s">
        <v>18048</v>
      </c>
      <c r="O943" s="800">
        <f t="shared" si="93"/>
        <v>1500</v>
      </c>
      <c r="P943" s="800">
        <f t="shared" si="94"/>
        <v>1500</v>
      </c>
      <c r="Q943" s="801">
        <f t="shared" si="95"/>
        <v>1500</v>
      </c>
    </row>
    <row r="944" spans="1:17" x14ac:dyDescent="0.2">
      <c r="A944" s="802" t="s">
        <v>18343</v>
      </c>
      <c r="B944" s="803" t="s">
        <v>18175</v>
      </c>
      <c r="C944" s="803" t="s">
        <v>14130</v>
      </c>
      <c r="D944" s="803" t="s">
        <v>18344</v>
      </c>
      <c r="E944" s="803" t="s">
        <v>18031</v>
      </c>
      <c r="F944" s="803">
        <v>1</v>
      </c>
      <c r="G944" s="803" t="s">
        <v>2837</v>
      </c>
      <c r="H944" s="803" t="s">
        <v>3779</v>
      </c>
      <c r="I944" s="804">
        <v>2000</v>
      </c>
      <c r="J944" s="803">
        <v>1</v>
      </c>
      <c r="K944" s="804">
        <f t="shared" si="100"/>
        <v>2000</v>
      </c>
      <c r="L944" s="804">
        <f t="shared" si="101"/>
        <v>2000</v>
      </c>
      <c r="M944" s="804">
        <f t="shared" si="92"/>
        <v>2000</v>
      </c>
      <c r="N944" s="803" t="s">
        <v>18048</v>
      </c>
      <c r="O944" s="805">
        <f t="shared" si="93"/>
        <v>2000</v>
      </c>
      <c r="P944" s="805">
        <f t="shared" si="94"/>
        <v>2000</v>
      </c>
      <c r="Q944" s="806">
        <f t="shared" si="95"/>
        <v>2000</v>
      </c>
    </row>
    <row r="945" spans="1:17" x14ac:dyDescent="0.2">
      <c r="A945" s="797" t="s">
        <v>18345</v>
      </c>
      <c r="B945" s="798" t="s">
        <v>18175</v>
      </c>
      <c r="C945" s="798" t="s">
        <v>14130</v>
      </c>
      <c r="D945" s="798" t="s">
        <v>18346</v>
      </c>
      <c r="E945" s="798" t="s">
        <v>18031</v>
      </c>
      <c r="F945" s="798">
        <v>1</v>
      </c>
      <c r="G945" s="798" t="s">
        <v>2837</v>
      </c>
      <c r="H945" s="798" t="s">
        <v>3779</v>
      </c>
      <c r="I945" s="799">
        <v>800</v>
      </c>
      <c r="J945" s="798">
        <v>1</v>
      </c>
      <c r="K945" s="799">
        <f t="shared" si="100"/>
        <v>800</v>
      </c>
      <c r="L945" s="799">
        <f t="shared" si="101"/>
        <v>800</v>
      </c>
      <c r="M945" s="799">
        <f t="shared" si="92"/>
        <v>800</v>
      </c>
      <c r="N945" s="798" t="s">
        <v>18048</v>
      </c>
      <c r="O945" s="800">
        <f t="shared" si="93"/>
        <v>800</v>
      </c>
      <c r="P945" s="800">
        <f t="shared" si="94"/>
        <v>800</v>
      </c>
      <c r="Q945" s="801">
        <f t="shared" si="95"/>
        <v>800</v>
      </c>
    </row>
    <row r="946" spans="1:17" x14ac:dyDescent="0.2">
      <c r="A946" s="802" t="s">
        <v>18347</v>
      </c>
      <c r="B946" s="803" t="s">
        <v>18175</v>
      </c>
      <c r="C946" s="803" t="s">
        <v>14130</v>
      </c>
      <c r="D946" s="803" t="s">
        <v>18342</v>
      </c>
      <c r="E946" s="803" t="s">
        <v>18054</v>
      </c>
      <c r="F946" s="803">
        <v>2</v>
      </c>
      <c r="G946" s="803" t="s">
        <v>1103</v>
      </c>
      <c r="H946" s="803" t="s">
        <v>1947</v>
      </c>
      <c r="I946" s="804">
        <v>5000</v>
      </c>
      <c r="J946" s="803">
        <v>1</v>
      </c>
      <c r="K946" s="804">
        <f t="shared" si="100"/>
        <v>5000</v>
      </c>
      <c r="L946" s="804">
        <f t="shared" si="101"/>
        <v>5000</v>
      </c>
      <c r="M946" s="804">
        <f t="shared" si="92"/>
        <v>5000</v>
      </c>
      <c r="N946" s="803" t="s">
        <v>18057</v>
      </c>
      <c r="O946" s="805">
        <f t="shared" si="93"/>
        <v>5000</v>
      </c>
      <c r="P946" s="805">
        <f t="shared" si="94"/>
        <v>5000</v>
      </c>
      <c r="Q946" s="806">
        <f t="shared" si="95"/>
        <v>5000</v>
      </c>
    </row>
    <row r="947" spans="1:17" x14ac:dyDescent="0.2">
      <c r="A947" s="797" t="s">
        <v>18348</v>
      </c>
      <c r="B947" s="798" t="s">
        <v>18175</v>
      </c>
      <c r="C947" s="798" t="s">
        <v>14130</v>
      </c>
      <c r="D947" s="798" t="s">
        <v>18344</v>
      </c>
      <c r="E947" s="798" t="s">
        <v>18054</v>
      </c>
      <c r="F947" s="798">
        <v>2</v>
      </c>
      <c r="G947" s="798" t="s">
        <v>1103</v>
      </c>
      <c r="H947" s="798" t="s">
        <v>1947</v>
      </c>
      <c r="I947" s="799">
        <v>5500</v>
      </c>
      <c r="J947" s="798">
        <v>1</v>
      </c>
      <c r="K947" s="799">
        <f t="shared" si="100"/>
        <v>5500</v>
      </c>
      <c r="L947" s="799">
        <f t="shared" si="101"/>
        <v>5500</v>
      </c>
      <c r="M947" s="799">
        <f t="shared" si="92"/>
        <v>5500</v>
      </c>
      <c r="N947" s="798" t="s">
        <v>18057</v>
      </c>
      <c r="O947" s="800">
        <f t="shared" si="93"/>
        <v>5500</v>
      </c>
      <c r="P947" s="800">
        <f t="shared" si="94"/>
        <v>5500</v>
      </c>
      <c r="Q947" s="801">
        <f t="shared" si="95"/>
        <v>5500</v>
      </c>
    </row>
    <row r="948" spans="1:17" x14ac:dyDescent="0.2">
      <c r="A948" s="802" t="s">
        <v>18349</v>
      </c>
      <c r="B948" s="803" t="s">
        <v>18175</v>
      </c>
      <c r="C948" s="803" t="s">
        <v>14130</v>
      </c>
      <c r="D948" s="803" t="s">
        <v>18346</v>
      </c>
      <c r="E948" s="803" t="s">
        <v>18054</v>
      </c>
      <c r="F948" s="803">
        <v>2</v>
      </c>
      <c r="G948" s="803" t="s">
        <v>1103</v>
      </c>
      <c r="H948" s="803" t="s">
        <v>1947</v>
      </c>
      <c r="I948" s="804">
        <v>1700</v>
      </c>
      <c r="J948" s="803">
        <v>1</v>
      </c>
      <c r="K948" s="804">
        <f t="shared" si="100"/>
        <v>1700</v>
      </c>
      <c r="L948" s="804">
        <f t="shared" si="101"/>
        <v>1700</v>
      </c>
      <c r="M948" s="804">
        <f t="shared" si="92"/>
        <v>1700</v>
      </c>
      <c r="N948" s="803" t="s">
        <v>18057</v>
      </c>
      <c r="O948" s="805">
        <f t="shared" si="93"/>
        <v>1700</v>
      </c>
      <c r="P948" s="805">
        <f t="shared" si="94"/>
        <v>1700</v>
      </c>
      <c r="Q948" s="806">
        <f t="shared" si="95"/>
        <v>1700</v>
      </c>
    </row>
    <row r="949" spans="1:17" x14ac:dyDescent="0.2">
      <c r="A949" s="797" t="s">
        <v>18350</v>
      </c>
      <c r="B949" s="798" t="s">
        <v>18175</v>
      </c>
      <c r="C949" s="798" t="s">
        <v>14130</v>
      </c>
      <c r="D949" s="798" t="s">
        <v>18342</v>
      </c>
      <c r="E949" s="798" t="s">
        <v>18033</v>
      </c>
      <c r="F949" s="798">
        <v>3</v>
      </c>
      <c r="G949" s="798" t="s">
        <v>2837</v>
      </c>
      <c r="H949" s="798" t="s">
        <v>3779</v>
      </c>
      <c r="I949" s="799">
        <v>9000</v>
      </c>
      <c r="J949" s="798">
        <v>1</v>
      </c>
      <c r="K949" s="799">
        <f t="shared" si="100"/>
        <v>9000</v>
      </c>
      <c r="L949" s="799">
        <f t="shared" si="101"/>
        <v>9000</v>
      </c>
      <c r="M949" s="799">
        <f t="shared" si="92"/>
        <v>9000</v>
      </c>
      <c r="N949" s="798" t="s">
        <v>18062</v>
      </c>
      <c r="O949" s="800">
        <f t="shared" si="93"/>
        <v>9000</v>
      </c>
      <c r="P949" s="800">
        <f t="shared" si="94"/>
        <v>9000</v>
      </c>
      <c r="Q949" s="801">
        <f t="shared" si="95"/>
        <v>9000</v>
      </c>
    </row>
    <row r="950" spans="1:17" x14ac:dyDescent="0.2">
      <c r="A950" s="802" t="s">
        <v>18351</v>
      </c>
      <c r="B950" s="803" t="s">
        <v>18175</v>
      </c>
      <c r="C950" s="803" t="s">
        <v>14130</v>
      </c>
      <c r="D950" s="803" t="s">
        <v>18344</v>
      </c>
      <c r="E950" s="803" t="s">
        <v>18033</v>
      </c>
      <c r="F950" s="803">
        <v>3</v>
      </c>
      <c r="G950" s="803" t="s">
        <v>2837</v>
      </c>
      <c r="H950" s="803" t="s">
        <v>3779</v>
      </c>
      <c r="I950" s="804">
        <v>10000</v>
      </c>
      <c r="J950" s="803">
        <v>1</v>
      </c>
      <c r="K950" s="804">
        <f t="shared" si="100"/>
        <v>10000</v>
      </c>
      <c r="L950" s="804">
        <f t="shared" si="101"/>
        <v>10000</v>
      </c>
      <c r="M950" s="804">
        <f t="shared" si="92"/>
        <v>10000</v>
      </c>
      <c r="N950" s="803" t="s">
        <v>18062</v>
      </c>
      <c r="O950" s="805">
        <f t="shared" si="93"/>
        <v>10000</v>
      </c>
      <c r="P950" s="805">
        <f t="shared" si="94"/>
        <v>10000</v>
      </c>
      <c r="Q950" s="806">
        <f t="shared" si="95"/>
        <v>10000</v>
      </c>
    </row>
    <row r="951" spans="1:17" x14ac:dyDescent="0.2">
      <c r="A951" s="797" t="s">
        <v>18352</v>
      </c>
      <c r="B951" s="798" t="s">
        <v>18175</v>
      </c>
      <c r="C951" s="798" t="s">
        <v>14130</v>
      </c>
      <c r="D951" s="798" t="s">
        <v>18346</v>
      </c>
      <c r="E951" s="798" t="s">
        <v>18033</v>
      </c>
      <c r="F951" s="798">
        <v>3</v>
      </c>
      <c r="G951" s="798" t="s">
        <v>2837</v>
      </c>
      <c r="H951" s="798" t="s">
        <v>3779</v>
      </c>
      <c r="I951" s="799">
        <v>3000</v>
      </c>
      <c r="J951" s="798">
        <v>1</v>
      </c>
      <c r="K951" s="799">
        <f t="shared" si="100"/>
        <v>3000</v>
      </c>
      <c r="L951" s="799">
        <f t="shared" si="101"/>
        <v>3000</v>
      </c>
      <c r="M951" s="799">
        <f t="shared" si="92"/>
        <v>3000</v>
      </c>
      <c r="N951" s="798" t="s">
        <v>18062</v>
      </c>
      <c r="O951" s="800">
        <f t="shared" si="93"/>
        <v>3000</v>
      </c>
      <c r="P951" s="800">
        <f t="shared" si="94"/>
        <v>3000</v>
      </c>
      <c r="Q951" s="801">
        <f t="shared" si="95"/>
        <v>3000</v>
      </c>
    </row>
    <row r="952" spans="1:17" x14ac:dyDescent="0.2">
      <c r="A952" s="802" t="s">
        <v>18353</v>
      </c>
      <c r="B952" s="803" t="s">
        <v>18175</v>
      </c>
      <c r="C952" s="803" t="s">
        <v>14130</v>
      </c>
      <c r="D952" s="803" t="s">
        <v>18342</v>
      </c>
      <c r="E952" s="803" t="s">
        <v>18061</v>
      </c>
      <c r="F952" s="803">
        <v>4</v>
      </c>
      <c r="G952" s="803" t="s">
        <v>1103</v>
      </c>
      <c r="H952" s="803" t="s">
        <v>1947</v>
      </c>
      <c r="I952" s="804">
        <v>15000</v>
      </c>
      <c r="J952" s="803">
        <v>1</v>
      </c>
      <c r="K952" s="804">
        <f t="shared" si="100"/>
        <v>15000</v>
      </c>
      <c r="L952" s="804">
        <f t="shared" si="101"/>
        <v>15000</v>
      </c>
      <c r="M952" s="804">
        <f t="shared" si="92"/>
        <v>15000</v>
      </c>
      <c r="N952" s="803" t="s">
        <v>18188</v>
      </c>
      <c r="O952" s="805">
        <f t="shared" si="93"/>
        <v>15000</v>
      </c>
      <c r="P952" s="805">
        <f t="shared" si="94"/>
        <v>15000</v>
      </c>
      <c r="Q952" s="806">
        <f t="shared" si="95"/>
        <v>15000</v>
      </c>
    </row>
    <row r="953" spans="1:17" x14ac:dyDescent="0.2">
      <c r="A953" s="797" t="s">
        <v>18354</v>
      </c>
      <c r="B953" s="798" t="s">
        <v>18175</v>
      </c>
      <c r="C953" s="798" t="s">
        <v>14130</v>
      </c>
      <c r="D953" s="798" t="s">
        <v>18344</v>
      </c>
      <c r="E953" s="798" t="s">
        <v>18061</v>
      </c>
      <c r="F953" s="798">
        <v>4</v>
      </c>
      <c r="G953" s="798" t="s">
        <v>1103</v>
      </c>
      <c r="H953" s="798" t="s">
        <v>1947</v>
      </c>
      <c r="I953" s="799">
        <v>17000</v>
      </c>
      <c r="J953" s="798">
        <v>1</v>
      </c>
      <c r="K953" s="799">
        <f t="shared" si="100"/>
        <v>17000</v>
      </c>
      <c r="L953" s="799">
        <f t="shared" si="101"/>
        <v>17000</v>
      </c>
      <c r="M953" s="799">
        <f t="shared" si="92"/>
        <v>17000</v>
      </c>
      <c r="N953" s="798" t="s">
        <v>18188</v>
      </c>
      <c r="O953" s="800">
        <f t="shared" si="93"/>
        <v>17000</v>
      </c>
      <c r="P953" s="800">
        <f t="shared" si="94"/>
        <v>17000</v>
      </c>
      <c r="Q953" s="801">
        <f t="shared" si="95"/>
        <v>17000</v>
      </c>
    </row>
    <row r="954" spans="1:17" x14ac:dyDescent="0.2">
      <c r="A954" s="802" t="s">
        <v>18355</v>
      </c>
      <c r="B954" s="803" t="s">
        <v>18175</v>
      </c>
      <c r="C954" s="803" t="s">
        <v>14130</v>
      </c>
      <c r="D954" s="803" t="s">
        <v>18346</v>
      </c>
      <c r="E954" s="803" t="s">
        <v>18061</v>
      </c>
      <c r="F954" s="803">
        <v>4</v>
      </c>
      <c r="G954" s="803" t="s">
        <v>1103</v>
      </c>
      <c r="H954" s="803" t="s">
        <v>1947</v>
      </c>
      <c r="I954" s="804">
        <v>5200</v>
      </c>
      <c r="J954" s="803">
        <v>1</v>
      </c>
      <c r="K954" s="804">
        <v>20800</v>
      </c>
      <c r="L954" s="804">
        <v>20800</v>
      </c>
      <c r="M954" s="804">
        <f t="shared" si="92"/>
        <v>5200</v>
      </c>
      <c r="N954" s="803" t="s">
        <v>18188</v>
      </c>
      <c r="O954" s="805">
        <f t="shared" si="93"/>
        <v>20800</v>
      </c>
      <c r="P954" s="805">
        <f t="shared" si="94"/>
        <v>20800</v>
      </c>
      <c r="Q954" s="806">
        <f t="shared" si="95"/>
        <v>5200</v>
      </c>
    </row>
    <row r="955" spans="1:17" x14ac:dyDescent="0.2">
      <c r="A955" s="797" t="s">
        <v>18356</v>
      </c>
      <c r="B955" s="798" t="s">
        <v>18175</v>
      </c>
      <c r="C955" s="798" t="s">
        <v>14130</v>
      </c>
      <c r="D955" s="798" t="s">
        <v>18346</v>
      </c>
      <c r="E955" s="798" t="s">
        <v>18039</v>
      </c>
      <c r="F955" s="798">
        <v>5</v>
      </c>
      <c r="G955" s="798" t="s">
        <v>10772</v>
      </c>
      <c r="H955" s="798" t="s">
        <v>3779</v>
      </c>
      <c r="I955" s="799">
        <v>25000</v>
      </c>
      <c r="J955" s="798">
        <v>1</v>
      </c>
      <c r="K955" s="799">
        <v>50000</v>
      </c>
      <c r="L955" s="799">
        <v>50000</v>
      </c>
      <c r="M955" s="799">
        <f t="shared" si="92"/>
        <v>25000</v>
      </c>
      <c r="N955" s="798" t="s">
        <v>18192</v>
      </c>
      <c r="O955" s="800">
        <f t="shared" si="93"/>
        <v>50000</v>
      </c>
      <c r="P955" s="800">
        <f t="shared" si="94"/>
        <v>50000</v>
      </c>
      <c r="Q955" s="801">
        <f t="shared" si="95"/>
        <v>25000</v>
      </c>
    </row>
    <row r="956" spans="1:17" x14ac:dyDescent="0.2">
      <c r="A956" s="802" t="s">
        <v>18357</v>
      </c>
      <c r="B956" s="803" t="s">
        <v>18241</v>
      </c>
      <c r="C956" s="803" t="s">
        <v>18358</v>
      </c>
      <c r="D956" s="803" t="s">
        <v>18359</v>
      </c>
      <c r="E956" s="803" t="s">
        <v>18031</v>
      </c>
      <c r="F956" s="803">
        <v>1</v>
      </c>
      <c r="G956" s="803" t="s">
        <v>1947</v>
      </c>
      <c r="H956" s="803" t="s">
        <v>1947</v>
      </c>
      <c r="I956" s="804">
        <v>1500</v>
      </c>
      <c r="J956" s="803">
        <v>1</v>
      </c>
      <c r="K956" s="804">
        <f t="shared" ref="K956:K986" si="102">+I956</f>
        <v>1500</v>
      </c>
      <c r="L956" s="804">
        <f t="shared" ref="L956:L986" si="103">+I956</f>
        <v>1500</v>
      </c>
      <c r="M956" s="804">
        <f t="shared" si="92"/>
        <v>1500</v>
      </c>
      <c r="N956" s="803" t="s">
        <v>18360</v>
      </c>
      <c r="O956" s="805">
        <f t="shared" si="93"/>
        <v>1500</v>
      </c>
      <c r="P956" s="805">
        <f t="shared" si="94"/>
        <v>1500</v>
      </c>
      <c r="Q956" s="806">
        <f t="shared" si="95"/>
        <v>1500</v>
      </c>
    </row>
    <row r="957" spans="1:17" x14ac:dyDescent="0.2">
      <c r="A957" s="797" t="s">
        <v>18361</v>
      </c>
      <c r="B957" s="798" t="s">
        <v>18241</v>
      </c>
      <c r="C957" s="798" t="s">
        <v>18358</v>
      </c>
      <c r="D957" s="798" t="s">
        <v>18359</v>
      </c>
      <c r="E957" s="798" t="s">
        <v>18054</v>
      </c>
      <c r="F957" s="798">
        <v>2</v>
      </c>
      <c r="G957" s="798" t="s">
        <v>1947</v>
      </c>
      <c r="H957" s="798" t="s">
        <v>1947</v>
      </c>
      <c r="I957" s="799">
        <v>5000</v>
      </c>
      <c r="J957" s="798">
        <v>1</v>
      </c>
      <c r="K957" s="799">
        <f t="shared" si="102"/>
        <v>5000</v>
      </c>
      <c r="L957" s="799">
        <f t="shared" si="103"/>
        <v>5000</v>
      </c>
      <c r="M957" s="799">
        <f t="shared" si="92"/>
        <v>5000</v>
      </c>
      <c r="N957" s="798" t="s">
        <v>18362</v>
      </c>
      <c r="O957" s="800">
        <f t="shared" si="93"/>
        <v>5000</v>
      </c>
      <c r="P957" s="800">
        <f t="shared" si="94"/>
        <v>5000</v>
      </c>
      <c r="Q957" s="801">
        <f t="shared" si="95"/>
        <v>5000</v>
      </c>
    </row>
    <row r="958" spans="1:17" x14ac:dyDescent="0.2">
      <c r="A958" s="802" t="s">
        <v>18363</v>
      </c>
      <c r="B958" s="803" t="s">
        <v>18241</v>
      </c>
      <c r="C958" s="803" t="s">
        <v>18358</v>
      </c>
      <c r="D958" s="803" t="s">
        <v>18359</v>
      </c>
      <c r="E958" s="803" t="s">
        <v>18033</v>
      </c>
      <c r="F958" s="803">
        <v>3</v>
      </c>
      <c r="G958" s="803" t="s">
        <v>1947</v>
      </c>
      <c r="H958" s="803" t="s">
        <v>1947</v>
      </c>
      <c r="I958" s="804">
        <v>12000</v>
      </c>
      <c r="J958" s="803">
        <v>1</v>
      </c>
      <c r="K958" s="804">
        <f t="shared" si="102"/>
        <v>12000</v>
      </c>
      <c r="L958" s="804">
        <f t="shared" si="103"/>
        <v>12000</v>
      </c>
      <c r="M958" s="804">
        <f t="shared" si="92"/>
        <v>12000</v>
      </c>
      <c r="N958" s="803" t="s">
        <v>18364</v>
      </c>
      <c r="O958" s="805">
        <f t="shared" si="93"/>
        <v>12000</v>
      </c>
      <c r="P958" s="805">
        <f t="shared" si="94"/>
        <v>12000</v>
      </c>
      <c r="Q958" s="806">
        <f t="shared" si="95"/>
        <v>12000</v>
      </c>
    </row>
    <row r="959" spans="1:17" x14ac:dyDescent="0.2">
      <c r="A959" s="797" t="s">
        <v>18365</v>
      </c>
      <c r="B959" s="798" t="s">
        <v>18241</v>
      </c>
      <c r="C959" s="798" t="s">
        <v>18358</v>
      </c>
      <c r="D959" s="798" t="s">
        <v>18359</v>
      </c>
      <c r="E959" s="798" t="s">
        <v>18061</v>
      </c>
      <c r="F959" s="798">
        <v>4</v>
      </c>
      <c r="G959" s="798" t="s">
        <v>1947</v>
      </c>
      <c r="H959" s="798" t="s">
        <v>1947</v>
      </c>
      <c r="I959" s="799">
        <v>18000</v>
      </c>
      <c r="J959" s="798">
        <v>1</v>
      </c>
      <c r="K959" s="799">
        <f t="shared" si="102"/>
        <v>18000</v>
      </c>
      <c r="L959" s="799">
        <f t="shared" si="103"/>
        <v>18000</v>
      </c>
      <c r="M959" s="799">
        <f t="shared" si="92"/>
        <v>18000</v>
      </c>
      <c r="N959" s="798" t="s">
        <v>18366</v>
      </c>
      <c r="O959" s="800">
        <f t="shared" si="93"/>
        <v>18000</v>
      </c>
      <c r="P959" s="800">
        <f t="shared" si="94"/>
        <v>18000</v>
      </c>
      <c r="Q959" s="801">
        <f t="shared" si="95"/>
        <v>18000</v>
      </c>
    </row>
    <row r="960" spans="1:17" x14ac:dyDescent="0.2">
      <c r="A960" s="802" t="s">
        <v>18367</v>
      </c>
      <c r="B960" s="803" t="s">
        <v>18241</v>
      </c>
      <c r="C960" s="803" t="s">
        <v>18358</v>
      </c>
      <c r="D960" s="803" t="s">
        <v>18359</v>
      </c>
      <c r="E960" s="803" t="s">
        <v>18368</v>
      </c>
      <c r="F960" s="803">
        <v>5</v>
      </c>
      <c r="G960" s="803" t="s">
        <v>1947</v>
      </c>
      <c r="H960" s="803" t="s">
        <v>1947</v>
      </c>
      <c r="I960" s="804">
        <v>20000</v>
      </c>
      <c r="J960" s="803">
        <v>1</v>
      </c>
      <c r="K960" s="804">
        <f t="shared" si="102"/>
        <v>20000</v>
      </c>
      <c r="L960" s="804">
        <f t="shared" si="103"/>
        <v>20000</v>
      </c>
      <c r="M960" s="804">
        <f t="shared" si="92"/>
        <v>20000</v>
      </c>
      <c r="N960" s="803" t="s">
        <v>18369</v>
      </c>
      <c r="O960" s="805">
        <f t="shared" si="93"/>
        <v>20000</v>
      </c>
      <c r="P960" s="805">
        <f t="shared" si="94"/>
        <v>20000</v>
      </c>
      <c r="Q960" s="806">
        <f t="shared" si="95"/>
        <v>20000</v>
      </c>
    </row>
    <row r="961" spans="1:17" x14ac:dyDescent="0.2">
      <c r="A961" s="797" t="s">
        <v>18370</v>
      </c>
      <c r="B961" s="798" t="s">
        <v>18241</v>
      </c>
      <c r="C961" s="798" t="s">
        <v>18358</v>
      </c>
      <c r="D961" s="798" t="s">
        <v>18371</v>
      </c>
      <c r="E961" s="798" t="s">
        <v>18031</v>
      </c>
      <c r="F961" s="798">
        <v>1</v>
      </c>
      <c r="G961" s="798" t="s">
        <v>1103</v>
      </c>
      <c r="H961" s="798" t="s">
        <v>1103</v>
      </c>
      <c r="I961" s="799">
        <v>1500</v>
      </c>
      <c r="J961" s="798">
        <v>1</v>
      </c>
      <c r="K961" s="799">
        <f t="shared" si="102"/>
        <v>1500</v>
      </c>
      <c r="L961" s="799">
        <f t="shared" si="103"/>
        <v>1500</v>
      </c>
      <c r="M961" s="799">
        <f t="shared" si="92"/>
        <v>1500</v>
      </c>
      <c r="N961" s="798" t="s">
        <v>18360</v>
      </c>
      <c r="O961" s="800">
        <f t="shared" si="93"/>
        <v>1500</v>
      </c>
      <c r="P961" s="800">
        <f t="shared" si="94"/>
        <v>1500</v>
      </c>
      <c r="Q961" s="801">
        <f t="shared" si="95"/>
        <v>1500</v>
      </c>
    </row>
    <row r="962" spans="1:17" x14ac:dyDescent="0.2">
      <c r="A962" s="802" t="s">
        <v>18372</v>
      </c>
      <c r="B962" s="803" t="s">
        <v>18241</v>
      </c>
      <c r="C962" s="803" t="s">
        <v>18358</v>
      </c>
      <c r="D962" s="803" t="s">
        <v>18371</v>
      </c>
      <c r="E962" s="803" t="s">
        <v>18054</v>
      </c>
      <c r="F962" s="803">
        <v>2</v>
      </c>
      <c r="G962" s="803" t="s">
        <v>1103</v>
      </c>
      <c r="H962" s="803" t="s">
        <v>1103</v>
      </c>
      <c r="I962" s="804">
        <v>5000</v>
      </c>
      <c r="J962" s="803">
        <v>1</v>
      </c>
      <c r="K962" s="804">
        <f t="shared" si="102"/>
        <v>5000</v>
      </c>
      <c r="L962" s="804">
        <f t="shared" si="103"/>
        <v>5000</v>
      </c>
      <c r="M962" s="804">
        <f t="shared" ref="M962:M1025" si="104">+I962</f>
        <v>5000</v>
      </c>
      <c r="N962" s="803" t="s">
        <v>18362</v>
      </c>
      <c r="O962" s="805">
        <f t="shared" ref="O962:O1025" si="105">+J962*K962</f>
        <v>5000</v>
      </c>
      <c r="P962" s="805">
        <f t="shared" ref="P962:P1025" si="106">+J962*L962</f>
        <v>5000</v>
      </c>
      <c r="Q962" s="806">
        <f t="shared" ref="Q962:Q1025" si="107">+J962*M962</f>
        <v>5000</v>
      </c>
    </row>
    <row r="963" spans="1:17" x14ac:dyDescent="0.2">
      <c r="A963" s="797" t="s">
        <v>18373</v>
      </c>
      <c r="B963" s="798" t="s">
        <v>18241</v>
      </c>
      <c r="C963" s="798" t="s">
        <v>18358</v>
      </c>
      <c r="D963" s="798" t="s">
        <v>18371</v>
      </c>
      <c r="E963" s="798" t="s">
        <v>18033</v>
      </c>
      <c r="F963" s="798">
        <v>3</v>
      </c>
      <c r="G963" s="798" t="s">
        <v>1103</v>
      </c>
      <c r="H963" s="798" t="s">
        <v>1103</v>
      </c>
      <c r="I963" s="799">
        <v>12000</v>
      </c>
      <c r="J963" s="798">
        <v>1</v>
      </c>
      <c r="K963" s="799">
        <f t="shared" si="102"/>
        <v>12000</v>
      </c>
      <c r="L963" s="799">
        <f t="shared" si="103"/>
        <v>12000</v>
      </c>
      <c r="M963" s="799">
        <f t="shared" si="104"/>
        <v>12000</v>
      </c>
      <c r="N963" s="798" t="s">
        <v>18364</v>
      </c>
      <c r="O963" s="800">
        <f t="shared" si="105"/>
        <v>12000</v>
      </c>
      <c r="P963" s="800">
        <f t="shared" si="106"/>
        <v>12000</v>
      </c>
      <c r="Q963" s="801">
        <f t="shared" si="107"/>
        <v>12000</v>
      </c>
    </row>
    <row r="964" spans="1:17" x14ac:dyDescent="0.2">
      <c r="A964" s="802" t="s">
        <v>18374</v>
      </c>
      <c r="B964" s="803" t="s">
        <v>18241</v>
      </c>
      <c r="C964" s="803" t="s">
        <v>18358</v>
      </c>
      <c r="D964" s="803" t="s">
        <v>18371</v>
      </c>
      <c r="E964" s="803" t="s">
        <v>18061</v>
      </c>
      <c r="F964" s="803">
        <v>4</v>
      </c>
      <c r="G964" s="803" t="s">
        <v>1103</v>
      </c>
      <c r="H964" s="803" t="s">
        <v>1103</v>
      </c>
      <c r="I964" s="804">
        <v>18000</v>
      </c>
      <c r="J964" s="803">
        <v>1</v>
      </c>
      <c r="K964" s="804">
        <f t="shared" si="102"/>
        <v>18000</v>
      </c>
      <c r="L964" s="804">
        <f t="shared" si="103"/>
        <v>18000</v>
      </c>
      <c r="M964" s="804">
        <f t="shared" si="104"/>
        <v>18000</v>
      </c>
      <c r="N964" s="803" t="s">
        <v>18366</v>
      </c>
      <c r="O964" s="805">
        <f t="shared" si="105"/>
        <v>18000</v>
      </c>
      <c r="P964" s="805">
        <f t="shared" si="106"/>
        <v>18000</v>
      </c>
      <c r="Q964" s="806">
        <f t="shared" si="107"/>
        <v>18000</v>
      </c>
    </row>
    <row r="965" spans="1:17" x14ac:dyDescent="0.2">
      <c r="A965" s="797" t="s">
        <v>18375</v>
      </c>
      <c r="B965" s="798" t="s">
        <v>18241</v>
      </c>
      <c r="C965" s="798" t="s">
        <v>18358</v>
      </c>
      <c r="D965" s="798" t="s">
        <v>18371</v>
      </c>
      <c r="E965" s="798" t="s">
        <v>18368</v>
      </c>
      <c r="F965" s="798">
        <v>5</v>
      </c>
      <c r="G965" s="798" t="s">
        <v>1103</v>
      </c>
      <c r="H965" s="798" t="s">
        <v>1103</v>
      </c>
      <c r="I965" s="799">
        <v>20000</v>
      </c>
      <c r="J965" s="798">
        <v>1</v>
      </c>
      <c r="K965" s="799">
        <f t="shared" si="102"/>
        <v>20000</v>
      </c>
      <c r="L965" s="799">
        <f t="shared" si="103"/>
        <v>20000</v>
      </c>
      <c r="M965" s="799">
        <f t="shared" si="104"/>
        <v>20000</v>
      </c>
      <c r="N965" s="798" t="s">
        <v>18369</v>
      </c>
      <c r="O965" s="800">
        <f t="shared" si="105"/>
        <v>20000</v>
      </c>
      <c r="P965" s="800">
        <f t="shared" si="106"/>
        <v>20000</v>
      </c>
      <c r="Q965" s="801">
        <f t="shared" si="107"/>
        <v>20000</v>
      </c>
    </row>
    <row r="966" spans="1:17" x14ac:dyDescent="0.2">
      <c r="A966" s="802" t="s">
        <v>18376</v>
      </c>
      <c r="B966" s="803" t="s">
        <v>18241</v>
      </c>
      <c r="C966" s="803" t="s">
        <v>18358</v>
      </c>
      <c r="D966" s="803" t="s">
        <v>18377</v>
      </c>
      <c r="E966" s="803" t="s">
        <v>18031</v>
      </c>
      <c r="F966" s="803">
        <v>1</v>
      </c>
      <c r="G966" s="803" t="s">
        <v>122</v>
      </c>
      <c r="H966" s="803" t="s">
        <v>122</v>
      </c>
      <c r="I966" s="804">
        <v>1500</v>
      </c>
      <c r="J966" s="803">
        <v>1</v>
      </c>
      <c r="K966" s="804">
        <f t="shared" si="102"/>
        <v>1500</v>
      </c>
      <c r="L966" s="804">
        <f t="shared" si="103"/>
        <v>1500</v>
      </c>
      <c r="M966" s="804">
        <f t="shared" si="104"/>
        <v>1500</v>
      </c>
      <c r="N966" s="803" t="s">
        <v>18360</v>
      </c>
      <c r="O966" s="805">
        <f t="shared" si="105"/>
        <v>1500</v>
      </c>
      <c r="P966" s="805">
        <f t="shared" si="106"/>
        <v>1500</v>
      </c>
      <c r="Q966" s="806">
        <f t="shared" si="107"/>
        <v>1500</v>
      </c>
    </row>
    <row r="967" spans="1:17" x14ac:dyDescent="0.2">
      <c r="A967" s="797" t="s">
        <v>18378</v>
      </c>
      <c r="B967" s="798" t="s">
        <v>18241</v>
      </c>
      <c r="C967" s="798" t="s">
        <v>18358</v>
      </c>
      <c r="D967" s="798" t="s">
        <v>18377</v>
      </c>
      <c r="E967" s="798" t="s">
        <v>18054</v>
      </c>
      <c r="F967" s="798">
        <v>2</v>
      </c>
      <c r="G967" s="798" t="s">
        <v>122</v>
      </c>
      <c r="H967" s="798" t="s">
        <v>122</v>
      </c>
      <c r="I967" s="799">
        <v>5000</v>
      </c>
      <c r="J967" s="798">
        <v>1</v>
      </c>
      <c r="K967" s="799">
        <f t="shared" si="102"/>
        <v>5000</v>
      </c>
      <c r="L967" s="799">
        <f t="shared" si="103"/>
        <v>5000</v>
      </c>
      <c r="M967" s="799">
        <f t="shared" si="104"/>
        <v>5000</v>
      </c>
      <c r="N967" s="798" t="s">
        <v>18362</v>
      </c>
      <c r="O967" s="800">
        <f t="shared" si="105"/>
        <v>5000</v>
      </c>
      <c r="P967" s="800">
        <f t="shared" si="106"/>
        <v>5000</v>
      </c>
      <c r="Q967" s="801">
        <f t="shared" si="107"/>
        <v>5000</v>
      </c>
    </row>
    <row r="968" spans="1:17" x14ac:dyDescent="0.2">
      <c r="A968" s="802" t="s">
        <v>18379</v>
      </c>
      <c r="B968" s="803" t="s">
        <v>18241</v>
      </c>
      <c r="C968" s="803" t="s">
        <v>18358</v>
      </c>
      <c r="D968" s="803" t="s">
        <v>18377</v>
      </c>
      <c r="E968" s="803" t="s">
        <v>18033</v>
      </c>
      <c r="F968" s="803">
        <v>3</v>
      </c>
      <c r="G968" s="803" t="s">
        <v>122</v>
      </c>
      <c r="H968" s="803" t="s">
        <v>122</v>
      </c>
      <c r="I968" s="804">
        <v>12000</v>
      </c>
      <c r="J968" s="803">
        <v>1</v>
      </c>
      <c r="K968" s="804">
        <f t="shared" si="102"/>
        <v>12000</v>
      </c>
      <c r="L968" s="804">
        <f t="shared" si="103"/>
        <v>12000</v>
      </c>
      <c r="M968" s="804">
        <f t="shared" si="104"/>
        <v>12000</v>
      </c>
      <c r="N968" s="803" t="s">
        <v>18364</v>
      </c>
      <c r="O968" s="805">
        <f t="shared" si="105"/>
        <v>12000</v>
      </c>
      <c r="P968" s="805">
        <f t="shared" si="106"/>
        <v>12000</v>
      </c>
      <c r="Q968" s="806">
        <f t="shared" si="107"/>
        <v>12000</v>
      </c>
    </row>
    <row r="969" spans="1:17" x14ac:dyDescent="0.2">
      <c r="A969" s="797" t="s">
        <v>18380</v>
      </c>
      <c r="B969" s="798" t="s">
        <v>18241</v>
      </c>
      <c r="C969" s="798" t="s">
        <v>18358</v>
      </c>
      <c r="D969" s="798" t="s">
        <v>18377</v>
      </c>
      <c r="E969" s="798" t="s">
        <v>18061</v>
      </c>
      <c r="F969" s="798">
        <v>4</v>
      </c>
      <c r="G969" s="798" t="s">
        <v>122</v>
      </c>
      <c r="H969" s="798" t="s">
        <v>122</v>
      </c>
      <c r="I969" s="799">
        <v>18000</v>
      </c>
      <c r="J969" s="798">
        <v>1</v>
      </c>
      <c r="K969" s="799">
        <f t="shared" si="102"/>
        <v>18000</v>
      </c>
      <c r="L969" s="799">
        <f t="shared" si="103"/>
        <v>18000</v>
      </c>
      <c r="M969" s="799">
        <f t="shared" si="104"/>
        <v>18000</v>
      </c>
      <c r="N969" s="798" t="s">
        <v>18366</v>
      </c>
      <c r="O969" s="800">
        <f t="shared" si="105"/>
        <v>18000</v>
      </c>
      <c r="P969" s="800">
        <f t="shared" si="106"/>
        <v>18000</v>
      </c>
      <c r="Q969" s="801">
        <f t="shared" si="107"/>
        <v>18000</v>
      </c>
    </row>
    <row r="970" spans="1:17" x14ac:dyDescent="0.2">
      <c r="A970" s="802" t="s">
        <v>18381</v>
      </c>
      <c r="B970" s="803" t="s">
        <v>18241</v>
      </c>
      <c r="C970" s="803" t="s">
        <v>18358</v>
      </c>
      <c r="D970" s="803" t="s">
        <v>18377</v>
      </c>
      <c r="E970" s="803" t="s">
        <v>18368</v>
      </c>
      <c r="F970" s="803">
        <v>5</v>
      </c>
      <c r="G970" s="803" t="s">
        <v>122</v>
      </c>
      <c r="H970" s="803" t="s">
        <v>122</v>
      </c>
      <c r="I970" s="804">
        <v>20000</v>
      </c>
      <c r="J970" s="803">
        <v>1</v>
      </c>
      <c r="K970" s="804">
        <f t="shared" si="102"/>
        <v>20000</v>
      </c>
      <c r="L970" s="804">
        <f t="shared" si="103"/>
        <v>20000</v>
      </c>
      <c r="M970" s="804">
        <f t="shared" si="104"/>
        <v>20000</v>
      </c>
      <c r="N970" s="803" t="s">
        <v>18369</v>
      </c>
      <c r="O970" s="805">
        <f t="shared" si="105"/>
        <v>20000</v>
      </c>
      <c r="P970" s="805">
        <f t="shared" si="106"/>
        <v>20000</v>
      </c>
      <c r="Q970" s="806">
        <f t="shared" si="107"/>
        <v>20000</v>
      </c>
    </row>
    <row r="971" spans="1:17" x14ac:dyDescent="0.2">
      <c r="A971" s="797" t="s">
        <v>18382</v>
      </c>
      <c r="B971" s="798" t="s">
        <v>18241</v>
      </c>
      <c r="C971" s="798" t="s">
        <v>18358</v>
      </c>
      <c r="D971" s="798" t="s">
        <v>18383</v>
      </c>
      <c r="E971" s="798" t="s">
        <v>18031</v>
      </c>
      <c r="F971" s="798">
        <v>1</v>
      </c>
      <c r="G971" s="798" t="s">
        <v>2837</v>
      </c>
      <c r="H971" s="798" t="s">
        <v>2837</v>
      </c>
      <c r="I971" s="799">
        <v>1500</v>
      </c>
      <c r="J971" s="798">
        <v>1</v>
      </c>
      <c r="K971" s="799">
        <f t="shared" si="102"/>
        <v>1500</v>
      </c>
      <c r="L971" s="799">
        <f t="shared" si="103"/>
        <v>1500</v>
      </c>
      <c r="M971" s="799">
        <f t="shared" si="104"/>
        <v>1500</v>
      </c>
      <c r="N971" s="798" t="s">
        <v>18360</v>
      </c>
      <c r="O971" s="800">
        <f t="shared" si="105"/>
        <v>1500</v>
      </c>
      <c r="P971" s="800">
        <f t="shared" si="106"/>
        <v>1500</v>
      </c>
      <c r="Q971" s="801">
        <f t="shared" si="107"/>
        <v>1500</v>
      </c>
    </row>
    <row r="972" spans="1:17" x14ac:dyDescent="0.2">
      <c r="A972" s="802" t="s">
        <v>18384</v>
      </c>
      <c r="B972" s="803" t="s">
        <v>18241</v>
      </c>
      <c r="C972" s="803" t="s">
        <v>18358</v>
      </c>
      <c r="D972" s="803" t="s">
        <v>18383</v>
      </c>
      <c r="E972" s="803" t="s">
        <v>18054</v>
      </c>
      <c r="F972" s="803">
        <v>2</v>
      </c>
      <c r="G972" s="803" t="s">
        <v>2837</v>
      </c>
      <c r="H972" s="803" t="s">
        <v>2837</v>
      </c>
      <c r="I972" s="804">
        <v>5000</v>
      </c>
      <c r="J972" s="803">
        <v>1</v>
      </c>
      <c r="K972" s="804">
        <f t="shared" si="102"/>
        <v>5000</v>
      </c>
      <c r="L972" s="804">
        <f t="shared" si="103"/>
        <v>5000</v>
      </c>
      <c r="M972" s="804">
        <f t="shared" si="104"/>
        <v>5000</v>
      </c>
      <c r="N972" s="803" t="s">
        <v>18362</v>
      </c>
      <c r="O972" s="805">
        <f t="shared" si="105"/>
        <v>5000</v>
      </c>
      <c r="P972" s="805">
        <f t="shared" si="106"/>
        <v>5000</v>
      </c>
      <c r="Q972" s="806">
        <f t="shared" si="107"/>
        <v>5000</v>
      </c>
    </row>
    <row r="973" spans="1:17" x14ac:dyDescent="0.2">
      <c r="A973" s="797" t="s">
        <v>18385</v>
      </c>
      <c r="B973" s="798" t="s">
        <v>18241</v>
      </c>
      <c r="C973" s="798" t="s">
        <v>18358</v>
      </c>
      <c r="D973" s="798" t="s">
        <v>18383</v>
      </c>
      <c r="E973" s="798" t="s">
        <v>18033</v>
      </c>
      <c r="F973" s="798">
        <v>3</v>
      </c>
      <c r="G973" s="798" t="s">
        <v>2837</v>
      </c>
      <c r="H973" s="798" t="s">
        <v>2837</v>
      </c>
      <c r="I973" s="799">
        <v>12000</v>
      </c>
      <c r="J973" s="798">
        <v>1</v>
      </c>
      <c r="K973" s="799">
        <f t="shared" si="102"/>
        <v>12000</v>
      </c>
      <c r="L973" s="799">
        <f t="shared" si="103"/>
        <v>12000</v>
      </c>
      <c r="M973" s="799">
        <f t="shared" si="104"/>
        <v>12000</v>
      </c>
      <c r="N973" s="798" t="s">
        <v>18364</v>
      </c>
      <c r="O973" s="800">
        <f t="shared" si="105"/>
        <v>12000</v>
      </c>
      <c r="P973" s="800">
        <f t="shared" si="106"/>
        <v>12000</v>
      </c>
      <c r="Q973" s="801">
        <f t="shared" si="107"/>
        <v>12000</v>
      </c>
    </row>
    <row r="974" spans="1:17" x14ac:dyDescent="0.2">
      <c r="A974" s="802" t="s">
        <v>18386</v>
      </c>
      <c r="B974" s="803" t="s">
        <v>18241</v>
      </c>
      <c r="C974" s="803" t="s">
        <v>18358</v>
      </c>
      <c r="D974" s="803" t="s">
        <v>18383</v>
      </c>
      <c r="E974" s="803" t="s">
        <v>18061</v>
      </c>
      <c r="F974" s="803">
        <v>4</v>
      </c>
      <c r="G974" s="803" t="s">
        <v>2837</v>
      </c>
      <c r="H974" s="803" t="s">
        <v>2837</v>
      </c>
      <c r="I974" s="804">
        <v>18000</v>
      </c>
      <c r="J974" s="803">
        <v>1</v>
      </c>
      <c r="K974" s="804">
        <f t="shared" si="102"/>
        <v>18000</v>
      </c>
      <c r="L974" s="804">
        <f t="shared" si="103"/>
        <v>18000</v>
      </c>
      <c r="M974" s="804">
        <f t="shared" si="104"/>
        <v>18000</v>
      </c>
      <c r="N974" s="803" t="s">
        <v>18366</v>
      </c>
      <c r="O974" s="805">
        <f t="shared" si="105"/>
        <v>18000</v>
      </c>
      <c r="P974" s="805">
        <f t="shared" si="106"/>
        <v>18000</v>
      </c>
      <c r="Q974" s="806">
        <f t="shared" si="107"/>
        <v>18000</v>
      </c>
    </row>
    <row r="975" spans="1:17" x14ac:dyDescent="0.2">
      <c r="A975" s="797" t="s">
        <v>18387</v>
      </c>
      <c r="B975" s="798" t="s">
        <v>18241</v>
      </c>
      <c r="C975" s="798" t="s">
        <v>18358</v>
      </c>
      <c r="D975" s="798" t="s">
        <v>18383</v>
      </c>
      <c r="E975" s="798" t="s">
        <v>18368</v>
      </c>
      <c r="F975" s="798">
        <v>5</v>
      </c>
      <c r="G975" s="798" t="s">
        <v>2837</v>
      </c>
      <c r="H975" s="798" t="s">
        <v>2837</v>
      </c>
      <c r="I975" s="799">
        <v>20000</v>
      </c>
      <c r="J975" s="798">
        <v>1</v>
      </c>
      <c r="K975" s="799">
        <f t="shared" si="102"/>
        <v>20000</v>
      </c>
      <c r="L975" s="799">
        <f t="shared" si="103"/>
        <v>20000</v>
      </c>
      <c r="M975" s="799">
        <f t="shared" si="104"/>
        <v>20000</v>
      </c>
      <c r="N975" s="798" t="s">
        <v>18369</v>
      </c>
      <c r="O975" s="800">
        <f t="shared" si="105"/>
        <v>20000</v>
      </c>
      <c r="P975" s="800">
        <f t="shared" si="106"/>
        <v>20000</v>
      </c>
      <c r="Q975" s="801">
        <f t="shared" si="107"/>
        <v>20000</v>
      </c>
    </row>
    <row r="976" spans="1:17" x14ac:dyDescent="0.2">
      <c r="A976" s="802" t="s">
        <v>18388</v>
      </c>
      <c r="B976" s="803" t="s">
        <v>18241</v>
      </c>
      <c r="C976" s="803" t="s">
        <v>18358</v>
      </c>
      <c r="D976" s="803" t="s">
        <v>18389</v>
      </c>
      <c r="E976" s="803" t="s">
        <v>18031</v>
      </c>
      <c r="F976" s="803">
        <v>1</v>
      </c>
      <c r="G976" s="803" t="s">
        <v>3779</v>
      </c>
      <c r="H976" s="803" t="s">
        <v>3779</v>
      </c>
      <c r="I976" s="804">
        <v>1500</v>
      </c>
      <c r="J976" s="803">
        <v>1</v>
      </c>
      <c r="K976" s="804">
        <f t="shared" si="102"/>
        <v>1500</v>
      </c>
      <c r="L976" s="804">
        <f t="shared" si="103"/>
        <v>1500</v>
      </c>
      <c r="M976" s="804">
        <f t="shared" si="104"/>
        <v>1500</v>
      </c>
      <c r="N976" s="803" t="s">
        <v>18360</v>
      </c>
      <c r="O976" s="805">
        <f t="shared" si="105"/>
        <v>1500</v>
      </c>
      <c r="P976" s="805">
        <f t="shared" si="106"/>
        <v>1500</v>
      </c>
      <c r="Q976" s="806">
        <f t="shared" si="107"/>
        <v>1500</v>
      </c>
    </row>
    <row r="977" spans="1:17" x14ac:dyDescent="0.2">
      <c r="A977" s="797" t="s">
        <v>18390</v>
      </c>
      <c r="B977" s="798" t="s">
        <v>18241</v>
      </c>
      <c r="C977" s="798" t="s">
        <v>18358</v>
      </c>
      <c r="D977" s="798" t="s">
        <v>18389</v>
      </c>
      <c r="E977" s="798" t="s">
        <v>18054</v>
      </c>
      <c r="F977" s="798">
        <v>2</v>
      </c>
      <c r="G977" s="798" t="s">
        <v>3779</v>
      </c>
      <c r="H977" s="798" t="s">
        <v>3779</v>
      </c>
      <c r="I977" s="799">
        <v>5000</v>
      </c>
      <c r="J977" s="798">
        <v>1</v>
      </c>
      <c r="K977" s="799">
        <f t="shared" si="102"/>
        <v>5000</v>
      </c>
      <c r="L977" s="799">
        <f t="shared" si="103"/>
        <v>5000</v>
      </c>
      <c r="M977" s="799">
        <f t="shared" si="104"/>
        <v>5000</v>
      </c>
      <c r="N977" s="798" t="s">
        <v>18362</v>
      </c>
      <c r="O977" s="800">
        <f t="shared" si="105"/>
        <v>5000</v>
      </c>
      <c r="P977" s="800">
        <f t="shared" si="106"/>
        <v>5000</v>
      </c>
      <c r="Q977" s="801">
        <f t="shared" si="107"/>
        <v>5000</v>
      </c>
    </row>
    <row r="978" spans="1:17" x14ac:dyDescent="0.2">
      <c r="A978" s="802" t="s">
        <v>18391</v>
      </c>
      <c r="B978" s="803" t="s">
        <v>18241</v>
      </c>
      <c r="C978" s="803" t="s">
        <v>18358</v>
      </c>
      <c r="D978" s="803" t="s">
        <v>18389</v>
      </c>
      <c r="E978" s="803" t="s">
        <v>18033</v>
      </c>
      <c r="F978" s="803">
        <v>3</v>
      </c>
      <c r="G978" s="803" t="s">
        <v>3779</v>
      </c>
      <c r="H978" s="803" t="s">
        <v>3779</v>
      </c>
      <c r="I978" s="804">
        <v>12000</v>
      </c>
      <c r="J978" s="803">
        <v>1</v>
      </c>
      <c r="K978" s="804">
        <f t="shared" si="102"/>
        <v>12000</v>
      </c>
      <c r="L978" s="804">
        <f t="shared" si="103"/>
        <v>12000</v>
      </c>
      <c r="M978" s="804">
        <f t="shared" si="104"/>
        <v>12000</v>
      </c>
      <c r="N978" s="803" t="s">
        <v>18364</v>
      </c>
      <c r="O978" s="805">
        <f t="shared" si="105"/>
        <v>12000</v>
      </c>
      <c r="P978" s="805">
        <f t="shared" si="106"/>
        <v>12000</v>
      </c>
      <c r="Q978" s="806">
        <f t="shared" si="107"/>
        <v>12000</v>
      </c>
    </row>
    <row r="979" spans="1:17" x14ac:dyDescent="0.2">
      <c r="A979" s="797" t="s">
        <v>18392</v>
      </c>
      <c r="B979" s="798" t="s">
        <v>18241</v>
      </c>
      <c r="C979" s="798" t="s">
        <v>18358</v>
      </c>
      <c r="D979" s="798" t="s">
        <v>18389</v>
      </c>
      <c r="E979" s="798" t="s">
        <v>18061</v>
      </c>
      <c r="F979" s="798">
        <v>4</v>
      </c>
      <c r="G979" s="798" t="s">
        <v>3779</v>
      </c>
      <c r="H979" s="798" t="s">
        <v>3779</v>
      </c>
      <c r="I979" s="799">
        <v>18000</v>
      </c>
      <c r="J979" s="798">
        <v>1</v>
      </c>
      <c r="K979" s="799">
        <f t="shared" si="102"/>
        <v>18000</v>
      </c>
      <c r="L979" s="799">
        <f t="shared" si="103"/>
        <v>18000</v>
      </c>
      <c r="M979" s="799">
        <f t="shared" si="104"/>
        <v>18000</v>
      </c>
      <c r="N979" s="798" t="s">
        <v>18366</v>
      </c>
      <c r="O979" s="800">
        <f t="shared" si="105"/>
        <v>18000</v>
      </c>
      <c r="P979" s="800">
        <f t="shared" si="106"/>
        <v>18000</v>
      </c>
      <c r="Q979" s="801">
        <f t="shared" si="107"/>
        <v>18000</v>
      </c>
    </row>
    <row r="980" spans="1:17" x14ac:dyDescent="0.2">
      <c r="A980" s="802" t="s">
        <v>18393</v>
      </c>
      <c r="B980" s="803" t="s">
        <v>18241</v>
      </c>
      <c r="C980" s="803" t="s">
        <v>18358</v>
      </c>
      <c r="D980" s="803" t="s">
        <v>18389</v>
      </c>
      <c r="E980" s="803" t="s">
        <v>18368</v>
      </c>
      <c r="F980" s="803">
        <v>5</v>
      </c>
      <c r="G980" s="803" t="s">
        <v>3779</v>
      </c>
      <c r="H980" s="803" t="s">
        <v>3779</v>
      </c>
      <c r="I980" s="804">
        <v>20000</v>
      </c>
      <c r="J980" s="803">
        <v>1</v>
      </c>
      <c r="K980" s="804">
        <f t="shared" si="102"/>
        <v>20000</v>
      </c>
      <c r="L980" s="804">
        <f t="shared" si="103"/>
        <v>20000</v>
      </c>
      <c r="M980" s="804">
        <f t="shared" si="104"/>
        <v>20000</v>
      </c>
      <c r="N980" s="803" t="s">
        <v>18369</v>
      </c>
      <c r="O980" s="805">
        <f t="shared" si="105"/>
        <v>20000</v>
      </c>
      <c r="P980" s="805">
        <f t="shared" si="106"/>
        <v>20000</v>
      </c>
      <c r="Q980" s="806">
        <f t="shared" si="107"/>
        <v>20000</v>
      </c>
    </row>
    <row r="981" spans="1:17" x14ac:dyDescent="0.2">
      <c r="A981" s="797" t="s">
        <v>18394</v>
      </c>
      <c r="B981" s="798" t="s">
        <v>18241</v>
      </c>
      <c r="C981" s="798" t="s">
        <v>18358</v>
      </c>
      <c r="D981" s="798" t="s">
        <v>18395</v>
      </c>
      <c r="E981" s="798" t="s">
        <v>18031</v>
      </c>
      <c r="F981" s="798">
        <v>1</v>
      </c>
      <c r="G981" s="798" t="s">
        <v>10772</v>
      </c>
      <c r="H981" s="798" t="s">
        <v>17824</v>
      </c>
      <c r="I981" s="799">
        <v>3000</v>
      </c>
      <c r="J981" s="798">
        <v>1</v>
      </c>
      <c r="K981" s="799">
        <f t="shared" si="102"/>
        <v>3000</v>
      </c>
      <c r="L981" s="799">
        <f t="shared" si="103"/>
        <v>3000</v>
      </c>
      <c r="M981" s="799">
        <f t="shared" si="104"/>
        <v>3000</v>
      </c>
      <c r="N981" s="798" t="s">
        <v>18396</v>
      </c>
      <c r="O981" s="800">
        <f t="shared" si="105"/>
        <v>3000</v>
      </c>
      <c r="P981" s="800">
        <f t="shared" si="106"/>
        <v>3000</v>
      </c>
      <c r="Q981" s="801">
        <f t="shared" si="107"/>
        <v>3000</v>
      </c>
    </row>
    <row r="982" spans="1:17" x14ac:dyDescent="0.2">
      <c r="A982" s="802" t="s">
        <v>18397</v>
      </c>
      <c r="B982" s="803" t="s">
        <v>18241</v>
      </c>
      <c r="C982" s="803" t="s">
        <v>18358</v>
      </c>
      <c r="D982" s="803" t="s">
        <v>18395</v>
      </c>
      <c r="E982" s="803" t="s">
        <v>18054</v>
      </c>
      <c r="F982" s="803">
        <v>2</v>
      </c>
      <c r="G982" s="803" t="s">
        <v>10772</v>
      </c>
      <c r="H982" s="803" t="s">
        <v>17824</v>
      </c>
      <c r="I982" s="804">
        <v>8000</v>
      </c>
      <c r="J982" s="803">
        <v>1</v>
      </c>
      <c r="K982" s="804">
        <f t="shared" si="102"/>
        <v>8000</v>
      </c>
      <c r="L982" s="804">
        <f t="shared" si="103"/>
        <v>8000</v>
      </c>
      <c r="M982" s="804">
        <f t="shared" si="104"/>
        <v>8000</v>
      </c>
      <c r="N982" s="803" t="s">
        <v>18258</v>
      </c>
      <c r="O982" s="805">
        <f t="shared" si="105"/>
        <v>8000</v>
      </c>
      <c r="P982" s="805">
        <f t="shared" si="106"/>
        <v>8000</v>
      </c>
      <c r="Q982" s="806">
        <f t="shared" si="107"/>
        <v>8000</v>
      </c>
    </row>
    <row r="983" spans="1:17" x14ac:dyDescent="0.2">
      <c r="A983" s="797" t="s">
        <v>18398</v>
      </c>
      <c r="B983" s="798" t="s">
        <v>18241</v>
      </c>
      <c r="C983" s="798" t="s">
        <v>18358</v>
      </c>
      <c r="D983" s="798" t="s">
        <v>18395</v>
      </c>
      <c r="E983" s="798" t="s">
        <v>18033</v>
      </c>
      <c r="F983" s="798">
        <v>3</v>
      </c>
      <c r="G983" s="798" t="s">
        <v>10772</v>
      </c>
      <c r="H983" s="798" t="s">
        <v>17824</v>
      </c>
      <c r="I983" s="799">
        <v>15000</v>
      </c>
      <c r="J983" s="798">
        <v>1</v>
      </c>
      <c r="K983" s="799">
        <f t="shared" si="102"/>
        <v>15000</v>
      </c>
      <c r="L983" s="799">
        <f t="shared" si="103"/>
        <v>15000</v>
      </c>
      <c r="M983" s="799">
        <f t="shared" si="104"/>
        <v>15000</v>
      </c>
      <c r="N983" s="798" t="s">
        <v>18260</v>
      </c>
      <c r="O983" s="800">
        <f t="shared" si="105"/>
        <v>15000</v>
      </c>
      <c r="P983" s="800">
        <f t="shared" si="106"/>
        <v>15000</v>
      </c>
      <c r="Q983" s="801">
        <f t="shared" si="107"/>
        <v>15000</v>
      </c>
    </row>
    <row r="984" spans="1:17" x14ac:dyDescent="0.2">
      <c r="A984" s="802" t="s">
        <v>18399</v>
      </c>
      <c r="B984" s="803" t="s">
        <v>18241</v>
      </c>
      <c r="C984" s="803" t="s">
        <v>18358</v>
      </c>
      <c r="D984" s="803" t="s">
        <v>18395</v>
      </c>
      <c r="E984" s="803" t="s">
        <v>18061</v>
      </c>
      <c r="F984" s="803">
        <v>4</v>
      </c>
      <c r="G984" s="803" t="s">
        <v>10772</v>
      </c>
      <c r="H984" s="803" t="s">
        <v>17824</v>
      </c>
      <c r="I984" s="804">
        <v>20000</v>
      </c>
      <c r="J984" s="803">
        <v>1</v>
      </c>
      <c r="K984" s="804">
        <f t="shared" si="102"/>
        <v>20000</v>
      </c>
      <c r="L984" s="804">
        <f t="shared" si="103"/>
        <v>20000</v>
      </c>
      <c r="M984" s="804">
        <f t="shared" si="104"/>
        <v>20000</v>
      </c>
      <c r="N984" s="803" t="s">
        <v>18262</v>
      </c>
      <c r="O984" s="805">
        <f t="shared" si="105"/>
        <v>20000</v>
      </c>
      <c r="P984" s="805">
        <f t="shared" si="106"/>
        <v>20000</v>
      </c>
      <c r="Q984" s="806">
        <f t="shared" si="107"/>
        <v>20000</v>
      </c>
    </row>
    <row r="985" spans="1:17" x14ac:dyDescent="0.2">
      <c r="A985" s="797" t="s">
        <v>18400</v>
      </c>
      <c r="B985" s="798" t="s">
        <v>18241</v>
      </c>
      <c r="C985" s="798" t="s">
        <v>18358</v>
      </c>
      <c r="D985" s="798" t="s">
        <v>18395</v>
      </c>
      <c r="E985" s="798" t="s">
        <v>18368</v>
      </c>
      <c r="F985" s="798">
        <v>5</v>
      </c>
      <c r="G985" s="798" t="s">
        <v>10772</v>
      </c>
      <c r="H985" s="798" t="s">
        <v>17824</v>
      </c>
      <c r="I985" s="799">
        <v>20000</v>
      </c>
      <c r="J985" s="798">
        <v>1</v>
      </c>
      <c r="K985" s="799">
        <f t="shared" si="102"/>
        <v>20000</v>
      </c>
      <c r="L985" s="799">
        <f t="shared" si="103"/>
        <v>20000</v>
      </c>
      <c r="M985" s="799">
        <f t="shared" si="104"/>
        <v>20000</v>
      </c>
      <c r="N985" s="798" t="s">
        <v>18262</v>
      </c>
      <c r="O985" s="800">
        <f t="shared" si="105"/>
        <v>20000</v>
      </c>
      <c r="P985" s="800">
        <f t="shared" si="106"/>
        <v>20000</v>
      </c>
      <c r="Q985" s="801">
        <f t="shared" si="107"/>
        <v>20000</v>
      </c>
    </row>
    <row r="986" spans="1:17" x14ac:dyDescent="0.2">
      <c r="A986" s="802" t="s">
        <v>18401</v>
      </c>
      <c r="B986" s="803" t="s">
        <v>18241</v>
      </c>
      <c r="C986" s="803" t="s">
        <v>18358</v>
      </c>
      <c r="D986" s="803" t="s">
        <v>18402</v>
      </c>
      <c r="E986" s="803" t="s">
        <v>18019</v>
      </c>
      <c r="F986" s="803">
        <v>1</v>
      </c>
      <c r="G986" s="803" t="s">
        <v>10772</v>
      </c>
      <c r="H986" s="803" t="s">
        <v>17824</v>
      </c>
      <c r="I986" s="804">
        <v>20000</v>
      </c>
      <c r="J986" s="803">
        <v>1</v>
      </c>
      <c r="K986" s="804">
        <f t="shared" si="102"/>
        <v>20000</v>
      </c>
      <c r="L986" s="804">
        <f t="shared" si="103"/>
        <v>20000</v>
      </c>
      <c r="M986" s="804">
        <f t="shared" si="104"/>
        <v>20000</v>
      </c>
      <c r="N986" s="803" t="s">
        <v>18262</v>
      </c>
      <c r="O986" s="805">
        <f t="shared" si="105"/>
        <v>20000</v>
      </c>
      <c r="P986" s="805">
        <f t="shared" si="106"/>
        <v>20000</v>
      </c>
      <c r="Q986" s="806">
        <f t="shared" si="107"/>
        <v>20000</v>
      </c>
    </row>
    <row r="987" spans="1:17" x14ac:dyDescent="0.2">
      <c r="A987" s="797" t="s">
        <v>18403</v>
      </c>
      <c r="B987" s="798" t="s">
        <v>18404</v>
      </c>
      <c r="C987" s="798" t="s">
        <v>18405</v>
      </c>
      <c r="D987" s="798" t="s">
        <v>18406</v>
      </c>
      <c r="E987" s="798" t="s">
        <v>18019</v>
      </c>
      <c r="F987" s="798">
        <v>1</v>
      </c>
      <c r="G987" s="798" t="s">
        <v>2837</v>
      </c>
      <c r="H987" s="798" t="s">
        <v>2837</v>
      </c>
      <c r="I987" s="799">
        <v>1000</v>
      </c>
      <c r="J987" s="798">
        <v>1</v>
      </c>
      <c r="K987" s="799">
        <v>1000</v>
      </c>
      <c r="L987" s="799">
        <v>150000</v>
      </c>
      <c r="M987" s="799">
        <f t="shared" si="104"/>
        <v>1000</v>
      </c>
      <c r="N987" s="798" t="s">
        <v>10772</v>
      </c>
      <c r="O987" s="800">
        <f t="shared" si="105"/>
        <v>1000</v>
      </c>
      <c r="P987" s="800">
        <f t="shared" si="106"/>
        <v>150000</v>
      </c>
      <c r="Q987" s="801">
        <f t="shared" si="107"/>
        <v>1000</v>
      </c>
    </row>
    <row r="988" spans="1:17" x14ac:dyDescent="0.2">
      <c r="A988" s="802" t="s">
        <v>18407</v>
      </c>
      <c r="B988" s="803" t="s">
        <v>18404</v>
      </c>
      <c r="C988" s="803" t="s">
        <v>18405</v>
      </c>
      <c r="D988" s="803" t="s">
        <v>18408</v>
      </c>
      <c r="E988" s="803" t="s">
        <v>18019</v>
      </c>
      <c r="F988" s="803">
        <v>1</v>
      </c>
      <c r="G988" s="803" t="s">
        <v>3779</v>
      </c>
      <c r="H988" s="803" t="s">
        <v>3779</v>
      </c>
      <c r="I988" s="804">
        <v>1000</v>
      </c>
      <c r="J988" s="803">
        <v>1</v>
      </c>
      <c r="K988" s="804">
        <v>150000</v>
      </c>
      <c r="L988" s="804">
        <f t="shared" ref="L988:L997" si="108">+I988</f>
        <v>1000</v>
      </c>
      <c r="M988" s="804">
        <f t="shared" si="104"/>
        <v>1000</v>
      </c>
      <c r="N988" s="803" t="s">
        <v>18262</v>
      </c>
      <c r="O988" s="805">
        <f t="shared" si="105"/>
        <v>150000</v>
      </c>
      <c r="P988" s="805">
        <f t="shared" si="106"/>
        <v>1000</v>
      </c>
      <c r="Q988" s="806">
        <f t="shared" si="107"/>
        <v>1000</v>
      </c>
    </row>
    <row r="989" spans="1:17" x14ac:dyDescent="0.2">
      <c r="A989" s="797" t="s">
        <v>18409</v>
      </c>
      <c r="B989" s="798" t="s">
        <v>18404</v>
      </c>
      <c r="C989" s="798" t="s">
        <v>18405</v>
      </c>
      <c r="D989" s="798" t="s">
        <v>18410</v>
      </c>
      <c r="E989" s="798" t="s">
        <v>18019</v>
      </c>
      <c r="F989" s="798">
        <v>1</v>
      </c>
      <c r="G989" s="798" t="s">
        <v>2837</v>
      </c>
      <c r="H989" s="798" t="s">
        <v>17824</v>
      </c>
      <c r="I989" s="799">
        <v>1000</v>
      </c>
      <c r="J989" s="798">
        <v>1</v>
      </c>
      <c r="K989" s="799">
        <f t="shared" ref="K989:K997" si="109">+I989</f>
        <v>1000</v>
      </c>
      <c r="L989" s="799">
        <f t="shared" si="108"/>
        <v>1000</v>
      </c>
      <c r="M989" s="799">
        <f t="shared" si="104"/>
        <v>1000</v>
      </c>
      <c r="N989" s="798" t="s">
        <v>18411</v>
      </c>
      <c r="O989" s="800">
        <f t="shared" si="105"/>
        <v>1000</v>
      </c>
      <c r="P989" s="800">
        <f t="shared" si="106"/>
        <v>1000</v>
      </c>
      <c r="Q989" s="801">
        <f t="shared" si="107"/>
        <v>1000</v>
      </c>
    </row>
    <row r="990" spans="1:17" x14ac:dyDescent="0.2">
      <c r="A990" s="802" t="s">
        <v>18412</v>
      </c>
      <c r="B990" s="803" t="s">
        <v>18017</v>
      </c>
      <c r="C990" s="803" t="s">
        <v>14158</v>
      </c>
      <c r="D990" s="803" t="s">
        <v>18413</v>
      </c>
      <c r="E990" s="803" t="s">
        <v>18019</v>
      </c>
      <c r="F990" s="803">
        <v>1</v>
      </c>
      <c r="G990" s="803" t="s">
        <v>3779</v>
      </c>
      <c r="H990" s="803" t="s">
        <v>2837</v>
      </c>
      <c r="I990" s="804">
        <v>1500</v>
      </c>
      <c r="J990" s="803">
        <v>1</v>
      </c>
      <c r="K990" s="804">
        <f t="shared" si="109"/>
        <v>1500</v>
      </c>
      <c r="L990" s="804">
        <f t="shared" si="108"/>
        <v>1500</v>
      </c>
      <c r="M990" s="804">
        <f t="shared" si="104"/>
        <v>1500</v>
      </c>
      <c r="N990" s="803" t="s">
        <v>18020</v>
      </c>
      <c r="O990" s="805">
        <f t="shared" si="105"/>
        <v>1500</v>
      </c>
      <c r="P990" s="805">
        <f t="shared" si="106"/>
        <v>1500</v>
      </c>
      <c r="Q990" s="806">
        <f t="shared" si="107"/>
        <v>1500</v>
      </c>
    </row>
    <row r="991" spans="1:17" x14ac:dyDescent="0.2">
      <c r="A991" s="797" t="s">
        <v>18414</v>
      </c>
      <c r="B991" s="798" t="s">
        <v>18017</v>
      </c>
      <c r="C991" s="798" t="s">
        <v>14158</v>
      </c>
      <c r="D991" s="798" t="s">
        <v>18415</v>
      </c>
      <c r="E991" s="798" t="s">
        <v>18019</v>
      </c>
      <c r="F991" s="798">
        <v>1</v>
      </c>
      <c r="G991" s="798" t="s">
        <v>3779</v>
      </c>
      <c r="H991" s="798" t="s">
        <v>2837</v>
      </c>
      <c r="I991" s="799">
        <v>1600</v>
      </c>
      <c r="J991" s="798">
        <v>1</v>
      </c>
      <c r="K991" s="799">
        <f t="shared" si="109"/>
        <v>1600</v>
      </c>
      <c r="L991" s="799">
        <f t="shared" si="108"/>
        <v>1600</v>
      </c>
      <c r="M991" s="799">
        <f t="shared" si="104"/>
        <v>1600</v>
      </c>
      <c r="N991" s="798" t="s">
        <v>18020</v>
      </c>
      <c r="O991" s="800">
        <f t="shared" si="105"/>
        <v>1600</v>
      </c>
      <c r="P991" s="800">
        <f t="shared" si="106"/>
        <v>1600</v>
      </c>
      <c r="Q991" s="801">
        <f t="shared" si="107"/>
        <v>1600</v>
      </c>
    </row>
    <row r="992" spans="1:17" x14ac:dyDescent="0.2">
      <c r="A992" s="802" t="s">
        <v>18416</v>
      </c>
      <c r="B992" s="803" t="s">
        <v>18017</v>
      </c>
      <c r="C992" s="803" t="s">
        <v>14158</v>
      </c>
      <c r="D992" s="803" t="s">
        <v>18417</v>
      </c>
      <c r="E992" s="803" t="s">
        <v>18031</v>
      </c>
      <c r="F992" s="803">
        <v>1</v>
      </c>
      <c r="G992" s="803" t="s">
        <v>3779</v>
      </c>
      <c r="H992" s="803" t="s">
        <v>2837</v>
      </c>
      <c r="I992" s="804">
        <v>2000</v>
      </c>
      <c r="J992" s="803">
        <v>1</v>
      </c>
      <c r="K992" s="804">
        <f t="shared" si="109"/>
        <v>2000</v>
      </c>
      <c r="L992" s="804">
        <f t="shared" si="108"/>
        <v>2000</v>
      </c>
      <c r="M992" s="804">
        <f t="shared" si="104"/>
        <v>2000</v>
      </c>
      <c r="N992" s="803" t="s">
        <v>18020</v>
      </c>
      <c r="O992" s="805">
        <f t="shared" si="105"/>
        <v>2000</v>
      </c>
      <c r="P992" s="805">
        <f t="shared" si="106"/>
        <v>2000</v>
      </c>
      <c r="Q992" s="806">
        <f t="shared" si="107"/>
        <v>2000</v>
      </c>
    </row>
    <row r="993" spans="1:17" x14ac:dyDescent="0.2">
      <c r="A993" s="797" t="s">
        <v>18418</v>
      </c>
      <c r="B993" s="798" t="s">
        <v>18017</v>
      </c>
      <c r="C993" s="798" t="s">
        <v>14158</v>
      </c>
      <c r="D993" s="798" t="s">
        <v>18417</v>
      </c>
      <c r="E993" s="798" t="s">
        <v>18033</v>
      </c>
      <c r="F993" s="798">
        <v>2</v>
      </c>
      <c r="G993" s="798" t="s">
        <v>3779</v>
      </c>
      <c r="H993" s="798" t="s">
        <v>2837</v>
      </c>
      <c r="I993" s="799">
        <v>5200</v>
      </c>
      <c r="J993" s="798">
        <v>1</v>
      </c>
      <c r="K993" s="799">
        <f t="shared" si="109"/>
        <v>5200</v>
      </c>
      <c r="L993" s="799">
        <f t="shared" si="108"/>
        <v>5200</v>
      </c>
      <c r="M993" s="799">
        <f t="shared" si="104"/>
        <v>5200</v>
      </c>
      <c r="N993" s="798" t="s">
        <v>18020</v>
      </c>
      <c r="O993" s="800">
        <f t="shared" si="105"/>
        <v>5200</v>
      </c>
      <c r="P993" s="800">
        <f t="shared" si="106"/>
        <v>5200</v>
      </c>
      <c r="Q993" s="801">
        <f t="shared" si="107"/>
        <v>5200</v>
      </c>
    </row>
    <row r="994" spans="1:17" x14ac:dyDescent="0.2">
      <c r="A994" s="802" t="s">
        <v>18419</v>
      </c>
      <c r="B994" s="803" t="s">
        <v>18017</v>
      </c>
      <c r="C994" s="803" t="s">
        <v>14158</v>
      </c>
      <c r="D994" s="803" t="s">
        <v>18420</v>
      </c>
      <c r="E994" s="803" t="s">
        <v>18031</v>
      </c>
      <c r="F994" s="803">
        <v>1</v>
      </c>
      <c r="G994" s="803" t="s">
        <v>3779</v>
      </c>
      <c r="H994" s="803" t="s">
        <v>2837</v>
      </c>
      <c r="I994" s="804">
        <v>2500</v>
      </c>
      <c r="J994" s="803">
        <v>1</v>
      </c>
      <c r="K994" s="804">
        <f t="shared" si="109"/>
        <v>2500</v>
      </c>
      <c r="L994" s="804">
        <f t="shared" si="108"/>
        <v>2500</v>
      </c>
      <c r="M994" s="804">
        <f t="shared" si="104"/>
        <v>2500</v>
      </c>
      <c r="N994" s="803" t="s">
        <v>18020</v>
      </c>
      <c r="O994" s="805">
        <f t="shared" si="105"/>
        <v>2500</v>
      </c>
      <c r="P994" s="805">
        <f t="shared" si="106"/>
        <v>2500</v>
      </c>
      <c r="Q994" s="806">
        <f t="shared" si="107"/>
        <v>2500</v>
      </c>
    </row>
    <row r="995" spans="1:17" x14ac:dyDescent="0.2">
      <c r="A995" s="797" t="s">
        <v>18421</v>
      </c>
      <c r="B995" s="798" t="s">
        <v>18017</v>
      </c>
      <c r="C995" s="798" t="s">
        <v>14158</v>
      </c>
      <c r="D995" s="798" t="s">
        <v>18420</v>
      </c>
      <c r="E995" s="798" t="s">
        <v>18033</v>
      </c>
      <c r="F995" s="798">
        <v>2</v>
      </c>
      <c r="G995" s="798" t="s">
        <v>3779</v>
      </c>
      <c r="H995" s="798" t="s">
        <v>2837</v>
      </c>
      <c r="I995" s="799">
        <v>7800</v>
      </c>
      <c r="J995" s="798">
        <v>1</v>
      </c>
      <c r="K995" s="799">
        <f t="shared" si="109"/>
        <v>7800</v>
      </c>
      <c r="L995" s="799">
        <f t="shared" si="108"/>
        <v>7800</v>
      </c>
      <c r="M995" s="799">
        <f t="shared" si="104"/>
        <v>7800</v>
      </c>
      <c r="N995" s="798" t="s">
        <v>18037</v>
      </c>
      <c r="O995" s="800">
        <f t="shared" si="105"/>
        <v>7800</v>
      </c>
      <c r="P995" s="800">
        <f t="shared" si="106"/>
        <v>7800</v>
      </c>
      <c r="Q995" s="801">
        <f t="shared" si="107"/>
        <v>7800</v>
      </c>
    </row>
    <row r="996" spans="1:17" x14ac:dyDescent="0.2">
      <c r="A996" s="802" t="s">
        <v>18422</v>
      </c>
      <c r="B996" s="803" t="s">
        <v>18017</v>
      </c>
      <c r="C996" s="803" t="s">
        <v>14158</v>
      </c>
      <c r="D996" s="803" t="s">
        <v>18420</v>
      </c>
      <c r="E996" s="803" t="s">
        <v>18039</v>
      </c>
      <c r="F996" s="803">
        <v>3</v>
      </c>
      <c r="G996" s="803" t="s">
        <v>3779</v>
      </c>
      <c r="H996" s="803" t="s">
        <v>2837</v>
      </c>
      <c r="I996" s="804">
        <v>9500</v>
      </c>
      <c r="J996" s="803">
        <v>1</v>
      </c>
      <c r="K996" s="804">
        <f t="shared" si="109"/>
        <v>9500</v>
      </c>
      <c r="L996" s="804">
        <f t="shared" si="108"/>
        <v>9500</v>
      </c>
      <c r="M996" s="804">
        <f t="shared" si="104"/>
        <v>9500</v>
      </c>
      <c r="N996" s="803" t="s">
        <v>18037</v>
      </c>
      <c r="O996" s="805">
        <f t="shared" si="105"/>
        <v>9500</v>
      </c>
      <c r="P996" s="805">
        <f t="shared" si="106"/>
        <v>9500</v>
      </c>
      <c r="Q996" s="806">
        <f t="shared" si="107"/>
        <v>9500</v>
      </c>
    </row>
    <row r="997" spans="1:17" x14ac:dyDescent="0.2">
      <c r="A997" s="797" t="s">
        <v>18423</v>
      </c>
      <c r="B997" s="798" t="s">
        <v>18017</v>
      </c>
      <c r="C997" s="798" t="s">
        <v>14158</v>
      </c>
      <c r="D997" s="798" t="s">
        <v>18420</v>
      </c>
      <c r="E997" s="798" t="s">
        <v>18041</v>
      </c>
      <c r="F997" s="798">
        <v>4</v>
      </c>
      <c r="G997" s="798" t="s">
        <v>3779</v>
      </c>
      <c r="H997" s="798" t="s">
        <v>2837</v>
      </c>
      <c r="I997" s="799">
        <v>15000</v>
      </c>
      <c r="J997" s="798">
        <v>1</v>
      </c>
      <c r="K997" s="799">
        <f t="shared" si="109"/>
        <v>15000</v>
      </c>
      <c r="L997" s="799">
        <f t="shared" si="108"/>
        <v>15000</v>
      </c>
      <c r="M997" s="799">
        <f t="shared" si="104"/>
        <v>15000</v>
      </c>
      <c r="N997" s="798" t="s">
        <v>18042</v>
      </c>
      <c r="O997" s="800">
        <f t="shared" si="105"/>
        <v>15000</v>
      </c>
      <c r="P997" s="800">
        <f t="shared" si="106"/>
        <v>15000</v>
      </c>
      <c r="Q997" s="801">
        <f t="shared" si="107"/>
        <v>15000</v>
      </c>
    </row>
    <row r="998" spans="1:17" x14ac:dyDescent="0.2">
      <c r="A998" s="802" t="s">
        <v>18424</v>
      </c>
      <c r="B998" s="803" t="s">
        <v>18017</v>
      </c>
      <c r="C998" s="803" t="s">
        <v>14158</v>
      </c>
      <c r="D998" s="803" t="s">
        <v>18420</v>
      </c>
      <c r="E998" s="803" t="s">
        <v>18212</v>
      </c>
      <c r="F998" s="803">
        <v>5</v>
      </c>
      <c r="G998" s="803" t="s">
        <v>3779</v>
      </c>
      <c r="H998" s="803" t="s">
        <v>2837</v>
      </c>
      <c r="I998" s="804">
        <v>22000</v>
      </c>
      <c r="J998" s="803">
        <v>1</v>
      </c>
      <c r="K998" s="804">
        <v>100000</v>
      </c>
      <c r="L998" s="804">
        <v>100000</v>
      </c>
      <c r="M998" s="804">
        <f t="shared" si="104"/>
        <v>22000</v>
      </c>
      <c r="N998" s="803" t="s">
        <v>18042</v>
      </c>
      <c r="O998" s="805">
        <f t="shared" si="105"/>
        <v>100000</v>
      </c>
      <c r="P998" s="805">
        <f t="shared" si="106"/>
        <v>100000</v>
      </c>
      <c r="Q998" s="806">
        <f t="shared" si="107"/>
        <v>22000</v>
      </c>
    </row>
    <row r="999" spans="1:17" x14ac:dyDescent="0.2">
      <c r="A999" s="797" t="s">
        <v>18425</v>
      </c>
      <c r="B999" s="798" t="s">
        <v>18017</v>
      </c>
      <c r="C999" s="798" t="s">
        <v>14158</v>
      </c>
      <c r="D999" s="798" t="s">
        <v>18420</v>
      </c>
      <c r="E999" s="798" t="s">
        <v>18214</v>
      </c>
      <c r="F999" s="798">
        <v>6</v>
      </c>
      <c r="G999" s="798" t="s">
        <v>3779</v>
      </c>
      <c r="H999" s="798" t="s">
        <v>2837</v>
      </c>
      <c r="I999" s="799">
        <v>31000</v>
      </c>
      <c r="J999" s="798">
        <v>1</v>
      </c>
      <c r="K999" s="799">
        <v>100000</v>
      </c>
      <c r="L999" s="799">
        <v>100000</v>
      </c>
      <c r="M999" s="799">
        <f t="shared" si="104"/>
        <v>31000</v>
      </c>
      <c r="N999" s="798" t="s">
        <v>18215</v>
      </c>
      <c r="O999" s="800">
        <f t="shared" si="105"/>
        <v>100000</v>
      </c>
      <c r="P999" s="800">
        <f t="shared" si="106"/>
        <v>100000</v>
      </c>
      <c r="Q999" s="801">
        <f t="shared" si="107"/>
        <v>31000</v>
      </c>
    </row>
    <row r="1000" spans="1:17" x14ac:dyDescent="0.2">
      <c r="A1000" s="802" t="s">
        <v>18426</v>
      </c>
      <c r="B1000" s="803" t="s">
        <v>18017</v>
      </c>
      <c r="C1000" s="803" t="s">
        <v>14158</v>
      </c>
      <c r="D1000" s="803" t="s">
        <v>18420</v>
      </c>
      <c r="E1000" s="803" t="s">
        <v>18217</v>
      </c>
      <c r="F1000" s="803">
        <v>7</v>
      </c>
      <c r="G1000" s="803" t="s">
        <v>3779</v>
      </c>
      <c r="H1000" s="803" t="s">
        <v>2837</v>
      </c>
      <c r="I1000" s="804">
        <v>37000</v>
      </c>
      <c r="J1000" s="803">
        <v>1</v>
      </c>
      <c r="K1000" s="804">
        <v>100000</v>
      </c>
      <c r="L1000" s="804">
        <v>100000</v>
      </c>
      <c r="M1000" s="804">
        <f t="shared" si="104"/>
        <v>37000</v>
      </c>
      <c r="N1000" s="803" t="s">
        <v>18215</v>
      </c>
      <c r="O1000" s="805">
        <f t="shared" si="105"/>
        <v>100000</v>
      </c>
      <c r="P1000" s="805">
        <f t="shared" si="106"/>
        <v>100000</v>
      </c>
      <c r="Q1000" s="806">
        <f t="shared" si="107"/>
        <v>37000</v>
      </c>
    </row>
    <row r="1001" spans="1:17" x14ac:dyDescent="0.2">
      <c r="A1001" s="797" t="s">
        <v>18427</v>
      </c>
      <c r="B1001" s="798" t="s">
        <v>18241</v>
      </c>
      <c r="C1001" s="798" t="s">
        <v>18428</v>
      </c>
      <c r="D1001" s="798" t="s">
        <v>18429</v>
      </c>
      <c r="E1001" s="798" t="s">
        <v>18019</v>
      </c>
      <c r="F1001" s="798">
        <v>1</v>
      </c>
      <c r="G1001" s="798" t="s">
        <v>122</v>
      </c>
      <c r="H1001" s="798" t="s">
        <v>17824</v>
      </c>
      <c r="I1001" s="799">
        <v>1500</v>
      </c>
      <c r="J1001" s="798">
        <v>1</v>
      </c>
      <c r="K1001" s="799">
        <f t="shared" ref="K1001:K1011" si="110">+I1001</f>
        <v>1500</v>
      </c>
      <c r="L1001" s="799">
        <f t="shared" ref="L1001:L1011" si="111">+I1001</f>
        <v>1500</v>
      </c>
      <c r="M1001" s="799">
        <f t="shared" si="104"/>
        <v>1500</v>
      </c>
      <c r="N1001" s="798" t="s">
        <v>18020</v>
      </c>
      <c r="O1001" s="800">
        <f t="shared" si="105"/>
        <v>1500</v>
      </c>
      <c r="P1001" s="800">
        <f t="shared" si="106"/>
        <v>1500</v>
      </c>
      <c r="Q1001" s="801">
        <f t="shared" si="107"/>
        <v>1500</v>
      </c>
    </row>
    <row r="1002" spans="1:17" x14ac:dyDescent="0.2">
      <c r="A1002" s="802" t="s">
        <v>18430</v>
      </c>
      <c r="B1002" s="803" t="s">
        <v>18241</v>
      </c>
      <c r="C1002" s="803" t="s">
        <v>18428</v>
      </c>
      <c r="D1002" s="803" t="s">
        <v>18431</v>
      </c>
      <c r="E1002" s="803" t="s">
        <v>18019</v>
      </c>
      <c r="F1002" s="803">
        <v>1</v>
      </c>
      <c r="G1002" s="803" t="s">
        <v>10772</v>
      </c>
      <c r="H1002" s="803" t="s">
        <v>17824</v>
      </c>
      <c r="I1002" s="804">
        <v>100</v>
      </c>
      <c r="J1002" s="803">
        <v>1</v>
      </c>
      <c r="K1002" s="804">
        <f t="shared" si="110"/>
        <v>100</v>
      </c>
      <c r="L1002" s="804">
        <f t="shared" si="111"/>
        <v>100</v>
      </c>
      <c r="M1002" s="804">
        <f t="shared" si="104"/>
        <v>100</v>
      </c>
      <c r="N1002" s="803" t="s">
        <v>18020</v>
      </c>
      <c r="O1002" s="805">
        <f t="shared" si="105"/>
        <v>100</v>
      </c>
      <c r="P1002" s="805">
        <f t="shared" si="106"/>
        <v>100</v>
      </c>
      <c r="Q1002" s="806">
        <f t="shared" si="107"/>
        <v>100</v>
      </c>
    </row>
    <row r="1003" spans="1:17" x14ac:dyDescent="0.2">
      <c r="A1003" s="797" t="s">
        <v>18432</v>
      </c>
      <c r="B1003" s="798" t="s">
        <v>18241</v>
      </c>
      <c r="C1003" s="798" t="s">
        <v>18428</v>
      </c>
      <c r="D1003" s="798" t="s">
        <v>18433</v>
      </c>
      <c r="E1003" s="798" t="s">
        <v>18019</v>
      </c>
      <c r="F1003" s="798">
        <v>1</v>
      </c>
      <c r="G1003" s="798" t="s">
        <v>122</v>
      </c>
      <c r="H1003" s="798" t="s">
        <v>17824</v>
      </c>
      <c r="I1003" s="799">
        <v>1500</v>
      </c>
      <c r="J1003" s="798">
        <v>1</v>
      </c>
      <c r="K1003" s="799">
        <f t="shared" si="110"/>
        <v>1500</v>
      </c>
      <c r="L1003" s="799">
        <f t="shared" si="111"/>
        <v>1500</v>
      </c>
      <c r="M1003" s="799">
        <f t="shared" si="104"/>
        <v>1500</v>
      </c>
      <c r="N1003" s="798" t="s">
        <v>18020</v>
      </c>
      <c r="O1003" s="800">
        <f t="shared" si="105"/>
        <v>1500</v>
      </c>
      <c r="P1003" s="800">
        <f t="shared" si="106"/>
        <v>1500</v>
      </c>
      <c r="Q1003" s="801">
        <f t="shared" si="107"/>
        <v>1500</v>
      </c>
    </row>
    <row r="1004" spans="1:17" x14ac:dyDescent="0.2">
      <c r="A1004" s="802" t="s">
        <v>18434</v>
      </c>
      <c r="B1004" s="803" t="s">
        <v>18241</v>
      </c>
      <c r="C1004" s="803" t="s">
        <v>18428</v>
      </c>
      <c r="D1004" s="803" t="s">
        <v>18435</v>
      </c>
      <c r="E1004" s="803" t="s">
        <v>18019</v>
      </c>
      <c r="F1004" s="803">
        <v>1</v>
      </c>
      <c r="G1004" s="803" t="s">
        <v>10772</v>
      </c>
      <c r="H1004" s="803" t="s">
        <v>17824</v>
      </c>
      <c r="I1004" s="804">
        <v>100</v>
      </c>
      <c r="J1004" s="803">
        <v>1</v>
      </c>
      <c r="K1004" s="804">
        <f t="shared" si="110"/>
        <v>100</v>
      </c>
      <c r="L1004" s="804">
        <f t="shared" si="111"/>
        <v>100</v>
      </c>
      <c r="M1004" s="804">
        <f t="shared" si="104"/>
        <v>100</v>
      </c>
      <c r="N1004" s="803" t="s">
        <v>18020</v>
      </c>
      <c r="O1004" s="805">
        <f t="shared" si="105"/>
        <v>100</v>
      </c>
      <c r="P1004" s="805">
        <f t="shared" si="106"/>
        <v>100</v>
      </c>
      <c r="Q1004" s="806">
        <f t="shared" si="107"/>
        <v>100</v>
      </c>
    </row>
    <row r="1005" spans="1:17" x14ac:dyDescent="0.2">
      <c r="A1005" s="797" t="s">
        <v>18436</v>
      </c>
      <c r="B1005" s="798" t="s">
        <v>18241</v>
      </c>
      <c r="C1005" s="798" t="s">
        <v>18428</v>
      </c>
      <c r="D1005" s="798" t="s">
        <v>18437</v>
      </c>
      <c r="E1005" s="798" t="s">
        <v>18019</v>
      </c>
      <c r="F1005" s="798">
        <v>1</v>
      </c>
      <c r="G1005" s="798" t="s">
        <v>10772</v>
      </c>
      <c r="H1005" s="798" t="s">
        <v>17824</v>
      </c>
      <c r="I1005" s="799">
        <v>100</v>
      </c>
      <c r="J1005" s="798">
        <v>1</v>
      </c>
      <c r="K1005" s="799">
        <f t="shared" si="110"/>
        <v>100</v>
      </c>
      <c r="L1005" s="799">
        <f t="shared" si="111"/>
        <v>100</v>
      </c>
      <c r="M1005" s="799">
        <f t="shared" si="104"/>
        <v>100</v>
      </c>
      <c r="N1005" s="798" t="s">
        <v>18020</v>
      </c>
      <c r="O1005" s="800">
        <f t="shared" si="105"/>
        <v>100</v>
      </c>
      <c r="P1005" s="800">
        <f t="shared" si="106"/>
        <v>100</v>
      </c>
      <c r="Q1005" s="801">
        <f t="shared" si="107"/>
        <v>100</v>
      </c>
    </row>
    <row r="1006" spans="1:17" x14ac:dyDescent="0.2">
      <c r="A1006" s="802" t="s">
        <v>18438</v>
      </c>
      <c r="B1006" s="803" t="s">
        <v>18241</v>
      </c>
      <c r="C1006" s="803" t="s">
        <v>18428</v>
      </c>
      <c r="D1006" s="803" t="s">
        <v>18439</v>
      </c>
      <c r="E1006" s="803" t="s">
        <v>18440</v>
      </c>
      <c r="F1006" s="803">
        <v>1</v>
      </c>
      <c r="G1006" s="803" t="s">
        <v>10772</v>
      </c>
      <c r="H1006" s="803" t="s">
        <v>17824</v>
      </c>
      <c r="I1006" s="804">
        <v>2000</v>
      </c>
      <c r="J1006" s="803">
        <v>1</v>
      </c>
      <c r="K1006" s="804">
        <f t="shared" si="110"/>
        <v>2000</v>
      </c>
      <c r="L1006" s="804">
        <f t="shared" si="111"/>
        <v>2000</v>
      </c>
      <c r="M1006" s="804">
        <f t="shared" si="104"/>
        <v>2000</v>
      </c>
      <c r="N1006" s="803" t="s">
        <v>18020</v>
      </c>
      <c r="O1006" s="805">
        <f t="shared" si="105"/>
        <v>2000</v>
      </c>
      <c r="P1006" s="805">
        <f t="shared" si="106"/>
        <v>2000</v>
      </c>
      <c r="Q1006" s="806">
        <f t="shared" si="107"/>
        <v>2000</v>
      </c>
    </row>
    <row r="1007" spans="1:17" x14ac:dyDescent="0.2">
      <c r="A1007" s="797" t="s">
        <v>18441</v>
      </c>
      <c r="B1007" s="798" t="s">
        <v>18241</v>
      </c>
      <c r="C1007" s="798" t="s">
        <v>18428</v>
      </c>
      <c r="D1007" s="798" t="s">
        <v>18439</v>
      </c>
      <c r="E1007" s="798" t="s">
        <v>18442</v>
      </c>
      <c r="F1007" s="798">
        <v>2</v>
      </c>
      <c r="G1007" s="798" t="s">
        <v>10772</v>
      </c>
      <c r="H1007" s="798" t="s">
        <v>17824</v>
      </c>
      <c r="I1007" s="799">
        <v>5200</v>
      </c>
      <c r="J1007" s="798">
        <v>1</v>
      </c>
      <c r="K1007" s="799">
        <f t="shared" si="110"/>
        <v>5200</v>
      </c>
      <c r="L1007" s="799">
        <f t="shared" si="111"/>
        <v>5200</v>
      </c>
      <c r="M1007" s="799">
        <f t="shared" si="104"/>
        <v>5200</v>
      </c>
      <c r="N1007" s="798" t="s">
        <v>18037</v>
      </c>
      <c r="O1007" s="800">
        <f t="shared" si="105"/>
        <v>5200</v>
      </c>
      <c r="P1007" s="800">
        <f t="shared" si="106"/>
        <v>5200</v>
      </c>
      <c r="Q1007" s="801">
        <f t="shared" si="107"/>
        <v>5200</v>
      </c>
    </row>
    <row r="1008" spans="1:17" x14ac:dyDescent="0.2">
      <c r="A1008" s="802" t="s">
        <v>18443</v>
      </c>
      <c r="B1008" s="803" t="s">
        <v>18241</v>
      </c>
      <c r="C1008" s="803" t="s">
        <v>18428</v>
      </c>
      <c r="D1008" s="803" t="s">
        <v>18444</v>
      </c>
      <c r="E1008" s="803" t="s">
        <v>18445</v>
      </c>
      <c r="F1008" s="803">
        <v>1</v>
      </c>
      <c r="G1008" s="803" t="s">
        <v>10772</v>
      </c>
      <c r="H1008" s="803" t="s">
        <v>17824</v>
      </c>
      <c r="I1008" s="804">
        <v>2500</v>
      </c>
      <c r="J1008" s="803">
        <v>1</v>
      </c>
      <c r="K1008" s="804">
        <f t="shared" si="110"/>
        <v>2500</v>
      </c>
      <c r="L1008" s="804">
        <f t="shared" si="111"/>
        <v>2500</v>
      </c>
      <c r="M1008" s="804">
        <f t="shared" si="104"/>
        <v>2500</v>
      </c>
      <c r="N1008" s="803" t="s">
        <v>18020</v>
      </c>
      <c r="O1008" s="805">
        <f t="shared" si="105"/>
        <v>2500</v>
      </c>
      <c r="P1008" s="805">
        <f t="shared" si="106"/>
        <v>2500</v>
      </c>
      <c r="Q1008" s="806">
        <f t="shared" si="107"/>
        <v>2500</v>
      </c>
    </row>
    <row r="1009" spans="1:17" x14ac:dyDescent="0.2">
      <c r="A1009" s="797" t="s">
        <v>18446</v>
      </c>
      <c r="B1009" s="798" t="s">
        <v>18241</v>
      </c>
      <c r="C1009" s="798" t="s">
        <v>18428</v>
      </c>
      <c r="D1009" s="798" t="s">
        <v>18444</v>
      </c>
      <c r="E1009" s="798" t="s">
        <v>18447</v>
      </c>
      <c r="F1009" s="798">
        <v>2</v>
      </c>
      <c r="G1009" s="798" t="s">
        <v>10772</v>
      </c>
      <c r="H1009" s="798" t="s">
        <v>17824</v>
      </c>
      <c r="I1009" s="799">
        <v>7800</v>
      </c>
      <c r="J1009" s="798">
        <v>1</v>
      </c>
      <c r="K1009" s="799">
        <f t="shared" si="110"/>
        <v>7800</v>
      </c>
      <c r="L1009" s="799">
        <f t="shared" si="111"/>
        <v>7800</v>
      </c>
      <c r="M1009" s="799">
        <f t="shared" si="104"/>
        <v>7800</v>
      </c>
      <c r="N1009" s="798" t="s">
        <v>18037</v>
      </c>
      <c r="O1009" s="800">
        <f t="shared" si="105"/>
        <v>7800</v>
      </c>
      <c r="P1009" s="800">
        <f t="shared" si="106"/>
        <v>7800</v>
      </c>
      <c r="Q1009" s="801">
        <f t="shared" si="107"/>
        <v>7800</v>
      </c>
    </row>
    <row r="1010" spans="1:17" x14ac:dyDescent="0.2">
      <c r="A1010" s="802" t="s">
        <v>18448</v>
      </c>
      <c r="B1010" s="803" t="s">
        <v>18241</v>
      </c>
      <c r="C1010" s="803" t="s">
        <v>18428</v>
      </c>
      <c r="D1010" s="803" t="s">
        <v>18444</v>
      </c>
      <c r="E1010" s="803" t="s">
        <v>18039</v>
      </c>
      <c r="F1010" s="803">
        <v>3</v>
      </c>
      <c r="G1010" s="803" t="s">
        <v>10772</v>
      </c>
      <c r="H1010" s="803" t="s">
        <v>17824</v>
      </c>
      <c r="I1010" s="804">
        <v>9500</v>
      </c>
      <c r="J1010" s="803">
        <v>1</v>
      </c>
      <c r="K1010" s="804">
        <f t="shared" si="110"/>
        <v>9500</v>
      </c>
      <c r="L1010" s="804">
        <f t="shared" si="111"/>
        <v>9500</v>
      </c>
      <c r="M1010" s="804">
        <f t="shared" si="104"/>
        <v>9500</v>
      </c>
      <c r="N1010" s="803" t="s">
        <v>18042</v>
      </c>
      <c r="O1010" s="805">
        <f t="shared" si="105"/>
        <v>9500</v>
      </c>
      <c r="P1010" s="805">
        <f t="shared" si="106"/>
        <v>9500</v>
      </c>
      <c r="Q1010" s="806">
        <f t="shared" si="107"/>
        <v>9500</v>
      </c>
    </row>
    <row r="1011" spans="1:17" x14ac:dyDescent="0.2">
      <c r="A1011" s="797" t="s">
        <v>18449</v>
      </c>
      <c r="B1011" s="798" t="s">
        <v>18241</v>
      </c>
      <c r="C1011" s="798" t="s">
        <v>18428</v>
      </c>
      <c r="D1011" s="798" t="s">
        <v>18444</v>
      </c>
      <c r="E1011" s="798" t="s">
        <v>18450</v>
      </c>
      <c r="F1011" s="798">
        <v>4</v>
      </c>
      <c r="G1011" s="798" t="s">
        <v>10772</v>
      </c>
      <c r="H1011" s="798" t="s">
        <v>17824</v>
      </c>
      <c r="I1011" s="799">
        <v>15000</v>
      </c>
      <c r="J1011" s="798">
        <v>1</v>
      </c>
      <c r="K1011" s="799">
        <f t="shared" si="110"/>
        <v>15000</v>
      </c>
      <c r="L1011" s="799">
        <f t="shared" si="111"/>
        <v>15000</v>
      </c>
      <c r="M1011" s="799">
        <f t="shared" si="104"/>
        <v>15000</v>
      </c>
      <c r="N1011" s="798" t="s">
        <v>18215</v>
      </c>
      <c r="O1011" s="800">
        <f t="shared" si="105"/>
        <v>15000</v>
      </c>
      <c r="P1011" s="800">
        <f t="shared" si="106"/>
        <v>15000</v>
      </c>
      <c r="Q1011" s="801">
        <f t="shared" si="107"/>
        <v>15000</v>
      </c>
    </row>
    <row r="1012" spans="1:17" x14ac:dyDescent="0.2">
      <c r="A1012" s="802" t="s">
        <v>18451</v>
      </c>
      <c r="B1012" s="803" t="s">
        <v>18241</v>
      </c>
      <c r="C1012" s="803" t="s">
        <v>18428</v>
      </c>
      <c r="D1012" s="803" t="s">
        <v>18444</v>
      </c>
      <c r="E1012" s="803" t="s">
        <v>18452</v>
      </c>
      <c r="F1012" s="803">
        <v>5</v>
      </c>
      <c r="G1012" s="803" t="s">
        <v>10772</v>
      </c>
      <c r="H1012" s="803" t="s">
        <v>17824</v>
      </c>
      <c r="I1012" s="804">
        <v>22000</v>
      </c>
      <c r="J1012" s="803">
        <v>1</v>
      </c>
      <c r="K1012" s="804">
        <v>100000</v>
      </c>
      <c r="L1012" s="804">
        <v>100000</v>
      </c>
      <c r="M1012" s="804">
        <f t="shared" si="104"/>
        <v>22000</v>
      </c>
      <c r="N1012" s="803" t="s">
        <v>18215</v>
      </c>
      <c r="O1012" s="805">
        <f t="shared" si="105"/>
        <v>100000</v>
      </c>
      <c r="P1012" s="805">
        <f t="shared" si="106"/>
        <v>100000</v>
      </c>
      <c r="Q1012" s="806">
        <f t="shared" si="107"/>
        <v>22000</v>
      </c>
    </row>
    <row r="1013" spans="1:17" x14ac:dyDescent="0.2">
      <c r="A1013" s="797" t="s">
        <v>18453</v>
      </c>
      <c r="B1013" s="798" t="s">
        <v>18241</v>
      </c>
      <c r="C1013" s="798" t="s">
        <v>18428</v>
      </c>
      <c r="D1013" s="798" t="s">
        <v>18454</v>
      </c>
      <c r="E1013" s="798" t="s">
        <v>18455</v>
      </c>
      <c r="F1013" s="798">
        <v>1</v>
      </c>
      <c r="G1013" s="798" t="s">
        <v>10772</v>
      </c>
      <c r="H1013" s="798" t="s">
        <v>17824</v>
      </c>
      <c r="I1013" s="799">
        <v>18000</v>
      </c>
      <c r="J1013" s="798">
        <v>1</v>
      </c>
      <c r="K1013" s="799">
        <f t="shared" ref="K1013:K1031" si="112">+I1013</f>
        <v>18000</v>
      </c>
      <c r="L1013" s="799">
        <f t="shared" ref="L1013:L1031" si="113">+I1013</f>
        <v>18000</v>
      </c>
      <c r="M1013" s="799">
        <f t="shared" si="104"/>
        <v>18000</v>
      </c>
      <c r="N1013" s="798" t="s">
        <v>18265</v>
      </c>
      <c r="O1013" s="800">
        <f t="shared" si="105"/>
        <v>18000</v>
      </c>
      <c r="P1013" s="800">
        <f t="shared" si="106"/>
        <v>18000</v>
      </c>
      <c r="Q1013" s="801">
        <f t="shared" si="107"/>
        <v>18000</v>
      </c>
    </row>
    <row r="1014" spans="1:17" x14ac:dyDescent="0.2">
      <c r="A1014" s="802" t="s">
        <v>18456</v>
      </c>
      <c r="B1014" s="803" t="s">
        <v>18241</v>
      </c>
      <c r="C1014" s="803" t="s">
        <v>18428</v>
      </c>
      <c r="D1014" s="803" t="s">
        <v>18454</v>
      </c>
      <c r="E1014" s="803" t="s">
        <v>18457</v>
      </c>
      <c r="F1014" s="803">
        <v>2</v>
      </c>
      <c r="G1014" s="803" t="s">
        <v>10772</v>
      </c>
      <c r="H1014" s="803" t="s">
        <v>17824</v>
      </c>
      <c r="I1014" s="804">
        <v>20000</v>
      </c>
      <c r="J1014" s="803">
        <v>1</v>
      </c>
      <c r="K1014" s="804">
        <f t="shared" si="112"/>
        <v>20000</v>
      </c>
      <c r="L1014" s="804">
        <f t="shared" si="113"/>
        <v>20000</v>
      </c>
      <c r="M1014" s="804">
        <f t="shared" si="104"/>
        <v>20000</v>
      </c>
      <c r="N1014" s="803" t="s">
        <v>18265</v>
      </c>
      <c r="O1014" s="805">
        <f t="shared" si="105"/>
        <v>20000</v>
      </c>
      <c r="P1014" s="805">
        <f t="shared" si="106"/>
        <v>20000</v>
      </c>
      <c r="Q1014" s="806">
        <f t="shared" si="107"/>
        <v>20000</v>
      </c>
    </row>
    <row r="1015" spans="1:17" x14ac:dyDescent="0.2">
      <c r="A1015" s="797" t="s">
        <v>18458</v>
      </c>
      <c r="B1015" s="798" t="s">
        <v>18241</v>
      </c>
      <c r="C1015" s="798" t="s">
        <v>18428</v>
      </c>
      <c r="D1015" s="798" t="s">
        <v>18454</v>
      </c>
      <c r="E1015" s="798" t="s">
        <v>18459</v>
      </c>
      <c r="F1015" s="798">
        <v>3</v>
      </c>
      <c r="G1015" s="798" t="s">
        <v>10772</v>
      </c>
      <c r="H1015" s="798" t="s">
        <v>17824</v>
      </c>
      <c r="I1015" s="799">
        <v>25000</v>
      </c>
      <c r="J1015" s="798">
        <v>1</v>
      </c>
      <c r="K1015" s="799">
        <f t="shared" si="112"/>
        <v>25000</v>
      </c>
      <c r="L1015" s="799">
        <f t="shared" si="113"/>
        <v>25000</v>
      </c>
      <c r="M1015" s="799">
        <f t="shared" si="104"/>
        <v>25000</v>
      </c>
      <c r="N1015" s="798" t="s">
        <v>18265</v>
      </c>
      <c r="O1015" s="800">
        <f t="shared" si="105"/>
        <v>25000</v>
      </c>
      <c r="P1015" s="800">
        <f t="shared" si="106"/>
        <v>25000</v>
      </c>
      <c r="Q1015" s="801">
        <f t="shared" si="107"/>
        <v>25000</v>
      </c>
    </row>
    <row r="1016" spans="1:17" x14ac:dyDescent="0.2">
      <c r="A1016" s="802" t="s">
        <v>18460</v>
      </c>
      <c r="B1016" s="803" t="s">
        <v>18241</v>
      </c>
      <c r="C1016" s="803" t="s">
        <v>18428</v>
      </c>
      <c r="D1016" s="803" t="s">
        <v>18454</v>
      </c>
      <c r="E1016" s="803" t="s">
        <v>18461</v>
      </c>
      <c r="F1016" s="803">
        <v>4</v>
      </c>
      <c r="G1016" s="803" t="s">
        <v>10772</v>
      </c>
      <c r="H1016" s="803" t="s">
        <v>17824</v>
      </c>
      <c r="I1016" s="804">
        <v>26000</v>
      </c>
      <c r="J1016" s="803">
        <v>1</v>
      </c>
      <c r="K1016" s="804">
        <f t="shared" si="112"/>
        <v>26000</v>
      </c>
      <c r="L1016" s="804">
        <f t="shared" si="113"/>
        <v>26000</v>
      </c>
      <c r="M1016" s="804">
        <f t="shared" si="104"/>
        <v>26000</v>
      </c>
      <c r="N1016" s="803" t="s">
        <v>18265</v>
      </c>
      <c r="O1016" s="805">
        <f t="shared" si="105"/>
        <v>26000</v>
      </c>
      <c r="P1016" s="805">
        <f t="shared" si="106"/>
        <v>26000</v>
      </c>
      <c r="Q1016" s="806">
        <f t="shared" si="107"/>
        <v>26000</v>
      </c>
    </row>
    <row r="1017" spans="1:17" x14ac:dyDescent="0.2">
      <c r="A1017" s="797" t="s">
        <v>18462</v>
      </c>
      <c r="B1017" s="798" t="s">
        <v>18046</v>
      </c>
      <c r="C1017" s="798" t="s">
        <v>14181</v>
      </c>
      <c r="D1017" s="798" t="s">
        <v>18463</v>
      </c>
      <c r="E1017" s="798" t="s">
        <v>18019</v>
      </c>
      <c r="F1017" s="798">
        <v>1</v>
      </c>
      <c r="G1017" s="798" t="s">
        <v>122</v>
      </c>
      <c r="H1017" s="798" t="s">
        <v>122</v>
      </c>
      <c r="I1017" s="799">
        <v>1600</v>
      </c>
      <c r="J1017" s="798">
        <v>1</v>
      </c>
      <c r="K1017" s="799">
        <f t="shared" si="112"/>
        <v>1600</v>
      </c>
      <c r="L1017" s="799">
        <f t="shared" si="113"/>
        <v>1600</v>
      </c>
      <c r="M1017" s="799">
        <f t="shared" si="104"/>
        <v>1600</v>
      </c>
      <c r="N1017" s="798" t="s">
        <v>18048</v>
      </c>
      <c r="O1017" s="800">
        <f t="shared" si="105"/>
        <v>1600</v>
      </c>
      <c r="P1017" s="800">
        <f t="shared" si="106"/>
        <v>1600</v>
      </c>
      <c r="Q1017" s="801">
        <f t="shared" si="107"/>
        <v>1600</v>
      </c>
    </row>
    <row r="1018" spans="1:17" x14ac:dyDescent="0.2">
      <c r="A1018" s="802" t="s">
        <v>18464</v>
      </c>
      <c r="B1018" s="803" t="s">
        <v>18046</v>
      </c>
      <c r="C1018" s="803" t="s">
        <v>14181</v>
      </c>
      <c r="D1018" s="803" t="s">
        <v>18465</v>
      </c>
      <c r="E1018" s="803" t="s">
        <v>18019</v>
      </c>
      <c r="F1018" s="803">
        <v>1</v>
      </c>
      <c r="G1018" s="803" t="s">
        <v>122</v>
      </c>
      <c r="H1018" s="803" t="s">
        <v>122</v>
      </c>
      <c r="I1018" s="804">
        <v>1800</v>
      </c>
      <c r="J1018" s="803">
        <v>1</v>
      </c>
      <c r="K1018" s="804">
        <f t="shared" si="112"/>
        <v>1800</v>
      </c>
      <c r="L1018" s="804">
        <f t="shared" si="113"/>
        <v>1800</v>
      </c>
      <c r="M1018" s="804">
        <f t="shared" si="104"/>
        <v>1800</v>
      </c>
      <c r="N1018" s="803" t="s">
        <v>18048</v>
      </c>
      <c r="O1018" s="805">
        <f t="shared" si="105"/>
        <v>1800</v>
      </c>
      <c r="P1018" s="805">
        <f t="shared" si="106"/>
        <v>1800</v>
      </c>
      <c r="Q1018" s="806">
        <f t="shared" si="107"/>
        <v>1800</v>
      </c>
    </row>
    <row r="1019" spans="1:17" x14ac:dyDescent="0.2">
      <c r="A1019" s="797" t="s">
        <v>18466</v>
      </c>
      <c r="B1019" s="798" t="s">
        <v>18046</v>
      </c>
      <c r="C1019" s="798" t="s">
        <v>14181</v>
      </c>
      <c r="D1019" s="798" t="s">
        <v>18467</v>
      </c>
      <c r="E1019" s="798" t="s">
        <v>18031</v>
      </c>
      <c r="F1019" s="798">
        <v>1</v>
      </c>
      <c r="G1019" s="798" t="s">
        <v>122</v>
      </c>
      <c r="H1019" s="798" t="s">
        <v>1103</v>
      </c>
      <c r="I1019" s="799">
        <v>3000</v>
      </c>
      <c r="J1019" s="798">
        <v>1</v>
      </c>
      <c r="K1019" s="799">
        <f t="shared" si="112"/>
        <v>3000</v>
      </c>
      <c r="L1019" s="799">
        <f t="shared" si="113"/>
        <v>3000</v>
      </c>
      <c r="M1019" s="799">
        <f t="shared" si="104"/>
        <v>3000</v>
      </c>
      <c r="N1019" s="798" t="s">
        <v>18048</v>
      </c>
      <c r="O1019" s="800">
        <f t="shared" si="105"/>
        <v>3000</v>
      </c>
      <c r="P1019" s="800">
        <f t="shared" si="106"/>
        <v>3000</v>
      </c>
      <c r="Q1019" s="801">
        <f t="shared" si="107"/>
        <v>3000</v>
      </c>
    </row>
    <row r="1020" spans="1:17" x14ac:dyDescent="0.2">
      <c r="A1020" s="802" t="s">
        <v>18468</v>
      </c>
      <c r="B1020" s="803" t="s">
        <v>18046</v>
      </c>
      <c r="C1020" s="803" t="s">
        <v>14181</v>
      </c>
      <c r="D1020" s="803" t="s">
        <v>18467</v>
      </c>
      <c r="E1020" s="803" t="s">
        <v>18054</v>
      </c>
      <c r="F1020" s="803">
        <v>2</v>
      </c>
      <c r="G1020" s="803" t="s">
        <v>122</v>
      </c>
      <c r="H1020" s="803" t="s">
        <v>1103</v>
      </c>
      <c r="I1020" s="804">
        <v>5000</v>
      </c>
      <c r="J1020" s="803">
        <v>1</v>
      </c>
      <c r="K1020" s="804">
        <f t="shared" si="112"/>
        <v>5000</v>
      </c>
      <c r="L1020" s="804">
        <f t="shared" si="113"/>
        <v>5000</v>
      </c>
      <c r="M1020" s="804">
        <f t="shared" si="104"/>
        <v>5000</v>
      </c>
      <c r="N1020" s="803" t="s">
        <v>18055</v>
      </c>
      <c r="O1020" s="805">
        <f t="shared" si="105"/>
        <v>5000</v>
      </c>
      <c r="P1020" s="805">
        <f t="shared" si="106"/>
        <v>5000</v>
      </c>
      <c r="Q1020" s="806">
        <f t="shared" si="107"/>
        <v>5000</v>
      </c>
    </row>
    <row r="1021" spans="1:17" x14ac:dyDescent="0.2">
      <c r="A1021" s="797" t="s">
        <v>18469</v>
      </c>
      <c r="B1021" s="798" t="s">
        <v>18046</v>
      </c>
      <c r="C1021" s="798" t="s">
        <v>14181</v>
      </c>
      <c r="D1021" s="798" t="s">
        <v>18467</v>
      </c>
      <c r="E1021" s="798" t="s">
        <v>18033</v>
      </c>
      <c r="F1021" s="798">
        <v>3</v>
      </c>
      <c r="G1021" s="798" t="s">
        <v>122</v>
      </c>
      <c r="H1021" s="798" t="s">
        <v>1103</v>
      </c>
      <c r="I1021" s="799">
        <v>7000</v>
      </c>
      <c r="J1021" s="798">
        <v>1</v>
      </c>
      <c r="K1021" s="799">
        <f t="shared" si="112"/>
        <v>7000</v>
      </c>
      <c r="L1021" s="799">
        <f t="shared" si="113"/>
        <v>7000</v>
      </c>
      <c r="M1021" s="799">
        <f t="shared" si="104"/>
        <v>7000</v>
      </c>
      <c r="N1021" s="798" t="s">
        <v>18057</v>
      </c>
      <c r="O1021" s="800">
        <f t="shared" si="105"/>
        <v>7000</v>
      </c>
      <c r="P1021" s="800">
        <f t="shared" si="106"/>
        <v>7000</v>
      </c>
      <c r="Q1021" s="801">
        <f t="shared" si="107"/>
        <v>7000</v>
      </c>
    </row>
    <row r="1022" spans="1:17" x14ac:dyDescent="0.2">
      <c r="A1022" s="802" t="s">
        <v>18470</v>
      </c>
      <c r="B1022" s="803" t="s">
        <v>18046</v>
      </c>
      <c r="C1022" s="803" t="s">
        <v>14181</v>
      </c>
      <c r="D1022" s="803" t="s">
        <v>18471</v>
      </c>
      <c r="E1022" s="803" t="s">
        <v>18033</v>
      </c>
      <c r="F1022" s="803">
        <v>1</v>
      </c>
      <c r="G1022" s="803" t="s">
        <v>122</v>
      </c>
      <c r="H1022" s="803" t="s">
        <v>1103</v>
      </c>
      <c r="I1022" s="804">
        <v>7000</v>
      </c>
      <c r="J1022" s="803">
        <v>1</v>
      </c>
      <c r="K1022" s="804">
        <f t="shared" si="112"/>
        <v>7000</v>
      </c>
      <c r="L1022" s="804">
        <f t="shared" si="113"/>
        <v>7000</v>
      </c>
      <c r="M1022" s="804">
        <f t="shared" si="104"/>
        <v>7000</v>
      </c>
      <c r="N1022" s="803" t="s">
        <v>18057</v>
      </c>
      <c r="O1022" s="805">
        <f t="shared" si="105"/>
        <v>7000</v>
      </c>
      <c r="P1022" s="805">
        <f t="shared" si="106"/>
        <v>7000</v>
      </c>
      <c r="Q1022" s="806">
        <f t="shared" si="107"/>
        <v>7000</v>
      </c>
    </row>
    <row r="1023" spans="1:17" x14ac:dyDescent="0.2">
      <c r="A1023" s="797" t="s">
        <v>18472</v>
      </c>
      <c r="B1023" s="798" t="s">
        <v>18046</v>
      </c>
      <c r="C1023" s="798" t="s">
        <v>14181</v>
      </c>
      <c r="D1023" s="798" t="s">
        <v>18471</v>
      </c>
      <c r="E1023" s="798" t="s">
        <v>18061</v>
      </c>
      <c r="F1023" s="798">
        <v>2</v>
      </c>
      <c r="G1023" s="798" t="s">
        <v>122</v>
      </c>
      <c r="H1023" s="798" t="s">
        <v>1103</v>
      </c>
      <c r="I1023" s="799">
        <v>12000</v>
      </c>
      <c r="J1023" s="798">
        <v>1</v>
      </c>
      <c r="K1023" s="799">
        <f t="shared" si="112"/>
        <v>12000</v>
      </c>
      <c r="L1023" s="799">
        <f t="shared" si="113"/>
        <v>12000</v>
      </c>
      <c r="M1023" s="799">
        <f t="shared" si="104"/>
        <v>12000</v>
      </c>
      <c r="N1023" s="798" t="s">
        <v>18062</v>
      </c>
      <c r="O1023" s="800">
        <f t="shared" si="105"/>
        <v>12000</v>
      </c>
      <c r="P1023" s="800">
        <f t="shared" si="106"/>
        <v>12000</v>
      </c>
      <c r="Q1023" s="801">
        <f t="shared" si="107"/>
        <v>12000</v>
      </c>
    </row>
    <row r="1024" spans="1:17" x14ac:dyDescent="0.2">
      <c r="A1024" s="802" t="s">
        <v>18473</v>
      </c>
      <c r="B1024" s="803" t="s">
        <v>18017</v>
      </c>
      <c r="C1024" s="803" t="s">
        <v>14201</v>
      </c>
      <c r="D1024" s="803" t="s">
        <v>18474</v>
      </c>
      <c r="E1024" s="803" t="s">
        <v>18019</v>
      </c>
      <c r="F1024" s="803">
        <v>1</v>
      </c>
      <c r="G1024" s="803" t="s">
        <v>2837</v>
      </c>
      <c r="H1024" s="803" t="s">
        <v>2837</v>
      </c>
      <c r="I1024" s="804">
        <v>1500</v>
      </c>
      <c r="J1024" s="803">
        <v>1</v>
      </c>
      <c r="K1024" s="804">
        <f t="shared" si="112"/>
        <v>1500</v>
      </c>
      <c r="L1024" s="804">
        <f t="shared" si="113"/>
        <v>1500</v>
      </c>
      <c r="M1024" s="804">
        <f t="shared" si="104"/>
        <v>1500</v>
      </c>
      <c r="N1024" s="803" t="s">
        <v>18020</v>
      </c>
      <c r="O1024" s="805">
        <f t="shared" si="105"/>
        <v>1500</v>
      </c>
      <c r="P1024" s="805">
        <f t="shared" si="106"/>
        <v>1500</v>
      </c>
      <c r="Q1024" s="806">
        <f t="shared" si="107"/>
        <v>1500</v>
      </c>
    </row>
    <row r="1025" spans="1:17" x14ac:dyDescent="0.2">
      <c r="A1025" s="797" t="s">
        <v>18475</v>
      </c>
      <c r="B1025" s="798" t="s">
        <v>18017</v>
      </c>
      <c r="C1025" s="798" t="s">
        <v>14201</v>
      </c>
      <c r="D1025" s="798" t="s">
        <v>18476</v>
      </c>
      <c r="E1025" s="798" t="s">
        <v>18019</v>
      </c>
      <c r="F1025" s="798">
        <v>1</v>
      </c>
      <c r="G1025" s="798" t="s">
        <v>2837</v>
      </c>
      <c r="H1025" s="798" t="s">
        <v>2837</v>
      </c>
      <c r="I1025" s="799">
        <v>1600</v>
      </c>
      <c r="J1025" s="798">
        <v>1</v>
      </c>
      <c r="K1025" s="799">
        <f t="shared" si="112"/>
        <v>1600</v>
      </c>
      <c r="L1025" s="799">
        <f t="shared" si="113"/>
        <v>1600</v>
      </c>
      <c r="M1025" s="799">
        <f t="shared" si="104"/>
        <v>1600</v>
      </c>
      <c r="N1025" s="798" t="s">
        <v>18020</v>
      </c>
      <c r="O1025" s="800">
        <f t="shared" si="105"/>
        <v>1600</v>
      </c>
      <c r="P1025" s="800">
        <f t="shared" si="106"/>
        <v>1600</v>
      </c>
      <c r="Q1025" s="801">
        <f t="shared" si="107"/>
        <v>1600</v>
      </c>
    </row>
    <row r="1026" spans="1:17" x14ac:dyDescent="0.2">
      <c r="A1026" s="802" t="s">
        <v>18477</v>
      </c>
      <c r="B1026" s="803" t="s">
        <v>18017</v>
      </c>
      <c r="C1026" s="803" t="s">
        <v>14201</v>
      </c>
      <c r="D1026" s="803" t="s">
        <v>18478</v>
      </c>
      <c r="E1026" s="803" t="s">
        <v>18054</v>
      </c>
      <c r="F1026" s="803">
        <v>1</v>
      </c>
      <c r="G1026" s="803" t="s">
        <v>2837</v>
      </c>
      <c r="H1026" s="803" t="s">
        <v>3779</v>
      </c>
      <c r="I1026" s="804">
        <v>2000</v>
      </c>
      <c r="J1026" s="803">
        <v>1</v>
      </c>
      <c r="K1026" s="804">
        <f t="shared" si="112"/>
        <v>2000</v>
      </c>
      <c r="L1026" s="804">
        <f t="shared" si="113"/>
        <v>2000</v>
      </c>
      <c r="M1026" s="804">
        <f t="shared" ref="M1026:M1072" si="114">+I1026</f>
        <v>2000</v>
      </c>
      <c r="N1026" s="803" t="s">
        <v>18020</v>
      </c>
      <c r="O1026" s="805">
        <f t="shared" ref="O1026:O1089" si="115">+J1026*K1026</f>
        <v>2000</v>
      </c>
      <c r="P1026" s="805">
        <f t="shared" ref="P1026:P1089" si="116">+J1026*L1026</f>
        <v>2000</v>
      </c>
      <c r="Q1026" s="806">
        <f t="shared" ref="Q1026:Q1089" si="117">+J1026*M1026</f>
        <v>2000</v>
      </c>
    </row>
    <row r="1027" spans="1:17" x14ac:dyDescent="0.2">
      <c r="A1027" s="797" t="s">
        <v>18479</v>
      </c>
      <c r="B1027" s="798" t="s">
        <v>18017</v>
      </c>
      <c r="C1027" s="798" t="s">
        <v>14201</v>
      </c>
      <c r="D1027" s="798" t="s">
        <v>18478</v>
      </c>
      <c r="E1027" s="798" t="s">
        <v>18033</v>
      </c>
      <c r="F1027" s="798">
        <v>2</v>
      </c>
      <c r="G1027" s="798" t="s">
        <v>2837</v>
      </c>
      <c r="H1027" s="798" t="s">
        <v>3779</v>
      </c>
      <c r="I1027" s="799">
        <v>5200</v>
      </c>
      <c r="J1027" s="798">
        <v>1</v>
      </c>
      <c r="K1027" s="799">
        <f t="shared" si="112"/>
        <v>5200</v>
      </c>
      <c r="L1027" s="799">
        <f t="shared" si="113"/>
        <v>5200</v>
      </c>
      <c r="M1027" s="799">
        <f t="shared" si="114"/>
        <v>5200</v>
      </c>
      <c r="N1027" s="798" t="s">
        <v>18037</v>
      </c>
      <c r="O1027" s="800">
        <f t="shared" si="115"/>
        <v>5200</v>
      </c>
      <c r="P1027" s="800">
        <f t="shared" si="116"/>
        <v>5200</v>
      </c>
      <c r="Q1027" s="801">
        <f t="shared" si="117"/>
        <v>5200</v>
      </c>
    </row>
    <row r="1028" spans="1:17" x14ac:dyDescent="0.2">
      <c r="A1028" s="802" t="s">
        <v>18480</v>
      </c>
      <c r="B1028" s="803" t="s">
        <v>18017</v>
      </c>
      <c r="C1028" s="803" t="s">
        <v>14201</v>
      </c>
      <c r="D1028" s="803" t="s">
        <v>18481</v>
      </c>
      <c r="E1028" s="803" t="s">
        <v>18031</v>
      </c>
      <c r="F1028" s="803">
        <v>1</v>
      </c>
      <c r="G1028" s="803" t="s">
        <v>2837</v>
      </c>
      <c r="H1028" s="803" t="s">
        <v>3779</v>
      </c>
      <c r="I1028" s="804">
        <v>2500</v>
      </c>
      <c r="J1028" s="803">
        <v>1</v>
      </c>
      <c r="K1028" s="804">
        <f t="shared" si="112"/>
        <v>2500</v>
      </c>
      <c r="L1028" s="804">
        <f t="shared" si="113"/>
        <v>2500</v>
      </c>
      <c r="M1028" s="804">
        <f t="shared" si="114"/>
        <v>2500</v>
      </c>
      <c r="N1028" s="803" t="s">
        <v>18020</v>
      </c>
      <c r="O1028" s="805">
        <f t="shared" si="115"/>
        <v>2500</v>
      </c>
      <c r="P1028" s="805">
        <f t="shared" si="116"/>
        <v>2500</v>
      </c>
      <c r="Q1028" s="806">
        <f t="shared" si="117"/>
        <v>2500</v>
      </c>
    </row>
    <row r="1029" spans="1:17" x14ac:dyDescent="0.2">
      <c r="A1029" s="797" t="s">
        <v>18482</v>
      </c>
      <c r="B1029" s="798" t="s">
        <v>18017</v>
      </c>
      <c r="C1029" s="798" t="s">
        <v>14201</v>
      </c>
      <c r="D1029" s="798" t="s">
        <v>18481</v>
      </c>
      <c r="E1029" s="798" t="s">
        <v>18033</v>
      </c>
      <c r="F1029" s="798">
        <v>2</v>
      </c>
      <c r="G1029" s="798" t="s">
        <v>2837</v>
      </c>
      <c r="H1029" s="798" t="s">
        <v>3779</v>
      </c>
      <c r="I1029" s="799">
        <v>7800</v>
      </c>
      <c r="J1029" s="798">
        <v>1</v>
      </c>
      <c r="K1029" s="799">
        <f t="shared" si="112"/>
        <v>7800</v>
      </c>
      <c r="L1029" s="799">
        <f t="shared" si="113"/>
        <v>7800</v>
      </c>
      <c r="M1029" s="799">
        <f t="shared" si="114"/>
        <v>7800</v>
      </c>
      <c r="N1029" s="798" t="s">
        <v>18037</v>
      </c>
      <c r="O1029" s="800">
        <f t="shared" si="115"/>
        <v>7800</v>
      </c>
      <c r="P1029" s="800">
        <f t="shared" si="116"/>
        <v>7800</v>
      </c>
      <c r="Q1029" s="801">
        <f t="shared" si="117"/>
        <v>7800</v>
      </c>
    </row>
    <row r="1030" spans="1:17" x14ac:dyDescent="0.2">
      <c r="A1030" s="802" t="s">
        <v>18483</v>
      </c>
      <c r="B1030" s="803" t="s">
        <v>18017</v>
      </c>
      <c r="C1030" s="803" t="s">
        <v>14201</v>
      </c>
      <c r="D1030" s="803" t="s">
        <v>18481</v>
      </c>
      <c r="E1030" s="803" t="s">
        <v>18039</v>
      </c>
      <c r="F1030" s="803">
        <v>3</v>
      </c>
      <c r="G1030" s="803" t="s">
        <v>2837</v>
      </c>
      <c r="H1030" s="803" t="s">
        <v>3779</v>
      </c>
      <c r="I1030" s="804">
        <v>9500</v>
      </c>
      <c r="J1030" s="803">
        <v>1</v>
      </c>
      <c r="K1030" s="804">
        <f t="shared" si="112"/>
        <v>9500</v>
      </c>
      <c r="L1030" s="804">
        <f t="shared" si="113"/>
        <v>9500</v>
      </c>
      <c r="M1030" s="804">
        <f t="shared" si="114"/>
        <v>9500</v>
      </c>
      <c r="N1030" s="803" t="s">
        <v>18037</v>
      </c>
      <c r="O1030" s="805">
        <f t="shared" si="115"/>
        <v>9500</v>
      </c>
      <c r="P1030" s="805">
        <f t="shared" si="116"/>
        <v>9500</v>
      </c>
      <c r="Q1030" s="806">
        <f t="shared" si="117"/>
        <v>9500</v>
      </c>
    </row>
    <row r="1031" spans="1:17" x14ac:dyDescent="0.2">
      <c r="A1031" s="797" t="s">
        <v>18484</v>
      </c>
      <c r="B1031" s="798" t="s">
        <v>18017</v>
      </c>
      <c r="C1031" s="798" t="s">
        <v>14201</v>
      </c>
      <c r="D1031" s="798" t="s">
        <v>18481</v>
      </c>
      <c r="E1031" s="798" t="s">
        <v>18041</v>
      </c>
      <c r="F1031" s="798">
        <v>4</v>
      </c>
      <c r="G1031" s="798" t="s">
        <v>2837</v>
      </c>
      <c r="H1031" s="798" t="s">
        <v>3779</v>
      </c>
      <c r="I1031" s="799">
        <v>15000</v>
      </c>
      <c r="J1031" s="798">
        <v>1</v>
      </c>
      <c r="K1031" s="799">
        <f t="shared" si="112"/>
        <v>15000</v>
      </c>
      <c r="L1031" s="799">
        <f t="shared" si="113"/>
        <v>15000</v>
      </c>
      <c r="M1031" s="799">
        <f t="shared" si="114"/>
        <v>15000</v>
      </c>
      <c r="N1031" s="798" t="s">
        <v>18042</v>
      </c>
      <c r="O1031" s="800">
        <f t="shared" si="115"/>
        <v>15000</v>
      </c>
      <c r="P1031" s="800">
        <f t="shared" si="116"/>
        <v>15000</v>
      </c>
      <c r="Q1031" s="801">
        <f t="shared" si="117"/>
        <v>15000</v>
      </c>
    </row>
    <row r="1032" spans="1:17" x14ac:dyDescent="0.2">
      <c r="A1032" s="802" t="s">
        <v>18485</v>
      </c>
      <c r="B1032" s="803" t="s">
        <v>18017</v>
      </c>
      <c r="C1032" s="803" t="s">
        <v>14201</v>
      </c>
      <c r="D1032" s="803" t="s">
        <v>18481</v>
      </c>
      <c r="E1032" s="803" t="s">
        <v>18212</v>
      </c>
      <c r="F1032" s="803">
        <v>5</v>
      </c>
      <c r="G1032" s="803" t="s">
        <v>2837</v>
      </c>
      <c r="H1032" s="803" t="s">
        <v>3779</v>
      </c>
      <c r="I1032" s="804">
        <v>22000</v>
      </c>
      <c r="J1032" s="803">
        <v>1</v>
      </c>
      <c r="K1032" s="804">
        <v>100000</v>
      </c>
      <c r="L1032" s="804">
        <v>100000</v>
      </c>
      <c r="M1032" s="804">
        <f t="shared" si="114"/>
        <v>22000</v>
      </c>
      <c r="N1032" s="803" t="s">
        <v>18042</v>
      </c>
      <c r="O1032" s="805">
        <f t="shared" si="115"/>
        <v>100000</v>
      </c>
      <c r="P1032" s="805">
        <f t="shared" si="116"/>
        <v>100000</v>
      </c>
      <c r="Q1032" s="806">
        <f t="shared" si="117"/>
        <v>22000</v>
      </c>
    </row>
    <row r="1033" spans="1:17" x14ac:dyDescent="0.2">
      <c r="A1033" s="797" t="s">
        <v>18486</v>
      </c>
      <c r="B1033" s="798" t="s">
        <v>18017</v>
      </c>
      <c r="C1033" s="798" t="s">
        <v>14201</v>
      </c>
      <c r="D1033" s="798" t="s">
        <v>18481</v>
      </c>
      <c r="E1033" s="798" t="s">
        <v>18214</v>
      </c>
      <c r="F1033" s="798">
        <v>6</v>
      </c>
      <c r="G1033" s="798" t="s">
        <v>2837</v>
      </c>
      <c r="H1033" s="798" t="s">
        <v>3779</v>
      </c>
      <c r="I1033" s="799">
        <v>31000</v>
      </c>
      <c r="J1033" s="798">
        <v>1</v>
      </c>
      <c r="K1033" s="799">
        <v>100000</v>
      </c>
      <c r="L1033" s="799">
        <v>100000</v>
      </c>
      <c r="M1033" s="799">
        <f t="shared" si="114"/>
        <v>31000</v>
      </c>
      <c r="N1033" s="798" t="s">
        <v>18215</v>
      </c>
      <c r="O1033" s="800">
        <f t="shared" si="115"/>
        <v>100000</v>
      </c>
      <c r="P1033" s="800">
        <f t="shared" si="116"/>
        <v>100000</v>
      </c>
      <c r="Q1033" s="801">
        <f t="shared" si="117"/>
        <v>31000</v>
      </c>
    </row>
    <row r="1034" spans="1:17" x14ac:dyDescent="0.2">
      <c r="A1034" s="802" t="s">
        <v>18487</v>
      </c>
      <c r="B1034" s="803" t="s">
        <v>18017</v>
      </c>
      <c r="C1034" s="803" t="s">
        <v>14201</v>
      </c>
      <c r="D1034" s="803" t="s">
        <v>18481</v>
      </c>
      <c r="E1034" s="803" t="s">
        <v>18217</v>
      </c>
      <c r="F1034" s="803">
        <v>7</v>
      </c>
      <c r="G1034" s="803" t="s">
        <v>2837</v>
      </c>
      <c r="H1034" s="803" t="s">
        <v>3779</v>
      </c>
      <c r="I1034" s="804">
        <v>37000</v>
      </c>
      <c r="J1034" s="803">
        <v>1</v>
      </c>
      <c r="K1034" s="804">
        <v>100000</v>
      </c>
      <c r="L1034" s="804">
        <v>100000</v>
      </c>
      <c r="M1034" s="804">
        <f t="shared" si="114"/>
        <v>37000</v>
      </c>
      <c r="N1034" s="803" t="s">
        <v>18215</v>
      </c>
      <c r="O1034" s="805">
        <f t="shared" si="115"/>
        <v>100000</v>
      </c>
      <c r="P1034" s="805">
        <f t="shared" si="116"/>
        <v>100000</v>
      </c>
      <c r="Q1034" s="806">
        <f t="shared" si="117"/>
        <v>37000</v>
      </c>
    </row>
    <row r="1035" spans="1:17" x14ac:dyDescent="0.2">
      <c r="A1035" s="797" t="s">
        <v>18488</v>
      </c>
      <c r="B1035" s="798" t="s">
        <v>18404</v>
      </c>
      <c r="C1035" s="798" t="s">
        <v>15500</v>
      </c>
      <c r="D1035" s="798" t="s">
        <v>18489</v>
      </c>
      <c r="E1035" s="798" t="s">
        <v>18490</v>
      </c>
      <c r="F1035" s="798">
        <v>1</v>
      </c>
      <c r="G1035" s="798" t="s">
        <v>10772</v>
      </c>
      <c r="H1035" s="798" t="s">
        <v>17824</v>
      </c>
      <c r="I1035" s="799">
        <v>0</v>
      </c>
      <c r="J1035" s="798">
        <v>1</v>
      </c>
      <c r="K1035" s="799">
        <v>0</v>
      </c>
      <c r="L1035" s="799">
        <v>0</v>
      </c>
      <c r="M1035" s="799">
        <v>0</v>
      </c>
      <c r="N1035" s="798" t="s">
        <v>10772</v>
      </c>
      <c r="O1035" s="800">
        <f t="shared" si="115"/>
        <v>0</v>
      </c>
      <c r="P1035" s="800">
        <f t="shared" si="116"/>
        <v>0</v>
      </c>
      <c r="Q1035" s="801">
        <f t="shared" si="117"/>
        <v>0</v>
      </c>
    </row>
    <row r="1036" spans="1:17" x14ac:dyDescent="0.2">
      <c r="A1036" s="802" t="s">
        <v>18491</v>
      </c>
      <c r="B1036" s="803" t="s">
        <v>18404</v>
      </c>
      <c r="C1036" s="803" t="s">
        <v>15500</v>
      </c>
      <c r="D1036" s="803" t="s">
        <v>18489</v>
      </c>
      <c r="E1036" s="803" t="s">
        <v>18492</v>
      </c>
      <c r="F1036" s="803">
        <v>2</v>
      </c>
      <c r="G1036" s="803" t="s">
        <v>10772</v>
      </c>
      <c r="H1036" s="803" t="s">
        <v>17824</v>
      </c>
      <c r="I1036" s="804">
        <v>0</v>
      </c>
      <c r="J1036" s="803">
        <v>1</v>
      </c>
      <c r="K1036" s="804">
        <v>0</v>
      </c>
      <c r="L1036" s="804">
        <v>0</v>
      </c>
      <c r="M1036" s="804">
        <v>0</v>
      </c>
      <c r="N1036" s="803" t="s">
        <v>10772</v>
      </c>
      <c r="O1036" s="805">
        <f t="shared" si="115"/>
        <v>0</v>
      </c>
      <c r="P1036" s="805">
        <f t="shared" si="116"/>
        <v>0</v>
      </c>
      <c r="Q1036" s="806">
        <f t="shared" si="117"/>
        <v>0</v>
      </c>
    </row>
    <row r="1037" spans="1:17" x14ac:dyDescent="0.2">
      <c r="A1037" s="797" t="s">
        <v>18493</v>
      </c>
      <c r="B1037" s="798" t="s">
        <v>18241</v>
      </c>
      <c r="C1037" s="798" t="s">
        <v>14206</v>
      </c>
      <c r="D1037" s="798" t="s">
        <v>3544</v>
      </c>
      <c r="E1037" s="798" t="s">
        <v>18019</v>
      </c>
      <c r="F1037" s="798">
        <v>1</v>
      </c>
      <c r="G1037" s="798" t="s">
        <v>2837</v>
      </c>
      <c r="H1037" s="798" t="s">
        <v>2837</v>
      </c>
      <c r="I1037" s="799">
        <v>100</v>
      </c>
      <c r="J1037" s="798">
        <v>1</v>
      </c>
      <c r="K1037" s="799">
        <f t="shared" ref="K1037:K1072" si="118">+I1037</f>
        <v>100</v>
      </c>
      <c r="L1037" s="799">
        <f t="shared" ref="L1037:L1073" si="119">+I1037</f>
        <v>100</v>
      </c>
      <c r="M1037" s="799">
        <f t="shared" si="114"/>
        <v>100</v>
      </c>
      <c r="N1037" s="798" t="s">
        <v>18020</v>
      </c>
      <c r="O1037" s="800">
        <f t="shared" si="115"/>
        <v>100</v>
      </c>
      <c r="P1037" s="800">
        <f t="shared" si="116"/>
        <v>100</v>
      </c>
      <c r="Q1037" s="801">
        <f t="shared" si="117"/>
        <v>100</v>
      </c>
    </row>
    <row r="1038" spans="1:17" x14ac:dyDescent="0.2">
      <c r="A1038" s="802" t="s">
        <v>18494</v>
      </c>
      <c r="B1038" s="803" t="s">
        <v>18241</v>
      </c>
      <c r="C1038" s="803" t="s">
        <v>14206</v>
      </c>
      <c r="D1038" s="803" t="s">
        <v>142</v>
      </c>
      <c r="E1038" s="803" t="s">
        <v>18019</v>
      </c>
      <c r="F1038" s="803">
        <v>1</v>
      </c>
      <c r="G1038" s="803" t="s">
        <v>122</v>
      </c>
      <c r="H1038" s="803" t="s">
        <v>122</v>
      </c>
      <c r="I1038" s="804">
        <v>100</v>
      </c>
      <c r="J1038" s="803">
        <v>1</v>
      </c>
      <c r="K1038" s="804">
        <f t="shared" si="118"/>
        <v>100</v>
      </c>
      <c r="L1038" s="804">
        <f t="shared" si="119"/>
        <v>100</v>
      </c>
      <c r="M1038" s="804">
        <f t="shared" si="114"/>
        <v>100</v>
      </c>
      <c r="N1038" s="803" t="s">
        <v>18020</v>
      </c>
      <c r="O1038" s="805">
        <f t="shared" si="115"/>
        <v>100</v>
      </c>
      <c r="P1038" s="805">
        <f t="shared" si="116"/>
        <v>100</v>
      </c>
      <c r="Q1038" s="806">
        <f t="shared" si="117"/>
        <v>100</v>
      </c>
    </row>
    <row r="1039" spans="1:17" x14ac:dyDescent="0.2">
      <c r="A1039" s="797" t="s">
        <v>18495</v>
      </c>
      <c r="B1039" s="798" t="s">
        <v>18241</v>
      </c>
      <c r="C1039" s="798" t="s">
        <v>14206</v>
      </c>
      <c r="D1039" s="798" t="s">
        <v>1312</v>
      </c>
      <c r="E1039" s="798" t="s">
        <v>18019</v>
      </c>
      <c r="F1039" s="798">
        <v>1</v>
      </c>
      <c r="G1039" s="798" t="s">
        <v>1103</v>
      </c>
      <c r="H1039" s="798" t="s">
        <v>1103</v>
      </c>
      <c r="I1039" s="799">
        <v>100</v>
      </c>
      <c r="J1039" s="798">
        <v>1</v>
      </c>
      <c r="K1039" s="799">
        <f t="shared" si="118"/>
        <v>100</v>
      </c>
      <c r="L1039" s="799">
        <f t="shared" si="119"/>
        <v>100</v>
      </c>
      <c r="M1039" s="799">
        <f t="shared" si="114"/>
        <v>100</v>
      </c>
      <c r="N1039" s="798" t="s">
        <v>18020</v>
      </c>
      <c r="O1039" s="800">
        <f t="shared" si="115"/>
        <v>100</v>
      </c>
      <c r="P1039" s="800">
        <f t="shared" si="116"/>
        <v>100</v>
      </c>
      <c r="Q1039" s="801">
        <f t="shared" si="117"/>
        <v>100</v>
      </c>
    </row>
    <row r="1040" spans="1:17" x14ac:dyDescent="0.2">
      <c r="A1040" s="802" t="s">
        <v>18496</v>
      </c>
      <c r="B1040" s="803" t="s">
        <v>18241</v>
      </c>
      <c r="C1040" s="803" t="s">
        <v>14206</v>
      </c>
      <c r="D1040" s="803" t="s">
        <v>18497</v>
      </c>
      <c r="E1040" s="803" t="s">
        <v>18019</v>
      </c>
      <c r="F1040" s="803">
        <v>1</v>
      </c>
      <c r="G1040" s="803" t="s">
        <v>10772</v>
      </c>
      <c r="H1040" s="803" t="s">
        <v>18244</v>
      </c>
      <c r="I1040" s="804">
        <v>10000</v>
      </c>
      <c r="J1040" s="803">
        <v>1</v>
      </c>
      <c r="K1040" s="804">
        <f t="shared" si="118"/>
        <v>10000</v>
      </c>
      <c r="L1040" s="804">
        <f t="shared" si="119"/>
        <v>10000</v>
      </c>
      <c r="M1040" s="804">
        <f t="shared" si="114"/>
        <v>10000</v>
      </c>
      <c r="N1040" s="803" t="s">
        <v>18020</v>
      </c>
      <c r="O1040" s="805">
        <f t="shared" si="115"/>
        <v>10000</v>
      </c>
      <c r="P1040" s="805">
        <f t="shared" si="116"/>
        <v>10000</v>
      </c>
      <c r="Q1040" s="806">
        <f t="shared" si="117"/>
        <v>10000</v>
      </c>
    </row>
    <row r="1041" spans="1:17" x14ac:dyDescent="0.2">
      <c r="A1041" s="797" t="s">
        <v>18498</v>
      </c>
      <c r="B1041" s="798" t="s">
        <v>18241</v>
      </c>
      <c r="C1041" s="798" t="s">
        <v>14206</v>
      </c>
      <c r="D1041" s="798" t="s">
        <v>18499</v>
      </c>
      <c r="E1041" s="798" t="s">
        <v>15731</v>
      </c>
      <c r="F1041" s="798">
        <v>1</v>
      </c>
      <c r="G1041" s="798" t="s">
        <v>10772</v>
      </c>
      <c r="H1041" s="798" t="s">
        <v>17824</v>
      </c>
      <c r="I1041" s="799">
        <v>2000</v>
      </c>
      <c r="J1041" s="798">
        <v>1</v>
      </c>
      <c r="K1041" s="799">
        <f t="shared" si="118"/>
        <v>2000</v>
      </c>
      <c r="L1041" s="799">
        <f t="shared" si="119"/>
        <v>2000</v>
      </c>
      <c r="M1041" s="799">
        <f t="shared" si="114"/>
        <v>2000</v>
      </c>
      <c r="N1041" s="798" t="s">
        <v>18265</v>
      </c>
      <c r="O1041" s="800">
        <f t="shared" si="115"/>
        <v>2000</v>
      </c>
      <c r="P1041" s="800">
        <f t="shared" si="116"/>
        <v>2000</v>
      </c>
      <c r="Q1041" s="801">
        <f t="shared" si="117"/>
        <v>2000</v>
      </c>
    </row>
    <row r="1042" spans="1:17" x14ac:dyDescent="0.2">
      <c r="A1042" s="802" t="s">
        <v>18500</v>
      </c>
      <c r="B1042" s="803" t="s">
        <v>18241</v>
      </c>
      <c r="C1042" s="803" t="s">
        <v>14206</v>
      </c>
      <c r="D1042" s="803" t="s">
        <v>18499</v>
      </c>
      <c r="E1042" s="803" t="s">
        <v>15732</v>
      </c>
      <c r="F1042" s="803">
        <v>2</v>
      </c>
      <c r="G1042" s="803" t="s">
        <v>10772</v>
      </c>
      <c r="H1042" s="803" t="s">
        <v>17824</v>
      </c>
      <c r="I1042" s="804">
        <v>5200</v>
      </c>
      <c r="J1042" s="803">
        <v>1</v>
      </c>
      <c r="K1042" s="804">
        <f t="shared" si="118"/>
        <v>5200</v>
      </c>
      <c r="L1042" s="804">
        <f t="shared" si="119"/>
        <v>5200</v>
      </c>
      <c r="M1042" s="804">
        <f t="shared" si="114"/>
        <v>5200</v>
      </c>
      <c r="N1042" s="803" t="s">
        <v>18265</v>
      </c>
      <c r="O1042" s="805">
        <f t="shared" si="115"/>
        <v>5200</v>
      </c>
      <c r="P1042" s="805">
        <f t="shared" si="116"/>
        <v>5200</v>
      </c>
      <c r="Q1042" s="806">
        <f t="shared" si="117"/>
        <v>5200</v>
      </c>
    </row>
    <row r="1043" spans="1:17" x14ac:dyDescent="0.2">
      <c r="A1043" s="797" t="s">
        <v>18501</v>
      </c>
      <c r="B1043" s="798" t="s">
        <v>18241</v>
      </c>
      <c r="C1043" s="798" t="s">
        <v>14206</v>
      </c>
      <c r="D1043" s="798" t="s">
        <v>18499</v>
      </c>
      <c r="E1043" s="798" t="s">
        <v>18454</v>
      </c>
      <c r="F1043" s="798">
        <v>3</v>
      </c>
      <c r="G1043" s="798" t="s">
        <v>10772</v>
      </c>
      <c r="H1043" s="798" t="s">
        <v>17824</v>
      </c>
      <c r="I1043" s="799">
        <v>25000</v>
      </c>
      <c r="J1043" s="798">
        <v>1</v>
      </c>
      <c r="K1043" s="799">
        <f t="shared" si="118"/>
        <v>25000</v>
      </c>
      <c r="L1043" s="799">
        <f t="shared" si="119"/>
        <v>25000</v>
      </c>
      <c r="M1043" s="799">
        <f t="shared" si="114"/>
        <v>25000</v>
      </c>
      <c r="N1043" s="798" t="s">
        <v>18265</v>
      </c>
      <c r="O1043" s="800">
        <f t="shared" si="115"/>
        <v>25000</v>
      </c>
      <c r="P1043" s="800">
        <f t="shared" si="116"/>
        <v>25000</v>
      </c>
      <c r="Q1043" s="801">
        <f t="shared" si="117"/>
        <v>25000</v>
      </c>
    </row>
    <row r="1044" spans="1:17" x14ac:dyDescent="0.2">
      <c r="A1044" s="802" t="s">
        <v>18502</v>
      </c>
      <c r="B1044" s="803" t="s">
        <v>18241</v>
      </c>
      <c r="C1044" s="803" t="s">
        <v>14206</v>
      </c>
      <c r="D1044" s="803" t="s">
        <v>18503</v>
      </c>
      <c r="E1044" s="803" t="s">
        <v>15731</v>
      </c>
      <c r="F1044" s="803">
        <v>1</v>
      </c>
      <c r="G1044" s="803" t="s">
        <v>10772</v>
      </c>
      <c r="H1044" s="803" t="s">
        <v>17824</v>
      </c>
      <c r="I1044" s="804">
        <v>2000</v>
      </c>
      <c r="J1044" s="803">
        <v>1</v>
      </c>
      <c r="K1044" s="804">
        <f t="shared" si="118"/>
        <v>2000</v>
      </c>
      <c r="L1044" s="804">
        <f t="shared" si="119"/>
        <v>2000</v>
      </c>
      <c r="M1044" s="804">
        <f t="shared" si="114"/>
        <v>2000</v>
      </c>
      <c r="N1044" s="803" t="s">
        <v>18265</v>
      </c>
      <c r="O1044" s="805">
        <f t="shared" si="115"/>
        <v>2000</v>
      </c>
      <c r="P1044" s="805">
        <f t="shared" si="116"/>
        <v>2000</v>
      </c>
      <c r="Q1044" s="806">
        <f t="shared" si="117"/>
        <v>2000</v>
      </c>
    </row>
    <row r="1045" spans="1:17" x14ac:dyDescent="0.2">
      <c r="A1045" s="797" t="s">
        <v>18504</v>
      </c>
      <c r="B1045" s="798" t="s">
        <v>18241</v>
      </c>
      <c r="C1045" s="798" t="s">
        <v>14206</v>
      </c>
      <c r="D1045" s="798" t="s">
        <v>18503</v>
      </c>
      <c r="E1045" s="798" t="s">
        <v>15732</v>
      </c>
      <c r="F1045" s="798">
        <v>2</v>
      </c>
      <c r="G1045" s="798" t="s">
        <v>10772</v>
      </c>
      <c r="H1045" s="798" t="s">
        <v>17824</v>
      </c>
      <c r="I1045" s="799">
        <v>5200</v>
      </c>
      <c r="J1045" s="798">
        <v>1</v>
      </c>
      <c r="K1045" s="799">
        <f t="shared" si="118"/>
        <v>5200</v>
      </c>
      <c r="L1045" s="799">
        <f t="shared" si="119"/>
        <v>5200</v>
      </c>
      <c r="M1045" s="799">
        <f t="shared" si="114"/>
        <v>5200</v>
      </c>
      <c r="N1045" s="798" t="s">
        <v>18265</v>
      </c>
      <c r="O1045" s="800">
        <f t="shared" si="115"/>
        <v>5200</v>
      </c>
      <c r="P1045" s="800">
        <f t="shared" si="116"/>
        <v>5200</v>
      </c>
      <c r="Q1045" s="801">
        <f t="shared" si="117"/>
        <v>5200</v>
      </c>
    </row>
    <row r="1046" spans="1:17" x14ac:dyDescent="0.2">
      <c r="A1046" s="802" t="s">
        <v>18505</v>
      </c>
      <c r="B1046" s="803" t="s">
        <v>18241</v>
      </c>
      <c r="C1046" s="803" t="s">
        <v>14206</v>
      </c>
      <c r="D1046" s="803" t="s">
        <v>18503</v>
      </c>
      <c r="E1046" s="803" t="s">
        <v>18454</v>
      </c>
      <c r="F1046" s="803">
        <v>3</v>
      </c>
      <c r="G1046" s="803" t="s">
        <v>10772</v>
      </c>
      <c r="H1046" s="803" t="s">
        <v>17824</v>
      </c>
      <c r="I1046" s="804">
        <v>25000</v>
      </c>
      <c r="J1046" s="803">
        <v>1</v>
      </c>
      <c r="K1046" s="804">
        <f t="shared" si="118"/>
        <v>25000</v>
      </c>
      <c r="L1046" s="804">
        <f t="shared" si="119"/>
        <v>25000</v>
      </c>
      <c r="M1046" s="804">
        <f t="shared" si="114"/>
        <v>25000</v>
      </c>
      <c r="N1046" s="803" t="s">
        <v>18265</v>
      </c>
      <c r="O1046" s="805">
        <f t="shared" si="115"/>
        <v>25000</v>
      </c>
      <c r="P1046" s="805">
        <f t="shared" si="116"/>
        <v>25000</v>
      </c>
      <c r="Q1046" s="806">
        <f t="shared" si="117"/>
        <v>25000</v>
      </c>
    </row>
    <row r="1047" spans="1:17" x14ac:dyDescent="0.2">
      <c r="A1047" s="797" t="s">
        <v>18506</v>
      </c>
      <c r="B1047" s="798" t="s">
        <v>18241</v>
      </c>
      <c r="C1047" s="798" t="s">
        <v>14206</v>
      </c>
      <c r="D1047" s="798" t="s">
        <v>18507</v>
      </c>
      <c r="E1047" s="798" t="s">
        <v>15731</v>
      </c>
      <c r="F1047" s="798">
        <v>1</v>
      </c>
      <c r="G1047" s="798" t="s">
        <v>10772</v>
      </c>
      <c r="H1047" s="798" t="s">
        <v>17824</v>
      </c>
      <c r="I1047" s="799">
        <v>2000</v>
      </c>
      <c r="J1047" s="798">
        <v>1</v>
      </c>
      <c r="K1047" s="799">
        <f t="shared" si="118"/>
        <v>2000</v>
      </c>
      <c r="L1047" s="799">
        <f t="shared" si="119"/>
        <v>2000</v>
      </c>
      <c r="M1047" s="799">
        <f t="shared" si="114"/>
        <v>2000</v>
      </c>
      <c r="N1047" s="798" t="s">
        <v>18265</v>
      </c>
      <c r="O1047" s="800">
        <f t="shared" si="115"/>
        <v>2000</v>
      </c>
      <c r="P1047" s="800">
        <f t="shared" si="116"/>
        <v>2000</v>
      </c>
      <c r="Q1047" s="801">
        <f t="shared" si="117"/>
        <v>2000</v>
      </c>
    </row>
    <row r="1048" spans="1:17" x14ac:dyDescent="0.2">
      <c r="A1048" s="802" t="s">
        <v>18508</v>
      </c>
      <c r="B1048" s="803" t="s">
        <v>18241</v>
      </c>
      <c r="C1048" s="803" t="s">
        <v>14206</v>
      </c>
      <c r="D1048" s="803" t="s">
        <v>18507</v>
      </c>
      <c r="E1048" s="803" t="s">
        <v>15732</v>
      </c>
      <c r="F1048" s="803">
        <v>2</v>
      </c>
      <c r="G1048" s="803" t="s">
        <v>10772</v>
      </c>
      <c r="H1048" s="803" t="s">
        <v>17824</v>
      </c>
      <c r="I1048" s="804">
        <v>5200</v>
      </c>
      <c r="J1048" s="803">
        <v>1</v>
      </c>
      <c r="K1048" s="804">
        <f t="shared" si="118"/>
        <v>5200</v>
      </c>
      <c r="L1048" s="804">
        <f t="shared" si="119"/>
        <v>5200</v>
      </c>
      <c r="M1048" s="804">
        <f t="shared" si="114"/>
        <v>5200</v>
      </c>
      <c r="N1048" s="803" t="s">
        <v>18265</v>
      </c>
      <c r="O1048" s="805">
        <f t="shared" si="115"/>
        <v>5200</v>
      </c>
      <c r="P1048" s="805">
        <f t="shared" si="116"/>
        <v>5200</v>
      </c>
      <c r="Q1048" s="806">
        <f t="shared" si="117"/>
        <v>5200</v>
      </c>
    </row>
    <row r="1049" spans="1:17" x14ac:dyDescent="0.2">
      <c r="A1049" s="797" t="s">
        <v>18509</v>
      </c>
      <c r="B1049" s="798" t="s">
        <v>18241</v>
      </c>
      <c r="C1049" s="798" t="s">
        <v>14206</v>
      </c>
      <c r="D1049" s="798" t="s">
        <v>18507</v>
      </c>
      <c r="E1049" s="798" t="s">
        <v>18454</v>
      </c>
      <c r="F1049" s="798">
        <v>3</v>
      </c>
      <c r="G1049" s="798" t="s">
        <v>10772</v>
      </c>
      <c r="H1049" s="798" t="s">
        <v>17824</v>
      </c>
      <c r="I1049" s="799">
        <v>25000</v>
      </c>
      <c r="J1049" s="798">
        <v>1</v>
      </c>
      <c r="K1049" s="799">
        <f t="shared" si="118"/>
        <v>25000</v>
      </c>
      <c r="L1049" s="799">
        <f t="shared" si="119"/>
        <v>25000</v>
      </c>
      <c r="M1049" s="799">
        <f t="shared" si="114"/>
        <v>25000</v>
      </c>
      <c r="N1049" s="798" t="s">
        <v>18265</v>
      </c>
      <c r="O1049" s="800">
        <f t="shared" si="115"/>
        <v>25000</v>
      </c>
      <c r="P1049" s="800">
        <f t="shared" si="116"/>
        <v>25000</v>
      </c>
      <c r="Q1049" s="801">
        <f t="shared" si="117"/>
        <v>25000</v>
      </c>
    </row>
    <row r="1050" spans="1:17" x14ac:dyDescent="0.2">
      <c r="A1050" s="802" t="s">
        <v>18510</v>
      </c>
      <c r="B1050" s="803" t="s">
        <v>18241</v>
      </c>
      <c r="C1050" s="803" t="s">
        <v>14206</v>
      </c>
      <c r="D1050" s="803" t="s">
        <v>18511</v>
      </c>
      <c r="E1050" s="803" t="s">
        <v>15731</v>
      </c>
      <c r="F1050" s="803">
        <v>1</v>
      </c>
      <c r="G1050" s="803" t="s">
        <v>10772</v>
      </c>
      <c r="H1050" s="803" t="s">
        <v>17824</v>
      </c>
      <c r="I1050" s="804">
        <v>10000</v>
      </c>
      <c r="J1050" s="803">
        <v>1</v>
      </c>
      <c r="K1050" s="804">
        <f t="shared" si="118"/>
        <v>10000</v>
      </c>
      <c r="L1050" s="804">
        <f t="shared" si="119"/>
        <v>10000</v>
      </c>
      <c r="M1050" s="804">
        <f t="shared" si="114"/>
        <v>10000</v>
      </c>
      <c r="N1050" s="803" t="s">
        <v>18362</v>
      </c>
      <c r="O1050" s="805">
        <f t="shared" si="115"/>
        <v>10000</v>
      </c>
      <c r="P1050" s="805">
        <f t="shared" si="116"/>
        <v>10000</v>
      </c>
      <c r="Q1050" s="806">
        <f t="shared" si="117"/>
        <v>10000</v>
      </c>
    </row>
    <row r="1051" spans="1:17" x14ac:dyDescent="0.2">
      <c r="A1051" s="797" t="s">
        <v>18512</v>
      </c>
      <c r="B1051" s="798" t="s">
        <v>18241</v>
      </c>
      <c r="C1051" s="798" t="s">
        <v>14206</v>
      </c>
      <c r="D1051" s="798" t="s">
        <v>18511</v>
      </c>
      <c r="E1051" s="798" t="s">
        <v>15732</v>
      </c>
      <c r="F1051" s="798">
        <v>2</v>
      </c>
      <c r="G1051" s="798" t="s">
        <v>10772</v>
      </c>
      <c r="H1051" s="798" t="s">
        <v>17824</v>
      </c>
      <c r="I1051" s="799">
        <v>15000</v>
      </c>
      <c r="J1051" s="798">
        <v>1</v>
      </c>
      <c r="K1051" s="799">
        <f t="shared" si="118"/>
        <v>15000</v>
      </c>
      <c r="L1051" s="799">
        <f t="shared" si="119"/>
        <v>15000</v>
      </c>
      <c r="M1051" s="799">
        <f t="shared" si="114"/>
        <v>15000</v>
      </c>
      <c r="N1051" s="798" t="s">
        <v>18364</v>
      </c>
      <c r="O1051" s="800">
        <f t="shared" si="115"/>
        <v>15000</v>
      </c>
      <c r="P1051" s="800">
        <f t="shared" si="116"/>
        <v>15000</v>
      </c>
      <c r="Q1051" s="801">
        <f t="shared" si="117"/>
        <v>15000</v>
      </c>
    </row>
    <row r="1052" spans="1:17" x14ac:dyDescent="0.2">
      <c r="A1052" s="802" t="s">
        <v>18513</v>
      </c>
      <c r="B1052" s="803" t="s">
        <v>18241</v>
      </c>
      <c r="C1052" s="803" t="s">
        <v>14206</v>
      </c>
      <c r="D1052" s="803" t="s">
        <v>18511</v>
      </c>
      <c r="E1052" s="803" t="s">
        <v>18253</v>
      </c>
      <c r="F1052" s="803">
        <v>3</v>
      </c>
      <c r="G1052" s="803" t="s">
        <v>10772</v>
      </c>
      <c r="H1052" s="803" t="s">
        <v>17824</v>
      </c>
      <c r="I1052" s="804">
        <v>20000</v>
      </c>
      <c r="J1052" s="803">
        <v>1</v>
      </c>
      <c r="K1052" s="804">
        <f t="shared" si="118"/>
        <v>20000</v>
      </c>
      <c r="L1052" s="804">
        <f t="shared" si="119"/>
        <v>20000</v>
      </c>
      <c r="M1052" s="804">
        <f t="shared" si="114"/>
        <v>20000</v>
      </c>
      <c r="N1052" s="803" t="s">
        <v>18366</v>
      </c>
      <c r="O1052" s="805">
        <f t="shared" si="115"/>
        <v>20000</v>
      </c>
      <c r="P1052" s="805">
        <f t="shared" si="116"/>
        <v>20000</v>
      </c>
      <c r="Q1052" s="806">
        <f t="shared" si="117"/>
        <v>20000</v>
      </c>
    </row>
    <row r="1053" spans="1:17" x14ac:dyDescent="0.2">
      <c r="A1053" s="797" t="s">
        <v>18514</v>
      </c>
      <c r="B1053" s="798" t="s">
        <v>18241</v>
      </c>
      <c r="C1053" s="798" t="s">
        <v>14206</v>
      </c>
      <c r="D1053" s="798" t="s">
        <v>18515</v>
      </c>
      <c r="E1053" s="798" t="s">
        <v>15731</v>
      </c>
      <c r="F1053" s="798">
        <v>1</v>
      </c>
      <c r="G1053" s="798" t="s">
        <v>122</v>
      </c>
      <c r="H1053" s="798" t="s">
        <v>122</v>
      </c>
      <c r="I1053" s="799">
        <v>15000</v>
      </c>
      <c r="J1053" s="798">
        <v>1</v>
      </c>
      <c r="K1053" s="799">
        <f t="shared" si="118"/>
        <v>15000</v>
      </c>
      <c r="L1053" s="799">
        <f t="shared" si="119"/>
        <v>15000</v>
      </c>
      <c r="M1053" s="799">
        <f t="shared" si="114"/>
        <v>15000</v>
      </c>
      <c r="N1053" s="798" t="s">
        <v>18362</v>
      </c>
      <c r="O1053" s="800">
        <f t="shared" si="115"/>
        <v>15000</v>
      </c>
      <c r="P1053" s="800">
        <f t="shared" si="116"/>
        <v>15000</v>
      </c>
      <c r="Q1053" s="801">
        <f t="shared" si="117"/>
        <v>15000</v>
      </c>
    </row>
    <row r="1054" spans="1:17" x14ac:dyDescent="0.2">
      <c r="A1054" s="802" t="s">
        <v>18516</v>
      </c>
      <c r="B1054" s="803" t="s">
        <v>18241</v>
      </c>
      <c r="C1054" s="803" t="s">
        <v>14206</v>
      </c>
      <c r="D1054" s="803" t="s">
        <v>18515</v>
      </c>
      <c r="E1054" s="803" t="s">
        <v>15732</v>
      </c>
      <c r="F1054" s="803">
        <v>2</v>
      </c>
      <c r="G1054" s="803" t="s">
        <v>122</v>
      </c>
      <c r="H1054" s="803" t="s">
        <v>122</v>
      </c>
      <c r="I1054" s="804">
        <v>20000</v>
      </c>
      <c r="J1054" s="803">
        <v>1</v>
      </c>
      <c r="K1054" s="804">
        <f t="shared" si="118"/>
        <v>20000</v>
      </c>
      <c r="L1054" s="804">
        <f t="shared" si="119"/>
        <v>20000</v>
      </c>
      <c r="M1054" s="804">
        <f t="shared" si="114"/>
        <v>20000</v>
      </c>
      <c r="N1054" s="803" t="s">
        <v>18364</v>
      </c>
      <c r="O1054" s="805">
        <f t="shared" si="115"/>
        <v>20000</v>
      </c>
      <c r="P1054" s="805">
        <f t="shared" si="116"/>
        <v>20000</v>
      </c>
      <c r="Q1054" s="806">
        <f t="shared" si="117"/>
        <v>20000</v>
      </c>
    </row>
    <row r="1055" spans="1:17" x14ac:dyDescent="0.2">
      <c r="A1055" s="797" t="s">
        <v>18517</v>
      </c>
      <c r="B1055" s="798" t="s">
        <v>18241</v>
      </c>
      <c r="C1055" s="798" t="s">
        <v>14206</v>
      </c>
      <c r="D1055" s="798" t="s">
        <v>18515</v>
      </c>
      <c r="E1055" s="798" t="s">
        <v>18253</v>
      </c>
      <c r="F1055" s="798">
        <v>3</v>
      </c>
      <c r="G1055" s="798" t="s">
        <v>122</v>
      </c>
      <c r="H1055" s="798" t="s">
        <v>122</v>
      </c>
      <c r="I1055" s="799">
        <v>28000</v>
      </c>
      <c r="J1055" s="798">
        <v>1</v>
      </c>
      <c r="K1055" s="799">
        <f t="shared" si="118"/>
        <v>28000</v>
      </c>
      <c r="L1055" s="799">
        <f t="shared" si="119"/>
        <v>28000</v>
      </c>
      <c r="M1055" s="799">
        <f t="shared" si="114"/>
        <v>28000</v>
      </c>
      <c r="N1055" s="798" t="s">
        <v>18366</v>
      </c>
      <c r="O1055" s="800">
        <f t="shared" si="115"/>
        <v>28000</v>
      </c>
      <c r="P1055" s="800">
        <f t="shared" si="116"/>
        <v>28000</v>
      </c>
      <c r="Q1055" s="801">
        <f t="shared" si="117"/>
        <v>28000</v>
      </c>
    </row>
    <row r="1056" spans="1:17" x14ac:dyDescent="0.2">
      <c r="A1056" s="802" t="s">
        <v>18518</v>
      </c>
      <c r="B1056" s="803" t="s">
        <v>18241</v>
      </c>
      <c r="C1056" s="803" t="s">
        <v>14206</v>
      </c>
      <c r="D1056" s="803" t="s">
        <v>18515</v>
      </c>
      <c r="E1056" s="803" t="s">
        <v>18255</v>
      </c>
      <c r="F1056" s="803">
        <v>4</v>
      </c>
      <c r="G1056" s="803" t="s">
        <v>122</v>
      </c>
      <c r="H1056" s="803" t="s">
        <v>122</v>
      </c>
      <c r="I1056" s="804">
        <v>35000</v>
      </c>
      <c r="J1056" s="803">
        <v>1</v>
      </c>
      <c r="K1056" s="804">
        <f t="shared" si="118"/>
        <v>35000</v>
      </c>
      <c r="L1056" s="804">
        <f t="shared" si="119"/>
        <v>35000</v>
      </c>
      <c r="M1056" s="804">
        <f t="shared" si="114"/>
        <v>35000</v>
      </c>
      <c r="N1056" s="803" t="s">
        <v>18369</v>
      </c>
      <c r="O1056" s="805">
        <f t="shared" si="115"/>
        <v>35000</v>
      </c>
      <c r="P1056" s="805">
        <f t="shared" si="116"/>
        <v>35000</v>
      </c>
      <c r="Q1056" s="806">
        <f t="shared" si="117"/>
        <v>35000</v>
      </c>
    </row>
    <row r="1057" spans="1:17" x14ac:dyDescent="0.2">
      <c r="A1057" s="797" t="s">
        <v>18519</v>
      </c>
      <c r="B1057" s="798" t="s">
        <v>18241</v>
      </c>
      <c r="C1057" s="798" t="s">
        <v>14206</v>
      </c>
      <c r="D1057" s="798" t="s">
        <v>18520</v>
      </c>
      <c r="E1057" s="798" t="s">
        <v>15731</v>
      </c>
      <c r="F1057" s="798">
        <v>1</v>
      </c>
      <c r="G1057" s="798" t="s">
        <v>1103</v>
      </c>
      <c r="H1057" s="798" t="s">
        <v>1103</v>
      </c>
      <c r="I1057" s="799">
        <v>15000</v>
      </c>
      <c r="J1057" s="798">
        <v>1</v>
      </c>
      <c r="K1057" s="799">
        <f t="shared" si="118"/>
        <v>15000</v>
      </c>
      <c r="L1057" s="799">
        <f t="shared" si="119"/>
        <v>15000</v>
      </c>
      <c r="M1057" s="799">
        <f t="shared" si="114"/>
        <v>15000</v>
      </c>
      <c r="N1057" s="798" t="s">
        <v>18362</v>
      </c>
      <c r="O1057" s="800">
        <f t="shared" si="115"/>
        <v>15000</v>
      </c>
      <c r="P1057" s="800">
        <f t="shared" si="116"/>
        <v>15000</v>
      </c>
      <c r="Q1057" s="801">
        <f t="shared" si="117"/>
        <v>15000</v>
      </c>
    </row>
    <row r="1058" spans="1:17" x14ac:dyDescent="0.2">
      <c r="A1058" s="802" t="s">
        <v>18521</v>
      </c>
      <c r="B1058" s="803" t="s">
        <v>18241</v>
      </c>
      <c r="C1058" s="803" t="s">
        <v>14206</v>
      </c>
      <c r="D1058" s="803" t="s">
        <v>18520</v>
      </c>
      <c r="E1058" s="803" t="s">
        <v>15732</v>
      </c>
      <c r="F1058" s="803">
        <v>2</v>
      </c>
      <c r="G1058" s="803" t="s">
        <v>1103</v>
      </c>
      <c r="H1058" s="803" t="s">
        <v>1103</v>
      </c>
      <c r="I1058" s="804">
        <v>20000</v>
      </c>
      <c r="J1058" s="803">
        <v>1</v>
      </c>
      <c r="K1058" s="804">
        <f t="shared" si="118"/>
        <v>20000</v>
      </c>
      <c r="L1058" s="804">
        <f t="shared" si="119"/>
        <v>20000</v>
      </c>
      <c r="M1058" s="804">
        <f t="shared" si="114"/>
        <v>20000</v>
      </c>
      <c r="N1058" s="803" t="s">
        <v>18364</v>
      </c>
      <c r="O1058" s="805">
        <f t="shared" si="115"/>
        <v>20000</v>
      </c>
      <c r="P1058" s="805">
        <f t="shared" si="116"/>
        <v>20000</v>
      </c>
      <c r="Q1058" s="806">
        <f t="shared" si="117"/>
        <v>20000</v>
      </c>
    </row>
    <row r="1059" spans="1:17" x14ac:dyDescent="0.2">
      <c r="A1059" s="797" t="s">
        <v>18522</v>
      </c>
      <c r="B1059" s="798" t="s">
        <v>18241</v>
      </c>
      <c r="C1059" s="798" t="s">
        <v>14206</v>
      </c>
      <c r="D1059" s="798" t="s">
        <v>18520</v>
      </c>
      <c r="E1059" s="798" t="s">
        <v>18253</v>
      </c>
      <c r="F1059" s="798">
        <v>3</v>
      </c>
      <c r="G1059" s="798" t="s">
        <v>1103</v>
      </c>
      <c r="H1059" s="798" t="s">
        <v>1103</v>
      </c>
      <c r="I1059" s="799">
        <v>28000</v>
      </c>
      <c r="J1059" s="798">
        <v>1</v>
      </c>
      <c r="K1059" s="799">
        <f t="shared" si="118"/>
        <v>28000</v>
      </c>
      <c r="L1059" s="799">
        <f t="shared" si="119"/>
        <v>28000</v>
      </c>
      <c r="M1059" s="799">
        <f t="shared" si="114"/>
        <v>28000</v>
      </c>
      <c r="N1059" s="798" t="s">
        <v>18366</v>
      </c>
      <c r="O1059" s="800">
        <f t="shared" si="115"/>
        <v>28000</v>
      </c>
      <c r="P1059" s="800">
        <f t="shared" si="116"/>
        <v>28000</v>
      </c>
      <c r="Q1059" s="801">
        <f t="shared" si="117"/>
        <v>28000</v>
      </c>
    </row>
    <row r="1060" spans="1:17" x14ac:dyDescent="0.2">
      <c r="A1060" s="802" t="s">
        <v>18523</v>
      </c>
      <c r="B1060" s="803" t="s">
        <v>18241</v>
      </c>
      <c r="C1060" s="803" t="s">
        <v>14206</v>
      </c>
      <c r="D1060" s="803" t="s">
        <v>18520</v>
      </c>
      <c r="E1060" s="803" t="s">
        <v>18255</v>
      </c>
      <c r="F1060" s="803">
        <v>4</v>
      </c>
      <c r="G1060" s="803" t="s">
        <v>1103</v>
      </c>
      <c r="H1060" s="803" t="s">
        <v>1103</v>
      </c>
      <c r="I1060" s="804">
        <v>35000</v>
      </c>
      <c r="J1060" s="803">
        <v>1</v>
      </c>
      <c r="K1060" s="804">
        <f t="shared" si="118"/>
        <v>35000</v>
      </c>
      <c r="L1060" s="804">
        <f t="shared" si="119"/>
        <v>35000</v>
      </c>
      <c r="M1060" s="804">
        <f t="shared" si="114"/>
        <v>35000</v>
      </c>
      <c r="N1060" s="803" t="s">
        <v>18369</v>
      </c>
      <c r="O1060" s="805">
        <f t="shared" si="115"/>
        <v>35000</v>
      </c>
      <c r="P1060" s="805">
        <f t="shared" si="116"/>
        <v>35000</v>
      </c>
      <c r="Q1060" s="806">
        <f t="shared" si="117"/>
        <v>35000</v>
      </c>
    </row>
    <row r="1061" spans="1:17" x14ac:dyDescent="0.2">
      <c r="A1061" s="797" t="s">
        <v>18524</v>
      </c>
      <c r="B1061" s="798" t="s">
        <v>18241</v>
      </c>
      <c r="C1061" s="798" t="s">
        <v>14206</v>
      </c>
      <c r="D1061" s="798" t="s">
        <v>18525</v>
      </c>
      <c r="E1061" s="798" t="s">
        <v>15731</v>
      </c>
      <c r="F1061" s="798">
        <v>1</v>
      </c>
      <c r="G1061" s="798" t="s">
        <v>1947</v>
      </c>
      <c r="H1061" s="798" t="s">
        <v>1947</v>
      </c>
      <c r="I1061" s="799">
        <v>15000</v>
      </c>
      <c r="J1061" s="798">
        <v>1</v>
      </c>
      <c r="K1061" s="799">
        <f t="shared" si="118"/>
        <v>15000</v>
      </c>
      <c r="L1061" s="799">
        <f t="shared" si="119"/>
        <v>15000</v>
      </c>
      <c r="M1061" s="799">
        <f t="shared" si="114"/>
        <v>15000</v>
      </c>
      <c r="N1061" s="798" t="s">
        <v>18362</v>
      </c>
      <c r="O1061" s="800">
        <f t="shared" si="115"/>
        <v>15000</v>
      </c>
      <c r="P1061" s="800">
        <f t="shared" si="116"/>
        <v>15000</v>
      </c>
      <c r="Q1061" s="801">
        <f t="shared" si="117"/>
        <v>15000</v>
      </c>
    </row>
    <row r="1062" spans="1:17" x14ac:dyDescent="0.2">
      <c r="A1062" s="802" t="s">
        <v>18526</v>
      </c>
      <c r="B1062" s="803" t="s">
        <v>18241</v>
      </c>
      <c r="C1062" s="803" t="s">
        <v>14206</v>
      </c>
      <c r="D1062" s="803" t="s">
        <v>18525</v>
      </c>
      <c r="E1062" s="803" t="s">
        <v>15732</v>
      </c>
      <c r="F1062" s="803">
        <v>2</v>
      </c>
      <c r="G1062" s="803" t="s">
        <v>1947</v>
      </c>
      <c r="H1062" s="803" t="s">
        <v>1947</v>
      </c>
      <c r="I1062" s="804">
        <v>20000</v>
      </c>
      <c r="J1062" s="803">
        <v>1</v>
      </c>
      <c r="K1062" s="804">
        <f t="shared" si="118"/>
        <v>20000</v>
      </c>
      <c r="L1062" s="804">
        <f t="shared" si="119"/>
        <v>20000</v>
      </c>
      <c r="M1062" s="804">
        <f t="shared" si="114"/>
        <v>20000</v>
      </c>
      <c r="N1062" s="803" t="s">
        <v>18364</v>
      </c>
      <c r="O1062" s="805">
        <f t="shared" si="115"/>
        <v>20000</v>
      </c>
      <c r="P1062" s="805">
        <f t="shared" si="116"/>
        <v>20000</v>
      </c>
      <c r="Q1062" s="806">
        <f t="shared" si="117"/>
        <v>20000</v>
      </c>
    </row>
    <row r="1063" spans="1:17" x14ac:dyDescent="0.2">
      <c r="A1063" s="797" t="s">
        <v>18527</v>
      </c>
      <c r="B1063" s="798" t="s">
        <v>18241</v>
      </c>
      <c r="C1063" s="798" t="s">
        <v>14206</v>
      </c>
      <c r="D1063" s="798" t="s">
        <v>18525</v>
      </c>
      <c r="E1063" s="798" t="s">
        <v>18253</v>
      </c>
      <c r="F1063" s="798">
        <v>3</v>
      </c>
      <c r="G1063" s="798" t="s">
        <v>1947</v>
      </c>
      <c r="H1063" s="798" t="s">
        <v>1947</v>
      </c>
      <c r="I1063" s="799">
        <v>28000</v>
      </c>
      <c r="J1063" s="798">
        <v>1</v>
      </c>
      <c r="K1063" s="799">
        <f t="shared" si="118"/>
        <v>28000</v>
      </c>
      <c r="L1063" s="799">
        <f t="shared" si="119"/>
        <v>28000</v>
      </c>
      <c r="M1063" s="799">
        <f t="shared" si="114"/>
        <v>28000</v>
      </c>
      <c r="N1063" s="798" t="s">
        <v>18366</v>
      </c>
      <c r="O1063" s="800">
        <f t="shared" si="115"/>
        <v>28000</v>
      </c>
      <c r="P1063" s="800">
        <f t="shared" si="116"/>
        <v>28000</v>
      </c>
      <c r="Q1063" s="801">
        <f t="shared" si="117"/>
        <v>28000</v>
      </c>
    </row>
    <row r="1064" spans="1:17" x14ac:dyDescent="0.2">
      <c r="A1064" s="802" t="s">
        <v>18528</v>
      </c>
      <c r="B1064" s="803" t="s">
        <v>18241</v>
      </c>
      <c r="C1064" s="803" t="s">
        <v>14206</v>
      </c>
      <c r="D1064" s="803" t="s">
        <v>18525</v>
      </c>
      <c r="E1064" s="803" t="s">
        <v>18255</v>
      </c>
      <c r="F1064" s="803">
        <v>4</v>
      </c>
      <c r="G1064" s="803" t="s">
        <v>1947</v>
      </c>
      <c r="H1064" s="803" t="s">
        <v>1947</v>
      </c>
      <c r="I1064" s="804">
        <v>35000</v>
      </c>
      <c r="J1064" s="803">
        <v>1</v>
      </c>
      <c r="K1064" s="804">
        <f t="shared" si="118"/>
        <v>35000</v>
      </c>
      <c r="L1064" s="804">
        <f t="shared" si="119"/>
        <v>35000</v>
      </c>
      <c r="M1064" s="804">
        <f t="shared" si="114"/>
        <v>35000</v>
      </c>
      <c r="N1064" s="803" t="s">
        <v>18369</v>
      </c>
      <c r="O1064" s="805">
        <f t="shared" si="115"/>
        <v>35000</v>
      </c>
      <c r="P1064" s="805">
        <f t="shared" si="116"/>
        <v>35000</v>
      </c>
      <c r="Q1064" s="806">
        <f t="shared" si="117"/>
        <v>35000</v>
      </c>
    </row>
    <row r="1065" spans="1:17" x14ac:dyDescent="0.2">
      <c r="A1065" s="797" t="s">
        <v>18529</v>
      </c>
      <c r="B1065" s="798" t="s">
        <v>18241</v>
      </c>
      <c r="C1065" s="798" t="s">
        <v>14206</v>
      </c>
      <c r="D1065" s="798" t="s">
        <v>18530</v>
      </c>
      <c r="E1065" s="798" t="s">
        <v>15731</v>
      </c>
      <c r="F1065" s="798">
        <v>1</v>
      </c>
      <c r="G1065" s="798" t="s">
        <v>2837</v>
      </c>
      <c r="H1065" s="798" t="s">
        <v>2837</v>
      </c>
      <c r="I1065" s="799">
        <v>15000</v>
      </c>
      <c r="J1065" s="798">
        <v>1</v>
      </c>
      <c r="K1065" s="799">
        <f t="shared" si="118"/>
        <v>15000</v>
      </c>
      <c r="L1065" s="799">
        <f t="shared" si="119"/>
        <v>15000</v>
      </c>
      <c r="M1065" s="799">
        <f t="shared" si="114"/>
        <v>15000</v>
      </c>
      <c r="N1065" s="798" t="s">
        <v>18362</v>
      </c>
      <c r="O1065" s="800">
        <f t="shared" si="115"/>
        <v>15000</v>
      </c>
      <c r="P1065" s="800">
        <f t="shared" si="116"/>
        <v>15000</v>
      </c>
      <c r="Q1065" s="801">
        <f t="shared" si="117"/>
        <v>15000</v>
      </c>
    </row>
    <row r="1066" spans="1:17" x14ac:dyDescent="0.2">
      <c r="A1066" s="802" t="s">
        <v>18531</v>
      </c>
      <c r="B1066" s="803" t="s">
        <v>18241</v>
      </c>
      <c r="C1066" s="803" t="s">
        <v>14206</v>
      </c>
      <c r="D1066" s="803" t="s">
        <v>18530</v>
      </c>
      <c r="E1066" s="803" t="s">
        <v>15732</v>
      </c>
      <c r="F1066" s="803">
        <v>2</v>
      </c>
      <c r="G1066" s="803" t="s">
        <v>2837</v>
      </c>
      <c r="H1066" s="803" t="s">
        <v>2837</v>
      </c>
      <c r="I1066" s="804">
        <v>20000</v>
      </c>
      <c r="J1066" s="803">
        <v>1</v>
      </c>
      <c r="K1066" s="804">
        <f t="shared" si="118"/>
        <v>20000</v>
      </c>
      <c r="L1066" s="804">
        <f t="shared" si="119"/>
        <v>20000</v>
      </c>
      <c r="M1066" s="804">
        <f t="shared" si="114"/>
        <v>20000</v>
      </c>
      <c r="N1066" s="803" t="s">
        <v>18364</v>
      </c>
      <c r="O1066" s="805">
        <f t="shared" si="115"/>
        <v>20000</v>
      </c>
      <c r="P1066" s="805">
        <f t="shared" si="116"/>
        <v>20000</v>
      </c>
      <c r="Q1066" s="806">
        <f t="shared" si="117"/>
        <v>20000</v>
      </c>
    </row>
    <row r="1067" spans="1:17" x14ac:dyDescent="0.2">
      <c r="A1067" s="797" t="s">
        <v>18532</v>
      </c>
      <c r="B1067" s="798" t="s">
        <v>18241</v>
      </c>
      <c r="C1067" s="798" t="s">
        <v>14206</v>
      </c>
      <c r="D1067" s="798" t="s">
        <v>18530</v>
      </c>
      <c r="E1067" s="798" t="s">
        <v>18253</v>
      </c>
      <c r="F1067" s="798">
        <v>3</v>
      </c>
      <c r="G1067" s="798" t="s">
        <v>2837</v>
      </c>
      <c r="H1067" s="798" t="s">
        <v>2837</v>
      </c>
      <c r="I1067" s="799">
        <v>28000</v>
      </c>
      <c r="J1067" s="798">
        <v>1</v>
      </c>
      <c r="K1067" s="799">
        <f t="shared" si="118"/>
        <v>28000</v>
      </c>
      <c r="L1067" s="799">
        <f t="shared" si="119"/>
        <v>28000</v>
      </c>
      <c r="M1067" s="799">
        <f t="shared" si="114"/>
        <v>28000</v>
      </c>
      <c r="N1067" s="798" t="s">
        <v>18366</v>
      </c>
      <c r="O1067" s="800">
        <f t="shared" si="115"/>
        <v>28000</v>
      </c>
      <c r="P1067" s="800">
        <f t="shared" si="116"/>
        <v>28000</v>
      </c>
      <c r="Q1067" s="801">
        <f t="shared" si="117"/>
        <v>28000</v>
      </c>
    </row>
    <row r="1068" spans="1:17" x14ac:dyDescent="0.2">
      <c r="A1068" s="802" t="s">
        <v>18533</v>
      </c>
      <c r="B1068" s="803" t="s">
        <v>18241</v>
      </c>
      <c r="C1068" s="803" t="s">
        <v>14206</v>
      </c>
      <c r="D1068" s="803" t="s">
        <v>18530</v>
      </c>
      <c r="E1068" s="803" t="s">
        <v>18255</v>
      </c>
      <c r="F1068" s="803">
        <v>4</v>
      </c>
      <c r="G1068" s="803" t="s">
        <v>2837</v>
      </c>
      <c r="H1068" s="803" t="s">
        <v>2837</v>
      </c>
      <c r="I1068" s="804">
        <v>35000</v>
      </c>
      <c r="J1068" s="803">
        <v>1</v>
      </c>
      <c r="K1068" s="804">
        <f t="shared" si="118"/>
        <v>35000</v>
      </c>
      <c r="L1068" s="804">
        <f t="shared" si="119"/>
        <v>35000</v>
      </c>
      <c r="M1068" s="804">
        <f t="shared" si="114"/>
        <v>35000</v>
      </c>
      <c r="N1068" s="803" t="s">
        <v>18369</v>
      </c>
      <c r="O1068" s="805">
        <f t="shared" si="115"/>
        <v>35000</v>
      </c>
      <c r="P1068" s="805">
        <f t="shared" si="116"/>
        <v>35000</v>
      </c>
      <c r="Q1068" s="806">
        <f t="shared" si="117"/>
        <v>35000</v>
      </c>
    </row>
    <row r="1069" spans="1:17" x14ac:dyDescent="0.2">
      <c r="A1069" s="797" t="s">
        <v>18534</v>
      </c>
      <c r="B1069" s="798" t="s">
        <v>18241</v>
      </c>
      <c r="C1069" s="798" t="s">
        <v>14206</v>
      </c>
      <c r="D1069" s="798" t="s">
        <v>18535</v>
      </c>
      <c r="E1069" s="798" t="s">
        <v>15731</v>
      </c>
      <c r="F1069" s="798">
        <v>1</v>
      </c>
      <c r="G1069" s="798" t="s">
        <v>3779</v>
      </c>
      <c r="H1069" s="798" t="s">
        <v>3779</v>
      </c>
      <c r="I1069" s="799">
        <v>15000</v>
      </c>
      <c r="J1069" s="798">
        <v>1</v>
      </c>
      <c r="K1069" s="799">
        <f t="shared" si="118"/>
        <v>15000</v>
      </c>
      <c r="L1069" s="799">
        <f t="shared" si="119"/>
        <v>15000</v>
      </c>
      <c r="M1069" s="799">
        <f t="shared" si="114"/>
        <v>15000</v>
      </c>
      <c r="N1069" s="798" t="s">
        <v>18362</v>
      </c>
      <c r="O1069" s="800">
        <f t="shared" si="115"/>
        <v>15000</v>
      </c>
      <c r="P1069" s="800">
        <f t="shared" si="116"/>
        <v>15000</v>
      </c>
      <c r="Q1069" s="801">
        <f t="shared" si="117"/>
        <v>15000</v>
      </c>
    </row>
    <row r="1070" spans="1:17" x14ac:dyDescent="0.2">
      <c r="A1070" s="802" t="s">
        <v>18536</v>
      </c>
      <c r="B1070" s="803" t="s">
        <v>18241</v>
      </c>
      <c r="C1070" s="803" t="s">
        <v>14206</v>
      </c>
      <c r="D1070" s="803" t="s">
        <v>18535</v>
      </c>
      <c r="E1070" s="803" t="s">
        <v>15732</v>
      </c>
      <c r="F1070" s="803">
        <v>2</v>
      </c>
      <c r="G1070" s="803" t="s">
        <v>3779</v>
      </c>
      <c r="H1070" s="803" t="s">
        <v>3779</v>
      </c>
      <c r="I1070" s="804">
        <v>20000</v>
      </c>
      <c r="J1070" s="803">
        <v>1</v>
      </c>
      <c r="K1070" s="804">
        <f t="shared" si="118"/>
        <v>20000</v>
      </c>
      <c r="L1070" s="804">
        <f t="shared" si="119"/>
        <v>20000</v>
      </c>
      <c r="M1070" s="804">
        <f t="shared" si="114"/>
        <v>20000</v>
      </c>
      <c r="N1070" s="803" t="s">
        <v>18364</v>
      </c>
      <c r="O1070" s="805">
        <f t="shared" si="115"/>
        <v>20000</v>
      </c>
      <c r="P1070" s="805">
        <f t="shared" si="116"/>
        <v>20000</v>
      </c>
      <c r="Q1070" s="806">
        <f t="shared" si="117"/>
        <v>20000</v>
      </c>
    </row>
    <row r="1071" spans="1:17" x14ac:dyDescent="0.2">
      <c r="A1071" s="797" t="s">
        <v>18537</v>
      </c>
      <c r="B1071" s="798" t="s">
        <v>18241</v>
      </c>
      <c r="C1071" s="798" t="s">
        <v>14206</v>
      </c>
      <c r="D1071" s="798" t="s">
        <v>18535</v>
      </c>
      <c r="E1071" s="798" t="s">
        <v>18253</v>
      </c>
      <c r="F1071" s="798">
        <v>3</v>
      </c>
      <c r="G1071" s="798" t="s">
        <v>3779</v>
      </c>
      <c r="H1071" s="798" t="s">
        <v>3779</v>
      </c>
      <c r="I1071" s="799">
        <v>28000</v>
      </c>
      <c r="J1071" s="798">
        <v>1</v>
      </c>
      <c r="K1071" s="799">
        <f t="shared" si="118"/>
        <v>28000</v>
      </c>
      <c r="L1071" s="799">
        <f t="shared" si="119"/>
        <v>28000</v>
      </c>
      <c r="M1071" s="799">
        <f t="shared" si="114"/>
        <v>28000</v>
      </c>
      <c r="N1071" s="798" t="s">
        <v>18366</v>
      </c>
      <c r="O1071" s="800">
        <f t="shared" si="115"/>
        <v>28000</v>
      </c>
      <c r="P1071" s="800">
        <f t="shared" si="116"/>
        <v>28000</v>
      </c>
      <c r="Q1071" s="801">
        <f t="shared" si="117"/>
        <v>28000</v>
      </c>
    </row>
    <row r="1072" spans="1:17" x14ac:dyDescent="0.2">
      <c r="A1072" s="802" t="s">
        <v>18538</v>
      </c>
      <c r="B1072" s="803" t="s">
        <v>18241</v>
      </c>
      <c r="C1072" s="803" t="s">
        <v>14206</v>
      </c>
      <c r="D1072" s="803" t="s">
        <v>18535</v>
      </c>
      <c r="E1072" s="803" t="s">
        <v>18255</v>
      </c>
      <c r="F1072" s="803">
        <v>4</v>
      </c>
      <c r="G1072" s="803" t="s">
        <v>3779</v>
      </c>
      <c r="H1072" s="803" t="s">
        <v>3779</v>
      </c>
      <c r="I1072" s="804">
        <v>35000</v>
      </c>
      <c r="J1072" s="803">
        <v>1</v>
      </c>
      <c r="K1072" s="804">
        <f t="shared" si="118"/>
        <v>35000</v>
      </c>
      <c r="L1072" s="804">
        <f t="shared" si="119"/>
        <v>35000</v>
      </c>
      <c r="M1072" s="804">
        <f t="shared" si="114"/>
        <v>35000</v>
      </c>
      <c r="N1072" s="803" t="s">
        <v>18369</v>
      </c>
      <c r="O1072" s="805">
        <f t="shared" si="115"/>
        <v>35000</v>
      </c>
      <c r="P1072" s="805">
        <f t="shared" si="116"/>
        <v>35000</v>
      </c>
      <c r="Q1072" s="806">
        <f t="shared" si="117"/>
        <v>35000</v>
      </c>
    </row>
    <row r="1073" spans="1:17" x14ac:dyDescent="0.2">
      <c r="A1073" s="797" t="s">
        <v>18539</v>
      </c>
      <c r="B1073" s="798" t="s">
        <v>18404</v>
      </c>
      <c r="C1073" s="798" t="s">
        <v>18540</v>
      </c>
      <c r="D1073" s="798" t="s">
        <v>18541</v>
      </c>
      <c r="E1073" s="798" t="s">
        <v>18019</v>
      </c>
      <c r="F1073" s="798">
        <v>1</v>
      </c>
      <c r="G1073" s="798" t="s">
        <v>3779</v>
      </c>
      <c r="H1073" s="798" t="s">
        <v>3779</v>
      </c>
      <c r="I1073" s="799">
        <v>1000</v>
      </c>
      <c r="J1073" s="798">
        <v>10</v>
      </c>
      <c r="K1073" s="799">
        <v>150000</v>
      </c>
      <c r="L1073" s="799">
        <f t="shared" si="119"/>
        <v>1000</v>
      </c>
      <c r="M1073" s="799">
        <v>99000</v>
      </c>
      <c r="N1073" s="798" t="s">
        <v>18262</v>
      </c>
      <c r="O1073" s="800">
        <f t="shared" si="115"/>
        <v>1500000</v>
      </c>
      <c r="P1073" s="800">
        <f t="shared" si="116"/>
        <v>10000</v>
      </c>
      <c r="Q1073" s="801">
        <f t="shared" si="117"/>
        <v>990000</v>
      </c>
    </row>
    <row r="1074" spans="1:17" x14ac:dyDescent="0.2">
      <c r="A1074" s="802" t="s">
        <v>18542</v>
      </c>
      <c r="B1074" s="803" t="s">
        <v>18404</v>
      </c>
      <c r="C1074" s="803" t="s">
        <v>18540</v>
      </c>
      <c r="D1074" s="803" t="s">
        <v>18543</v>
      </c>
      <c r="E1074" s="803" t="s">
        <v>18019</v>
      </c>
      <c r="F1074" s="803">
        <v>1</v>
      </c>
      <c r="G1074" s="803" t="s">
        <v>2837</v>
      </c>
      <c r="H1074" s="803" t="s">
        <v>2837</v>
      </c>
      <c r="I1074" s="804">
        <v>1000</v>
      </c>
      <c r="J1074" s="803">
        <v>10</v>
      </c>
      <c r="K1074" s="804">
        <v>1000</v>
      </c>
      <c r="L1074" s="804">
        <v>150000</v>
      </c>
      <c r="M1074" s="804">
        <f t="shared" ref="M1074:M1137" si="120">+I1074</f>
        <v>1000</v>
      </c>
      <c r="N1074" s="803" t="s">
        <v>10772</v>
      </c>
      <c r="O1074" s="805">
        <f t="shared" si="115"/>
        <v>10000</v>
      </c>
      <c r="P1074" s="805">
        <f t="shared" si="116"/>
        <v>1500000</v>
      </c>
      <c r="Q1074" s="806">
        <f t="shared" si="117"/>
        <v>10000</v>
      </c>
    </row>
    <row r="1075" spans="1:17" x14ac:dyDescent="0.2">
      <c r="A1075" s="797" t="s">
        <v>18544</v>
      </c>
      <c r="B1075" s="798" t="s">
        <v>18017</v>
      </c>
      <c r="C1075" s="798" t="s">
        <v>14214</v>
      </c>
      <c r="D1075" s="798" t="s">
        <v>18545</v>
      </c>
      <c r="E1075" s="798" t="s">
        <v>18019</v>
      </c>
      <c r="F1075" s="798">
        <v>1</v>
      </c>
      <c r="G1075" s="798" t="s">
        <v>3779</v>
      </c>
      <c r="H1075" s="798" t="s">
        <v>3779</v>
      </c>
      <c r="I1075" s="799">
        <v>1500</v>
      </c>
      <c r="J1075" s="798">
        <v>1</v>
      </c>
      <c r="K1075" s="799">
        <f t="shared" ref="K1075:K1082" si="121">+I1075</f>
        <v>1500</v>
      </c>
      <c r="L1075" s="799">
        <f t="shared" ref="L1075:L1082" si="122">+I1075</f>
        <v>1500</v>
      </c>
      <c r="M1075" s="799">
        <f t="shared" si="120"/>
        <v>1500</v>
      </c>
      <c r="N1075" s="798" t="s">
        <v>18020</v>
      </c>
      <c r="O1075" s="800">
        <f t="shared" si="115"/>
        <v>1500</v>
      </c>
      <c r="P1075" s="800">
        <f t="shared" si="116"/>
        <v>1500</v>
      </c>
      <c r="Q1075" s="801">
        <f t="shared" si="117"/>
        <v>1500</v>
      </c>
    </row>
    <row r="1076" spans="1:17" x14ac:dyDescent="0.2">
      <c r="A1076" s="802" t="s">
        <v>18546</v>
      </c>
      <c r="B1076" s="803" t="s">
        <v>18017</v>
      </c>
      <c r="C1076" s="803" t="s">
        <v>14214</v>
      </c>
      <c r="D1076" s="803" t="s">
        <v>18547</v>
      </c>
      <c r="E1076" s="803" t="s">
        <v>18019</v>
      </c>
      <c r="F1076" s="803">
        <v>1</v>
      </c>
      <c r="G1076" s="803" t="s">
        <v>3779</v>
      </c>
      <c r="H1076" s="803" t="s">
        <v>3779</v>
      </c>
      <c r="I1076" s="804">
        <v>1600</v>
      </c>
      <c r="J1076" s="803">
        <v>1</v>
      </c>
      <c r="K1076" s="804">
        <f t="shared" si="121"/>
        <v>1600</v>
      </c>
      <c r="L1076" s="804">
        <f t="shared" si="122"/>
        <v>1600</v>
      </c>
      <c r="M1076" s="804">
        <f t="shared" si="120"/>
        <v>1600</v>
      </c>
      <c r="N1076" s="803" t="s">
        <v>18020</v>
      </c>
      <c r="O1076" s="805">
        <f t="shared" si="115"/>
        <v>1600</v>
      </c>
      <c r="P1076" s="805">
        <f t="shared" si="116"/>
        <v>1600</v>
      </c>
      <c r="Q1076" s="806">
        <f t="shared" si="117"/>
        <v>1600</v>
      </c>
    </row>
    <row r="1077" spans="1:17" x14ac:dyDescent="0.2">
      <c r="A1077" s="797" t="s">
        <v>18548</v>
      </c>
      <c r="B1077" s="798" t="s">
        <v>18017</v>
      </c>
      <c r="C1077" s="798" t="s">
        <v>14214</v>
      </c>
      <c r="D1077" s="798" t="s">
        <v>18549</v>
      </c>
      <c r="E1077" s="798" t="s">
        <v>18031</v>
      </c>
      <c r="F1077" s="798">
        <v>1</v>
      </c>
      <c r="G1077" s="798" t="s">
        <v>2837</v>
      </c>
      <c r="H1077" s="798" t="s">
        <v>2837</v>
      </c>
      <c r="I1077" s="799">
        <v>2000</v>
      </c>
      <c r="J1077" s="798">
        <v>1</v>
      </c>
      <c r="K1077" s="799">
        <f t="shared" si="121"/>
        <v>2000</v>
      </c>
      <c r="L1077" s="799">
        <f t="shared" si="122"/>
        <v>2000</v>
      </c>
      <c r="M1077" s="799">
        <f t="shared" si="120"/>
        <v>2000</v>
      </c>
      <c r="N1077" s="798" t="s">
        <v>18020</v>
      </c>
      <c r="O1077" s="800">
        <f t="shared" si="115"/>
        <v>2000</v>
      </c>
      <c r="P1077" s="800">
        <f t="shared" si="116"/>
        <v>2000</v>
      </c>
      <c r="Q1077" s="801">
        <f t="shared" si="117"/>
        <v>2000</v>
      </c>
    </row>
    <row r="1078" spans="1:17" x14ac:dyDescent="0.2">
      <c r="A1078" s="802" t="s">
        <v>18550</v>
      </c>
      <c r="B1078" s="803" t="s">
        <v>18017</v>
      </c>
      <c r="C1078" s="803" t="s">
        <v>14214</v>
      </c>
      <c r="D1078" s="803" t="s">
        <v>18549</v>
      </c>
      <c r="E1078" s="803" t="s">
        <v>18033</v>
      </c>
      <c r="F1078" s="803">
        <v>2</v>
      </c>
      <c r="G1078" s="803" t="s">
        <v>2837</v>
      </c>
      <c r="H1078" s="803" t="s">
        <v>2837</v>
      </c>
      <c r="I1078" s="804">
        <v>5200</v>
      </c>
      <c r="J1078" s="803">
        <v>1</v>
      </c>
      <c r="K1078" s="804">
        <f t="shared" si="121"/>
        <v>5200</v>
      </c>
      <c r="L1078" s="804">
        <f t="shared" si="122"/>
        <v>5200</v>
      </c>
      <c r="M1078" s="804">
        <f t="shared" si="120"/>
        <v>5200</v>
      </c>
      <c r="N1078" s="803" t="s">
        <v>18037</v>
      </c>
      <c r="O1078" s="805">
        <f t="shared" si="115"/>
        <v>5200</v>
      </c>
      <c r="P1078" s="805">
        <f t="shared" si="116"/>
        <v>5200</v>
      </c>
      <c r="Q1078" s="806">
        <f t="shared" si="117"/>
        <v>5200</v>
      </c>
    </row>
    <row r="1079" spans="1:17" x14ac:dyDescent="0.2">
      <c r="A1079" s="797" t="s">
        <v>18551</v>
      </c>
      <c r="B1079" s="798" t="s">
        <v>18017</v>
      </c>
      <c r="C1079" s="798" t="s">
        <v>14214</v>
      </c>
      <c r="D1079" s="798" t="s">
        <v>18552</v>
      </c>
      <c r="E1079" s="798" t="s">
        <v>18031</v>
      </c>
      <c r="F1079" s="798">
        <v>1</v>
      </c>
      <c r="G1079" s="798" t="s">
        <v>3779</v>
      </c>
      <c r="H1079" s="798" t="s">
        <v>2837</v>
      </c>
      <c r="I1079" s="799">
        <v>2500</v>
      </c>
      <c r="J1079" s="798">
        <v>1</v>
      </c>
      <c r="K1079" s="799">
        <f t="shared" si="121"/>
        <v>2500</v>
      </c>
      <c r="L1079" s="799">
        <f t="shared" si="122"/>
        <v>2500</v>
      </c>
      <c r="M1079" s="799">
        <f t="shared" si="120"/>
        <v>2500</v>
      </c>
      <c r="N1079" s="798" t="s">
        <v>18020</v>
      </c>
      <c r="O1079" s="800">
        <f t="shared" si="115"/>
        <v>2500</v>
      </c>
      <c r="P1079" s="800">
        <f t="shared" si="116"/>
        <v>2500</v>
      </c>
      <c r="Q1079" s="801">
        <f t="shared" si="117"/>
        <v>2500</v>
      </c>
    </row>
    <row r="1080" spans="1:17" x14ac:dyDescent="0.2">
      <c r="A1080" s="802" t="s">
        <v>18553</v>
      </c>
      <c r="B1080" s="803" t="s">
        <v>18017</v>
      </c>
      <c r="C1080" s="803" t="s">
        <v>14214</v>
      </c>
      <c r="D1080" s="803" t="s">
        <v>18552</v>
      </c>
      <c r="E1080" s="803" t="s">
        <v>18033</v>
      </c>
      <c r="F1080" s="803">
        <v>2</v>
      </c>
      <c r="G1080" s="803" t="s">
        <v>3779</v>
      </c>
      <c r="H1080" s="803" t="s">
        <v>2837</v>
      </c>
      <c r="I1080" s="804">
        <v>7800</v>
      </c>
      <c r="J1080" s="803">
        <v>1</v>
      </c>
      <c r="K1080" s="804">
        <f t="shared" si="121"/>
        <v>7800</v>
      </c>
      <c r="L1080" s="804">
        <f t="shared" si="122"/>
        <v>7800</v>
      </c>
      <c r="M1080" s="804">
        <f t="shared" si="120"/>
        <v>7800</v>
      </c>
      <c r="N1080" s="803" t="s">
        <v>18037</v>
      </c>
      <c r="O1080" s="805">
        <f t="shared" si="115"/>
        <v>7800</v>
      </c>
      <c r="P1080" s="805">
        <f t="shared" si="116"/>
        <v>7800</v>
      </c>
      <c r="Q1080" s="806">
        <f t="shared" si="117"/>
        <v>7800</v>
      </c>
    </row>
    <row r="1081" spans="1:17" x14ac:dyDescent="0.2">
      <c r="A1081" s="797" t="s">
        <v>18554</v>
      </c>
      <c r="B1081" s="798" t="s">
        <v>18017</v>
      </c>
      <c r="C1081" s="798" t="s">
        <v>14214</v>
      </c>
      <c r="D1081" s="798" t="s">
        <v>18552</v>
      </c>
      <c r="E1081" s="798" t="s">
        <v>18039</v>
      </c>
      <c r="F1081" s="798">
        <v>3</v>
      </c>
      <c r="G1081" s="798" t="s">
        <v>3779</v>
      </c>
      <c r="H1081" s="798" t="s">
        <v>2837</v>
      </c>
      <c r="I1081" s="799">
        <v>9500</v>
      </c>
      <c r="J1081" s="798">
        <v>1</v>
      </c>
      <c r="K1081" s="799">
        <f t="shared" si="121"/>
        <v>9500</v>
      </c>
      <c r="L1081" s="799">
        <f t="shared" si="122"/>
        <v>9500</v>
      </c>
      <c r="M1081" s="799">
        <f t="shared" si="120"/>
        <v>9500</v>
      </c>
      <c r="N1081" s="798" t="s">
        <v>18037</v>
      </c>
      <c r="O1081" s="800">
        <f t="shared" si="115"/>
        <v>9500</v>
      </c>
      <c r="P1081" s="800">
        <f t="shared" si="116"/>
        <v>9500</v>
      </c>
      <c r="Q1081" s="801">
        <f t="shared" si="117"/>
        <v>9500</v>
      </c>
    </row>
    <row r="1082" spans="1:17" x14ac:dyDescent="0.2">
      <c r="A1082" s="802" t="s">
        <v>18555</v>
      </c>
      <c r="B1082" s="803" t="s">
        <v>18017</v>
      </c>
      <c r="C1082" s="803" t="s">
        <v>14214</v>
      </c>
      <c r="D1082" s="803" t="s">
        <v>18552</v>
      </c>
      <c r="E1082" s="803" t="s">
        <v>18041</v>
      </c>
      <c r="F1082" s="803">
        <v>4</v>
      </c>
      <c r="G1082" s="803" t="s">
        <v>3779</v>
      </c>
      <c r="H1082" s="803" t="s">
        <v>2837</v>
      </c>
      <c r="I1082" s="804">
        <v>15000</v>
      </c>
      <c r="J1082" s="803">
        <v>1</v>
      </c>
      <c r="K1082" s="804">
        <f t="shared" si="121"/>
        <v>15000</v>
      </c>
      <c r="L1082" s="804">
        <f t="shared" si="122"/>
        <v>15000</v>
      </c>
      <c r="M1082" s="804">
        <f t="shared" si="120"/>
        <v>15000</v>
      </c>
      <c r="N1082" s="803" t="s">
        <v>18042</v>
      </c>
      <c r="O1082" s="805">
        <f t="shared" si="115"/>
        <v>15000</v>
      </c>
      <c r="P1082" s="805">
        <f t="shared" si="116"/>
        <v>15000</v>
      </c>
      <c r="Q1082" s="806">
        <f t="shared" si="117"/>
        <v>15000</v>
      </c>
    </row>
    <row r="1083" spans="1:17" x14ac:dyDescent="0.2">
      <c r="A1083" s="797" t="s">
        <v>18556</v>
      </c>
      <c r="B1083" s="798" t="s">
        <v>18017</v>
      </c>
      <c r="C1083" s="798" t="s">
        <v>14214</v>
      </c>
      <c r="D1083" s="798" t="s">
        <v>18552</v>
      </c>
      <c r="E1083" s="798" t="s">
        <v>18212</v>
      </c>
      <c r="F1083" s="798">
        <v>5</v>
      </c>
      <c r="G1083" s="798" t="s">
        <v>3779</v>
      </c>
      <c r="H1083" s="798" t="s">
        <v>2837</v>
      </c>
      <c r="I1083" s="799">
        <v>22000</v>
      </c>
      <c r="J1083" s="798">
        <v>1</v>
      </c>
      <c r="K1083" s="799">
        <v>100000</v>
      </c>
      <c r="L1083" s="799">
        <v>100000</v>
      </c>
      <c r="M1083" s="799">
        <f t="shared" si="120"/>
        <v>22000</v>
      </c>
      <c r="N1083" s="798" t="s">
        <v>18042</v>
      </c>
      <c r="O1083" s="800">
        <f t="shared" si="115"/>
        <v>100000</v>
      </c>
      <c r="P1083" s="800">
        <f t="shared" si="116"/>
        <v>100000</v>
      </c>
      <c r="Q1083" s="801">
        <f t="shared" si="117"/>
        <v>22000</v>
      </c>
    </row>
    <row r="1084" spans="1:17" x14ac:dyDescent="0.2">
      <c r="A1084" s="802" t="s">
        <v>18557</v>
      </c>
      <c r="B1084" s="803" t="s">
        <v>18017</v>
      </c>
      <c r="C1084" s="803" t="s">
        <v>14214</v>
      </c>
      <c r="D1084" s="803" t="s">
        <v>18552</v>
      </c>
      <c r="E1084" s="803" t="s">
        <v>18214</v>
      </c>
      <c r="F1084" s="803">
        <v>6</v>
      </c>
      <c r="G1084" s="803" t="s">
        <v>3779</v>
      </c>
      <c r="H1084" s="803" t="s">
        <v>2837</v>
      </c>
      <c r="I1084" s="804">
        <v>31000</v>
      </c>
      <c r="J1084" s="803">
        <v>1</v>
      </c>
      <c r="K1084" s="804">
        <v>100000</v>
      </c>
      <c r="L1084" s="804">
        <v>100000</v>
      </c>
      <c r="M1084" s="804">
        <f t="shared" si="120"/>
        <v>31000</v>
      </c>
      <c r="N1084" s="803" t="s">
        <v>18215</v>
      </c>
      <c r="O1084" s="805">
        <f t="shared" si="115"/>
        <v>100000</v>
      </c>
      <c r="P1084" s="805">
        <f t="shared" si="116"/>
        <v>100000</v>
      </c>
      <c r="Q1084" s="806">
        <f t="shared" si="117"/>
        <v>31000</v>
      </c>
    </row>
    <row r="1085" spans="1:17" x14ac:dyDescent="0.2">
      <c r="A1085" s="797" t="s">
        <v>18558</v>
      </c>
      <c r="B1085" s="798" t="s">
        <v>18017</v>
      </c>
      <c r="C1085" s="798" t="s">
        <v>14214</v>
      </c>
      <c r="D1085" s="798" t="s">
        <v>18552</v>
      </c>
      <c r="E1085" s="798" t="s">
        <v>18217</v>
      </c>
      <c r="F1085" s="798">
        <v>7</v>
      </c>
      <c r="G1085" s="798" t="s">
        <v>3779</v>
      </c>
      <c r="H1085" s="798" t="s">
        <v>2837</v>
      </c>
      <c r="I1085" s="799">
        <v>37000</v>
      </c>
      <c r="J1085" s="798">
        <v>1</v>
      </c>
      <c r="K1085" s="799">
        <v>100000</v>
      </c>
      <c r="L1085" s="799">
        <v>100000</v>
      </c>
      <c r="M1085" s="799">
        <f t="shared" si="120"/>
        <v>37000</v>
      </c>
      <c r="N1085" s="798" t="s">
        <v>18215</v>
      </c>
      <c r="O1085" s="800">
        <f t="shared" si="115"/>
        <v>100000</v>
      </c>
      <c r="P1085" s="800">
        <f t="shared" si="116"/>
        <v>100000</v>
      </c>
      <c r="Q1085" s="801">
        <f t="shared" si="117"/>
        <v>37000</v>
      </c>
    </row>
    <row r="1086" spans="1:17" x14ac:dyDescent="0.2">
      <c r="A1086" s="802" t="s">
        <v>18559</v>
      </c>
      <c r="B1086" s="803" t="s">
        <v>18560</v>
      </c>
      <c r="C1086" s="803" t="s">
        <v>14217</v>
      </c>
      <c r="D1086" s="803" t="s">
        <v>18561</v>
      </c>
      <c r="E1086" s="803" t="s">
        <v>18031</v>
      </c>
      <c r="F1086" s="803">
        <v>1</v>
      </c>
      <c r="G1086" s="803" t="s">
        <v>1947</v>
      </c>
      <c r="H1086" s="803" t="s">
        <v>122</v>
      </c>
      <c r="I1086" s="804">
        <v>1500</v>
      </c>
      <c r="J1086" s="803">
        <v>1</v>
      </c>
      <c r="K1086" s="804">
        <f t="shared" ref="K1086:K1096" si="123">+I1086</f>
        <v>1500</v>
      </c>
      <c r="L1086" s="804">
        <f t="shared" ref="L1086:L1096" si="124">+I1086</f>
        <v>1500</v>
      </c>
      <c r="M1086" s="804">
        <f t="shared" si="120"/>
        <v>1500</v>
      </c>
      <c r="N1086" s="803" t="s">
        <v>18048</v>
      </c>
      <c r="O1086" s="805">
        <f t="shared" si="115"/>
        <v>1500</v>
      </c>
      <c r="P1086" s="805">
        <f t="shared" si="116"/>
        <v>1500</v>
      </c>
      <c r="Q1086" s="806">
        <f t="shared" si="117"/>
        <v>1500</v>
      </c>
    </row>
    <row r="1087" spans="1:17" x14ac:dyDescent="0.2">
      <c r="A1087" s="797" t="s">
        <v>18562</v>
      </c>
      <c r="B1087" s="798" t="s">
        <v>18560</v>
      </c>
      <c r="C1087" s="798" t="s">
        <v>14217</v>
      </c>
      <c r="D1087" s="798" t="s">
        <v>18563</v>
      </c>
      <c r="E1087" s="798" t="s">
        <v>18031</v>
      </c>
      <c r="F1087" s="798">
        <v>1</v>
      </c>
      <c r="G1087" s="798" t="s">
        <v>1947</v>
      </c>
      <c r="H1087" s="798" t="s">
        <v>122</v>
      </c>
      <c r="I1087" s="799">
        <v>2000</v>
      </c>
      <c r="J1087" s="798">
        <v>1</v>
      </c>
      <c r="K1087" s="799">
        <f t="shared" si="123"/>
        <v>2000</v>
      </c>
      <c r="L1087" s="799">
        <f t="shared" si="124"/>
        <v>2000</v>
      </c>
      <c r="M1087" s="799">
        <f t="shared" si="120"/>
        <v>2000</v>
      </c>
      <c r="N1087" s="798" t="s">
        <v>18048</v>
      </c>
      <c r="O1087" s="800">
        <f t="shared" si="115"/>
        <v>2000</v>
      </c>
      <c r="P1087" s="800">
        <f t="shared" si="116"/>
        <v>2000</v>
      </c>
      <c r="Q1087" s="801">
        <f t="shared" si="117"/>
        <v>2000</v>
      </c>
    </row>
    <row r="1088" spans="1:17" x14ac:dyDescent="0.2">
      <c r="A1088" s="802" t="s">
        <v>18564</v>
      </c>
      <c r="B1088" s="803" t="s">
        <v>18560</v>
      </c>
      <c r="C1088" s="803" t="s">
        <v>14217</v>
      </c>
      <c r="D1088" s="803" t="s">
        <v>18565</v>
      </c>
      <c r="E1088" s="803" t="s">
        <v>18031</v>
      </c>
      <c r="F1088" s="803">
        <v>1</v>
      </c>
      <c r="G1088" s="803" t="s">
        <v>1947</v>
      </c>
      <c r="H1088" s="803" t="s">
        <v>122</v>
      </c>
      <c r="I1088" s="804">
        <v>800</v>
      </c>
      <c r="J1088" s="803">
        <v>1</v>
      </c>
      <c r="K1088" s="804">
        <f t="shared" si="123"/>
        <v>800</v>
      </c>
      <c r="L1088" s="804">
        <f t="shared" si="124"/>
        <v>800</v>
      </c>
      <c r="M1088" s="804">
        <f t="shared" si="120"/>
        <v>800</v>
      </c>
      <c r="N1088" s="803" t="s">
        <v>18048</v>
      </c>
      <c r="O1088" s="805">
        <f t="shared" si="115"/>
        <v>800</v>
      </c>
      <c r="P1088" s="805">
        <f t="shared" si="116"/>
        <v>800</v>
      </c>
      <c r="Q1088" s="806">
        <f t="shared" si="117"/>
        <v>800</v>
      </c>
    </row>
    <row r="1089" spans="1:17" x14ac:dyDescent="0.2">
      <c r="A1089" s="797" t="s">
        <v>18566</v>
      </c>
      <c r="B1089" s="798" t="s">
        <v>18560</v>
      </c>
      <c r="C1089" s="798" t="s">
        <v>14217</v>
      </c>
      <c r="D1089" s="798" t="s">
        <v>18561</v>
      </c>
      <c r="E1089" s="798" t="s">
        <v>18054</v>
      </c>
      <c r="F1089" s="798">
        <v>2</v>
      </c>
      <c r="G1089" s="798" t="s">
        <v>2837</v>
      </c>
      <c r="H1089" s="798" t="s">
        <v>3779</v>
      </c>
      <c r="I1089" s="799">
        <v>5000</v>
      </c>
      <c r="J1089" s="798">
        <v>1</v>
      </c>
      <c r="K1089" s="799">
        <f t="shared" si="123"/>
        <v>5000</v>
      </c>
      <c r="L1089" s="799">
        <f t="shared" si="124"/>
        <v>5000</v>
      </c>
      <c r="M1089" s="799">
        <f t="shared" si="120"/>
        <v>5000</v>
      </c>
      <c r="N1089" s="798" t="s">
        <v>18057</v>
      </c>
      <c r="O1089" s="800">
        <f t="shared" si="115"/>
        <v>5000</v>
      </c>
      <c r="P1089" s="800">
        <f t="shared" si="116"/>
        <v>5000</v>
      </c>
      <c r="Q1089" s="801">
        <f t="shared" si="117"/>
        <v>5000</v>
      </c>
    </row>
    <row r="1090" spans="1:17" x14ac:dyDescent="0.2">
      <c r="A1090" s="802" t="s">
        <v>18567</v>
      </c>
      <c r="B1090" s="803" t="s">
        <v>18560</v>
      </c>
      <c r="C1090" s="803" t="s">
        <v>14217</v>
      </c>
      <c r="D1090" s="803" t="s">
        <v>18563</v>
      </c>
      <c r="E1090" s="803" t="s">
        <v>18054</v>
      </c>
      <c r="F1090" s="803">
        <v>2</v>
      </c>
      <c r="G1090" s="803" t="s">
        <v>2837</v>
      </c>
      <c r="H1090" s="803" t="s">
        <v>3779</v>
      </c>
      <c r="I1090" s="804">
        <v>5500</v>
      </c>
      <c r="J1090" s="803">
        <v>1</v>
      </c>
      <c r="K1090" s="804">
        <f t="shared" si="123"/>
        <v>5500</v>
      </c>
      <c r="L1090" s="804">
        <f t="shared" si="124"/>
        <v>5500</v>
      </c>
      <c r="M1090" s="804">
        <f t="shared" si="120"/>
        <v>5500</v>
      </c>
      <c r="N1090" s="803" t="s">
        <v>18057</v>
      </c>
      <c r="O1090" s="805">
        <f t="shared" ref="O1090:O1153" si="125">+J1090*K1090</f>
        <v>5500</v>
      </c>
      <c r="P1090" s="805">
        <f t="shared" ref="P1090:P1153" si="126">+J1090*L1090</f>
        <v>5500</v>
      </c>
      <c r="Q1090" s="806">
        <f t="shared" ref="Q1090:Q1153" si="127">+J1090*M1090</f>
        <v>5500</v>
      </c>
    </row>
    <row r="1091" spans="1:17" x14ac:dyDescent="0.2">
      <c r="A1091" s="797" t="s">
        <v>18568</v>
      </c>
      <c r="B1091" s="798" t="s">
        <v>18560</v>
      </c>
      <c r="C1091" s="798" t="s">
        <v>14217</v>
      </c>
      <c r="D1091" s="798" t="s">
        <v>18565</v>
      </c>
      <c r="E1091" s="798" t="s">
        <v>18054</v>
      </c>
      <c r="F1091" s="798">
        <v>2</v>
      </c>
      <c r="G1091" s="798" t="s">
        <v>2837</v>
      </c>
      <c r="H1091" s="798" t="s">
        <v>3779</v>
      </c>
      <c r="I1091" s="799">
        <v>1700</v>
      </c>
      <c r="J1091" s="798">
        <v>1</v>
      </c>
      <c r="K1091" s="799">
        <f t="shared" si="123"/>
        <v>1700</v>
      </c>
      <c r="L1091" s="799">
        <f t="shared" si="124"/>
        <v>1700</v>
      </c>
      <c r="M1091" s="799">
        <f t="shared" si="120"/>
        <v>1700</v>
      </c>
      <c r="N1091" s="798" t="s">
        <v>18057</v>
      </c>
      <c r="O1091" s="800">
        <f t="shared" si="125"/>
        <v>1700</v>
      </c>
      <c r="P1091" s="800">
        <f t="shared" si="126"/>
        <v>1700</v>
      </c>
      <c r="Q1091" s="801">
        <f t="shared" si="127"/>
        <v>1700</v>
      </c>
    </row>
    <row r="1092" spans="1:17" x14ac:dyDescent="0.2">
      <c r="A1092" s="802" t="s">
        <v>18569</v>
      </c>
      <c r="B1092" s="803" t="s">
        <v>18560</v>
      </c>
      <c r="C1092" s="803" t="s">
        <v>14217</v>
      </c>
      <c r="D1092" s="803" t="s">
        <v>18561</v>
      </c>
      <c r="E1092" s="803" t="s">
        <v>18033</v>
      </c>
      <c r="F1092" s="803">
        <v>3</v>
      </c>
      <c r="G1092" s="803" t="s">
        <v>1947</v>
      </c>
      <c r="H1092" s="803" t="s">
        <v>122</v>
      </c>
      <c r="I1092" s="804">
        <v>9000</v>
      </c>
      <c r="J1092" s="803">
        <v>1</v>
      </c>
      <c r="K1092" s="804">
        <f t="shared" si="123"/>
        <v>9000</v>
      </c>
      <c r="L1092" s="804">
        <f t="shared" si="124"/>
        <v>9000</v>
      </c>
      <c r="M1092" s="804">
        <f t="shared" si="120"/>
        <v>9000</v>
      </c>
      <c r="N1092" s="803" t="s">
        <v>18062</v>
      </c>
      <c r="O1092" s="805">
        <f t="shared" si="125"/>
        <v>9000</v>
      </c>
      <c r="P1092" s="805">
        <f t="shared" si="126"/>
        <v>9000</v>
      </c>
      <c r="Q1092" s="806">
        <f t="shared" si="127"/>
        <v>9000</v>
      </c>
    </row>
    <row r="1093" spans="1:17" x14ac:dyDescent="0.2">
      <c r="A1093" s="797" t="s">
        <v>18570</v>
      </c>
      <c r="B1093" s="798" t="s">
        <v>18560</v>
      </c>
      <c r="C1093" s="798" t="s">
        <v>14217</v>
      </c>
      <c r="D1093" s="798" t="s">
        <v>18563</v>
      </c>
      <c r="E1093" s="798" t="s">
        <v>18033</v>
      </c>
      <c r="F1093" s="798">
        <v>3</v>
      </c>
      <c r="G1093" s="798" t="s">
        <v>1947</v>
      </c>
      <c r="H1093" s="798" t="s">
        <v>122</v>
      </c>
      <c r="I1093" s="799">
        <v>10000</v>
      </c>
      <c r="J1093" s="798">
        <v>1</v>
      </c>
      <c r="K1093" s="799">
        <f t="shared" si="123"/>
        <v>10000</v>
      </c>
      <c r="L1093" s="799">
        <f t="shared" si="124"/>
        <v>10000</v>
      </c>
      <c r="M1093" s="799">
        <f t="shared" si="120"/>
        <v>10000</v>
      </c>
      <c r="N1093" s="798" t="s">
        <v>18062</v>
      </c>
      <c r="O1093" s="800">
        <f t="shared" si="125"/>
        <v>10000</v>
      </c>
      <c r="P1093" s="800">
        <f t="shared" si="126"/>
        <v>10000</v>
      </c>
      <c r="Q1093" s="801">
        <f t="shared" si="127"/>
        <v>10000</v>
      </c>
    </row>
    <row r="1094" spans="1:17" x14ac:dyDescent="0.2">
      <c r="A1094" s="802" t="s">
        <v>18571</v>
      </c>
      <c r="B1094" s="803" t="s">
        <v>18560</v>
      </c>
      <c r="C1094" s="803" t="s">
        <v>14217</v>
      </c>
      <c r="D1094" s="803" t="s">
        <v>18565</v>
      </c>
      <c r="E1094" s="803" t="s">
        <v>18033</v>
      </c>
      <c r="F1094" s="803">
        <v>3</v>
      </c>
      <c r="G1094" s="803" t="s">
        <v>1947</v>
      </c>
      <c r="H1094" s="803" t="s">
        <v>122</v>
      </c>
      <c r="I1094" s="804">
        <v>3000</v>
      </c>
      <c r="J1094" s="803">
        <v>1</v>
      </c>
      <c r="K1094" s="804">
        <f t="shared" si="123"/>
        <v>3000</v>
      </c>
      <c r="L1094" s="804">
        <f t="shared" si="124"/>
        <v>3000</v>
      </c>
      <c r="M1094" s="804">
        <f t="shared" si="120"/>
        <v>3000</v>
      </c>
      <c r="N1094" s="803" t="s">
        <v>18062</v>
      </c>
      <c r="O1094" s="805">
        <f t="shared" si="125"/>
        <v>3000</v>
      </c>
      <c r="P1094" s="805">
        <f t="shared" si="126"/>
        <v>3000</v>
      </c>
      <c r="Q1094" s="806">
        <f t="shared" si="127"/>
        <v>3000</v>
      </c>
    </row>
    <row r="1095" spans="1:17" x14ac:dyDescent="0.2">
      <c r="A1095" s="797" t="s">
        <v>18572</v>
      </c>
      <c r="B1095" s="798" t="s">
        <v>18560</v>
      </c>
      <c r="C1095" s="798" t="s">
        <v>14217</v>
      </c>
      <c r="D1095" s="798" t="s">
        <v>18561</v>
      </c>
      <c r="E1095" s="798" t="s">
        <v>18061</v>
      </c>
      <c r="F1095" s="798">
        <v>4</v>
      </c>
      <c r="G1095" s="798" t="s">
        <v>2837</v>
      </c>
      <c r="H1095" s="798" t="s">
        <v>3779</v>
      </c>
      <c r="I1095" s="799">
        <v>15000</v>
      </c>
      <c r="J1095" s="798">
        <v>1</v>
      </c>
      <c r="K1095" s="799">
        <f t="shared" si="123"/>
        <v>15000</v>
      </c>
      <c r="L1095" s="799">
        <f t="shared" si="124"/>
        <v>15000</v>
      </c>
      <c r="M1095" s="799">
        <f t="shared" si="120"/>
        <v>15000</v>
      </c>
      <c r="N1095" s="798" t="s">
        <v>18188</v>
      </c>
      <c r="O1095" s="800">
        <f t="shared" si="125"/>
        <v>15000</v>
      </c>
      <c r="P1095" s="800">
        <f t="shared" si="126"/>
        <v>15000</v>
      </c>
      <c r="Q1095" s="801">
        <f t="shared" si="127"/>
        <v>15000</v>
      </c>
    </row>
    <row r="1096" spans="1:17" x14ac:dyDescent="0.2">
      <c r="A1096" s="802" t="s">
        <v>18573</v>
      </c>
      <c r="B1096" s="803" t="s">
        <v>18560</v>
      </c>
      <c r="C1096" s="803" t="s">
        <v>14217</v>
      </c>
      <c r="D1096" s="803" t="s">
        <v>18563</v>
      </c>
      <c r="E1096" s="803" t="s">
        <v>18061</v>
      </c>
      <c r="F1096" s="803">
        <v>4</v>
      </c>
      <c r="G1096" s="803" t="s">
        <v>2837</v>
      </c>
      <c r="H1096" s="803" t="s">
        <v>3779</v>
      </c>
      <c r="I1096" s="804">
        <v>17000</v>
      </c>
      <c r="J1096" s="803">
        <v>1</v>
      </c>
      <c r="K1096" s="804">
        <f t="shared" si="123"/>
        <v>17000</v>
      </c>
      <c r="L1096" s="804">
        <f t="shared" si="124"/>
        <v>17000</v>
      </c>
      <c r="M1096" s="804">
        <f t="shared" si="120"/>
        <v>17000</v>
      </c>
      <c r="N1096" s="803" t="s">
        <v>18188</v>
      </c>
      <c r="O1096" s="805">
        <f t="shared" si="125"/>
        <v>17000</v>
      </c>
      <c r="P1096" s="805">
        <f t="shared" si="126"/>
        <v>17000</v>
      </c>
      <c r="Q1096" s="806">
        <f t="shared" si="127"/>
        <v>17000</v>
      </c>
    </row>
    <row r="1097" spans="1:17" x14ac:dyDescent="0.2">
      <c r="A1097" s="797" t="s">
        <v>18574</v>
      </c>
      <c r="B1097" s="798" t="s">
        <v>18560</v>
      </c>
      <c r="C1097" s="798" t="s">
        <v>14217</v>
      </c>
      <c r="D1097" s="798" t="s">
        <v>18565</v>
      </c>
      <c r="E1097" s="798" t="s">
        <v>18061</v>
      </c>
      <c r="F1097" s="798">
        <v>4</v>
      </c>
      <c r="G1097" s="798" t="s">
        <v>2837</v>
      </c>
      <c r="H1097" s="798" t="s">
        <v>3779</v>
      </c>
      <c r="I1097" s="799">
        <v>5200</v>
      </c>
      <c r="J1097" s="798">
        <v>1</v>
      </c>
      <c r="K1097" s="799">
        <v>20800</v>
      </c>
      <c r="L1097" s="799">
        <v>20800</v>
      </c>
      <c r="M1097" s="799">
        <f t="shared" si="120"/>
        <v>5200</v>
      </c>
      <c r="N1097" s="798" t="s">
        <v>18188</v>
      </c>
      <c r="O1097" s="800">
        <f t="shared" si="125"/>
        <v>20800</v>
      </c>
      <c r="P1097" s="800">
        <f t="shared" si="126"/>
        <v>20800</v>
      </c>
      <c r="Q1097" s="801">
        <f t="shared" si="127"/>
        <v>5200</v>
      </c>
    </row>
    <row r="1098" spans="1:17" x14ac:dyDescent="0.2">
      <c r="A1098" s="802" t="s">
        <v>18575</v>
      </c>
      <c r="B1098" s="803" t="s">
        <v>18560</v>
      </c>
      <c r="C1098" s="803" t="s">
        <v>14217</v>
      </c>
      <c r="D1098" s="803" t="s">
        <v>18565</v>
      </c>
      <c r="E1098" s="803" t="s">
        <v>18039</v>
      </c>
      <c r="F1098" s="803">
        <v>5</v>
      </c>
      <c r="G1098" s="803" t="s">
        <v>10772</v>
      </c>
      <c r="H1098" s="803" t="s">
        <v>122</v>
      </c>
      <c r="I1098" s="804">
        <v>25000</v>
      </c>
      <c r="J1098" s="803">
        <v>1</v>
      </c>
      <c r="K1098" s="804">
        <v>50000</v>
      </c>
      <c r="L1098" s="804">
        <v>50000</v>
      </c>
      <c r="M1098" s="804">
        <f t="shared" si="120"/>
        <v>25000</v>
      </c>
      <c r="N1098" s="803" t="s">
        <v>18192</v>
      </c>
      <c r="O1098" s="805">
        <f t="shared" si="125"/>
        <v>50000</v>
      </c>
      <c r="P1098" s="805">
        <f t="shared" si="126"/>
        <v>50000</v>
      </c>
      <c r="Q1098" s="806">
        <f t="shared" si="127"/>
        <v>25000</v>
      </c>
    </row>
    <row r="1099" spans="1:17" x14ac:dyDescent="0.2">
      <c r="A1099" s="797" t="s">
        <v>18576</v>
      </c>
      <c r="B1099" s="798" t="s">
        <v>18046</v>
      </c>
      <c r="C1099" s="798" t="s">
        <v>14220</v>
      </c>
      <c r="D1099" s="798" t="s">
        <v>18577</v>
      </c>
      <c r="E1099" s="798" t="s">
        <v>18019</v>
      </c>
      <c r="F1099" s="798">
        <v>1</v>
      </c>
      <c r="G1099" s="798" t="s">
        <v>122</v>
      </c>
      <c r="H1099" s="798" t="s">
        <v>122</v>
      </c>
      <c r="I1099" s="799">
        <v>1600</v>
      </c>
      <c r="J1099" s="798">
        <v>1</v>
      </c>
      <c r="K1099" s="799">
        <f t="shared" ref="K1099:K1116" si="128">+I1099</f>
        <v>1600</v>
      </c>
      <c r="L1099" s="799">
        <f t="shared" ref="L1099:L1116" si="129">+I1099</f>
        <v>1600</v>
      </c>
      <c r="M1099" s="799">
        <f t="shared" si="120"/>
        <v>1600</v>
      </c>
      <c r="N1099" s="798" t="s">
        <v>18048</v>
      </c>
      <c r="O1099" s="800">
        <f t="shared" si="125"/>
        <v>1600</v>
      </c>
      <c r="P1099" s="800">
        <f t="shared" si="126"/>
        <v>1600</v>
      </c>
      <c r="Q1099" s="801">
        <f t="shared" si="127"/>
        <v>1600</v>
      </c>
    </row>
    <row r="1100" spans="1:17" x14ac:dyDescent="0.2">
      <c r="A1100" s="802" t="s">
        <v>18578</v>
      </c>
      <c r="B1100" s="803" t="s">
        <v>18046</v>
      </c>
      <c r="C1100" s="803" t="s">
        <v>14220</v>
      </c>
      <c r="D1100" s="803" t="s">
        <v>18579</v>
      </c>
      <c r="E1100" s="803" t="s">
        <v>18019</v>
      </c>
      <c r="F1100" s="803">
        <v>1</v>
      </c>
      <c r="G1100" s="803" t="s">
        <v>122</v>
      </c>
      <c r="H1100" s="803" t="s">
        <v>122</v>
      </c>
      <c r="I1100" s="804">
        <v>1800</v>
      </c>
      <c r="J1100" s="803">
        <v>1</v>
      </c>
      <c r="K1100" s="804">
        <f t="shared" si="128"/>
        <v>1800</v>
      </c>
      <c r="L1100" s="804">
        <f t="shared" si="129"/>
        <v>1800</v>
      </c>
      <c r="M1100" s="804">
        <f t="shared" si="120"/>
        <v>1800</v>
      </c>
      <c r="N1100" s="803" t="s">
        <v>18048</v>
      </c>
      <c r="O1100" s="805">
        <f t="shared" si="125"/>
        <v>1800</v>
      </c>
      <c r="P1100" s="805">
        <f t="shared" si="126"/>
        <v>1800</v>
      </c>
      <c r="Q1100" s="806">
        <f t="shared" si="127"/>
        <v>1800</v>
      </c>
    </row>
    <row r="1101" spans="1:17" x14ac:dyDescent="0.2">
      <c r="A1101" s="797" t="s">
        <v>18580</v>
      </c>
      <c r="B1101" s="798" t="s">
        <v>18046</v>
      </c>
      <c r="C1101" s="798" t="s">
        <v>14220</v>
      </c>
      <c r="D1101" s="798" t="s">
        <v>18581</v>
      </c>
      <c r="E1101" s="798" t="s">
        <v>18031</v>
      </c>
      <c r="F1101" s="798">
        <v>1</v>
      </c>
      <c r="G1101" s="798" t="s">
        <v>122</v>
      </c>
      <c r="H1101" s="798" t="s">
        <v>1103</v>
      </c>
      <c r="I1101" s="799">
        <v>3000</v>
      </c>
      <c r="J1101" s="798">
        <v>1</v>
      </c>
      <c r="K1101" s="799">
        <f t="shared" si="128"/>
        <v>3000</v>
      </c>
      <c r="L1101" s="799">
        <f t="shared" si="129"/>
        <v>3000</v>
      </c>
      <c r="M1101" s="799">
        <f t="shared" si="120"/>
        <v>3000</v>
      </c>
      <c r="N1101" s="798" t="s">
        <v>18048</v>
      </c>
      <c r="O1101" s="800">
        <f t="shared" si="125"/>
        <v>3000</v>
      </c>
      <c r="P1101" s="800">
        <f t="shared" si="126"/>
        <v>3000</v>
      </c>
      <c r="Q1101" s="801">
        <f t="shared" si="127"/>
        <v>3000</v>
      </c>
    </row>
    <row r="1102" spans="1:17" x14ac:dyDescent="0.2">
      <c r="A1102" s="802" t="s">
        <v>18582</v>
      </c>
      <c r="B1102" s="803" t="s">
        <v>18046</v>
      </c>
      <c r="C1102" s="803" t="s">
        <v>14220</v>
      </c>
      <c r="D1102" s="803" t="s">
        <v>18581</v>
      </c>
      <c r="E1102" s="803" t="s">
        <v>18054</v>
      </c>
      <c r="F1102" s="803">
        <v>2</v>
      </c>
      <c r="G1102" s="803" t="s">
        <v>122</v>
      </c>
      <c r="H1102" s="803" t="s">
        <v>1103</v>
      </c>
      <c r="I1102" s="804">
        <v>5000</v>
      </c>
      <c r="J1102" s="803">
        <v>1</v>
      </c>
      <c r="K1102" s="804">
        <f t="shared" si="128"/>
        <v>5000</v>
      </c>
      <c r="L1102" s="804">
        <f t="shared" si="129"/>
        <v>5000</v>
      </c>
      <c r="M1102" s="804">
        <f t="shared" si="120"/>
        <v>5000</v>
      </c>
      <c r="N1102" s="803" t="s">
        <v>18055</v>
      </c>
      <c r="O1102" s="805">
        <f t="shared" si="125"/>
        <v>5000</v>
      </c>
      <c r="P1102" s="805">
        <f t="shared" si="126"/>
        <v>5000</v>
      </c>
      <c r="Q1102" s="806">
        <f t="shared" si="127"/>
        <v>5000</v>
      </c>
    </row>
    <row r="1103" spans="1:17" x14ac:dyDescent="0.2">
      <c r="A1103" s="797" t="s">
        <v>18583</v>
      </c>
      <c r="B1103" s="798" t="s">
        <v>18046</v>
      </c>
      <c r="C1103" s="798" t="s">
        <v>14220</v>
      </c>
      <c r="D1103" s="798" t="s">
        <v>18581</v>
      </c>
      <c r="E1103" s="798" t="s">
        <v>18033</v>
      </c>
      <c r="F1103" s="798">
        <v>3</v>
      </c>
      <c r="G1103" s="798" t="s">
        <v>122</v>
      </c>
      <c r="H1103" s="798" t="s">
        <v>1103</v>
      </c>
      <c r="I1103" s="799">
        <v>7000</v>
      </c>
      <c r="J1103" s="798">
        <v>1</v>
      </c>
      <c r="K1103" s="799">
        <f t="shared" si="128"/>
        <v>7000</v>
      </c>
      <c r="L1103" s="799">
        <f t="shared" si="129"/>
        <v>7000</v>
      </c>
      <c r="M1103" s="799">
        <f t="shared" si="120"/>
        <v>7000</v>
      </c>
      <c r="N1103" s="798" t="s">
        <v>18057</v>
      </c>
      <c r="O1103" s="800">
        <f t="shared" si="125"/>
        <v>7000</v>
      </c>
      <c r="P1103" s="800">
        <f t="shared" si="126"/>
        <v>7000</v>
      </c>
      <c r="Q1103" s="801">
        <f t="shared" si="127"/>
        <v>7000</v>
      </c>
    </row>
    <row r="1104" spans="1:17" x14ac:dyDescent="0.2">
      <c r="A1104" s="802" t="s">
        <v>18584</v>
      </c>
      <c r="B1104" s="803" t="s">
        <v>18046</v>
      </c>
      <c r="C1104" s="803" t="s">
        <v>14220</v>
      </c>
      <c r="D1104" s="803" t="s">
        <v>18585</v>
      </c>
      <c r="E1104" s="803" t="s">
        <v>18033</v>
      </c>
      <c r="F1104" s="803">
        <v>1</v>
      </c>
      <c r="G1104" s="803" t="s">
        <v>122</v>
      </c>
      <c r="H1104" s="803" t="s">
        <v>1103</v>
      </c>
      <c r="I1104" s="804">
        <v>7000</v>
      </c>
      <c r="J1104" s="803">
        <v>1</v>
      </c>
      <c r="K1104" s="804">
        <f t="shared" si="128"/>
        <v>7000</v>
      </c>
      <c r="L1104" s="804">
        <f t="shared" si="129"/>
        <v>7000</v>
      </c>
      <c r="M1104" s="804">
        <f t="shared" si="120"/>
        <v>7000</v>
      </c>
      <c r="N1104" s="803" t="s">
        <v>18057</v>
      </c>
      <c r="O1104" s="805">
        <f t="shared" si="125"/>
        <v>7000</v>
      </c>
      <c r="P1104" s="805">
        <f t="shared" si="126"/>
        <v>7000</v>
      </c>
      <c r="Q1104" s="806">
        <f t="shared" si="127"/>
        <v>7000</v>
      </c>
    </row>
    <row r="1105" spans="1:17" x14ac:dyDescent="0.2">
      <c r="A1105" s="797" t="s">
        <v>18586</v>
      </c>
      <c r="B1105" s="798" t="s">
        <v>18046</v>
      </c>
      <c r="C1105" s="798" t="s">
        <v>14220</v>
      </c>
      <c r="D1105" s="798" t="s">
        <v>18585</v>
      </c>
      <c r="E1105" s="798" t="s">
        <v>18061</v>
      </c>
      <c r="F1105" s="798">
        <v>2</v>
      </c>
      <c r="G1105" s="798" t="s">
        <v>122</v>
      </c>
      <c r="H1105" s="798" t="s">
        <v>1103</v>
      </c>
      <c r="I1105" s="799">
        <v>12000</v>
      </c>
      <c r="J1105" s="798">
        <v>1</v>
      </c>
      <c r="K1105" s="799">
        <f t="shared" si="128"/>
        <v>12000</v>
      </c>
      <c r="L1105" s="799">
        <f t="shared" si="129"/>
        <v>12000</v>
      </c>
      <c r="M1105" s="799">
        <f t="shared" si="120"/>
        <v>12000</v>
      </c>
      <c r="N1105" s="798" t="s">
        <v>18062</v>
      </c>
      <c r="O1105" s="800">
        <f t="shared" si="125"/>
        <v>12000</v>
      </c>
      <c r="P1105" s="800">
        <f t="shared" si="126"/>
        <v>12000</v>
      </c>
      <c r="Q1105" s="801">
        <f t="shared" si="127"/>
        <v>12000</v>
      </c>
    </row>
    <row r="1106" spans="1:17" x14ac:dyDescent="0.2">
      <c r="A1106" s="802" t="s">
        <v>18587</v>
      </c>
      <c r="B1106" s="803" t="s">
        <v>18588</v>
      </c>
      <c r="C1106" s="803" t="s">
        <v>14225</v>
      </c>
      <c r="D1106" s="803" t="s">
        <v>18589</v>
      </c>
      <c r="E1106" s="803" t="s">
        <v>18031</v>
      </c>
      <c r="F1106" s="803">
        <v>1</v>
      </c>
      <c r="G1106" s="803" t="s">
        <v>2837</v>
      </c>
      <c r="H1106" s="803" t="s">
        <v>3779</v>
      </c>
      <c r="I1106" s="804">
        <v>1500</v>
      </c>
      <c r="J1106" s="803">
        <v>1</v>
      </c>
      <c r="K1106" s="804">
        <f t="shared" si="128"/>
        <v>1500</v>
      </c>
      <c r="L1106" s="804">
        <f t="shared" si="129"/>
        <v>1500</v>
      </c>
      <c r="M1106" s="804">
        <f t="shared" si="120"/>
        <v>1500</v>
      </c>
      <c r="N1106" s="803" t="s">
        <v>18048</v>
      </c>
      <c r="O1106" s="805">
        <f t="shared" si="125"/>
        <v>1500</v>
      </c>
      <c r="P1106" s="805">
        <f t="shared" si="126"/>
        <v>1500</v>
      </c>
      <c r="Q1106" s="806">
        <f t="shared" si="127"/>
        <v>1500</v>
      </c>
    </row>
    <row r="1107" spans="1:17" x14ac:dyDescent="0.2">
      <c r="A1107" s="797" t="s">
        <v>18590</v>
      </c>
      <c r="B1107" s="798" t="s">
        <v>18588</v>
      </c>
      <c r="C1107" s="798" t="s">
        <v>14225</v>
      </c>
      <c r="D1107" s="798" t="s">
        <v>18591</v>
      </c>
      <c r="E1107" s="798" t="s">
        <v>18031</v>
      </c>
      <c r="F1107" s="798">
        <v>1</v>
      </c>
      <c r="G1107" s="798" t="s">
        <v>2837</v>
      </c>
      <c r="H1107" s="798" t="s">
        <v>3779</v>
      </c>
      <c r="I1107" s="799">
        <v>2000</v>
      </c>
      <c r="J1107" s="798">
        <v>1</v>
      </c>
      <c r="K1107" s="799">
        <f t="shared" si="128"/>
        <v>2000</v>
      </c>
      <c r="L1107" s="799">
        <f t="shared" si="129"/>
        <v>2000</v>
      </c>
      <c r="M1107" s="799">
        <f t="shared" si="120"/>
        <v>2000</v>
      </c>
      <c r="N1107" s="798" t="s">
        <v>18048</v>
      </c>
      <c r="O1107" s="800">
        <f t="shared" si="125"/>
        <v>2000</v>
      </c>
      <c r="P1107" s="800">
        <f t="shared" si="126"/>
        <v>2000</v>
      </c>
      <c r="Q1107" s="801">
        <f t="shared" si="127"/>
        <v>2000</v>
      </c>
    </row>
    <row r="1108" spans="1:17" x14ac:dyDescent="0.2">
      <c r="A1108" s="802" t="s">
        <v>18592</v>
      </c>
      <c r="B1108" s="803" t="s">
        <v>18588</v>
      </c>
      <c r="C1108" s="803" t="s">
        <v>14225</v>
      </c>
      <c r="D1108" s="803" t="s">
        <v>18593</v>
      </c>
      <c r="E1108" s="803" t="s">
        <v>18031</v>
      </c>
      <c r="F1108" s="803">
        <v>1</v>
      </c>
      <c r="G1108" s="803" t="s">
        <v>10772</v>
      </c>
      <c r="H1108" s="803" t="s">
        <v>3779</v>
      </c>
      <c r="I1108" s="804">
        <v>3000</v>
      </c>
      <c r="J1108" s="803">
        <v>1</v>
      </c>
      <c r="K1108" s="804">
        <f t="shared" si="128"/>
        <v>3000</v>
      </c>
      <c r="L1108" s="804">
        <f t="shared" si="129"/>
        <v>3000</v>
      </c>
      <c r="M1108" s="804">
        <f t="shared" si="120"/>
        <v>3000</v>
      </c>
      <c r="N1108" s="803" t="s">
        <v>18048</v>
      </c>
      <c r="O1108" s="805">
        <f t="shared" si="125"/>
        <v>3000</v>
      </c>
      <c r="P1108" s="805">
        <f t="shared" si="126"/>
        <v>3000</v>
      </c>
      <c r="Q1108" s="806">
        <f t="shared" si="127"/>
        <v>3000</v>
      </c>
    </row>
    <row r="1109" spans="1:17" x14ac:dyDescent="0.2">
      <c r="A1109" s="797" t="s">
        <v>18594</v>
      </c>
      <c r="B1109" s="798" t="s">
        <v>18588</v>
      </c>
      <c r="C1109" s="798" t="s">
        <v>14225</v>
      </c>
      <c r="D1109" s="798" t="s">
        <v>18589</v>
      </c>
      <c r="E1109" s="798" t="s">
        <v>18054</v>
      </c>
      <c r="F1109" s="798">
        <v>2</v>
      </c>
      <c r="G1109" s="798" t="s">
        <v>3779</v>
      </c>
      <c r="H1109" s="798" t="s">
        <v>2837</v>
      </c>
      <c r="I1109" s="799">
        <v>5000</v>
      </c>
      <c r="J1109" s="798">
        <v>1</v>
      </c>
      <c r="K1109" s="799">
        <f t="shared" si="128"/>
        <v>5000</v>
      </c>
      <c r="L1109" s="799">
        <f t="shared" si="129"/>
        <v>5000</v>
      </c>
      <c r="M1109" s="799">
        <f t="shared" si="120"/>
        <v>5000</v>
      </c>
      <c r="N1109" s="798" t="s">
        <v>18057</v>
      </c>
      <c r="O1109" s="800">
        <f t="shared" si="125"/>
        <v>5000</v>
      </c>
      <c r="P1109" s="800">
        <f t="shared" si="126"/>
        <v>5000</v>
      </c>
      <c r="Q1109" s="801">
        <f t="shared" si="127"/>
        <v>5000</v>
      </c>
    </row>
    <row r="1110" spans="1:17" x14ac:dyDescent="0.2">
      <c r="A1110" s="802" t="s">
        <v>18595</v>
      </c>
      <c r="B1110" s="803" t="s">
        <v>18588</v>
      </c>
      <c r="C1110" s="803" t="s">
        <v>14225</v>
      </c>
      <c r="D1110" s="803" t="s">
        <v>18591</v>
      </c>
      <c r="E1110" s="803" t="s">
        <v>18054</v>
      </c>
      <c r="F1110" s="803">
        <v>2</v>
      </c>
      <c r="G1110" s="803" t="s">
        <v>3779</v>
      </c>
      <c r="H1110" s="803" t="s">
        <v>2837</v>
      </c>
      <c r="I1110" s="804">
        <v>5500</v>
      </c>
      <c r="J1110" s="803">
        <v>1</v>
      </c>
      <c r="K1110" s="804">
        <f t="shared" si="128"/>
        <v>5500</v>
      </c>
      <c r="L1110" s="804">
        <f t="shared" si="129"/>
        <v>5500</v>
      </c>
      <c r="M1110" s="804">
        <f t="shared" si="120"/>
        <v>5500</v>
      </c>
      <c r="N1110" s="803" t="s">
        <v>18057</v>
      </c>
      <c r="O1110" s="805">
        <f t="shared" si="125"/>
        <v>5500</v>
      </c>
      <c r="P1110" s="805">
        <f t="shared" si="126"/>
        <v>5500</v>
      </c>
      <c r="Q1110" s="806">
        <f t="shared" si="127"/>
        <v>5500</v>
      </c>
    </row>
    <row r="1111" spans="1:17" x14ac:dyDescent="0.2">
      <c r="A1111" s="797" t="s">
        <v>18596</v>
      </c>
      <c r="B1111" s="798" t="s">
        <v>18588</v>
      </c>
      <c r="C1111" s="798" t="s">
        <v>14225</v>
      </c>
      <c r="D1111" s="798" t="s">
        <v>18593</v>
      </c>
      <c r="E1111" s="798" t="s">
        <v>18054</v>
      </c>
      <c r="F1111" s="798">
        <v>2</v>
      </c>
      <c r="G1111" s="798" t="s">
        <v>10772</v>
      </c>
      <c r="H1111" s="798" t="s">
        <v>2837</v>
      </c>
      <c r="I1111" s="799">
        <v>7000</v>
      </c>
      <c r="J1111" s="798">
        <v>1</v>
      </c>
      <c r="K1111" s="799">
        <f t="shared" si="128"/>
        <v>7000</v>
      </c>
      <c r="L1111" s="799">
        <f t="shared" si="129"/>
        <v>7000</v>
      </c>
      <c r="M1111" s="799">
        <f t="shared" si="120"/>
        <v>7000</v>
      </c>
      <c r="N1111" s="798" t="s">
        <v>18057</v>
      </c>
      <c r="O1111" s="800">
        <f t="shared" si="125"/>
        <v>7000</v>
      </c>
      <c r="P1111" s="800">
        <f t="shared" si="126"/>
        <v>7000</v>
      </c>
      <c r="Q1111" s="801">
        <f t="shared" si="127"/>
        <v>7000</v>
      </c>
    </row>
    <row r="1112" spans="1:17" x14ac:dyDescent="0.2">
      <c r="A1112" s="802" t="s">
        <v>18597</v>
      </c>
      <c r="B1112" s="803" t="s">
        <v>18588</v>
      </c>
      <c r="C1112" s="803" t="s">
        <v>14225</v>
      </c>
      <c r="D1112" s="803" t="s">
        <v>18589</v>
      </c>
      <c r="E1112" s="803" t="s">
        <v>18033</v>
      </c>
      <c r="F1112" s="803">
        <v>3</v>
      </c>
      <c r="G1112" s="803" t="s">
        <v>2837</v>
      </c>
      <c r="H1112" s="803" t="s">
        <v>3779</v>
      </c>
      <c r="I1112" s="804">
        <v>9000</v>
      </c>
      <c r="J1112" s="803">
        <v>1</v>
      </c>
      <c r="K1112" s="804">
        <f t="shared" si="128"/>
        <v>9000</v>
      </c>
      <c r="L1112" s="804">
        <f t="shared" si="129"/>
        <v>9000</v>
      </c>
      <c r="M1112" s="804">
        <f t="shared" si="120"/>
        <v>9000</v>
      </c>
      <c r="N1112" s="803" t="s">
        <v>18062</v>
      </c>
      <c r="O1112" s="805">
        <f t="shared" si="125"/>
        <v>9000</v>
      </c>
      <c r="P1112" s="805">
        <f t="shared" si="126"/>
        <v>9000</v>
      </c>
      <c r="Q1112" s="806">
        <f t="shared" si="127"/>
        <v>9000</v>
      </c>
    </row>
    <row r="1113" spans="1:17" x14ac:dyDescent="0.2">
      <c r="A1113" s="797" t="s">
        <v>18598</v>
      </c>
      <c r="B1113" s="798" t="s">
        <v>18588</v>
      </c>
      <c r="C1113" s="798" t="s">
        <v>14225</v>
      </c>
      <c r="D1113" s="798" t="s">
        <v>18591</v>
      </c>
      <c r="E1113" s="798" t="s">
        <v>18033</v>
      </c>
      <c r="F1113" s="798">
        <v>3</v>
      </c>
      <c r="G1113" s="798" t="s">
        <v>2837</v>
      </c>
      <c r="H1113" s="798" t="s">
        <v>3779</v>
      </c>
      <c r="I1113" s="799">
        <v>10000</v>
      </c>
      <c r="J1113" s="798">
        <v>1</v>
      </c>
      <c r="K1113" s="799">
        <f t="shared" si="128"/>
        <v>10000</v>
      </c>
      <c r="L1113" s="799">
        <f t="shared" si="129"/>
        <v>10000</v>
      </c>
      <c r="M1113" s="799">
        <f t="shared" si="120"/>
        <v>10000</v>
      </c>
      <c r="N1113" s="798" t="s">
        <v>18062</v>
      </c>
      <c r="O1113" s="800">
        <f t="shared" si="125"/>
        <v>10000</v>
      </c>
      <c r="P1113" s="800">
        <f t="shared" si="126"/>
        <v>10000</v>
      </c>
      <c r="Q1113" s="801">
        <f t="shared" si="127"/>
        <v>10000</v>
      </c>
    </row>
    <row r="1114" spans="1:17" x14ac:dyDescent="0.2">
      <c r="A1114" s="802" t="s">
        <v>18599</v>
      </c>
      <c r="B1114" s="803" t="s">
        <v>18588</v>
      </c>
      <c r="C1114" s="803" t="s">
        <v>14225</v>
      </c>
      <c r="D1114" s="803" t="s">
        <v>18593</v>
      </c>
      <c r="E1114" s="803" t="s">
        <v>18033</v>
      </c>
      <c r="F1114" s="803">
        <v>3</v>
      </c>
      <c r="G1114" s="803" t="s">
        <v>10772</v>
      </c>
      <c r="H1114" s="803" t="s">
        <v>3779</v>
      </c>
      <c r="I1114" s="804">
        <v>12000</v>
      </c>
      <c r="J1114" s="803">
        <v>1</v>
      </c>
      <c r="K1114" s="804">
        <f t="shared" si="128"/>
        <v>12000</v>
      </c>
      <c r="L1114" s="804">
        <f t="shared" si="129"/>
        <v>12000</v>
      </c>
      <c r="M1114" s="804">
        <f t="shared" si="120"/>
        <v>12000</v>
      </c>
      <c r="N1114" s="803" t="s">
        <v>18062</v>
      </c>
      <c r="O1114" s="805">
        <f t="shared" si="125"/>
        <v>12000</v>
      </c>
      <c r="P1114" s="805">
        <f t="shared" si="126"/>
        <v>12000</v>
      </c>
      <c r="Q1114" s="806">
        <f t="shared" si="127"/>
        <v>12000</v>
      </c>
    </row>
    <row r="1115" spans="1:17" x14ac:dyDescent="0.2">
      <c r="A1115" s="797" t="s">
        <v>18600</v>
      </c>
      <c r="B1115" s="798" t="s">
        <v>18588</v>
      </c>
      <c r="C1115" s="798" t="s">
        <v>14225</v>
      </c>
      <c r="D1115" s="798" t="s">
        <v>18589</v>
      </c>
      <c r="E1115" s="798" t="s">
        <v>18061</v>
      </c>
      <c r="F1115" s="798">
        <v>4</v>
      </c>
      <c r="G1115" s="798" t="s">
        <v>3779</v>
      </c>
      <c r="H1115" s="798" t="s">
        <v>2837</v>
      </c>
      <c r="I1115" s="799">
        <v>15000</v>
      </c>
      <c r="J1115" s="798">
        <v>1</v>
      </c>
      <c r="K1115" s="799">
        <f t="shared" si="128"/>
        <v>15000</v>
      </c>
      <c r="L1115" s="799">
        <f t="shared" si="129"/>
        <v>15000</v>
      </c>
      <c r="M1115" s="799">
        <f t="shared" si="120"/>
        <v>15000</v>
      </c>
      <c r="N1115" s="798" t="s">
        <v>18188</v>
      </c>
      <c r="O1115" s="800">
        <f t="shared" si="125"/>
        <v>15000</v>
      </c>
      <c r="P1115" s="800">
        <f t="shared" si="126"/>
        <v>15000</v>
      </c>
      <c r="Q1115" s="801">
        <f t="shared" si="127"/>
        <v>15000</v>
      </c>
    </row>
    <row r="1116" spans="1:17" x14ac:dyDescent="0.2">
      <c r="A1116" s="802" t="s">
        <v>18601</v>
      </c>
      <c r="B1116" s="803" t="s">
        <v>18588</v>
      </c>
      <c r="C1116" s="803" t="s">
        <v>14225</v>
      </c>
      <c r="D1116" s="803" t="s">
        <v>18591</v>
      </c>
      <c r="E1116" s="803" t="s">
        <v>18061</v>
      </c>
      <c r="F1116" s="803">
        <v>4</v>
      </c>
      <c r="G1116" s="803" t="s">
        <v>3779</v>
      </c>
      <c r="H1116" s="803" t="s">
        <v>2837</v>
      </c>
      <c r="I1116" s="804">
        <v>17000</v>
      </c>
      <c r="J1116" s="803">
        <v>1</v>
      </c>
      <c r="K1116" s="804">
        <f t="shared" si="128"/>
        <v>17000</v>
      </c>
      <c r="L1116" s="804">
        <f t="shared" si="129"/>
        <v>17000</v>
      </c>
      <c r="M1116" s="804">
        <f t="shared" si="120"/>
        <v>17000</v>
      </c>
      <c r="N1116" s="803" t="s">
        <v>18188</v>
      </c>
      <c r="O1116" s="805">
        <f t="shared" si="125"/>
        <v>17000</v>
      </c>
      <c r="P1116" s="805">
        <f t="shared" si="126"/>
        <v>17000</v>
      </c>
      <c r="Q1116" s="806">
        <f t="shared" si="127"/>
        <v>17000</v>
      </c>
    </row>
    <row r="1117" spans="1:17" x14ac:dyDescent="0.2">
      <c r="A1117" s="797" t="s">
        <v>18602</v>
      </c>
      <c r="B1117" s="798" t="s">
        <v>18588</v>
      </c>
      <c r="C1117" s="798" t="s">
        <v>14225</v>
      </c>
      <c r="D1117" s="798" t="s">
        <v>18593</v>
      </c>
      <c r="E1117" s="798" t="s">
        <v>18061</v>
      </c>
      <c r="F1117" s="798">
        <v>4</v>
      </c>
      <c r="G1117" s="798" t="s">
        <v>10772</v>
      </c>
      <c r="H1117" s="798" t="s">
        <v>2837</v>
      </c>
      <c r="I1117" s="799">
        <v>22000</v>
      </c>
      <c r="J1117" s="798">
        <v>1</v>
      </c>
      <c r="K1117" s="799">
        <v>50000</v>
      </c>
      <c r="L1117" s="799">
        <v>50000</v>
      </c>
      <c r="M1117" s="799">
        <f t="shared" si="120"/>
        <v>22000</v>
      </c>
      <c r="N1117" s="798" t="s">
        <v>18188</v>
      </c>
      <c r="O1117" s="800">
        <f t="shared" si="125"/>
        <v>50000</v>
      </c>
      <c r="P1117" s="800">
        <f t="shared" si="126"/>
        <v>50000</v>
      </c>
      <c r="Q1117" s="801">
        <f t="shared" si="127"/>
        <v>22000</v>
      </c>
    </row>
    <row r="1118" spans="1:17" x14ac:dyDescent="0.2">
      <c r="A1118" s="802" t="s">
        <v>18603</v>
      </c>
      <c r="B1118" s="803" t="s">
        <v>18588</v>
      </c>
      <c r="C1118" s="803" t="s">
        <v>14225</v>
      </c>
      <c r="D1118" s="803" t="s">
        <v>18593</v>
      </c>
      <c r="E1118" s="803" t="s">
        <v>18039</v>
      </c>
      <c r="F1118" s="803">
        <v>5</v>
      </c>
      <c r="G1118" s="803" t="s">
        <v>10772</v>
      </c>
      <c r="H1118" s="803" t="s">
        <v>3779</v>
      </c>
      <c r="I1118" s="804">
        <v>25000</v>
      </c>
      <c r="J1118" s="803">
        <v>1</v>
      </c>
      <c r="K1118" s="804">
        <v>70000</v>
      </c>
      <c r="L1118" s="804">
        <v>70000</v>
      </c>
      <c r="M1118" s="804">
        <f t="shared" si="120"/>
        <v>25000</v>
      </c>
      <c r="N1118" s="803" t="s">
        <v>18192</v>
      </c>
      <c r="O1118" s="805">
        <f t="shared" si="125"/>
        <v>70000</v>
      </c>
      <c r="P1118" s="805">
        <f t="shared" si="126"/>
        <v>70000</v>
      </c>
      <c r="Q1118" s="806">
        <f t="shared" si="127"/>
        <v>25000</v>
      </c>
    </row>
    <row r="1119" spans="1:17" x14ac:dyDescent="0.2">
      <c r="A1119" s="797" t="s">
        <v>18604</v>
      </c>
      <c r="B1119" s="798" t="s">
        <v>18017</v>
      </c>
      <c r="C1119" s="798" t="s">
        <v>14229</v>
      </c>
      <c r="D1119" s="798" t="s">
        <v>18605</v>
      </c>
      <c r="E1119" s="798" t="s">
        <v>18031</v>
      </c>
      <c r="F1119" s="798">
        <v>1</v>
      </c>
      <c r="G1119" s="798" t="s">
        <v>1103</v>
      </c>
      <c r="H1119" s="798" t="s">
        <v>1947</v>
      </c>
      <c r="I1119" s="799">
        <v>2000</v>
      </c>
      <c r="J1119" s="798">
        <v>1</v>
      </c>
      <c r="K1119" s="799">
        <f t="shared" ref="K1119:K1124" si="130">+I1119</f>
        <v>2000</v>
      </c>
      <c r="L1119" s="799">
        <f t="shared" ref="L1119:L1124" si="131">+I1119</f>
        <v>2000</v>
      </c>
      <c r="M1119" s="799">
        <f t="shared" si="120"/>
        <v>2000</v>
      </c>
      <c r="N1119" s="798" t="s">
        <v>18020</v>
      </c>
      <c r="O1119" s="800">
        <f t="shared" si="125"/>
        <v>2000</v>
      </c>
      <c r="P1119" s="800">
        <f t="shared" si="126"/>
        <v>2000</v>
      </c>
      <c r="Q1119" s="801">
        <f t="shared" si="127"/>
        <v>2000</v>
      </c>
    </row>
    <row r="1120" spans="1:17" x14ac:dyDescent="0.2">
      <c r="A1120" s="802" t="s">
        <v>18606</v>
      </c>
      <c r="B1120" s="803" t="s">
        <v>18017</v>
      </c>
      <c r="C1120" s="803" t="s">
        <v>14229</v>
      </c>
      <c r="D1120" s="803" t="s">
        <v>18605</v>
      </c>
      <c r="E1120" s="803" t="s">
        <v>18033</v>
      </c>
      <c r="F1120" s="803">
        <v>2</v>
      </c>
      <c r="G1120" s="803" t="s">
        <v>1103</v>
      </c>
      <c r="H1120" s="803" t="s">
        <v>1947</v>
      </c>
      <c r="I1120" s="804">
        <v>5200</v>
      </c>
      <c r="J1120" s="803">
        <v>1</v>
      </c>
      <c r="K1120" s="804">
        <f t="shared" si="130"/>
        <v>5200</v>
      </c>
      <c r="L1120" s="804">
        <f t="shared" si="131"/>
        <v>5200</v>
      </c>
      <c r="M1120" s="804">
        <f t="shared" si="120"/>
        <v>5200</v>
      </c>
      <c r="N1120" s="803" t="s">
        <v>18020</v>
      </c>
      <c r="O1120" s="805">
        <f t="shared" si="125"/>
        <v>5200</v>
      </c>
      <c r="P1120" s="805">
        <f t="shared" si="126"/>
        <v>5200</v>
      </c>
      <c r="Q1120" s="806">
        <f t="shared" si="127"/>
        <v>5200</v>
      </c>
    </row>
    <row r="1121" spans="1:17" x14ac:dyDescent="0.2">
      <c r="A1121" s="797" t="s">
        <v>18607</v>
      </c>
      <c r="B1121" s="798" t="s">
        <v>18017</v>
      </c>
      <c r="C1121" s="798" t="s">
        <v>14229</v>
      </c>
      <c r="D1121" s="798" t="s">
        <v>18608</v>
      </c>
      <c r="E1121" s="798" t="s">
        <v>18031</v>
      </c>
      <c r="F1121" s="798">
        <v>1</v>
      </c>
      <c r="G1121" s="798" t="s">
        <v>1103</v>
      </c>
      <c r="H1121" s="798" t="s">
        <v>1947</v>
      </c>
      <c r="I1121" s="799">
        <v>2500</v>
      </c>
      <c r="J1121" s="798">
        <v>1</v>
      </c>
      <c r="K1121" s="799">
        <f t="shared" si="130"/>
        <v>2500</v>
      </c>
      <c r="L1121" s="799">
        <f t="shared" si="131"/>
        <v>2500</v>
      </c>
      <c r="M1121" s="799">
        <f t="shared" si="120"/>
        <v>2500</v>
      </c>
      <c r="N1121" s="798" t="s">
        <v>18020</v>
      </c>
      <c r="O1121" s="800">
        <f t="shared" si="125"/>
        <v>2500</v>
      </c>
      <c r="P1121" s="800">
        <f t="shared" si="126"/>
        <v>2500</v>
      </c>
      <c r="Q1121" s="801">
        <f t="shared" si="127"/>
        <v>2500</v>
      </c>
    </row>
    <row r="1122" spans="1:17" x14ac:dyDescent="0.2">
      <c r="A1122" s="802" t="s">
        <v>18609</v>
      </c>
      <c r="B1122" s="803" t="s">
        <v>18017</v>
      </c>
      <c r="C1122" s="803" t="s">
        <v>14229</v>
      </c>
      <c r="D1122" s="803" t="s">
        <v>18608</v>
      </c>
      <c r="E1122" s="803" t="s">
        <v>18033</v>
      </c>
      <c r="F1122" s="803">
        <v>2</v>
      </c>
      <c r="G1122" s="803" t="s">
        <v>1103</v>
      </c>
      <c r="H1122" s="803" t="s">
        <v>1947</v>
      </c>
      <c r="I1122" s="804">
        <v>7800</v>
      </c>
      <c r="J1122" s="803">
        <v>1</v>
      </c>
      <c r="K1122" s="804">
        <f t="shared" si="130"/>
        <v>7800</v>
      </c>
      <c r="L1122" s="804">
        <f t="shared" si="131"/>
        <v>7800</v>
      </c>
      <c r="M1122" s="804">
        <f t="shared" si="120"/>
        <v>7800</v>
      </c>
      <c r="N1122" s="803" t="s">
        <v>18037</v>
      </c>
      <c r="O1122" s="805">
        <f t="shared" si="125"/>
        <v>7800</v>
      </c>
      <c r="P1122" s="805">
        <f t="shared" si="126"/>
        <v>7800</v>
      </c>
      <c r="Q1122" s="806">
        <f t="shared" si="127"/>
        <v>7800</v>
      </c>
    </row>
    <row r="1123" spans="1:17" x14ac:dyDescent="0.2">
      <c r="A1123" s="797" t="s">
        <v>18610</v>
      </c>
      <c r="B1123" s="798" t="s">
        <v>18017</v>
      </c>
      <c r="C1123" s="798" t="s">
        <v>14229</v>
      </c>
      <c r="D1123" s="798" t="s">
        <v>18608</v>
      </c>
      <c r="E1123" s="798" t="s">
        <v>18039</v>
      </c>
      <c r="F1123" s="798">
        <v>3</v>
      </c>
      <c r="G1123" s="798" t="s">
        <v>1103</v>
      </c>
      <c r="H1123" s="798" t="s">
        <v>1947</v>
      </c>
      <c r="I1123" s="799">
        <v>9500</v>
      </c>
      <c r="J1123" s="798">
        <v>1</v>
      </c>
      <c r="K1123" s="799">
        <f t="shared" si="130"/>
        <v>9500</v>
      </c>
      <c r="L1123" s="799">
        <f t="shared" si="131"/>
        <v>9500</v>
      </c>
      <c r="M1123" s="799">
        <f t="shared" si="120"/>
        <v>9500</v>
      </c>
      <c r="N1123" s="798" t="s">
        <v>18037</v>
      </c>
      <c r="O1123" s="800">
        <f t="shared" si="125"/>
        <v>9500</v>
      </c>
      <c r="P1123" s="800">
        <f t="shared" si="126"/>
        <v>9500</v>
      </c>
      <c r="Q1123" s="801">
        <f t="shared" si="127"/>
        <v>9500</v>
      </c>
    </row>
    <row r="1124" spans="1:17" x14ac:dyDescent="0.2">
      <c r="A1124" s="802" t="s">
        <v>18611</v>
      </c>
      <c r="B1124" s="803" t="s">
        <v>18017</v>
      </c>
      <c r="C1124" s="803" t="s">
        <v>14229</v>
      </c>
      <c r="D1124" s="803" t="s">
        <v>18608</v>
      </c>
      <c r="E1124" s="803" t="s">
        <v>18041</v>
      </c>
      <c r="F1124" s="803">
        <v>4</v>
      </c>
      <c r="G1124" s="803" t="s">
        <v>1103</v>
      </c>
      <c r="H1124" s="803" t="s">
        <v>1947</v>
      </c>
      <c r="I1124" s="804">
        <v>15000</v>
      </c>
      <c r="J1124" s="803">
        <v>1</v>
      </c>
      <c r="K1124" s="804">
        <f t="shared" si="130"/>
        <v>15000</v>
      </c>
      <c r="L1124" s="804">
        <f t="shared" si="131"/>
        <v>15000</v>
      </c>
      <c r="M1124" s="804">
        <f t="shared" si="120"/>
        <v>15000</v>
      </c>
      <c r="N1124" s="803" t="s">
        <v>18042</v>
      </c>
      <c r="O1124" s="805">
        <f t="shared" si="125"/>
        <v>15000</v>
      </c>
      <c r="P1124" s="805">
        <f t="shared" si="126"/>
        <v>15000</v>
      </c>
      <c r="Q1124" s="806">
        <f t="shared" si="127"/>
        <v>15000</v>
      </c>
    </row>
    <row r="1125" spans="1:17" x14ac:dyDescent="0.2">
      <c r="A1125" s="797" t="s">
        <v>18612</v>
      </c>
      <c r="B1125" s="798" t="s">
        <v>18017</v>
      </c>
      <c r="C1125" s="798" t="s">
        <v>14229</v>
      </c>
      <c r="D1125" s="798" t="s">
        <v>18608</v>
      </c>
      <c r="E1125" s="798" t="s">
        <v>18212</v>
      </c>
      <c r="F1125" s="798">
        <v>5</v>
      </c>
      <c r="G1125" s="798" t="s">
        <v>1103</v>
      </c>
      <c r="H1125" s="798" t="s">
        <v>1947</v>
      </c>
      <c r="I1125" s="799">
        <v>22000</v>
      </c>
      <c r="J1125" s="798">
        <v>1</v>
      </c>
      <c r="K1125" s="799">
        <v>100000</v>
      </c>
      <c r="L1125" s="799">
        <v>100000</v>
      </c>
      <c r="M1125" s="799">
        <f t="shared" si="120"/>
        <v>22000</v>
      </c>
      <c r="N1125" s="798" t="s">
        <v>18042</v>
      </c>
      <c r="O1125" s="800">
        <f t="shared" si="125"/>
        <v>100000</v>
      </c>
      <c r="P1125" s="800">
        <f t="shared" si="126"/>
        <v>100000</v>
      </c>
      <c r="Q1125" s="801">
        <f t="shared" si="127"/>
        <v>22000</v>
      </c>
    </row>
    <row r="1126" spans="1:17" x14ac:dyDescent="0.2">
      <c r="A1126" s="802" t="s">
        <v>18613</v>
      </c>
      <c r="B1126" s="803" t="s">
        <v>18017</v>
      </c>
      <c r="C1126" s="803" t="s">
        <v>14229</v>
      </c>
      <c r="D1126" s="803" t="s">
        <v>18608</v>
      </c>
      <c r="E1126" s="803" t="s">
        <v>18214</v>
      </c>
      <c r="F1126" s="803">
        <v>6</v>
      </c>
      <c r="G1126" s="803" t="s">
        <v>1103</v>
      </c>
      <c r="H1126" s="803" t="s">
        <v>1947</v>
      </c>
      <c r="I1126" s="804">
        <v>31000</v>
      </c>
      <c r="J1126" s="803">
        <v>1</v>
      </c>
      <c r="K1126" s="804">
        <v>100000</v>
      </c>
      <c r="L1126" s="804">
        <v>100000</v>
      </c>
      <c r="M1126" s="804">
        <f t="shared" si="120"/>
        <v>31000</v>
      </c>
      <c r="N1126" s="803" t="s">
        <v>18215</v>
      </c>
      <c r="O1126" s="805">
        <f t="shared" si="125"/>
        <v>100000</v>
      </c>
      <c r="P1126" s="805">
        <f t="shared" si="126"/>
        <v>100000</v>
      </c>
      <c r="Q1126" s="806">
        <f t="shared" si="127"/>
        <v>31000</v>
      </c>
    </row>
    <row r="1127" spans="1:17" x14ac:dyDescent="0.2">
      <c r="A1127" s="797" t="s">
        <v>18614</v>
      </c>
      <c r="B1127" s="798" t="s">
        <v>18017</v>
      </c>
      <c r="C1127" s="798" t="s">
        <v>14229</v>
      </c>
      <c r="D1127" s="798" t="s">
        <v>18608</v>
      </c>
      <c r="E1127" s="798" t="s">
        <v>18217</v>
      </c>
      <c r="F1127" s="798">
        <v>7</v>
      </c>
      <c r="G1127" s="798" t="s">
        <v>1103</v>
      </c>
      <c r="H1127" s="798" t="s">
        <v>1947</v>
      </c>
      <c r="I1127" s="799">
        <v>37000</v>
      </c>
      <c r="J1127" s="798">
        <v>1</v>
      </c>
      <c r="K1127" s="799">
        <v>100000</v>
      </c>
      <c r="L1127" s="799">
        <v>100000</v>
      </c>
      <c r="M1127" s="799">
        <f t="shared" si="120"/>
        <v>37000</v>
      </c>
      <c r="N1127" s="798" t="s">
        <v>18215</v>
      </c>
      <c r="O1127" s="800">
        <f t="shared" si="125"/>
        <v>100000</v>
      </c>
      <c r="P1127" s="800">
        <f t="shared" si="126"/>
        <v>100000</v>
      </c>
      <c r="Q1127" s="801">
        <f t="shared" si="127"/>
        <v>37000</v>
      </c>
    </row>
    <row r="1128" spans="1:17" x14ac:dyDescent="0.2">
      <c r="A1128" s="802" t="s">
        <v>18615</v>
      </c>
      <c r="B1128" s="803" t="s">
        <v>18560</v>
      </c>
      <c r="C1128" s="803" t="s">
        <v>14233</v>
      </c>
      <c r="D1128" s="803" t="s">
        <v>18616</v>
      </c>
      <c r="E1128" s="803" t="s">
        <v>18031</v>
      </c>
      <c r="F1128" s="803">
        <v>1</v>
      </c>
      <c r="G1128" s="803" t="s">
        <v>1947</v>
      </c>
      <c r="H1128" s="803" t="s">
        <v>122</v>
      </c>
      <c r="I1128" s="804">
        <v>1500</v>
      </c>
      <c r="J1128" s="803">
        <v>1</v>
      </c>
      <c r="K1128" s="804">
        <f t="shared" ref="K1128:K1138" si="132">+I1128</f>
        <v>1500</v>
      </c>
      <c r="L1128" s="804">
        <f t="shared" ref="L1128:L1138" si="133">+I1128</f>
        <v>1500</v>
      </c>
      <c r="M1128" s="804">
        <f t="shared" si="120"/>
        <v>1500</v>
      </c>
      <c r="N1128" s="803" t="s">
        <v>18048</v>
      </c>
      <c r="O1128" s="805">
        <f t="shared" si="125"/>
        <v>1500</v>
      </c>
      <c r="P1128" s="805">
        <f t="shared" si="126"/>
        <v>1500</v>
      </c>
      <c r="Q1128" s="806">
        <f t="shared" si="127"/>
        <v>1500</v>
      </c>
    </row>
    <row r="1129" spans="1:17" x14ac:dyDescent="0.2">
      <c r="A1129" s="797" t="s">
        <v>18617</v>
      </c>
      <c r="B1129" s="798" t="s">
        <v>18560</v>
      </c>
      <c r="C1129" s="798" t="s">
        <v>14233</v>
      </c>
      <c r="D1129" s="798" t="s">
        <v>18618</v>
      </c>
      <c r="E1129" s="798" t="s">
        <v>18031</v>
      </c>
      <c r="F1129" s="798">
        <v>1</v>
      </c>
      <c r="G1129" s="798" t="s">
        <v>1947</v>
      </c>
      <c r="H1129" s="798" t="s">
        <v>122</v>
      </c>
      <c r="I1129" s="799">
        <v>2000</v>
      </c>
      <c r="J1129" s="798">
        <v>1</v>
      </c>
      <c r="K1129" s="799">
        <f t="shared" si="132"/>
        <v>2000</v>
      </c>
      <c r="L1129" s="799">
        <f t="shared" si="133"/>
        <v>2000</v>
      </c>
      <c r="M1129" s="799">
        <f t="shared" si="120"/>
        <v>2000</v>
      </c>
      <c r="N1129" s="798" t="s">
        <v>18048</v>
      </c>
      <c r="O1129" s="800">
        <f t="shared" si="125"/>
        <v>2000</v>
      </c>
      <c r="P1129" s="800">
        <f t="shared" si="126"/>
        <v>2000</v>
      </c>
      <c r="Q1129" s="801">
        <f t="shared" si="127"/>
        <v>2000</v>
      </c>
    </row>
    <row r="1130" spans="1:17" x14ac:dyDescent="0.2">
      <c r="A1130" s="802" t="s">
        <v>18619</v>
      </c>
      <c r="B1130" s="803" t="s">
        <v>18560</v>
      </c>
      <c r="C1130" s="803" t="s">
        <v>14233</v>
      </c>
      <c r="D1130" s="803" t="s">
        <v>18620</v>
      </c>
      <c r="E1130" s="803" t="s">
        <v>18031</v>
      </c>
      <c r="F1130" s="803">
        <v>1</v>
      </c>
      <c r="G1130" s="803" t="s">
        <v>1947</v>
      </c>
      <c r="H1130" s="803" t="s">
        <v>122</v>
      </c>
      <c r="I1130" s="804">
        <v>800</v>
      </c>
      <c r="J1130" s="803">
        <v>1</v>
      </c>
      <c r="K1130" s="804">
        <f t="shared" si="132"/>
        <v>800</v>
      </c>
      <c r="L1130" s="804">
        <f t="shared" si="133"/>
        <v>800</v>
      </c>
      <c r="M1130" s="804">
        <f t="shared" si="120"/>
        <v>800</v>
      </c>
      <c r="N1130" s="803" t="s">
        <v>18048</v>
      </c>
      <c r="O1130" s="805">
        <f t="shared" si="125"/>
        <v>800</v>
      </c>
      <c r="P1130" s="805">
        <f t="shared" si="126"/>
        <v>800</v>
      </c>
      <c r="Q1130" s="806">
        <f t="shared" si="127"/>
        <v>800</v>
      </c>
    </row>
    <row r="1131" spans="1:17" x14ac:dyDescent="0.2">
      <c r="A1131" s="797" t="s">
        <v>18621</v>
      </c>
      <c r="B1131" s="798" t="s">
        <v>18560</v>
      </c>
      <c r="C1131" s="798" t="s">
        <v>14233</v>
      </c>
      <c r="D1131" s="798" t="s">
        <v>18616</v>
      </c>
      <c r="E1131" s="798" t="s">
        <v>18054</v>
      </c>
      <c r="F1131" s="798">
        <v>2</v>
      </c>
      <c r="G1131" s="798" t="s">
        <v>3779</v>
      </c>
      <c r="H1131" s="798" t="s">
        <v>2837</v>
      </c>
      <c r="I1131" s="799">
        <v>5000</v>
      </c>
      <c r="J1131" s="798">
        <v>1</v>
      </c>
      <c r="K1131" s="799">
        <f t="shared" si="132"/>
        <v>5000</v>
      </c>
      <c r="L1131" s="799">
        <f t="shared" si="133"/>
        <v>5000</v>
      </c>
      <c r="M1131" s="799">
        <f t="shared" si="120"/>
        <v>5000</v>
      </c>
      <c r="N1131" s="798" t="s">
        <v>18057</v>
      </c>
      <c r="O1131" s="800">
        <f t="shared" si="125"/>
        <v>5000</v>
      </c>
      <c r="P1131" s="800">
        <f t="shared" si="126"/>
        <v>5000</v>
      </c>
      <c r="Q1131" s="801">
        <f t="shared" si="127"/>
        <v>5000</v>
      </c>
    </row>
    <row r="1132" spans="1:17" x14ac:dyDescent="0.2">
      <c r="A1132" s="802" t="s">
        <v>18622</v>
      </c>
      <c r="B1132" s="803" t="s">
        <v>18560</v>
      </c>
      <c r="C1132" s="803" t="s">
        <v>14233</v>
      </c>
      <c r="D1132" s="803" t="s">
        <v>18618</v>
      </c>
      <c r="E1132" s="803" t="s">
        <v>18054</v>
      </c>
      <c r="F1132" s="803">
        <v>2</v>
      </c>
      <c r="G1132" s="803" t="s">
        <v>3779</v>
      </c>
      <c r="H1132" s="803" t="s">
        <v>2837</v>
      </c>
      <c r="I1132" s="804">
        <v>5500</v>
      </c>
      <c r="J1132" s="803">
        <v>1</v>
      </c>
      <c r="K1132" s="804">
        <f t="shared" si="132"/>
        <v>5500</v>
      </c>
      <c r="L1132" s="804">
        <f t="shared" si="133"/>
        <v>5500</v>
      </c>
      <c r="M1132" s="804">
        <f t="shared" si="120"/>
        <v>5500</v>
      </c>
      <c r="N1132" s="803" t="s">
        <v>18057</v>
      </c>
      <c r="O1132" s="805">
        <f t="shared" si="125"/>
        <v>5500</v>
      </c>
      <c r="P1132" s="805">
        <f t="shared" si="126"/>
        <v>5500</v>
      </c>
      <c r="Q1132" s="806">
        <f t="shared" si="127"/>
        <v>5500</v>
      </c>
    </row>
    <row r="1133" spans="1:17" x14ac:dyDescent="0.2">
      <c r="A1133" s="797" t="s">
        <v>18623</v>
      </c>
      <c r="B1133" s="798" t="s">
        <v>18560</v>
      </c>
      <c r="C1133" s="798" t="s">
        <v>14233</v>
      </c>
      <c r="D1133" s="798" t="s">
        <v>18620</v>
      </c>
      <c r="E1133" s="798" t="s">
        <v>18054</v>
      </c>
      <c r="F1133" s="798">
        <v>2</v>
      </c>
      <c r="G1133" s="798" t="s">
        <v>3779</v>
      </c>
      <c r="H1133" s="798" t="s">
        <v>2837</v>
      </c>
      <c r="I1133" s="799">
        <v>1700</v>
      </c>
      <c r="J1133" s="798">
        <v>1</v>
      </c>
      <c r="K1133" s="799">
        <f t="shared" si="132"/>
        <v>1700</v>
      </c>
      <c r="L1133" s="799">
        <f t="shared" si="133"/>
        <v>1700</v>
      </c>
      <c r="M1133" s="799">
        <f t="shared" si="120"/>
        <v>1700</v>
      </c>
      <c r="N1133" s="798" t="s">
        <v>18057</v>
      </c>
      <c r="O1133" s="800">
        <f t="shared" si="125"/>
        <v>1700</v>
      </c>
      <c r="P1133" s="800">
        <f t="shared" si="126"/>
        <v>1700</v>
      </c>
      <c r="Q1133" s="801">
        <f t="shared" si="127"/>
        <v>1700</v>
      </c>
    </row>
    <row r="1134" spans="1:17" x14ac:dyDescent="0.2">
      <c r="A1134" s="802" t="s">
        <v>18624</v>
      </c>
      <c r="B1134" s="803" t="s">
        <v>18560</v>
      </c>
      <c r="C1134" s="803" t="s">
        <v>14233</v>
      </c>
      <c r="D1134" s="803" t="s">
        <v>18616</v>
      </c>
      <c r="E1134" s="803" t="s">
        <v>18033</v>
      </c>
      <c r="F1134" s="803">
        <v>3</v>
      </c>
      <c r="G1134" s="803" t="s">
        <v>1947</v>
      </c>
      <c r="H1134" s="803" t="s">
        <v>122</v>
      </c>
      <c r="I1134" s="804">
        <v>9000</v>
      </c>
      <c r="J1134" s="803">
        <v>1</v>
      </c>
      <c r="K1134" s="804">
        <f t="shared" si="132"/>
        <v>9000</v>
      </c>
      <c r="L1134" s="804">
        <f t="shared" si="133"/>
        <v>9000</v>
      </c>
      <c r="M1134" s="804">
        <f t="shared" si="120"/>
        <v>9000</v>
      </c>
      <c r="N1134" s="803" t="s">
        <v>18062</v>
      </c>
      <c r="O1134" s="805">
        <f t="shared" si="125"/>
        <v>9000</v>
      </c>
      <c r="P1134" s="805">
        <f t="shared" si="126"/>
        <v>9000</v>
      </c>
      <c r="Q1134" s="806">
        <f t="shared" si="127"/>
        <v>9000</v>
      </c>
    </row>
    <row r="1135" spans="1:17" x14ac:dyDescent="0.2">
      <c r="A1135" s="797" t="s">
        <v>18625</v>
      </c>
      <c r="B1135" s="798" t="s">
        <v>18560</v>
      </c>
      <c r="C1135" s="798" t="s">
        <v>14233</v>
      </c>
      <c r="D1135" s="798" t="s">
        <v>18618</v>
      </c>
      <c r="E1135" s="798" t="s">
        <v>18033</v>
      </c>
      <c r="F1135" s="798">
        <v>3</v>
      </c>
      <c r="G1135" s="798" t="s">
        <v>1947</v>
      </c>
      <c r="H1135" s="798" t="s">
        <v>122</v>
      </c>
      <c r="I1135" s="799">
        <v>10000</v>
      </c>
      <c r="J1135" s="798">
        <v>1</v>
      </c>
      <c r="K1135" s="799">
        <f t="shared" si="132"/>
        <v>10000</v>
      </c>
      <c r="L1135" s="799">
        <f t="shared" si="133"/>
        <v>10000</v>
      </c>
      <c r="M1135" s="799">
        <f t="shared" si="120"/>
        <v>10000</v>
      </c>
      <c r="N1135" s="798" t="s">
        <v>18062</v>
      </c>
      <c r="O1135" s="800">
        <f t="shared" si="125"/>
        <v>10000</v>
      </c>
      <c r="P1135" s="800">
        <f t="shared" si="126"/>
        <v>10000</v>
      </c>
      <c r="Q1135" s="801">
        <f t="shared" si="127"/>
        <v>10000</v>
      </c>
    </row>
    <row r="1136" spans="1:17" x14ac:dyDescent="0.2">
      <c r="A1136" s="802" t="s">
        <v>18626</v>
      </c>
      <c r="B1136" s="803" t="s">
        <v>18560</v>
      </c>
      <c r="C1136" s="803" t="s">
        <v>14233</v>
      </c>
      <c r="D1136" s="803" t="s">
        <v>18620</v>
      </c>
      <c r="E1136" s="803" t="s">
        <v>18033</v>
      </c>
      <c r="F1136" s="803">
        <v>3</v>
      </c>
      <c r="G1136" s="803" t="s">
        <v>1947</v>
      </c>
      <c r="H1136" s="803" t="s">
        <v>122</v>
      </c>
      <c r="I1136" s="804">
        <v>3000</v>
      </c>
      <c r="J1136" s="803">
        <v>1</v>
      </c>
      <c r="K1136" s="804">
        <f t="shared" si="132"/>
        <v>3000</v>
      </c>
      <c r="L1136" s="804">
        <f t="shared" si="133"/>
        <v>3000</v>
      </c>
      <c r="M1136" s="804">
        <f t="shared" si="120"/>
        <v>3000</v>
      </c>
      <c r="N1136" s="803" t="s">
        <v>18062</v>
      </c>
      <c r="O1136" s="805">
        <f t="shared" si="125"/>
        <v>3000</v>
      </c>
      <c r="P1136" s="805">
        <f t="shared" si="126"/>
        <v>3000</v>
      </c>
      <c r="Q1136" s="806">
        <f t="shared" si="127"/>
        <v>3000</v>
      </c>
    </row>
    <row r="1137" spans="1:17" x14ac:dyDescent="0.2">
      <c r="A1137" s="797" t="s">
        <v>18627</v>
      </c>
      <c r="B1137" s="798" t="s">
        <v>18560</v>
      </c>
      <c r="C1137" s="798" t="s">
        <v>14233</v>
      </c>
      <c r="D1137" s="798" t="s">
        <v>18616</v>
      </c>
      <c r="E1137" s="798" t="s">
        <v>18061</v>
      </c>
      <c r="F1137" s="798">
        <v>4</v>
      </c>
      <c r="G1137" s="798" t="s">
        <v>3779</v>
      </c>
      <c r="H1137" s="798" t="s">
        <v>2837</v>
      </c>
      <c r="I1137" s="799">
        <v>15000</v>
      </c>
      <c r="J1137" s="798">
        <v>1</v>
      </c>
      <c r="K1137" s="799">
        <f t="shared" si="132"/>
        <v>15000</v>
      </c>
      <c r="L1137" s="799">
        <f t="shared" si="133"/>
        <v>15000</v>
      </c>
      <c r="M1137" s="799">
        <f t="shared" si="120"/>
        <v>15000</v>
      </c>
      <c r="N1137" s="798" t="s">
        <v>18188</v>
      </c>
      <c r="O1137" s="800">
        <f t="shared" si="125"/>
        <v>15000</v>
      </c>
      <c r="P1137" s="800">
        <f t="shared" si="126"/>
        <v>15000</v>
      </c>
      <c r="Q1137" s="801">
        <f t="shared" si="127"/>
        <v>15000</v>
      </c>
    </row>
    <row r="1138" spans="1:17" x14ac:dyDescent="0.2">
      <c r="A1138" s="802" t="s">
        <v>18628</v>
      </c>
      <c r="B1138" s="803" t="s">
        <v>18560</v>
      </c>
      <c r="C1138" s="803" t="s">
        <v>14233</v>
      </c>
      <c r="D1138" s="803" t="s">
        <v>18618</v>
      </c>
      <c r="E1138" s="803" t="s">
        <v>18061</v>
      </c>
      <c r="F1138" s="803">
        <v>4</v>
      </c>
      <c r="G1138" s="803" t="s">
        <v>3779</v>
      </c>
      <c r="H1138" s="803" t="s">
        <v>2837</v>
      </c>
      <c r="I1138" s="804">
        <v>17000</v>
      </c>
      <c r="J1138" s="803">
        <v>1</v>
      </c>
      <c r="K1138" s="804">
        <f t="shared" si="132"/>
        <v>17000</v>
      </c>
      <c r="L1138" s="804">
        <f t="shared" si="133"/>
        <v>17000</v>
      </c>
      <c r="M1138" s="804">
        <f t="shared" ref="M1138:M1201" si="134">+I1138</f>
        <v>17000</v>
      </c>
      <c r="N1138" s="803" t="s">
        <v>18188</v>
      </c>
      <c r="O1138" s="805">
        <f t="shared" si="125"/>
        <v>17000</v>
      </c>
      <c r="P1138" s="805">
        <f t="shared" si="126"/>
        <v>17000</v>
      </c>
      <c r="Q1138" s="806">
        <f t="shared" si="127"/>
        <v>17000</v>
      </c>
    </row>
    <row r="1139" spans="1:17" x14ac:dyDescent="0.2">
      <c r="A1139" s="797" t="s">
        <v>18629</v>
      </c>
      <c r="B1139" s="798" t="s">
        <v>18560</v>
      </c>
      <c r="C1139" s="798" t="s">
        <v>14233</v>
      </c>
      <c r="D1139" s="798" t="s">
        <v>18620</v>
      </c>
      <c r="E1139" s="798" t="s">
        <v>18061</v>
      </c>
      <c r="F1139" s="798">
        <v>4</v>
      </c>
      <c r="G1139" s="798" t="s">
        <v>3779</v>
      </c>
      <c r="H1139" s="798" t="s">
        <v>2837</v>
      </c>
      <c r="I1139" s="799">
        <v>5200</v>
      </c>
      <c r="J1139" s="798">
        <v>1</v>
      </c>
      <c r="K1139" s="799">
        <v>20800</v>
      </c>
      <c r="L1139" s="799">
        <v>20800</v>
      </c>
      <c r="M1139" s="799">
        <f t="shared" si="134"/>
        <v>5200</v>
      </c>
      <c r="N1139" s="798" t="s">
        <v>18188</v>
      </c>
      <c r="O1139" s="800">
        <f t="shared" si="125"/>
        <v>20800</v>
      </c>
      <c r="P1139" s="800">
        <f t="shared" si="126"/>
        <v>20800</v>
      </c>
      <c r="Q1139" s="801">
        <f t="shared" si="127"/>
        <v>5200</v>
      </c>
    </row>
    <row r="1140" spans="1:17" x14ac:dyDescent="0.2">
      <c r="A1140" s="802" t="s">
        <v>18630</v>
      </c>
      <c r="B1140" s="803" t="s">
        <v>18560</v>
      </c>
      <c r="C1140" s="803" t="s">
        <v>14233</v>
      </c>
      <c r="D1140" s="803" t="s">
        <v>18620</v>
      </c>
      <c r="E1140" s="803" t="s">
        <v>18039</v>
      </c>
      <c r="F1140" s="803">
        <v>5</v>
      </c>
      <c r="G1140" s="803" t="s">
        <v>10772</v>
      </c>
      <c r="H1140" s="803" t="s">
        <v>122</v>
      </c>
      <c r="I1140" s="804">
        <v>25000</v>
      </c>
      <c r="J1140" s="803">
        <v>1</v>
      </c>
      <c r="K1140" s="804">
        <v>50000</v>
      </c>
      <c r="L1140" s="804">
        <v>50000</v>
      </c>
      <c r="M1140" s="804">
        <f t="shared" si="134"/>
        <v>25000</v>
      </c>
      <c r="N1140" s="803" t="s">
        <v>18192</v>
      </c>
      <c r="O1140" s="805">
        <f t="shared" si="125"/>
        <v>50000</v>
      </c>
      <c r="P1140" s="805">
        <f t="shared" si="126"/>
        <v>50000</v>
      </c>
      <c r="Q1140" s="806">
        <f t="shared" si="127"/>
        <v>25000</v>
      </c>
    </row>
    <row r="1141" spans="1:17" x14ac:dyDescent="0.2">
      <c r="A1141" s="797" t="s">
        <v>18631</v>
      </c>
      <c r="B1141" s="798" t="s">
        <v>18046</v>
      </c>
      <c r="C1141" s="798" t="s">
        <v>14236</v>
      </c>
      <c r="D1141" s="798" t="s">
        <v>18632</v>
      </c>
      <c r="E1141" s="798" t="s">
        <v>18019</v>
      </c>
      <c r="F1141" s="798">
        <v>1</v>
      </c>
      <c r="G1141" s="798" t="s">
        <v>2837</v>
      </c>
      <c r="H1141" s="798" t="s">
        <v>2837</v>
      </c>
      <c r="I1141" s="799">
        <v>1600</v>
      </c>
      <c r="J1141" s="798">
        <v>1</v>
      </c>
      <c r="K1141" s="799">
        <f t="shared" ref="K1141:K1159" si="135">+I1141</f>
        <v>1600</v>
      </c>
      <c r="L1141" s="799">
        <f t="shared" ref="L1141:L1159" si="136">+I1141</f>
        <v>1600</v>
      </c>
      <c r="M1141" s="799">
        <f t="shared" si="134"/>
        <v>1600</v>
      </c>
      <c r="N1141" s="798" t="s">
        <v>18048</v>
      </c>
      <c r="O1141" s="800">
        <f t="shared" si="125"/>
        <v>1600</v>
      </c>
      <c r="P1141" s="800">
        <f t="shared" si="126"/>
        <v>1600</v>
      </c>
      <c r="Q1141" s="801">
        <f t="shared" si="127"/>
        <v>1600</v>
      </c>
    </row>
    <row r="1142" spans="1:17" x14ac:dyDescent="0.2">
      <c r="A1142" s="802" t="s">
        <v>18633</v>
      </c>
      <c r="B1142" s="803" t="s">
        <v>18046</v>
      </c>
      <c r="C1142" s="803" t="s">
        <v>14236</v>
      </c>
      <c r="D1142" s="803" t="s">
        <v>18634</v>
      </c>
      <c r="E1142" s="803" t="s">
        <v>18031</v>
      </c>
      <c r="F1142" s="803">
        <v>1</v>
      </c>
      <c r="G1142" s="803" t="s">
        <v>2837</v>
      </c>
      <c r="H1142" s="803" t="s">
        <v>3779</v>
      </c>
      <c r="I1142" s="804">
        <v>3000</v>
      </c>
      <c r="J1142" s="803">
        <v>1</v>
      </c>
      <c r="K1142" s="804">
        <f t="shared" si="135"/>
        <v>3000</v>
      </c>
      <c r="L1142" s="804">
        <f t="shared" si="136"/>
        <v>3000</v>
      </c>
      <c r="M1142" s="804">
        <f t="shared" si="134"/>
        <v>3000</v>
      </c>
      <c r="N1142" s="803" t="s">
        <v>18048</v>
      </c>
      <c r="O1142" s="805">
        <f t="shared" si="125"/>
        <v>3000</v>
      </c>
      <c r="P1142" s="805">
        <f t="shared" si="126"/>
        <v>3000</v>
      </c>
      <c r="Q1142" s="806">
        <f t="shared" si="127"/>
        <v>3000</v>
      </c>
    </row>
    <row r="1143" spans="1:17" x14ac:dyDescent="0.2">
      <c r="A1143" s="797" t="s">
        <v>18635</v>
      </c>
      <c r="B1143" s="798" t="s">
        <v>18046</v>
      </c>
      <c r="C1143" s="798" t="s">
        <v>14236</v>
      </c>
      <c r="D1143" s="798" t="s">
        <v>18634</v>
      </c>
      <c r="E1143" s="798" t="s">
        <v>18054</v>
      </c>
      <c r="F1143" s="798">
        <v>2</v>
      </c>
      <c r="G1143" s="798" t="s">
        <v>2837</v>
      </c>
      <c r="H1143" s="798" t="s">
        <v>3779</v>
      </c>
      <c r="I1143" s="799">
        <v>5000</v>
      </c>
      <c r="J1143" s="798">
        <v>1</v>
      </c>
      <c r="K1143" s="799">
        <f t="shared" si="135"/>
        <v>5000</v>
      </c>
      <c r="L1143" s="799">
        <f t="shared" si="136"/>
        <v>5000</v>
      </c>
      <c r="M1143" s="799">
        <f t="shared" si="134"/>
        <v>5000</v>
      </c>
      <c r="N1143" s="798" t="s">
        <v>18055</v>
      </c>
      <c r="O1143" s="800">
        <f t="shared" si="125"/>
        <v>5000</v>
      </c>
      <c r="P1143" s="800">
        <f t="shared" si="126"/>
        <v>5000</v>
      </c>
      <c r="Q1143" s="801">
        <f t="shared" si="127"/>
        <v>5000</v>
      </c>
    </row>
    <row r="1144" spans="1:17" x14ac:dyDescent="0.2">
      <c r="A1144" s="802" t="s">
        <v>18636</v>
      </c>
      <c r="B1144" s="803" t="s">
        <v>18046</v>
      </c>
      <c r="C1144" s="803" t="s">
        <v>14236</v>
      </c>
      <c r="D1144" s="803" t="s">
        <v>18634</v>
      </c>
      <c r="E1144" s="803" t="s">
        <v>18033</v>
      </c>
      <c r="F1144" s="803">
        <v>3</v>
      </c>
      <c r="G1144" s="803" t="s">
        <v>2837</v>
      </c>
      <c r="H1144" s="803" t="s">
        <v>3779</v>
      </c>
      <c r="I1144" s="804">
        <v>7000</v>
      </c>
      <c r="J1144" s="803">
        <v>1</v>
      </c>
      <c r="K1144" s="804">
        <f t="shared" si="135"/>
        <v>7000</v>
      </c>
      <c r="L1144" s="804">
        <f t="shared" si="136"/>
        <v>7000</v>
      </c>
      <c r="M1144" s="804">
        <f t="shared" si="134"/>
        <v>7000</v>
      </c>
      <c r="N1144" s="803" t="s">
        <v>18057</v>
      </c>
      <c r="O1144" s="805">
        <f t="shared" si="125"/>
        <v>7000</v>
      </c>
      <c r="P1144" s="805">
        <f t="shared" si="126"/>
        <v>7000</v>
      </c>
      <c r="Q1144" s="806">
        <f t="shared" si="127"/>
        <v>7000</v>
      </c>
    </row>
    <row r="1145" spans="1:17" x14ac:dyDescent="0.2">
      <c r="A1145" s="797" t="s">
        <v>18637</v>
      </c>
      <c r="B1145" s="798" t="s">
        <v>18046</v>
      </c>
      <c r="C1145" s="798" t="s">
        <v>14236</v>
      </c>
      <c r="D1145" s="798" t="s">
        <v>18638</v>
      </c>
      <c r="E1145" s="798" t="s">
        <v>18033</v>
      </c>
      <c r="F1145" s="798">
        <v>1</v>
      </c>
      <c r="G1145" s="798" t="s">
        <v>2837</v>
      </c>
      <c r="H1145" s="798" t="s">
        <v>3779</v>
      </c>
      <c r="I1145" s="799">
        <v>7000</v>
      </c>
      <c r="J1145" s="798">
        <v>1</v>
      </c>
      <c r="K1145" s="799">
        <f t="shared" si="135"/>
        <v>7000</v>
      </c>
      <c r="L1145" s="799">
        <f t="shared" si="136"/>
        <v>7000</v>
      </c>
      <c r="M1145" s="799">
        <f t="shared" si="134"/>
        <v>7000</v>
      </c>
      <c r="N1145" s="798" t="s">
        <v>18057</v>
      </c>
      <c r="O1145" s="800">
        <f t="shared" si="125"/>
        <v>7000</v>
      </c>
      <c r="P1145" s="800">
        <f t="shared" si="126"/>
        <v>7000</v>
      </c>
      <c r="Q1145" s="801">
        <f t="shared" si="127"/>
        <v>7000</v>
      </c>
    </row>
    <row r="1146" spans="1:17" x14ac:dyDescent="0.2">
      <c r="A1146" s="802" t="s">
        <v>18639</v>
      </c>
      <c r="B1146" s="803" t="s">
        <v>18046</v>
      </c>
      <c r="C1146" s="803" t="s">
        <v>14236</v>
      </c>
      <c r="D1146" s="803" t="s">
        <v>18638</v>
      </c>
      <c r="E1146" s="803" t="s">
        <v>18061</v>
      </c>
      <c r="F1146" s="803">
        <v>2</v>
      </c>
      <c r="G1146" s="803" t="s">
        <v>2837</v>
      </c>
      <c r="H1146" s="803" t="s">
        <v>3779</v>
      </c>
      <c r="I1146" s="804">
        <v>12000</v>
      </c>
      <c r="J1146" s="803">
        <v>1</v>
      </c>
      <c r="K1146" s="804">
        <f t="shared" si="135"/>
        <v>12000</v>
      </c>
      <c r="L1146" s="804">
        <f t="shared" si="136"/>
        <v>12000</v>
      </c>
      <c r="M1146" s="804">
        <f t="shared" si="134"/>
        <v>12000</v>
      </c>
      <c r="N1146" s="803" t="s">
        <v>18062</v>
      </c>
      <c r="O1146" s="805">
        <f t="shared" si="125"/>
        <v>12000</v>
      </c>
      <c r="P1146" s="805">
        <f t="shared" si="126"/>
        <v>12000</v>
      </c>
      <c r="Q1146" s="806">
        <f t="shared" si="127"/>
        <v>12000</v>
      </c>
    </row>
    <row r="1147" spans="1:17" x14ac:dyDescent="0.2">
      <c r="A1147" s="797" t="s">
        <v>18640</v>
      </c>
      <c r="B1147" s="798" t="s">
        <v>18046</v>
      </c>
      <c r="C1147" s="798" t="s">
        <v>14236</v>
      </c>
      <c r="D1147" s="798" t="s">
        <v>18641</v>
      </c>
      <c r="E1147" s="798" t="s">
        <v>18054</v>
      </c>
      <c r="F1147" s="798">
        <v>1</v>
      </c>
      <c r="G1147" s="798" t="s">
        <v>2837</v>
      </c>
      <c r="H1147" s="798" t="s">
        <v>3779</v>
      </c>
      <c r="I1147" s="799">
        <v>26000</v>
      </c>
      <c r="J1147" s="798">
        <v>1</v>
      </c>
      <c r="K1147" s="799">
        <f t="shared" si="135"/>
        <v>26000</v>
      </c>
      <c r="L1147" s="799">
        <f t="shared" si="136"/>
        <v>26000</v>
      </c>
      <c r="M1147" s="799">
        <f t="shared" si="134"/>
        <v>26000</v>
      </c>
      <c r="N1147" s="798" t="s">
        <v>18055</v>
      </c>
      <c r="O1147" s="800">
        <f t="shared" si="125"/>
        <v>26000</v>
      </c>
      <c r="P1147" s="800">
        <f t="shared" si="126"/>
        <v>26000</v>
      </c>
      <c r="Q1147" s="801">
        <f t="shared" si="127"/>
        <v>26000</v>
      </c>
    </row>
    <row r="1148" spans="1:17" x14ac:dyDescent="0.2">
      <c r="A1148" s="802" t="s">
        <v>18642</v>
      </c>
      <c r="B1148" s="803" t="s">
        <v>18046</v>
      </c>
      <c r="C1148" s="803" t="s">
        <v>14236</v>
      </c>
      <c r="D1148" s="803" t="s">
        <v>18641</v>
      </c>
      <c r="E1148" s="803" t="s">
        <v>18033</v>
      </c>
      <c r="F1148" s="803">
        <v>2</v>
      </c>
      <c r="G1148" s="803" t="s">
        <v>2837</v>
      </c>
      <c r="H1148" s="803" t="s">
        <v>3779</v>
      </c>
      <c r="I1148" s="804">
        <v>30000</v>
      </c>
      <c r="J1148" s="803">
        <v>1</v>
      </c>
      <c r="K1148" s="804">
        <f t="shared" si="135"/>
        <v>30000</v>
      </c>
      <c r="L1148" s="804">
        <f t="shared" si="136"/>
        <v>30000</v>
      </c>
      <c r="M1148" s="804">
        <f t="shared" si="134"/>
        <v>30000</v>
      </c>
      <c r="N1148" s="803" t="s">
        <v>18055</v>
      </c>
      <c r="O1148" s="805">
        <f t="shared" si="125"/>
        <v>30000</v>
      </c>
      <c r="P1148" s="805">
        <f t="shared" si="126"/>
        <v>30000</v>
      </c>
      <c r="Q1148" s="806">
        <f t="shared" si="127"/>
        <v>30000</v>
      </c>
    </row>
    <row r="1149" spans="1:17" x14ac:dyDescent="0.2">
      <c r="A1149" s="797" t="s">
        <v>18643</v>
      </c>
      <c r="B1149" s="798" t="s">
        <v>18588</v>
      </c>
      <c r="C1149" s="798" t="s">
        <v>14242</v>
      </c>
      <c r="D1149" s="798" t="s">
        <v>18644</v>
      </c>
      <c r="E1149" s="798" t="s">
        <v>18031</v>
      </c>
      <c r="F1149" s="798">
        <v>1</v>
      </c>
      <c r="G1149" s="798" t="s">
        <v>1947</v>
      </c>
      <c r="H1149" s="798" t="s">
        <v>122</v>
      </c>
      <c r="I1149" s="799">
        <v>1500</v>
      </c>
      <c r="J1149" s="798">
        <v>1</v>
      </c>
      <c r="K1149" s="799">
        <f t="shared" si="135"/>
        <v>1500</v>
      </c>
      <c r="L1149" s="799">
        <f t="shared" si="136"/>
        <v>1500</v>
      </c>
      <c r="M1149" s="799">
        <f t="shared" si="134"/>
        <v>1500</v>
      </c>
      <c r="N1149" s="798" t="s">
        <v>18048</v>
      </c>
      <c r="O1149" s="800">
        <f t="shared" si="125"/>
        <v>1500</v>
      </c>
      <c r="P1149" s="800">
        <f t="shared" si="126"/>
        <v>1500</v>
      </c>
      <c r="Q1149" s="801">
        <f t="shared" si="127"/>
        <v>1500</v>
      </c>
    </row>
    <row r="1150" spans="1:17" x14ac:dyDescent="0.2">
      <c r="A1150" s="802" t="s">
        <v>18645</v>
      </c>
      <c r="B1150" s="803" t="s">
        <v>18588</v>
      </c>
      <c r="C1150" s="803" t="s">
        <v>14242</v>
      </c>
      <c r="D1150" s="803" t="s">
        <v>18646</v>
      </c>
      <c r="E1150" s="803" t="s">
        <v>18031</v>
      </c>
      <c r="F1150" s="803">
        <v>1</v>
      </c>
      <c r="G1150" s="803" t="s">
        <v>1947</v>
      </c>
      <c r="H1150" s="803" t="s">
        <v>122</v>
      </c>
      <c r="I1150" s="804">
        <v>2000</v>
      </c>
      <c r="J1150" s="803">
        <v>1</v>
      </c>
      <c r="K1150" s="804">
        <f t="shared" si="135"/>
        <v>2000</v>
      </c>
      <c r="L1150" s="804">
        <f t="shared" si="136"/>
        <v>2000</v>
      </c>
      <c r="M1150" s="804">
        <f t="shared" si="134"/>
        <v>2000</v>
      </c>
      <c r="N1150" s="803" t="s">
        <v>18048</v>
      </c>
      <c r="O1150" s="805">
        <f t="shared" si="125"/>
        <v>2000</v>
      </c>
      <c r="P1150" s="805">
        <f t="shared" si="126"/>
        <v>2000</v>
      </c>
      <c r="Q1150" s="806">
        <f t="shared" si="127"/>
        <v>2000</v>
      </c>
    </row>
    <row r="1151" spans="1:17" x14ac:dyDescent="0.2">
      <c r="A1151" s="797" t="s">
        <v>18647</v>
      </c>
      <c r="B1151" s="798" t="s">
        <v>18588</v>
      </c>
      <c r="C1151" s="798" t="s">
        <v>14242</v>
      </c>
      <c r="D1151" s="798" t="s">
        <v>18648</v>
      </c>
      <c r="E1151" s="798" t="s">
        <v>18031</v>
      </c>
      <c r="F1151" s="798">
        <v>1</v>
      </c>
      <c r="G1151" s="798" t="s">
        <v>10772</v>
      </c>
      <c r="H1151" s="798" t="s">
        <v>122</v>
      </c>
      <c r="I1151" s="799">
        <v>3000</v>
      </c>
      <c r="J1151" s="798">
        <v>1</v>
      </c>
      <c r="K1151" s="799">
        <f t="shared" si="135"/>
        <v>3000</v>
      </c>
      <c r="L1151" s="799">
        <f t="shared" si="136"/>
        <v>3000</v>
      </c>
      <c r="M1151" s="799">
        <f t="shared" si="134"/>
        <v>3000</v>
      </c>
      <c r="N1151" s="798" t="s">
        <v>18048</v>
      </c>
      <c r="O1151" s="800">
        <f t="shared" si="125"/>
        <v>3000</v>
      </c>
      <c r="P1151" s="800">
        <f t="shared" si="126"/>
        <v>3000</v>
      </c>
      <c r="Q1151" s="801">
        <f t="shared" si="127"/>
        <v>3000</v>
      </c>
    </row>
    <row r="1152" spans="1:17" x14ac:dyDescent="0.2">
      <c r="A1152" s="802" t="s">
        <v>18649</v>
      </c>
      <c r="B1152" s="803" t="s">
        <v>18588</v>
      </c>
      <c r="C1152" s="803" t="s">
        <v>14242</v>
      </c>
      <c r="D1152" s="803" t="s">
        <v>18644</v>
      </c>
      <c r="E1152" s="803" t="s">
        <v>18054</v>
      </c>
      <c r="F1152" s="803">
        <v>2</v>
      </c>
      <c r="G1152" s="803" t="s">
        <v>122</v>
      </c>
      <c r="H1152" s="803" t="s">
        <v>1103</v>
      </c>
      <c r="I1152" s="804">
        <v>5000</v>
      </c>
      <c r="J1152" s="803">
        <v>1</v>
      </c>
      <c r="K1152" s="804">
        <f t="shared" si="135"/>
        <v>5000</v>
      </c>
      <c r="L1152" s="804">
        <f t="shared" si="136"/>
        <v>5000</v>
      </c>
      <c r="M1152" s="804">
        <f t="shared" si="134"/>
        <v>5000</v>
      </c>
      <c r="N1152" s="803" t="s">
        <v>18057</v>
      </c>
      <c r="O1152" s="805">
        <f t="shared" si="125"/>
        <v>5000</v>
      </c>
      <c r="P1152" s="805">
        <f t="shared" si="126"/>
        <v>5000</v>
      </c>
      <c r="Q1152" s="806">
        <f t="shared" si="127"/>
        <v>5000</v>
      </c>
    </row>
    <row r="1153" spans="1:17" x14ac:dyDescent="0.2">
      <c r="A1153" s="797" t="s">
        <v>18650</v>
      </c>
      <c r="B1153" s="798" t="s">
        <v>18588</v>
      </c>
      <c r="C1153" s="798" t="s">
        <v>14242</v>
      </c>
      <c r="D1153" s="798" t="s">
        <v>18646</v>
      </c>
      <c r="E1153" s="798" t="s">
        <v>18054</v>
      </c>
      <c r="F1153" s="798">
        <v>2</v>
      </c>
      <c r="G1153" s="798" t="s">
        <v>122</v>
      </c>
      <c r="H1153" s="798" t="s">
        <v>1103</v>
      </c>
      <c r="I1153" s="799">
        <v>5500</v>
      </c>
      <c r="J1153" s="798">
        <v>1</v>
      </c>
      <c r="K1153" s="799">
        <f t="shared" si="135"/>
        <v>5500</v>
      </c>
      <c r="L1153" s="799">
        <f t="shared" si="136"/>
        <v>5500</v>
      </c>
      <c r="M1153" s="799">
        <f t="shared" si="134"/>
        <v>5500</v>
      </c>
      <c r="N1153" s="798" t="s">
        <v>18057</v>
      </c>
      <c r="O1153" s="800">
        <f t="shared" si="125"/>
        <v>5500</v>
      </c>
      <c r="P1153" s="800">
        <f t="shared" si="126"/>
        <v>5500</v>
      </c>
      <c r="Q1153" s="801">
        <f t="shared" si="127"/>
        <v>5500</v>
      </c>
    </row>
    <row r="1154" spans="1:17" x14ac:dyDescent="0.2">
      <c r="A1154" s="802" t="s">
        <v>18651</v>
      </c>
      <c r="B1154" s="803" t="s">
        <v>18588</v>
      </c>
      <c r="C1154" s="803" t="s">
        <v>14242</v>
      </c>
      <c r="D1154" s="803" t="s">
        <v>18648</v>
      </c>
      <c r="E1154" s="803" t="s">
        <v>18054</v>
      </c>
      <c r="F1154" s="803">
        <v>2</v>
      </c>
      <c r="G1154" s="803" t="s">
        <v>10772</v>
      </c>
      <c r="H1154" s="803" t="s">
        <v>1103</v>
      </c>
      <c r="I1154" s="804">
        <v>7000</v>
      </c>
      <c r="J1154" s="803">
        <v>1</v>
      </c>
      <c r="K1154" s="804">
        <f t="shared" si="135"/>
        <v>7000</v>
      </c>
      <c r="L1154" s="804">
        <f t="shared" si="136"/>
        <v>7000</v>
      </c>
      <c r="M1154" s="804">
        <f t="shared" si="134"/>
        <v>7000</v>
      </c>
      <c r="N1154" s="803" t="s">
        <v>18057</v>
      </c>
      <c r="O1154" s="805">
        <f t="shared" ref="O1154:O1217" si="137">+J1154*K1154</f>
        <v>7000</v>
      </c>
      <c r="P1154" s="805">
        <f t="shared" ref="P1154:P1217" si="138">+J1154*L1154</f>
        <v>7000</v>
      </c>
      <c r="Q1154" s="806">
        <f t="shared" ref="Q1154:Q1217" si="139">+J1154*M1154</f>
        <v>7000</v>
      </c>
    </row>
    <row r="1155" spans="1:17" x14ac:dyDescent="0.2">
      <c r="A1155" s="797" t="s">
        <v>18652</v>
      </c>
      <c r="B1155" s="798" t="s">
        <v>18588</v>
      </c>
      <c r="C1155" s="798" t="s">
        <v>14242</v>
      </c>
      <c r="D1155" s="798" t="s">
        <v>18644</v>
      </c>
      <c r="E1155" s="798" t="s">
        <v>18033</v>
      </c>
      <c r="F1155" s="798">
        <v>3</v>
      </c>
      <c r="G1155" s="798" t="s">
        <v>1947</v>
      </c>
      <c r="H1155" s="798" t="s">
        <v>122</v>
      </c>
      <c r="I1155" s="799">
        <v>9000</v>
      </c>
      <c r="J1155" s="798">
        <v>1</v>
      </c>
      <c r="K1155" s="799">
        <f t="shared" si="135"/>
        <v>9000</v>
      </c>
      <c r="L1155" s="799">
        <f t="shared" si="136"/>
        <v>9000</v>
      </c>
      <c r="M1155" s="799">
        <f t="shared" si="134"/>
        <v>9000</v>
      </c>
      <c r="N1155" s="798" t="s">
        <v>18062</v>
      </c>
      <c r="O1155" s="800">
        <f t="shared" si="137"/>
        <v>9000</v>
      </c>
      <c r="P1155" s="800">
        <f t="shared" si="138"/>
        <v>9000</v>
      </c>
      <c r="Q1155" s="801">
        <f t="shared" si="139"/>
        <v>9000</v>
      </c>
    </row>
    <row r="1156" spans="1:17" x14ac:dyDescent="0.2">
      <c r="A1156" s="802" t="s">
        <v>18653</v>
      </c>
      <c r="B1156" s="803" t="s">
        <v>18588</v>
      </c>
      <c r="C1156" s="803" t="s">
        <v>14242</v>
      </c>
      <c r="D1156" s="803" t="s">
        <v>18646</v>
      </c>
      <c r="E1156" s="803" t="s">
        <v>18033</v>
      </c>
      <c r="F1156" s="803">
        <v>3</v>
      </c>
      <c r="G1156" s="803" t="s">
        <v>1947</v>
      </c>
      <c r="H1156" s="803" t="s">
        <v>122</v>
      </c>
      <c r="I1156" s="804">
        <v>10000</v>
      </c>
      <c r="J1156" s="803">
        <v>1</v>
      </c>
      <c r="K1156" s="804">
        <f t="shared" si="135"/>
        <v>10000</v>
      </c>
      <c r="L1156" s="804">
        <f t="shared" si="136"/>
        <v>10000</v>
      </c>
      <c r="M1156" s="804">
        <f t="shared" si="134"/>
        <v>10000</v>
      </c>
      <c r="N1156" s="803" t="s">
        <v>18062</v>
      </c>
      <c r="O1156" s="805">
        <f t="shared" si="137"/>
        <v>10000</v>
      </c>
      <c r="P1156" s="805">
        <f t="shared" si="138"/>
        <v>10000</v>
      </c>
      <c r="Q1156" s="806">
        <f t="shared" si="139"/>
        <v>10000</v>
      </c>
    </row>
    <row r="1157" spans="1:17" x14ac:dyDescent="0.2">
      <c r="A1157" s="797" t="s">
        <v>18654</v>
      </c>
      <c r="B1157" s="798" t="s">
        <v>18588</v>
      </c>
      <c r="C1157" s="798" t="s">
        <v>14242</v>
      </c>
      <c r="D1157" s="798" t="s">
        <v>18648</v>
      </c>
      <c r="E1157" s="798" t="s">
        <v>18033</v>
      </c>
      <c r="F1157" s="798">
        <v>3</v>
      </c>
      <c r="G1157" s="798" t="s">
        <v>10772</v>
      </c>
      <c r="H1157" s="798" t="s">
        <v>122</v>
      </c>
      <c r="I1157" s="799">
        <v>12000</v>
      </c>
      <c r="J1157" s="798">
        <v>1</v>
      </c>
      <c r="K1157" s="799">
        <f t="shared" si="135"/>
        <v>12000</v>
      </c>
      <c r="L1157" s="799">
        <f t="shared" si="136"/>
        <v>12000</v>
      </c>
      <c r="M1157" s="799">
        <f t="shared" si="134"/>
        <v>12000</v>
      </c>
      <c r="N1157" s="798" t="s">
        <v>18062</v>
      </c>
      <c r="O1157" s="800">
        <f t="shared" si="137"/>
        <v>12000</v>
      </c>
      <c r="P1157" s="800">
        <f t="shared" si="138"/>
        <v>12000</v>
      </c>
      <c r="Q1157" s="801">
        <f t="shared" si="139"/>
        <v>12000</v>
      </c>
    </row>
    <row r="1158" spans="1:17" x14ac:dyDescent="0.2">
      <c r="A1158" s="802" t="s">
        <v>18655</v>
      </c>
      <c r="B1158" s="803" t="s">
        <v>18588</v>
      </c>
      <c r="C1158" s="803" t="s">
        <v>14242</v>
      </c>
      <c r="D1158" s="803" t="s">
        <v>18644</v>
      </c>
      <c r="E1158" s="803" t="s">
        <v>18061</v>
      </c>
      <c r="F1158" s="803">
        <v>4</v>
      </c>
      <c r="G1158" s="803" t="s">
        <v>122</v>
      </c>
      <c r="H1158" s="803" t="s">
        <v>1103</v>
      </c>
      <c r="I1158" s="804">
        <v>15000</v>
      </c>
      <c r="J1158" s="803">
        <v>1</v>
      </c>
      <c r="K1158" s="804">
        <f t="shared" si="135"/>
        <v>15000</v>
      </c>
      <c r="L1158" s="804">
        <f t="shared" si="136"/>
        <v>15000</v>
      </c>
      <c r="M1158" s="804">
        <f t="shared" si="134"/>
        <v>15000</v>
      </c>
      <c r="N1158" s="803" t="s">
        <v>18188</v>
      </c>
      <c r="O1158" s="805">
        <f t="shared" si="137"/>
        <v>15000</v>
      </c>
      <c r="P1158" s="805">
        <f t="shared" si="138"/>
        <v>15000</v>
      </c>
      <c r="Q1158" s="806">
        <f t="shared" si="139"/>
        <v>15000</v>
      </c>
    </row>
    <row r="1159" spans="1:17" x14ac:dyDescent="0.2">
      <c r="A1159" s="797" t="s">
        <v>18656</v>
      </c>
      <c r="B1159" s="798" t="s">
        <v>18588</v>
      </c>
      <c r="C1159" s="798" t="s">
        <v>14242</v>
      </c>
      <c r="D1159" s="798" t="s">
        <v>18646</v>
      </c>
      <c r="E1159" s="798" t="s">
        <v>18061</v>
      </c>
      <c r="F1159" s="798">
        <v>4</v>
      </c>
      <c r="G1159" s="798" t="s">
        <v>122</v>
      </c>
      <c r="H1159" s="798" t="s">
        <v>1103</v>
      </c>
      <c r="I1159" s="799">
        <v>17000</v>
      </c>
      <c r="J1159" s="798">
        <v>1</v>
      </c>
      <c r="K1159" s="799">
        <f t="shared" si="135"/>
        <v>17000</v>
      </c>
      <c r="L1159" s="799">
        <f t="shared" si="136"/>
        <v>17000</v>
      </c>
      <c r="M1159" s="799">
        <f t="shared" si="134"/>
        <v>17000</v>
      </c>
      <c r="N1159" s="798" t="s">
        <v>18188</v>
      </c>
      <c r="O1159" s="800">
        <f t="shared" si="137"/>
        <v>17000</v>
      </c>
      <c r="P1159" s="800">
        <f t="shared" si="138"/>
        <v>17000</v>
      </c>
      <c r="Q1159" s="801">
        <f t="shared" si="139"/>
        <v>17000</v>
      </c>
    </row>
    <row r="1160" spans="1:17" x14ac:dyDescent="0.2">
      <c r="A1160" s="802" t="s">
        <v>18657</v>
      </c>
      <c r="B1160" s="803" t="s">
        <v>18588</v>
      </c>
      <c r="C1160" s="803" t="s">
        <v>14242</v>
      </c>
      <c r="D1160" s="803" t="s">
        <v>18648</v>
      </c>
      <c r="E1160" s="803" t="s">
        <v>18061</v>
      </c>
      <c r="F1160" s="803">
        <v>4</v>
      </c>
      <c r="G1160" s="803" t="s">
        <v>10772</v>
      </c>
      <c r="H1160" s="803" t="s">
        <v>1103</v>
      </c>
      <c r="I1160" s="804">
        <v>22000</v>
      </c>
      <c r="J1160" s="803">
        <v>1</v>
      </c>
      <c r="K1160" s="804">
        <v>50000</v>
      </c>
      <c r="L1160" s="804">
        <v>50000</v>
      </c>
      <c r="M1160" s="804">
        <f t="shared" si="134"/>
        <v>22000</v>
      </c>
      <c r="N1160" s="803" t="s">
        <v>18188</v>
      </c>
      <c r="O1160" s="805">
        <f t="shared" si="137"/>
        <v>50000</v>
      </c>
      <c r="P1160" s="805">
        <f t="shared" si="138"/>
        <v>50000</v>
      </c>
      <c r="Q1160" s="806">
        <f t="shared" si="139"/>
        <v>22000</v>
      </c>
    </row>
    <row r="1161" spans="1:17" x14ac:dyDescent="0.2">
      <c r="A1161" s="797" t="s">
        <v>18658</v>
      </c>
      <c r="B1161" s="798" t="s">
        <v>18588</v>
      </c>
      <c r="C1161" s="798" t="s">
        <v>14242</v>
      </c>
      <c r="D1161" s="798" t="s">
        <v>18648</v>
      </c>
      <c r="E1161" s="798" t="s">
        <v>18039</v>
      </c>
      <c r="F1161" s="798">
        <v>5</v>
      </c>
      <c r="G1161" s="798" t="s">
        <v>10772</v>
      </c>
      <c r="H1161" s="798" t="s">
        <v>122</v>
      </c>
      <c r="I1161" s="799">
        <v>25000</v>
      </c>
      <c r="J1161" s="798">
        <v>1</v>
      </c>
      <c r="K1161" s="799">
        <v>70000</v>
      </c>
      <c r="L1161" s="799">
        <v>70000</v>
      </c>
      <c r="M1161" s="799">
        <f t="shared" si="134"/>
        <v>25000</v>
      </c>
      <c r="N1161" s="798" t="s">
        <v>18192</v>
      </c>
      <c r="O1161" s="800">
        <f t="shared" si="137"/>
        <v>70000</v>
      </c>
      <c r="P1161" s="800">
        <f t="shared" si="138"/>
        <v>70000</v>
      </c>
      <c r="Q1161" s="801">
        <f t="shared" si="139"/>
        <v>25000</v>
      </c>
    </row>
    <row r="1162" spans="1:17" x14ac:dyDescent="0.2">
      <c r="A1162" s="802" t="s">
        <v>18659</v>
      </c>
      <c r="B1162" s="803" t="s">
        <v>18017</v>
      </c>
      <c r="C1162" s="803" t="s">
        <v>14245</v>
      </c>
      <c r="D1162" s="803" t="s">
        <v>18660</v>
      </c>
      <c r="E1162" s="803" t="s">
        <v>18019</v>
      </c>
      <c r="F1162" s="803">
        <v>1</v>
      </c>
      <c r="G1162" s="803" t="s">
        <v>3779</v>
      </c>
      <c r="H1162" s="803" t="s">
        <v>3779</v>
      </c>
      <c r="I1162" s="804">
        <v>1500</v>
      </c>
      <c r="J1162" s="803">
        <v>1</v>
      </c>
      <c r="K1162" s="804">
        <f t="shared" ref="K1162:K1170" si="140">+I1162</f>
        <v>1500</v>
      </c>
      <c r="L1162" s="804">
        <f t="shared" ref="L1162:L1170" si="141">+I1162</f>
        <v>1500</v>
      </c>
      <c r="M1162" s="804">
        <f t="shared" si="134"/>
        <v>1500</v>
      </c>
      <c r="N1162" s="803" t="s">
        <v>18020</v>
      </c>
      <c r="O1162" s="805">
        <f t="shared" si="137"/>
        <v>1500</v>
      </c>
      <c r="P1162" s="805">
        <f t="shared" si="138"/>
        <v>1500</v>
      </c>
      <c r="Q1162" s="806">
        <f t="shared" si="139"/>
        <v>1500</v>
      </c>
    </row>
    <row r="1163" spans="1:17" x14ac:dyDescent="0.2">
      <c r="A1163" s="797" t="s">
        <v>18661</v>
      </c>
      <c r="B1163" s="798" t="s">
        <v>18017</v>
      </c>
      <c r="C1163" s="798" t="s">
        <v>14245</v>
      </c>
      <c r="D1163" s="798" t="s">
        <v>18662</v>
      </c>
      <c r="E1163" s="798" t="s">
        <v>18019</v>
      </c>
      <c r="F1163" s="798">
        <v>1</v>
      </c>
      <c r="G1163" s="798" t="s">
        <v>1947</v>
      </c>
      <c r="H1163" s="798" t="s">
        <v>1947</v>
      </c>
      <c r="I1163" s="799">
        <v>1600</v>
      </c>
      <c r="J1163" s="798">
        <v>1</v>
      </c>
      <c r="K1163" s="799">
        <f t="shared" si="140"/>
        <v>1600</v>
      </c>
      <c r="L1163" s="799">
        <f t="shared" si="141"/>
        <v>1600</v>
      </c>
      <c r="M1163" s="799">
        <f t="shared" si="134"/>
        <v>1600</v>
      </c>
      <c r="N1163" s="798" t="s">
        <v>18020</v>
      </c>
      <c r="O1163" s="800">
        <f t="shared" si="137"/>
        <v>1600</v>
      </c>
      <c r="P1163" s="800">
        <f t="shared" si="138"/>
        <v>1600</v>
      </c>
      <c r="Q1163" s="801">
        <f t="shared" si="139"/>
        <v>1600</v>
      </c>
    </row>
    <row r="1164" spans="1:17" x14ac:dyDescent="0.2">
      <c r="A1164" s="802" t="s">
        <v>18663</v>
      </c>
      <c r="B1164" s="803" t="s">
        <v>18017</v>
      </c>
      <c r="C1164" s="803" t="s">
        <v>14245</v>
      </c>
      <c r="D1164" s="803" t="s">
        <v>18664</v>
      </c>
      <c r="E1164" s="803" t="s">
        <v>18019</v>
      </c>
      <c r="F1164" s="803">
        <v>1</v>
      </c>
      <c r="G1164" s="803" t="s">
        <v>10772</v>
      </c>
      <c r="H1164" s="803" t="s">
        <v>18244</v>
      </c>
      <c r="I1164" s="804">
        <v>100</v>
      </c>
      <c r="J1164" s="803">
        <v>1</v>
      </c>
      <c r="K1164" s="804">
        <f t="shared" si="140"/>
        <v>100</v>
      </c>
      <c r="L1164" s="804">
        <f t="shared" si="141"/>
        <v>100</v>
      </c>
      <c r="M1164" s="804">
        <f t="shared" si="134"/>
        <v>100</v>
      </c>
      <c r="N1164" s="803" t="s">
        <v>18020</v>
      </c>
      <c r="O1164" s="805">
        <f t="shared" si="137"/>
        <v>100</v>
      </c>
      <c r="P1164" s="805">
        <f t="shared" si="138"/>
        <v>100</v>
      </c>
      <c r="Q1164" s="806">
        <f t="shared" si="139"/>
        <v>100</v>
      </c>
    </row>
    <row r="1165" spans="1:17" x14ac:dyDescent="0.2">
      <c r="A1165" s="797" t="s">
        <v>18665</v>
      </c>
      <c r="B1165" s="798" t="s">
        <v>18017</v>
      </c>
      <c r="C1165" s="798" t="s">
        <v>14245</v>
      </c>
      <c r="D1165" s="798" t="s">
        <v>18666</v>
      </c>
      <c r="E1165" s="798" t="s">
        <v>18031</v>
      </c>
      <c r="F1165" s="798">
        <v>1</v>
      </c>
      <c r="G1165" s="798" t="s">
        <v>1947</v>
      </c>
      <c r="H1165" s="798" t="s">
        <v>2837</v>
      </c>
      <c r="I1165" s="799">
        <v>2000</v>
      </c>
      <c r="J1165" s="798">
        <v>1</v>
      </c>
      <c r="K1165" s="799">
        <f t="shared" si="140"/>
        <v>2000</v>
      </c>
      <c r="L1165" s="799">
        <f t="shared" si="141"/>
        <v>2000</v>
      </c>
      <c r="M1165" s="799">
        <f t="shared" si="134"/>
        <v>2000</v>
      </c>
      <c r="N1165" s="798" t="s">
        <v>18020</v>
      </c>
      <c r="O1165" s="800">
        <f t="shared" si="137"/>
        <v>2000</v>
      </c>
      <c r="P1165" s="800">
        <f t="shared" si="138"/>
        <v>2000</v>
      </c>
      <c r="Q1165" s="801">
        <f t="shared" si="139"/>
        <v>2000</v>
      </c>
    </row>
    <row r="1166" spans="1:17" x14ac:dyDescent="0.2">
      <c r="A1166" s="802" t="s">
        <v>18667</v>
      </c>
      <c r="B1166" s="803" t="s">
        <v>18017</v>
      </c>
      <c r="C1166" s="803" t="s">
        <v>14245</v>
      </c>
      <c r="D1166" s="803" t="s">
        <v>18666</v>
      </c>
      <c r="E1166" s="803" t="s">
        <v>18033</v>
      </c>
      <c r="F1166" s="803">
        <v>2</v>
      </c>
      <c r="G1166" s="803" t="s">
        <v>1947</v>
      </c>
      <c r="H1166" s="803" t="s">
        <v>2837</v>
      </c>
      <c r="I1166" s="804">
        <v>5200</v>
      </c>
      <c r="J1166" s="803">
        <v>1</v>
      </c>
      <c r="K1166" s="804">
        <f t="shared" si="140"/>
        <v>5200</v>
      </c>
      <c r="L1166" s="804">
        <f t="shared" si="141"/>
        <v>5200</v>
      </c>
      <c r="M1166" s="804">
        <f t="shared" si="134"/>
        <v>5200</v>
      </c>
      <c r="N1166" s="803" t="s">
        <v>18020</v>
      </c>
      <c r="O1166" s="805">
        <f t="shared" si="137"/>
        <v>5200</v>
      </c>
      <c r="P1166" s="805">
        <f t="shared" si="138"/>
        <v>5200</v>
      </c>
      <c r="Q1166" s="806">
        <f t="shared" si="139"/>
        <v>5200</v>
      </c>
    </row>
    <row r="1167" spans="1:17" x14ac:dyDescent="0.2">
      <c r="A1167" s="797" t="s">
        <v>18668</v>
      </c>
      <c r="B1167" s="798" t="s">
        <v>18017</v>
      </c>
      <c r="C1167" s="798" t="s">
        <v>14245</v>
      </c>
      <c r="D1167" s="798" t="s">
        <v>18669</v>
      </c>
      <c r="E1167" s="798" t="s">
        <v>18031</v>
      </c>
      <c r="F1167" s="798">
        <v>1</v>
      </c>
      <c r="G1167" s="798" t="s">
        <v>10772</v>
      </c>
      <c r="H1167" s="798" t="s">
        <v>2837</v>
      </c>
      <c r="I1167" s="799">
        <v>2500</v>
      </c>
      <c r="J1167" s="798">
        <v>1</v>
      </c>
      <c r="K1167" s="799">
        <f t="shared" si="140"/>
        <v>2500</v>
      </c>
      <c r="L1167" s="799">
        <f t="shared" si="141"/>
        <v>2500</v>
      </c>
      <c r="M1167" s="799">
        <f t="shared" si="134"/>
        <v>2500</v>
      </c>
      <c r="N1167" s="798" t="s">
        <v>18020</v>
      </c>
      <c r="O1167" s="800">
        <f t="shared" si="137"/>
        <v>2500</v>
      </c>
      <c r="P1167" s="800">
        <f t="shared" si="138"/>
        <v>2500</v>
      </c>
      <c r="Q1167" s="801">
        <f t="shared" si="139"/>
        <v>2500</v>
      </c>
    </row>
    <row r="1168" spans="1:17" x14ac:dyDescent="0.2">
      <c r="A1168" s="802" t="s">
        <v>18670</v>
      </c>
      <c r="B1168" s="803" t="s">
        <v>18017</v>
      </c>
      <c r="C1168" s="803" t="s">
        <v>14245</v>
      </c>
      <c r="D1168" s="803" t="s">
        <v>18669</v>
      </c>
      <c r="E1168" s="803" t="s">
        <v>18033</v>
      </c>
      <c r="F1168" s="803">
        <v>2</v>
      </c>
      <c r="G1168" s="803" t="s">
        <v>10772</v>
      </c>
      <c r="H1168" s="803" t="s">
        <v>2837</v>
      </c>
      <c r="I1168" s="804">
        <v>7800</v>
      </c>
      <c r="J1168" s="803">
        <v>1</v>
      </c>
      <c r="K1168" s="804">
        <f t="shared" si="140"/>
        <v>7800</v>
      </c>
      <c r="L1168" s="804">
        <f t="shared" si="141"/>
        <v>7800</v>
      </c>
      <c r="M1168" s="804">
        <f t="shared" si="134"/>
        <v>7800</v>
      </c>
      <c r="N1168" s="803" t="s">
        <v>18037</v>
      </c>
      <c r="O1168" s="805">
        <f t="shared" si="137"/>
        <v>7800</v>
      </c>
      <c r="P1168" s="805">
        <f t="shared" si="138"/>
        <v>7800</v>
      </c>
      <c r="Q1168" s="806">
        <f t="shared" si="139"/>
        <v>7800</v>
      </c>
    </row>
    <row r="1169" spans="1:17" x14ac:dyDescent="0.2">
      <c r="A1169" s="797" t="s">
        <v>18671</v>
      </c>
      <c r="B1169" s="798" t="s">
        <v>18017</v>
      </c>
      <c r="C1169" s="798" t="s">
        <v>14245</v>
      </c>
      <c r="D1169" s="798" t="s">
        <v>18669</v>
      </c>
      <c r="E1169" s="798" t="s">
        <v>18039</v>
      </c>
      <c r="F1169" s="798">
        <v>3</v>
      </c>
      <c r="G1169" s="798" t="s">
        <v>10772</v>
      </c>
      <c r="H1169" s="798" t="s">
        <v>2837</v>
      </c>
      <c r="I1169" s="799">
        <v>9500</v>
      </c>
      <c r="J1169" s="798">
        <v>1</v>
      </c>
      <c r="K1169" s="799">
        <f t="shared" si="140"/>
        <v>9500</v>
      </c>
      <c r="L1169" s="799">
        <f t="shared" si="141"/>
        <v>9500</v>
      </c>
      <c r="M1169" s="799">
        <f t="shared" si="134"/>
        <v>9500</v>
      </c>
      <c r="N1169" s="798" t="s">
        <v>18037</v>
      </c>
      <c r="O1169" s="800">
        <f t="shared" si="137"/>
        <v>9500</v>
      </c>
      <c r="P1169" s="800">
        <f t="shared" si="138"/>
        <v>9500</v>
      </c>
      <c r="Q1169" s="801">
        <f t="shared" si="139"/>
        <v>9500</v>
      </c>
    </row>
    <row r="1170" spans="1:17" x14ac:dyDescent="0.2">
      <c r="A1170" s="802" t="s">
        <v>18672</v>
      </c>
      <c r="B1170" s="803" t="s">
        <v>18017</v>
      </c>
      <c r="C1170" s="803" t="s">
        <v>14245</v>
      </c>
      <c r="D1170" s="803" t="s">
        <v>18669</v>
      </c>
      <c r="E1170" s="803" t="s">
        <v>18041</v>
      </c>
      <c r="F1170" s="803">
        <v>4</v>
      </c>
      <c r="G1170" s="803" t="s">
        <v>10772</v>
      </c>
      <c r="H1170" s="803" t="s">
        <v>2837</v>
      </c>
      <c r="I1170" s="804">
        <v>15000</v>
      </c>
      <c r="J1170" s="803">
        <v>1</v>
      </c>
      <c r="K1170" s="804">
        <f t="shared" si="140"/>
        <v>15000</v>
      </c>
      <c r="L1170" s="804">
        <f t="shared" si="141"/>
        <v>15000</v>
      </c>
      <c r="M1170" s="804">
        <f t="shared" si="134"/>
        <v>15000</v>
      </c>
      <c r="N1170" s="803" t="s">
        <v>18042</v>
      </c>
      <c r="O1170" s="805">
        <f t="shared" si="137"/>
        <v>15000</v>
      </c>
      <c r="P1170" s="805">
        <f t="shared" si="138"/>
        <v>15000</v>
      </c>
      <c r="Q1170" s="806">
        <f t="shared" si="139"/>
        <v>15000</v>
      </c>
    </row>
    <row r="1171" spans="1:17" x14ac:dyDescent="0.2">
      <c r="A1171" s="797" t="s">
        <v>18673</v>
      </c>
      <c r="B1171" s="798" t="s">
        <v>18017</v>
      </c>
      <c r="C1171" s="798" t="s">
        <v>14245</v>
      </c>
      <c r="D1171" s="798" t="s">
        <v>18669</v>
      </c>
      <c r="E1171" s="798" t="s">
        <v>18212</v>
      </c>
      <c r="F1171" s="798">
        <v>5</v>
      </c>
      <c r="G1171" s="798" t="s">
        <v>10772</v>
      </c>
      <c r="H1171" s="798" t="s">
        <v>2837</v>
      </c>
      <c r="I1171" s="799">
        <v>22000</v>
      </c>
      <c r="J1171" s="798">
        <v>1</v>
      </c>
      <c r="K1171" s="799">
        <v>100000</v>
      </c>
      <c r="L1171" s="799">
        <v>100000</v>
      </c>
      <c r="M1171" s="799">
        <f t="shared" si="134"/>
        <v>22000</v>
      </c>
      <c r="N1171" s="798" t="s">
        <v>18042</v>
      </c>
      <c r="O1171" s="800">
        <f t="shared" si="137"/>
        <v>100000</v>
      </c>
      <c r="P1171" s="800">
        <f t="shared" si="138"/>
        <v>100000</v>
      </c>
      <c r="Q1171" s="801">
        <f t="shared" si="139"/>
        <v>22000</v>
      </c>
    </row>
    <row r="1172" spans="1:17" x14ac:dyDescent="0.2">
      <c r="A1172" s="802" t="s">
        <v>18674</v>
      </c>
      <c r="B1172" s="803" t="s">
        <v>18017</v>
      </c>
      <c r="C1172" s="803" t="s">
        <v>14245</v>
      </c>
      <c r="D1172" s="803" t="s">
        <v>18669</v>
      </c>
      <c r="E1172" s="803" t="s">
        <v>18214</v>
      </c>
      <c r="F1172" s="803">
        <v>6</v>
      </c>
      <c r="G1172" s="803" t="s">
        <v>10772</v>
      </c>
      <c r="H1172" s="803" t="s">
        <v>2837</v>
      </c>
      <c r="I1172" s="804">
        <v>31000</v>
      </c>
      <c r="J1172" s="803">
        <v>1</v>
      </c>
      <c r="K1172" s="804">
        <v>100000</v>
      </c>
      <c r="L1172" s="804">
        <v>100000</v>
      </c>
      <c r="M1172" s="804">
        <f t="shared" si="134"/>
        <v>31000</v>
      </c>
      <c r="N1172" s="803" t="s">
        <v>18215</v>
      </c>
      <c r="O1172" s="805">
        <f t="shared" si="137"/>
        <v>100000</v>
      </c>
      <c r="P1172" s="805">
        <f t="shared" si="138"/>
        <v>100000</v>
      </c>
      <c r="Q1172" s="806">
        <f t="shared" si="139"/>
        <v>31000</v>
      </c>
    </row>
    <row r="1173" spans="1:17" x14ac:dyDescent="0.2">
      <c r="A1173" s="797" t="s">
        <v>18675</v>
      </c>
      <c r="B1173" s="798" t="s">
        <v>18017</v>
      </c>
      <c r="C1173" s="798" t="s">
        <v>14245</v>
      </c>
      <c r="D1173" s="798" t="s">
        <v>18669</v>
      </c>
      <c r="E1173" s="798" t="s">
        <v>18217</v>
      </c>
      <c r="F1173" s="798">
        <v>7</v>
      </c>
      <c r="G1173" s="798" t="s">
        <v>10772</v>
      </c>
      <c r="H1173" s="798" t="s">
        <v>2837</v>
      </c>
      <c r="I1173" s="799">
        <v>37000</v>
      </c>
      <c r="J1173" s="798">
        <v>1</v>
      </c>
      <c r="K1173" s="799">
        <v>100000</v>
      </c>
      <c r="L1173" s="799">
        <v>100000</v>
      </c>
      <c r="M1173" s="799">
        <f t="shared" si="134"/>
        <v>37000</v>
      </c>
      <c r="N1173" s="798" t="s">
        <v>18215</v>
      </c>
      <c r="O1173" s="800">
        <f t="shared" si="137"/>
        <v>100000</v>
      </c>
      <c r="P1173" s="800">
        <f t="shared" si="138"/>
        <v>100000</v>
      </c>
      <c r="Q1173" s="801">
        <f t="shared" si="139"/>
        <v>37000</v>
      </c>
    </row>
    <row r="1174" spans="1:17" x14ac:dyDescent="0.2">
      <c r="A1174" s="802" t="s">
        <v>18676</v>
      </c>
      <c r="B1174" s="803" t="s">
        <v>18560</v>
      </c>
      <c r="C1174" s="803" t="s">
        <v>14252</v>
      </c>
      <c r="D1174" s="803" t="s">
        <v>18677</v>
      </c>
      <c r="E1174" s="803" t="s">
        <v>18031</v>
      </c>
      <c r="F1174" s="803">
        <v>1</v>
      </c>
      <c r="G1174" s="803" t="s">
        <v>122</v>
      </c>
      <c r="H1174" s="803" t="s">
        <v>1103</v>
      </c>
      <c r="I1174" s="804">
        <v>1500</v>
      </c>
      <c r="J1174" s="803">
        <v>1</v>
      </c>
      <c r="K1174" s="804">
        <f t="shared" ref="K1174:K1184" si="142">+I1174</f>
        <v>1500</v>
      </c>
      <c r="L1174" s="804">
        <f t="shared" ref="L1174:L1184" si="143">+I1174</f>
        <v>1500</v>
      </c>
      <c r="M1174" s="804">
        <f t="shared" si="134"/>
        <v>1500</v>
      </c>
      <c r="N1174" s="803" t="s">
        <v>18048</v>
      </c>
      <c r="O1174" s="805">
        <f t="shared" si="137"/>
        <v>1500</v>
      </c>
      <c r="P1174" s="805">
        <f t="shared" si="138"/>
        <v>1500</v>
      </c>
      <c r="Q1174" s="806">
        <f t="shared" si="139"/>
        <v>1500</v>
      </c>
    </row>
    <row r="1175" spans="1:17" x14ac:dyDescent="0.2">
      <c r="A1175" s="797" t="s">
        <v>18678</v>
      </c>
      <c r="B1175" s="798" t="s">
        <v>18560</v>
      </c>
      <c r="C1175" s="798" t="s">
        <v>14252</v>
      </c>
      <c r="D1175" s="798" t="s">
        <v>18679</v>
      </c>
      <c r="E1175" s="798" t="s">
        <v>18031</v>
      </c>
      <c r="F1175" s="798">
        <v>1</v>
      </c>
      <c r="G1175" s="798" t="s">
        <v>122</v>
      </c>
      <c r="H1175" s="798" t="s">
        <v>1103</v>
      </c>
      <c r="I1175" s="799">
        <v>2000</v>
      </c>
      <c r="J1175" s="798">
        <v>1</v>
      </c>
      <c r="K1175" s="799">
        <f t="shared" si="142"/>
        <v>2000</v>
      </c>
      <c r="L1175" s="799">
        <f t="shared" si="143"/>
        <v>2000</v>
      </c>
      <c r="M1175" s="799">
        <f t="shared" si="134"/>
        <v>2000</v>
      </c>
      <c r="N1175" s="798" t="s">
        <v>18048</v>
      </c>
      <c r="O1175" s="800">
        <f t="shared" si="137"/>
        <v>2000</v>
      </c>
      <c r="P1175" s="800">
        <f t="shared" si="138"/>
        <v>2000</v>
      </c>
      <c r="Q1175" s="801">
        <f t="shared" si="139"/>
        <v>2000</v>
      </c>
    </row>
    <row r="1176" spans="1:17" x14ac:dyDescent="0.2">
      <c r="A1176" s="802" t="s">
        <v>18680</v>
      </c>
      <c r="B1176" s="803" t="s">
        <v>18560</v>
      </c>
      <c r="C1176" s="803" t="s">
        <v>14252</v>
      </c>
      <c r="D1176" s="803" t="s">
        <v>18681</v>
      </c>
      <c r="E1176" s="803" t="s">
        <v>18031</v>
      </c>
      <c r="F1176" s="803">
        <v>1</v>
      </c>
      <c r="G1176" s="803" t="s">
        <v>122</v>
      </c>
      <c r="H1176" s="803" t="s">
        <v>1103</v>
      </c>
      <c r="I1176" s="804">
        <v>800</v>
      </c>
      <c r="J1176" s="803">
        <v>1</v>
      </c>
      <c r="K1176" s="804">
        <f t="shared" si="142"/>
        <v>800</v>
      </c>
      <c r="L1176" s="804">
        <f t="shared" si="143"/>
        <v>800</v>
      </c>
      <c r="M1176" s="804">
        <f t="shared" si="134"/>
        <v>800</v>
      </c>
      <c r="N1176" s="803" t="s">
        <v>18048</v>
      </c>
      <c r="O1176" s="805">
        <f t="shared" si="137"/>
        <v>800</v>
      </c>
      <c r="P1176" s="805">
        <f t="shared" si="138"/>
        <v>800</v>
      </c>
      <c r="Q1176" s="806">
        <f t="shared" si="139"/>
        <v>800</v>
      </c>
    </row>
    <row r="1177" spans="1:17" x14ac:dyDescent="0.2">
      <c r="A1177" s="797" t="s">
        <v>18682</v>
      </c>
      <c r="B1177" s="798" t="s">
        <v>18560</v>
      </c>
      <c r="C1177" s="798" t="s">
        <v>14252</v>
      </c>
      <c r="D1177" s="798" t="s">
        <v>18677</v>
      </c>
      <c r="E1177" s="798" t="s">
        <v>18054</v>
      </c>
      <c r="F1177" s="798">
        <v>2</v>
      </c>
      <c r="G1177" s="798" t="s">
        <v>1103</v>
      </c>
      <c r="H1177" s="798" t="s">
        <v>1947</v>
      </c>
      <c r="I1177" s="799">
        <v>5000</v>
      </c>
      <c r="J1177" s="798">
        <v>1</v>
      </c>
      <c r="K1177" s="799">
        <f t="shared" si="142"/>
        <v>5000</v>
      </c>
      <c r="L1177" s="799">
        <f t="shared" si="143"/>
        <v>5000</v>
      </c>
      <c r="M1177" s="799">
        <f t="shared" si="134"/>
        <v>5000</v>
      </c>
      <c r="N1177" s="798" t="s">
        <v>18057</v>
      </c>
      <c r="O1177" s="800">
        <f t="shared" si="137"/>
        <v>5000</v>
      </c>
      <c r="P1177" s="800">
        <f t="shared" si="138"/>
        <v>5000</v>
      </c>
      <c r="Q1177" s="801">
        <f t="shared" si="139"/>
        <v>5000</v>
      </c>
    </row>
    <row r="1178" spans="1:17" x14ac:dyDescent="0.2">
      <c r="A1178" s="802" t="s">
        <v>18683</v>
      </c>
      <c r="B1178" s="803" t="s">
        <v>18560</v>
      </c>
      <c r="C1178" s="803" t="s">
        <v>14252</v>
      </c>
      <c r="D1178" s="803" t="s">
        <v>18679</v>
      </c>
      <c r="E1178" s="803" t="s">
        <v>18054</v>
      </c>
      <c r="F1178" s="803">
        <v>2</v>
      </c>
      <c r="G1178" s="803" t="s">
        <v>1103</v>
      </c>
      <c r="H1178" s="803" t="s">
        <v>1947</v>
      </c>
      <c r="I1178" s="804">
        <v>5500</v>
      </c>
      <c r="J1178" s="803">
        <v>1</v>
      </c>
      <c r="K1178" s="804">
        <f t="shared" si="142"/>
        <v>5500</v>
      </c>
      <c r="L1178" s="804">
        <f t="shared" si="143"/>
        <v>5500</v>
      </c>
      <c r="M1178" s="804">
        <f t="shared" si="134"/>
        <v>5500</v>
      </c>
      <c r="N1178" s="803" t="s">
        <v>18057</v>
      </c>
      <c r="O1178" s="805">
        <f t="shared" si="137"/>
        <v>5500</v>
      </c>
      <c r="P1178" s="805">
        <f t="shared" si="138"/>
        <v>5500</v>
      </c>
      <c r="Q1178" s="806">
        <f t="shared" si="139"/>
        <v>5500</v>
      </c>
    </row>
    <row r="1179" spans="1:17" x14ac:dyDescent="0.2">
      <c r="A1179" s="797" t="s">
        <v>18684</v>
      </c>
      <c r="B1179" s="798" t="s">
        <v>18560</v>
      </c>
      <c r="C1179" s="798" t="s">
        <v>14252</v>
      </c>
      <c r="D1179" s="798" t="s">
        <v>18681</v>
      </c>
      <c r="E1179" s="798" t="s">
        <v>18054</v>
      </c>
      <c r="F1179" s="798">
        <v>2</v>
      </c>
      <c r="G1179" s="798" t="s">
        <v>1103</v>
      </c>
      <c r="H1179" s="798" t="s">
        <v>1947</v>
      </c>
      <c r="I1179" s="799">
        <v>1700</v>
      </c>
      <c r="J1179" s="798">
        <v>1</v>
      </c>
      <c r="K1179" s="799">
        <f t="shared" si="142"/>
        <v>1700</v>
      </c>
      <c r="L1179" s="799">
        <f t="shared" si="143"/>
        <v>1700</v>
      </c>
      <c r="M1179" s="799">
        <f t="shared" si="134"/>
        <v>1700</v>
      </c>
      <c r="N1179" s="798" t="s">
        <v>18057</v>
      </c>
      <c r="O1179" s="800">
        <f t="shared" si="137"/>
        <v>1700</v>
      </c>
      <c r="P1179" s="800">
        <f t="shared" si="138"/>
        <v>1700</v>
      </c>
      <c r="Q1179" s="801">
        <f t="shared" si="139"/>
        <v>1700</v>
      </c>
    </row>
    <row r="1180" spans="1:17" x14ac:dyDescent="0.2">
      <c r="A1180" s="802" t="s">
        <v>18685</v>
      </c>
      <c r="B1180" s="803" t="s">
        <v>18560</v>
      </c>
      <c r="C1180" s="803" t="s">
        <v>14252</v>
      </c>
      <c r="D1180" s="803" t="s">
        <v>18677</v>
      </c>
      <c r="E1180" s="803" t="s">
        <v>18033</v>
      </c>
      <c r="F1180" s="803">
        <v>3</v>
      </c>
      <c r="G1180" s="803" t="s">
        <v>122</v>
      </c>
      <c r="H1180" s="803" t="s">
        <v>1103</v>
      </c>
      <c r="I1180" s="804">
        <v>9000</v>
      </c>
      <c r="J1180" s="803">
        <v>1</v>
      </c>
      <c r="K1180" s="804">
        <f t="shared" si="142"/>
        <v>9000</v>
      </c>
      <c r="L1180" s="804">
        <f t="shared" si="143"/>
        <v>9000</v>
      </c>
      <c r="M1180" s="804">
        <f t="shared" si="134"/>
        <v>9000</v>
      </c>
      <c r="N1180" s="803" t="s">
        <v>18062</v>
      </c>
      <c r="O1180" s="805">
        <f t="shared" si="137"/>
        <v>9000</v>
      </c>
      <c r="P1180" s="805">
        <f t="shared" si="138"/>
        <v>9000</v>
      </c>
      <c r="Q1180" s="806">
        <f t="shared" si="139"/>
        <v>9000</v>
      </c>
    </row>
    <row r="1181" spans="1:17" x14ac:dyDescent="0.2">
      <c r="A1181" s="797" t="s">
        <v>18686</v>
      </c>
      <c r="B1181" s="798" t="s">
        <v>18560</v>
      </c>
      <c r="C1181" s="798" t="s">
        <v>14252</v>
      </c>
      <c r="D1181" s="798" t="s">
        <v>18679</v>
      </c>
      <c r="E1181" s="798" t="s">
        <v>18033</v>
      </c>
      <c r="F1181" s="798">
        <v>3</v>
      </c>
      <c r="G1181" s="798" t="s">
        <v>122</v>
      </c>
      <c r="H1181" s="798" t="s">
        <v>1103</v>
      </c>
      <c r="I1181" s="799">
        <v>10000</v>
      </c>
      <c r="J1181" s="798">
        <v>1</v>
      </c>
      <c r="K1181" s="799">
        <f t="shared" si="142"/>
        <v>10000</v>
      </c>
      <c r="L1181" s="799">
        <f t="shared" si="143"/>
        <v>10000</v>
      </c>
      <c r="M1181" s="799">
        <f t="shared" si="134"/>
        <v>10000</v>
      </c>
      <c r="N1181" s="798" t="s">
        <v>18062</v>
      </c>
      <c r="O1181" s="800">
        <f t="shared" si="137"/>
        <v>10000</v>
      </c>
      <c r="P1181" s="800">
        <f t="shared" si="138"/>
        <v>10000</v>
      </c>
      <c r="Q1181" s="801">
        <f t="shared" si="139"/>
        <v>10000</v>
      </c>
    </row>
    <row r="1182" spans="1:17" x14ac:dyDescent="0.2">
      <c r="A1182" s="802" t="s">
        <v>18687</v>
      </c>
      <c r="B1182" s="803" t="s">
        <v>18560</v>
      </c>
      <c r="C1182" s="803" t="s">
        <v>14252</v>
      </c>
      <c r="D1182" s="803" t="s">
        <v>18681</v>
      </c>
      <c r="E1182" s="803" t="s">
        <v>18033</v>
      </c>
      <c r="F1182" s="803">
        <v>3</v>
      </c>
      <c r="G1182" s="803" t="s">
        <v>122</v>
      </c>
      <c r="H1182" s="803" t="s">
        <v>1103</v>
      </c>
      <c r="I1182" s="804">
        <v>3000</v>
      </c>
      <c r="J1182" s="803">
        <v>1</v>
      </c>
      <c r="K1182" s="804">
        <f t="shared" si="142"/>
        <v>3000</v>
      </c>
      <c r="L1182" s="804">
        <f t="shared" si="143"/>
        <v>3000</v>
      </c>
      <c r="M1182" s="804">
        <f t="shared" si="134"/>
        <v>3000</v>
      </c>
      <c r="N1182" s="803" t="s">
        <v>18062</v>
      </c>
      <c r="O1182" s="805">
        <f t="shared" si="137"/>
        <v>3000</v>
      </c>
      <c r="P1182" s="805">
        <f t="shared" si="138"/>
        <v>3000</v>
      </c>
      <c r="Q1182" s="806">
        <f t="shared" si="139"/>
        <v>3000</v>
      </c>
    </row>
    <row r="1183" spans="1:17" x14ac:dyDescent="0.2">
      <c r="A1183" s="797" t="s">
        <v>18688</v>
      </c>
      <c r="B1183" s="798" t="s">
        <v>18560</v>
      </c>
      <c r="C1183" s="798" t="s">
        <v>14252</v>
      </c>
      <c r="D1183" s="798" t="s">
        <v>18677</v>
      </c>
      <c r="E1183" s="798" t="s">
        <v>18061</v>
      </c>
      <c r="F1183" s="798">
        <v>4</v>
      </c>
      <c r="G1183" s="798" t="s">
        <v>1103</v>
      </c>
      <c r="H1183" s="798" t="s">
        <v>1947</v>
      </c>
      <c r="I1183" s="799">
        <v>15000</v>
      </c>
      <c r="J1183" s="798">
        <v>1</v>
      </c>
      <c r="K1183" s="799">
        <f t="shared" si="142"/>
        <v>15000</v>
      </c>
      <c r="L1183" s="799">
        <f t="shared" si="143"/>
        <v>15000</v>
      </c>
      <c r="M1183" s="799">
        <f t="shared" si="134"/>
        <v>15000</v>
      </c>
      <c r="N1183" s="798" t="s">
        <v>18188</v>
      </c>
      <c r="O1183" s="800">
        <f t="shared" si="137"/>
        <v>15000</v>
      </c>
      <c r="P1183" s="800">
        <f t="shared" si="138"/>
        <v>15000</v>
      </c>
      <c r="Q1183" s="801">
        <f t="shared" si="139"/>
        <v>15000</v>
      </c>
    </row>
    <row r="1184" spans="1:17" x14ac:dyDescent="0.2">
      <c r="A1184" s="802" t="s">
        <v>18689</v>
      </c>
      <c r="B1184" s="803" t="s">
        <v>18560</v>
      </c>
      <c r="C1184" s="803" t="s">
        <v>14252</v>
      </c>
      <c r="D1184" s="803" t="s">
        <v>18679</v>
      </c>
      <c r="E1184" s="803" t="s">
        <v>18061</v>
      </c>
      <c r="F1184" s="803">
        <v>4</v>
      </c>
      <c r="G1184" s="803" t="s">
        <v>1103</v>
      </c>
      <c r="H1184" s="803" t="s">
        <v>1947</v>
      </c>
      <c r="I1184" s="804">
        <v>17000</v>
      </c>
      <c r="J1184" s="803">
        <v>1</v>
      </c>
      <c r="K1184" s="804">
        <f t="shared" si="142"/>
        <v>17000</v>
      </c>
      <c r="L1184" s="804">
        <f t="shared" si="143"/>
        <v>17000</v>
      </c>
      <c r="M1184" s="804">
        <f t="shared" si="134"/>
        <v>17000</v>
      </c>
      <c r="N1184" s="803" t="s">
        <v>18188</v>
      </c>
      <c r="O1184" s="805">
        <f t="shared" si="137"/>
        <v>17000</v>
      </c>
      <c r="P1184" s="805">
        <f t="shared" si="138"/>
        <v>17000</v>
      </c>
      <c r="Q1184" s="806">
        <f t="shared" si="139"/>
        <v>17000</v>
      </c>
    </row>
    <row r="1185" spans="1:17" x14ac:dyDescent="0.2">
      <c r="A1185" s="797" t="s">
        <v>18690</v>
      </c>
      <c r="B1185" s="798" t="s">
        <v>18560</v>
      </c>
      <c r="C1185" s="798" t="s">
        <v>14252</v>
      </c>
      <c r="D1185" s="798" t="s">
        <v>18681</v>
      </c>
      <c r="E1185" s="798" t="s">
        <v>18061</v>
      </c>
      <c r="F1185" s="798">
        <v>4</v>
      </c>
      <c r="G1185" s="798" t="s">
        <v>1103</v>
      </c>
      <c r="H1185" s="798" t="s">
        <v>1947</v>
      </c>
      <c r="I1185" s="799">
        <v>5200</v>
      </c>
      <c r="J1185" s="798">
        <v>1</v>
      </c>
      <c r="K1185" s="799">
        <v>20800</v>
      </c>
      <c r="L1185" s="799">
        <v>20800</v>
      </c>
      <c r="M1185" s="799">
        <f t="shared" si="134"/>
        <v>5200</v>
      </c>
      <c r="N1185" s="798" t="s">
        <v>18188</v>
      </c>
      <c r="O1185" s="800">
        <f t="shared" si="137"/>
        <v>20800</v>
      </c>
      <c r="P1185" s="800">
        <f t="shared" si="138"/>
        <v>20800</v>
      </c>
      <c r="Q1185" s="801">
        <f t="shared" si="139"/>
        <v>5200</v>
      </c>
    </row>
    <row r="1186" spans="1:17" x14ac:dyDescent="0.2">
      <c r="A1186" s="802" t="s">
        <v>18691</v>
      </c>
      <c r="B1186" s="803" t="s">
        <v>18560</v>
      </c>
      <c r="C1186" s="803" t="s">
        <v>14252</v>
      </c>
      <c r="D1186" s="803" t="s">
        <v>18681</v>
      </c>
      <c r="E1186" s="803" t="s">
        <v>18039</v>
      </c>
      <c r="F1186" s="803">
        <v>5</v>
      </c>
      <c r="G1186" s="803" t="s">
        <v>10772</v>
      </c>
      <c r="H1186" s="803" t="s">
        <v>1103</v>
      </c>
      <c r="I1186" s="804">
        <v>25000</v>
      </c>
      <c r="J1186" s="803">
        <v>1</v>
      </c>
      <c r="K1186" s="804">
        <v>50000</v>
      </c>
      <c r="L1186" s="804">
        <v>50000</v>
      </c>
      <c r="M1186" s="804">
        <f t="shared" si="134"/>
        <v>25000</v>
      </c>
      <c r="N1186" s="803" t="s">
        <v>18192</v>
      </c>
      <c r="O1186" s="805">
        <f t="shared" si="137"/>
        <v>50000</v>
      </c>
      <c r="P1186" s="805">
        <f t="shared" si="138"/>
        <v>50000</v>
      </c>
      <c r="Q1186" s="806">
        <f t="shared" si="139"/>
        <v>25000</v>
      </c>
    </row>
    <row r="1187" spans="1:17" x14ac:dyDescent="0.2">
      <c r="A1187" s="797" t="s">
        <v>18692</v>
      </c>
      <c r="B1187" s="798" t="s">
        <v>18046</v>
      </c>
      <c r="C1187" s="798" t="s">
        <v>14255</v>
      </c>
      <c r="D1187" s="798" t="s">
        <v>18693</v>
      </c>
      <c r="E1187" s="798" t="s">
        <v>18019</v>
      </c>
      <c r="F1187" s="798">
        <v>1</v>
      </c>
      <c r="G1187" s="798" t="s">
        <v>2837</v>
      </c>
      <c r="H1187" s="798" t="s">
        <v>2837</v>
      </c>
      <c r="I1187" s="799">
        <v>100</v>
      </c>
      <c r="J1187" s="798">
        <v>1</v>
      </c>
      <c r="K1187" s="799">
        <f t="shared" ref="K1187:K1205" si="144">+I1187</f>
        <v>100</v>
      </c>
      <c r="L1187" s="799">
        <f t="shared" ref="L1187:L1205" si="145">+I1187</f>
        <v>100</v>
      </c>
      <c r="M1187" s="799">
        <f t="shared" si="134"/>
        <v>100</v>
      </c>
      <c r="N1187" s="798" t="s">
        <v>18048</v>
      </c>
      <c r="O1187" s="800">
        <f t="shared" si="137"/>
        <v>100</v>
      </c>
      <c r="P1187" s="800">
        <f t="shared" si="138"/>
        <v>100</v>
      </c>
      <c r="Q1187" s="801">
        <f t="shared" si="139"/>
        <v>100</v>
      </c>
    </row>
    <row r="1188" spans="1:17" x14ac:dyDescent="0.2">
      <c r="A1188" s="802" t="s">
        <v>18694</v>
      </c>
      <c r="B1188" s="803" t="s">
        <v>18046</v>
      </c>
      <c r="C1188" s="803" t="s">
        <v>14255</v>
      </c>
      <c r="D1188" s="803" t="s">
        <v>18695</v>
      </c>
      <c r="E1188" s="803" t="s">
        <v>18031</v>
      </c>
      <c r="F1188" s="803">
        <v>1</v>
      </c>
      <c r="G1188" s="803" t="s">
        <v>2837</v>
      </c>
      <c r="H1188" s="803" t="s">
        <v>3779</v>
      </c>
      <c r="I1188" s="804">
        <v>3000</v>
      </c>
      <c r="J1188" s="803">
        <v>1</v>
      </c>
      <c r="K1188" s="804">
        <f t="shared" si="144"/>
        <v>3000</v>
      </c>
      <c r="L1188" s="804">
        <f t="shared" si="145"/>
        <v>3000</v>
      </c>
      <c r="M1188" s="804">
        <f t="shared" si="134"/>
        <v>3000</v>
      </c>
      <c r="N1188" s="803" t="s">
        <v>18048</v>
      </c>
      <c r="O1188" s="805">
        <f t="shared" si="137"/>
        <v>3000</v>
      </c>
      <c r="P1188" s="805">
        <f t="shared" si="138"/>
        <v>3000</v>
      </c>
      <c r="Q1188" s="806">
        <f t="shared" si="139"/>
        <v>3000</v>
      </c>
    </row>
    <row r="1189" spans="1:17" x14ac:dyDescent="0.2">
      <c r="A1189" s="797" t="s">
        <v>18696</v>
      </c>
      <c r="B1189" s="798" t="s">
        <v>18046</v>
      </c>
      <c r="C1189" s="798" t="s">
        <v>14255</v>
      </c>
      <c r="D1189" s="798" t="s">
        <v>18695</v>
      </c>
      <c r="E1189" s="798" t="s">
        <v>18054</v>
      </c>
      <c r="F1189" s="798">
        <v>2</v>
      </c>
      <c r="G1189" s="798" t="s">
        <v>2837</v>
      </c>
      <c r="H1189" s="798" t="s">
        <v>3779</v>
      </c>
      <c r="I1189" s="799">
        <v>5000</v>
      </c>
      <c r="J1189" s="798">
        <v>1</v>
      </c>
      <c r="K1189" s="799">
        <f t="shared" si="144"/>
        <v>5000</v>
      </c>
      <c r="L1189" s="799">
        <f t="shared" si="145"/>
        <v>5000</v>
      </c>
      <c r="M1189" s="799">
        <f t="shared" si="134"/>
        <v>5000</v>
      </c>
      <c r="N1189" s="798" t="s">
        <v>18055</v>
      </c>
      <c r="O1189" s="800">
        <f t="shared" si="137"/>
        <v>5000</v>
      </c>
      <c r="P1189" s="800">
        <f t="shared" si="138"/>
        <v>5000</v>
      </c>
      <c r="Q1189" s="801">
        <f t="shared" si="139"/>
        <v>5000</v>
      </c>
    </row>
    <row r="1190" spans="1:17" x14ac:dyDescent="0.2">
      <c r="A1190" s="802" t="s">
        <v>18697</v>
      </c>
      <c r="B1190" s="803" t="s">
        <v>18046</v>
      </c>
      <c r="C1190" s="803" t="s">
        <v>14255</v>
      </c>
      <c r="D1190" s="803" t="s">
        <v>18695</v>
      </c>
      <c r="E1190" s="803" t="s">
        <v>18033</v>
      </c>
      <c r="F1190" s="803">
        <v>3</v>
      </c>
      <c r="G1190" s="803" t="s">
        <v>2837</v>
      </c>
      <c r="H1190" s="803" t="s">
        <v>3779</v>
      </c>
      <c r="I1190" s="804">
        <v>7000</v>
      </c>
      <c r="J1190" s="803">
        <v>1</v>
      </c>
      <c r="K1190" s="804">
        <f t="shared" si="144"/>
        <v>7000</v>
      </c>
      <c r="L1190" s="804">
        <f t="shared" si="145"/>
        <v>7000</v>
      </c>
      <c r="M1190" s="804">
        <f t="shared" si="134"/>
        <v>7000</v>
      </c>
      <c r="N1190" s="803" t="s">
        <v>18057</v>
      </c>
      <c r="O1190" s="805">
        <f t="shared" si="137"/>
        <v>7000</v>
      </c>
      <c r="P1190" s="805">
        <f t="shared" si="138"/>
        <v>7000</v>
      </c>
      <c r="Q1190" s="806">
        <f t="shared" si="139"/>
        <v>7000</v>
      </c>
    </row>
    <row r="1191" spans="1:17" x14ac:dyDescent="0.2">
      <c r="A1191" s="797" t="s">
        <v>18698</v>
      </c>
      <c r="B1191" s="798" t="s">
        <v>18046</v>
      </c>
      <c r="C1191" s="798" t="s">
        <v>14255</v>
      </c>
      <c r="D1191" s="798" t="s">
        <v>18699</v>
      </c>
      <c r="E1191" s="798" t="s">
        <v>18033</v>
      </c>
      <c r="F1191" s="798">
        <v>1</v>
      </c>
      <c r="G1191" s="798" t="s">
        <v>2837</v>
      </c>
      <c r="H1191" s="798" t="s">
        <v>3779</v>
      </c>
      <c r="I1191" s="799">
        <v>7000</v>
      </c>
      <c r="J1191" s="798">
        <v>1</v>
      </c>
      <c r="K1191" s="799">
        <f t="shared" si="144"/>
        <v>7000</v>
      </c>
      <c r="L1191" s="799">
        <f t="shared" si="145"/>
        <v>7000</v>
      </c>
      <c r="M1191" s="799">
        <f t="shared" si="134"/>
        <v>7000</v>
      </c>
      <c r="N1191" s="798" t="s">
        <v>18057</v>
      </c>
      <c r="O1191" s="800">
        <f t="shared" si="137"/>
        <v>7000</v>
      </c>
      <c r="P1191" s="800">
        <f t="shared" si="138"/>
        <v>7000</v>
      </c>
      <c r="Q1191" s="801">
        <f t="shared" si="139"/>
        <v>7000</v>
      </c>
    </row>
    <row r="1192" spans="1:17" x14ac:dyDescent="0.2">
      <c r="A1192" s="802" t="s">
        <v>18700</v>
      </c>
      <c r="B1192" s="803" t="s">
        <v>18046</v>
      </c>
      <c r="C1192" s="803" t="s">
        <v>14255</v>
      </c>
      <c r="D1192" s="803" t="s">
        <v>18699</v>
      </c>
      <c r="E1192" s="803" t="s">
        <v>18061</v>
      </c>
      <c r="F1192" s="803">
        <v>2</v>
      </c>
      <c r="G1192" s="803" t="s">
        <v>2837</v>
      </c>
      <c r="H1192" s="803" t="s">
        <v>3779</v>
      </c>
      <c r="I1192" s="804">
        <v>12000</v>
      </c>
      <c r="J1192" s="803">
        <v>1</v>
      </c>
      <c r="K1192" s="804">
        <f t="shared" si="144"/>
        <v>12000</v>
      </c>
      <c r="L1192" s="804">
        <f t="shared" si="145"/>
        <v>12000</v>
      </c>
      <c r="M1192" s="804">
        <f t="shared" si="134"/>
        <v>12000</v>
      </c>
      <c r="N1192" s="803" t="s">
        <v>18062</v>
      </c>
      <c r="O1192" s="805">
        <f t="shared" si="137"/>
        <v>12000</v>
      </c>
      <c r="P1192" s="805">
        <f t="shared" si="138"/>
        <v>12000</v>
      </c>
      <c r="Q1192" s="806">
        <f t="shared" si="139"/>
        <v>12000</v>
      </c>
    </row>
    <row r="1193" spans="1:17" x14ac:dyDescent="0.2">
      <c r="A1193" s="797" t="s">
        <v>18701</v>
      </c>
      <c r="B1193" s="798" t="s">
        <v>18046</v>
      </c>
      <c r="C1193" s="798" t="s">
        <v>14255</v>
      </c>
      <c r="D1193" s="798" t="s">
        <v>18702</v>
      </c>
      <c r="E1193" s="798" t="s">
        <v>18054</v>
      </c>
      <c r="F1193" s="798">
        <v>1</v>
      </c>
      <c r="G1193" s="798" t="s">
        <v>1103</v>
      </c>
      <c r="H1193" s="798" t="s">
        <v>3779</v>
      </c>
      <c r="I1193" s="799">
        <v>26000</v>
      </c>
      <c r="J1193" s="798">
        <v>1</v>
      </c>
      <c r="K1193" s="799">
        <f t="shared" si="144"/>
        <v>26000</v>
      </c>
      <c r="L1193" s="799">
        <f t="shared" si="145"/>
        <v>26000</v>
      </c>
      <c r="M1193" s="799">
        <f t="shared" si="134"/>
        <v>26000</v>
      </c>
      <c r="N1193" s="798" t="s">
        <v>18188</v>
      </c>
      <c r="O1193" s="800">
        <f t="shared" si="137"/>
        <v>26000</v>
      </c>
      <c r="P1193" s="800">
        <f t="shared" si="138"/>
        <v>26000</v>
      </c>
      <c r="Q1193" s="801">
        <f t="shared" si="139"/>
        <v>26000</v>
      </c>
    </row>
    <row r="1194" spans="1:17" x14ac:dyDescent="0.2">
      <c r="A1194" s="802" t="s">
        <v>18703</v>
      </c>
      <c r="B1194" s="803" t="s">
        <v>18046</v>
      </c>
      <c r="C1194" s="803" t="s">
        <v>14255</v>
      </c>
      <c r="D1194" s="803" t="s">
        <v>18702</v>
      </c>
      <c r="E1194" s="803" t="s">
        <v>18033</v>
      </c>
      <c r="F1194" s="803">
        <v>2</v>
      </c>
      <c r="G1194" s="803" t="s">
        <v>1103</v>
      </c>
      <c r="H1194" s="803" t="s">
        <v>3779</v>
      </c>
      <c r="I1194" s="804">
        <v>30000</v>
      </c>
      <c r="J1194" s="803">
        <v>1</v>
      </c>
      <c r="K1194" s="804">
        <f t="shared" si="144"/>
        <v>30000</v>
      </c>
      <c r="L1194" s="804">
        <f t="shared" si="145"/>
        <v>30000</v>
      </c>
      <c r="M1194" s="804">
        <f t="shared" si="134"/>
        <v>30000</v>
      </c>
      <c r="N1194" s="803" t="s">
        <v>18188</v>
      </c>
      <c r="O1194" s="805">
        <f t="shared" si="137"/>
        <v>30000</v>
      </c>
      <c r="P1194" s="805">
        <f t="shared" si="138"/>
        <v>30000</v>
      </c>
      <c r="Q1194" s="806">
        <f t="shared" si="139"/>
        <v>30000</v>
      </c>
    </row>
    <row r="1195" spans="1:17" x14ac:dyDescent="0.2">
      <c r="A1195" s="797" t="s">
        <v>18704</v>
      </c>
      <c r="B1195" s="798" t="s">
        <v>18588</v>
      </c>
      <c r="C1195" s="798" t="s">
        <v>14262</v>
      </c>
      <c r="D1195" s="798" t="s">
        <v>18705</v>
      </c>
      <c r="E1195" s="798" t="s">
        <v>18031</v>
      </c>
      <c r="F1195" s="798">
        <v>1</v>
      </c>
      <c r="G1195" s="798" t="s">
        <v>1103</v>
      </c>
      <c r="H1195" s="798" t="s">
        <v>1947</v>
      </c>
      <c r="I1195" s="799">
        <v>1500</v>
      </c>
      <c r="J1195" s="798">
        <v>1</v>
      </c>
      <c r="K1195" s="799">
        <f t="shared" si="144"/>
        <v>1500</v>
      </c>
      <c r="L1195" s="799">
        <f t="shared" si="145"/>
        <v>1500</v>
      </c>
      <c r="M1195" s="799">
        <f t="shared" si="134"/>
        <v>1500</v>
      </c>
      <c r="N1195" s="798" t="s">
        <v>18048</v>
      </c>
      <c r="O1195" s="800">
        <f t="shared" si="137"/>
        <v>1500</v>
      </c>
      <c r="P1195" s="800">
        <f t="shared" si="138"/>
        <v>1500</v>
      </c>
      <c r="Q1195" s="801">
        <f t="shared" si="139"/>
        <v>1500</v>
      </c>
    </row>
    <row r="1196" spans="1:17" x14ac:dyDescent="0.2">
      <c r="A1196" s="802" t="s">
        <v>18706</v>
      </c>
      <c r="B1196" s="803" t="s">
        <v>18588</v>
      </c>
      <c r="C1196" s="803" t="s">
        <v>14262</v>
      </c>
      <c r="D1196" s="803" t="s">
        <v>18707</v>
      </c>
      <c r="E1196" s="803" t="s">
        <v>18031</v>
      </c>
      <c r="F1196" s="803">
        <v>1</v>
      </c>
      <c r="G1196" s="803" t="s">
        <v>1103</v>
      </c>
      <c r="H1196" s="803" t="s">
        <v>1947</v>
      </c>
      <c r="I1196" s="804">
        <v>2000</v>
      </c>
      <c r="J1196" s="803">
        <v>1</v>
      </c>
      <c r="K1196" s="804">
        <f t="shared" si="144"/>
        <v>2000</v>
      </c>
      <c r="L1196" s="804">
        <f t="shared" si="145"/>
        <v>2000</v>
      </c>
      <c r="M1196" s="804">
        <f t="shared" si="134"/>
        <v>2000</v>
      </c>
      <c r="N1196" s="803" t="s">
        <v>18048</v>
      </c>
      <c r="O1196" s="805">
        <f t="shared" si="137"/>
        <v>2000</v>
      </c>
      <c r="P1196" s="805">
        <f t="shared" si="138"/>
        <v>2000</v>
      </c>
      <c r="Q1196" s="806">
        <f t="shared" si="139"/>
        <v>2000</v>
      </c>
    </row>
    <row r="1197" spans="1:17" x14ac:dyDescent="0.2">
      <c r="A1197" s="797" t="s">
        <v>18708</v>
      </c>
      <c r="B1197" s="798" t="s">
        <v>18588</v>
      </c>
      <c r="C1197" s="798" t="s">
        <v>14262</v>
      </c>
      <c r="D1197" s="798" t="s">
        <v>18709</v>
      </c>
      <c r="E1197" s="798" t="s">
        <v>18031</v>
      </c>
      <c r="F1197" s="798">
        <v>1</v>
      </c>
      <c r="G1197" s="798" t="s">
        <v>10772</v>
      </c>
      <c r="H1197" s="798" t="s">
        <v>1947</v>
      </c>
      <c r="I1197" s="799">
        <v>3000</v>
      </c>
      <c r="J1197" s="798">
        <v>1</v>
      </c>
      <c r="K1197" s="799">
        <f t="shared" si="144"/>
        <v>3000</v>
      </c>
      <c r="L1197" s="799">
        <f t="shared" si="145"/>
        <v>3000</v>
      </c>
      <c r="M1197" s="799">
        <f t="shared" si="134"/>
        <v>3000</v>
      </c>
      <c r="N1197" s="798" t="s">
        <v>18048</v>
      </c>
      <c r="O1197" s="800">
        <f t="shared" si="137"/>
        <v>3000</v>
      </c>
      <c r="P1197" s="800">
        <f t="shared" si="138"/>
        <v>3000</v>
      </c>
      <c r="Q1197" s="801">
        <f t="shared" si="139"/>
        <v>3000</v>
      </c>
    </row>
    <row r="1198" spans="1:17" x14ac:dyDescent="0.2">
      <c r="A1198" s="802" t="s">
        <v>18710</v>
      </c>
      <c r="B1198" s="803" t="s">
        <v>18588</v>
      </c>
      <c r="C1198" s="803" t="s">
        <v>14262</v>
      </c>
      <c r="D1198" s="803" t="s">
        <v>18705</v>
      </c>
      <c r="E1198" s="803" t="s">
        <v>18054</v>
      </c>
      <c r="F1198" s="803">
        <v>2</v>
      </c>
      <c r="G1198" s="803" t="s">
        <v>2837</v>
      </c>
      <c r="H1198" s="803" t="s">
        <v>3779</v>
      </c>
      <c r="I1198" s="804">
        <v>5000</v>
      </c>
      <c r="J1198" s="803">
        <v>1</v>
      </c>
      <c r="K1198" s="804">
        <f t="shared" si="144"/>
        <v>5000</v>
      </c>
      <c r="L1198" s="804">
        <f t="shared" si="145"/>
        <v>5000</v>
      </c>
      <c r="M1198" s="804">
        <f t="shared" si="134"/>
        <v>5000</v>
      </c>
      <c r="N1198" s="803" t="s">
        <v>18057</v>
      </c>
      <c r="O1198" s="805">
        <f t="shared" si="137"/>
        <v>5000</v>
      </c>
      <c r="P1198" s="805">
        <f t="shared" si="138"/>
        <v>5000</v>
      </c>
      <c r="Q1198" s="806">
        <f t="shared" si="139"/>
        <v>5000</v>
      </c>
    </row>
    <row r="1199" spans="1:17" x14ac:dyDescent="0.2">
      <c r="A1199" s="797" t="s">
        <v>18711</v>
      </c>
      <c r="B1199" s="798" t="s">
        <v>18588</v>
      </c>
      <c r="C1199" s="798" t="s">
        <v>14262</v>
      </c>
      <c r="D1199" s="798" t="s">
        <v>18707</v>
      </c>
      <c r="E1199" s="798" t="s">
        <v>18054</v>
      </c>
      <c r="F1199" s="798">
        <v>2</v>
      </c>
      <c r="G1199" s="798" t="s">
        <v>2837</v>
      </c>
      <c r="H1199" s="798" t="s">
        <v>3779</v>
      </c>
      <c r="I1199" s="799">
        <v>5500</v>
      </c>
      <c r="J1199" s="798">
        <v>1</v>
      </c>
      <c r="K1199" s="799">
        <f t="shared" si="144"/>
        <v>5500</v>
      </c>
      <c r="L1199" s="799">
        <f t="shared" si="145"/>
        <v>5500</v>
      </c>
      <c r="M1199" s="799">
        <f t="shared" si="134"/>
        <v>5500</v>
      </c>
      <c r="N1199" s="798" t="s">
        <v>18057</v>
      </c>
      <c r="O1199" s="800">
        <f t="shared" si="137"/>
        <v>5500</v>
      </c>
      <c r="P1199" s="800">
        <f t="shared" si="138"/>
        <v>5500</v>
      </c>
      <c r="Q1199" s="801">
        <f t="shared" si="139"/>
        <v>5500</v>
      </c>
    </row>
    <row r="1200" spans="1:17" x14ac:dyDescent="0.2">
      <c r="A1200" s="802" t="s">
        <v>18712</v>
      </c>
      <c r="B1200" s="803" t="s">
        <v>18588</v>
      </c>
      <c r="C1200" s="803" t="s">
        <v>14262</v>
      </c>
      <c r="D1200" s="803" t="s">
        <v>18709</v>
      </c>
      <c r="E1200" s="803" t="s">
        <v>18054</v>
      </c>
      <c r="F1200" s="803">
        <v>2</v>
      </c>
      <c r="G1200" s="803" t="s">
        <v>10772</v>
      </c>
      <c r="H1200" s="803" t="s">
        <v>3779</v>
      </c>
      <c r="I1200" s="804">
        <v>7000</v>
      </c>
      <c r="J1200" s="803">
        <v>1</v>
      </c>
      <c r="K1200" s="804">
        <f t="shared" si="144"/>
        <v>7000</v>
      </c>
      <c r="L1200" s="804">
        <f t="shared" si="145"/>
        <v>7000</v>
      </c>
      <c r="M1200" s="804">
        <f t="shared" si="134"/>
        <v>7000</v>
      </c>
      <c r="N1200" s="803" t="s">
        <v>18057</v>
      </c>
      <c r="O1200" s="805">
        <f t="shared" si="137"/>
        <v>7000</v>
      </c>
      <c r="P1200" s="805">
        <f t="shared" si="138"/>
        <v>7000</v>
      </c>
      <c r="Q1200" s="806">
        <f t="shared" si="139"/>
        <v>7000</v>
      </c>
    </row>
    <row r="1201" spans="1:17" x14ac:dyDescent="0.2">
      <c r="A1201" s="797" t="s">
        <v>18713</v>
      </c>
      <c r="B1201" s="798" t="s">
        <v>18588</v>
      </c>
      <c r="C1201" s="798" t="s">
        <v>14262</v>
      </c>
      <c r="D1201" s="798" t="s">
        <v>18705</v>
      </c>
      <c r="E1201" s="798" t="s">
        <v>18033</v>
      </c>
      <c r="F1201" s="798">
        <v>3</v>
      </c>
      <c r="G1201" s="798" t="s">
        <v>1103</v>
      </c>
      <c r="H1201" s="798" t="s">
        <v>1947</v>
      </c>
      <c r="I1201" s="799">
        <v>9000</v>
      </c>
      <c r="J1201" s="798">
        <v>1</v>
      </c>
      <c r="K1201" s="799">
        <f t="shared" si="144"/>
        <v>9000</v>
      </c>
      <c r="L1201" s="799">
        <f t="shared" si="145"/>
        <v>9000</v>
      </c>
      <c r="M1201" s="799">
        <f t="shared" si="134"/>
        <v>9000</v>
      </c>
      <c r="N1201" s="798" t="s">
        <v>18062</v>
      </c>
      <c r="O1201" s="800">
        <f t="shared" si="137"/>
        <v>9000</v>
      </c>
      <c r="P1201" s="800">
        <f t="shared" si="138"/>
        <v>9000</v>
      </c>
      <c r="Q1201" s="801">
        <f t="shared" si="139"/>
        <v>9000</v>
      </c>
    </row>
    <row r="1202" spans="1:17" x14ac:dyDescent="0.2">
      <c r="A1202" s="802" t="s">
        <v>18714</v>
      </c>
      <c r="B1202" s="803" t="s">
        <v>18588</v>
      </c>
      <c r="C1202" s="803" t="s">
        <v>14262</v>
      </c>
      <c r="D1202" s="803" t="s">
        <v>18707</v>
      </c>
      <c r="E1202" s="803" t="s">
        <v>18033</v>
      </c>
      <c r="F1202" s="803">
        <v>3</v>
      </c>
      <c r="G1202" s="803" t="s">
        <v>1103</v>
      </c>
      <c r="H1202" s="803" t="s">
        <v>1947</v>
      </c>
      <c r="I1202" s="804">
        <v>10000</v>
      </c>
      <c r="J1202" s="803">
        <v>1</v>
      </c>
      <c r="K1202" s="804">
        <f t="shared" si="144"/>
        <v>10000</v>
      </c>
      <c r="L1202" s="804">
        <f t="shared" si="145"/>
        <v>10000</v>
      </c>
      <c r="M1202" s="804">
        <f t="shared" ref="M1202:M1265" si="146">+I1202</f>
        <v>10000</v>
      </c>
      <c r="N1202" s="803" t="s">
        <v>18062</v>
      </c>
      <c r="O1202" s="805">
        <f t="shared" si="137"/>
        <v>10000</v>
      </c>
      <c r="P1202" s="805">
        <f t="shared" si="138"/>
        <v>10000</v>
      </c>
      <c r="Q1202" s="806">
        <f t="shared" si="139"/>
        <v>10000</v>
      </c>
    </row>
    <row r="1203" spans="1:17" x14ac:dyDescent="0.2">
      <c r="A1203" s="797" t="s">
        <v>18715</v>
      </c>
      <c r="B1203" s="798" t="s">
        <v>18588</v>
      </c>
      <c r="C1203" s="798" t="s">
        <v>14262</v>
      </c>
      <c r="D1203" s="798" t="s">
        <v>18709</v>
      </c>
      <c r="E1203" s="798" t="s">
        <v>18033</v>
      </c>
      <c r="F1203" s="798">
        <v>3</v>
      </c>
      <c r="G1203" s="798" t="s">
        <v>10772</v>
      </c>
      <c r="H1203" s="798" t="s">
        <v>1947</v>
      </c>
      <c r="I1203" s="799">
        <v>12000</v>
      </c>
      <c r="J1203" s="798">
        <v>1</v>
      </c>
      <c r="K1203" s="799">
        <f t="shared" si="144"/>
        <v>12000</v>
      </c>
      <c r="L1203" s="799">
        <f t="shared" si="145"/>
        <v>12000</v>
      </c>
      <c r="M1203" s="799">
        <f t="shared" si="146"/>
        <v>12000</v>
      </c>
      <c r="N1203" s="798" t="s">
        <v>18062</v>
      </c>
      <c r="O1203" s="800">
        <f t="shared" si="137"/>
        <v>12000</v>
      </c>
      <c r="P1203" s="800">
        <f t="shared" si="138"/>
        <v>12000</v>
      </c>
      <c r="Q1203" s="801">
        <f t="shared" si="139"/>
        <v>12000</v>
      </c>
    </row>
    <row r="1204" spans="1:17" x14ac:dyDescent="0.2">
      <c r="A1204" s="802" t="s">
        <v>18716</v>
      </c>
      <c r="B1204" s="803" t="s">
        <v>18588</v>
      </c>
      <c r="C1204" s="803" t="s">
        <v>14262</v>
      </c>
      <c r="D1204" s="803" t="s">
        <v>18705</v>
      </c>
      <c r="E1204" s="803" t="s">
        <v>18061</v>
      </c>
      <c r="F1204" s="803">
        <v>4</v>
      </c>
      <c r="G1204" s="803" t="s">
        <v>2837</v>
      </c>
      <c r="H1204" s="803" t="s">
        <v>3779</v>
      </c>
      <c r="I1204" s="804">
        <v>15000</v>
      </c>
      <c r="J1204" s="803">
        <v>1</v>
      </c>
      <c r="K1204" s="804">
        <f t="shared" si="144"/>
        <v>15000</v>
      </c>
      <c r="L1204" s="804">
        <f t="shared" si="145"/>
        <v>15000</v>
      </c>
      <c r="M1204" s="804">
        <f t="shared" si="146"/>
        <v>15000</v>
      </c>
      <c r="N1204" s="803" t="s">
        <v>18188</v>
      </c>
      <c r="O1204" s="805">
        <f t="shared" si="137"/>
        <v>15000</v>
      </c>
      <c r="P1204" s="805">
        <f t="shared" si="138"/>
        <v>15000</v>
      </c>
      <c r="Q1204" s="806">
        <f t="shared" si="139"/>
        <v>15000</v>
      </c>
    </row>
    <row r="1205" spans="1:17" x14ac:dyDescent="0.2">
      <c r="A1205" s="797" t="s">
        <v>18717</v>
      </c>
      <c r="B1205" s="798" t="s">
        <v>18588</v>
      </c>
      <c r="C1205" s="798" t="s">
        <v>14262</v>
      </c>
      <c r="D1205" s="798" t="s">
        <v>18707</v>
      </c>
      <c r="E1205" s="798" t="s">
        <v>18061</v>
      </c>
      <c r="F1205" s="798">
        <v>4</v>
      </c>
      <c r="G1205" s="798" t="s">
        <v>2837</v>
      </c>
      <c r="H1205" s="798" t="s">
        <v>3779</v>
      </c>
      <c r="I1205" s="799">
        <v>17000</v>
      </c>
      <c r="J1205" s="798">
        <v>1</v>
      </c>
      <c r="K1205" s="799">
        <f t="shared" si="144"/>
        <v>17000</v>
      </c>
      <c r="L1205" s="799">
        <f t="shared" si="145"/>
        <v>17000</v>
      </c>
      <c r="M1205" s="799">
        <f t="shared" si="146"/>
        <v>17000</v>
      </c>
      <c r="N1205" s="798" t="s">
        <v>18188</v>
      </c>
      <c r="O1205" s="800">
        <f t="shared" si="137"/>
        <v>17000</v>
      </c>
      <c r="P1205" s="800">
        <f t="shared" si="138"/>
        <v>17000</v>
      </c>
      <c r="Q1205" s="801">
        <f t="shared" si="139"/>
        <v>17000</v>
      </c>
    </row>
    <row r="1206" spans="1:17" x14ac:dyDescent="0.2">
      <c r="A1206" s="802" t="s">
        <v>18718</v>
      </c>
      <c r="B1206" s="803" t="s">
        <v>18588</v>
      </c>
      <c r="C1206" s="803" t="s">
        <v>14262</v>
      </c>
      <c r="D1206" s="803" t="s">
        <v>18709</v>
      </c>
      <c r="E1206" s="803" t="s">
        <v>18061</v>
      </c>
      <c r="F1206" s="803">
        <v>4</v>
      </c>
      <c r="G1206" s="803" t="s">
        <v>10772</v>
      </c>
      <c r="H1206" s="803" t="s">
        <v>3779</v>
      </c>
      <c r="I1206" s="804">
        <v>22000</v>
      </c>
      <c r="J1206" s="803">
        <v>1</v>
      </c>
      <c r="K1206" s="804">
        <v>50000</v>
      </c>
      <c r="L1206" s="804">
        <v>50000</v>
      </c>
      <c r="M1206" s="804">
        <f t="shared" si="146"/>
        <v>22000</v>
      </c>
      <c r="N1206" s="803" t="s">
        <v>18188</v>
      </c>
      <c r="O1206" s="805">
        <f t="shared" si="137"/>
        <v>50000</v>
      </c>
      <c r="P1206" s="805">
        <f t="shared" si="138"/>
        <v>50000</v>
      </c>
      <c r="Q1206" s="806">
        <f t="shared" si="139"/>
        <v>22000</v>
      </c>
    </row>
    <row r="1207" spans="1:17" x14ac:dyDescent="0.2">
      <c r="A1207" s="797" t="s">
        <v>18719</v>
      </c>
      <c r="B1207" s="798" t="s">
        <v>18588</v>
      </c>
      <c r="C1207" s="798" t="s">
        <v>14262</v>
      </c>
      <c r="D1207" s="798" t="s">
        <v>18709</v>
      </c>
      <c r="E1207" s="798" t="s">
        <v>18039</v>
      </c>
      <c r="F1207" s="798">
        <v>5</v>
      </c>
      <c r="G1207" s="798" t="s">
        <v>10772</v>
      </c>
      <c r="H1207" s="798" t="s">
        <v>1947</v>
      </c>
      <c r="I1207" s="799">
        <v>25000</v>
      </c>
      <c r="J1207" s="798">
        <v>1</v>
      </c>
      <c r="K1207" s="799">
        <v>70000</v>
      </c>
      <c r="L1207" s="799">
        <v>70000</v>
      </c>
      <c r="M1207" s="799">
        <f t="shared" si="146"/>
        <v>25000</v>
      </c>
      <c r="N1207" s="798" t="s">
        <v>18192</v>
      </c>
      <c r="O1207" s="800">
        <f t="shared" si="137"/>
        <v>70000</v>
      </c>
      <c r="P1207" s="800">
        <f t="shared" si="138"/>
        <v>70000</v>
      </c>
      <c r="Q1207" s="801">
        <f t="shared" si="139"/>
        <v>25000</v>
      </c>
    </row>
    <row r="1208" spans="1:17" x14ac:dyDescent="0.2">
      <c r="A1208" s="802" t="s">
        <v>18720</v>
      </c>
      <c r="B1208" s="803" t="s">
        <v>18588</v>
      </c>
      <c r="C1208" s="803" t="s">
        <v>14262</v>
      </c>
      <c r="D1208" s="803" t="s">
        <v>18709</v>
      </c>
      <c r="E1208" s="803" t="s">
        <v>18721</v>
      </c>
      <c r="F1208" s="803">
        <v>6</v>
      </c>
      <c r="G1208" s="803" t="s">
        <v>10772</v>
      </c>
      <c r="H1208" s="803" t="s">
        <v>3779</v>
      </c>
      <c r="I1208" s="804">
        <v>32000</v>
      </c>
      <c r="J1208" s="803">
        <v>1</v>
      </c>
      <c r="K1208" s="804">
        <v>70000</v>
      </c>
      <c r="L1208" s="804">
        <v>70000</v>
      </c>
      <c r="M1208" s="804">
        <f t="shared" si="146"/>
        <v>32000</v>
      </c>
      <c r="N1208" s="803" t="s">
        <v>18192</v>
      </c>
      <c r="O1208" s="805">
        <f t="shared" si="137"/>
        <v>70000</v>
      </c>
      <c r="P1208" s="805">
        <f t="shared" si="138"/>
        <v>70000</v>
      </c>
      <c r="Q1208" s="806">
        <f t="shared" si="139"/>
        <v>32000</v>
      </c>
    </row>
    <row r="1209" spans="1:17" x14ac:dyDescent="0.2">
      <c r="A1209" s="797" t="s">
        <v>18722</v>
      </c>
      <c r="B1209" s="798" t="s">
        <v>18017</v>
      </c>
      <c r="C1209" s="798" t="s">
        <v>14265</v>
      </c>
      <c r="D1209" s="798" t="s">
        <v>18723</v>
      </c>
      <c r="E1209" s="798" t="s">
        <v>18019</v>
      </c>
      <c r="F1209" s="798">
        <v>1</v>
      </c>
      <c r="G1209" s="798" t="s">
        <v>122</v>
      </c>
      <c r="H1209" s="798" t="s">
        <v>122</v>
      </c>
      <c r="I1209" s="799">
        <v>1500</v>
      </c>
      <c r="J1209" s="798">
        <v>1</v>
      </c>
      <c r="K1209" s="799">
        <f t="shared" ref="K1209:K1216" si="147">+I1209</f>
        <v>1500</v>
      </c>
      <c r="L1209" s="799">
        <f t="shared" ref="L1209:L1216" si="148">+I1209</f>
        <v>1500</v>
      </c>
      <c r="M1209" s="799">
        <f t="shared" si="146"/>
        <v>1500</v>
      </c>
      <c r="N1209" s="798" t="s">
        <v>18020</v>
      </c>
      <c r="O1209" s="800">
        <f t="shared" si="137"/>
        <v>1500</v>
      </c>
      <c r="P1209" s="800">
        <f t="shared" si="138"/>
        <v>1500</v>
      </c>
      <c r="Q1209" s="801">
        <f t="shared" si="139"/>
        <v>1500</v>
      </c>
    </row>
    <row r="1210" spans="1:17" x14ac:dyDescent="0.2">
      <c r="A1210" s="802" t="s">
        <v>18724</v>
      </c>
      <c r="B1210" s="803" t="s">
        <v>18017</v>
      </c>
      <c r="C1210" s="803" t="s">
        <v>14265</v>
      </c>
      <c r="D1210" s="803" t="s">
        <v>18725</v>
      </c>
      <c r="E1210" s="803" t="s">
        <v>18019</v>
      </c>
      <c r="F1210" s="803">
        <v>1</v>
      </c>
      <c r="G1210" s="803" t="s">
        <v>122</v>
      </c>
      <c r="H1210" s="803" t="s">
        <v>122</v>
      </c>
      <c r="I1210" s="804">
        <v>1600</v>
      </c>
      <c r="J1210" s="803">
        <v>1</v>
      </c>
      <c r="K1210" s="804">
        <f t="shared" si="147"/>
        <v>1600</v>
      </c>
      <c r="L1210" s="804">
        <f t="shared" si="148"/>
        <v>1600</v>
      </c>
      <c r="M1210" s="804">
        <f t="shared" si="146"/>
        <v>1600</v>
      </c>
      <c r="N1210" s="803" t="s">
        <v>18020</v>
      </c>
      <c r="O1210" s="805">
        <f t="shared" si="137"/>
        <v>1600</v>
      </c>
      <c r="P1210" s="805">
        <f t="shared" si="138"/>
        <v>1600</v>
      </c>
      <c r="Q1210" s="806">
        <f t="shared" si="139"/>
        <v>1600</v>
      </c>
    </row>
    <row r="1211" spans="1:17" x14ac:dyDescent="0.2">
      <c r="A1211" s="797" t="s">
        <v>18726</v>
      </c>
      <c r="B1211" s="798" t="s">
        <v>18017</v>
      </c>
      <c r="C1211" s="798" t="s">
        <v>14265</v>
      </c>
      <c r="D1211" s="798" t="s">
        <v>18727</v>
      </c>
      <c r="E1211" s="798" t="s">
        <v>18031</v>
      </c>
      <c r="F1211" s="798">
        <v>1</v>
      </c>
      <c r="G1211" s="798" t="s">
        <v>122</v>
      </c>
      <c r="H1211" s="798" t="s">
        <v>2837</v>
      </c>
      <c r="I1211" s="799">
        <v>2000</v>
      </c>
      <c r="J1211" s="798">
        <v>1</v>
      </c>
      <c r="K1211" s="799">
        <f t="shared" si="147"/>
        <v>2000</v>
      </c>
      <c r="L1211" s="799">
        <f t="shared" si="148"/>
        <v>2000</v>
      </c>
      <c r="M1211" s="799">
        <f t="shared" si="146"/>
        <v>2000</v>
      </c>
      <c r="N1211" s="798" t="s">
        <v>18020</v>
      </c>
      <c r="O1211" s="800">
        <f t="shared" si="137"/>
        <v>2000</v>
      </c>
      <c r="P1211" s="800">
        <f t="shared" si="138"/>
        <v>2000</v>
      </c>
      <c r="Q1211" s="801">
        <f t="shared" si="139"/>
        <v>2000</v>
      </c>
    </row>
    <row r="1212" spans="1:17" x14ac:dyDescent="0.2">
      <c r="A1212" s="802" t="s">
        <v>18728</v>
      </c>
      <c r="B1212" s="803" t="s">
        <v>18017</v>
      </c>
      <c r="C1212" s="803" t="s">
        <v>14265</v>
      </c>
      <c r="D1212" s="803" t="s">
        <v>18727</v>
      </c>
      <c r="E1212" s="803" t="s">
        <v>18033</v>
      </c>
      <c r="F1212" s="803">
        <v>2</v>
      </c>
      <c r="G1212" s="803" t="s">
        <v>122</v>
      </c>
      <c r="H1212" s="803" t="s">
        <v>2837</v>
      </c>
      <c r="I1212" s="804">
        <v>5200</v>
      </c>
      <c r="J1212" s="803">
        <v>1</v>
      </c>
      <c r="K1212" s="804">
        <f t="shared" si="147"/>
        <v>5200</v>
      </c>
      <c r="L1212" s="804">
        <f t="shared" si="148"/>
        <v>5200</v>
      </c>
      <c r="M1212" s="804">
        <f t="shared" si="146"/>
        <v>5200</v>
      </c>
      <c r="N1212" s="803" t="s">
        <v>18037</v>
      </c>
      <c r="O1212" s="805">
        <f t="shared" si="137"/>
        <v>5200</v>
      </c>
      <c r="P1212" s="805">
        <f t="shared" si="138"/>
        <v>5200</v>
      </c>
      <c r="Q1212" s="806">
        <f t="shared" si="139"/>
        <v>5200</v>
      </c>
    </row>
    <row r="1213" spans="1:17" x14ac:dyDescent="0.2">
      <c r="A1213" s="797" t="s">
        <v>18729</v>
      </c>
      <c r="B1213" s="798" t="s">
        <v>18017</v>
      </c>
      <c r="C1213" s="798" t="s">
        <v>14265</v>
      </c>
      <c r="D1213" s="798" t="s">
        <v>18730</v>
      </c>
      <c r="E1213" s="798" t="s">
        <v>18031</v>
      </c>
      <c r="F1213" s="798">
        <v>1</v>
      </c>
      <c r="G1213" s="798" t="s">
        <v>3779</v>
      </c>
      <c r="H1213" s="798" t="s">
        <v>2837</v>
      </c>
      <c r="I1213" s="799">
        <v>2500</v>
      </c>
      <c r="J1213" s="798">
        <v>1</v>
      </c>
      <c r="K1213" s="799">
        <f t="shared" si="147"/>
        <v>2500</v>
      </c>
      <c r="L1213" s="799">
        <f t="shared" si="148"/>
        <v>2500</v>
      </c>
      <c r="M1213" s="799">
        <f t="shared" si="146"/>
        <v>2500</v>
      </c>
      <c r="N1213" s="798" t="s">
        <v>18020</v>
      </c>
      <c r="O1213" s="800">
        <f t="shared" si="137"/>
        <v>2500</v>
      </c>
      <c r="P1213" s="800">
        <f t="shared" si="138"/>
        <v>2500</v>
      </c>
      <c r="Q1213" s="801">
        <f t="shared" si="139"/>
        <v>2500</v>
      </c>
    </row>
    <row r="1214" spans="1:17" x14ac:dyDescent="0.2">
      <c r="A1214" s="802" t="s">
        <v>18731</v>
      </c>
      <c r="B1214" s="803" t="s">
        <v>18017</v>
      </c>
      <c r="C1214" s="803" t="s">
        <v>14265</v>
      </c>
      <c r="D1214" s="803" t="s">
        <v>18730</v>
      </c>
      <c r="E1214" s="803" t="s">
        <v>18033</v>
      </c>
      <c r="F1214" s="803">
        <v>2</v>
      </c>
      <c r="G1214" s="803" t="s">
        <v>3779</v>
      </c>
      <c r="H1214" s="803" t="s">
        <v>2837</v>
      </c>
      <c r="I1214" s="804">
        <v>7800</v>
      </c>
      <c r="J1214" s="803">
        <v>1</v>
      </c>
      <c r="K1214" s="804">
        <f t="shared" si="147"/>
        <v>7800</v>
      </c>
      <c r="L1214" s="804">
        <f t="shared" si="148"/>
        <v>7800</v>
      </c>
      <c r="M1214" s="804">
        <f t="shared" si="146"/>
        <v>7800</v>
      </c>
      <c r="N1214" s="803" t="s">
        <v>18037</v>
      </c>
      <c r="O1214" s="805">
        <f t="shared" si="137"/>
        <v>7800</v>
      </c>
      <c r="P1214" s="805">
        <f t="shared" si="138"/>
        <v>7800</v>
      </c>
      <c r="Q1214" s="806">
        <f t="shared" si="139"/>
        <v>7800</v>
      </c>
    </row>
    <row r="1215" spans="1:17" x14ac:dyDescent="0.2">
      <c r="A1215" s="797" t="s">
        <v>18732</v>
      </c>
      <c r="B1215" s="798" t="s">
        <v>18017</v>
      </c>
      <c r="C1215" s="798" t="s">
        <v>14265</v>
      </c>
      <c r="D1215" s="798" t="s">
        <v>18730</v>
      </c>
      <c r="E1215" s="798" t="s">
        <v>18039</v>
      </c>
      <c r="F1215" s="798">
        <v>3</v>
      </c>
      <c r="G1215" s="798" t="s">
        <v>3779</v>
      </c>
      <c r="H1215" s="798" t="s">
        <v>2837</v>
      </c>
      <c r="I1215" s="799">
        <v>9500</v>
      </c>
      <c r="J1215" s="798">
        <v>1</v>
      </c>
      <c r="K1215" s="799">
        <f t="shared" si="147"/>
        <v>9500</v>
      </c>
      <c r="L1215" s="799">
        <f t="shared" si="148"/>
        <v>9500</v>
      </c>
      <c r="M1215" s="799">
        <f t="shared" si="146"/>
        <v>9500</v>
      </c>
      <c r="N1215" s="798" t="s">
        <v>18037</v>
      </c>
      <c r="O1215" s="800">
        <f t="shared" si="137"/>
        <v>9500</v>
      </c>
      <c r="P1215" s="800">
        <f t="shared" si="138"/>
        <v>9500</v>
      </c>
      <c r="Q1215" s="801">
        <f t="shared" si="139"/>
        <v>9500</v>
      </c>
    </row>
    <row r="1216" spans="1:17" x14ac:dyDescent="0.2">
      <c r="A1216" s="802" t="s">
        <v>18733</v>
      </c>
      <c r="B1216" s="803" t="s">
        <v>18017</v>
      </c>
      <c r="C1216" s="803" t="s">
        <v>14265</v>
      </c>
      <c r="D1216" s="803" t="s">
        <v>18730</v>
      </c>
      <c r="E1216" s="803" t="s">
        <v>18041</v>
      </c>
      <c r="F1216" s="803">
        <v>4</v>
      </c>
      <c r="G1216" s="803" t="s">
        <v>3779</v>
      </c>
      <c r="H1216" s="803" t="s">
        <v>2837</v>
      </c>
      <c r="I1216" s="804">
        <v>15000</v>
      </c>
      <c r="J1216" s="803">
        <v>1</v>
      </c>
      <c r="K1216" s="804">
        <f t="shared" si="147"/>
        <v>15000</v>
      </c>
      <c r="L1216" s="804">
        <f t="shared" si="148"/>
        <v>15000</v>
      </c>
      <c r="M1216" s="804">
        <f t="shared" si="146"/>
        <v>15000</v>
      </c>
      <c r="N1216" s="803" t="s">
        <v>18042</v>
      </c>
      <c r="O1216" s="805">
        <f t="shared" si="137"/>
        <v>15000</v>
      </c>
      <c r="P1216" s="805">
        <f t="shared" si="138"/>
        <v>15000</v>
      </c>
      <c r="Q1216" s="806">
        <f t="shared" si="139"/>
        <v>15000</v>
      </c>
    </row>
    <row r="1217" spans="1:17" x14ac:dyDescent="0.2">
      <c r="A1217" s="797" t="s">
        <v>18734</v>
      </c>
      <c r="B1217" s="798" t="s">
        <v>18017</v>
      </c>
      <c r="C1217" s="798" t="s">
        <v>14265</v>
      </c>
      <c r="D1217" s="798" t="s">
        <v>18730</v>
      </c>
      <c r="E1217" s="798" t="s">
        <v>18212</v>
      </c>
      <c r="F1217" s="798">
        <v>5</v>
      </c>
      <c r="G1217" s="798" t="s">
        <v>3779</v>
      </c>
      <c r="H1217" s="798" t="s">
        <v>2837</v>
      </c>
      <c r="I1217" s="799">
        <v>22000</v>
      </c>
      <c r="J1217" s="798">
        <v>1</v>
      </c>
      <c r="K1217" s="799">
        <v>100000</v>
      </c>
      <c r="L1217" s="799">
        <v>100000</v>
      </c>
      <c r="M1217" s="799">
        <f t="shared" si="146"/>
        <v>22000</v>
      </c>
      <c r="N1217" s="798" t="s">
        <v>18042</v>
      </c>
      <c r="O1217" s="800">
        <f t="shared" si="137"/>
        <v>100000</v>
      </c>
      <c r="P1217" s="800">
        <f t="shared" si="138"/>
        <v>100000</v>
      </c>
      <c r="Q1217" s="801">
        <f t="shared" si="139"/>
        <v>22000</v>
      </c>
    </row>
    <row r="1218" spans="1:17" x14ac:dyDescent="0.2">
      <c r="A1218" s="802" t="s">
        <v>18735</v>
      </c>
      <c r="B1218" s="803" t="s">
        <v>18017</v>
      </c>
      <c r="C1218" s="803" t="s">
        <v>14265</v>
      </c>
      <c r="D1218" s="803" t="s">
        <v>18730</v>
      </c>
      <c r="E1218" s="803" t="s">
        <v>18214</v>
      </c>
      <c r="F1218" s="803">
        <v>6</v>
      </c>
      <c r="G1218" s="803" t="s">
        <v>3779</v>
      </c>
      <c r="H1218" s="803" t="s">
        <v>2837</v>
      </c>
      <c r="I1218" s="804">
        <v>31000</v>
      </c>
      <c r="J1218" s="803">
        <v>1</v>
      </c>
      <c r="K1218" s="804">
        <v>100000</v>
      </c>
      <c r="L1218" s="804">
        <v>100000</v>
      </c>
      <c r="M1218" s="804">
        <f t="shared" si="146"/>
        <v>31000</v>
      </c>
      <c r="N1218" s="803" t="s">
        <v>18215</v>
      </c>
      <c r="O1218" s="805">
        <f t="shared" ref="O1218:O1281" si="149">+J1218*K1218</f>
        <v>100000</v>
      </c>
      <c r="P1218" s="805">
        <f t="shared" ref="P1218:P1281" si="150">+J1218*L1218</f>
        <v>100000</v>
      </c>
      <c r="Q1218" s="806">
        <f t="shared" ref="Q1218:Q1281" si="151">+J1218*M1218</f>
        <v>31000</v>
      </c>
    </row>
    <row r="1219" spans="1:17" x14ac:dyDescent="0.2">
      <c r="A1219" s="797" t="s">
        <v>18736</v>
      </c>
      <c r="B1219" s="798" t="s">
        <v>18017</v>
      </c>
      <c r="C1219" s="798" t="s">
        <v>14265</v>
      </c>
      <c r="D1219" s="798" t="s">
        <v>18730</v>
      </c>
      <c r="E1219" s="798" t="s">
        <v>18217</v>
      </c>
      <c r="F1219" s="798">
        <v>7</v>
      </c>
      <c r="G1219" s="798" t="s">
        <v>3779</v>
      </c>
      <c r="H1219" s="798" t="s">
        <v>2837</v>
      </c>
      <c r="I1219" s="799">
        <v>37000</v>
      </c>
      <c r="J1219" s="798">
        <v>1</v>
      </c>
      <c r="K1219" s="799">
        <v>100000</v>
      </c>
      <c r="L1219" s="799">
        <v>100000</v>
      </c>
      <c r="M1219" s="799">
        <f t="shared" si="146"/>
        <v>37000</v>
      </c>
      <c r="N1219" s="798" t="s">
        <v>18215</v>
      </c>
      <c r="O1219" s="800">
        <f t="shared" si="149"/>
        <v>100000</v>
      </c>
      <c r="P1219" s="800">
        <f t="shared" si="150"/>
        <v>100000</v>
      </c>
      <c r="Q1219" s="801">
        <f t="shared" si="151"/>
        <v>37000</v>
      </c>
    </row>
    <row r="1220" spans="1:17" x14ac:dyDescent="0.2">
      <c r="A1220" s="802" t="s">
        <v>18737</v>
      </c>
      <c r="B1220" s="803" t="s">
        <v>18017</v>
      </c>
      <c r="C1220" s="803" t="s">
        <v>14265</v>
      </c>
      <c r="D1220" s="803" t="s">
        <v>18738</v>
      </c>
      <c r="E1220" s="803" t="s">
        <v>18019</v>
      </c>
      <c r="F1220" s="803">
        <v>1</v>
      </c>
      <c r="G1220" s="803" t="s">
        <v>10772</v>
      </c>
      <c r="H1220" s="803" t="s">
        <v>2837</v>
      </c>
      <c r="I1220" s="804">
        <v>28000</v>
      </c>
      <c r="J1220" s="803">
        <v>1</v>
      </c>
      <c r="K1220" s="804">
        <f t="shared" ref="K1220:K1231" si="152">+I1220</f>
        <v>28000</v>
      </c>
      <c r="L1220" s="804">
        <f t="shared" ref="L1220:L1231" si="153">+I1220</f>
        <v>28000</v>
      </c>
      <c r="M1220" s="804">
        <f t="shared" si="146"/>
        <v>28000</v>
      </c>
      <c r="N1220" s="803" t="s">
        <v>18265</v>
      </c>
      <c r="O1220" s="805">
        <f t="shared" si="149"/>
        <v>28000</v>
      </c>
      <c r="P1220" s="805">
        <f t="shared" si="150"/>
        <v>28000</v>
      </c>
      <c r="Q1220" s="806">
        <f t="shared" si="151"/>
        <v>28000</v>
      </c>
    </row>
    <row r="1221" spans="1:17" x14ac:dyDescent="0.2">
      <c r="A1221" s="797" t="s">
        <v>18739</v>
      </c>
      <c r="B1221" s="798" t="s">
        <v>18560</v>
      </c>
      <c r="C1221" s="798" t="s">
        <v>14271</v>
      </c>
      <c r="D1221" s="798" t="s">
        <v>18740</v>
      </c>
      <c r="E1221" s="798" t="s">
        <v>18031</v>
      </c>
      <c r="F1221" s="798">
        <v>1</v>
      </c>
      <c r="G1221" s="798" t="s">
        <v>122</v>
      </c>
      <c r="H1221" s="798" t="s">
        <v>1103</v>
      </c>
      <c r="I1221" s="799">
        <v>1500</v>
      </c>
      <c r="J1221" s="798">
        <v>1</v>
      </c>
      <c r="K1221" s="799">
        <f t="shared" si="152"/>
        <v>1500</v>
      </c>
      <c r="L1221" s="799">
        <f t="shared" si="153"/>
        <v>1500</v>
      </c>
      <c r="M1221" s="799">
        <f t="shared" si="146"/>
        <v>1500</v>
      </c>
      <c r="N1221" s="798" t="s">
        <v>18048</v>
      </c>
      <c r="O1221" s="800">
        <f t="shared" si="149"/>
        <v>1500</v>
      </c>
      <c r="P1221" s="800">
        <f t="shared" si="150"/>
        <v>1500</v>
      </c>
      <c r="Q1221" s="801">
        <f t="shared" si="151"/>
        <v>1500</v>
      </c>
    </row>
    <row r="1222" spans="1:17" x14ac:dyDescent="0.2">
      <c r="A1222" s="802" t="s">
        <v>18741</v>
      </c>
      <c r="B1222" s="803" t="s">
        <v>18560</v>
      </c>
      <c r="C1222" s="803" t="s">
        <v>14271</v>
      </c>
      <c r="D1222" s="803" t="s">
        <v>18742</v>
      </c>
      <c r="E1222" s="803" t="s">
        <v>18031</v>
      </c>
      <c r="F1222" s="803">
        <v>1</v>
      </c>
      <c r="G1222" s="803" t="s">
        <v>122</v>
      </c>
      <c r="H1222" s="803" t="s">
        <v>1103</v>
      </c>
      <c r="I1222" s="804">
        <v>2000</v>
      </c>
      <c r="J1222" s="803">
        <v>1</v>
      </c>
      <c r="K1222" s="804">
        <f t="shared" si="152"/>
        <v>2000</v>
      </c>
      <c r="L1222" s="804">
        <f t="shared" si="153"/>
        <v>2000</v>
      </c>
      <c r="M1222" s="804">
        <f t="shared" si="146"/>
        <v>2000</v>
      </c>
      <c r="N1222" s="803" t="s">
        <v>18048</v>
      </c>
      <c r="O1222" s="805">
        <f t="shared" si="149"/>
        <v>2000</v>
      </c>
      <c r="P1222" s="805">
        <f t="shared" si="150"/>
        <v>2000</v>
      </c>
      <c r="Q1222" s="806">
        <f t="shared" si="151"/>
        <v>2000</v>
      </c>
    </row>
    <row r="1223" spans="1:17" x14ac:dyDescent="0.2">
      <c r="A1223" s="797" t="s">
        <v>18743</v>
      </c>
      <c r="B1223" s="798" t="s">
        <v>18560</v>
      </c>
      <c r="C1223" s="798" t="s">
        <v>14271</v>
      </c>
      <c r="D1223" s="798" t="s">
        <v>18744</v>
      </c>
      <c r="E1223" s="798" t="s">
        <v>18031</v>
      </c>
      <c r="F1223" s="798">
        <v>1</v>
      </c>
      <c r="G1223" s="798" t="s">
        <v>122</v>
      </c>
      <c r="H1223" s="798" t="s">
        <v>1103</v>
      </c>
      <c r="I1223" s="799">
        <v>800</v>
      </c>
      <c r="J1223" s="798">
        <v>1</v>
      </c>
      <c r="K1223" s="799">
        <f t="shared" si="152"/>
        <v>800</v>
      </c>
      <c r="L1223" s="799">
        <f t="shared" si="153"/>
        <v>800</v>
      </c>
      <c r="M1223" s="799">
        <f t="shared" si="146"/>
        <v>800</v>
      </c>
      <c r="N1223" s="798" t="s">
        <v>18048</v>
      </c>
      <c r="O1223" s="800">
        <f t="shared" si="149"/>
        <v>800</v>
      </c>
      <c r="P1223" s="800">
        <f t="shared" si="150"/>
        <v>800</v>
      </c>
      <c r="Q1223" s="801">
        <f t="shared" si="151"/>
        <v>800</v>
      </c>
    </row>
    <row r="1224" spans="1:17" x14ac:dyDescent="0.2">
      <c r="A1224" s="802" t="s">
        <v>18745</v>
      </c>
      <c r="B1224" s="803" t="s">
        <v>18560</v>
      </c>
      <c r="C1224" s="803" t="s">
        <v>14271</v>
      </c>
      <c r="D1224" s="803" t="s">
        <v>18740</v>
      </c>
      <c r="E1224" s="803" t="s">
        <v>18054</v>
      </c>
      <c r="F1224" s="803">
        <v>2</v>
      </c>
      <c r="G1224" s="803" t="s">
        <v>2837</v>
      </c>
      <c r="H1224" s="803" t="s">
        <v>3779</v>
      </c>
      <c r="I1224" s="804">
        <v>5000</v>
      </c>
      <c r="J1224" s="803">
        <v>1</v>
      </c>
      <c r="K1224" s="804">
        <f t="shared" si="152"/>
        <v>5000</v>
      </c>
      <c r="L1224" s="804">
        <f t="shared" si="153"/>
        <v>5000</v>
      </c>
      <c r="M1224" s="804">
        <f t="shared" si="146"/>
        <v>5000</v>
      </c>
      <c r="N1224" s="803" t="s">
        <v>18057</v>
      </c>
      <c r="O1224" s="805">
        <f t="shared" si="149"/>
        <v>5000</v>
      </c>
      <c r="P1224" s="805">
        <f t="shared" si="150"/>
        <v>5000</v>
      </c>
      <c r="Q1224" s="806">
        <f t="shared" si="151"/>
        <v>5000</v>
      </c>
    </row>
    <row r="1225" spans="1:17" x14ac:dyDescent="0.2">
      <c r="A1225" s="797" t="s">
        <v>18746</v>
      </c>
      <c r="B1225" s="798" t="s">
        <v>18560</v>
      </c>
      <c r="C1225" s="798" t="s">
        <v>14271</v>
      </c>
      <c r="D1225" s="798" t="s">
        <v>18742</v>
      </c>
      <c r="E1225" s="798" t="s">
        <v>18054</v>
      </c>
      <c r="F1225" s="798">
        <v>2</v>
      </c>
      <c r="G1225" s="798" t="s">
        <v>2837</v>
      </c>
      <c r="H1225" s="798" t="s">
        <v>3779</v>
      </c>
      <c r="I1225" s="799">
        <v>5500</v>
      </c>
      <c r="J1225" s="798">
        <v>1</v>
      </c>
      <c r="K1225" s="799">
        <f t="shared" si="152"/>
        <v>5500</v>
      </c>
      <c r="L1225" s="799">
        <f t="shared" si="153"/>
        <v>5500</v>
      </c>
      <c r="M1225" s="799">
        <f t="shared" si="146"/>
        <v>5500</v>
      </c>
      <c r="N1225" s="798" t="s">
        <v>18057</v>
      </c>
      <c r="O1225" s="800">
        <f t="shared" si="149"/>
        <v>5500</v>
      </c>
      <c r="P1225" s="800">
        <f t="shared" si="150"/>
        <v>5500</v>
      </c>
      <c r="Q1225" s="801">
        <f t="shared" si="151"/>
        <v>5500</v>
      </c>
    </row>
    <row r="1226" spans="1:17" x14ac:dyDescent="0.2">
      <c r="A1226" s="802" t="s">
        <v>18747</v>
      </c>
      <c r="B1226" s="803" t="s">
        <v>18560</v>
      </c>
      <c r="C1226" s="803" t="s">
        <v>14271</v>
      </c>
      <c r="D1226" s="803" t="s">
        <v>18744</v>
      </c>
      <c r="E1226" s="803" t="s">
        <v>18054</v>
      </c>
      <c r="F1226" s="803">
        <v>2</v>
      </c>
      <c r="G1226" s="803" t="s">
        <v>2837</v>
      </c>
      <c r="H1226" s="803" t="s">
        <v>3779</v>
      </c>
      <c r="I1226" s="804">
        <v>1700</v>
      </c>
      <c r="J1226" s="803">
        <v>1</v>
      </c>
      <c r="K1226" s="804">
        <f t="shared" si="152"/>
        <v>1700</v>
      </c>
      <c r="L1226" s="804">
        <f t="shared" si="153"/>
        <v>1700</v>
      </c>
      <c r="M1226" s="804">
        <f t="shared" si="146"/>
        <v>1700</v>
      </c>
      <c r="N1226" s="803" t="s">
        <v>18057</v>
      </c>
      <c r="O1226" s="805">
        <f t="shared" si="149"/>
        <v>1700</v>
      </c>
      <c r="P1226" s="805">
        <f t="shared" si="150"/>
        <v>1700</v>
      </c>
      <c r="Q1226" s="806">
        <f t="shared" si="151"/>
        <v>1700</v>
      </c>
    </row>
    <row r="1227" spans="1:17" x14ac:dyDescent="0.2">
      <c r="A1227" s="797" t="s">
        <v>18748</v>
      </c>
      <c r="B1227" s="798" t="s">
        <v>18560</v>
      </c>
      <c r="C1227" s="798" t="s">
        <v>14271</v>
      </c>
      <c r="D1227" s="798" t="s">
        <v>18740</v>
      </c>
      <c r="E1227" s="798" t="s">
        <v>18033</v>
      </c>
      <c r="F1227" s="798">
        <v>3</v>
      </c>
      <c r="G1227" s="798" t="s">
        <v>122</v>
      </c>
      <c r="H1227" s="798" t="s">
        <v>1103</v>
      </c>
      <c r="I1227" s="799">
        <v>9000</v>
      </c>
      <c r="J1227" s="798">
        <v>1</v>
      </c>
      <c r="K1227" s="799">
        <f t="shared" si="152"/>
        <v>9000</v>
      </c>
      <c r="L1227" s="799">
        <f t="shared" si="153"/>
        <v>9000</v>
      </c>
      <c r="M1227" s="799">
        <f t="shared" si="146"/>
        <v>9000</v>
      </c>
      <c r="N1227" s="798" t="s">
        <v>18062</v>
      </c>
      <c r="O1227" s="800">
        <f t="shared" si="149"/>
        <v>9000</v>
      </c>
      <c r="P1227" s="800">
        <f t="shared" si="150"/>
        <v>9000</v>
      </c>
      <c r="Q1227" s="801">
        <f t="shared" si="151"/>
        <v>9000</v>
      </c>
    </row>
    <row r="1228" spans="1:17" x14ac:dyDescent="0.2">
      <c r="A1228" s="802" t="s">
        <v>18749</v>
      </c>
      <c r="B1228" s="803" t="s">
        <v>18560</v>
      </c>
      <c r="C1228" s="803" t="s">
        <v>14271</v>
      </c>
      <c r="D1228" s="803" t="s">
        <v>18742</v>
      </c>
      <c r="E1228" s="803" t="s">
        <v>18033</v>
      </c>
      <c r="F1228" s="803">
        <v>3</v>
      </c>
      <c r="G1228" s="803" t="s">
        <v>122</v>
      </c>
      <c r="H1228" s="803" t="s">
        <v>1103</v>
      </c>
      <c r="I1228" s="804">
        <v>10000</v>
      </c>
      <c r="J1228" s="803">
        <v>1</v>
      </c>
      <c r="K1228" s="804">
        <f t="shared" si="152"/>
        <v>10000</v>
      </c>
      <c r="L1228" s="804">
        <f t="shared" si="153"/>
        <v>10000</v>
      </c>
      <c r="M1228" s="804">
        <f t="shared" si="146"/>
        <v>10000</v>
      </c>
      <c r="N1228" s="803" t="s">
        <v>18062</v>
      </c>
      <c r="O1228" s="805">
        <f t="shared" si="149"/>
        <v>10000</v>
      </c>
      <c r="P1228" s="805">
        <f t="shared" si="150"/>
        <v>10000</v>
      </c>
      <c r="Q1228" s="806">
        <f t="shared" si="151"/>
        <v>10000</v>
      </c>
    </row>
    <row r="1229" spans="1:17" x14ac:dyDescent="0.2">
      <c r="A1229" s="797" t="s">
        <v>18750</v>
      </c>
      <c r="B1229" s="798" t="s">
        <v>18560</v>
      </c>
      <c r="C1229" s="798" t="s">
        <v>14271</v>
      </c>
      <c r="D1229" s="798" t="s">
        <v>18744</v>
      </c>
      <c r="E1229" s="798" t="s">
        <v>18033</v>
      </c>
      <c r="F1229" s="798">
        <v>3</v>
      </c>
      <c r="G1229" s="798" t="s">
        <v>122</v>
      </c>
      <c r="H1229" s="798" t="s">
        <v>1103</v>
      </c>
      <c r="I1229" s="799">
        <v>3000</v>
      </c>
      <c r="J1229" s="798">
        <v>1</v>
      </c>
      <c r="K1229" s="799">
        <f t="shared" si="152"/>
        <v>3000</v>
      </c>
      <c r="L1229" s="799">
        <f t="shared" si="153"/>
        <v>3000</v>
      </c>
      <c r="M1229" s="799">
        <f t="shared" si="146"/>
        <v>3000</v>
      </c>
      <c r="N1229" s="798" t="s">
        <v>18062</v>
      </c>
      <c r="O1229" s="800">
        <f t="shared" si="149"/>
        <v>3000</v>
      </c>
      <c r="P1229" s="800">
        <f t="shared" si="150"/>
        <v>3000</v>
      </c>
      <c r="Q1229" s="801">
        <f t="shared" si="151"/>
        <v>3000</v>
      </c>
    </row>
    <row r="1230" spans="1:17" x14ac:dyDescent="0.2">
      <c r="A1230" s="802" t="s">
        <v>18751</v>
      </c>
      <c r="B1230" s="803" t="s">
        <v>18560</v>
      </c>
      <c r="C1230" s="803" t="s">
        <v>14271</v>
      </c>
      <c r="D1230" s="803" t="s">
        <v>18740</v>
      </c>
      <c r="E1230" s="803" t="s">
        <v>18061</v>
      </c>
      <c r="F1230" s="803">
        <v>4</v>
      </c>
      <c r="G1230" s="803" t="s">
        <v>2837</v>
      </c>
      <c r="H1230" s="803" t="s">
        <v>3779</v>
      </c>
      <c r="I1230" s="804">
        <v>15000</v>
      </c>
      <c r="J1230" s="803">
        <v>1</v>
      </c>
      <c r="K1230" s="804">
        <f t="shared" si="152"/>
        <v>15000</v>
      </c>
      <c r="L1230" s="804">
        <f t="shared" si="153"/>
        <v>15000</v>
      </c>
      <c r="M1230" s="804">
        <f t="shared" si="146"/>
        <v>15000</v>
      </c>
      <c r="N1230" s="803" t="s">
        <v>18188</v>
      </c>
      <c r="O1230" s="805">
        <f t="shared" si="149"/>
        <v>15000</v>
      </c>
      <c r="P1230" s="805">
        <f t="shared" si="150"/>
        <v>15000</v>
      </c>
      <c r="Q1230" s="806">
        <f t="shared" si="151"/>
        <v>15000</v>
      </c>
    </row>
    <row r="1231" spans="1:17" x14ac:dyDescent="0.2">
      <c r="A1231" s="797" t="s">
        <v>18752</v>
      </c>
      <c r="B1231" s="798" t="s">
        <v>18560</v>
      </c>
      <c r="C1231" s="798" t="s">
        <v>14271</v>
      </c>
      <c r="D1231" s="798" t="s">
        <v>18742</v>
      </c>
      <c r="E1231" s="798" t="s">
        <v>18061</v>
      </c>
      <c r="F1231" s="798">
        <v>4</v>
      </c>
      <c r="G1231" s="798" t="s">
        <v>2837</v>
      </c>
      <c r="H1231" s="798" t="s">
        <v>3779</v>
      </c>
      <c r="I1231" s="799">
        <v>17000</v>
      </c>
      <c r="J1231" s="798">
        <v>1</v>
      </c>
      <c r="K1231" s="799">
        <f t="shared" si="152"/>
        <v>17000</v>
      </c>
      <c r="L1231" s="799">
        <f t="shared" si="153"/>
        <v>17000</v>
      </c>
      <c r="M1231" s="799">
        <f t="shared" si="146"/>
        <v>17000</v>
      </c>
      <c r="N1231" s="798" t="s">
        <v>18188</v>
      </c>
      <c r="O1231" s="800">
        <f t="shared" si="149"/>
        <v>17000</v>
      </c>
      <c r="P1231" s="800">
        <f t="shared" si="150"/>
        <v>17000</v>
      </c>
      <c r="Q1231" s="801">
        <f t="shared" si="151"/>
        <v>17000</v>
      </c>
    </row>
    <row r="1232" spans="1:17" x14ac:dyDescent="0.2">
      <c r="A1232" s="802" t="s">
        <v>18753</v>
      </c>
      <c r="B1232" s="803" t="s">
        <v>18560</v>
      </c>
      <c r="C1232" s="803" t="s">
        <v>14271</v>
      </c>
      <c r="D1232" s="803" t="s">
        <v>18744</v>
      </c>
      <c r="E1232" s="803" t="s">
        <v>18061</v>
      </c>
      <c r="F1232" s="803">
        <v>4</v>
      </c>
      <c r="G1232" s="803" t="s">
        <v>2837</v>
      </c>
      <c r="H1232" s="803" t="s">
        <v>3779</v>
      </c>
      <c r="I1232" s="804">
        <v>5200</v>
      </c>
      <c r="J1232" s="803">
        <v>1</v>
      </c>
      <c r="K1232" s="804">
        <v>20800</v>
      </c>
      <c r="L1232" s="804">
        <v>20800</v>
      </c>
      <c r="M1232" s="804">
        <f t="shared" si="146"/>
        <v>5200</v>
      </c>
      <c r="N1232" s="803" t="s">
        <v>18188</v>
      </c>
      <c r="O1232" s="805">
        <f t="shared" si="149"/>
        <v>20800</v>
      </c>
      <c r="P1232" s="805">
        <f t="shared" si="150"/>
        <v>20800</v>
      </c>
      <c r="Q1232" s="806">
        <f t="shared" si="151"/>
        <v>5200</v>
      </c>
    </row>
    <row r="1233" spans="1:17" x14ac:dyDescent="0.2">
      <c r="A1233" s="797" t="s">
        <v>18754</v>
      </c>
      <c r="B1233" s="798" t="s">
        <v>18560</v>
      </c>
      <c r="C1233" s="798" t="s">
        <v>14271</v>
      </c>
      <c r="D1233" s="798" t="s">
        <v>18744</v>
      </c>
      <c r="E1233" s="798" t="s">
        <v>18039</v>
      </c>
      <c r="F1233" s="798">
        <v>5</v>
      </c>
      <c r="G1233" s="798" t="s">
        <v>10772</v>
      </c>
      <c r="H1233" s="798" t="s">
        <v>1103</v>
      </c>
      <c r="I1233" s="799">
        <v>25000</v>
      </c>
      <c r="J1233" s="798">
        <v>1</v>
      </c>
      <c r="K1233" s="799">
        <v>50000</v>
      </c>
      <c r="L1233" s="799">
        <v>50000</v>
      </c>
      <c r="M1233" s="799">
        <f t="shared" si="146"/>
        <v>25000</v>
      </c>
      <c r="N1233" s="798" t="s">
        <v>18192</v>
      </c>
      <c r="O1233" s="800">
        <f t="shared" si="149"/>
        <v>50000</v>
      </c>
      <c r="P1233" s="800">
        <f t="shared" si="150"/>
        <v>50000</v>
      </c>
      <c r="Q1233" s="801">
        <f t="shared" si="151"/>
        <v>25000</v>
      </c>
    </row>
    <row r="1234" spans="1:17" x14ac:dyDescent="0.2">
      <c r="A1234" s="802" t="s">
        <v>18755</v>
      </c>
      <c r="B1234" s="803" t="s">
        <v>18017</v>
      </c>
      <c r="C1234" s="803" t="s">
        <v>14275</v>
      </c>
      <c r="D1234" s="803" t="s">
        <v>18756</v>
      </c>
      <c r="E1234" s="803" t="s">
        <v>18019</v>
      </c>
      <c r="F1234" s="803">
        <v>1</v>
      </c>
      <c r="G1234" s="803" t="s">
        <v>1947</v>
      </c>
      <c r="H1234" s="803" t="s">
        <v>1947</v>
      </c>
      <c r="I1234" s="804">
        <v>1500</v>
      </c>
      <c r="J1234" s="803">
        <v>1</v>
      </c>
      <c r="K1234" s="804">
        <f t="shared" ref="K1234:K1242" si="154">+I1234</f>
        <v>1500</v>
      </c>
      <c r="L1234" s="804">
        <f t="shared" ref="L1234:L1242" si="155">+I1234</f>
        <v>1500</v>
      </c>
      <c r="M1234" s="804">
        <f t="shared" si="146"/>
        <v>1500</v>
      </c>
      <c r="N1234" s="803" t="s">
        <v>18020</v>
      </c>
      <c r="O1234" s="805">
        <f t="shared" si="149"/>
        <v>1500</v>
      </c>
      <c r="P1234" s="805">
        <f t="shared" si="150"/>
        <v>1500</v>
      </c>
      <c r="Q1234" s="806">
        <f t="shared" si="151"/>
        <v>1500</v>
      </c>
    </row>
    <row r="1235" spans="1:17" x14ac:dyDescent="0.2">
      <c r="A1235" s="797" t="s">
        <v>18757</v>
      </c>
      <c r="B1235" s="798" t="s">
        <v>18017</v>
      </c>
      <c r="C1235" s="798" t="s">
        <v>14275</v>
      </c>
      <c r="D1235" s="798" t="s">
        <v>18758</v>
      </c>
      <c r="E1235" s="798" t="s">
        <v>18019</v>
      </c>
      <c r="F1235" s="798">
        <v>1</v>
      </c>
      <c r="G1235" s="798" t="s">
        <v>1947</v>
      </c>
      <c r="H1235" s="798" t="s">
        <v>1947</v>
      </c>
      <c r="I1235" s="799">
        <v>1600</v>
      </c>
      <c r="J1235" s="798">
        <v>1</v>
      </c>
      <c r="K1235" s="799">
        <f t="shared" si="154"/>
        <v>1600</v>
      </c>
      <c r="L1235" s="799">
        <f t="shared" si="155"/>
        <v>1600</v>
      </c>
      <c r="M1235" s="799">
        <f t="shared" si="146"/>
        <v>1600</v>
      </c>
      <c r="N1235" s="798" t="s">
        <v>18020</v>
      </c>
      <c r="O1235" s="800">
        <f t="shared" si="149"/>
        <v>1600</v>
      </c>
      <c r="P1235" s="800">
        <f t="shared" si="150"/>
        <v>1600</v>
      </c>
      <c r="Q1235" s="801">
        <f t="shared" si="151"/>
        <v>1600</v>
      </c>
    </row>
    <row r="1236" spans="1:17" x14ac:dyDescent="0.2">
      <c r="A1236" s="802" t="s">
        <v>18759</v>
      </c>
      <c r="B1236" s="803" t="s">
        <v>18017</v>
      </c>
      <c r="C1236" s="803" t="s">
        <v>14275</v>
      </c>
      <c r="D1236" s="803" t="s">
        <v>18760</v>
      </c>
      <c r="E1236" s="803" t="s">
        <v>18031</v>
      </c>
      <c r="F1236" s="803">
        <v>1</v>
      </c>
      <c r="G1236" s="803" t="s">
        <v>10772</v>
      </c>
      <c r="H1236" s="803" t="s">
        <v>122</v>
      </c>
      <c r="I1236" s="804">
        <v>2000</v>
      </c>
      <c r="J1236" s="803">
        <v>1</v>
      </c>
      <c r="K1236" s="804">
        <f t="shared" si="154"/>
        <v>2000</v>
      </c>
      <c r="L1236" s="804">
        <f t="shared" si="155"/>
        <v>2000</v>
      </c>
      <c r="M1236" s="804">
        <f t="shared" si="146"/>
        <v>2000</v>
      </c>
      <c r="N1236" s="803" t="s">
        <v>18020</v>
      </c>
      <c r="O1236" s="805">
        <f t="shared" si="149"/>
        <v>2000</v>
      </c>
      <c r="P1236" s="805">
        <f t="shared" si="150"/>
        <v>2000</v>
      </c>
      <c r="Q1236" s="806">
        <f t="shared" si="151"/>
        <v>2000</v>
      </c>
    </row>
    <row r="1237" spans="1:17" x14ac:dyDescent="0.2">
      <c r="A1237" s="797" t="s">
        <v>18761</v>
      </c>
      <c r="B1237" s="798" t="s">
        <v>18017</v>
      </c>
      <c r="C1237" s="798" t="s">
        <v>14275</v>
      </c>
      <c r="D1237" s="798" t="s">
        <v>18760</v>
      </c>
      <c r="E1237" s="798" t="s">
        <v>18033</v>
      </c>
      <c r="F1237" s="798">
        <v>2</v>
      </c>
      <c r="G1237" s="798" t="s">
        <v>10772</v>
      </c>
      <c r="H1237" s="798" t="s">
        <v>122</v>
      </c>
      <c r="I1237" s="799">
        <v>5200</v>
      </c>
      <c r="J1237" s="798">
        <v>1</v>
      </c>
      <c r="K1237" s="799">
        <f t="shared" si="154"/>
        <v>5200</v>
      </c>
      <c r="L1237" s="799">
        <f t="shared" si="155"/>
        <v>5200</v>
      </c>
      <c r="M1237" s="799">
        <f t="shared" si="146"/>
        <v>5200</v>
      </c>
      <c r="N1237" s="798" t="s">
        <v>18020</v>
      </c>
      <c r="O1237" s="800">
        <f t="shared" si="149"/>
        <v>5200</v>
      </c>
      <c r="P1237" s="800">
        <f t="shared" si="150"/>
        <v>5200</v>
      </c>
      <c r="Q1237" s="801">
        <f t="shared" si="151"/>
        <v>5200</v>
      </c>
    </row>
    <row r="1238" spans="1:17" x14ac:dyDescent="0.2">
      <c r="A1238" s="802" t="s">
        <v>18762</v>
      </c>
      <c r="B1238" s="803" t="s">
        <v>18017</v>
      </c>
      <c r="C1238" s="803" t="s">
        <v>14275</v>
      </c>
      <c r="D1238" s="803" t="s">
        <v>18763</v>
      </c>
      <c r="E1238" s="803" t="s">
        <v>18031</v>
      </c>
      <c r="F1238" s="803">
        <v>1</v>
      </c>
      <c r="G1238" s="803" t="s">
        <v>1947</v>
      </c>
      <c r="H1238" s="803" t="s">
        <v>122</v>
      </c>
      <c r="I1238" s="804">
        <v>2500</v>
      </c>
      <c r="J1238" s="803">
        <v>1</v>
      </c>
      <c r="K1238" s="804">
        <f t="shared" si="154"/>
        <v>2500</v>
      </c>
      <c r="L1238" s="804">
        <f t="shared" si="155"/>
        <v>2500</v>
      </c>
      <c r="M1238" s="804">
        <f t="shared" si="146"/>
        <v>2500</v>
      </c>
      <c r="N1238" s="803" t="s">
        <v>18020</v>
      </c>
      <c r="O1238" s="805">
        <f t="shared" si="149"/>
        <v>2500</v>
      </c>
      <c r="P1238" s="805">
        <f t="shared" si="150"/>
        <v>2500</v>
      </c>
      <c r="Q1238" s="806">
        <f t="shared" si="151"/>
        <v>2500</v>
      </c>
    </row>
    <row r="1239" spans="1:17" x14ac:dyDescent="0.2">
      <c r="A1239" s="797" t="s">
        <v>18764</v>
      </c>
      <c r="B1239" s="798" t="s">
        <v>18017</v>
      </c>
      <c r="C1239" s="798" t="s">
        <v>14275</v>
      </c>
      <c r="D1239" s="798" t="s">
        <v>18763</v>
      </c>
      <c r="E1239" s="798" t="s">
        <v>18033</v>
      </c>
      <c r="F1239" s="798">
        <v>2</v>
      </c>
      <c r="G1239" s="798" t="s">
        <v>1947</v>
      </c>
      <c r="H1239" s="798" t="s">
        <v>122</v>
      </c>
      <c r="I1239" s="799">
        <v>7800</v>
      </c>
      <c r="J1239" s="798">
        <v>1</v>
      </c>
      <c r="K1239" s="799">
        <f t="shared" si="154"/>
        <v>7800</v>
      </c>
      <c r="L1239" s="799">
        <f t="shared" si="155"/>
        <v>7800</v>
      </c>
      <c r="M1239" s="799">
        <f t="shared" si="146"/>
        <v>7800</v>
      </c>
      <c r="N1239" s="798" t="s">
        <v>18037</v>
      </c>
      <c r="O1239" s="800">
        <f t="shared" si="149"/>
        <v>7800</v>
      </c>
      <c r="P1239" s="800">
        <f t="shared" si="150"/>
        <v>7800</v>
      </c>
      <c r="Q1239" s="801">
        <f t="shared" si="151"/>
        <v>7800</v>
      </c>
    </row>
    <row r="1240" spans="1:17" x14ac:dyDescent="0.2">
      <c r="A1240" s="802" t="s">
        <v>18765</v>
      </c>
      <c r="B1240" s="803" t="s">
        <v>18017</v>
      </c>
      <c r="C1240" s="803" t="s">
        <v>14275</v>
      </c>
      <c r="D1240" s="803" t="s">
        <v>18763</v>
      </c>
      <c r="E1240" s="803" t="s">
        <v>18039</v>
      </c>
      <c r="F1240" s="803">
        <v>3</v>
      </c>
      <c r="G1240" s="803" t="s">
        <v>1947</v>
      </c>
      <c r="H1240" s="803" t="s">
        <v>122</v>
      </c>
      <c r="I1240" s="804">
        <v>9500</v>
      </c>
      <c r="J1240" s="803">
        <v>1</v>
      </c>
      <c r="K1240" s="804">
        <f t="shared" si="154"/>
        <v>9500</v>
      </c>
      <c r="L1240" s="804">
        <f t="shared" si="155"/>
        <v>9500</v>
      </c>
      <c r="M1240" s="804">
        <f t="shared" si="146"/>
        <v>9500</v>
      </c>
      <c r="N1240" s="803" t="s">
        <v>18037</v>
      </c>
      <c r="O1240" s="805">
        <f t="shared" si="149"/>
        <v>9500</v>
      </c>
      <c r="P1240" s="805">
        <f t="shared" si="150"/>
        <v>9500</v>
      </c>
      <c r="Q1240" s="806">
        <f t="shared" si="151"/>
        <v>9500</v>
      </c>
    </row>
    <row r="1241" spans="1:17" x14ac:dyDescent="0.2">
      <c r="A1241" s="797" t="s">
        <v>18766</v>
      </c>
      <c r="B1241" s="798" t="s">
        <v>18017</v>
      </c>
      <c r="C1241" s="798" t="s">
        <v>14275</v>
      </c>
      <c r="D1241" s="798" t="s">
        <v>18763</v>
      </c>
      <c r="E1241" s="798" t="s">
        <v>18041</v>
      </c>
      <c r="F1241" s="798">
        <v>4</v>
      </c>
      <c r="G1241" s="798" t="s">
        <v>1947</v>
      </c>
      <c r="H1241" s="798" t="s">
        <v>122</v>
      </c>
      <c r="I1241" s="799">
        <v>15000</v>
      </c>
      <c r="J1241" s="798">
        <v>1</v>
      </c>
      <c r="K1241" s="799">
        <f t="shared" si="154"/>
        <v>15000</v>
      </c>
      <c r="L1241" s="799">
        <f t="shared" si="155"/>
        <v>15000</v>
      </c>
      <c r="M1241" s="799">
        <f t="shared" si="146"/>
        <v>15000</v>
      </c>
      <c r="N1241" s="798" t="s">
        <v>18042</v>
      </c>
      <c r="O1241" s="800">
        <f t="shared" si="149"/>
        <v>15000</v>
      </c>
      <c r="P1241" s="800">
        <f t="shared" si="150"/>
        <v>15000</v>
      </c>
      <c r="Q1241" s="801">
        <f t="shared" si="151"/>
        <v>15000</v>
      </c>
    </row>
    <row r="1242" spans="1:17" x14ac:dyDescent="0.2">
      <c r="A1242" s="802" t="s">
        <v>18767</v>
      </c>
      <c r="B1242" s="803" t="s">
        <v>18017</v>
      </c>
      <c r="C1242" s="803" t="s">
        <v>14275</v>
      </c>
      <c r="D1242" s="803" t="s">
        <v>18763</v>
      </c>
      <c r="E1242" s="803" t="s">
        <v>18212</v>
      </c>
      <c r="F1242" s="803">
        <v>5</v>
      </c>
      <c r="G1242" s="803" t="s">
        <v>1947</v>
      </c>
      <c r="H1242" s="803" t="s">
        <v>122</v>
      </c>
      <c r="I1242" s="804">
        <v>22000</v>
      </c>
      <c r="J1242" s="803">
        <v>1</v>
      </c>
      <c r="K1242" s="804">
        <f t="shared" si="154"/>
        <v>22000</v>
      </c>
      <c r="L1242" s="804">
        <f t="shared" si="155"/>
        <v>22000</v>
      </c>
      <c r="M1242" s="804">
        <f t="shared" si="146"/>
        <v>22000</v>
      </c>
      <c r="N1242" s="803" t="s">
        <v>18042</v>
      </c>
      <c r="O1242" s="805">
        <f t="shared" si="149"/>
        <v>22000</v>
      </c>
      <c r="P1242" s="805">
        <f t="shared" si="150"/>
        <v>22000</v>
      </c>
      <c r="Q1242" s="806">
        <f t="shared" si="151"/>
        <v>22000</v>
      </c>
    </row>
    <row r="1243" spans="1:17" x14ac:dyDescent="0.2">
      <c r="A1243" s="797" t="s">
        <v>18768</v>
      </c>
      <c r="B1243" s="798" t="s">
        <v>18017</v>
      </c>
      <c r="C1243" s="798" t="s">
        <v>14275</v>
      </c>
      <c r="D1243" s="798" t="s">
        <v>18763</v>
      </c>
      <c r="E1243" s="798" t="s">
        <v>18214</v>
      </c>
      <c r="F1243" s="798">
        <v>6</v>
      </c>
      <c r="G1243" s="798" t="s">
        <v>1947</v>
      </c>
      <c r="H1243" s="798" t="s">
        <v>122</v>
      </c>
      <c r="I1243" s="799">
        <v>31000</v>
      </c>
      <c r="J1243" s="798">
        <v>1</v>
      </c>
      <c r="K1243" s="799">
        <v>100000</v>
      </c>
      <c r="L1243" s="799">
        <v>100000</v>
      </c>
      <c r="M1243" s="799">
        <f t="shared" si="146"/>
        <v>31000</v>
      </c>
      <c r="N1243" s="798" t="s">
        <v>18215</v>
      </c>
      <c r="O1243" s="800">
        <f t="shared" si="149"/>
        <v>100000</v>
      </c>
      <c r="P1243" s="800">
        <f t="shared" si="150"/>
        <v>100000</v>
      </c>
      <c r="Q1243" s="801">
        <f t="shared" si="151"/>
        <v>31000</v>
      </c>
    </row>
    <row r="1244" spans="1:17" x14ac:dyDescent="0.2">
      <c r="A1244" s="802" t="s">
        <v>18769</v>
      </c>
      <c r="B1244" s="803" t="s">
        <v>18017</v>
      </c>
      <c r="C1244" s="803" t="s">
        <v>14275</v>
      </c>
      <c r="D1244" s="803" t="s">
        <v>18763</v>
      </c>
      <c r="E1244" s="803" t="s">
        <v>18217</v>
      </c>
      <c r="F1244" s="803">
        <v>7</v>
      </c>
      <c r="G1244" s="803" t="s">
        <v>1947</v>
      </c>
      <c r="H1244" s="803" t="s">
        <v>122</v>
      </c>
      <c r="I1244" s="804">
        <v>37000</v>
      </c>
      <c r="J1244" s="803">
        <v>1</v>
      </c>
      <c r="K1244" s="804">
        <v>100000</v>
      </c>
      <c r="L1244" s="804">
        <v>100000</v>
      </c>
      <c r="M1244" s="804">
        <f t="shared" si="146"/>
        <v>37000</v>
      </c>
      <c r="N1244" s="803" t="s">
        <v>18215</v>
      </c>
      <c r="O1244" s="805">
        <f t="shared" si="149"/>
        <v>100000</v>
      </c>
      <c r="P1244" s="805">
        <f t="shared" si="150"/>
        <v>100000</v>
      </c>
      <c r="Q1244" s="806">
        <f t="shared" si="151"/>
        <v>37000</v>
      </c>
    </row>
    <row r="1245" spans="1:17" x14ac:dyDescent="0.2">
      <c r="A1245" s="797" t="s">
        <v>18770</v>
      </c>
      <c r="B1245" s="798" t="s">
        <v>18017</v>
      </c>
      <c r="C1245" s="798" t="s">
        <v>14275</v>
      </c>
      <c r="D1245" s="798" t="s">
        <v>18771</v>
      </c>
      <c r="E1245" s="798" t="s">
        <v>18019</v>
      </c>
      <c r="F1245" s="798">
        <v>1</v>
      </c>
      <c r="G1245" s="798" t="s">
        <v>122</v>
      </c>
      <c r="H1245" s="798" t="s">
        <v>122</v>
      </c>
      <c r="I1245" s="799">
        <v>1000</v>
      </c>
      <c r="J1245" s="798">
        <v>1</v>
      </c>
      <c r="K1245" s="799">
        <v>100000</v>
      </c>
      <c r="L1245" s="799">
        <v>100000</v>
      </c>
      <c r="M1245" s="799">
        <f t="shared" si="146"/>
        <v>1000</v>
      </c>
      <c r="N1245" s="798" t="s">
        <v>18369</v>
      </c>
      <c r="O1245" s="800">
        <f t="shared" si="149"/>
        <v>100000</v>
      </c>
      <c r="P1245" s="800">
        <f t="shared" si="150"/>
        <v>100000</v>
      </c>
      <c r="Q1245" s="801">
        <f t="shared" si="151"/>
        <v>1000</v>
      </c>
    </row>
    <row r="1246" spans="1:17" x14ac:dyDescent="0.2">
      <c r="A1246" s="802" t="s">
        <v>18772</v>
      </c>
      <c r="B1246" s="803" t="s">
        <v>18773</v>
      </c>
      <c r="C1246" s="803" t="s">
        <v>18774</v>
      </c>
      <c r="D1246" s="803" t="s">
        <v>18775</v>
      </c>
      <c r="E1246" s="803" t="s">
        <v>18031</v>
      </c>
      <c r="F1246" s="803">
        <v>1</v>
      </c>
      <c r="G1246" s="803" t="s">
        <v>1103</v>
      </c>
      <c r="H1246" s="803" t="s">
        <v>1947</v>
      </c>
      <c r="I1246" s="804">
        <v>1500</v>
      </c>
      <c r="J1246" s="803">
        <v>1</v>
      </c>
      <c r="K1246" s="804">
        <f t="shared" ref="K1246:K1256" si="156">+I1246</f>
        <v>1500</v>
      </c>
      <c r="L1246" s="804">
        <f t="shared" ref="L1246:L1256" si="157">+I1246</f>
        <v>1500</v>
      </c>
      <c r="M1246" s="804">
        <f t="shared" si="146"/>
        <v>1500</v>
      </c>
      <c r="N1246" s="803" t="s">
        <v>18048</v>
      </c>
      <c r="O1246" s="805">
        <f t="shared" si="149"/>
        <v>1500</v>
      </c>
      <c r="P1246" s="805">
        <f t="shared" si="150"/>
        <v>1500</v>
      </c>
      <c r="Q1246" s="806">
        <f t="shared" si="151"/>
        <v>1500</v>
      </c>
    </row>
    <row r="1247" spans="1:17" x14ac:dyDescent="0.2">
      <c r="A1247" s="797" t="s">
        <v>18776</v>
      </c>
      <c r="B1247" s="798" t="s">
        <v>18773</v>
      </c>
      <c r="C1247" s="798" t="s">
        <v>18774</v>
      </c>
      <c r="D1247" s="798" t="s">
        <v>18777</v>
      </c>
      <c r="E1247" s="798" t="s">
        <v>18031</v>
      </c>
      <c r="F1247" s="798">
        <v>1</v>
      </c>
      <c r="G1247" s="798" t="s">
        <v>1103</v>
      </c>
      <c r="H1247" s="798" t="s">
        <v>1947</v>
      </c>
      <c r="I1247" s="799">
        <v>2000</v>
      </c>
      <c r="J1247" s="798">
        <v>1</v>
      </c>
      <c r="K1247" s="799">
        <f t="shared" si="156"/>
        <v>2000</v>
      </c>
      <c r="L1247" s="799">
        <f t="shared" si="157"/>
        <v>2000</v>
      </c>
      <c r="M1247" s="799">
        <f t="shared" si="146"/>
        <v>2000</v>
      </c>
      <c r="N1247" s="798" t="s">
        <v>18048</v>
      </c>
      <c r="O1247" s="800">
        <f t="shared" si="149"/>
        <v>2000</v>
      </c>
      <c r="P1247" s="800">
        <f t="shared" si="150"/>
        <v>2000</v>
      </c>
      <c r="Q1247" s="801">
        <f t="shared" si="151"/>
        <v>2000</v>
      </c>
    </row>
    <row r="1248" spans="1:17" x14ac:dyDescent="0.2">
      <c r="A1248" s="802" t="s">
        <v>18778</v>
      </c>
      <c r="B1248" s="803" t="s">
        <v>18773</v>
      </c>
      <c r="C1248" s="803" t="s">
        <v>18774</v>
      </c>
      <c r="D1248" s="803" t="s">
        <v>18779</v>
      </c>
      <c r="E1248" s="803" t="s">
        <v>18780</v>
      </c>
      <c r="F1248" s="803">
        <v>1</v>
      </c>
      <c r="G1248" s="803" t="s">
        <v>3779</v>
      </c>
      <c r="H1248" s="803" t="s">
        <v>1947</v>
      </c>
      <c r="I1248" s="804">
        <v>800</v>
      </c>
      <c r="J1248" s="803">
        <v>1</v>
      </c>
      <c r="K1248" s="804">
        <f t="shared" si="156"/>
        <v>800</v>
      </c>
      <c r="L1248" s="804">
        <f t="shared" si="157"/>
        <v>800</v>
      </c>
      <c r="M1248" s="804">
        <f t="shared" si="146"/>
        <v>800</v>
      </c>
      <c r="N1248" s="803" t="s">
        <v>18048</v>
      </c>
      <c r="O1248" s="805">
        <f t="shared" si="149"/>
        <v>800</v>
      </c>
      <c r="P1248" s="805">
        <f t="shared" si="150"/>
        <v>800</v>
      </c>
      <c r="Q1248" s="806">
        <f t="shared" si="151"/>
        <v>800</v>
      </c>
    </row>
    <row r="1249" spans="1:17" x14ac:dyDescent="0.2">
      <c r="A1249" s="797" t="s">
        <v>18781</v>
      </c>
      <c r="B1249" s="798" t="s">
        <v>18773</v>
      </c>
      <c r="C1249" s="798" t="s">
        <v>18774</v>
      </c>
      <c r="D1249" s="798" t="s">
        <v>18775</v>
      </c>
      <c r="E1249" s="798" t="s">
        <v>18054</v>
      </c>
      <c r="F1249" s="798">
        <v>2</v>
      </c>
      <c r="G1249" s="798" t="s">
        <v>1947</v>
      </c>
      <c r="H1249" s="798" t="s">
        <v>122</v>
      </c>
      <c r="I1249" s="799">
        <v>5000</v>
      </c>
      <c r="J1249" s="798">
        <v>1</v>
      </c>
      <c r="K1249" s="799">
        <f t="shared" si="156"/>
        <v>5000</v>
      </c>
      <c r="L1249" s="799">
        <f t="shared" si="157"/>
        <v>5000</v>
      </c>
      <c r="M1249" s="799">
        <f t="shared" si="146"/>
        <v>5000</v>
      </c>
      <c r="N1249" s="798" t="s">
        <v>18057</v>
      </c>
      <c r="O1249" s="800">
        <f t="shared" si="149"/>
        <v>5000</v>
      </c>
      <c r="P1249" s="800">
        <f t="shared" si="150"/>
        <v>5000</v>
      </c>
      <c r="Q1249" s="801">
        <f t="shared" si="151"/>
        <v>5000</v>
      </c>
    </row>
    <row r="1250" spans="1:17" x14ac:dyDescent="0.2">
      <c r="A1250" s="802" t="s">
        <v>18782</v>
      </c>
      <c r="B1250" s="803" t="s">
        <v>18773</v>
      </c>
      <c r="C1250" s="803" t="s">
        <v>18774</v>
      </c>
      <c r="D1250" s="803" t="s">
        <v>18777</v>
      </c>
      <c r="E1250" s="803" t="s">
        <v>18054</v>
      </c>
      <c r="F1250" s="803">
        <v>2</v>
      </c>
      <c r="G1250" s="803" t="s">
        <v>1947</v>
      </c>
      <c r="H1250" s="803" t="s">
        <v>122</v>
      </c>
      <c r="I1250" s="804">
        <v>5500</v>
      </c>
      <c r="J1250" s="803">
        <v>1</v>
      </c>
      <c r="K1250" s="804">
        <f t="shared" si="156"/>
        <v>5500</v>
      </c>
      <c r="L1250" s="804">
        <f t="shared" si="157"/>
        <v>5500</v>
      </c>
      <c r="M1250" s="804">
        <f t="shared" si="146"/>
        <v>5500</v>
      </c>
      <c r="N1250" s="803" t="s">
        <v>18057</v>
      </c>
      <c r="O1250" s="805">
        <f t="shared" si="149"/>
        <v>5500</v>
      </c>
      <c r="P1250" s="805">
        <f t="shared" si="150"/>
        <v>5500</v>
      </c>
      <c r="Q1250" s="806">
        <f t="shared" si="151"/>
        <v>5500</v>
      </c>
    </row>
    <row r="1251" spans="1:17" x14ac:dyDescent="0.2">
      <c r="A1251" s="797" t="s">
        <v>18783</v>
      </c>
      <c r="B1251" s="798" t="s">
        <v>18773</v>
      </c>
      <c r="C1251" s="798" t="s">
        <v>18774</v>
      </c>
      <c r="D1251" s="798" t="s">
        <v>18779</v>
      </c>
      <c r="E1251" s="798" t="s">
        <v>18784</v>
      </c>
      <c r="F1251" s="798">
        <v>2</v>
      </c>
      <c r="G1251" s="798" t="s">
        <v>2837</v>
      </c>
      <c r="H1251" s="798" t="s">
        <v>122</v>
      </c>
      <c r="I1251" s="799">
        <v>1700</v>
      </c>
      <c r="J1251" s="798">
        <v>1</v>
      </c>
      <c r="K1251" s="799">
        <f t="shared" si="156"/>
        <v>1700</v>
      </c>
      <c r="L1251" s="799">
        <f t="shared" si="157"/>
        <v>1700</v>
      </c>
      <c r="M1251" s="799">
        <f t="shared" si="146"/>
        <v>1700</v>
      </c>
      <c r="N1251" s="798" t="s">
        <v>18057</v>
      </c>
      <c r="O1251" s="800">
        <f t="shared" si="149"/>
        <v>1700</v>
      </c>
      <c r="P1251" s="800">
        <f t="shared" si="150"/>
        <v>1700</v>
      </c>
      <c r="Q1251" s="801">
        <f t="shared" si="151"/>
        <v>1700</v>
      </c>
    </row>
    <row r="1252" spans="1:17" x14ac:dyDescent="0.2">
      <c r="A1252" s="802" t="s">
        <v>18785</v>
      </c>
      <c r="B1252" s="803" t="s">
        <v>18773</v>
      </c>
      <c r="C1252" s="803" t="s">
        <v>18774</v>
      </c>
      <c r="D1252" s="803" t="s">
        <v>18775</v>
      </c>
      <c r="E1252" s="803" t="s">
        <v>18033</v>
      </c>
      <c r="F1252" s="803">
        <v>3</v>
      </c>
      <c r="G1252" s="803" t="s">
        <v>1103</v>
      </c>
      <c r="H1252" s="803" t="s">
        <v>1947</v>
      </c>
      <c r="I1252" s="804">
        <v>9000</v>
      </c>
      <c r="J1252" s="803">
        <v>1</v>
      </c>
      <c r="K1252" s="804">
        <f t="shared" si="156"/>
        <v>9000</v>
      </c>
      <c r="L1252" s="804">
        <f t="shared" si="157"/>
        <v>9000</v>
      </c>
      <c r="M1252" s="804">
        <f t="shared" si="146"/>
        <v>9000</v>
      </c>
      <c r="N1252" s="803" t="s">
        <v>18062</v>
      </c>
      <c r="O1252" s="805">
        <f t="shared" si="149"/>
        <v>9000</v>
      </c>
      <c r="P1252" s="805">
        <f t="shared" si="150"/>
        <v>9000</v>
      </c>
      <c r="Q1252" s="806">
        <f t="shared" si="151"/>
        <v>9000</v>
      </c>
    </row>
    <row r="1253" spans="1:17" x14ac:dyDescent="0.2">
      <c r="A1253" s="797" t="s">
        <v>18786</v>
      </c>
      <c r="B1253" s="798" t="s">
        <v>18773</v>
      </c>
      <c r="C1253" s="798" t="s">
        <v>18774</v>
      </c>
      <c r="D1253" s="798" t="s">
        <v>18777</v>
      </c>
      <c r="E1253" s="798" t="s">
        <v>18033</v>
      </c>
      <c r="F1253" s="798">
        <v>3</v>
      </c>
      <c r="G1253" s="798" t="s">
        <v>1103</v>
      </c>
      <c r="H1253" s="798" t="s">
        <v>1947</v>
      </c>
      <c r="I1253" s="799">
        <v>10000</v>
      </c>
      <c r="J1253" s="798">
        <v>1</v>
      </c>
      <c r="K1253" s="799">
        <f t="shared" si="156"/>
        <v>10000</v>
      </c>
      <c r="L1253" s="799">
        <f t="shared" si="157"/>
        <v>10000</v>
      </c>
      <c r="M1253" s="799">
        <f t="shared" si="146"/>
        <v>10000</v>
      </c>
      <c r="N1253" s="798" t="s">
        <v>18062</v>
      </c>
      <c r="O1253" s="800">
        <f t="shared" si="149"/>
        <v>10000</v>
      </c>
      <c r="P1253" s="800">
        <f t="shared" si="150"/>
        <v>10000</v>
      </c>
      <c r="Q1253" s="801">
        <f t="shared" si="151"/>
        <v>10000</v>
      </c>
    </row>
    <row r="1254" spans="1:17" x14ac:dyDescent="0.2">
      <c r="A1254" s="802" t="s">
        <v>18787</v>
      </c>
      <c r="B1254" s="803" t="s">
        <v>18773</v>
      </c>
      <c r="C1254" s="803" t="s">
        <v>18774</v>
      </c>
      <c r="D1254" s="803" t="s">
        <v>18779</v>
      </c>
      <c r="E1254" s="803" t="s">
        <v>18788</v>
      </c>
      <c r="F1254" s="803">
        <v>3</v>
      </c>
      <c r="G1254" s="803" t="s">
        <v>1103</v>
      </c>
      <c r="H1254" s="803" t="s">
        <v>1947</v>
      </c>
      <c r="I1254" s="804">
        <v>3000</v>
      </c>
      <c r="J1254" s="803">
        <v>1</v>
      </c>
      <c r="K1254" s="804">
        <f t="shared" si="156"/>
        <v>3000</v>
      </c>
      <c r="L1254" s="804">
        <f t="shared" si="157"/>
        <v>3000</v>
      </c>
      <c r="M1254" s="804">
        <f t="shared" si="146"/>
        <v>3000</v>
      </c>
      <c r="N1254" s="803" t="s">
        <v>18062</v>
      </c>
      <c r="O1254" s="805">
        <f t="shared" si="149"/>
        <v>3000</v>
      </c>
      <c r="P1254" s="805">
        <f t="shared" si="150"/>
        <v>3000</v>
      </c>
      <c r="Q1254" s="806">
        <f t="shared" si="151"/>
        <v>3000</v>
      </c>
    </row>
    <row r="1255" spans="1:17" x14ac:dyDescent="0.2">
      <c r="A1255" s="797" t="s">
        <v>18789</v>
      </c>
      <c r="B1255" s="798" t="s">
        <v>18773</v>
      </c>
      <c r="C1255" s="798" t="s">
        <v>18774</v>
      </c>
      <c r="D1255" s="798" t="s">
        <v>18775</v>
      </c>
      <c r="E1255" s="798" t="s">
        <v>18061</v>
      </c>
      <c r="F1255" s="798">
        <v>4</v>
      </c>
      <c r="G1255" s="798" t="s">
        <v>1947</v>
      </c>
      <c r="H1255" s="798" t="s">
        <v>122</v>
      </c>
      <c r="I1255" s="799">
        <v>15000</v>
      </c>
      <c r="J1255" s="798">
        <v>1</v>
      </c>
      <c r="K1255" s="799">
        <f t="shared" si="156"/>
        <v>15000</v>
      </c>
      <c r="L1255" s="799">
        <f t="shared" si="157"/>
        <v>15000</v>
      </c>
      <c r="M1255" s="799">
        <f t="shared" si="146"/>
        <v>15000</v>
      </c>
      <c r="N1255" s="798" t="s">
        <v>18188</v>
      </c>
      <c r="O1255" s="800">
        <f t="shared" si="149"/>
        <v>15000</v>
      </c>
      <c r="P1255" s="800">
        <f t="shared" si="150"/>
        <v>15000</v>
      </c>
      <c r="Q1255" s="801">
        <f t="shared" si="151"/>
        <v>15000</v>
      </c>
    </row>
    <row r="1256" spans="1:17" x14ac:dyDescent="0.2">
      <c r="A1256" s="802" t="s">
        <v>18790</v>
      </c>
      <c r="B1256" s="803" t="s">
        <v>18773</v>
      </c>
      <c r="C1256" s="803" t="s">
        <v>18774</v>
      </c>
      <c r="D1256" s="803" t="s">
        <v>18777</v>
      </c>
      <c r="E1256" s="803" t="s">
        <v>18061</v>
      </c>
      <c r="F1256" s="803">
        <v>4</v>
      </c>
      <c r="G1256" s="803" t="s">
        <v>1947</v>
      </c>
      <c r="H1256" s="803" t="s">
        <v>122</v>
      </c>
      <c r="I1256" s="804">
        <v>17000</v>
      </c>
      <c r="J1256" s="803">
        <v>1</v>
      </c>
      <c r="K1256" s="804">
        <f t="shared" si="156"/>
        <v>17000</v>
      </c>
      <c r="L1256" s="804">
        <f t="shared" si="157"/>
        <v>17000</v>
      </c>
      <c r="M1256" s="804">
        <f t="shared" si="146"/>
        <v>17000</v>
      </c>
      <c r="N1256" s="803" t="s">
        <v>18188</v>
      </c>
      <c r="O1256" s="805">
        <f t="shared" si="149"/>
        <v>17000</v>
      </c>
      <c r="P1256" s="805">
        <f t="shared" si="150"/>
        <v>17000</v>
      </c>
      <c r="Q1256" s="806">
        <f t="shared" si="151"/>
        <v>17000</v>
      </c>
    </row>
    <row r="1257" spans="1:17" x14ac:dyDescent="0.2">
      <c r="A1257" s="797" t="s">
        <v>18791</v>
      </c>
      <c r="B1257" s="798" t="s">
        <v>18773</v>
      </c>
      <c r="C1257" s="798" t="s">
        <v>18774</v>
      </c>
      <c r="D1257" s="798" t="s">
        <v>18779</v>
      </c>
      <c r="E1257" s="798" t="s">
        <v>18792</v>
      </c>
      <c r="F1257" s="798">
        <v>4</v>
      </c>
      <c r="G1257" s="798" t="s">
        <v>122</v>
      </c>
      <c r="H1257" s="798" t="s">
        <v>122</v>
      </c>
      <c r="I1257" s="799">
        <v>5200</v>
      </c>
      <c r="J1257" s="798">
        <v>1</v>
      </c>
      <c r="K1257" s="799">
        <v>20800</v>
      </c>
      <c r="L1257" s="799">
        <v>20800</v>
      </c>
      <c r="M1257" s="799">
        <f t="shared" si="146"/>
        <v>5200</v>
      </c>
      <c r="N1257" s="798" t="s">
        <v>18188</v>
      </c>
      <c r="O1257" s="800">
        <f t="shared" si="149"/>
        <v>20800</v>
      </c>
      <c r="P1257" s="800">
        <f t="shared" si="150"/>
        <v>20800</v>
      </c>
      <c r="Q1257" s="801">
        <f t="shared" si="151"/>
        <v>5200</v>
      </c>
    </row>
    <row r="1258" spans="1:17" x14ac:dyDescent="0.2">
      <c r="A1258" s="802" t="s">
        <v>18793</v>
      </c>
      <c r="B1258" s="803" t="s">
        <v>18773</v>
      </c>
      <c r="C1258" s="803" t="s">
        <v>18774</v>
      </c>
      <c r="D1258" s="803" t="s">
        <v>18794</v>
      </c>
      <c r="E1258" s="803" t="s">
        <v>18039</v>
      </c>
      <c r="F1258" s="803">
        <v>1</v>
      </c>
      <c r="G1258" s="803" t="s">
        <v>10772</v>
      </c>
      <c r="H1258" s="803" t="s">
        <v>1947</v>
      </c>
      <c r="I1258" s="804">
        <v>25000</v>
      </c>
      <c r="J1258" s="803">
        <v>1</v>
      </c>
      <c r="K1258" s="804">
        <v>70000</v>
      </c>
      <c r="L1258" s="804">
        <v>70000</v>
      </c>
      <c r="M1258" s="804">
        <f t="shared" si="146"/>
        <v>25000</v>
      </c>
      <c r="N1258" s="803" t="s">
        <v>18192</v>
      </c>
      <c r="O1258" s="805">
        <f t="shared" si="149"/>
        <v>70000</v>
      </c>
      <c r="P1258" s="805">
        <f t="shared" si="150"/>
        <v>70000</v>
      </c>
      <c r="Q1258" s="806">
        <f t="shared" si="151"/>
        <v>25000</v>
      </c>
    </row>
    <row r="1259" spans="1:17" x14ac:dyDescent="0.2">
      <c r="A1259" s="797" t="s">
        <v>18795</v>
      </c>
      <c r="B1259" s="798" t="s">
        <v>18773</v>
      </c>
      <c r="C1259" s="798" t="s">
        <v>18774</v>
      </c>
      <c r="D1259" s="798" t="s">
        <v>18794</v>
      </c>
      <c r="E1259" s="798" t="s">
        <v>18796</v>
      </c>
      <c r="F1259" s="798">
        <v>2</v>
      </c>
      <c r="G1259" s="798" t="s">
        <v>10772</v>
      </c>
      <c r="H1259" s="798" t="s">
        <v>122</v>
      </c>
      <c r="I1259" s="799">
        <v>35000</v>
      </c>
      <c r="J1259" s="798">
        <v>1</v>
      </c>
      <c r="K1259" s="799">
        <v>70000</v>
      </c>
      <c r="L1259" s="799">
        <v>70000</v>
      </c>
      <c r="M1259" s="799">
        <f t="shared" si="146"/>
        <v>35000</v>
      </c>
      <c r="N1259" s="798" t="s">
        <v>18192</v>
      </c>
      <c r="O1259" s="800">
        <f t="shared" si="149"/>
        <v>70000</v>
      </c>
      <c r="P1259" s="800">
        <f t="shared" si="150"/>
        <v>70000</v>
      </c>
      <c r="Q1259" s="801">
        <f t="shared" si="151"/>
        <v>35000</v>
      </c>
    </row>
    <row r="1260" spans="1:17" x14ac:dyDescent="0.2">
      <c r="A1260" s="802" t="s">
        <v>18797</v>
      </c>
      <c r="B1260" s="803" t="s">
        <v>18241</v>
      </c>
      <c r="C1260" s="803" t="s">
        <v>18798</v>
      </c>
      <c r="D1260" s="803" t="s">
        <v>18799</v>
      </c>
      <c r="E1260" s="803" t="s">
        <v>18019</v>
      </c>
      <c r="F1260" s="803">
        <v>1</v>
      </c>
      <c r="G1260" s="803" t="s">
        <v>10772</v>
      </c>
      <c r="H1260" s="803" t="s">
        <v>18244</v>
      </c>
      <c r="I1260" s="804">
        <v>1600</v>
      </c>
      <c r="J1260" s="803">
        <v>1</v>
      </c>
      <c r="K1260" s="804">
        <f t="shared" ref="K1260:K1268" si="158">+I1260</f>
        <v>1600</v>
      </c>
      <c r="L1260" s="804">
        <f t="shared" ref="L1260:L1268" si="159">+I1260</f>
        <v>1600</v>
      </c>
      <c r="M1260" s="804">
        <f t="shared" si="146"/>
        <v>1600</v>
      </c>
      <c r="N1260" s="803" t="s">
        <v>18020</v>
      </c>
      <c r="O1260" s="805">
        <f t="shared" si="149"/>
        <v>1600</v>
      </c>
      <c r="P1260" s="805">
        <f t="shared" si="150"/>
        <v>1600</v>
      </c>
      <c r="Q1260" s="806">
        <f t="shared" si="151"/>
        <v>1600</v>
      </c>
    </row>
    <row r="1261" spans="1:17" x14ac:dyDescent="0.2">
      <c r="A1261" s="797" t="s">
        <v>18800</v>
      </c>
      <c r="B1261" s="798" t="s">
        <v>18241</v>
      </c>
      <c r="C1261" s="798" t="s">
        <v>18798</v>
      </c>
      <c r="D1261" s="798" t="s">
        <v>18801</v>
      </c>
      <c r="E1261" s="798" t="s">
        <v>18019</v>
      </c>
      <c r="F1261" s="798">
        <v>1</v>
      </c>
      <c r="G1261" s="798" t="s">
        <v>10772</v>
      </c>
      <c r="H1261" s="798" t="s">
        <v>18244</v>
      </c>
      <c r="I1261" s="799">
        <v>2000</v>
      </c>
      <c r="J1261" s="798">
        <v>1</v>
      </c>
      <c r="K1261" s="799">
        <f t="shared" si="158"/>
        <v>2000</v>
      </c>
      <c r="L1261" s="799">
        <f t="shared" si="159"/>
        <v>2000</v>
      </c>
      <c r="M1261" s="799">
        <f t="shared" si="146"/>
        <v>2000</v>
      </c>
      <c r="N1261" s="798" t="s">
        <v>18020</v>
      </c>
      <c r="O1261" s="800">
        <f t="shared" si="149"/>
        <v>2000</v>
      </c>
      <c r="P1261" s="800">
        <f t="shared" si="150"/>
        <v>2000</v>
      </c>
      <c r="Q1261" s="801">
        <f t="shared" si="151"/>
        <v>2000</v>
      </c>
    </row>
    <row r="1262" spans="1:17" x14ac:dyDescent="0.2">
      <c r="A1262" s="802" t="s">
        <v>18802</v>
      </c>
      <c r="B1262" s="803" t="s">
        <v>18241</v>
      </c>
      <c r="C1262" s="803" t="s">
        <v>18798</v>
      </c>
      <c r="D1262" s="803" t="s">
        <v>18803</v>
      </c>
      <c r="E1262" s="803" t="s">
        <v>18019</v>
      </c>
      <c r="F1262" s="803">
        <v>1</v>
      </c>
      <c r="G1262" s="803" t="s">
        <v>10772</v>
      </c>
      <c r="H1262" s="803" t="s">
        <v>18244</v>
      </c>
      <c r="I1262" s="804">
        <v>100</v>
      </c>
      <c r="J1262" s="803">
        <v>1</v>
      </c>
      <c r="K1262" s="804">
        <f t="shared" si="158"/>
        <v>100</v>
      </c>
      <c r="L1262" s="804">
        <f t="shared" si="159"/>
        <v>100</v>
      </c>
      <c r="M1262" s="804">
        <f t="shared" si="146"/>
        <v>100</v>
      </c>
      <c r="N1262" s="803" t="s">
        <v>18020</v>
      </c>
      <c r="O1262" s="805">
        <f t="shared" si="149"/>
        <v>100</v>
      </c>
      <c r="P1262" s="805">
        <f t="shared" si="150"/>
        <v>100</v>
      </c>
      <c r="Q1262" s="806">
        <f t="shared" si="151"/>
        <v>100</v>
      </c>
    </row>
    <row r="1263" spans="1:17" x14ac:dyDescent="0.2">
      <c r="A1263" s="797" t="s">
        <v>18804</v>
      </c>
      <c r="B1263" s="798" t="s">
        <v>18241</v>
      </c>
      <c r="C1263" s="798" t="s">
        <v>18798</v>
      </c>
      <c r="D1263" s="798" t="s">
        <v>18805</v>
      </c>
      <c r="E1263" s="798" t="s">
        <v>18031</v>
      </c>
      <c r="F1263" s="798">
        <v>1</v>
      </c>
      <c r="G1263" s="798" t="s">
        <v>10772</v>
      </c>
      <c r="H1263" s="798" t="s">
        <v>3779</v>
      </c>
      <c r="I1263" s="799">
        <v>2000</v>
      </c>
      <c r="J1263" s="798">
        <v>1</v>
      </c>
      <c r="K1263" s="799">
        <f t="shared" si="158"/>
        <v>2000</v>
      </c>
      <c r="L1263" s="799">
        <f t="shared" si="159"/>
        <v>2000</v>
      </c>
      <c r="M1263" s="799">
        <f t="shared" si="146"/>
        <v>2000</v>
      </c>
      <c r="N1263" s="798" t="s">
        <v>18020</v>
      </c>
      <c r="O1263" s="800">
        <f t="shared" si="149"/>
        <v>2000</v>
      </c>
      <c r="P1263" s="800">
        <f t="shared" si="150"/>
        <v>2000</v>
      </c>
      <c r="Q1263" s="801">
        <f t="shared" si="151"/>
        <v>2000</v>
      </c>
    </row>
    <row r="1264" spans="1:17" x14ac:dyDescent="0.2">
      <c r="A1264" s="802" t="s">
        <v>18806</v>
      </c>
      <c r="B1264" s="803" t="s">
        <v>18241</v>
      </c>
      <c r="C1264" s="803" t="s">
        <v>18798</v>
      </c>
      <c r="D1264" s="803" t="s">
        <v>18805</v>
      </c>
      <c r="E1264" s="803" t="s">
        <v>18033</v>
      </c>
      <c r="F1264" s="803">
        <v>2</v>
      </c>
      <c r="G1264" s="803" t="s">
        <v>10772</v>
      </c>
      <c r="H1264" s="803" t="s">
        <v>3779</v>
      </c>
      <c r="I1264" s="804">
        <v>5200</v>
      </c>
      <c r="J1264" s="803">
        <v>1</v>
      </c>
      <c r="K1264" s="804">
        <f t="shared" si="158"/>
        <v>5200</v>
      </c>
      <c r="L1264" s="804">
        <f t="shared" si="159"/>
        <v>5200</v>
      </c>
      <c r="M1264" s="804">
        <f t="shared" si="146"/>
        <v>5200</v>
      </c>
      <c r="N1264" s="803" t="s">
        <v>18037</v>
      </c>
      <c r="O1264" s="805">
        <f t="shared" si="149"/>
        <v>5200</v>
      </c>
      <c r="P1264" s="805">
        <f t="shared" si="150"/>
        <v>5200</v>
      </c>
      <c r="Q1264" s="806">
        <f t="shared" si="151"/>
        <v>5200</v>
      </c>
    </row>
    <row r="1265" spans="1:17" x14ac:dyDescent="0.2">
      <c r="A1265" s="797" t="s">
        <v>18807</v>
      </c>
      <c r="B1265" s="798" t="s">
        <v>18241</v>
      </c>
      <c r="C1265" s="798" t="s">
        <v>18798</v>
      </c>
      <c r="D1265" s="798" t="s">
        <v>18808</v>
      </c>
      <c r="E1265" s="798" t="s">
        <v>18031</v>
      </c>
      <c r="F1265" s="798">
        <v>1</v>
      </c>
      <c r="G1265" s="798" t="s">
        <v>10772</v>
      </c>
      <c r="H1265" s="798" t="s">
        <v>17824</v>
      </c>
      <c r="I1265" s="799">
        <v>2500</v>
      </c>
      <c r="J1265" s="798">
        <v>1</v>
      </c>
      <c r="K1265" s="799">
        <f t="shared" si="158"/>
        <v>2500</v>
      </c>
      <c r="L1265" s="799">
        <f t="shared" si="159"/>
        <v>2500</v>
      </c>
      <c r="M1265" s="799">
        <f t="shared" si="146"/>
        <v>2500</v>
      </c>
      <c r="N1265" s="798" t="s">
        <v>18020</v>
      </c>
      <c r="O1265" s="800">
        <f t="shared" si="149"/>
        <v>2500</v>
      </c>
      <c r="P1265" s="800">
        <f t="shared" si="150"/>
        <v>2500</v>
      </c>
      <c r="Q1265" s="801">
        <f t="shared" si="151"/>
        <v>2500</v>
      </c>
    </row>
    <row r="1266" spans="1:17" x14ac:dyDescent="0.2">
      <c r="A1266" s="802" t="s">
        <v>18809</v>
      </c>
      <c r="B1266" s="803" t="s">
        <v>18241</v>
      </c>
      <c r="C1266" s="803" t="s">
        <v>18798</v>
      </c>
      <c r="D1266" s="803" t="s">
        <v>18808</v>
      </c>
      <c r="E1266" s="803" t="s">
        <v>18033</v>
      </c>
      <c r="F1266" s="803">
        <v>2</v>
      </c>
      <c r="G1266" s="803" t="s">
        <v>10772</v>
      </c>
      <c r="H1266" s="803" t="s">
        <v>17824</v>
      </c>
      <c r="I1266" s="804">
        <v>7800</v>
      </c>
      <c r="J1266" s="803">
        <v>1</v>
      </c>
      <c r="K1266" s="804">
        <f t="shared" si="158"/>
        <v>7800</v>
      </c>
      <c r="L1266" s="804">
        <f t="shared" si="159"/>
        <v>7800</v>
      </c>
      <c r="M1266" s="804">
        <f t="shared" ref="M1266:M1329" si="160">+I1266</f>
        <v>7800</v>
      </c>
      <c r="N1266" s="803" t="s">
        <v>18037</v>
      </c>
      <c r="O1266" s="805">
        <f t="shared" si="149"/>
        <v>7800</v>
      </c>
      <c r="P1266" s="805">
        <f t="shared" si="150"/>
        <v>7800</v>
      </c>
      <c r="Q1266" s="806">
        <f t="shared" si="151"/>
        <v>7800</v>
      </c>
    </row>
    <row r="1267" spans="1:17" x14ac:dyDescent="0.2">
      <c r="A1267" s="797" t="s">
        <v>18810</v>
      </c>
      <c r="B1267" s="798" t="s">
        <v>18241</v>
      </c>
      <c r="C1267" s="798" t="s">
        <v>18798</v>
      </c>
      <c r="D1267" s="798" t="s">
        <v>18808</v>
      </c>
      <c r="E1267" s="798" t="s">
        <v>18039</v>
      </c>
      <c r="F1267" s="798">
        <v>3</v>
      </c>
      <c r="G1267" s="798" t="s">
        <v>10772</v>
      </c>
      <c r="H1267" s="798" t="s">
        <v>17824</v>
      </c>
      <c r="I1267" s="799">
        <v>9500</v>
      </c>
      <c r="J1267" s="798">
        <v>1</v>
      </c>
      <c r="K1267" s="799">
        <f t="shared" si="158"/>
        <v>9500</v>
      </c>
      <c r="L1267" s="799">
        <f t="shared" si="159"/>
        <v>9500</v>
      </c>
      <c r="M1267" s="799">
        <f t="shared" si="160"/>
        <v>9500</v>
      </c>
      <c r="N1267" s="798" t="s">
        <v>18037</v>
      </c>
      <c r="O1267" s="800">
        <f t="shared" si="149"/>
        <v>9500</v>
      </c>
      <c r="P1267" s="800">
        <f t="shared" si="150"/>
        <v>9500</v>
      </c>
      <c r="Q1267" s="801">
        <f t="shared" si="151"/>
        <v>9500</v>
      </c>
    </row>
    <row r="1268" spans="1:17" x14ac:dyDescent="0.2">
      <c r="A1268" s="802" t="s">
        <v>18811</v>
      </c>
      <c r="B1268" s="803" t="s">
        <v>18241</v>
      </c>
      <c r="C1268" s="803" t="s">
        <v>18798</v>
      </c>
      <c r="D1268" s="803" t="s">
        <v>18808</v>
      </c>
      <c r="E1268" s="803" t="s">
        <v>18041</v>
      </c>
      <c r="F1268" s="803">
        <v>4</v>
      </c>
      <c r="G1268" s="803" t="s">
        <v>10772</v>
      </c>
      <c r="H1268" s="803" t="s">
        <v>17824</v>
      </c>
      <c r="I1268" s="804">
        <v>15000</v>
      </c>
      <c r="J1268" s="803">
        <v>1</v>
      </c>
      <c r="K1268" s="804">
        <f t="shared" si="158"/>
        <v>15000</v>
      </c>
      <c r="L1268" s="804">
        <f t="shared" si="159"/>
        <v>15000</v>
      </c>
      <c r="M1268" s="804">
        <f t="shared" si="160"/>
        <v>15000</v>
      </c>
      <c r="N1268" s="803" t="s">
        <v>18042</v>
      </c>
      <c r="O1268" s="805">
        <f t="shared" si="149"/>
        <v>15000</v>
      </c>
      <c r="P1268" s="805">
        <f t="shared" si="150"/>
        <v>15000</v>
      </c>
      <c r="Q1268" s="806">
        <f t="shared" si="151"/>
        <v>15000</v>
      </c>
    </row>
    <row r="1269" spans="1:17" x14ac:dyDescent="0.2">
      <c r="A1269" s="797" t="s">
        <v>18812</v>
      </c>
      <c r="B1269" s="798" t="s">
        <v>18241</v>
      </c>
      <c r="C1269" s="798" t="s">
        <v>18798</v>
      </c>
      <c r="D1269" s="798" t="s">
        <v>18808</v>
      </c>
      <c r="E1269" s="798" t="s">
        <v>18212</v>
      </c>
      <c r="F1269" s="798">
        <v>5</v>
      </c>
      <c r="G1269" s="798" t="s">
        <v>10772</v>
      </c>
      <c r="H1269" s="798" t="s">
        <v>17824</v>
      </c>
      <c r="I1269" s="799">
        <v>22000</v>
      </c>
      <c r="J1269" s="798">
        <v>1</v>
      </c>
      <c r="K1269" s="799">
        <v>100000</v>
      </c>
      <c r="L1269" s="799">
        <v>100000</v>
      </c>
      <c r="M1269" s="799">
        <f t="shared" si="160"/>
        <v>22000</v>
      </c>
      <c r="N1269" s="798" t="s">
        <v>18042</v>
      </c>
      <c r="O1269" s="800">
        <f t="shared" si="149"/>
        <v>100000</v>
      </c>
      <c r="P1269" s="800">
        <f t="shared" si="150"/>
        <v>100000</v>
      </c>
      <c r="Q1269" s="801">
        <f t="shared" si="151"/>
        <v>22000</v>
      </c>
    </row>
    <row r="1270" spans="1:17" x14ac:dyDescent="0.2">
      <c r="A1270" s="802" t="s">
        <v>18813</v>
      </c>
      <c r="B1270" s="803" t="s">
        <v>18241</v>
      </c>
      <c r="C1270" s="803" t="s">
        <v>18798</v>
      </c>
      <c r="D1270" s="803" t="s">
        <v>18808</v>
      </c>
      <c r="E1270" s="803" t="s">
        <v>18214</v>
      </c>
      <c r="F1270" s="803">
        <v>6</v>
      </c>
      <c r="G1270" s="803" t="s">
        <v>10772</v>
      </c>
      <c r="H1270" s="803" t="s">
        <v>17824</v>
      </c>
      <c r="I1270" s="804">
        <v>31000</v>
      </c>
      <c r="J1270" s="803">
        <v>1</v>
      </c>
      <c r="K1270" s="804">
        <v>100000</v>
      </c>
      <c r="L1270" s="804">
        <v>100000</v>
      </c>
      <c r="M1270" s="804">
        <f t="shared" si="160"/>
        <v>31000</v>
      </c>
      <c r="N1270" s="803" t="s">
        <v>18215</v>
      </c>
      <c r="O1270" s="805">
        <f t="shared" si="149"/>
        <v>100000</v>
      </c>
      <c r="P1270" s="805">
        <f t="shared" si="150"/>
        <v>100000</v>
      </c>
      <c r="Q1270" s="806">
        <f t="shared" si="151"/>
        <v>31000</v>
      </c>
    </row>
    <row r="1271" spans="1:17" x14ac:dyDescent="0.2">
      <c r="A1271" s="797" t="s">
        <v>18814</v>
      </c>
      <c r="B1271" s="798" t="s">
        <v>18241</v>
      </c>
      <c r="C1271" s="798" t="s">
        <v>18798</v>
      </c>
      <c r="D1271" s="798" t="s">
        <v>18808</v>
      </c>
      <c r="E1271" s="798" t="s">
        <v>18217</v>
      </c>
      <c r="F1271" s="798">
        <v>7</v>
      </c>
      <c r="G1271" s="798" t="s">
        <v>10772</v>
      </c>
      <c r="H1271" s="798" t="s">
        <v>17824</v>
      </c>
      <c r="I1271" s="799">
        <v>37000</v>
      </c>
      <c r="J1271" s="798">
        <v>1</v>
      </c>
      <c r="K1271" s="799">
        <v>100000</v>
      </c>
      <c r="L1271" s="799">
        <v>100000</v>
      </c>
      <c r="M1271" s="799">
        <f t="shared" si="160"/>
        <v>37000</v>
      </c>
      <c r="N1271" s="798" t="s">
        <v>18215</v>
      </c>
      <c r="O1271" s="800">
        <f t="shared" si="149"/>
        <v>100000</v>
      </c>
      <c r="P1271" s="800">
        <f t="shared" si="150"/>
        <v>100000</v>
      </c>
      <c r="Q1271" s="801">
        <f t="shared" si="151"/>
        <v>37000</v>
      </c>
    </row>
    <row r="1272" spans="1:17" x14ac:dyDescent="0.2">
      <c r="A1272" s="802" t="s">
        <v>18815</v>
      </c>
      <c r="B1272" s="803" t="s">
        <v>18241</v>
      </c>
      <c r="C1272" s="803" t="s">
        <v>18798</v>
      </c>
      <c r="D1272" s="803" t="s">
        <v>18816</v>
      </c>
      <c r="E1272" s="803" t="s">
        <v>18054</v>
      </c>
      <c r="F1272" s="803">
        <v>1</v>
      </c>
      <c r="G1272" s="803" t="s">
        <v>3779</v>
      </c>
      <c r="H1272" s="803" t="s">
        <v>3779</v>
      </c>
      <c r="I1272" s="804">
        <v>10000</v>
      </c>
      <c r="J1272" s="803">
        <v>1</v>
      </c>
      <c r="K1272" s="804">
        <f t="shared" ref="K1272:K1288" si="161">+I1272</f>
        <v>10000</v>
      </c>
      <c r="L1272" s="804">
        <f t="shared" ref="L1272:L1288" si="162">+I1272</f>
        <v>10000</v>
      </c>
      <c r="M1272" s="804">
        <f t="shared" si="160"/>
        <v>10000</v>
      </c>
      <c r="N1272" s="803" t="s">
        <v>18265</v>
      </c>
      <c r="O1272" s="805">
        <f t="shared" si="149"/>
        <v>10000</v>
      </c>
      <c r="P1272" s="805">
        <f t="shared" si="150"/>
        <v>10000</v>
      </c>
      <c r="Q1272" s="806">
        <f t="shared" si="151"/>
        <v>10000</v>
      </c>
    </row>
    <row r="1273" spans="1:17" x14ac:dyDescent="0.2">
      <c r="A1273" s="797" t="s">
        <v>18817</v>
      </c>
      <c r="B1273" s="798" t="s">
        <v>18241</v>
      </c>
      <c r="C1273" s="798" t="s">
        <v>18798</v>
      </c>
      <c r="D1273" s="798" t="s">
        <v>18816</v>
      </c>
      <c r="E1273" s="798" t="s">
        <v>18033</v>
      </c>
      <c r="F1273" s="798">
        <v>2</v>
      </c>
      <c r="G1273" s="798" t="s">
        <v>3779</v>
      </c>
      <c r="H1273" s="798" t="s">
        <v>3779</v>
      </c>
      <c r="I1273" s="799">
        <v>25000</v>
      </c>
      <c r="J1273" s="798">
        <v>1</v>
      </c>
      <c r="K1273" s="799">
        <f t="shared" si="161"/>
        <v>25000</v>
      </c>
      <c r="L1273" s="799">
        <f t="shared" si="162"/>
        <v>25000</v>
      </c>
      <c r="M1273" s="799">
        <f t="shared" si="160"/>
        <v>25000</v>
      </c>
      <c r="N1273" s="798" t="s">
        <v>18265</v>
      </c>
      <c r="O1273" s="800">
        <f t="shared" si="149"/>
        <v>25000</v>
      </c>
      <c r="P1273" s="800">
        <f t="shared" si="150"/>
        <v>25000</v>
      </c>
      <c r="Q1273" s="801">
        <f t="shared" si="151"/>
        <v>25000</v>
      </c>
    </row>
    <row r="1274" spans="1:17" x14ac:dyDescent="0.2">
      <c r="A1274" s="802" t="s">
        <v>18818</v>
      </c>
      <c r="B1274" s="803" t="s">
        <v>18241</v>
      </c>
      <c r="C1274" s="803" t="s">
        <v>18798</v>
      </c>
      <c r="D1274" s="803" t="s">
        <v>18816</v>
      </c>
      <c r="E1274" s="803" t="s">
        <v>18061</v>
      </c>
      <c r="F1274" s="803">
        <v>3</v>
      </c>
      <c r="G1274" s="803" t="s">
        <v>3779</v>
      </c>
      <c r="H1274" s="803" t="s">
        <v>3779</v>
      </c>
      <c r="I1274" s="804">
        <v>36000</v>
      </c>
      <c r="J1274" s="803">
        <v>1</v>
      </c>
      <c r="K1274" s="804">
        <f t="shared" si="161"/>
        <v>36000</v>
      </c>
      <c r="L1274" s="804">
        <f t="shared" si="162"/>
        <v>36000</v>
      </c>
      <c r="M1274" s="804">
        <f t="shared" si="160"/>
        <v>36000</v>
      </c>
      <c r="N1274" s="803" t="s">
        <v>18265</v>
      </c>
      <c r="O1274" s="805">
        <f t="shared" si="149"/>
        <v>36000</v>
      </c>
      <c r="P1274" s="805">
        <f t="shared" si="150"/>
        <v>36000</v>
      </c>
      <c r="Q1274" s="806">
        <f t="shared" si="151"/>
        <v>36000</v>
      </c>
    </row>
    <row r="1275" spans="1:17" x14ac:dyDescent="0.2">
      <c r="A1275" s="797" t="s">
        <v>18819</v>
      </c>
      <c r="B1275" s="798" t="s">
        <v>18241</v>
      </c>
      <c r="C1275" s="798" t="s">
        <v>18798</v>
      </c>
      <c r="D1275" s="798" t="s">
        <v>18820</v>
      </c>
      <c r="E1275" s="798" t="s">
        <v>18054</v>
      </c>
      <c r="F1275" s="798">
        <v>1</v>
      </c>
      <c r="G1275" s="798" t="s">
        <v>2837</v>
      </c>
      <c r="H1275" s="798" t="s">
        <v>2837</v>
      </c>
      <c r="I1275" s="799">
        <v>10000</v>
      </c>
      <c r="J1275" s="798">
        <v>1</v>
      </c>
      <c r="K1275" s="799">
        <f t="shared" si="161"/>
        <v>10000</v>
      </c>
      <c r="L1275" s="799">
        <f t="shared" si="162"/>
        <v>10000</v>
      </c>
      <c r="M1275" s="799">
        <f t="shared" si="160"/>
        <v>10000</v>
      </c>
      <c r="N1275" s="798" t="s">
        <v>18265</v>
      </c>
      <c r="O1275" s="800">
        <f t="shared" si="149"/>
        <v>10000</v>
      </c>
      <c r="P1275" s="800">
        <f t="shared" si="150"/>
        <v>10000</v>
      </c>
      <c r="Q1275" s="801">
        <f t="shared" si="151"/>
        <v>10000</v>
      </c>
    </row>
    <row r="1276" spans="1:17" x14ac:dyDescent="0.2">
      <c r="A1276" s="802" t="s">
        <v>18821</v>
      </c>
      <c r="B1276" s="803" t="s">
        <v>18241</v>
      </c>
      <c r="C1276" s="803" t="s">
        <v>18798</v>
      </c>
      <c r="D1276" s="803" t="s">
        <v>18820</v>
      </c>
      <c r="E1276" s="803" t="s">
        <v>18033</v>
      </c>
      <c r="F1276" s="803">
        <v>2</v>
      </c>
      <c r="G1276" s="803" t="s">
        <v>2837</v>
      </c>
      <c r="H1276" s="803" t="s">
        <v>2837</v>
      </c>
      <c r="I1276" s="804">
        <v>25000</v>
      </c>
      <c r="J1276" s="803">
        <v>1</v>
      </c>
      <c r="K1276" s="804">
        <f t="shared" si="161"/>
        <v>25000</v>
      </c>
      <c r="L1276" s="804">
        <f t="shared" si="162"/>
        <v>25000</v>
      </c>
      <c r="M1276" s="804">
        <f t="shared" si="160"/>
        <v>25000</v>
      </c>
      <c r="N1276" s="803" t="s">
        <v>18265</v>
      </c>
      <c r="O1276" s="805">
        <f t="shared" si="149"/>
        <v>25000</v>
      </c>
      <c r="P1276" s="805">
        <f t="shared" si="150"/>
        <v>25000</v>
      </c>
      <c r="Q1276" s="806">
        <f t="shared" si="151"/>
        <v>25000</v>
      </c>
    </row>
    <row r="1277" spans="1:17" x14ac:dyDescent="0.2">
      <c r="A1277" s="797" t="s">
        <v>18822</v>
      </c>
      <c r="B1277" s="798" t="s">
        <v>18241</v>
      </c>
      <c r="C1277" s="798" t="s">
        <v>18798</v>
      </c>
      <c r="D1277" s="798" t="s">
        <v>18820</v>
      </c>
      <c r="E1277" s="798" t="s">
        <v>18061</v>
      </c>
      <c r="F1277" s="798">
        <v>3</v>
      </c>
      <c r="G1277" s="798" t="s">
        <v>2837</v>
      </c>
      <c r="H1277" s="798" t="s">
        <v>2837</v>
      </c>
      <c r="I1277" s="799">
        <v>36000</v>
      </c>
      <c r="J1277" s="798">
        <v>1</v>
      </c>
      <c r="K1277" s="799">
        <f t="shared" si="161"/>
        <v>36000</v>
      </c>
      <c r="L1277" s="799">
        <f t="shared" si="162"/>
        <v>36000</v>
      </c>
      <c r="M1277" s="799">
        <f t="shared" si="160"/>
        <v>36000</v>
      </c>
      <c r="N1277" s="798" t="s">
        <v>18265</v>
      </c>
      <c r="O1277" s="800">
        <f t="shared" si="149"/>
        <v>36000</v>
      </c>
      <c r="P1277" s="800">
        <f t="shared" si="150"/>
        <v>36000</v>
      </c>
      <c r="Q1277" s="801">
        <f t="shared" si="151"/>
        <v>36000</v>
      </c>
    </row>
    <row r="1278" spans="1:17" x14ac:dyDescent="0.2">
      <c r="A1278" s="802" t="s">
        <v>18823</v>
      </c>
      <c r="B1278" s="803" t="s">
        <v>18560</v>
      </c>
      <c r="C1278" s="803" t="s">
        <v>14283</v>
      </c>
      <c r="D1278" s="803" t="s">
        <v>18824</v>
      </c>
      <c r="E1278" s="803" t="s">
        <v>18031</v>
      </c>
      <c r="F1278" s="803">
        <v>1</v>
      </c>
      <c r="G1278" s="803" t="s">
        <v>1103</v>
      </c>
      <c r="H1278" s="803" t="s">
        <v>1947</v>
      </c>
      <c r="I1278" s="804">
        <v>1500</v>
      </c>
      <c r="J1278" s="803">
        <v>1</v>
      </c>
      <c r="K1278" s="804">
        <f t="shared" si="161"/>
        <v>1500</v>
      </c>
      <c r="L1278" s="804">
        <f t="shared" si="162"/>
        <v>1500</v>
      </c>
      <c r="M1278" s="804">
        <f t="shared" si="160"/>
        <v>1500</v>
      </c>
      <c r="N1278" s="803" t="s">
        <v>18048</v>
      </c>
      <c r="O1278" s="805">
        <f t="shared" si="149"/>
        <v>1500</v>
      </c>
      <c r="P1278" s="805">
        <f t="shared" si="150"/>
        <v>1500</v>
      </c>
      <c r="Q1278" s="806">
        <f t="shared" si="151"/>
        <v>1500</v>
      </c>
    </row>
    <row r="1279" spans="1:17" x14ac:dyDescent="0.2">
      <c r="A1279" s="797" t="s">
        <v>18825</v>
      </c>
      <c r="B1279" s="798" t="s">
        <v>18560</v>
      </c>
      <c r="C1279" s="798" t="s">
        <v>14283</v>
      </c>
      <c r="D1279" s="798" t="s">
        <v>18826</v>
      </c>
      <c r="E1279" s="798" t="s">
        <v>18031</v>
      </c>
      <c r="F1279" s="798">
        <v>1</v>
      </c>
      <c r="G1279" s="798" t="s">
        <v>1103</v>
      </c>
      <c r="H1279" s="798" t="s">
        <v>1947</v>
      </c>
      <c r="I1279" s="799">
        <v>2000</v>
      </c>
      <c r="J1279" s="798">
        <v>1</v>
      </c>
      <c r="K1279" s="799">
        <f t="shared" si="161"/>
        <v>2000</v>
      </c>
      <c r="L1279" s="799">
        <f t="shared" si="162"/>
        <v>2000</v>
      </c>
      <c r="M1279" s="799">
        <f t="shared" si="160"/>
        <v>2000</v>
      </c>
      <c r="N1279" s="798" t="s">
        <v>18048</v>
      </c>
      <c r="O1279" s="800">
        <f t="shared" si="149"/>
        <v>2000</v>
      </c>
      <c r="P1279" s="800">
        <f t="shared" si="150"/>
        <v>2000</v>
      </c>
      <c r="Q1279" s="801">
        <f t="shared" si="151"/>
        <v>2000</v>
      </c>
    </row>
    <row r="1280" spans="1:17" x14ac:dyDescent="0.2">
      <c r="A1280" s="802" t="s">
        <v>18827</v>
      </c>
      <c r="B1280" s="803" t="s">
        <v>18560</v>
      </c>
      <c r="C1280" s="803" t="s">
        <v>14283</v>
      </c>
      <c r="D1280" s="803" t="s">
        <v>18828</v>
      </c>
      <c r="E1280" s="803" t="s">
        <v>18031</v>
      </c>
      <c r="F1280" s="803">
        <v>1</v>
      </c>
      <c r="G1280" s="803" t="s">
        <v>1103</v>
      </c>
      <c r="H1280" s="803" t="s">
        <v>1947</v>
      </c>
      <c r="I1280" s="804">
        <v>800</v>
      </c>
      <c r="J1280" s="803">
        <v>1</v>
      </c>
      <c r="K1280" s="804">
        <f t="shared" si="161"/>
        <v>800</v>
      </c>
      <c r="L1280" s="804">
        <f t="shared" si="162"/>
        <v>800</v>
      </c>
      <c r="M1280" s="804">
        <f t="shared" si="160"/>
        <v>800</v>
      </c>
      <c r="N1280" s="803" t="s">
        <v>18048</v>
      </c>
      <c r="O1280" s="805">
        <f t="shared" si="149"/>
        <v>800</v>
      </c>
      <c r="P1280" s="805">
        <f t="shared" si="150"/>
        <v>800</v>
      </c>
      <c r="Q1280" s="806">
        <f t="shared" si="151"/>
        <v>800</v>
      </c>
    </row>
    <row r="1281" spans="1:17" x14ac:dyDescent="0.2">
      <c r="A1281" s="797" t="s">
        <v>18829</v>
      </c>
      <c r="B1281" s="798" t="s">
        <v>18560</v>
      </c>
      <c r="C1281" s="798" t="s">
        <v>14283</v>
      </c>
      <c r="D1281" s="798" t="s">
        <v>18824</v>
      </c>
      <c r="E1281" s="798" t="s">
        <v>18054</v>
      </c>
      <c r="F1281" s="798">
        <v>2</v>
      </c>
      <c r="G1281" s="798" t="s">
        <v>122</v>
      </c>
      <c r="H1281" s="798" t="s">
        <v>1103</v>
      </c>
      <c r="I1281" s="799">
        <v>5000</v>
      </c>
      <c r="J1281" s="798">
        <v>1</v>
      </c>
      <c r="K1281" s="799">
        <f t="shared" si="161"/>
        <v>5000</v>
      </c>
      <c r="L1281" s="799">
        <f t="shared" si="162"/>
        <v>5000</v>
      </c>
      <c r="M1281" s="799">
        <f t="shared" si="160"/>
        <v>5000</v>
      </c>
      <c r="N1281" s="798" t="s">
        <v>18057</v>
      </c>
      <c r="O1281" s="800">
        <f t="shared" si="149"/>
        <v>5000</v>
      </c>
      <c r="P1281" s="800">
        <f t="shared" si="150"/>
        <v>5000</v>
      </c>
      <c r="Q1281" s="801">
        <f t="shared" si="151"/>
        <v>5000</v>
      </c>
    </row>
    <row r="1282" spans="1:17" x14ac:dyDescent="0.2">
      <c r="A1282" s="802" t="s">
        <v>18830</v>
      </c>
      <c r="B1282" s="803" t="s">
        <v>18560</v>
      </c>
      <c r="C1282" s="803" t="s">
        <v>14283</v>
      </c>
      <c r="D1282" s="803" t="s">
        <v>18826</v>
      </c>
      <c r="E1282" s="803" t="s">
        <v>18054</v>
      </c>
      <c r="F1282" s="803">
        <v>2</v>
      </c>
      <c r="G1282" s="803" t="s">
        <v>122</v>
      </c>
      <c r="H1282" s="803" t="s">
        <v>1103</v>
      </c>
      <c r="I1282" s="804">
        <v>5500</v>
      </c>
      <c r="J1282" s="803">
        <v>1</v>
      </c>
      <c r="K1282" s="804">
        <f t="shared" si="161"/>
        <v>5500</v>
      </c>
      <c r="L1282" s="804">
        <f t="shared" si="162"/>
        <v>5500</v>
      </c>
      <c r="M1282" s="804">
        <f t="shared" si="160"/>
        <v>5500</v>
      </c>
      <c r="N1282" s="803" t="s">
        <v>18057</v>
      </c>
      <c r="O1282" s="805">
        <f t="shared" ref="O1282:O1345" si="163">+J1282*K1282</f>
        <v>5500</v>
      </c>
      <c r="P1282" s="805">
        <f t="shared" ref="P1282:P1345" si="164">+J1282*L1282</f>
        <v>5500</v>
      </c>
      <c r="Q1282" s="806">
        <f t="shared" ref="Q1282:Q1345" si="165">+J1282*M1282</f>
        <v>5500</v>
      </c>
    </row>
    <row r="1283" spans="1:17" x14ac:dyDescent="0.2">
      <c r="A1283" s="797" t="s">
        <v>18831</v>
      </c>
      <c r="B1283" s="798" t="s">
        <v>18560</v>
      </c>
      <c r="C1283" s="798" t="s">
        <v>14283</v>
      </c>
      <c r="D1283" s="798" t="s">
        <v>18828</v>
      </c>
      <c r="E1283" s="798" t="s">
        <v>18054</v>
      </c>
      <c r="F1283" s="798">
        <v>2</v>
      </c>
      <c r="G1283" s="798" t="s">
        <v>122</v>
      </c>
      <c r="H1283" s="798" t="s">
        <v>1103</v>
      </c>
      <c r="I1283" s="799">
        <v>1700</v>
      </c>
      <c r="J1283" s="798">
        <v>1</v>
      </c>
      <c r="K1283" s="799">
        <f t="shared" si="161"/>
        <v>1700</v>
      </c>
      <c r="L1283" s="799">
        <f t="shared" si="162"/>
        <v>1700</v>
      </c>
      <c r="M1283" s="799">
        <f t="shared" si="160"/>
        <v>1700</v>
      </c>
      <c r="N1283" s="798" t="s">
        <v>18057</v>
      </c>
      <c r="O1283" s="800">
        <f t="shared" si="163"/>
        <v>1700</v>
      </c>
      <c r="P1283" s="800">
        <f t="shared" si="164"/>
        <v>1700</v>
      </c>
      <c r="Q1283" s="801">
        <f t="shared" si="165"/>
        <v>1700</v>
      </c>
    </row>
    <row r="1284" spans="1:17" x14ac:dyDescent="0.2">
      <c r="A1284" s="802" t="s">
        <v>18832</v>
      </c>
      <c r="B1284" s="803" t="s">
        <v>18560</v>
      </c>
      <c r="C1284" s="803" t="s">
        <v>14283</v>
      </c>
      <c r="D1284" s="803" t="s">
        <v>18824</v>
      </c>
      <c r="E1284" s="803" t="s">
        <v>18033</v>
      </c>
      <c r="F1284" s="803">
        <v>3</v>
      </c>
      <c r="G1284" s="803" t="s">
        <v>1103</v>
      </c>
      <c r="H1284" s="803" t="s">
        <v>1947</v>
      </c>
      <c r="I1284" s="804">
        <v>9000</v>
      </c>
      <c r="J1284" s="803">
        <v>1</v>
      </c>
      <c r="K1284" s="804">
        <f t="shared" si="161"/>
        <v>9000</v>
      </c>
      <c r="L1284" s="804">
        <f t="shared" si="162"/>
        <v>9000</v>
      </c>
      <c r="M1284" s="804">
        <f t="shared" si="160"/>
        <v>9000</v>
      </c>
      <c r="N1284" s="803" t="s">
        <v>18062</v>
      </c>
      <c r="O1284" s="805">
        <f t="shared" si="163"/>
        <v>9000</v>
      </c>
      <c r="P1284" s="805">
        <f t="shared" si="164"/>
        <v>9000</v>
      </c>
      <c r="Q1284" s="806">
        <f t="shared" si="165"/>
        <v>9000</v>
      </c>
    </row>
    <row r="1285" spans="1:17" x14ac:dyDescent="0.2">
      <c r="A1285" s="797" t="s">
        <v>18833</v>
      </c>
      <c r="B1285" s="798" t="s">
        <v>18560</v>
      </c>
      <c r="C1285" s="798" t="s">
        <v>14283</v>
      </c>
      <c r="D1285" s="798" t="s">
        <v>18826</v>
      </c>
      <c r="E1285" s="798" t="s">
        <v>18033</v>
      </c>
      <c r="F1285" s="798">
        <v>3</v>
      </c>
      <c r="G1285" s="798" t="s">
        <v>1103</v>
      </c>
      <c r="H1285" s="798" t="s">
        <v>1947</v>
      </c>
      <c r="I1285" s="799">
        <v>10000</v>
      </c>
      <c r="J1285" s="798">
        <v>1</v>
      </c>
      <c r="K1285" s="799">
        <f t="shared" si="161"/>
        <v>10000</v>
      </c>
      <c r="L1285" s="799">
        <f t="shared" si="162"/>
        <v>10000</v>
      </c>
      <c r="M1285" s="799">
        <f t="shared" si="160"/>
        <v>10000</v>
      </c>
      <c r="N1285" s="798" t="s">
        <v>18062</v>
      </c>
      <c r="O1285" s="800">
        <f t="shared" si="163"/>
        <v>10000</v>
      </c>
      <c r="P1285" s="800">
        <f t="shared" si="164"/>
        <v>10000</v>
      </c>
      <c r="Q1285" s="801">
        <f t="shared" si="165"/>
        <v>10000</v>
      </c>
    </row>
    <row r="1286" spans="1:17" x14ac:dyDescent="0.2">
      <c r="A1286" s="802" t="s">
        <v>18834</v>
      </c>
      <c r="B1286" s="803" t="s">
        <v>18560</v>
      </c>
      <c r="C1286" s="803" t="s">
        <v>14283</v>
      </c>
      <c r="D1286" s="803" t="s">
        <v>18828</v>
      </c>
      <c r="E1286" s="803" t="s">
        <v>18033</v>
      </c>
      <c r="F1286" s="803">
        <v>3</v>
      </c>
      <c r="G1286" s="803" t="s">
        <v>1103</v>
      </c>
      <c r="H1286" s="803" t="s">
        <v>1947</v>
      </c>
      <c r="I1286" s="804">
        <v>3000</v>
      </c>
      <c r="J1286" s="803">
        <v>1</v>
      </c>
      <c r="K1286" s="804">
        <f t="shared" si="161"/>
        <v>3000</v>
      </c>
      <c r="L1286" s="804">
        <f t="shared" si="162"/>
        <v>3000</v>
      </c>
      <c r="M1286" s="804">
        <f t="shared" si="160"/>
        <v>3000</v>
      </c>
      <c r="N1286" s="803" t="s">
        <v>18062</v>
      </c>
      <c r="O1286" s="805">
        <f t="shared" si="163"/>
        <v>3000</v>
      </c>
      <c r="P1286" s="805">
        <f t="shared" si="164"/>
        <v>3000</v>
      </c>
      <c r="Q1286" s="806">
        <f t="shared" si="165"/>
        <v>3000</v>
      </c>
    </row>
    <row r="1287" spans="1:17" x14ac:dyDescent="0.2">
      <c r="A1287" s="797" t="s">
        <v>18835</v>
      </c>
      <c r="B1287" s="798" t="s">
        <v>18560</v>
      </c>
      <c r="C1287" s="798" t="s">
        <v>14283</v>
      </c>
      <c r="D1287" s="798" t="s">
        <v>18824</v>
      </c>
      <c r="E1287" s="798" t="s">
        <v>18061</v>
      </c>
      <c r="F1287" s="798">
        <v>4</v>
      </c>
      <c r="G1287" s="798" t="s">
        <v>122</v>
      </c>
      <c r="H1287" s="798" t="s">
        <v>1103</v>
      </c>
      <c r="I1287" s="799">
        <v>15000</v>
      </c>
      <c r="J1287" s="798">
        <v>1</v>
      </c>
      <c r="K1287" s="799">
        <f t="shared" si="161"/>
        <v>15000</v>
      </c>
      <c r="L1287" s="799">
        <f t="shared" si="162"/>
        <v>15000</v>
      </c>
      <c r="M1287" s="799">
        <f t="shared" si="160"/>
        <v>15000</v>
      </c>
      <c r="N1287" s="798" t="s">
        <v>18188</v>
      </c>
      <c r="O1287" s="800">
        <f t="shared" si="163"/>
        <v>15000</v>
      </c>
      <c r="P1287" s="800">
        <f t="shared" si="164"/>
        <v>15000</v>
      </c>
      <c r="Q1287" s="801">
        <f t="shared" si="165"/>
        <v>15000</v>
      </c>
    </row>
    <row r="1288" spans="1:17" x14ac:dyDescent="0.2">
      <c r="A1288" s="802" t="s">
        <v>18836</v>
      </c>
      <c r="B1288" s="803" t="s">
        <v>18560</v>
      </c>
      <c r="C1288" s="803" t="s">
        <v>14283</v>
      </c>
      <c r="D1288" s="803" t="s">
        <v>18826</v>
      </c>
      <c r="E1288" s="803" t="s">
        <v>18061</v>
      </c>
      <c r="F1288" s="803">
        <v>4</v>
      </c>
      <c r="G1288" s="803" t="s">
        <v>122</v>
      </c>
      <c r="H1288" s="803" t="s">
        <v>1103</v>
      </c>
      <c r="I1288" s="804">
        <v>17000</v>
      </c>
      <c r="J1288" s="803">
        <v>1</v>
      </c>
      <c r="K1288" s="804">
        <f t="shared" si="161"/>
        <v>17000</v>
      </c>
      <c r="L1288" s="804">
        <f t="shared" si="162"/>
        <v>17000</v>
      </c>
      <c r="M1288" s="804">
        <f t="shared" si="160"/>
        <v>17000</v>
      </c>
      <c r="N1288" s="803" t="s">
        <v>18188</v>
      </c>
      <c r="O1288" s="805">
        <f t="shared" si="163"/>
        <v>17000</v>
      </c>
      <c r="P1288" s="805">
        <f t="shared" si="164"/>
        <v>17000</v>
      </c>
      <c r="Q1288" s="806">
        <f t="shared" si="165"/>
        <v>17000</v>
      </c>
    </row>
    <row r="1289" spans="1:17" x14ac:dyDescent="0.2">
      <c r="A1289" s="797" t="s">
        <v>18837</v>
      </c>
      <c r="B1289" s="798" t="s">
        <v>18560</v>
      </c>
      <c r="C1289" s="798" t="s">
        <v>14283</v>
      </c>
      <c r="D1289" s="798" t="s">
        <v>18828</v>
      </c>
      <c r="E1289" s="798" t="s">
        <v>18061</v>
      </c>
      <c r="F1289" s="798">
        <v>4</v>
      </c>
      <c r="G1289" s="798" t="s">
        <v>122</v>
      </c>
      <c r="H1289" s="798" t="s">
        <v>1103</v>
      </c>
      <c r="I1289" s="799">
        <v>5200</v>
      </c>
      <c r="J1289" s="798">
        <v>1</v>
      </c>
      <c r="K1289" s="799">
        <v>20800</v>
      </c>
      <c r="L1289" s="799">
        <v>20800</v>
      </c>
      <c r="M1289" s="799">
        <f t="shared" si="160"/>
        <v>5200</v>
      </c>
      <c r="N1289" s="798" t="s">
        <v>18188</v>
      </c>
      <c r="O1289" s="800">
        <f t="shared" si="163"/>
        <v>20800</v>
      </c>
      <c r="P1289" s="800">
        <f t="shared" si="164"/>
        <v>20800</v>
      </c>
      <c r="Q1289" s="801">
        <f t="shared" si="165"/>
        <v>5200</v>
      </c>
    </row>
    <row r="1290" spans="1:17" x14ac:dyDescent="0.2">
      <c r="A1290" s="802" t="s">
        <v>18838</v>
      </c>
      <c r="B1290" s="803" t="s">
        <v>18560</v>
      </c>
      <c r="C1290" s="803" t="s">
        <v>14283</v>
      </c>
      <c r="D1290" s="803" t="s">
        <v>18828</v>
      </c>
      <c r="E1290" s="803" t="s">
        <v>18039</v>
      </c>
      <c r="F1290" s="803">
        <v>5</v>
      </c>
      <c r="G1290" s="803" t="s">
        <v>10772</v>
      </c>
      <c r="H1290" s="803" t="s">
        <v>1947</v>
      </c>
      <c r="I1290" s="804">
        <v>25000</v>
      </c>
      <c r="J1290" s="803">
        <v>1</v>
      </c>
      <c r="K1290" s="804">
        <v>50000</v>
      </c>
      <c r="L1290" s="804">
        <v>50000</v>
      </c>
      <c r="M1290" s="804">
        <f t="shared" si="160"/>
        <v>25000</v>
      </c>
      <c r="N1290" s="803" t="s">
        <v>18192</v>
      </c>
      <c r="O1290" s="805">
        <f t="shared" si="163"/>
        <v>50000</v>
      </c>
      <c r="P1290" s="805">
        <f t="shared" si="164"/>
        <v>50000</v>
      </c>
      <c r="Q1290" s="806">
        <f t="shared" si="165"/>
        <v>25000</v>
      </c>
    </row>
    <row r="1291" spans="1:17" x14ac:dyDescent="0.2">
      <c r="A1291" s="797" t="s">
        <v>18839</v>
      </c>
      <c r="B1291" s="798" t="s">
        <v>18046</v>
      </c>
      <c r="C1291" s="798" t="s">
        <v>14286</v>
      </c>
      <c r="D1291" s="798" t="s">
        <v>18840</v>
      </c>
      <c r="E1291" s="798" t="s">
        <v>18019</v>
      </c>
      <c r="F1291" s="798">
        <v>1</v>
      </c>
      <c r="G1291" s="798" t="s">
        <v>1947</v>
      </c>
      <c r="H1291" s="798" t="s">
        <v>1947</v>
      </c>
      <c r="I1291" s="799">
        <v>100</v>
      </c>
      <c r="J1291" s="798">
        <v>1</v>
      </c>
      <c r="K1291" s="799">
        <f t="shared" ref="K1291:K1309" si="166">+I1291</f>
        <v>100</v>
      </c>
      <c r="L1291" s="799">
        <f t="shared" ref="L1291:L1309" si="167">+I1291</f>
        <v>100</v>
      </c>
      <c r="M1291" s="799">
        <f t="shared" si="160"/>
        <v>100</v>
      </c>
      <c r="N1291" s="798" t="s">
        <v>18048</v>
      </c>
      <c r="O1291" s="800">
        <f t="shared" si="163"/>
        <v>100</v>
      </c>
      <c r="P1291" s="800">
        <f t="shared" si="164"/>
        <v>100</v>
      </c>
      <c r="Q1291" s="801">
        <f t="shared" si="165"/>
        <v>100</v>
      </c>
    </row>
    <row r="1292" spans="1:17" x14ac:dyDescent="0.2">
      <c r="A1292" s="802" t="s">
        <v>18841</v>
      </c>
      <c r="B1292" s="803" t="s">
        <v>18046</v>
      </c>
      <c r="C1292" s="803" t="s">
        <v>14286</v>
      </c>
      <c r="D1292" s="803" t="s">
        <v>18842</v>
      </c>
      <c r="E1292" s="803" t="s">
        <v>18031</v>
      </c>
      <c r="F1292" s="803">
        <v>1</v>
      </c>
      <c r="G1292" s="803" t="s">
        <v>1947</v>
      </c>
      <c r="H1292" s="803" t="s">
        <v>122</v>
      </c>
      <c r="I1292" s="804">
        <v>3000</v>
      </c>
      <c r="J1292" s="803">
        <v>1</v>
      </c>
      <c r="K1292" s="804">
        <f t="shared" si="166"/>
        <v>3000</v>
      </c>
      <c r="L1292" s="804">
        <f t="shared" si="167"/>
        <v>3000</v>
      </c>
      <c r="M1292" s="804">
        <f t="shared" si="160"/>
        <v>3000</v>
      </c>
      <c r="N1292" s="803" t="s">
        <v>18048</v>
      </c>
      <c r="O1292" s="805">
        <f t="shared" si="163"/>
        <v>3000</v>
      </c>
      <c r="P1292" s="805">
        <f t="shared" si="164"/>
        <v>3000</v>
      </c>
      <c r="Q1292" s="806">
        <f t="shared" si="165"/>
        <v>3000</v>
      </c>
    </row>
    <row r="1293" spans="1:17" x14ac:dyDescent="0.2">
      <c r="A1293" s="797" t="s">
        <v>18843</v>
      </c>
      <c r="B1293" s="798" t="s">
        <v>18046</v>
      </c>
      <c r="C1293" s="798" t="s">
        <v>14286</v>
      </c>
      <c r="D1293" s="798" t="s">
        <v>18842</v>
      </c>
      <c r="E1293" s="798" t="s">
        <v>18054</v>
      </c>
      <c r="F1293" s="798">
        <v>2</v>
      </c>
      <c r="G1293" s="798" t="s">
        <v>1947</v>
      </c>
      <c r="H1293" s="798" t="s">
        <v>122</v>
      </c>
      <c r="I1293" s="799">
        <v>5000</v>
      </c>
      <c r="J1293" s="798">
        <v>1</v>
      </c>
      <c r="K1293" s="799">
        <f t="shared" si="166"/>
        <v>5000</v>
      </c>
      <c r="L1293" s="799">
        <f t="shared" si="167"/>
        <v>5000</v>
      </c>
      <c r="M1293" s="799">
        <f t="shared" si="160"/>
        <v>5000</v>
      </c>
      <c r="N1293" s="798" t="s">
        <v>18055</v>
      </c>
      <c r="O1293" s="800">
        <f t="shared" si="163"/>
        <v>5000</v>
      </c>
      <c r="P1293" s="800">
        <f t="shared" si="164"/>
        <v>5000</v>
      </c>
      <c r="Q1293" s="801">
        <f t="shared" si="165"/>
        <v>5000</v>
      </c>
    </row>
    <row r="1294" spans="1:17" x14ac:dyDescent="0.2">
      <c r="A1294" s="802" t="s">
        <v>18844</v>
      </c>
      <c r="B1294" s="803" t="s">
        <v>18046</v>
      </c>
      <c r="C1294" s="803" t="s">
        <v>14286</v>
      </c>
      <c r="D1294" s="803" t="s">
        <v>18842</v>
      </c>
      <c r="E1294" s="803" t="s">
        <v>18033</v>
      </c>
      <c r="F1294" s="803">
        <v>3</v>
      </c>
      <c r="G1294" s="803" t="s">
        <v>1947</v>
      </c>
      <c r="H1294" s="803" t="s">
        <v>122</v>
      </c>
      <c r="I1294" s="804">
        <v>7000</v>
      </c>
      <c r="J1294" s="803">
        <v>1</v>
      </c>
      <c r="K1294" s="804">
        <f t="shared" si="166"/>
        <v>7000</v>
      </c>
      <c r="L1294" s="804">
        <f t="shared" si="167"/>
        <v>7000</v>
      </c>
      <c r="M1294" s="804">
        <f t="shared" si="160"/>
        <v>7000</v>
      </c>
      <c r="N1294" s="803" t="s">
        <v>18057</v>
      </c>
      <c r="O1294" s="805">
        <f t="shared" si="163"/>
        <v>7000</v>
      </c>
      <c r="P1294" s="805">
        <f t="shared" si="164"/>
        <v>7000</v>
      </c>
      <c r="Q1294" s="806">
        <f t="shared" si="165"/>
        <v>7000</v>
      </c>
    </row>
    <row r="1295" spans="1:17" x14ac:dyDescent="0.2">
      <c r="A1295" s="797" t="s">
        <v>18845</v>
      </c>
      <c r="B1295" s="798" t="s">
        <v>18046</v>
      </c>
      <c r="C1295" s="798" t="s">
        <v>14286</v>
      </c>
      <c r="D1295" s="798" t="s">
        <v>18846</v>
      </c>
      <c r="E1295" s="798" t="s">
        <v>18033</v>
      </c>
      <c r="F1295" s="798">
        <v>1</v>
      </c>
      <c r="G1295" s="798" t="s">
        <v>1947</v>
      </c>
      <c r="H1295" s="798" t="s">
        <v>122</v>
      </c>
      <c r="I1295" s="799">
        <v>7000</v>
      </c>
      <c r="J1295" s="798">
        <v>1</v>
      </c>
      <c r="K1295" s="799">
        <f t="shared" si="166"/>
        <v>7000</v>
      </c>
      <c r="L1295" s="799">
        <f t="shared" si="167"/>
        <v>7000</v>
      </c>
      <c r="M1295" s="799">
        <f t="shared" si="160"/>
        <v>7000</v>
      </c>
      <c r="N1295" s="798" t="s">
        <v>18057</v>
      </c>
      <c r="O1295" s="800">
        <f t="shared" si="163"/>
        <v>7000</v>
      </c>
      <c r="P1295" s="800">
        <f t="shared" si="164"/>
        <v>7000</v>
      </c>
      <c r="Q1295" s="801">
        <f t="shared" si="165"/>
        <v>7000</v>
      </c>
    </row>
    <row r="1296" spans="1:17" x14ac:dyDescent="0.2">
      <c r="A1296" s="802" t="s">
        <v>18847</v>
      </c>
      <c r="B1296" s="803" t="s">
        <v>18046</v>
      </c>
      <c r="C1296" s="803" t="s">
        <v>14286</v>
      </c>
      <c r="D1296" s="803" t="s">
        <v>18846</v>
      </c>
      <c r="E1296" s="803" t="s">
        <v>18061</v>
      </c>
      <c r="F1296" s="803">
        <v>2</v>
      </c>
      <c r="G1296" s="803" t="s">
        <v>1947</v>
      </c>
      <c r="H1296" s="803" t="s">
        <v>122</v>
      </c>
      <c r="I1296" s="804">
        <v>12000</v>
      </c>
      <c r="J1296" s="803">
        <v>1</v>
      </c>
      <c r="K1296" s="804">
        <f t="shared" si="166"/>
        <v>12000</v>
      </c>
      <c r="L1296" s="804">
        <f t="shared" si="167"/>
        <v>12000</v>
      </c>
      <c r="M1296" s="804">
        <f t="shared" si="160"/>
        <v>12000</v>
      </c>
      <c r="N1296" s="803" t="s">
        <v>18062</v>
      </c>
      <c r="O1296" s="805">
        <f t="shared" si="163"/>
        <v>12000</v>
      </c>
      <c r="P1296" s="805">
        <f t="shared" si="164"/>
        <v>12000</v>
      </c>
      <c r="Q1296" s="806">
        <f t="shared" si="165"/>
        <v>12000</v>
      </c>
    </row>
    <row r="1297" spans="1:17" x14ac:dyDescent="0.2">
      <c r="A1297" s="797" t="s">
        <v>18848</v>
      </c>
      <c r="B1297" s="798" t="s">
        <v>18046</v>
      </c>
      <c r="C1297" s="798" t="s">
        <v>14286</v>
      </c>
      <c r="D1297" s="798" t="s">
        <v>18849</v>
      </c>
      <c r="E1297" s="798" t="s">
        <v>18054</v>
      </c>
      <c r="F1297" s="798">
        <v>1</v>
      </c>
      <c r="G1297" s="798" t="s">
        <v>1947</v>
      </c>
      <c r="H1297" s="798" t="s">
        <v>122</v>
      </c>
      <c r="I1297" s="799">
        <v>26000</v>
      </c>
      <c r="J1297" s="798">
        <v>1</v>
      </c>
      <c r="K1297" s="799">
        <f t="shared" si="166"/>
        <v>26000</v>
      </c>
      <c r="L1297" s="799">
        <f t="shared" si="167"/>
        <v>26000</v>
      </c>
      <c r="M1297" s="799">
        <f t="shared" si="160"/>
        <v>26000</v>
      </c>
      <c r="N1297" s="798" t="s">
        <v>18055</v>
      </c>
      <c r="O1297" s="800">
        <f t="shared" si="163"/>
        <v>26000</v>
      </c>
      <c r="P1297" s="800">
        <f t="shared" si="164"/>
        <v>26000</v>
      </c>
      <c r="Q1297" s="801">
        <f t="shared" si="165"/>
        <v>26000</v>
      </c>
    </row>
    <row r="1298" spans="1:17" x14ac:dyDescent="0.2">
      <c r="A1298" s="802" t="s">
        <v>18850</v>
      </c>
      <c r="B1298" s="803" t="s">
        <v>18046</v>
      </c>
      <c r="C1298" s="803" t="s">
        <v>14286</v>
      </c>
      <c r="D1298" s="803" t="s">
        <v>18849</v>
      </c>
      <c r="E1298" s="803" t="s">
        <v>18033</v>
      </c>
      <c r="F1298" s="803">
        <v>2</v>
      </c>
      <c r="G1298" s="803" t="s">
        <v>1947</v>
      </c>
      <c r="H1298" s="803" t="s">
        <v>122</v>
      </c>
      <c r="I1298" s="804">
        <v>30000</v>
      </c>
      <c r="J1298" s="803">
        <v>1</v>
      </c>
      <c r="K1298" s="804">
        <f t="shared" si="166"/>
        <v>30000</v>
      </c>
      <c r="L1298" s="804">
        <f t="shared" si="167"/>
        <v>30000</v>
      </c>
      <c r="M1298" s="804">
        <f t="shared" si="160"/>
        <v>30000</v>
      </c>
      <c r="N1298" s="803" t="s">
        <v>18055</v>
      </c>
      <c r="O1298" s="805">
        <f t="shared" si="163"/>
        <v>30000</v>
      </c>
      <c r="P1298" s="805">
        <f t="shared" si="164"/>
        <v>30000</v>
      </c>
      <c r="Q1298" s="806">
        <f t="shared" si="165"/>
        <v>30000</v>
      </c>
    </row>
    <row r="1299" spans="1:17" x14ac:dyDescent="0.2">
      <c r="A1299" s="797" t="s">
        <v>18851</v>
      </c>
      <c r="B1299" s="798" t="s">
        <v>18588</v>
      </c>
      <c r="C1299" s="798" t="s">
        <v>18852</v>
      </c>
      <c r="D1299" s="798" t="s">
        <v>18853</v>
      </c>
      <c r="E1299" s="798" t="s">
        <v>18031</v>
      </c>
      <c r="F1299" s="798">
        <v>1</v>
      </c>
      <c r="G1299" s="798" t="s">
        <v>3779</v>
      </c>
      <c r="H1299" s="798" t="s">
        <v>2837</v>
      </c>
      <c r="I1299" s="799">
        <v>1500</v>
      </c>
      <c r="J1299" s="798">
        <v>1</v>
      </c>
      <c r="K1299" s="799">
        <f t="shared" si="166"/>
        <v>1500</v>
      </c>
      <c r="L1299" s="799">
        <f t="shared" si="167"/>
        <v>1500</v>
      </c>
      <c r="M1299" s="799">
        <f t="shared" si="160"/>
        <v>1500</v>
      </c>
      <c r="N1299" s="798" t="s">
        <v>18048</v>
      </c>
      <c r="O1299" s="800">
        <f t="shared" si="163"/>
        <v>1500</v>
      </c>
      <c r="P1299" s="800">
        <f t="shared" si="164"/>
        <v>1500</v>
      </c>
      <c r="Q1299" s="801">
        <f t="shared" si="165"/>
        <v>1500</v>
      </c>
    </row>
    <row r="1300" spans="1:17" x14ac:dyDescent="0.2">
      <c r="A1300" s="802" t="s">
        <v>18854</v>
      </c>
      <c r="B1300" s="803" t="s">
        <v>18588</v>
      </c>
      <c r="C1300" s="803" t="s">
        <v>18852</v>
      </c>
      <c r="D1300" s="803" t="s">
        <v>18855</v>
      </c>
      <c r="E1300" s="803" t="s">
        <v>18031</v>
      </c>
      <c r="F1300" s="803">
        <v>1</v>
      </c>
      <c r="G1300" s="803" t="s">
        <v>3779</v>
      </c>
      <c r="H1300" s="803" t="s">
        <v>2837</v>
      </c>
      <c r="I1300" s="804">
        <v>2000</v>
      </c>
      <c r="J1300" s="803">
        <v>1</v>
      </c>
      <c r="K1300" s="804">
        <f t="shared" si="166"/>
        <v>2000</v>
      </c>
      <c r="L1300" s="804">
        <f t="shared" si="167"/>
        <v>2000</v>
      </c>
      <c r="M1300" s="804">
        <f t="shared" si="160"/>
        <v>2000</v>
      </c>
      <c r="N1300" s="803" t="s">
        <v>18048</v>
      </c>
      <c r="O1300" s="805">
        <f t="shared" si="163"/>
        <v>2000</v>
      </c>
      <c r="P1300" s="805">
        <f t="shared" si="164"/>
        <v>2000</v>
      </c>
      <c r="Q1300" s="806">
        <f t="shared" si="165"/>
        <v>2000</v>
      </c>
    </row>
    <row r="1301" spans="1:17" x14ac:dyDescent="0.2">
      <c r="A1301" s="797" t="s">
        <v>18856</v>
      </c>
      <c r="B1301" s="798" t="s">
        <v>18588</v>
      </c>
      <c r="C1301" s="798" t="s">
        <v>18852</v>
      </c>
      <c r="D1301" s="798" t="s">
        <v>18857</v>
      </c>
      <c r="E1301" s="798" t="s">
        <v>18031</v>
      </c>
      <c r="F1301" s="798">
        <v>1</v>
      </c>
      <c r="G1301" s="798" t="s">
        <v>122</v>
      </c>
      <c r="H1301" s="798" t="s">
        <v>1103</v>
      </c>
      <c r="I1301" s="799">
        <v>3000</v>
      </c>
      <c r="J1301" s="798">
        <v>1</v>
      </c>
      <c r="K1301" s="799">
        <f t="shared" si="166"/>
        <v>3000</v>
      </c>
      <c r="L1301" s="799">
        <f t="shared" si="167"/>
        <v>3000</v>
      </c>
      <c r="M1301" s="799">
        <f t="shared" si="160"/>
        <v>3000</v>
      </c>
      <c r="N1301" s="798" t="s">
        <v>18048</v>
      </c>
      <c r="O1301" s="800">
        <f t="shared" si="163"/>
        <v>3000</v>
      </c>
      <c r="P1301" s="800">
        <f t="shared" si="164"/>
        <v>3000</v>
      </c>
      <c r="Q1301" s="801">
        <f t="shared" si="165"/>
        <v>3000</v>
      </c>
    </row>
    <row r="1302" spans="1:17" x14ac:dyDescent="0.2">
      <c r="A1302" s="802" t="s">
        <v>18858</v>
      </c>
      <c r="B1302" s="803" t="s">
        <v>18588</v>
      </c>
      <c r="C1302" s="803" t="s">
        <v>18852</v>
      </c>
      <c r="D1302" s="803" t="s">
        <v>18853</v>
      </c>
      <c r="E1302" s="803" t="s">
        <v>18054</v>
      </c>
      <c r="F1302" s="803">
        <v>2</v>
      </c>
      <c r="G1302" s="803" t="s">
        <v>122</v>
      </c>
      <c r="H1302" s="803" t="s">
        <v>1103</v>
      </c>
      <c r="I1302" s="804">
        <v>5000</v>
      </c>
      <c r="J1302" s="803">
        <v>1</v>
      </c>
      <c r="K1302" s="804">
        <f t="shared" si="166"/>
        <v>5000</v>
      </c>
      <c r="L1302" s="804">
        <f t="shared" si="167"/>
        <v>5000</v>
      </c>
      <c r="M1302" s="804">
        <f t="shared" si="160"/>
        <v>5000</v>
      </c>
      <c r="N1302" s="803" t="s">
        <v>18057</v>
      </c>
      <c r="O1302" s="805">
        <f t="shared" si="163"/>
        <v>5000</v>
      </c>
      <c r="P1302" s="805">
        <f t="shared" si="164"/>
        <v>5000</v>
      </c>
      <c r="Q1302" s="806">
        <f t="shared" si="165"/>
        <v>5000</v>
      </c>
    </row>
    <row r="1303" spans="1:17" x14ac:dyDescent="0.2">
      <c r="A1303" s="797" t="s">
        <v>18859</v>
      </c>
      <c r="B1303" s="798" t="s">
        <v>18588</v>
      </c>
      <c r="C1303" s="798" t="s">
        <v>18852</v>
      </c>
      <c r="D1303" s="798" t="s">
        <v>18855</v>
      </c>
      <c r="E1303" s="798" t="s">
        <v>18054</v>
      </c>
      <c r="F1303" s="798">
        <v>2</v>
      </c>
      <c r="G1303" s="798" t="s">
        <v>122</v>
      </c>
      <c r="H1303" s="798" t="s">
        <v>1103</v>
      </c>
      <c r="I1303" s="799">
        <v>5500</v>
      </c>
      <c r="J1303" s="798">
        <v>1</v>
      </c>
      <c r="K1303" s="799">
        <f t="shared" si="166"/>
        <v>5500</v>
      </c>
      <c r="L1303" s="799">
        <f t="shared" si="167"/>
        <v>5500</v>
      </c>
      <c r="M1303" s="799">
        <f t="shared" si="160"/>
        <v>5500</v>
      </c>
      <c r="N1303" s="798" t="s">
        <v>18057</v>
      </c>
      <c r="O1303" s="800">
        <f t="shared" si="163"/>
        <v>5500</v>
      </c>
      <c r="P1303" s="800">
        <f t="shared" si="164"/>
        <v>5500</v>
      </c>
      <c r="Q1303" s="801">
        <f t="shared" si="165"/>
        <v>5500</v>
      </c>
    </row>
    <row r="1304" spans="1:17" x14ac:dyDescent="0.2">
      <c r="A1304" s="802" t="s">
        <v>18860</v>
      </c>
      <c r="B1304" s="803" t="s">
        <v>18588</v>
      </c>
      <c r="C1304" s="803" t="s">
        <v>18852</v>
      </c>
      <c r="D1304" s="803" t="s">
        <v>18857</v>
      </c>
      <c r="E1304" s="803" t="s">
        <v>18054</v>
      </c>
      <c r="F1304" s="803">
        <v>2</v>
      </c>
      <c r="G1304" s="803" t="s">
        <v>10772</v>
      </c>
      <c r="H1304" s="803" t="s">
        <v>2837</v>
      </c>
      <c r="I1304" s="804">
        <v>7000</v>
      </c>
      <c r="J1304" s="803">
        <v>1</v>
      </c>
      <c r="K1304" s="804">
        <f t="shared" si="166"/>
        <v>7000</v>
      </c>
      <c r="L1304" s="804">
        <f t="shared" si="167"/>
        <v>7000</v>
      </c>
      <c r="M1304" s="804">
        <f t="shared" si="160"/>
        <v>7000</v>
      </c>
      <c r="N1304" s="803" t="s">
        <v>18057</v>
      </c>
      <c r="O1304" s="805">
        <f t="shared" si="163"/>
        <v>7000</v>
      </c>
      <c r="P1304" s="805">
        <f t="shared" si="164"/>
        <v>7000</v>
      </c>
      <c r="Q1304" s="806">
        <f t="shared" si="165"/>
        <v>7000</v>
      </c>
    </row>
    <row r="1305" spans="1:17" x14ac:dyDescent="0.2">
      <c r="A1305" s="797" t="s">
        <v>18861</v>
      </c>
      <c r="B1305" s="798" t="s">
        <v>18588</v>
      </c>
      <c r="C1305" s="798" t="s">
        <v>18852</v>
      </c>
      <c r="D1305" s="798" t="s">
        <v>18853</v>
      </c>
      <c r="E1305" s="798" t="s">
        <v>18033</v>
      </c>
      <c r="F1305" s="798">
        <v>3</v>
      </c>
      <c r="G1305" s="798" t="s">
        <v>3779</v>
      </c>
      <c r="H1305" s="798" t="s">
        <v>2837</v>
      </c>
      <c r="I1305" s="799">
        <v>9000</v>
      </c>
      <c r="J1305" s="798">
        <v>1</v>
      </c>
      <c r="K1305" s="799">
        <f t="shared" si="166"/>
        <v>9000</v>
      </c>
      <c r="L1305" s="799">
        <f t="shared" si="167"/>
        <v>9000</v>
      </c>
      <c r="M1305" s="799">
        <f t="shared" si="160"/>
        <v>9000</v>
      </c>
      <c r="N1305" s="798" t="s">
        <v>18062</v>
      </c>
      <c r="O1305" s="800">
        <f t="shared" si="163"/>
        <v>9000</v>
      </c>
      <c r="P1305" s="800">
        <f t="shared" si="164"/>
        <v>9000</v>
      </c>
      <c r="Q1305" s="801">
        <f t="shared" si="165"/>
        <v>9000</v>
      </c>
    </row>
    <row r="1306" spans="1:17" x14ac:dyDescent="0.2">
      <c r="A1306" s="802" t="s">
        <v>18862</v>
      </c>
      <c r="B1306" s="803" t="s">
        <v>18588</v>
      </c>
      <c r="C1306" s="803" t="s">
        <v>18852</v>
      </c>
      <c r="D1306" s="803" t="s">
        <v>18855</v>
      </c>
      <c r="E1306" s="803" t="s">
        <v>18033</v>
      </c>
      <c r="F1306" s="803">
        <v>3</v>
      </c>
      <c r="G1306" s="803" t="s">
        <v>3779</v>
      </c>
      <c r="H1306" s="803" t="s">
        <v>2837</v>
      </c>
      <c r="I1306" s="804">
        <v>10000</v>
      </c>
      <c r="J1306" s="803">
        <v>1</v>
      </c>
      <c r="K1306" s="804">
        <f t="shared" si="166"/>
        <v>10000</v>
      </c>
      <c r="L1306" s="804">
        <f t="shared" si="167"/>
        <v>10000</v>
      </c>
      <c r="M1306" s="804">
        <f t="shared" si="160"/>
        <v>10000</v>
      </c>
      <c r="N1306" s="803" t="s">
        <v>18062</v>
      </c>
      <c r="O1306" s="805">
        <f t="shared" si="163"/>
        <v>10000</v>
      </c>
      <c r="P1306" s="805">
        <f t="shared" si="164"/>
        <v>10000</v>
      </c>
      <c r="Q1306" s="806">
        <f t="shared" si="165"/>
        <v>10000</v>
      </c>
    </row>
    <row r="1307" spans="1:17" x14ac:dyDescent="0.2">
      <c r="A1307" s="797" t="s">
        <v>18863</v>
      </c>
      <c r="B1307" s="798" t="s">
        <v>18588</v>
      </c>
      <c r="C1307" s="798" t="s">
        <v>18852</v>
      </c>
      <c r="D1307" s="798" t="s">
        <v>18857</v>
      </c>
      <c r="E1307" s="798" t="s">
        <v>18033</v>
      </c>
      <c r="F1307" s="798">
        <v>3</v>
      </c>
      <c r="G1307" s="798" t="s">
        <v>10772</v>
      </c>
      <c r="H1307" s="798" t="s">
        <v>1103</v>
      </c>
      <c r="I1307" s="799">
        <v>12000</v>
      </c>
      <c r="J1307" s="798">
        <v>1</v>
      </c>
      <c r="K1307" s="799">
        <f t="shared" si="166"/>
        <v>12000</v>
      </c>
      <c r="L1307" s="799">
        <f t="shared" si="167"/>
        <v>12000</v>
      </c>
      <c r="M1307" s="799">
        <f t="shared" si="160"/>
        <v>12000</v>
      </c>
      <c r="N1307" s="798" t="s">
        <v>18062</v>
      </c>
      <c r="O1307" s="800">
        <f t="shared" si="163"/>
        <v>12000</v>
      </c>
      <c r="P1307" s="800">
        <f t="shared" si="164"/>
        <v>12000</v>
      </c>
      <c r="Q1307" s="801">
        <f t="shared" si="165"/>
        <v>12000</v>
      </c>
    </row>
    <row r="1308" spans="1:17" x14ac:dyDescent="0.2">
      <c r="A1308" s="802" t="s">
        <v>18864</v>
      </c>
      <c r="B1308" s="803" t="s">
        <v>18588</v>
      </c>
      <c r="C1308" s="803" t="s">
        <v>18852</v>
      </c>
      <c r="D1308" s="803" t="s">
        <v>18853</v>
      </c>
      <c r="E1308" s="803" t="s">
        <v>18061</v>
      </c>
      <c r="F1308" s="803">
        <v>4</v>
      </c>
      <c r="G1308" s="803" t="s">
        <v>122</v>
      </c>
      <c r="H1308" s="803" t="s">
        <v>1103</v>
      </c>
      <c r="I1308" s="804">
        <v>15000</v>
      </c>
      <c r="J1308" s="803">
        <v>1</v>
      </c>
      <c r="K1308" s="804">
        <f t="shared" si="166"/>
        <v>15000</v>
      </c>
      <c r="L1308" s="804">
        <f t="shared" si="167"/>
        <v>15000</v>
      </c>
      <c r="M1308" s="804">
        <f t="shared" si="160"/>
        <v>15000</v>
      </c>
      <c r="N1308" s="803" t="s">
        <v>18188</v>
      </c>
      <c r="O1308" s="805">
        <f t="shared" si="163"/>
        <v>15000</v>
      </c>
      <c r="P1308" s="805">
        <f t="shared" si="164"/>
        <v>15000</v>
      </c>
      <c r="Q1308" s="806">
        <f t="shared" si="165"/>
        <v>15000</v>
      </c>
    </row>
    <row r="1309" spans="1:17" x14ac:dyDescent="0.2">
      <c r="A1309" s="797" t="s">
        <v>18865</v>
      </c>
      <c r="B1309" s="798" t="s">
        <v>18588</v>
      </c>
      <c r="C1309" s="798" t="s">
        <v>18852</v>
      </c>
      <c r="D1309" s="798" t="s">
        <v>18855</v>
      </c>
      <c r="E1309" s="798" t="s">
        <v>18061</v>
      </c>
      <c r="F1309" s="798">
        <v>4</v>
      </c>
      <c r="G1309" s="798" t="s">
        <v>122</v>
      </c>
      <c r="H1309" s="798" t="s">
        <v>1103</v>
      </c>
      <c r="I1309" s="799">
        <v>17000</v>
      </c>
      <c r="J1309" s="798">
        <v>1</v>
      </c>
      <c r="K1309" s="799">
        <f t="shared" si="166"/>
        <v>17000</v>
      </c>
      <c r="L1309" s="799">
        <f t="shared" si="167"/>
        <v>17000</v>
      </c>
      <c r="M1309" s="799">
        <f t="shared" si="160"/>
        <v>17000</v>
      </c>
      <c r="N1309" s="798" t="s">
        <v>18188</v>
      </c>
      <c r="O1309" s="800">
        <f t="shared" si="163"/>
        <v>17000</v>
      </c>
      <c r="P1309" s="800">
        <f t="shared" si="164"/>
        <v>17000</v>
      </c>
      <c r="Q1309" s="801">
        <f t="shared" si="165"/>
        <v>17000</v>
      </c>
    </row>
    <row r="1310" spans="1:17" x14ac:dyDescent="0.2">
      <c r="A1310" s="802" t="s">
        <v>18866</v>
      </c>
      <c r="B1310" s="803" t="s">
        <v>18588</v>
      </c>
      <c r="C1310" s="803" t="s">
        <v>18852</v>
      </c>
      <c r="D1310" s="803" t="s">
        <v>18857</v>
      </c>
      <c r="E1310" s="803" t="s">
        <v>18061</v>
      </c>
      <c r="F1310" s="803">
        <v>4</v>
      </c>
      <c r="G1310" s="803" t="s">
        <v>10772</v>
      </c>
      <c r="H1310" s="803" t="s">
        <v>2837</v>
      </c>
      <c r="I1310" s="804">
        <v>22000</v>
      </c>
      <c r="J1310" s="803">
        <v>1</v>
      </c>
      <c r="K1310" s="804">
        <v>50000</v>
      </c>
      <c r="L1310" s="804">
        <v>50000</v>
      </c>
      <c r="M1310" s="804">
        <f t="shared" si="160"/>
        <v>22000</v>
      </c>
      <c r="N1310" s="803" t="s">
        <v>18188</v>
      </c>
      <c r="O1310" s="805">
        <f t="shared" si="163"/>
        <v>50000</v>
      </c>
      <c r="P1310" s="805">
        <f t="shared" si="164"/>
        <v>50000</v>
      </c>
      <c r="Q1310" s="806">
        <f t="shared" si="165"/>
        <v>22000</v>
      </c>
    </row>
    <row r="1311" spans="1:17" x14ac:dyDescent="0.2">
      <c r="A1311" s="797" t="s">
        <v>18867</v>
      </c>
      <c r="B1311" s="798" t="s">
        <v>18588</v>
      </c>
      <c r="C1311" s="798" t="s">
        <v>18852</v>
      </c>
      <c r="D1311" s="798" t="s">
        <v>18857</v>
      </c>
      <c r="E1311" s="798" t="s">
        <v>18039</v>
      </c>
      <c r="F1311" s="798">
        <v>5</v>
      </c>
      <c r="G1311" s="798" t="s">
        <v>10772</v>
      </c>
      <c r="H1311" s="798" t="s">
        <v>1103</v>
      </c>
      <c r="I1311" s="799">
        <v>25000</v>
      </c>
      <c r="J1311" s="798">
        <v>1</v>
      </c>
      <c r="K1311" s="799">
        <v>70000</v>
      </c>
      <c r="L1311" s="799">
        <v>70000</v>
      </c>
      <c r="M1311" s="799">
        <f t="shared" si="160"/>
        <v>25000</v>
      </c>
      <c r="N1311" s="798" t="s">
        <v>18192</v>
      </c>
      <c r="O1311" s="800">
        <f t="shared" si="163"/>
        <v>70000</v>
      </c>
      <c r="P1311" s="800">
        <f t="shared" si="164"/>
        <v>70000</v>
      </c>
      <c r="Q1311" s="801">
        <f t="shared" si="165"/>
        <v>25000</v>
      </c>
    </row>
    <row r="1312" spans="1:17" x14ac:dyDescent="0.2">
      <c r="A1312" s="802" t="s">
        <v>18868</v>
      </c>
      <c r="B1312" s="803" t="s">
        <v>18588</v>
      </c>
      <c r="C1312" s="803" t="s">
        <v>18852</v>
      </c>
      <c r="D1312" s="803" t="s">
        <v>18857</v>
      </c>
      <c r="E1312" s="803" t="s">
        <v>18721</v>
      </c>
      <c r="F1312" s="803">
        <v>6</v>
      </c>
      <c r="G1312" s="803" t="s">
        <v>122</v>
      </c>
      <c r="H1312" s="803" t="s">
        <v>2837</v>
      </c>
      <c r="I1312" s="804">
        <v>32000</v>
      </c>
      <c r="J1312" s="803">
        <v>1</v>
      </c>
      <c r="K1312" s="804">
        <v>70000</v>
      </c>
      <c r="L1312" s="804">
        <v>70000</v>
      </c>
      <c r="M1312" s="804">
        <f t="shared" si="160"/>
        <v>32000</v>
      </c>
      <c r="N1312" s="803" t="s">
        <v>18192</v>
      </c>
      <c r="O1312" s="805">
        <f t="shared" si="163"/>
        <v>70000</v>
      </c>
      <c r="P1312" s="805">
        <f t="shared" si="164"/>
        <v>70000</v>
      </c>
      <c r="Q1312" s="806">
        <f t="shared" si="165"/>
        <v>32000</v>
      </c>
    </row>
    <row r="1313" spans="1:17" x14ac:dyDescent="0.2">
      <c r="A1313" s="797" t="s">
        <v>18869</v>
      </c>
      <c r="B1313" s="798" t="s">
        <v>18017</v>
      </c>
      <c r="C1313" s="798" t="s">
        <v>14293</v>
      </c>
      <c r="D1313" s="798" t="s">
        <v>18870</v>
      </c>
      <c r="E1313" s="798" t="s">
        <v>18019</v>
      </c>
      <c r="F1313" s="798">
        <v>1</v>
      </c>
      <c r="G1313" s="798" t="s">
        <v>1103</v>
      </c>
      <c r="H1313" s="798" t="s">
        <v>1103</v>
      </c>
      <c r="I1313" s="799">
        <v>1500</v>
      </c>
      <c r="J1313" s="798">
        <v>1</v>
      </c>
      <c r="K1313" s="799">
        <f t="shared" ref="K1313:K1320" si="168">+I1313</f>
        <v>1500</v>
      </c>
      <c r="L1313" s="799">
        <f t="shared" ref="L1313:L1320" si="169">+I1313</f>
        <v>1500</v>
      </c>
      <c r="M1313" s="799">
        <f t="shared" si="160"/>
        <v>1500</v>
      </c>
      <c r="N1313" s="798" t="s">
        <v>18020</v>
      </c>
      <c r="O1313" s="800">
        <f t="shared" si="163"/>
        <v>1500</v>
      </c>
      <c r="P1313" s="800">
        <f t="shared" si="164"/>
        <v>1500</v>
      </c>
      <c r="Q1313" s="801">
        <f t="shared" si="165"/>
        <v>1500</v>
      </c>
    </row>
    <row r="1314" spans="1:17" x14ac:dyDescent="0.2">
      <c r="A1314" s="802" t="s">
        <v>18871</v>
      </c>
      <c r="B1314" s="803" t="s">
        <v>18017</v>
      </c>
      <c r="C1314" s="803" t="s">
        <v>14293</v>
      </c>
      <c r="D1314" s="803" t="s">
        <v>18872</v>
      </c>
      <c r="E1314" s="803" t="s">
        <v>18019</v>
      </c>
      <c r="F1314" s="803">
        <v>1</v>
      </c>
      <c r="G1314" s="803" t="s">
        <v>1103</v>
      </c>
      <c r="H1314" s="803" t="s">
        <v>1103</v>
      </c>
      <c r="I1314" s="804">
        <v>100</v>
      </c>
      <c r="J1314" s="803">
        <v>1</v>
      </c>
      <c r="K1314" s="804">
        <f t="shared" si="168"/>
        <v>100</v>
      </c>
      <c r="L1314" s="804">
        <f t="shared" si="169"/>
        <v>100</v>
      </c>
      <c r="M1314" s="804">
        <f t="shared" si="160"/>
        <v>100</v>
      </c>
      <c r="N1314" s="803" t="s">
        <v>18020</v>
      </c>
      <c r="O1314" s="805">
        <f t="shared" si="163"/>
        <v>100</v>
      </c>
      <c r="P1314" s="805">
        <f t="shared" si="164"/>
        <v>100</v>
      </c>
      <c r="Q1314" s="806">
        <f t="shared" si="165"/>
        <v>100</v>
      </c>
    </row>
    <row r="1315" spans="1:17" x14ac:dyDescent="0.2">
      <c r="A1315" s="797" t="s">
        <v>18873</v>
      </c>
      <c r="B1315" s="798" t="s">
        <v>18017</v>
      </c>
      <c r="C1315" s="798" t="s">
        <v>14293</v>
      </c>
      <c r="D1315" s="798" t="s">
        <v>18874</v>
      </c>
      <c r="E1315" s="798" t="s">
        <v>18031</v>
      </c>
      <c r="F1315" s="798">
        <v>1</v>
      </c>
      <c r="G1315" s="798" t="s">
        <v>1103</v>
      </c>
      <c r="H1315" s="798" t="s">
        <v>1947</v>
      </c>
      <c r="I1315" s="799">
        <v>2000</v>
      </c>
      <c r="J1315" s="798">
        <v>1</v>
      </c>
      <c r="K1315" s="799">
        <f t="shared" si="168"/>
        <v>2000</v>
      </c>
      <c r="L1315" s="799">
        <f t="shared" si="169"/>
        <v>2000</v>
      </c>
      <c r="M1315" s="799">
        <f t="shared" si="160"/>
        <v>2000</v>
      </c>
      <c r="N1315" s="798" t="s">
        <v>18020</v>
      </c>
      <c r="O1315" s="800">
        <f t="shared" si="163"/>
        <v>2000</v>
      </c>
      <c r="P1315" s="800">
        <f t="shared" si="164"/>
        <v>2000</v>
      </c>
      <c r="Q1315" s="801">
        <f t="shared" si="165"/>
        <v>2000</v>
      </c>
    </row>
    <row r="1316" spans="1:17" x14ac:dyDescent="0.2">
      <c r="A1316" s="802" t="s">
        <v>18875</v>
      </c>
      <c r="B1316" s="803" t="s">
        <v>18017</v>
      </c>
      <c r="C1316" s="803" t="s">
        <v>14293</v>
      </c>
      <c r="D1316" s="803" t="s">
        <v>18874</v>
      </c>
      <c r="E1316" s="803" t="s">
        <v>18033</v>
      </c>
      <c r="F1316" s="803">
        <v>2</v>
      </c>
      <c r="G1316" s="803" t="s">
        <v>1103</v>
      </c>
      <c r="H1316" s="803" t="s">
        <v>1947</v>
      </c>
      <c r="I1316" s="804">
        <v>5200</v>
      </c>
      <c r="J1316" s="803">
        <v>1</v>
      </c>
      <c r="K1316" s="804">
        <f t="shared" si="168"/>
        <v>5200</v>
      </c>
      <c r="L1316" s="804">
        <f t="shared" si="169"/>
        <v>5200</v>
      </c>
      <c r="M1316" s="804">
        <f t="shared" si="160"/>
        <v>5200</v>
      </c>
      <c r="N1316" s="803" t="s">
        <v>18020</v>
      </c>
      <c r="O1316" s="805">
        <f t="shared" si="163"/>
        <v>5200</v>
      </c>
      <c r="P1316" s="805">
        <f t="shared" si="164"/>
        <v>5200</v>
      </c>
      <c r="Q1316" s="806">
        <f t="shared" si="165"/>
        <v>5200</v>
      </c>
    </row>
    <row r="1317" spans="1:17" x14ac:dyDescent="0.2">
      <c r="A1317" s="797" t="s">
        <v>18876</v>
      </c>
      <c r="B1317" s="798" t="s">
        <v>18017</v>
      </c>
      <c r="C1317" s="798" t="s">
        <v>14293</v>
      </c>
      <c r="D1317" s="798" t="s">
        <v>18872</v>
      </c>
      <c r="E1317" s="798" t="s">
        <v>18031</v>
      </c>
      <c r="F1317" s="798">
        <v>1</v>
      </c>
      <c r="G1317" s="798" t="s">
        <v>10772</v>
      </c>
      <c r="H1317" s="798" t="s">
        <v>1947</v>
      </c>
      <c r="I1317" s="799">
        <v>2500</v>
      </c>
      <c r="J1317" s="798">
        <v>1</v>
      </c>
      <c r="K1317" s="799">
        <f t="shared" si="168"/>
        <v>2500</v>
      </c>
      <c r="L1317" s="799">
        <f t="shared" si="169"/>
        <v>2500</v>
      </c>
      <c r="M1317" s="799">
        <f t="shared" si="160"/>
        <v>2500</v>
      </c>
      <c r="N1317" s="798" t="s">
        <v>18020</v>
      </c>
      <c r="O1317" s="800">
        <f t="shared" si="163"/>
        <v>2500</v>
      </c>
      <c r="P1317" s="800">
        <f t="shared" si="164"/>
        <v>2500</v>
      </c>
      <c r="Q1317" s="801">
        <f t="shared" si="165"/>
        <v>2500</v>
      </c>
    </row>
    <row r="1318" spans="1:17" x14ac:dyDescent="0.2">
      <c r="A1318" s="802" t="s">
        <v>18877</v>
      </c>
      <c r="B1318" s="803" t="s">
        <v>18017</v>
      </c>
      <c r="C1318" s="803" t="s">
        <v>14293</v>
      </c>
      <c r="D1318" s="803" t="s">
        <v>18872</v>
      </c>
      <c r="E1318" s="803" t="s">
        <v>18033</v>
      </c>
      <c r="F1318" s="803">
        <v>2</v>
      </c>
      <c r="G1318" s="803" t="s">
        <v>10772</v>
      </c>
      <c r="H1318" s="803" t="s">
        <v>1947</v>
      </c>
      <c r="I1318" s="804">
        <v>7800</v>
      </c>
      <c r="J1318" s="803">
        <v>1</v>
      </c>
      <c r="K1318" s="804">
        <f t="shared" si="168"/>
        <v>7800</v>
      </c>
      <c r="L1318" s="804">
        <f t="shared" si="169"/>
        <v>7800</v>
      </c>
      <c r="M1318" s="804">
        <f t="shared" si="160"/>
        <v>7800</v>
      </c>
      <c r="N1318" s="803" t="s">
        <v>18037</v>
      </c>
      <c r="O1318" s="805">
        <f t="shared" si="163"/>
        <v>7800</v>
      </c>
      <c r="P1318" s="805">
        <f t="shared" si="164"/>
        <v>7800</v>
      </c>
      <c r="Q1318" s="806">
        <f t="shared" si="165"/>
        <v>7800</v>
      </c>
    </row>
    <row r="1319" spans="1:17" x14ac:dyDescent="0.2">
      <c r="A1319" s="797" t="s">
        <v>18878</v>
      </c>
      <c r="B1319" s="798" t="s">
        <v>18017</v>
      </c>
      <c r="C1319" s="798" t="s">
        <v>14293</v>
      </c>
      <c r="D1319" s="798" t="s">
        <v>18872</v>
      </c>
      <c r="E1319" s="798" t="s">
        <v>18039</v>
      </c>
      <c r="F1319" s="798">
        <v>3</v>
      </c>
      <c r="G1319" s="798" t="s">
        <v>10772</v>
      </c>
      <c r="H1319" s="798" t="s">
        <v>1947</v>
      </c>
      <c r="I1319" s="799">
        <v>9500</v>
      </c>
      <c r="J1319" s="798">
        <v>1</v>
      </c>
      <c r="K1319" s="799">
        <f t="shared" si="168"/>
        <v>9500</v>
      </c>
      <c r="L1319" s="799">
        <f t="shared" si="169"/>
        <v>9500</v>
      </c>
      <c r="M1319" s="799">
        <f t="shared" si="160"/>
        <v>9500</v>
      </c>
      <c r="N1319" s="798" t="s">
        <v>18037</v>
      </c>
      <c r="O1319" s="800">
        <f t="shared" si="163"/>
        <v>9500</v>
      </c>
      <c r="P1319" s="800">
        <f t="shared" si="164"/>
        <v>9500</v>
      </c>
      <c r="Q1319" s="801">
        <f t="shared" si="165"/>
        <v>9500</v>
      </c>
    </row>
    <row r="1320" spans="1:17" x14ac:dyDescent="0.2">
      <c r="A1320" s="802" t="s">
        <v>18879</v>
      </c>
      <c r="B1320" s="803" t="s">
        <v>18017</v>
      </c>
      <c r="C1320" s="803" t="s">
        <v>14293</v>
      </c>
      <c r="D1320" s="803" t="s">
        <v>18872</v>
      </c>
      <c r="E1320" s="803" t="s">
        <v>18041</v>
      </c>
      <c r="F1320" s="803">
        <v>4</v>
      </c>
      <c r="G1320" s="803" t="s">
        <v>10772</v>
      </c>
      <c r="H1320" s="803" t="s">
        <v>1947</v>
      </c>
      <c r="I1320" s="804">
        <v>15000</v>
      </c>
      <c r="J1320" s="803">
        <v>1</v>
      </c>
      <c r="K1320" s="804">
        <f t="shared" si="168"/>
        <v>15000</v>
      </c>
      <c r="L1320" s="804">
        <f t="shared" si="169"/>
        <v>15000</v>
      </c>
      <c r="M1320" s="804">
        <f t="shared" si="160"/>
        <v>15000</v>
      </c>
      <c r="N1320" s="803" t="s">
        <v>18042</v>
      </c>
      <c r="O1320" s="805">
        <f t="shared" si="163"/>
        <v>15000</v>
      </c>
      <c r="P1320" s="805">
        <f t="shared" si="164"/>
        <v>15000</v>
      </c>
      <c r="Q1320" s="806">
        <f t="shared" si="165"/>
        <v>15000</v>
      </c>
    </row>
    <row r="1321" spans="1:17" x14ac:dyDescent="0.2">
      <c r="A1321" s="797" t="s">
        <v>18880</v>
      </c>
      <c r="B1321" s="798" t="s">
        <v>18017</v>
      </c>
      <c r="C1321" s="798" t="s">
        <v>14293</v>
      </c>
      <c r="D1321" s="798" t="s">
        <v>18872</v>
      </c>
      <c r="E1321" s="798" t="s">
        <v>18212</v>
      </c>
      <c r="F1321" s="798">
        <v>5</v>
      </c>
      <c r="G1321" s="798" t="s">
        <v>10772</v>
      </c>
      <c r="H1321" s="798" t="s">
        <v>1947</v>
      </c>
      <c r="I1321" s="799">
        <v>22000</v>
      </c>
      <c r="J1321" s="798">
        <v>1</v>
      </c>
      <c r="K1321" s="799">
        <v>100000</v>
      </c>
      <c r="L1321" s="799">
        <v>100000</v>
      </c>
      <c r="M1321" s="799">
        <f t="shared" si="160"/>
        <v>22000</v>
      </c>
      <c r="N1321" s="798" t="s">
        <v>18042</v>
      </c>
      <c r="O1321" s="800">
        <f t="shared" si="163"/>
        <v>100000</v>
      </c>
      <c r="P1321" s="800">
        <f t="shared" si="164"/>
        <v>100000</v>
      </c>
      <c r="Q1321" s="801">
        <f t="shared" si="165"/>
        <v>22000</v>
      </c>
    </row>
    <row r="1322" spans="1:17" x14ac:dyDescent="0.2">
      <c r="A1322" s="802" t="s">
        <v>18881</v>
      </c>
      <c r="B1322" s="803" t="s">
        <v>18017</v>
      </c>
      <c r="C1322" s="803" t="s">
        <v>14293</v>
      </c>
      <c r="D1322" s="803" t="s">
        <v>18872</v>
      </c>
      <c r="E1322" s="803" t="s">
        <v>18214</v>
      </c>
      <c r="F1322" s="803">
        <v>6</v>
      </c>
      <c r="G1322" s="803" t="s">
        <v>10772</v>
      </c>
      <c r="H1322" s="803" t="s">
        <v>1947</v>
      </c>
      <c r="I1322" s="804">
        <v>31000</v>
      </c>
      <c r="J1322" s="803">
        <v>1</v>
      </c>
      <c r="K1322" s="804">
        <v>100000</v>
      </c>
      <c r="L1322" s="804">
        <v>100000</v>
      </c>
      <c r="M1322" s="804">
        <f t="shared" si="160"/>
        <v>31000</v>
      </c>
      <c r="N1322" s="803" t="s">
        <v>18215</v>
      </c>
      <c r="O1322" s="805">
        <f t="shared" si="163"/>
        <v>100000</v>
      </c>
      <c r="P1322" s="805">
        <f t="shared" si="164"/>
        <v>100000</v>
      </c>
      <c r="Q1322" s="806">
        <f t="shared" si="165"/>
        <v>31000</v>
      </c>
    </row>
    <row r="1323" spans="1:17" x14ac:dyDescent="0.2">
      <c r="A1323" s="797" t="s">
        <v>18882</v>
      </c>
      <c r="B1323" s="798" t="s">
        <v>18017</v>
      </c>
      <c r="C1323" s="798" t="s">
        <v>14293</v>
      </c>
      <c r="D1323" s="798" t="s">
        <v>18872</v>
      </c>
      <c r="E1323" s="798" t="s">
        <v>18217</v>
      </c>
      <c r="F1323" s="798">
        <v>7</v>
      </c>
      <c r="G1323" s="798" t="s">
        <v>10772</v>
      </c>
      <c r="H1323" s="798" t="s">
        <v>1947</v>
      </c>
      <c r="I1323" s="799">
        <v>37000</v>
      </c>
      <c r="J1323" s="798">
        <v>1</v>
      </c>
      <c r="K1323" s="799">
        <v>100000</v>
      </c>
      <c r="L1323" s="799">
        <v>100000</v>
      </c>
      <c r="M1323" s="799">
        <f t="shared" si="160"/>
        <v>37000</v>
      </c>
      <c r="N1323" s="798" t="s">
        <v>18215</v>
      </c>
      <c r="O1323" s="800">
        <f t="shared" si="163"/>
        <v>100000</v>
      </c>
      <c r="P1323" s="800">
        <f t="shared" si="164"/>
        <v>100000</v>
      </c>
      <c r="Q1323" s="801">
        <f t="shared" si="165"/>
        <v>37000</v>
      </c>
    </row>
    <row r="1324" spans="1:17" x14ac:dyDescent="0.2">
      <c r="A1324" s="802" t="s">
        <v>18883</v>
      </c>
      <c r="B1324" s="803" t="s">
        <v>18560</v>
      </c>
      <c r="C1324" s="803" t="s">
        <v>18884</v>
      </c>
      <c r="D1324" s="803" t="s">
        <v>18885</v>
      </c>
      <c r="E1324" s="803" t="s">
        <v>18031</v>
      </c>
      <c r="F1324" s="803">
        <v>1</v>
      </c>
      <c r="G1324" s="803" t="s">
        <v>1947</v>
      </c>
      <c r="H1324" s="803" t="s">
        <v>122</v>
      </c>
      <c r="I1324" s="804">
        <v>1500</v>
      </c>
      <c r="J1324" s="803">
        <v>1</v>
      </c>
      <c r="K1324" s="804">
        <f t="shared" ref="K1324:K1334" si="170">+I1324</f>
        <v>1500</v>
      </c>
      <c r="L1324" s="804">
        <f t="shared" ref="L1324:L1334" si="171">+I1324</f>
        <v>1500</v>
      </c>
      <c r="M1324" s="804">
        <f t="shared" si="160"/>
        <v>1500</v>
      </c>
      <c r="N1324" s="803" t="s">
        <v>18048</v>
      </c>
      <c r="O1324" s="805">
        <f t="shared" si="163"/>
        <v>1500</v>
      </c>
      <c r="P1324" s="805">
        <f t="shared" si="164"/>
        <v>1500</v>
      </c>
      <c r="Q1324" s="806">
        <f t="shared" si="165"/>
        <v>1500</v>
      </c>
    </row>
    <row r="1325" spans="1:17" x14ac:dyDescent="0.2">
      <c r="A1325" s="797" t="s">
        <v>18886</v>
      </c>
      <c r="B1325" s="798" t="s">
        <v>18560</v>
      </c>
      <c r="C1325" s="798" t="s">
        <v>18884</v>
      </c>
      <c r="D1325" s="798" t="s">
        <v>18887</v>
      </c>
      <c r="E1325" s="798" t="s">
        <v>18031</v>
      </c>
      <c r="F1325" s="798">
        <v>1</v>
      </c>
      <c r="G1325" s="798" t="s">
        <v>1947</v>
      </c>
      <c r="H1325" s="798" t="s">
        <v>122</v>
      </c>
      <c r="I1325" s="799">
        <v>2000</v>
      </c>
      <c r="J1325" s="798">
        <v>1</v>
      </c>
      <c r="K1325" s="799">
        <f t="shared" si="170"/>
        <v>2000</v>
      </c>
      <c r="L1325" s="799">
        <f t="shared" si="171"/>
        <v>2000</v>
      </c>
      <c r="M1325" s="799">
        <f t="shared" si="160"/>
        <v>2000</v>
      </c>
      <c r="N1325" s="798" t="s">
        <v>18048</v>
      </c>
      <c r="O1325" s="800">
        <f t="shared" si="163"/>
        <v>2000</v>
      </c>
      <c r="P1325" s="800">
        <f t="shared" si="164"/>
        <v>2000</v>
      </c>
      <c r="Q1325" s="801">
        <f t="shared" si="165"/>
        <v>2000</v>
      </c>
    </row>
    <row r="1326" spans="1:17" x14ac:dyDescent="0.2">
      <c r="A1326" s="802" t="s">
        <v>18888</v>
      </c>
      <c r="B1326" s="803" t="s">
        <v>18560</v>
      </c>
      <c r="C1326" s="803" t="s">
        <v>18884</v>
      </c>
      <c r="D1326" s="803" t="s">
        <v>18889</v>
      </c>
      <c r="E1326" s="803" t="s">
        <v>18031</v>
      </c>
      <c r="F1326" s="803">
        <v>1</v>
      </c>
      <c r="G1326" s="803" t="s">
        <v>1947</v>
      </c>
      <c r="H1326" s="803" t="s">
        <v>122</v>
      </c>
      <c r="I1326" s="804">
        <v>800</v>
      </c>
      <c r="J1326" s="803">
        <v>1</v>
      </c>
      <c r="K1326" s="804">
        <f t="shared" si="170"/>
        <v>800</v>
      </c>
      <c r="L1326" s="804">
        <f t="shared" si="171"/>
        <v>800</v>
      </c>
      <c r="M1326" s="804">
        <f t="shared" si="160"/>
        <v>800</v>
      </c>
      <c r="N1326" s="803" t="s">
        <v>18048</v>
      </c>
      <c r="O1326" s="805">
        <f t="shared" si="163"/>
        <v>800</v>
      </c>
      <c r="P1326" s="805">
        <f t="shared" si="164"/>
        <v>800</v>
      </c>
      <c r="Q1326" s="806">
        <f t="shared" si="165"/>
        <v>800</v>
      </c>
    </row>
    <row r="1327" spans="1:17" x14ac:dyDescent="0.2">
      <c r="A1327" s="797" t="s">
        <v>18890</v>
      </c>
      <c r="B1327" s="798" t="s">
        <v>18560</v>
      </c>
      <c r="C1327" s="798" t="s">
        <v>18884</v>
      </c>
      <c r="D1327" s="798" t="s">
        <v>18885</v>
      </c>
      <c r="E1327" s="798" t="s">
        <v>18054</v>
      </c>
      <c r="F1327" s="798">
        <v>2</v>
      </c>
      <c r="G1327" s="798" t="s">
        <v>122</v>
      </c>
      <c r="H1327" s="798" t="s">
        <v>1103</v>
      </c>
      <c r="I1327" s="799">
        <v>5000</v>
      </c>
      <c r="J1327" s="798">
        <v>1</v>
      </c>
      <c r="K1327" s="799">
        <f t="shared" si="170"/>
        <v>5000</v>
      </c>
      <c r="L1327" s="799">
        <f t="shared" si="171"/>
        <v>5000</v>
      </c>
      <c r="M1327" s="799">
        <f t="shared" si="160"/>
        <v>5000</v>
      </c>
      <c r="N1327" s="798" t="s">
        <v>18057</v>
      </c>
      <c r="O1327" s="800">
        <f t="shared" si="163"/>
        <v>5000</v>
      </c>
      <c r="P1327" s="800">
        <f t="shared" si="164"/>
        <v>5000</v>
      </c>
      <c r="Q1327" s="801">
        <f t="shared" si="165"/>
        <v>5000</v>
      </c>
    </row>
    <row r="1328" spans="1:17" x14ac:dyDescent="0.2">
      <c r="A1328" s="802" t="s">
        <v>18891</v>
      </c>
      <c r="B1328" s="803" t="s">
        <v>18560</v>
      </c>
      <c r="C1328" s="803" t="s">
        <v>18884</v>
      </c>
      <c r="D1328" s="803" t="s">
        <v>18887</v>
      </c>
      <c r="E1328" s="803" t="s">
        <v>18054</v>
      </c>
      <c r="F1328" s="803">
        <v>2</v>
      </c>
      <c r="G1328" s="803" t="s">
        <v>122</v>
      </c>
      <c r="H1328" s="803" t="s">
        <v>1103</v>
      </c>
      <c r="I1328" s="804">
        <v>5500</v>
      </c>
      <c r="J1328" s="803">
        <v>1</v>
      </c>
      <c r="K1328" s="804">
        <f t="shared" si="170"/>
        <v>5500</v>
      </c>
      <c r="L1328" s="804">
        <f t="shared" si="171"/>
        <v>5500</v>
      </c>
      <c r="M1328" s="804">
        <f t="shared" si="160"/>
        <v>5500</v>
      </c>
      <c r="N1328" s="803" t="s">
        <v>18057</v>
      </c>
      <c r="O1328" s="805">
        <f t="shared" si="163"/>
        <v>5500</v>
      </c>
      <c r="P1328" s="805">
        <f t="shared" si="164"/>
        <v>5500</v>
      </c>
      <c r="Q1328" s="806">
        <f t="shared" si="165"/>
        <v>5500</v>
      </c>
    </row>
    <row r="1329" spans="1:17" x14ac:dyDescent="0.2">
      <c r="A1329" s="797" t="s">
        <v>18892</v>
      </c>
      <c r="B1329" s="798" t="s">
        <v>18560</v>
      </c>
      <c r="C1329" s="798" t="s">
        <v>18884</v>
      </c>
      <c r="D1329" s="798" t="s">
        <v>18889</v>
      </c>
      <c r="E1329" s="798" t="s">
        <v>18054</v>
      </c>
      <c r="F1329" s="798">
        <v>2</v>
      </c>
      <c r="G1329" s="798" t="s">
        <v>122</v>
      </c>
      <c r="H1329" s="798" t="s">
        <v>1103</v>
      </c>
      <c r="I1329" s="799">
        <v>1700</v>
      </c>
      <c r="J1329" s="798">
        <v>1</v>
      </c>
      <c r="K1329" s="799">
        <f t="shared" si="170"/>
        <v>1700</v>
      </c>
      <c r="L1329" s="799">
        <f t="shared" si="171"/>
        <v>1700</v>
      </c>
      <c r="M1329" s="799">
        <f t="shared" si="160"/>
        <v>1700</v>
      </c>
      <c r="N1329" s="798" t="s">
        <v>18057</v>
      </c>
      <c r="O1329" s="800">
        <f t="shared" si="163"/>
        <v>1700</v>
      </c>
      <c r="P1329" s="800">
        <f t="shared" si="164"/>
        <v>1700</v>
      </c>
      <c r="Q1329" s="801">
        <f t="shared" si="165"/>
        <v>1700</v>
      </c>
    </row>
    <row r="1330" spans="1:17" x14ac:dyDescent="0.2">
      <c r="A1330" s="802" t="s">
        <v>18893</v>
      </c>
      <c r="B1330" s="803" t="s">
        <v>18560</v>
      </c>
      <c r="C1330" s="803" t="s">
        <v>18884</v>
      </c>
      <c r="D1330" s="803" t="s">
        <v>18885</v>
      </c>
      <c r="E1330" s="803" t="s">
        <v>18033</v>
      </c>
      <c r="F1330" s="803">
        <v>3</v>
      </c>
      <c r="G1330" s="803" t="s">
        <v>1947</v>
      </c>
      <c r="H1330" s="803" t="s">
        <v>122</v>
      </c>
      <c r="I1330" s="804">
        <v>9000</v>
      </c>
      <c r="J1330" s="803">
        <v>1</v>
      </c>
      <c r="K1330" s="804">
        <f t="shared" si="170"/>
        <v>9000</v>
      </c>
      <c r="L1330" s="804">
        <f t="shared" si="171"/>
        <v>9000</v>
      </c>
      <c r="M1330" s="804">
        <f t="shared" ref="M1330:M1393" si="172">+I1330</f>
        <v>9000</v>
      </c>
      <c r="N1330" s="803" t="s">
        <v>18062</v>
      </c>
      <c r="O1330" s="805">
        <f t="shared" si="163"/>
        <v>9000</v>
      </c>
      <c r="P1330" s="805">
        <f t="shared" si="164"/>
        <v>9000</v>
      </c>
      <c r="Q1330" s="806">
        <f t="shared" si="165"/>
        <v>9000</v>
      </c>
    </row>
    <row r="1331" spans="1:17" x14ac:dyDescent="0.2">
      <c r="A1331" s="797" t="s">
        <v>18894</v>
      </c>
      <c r="B1331" s="798" t="s">
        <v>18560</v>
      </c>
      <c r="C1331" s="798" t="s">
        <v>18884</v>
      </c>
      <c r="D1331" s="798" t="s">
        <v>18887</v>
      </c>
      <c r="E1331" s="798" t="s">
        <v>18033</v>
      </c>
      <c r="F1331" s="798">
        <v>3</v>
      </c>
      <c r="G1331" s="798" t="s">
        <v>1947</v>
      </c>
      <c r="H1331" s="798" t="s">
        <v>122</v>
      </c>
      <c r="I1331" s="799">
        <v>10000</v>
      </c>
      <c r="J1331" s="798">
        <v>1</v>
      </c>
      <c r="K1331" s="799">
        <f t="shared" si="170"/>
        <v>10000</v>
      </c>
      <c r="L1331" s="799">
        <f t="shared" si="171"/>
        <v>10000</v>
      </c>
      <c r="M1331" s="799">
        <f t="shared" si="172"/>
        <v>10000</v>
      </c>
      <c r="N1331" s="798" t="s">
        <v>18062</v>
      </c>
      <c r="O1331" s="800">
        <f t="shared" si="163"/>
        <v>10000</v>
      </c>
      <c r="P1331" s="800">
        <f t="shared" si="164"/>
        <v>10000</v>
      </c>
      <c r="Q1331" s="801">
        <f t="shared" si="165"/>
        <v>10000</v>
      </c>
    </row>
    <row r="1332" spans="1:17" x14ac:dyDescent="0.2">
      <c r="A1332" s="802" t="s">
        <v>18895</v>
      </c>
      <c r="B1332" s="803" t="s">
        <v>18560</v>
      </c>
      <c r="C1332" s="803" t="s">
        <v>18884</v>
      </c>
      <c r="D1332" s="803" t="s">
        <v>18889</v>
      </c>
      <c r="E1332" s="803" t="s">
        <v>18033</v>
      </c>
      <c r="F1332" s="803">
        <v>3</v>
      </c>
      <c r="G1332" s="803" t="s">
        <v>1947</v>
      </c>
      <c r="H1332" s="803" t="s">
        <v>122</v>
      </c>
      <c r="I1332" s="804">
        <v>3000</v>
      </c>
      <c r="J1332" s="803">
        <v>1</v>
      </c>
      <c r="K1332" s="804">
        <f t="shared" si="170"/>
        <v>3000</v>
      </c>
      <c r="L1332" s="804">
        <f t="shared" si="171"/>
        <v>3000</v>
      </c>
      <c r="M1332" s="804">
        <f t="shared" si="172"/>
        <v>3000</v>
      </c>
      <c r="N1332" s="803" t="s">
        <v>18062</v>
      </c>
      <c r="O1332" s="805">
        <f t="shared" si="163"/>
        <v>3000</v>
      </c>
      <c r="P1332" s="805">
        <f t="shared" si="164"/>
        <v>3000</v>
      </c>
      <c r="Q1332" s="806">
        <f t="shared" si="165"/>
        <v>3000</v>
      </c>
    </row>
    <row r="1333" spans="1:17" x14ac:dyDescent="0.2">
      <c r="A1333" s="797" t="s">
        <v>18896</v>
      </c>
      <c r="B1333" s="798" t="s">
        <v>18560</v>
      </c>
      <c r="C1333" s="798" t="s">
        <v>18884</v>
      </c>
      <c r="D1333" s="798" t="s">
        <v>18885</v>
      </c>
      <c r="E1333" s="798" t="s">
        <v>18061</v>
      </c>
      <c r="F1333" s="798">
        <v>4</v>
      </c>
      <c r="G1333" s="798" t="s">
        <v>122</v>
      </c>
      <c r="H1333" s="798" t="s">
        <v>1103</v>
      </c>
      <c r="I1333" s="799">
        <v>15000</v>
      </c>
      <c r="J1333" s="798">
        <v>1</v>
      </c>
      <c r="K1333" s="799">
        <f t="shared" si="170"/>
        <v>15000</v>
      </c>
      <c r="L1333" s="799">
        <f t="shared" si="171"/>
        <v>15000</v>
      </c>
      <c r="M1333" s="799">
        <f t="shared" si="172"/>
        <v>15000</v>
      </c>
      <c r="N1333" s="798" t="s">
        <v>18188</v>
      </c>
      <c r="O1333" s="800">
        <f t="shared" si="163"/>
        <v>15000</v>
      </c>
      <c r="P1333" s="800">
        <f t="shared" si="164"/>
        <v>15000</v>
      </c>
      <c r="Q1333" s="801">
        <f t="shared" si="165"/>
        <v>15000</v>
      </c>
    </row>
    <row r="1334" spans="1:17" x14ac:dyDescent="0.2">
      <c r="A1334" s="802" t="s">
        <v>18897</v>
      </c>
      <c r="B1334" s="803" t="s">
        <v>18560</v>
      </c>
      <c r="C1334" s="803" t="s">
        <v>18884</v>
      </c>
      <c r="D1334" s="803" t="s">
        <v>18887</v>
      </c>
      <c r="E1334" s="803" t="s">
        <v>18061</v>
      </c>
      <c r="F1334" s="803">
        <v>4</v>
      </c>
      <c r="G1334" s="803" t="s">
        <v>122</v>
      </c>
      <c r="H1334" s="803" t="s">
        <v>1103</v>
      </c>
      <c r="I1334" s="804">
        <v>17000</v>
      </c>
      <c r="J1334" s="803">
        <v>1</v>
      </c>
      <c r="K1334" s="804">
        <f t="shared" si="170"/>
        <v>17000</v>
      </c>
      <c r="L1334" s="804">
        <f t="shared" si="171"/>
        <v>17000</v>
      </c>
      <c r="M1334" s="804">
        <f t="shared" si="172"/>
        <v>17000</v>
      </c>
      <c r="N1334" s="803" t="s">
        <v>18188</v>
      </c>
      <c r="O1334" s="805">
        <f t="shared" si="163"/>
        <v>17000</v>
      </c>
      <c r="P1334" s="805">
        <f t="shared" si="164"/>
        <v>17000</v>
      </c>
      <c r="Q1334" s="806">
        <f t="shared" si="165"/>
        <v>17000</v>
      </c>
    </row>
    <row r="1335" spans="1:17" x14ac:dyDescent="0.2">
      <c r="A1335" s="797" t="s">
        <v>18898</v>
      </c>
      <c r="B1335" s="798" t="s">
        <v>18560</v>
      </c>
      <c r="C1335" s="798" t="s">
        <v>18884</v>
      </c>
      <c r="D1335" s="798" t="s">
        <v>18889</v>
      </c>
      <c r="E1335" s="798" t="s">
        <v>18061</v>
      </c>
      <c r="F1335" s="798">
        <v>4</v>
      </c>
      <c r="G1335" s="798" t="s">
        <v>122</v>
      </c>
      <c r="H1335" s="798" t="s">
        <v>1103</v>
      </c>
      <c r="I1335" s="799">
        <v>5200</v>
      </c>
      <c r="J1335" s="798">
        <v>1</v>
      </c>
      <c r="K1335" s="799">
        <v>20800</v>
      </c>
      <c r="L1335" s="799">
        <v>20800</v>
      </c>
      <c r="M1335" s="799">
        <f t="shared" si="172"/>
        <v>5200</v>
      </c>
      <c r="N1335" s="798" t="s">
        <v>18188</v>
      </c>
      <c r="O1335" s="800">
        <f t="shared" si="163"/>
        <v>20800</v>
      </c>
      <c r="P1335" s="800">
        <f t="shared" si="164"/>
        <v>20800</v>
      </c>
      <c r="Q1335" s="801">
        <f t="shared" si="165"/>
        <v>5200</v>
      </c>
    </row>
    <row r="1336" spans="1:17" x14ac:dyDescent="0.2">
      <c r="A1336" s="802" t="s">
        <v>18899</v>
      </c>
      <c r="B1336" s="803" t="s">
        <v>18560</v>
      </c>
      <c r="C1336" s="803" t="s">
        <v>18884</v>
      </c>
      <c r="D1336" s="803" t="s">
        <v>18889</v>
      </c>
      <c r="E1336" s="803" t="s">
        <v>18039</v>
      </c>
      <c r="F1336" s="803">
        <v>5</v>
      </c>
      <c r="G1336" s="803" t="s">
        <v>10772</v>
      </c>
      <c r="H1336" s="803" t="s">
        <v>122</v>
      </c>
      <c r="I1336" s="804">
        <v>25000</v>
      </c>
      <c r="J1336" s="803">
        <v>1</v>
      </c>
      <c r="K1336" s="804">
        <v>50000</v>
      </c>
      <c r="L1336" s="804">
        <v>50000</v>
      </c>
      <c r="M1336" s="804">
        <f t="shared" si="172"/>
        <v>25000</v>
      </c>
      <c r="N1336" s="803" t="s">
        <v>18192</v>
      </c>
      <c r="O1336" s="805">
        <f t="shared" si="163"/>
        <v>50000</v>
      </c>
      <c r="P1336" s="805">
        <f t="shared" si="164"/>
        <v>50000</v>
      </c>
      <c r="Q1336" s="806">
        <f t="shared" si="165"/>
        <v>25000</v>
      </c>
    </row>
    <row r="1337" spans="1:17" x14ac:dyDescent="0.2">
      <c r="A1337" s="797" t="s">
        <v>18900</v>
      </c>
      <c r="B1337" s="798" t="s">
        <v>18017</v>
      </c>
      <c r="C1337" s="798" t="s">
        <v>14298</v>
      </c>
      <c r="D1337" s="798" t="s">
        <v>18901</v>
      </c>
      <c r="E1337" s="798" t="s">
        <v>18019</v>
      </c>
      <c r="F1337" s="798">
        <v>1</v>
      </c>
      <c r="G1337" s="798" t="s">
        <v>1103</v>
      </c>
      <c r="H1337" s="798" t="s">
        <v>1103</v>
      </c>
      <c r="I1337" s="799">
        <v>1500</v>
      </c>
      <c r="J1337" s="798">
        <v>1</v>
      </c>
      <c r="K1337" s="799">
        <f t="shared" ref="K1337:K1343" si="173">+I1337</f>
        <v>1500</v>
      </c>
      <c r="L1337" s="799">
        <f t="shared" ref="L1337:L1343" si="174">+I1337</f>
        <v>1500</v>
      </c>
      <c r="M1337" s="799">
        <f t="shared" si="172"/>
        <v>1500</v>
      </c>
      <c r="N1337" s="798" t="s">
        <v>18020</v>
      </c>
      <c r="O1337" s="800">
        <f t="shared" si="163"/>
        <v>1500</v>
      </c>
      <c r="P1337" s="800">
        <f t="shared" si="164"/>
        <v>1500</v>
      </c>
      <c r="Q1337" s="801">
        <f t="shared" si="165"/>
        <v>1500</v>
      </c>
    </row>
    <row r="1338" spans="1:17" x14ac:dyDescent="0.2">
      <c r="A1338" s="802" t="s">
        <v>18902</v>
      </c>
      <c r="B1338" s="803" t="s">
        <v>18017</v>
      </c>
      <c r="C1338" s="803" t="s">
        <v>14298</v>
      </c>
      <c r="D1338" s="803" t="s">
        <v>18903</v>
      </c>
      <c r="E1338" s="803" t="s">
        <v>18031</v>
      </c>
      <c r="F1338" s="803">
        <v>1</v>
      </c>
      <c r="G1338" s="803" t="s">
        <v>1103</v>
      </c>
      <c r="H1338" s="803" t="s">
        <v>3779</v>
      </c>
      <c r="I1338" s="804">
        <v>2500</v>
      </c>
      <c r="J1338" s="803">
        <v>1</v>
      </c>
      <c r="K1338" s="804">
        <f t="shared" si="173"/>
        <v>2500</v>
      </c>
      <c r="L1338" s="804">
        <f t="shared" si="174"/>
        <v>2500</v>
      </c>
      <c r="M1338" s="804">
        <f t="shared" si="172"/>
        <v>2500</v>
      </c>
      <c r="N1338" s="803" t="s">
        <v>18020</v>
      </c>
      <c r="O1338" s="805">
        <f t="shared" si="163"/>
        <v>2500</v>
      </c>
      <c r="P1338" s="805">
        <f t="shared" si="164"/>
        <v>2500</v>
      </c>
      <c r="Q1338" s="806">
        <f t="shared" si="165"/>
        <v>2500</v>
      </c>
    </row>
    <row r="1339" spans="1:17" x14ac:dyDescent="0.2">
      <c r="A1339" s="797" t="s">
        <v>18904</v>
      </c>
      <c r="B1339" s="798" t="s">
        <v>18017</v>
      </c>
      <c r="C1339" s="798" t="s">
        <v>14298</v>
      </c>
      <c r="D1339" s="798" t="s">
        <v>18903</v>
      </c>
      <c r="E1339" s="798" t="s">
        <v>18033</v>
      </c>
      <c r="F1339" s="798">
        <v>2</v>
      </c>
      <c r="G1339" s="798" t="s">
        <v>1103</v>
      </c>
      <c r="H1339" s="798" t="s">
        <v>3779</v>
      </c>
      <c r="I1339" s="799">
        <v>7800</v>
      </c>
      <c r="J1339" s="798">
        <v>1</v>
      </c>
      <c r="K1339" s="799">
        <f t="shared" si="173"/>
        <v>7800</v>
      </c>
      <c r="L1339" s="799">
        <f t="shared" si="174"/>
        <v>7800</v>
      </c>
      <c r="M1339" s="799">
        <f t="shared" si="172"/>
        <v>7800</v>
      </c>
      <c r="N1339" s="798" t="s">
        <v>18037</v>
      </c>
      <c r="O1339" s="800">
        <f t="shared" si="163"/>
        <v>7800</v>
      </c>
      <c r="P1339" s="800">
        <f t="shared" si="164"/>
        <v>7800</v>
      </c>
      <c r="Q1339" s="801">
        <f t="shared" si="165"/>
        <v>7800</v>
      </c>
    </row>
    <row r="1340" spans="1:17" x14ac:dyDescent="0.2">
      <c r="A1340" s="802" t="s">
        <v>18905</v>
      </c>
      <c r="B1340" s="803" t="s">
        <v>18017</v>
      </c>
      <c r="C1340" s="803" t="s">
        <v>14298</v>
      </c>
      <c r="D1340" s="803" t="s">
        <v>18336</v>
      </c>
      <c r="E1340" s="803" t="s">
        <v>18031</v>
      </c>
      <c r="F1340" s="803">
        <v>1</v>
      </c>
      <c r="G1340" s="803" t="s">
        <v>2837</v>
      </c>
      <c r="H1340" s="803" t="s">
        <v>3779</v>
      </c>
      <c r="I1340" s="804">
        <v>2500</v>
      </c>
      <c r="J1340" s="803">
        <v>1</v>
      </c>
      <c r="K1340" s="804">
        <f t="shared" si="173"/>
        <v>2500</v>
      </c>
      <c r="L1340" s="804">
        <f t="shared" si="174"/>
        <v>2500</v>
      </c>
      <c r="M1340" s="804">
        <f t="shared" si="172"/>
        <v>2500</v>
      </c>
      <c r="N1340" s="803" t="s">
        <v>18020</v>
      </c>
      <c r="O1340" s="805">
        <f t="shared" si="163"/>
        <v>2500</v>
      </c>
      <c r="P1340" s="805">
        <f t="shared" si="164"/>
        <v>2500</v>
      </c>
      <c r="Q1340" s="806">
        <f t="shared" si="165"/>
        <v>2500</v>
      </c>
    </row>
    <row r="1341" spans="1:17" x14ac:dyDescent="0.2">
      <c r="A1341" s="797" t="s">
        <v>18906</v>
      </c>
      <c r="B1341" s="798" t="s">
        <v>18017</v>
      </c>
      <c r="C1341" s="798" t="s">
        <v>14298</v>
      </c>
      <c r="D1341" s="798" t="s">
        <v>18336</v>
      </c>
      <c r="E1341" s="798" t="s">
        <v>18033</v>
      </c>
      <c r="F1341" s="798">
        <v>2</v>
      </c>
      <c r="G1341" s="798" t="s">
        <v>2837</v>
      </c>
      <c r="H1341" s="798" t="s">
        <v>3779</v>
      </c>
      <c r="I1341" s="799">
        <v>7800</v>
      </c>
      <c r="J1341" s="798">
        <v>1</v>
      </c>
      <c r="K1341" s="799">
        <f t="shared" si="173"/>
        <v>7800</v>
      </c>
      <c r="L1341" s="799">
        <f t="shared" si="174"/>
        <v>7800</v>
      </c>
      <c r="M1341" s="799">
        <f t="shared" si="172"/>
        <v>7800</v>
      </c>
      <c r="N1341" s="798" t="s">
        <v>18037</v>
      </c>
      <c r="O1341" s="800">
        <f t="shared" si="163"/>
        <v>7800</v>
      </c>
      <c r="P1341" s="800">
        <f t="shared" si="164"/>
        <v>7800</v>
      </c>
      <c r="Q1341" s="801">
        <f t="shared" si="165"/>
        <v>7800</v>
      </c>
    </row>
    <row r="1342" spans="1:17" x14ac:dyDescent="0.2">
      <c r="A1342" s="802" t="s">
        <v>18907</v>
      </c>
      <c r="B1342" s="803" t="s">
        <v>18017</v>
      </c>
      <c r="C1342" s="803" t="s">
        <v>14298</v>
      </c>
      <c r="D1342" s="803" t="s">
        <v>18336</v>
      </c>
      <c r="E1342" s="803" t="s">
        <v>18039</v>
      </c>
      <c r="F1342" s="803">
        <v>3</v>
      </c>
      <c r="G1342" s="803" t="s">
        <v>2837</v>
      </c>
      <c r="H1342" s="803" t="s">
        <v>3779</v>
      </c>
      <c r="I1342" s="804">
        <v>9500</v>
      </c>
      <c r="J1342" s="803">
        <v>1</v>
      </c>
      <c r="K1342" s="804">
        <f t="shared" si="173"/>
        <v>9500</v>
      </c>
      <c r="L1342" s="804">
        <f t="shared" si="174"/>
        <v>9500</v>
      </c>
      <c r="M1342" s="804">
        <f t="shared" si="172"/>
        <v>9500</v>
      </c>
      <c r="N1342" s="803" t="s">
        <v>18037</v>
      </c>
      <c r="O1342" s="805">
        <f t="shared" si="163"/>
        <v>9500</v>
      </c>
      <c r="P1342" s="805">
        <f t="shared" si="164"/>
        <v>9500</v>
      </c>
      <c r="Q1342" s="806">
        <f t="shared" si="165"/>
        <v>9500</v>
      </c>
    </row>
    <row r="1343" spans="1:17" x14ac:dyDescent="0.2">
      <c r="A1343" s="797" t="s">
        <v>18908</v>
      </c>
      <c r="B1343" s="798" t="s">
        <v>18017</v>
      </c>
      <c r="C1343" s="798" t="s">
        <v>14298</v>
      </c>
      <c r="D1343" s="798" t="s">
        <v>18336</v>
      </c>
      <c r="E1343" s="798" t="s">
        <v>18041</v>
      </c>
      <c r="F1343" s="798">
        <v>4</v>
      </c>
      <c r="G1343" s="798" t="s">
        <v>2837</v>
      </c>
      <c r="H1343" s="798" t="s">
        <v>3779</v>
      </c>
      <c r="I1343" s="799">
        <v>15000</v>
      </c>
      <c r="J1343" s="798">
        <v>1</v>
      </c>
      <c r="K1343" s="799">
        <f t="shared" si="173"/>
        <v>15000</v>
      </c>
      <c r="L1343" s="799">
        <f t="shared" si="174"/>
        <v>15000</v>
      </c>
      <c r="M1343" s="799">
        <f t="shared" si="172"/>
        <v>15000</v>
      </c>
      <c r="N1343" s="798" t="s">
        <v>18042</v>
      </c>
      <c r="O1343" s="800">
        <f t="shared" si="163"/>
        <v>15000</v>
      </c>
      <c r="P1343" s="800">
        <f t="shared" si="164"/>
        <v>15000</v>
      </c>
      <c r="Q1343" s="801">
        <f t="shared" si="165"/>
        <v>15000</v>
      </c>
    </row>
    <row r="1344" spans="1:17" x14ac:dyDescent="0.2">
      <c r="A1344" s="802" t="s">
        <v>18909</v>
      </c>
      <c r="B1344" s="803" t="s">
        <v>18017</v>
      </c>
      <c r="C1344" s="803" t="s">
        <v>14298</v>
      </c>
      <c r="D1344" s="803" t="s">
        <v>18336</v>
      </c>
      <c r="E1344" s="803" t="s">
        <v>18212</v>
      </c>
      <c r="F1344" s="803">
        <v>5</v>
      </c>
      <c r="G1344" s="803" t="s">
        <v>2837</v>
      </c>
      <c r="H1344" s="803" t="s">
        <v>3779</v>
      </c>
      <c r="I1344" s="804">
        <v>22000</v>
      </c>
      <c r="J1344" s="803">
        <v>1</v>
      </c>
      <c r="K1344" s="804">
        <v>100000</v>
      </c>
      <c r="L1344" s="804">
        <v>100000</v>
      </c>
      <c r="M1344" s="804">
        <f t="shared" si="172"/>
        <v>22000</v>
      </c>
      <c r="N1344" s="803" t="s">
        <v>18042</v>
      </c>
      <c r="O1344" s="805">
        <f t="shared" si="163"/>
        <v>100000</v>
      </c>
      <c r="P1344" s="805">
        <f t="shared" si="164"/>
        <v>100000</v>
      </c>
      <c r="Q1344" s="806">
        <f t="shared" si="165"/>
        <v>22000</v>
      </c>
    </row>
    <row r="1345" spans="1:17" x14ac:dyDescent="0.2">
      <c r="A1345" s="797" t="s">
        <v>18910</v>
      </c>
      <c r="B1345" s="798" t="s">
        <v>18017</v>
      </c>
      <c r="C1345" s="798" t="s">
        <v>14298</v>
      </c>
      <c r="D1345" s="798" t="s">
        <v>18336</v>
      </c>
      <c r="E1345" s="798" t="s">
        <v>18214</v>
      </c>
      <c r="F1345" s="798">
        <v>6</v>
      </c>
      <c r="G1345" s="798" t="s">
        <v>2837</v>
      </c>
      <c r="H1345" s="798" t="s">
        <v>3779</v>
      </c>
      <c r="I1345" s="799">
        <v>31000</v>
      </c>
      <c r="J1345" s="798">
        <v>1</v>
      </c>
      <c r="K1345" s="799">
        <v>100000</v>
      </c>
      <c r="L1345" s="799">
        <v>100000</v>
      </c>
      <c r="M1345" s="799">
        <f t="shared" si="172"/>
        <v>31000</v>
      </c>
      <c r="N1345" s="798" t="s">
        <v>18215</v>
      </c>
      <c r="O1345" s="800">
        <f t="shared" si="163"/>
        <v>100000</v>
      </c>
      <c r="P1345" s="800">
        <f t="shared" si="164"/>
        <v>100000</v>
      </c>
      <c r="Q1345" s="801">
        <f t="shared" si="165"/>
        <v>31000</v>
      </c>
    </row>
    <row r="1346" spans="1:17" x14ac:dyDescent="0.2">
      <c r="A1346" s="802" t="s">
        <v>18911</v>
      </c>
      <c r="B1346" s="803" t="s">
        <v>18017</v>
      </c>
      <c r="C1346" s="803" t="s">
        <v>14298</v>
      </c>
      <c r="D1346" s="803" t="s">
        <v>18336</v>
      </c>
      <c r="E1346" s="803" t="s">
        <v>18217</v>
      </c>
      <c r="F1346" s="803">
        <v>7</v>
      </c>
      <c r="G1346" s="803" t="s">
        <v>2837</v>
      </c>
      <c r="H1346" s="803" t="s">
        <v>3779</v>
      </c>
      <c r="I1346" s="804">
        <v>37000</v>
      </c>
      <c r="J1346" s="803">
        <v>1</v>
      </c>
      <c r="K1346" s="804">
        <v>100000</v>
      </c>
      <c r="L1346" s="804">
        <v>100000</v>
      </c>
      <c r="M1346" s="804">
        <f t="shared" si="172"/>
        <v>37000</v>
      </c>
      <c r="N1346" s="803" t="s">
        <v>18215</v>
      </c>
      <c r="O1346" s="805">
        <f t="shared" ref="O1346:O1409" si="175">+J1346*K1346</f>
        <v>100000</v>
      </c>
      <c r="P1346" s="805">
        <f t="shared" ref="P1346:P1409" si="176">+J1346*L1346</f>
        <v>100000</v>
      </c>
      <c r="Q1346" s="806">
        <f t="shared" ref="Q1346:Q1409" si="177">+J1346*M1346</f>
        <v>37000</v>
      </c>
    </row>
    <row r="1347" spans="1:17" x14ac:dyDescent="0.2">
      <c r="A1347" s="797" t="s">
        <v>18912</v>
      </c>
      <c r="B1347" s="798" t="s">
        <v>18017</v>
      </c>
      <c r="C1347" s="798" t="s">
        <v>14298</v>
      </c>
      <c r="D1347" s="798" t="s">
        <v>18913</v>
      </c>
      <c r="E1347" s="798" t="s">
        <v>18019</v>
      </c>
      <c r="F1347" s="798">
        <v>1</v>
      </c>
      <c r="G1347" s="798" t="s">
        <v>1947</v>
      </c>
      <c r="H1347" s="798" t="s">
        <v>1947</v>
      </c>
      <c r="I1347" s="799">
        <v>1000</v>
      </c>
      <c r="J1347" s="798">
        <v>1</v>
      </c>
      <c r="K1347" s="799">
        <v>100000</v>
      </c>
      <c r="L1347" s="799">
        <v>100000</v>
      </c>
      <c r="M1347" s="799">
        <f t="shared" si="172"/>
        <v>1000</v>
      </c>
      <c r="N1347" s="798" t="s">
        <v>18369</v>
      </c>
      <c r="O1347" s="800">
        <f t="shared" si="175"/>
        <v>100000</v>
      </c>
      <c r="P1347" s="800">
        <f t="shared" si="176"/>
        <v>100000</v>
      </c>
      <c r="Q1347" s="801">
        <f t="shared" si="177"/>
        <v>1000</v>
      </c>
    </row>
    <row r="1348" spans="1:17" x14ac:dyDescent="0.2">
      <c r="A1348" s="802" t="s">
        <v>18914</v>
      </c>
      <c r="B1348" s="803" t="s">
        <v>18588</v>
      </c>
      <c r="C1348" s="803" t="s">
        <v>18915</v>
      </c>
      <c r="D1348" s="803" t="s">
        <v>18916</v>
      </c>
      <c r="E1348" s="803" t="s">
        <v>18031</v>
      </c>
      <c r="F1348" s="803">
        <v>1</v>
      </c>
      <c r="G1348" s="803" t="s">
        <v>1103</v>
      </c>
      <c r="H1348" s="803" t="s">
        <v>1947</v>
      </c>
      <c r="I1348" s="804">
        <v>1500</v>
      </c>
      <c r="J1348" s="803">
        <v>1</v>
      </c>
      <c r="K1348" s="804">
        <f t="shared" ref="K1348:K1358" si="178">+I1348</f>
        <v>1500</v>
      </c>
      <c r="L1348" s="804">
        <f t="shared" ref="L1348:L1358" si="179">+I1348</f>
        <v>1500</v>
      </c>
      <c r="M1348" s="804">
        <f t="shared" si="172"/>
        <v>1500</v>
      </c>
      <c r="N1348" s="803" t="s">
        <v>18048</v>
      </c>
      <c r="O1348" s="805">
        <f t="shared" si="175"/>
        <v>1500</v>
      </c>
      <c r="P1348" s="805">
        <f t="shared" si="176"/>
        <v>1500</v>
      </c>
      <c r="Q1348" s="806">
        <f t="shared" si="177"/>
        <v>1500</v>
      </c>
    </row>
    <row r="1349" spans="1:17" x14ac:dyDescent="0.2">
      <c r="A1349" s="797" t="s">
        <v>18917</v>
      </c>
      <c r="B1349" s="798" t="s">
        <v>18588</v>
      </c>
      <c r="C1349" s="798" t="s">
        <v>18915</v>
      </c>
      <c r="D1349" s="798" t="s">
        <v>18918</v>
      </c>
      <c r="E1349" s="798" t="s">
        <v>18031</v>
      </c>
      <c r="F1349" s="798">
        <v>1</v>
      </c>
      <c r="G1349" s="798" t="s">
        <v>1103</v>
      </c>
      <c r="H1349" s="798" t="s">
        <v>1947</v>
      </c>
      <c r="I1349" s="799">
        <v>2000</v>
      </c>
      <c r="J1349" s="798">
        <v>1</v>
      </c>
      <c r="K1349" s="799">
        <f t="shared" si="178"/>
        <v>2000</v>
      </c>
      <c r="L1349" s="799">
        <f t="shared" si="179"/>
        <v>2000</v>
      </c>
      <c r="M1349" s="799">
        <f t="shared" si="172"/>
        <v>2000</v>
      </c>
      <c r="N1349" s="798" t="s">
        <v>18048</v>
      </c>
      <c r="O1349" s="800">
        <f t="shared" si="175"/>
        <v>2000</v>
      </c>
      <c r="P1349" s="800">
        <f t="shared" si="176"/>
        <v>2000</v>
      </c>
      <c r="Q1349" s="801">
        <f t="shared" si="177"/>
        <v>2000</v>
      </c>
    </row>
    <row r="1350" spans="1:17" x14ac:dyDescent="0.2">
      <c r="A1350" s="802" t="s">
        <v>18919</v>
      </c>
      <c r="B1350" s="803" t="s">
        <v>18588</v>
      </c>
      <c r="C1350" s="803" t="s">
        <v>18915</v>
      </c>
      <c r="D1350" s="803" t="s">
        <v>18920</v>
      </c>
      <c r="E1350" s="803" t="s">
        <v>18031</v>
      </c>
      <c r="F1350" s="803">
        <v>1</v>
      </c>
      <c r="G1350" s="803" t="s">
        <v>1103</v>
      </c>
      <c r="H1350" s="803" t="s">
        <v>1947</v>
      </c>
      <c r="I1350" s="804">
        <v>3000</v>
      </c>
      <c r="J1350" s="803">
        <v>1</v>
      </c>
      <c r="K1350" s="804">
        <f t="shared" si="178"/>
        <v>3000</v>
      </c>
      <c r="L1350" s="804">
        <f t="shared" si="179"/>
        <v>3000</v>
      </c>
      <c r="M1350" s="804">
        <f t="shared" si="172"/>
        <v>3000</v>
      </c>
      <c r="N1350" s="803" t="s">
        <v>18048</v>
      </c>
      <c r="O1350" s="805">
        <f t="shared" si="175"/>
        <v>3000</v>
      </c>
      <c r="P1350" s="805">
        <f t="shared" si="176"/>
        <v>3000</v>
      </c>
      <c r="Q1350" s="806">
        <f t="shared" si="177"/>
        <v>3000</v>
      </c>
    </row>
    <row r="1351" spans="1:17" x14ac:dyDescent="0.2">
      <c r="A1351" s="797" t="s">
        <v>18921</v>
      </c>
      <c r="B1351" s="798" t="s">
        <v>18588</v>
      </c>
      <c r="C1351" s="798" t="s">
        <v>18915</v>
      </c>
      <c r="D1351" s="798" t="s">
        <v>18916</v>
      </c>
      <c r="E1351" s="798" t="s">
        <v>18054</v>
      </c>
      <c r="F1351" s="798">
        <v>2</v>
      </c>
      <c r="G1351" s="798" t="s">
        <v>1947</v>
      </c>
      <c r="H1351" s="798" t="s">
        <v>122</v>
      </c>
      <c r="I1351" s="799">
        <v>5000</v>
      </c>
      <c r="J1351" s="798">
        <v>1</v>
      </c>
      <c r="K1351" s="799">
        <f t="shared" si="178"/>
        <v>5000</v>
      </c>
      <c r="L1351" s="799">
        <f t="shared" si="179"/>
        <v>5000</v>
      </c>
      <c r="M1351" s="799">
        <f t="shared" si="172"/>
        <v>5000</v>
      </c>
      <c r="N1351" s="798" t="s">
        <v>18057</v>
      </c>
      <c r="O1351" s="800">
        <f t="shared" si="175"/>
        <v>5000</v>
      </c>
      <c r="P1351" s="800">
        <f t="shared" si="176"/>
        <v>5000</v>
      </c>
      <c r="Q1351" s="801">
        <f t="shared" si="177"/>
        <v>5000</v>
      </c>
    </row>
    <row r="1352" spans="1:17" x14ac:dyDescent="0.2">
      <c r="A1352" s="802" t="s">
        <v>18922</v>
      </c>
      <c r="B1352" s="803" t="s">
        <v>18588</v>
      </c>
      <c r="C1352" s="803" t="s">
        <v>18915</v>
      </c>
      <c r="D1352" s="803" t="s">
        <v>18918</v>
      </c>
      <c r="E1352" s="803" t="s">
        <v>18054</v>
      </c>
      <c r="F1352" s="803">
        <v>2</v>
      </c>
      <c r="G1352" s="803" t="s">
        <v>1947</v>
      </c>
      <c r="H1352" s="803" t="s">
        <v>122</v>
      </c>
      <c r="I1352" s="804">
        <v>5500</v>
      </c>
      <c r="J1352" s="803">
        <v>1</v>
      </c>
      <c r="K1352" s="804">
        <f t="shared" si="178"/>
        <v>5500</v>
      </c>
      <c r="L1352" s="804">
        <f t="shared" si="179"/>
        <v>5500</v>
      </c>
      <c r="M1352" s="804">
        <f t="shared" si="172"/>
        <v>5500</v>
      </c>
      <c r="N1352" s="803" t="s">
        <v>18057</v>
      </c>
      <c r="O1352" s="805">
        <f t="shared" si="175"/>
        <v>5500</v>
      </c>
      <c r="P1352" s="805">
        <f t="shared" si="176"/>
        <v>5500</v>
      </c>
      <c r="Q1352" s="806">
        <f t="shared" si="177"/>
        <v>5500</v>
      </c>
    </row>
    <row r="1353" spans="1:17" x14ac:dyDescent="0.2">
      <c r="A1353" s="797" t="s">
        <v>18923</v>
      </c>
      <c r="B1353" s="798" t="s">
        <v>18588</v>
      </c>
      <c r="C1353" s="798" t="s">
        <v>18915</v>
      </c>
      <c r="D1353" s="798" t="s">
        <v>18920</v>
      </c>
      <c r="E1353" s="798" t="s">
        <v>18054</v>
      </c>
      <c r="F1353" s="798">
        <v>2</v>
      </c>
      <c r="G1353" s="798" t="s">
        <v>1947</v>
      </c>
      <c r="H1353" s="798" t="s">
        <v>122</v>
      </c>
      <c r="I1353" s="799">
        <v>7000</v>
      </c>
      <c r="J1353" s="798">
        <v>1</v>
      </c>
      <c r="K1353" s="799">
        <f t="shared" si="178"/>
        <v>7000</v>
      </c>
      <c r="L1353" s="799">
        <f t="shared" si="179"/>
        <v>7000</v>
      </c>
      <c r="M1353" s="799">
        <f t="shared" si="172"/>
        <v>7000</v>
      </c>
      <c r="N1353" s="798" t="s">
        <v>18057</v>
      </c>
      <c r="O1353" s="800">
        <f t="shared" si="175"/>
        <v>7000</v>
      </c>
      <c r="P1353" s="800">
        <f t="shared" si="176"/>
        <v>7000</v>
      </c>
      <c r="Q1353" s="801">
        <f t="shared" si="177"/>
        <v>7000</v>
      </c>
    </row>
    <row r="1354" spans="1:17" x14ac:dyDescent="0.2">
      <c r="A1354" s="802" t="s">
        <v>18924</v>
      </c>
      <c r="B1354" s="803" t="s">
        <v>18588</v>
      </c>
      <c r="C1354" s="803" t="s">
        <v>18915</v>
      </c>
      <c r="D1354" s="803" t="s">
        <v>18916</v>
      </c>
      <c r="E1354" s="803" t="s">
        <v>18033</v>
      </c>
      <c r="F1354" s="803">
        <v>3</v>
      </c>
      <c r="G1354" s="803" t="s">
        <v>1103</v>
      </c>
      <c r="H1354" s="803" t="s">
        <v>1947</v>
      </c>
      <c r="I1354" s="804">
        <v>9000</v>
      </c>
      <c r="J1354" s="803">
        <v>1</v>
      </c>
      <c r="K1354" s="804">
        <f t="shared" si="178"/>
        <v>9000</v>
      </c>
      <c r="L1354" s="804">
        <f t="shared" si="179"/>
        <v>9000</v>
      </c>
      <c r="M1354" s="804">
        <f t="shared" si="172"/>
        <v>9000</v>
      </c>
      <c r="N1354" s="803" t="s">
        <v>18062</v>
      </c>
      <c r="O1354" s="805">
        <f t="shared" si="175"/>
        <v>9000</v>
      </c>
      <c r="P1354" s="805">
        <f t="shared" si="176"/>
        <v>9000</v>
      </c>
      <c r="Q1354" s="806">
        <f t="shared" si="177"/>
        <v>9000</v>
      </c>
    </row>
    <row r="1355" spans="1:17" x14ac:dyDescent="0.2">
      <c r="A1355" s="797" t="s">
        <v>18925</v>
      </c>
      <c r="B1355" s="798" t="s">
        <v>18588</v>
      </c>
      <c r="C1355" s="798" t="s">
        <v>18915</v>
      </c>
      <c r="D1355" s="798" t="s">
        <v>18918</v>
      </c>
      <c r="E1355" s="798" t="s">
        <v>18033</v>
      </c>
      <c r="F1355" s="798">
        <v>3</v>
      </c>
      <c r="G1355" s="798" t="s">
        <v>1103</v>
      </c>
      <c r="H1355" s="798" t="s">
        <v>1947</v>
      </c>
      <c r="I1355" s="799">
        <v>10000</v>
      </c>
      <c r="J1355" s="798">
        <v>1</v>
      </c>
      <c r="K1355" s="799">
        <f t="shared" si="178"/>
        <v>10000</v>
      </c>
      <c r="L1355" s="799">
        <f t="shared" si="179"/>
        <v>10000</v>
      </c>
      <c r="M1355" s="799">
        <f t="shared" si="172"/>
        <v>10000</v>
      </c>
      <c r="N1355" s="798" t="s">
        <v>18062</v>
      </c>
      <c r="O1355" s="800">
        <f t="shared" si="175"/>
        <v>10000</v>
      </c>
      <c r="P1355" s="800">
        <f t="shared" si="176"/>
        <v>10000</v>
      </c>
      <c r="Q1355" s="801">
        <f t="shared" si="177"/>
        <v>10000</v>
      </c>
    </row>
    <row r="1356" spans="1:17" x14ac:dyDescent="0.2">
      <c r="A1356" s="802" t="s">
        <v>18926</v>
      </c>
      <c r="B1356" s="803" t="s">
        <v>18588</v>
      </c>
      <c r="C1356" s="803" t="s">
        <v>18915</v>
      </c>
      <c r="D1356" s="803" t="s">
        <v>18920</v>
      </c>
      <c r="E1356" s="803" t="s">
        <v>18033</v>
      </c>
      <c r="F1356" s="803">
        <v>3</v>
      </c>
      <c r="G1356" s="803" t="s">
        <v>1103</v>
      </c>
      <c r="H1356" s="803" t="s">
        <v>1947</v>
      </c>
      <c r="I1356" s="804">
        <v>12000</v>
      </c>
      <c r="J1356" s="803">
        <v>1</v>
      </c>
      <c r="K1356" s="804">
        <f t="shared" si="178"/>
        <v>12000</v>
      </c>
      <c r="L1356" s="804">
        <f t="shared" si="179"/>
        <v>12000</v>
      </c>
      <c r="M1356" s="804">
        <f t="shared" si="172"/>
        <v>12000</v>
      </c>
      <c r="N1356" s="803" t="s">
        <v>18062</v>
      </c>
      <c r="O1356" s="805">
        <f t="shared" si="175"/>
        <v>12000</v>
      </c>
      <c r="P1356" s="805">
        <f t="shared" si="176"/>
        <v>12000</v>
      </c>
      <c r="Q1356" s="806">
        <f t="shared" si="177"/>
        <v>12000</v>
      </c>
    </row>
    <row r="1357" spans="1:17" x14ac:dyDescent="0.2">
      <c r="A1357" s="797" t="s">
        <v>18927</v>
      </c>
      <c r="B1357" s="798" t="s">
        <v>18588</v>
      </c>
      <c r="C1357" s="798" t="s">
        <v>18915</v>
      </c>
      <c r="D1357" s="798" t="s">
        <v>18916</v>
      </c>
      <c r="E1357" s="798" t="s">
        <v>18061</v>
      </c>
      <c r="F1357" s="798">
        <v>4</v>
      </c>
      <c r="G1357" s="798" t="s">
        <v>1947</v>
      </c>
      <c r="H1357" s="798" t="s">
        <v>122</v>
      </c>
      <c r="I1357" s="799">
        <v>15000</v>
      </c>
      <c r="J1357" s="798">
        <v>1</v>
      </c>
      <c r="K1357" s="799">
        <f t="shared" si="178"/>
        <v>15000</v>
      </c>
      <c r="L1357" s="799">
        <f t="shared" si="179"/>
        <v>15000</v>
      </c>
      <c r="M1357" s="799">
        <f t="shared" si="172"/>
        <v>15000</v>
      </c>
      <c r="N1357" s="798" t="s">
        <v>18188</v>
      </c>
      <c r="O1357" s="800">
        <f t="shared" si="175"/>
        <v>15000</v>
      </c>
      <c r="P1357" s="800">
        <f t="shared" si="176"/>
        <v>15000</v>
      </c>
      <c r="Q1357" s="801">
        <f t="shared" si="177"/>
        <v>15000</v>
      </c>
    </row>
    <row r="1358" spans="1:17" x14ac:dyDescent="0.2">
      <c r="A1358" s="802" t="s">
        <v>18928</v>
      </c>
      <c r="B1358" s="803" t="s">
        <v>18588</v>
      </c>
      <c r="C1358" s="803" t="s">
        <v>18915</v>
      </c>
      <c r="D1358" s="803" t="s">
        <v>18918</v>
      </c>
      <c r="E1358" s="803" t="s">
        <v>18061</v>
      </c>
      <c r="F1358" s="803">
        <v>4</v>
      </c>
      <c r="G1358" s="803" t="s">
        <v>1947</v>
      </c>
      <c r="H1358" s="803" t="s">
        <v>122</v>
      </c>
      <c r="I1358" s="804">
        <v>17000</v>
      </c>
      <c r="J1358" s="803">
        <v>1</v>
      </c>
      <c r="K1358" s="804">
        <f t="shared" si="178"/>
        <v>17000</v>
      </c>
      <c r="L1358" s="804">
        <f t="shared" si="179"/>
        <v>17000</v>
      </c>
      <c r="M1358" s="804">
        <f t="shared" si="172"/>
        <v>17000</v>
      </c>
      <c r="N1358" s="803" t="s">
        <v>18188</v>
      </c>
      <c r="O1358" s="805">
        <f t="shared" si="175"/>
        <v>17000</v>
      </c>
      <c r="P1358" s="805">
        <f t="shared" si="176"/>
        <v>17000</v>
      </c>
      <c r="Q1358" s="806">
        <f t="shared" si="177"/>
        <v>17000</v>
      </c>
    </row>
    <row r="1359" spans="1:17" x14ac:dyDescent="0.2">
      <c r="A1359" s="797" t="s">
        <v>18929</v>
      </c>
      <c r="B1359" s="798" t="s">
        <v>18588</v>
      </c>
      <c r="C1359" s="798" t="s">
        <v>18915</v>
      </c>
      <c r="D1359" s="798" t="s">
        <v>18920</v>
      </c>
      <c r="E1359" s="798" t="s">
        <v>18061</v>
      </c>
      <c r="F1359" s="798">
        <v>4</v>
      </c>
      <c r="G1359" s="798" t="s">
        <v>10772</v>
      </c>
      <c r="H1359" s="798" t="s">
        <v>122</v>
      </c>
      <c r="I1359" s="799">
        <v>22000</v>
      </c>
      <c r="J1359" s="798">
        <v>1</v>
      </c>
      <c r="K1359" s="799">
        <v>50000</v>
      </c>
      <c r="L1359" s="799">
        <v>50000</v>
      </c>
      <c r="M1359" s="799">
        <f t="shared" si="172"/>
        <v>22000</v>
      </c>
      <c r="N1359" s="798" t="s">
        <v>18188</v>
      </c>
      <c r="O1359" s="800">
        <f t="shared" si="175"/>
        <v>50000</v>
      </c>
      <c r="P1359" s="800">
        <f t="shared" si="176"/>
        <v>50000</v>
      </c>
      <c r="Q1359" s="801">
        <f t="shared" si="177"/>
        <v>22000</v>
      </c>
    </row>
    <row r="1360" spans="1:17" x14ac:dyDescent="0.2">
      <c r="A1360" s="802" t="s">
        <v>18930</v>
      </c>
      <c r="B1360" s="803" t="s">
        <v>18588</v>
      </c>
      <c r="C1360" s="803" t="s">
        <v>18915</v>
      </c>
      <c r="D1360" s="803" t="s">
        <v>18920</v>
      </c>
      <c r="E1360" s="803" t="s">
        <v>18039</v>
      </c>
      <c r="F1360" s="803">
        <v>5</v>
      </c>
      <c r="G1360" s="803" t="s">
        <v>10772</v>
      </c>
      <c r="H1360" s="803" t="s">
        <v>1947</v>
      </c>
      <c r="I1360" s="804">
        <v>25000</v>
      </c>
      <c r="J1360" s="803">
        <v>1</v>
      </c>
      <c r="K1360" s="804">
        <v>70000</v>
      </c>
      <c r="L1360" s="804">
        <v>70000</v>
      </c>
      <c r="M1360" s="804">
        <f t="shared" si="172"/>
        <v>25000</v>
      </c>
      <c r="N1360" s="803" t="s">
        <v>18192</v>
      </c>
      <c r="O1360" s="805">
        <f t="shared" si="175"/>
        <v>70000</v>
      </c>
      <c r="P1360" s="805">
        <f t="shared" si="176"/>
        <v>70000</v>
      </c>
      <c r="Q1360" s="806">
        <f t="shared" si="177"/>
        <v>25000</v>
      </c>
    </row>
    <row r="1361" spans="1:17" x14ac:dyDescent="0.2">
      <c r="A1361" s="797" t="s">
        <v>18931</v>
      </c>
      <c r="B1361" s="798" t="s">
        <v>18588</v>
      </c>
      <c r="C1361" s="798" t="s">
        <v>18915</v>
      </c>
      <c r="D1361" s="798" t="s">
        <v>18920</v>
      </c>
      <c r="E1361" s="798" t="s">
        <v>18721</v>
      </c>
      <c r="F1361" s="798">
        <v>6</v>
      </c>
      <c r="G1361" s="798" t="s">
        <v>10772</v>
      </c>
      <c r="H1361" s="798" t="s">
        <v>122</v>
      </c>
      <c r="I1361" s="799">
        <v>32000</v>
      </c>
      <c r="J1361" s="798">
        <v>1</v>
      </c>
      <c r="K1361" s="799">
        <v>70000</v>
      </c>
      <c r="L1361" s="799">
        <v>70000</v>
      </c>
      <c r="M1361" s="799">
        <f t="shared" si="172"/>
        <v>32000</v>
      </c>
      <c r="N1361" s="798" t="s">
        <v>18192</v>
      </c>
      <c r="O1361" s="800">
        <f t="shared" si="175"/>
        <v>70000</v>
      </c>
      <c r="P1361" s="800">
        <f t="shared" si="176"/>
        <v>70000</v>
      </c>
      <c r="Q1361" s="801">
        <f t="shared" si="177"/>
        <v>32000</v>
      </c>
    </row>
    <row r="1362" spans="1:17" x14ac:dyDescent="0.2">
      <c r="A1362" s="802" t="s">
        <v>18932</v>
      </c>
      <c r="B1362" s="803" t="s">
        <v>18933</v>
      </c>
      <c r="C1362" s="803" t="s">
        <v>14303</v>
      </c>
      <c r="D1362" s="803" t="s">
        <v>18934</v>
      </c>
      <c r="E1362" s="803" t="s">
        <v>18054</v>
      </c>
      <c r="F1362" s="803">
        <v>1</v>
      </c>
      <c r="G1362" s="803" t="s">
        <v>122</v>
      </c>
      <c r="H1362" s="803" t="s">
        <v>1103</v>
      </c>
      <c r="I1362" s="804">
        <v>5000</v>
      </c>
      <c r="J1362" s="803">
        <v>1</v>
      </c>
      <c r="K1362" s="804">
        <f t="shared" ref="K1362:K1378" si="180">+I1362</f>
        <v>5000</v>
      </c>
      <c r="L1362" s="804">
        <f t="shared" ref="L1362:L1378" si="181">+I1362</f>
        <v>5000</v>
      </c>
      <c r="M1362" s="804">
        <f t="shared" si="172"/>
        <v>5000</v>
      </c>
      <c r="N1362" s="803" t="s">
        <v>18048</v>
      </c>
      <c r="O1362" s="805">
        <f t="shared" si="175"/>
        <v>5000</v>
      </c>
      <c r="P1362" s="805">
        <f t="shared" si="176"/>
        <v>5000</v>
      </c>
      <c r="Q1362" s="806">
        <f t="shared" si="177"/>
        <v>5000</v>
      </c>
    </row>
    <row r="1363" spans="1:17" x14ac:dyDescent="0.2">
      <c r="A1363" s="797" t="s">
        <v>18935</v>
      </c>
      <c r="B1363" s="798" t="s">
        <v>18933</v>
      </c>
      <c r="C1363" s="798" t="s">
        <v>14303</v>
      </c>
      <c r="D1363" s="798" t="s">
        <v>18934</v>
      </c>
      <c r="E1363" s="798" t="s">
        <v>18033</v>
      </c>
      <c r="F1363" s="798">
        <v>2</v>
      </c>
      <c r="G1363" s="798" t="s">
        <v>122</v>
      </c>
      <c r="H1363" s="798" t="s">
        <v>1103</v>
      </c>
      <c r="I1363" s="799">
        <v>10000</v>
      </c>
      <c r="J1363" s="798">
        <v>1</v>
      </c>
      <c r="K1363" s="799">
        <f t="shared" si="180"/>
        <v>10000</v>
      </c>
      <c r="L1363" s="799">
        <f t="shared" si="181"/>
        <v>10000</v>
      </c>
      <c r="M1363" s="799">
        <f t="shared" si="172"/>
        <v>10000</v>
      </c>
      <c r="N1363" s="798" t="s">
        <v>18057</v>
      </c>
      <c r="O1363" s="800">
        <f t="shared" si="175"/>
        <v>10000</v>
      </c>
      <c r="P1363" s="800">
        <f t="shared" si="176"/>
        <v>10000</v>
      </c>
      <c r="Q1363" s="801">
        <f t="shared" si="177"/>
        <v>10000</v>
      </c>
    </row>
    <row r="1364" spans="1:17" x14ac:dyDescent="0.2">
      <c r="A1364" s="802" t="s">
        <v>18936</v>
      </c>
      <c r="B1364" s="803" t="s">
        <v>18933</v>
      </c>
      <c r="C1364" s="803" t="s">
        <v>14303</v>
      </c>
      <c r="D1364" s="803" t="s">
        <v>18934</v>
      </c>
      <c r="E1364" s="803" t="s">
        <v>18061</v>
      </c>
      <c r="F1364" s="803">
        <v>3</v>
      </c>
      <c r="G1364" s="803" t="s">
        <v>122</v>
      </c>
      <c r="H1364" s="803" t="s">
        <v>1103</v>
      </c>
      <c r="I1364" s="804">
        <v>22000</v>
      </c>
      <c r="J1364" s="803">
        <v>1</v>
      </c>
      <c r="K1364" s="804">
        <f t="shared" si="180"/>
        <v>22000</v>
      </c>
      <c r="L1364" s="804">
        <f t="shared" si="181"/>
        <v>22000</v>
      </c>
      <c r="M1364" s="804">
        <f t="shared" si="172"/>
        <v>22000</v>
      </c>
      <c r="N1364" s="803" t="s">
        <v>18062</v>
      </c>
      <c r="O1364" s="805">
        <f t="shared" si="175"/>
        <v>22000</v>
      </c>
      <c r="P1364" s="805">
        <f t="shared" si="176"/>
        <v>22000</v>
      </c>
      <c r="Q1364" s="806">
        <f t="shared" si="177"/>
        <v>22000</v>
      </c>
    </row>
    <row r="1365" spans="1:17" x14ac:dyDescent="0.2">
      <c r="A1365" s="797" t="s">
        <v>18937</v>
      </c>
      <c r="B1365" s="798" t="s">
        <v>18933</v>
      </c>
      <c r="C1365" s="798" t="s">
        <v>14303</v>
      </c>
      <c r="D1365" s="798" t="s">
        <v>18938</v>
      </c>
      <c r="E1365" s="798" t="s">
        <v>18054</v>
      </c>
      <c r="F1365" s="798">
        <v>1</v>
      </c>
      <c r="G1365" s="798" t="s">
        <v>10772</v>
      </c>
      <c r="H1365" s="798" t="s">
        <v>1103</v>
      </c>
      <c r="I1365" s="799">
        <v>10000</v>
      </c>
      <c r="J1365" s="798">
        <v>1</v>
      </c>
      <c r="K1365" s="799">
        <f t="shared" si="180"/>
        <v>10000</v>
      </c>
      <c r="L1365" s="799">
        <f t="shared" si="181"/>
        <v>10000</v>
      </c>
      <c r="M1365" s="799">
        <f t="shared" si="172"/>
        <v>10000</v>
      </c>
      <c r="N1365" s="798" t="s">
        <v>18057</v>
      </c>
      <c r="O1365" s="800">
        <f t="shared" si="175"/>
        <v>10000</v>
      </c>
      <c r="P1365" s="800">
        <f t="shared" si="176"/>
        <v>10000</v>
      </c>
      <c r="Q1365" s="801">
        <f t="shared" si="177"/>
        <v>10000</v>
      </c>
    </row>
    <row r="1366" spans="1:17" x14ac:dyDescent="0.2">
      <c r="A1366" s="802" t="s">
        <v>18939</v>
      </c>
      <c r="B1366" s="803" t="s">
        <v>18933</v>
      </c>
      <c r="C1366" s="803" t="s">
        <v>14303</v>
      </c>
      <c r="D1366" s="803" t="s">
        <v>18938</v>
      </c>
      <c r="E1366" s="803" t="s">
        <v>18033</v>
      </c>
      <c r="F1366" s="803">
        <v>2</v>
      </c>
      <c r="G1366" s="803" t="s">
        <v>10772</v>
      </c>
      <c r="H1366" s="803" t="s">
        <v>1103</v>
      </c>
      <c r="I1366" s="804">
        <v>25000</v>
      </c>
      <c r="J1366" s="803">
        <v>1</v>
      </c>
      <c r="K1366" s="804">
        <f t="shared" si="180"/>
        <v>25000</v>
      </c>
      <c r="L1366" s="804">
        <f t="shared" si="181"/>
        <v>25000</v>
      </c>
      <c r="M1366" s="804">
        <f t="shared" si="172"/>
        <v>25000</v>
      </c>
      <c r="N1366" s="803" t="s">
        <v>18062</v>
      </c>
      <c r="O1366" s="805">
        <f t="shared" si="175"/>
        <v>25000</v>
      </c>
      <c r="P1366" s="805">
        <f t="shared" si="176"/>
        <v>25000</v>
      </c>
      <c r="Q1366" s="806">
        <f t="shared" si="177"/>
        <v>25000</v>
      </c>
    </row>
    <row r="1367" spans="1:17" x14ac:dyDescent="0.2">
      <c r="A1367" s="797" t="s">
        <v>18940</v>
      </c>
      <c r="B1367" s="798" t="s">
        <v>18933</v>
      </c>
      <c r="C1367" s="798" t="s">
        <v>14303</v>
      </c>
      <c r="D1367" s="798" t="s">
        <v>18938</v>
      </c>
      <c r="E1367" s="798" t="s">
        <v>18061</v>
      </c>
      <c r="F1367" s="798">
        <v>3</v>
      </c>
      <c r="G1367" s="798" t="s">
        <v>10772</v>
      </c>
      <c r="H1367" s="798" t="s">
        <v>1103</v>
      </c>
      <c r="I1367" s="799">
        <v>30000</v>
      </c>
      <c r="J1367" s="798">
        <v>1</v>
      </c>
      <c r="K1367" s="799">
        <f t="shared" si="180"/>
        <v>30000</v>
      </c>
      <c r="L1367" s="799">
        <f t="shared" si="181"/>
        <v>30000</v>
      </c>
      <c r="M1367" s="799">
        <f t="shared" si="172"/>
        <v>30000</v>
      </c>
      <c r="N1367" s="798" t="s">
        <v>18188</v>
      </c>
      <c r="O1367" s="800">
        <f t="shared" si="175"/>
        <v>30000</v>
      </c>
      <c r="P1367" s="800">
        <f t="shared" si="176"/>
        <v>30000</v>
      </c>
      <c r="Q1367" s="801">
        <f t="shared" si="177"/>
        <v>30000</v>
      </c>
    </row>
    <row r="1368" spans="1:17" x14ac:dyDescent="0.2">
      <c r="A1368" s="802" t="s">
        <v>18941</v>
      </c>
      <c r="B1368" s="803" t="s">
        <v>18560</v>
      </c>
      <c r="C1368" s="803" t="s">
        <v>18942</v>
      </c>
      <c r="D1368" s="803" t="s">
        <v>18943</v>
      </c>
      <c r="E1368" s="803" t="s">
        <v>18031</v>
      </c>
      <c r="F1368" s="803">
        <v>1</v>
      </c>
      <c r="G1368" s="803" t="s">
        <v>1103</v>
      </c>
      <c r="H1368" s="803" t="s">
        <v>1947</v>
      </c>
      <c r="I1368" s="804">
        <v>1500</v>
      </c>
      <c r="J1368" s="803">
        <v>1</v>
      </c>
      <c r="K1368" s="804">
        <f t="shared" si="180"/>
        <v>1500</v>
      </c>
      <c r="L1368" s="804">
        <f t="shared" si="181"/>
        <v>1500</v>
      </c>
      <c r="M1368" s="804">
        <f t="shared" si="172"/>
        <v>1500</v>
      </c>
      <c r="N1368" s="803" t="s">
        <v>18048</v>
      </c>
      <c r="O1368" s="805">
        <f t="shared" si="175"/>
        <v>1500</v>
      </c>
      <c r="P1368" s="805">
        <f t="shared" si="176"/>
        <v>1500</v>
      </c>
      <c r="Q1368" s="806">
        <f t="shared" si="177"/>
        <v>1500</v>
      </c>
    </row>
    <row r="1369" spans="1:17" x14ac:dyDescent="0.2">
      <c r="A1369" s="797" t="s">
        <v>18944</v>
      </c>
      <c r="B1369" s="798" t="s">
        <v>18560</v>
      </c>
      <c r="C1369" s="798" t="s">
        <v>18942</v>
      </c>
      <c r="D1369" s="798" t="s">
        <v>18945</v>
      </c>
      <c r="E1369" s="798" t="s">
        <v>18031</v>
      </c>
      <c r="F1369" s="798">
        <v>1</v>
      </c>
      <c r="G1369" s="798" t="s">
        <v>1103</v>
      </c>
      <c r="H1369" s="798" t="s">
        <v>1947</v>
      </c>
      <c r="I1369" s="799">
        <v>2000</v>
      </c>
      <c r="J1369" s="798">
        <v>1</v>
      </c>
      <c r="K1369" s="799">
        <f t="shared" si="180"/>
        <v>2000</v>
      </c>
      <c r="L1369" s="799">
        <f t="shared" si="181"/>
        <v>2000</v>
      </c>
      <c r="M1369" s="799">
        <f t="shared" si="172"/>
        <v>2000</v>
      </c>
      <c r="N1369" s="798" t="s">
        <v>18048</v>
      </c>
      <c r="O1369" s="800">
        <f t="shared" si="175"/>
        <v>2000</v>
      </c>
      <c r="P1369" s="800">
        <f t="shared" si="176"/>
        <v>2000</v>
      </c>
      <c r="Q1369" s="801">
        <f t="shared" si="177"/>
        <v>2000</v>
      </c>
    </row>
    <row r="1370" spans="1:17" x14ac:dyDescent="0.2">
      <c r="A1370" s="802" t="s">
        <v>18946</v>
      </c>
      <c r="B1370" s="803" t="s">
        <v>18560</v>
      </c>
      <c r="C1370" s="803" t="s">
        <v>18942</v>
      </c>
      <c r="D1370" s="803" t="s">
        <v>18947</v>
      </c>
      <c r="E1370" s="803" t="s">
        <v>18031</v>
      </c>
      <c r="F1370" s="803">
        <v>1</v>
      </c>
      <c r="G1370" s="803" t="s">
        <v>1103</v>
      </c>
      <c r="H1370" s="803" t="s">
        <v>1947</v>
      </c>
      <c r="I1370" s="804">
        <v>800</v>
      </c>
      <c r="J1370" s="803">
        <v>1</v>
      </c>
      <c r="K1370" s="804">
        <f t="shared" si="180"/>
        <v>800</v>
      </c>
      <c r="L1370" s="804">
        <f t="shared" si="181"/>
        <v>800</v>
      </c>
      <c r="M1370" s="804">
        <f t="shared" si="172"/>
        <v>800</v>
      </c>
      <c r="N1370" s="803" t="s">
        <v>18048</v>
      </c>
      <c r="O1370" s="805">
        <f t="shared" si="175"/>
        <v>800</v>
      </c>
      <c r="P1370" s="805">
        <f t="shared" si="176"/>
        <v>800</v>
      </c>
      <c r="Q1370" s="806">
        <f t="shared" si="177"/>
        <v>800</v>
      </c>
    </row>
    <row r="1371" spans="1:17" x14ac:dyDescent="0.2">
      <c r="A1371" s="797" t="s">
        <v>18948</v>
      </c>
      <c r="B1371" s="798" t="s">
        <v>18560</v>
      </c>
      <c r="C1371" s="798" t="s">
        <v>18942</v>
      </c>
      <c r="D1371" s="798" t="s">
        <v>18943</v>
      </c>
      <c r="E1371" s="798" t="s">
        <v>18054</v>
      </c>
      <c r="F1371" s="798">
        <v>2</v>
      </c>
      <c r="G1371" s="798" t="s">
        <v>122</v>
      </c>
      <c r="H1371" s="798" t="s">
        <v>1103</v>
      </c>
      <c r="I1371" s="799">
        <v>5000</v>
      </c>
      <c r="J1371" s="798">
        <v>1</v>
      </c>
      <c r="K1371" s="799">
        <f t="shared" si="180"/>
        <v>5000</v>
      </c>
      <c r="L1371" s="799">
        <f t="shared" si="181"/>
        <v>5000</v>
      </c>
      <c r="M1371" s="799">
        <f t="shared" si="172"/>
        <v>5000</v>
      </c>
      <c r="N1371" s="798" t="s">
        <v>18057</v>
      </c>
      <c r="O1371" s="800">
        <f t="shared" si="175"/>
        <v>5000</v>
      </c>
      <c r="P1371" s="800">
        <f t="shared" si="176"/>
        <v>5000</v>
      </c>
      <c r="Q1371" s="801">
        <f t="shared" si="177"/>
        <v>5000</v>
      </c>
    </row>
    <row r="1372" spans="1:17" x14ac:dyDescent="0.2">
      <c r="A1372" s="802" t="s">
        <v>18949</v>
      </c>
      <c r="B1372" s="803" t="s">
        <v>18560</v>
      </c>
      <c r="C1372" s="803" t="s">
        <v>18942</v>
      </c>
      <c r="D1372" s="803" t="s">
        <v>18945</v>
      </c>
      <c r="E1372" s="803" t="s">
        <v>18054</v>
      </c>
      <c r="F1372" s="803">
        <v>2</v>
      </c>
      <c r="G1372" s="803" t="s">
        <v>122</v>
      </c>
      <c r="H1372" s="803" t="s">
        <v>1103</v>
      </c>
      <c r="I1372" s="804">
        <v>5500</v>
      </c>
      <c r="J1372" s="803">
        <v>1</v>
      </c>
      <c r="K1372" s="804">
        <f t="shared" si="180"/>
        <v>5500</v>
      </c>
      <c r="L1372" s="804">
        <f t="shared" si="181"/>
        <v>5500</v>
      </c>
      <c r="M1372" s="804">
        <f t="shared" si="172"/>
        <v>5500</v>
      </c>
      <c r="N1372" s="803" t="s">
        <v>18057</v>
      </c>
      <c r="O1372" s="805">
        <f t="shared" si="175"/>
        <v>5500</v>
      </c>
      <c r="P1372" s="805">
        <f t="shared" si="176"/>
        <v>5500</v>
      </c>
      <c r="Q1372" s="806">
        <f t="shared" si="177"/>
        <v>5500</v>
      </c>
    </row>
    <row r="1373" spans="1:17" x14ac:dyDescent="0.2">
      <c r="A1373" s="797" t="s">
        <v>18950</v>
      </c>
      <c r="B1373" s="798" t="s">
        <v>18560</v>
      </c>
      <c r="C1373" s="798" t="s">
        <v>18942</v>
      </c>
      <c r="D1373" s="798" t="s">
        <v>18947</v>
      </c>
      <c r="E1373" s="798" t="s">
        <v>18054</v>
      </c>
      <c r="F1373" s="798">
        <v>2</v>
      </c>
      <c r="G1373" s="798" t="s">
        <v>122</v>
      </c>
      <c r="H1373" s="798" t="s">
        <v>1103</v>
      </c>
      <c r="I1373" s="799">
        <v>1700</v>
      </c>
      <c r="J1373" s="798">
        <v>1</v>
      </c>
      <c r="K1373" s="799">
        <f t="shared" si="180"/>
        <v>1700</v>
      </c>
      <c r="L1373" s="799">
        <f t="shared" si="181"/>
        <v>1700</v>
      </c>
      <c r="M1373" s="799">
        <f t="shared" si="172"/>
        <v>1700</v>
      </c>
      <c r="N1373" s="798" t="s">
        <v>18057</v>
      </c>
      <c r="O1373" s="800">
        <f t="shared" si="175"/>
        <v>1700</v>
      </c>
      <c r="P1373" s="800">
        <f t="shared" si="176"/>
        <v>1700</v>
      </c>
      <c r="Q1373" s="801">
        <f t="shared" si="177"/>
        <v>1700</v>
      </c>
    </row>
    <row r="1374" spans="1:17" x14ac:dyDescent="0.2">
      <c r="A1374" s="802" t="s">
        <v>18951</v>
      </c>
      <c r="B1374" s="803" t="s">
        <v>18560</v>
      </c>
      <c r="C1374" s="803" t="s">
        <v>18942</v>
      </c>
      <c r="D1374" s="803" t="s">
        <v>18943</v>
      </c>
      <c r="E1374" s="803" t="s">
        <v>18033</v>
      </c>
      <c r="F1374" s="803">
        <v>3</v>
      </c>
      <c r="G1374" s="803" t="s">
        <v>1103</v>
      </c>
      <c r="H1374" s="803" t="s">
        <v>1947</v>
      </c>
      <c r="I1374" s="804">
        <v>9000</v>
      </c>
      <c r="J1374" s="803">
        <v>1</v>
      </c>
      <c r="K1374" s="804">
        <f t="shared" si="180"/>
        <v>9000</v>
      </c>
      <c r="L1374" s="804">
        <f t="shared" si="181"/>
        <v>9000</v>
      </c>
      <c r="M1374" s="804">
        <f t="shared" si="172"/>
        <v>9000</v>
      </c>
      <c r="N1374" s="803" t="s">
        <v>18062</v>
      </c>
      <c r="O1374" s="805">
        <f t="shared" si="175"/>
        <v>9000</v>
      </c>
      <c r="P1374" s="805">
        <f t="shared" si="176"/>
        <v>9000</v>
      </c>
      <c r="Q1374" s="806">
        <f t="shared" si="177"/>
        <v>9000</v>
      </c>
    </row>
    <row r="1375" spans="1:17" x14ac:dyDescent="0.2">
      <c r="A1375" s="797" t="s">
        <v>18952</v>
      </c>
      <c r="B1375" s="798" t="s">
        <v>18560</v>
      </c>
      <c r="C1375" s="798" t="s">
        <v>18942</v>
      </c>
      <c r="D1375" s="798" t="s">
        <v>18945</v>
      </c>
      <c r="E1375" s="798" t="s">
        <v>18033</v>
      </c>
      <c r="F1375" s="798">
        <v>3</v>
      </c>
      <c r="G1375" s="798" t="s">
        <v>1103</v>
      </c>
      <c r="H1375" s="798" t="s">
        <v>1947</v>
      </c>
      <c r="I1375" s="799">
        <v>10000</v>
      </c>
      <c r="J1375" s="798">
        <v>1</v>
      </c>
      <c r="K1375" s="799">
        <f t="shared" si="180"/>
        <v>10000</v>
      </c>
      <c r="L1375" s="799">
        <f t="shared" si="181"/>
        <v>10000</v>
      </c>
      <c r="M1375" s="799">
        <f t="shared" si="172"/>
        <v>10000</v>
      </c>
      <c r="N1375" s="798" t="s">
        <v>18062</v>
      </c>
      <c r="O1375" s="800">
        <f t="shared" si="175"/>
        <v>10000</v>
      </c>
      <c r="P1375" s="800">
        <f t="shared" si="176"/>
        <v>10000</v>
      </c>
      <c r="Q1375" s="801">
        <f t="shared" si="177"/>
        <v>10000</v>
      </c>
    </row>
    <row r="1376" spans="1:17" x14ac:dyDescent="0.2">
      <c r="A1376" s="802" t="s">
        <v>18953</v>
      </c>
      <c r="B1376" s="803" t="s">
        <v>18560</v>
      </c>
      <c r="C1376" s="803" t="s">
        <v>18942</v>
      </c>
      <c r="D1376" s="803" t="s">
        <v>18947</v>
      </c>
      <c r="E1376" s="803" t="s">
        <v>18033</v>
      </c>
      <c r="F1376" s="803">
        <v>3</v>
      </c>
      <c r="G1376" s="803" t="s">
        <v>1103</v>
      </c>
      <c r="H1376" s="803" t="s">
        <v>1947</v>
      </c>
      <c r="I1376" s="804">
        <v>3000</v>
      </c>
      <c r="J1376" s="803">
        <v>1</v>
      </c>
      <c r="K1376" s="804">
        <f t="shared" si="180"/>
        <v>3000</v>
      </c>
      <c r="L1376" s="804">
        <f t="shared" si="181"/>
        <v>3000</v>
      </c>
      <c r="M1376" s="804">
        <f t="shared" si="172"/>
        <v>3000</v>
      </c>
      <c r="N1376" s="803" t="s">
        <v>18062</v>
      </c>
      <c r="O1376" s="805">
        <f t="shared" si="175"/>
        <v>3000</v>
      </c>
      <c r="P1376" s="805">
        <f t="shared" si="176"/>
        <v>3000</v>
      </c>
      <c r="Q1376" s="806">
        <f t="shared" si="177"/>
        <v>3000</v>
      </c>
    </row>
    <row r="1377" spans="1:17" x14ac:dyDescent="0.2">
      <c r="A1377" s="797" t="s">
        <v>18954</v>
      </c>
      <c r="B1377" s="798" t="s">
        <v>18560</v>
      </c>
      <c r="C1377" s="798" t="s">
        <v>18942</v>
      </c>
      <c r="D1377" s="798" t="s">
        <v>18943</v>
      </c>
      <c r="E1377" s="798" t="s">
        <v>18061</v>
      </c>
      <c r="F1377" s="798">
        <v>4</v>
      </c>
      <c r="G1377" s="798" t="s">
        <v>122</v>
      </c>
      <c r="H1377" s="798" t="s">
        <v>1103</v>
      </c>
      <c r="I1377" s="799">
        <v>15000</v>
      </c>
      <c r="J1377" s="798">
        <v>1</v>
      </c>
      <c r="K1377" s="799">
        <f t="shared" si="180"/>
        <v>15000</v>
      </c>
      <c r="L1377" s="799">
        <f t="shared" si="181"/>
        <v>15000</v>
      </c>
      <c r="M1377" s="799">
        <f t="shared" si="172"/>
        <v>15000</v>
      </c>
      <c r="N1377" s="798" t="s">
        <v>18188</v>
      </c>
      <c r="O1377" s="800">
        <f t="shared" si="175"/>
        <v>15000</v>
      </c>
      <c r="P1377" s="800">
        <f t="shared" si="176"/>
        <v>15000</v>
      </c>
      <c r="Q1377" s="801">
        <f t="shared" si="177"/>
        <v>15000</v>
      </c>
    </row>
    <row r="1378" spans="1:17" x14ac:dyDescent="0.2">
      <c r="A1378" s="802" t="s">
        <v>18955</v>
      </c>
      <c r="B1378" s="803" t="s">
        <v>18560</v>
      </c>
      <c r="C1378" s="803" t="s">
        <v>18942</v>
      </c>
      <c r="D1378" s="803" t="s">
        <v>18945</v>
      </c>
      <c r="E1378" s="803" t="s">
        <v>18061</v>
      </c>
      <c r="F1378" s="803">
        <v>4</v>
      </c>
      <c r="G1378" s="803" t="s">
        <v>122</v>
      </c>
      <c r="H1378" s="803" t="s">
        <v>1103</v>
      </c>
      <c r="I1378" s="804">
        <v>17000</v>
      </c>
      <c r="J1378" s="803">
        <v>1</v>
      </c>
      <c r="K1378" s="804">
        <f t="shared" si="180"/>
        <v>17000</v>
      </c>
      <c r="L1378" s="804">
        <f t="shared" si="181"/>
        <v>17000</v>
      </c>
      <c r="M1378" s="804">
        <f t="shared" si="172"/>
        <v>17000</v>
      </c>
      <c r="N1378" s="803" t="s">
        <v>18188</v>
      </c>
      <c r="O1378" s="805">
        <f t="shared" si="175"/>
        <v>17000</v>
      </c>
      <c r="P1378" s="805">
        <f t="shared" si="176"/>
        <v>17000</v>
      </c>
      <c r="Q1378" s="806">
        <f t="shared" si="177"/>
        <v>17000</v>
      </c>
    </row>
    <row r="1379" spans="1:17" x14ac:dyDescent="0.2">
      <c r="A1379" s="797" t="s">
        <v>18956</v>
      </c>
      <c r="B1379" s="798" t="s">
        <v>18560</v>
      </c>
      <c r="C1379" s="798" t="s">
        <v>18942</v>
      </c>
      <c r="D1379" s="798" t="s">
        <v>18947</v>
      </c>
      <c r="E1379" s="798" t="s">
        <v>18061</v>
      </c>
      <c r="F1379" s="798">
        <v>4</v>
      </c>
      <c r="G1379" s="798" t="s">
        <v>122</v>
      </c>
      <c r="H1379" s="798" t="s">
        <v>1103</v>
      </c>
      <c r="I1379" s="799">
        <v>5200</v>
      </c>
      <c r="J1379" s="798">
        <v>1</v>
      </c>
      <c r="K1379" s="799">
        <v>20800</v>
      </c>
      <c r="L1379" s="799">
        <v>20800</v>
      </c>
      <c r="M1379" s="799">
        <f t="shared" si="172"/>
        <v>5200</v>
      </c>
      <c r="N1379" s="798" t="s">
        <v>18188</v>
      </c>
      <c r="O1379" s="800">
        <f t="shared" si="175"/>
        <v>20800</v>
      </c>
      <c r="P1379" s="800">
        <f t="shared" si="176"/>
        <v>20800</v>
      </c>
      <c r="Q1379" s="801">
        <f t="shared" si="177"/>
        <v>5200</v>
      </c>
    </row>
    <row r="1380" spans="1:17" x14ac:dyDescent="0.2">
      <c r="A1380" s="802" t="s">
        <v>18957</v>
      </c>
      <c r="B1380" s="803" t="s">
        <v>18560</v>
      </c>
      <c r="C1380" s="803" t="s">
        <v>18942</v>
      </c>
      <c r="D1380" s="803" t="s">
        <v>18947</v>
      </c>
      <c r="E1380" s="803" t="s">
        <v>18039</v>
      </c>
      <c r="F1380" s="803">
        <v>5</v>
      </c>
      <c r="G1380" s="803" t="s">
        <v>10772</v>
      </c>
      <c r="H1380" s="803" t="s">
        <v>1947</v>
      </c>
      <c r="I1380" s="804">
        <v>25000</v>
      </c>
      <c r="J1380" s="803">
        <v>1</v>
      </c>
      <c r="K1380" s="804">
        <v>50000</v>
      </c>
      <c r="L1380" s="804">
        <v>50000</v>
      </c>
      <c r="M1380" s="804">
        <f t="shared" si="172"/>
        <v>25000</v>
      </c>
      <c r="N1380" s="803" t="s">
        <v>18192</v>
      </c>
      <c r="O1380" s="805">
        <f t="shared" si="175"/>
        <v>50000</v>
      </c>
      <c r="P1380" s="805">
        <f t="shared" si="176"/>
        <v>50000</v>
      </c>
      <c r="Q1380" s="806">
        <f t="shared" si="177"/>
        <v>25000</v>
      </c>
    </row>
    <row r="1381" spans="1:17" x14ac:dyDescent="0.2">
      <c r="A1381" s="797" t="s">
        <v>18958</v>
      </c>
      <c r="B1381" s="798" t="s">
        <v>18046</v>
      </c>
      <c r="C1381" s="798" t="s">
        <v>14308</v>
      </c>
      <c r="D1381" s="798" t="s">
        <v>18959</v>
      </c>
      <c r="E1381" s="798" t="s">
        <v>18019</v>
      </c>
      <c r="F1381" s="798">
        <v>1</v>
      </c>
      <c r="G1381" s="798" t="s">
        <v>10772</v>
      </c>
      <c r="H1381" s="798" t="s">
        <v>3779</v>
      </c>
      <c r="I1381" s="799">
        <v>100</v>
      </c>
      <c r="J1381" s="798">
        <v>1</v>
      </c>
      <c r="K1381" s="799">
        <f t="shared" ref="K1381:K1399" si="182">+I1381</f>
        <v>100</v>
      </c>
      <c r="L1381" s="799">
        <f t="shared" ref="L1381:L1399" si="183">+I1381</f>
        <v>100</v>
      </c>
      <c r="M1381" s="799">
        <f t="shared" si="172"/>
        <v>100</v>
      </c>
      <c r="N1381" s="798" t="s">
        <v>18048</v>
      </c>
      <c r="O1381" s="800">
        <f t="shared" si="175"/>
        <v>100</v>
      </c>
      <c r="P1381" s="800">
        <f t="shared" si="176"/>
        <v>100</v>
      </c>
      <c r="Q1381" s="801">
        <f t="shared" si="177"/>
        <v>100</v>
      </c>
    </row>
    <row r="1382" spans="1:17" x14ac:dyDescent="0.2">
      <c r="A1382" s="802" t="s">
        <v>18960</v>
      </c>
      <c r="B1382" s="803" t="s">
        <v>18046</v>
      </c>
      <c r="C1382" s="803" t="s">
        <v>14308</v>
      </c>
      <c r="D1382" s="803" t="s">
        <v>18961</v>
      </c>
      <c r="E1382" s="803" t="s">
        <v>18031</v>
      </c>
      <c r="F1382" s="803">
        <v>1</v>
      </c>
      <c r="G1382" s="803" t="s">
        <v>2837</v>
      </c>
      <c r="H1382" s="803" t="s">
        <v>3779</v>
      </c>
      <c r="I1382" s="804">
        <v>3000</v>
      </c>
      <c r="J1382" s="803">
        <v>1</v>
      </c>
      <c r="K1382" s="804">
        <f t="shared" si="182"/>
        <v>3000</v>
      </c>
      <c r="L1382" s="804">
        <f t="shared" si="183"/>
        <v>3000</v>
      </c>
      <c r="M1382" s="804">
        <f t="shared" si="172"/>
        <v>3000</v>
      </c>
      <c r="N1382" s="803" t="s">
        <v>18048</v>
      </c>
      <c r="O1382" s="805">
        <f t="shared" si="175"/>
        <v>3000</v>
      </c>
      <c r="P1382" s="805">
        <f t="shared" si="176"/>
        <v>3000</v>
      </c>
      <c r="Q1382" s="806">
        <f t="shared" si="177"/>
        <v>3000</v>
      </c>
    </row>
    <row r="1383" spans="1:17" x14ac:dyDescent="0.2">
      <c r="A1383" s="797" t="s">
        <v>18962</v>
      </c>
      <c r="B1383" s="798" t="s">
        <v>18046</v>
      </c>
      <c r="C1383" s="798" t="s">
        <v>14308</v>
      </c>
      <c r="D1383" s="798" t="s">
        <v>18961</v>
      </c>
      <c r="E1383" s="798" t="s">
        <v>18054</v>
      </c>
      <c r="F1383" s="798">
        <v>2</v>
      </c>
      <c r="G1383" s="798" t="s">
        <v>2837</v>
      </c>
      <c r="H1383" s="798" t="s">
        <v>3779</v>
      </c>
      <c r="I1383" s="799">
        <v>5000</v>
      </c>
      <c r="J1383" s="798">
        <v>1</v>
      </c>
      <c r="K1383" s="799">
        <f t="shared" si="182"/>
        <v>5000</v>
      </c>
      <c r="L1383" s="799">
        <f t="shared" si="183"/>
        <v>5000</v>
      </c>
      <c r="M1383" s="799">
        <f t="shared" si="172"/>
        <v>5000</v>
      </c>
      <c r="N1383" s="798" t="s">
        <v>18055</v>
      </c>
      <c r="O1383" s="800">
        <f t="shared" si="175"/>
        <v>5000</v>
      </c>
      <c r="P1383" s="800">
        <f t="shared" si="176"/>
        <v>5000</v>
      </c>
      <c r="Q1383" s="801">
        <f t="shared" si="177"/>
        <v>5000</v>
      </c>
    </row>
    <row r="1384" spans="1:17" x14ac:dyDescent="0.2">
      <c r="A1384" s="802" t="s">
        <v>18963</v>
      </c>
      <c r="B1384" s="803" t="s">
        <v>18046</v>
      </c>
      <c r="C1384" s="803" t="s">
        <v>14308</v>
      </c>
      <c r="D1384" s="803" t="s">
        <v>18961</v>
      </c>
      <c r="E1384" s="803" t="s">
        <v>18033</v>
      </c>
      <c r="F1384" s="803">
        <v>3</v>
      </c>
      <c r="G1384" s="803" t="s">
        <v>2837</v>
      </c>
      <c r="H1384" s="803" t="s">
        <v>3779</v>
      </c>
      <c r="I1384" s="804">
        <v>7000</v>
      </c>
      <c r="J1384" s="803">
        <v>1</v>
      </c>
      <c r="K1384" s="804">
        <f t="shared" si="182"/>
        <v>7000</v>
      </c>
      <c r="L1384" s="804">
        <f t="shared" si="183"/>
        <v>7000</v>
      </c>
      <c r="M1384" s="804">
        <f t="shared" si="172"/>
        <v>7000</v>
      </c>
      <c r="N1384" s="803" t="s">
        <v>18057</v>
      </c>
      <c r="O1384" s="805">
        <f t="shared" si="175"/>
        <v>7000</v>
      </c>
      <c r="P1384" s="805">
        <f t="shared" si="176"/>
        <v>7000</v>
      </c>
      <c r="Q1384" s="806">
        <f t="shared" si="177"/>
        <v>7000</v>
      </c>
    </row>
    <row r="1385" spans="1:17" x14ac:dyDescent="0.2">
      <c r="A1385" s="797" t="s">
        <v>18964</v>
      </c>
      <c r="B1385" s="798" t="s">
        <v>18046</v>
      </c>
      <c r="C1385" s="798" t="s">
        <v>14308</v>
      </c>
      <c r="D1385" s="798" t="s">
        <v>18965</v>
      </c>
      <c r="E1385" s="798" t="s">
        <v>18033</v>
      </c>
      <c r="F1385" s="798">
        <v>1</v>
      </c>
      <c r="G1385" s="798" t="s">
        <v>2837</v>
      </c>
      <c r="H1385" s="798" t="s">
        <v>3779</v>
      </c>
      <c r="I1385" s="799">
        <v>7000</v>
      </c>
      <c r="J1385" s="798">
        <v>1</v>
      </c>
      <c r="K1385" s="799">
        <f t="shared" si="182"/>
        <v>7000</v>
      </c>
      <c r="L1385" s="799">
        <f t="shared" si="183"/>
        <v>7000</v>
      </c>
      <c r="M1385" s="799">
        <f t="shared" si="172"/>
        <v>7000</v>
      </c>
      <c r="N1385" s="798" t="s">
        <v>18057</v>
      </c>
      <c r="O1385" s="800">
        <f t="shared" si="175"/>
        <v>7000</v>
      </c>
      <c r="P1385" s="800">
        <f t="shared" si="176"/>
        <v>7000</v>
      </c>
      <c r="Q1385" s="801">
        <f t="shared" si="177"/>
        <v>7000</v>
      </c>
    </row>
    <row r="1386" spans="1:17" x14ac:dyDescent="0.2">
      <c r="A1386" s="802" t="s">
        <v>18966</v>
      </c>
      <c r="B1386" s="803" t="s">
        <v>18046</v>
      </c>
      <c r="C1386" s="803" t="s">
        <v>14308</v>
      </c>
      <c r="D1386" s="803" t="s">
        <v>18965</v>
      </c>
      <c r="E1386" s="803" t="s">
        <v>18061</v>
      </c>
      <c r="F1386" s="803">
        <v>2</v>
      </c>
      <c r="G1386" s="803" t="s">
        <v>2837</v>
      </c>
      <c r="H1386" s="803" t="s">
        <v>3779</v>
      </c>
      <c r="I1386" s="804">
        <v>12000</v>
      </c>
      <c r="J1386" s="803">
        <v>1</v>
      </c>
      <c r="K1386" s="804">
        <f t="shared" si="182"/>
        <v>12000</v>
      </c>
      <c r="L1386" s="804">
        <f t="shared" si="183"/>
        <v>12000</v>
      </c>
      <c r="M1386" s="804">
        <f t="shared" si="172"/>
        <v>12000</v>
      </c>
      <c r="N1386" s="803" t="s">
        <v>18062</v>
      </c>
      <c r="O1386" s="805">
        <f t="shared" si="175"/>
        <v>12000</v>
      </c>
      <c r="P1386" s="805">
        <f t="shared" si="176"/>
        <v>12000</v>
      </c>
      <c r="Q1386" s="806">
        <f t="shared" si="177"/>
        <v>12000</v>
      </c>
    </row>
    <row r="1387" spans="1:17" x14ac:dyDescent="0.2">
      <c r="A1387" s="797" t="s">
        <v>18967</v>
      </c>
      <c r="B1387" s="798" t="s">
        <v>18046</v>
      </c>
      <c r="C1387" s="798" t="s">
        <v>14308</v>
      </c>
      <c r="D1387" s="798" t="s">
        <v>18959</v>
      </c>
      <c r="E1387" s="798" t="s">
        <v>18054</v>
      </c>
      <c r="F1387" s="798">
        <v>1</v>
      </c>
      <c r="G1387" s="798" t="s">
        <v>10772</v>
      </c>
      <c r="H1387" s="798" t="s">
        <v>3779</v>
      </c>
      <c r="I1387" s="799">
        <v>26000</v>
      </c>
      <c r="J1387" s="798">
        <v>1</v>
      </c>
      <c r="K1387" s="799">
        <f t="shared" si="182"/>
        <v>26000</v>
      </c>
      <c r="L1387" s="799">
        <f t="shared" si="183"/>
        <v>26000</v>
      </c>
      <c r="M1387" s="799">
        <f t="shared" si="172"/>
        <v>26000</v>
      </c>
      <c r="N1387" s="798" t="s">
        <v>18055</v>
      </c>
      <c r="O1387" s="800">
        <f t="shared" si="175"/>
        <v>26000</v>
      </c>
      <c r="P1387" s="800">
        <f t="shared" si="176"/>
        <v>26000</v>
      </c>
      <c r="Q1387" s="801">
        <f t="shared" si="177"/>
        <v>26000</v>
      </c>
    </row>
    <row r="1388" spans="1:17" x14ac:dyDescent="0.2">
      <c r="A1388" s="802" t="s">
        <v>18968</v>
      </c>
      <c r="B1388" s="803" t="s">
        <v>18046</v>
      </c>
      <c r="C1388" s="803" t="s">
        <v>14308</v>
      </c>
      <c r="D1388" s="803" t="s">
        <v>18959</v>
      </c>
      <c r="E1388" s="803" t="s">
        <v>18033</v>
      </c>
      <c r="F1388" s="803">
        <v>2</v>
      </c>
      <c r="G1388" s="803" t="s">
        <v>10772</v>
      </c>
      <c r="H1388" s="803" t="s">
        <v>3779</v>
      </c>
      <c r="I1388" s="804">
        <v>30000</v>
      </c>
      <c r="J1388" s="803">
        <v>1</v>
      </c>
      <c r="K1388" s="804">
        <f t="shared" si="182"/>
        <v>30000</v>
      </c>
      <c r="L1388" s="804">
        <f t="shared" si="183"/>
        <v>30000</v>
      </c>
      <c r="M1388" s="804">
        <f t="shared" si="172"/>
        <v>30000</v>
      </c>
      <c r="N1388" s="803" t="s">
        <v>18055</v>
      </c>
      <c r="O1388" s="805">
        <f t="shared" si="175"/>
        <v>30000</v>
      </c>
      <c r="P1388" s="805">
        <f t="shared" si="176"/>
        <v>30000</v>
      </c>
      <c r="Q1388" s="806">
        <f t="shared" si="177"/>
        <v>30000</v>
      </c>
    </row>
    <row r="1389" spans="1:17" x14ac:dyDescent="0.2">
      <c r="A1389" s="797" t="s">
        <v>18969</v>
      </c>
      <c r="B1389" s="798" t="s">
        <v>18588</v>
      </c>
      <c r="C1389" s="798" t="s">
        <v>18970</v>
      </c>
      <c r="D1389" s="798" t="s">
        <v>18971</v>
      </c>
      <c r="E1389" s="798" t="s">
        <v>18031</v>
      </c>
      <c r="F1389" s="798">
        <v>1</v>
      </c>
      <c r="G1389" s="798" t="s">
        <v>122</v>
      </c>
      <c r="H1389" s="798" t="s">
        <v>1103</v>
      </c>
      <c r="I1389" s="799">
        <v>1500</v>
      </c>
      <c r="J1389" s="798">
        <v>1</v>
      </c>
      <c r="K1389" s="799">
        <f t="shared" si="182"/>
        <v>1500</v>
      </c>
      <c r="L1389" s="799">
        <f t="shared" si="183"/>
        <v>1500</v>
      </c>
      <c r="M1389" s="799">
        <f t="shared" si="172"/>
        <v>1500</v>
      </c>
      <c r="N1389" s="798" t="s">
        <v>18048</v>
      </c>
      <c r="O1389" s="800">
        <f t="shared" si="175"/>
        <v>1500</v>
      </c>
      <c r="P1389" s="800">
        <f t="shared" si="176"/>
        <v>1500</v>
      </c>
      <c r="Q1389" s="801">
        <f t="shared" si="177"/>
        <v>1500</v>
      </c>
    </row>
    <row r="1390" spans="1:17" x14ac:dyDescent="0.2">
      <c r="A1390" s="802" t="s">
        <v>18972</v>
      </c>
      <c r="B1390" s="803" t="s">
        <v>18588</v>
      </c>
      <c r="C1390" s="803" t="s">
        <v>18970</v>
      </c>
      <c r="D1390" s="803" t="s">
        <v>18973</v>
      </c>
      <c r="E1390" s="803" t="s">
        <v>18031</v>
      </c>
      <c r="F1390" s="803">
        <v>1</v>
      </c>
      <c r="G1390" s="803" t="s">
        <v>122</v>
      </c>
      <c r="H1390" s="803" t="s">
        <v>1103</v>
      </c>
      <c r="I1390" s="804">
        <v>2000</v>
      </c>
      <c r="J1390" s="803">
        <v>1</v>
      </c>
      <c r="K1390" s="804">
        <f t="shared" si="182"/>
        <v>2000</v>
      </c>
      <c r="L1390" s="804">
        <f t="shared" si="183"/>
        <v>2000</v>
      </c>
      <c r="M1390" s="804">
        <f t="shared" si="172"/>
        <v>2000</v>
      </c>
      <c r="N1390" s="803" t="s">
        <v>18048</v>
      </c>
      <c r="O1390" s="805">
        <f t="shared" si="175"/>
        <v>2000</v>
      </c>
      <c r="P1390" s="805">
        <f t="shared" si="176"/>
        <v>2000</v>
      </c>
      <c r="Q1390" s="806">
        <f t="shared" si="177"/>
        <v>2000</v>
      </c>
    </row>
    <row r="1391" spans="1:17" x14ac:dyDescent="0.2">
      <c r="A1391" s="797" t="s">
        <v>18974</v>
      </c>
      <c r="B1391" s="798" t="s">
        <v>18588</v>
      </c>
      <c r="C1391" s="798" t="s">
        <v>18970</v>
      </c>
      <c r="D1391" s="798" t="s">
        <v>18975</v>
      </c>
      <c r="E1391" s="798" t="s">
        <v>18031</v>
      </c>
      <c r="F1391" s="798">
        <v>1</v>
      </c>
      <c r="G1391" s="798" t="s">
        <v>122</v>
      </c>
      <c r="H1391" s="798" t="s">
        <v>1103</v>
      </c>
      <c r="I1391" s="799">
        <v>3000</v>
      </c>
      <c r="J1391" s="798">
        <v>1</v>
      </c>
      <c r="K1391" s="799">
        <f t="shared" si="182"/>
        <v>3000</v>
      </c>
      <c r="L1391" s="799">
        <f t="shared" si="183"/>
        <v>3000</v>
      </c>
      <c r="M1391" s="799">
        <f t="shared" si="172"/>
        <v>3000</v>
      </c>
      <c r="N1391" s="798" t="s">
        <v>18048</v>
      </c>
      <c r="O1391" s="800">
        <f t="shared" si="175"/>
        <v>3000</v>
      </c>
      <c r="P1391" s="800">
        <f t="shared" si="176"/>
        <v>3000</v>
      </c>
      <c r="Q1391" s="801">
        <f t="shared" si="177"/>
        <v>3000</v>
      </c>
    </row>
    <row r="1392" spans="1:17" x14ac:dyDescent="0.2">
      <c r="A1392" s="802" t="s">
        <v>18976</v>
      </c>
      <c r="B1392" s="803" t="s">
        <v>18588</v>
      </c>
      <c r="C1392" s="803" t="s">
        <v>18970</v>
      </c>
      <c r="D1392" s="803" t="s">
        <v>18971</v>
      </c>
      <c r="E1392" s="803" t="s">
        <v>18054</v>
      </c>
      <c r="F1392" s="803">
        <v>2</v>
      </c>
      <c r="G1392" s="803" t="s">
        <v>1947</v>
      </c>
      <c r="H1392" s="803" t="s">
        <v>122</v>
      </c>
      <c r="I1392" s="804">
        <v>5000</v>
      </c>
      <c r="J1392" s="803">
        <v>1</v>
      </c>
      <c r="K1392" s="804">
        <f t="shared" si="182"/>
        <v>5000</v>
      </c>
      <c r="L1392" s="804">
        <f t="shared" si="183"/>
        <v>5000</v>
      </c>
      <c r="M1392" s="804">
        <f t="shared" si="172"/>
        <v>5000</v>
      </c>
      <c r="N1392" s="803" t="s">
        <v>18057</v>
      </c>
      <c r="O1392" s="805">
        <f t="shared" si="175"/>
        <v>5000</v>
      </c>
      <c r="P1392" s="805">
        <f t="shared" si="176"/>
        <v>5000</v>
      </c>
      <c r="Q1392" s="806">
        <f t="shared" si="177"/>
        <v>5000</v>
      </c>
    </row>
    <row r="1393" spans="1:17" x14ac:dyDescent="0.2">
      <c r="A1393" s="797" t="s">
        <v>18977</v>
      </c>
      <c r="B1393" s="798" t="s">
        <v>18588</v>
      </c>
      <c r="C1393" s="798" t="s">
        <v>18970</v>
      </c>
      <c r="D1393" s="798" t="s">
        <v>18973</v>
      </c>
      <c r="E1393" s="798" t="s">
        <v>18054</v>
      </c>
      <c r="F1393" s="798">
        <v>2</v>
      </c>
      <c r="G1393" s="798" t="s">
        <v>1947</v>
      </c>
      <c r="H1393" s="798" t="s">
        <v>122</v>
      </c>
      <c r="I1393" s="799">
        <v>5500</v>
      </c>
      <c r="J1393" s="798">
        <v>1</v>
      </c>
      <c r="K1393" s="799">
        <f t="shared" si="182"/>
        <v>5500</v>
      </c>
      <c r="L1393" s="799">
        <f t="shared" si="183"/>
        <v>5500</v>
      </c>
      <c r="M1393" s="799">
        <f t="shared" si="172"/>
        <v>5500</v>
      </c>
      <c r="N1393" s="798" t="s">
        <v>18057</v>
      </c>
      <c r="O1393" s="800">
        <f t="shared" si="175"/>
        <v>5500</v>
      </c>
      <c r="P1393" s="800">
        <f t="shared" si="176"/>
        <v>5500</v>
      </c>
      <c r="Q1393" s="801">
        <f t="shared" si="177"/>
        <v>5500</v>
      </c>
    </row>
    <row r="1394" spans="1:17" x14ac:dyDescent="0.2">
      <c r="A1394" s="802" t="s">
        <v>18978</v>
      </c>
      <c r="B1394" s="803" t="s">
        <v>18588</v>
      </c>
      <c r="C1394" s="803" t="s">
        <v>18970</v>
      </c>
      <c r="D1394" s="803" t="s">
        <v>18975</v>
      </c>
      <c r="E1394" s="803" t="s">
        <v>18054</v>
      </c>
      <c r="F1394" s="803">
        <v>2</v>
      </c>
      <c r="G1394" s="803" t="s">
        <v>1947</v>
      </c>
      <c r="H1394" s="803" t="s">
        <v>122</v>
      </c>
      <c r="I1394" s="804">
        <v>7000</v>
      </c>
      <c r="J1394" s="803">
        <v>1</v>
      </c>
      <c r="K1394" s="804">
        <f t="shared" si="182"/>
        <v>7000</v>
      </c>
      <c r="L1394" s="804">
        <f t="shared" si="183"/>
        <v>7000</v>
      </c>
      <c r="M1394" s="804">
        <f t="shared" ref="M1394:M1457" si="184">+I1394</f>
        <v>7000</v>
      </c>
      <c r="N1394" s="803" t="s">
        <v>18057</v>
      </c>
      <c r="O1394" s="805">
        <f t="shared" si="175"/>
        <v>7000</v>
      </c>
      <c r="P1394" s="805">
        <f t="shared" si="176"/>
        <v>7000</v>
      </c>
      <c r="Q1394" s="806">
        <f t="shared" si="177"/>
        <v>7000</v>
      </c>
    </row>
    <row r="1395" spans="1:17" x14ac:dyDescent="0.2">
      <c r="A1395" s="797" t="s">
        <v>18979</v>
      </c>
      <c r="B1395" s="798" t="s">
        <v>18588</v>
      </c>
      <c r="C1395" s="798" t="s">
        <v>18970</v>
      </c>
      <c r="D1395" s="798" t="s">
        <v>18971</v>
      </c>
      <c r="E1395" s="798" t="s">
        <v>18033</v>
      </c>
      <c r="F1395" s="798">
        <v>3</v>
      </c>
      <c r="G1395" s="798" t="s">
        <v>122</v>
      </c>
      <c r="H1395" s="798" t="s">
        <v>1103</v>
      </c>
      <c r="I1395" s="799">
        <v>9000</v>
      </c>
      <c r="J1395" s="798">
        <v>1</v>
      </c>
      <c r="K1395" s="799">
        <f t="shared" si="182"/>
        <v>9000</v>
      </c>
      <c r="L1395" s="799">
        <f t="shared" si="183"/>
        <v>9000</v>
      </c>
      <c r="M1395" s="799">
        <f t="shared" si="184"/>
        <v>9000</v>
      </c>
      <c r="N1395" s="798" t="s">
        <v>18062</v>
      </c>
      <c r="O1395" s="800">
        <f t="shared" si="175"/>
        <v>9000</v>
      </c>
      <c r="P1395" s="800">
        <f t="shared" si="176"/>
        <v>9000</v>
      </c>
      <c r="Q1395" s="801">
        <f t="shared" si="177"/>
        <v>9000</v>
      </c>
    </row>
    <row r="1396" spans="1:17" x14ac:dyDescent="0.2">
      <c r="A1396" s="802" t="s">
        <v>18980</v>
      </c>
      <c r="B1396" s="803" t="s">
        <v>18588</v>
      </c>
      <c r="C1396" s="803" t="s">
        <v>18970</v>
      </c>
      <c r="D1396" s="803" t="s">
        <v>18973</v>
      </c>
      <c r="E1396" s="803" t="s">
        <v>18033</v>
      </c>
      <c r="F1396" s="803">
        <v>3</v>
      </c>
      <c r="G1396" s="803" t="s">
        <v>122</v>
      </c>
      <c r="H1396" s="803" t="s">
        <v>1103</v>
      </c>
      <c r="I1396" s="804">
        <v>10000</v>
      </c>
      <c r="J1396" s="803">
        <v>1</v>
      </c>
      <c r="K1396" s="804">
        <f t="shared" si="182"/>
        <v>10000</v>
      </c>
      <c r="L1396" s="804">
        <f t="shared" si="183"/>
        <v>10000</v>
      </c>
      <c r="M1396" s="804">
        <f t="shared" si="184"/>
        <v>10000</v>
      </c>
      <c r="N1396" s="803" t="s">
        <v>18062</v>
      </c>
      <c r="O1396" s="805">
        <f t="shared" si="175"/>
        <v>10000</v>
      </c>
      <c r="P1396" s="805">
        <f t="shared" si="176"/>
        <v>10000</v>
      </c>
      <c r="Q1396" s="806">
        <f t="shared" si="177"/>
        <v>10000</v>
      </c>
    </row>
    <row r="1397" spans="1:17" x14ac:dyDescent="0.2">
      <c r="A1397" s="797" t="s">
        <v>18981</v>
      </c>
      <c r="B1397" s="798" t="s">
        <v>18588</v>
      </c>
      <c r="C1397" s="798" t="s">
        <v>18970</v>
      </c>
      <c r="D1397" s="798" t="s">
        <v>18975</v>
      </c>
      <c r="E1397" s="798" t="s">
        <v>18033</v>
      </c>
      <c r="F1397" s="798">
        <v>3</v>
      </c>
      <c r="G1397" s="798" t="s">
        <v>122</v>
      </c>
      <c r="H1397" s="798" t="s">
        <v>1103</v>
      </c>
      <c r="I1397" s="799">
        <v>12000</v>
      </c>
      <c r="J1397" s="798">
        <v>1</v>
      </c>
      <c r="K1397" s="799">
        <f t="shared" si="182"/>
        <v>12000</v>
      </c>
      <c r="L1397" s="799">
        <f t="shared" si="183"/>
        <v>12000</v>
      </c>
      <c r="M1397" s="799">
        <f t="shared" si="184"/>
        <v>12000</v>
      </c>
      <c r="N1397" s="798" t="s">
        <v>18062</v>
      </c>
      <c r="O1397" s="800">
        <f t="shared" si="175"/>
        <v>12000</v>
      </c>
      <c r="P1397" s="800">
        <f t="shared" si="176"/>
        <v>12000</v>
      </c>
      <c r="Q1397" s="801">
        <f t="shared" si="177"/>
        <v>12000</v>
      </c>
    </row>
    <row r="1398" spans="1:17" x14ac:dyDescent="0.2">
      <c r="A1398" s="802" t="s">
        <v>18982</v>
      </c>
      <c r="B1398" s="803" t="s">
        <v>18588</v>
      </c>
      <c r="C1398" s="803" t="s">
        <v>18970</v>
      </c>
      <c r="D1398" s="803" t="s">
        <v>18971</v>
      </c>
      <c r="E1398" s="803" t="s">
        <v>18061</v>
      </c>
      <c r="F1398" s="803">
        <v>4</v>
      </c>
      <c r="G1398" s="803" t="s">
        <v>1947</v>
      </c>
      <c r="H1398" s="803" t="s">
        <v>122</v>
      </c>
      <c r="I1398" s="804">
        <v>15000</v>
      </c>
      <c r="J1398" s="803">
        <v>1</v>
      </c>
      <c r="K1398" s="804">
        <f t="shared" si="182"/>
        <v>15000</v>
      </c>
      <c r="L1398" s="804">
        <f t="shared" si="183"/>
        <v>15000</v>
      </c>
      <c r="M1398" s="804">
        <f t="shared" si="184"/>
        <v>15000</v>
      </c>
      <c r="N1398" s="803" t="s">
        <v>18188</v>
      </c>
      <c r="O1398" s="805">
        <f t="shared" si="175"/>
        <v>15000</v>
      </c>
      <c r="P1398" s="805">
        <f t="shared" si="176"/>
        <v>15000</v>
      </c>
      <c r="Q1398" s="806">
        <f t="shared" si="177"/>
        <v>15000</v>
      </c>
    </row>
    <row r="1399" spans="1:17" x14ac:dyDescent="0.2">
      <c r="A1399" s="797" t="s">
        <v>18983</v>
      </c>
      <c r="B1399" s="798" t="s">
        <v>18588</v>
      </c>
      <c r="C1399" s="798" t="s">
        <v>18970</v>
      </c>
      <c r="D1399" s="798" t="s">
        <v>18973</v>
      </c>
      <c r="E1399" s="798" t="s">
        <v>18061</v>
      </c>
      <c r="F1399" s="798">
        <v>4</v>
      </c>
      <c r="G1399" s="798" t="s">
        <v>1947</v>
      </c>
      <c r="H1399" s="798" t="s">
        <v>122</v>
      </c>
      <c r="I1399" s="799">
        <v>17000</v>
      </c>
      <c r="J1399" s="798">
        <v>1</v>
      </c>
      <c r="K1399" s="799">
        <f t="shared" si="182"/>
        <v>17000</v>
      </c>
      <c r="L1399" s="799">
        <f t="shared" si="183"/>
        <v>17000</v>
      </c>
      <c r="M1399" s="799">
        <f t="shared" si="184"/>
        <v>17000</v>
      </c>
      <c r="N1399" s="798" t="s">
        <v>18188</v>
      </c>
      <c r="O1399" s="800">
        <f t="shared" si="175"/>
        <v>17000</v>
      </c>
      <c r="P1399" s="800">
        <f t="shared" si="176"/>
        <v>17000</v>
      </c>
      <c r="Q1399" s="801">
        <f t="shared" si="177"/>
        <v>17000</v>
      </c>
    </row>
    <row r="1400" spans="1:17" x14ac:dyDescent="0.2">
      <c r="A1400" s="802" t="s">
        <v>18984</v>
      </c>
      <c r="B1400" s="803" t="s">
        <v>18588</v>
      </c>
      <c r="C1400" s="803" t="s">
        <v>18970</v>
      </c>
      <c r="D1400" s="803" t="s">
        <v>18975</v>
      </c>
      <c r="E1400" s="803" t="s">
        <v>18061</v>
      </c>
      <c r="F1400" s="803">
        <v>4</v>
      </c>
      <c r="G1400" s="803" t="s">
        <v>10772</v>
      </c>
      <c r="H1400" s="803" t="s">
        <v>122</v>
      </c>
      <c r="I1400" s="804">
        <v>22000</v>
      </c>
      <c r="J1400" s="803">
        <v>1</v>
      </c>
      <c r="K1400" s="804">
        <v>50000</v>
      </c>
      <c r="L1400" s="804">
        <v>50000</v>
      </c>
      <c r="M1400" s="804">
        <f t="shared" si="184"/>
        <v>22000</v>
      </c>
      <c r="N1400" s="803" t="s">
        <v>18188</v>
      </c>
      <c r="O1400" s="805">
        <f t="shared" si="175"/>
        <v>50000</v>
      </c>
      <c r="P1400" s="805">
        <f t="shared" si="176"/>
        <v>50000</v>
      </c>
      <c r="Q1400" s="806">
        <f t="shared" si="177"/>
        <v>22000</v>
      </c>
    </row>
    <row r="1401" spans="1:17" x14ac:dyDescent="0.2">
      <c r="A1401" s="797" t="s">
        <v>18985</v>
      </c>
      <c r="B1401" s="798" t="s">
        <v>18588</v>
      </c>
      <c r="C1401" s="798" t="s">
        <v>18970</v>
      </c>
      <c r="D1401" s="798" t="s">
        <v>18975</v>
      </c>
      <c r="E1401" s="798" t="s">
        <v>18039</v>
      </c>
      <c r="F1401" s="798">
        <v>5</v>
      </c>
      <c r="G1401" s="798" t="s">
        <v>10772</v>
      </c>
      <c r="H1401" s="798" t="s">
        <v>1103</v>
      </c>
      <c r="I1401" s="799">
        <v>25000</v>
      </c>
      <c r="J1401" s="798">
        <v>1</v>
      </c>
      <c r="K1401" s="799">
        <v>70000</v>
      </c>
      <c r="L1401" s="799">
        <v>70000</v>
      </c>
      <c r="M1401" s="799">
        <f t="shared" si="184"/>
        <v>25000</v>
      </c>
      <c r="N1401" s="798" t="s">
        <v>18192</v>
      </c>
      <c r="O1401" s="800">
        <f t="shared" si="175"/>
        <v>70000</v>
      </c>
      <c r="P1401" s="800">
        <f t="shared" si="176"/>
        <v>70000</v>
      </c>
      <c r="Q1401" s="801">
        <f t="shared" si="177"/>
        <v>25000</v>
      </c>
    </row>
    <row r="1402" spans="1:17" x14ac:dyDescent="0.2">
      <c r="A1402" s="802" t="s">
        <v>18986</v>
      </c>
      <c r="B1402" s="803" t="s">
        <v>18588</v>
      </c>
      <c r="C1402" s="803" t="s">
        <v>18970</v>
      </c>
      <c r="D1402" s="803" t="s">
        <v>18975</v>
      </c>
      <c r="E1402" s="803" t="s">
        <v>18721</v>
      </c>
      <c r="F1402" s="803">
        <v>6</v>
      </c>
      <c r="G1402" s="803" t="s">
        <v>10772</v>
      </c>
      <c r="H1402" s="803" t="s">
        <v>122</v>
      </c>
      <c r="I1402" s="804">
        <v>32000</v>
      </c>
      <c r="J1402" s="803">
        <v>1</v>
      </c>
      <c r="K1402" s="804">
        <v>70000</v>
      </c>
      <c r="L1402" s="804">
        <v>70000</v>
      </c>
      <c r="M1402" s="804">
        <f t="shared" si="184"/>
        <v>32000</v>
      </c>
      <c r="N1402" s="803" t="s">
        <v>18192</v>
      </c>
      <c r="O1402" s="805">
        <f t="shared" si="175"/>
        <v>70000</v>
      </c>
      <c r="P1402" s="805">
        <f t="shared" si="176"/>
        <v>70000</v>
      </c>
      <c r="Q1402" s="806">
        <f t="shared" si="177"/>
        <v>32000</v>
      </c>
    </row>
    <row r="1403" spans="1:17" x14ac:dyDescent="0.2">
      <c r="A1403" s="797" t="s">
        <v>18987</v>
      </c>
      <c r="B1403" s="798" t="s">
        <v>18017</v>
      </c>
      <c r="C1403" s="798" t="s">
        <v>14311</v>
      </c>
      <c r="D1403" s="798" t="s">
        <v>18988</v>
      </c>
      <c r="E1403" s="798" t="s">
        <v>18019</v>
      </c>
      <c r="F1403" s="798">
        <v>1</v>
      </c>
      <c r="G1403" s="798" t="s">
        <v>2837</v>
      </c>
      <c r="H1403" s="798" t="s">
        <v>2837</v>
      </c>
      <c r="I1403" s="799">
        <v>1500</v>
      </c>
      <c r="J1403" s="798">
        <v>1</v>
      </c>
      <c r="K1403" s="799">
        <f t="shared" ref="K1403:K1409" si="185">+I1403</f>
        <v>1500</v>
      </c>
      <c r="L1403" s="799">
        <f t="shared" ref="L1403:L1409" si="186">+I1403</f>
        <v>1500</v>
      </c>
      <c r="M1403" s="799">
        <f t="shared" si="184"/>
        <v>1500</v>
      </c>
      <c r="N1403" s="798" t="s">
        <v>18020</v>
      </c>
      <c r="O1403" s="800">
        <f t="shared" si="175"/>
        <v>1500</v>
      </c>
      <c r="P1403" s="800">
        <f t="shared" si="176"/>
        <v>1500</v>
      </c>
      <c r="Q1403" s="801">
        <f t="shared" si="177"/>
        <v>1500</v>
      </c>
    </row>
    <row r="1404" spans="1:17" x14ac:dyDescent="0.2">
      <c r="A1404" s="802" t="s">
        <v>18989</v>
      </c>
      <c r="B1404" s="803" t="s">
        <v>18017</v>
      </c>
      <c r="C1404" s="803" t="s">
        <v>14311</v>
      </c>
      <c r="D1404" s="803" t="s">
        <v>18990</v>
      </c>
      <c r="E1404" s="803" t="s">
        <v>18031</v>
      </c>
      <c r="F1404" s="803">
        <v>1</v>
      </c>
      <c r="G1404" s="803" t="s">
        <v>2837</v>
      </c>
      <c r="H1404" s="803" t="s">
        <v>3779</v>
      </c>
      <c r="I1404" s="804">
        <v>2000</v>
      </c>
      <c r="J1404" s="803">
        <v>1</v>
      </c>
      <c r="K1404" s="804">
        <f t="shared" si="185"/>
        <v>2000</v>
      </c>
      <c r="L1404" s="804">
        <f t="shared" si="186"/>
        <v>2000</v>
      </c>
      <c r="M1404" s="804">
        <f t="shared" si="184"/>
        <v>2000</v>
      </c>
      <c r="N1404" s="803" t="s">
        <v>18020</v>
      </c>
      <c r="O1404" s="805">
        <f t="shared" si="175"/>
        <v>2000</v>
      </c>
      <c r="P1404" s="805">
        <f t="shared" si="176"/>
        <v>2000</v>
      </c>
      <c r="Q1404" s="806">
        <f t="shared" si="177"/>
        <v>2000</v>
      </c>
    </row>
    <row r="1405" spans="1:17" x14ac:dyDescent="0.2">
      <c r="A1405" s="797" t="s">
        <v>18991</v>
      </c>
      <c r="B1405" s="798" t="s">
        <v>18017</v>
      </c>
      <c r="C1405" s="798" t="s">
        <v>14311</v>
      </c>
      <c r="D1405" s="798" t="s">
        <v>18990</v>
      </c>
      <c r="E1405" s="798" t="s">
        <v>18033</v>
      </c>
      <c r="F1405" s="798">
        <v>2</v>
      </c>
      <c r="G1405" s="798" t="s">
        <v>2837</v>
      </c>
      <c r="H1405" s="798" t="s">
        <v>3779</v>
      </c>
      <c r="I1405" s="799">
        <v>5200</v>
      </c>
      <c r="J1405" s="798">
        <v>1</v>
      </c>
      <c r="K1405" s="799">
        <f t="shared" si="185"/>
        <v>5200</v>
      </c>
      <c r="L1405" s="799">
        <f t="shared" si="186"/>
        <v>5200</v>
      </c>
      <c r="M1405" s="799">
        <f t="shared" si="184"/>
        <v>5200</v>
      </c>
      <c r="N1405" s="798" t="s">
        <v>18037</v>
      </c>
      <c r="O1405" s="800">
        <f t="shared" si="175"/>
        <v>5200</v>
      </c>
      <c r="P1405" s="800">
        <f t="shared" si="176"/>
        <v>5200</v>
      </c>
      <c r="Q1405" s="801">
        <f t="shared" si="177"/>
        <v>5200</v>
      </c>
    </row>
    <row r="1406" spans="1:17" x14ac:dyDescent="0.2">
      <c r="A1406" s="802" t="s">
        <v>18992</v>
      </c>
      <c r="B1406" s="803" t="s">
        <v>18017</v>
      </c>
      <c r="C1406" s="803" t="s">
        <v>14311</v>
      </c>
      <c r="D1406" s="803" t="s">
        <v>18993</v>
      </c>
      <c r="E1406" s="803" t="s">
        <v>18031</v>
      </c>
      <c r="F1406" s="803">
        <v>1</v>
      </c>
      <c r="G1406" s="803" t="s">
        <v>2837</v>
      </c>
      <c r="H1406" s="803" t="s">
        <v>3779</v>
      </c>
      <c r="I1406" s="804">
        <v>2500</v>
      </c>
      <c r="J1406" s="803">
        <v>1</v>
      </c>
      <c r="K1406" s="804">
        <f t="shared" si="185"/>
        <v>2500</v>
      </c>
      <c r="L1406" s="804">
        <f t="shared" si="186"/>
        <v>2500</v>
      </c>
      <c r="M1406" s="804">
        <f t="shared" si="184"/>
        <v>2500</v>
      </c>
      <c r="N1406" s="803" t="s">
        <v>18020</v>
      </c>
      <c r="O1406" s="805">
        <f t="shared" si="175"/>
        <v>2500</v>
      </c>
      <c r="P1406" s="805">
        <f t="shared" si="176"/>
        <v>2500</v>
      </c>
      <c r="Q1406" s="806">
        <f t="shared" si="177"/>
        <v>2500</v>
      </c>
    </row>
    <row r="1407" spans="1:17" x14ac:dyDescent="0.2">
      <c r="A1407" s="797" t="s">
        <v>18994</v>
      </c>
      <c r="B1407" s="798" t="s">
        <v>18017</v>
      </c>
      <c r="C1407" s="798" t="s">
        <v>14311</v>
      </c>
      <c r="D1407" s="798" t="s">
        <v>18993</v>
      </c>
      <c r="E1407" s="798" t="s">
        <v>18033</v>
      </c>
      <c r="F1407" s="798">
        <v>2</v>
      </c>
      <c r="G1407" s="798" t="s">
        <v>2837</v>
      </c>
      <c r="H1407" s="798" t="s">
        <v>3779</v>
      </c>
      <c r="I1407" s="799">
        <v>7800</v>
      </c>
      <c r="J1407" s="798">
        <v>1</v>
      </c>
      <c r="K1407" s="799">
        <f t="shared" si="185"/>
        <v>7800</v>
      </c>
      <c r="L1407" s="799">
        <f t="shared" si="186"/>
        <v>7800</v>
      </c>
      <c r="M1407" s="799">
        <f t="shared" si="184"/>
        <v>7800</v>
      </c>
      <c r="N1407" s="798" t="s">
        <v>18037</v>
      </c>
      <c r="O1407" s="800">
        <f t="shared" si="175"/>
        <v>7800</v>
      </c>
      <c r="P1407" s="800">
        <f t="shared" si="176"/>
        <v>7800</v>
      </c>
      <c r="Q1407" s="801">
        <f t="shared" si="177"/>
        <v>7800</v>
      </c>
    </row>
    <row r="1408" spans="1:17" x14ac:dyDescent="0.2">
      <c r="A1408" s="802" t="s">
        <v>18995</v>
      </c>
      <c r="B1408" s="803" t="s">
        <v>18017</v>
      </c>
      <c r="C1408" s="803" t="s">
        <v>14311</v>
      </c>
      <c r="D1408" s="803" t="s">
        <v>18993</v>
      </c>
      <c r="E1408" s="803" t="s">
        <v>18039</v>
      </c>
      <c r="F1408" s="803">
        <v>3</v>
      </c>
      <c r="G1408" s="803" t="s">
        <v>2837</v>
      </c>
      <c r="H1408" s="803" t="s">
        <v>3779</v>
      </c>
      <c r="I1408" s="804">
        <v>9500</v>
      </c>
      <c r="J1408" s="803">
        <v>1</v>
      </c>
      <c r="K1408" s="804">
        <f t="shared" si="185"/>
        <v>9500</v>
      </c>
      <c r="L1408" s="804">
        <f t="shared" si="186"/>
        <v>9500</v>
      </c>
      <c r="M1408" s="804">
        <f t="shared" si="184"/>
        <v>9500</v>
      </c>
      <c r="N1408" s="803" t="s">
        <v>18037</v>
      </c>
      <c r="O1408" s="805">
        <f t="shared" si="175"/>
        <v>9500</v>
      </c>
      <c r="P1408" s="805">
        <f t="shared" si="176"/>
        <v>9500</v>
      </c>
      <c r="Q1408" s="806">
        <f t="shared" si="177"/>
        <v>9500</v>
      </c>
    </row>
    <row r="1409" spans="1:17" x14ac:dyDescent="0.2">
      <c r="A1409" s="797" t="s">
        <v>18996</v>
      </c>
      <c r="B1409" s="798" t="s">
        <v>18017</v>
      </c>
      <c r="C1409" s="798" t="s">
        <v>14311</v>
      </c>
      <c r="D1409" s="798" t="s">
        <v>18993</v>
      </c>
      <c r="E1409" s="798" t="s">
        <v>18041</v>
      </c>
      <c r="F1409" s="798">
        <v>4</v>
      </c>
      <c r="G1409" s="798" t="s">
        <v>2837</v>
      </c>
      <c r="H1409" s="798" t="s">
        <v>3779</v>
      </c>
      <c r="I1409" s="799">
        <v>15000</v>
      </c>
      <c r="J1409" s="798">
        <v>1</v>
      </c>
      <c r="K1409" s="799">
        <f t="shared" si="185"/>
        <v>15000</v>
      </c>
      <c r="L1409" s="799">
        <f t="shared" si="186"/>
        <v>15000</v>
      </c>
      <c r="M1409" s="799">
        <f t="shared" si="184"/>
        <v>15000</v>
      </c>
      <c r="N1409" s="798" t="s">
        <v>18042</v>
      </c>
      <c r="O1409" s="800">
        <f t="shared" si="175"/>
        <v>15000</v>
      </c>
      <c r="P1409" s="800">
        <f t="shared" si="176"/>
        <v>15000</v>
      </c>
      <c r="Q1409" s="801">
        <f t="shared" si="177"/>
        <v>15000</v>
      </c>
    </row>
    <row r="1410" spans="1:17" x14ac:dyDescent="0.2">
      <c r="A1410" s="802" t="s">
        <v>18997</v>
      </c>
      <c r="B1410" s="803" t="s">
        <v>18017</v>
      </c>
      <c r="C1410" s="803" t="s">
        <v>14311</v>
      </c>
      <c r="D1410" s="803" t="s">
        <v>18993</v>
      </c>
      <c r="E1410" s="803" t="s">
        <v>18212</v>
      </c>
      <c r="F1410" s="803">
        <v>5</v>
      </c>
      <c r="G1410" s="803" t="s">
        <v>2837</v>
      </c>
      <c r="H1410" s="803" t="s">
        <v>3779</v>
      </c>
      <c r="I1410" s="804">
        <v>22000</v>
      </c>
      <c r="J1410" s="803">
        <v>1</v>
      </c>
      <c r="K1410" s="804">
        <v>100000</v>
      </c>
      <c r="L1410" s="804">
        <v>100000</v>
      </c>
      <c r="M1410" s="804">
        <f t="shared" si="184"/>
        <v>22000</v>
      </c>
      <c r="N1410" s="803" t="s">
        <v>18042</v>
      </c>
      <c r="O1410" s="805">
        <f t="shared" ref="O1410:O1473" si="187">+J1410*K1410</f>
        <v>100000</v>
      </c>
      <c r="P1410" s="805">
        <f t="shared" ref="P1410:P1473" si="188">+J1410*L1410</f>
        <v>100000</v>
      </c>
      <c r="Q1410" s="806">
        <f t="shared" ref="Q1410:Q1473" si="189">+J1410*M1410</f>
        <v>22000</v>
      </c>
    </row>
    <row r="1411" spans="1:17" x14ac:dyDescent="0.2">
      <c r="A1411" s="797" t="s">
        <v>18998</v>
      </c>
      <c r="B1411" s="798" t="s">
        <v>18017</v>
      </c>
      <c r="C1411" s="798" t="s">
        <v>14311</v>
      </c>
      <c r="D1411" s="798" t="s">
        <v>18993</v>
      </c>
      <c r="E1411" s="798" t="s">
        <v>18214</v>
      </c>
      <c r="F1411" s="798">
        <v>6</v>
      </c>
      <c r="G1411" s="798" t="s">
        <v>2837</v>
      </c>
      <c r="H1411" s="798" t="s">
        <v>3779</v>
      </c>
      <c r="I1411" s="799">
        <v>31000</v>
      </c>
      <c r="J1411" s="798">
        <v>1</v>
      </c>
      <c r="K1411" s="799">
        <v>100000</v>
      </c>
      <c r="L1411" s="799">
        <v>100000</v>
      </c>
      <c r="M1411" s="799">
        <f t="shared" si="184"/>
        <v>31000</v>
      </c>
      <c r="N1411" s="798" t="s">
        <v>18215</v>
      </c>
      <c r="O1411" s="800">
        <f t="shared" si="187"/>
        <v>100000</v>
      </c>
      <c r="P1411" s="800">
        <f t="shared" si="188"/>
        <v>100000</v>
      </c>
      <c r="Q1411" s="801">
        <f t="shared" si="189"/>
        <v>31000</v>
      </c>
    </row>
    <row r="1412" spans="1:17" x14ac:dyDescent="0.2">
      <c r="A1412" s="802" t="s">
        <v>18999</v>
      </c>
      <c r="B1412" s="803" t="s">
        <v>18017</v>
      </c>
      <c r="C1412" s="803" t="s">
        <v>14311</v>
      </c>
      <c r="D1412" s="803" t="s">
        <v>18993</v>
      </c>
      <c r="E1412" s="803" t="s">
        <v>18217</v>
      </c>
      <c r="F1412" s="803">
        <v>7</v>
      </c>
      <c r="G1412" s="803" t="s">
        <v>2837</v>
      </c>
      <c r="H1412" s="803" t="s">
        <v>3779</v>
      </c>
      <c r="I1412" s="804">
        <v>37000</v>
      </c>
      <c r="J1412" s="803">
        <v>1</v>
      </c>
      <c r="K1412" s="804">
        <v>100000</v>
      </c>
      <c r="L1412" s="804">
        <v>100000</v>
      </c>
      <c r="M1412" s="804">
        <f t="shared" si="184"/>
        <v>37000</v>
      </c>
      <c r="N1412" s="803" t="s">
        <v>18215</v>
      </c>
      <c r="O1412" s="805">
        <f t="shared" si="187"/>
        <v>100000</v>
      </c>
      <c r="P1412" s="805">
        <f t="shared" si="188"/>
        <v>100000</v>
      </c>
      <c r="Q1412" s="806">
        <f t="shared" si="189"/>
        <v>37000</v>
      </c>
    </row>
    <row r="1413" spans="1:17" x14ac:dyDescent="0.2">
      <c r="A1413" s="797" t="s">
        <v>19000</v>
      </c>
      <c r="B1413" s="798" t="s">
        <v>18560</v>
      </c>
      <c r="C1413" s="798" t="s">
        <v>19001</v>
      </c>
      <c r="D1413" s="798" t="s">
        <v>19002</v>
      </c>
      <c r="E1413" s="798" t="s">
        <v>18031</v>
      </c>
      <c r="F1413" s="798">
        <v>1</v>
      </c>
      <c r="G1413" s="798" t="s">
        <v>1947</v>
      </c>
      <c r="H1413" s="798" t="s">
        <v>122</v>
      </c>
      <c r="I1413" s="799">
        <v>1500</v>
      </c>
      <c r="J1413" s="798">
        <v>1</v>
      </c>
      <c r="K1413" s="799">
        <f t="shared" ref="K1413:K1423" si="190">+I1413</f>
        <v>1500</v>
      </c>
      <c r="L1413" s="799">
        <f t="shared" ref="L1413:L1423" si="191">+I1413</f>
        <v>1500</v>
      </c>
      <c r="M1413" s="799">
        <f t="shared" si="184"/>
        <v>1500</v>
      </c>
      <c r="N1413" s="798" t="s">
        <v>18048</v>
      </c>
      <c r="O1413" s="800">
        <f t="shared" si="187"/>
        <v>1500</v>
      </c>
      <c r="P1413" s="800">
        <f t="shared" si="188"/>
        <v>1500</v>
      </c>
      <c r="Q1413" s="801">
        <f t="shared" si="189"/>
        <v>1500</v>
      </c>
    </row>
    <row r="1414" spans="1:17" x14ac:dyDescent="0.2">
      <c r="A1414" s="802" t="s">
        <v>19003</v>
      </c>
      <c r="B1414" s="803" t="s">
        <v>18560</v>
      </c>
      <c r="C1414" s="803" t="s">
        <v>19001</v>
      </c>
      <c r="D1414" s="803" t="s">
        <v>19004</v>
      </c>
      <c r="E1414" s="803" t="s">
        <v>18031</v>
      </c>
      <c r="F1414" s="803">
        <v>1</v>
      </c>
      <c r="G1414" s="803" t="s">
        <v>1947</v>
      </c>
      <c r="H1414" s="803" t="s">
        <v>122</v>
      </c>
      <c r="I1414" s="804">
        <v>2000</v>
      </c>
      <c r="J1414" s="803">
        <v>1</v>
      </c>
      <c r="K1414" s="804">
        <f t="shared" si="190"/>
        <v>2000</v>
      </c>
      <c r="L1414" s="804">
        <f t="shared" si="191"/>
        <v>2000</v>
      </c>
      <c r="M1414" s="804">
        <f t="shared" si="184"/>
        <v>2000</v>
      </c>
      <c r="N1414" s="803" t="s">
        <v>18048</v>
      </c>
      <c r="O1414" s="805">
        <f t="shared" si="187"/>
        <v>2000</v>
      </c>
      <c r="P1414" s="805">
        <f t="shared" si="188"/>
        <v>2000</v>
      </c>
      <c r="Q1414" s="806">
        <f t="shared" si="189"/>
        <v>2000</v>
      </c>
    </row>
    <row r="1415" spans="1:17" x14ac:dyDescent="0.2">
      <c r="A1415" s="797" t="s">
        <v>19005</v>
      </c>
      <c r="B1415" s="798" t="s">
        <v>18560</v>
      </c>
      <c r="C1415" s="798" t="s">
        <v>19001</v>
      </c>
      <c r="D1415" s="798" t="s">
        <v>19006</v>
      </c>
      <c r="E1415" s="798" t="s">
        <v>18031</v>
      </c>
      <c r="F1415" s="798">
        <v>1</v>
      </c>
      <c r="G1415" s="798" t="s">
        <v>1947</v>
      </c>
      <c r="H1415" s="798" t="s">
        <v>122</v>
      </c>
      <c r="I1415" s="799">
        <v>800</v>
      </c>
      <c r="J1415" s="798">
        <v>1</v>
      </c>
      <c r="K1415" s="799">
        <f t="shared" si="190"/>
        <v>800</v>
      </c>
      <c r="L1415" s="799">
        <f t="shared" si="191"/>
        <v>800</v>
      </c>
      <c r="M1415" s="799">
        <f t="shared" si="184"/>
        <v>800</v>
      </c>
      <c r="N1415" s="798" t="s">
        <v>18048</v>
      </c>
      <c r="O1415" s="800">
        <f t="shared" si="187"/>
        <v>800</v>
      </c>
      <c r="P1415" s="800">
        <f t="shared" si="188"/>
        <v>800</v>
      </c>
      <c r="Q1415" s="801">
        <f t="shared" si="189"/>
        <v>800</v>
      </c>
    </row>
    <row r="1416" spans="1:17" x14ac:dyDescent="0.2">
      <c r="A1416" s="802" t="s">
        <v>19007</v>
      </c>
      <c r="B1416" s="803" t="s">
        <v>18560</v>
      </c>
      <c r="C1416" s="803" t="s">
        <v>19001</v>
      </c>
      <c r="D1416" s="803" t="s">
        <v>19002</v>
      </c>
      <c r="E1416" s="803" t="s">
        <v>18054</v>
      </c>
      <c r="F1416" s="803">
        <v>2</v>
      </c>
      <c r="G1416" s="803" t="s">
        <v>1103</v>
      </c>
      <c r="H1416" s="803" t="s">
        <v>1947</v>
      </c>
      <c r="I1416" s="804">
        <v>5000</v>
      </c>
      <c r="J1416" s="803">
        <v>1</v>
      </c>
      <c r="K1416" s="804">
        <f t="shared" si="190"/>
        <v>5000</v>
      </c>
      <c r="L1416" s="804">
        <f t="shared" si="191"/>
        <v>5000</v>
      </c>
      <c r="M1416" s="804">
        <f t="shared" si="184"/>
        <v>5000</v>
      </c>
      <c r="N1416" s="803" t="s">
        <v>18057</v>
      </c>
      <c r="O1416" s="805">
        <f t="shared" si="187"/>
        <v>5000</v>
      </c>
      <c r="P1416" s="805">
        <f t="shared" si="188"/>
        <v>5000</v>
      </c>
      <c r="Q1416" s="806">
        <f t="shared" si="189"/>
        <v>5000</v>
      </c>
    </row>
    <row r="1417" spans="1:17" x14ac:dyDescent="0.2">
      <c r="A1417" s="797" t="s">
        <v>19008</v>
      </c>
      <c r="B1417" s="798" t="s">
        <v>18560</v>
      </c>
      <c r="C1417" s="798" t="s">
        <v>19001</v>
      </c>
      <c r="D1417" s="798" t="s">
        <v>19004</v>
      </c>
      <c r="E1417" s="798" t="s">
        <v>18054</v>
      </c>
      <c r="F1417" s="798">
        <v>2</v>
      </c>
      <c r="G1417" s="798" t="s">
        <v>1103</v>
      </c>
      <c r="H1417" s="798" t="s">
        <v>1947</v>
      </c>
      <c r="I1417" s="799">
        <v>5500</v>
      </c>
      <c r="J1417" s="798">
        <v>1</v>
      </c>
      <c r="K1417" s="799">
        <f t="shared" si="190"/>
        <v>5500</v>
      </c>
      <c r="L1417" s="799">
        <f t="shared" si="191"/>
        <v>5500</v>
      </c>
      <c r="M1417" s="799">
        <f t="shared" si="184"/>
        <v>5500</v>
      </c>
      <c r="N1417" s="798" t="s">
        <v>18057</v>
      </c>
      <c r="O1417" s="800">
        <f t="shared" si="187"/>
        <v>5500</v>
      </c>
      <c r="P1417" s="800">
        <f t="shared" si="188"/>
        <v>5500</v>
      </c>
      <c r="Q1417" s="801">
        <f t="shared" si="189"/>
        <v>5500</v>
      </c>
    </row>
    <row r="1418" spans="1:17" x14ac:dyDescent="0.2">
      <c r="A1418" s="802" t="s">
        <v>19009</v>
      </c>
      <c r="B1418" s="803" t="s">
        <v>18560</v>
      </c>
      <c r="C1418" s="803" t="s">
        <v>19001</v>
      </c>
      <c r="D1418" s="803" t="s">
        <v>19006</v>
      </c>
      <c r="E1418" s="803" t="s">
        <v>18054</v>
      </c>
      <c r="F1418" s="803">
        <v>2</v>
      </c>
      <c r="G1418" s="803" t="s">
        <v>1103</v>
      </c>
      <c r="H1418" s="803" t="s">
        <v>1947</v>
      </c>
      <c r="I1418" s="804">
        <v>1700</v>
      </c>
      <c r="J1418" s="803">
        <v>1</v>
      </c>
      <c r="K1418" s="804">
        <f t="shared" si="190"/>
        <v>1700</v>
      </c>
      <c r="L1418" s="804">
        <f t="shared" si="191"/>
        <v>1700</v>
      </c>
      <c r="M1418" s="804">
        <f t="shared" si="184"/>
        <v>1700</v>
      </c>
      <c r="N1418" s="803" t="s">
        <v>18057</v>
      </c>
      <c r="O1418" s="805">
        <f t="shared" si="187"/>
        <v>1700</v>
      </c>
      <c r="P1418" s="805">
        <f t="shared" si="188"/>
        <v>1700</v>
      </c>
      <c r="Q1418" s="806">
        <f t="shared" si="189"/>
        <v>1700</v>
      </c>
    </row>
    <row r="1419" spans="1:17" x14ac:dyDescent="0.2">
      <c r="A1419" s="797" t="s">
        <v>19010</v>
      </c>
      <c r="B1419" s="798" t="s">
        <v>18560</v>
      </c>
      <c r="C1419" s="798" t="s">
        <v>19001</v>
      </c>
      <c r="D1419" s="798" t="s">
        <v>19002</v>
      </c>
      <c r="E1419" s="798" t="s">
        <v>18033</v>
      </c>
      <c r="F1419" s="798">
        <v>3</v>
      </c>
      <c r="G1419" s="798" t="s">
        <v>1947</v>
      </c>
      <c r="H1419" s="798" t="s">
        <v>122</v>
      </c>
      <c r="I1419" s="799">
        <v>9000</v>
      </c>
      <c r="J1419" s="798">
        <v>1</v>
      </c>
      <c r="K1419" s="799">
        <f t="shared" si="190"/>
        <v>9000</v>
      </c>
      <c r="L1419" s="799">
        <f t="shared" si="191"/>
        <v>9000</v>
      </c>
      <c r="M1419" s="799">
        <f t="shared" si="184"/>
        <v>9000</v>
      </c>
      <c r="N1419" s="798" t="s">
        <v>18062</v>
      </c>
      <c r="O1419" s="800">
        <f t="shared" si="187"/>
        <v>9000</v>
      </c>
      <c r="P1419" s="800">
        <f t="shared" si="188"/>
        <v>9000</v>
      </c>
      <c r="Q1419" s="801">
        <f t="shared" si="189"/>
        <v>9000</v>
      </c>
    </row>
    <row r="1420" spans="1:17" x14ac:dyDescent="0.2">
      <c r="A1420" s="802" t="s">
        <v>19011</v>
      </c>
      <c r="B1420" s="803" t="s">
        <v>18560</v>
      </c>
      <c r="C1420" s="803" t="s">
        <v>19001</v>
      </c>
      <c r="D1420" s="803" t="s">
        <v>19004</v>
      </c>
      <c r="E1420" s="803" t="s">
        <v>18033</v>
      </c>
      <c r="F1420" s="803">
        <v>3</v>
      </c>
      <c r="G1420" s="803" t="s">
        <v>1947</v>
      </c>
      <c r="H1420" s="803" t="s">
        <v>122</v>
      </c>
      <c r="I1420" s="804">
        <v>10000</v>
      </c>
      <c r="J1420" s="803">
        <v>1</v>
      </c>
      <c r="K1420" s="804">
        <f t="shared" si="190"/>
        <v>10000</v>
      </c>
      <c r="L1420" s="804">
        <f t="shared" si="191"/>
        <v>10000</v>
      </c>
      <c r="M1420" s="804">
        <f t="shared" si="184"/>
        <v>10000</v>
      </c>
      <c r="N1420" s="803" t="s">
        <v>18062</v>
      </c>
      <c r="O1420" s="805">
        <f t="shared" si="187"/>
        <v>10000</v>
      </c>
      <c r="P1420" s="805">
        <f t="shared" si="188"/>
        <v>10000</v>
      </c>
      <c r="Q1420" s="806">
        <f t="shared" si="189"/>
        <v>10000</v>
      </c>
    </row>
    <row r="1421" spans="1:17" x14ac:dyDescent="0.2">
      <c r="A1421" s="797" t="s">
        <v>19012</v>
      </c>
      <c r="B1421" s="798" t="s">
        <v>18560</v>
      </c>
      <c r="C1421" s="798" t="s">
        <v>19001</v>
      </c>
      <c r="D1421" s="798" t="s">
        <v>19006</v>
      </c>
      <c r="E1421" s="798" t="s">
        <v>18033</v>
      </c>
      <c r="F1421" s="798">
        <v>3</v>
      </c>
      <c r="G1421" s="798" t="s">
        <v>1947</v>
      </c>
      <c r="H1421" s="798" t="s">
        <v>122</v>
      </c>
      <c r="I1421" s="799">
        <v>3000</v>
      </c>
      <c r="J1421" s="798">
        <v>1</v>
      </c>
      <c r="K1421" s="799">
        <f t="shared" si="190"/>
        <v>3000</v>
      </c>
      <c r="L1421" s="799">
        <f t="shared" si="191"/>
        <v>3000</v>
      </c>
      <c r="M1421" s="799">
        <f t="shared" si="184"/>
        <v>3000</v>
      </c>
      <c r="N1421" s="798" t="s">
        <v>18062</v>
      </c>
      <c r="O1421" s="800">
        <f t="shared" si="187"/>
        <v>3000</v>
      </c>
      <c r="P1421" s="800">
        <f t="shared" si="188"/>
        <v>3000</v>
      </c>
      <c r="Q1421" s="801">
        <f t="shared" si="189"/>
        <v>3000</v>
      </c>
    </row>
    <row r="1422" spans="1:17" x14ac:dyDescent="0.2">
      <c r="A1422" s="802" t="s">
        <v>19013</v>
      </c>
      <c r="B1422" s="803" t="s">
        <v>18560</v>
      </c>
      <c r="C1422" s="803" t="s">
        <v>19001</v>
      </c>
      <c r="D1422" s="803" t="s">
        <v>19002</v>
      </c>
      <c r="E1422" s="803" t="s">
        <v>18061</v>
      </c>
      <c r="F1422" s="803">
        <v>4</v>
      </c>
      <c r="G1422" s="803" t="s">
        <v>1103</v>
      </c>
      <c r="H1422" s="803" t="s">
        <v>1947</v>
      </c>
      <c r="I1422" s="804">
        <v>15000</v>
      </c>
      <c r="J1422" s="803">
        <v>1</v>
      </c>
      <c r="K1422" s="804">
        <f t="shared" si="190"/>
        <v>15000</v>
      </c>
      <c r="L1422" s="804">
        <f t="shared" si="191"/>
        <v>15000</v>
      </c>
      <c r="M1422" s="804">
        <f t="shared" si="184"/>
        <v>15000</v>
      </c>
      <c r="N1422" s="803" t="s">
        <v>18188</v>
      </c>
      <c r="O1422" s="805">
        <f t="shared" si="187"/>
        <v>15000</v>
      </c>
      <c r="P1422" s="805">
        <f t="shared" si="188"/>
        <v>15000</v>
      </c>
      <c r="Q1422" s="806">
        <f t="shared" si="189"/>
        <v>15000</v>
      </c>
    </row>
    <row r="1423" spans="1:17" x14ac:dyDescent="0.2">
      <c r="A1423" s="797" t="s">
        <v>19014</v>
      </c>
      <c r="B1423" s="798" t="s">
        <v>18560</v>
      </c>
      <c r="C1423" s="798" t="s">
        <v>19001</v>
      </c>
      <c r="D1423" s="798" t="s">
        <v>19004</v>
      </c>
      <c r="E1423" s="798" t="s">
        <v>18061</v>
      </c>
      <c r="F1423" s="798">
        <v>4</v>
      </c>
      <c r="G1423" s="798" t="s">
        <v>1103</v>
      </c>
      <c r="H1423" s="798" t="s">
        <v>1947</v>
      </c>
      <c r="I1423" s="799">
        <v>17000</v>
      </c>
      <c r="J1423" s="798">
        <v>1</v>
      </c>
      <c r="K1423" s="799">
        <f t="shared" si="190"/>
        <v>17000</v>
      </c>
      <c r="L1423" s="799">
        <f t="shared" si="191"/>
        <v>17000</v>
      </c>
      <c r="M1423" s="799">
        <f t="shared" si="184"/>
        <v>17000</v>
      </c>
      <c r="N1423" s="798" t="s">
        <v>18188</v>
      </c>
      <c r="O1423" s="800">
        <f t="shared" si="187"/>
        <v>17000</v>
      </c>
      <c r="P1423" s="800">
        <f t="shared" si="188"/>
        <v>17000</v>
      </c>
      <c r="Q1423" s="801">
        <f t="shared" si="189"/>
        <v>17000</v>
      </c>
    </row>
    <row r="1424" spans="1:17" x14ac:dyDescent="0.2">
      <c r="A1424" s="802" t="s">
        <v>19015</v>
      </c>
      <c r="B1424" s="803" t="s">
        <v>18560</v>
      </c>
      <c r="C1424" s="803" t="s">
        <v>19001</v>
      </c>
      <c r="D1424" s="803" t="s">
        <v>19006</v>
      </c>
      <c r="E1424" s="803" t="s">
        <v>18061</v>
      </c>
      <c r="F1424" s="803">
        <v>4</v>
      </c>
      <c r="G1424" s="803" t="s">
        <v>1103</v>
      </c>
      <c r="H1424" s="803" t="s">
        <v>1947</v>
      </c>
      <c r="I1424" s="804">
        <v>5200</v>
      </c>
      <c r="J1424" s="803">
        <v>1</v>
      </c>
      <c r="K1424" s="804">
        <v>20800</v>
      </c>
      <c r="L1424" s="804">
        <v>20800</v>
      </c>
      <c r="M1424" s="804">
        <f t="shared" si="184"/>
        <v>5200</v>
      </c>
      <c r="N1424" s="803" t="s">
        <v>18188</v>
      </c>
      <c r="O1424" s="805">
        <f t="shared" si="187"/>
        <v>20800</v>
      </c>
      <c r="P1424" s="805">
        <f t="shared" si="188"/>
        <v>20800</v>
      </c>
      <c r="Q1424" s="806">
        <f t="shared" si="189"/>
        <v>5200</v>
      </c>
    </row>
    <row r="1425" spans="1:17" x14ac:dyDescent="0.2">
      <c r="A1425" s="797" t="s">
        <v>19016</v>
      </c>
      <c r="B1425" s="798" t="s">
        <v>18560</v>
      </c>
      <c r="C1425" s="798" t="s">
        <v>19001</v>
      </c>
      <c r="D1425" s="798" t="s">
        <v>19006</v>
      </c>
      <c r="E1425" s="798" t="s">
        <v>18039</v>
      </c>
      <c r="F1425" s="798">
        <v>5</v>
      </c>
      <c r="G1425" s="798" t="s">
        <v>10772</v>
      </c>
      <c r="H1425" s="798" t="s">
        <v>122</v>
      </c>
      <c r="I1425" s="799">
        <v>25000</v>
      </c>
      <c r="J1425" s="798">
        <v>1</v>
      </c>
      <c r="K1425" s="799">
        <v>50000</v>
      </c>
      <c r="L1425" s="799">
        <v>50000</v>
      </c>
      <c r="M1425" s="799">
        <f t="shared" si="184"/>
        <v>25000</v>
      </c>
      <c r="N1425" s="798" t="s">
        <v>18192</v>
      </c>
      <c r="O1425" s="800">
        <f t="shared" si="187"/>
        <v>50000</v>
      </c>
      <c r="P1425" s="800">
        <f t="shared" si="188"/>
        <v>50000</v>
      </c>
      <c r="Q1425" s="801">
        <f t="shared" si="189"/>
        <v>25000</v>
      </c>
    </row>
    <row r="1426" spans="1:17" x14ac:dyDescent="0.2">
      <c r="A1426" s="802" t="s">
        <v>19017</v>
      </c>
      <c r="B1426" s="803" t="s">
        <v>18933</v>
      </c>
      <c r="C1426" s="803" t="s">
        <v>14316</v>
      </c>
      <c r="D1426" s="803" t="s">
        <v>19018</v>
      </c>
      <c r="E1426" s="803" t="s">
        <v>18054</v>
      </c>
      <c r="F1426" s="803">
        <v>1</v>
      </c>
      <c r="G1426" s="803" t="s">
        <v>10772</v>
      </c>
      <c r="H1426" s="803" t="s">
        <v>1947</v>
      </c>
      <c r="I1426" s="804">
        <v>5000</v>
      </c>
      <c r="J1426" s="803">
        <v>1</v>
      </c>
      <c r="K1426" s="804">
        <f t="shared" ref="K1426:K1442" si="192">+I1426</f>
        <v>5000</v>
      </c>
      <c r="L1426" s="804">
        <f t="shared" ref="L1426:L1442" si="193">+I1426</f>
        <v>5000</v>
      </c>
      <c r="M1426" s="804">
        <f t="shared" si="184"/>
        <v>5000</v>
      </c>
      <c r="N1426" s="803" t="s">
        <v>18048</v>
      </c>
      <c r="O1426" s="805">
        <f t="shared" si="187"/>
        <v>5000</v>
      </c>
      <c r="P1426" s="805">
        <f t="shared" si="188"/>
        <v>5000</v>
      </c>
      <c r="Q1426" s="806">
        <f t="shared" si="189"/>
        <v>5000</v>
      </c>
    </row>
    <row r="1427" spans="1:17" x14ac:dyDescent="0.2">
      <c r="A1427" s="797" t="s">
        <v>19019</v>
      </c>
      <c r="B1427" s="798" t="s">
        <v>18933</v>
      </c>
      <c r="C1427" s="798" t="s">
        <v>14316</v>
      </c>
      <c r="D1427" s="798" t="s">
        <v>19018</v>
      </c>
      <c r="E1427" s="798" t="s">
        <v>18033</v>
      </c>
      <c r="F1427" s="798">
        <v>2</v>
      </c>
      <c r="G1427" s="798" t="s">
        <v>10772</v>
      </c>
      <c r="H1427" s="798" t="s">
        <v>1947</v>
      </c>
      <c r="I1427" s="799">
        <v>10000</v>
      </c>
      <c r="J1427" s="798">
        <v>1</v>
      </c>
      <c r="K1427" s="799">
        <f t="shared" si="192"/>
        <v>10000</v>
      </c>
      <c r="L1427" s="799">
        <f t="shared" si="193"/>
        <v>10000</v>
      </c>
      <c r="M1427" s="799">
        <f t="shared" si="184"/>
        <v>10000</v>
      </c>
      <c r="N1427" s="798" t="s">
        <v>18057</v>
      </c>
      <c r="O1427" s="800">
        <f t="shared" si="187"/>
        <v>10000</v>
      </c>
      <c r="P1427" s="800">
        <f t="shared" si="188"/>
        <v>10000</v>
      </c>
      <c r="Q1427" s="801">
        <f t="shared" si="189"/>
        <v>10000</v>
      </c>
    </row>
    <row r="1428" spans="1:17" x14ac:dyDescent="0.2">
      <c r="A1428" s="802" t="s">
        <v>19020</v>
      </c>
      <c r="B1428" s="803" t="s">
        <v>18933</v>
      </c>
      <c r="C1428" s="803" t="s">
        <v>14316</v>
      </c>
      <c r="D1428" s="803" t="s">
        <v>19018</v>
      </c>
      <c r="E1428" s="803" t="s">
        <v>18061</v>
      </c>
      <c r="F1428" s="803">
        <v>3</v>
      </c>
      <c r="G1428" s="803" t="s">
        <v>10772</v>
      </c>
      <c r="H1428" s="803" t="s">
        <v>1947</v>
      </c>
      <c r="I1428" s="804">
        <v>22000</v>
      </c>
      <c r="J1428" s="803">
        <v>1</v>
      </c>
      <c r="K1428" s="804">
        <f t="shared" si="192"/>
        <v>22000</v>
      </c>
      <c r="L1428" s="804">
        <f t="shared" si="193"/>
        <v>22000</v>
      </c>
      <c r="M1428" s="804">
        <f t="shared" si="184"/>
        <v>22000</v>
      </c>
      <c r="N1428" s="803" t="s">
        <v>18062</v>
      </c>
      <c r="O1428" s="805">
        <f t="shared" si="187"/>
        <v>22000</v>
      </c>
      <c r="P1428" s="805">
        <f t="shared" si="188"/>
        <v>22000</v>
      </c>
      <c r="Q1428" s="806">
        <f t="shared" si="189"/>
        <v>22000</v>
      </c>
    </row>
    <row r="1429" spans="1:17" x14ac:dyDescent="0.2">
      <c r="A1429" s="797" t="s">
        <v>19021</v>
      </c>
      <c r="B1429" s="798" t="s">
        <v>18933</v>
      </c>
      <c r="C1429" s="798" t="s">
        <v>14316</v>
      </c>
      <c r="D1429" s="798" t="s">
        <v>19022</v>
      </c>
      <c r="E1429" s="798" t="s">
        <v>18054</v>
      </c>
      <c r="F1429" s="798">
        <v>1</v>
      </c>
      <c r="G1429" s="798" t="s">
        <v>1103</v>
      </c>
      <c r="H1429" s="798" t="s">
        <v>1947</v>
      </c>
      <c r="I1429" s="799">
        <v>10000</v>
      </c>
      <c r="J1429" s="798">
        <v>1</v>
      </c>
      <c r="K1429" s="799">
        <f t="shared" si="192"/>
        <v>10000</v>
      </c>
      <c r="L1429" s="799">
        <f t="shared" si="193"/>
        <v>10000</v>
      </c>
      <c r="M1429" s="799">
        <f t="shared" si="184"/>
        <v>10000</v>
      </c>
      <c r="N1429" s="798" t="s">
        <v>18057</v>
      </c>
      <c r="O1429" s="800">
        <f t="shared" si="187"/>
        <v>10000</v>
      </c>
      <c r="P1429" s="800">
        <f t="shared" si="188"/>
        <v>10000</v>
      </c>
      <c r="Q1429" s="801">
        <f t="shared" si="189"/>
        <v>10000</v>
      </c>
    </row>
    <row r="1430" spans="1:17" x14ac:dyDescent="0.2">
      <c r="A1430" s="802" t="s">
        <v>19023</v>
      </c>
      <c r="B1430" s="803" t="s">
        <v>18933</v>
      </c>
      <c r="C1430" s="803" t="s">
        <v>14316</v>
      </c>
      <c r="D1430" s="803" t="s">
        <v>19022</v>
      </c>
      <c r="E1430" s="803" t="s">
        <v>18033</v>
      </c>
      <c r="F1430" s="803">
        <v>2</v>
      </c>
      <c r="G1430" s="803" t="s">
        <v>1103</v>
      </c>
      <c r="H1430" s="803" t="s">
        <v>1947</v>
      </c>
      <c r="I1430" s="804">
        <v>25000</v>
      </c>
      <c r="J1430" s="803">
        <v>1</v>
      </c>
      <c r="K1430" s="804">
        <f t="shared" si="192"/>
        <v>25000</v>
      </c>
      <c r="L1430" s="804">
        <f t="shared" si="193"/>
        <v>25000</v>
      </c>
      <c r="M1430" s="804">
        <f t="shared" si="184"/>
        <v>25000</v>
      </c>
      <c r="N1430" s="803" t="s">
        <v>18062</v>
      </c>
      <c r="O1430" s="805">
        <f t="shared" si="187"/>
        <v>25000</v>
      </c>
      <c r="P1430" s="805">
        <f t="shared" si="188"/>
        <v>25000</v>
      </c>
      <c r="Q1430" s="806">
        <f t="shared" si="189"/>
        <v>25000</v>
      </c>
    </row>
    <row r="1431" spans="1:17" x14ac:dyDescent="0.2">
      <c r="A1431" s="797" t="s">
        <v>19024</v>
      </c>
      <c r="B1431" s="798" t="s">
        <v>18933</v>
      </c>
      <c r="C1431" s="798" t="s">
        <v>14316</v>
      </c>
      <c r="D1431" s="798" t="s">
        <v>19022</v>
      </c>
      <c r="E1431" s="798" t="s">
        <v>18061</v>
      </c>
      <c r="F1431" s="798">
        <v>3</v>
      </c>
      <c r="G1431" s="798" t="s">
        <v>1103</v>
      </c>
      <c r="H1431" s="798" t="s">
        <v>1947</v>
      </c>
      <c r="I1431" s="799">
        <v>30000</v>
      </c>
      <c r="J1431" s="798">
        <v>1</v>
      </c>
      <c r="K1431" s="799">
        <f t="shared" si="192"/>
        <v>30000</v>
      </c>
      <c r="L1431" s="799">
        <f t="shared" si="193"/>
        <v>30000</v>
      </c>
      <c r="M1431" s="799">
        <f t="shared" si="184"/>
        <v>30000</v>
      </c>
      <c r="N1431" s="798" t="s">
        <v>18188</v>
      </c>
      <c r="O1431" s="800">
        <f t="shared" si="187"/>
        <v>30000</v>
      </c>
      <c r="P1431" s="800">
        <f t="shared" si="188"/>
        <v>30000</v>
      </c>
      <c r="Q1431" s="801">
        <f t="shared" si="189"/>
        <v>30000</v>
      </c>
    </row>
    <row r="1432" spans="1:17" x14ac:dyDescent="0.2">
      <c r="A1432" s="802" t="s">
        <v>19025</v>
      </c>
      <c r="B1432" s="803" t="s">
        <v>18588</v>
      </c>
      <c r="C1432" s="803" t="s">
        <v>19026</v>
      </c>
      <c r="D1432" s="803" t="s">
        <v>19027</v>
      </c>
      <c r="E1432" s="803" t="s">
        <v>18031</v>
      </c>
      <c r="F1432" s="803">
        <v>1</v>
      </c>
      <c r="G1432" s="803" t="s">
        <v>1947</v>
      </c>
      <c r="H1432" s="803" t="s">
        <v>122</v>
      </c>
      <c r="I1432" s="804">
        <v>1500</v>
      </c>
      <c r="J1432" s="803">
        <v>1</v>
      </c>
      <c r="K1432" s="804">
        <f t="shared" si="192"/>
        <v>1500</v>
      </c>
      <c r="L1432" s="804">
        <f t="shared" si="193"/>
        <v>1500</v>
      </c>
      <c r="M1432" s="804">
        <f t="shared" si="184"/>
        <v>1500</v>
      </c>
      <c r="N1432" s="803" t="s">
        <v>18048</v>
      </c>
      <c r="O1432" s="805">
        <f t="shared" si="187"/>
        <v>1500</v>
      </c>
      <c r="P1432" s="805">
        <f t="shared" si="188"/>
        <v>1500</v>
      </c>
      <c r="Q1432" s="806">
        <f t="shared" si="189"/>
        <v>1500</v>
      </c>
    </row>
    <row r="1433" spans="1:17" x14ac:dyDescent="0.2">
      <c r="A1433" s="797" t="s">
        <v>19028</v>
      </c>
      <c r="B1433" s="798" t="s">
        <v>18588</v>
      </c>
      <c r="C1433" s="798" t="s">
        <v>19026</v>
      </c>
      <c r="D1433" s="798" t="s">
        <v>19029</v>
      </c>
      <c r="E1433" s="798" t="s">
        <v>18031</v>
      </c>
      <c r="F1433" s="798">
        <v>1</v>
      </c>
      <c r="G1433" s="798" t="s">
        <v>1947</v>
      </c>
      <c r="H1433" s="798" t="s">
        <v>122</v>
      </c>
      <c r="I1433" s="799">
        <v>2000</v>
      </c>
      <c r="J1433" s="798">
        <v>1</v>
      </c>
      <c r="K1433" s="799">
        <f t="shared" si="192"/>
        <v>2000</v>
      </c>
      <c r="L1433" s="799">
        <f t="shared" si="193"/>
        <v>2000</v>
      </c>
      <c r="M1433" s="799">
        <f t="shared" si="184"/>
        <v>2000</v>
      </c>
      <c r="N1433" s="798" t="s">
        <v>18048</v>
      </c>
      <c r="O1433" s="800">
        <f t="shared" si="187"/>
        <v>2000</v>
      </c>
      <c r="P1433" s="800">
        <f t="shared" si="188"/>
        <v>2000</v>
      </c>
      <c r="Q1433" s="801">
        <f t="shared" si="189"/>
        <v>2000</v>
      </c>
    </row>
    <row r="1434" spans="1:17" x14ac:dyDescent="0.2">
      <c r="A1434" s="802" t="s">
        <v>19030</v>
      </c>
      <c r="B1434" s="803" t="s">
        <v>18588</v>
      </c>
      <c r="C1434" s="803" t="s">
        <v>19026</v>
      </c>
      <c r="D1434" s="803" t="s">
        <v>19031</v>
      </c>
      <c r="E1434" s="803" t="s">
        <v>18031</v>
      </c>
      <c r="F1434" s="803">
        <v>1</v>
      </c>
      <c r="G1434" s="803" t="s">
        <v>1947</v>
      </c>
      <c r="H1434" s="803" t="s">
        <v>122</v>
      </c>
      <c r="I1434" s="804">
        <v>3000</v>
      </c>
      <c r="J1434" s="803">
        <v>1</v>
      </c>
      <c r="K1434" s="804">
        <f t="shared" si="192"/>
        <v>3000</v>
      </c>
      <c r="L1434" s="804">
        <f t="shared" si="193"/>
        <v>3000</v>
      </c>
      <c r="M1434" s="804">
        <f t="shared" si="184"/>
        <v>3000</v>
      </c>
      <c r="N1434" s="803" t="s">
        <v>18048</v>
      </c>
      <c r="O1434" s="805">
        <f t="shared" si="187"/>
        <v>3000</v>
      </c>
      <c r="P1434" s="805">
        <f t="shared" si="188"/>
        <v>3000</v>
      </c>
      <c r="Q1434" s="806">
        <f t="shared" si="189"/>
        <v>3000</v>
      </c>
    </row>
    <row r="1435" spans="1:17" x14ac:dyDescent="0.2">
      <c r="A1435" s="797" t="s">
        <v>19032</v>
      </c>
      <c r="B1435" s="798" t="s">
        <v>18588</v>
      </c>
      <c r="C1435" s="798" t="s">
        <v>19026</v>
      </c>
      <c r="D1435" s="798" t="s">
        <v>19027</v>
      </c>
      <c r="E1435" s="798" t="s">
        <v>18054</v>
      </c>
      <c r="F1435" s="798">
        <v>2</v>
      </c>
      <c r="G1435" s="798" t="s">
        <v>3779</v>
      </c>
      <c r="H1435" s="798" t="s">
        <v>2837</v>
      </c>
      <c r="I1435" s="799">
        <v>5000</v>
      </c>
      <c r="J1435" s="798">
        <v>1</v>
      </c>
      <c r="K1435" s="799">
        <f t="shared" si="192"/>
        <v>5000</v>
      </c>
      <c r="L1435" s="799">
        <f t="shared" si="193"/>
        <v>5000</v>
      </c>
      <c r="M1435" s="799">
        <f t="shared" si="184"/>
        <v>5000</v>
      </c>
      <c r="N1435" s="798" t="s">
        <v>18057</v>
      </c>
      <c r="O1435" s="800">
        <f t="shared" si="187"/>
        <v>5000</v>
      </c>
      <c r="P1435" s="800">
        <f t="shared" si="188"/>
        <v>5000</v>
      </c>
      <c r="Q1435" s="801">
        <f t="shared" si="189"/>
        <v>5000</v>
      </c>
    </row>
    <row r="1436" spans="1:17" x14ac:dyDescent="0.2">
      <c r="A1436" s="802" t="s">
        <v>19033</v>
      </c>
      <c r="B1436" s="803" t="s">
        <v>18588</v>
      </c>
      <c r="C1436" s="803" t="s">
        <v>19026</v>
      </c>
      <c r="D1436" s="803" t="s">
        <v>19029</v>
      </c>
      <c r="E1436" s="803" t="s">
        <v>18054</v>
      </c>
      <c r="F1436" s="803">
        <v>2</v>
      </c>
      <c r="G1436" s="803" t="s">
        <v>3779</v>
      </c>
      <c r="H1436" s="803" t="s">
        <v>2837</v>
      </c>
      <c r="I1436" s="804">
        <v>5500</v>
      </c>
      <c r="J1436" s="803">
        <v>1</v>
      </c>
      <c r="K1436" s="804">
        <f t="shared" si="192"/>
        <v>5500</v>
      </c>
      <c r="L1436" s="804">
        <f t="shared" si="193"/>
        <v>5500</v>
      </c>
      <c r="M1436" s="804">
        <f t="shared" si="184"/>
        <v>5500</v>
      </c>
      <c r="N1436" s="803" t="s">
        <v>18057</v>
      </c>
      <c r="O1436" s="805">
        <f t="shared" si="187"/>
        <v>5500</v>
      </c>
      <c r="P1436" s="805">
        <f t="shared" si="188"/>
        <v>5500</v>
      </c>
      <c r="Q1436" s="806">
        <f t="shared" si="189"/>
        <v>5500</v>
      </c>
    </row>
    <row r="1437" spans="1:17" x14ac:dyDescent="0.2">
      <c r="A1437" s="797" t="s">
        <v>19034</v>
      </c>
      <c r="B1437" s="798" t="s">
        <v>18588</v>
      </c>
      <c r="C1437" s="798" t="s">
        <v>19026</v>
      </c>
      <c r="D1437" s="798" t="s">
        <v>19031</v>
      </c>
      <c r="E1437" s="798" t="s">
        <v>18054</v>
      </c>
      <c r="F1437" s="798">
        <v>2</v>
      </c>
      <c r="G1437" s="798" t="s">
        <v>3779</v>
      </c>
      <c r="H1437" s="798" t="s">
        <v>2837</v>
      </c>
      <c r="I1437" s="799">
        <v>7000</v>
      </c>
      <c r="J1437" s="798">
        <v>1</v>
      </c>
      <c r="K1437" s="799">
        <f t="shared" si="192"/>
        <v>7000</v>
      </c>
      <c r="L1437" s="799">
        <f t="shared" si="193"/>
        <v>7000</v>
      </c>
      <c r="M1437" s="799">
        <f t="shared" si="184"/>
        <v>7000</v>
      </c>
      <c r="N1437" s="798" t="s">
        <v>18057</v>
      </c>
      <c r="O1437" s="800">
        <f t="shared" si="187"/>
        <v>7000</v>
      </c>
      <c r="P1437" s="800">
        <f t="shared" si="188"/>
        <v>7000</v>
      </c>
      <c r="Q1437" s="801">
        <f t="shared" si="189"/>
        <v>7000</v>
      </c>
    </row>
    <row r="1438" spans="1:17" x14ac:dyDescent="0.2">
      <c r="A1438" s="802" t="s">
        <v>19035</v>
      </c>
      <c r="B1438" s="803" t="s">
        <v>18588</v>
      </c>
      <c r="C1438" s="803" t="s">
        <v>19026</v>
      </c>
      <c r="D1438" s="803" t="s">
        <v>19027</v>
      </c>
      <c r="E1438" s="803" t="s">
        <v>18033</v>
      </c>
      <c r="F1438" s="803">
        <v>3</v>
      </c>
      <c r="G1438" s="803" t="s">
        <v>1947</v>
      </c>
      <c r="H1438" s="803" t="s">
        <v>122</v>
      </c>
      <c r="I1438" s="804">
        <v>9000</v>
      </c>
      <c r="J1438" s="803">
        <v>1</v>
      </c>
      <c r="K1438" s="804">
        <f t="shared" si="192"/>
        <v>9000</v>
      </c>
      <c r="L1438" s="804">
        <f t="shared" si="193"/>
        <v>9000</v>
      </c>
      <c r="M1438" s="804">
        <f t="shared" si="184"/>
        <v>9000</v>
      </c>
      <c r="N1438" s="803" t="s">
        <v>18062</v>
      </c>
      <c r="O1438" s="805">
        <f t="shared" si="187"/>
        <v>9000</v>
      </c>
      <c r="P1438" s="805">
        <f t="shared" si="188"/>
        <v>9000</v>
      </c>
      <c r="Q1438" s="806">
        <f t="shared" si="189"/>
        <v>9000</v>
      </c>
    </row>
    <row r="1439" spans="1:17" x14ac:dyDescent="0.2">
      <c r="A1439" s="797" t="s">
        <v>19036</v>
      </c>
      <c r="B1439" s="798" t="s">
        <v>18588</v>
      </c>
      <c r="C1439" s="798" t="s">
        <v>19026</v>
      </c>
      <c r="D1439" s="798" t="s">
        <v>19029</v>
      </c>
      <c r="E1439" s="798" t="s">
        <v>18033</v>
      </c>
      <c r="F1439" s="798">
        <v>3</v>
      </c>
      <c r="G1439" s="798" t="s">
        <v>1947</v>
      </c>
      <c r="H1439" s="798" t="s">
        <v>122</v>
      </c>
      <c r="I1439" s="799">
        <v>10000</v>
      </c>
      <c r="J1439" s="798">
        <v>1</v>
      </c>
      <c r="K1439" s="799">
        <f t="shared" si="192"/>
        <v>10000</v>
      </c>
      <c r="L1439" s="799">
        <f t="shared" si="193"/>
        <v>10000</v>
      </c>
      <c r="M1439" s="799">
        <f t="shared" si="184"/>
        <v>10000</v>
      </c>
      <c r="N1439" s="798" t="s">
        <v>18062</v>
      </c>
      <c r="O1439" s="800">
        <f t="shared" si="187"/>
        <v>10000</v>
      </c>
      <c r="P1439" s="800">
        <f t="shared" si="188"/>
        <v>10000</v>
      </c>
      <c r="Q1439" s="801">
        <f t="shared" si="189"/>
        <v>10000</v>
      </c>
    </row>
    <row r="1440" spans="1:17" x14ac:dyDescent="0.2">
      <c r="A1440" s="802" t="s">
        <v>19037</v>
      </c>
      <c r="B1440" s="803" t="s">
        <v>18588</v>
      </c>
      <c r="C1440" s="803" t="s">
        <v>19026</v>
      </c>
      <c r="D1440" s="803" t="s">
        <v>19031</v>
      </c>
      <c r="E1440" s="803" t="s">
        <v>18033</v>
      </c>
      <c r="F1440" s="803">
        <v>3</v>
      </c>
      <c r="G1440" s="803" t="s">
        <v>1947</v>
      </c>
      <c r="H1440" s="803" t="s">
        <v>122</v>
      </c>
      <c r="I1440" s="804">
        <v>12000</v>
      </c>
      <c r="J1440" s="803">
        <v>1</v>
      </c>
      <c r="K1440" s="804">
        <f t="shared" si="192"/>
        <v>12000</v>
      </c>
      <c r="L1440" s="804">
        <f t="shared" si="193"/>
        <v>12000</v>
      </c>
      <c r="M1440" s="804">
        <f t="shared" si="184"/>
        <v>12000</v>
      </c>
      <c r="N1440" s="803" t="s">
        <v>18062</v>
      </c>
      <c r="O1440" s="805">
        <f t="shared" si="187"/>
        <v>12000</v>
      </c>
      <c r="P1440" s="805">
        <f t="shared" si="188"/>
        <v>12000</v>
      </c>
      <c r="Q1440" s="806">
        <f t="shared" si="189"/>
        <v>12000</v>
      </c>
    </row>
    <row r="1441" spans="1:17" x14ac:dyDescent="0.2">
      <c r="A1441" s="797" t="s">
        <v>19038</v>
      </c>
      <c r="B1441" s="798" t="s">
        <v>18588</v>
      </c>
      <c r="C1441" s="798" t="s">
        <v>19026</v>
      </c>
      <c r="D1441" s="798" t="s">
        <v>19027</v>
      </c>
      <c r="E1441" s="798" t="s">
        <v>18061</v>
      </c>
      <c r="F1441" s="798">
        <v>4</v>
      </c>
      <c r="G1441" s="798" t="s">
        <v>3779</v>
      </c>
      <c r="H1441" s="798" t="s">
        <v>2837</v>
      </c>
      <c r="I1441" s="799">
        <v>15000</v>
      </c>
      <c r="J1441" s="798">
        <v>1</v>
      </c>
      <c r="K1441" s="799">
        <f t="shared" si="192"/>
        <v>15000</v>
      </c>
      <c r="L1441" s="799">
        <f t="shared" si="193"/>
        <v>15000</v>
      </c>
      <c r="M1441" s="799">
        <f t="shared" si="184"/>
        <v>15000</v>
      </c>
      <c r="N1441" s="798" t="s">
        <v>18188</v>
      </c>
      <c r="O1441" s="800">
        <f t="shared" si="187"/>
        <v>15000</v>
      </c>
      <c r="P1441" s="800">
        <f t="shared" si="188"/>
        <v>15000</v>
      </c>
      <c r="Q1441" s="801">
        <f t="shared" si="189"/>
        <v>15000</v>
      </c>
    </row>
    <row r="1442" spans="1:17" x14ac:dyDescent="0.2">
      <c r="A1442" s="802" t="s">
        <v>19039</v>
      </c>
      <c r="B1442" s="803" t="s">
        <v>18588</v>
      </c>
      <c r="C1442" s="803" t="s">
        <v>19026</v>
      </c>
      <c r="D1442" s="803" t="s">
        <v>19029</v>
      </c>
      <c r="E1442" s="803" t="s">
        <v>18061</v>
      </c>
      <c r="F1442" s="803">
        <v>4</v>
      </c>
      <c r="G1442" s="803" t="s">
        <v>3779</v>
      </c>
      <c r="H1442" s="803" t="s">
        <v>2837</v>
      </c>
      <c r="I1442" s="804">
        <v>17000</v>
      </c>
      <c r="J1442" s="803">
        <v>1</v>
      </c>
      <c r="K1442" s="804">
        <f t="shared" si="192"/>
        <v>17000</v>
      </c>
      <c r="L1442" s="804">
        <f t="shared" si="193"/>
        <v>17000</v>
      </c>
      <c r="M1442" s="804">
        <f t="shared" si="184"/>
        <v>17000</v>
      </c>
      <c r="N1442" s="803" t="s">
        <v>18188</v>
      </c>
      <c r="O1442" s="805">
        <f t="shared" si="187"/>
        <v>17000</v>
      </c>
      <c r="P1442" s="805">
        <f t="shared" si="188"/>
        <v>17000</v>
      </c>
      <c r="Q1442" s="806">
        <f t="shared" si="189"/>
        <v>17000</v>
      </c>
    </row>
    <row r="1443" spans="1:17" x14ac:dyDescent="0.2">
      <c r="A1443" s="797" t="s">
        <v>19040</v>
      </c>
      <c r="B1443" s="798" t="s">
        <v>18588</v>
      </c>
      <c r="C1443" s="798" t="s">
        <v>19026</v>
      </c>
      <c r="D1443" s="798" t="s">
        <v>19031</v>
      </c>
      <c r="E1443" s="798" t="s">
        <v>18061</v>
      </c>
      <c r="F1443" s="798">
        <v>4</v>
      </c>
      <c r="G1443" s="798" t="s">
        <v>3779</v>
      </c>
      <c r="H1443" s="798" t="s">
        <v>2837</v>
      </c>
      <c r="I1443" s="799">
        <v>22000</v>
      </c>
      <c r="J1443" s="798">
        <v>1</v>
      </c>
      <c r="K1443" s="799">
        <v>50000</v>
      </c>
      <c r="L1443" s="799">
        <v>50000</v>
      </c>
      <c r="M1443" s="799">
        <f t="shared" si="184"/>
        <v>22000</v>
      </c>
      <c r="N1443" s="798" t="s">
        <v>18188</v>
      </c>
      <c r="O1443" s="800">
        <f t="shared" si="187"/>
        <v>50000</v>
      </c>
      <c r="P1443" s="800">
        <f t="shared" si="188"/>
        <v>50000</v>
      </c>
      <c r="Q1443" s="801">
        <f t="shared" si="189"/>
        <v>22000</v>
      </c>
    </row>
    <row r="1444" spans="1:17" x14ac:dyDescent="0.2">
      <c r="A1444" s="802" t="s">
        <v>19041</v>
      </c>
      <c r="B1444" s="803" t="s">
        <v>18588</v>
      </c>
      <c r="C1444" s="803" t="s">
        <v>19026</v>
      </c>
      <c r="D1444" s="803" t="s">
        <v>19031</v>
      </c>
      <c r="E1444" s="803" t="s">
        <v>18039</v>
      </c>
      <c r="F1444" s="803">
        <v>5</v>
      </c>
      <c r="G1444" s="803" t="s">
        <v>3779</v>
      </c>
      <c r="H1444" s="803" t="s">
        <v>2837</v>
      </c>
      <c r="I1444" s="804">
        <v>25000</v>
      </c>
      <c r="J1444" s="803">
        <v>1</v>
      </c>
      <c r="K1444" s="804">
        <v>70000</v>
      </c>
      <c r="L1444" s="804">
        <v>70000</v>
      </c>
      <c r="M1444" s="804">
        <f t="shared" si="184"/>
        <v>25000</v>
      </c>
      <c r="N1444" s="803" t="s">
        <v>18192</v>
      </c>
      <c r="O1444" s="805">
        <f t="shared" si="187"/>
        <v>70000</v>
      </c>
      <c r="P1444" s="805">
        <f t="shared" si="188"/>
        <v>70000</v>
      </c>
      <c r="Q1444" s="806">
        <f t="shared" si="189"/>
        <v>25000</v>
      </c>
    </row>
    <row r="1445" spans="1:17" x14ac:dyDescent="0.2">
      <c r="A1445" s="797" t="s">
        <v>19042</v>
      </c>
      <c r="B1445" s="798" t="s">
        <v>18588</v>
      </c>
      <c r="C1445" s="798" t="s">
        <v>19026</v>
      </c>
      <c r="D1445" s="798" t="s">
        <v>19031</v>
      </c>
      <c r="E1445" s="798" t="s">
        <v>18721</v>
      </c>
      <c r="F1445" s="798">
        <v>6</v>
      </c>
      <c r="G1445" s="798" t="s">
        <v>10772</v>
      </c>
      <c r="H1445" s="798" t="s">
        <v>122</v>
      </c>
      <c r="I1445" s="799">
        <v>32000</v>
      </c>
      <c r="J1445" s="798">
        <v>1</v>
      </c>
      <c r="K1445" s="799">
        <v>70000</v>
      </c>
      <c r="L1445" s="799">
        <v>70000</v>
      </c>
      <c r="M1445" s="799">
        <f t="shared" si="184"/>
        <v>32000</v>
      </c>
      <c r="N1445" s="798" t="s">
        <v>18192</v>
      </c>
      <c r="O1445" s="800">
        <f t="shared" si="187"/>
        <v>70000</v>
      </c>
      <c r="P1445" s="800">
        <f t="shared" si="188"/>
        <v>70000</v>
      </c>
      <c r="Q1445" s="801">
        <f t="shared" si="189"/>
        <v>32000</v>
      </c>
    </row>
    <row r="1446" spans="1:17" x14ac:dyDescent="0.2">
      <c r="A1446" s="802" t="s">
        <v>19043</v>
      </c>
      <c r="B1446" s="803" t="s">
        <v>18017</v>
      </c>
      <c r="C1446" s="803" t="s">
        <v>14320</v>
      </c>
      <c r="D1446" s="803" t="s">
        <v>19044</v>
      </c>
      <c r="E1446" s="803" t="s">
        <v>18019</v>
      </c>
      <c r="F1446" s="803">
        <v>1</v>
      </c>
      <c r="G1446" s="803" t="s">
        <v>1103</v>
      </c>
      <c r="H1446" s="803" t="s">
        <v>1103</v>
      </c>
      <c r="I1446" s="804">
        <v>1500</v>
      </c>
      <c r="J1446" s="803">
        <v>1</v>
      </c>
      <c r="K1446" s="804">
        <f t="shared" ref="K1446:K1453" si="194">+I1446</f>
        <v>1500</v>
      </c>
      <c r="L1446" s="804">
        <f t="shared" ref="L1446:L1453" si="195">+I1446</f>
        <v>1500</v>
      </c>
      <c r="M1446" s="804">
        <f t="shared" si="184"/>
        <v>1500</v>
      </c>
      <c r="N1446" s="803" t="s">
        <v>18020</v>
      </c>
      <c r="O1446" s="805">
        <f t="shared" si="187"/>
        <v>1500</v>
      </c>
      <c r="P1446" s="805">
        <f t="shared" si="188"/>
        <v>1500</v>
      </c>
      <c r="Q1446" s="806">
        <f t="shared" si="189"/>
        <v>1500</v>
      </c>
    </row>
    <row r="1447" spans="1:17" x14ac:dyDescent="0.2">
      <c r="A1447" s="797" t="s">
        <v>19045</v>
      </c>
      <c r="B1447" s="798" t="s">
        <v>18017</v>
      </c>
      <c r="C1447" s="798" t="s">
        <v>14320</v>
      </c>
      <c r="D1447" s="798" t="s">
        <v>19046</v>
      </c>
      <c r="E1447" s="798" t="s">
        <v>18019</v>
      </c>
      <c r="F1447" s="798">
        <v>1</v>
      </c>
      <c r="G1447" s="798" t="s">
        <v>1103</v>
      </c>
      <c r="H1447" s="798" t="s">
        <v>1103</v>
      </c>
      <c r="I1447" s="799">
        <v>1600</v>
      </c>
      <c r="J1447" s="798">
        <v>1</v>
      </c>
      <c r="K1447" s="799">
        <f t="shared" si="194"/>
        <v>1600</v>
      </c>
      <c r="L1447" s="799">
        <f t="shared" si="195"/>
        <v>1600</v>
      </c>
      <c r="M1447" s="799">
        <f t="shared" si="184"/>
        <v>1600</v>
      </c>
      <c r="N1447" s="798" t="s">
        <v>18020</v>
      </c>
      <c r="O1447" s="800">
        <f t="shared" si="187"/>
        <v>1600</v>
      </c>
      <c r="P1447" s="800">
        <f t="shared" si="188"/>
        <v>1600</v>
      </c>
      <c r="Q1447" s="801">
        <f t="shared" si="189"/>
        <v>1600</v>
      </c>
    </row>
    <row r="1448" spans="1:17" x14ac:dyDescent="0.2">
      <c r="A1448" s="802" t="s">
        <v>19047</v>
      </c>
      <c r="B1448" s="803" t="s">
        <v>18017</v>
      </c>
      <c r="C1448" s="803" t="s">
        <v>14320</v>
      </c>
      <c r="D1448" s="803" t="s">
        <v>19048</v>
      </c>
      <c r="E1448" s="803" t="s">
        <v>18031</v>
      </c>
      <c r="F1448" s="803">
        <v>1</v>
      </c>
      <c r="G1448" s="803" t="s">
        <v>10772</v>
      </c>
      <c r="H1448" s="803" t="s">
        <v>1947</v>
      </c>
      <c r="I1448" s="804">
        <v>2000</v>
      </c>
      <c r="J1448" s="803">
        <v>1</v>
      </c>
      <c r="K1448" s="804">
        <f t="shared" si="194"/>
        <v>2000</v>
      </c>
      <c r="L1448" s="804">
        <f t="shared" si="195"/>
        <v>2000</v>
      </c>
      <c r="M1448" s="804">
        <f t="shared" si="184"/>
        <v>2000</v>
      </c>
      <c r="N1448" s="803" t="s">
        <v>18020</v>
      </c>
      <c r="O1448" s="805">
        <f t="shared" si="187"/>
        <v>2000</v>
      </c>
      <c r="P1448" s="805">
        <f t="shared" si="188"/>
        <v>2000</v>
      </c>
      <c r="Q1448" s="806">
        <f t="shared" si="189"/>
        <v>2000</v>
      </c>
    </row>
    <row r="1449" spans="1:17" x14ac:dyDescent="0.2">
      <c r="A1449" s="797" t="s">
        <v>19049</v>
      </c>
      <c r="B1449" s="798" t="s">
        <v>18017</v>
      </c>
      <c r="C1449" s="798" t="s">
        <v>14320</v>
      </c>
      <c r="D1449" s="798" t="s">
        <v>19048</v>
      </c>
      <c r="E1449" s="798" t="s">
        <v>18033</v>
      </c>
      <c r="F1449" s="798">
        <v>2</v>
      </c>
      <c r="G1449" s="798" t="s">
        <v>10772</v>
      </c>
      <c r="H1449" s="798" t="s">
        <v>1947</v>
      </c>
      <c r="I1449" s="799">
        <v>5200</v>
      </c>
      <c r="J1449" s="798">
        <v>1</v>
      </c>
      <c r="K1449" s="799">
        <f t="shared" si="194"/>
        <v>5200</v>
      </c>
      <c r="L1449" s="799">
        <f t="shared" si="195"/>
        <v>5200</v>
      </c>
      <c r="M1449" s="799">
        <f t="shared" si="184"/>
        <v>5200</v>
      </c>
      <c r="N1449" s="798" t="s">
        <v>18020</v>
      </c>
      <c r="O1449" s="800">
        <f t="shared" si="187"/>
        <v>5200</v>
      </c>
      <c r="P1449" s="800">
        <f t="shared" si="188"/>
        <v>5200</v>
      </c>
      <c r="Q1449" s="801">
        <f t="shared" si="189"/>
        <v>5200</v>
      </c>
    </row>
    <row r="1450" spans="1:17" x14ac:dyDescent="0.2">
      <c r="A1450" s="802" t="s">
        <v>19050</v>
      </c>
      <c r="B1450" s="803" t="s">
        <v>18017</v>
      </c>
      <c r="C1450" s="803" t="s">
        <v>14320</v>
      </c>
      <c r="D1450" s="803" t="s">
        <v>19051</v>
      </c>
      <c r="E1450" s="803" t="s">
        <v>18031</v>
      </c>
      <c r="F1450" s="803">
        <v>1</v>
      </c>
      <c r="G1450" s="803" t="s">
        <v>2837</v>
      </c>
      <c r="H1450" s="803" t="s">
        <v>1947</v>
      </c>
      <c r="I1450" s="804">
        <v>2500</v>
      </c>
      <c r="J1450" s="803">
        <v>1</v>
      </c>
      <c r="K1450" s="804">
        <f t="shared" si="194"/>
        <v>2500</v>
      </c>
      <c r="L1450" s="804">
        <f t="shared" si="195"/>
        <v>2500</v>
      </c>
      <c r="M1450" s="804">
        <f t="shared" si="184"/>
        <v>2500</v>
      </c>
      <c r="N1450" s="803" t="s">
        <v>18020</v>
      </c>
      <c r="O1450" s="805">
        <f t="shared" si="187"/>
        <v>2500</v>
      </c>
      <c r="P1450" s="805">
        <f t="shared" si="188"/>
        <v>2500</v>
      </c>
      <c r="Q1450" s="806">
        <f t="shared" si="189"/>
        <v>2500</v>
      </c>
    </row>
    <row r="1451" spans="1:17" x14ac:dyDescent="0.2">
      <c r="A1451" s="797" t="s">
        <v>19052</v>
      </c>
      <c r="B1451" s="798" t="s">
        <v>18017</v>
      </c>
      <c r="C1451" s="798" t="s">
        <v>14320</v>
      </c>
      <c r="D1451" s="798" t="s">
        <v>19051</v>
      </c>
      <c r="E1451" s="798" t="s">
        <v>18033</v>
      </c>
      <c r="F1451" s="798">
        <v>2</v>
      </c>
      <c r="G1451" s="798" t="s">
        <v>2837</v>
      </c>
      <c r="H1451" s="798" t="s">
        <v>1947</v>
      </c>
      <c r="I1451" s="799">
        <v>7800</v>
      </c>
      <c r="J1451" s="798">
        <v>1</v>
      </c>
      <c r="K1451" s="799">
        <f t="shared" si="194"/>
        <v>7800</v>
      </c>
      <c r="L1451" s="799">
        <f t="shared" si="195"/>
        <v>7800</v>
      </c>
      <c r="M1451" s="799">
        <f t="shared" si="184"/>
        <v>7800</v>
      </c>
      <c r="N1451" s="798" t="s">
        <v>18037</v>
      </c>
      <c r="O1451" s="800">
        <f t="shared" si="187"/>
        <v>7800</v>
      </c>
      <c r="P1451" s="800">
        <f t="shared" si="188"/>
        <v>7800</v>
      </c>
      <c r="Q1451" s="801">
        <f t="shared" si="189"/>
        <v>7800</v>
      </c>
    </row>
    <row r="1452" spans="1:17" x14ac:dyDescent="0.2">
      <c r="A1452" s="802" t="s">
        <v>19053</v>
      </c>
      <c r="B1452" s="803" t="s">
        <v>18017</v>
      </c>
      <c r="C1452" s="803" t="s">
        <v>14320</v>
      </c>
      <c r="D1452" s="803" t="s">
        <v>19051</v>
      </c>
      <c r="E1452" s="803" t="s">
        <v>18039</v>
      </c>
      <c r="F1452" s="803">
        <v>3</v>
      </c>
      <c r="G1452" s="803" t="s">
        <v>2837</v>
      </c>
      <c r="H1452" s="803" t="s">
        <v>1947</v>
      </c>
      <c r="I1452" s="804">
        <v>9500</v>
      </c>
      <c r="J1452" s="803">
        <v>1</v>
      </c>
      <c r="K1452" s="804">
        <f t="shared" si="194"/>
        <v>9500</v>
      </c>
      <c r="L1452" s="804">
        <f t="shared" si="195"/>
        <v>9500</v>
      </c>
      <c r="M1452" s="804">
        <f t="shared" si="184"/>
        <v>9500</v>
      </c>
      <c r="N1452" s="803" t="s">
        <v>18037</v>
      </c>
      <c r="O1452" s="805">
        <f t="shared" si="187"/>
        <v>9500</v>
      </c>
      <c r="P1452" s="805">
        <f t="shared" si="188"/>
        <v>9500</v>
      </c>
      <c r="Q1452" s="806">
        <f t="shared" si="189"/>
        <v>9500</v>
      </c>
    </row>
    <row r="1453" spans="1:17" x14ac:dyDescent="0.2">
      <c r="A1453" s="797" t="s">
        <v>19054</v>
      </c>
      <c r="B1453" s="798" t="s">
        <v>18017</v>
      </c>
      <c r="C1453" s="798" t="s">
        <v>14320</v>
      </c>
      <c r="D1453" s="798" t="s">
        <v>19051</v>
      </c>
      <c r="E1453" s="798" t="s">
        <v>18041</v>
      </c>
      <c r="F1453" s="798">
        <v>4</v>
      </c>
      <c r="G1453" s="798" t="s">
        <v>2837</v>
      </c>
      <c r="H1453" s="798" t="s">
        <v>1947</v>
      </c>
      <c r="I1453" s="799">
        <v>15000</v>
      </c>
      <c r="J1453" s="798">
        <v>1</v>
      </c>
      <c r="K1453" s="799">
        <f t="shared" si="194"/>
        <v>15000</v>
      </c>
      <c r="L1453" s="799">
        <f t="shared" si="195"/>
        <v>15000</v>
      </c>
      <c r="M1453" s="799">
        <f t="shared" si="184"/>
        <v>15000</v>
      </c>
      <c r="N1453" s="798" t="s">
        <v>18042</v>
      </c>
      <c r="O1453" s="800">
        <f t="shared" si="187"/>
        <v>15000</v>
      </c>
      <c r="P1453" s="800">
        <f t="shared" si="188"/>
        <v>15000</v>
      </c>
      <c r="Q1453" s="801">
        <f t="shared" si="189"/>
        <v>15000</v>
      </c>
    </row>
    <row r="1454" spans="1:17" x14ac:dyDescent="0.2">
      <c r="A1454" s="802" t="s">
        <v>19055</v>
      </c>
      <c r="B1454" s="803" t="s">
        <v>18017</v>
      </c>
      <c r="C1454" s="803" t="s">
        <v>14320</v>
      </c>
      <c r="D1454" s="803" t="s">
        <v>19051</v>
      </c>
      <c r="E1454" s="803" t="s">
        <v>18212</v>
      </c>
      <c r="F1454" s="803">
        <v>5</v>
      </c>
      <c r="G1454" s="803" t="s">
        <v>2837</v>
      </c>
      <c r="H1454" s="803" t="s">
        <v>1947</v>
      </c>
      <c r="I1454" s="804">
        <v>22000</v>
      </c>
      <c r="J1454" s="803">
        <v>1</v>
      </c>
      <c r="K1454" s="804">
        <v>100000</v>
      </c>
      <c r="L1454" s="804">
        <v>100000</v>
      </c>
      <c r="M1454" s="804">
        <f t="shared" si="184"/>
        <v>22000</v>
      </c>
      <c r="N1454" s="803" t="s">
        <v>18042</v>
      </c>
      <c r="O1454" s="805">
        <f t="shared" si="187"/>
        <v>100000</v>
      </c>
      <c r="P1454" s="805">
        <f t="shared" si="188"/>
        <v>100000</v>
      </c>
      <c r="Q1454" s="806">
        <f t="shared" si="189"/>
        <v>22000</v>
      </c>
    </row>
    <row r="1455" spans="1:17" x14ac:dyDescent="0.2">
      <c r="A1455" s="797" t="s">
        <v>19056</v>
      </c>
      <c r="B1455" s="798" t="s">
        <v>18017</v>
      </c>
      <c r="C1455" s="798" t="s">
        <v>14320</v>
      </c>
      <c r="D1455" s="798" t="s">
        <v>19051</v>
      </c>
      <c r="E1455" s="798" t="s">
        <v>18214</v>
      </c>
      <c r="F1455" s="798">
        <v>6</v>
      </c>
      <c r="G1455" s="798" t="s">
        <v>2837</v>
      </c>
      <c r="H1455" s="798" t="s">
        <v>1947</v>
      </c>
      <c r="I1455" s="799">
        <v>31000</v>
      </c>
      <c r="J1455" s="798">
        <v>1</v>
      </c>
      <c r="K1455" s="799">
        <v>100000</v>
      </c>
      <c r="L1455" s="799">
        <v>100000</v>
      </c>
      <c r="M1455" s="799">
        <f t="shared" si="184"/>
        <v>31000</v>
      </c>
      <c r="N1455" s="798" t="s">
        <v>18215</v>
      </c>
      <c r="O1455" s="800">
        <f t="shared" si="187"/>
        <v>100000</v>
      </c>
      <c r="P1455" s="800">
        <f t="shared" si="188"/>
        <v>100000</v>
      </c>
      <c r="Q1455" s="801">
        <f t="shared" si="189"/>
        <v>31000</v>
      </c>
    </row>
    <row r="1456" spans="1:17" x14ac:dyDescent="0.2">
      <c r="A1456" s="802" t="s">
        <v>19057</v>
      </c>
      <c r="B1456" s="803" t="s">
        <v>18017</v>
      </c>
      <c r="C1456" s="803" t="s">
        <v>14320</v>
      </c>
      <c r="D1456" s="803" t="s">
        <v>19051</v>
      </c>
      <c r="E1456" s="803" t="s">
        <v>18217</v>
      </c>
      <c r="F1456" s="803">
        <v>7</v>
      </c>
      <c r="G1456" s="803" t="s">
        <v>2837</v>
      </c>
      <c r="H1456" s="803" t="s">
        <v>1947</v>
      </c>
      <c r="I1456" s="804">
        <v>37000</v>
      </c>
      <c r="J1456" s="803">
        <v>1</v>
      </c>
      <c r="K1456" s="804">
        <v>100000</v>
      </c>
      <c r="L1456" s="804">
        <v>100000</v>
      </c>
      <c r="M1456" s="804">
        <f t="shared" si="184"/>
        <v>37000</v>
      </c>
      <c r="N1456" s="803" t="s">
        <v>18215</v>
      </c>
      <c r="O1456" s="805">
        <f t="shared" si="187"/>
        <v>100000</v>
      </c>
      <c r="P1456" s="805">
        <f t="shared" si="188"/>
        <v>100000</v>
      </c>
      <c r="Q1456" s="806">
        <f t="shared" si="189"/>
        <v>37000</v>
      </c>
    </row>
    <row r="1457" spans="1:17" x14ac:dyDescent="0.2">
      <c r="A1457" s="797" t="s">
        <v>19058</v>
      </c>
      <c r="B1457" s="798" t="s">
        <v>18017</v>
      </c>
      <c r="C1457" s="798" t="s">
        <v>14583</v>
      </c>
      <c r="D1457" s="798" t="s">
        <v>19059</v>
      </c>
      <c r="E1457" s="798" t="s">
        <v>18019</v>
      </c>
      <c r="F1457" s="798">
        <v>1</v>
      </c>
      <c r="G1457" s="798" t="s">
        <v>1103</v>
      </c>
      <c r="H1457" s="798" t="s">
        <v>1103</v>
      </c>
      <c r="I1457" s="799">
        <v>1500</v>
      </c>
      <c r="J1457" s="798">
        <v>1</v>
      </c>
      <c r="K1457" s="799">
        <f t="shared" ref="K1457:K1465" si="196">+I1457</f>
        <v>1500</v>
      </c>
      <c r="L1457" s="799">
        <f t="shared" ref="L1457:L1465" si="197">+I1457</f>
        <v>1500</v>
      </c>
      <c r="M1457" s="799">
        <f t="shared" si="184"/>
        <v>1500</v>
      </c>
      <c r="N1457" s="798" t="s">
        <v>18020</v>
      </c>
      <c r="O1457" s="800">
        <f t="shared" si="187"/>
        <v>1500</v>
      </c>
      <c r="P1457" s="800">
        <f t="shared" si="188"/>
        <v>1500</v>
      </c>
      <c r="Q1457" s="801">
        <f t="shared" si="189"/>
        <v>1500</v>
      </c>
    </row>
    <row r="1458" spans="1:17" x14ac:dyDescent="0.2">
      <c r="A1458" s="802" t="s">
        <v>19060</v>
      </c>
      <c r="B1458" s="803" t="s">
        <v>18017</v>
      </c>
      <c r="C1458" s="803" t="s">
        <v>14583</v>
      </c>
      <c r="D1458" s="803" t="s">
        <v>19061</v>
      </c>
      <c r="E1458" s="803" t="s">
        <v>18019</v>
      </c>
      <c r="F1458" s="803">
        <v>1</v>
      </c>
      <c r="G1458" s="803" t="s">
        <v>1103</v>
      </c>
      <c r="H1458" s="803" t="s">
        <v>1103</v>
      </c>
      <c r="I1458" s="804">
        <v>1600</v>
      </c>
      <c r="J1458" s="803">
        <v>1</v>
      </c>
      <c r="K1458" s="804">
        <f t="shared" si="196"/>
        <v>1600</v>
      </c>
      <c r="L1458" s="804">
        <f t="shared" si="197"/>
        <v>1600</v>
      </c>
      <c r="M1458" s="804">
        <f t="shared" ref="M1458:M1521" si="198">+I1458</f>
        <v>1600</v>
      </c>
      <c r="N1458" s="803" t="s">
        <v>18020</v>
      </c>
      <c r="O1458" s="805">
        <f t="shared" si="187"/>
        <v>1600</v>
      </c>
      <c r="P1458" s="805">
        <f t="shared" si="188"/>
        <v>1600</v>
      </c>
      <c r="Q1458" s="806">
        <f t="shared" si="189"/>
        <v>1600</v>
      </c>
    </row>
    <row r="1459" spans="1:17" x14ac:dyDescent="0.2">
      <c r="A1459" s="797" t="s">
        <v>19062</v>
      </c>
      <c r="B1459" s="798" t="s">
        <v>18017</v>
      </c>
      <c r="C1459" s="798" t="s">
        <v>14583</v>
      </c>
      <c r="D1459" s="798" t="s">
        <v>19063</v>
      </c>
      <c r="E1459" s="798" t="s">
        <v>18019</v>
      </c>
      <c r="F1459" s="798">
        <v>1</v>
      </c>
      <c r="G1459" s="798" t="s">
        <v>1103</v>
      </c>
      <c r="H1459" s="798" t="s">
        <v>1103</v>
      </c>
      <c r="I1459" s="799">
        <v>100</v>
      </c>
      <c r="J1459" s="798">
        <v>1</v>
      </c>
      <c r="K1459" s="799">
        <f t="shared" si="196"/>
        <v>100</v>
      </c>
      <c r="L1459" s="799">
        <f t="shared" si="197"/>
        <v>100</v>
      </c>
      <c r="M1459" s="799">
        <f t="shared" si="198"/>
        <v>100</v>
      </c>
      <c r="N1459" s="798" t="s">
        <v>18020</v>
      </c>
      <c r="O1459" s="800">
        <f t="shared" si="187"/>
        <v>100</v>
      </c>
      <c r="P1459" s="800">
        <f t="shared" si="188"/>
        <v>100</v>
      </c>
      <c r="Q1459" s="801">
        <f t="shared" si="189"/>
        <v>100</v>
      </c>
    </row>
    <row r="1460" spans="1:17" x14ac:dyDescent="0.2">
      <c r="A1460" s="802" t="s">
        <v>19064</v>
      </c>
      <c r="B1460" s="803" t="s">
        <v>18017</v>
      </c>
      <c r="C1460" s="803" t="s">
        <v>14583</v>
      </c>
      <c r="D1460" s="803" t="s">
        <v>19065</v>
      </c>
      <c r="E1460" s="803" t="s">
        <v>18031</v>
      </c>
      <c r="F1460" s="803">
        <v>1</v>
      </c>
      <c r="G1460" s="803" t="s">
        <v>122</v>
      </c>
      <c r="H1460" s="803" t="s">
        <v>1103</v>
      </c>
      <c r="I1460" s="804">
        <v>2000</v>
      </c>
      <c r="J1460" s="803">
        <v>1</v>
      </c>
      <c r="K1460" s="804">
        <f t="shared" si="196"/>
        <v>2000</v>
      </c>
      <c r="L1460" s="804">
        <f t="shared" si="197"/>
        <v>2000</v>
      </c>
      <c r="M1460" s="804">
        <f t="shared" si="198"/>
        <v>2000</v>
      </c>
      <c r="N1460" s="803" t="s">
        <v>18020</v>
      </c>
      <c r="O1460" s="805">
        <f t="shared" si="187"/>
        <v>2000</v>
      </c>
      <c r="P1460" s="805">
        <f t="shared" si="188"/>
        <v>2000</v>
      </c>
      <c r="Q1460" s="806">
        <f t="shared" si="189"/>
        <v>2000</v>
      </c>
    </row>
    <row r="1461" spans="1:17" x14ac:dyDescent="0.2">
      <c r="A1461" s="797" t="s">
        <v>19066</v>
      </c>
      <c r="B1461" s="798" t="s">
        <v>18017</v>
      </c>
      <c r="C1461" s="798" t="s">
        <v>14583</v>
      </c>
      <c r="D1461" s="798" t="s">
        <v>19065</v>
      </c>
      <c r="E1461" s="798" t="s">
        <v>18033</v>
      </c>
      <c r="F1461" s="798">
        <v>2</v>
      </c>
      <c r="G1461" s="798" t="s">
        <v>122</v>
      </c>
      <c r="H1461" s="798" t="s">
        <v>1103</v>
      </c>
      <c r="I1461" s="799">
        <v>5200</v>
      </c>
      <c r="J1461" s="798">
        <v>1</v>
      </c>
      <c r="K1461" s="799">
        <f t="shared" si="196"/>
        <v>5200</v>
      </c>
      <c r="L1461" s="799">
        <f t="shared" si="197"/>
        <v>5200</v>
      </c>
      <c r="M1461" s="799">
        <f t="shared" si="198"/>
        <v>5200</v>
      </c>
      <c r="N1461" s="798" t="s">
        <v>18020</v>
      </c>
      <c r="O1461" s="800">
        <f t="shared" si="187"/>
        <v>5200</v>
      </c>
      <c r="P1461" s="800">
        <f t="shared" si="188"/>
        <v>5200</v>
      </c>
      <c r="Q1461" s="801">
        <f t="shared" si="189"/>
        <v>5200</v>
      </c>
    </row>
    <row r="1462" spans="1:17" x14ac:dyDescent="0.2">
      <c r="A1462" s="802" t="s">
        <v>19067</v>
      </c>
      <c r="B1462" s="803" t="s">
        <v>18017</v>
      </c>
      <c r="C1462" s="803" t="s">
        <v>14583</v>
      </c>
      <c r="D1462" s="803" t="s">
        <v>19063</v>
      </c>
      <c r="E1462" s="803" t="s">
        <v>18031</v>
      </c>
      <c r="F1462" s="803">
        <v>1</v>
      </c>
      <c r="G1462" s="803" t="s">
        <v>10772</v>
      </c>
      <c r="H1462" s="803" t="s">
        <v>1103</v>
      </c>
      <c r="I1462" s="804">
        <v>2500</v>
      </c>
      <c r="J1462" s="803">
        <v>1</v>
      </c>
      <c r="K1462" s="804">
        <f t="shared" si="196"/>
        <v>2500</v>
      </c>
      <c r="L1462" s="804">
        <f t="shared" si="197"/>
        <v>2500</v>
      </c>
      <c r="M1462" s="804">
        <f t="shared" si="198"/>
        <v>2500</v>
      </c>
      <c r="N1462" s="803" t="s">
        <v>18020</v>
      </c>
      <c r="O1462" s="805">
        <f t="shared" si="187"/>
        <v>2500</v>
      </c>
      <c r="P1462" s="805">
        <f t="shared" si="188"/>
        <v>2500</v>
      </c>
      <c r="Q1462" s="806">
        <f t="shared" si="189"/>
        <v>2500</v>
      </c>
    </row>
    <row r="1463" spans="1:17" x14ac:dyDescent="0.2">
      <c r="A1463" s="797" t="s">
        <v>19068</v>
      </c>
      <c r="B1463" s="798" t="s">
        <v>18017</v>
      </c>
      <c r="C1463" s="798" t="s">
        <v>14583</v>
      </c>
      <c r="D1463" s="798" t="s">
        <v>19063</v>
      </c>
      <c r="E1463" s="798" t="s">
        <v>18033</v>
      </c>
      <c r="F1463" s="798">
        <v>2</v>
      </c>
      <c r="G1463" s="798" t="s">
        <v>10772</v>
      </c>
      <c r="H1463" s="798" t="s">
        <v>1103</v>
      </c>
      <c r="I1463" s="799">
        <v>7800</v>
      </c>
      <c r="J1463" s="798">
        <v>1</v>
      </c>
      <c r="K1463" s="799">
        <f t="shared" si="196"/>
        <v>7800</v>
      </c>
      <c r="L1463" s="799">
        <f t="shared" si="197"/>
        <v>7800</v>
      </c>
      <c r="M1463" s="799">
        <f t="shared" si="198"/>
        <v>7800</v>
      </c>
      <c r="N1463" s="798" t="s">
        <v>18037</v>
      </c>
      <c r="O1463" s="800">
        <f t="shared" si="187"/>
        <v>7800</v>
      </c>
      <c r="P1463" s="800">
        <f t="shared" si="188"/>
        <v>7800</v>
      </c>
      <c r="Q1463" s="801">
        <f t="shared" si="189"/>
        <v>7800</v>
      </c>
    </row>
    <row r="1464" spans="1:17" x14ac:dyDescent="0.2">
      <c r="A1464" s="802" t="s">
        <v>19069</v>
      </c>
      <c r="B1464" s="803" t="s">
        <v>18017</v>
      </c>
      <c r="C1464" s="803" t="s">
        <v>14583</v>
      </c>
      <c r="D1464" s="803" t="s">
        <v>19063</v>
      </c>
      <c r="E1464" s="803" t="s">
        <v>18039</v>
      </c>
      <c r="F1464" s="803">
        <v>3</v>
      </c>
      <c r="G1464" s="803" t="s">
        <v>10772</v>
      </c>
      <c r="H1464" s="803" t="s">
        <v>1103</v>
      </c>
      <c r="I1464" s="804">
        <v>9500</v>
      </c>
      <c r="J1464" s="803">
        <v>1</v>
      </c>
      <c r="K1464" s="804">
        <f t="shared" si="196"/>
        <v>9500</v>
      </c>
      <c r="L1464" s="804">
        <f t="shared" si="197"/>
        <v>9500</v>
      </c>
      <c r="M1464" s="804">
        <f t="shared" si="198"/>
        <v>9500</v>
      </c>
      <c r="N1464" s="803" t="s">
        <v>18037</v>
      </c>
      <c r="O1464" s="805">
        <f t="shared" si="187"/>
        <v>9500</v>
      </c>
      <c r="P1464" s="805">
        <f t="shared" si="188"/>
        <v>9500</v>
      </c>
      <c r="Q1464" s="806">
        <f t="shared" si="189"/>
        <v>9500</v>
      </c>
    </row>
    <row r="1465" spans="1:17" x14ac:dyDescent="0.2">
      <c r="A1465" s="797" t="s">
        <v>19070</v>
      </c>
      <c r="B1465" s="798" t="s">
        <v>18017</v>
      </c>
      <c r="C1465" s="798" t="s">
        <v>14583</v>
      </c>
      <c r="D1465" s="798" t="s">
        <v>19063</v>
      </c>
      <c r="E1465" s="798" t="s">
        <v>18041</v>
      </c>
      <c r="F1465" s="798">
        <v>4</v>
      </c>
      <c r="G1465" s="798" t="s">
        <v>10772</v>
      </c>
      <c r="H1465" s="798" t="s">
        <v>1103</v>
      </c>
      <c r="I1465" s="799">
        <v>15000</v>
      </c>
      <c r="J1465" s="798">
        <v>1</v>
      </c>
      <c r="K1465" s="799">
        <f t="shared" si="196"/>
        <v>15000</v>
      </c>
      <c r="L1465" s="799">
        <f t="shared" si="197"/>
        <v>15000</v>
      </c>
      <c r="M1465" s="799">
        <f t="shared" si="198"/>
        <v>15000</v>
      </c>
      <c r="N1465" s="798" t="s">
        <v>18042</v>
      </c>
      <c r="O1465" s="800">
        <f t="shared" si="187"/>
        <v>15000</v>
      </c>
      <c r="P1465" s="800">
        <f t="shared" si="188"/>
        <v>15000</v>
      </c>
      <c r="Q1465" s="801">
        <f t="shared" si="189"/>
        <v>15000</v>
      </c>
    </row>
    <row r="1466" spans="1:17" x14ac:dyDescent="0.2">
      <c r="A1466" s="802" t="s">
        <v>19071</v>
      </c>
      <c r="B1466" s="803" t="s">
        <v>18017</v>
      </c>
      <c r="C1466" s="803" t="s">
        <v>14583</v>
      </c>
      <c r="D1466" s="803" t="s">
        <v>19063</v>
      </c>
      <c r="E1466" s="803" t="s">
        <v>18212</v>
      </c>
      <c r="F1466" s="803">
        <v>5</v>
      </c>
      <c r="G1466" s="803" t="s">
        <v>10772</v>
      </c>
      <c r="H1466" s="803" t="s">
        <v>1103</v>
      </c>
      <c r="I1466" s="804">
        <v>22000</v>
      </c>
      <c r="J1466" s="803">
        <v>1</v>
      </c>
      <c r="K1466" s="804">
        <v>100000</v>
      </c>
      <c r="L1466" s="804">
        <v>100000</v>
      </c>
      <c r="M1466" s="804">
        <f t="shared" si="198"/>
        <v>22000</v>
      </c>
      <c r="N1466" s="803" t="s">
        <v>18042</v>
      </c>
      <c r="O1466" s="805">
        <f t="shared" si="187"/>
        <v>100000</v>
      </c>
      <c r="P1466" s="805">
        <f t="shared" si="188"/>
        <v>100000</v>
      </c>
      <c r="Q1466" s="806">
        <f t="shared" si="189"/>
        <v>22000</v>
      </c>
    </row>
    <row r="1467" spans="1:17" x14ac:dyDescent="0.2">
      <c r="A1467" s="797" t="s">
        <v>19072</v>
      </c>
      <c r="B1467" s="798" t="s">
        <v>18017</v>
      </c>
      <c r="C1467" s="798" t="s">
        <v>14583</v>
      </c>
      <c r="D1467" s="798" t="s">
        <v>19063</v>
      </c>
      <c r="E1467" s="798" t="s">
        <v>18214</v>
      </c>
      <c r="F1467" s="798">
        <v>6</v>
      </c>
      <c r="G1467" s="798" t="s">
        <v>10772</v>
      </c>
      <c r="H1467" s="798" t="s">
        <v>1103</v>
      </c>
      <c r="I1467" s="799">
        <v>31000</v>
      </c>
      <c r="J1467" s="798">
        <v>1</v>
      </c>
      <c r="K1467" s="799">
        <v>100000</v>
      </c>
      <c r="L1467" s="799">
        <v>100000</v>
      </c>
      <c r="M1467" s="799">
        <f t="shared" si="198"/>
        <v>31000</v>
      </c>
      <c r="N1467" s="798" t="s">
        <v>18215</v>
      </c>
      <c r="O1467" s="800">
        <f t="shared" si="187"/>
        <v>100000</v>
      </c>
      <c r="P1467" s="800">
        <f t="shared" si="188"/>
        <v>100000</v>
      </c>
      <c r="Q1467" s="801">
        <f t="shared" si="189"/>
        <v>31000</v>
      </c>
    </row>
    <row r="1468" spans="1:17" x14ac:dyDescent="0.2">
      <c r="A1468" s="802" t="s">
        <v>19073</v>
      </c>
      <c r="B1468" s="803" t="s">
        <v>18017</v>
      </c>
      <c r="C1468" s="803" t="s">
        <v>14583</v>
      </c>
      <c r="D1468" s="803" t="s">
        <v>19063</v>
      </c>
      <c r="E1468" s="803" t="s">
        <v>18217</v>
      </c>
      <c r="F1468" s="803">
        <v>7</v>
      </c>
      <c r="G1468" s="803" t="s">
        <v>10772</v>
      </c>
      <c r="H1468" s="803" t="s">
        <v>1103</v>
      </c>
      <c r="I1468" s="804">
        <v>37000</v>
      </c>
      <c r="J1468" s="803">
        <v>1</v>
      </c>
      <c r="K1468" s="804">
        <v>100000</v>
      </c>
      <c r="L1468" s="804">
        <v>100000</v>
      </c>
      <c r="M1468" s="804">
        <f t="shared" si="198"/>
        <v>37000</v>
      </c>
      <c r="N1468" s="803" t="s">
        <v>18215</v>
      </c>
      <c r="O1468" s="805">
        <f t="shared" si="187"/>
        <v>100000</v>
      </c>
      <c r="P1468" s="805">
        <f t="shared" si="188"/>
        <v>100000</v>
      </c>
      <c r="Q1468" s="806">
        <f t="shared" si="189"/>
        <v>37000</v>
      </c>
    </row>
    <row r="1469" spans="1:17" x14ac:dyDescent="0.2">
      <c r="A1469" s="797" t="s">
        <v>19074</v>
      </c>
      <c r="B1469" s="798" t="s">
        <v>18017</v>
      </c>
      <c r="C1469" s="798" t="s">
        <v>14583</v>
      </c>
      <c r="D1469" s="798" t="s">
        <v>19075</v>
      </c>
      <c r="E1469" s="798" t="s">
        <v>18054</v>
      </c>
      <c r="F1469" s="798">
        <v>1</v>
      </c>
      <c r="G1469" s="798" t="s">
        <v>10772</v>
      </c>
      <c r="H1469" s="798" t="s">
        <v>1103</v>
      </c>
      <c r="I1469" s="799">
        <v>26000</v>
      </c>
      <c r="J1469" s="798">
        <v>1</v>
      </c>
      <c r="K1469" s="799">
        <f t="shared" ref="K1469:K1489" si="199">+I1469</f>
        <v>26000</v>
      </c>
      <c r="L1469" s="799">
        <f t="shared" ref="L1469:L1489" si="200">+I1469</f>
        <v>26000</v>
      </c>
      <c r="M1469" s="799">
        <f t="shared" si="198"/>
        <v>26000</v>
      </c>
      <c r="N1469" s="798" t="s">
        <v>18265</v>
      </c>
      <c r="O1469" s="800">
        <f t="shared" si="187"/>
        <v>26000</v>
      </c>
      <c r="P1469" s="800">
        <f t="shared" si="188"/>
        <v>26000</v>
      </c>
      <c r="Q1469" s="801">
        <f t="shared" si="189"/>
        <v>26000</v>
      </c>
    </row>
    <row r="1470" spans="1:17" x14ac:dyDescent="0.2">
      <c r="A1470" s="802" t="s">
        <v>19076</v>
      </c>
      <c r="B1470" s="803" t="s">
        <v>18017</v>
      </c>
      <c r="C1470" s="803" t="s">
        <v>14583</v>
      </c>
      <c r="D1470" s="803" t="s">
        <v>19075</v>
      </c>
      <c r="E1470" s="803" t="s">
        <v>18033</v>
      </c>
      <c r="F1470" s="803">
        <v>2</v>
      </c>
      <c r="G1470" s="803" t="s">
        <v>10772</v>
      </c>
      <c r="H1470" s="803" t="s">
        <v>1103</v>
      </c>
      <c r="I1470" s="804">
        <v>30000</v>
      </c>
      <c r="J1470" s="803">
        <v>1</v>
      </c>
      <c r="K1470" s="804">
        <f t="shared" si="199"/>
        <v>30000</v>
      </c>
      <c r="L1470" s="804">
        <f t="shared" si="200"/>
        <v>30000</v>
      </c>
      <c r="M1470" s="804">
        <f t="shared" si="198"/>
        <v>30000</v>
      </c>
      <c r="N1470" s="803" t="s">
        <v>18265</v>
      </c>
      <c r="O1470" s="805">
        <f t="shared" si="187"/>
        <v>30000</v>
      </c>
      <c r="P1470" s="805">
        <f t="shared" si="188"/>
        <v>30000</v>
      </c>
      <c r="Q1470" s="806">
        <f t="shared" si="189"/>
        <v>30000</v>
      </c>
    </row>
    <row r="1471" spans="1:17" x14ac:dyDescent="0.2">
      <c r="A1471" s="797" t="s">
        <v>19077</v>
      </c>
      <c r="B1471" s="798" t="s">
        <v>18046</v>
      </c>
      <c r="C1471" s="798" t="s">
        <v>14328</v>
      </c>
      <c r="D1471" s="798" t="s">
        <v>19078</v>
      </c>
      <c r="E1471" s="798" t="s">
        <v>18019</v>
      </c>
      <c r="F1471" s="798">
        <v>1</v>
      </c>
      <c r="G1471" s="798" t="s">
        <v>3779</v>
      </c>
      <c r="H1471" s="798" t="s">
        <v>3779</v>
      </c>
      <c r="I1471" s="799">
        <v>1600</v>
      </c>
      <c r="J1471" s="798">
        <v>1</v>
      </c>
      <c r="K1471" s="799">
        <f t="shared" si="199"/>
        <v>1600</v>
      </c>
      <c r="L1471" s="799">
        <f t="shared" si="200"/>
        <v>1600</v>
      </c>
      <c r="M1471" s="799">
        <f t="shared" si="198"/>
        <v>1600</v>
      </c>
      <c r="N1471" s="798" t="s">
        <v>18048</v>
      </c>
      <c r="O1471" s="800">
        <f t="shared" si="187"/>
        <v>1600</v>
      </c>
      <c r="P1471" s="800">
        <f t="shared" si="188"/>
        <v>1600</v>
      </c>
      <c r="Q1471" s="801">
        <f t="shared" si="189"/>
        <v>1600</v>
      </c>
    </row>
    <row r="1472" spans="1:17" x14ac:dyDescent="0.2">
      <c r="A1472" s="802" t="s">
        <v>19079</v>
      </c>
      <c r="B1472" s="803" t="s">
        <v>18046</v>
      </c>
      <c r="C1472" s="803" t="s">
        <v>14328</v>
      </c>
      <c r="D1472" s="803" t="s">
        <v>19080</v>
      </c>
      <c r="E1472" s="803" t="s">
        <v>18031</v>
      </c>
      <c r="F1472" s="803">
        <v>1</v>
      </c>
      <c r="G1472" s="803" t="s">
        <v>3779</v>
      </c>
      <c r="H1472" s="803" t="s">
        <v>2837</v>
      </c>
      <c r="I1472" s="804">
        <v>3000</v>
      </c>
      <c r="J1472" s="803">
        <v>1</v>
      </c>
      <c r="K1472" s="804">
        <f t="shared" si="199"/>
        <v>3000</v>
      </c>
      <c r="L1472" s="804">
        <f t="shared" si="200"/>
        <v>3000</v>
      </c>
      <c r="M1472" s="804">
        <f t="shared" si="198"/>
        <v>3000</v>
      </c>
      <c r="N1472" s="803" t="s">
        <v>18048</v>
      </c>
      <c r="O1472" s="805">
        <f t="shared" si="187"/>
        <v>3000</v>
      </c>
      <c r="P1472" s="805">
        <f t="shared" si="188"/>
        <v>3000</v>
      </c>
      <c r="Q1472" s="806">
        <f t="shared" si="189"/>
        <v>3000</v>
      </c>
    </row>
    <row r="1473" spans="1:17" x14ac:dyDescent="0.2">
      <c r="A1473" s="797" t="s">
        <v>19081</v>
      </c>
      <c r="B1473" s="798" t="s">
        <v>18046</v>
      </c>
      <c r="C1473" s="798" t="s">
        <v>14328</v>
      </c>
      <c r="D1473" s="798" t="s">
        <v>19080</v>
      </c>
      <c r="E1473" s="798" t="s">
        <v>18054</v>
      </c>
      <c r="F1473" s="798">
        <v>2</v>
      </c>
      <c r="G1473" s="798" t="s">
        <v>3779</v>
      </c>
      <c r="H1473" s="798" t="s">
        <v>2837</v>
      </c>
      <c r="I1473" s="799">
        <v>5000</v>
      </c>
      <c r="J1473" s="798">
        <v>1</v>
      </c>
      <c r="K1473" s="799">
        <f t="shared" si="199"/>
        <v>5000</v>
      </c>
      <c r="L1473" s="799">
        <f t="shared" si="200"/>
        <v>5000</v>
      </c>
      <c r="M1473" s="799">
        <f t="shared" si="198"/>
        <v>5000</v>
      </c>
      <c r="N1473" s="798" t="s">
        <v>18055</v>
      </c>
      <c r="O1473" s="800">
        <f t="shared" si="187"/>
        <v>5000</v>
      </c>
      <c r="P1473" s="800">
        <f t="shared" si="188"/>
        <v>5000</v>
      </c>
      <c r="Q1473" s="801">
        <f t="shared" si="189"/>
        <v>5000</v>
      </c>
    </row>
    <row r="1474" spans="1:17" x14ac:dyDescent="0.2">
      <c r="A1474" s="802" t="s">
        <v>19082</v>
      </c>
      <c r="B1474" s="803" t="s">
        <v>18046</v>
      </c>
      <c r="C1474" s="803" t="s">
        <v>14328</v>
      </c>
      <c r="D1474" s="803" t="s">
        <v>19080</v>
      </c>
      <c r="E1474" s="803" t="s">
        <v>18033</v>
      </c>
      <c r="F1474" s="803">
        <v>3</v>
      </c>
      <c r="G1474" s="803" t="s">
        <v>3779</v>
      </c>
      <c r="H1474" s="803" t="s">
        <v>2837</v>
      </c>
      <c r="I1474" s="804">
        <v>7000</v>
      </c>
      <c r="J1474" s="803">
        <v>1</v>
      </c>
      <c r="K1474" s="804">
        <f t="shared" si="199"/>
        <v>7000</v>
      </c>
      <c r="L1474" s="804">
        <f t="shared" si="200"/>
        <v>7000</v>
      </c>
      <c r="M1474" s="804">
        <f t="shared" si="198"/>
        <v>7000</v>
      </c>
      <c r="N1474" s="803" t="s">
        <v>18057</v>
      </c>
      <c r="O1474" s="805">
        <f t="shared" ref="O1474:O1537" si="201">+J1474*K1474</f>
        <v>7000</v>
      </c>
      <c r="P1474" s="805">
        <f t="shared" ref="P1474:P1537" si="202">+J1474*L1474</f>
        <v>7000</v>
      </c>
      <c r="Q1474" s="806">
        <f t="shared" ref="Q1474:Q1537" si="203">+J1474*M1474</f>
        <v>7000</v>
      </c>
    </row>
    <row r="1475" spans="1:17" x14ac:dyDescent="0.2">
      <c r="A1475" s="797" t="s">
        <v>19083</v>
      </c>
      <c r="B1475" s="798" t="s">
        <v>18046</v>
      </c>
      <c r="C1475" s="798" t="s">
        <v>14328</v>
      </c>
      <c r="D1475" s="798" t="s">
        <v>19084</v>
      </c>
      <c r="E1475" s="798" t="s">
        <v>18033</v>
      </c>
      <c r="F1475" s="798">
        <v>1</v>
      </c>
      <c r="G1475" s="798" t="s">
        <v>3779</v>
      </c>
      <c r="H1475" s="798" t="s">
        <v>2837</v>
      </c>
      <c r="I1475" s="799">
        <v>7000</v>
      </c>
      <c r="J1475" s="798">
        <v>1</v>
      </c>
      <c r="K1475" s="799">
        <f t="shared" si="199"/>
        <v>7000</v>
      </c>
      <c r="L1475" s="799">
        <f t="shared" si="200"/>
        <v>7000</v>
      </c>
      <c r="M1475" s="799">
        <f t="shared" si="198"/>
        <v>7000</v>
      </c>
      <c r="N1475" s="798" t="s">
        <v>18057</v>
      </c>
      <c r="O1475" s="800">
        <f t="shared" si="201"/>
        <v>7000</v>
      </c>
      <c r="P1475" s="800">
        <f t="shared" si="202"/>
        <v>7000</v>
      </c>
      <c r="Q1475" s="801">
        <f t="shared" si="203"/>
        <v>7000</v>
      </c>
    </row>
    <row r="1476" spans="1:17" x14ac:dyDescent="0.2">
      <c r="A1476" s="802" t="s">
        <v>19085</v>
      </c>
      <c r="B1476" s="803" t="s">
        <v>18046</v>
      </c>
      <c r="C1476" s="803" t="s">
        <v>14328</v>
      </c>
      <c r="D1476" s="803" t="s">
        <v>19084</v>
      </c>
      <c r="E1476" s="803" t="s">
        <v>18061</v>
      </c>
      <c r="F1476" s="803">
        <v>2</v>
      </c>
      <c r="G1476" s="803" t="s">
        <v>3779</v>
      </c>
      <c r="H1476" s="803" t="s">
        <v>2837</v>
      </c>
      <c r="I1476" s="804">
        <v>12000</v>
      </c>
      <c r="J1476" s="803">
        <v>1</v>
      </c>
      <c r="K1476" s="804">
        <f t="shared" si="199"/>
        <v>12000</v>
      </c>
      <c r="L1476" s="804">
        <f t="shared" si="200"/>
        <v>12000</v>
      </c>
      <c r="M1476" s="804">
        <f t="shared" si="198"/>
        <v>12000</v>
      </c>
      <c r="N1476" s="803" t="s">
        <v>18062</v>
      </c>
      <c r="O1476" s="805">
        <f t="shared" si="201"/>
        <v>12000</v>
      </c>
      <c r="P1476" s="805">
        <f t="shared" si="202"/>
        <v>12000</v>
      </c>
      <c r="Q1476" s="806">
        <f t="shared" si="203"/>
        <v>12000</v>
      </c>
    </row>
    <row r="1477" spans="1:17" x14ac:dyDescent="0.2">
      <c r="A1477" s="797" t="s">
        <v>19086</v>
      </c>
      <c r="B1477" s="798" t="s">
        <v>18046</v>
      </c>
      <c r="C1477" s="798" t="s">
        <v>14328</v>
      </c>
      <c r="D1477" s="798" t="s">
        <v>19087</v>
      </c>
      <c r="E1477" s="798" t="s">
        <v>18054</v>
      </c>
      <c r="F1477" s="798">
        <v>1</v>
      </c>
      <c r="G1477" s="798" t="s">
        <v>10772</v>
      </c>
      <c r="H1477" s="798" t="s">
        <v>2837</v>
      </c>
      <c r="I1477" s="799">
        <v>26000</v>
      </c>
      <c r="J1477" s="798">
        <v>1</v>
      </c>
      <c r="K1477" s="799">
        <f t="shared" si="199"/>
        <v>26000</v>
      </c>
      <c r="L1477" s="799">
        <f t="shared" si="200"/>
        <v>26000</v>
      </c>
      <c r="M1477" s="799">
        <f t="shared" si="198"/>
        <v>26000</v>
      </c>
      <c r="N1477" s="798" t="s">
        <v>18055</v>
      </c>
      <c r="O1477" s="800">
        <f t="shared" si="201"/>
        <v>26000</v>
      </c>
      <c r="P1477" s="800">
        <f t="shared" si="202"/>
        <v>26000</v>
      </c>
      <c r="Q1477" s="801">
        <f t="shared" si="203"/>
        <v>26000</v>
      </c>
    </row>
    <row r="1478" spans="1:17" x14ac:dyDescent="0.2">
      <c r="A1478" s="802" t="s">
        <v>19088</v>
      </c>
      <c r="B1478" s="803" t="s">
        <v>18046</v>
      </c>
      <c r="C1478" s="803" t="s">
        <v>14328</v>
      </c>
      <c r="D1478" s="803" t="s">
        <v>19087</v>
      </c>
      <c r="E1478" s="803" t="s">
        <v>18033</v>
      </c>
      <c r="F1478" s="803">
        <v>2</v>
      </c>
      <c r="G1478" s="803" t="s">
        <v>10772</v>
      </c>
      <c r="H1478" s="803" t="s">
        <v>2837</v>
      </c>
      <c r="I1478" s="804">
        <v>30000</v>
      </c>
      <c r="J1478" s="803">
        <v>1</v>
      </c>
      <c r="K1478" s="804">
        <f t="shared" si="199"/>
        <v>30000</v>
      </c>
      <c r="L1478" s="804">
        <f t="shared" si="200"/>
        <v>30000</v>
      </c>
      <c r="M1478" s="804">
        <f t="shared" si="198"/>
        <v>30000</v>
      </c>
      <c r="N1478" s="803" t="s">
        <v>18055</v>
      </c>
      <c r="O1478" s="805">
        <f t="shared" si="201"/>
        <v>30000</v>
      </c>
      <c r="P1478" s="805">
        <f t="shared" si="202"/>
        <v>30000</v>
      </c>
      <c r="Q1478" s="806">
        <f t="shared" si="203"/>
        <v>30000</v>
      </c>
    </row>
    <row r="1479" spans="1:17" x14ac:dyDescent="0.2">
      <c r="A1479" s="797" t="s">
        <v>19089</v>
      </c>
      <c r="B1479" s="798" t="s">
        <v>18560</v>
      </c>
      <c r="C1479" s="798" t="s">
        <v>19090</v>
      </c>
      <c r="D1479" s="798" t="s">
        <v>19091</v>
      </c>
      <c r="E1479" s="798" t="s">
        <v>18031</v>
      </c>
      <c r="F1479" s="798">
        <v>1</v>
      </c>
      <c r="G1479" s="798" t="s">
        <v>1103</v>
      </c>
      <c r="H1479" s="798" t="s">
        <v>1947</v>
      </c>
      <c r="I1479" s="799">
        <v>1500</v>
      </c>
      <c r="J1479" s="798">
        <v>1</v>
      </c>
      <c r="K1479" s="799">
        <f t="shared" si="199"/>
        <v>1500</v>
      </c>
      <c r="L1479" s="799">
        <f t="shared" si="200"/>
        <v>1500</v>
      </c>
      <c r="M1479" s="799">
        <f t="shared" si="198"/>
        <v>1500</v>
      </c>
      <c r="N1479" s="798" t="s">
        <v>18048</v>
      </c>
      <c r="O1479" s="800">
        <f t="shared" si="201"/>
        <v>1500</v>
      </c>
      <c r="P1479" s="800">
        <f t="shared" si="202"/>
        <v>1500</v>
      </c>
      <c r="Q1479" s="801">
        <f t="shared" si="203"/>
        <v>1500</v>
      </c>
    </row>
    <row r="1480" spans="1:17" x14ac:dyDescent="0.2">
      <c r="A1480" s="802" t="s">
        <v>19092</v>
      </c>
      <c r="B1480" s="803" t="s">
        <v>18560</v>
      </c>
      <c r="C1480" s="803" t="s">
        <v>19090</v>
      </c>
      <c r="D1480" s="803" t="s">
        <v>19093</v>
      </c>
      <c r="E1480" s="803" t="s">
        <v>18031</v>
      </c>
      <c r="F1480" s="803">
        <v>1</v>
      </c>
      <c r="G1480" s="803" t="s">
        <v>1103</v>
      </c>
      <c r="H1480" s="803" t="s">
        <v>1947</v>
      </c>
      <c r="I1480" s="804">
        <v>2000</v>
      </c>
      <c r="J1480" s="803">
        <v>1</v>
      </c>
      <c r="K1480" s="804">
        <f t="shared" si="199"/>
        <v>2000</v>
      </c>
      <c r="L1480" s="804">
        <f t="shared" si="200"/>
        <v>2000</v>
      </c>
      <c r="M1480" s="804">
        <f t="shared" si="198"/>
        <v>2000</v>
      </c>
      <c r="N1480" s="803" t="s">
        <v>18048</v>
      </c>
      <c r="O1480" s="805">
        <f t="shared" si="201"/>
        <v>2000</v>
      </c>
      <c r="P1480" s="805">
        <f t="shared" si="202"/>
        <v>2000</v>
      </c>
      <c r="Q1480" s="806">
        <f t="shared" si="203"/>
        <v>2000</v>
      </c>
    </row>
    <row r="1481" spans="1:17" x14ac:dyDescent="0.2">
      <c r="A1481" s="797" t="s">
        <v>19094</v>
      </c>
      <c r="B1481" s="798" t="s">
        <v>18560</v>
      </c>
      <c r="C1481" s="798" t="s">
        <v>19090</v>
      </c>
      <c r="D1481" s="798" t="s">
        <v>19095</v>
      </c>
      <c r="E1481" s="798" t="s">
        <v>18031</v>
      </c>
      <c r="F1481" s="798">
        <v>1</v>
      </c>
      <c r="G1481" s="798" t="s">
        <v>1103</v>
      </c>
      <c r="H1481" s="798" t="s">
        <v>1947</v>
      </c>
      <c r="I1481" s="799">
        <v>800</v>
      </c>
      <c r="J1481" s="798">
        <v>1</v>
      </c>
      <c r="K1481" s="799">
        <f t="shared" si="199"/>
        <v>800</v>
      </c>
      <c r="L1481" s="799">
        <f t="shared" si="200"/>
        <v>800</v>
      </c>
      <c r="M1481" s="799">
        <f t="shared" si="198"/>
        <v>800</v>
      </c>
      <c r="N1481" s="798" t="s">
        <v>18048</v>
      </c>
      <c r="O1481" s="800">
        <f t="shared" si="201"/>
        <v>800</v>
      </c>
      <c r="P1481" s="800">
        <f t="shared" si="202"/>
        <v>800</v>
      </c>
      <c r="Q1481" s="801">
        <f t="shared" si="203"/>
        <v>800</v>
      </c>
    </row>
    <row r="1482" spans="1:17" x14ac:dyDescent="0.2">
      <c r="A1482" s="802" t="s">
        <v>19096</v>
      </c>
      <c r="B1482" s="803" t="s">
        <v>18560</v>
      </c>
      <c r="C1482" s="803" t="s">
        <v>19090</v>
      </c>
      <c r="D1482" s="803" t="s">
        <v>19091</v>
      </c>
      <c r="E1482" s="803" t="s">
        <v>18054</v>
      </c>
      <c r="F1482" s="803">
        <v>2</v>
      </c>
      <c r="G1482" s="803" t="s">
        <v>2837</v>
      </c>
      <c r="H1482" s="803" t="s">
        <v>3779</v>
      </c>
      <c r="I1482" s="804">
        <v>5000</v>
      </c>
      <c r="J1482" s="803">
        <v>1</v>
      </c>
      <c r="K1482" s="804">
        <f t="shared" si="199"/>
        <v>5000</v>
      </c>
      <c r="L1482" s="804">
        <f t="shared" si="200"/>
        <v>5000</v>
      </c>
      <c r="M1482" s="804">
        <f t="shared" si="198"/>
        <v>5000</v>
      </c>
      <c r="N1482" s="803" t="s">
        <v>18057</v>
      </c>
      <c r="O1482" s="805">
        <f t="shared" si="201"/>
        <v>5000</v>
      </c>
      <c r="P1482" s="805">
        <f t="shared" si="202"/>
        <v>5000</v>
      </c>
      <c r="Q1482" s="806">
        <f t="shared" si="203"/>
        <v>5000</v>
      </c>
    </row>
    <row r="1483" spans="1:17" x14ac:dyDescent="0.2">
      <c r="A1483" s="797" t="s">
        <v>19097</v>
      </c>
      <c r="B1483" s="798" t="s">
        <v>18560</v>
      </c>
      <c r="C1483" s="798" t="s">
        <v>19090</v>
      </c>
      <c r="D1483" s="798" t="s">
        <v>19093</v>
      </c>
      <c r="E1483" s="798" t="s">
        <v>18054</v>
      </c>
      <c r="F1483" s="798">
        <v>2</v>
      </c>
      <c r="G1483" s="798" t="s">
        <v>2837</v>
      </c>
      <c r="H1483" s="798" t="s">
        <v>3779</v>
      </c>
      <c r="I1483" s="799">
        <v>5500</v>
      </c>
      <c r="J1483" s="798">
        <v>1</v>
      </c>
      <c r="K1483" s="799">
        <f t="shared" si="199"/>
        <v>5500</v>
      </c>
      <c r="L1483" s="799">
        <f t="shared" si="200"/>
        <v>5500</v>
      </c>
      <c r="M1483" s="799">
        <f t="shared" si="198"/>
        <v>5500</v>
      </c>
      <c r="N1483" s="798" t="s">
        <v>18057</v>
      </c>
      <c r="O1483" s="800">
        <f t="shared" si="201"/>
        <v>5500</v>
      </c>
      <c r="P1483" s="800">
        <f t="shared" si="202"/>
        <v>5500</v>
      </c>
      <c r="Q1483" s="801">
        <f t="shared" si="203"/>
        <v>5500</v>
      </c>
    </row>
    <row r="1484" spans="1:17" x14ac:dyDescent="0.2">
      <c r="A1484" s="802" t="s">
        <v>19098</v>
      </c>
      <c r="B1484" s="803" t="s">
        <v>18560</v>
      </c>
      <c r="C1484" s="803" t="s">
        <v>19090</v>
      </c>
      <c r="D1484" s="803" t="s">
        <v>19095</v>
      </c>
      <c r="E1484" s="803" t="s">
        <v>18054</v>
      </c>
      <c r="F1484" s="803">
        <v>2</v>
      </c>
      <c r="G1484" s="803" t="s">
        <v>2837</v>
      </c>
      <c r="H1484" s="803" t="s">
        <v>3779</v>
      </c>
      <c r="I1484" s="804">
        <v>1700</v>
      </c>
      <c r="J1484" s="803">
        <v>1</v>
      </c>
      <c r="K1484" s="804">
        <f t="shared" si="199"/>
        <v>1700</v>
      </c>
      <c r="L1484" s="804">
        <f t="shared" si="200"/>
        <v>1700</v>
      </c>
      <c r="M1484" s="804">
        <f t="shared" si="198"/>
        <v>1700</v>
      </c>
      <c r="N1484" s="803" t="s">
        <v>18057</v>
      </c>
      <c r="O1484" s="805">
        <f t="shared" si="201"/>
        <v>1700</v>
      </c>
      <c r="P1484" s="805">
        <f t="shared" si="202"/>
        <v>1700</v>
      </c>
      <c r="Q1484" s="806">
        <f t="shared" si="203"/>
        <v>1700</v>
      </c>
    </row>
    <row r="1485" spans="1:17" x14ac:dyDescent="0.2">
      <c r="A1485" s="797" t="s">
        <v>19099</v>
      </c>
      <c r="B1485" s="798" t="s">
        <v>18560</v>
      </c>
      <c r="C1485" s="798" t="s">
        <v>19090</v>
      </c>
      <c r="D1485" s="798" t="s">
        <v>19091</v>
      </c>
      <c r="E1485" s="798" t="s">
        <v>18033</v>
      </c>
      <c r="F1485" s="798">
        <v>3</v>
      </c>
      <c r="G1485" s="798" t="s">
        <v>1103</v>
      </c>
      <c r="H1485" s="798" t="s">
        <v>1947</v>
      </c>
      <c r="I1485" s="799">
        <v>9000</v>
      </c>
      <c r="J1485" s="798">
        <v>1</v>
      </c>
      <c r="K1485" s="799">
        <f t="shared" si="199"/>
        <v>9000</v>
      </c>
      <c r="L1485" s="799">
        <f t="shared" si="200"/>
        <v>9000</v>
      </c>
      <c r="M1485" s="799">
        <f t="shared" si="198"/>
        <v>9000</v>
      </c>
      <c r="N1485" s="798" t="s">
        <v>18062</v>
      </c>
      <c r="O1485" s="800">
        <f t="shared" si="201"/>
        <v>9000</v>
      </c>
      <c r="P1485" s="800">
        <f t="shared" si="202"/>
        <v>9000</v>
      </c>
      <c r="Q1485" s="801">
        <f t="shared" si="203"/>
        <v>9000</v>
      </c>
    </row>
    <row r="1486" spans="1:17" x14ac:dyDescent="0.2">
      <c r="A1486" s="802" t="s">
        <v>19100</v>
      </c>
      <c r="B1486" s="803" t="s">
        <v>18560</v>
      </c>
      <c r="C1486" s="803" t="s">
        <v>19090</v>
      </c>
      <c r="D1486" s="803" t="s">
        <v>19093</v>
      </c>
      <c r="E1486" s="803" t="s">
        <v>18033</v>
      </c>
      <c r="F1486" s="803">
        <v>3</v>
      </c>
      <c r="G1486" s="803" t="s">
        <v>1103</v>
      </c>
      <c r="H1486" s="803" t="s">
        <v>1947</v>
      </c>
      <c r="I1486" s="804">
        <v>10000</v>
      </c>
      <c r="J1486" s="803">
        <v>1</v>
      </c>
      <c r="K1486" s="804">
        <f t="shared" si="199"/>
        <v>10000</v>
      </c>
      <c r="L1486" s="804">
        <f t="shared" si="200"/>
        <v>10000</v>
      </c>
      <c r="M1486" s="804">
        <f t="shared" si="198"/>
        <v>10000</v>
      </c>
      <c r="N1486" s="803" t="s">
        <v>18062</v>
      </c>
      <c r="O1486" s="805">
        <f t="shared" si="201"/>
        <v>10000</v>
      </c>
      <c r="P1486" s="805">
        <f t="shared" si="202"/>
        <v>10000</v>
      </c>
      <c r="Q1486" s="806">
        <f t="shared" si="203"/>
        <v>10000</v>
      </c>
    </row>
    <row r="1487" spans="1:17" x14ac:dyDescent="0.2">
      <c r="A1487" s="797" t="s">
        <v>19101</v>
      </c>
      <c r="B1487" s="798" t="s">
        <v>18560</v>
      </c>
      <c r="C1487" s="798" t="s">
        <v>19090</v>
      </c>
      <c r="D1487" s="798" t="s">
        <v>19095</v>
      </c>
      <c r="E1487" s="798" t="s">
        <v>18033</v>
      </c>
      <c r="F1487" s="798">
        <v>3</v>
      </c>
      <c r="G1487" s="798" t="s">
        <v>1103</v>
      </c>
      <c r="H1487" s="798" t="s">
        <v>1947</v>
      </c>
      <c r="I1487" s="799">
        <v>3000</v>
      </c>
      <c r="J1487" s="798">
        <v>1</v>
      </c>
      <c r="K1487" s="799">
        <f t="shared" si="199"/>
        <v>3000</v>
      </c>
      <c r="L1487" s="799">
        <f t="shared" si="200"/>
        <v>3000</v>
      </c>
      <c r="M1487" s="799">
        <f t="shared" si="198"/>
        <v>3000</v>
      </c>
      <c r="N1487" s="798" t="s">
        <v>18062</v>
      </c>
      <c r="O1487" s="800">
        <f t="shared" si="201"/>
        <v>3000</v>
      </c>
      <c r="P1487" s="800">
        <f t="shared" si="202"/>
        <v>3000</v>
      </c>
      <c r="Q1487" s="801">
        <f t="shared" si="203"/>
        <v>3000</v>
      </c>
    </row>
    <row r="1488" spans="1:17" x14ac:dyDescent="0.2">
      <c r="A1488" s="802" t="s">
        <v>19102</v>
      </c>
      <c r="B1488" s="803" t="s">
        <v>18560</v>
      </c>
      <c r="C1488" s="803" t="s">
        <v>19090</v>
      </c>
      <c r="D1488" s="803" t="s">
        <v>19091</v>
      </c>
      <c r="E1488" s="803" t="s">
        <v>18061</v>
      </c>
      <c r="F1488" s="803">
        <v>4</v>
      </c>
      <c r="G1488" s="803" t="s">
        <v>2837</v>
      </c>
      <c r="H1488" s="803" t="s">
        <v>3779</v>
      </c>
      <c r="I1488" s="804">
        <v>15000</v>
      </c>
      <c r="J1488" s="803">
        <v>1</v>
      </c>
      <c r="K1488" s="804">
        <f t="shared" si="199"/>
        <v>15000</v>
      </c>
      <c r="L1488" s="804">
        <f t="shared" si="200"/>
        <v>15000</v>
      </c>
      <c r="M1488" s="804">
        <f t="shared" si="198"/>
        <v>15000</v>
      </c>
      <c r="N1488" s="803" t="s">
        <v>18188</v>
      </c>
      <c r="O1488" s="805">
        <f t="shared" si="201"/>
        <v>15000</v>
      </c>
      <c r="P1488" s="805">
        <f t="shared" si="202"/>
        <v>15000</v>
      </c>
      <c r="Q1488" s="806">
        <f t="shared" si="203"/>
        <v>15000</v>
      </c>
    </row>
    <row r="1489" spans="1:17" x14ac:dyDescent="0.2">
      <c r="A1489" s="797" t="s">
        <v>19103</v>
      </c>
      <c r="B1489" s="798" t="s">
        <v>18560</v>
      </c>
      <c r="C1489" s="798" t="s">
        <v>19090</v>
      </c>
      <c r="D1489" s="798" t="s">
        <v>19093</v>
      </c>
      <c r="E1489" s="798" t="s">
        <v>18061</v>
      </c>
      <c r="F1489" s="798">
        <v>4</v>
      </c>
      <c r="G1489" s="798" t="s">
        <v>2837</v>
      </c>
      <c r="H1489" s="798" t="s">
        <v>3779</v>
      </c>
      <c r="I1489" s="799">
        <v>17000</v>
      </c>
      <c r="J1489" s="798">
        <v>1</v>
      </c>
      <c r="K1489" s="799">
        <f t="shared" si="199"/>
        <v>17000</v>
      </c>
      <c r="L1489" s="799">
        <f t="shared" si="200"/>
        <v>17000</v>
      </c>
      <c r="M1489" s="799">
        <f t="shared" si="198"/>
        <v>17000</v>
      </c>
      <c r="N1489" s="798" t="s">
        <v>18188</v>
      </c>
      <c r="O1489" s="800">
        <f t="shared" si="201"/>
        <v>17000</v>
      </c>
      <c r="P1489" s="800">
        <f t="shared" si="202"/>
        <v>17000</v>
      </c>
      <c r="Q1489" s="801">
        <f t="shared" si="203"/>
        <v>17000</v>
      </c>
    </row>
    <row r="1490" spans="1:17" x14ac:dyDescent="0.2">
      <c r="A1490" s="802" t="s">
        <v>19104</v>
      </c>
      <c r="B1490" s="803" t="s">
        <v>18560</v>
      </c>
      <c r="C1490" s="803" t="s">
        <v>19090</v>
      </c>
      <c r="D1490" s="803" t="s">
        <v>19095</v>
      </c>
      <c r="E1490" s="803" t="s">
        <v>18061</v>
      </c>
      <c r="F1490" s="803">
        <v>4</v>
      </c>
      <c r="G1490" s="803" t="s">
        <v>2837</v>
      </c>
      <c r="H1490" s="803" t="s">
        <v>3779</v>
      </c>
      <c r="I1490" s="804">
        <v>5200</v>
      </c>
      <c r="J1490" s="803">
        <v>1</v>
      </c>
      <c r="K1490" s="804">
        <v>20800</v>
      </c>
      <c r="L1490" s="804">
        <v>20800</v>
      </c>
      <c r="M1490" s="804">
        <f t="shared" si="198"/>
        <v>5200</v>
      </c>
      <c r="N1490" s="803" t="s">
        <v>18188</v>
      </c>
      <c r="O1490" s="805">
        <f t="shared" si="201"/>
        <v>20800</v>
      </c>
      <c r="P1490" s="805">
        <f t="shared" si="202"/>
        <v>20800</v>
      </c>
      <c r="Q1490" s="806">
        <f t="shared" si="203"/>
        <v>5200</v>
      </c>
    </row>
    <row r="1491" spans="1:17" x14ac:dyDescent="0.2">
      <c r="A1491" s="797" t="s">
        <v>19105</v>
      </c>
      <c r="B1491" s="798" t="s">
        <v>18560</v>
      </c>
      <c r="C1491" s="798" t="s">
        <v>19090</v>
      </c>
      <c r="D1491" s="798" t="s">
        <v>19095</v>
      </c>
      <c r="E1491" s="798" t="s">
        <v>18039</v>
      </c>
      <c r="F1491" s="798">
        <v>5</v>
      </c>
      <c r="G1491" s="798" t="s">
        <v>10772</v>
      </c>
      <c r="H1491" s="798" t="s">
        <v>1947</v>
      </c>
      <c r="I1491" s="799">
        <v>25000</v>
      </c>
      <c r="J1491" s="798">
        <v>1</v>
      </c>
      <c r="K1491" s="799">
        <v>50000</v>
      </c>
      <c r="L1491" s="799">
        <v>50000</v>
      </c>
      <c r="M1491" s="799">
        <f t="shared" si="198"/>
        <v>25000</v>
      </c>
      <c r="N1491" s="798" t="s">
        <v>18192</v>
      </c>
      <c r="O1491" s="800">
        <f t="shared" si="201"/>
        <v>50000</v>
      </c>
      <c r="P1491" s="800">
        <f t="shared" si="202"/>
        <v>50000</v>
      </c>
      <c r="Q1491" s="801">
        <f t="shared" si="203"/>
        <v>25000</v>
      </c>
    </row>
    <row r="1492" spans="1:17" x14ac:dyDescent="0.2">
      <c r="A1492" s="802" t="s">
        <v>19106</v>
      </c>
      <c r="B1492" s="803" t="s">
        <v>18933</v>
      </c>
      <c r="C1492" s="803" t="s">
        <v>14333</v>
      </c>
      <c r="D1492" s="803" t="s">
        <v>19107</v>
      </c>
      <c r="E1492" s="803" t="s">
        <v>18054</v>
      </c>
      <c r="F1492" s="803">
        <v>1</v>
      </c>
      <c r="G1492" s="803" t="s">
        <v>1947</v>
      </c>
      <c r="H1492" s="803" t="s">
        <v>122</v>
      </c>
      <c r="I1492" s="804">
        <v>5000</v>
      </c>
      <c r="J1492" s="803">
        <v>1</v>
      </c>
      <c r="K1492" s="804">
        <f t="shared" ref="K1492:K1504" si="204">+I1492</f>
        <v>5000</v>
      </c>
      <c r="L1492" s="804">
        <f t="shared" ref="L1492:L1504" si="205">+I1492</f>
        <v>5000</v>
      </c>
      <c r="M1492" s="804">
        <f t="shared" si="198"/>
        <v>5000</v>
      </c>
      <c r="N1492" s="803" t="s">
        <v>18048</v>
      </c>
      <c r="O1492" s="805">
        <f t="shared" si="201"/>
        <v>5000</v>
      </c>
      <c r="P1492" s="805">
        <f t="shared" si="202"/>
        <v>5000</v>
      </c>
      <c r="Q1492" s="806">
        <f t="shared" si="203"/>
        <v>5000</v>
      </c>
    </row>
    <row r="1493" spans="1:17" x14ac:dyDescent="0.2">
      <c r="A1493" s="797" t="s">
        <v>19108</v>
      </c>
      <c r="B1493" s="798" t="s">
        <v>18933</v>
      </c>
      <c r="C1493" s="798" t="s">
        <v>14333</v>
      </c>
      <c r="D1493" s="798" t="s">
        <v>19107</v>
      </c>
      <c r="E1493" s="798" t="s">
        <v>18033</v>
      </c>
      <c r="F1493" s="798">
        <v>2</v>
      </c>
      <c r="G1493" s="798" t="s">
        <v>1947</v>
      </c>
      <c r="H1493" s="798" t="s">
        <v>122</v>
      </c>
      <c r="I1493" s="799">
        <v>10000</v>
      </c>
      <c r="J1493" s="798">
        <v>1</v>
      </c>
      <c r="K1493" s="799">
        <f t="shared" si="204"/>
        <v>10000</v>
      </c>
      <c r="L1493" s="799">
        <f t="shared" si="205"/>
        <v>10000</v>
      </c>
      <c r="M1493" s="799">
        <f t="shared" si="198"/>
        <v>10000</v>
      </c>
      <c r="N1493" s="798" t="s">
        <v>18057</v>
      </c>
      <c r="O1493" s="800">
        <f t="shared" si="201"/>
        <v>10000</v>
      </c>
      <c r="P1493" s="800">
        <f t="shared" si="202"/>
        <v>10000</v>
      </c>
      <c r="Q1493" s="801">
        <f t="shared" si="203"/>
        <v>10000</v>
      </c>
    </row>
    <row r="1494" spans="1:17" x14ac:dyDescent="0.2">
      <c r="A1494" s="802" t="s">
        <v>19109</v>
      </c>
      <c r="B1494" s="803" t="s">
        <v>18933</v>
      </c>
      <c r="C1494" s="803" t="s">
        <v>14333</v>
      </c>
      <c r="D1494" s="803" t="s">
        <v>19107</v>
      </c>
      <c r="E1494" s="803" t="s">
        <v>18061</v>
      </c>
      <c r="F1494" s="803">
        <v>3</v>
      </c>
      <c r="G1494" s="803" t="s">
        <v>1947</v>
      </c>
      <c r="H1494" s="803" t="s">
        <v>122</v>
      </c>
      <c r="I1494" s="804">
        <v>22000</v>
      </c>
      <c r="J1494" s="803">
        <v>1</v>
      </c>
      <c r="K1494" s="804">
        <f t="shared" si="204"/>
        <v>22000</v>
      </c>
      <c r="L1494" s="804">
        <f t="shared" si="205"/>
        <v>22000</v>
      </c>
      <c r="M1494" s="804">
        <f t="shared" si="198"/>
        <v>22000</v>
      </c>
      <c r="N1494" s="803" t="s">
        <v>18062</v>
      </c>
      <c r="O1494" s="805">
        <f t="shared" si="201"/>
        <v>22000</v>
      </c>
      <c r="P1494" s="805">
        <f t="shared" si="202"/>
        <v>22000</v>
      </c>
      <c r="Q1494" s="806">
        <f t="shared" si="203"/>
        <v>22000</v>
      </c>
    </row>
    <row r="1495" spans="1:17" x14ac:dyDescent="0.2">
      <c r="A1495" s="797" t="s">
        <v>19110</v>
      </c>
      <c r="B1495" s="798" t="s">
        <v>18933</v>
      </c>
      <c r="C1495" s="798" t="s">
        <v>14333</v>
      </c>
      <c r="D1495" s="798" t="s">
        <v>19111</v>
      </c>
      <c r="E1495" s="798" t="s">
        <v>18054</v>
      </c>
      <c r="F1495" s="798">
        <v>1</v>
      </c>
      <c r="G1495" s="798" t="s">
        <v>10772</v>
      </c>
      <c r="H1495" s="798" t="s">
        <v>122</v>
      </c>
      <c r="I1495" s="799">
        <v>10000</v>
      </c>
      <c r="J1495" s="798">
        <v>1</v>
      </c>
      <c r="K1495" s="799">
        <f t="shared" si="204"/>
        <v>10000</v>
      </c>
      <c r="L1495" s="799">
        <f t="shared" si="205"/>
        <v>10000</v>
      </c>
      <c r="M1495" s="799">
        <f t="shared" si="198"/>
        <v>10000</v>
      </c>
      <c r="N1495" s="798" t="s">
        <v>18057</v>
      </c>
      <c r="O1495" s="800">
        <f t="shared" si="201"/>
        <v>10000</v>
      </c>
      <c r="P1495" s="800">
        <f t="shared" si="202"/>
        <v>10000</v>
      </c>
      <c r="Q1495" s="801">
        <f t="shared" si="203"/>
        <v>10000</v>
      </c>
    </row>
    <row r="1496" spans="1:17" x14ac:dyDescent="0.2">
      <c r="A1496" s="802" t="s">
        <v>19112</v>
      </c>
      <c r="B1496" s="803" t="s">
        <v>18933</v>
      </c>
      <c r="C1496" s="803" t="s">
        <v>14333</v>
      </c>
      <c r="D1496" s="803" t="s">
        <v>19111</v>
      </c>
      <c r="E1496" s="803" t="s">
        <v>18033</v>
      </c>
      <c r="F1496" s="803">
        <v>2</v>
      </c>
      <c r="G1496" s="803" t="s">
        <v>10772</v>
      </c>
      <c r="H1496" s="803" t="s">
        <v>122</v>
      </c>
      <c r="I1496" s="804">
        <v>25000</v>
      </c>
      <c r="J1496" s="803">
        <v>1</v>
      </c>
      <c r="K1496" s="804">
        <f t="shared" si="204"/>
        <v>25000</v>
      </c>
      <c r="L1496" s="804">
        <f t="shared" si="205"/>
        <v>25000</v>
      </c>
      <c r="M1496" s="804">
        <f t="shared" si="198"/>
        <v>25000</v>
      </c>
      <c r="N1496" s="803" t="s">
        <v>18062</v>
      </c>
      <c r="O1496" s="805">
        <f t="shared" si="201"/>
        <v>25000</v>
      </c>
      <c r="P1496" s="805">
        <f t="shared" si="202"/>
        <v>25000</v>
      </c>
      <c r="Q1496" s="806">
        <f t="shared" si="203"/>
        <v>25000</v>
      </c>
    </row>
    <row r="1497" spans="1:17" x14ac:dyDescent="0.2">
      <c r="A1497" s="797" t="s">
        <v>19113</v>
      </c>
      <c r="B1497" s="798" t="s">
        <v>18933</v>
      </c>
      <c r="C1497" s="798" t="s">
        <v>14333</v>
      </c>
      <c r="D1497" s="798" t="s">
        <v>19111</v>
      </c>
      <c r="E1497" s="798" t="s">
        <v>18061</v>
      </c>
      <c r="F1497" s="798">
        <v>3</v>
      </c>
      <c r="G1497" s="798" t="s">
        <v>10772</v>
      </c>
      <c r="H1497" s="798" t="s">
        <v>122</v>
      </c>
      <c r="I1497" s="799">
        <v>30000</v>
      </c>
      <c r="J1497" s="798">
        <v>1</v>
      </c>
      <c r="K1497" s="799">
        <f t="shared" si="204"/>
        <v>30000</v>
      </c>
      <c r="L1497" s="799">
        <f t="shared" si="205"/>
        <v>30000</v>
      </c>
      <c r="M1497" s="799">
        <f t="shared" si="198"/>
        <v>30000</v>
      </c>
      <c r="N1497" s="798" t="s">
        <v>18188</v>
      </c>
      <c r="O1497" s="800">
        <f t="shared" si="201"/>
        <v>30000</v>
      </c>
      <c r="P1497" s="800">
        <f t="shared" si="202"/>
        <v>30000</v>
      </c>
      <c r="Q1497" s="801">
        <f t="shared" si="203"/>
        <v>30000</v>
      </c>
    </row>
    <row r="1498" spans="1:17" x14ac:dyDescent="0.2">
      <c r="A1498" s="802" t="s">
        <v>19114</v>
      </c>
      <c r="B1498" s="803" t="s">
        <v>18017</v>
      </c>
      <c r="C1498" s="803" t="s">
        <v>14339</v>
      </c>
      <c r="D1498" s="803" t="s">
        <v>19115</v>
      </c>
      <c r="E1498" s="803" t="s">
        <v>18019</v>
      </c>
      <c r="F1498" s="803">
        <v>1</v>
      </c>
      <c r="G1498" s="803" t="s">
        <v>1103</v>
      </c>
      <c r="H1498" s="803" t="s">
        <v>1103</v>
      </c>
      <c r="I1498" s="804">
        <v>1500</v>
      </c>
      <c r="J1498" s="803">
        <v>1</v>
      </c>
      <c r="K1498" s="804">
        <f t="shared" si="204"/>
        <v>1500</v>
      </c>
      <c r="L1498" s="804">
        <f t="shared" si="205"/>
        <v>1500</v>
      </c>
      <c r="M1498" s="804">
        <f t="shared" si="198"/>
        <v>1500</v>
      </c>
      <c r="N1498" s="803" t="s">
        <v>18020</v>
      </c>
      <c r="O1498" s="805">
        <f t="shared" si="201"/>
        <v>1500</v>
      </c>
      <c r="P1498" s="805">
        <f t="shared" si="202"/>
        <v>1500</v>
      </c>
      <c r="Q1498" s="806">
        <f t="shared" si="203"/>
        <v>1500</v>
      </c>
    </row>
    <row r="1499" spans="1:17" x14ac:dyDescent="0.2">
      <c r="A1499" s="797" t="s">
        <v>19116</v>
      </c>
      <c r="B1499" s="798" t="s">
        <v>18017</v>
      </c>
      <c r="C1499" s="798" t="s">
        <v>14339</v>
      </c>
      <c r="D1499" s="798" t="s">
        <v>19117</v>
      </c>
      <c r="E1499" s="798" t="s">
        <v>18031</v>
      </c>
      <c r="F1499" s="798">
        <v>1</v>
      </c>
      <c r="G1499" s="798" t="s">
        <v>1103</v>
      </c>
      <c r="H1499" s="798" t="s">
        <v>1947</v>
      </c>
      <c r="I1499" s="799">
        <v>2000</v>
      </c>
      <c r="J1499" s="798">
        <v>1</v>
      </c>
      <c r="K1499" s="799">
        <f t="shared" si="204"/>
        <v>2000</v>
      </c>
      <c r="L1499" s="799">
        <f t="shared" si="205"/>
        <v>2000</v>
      </c>
      <c r="M1499" s="799">
        <f t="shared" si="198"/>
        <v>2000</v>
      </c>
      <c r="N1499" s="798" t="s">
        <v>18020</v>
      </c>
      <c r="O1499" s="800">
        <f t="shared" si="201"/>
        <v>2000</v>
      </c>
      <c r="P1499" s="800">
        <f t="shared" si="202"/>
        <v>2000</v>
      </c>
      <c r="Q1499" s="801">
        <f t="shared" si="203"/>
        <v>2000</v>
      </c>
    </row>
    <row r="1500" spans="1:17" x14ac:dyDescent="0.2">
      <c r="A1500" s="802" t="s">
        <v>19118</v>
      </c>
      <c r="B1500" s="803" t="s">
        <v>18017</v>
      </c>
      <c r="C1500" s="803" t="s">
        <v>14339</v>
      </c>
      <c r="D1500" s="803" t="s">
        <v>19117</v>
      </c>
      <c r="E1500" s="803" t="s">
        <v>18033</v>
      </c>
      <c r="F1500" s="803">
        <v>2</v>
      </c>
      <c r="G1500" s="803" t="s">
        <v>1103</v>
      </c>
      <c r="H1500" s="803" t="s">
        <v>1947</v>
      </c>
      <c r="I1500" s="804">
        <v>5200</v>
      </c>
      <c r="J1500" s="803">
        <v>1</v>
      </c>
      <c r="K1500" s="804">
        <f t="shared" si="204"/>
        <v>5200</v>
      </c>
      <c r="L1500" s="804">
        <f t="shared" si="205"/>
        <v>5200</v>
      </c>
      <c r="M1500" s="804">
        <f t="shared" si="198"/>
        <v>5200</v>
      </c>
      <c r="N1500" s="803" t="s">
        <v>18020</v>
      </c>
      <c r="O1500" s="805">
        <f t="shared" si="201"/>
        <v>5200</v>
      </c>
      <c r="P1500" s="805">
        <f t="shared" si="202"/>
        <v>5200</v>
      </c>
      <c r="Q1500" s="806">
        <f t="shared" si="203"/>
        <v>5200</v>
      </c>
    </row>
    <row r="1501" spans="1:17" x14ac:dyDescent="0.2">
      <c r="A1501" s="797" t="s">
        <v>19119</v>
      </c>
      <c r="B1501" s="798" t="s">
        <v>18017</v>
      </c>
      <c r="C1501" s="798" t="s">
        <v>14339</v>
      </c>
      <c r="D1501" s="798" t="s">
        <v>19120</v>
      </c>
      <c r="E1501" s="798" t="s">
        <v>18031</v>
      </c>
      <c r="F1501" s="798">
        <v>1</v>
      </c>
      <c r="G1501" s="798" t="s">
        <v>10772</v>
      </c>
      <c r="H1501" s="798" t="s">
        <v>1947</v>
      </c>
      <c r="I1501" s="799">
        <v>2500</v>
      </c>
      <c r="J1501" s="798">
        <v>1</v>
      </c>
      <c r="K1501" s="799">
        <f t="shared" si="204"/>
        <v>2500</v>
      </c>
      <c r="L1501" s="799">
        <f t="shared" si="205"/>
        <v>2500</v>
      </c>
      <c r="M1501" s="799">
        <f t="shared" si="198"/>
        <v>2500</v>
      </c>
      <c r="N1501" s="798" t="s">
        <v>18020</v>
      </c>
      <c r="O1501" s="800">
        <f t="shared" si="201"/>
        <v>2500</v>
      </c>
      <c r="P1501" s="800">
        <f t="shared" si="202"/>
        <v>2500</v>
      </c>
      <c r="Q1501" s="801">
        <f t="shared" si="203"/>
        <v>2500</v>
      </c>
    </row>
    <row r="1502" spans="1:17" x14ac:dyDescent="0.2">
      <c r="A1502" s="802" t="s">
        <v>19121</v>
      </c>
      <c r="B1502" s="803" t="s">
        <v>18017</v>
      </c>
      <c r="C1502" s="803" t="s">
        <v>14339</v>
      </c>
      <c r="D1502" s="803" t="s">
        <v>19120</v>
      </c>
      <c r="E1502" s="803" t="s">
        <v>18033</v>
      </c>
      <c r="F1502" s="803">
        <v>2</v>
      </c>
      <c r="G1502" s="803" t="s">
        <v>10772</v>
      </c>
      <c r="H1502" s="803" t="s">
        <v>1947</v>
      </c>
      <c r="I1502" s="804">
        <v>7800</v>
      </c>
      <c r="J1502" s="803">
        <v>1</v>
      </c>
      <c r="K1502" s="804">
        <f t="shared" si="204"/>
        <v>7800</v>
      </c>
      <c r="L1502" s="804">
        <f t="shared" si="205"/>
        <v>7800</v>
      </c>
      <c r="M1502" s="804">
        <f t="shared" si="198"/>
        <v>7800</v>
      </c>
      <c r="N1502" s="803" t="s">
        <v>18037</v>
      </c>
      <c r="O1502" s="805">
        <f t="shared" si="201"/>
        <v>7800</v>
      </c>
      <c r="P1502" s="805">
        <f t="shared" si="202"/>
        <v>7800</v>
      </c>
      <c r="Q1502" s="806">
        <f t="shared" si="203"/>
        <v>7800</v>
      </c>
    </row>
    <row r="1503" spans="1:17" x14ac:dyDescent="0.2">
      <c r="A1503" s="797" t="s">
        <v>19122</v>
      </c>
      <c r="B1503" s="798" t="s">
        <v>18017</v>
      </c>
      <c r="C1503" s="798" t="s">
        <v>14339</v>
      </c>
      <c r="D1503" s="798" t="s">
        <v>19120</v>
      </c>
      <c r="E1503" s="798" t="s">
        <v>18039</v>
      </c>
      <c r="F1503" s="798">
        <v>3</v>
      </c>
      <c r="G1503" s="798" t="s">
        <v>10772</v>
      </c>
      <c r="H1503" s="798" t="s">
        <v>1947</v>
      </c>
      <c r="I1503" s="799">
        <v>9500</v>
      </c>
      <c r="J1503" s="798">
        <v>1</v>
      </c>
      <c r="K1503" s="799">
        <f t="shared" si="204"/>
        <v>9500</v>
      </c>
      <c r="L1503" s="799">
        <f t="shared" si="205"/>
        <v>9500</v>
      </c>
      <c r="M1503" s="799">
        <f t="shared" si="198"/>
        <v>9500</v>
      </c>
      <c r="N1503" s="798" t="s">
        <v>18037</v>
      </c>
      <c r="O1503" s="800">
        <f t="shared" si="201"/>
        <v>9500</v>
      </c>
      <c r="P1503" s="800">
        <f t="shared" si="202"/>
        <v>9500</v>
      </c>
      <c r="Q1503" s="801">
        <f t="shared" si="203"/>
        <v>9500</v>
      </c>
    </row>
    <row r="1504" spans="1:17" x14ac:dyDescent="0.2">
      <c r="A1504" s="802" t="s">
        <v>19123</v>
      </c>
      <c r="B1504" s="803" t="s">
        <v>18017</v>
      </c>
      <c r="C1504" s="803" t="s">
        <v>14339</v>
      </c>
      <c r="D1504" s="803" t="s">
        <v>19120</v>
      </c>
      <c r="E1504" s="803" t="s">
        <v>18041</v>
      </c>
      <c r="F1504" s="803">
        <v>4</v>
      </c>
      <c r="G1504" s="803" t="s">
        <v>10772</v>
      </c>
      <c r="H1504" s="803" t="s">
        <v>1947</v>
      </c>
      <c r="I1504" s="804">
        <v>15000</v>
      </c>
      <c r="J1504" s="803">
        <v>1</v>
      </c>
      <c r="K1504" s="804">
        <f t="shared" si="204"/>
        <v>15000</v>
      </c>
      <c r="L1504" s="804">
        <f t="shared" si="205"/>
        <v>15000</v>
      </c>
      <c r="M1504" s="804">
        <f t="shared" si="198"/>
        <v>15000</v>
      </c>
      <c r="N1504" s="803" t="s">
        <v>18042</v>
      </c>
      <c r="O1504" s="805">
        <f t="shared" si="201"/>
        <v>15000</v>
      </c>
      <c r="P1504" s="805">
        <f t="shared" si="202"/>
        <v>15000</v>
      </c>
      <c r="Q1504" s="806">
        <f t="shared" si="203"/>
        <v>15000</v>
      </c>
    </row>
    <row r="1505" spans="1:17" x14ac:dyDescent="0.2">
      <c r="A1505" s="797" t="s">
        <v>19124</v>
      </c>
      <c r="B1505" s="798" t="s">
        <v>18017</v>
      </c>
      <c r="C1505" s="798" t="s">
        <v>14339</v>
      </c>
      <c r="D1505" s="798" t="s">
        <v>19120</v>
      </c>
      <c r="E1505" s="798" t="s">
        <v>18212</v>
      </c>
      <c r="F1505" s="798">
        <v>5</v>
      </c>
      <c r="G1505" s="798" t="s">
        <v>10772</v>
      </c>
      <c r="H1505" s="798" t="s">
        <v>1947</v>
      </c>
      <c r="I1505" s="799">
        <v>22000</v>
      </c>
      <c r="J1505" s="798">
        <v>1</v>
      </c>
      <c r="K1505" s="799">
        <v>100000</v>
      </c>
      <c r="L1505" s="799">
        <v>100000</v>
      </c>
      <c r="M1505" s="799">
        <f t="shared" si="198"/>
        <v>22000</v>
      </c>
      <c r="N1505" s="798" t="s">
        <v>18042</v>
      </c>
      <c r="O1505" s="800">
        <f t="shared" si="201"/>
        <v>100000</v>
      </c>
      <c r="P1505" s="800">
        <f t="shared" si="202"/>
        <v>100000</v>
      </c>
      <c r="Q1505" s="801">
        <f t="shared" si="203"/>
        <v>22000</v>
      </c>
    </row>
    <row r="1506" spans="1:17" x14ac:dyDescent="0.2">
      <c r="A1506" s="802" t="s">
        <v>19125</v>
      </c>
      <c r="B1506" s="803" t="s">
        <v>18017</v>
      </c>
      <c r="C1506" s="803" t="s">
        <v>14339</v>
      </c>
      <c r="D1506" s="803" t="s">
        <v>19120</v>
      </c>
      <c r="E1506" s="803" t="s">
        <v>18214</v>
      </c>
      <c r="F1506" s="803">
        <v>6</v>
      </c>
      <c r="G1506" s="803" t="s">
        <v>10772</v>
      </c>
      <c r="H1506" s="803" t="s">
        <v>1947</v>
      </c>
      <c r="I1506" s="804">
        <v>31000</v>
      </c>
      <c r="J1506" s="803">
        <v>1</v>
      </c>
      <c r="K1506" s="804">
        <v>100000</v>
      </c>
      <c r="L1506" s="804">
        <v>100000</v>
      </c>
      <c r="M1506" s="804">
        <f t="shared" si="198"/>
        <v>31000</v>
      </c>
      <c r="N1506" s="803" t="s">
        <v>18215</v>
      </c>
      <c r="O1506" s="805">
        <f t="shared" si="201"/>
        <v>100000</v>
      </c>
      <c r="P1506" s="805">
        <f t="shared" si="202"/>
        <v>100000</v>
      </c>
      <c r="Q1506" s="806">
        <f t="shared" si="203"/>
        <v>31000</v>
      </c>
    </row>
    <row r="1507" spans="1:17" x14ac:dyDescent="0.2">
      <c r="A1507" s="797" t="s">
        <v>19126</v>
      </c>
      <c r="B1507" s="798" t="s">
        <v>18017</v>
      </c>
      <c r="C1507" s="798" t="s">
        <v>14339</v>
      </c>
      <c r="D1507" s="798" t="s">
        <v>19120</v>
      </c>
      <c r="E1507" s="798" t="s">
        <v>18217</v>
      </c>
      <c r="F1507" s="798">
        <v>7</v>
      </c>
      <c r="G1507" s="798" t="s">
        <v>10772</v>
      </c>
      <c r="H1507" s="798" t="s">
        <v>1947</v>
      </c>
      <c r="I1507" s="799">
        <v>37000</v>
      </c>
      <c r="J1507" s="798">
        <v>1</v>
      </c>
      <c r="K1507" s="799">
        <v>100000</v>
      </c>
      <c r="L1507" s="799">
        <v>100000</v>
      </c>
      <c r="M1507" s="799">
        <f t="shared" si="198"/>
        <v>37000</v>
      </c>
      <c r="N1507" s="798" t="s">
        <v>18215</v>
      </c>
      <c r="O1507" s="800">
        <f t="shared" si="201"/>
        <v>100000</v>
      </c>
      <c r="P1507" s="800">
        <f t="shared" si="202"/>
        <v>100000</v>
      </c>
      <c r="Q1507" s="801">
        <f t="shared" si="203"/>
        <v>37000</v>
      </c>
    </row>
    <row r="1508" spans="1:17" x14ac:dyDescent="0.2">
      <c r="A1508" s="802" t="s">
        <v>19127</v>
      </c>
      <c r="B1508" s="803" t="s">
        <v>18933</v>
      </c>
      <c r="C1508" s="803" t="s">
        <v>14343</v>
      </c>
      <c r="D1508" s="803" t="s">
        <v>19128</v>
      </c>
      <c r="E1508" s="803" t="s">
        <v>18054</v>
      </c>
      <c r="F1508" s="803">
        <v>1</v>
      </c>
      <c r="G1508" s="803" t="s">
        <v>3779</v>
      </c>
      <c r="H1508" s="803" t="s">
        <v>2837</v>
      </c>
      <c r="I1508" s="804">
        <v>5000</v>
      </c>
      <c r="J1508" s="803">
        <v>1</v>
      </c>
      <c r="K1508" s="804">
        <f t="shared" ref="K1508:K1527" si="206">+I1508</f>
        <v>5000</v>
      </c>
      <c r="L1508" s="804">
        <f t="shared" ref="L1508:L1527" si="207">+I1508</f>
        <v>5000</v>
      </c>
      <c r="M1508" s="804">
        <f t="shared" si="198"/>
        <v>5000</v>
      </c>
      <c r="N1508" s="803" t="s">
        <v>18048</v>
      </c>
      <c r="O1508" s="805">
        <f t="shared" si="201"/>
        <v>5000</v>
      </c>
      <c r="P1508" s="805">
        <f t="shared" si="202"/>
        <v>5000</v>
      </c>
      <c r="Q1508" s="806">
        <f t="shared" si="203"/>
        <v>5000</v>
      </c>
    </row>
    <row r="1509" spans="1:17" x14ac:dyDescent="0.2">
      <c r="A1509" s="797" t="s">
        <v>19129</v>
      </c>
      <c r="B1509" s="798" t="s">
        <v>18933</v>
      </c>
      <c r="C1509" s="798" t="s">
        <v>14343</v>
      </c>
      <c r="D1509" s="798" t="s">
        <v>19128</v>
      </c>
      <c r="E1509" s="798" t="s">
        <v>18033</v>
      </c>
      <c r="F1509" s="798">
        <v>2</v>
      </c>
      <c r="G1509" s="798" t="s">
        <v>3779</v>
      </c>
      <c r="H1509" s="798" t="s">
        <v>2837</v>
      </c>
      <c r="I1509" s="799">
        <v>10000</v>
      </c>
      <c r="J1509" s="798">
        <v>1</v>
      </c>
      <c r="K1509" s="799">
        <f t="shared" si="206"/>
        <v>10000</v>
      </c>
      <c r="L1509" s="799">
        <f t="shared" si="207"/>
        <v>10000</v>
      </c>
      <c r="M1509" s="799">
        <f t="shared" si="198"/>
        <v>10000</v>
      </c>
      <c r="N1509" s="798" t="s">
        <v>18057</v>
      </c>
      <c r="O1509" s="800">
        <f t="shared" si="201"/>
        <v>10000</v>
      </c>
      <c r="P1509" s="800">
        <f t="shared" si="202"/>
        <v>10000</v>
      </c>
      <c r="Q1509" s="801">
        <f t="shared" si="203"/>
        <v>10000</v>
      </c>
    </row>
    <row r="1510" spans="1:17" x14ac:dyDescent="0.2">
      <c r="A1510" s="802" t="s">
        <v>19130</v>
      </c>
      <c r="B1510" s="803" t="s">
        <v>18933</v>
      </c>
      <c r="C1510" s="803" t="s">
        <v>14343</v>
      </c>
      <c r="D1510" s="803" t="s">
        <v>19128</v>
      </c>
      <c r="E1510" s="803" t="s">
        <v>18061</v>
      </c>
      <c r="F1510" s="803">
        <v>3</v>
      </c>
      <c r="G1510" s="803" t="s">
        <v>3779</v>
      </c>
      <c r="H1510" s="803" t="s">
        <v>2837</v>
      </c>
      <c r="I1510" s="804">
        <v>22000</v>
      </c>
      <c r="J1510" s="803">
        <v>1</v>
      </c>
      <c r="K1510" s="804">
        <f t="shared" si="206"/>
        <v>22000</v>
      </c>
      <c r="L1510" s="804">
        <f t="shared" si="207"/>
        <v>22000</v>
      </c>
      <c r="M1510" s="804">
        <f t="shared" si="198"/>
        <v>22000</v>
      </c>
      <c r="N1510" s="803" t="s">
        <v>18062</v>
      </c>
      <c r="O1510" s="805">
        <f t="shared" si="201"/>
        <v>22000</v>
      </c>
      <c r="P1510" s="805">
        <f t="shared" si="202"/>
        <v>22000</v>
      </c>
      <c r="Q1510" s="806">
        <f t="shared" si="203"/>
        <v>22000</v>
      </c>
    </row>
    <row r="1511" spans="1:17" x14ac:dyDescent="0.2">
      <c r="A1511" s="797" t="s">
        <v>19131</v>
      </c>
      <c r="B1511" s="798" t="s">
        <v>18933</v>
      </c>
      <c r="C1511" s="798" t="s">
        <v>14343</v>
      </c>
      <c r="D1511" s="798" t="s">
        <v>19132</v>
      </c>
      <c r="E1511" s="798" t="s">
        <v>18054</v>
      </c>
      <c r="F1511" s="798">
        <v>1</v>
      </c>
      <c r="G1511" s="798" t="s">
        <v>10772</v>
      </c>
      <c r="H1511" s="798" t="s">
        <v>2837</v>
      </c>
      <c r="I1511" s="799">
        <v>10000</v>
      </c>
      <c r="J1511" s="798">
        <v>1</v>
      </c>
      <c r="K1511" s="799">
        <f t="shared" si="206"/>
        <v>10000</v>
      </c>
      <c r="L1511" s="799">
        <f t="shared" si="207"/>
        <v>10000</v>
      </c>
      <c r="M1511" s="799">
        <f t="shared" si="198"/>
        <v>10000</v>
      </c>
      <c r="N1511" s="798" t="s">
        <v>18057</v>
      </c>
      <c r="O1511" s="800">
        <f t="shared" si="201"/>
        <v>10000</v>
      </c>
      <c r="P1511" s="800">
        <f t="shared" si="202"/>
        <v>10000</v>
      </c>
      <c r="Q1511" s="801">
        <f t="shared" si="203"/>
        <v>10000</v>
      </c>
    </row>
    <row r="1512" spans="1:17" x14ac:dyDescent="0.2">
      <c r="A1512" s="802" t="s">
        <v>19133</v>
      </c>
      <c r="B1512" s="803" t="s">
        <v>18933</v>
      </c>
      <c r="C1512" s="803" t="s">
        <v>14343</v>
      </c>
      <c r="D1512" s="803" t="s">
        <v>19132</v>
      </c>
      <c r="E1512" s="803" t="s">
        <v>18033</v>
      </c>
      <c r="F1512" s="803">
        <v>2</v>
      </c>
      <c r="G1512" s="803" t="s">
        <v>10772</v>
      </c>
      <c r="H1512" s="803" t="s">
        <v>2837</v>
      </c>
      <c r="I1512" s="804">
        <v>25000</v>
      </c>
      <c r="J1512" s="803">
        <v>1</v>
      </c>
      <c r="K1512" s="804">
        <f t="shared" si="206"/>
        <v>25000</v>
      </c>
      <c r="L1512" s="804">
        <f t="shared" si="207"/>
        <v>25000</v>
      </c>
      <c r="M1512" s="804">
        <f t="shared" si="198"/>
        <v>25000</v>
      </c>
      <c r="N1512" s="803" t="s">
        <v>18062</v>
      </c>
      <c r="O1512" s="805">
        <f t="shared" si="201"/>
        <v>25000</v>
      </c>
      <c r="P1512" s="805">
        <f t="shared" si="202"/>
        <v>25000</v>
      </c>
      <c r="Q1512" s="806">
        <f t="shared" si="203"/>
        <v>25000</v>
      </c>
    </row>
    <row r="1513" spans="1:17" x14ac:dyDescent="0.2">
      <c r="A1513" s="797" t="s">
        <v>19134</v>
      </c>
      <c r="B1513" s="798" t="s">
        <v>18933</v>
      </c>
      <c r="C1513" s="798" t="s">
        <v>14343</v>
      </c>
      <c r="D1513" s="798" t="s">
        <v>19132</v>
      </c>
      <c r="E1513" s="798" t="s">
        <v>18061</v>
      </c>
      <c r="F1513" s="798">
        <v>3</v>
      </c>
      <c r="G1513" s="798" t="s">
        <v>10772</v>
      </c>
      <c r="H1513" s="798" t="s">
        <v>2837</v>
      </c>
      <c r="I1513" s="799">
        <v>30000</v>
      </c>
      <c r="J1513" s="798">
        <v>1</v>
      </c>
      <c r="K1513" s="799">
        <f t="shared" si="206"/>
        <v>30000</v>
      </c>
      <c r="L1513" s="799">
        <f t="shared" si="207"/>
        <v>30000</v>
      </c>
      <c r="M1513" s="799">
        <f t="shared" si="198"/>
        <v>30000</v>
      </c>
      <c r="N1513" s="798" t="s">
        <v>18188</v>
      </c>
      <c r="O1513" s="800">
        <f t="shared" si="201"/>
        <v>30000</v>
      </c>
      <c r="P1513" s="800">
        <f t="shared" si="202"/>
        <v>30000</v>
      </c>
      <c r="Q1513" s="801">
        <f t="shared" si="203"/>
        <v>30000</v>
      </c>
    </row>
    <row r="1514" spans="1:17" x14ac:dyDescent="0.2">
      <c r="A1514" s="802" t="s">
        <v>19135</v>
      </c>
      <c r="B1514" s="803" t="s">
        <v>18933</v>
      </c>
      <c r="C1514" s="803" t="s">
        <v>14349</v>
      </c>
      <c r="D1514" s="803" t="s">
        <v>19136</v>
      </c>
      <c r="E1514" s="803" t="s">
        <v>18054</v>
      </c>
      <c r="F1514" s="803">
        <v>1</v>
      </c>
      <c r="G1514" s="803" t="s">
        <v>2837</v>
      </c>
      <c r="H1514" s="803" t="s">
        <v>3779</v>
      </c>
      <c r="I1514" s="804">
        <v>5000</v>
      </c>
      <c r="J1514" s="803">
        <v>1</v>
      </c>
      <c r="K1514" s="804">
        <f t="shared" si="206"/>
        <v>5000</v>
      </c>
      <c r="L1514" s="804">
        <f t="shared" si="207"/>
        <v>5000</v>
      </c>
      <c r="M1514" s="804">
        <f t="shared" si="198"/>
        <v>5000</v>
      </c>
      <c r="N1514" s="803" t="s">
        <v>18048</v>
      </c>
      <c r="O1514" s="805">
        <f t="shared" si="201"/>
        <v>5000</v>
      </c>
      <c r="P1514" s="805">
        <f t="shared" si="202"/>
        <v>5000</v>
      </c>
      <c r="Q1514" s="806">
        <f t="shared" si="203"/>
        <v>5000</v>
      </c>
    </row>
    <row r="1515" spans="1:17" x14ac:dyDescent="0.2">
      <c r="A1515" s="797" t="s">
        <v>19137</v>
      </c>
      <c r="B1515" s="798" t="s">
        <v>18933</v>
      </c>
      <c r="C1515" s="798" t="s">
        <v>14349</v>
      </c>
      <c r="D1515" s="798" t="s">
        <v>19136</v>
      </c>
      <c r="E1515" s="798" t="s">
        <v>18033</v>
      </c>
      <c r="F1515" s="798">
        <v>2</v>
      </c>
      <c r="G1515" s="798" t="s">
        <v>2837</v>
      </c>
      <c r="H1515" s="798" t="s">
        <v>3779</v>
      </c>
      <c r="I1515" s="799">
        <v>10000</v>
      </c>
      <c r="J1515" s="798">
        <v>1</v>
      </c>
      <c r="K1515" s="799">
        <f t="shared" si="206"/>
        <v>10000</v>
      </c>
      <c r="L1515" s="799">
        <f t="shared" si="207"/>
        <v>10000</v>
      </c>
      <c r="M1515" s="799">
        <f t="shared" si="198"/>
        <v>10000</v>
      </c>
      <c r="N1515" s="798" t="s">
        <v>18057</v>
      </c>
      <c r="O1515" s="800">
        <f t="shared" si="201"/>
        <v>10000</v>
      </c>
      <c r="P1515" s="800">
        <f t="shared" si="202"/>
        <v>10000</v>
      </c>
      <c r="Q1515" s="801">
        <f t="shared" si="203"/>
        <v>10000</v>
      </c>
    </row>
    <row r="1516" spans="1:17" x14ac:dyDescent="0.2">
      <c r="A1516" s="802" t="s">
        <v>19138</v>
      </c>
      <c r="B1516" s="803" t="s">
        <v>18933</v>
      </c>
      <c r="C1516" s="803" t="s">
        <v>14349</v>
      </c>
      <c r="D1516" s="803" t="s">
        <v>19136</v>
      </c>
      <c r="E1516" s="803" t="s">
        <v>18061</v>
      </c>
      <c r="F1516" s="803">
        <v>3</v>
      </c>
      <c r="G1516" s="803" t="s">
        <v>2837</v>
      </c>
      <c r="H1516" s="803" t="s">
        <v>3779</v>
      </c>
      <c r="I1516" s="804">
        <v>22000</v>
      </c>
      <c r="J1516" s="803">
        <v>1</v>
      </c>
      <c r="K1516" s="804">
        <f t="shared" si="206"/>
        <v>22000</v>
      </c>
      <c r="L1516" s="804">
        <f t="shared" si="207"/>
        <v>22000</v>
      </c>
      <c r="M1516" s="804">
        <f t="shared" si="198"/>
        <v>22000</v>
      </c>
      <c r="N1516" s="803" t="s">
        <v>18062</v>
      </c>
      <c r="O1516" s="805">
        <f t="shared" si="201"/>
        <v>22000</v>
      </c>
      <c r="P1516" s="805">
        <f t="shared" si="202"/>
        <v>22000</v>
      </c>
      <c r="Q1516" s="806">
        <f t="shared" si="203"/>
        <v>22000</v>
      </c>
    </row>
    <row r="1517" spans="1:17" x14ac:dyDescent="0.2">
      <c r="A1517" s="797" t="s">
        <v>19139</v>
      </c>
      <c r="B1517" s="798" t="s">
        <v>18933</v>
      </c>
      <c r="C1517" s="798" t="s">
        <v>14349</v>
      </c>
      <c r="D1517" s="798" t="s">
        <v>19140</v>
      </c>
      <c r="E1517" s="798" t="s">
        <v>18054</v>
      </c>
      <c r="F1517" s="798">
        <v>1</v>
      </c>
      <c r="G1517" s="798" t="s">
        <v>10772</v>
      </c>
      <c r="H1517" s="798" t="s">
        <v>3779</v>
      </c>
      <c r="I1517" s="799">
        <v>10000</v>
      </c>
      <c r="J1517" s="798">
        <v>1</v>
      </c>
      <c r="K1517" s="799">
        <f t="shared" si="206"/>
        <v>10000</v>
      </c>
      <c r="L1517" s="799">
        <f t="shared" si="207"/>
        <v>10000</v>
      </c>
      <c r="M1517" s="799">
        <f t="shared" si="198"/>
        <v>10000</v>
      </c>
      <c r="N1517" s="798" t="s">
        <v>18057</v>
      </c>
      <c r="O1517" s="800">
        <f t="shared" si="201"/>
        <v>10000</v>
      </c>
      <c r="P1517" s="800">
        <f t="shared" si="202"/>
        <v>10000</v>
      </c>
      <c r="Q1517" s="801">
        <f t="shared" si="203"/>
        <v>10000</v>
      </c>
    </row>
    <row r="1518" spans="1:17" x14ac:dyDescent="0.2">
      <c r="A1518" s="802" t="s">
        <v>19141</v>
      </c>
      <c r="B1518" s="803" t="s">
        <v>18933</v>
      </c>
      <c r="C1518" s="803" t="s">
        <v>14349</v>
      </c>
      <c r="D1518" s="803" t="s">
        <v>19140</v>
      </c>
      <c r="E1518" s="803" t="s">
        <v>18033</v>
      </c>
      <c r="F1518" s="803">
        <v>2</v>
      </c>
      <c r="G1518" s="803" t="s">
        <v>10772</v>
      </c>
      <c r="H1518" s="803" t="s">
        <v>3779</v>
      </c>
      <c r="I1518" s="804">
        <v>25000</v>
      </c>
      <c r="J1518" s="803">
        <v>1</v>
      </c>
      <c r="K1518" s="804">
        <f t="shared" si="206"/>
        <v>25000</v>
      </c>
      <c r="L1518" s="804">
        <f t="shared" si="207"/>
        <v>25000</v>
      </c>
      <c r="M1518" s="804">
        <f t="shared" si="198"/>
        <v>25000</v>
      </c>
      <c r="N1518" s="803" t="s">
        <v>18062</v>
      </c>
      <c r="O1518" s="805">
        <f t="shared" si="201"/>
        <v>25000</v>
      </c>
      <c r="P1518" s="805">
        <f t="shared" si="202"/>
        <v>25000</v>
      </c>
      <c r="Q1518" s="806">
        <f t="shared" si="203"/>
        <v>25000</v>
      </c>
    </row>
    <row r="1519" spans="1:17" x14ac:dyDescent="0.2">
      <c r="A1519" s="797" t="s">
        <v>19142</v>
      </c>
      <c r="B1519" s="798" t="s">
        <v>18933</v>
      </c>
      <c r="C1519" s="798" t="s">
        <v>14349</v>
      </c>
      <c r="D1519" s="798" t="s">
        <v>19140</v>
      </c>
      <c r="E1519" s="798" t="s">
        <v>18061</v>
      </c>
      <c r="F1519" s="798">
        <v>3</v>
      </c>
      <c r="G1519" s="798" t="s">
        <v>10772</v>
      </c>
      <c r="H1519" s="798" t="s">
        <v>3779</v>
      </c>
      <c r="I1519" s="799">
        <v>30000</v>
      </c>
      <c r="J1519" s="798">
        <v>1</v>
      </c>
      <c r="K1519" s="799">
        <f t="shared" si="206"/>
        <v>30000</v>
      </c>
      <c r="L1519" s="799">
        <f t="shared" si="207"/>
        <v>30000</v>
      </c>
      <c r="M1519" s="799">
        <f t="shared" si="198"/>
        <v>30000</v>
      </c>
      <c r="N1519" s="798" t="s">
        <v>18188</v>
      </c>
      <c r="O1519" s="800">
        <f t="shared" si="201"/>
        <v>30000</v>
      </c>
      <c r="P1519" s="800">
        <f t="shared" si="202"/>
        <v>30000</v>
      </c>
      <c r="Q1519" s="801">
        <f t="shared" si="203"/>
        <v>30000</v>
      </c>
    </row>
    <row r="1520" spans="1:17" x14ac:dyDescent="0.2">
      <c r="A1520" s="802" t="s">
        <v>19143</v>
      </c>
      <c r="B1520" s="803" t="s">
        <v>18017</v>
      </c>
      <c r="C1520" s="803" t="s">
        <v>14355</v>
      </c>
      <c r="D1520" s="803" t="s">
        <v>19144</v>
      </c>
      <c r="E1520" s="803" t="s">
        <v>18019</v>
      </c>
      <c r="F1520" s="803">
        <v>1</v>
      </c>
      <c r="G1520" s="803" t="s">
        <v>10772</v>
      </c>
      <c r="H1520" s="803" t="s">
        <v>1103</v>
      </c>
      <c r="I1520" s="804">
        <v>1500</v>
      </c>
      <c r="J1520" s="803">
        <v>1</v>
      </c>
      <c r="K1520" s="804">
        <f t="shared" si="206"/>
        <v>1500</v>
      </c>
      <c r="L1520" s="804">
        <f t="shared" si="207"/>
        <v>1500</v>
      </c>
      <c r="M1520" s="804">
        <f t="shared" si="198"/>
        <v>1500</v>
      </c>
      <c r="N1520" s="803" t="s">
        <v>18020</v>
      </c>
      <c r="O1520" s="805">
        <f t="shared" si="201"/>
        <v>1500</v>
      </c>
      <c r="P1520" s="805">
        <f t="shared" si="202"/>
        <v>1500</v>
      </c>
      <c r="Q1520" s="806">
        <f t="shared" si="203"/>
        <v>1500</v>
      </c>
    </row>
    <row r="1521" spans="1:17" x14ac:dyDescent="0.2">
      <c r="A1521" s="797" t="s">
        <v>19145</v>
      </c>
      <c r="B1521" s="798" t="s">
        <v>18017</v>
      </c>
      <c r="C1521" s="798" t="s">
        <v>14355</v>
      </c>
      <c r="D1521" s="798" t="s">
        <v>19146</v>
      </c>
      <c r="E1521" s="798" t="s">
        <v>18031</v>
      </c>
      <c r="F1521" s="798">
        <v>1</v>
      </c>
      <c r="G1521" s="798" t="s">
        <v>122</v>
      </c>
      <c r="H1521" s="798" t="s">
        <v>1103</v>
      </c>
      <c r="I1521" s="799">
        <v>2000</v>
      </c>
      <c r="J1521" s="798">
        <v>1</v>
      </c>
      <c r="K1521" s="799">
        <f t="shared" si="206"/>
        <v>2000</v>
      </c>
      <c r="L1521" s="799">
        <f t="shared" si="207"/>
        <v>2000</v>
      </c>
      <c r="M1521" s="799">
        <f t="shared" si="198"/>
        <v>2000</v>
      </c>
      <c r="N1521" s="798" t="s">
        <v>18020</v>
      </c>
      <c r="O1521" s="800">
        <f t="shared" si="201"/>
        <v>2000</v>
      </c>
      <c r="P1521" s="800">
        <f t="shared" si="202"/>
        <v>2000</v>
      </c>
      <c r="Q1521" s="801">
        <f t="shared" si="203"/>
        <v>2000</v>
      </c>
    </row>
    <row r="1522" spans="1:17" x14ac:dyDescent="0.2">
      <c r="A1522" s="802" t="s">
        <v>19147</v>
      </c>
      <c r="B1522" s="803" t="s">
        <v>18017</v>
      </c>
      <c r="C1522" s="803" t="s">
        <v>14355</v>
      </c>
      <c r="D1522" s="803" t="s">
        <v>19146</v>
      </c>
      <c r="E1522" s="803" t="s">
        <v>18033</v>
      </c>
      <c r="F1522" s="803">
        <v>2</v>
      </c>
      <c r="G1522" s="803" t="s">
        <v>122</v>
      </c>
      <c r="H1522" s="803" t="s">
        <v>1103</v>
      </c>
      <c r="I1522" s="804">
        <v>5200</v>
      </c>
      <c r="J1522" s="803">
        <v>1</v>
      </c>
      <c r="K1522" s="804">
        <f t="shared" si="206"/>
        <v>5200</v>
      </c>
      <c r="L1522" s="804">
        <f t="shared" si="207"/>
        <v>5200</v>
      </c>
      <c r="M1522" s="804">
        <f t="shared" ref="M1522:M1585" si="208">+I1522</f>
        <v>5200</v>
      </c>
      <c r="N1522" s="803" t="s">
        <v>18020</v>
      </c>
      <c r="O1522" s="805">
        <f t="shared" si="201"/>
        <v>5200</v>
      </c>
      <c r="P1522" s="805">
        <f t="shared" si="202"/>
        <v>5200</v>
      </c>
      <c r="Q1522" s="806">
        <f t="shared" si="203"/>
        <v>5200</v>
      </c>
    </row>
    <row r="1523" spans="1:17" x14ac:dyDescent="0.2">
      <c r="A1523" s="797" t="s">
        <v>19148</v>
      </c>
      <c r="B1523" s="798" t="s">
        <v>18017</v>
      </c>
      <c r="C1523" s="798" t="s">
        <v>14355</v>
      </c>
      <c r="D1523" s="798" t="s">
        <v>19149</v>
      </c>
      <c r="E1523" s="798" t="s">
        <v>18031</v>
      </c>
      <c r="F1523" s="798">
        <v>1</v>
      </c>
      <c r="G1523" s="798" t="s">
        <v>10772</v>
      </c>
      <c r="H1523" s="798" t="s">
        <v>1103</v>
      </c>
      <c r="I1523" s="799">
        <v>2500</v>
      </c>
      <c r="J1523" s="798">
        <v>1</v>
      </c>
      <c r="K1523" s="799">
        <f t="shared" si="206"/>
        <v>2500</v>
      </c>
      <c r="L1523" s="799">
        <f t="shared" si="207"/>
        <v>2500</v>
      </c>
      <c r="M1523" s="799">
        <f t="shared" si="208"/>
        <v>2500</v>
      </c>
      <c r="N1523" s="798" t="s">
        <v>18020</v>
      </c>
      <c r="O1523" s="800">
        <f t="shared" si="201"/>
        <v>2500</v>
      </c>
      <c r="P1523" s="800">
        <f t="shared" si="202"/>
        <v>2500</v>
      </c>
      <c r="Q1523" s="801">
        <f t="shared" si="203"/>
        <v>2500</v>
      </c>
    </row>
    <row r="1524" spans="1:17" x14ac:dyDescent="0.2">
      <c r="A1524" s="802" t="s">
        <v>19150</v>
      </c>
      <c r="B1524" s="803" t="s">
        <v>18017</v>
      </c>
      <c r="C1524" s="803" t="s">
        <v>14355</v>
      </c>
      <c r="D1524" s="803" t="s">
        <v>19149</v>
      </c>
      <c r="E1524" s="803" t="s">
        <v>18033</v>
      </c>
      <c r="F1524" s="803">
        <v>2</v>
      </c>
      <c r="G1524" s="803" t="s">
        <v>10772</v>
      </c>
      <c r="H1524" s="803" t="s">
        <v>1103</v>
      </c>
      <c r="I1524" s="804">
        <v>7800</v>
      </c>
      <c r="J1524" s="803">
        <v>1</v>
      </c>
      <c r="K1524" s="804">
        <f t="shared" si="206"/>
        <v>7800</v>
      </c>
      <c r="L1524" s="804">
        <f t="shared" si="207"/>
        <v>7800</v>
      </c>
      <c r="M1524" s="804">
        <f t="shared" si="208"/>
        <v>7800</v>
      </c>
      <c r="N1524" s="803" t="s">
        <v>18037</v>
      </c>
      <c r="O1524" s="805">
        <f t="shared" si="201"/>
        <v>7800</v>
      </c>
      <c r="P1524" s="805">
        <f t="shared" si="202"/>
        <v>7800</v>
      </c>
      <c r="Q1524" s="806">
        <f t="shared" si="203"/>
        <v>7800</v>
      </c>
    </row>
    <row r="1525" spans="1:17" x14ac:dyDescent="0.2">
      <c r="A1525" s="797" t="s">
        <v>19151</v>
      </c>
      <c r="B1525" s="798" t="s">
        <v>18017</v>
      </c>
      <c r="C1525" s="798" t="s">
        <v>14355</v>
      </c>
      <c r="D1525" s="798" t="s">
        <v>19149</v>
      </c>
      <c r="E1525" s="798" t="s">
        <v>18039</v>
      </c>
      <c r="F1525" s="798">
        <v>3</v>
      </c>
      <c r="G1525" s="798" t="s">
        <v>10772</v>
      </c>
      <c r="H1525" s="798" t="s">
        <v>1103</v>
      </c>
      <c r="I1525" s="799">
        <v>9500</v>
      </c>
      <c r="J1525" s="798">
        <v>1</v>
      </c>
      <c r="K1525" s="799">
        <f t="shared" si="206"/>
        <v>9500</v>
      </c>
      <c r="L1525" s="799">
        <f t="shared" si="207"/>
        <v>9500</v>
      </c>
      <c r="M1525" s="799">
        <f t="shared" si="208"/>
        <v>9500</v>
      </c>
      <c r="N1525" s="798" t="s">
        <v>18037</v>
      </c>
      <c r="O1525" s="800">
        <f t="shared" si="201"/>
        <v>9500</v>
      </c>
      <c r="P1525" s="800">
        <f t="shared" si="202"/>
        <v>9500</v>
      </c>
      <c r="Q1525" s="801">
        <f t="shared" si="203"/>
        <v>9500</v>
      </c>
    </row>
    <row r="1526" spans="1:17" x14ac:dyDescent="0.2">
      <c r="A1526" s="802" t="s">
        <v>19152</v>
      </c>
      <c r="B1526" s="803" t="s">
        <v>18017</v>
      </c>
      <c r="C1526" s="803" t="s">
        <v>14355</v>
      </c>
      <c r="D1526" s="803" t="s">
        <v>19149</v>
      </c>
      <c r="E1526" s="803" t="s">
        <v>18041</v>
      </c>
      <c r="F1526" s="803">
        <v>4</v>
      </c>
      <c r="G1526" s="803" t="s">
        <v>10772</v>
      </c>
      <c r="H1526" s="803" t="s">
        <v>1103</v>
      </c>
      <c r="I1526" s="804">
        <v>15000</v>
      </c>
      <c r="J1526" s="803">
        <v>1</v>
      </c>
      <c r="K1526" s="804">
        <f t="shared" si="206"/>
        <v>15000</v>
      </c>
      <c r="L1526" s="804">
        <f t="shared" si="207"/>
        <v>15000</v>
      </c>
      <c r="M1526" s="804">
        <f t="shared" si="208"/>
        <v>15000</v>
      </c>
      <c r="N1526" s="803" t="s">
        <v>18042</v>
      </c>
      <c r="O1526" s="805">
        <f t="shared" si="201"/>
        <v>15000</v>
      </c>
      <c r="P1526" s="805">
        <f t="shared" si="202"/>
        <v>15000</v>
      </c>
      <c r="Q1526" s="806">
        <f t="shared" si="203"/>
        <v>15000</v>
      </c>
    </row>
    <row r="1527" spans="1:17" x14ac:dyDescent="0.2">
      <c r="A1527" s="797" t="s">
        <v>19153</v>
      </c>
      <c r="B1527" s="798" t="s">
        <v>18017</v>
      </c>
      <c r="C1527" s="798" t="s">
        <v>14355</v>
      </c>
      <c r="D1527" s="798" t="s">
        <v>19149</v>
      </c>
      <c r="E1527" s="798" t="s">
        <v>18212</v>
      </c>
      <c r="F1527" s="798">
        <v>5</v>
      </c>
      <c r="G1527" s="798" t="s">
        <v>10772</v>
      </c>
      <c r="H1527" s="798" t="s">
        <v>1103</v>
      </c>
      <c r="I1527" s="799">
        <v>22000</v>
      </c>
      <c r="J1527" s="798">
        <v>1</v>
      </c>
      <c r="K1527" s="799">
        <f t="shared" si="206"/>
        <v>22000</v>
      </c>
      <c r="L1527" s="799">
        <f t="shared" si="207"/>
        <v>22000</v>
      </c>
      <c r="M1527" s="799">
        <f t="shared" si="208"/>
        <v>22000</v>
      </c>
      <c r="N1527" s="798" t="s">
        <v>18042</v>
      </c>
      <c r="O1527" s="800">
        <f t="shared" si="201"/>
        <v>22000</v>
      </c>
      <c r="P1527" s="800">
        <f t="shared" si="202"/>
        <v>22000</v>
      </c>
      <c r="Q1527" s="801">
        <f t="shared" si="203"/>
        <v>22000</v>
      </c>
    </row>
    <row r="1528" spans="1:17" x14ac:dyDescent="0.2">
      <c r="A1528" s="802" t="s">
        <v>19154</v>
      </c>
      <c r="B1528" s="803" t="s">
        <v>18017</v>
      </c>
      <c r="C1528" s="803" t="s">
        <v>14355</v>
      </c>
      <c r="D1528" s="803" t="s">
        <v>19149</v>
      </c>
      <c r="E1528" s="803" t="s">
        <v>18214</v>
      </c>
      <c r="F1528" s="803">
        <v>6</v>
      </c>
      <c r="G1528" s="803" t="s">
        <v>10772</v>
      </c>
      <c r="H1528" s="803" t="s">
        <v>1103</v>
      </c>
      <c r="I1528" s="804">
        <v>31000</v>
      </c>
      <c r="J1528" s="803">
        <v>1</v>
      </c>
      <c r="K1528" s="804">
        <v>100000</v>
      </c>
      <c r="L1528" s="804">
        <v>100000</v>
      </c>
      <c r="M1528" s="804">
        <f t="shared" si="208"/>
        <v>31000</v>
      </c>
      <c r="N1528" s="803" t="s">
        <v>18215</v>
      </c>
      <c r="O1528" s="805">
        <f t="shared" si="201"/>
        <v>100000</v>
      </c>
      <c r="P1528" s="805">
        <f t="shared" si="202"/>
        <v>100000</v>
      </c>
      <c r="Q1528" s="806">
        <f t="shared" si="203"/>
        <v>31000</v>
      </c>
    </row>
    <row r="1529" spans="1:17" x14ac:dyDescent="0.2">
      <c r="A1529" s="797" t="s">
        <v>19155</v>
      </c>
      <c r="B1529" s="798" t="s">
        <v>18017</v>
      </c>
      <c r="C1529" s="798" t="s">
        <v>14355</v>
      </c>
      <c r="D1529" s="798" t="s">
        <v>19149</v>
      </c>
      <c r="E1529" s="798" t="s">
        <v>18217</v>
      </c>
      <c r="F1529" s="798">
        <v>7</v>
      </c>
      <c r="G1529" s="798" t="s">
        <v>10772</v>
      </c>
      <c r="H1529" s="798" t="s">
        <v>1103</v>
      </c>
      <c r="I1529" s="799">
        <v>37000</v>
      </c>
      <c r="J1529" s="798">
        <v>1</v>
      </c>
      <c r="K1529" s="799">
        <v>100000</v>
      </c>
      <c r="L1529" s="799">
        <v>100000</v>
      </c>
      <c r="M1529" s="799">
        <f t="shared" si="208"/>
        <v>37000</v>
      </c>
      <c r="N1529" s="798" t="s">
        <v>18215</v>
      </c>
      <c r="O1529" s="800">
        <f t="shared" si="201"/>
        <v>100000</v>
      </c>
      <c r="P1529" s="800">
        <f t="shared" si="202"/>
        <v>100000</v>
      </c>
      <c r="Q1529" s="801">
        <f t="shared" si="203"/>
        <v>37000</v>
      </c>
    </row>
    <row r="1530" spans="1:17" x14ac:dyDescent="0.2">
      <c r="A1530" s="802" t="s">
        <v>19156</v>
      </c>
      <c r="B1530" s="803" t="s">
        <v>18054</v>
      </c>
      <c r="C1530" s="803" t="s">
        <v>14970</v>
      </c>
      <c r="D1530" s="803" t="s">
        <v>19157</v>
      </c>
      <c r="E1530" s="803" t="s">
        <v>18031</v>
      </c>
      <c r="F1530" s="803">
        <v>1</v>
      </c>
      <c r="G1530" s="803" t="s">
        <v>3779</v>
      </c>
      <c r="H1530" s="803" t="s">
        <v>17824</v>
      </c>
      <c r="I1530" s="804">
        <v>700</v>
      </c>
      <c r="J1530" s="803">
        <v>1</v>
      </c>
      <c r="K1530" s="804">
        <v>20000</v>
      </c>
      <c r="L1530" s="804">
        <f>+I1530</f>
        <v>700</v>
      </c>
      <c r="M1530" s="804">
        <f t="shared" si="208"/>
        <v>700</v>
      </c>
      <c r="N1530" s="803" t="s">
        <v>18396</v>
      </c>
      <c r="O1530" s="805">
        <f t="shared" si="201"/>
        <v>20000</v>
      </c>
      <c r="P1530" s="805">
        <f t="shared" si="202"/>
        <v>700</v>
      </c>
      <c r="Q1530" s="806">
        <f t="shared" si="203"/>
        <v>700</v>
      </c>
    </row>
    <row r="1531" spans="1:17" x14ac:dyDescent="0.2">
      <c r="A1531" s="797" t="s">
        <v>19158</v>
      </c>
      <c r="B1531" s="798" t="s">
        <v>18054</v>
      </c>
      <c r="C1531" s="798" t="s">
        <v>14970</v>
      </c>
      <c r="D1531" s="798" t="s">
        <v>19157</v>
      </c>
      <c r="E1531" s="798" t="s">
        <v>18054</v>
      </c>
      <c r="F1531" s="798">
        <v>2</v>
      </c>
      <c r="G1531" s="798" t="s">
        <v>3779</v>
      </c>
      <c r="H1531" s="798" t="s">
        <v>17824</v>
      </c>
      <c r="I1531" s="799">
        <v>3000</v>
      </c>
      <c r="J1531" s="798">
        <v>1</v>
      </c>
      <c r="K1531" s="799">
        <v>30000</v>
      </c>
      <c r="L1531" s="799">
        <f>+I1531</f>
        <v>3000</v>
      </c>
      <c r="M1531" s="799">
        <f t="shared" si="208"/>
        <v>3000</v>
      </c>
      <c r="N1531" s="798" t="s">
        <v>18258</v>
      </c>
      <c r="O1531" s="800">
        <f t="shared" si="201"/>
        <v>30000</v>
      </c>
      <c r="P1531" s="800">
        <f t="shared" si="202"/>
        <v>3000</v>
      </c>
      <c r="Q1531" s="801">
        <f t="shared" si="203"/>
        <v>3000</v>
      </c>
    </row>
    <row r="1532" spans="1:17" x14ac:dyDescent="0.2">
      <c r="A1532" s="802" t="s">
        <v>19159</v>
      </c>
      <c r="B1532" s="803" t="s">
        <v>18054</v>
      </c>
      <c r="C1532" s="803" t="s">
        <v>14970</v>
      </c>
      <c r="D1532" s="803" t="s">
        <v>19157</v>
      </c>
      <c r="E1532" s="803" t="s">
        <v>18033</v>
      </c>
      <c r="F1532" s="803">
        <v>3</v>
      </c>
      <c r="G1532" s="803" t="s">
        <v>3779</v>
      </c>
      <c r="H1532" s="803" t="s">
        <v>17824</v>
      </c>
      <c r="I1532" s="804">
        <v>6000</v>
      </c>
      <c r="J1532" s="803">
        <v>1</v>
      </c>
      <c r="K1532" s="804">
        <v>40000</v>
      </c>
      <c r="L1532" s="804">
        <f>+I1532</f>
        <v>6000</v>
      </c>
      <c r="M1532" s="804">
        <f t="shared" si="208"/>
        <v>6000</v>
      </c>
      <c r="N1532" s="803" t="s">
        <v>18260</v>
      </c>
      <c r="O1532" s="805">
        <f t="shared" si="201"/>
        <v>40000</v>
      </c>
      <c r="P1532" s="805">
        <f t="shared" si="202"/>
        <v>6000</v>
      </c>
      <c r="Q1532" s="806">
        <f t="shared" si="203"/>
        <v>6000</v>
      </c>
    </row>
    <row r="1533" spans="1:17" x14ac:dyDescent="0.2">
      <c r="A1533" s="797" t="s">
        <v>19160</v>
      </c>
      <c r="B1533" s="798" t="s">
        <v>18054</v>
      </c>
      <c r="C1533" s="798" t="s">
        <v>14970</v>
      </c>
      <c r="D1533" s="798" t="s">
        <v>19157</v>
      </c>
      <c r="E1533" s="798" t="s">
        <v>18061</v>
      </c>
      <c r="F1533" s="798">
        <v>4</v>
      </c>
      <c r="G1533" s="798" t="s">
        <v>3779</v>
      </c>
      <c r="H1533" s="798" t="s">
        <v>17824</v>
      </c>
      <c r="I1533" s="799">
        <v>7500</v>
      </c>
      <c r="J1533" s="798">
        <v>7</v>
      </c>
      <c r="K1533" s="799">
        <v>50000</v>
      </c>
      <c r="L1533" s="799">
        <f>+I1533</f>
        <v>7500</v>
      </c>
      <c r="M1533" s="799">
        <f t="shared" si="208"/>
        <v>7500</v>
      </c>
      <c r="N1533" s="798" t="s">
        <v>18262</v>
      </c>
      <c r="O1533" s="800">
        <f t="shared" si="201"/>
        <v>350000</v>
      </c>
      <c r="P1533" s="800">
        <f t="shared" si="202"/>
        <v>52500</v>
      </c>
      <c r="Q1533" s="801">
        <f t="shared" si="203"/>
        <v>52500</v>
      </c>
    </row>
    <row r="1534" spans="1:17" x14ac:dyDescent="0.2">
      <c r="A1534" s="802" t="s">
        <v>19161</v>
      </c>
      <c r="B1534" s="803" t="s">
        <v>18054</v>
      </c>
      <c r="C1534" s="803" t="s">
        <v>14970</v>
      </c>
      <c r="D1534" s="803" t="s">
        <v>19162</v>
      </c>
      <c r="E1534" s="803" t="s">
        <v>18031</v>
      </c>
      <c r="F1534" s="803">
        <v>1</v>
      </c>
      <c r="G1534" s="803" t="s">
        <v>2837</v>
      </c>
      <c r="H1534" s="803" t="s">
        <v>17824</v>
      </c>
      <c r="I1534" s="804">
        <v>500</v>
      </c>
      <c r="J1534" s="803">
        <v>1</v>
      </c>
      <c r="K1534" s="804">
        <f t="shared" ref="K1534:K1565" si="209">+I1534</f>
        <v>500</v>
      </c>
      <c r="L1534" s="804">
        <v>10000</v>
      </c>
      <c r="M1534" s="804">
        <f t="shared" si="208"/>
        <v>500</v>
      </c>
      <c r="N1534" s="803" t="s">
        <v>10772</v>
      </c>
      <c r="O1534" s="805">
        <f t="shared" si="201"/>
        <v>500</v>
      </c>
      <c r="P1534" s="805">
        <f t="shared" si="202"/>
        <v>10000</v>
      </c>
      <c r="Q1534" s="806">
        <f t="shared" si="203"/>
        <v>500</v>
      </c>
    </row>
    <row r="1535" spans="1:17" x14ac:dyDescent="0.2">
      <c r="A1535" s="797" t="s">
        <v>19163</v>
      </c>
      <c r="B1535" s="798" t="s">
        <v>18054</v>
      </c>
      <c r="C1535" s="798" t="s">
        <v>14970</v>
      </c>
      <c r="D1535" s="798" t="s">
        <v>19162</v>
      </c>
      <c r="E1535" s="798" t="s">
        <v>18054</v>
      </c>
      <c r="F1535" s="798">
        <v>2</v>
      </c>
      <c r="G1535" s="798" t="s">
        <v>2837</v>
      </c>
      <c r="H1535" s="798" t="s">
        <v>17824</v>
      </c>
      <c r="I1535" s="799">
        <v>2500</v>
      </c>
      <c r="J1535" s="798">
        <v>1</v>
      </c>
      <c r="K1535" s="799">
        <f t="shared" si="209"/>
        <v>2500</v>
      </c>
      <c r="L1535" s="799">
        <f>+I1535</f>
        <v>2500</v>
      </c>
      <c r="M1535" s="799">
        <f t="shared" si="208"/>
        <v>2500</v>
      </c>
      <c r="N1535" s="798" t="s">
        <v>10772</v>
      </c>
      <c r="O1535" s="800">
        <f t="shared" si="201"/>
        <v>2500</v>
      </c>
      <c r="P1535" s="800">
        <f t="shared" si="202"/>
        <v>2500</v>
      </c>
      <c r="Q1535" s="801">
        <f t="shared" si="203"/>
        <v>2500</v>
      </c>
    </row>
    <row r="1536" spans="1:17" x14ac:dyDescent="0.2">
      <c r="A1536" s="802" t="s">
        <v>19164</v>
      </c>
      <c r="B1536" s="803" t="s">
        <v>18054</v>
      </c>
      <c r="C1536" s="803" t="s">
        <v>14970</v>
      </c>
      <c r="D1536" s="803" t="s">
        <v>19162</v>
      </c>
      <c r="E1536" s="803" t="s">
        <v>18033</v>
      </c>
      <c r="F1536" s="803">
        <v>3</v>
      </c>
      <c r="G1536" s="803" t="s">
        <v>2837</v>
      </c>
      <c r="H1536" s="803" t="s">
        <v>17824</v>
      </c>
      <c r="I1536" s="804">
        <v>5200</v>
      </c>
      <c r="J1536" s="803">
        <v>1</v>
      </c>
      <c r="K1536" s="804">
        <f t="shared" si="209"/>
        <v>5200</v>
      </c>
      <c r="L1536" s="804">
        <v>22000</v>
      </c>
      <c r="M1536" s="804">
        <f t="shared" si="208"/>
        <v>5200</v>
      </c>
      <c r="N1536" s="803" t="s">
        <v>10772</v>
      </c>
      <c r="O1536" s="805">
        <f t="shared" si="201"/>
        <v>5200</v>
      </c>
      <c r="P1536" s="805">
        <f t="shared" si="202"/>
        <v>22000</v>
      </c>
      <c r="Q1536" s="806">
        <f t="shared" si="203"/>
        <v>5200</v>
      </c>
    </row>
    <row r="1537" spans="1:17" x14ac:dyDescent="0.2">
      <c r="A1537" s="797" t="s">
        <v>19165</v>
      </c>
      <c r="B1537" s="798" t="s">
        <v>18054</v>
      </c>
      <c r="C1537" s="798" t="s">
        <v>14970</v>
      </c>
      <c r="D1537" s="798" t="s">
        <v>19162</v>
      </c>
      <c r="E1537" s="798" t="s">
        <v>18061</v>
      </c>
      <c r="F1537" s="798">
        <v>4</v>
      </c>
      <c r="G1537" s="798" t="s">
        <v>2837</v>
      </c>
      <c r="H1537" s="798" t="s">
        <v>17824</v>
      </c>
      <c r="I1537" s="799">
        <v>6700</v>
      </c>
      <c r="J1537" s="798">
        <v>2</v>
      </c>
      <c r="K1537" s="799">
        <f t="shared" si="209"/>
        <v>6700</v>
      </c>
      <c r="L1537" s="799">
        <v>30000</v>
      </c>
      <c r="M1537" s="799">
        <f t="shared" si="208"/>
        <v>6700</v>
      </c>
      <c r="N1537" s="798" t="s">
        <v>10772</v>
      </c>
      <c r="O1537" s="800">
        <f t="shared" si="201"/>
        <v>13400</v>
      </c>
      <c r="P1537" s="800">
        <f t="shared" si="202"/>
        <v>60000</v>
      </c>
      <c r="Q1537" s="801">
        <f t="shared" si="203"/>
        <v>13400</v>
      </c>
    </row>
    <row r="1538" spans="1:17" x14ac:dyDescent="0.2">
      <c r="A1538" s="802" t="s">
        <v>19166</v>
      </c>
      <c r="B1538" s="803" t="s">
        <v>18054</v>
      </c>
      <c r="C1538" s="803" t="s">
        <v>14035</v>
      </c>
      <c r="D1538" s="803" t="s">
        <v>19167</v>
      </c>
      <c r="E1538" s="803" t="s">
        <v>18031</v>
      </c>
      <c r="F1538" s="803">
        <v>1</v>
      </c>
      <c r="G1538" s="803" t="s">
        <v>122</v>
      </c>
      <c r="H1538" s="803" t="s">
        <v>122</v>
      </c>
      <c r="I1538" s="804">
        <v>1200</v>
      </c>
      <c r="J1538" s="803">
        <v>1</v>
      </c>
      <c r="K1538" s="804">
        <f t="shared" si="209"/>
        <v>1200</v>
      </c>
      <c r="L1538" s="804">
        <f t="shared" ref="L1538:L1569" si="210">+I1538</f>
        <v>1200</v>
      </c>
      <c r="M1538" s="804">
        <f t="shared" si="208"/>
        <v>1200</v>
      </c>
      <c r="N1538" s="803" t="s">
        <v>19168</v>
      </c>
      <c r="O1538" s="805">
        <f t="shared" ref="O1538:O1601" si="211">+J1538*K1538</f>
        <v>1200</v>
      </c>
      <c r="P1538" s="805">
        <f t="shared" ref="P1538:P1601" si="212">+J1538*L1538</f>
        <v>1200</v>
      </c>
      <c r="Q1538" s="806">
        <f t="shared" ref="Q1538:Q1601" si="213">+J1538*M1538</f>
        <v>1200</v>
      </c>
    </row>
    <row r="1539" spans="1:17" x14ac:dyDescent="0.2">
      <c r="A1539" s="797" t="s">
        <v>19169</v>
      </c>
      <c r="B1539" s="798" t="s">
        <v>18054</v>
      </c>
      <c r="C1539" s="798" t="s">
        <v>14035</v>
      </c>
      <c r="D1539" s="798" t="s">
        <v>19167</v>
      </c>
      <c r="E1539" s="798" t="s">
        <v>18054</v>
      </c>
      <c r="F1539" s="798">
        <v>2</v>
      </c>
      <c r="G1539" s="798" t="s">
        <v>122</v>
      </c>
      <c r="H1539" s="798" t="s">
        <v>122</v>
      </c>
      <c r="I1539" s="799">
        <v>4000</v>
      </c>
      <c r="J1539" s="798">
        <v>1</v>
      </c>
      <c r="K1539" s="799">
        <f t="shared" si="209"/>
        <v>4000</v>
      </c>
      <c r="L1539" s="799">
        <f t="shared" si="210"/>
        <v>4000</v>
      </c>
      <c r="M1539" s="799">
        <f t="shared" si="208"/>
        <v>4000</v>
      </c>
      <c r="N1539" s="798" t="s">
        <v>19170</v>
      </c>
      <c r="O1539" s="800">
        <f t="shared" si="211"/>
        <v>4000</v>
      </c>
      <c r="P1539" s="800">
        <f t="shared" si="212"/>
        <v>4000</v>
      </c>
      <c r="Q1539" s="801">
        <f t="shared" si="213"/>
        <v>4000</v>
      </c>
    </row>
    <row r="1540" spans="1:17" x14ac:dyDescent="0.2">
      <c r="A1540" s="802" t="s">
        <v>19171</v>
      </c>
      <c r="B1540" s="803" t="s">
        <v>18054</v>
      </c>
      <c r="C1540" s="803" t="s">
        <v>14035</v>
      </c>
      <c r="D1540" s="803" t="s">
        <v>19167</v>
      </c>
      <c r="E1540" s="803" t="s">
        <v>18033</v>
      </c>
      <c r="F1540" s="803">
        <v>3</v>
      </c>
      <c r="G1540" s="803" t="s">
        <v>122</v>
      </c>
      <c r="H1540" s="803" t="s">
        <v>122</v>
      </c>
      <c r="I1540" s="804">
        <v>6500</v>
      </c>
      <c r="J1540" s="803">
        <v>1</v>
      </c>
      <c r="K1540" s="804">
        <f t="shared" si="209"/>
        <v>6500</v>
      </c>
      <c r="L1540" s="804">
        <f t="shared" si="210"/>
        <v>6500</v>
      </c>
      <c r="M1540" s="804">
        <f t="shared" si="208"/>
        <v>6500</v>
      </c>
      <c r="N1540" s="803" t="s">
        <v>19172</v>
      </c>
      <c r="O1540" s="805">
        <f t="shared" si="211"/>
        <v>6500</v>
      </c>
      <c r="P1540" s="805">
        <f t="shared" si="212"/>
        <v>6500</v>
      </c>
      <c r="Q1540" s="806">
        <f t="shared" si="213"/>
        <v>6500</v>
      </c>
    </row>
    <row r="1541" spans="1:17" x14ac:dyDescent="0.2">
      <c r="A1541" s="797" t="s">
        <v>19173</v>
      </c>
      <c r="B1541" s="798" t="s">
        <v>18054</v>
      </c>
      <c r="C1541" s="798" t="s">
        <v>14035</v>
      </c>
      <c r="D1541" s="798" t="s">
        <v>19174</v>
      </c>
      <c r="E1541" s="798" t="s">
        <v>18031</v>
      </c>
      <c r="F1541" s="798">
        <v>1</v>
      </c>
      <c r="G1541" s="798" t="s">
        <v>1103</v>
      </c>
      <c r="H1541" s="798" t="s">
        <v>1103</v>
      </c>
      <c r="I1541" s="799">
        <v>1200</v>
      </c>
      <c r="J1541" s="798">
        <v>1</v>
      </c>
      <c r="K1541" s="799">
        <f t="shared" si="209"/>
        <v>1200</v>
      </c>
      <c r="L1541" s="799">
        <f t="shared" si="210"/>
        <v>1200</v>
      </c>
      <c r="M1541" s="799">
        <f t="shared" si="208"/>
        <v>1200</v>
      </c>
      <c r="N1541" s="798" t="s">
        <v>19168</v>
      </c>
      <c r="O1541" s="800">
        <f t="shared" si="211"/>
        <v>1200</v>
      </c>
      <c r="P1541" s="800">
        <f t="shared" si="212"/>
        <v>1200</v>
      </c>
      <c r="Q1541" s="801">
        <f t="shared" si="213"/>
        <v>1200</v>
      </c>
    </row>
    <row r="1542" spans="1:17" x14ac:dyDescent="0.2">
      <c r="A1542" s="802" t="s">
        <v>19175</v>
      </c>
      <c r="B1542" s="803" t="s">
        <v>18054</v>
      </c>
      <c r="C1542" s="803" t="s">
        <v>14035</v>
      </c>
      <c r="D1542" s="803" t="s">
        <v>19174</v>
      </c>
      <c r="E1542" s="803" t="s">
        <v>18054</v>
      </c>
      <c r="F1542" s="803">
        <v>2</v>
      </c>
      <c r="G1542" s="803" t="s">
        <v>1103</v>
      </c>
      <c r="H1542" s="803" t="s">
        <v>1103</v>
      </c>
      <c r="I1542" s="804">
        <v>4000</v>
      </c>
      <c r="J1542" s="803">
        <v>1</v>
      </c>
      <c r="K1542" s="804">
        <f t="shared" si="209"/>
        <v>4000</v>
      </c>
      <c r="L1542" s="804">
        <f t="shared" si="210"/>
        <v>4000</v>
      </c>
      <c r="M1542" s="804">
        <f t="shared" si="208"/>
        <v>4000</v>
      </c>
      <c r="N1542" s="803" t="s">
        <v>19170</v>
      </c>
      <c r="O1542" s="805">
        <f t="shared" si="211"/>
        <v>4000</v>
      </c>
      <c r="P1542" s="805">
        <f t="shared" si="212"/>
        <v>4000</v>
      </c>
      <c r="Q1542" s="806">
        <f t="shared" si="213"/>
        <v>4000</v>
      </c>
    </row>
    <row r="1543" spans="1:17" x14ac:dyDescent="0.2">
      <c r="A1543" s="797" t="s">
        <v>19176</v>
      </c>
      <c r="B1543" s="798" t="s">
        <v>18054</v>
      </c>
      <c r="C1543" s="798" t="s">
        <v>14035</v>
      </c>
      <c r="D1543" s="798" t="s">
        <v>19174</v>
      </c>
      <c r="E1543" s="798" t="s">
        <v>18033</v>
      </c>
      <c r="F1543" s="798">
        <v>3</v>
      </c>
      <c r="G1543" s="798" t="s">
        <v>1103</v>
      </c>
      <c r="H1543" s="798" t="s">
        <v>1103</v>
      </c>
      <c r="I1543" s="799">
        <v>6500</v>
      </c>
      <c r="J1543" s="798">
        <v>1</v>
      </c>
      <c r="K1543" s="799">
        <f t="shared" si="209"/>
        <v>6500</v>
      </c>
      <c r="L1543" s="799">
        <f t="shared" si="210"/>
        <v>6500</v>
      </c>
      <c r="M1543" s="799">
        <f t="shared" si="208"/>
        <v>6500</v>
      </c>
      <c r="N1543" s="798" t="s">
        <v>19172</v>
      </c>
      <c r="O1543" s="800">
        <f t="shared" si="211"/>
        <v>6500</v>
      </c>
      <c r="P1543" s="800">
        <f t="shared" si="212"/>
        <v>6500</v>
      </c>
      <c r="Q1543" s="801">
        <f t="shared" si="213"/>
        <v>6500</v>
      </c>
    </row>
    <row r="1544" spans="1:17" x14ac:dyDescent="0.2">
      <c r="A1544" s="802" t="s">
        <v>19177</v>
      </c>
      <c r="B1544" s="803" t="s">
        <v>18054</v>
      </c>
      <c r="C1544" s="803" t="s">
        <v>14035</v>
      </c>
      <c r="D1544" s="803" t="s">
        <v>19178</v>
      </c>
      <c r="E1544" s="803" t="s">
        <v>18031</v>
      </c>
      <c r="F1544" s="803">
        <v>1</v>
      </c>
      <c r="G1544" s="803" t="s">
        <v>1947</v>
      </c>
      <c r="H1544" s="803" t="s">
        <v>1947</v>
      </c>
      <c r="I1544" s="804">
        <v>1200</v>
      </c>
      <c r="J1544" s="803">
        <v>1</v>
      </c>
      <c r="K1544" s="804">
        <f t="shared" si="209"/>
        <v>1200</v>
      </c>
      <c r="L1544" s="804">
        <f t="shared" si="210"/>
        <v>1200</v>
      </c>
      <c r="M1544" s="804">
        <f t="shared" si="208"/>
        <v>1200</v>
      </c>
      <c r="N1544" s="803" t="s">
        <v>19168</v>
      </c>
      <c r="O1544" s="805">
        <f t="shared" si="211"/>
        <v>1200</v>
      </c>
      <c r="P1544" s="805">
        <f t="shared" si="212"/>
        <v>1200</v>
      </c>
      <c r="Q1544" s="806">
        <f t="shared" si="213"/>
        <v>1200</v>
      </c>
    </row>
    <row r="1545" spans="1:17" x14ac:dyDescent="0.2">
      <c r="A1545" s="797" t="s">
        <v>19179</v>
      </c>
      <c r="B1545" s="798" t="s">
        <v>18054</v>
      </c>
      <c r="C1545" s="798" t="s">
        <v>14035</v>
      </c>
      <c r="D1545" s="798" t="s">
        <v>19178</v>
      </c>
      <c r="E1545" s="798" t="s">
        <v>18054</v>
      </c>
      <c r="F1545" s="798">
        <v>2</v>
      </c>
      <c r="G1545" s="798" t="s">
        <v>1947</v>
      </c>
      <c r="H1545" s="798" t="s">
        <v>1947</v>
      </c>
      <c r="I1545" s="799">
        <v>4000</v>
      </c>
      <c r="J1545" s="798">
        <v>1</v>
      </c>
      <c r="K1545" s="799">
        <f t="shared" si="209"/>
        <v>4000</v>
      </c>
      <c r="L1545" s="799">
        <f t="shared" si="210"/>
        <v>4000</v>
      </c>
      <c r="M1545" s="799">
        <f t="shared" si="208"/>
        <v>4000</v>
      </c>
      <c r="N1545" s="798" t="s">
        <v>19170</v>
      </c>
      <c r="O1545" s="800">
        <f t="shared" si="211"/>
        <v>4000</v>
      </c>
      <c r="P1545" s="800">
        <f t="shared" si="212"/>
        <v>4000</v>
      </c>
      <c r="Q1545" s="801">
        <f t="shared" si="213"/>
        <v>4000</v>
      </c>
    </row>
    <row r="1546" spans="1:17" x14ac:dyDescent="0.2">
      <c r="A1546" s="802" t="s">
        <v>19180</v>
      </c>
      <c r="B1546" s="803" t="s">
        <v>18054</v>
      </c>
      <c r="C1546" s="803" t="s">
        <v>14035</v>
      </c>
      <c r="D1546" s="803" t="s">
        <v>19178</v>
      </c>
      <c r="E1546" s="803" t="s">
        <v>18033</v>
      </c>
      <c r="F1546" s="803">
        <v>3</v>
      </c>
      <c r="G1546" s="803" t="s">
        <v>1947</v>
      </c>
      <c r="H1546" s="803" t="s">
        <v>1947</v>
      </c>
      <c r="I1546" s="804">
        <v>6500</v>
      </c>
      <c r="J1546" s="803">
        <v>1</v>
      </c>
      <c r="K1546" s="804">
        <f t="shared" si="209"/>
        <v>6500</v>
      </c>
      <c r="L1546" s="804">
        <f t="shared" si="210"/>
        <v>6500</v>
      </c>
      <c r="M1546" s="804">
        <f t="shared" si="208"/>
        <v>6500</v>
      </c>
      <c r="N1546" s="803" t="s">
        <v>19172</v>
      </c>
      <c r="O1546" s="805">
        <f t="shared" si="211"/>
        <v>6500</v>
      </c>
      <c r="P1546" s="805">
        <f t="shared" si="212"/>
        <v>6500</v>
      </c>
      <c r="Q1546" s="806">
        <f t="shared" si="213"/>
        <v>6500</v>
      </c>
    </row>
    <row r="1547" spans="1:17" x14ac:dyDescent="0.2">
      <c r="A1547" s="797" t="s">
        <v>19181</v>
      </c>
      <c r="B1547" s="798" t="s">
        <v>18054</v>
      </c>
      <c r="C1547" s="798" t="s">
        <v>14035</v>
      </c>
      <c r="D1547" s="798" t="s">
        <v>19182</v>
      </c>
      <c r="E1547" s="798" t="s">
        <v>18031</v>
      </c>
      <c r="F1547" s="798">
        <v>1</v>
      </c>
      <c r="G1547" s="798" t="s">
        <v>2837</v>
      </c>
      <c r="H1547" s="798" t="s">
        <v>2837</v>
      </c>
      <c r="I1547" s="799">
        <v>1200</v>
      </c>
      <c r="J1547" s="798">
        <v>1</v>
      </c>
      <c r="K1547" s="799">
        <f t="shared" si="209"/>
        <v>1200</v>
      </c>
      <c r="L1547" s="799">
        <f t="shared" si="210"/>
        <v>1200</v>
      </c>
      <c r="M1547" s="799">
        <f t="shared" si="208"/>
        <v>1200</v>
      </c>
      <c r="N1547" s="798" t="s">
        <v>19168</v>
      </c>
      <c r="O1547" s="800">
        <f t="shared" si="211"/>
        <v>1200</v>
      </c>
      <c r="P1547" s="800">
        <f t="shared" si="212"/>
        <v>1200</v>
      </c>
      <c r="Q1547" s="801">
        <f t="shared" si="213"/>
        <v>1200</v>
      </c>
    </row>
    <row r="1548" spans="1:17" x14ac:dyDescent="0.2">
      <c r="A1548" s="802" t="s">
        <v>19183</v>
      </c>
      <c r="B1548" s="803" t="s">
        <v>18054</v>
      </c>
      <c r="C1548" s="803" t="s">
        <v>14035</v>
      </c>
      <c r="D1548" s="803" t="s">
        <v>19182</v>
      </c>
      <c r="E1548" s="803" t="s">
        <v>18054</v>
      </c>
      <c r="F1548" s="803">
        <v>2</v>
      </c>
      <c r="G1548" s="803" t="s">
        <v>2837</v>
      </c>
      <c r="H1548" s="803" t="s">
        <v>2837</v>
      </c>
      <c r="I1548" s="804">
        <v>4000</v>
      </c>
      <c r="J1548" s="803">
        <v>1</v>
      </c>
      <c r="K1548" s="804">
        <f t="shared" si="209"/>
        <v>4000</v>
      </c>
      <c r="L1548" s="804">
        <f t="shared" si="210"/>
        <v>4000</v>
      </c>
      <c r="M1548" s="804">
        <f t="shared" si="208"/>
        <v>4000</v>
      </c>
      <c r="N1548" s="803" t="s">
        <v>19170</v>
      </c>
      <c r="O1548" s="805">
        <f t="shared" si="211"/>
        <v>4000</v>
      </c>
      <c r="P1548" s="805">
        <f t="shared" si="212"/>
        <v>4000</v>
      </c>
      <c r="Q1548" s="806">
        <f t="shared" si="213"/>
        <v>4000</v>
      </c>
    </row>
    <row r="1549" spans="1:17" x14ac:dyDescent="0.2">
      <c r="A1549" s="797" t="s">
        <v>19184</v>
      </c>
      <c r="B1549" s="798" t="s">
        <v>18054</v>
      </c>
      <c r="C1549" s="798" t="s">
        <v>14035</v>
      </c>
      <c r="D1549" s="798" t="s">
        <v>19182</v>
      </c>
      <c r="E1549" s="798" t="s">
        <v>18033</v>
      </c>
      <c r="F1549" s="798">
        <v>3</v>
      </c>
      <c r="G1549" s="798" t="s">
        <v>2837</v>
      </c>
      <c r="H1549" s="798" t="s">
        <v>2837</v>
      </c>
      <c r="I1549" s="799">
        <v>6500</v>
      </c>
      <c r="J1549" s="798">
        <v>1</v>
      </c>
      <c r="K1549" s="799">
        <f t="shared" si="209"/>
        <v>6500</v>
      </c>
      <c r="L1549" s="799">
        <f t="shared" si="210"/>
        <v>6500</v>
      </c>
      <c r="M1549" s="799">
        <f t="shared" si="208"/>
        <v>6500</v>
      </c>
      <c r="N1549" s="798" t="s">
        <v>19172</v>
      </c>
      <c r="O1549" s="800">
        <f t="shared" si="211"/>
        <v>6500</v>
      </c>
      <c r="P1549" s="800">
        <f t="shared" si="212"/>
        <v>6500</v>
      </c>
      <c r="Q1549" s="801">
        <f t="shared" si="213"/>
        <v>6500</v>
      </c>
    </row>
    <row r="1550" spans="1:17" x14ac:dyDescent="0.2">
      <c r="A1550" s="802" t="s">
        <v>19185</v>
      </c>
      <c r="B1550" s="803" t="s">
        <v>18054</v>
      </c>
      <c r="C1550" s="803" t="s">
        <v>14035</v>
      </c>
      <c r="D1550" s="803" t="s">
        <v>19186</v>
      </c>
      <c r="E1550" s="803" t="s">
        <v>18031</v>
      </c>
      <c r="F1550" s="803">
        <v>1</v>
      </c>
      <c r="G1550" s="803" t="s">
        <v>3779</v>
      </c>
      <c r="H1550" s="803" t="s">
        <v>3779</v>
      </c>
      <c r="I1550" s="804">
        <v>1200</v>
      </c>
      <c r="J1550" s="803">
        <v>1</v>
      </c>
      <c r="K1550" s="804">
        <f t="shared" si="209"/>
        <v>1200</v>
      </c>
      <c r="L1550" s="804">
        <f t="shared" si="210"/>
        <v>1200</v>
      </c>
      <c r="M1550" s="804">
        <f t="shared" si="208"/>
        <v>1200</v>
      </c>
      <c r="N1550" s="803" t="s">
        <v>19168</v>
      </c>
      <c r="O1550" s="805">
        <f t="shared" si="211"/>
        <v>1200</v>
      </c>
      <c r="P1550" s="805">
        <f t="shared" si="212"/>
        <v>1200</v>
      </c>
      <c r="Q1550" s="806">
        <f t="shared" si="213"/>
        <v>1200</v>
      </c>
    </row>
    <row r="1551" spans="1:17" x14ac:dyDescent="0.2">
      <c r="A1551" s="797" t="s">
        <v>19187</v>
      </c>
      <c r="B1551" s="798" t="s">
        <v>18054</v>
      </c>
      <c r="C1551" s="798" t="s">
        <v>14035</v>
      </c>
      <c r="D1551" s="798" t="s">
        <v>19186</v>
      </c>
      <c r="E1551" s="798" t="s">
        <v>18054</v>
      </c>
      <c r="F1551" s="798">
        <v>2</v>
      </c>
      <c r="G1551" s="798" t="s">
        <v>3779</v>
      </c>
      <c r="H1551" s="798" t="s">
        <v>3779</v>
      </c>
      <c r="I1551" s="799">
        <v>4000</v>
      </c>
      <c r="J1551" s="798">
        <v>1</v>
      </c>
      <c r="K1551" s="799">
        <f t="shared" si="209"/>
        <v>4000</v>
      </c>
      <c r="L1551" s="799">
        <f t="shared" si="210"/>
        <v>4000</v>
      </c>
      <c r="M1551" s="799">
        <f t="shared" si="208"/>
        <v>4000</v>
      </c>
      <c r="N1551" s="798" t="s">
        <v>19170</v>
      </c>
      <c r="O1551" s="800">
        <f t="shared" si="211"/>
        <v>4000</v>
      </c>
      <c r="P1551" s="800">
        <f t="shared" si="212"/>
        <v>4000</v>
      </c>
      <c r="Q1551" s="801">
        <f t="shared" si="213"/>
        <v>4000</v>
      </c>
    </row>
    <row r="1552" spans="1:17" x14ac:dyDescent="0.2">
      <c r="A1552" s="802" t="s">
        <v>19188</v>
      </c>
      <c r="B1552" s="803" t="s">
        <v>18054</v>
      </c>
      <c r="C1552" s="803" t="s">
        <v>14035</v>
      </c>
      <c r="D1552" s="803" t="s">
        <v>19186</v>
      </c>
      <c r="E1552" s="803" t="s">
        <v>18033</v>
      </c>
      <c r="F1552" s="803">
        <v>3</v>
      </c>
      <c r="G1552" s="803" t="s">
        <v>3779</v>
      </c>
      <c r="H1552" s="803" t="s">
        <v>3779</v>
      </c>
      <c r="I1552" s="804">
        <v>6500</v>
      </c>
      <c r="J1552" s="803">
        <v>1</v>
      </c>
      <c r="K1552" s="804">
        <f t="shared" si="209"/>
        <v>6500</v>
      </c>
      <c r="L1552" s="804">
        <f t="shared" si="210"/>
        <v>6500</v>
      </c>
      <c r="M1552" s="804">
        <f t="shared" si="208"/>
        <v>6500</v>
      </c>
      <c r="N1552" s="803" t="s">
        <v>19172</v>
      </c>
      <c r="O1552" s="805">
        <f t="shared" si="211"/>
        <v>6500</v>
      </c>
      <c r="P1552" s="805">
        <f t="shared" si="212"/>
        <v>6500</v>
      </c>
      <c r="Q1552" s="806">
        <f t="shared" si="213"/>
        <v>6500</v>
      </c>
    </row>
    <row r="1553" spans="1:17" x14ac:dyDescent="0.2">
      <c r="A1553" s="797" t="s">
        <v>19189</v>
      </c>
      <c r="B1553" s="798" t="s">
        <v>18054</v>
      </c>
      <c r="C1553" s="798" t="s">
        <v>13994</v>
      </c>
      <c r="D1553" s="798" t="s">
        <v>19190</v>
      </c>
      <c r="E1553" s="798" t="s">
        <v>18031</v>
      </c>
      <c r="F1553" s="798">
        <v>1</v>
      </c>
      <c r="G1553" s="798" t="s">
        <v>1947</v>
      </c>
      <c r="H1553" s="798" t="s">
        <v>1947</v>
      </c>
      <c r="I1553" s="799">
        <v>2000</v>
      </c>
      <c r="J1553" s="798">
        <v>1</v>
      </c>
      <c r="K1553" s="799">
        <f t="shared" si="209"/>
        <v>2000</v>
      </c>
      <c r="L1553" s="799">
        <f t="shared" si="210"/>
        <v>2000</v>
      </c>
      <c r="M1553" s="799">
        <f t="shared" si="208"/>
        <v>2000</v>
      </c>
      <c r="N1553" s="798" t="s">
        <v>19191</v>
      </c>
      <c r="O1553" s="800">
        <f t="shared" si="211"/>
        <v>2000</v>
      </c>
      <c r="P1553" s="800">
        <f t="shared" si="212"/>
        <v>2000</v>
      </c>
      <c r="Q1553" s="801">
        <f t="shared" si="213"/>
        <v>2000</v>
      </c>
    </row>
    <row r="1554" spans="1:17" x14ac:dyDescent="0.2">
      <c r="A1554" s="802" t="s">
        <v>19192</v>
      </c>
      <c r="B1554" s="803" t="s">
        <v>18054</v>
      </c>
      <c r="C1554" s="803" t="s">
        <v>13994</v>
      </c>
      <c r="D1554" s="803" t="s">
        <v>19190</v>
      </c>
      <c r="E1554" s="803" t="s">
        <v>18054</v>
      </c>
      <c r="F1554" s="803">
        <v>2</v>
      </c>
      <c r="G1554" s="803" t="s">
        <v>1947</v>
      </c>
      <c r="H1554" s="803" t="s">
        <v>1947</v>
      </c>
      <c r="I1554" s="804">
        <v>4500</v>
      </c>
      <c r="J1554" s="803">
        <v>1</v>
      </c>
      <c r="K1554" s="804">
        <f t="shared" si="209"/>
        <v>4500</v>
      </c>
      <c r="L1554" s="804">
        <f t="shared" si="210"/>
        <v>4500</v>
      </c>
      <c r="M1554" s="804">
        <f t="shared" si="208"/>
        <v>4500</v>
      </c>
      <c r="N1554" s="803" t="s">
        <v>19193</v>
      </c>
      <c r="O1554" s="805">
        <f t="shared" si="211"/>
        <v>4500</v>
      </c>
      <c r="P1554" s="805">
        <f t="shared" si="212"/>
        <v>4500</v>
      </c>
      <c r="Q1554" s="806">
        <f t="shared" si="213"/>
        <v>4500</v>
      </c>
    </row>
    <row r="1555" spans="1:17" x14ac:dyDescent="0.2">
      <c r="A1555" s="797" t="s">
        <v>19194</v>
      </c>
      <c r="B1555" s="798" t="s">
        <v>18054</v>
      </c>
      <c r="C1555" s="798" t="s">
        <v>13994</v>
      </c>
      <c r="D1555" s="798" t="s">
        <v>19190</v>
      </c>
      <c r="E1555" s="798" t="s">
        <v>18033</v>
      </c>
      <c r="F1555" s="798">
        <v>3</v>
      </c>
      <c r="G1555" s="798" t="s">
        <v>1947</v>
      </c>
      <c r="H1555" s="798" t="s">
        <v>1947</v>
      </c>
      <c r="I1555" s="799">
        <v>7000</v>
      </c>
      <c r="J1555" s="798">
        <v>1</v>
      </c>
      <c r="K1555" s="799">
        <f t="shared" si="209"/>
        <v>7000</v>
      </c>
      <c r="L1555" s="799">
        <f t="shared" si="210"/>
        <v>7000</v>
      </c>
      <c r="M1555" s="799">
        <f t="shared" si="208"/>
        <v>7000</v>
      </c>
      <c r="N1555" s="798" t="s">
        <v>19195</v>
      </c>
      <c r="O1555" s="800">
        <f t="shared" si="211"/>
        <v>7000</v>
      </c>
      <c r="P1555" s="800">
        <f t="shared" si="212"/>
        <v>7000</v>
      </c>
      <c r="Q1555" s="801">
        <f t="shared" si="213"/>
        <v>7000</v>
      </c>
    </row>
    <row r="1556" spans="1:17" x14ac:dyDescent="0.2">
      <c r="A1556" s="802" t="s">
        <v>19196</v>
      </c>
      <c r="B1556" s="803" t="s">
        <v>18054</v>
      </c>
      <c r="C1556" s="803" t="s">
        <v>13994</v>
      </c>
      <c r="D1556" s="803" t="s">
        <v>19190</v>
      </c>
      <c r="E1556" s="803" t="s">
        <v>18061</v>
      </c>
      <c r="F1556" s="803">
        <v>4</v>
      </c>
      <c r="G1556" s="803" t="s">
        <v>1947</v>
      </c>
      <c r="H1556" s="803" t="s">
        <v>1947</v>
      </c>
      <c r="I1556" s="804">
        <v>9000</v>
      </c>
      <c r="J1556" s="803">
        <v>1</v>
      </c>
      <c r="K1556" s="804">
        <f t="shared" si="209"/>
        <v>9000</v>
      </c>
      <c r="L1556" s="804">
        <f t="shared" si="210"/>
        <v>9000</v>
      </c>
      <c r="M1556" s="804">
        <f t="shared" si="208"/>
        <v>9000</v>
      </c>
      <c r="N1556" s="803" t="s">
        <v>19197</v>
      </c>
      <c r="O1556" s="805">
        <f t="shared" si="211"/>
        <v>9000</v>
      </c>
      <c r="P1556" s="805">
        <f t="shared" si="212"/>
        <v>9000</v>
      </c>
      <c r="Q1556" s="806">
        <f t="shared" si="213"/>
        <v>9000</v>
      </c>
    </row>
    <row r="1557" spans="1:17" x14ac:dyDescent="0.2">
      <c r="A1557" s="797" t="s">
        <v>19198</v>
      </c>
      <c r="B1557" s="798" t="s">
        <v>18054</v>
      </c>
      <c r="C1557" s="798" t="s">
        <v>13994</v>
      </c>
      <c r="D1557" s="798" t="s">
        <v>19199</v>
      </c>
      <c r="E1557" s="798" t="s">
        <v>18031</v>
      </c>
      <c r="F1557" s="798">
        <v>1</v>
      </c>
      <c r="G1557" s="798" t="s">
        <v>1103</v>
      </c>
      <c r="H1557" s="798" t="s">
        <v>1103</v>
      </c>
      <c r="I1557" s="799">
        <v>2000</v>
      </c>
      <c r="J1557" s="798">
        <v>1</v>
      </c>
      <c r="K1557" s="799">
        <f t="shared" si="209"/>
        <v>2000</v>
      </c>
      <c r="L1557" s="799">
        <f t="shared" si="210"/>
        <v>2000</v>
      </c>
      <c r="M1557" s="799">
        <f t="shared" si="208"/>
        <v>2000</v>
      </c>
      <c r="N1557" s="798" t="s">
        <v>19191</v>
      </c>
      <c r="O1557" s="800">
        <f t="shared" si="211"/>
        <v>2000</v>
      </c>
      <c r="P1557" s="800">
        <f t="shared" si="212"/>
        <v>2000</v>
      </c>
      <c r="Q1557" s="801">
        <f t="shared" si="213"/>
        <v>2000</v>
      </c>
    </row>
    <row r="1558" spans="1:17" x14ac:dyDescent="0.2">
      <c r="A1558" s="802" t="s">
        <v>19200</v>
      </c>
      <c r="B1558" s="803" t="s">
        <v>18054</v>
      </c>
      <c r="C1558" s="803" t="s">
        <v>13994</v>
      </c>
      <c r="D1558" s="803" t="s">
        <v>19199</v>
      </c>
      <c r="E1558" s="803" t="s">
        <v>18054</v>
      </c>
      <c r="F1558" s="803">
        <v>2</v>
      </c>
      <c r="G1558" s="803" t="s">
        <v>1103</v>
      </c>
      <c r="H1558" s="803" t="s">
        <v>1103</v>
      </c>
      <c r="I1558" s="804">
        <v>4500</v>
      </c>
      <c r="J1558" s="803">
        <v>1</v>
      </c>
      <c r="K1558" s="804">
        <f t="shared" si="209"/>
        <v>4500</v>
      </c>
      <c r="L1558" s="804">
        <f t="shared" si="210"/>
        <v>4500</v>
      </c>
      <c r="M1558" s="804">
        <f t="shared" si="208"/>
        <v>4500</v>
      </c>
      <c r="N1558" s="803" t="s">
        <v>19193</v>
      </c>
      <c r="O1558" s="805">
        <f t="shared" si="211"/>
        <v>4500</v>
      </c>
      <c r="P1558" s="805">
        <f t="shared" si="212"/>
        <v>4500</v>
      </c>
      <c r="Q1558" s="806">
        <f t="shared" si="213"/>
        <v>4500</v>
      </c>
    </row>
    <row r="1559" spans="1:17" x14ac:dyDescent="0.2">
      <c r="A1559" s="797" t="s">
        <v>19201</v>
      </c>
      <c r="B1559" s="798" t="s">
        <v>18054</v>
      </c>
      <c r="C1559" s="798" t="s">
        <v>13994</v>
      </c>
      <c r="D1559" s="798" t="s">
        <v>19199</v>
      </c>
      <c r="E1559" s="798" t="s">
        <v>18033</v>
      </c>
      <c r="F1559" s="798">
        <v>3</v>
      </c>
      <c r="G1559" s="798" t="s">
        <v>1103</v>
      </c>
      <c r="H1559" s="798" t="s">
        <v>1103</v>
      </c>
      <c r="I1559" s="799">
        <v>7000</v>
      </c>
      <c r="J1559" s="798">
        <v>1</v>
      </c>
      <c r="K1559" s="799">
        <f t="shared" si="209"/>
        <v>7000</v>
      </c>
      <c r="L1559" s="799">
        <f t="shared" si="210"/>
        <v>7000</v>
      </c>
      <c r="M1559" s="799">
        <f t="shared" si="208"/>
        <v>7000</v>
      </c>
      <c r="N1559" s="798" t="s">
        <v>19195</v>
      </c>
      <c r="O1559" s="800">
        <f t="shared" si="211"/>
        <v>7000</v>
      </c>
      <c r="P1559" s="800">
        <f t="shared" si="212"/>
        <v>7000</v>
      </c>
      <c r="Q1559" s="801">
        <f t="shared" si="213"/>
        <v>7000</v>
      </c>
    </row>
    <row r="1560" spans="1:17" x14ac:dyDescent="0.2">
      <c r="A1560" s="802" t="s">
        <v>19202</v>
      </c>
      <c r="B1560" s="803" t="s">
        <v>18054</v>
      </c>
      <c r="C1560" s="803" t="s">
        <v>13994</v>
      </c>
      <c r="D1560" s="803" t="s">
        <v>19199</v>
      </c>
      <c r="E1560" s="803" t="s">
        <v>18061</v>
      </c>
      <c r="F1560" s="803">
        <v>4</v>
      </c>
      <c r="G1560" s="803" t="s">
        <v>1103</v>
      </c>
      <c r="H1560" s="803" t="s">
        <v>1103</v>
      </c>
      <c r="I1560" s="804">
        <v>9000</v>
      </c>
      <c r="J1560" s="803">
        <v>1</v>
      </c>
      <c r="K1560" s="804">
        <f t="shared" si="209"/>
        <v>9000</v>
      </c>
      <c r="L1560" s="804">
        <f t="shared" si="210"/>
        <v>9000</v>
      </c>
      <c r="M1560" s="804">
        <f t="shared" si="208"/>
        <v>9000</v>
      </c>
      <c r="N1560" s="803" t="s">
        <v>19197</v>
      </c>
      <c r="O1560" s="805">
        <f t="shared" si="211"/>
        <v>9000</v>
      </c>
      <c r="P1560" s="805">
        <f t="shared" si="212"/>
        <v>9000</v>
      </c>
      <c r="Q1560" s="806">
        <f t="shared" si="213"/>
        <v>9000</v>
      </c>
    </row>
    <row r="1561" spans="1:17" x14ac:dyDescent="0.2">
      <c r="A1561" s="797" t="s">
        <v>19203</v>
      </c>
      <c r="B1561" s="798" t="s">
        <v>18054</v>
      </c>
      <c r="C1561" s="798" t="s">
        <v>13994</v>
      </c>
      <c r="D1561" s="798" t="s">
        <v>19204</v>
      </c>
      <c r="E1561" s="798" t="s">
        <v>18031</v>
      </c>
      <c r="F1561" s="798">
        <v>1</v>
      </c>
      <c r="G1561" s="798" t="s">
        <v>122</v>
      </c>
      <c r="H1561" s="798" t="s">
        <v>122</v>
      </c>
      <c r="I1561" s="799">
        <v>2000</v>
      </c>
      <c r="J1561" s="798">
        <v>1</v>
      </c>
      <c r="K1561" s="799">
        <f t="shared" si="209"/>
        <v>2000</v>
      </c>
      <c r="L1561" s="799">
        <f t="shared" si="210"/>
        <v>2000</v>
      </c>
      <c r="M1561" s="799">
        <f t="shared" si="208"/>
        <v>2000</v>
      </c>
      <c r="N1561" s="798" t="s">
        <v>19191</v>
      </c>
      <c r="O1561" s="800">
        <f t="shared" si="211"/>
        <v>2000</v>
      </c>
      <c r="P1561" s="800">
        <f t="shared" si="212"/>
        <v>2000</v>
      </c>
      <c r="Q1561" s="801">
        <f t="shared" si="213"/>
        <v>2000</v>
      </c>
    </row>
    <row r="1562" spans="1:17" x14ac:dyDescent="0.2">
      <c r="A1562" s="802" t="s">
        <v>19205</v>
      </c>
      <c r="B1562" s="803" t="s">
        <v>18054</v>
      </c>
      <c r="C1562" s="803" t="s">
        <v>13994</v>
      </c>
      <c r="D1562" s="803" t="s">
        <v>19204</v>
      </c>
      <c r="E1562" s="803" t="s">
        <v>18054</v>
      </c>
      <c r="F1562" s="803">
        <v>2</v>
      </c>
      <c r="G1562" s="803" t="s">
        <v>122</v>
      </c>
      <c r="H1562" s="803" t="s">
        <v>122</v>
      </c>
      <c r="I1562" s="804">
        <v>4500</v>
      </c>
      <c r="J1562" s="803">
        <v>1</v>
      </c>
      <c r="K1562" s="804">
        <f t="shared" si="209"/>
        <v>4500</v>
      </c>
      <c r="L1562" s="804">
        <f t="shared" si="210"/>
        <v>4500</v>
      </c>
      <c r="M1562" s="804">
        <f t="shared" si="208"/>
        <v>4500</v>
      </c>
      <c r="N1562" s="803" t="s">
        <v>19193</v>
      </c>
      <c r="O1562" s="805">
        <f t="shared" si="211"/>
        <v>4500</v>
      </c>
      <c r="P1562" s="805">
        <f t="shared" si="212"/>
        <v>4500</v>
      </c>
      <c r="Q1562" s="806">
        <f t="shared" si="213"/>
        <v>4500</v>
      </c>
    </row>
    <row r="1563" spans="1:17" x14ac:dyDescent="0.2">
      <c r="A1563" s="797" t="s">
        <v>19206</v>
      </c>
      <c r="B1563" s="798" t="s">
        <v>18054</v>
      </c>
      <c r="C1563" s="798" t="s">
        <v>13994</v>
      </c>
      <c r="D1563" s="798" t="s">
        <v>19204</v>
      </c>
      <c r="E1563" s="798" t="s">
        <v>18033</v>
      </c>
      <c r="F1563" s="798">
        <v>3</v>
      </c>
      <c r="G1563" s="798" t="s">
        <v>122</v>
      </c>
      <c r="H1563" s="798" t="s">
        <v>122</v>
      </c>
      <c r="I1563" s="799">
        <v>7000</v>
      </c>
      <c r="J1563" s="798">
        <v>1</v>
      </c>
      <c r="K1563" s="799">
        <f t="shared" si="209"/>
        <v>7000</v>
      </c>
      <c r="L1563" s="799">
        <f t="shared" si="210"/>
        <v>7000</v>
      </c>
      <c r="M1563" s="799">
        <f t="shared" si="208"/>
        <v>7000</v>
      </c>
      <c r="N1563" s="798" t="s">
        <v>19195</v>
      </c>
      <c r="O1563" s="800">
        <f t="shared" si="211"/>
        <v>7000</v>
      </c>
      <c r="P1563" s="800">
        <f t="shared" si="212"/>
        <v>7000</v>
      </c>
      <c r="Q1563" s="801">
        <f t="shared" si="213"/>
        <v>7000</v>
      </c>
    </row>
    <row r="1564" spans="1:17" x14ac:dyDescent="0.2">
      <c r="A1564" s="802" t="s">
        <v>19207</v>
      </c>
      <c r="B1564" s="803" t="s">
        <v>18054</v>
      </c>
      <c r="C1564" s="803" t="s">
        <v>13994</v>
      </c>
      <c r="D1564" s="803" t="s">
        <v>19204</v>
      </c>
      <c r="E1564" s="803" t="s">
        <v>18061</v>
      </c>
      <c r="F1564" s="803">
        <v>4</v>
      </c>
      <c r="G1564" s="803" t="s">
        <v>122</v>
      </c>
      <c r="H1564" s="803" t="s">
        <v>122</v>
      </c>
      <c r="I1564" s="804">
        <v>9000</v>
      </c>
      <c r="J1564" s="803">
        <v>1</v>
      </c>
      <c r="K1564" s="804">
        <f t="shared" si="209"/>
        <v>9000</v>
      </c>
      <c r="L1564" s="804">
        <f t="shared" si="210"/>
        <v>9000</v>
      </c>
      <c r="M1564" s="804">
        <f t="shared" si="208"/>
        <v>9000</v>
      </c>
      <c r="N1564" s="803" t="s">
        <v>19197</v>
      </c>
      <c r="O1564" s="805">
        <f t="shared" si="211"/>
        <v>9000</v>
      </c>
      <c r="P1564" s="805">
        <f t="shared" si="212"/>
        <v>9000</v>
      </c>
      <c r="Q1564" s="806">
        <f t="shared" si="213"/>
        <v>9000</v>
      </c>
    </row>
    <row r="1565" spans="1:17" x14ac:dyDescent="0.2">
      <c r="A1565" s="797" t="s">
        <v>19208</v>
      </c>
      <c r="B1565" s="798" t="s">
        <v>18054</v>
      </c>
      <c r="C1565" s="798" t="s">
        <v>13994</v>
      </c>
      <c r="D1565" s="798" t="s">
        <v>19209</v>
      </c>
      <c r="E1565" s="798" t="s">
        <v>18031</v>
      </c>
      <c r="F1565" s="798">
        <v>1</v>
      </c>
      <c r="G1565" s="798" t="s">
        <v>2837</v>
      </c>
      <c r="H1565" s="798" t="s">
        <v>2837</v>
      </c>
      <c r="I1565" s="799">
        <v>2000</v>
      </c>
      <c r="J1565" s="798">
        <v>1</v>
      </c>
      <c r="K1565" s="799">
        <f t="shared" si="209"/>
        <v>2000</v>
      </c>
      <c r="L1565" s="799">
        <f t="shared" si="210"/>
        <v>2000</v>
      </c>
      <c r="M1565" s="799">
        <f t="shared" si="208"/>
        <v>2000</v>
      </c>
      <c r="N1565" s="798" t="s">
        <v>19191</v>
      </c>
      <c r="O1565" s="800">
        <f t="shared" si="211"/>
        <v>2000</v>
      </c>
      <c r="P1565" s="800">
        <f t="shared" si="212"/>
        <v>2000</v>
      </c>
      <c r="Q1565" s="801">
        <f t="shared" si="213"/>
        <v>2000</v>
      </c>
    </row>
    <row r="1566" spans="1:17" x14ac:dyDescent="0.2">
      <c r="A1566" s="802" t="s">
        <v>19210</v>
      </c>
      <c r="B1566" s="803" t="s">
        <v>18054</v>
      </c>
      <c r="C1566" s="803" t="s">
        <v>13994</v>
      </c>
      <c r="D1566" s="803" t="s">
        <v>19209</v>
      </c>
      <c r="E1566" s="803" t="s">
        <v>18054</v>
      </c>
      <c r="F1566" s="803">
        <v>2</v>
      </c>
      <c r="G1566" s="803" t="s">
        <v>2837</v>
      </c>
      <c r="H1566" s="803" t="s">
        <v>2837</v>
      </c>
      <c r="I1566" s="804">
        <v>4500</v>
      </c>
      <c r="J1566" s="803">
        <v>1</v>
      </c>
      <c r="K1566" s="804">
        <f t="shared" ref="K1566:K1593" si="214">+I1566</f>
        <v>4500</v>
      </c>
      <c r="L1566" s="804">
        <f t="shared" si="210"/>
        <v>4500</v>
      </c>
      <c r="M1566" s="804">
        <f t="shared" si="208"/>
        <v>4500</v>
      </c>
      <c r="N1566" s="803" t="s">
        <v>19193</v>
      </c>
      <c r="O1566" s="805">
        <f t="shared" si="211"/>
        <v>4500</v>
      </c>
      <c r="P1566" s="805">
        <f t="shared" si="212"/>
        <v>4500</v>
      </c>
      <c r="Q1566" s="806">
        <f t="shared" si="213"/>
        <v>4500</v>
      </c>
    </row>
    <row r="1567" spans="1:17" x14ac:dyDescent="0.2">
      <c r="A1567" s="797" t="s">
        <v>19211</v>
      </c>
      <c r="B1567" s="798" t="s">
        <v>18054</v>
      </c>
      <c r="C1567" s="798" t="s">
        <v>13994</v>
      </c>
      <c r="D1567" s="798" t="s">
        <v>19209</v>
      </c>
      <c r="E1567" s="798" t="s">
        <v>18033</v>
      </c>
      <c r="F1567" s="798">
        <v>3</v>
      </c>
      <c r="G1567" s="798" t="s">
        <v>2837</v>
      </c>
      <c r="H1567" s="798" t="s">
        <v>2837</v>
      </c>
      <c r="I1567" s="799">
        <v>7000</v>
      </c>
      <c r="J1567" s="798">
        <v>1</v>
      </c>
      <c r="K1567" s="799">
        <f t="shared" si="214"/>
        <v>7000</v>
      </c>
      <c r="L1567" s="799">
        <f t="shared" si="210"/>
        <v>7000</v>
      </c>
      <c r="M1567" s="799">
        <f t="shared" si="208"/>
        <v>7000</v>
      </c>
      <c r="N1567" s="798" t="s">
        <v>19195</v>
      </c>
      <c r="O1567" s="800">
        <f t="shared" si="211"/>
        <v>7000</v>
      </c>
      <c r="P1567" s="800">
        <f t="shared" si="212"/>
        <v>7000</v>
      </c>
      <c r="Q1567" s="801">
        <f t="shared" si="213"/>
        <v>7000</v>
      </c>
    </row>
    <row r="1568" spans="1:17" x14ac:dyDescent="0.2">
      <c r="A1568" s="802" t="s">
        <v>19212</v>
      </c>
      <c r="B1568" s="803" t="s">
        <v>18054</v>
      </c>
      <c r="C1568" s="803" t="s">
        <v>13994</v>
      </c>
      <c r="D1568" s="803" t="s">
        <v>19209</v>
      </c>
      <c r="E1568" s="803" t="s">
        <v>18061</v>
      </c>
      <c r="F1568" s="803">
        <v>4</v>
      </c>
      <c r="G1568" s="803" t="s">
        <v>2837</v>
      </c>
      <c r="H1568" s="803" t="s">
        <v>2837</v>
      </c>
      <c r="I1568" s="804">
        <v>9000</v>
      </c>
      <c r="J1568" s="803">
        <v>1</v>
      </c>
      <c r="K1568" s="804">
        <f t="shared" si="214"/>
        <v>9000</v>
      </c>
      <c r="L1568" s="804">
        <f t="shared" si="210"/>
        <v>9000</v>
      </c>
      <c r="M1568" s="804">
        <f t="shared" si="208"/>
        <v>9000</v>
      </c>
      <c r="N1568" s="803" t="s">
        <v>19197</v>
      </c>
      <c r="O1568" s="805">
        <f t="shared" si="211"/>
        <v>9000</v>
      </c>
      <c r="P1568" s="805">
        <f t="shared" si="212"/>
        <v>9000</v>
      </c>
      <c r="Q1568" s="806">
        <f t="shared" si="213"/>
        <v>9000</v>
      </c>
    </row>
    <row r="1569" spans="1:17" x14ac:dyDescent="0.2">
      <c r="A1569" s="797" t="s">
        <v>19213</v>
      </c>
      <c r="B1569" s="798" t="s">
        <v>18054</v>
      </c>
      <c r="C1569" s="798" t="s">
        <v>13994</v>
      </c>
      <c r="D1569" s="798" t="s">
        <v>19214</v>
      </c>
      <c r="E1569" s="798" t="s">
        <v>18031</v>
      </c>
      <c r="F1569" s="798">
        <v>1</v>
      </c>
      <c r="G1569" s="798" t="s">
        <v>3779</v>
      </c>
      <c r="H1569" s="798" t="s">
        <v>3779</v>
      </c>
      <c r="I1569" s="799">
        <v>2000</v>
      </c>
      <c r="J1569" s="798">
        <v>1</v>
      </c>
      <c r="K1569" s="799">
        <f t="shared" si="214"/>
        <v>2000</v>
      </c>
      <c r="L1569" s="799">
        <f t="shared" si="210"/>
        <v>2000</v>
      </c>
      <c r="M1569" s="799">
        <f t="shared" si="208"/>
        <v>2000</v>
      </c>
      <c r="N1569" s="798" t="s">
        <v>19191</v>
      </c>
      <c r="O1569" s="800">
        <f t="shared" si="211"/>
        <v>2000</v>
      </c>
      <c r="P1569" s="800">
        <f t="shared" si="212"/>
        <v>2000</v>
      </c>
      <c r="Q1569" s="801">
        <f t="shared" si="213"/>
        <v>2000</v>
      </c>
    </row>
    <row r="1570" spans="1:17" x14ac:dyDescent="0.2">
      <c r="A1570" s="802" t="s">
        <v>19215</v>
      </c>
      <c r="B1570" s="803" t="s">
        <v>18054</v>
      </c>
      <c r="C1570" s="803" t="s">
        <v>13994</v>
      </c>
      <c r="D1570" s="803" t="s">
        <v>19214</v>
      </c>
      <c r="E1570" s="803" t="s">
        <v>18054</v>
      </c>
      <c r="F1570" s="803">
        <v>2</v>
      </c>
      <c r="G1570" s="803" t="s">
        <v>3779</v>
      </c>
      <c r="H1570" s="803" t="s">
        <v>3779</v>
      </c>
      <c r="I1570" s="804">
        <v>4500</v>
      </c>
      <c r="J1570" s="803">
        <v>1</v>
      </c>
      <c r="K1570" s="804">
        <f t="shared" si="214"/>
        <v>4500</v>
      </c>
      <c r="L1570" s="804">
        <f t="shared" ref="L1570:L1593" si="215">+I1570</f>
        <v>4500</v>
      </c>
      <c r="M1570" s="804">
        <f t="shared" si="208"/>
        <v>4500</v>
      </c>
      <c r="N1570" s="803" t="s">
        <v>19193</v>
      </c>
      <c r="O1570" s="805">
        <f t="shared" si="211"/>
        <v>4500</v>
      </c>
      <c r="P1570" s="805">
        <f t="shared" si="212"/>
        <v>4500</v>
      </c>
      <c r="Q1570" s="806">
        <f t="shared" si="213"/>
        <v>4500</v>
      </c>
    </row>
    <row r="1571" spans="1:17" x14ac:dyDescent="0.2">
      <c r="A1571" s="797" t="s">
        <v>19216</v>
      </c>
      <c r="B1571" s="798" t="s">
        <v>18054</v>
      </c>
      <c r="C1571" s="798" t="s">
        <v>13994</v>
      </c>
      <c r="D1571" s="798" t="s">
        <v>19214</v>
      </c>
      <c r="E1571" s="798" t="s">
        <v>18033</v>
      </c>
      <c r="F1571" s="798">
        <v>3</v>
      </c>
      <c r="G1571" s="798" t="s">
        <v>3779</v>
      </c>
      <c r="H1571" s="798" t="s">
        <v>3779</v>
      </c>
      <c r="I1571" s="799">
        <v>7000</v>
      </c>
      <c r="J1571" s="798">
        <v>1</v>
      </c>
      <c r="K1571" s="799">
        <f t="shared" si="214"/>
        <v>7000</v>
      </c>
      <c r="L1571" s="799">
        <f t="shared" si="215"/>
        <v>7000</v>
      </c>
      <c r="M1571" s="799">
        <f t="shared" si="208"/>
        <v>7000</v>
      </c>
      <c r="N1571" s="798" t="s">
        <v>19195</v>
      </c>
      <c r="O1571" s="800">
        <f t="shared" si="211"/>
        <v>7000</v>
      </c>
      <c r="P1571" s="800">
        <f t="shared" si="212"/>
        <v>7000</v>
      </c>
      <c r="Q1571" s="801">
        <f t="shared" si="213"/>
        <v>7000</v>
      </c>
    </row>
    <row r="1572" spans="1:17" x14ac:dyDescent="0.2">
      <c r="A1572" s="802" t="s">
        <v>19217</v>
      </c>
      <c r="B1572" s="803" t="s">
        <v>18054</v>
      </c>
      <c r="C1572" s="803" t="s">
        <v>13994</v>
      </c>
      <c r="D1572" s="803" t="s">
        <v>19214</v>
      </c>
      <c r="E1572" s="803" t="s">
        <v>18061</v>
      </c>
      <c r="F1572" s="803">
        <v>4</v>
      </c>
      <c r="G1572" s="803" t="s">
        <v>3779</v>
      </c>
      <c r="H1572" s="803" t="s">
        <v>3779</v>
      </c>
      <c r="I1572" s="804">
        <v>9000</v>
      </c>
      <c r="J1572" s="803">
        <v>1</v>
      </c>
      <c r="K1572" s="804">
        <f t="shared" si="214"/>
        <v>9000</v>
      </c>
      <c r="L1572" s="804">
        <f t="shared" si="215"/>
        <v>9000</v>
      </c>
      <c r="M1572" s="804">
        <f t="shared" si="208"/>
        <v>9000</v>
      </c>
      <c r="N1572" s="803" t="s">
        <v>19197</v>
      </c>
      <c r="O1572" s="805">
        <f t="shared" si="211"/>
        <v>9000</v>
      </c>
      <c r="P1572" s="805">
        <f t="shared" si="212"/>
        <v>9000</v>
      </c>
      <c r="Q1572" s="806">
        <f t="shared" si="213"/>
        <v>9000</v>
      </c>
    </row>
    <row r="1573" spans="1:17" x14ac:dyDescent="0.2">
      <c r="A1573" s="797" t="s">
        <v>19218</v>
      </c>
      <c r="B1573" s="798" t="s">
        <v>18054</v>
      </c>
      <c r="C1573" s="798" t="s">
        <v>13954</v>
      </c>
      <c r="D1573" s="798" t="s">
        <v>19219</v>
      </c>
      <c r="E1573" s="798" t="s">
        <v>18031</v>
      </c>
      <c r="F1573" s="798">
        <v>1</v>
      </c>
      <c r="G1573" s="798" t="s">
        <v>122</v>
      </c>
      <c r="H1573" s="798" t="s">
        <v>122</v>
      </c>
      <c r="I1573" s="799">
        <v>3500</v>
      </c>
      <c r="J1573" s="798">
        <v>1</v>
      </c>
      <c r="K1573" s="799">
        <f t="shared" si="214"/>
        <v>3500</v>
      </c>
      <c r="L1573" s="799">
        <f t="shared" si="215"/>
        <v>3500</v>
      </c>
      <c r="M1573" s="799">
        <f t="shared" si="208"/>
        <v>3500</v>
      </c>
      <c r="N1573" s="798" t="s">
        <v>10772</v>
      </c>
      <c r="O1573" s="800">
        <f t="shared" si="211"/>
        <v>3500</v>
      </c>
      <c r="P1573" s="800">
        <f t="shared" si="212"/>
        <v>3500</v>
      </c>
      <c r="Q1573" s="801">
        <f t="shared" si="213"/>
        <v>3500</v>
      </c>
    </row>
    <row r="1574" spans="1:17" x14ac:dyDescent="0.2">
      <c r="A1574" s="802" t="s">
        <v>19220</v>
      </c>
      <c r="B1574" s="803" t="s">
        <v>18054</v>
      </c>
      <c r="C1574" s="803" t="s">
        <v>13954</v>
      </c>
      <c r="D1574" s="803" t="s">
        <v>19219</v>
      </c>
      <c r="E1574" s="803" t="s">
        <v>18054</v>
      </c>
      <c r="F1574" s="803">
        <v>2</v>
      </c>
      <c r="G1574" s="803" t="s">
        <v>122</v>
      </c>
      <c r="H1574" s="803" t="s">
        <v>122</v>
      </c>
      <c r="I1574" s="804">
        <v>6500</v>
      </c>
      <c r="J1574" s="803">
        <v>1</v>
      </c>
      <c r="K1574" s="804">
        <f t="shared" si="214"/>
        <v>6500</v>
      </c>
      <c r="L1574" s="804">
        <f t="shared" si="215"/>
        <v>6500</v>
      </c>
      <c r="M1574" s="804">
        <f t="shared" si="208"/>
        <v>6500</v>
      </c>
      <c r="N1574" s="803" t="s">
        <v>19221</v>
      </c>
      <c r="O1574" s="805">
        <f t="shared" si="211"/>
        <v>6500</v>
      </c>
      <c r="P1574" s="805">
        <f t="shared" si="212"/>
        <v>6500</v>
      </c>
      <c r="Q1574" s="806">
        <f t="shared" si="213"/>
        <v>6500</v>
      </c>
    </row>
    <row r="1575" spans="1:17" x14ac:dyDescent="0.2">
      <c r="A1575" s="797" t="s">
        <v>19222</v>
      </c>
      <c r="B1575" s="798" t="s">
        <v>18054</v>
      </c>
      <c r="C1575" s="798" t="s">
        <v>13954</v>
      </c>
      <c r="D1575" s="798" t="s">
        <v>19219</v>
      </c>
      <c r="E1575" s="798" t="s">
        <v>18033</v>
      </c>
      <c r="F1575" s="798">
        <v>3</v>
      </c>
      <c r="G1575" s="798" t="s">
        <v>122</v>
      </c>
      <c r="H1575" s="798" t="s">
        <v>122</v>
      </c>
      <c r="I1575" s="799">
        <v>8200</v>
      </c>
      <c r="J1575" s="798">
        <v>1</v>
      </c>
      <c r="K1575" s="799">
        <f t="shared" si="214"/>
        <v>8200</v>
      </c>
      <c r="L1575" s="799">
        <f t="shared" si="215"/>
        <v>8200</v>
      </c>
      <c r="M1575" s="799">
        <f t="shared" si="208"/>
        <v>8200</v>
      </c>
      <c r="N1575" s="798" t="s">
        <v>19223</v>
      </c>
      <c r="O1575" s="800">
        <f t="shared" si="211"/>
        <v>8200</v>
      </c>
      <c r="P1575" s="800">
        <f t="shared" si="212"/>
        <v>8200</v>
      </c>
      <c r="Q1575" s="801">
        <f t="shared" si="213"/>
        <v>8200</v>
      </c>
    </row>
    <row r="1576" spans="1:17" x14ac:dyDescent="0.2">
      <c r="A1576" s="802" t="s">
        <v>19224</v>
      </c>
      <c r="B1576" s="803" t="s">
        <v>18054</v>
      </c>
      <c r="C1576" s="803" t="s">
        <v>13954</v>
      </c>
      <c r="D1576" s="803" t="s">
        <v>19219</v>
      </c>
      <c r="E1576" s="803" t="s">
        <v>18061</v>
      </c>
      <c r="F1576" s="803">
        <v>4</v>
      </c>
      <c r="G1576" s="803" t="s">
        <v>122</v>
      </c>
      <c r="H1576" s="803" t="s">
        <v>122</v>
      </c>
      <c r="I1576" s="804">
        <v>10000</v>
      </c>
      <c r="J1576" s="803">
        <v>10</v>
      </c>
      <c r="K1576" s="804">
        <f t="shared" si="214"/>
        <v>10000</v>
      </c>
      <c r="L1576" s="804">
        <f t="shared" si="215"/>
        <v>10000</v>
      </c>
      <c r="M1576" s="804">
        <f t="shared" si="208"/>
        <v>10000</v>
      </c>
      <c r="N1576" s="803" t="s">
        <v>19225</v>
      </c>
      <c r="O1576" s="805">
        <f t="shared" si="211"/>
        <v>100000</v>
      </c>
      <c r="P1576" s="805">
        <f t="shared" si="212"/>
        <v>100000</v>
      </c>
      <c r="Q1576" s="806">
        <f t="shared" si="213"/>
        <v>100000</v>
      </c>
    </row>
    <row r="1577" spans="1:17" x14ac:dyDescent="0.2">
      <c r="A1577" s="797" t="s">
        <v>19226</v>
      </c>
      <c r="B1577" s="798" t="s">
        <v>18054</v>
      </c>
      <c r="C1577" s="798" t="s">
        <v>13954</v>
      </c>
      <c r="D1577" s="798" t="s">
        <v>19227</v>
      </c>
      <c r="E1577" s="798" t="s">
        <v>18031</v>
      </c>
      <c r="F1577" s="798">
        <v>1</v>
      </c>
      <c r="G1577" s="798" t="s">
        <v>1103</v>
      </c>
      <c r="H1577" s="798" t="s">
        <v>1103</v>
      </c>
      <c r="I1577" s="799">
        <v>3500</v>
      </c>
      <c r="J1577" s="798">
        <v>1</v>
      </c>
      <c r="K1577" s="799">
        <f t="shared" si="214"/>
        <v>3500</v>
      </c>
      <c r="L1577" s="799">
        <f t="shared" si="215"/>
        <v>3500</v>
      </c>
      <c r="M1577" s="799">
        <f t="shared" si="208"/>
        <v>3500</v>
      </c>
      <c r="N1577" s="798" t="s">
        <v>10772</v>
      </c>
      <c r="O1577" s="800">
        <f t="shared" si="211"/>
        <v>3500</v>
      </c>
      <c r="P1577" s="800">
        <f t="shared" si="212"/>
        <v>3500</v>
      </c>
      <c r="Q1577" s="801">
        <f t="shared" si="213"/>
        <v>3500</v>
      </c>
    </row>
    <row r="1578" spans="1:17" x14ac:dyDescent="0.2">
      <c r="A1578" s="802" t="s">
        <v>19228</v>
      </c>
      <c r="B1578" s="803" t="s">
        <v>18054</v>
      </c>
      <c r="C1578" s="803" t="s">
        <v>13954</v>
      </c>
      <c r="D1578" s="803" t="s">
        <v>19227</v>
      </c>
      <c r="E1578" s="803" t="s">
        <v>18054</v>
      </c>
      <c r="F1578" s="803">
        <v>2</v>
      </c>
      <c r="G1578" s="803" t="s">
        <v>1103</v>
      </c>
      <c r="H1578" s="803" t="s">
        <v>1103</v>
      </c>
      <c r="I1578" s="804">
        <v>6500</v>
      </c>
      <c r="J1578" s="803">
        <v>1</v>
      </c>
      <c r="K1578" s="804">
        <f t="shared" si="214"/>
        <v>6500</v>
      </c>
      <c r="L1578" s="804">
        <f t="shared" si="215"/>
        <v>6500</v>
      </c>
      <c r="M1578" s="804">
        <f t="shared" si="208"/>
        <v>6500</v>
      </c>
      <c r="N1578" s="803" t="s">
        <v>19229</v>
      </c>
      <c r="O1578" s="805">
        <f t="shared" si="211"/>
        <v>6500</v>
      </c>
      <c r="P1578" s="805">
        <f t="shared" si="212"/>
        <v>6500</v>
      </c>
      <c r="Q1578" s="806">
        <f t="shared" si="213"/>
        <v>6500</v>
      </c>
    </row>
    <row r="1579" spans="1:17" x14ac:dyDescent="0.2">
      <c r="A1579" s="797" t="s">
        <v>19230</v>
      </c>
      <c r="B1579" s="798" t="s">
        <v>18054</v>
      </c>
      <c r="C1579" s="798" t="s">
        <v>13954</v>
      </c>
      <c r="D1579" s="798" t="s">
        <v>19227</v>
      </c>
      <c r="E1579" s="798" t="s">
        <v>18033</v>
      </c>
      <c r="F1579" s="798">
        <v>3</v>
      </c>
      <c r="G1579" s="798" t="s">
        <v>1103</v>
      </c>
      <c r="H1579" s="798" t="s">
        <v>1103</v>
      </c>
      <c r="I1579" s="799">
        <v>8200</v>
      </c>
      <c r="J1579" s="798">
        <v>1</v>
      </c>
      <c r="K1579" s="799">
        <f t="shared" si="214"/>
        <v>8200</v>
      </c>
      <c r="L1579" s="799">
        <f t="shared" si="215"/>
        <v>8200</v>
      </c>
      <c r="M1579" s="799">
        <f t="shared" si="208"/>
        <v>8200</v>
      </c>
      <c r="N1579" s="798" t="s">
        <v>19231</v>
      </c>
      <c r="O1579" s="800">
        <f t="shared" si="211"/>
        <v>8200</v>
      </c>
      <c r="P1579" s="800">
        <f t="shared" si="212"/>
        <v>8200</v>
      </c>
      <c r="Q1579" s="801">
        <f t="shared" si="213"/>
        <v>8200</v>
      </c>
    </row>
    <row r="1580" spans="1:17" x14ac:dyDescent="0.2">
      <c r="A1580" s="802" t="s">
        <v>19232</v>
      </c>
      <c r="B1580" s="803" t="s">
        <v>18054</v>
      </c>
      <c r="C1580" s="803" t="s">
        <v>13954</v>
      </c>
      <c r="D1580" s="803" t="s">
        <v>19227</v>
      </c>
      <c r="E1580" s="803" t="s">
        <v>18061</v>
      </c>
      <c r="F1580" s="803">
        <v>4</v>
      </c>
      <c r="G1580" s="803" t="s">
        <v>1103</v>
      </c>
      <c r="H1580" s="803" t="s">
        <v>1103</v>
      </c>
      <c r="I1580" s="804">
        <v>10000</v>
      </c>
      <c r="J1580" s="803">
        <v>10</v>
      </c>
      <c r="K1580" s="804">
        <f t="shared" si="214"/>
        <v>10000</v>
      </c>
      <c r="L1580" s="804">
        <f t="shared" si="215"/>
        <v>10000</v>
      </c>
      <c r="M1580" s="804">
        <f t="shared" si="208"/>
        <v>10000</v>
      </c>
      <c r="N1580" s="803" t="s">
        <v>19233</v>
      </c>
      <c r="O1580" s="805">
        <f t="shared" si="211"/>
        <v>100000</v>
      </c>
      <c r="P1580" s="805">
        <f t="shared" si="212"/>
        <v>100000</v>
      </c>
      <c r="Q1580" s="806">
        <f t="shared" si="213"/>
        <v>100000</v>
      </c>
    </row>
    <row r="1581" spans="1:17" x14ac:dyDescent="0.2">
      <c r="A1581" s="797" t="s">
        <v>19234</v>
      </c>
      <c r="B1581" s="798" t="s">
        <v>18054</v>
      </c>
      <c r="C1581" s="798" t="s">
        <v>13954</v>
      </c>
      <c r="D1581" s="798" t="s">
        <v>19235</v>
      </c>
      <c r="E1581" s="798" t="s">
        <v>18031</v>
      </c>
      <c r="F1581" s="798">
        <v>1</v>
      </c>
      <c r="G1581" s="798" t="s">
        <v>1947</v>
      </c>
      <c r="H1581" s="798" t="s">
        <v>1947</v>
      </c>
      <c r="I1581" s="799">
        <v>3500</v>
      </c>
      <c r="J1581" s="798">
        <v>1</v>
      </c>
      <c r="K1581" s="799">
        <f t="shared" si="214"/>
        <v>3500</v>
      </c>
      <c r="L1581" s="799">
        <f t="shared" si="215"/>
        <v>3500</v>
      </c>
      <c r="M1581" s="799">
        <f t="shared" si="208"/>
        <v>3500</v>
      </c>
      <c r="N1581" s="798" t="s">
        <v>10772</v>
      </c>
      <c r="O1581" s="800">
        <f t="shared" si="211"/>
        <v>3500</v>
      </c>
      <c r="P1581" s="800">
        <f t="shared" si="212"/>
        <v>3500</v>
      </c>
      <c r="Q1581" s="801">
        <f t="shared" si="213"/>
        <v>3500</v>
      </c>
    </row>
    <row r="1582" spans="1:17" x14ac:dyDescent="0.2">
      <c r="A1582" s="802" t="s">
        <v>19236</v>
      </c>
      <c r="B1582" s="803" t="s">
        <v>18054</v>
      </c>
      <c r="C1582" s="803" t="s">
        <v>13954</v>
      </c>
      <c r="D1582" s="803" t="s">
        <v>19235</v>
      </c>
      <c r="E1582" s="803" t="s">
        <v>18054</v>
      </c>
      <c r="F1582" s="803">
        <v>2</v>
      </c>
      <c r="G1582" s="803" t="s">
        <v>1947</v>
      </c>
      <c r="H1582" s="803" t="s">
        <v>1947</v>
      </c>
      <c r="I1582" s="804">
        <v>6500</v>
      </c>
      <c r="J1582" s="803">
        <v>1</v>
      </c>
      <c r="K1582" s="804">
        <f t="shared" si="214"/>
        <v>6500</v>
      </c>
      <c r="L1582" s="804">
        <f t="shared" si="215"/>
        <v>6500</v>
      </c>
      <c r="M1582" s="804">
        <f t="shared" si="208"/>
        <v>6500</v>
      </c>
      <c r="N1582" s="803" t="s">
        <v>19237</v>
      </c>
      <c r="O1582" s="805">
        <f t="shared" si="211"/>
        <v>6500</v>
      </c>
      <c r="P1582" s="805">
        <f t="shared" si="212"/>
        <v>6500</v>
      </c>
      <c r="Q1582" s="806">
        <f t="shared" si="213"/>
        <v>6500</v>
      </c>
    </row>
    <row r="1583" spans="1:17" x14ac:dyDescent="0.2">
      <c r="A1583" s="797" t="s">
        <v>19238</v>
      </c>
      <c r="B1583" s="798" t="s">
        <v>18054</v>
      </c>
      <c r="C1583" s="798" t="s">
        <v>13954</v>
      </c>
      <c r="D1583" s="798" t="s">
        <v>19235</v>
      </c>
      <c r="E1583" s="798" t="s">
        <v>18033</v>
      </c>
      <c r="F1583" s="798">
        <v>3</v>
      </c>
      <c r="G1583" s="798" t="s">
        <v>1947</v>
      </c>
      <c r="H1583" s="798" t="s">
        <v>1947</v>
      </c>
      <c r="I1583" s="799">
        <v>8200</v>
      </c>
      <c r="J1583" s="798">
        <v>1</v>
      </c>
      <c r="K1583" s="799">
        <f t="shared" si="214"/>
        <v>8200</v>
      </c>
      <c r="L1583" s="799">
        <f t="shared" si="215"/>
        <v>8200</v>
      </c>
      <c r="M1583" s="799">
        <f t="shared" si="208"/>
        <v>8200</v>
      </c>
      <c r="N1583" s="798" t="s">
        <v>19239</v>
      </c>
      <c r="O1583" s="800">
        <f t="shared" si="211"/>
        <v>8200</v>
      </c>
      <c r="P1583" s="800">
        <f t="shared" si="212"/>
        <v>8200</v>
      </c>
      <c r="Q1583" s="801">
        <f t="shared" si="213"/>
        <v>8200</v>
      </c>
    </row>
    <row r="1584" spans="1:17" x14ac:dyDescent="0.2">
      <c r="A1584" s="802" t="s">
        <v>19240</v>
      </c>
      <c r="B1584" s="803" t="s">
        <v>18054</v>
      </c>
      <c r="C1584" s="803" t="s">
        <v>13954</v>
      </c>
      <c r="D1584" s="803" t="s">
        <v>19235</v>
      </c>
      <c r="E1584" s="803" t="s">
        <v>18061</v>
      </c>
      <c r="F1584" s="803">
        <v>4</v>
      </c>
      <c r="G1584" s="803" t="s">
        <v>1947</v>
      </c>
      <c r="H1584" s="803" t="s">
        <v>1947</v>
      </c>
      <c r="I1584" s="804">
        <v>10000</v>
      </c>
      <c r="J1584" s="803">
        <v>10</v>
      </c>
      <c r="K1584" s="804">
        <f t="shared" si="214"/>
        <v>10000</v>
      </c>
      <c r="L1584" s="804">
        <f t="shared" si="215"/>
        <v>10000</v>
      </c>
      <c r="M1584" s="804">
        <f t="shared" si="208"/>
        <v>10000</v>
      </c>
      <c r="N1584" s="803" t="s">
        <v>19241</v>
      </c>
      <c r="O1584" s="805">
        <f t="shared" si="211"/>
        <v>100000</v>
      </c>
      <c r="P1584" s="805">
        <f t="shared" si="212"/>
        <v>100000</v>
      </c>
      <c r="Q1584" s="806">
        <f t="shared" si="213"/>
        <v>100000</v>
      </c>
    </row>
    <row r="1585" spans="1:17" x14ac:dyDescent="0.2">
      <c r="A1585" s="797" t="s">
        <v>19242</v>
      </c>
      <c r="B1585" s="798" t="s">
        <v>18054</v>
      </c>
      <c r="C1585" s="798" t="s">
        <v>13954</v>
      </c>
      <c r="D1585" s="798" t="s">
        <v>19243</v>
      </c>
      <c r="E1585" s="798" t="s">
        <v>18031</v>
      </c>
      <c r="F1585" s="798">
        <v>1</v>
      </c>
      <c r="G1585" s="798" t="s">
        <v>2837</v>
      </c>
      <c r="H1585" s="798" t="s">
        <v>2837</v>
      </c>
      <c r="I1585" s="799">
        <v>3500</v>
      </c>
      <c r="J1585" s="798">
        <v>1</v>
      </c>
      <c r="K1585" s="799">
        <f t="shared" si="214"/>
        <v>3500</v>
      </c>
      <c r="L1585" s="799">
        <f t="shared" si="215"/>
        <v>3500</v>
      </c>
      <c r="M1585" s="799">
        <f t="shared" si="208"/>
        <v>3500</v>
      </c>
      <c r="N1585" s="798" t="s">
        <v>10772</v>
      </c>
      <c r="O1585" s="800">
        <f t="shared" si="211"/>
        <v>3500</v>
      </c>
      <c r="P1585" s="800">
        <f t="shared" si="212"/>
        <v>3500</v>
      </c>
      <c r="Q1585" s="801">
        <f t="shared" si="213"/>
        <v>3500</v>
      </c>
    </row>
    <row r="1586" spans="1:17" x14ac:dyDescent="0.2">
      <c r="A1586" s="802" t="s">
        <v>19244</v>
      </c>
      <c r="B1586" s="803" t="s">
        <v>18054</v>
      </c>
      <c r="C1586" s="803" t="s">
        <v>13954</v>
      </c>
      <c r="D1586" s="803" t="s">
        <v>19243</v>
      </c>
      <c r="E1586" s="803" t="s">
        <v>18054</v>
      </c>
      <c r="F1586" s="803">
        <v>2</v>
      </c>
      <c r="G1586" s="803" t="s">
        <v>2837</v>
      </c>
      <c r="H1586" s="803" t="s">
        <v>2837</v>
      </c>
      <c r="I1586" s="804">
        <v>6500</v>
      </c>
      <c r="J1586" s="803">
        <v>1</v>
      </c>
      <c r="K1586" s="804">
        <f t="shared" si="214"/>
        <v>6500</v>
      </c>
      <c r="L1586" s="804">
        <f t="shared" si="215"/>
        <v>6500</v>
      </c>
      <c r="M1586" s="804">
        <f t="shared" ref="M1586:M1649" si="216">+I1586</f>
        <v>6500</v>
      </c>
      <c r="N1586" s="803" t="s">
        <v>19245</v>
      </c>
      <c r="O1586" s="805">
        <f t="shared" si="211"/>
        <v>6500</v>
      </c>
      <c r="P1586" s="805">
        <f t="shared" si="212"/>
        <v>6500</v>
      </c>
      <c r="Q1586" s="806">
        <f t="shared" si="213"/>
        <v>6500</v>
      </c>
    </row>
    <row r="1587" spans="1:17" x14ac:dyDescent="0.2">
      <c r="A1587" s="797" t="s">
        <v>19246</v>
      </c>
      <c r="B1587" s="798" t="s">
        <v>18054</v>
      </c>
      <c r="C1587" s="798" t="s">
        <v>13954</v>
      </c>
      <c r="D1587" s="798" t="s">
        <v>19243</v>
      </c>
      <c r="E1587" s="798" t="s">
        <v>18033</v>
      </c>
      <c r="F1587" s="798">
        <v>3</v>
      </c>
      <c r="G1587" s="798" t="s">
        <v>2837</v>
      </c>
      <c r="H1587" s="798" t="s">
        <v>2837</v>
      </c>
      <c r="I1587" s="799">
        <v>8200</v>
      </c>
      <c r="J1587" s="798">
        <v>1</v>
      </c>
      <c r="K1587" s="799">
        <f t="shared" si="214"/>
        <v>8200</v>
      </c>
      <c r="L1587" s="799">
        <f t="shared" si="215"/>
        <v>8200</v>
      </c>
      <c r="M1587" s="799">
        <f t="shared" si="216"/>
        <v>8200</v>
      </c>
      <c r="N1587" s="798" t="s">
        <v>19247</v>
      </c>
      <c r="O1587" s="800">
        <f t="shared" si="211"/>
        <v>8200</v>
      </c>
      <c r="P1587" s="800">
        <f t="shared" si="212"/>
        <v>8200</v>
      </c>
      <c r="Q1587" s="801">
        <f t="shared" si="213"/>
        <v>8200</v>
      </c>
    </row>
    <row r="1588" spans="1:17" x14ac:dyDescent="0.2">
      <c r="A1588" s="802" t="s">
        <v>19248</v>
      </c>
      <c r="B1588" s="803" t="s">
        <v>18054</v>
      </c>
      <c r="C1588" s="803" t="s">
        <v>13954</v>
      </c>
      <c r="D1588" s="803" t="s">
        <v>19243</v>
      </c>
      <c r="E1588" s="803" t="s">
        <v>18061</v>
      </c>
      <c r="F1588" s="803">
        <v>4</v>
      </c>
      <c r="G1588" s="803" t="s">
        <v>2837</v>
      </c>
      <c r="H1588" s="803" t="s">
        <v>2837</v>
      </c>
      <c r="I1588" s="804">
        <v>10000</v>
      </c>
      <c r="J1588" s="803">
        <v>10</v>
      </c>
      <c r="K1588" s="804">
        <f t="shared" si="214"/>
        <v>10000</v>
      </c>
      <c r="L1588" s="804">
        <f t="shared" si="215"/>
        <v>10000</v>
      </c>
      <c r="M1588" s="804">
        <f t="shared" si="216"/>
        <v>10000</v>
      </c>
      <c r="N1588" s="803" t="s">
        <v>19249</v>
      </c>
      <c r="O1588" s="805">
        <f t="shared" si="211"/>
        <v>100000</v>
      </c>
      <c r="P1588" s="805">
        <f t="shared" si="212"/>
        <v>100000</v>
      </c>
      <c r="Q1588" s="806">
        <f t="shared" si="213"/>
        <v>100000</v>
      </c>
    </row>
    <row r="1589" spans="1:17" x14ac:dyDescent="0.2">
      <c r="A1589" s="797" t="s">
        <v>19250</v>
      </c>
      <c r="B1589" s="798" t="s">
        <v>18054</v>
      </c>
      <c r="C1589" s="798" t="s">
        <v>13954</v>
      </c>
      <c r="D1589" s="798" t="s">
        <v>19251</v>
      </c>
      <c r="E1589" s="798" t="s">
        <v>18031</v>
      </c>
      <c r="F1589" s="798">
        <v>1</v>
      </c>
      <c r="G1589" s="798" t="s">
        <v>3779</v>
      </c>
      <c r="H1589" s="798" t="s">
        <v>3779</v>
      </c>
      <c r="I1589" s="799">
        <v>3500</v>
      </c>
      <c r="J1589" s="798">
        <v>1</v>
      </c>
      <c r="K1589" s="799">
        <f t="shared" si="214"/>
        <v>3500</v>
      </c>
      <c r="L1589" s="799">
        <f t="shared" si="215"/>
        <v>3500</v>
      </c>
      <c r="M1589" s="799">
        <f t="shared" si="216"/>
        <v>3500</v>
      </c>
      <c r="N1589" s="798" t="s">
        <v>10772</v>
      </c>
      <c r="O1589" s="800">
        <f t="shared" si="211"/>
        <v>3500</v>
      </c>
      <c r="P1589" s="800">
        <f t="shared" si="212"/>
        <v>3500</v>
      </c>
      <c r="Q1589" s="801">
        <f t="shared" si="213"/>
        <v>3500</v>
      </c>
    </row>
    <row r="1590" spans="1:17" x14ac:dyDescent="0.2">
      <c r="A1590" s="802" t="s">
        <v>19252</v>
      </c>
      <c r="B1590" s="803" t="s">
        <v>18054</v>
      </c>
      <c r="C1590" s="803" t="s">
        <v>13954</v>
      </c>
      <c r="D1590" s="803" t="s">
        <v>19251</v>
      </c>
      <c r="E1590" s="803" t="s">
        <v>18054</v>
      </c>
      <c r="F1590" s="803">
        <v>2</v>
      </c>
      <c r="G1590" s="803" t="s">
        <v>3779</v>
      </c>
      <c r="H1590" s="803" t="s">
        <v>3779</v>
      </c>
      <c r="I1590" s="804">
        <v>6500</v>
      </c>
      <c r="J1590" s="803">
        <v>1</v>
      </c>
      <c r="K1590" s="804">
        <f t="shared" si="214"/>
        <v>6500</v>
      </c>
      <c r="L1590" s="804">
        <f t="shared" si="215"/>
        <v>6500</v>
      </c>
      <c r="M1590" s="804">
        <f t="shared" si="216"/>
        <v>6500</v>
      </c>
      <c r="N1590" s="803" t="s">
        <v>19253</v>
      </c>
      <c r="O1590" s="805">
        <f t="shared" si="211"/>
        <v>6500</v>
      </c>
      <c r="P1590" s="805">
        <f t="shared" si="212"/>
        <v>6500</v>
      </c>
      <c r="Q1590" s="806">
        <f t="shared" si="213"/>
        <v>6500</v>
      </c>
    </row>
    <row r="1591" spans="1:17" x14ac:dyDescent="0.2">
      <c r="A1591" s="797" t="s">
        <v>19254</v>
      </c>
      <c r="B1591" s="798" t="s">
        <v>18054</v>
      </c>
      <c r="C1591" s="798" t="s">
        <v>13954</v>
      </c>
      <c r="D1591" s="798" t="s">
        <v>19251</v>
      </c>
      <c r="E1591" s="798" t="s">
        <v>18033</v>
      </c>
      <c r="F1591" s="798">
        <v>3</v>
      </c>
      <c r="G1591" s="798" t="s">
        <v>3779</v>
      </c>
      <c r="H1591" s="798" t="s">
        <v>3779</v>
      </c>
      <c r="I1591" s="799">
        <v>8200</v>
      </c>
      <c r="J1591" s="798">
        <v>1</v>
      </c>
      <c r="K1591" s="799">
        <f t="shared" si="214"/>
        <v>8200</v>
      </c>
      <c r="L1591" s="799">
        <f t="shared" si="215"/>
        <v>8200</v>
      </c>
      <c r="M1591" s="799">
        <f t="shared" si="216"/>
        <v>8200</v>
      </c>
      <c r="N1591" s="798" t="s">
        <v>19255</v>
      </c>
      <c r="O1591" s="800">
        <f t="shared" si="211"/>
        <v>8200</v>
      </c>
      <c r="P1591" s="800">
        <f t="shared" si="212"/>
        <v>8200</v>
      </c>
      <c r="Q1591" s="801">
        <f t="shared" si="213"/>
        <v>8200</v>
      </c>
    </row>
    <row r="1592" spans="1:17" x14ac:dyDescent="0.2">
      <c r="A1592" s="802" t="s">
        <v>19256</v>
      </c>
      <c r="B1592" s="803" t="s">
        <v>18054</v>
      </c>
      <c r="C1592" s="803" t="s">
        <v>13954</v>
      </c>
      <c r="D1592" s="803" t="s">
        <v>19251</v>
      </c>
      <c r="E1592" s="803" t="s">
        <v>18061</v>
      </c>
      <c r="F1592" s="803">
        <v>4</v>
      </c>
      <c r="G1592" s="803" t="s">
        <v>3779</v>
      </c>
      <c r="H1592" s="803" t="s">
        <v>3779</v>
      </c>
      <c r="I1592" s="804">
        <v>10000</v>
      </c>
      <c r="J1592" s="803">
        <v>10</v>
      </c>
      <c r="K1592" s="804">
        <f t="shared" si="214"/>
        <v>10000</v>
      </c>
      <c r="L1592" s="804">
        <f t="shared" si="215"/>
        <v>10000</v>
      </c>
      <c r="M1592" s="804">
        <f t="shared" si="216"/>
        <v>10000</v>
      </c>
      <c r="N1592" s="803" t="s">
        <v>19257</v>
      </c>
      <c r="O1592" s="805">
        <f t="shared" si="211"/>
        <v>100000</v>
      </c>
      <c r="P1592" s="805">
        <f t="shared" si="212"/>
        <v>100000</v>
      </c>
      <c r="Q1592" s="806">
        <f t="shared" si="213"/>
        <v>100000</v>
      </c>
    </row>
    <row r="1593" spans="1:17" x14ac:dyDescent="0.2">
      <c r="A1593" s="797" t="s">
        <v>19258</v>
      </c>
      <c r="B1593" s="798" t="s">
        <v>18054</v>
      </c>
      <c r="C1593" s="798" t="s">
        <v>19259</v>
      </c>
      <c r="D1593" s="798" t="s">
        <v>19260</v>
      </c>
      <c r="E1593" s="798" t="s">
        <v>19261</v>
      </c>
      <c r="F1593" s="798">
        <v>1</v>
      </c>
      <c r="G1593" s="798" t="s">
        <v>1947</v>
      </c>
      <c r="H1593" s="798" t="s">
        <v>1947</v>
      </c>
      <c r="I1593" s="799">
        <v>11000</v>
      </c>
      <c r="J1593" s="798">
        <v>1</v>
      </c>
      <c r="K1593" s="799">
        <f t="shared" si="214"/>
        <v>11000</v>
      </c>
      <c r="L1593" s="799">
        <f t="shared" si="215"/>
        <v>11000</v>
      </c>
      <c r="M1593" s="799">
        <f t="shared" si="216"/>
        <v>11000</v>
      </c>
      <c r="N1593" s="798" t="s">
        <v>19262</v>
      </c>
      <c r="O1593" s="800">
        <f t="shared" si="211"/>
        <v>11000</v>
      </c>
      <c r="P1593" s="800">
        <f t="shared" si="212"/>
        <v>11000</v>
      </c>
      <c r="Q1593" s="801">
        <f t="shared" si="213"/>
        <v>11000</v>
      </c>
    </row>
    <row r="1594" spans="1:17" x14ac:dyDescent="0.2">
      <c r="A1594" s="802" t="s">
        <v>19263</v>
      </c>
      <c r="B1594" s="803" t="s">
        <v>18054</v>
      </c>
      <c r="C1594" s="803" t="s">
        <v>19259</v>
      </c>
      <c r="D1594" s="803" t="s">
        <v>19260</v>
      </c>
      <c r="E1594" s="803" t="s">
        <v>18054</v>
      </c>
      <c r="F1594" s="803">
        <v>2</v>
      </c>
      <c r="G1594" s="803" t="s">
        <v>1947</v>
      </c>
      <c r="H1594" s="803" t="s">
        <v>1947</v>
      </c>
      <c r="I1594" s="804">
        <v>13000</v>
      </c>
      <c r="J1594" s="803">
        <v>5</v>
      </c>
      <c r="K1594" s="804">
        <v>13000</v>
      </c>
      <c r="L1594" s="804">
        <v>100000</v>
      </c>
      <c r="M1594" s="804">
        <f t="shared" si="216"/>
        <v>13000</v>
      </c>
      <c r="N1594" s="803" t="s">
        <v>17406</v>
      </c>
      <c r="O1594" s="805">
        <f t="shared" si="211"/>
        <v>65000</v>
      </c>
      <c r="P1594" s="805">
        <f t="shared" si="212"/>
        <v>500000</v>
      </c>
      <c r="Q1594" s="806">
        <f t="shared" si="213"/>
        <v>65000</v>
      </c>
    </row>
    <row r="1595" spans="1:17" x14ac:dyDescent="0.2">
      <c r="A1595" s="797" t="s">
        <v>19264</v>
      </c>
      <c r="B1595" s="798" t="s">
        <v>18054</v>
      </c>
      <c r="C1595" s="798" t="s">
        <v>19259</v>
      </c>
      <c r="D1595" s="798" t="s">
        <v>19260</v>
      </c>
      <c r="E1595" s="798" t="s">
        <v>18033</v>
      </c>
      <c r="F1595" s="798">
        <v>3</v>
      </c>
      <c r="G1595" s="798" t="s">
        <v>1947</v>
      </c>
      <c r="H1595" s="798" t="s">
        <v>1947</v>
      </c>
      <c r="I1595" s="799">
        <v>20000</v>
      </c>
      <c r="J1595" s="798">
        <v>5</v>
      </c>
      <c r="K1595" s="799">
        <v>20000</v>
      </c>
      <c r="L1595" s="799">
        <v>100000</v>
      </c>
      <c r="M1595" s="799">
        <f t="shared" si="216"/>
        <v>20000</v>
      </c>
      <c r="N1595" s="798" t="s">
        <v>17407</v>
      </c>
      <c r="O1595" s="800">
        <f t="shared" si="211"/>
        <v>100000</v>
      </c>
      <c r="P1595" s="800">
        <f t="shared" si="212"/>
        <v>500000</v>
      </c>
      <c r="Q1595" s="801">
        <f t="shared" si="213"/>
        <v>100000</v>
      </c>
    </row>
    <row r="1596" spans="1:17" x14ac:dyDescent="0.2">
      <c r="A1596" s="802" t="s">
        <v>19265</v>
      </c>
      <c r="B1596" s="803" t="s">
        <v>18054</v>
      </c>
      <c r="C1596" s="803" t="s">
        <v>19259</v>
      </c>
      <c r="D1596" s="803" t="s">
        <v>19260</v>
      </c>
      <c r="E1596" s="803" t="s">
        <v>18061</v>
      </c>
      <c r="F1596" s="803">
        <v>4</v>
      </c>
      <c r="G1596" s="803" t="s">
        <v>1947</v>
      </c>
      <c r="H1596" s="803" t="s">
        <v>1947</v>
      </c>
      <c r="I1596" s="804">
        <v>24000</v>
      </c>
      <c r="J1596" s="803">
        <v>5</v>
      </c>
      <c r="K1596" s="804">
        <v>24000</v>
      </c>
      <c r="L1596" s="804">
        <v>100000</v>
      </c>
      <c r="M1596" s="804">
        <f t="shared" si="216"/>
        <v>24000</v>
      </c>
      <c r="N1596" s="803" t="s">
        <v>17408</v>
      </c>
      <c r="O1596" s="805">
        <f t="shared" si="211"/>
        <v>120000</v>
      </c>
      <c r="P1596" s="805">
        <f t="shared" si="212"/>
        <v>500000</v>
      </c>
      <c r="Q1596" s="806">
        <f t="shared" si="213"/>
        <v>120000</v>
      </c>
    </row>
    <row r="1597" spans="1:17" x14ac:dyDescent="0.2">
      <c r="A1597" s="797" t="s">
        <v>19266</v>
      </c>
      <c r="B1597" s="798" t="s">
        <v>18054</v>
      </c>
      <c r="C1597" s="798" t="s">
        <v>19259</v>
      </c>
      <c r="D1597" s="798" t="s">
        <v>19267</v>
      </c>
      <c r="E1597" s="798" t="s">
        <v>19261</v>
      </c>
      <c r="F1597" s="798">
        <v>1</v>
      </c>
      <c r="G1597" s="798" t="s">
        <v>1103</v>
      </c>
      <c r="H1597" s="798" t="s">
        <v>1103</v>
      </c>
      <c r="I1597" s="799">
        <v>11000</v>
      </c>
      <c r="J1597" s="798">
        <v>1</v>
      </c>
      <c r="K1597" s="799">
        <f>+I1597</f>
        <v>11000</v>
      </c>
      <c r="L1597" s="799">
        <f>+I1597</f>
        <v>11000</v>
      </c>
      <c r="M1597" s="799">
        <f t="shared" si="216"/>
        <v>11000</v>
      </c>
      <c r="N1597" s="798" t="s">
        <v>19262</v>
      </c>
      <c r="O1597" s="800">
        <f t="shared" si="211"/>
        <v>11000</v>
      </c>
      <c r="P1597" s="800">
        <f t="shared" si="212"/>
        <v>11000</v>
      </c>
      <c r="Q1597" s="801">
        <f t="shared" si="213"/>
        <v>11000</v>
      </c>
    </row>
    <row r="1598" spans="1:17" x14ac:dyDescent="0.2">
      <c r="A1598" s="802" t="s">
        <v>19268</v>
      </c>
      <c r="B1598" s="803" t="s">
        <v>18054</v>
      </c>
      <c r="C1598" s="803" t="s">
        <v>19259</v>
      </c>
      <c r="D1598" s="803" t="s">
        <v>19267</v>
      </c>
      <c r="E1598" s="803" t="s">
        <v>18054</v>
      </c>
      <c r="F1598" s="803">
        <v>2</v>
      </c>
      <c r="G1598" s="803" t="s">
        <v>1103</v>
      </c>
      <c r="H1598" s="803" t="s">
        <v>1103</v>
      </c>
      <c r="I1598" s="804">
        <v>13000</v>
      </c>
      <c r="J1598" s="803">
        <v>5</v>
      </c>
      <c r="K1598" s="804">
        <v>13000</v>
      </c>
      <c r="L1598" s="804">
        <v>100000</v>
      </c>
      <c r="M1598" s="804">
        <f t="shared" si="216"/>
        <v>13000</v>
      </c>
      <c r="N1598" s="803" t="s">
        <v>17406</v>
      </c>
      <c r="O1598" s="805">
        <f t="shared" si="211"/>
        <v>65000</v>
      </c>
      <c r="P1598" s="805">
        <f t="shared" si="212"/>
        <v>500000</v>
      </c>
      <c r="Q1598" s="806">
        <f t="shared" si="213"/>
        <v>65000</v>
      </c>
    </row>
    <row r="1599" spans="1:17" x14ac:dyDescent="0.2">
      <c r="A1599" s="797" t="s">
        <v>19269</v>
      </c>
      <c r="B1599" s="798" t="s">
        <v>18054</v>
      </c>
      <c r="C1599" s="798" t="s">
        <v>19259</v>
      </c>
      <c r="D1599" s="798" t="s">
        <v>19267</v>
      </c>
      <c r="E1599" s="798" t="s">
        <v>18033</v>
      </c>
      <c r="F1599" s="798">
        <v>3</v>
      </c>
      <c r="G1599" s="798" t="s">
        <v>1103</v>
      </c>
      <c r="H1599" s="798" t="s">
        <v>1103</v>
      </c>
      <c r="I1599" s="799">
        <v>20000</v>
      </c>
      <c r="J1599" s="798">
        <v>5</v>
      </c>
      <c r="K1599" s="799">
        <v>20000</v>
      </c>
      <c r="L1599" s="799">
        <v>100000</v>
      </c>
      <c r="M1599" s="799">
        <f t="shared" si="216"/>
        <v>20000</v>
      </c>
      <c r="N1599" s="798" t="s">
        <v>17407</v>
      </c>
      <c r="O1599" s="800">
        <f t="shared" si="211"/>
        <v>100000</v>
      </c>
      <c r="P1599" s="800">
        <f t="shared" si="212"/>
        <v>500000</v>
      </c>
      <c r="Q1599" s="801">
        <f t="shared" si="213"/>
        <v>100000</v>
      </c>
    </row>
    <row r="1600" spans="1:17" x14ac:dyDescent="0.2">
      <c r="A1600" s="802" t="s">
        <v>19270</v>
      </c>
      <c r="B1600" s="803" t="s">
        <v>18054</v>
      </c>
      <c r="C1600" s="803" t="s">
        <v>19259</v>
      </c>
      <c r="D1600" s="803" t="s">
        <v>19267</v>
      </c>
      <c r="E1600" s="803" t="s">
        <v>18061</v>
      </c>
      <c r="F1600" s="803">
        <v>4</v>
      </c>
      <c r="G1600" s="803" t="s">
        <v>1103</v>
      </c>
      <c r="H1600" s="803" t="s">
        <v>1103</v>
      </c>
      <c r="I1600" s="804">
        <v>24000</v>
      </c>
      <c r="J1600" s="803">
        <v>5</v>
      </c>
      <c r="K1600" s="804">
        <v>24000</v>
      </c>
      <c r="L1600" s="804">
        <v>100000</v>
      </c>
      <c r="M1600" s="804">
        <f t="shared" si="216"/>
        <v>24000</v>
      </c>
      <c r="N1600" s="803" t="s">
        <v>17408</v>
      </c>
      <c r="O1600" s="805">
        <f t="shared" si="211"/>
        <v>120000</v>
      </c>
      <c r="P1600" s="805">
        <f t="shared" si="212"/>
        <v>500000</v>
      </c>
      <c r="Q1600" s="806">
        <f t="shared" si="213"/>
        <v>120000</v>
      </c>
    </row>
    <row r="1601" spans="1:17" x14ac:dyDescent="0.2">
      <c r="A1601" s="797" t="s">
        <v>19271</v>
      </c>
      <c r="B1601" s="798" t="s">
        <v>18054</v>
      </c>
      <c r="C1601" s="798" t="s">
        <v>19259</v>
      </c>
      <c r="D1601" s="798" t="s">
        <v>19272</v>
      </c>
      <c r="E1601" s="798" t="s">
        <v>19261</v>
      </c>
      <c r="F1601" s="798">
        <v>1</v>
      </c>
      <c r="G1601" s="798" t="s">
        <v>122</v>
      </c>
      <c r="H1601" s="798" t="s">
        <v>122</v>
      </c>
      <c r="I1601" s="799">
        <v>11000</v>
      </c>
      <c r="J1601" s="798">
        <v>1</v>
      </c>
      <c r="K1601" s="799">
        <f>+I1601</f>
        <v>11000</v>
      </c>
      <c r="L1601" s="799">
        <f>+I1601</f>
        <v>11000</v>
      </c>
      <c r="M1601" s="799">
        <f t="shared" si="216"/>
        <v>11000</v>
      </c>
      <c r="N1601" s="798" t="s">
        <v>19262</v>
      </c>
      <c r="O1601" s="800">
        <f t="shared" si="211"/>
        <v>11000</v>
      </c>
      <c r="P1601" s="800">
        <f t="shared" si="212"/>
        <v>11000</v>
      </c>
      <c r="Q1601" s="801">
        <f t="shared" si="213"/>
        <v>11000</v>
      </c>
    </row>
    <row r="1602" spans="1:17" x14ac:dyDescent="0.2">
      <c r="A1602" s="802" t="s">
        <v>19273</v>
      </c>
      <c r="B1602" s="803" t="s">
        <v>18054</v>
      </c>
      <c r="C1602" s="803" t="s">
        <v>19259</v>
      </c>
      <c r="D1602" s="803" t="s">
        <v>19272</v>
      </c>
      <c r="E1602" s="803" t="s">
        <v>18054</v>
      </c>
      <c r="F1602" s="803">
        <v>2</v>
      </c>
      <c r="G1602" s="803" t="s">
        <v>122</v>
      </c>
      <c r="H1602" s="803" t="s">
        <v>122</v>
      </c>
      <c r="I1602" s="804">
        <v>13000</v>
      </c>
      <c r="J1602" s="803">
        <v>5</v>
      </c>
      <c r="K1602" s="804">
        <v>13000</v>
      </c>
      <c r="L1602" s="804">
        <v>100000</v>
      </c>
      <c r="M1602" s="804">
        <f t="shared" si="216"/>
        <v>13000</v>
      </c>
      <c r="N1602" s="803" t="s">
        <v>17406</v>
      </c>
      <c r="O1602" s="805">
        <f t="shared" ref="O1602:O1665" si="217">+J1602*K1602</f>
        <v>65000</v>
      </c>
      <c r="P1602" s="805">
        <f t="shared" ref="P1602:P1665" si="218">+J1602*L1602</f>
        <v>500000</v>
      </c>
      <c r="Q1602" s="806">
        <f t="shared" ref="Q1602:Q1665" si="219">+J1602*M1602</f>
        <v>65000</v>
      </c>
    </row>
    <row r="1603" spans="1:17" x14ac:dyDescent="0.2">
      <c r="A1603" s="797" t="s">
        <v>19274</v>
      </c>
      <c r="B1603" s="798" t="s">
        <v>18054</v>
      </c>
      <c r="C1603" s="798" t="s">
        <v>19259</v>
      </c>
      <c r="D1603" s="798" t="s">
        <v>19272</v>
      </c>
      <c r="E1603" s="798" t="s">
        <v>18033</v>
      </c>
      <c r="F1603" s="798">
        <v>3</v>
      </c>
      <c r="G1603" s="798" t="s">
        <v>122</v>
      </c>
      <c r="H1603" s="798" t="s">
        <v>122</v>
      </c>
      <c r="I1603" s="799">
        <v>20000</v>
      </c>
      <c r="J1603" s="798">
        <v>5</v>
      </c>
      <c r="K1603" s="799">
        <v>20000</v>
      </c>
      <c r="L1603" s="799">
        <v>100000</v>
      </c>
      <c r="M1603" s="799">
        <f t="shared" si="216"/>
        <v>20000</v>
      </c>
      <c r="N1603" s="798" t="s">
        <v>17407</v>
      </c>
      <c r="O1603" s="800">
        <f t="shared" si="217"/>
        <v>100000</v>
      </c>
      <c r="P1603" s="800">
        <f t="shared" si="218"/>
        <v>500000</v>
      </c>
      <c r="Q1603" s="801">
        <f t="shared" si="219"/>
        <v>100000</v>
      </c>
    </row>
    <row r="1604" spans="1:17" x14ac:dyDescent="0.2">
      <c r="A1604" s="802" t="s">
        <v>19275</v>
      </c>
      <c r="B1604" s="803" t="s">
        <v>18054</v>
      </c>
      <c r="C1604" s="803" t="s">
        <v>19259</v>
      </c>
      <c r="D1604" s="803" t="s">
        <v>19272</v>
      </c>
      <c r="E1604" s="803" t="s">
        <v>18061</v>
      </c>
      <c r="F1604" s="803">
        <v>4</v>
      </c>
      <c r="G1604" s="803" t="s">
        <v>122</v>
      </c>
      <c r="H1604" s="803" t="s">
        <v>122</v>
      </c>
      <c r="I1604" s="804">
        <v>24000</v>
      </c>
      <c r="J1604" s="803">
        <v>5</v>
      </c>
      <c r="K1604" s="804">
        <v>24000</v>
      </c>
      <c r="L1604" s="804">
        <v>100000</v>
      </c>
      <c r="M1604" s="804">
        <f t="shared" si="216"/>
        <v>24000</v>
      </c>
      <c r="N1604" s="803" t="s">
        <v>17408</v>
      </c>
      <c r="O1604" s="805">
        <f t="shared" si="217"/>
        <v>120000</v>
      </c>
      <c r="P1604" s="805">
        <f t="shared" si="218"/>
        <v>500000</v>
      </c>
      <c r="Q1604" s="806">
        <f t="shared" si="219"/>
        <v>120000</v>
      </c>
    </row>
    <row r="1605" spans="1:17" x14ac:dyDescent="0.2">
      <c r="A1605" s="797" t="s">
        <v>19276</v>
      </c>
      <c r="B1605" s="798" t="s">
        <v>18054</v>
      </c>
      <c r="C1605" s="798" t="s">
        <v>19259</v>
      </c>
      <c r="D1605" s="798" t="s">
        <v>19277</v>
      </c>
      <c r="E1605" s="798" t="s">
        <v>19261</v>
      </c>
      <c r="F1605" s="798">
        <v>1</v>
      </c>
      <c r="G1605" s="798" t="s">
        <v>2837</v>
      </c>
      <c r="H1605" s="798" t="s">
        <v>2837</v>
      </c>
      <c r="I1605" s="799">
        <v>11000</v>
      </c>
      <c r="J1605" s="798">
        <v>1</v>
      </c>
      <c r="K1605" s="799">
        <f>+I1605</f>
        <v>11000</v>
      </c>
      <c r="L1605" s="799">
        <f>+I1605</f>
        <v>11000</v>
      </c>
      <c r="M1605" s="799">
        <f t="shared" si="216"/>
        <v>11000</v>
      </c>
      <c r="N1605" s="798" t="s">
        <v>19262</v>
      </c>
      <c r="O1605" s="800">
        <f t="shared" si="217"/>
        <v>11000</v>
      </c>
      <c r="P1605" s="800">
        <f t="shared" si="218"/>
        <v>11000</v>
      </c>
      <c r="Q1605" s="801">
        <f t="shared" si="219"/>
        <v>11000</v>
      </c>
    </row>
    <row r="1606" spans="1:17" x14ac:dyDescent="0.2">
      <c r="A1606" s="802" t="s">
        <v>19278</v>
      </c>
      <c r="B1606" s="803" t="s">
        <v>18054</v>
      </c>
      <c r="C1606" s="803" t="s">
        <v>19259</v>
      </c>
      <c r="D1606" s="803" t="s">
        <v>19277</v>
      </c>
      <c r="E1606" s="803" t="s">
        <v>18054</v>
      </c>
      <c r="F1606" s="803">
        <v>2</v>
      </c>
      <c r="G1606" s="803" t="s">
        <v>2837</v>
      </c>
      <c r="H1606" s="803" t="s">
        <v>2837</v>
      </c>
      <c r="I1606" s="804">
        <v>13000</v>
      </c>
      <c r="J1606" s="803">
        <v>5</v>
      </c>
      <c r="K1606" s="804">
        <v>13000</v>
      </c>
      <c r="L1606" s="804">
        <v>100000</v>
      </c>
      <c r="M1606" s="804">
        <f t="shared" si="216"/>
        <v>13000</v>
      </c>
      <c r="N1606" s="803" t="s">
        <v>17406</v>
      </c>
      <c r="O1606" s="805">
        <f t="shared" si="217"/>
        <v>65000</v>
      </c>
      <c r="P1606" s="805">
        <f t="shared" si="218"/>
        <v>500000</v>
      </c>
      <c r="Q1606" s="806">
        <f t="shared" si="219"/>
        <v>65000</v>
      </c>
    </row>
    <row r="1607" spans="1:17" x14ac:dyDescent="0.2">
      <c r="A1607" s="797" t="s">
        <v>19279</v>
      </c>
      <c r="B1607" s="798" t="s">
        <v>18054</v>
      </c>
      <c r="C1607" s="798" t="s">
        <v>19259</v>
      </c>
      <c r="D1607" s="798" t="s">
        <v>19277</v>
      </c>
      <c r="E1607" s="798" t="s">
        <v>18033</v>
      </c>
      <c r="F1607" s="798">
        <v>3</v>
      </c>
      <c r="G1607" s="798" t="s">
        <v>2837</v>
      </c>
      <c r="H1607" s="798" t="s">
        <v>2837</v>
      </c>
      <c r="I1607" s="799">
        <v>20000</v>
      </c>
      <c r="J1607" s="798">
        <v>5</v>
      </c>
      <c r="K1607" s="799">
        <v>20000</v>
      </c>
      <c r="L1607" s="799">
        <v>100000</v>
      </c>
      <c r="M1607" s="799">
        <f t="shared" si="216"/>
        <v>20000</v>
      </c>
      <c r="N1607" s="798" t="s">
        <v>17407</v>
      </c>
      <c r="O1607" s="800">
        <f t="shared" si="217"/>
        <v>100000</v>
      </c>
      <c r="P1607" s="800">
        <f t="shared" si="218"/>
        <v>500000</v>
      </c>
      <c r="Q1607" s="801">
        <f t="shared" si="219"/>
        <v>100000</v>
      </c>
    </row>
    <row r="1608" spans="1:17" x14ac:dyDescent="0.2">
      <c r="A1608" s="802" t="s">
        <v>19280</v>
      </c>
      <c r="B1608" s="803" t="s">
        <v>18054</v>
      </c>
      <c r="C1608" s="803" t="s">
        <v>19259</v>
      </c>
      <c r="D1608" s="803" t="s">
        <v>19277</v>
      </c>
      <c r="E1608" s="803" t="s">
        <v>18061</v>
      </c>
      <c r="F1608" s="803">
        <v>4</v>
      </c>
      <c r="G1608" s="803" t="s">
        <v>2837</v>
      </c>
      <c r="H1608" s="803" t="s">
        <v>2837</v>
      </c>
      <c r="I1608" s="804">
        <v>24000</v>
      </c>
      <c r="J1608" s="803">
        <v>5</v>
      </c>
      <c r="K1608" s="804">
        <v>24000</v>
      </c>
      <c r="L1608" s="804">
        <v>100000</v>
      </c>
      <c r="M1608" s="804">
        <f t="shared" si="216"/>
        <v>24000</v>
      </c>
      <c r="N1608" s="803" t="s">
        <v>17408</v>
      </c>
      <c r="O1608" s="805">
        <f t="shared" si="217"/>
        <v>120000</v>
      </c>
      <c r="P1608" s="805">
        <f t="shared" si="218"/>
        <v>500000</v>
      </c>
      <c r="Q1608" s="806">
        <f t="shared" si="219"/>
        <v>120000</v>
      </c>
    </row>
    <row r="1609" spans="1:17" x14ac:dyDescent="0.2">
      <c r="A1609" s="797" t="s">
        <v>19281</v>
      </c>
      <c r="B1609" s="798" t="s">
        <v>18054</v>
      </c>
      <c r="C1609" s="798" t="s">
        <v>19259</v>
      </c>
      <c r="D1609" s="798" t="s">
        <v>19282</v>
      </c>
      <c r="E1609" s="798" t="s">
        <v>19261</v>
      </c>
      <c r="F1609" s="798">
        <v>1</v>
      </c>
      <c r="G1609" s="798" t="s">
        <v>3779</v>
      </c>
      <c r="H1609" s="798" t="s">
        <v>3779</v>
      </c>
      <c r="I1609" s="799">
        <v>11000</v>
      </c>
      <c r="J1609" s="798">
        <v>1</v>
      </c>
      <c r="K1609" s="799">
        <f>+I1609</f>
        <v>11000</v>
      </c>
      <c r="L1609" s="799">
        <f>+I1609</f>
        <v>11000</v>
      </c>
      <c r="M1609" s="799">
        <f t="shared" si="216"/>
        <v>11000</v>
      </c>
      <c r="N1609" s="798" t="s">
        <v>19262</v>
      </c>
      <c r="O1609" s="800">
        <f t="shared" si="217"/>
        <v>11000</v>
      </c>
      <c r="P1609" s="800">
        <f t="shared" si="218"/>
        <v>11000</v>
      </c>
      <c r="Q1609" s="801">
        <f t="shared" si="219"/>
        <v>11000</v>
      </c>
    </row>
    <row r="1610" spans="1:17" x14ac:dyDescent="0.2">
      <c r="A1610" s="802" t="s">
        <v>19283</v>
      </c>
      <c r="B1610" s="803" t="s">
        <v>18054</v>
      </c>
      <c r="C1610" s="803" t="s">
        <v>19259</v>
      </c>
      <c r="D1610" s="803" t="s">
        <v>19282</v>
      </c>
      <c r="E1610" s="803" t="s">
        <v>18054</v>
      </c>
      <c r="F1610" s="803">
        <v>2</v>
      </c>
      <c r="G1610" s="803" t="s">
        <v>3779</v>
      </c>
      <c r="H1610" s="803" t="s">
        <v>3779</v>
      </c>
      <c r="I1610" s="804">
        <v>13000</v>
      </c>
      <c r="J1610" s="803">
        <v>5</v>
      </c>
      <c r="K1610" s="804">
        <v>13000</v>
      </c>
      <c r="L1610" s="804">
        <v>100000</v>
      </c>
      <c r="M1610" s="804">
        <f t="shared" si="216"/>
        <v>13000</v>
      </c>
      <c r="N1610" s="803" t="s">
        <v>17406</v>
      </c>
      <c r="O1610" s="805">
        <f t="shared" si="217"/>
        <v>65000</v>
      </c>
      <c r="P1610" s="805">
        <f t="shared" si="218"/>
        <v>500000</v>
      </c>
      <c r="Q1610" s="806">
        <f t="shared" si="219"/>
        <v>65000</v>
      </c>
    </row>
    <row r="1611" spans="1:17" x14ac:dyDescent="0.2">
      <c r="A1611" s="797" t="s">
        <v>19284</v>
      </c>
      <c r="B1611" s="798" t="s">
        <v>18054</v>
      </c>
      <c r="C1611" s="798" t="s">
        <v>19259</v>
      </c>
      <c r="D1611" s="798" t="s">
        <v>19282</v>
      </c>
      <c r="E1611" s="798" t="s">
        <v>18033</v>
      </c>
      <c r="F1611" s="798">
        <v>3</v>
      </c>
      <c r="G1611" s="798" t="s">
        <v>3779</v>
      </c>
      <c r="H1611" s="798" t="s">
        <v>3779</v>
      </c>
      <c r="I1611" s="799">
        <v>20000</v>
      </c>
      <c r="J1611" s="798">
        <v>5</v>
      </c>
      <c r="K1611" s="799">
        <v>20000</v>
      </c>
      <c r="L1611" s="799">
        <v>100000</v>
      </c>
      <c r="M1611" s="799">
        <f t="shared" si="216"/>
        <v>20000</v>
      </c>
      <c r="N1611" s="798" t="s">
        <v>17407</v>
      </c>
      <c r="O1611" s="800">
        <f t="shared" si="217"/>
        <v>100000</v>
      </c>
      <c r="P1611" s="800">
        <f t="shared" si="218"/>
        <v>500000</v>
      </c>
      <c r="Q1611" s="801">
        <f t="shared" si="219"/>
        <v>100000</v>
      </c>
    </row>
    <row r="1612" spans="1:17" x14ac:dyDescent="0.2">
      <c r="A1612" s="802" t="s">
        <v>19285</v>
      </c>
      <c r="B1612" s="803" t="s">
        <v>18054</v>
      </c>
      <c r="C1612" s="803" t="s">
        <v>19259</v>
      </c>
      <c r="D1612" s="803" t="s">
        <v>19282</v>
      </c>
      <c r="E1612" s="803" t="s">
        <v>18061</v>
      </c>
      <c r="F1612" s="803">
        <v>4</v>
      </c>
      <c r="G1612" s="803" t="s">
        <v>3779</v>
      </c>
      <c r="H1612" s="803" t="s">
        <v>3779</v>
      </c>
      <c r="I1612" s="804">
        <v>24000</v>
      </c>
      <c r="J1612" s="803">
        <v>5</v>
      </c>
      <c r="K1612" s="804">
        <v>24000</v>
      </c>
      <c r="L1612" s="804">
        <v>100000</v>
      </c>
      <c r="M1612" s="804">
        <f t="shared" si="216"/>
        <v>24000</v>
      </c>
      <c r="N1612" s="803" t="s">
        <v>17408</v>
      </c>
      <c r="O1612" s="805">
        <f t="shared" si="217"/>
        <v>120000</v>
      </c>
      <c r="P1612" s="805">
        <f t="shared" si="218"/>
        <v>500000</v>
      </c>
      <c r="Q1612" s="806">
        <f t="shared" si="219"/>
        <v>120000</v>
      </c>
    </row>
    <row r="1613" spans="1:17" x14ac:dyDescent="0.2">
      <c r="A1613" s="797" t="s">
        <v>19286</v>
      </c>
      <c r="B1613" s="798" t="s">
        <v>18054</v>
      </c>
      <c r="C1613" s="798" t="s">
        <v>19287</v>
      </c>
      <c r="D1613" s="798" t="s">
        <v>19288</v>
      </c>
      <c r="E1613" s="798" t="s">
        <v>18054</v>
      </c>
      <c r="F1613" s="798">
        <v>1</v>
      </c>
      <c r="G1613" s="798" t="s">
        <v>1947</v>
      </c>
      <c r="H1613" s="798" t="s">
        <v>122</v>
      </c>
      <c r="I1613" s="799">
        <v>22000</v>
      </c>
      <c r="J1613" s="798">
        <v>5</v>
      </c>
      <c r="K1613" s="799">
        <v>22000</v>
      </c>
      <c r="L1613" s="799">
        <v>100000</v>
      </c>
      <c r="M1613" s="799">
        <f t="shared" si="216"/>
        <v>22000</v>
      </c>
      <c r="N1613" s="798" t="s">
        <v>16665</v>
      </c>
      <c r="O1613" s="800">
        <f t="shared" si="217"/>
        <v>110000</v>
      </c>
      <c r="P1613" s="800">
        <f t="shared" si="218"/>
        <v>500000</v>
      </c>
      <c r="Q1613" s="801">
        <f t="shared" si="219"/>
        <v>110000</v>
      </c>
    </row>
    <row r="1614" spans="1:17" x14ac:dyDescent="0.2">
      <c r="A1614" s="802" t="s">
        <v>19289</v>
      </c>
      <c r="B1614" s="803" t="s">
        <v>18054</v>
      </c>
      <c r="C1614" s="803" t="s">
        <v>19287</v>
      </c>
      <c r="D1614" s="803" t="s">
        <v>19288</v>
      </c>
      <c r="E1614" s="803" t="s">
        <v>18033</v>
      </c>
      <c r="F1614" s="803">
        <v>2</v>
      </c>
      <c r="G1614" s="803" t="s">
        <v>1947</v>
      </c>
      <c r="H1614" s="803" t="s">
        <v>122</v>
      </c>
      <c r="I1614" s="804">
        <v>28000</v>
      </c>
      <c r="J1614" s="803">
        <v>8</v>
      </c>
      <c r="K1614" s="804">
        <v>28000</v>
      </c>
      <c r="L1614" s="804">
        <v>100000</v>
      </c>
      <c r="M1614" s="804">
        <f t="shared" si="216"/>
        <v>28000</v>
      </c>
      <c r="N1614" s="803" t="s">
        <v>16803</v>
      </c>
      <c r="O1614" s="805">
        <f t="shared" si="217"/>
        <v>224000</v>
      </c>
      <c r="P1614" s="805">
        <f t="shared" si="218"/>
        <v>800000</v>
      </c>
      <c r="Q1614" s="806">
        <f t="shared" si="219"/>
        <v>224000</v>
      </c>
    </row>
    <row r="1615" spans="1:17" x14ac:dyDescent="0.2">
      <c r="A1615" s="797" t="s">
        <v>19290</v>
      </c>
      <c r="B1615" s="798" t="s">
        <v>18054</v>
      </c>
      <c r="C1615" s="798" t="s">
        <v>19287</v>
      </c>
      <c r="D1615" s="798" t="s">
        <v>19288</v>
      </c>
      <c r="E1615" s="798" t="s">
        <v>18061</v>
      </c>
      <c r="F1615" s="798">
        <v>3</v>
      </c>
      <c r="G1615" s="798" t="s">
        <v>1947</v>
      </c>
      <c r="H1615" s="798" t="s">
        <v>122</v>
      </c>
      <c r="I1615" s="799">
        <v>34000</v>
      </c>
      <c r="J1615" s="798">
        <v>8</v>
      </c>
      <c r="K1615" s="799">
        <v>34000</v>
      </c>
      <c r="L1615" s="799">
        <v>100000</v>
      </c>
      <c r="M1615" s="799">
        <f t="shared" si="216"/>
        <v>34000</v>
      </c>
      <c r="N1615" s="798" t="s">
        <v>17091</v>
      </c>
      <c r="O1615" s="800">
        <f t="shared" si="217"/>
        <v>272000</v>
      </c>
      <c r="P1615" s="800">
        <f t="shared" si="218"/>
        <v>800000</v>
      </c>
      <c r="Q1615" s="801">
        <f t="shared" si="219"/>
        <v>272000</v>
      </c>
    </row>
    <row r="1616" spans="1:17" x14ac:dyDescent="0.2">
      <c r="A1616" s="802" t="s">
        <v>19291</v>
      </c>
      <c r="B1616" s="803" t="s">
        <v>18054</v>
      </c>
      <c r="C1616" s="803" t="s">
        <v>19287</v>
      </c>
      <c r="D1616" s="803" t="s">
        <v>19292</v>
      </c>
      <c r="E1616" s="803" t="s">
        <v>18054</v>
      </c>
      <c r="F1616" s="803">
        <v>1</v>
      </c>
      <c r="G1616" s="803" t="s">
        <v>1103</v>
      </c>
      <c r="H1616" s="803" t="s">
        <v>1947</v>
      </c>
      <c r="I1616" s="804">
        <v>22000</v>
      </c>
      <c r="J1616" s="803">
        <v>5</v>
      </c>
      <c r="K1616" s="804">
        <v>22000</v>
      </c>
      <c r="L1616" s="804">
        <v>100000</v>
      </c>
      <c r="M1616" s="804">
        <f t="shared" si="216"/>
        <v>22000</v>
      </c>
      <c r="N1616" s="803" t="s">
        <v>16665</v>
      </c>
      <c r="O1616" s="805">
        <f t="shared" si="217"/>
        <v>110000</v>
      </c>
      <c r="P1616" s="805">
        <f t="shared" si="218"/>
        <v>500000</v>
      </c>
      <c r="Q1616" s="806">
        <f t="shared" si="219"/>
        <v>110000</v>
      </c>
    </row>
    <row r="1617" spans="1:17" x14ac:dyDescent="0.2">
      <c r="A1617" s="797" t="s">
        <v>19293</v>
      </c>
      <c r="B1617" s="798" t="s">
        <v>18054</v>
      </c>
      <c r="C1617" s="798" t="s">
        <v>19287</v>
      </c>
      <c r="D1617" s="798" t="s">
        <v>19292</v>
      </c>
      <c r="E1617" s="798" t="s">
        <v>18033</v>
      </c>
      <c r="F1617" s="798">
        <v>2</v>
      </c>
      <c r="G1617" s="798" t="s">
        <v>1103</v>
      </c>
      <c r="H1617" s="798" t="s">
        <v>1947</v>
      </c>
      <c r="I1617" s="799">
        <v>28000</v>
      </c>
      <c r="J1617" s="798">
        <v>8</v>
      </c>
      <c r="K1617" s="799">
        <v>28000</v>
      </c>
      <c r="L1617" s="799">
        <v>100000</v>
      </c>
      <c r="M1617" s="799">
        <f t="shared" si="216"/>
        <v>28000</v>
      </c>
      <c r="N1617" s="798" t="s">
        <v>16803</v>
      </c>
      <c r="O1617" s="800">
        <f t="shared" si="217"/>
        <v>224000</v>
      </c>
      <c r="P1617" s="800">
        <f t="shared" si="218"/>
        <v>800000</v>
      </c>
      <c r="Q1617" s="801">
        <f t="shared" si="219"/>
        <v>224000</v>
      </c>
    </row>
    <row r="1618" spans="1:17" x14ac:dyDescent="0.2">
      <c r="A1618" s="802" t="s">
        <v>19294</v>
      </c>
      <c r="B1618" s="803" t="s">
        <v>18054</v>
      </c>
      <c r="C1618" s="803" t="s">
        <v>19287</v>
      </c>
      <c r="D1618" s="803" t="s">
        <v>19292</v>
      </c>
      <c r="E1618" s="803" t="s">
        <v>18061</v>
      </c>
      <c r="F1618" s="803">
        <v>3</v>
      </c>
      <c r="G1618" s="803" t="s">
        <v>1103</v>
      </c>
      <c r="H1618" s="803" t="s">
        <v>1947</v>
      </c>
      <c r="I1618" s="804">
        <v>34000</v>
      </c>
      <c r="J1618" s="803">
        <v>8</v>
      </c>
      <c r="K1618" s="804">
        <v>34000</v>
      </c>
      <c r="L1618" s="804">
        <v>100000</v>
      </c>
      <c r="M1618" s="804">
        <f t="shared" si="216"/>
        <v>34000</v>
      </c>
      <c r="N1618" s="803" t="s">
        <v>17091</v>
      </c>
      <c r="O1618" s="805">
        <f t="shared" si="217"/>
        <v>272000</v>
      </c>
      <c r="P1618" s="805">
        <f t="shared" si="218"/>
        <v>800000</v>
      </c>
      <c r="Q1618" s="806">
        <f t="shared" si="219"/>
        <v>272000</v>
      </c>
    </row>
    <row r="1619" spans="1:17" x14ac:dyDescent="0.2">
      <c r="A1619" s="797" t="s">
        <v>19295</v>
      </c>
      <c r="B1619" s="798" t="s">
        <v>18054</v>
      </c>
      <c r="C1619" s="798" t="s">
        <v>19287</v>
      </c>
      <c r="D1619" s="798" t="s">
        <v>19296</v>
      </c>
      <c r="E1619" s="798" t="s">
        <v>18054</v>
      </c>
      <c r="F1619" s="798">
        <v>1</v>
      </c>
      <c r="G1619" s="798" t="s">
        <v>122</v>
      </c>
      <c r="H1619" s="798" t="s">
        <v>1103</v>
      </c>
      <c r="I1619" s="799">
        <v>22000</v>
      </c>
      <c r="J1619" s="798">
        <v>5</v>
      </c>
      <c r="K1619" s="799">
        <v>22000</v>
      </c>
      <c r="L1619" s="799">
        <v>100000</v>
      </c>
      <c r="M1619" s="799">
        <f t="shared" si="216"/>
        <v>22000</v>
      </c>
      <c r="N1619" s="798" t="s">
        <v>16665</v>
      </c>
      <c r="O1619" s="800">
        <f t="shared" si="217"/>
        <v>110000</v>
      </c>
      <c r="P1619" s="800">
        <f t="shared" si="218"/>
        <v>500000</v>
      </c>
      <c r="Q1619" s="801">
        <f t="shared" si="219"/>
        <v>110000</v>
      </c>
    </row>
    <row r="1620" spans="1:17" x14ac:dyDescent="0.2">
      <c r="A1620" s="802" t="s">
        <v>19297</v>
      </c>
      <c r="B1620" s="803" t="s">
        <v>18054</v>
      </c>
      <c r="C1620" s="803" t="s">
        <v>19287</v>
      </c>
      <c r="D1620" s="803" t="s">
        <v>19296</v>
      </c>
      <c r="E1620" s="803" t="s">
        <v>18033</v>
      </c>
      <c r="F1620" s="803">
        <v>2</v>
      </c>
      <c r="G1620" s="803" t="s">
        <v>122</v>
      </c>
      <c r="H1620" s="803" t="s">
        <v>1103</v>
      </c>
      <c r="I1620" s="804">
        <v>28000</v>
      </c>
      <c r="J1620" s="803">
        <v>8</v>
      </c>
      <c r="K1620" s="804">
        <v>28000</v>
      </c>
      <c r="L1620" s="804">
        <v>100000</v>
      </c>
      <c r="M1620" s="804">
        <f t="shared" si="216"/>
        <v>28000</v>
      </c>
      <c r="N1620" s="803" t="s">
        <v>16803</v>
      </c>
      <c r="O1620" s="805">
        <f t="shared" si="217"/>
        <v>224000</v>
      </c>
      <c r="P1620" s="805">
        <f t="shared" si="218"/>
        <v>800000</v>
      </c>
      <c r="Q1620" s="806">
        <f t="shared" si="219"/>
        <v>224000</v>
      </c>
    </row>
    <row r="1621" spans="1:17" x14ac:dyDescent="0.2">
      <c r="A1621" s="797" t="s">
        <v>19298</v>
      </c>
      <c r="B1621" s="798" t="s">
        <v>18054</v>
      </c>
      <c r="C1621" s="798" t="s">
        <v>19287</v>
      </c>
      <c r="D1621" s="798" t="s">
        <v>19296</v>
      </c>
      <c r="E1621" s="798" t="s">
        <v>18061</v>
      </c>
      <c r="F1621" s="798">
        <v>3</v>
      </c>
      <c r="G1621" s="798" t="s">
        <v>122</v>
      </c>
      <c r="H1621" s="798" t="s">
        <v>1103</v>
      </c>
      <c r="I1621" s="799">
        <v>34000</v>
      </c>
      <c r="J1621" s="798">
        <v>8</v>
      </c>
      <c r="K1621" s="799">
        <v>34000</v>
      </c>
      <c r="L1621" s="799">
        <v>100000</v>
      </c>
      <c r="M1621" s="799">
        <f t="shared" si="216"/>
        <v>34000</v>
      </c>
      <c r="N1621" s="798" t="s">
        <v>17091</v>
      </c>
      <c r="O1621" s="800">
        <f t="shared" si="217"/>
        <v>272000</v>
      </c>
      <c r="P1621" s="800">
        <f t="shared" si="218"/>
        <v>800000</v>
      </c>
      <c r="Q1621" s="801">
        <f t="shared" si="219"/>
        <v>272000</v>
      </c>
    </row>
    <row r="1622" spans="1:17" x14ac:dyDescent="0.2">
      <c r="A1622" s="802" t="s">
        <v>19299</v>
      </c>
      <c r="B1622" s="803" t="s">
        <v>18054</v>
      </c>
      <c r="C1622" s="803" t="s">
        <v>19287</v>
      </c>
      <c r="D1622" s="803" t="s">
        <v>19300</v>
      </c>
      <c r="E1622" s="803" t="s">
        <v>18054</v>
      </c>
      <c r="F1622" s="803">
        <v>1</v>
      </c>
      <c r="G1622" s="803" t="s">
        <v>2837</v>
      </c>
      <c r="H1622" s="803" t="s">
        <v>3779</v>
      </c>
      <c r="I1622" s="804">
        <v>22000</v>
      </c>
      <c r="J1622" s="803">
        <v>5</v>
      </c>
      <c r="K1622" s="804">
        <v>22000</v>
      </c>
      <c r="L1622" s="804">
        <v>100000</v>
      </c>
      <c r="M1622" s="804">
        <f t="shared" si="216"/>
        <v>22000</v>
      </c>
      <c r="N1622" s="803" t="s">
        <v>16665</v>
      </c>
      <c r="O1622" s="805">
        <f t="shared" si="217"/>
        <v>110000</v>
      </c>
      <c r="P1622" s="805">
        <f t="shared" si="218"/>
        <v>500000</v>
      </c>
      <c r="Q1622" s="806">
        <f t="shared" si="219"/>
        <v>110000</v>
      </c>
    </row>
    <row r="1623" spans="1:17" x14ac:dyDescent="0.2">
      <c r="A1623" s="797" t="s">
        <v>19301</v>
      </c>
      <c r="B1623" s="798" t="s">
        <v>18054</v>
      </c>
      <c r="C1623" s="798" t="s">
        <v>19287</v>
      </c>
      <c r="D1623" s="798" t="s">
        <v>19300</v>
      </c>
      <c r="E1623" s="798" t="s">
        <v>18033</v>
      </c>
      <c r="F1623" s="798">
        <v>2</v>
      </c>
      <c r="G1623" s="798" t="s">
        <v>2837</v>
      </c>
      <c r="H1623" s="798" t="s">
        <v>3779</v>
      </c>
      <c r="I1623" s="799">
        <v>28000</v>
      </c>
      <c r="J1623" s="798">
        <v>8</v>
      </c>
      <c r="K1623" s="799">
        <v>28000</v>
      </c>
      <c r="L1623" s="799">
        <v>100000</v>
      </c>
      <c r="M1623" s="799">
        <f t="shared" si="216"/>
        <v>28000</v>
      </c>
      <c r="N1623" s="798" t="s">
        <v>16803</v>
      </c>
      <c r="O1623" s="800">
        <f t="shared" si="217"/>
        <v>224000</v>
      </c>
      <c r="P1623" s="800">
        <f t="shared" si="218"/>
        <v>800000</v>
      </c>
      <c r="Q1623" s="801">
        <f t="shared" si="219"/>
        <v>224000</v>
      </c>
    </row>
    <row r="1624" spans="1:17" x14ac:dyDescent="0.2">
      <c r="A1624" s="802" t="s">
        <v>19302</v>
      </c>
      <c r="B1624" s="803" t="s">
        <v>18054</v>
      </c>
      <c r="C1624" s="803" t="s">
        <v>19287</v>
      </c>
      <c r="D1624" s="803" t="s">
        <v>19300</v>
      </c>
      <c r="E1624" s="803" t="s">
        <v>18061</v>
      </c>
      <c r="F1624" s="803">
        <v>3</v>
      </c>
      <c r="G1624" s="803" t="s">
        <v>2837</v>
      </c>
      <c r="H1624" s="803" t="s">
        <v>3779</v>
      </c>
      <c r="I1624" s="804">
        <v>34000</v>
      </c>
      <c r="J1624" s="803">
        <v>8</v>
      </c>
      <c r="K1624" s="804">
        <v>34000</v>
      </c>
      <c r="L1624" s="804">
        <v>100000</v>
      </c>
      <c r="M1624" s="804">
        <f t="shared" si="216"/>
        <v>34000</v>
      </c>
      <c r="N1624" s="803" t="s">
        <v>17091</v>
      </c>
      <c r="O1624" s="805">
        <f t="shared" si="217"/>
        <v>272000</v>
      </c>
      <c r="P1624" s="805">
        <f t="shared" si="218"/>
        <v>800000</v>
      </c>
      <c r="Q1624" s="806">
        <f t="shared" si="219"/>
        <v>272000</v>
      </c>
    </row>
    <row r="1625" spans="1:17" x14ac:dyDescent="0.2">
      <c r="A1625" s="797" t="s">
        <v>19303</v>
      </c>
      <c r="B1625" s="798" t="s">
        <v>18054</v>
      </c>
      <c r="C1625" s="798" t="s">
        <v>19287</v>
      </c>
      <c r="D1625" s="798" t="s">
        <v>19304</v>
      </c>
      <c r="E1625" s="798" t="s">
        <v>18054</v>
      </c>
      <c r="F1625" s="798">
        <v>1</v>
      </c>
      <c r="G1625" s="798" t="s">
        <v>3779</v>
      </c>
      <c r="H1625" s="798" t="s">
        <v>2837</v>
      </c>
      <c r="I1625" s="799">
        <v>22000</v>
      </c>
      <c r="J1625" s="798">
        <v>5</v>
      </c>
      <c r="K1625" s="799">
        <v>22000</v>
      </c>
      <c r="L1625" s="799">
        <v>100000</v>
      </c>
      <c r="M1625" s="799">
        <f t="shared" si="216"/>
        <v>22000</v>
      </c>
      <c r="N1625" s="798" t="s">
        <v>16665</v>
      </c>
      <c r="O1625" s="800">
        <f t="shared" si="217"/>
        <v>110000</v>
      </c>
      <c r="P1625" s="800">
        <f t="shared" si="218"/>
        <v>500000</v>
      </c>
      <c r="Q1625" s="801">
        <f t="shared" si="219"/>
        <v>110000</v>
      </c>
    </row>
    <row r="1626" spans="1:17" x14ac:dyDescent="0.2">
      <c r="A1626" s="802" t="s">
        <v>19305</v>
      </c>
      <c r="B1626" s="803" t="s">
        <v>18054</v>
      </c>
      <c r="C1626" s="803" t="s">
        <v>19287</v>
      </c>
      <c r="D1626" s="803" t="s">
        <v>19304</v>
      </c>
      <c r="E1626" s="803" t="s">
        <v>18033</v>
      </c>
      <c r="F1626" s="803">
        <v>2</v>
      </c>
      <c r="G1626" s="803" t="s">
        <v>3779</v>
      </c>
      <c r="H1626" s="803" t="s">
        <v>2837</v>
      </c>
      <c r="I1626" s="804">
        <v>28000</v>
      </c>
      <c r="J1626" s="803">
        <v>8</v>
      </c>
      <c r="K1626" s="804">
        <v>28000</v>
      </c>
      <c r="L1626" s="804">
        <v>100000</v>
      </c>
      <c r="M1626" s="804">
        <f t="shared" si="216"/>
        <v>28000</v>
      </c>
      <c r="N1626" s="803" t="s">
        <v>16803</v>
      </c>
      <c r="O1626" s="805">
        <f t="shared" si="217"/>
        <v>224000</v>
      </c>
      <c r="P1626" s="805">
        <f t="shared" si="218"/>
        <v>800000</v>
      </c>
      <c r="Q1626" s="806">
        <f t="shared" si="219"/>
        <v>224000</v>
      </c>
    </row>
    <row r="1627" spans="1:17" x14ac:dyDescent="0.2">
      <c r="A1627" s="797" t="s">
        <v>19306</v>
      </c>
      <c r="B1627" s="798" t="s">
        <v>18054</v>
      </c>
      <c r="C1627" s="798" t="s">
        <v>19287</v>
      </c>
      <c r="D1627" s="798" t="s">
        <v>19304</v>
      </c>
      <c r="E1627" s="798" t="s">
        <v>18061</v>
      </c>
      <c r="F1627" s="798">
        <v>3</v>
      </c>
      <c r="G1627" s="798" t="s">
        <v>3779</v>
      </c>
      <c r="H1627" s="798" t="s">
        <v>2837</v>
      </c>
      <c r="I1627" s="799">
        <v>34000</v>
      </c>
      <c r="J1627" s="798">
        <v>8</v>
      </c>
      <c r="K1627" s="799">
        <v>34000</v>
      </c>
      <c r="L1627" s="799">
        <v>100000</v>
      </c>
      <c r="M1627" s="799">
        <f t="shared" si="216"/>
        <v>34000</v>
      </c>
      <c r="N1627" s="798" t="s">
        <v>17091</v>
      </c>
      <c r="O1627" s="800">
        <f t="shared" si="217"/>
        <v>272000</v>
      </c>
      <c r="P1627" s="800">
        <f t="shared" si="218"/>
        <v>800000</v>
      </c>
      <c r="Q1627" s="801">
        <f t="shared" si="219"/>
        <v>272000</v>
      </c>
    </row>
    <row r="1628" spans="1:17" x14ac:dyDescent="0.2">
      <c r="A1628" s="802" t="s">
        <v>19307</v>
      </c>
      <c r="B1628" s="803" t="s">
        <v>18054</v>
      </c>
      <c r="C1628" s="803" t="s">
        <v>13844</v>
      </c>
      <c r="D1628" s="803" t="s">
        <v>19308</v>
      </c>
      <c r="E1628" s="803" t="s">
        <v>18054</v>
      </c>
      <c r="F1628" s="803">
        <v>1</v>
      </c>
      <c r="G1628" s="803" t="s">
        <v>1947</v>
      </c>
      <c r="H1628" s="803" t="s">
        <v>1947</v>
      </c>
      <c r="I1628" s="804">
        <v>22000</v>
      </c>
      <c r="J1628" s="803">
        <v>9</v>
      </c>
      <c r="K1628" s="804">
        <v>22000</v>
      </c>
      <c r="L1628" s="804">
        <v>100000</v>
      </c>
      <c r="M1628" s="804">
        <f t="shared" si="216"/>
        <v>22000</v>
      </c>
      <c r="N1628" s="803" t="s">
        <v>17347</v>
      </c>
      <c r="O1628" s="805">
        <f t="shared" si="217"/>
        <v>198000</v>
      </c>
      <c r="P1628" s="805">
        <f t="shared" si="218"/>
        <v>900000</v>
      </c>
      <c r="Q1628" s="806">
        <f t="shared" si="219"/>
        <v>198000</v>
      </c>
    </row>
    <row r="1629" spans="1:17" x14ac:dyDescent="0.2">
      <c r="A1629" s="797" t="s">
        <v>19309</v>
      </c>
      <c r="B1629" s="798" t="s">
        <v>18054</v>
      </c>
      <c r="C1629" s="798" t="s">
        <v>13844</v>
      </c>
      <c r="D1629" s="798" t="s">
        <v>19308</v>
      </c>
      <c r="E1629" s="798" t="s">
        <v>18033</v>
      </c>
      <c r="F1629" s="798">
        <v>2</v>
      </c>
      <c r="G1629" s="798" t="s">
        <v>1947</v>
      </c>
      <c r="H1629" s="798" t="s">
        <v>1947</v>
      </c>
      <c r="I1629" s="799">
        <v>34000</v>
      </c>
      <c r="J1629" s="798">
        <v>9</v>
      </c>
      <c r="K1629" s="799">
        <v>34000</v>
      </c>
      <c r="L1629" s="799">
        <v>100000</v>
      </c>
      <c r="M1629" s="799">
        <f t="shared" si="216"/>
        <v>34000</v>
      </c>
      <c r="N1629" s="798" t="s">
        <v>17348</v>
      </c>
      <c r="O1629" s="800">
        <f t="shared" si="217"/>
        <v>306000</v>
      </c>
      <c r="P1629" s="800">
        <f t="shared" si="218"/>
        <v>900000</v>
      </c>
      <c r="Q1629" s="801">
        <f t="shared" si="219"/>
        <v>306000</v>
      </c>
    </row>
    <row r="1630" spans="1:17" x14ac:dyDescent="0.2">
      <c r="A1630" s="802" t="s">
        <v>19310</v>
      </c>
      <c r="B1630" s="803" t="s">
        <v>18054</v>
      </c>
      <c r="C1630" s="803" t="s">
        <v>13844</v>
      </c>
      <c r="D1630" s="803" t="s">
        <v>19308</v>
      </c>
      <c r="E1630" s="803" t="s">
        <v>18061</v>
      </c>
      <c r="F1630" s="803">
        <v>3</v>
      </c>
      <c r="G1630" s="803" t="s">
        <v>1947</v>
      </c>
      <c r="H1630" s="803" t="s">
        <v>1947</v>
      </c>
      <c r="I1630" s="804">
        <v>36000</v>
      </c>
      <c r="J1630" s="803">
        <v>1</v>
      </c>
      <c r="K1630" s="804">
        <v>36000</v>
      </c>
      <c r="L1630" s="804">
        <v>100000</v>
      </c>
      <c r="M1630" s="804">
        <f t="shared" si="216"/>
        <v>36000</v>
      </c>
      <c r="N1630" s="803" t="s">
        <v>17349</v>
      </c>
      <c r="O1630" s="805">
        <f t="shared" si="217"/>
        <v>36000</v>
      </c>
      <c r="P1630" s="805">
        <f t="shared" si="218"/>
        <v>100000</v>
      </c>
      <c r="Q1630" s="806">
        <f t="shared" si="219"/>
        <v>36000</v>
      </c>
    </row>
    <row r="1631" spans="1:17" x14ac:dyDescent="0.2">
      <c r="A1631" s="797" t="s">
        <v>19311</v>
      </c>
      <c r="B1631" s="798" t="s">
        <v>18054</v>
      </c>
      <c r="C1631" s="798" t="s">
        <v>13844</v>
      </c>
      <c r="D1631" s="798" t="s">
        <v>19312</v>
      </c>
      <c r="E1631" s="798" t="s">
        <v>18054</v>
      </c>
      <c r="F1631" s="798">
        <v>1</v>
      </c>
      <c r="G1631" s="798" t="s">
        <v>1103</v>
      </c>
      <c r="H1631" s="798" t="s">
        <v>1103</v>
      </c>
      <c r="I1631" s="799">
        <v>22000</v>
      </c>
      <c r="J1631" s="798">
        <v>9</v>
      </c>
      <c r="K1631" s="799">
        <v>22000</v>
      </c>
      <c r="L1631" s="799">
        <v>100000</v>
      </c>
      <c r="M1631" s="799">
        <f t="shared" si="216"/>
        <v>22000</v>
      </c>
      <c r="N1631" s="798" t="s">
        <v>17347</v>
      </c>
      <c r="O1631" s="800">
        <f t="shared" si="217"/>
        <v>198000</v>
      </c>
      <c r="P1631" s="800">
        <f t="shared" si="218"/>
        <v>900000</v>
      </c>
      <c r="Q1631" s="801">
        <f t="shared" si="219"/>
        <v>198000</v>
      </c>
    </row>
    <row r="1632" spans="1:17" x14ac:dyDescent="0.2">
      <c r="A1632" s="802" t="s">
        <v>19313</v>
      </c>
      <c r="B1632" s="803" t="s">
        <v>18054</v>
      </c>
      <c r="C1632" s="803" t="s">
        <v>13844</v>
      </c>
      <c r="D1632" s="803" t="s">
        <v>19312</v>
      </c>
      <c r="E1632" s="803" t="s">
        <v>18033</v>
      </c>
      <c r="F1632" s="803">
        <v>2</v>
      </c>
      <c r="G1632" s="803" t="s">
        <v>1103</v>
      </c>
      <c r="H1632" s="803" t="s">
        <v>1103</v>
      </c>
      <c r="I1632" s="804">
        <v>34000</v>
      </c>
      <c r="J1632" s="803">
        <v>9</v>
      </c>
      <c r="K1632" s="804">
        <v>34000</v>
      </c>
      <c r="L1632" s="804">
        <v>100000</v>
      </c>
      <c r="M1632" s="804">
        <f t="shared" si="216"/>
        <v>34000</v>
      </c>
      <c r="N1632" s="803" t="s">
        <v>17348</v>
      </c>
      <c r="O1632" s="805">
        <f t="shared" si="217"/>
        <v>306000</v>
      </c>
      <c r="P1632" s="805">
        <f t="shared" si="218"/>
        <v>900000</v>
      </c>
      <c r="Q1632" s="806">
        <f t="shared" si="219"/>
        <v>306000</v>
      </c>
    </row>
    <row r="1633" spans="1:17" x14ac:dyDescent="0.2">
      <c r="A1633" s="797" t="s">
        <v>19314</v>
      </c>
      <c r="B1633" s="798" t="s">
        <v>18054</v>
      </c>
      <c r="C1633" s="798" t="s">
        <v>13844</v>
      </c>
      <c r="D1633" s="798" t="s">
        <v>19312</v>
      </c>
      <c r="E1633" s="798" t="s">
        <v>18061</v>
      </c>
      <c r="F1633" s="798">
        <v>3</v>
      </c>
      <c r="G1633" s="798" t="s">
        <v>1103</v>
      </c>
      <c r="H1633" s="798" t="s">
        <v>1103</v>
      </c>
      <c r="I1633" s="799">
        <v>36000</v>
      </c>
      <c r="J1633" s="798">
        <v>1</v>
      </c>
      <c r="K1633" s="799">
        <v>36000</v>
      </c>
      <c r="L1633" s="799">
        <v>100000</v>
      </c>
      <c r="M1633" s="799">
        <f t="shared" si="216"/>
        <v>36000</v>
      </c>
      <c r="N1633" s="798" t="s">
        <v>17349</v>
      </c>
      <c r="O1633" s="800">
        <f t="shared" si="217"/>
        <v>36000</v>
      </c>
      <c r="P1633" s="800">
        <f t="shared" si="218"/>
        <v>100000</v>
      </c>
      <c r="Q1633" s="801">
        <f t="shared" si="219"/>
        <v>36000</v>
      </c>
    </row>
    <row r="1634" spans="1:17" x14ac:dyDescent="0.2">
      <c r="A1634" s="802" t="s">
        <v>19315</v>
      </c>
      <c r="B1634" s="803" t="s">
        <v>18054</v>
      </c>
      <c r="C1634" s="803" t="s">
        <v>13844</v>
      </c>
      <c r="D1634" s="803" t="s">
        <v>19316</v>
      </c>
      <c r="E1634" s="803" t="s">
        <v>18054</v>
      </c>
      <c r="F1634" s="803">
        <v>1</v>
      </c>
      <c r="G1634" s="803" t="s">
        <v>122</v>
      </c>
      <c r="H1634" s="803" t="s">
        <v>122</v>
      </c>
      <c r="I1634" s="804">
        <v>22000</v>
      </c>
      <c r="J1634" s="803">
        <v>9</v>
      </c>
      <c r="K1634" s="804">
        <v>22000</v>
      </c>
      <c r="L1634" s="804">
        <v>100000</v>
      </c>
      <c r="M1634" s="804">
        <f t="shared" si="216"/>
        <v>22000</v>
      </c>
      <c r="N1634" s="803" t="s">
        <v>17347</v>
      </c>
      <c r="O1634" s="805">
        <f t="shared" si="217"/>
        <v>198000</v>
      </c>
      <c r="P1634" s="805">
        <f t="shared" si="218"/>
        <v>900000</v>
      </c>
      <c r="Q1634" s="806">
        <f t="shared" si="219"/>
        <v>198000</v>
      </c>
    </row>
    <row r="1635" spans="1:17" x14ac:dyDescent="0.2">
      <c r="A1635" s="797" t="s">
        <v>19317</v>
      </c>
      <c r="B1635" s="798" t="s">
        <v>18054</v>
      </c>
      <c r="C1635" s="798" t="s">
        <v>13844</v>
      </c>
      <c r="D1635" s="798" t="s">
        <v>19316</v>
      </c>
      <c r="E1635" s="798" t="s">
        <v>18033</v>
      </c>
      <c r="F1635" s="798">
        <v>2</v>
      </c>
      <c r="G1635" s="798" t="s">
        <v>122</v>
      </c>
      <c r="H1635" s="798" t="s">
        <v>122</v>
      </c>
      <c r="I1635" s="799">
        <v>34000</v>
      </c>
      <c r="J1635" s="798">
        <v>9</v>
      </c>
      <c r="K1635" s="799">
        <v>34000</v>
      </c>
      <c r="L1635" s="799">
        <v>100000</v>
      </c>
      <c r="M1635" s="799">
        <f t="shared" si="216"/>
        <v>34000</v>
      </c>
      <c r="N1635" s="798" t="s">
        <v>17348</v>
      </c>
      <c r="O1635" s="800">
        <f t="shared" si="217"/>
        <v>306000</v>
      </c>
      <c r="P1635" s="800">
        <f t="shared" si="218"/>
        <v>900000</v>
      </c>
      <c r="Q1635" s="801">
        <f t="shared" si="219"/>
        <v>306000</v>
      </c>
    </row>
    <row r="1636" spans="1:17" x14ac:dyDescent="0.2">
      <c r="A1636" s="802" t="s">
        <v>19318</v>
      </c>
      <c r="B1636" s="803" t="s">
        <v>18054</v>
      </c>
      <c r="C1636" s="803" t="s">
        <v>13844</v>
      </c>
      <c r="D1636" s="803" t="s">
        <v>19316</v>
      </c>
      <c r="E1636" s="803" t="s">
        <v>18061</v>
      </c>
      <c r="F1636" s="803">
        <v>3</v>
      </c>
      <c r="G1636" s="803" t="s">
        <v>122</v>
      </c>
      <c r="H1636" s="803" t="s">
        <v>122</v>
      </c>
      <c r="I1636" s="804">
        <v>36000</v>
      </c>
      <c r="J1636" s="803">
        <v>1</v>
      </c>
      <c r="K1636" s="804">
        <v>36000</v>
      </c>
      <c r="L1636" s="804">
        <v>100000</v>
      </c>
      <c r="M1636" s="804">
        <f t="shared" si="216"/>
        <v>36000</v>
      </c>
      <c r="N1636" s="803" t="s">
        <v>17349</v>
      </c>
      <c r="O1636" s="805">
        <f t="shared" si="217"/>
        <v>36000</v>
      </c>
      <c r="P1636" s="805">
        <f t="shared" si="218"/>
        <v>100000</v>
      </c>
      <c r="Q1636" s="806">
        <f t="shared" si="219"/>
        <v>36000</v>
      </c>
    </row>
    <row r="1637" spans="1:17" x14ac:dyDescent="0.2">
      <c r="A1637" s="797" t="s">
        <v>19319</v>
      </c>
      <c r="B1637" s="798" t="s">
        <v>18054</v>
      </c>
      <c r="C1637" s="798" t="s">
        <v>13844</v>
      </c>
      <c r="D1637" s="798" t="s">
        <v>19320</v>
      </c>
      <c r="E1637" s="798" t="s">
        <v>18054</v>
      </c>
      <c r="F1637" s="798">
        <v>1</v>
      </c>
      <c r="G1637" s="798" t="s">
        <v>2837</v>
      </c>
      <c r="H1637" s="798" t="s">
        <v>2837</v>
      </c>
      <c r="I1637" s="799">
        <v>22000</v>
      </c>
      <c r="J1637" s="798">
        <v>9</v>
      </c>
      <c r="K1637" s="799">
        <v>22000</v>
      </c>
      <c r="L1637" s="799">
        <v>100000</v>
      </c>
      <c r="M1637" s="799">
        <f t="shared" si="216"/>
        <v>22000</v>
      </c>
      <c r="N1637" s="798" t="s">
        <v>17347</v>
      </c>
      <c r="O1637" s="800">
        <f t="shared" si="217"/>
        <v>198000</v>
      </c>
      <c r="P1637" s="800">
        <f t="shared" si="218"/>
        <v>900000</v>
      </c>
      <c r="Q1637" s="801">
        <f t="shared" si="219"/>
        <v>198000</v>
      </c>
    </row>
    <row r="1638" spans="1:17" x14ac:dyDescent="0.2">
      <c r="A1638" s="802" t="s">
        <v>19321</v>
      </c>
      <c r="B1638" s="803" t="s">
        <v>18054</v>
      </c>
      <c r="C1638" s="803" t="s">
        <v>13844</v>
      </c>
      <c r="D1638" s="803" t="s">
        <v>19320</v>
      </c>
      <c r="E1638" s="803" t="s">
        <v>18033</v>
      </c>
      <c r="F1638" s="803">
        <v>2</v>
      </c>
      <c r="G1638" s="803" t="s">
        <v>2837</v>
      </c>
      <c r="H1638" s="803" t="s">
        <v>2837</v>
      </c>
      <c r="I1638" s="804">
        <v>34000</v>
      </c>
      <c r="J1638" s="803">
        <v>9</v>
      </c>
      <c r="K1638" s="804">
        <v>34000</v>
      </c>
      <c r="L1638" s="804">
        <v>100000</v>
      </c>
      <c r="M1638" s="804">
        <f t="shared" si="216"/>
        <v>34000</v>
      </c>
      <c r="N1638" s="803" t="s">
        <v>17348</v>
      </c>
      <c r="O1638" s="805">
        <f t="shared" si="217"/>
        <v>306000</v>
      </c>
      <c r="P1638" s="805">
        <f t="shared" si="218"/>
        <v>900000</v>
      </c>
      <c r="Q1638" s="806">
        <f t="shared" si="219"/>
        <v>306000</v>
      </c>
    </row>
    <row r="1639" spans="1:17" x14ac:dyDescent="0.2">
      <c r="A1639" s="797" t="s">
        <v>19322</v>
      </c>
      <c r="B1639" s="798" t="s">
        <v>18054</v>
      </c>
      <c r="C1639" s="798" t="s">
        <v>13844</v>
      </c>
      <c r="D1639" s="798" t="s">
        <v>19320</v>
      </c>
      <c r="E1639" s="798" t="s">
        <v>18061</v>
      </c>
      <c r="F1639" s="798">
        <v>3</v>
      </c>
      <c r="G1639" s="798" t="s">
        <v>2837</v>
      </c>
      <c r="H1639" s="798" t="s">
        <v>2837</v>
      </c>
      <c r="I1639" s="799">
        <v>36000</v>
      </c>
      <c r="J1639" s="798">
        <v>1</v>
      </c>
      <c r="K1639" s="799">
        <v>36000</v>
      </c>
      <c r="L1639" s="799">
        <v>100000</v>
      </c>
      <c r="M1639" s="799">
        <f t="shared" si="216"/>
        <v>36000</v>
      </c>
      <c r="N1639" s="798" t="s">
        <v>17349</v>
      </c>
      <c r="O1639" s="800">
        <f t="shared" si="217"/>
        <v>36000</v>
      </c>
      <c r="P1639" s="800">
        <f t="shared" si="218"/>
        <v>100000</v>
      </c>
      <c r="Q1639" s="801">
        <f t="shared" si="219"/>
        <v>36000</v>
      </c>
    </row>
    <row r="1640" spans="1:17" x14ac:dyDescent="0.2">
      <c r="A1640" s="802" t="s">
        <v>19323</v>
      </c>
      <c r="B1640" s="803" t="s">
        <v>18054</v>
      </c>
      <c r="C1640" s="803" t="s">
        <v>13844</v>
      </c>
      <c r="D1640" s="803" t="s">
        <v>19324</v>
      </c>
      <c r="E1640" s="803" t="s">
        <v>18054</v>
      </c>
      <c r="F1640" s="803">
        <v>1</v>
      </c>
      <c r="G1640" s="803" t="s">
        <v>3779</v>
      </c>
      <c r="H1640" s="803" t="s">
        <v>3779</v>
      </c>
      <c r="I1640" s="804">
        <v>22000</v>
      </c>
      <c r="J1640" s="803">
        <v>9</v>
      </c>
      <c r="K1640" s="804">
        <v>22000</v>
      </c>
      <c r="L1640" s="804">
        <v>100000</v>
      </c>
      <c r="M1640" s="804">
        <f t="shared" si="216"/>
        <v>22000</v>
      </c>
      <c r="N1640" s="803" t="s">
        <v>17347</v>
      </c>
      <c r="O1640" s="805">
        <f t="shared" si="217"/>
        <v>198000</v>
      </c>
      <c r="P1640" s="805">
        <f t="shared" si="218"/>
        <v>900000</v>
      </c>
      <c r="Q1640" s="806">
        <f t="shared" si="219"/>
        <v>198000</v>
      </c>
    </row>
    <row r="1641" spans="1:17" x14ac:dyDescent="0.2">
      <c r="A1641" s="797" t="s">
        <v>19325</v>
      </c>
      <c r="B1641" s="798" t="s">
        <v>18054</v>
      </c>
      <c r="C1641" s="798" t="s">
        <v>13844</v>
      </c>
      <c r="D1641" s="798" t="s">
        <v>19324</v>
      </c>
      <c r="E1641" s="798" t="s">
        <v>18033</v>
      </c>
      <c r="F1641" s="798">
        <v>2</v>
      </c>
      <c r="G1641" s="798" t="s">
        <v>3779</v>
      </c>
      <c r="H1641" s="798" t="s">
        <v>3779</v>
      </c>
      <c r="I1641" s="799">
        <v>34000</v>
      </c>
      <c r="J1641" s="798">
        <v>9</v>
      </c>
      <c r="K1641" s="799">
        <v>34000</v>
      </c>
      <c r="L1641" s="799">
        <v>100000</v>
      </c>
      <c r="M1641" s="799">
        <f t="shared" si="216"/>
        <v>34000</v>
      </c>
      <c r="N1641" s="798" t="s">
        <v>17348</v>
      </c>
      <c r="O1641" s="800">
        <f t="shared" si="217"/>
        <v>306000</v>
      </c>
      <c r="P1641" s="800">
        <f t="shared" si="218"/>
        <v>900000</v>
      </c>
      <c r="Q1641" s="801">
        <f t="shared" si="219"/>
        <v>306000</v>
      </c>
    </row>
    <row r="1642" spans="1:17" x14ac:dyDescent="0.2">
      <c r="A1642" s="802" t="s">
        <v>19326</v>
      </c>
      <c r="B1642" s="803" t="s">
        <v>18054</v>
      </c>
      <c r="C1642" s="803" t="s">
        <v>13844</v>
      </c>
      <c r="D1642" s="803" t="s">
        <v>19324</v>
      </c>
      <c r="E1642" s="803" t="s">
        <v>18061</v>
      </c>
      <c r="F1642" s="803">
        <v>3</v>
      </c>
      <c r="G1642" s="803" t="s">
        <v>3779</v>
      </c>
      <c r="H1642" s="803" t="s">
        <v>3779</v>
      </c>
      <c r="I1642" s="804">
        <v>36000</v>
      </c>
      <c r="J1642" s="803">
        <v>1</v>
      </c>
      <c r="K1642" s="804">
        <v>36000</v>
      </c>
      <c r="L1642" s="804">
        <v>100000</v>
      </c>
      <c r="M1642" s="804">
        <f t="shared" si="216"/>
        <v>36000</v>
      </c>
      <c r="N1642" s="803" t="s">
        <v>17349</v>
      </c>
      <c r="O1642" s="805">
        <f t="shared" si="217"/>
        <v>36000</v>
      </c>
      <c r="P1642" s="805">
        <f t="shared" si="218"/>
        <v>100000</v>
      </c>
      <c r="Q1642" s="806">
        <f t="shared" si="219"/>
        <v>36000</v>
      </c>
    </row>
    <row r="1643" spans="1:17" x14ac:dyDescent="0.2">
      <c r="A1643" s="797" t="s">
        <v>19327</v>
      </c>
      <c r="B1643" s="798" t="s">
        <v>18054</v>
      </c>
      <c r="C1643" s="798" t="s">
        <v>19328</v>
      </c>
      <c r="D1643" s="798" t="s">
        <v>19329</v>
      </c>
      <c r="E1643" s="798" t="s">
        <v>18054</v>
      </c>
      <c r="F1643" s="798">
        <v>1</v>
      </c>
      <c r="G1643" s="798" t="s">
        <v>1947</v>
      </c>
      <c r="H1643" s="798" t="s">
        <v>1947</v>
      </c>
      <c r="I1643" s="799">
        <v>22000</v>
      </c>
      <c r="J1643" s="798">
        <v>5</v>
      </c>
      <c r="K1643" s="799">
        <v>22000</v>
      </c>
      <c r="L1643" s="799">
        <v>100000</v>
      </c>
      <c r="M1643" s="799">
        <f t="shared" si="216"/>
        <v>22000</v>
      </c>
      <c r="N1643" s="798" t="s">
        <v>17386</v>
      </c>
      <c r="O1643" s="800">
        <f t="shared" si="217"/>
        <v>110000</v>
      </c>
      <c r="P1643" s="800">
        <f t="shared" si="218"/>
        <v>500000</v>
      </c>
      <c r="Q1643" s="801">
        <f t="shared" si="219"/>
        <v>110000</v>
      </c>
    </row>
    <row r="1644" spans="1:17" x14ac:dyDescent="0.2">
      <c r="A1644" s="802" t="s">
        <v>19330</v>
      </c>
      <c r="B1644" s="803" t="s">
        <v>18054</v>
      </c>
      <c r="C1644" s="803" t="s">
        <v>19328</v>
      </c>
      <c r="D1644" s="803" t="s">
        <v>19329</v>
      </c>
      <c r="E1644" s="803" t="s">
        <v>18033</v>
      </c>
      <c r="F1644" s="803">
        <v>2</v>
      </c>
      <c r="G1644" s="803" t="s">
        <v>1947</v>
      </c>
      <c r="H1644" s="803" t="s">
        <v>1947</v>
      </c>
      <c r="I1644" s="804">
        <v>34000</v>
      </c>
      <c r="J1644" s="803">
        <v>5</v>
      </c>
      <c r="K1644" s="804">
        <v>34000</v>
      </c>
      <c r="L1644" s="804">
        <v>100000</v>
      </c>
      <c r="M1644" s="804">
        <f t="shared" si="216"/>
        <v>34000</v>
      </c>
      <c r="N1644" s="803" t="s">
        <v>17387</v>
      </c>
      <c r="O1644" s="805">
        <f t="shared" si="217"/>
        <v>170000</v>
      </c>
      <c r="P1644" s="805">
        <f t="shared" si="218"/>
        <v>500000</v>
      </c>
      <c r="Q1644" s="806">
        <f t="shared" si="219"/>
        <v>170000</v>
      </c>
    </row>
    <row r="1645" spans="1:17" x14ac:dyDescent="0.2">
      <c r="A1645" s="797" t="s">
        <v>19331</v>
      </c>
      <c r="B1645" s="798" t="s">
        <v>18054</v>
      </c>
      <c r="C1645" s="798" t="s">
        <v>19328</v>
      </c>
      <c r="D1645" s="798" t="s">
        <v>19329</v>
      </c>
      <c r="E1645" s="798" t="s">
        <v>18061</v>
      </c>
      <c r="F1645" s="798">
        <v>3</v>
      </c>
      <c r="G1645" s="798" t="s">
        <v>1947</v>
      </c>
      <c r="H1645" s="798" t="s">
        <v>1947</v>
      </c>
      <c r="I1645" s="799">
        <v>36000</v>
      </c>
      <c r="J1645" s="798">
        <v>5</v>
      </c>
      <c r="K1645" s="799">
        <v>36000</v>
      </c>
      <c r="L1645" s="799">
        <v>100000</v>
      </c>
      <c r="M1645" s="799">
        <f t="shared" si="216"/>
        <v>36000</v>
      </c>
      <c r="N1645" s="798" t="s">
        <v>17388</v>
      </c>
      <c r="O1645" s="800">
        <f t="shared" si="217"/>
        <v>180000</v>
      </c>
      <c r="P1645" s="800">
        <f t="shared" si="218"/>
        <v>500000</v>
      </c>
      <c r="Q1645" s="801">
        <f t="shared" si="219"/>
        <v>180000</v>
      </c>
    </row>
    <row r="1646" spans="1:17" x14ac:dyDescent="0.2">
      <c r="A1646" s="802" t="s">
        <v>19332</v>
      </c>
      <c r="B1646" s="803" t="s">
        <v>18054</v>
      </c>
      <c r="C1646" s="803" t="s">
        <v>19328</v>
      </c>
      <c r="D1646" s="803" t="s">
        <v>19333</v>
      </c>
      <c r="E1646" s="803" t="s">
        <v>18054</v>
      </c>
      <c r="F1646" s="803">
        <v>1</v>
      </c>
      <c r="G1646" s="803" t="s">
        <v>122</v>
      </c>
      <c r="H1646" s="803" t="s">
        <v>122</v>
      </c>
      <c r="I1646" s="804">
        <v>22000</v>
      </c>
      <c r="J1646" s="803">
        <v>5</v>
      </c>
      <c r="K1646" s="804">
        <v>22000</v>
      </c>
      <c r="L1646" s="804">
        <v>100000</v>
      </c>
      <c r="M1646" s="804">
        <f t="shared" si="216"/>
        <v>22000</v>
      </c>
      <c r="N1646" s="803" t="s">
        <v>17386</v>
      </c>
      <c r="O1646" s="805">
        <f t="shared" si="217"/>
        <v>110000</v>
      </c>
      <c r="P1646" s="805">
        <f t="shared" si="218"/>
        <v>500000</v>
      </c>
      <c r="Q1646" s="806">
        <f t="shared" si="219"/>
        <v>110000</v>
      </c>
    </row>
    <row r="1647" spans="1:17" x14ac:dyDescent="0.2">
      <c r="A1647" s="797" t="s">
        <v>19334</v>
      </c>
      <c r="B1647" s="798" t="s">
        <v>18054</v>
      </c>
      <c r="C1647" s="798" t="s">
        <v>19328</v>
      </c>
      <c r="D1647" s="798" t="s">
        <v>19333</v>
      </c>
      <c r="E1647" s="798" t="s">
        <v>18033</v>
      </c>
      <c r="F1647" s="798">
        <v>2</v>
      </c>
      <c r="G1647" s="798" t="s">
        <v>122</v>
      </c>
      <c r="H1647" s="798" t="s">
        <v>122</v>
      </c>
      <c r="I1647" s="799">
        <v>34000</v>
      </c>
      <c r="J1647" s="798">
        <v>5</v>
      </c>
      <c r="K1647" s="799">
        <v>34000</v>
      </c>
      <c r="L1647" s="799">
        <v>100000</v>
      </c>
      <c r="M1647" s="799">
        <f t="shared" si="216"/>
        <v>34000</v>
      </c>
      <c r="N1647" s="798" t="s">
        <v>17387</v>
      </c>
      <c r="O1647" s="800">
        <f t="shared" si="217"/>
        <v>170000</v>
      </c>
      <c r="P1647" s="800">
        <f t="shared" si="218"/>
        <v>500000</v>
      </c>
      <c r="Q1647" s="801">
        <f t="shared" si="219"/>
        <v>170000</v>
      </c>
    </row>
    <row r="1648" spans="1:17" x14ac:dyDescent="0.2">
      <c r="A1648" s="802" t="s">
        <v>19335</v>
      </c>
      <c r="B1648" s="803" t="s">
        <v>18054</v>
      </c>
      <c r="C1648" s="803" t="s">
        <v>19328</v>
      </c>
      <c r="D1648" s="803" t="s">
        <v>19333</v>
      </c>
      <c r="E1648" s="803" t="s">
        <v>18061</v>
      </c>
      <c r="F1648" s="803">
        <v>3</v>
      </c>
      <c r="G1648" s="803" t="s">
        <v>122</v>
      </c>
      <c r="H1648" s="803" t="s">
        <v>122</v>
      </c>
      <c r="I1648" s="804">
        <v>36000</v>
      </c>
      <c r="J1648" s="803">
        <v>5</v>
      </c>
      <c r="K1648" s="804">
        <v>36000</v>
      </c>
      <c r="L1648" s="804">
        <v>100000</v>
      </c>
      <c r="M1648" s="804">
        <f t="shared" si="216"/>
        <v>36000</v>
      </c>
      <c r="N1648" s="803" t="s">
        <v>17388</v>
      </c>
      <c r="O1648" s="805">
        <f t="shared" si="217"/>
        <v>180000</v>
      </c>
      <c r="P1648" s="805">
        <f t="shared" si="218"/>
        <v>500000</v>
      </c>
      <c r="Q1648" s="806">
        <f t="shared" si="219"/>
        <v>180000</v>
      </c>
    </row>
    <row r="1649" spans="1:17" x14ac:dyDescent="0.2">
      <c r="A1649" s="797" t="s">
        <v>19336</v>
      </c>
      <c r="B1649" s="798" t="s">
        <v>18054</v>
      </c>
      <c r="C1649" s="798" t="s">
        <v>19328</v>
      </c>
      <c r="D1649" s="798" t="s">
        <v>19337</v>
      </c>
      <c r="E1649" s="798" t="s">
        <v>18054</v>
      </c>
      <c r="F1649" s="798">
        <v>1</v>
      </c>
      <c r="G1649" s="798" t="s">
        <v>1103</v>
      </c>
      <c r="H1649" s="798" t="s">
        <v>1103</v>
      </c>
      <c r="I1649" s="799">
        <v>22000</v>
      </c>
      <c r="J1649" s="798">
        <v>5</v>
      </c>
      <c r="K1649" s="799">
        <v>22000</v>
      </c>
      <c r="L1649" s="799">
        <v>100000</v>
      </c>
      <c r="M1649" s="799">
        <f t="shared" si="216"/>
        <v>22000</v>
      </c>
      <c r="N1649" s="798" t="s">
        <v>17386</v>
      </c>
      <c r="O1649" s="800">
        <f t="shared" si="217"/>
        <v>110000</v>
      </c>
      <c r="P1649" s="800">
        <f t="shared" si="218"/>
        <v>500000</v>
      </c>
      <c r="Q1649" s="801">
        <f t="shared" si="219"/>
        <v>110000</v>
      </c>
    </row>
    <row r="1650" spans="1:17" x14ac:dyDescent="0.2">
      <c r="A1650" s="802" t="s">
        <v>19338</v>
      </c>
      <c r="B1650" s="803" t="s">
        <v>18054</v>
      </c>
      <c r="C1650" s="803" t="s">
        <v>19328</v>
      </c>
      <c r="D1650" s="803" t="s">
        <v>19337</v>
      </c>
      <c r="E1650" s="803" t="s">
        <v>18033</v>
      </c>
      <c r="F1650" s="803">
        <v>2</v>
      </c>
      <c r="G1650" s="803" t="s">
        <v>1103</v>
      </c>
      <c r="H1650" s="803" t="s">
        <v>1103</v>
      </c>
      <c r="I1650" s="804">
        <v>34000</v>
      </c>
      <c r="J1650" s="803">
        <v>5</v>
      </c>
      <c r="K1650" s="804">
        <v>34000</v>
      </c>
      <c r="L1650" s="804">
        <v>100000</v>
      </c>
      <c r="M1650" s="804">
        <f t="shared" ref="M1650:M1713" si="220">+I1650</f>
        <v>34000</v>
      </c>
      <c r="N1650" s="803" t="s">
        <v>17387</v>
      </c>
      <c r="O1650" s="805">
        <f t="shared" si="217"/>
        <v>170000</v>
      </c>
      <c r="P1650" s="805">
        <f t="shared" si="218"/>
        <v>500000</v>
      </c>
      <c r="Q1650" s="806">
        <f t="shared" si="219"/>
        <v>170000</v>
      </c>
    </row>
    <row r="1651" spans="1:17" x14ac:dyDescent="0.2">
      <c r="A1651" s="797" t="s">
        <v>19339</v>
      </c>
      <c r="B1651" s="798" t="s">
        <v>18054</v>
      </c>
      <c r="C1651" s="798" t="s">
        <v>19328</v>
      </c>
      <c r="D1651" s="798" t="s">
        <v>19337</v>
      </c>
      <c r="E1651" s="798" t="s">
        <v>18061</v>
      </c>
      <c r="F1651" s="798">
        <v>3</v>
      </c>
      <c r="G1651" s="798" t="s">
        <v>1103</v>
      </c>
      <c r="H1651" s="798" t="s">
        <v>1103</v>
      </c>
      <c r="I1651" s="799">
        <v>36000</v>
      </c>
      <c r="J1651" s="798">
        <v>5</v>
      </c>
      <c r="K1651" s="799">
        <v>36000</v>
      </c>
      <c r="L1651" s="799">
        <v>100000</v>
      </c>
      <c r="M1651" s="799">
        <f t="shared" si="220"/>
        <v>36000</v>
      </c>
      <c r="N1651" s="798" t="s">
        <v>17388</v>
      </c>
      <c r="O1651" s="800">
        <f t="shared" si="217"/>
        <v>180000</v>
      </c>
      <c r="P1651" s="800">
        <f t="shared" si="218"/>
        <v>500000</v>
      </c>
      <c r="Q1651" s="801">
        <f t="shared" si="219"/>
        <v>180000</v>
      </c>
    </row>
    <row r="1652" spans="1:17" x14ac:dyDescent="0.2">
      <c r="A1652" s="802" t="s">
        <v>19340</v>
      </c>
      <c r="B1652" s="803" t="s">
        <v>18054</v>
      </c>
      <c r="C1652" s="803" t="s">
        <v>19328</v>
      </c>
      <c r="D1652" s="803" t="s">
        <v>19341</v>
      </c>
      <c r="E1652" s="803" t="s">
        <v>18054</v>
      </c>
      <c r="F1652" s="803">
        <v>1</v>
      </c>
      <c r="G1652" s="803" t="s">
        <v>2837</v>
      </c>
      <c r="H1652" s="803" t="s">
        <v>2837</v>
      </c>
      <c r="I1652" s="804">
        <v>22000</v>
      </c>
      <c r="J1652" s="803">
        <v>5</v>
      </c>
      <c r="K1652" s="804">
        <v>22000</v>
      </c>
      <c r="L1652" s="804">
        <v>100000</v>
      </c>
      <c r="M1652" s="804">
        <f t="shared" si="220"/>
        <v>22000</v>
      </c>
      <c r="N1652" s="803" t="s">
        <v>17386</v>
      </c>
      <c r="O1652" s="805">
        <f t="shared" si="217"/>
        <v>110000</v>
      </c>
      <c r="P1652" s="805">
        <f t="shared" si="218"/>
        <v>500000</v>
      </c>
      <c r="Q1652" s="806">
        <f t="shared" si="219"/>
        <v>110000</v>
      </c>
    </row>
    <row r="1653" spans="1:17" x14ac:dyDescent="0.2">
      <c r="A1653" s="797" t="s">
        <v>19342</v>
      </c>
      <c r="B1653" s="798" t="s">
        <v>18054</v>
      </c>
      <c r="C1653" s="798" t="s">
        <v>19328</v>
      </c>
      <c r="D1653" s="798" t="s">
        <v>19341</v>
      </c>
      <c r="E1653" s="798" t="s">
        <v>18033</v>
      </c>
      <c r="F1653" s="798">
        <v>2</v>
      </c>
      <c r="G1653" s="798" t="s">
        <v>2837</v>
      </c>
      <c r="H1653" s="798" t="s">
        <v>2837</v>
      </c>
      <c r="I1653" s="799">
        <v>34000</v>
      </c>
      <c r="J1653" s="798">
        <v>5</v>
      </c>
      <c r="K1653" s="799">
        <v>34000</v>
      </c>
      <c r="L1653" s="799">
        <v>100000</v>
      </c>
      <c r="M1653" s="799">
        <f t="shared" si="220"/>
        <v>34000</v>
      </c>
      <c r="N1653" s="798" t="s">
        <v>17387</v>
      </c>
      <c r="O1653" s="800">
        <f t="shared" si="217"/>
        <v>170000</v>
      </c>
      <c r="P1653" s="800">
        <f t="shared" si="218"/>
        <v>500000</v>
      </c>
      <c r="Q1653" s="801">
        <f t="shared" si="219"/>
        <v>170000</v>
      </c>
    </row>
    <row r="1654" spans="1:17" x14ac:dyDescent="0.2">
      <c r="A1654" s="802" t="s">
        <v>19343</v>
      </c>
      <c r="B1654" s="803" t="s">
        <v>18054</v>
      </c>
      <c r="C1654" s="803" t="s">
        <v>19328</v>
      </c>
      <c r="D1654" s="803" t="s">
        <v>19341</v>
      </c>
      <c r="E1654" s="803" t="s">
        <v>18061</v>
      </c>
      <c r="F1654" s="803">
        <v>3</v>
      </c>
      <c r="G1654" s="803" t="s">
        <v>2837</v>
      </c>
      <c r="H1654" s="803" t="s">
        <v>2837</v>
      </c>
      <c r="I1654" s="804">
        <v>36000</v>
      </c>
      <c r="J1654" s="803">
        <v>5</v>
      </c>
      <c r="K1654" s="804">
        <v>36000</v>
      </c>
      <c r="L1654" s="804">
        <v>100000</v>
      </c>
      <c r="M1654" s="804">
        <f t="shared" si="220"/>
        <v>36000</v>
      </c>
      <c r="N1654" s="803" t="s">
        <v>17388</v>
      </c>
      <c r="O1654" s="805">
        <f t="shared" si="217"/>
        <v>180000</v>
      </c>
      <c r="P1654" s="805">
        <f t="shared" si="218"/>
        <v>500000</v>
      </c>
      <c r="Q1654" s="806">
        <f t="shared" si="219"/>
        <v>180000</v>
      </c>
    </row>
    <row r="1655" spans="1:17" x14ac:dyDescent="0.2">
      <c r="A1655" s="797" t="s">
        <v>19344</v>
      </c>
      <c r="B1655" s="798" t="s">
        <v>18054</v>
      </c>
      <c r="C1655" s="798" t="s">
        <v>19328</v>
      </c>
      <c r="D1655" s="798" t="s">
        <v>19345</v>
      </c>
      <c r="E1655" s="798" t="s">
        <v>18054</v>
      </c>
      <c r="F1655" s="798">
        <v>1</v>
      </c>
      <c r="G1655" s="798" t="s">
        <v>3779</v>
      </c>
      <c r="H1655" s="798" t="s">
        <v>3779</v>
      </c>
      <c r="I1655" s="799">
        <v>22000</v>
      </c>
      <c r="J1655" s="798">
        <v>5</v>
      </c>
      <c r="K1655" s="799">
        <v>22000</v>
      </c>
      <c r="L1655" s="799">
        <v>100000</v>
      </c>
      <c r="M1655" s="799">
        <f t="shared" si="220"/>
        <v>22000</v>
      </c>
      <c r="N1655" s="798" t="s">
        <v>17386</v>
      </c>
      <c r="O1655" s="800">
        <f t="shared" si="217"/>
        <v>110000</v>
      </c>
      <c r="P1655" s="800">
        <f t="shared" si="218"/>
        <v>500000</v>
      </c>
      <c r="Q1655" s="801">
        <f t="shared" si="219"/>
        <v>110000</v>
      </c>
    </row>
    <row r="1656" spans="1:17" x14ac:dyDescent="0.2">
      <c r="A1656" s="802" t="s">
        <v>19346</v>
      </c>
      <c r="B1656" s="803" t="s">
        <v>18054</v>
      </c>
      <c r="C1656" s="803" t="s">
        <v>19328</v>
      </c>
      <c r="D1656" s="803" t="s">
        <v>19345</v>
      </c>
      <c r="E1656" s="803" t="s">
        <v>18033</v>
      </c>
      <c r="F1656" s="803">
        <v>2</v>
      </c>
      <c r="G1656" s="803" t="s">
        <v>3779</v>
      </c>
      <c r="H1656" s="803" t="s">
        <v>3779</v>
      </c>
      <c r="I1656" s="804">
        <v>34000</v>
      </c>
      <c r="J1656" s="803">
        <v>5</v>
      </c>
      <c r="K1656" s="804">
        <v>34000</v>
      </c>
      <c r="L1656" s="804">
        <v>100000</v>
      </c>
      <c r="M1656" s="804">
        <f t="shared" si="220"/>
        <v>34000</v>
      </c>
      <c r="N1656" s="803" t="s">
        <v>17387</v>
      </c>
      <c r="O1656" s="805">
        <f t="shared" si="217"/>
        <v>170000</v>
      </c>
      <c r="P1656" s="805">
        <f t="shared" si="218"/>
        <v>500000</v>
      </c>
      <c r="Q1656" s="806">
        <f t="shared" si="219"/>
        <v>170000</v>
      </c>
    </row>
    <row r="1657" spans="1:17" x14ac:dyDescent="0.2">
      <c r="A1657" s="797" t="s">
        <v>19347</v>
      </c>
      <c r="B1657" s="798" t="s">
        <v>18054</v>
      </c>
      <c r="C1657" s="798" t="s">
        <v>19328</v>
      </c>
      <c r="D1657" s="798" t="s">
        <v>19345</v>
      </c>
      <c r="E1657" s="798" t="s">
        <v>18061</v>
      </c>
      <c r="F1657" s="798">
        <v>3</v>
      </c>
      <c r="G1657" s="798" t="s">
        <v>3779</v>
      </c>
      <c r="H1657" s="798" t="s">
        <v>3779</v>
      </c>
      <c r="I1657" s="799">
        <v>36000</v>
      </c>
      <c r="J1657" s="798">
        <v>5</v>
      </c>
      <c r="K1657" s="799">
        <v>36000</v>
      </c>
      <c r="L1657" s="799">
        <v>100000</v>
      </c>
      <c r="M1657" s="799">
        <f t="shared" si="220"/>
        <v>36000</v>
      </c>
      <c r="N1657" s="798" t="s">
        <v>17388</v>
      </c>
      <c r="O1657" s="800">
        <f t="shared" si="217"/>
        <v>180000</v>
      </c>
      <c r="P1657" s="800">
        <f t="shared" si="218"/>
        <v>500000</v>
      </c>
      <c r="Q1657" s="801">
        <f t="shared" si="219"/>
        <v>180000</v>
      </c>
    </row>
    <row r="1658" spans="1:17" x14ac:dyDescent="0.2">
      <c r="A1658" s="802" t="s">
        <v>19348</v>
      </c>
      <c r="B1658" s="803" t="s">
        <v>18054</v>
      </c>
      <c r="C1658" s="803" t="s">
        <v>19287</v>
      </c>
      <c r="D1658" s="803" t="s">
        <v>19349</v>
      </c>
      <c r="E1658" s="803" t="s">
        <v>19350</v>
      </c>
      <c r="F1658" s="803">
        <v>1</v>
      </c>
      <c r="G1658" s="803" t="s">
        <v>1947</v>
      </c>
      <c r="H1658" s="803" t="s">
        <v>122</v>
      </c>
      <c r="I1658" s="804">
        <v>38000</v>
      </c>
      <c r="J1658" s="803">
        <v>3</v>
      </c>
      <c r="K1658" s="804">
        <v>38000</v>
      </c>
      <c r="L1658" s="804">
        <v>100000</v>
      </c>
      <c r="M1658" s="804">
        <f t="shared" si="220"/>
        <v>38000</v>
      </c>
      <c r="N1658" s="803" t="s">
        <v>19351</v>
      </c>
      <c r="O1658" s="805">
        <f t="shared" si="217"/>
        <v>114000</v>
      </c>
      <c r="P1658" s="805">
        <f t="shared" si="218"/>
        <v>300000</v>
      </c>
      <c r="Q1658" s="806">
        <f t="shared" si="219"/>
        <v>114000</v>
      </c>
    </row>
    <row r="1659" spans="1:17" x14ac:dyDescent="0.2">
      <c r="A1659" s="797" t="s">
        <v>19352</v>
      </c>
      <c r="B1659" s="798" t="s">
        <v>18054</v>
      </c>
      <c r="C1659" s="798" t="s">
        <v>19287</v>
      </c>
      <c r="D1659" s="798" t="s">
        <v>19353</v>
      </c>
      <c r="E1659" s="798" t="s">
        <v>19350</v>
      </c>
      <c r="F1659" s="798">
        <v>1</v>
      </c>
      <c r="G1659" s="798" t="s">
        <v>1103</v>
      </c>
      <c r="H1659" s="798" t="s">
        <v>1947</v>
      </c>
      <c r="I1659" s="799">
        <v>38000</v>
      </c>
      <c r="J1659" s="798">
        <v>3</v>
      </c>
      <c r="K1659" s="799">
        <v>38000</v>
      </c>
      <c r="L1659" s="799">
        <v>100000</v>
      </c>
      <c r="M1659" s="799">
        <f t="shared" si="220"/>
        <v>38000</v>
      </c>
      <c r="N1659" s="798" t="s">
        <v>19351</v>
      </c>
      <c r="O1659" s="800">
        <f t="shared" si="217"/>
        <v>114000</v>
      </c>
      <c r="P1659" s="800">
        <f t="shared" si="218"/>
        <v>300000</v>
      </c>
      <c r="Q1659" s="801">
        <f t="shared" si="219"/>
        <v>114000</v>
      </c>
    </row>
    <row r="1660" spans="1:17" x14ac:dyDescent="0.2">
      <c r="A1660" s="802" t="s">
        <v>19354</v>
      </c>
      <c r="B1660" s="803" t="s">
        <v>18054</v>
      </c>
      <c r="C1660" s="803" t="s">
        <v>19287</v>
      </c>
      <c r="D1660" s="803" t="s">
        <v>19355</v>
      </c>
      <c r="E1660" s="803" t="s">
        <v>19350</v>
      </c>
      <c r="F1660" s="803">
        <v>1</v>
      </c>
      <c r="G1660" s="803" t="s">
        <v>122</v>
      </c>
      <c r="H1660" s="803" t="s">
        <v>1103</v>
      </c>
      <c r="I1660" s="804">
        <v>38000</v>
      </c>
      <c r="J1660" s="803">
        <v>3</v>
      </c>
      <c r="K1660" s="804">
        <v>38000</v>
      </c>
      <c r="L1660" s="804">
        <v>100000</v>
      </c>
      <c r="M1660" s="804">
        <f t="shared" si="220"/>
        <v>38000</v>
      </c>
      <c r="N1660" s="803" t="s">
        <v>19351</v>
      </c>
      <c r="O1660" s="805">
        <f t="shared" si="217"/>
        <v>114000</v>
      </c>
      <c r="P1660" s="805">
        <f t="shared" si="218"/>
        <v>300000</v>
      </c>
      <c r="Q1660" s="806">
        <f t="shared" si="219"/>
        <v>114000</v>
      </c>
    </row>
    <row r="1661" spans="1:17" x14ac:dyDescent="0.2">
      <c r="A1661" s="797" t="s">
        <v>19356</v>
      </c>
      <c r="B1661" s="798" t="s">
        <v>18054</v>
      </c>
      <c r="C1661" s="798" t="s">
        <v>19287</v>
      </c>
      <c r="D1661" s="798" t="s">
        <v>19357</v>
      </c>
      <c r="E1661" s="798" t="s">
        <v>19350</v>
      </c>
      <c r="F1661" s="798">
        <v>1</v>
      </c>
      <c r="G1661" s="798" t="s">
        <v>2837</v>
      </c>
      <c r="H1661" s="798" t="s">
        <v>3779</v>
      </c>
      <c r="I1661" s="799">
        <v>38000</v>
      </c>
      <c r="J1661" s="798">
        <v>3</v>
      </c>
      <c r="K1661" s="799">
        <v>38000</v>
      </c>
      <c r="L1661" s="799">
        <v>100000</v>
      </c>
      <c r="M1661" s="799">
        <f t="shared" si="220"/>
        <v>38000</v>
      </c>
      <c r="N1661" s="798" t="s">
        <v>19351</v>
      </c>
      <c r="O1661" s="800">
        <f t="shared" si="217"/>
        <v>114000</v>
      </c>
      <c r="P1661" s="800">
        <f t="shared" si="218"/>
        <v>300000</v>
      </c>
      <c r="Q1661" s="801">
        <f t="shared" si="219"/>
        <v>114000</v>
      </c>
    </row>
    <row r="1662" spans="1:17" x14ac:dyDescent="0.2">
      <c r="A1662" s="802" t="s">
        <v>19358</v>
      </c>
      <c r="B1662" s="803" t="s">
        <v>18054</v>
      </c>
      <c r="C1662" s="803" t="s">
        <v>19287</v>
      </c>
      <c r="D1662" s="803" t="s">
        <v>19359</v>
      </c>
      <c r="E1662" s="803" t="s">
        <v>19350</v>
      </c>
      <c r="F1662" s="803">
        <v>1</v>
      </c>
      <c r="G1662" s="803" t="s">
        <v>3779</v>
      </c>
      <c r="H1662" s="803" t="s">
        <v>2837</v>
      </c>
      <c r="I1662" s="804">
        <v>38000</v>
      </c>
      <c r="J1662" s="803">
        <v>3</v>
      </c>
      <c r="K1662" s="804">
        <v>38000</v>
      </c>
      <c r="L1662" s="804">
        <v>100000</v>
      </c>
      <c r="M1662" s="804">
        <f t="shared" si="220"/>
        <v>38000</v>
      </c>
      <c r="N1662" s="803" t="s">
        <v>19351</v>
      </c>
      <c r="O1662" s="805">
        <f t="shared" si="217"/>
        <v>114000</v>
      </c>
      <c r="P1662" s="805">
        <f t="shared" si="218"/>
        <v>300000</v>
      </c>
      <c r="Q1662" s="806">
        <f t="shared" si="219"/>
        <v>114000</v>
      </c>
    </row>
    <row r="1663" spans="1:17" x14ac:dyDescent="0.2">
      <c r="A1663" s="797" t="s">
        <v>19360</v>
      </c>
      <c r="B1663" s="798" t="s">
        <v>18054</v>
      </c>
      <c r="C1663" s="798" t="s">
        <v>19361</v>
      </c>
      <c r="D1663" s="798" t="s">
        <v>19362</v>
      </c>
      <c r="E1663" s="798" t="s">
        <v>18019</v>
      </c>
      <c r="F1663" s="798">
        <v>1</v>
      </c>
      <c r="G1663" s="798" t="s">
        <v>10772</v>
      </c>
      <c r="H1663" s="798" t="s">
        <v>17824</v>
      </c>
      <c r="I1663" s="799">
        <v>40000</v>
      </c>
      <c r="J1663" s="798">
        <v>10</v>
      </c>
      <c r="K1663" s="799">
        <v>100000</v>
      </c>
      <c r="L1663" s="799">
        <v>100000</v>
      </c>
      <c r="M1663" s="799">
        <f t="shared" si="220"/>
        <v>40000</v>
      </c>
      <c r="N1663" s="798" t="s">
        <v>15620</v>
      </c>
      <c r="O1663" s="800">
        <f t="shared" si="217"/>
        <v>1000000</v>
      </c>
      <c r="P1663" s="800">
        <f t="shared" si="218"/>
        <v>1000000</v>
      </c>
      <c r="Q1663" s="801">
        <f t="shared" si="219"/>
        <v>400000</v>
      </c>
    </row>
    <row r="1664" spans="1:17" x14ac:dyDescent="0.2">
      <c r="A1664" s="802" t="s">
        <v>19363</v>
      </c>
      <c r="B1664" s="803" t="s">
        <v>18054</v>
      </c>
      <c r="C1664" s="803" t="s">
        <v>13844</v>
      </c>
      <c r="D1664" s="803" t="s">
        <v>19364</v>
      </c>
      <c r="E1664" s="803" t="s">
        <v>19350</v>
      </c>
      <c r="F1664" s="803">
        <v>1</v>
      </c>
      <c r="G1664" s="803" t="s">
        <v>1947</v>
      </c>
      <c r="H1664" s="803" t="s">
        <v>1947</v>
      </c>
      <c r="I1664" s="804">
        <v>38000</v>
      </c>
      <c r="J1664" s="803">
        <v>1</v>
      </c>
      <c r="K1664" s="804">
        <v>38000</v>
      </c>
      <c r="L1664" s="804">
        <v>100000</v>
      </c>
      <c r="M1664" s="804">
        <f t="shared" si="220"/>
        <v>38000</v>
      </c>
      <c r="N1664" s="803" t="s">
        <v>10772</v>
      </c>
      <c r="O1664" s="805">
        <f t="shared" si="217"/>
        <v>38000</v>
      </c>
      <c r="P1664" s="805">
        <f t="shared" si="218"/>
        <v>100000</v>
      </c>
      <c r="Q1664" s="806">
        <f t="shared" si="219"/>
        <v>38000</v>
      </c>
    </row>
    <row r="1665" spans="1:17" x14ac:dyDescent="0.2">
      <c r="A1665" s="797" t="s">
        <v>19365</v>
      </c>
      <c r="B1665" s="798" t="s">
        <v>18054</v>
      </c>
      <c r="C1665" s="798" t="s">
        <v>13844</v>
      </c>
      <c r="D1665" s="798" t="s">
        <v>19366</v>
      </c>
      <c r="E1665" s="798" t="s">
        <v>19350</v>
      </c>
      <c r="F1665" s="798">
        <v>1</v>
      </c>
      <c r="G1665" s="798" t="s">
        <v>1103</v>
      </c>
      <c r="H1665" s="798" t="s">
        <v>1103</v>
      </c>
      <c r="I1665" s="799">
        <v>38000</v>
      </c>
      <c r="J1665" s="798">
        <v>1</v>
      </c>
      <c r="K1665" s="799">
        <v>38000</v>
      </c>
      <c r="L1665" s="799">
        <v>100000</v>
      </c>
      <c r="M1665" s="799">
        <f t="shared" si="220"/>
        <v>38000</v>
      </c>
      <c r="N1665" s="798" t="s">
        <v>10772</v>
      </c>
      <c r="O1665" s="800">
        <f t="shared" si="217"/>
        <v>38000</v>
      </c>
      <c r="P1665" s="800">
        <f t="shared" si="218"/>
        <v>100000</v>
      </c>
      <c r="Q1665" s="801">
        <f t="shared" si="219"/>
        <v>38000</v>
      </c>
    </row>
    <row r="1666" spans="1:17" x14ac:dyDescent="0.2">
      <c r="A1666" s="802" t="s">
        <v>19367</v>
      </c>
      <c r="B1666" s="803" t="s">
        <v>18054</v>
      </c>
      <c r="C1666" s="803" t="s">
        <v>13844</v>
      </c>
      <c r="D1666" s="803" t="s">
        <v>19368</v>
      </c>
      <c r="E1666" s="803" t="s">
        <v>19350</v>
      </c>
      <c r="F1666" s="803">
        <v>1</v>
      </c>
      <c r="G1666" s="803" t="s">
        <v>122</v>
      </c>
      <c r="H1666" s="803" t="s">
        <v>122</v>
      </c>
      <c r="I1666" s="804">
        <v>38000</v>
      </c>
      <c r="J1666" s="803">
        <v>1</v>
      </c>
      <c r="K1666" s="804">
        <v>38000</v>
      </c>
      <c r="L1666" s="804">
        <v>100000</v>
      </c>
      <c r="M1666" s="804">
        <f t="shared" si="220"/>
        <v>38000</v>
      </c>
      <c r="N1666" s="803" t="s">
        <v>10772</v>
      </c>
      <c r="O1666" s="805">
        <f t="shared" ref="O1666:O1729" si="221">+J1666*K1666</f>
        <v>38000</v>
      </c>
      <c r="P1666" s="805">
        <f t="shared" ref="P1666:P1729" si="222">+J1666*L1666</f>
        <v>100000</v>
      </c>
      <c r="Q1666" s="806">
        <f t="shared" ref="Q1666:Q1729" si="223">+J1666*M1666</f>
        <v>38000</v>
      </c>
    </row>
    <row r="1667" spans="1:17" x14ac:dyDescent="0.2">
      <c r="A1667" s="797" t="s">
        <v>19369</v>
      </c>
      <c r="B1667" s="798" t="s">
        <v>18054</v>
      </c>
      <c r="C1667" s="798" t="s">
        <v>13844</v>
      </c>
      <c r="D1667" s="798" t="s">
        <v>19370</v>
      </c>
      <c r="E1667" s="798" t="s">
        <v>19350</v>
      </c>
      <c r="F1667" s="798">
        <v>1</v>
      </c>
      <c r="G1667" s="798" t="s">
        <v>2837</v>
      </c>
      <c r="H1667" s="798" t="s">
        <v>2837</v>
      </c>
      <c r="I1667" s="799">
        <v>38000</v>
      </c>
      <c r="J1667" s="798">
        <v>1</v>
      </c>
      <c r="K1667" s="799">
        <v>38000</v>
      </c>
      <c r="L1667" s="799">
        <v>100000</v>
      </c>
      <c r="M1667" s="799">
        <f t="shared" si="220"/>
        <v>38000</v>
      </c>
      <c r="N1667" s="798" t="s">
        <v>10772</v>
      </c>
      <c r="O1667" s="800">
        <f t="shared" si="221"/>
        <v>38000</v>
      </c>
      <c r="P1667" s="800">
        <f t="shared" si="222"/>
        <v>100000</v>
      </c>
      <c r="Q1667" s="801">
        <f t="shared" si="223"/>
        <v>38000</v>
      </c>
    </row>
    <row r="1668" spans="1:17" x14ac:dyDescent="0.2">
      <c r="A1668" s="802" t="s">
        <v>19371</v>
      </c>
      <c r="B1668" s="803" t="s">
        <v>18054</v>
      </c>
      <c r="C1668" s="803" t="s">
        <v>13844</v>
      </c>
      <c r="D1668" s="803" t="s">
        <v>19372</v>
      </c>
      <c r="E1668" s="803" t="s">
        <v>19350</v>
      </c>
      <c r="F1668" s="803">
        <v>1</v>
      </c>
      <c r="G1668" s="803" t="s">
        <v>3779</v>
      </c>
      <c r="H1668" s="803" t="s">
        <v>3779</v>
      </c>
      <c r="I1668" s="804">
        <v>38000</v>
      </c>
      <c r="J1668" s="803">
        <v>1</v>
      </c>
      <c r="K1668" s="804">
        <v>38000</v>
      </c>
      <c r="L1668" s="804">
        <v>100000</v>
      </c>
      <c r="M1668" s="804">
        <f t="shared" si="220"/>
        <v>38000</v>
      </c>
      <c r="N1668" s="803" t="s">
        <v>10772</v>
      </c>
      <c r="O1668" s="805">
        <f t="shared" si="221"/>
        <v>38000</v>
      </c>
      <c r="P1668" s="805">
        <f t="shared" si="222"/>
        <v>100000</v>
      </c>
      <c r="Q1668" s="806">
        <f t="shared" si="223"/>
        <v>38000</v>
      </c>
    </row>
    <row r="1669" spans="1:17" x14ac:dyDescent="0.2">
      <c r="A1669" s="797" t="s">
        <v>19373</v>
      </c>
      <c r="B1669" s="798" t="s">
        <v>18054</v>
      </c>
      <c r="C1669" s="798" t="s">
        <v>19374</v>
      </c>
      <c r="D1669" s="798" t="s">
        <v>19375</v>
      </c>
      <c r="E1669" s="798" t="s">
        <v>18019</v>
      </c>
      <c r="F1669" s="798">
        <v>1</v>
      </c>
      <c r="G1669" s="798" t="s">
        <v>122</v>
      </c>
      <c r="H1669" s="798" t="s">
        <v>122</v>
      </c>
      <c r="I1669" s="799">
        <v>9000</v>
      </c>
      <c r="J1669" s="798">
        <v>5</v>
      </c>
      <c r="K1669" s="799">
        <f t="shared" ref="K1669:K1712" si="224">+I1669</f>
        <v>9000</v>
      </c>
      <c r="L1669" s="799">
        <f t="shared" ref="L1669:L1712" si="225">+I1669</f>
        <v>9000</v>
      </c>
      <c r="M1669" s="799">
        <f t="shared" si="220"/>
        <v>9000</v>
      </c>
      <c r="N1669" s="798" t="s">
        <v>19376</v>
      </c>
      <c r="O1669" s="800">
        <f t="shared" si="221"/>
        <v>45000</v>
      </c>
      <c r="P1669" s="800">
        <f t="shared" si="222"/>
        <v>45000</v>
      </c>
      <c r="Q1669" s="801">
        <f t="shared" si="223"/>
        <v>45000</v>
      </c>
    </row>
    <row r="1670" spans="1:17" x14ac:dyDescent="0.2">
      <c r="A1670" s="802" t="s">
        <v>19377</v>
      </c>
      <c r="B1670" s="803" t="s">
        <v>18054</v>
      </c>
      <c r="C1670" s="803" t="s">
        <v>19374</v>
      </c>
      <c r="D1670" s="803" t="s">
        <v>19378</v>
      </c>
      <c r="E1670" s="803" t="s">
        <v>18019</v>
      </c>
      <c r="F1670" s="803">
        <v>1</v>
      </c>
      <c r="G1670" s="803" t="s">
        <v>1103</v>
      </c>
      <c r="H1670" s="803" t="s">
        <v>1103</v>
      </c>
      <c r="I1670" s="804">
        <v>9000</v>
      </c>
      <c r="J1670" s="803">
        <v>5</v>
      </c>
      <c r="K1670" s="804">
        <f t="shared" si="224"/>
        <v>9000</v>
      </c>
      <c r="L1670" s="804">
        <f t="shared" si="225"/>
        <v>9000</v>
      </c>
      <c r="M1670" s="804">
        <f t="shared" si="220"/>
        <v>9000</v>
      </c>
      <c r="N1670" s="803" t="s">
        <v>19376</v>
      </c>
      <c r="O1670" s="805">
        <f t="shared" si="221"/>
        <v>45000</v>
      </c>
      <c r="P1670" s="805">
        <f t="shared" si="222"/>
        <v>45000</v>
      </c>
      <c r="Q1670" s="806">
        <f t="shared" si="223"/>
        <v>45000</v>
      </c>
    </row>
    <row r="1671" spans="1:17" x14ac:dyDescent="0.2">
      <c r="A1671" s="797" t="s">
        <v>19379</v>
      </c>
      <c r="B1671" s="798" t="s">
        <v>18054</v>
      </c>
      <c r="C1671" s="798" t="s">
        <v>19374</v>
      </c>
      <c r="D1671" s="798" t="s">
        <v>19380</v>
      </c>
      <c r="E1671" s="798" t="s">
        <v>18019</v>
      </c>
      <c r="F1671" s="798">
        <v>1</v>
      </c>
      <c r="G1671" s="798" t="s">
        <v>2837</v>
      </c>
      <c r="H1671" s="798" t="s">
        <v>2837</v>
      </c>
      <c r="I1671" s="799">
        <v>9000</v>
      </c>
      <c r="J1671" s="798">
        <v>5</v>
      </c>
      <c r="K1671" s="799">
        <f t="shared" si="224"/>
        <v>9000</v>
      </c>
      <c r="L1671" s="799">
        <f t="shared" si="225"/>
        <v>9000</v>
      </c>
      <c r="M1671" s="799">
        <f t="shared" si="220"/>
        <v>9000</v>
      </c>
      <c r="N1671" s="798" t="s">
        <v>19376</v>
      </c>
      <c r="O1671" s="800">
        <f t="shared" si="221"/>
        <v>45000</v>
      </c>
      <c r="P1671" s="800">
        <f t="shared" si="222"/>
        <v>45000</v>
      </c>
      <c r="Q1671" s="801">
        <f t="shared" si="223"/>
        <v>45000</v>
      </c>
    </row>
    <row r="1672" spans="1:17" x14ac:dyDescent="0.2">
      <c r="A1672" s="802" t="s">
        <v>19381</v>
      </c>
      <c r="B1672" s="803" t="s">
        <v>18054</v>
      </c>
      <c r="C1672" s="803" t="s">
        <v>19374</v>
      </c>
      <c r="D1672" s="803" t="s">
        <v>19382</v>
      </c>
      <c r="E1672" s="803" t="s">
        <v>18019</v>
      </c>
      <c r="F1672" s="803">
        <v>1</v>
      </c>
      <c r="G1672" s="803" t="s">
        <v>3779</v>
      </c>
      <c r="H1672" s="803" t="s">
        <v>3779</v>
      </c>
      <c r="I1672" s="804">
        <v>9000</v>
      </c>
      <c r="J1672" s="803">
        <v>5</v>
      </c>
      <c r="K1672" s="804">
        <f t="shared" si="224"/>
        <v>9000</v>
      </c>
      <c r="L1672" s="804">
        <f t="shared" si="225"/>
        <v>9000</v>
      </c>
      <c r="M1672" s="804">
        <f t="shared" si="220"/>
        <v>9000</v>
      </c>
      <c r="N1672" s="803" t="s">
        <v>19376</v>
      </c>
      <c r="O1672" s="805">
        <f t="shared" si="221"/>
        <v>45000</v>
      </c>
      <c r="P1672" s="805">
        <f t="shared" si="222"/>
        <v>45000</v>
      </c>
      <c r="Q1672" s="806">
        <f t="shared" si="223"/>
        <v>45000</v>
      </c>
    </row>
    <row r="1673" spans="1:17" x14ac:dyDescent="0.2">
      <c r="A1673" s="797" t="s">
        <v>19383</v>
      </c>
      <c r="B1673" s="798" t="s">
        <v>18054</v>
      </c>
      <c r="C1673" s="798" t="s">
        <v>19374</v>
      </c>
      <c r="D1673" s="798" t="s">
        <v>19384</v>
      </c>
      <c r="E1673" s="798" t="s">
        <v>18019</v>
      </c>
      <c r="F1673" s="798">
        <v>1</v>
      </c>
      <c r="G1673" s="798" t="s">
        <v>122</v>
      </c>
      <c r="H1673" s="798" t="s">
        <v>122</v>
      </c>
      <c r="I1673" s="799">
        <v>9000</v>
      </c>
      <c r="J1673" s="798">
        <v>5</v>
      </c>
      <c r="K1673" s="799">
        <f t="shared" si="224"/>
        <v>9000</v>
      </c>
      <c r="L1673" s="799">
        <f t="shared" si="225"/>
        <v>9000</v>
      </c>
      <c r="M1673" s="799">
        <f t="shared" si="220"/>
        <v>9000</v>
      </c>
      <c r="N1673" s="798" t="s">
        <v>19385</v>
      </c>
      <c r="O1673" s="800">
        <f t="shared" si="221"/>
        <v>45000</v>
      </c>
      <c r="P1673" s="800">
        <f t="shared" si="222"/>
        <v>45000</v>
      </c>
      <c r="Q1673" s="801">
        <f t="shared" si="223"/>
        <v>45000</v>
      </c>
    </row>
    <row r="1674" spans="1:17" x14ac:dyDescent="0.2">
      <c r="A1674" s="802" t="s">
        <v>19386</v>
      </c>
      <c r="B1674" s="803" t="s">
        <v>18054</v>
      </c>
      <c r="C1674" s="803" t="s">
        <v>19374</v>
      </c>
      <c r="D1674" s="803" t="s">
        <v>19387</v>
      </c>
      <c r="E1674" s="803" t="s">
        <v>18019</v>
      </c>
      <c r="F1674" s="803">
        <v>1</v>
      </c>
      <c r="G1674" s="803" t="s">
        <v>1947</v>
      </c>
      <c r="H1674" s="803" t="s">
        <v>1947</v>
      </c>
      <c r="I1674" s="804">
        <v>9000</v>
      </c>
      <c r="J1674" s="803">
        <v>5</v>
      </c>
      <c r="K1674" s="804">
        <f t="shared" si="224"/>
        <v>9000</v>
      </c>
      <c r="L1674" s="804">
        <f t="shared" si="225"/>
        <v>9000</v>
      </c>
      <c r="M1674" s="804">
        <f t="shared" si="220"/>
        <v>9000</v>
      </c>
      <c r="N1674" s="803" t="s">
        <v>19385</v>
      </c>
      <c r="O1674" s="805">
        <f t="shared" si="221"/>
        <v>45000</v>
      </c>
      <c r="P1674" s="805">
        <f t="shared" si="222"/>
        <v>45000</v>
      </c>
      <c r="Q1674" s="806">
        <f t="shared" si="223"/>
        <v>45000</v>
      </c>
    </row>
    <row r="1675" spans="1:17" x14ac:dyDescent="0.2">
      <c r="A1675" s="797" t="s">
        <v>19388</v>
      </c>
      <c r="B1675" s="798" t="s">
        <v>18054</v>
      </c>
      <c r="C1675" s="798" t="s">
        <v>19374</v>
      </c>
      <c r="D1675" s="798" t="s">
        <v>19389</v>
      </c>
      <c r="E1675" s="798" t="s">
        <v>18019</v>
      </c>
      <c r="F1675" s="798">
        <v>1</v>
      </c>
      <c r="G1675" s="798" t="s">
        <v>2837</v>
      </c>
      <c r="H1675" s="798" t="s">
        <v>2837</v>
      </c>
      <c r="I1675" s="799">
        <v>9000</v>
      </c>
      <c r="J1675" s="798">
        <v>5</v>
      </c>
      <c r="K1675" s="799">
        <f t="shared" si="224"/>
        <v>9000</v>
      </c>
      <c r="L1675" s="799">
        <f t="shared" si="225"/>
        <v>9000</v>
      </c>
      <c r="M1675" s="799">
        <f t="shared" si="220"/>
        <v>9000</v>
      </c>
      <c r="N1675" s="798" t="s">
        <v>19385</v>
      </c>
      <c r="O1675" s="800">
        <f t="shared" si="221"/>
        <v>45000</v>
      </c>
      <c r="P1675" s="800">
        <f t="shared" si="222"/>
        <v>45000</v>
      </c>
      <c r="Q1675" s="801">
        <f t="shared" si="223"/>
        <v>45000</v>
      </c>
    </row>
    <row r="1676" spans="1:17" x14ac:dyDescent="0.2">
      <c r="A1676" s="802" t="s">
        <v>19390</v>
      </c>
      <c r="B1676" s="803" t="s">
        <v>18054</v>
      </c>
      <c r="C1676" s="803" t="s">
        <v>19374</v>
      </c>
      <c r="D1676" s="803" t="s">
        <v>19391</v>
      </c>
      <c r="E1676" s="803" t="s">
        <v>18019</v>
      </c>
      <c r="F1676" s="803">
        <v>1</v>
      </c>
      <c r="G1676" s="803" t="s">
        <v>1103</v>
      </c>
      <c r="H1676" s="803" t="s">
        <v>1103</v>
      </c>
      <c r="I1676" s="804">
        <v>10000</v>
      </c>
      <c r="J1676" s="803">
        <v>5</v>
      </c>
      <c r="K1676" s="804">
        <f t="shared" si="224"/>
        <v>10000</v>
      </c>
      <c r="L1676" s="804">
        <f t="shared" si="225"/>
        <v>10000</v>
      </c>
      <c r="M1676" s="804">
        <f t="shared" si="220"/>
        <v>10000</v>
      </c>
      <c r="N1676" s="803" t="s">
        <v>19392</v>
      </c>
      <c r="O1676" s="805">
        <f t="shared" si="221"/>
        <v>50000</v>
      </c>
      <c r="P1676" s="805">
        <f t="shared" si="222"/>
        <v>50000</v>
      </c>
      <c r="Q1676" s="806">
        <f t="shared" si="223"/>
        <v>50000</v>
      </c>
    </row>
    <row r="1677" spans="1:17" x14ac:dyDescent="0.2">
      <c r="A1677" s="797" t="s">
        <v>19393</v>
      </c>
      <c r="B1677" s="798" t="s">
        <v>18054</v>
      </c>
      <c r="C1677" s="798" t="s">
        <v>19374</v>
      </c>
      <c r="D1677" s="798" t="s">
        <v>19394</v>
      </c>
      <c r="E1677" s="798" t="s">
        <v>18019</v>
      </c>
      <c r="F1677" s="798">
        <v>1</v>
      </c>
      <c r="G1677" s="798" t="s">
        <v>3779</v>
      </c>
      <c r="H1677" s="798" t="s">
        <v>3779</v>
      </c>
      <c r="I1677" s="799">
        <v>10000</v>
      </c>
      <c r="J1677" s="798">
        <v>5</v>
      </c>
      <c r="K1677" s="799">
        <f t="shared" si="224"/>
        <v>10000</v>
      </c>
      <c r="L1677" s="799">
        <f t="shared" si="225"/>
        <v>10000</v>
      </c>
      <c r="M1677" s="799">
        <f t="shared" si="220"/>
        <v>10000</v>
      </c>
      <c r="N1677" s="798" t="s">
        <v>19392</v>
      </c>
      <c r="O1677" s="800">
        <f t="shared" si="221"/>
        <v>50000</v>
      </c>
      <c r="P1677" s="800">
        <f t="shared" si="222"/>
        <v>50000</v>
      </c>
      <c r="Q1677" s="801">
        <f t="shared" si="223"/>
        <v>50000</v>
      </c>
    </row>
    <row r="1678" spans="1:17" x14ac:dyDescent="0.2">
      <c r="A1678" s="802" t="s">
        <v>19395</v>
      </c>
      <c r="B1678" s="803" t="s">
        <v>18054</v>
      </c>
      <c r="C1678" s="803" t="s">
        <v>19374</v>
      </c>
      <c r="D1678" s="803" t="s">
        <v>19396</v>
      </c>
      <c r="E1678" s="803" t="s">
        <v>18019</v>
      </c>
      <c r="F1678" s="803">
        <v>1</v>
      </c>
      <c r="G1678" s="803" t="s">
        <v>122</v>
      </c>
      <c r="H1678" s="803" t="s">
        <v>122</v>
      </c>
      <c r="I1678" s="804">
        <v>10000</v>
      </c>
      <c r="J1678" s="803">
        <v>5</v>
      </c>
      <c r="K1678" s="804">
        <f t="shared" si="224"/>
        <v>10000</v>
      </c>
      <c r="L1678" s="804">
        <f t="shared" si="225"/>
        <v>10000</v>
      </c>
      <c r="M1678" s="804">
        <f t="shared" si="220"/>
        <v>10000</v>
      </c>
      <c r="N1678" s="803" t="s">
        <v>19397</v>
      </c>
      <c r="O1678" s="805">
        <f t="shared" si="221"/>
        <v>50000</v>
      </c>
      <c r="P1678" s="805">
        <f t="shared" si="222"/>
        <v>50000</v>
      </c>
      <c r="Q1678" s="806">
        <f t="shared" si="223"/>
        <v>50000</v>
      </c>
    </row>
    <row r="1679" spans="1:17" x14ac:dyDescent="0.2">
      <c r="A1679" s="797" t="s">
        <v>19398</v>
      </c>
      <c r="B1679" s="798" t="s">
        <v>18054</v>
      </c>
      <c r="C1679" s="798" t="s">
        <v>19374</v>
      </c>
      <c r="D1679" s="798" t="s">
        <v>19399</v>
      </c>
      <c r="E1679" s="798" t="s">
        <v>18019</v>
      </c>
      <c r="F1679" s="798">
        <v>1</v>
      </c>
      <c r="G1679" s="798" t="s">
        <v>2837</v>
      </c>
      <c r="H1679" s="798" t="s">
        <v>2837</v>
      </c>
      <c r="I1679" s="799">
        <v>10000</v>
      </c>
      <c r="J1679" s="798">
        <v>5</v>
      </c>
      <c r="K1679" s="799">
        <f t="shared" si="224"/>
        <v>10000</v>
      </c>
      <c r="L1679" s="799">
        <f t="shared" si="225"/>
        <v>10000</v>
      </c>
      <c r="M1679" s="799">
        <f t="shared" si="220"/>
        <v>10000</v>
      </c>
      <c r="N1679" s="798" t="s">
        <v>19397</v>
      </c>
      <c r="O1679" s="800">
        <f t="shared" si="221"/>
        <v>50000</v>
      </c>
      <c r="P1679" s="800">
        <f t="shared" si="222"/>
        <v>50000</v>
      </c>
      <c r="Q1679" s="801">
        <f t="shared" si="223"/>
        <v>50000</v>
      </c>
    </row>
    <row r="1680" spans="1:17" x14ac:dyDescent="0.2">
      <c r="A1680" s="802" t="s">
        <v>19400</v>
      </c>
      <c r="B1680" s="803" t="s">
        <v>18054</v>
      </c>
      <c r="C1680" s="803" t="s">
        <v>19374</v>
      </c>
      <c r="D1680" s="803" t="s">
        <v>19401</v>
      </c>
      <c r="E1680" s="803" t="s">
        <v>18019</v>
      </c>
      <c r="F1680" s="803">
        <v>1</v>
      </c>
      <c r="G1680" s="803" t="s">
        <v>3779</v>
      </c>
      <c r="H1680" s="803" t="s">
        <v>3779</v>
      </c>
      <c r="I1680" s="804">
        <v>10000</v>
      </c>
      <c r="J1680" s="803">
        <v>5</v>
      </c>
      <c r="K1680" s="804">
        <f t="shared" si="224"/>
        <v>10000</v>
      </c>
      <c r="L1680" s="804">
        <f t="shared" si="225"/>
        <v>10000</v>
      </c>
      <c r="M1680" s="804">
        <f t="shared" si="220"/>
        <v>10000</v>
      </c>
      <c r="N1680" s="803" t="s">
        <v>19397</v>
      </c>
      <c r="O1680" s="805">
        <f t="shared" si="221"/>
        <v>50000</v>
      </c>
      <c r="P1680" s="805">
        <f t="shared" si="222"/>
        <v>50000</v>
      </c>
      <c r="Q1680" s="806">
        <f t="shared" si="223"/>
        <v>50000</v>
      </c>
    </row>
    <row r="1681" spans="1:17" x14ac:dyDescent="0.2">
      <c r="A1681" s="797" t="s">
        <v>19402</v>
      </c>
      <c r="B1681" s="798" t="s">
        <v>18054</v>
      </c>
      <c r="C1681" s="798" t="s">
        <v>19374</v>
      </c>
      <c r="D1681" s="798" t="s">
        <v>19403</v>
      </c>
      <c r="E1681" s="798" t="s">
        <v>18019</v>
      </c>
      <c r="F1681" s="798">
        <v>1</v>
      </c>
      <c r="G1681" s="798" t="s">
        <v>1947</v>
      </c>
      <c r="H1681" s="798" t="s">
        <v>1947</v>
      </c>
      <c r="I1681" s="799">
        <v>11000</v>
      </c>
      <c r="J1681" s="798">
        <v>5</v>
      </c>
      <c r="K1681" s="799">
        <f t="shared" si="224"/>
        <v>11000</v>
      </c>
      <c r="L1681" s="799">
        <f t="shared" si="225"/>
        <v>11000</v>
      </c>
      <c r="M1681" s="799">
        <f t="shared" si="220"/>
        <v>11000</v>
      </c>
      <c r="N1681" s="798" t="s">
        <v>19404</v>
      </c>
      <c r="O1681" s="800">
        <f t="shared" si="221"/>
        <v>55000</v>
      </c>
      <c r="P1681" s="800">
        <f t="shared" si="222"/>
        <v>55000</v>
      </c>
      <c r="Q1681" s="801">
        <f t="shared" si="223"/>
        <v>55000</v>
      </c>
    </row>
    <row r="1682" spans="1:17" x14ac:dyDescent="0.2">
      <c r="A1682" s="802" t="s">
        <v>19405</v>
      </c>
      <c r="B1682" s="803" t="s">
        <v>18054</v>
      </c>
      <c r="C1682" s="803" t="s">
        <v>19374</v>
      </c>
      <c r="D1682" s="803" t="s">
        <v>19406</v>
      </c>
      <c r="E1682" s="803" t="s">
        <v>18019</v>
      </c>
      <c r="F1682" s="803">
        <v>1</v>
      </c>
      <c r="G1682" s="803" t="s">
        <v>122</v>
      </c>
      <c r="H1682" s="803" t="s">
        <v>122</v>
      </c>
      <c r="I1682" s="804">
        <v>11000</v>
      </c>
      <c r="J1682" s="803">
        <v>5</v>
      </c>
      <c r="K1682" s="804">
        <f t="shared" si="224"/>
        <v>11000</v>
      </c>
      <c r="L1682" s="804">
        <f t="shared" si="225"/>
        <v>11000</v>
      </c>
      <c r="M1682" s="804">
        <f t="shared" si="220"/>
        <v>11000</v>
      </c>
      <c r="N1682" s="803" t="s">
        <v>19404</v>
      </c>
      <c r="O1682" s="805">
        <f t="shared" si="221"/>
        <v>55000</v>
      </c>
      <c r="P1682" s="805">
        <f t="shared" si="222"/>
        <v>55000</v>
      </c>
      <c r="Q1682" s="806">
        <f t="shared" si="223"/>
        <v>55000</v>
      </c>
    </row>
    <row r="1683" spans="1:17" x14ac:dyDescent="0.2">
      <c r="A1683" s="797" t="s">
        <v>19407</v>
      </c>
      <c r="B1683" s="798" t="s">
        <v>18054</v>
      </c>
      <c r="C1683" s="798" t="s">
        <v>19374</v>
      </c>
      <c r="D1683" s="798" t="s">
        <v>19408</v>
      </c>
      <c r="E1683" s="798" t="s">
        <v>18019</v>
      </c>
      <c r="F1683" s="798">
        <v>1</v>
      </c>
      <c r="G1683" s="798" t="s">
        <v>3779</v>
      </c>
      <c r="H1683" s="798" t="s">
        <v>3779</v>
      </c>
      <c r="I1683" s="799">
        <v>11000</v>
      </c>
      <c r="J1683" s="798">
        <v>5</v>
      </c>
      <c r="K1683" s="799">
        <f t="shared" si="224"/>
        <v>11000</v>
      </c>
      <c r="L1683" s="799">
        <f t="shared" si="225"/>
        <v>11000</v>
      </c>
      <c r="M1683" s="799">
        <f t="shared" si="220"/>
        <v>11000</v>
      </c>
      <c r="N1683" s="798" t="s">
        <v>19404</v>
      </c>
      <c r="O1683" s="800">
        <f t="shared" si="221"/>
        <v>55000</v>
      </c>
      <c r="P1683" s="800">
        <f t="shared" si="222"/>
        <v>55000</v>
      </c>
      <c r="Q1683" s="801">
        <f t="shared" si="223"/>
        <v>55000</v>
      </c>
    </row>
    <row r="1684" spans="1:17" x14ac:dyDescent="0.2">
      <c r="A1684" s="802" t="s">
        <v>19409</v>
      </c>
      <c r="B1684" s="803" t="s">
        <v>18054</v>
      </c>
      <c r="C1684" s="803" t="s">
        <v>19374</v>
      </c>
      <c r="D1684" s="803" t="s">
        <v>19410</v>
      </c>
      <c r="E1684" s="803" t="s">
        <v>18019</v>
      </c>
      <c r="F1684" s="803">
        <v>1</v>
      </c>
      <c r="G1684" s="803" t="s">
        <v>1947</v>
      </c>
      <c r="H1684" s="803" t="s">
        <v>1947</v>
      </c>
      <c r="I1684" s="804">
        <v>12000</v>
      </c>
      <c r="J1684" s="803">
        <v>5</v>
      </c>
      <c r="K1684" s="804">
        <f t="shared" si="224"/>
        <v>12000</v>
      </c>
      <c r="L1684" s="804">
        <f t="shared" si="225"/>
        <v>12000</v>
      </c>
      <c r="M1684" s="804">
        <f t="shared" si="220"/>
        <v>12000</v>
      </c>
      <c r="N1684" s="803" t="s">
        <v>19411</v>
      </c>
      <c r="O1684" s="805">
        <f t="shared" si="221"/>
        <v>60000</v>
      </c>
      <c r="P1684" s="805">
        <f t="shared" si="222"/>
        <v>60000</v>
      </c>
      <c r="Q1684" s="806">
        <f t="shared" si="223"/>
        <v>60000</v>
      </c>
    </row>
    <row r="1685" spans="1:17" x14ac:dyDescent="0.2">
      <c r="A1685" s="797" t="s">
        <v>19412</v>
      </c>
      <c r="B1685" s="798" t="s">
        <v>18054</v>
      </c>
      <c r="C1685" s="798" t="s">
        <v>19374</v>
      </c>
      <c r="D1685" s="798" t="s">
        <v>19413</v>
      </c>
      <c r="E1685" s="798" t="s">
        <v>18019</v>
      </c>
      <c r="F1685" s="798">
        <v>1</v>
      </c>
      <c r="G1685" s="798" t="s">
        <v>122</v>
      </c>
      <c r="H1685" s="798" t="s">
        <v>122</v>
      </c>
      <c r="I1685" s="799">
        <v>12000</v>
      </c>
      <c r="J1685" s="798">
        <v>5</v>
      </c>
      <c r="K1685" s="799">
        <f t="shared" si="224"/>
        <v>12000</v>
      </c>
      <c r="L1685" s="799">
        <f t="shared" si="225"/>
        <v>12000</v>
      </c>
      <c r="M1685" s="799">
        <f t="shared" si="220"/>
        <v>12000</v>
      </c>
      <c r="N1685" s="798" t="s">
        <v>19411</v>
      </c>
      <c r="O1685" s="800">
        <f t="shared" si="221"/>
        <v>60000</v>
      </c>
      <c r="P1685" s="800">
        <f t="shared" si="222"/>
        <v>60000</v>
      </c>
      <c r="Q1685" s="801">
        <f t="shared" si="223"/>
        <v>60000</v>
      </c>
    </row>
    <row r="1686" spans="1:17" x14ac:dyDescent="0.2">
      <c r="A1686" s="802" t="s">
        <v>19414</v>
      </c>
      <c r="B1686" s="803" t="s">
        <v>18054</v>
      </c>
      <c r="C1686" s="803" t="s">
        <v>19374</v>
      </c>
      <c r="D1686" s="803" t="s">
        <v>19415</v>
      </c>
      <c r="E1686" s="803" t="s">
        <v>18019</v>
      </c>
      <c r="F1686" s="803">
        <v>1</v>
      </c>
      <c r="G1686" s="803" t="s">
        <v>1103</v>
      </c>
      <c r="H1686" s="803" t="s">
        <v>1103</v>
      </c>
      <c r="I1686" s="804">
        <v>12000</v>
      </c>
      <c r="J1686" s="803">
        <v>5</v>
      </c>
      <c r="K1686" s="804">
        <f t="shared" si="224"/>
        <v>12000</v>
      </c>
      <c r="L1686" s="804">
        <f t="shared" si="225"/>
        <v>12000</v>
      </c>
      <c r="M1686" s="804">
        <f t="shared" si="220"/>
        <v>12000</v>
      </c>
      <c r="N1686" s="803" t="s">
        <v>19411</v>
      </c>
      <c r="O1686" s="805">
        <f t="shared" si="221"/>
        <v>60000</v>
      </c>
      <c r="P1686" s="805">
        <f t="shared" si="222"/>
        <v>60000</v>
      </c>
      <c r="Q1686" s="806">
        <f t="shared" si="223"/>
        <v>60000</v>
      </c>
    </row>
    <row r="1687" spans="1:17" x14ac:dyDescent="0.2">
      <c r="A1687" s="797" t="s">
        <v>19416</v>
      </c>
      <c r="B1687" s="798" t="s">
        <v>18054</v>
      </c>
      <c r="C1687" s="798" t="s">
        <v>19374</v>
      </c>
      <c r="D1687" s="798" t="s">
        <v>19417</v>
      </c>
      <c r="E1687" s="798" t="s">
        <v>18019</v>
      </c>
      <c r="F1687" s="798">
        <v>1</v>
      </c>
      <c r="G1687" s="798" t="s">
        <v>122</v>
      </c>
      <c r="H1687" s="798" t="s">
        <v>122</v>
      </c>
      <c r="I1687" s="799">
        <v>12000</v>
      </c>
      <c r="J1687" s="798">
        <v>5</v>
      </c>
      <c r="K1687" s="799">
        <f t="shared" si="224"/>
        <v>12000</v>
      </c>
      <c r="L1687" s="799">
        <f t="shared" si="225"/>
        <v>12000</v>
      </c>
      <c r="M1687" s="799">
        <f t="shared" si="220"/>
        <v>12000</v>
      </c>
      <c r="N1687" s="798" t="s">
        <v>19418</v>
      </c>
      <c r="O1687" s="800">
        <f t="shared" si="221"/>
        <v>60000</v>
      </c>
      <c r="P1687" s="800">
        <f t="shared" si="222"/>
        <v>60000</v>
      </c>
      <c r="Q1687" s="801">
        <f t="shared" si="223"/>
        <v>60000</v>
      </c>
    </row>
    <row r="1688" spans="1:17" x14ac:dyDescent="0.2">
      <c r="A1688" s="802" t="s">
        <v>19419</v>
      </c>
      <c r="B1688" s="803" t="s">
        <v>18054</v>
      </c>
      <c r="C1688" s="803" t="s">
        <v>19374</v>
      </c>
      <c r="D1688" s="803" t="s">
        <v>19420</v>
      </c>
      <c r="E1688" s="803" t="s">
        <v>18019</v>
      </c>
      <c r="F1688" s="803">
        <v>1</v>
      </c>
      <c r="G1688" s="803" t="s">
        <v>1103</v>
      </c>
      <c r="H1688" s="803" t="s">
        <v>1103</v>
      </c>
      <c r="I1688" s="804">
        <v>12000</v>
      </c>
      <c r="J1688" s="803">
        <v>5</v>
      </c>
      <c r="K1688" s="804">
        <f t="shared" si="224"/>
        <v>12000</v>
      </c>
      <c r="L1688" s="804">
        <f t="shared" si="225"/>
        <v>12000</v>
      </c>
      <c r="M1688" s="804">
        <f t="shared" si="220"/>
        <v>12000</v>
      </c>
      <c r="N1688" s="803" t="s">
        <v>19418</v>
      </c>
      <c r="O1688" s="805">
        <f t="shared" si="221"/>
        <v>60000</v>
      </c>
      <c r="P1688" s="805">
        <f t="shared" si="222"/>
        <v>60000</v>
      </c>
      <c r="Q1688" s="806">
        <f t="shared" si="223"/>
        <v>60000</v>
      </c>
    </row>
    <row r="1689" spans="1:17" x14ac:dyDescent="0.2">
      <c r="A1689" s="797" t="s">
        <v>19421</v>
      </c>
      <c r="B1689" s="798" t="s">
        <v>18054</v>
      </c>
      <c r="C1689" s="798" t="s">
        <v>19374</v>
      </c>
      <c r="D1689" s="798" t="s">
        <v>19422</v>
      </c>
      <c r="E1689" s="798" t="s">
        <v>18019</v>
      </c>
      <c r="F1689" s="798">
        <v>1</v>
      </c>
      <c r="G1689" s="798" t="s">
        <v>2837</v>
      </c>
      <c r="H1689" s="798" t="s">
        <v>2837</v>
      </c>
      <c r="I1689" s="799">
        <v>12000</v>
      </c>
      <c r="J1689" s="798">
        <v>5</v>
      </c>
      <c r="K1689" s="799">
        <f t="shared" si="224"/>
        <v>12000</v>
      </c>
      <c r="L1689" s="799">
        <f t="shared" si="225"/>
        <v>12000</v>
      </c>
      <c r="M1689" s="799">
        <f t="shared" si="220"/>
        <v>12000</v>
      </c>
      <c r="N1689" s="798" t="s">
        <v>19418</v>
      </c>
      <c r="O1689" s="800">
        <f t="shared" si="221"/>
        <v>60000</v>
      </c>
      <c r="P1689" s="800">
        <f t="shared" si="222"/>
        <v>60000</v>
      </c>
      <c r="Q1689" s="801">
        <f t="shared" si="223"/>
        <v>60000</v>
      </c>
    </row>
    <row r="1690" spans="1:17" x14ac:dyDescent="0.2">
      <c r="A1690" s="802" t="s">
        <v>19423</v>
      </c>
      <c r="B1690" s="803" t="s">
        <v>18054</v>
      </c>
      <c r="C1690" s="803" t="s">
        <v>19374</v>
      </c>
      <c r="D1690" s="803" t="s">
        <v>19424</v>
      </c>
      <c r="E1690" s="803" t="s">
        <v>18019</v>
      </c>
      <c r="F1690" s="803">
        <v>1</v>
      </c>
      <c r="G1690" s="803" t="s">
        <v>3779</v>
      </c>
      <c r="H1690" s="803" t="s">
        <v>3779</v>
      </c>
      <c r="I1690" s="804">
        <v>12000</v>
      </c>
      <c r="J1690" s="803">
        <v>5</v>
      </c>
      <c r="K1690" s="804">
        <f t="shared" si="224"/>
        <v>12000</v>
      </c>
      <c r="L1690" s="804">
        <f t="shared" si="225"/>
        <v>12000</v>
      </c>
      <c r="M1690" s="804">
        <f t="shared" si="220"/>
        <v>12000</v>
      </c>
      <c r="N1690" s="803" t="s">
        <v>19418</v>
      </c>
      <c r="O1690" s="805">
        <f t="shared" si="221"/>
        <v>60000</v>
      </c>
      <c r="P1690" s="805">
        <f t="shared" si="222"/>
        <v>60000</v>
      </c>
      <c r="Q1690" s="806">
        <f t="shared" si="223"/>
        <v>60000</v>
      </c>
    </row>
    <row r="1691" spans="1:17" x14ac:dyDescent="0.2">
      <c r="A1691" s="797" t="s">
        <v>19425</v>
      </c>
      <c r="B1691" s="798" t="s">
        <v>18054</v>
      </c>
      <c r="C1691" s="798" t="s">
        <v>19374</v>
      </c>
      <c r="D1691" s="798" t="s">
        <v>19426</v>
      </c>
      <c r="E1691" s="798" t="s">
        <v>18054</v>
      </c>
      <c r="F1691" s="798">
        <v>1</v>
      </c>
      <c r="G1691" s="798" t="s">
        <v>1947</v>
      </c>
      <c r="H1691" s="798" t="s">
        <v>1947</v>
      </c>
      <c r="I1691" s="799">
        <v>12000</v>
      </c>
      <c r="J1691" s="798">
        <v>5</v>
      </c>
      <c r="K1691" s="799">
        <f t="shared" si="224"/>
        <v>12000</v>
      </c>
      <c r="L1691" s="799">
        <f t="shared" si="225"/>
        <v>12000</v>
      </c>
      <c r="M1691" s="799">
        <f t="shared" si="220"/>
        <v>12000</v>
      </c>
      <c r="N1691" s="798" t="s">
        <v>16550</v>
      </c>
      <c r="O1691" s="800">
        <f t="shared" si="221"/>
        <v>60000</v>
      </c>
      <c r="P1691" s="800">
        <f t="shared" si="222"/>
        <v>60000</v>
      </c>
      <c r="Q1691" s="801">
        <f t="shared" si="223"/>
        <v>60000</v>
      </c>
    </row>
    <row r="1692" spans="1:17" x14ac:dyDescent="0.2">
      <c r="A1692" s="802" t="s">
        <v>19427</v>
      </c>
      <c r="B1692" s="803" t="s">
        <v>18054</v>
      </c>
      <c r="C1692" s="803" t="s">
        <v>19374</v>
      </c>
      <c r="D1692" s="803" t="s">
        <v>19428</v>
      </c>
      <c r="E1692" s="803" t="s">
        <v>18054</v>
      </c>
      <c r="F1692" s="803">
        <v>1</v>
      </c>
      <c r="G1692" s="803" t="s">
        <v>1103</v>
      </c>
      <c r="H1692" s="803" t="s">
        <v>1103</v>
      </c>
      <c r="I1692" s="804">
        <v>12000</v>
      </c>
      <c r="J1692" s="803">
        <v>5</v>
      </c>
      <c r="K1692" s="804">
        <f t="shared" si="224"/>
        <v>12000</v>
      </c>
      <c r="L1692" s="804">
        <f t="shared" si="225"/>
        <v>12000</v>
      </c>
      <c r="M1692" s="804">
        <f t="shared" si="220"/>
        <v>12000</v>
      </c>
      <c r="N1692" s="803" t="s">
        <v>16550</v>
      </c>
      <c r="O1692" s="805">
        <f t="shared" si="221"/>
        <v>60000</v>
      </c>
      <c r="P1692" s="805">
        <f t="shared" si="222"/>
        <v>60000</v>
      </c>
      <c r="Q1692" s="806">
        <f t="shared" si="223"/>
        <v>60000</v>
      </c>
    </row>
    <row r="1693" spans="1:17" x14ac:dyDescent="0.2">
      <c r="A1693" s="797" t="s">
        <v>19429</v>
      </c>
      <c r="B1693" s="798" t="s">
        <v>18054</v>
      </c>
      <c r="C1693" s="798" t="s">
        <v>19374</v>
      </c>
      <c r="D1693" s="798" t="s">
        <v>19430</v>
      </c>
      <c r="E1693" s="798" t="s">
        <v>18054</v>
      </c>
      <c r="F1693" s="798">
        <v>1</v>
      </c>
      <c r="G1693" s="798" t="s">
        <v>122</v>
      </c>
      <c r="H1693" s="798" t="s">
        <v>122</v>
      </c>
      <c r="I1693" s="799">
        <v>12000</v>
      </c>
      <c r="J1693" s="798">
        <v>5</v>
      </c>
      <c r="K1693" s="799">
        <f t="shared" si="224"/>
        <v>12000</v>
      </c>
      <c r="L1693" s="799">
        <f t="shared" si="225"/>
        <v>12000</v>
      </c>
      <c r="M1693" s="799">
        <f t="shared" si="220"/>
        <v>12000</v>
      </c>
      <c r="N1693" s="798" t="s">
        <v>16550</v>
      </c>
      <c r="O1693" s="800">
        <f t="shared" si="221"/>
        <v>60000</v>
      </c>
      <c r="P1693" s="800">
        <f t="shared" si="222"/>
        <v>60000</v>
      </c>
      <c r="Q1693" s="801">
        <f t="shared" si="223"/>
        <v>60000</v>
      </c>
    </row>
    <row r="1694" spans="1:17" x14ac:dyDescent="0.2">
      <c r="A1694" s="802" t="s">
        <v>19431</v>
      </c>
      <c r="B1694" s="803" t="s">
        <v>18054</v>
      </c>
      <c r="C1694" s="803" t="s">
        <v>19374</v>
      </c>
      <c r="D1694" s="803" t="s">
        <v>19432</v>
      </c>
      <c r="E1694" s="803" t="s">
        <v>18054</v>
      </c>
      <c r="F1694" s="803">
        <v>1</v>
      </c>
      <c r="G1694" s="803" t="s">
        <v>2837</v>
      </c>
      <c r="H1694" s="803" t="s">
        <v>2837</v>
      </c>
      <c r="I1694" s="804">
        <v>12000</v>
      </c>
      <c r="J1694" s="803">
        <v>5</v>
      </c>
      <c r="K1694" s="804">
        <f t="shared" si="224"/>
        <v>12000</v>
      </c>
      <c r="L1694" s="804">
        <f t="shared" si="225"/>
        <v>12000</v>
      </c>
      <c r="M1694" s="804">
        <f t="shared" si="220"/>
        <v>12000</v>
      </c>
      <c r="N1694" s="803" t="s">
        <v>16550</v>
      </c>
      <c r="O1694" s="805">
        <f t="shared" si="221"/>
        <v>60000</v>
      </c>
      <c r="P1694" s="805">
        <f t="shared" si="222"/>
        <v>60000</v>
      </c>
      <c r="Q1694" s="806">
        <f t="shared" si="223"/>
        <v>60000</v>
      </c>
    </row>
    <row r="1695" spans="1:17" x14ac:dyDescent="0.2">
      <c r="A1695" s="797" t="s">
        <v>19433</v>
      </c>
      <c r="B1695" s="798" t="s">
        <v>18054</v>
      </c>
      <c r="C1695" s="798" t="s">
        <v>19374</v>
      </c>
      <c r="D1695" s="798" t="s">
        <v>19434</v>
      </c>
      <c r="E1695" s="798" t="s">
        <v>18054</v>
      </c>
      <c r="F1695" s="798">
        <v>1</v>
      </c>
      <c r="G1695" s="798" t="s">
        <v>3779</v>
      </c>
      <c r="H1695" s="798" t="s">
        <v>3779</v>
      </c>
      <c r="I1695" s="799">
        <v>12000</v>
      </c>
      <c r="J1695" s="798">
        <v>5</v>
      </c>
      <c r="K1695" s="799">
        <f t="shared" si="224"/>
        <v>12000</v>
      </c>
      <c r="L1695" s="799">
        <f t="shared" si="225"/>
        <v>12000</v>
      </c>
      <c r="M1695" s="799">
        <f t="shared" si="220"/>
        <v>12000</v>
      </c>
      <c r="N1695" s="798" t="s">
        <v>16550</v>
      </c>
      <c r="O1695" s="800">
        <f t="shared" si="221"/>
        <v>60000</v>
      </c>
      <c r="P1695" s="800">
        <f t="shared" si="222"/>
        <v>60000</v>
      </c>
      <c r="Q1695" s="801">
        <f t="shared" si="223"/>
        <v>60000</v>
      </c>
    </row>
    <row r="1696" spans="1:17" x14ac:dyDescent="0.2">
      <c r="A1696" s="802" t="s">
        <v>19435</v>
      </c>
      <c r="B1696" s="803" t="s">
        <v>18054</v>
      </c>
      <c r="C1696" s="803" t="s">
        <v>19374</v>
      </c>
      <c r="D1696" s="803" t="s">
        <v>19426</v>
      </c>
      <c r="E1696" s="803" t="s">
        <v>18033</v>
      </c>
      <c r="F1696" s="803">
        <v>2</v>
      </c>
      <c r="G1696" s="803" t="s">
        <v>1947</v>
      </c>
      <c r="H1696" s="803" t="s">
        <v>1947</v>
      </c>
      <c r="I1696" s="804">
        <v>15000</v>
      </c>
      <c r="J1696" s="803">
        <v>5</v>
      </c>
      <c r="K1696" s="804">
        <f t="shared" si="224"/>
        <v>15000</v>
      </c>
      <c r="L1696" s="804">
        <f t="shared" si="225"/>
        <v>15000</v>
      </c>
      <c r="M1696" s="804">
        <f t="shared" si="220"/>
        <v>15000</v>
      </c>
      <c r="N1696" s="803" t="s">
        <v>16551</v>
      </c>
      <c r="O1696" s="805">
        <f t="shared" si="221"/>
        <v>75000</v>
      </c>
      <c r="P1696" s="805">
        <f t="shared" si="222"/>
        <v>75000</v>
      </c>
      <c r="Q1696" s="806">
        <f t="shared" si="223"/>
        <v>75000</v>
      </c>
    </row>
    <row r="1697" spans="1:17" x14ac:dyDescent="0.2">
      <c r="A1697" s="797" t="s">
        <v>19436</v>
      </c>
      <c r="B1697" s="798" t="s">
        <v>18054</v>
      </c>
      <c r="C1697" s="798" t="s">
        <v>19374</v>
      </c>
      <c r="D1697" s="798" t="s">
        <v>19428</v>
      </c>
      <c r="E1697" s="798" t="s">
        <v>18033</v>
      </c>
      <c r="F1697" s="798">
        <v>2</v>
      </c>
      <c r="G1697" s="798" t="s">
        <v>1103</v>
      </c>
      <c r="H1697" s="798" t="s">
        <v>1103</v>
      </c>
      <c r="I1697" s="799">
        <v>15000</v>
      </c>
      <c r="J1697" s="798">
        <v>5</v>
      </c>
      <c r="K1697" s="799">
        <f t="shared" si="224"/>
        <v>15000</v>
      </c>
      <c r="L1697" s="799">
        <f t="shared" si="225"/>
        <v>15000</v>
      </c>
      <c r="M1697" s="799">
        <f t="shared" si="220"/>
        <v>15000</v>
      </c>
      <c r="N1697" s="798" t="s">
        <v>16551</v>
      </c>
      <c r="O1697" s="800">
        <f t="shared" si="221"/>
        <v>75000</v>
      </c>
      <c r="P1697" s="800">
        <f t="shared" si="222"/>
        <v>75000</v>
      </c>
      <c r="Q1697" s="801">
        <f t="shared" si="223"/>
        <v>75000</v>
      </c>
    </row>
    <row r="1698" spans="1:17" x14ac:dyDescent="0.2">
      <c r="A1698" s="802" t="s">
        <v>19437</v>
      </c>
      <c r="B1698" s="803" t="s">
        <v>18054</v>
      </c>
      <c r="C1698" s="803" t="s">
        <v>19374</v>
      </c>
      <c r="D1698" s="803" t="s">
        <v>19430</v>
      </c>
      <c r="E1698" s="803" t="s">
        <v>18033</v>
      </c>
      <c r="F1698" s="803">
        <v>2</v>
      </c>
      <c r="G1698" s="803" t="s">
        <v>122</v>
      </c>
      <c r="H1698" s="803" t="s">
        <v>122</v>
      </c>
      <c r="I1698" s="804">
        <v>15000</v>
      </c>
      <c r="J1698" s="803">
        <v>5</v>
      </c>
      <c r="K1698" s="804">
        <f t="shared" si="224"/>
        <v>15000</v>
      </c>
      <c r="L1698" s="804">
        <f t="shared" si="225"/>
        <v>15000</v>
      </c>
      <c r="M1698" s="804">
        <f t="shared" si="220"/>
        <v>15000</v>
      </c>
      <c r="N1698" s="803" t="s">
        <v>16551</v>
      </c>
      <c r="O1698" s="805">
        <f t="shared" si="221"/>
        <v>75000</v>
      </c>
      <c r="P1698" s="805">
        <f t="shared" si="222"/>
        <v>75000</v>
      </c>
      <c r="Q1698" s="806">
        <f t="shared" si="223"/>
        <v>75000</v>
      </c>
    </row>
    <row r="1699" spans="1:17" x14ac:dyDescent="0.2">
      <c r="A1699" s="797" t="s">
        <v>19438</v>
      </c>
      <c r="B1699" s="798" t="s">
        <v>18054</v>
      </c>
      <c r="C1699" s="798" t="s">
        <v>19374</v>
      </c>
      <c r="D1699" s="798" t="s">
        <v>19432</v>
      </c>
      <c r="E1699" s="798" t="s">
        <v>18033</v>
      </c>
      <c r="F1699" s="798">
        <v>2</v>
      </c>
      <c r="G1699" s="798" t="s">
        <v>2837</v>
      </c>
      <c r="H1699" s="798" t="s">
        <v>2837</v>
      </c>
      <c r="I1699" s="799">
        <v>15000</v>
      </c>
      <c r="J1699" s="798">
        <v>5</v>
      </c>
      <c r="K1699" s="799">
        <f t="shared" si="224"/>
        <v>15000</v>
      </c>
      <c r="L1699" s="799">
        <f t="shared" si="225"/>
        <v>15000</v>
      </c>
      <c r="M1699" s="799">
        <f t="shared" si="220"/>
        <v>15000</v>
      </c>
      <c r="N1699" s="798" t="s">
        <v>16551</v>
      </c>
      <c r="O1699" s="800">
        <f t="shared" si="221"/>
        <v>75000</v>
      </c>
      <c r="P1699" s="800">
        <f t="shared" si="222"/>
        <v>75000</v>
      </c>
      <c r="Q1699" s="801">
        <f t="shared" si="223"/>
        <v>75000</v>
      </c>
    </row>
    <row r="1700" spans="1:17" x14ac:dyDescent="0.2">
      <c r="A1700" s="802" t="s">
        <v>19439</v>
      </c>
      <c r="B1700" s="803" t="s">
        <v>18054</v>
      </c>
      <c r="C1700" s="803" t="s">
        <v>19374</v>
      </c>
      <c r="D1700" s="803" t="s">
        <v>19434</v>
      </c>
      <c r="E1700" s="803" t="s">
        <v>18033</v>
      </c>
      <c r="F1700" s="803">
        <v>2</v>
      </c>
      <c r="G1700" s="803" t="s">
        <v>3779</v>
      </c>
      <c r="H1700" s="803" t="s">
        <v>3779</v>
      </c>
      <c r="I1700" s="804">
        <v>15000</v>
      </c>
      <c r="J1700" s="803">
        <v>5</v>
      </c>
      <c r="K1700" s="804">
        <f t="shared" si="224"/>
        <v>15000</v>
      </c>
      <c r="L1700" s="804">
        <f t="shared" si="225"/>
        <v>15000</v>
      </c>
      <c r="M1700" s="804">
        <f t="shared" si="220"/>
        <v>15000</v>
      </c>
      <c r="N1700" s="803" t="s">
        <v>16551</v>
      </c>
      <c r="O1700" s="805">
        <f t="shared" si="221"/>
        <v>75000</v>
      </c>
      <c r="P1700" s="805">
        <f t="shared" si="222"/>
        <v>75000</v>
      </c>
      <c r="Q1700" s="806">
        <f t="shared" si="223"/>
        <v>75000</v>
      </c>
    </row>
    <row r="1701" spans="1:17" x14ac:dyDescent="0.2">
      <c r="A1701" s="797" t="s">
        <v>19440</v>
      </c>
      <c r="B1701" s="798" t="s">
        <v>18054</v>
      </c>
      <c r="C1701" s="798" t="s">
        <v>19374</v>
      </c>
      <c r="D1701" s="798" t="s">
        <v>19441</v>
      </c>
      <c r="E1701" s="798" t="s">
        <v>18054</v>
      </c>
      <c r="F1701" s="798">
        <v>1</v>
      </c>
      <c r="G1701" s="798" t="s">
        <v>122</v>
      </c>
      <c r="H1701" s="798" t="s">
        <v>122</v>
      </c>
      <c r="I1701" s="799">
        <v>13000</v>
      </c>
      <c r="J1701" s="798">
        <v>5</v>
      </c>
      <c r="K1701" s="799">
        <f t="shared" si="224"/>
        <v>13000</v>
      </c>
      <c r="L1701" s="799">
        <f t="shared" si="225"/>
        <v>13000</v>
      </c>
      <c r="M1701" s="799">
        <f t="shared" si="220"/>
        <v>13000</v>
      </c>
      <c r="N1701" s="798" t="s">
        <v>16621</v>
      </c>
      <c r="O1701" s="800">
        <f t="shared" si="221"/>
        <v>65000</v>
      </c>
      <c r="P1701" s="800">
        <f t="shared" si="222"/>
        <v>65000</v>
      </c>
      <c r="Q1701" s="801">
        <f t="shared" si="223"/>
        <v>65000</v>
      </c>
    </row>
    <row r="1702" spans="1:17" x14ac:dyDescent="0.2">
      <c r="A1702" s="802" t="s">
        <v>19442</v>
      </c>
      <c r="B1702" s="803" t="s">
        <v>18054</v>
      </c>
      <c r="C1702" s="803" t="s">
        <v>19374</v>
      </c>
      <c r="D1702" s="803" t="s">
        <v>19443</v>
      </c>
      <c r="E1702" s="803" t="s">
        <v>18054</v>
      </c>
      <c r="F1702" s="803">
        <v>1</v>
      </c>
      <c r="G1702" s="803" t="s">
        <v>1103</v>
      </c>
      <c r="H1702" s="803" t="s">
        <v>1103</v>
      </c>
      <c r="I1702" s="804">
        <v>13000</v>
      </c>
      <c r="J1702" s="803">
        <v>5</v>
      </c>
      <c r="K1702" s="804">
        <f t="shared" si="224"/>
        <v>13000</v>
      </c>
      <c r="L1702" s="804">
        <f t="shared" si="225"/>
        <v>13000</v>
      </c>
      <c r="M1702" s="804">
        <f t="shared" si="220"/>
        <v>13000</v>
      </c>
      <c r="N1702" s="803" t="s">
        <v>16621</v>
      </c>
      <c r="O1702" s="805">
        <f t="shared" si="221"/>
        <v>65000</v>
      </c>
      <c r="P1702" s="805">
        <f t="shared" si="222"/>
        <v>65000</v>
      </c>
      <c r="Q1702" s="806">
        <f t="shared" si="223"/>
        <v>65000</v>
      </c>
    </row>
    <row r="1703" spans="1:17" x14ac:dyDescent="0.2">
      <c r="A1703" s="797" t="s">
        <v>19444</v>
      </c>
      <c r="B1703" s="798" t="s">
        <v>18054</v>
      </c>
      <c r="C1703" s="798" t="s">
        <v>19374</v>
      </c>
      <c r="D1703" s="798" t="s">
        <v>19445</v>
      </c>
      <c r="E1703" s="798" t="s">
        <v>18054</v>
      </c>
      <c r="F1703" s="798">
        <v>1</v>
      </c>
      <c r="G1703" s="798" t="s">
        <v>1947</v>
      </c>
      <c r="H1703" s="798" t="s">
        <v>1947</v>
      </c>
      <c r="I1703" s="799">
        <v>13000</v>
      </c>
      <c r="J1703" s="798">
        <v>5</v>
      </c>
      <c r="K1703" s="799">
        <f t="shared" si="224"/>
        <v>13000</v>
      </c>
      <c r="L1703" s="799">
        <f t="shared" si="225"/>
        <v>13000</v>
      </c>
      <c r="M1703" s="799">
        <f t="shared" si="220"/>
        <v>13000</v>
      </c>
      <c r="N1703" s="798" t="s">
        <v>16621</v>
      </c>
      <c r="O1703" s="800">
        <f t="shared" si="221"/>
        <v>65000</v>
      </c>
      <c r="P1703" s="800">
        <f t="shared" si="222"/>
        <v>65000</v>
      </c>
      <c r="Q1703" s="801">
        <f t="shared" si="223"/>
        <v>65000</v>
      </c>
    </row>
    <row r="1704" spans="1:17" x14ac:dyDescent="0.2">
      <c r="A1704" s="802" t="s">
        <v>19446</v>
      </c>
      <c r="B1704" s="803" t="s">
        <v>18054</v>
      </c>
      <c r="C1704" s="803" t="s">
        <v>19374</v>
      </c>
      <c r="D1704" s="803" t="s">
        <v>19447</v>
      </c>
      <c r="E1704" s="803" t="s">
        <v>18054</v>
      </c>
      <c r="F1704" s="803">
        <v>1</v>
      </c>
      <c r="G1704" s="803" t="s">
        <v>2837</v>
      </c>
      <c r="H1704" s="803" t="s">
        <v>2837</v>
      </c>
      <c r="I1704" s="804">
        <v>13000</v>
      </c>
      <c r="J1704" s="803">
        <v>5</v>
      </c>
      <c r="K1704" s="804">
        <f t="shared" si="224"/>
        <v>13000</v>
      </c>
      <c r="L1704" s="804">
        <f t="shared" si="225"/>
        <v>13000</v>
      </c>
      <c r="M1704" s="804">
        <f t="shared" si="220"/>
        <v>13000</v>
      </c>
      <c r="N1704" s="803" t="s">
        <v>16621</v>
      </c>
      <c r="O1704" s="805">
        <f t="shared" si="221"/>
        <v>65000</v>
      </c>
      <c r="P1704" s="805">
        <f t="shared" si="222"/>
        <v>65000</v>
      </c>
      <c r="Q1704" s="806">
        <f t="shared" si="223"/>
        <v>65000</v>
      </c>
    </row>
    <row r="1705" spans="1:17" x14ac:dyDescent="0.2">
      <c r="A1705" s="797" t="s">
        <v>19448</v>
      </c>
      <c r="B1705" s="798" t="s">
        <v>18054</v>
      </c>
      <c r="C1705" s="798" t="s">
        <v>19374</v>
      </c>
      <c r="D1705" s="798" t="s">
        <v>19449</v>
      </c>
      <c r="E1705" s="798" t="s">
        <v>18054</v>
      </c>
      <c r="F1705" s="798">
        <v>1</v>
      </c>
      <c r="G1705" s="798" t="s">
        <v>3779</v>
      </c>
      <c r="H1705" s="798" t="s">
        <v>3779</v>
      </c>
      <c r="I1705" s="799">
        <v>13000</v>
      </c>
      <c r="J1705" s="798">
        <v>5</v>
      </c>
      <c r="K1705" s="799">
        <f t="shared" si="224"/>
        <v>13000</v>
      </c>
      <c r="L1705" s="799">
        <f t="shared" si="225"/>
        <v>13000</v>
      </c>
      <c r="M1705" s="799">
        <f t="shared" si="220"/>
        <v>13000</v>
      </c>
      <c r="N1705" s="798" t="s">
        <v>16621</v>
      </c>
      <c r="O1705" s="800">
        <f t="shared" si="221"/>
        <v>65000</v>
      </c>
      <c r="P1705" s="800">
        <f t="shared" si="222"/>
        <v>65000</v>
      </c>
      <c r="Q1705" s="801">
        <f t="shared" si="223"/>
        <v>65000</v>
      </c>
    </row>
    <row r="1706" spans="1:17" x14ac:dyDescent="0.2">
      <c r="A1706" s="802" t="s">
        <v>19450</v>
      </c>
      <c r="B1706" s="803" t="s">
        <v>18054</v>
      </c>
      <c r="C1706" s="803" t="s">
        <v>19374</v>
      </c>
      <c r="D1706" s="803" t="s">
        <v>19441</v>
      </c>
      <c r="E1706" s="803" t="s">
        <v>18033</v>
      </c>
      <c r="F1706" s="803">
        <v>2</v>
      </c>
      <c r="G1706" s="803" t="s">
        <v>122</v>
      </c>
      <c r="H1706" s="803" t="s">
        <v>122</v>
      </c>
      <c r="I1706" s="804">
        <v>17000</v>
      </c>
      <c r="J1706" s="803">
        <v>5</v>
      </c>
      <c r="K1706" s="804">
        <f t="shared" si="224"/>
        <v>17000</v>
      </c>
      <c r="L1706" s="804">
        <f t="shared" si="225"/>
        <v>17000</v>
      </c>
      <c r="M1706" s="804">
        <f t="shared" si="220"/>
        <v>17000</v>
      </c>
      <c r="N1706" s="803" t="s">
        <v>16635</v>
      </c>
      <c r="O1706" s="805">
        <f t="shared" si="221"/>
        <v>85000</v>
      </c>
      <c r="P1706" s="805">
        <f t="shared" si="222"/>
        <v>85000</v>
      </c>
      <c r="Q1706" s="806">
        <f t="shared" si="223"/>
        <v>85000</v>
      </c>
    </row>
    <row r="1707" spans="1:17" x14ac:dyDescent="0.2">
      <c r="A1707" s="797" t="s">
        <v>19451</v>
      </c>
      <c r="B1707" s="798" t="s">
        <v>18054</v>
      </c>
      <c r="C1707" s="798" t="s">
        <v>19374</v>
      </c>
      <c r="D1707" s="798" t="s">
        <v>19443</v>
      </c>
      <c r="E1707" s="798" t="s">
        <v>18033</v>
      </c>
      <c r="F1707" s="798">
        <v>2</v>
      </c>
      <c r="G1707" s="798" t="s">
        <v>1103</v>
      </c>
      <c r="H1707" s="798" t="s">
        <v>1103</v>
      </c>
      <c r="I1707" s="799">
        <v>17000</v>
      </c>
      <c r="J1707" s="798">
        <v>5</v>
      </c>
      <c r="K1707" s="799">
        <f t="shared" si="224"/>
        <v>17000</v>
      </c>
      <c r="L1707" s="799">
        <f t="shared" si="225"/>
        <v>17000</v>
      </c>
      <c r="M1707" s="799">
        <f t="shared" si="220"/>
        <v>17000</v>
      </c>
      <c r="N1707" s="798" t="s">
        <v>16635</v>
      </c>
      <c r="O1707" s="800">
        <f t="shared" si="221"/>
        <v>85000</v>
      </c>
      <c r="P1707" s="800">
        <f t="shared" si="222"/>
        <v>85000</v>
      </c>
      <c r="Q1707" s="801">
        <f t="shared" si="223"/>
        <v>85000</v>
      </c>
    </row>
    <row r="1708" spans="1:17" x14ac:dyDescent="0.2">
      <c r="A1708" s="802" t="s">
        <v>19452</v>
      </c>
      <c r="B1708" s="803" t="s">
        <v>18054</v>
      </c>
      <c r="C1708" s="803" t="s">
        <v>19374</v>
      </c>
      <c r="D1708" s="803" t="s">
        <v>19445</v>
      </c>
      <c r="E1708" s="803" t="s">
        <v>18033</v>
      </c>
      <c r="F1708" s="803">
        <v>2</v>
      </c>
      <c r="G1708" s="803" t="s">
        <v>1947</v>
      </c>
      <c r="H1708" s="803" t="s">
        <v>1947</v>
      </c>
      <c r="I1708" s="804">
        <v>17000</v>
      </c>
      <c r="J1708" s="803">
        <v>5</v>
      </c>
      <c r="K1708" s="804">
        <f t="shared" si="224"/>
        <v>17000</v>
      </c>
      <c r="L1708" s="804">
        <f t="shared" si="225"/>
        <v>17000</v>
      </c>
      <c r="M1708" s="804">
        <f t="shared" si="220"/>
        <v>17000</v>
      </c>
      <c r="N1708" s="803" t="s">
        <v>16635</v>
      </c>
      <c r="O1708" s="805">
        <f t="shared" si="221"/>
        <v>85000</v>
      </c>
      <c r="P1708" s="805">
        <f t="shared" si="222"/>
        <v>85000</v>
      </c>
      <c r="Q1708" s="806">
        <f t="shared" si="223"/>
        <v>85000</v>
      </c>
    </row>
    <row r="1709" spans="1:17" x14ac:dyDescent="0.2">
      <c r="A1709" s="797" t="s">
        <v>19453</v>
      </c>
      <c r="B1709" s="798" t="s">
        <v>18054</v>
      </c>
      <c r="C1709" s="798" t="s">
        <v>19374</v>
      </c>
      <c r="D1709" s="798" t="s">
        <v>19447</v>
      </c>
      <c r="E1709" s="798" t="s">
        <v>18033</v>
      </c>
      <c r="F1709" s="798">
        <v>2</v>
      </c>
      <c r="G1709" s="798" t="s">
        <v>2837</v>
      </c>
      <c r="H1709" s="798" t="s">
        <v>2837</v>
      </c>
      <c r="I1709" s="799">
        <v>17000</v>
      </c>
      <c r="J1709" s="798">
        <v>5</v>
      </c>
      <c r="K1709" s="799">
        <f t="shared" si="224"/>
        <v>17000</v>
      </c>
      <c r="L1709" s="799">
        <f t="shared" si="225"/>
        <v>17000</v>
      </c>
      <c r="M1709" s="799">
        <f t="shared" si="220"/>
        <v>17000</v>
      </c>
      <c r="N1709" s="798" t="s">
        <v>16635</v>
      </c>
      <c r="O1709" s="800">
        <f t="shared" si="221"/>
        <v>85000</v>
      </c>
      <c r="P1709" s="800">
        <f t="shared" si="222"/>
        <v>85000</v>
      </c>
      <c r="Q1709" s="801">
        <f t="shared" si="223"/>
        <v>85000</v>
      </c>
    </row>
    <row r="1710" spans="1:17" x14ac:dyDescent="0.2">
      <c r="A1710" s="802" t="s">
        <v>19454</v>
      </c>
      <c r="B1710" s="803" t="s">
        <v>18054</v>
      </c>
      <c r="C1710" s="803" t="s">
        <v>19374</v>
      </c>
      <c r="D1710" s="803" t="s">
        <v>19449</v>
      </c>
      <c r="E1710" s="803" t="s">
        <v>18033</v>
      </c>
      <c r="F1710" s="803">
        <v>2</v>
      </c>
      <c r="G1710" s="803" t="s">
        <v>3779</v>
      </c>
      <c r="H1710" s="803" t="s">
        <v>3779</v>
      </c>
      <c r="I1710" s="804">
        <v>17000</v>
      </c>
      <c r="J1710" s="803">
        <v>5</v>
      </c>
      <c r="K1710" s="804">
        <f t="shared" si="224"/>
        <v>17000</v>
      </c>
      <c r="L1710" s="804">
        <f t="shared" si="225"/>
        <v>17000</v>
      </c>
      <c r="M1710" s="804">
        <f t="shared" si="220"/>
        <v>17000</v>
      </c>
      <c r="N1710" s="803" t="s">
        <v>16635</v>
      </c>
      <c r="O1710" s="805">
        <f t="shared" si="221"/>
        <v>85000</v>
      </c>
      <c r="P1710" s="805">
        <f t="shared" si="222"/>
        <v>85000</v>
      </c>
      <c r="Q1710" s="806">
        <f t="shared" si="223"/>
        <v>85000</v>
      </c>
    </row>
    <row r="1711" spans="1:17" x14ac:dyDescent="0.2">
      <c r="A1711" s="797" t="s">
        <v>19455</v>
      </c>
      <c r="B1711" s="798" t="s">
        <v>18054</v>
      </c>
      <c r="C1711" s="798" t="s">
        <v>19456</v>
      </c>
      <c r="D1711" s="798" t="s">
        <v>19457</v>
      </c>
      <c r="E1711" s="798" t="s">
        <v>18054</v>
      </c>
      <c r="F1711" s="798">
        <v>1</v>
      </c>
      <c r="G1711" s="798" t="s">
        <v>122</v>
      </c>
      <c r="H1711" s="798" t="s">
        <v>122</v>
      </c>
      <c r="I1711" s="799">
        <v>15000</v>
      </c>
      <c r="J1711" s="798">
        <v>1</v>
      </c>
      <c r="K1711" s="799">
        <f t="shared" si="224"/>
        <v>15000</v>
      </c>
      <c r="L1711" s="799">
        <f t="shared" si="225"/>
        <v>15000</v>
      </c>
      <c r="M1711" s="799">
        <f t="shared" si="220"/>
        <v>15000</v>
      </c>
      <c r="N1711" s="798" t="s">
        <v>17925</v>
      </c>
      <c r="O1711" s="800">
        <f t="shared" si="221"/>
        <v>15000</v>
      </c>
      <c r="P1711" s="800">
        <f t="shared" si="222"/>
        <v>15000</v>
      </c>
      <c r="Q1711" s="801">
        <f t="shared" si="223"/>
        <v>15000</v>
      </c>
    </row>
    <row r="1712" spans="1:17" x14ac:dyDescent="0.2">
      <c r="A1712" s="802" t="s">
        <v>19458</v>
      </c>
      <c r="B1712" s="803" t="s">
        <v>18054</v>
      </c>
      <c r="C1712" s="803" t="s">
        <v>19456</v>
      </c>
      <c r="D1712" s="803" t="s">
        <v>19457</v>
      </c>
      <c r="E1712" s="803" t="s">
        <v>18033</v>
      </c>
      <c r="F1712" s="803">
        <v>2</v>
      </c>
      <c r="G1712" s="803" t="s">
        <v>122</v>
      </c>
      <c r="H1712" s="803" t="s">
        <v>122</v>
      </c>
      <c r="I1712" s="804">
        <v>20000</v>
      </c>
      <c r="J1712" s="803">
        <v>1</v>
      </c>
      <c r="K1712" s="804">
        <f t="shared" si="224"/>
        <v>20000</v>
      </c>
      <c r="L1712" s="804">
        <f t="shared" si="225"/>
        <v>20000</v>
      </c>
      <c r="M1712" s="804">
        <f t="shared" si="220"/>
        <v>20000</v>
      </c>
      <c r="N1712" s="803" t="s">
        <v>17927</v>
      </c>
      <c r="O1712" s="805">
        <f t="shared" si="221"/>
        <v>20000</v>
      </c>
      <c r="P1712" s="805">
        <f t="shared" si="222"/>
        <v>20000</v>
      </c>
      <c r="Q1712" s="806">
        <f t="shared" si="223"/>
        <v>20000</v>
      </c>
    </row>
    <row r="1713" spans="1:17" x14ac:dyDescent="0.2">
      <c r="A1713" s="797" t="s">
        <v>19459</v>
      </c>
      <c r="B1713" s="798" t="s">
        <v>18054</v>
      </c>
      <c r="C1713" s="798" t="s">
        <v>19456</v>
      </c>
      <c r="D1713" s="798" t="s">
        <v>19457</v>
      </c>
      <c r="E1713" s="798" t="s">
        <v>18061</v>
      </c>
      <c r="F1713" s="798">
        <v>3</v>
      </c>
      <c r="G1713" s="798" t="s">
        <v>122</v>
      </c>
      <c r="H1713" s="798" t="s">
        <v>122</v>
      </c>
      <c r="I1713" s="799">
        <v>38000</v>
      </c>
      <c r="J1713" s="798">
        <v>1</v>
      </c>
      <c r="K1713" s="799">
        <v>38000</v>
      </c>
      <c r="L1713" s="799">
        <v>100000</v>
      </c>
      <c r="M1713" s="799">
        <f t="shared" si="220"/>
        <v>38000</v>
      </c>
      <c r="N1713" s="798" t="s">
        <v>17929</v>
      </c>
      <c r="O1713" s="800">
        <f t="shared" si="221"/>
        <v>38000</v>
      </c>
      <c r="P1713" s="800">
        <f t="shared" si="222"/>
        <v>100000</v>
      </c>
      <c r="Q1713" s="801">
        <f t="shared" si="223"/>
        <v>38000</v>
      </c>
    </row>
    <row r="1714" spans="1:17" x14ac:dyDescent="0.2">
      <c r="A1714" s="802" t="s">
        <v>19460</v>
      </c>
      <c r="B1714" s="803" t="s">
        <v>18054</v>
      </c>
      <c r="C1714" s="803" t="s">
        <v>19456</v>
      </c>
      <c r="D1714" s="803" t="s">
        <v>19461</v>
      </c>
      <c r="E1714" s="803" t="s">
        <v>18054</v>
      </c>
      <c r="F1714" s="803">
        <v>1</v>
      </c>
      <c r="G1714" s="803" t="s">
        <v>2837</v>
      </c>
      <c r="H1714" s="803" t="s">
        <v>2837</v>
      </c>
      <c r="I1714" s="804">
        <v>15000</v>
      </c>
      <c r="J1714" s="803">
        <v>1</v>
      </c>
      <c r="K1714" s="804">
        <f>+I1714</f>
        <v>15000</v>
      </c>
      <c r="L1714" s="804">
        <f>+I1714</f>
        <v>15000</v>
      </c>
      <c r="M1714" s="804">
        <f t="shared" ref="M1714:M1777" si="226">+I1714</f>
        <v>15000</v>
      </c>
      <c r="N1714" s="803" t="s">
        <v>17925</v>
      </c>
      <c r="O1714" s="805">
        <f t="shared" si="221"/>
        <v>15000</v>
      </c>
      <c r="P1714" s="805">
        <f t="shared" si="222"/>
        <v>15000</v>
      </c>
      <c r="Q1714" s="806">
        <f t="shared" si="223"/>
        <v>15000</v>
      </c>
    </row>
    <row r="1715" spans="1:17" x14ac:dyDescent="0.2">
      <c r="A1715" s="797" t="s">
        <v>19462</v>
      </c>
      <c r="B1715" s="798" t="s">
        <v>18054</v>
      </c>
      <c r="C1715" s="798" t="s">
        <v>19456</v>
      </c>
      <c r="D1715" s="798" t="s">
        <v>19461</v>
      </c>
      <c r="E1715" s="798" t="s">
        <v>18033</v>
      </c>
      <c r="F1715" s="798">
        <v>2</v>
      </c>
      <c r="G1715" s="798" t="s">
        <v>2837</v>
      </c>
      <c r="H1715" s="798" t="s">
        <v>2837</v>
      </c>
      <c r="I1715" s="799">
        <v>20000</v>
      </c>
      <c r="J1715" s="798">
        <v>1</v>
      </c>
      <c r="K1715" s="799">
        <f>+I1715</f>
        <v>20000</v>
      </c>
      <c r="L1715" s="799">
        <f>+I1715</f>
        <v>20000</v>
      </c>
      <c r="M1715" s="799">
        <f t="shared" si="226"/>
        <v>20000</v>
      </c>
      <c r="N1715" s="798" t="s">
        <v>17927</v>
      </c>
      <c r="O1715" s="800">
        <f t="shared" si="221"/>
        <v>20000</v>
      </c>
      <c r="P1715" s="800">
        <f t="shared" si="222"/>
        <v>20000</v>
      </c>
      <c r="Q1715" s="801">
        <f t="shared" si="223"/>
        <v>20000</v>
      </c>
    </row>
    <row r="1716" spans="1:17" x14ac:dyDescent="0.2">
      <c r="A1716" s="802" t="s">
        <v>19463</v>
      </c>
      <c r="B1716" s="803" t="s">
        <v>18054</v>
      </c>
      <c r="C1716" s="803" t="s">
        <v>19456</v>
      </c>
      <c r="D1716" s="803" t="s">
        <v>19461</v>
      </c>
      <c r="E1716" s="803" t="s">
        <v>18061</v>
      </c>
      <c r="F1716" s="803">
        <v>3</v>
      </c>
      <c r="G1716" s="803" t="s">
        <v>2837</v>
      </c>
      <c r="H1716" s="803" t="s">
        <v>2837</v>
      </c>
      <c r="I1716" s="804">
        <v>38000</v>
      </c>
      <c r="J1716" s="803">
        <v>1</v>
      </c>
      <c r="K1716" s="804">
        <v>38000</v>
      </c>
      <c r="L1716" s="804">
        <v>100000</v>
      </c>
      <c r="M1716" s="804">
        <f t="shared" si="226"/>
        <v>38000</v>
      </c>
      <c r="N1716" s="803" t="s">
        <v>17929</v>
      </c>
      <c r="O1716" s="805">
        <f t="shared" si="221"/>
        <v>38000</v>
      </c>
      <c r="P1716" s="805">
        <f t="shared" si="222"/>
        <v>100000</v>
      </c>
      <c r="Q1716" s="806">
        <f t="shared" si="223"/>
        <v>38000</v>
      </c>
    </row>
    <row r="1717" spans="1:17" x14ac:dyDescent="0.2">
      <c r="A1717" s="797" t="s">
        <v>19464</v>
      </c>
      <c r="B1717" s="798" t="s">
        <v>18054</v>
      </c>
      <c r="C1717" s="798" t="s">
        <v>19456</v>
      </c>
      <c r="D1717" s="798" t="s">
        <v>19465</v>
      </c>
      <c r="E1717" s="798" t="s">
        <v>18054</v>
      </c>
      <c r="F1717" s="798">
        <v>1</v>
      </c>
      <c r="G1717" s="798" t="s">
        <v>1947</v>
      </c>
      <c r="H1717" s="798" t="s">
        <v>1947</v>
      </c>
      <c r="I1717" s="799">
        <v>15000</v>
      </c>
      <c r="J1717" s="798">
        <v>1</v>
      </c>
      <c r="K1717" s="799">
        <f>+I1717</f>
        <v>15000</v>
      </c>
      <c r="L1717" s="799">
        <f>+I1717</f>
        <v>15000</v>
      </c>
      <c r="M1717" s="799">
        <f t="shared" si="226"/>
        <v>15000</v>
      </c>
      <c r="N1717" s="798" t="s">
        <v>17925</v>
      </c>
      <c r="O1717" s="800">
        <f t="shared" si="221"/>
        <v>15000</v>
      </c>
      <c r="P1717" s="800">
        <f t="shared" si="222"/>
        <v>15000</v>
      </c>
      <c r="Q1717" s="801">
        <f t="shared" si="223"/>
        <v>15000</v>
      </c>
    </row>
    <row r="1718" spans="1:17" x14ac:dyDescent="0.2">
      <c r="A1718" s="802" t="s">
        <v>19466</v>
      </c>
      <c r="B1718" s="803" t="s">
        <v>18054</v>
      </c>
      <c r="C1718" s="803" t="s">
        <v>19456</v>
      </c>
      <c r="D1718" s="803" t="s">
        <v>19465</v>
      </c>
      <c r="E1718" s="803" t="s">
        <v>18033</v>
      </c>
      <c r="F1718" s="803">
        <v>2</v>
      </c>
      <c r="G1718" s="803" t="s">
        <v>1947</v>
      </c>
      <c r="H1718" s="803" t="s">
        <v>1947</v>
      </c>
      <c r="I1718" s="804">
        <v>20000</v>
      </c>
      <c r="J1718" s="803">
        <v>1</v>
      </c>
      <c r="K1718" s="804">
        <f>+I1718</f>
        <v>20000</v>
      </c>
      <c r="L1718" s="804">
        <f>+I1718</f>
        <v>20000</v>
      </c>
      <c r="M1718" s="804">
        <f t="shared" si="226"/>
        <v>20000</v>
      </c>
      <c r="N1718" s="803" t="s">
        <v>17927</v>
      </c>
      <c r="O1718" s="805">
        <f t="shared" si="221"/>
        <v>20000</v>
      </c>
      <c r="P1718" s="805">
        <f t="shared" si="222"/>
        <v>20000</v>
      </c>
      <c r="Q1718" s="806">
        <f t="shared" si="223"/>
        <v>20000</v>
      </c>
    </row>
    <row r="1719" spans="1:17" x14ac:dyDescent="0.2">
      <c r="A1719" s="797" t="s">
        <v>19467</v>
      </c>
      <c r="B1719" s="798" t="s">
        <v>18054</v>
      </c>
      <c r="C1719" s="798" t="s">
        <v>19456</v>
      </c>
      <c r="D1719" s="798" t="s">
        <v>19465</v>
      </c>
      <c r="E1719" s="798" t="s">
        <v>18061</v>
      </c>
      <c r="F1719" s="798">
        <v>3</v>
      </c>
      <c r="G1719" s="798" t="s">
        <v>1947</v>
      </c>
      <c r="H1719" s="798" t="s">
        <v>1947</v>
      </c>
      <c r="I1719" s="799">
        <v>38000</v>
      </c>
      <c r="J1719" s="798">
        <v>1</v>
      </c>
      <c r="K1719" s="799">
        <v>38000</v>
      </c>
      <c r="L1719" s="799">
        <v>100000</v>
      </c>
      <c r="M1719" s="799">
        <f t="shared" si="226"/>
        <v>38000</v>
      </c>
      <c r="N1719" s="798" t="s">
        <v>17929</v>
      </c>
      <c r="O1719" s="800">
        <f t="shared" si="221"/>
        <v>38000</v>
      </c>
      <c r="P1719" s="800">
        <f t="shared" si="222"/>
        <v>100000</v>
      </c>
      <c r="Q1719" s="801">
        <f t="shared" si="223"/>
        <v>38000</v>
      </c>
    </row>
    <row r="1720" spans="1:17" x14ac:dyDescent="0.2">
      <c r="A1720" s="802" t="s">
        <v>19468</v>
      </c>
      <c r="B1720" s="803" t="s">
        <v>18054</v>
      </c>
      <c r="C1720" s="803" t="s">
        <v>19456</v>
      </c>
      <c r="D1720" s="803" t="s">
        <v>19469</v>
      </c>
      <c r="E1720" s="803" t="s">
        <v>18054</v>
      </c>
      <c r="F1720" s="803">
        <v>1</v>
      </c>
      <c r="G1720" s="803" t="s">
        <v>3779</v>
      </c>
      <c r="H1720" s="803" t="s">
        <v>3779</v>
      </c>
      <c r="I1720" s="804">
        <v>15000</v>
      </c>
      <c r="J1720" s="803">
        <v>1</v>
      </c>
      <c r="K1720" s="804">
        <f>+I1720</f>
        <v>15000</v>
      </c>
      <c r="L1720" s="804">
        <f>+I1720</f>
        <v>15000</v>
      </c>
      <c r="M1720" s="804">
        <f t="shared" si="226"/>
        <v>15000</v>
      </c>
      <c r="N1720" s="803" t="s">
        <v>17925</v>
      </c>
      <c r="O1720" s="805">
        <f t="shared" si="221"/>
        <v>15000</v>
      </c>
      <c r="P1720" s="805">
        <f t="shared" si="222"/>
        <v>15000</v>
      </c>
      <c r="Q1720" s="806">
        <f t="shared" si="223"/>
        <v>15000</v>
      </c>
    </row>
    <row r="1721" spans="1:17" x14ac:dyDescent="0.2">
      <c r="A1721" s="797" t="s">
        <v>19470</v>
      </c>
      <c r="B1721" s="798" t="s">
        <v>18054</v>
      </c>
      <c r="C1721" s="798" t="s">
        <v>19456</v>
      </c>
      <c r="D1721" s="798" t="s">
        <v>19469</v>
      </c>
      <c r="E1721" s="798" t="s">
        <v>18033</v>
      </c>
      <c r="F1721" s="798">
        <v>2</v>
      </c>
      <c r="G1721" s="798" t="s">
        <v>3779</v>
      </c>
      <c r="H1721" s="798" t="s">
        <v>3779</v>
      </c>
      <c r="I1721" s="799">
        <v>20000</v>
      </c>
      <c r="J1721" s="798">
        <v>1</v>
      </c>
      <c r="K1721" s="799">
        <f>+I1721</f>
        <v>20000</v>
      </c>
      <c r="L1721" s="799">
        <f>+I1721</f>
        <v>20000</v>
      </c>
      <c r="M1721" s="799">
        <f t="shared" si="226"/>
        <v>20000</v>
      </c>
      <c r="N1721" s="798" t="s">
        <v>17927</v>
      </c>
      <c r="O1721" s="800">
        <f t="shared" si="221"/>
        <v>20000</v>
      </c>
      <c r="P1721" s="800">
        <f t="shared" si="222"/>
        <v>20000</v>
      </c>
      <c r="Q1721" s="801">
        <f t="shared" si="223"/>
        <v>20000</v>
      </c>
    </row>
    <row r="1722" spans="1:17" x14ac:dyDescent="0.2">
      <c r="A1722" s="802" t="s">
        <v>19471</v>
      </c>
      <c r="B1722" s="803" t="s">
        <v>18054</v>
      </c>
      <c r="C1722" s="803" t="s">
        <v>19456</v>
      </c>
      <c r="D1722" s="803" t="s">
        <v>19469</v>
      </c>
      <c r="E1722" s="803" t="s">
        <v>18061</v>
      </c>
      <c r="F1722" s="803">
        <v>3</v>
      </c>
      <c r="G1722" s="803" t="s">
        <v>3779</v>
      </c>
      <c r="H1722" s="803" t="s">
        <v>3779</v>
      </c>
      <c r="I1722" s="804">
        <v>38000</v>
      </c>
      <c r="J1722" s="803">
        <v>1</v>
      </c>
      <c r="K1722" s="804">
        <v>38000</v>
      </c>
      <c r="L1722" s="804">
        <v>100000</v>
      </c>
      <c r="M1722" s="804">
        <f t="shared" si="226"/>
        <v>38000</v>
      </c>
      <c r="N1722" s="803" t="s">
        <v>17929</v>
      </c>
      <c r="O1722" s="805">
        <f t="shared" si="221"/>
        <v>38000</v>
      </c>
      <c r="P1722" s="805">
        <f t="shared" si="222"/>
        <v>100000</v>
      </c>
      <c r="Q1722" s="806">
        <f t="shared" si="223"/>
        <v>38000</v>
      </c>
    </row>
    <row r="1723" spans="1:17" x14ac:dyDescent="0.2">
      <c r="A1723" s="797" t="s">
        <v>19472</v>
      </c>
      <c r="B1723" s="798" t="s">
        <v>18054</v>
      </c>
      <c r="C1723" s="798" t="s">
        <v>19456</v>
      </c>
      <c r="D1723" s="798" t="s">
        <v>19473</v>
      </c>
      <c r="E1723" s="798" t="s">
        <v>18054</v>
      </c>
      <c r="F1723" s="798">
        <v>1</v>
      </c>
      <c r="G1723" s="798" t="s">
        <v>122</v>
      </c>
      <c r="H1723" s="798" t="s">
        <v>122</v>
      </c>
      <c r="I1723" s="799">
        <v>15000</v>
      </c>
      <c r="J1723" s="798">
        <v>1</v>
      </c>
      <c r="K1723" s="799">
        <f>+I1723</f>
        <v>15000</v>
      </c>
      <c r="L1723" s="799">
        <f>+I1723</f>
        <v>15000</v>
      </c>
      <c r="M1723" s="799">
        <f t="shared" si="226"/>
        <v>15000</v>
      </c>
      <c r="N1723" s="798" t="s">
        <v>17925</v>
      </c>
      <c r="O1723" s="800">
        <f t="shared" si="221"/>
        <v>15000</v>
      </c>
      <c r="P1723" s="800">
        <f t="shared" si="222"/>
        <v>15000</v>
      </c>
      <c r="Q1723" s="801">
        <f t="shared" si="223"/>
        <v>15000</v>
      </c>
    </row>
    <row r="1724" spans="1:17" x14ac:dyDescent="0.2">
      <c r="A1724" s="802" t="s">
        <v>19474</v>
      </c>
      <c r="B1724" s="803" t="s">
        <v>18054</v>
      </c>
      <c r="C1724" s="803" t="s">
        <v>19456</v>
      </c>
      <c r="D1724" s="803" t="s">
        <v>19473</v>
      </c>
      <c r="E1724" s="803" t="s">
        <v>18033</v>
      </c>
      <c r="F1724" s="803">
        <v>2</v>
      </c>
      <c r="G1724" s="803" t="s">
        <v>122</v>
      </c>
      <c r="H1724" s="803" t="s">
        <v>122</v>
      </c>
      <c r="I1724" s="804">
        <v>20000</v>
      </c>
      <c r="J1724" s="803">
        <v>1</v>
      </c>
      <c r="K1724" s="804">
        <f>+I1724</f>
        <v>20000</v>
      </c>
      <c r="L1724" s="804">
        <f>+I1724</f>
        <v>20000</v>
      </c>
      <c r="M1724" s="804">
        <f t="shared" si="226"/>
        <v>20000</v>
      </c>
      <c r="N1724" s="803" t="s">
        <v>17927</v>
      </c>
      <c r="O1724" s="805">
        <f t="shared" si="221"/>
        <v>20000</v>
      </c>
      <c r="P1724" s="805">
        <f t="shared" si="222"/>
        <v>20000</v>
      </c>
      <c r="Q1724" s="806">
        <f t="shared" si="223"/>
        <v>20000</v>
      </c>
    </row>
    <row r="1725" spans="1:17" x14ac:dyDescent="0.2">
      <c r="A1725" s="797" t="s">
        <v>19475</v>
      </c>
      <c r="B1725" s="798" t="s">
        <v>18054</v>
      </c>
      <c r="C1725" s="798" t="s">
        <v>19456</v>
      </c>
      <c r="D1725" s="798" t="s">
        <v>19473</v>
      </c>
      <c r="E1725" s="798" t="s">
        <v>18061</v>
      </c>
      <c r="F1725" s="798">
        <v>3</v>
      </c>
      <c r="G1725" s="798" t="s">
        <v>122</v>
      </c>
      <c r="H1725" s="798" t="s">
        <v>122</v>
      </c>
      <c r="I1725" s="799">
        <v>38000</v>
      </c>
      <c r="J1725" s="798">
        <v>1</v>
      </c>
      <c r="K1725" s="799">
        <v>38000</v>
      </c>
      <c r="L1725" s="799">
        <v>100000</v>
      </c>
      <c r="M1725" s="799">
        <f t="shared" si="226"/>
        <v>38000</v>
      </c>
      <c r="N1725" s="798" t="s">
        <v>17929</v>
      </c>
      <c r="O1725" s="800">
        <f t="shared" si="221"/>
        <v>38000</v>
      </c>
      <c r="P1725" s="800">
        <f t="shared" si="222"/>
        <v>100000</v>
      </c>
      <c r="Q1725" s="801">
        <f t="shared" si="223"/>
        <v>38000</v>
      </c>
    </row>
    <row r="1726" spans="1:17" x14ac:dyDescent="0.2">
      <c r="A1726" s="802" t="s">
        <v>19476</v>
      </c>
      <c r="B1726" s="803" t="s">
        <v>18054</v>
      </c>
      <c r="C1726" s="803" t="s">
        <v>19456</v>
      </c>
      <c r="D1726" s="803" t="s">
        <v>19477</v>
      </c>
      <c r="E1726" s="803" t="s">
        <v>18054</v>
      </c>
      <c r="F1726" s="803">
        <v>1</v>
      </c>
      <c r="G1726" s="803" t="s">
        <v>1947</v>
      </c>
      <c r="H1726" s="803" t="s">
        <v>1947</v>
      </c>
      <c r="I1726" s="804">
        <v>15000</v>
      </c>
      <c r="J1726" s="803">
        <v>1</v>
      </c>
      <c r="K1726" s="804">
        <f>+I1726</f>
        <v>15000</v>
      </c>
      <c r="L1726" s="804">
        <f>+I1726</f>
        <v>15000</v>
      </c>
      <c r="M1726" s="804">
        <f t="shared" si="226"/>
        <v>15000</v>
      </c>
      <c r="N1726" s="803" t="s">
        <v>17925</v>
      </c>
      <c r="O1726" s="805">
        <f t="shared" si="221"/>
        <v>15000</v>
      </c>
      <c r="P1726" s="805">
        <f t="shared" si="222"/>
        <v>15000</v>
      </c>
      <c r="Q1726" s="806">
        <f t="shared" si="223"/>
        <v>15000</v>
      </c>
    </row>
    <row r="1727" spans="1:17" x14ac:dyDescent="0.2">
      <c r="A1727" s="797" t="s">
        <v>19478</v>
      </c>
      <c r="B1727" s="798" t="s">
        <v>18054</v>
      </c>
      <c r="C1727" s="798" t="s">
        <v>19456</v>
      </c>
      <c r="D1727" s="798" t="s">
        <v>19477</v>
      </c>
      <c r="E1727" s="798" t="s">
        <v>18033</v>
      </c>
      <c r="F1727" s="798">
        <v>2</v>
      </c>
      <c r="G1727" s="798" t="s">
        <v>1947</v>
      </c>
      <c r="H1727" s="798" t="s">
        <v>1947</v>
      </c>
      <c r="I1727" s="799">
        <v>20000</v>
      </c>
      <c r="J1727" s="798">
        <v>1</v>
      </c>
      <c r="K1727" s="799">
        <f>+I1727</f>
        <v>20000</v>
      </c>
      <c r="L1727" s="799">
        <f>+I1727</f>
        <v>20000</v>
      </c>
      <c r="M1727" s="799">
        <f t="shared" si="226"/>
        <v>20000</v>
      </c>
      <c r="N1727" s="798" t="s">
        <v>17927</v>
      </c>
      <c r="O1727" s="800">
        <f t="shared" si="221"/>
        <v>20000</v>
      </c>
      <c r="P1727" s="800">
        <f t="shared" si="222"/>
        <v>20000</v>
      </c>
      <c r="Q1727" s="801">
        <f t="shared" si="223"/>
        <v>20000</v>
      </c>
    </row>
    <row r="1728" spans="1:17" x14ac:dyDescent="0.2">
      <c r="A1728" s="802" t="s">
        <v>19479</v>
      </c>
      <c r="B1728" s="803" t="s">
        <v>18054</v>
      </c>
      <c r="C1728" s="803" t="s">
        <v>19456</v>
      </c>
      <c r="D1728" s="803" t="s">
        <v>19477</v>
      </c>
      <c r="E1728" s="803" t="s">
        <v>18061</v>
      </c>
      <c r="F1728" s="803">
        <v>3</v>
      </c>
      <c r="G1728" s="803" t="s">
        <v>1947</v>
      </c>
      <c r="H1728" s="803" t="s">
        <v>1947</v>
      </c>
      <c r="I1728" s="804">
        <v>38000</v>
      </c>
      <c r="J1728" s="803">
        <v>1</v>
      </c>
      <c r="K1728" s="804">
        <v>38000</v>
      </c>
      <c r="L1728" s="804">
        <v>100000</v>
      </c>
      <c r="M1728" s="804">
        <f t="shared" si="226"/>
        <v>38000</v>
      </c>
      <c r="N1728" s="803" t="s">
        <v>17929</v>
      </c>
      <c r="O1728" s="805">
        <f t="shared" si="221"/>
        <v>38000</v>
      </c>
      <c r="P1728" s="805">
        <f t="shared" si="222"/>
        <v>100000</v>
      </c>
      <c r="Q1728" s="806">
        <f t="shared" si="223"/>
        <v>38000</v>
      </c>
    </row>
    <row r="1729" spans="1:17" x14ac:dyDescent="0.2">
      <c r="A1729" s="797" t="s">
        <v>19480</v>
      </c>
      <c r="B1729" s="798" t="s">
        <v>18054</v>
      </c>
      <c r="C1729" s="798" t="s">
        <v>19456</v>
      </c>
      <c r="D1729" s="798" t="s">
        <v>19481</v>
      </c>
      <c r="E1729" s="798" t="s">
        <v>18054</v>
      </c>
      <c r="F1729" s="798">
        <v>1</v>
      </c>
      <c r="G1729" s="798" t="s">
        <v>1947</v>
      </c>
      <c r="H1729" s="798" t="s">
        <v>1947</v>
      </c>
      <c r="I1729" s="799">
        <v>15000</v>
      </c>
      <c r="J1729" s="798">
        <v>1</v>
      </c>
      <c r="K1729" s="799">
        <f>+I1729</f>
        <v>15000</v>
      </c>
      <c r="L1729" s="799">
        <f>+I1729</f>
        <v>15000</v>
      </c>
      <c r="M1729" s="799">
        <f t="shared" si="226"/>
        <v>15000</v>
      </c>
      <c r="N1729" s="798" t="s">
        <v>17925</v>
      </c>
      <c r="O1729" s="800">
        <f t="shared" si="221"/>
        <v>15000</v>
      </c>
      <c r="P1729" s="800">
        <f t="shared" si="222"/>
        <v>15000</v>
      </c>
      <c r="Q1729" s="801">
        <f t="shared" si="223"/>
        <v>15000</v>
      </c>
    </row>
    <row r="1730" spans="1:17" x14ac:dyDescent="0.2">
      <c r="A1730" s="802" t="s">
        <v>19482</v>
      </c>
      <c r="B1730" s="803" t="s">
        <v>18054</v>
      </c>
      <c r="C1730" s="803" t="s">
        <v>19456</v>
      </c>
      <c r="D1730" s="803" t="s">
        <v>19481</v>
      </c>
      <c r="E1730" s="803" t="s">
        <v>18033</v>
      </c>
      <c r="F1730" s="803">
        <v>2</v>
      </c>
      <c r="G1730" s="803" t="s">
        <v>1947</v>
      </c>
      <c r="H1730" s="803" t="s">
        <v>1947</v>
      </c>
      <c r="I1730" s="804">
        <v>20000</v>
      </c>
      <c r="J1730" s="803">
        <v>1</v>
      </c>
      <c r="K1730" s="804">
        <f>+I1730</f>
        <v>20000</v>
      </c>
      <c r="L1730" s="804">
        <f>+I1730</f>
        <v>20000</v>
      </c>
      <c r="M1730" s="804">
        <f t="shared" si="226"/>
        <v>20000</v>
      </c>
      <c r="N1730" s="803" t="s">
        <v>17927</v>
      </c>
      <c r="O1730" s="805">
        <f t="shared" ref="O1730:O1798" si="227">+J1730*K1730</f>
        <v>20000</v>
      </c>
      <c r="P1730" s="805">
        <f t="shared" ref="P1730:P1798" si="228">+J1730*L1730</f>
        <v>20000</v>
      </c>
      <c r="Q1730" s="806">
        <f t="shared" ref="Q1730:Q1798" si="229">+J1730*M1730</f>
        <v>20000</v>
      </c>
    </row>
    <row r="1731" spans="1:17" x14ac:dyDescent="0.2">
      <c r="A1731" s="797" t="s">
        <v>19483</v>
      </c>
      <c r="B1731" s="798" t="s">
        <v>18054</v>
      </c>
      <c r="C1731" s="798" t="s">
        <v>19456</v>
      </c>
      <c r="D1731" s="798" t="s">
        <v>19481</v>
      </c>
      <c r="E1731" s="798" t="s">
        <v>18061</v>
      </c>
      <c r="F1731" s="798">
        <v>3</v>
      </c>
      <c r="G1731" s="798" t="s">
        <v>1947</v>
      </c>
      <c r="H1731" s="798" t="s">
        <v>1947</v>
      </c>
      <c r="I1731" s="799">
        <v>38000</v>
      </c>
      <c r="J1731" s="798">
        <v>1</v>
      </c>
      <c r="K1731" s="799">
        <v>38000</v>
      </c>
      <c r="L1731" s="799">
        <v>100000</v>
      </c>
      <c r="M1731" s="799">
        <f t="shared" si="226"/>
        <v>38000</v>
      </c>
      <c r="N1731" s="798" t="s">
        <v>17929</v>
      </c>
      <c r="O1731" s="800">
        <f t="shared" si="227"/>
        <v>38000</v>
      </c>
      <c r="P1731" s="800">
        <f t="shared" si="228"/>
        <v>100000</v>
      </c>
      <c r="Q1731" s="801">
        <f t="shared" si="229"/>
        <v>38000</v>
      </c>
    </row>
    <row r="1732" spans="1:17" x14ac:dyDescent="0.2">
      <c r="A1732" s="802" t="s">
        <v>19484</v>
      </c>
      <c r="B1732" s="803" t="s">
        <v>18054</v>
      </c>
      <c r="C1732" s="803" t="s">
        <v>19456</v>
      </c>
      <c r="D1732" s="803" t="s">
        <v>19485</v>
      </c>
      <c r="E1732" s="803" t="s">
        <v>18054</v>
      </c>
      <c r="F1732" s="803">
        <v>1</v>
      </c>
      <c r="G1732" s="803" t="s">
        <v>3779</v>
      </c>
      <c r="H1732" s="803" t="s">
        <v>3779</v>
      </c>
      <c r="I1732" s="804">
        <v>15000</v>
      </c>
      <c r="J1732" s="803">
        <v>1</v>
      </c>
      <c r="K1732" s="804">
        <f>+I1732</f>
        <v>15000</v>
      </c>
      <c r="L1732" s="804">
        <f>+I1732</f>
        <v>15000</v>
      </c>
      <c r="M1732" s="804">
        <f t="shared" si="226"/>
        <v>15000</v>
      </c>
      <c r="N1732" s="803" t="s">
        <v>17925</v>
      </c>
      <c r="O1732" s="805">
        <f t="shared" si="227"/>
        <v>15000</v>
      </c>
      <c r="P1732" s="805">
        <f t="shared" si="228"/>
        <v>15000</v>
      </c>
      <c r="Q1732" s="806">
        <f t="shared" si="229"/>
        <v>15000</v>
      </c>
    </row>
    <row r="1733" spans="1:17" x14ac:dyDescent="0.2">
      <c r="A1733" s="797" t="s">
        <v>19486</v>
      </c>
      <c r="B1733" s="798" t="s">
        <v>18054</v>
      </c>
      <c r="C1733" s="798" t="s">
        <v>19456</v>
      </c>
      <c r="D1733" s="798" t="s">
        <v>19485</v>
      </c>
      <c r="E1733" s="798" t="s">
        <v>18033</v>
      </c>
      <c r="F1733" s="798">
        <v>2</v>
      </c>
      <c r="G1733" s="798" t="s">
        <v>3779</v>
      </c>
      <c r="H1733" s="798" t="s">
        <v>3779</v>
      </c>
      <c r="I1733" s="799">
        <v>20000</v>
      </c>
      <c r="J1733" s="798">
        <v>1</v>
      </c>
      <c r="K1733" s="799">
        <f>+I1733</f>
        <v>20000</v>
      </c>
      <c r="L1733" s="799">
        <f>+I1733</f>
        <v>20000</v>
      </c>
      <c r="M1733" s="799">
        <f t="shared" si="226"/>
        <v>20000</v>
      </c>
      <c r="N1733" s="798" t="s">
        <v>17927</v>
      </c>
      <c r="O1733" s="800">
        <f t="shared" si="227"/>
        <v>20000</v>
      </c>
      <c r="P1733" s="800">
        <f t="shared" si="228"/>
        <v>20000</v>
      </c>
      <c r="Q1733" s="801">
        <f t="shared" si="229"/>
        <v>20000</v>
      </c>
    </row>
    <row r="1734" spans="1:17" x14ac:dyDescent="0.2">
      <c r="A1734" s="802" t="s">
        <v>19487</v>
      </c>
      <c r="B1734" s="803" t="s">
        <v>18054</v>
      </c>
      <c r="C1734" s="803" t="s">
        <v>19456</v>
      </c>
      <c r="D1734" s="803" t="s">
        <v>19485</v>
      </c>
      <c r="E1734" s="803" t="s">
        <v>18061</v>
      </c>
      <c r="F1734" s="803">
        <v>3</v>
      </c>
      <c r="G1734" s="803" t="s">
        <v>3779</v>
      </c>
      <c r="H1734" s="803" t="s">
        <v>3779</v>
      </c>
      <c r="I1734" s="804">
        <v>38000</v>
      </c>
      <c r="J1734" s="803">
        <v>1</v>
      </c>
      <c r="K1734" s="804">
        <v>38000</v>
      </c>
      <c r="L1734" s="804">
        <v>100000</v>
      </c>
      <c r="M1734" s="804">
        <f t="shared" si="226"/>
        <v>38000</v>
      </c>
      <c r="N1734" s="803" t="s">
        <v>17929</v>
      </c>
      <c r="O1734" s="805">
        <f t="shared" si="227"/>
        <v>38000</v>
      </c>
      <c r="P1734" s="805">
        <f t="shared" si="228"/>
        <v>100000</v>
      </c>
      <c r="Q1734" s="806">
        <f t="shared" si="229"/>
        <v>38000</v>
      </c>
    </row>
    <row r="1735" spans="1:17" x14ac:dyDescent="0.2">
      <c r="A1735" s="797" t="s">
        <v>19488</v>
      </c>
      <c r="B1735" s="798" t="s">
        <v>18054</v>
      </c>
      <c r="C1735" s="798" t="s">
        <v>19456</v>
      </c>
      <c r="D1735" s="798" t="s">
        <v>19489</v>
      </c>
      <c r="E1735" s="798" t="s">
        <v>18054</v>
      </c>
      <c r="F1735" s="798">
        <v>1</v>
      </c>
      <c r="G1735" s="798" t="s">
        <v>1103</v>
      </c>
      <c r="H1735" s="798" t="s">
        <v>1103</v>
      </c>
      <c r="I1735" s="799">
        <v>15000</v>
      </c>
      <c r="J1735" s="798">
        <v>1</v>
      </c>
      <c r="K1735" s="799">
        <f>+I1735</f>
        <v>15000</v>
      </c>
      <c r="L1735" s="799">
        <f>+I1735</f>
        <v>15000</v>
      </c>
      <c r="M1735" s="799">
        <f t="shared" si="226"/>
        <v>15000</v>
      </c>
      <c r="N1735" s="798" t="s">
        <v>17925</v>
      </c>
      <c r="O1735" s="800">
        <f t="shared" si="227"/>
        <v>15000</v>
      </c>
      <c r="P1735" s="800">
        <f t="shared" si="228"/>
        <v>15000</v>
      </c>
      <c r="Q1735" s="801">
        <f t="shared" si="229"/>
        <v>15000</v>
      </c>
    </row>
    <row r="1736" spans="1:17" x14ac:dyDescent="0.2">
      <c r="A1736" s="802" t="s">
        <v>19490</v>
      </c>
      <c r="B1736" s="803" t="s">
        <v>18054</v>
      </c>
      <c r="C1736" s="803" t="s">
        <v>19456</v>
      </c>
      <c r="D1736" s="803" t="s">
        <v>19489</v>
      </c>
      <c r="E1736" s="803" t="s">
        <v>18033</v>
      </c>
      <c r="F1736" s="803">
        <v>2</v>
      </c>
      <c r="G1736" s="803" t="s">
        <v>1103</v>
      </c>
      <c r="H1736" s="803" t="s">
        <v>1103</v>
      </c>
      <c r="I1736" s="804">
        <v>20000</v>
      </c>
      <c r="J1736" s="803">
        <v>1</v>
      </c>
      <c r="K1736" s="804">
        <f>+I1736</f>
        <v>20000</v>
      </c>
      <c r="L1736" s="804">
        <f>+I1736</f>
        <v>20000</v>
      </c>
      <c r="M1736" s="804">
        <f t="shared" si="226"/>
        <v>20000</v>
      </c>
      <c r="N1736" s="803" t="s">
        <v>17927</v>
      </c>
      <c r="O1736" s="805">
        <f t="shared" si="227"/>
        <v>20000</v>
      </c>
      <c r="P1736" s="805">
        <f t="shared" si="228"/>
        <v>20000</v>
      </c>
      <c r="Q1736" s="806">
        <f t="shared" si="229"/>
        <v>20000</v>
      </c>
    </row>
    <row r="1737" spans="1:17" x14ac:dyDescent="0.2">
      <c r="A1737" s="797" t="s">
        <v>19491</v>
      </c>
      <c r="B1737" s="798" t="s">
        <v>18054</v>
      </c>
      <c r="C1737" s="798" t="s">
        <v>19456</v>
      </c>
      <c r="D1737" s="798" t="s">
        <v>19489</v>
      </c>
      <c r="E1737" s="798" t="s">
        <v>18061</v>
      </c>
      <c r="F1737" s="798">
        <v>3</v>
      </c>
      <c r="G1737" s="798" t="s">
        <v>1103</v>
      </c>
      <c r="H1737" s="798" t="s">
        <v>1103</v>
      </c>
      <c r="I1737" s="799">
        <v>38000</v>
      </c>
      <c r="J1737" s="798">
        <v>1</v>
      </c>
      <c r="K1737" s="799">
        <v>38000</v>
      </c>
      <c r="L1737" s="799">
        <v>100000</v>
      </c>
      <c r="M1737" s="799">
        <f t="shared" si="226"/>
        <v>38000</v>
      </c>
      <c r="N1737" s="798" t="s">
        <v>17929</v>
      </c>
      <c r="O1737" s="800">
        <f t="shared" si="227"/>
        <v>38000</v>
      </c>
      <c r="P1737" s="800">
        <f t="shared" si="228"/>
        <v>100000</v>
      </c>
      <c r="Q1737" s="801">
        <f t="shared" si="229"/>
        <v>38000</v>
      </c>
    </row>
    <row r="1738" spans="1:17" x14ac:dyDescent="0.2">
      <c r="A1738" s="802" t="s">
        <v>19492</v>
      </c>
      <c r="B1738" s="803" t="s">
        <v>18054</v>
      </c>
      <c r="C1738" s="803" t="s">
        <v>19456</v>
      </c>
      <c r="D1738" s="803" t="s">
        <v>19493</v>
      </c>
      <c r="E1738" s="803" t="s">
        <v>18054</v>
      </c>
      <c r="F1738" s="803">
        <v>1</v>
      </c>
      <c r="G1738" s="803" t="s">
        <v>1103</v>
      </c>
      <c r="H1738" s="803" t="s">
        <v>1103</v>
      </c>
      <c r="I1738" s="804">
        <v>15000</v>
      </c>
      <c r="J1738" s="803">
        <v>1</v>
      </c>
      <c r="K1738" s="804">
        <f>+I1738</f>
        <v>15000</v>
      </c>
      <c r="L1738" s="804">
        <f>+I1738</f>
        <v>15000</v>
      </c>
      <c r="M1738" s="804">
        <f t="shared" si="226"/>
        <v>15000</v>
      </c>
      <c r="N1738" s="803" t="s">
        <v>17925</v>
      </c>
      <c r="O1738" s="805">
        <f t="shared" si="227"/>
        <v>15000</v>
      </c>
      <c r="P1738" s="805">
        <f t="shared" si="228"/>
        <v>15000</v>
      </c>
      <c r="Q1738" s="806">
        <f t="shared" si="229"/>
        <v>15000</v>
      </c>
    </row>
    <row r="1739" spans="1:17" x14ac:dyDescent="0.2">
      <c r="A1739" s="797" t="s">
        <v>19494</v>
      </c>
      <c r="B1739" s="798" t="s">
        <v>18054</v>
      </c>
      <c r="C1739" s="798" t="s">
        <v>19456</v>
      </c>
      <c r="D1739" s="798" t="s">
        <v>19493</v>
      </c>
      <c r="E1739" s="798" t="s">
        <v>18033</v>
      </c>
      <c r="F1739" s="798">
        <v>2</v>
      </c>
      <c r="G1739" s="798" t="s">
        <v>1103</v>
      </c>
      <c r="H1739" s="798" t="s">
        <v>1103</v>
      </c>
      <c r="I1739" s="799">
        <v>20000</v>
      </c>
      <c r="J1739" s="798">
        <v>1</v>
      </c>
      <c r="K1739" s="799">
        <f>+I1739</f>
        <v>20000</v>
      </c>
      <c r="L1739" s="799">
        <f>+I1739</f>
        <v>20000</v>
      </c>
      <c r="M1739" s="799">
        <f t="shared" si="226"/>
        <v>20000</v>
      </c>
      <c r="N1739" s="798" t="s">
        <v>17927</v>
      </c>
      <c r="O1739" s="800">
        <f t="shared" si="227"/>
        <v>20000</v>
      </c>
      <c r="P1739" s="800">
        <f t="shared" si="228"/>
        <v>20000</v>
      </c>
      <c r="Q1739" s="801">
        <f t="shared" si="229"/>
        <v>20000</v>
      </c>
    </row>
    <row r="1740" spans="1:17" x14ac:dyDescent="0.2">
      <c r="A1740" s="802" t="s">
        <v>19495</v>
      </c>
      <c r="B1740" s="803" t="s">
        <v>18054</v>
      </c>
      <c r="C1740" s="803" t="s">
        <v>19456</v>
      </c>
      <c r="D1740" s="803" t="s">
        <v>19493</v>
      </c>
      <c r="E1740" s="803" t="s">
        <v>18061</v>
      </c>
      <c r="F1740" s="803">
        <v>3</v>
      </c>
      <c r="G1740" s="803" t="s">
        <v>1103</v>
      </c>
      <c r="H1740" s="803" t="s">
        <v>1103</v>
      </c>
      <c r="I1740" s="804">
        <v>38000</v>
      </c>
      <c r="J1740" s="803">
        <v>1</v>
      </c>
      <c r="K1740" s="804">
        <v>38000</v>
      </c>
      <c r="L1740" s="804">
        <v>100000</v>
      </c>
      <c r="M1740" s="804">
        <f t="shared" si="226"/>
        <v>38000</v>
      </c>
      <c r="N1740" s="803" t="s">
        <v>17929</v>
      </c>
      <c r="O1740" s="805">
        <f t="shared" si="227"/>
        <v>38000</v>
      </c>
      <c r="P1740" s="805">
        <f t="shared" si="228"/>
        <v>100000</v>
      </c>
      <c r="Q1740" s="806">
        <f t="shared" si="229"/>
        <v>38000</v>
      </c>
    </row>
    <row r="1741" spans="1:17" x14ac:dyDescent="0.2">
      <c r="A1741" s="797" t="s">
        <v>19496</v>
      </c>
      <c r="B1741" s="798" t="s">
        <v>18054</v>
      </c>
      <c r="C1741" s="798" t="s">
        <v>19456</v>
      </c>
      <c r="D1741" s="798" t="s">
        <v>19497</v>
      </c>
      <c r="E1741" s="798" t="s">
        <v>18054</v>
      </c>
      <c r="F1741" s="798">
        <v>1</v>
      </c>
      <c r="G1741" s="798" t="s">
        <v>1947</v>
      </c>
      <c r="H1741" s="798" t="s">
        <v>1947</v>
      </c>
      <c r="I1741" s="799">
        <v>15000</v>
      </c>
      <c r="J1741" s="798">
        <v>1</v>
      </c>
      <c r="K1741" s="799">
        <f>+I1741</f>
        <v>15000</v>
      </c>
      <c r="L1741" s="799">
        <f>+I1741</f>
        <v>15000</v>
      </c>
      <c r="M1741" s="799">
        <f t="shared" si="226"/>
        <v>15000</v>
      </c>
      <c r="N1741" s="798" t="s">
        <v>17925</v>
      </c>
      <c r="O1741" s="800">
        <f t="shared" si="227"/>
        <v>15000</v>
      </c>
      <c r="P1741" s="800">
        <f t="shared" si="228"/>
        <v>15000</v>
      </c>
      <c r="Q1741" s="801">
        <f t="shared" si="229"/>
        <v>15000</v>
      </c>
    </row>
    <row r="1742" spans="1:17" x14ac:dyDescent="0.2">
      <c r="A1742" s="802" t="s">
        <v>19498</v>
      </c>
      <c r="B1742" s="803" t="s">
        <v>18054</v>
      </c>
      <c r="C1742" s="803" t="s">
        <v>19456</v>
      </c>
      <c r="D1742" s="803" t="s">
        <v>19497</v>
      </c>
      <c r="E1742" s="803" t="s">
        <v>18033</v>
      </c>
      <c r="F1742" s="803">
        <v>2</v>
      </c>
      <c r="G1742" s="803" t="s">
        <v>1947</v>
      </c>
      <c r="H1742" s="803" t="s">
        <v>1947</v>
      </c>
      <c r="I1742" s="804">
        <v>20000</v>
      </c>
      <c r="J1742" s="803">
        <v>1</v>
      </c>
      <c r="K1742" s="804">
        <f>+I1742</f>
        <v>20000</v>
      </c>
      <c r="L1742" s="804">
        <f>+I1742</f>
        <v>20000</v>
      </c>
      <c r="M1742" s="804">
        <f t="shared" si="226"/>
        <v>20000</v>
      </c>
      <c r="N1742" s="803" t="s">
        <v>17927</v>
      </c>
      <c r="O1742" s="805">
        <f t="shared" si="227"/>
        <v>20000</v>
      </c>
      <c r="P1742" s="805">
        <f t="shared" si="228"/>
        <v>20000</v>
      </c>
      <c r="Q1742" s="806">
        <f t="shared" si="229"/>
        <v>20000</v>
      </c>
    </row>
    <row r="1743" spans="1:17" x14ac:dyDescent="0.2">
      <c r="A1743" s="797" t="s">
        <v>19499</v>
      </c>
      <c r="B1743" s="798" t="s">
        <v>18054</v>
      </c>
      <c r="C1743" s="798" t="s">
        <v>19456</v>
      </c>
      <c r="D1743" s="798" t="s">
        <v>19497</v>
      </c>
      <c r="E1743" s="798" t="s">
        <v>18061</v>
      </c>
      <c r="F1743" s="798">
        <v>3</v>
      </c>
      <c r="G1743" s="798" t="s">
        <v>1947</v>
      </c>
      <c r="H1743" s="798" t="s">
        <v>1947</v>
      </c>
      <c r="I1743" s="799">
        <v>38000</v>
      </c>
      <c r="J1743" s="798">
        <v>1</v>
      </c>
      <c r="K1743" s="799">
        <v>38000</v>
      </c>
      <c r="L1743" s="799">
        <v>100000</v>
      </c>
      <c r="M1743" s="799">
        <f t="shared" si="226"/>
        <v>38000</v>
      </c>
      <c r="N1743" s="798" t="s">
        <v>17929</v>
      </c>
      <c r="O1743" s="800">
        <f t="shared" si="227"/>
        <v>38000</v>
      </c>
      <c r="P1743" s="800">
        <f t="shared" si="228"/>
        <v>100000</v>
      </c>
      <c r="Q1743" s="801">
        <f t="shared" si="229"/>
        <v>38000</v>
      </c>
    </row>
    <row r="1744" spans="1:17" x14ac:dyDescent="0.2">
      <c r="A1744" s="802" t="s">
        <v>19500</v>
      </c>
      <c r="B1744" s="803" t="s">
        <v>18054</v>
      </c>
      <c r="C1744" s="803" t="s">
        <v>19456</v>
      </c>
      <c r="D1744" s="803" t="s">
        <v>19501</v>
      </c>
      <c r="E1744" s="803" t="s">
        <v>18054</v>
      </c>
      <c r="F1744" s="803">
        <v>1</v>
      </c>
      <c r="G1744" s="803" t="s">
        <v>2837</v>
      </c>
      <c r="H1744" s="803" t="s">
        <v>2837</v>
      </c>
      <c r="I1744" s="804">
        <v>15000</v>
      </c>
      <c r="J1744" s="803">
        <v>1</v>
      </c>
      <c r="K1744" s="804">
        <f>+I1744</f>
        <v>15000</v>
      </c>
      <c r="L1744" s="804">
        <f>+I1744</f>
        <v>15000</v>
      </c>
      <c r="M1744" s="804">
        <f t="shared" si="226"/>
        <v>15000</v>
      </c>
      <c r="N1744" s="803" t="s">
        <v>17925</v>
      </c>
      <c r="O1744" s="805">
        <f t="shared" si="227"/>
        <v>15000</v>
      </c>
      <c r="P1744" s="805">
        <f t="shared" si="228"/>
        <v>15000</v>
      </c>
      <c r="Q1744" s="806">
        <f t="shared" si="229"/>
        <v>15000</v>
      </c>
    </row>
    <row r="1745" spans="1:17" x14ac:dyDescent="0.2">
      <c r="A1745" s="797" t="s">
        <v>19502</v>
      </c>
      <c r="B1745" s="798" t="s">
        <v>18054</v>
      </c>
      <c r="C1745" s="798" t="s">
        <v>19456</v>
      </c>
      <c r="D1745" s="798" t="s">
        <v>19501</v>
      </c>
      <c r="E1745" s="798" t="s">
        <v>18033</v>
      </c>
      <c r="F1745" s="798">
        <v>2</v>
      </c>
      <c r="G1745" s="798" t="s">
        <v>2837</v>
      </c>
      <c r="H1745" s="798" t="s">
        <v>2837</v>
      </c>
      <c r="I1745" s="799">
        <v>20000</v>
      </c>
      <c r="J1745" s="798">
        <v>1</v>
      </c>
      <c r="K1745" s="799">
        <f>+I1745</f>
        <v>20000</v>
      </c>
      <c r="L1745" s="799">
        <f>+I1745</f>
        <v>20000</v>
      </c>
      <c r="M1745" s="799">
        <f t="shared" si="226"/>
        <v>20000</v>
      </c>
      <c r="N1745" s="798" t="s">
        <v>17927</v>
      </c>
      <c r="O1745" s="800">
        <f t="shared" si="227"/>
        <v>20000</v>
      </c>
      <c r="P1745" s="800">
        <f t="shared" si="228"/>
        <v>20000</v>
      </c>
      <c r="Q1745" s="801">
        <f t="shared" si="229"/>
        <v>20000</v>
      </c>
    </row>
    <row r="1746" spans="1:17" x14ac:dyDescent="0.2">
      <c r="A1746" s="802" t="s">
        <v>19503</v>
      </c>
      <c r="B1746" s="803" t="s">
        <v>18054</v>
      </c>
      <c r="C1746" s="803" t="s">
        <v>19456</v>
      </c>
      <c r="D1746" s="803" t="s">
        <v>19501</v>
      </c>
      <c r="E1746" s="803" t="s">
        <v>18061</v>
      </c>
      <c r="F1746" s="803">
        <v>3</v>
      </c>
      <c r="G1746" s="803" t="s">
        <v>2837</v>
      </c>
      <c r="H1746" s="803" t="s">
        <v>2837</v>
      </c>
      <c r="I1746" s="804">
        <v>38000</v>
      </c>
      <c r="J1746" s="803">
        <v>1</v>
      </c>
      <c r="K1746" s="804">
        <v>38000</v>
      </c>
      <c r="L1746" s="804">
        <v>100000</v>
      </c>
      <c r="M1746" s="804">
        <f t="shared" si="226"/>
        <v>38000</v>
      </c>
      <c r="N1746" s="803" t="s">
        <v>17929</v>
      </c>
      <c r="O1746" s="805">
        <f t="shared" si="227"/>
        <v>38000</v>
      </c>
      <c r="P1746" s="805">
        <f t="shared" si="228"/>
        <v>100000</v>
      </c>
      <c r="Q1746" s="806">
        <f t="shared" si="229"/>
        <v>38000</v>
      </c>
    </row>
    <row r="1747" spans="1:17" x14ac:dyDescent="0.2">
      <c r="A1747" s="797" t="s">
        <v>19504</v>
      </c>
      <c r="B1747" s="798" t="s">
        <v>18054</v>
      </c>
      <c r="C1747" s="798" t="s">
        <v>19456</v>
      </c>
      <c r="D1747" s="798" t="s">
        <v>19505</v>
      </c>
      <c r="E1747" s="798" t="s">
        <v>18054</v>
      </c>
      <c r="F1747" s="798">
        <v>1</v>
      </c>
      <c r="G1747" s="798" t="s">
        <v>1103</v>
      </c>
      <c r="H1747" s="798" t="s">
        <v>1103</v>
      </c>
      <c r="I1747" s="799">
        <v>15000</v>
      </c>
      <c r="J1747" s="798">
        <v>1</v>
      </c>
      <c r="K1747" s="799">
        <f>+I1747</f>
        <v>15000</v>
      </c>
      <c r="L1747" s="799">
        <f>+I1747</f>
        <v>15000</v>
      </c>
      <c r="M1747" s="799">
        <f t="shared" si="226"/>
        <v>15000</v>
      </c>
      <c r="N1747" s="798" t="s">
        <v>17925</v>
      </c>
      <c r="O1747" s="800">
        <f t="shared" si="227"/>
        <v>15000</v>
      </c>
      <c r="P1747" s="800">
        <f t="shared" si="228"/>
        <v>15000</v>
      </c>
      <c r="Q1747" s="801">
        <f t="shared" si="229"/>
        <v>15000</v>
      </c>
    </row>
    <row r="1748" spans="1:17" x14ac:dyDescent="0.2">
      <c r="A1748" s="802" t="s">
        <v>19506</v>
      </c>
      <c r="B1748" s="803" t="s">
        <v>18054</v>
      </c>
      <c r="C1748" s="803" t="s">
        <v>19456</v>
      </c>
      <c r="D1748" s="803" t="s">
        <v>19505</v>
      </c>
      <c r="E1748" s="803" t="s">
        <v>18033</v>
      </c>
      <c r="F1748" s="803">
        <v>2</v>
      </c>
      <c r="G1748" s="803" t="s">
        <v>1103</v>
      </c>
      <c r="H1748" s="803" t="s">
        <v>1103</v>
      </c>
      <c r="I1748" s="804">
        <v>20000</v>
      </c>
      <c r="J1748" s="803">
        <v>1</v>
      </c>
      <c r="K1748" s="804">
        <f>+I1748</f>
        <v>20000</v>
      </c>
      <c r="L1748" s="804">
        <f>+I1748</f>
        <v>20000</v>
      </c>
      <c r="M1748" s="804">
        <f t="shared" si="226"/>
        <v>20000</v>
      </c>
      <c r="N1748" s="803" t="s">
        <v>17927</v>
      </c>
      <c r="O1748" s="805">
        <f t="shared" si="227"/>
        <v>20000</v>
      </c>
      <c r="P1748" s="805">
        <f t="shared" si="228"/>
        <v>20000</v>
      </c>
      <c r="Q1748" s="806">
        <f t="shared" si="229"/>
        <v>20000</v>
      </c>
    </row>
    <row r="1749" spans="1:17" x14ac:dyDescent="0.2">
      <c r="A1749" s="797" t="s">
        <v>19507</v>
      </c>
      <c r="B1749" s="798" t="s">
        <v>18054</v>
      </c>
      <c r="C1749" s="798" t="s">
        <v>19456</v>
      </c>
      <c r="D1749" s="798" t="s">
        <v>19505</v>
      </c>
      <c r="E1749" s="798" t="s">
        <v>18061</v>
      </c>
      <c r="F1749" s="798">
        <v>3</v>
      </c>
      <c r="G1749" s="798" t="s">
        <v>1103</v>
      </c>
      <c r="H1749" s="798" t="s">
        <v>1103</v>
      </c>
      <c r="I1749" s="799">
        <v>38000</v>
      </c>
      <c r="J1749" s="798">
        <v>1</v>
      </c>
      <c r="K1749" s="799">
        <v>38000</v>
      </c>
      <c r="L1749" s="799">
        <v>100000</v>
      </c>
      <c r="M1749" s="799">
        <f t="shared" si="226"/>
        <v>38000</v>
      </c>
      <c r="N1749" s="798" t="s">
        <v>17929</v>
      </c>
      <c r="O1749" s="800">
        <f t="shared" si="227"/>
        <v>38000</v>
      </c>
      <c r="P1749" s="800">
        <f t="shared" si="228"/>
        <v>100000</v>
      </c>
      <c r="Q1749" s="801">
        <f t="shared" si="229"/>
        <v>38000</v>
      </c>
    </row>
    <row r="1750" spans="1:17" x14ac:dyDescent="0.2">
      <c r="A1750" s="802" t="s">
        <v>19508</v>
      </c>
      <c r="B1750" s="803" t="s">
        <v>18054</v>
      </c>
      <c r="C1750" s="803" t="s">
        <v>19456</v>
      </c>
      <c r="D1750" s="803" t="s">
        <v>19509</v>
      </c>
      <c r="E1750" s="803" t="s">
        <v>18054</v>
      </c>
      <c r="F1750" s="803">
        <v>1</v>
      </c>
      <c r="G1750" s="803" t="s">
        <v>2837</v>
      </c>
      <c r="H1750" s="803" t="s">
        <v>2837</v>
      </c>
      <c r="I1750" s="804">
        <v>15000</v>
      </c>
      <c r="J1750" s="803">
        <v>1</v>
      </c>
      <c r="K1750" s="804">
        <f>+I1750</f>
        <v>15000</v>
      </c>
      <c r="L1750" s="804">
        <f>+I1750</f>
        <v>15000</v>
      </c>
      <c r="M1750" s="804">
        <f t="shared" si="226"/>
        <v>15000</v>
      </c>
      <c r="N1750" s="803" t="s">
        <v>17925</v>
      </c>
      <c r="O1750" s="805">
        <f t="shared" si="227"/>
        <v>15000</v>
      </c>
      <c r="P1750" s="805">
        <f t="shared" si="228"/>
        <v>15000</v>
      </c>
      <c r="Q1750" s="806">
        <f t="shared" si="229"/>
        <v>15000</v>
      </c>
    </row>
    <row r="1751" spans="1:17" x14ac:dyDescent="0.2">
      <c r="A1751" s="797" t="s">
        <v>19510</v>
      </c>
      <c r="B1751" s="798" t="s">
        <v>18054</v>
      </c>
      <c r="C1751" s="798" t="s">
        <v>19456</v>
      </c>
      <c r="D1751" s="798" t="s">
        <v>19509</v>
      </c>
      <c r="E1751" s="798" t="s">
        <v>18033</v>
      </c>
      <c r="F1751" s="798">
        <v>2</v>
      </c>
      <c r="G1751" s="798" t="s">
        <v>2837</v>
      </c>
      <c r="H1751" s="798" t="s">
        <v>2837</v>
      </c>
      <c r="I1751" s="799">
        <v>20000</v>
      </c>
      <c r="J1751" s="798">
        <v>1</v>
      </c>
      <c r="K1751" s="799">
        <f>+I1751</f>
        <v>20000</v>
      </c>
      <c r="L1751" s="799">
        <f>+I1751</f>
        <v>20000</v>
      </c>
      <c r="M1751" s="799">
        <f t="shared" si="226"/>
        <v>20000</v>
      </c>
      <c r="N1751" s="798" t="s">
        <v>17927</v>
      </c>
      <c r="O1751" s="800">
        <f t="shared" si="227"/>
        <v>20000</v>
      </c>
      <c r="P1751" s="800">
        <f t="shared" si="228"/>
        <v>20000</v>
      </c>
      <c r="Q1751" s="801">
        <f t="shared" si="229"/>
        <v>20000</v>
      </c>
    </row>
    <row r="1752" spans="1:17" x14ac:dyDescent="0.2">
      <c r="A1752" s="802" t="s">
        <v>19511</v>
      </c>
      <c r="B1752" s="803" t="s">
        <v>18054</v>
      </c>
      <c r="C1752" s="803" t="s">
        <v>19456</v>
      </c>
      <c r="D1752" s="803" t="s">
        <v>19509</v>
      </c>
      <c r="E1752" s="803" t="s">
        <v>18061</v>
      </c>
      <c r="F1752" s="803">
        <v>3</v>
      </c>
      <c r="G1752" s="803" t="s">
        <v>2837</v>
      </c>
      <c r="H1752" s="803" t="s">
        <v>2837</v>
      </c>
      <c r="I1752" s="804">
        <v>38000</v>
      </c>
      <c r="J1752" s="803">
        <v>1</v>
      </c>
      <c r="K1752" s="804">
        <v>38000</v>
      </c>
      <c r="L1752" s="804">
        <v>100000</v>
      </c>
      <c r="M1752" s="804">
        <f t="shared" si="226"/>
        <v>38000</v>
      </c>
      <c r="N1752" s="803" t="s">
        <v>17929</v>
      </c>
      <c r="O1752" s="805">
        <f t="shared" si="227"/>
        <v>38000</v>
      </c>
      <c r="P1752" s="805">
        <f t="shared" si="228"/>
        <v>100000</v>
      </c>
      <c r="Q1752" s="806">
        <f t="shared" si="229"/>
        <v>38000</v>
      </c>
    </row>
    <row r="1753" spans="1:17" x14ac:dyDescent="0.2">
      <c r="A1753" s="797" t="s">
        <v>19512</v>
      </c>
      <c r="B1753" s="798" t="s">
        <v>18054</v>
      </c>
      <c r="C1753" s="798" t="s">
        <v>19456</v>
      </c>
      <c r="D1753" s="798" t="s">
        <v>19513</v>
      </c>
      <c r="E1753" s="798" t="s">
        <v>18054</v>
      </c>
      <c r="F1753" s="798">
        <v>1</v>
      </c>
      <c r="G1753" s="798" t="s">
        <v>122</v>
      </c>
      <c r="H1753" s="798" t="s">
        <v>122</v>
      </c>
      <c r="I1753" s="799">
        <v>15000</v>
      </c>
      <c r="J1753" s="798">
        <v>1</v>
      </c>
      <c r="K1753" s="799">
        <f>+I1753</f>
        <v>15000</v>
      </c>
      <c r="L1753" s="799">
        <f>+I1753</f>
        <v>15000</v>
      </c>
      <c r="M1753" s="799">
        <f t="shared" si="226"/>
        <v>15000</v>
      </c>
      <c r="N1753" s="798" t="s">
        <v>17925</v>
      </c>
      <c r="O1753" s="800">
        <f t="shared" si="227"/>
        <v>15000</v>
      </c>
      <c r="P1753" s="800">
        <f t="shared" si="228"/>
        <v>15000</v>
      </c>
      <c r="Q1753" s="801">
        <f t="shared" si="229"/>
        <v>15000</v>
      </c>
    </row>
    <row r="1754" spans="1:17" x14ac:dyDescent="0.2">
      <c r="A1754" s="802" t="s">
        <v>19514</v>
      </c>
      <c r="B1754" s="803" t="s">
        <v>18054</v>
      </c>
      <c r="C1754" s="803" t="s">
        <v>19456</v>
      </c>
      <c r="D1754" s="803" t="s">
        <v>19513</v>
      </c>
      <c r="E1754" s="803" t="s">
        <v>18033</v>
      </c>
      <c r="F1754" s="803">
        <v>2</v>
      </c>
      <c r="G1754" s="803" t="s">
        <v>122</v>
      </c>
      <c r="H1754" s="803" t="s">
        <v>122</v>
      </c>
      <c r="I1754" s="804">
        <v>20000</v>
      </c>
      <c r="J1754" s="803">
        <v>1</v>
      </c>
      <c r="K1754" s="804">
        <f>+I1754</f>
        <v>20000</v>
      </c>
      <c r="L1754" s="804">
        <f>+I1754</f>
        <v>20000</v>
      </c>
      <c r="M1754" s="804">
        <f t="shared" si="226"/>
        <v>20000</v>
      </c>
      <c r="N1754" s="803" t="s">
        <v>17927</v>
      </c>
      <c r="O1754" s="805">
        <f t="shared" si="227"/>
        <v>20000</v>
      </c>
      <c r="P1754" s="805">
        <f t="shared" si="228"/>
        <v>20000</v>
      </c>
      <c r="Q1754" s="806">
        <f t="shared" si="229"/>
        <v>20000</v>
      </c>
    </row>
    <row r="1755" spans="1:17" x14ac:dyDescent="0.2">
      <c r="A1755" s="797" t="s">
        <v>19515</v>
      </c>
      <c r="B1755" s="798" t="s">
        <v>18054</v>
      </c>
      <c r="C1755" s="798" t="s">
        <v>19456</v>
      </c>
      <c r="D1755" s="798" t="s">
        <v>19513</v>
      </c>
      <c r="E1755" s="798" t="s">
        <v>18061</v>
      </c>
      <c r="F1755" s="798">
        <v>3</v>
      </c>
      <c r="G1755" s="798" t="s">
        <v>122</v>
      </c>
      <c r="H1755" s="798" t="s">
        <v>122</v>
      </c>
      <c r="I1755" s="799">
        <v>38000</v>
      </c>
      <c r="J1755" s="798">
        <v>1</v>
      </c>
      <c r="K1755" s="799">
        <v>38000</v>
      </c>
      <c r="L1755" s="799">
        <v>100000</v>
      </c>
      <c r="M1755" s="799">
        <f t="shared" si="226"/>
        <v>38000</v>
      </c>
      <c r="N1755" s="798" t="s">
        <v>17929</v>
      </c>
      <c r="O1755" s="800">
        <f t="shared" si="227"/>
        <v>38000</v>
      </c>
      <c r="P1755" s="800">
        <f t="shared" si="228"/>
        <v>100000</v>
      </c>
      <c r="Q1755" s="801">
        <f t="shared" si="229"/>
        <v>38000</v>
      </c>
    </row>
    <row r="1756" spans="1:17" x14ac:dyDescent="0.2">
      <c r="A1756" s="802" t="s">
        <v>19516</v>
      </c>
      <c r="B1756" s="803" t="s">
        <v>18054</v>
      </c>
      <c r="C1756" s="803" t="s">
        <v>19456</v>
      </c>
      <c r="D1756" s="803" t="s">
        <v>19517</v>
      </c>
      <c r="E1756" s="803" t="s">
        <v>18054</v>
      </c>
      <c r="F1756" s="803">
        <v>1</v>
      </c>
      <c r="G1756" s="803" t="s">
        <v>3779</v>
      </c>
      <c r="H1756" s="803" t="s">
        <v>3779</v>
      </c>
      <c r="I1756" s="804">
        <v>15000</v>
      </c>
      <c r="J1756" s="803">
        <v>1</v>
      </c>
      <c r="K1756" s="804">
        <f>+I1756</f>
        <v>15000</v>
      </c>
      <c r="L1756" s="804">
        <f>+I1756</f>
        <v>15000</v>
      </c>
      <c r="M1756" s="804">
        <f t="shared" si="226"/>
        <v>15000</v>
      </c>
      <c r="N1756" s="803" t="s">
        <v>17925</v>
      </c>
      <c r="O1756" s="805">
        <f t="shared" si="227"/>
        <v>15000</v>
      </c>
      <c r="P1756" s="805">
        <f t="shared" si="228"/>
        <v>15000</v>
      </c>
      <c r="Q1756" s="806">
        <f t="shared" si="229"/>
        <v>15000</v>
      </c>
    </row>
    <row r="1757" spans="1:17" x14ac:dyDescent="0.2">
      <c r="A1757" s="797" t="s">
        <v>19518</v>
      </c>
      <c r="B1757" s="798" t="s">
        <v>18054</v>
      </c>
      <c r="C1757" s="798" t="s">
        <v>19456</v>
      </c>
      <c r="D1757" s="798" t="s">
        <v>19517</v>
      </c>
      <c r="E1757" s="798" t="s">
        <v>18033</v>
      </c>
      <c r="F1757" s="798">
        <v>2</v>
      </c>
      <c r="G1757" s="798" t="s">
        <v>3779</v>
      </c>
      <c r="H1757" s="798" t="s">
        <v>3779</v>
      </c>
      <c r="I1757" s="799">
        <v>20000</v>
      </c>
      <c r="J1757" s="798">
        <v>1</v>
      </c>
      <c r="K1757" s="799">
        <f>+I1757</f>
        <v>20000</v>
      </c>
      <c r="L1757" s="799">
        <f>+I1757</f>
        <v>20000</v>
      </c>
      <c r="M1757" s="799">
        <f t="shared" si="226"/>
        <v>20000</v>
      </c>
      <c r="N1757" s="798" t="s">
        <v>17927</v>
      </c>
      <c r="O1757" s="800">
        <f t="shared" si="227"/>
        <v>20000</v>
      </c>
      <c r="P1757" s="800">
        <f t="shared" si="228"/>
        <v>20000</v>
      </c>
      <c r="Q1757" s="801">
        <f t="shared" si="229"/>
        <v>20000</v>
      </c>
    </row>
    <row r="1758" spans="1:17" x14ac:dyDescent="0.2">
      <c r="A1758" s="802" t="s">
        <v>19519</v>
      </c>
      <c r="B1758" s="803" t="s">
        <v>18054</v>
      </c>
      <c r="C1758" s="803" t="s">
        <v>19456</v>
      </c>
      <c r="D1758" s="803" t="s">
        <v>19517</v>
      </c>
      <c r="E1758" s="803" t="s">
        <v>18061</v>
      </c>
      <c r="F1758" s="803">
        <v>3</v>
      </c>
      <c r="G1758" s="803" t="s">
        <v>3779</v>
      </c>
      <c r="H1758" s="803" t="s">
        <v>3779</v>
      </c>
      <c r="I1758" s="804">
        <v>38000</v>
      </c>
      <c r="J1758" s="803">
        <v>1</v>
      </c>
      <c r="K1758" s="804">
        <v>38000</v>
      </c>
      <c r="L1758" s="804">
        <v>100000</v>
      </c>
      <c r="M1758" s="804">
        <f t="shared" si="226"/>
        <v>38000</v>
      </c>
      <c r="N1758" s="803" t="s">
        <v>17929</v>
      </c>
      <c r="O1758" s="805">
        <f t="shared" si="227"/>
        <v>38000</v>
      </c>
      <c r="P1758" s="805">
        <f t="shared" si="228"/>
        <v>100000</v>
      </c>
      <c r="Q1758" s="806">
        <f t="shared" si="229"/>
        <v>38000</v>
      </c>
    </row>
    <row r="1759" spans="1:17" x14ac:dyDescent="0.2">
      <c r="A1759" s="797" t="s">
        <v>19520</v>
      </c>
      <c r="B1759" s="798" t="s">
        <v>18054</v>
      </c>
      <c r="C1759" s="798" t="s">
        <v>19456</v>
      </c>
      <c r="D1759" s="798" t="s">
        <v>19521</v>
      </c>
      <c r="E1759" s="798" t="s">
        <v>18054</v>
      </c>
      <c r="F1759" s="798">
        <v>1</v>
      </c>
      <c r="G1759" s="798" t="s">
        <v>122</v>
      </c>
      <c r="H1759" s="798" t="s">
        <v>122</v>
      </c>
      <c r="I1759" s="799">
        <v>15000</v>
      </c>
      <c r="J1759" s="798">
        <v>1</v>
      </c>
      <c r="K1759" s="799">
        <f>+I1759</f>
        <v>15000</v>
      </c>
      <c r="L1759" s="799">
        <f>+I1759</f>
        <v>15000</v>
      </c>
      <c r="M1759" s="799">
        <f t="shared" si="226"/>
        <v>15000</v>
      </c>
      <c r="N1759" s="798" t="s">
        <v>17925</v>
      </c>
      <c r="O1759" s="800">
        <f t="shared" si="227"/>
        <v>15000</v>
      </c>
      <c r="P1759" s="800">
        <f t="shared" si="228"/>
        <v>15000</v>
      </c>
      <c r="Q1759" s="801">
        <f t="shared" si="229"/>
        <v>15000</v>
      </c>
    </row>
    <row r="1760" spans="1:17" x14ac:dyDescent="0.2">
      <c r="A1760" s="802" t="s">
        <v>19522</v>
      </c>
      <c r="B1760" s="803" t="s">
        <v>18054</v>
      </c>
      <c r="C1760" s="803" t="s">
        <v>19456</v>
      </c>
      <c r="D1760" s="803" t="s">
        <v>19521</v>
      </c>
      <c r="E1760" s="803" t="s">
        <v>18033</v>
      </c>
      <c r="F1760" s="803">
        <v>2</v>
      </c>
      <c r="G1760" s="803" t="s">
        <v>122</v>
      </c>
      <c r="H1760" s="803" t="s">
        <v>122</v>
      </c>
      <c r="I1760" s="804">
        <v>20000</v>
      </c>
      <c r="J1760" s="803">
        <v>1</v>
      </c>
      <c r="K1760" s="804">
        <f>+I1760</f>
        <v>20000</v>
      </c>
      <c r="L1760" s="804">
        <f>+I1760</f>
        <v>20000</v>
      </c>
      <c r="M1760" s="804">
        <f t="shared" si="226"/>
        <v>20000</v>
      </c>
      <c r="N1760" s="803" t="s">
        <v>17927</v>
      </c>
      <c r="O1760" s="805">
        <f t="shared" si="227"/>
        <v>20000</v>
      </c>
      <c r="P1760" s="805">
        <f t="shared" si="228"/>
        <v>20000</v>
      </c>
      <c r="Q1760" s="806">
        <f t="shared" si="229"/>
        <v>20000</v>
      </c>
    </row>
    <row r="1761" spans="1:17" x14ac:dyDescent="0.2">
      <c r="A1761" s="797" t="s">
        <v>19523</v>
      </c>
      <c r="B1761" s="798" t="s">
        <v>18054</v>
      </c>
      <c r="C1761" s="798" t="s">
        <v>19456</v>
      </c>
      <c r="D1761" s="798" t="s">
        <v>19521</v>
      </c>
      <c r="E1761" s="798" t="s">
        <v>18061</v>
      </c>
      <c r="F1761" s="798">
        <v>3</v>
      </c>
      <c r="G1761" s="798" t="s">
        <v>122</v>
      </c>
      <c r="H1761" s="798" t="s">
        <v>122</v>
      </c>
      <c r="I1761" s="799">
        <v>38000</v>
      </c>
      <c r="J1761" s="798">
        <v>1</v>
      </c>
      <c r="K1761" s="799">
        <v>38000</v>
      </c>
      <c r="L1761" s="799">
        <v>100000</v>
      </c>
      <c r="M1761" s="799">
        <f t="shared" si="226"/>
        <v>38000</v>
      </c>
      <c r="N1761" s="798" t="s">
        <v>17929</v>
      </c>
      <c r="O1761" s="800">
        <f t="shared" si="227"/>
        <v>38000</v>
      </c>
      <c r="P1761" s="800">
        <f t="shared" si="228"/>
        <v>100000</v>
      </c>
      <c r="Q1761" s="801">
        <f t="shared" si="229"/>
        <v>38000</v>
      </c>
    </row>
    <row r="1762" spans="1:17" x14ac:dyDescent="0.2">
      <c r="A1762" s="802" t="s">
        <v>19524</v>
      </c>
      <c r="B1762" s="803" t="s">
        <v>18054</v>
      </c>
      <c r="C1762" s="803" t="s">
        <v>19456</v>
      </c>
      <c r="D1762" s="803" t="s">
        <v>19525</v>
      </c>
      <c r="E1762" s="803" t="s">
        <v>18054</v>
      </c>
      <c r="F1762" s="803">
        <v>1</v>
      </c>
      <c r="G1762" s="803" t="s">
        <v>3779</v>
      </c>
      <c r="H1762" s="803" t="s">
        <v>3779</v>
      </c>
      <c r="I1762" s="804">
        <v>15000</v>
      </c>
      <c r="J1762" s="803">
        <v>1</v>
      </c>
      <c r="K1762" s="804">
        <f>+I1762</f>
        <v>15000</v>
      </c>
      <c r="L1762" s="804">
        <f>+I1762</f>
        <v>15000</v>
      </c>
      <c r="M1762" s="804">
        <f t="shared" si="226"/>
        <v>15000</v>
      </c>
      <c r="N1762" s="803" t="s">
        <v>17925</v>
      </c>
      <c r="O1762" s="805">
        <f t="shared" si="227"/>
        <v>15000</v>
      </c>
      <c r="P1762" s="805">
        <f t="shared" si="228"/>
        <v>15000</v>
      </c>
      <c r="Q1762" s="806">
        <f t="shared" si="229"/>
        <v>15000</v>
      </c>
    </row>
    <row r="1763" spans="1:17" x14ac:dyDescent="0.2">
      <c r="A1763" s="797" t="s">
        <v>19526</v>
      </c>
      <c r="B1763" s="798" t="s">
        <v>18054</v>
      </c>
      <c r="C1763" s="798" t="s">
        <v>19456</v>
      </c>
      <c r="D1763" s="798" t="s">
        <v>19525</v>
      </c>
      <c r="E1763" s="798" t="s">
        <v>18033</v>
      </c>
      <c r="F1763" s="798">
        <v>2</v>
      </c>
      <c r="G1763" s="798" t="s">
        <v>3779</v>
      </c>
      <c r="H1763" s="798" t="s">
        <v>3779</v>
      </c>
      <c r="I1763" s="799">
        <v>20000</v>
      </c>
      <c r="J1763" s="798">
        <v>1</v>
      </c>
      <c r="K1763" s="799">
        <f>+I1763</f>
        <v>20000</v>
      </c>
      <c r="L1763" s="799">
        <f>+I1763</f>
        <v>20000</v>
      </c>
      <c r="M1763" s="799">
        <f t="shared" si="226"/>
        <v>20000</v>
      </c>
      <c r="N1763" s="798" t="s">
        <v>17927</v>
      </c>
      <c r="O1763" s="800">
        <f t="shared" si="227"/>
        <v>20000</v>
      </c>
      <c r="P1763" s="800">
        <f t="shared" si="228"/>
        <v>20000</v>
      </c>
      <c r="Q1763" s="801">
        <f t="shared" si="229"/>
        <v>20000</v>
      </c>
    </row>
    <row r="1764" spans="1:17" x14ac:dyDescent="0.2">
      <c r="A1764" s="802" t="s">
        <v>19527</v>
      </c>
      <c r="B1764" s="803" t="s">
        <v>18054</v>
      </c>
      <c r="C1764" s="803" t="s">
        <v>19456</v>
      </c>
      <c r="D1764" s="803" t="s">
        <v>19525</v>
      </c>
      <c r="E1764" s="803" t="s">
        <v>18061</v>
      </c>
      <c r="F1764" s="803">
        <v>3</v>
      </c>
      <c r="G1764" s="803" t="s">
        <v>3779</v>
      </c>
      <c r="H1764" s="803" t="s">
        <v>3779</v>
      </c>
      <c r="I1764" s="804">
        <v>38000</v>
      </c>
      <c r="J1764" s="803">
        <v>1</v>
      </c>
      <c r="K1764" s="804">
        <v>38000</v>
      </c>
      <c r="L1764" s="804">
        <v>100000</v>
      </c>
      <c r="M1764" s="804">
        <f t="shared" si="226"/>
        <v>38000</v>
      </c>
      <c r="N1764" s="803" t="s">
        <v>17929</v>
      </c>
      <c r="O1764" s="805">
        <f t="shared" si="227"/>
        <v>38000</v>
      </c>
      <c r="P1764" s="805">
        <f t="shared" si="228"/>
        <v>100000</v>
      </c>
      <c r="Q1764" s="806">
        <f t="shared" si="229"/>
        <v>38000</v>
      </c>
    </row>
    <row r="1765" spans="1:17" x14ac:dyDescent="0.2">
      <c r="A1765" s="797" t="s">
        <v>19528</v>
      </c>
      <c r="B1765" s="798" t="s">
        <v>18054</v>
      </c>
      <c r="C1765" s="798" t="s">
        <v>19456</v>
      </c>
      <c r="D1765" s="798" t="s">
        <v>19529</v>
      </c>
      <c r="E1765" s="798" t="s">
        <v>18054</v>
      </c>
      <c r="F1765" s="798">
        <v>1</v>
      </c>
      <c r="G1765" s="798" t="s">
        <v>1103</v>
      </c>
      <c r="H1765" s="798" t="s">
        <v>1103</v>
      </c>
      <c r="I1765" s="799">
        <v>15000</v>
      </c>
      <c r="J1765" s="798">
        <v>1</v>
      </c>
      <c r="K1765" s="799">
        <f>+I1765</f>
        <v>15000</v>
      </c>
      <c r="L1765" s="799">
        <f>+I1765</f>
        <v>15000</v>
      </c>
      <c r="M1765" s="799">
        <f t="shared" si="226"/>
        <v>15000</v>
      </c>
      <c r="N1765" s="798" t="s">
        <v>17925</v>
      </c>
      <c r="O1765" s="800">
        <f t="shared" si="227"/>
        <v>15000</v>
      </c>
      <c r="P1765" s="800">
        <f t="shared" si="228"/>
        <v>15000</v>
      </c>
      <c r="Q1765" s="801">
        <f t="shared" si="229"/>
        <v>15000</v>
      </c>
    </row>
    <row r="1766" spans="1:17" x14ac:dyDescent="0.2">
      <c r="A1766" s="802" t="s">
        <v>19530</v>
      </c>
      <c r="B1766" s="803" t="s">
        <v>18054</v>
      </c>
      <c r="C1766" s="803" t="s">
        <v>19456</v>
      </c>
      <c r="D1766" s="803" t="s">
        <v>19529</v>
      </c>
      <c r="E1766" s="803" t="s">
        <v>18033</v>
      </c>
      <c r="F1766" s="803">
        <v>2</v>
      </c>
      <c r="G1766" s="803" t="s">
        <v>1103</v>
      </c>
      <c r="H1766" s="803" t="s">
        <v>1103</v>
      </c>
      <c r="I1766" s="804">
        <v>20000</v>
      </c>
      <c r="J1766" s="803">
        <v>1</v>
      </c>
      <c r="K1766" s="804">
        <f>+I1766</f>
        <v>20000</v>
      </c>
      <c r="L1766" s="804">
        <f>+I1766</f>
        <v>20000</v>
      </c>
      <c r="M1766" s="804">
        <f t="shared" si="226"/>
        <v>20000</v>
      </c>
      <c r="N1766" s="803" t="s">
        <v>17927</v>
      </c>
      <c r="O1766" s="805">
        <f t="shared" si="227"/>
        <v>20000</v>
      </c>
      <c r="P1766" s="805">
        <f t="shared" si="228"/>
        <v>20000</v>
      </c>
      <c r="Q1766" s="806">
        <f t="shared" si="229"/>
        <v>20000</v>
      </c>
    </row>
    <row r="1767" spans="1:17" x14ac:dyDescent="0.2">
      <c r="A1767" s="797" t="s">
        <v>19531</v>
      </c>
      <c r="B1767" s="798" t="s">
        <v>18054</v>
      </c>
      <c r="C1767" s="798" t="s">
        <v>19456</v>
      </c>
      <c r="D1767" s="798" t="s">
        <v>19529</v>
      </c>
      <c r="E1767" s="798" t="s">
        <v>18061</v>
      </c>
      <c r="F1767" s="798">
        <v>3</v>
      </c>
      <c r="G1767" s="798" t="s">
        <v>1103</v>
      </c>
      <c r="H1767" s="798" t="s">
        <v>1103</v>
      </c>
      <c r="I1767" s="799">
        <v>38000</v>
      </c>
      <c r="J1767" s="798">
        <v>1</v>
      </c>
      <c r="K1767" s="799">
        <v>38000</v>
      </c>
      <c r="L1767" s="799">
        <v>100000</v>
      </c>
      <c r="M1767" s="799">
        <f t="shared" si="226"/>
        <v>38000</v>
      </c>
      <c r="N1767" s="798" t="s">
        <v>17929</v>
      </c>
      <c r="O1767" s="800">
        <f t="shared" si="227"/>
        <v>38000</v>
      </c>
      <c r="P1767" s="800">
        <f t="shared" si="228"/>
        <v>100000</v>
      </c>
      <c r="Q1767" s="801">
        <f t="shared" si="229"/>
        <v>38000</v>
      </c>
    </row>
    <row r="1768" spans="1:17" x14ac:dyDescent="0.2">
      <c r="A1768" s="802" t="s">
        <v>19532</v>
      </c>
      <c r="B1768" s="803" t="s">
        <v>18054</v>
      </c>
      <c r="C1768" s="803" t="s">
        <v>19456</v>
      </c>
      <c r="D1768" s="803" t="s">
        <v>19533</v>
      </c>
      <c r="E1768" s="803" t="s">
        <v>18054</v>
      </c>
      <c r="F1768" s="803">
        <v>1</v>
      </c>
      <c r="G1768" s="803" t="s">
        <v>3779</v>
      </c>
      <c r="H1768" s="803" t="s">
        <v>3779</v>
      </c>
      <c r="I1768" s="804">
        <v>15000</v>
      </c>
      <c r="J1768" s="803">
        <v>1</v>
      </c>
      <c r="K1768" s="804">
        <f>+I1768</f>
        <v>15000</v>
      </c>
      <c r="L1768" s="804">
        <f>+I1768</f>
        <v>15000</v>
      </c>
      <c r="M1768" s="804">
        <f t="shared" si="226"/>
        <v>15000</v>
      </c>
      <c r="N1768" s="803" t="s">
        <v>17925</v>
      </c>
      <c r="O1768" s="805">
        <f t="shared" si="227"/>
        <v>15000</v>
      </c>
      <c r="P1768" s="805">
        <f t="shared" si="228"/>
        <v>15000</v>
      </c>
      <c r="Q1768" s="806">
        <f t="shared" si="229"/>
        <v>15000</v>
      </c>
    </row>
    <row r="1769" spans="1:17" x14ac:dyDescent="0.2">
      <c r="A1769" s="797" t="s">
        <v>19534</v>
      </c>
      <c r="B1769" s="798" t="s">
        <v>18054</v>
      </c>
      <c r="C1769" s="798" t="s">
        <v>19456</v>
      </c>
      <c r="D1769" s="798" t="s">
        <v>19533</v>
      </c>
      <c r="E1769" s="798" t="s">
        <v>18033</v>
      </c>
      <c r="F1769" s="798">
        <v>2</v>
      </c>
      <c r="G1769" s="798" t="s">
        <v>3779</v>
      </c>
      <c r="H1769" s="798" t="s">
        <v>3779</v>
      </c>
      <c r="I1769" s="799">
        <v>20000</v>
      </c>
      <c r="J1769" s="798">
        <v>1</v>
      </c>
      <c r="K1769" s="799">
        <f>+I1769</f>
        <v>20000</v>
      </c>
      <c r="L1769" s="799">
        <f>+I1769</f>
        <v>20000</v>
      </c>
      <c r="M1769" s="799">
        <f t="shared" si="226"/>
        <v>20000</v>
      </c>
      <c r="N1769" s="798" t="s">
        <v>17927</v>
      </c>
      <c r="O1769" s="800">
        <f t="shared" si="227"/>
        <v>20000</v>
      </c>
      <c r="P1769" s="800">
        <f t="shared" si="228"/>
        <v>20000</v>
      </c>
      <c r="Q1769" s="801">
        <f t="shared" si="229"/>
        <v>20000</v>
      </c>
    </row>
    <row r="1770" spans="1:17" x14ac:dyDescent="0.2">
      <c r="A1770" s="802" t="s">
        <v>19535</v>
      </c>
      <c r="B1770" s="803" t="s">
        <v>18054</v>
      </c>
      <c r="C1770" s="803" t="s">
        <v>19456</v>
      </c>
      <c r="D1770" s="803" t="s">
        <v>19533</v>
      </c>
      <c r="E1770" s="803" t="s">
        <v>18061</v>
      </c>
      <c r="F1770" s="803">
        <v>3</v>
      </c>
      <c r="G1770" s="803" t="s">
        <v>3779</v>
      </c>
      <c r="H1770" s="803" t="s">
        <v>3779</v>
      </c>
      <c r="I1770" s="804">
        <v>38000</v>
      </c>
      <c r="J1770" s="803">
        <v>1</v>
      </c>
      <c r="K1770" s="804">
        <v>38000</v>
      </c>
      <c r="L1770" s="804">
        <v>100000</v>
      </c>
      <c r="M1770" s="804">
        <f t="shared" si="226"/>
        <v>38000</v>
      </c>
      <c r="N1770" s="803" t="s">
        <v>17929</v>
      </c>
      <c r="O1770" s="805">
        <f t="shared" si="227"/>
        <v>38000</v>
      </c>
      <c r="P1770" s="805">
        <f t="shared" si="228"/>
        <v>100000</v>
      </c>
      <c r="Q1770" s="806">
        <f t="shared" si="229"/>
        <v>38000</v>
      </c>
    </row>
    <row r="1771" spans="1:17" x14ac:dyDescent="0.2">
      <c r="A1771" s="797" t="s">
        <v>19536</v>
      </c>
      <c r="B1771" s="798" t="s">
        <v>18054</v>
      </c>
      <c r="C1771" s="798" t="s">
        <v>19456</v>
      </c>
      <c r="D1771" s="798" t="s">
        <v>19537</v>
      </c>
      <c r="E1771" s="798" t="s">
        <v>18054</v>
      </c>
      <c r="F1771" s="798">
        <v>1</v>
      </c>
      <c r="G1771" s="798" t="s">
        <v>122</v>
      </c>
      <c r="H1771" s="798" t="s">
        <v>122</v>
      </c>
      <c r="I1771" s="799">
        <v>15000</v>
      </c>
      <c r="J1771" s="798">
        <v>1</v>
      </c>
      <c r="K1771" s="799">
        <f>+I1771</f>
        <v>15000</v>
      </c>
      <c r="L1771" s="799">
        <f>+I1771</f>
        <v>15000</v>
      </c>
      <c r="M1771" s="799">
        <f t="shared" si="226"/>
        <v>15000</v>
      </c>
      <c r="N1771" s="798" t="s">
        <v>17925</v>
      </c>
      <c r="O1771" s="800">
        <f t="shared" si="227"/>
        <v>15000</v>
      </c>
      <c r="P1771" s="800">
        <f t="shared" si="228"/>
        <v>15000</v>
      </c>
      <c r="Q1771" s="801">
        <f t="shared" si="229"/>
        <v>15000</v>
      </c>
    </row>
    <row r="1772" spans="1:17" x14ac:dyDescent="0.2">
      <c r="A1772" s="802" t="s">
        <v>19538</v>
      </c>
      <c r="B1772" s="803" t="s">
        <v>18054</v>
      </c>
      <c r="C1772" s="803" t="s">
        <v>19456</v>
      </c>
      <c r="D1772" s="803" t="s">
        <v>19537</v>
      </c>
      <c r="E1772" s="803" t="s">
        <v>18033</v>
      </c>
      <c r="F1772" s="803">
        <v>2</v>
      </c>
      <c r="G1772" s="803" t="s">
        <v>122</v>
      </c>
      <c r="H1772" s="803" t="s">
        <v>122</v>
      </c>
      <c r="I1772" s="804">
        <v>20000</v>
      </c>
      <c r="J1772" s="803">
        <v>1</v>
      </c>
      <c r="K1772" s="804">
        <f>+I1772</f>
        <v>20000</v>
      </c>
      <c r="L1772" s="804">
        <f>+I1772</f>
        <v>20000</v>
      </c>
      <c r="M1772" s="804">
        <f t="shared" si="226"/>
        <v>20000</v>
      </c>
      <c r="N1772" s="803" t="s">
        <v>17927</v>
      </c>
      <c r="O1772" s="805">
        <f t="shared" si="227"/>
        <v>20000</v>
      </c>
      <c r="P1772" s="805">
        <f t="shared" si="228"/>
        <v>20000</v>
      </c>
      <c r="Q1772" s="806">
        <f t="shared" si="229"/>
        <v>20000</v>
      </c>
    </row>
    <row r="1773" spans="1:17" x14ac:dyDescent="0.2">
      <c r="A1773" s="797" t="s">
        <v>19539</v>
      </c>
      <c r="B1773" s="798" t="s">
        <v>18054</v>
      </c>
      <c r="C1773" s="798" t="s">
        <v>19456</v>
      </c>
      <c r="D1773" s="798" t="s">
        <v>19537</v>
      </c>
      <c r="E1773" s="798" t="s">
        <v>18061</v>
      </c>
      <c r="F1773" s="798">
        <v>3</v>
      </c>
      <c r="G1773" s="798" t="s">
        <v>122</v>
      </c>
      <c r="H1773" s="798" t="s">
        <v>122</v>
      </c>
      <c r="I1773" s="799">
        <v>38000</v>
      </c>
      <c r="J1773" s="798">
        <v>1</v>
      </c>
      <c r="K1773" s="799">
        <v>38000</v>
      </c>
      <c r="L1773" s="799">
        <v>100000</v>
      </c>
      <c r="M1773" s="799">
        <f t="shared" si="226"/>
        <v>38000</v>
      </c>
      <c r="N1773" s="798" t="s">
        <v>17929</v>
      </c>
      <c r="O1773" s="800">
        <f t="shared" si="227"/>
        <v>38000</v>
      </c>
      <c r="P1773" s="800">
        <f t="shared" si="228"/>
        <v>100000</v>
      </c>
      <c r="Q1773" s="801">
        <f t="shared" si="229"/>
        <v>38000</v>
      </c>
    </row>
    <row r="1774" spans="1:17" x14ac:dyDescent="0.2">
      <c r="A1774" s="802" t="s">
        <v>19540</v>
      </c>
      <c r="B1774" s="803" t="s">
        <v>18054</v>
      </c>
      <c r="C1774" s="803" t="s">
        <v>19456</v>
      </c>
      <c r="D1774" s="803" t="s">
        <v>19541</v>
      </c>
      <c r="E1774" s="803" t="s">
        <v>18054</v>
      </c>
      <c r="F1774" s="803">
        <v>1</v>
      </c>
      <c r="G1774" s="803" t="s">
        <v>2837</v>
      </c>
      <c r="H1774" s="803" t="s">
        <v>2837</v>
      </c>
      <c r="I1774" s="804">
        <v>15000</v>
      </c>
      <c r="J1774" s="803">
        <v>1</v>
      </c>
      <c r="K1774" s="804">
        <f>+I1774</f>
        <v>15000</v>
      </c>
      <c r="L1774" s="804">
        <f>+I1774</f>
        <v>15000</v>
      </c>
      <c r="M1774" s="804">
        <f t="shared" si="226"/>
        <v>15000</v>
      </c>
      <c r="N1774" s="803" t="s">
        <v>17925</v>
      </c>
      <c r="O1774" s="805">
        <f t="shared" si="227"/>
        <v>15000</v>
      </c>
      <c r="P1774" s="805">
        <f t="shared" si="228"/>
        <v>15000</v>
      </c>
      <c r="Q1774" s="806">
        <f t="shared" si="229"/>
        <v>15000</v>
      </c>
    </row>
    <row r="1775" spans="1:17" x14ac:dyDescent="0.2">
      <c r="A1775" s="797" t="s">
        <v>19542</v>
      </c>
      <c r="B1775" s="798" t="s">
        <v>18054</v>
      </c>
      <c r="C1775" s="798" t="s">
        <v>19456</v>
      </c>
      <c r="D1775" s="798" t="s">
        <v>19541</v>
      </c>
      <c r="E1775" s="798" t="s">
        <v>18033</v>
      </c>
      <c r="F1775" s="798">
        <v>2</v>
      </c>
      <c r="G1775" s="798" t="s">
        <v>2837</v>
      </c>
      <c r="H1775" s="798" t="s">
        <v>2837</v>
      </c>
      <c r="I1775" s="799">
        <v>20000</v>
      </c>
      <c r="J1775" s="798">
        <v>1</v>
      </c>
      <c r="K1775" s="799">
        <f>+I1775</f>
        <v>20000</v>
      </c>
      <c r="L1775" s="799">
        <f>+I1775</f>
        <v>20000</v>
      </c>
      <c r="M1775" s="799">
        <f t="shared" si="226"/>
        <v>20000</v>
      </c>
      <c r="N1775" s="798" t="s">
        <v>17927</v>
      </c>
      <c r="O1775" s="800">
        <f t="shared" si="227"/>
        <v>20000</v>
      </c>
      <c r="P1775" s="800">
        <f t="shared" si="228"/>
        <v>20000</v>
      </c>
      <c r="Q1775" s="801">
        <f t="shared" si="229"/>
        <v>20000</v>
      </c>
    </row>
    <row r="1776" spans="1:17" x14ac:dyDescent="0.2">
      <c r="A1776" s="802" t="s">
        <v>19543</v>
      </c>
      <c r="B1776" s="803" t="s">
        <v>18054</v>
      </c>
      <c r="C1776" s="803" t="s">
        <v>19456</v>
      </c>
      <c r="D1776" s="803" t="s">
        <v>19541</v>
      </c>
      <c r="E1776" s="803" t="s">
        <v>18061</v>
      </c>
      <c r="F1776" s="803">
        <v>3</v>
      </c>
      <c r="G1776" s="803" t="s">
        <v>2837</v>
      </c>
      <c r="H1776" s="803" t="s">
        <v>2837</v>
      </c>
      <c r="I1776" s="804">
        <v>38000</v>
      </c>
      <c r="J1776" s="803">
        <v>1</v>
      </c>
      <c r="K1776" s="804">
        <v>38000</v>
      </c>
      <c r="L1776" s="804">
        <v>100000</v>
      </c>
      <c r="M1776" s="804">
        <f t="shared" si="226"/>
        <v>38000</v>
      </c>
      <c r="N1776" s="803" t="s">
        <v>17929</v>
      </c>
      <c r="O1776" s="805">
        <f t="shared" si="227"/>
        <v>38000</v>
      </c>
      <c r="P1776" s="805">
        <f t="shared" si="228"/>
        <v>100000</v>
      </c>
      <c r="Q1776" s="806">
        <f t="shared" si="229"/>
        <v>38000</v>
      </c>
    </row>
    <row r="1777" spans="1:17" x14ac:dyDescent="0.2">
      <c r="A1777" s="797" t="s">
        <v>19544</v>
      </c>
      <c r="B1777" s="798" t="s">
        <v>18054</v>
      </c>
      <c r="C1777" s="798" t="s">
        <v>19456</v>
      </c>
      <c r="D1777" s="798" t="s">
        <v>19545</v>
      </c>
      <c r="E1777" s="798" t="s">
        <v>18054</v>
      </c>
      <c r="F1777" s="798">
        <v>1</v>
      </c>
      <c r="G1777" s="798" t="s">
        <v>2837</v>
      </c>
      <c r="H1777" s="798" t="s">
        <v>2837</v>
      </c>
      <c r="I1777" s="799">
        <v>15000</v>
      </c>
      <c r="J1777" s="798">
        <v>1</v>
      </c>
      <c r="K1777" s="799">
        <f>+I1777</f>
        <v>15000</v>
      </c>
      <c r="L1777" s="799">
        <f>+I1777</f>
        <v>15000</v>
      </c>
      <c r="M1777" s="799">
        <f t="shared" si="226"/>
        <v>15000</v>
      </c>
      <c r="N1777" s="798" t="s">
        <v>17925</v>
      </c>
      <c r="O1777" s="800">
        <f t="shared" si="227"/>
        <v>15000</v>
      </c>
      <c r="P1777" s="800">
        <f t="shared" si="228"/>
        <v>15000</v>
      </c>
      <c r="Q1777" s="801">
        <f t="shared" si="229"/>
        <v>15000</v>
      </c>
    </row>
    <row r="1778" spans="1:17" x14ac:dyDescent="0.2">
      <c r="A1778" s="802" t="s">
        <v>19546</v>
      </c>
      <c r="B1778" s="803" t="s">
        <v>18054</v>
      </c>
      <c r="C1778" s="803" t="s">
        <v>19456</v>
      </c>
      <c r="D1778" s="803" t="s">
        <v>19545</v>
      </c>
      <c r="E1778" s="803" t="s">
        <v>18033</v>
      </c>
      <c r="F1778" s="803">
        <v>2</v>
      </c>
      <c r="G1778" s="803" t="s">
        <v>2837</v>
      </c>
      <c r="H1778" s="803" t="s">
        <v>2837</v>
      </c>
      <c r="I1778" s="804">
        <v>20000</v>
      </c>
      <c r="J1778" s="803">
        <v>1</v>
      </c>
      <c r="K1778" s="804">
        <f>+I1778</f>
        <v>20000</v>
      </c>
      <c r="L1778" s="804">
        <f>+I1778</f>
        <v>20000</v>
      </c>
      <c r="M1778" s="804">
        <f t="shared" ref="M1778:M1806" si="230">+I1778</f>
        <v>20000</v>
      </c>
      <c r="N1778" s="803" t="s">
        <v>17927</v>
      </c>
      <c r="O1778" s="805">
        <f t="shared" si="227"/>
        <v>20000</v>
      </c>
      <c r="P1778" s="805">
        <f t="shared" si="228"/>
        <v>20000</v>
      </c>
      <c r="Q1778" s="806">
        <f t="shared" si="229"/>
        <v>20000</v>
      </c>
    </row>
    <row r="1779" spans="1:17" x14ac:dyDescent="0.2">
      <c r="A1779" s="797" t="s">
        <v>19547</v>
      </c>
      <c r="B1779" s="798" t="s">
        <v>18054</v>
      </c>
      <c r="C1779" s="798" t="s">
        <v>19456</v>
      </c>
      <c r="D1779" s="798" t="s">
        <v>19545</v>
      </c>
      <c r="E1779" s="798" t="s">
        <v>18061</v>
      </c>
      <c r="F1779" s="798">
        <v>3</v>
      </c>
      <c r="G1779" s="798" t="s">
        <v>2837</v>
      </c>
      <c r="H1779" s="798" t="s">
        <v>2837</v>
      </c>
      <c r="I1779" s="799">
        <v>38000</v>
      </c>
      <c r="J1779" s="798">
        <v>1</v>
      </c>
      <c r="K1779" s="799">
        <v>38000</v>
      </c>
      <c r="L1779" s="799">
        <v>100000</v>
      </c>
      <c r="M1779" s="799">
        <f t="shared" si="230"/>
        <v>38000</v>
      </c>
      <c r="N1779" s="798" t="s">
        <v>17929</v>
      </c>
      <c r="O1779" s="800">
        <f t="shared" si="227"/>
        <v>38000</v>
      </c>
      <c r="P1779" s="800">
        <f t="shared" si="228"/>
        <v>100000</v>
      </c>
      <c r="Q1779" s="801">
        <f t="shared" si="229"/>
        <v>38000</v>
      </c>
    </row>
    <row r="1780" spans="1:17" x14ac:dyDescent="0.2">
      <c r="A1780" s="802" t="s">
        <v>19548</v>
      </c>
      <c r="B1780" s="803" t="s">
        <v>18054</v>
      </c>
      <c r="C1780" s="803" t="s">
        <v>19456</v>
      </c>
      <c r="D1780" s="803" t="s">
        <v>19549</v>
      </c>
      <c r="E1780" s="803" t="s">
        <v>18054</v>
      </c>
      <c r="F1780" s="803">
        <v>1</v>
      </c>
      <c r="G1780" s="803" t="s">
        <v>1103</v>
      </c>
      <c r="H1780" s="803" t="s">
        <v>1103</v>
      </c>
      <c r="I1780" s="804">
        <v>15000</v>
      </c>
      <c r="J1780" s="803">
        <v>1</v>
      </c>
      <c r="K1780" s="804">
        <f>+I1780</f>
        <v>15000</v>
      </c>
      <c r="L1780" s="804">
        <f>+I1780</f>
        <v>15000</v>
      </c>
      <c r="M1780" s="804">
        <f t="shared" si="230"/>
        <v>15000</v>
      </c>
      <c r="N1780" s="803" t="s">
        <v>17925</v>
      </c>
      <c r="O1780" s="805">
        <f t="shared" si="227"/>
        <v>15000</v>
      </c>
      <c r="P1780" s="805">
        <f t="shared" si="228"/>
        <v>15000</v>
      </c>
      <c r="Q1780" s="806">
        <f t="shared" si="229"/>
        <v>15000</v>
      </c>
    </row>
    <row r="1781" spans="1:17" x14ac:dyDescent="0.2">
      <c r="A1781" s="797" t="s">
        <v>19550</v>
      </c>
      <c r="B1781" s="798" t="s">
        <v>18054</v>
      </c>
      <c r="C1781" s="798" t="s">
        <v>19456</v>
      </c>
      <c r="D1781" s="798" t="s">
        <v>19549</v>
      </c>
      <c r="E1781" s="798" t="s">
        <v>18033</v>
      </c>
      <c r="F1781" s="798">
        <v>2</v>
      </c>
      <c r="G1781" s="798" t="s">
        <v>1103</v>
      </c>
      <c r="H1781" s="798" t="s">
        <v>1103</v>
      </c>
      <c r="I1781" s="799">
        <v>20000</v>
      </c>
      <c r="J1781" s="798">
        <v>1</v>
      </c>
      <c r="K1781" s="799">
        <f>+I1781</f>
        <v>20000</v>
      </c>
      <c r="L1781" s="799">
        <f>+I1781</f>
        <v>20000</v>
      </c>
      <c r="M1781" s="799">
        <f t="shared" si="230"/>
        <v>20000</v>
      </c>
      <c r="N1781" s="798" t="s">
        <v>17927</v>
      </c>
      <c r="O1781" s="800">
        <f t="shared" si="227"/>
        <v>20000</v>
      </c>
      <c r="P1781" s="800">
        <f t="shared" si="228"/>
        <v>20000</v>
      </c>
      <c r="Q1781" s="801">
        <f t="shared" si="229"/>
        <v>20000</v>
      </c>
    </row>
    <row r="1782" spans="1:17" x14ac:dyDescent="0.2">
      <c r="A1782" s="802" t="s">
        <v>19551</v>
      </c>
      <c r="B1782" s="803" t="s">
        <v>18054</v>
      </c>
      <c r="C1782" s="803" t="s">
        <v>19456</v>
      </c>
      <c r="D1782" s="803" t="s">
        <v>19549</v>
      </c>
      <c r="E1782" s="803" t="s">
        <v>18061</v>
      </c>
      <c r="F1782" s="803">
        <v>3</v>
      </c>
      <c r="G1782" s="803" t="s">
        <v>1103</v>
      </c>
      <c r="H1782" s="803" t="s">
        <v>1103</v>
      </c>
      <c r="I1782" s="804">
        <v>38000</v>
      </c>
      <c r="J1782" s="803">
        <v>1</v>
      </c>
      <c r="K1782" s="804">
        <v>38000</v>
      </c>
      <c r="L1782" s="804">
        <v>100000</v>
      </c>
      <c r="M1782" s="804">
        <f t="shared" si="230"/>
        <v>38000</v>
      </c>
      <c r="N1782" s="803" t="s">
        <v>17929</v>
      </c>
      <c r="O1782" s="805">
        <f t="shared" si="227"/>
        <v>38000</v>
      </c>
      <c r="P1782" s="805">
        <f t="shared" si="228"/>
        <v>100000</v>
      </c>
      <c r="Q1782" s="806">
        <f t="shared" si="229"/>
        <v>38000</v>
      </c>
    </row>
    <row r="1783" spans="1:17" x14ac:dyDescent="0.2">
      <c r="A1783" s="797" t="s">
        <v>19552</v>
      </c>
      <c r="B1783" s="798" t="s">
        <v>18054</v>
      </c>
      <c r="C1783" s="798" t="s">
        <v>19456</v>
      </c>
      <c r="D1783" s="798" t="s">
        <v>19553</v>
      </c>
      <c r="E1783" s="798" t="s">
        <v>18054</v>
      </c>
      <c r="F1783" s="798">
        <v>1</v>
      </c>
      <c r="G1783" s="798" t="s">
        <v>1947</v>
      </c>
      <c r="H1783" s="798" t="s">
        <v>1947</v>
      </c>
      <c r="I1783" s="799">
        <v>15000</v>
      </c>
      <c r="J1783" s="798">
        <v>1</v>
      </c>
      <c r="K1783" s="799">
        <f>+I1783</f>
        <v>15000</v>
      </c>
      <c r="L1783" s="799">
        <f>+I1783</f>
        <v>15000</v>
      </c>
      <c r="M1783" s="799">
        <f t="shared" si="230"/>
        <v>15000</v>
      </c>
      <c r="N1783" s="798" t="s">
        <v>17925</v>
      </c>
      <c r="O1783" s="800">
        <f t="shared" si="227"/>
        <v>15000</v>
      </c>
      <c r="P1783" s="800">
        <f t="shared" si="228"/>
        <v>15000</v>
      </c>
      <c r="Q1783" s="801">
        <f t="shared" si="229"/>
        <v>15000</v>
      </c>
    </row>
    <row r="1784" spans="1:17" x14ac:dyDescent="0.2">
      <c r="A1784" s="802" t="s">
        <v>19554</v>
      </c>
      <c r="B1784" s="803" t="s">
        <v>18054</v>
      </c>
      <c r="C1784" s="803" t="s">
        <v>19456</v>
      </c>
      <c r="D1784" s="803" t="s">
        <v>19553</v>
      </c>
      <c r="E1784" s="803" t="s">
        <v>18033</v>
      </c>
      <c r="F1784" s="803">
        <v>2</v>
      </c>
      <c r="G1784" s="803" t="s">
        <v>1947</v>
      </c>
      <c r="H1784" s="803" t="s">
        <v>1947</v>
      </c>
      <c r="I1784" s="804">
        <v>20000</v>
      </c>
      <c r="J1784" s="803">
        <v>1</v>
      </c>
      <c r="K1784" s="804">
        <f>+I1784</f>
        <v>20000</v>
      </c>
      <c r="L1784" s="804">
        <f>+I1784</f>
        <v>20000</v>
      </c>
      <c r="M1784" s="804">
        <f t="shared" si="230"/>
        <v>20000</v>
      </c>
      <c r="N1784" s="803" t="s">
        <v>17927</v>
      </c>
      <c r="O1784" s="805">
        <f t="shared" si="227"/>
        <v>20000</v>
      </c>
      <c r="P1784" s="805">
        <f t="shared" si="228"/>
        <v>20000</v>
      </c>
      <c r="Q1784" s="806">
        <f t="shared" si="229"/>
        <v>20000</v>
      </c>
    </row>
    <row r="1785" spans="1:17" x14ac:dyDescent="0.2">
      <c r="A1785" s="797" t="s">
        <v>19555</v>
      </c>
      <c r="B1785" s="798" t="s">
        <v>18054</v>
      </c>
      <c r="C1785" s="798" t="s">
        <v>19456</v>
      </c>
      <c r="D1785" s="798" t="s">
        <v>19553</v>
      </c>
      <c r="E1785" s="798" t="s">
        <v>18061</v>
      </c>
      <c r="F1785" s="798">
        <v>3</v>
      </c>
      <c r="G1785" s="798" t="s">
        <v>1947</v>
      </c>
      <c r="H1785" s="798" t="s">
        <v>1947</v>
      </c>
      <c r="I1785" s="799">
        <v>38000</v>
      </c>
      <c r="J1785" s="798">
        <v>1</v>
      </c>
      <c r="K1785" s="799">
        <v>38000</v>
      </c>
      <c r="L1785" s="799">
        <v>100000</v>
      </c>
      <c r="M1785" s="799">
        <f t="shared" si="230"/>
        <v>38000</v>
      </c>
      <c r="N1785" s="798" t="s">
        <v>17929</v>
      </c>
      <c r="O1785" s="800">
        <f t="shared" si="227"/>
        <v>38000</v>
      </c>
      <c r="P1785" s="800">
        <f t="shared" si="228"/>
        <v>100000</v>
      </c>
      <c r="Q1785" s="801">
        <f t="shared" si="229"/>
        <v>38000</v>
      </c>
    </row>
    <row r="1786" spans="1:17" x14ac:dyDescent="0.2">
      <c r="A1786" s="802" t="s">
        <v>19556</v>
      </c>
      <c r="B1786" s="803" t="s">
        <v>18054</v>
      </c>
      <c r="C1786" s="803" t="s">
        <v>19456</v>
      </c>
      <c r="D1786" s="803" t="s">
        <v>19557</v>
      </c>
      <c r="E1786" s="803" t="s">
        <v>18054</v>
      </c>
      <c r="F1786" s="803">
        <v>1</v>
      </c>
      <c r="G1786" s="803" t="s">
        <v>1947</v>
      </c>
      <c r="H1786" s="803" t="s">
        <v>1947</v>
      </c>
      <c r="I1786" s="804">
        <v>15000</v>
      </c>
      <c r="J1786" s="803">
        <v>1</v>
      </c>
      <c r="K1786" s="804">
        <f>+I1786</f>
        <v>15000</v>
      </c>
      <c r="L1786" s="804">
        <f>+I1786</f>
        <v>15000</v>
      </c>
      <c r="M1786" s="804">
        <f t="shared" si="230"/>
        <v>15000</v>
      </c>
      <c r="N1786" s="803" t="s">
        <v>17925</v>
      </c>
      <c r="O1786" s="805">
        <f t="shared" si="227"/>
        <v>15000</v>
      </c>
      <c r="P1786" s="805">
        <f t="shared" si="228"/>
        <v>15000</v>
      </c>
      <c r="Q1786" s="806">
        <f t="shared" si="229"/>
        <v>15000</v>
      </c>
    </row>
    <row r="1787" spans="1:17" x14ac:dyDescent="0.2">
      <c r="A1787" s="797" t="s">
        <v>19558</v>
      </c>
      <c r="B1787" s="798" t="s">
        <v>18054</v>
      </c>
      <c r="C1787" s="798" t="s">
        <v>19456</v>
      </c>
      <c r="D1787" s="798" t="s">
        <v>19557</v>
      </c>
      <c r="E1787" s="798" t="s">
        <v>18033</v>
      </c>
      <c r="F1787" s="798">
        <v>2</v>
      </c>
      <c r="G1787" s="798" t="s">
        <v>1947</v>
      </c>
      <c r="H1787" s="798" t="s">
        <v>1947</v>
      </c>
      <c r="I1787" s="799">
        <v>20000</v>
      </c>
      <c r="J1787" s="798">
        <v>1</v>
      </c>
      <c r="K1787" s="799">
        <f>+I1787</f>
        <v>20000</v>
      </c>
      <c r="L1787" s="799">
        <f>+I1787</f>
        <v>20000</v>
      </c>
      <c r="M1787" s="799">
        <f t="shared" si="230"/>
        <v>20000</v>
      </c>
      <c r="N1787" s="798" t="s">
        <v>17927</v>
      </c>
      <c r="O1787" s="800">
        <f t="shared" si="227"/>
        <v>20000</v>
      </c>
      <c r="P1787" s="800">
        <f t="shared" si="228"/>
        <v>20000</v>
      </c>
      <c r="Q1787" s="801">
        <f t="shared" si="229"/>
        <v>20000</v>
      </c>
    </row>
    <row r="1788" spans="1:17" x14ac:dyDescent="0.2">
      <c r="A1788" s="802" t="s">
        <v>19559</v>
      </c>
      <c r="B1788" s="803" t="s">
        <v>18054</v>
      </c>
      <c r="C1788" s="803" t="s">
        <v>19456</v>
      </c>
      <c r="D1788" s="803" t="s">
        <v>19557</v>
      </c>
      <c r="E1788" s="803" t="s">
        <v>18061</v>
      </c>
      <c r="F1788" s="803">
        <v>3</v>
      </c>
      <c r="G1788" s="803" t="s">
        <v>1947</v>
      </c>
      <c r="H1788" s="803" t="s">
        <v>1947</v>
      </c>
      <c r="I1788" s="804">
        <v>38000</v>
      </c>
      <c r="J1788" s="803">
        <v>1</v>
      </c>
      <c r="K1788" s="804">
        <v>38000</v>
      </c>
      <c r="L1788" s="804">
        <v>100000</v>
      </c>
      <c r="M1788" s="804">
        <f t="shared" si="230"/>
        <v>38000</v>
      </c>
      <c r="N1788" s="803" t="s">
        <v>17929</v>
      </c>
      <c r="O1788" s="805">
        <f t="shared" si="227"/>
        <v>38000</v>
      </c>
      <c r="P1788" s="805">
        <f t="shared" si="228"/>
        <v>100000</v>
      </c>
      <c r="Q1788" s="806">
        <f t="shared" si="229"/>
        <v>38000</v>
      </c>
    </row>
    <row r="1789" spans="1:17" x14ac:dyDescent="0.2">
      <c r="A1789" s="802" t="s">
        <v>24072</v>
      </c>
      <c r="B1789" s="803" t="s">
        <v>18054</v>
      </c>
      <c r="C1789" s="803" t="s">
        <v>19636</v>
      </c>
      <c r="D1789" s="803" t="s">
        <v>19639</v>
      </c>
      <c r="E1789" s="803" t="s">
        <v>24077</v>
      </c>
      <c r="F1789" s="803">
        <v>1</v>
      </c>
      <c r="G1789" s="803" t="s">
        <v>122</v>
      </c>
      <c r="H1789" s="803" t="s">
        <v>122</v>
      </c>
      <c r="I1789" s="804" t="s">
        <v>24077</v>
      </c>
      <c r="J1789" s="803">
        <v>80</v>
      </c>
      <c r="K1789" s="804">
        <v>500</v>
      </c>
      <c r="L1789" s="804">
        <v>500</v>
      </c>
      <c r="M1789" s="804">
        <v>500</v>
      </c>
      <c r="N1789" s="803" t="s">
        <v>10772</v>
      </c>
      <c r="O1789" s="805">
        <f t="shared" ref="O1789:O1793" si="231">+J1789*K1789</f>
        <v>40000</v>
      </c>
      <c r="P1789" s="805">
        <f t="shared" ref="P1789:P1793" si="232">+J1789*L1789</f>
        <v>40000</v>
      </c>
      <c r="Q1789" s="806">
        <f t="shared" ref="Q1789:Q1793" si="233">+J1789*M1789</f>
        <v>40000</v>
      </c>
    </row>
    <row r="1790" spans="1:17" x14ac:dyDescent="0.2">
      <c r="A1790" s="802" t="s">
        <v>24073</v>
      </c>
      <c r="B1790" s="803" t="s">
        <v>18054</v>
      </c>
      <c r="C1790" s="803" t="s">
        <v>19636</v>
      </c>
      <c r="D1790" s="803" t="s">
        <v>19737</v>
      </c>
      <c r="E1790" s="803" t="s">
        <v>24077</v>
      </c>
      <c r="F1790" s="803">
        <v>1</v>
      </c>
      <c r="G1790" s="798" t="s">
        <v>1103</v>
      </c>
      <c r="H1790" s="798" t="s">
        <v>1103</v>
      </c>
      <c r="I1790" s="804" t="s">
        <v>24077</v>
      </c>
      <c r="J1790" s="803">
        <v>80</v>
      </c>
      <c r="K1790" s="804">
        <v>500</v>
      </c>
      <c r="L1790" s="804">
        <v>500</v>
      </c>
      <c r="M1790" s="804">
        <v>500</v>
      </c>
      <c r="N1790" s="803" t="s">
        <v>10772</v>
      </c>
      <c r="O1790" s="805">
        <f t="shared" si="231"/>
        <v>40000</v>
      </c>
      <c r="P1790" s="805">
        <f t="shared" si="232"/>
        <v>40000</v>
      </c>
      <c r="Q1790" s="806">
        <f t="shared" si="233"/>
        <v>40000</v>
      </c>
    </row>
    <row r="1791" spans="1:17" x14ac:dyDescent="0.2">
      <c r="A1791" s="802" t="s">
        <v>24074</v>
      </c>
      <c r="B1791" s="803" t="s">
        <v>18054</v>
      </c>
      <c r="C1791" s="803" t="s">
        <v>19636</v>
      </c>
      <c r="D1791" s="803" t="s">
        <v>19793</v>
      </c>
      <c r="E1791" s="803" t="s">
        <v>24077</v>
      </c>
      <c r="F1791" s="803">
        <v>1</v>
      </c>
      <c r="G1791" s="798" t="s">
        <v>1947</v>
      </c>
      <c r="H1791" s="798" t="s">
        <v>1947</v>
      </c>
      <c r="I1791" s="804" t="s">
        <v>24077</v>
      </c>
      <c r="J1791" s="803">
        <v>80</v>
      </c>
      <c r="K1791" s="804">
        <v>500</v>
      </c>
      <c r="L1791" s="804">
        <v>500</v>
      </c>
      <c r="M1791" s="804">
        <v>500</v>
      </c>
      <c r="N1791" s="803" t="s">
        <v>10772</v>
      </c>
      <c r="O1791" s="805">
        <f t="shared" si="231"/>
        <v>40000</v>
      </c>
      <c r="P1791" s="805">
        <f t="shared" si="232"/>
        <v>40000</v>
      </c>
      <c r="Q1791" s="806">
        <f t="shared" si="233"/>
        <v>40000</v>
      </c>
    </row>
    <row r="1792" spans="1:17" x14ac:dyDescent="0.2">
      <c r="A1792" s="802" t="s">
        <v>24075</v>
      </c>
      <c r="B1792" s="803" t="s">
        <v>18054</v>
      </c>
      <c r="C1792" s="803" t="s">
        <v>19636</v>
      </c>
      <c r="D1792" s="803" t="s">
        <v>19863</v>
      </c>
      <c r="E1792" s="803" t="s">
        <v>24077</v>
      </c>
      <c r="F1792" s="803">
        <v>1</v>
      </c>
      <c r="G1792" s="803" t="s">
        <v>2837</v>
      </c>
      <c r="H1792" s="803" t="s">
        <v>2837</v>
      </c>
      <c r="I1792" s="804" t="s">
        <v>24077</v>
      </c>
      <c r="J1792" s="803">
        <v>80</v>
      </c>
      <c r="K1792" s="804">
        <v>500</v>
      </c>
      <c r="L1792" s="804">
        <v>500</v>
      </c>
      <c r="M1792" s="804">
        <v>500</v>
      </c>
      <c r="N1792" s="803" t="s">
        <v>10772</v>
      </c>
      <c r="O1792" s="805">
        <f t="shared" si="231"/>
        <v>40000</v>
      </c>
      <c r="P1792" s="805">
        <f t="shared" si="232"/>
        <v>40000</v>
      </c>
      <c r="Q1792" s="806">
        <f t="shared" si="233"/>
        <v>40000</v>
      </c>
    </row>
    <row r="1793" spans="1:17" x14ac:dyDescent="0.2">
      <c r="A1793" s="802" t="s">
        <v>24076</v>
      </c>
      <c r="B1793" s="803" t="s">
        <v>18054</v>
      </c>
      <c r="C1793" s="803" t="s">
        <v>19636</v>
      </c>
      <c r="D1793" s="803" t="s">
        <v>19938</v>
      </c>
      <c r="E1793" s="803" t="s">
        <v>24077</v>
      </c>
      <c r="F1793" s="803">
        <v>1</v>
      </c>
      <c r="G1793" s="803" t="s">
        <v>3779</v>
      </c>
      <c r="H1793" s="803" t="s">
        <v>3779</v>
      </c>
      <c r="I1793" s="804" t="s">
        <v>24077</v>
      </c>
      <c r="J1793" s="803">
        <v>80</v>
      </c>
      <c r="K1793" s="804">
        <v>500</v>
      </c>
      <c r="L1793" s="804">
        <v>500</v>
      </c>
      <c r="M1793" s="804">
        <v>500</v>
      </c>
      <c r="N1793" s="803" t="s">
        <v>10772</v>
      </c>
      <c r="O1793" s="805">
        <f t="shared" si="231"/>
        <v>40000</v>
      </c>
      <c r="P1793" s="805">
        <f t="shared" si="232"/>
        <v>40000</v>
      </c>
      <c r="Q1793" s="806">
        <f t="shared" si="233"/>
        <v>40000</v>
      </c>
    </row>
    <row r="1794" spans="1:17" x14ac:dyDescent="0.2">
      <c r="A1794" s="797" t="s">
        <v>19560</v>
      </c>
      <c r="B1794" s="798" t="s">
        <v>19561</v>
      </c>
      <c r="C1794" s="798" t="s">
        <v>19374</v>
      </c>
      <c r="D1794" s="798" t="s">
        <v>19562</v>
      </c>
      <c r="E1794" s="798" t="s">
        <v>18019</v>
      </c>
      <c r="F1794" s="798">
        <v>1</v>
      </c>
      <c r="G1794" s="798" t="s">
        <v>1103</v>
      </c>
      <c r="H1794" s="798" t="s">
        <v>1103</v>
      </c>
      <c r="I1794" s="799">
        <v>9000</v>
      </c>
      <c r="J1794" s="798">
        <v>5</v>
      </c>
      <c r="K1794" s="799">
        <f t="shared" ref="K1794:K1806" si="234">+I1794</f>
        <v>9000</v>
      </c>
      <c r="L1794" s="799">
        <f t="shared" ref="L1794:L1806" si="235">+I1794</f>
        <v>9000</v>
      </c>
      <c r="M1794" s="799">
        <f t="shared" si="230"/>
        <v>9000</v>
      </c>
      <c r="N1794" s="798" t="s">
        <v>19385</v>
      </c>
      <c r="O1794" s="800">
        <f t="shared" si="227"/>
        <v>45000</v>
      </c>
      <c r="P1794" s="800">
        <f t="shared" si="228"/>
        <v>45000</v>
      </c>
      <c r="Q1794" s="801">
        <f t="shared" si="229"/>
        <v>45000</v>
      </c>
    </row>
    <row r="1795" spans="1:17" x14ac:dyDescent="0.2">
      <c r="A1795" s="802" t="s">
        <v>19563</v>
      </c>
      <c r="B1795" s="803" t="s">
        <v>19561</v>
      </c>
      <c r="C1795" s="803" t="s">
        <v>19374</v>
      </c>
      <c r="D1795" s="803" t="s">
        <v>19564</v>
      </c>
      <c r="E1795" s="803" t="s">
        <v>18019</v>
      </c>
      <c r="F1795" s="803">
        <v>1</v>
      </c>
      <c r="G1795" s="803" t="s">
        <v>3779</v>
      </c>
      <c r="H1795" s="803" t="s">
        <v>3779</v>
      </c>
      <c r="I1795" s="804">
        <v>9000</v>
      </c>
      <c r="J1795" s="803">
        <v>5</v>
      </c>
      <c r="K1795" s="804">
        <f t="shared" si="234"/>
        <v>9000</v>
      </c>
      <c r="L1795" s="804">
        <f t="shared" si="235"/>
        <v>9000</v>
      </c>
      <c r="M1795" s="804">
        <f t="shared" si="230"/>
        <v>9000</v>
      </c>
      <c r="N1795" s="803" t="s">
        <v>19385</v>
      </c>
      <c r="O1795" s="805">
        <f t="shared" si="227"/>
        <v>45000</v>
      </c>
      <c r="P1795" s="805">
        <f t="shared" si="228"/>
        <v>45000</v>
      </c>
      <c r="Q1795" s="806">
        <f t="shared" si="229"/>
        <v>45000</v>
      </c>
    </row>
    <row r="1796" spans="1:17" x14ac:dyDescent="0.2">
      <c r="A1796" s="797" t="s">
        <v>19565</v>
      </c>
      <c r="B1796" s="798" t="s">
        <v>19561</v>
      </c>
      <c r="C1796" s="798" t="s">
        <v>19374</v>
      </c>
      <c r="D1796" s="798" t="s">
        <v>19566</v>
      </c>
      <c r="E1796" s="798" t="s">
        <v>18019</v>
      </c>
      <c r="F1796" s="798">
        <v>1</v>
      </c>
      <c r="G1796" s="798" t="s">
        <v>1947</v>
      </c>
      <c r="H1796" s="798" t="s">
        <v>1947</v>
      </c>
      <c r="I1796" s="799">
        <v>9000</v>
      </c>
      <c r="J1796" s="798">
        <v>5</v>
      </c>
      <c r="K1796" s="799">
        <f t="shared" si="234"/>
        <v>9000</v>
      </c>
      <c r="L1796" s="799">
        <f t="shared" si="235"/>
        <v>9000</v>
      </c>
      <c r="M1796" s="799">
        <f t="shared" si="230"/>
        <v>9000</v>
      </c>
      <c r="N1796" s="798" t="s">
        <v>19376</v>
      </c>
      <c r="O1796" s="800">
        <f t="shared" si="227"/>
        <v>45000</v>
      </c>
      <c r="P1796" s="800">
        <f t="shared" si="228"/>
        <v>45000</v>
      </c>
      <c r="Q1796" s="801">
        <f t="shared" si="229"/>
        <v>45000</v>
      </c>
    </row>
    <row r="1797" spans="1:17" x14ac:dyDescent="0.2">
      <c r="A1797" s="802" t="s">
        <v>19567</v>
      </c>
      <c r="B1797" s="803" t="s">
        <v>19561</v>
      </c>
      <c r="C1797" s="803" t="s">
        <v>19374</v>
      </c>
      <c r="D1797" s="803" t="s">
        <v>19568</v>
      </c>
      <c r="E1797" s="803" t="s">
        <v>18019</v>
      </c>
      <c r="F1797" s="803">
        <v>1</v>
      </c>
      <c r="G1797" s="803" t="s">
        <v>122</v>
      </c>
      <c r="H1797" s="803" t="s">
        <v>122</v>
      </c>
      <c r="I1797" s="804">
        <v>10000</v>
      </c>
      <c r="J1797" s="803">
        <v>5</v>
      </c>
      <c r="K1797" s="804">
        <f t="shared" si="234"/>
        <v>10000</v>
      </c>
      <c r="L1797" s="804">
        <f t="shared" si="235"/>
        <v>10000</v>
      </c>
      <c r="M1797" s="804">
        <f t="shared" si="230"/>
        <v>10000</v>
      </c>
      <c r="N1797" s="803" t="s">
        <v>19392</v>
      </c>
      <c r="O1797" s="805">
        <f t="shared" si="227"/>
        <v>50000</v>
      </c>
      <c r="P1797" s="805">
        <f t="shared" si="228"/>
        <v>50000</v>
      </c>
      <c r="Q1797" s="806">
        <f t="shared" si="229"/>
        <v>50000</v>
      </c>
    </row>
    <row r="1798" spans="1:17" x14ac:dyDescent="0.2">
      <c r="A1798" s="797" t="s">
        <v>19569</v>
      </c>
      <c r="B1798" s="798" t="s">
        <v>19561</v>
      </c>
      <c r="C1798" s="798" t="s">
        <v>19374</v>
      </c>
      <c r="D1798" s="798" t="s">
        <v>19570</v>
      </c>
      <c r="E1798" s="798" t="s">
        <v>18019</v>
      </c>
      <c r="F1798" s="798">
        <v>1</v>
      </c>
      <c r="G1798" s="798" t="s">
        <v>1947</v>
      </c>
      <c r="H1798" s="798" t="s">
        <v>1947</v>
      </c>
      <c r="I1798" s="799">
        <v>10000</v>
      </c>
      <c r="J1798" s="798">
        <v>5</v>
      </c>
      <c r="K1798" s="799">
        <f t="shared" si="234"/>
        <v>10000</v>
      </c>
      <c r="L1798" s="799">
        <f t="shared" si="235"/>
        <v>10000</v>
      </c>
      <c r="M1798" s="799">
        <f t="shared" si="230"/>
        <v>10000</v>
      </c>
      <c r="N1798" s="798" t="s">
        <v>19392</v>
      </c>
      <c r="O1798" s="800">
        <f t="shared" si="227"/>
        <v>50000</v>
      </c>
      <c r="P1798" s="800">
        <f t="shared" si="228"/>
        <v>50000</v>
      </c>
      <c r="Q1798" s="801">
        <f t="shared" si="229"/>
        <v>50000</v>
      </c>
    </row>
    <row r="1799" spans="1:17" x14ac:dyDescent="0.2">
      <c r="A1799" s="802" t="s">
        <v>19571</v>
      </c>
      <c r="B1799" s="803" t="s">
        <v>19561</v>
      </c>
      <c r="C1799" s="803" t="s">
        <v>19374</v>
      </c>
      <c r="D1799" s="803" t="s">
        <v>19572</v>
      </c>
      <c r="E1799" s="803" t="s">
        <v>18019</v>
      </c>
      <c r="F1799" s="803">
        <v>1</v>
      </c>
      <c r="G1799" s="803" t="s">
        <v>2837</v>
      </c>
      <c r="H1799" s="803" t="s">
        <v>2837</v>
      </c>
      <c r="I1799" s="804">
        <v>10000</v>
      </c>
      <c r="J1799" s="803">
        <v>5</v>
      </c>
      <c r="K1799" s="804">
        <f t="shared" si="234"/>
        <v>10000</v>
      </c>
      <c r="L1799" s="804">
        <f t="shared" si="235"/>
        <v>10000</v>
      </c>
      <c r="M1799" s="804">
        <f t="shared" si="230"/>
        <v>10000</v>
      </c>
      <c r="N1799" s="803" t="s">
        <v>19392</v>
      </c>
      <c r="O1799" s="805">
        <f t="shared" ref="O1799:O1806" si="236">+J1799*K1799</f>
        <v>50000</v>
      </c>
      <c r="P1799" s="805">
        <f t="shared" ref="P1799:P1806" si="237">+J1799*L1799</f>
        <v>50000</v>
      </c>
      <c r="Q1799" s="806">
        <f t="shared" ref="Q1799:Q1806" si="238">+J1799*M1799</f>
        <v>50000</v>
      </c>
    </row>
    <row r="1800" spans="1:17" x14ac:dyDescent="0.2">
      <c r="A1800" s="797" t="s">
        <v>19573</v>
      </c>
      <c r="B1800" s="798" t="s">
        <v>19561</v>
      </c>
      <c r="C1800" s="798" t="s">
        <v>19374</v>
      </c>
      <c r="D1800" s="798" t="s">
        <v>19574</v>
      </c>
      <c r="E1800" s="798" t="s">
        <v>18019</v>
      </c>
      <c r="F1800" s="798">
        <v>1</v>
      </c>
      <c r="G1800" s="798" t="s">
        <v>1103</v>
      </c>
      <c r="H1800" s="798" t="s">
        <v>1103</v>
      </c>
      <c r="I1800" s="799">
        <v>10000</v>
      </c>
      <c r="J1800" s="798">
        <v>5</v>
      </c>
      <c r="K1800" s="799">
        <f t="shared" si="234"/>
        <v>10000</v>
      </c>
      <c r="L1800" s="799">
        <f t="shared" si="235"/>
        <v>10000</v>
      </c>
      <c r="M1800" s="799">
        <f t="shared" si="230"/>
        <v>10000</v>
      </c>
      <c r="N1800" s="798" t="s">
        <v>19397</v>
      </c>
      <c r="O1800" s="800">
        <f t="shared" si="236"/>
        <v>50000</v>
      </c>
      <c r="P1800" s="800">
        <f t="shared" si="237"/>
        <v>50000</v>
      </c>
      <c r="Q1800" s="801">
        <f t="shared" si="238"/>
        <v>50000</v>
      </c>
    </row>
    <row r="1801" spans="1:17" x14ac:dyDescent="0.2">
      <c r="A1801" s="802" t="s">
        <v>19575</v>
      </c>
      <c r="B1801" s="803" t="s">
        <v>19561</v>
      </c>
      <c r="C1801" s="803" t="s">
        <v>19374</v>
      </c>
      <c r="D1801" s="803" t="s">
        <v>19576</v>
      </c>
      <c r="E1801" s="803" t="s">
        <v>18019</v>
      </c>
      <c r="F1801" s="803">
        <v>1</v>
      </c>
      <c r="G1801" s="803" t="s">
        <v>1947</v>
      </c>
      <c r="H1801" s="803" t="s">
        <v>1947</v>
      </c>
      <c r="I1801" s="804">
        <v>10000</v>
      </c>
      <c r="J1801" s="803">
        <v>5</v>
      </c>
      <c r="K1801" s="804">
        <f t="shared" si="234"/>
        <v>10000</v>
      </c>
      <c r="L1801" s="804">
        <f t="shared" si="235"/>
        <v>10000</v>
      </c>
      <c r="M1801" s="804">
        <f t="shared" si="230"/>
        <v>10000</v>
      </c>
      <c r="N1801" s="803" t="s">
        <v>19397</v>
      </c>
      <c r="O1801" s="805">
        <f t="shared" si="236"/>
        <v>50000</v>
      </c>
      <c r="P1801" s="805">
        <f t="shared" si="237"/>
        <v>50000</v>
      </c>
      <c r="Q1801" s="806">
        <f t="shared" si="238"/>
        <v>50000</v>
      </c>
    </row>
    <row r="1802" spans="1:17" x14ac:dyDescent="0.2">
      <c r="A1802" s="797" t="s">
        <v>19577</v>
      </c>
      <c r="B1802" s="798" t="s">
        <v>19561</v>
      </c>
      <c r="C1802" s="798" t="s">
        <v>19374</v>
      </c>
      <c r="D1802" s="798" t="s">
        <v>19578</v>
      </c>
      <c r="E1802" s="798" t="s">
        <v>18019</v>
      </c>
      <c r="F1802" s="798">
        <v>1</v>
      </c>
      <c r="G1802" s="798" t="s">
        <v>1103</v>
      </c>
      <c r="H1802" s="798" t="s">
        <v>1103</v>
      </c>
      <c r="I1802" s="799">
        <v>11000</v>
      </c>
      <c r="J1802" s="798">
        <v>5</v>
      </c>
      <c r="K1802" s="799">
        <f t="shared" si="234"/>
        <v>11000</v>
      </c>
      <c r="L1802" s="799">
        <f t="shared" si="235"/>
        <v>11000</v>
      </c>
      <c r="M1802" s="799">
        <f t="shared" si="230"/>
        <v>11000</v>
      </c>
      <c r="N1802" s="798" t="s">
        <v>19404</v>
      </c>
      <c r="O1802" s="800">
        <f t="shared" si="236"/>
        <v>55000</v>
      </c>
      <c r="P1802" s="800">
        <f t="shared" si="237"/>
        <v>55000</v>
      </c>
      <c r="Q1802" s="801">
        <f t="shared" si="238"/>
        <v>55000</v>
      </c>
    </row>
    <row r="1803" spans="1:17" x14ac:dyDescent="0.2">
      <c r="A1803" s="802" t="s">
        <v>19579</v>
      </c>
      <c r="B1803" s="803" t="s">
        <v>19561</v>
      </c>
      <c r="C1803" s="803" t="s">
        <v>19374</v>
      </c>
      <c r="D1803" s="803" t="s">
        <v>19580</v>
      </c>
      <c r="E1803" s="803" t="s">
        <v>18019</v>
      </c>
      <c r="F1803" s="803">
        <v>1</v>
      </c>
      <c r="G1803" s="803" t="s">
        <v>2837</v>
      </c>
      <c r="H1803" s="803" t="s">
        <v>2837</v>
      </c>
      <c r="I1803" s="804">
        <v>11000</v>
      </c>
      <c r="J1803" s="803">
        <v>5</v>
      </c>
      <c r="K1803" s="804">
        <f t="shared" si="234"/>
        <v>11000</v>
      </c>
      <c r="L1803" s="804">
        <f t="shared" si="235"/>
        <v>11000</v>
      </c>
      <c r="M1803" s="804">
        <f t="shared" si="230"/>
        <v>11000</v>
      </c>
      <c r="N1803" s="803" t="s">
        <v>19404</v>
      </c>
      <c r="O1803" s="805">
        <f t="shared" si="236"/>
        <v>55000</v>
      </c>
      <c r="P1803" s="805">
        <f t="shared" si="237"/>
        <v>55000</v>
      </c>
      <c r="Q1803" s="806">
        <f t="shared" si="238"/>
        <v>55000</v>
      </c>
    </row>
    <row r="1804" spans="1:17" x14ac:dyDescent="0.2">
      <c r="A1804" s="797" t="s">
        <v>19581</v>
      </c>
      <c r="B1804" s="798" t="s">
        <v>19561</v>
      </c>
      <c r="C1804" s="798" t="s">
        <v>19374</v>
      </c>
      <c r="D1804" s="798" t="s">
        <v>19582</v>
      </c>
      <c r="E1804" s="798" t="s">
        <v>18019</v>
      </c>
      <c r="F1804" s="798">
        <v>1</v>
      </c>
      <c r="G1804" s="798" t="s">
        <v>2837</v>
      </c>
      <c r="H1804" s="798" t="s">
        <v>2837</v>
      </c>
      <c r="I1804" s="799">
        <v>12000</v>
      </c>
      <c r="J1804" s="798">
        <v>5</v>
      </c>
      <c r="K1804" s="799">
        <f t="shared" si="234"/>
        <v>12000</v>
      </c>
      <c r="L1804" s="799">
        <f t="shared" si="235"/>
        <v>12000</v>
      </c>
      <c r="M1804" s="799">
        <f t="shared" si="230"/>
        <v>12000</v>
      </c>
      <c r="N1804" s="798" t="s">
        <v>19411</v>
      </c>
      <c r="O1804" s="800">
        <f t="shared" si="236"/>
        <v>60000</v>
      </c>
      <c r="P1804" s="800">
        <f t="shared" si="237"/>
        <v>60000</v>
      </c>
      <c r="Q1804" s="801">
        <f t="shared" si="238"/>
        <v>60000</v>
      </c>
    </row>
    <row r="1805" spans="1:17" x14ac:dyDescent="0.2">
      <c r="A1805" s="802" t="s">
        <v>19583</v>
      </c>
      <c r="B1805" s="803" t="s">
        <v>19561</v>
      </c>
      <c r="C1805" s="803" t="s">
        <v>19374</v>
      </c>
      <c r="D1805" s="803" t="s">
        <v>19584</v>
      </c>
      <c r="E1805" s="803" t="s">
        <v>18019</v>
      </c>
      <c r="F1805" s="803">
        <v>1</v>
      </c>
      <c r="G1805" s="803" t="s">
        <v>3779</v>
      </c>
      <c r="H1805" s="803" t="s">
        <v>3779</v>
      </c>
      <c r="I1805" s="804">
        <v>12000</v>
      </c>
      <c r="J1805" s="803">
        <v>5</v>
      </c>
      <c r="K1805" s="804">
        <f t="shared" si="234"/>
        <v>12000</v>
      </c>
      <c r="L1805" s="804">
        <f t="shared" si="235"/>
        <v>12000</v>
      </c>
      <c r="M1805" s="804">
        <f t="shared" si="230"/>
        <v>12000</v>
      </c>
      <c r="N1805" s="803" t="s">
        <v>19411</v>
      </c>
      <c r="O1805" s="805">
        <f t="shared" si="236"/>
        <v>60000</v>
      </c>
      <c r="P1805" s="805">
        <f t="shared" si="237"/>
        <v>60000</v>
      </c>
      <c r="Q1805" s="806">
        <f t="shared" si="238"/>
        <v>60000</v>
      </c>
    </row>
    <row r="1806" spans="1:17" x14ac:dyDescent="0.2">
      <c r="A1806" s="807" t="s">
        <v>19585</v>
      </c>
      <c r="B1806" s="808" t="s">
        <v>19561</v>
      </c>
      <c r="C1806" s="808" t="s">
        <v>19374</v>
      </c>
      <c r="D1806" s="808" t="s">
        <v>19586</v>
      </c>
      <c r="E1806" s="808" t="s">
        <v>18019</v>
      </c>
      <c r="F1806" s="808">
        <v>1</v>
      </c>
      <c r="G1806" s="808" t="s">
        <v>1947</v>
      </c>
      <c r="H1806" s="808" t="s">
        <v>1947</v>
      </c>
      <c r="I1806" s="809">
        <v>12000</v>
      </c>
      <c r="J1806" s="808">
        <v>5</v>
      </c>
      <c r="K1806" s="809">
        <f t="shared" si="234"/>
        <v>12000</v>
      </c>
      <c r="L1806" s="809">
        <f t="shared" si="235"/>
        <v>12000</v>
      </c>
      <c r="M1806" s="809">
        <f t="shared" si="230"/>
        <v>12000</v>
      </c>
      <c r="N1806" s="808" t="s">
        <v>19418</v>
      </c>
      <c r="O1806" s="810">
        <f t="shared" si="236"/>
        <v>60000</v>
      </c>
      <c r="P1806" s="810">
        <f t="shared" si="237"/>
        <v>60000</v>
      </c>
      <c r="Q1806" s="811">
        <f t="shared" si="238"/>
        <v>60000</v>
      </c>
    </row>
  </sheetData>
  <autoFilter ref="A1:Q1806" xr:uid="{A8861571-9EBB-4233-8269-92E139B10D69}"/>
  <sortState xmlns:xlrd2="http://schemas.microsoft.com/office/spreadsheetml/2017/richdata2" ref="D657:S660">
    <sortCondition ref="D657:D660"/>
  </sortState>
  <phoneticPr fontId="26" type="noConversion"/>
  <pageMargins left="0.2" right="0.2" top="0.3621875" bottom="0.2" header="0.2" footer="0"/>
  <pageSetup scale="57" fitToHeight="0" orientation="landscape" r:id="rId1"/>
  <headerFooter>
    <oddHeader>&amp;L&amp;"-,Bold"&amp;14Dragalia Lost V3 Re;Works Quest List</oddHeader>
  </headerFooter>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09A36B-DB49-42CD-B15D-EF912FFFEA81}">
  <sheetPr>
    <pageSetUpPr fitToPage="1"/>
  </sheetPr>
  <dimension ref="A1:BL80"/>
  <sheetViews>
    <sheetView zoomScaleNormal="100" workbookViewId="0">
      <selection activeCell="D6" sqref="D6"/>
    </sheetView>
  </sheetViews>
  <sheetFormatPr defaultRowHeight="14.25" outlineLevelCol="1" x14ac:dyDescent="0.2"/>
  <cols>
    <col min="1" max="1" width="5.625" customWidth="1" outlineLevel="1"/>
    <col min="2" max="2" width="5.375" customWidth="1" outlineLevel="1"/>
    <col min="3" max="3" width="4.875" customWidth="1" outlineLevel="1"/>
    <col min="4" max="4" width="4.625" customWidth="1" outlineLevel="1"/>
    <col min="5" max="5" width="7.125" customWidth="1" outlineLevel="1"/>
    <col min="6" max="6" width="3.625" customWidth="1" outlineLevel="1"/>
    <col min="7" max="7" width="15.125" customWidth="1" outlineLevel="1" collapsed="1"/>
    <col min="8" max="8" width="4.375" customWidth="1" outlineLevel="1"/>
    <col min="9" max="9" width="25.375" customWidth="1" outlineLevel="1"/>
    <col min="10" max="10" width="4.375" customWidth="1" outlineLevel="1"/>
    <col min="11" max="11" width="18.125" customWidth="1" outlineLevel="1"/>
    <col min="12" max="12" width="4.375" customWidth="1" outlineLevel="1"/>
    <col min="13" max="13" width="13.625" customWidth="1" outlineLevel="1"/>
    <col min="14" max="14" width="4.375" customWidth="1" outlineLevel="1"/>
    <col min="15" max="15" width="10.875" customWidth="1" outlineLevel="1"/>
    <col min="16" max="16" width="4.375" customWidth="1" outlineLevel="1"/>
    <col min="17" max="17" width="10.875" customWidth="1" outlineLevel="1"/>
    <col min="18" max="18" width="2.5" customWidth="1"/>
    <col min="19" max="19" width="5.625" hidden="1" customWidth="1" outlineLevel="1"/>
    <col min="20" max="20" width="5.375" hidden="1" customWidth="1" outlineLevel="1"/>
    <col min="21" max="22" width="4.875" hidden="1" customWidth="1" outlineLevel="1"/>
    <col min="23" max="23" width="7.125" hidden="1" customWidth="1" outlineLevel="1"/>
    <col min="24" max="24" width="4.875" hidden="1" customWidth="1" outlineLevel="1"/>
    <col min="25" max="25" width="5.625" hidden="1" customWidth="1" outlineLevel="1"/>
    <col min="26" max="26" width="5.375" hidden="1" customWidth="1" outlineLevel="1"/>
    <col min="27" max="28" width="4.875" hidden="1" customWidth="1" outlineLevel="1"/>
    <col min="29" max="29" width="7.125" hidden="1" customWidth="1" outlineLevel="1"/>
    <col min="30" max="30" width="4.875" hidden="1" customWidth="1" outlineLevel="1"/>
    <col min="31" max="34" width="6.25" hidden="1" customWidth="1" outlineLevel="1"/>
    <col min="35" max="35" width="7.125" hidden="1" customWidth="1" outlineLevel="1"/>
    <col min="36" max="36" width="4.875" hidden="1" customWidth="1" outlineLevel="1"/>
    <col min="37" max="37" width="5.625" hidden="1" customWidth="1" outlineLevel="1"/>
    <col min="38" max="38" width="5.375" hidden="1" customWidth="1" outlineLevel="1"/>
    <col min="39" max="40" width="4.875" hidden="1" customWidth="1" outlineLevel="1"/>
    <col min="41" max="41" width="7.125" hidden="1" customWidth="1" outlineLevel="1"/>
    <col min="42" max="42" width="4.875" hidden="1" customWidth="1" outlineLevel="1"/>
    <col min="43" max="46" width="6.25" hidden="1" customWidth="1" outlineLevel="1"/>
    <col min="47" max="47" width="7.125" hidden="1" customWidth="1" outlineLevel="1"/>
    <col min="48" max="48" width="4.875" hidden="1" customWidth="1" outlineLevel="1"/>
    <col min="49" max="49" width="2.5" customWidth="1" collapsed="1"/>
    <col min="50" max="50" width="25.375" customWidth="1" outlineLevel="1"/>
    <col min="51" max="54" width="6.25" customWidth="1" outlineLevel="1"/>
    <col min="55" max="55" width="7.125" customWidth="1" outlineLevel="1"/>
    <col min="56" max="56" width="7.25" customWidth="1" outlineLevel="1"/>
    <col min="57" max="57" width="2.5" customWidth="1"/>
    <col min="58" max="61" width="6.25" customWidth="1" outlineLevel="1"/>
    <col min="62" max="62" width="7.125" customWidth="1" outlineLevel="1"/>
    <col min="63" max="63" width="6.25" customWidth="1" outlineLevel="1"/>
    <col min="64" max="64" width="2.5" customWidth="1"/>
  </cols>
  <sheetData>
    <row r="1" spans="1:64" x14ac:dyDescent="0.2">
      <c r="A1" s="95" t="s">
        <v>122</v>
      </c>
      <c r="B1" s="67" t="s">
        <v>1103</v>
      </c>
      <c r="C1" s="67" t="s">
        <v>1947</v>
      </c>
      <c r="D1" s="67" t="s">
        <v>2837</v>
      </c>
      <c r="E1" s="67" t="s">
        <v>3779</v>
      </c>
      <c r="F1" s="67" t="s">
        <v>17824</v>
      </c>
      <c r="G1" s="67" t="s">
        <v>17509</v>
      </c>
      <c r="H1" s="67" t="s">
        <v>19587</v>
      </c>
      <c r="I1" s="67" t="s">
        <v>19588</v>
      </c>
      <c r="J1" s="67" t="s">
        <v>19589</v>
      </c>
      <c r="K1" s="67" t="s">
        <v>19590</v>
      </c>
      <c r="L1" s="67" t="s">
        <v>19591</v>
      </c>
      <c r="M1" s="67" t="s">
        <v>19592</v>
      </c>
      <c r="N1" s="67" t="s">
        <v>19593</v>
      </c>
      <c r="O1" s="67" t="s">
        <v>19594</v>
      </c>
      <c r="P1" s="67" t="s">
        <v>19595</v>
      </c>
      <c r="Q1" s="97" t="s">
        <v>19596</v>
      </c>
      <c r="R1" s="1"/>
      <c r="S1" s="95" t="s">
        <v>122</v>
      </c>
      <c r="T1" s="67" t="s">
        <v>1103</v>
      </c>
      <c r="U1" s="67" t="s">
        <v>1947</v>
      </c>
      <c r="V1" s="67" t="s">
        <v>2837</v>
      </c>
      <c r="W1" s="67" t="s">
        <v>3779</v>
      </c>
      <c r="X1" s="97" t="s">
        <v>17824</v>
      </c>
      <c r="Y1" s="95" t="s">
        <v>122</v>
      </c>
      <c r="Z1" s="67" t="s">
        <v>1103</v>
      </c>
      <c r="AA1" s="67" t="s">
        <v>1947</v>
      </c>
      <c r="AB1" s="67" t="s">
        <v>2837</v>
      </c>
      <c r="AC1" s="67" t="s">
        <v>3779</v>
      </c>
      <c r="AD1" s="97" t="s">
        <v>17824</v>
      </c>
      <c r="AE1" s="95" t="s">
        <v>122</v>
      </c>
      <c r="AF1" s="67" t="s">
        <v>1103</v>
      </c>
      <c r="AG1" s="67" t="s">
        <v>1947</v>
      </c>
      <c r="AH1" s="67" t="s">
        <v>2837</v>
      </c>
      <c r="AI1" s="67" t="s">
        <v>3779</v>
      </c>
      <c r="AJ1" s="97" t="s">
        <v>17824</v>
      </c>
      <c r="AK1" s="95" t="s">
        <v>122</v>
      </c>
      <c r="AL1" s="67" t="s">
        <v>1103</v>
      </c>
      <c r="AM1" s="67" t="s">
        <v>1947</v>
      </c>
      <c r="AN1" s="67" t="s">
        <v>2837</v>
      </c>
      <c r="AO1" s="67" t="s">
        <v>3779</v>
      </c>
      <c r="AP1" s="97" t="s">
        <v>17824</v>
      </c>
      <c r="AQ1" s="95" t="s">
        <v>122</v>
      </c>
      <c r="AR1" s="67" t="s">
        <v>1103</v>
      </c>
      <c r="AS1" s="67" t="s">
        <v>1947</v>
      </c>
      <c r="AT1" s="67" t="s">
        <v>2837</v>
      </c>
      <c r="AU1" s="67" t="s">
        <v>3779</v>
      </c>
      <c r="AV1" s="97" t="s">
        <v>17824</v>
      </c>
      <c r="AW1" s="1"/>
      <c r="AX1" s="95" t="s">
        <v>19597</v>
      </c>
      <c r="AY1" s="67" t="s">
        <v>122</v>
      </c>
      <c r="AZ1" s="67" t="s">
        <v>1103</v>
      </c>
      <c r="BA1" s="67" t="s">
        <v>1947</v>
      </c>
      <c r="BB1" s="67" t="s">
        <v>2837</v>
      </c>
      <c r="BC1" s="67" t="s">
        <v>3779</v>
      </c>
      <c r="BD1" s="97" t="s">
        <v>15613</v>
      </c>
      <c r="BE1" s="1"/>
      <c r="BF1" s="95" t="s">
        <v>122</v>
      </c>
      <c r="BG1" s="67" t="s">
        <v>1103</v>
      </c>
      <c r="BH1" s="67" t="s">
        <v>1947</v>
      </c>
      <c r="BI1" s="67" t="s">
        <v>2837</v>
      </c>
      <c r="BJ1" s="67" t="s">
        <v>3779</v>
      </c>
      <c r="BK1" s="97" t="s">
        <v>17824</v>
      </c>
      <c r="BL1" s="1"/>
    </row>
    <row r="2" spans="1:64" x14ac:dyDescent="0.2">
      <c r="A2">
        <f>+SUMIFS(Quest!$J:$J,Quest!$H:$H,QDrop!A$1,Quest!$N:$N,QDrop!$G2)</f>
        <v>11</v>
      </c>
      <c r="B2">
        <f>+SUMIFS(Quest!$J:$J,Quest!$H:$H,QDrop!B$1,Quest!$N:$N,QDrop!$G2)</f>
        <v>8</v>
      </c>
      <c r="C2">
        <f>+SUMIFS(Quest!$J:$J,Quest!$H:$H,QDrop!C$1,Quest!$N:$N,QDrop!$G2)</f>
        <v>11</v>
      </c>
      <c r="D2">
        <f>+SUMIFS(Quest!$J:$J,Quest!$H:$H,QDrop!D$1,Quest!$N:$N,QDrop!$G2)</f>
        <v>8</v>
      </c>
      <c r="E2">
        <f>+SUMIFS(Quest!$J:$J,Quest!$H:$H,QDrop!E$1,Quest!$N:$N,QDrop!$G2)</f>
        <v>8</v>
      </c>
      <c r="F2">
        <f>+SUMIFS(Quest!$J:$J,Quest!$H:$H,QDrop!F$1,Quest!$N:$N,QDrop!$G2)</f>
        <v>1</v>
      </c>
      <c r="G2" t="s">
        <v>16665</v>
      </c>
      <c r="H2">
        <v>2</v>
      </c>
      <c r="I2" t="s">
        <v>19598</v>
      </c>
      <c r="S2" s="206">
        <f t="shared" ref="S2:X2" si="0">+$H2*A2</f>
        <v>22</v>
      </c>
      <c r="T2" s="175">
        <f t="shared" si="0"/>
        <v>16</v>
      </c>
      <c r="U2" s="175">
        <f t="shared" si="0"/>
        <v>22</v>
      </c>
      <c r="V2" s="175">
        <f t="shared" si="0"/>
        <v>16</v>
      </c>
      <c r="W2" s="175">
        <f t="shared" si="0"/>
        <v>16</v>
      </c>
      <c r="X2" s="207">
        <f t="shared" si="0"/>
        <v>2</v>
      </c>
      <c r="Y2" s="206">
        <f>+$J2*A2</f>
        <v>0</v>
      </c>
      <c r="Z2" s="175">
        <f t="shared" ref="Z2:AD2" si="1">+$J2*B2</f>
        <v>0</v>
      </c>
      <c r="AA2" s="175">
        <f t="shared" si="1"/>
        <v>0</v>
      </c>
      <c r="AB2" s="175">
        <f t="shared" si="1"/>
        <v>0</v>
      </c>
      <c r="AC2" s="175">
        <f t="shared" si="1"/>
        <v>0</v>
      </c>
      <c r="AD2" s="207">
        <f t="shared" si="1"/>
        <v>0</v>
      </c>
      <c r="AE2" s="206">
        <f>+$L2*A2</f>
        <v>0</v>
      </c>
      <c r="AF2" s="175">
        <f t="shared" ref="AF2:AJ2" si="2">+$L2*B2</f>
        <v>0</v>
      </c>
      <c r="AG2" s="175">
        <f t="shared" si="2"/>
        <v>0</v>
      </c>
      <c r="AH2" s="175">
        <f t="shared" si="2"/>
        <v>0</v>
      </c>
      <c r="AI2" s="175">
        <f t="shared" si="2"/>
        <v>0</v>
      </c>
      <c r="AJ2" s="207">
        <f t="shared" si="2"/>
        <v>0</v>
      </c>
      <c r="AK2" s="206">
        <f>+$N2*A2</f>
        <v>0</v>
      </c>
      <c r="AL2" s="175">
        <f t="shared" ref="AL2:AO2" si="3">+$N2*B2</f>
        <v>0</v>
      </c>
      <c r="AM2" s="175">
        <f t="shared" si="3"/>
        <v>0</v>
      </c>
      <c r="AN2" s="175">
        <f t="shared" si="3"/>
        <v>0</v>
      </c>
      <c r="AO2" s="175">
        <f t="shared" si="3"/>
        <v>0</v>
      </c>
      <c r="AP2" s="207">
        <f>+$N2*F2</f>
        <v>0</v>
      </c>
      <c r="AQ2" s="206">
        <f>+$P2*A2</f>
        <v>0</v>
      </c>
      <c r="AR2" s="175">
        <f t="shared" ref="AR2:AV2" si="4">+$P2*B2</f>
        <v>0</v>
      </c>
      <c r="AS2" s="175">
        <f t="shared" si="4"/>
        <v>0</v>
      </c>
      <c r="AT2" s="175">
        <f t="shared" si="4"/>
        <v>0</v>
      </c>
      <c r="AU2" s="175">
        <f t="shared" si="4"/>
        <v>0</v>
      </c>
      <c r="AV2" s="207">
        <f t="shared" si="4"/>
        <v>0</v>
      </c>
      <c r="AW2" s="59"/>
      <c r="AX2" t="s">
        <v>19599</v>
      </c>
      <c r="AY2" s="109">
        <f>+BF2+BK2</f>
        <v>1429</v>
      </c>
      <c r="AZ2" s="109">
        <f t="shared" ref="AZ2:AZ32" si="5">+BG2+BK2</f>
        <v>1227</v>
      </c>
      <c r="BA2" s="109">
        <f t="shared" ref="BA2:BA32" si="6">+BH2+BK2</f>
        <v>1159</v>
      </c>
      <c r="BB2" s="109">
        <f t="shared" ref="BB2:BB32" si="7">+BI2+BK2</f>
        <v>1205</v>
      </c>
      <c r="BC2" s="109">
        <f t="shared" ref="BC2:BC32" si="8">+BJ2+BK2</f>
        <v>904</v>
      </c>
      <c r="BE2" s="59"/>
      <c r="BF2" s="59">
        <f>+SUMIF($I:$I,$AX2,S:S)+SUMIF($K:$K,$AX2,Y:Y)+SUMIF($M:$M,$AX2,AE:AE)+SUMIF($O:$O,$AX2,AK:AK)+SUMIF($Q:$Q,$AX2,AQ:AQ)</f>
        <v>1282</v>
      </c>
      <c r="BG2" s="59">
        <f t="shared" ref="BG2:BG32" si="9">+SUMIF($I:$I,$AX2,T:T)+SUMIF($K:$K,$AX2,Z:Z)+SUMIF($M:$M,$AX2,AF:AF)+SUMIF($O:$O,$AX2,AL:AL)+SUMIF($Q:$Q,$AX2,AR:AR)</f>
        <v>1080</v>
      </c>
      <c r="BH2" s="59">
        <f t="shared" ref="BH2:BH32" si="10">+SUMIF($I:$I,$AX2,U:U)+SUMIF($K:$K,$AX2,AA:AA)+SUMIF($M:$M,$AX2,AG:AG)+SUMIF($O:$O,$AX2,AM:AM)+SUMIF($Q:$Q,$AX2,AS:AS)</f>
        <v>1012</v>
      </c>
      <c r="BI2" s="59">
        <f t="shared" ref="BI2:BI32" si="11">+SUMIF($I:$I,$AX2,V:V)+SUMIF($K:$K,$AX2,AB:AB)+SUMIF($M:$M,$AX2,AH:AH)+SUMIF($O:$O,$AX2,AN:AN)+SUMIF($Q:$Q,$AX2,AT:AT)</f>
        <v>1058</v>
      </c>
      <c r="BJ2" s="59">
        <f t="shared" ref="BJ2:BJ32" si="12">+SUMIF($I:$I,$AX2,W:W)+SUMIF($K:$K,$AX2,AC:AC)+SUMIF($M:$M,$AX2,AI:AI)+SUMIF($O:$O,$AX2,AO:AO)+SUMIF($Q:$Q,$AX2,AU:AU)</f>
        <v>757</v>
      </c>
      <c r="BK2" s="59">
        <f t="shared" ref="BK2:BK32" si="13">+SUMIF($I:$I,$AX2,X:X)+SUMIF($K:$K,$AX2,AD:AD)+SUMIF($M:$M,$AX2,AJ:AJ)+SUMIF($O:$O,$AX2,AP:AP)+SUMIF($Q:$Q,$AX2,AV:AV)</f>
        <v>147</v>
      </c>
      <c r="BL2" s="59"/>
    </row>
    <row r="3" spans="1:64" x14ac:dyDescent="0.2">
      <c r="A3">
        <f>+SUMIFS(Quest!$J:$J,Quest!$H:$H,QDrop!A$1,Quest!$N:$N,QDrop!$G3)</f>
        <v>11</v>
      </c>
      <c r="B3">
        <f>+SUMIFS(Quest!$J:$J,Quest!$H:$H,QDrop!B$1,Quest!$N:$N,QDrop!$G3)</f>
        <v>11</v>
      </c>
      <c r="C3">
        <f>+SUMIFS(Quest!$J:$J,Quest!$H:$H,QDrop!C$1,Quest!$N:$N,QDrop!$G3)</f>
        <v>11</v>
      </c>
      <c r="D3">
        <f>+SUMIFS(Quest!$J:$J,Quest!$H:$H,QDrop!D$1,Quest!$N:$N,QDrop!$G3)</f>
        <v>11</v>
      </c>
      <c r="E3">
        <f>+SUMIFS(Quest!$J:$J,Quest!$H:$H,QDrop!E$1,Quest!$N:$N,QDrop!$G3)</f>
        <v>11</v>
      </c>
      <c r="F3">
        <f>+SUMIFS(Quest!$J:$J,Quest!$H:$H,QDrop!F$1,Quest!$N:$N,QDrop!$G3)</f>
        <v>1</v>
      </c>
      <c r="G3" t="s">
        <v>16803</v>
      </c>
      <c r="H3">
        <v>2</v>
      </c>
      <c r="I3" t="s">
        <v>11597</v>
      </c>
      <c r="S3" s="206">
        <f t="shared" ref="S3:S31" si="14">+$H3*A3</f>
        <v>22</v>
      </c>
      <c r="T3" s="175">
        <f t="shared" ref="T3:T31" si="15">+$H3*B3</f>
        <v>22</v>
      </c>
      <c r="U3" s="175">
        <f t="shared" ref="U3:U31" si="16">+$H3*C3</f>
        <v>22</v>
      </c>
      <c r="V3" s="175">
        <f t="shared" ref="V3:V31" si="17">+$H3*D3</f>
        <v>22</v>
      </c>
      <c r="W3" s="175">
        <f t="shared" ref="W3:W31" si="18">+$H3*E3</f>
        <v>22</v>
      </c>
      <c r="X3" s="207">
        <f t="shared" ref="X3:X31" si="19">+$H3*F3</f>
        <v>2</v>
      </c>
      <c r="Y3" s="206">
        <f t="shared" ref="Y3:Y31" si="20">+$J3*A3</f>
        <v>0</v>
      </c>
      <c r="Z3" s="175">
        <f t="shared" ref="Z3:Z31" si="21">+$J3*B3</f>
        <v>0</v>
      </c>
      <c r="AA3" s="175">
        <f t="shared" ref="AA3:AA31" si="22">+$J3*C3</f>
        <v>0</v>
      </c>
      <c r="AB3" s="175">
        <f t="shared" ref="AB3:AB31" si="23">+$J3*D3</f>
        <v>0</v>
      </c>
      <c r="AC3" s="175">
        <f t="shared" ref="AC3:AC31" si="24">+$J3*E3</f>
        <v>0</v>
      </c>
      <c r="AD3" s="207">
        <f t="shared" ref="AD3:AD31" si="25">+$J3*F3</f>
        <v>0</v>
      </c>
      <c r="AE3" s="206">
        <f t="shared" ref="AE3:AE31" si="26">+$L3*A3</f>
        <v>0</v>
      </c>
      <c r="AF3" s="175">
        <f t="shared" ref="AF3:AF31" si="27">+$L3*B3</f>
        <v>0</v>
      </c>
      <c r="AG3" s="175">
        <f t="shared" ref="AG3:AG31" si="28">+$L3*C3</f>
        <v>0</v>
      </c>
      <c r="AH3" s="175">
        <f t="shared" ref="AH3:AH31" si="29">+$L3*D3</f>
        <v>0</v>
      </c>
      <c r="AI3" s="175">
        <f t="shared" ref="AI3:AI31" si="30">+$L3*E3</f>
        <v>0</v>
      </c>
      <c r="AJ3" s="207">
        <f t="shared" ref="AJ3:AJ31" si="31">+$L3*F3</f>
        <v>0</v>
      </c>
      <c r="AK3" s="206">
        <f t="shared" ref="AK3:AK31" si="32">+$N3*A3</f>
        <v>0</v>
      </c>
      <c r="AL3" s="175">
        <f t="shared" ref="AL3:AL31" si="33">+$N3*B3</f>
        <v>0</v>
      </c>
      <c r="AM3" s="175">
        <f t="shared" ref="AM3:AM31" si="34">+$N3*C3</f>
        <v>0</v>
      </c>
      <c r="AN3" s="175">
        <f t="shared" ref="AN3:AN31" si="35">+$N3*D3</f>
        <v>0</v>
      </c>
      <c r="AO3" s="175">
        <f t="shared" ref="AO3:AO31" si="36">+$N3*E3</f>
        <v>0</v>
      </c>
      <c r="AP3" s="207">
        <f t="shared" ref="AP3:AP31" si="37">+$N3*F3</f>
        <v>0</v>
      </c>
      <c r="AQ3" s="206">
        <f t="shared" ref="AQ3:AQ31" si="38">+$P3*A3</f>
        <v>0</v>
      </c>
      <c r="AR3" s="175">
        <f t="shared" ref="AR3:AR31" si="39">+$P3*B3</f>
        <v>0</v>
      </c>
      <c r="AS3" s="175">
        <f t="shared" ref="AS3:AS31" si="40">+$P3*C3</f>
        <v>0</v>
      </c>
      <c r="AT3" s="175">
        <f t="shared" ref="AT3:AT31" si="41">+$P3*D3</f>
        <v>0</v>
      </c>
      <c r="AU3" s="175">
        <f t="shared" ref="AU3:AU31" si="42">+$P3*E3</f>
        <v>0</v>
      </c>
      <c r="AV3" s="207">
        <f t="shared" ref="AV3:AV31" si="43">+$P3*F3</f>
        <v>0</v>
      </c>
      <c r="AW3" s="59"/>
      <c r="AX3" t="s">
        <v>19600</v>
      </c>
      <c r="AY3" s="109">
        <f t="shared" ref="AY3:AY32" si="44">+BF3+BK3</f>
        <v>1126</v>
      </c>
      <c r="AZ3" s="109">
        <f t="shared" si="5"/>
        <v>975</v>
      </c>
      <c r="BA3" s="109">
        <f t="shared" si="6"/>
        <v>883</v>
      </c>
      <c r="BB3" s="109">
        <f t="shared" si="7"/>
        <v>922</v>
      </c>
      <c r="BC3" s="109">
        <f t="shared" si="8"/>
        <v>677</v>
      </c>
      <c r="BE3" s="59"/>
      <c r="BF3" s="59">
        <f t="shared" ref="BF3:BF32" si="45">+SUMIF($I:$I,$AX3,S:S)+SUMIF($K:$K,$AX3,Y:Y)+SUMIF($M:$M,$AX3,AE:AE)+SUMIF($O:$O,$AX3,AK:AK)+SUMIF($Q:$Q,$AX3,AQ:AQ)</f>
        <v>1023</v>
      </c>
      <c r="BG3" s="59">
        <f t="shared" si="9"/>
        <v>872</v>
      </c>
      <c r="BH3" s="59">
        <f t="shared" si="10"/>
        <v>780</v>
      </c>
      <c r="BI3" s="59">
        <f t="shared" si="11"/>
        <v>819</v>
      </c>
      <c r="BJ3" s="59">
        <f t="shared" si="12"/>
        <v>574</v>
      </c>
      <c r="BK3" s="59">
        <f t="shared" si="13"/>
        <v>103</v>
      </c>
      <c r="BL3" s="59"/>
    </row>
    <row r="4" spans="1:64" x14ac:dyDescent="0.2">
      <c r="A4">
        <f>+SUMIFS(Quest!$J:$J,Quest!$H:$H,QDrop!A$1,Quest!$N:$N,QDrop!$G4)</f>
        <v>8</v>
      </c>
      <c r="B4">
        <f>+SUMIFS(Quest!$J:$J,Quest!$H:$H,QDrop!B$1,Quest!$N:$N,QDrop!$G4)</f>
        <v>8</v>
      </c>
      <c r="C4">
        <f>+SUMIFS(Quest!$J:$J,Quest!$H:$H,QDrop!C$1,Quest!$N:$N,QDrop!$G4)</f>
        <v>8</v>
      </c>
      <c r="D4">
        <f>+SUMIFS(Quest!$J:$J,Quest!$H:$H,QDrop!D$1,Quest!$N:$N,QDrop!$G4)</f>
        <v>8</v>
      </c>
      <c r="E4">
        <f>+SUMIFS(Quest!$J:$J,Quest!$H:$H,QDrop!E$1,Quest!$N:$N,QDrop!$G4)</f>
        <v>8</v>
      </c>
      <c r="F4">
        <f>+SUMIFS(Quest!$J:$J,Quest!$H:$H,QDrop!F$1,Quest!$N:$N,QDrop!$G4)</f>
        <v>1</v>
      </c>
      <c r="G4" t="s">
        <v>17091</v>
      </c>
      <c r="H4">
        <v>2</v>
      </c>
      <c r="I4" t="s">
        <v>12693</v>
      </c>
      <c r="S4" s="206">
        <f t="shared" si="14"/>
        <v>16</v>
      </c>
      <c r="T4" s="175">
        <f t="shared" si="15"/>
        <v>16</v>
      </c>
      <c r="U4" s="175">
        <f t="shared" si="16"/>
        <v>16</v>
      </c>
      <c r="V4" s="175">
        <f t="shared" si="17"/>
        <v>16</v>
      </c>
      <c r="W4" s="175">
        <f t="shared" si="18"/>
        <v>16</v>
      </c>
      <c r="X4" s="207">
        <f t="shared" si="19"/>
        <v>2</v>
      </c>
      <c r="Y4" s="206">
        <f t="shared" si="20"/>
        <v>0</v>
      </c>
      <c r="Z4" s="175">
        <f t="shared" si="21"/>
        <v>0</v>
      </c>
      <c r="AA4" s="175">
        <f t="shared" si="22"/>
        <v>0</v>
      </c>
      <c r="AB4" s="175">
        <f t="shared" si="23"/>
        <v>0</v>
      </c>
      <c r="AC4" s="175">
        <f t="shared" si="24"/>
        <v>0</v>
      </c>
      <c r="AD4" s="207">
        <f t="shared" si="25"/>
        <v>0</v>
      </c>
      <c r="AE4" s="206">
        <f t="shared" si="26"/>
        <v>0</v>
      </c>
      <c r="AF4" s="175">
        <f t="shared" si="27"/>
        <v>0</v>
      </c>
      <c r="AG4" s="175">
        <f t="shared" si="28"/>
        <v>0</v>
      </c>
      <c r="AH4" s="175">
        <f t="shared" si="29"/>
        <v>0</v>
      </c>
      <c r="AI4" s="175">
        <f t="shared" si="30"/>
        <v>0</v>
      </c>
      <c r="AJ4" s="207">
        <f t="shared" si="31"/>
        <v>0</v>
      </c>
      <c r="AK4" s="206">
        <f t="shared" si="32"/>
        <v>0</v>
      </c>
      <c r="AL4" s="175">
        <f t="shared" si="33"/>
        <v>0</v>
      </c>
      <c r="AM4" s="175">
        <f t="shared" si="34"/>
        <v>0</v>
      </c>
      <c r="AN4" s="175">
        <f t="shared" si="35"/>
        <v>0</v>
      </c>
      <c r="AO4" s="175">
        <f t="shared" si="36"/>
        <v>0</v>
      </c>
      <c r="AP4" s="207">
        <f t="shared" si="37"/>
        <v>0</v>
      </c>
      <c r="AQ4" s="206">
        <f t="shared" si="38"/>
        <v>0</v>
      </c>
      <c r="AR4" s="175">
        <f t="shared" si="39"/>
        <v>0</v>
      </c>
      <c r="AS4" s="175">
        <f t="shared" si="40"/>
        <v>0</v>
      </c>
      <c r="AT4" s="175">
        <f t="shared" si="41"/>
        <v>0</v>
      </c>
      <c r="AU4" s="175">
        <f t="shared" si="42"/>
        <v>0</v>
      </c>
      <c r="AV4" s="207">
        <f t="shared" si="43"/>
        <v>0</v>
      </c>
      <c r="AW4" s="59"/>
      <c r="AX4" t="s">
        <v>19601</v>
      </c>
      <c r="AY4" s="109">
        <f t="shared" si="44"/>
        <v>643</v>
      </c>
      <c r="AZ4" s="109">
        <f t="shared" si="5"/>
        <v>562</v>
      </c>
      <c r="BA4" s="109">
        <f t="shared" si="6"/>
        <v>589</v>
      </c>
      <c r="BB4" s="109">
        <f t="shared" si="7"/>
        <v>564</v>
      </c>
      <c r="BC4" s="109">
        <f t="shared" si="8"/>
        <v>446</v>
      </c>
      <c r="BE4" s="59"/>
      <c r="BF4" s="59">
        <f t="shared" si="45"/>
        <v>549</v>
      </c>
      <c r="BG4" s="59">
        <f t="shared" si="9"/>
        <v>468</v>
      </c>
      <c r="BH4" s="59">
        <f t="shared" si="10"/>
        <v>495</v>
      </c>
      <c r="BI4" s="59">
        <f t="shared" si="11"/>
        <v>470</v>
      </c>
      <c r="BJ4" s="59">
        <f t="shared" si="12"/>
        <v>352</v>
      </c>
      <c r="BK4" s="59">
        <f t="shared" si="13"/>
        <v>94</v>
      </c>
      <c r="BL4" s="59"/>
    </row>
    <row r="5" spans="1:64" x14ac:dyDescent="0.2">
      <c r="A5">
        <f>+SUMIFS(Quest!$J:$J,Quest!$H:$H,QDrop!A$1,Quest!$N:$N,QDrop!$G5)</f>
        <v>3</v>
      </c>
      <c r="B5">
        <f>+SUMIFS(Quest!$J:$J,Quest!$H:$H,QDrop!B$1,Quest!$N:$N,QDrop!$G5)</f>
        <v>3</v>
      </c>
      <c r="C5">
        <f>+SUMIFS(Quest!$J:$J,Quest!$H:$H,QDrop!C$1,Quest!$N:$N,QDrop!$G5)</f>
        <v>3</v>
      </c>
      <c r="D5">
        <f>+SUMIFS(Quest!$J:$J,Quest!$H:$H,QDrop!D$1,Quest!$N:$N,QDrop!$G5)</f>
        <v>3</v>
      </c>
      <c r="E5">
        <f>+SUMIFS(Quest!$J:$J,Quest!$H:$H,QDrop!E$1,Quest!$N:$N,QDrop!$G5)</f>
        <v>3</v>
      </c>
      <c r="F5">
        <f>+SUMIFS(Quest!$J:$J,Quest!$H:$H,QDrop!F$1,Quest!$N:$N,QDrop!$G5)</f>
        <v>0</v>
      </c>
      <c r="G5" t="s">
        <v>19351</v>
      </c>
      <c r="H5">
        <v>3</v>
      </c>
      <c r="I5" t="s">
        <v>12665</v>
      </c>
      <c r="S5" s="206">
        <f t="shared" si="14"/>
        <v>9</v>
      </c>
      <c r="T5" s="175">
        <f t="shared" si="15"/>
        <v>9</v>
      </c>
      <c r="U5" s="175">
        <f t="shared" si="16"/>
        <v>9</v>
      </c>
      <c r="V5" s="175">
        <f t="shared" si="17"/>
        <v>9</v>
      </c>
      <c r="W5" s="175">
        <f t="shared" si="18"/>
        <v>9</v>
      </c>
      <c r="X5" s="207">
        <f t="shared" si="19"/>
        <v>0</v>
      </c>
      <c r="Y5" s="206">
        <f t="shared" si="20"/>
        <v>0</v>
      </c>
      <c r="Z5" s="175">
        <f t="shared" si="21"/>
        <v>0</v>
      </c>
      <c r="AA5" s="175">
        <f t="shared" si="22"/>
        <v>0</v>
      </c>
      <c r="AB5" s="175">
        <f t="shared" si="23"/>
        <v>0</v>
      </c>
      <c r="AC5" s="175">
        <f t="shared" si="24"/>
        <v>0</v>
      </c>
      <c r="AD5" s="207">
        <f t="shared" si="25"/>
        <v>0</v>
      </c>
      <c r="AE5" s="206">
        <f t="shared" si="26"/>
        <v>0</v>
      </c>
      <c r="AF5" s="175">
        <f t="shared" si="27"/>
        <v>0</v>
      </c>
      <c r="AG5" s="175">
        <f t="shared" si="28"/>
        <v>0</v>
      </c>
      <c r="AH5" s="175">
        <f t="shared" si="29"/>
        <v>0</v>
      </c>
      <c r="AI5" s="175">
        <f t="shared" si="30"/>
        <v>0</v>
      </c>
      <c r="AJ5" s="207">
        <f t="shared" si="31"/>
        <v>0</v>
      </c>
      <c r="AK5" s="206">
        <f t="shared" si="32"/>
        <v>0</v>
      </c>
      <c r="AL5" s="175">
        <f t="shared" si="33"/>
        <v>0</v>
      </c>
      <c r="AM5" s="175">
        <f t="shared" si="34"/>
        <v>0</v>
      </c>
      <c r="AN5" s="175">
        <f t="shared" si="35"/>
        <v>0</v>
      </c>
      <c r="AO5" s="175">
        <f t="shared" si="36"/>
        <v>0</v>
      </c>
      <c r="AP5" s="207">
        <f t="shared" si="37"/>
        <v>0</v>
      </c>
      <c r="AQ5" s="206">
        <f t="shared" si="38"/>
        <v>0</v>
      </c>
      <c r="AR5" s="175">
        <f t="shared" si="39"/>
        <v>0</v>
      </c>
      <c r="AS5" s="175">
        <f t="shared" si="40"/>
        <v>0</v>
      </c>
      <c r="AT5" s="175">
        <f t="shared" si="41"/>
        <v>0</v>
      </c>
      <c r="AU5" s="175">
        <f t="shared" si="42"/>
        <v>0</v>
      </c>
      <c r="AV5" s="207">
        <f t="shared" si="43"/>
        <v>0</v>
      </c>
      <c r="AW5" s="59"/>
      <c r="AX5" t="s">
        <v>19602</v>
      </c>
      <c r="AY5" s="109">
        <f t="shared" si="44"/>
        <v>400</v>
      </c>
      <c r="AZ5" s="109">
        <f t="shared" si="5"/>
        <v>338</v>
      </c>
      <c r="BA5" s="109">
        <f t="shared" si="6"/>
        <v>334</v>
      </c>
      <c r="BB5" s="109">
        <f t="shared" si="7"/>
        <v>324</v>
      </c>
      <c r="BC5" s="109">
        <f t="shared" si="8"/>
        <v>253</v>
      </c>
      <c r="BE5" s="59"/>
      <c r="BF5" s="59">
        <f t="shared" si="45"/>
        <v>360</v>
      </c>
      <c r="BG5" s="59">
        <f t="shared" si="9"/>
        <v>298</v>
      </c>
      <c r="BH5" s="59">
        <f t="shared" si="10"/>
        <v>294</v>
      </c>
      <c r="BI5" s="59">
        <f t="shared" si="11"/>
        <v>284</v>
      </c>
      <c r="BJ5" s="59">
        <f t="shared" si="12"/>
        <v>213</v>
      </c>
      <c r="BK5" s="59">
        <f t="shared" si="13"/>
        <v>40</v>
      </c>
      <c r="BL5" s="59"/>
    </row>
    <row r="6" spans="1:64" x14ac:dyDescent="0.2">
      <c r="A6">
        <f>+SUMIFS(Quest!$J:$J,Quest!$H:$H,QDrop!A$1,Quest!$N:$N,QDrop!$G6)</f>
        <v>1</v>
      </c>
      <c r="B6">
        <f>+SUMIFS(Quest!$J:$J,Quest!$H:$H,QDrop!B$1,Quest!$N:$N,QDrop!$G6)</f>
        <v>1</v>
      </c>
      <c r="C6">
        <f>+SUMIFS(Quest!$J:$J,Quest!$H:$H,QDrop!C$1,Quest!$N:$N,QDrop!$G6)</f>
        <v>1</v>
      </c>
      <c r="D6">
        <f>+SUMIFS(Quest!$J:$J,Quest!$H:$H,QDrop!D$1,Quest!$N:$N,QDrop!$G6)</f>
        <v>1</v>
      </c>
      <c r="E6">
        <f>+SUMIFS(Quest!$J:$J,Quest!$H:$H,QDrop!E$1,Quest!$N:$N,QDrop!$G6)</f>
        <v>1</v>
      </c>
      <c r="F6">
        <f>+SUMIFS(Quest!$J:$J,Quest!$H:$H,QDrop!F$1,Quest!$N:$N,QDrop!$G6)</f>
        <v>0</v>
      </c>
      <c r="G6" t="s">
        <v>19191</v>
      </c>
      <c r="H6">
        <v>1</v>
      </c>
      <c r="I6" t="s">
        <v>19603</v>
      </c>
      <c r="S6" s="206">
        <f t="shared" si="14"/>
        <v>1</v>
      </c>
      <c r="T6" s="175">
        <f t="shared" si="15"/>
        <v>1</v>
      </c>
      <c r="U6" s="175">
        <f t="shared" si="16"/>
        <v>1</v>
      </c>
      <c r="V6" s="175">
        <f t="shared" si="17"/>
        <v>1</v>
      </c>
      <c r="W6" s="175">
        <f t="shared" si="18"/>
        <v>1</v>
      </c>
      <c r="X6" s="207">
        <f t="shared" si="19"/>
        <v>0</v>
      </c>
      <c r="Y6" s="206">
        <f t="shared" si="20"/>
        <v>0</v>
      </c>
      <c r="Z6" s="175">
        <f t="shared" si="21"/>
        <v>0</v>
      </c>
      <c r="AA6" s="175">
        <f t="shared" si="22"/>
        <v>0</v>
      </c>
      <c r="AB6" s="175">
        <f t="shared" si="23"/>
        <v>0</v>
      </c>
      <c r="AC6" s="175">
        <f t="shared" si="24"/>
        <v>0</v>
      </c>
      <c r="AD6" s="207">
        <f t="shared" si="25"/>
        <v>0</v>
      </c>
      <c r="AE6" s="206">
        <f t="shared" si="26"/>
        <v>0</v>
      </c>
      <c r="AF6" s="175">
        <f t="shared" si="27"/>
        <v>0</v>
      </c>
      <c r="AG6" s="175">
        <f t="shared" si="28"/>
        <v>0</v>
      </c>
      <c r="AH6" s="175">
        <f t="shared" si="29"/>
        <v>0</v>
      </c>
      <c r="AI6" s="175">
        <f t="shared" si="30"/>
        <v>0</v>
      </c>
      <c r="AJ6" s="207">
        <f t="shared" si="31"/>
        <v>0</v>
      </c>
      <c r="AK6" s="206">
        <f t="shared" si="32"/>
        <v>0</v>
      </c>
      <c r="AL6" s="175">
        <f t="shared" si="33"/>
        <v>0</v>
      </c>
      <c r="AM6" s="175">
        <f t="shared" si="34"/>
        <v>0</v>
      </c>
      <c r="AN6" s="175">
        <f t="shared" si="35"/>
        <v>0</v>
      </c>
      <c r="AO6" s="175">
        <f t="shared" si="36"/>
        <v>0</v>
      </c>
      <c r="AP6" s="207">
        <f t="shared" si="37"/>
        <v>0</v>
      </c>
      <c r="AQ6" s="206">
        <f t="shared" si="38"/>
        <v>0</v>
      </c>
      <c r="AR6" s="175">
        <f t="shared" si="39"/>
        <v>0</v>
      </c>
      <c r="AS6" s="175">
        <f t="shared" si="40"/>
        <v>0</v>
      </c>
      <c r="AT6" s="175">
        <f t="shared" si="41"/>
        <v>0</v>
      </c>
      <c r="AU6" s="175">
        <f t="shared" si="42"/>
        <v>0</v>
      </c>
      <c r="AV6" s="207">
        <f t="shared" si="43"/>
        <v>0</v>
      </c>
      <c r="AW6" s="59"/>
      <c r="AX6" t="s">
        <v>19603</v>
      </c>
      <c r="AY6" s="109">
        <f t="shared" si="44"/>
        <v>272</v>
      </c>
      <c r="AZ6" s="109">
        <f t="shared" si="5"/>
        <v>293</v>
      </c>
      <c r="BA6" s="109">
        <f t="shared" si="6"/>
        <v>280</v>
      </c>
      <c r="BB6" s="109">
        <f t="shared" si="7"/>
        <v>273</v>
      </c>
      <c r="BC6" s="109">
        <f t="shared" si="8"/>
        <v>286</v>
      </c>
      <c r="BE6" s="59"/>
      <c r="BF6" s="59">
        <f t="shared" si="45"/>
        <v>235</v>
      </c>
      <c r="BG6" s="59">
        <f t="shared" si="9"/>
        <v>256</v>
      </c>
      <c r="BH6" s="59">
        <f t="shared" si="10"/>
        <v>243</v>
      </c>
      <c r="BI6" s="59">
        <f t="shared" si="11"/>
        <v>236</v>
      </c>
      <c r="BJ6" s="59">
        <f t="shared" si="12"/>
        <v>249</v>
      </c>
      <c r="BK6" s="59">
        <f t="shared" si="13"/>
        <v>37</v>
      </c>
      <c r="BL6" s="59"/>
    </row>
    <row r="7" spans="1:64" x14ac:dyDescent="0.2">
      <c r="A7">
        <f>+SUMIFS(Quest!$J:$J,Quest!$H:$H,QDrop!A$1,Quest!$N:$N,QDrop!$G7)</f>
        <v>1</v>
      </c>
      <c r="B7">
        <f>+SUMIFS(Quest!$J:$J,Quest!$H:$H,QDrop!B$1,Quest!$N:$N,QDrop!$G7)</f>
        <v>1</v>
      </c>
      <c r="C7">
        <f>+SUMIFS(Quest!$J:$J,Quest!$H:$H,QDrop!C$1,Quest!$N:$N,QDrop!$G7)</f>
        <v>1</v>
      </c>
      <c r="D7">
        <f>+SUMIFS(Quest!$J:$J,Quest!$H:$H,QDrop!D$1,Quest!$N:$N,QDrop!$G7)</f>
        <v>1</v>
      </c>
      <c r="E7">
        <f>+SUMIFS(Quest!$J:$J,Quest!$H:$H,QDrop!E$1,Quest!$N:$N,QDrop!$G7)</f>
        <v>1</v>
      </c>
      <c r="F7">
        <f>+SUMIFS(Quest!$J:$J,Quest!$H:$H,QDrop!F$1,Quest!$N:$N,QDrop!$G7)</f>
        <v>0</v>
      </c>
      <c r="G7" t="s">
        <v>19193</v>
      </c>
      <c r="H7">
        <v>2</v>
      </c>
      <c r="I7" t="s">
        <v>19603</v>
      </c>
      <c r="S7" s="206">
        <f t="shared" si="14"/>
        <v>2</v>
      </c>
      <c r="T7" s="175">
        <f t="shared" si="15"/>
        <v>2</v>
      </c>
      <c r="U7" s="175">
        <f t="shared" si="16"/>
        <v>2</v>
      </c>
      <c r="V7" s="175">
        <f t="shared" si="17"/>
        <v>2</v>
      </c>
      <c r="W7" s="175">
        <f t="shared" si="18"/>
        <v>2</v>
      </c>
      <c r="X7" s="207">
        <f t="shared" si="19"/>
        <v>0</v>
      </c>
      <c r="Y7" s="206">
        <f t="shared" si="20"/>
        <v>0</v>
      </c>
      <c r="Z7" s="175">
        <f t="shared" si="21"/>
        <v>0</v>
      </c>
      <c r="AA7" s="175">
        <f t="shared" si="22"/>
        <v>0</v>
      </c>
      <c r="AB7" s="175">
        <f t="shared" si="23"/>
        <v>0</v>
      </c>
      <c r="AC7" s="175">
        <f t="shared" si="24"/>
        <v>0</v>
      </c>
      <c r="AD7" s="207">
        <f t="shared" si="25"/>
        <v>0</v>
      </c>
      <c r="AE7" s="206">
        <f t="shared" si="26"/>
        <v>0</v>
      </c>
      <c r="AF7" s="175">
        <f t="shared" si="27"/>
        <v>0</v>
      </c>
      <c r="AG7" s="175">
        <f t="shared" si="28"/>
        <v>0</v>
      </c>
      <c r="AH7" s="175">
        <f t="shared" si="29"/>
        <v>0</v>
      </c>
      <c r="AI7" s="175">
        <f t="shared" si="30"/>
        <v>0</v>
      </c>
      <c r="AJ7" s="207">
        <f t="shared" si="31"/>
        <v>0</v>
      </c>
      <c r="AK7" s="206">
        <f t="shared" si="32"/>
        <v>0</v>
      </c>
      <c r="AL7" s="175">
        <f t="shared" si="33"/>
        <v>0</v>
      </c>
      <c r="AM7" s="175">
        <f t="shared" si="34"/>
        <v>0</v>
      </c>
      <c r="AN7" s="175">
        <f t="shared" si="35"/>
        <v>0</v>
      </c>
      <c r="AO7" s="175">
        <f t="shared" si="36"/>
        <v>0</v>
      </c>
      <c r="AP7" s="207">
        <f t="shared" si="37"/>
        <v>0</v>
      </c>
      <c r="AQ7" s="206">
        <f t="shared" si="38"/>
        <v>0</v>
      </c>
      <c r="AR7" s="175">
        <f t="shared" si="39"/>
        <v>0</v>
      </c>
      <c r="AS7" s="175">
        <f t="shared" si="40"/>
        <v>0</v>
      </c>
      <c r="AT7" s="175">
        <f t="shared" si="41"/>
        <v>0</v>
      </c>
      <c r="AU7" s="175">
        <f t="shared" si="42"/>
        <v>0</v>
      </c>
      <c r="AV7" s="207">
        <f t="shared" si="43"/>
        <v>0</v>
      </c>
      <c r="AW7" s="59"/>
      <c r="AX7" t="s">
        <v>19604</v>
      </c>
      <c r="AY7" s="109">
        <f t="shared" si="44"/>
        <v>185</v>
      </c>
      <c r="AZ7" s="109">
        <f t="shared" si="5"/>
        <v>178</v>
      </c>
      <c r="BA7" s="109">
        <f t="shared" si="6"/>
        <v>181</v>
      </c>
      <c r="BB7" s="109">
        <f t="shared" si="7"/>
        <v>154</v>
      </c>
      <c r="BC7" s="109">
        <f t="shared" si="8"/>
        <v>167</v>
      </c>
      <c r="BE7" s="59"/>
      <c r="BF7" s="59">
        <f t="shared" si="45"/>
        <v>165</v>
      </c>
      <c r="BG7" s="59">
        <f t="shared" si="9"/>
        <v>158</v>
      </c>
      <c r="BH7" s="59">
        <f t="shared" si="10"/>
        <v>161</v>
      </c>
      <c r="BI7" s="59">
        <f t="shared" si="11"/>
        <v>134</v>
      </c>
      <c r="BJ7" s="59">
        <f t="shared" si="12"/>
        <v>147</v>
      </c>
      <c r="BK7" s="59">
        <f t="shared" si="13"/>
        <v>20</v>
      </c>
      <c r="BL7" s="59"/>
    </row>
    <row r="8" spans="1:64" x14ac:dyDescent="0.2">
      <c r="A8">
        <f>+SUMIFS(Quest!$J:$J,Quest!$H:$H,QDrop!A$1,Quest!$N:$N,QDrop!$G8)</f>
        <v>1</v>
      </c>
      <c r="B8">
        <f>+SUMIFS(Quest!$J:$J,Quest!$H:$H,QDrop!B$1,Quest!$N:$N,QDrop!$G8)</f>
        <v>1</v>
      </c>
      <c r="C8">
        <f>+SUMIFS(Quest!$J:$J,Quest!$H:$H,QDrop!C$1,Quest!$N:$N,QDrop!$G8)</f>
        <v>1</v>
      </c>
      <c r="D8">
        <f>+SUMIFS(Quest!$J:$J,Quest!$H:$H,QDrop!D$1,Quest!$N:$N,QDrop!$G8)</f>
        <v>1</v>
      </c>
      <c r="E8">
        <f>+SUMIFS(Quest!$J:$J,Quest!$H:$H,QDrop!E$1,Quest!$N:$N,QDrop!$G8)</f>
        <v>1</v>
      </c>
      <c r="F8">
        <f>+SUMIFS(Quest!$J:$J,Quest!$H:$H,QDrop!F$1,Quest!$N:$N,QDrop!$G8)</f>
        <v>0</v>
      </c>
      <c r="G8" t="s">
        <v>19195</v>
      </c>
      <c r="H8">
        <v>2</v>
      </c>
      <c r="I8" t="s">
        <v>19603</v>
      </c>
      <c r="J8">
        <v>1</v>
      </c>
      <c r="K8" t="s">
        <v>19604</v>
      </c>
      <c r="S8" s="206">
        <f t="shared" si="14"/>
        <v>2</v>
      </c>
      <c r="T8" s="175">
        <f t="shared" si="15"/>
        <v>2</v>
      </c>
      <c r="U8" s="175">
        <f t="shared" si="16"/>
        <v>2</v>
      </c>
      <c r="V8" s="175">
        <f t="shared" si="17"/>
        <v>2</v>
      </c>
      <c r="W8" s="175">
        <f t="shared" si="18"/>
        <v>2</v>
      </c>
      <c r="X8" s="207">
        <f t="shared" si="19"/>
        <v>0</v>
      </c>
      <c r="Y8" s="206">
        <f t="shared" si="20"/>
        <v>1</v>
      </c>
      <c r="Z8" s="175">
        <f t="shared" si="21"/>
        <v>1</v>
      </c>
      <c r="AA8" s="175">
        <f t="shared" si="22"/>
        <v>1</v>
      </c>
      <c r="AB8" s="175">
        <f t="shared" si="23"/>
        <v>1</v>
      </c>
      <c r="AC8" s="175">
        <f t="shared" si="24"/>
        <v>1</v>
      </c>
      <c r="AD8" s="207">
        <f t="shared" si="25"/>
        <v>0</v>
      </c>
      <c r="AE8" s="206">
        <f t="shared" si="26"/>
        <v>0</v>
      </c>
      <c r="AF8" s="175">
        <f t="shared" si="27"/>
        <v>0</v>
      </c>
      <c r="AG8" s="175">
        <f t="shared" si="28"/>
        <v>0</v>
      </c>
      <c r="AH8" s="175">
        <f t="shared" si="29"/>
        <v>0</v>
      </c>
      <c r="AI8" s="175">
        <f t="shared" si="30"/>
        <v>0</v>
      </c>
      <c r="AJ8" s="207">
        <f t="shared" si="31"/>
        <v>0</v>
      </c>
      <c r="AK8" s="206">
        <f t="shared" si="32"/>
        <v>0</v>
      </c>
      <c r="AL8" s="175">
        <f t="shared" si="33"/>
        <v>0</v>
      </c>
      <c r="AM8" s="175">
        <f t="shared" si="34"/>
        <v>0</v>
      </c>
      <c r="AN8" s="175">
        <f t="shared" si="35"/>
        <v>0</v>
      </c>
      <c r="AO8" s="175">
        <f t="shared" si="36"/>
        <v>0</v>
      </c>
      <c r="AP8" s="207">
        <f t="shared" si="37"/>
        <v>0</v>
      </c>
      <c r="AQ8" s="206">
        <f t="shared" si="38"/>
        <v>0</v>
      </c>
      <c r="AR8" s="175">
        <f t="shared" si="39"/>
        <v>0</v>
      </c>
      <c r="AS8" s="175">
        <f t="shared" si="40"/>
        <v>0</v>
      </c>
      <c r="AT8" s="175">
        <f t="shared" si="41"/>
        <v>0</v>
      </c>
      <c r="AU8" s="175">
        <f t="shared" si="42"/>
        <v>0</v>
      </c>
      <c r="AV8" s="207">
        <f t="shared" si="43"/>
        <v>0</v>
      </c>
      <c r="AW8" s="59"/>
      <c r="AX8" t="s">
        <v>10913</v>
      </c>
      <c r="AY8" s="109">
        <f t="shared" si="44"/>
        <v>21</v>
      </c>
      <c r="AZ8" s="109">
        <f t="shared" si="5"/>
        <v>21</v>
      </c>
      <c r="BA8" s="109">
        <f t="shared" si="6"/>
        <v>21</v>
      </c>
      <c r="BB8" s="109">
        <f t="shared" si="7"/>
        <v>21</v>
      </c>
      <c r="BC8" s="109">
        <f t="shared" si="8"/>
        <v>21</v>
      </c>
      <c r="BE8" s="59"/>
      <c r="BF8" s="59">
        <f t="shared" si="45"/>
        <v>21</v>
      </c>
      <c r="BG8" s="59">
        <f t="shared" si="9"/>
        <v>21</v>
      </c>
      <c r="BH8" s="59">
        <f t="shared" si="10"/>
        <v>21</v>
      </c>
      <c r="BI8" s="59">
        <f t="shared" si="11"/>
        <v>21</v>
      </c>
      <c r="BJ8" s="59">
        <f t="shared" si="12"/>
        <v>21</v>
      </c>
      <c r="BK8" s="59">
        <f t="shared" si="13"/>
        <v>0</v>
      </c>
      <c r="BL8" s="59"/>
    </row>
    <row r="9" spans="1:64" x14ac:dyDescent="0.2">
      <c r="A9">
        <f>+SUMIFS(Quest!$J:$J,Quest!$H:$H,QDrop!A$1,Quest!$N:$N,QDrop!$G9)</f>
        <v>1</v>
      </c>
      <c r="B9">
        <f>+SUMIFS(Quest!$J:$J,Quest!$H:$H,QDrop!B$1,Quest!$N:$N,QDrop!$G9)</f>
        <v>1</v>
      </c>
      <c r="C9">
        <f>+SUMIFS(Quest!$J:$J,Quest!$H:$H,QDrop!C$1,Quest!$N:$N,QDrop!$G9)</f>
        <v>1</v>
      </c>
      <c r="D9">
        <f>+SUMIFS(Quest!$J:$J,Quest!$H:$H,QDrop!D$1,Quest!$N:$N,QDrop!$G9)</f>
        <v>1</v>
      </c>
      <c r="E9">
        <f>+SUMIFS(Quest!$J:$J,Quest!$H:$H,QDrop!E$1,Quest!$N:$N,QDrop!$G9)</f>
        <v>1</v>
      </c>
      <c r="F9">
        <f>+SUMIFS(Quest!$J:$J,Quest!$H:$H,QDrop!F$1,Quest!$N:$N,QDrop!$G9)</f>
        <v>0</v>
      </c>
      <c r="G9" t="s">
        <v>19197</v>
      </c>
      <c r="H9">
        <v>5</v>
      </c>
      <c r="I9" t="s">
        <v>19603</v>
      </c>
      <c r="J9">
        <v>3</v>
      </c>
      <c r="K9" t="s">
        <v>19604</v>
      </c>
      <c r="S9" s="206">
        <f t="shared" si="14"/>
        <v>5</v>
      </c>
      <c r="T9" s="175">
        <f t="shared" si="15"/>
        <v>5</v>
      </c>
      <c r="U9" s="175">
        <f t="shared" si="16"/>
        <v>5</v>
      </c>
      <c r="V9" s="175">
        <f t="shared" si="17"/>
        <v>5</v>
      </c>
      <c r="W9" s="175">
        <f t="shared" si="18"/>
        <v>5</v>
      </c>
      <c r="X9" s="207">
        <f t="shared" si="19"/>
        <v>0</v>
      </c>
      <c r="Y9" s="206">
        <f t="shared" si="20"/>
        <v>3</v>
      </c>
      <c r="Z9" s="175">
        <f t="shared" si="21"/>
        <v>3</v>
      </c>
      <c r="AA9" s="175">
        <f t="shared" si="22"/>
        <v>3</v>
      </c>
      <c r="AB9" s="175">
        <f t="shared" si="23"/>
        <v>3</v>
      </c>
      <c r="AC9" s="175">
        <f t="shared" si="24"/>
        <v>3</v>
      </c>
      <c r="AD9" s="207">
        <f t="shared" si="25"/>
        <v>0</v>
      </c>
      <c r="AE9" s="206">
        <f t="shared" si="26"/>
        <v>0</v>
      </c>
      <c r="AF9" s="175">
        <f t="shared" si="27"/>
        <v>0</v>
      </c>
      <c r="AG9" s="175">
        <f t="shared" si="28"/>
        <v>0</v>
      </c>
      <c r="AH9" s="175">
        <f t="shared" si="29"/>
        <v>0</v>
      </c>
      <c r="AI9" s="175">
        <f t="shared" si="30"/>
        <v>0</v>
      </c>
      <c r="AJ9" s="207">
        <f t="shared" si="31"/>
        <v>0</v>
      </c>
      <c r="AK9" s="206">
        <f t="shared" si="32"/>
        <v>0</v>
      </c>
      <c r="AL9" s="175">
        <f t="shared" si="33"/>
        <v>0</v>
      </c>
      <c r="AM9" s="175">
        <f t="shared" si="34"/>
        <v>0</v>
      </c>
      <c r="AN9" s="175">
        <f t="shared" si="35"/>
        <v>0</v>
      </c>
      <c r="AO9" s="175">
        <f t="shared" si="36"/>
        <v>0</v>
      </c>
      <c r="AP9" s="207">
        <f t="shared" si="37"/>
        <v>0</v>
      </c>
      <c r="AQ9" s="206">
        <f t="shared" si="38"/>
        <v>0</v>
      </c>
      <c r="AR9" s="175">
        <f t="shared" si="39"/>
        <v>0</v>
      </c>
      <c r="AS9" s="175">
        <f t="shared" si="40"/>
        <v>0</v>
      </c>
      <c r="AT9" s="175">
        <f t="shared" si="41"/>
        <v>0</v>
      </c>
      <c r="AU9" s="175">
        <f t="shared" si="42"/>
        <v>0</v>
      </c>
      <c r="AV9" s="207">
        <f t="shared" si="43"/>
        <v>0</v>
      </c>
      <c r="AW9" s="59"/>
      <c r="AX9" t="s">
        <v>12647</v>
      </c>
      <c r="AY9" s="109">
        <f t="shared" si="44"/>
        <v>20</v>
      </c>
      <c r="AZ9" s="109">
        <f t="shared" si="5"/>
        <v>20</v>
      </c>
      <c r="BA9" s="109">
        <f t="shared" si="6"/>
        <v>20</v>
      </c>
      <c r="BB9" s="109">
        <f t="shared" si="7"/>
        <v>20</v>
      </c>
      <c r="BC9" s="109">
        <f t="shared" si="8"/>
        <v>20</v>
      </c>
      <c r="BE9" s="59"/>
      <c r="BF9" s="59">
        <f t="shared" si="45"/>
        <v>20</v>
      </c>
      <c r="BG9" s="59">
        <f t="shared" si="9"/>
        <v>20</v>
      </c>
      <c r="BH9" s="59">
        <f t="shared" si="10"/>
        <v>20</v>
      </c>
      <c r="BI9" s="59">
        <f t="shared" si="11"/>
        <v>20</v>
      </c>
      <c r="BJ9" s="59">
        <f t="shared" si="12"/>
        <v>20</v>
      </c>
      <c r="BK9" s="59">
        <f t="shared" si="13"/>
        <v>0</v>
      </c>
      <c r="BL9" s="59"/>
    </row>
    <row r="10" spans="1:64" x14ac:dyDescent="0.2">
      <c r="A10">
        <f>+SUMIFS(Quest!$J:$J,Quest!$H:$H,QDrop!A$1,Quest!$N:$N,QDrop!$G10)</f>
        <v>1</v>
      </c>
      <c r="B10">
        <f>+SUMIFS(Quest!$J:$J,Quest!$H:$H,QDrop!B$1,Quest!$N:$N,QDrop!$G10)</f>
        <v>1</v>
      </c>
      <c r="C10">
        <f>+SUMIFS(Quest!$J:$J,Quest!$H:$H,QDrop!C$1,Quest!$N:$N,QDrop!$G10)</f>
        <v>1</v>
      </c>
      <c r="D10">
        <f>+SUMIFS(Quest!$J:$J,Quest!$H:$H,QDrop!D$1,Quest!$N:$N,QDrop!$G10)</f>
        <v>1</v>
      </c>
      <c r="E10">
        <f>+SUMIFS(Quest!$J:$J,Quest!$H:$H,QDrop!E$1,Quest!$N:$N,QDrop!$G10)</f>
        <v>1</v>
      </c>
      <c r="F10">
        <f>+SUMIFS(Quest!$J:$J,Quest!$H:$H,QDrop!F$1,Quest!$N:$N,QDrop!$G10)</f>
        <v>0</v>
      </c>
      <c r="G10" t="s">
        <v>19262</v>
      </c>
      <c r="H10">
        <v>10</v>
      </c>
      <c r="I10" t="s">
        <v>19604</v>
      </c>
      <c r="S10" s="206">
        <f t="shared" si="14"/>
        <v>10</v>
      </c>
      <c r="T10" s="175">
        <f t="shared" si="15"/>
        <v>10</v>
      </c>
      <c r="U10" s="175">
        <f t="shared" si="16"/>
        <v>10</v>
      </c>
      <c r="V10" s="175">
        <f t="shared" si="17"/>
        <v>10</v>
      </c>
      <c r="W10" s="175">
        <f t="shared" si="18"/>
        <v>10</v>
      </c>
      <c r="X10" s="207">
        <f t="shared" si="19"/>
        <v>0</v>
      </c>
      <c r="Y10" s="206">
        <f t="shared" si="20"/>
        <v>0</v>
      </c>
      <c r="Z10" s="175">
        <f t="shared" si="21"/>
        <v>0</v>
      </c>
      <c r="AA10" s="175">
        <f t="shared" si="22"/>
        <v>0</v>
      </c>
      <c r="AB10" s="175">
        <f t="shared" si="23"/>
        <v>0</v>
      </c>
      <c r="AC10" s="175">
        <f t="shared" si="24"/>
        <v>0</v>
      </c>
      <c r="AD10" s="207">
        <f t="shared" si="25"/>
        <v>0</v>
      </c>
      <c r="AE10" s="206">
        <f t="shared" si="26"/>
        <v>0</v>
      </c>
      <c r="AF10" s="175">
        <f t="shared" si="27"/>
        <v>0</v>
      </c>
      <c r="AG10" s="175">
        <f t="shared" si="28"/>
        <v>0</v>
      </c>
      <c r="AH10" s="175">
        <f t="shared" si="29"/>
        <v>0</v>
      </c>
      <c r="AI10" s="175">
        <f t="shared" si="30"/>
        <v>0</v>
      </c>
      <c r="AJ10" s="207">
        <f t="shared" si="31"/>
        <v>0</v>
      </c>
      <c r="AK10" s="206">
        <f t="shared" si="32"/>
        <v>0</v>
      </c>
      <c r="AL10" s="175">
        <f t="shared" si="33"/>
        <v>0</v>
      </c>
      <c r="AM10" s="175">
        <f t="shared" si="34"/>
        <v>0</v>
      </c>
      <c r="AN10" s="175">
        <f t="shared" si="35"/>
        <v>0</v>
      </c>
      <c r="AO10" s="175">
        <f t="shared" si="36"/>
        <v>0</v>
      </c>
      <c r="AP10" s="207">
        <f t="shared" si="37"/>
        <v>0</v>
      </c>
      <c r="AQ10" s="206">
        <f t="shared" si="38"/>
        <v>0</v>
      </c>
      <c r="AR10" s="175">
        <f t="shared" si="39"/>
        <v>0</v>
      </c>
      <c r="AS10" s="175">
        <f t="shared" si="40"/>
        <v>0</v>
      </c>
      <c r="AT10" s="175">
        <f t="shared" si="41"/>
        <v>0</v>
      </c>
      <c r="AU10" s="175">
        <f t="shared" si="42"/>
        <v>0</v>
      </c>
      <c r="AV10" s="207">
        <f t="shared" si="43"/>
        <v>0</v>
      </c>
      <c r="AW10" s="59"/>
      <c r="AX10" t="s">
        <v>12645</v>
      </c>
      <c r="AY10" s="109">
        <f t="shared" si="44"/>
        <v>20</v>
      </c>
      <c r="AZ10" s="109">
        <f t="shared" si="5"/>
        <v>20</v>
      </c>
      <c r="BA10" s="109">
        <f t="shared" si="6"/>
        <v>20</v>
      </c>
      <c r="BB10" s="109">
        <f t="shared" si="7"/>
        <v>20</v>
      </c>
      <c r="BC10" s="109">
        <f t="shared" si="8"/>
        <v>20</v>
      </c>
      <c r="BE10" s="59"/>
      <c r="BF10" s="59">
        <f t="shared" si="45"/>
        <v>20</v>
      </c>
      <c r="BG10" s="59">
        <f t="shared" si="9"/>
        <v>20</v>
      </c>
      <c r="BH10" s="59">
        <f t="shared" si="10"/>
        <v>20</v>
      </c>
      <c r="BI10" s="59">
        <f t="shared" si="11"/>
        <v>20</v>
      </c>
      <c r="BJ10" s="59">
        <f t="shared" si="12"/>
        <v>20</v>
      </c>
      <c r="BK10" s="59">
        <f t="shared" si="13"/>
        <v>0</v>
      </c>
      <c r="BL10" s="59"/>
    </row>
    <row r="11" spans="1:64" x14ac:dyDescent="0.2">
      <c r="A11">
        <f>+SUMIFS(Quest!$J:$J,Quest!$H:$H,QDrop!A$1,Quest!$N:$N,QDrop!$G11)</f>
        <v>32</v>
      </c>
      <c r="B11">
        <f>+SUMIFS(Quest!$J:$J,Quest!$H:$H,QDrop!B$1,Quest!$N:$N,QDrop!$G11)</f>
        <v>15</v>
      </c>
      <c r="C11">
        <f>+SUMIFS(Quest!$J:$J,Quest!$H:$H,QDrop!C$1,Quest!$N:$N,QDrop!$G11)</f>
        <v>25</v>
      </c>
      <c r="D11">
        <f>+SUMIFS(Quest!$J:$J,Quest!$H:$H,QDrop!D$1,Quest!$N:$N,QDrop!$G11)</f>
        <v>17</v>
      </c>
      <c r="E11">
        <f>+SUMIFS(Quest!$J:$J,Quest!$H:$H,QDrop!E$1,Quest!$N:$N,QDrop!$G11)</f>
        <v>15</v>
      </c>
      <c r="F11">
        <f>+SUMIFS(Quest!$J:$J,Quest!$H:$H,QDrop!F$1,Quest!$N:$N,QDrop!$G11)</f>
        <v>0</v>
      </c>
      <c r="G11" t="s">
        <v>18048</v>
      </c>
      <c r="H11">
        <v>2</v>
      </c>
      <c r="I11" t="s">
        <v>19599</v>
      </c>
      <c r="S11" s="206">
        <f t="shared" si="14"/>
        <v>64</v>
      </c>
      <c r="T11" s="175">
        <f t="shared" si="15"/>
        <v>30</v>
      </c>
      <c r="U11" s="175">
        <f t="shared" si="16"/>
        <v>50</v>
      </c>
      <c r="V11" s="175">
        <f t="shared" si="17"/>
        <v>34</v>
      </c>
      <c r="W11" s="175">
        <f t="shared" si="18"/>
        <v>30</v>
      </c>
      <c r="X11" s="207">
        <f t="shared" si="19"/>
        <v>0</v>
      </c>
      <c r="Y11" s="206">
        <f t="shared" si="20"/>
        <v>0</v>
      </c>
      <c r="Z11" s="175">
        <f t="shared" si="21"/>
        <v>0</v>
      </c>
      <c r="AA11" s="175">
        <f t="shared" si="22"/>
        <v>0</v>
      </c>
      <c r="AB11" s="175">
        <f t="shared" si="23"/>
        <v>0</v>
      </c>
      <c r="AC11" s="175">
        <f t="shared" si="24"/>
        <v>0</v>
      </c>
      <c r="AD11" s="207">
        <f t="shared" si="25"/>
        <v>0</v>
      </c>
      <c r="AE11" s="206">
        <f t="shared" si="26"/>
        <v>0</v>
      </c>
      <c r="AF11" s="175">
        <f t="shared" si="27"/>
        <v>0</v>
      </c>
      <c r="AG11" s="175">
        <f t="shared" si="28"/>
        <v>0</v>
      </c>
      <c r="AH11" s="175">
        <f t="shared" si="29"/>
        <v>0</v>
      </c>
      <c r="AI11" s="175">
        <f t="shared" si="30"/>
        <v>0</v>
      </c>
      <c r="AJ11" s="207">
        <f t="shared" si="31"/>
        <v>0</v>
      </c>
      <c r="AK11" s="206">
        <f t="shared" si="32"/>
        <v>0</v>
      </c>
      <c r="AL11" s="175">
        <f t="shared" si="33"/>
        <v>0</v>
      </c>
      <c r="AM11" s="175">
        <f t="shared" si="34"/>
        <v>0</v>
      </c>
      <c r="AN11" s="175">
        <f t="shared" si="35"/>
        <v>0</v>
      </c>
      <c r="AO11" s="175">
        <f t="shared" si="36"/>
        <v>0</v>
      </c>
      <c r="AP11" s="207">
        <f t="shared" si="37"/>
        <v>0</v>
      </c>
      <c r="AQ11" s="206">
        <f t="shared" si="38"/>
        <v>0</v>
      </c>
      <c r="AR11" s="175">
        <f t="shared" si="39"/>
        <v>0</v>
      </c>
      <c r="AS11" s="175">
        <f t="shared" si="40"/>
        <v>0</v>
      </c>
      <c r="AT11" s="175">
        <f t="shared" si="41"/>
        <v>0</v>
      </c>
      <c r="AU11" s="175">
        <f t="shared" si="42"/>
        <v>0</v>
      </c>
      <c r="AV11" s="207">
        <f t="shared" si="43"/>
        <v>0</v>
      </c>
      <c r="AW11" s="59"/>
      <c r="AX11" t="s">
        <v>12651</v>
      </c>
      <c r="AY11" s="109">
        <f t="shared" si="44"/>
        <v>20</v>
      </c>
      <c r="AZ11" s="109">
        <f t="shared" si="5"/>
        <v>20</v>
      </c>
      <c r="BA11" s="109">
        <f t="shared" si="6"/>
        <v>20</v>
      </c>
      <c r="BB11" s="109">
        <f t="shared" si="7"/>
        <v>20</v>
      </c>
      <c r="BC11" s="109">
        <f t="shared" si="8"/>
        <v>20</v>
      </c>
      <c r="BE11" s="59"/>
      <c r="BF11" s="59">
        <f t="shared" si="45"/>
        <v>20</v>
      </c>
      <c r="BG11" s="59">
        <f t="shared" si="9"/>
        <v>20</v>
      </c>
      <c r="BH11" s="59">
        <f t="shared" si="10"/>
        <v>20</v>
      </c>
      <c r="BI11" s="59">
        <f t="shared" si="11"/>
        <v>20</v>
      </c>
      <c r="BJ11" s="59">
        <f t="shared" si="12"/>
        <v>20</v>
      </c>
      <c r="BK11" s="59">
        <f t="shared" si="13"/>
        <v>0</v>
      </c>
      <c r="BL11" s="59"/>
    </row>
    <row r="12" spans="1:64" x14ac:dyDescent="0.2">
      <c r="A12">
        <f>+SUMIFS(Quest!$J:$J,Quest!$H:$H,QDrop!A$1,Quest!$N:$N,QDrop!$G12)</f>
        <v>4</v>
      </c>
      <c r="B12">
        <f>+SUMIFS(Quest!$J:$J,Quest!$H:$H,QDrop!B$1,Quest!$N:$N,QDrop!$G12)</f>
        <v>4</v>
      </c>
      <c r="C12">
        <f>+SUMIFS(Quest!$J:$J,Quest!$H:$H,QDrop!C$1,Quest!$N:$N,QDrop!$G12)</f>
        <v>1</v>
      </c>
      <c r="D12">
        <f>+SUMIFS(Quest!$J:$J,Quest!$H:$H,QDrop!D$1,Quest!$N:$N,QDrop!$G12)</f>
        <v>6</v>
      </c>
      <c r="E12">
        <f>+SUMIFS(Quest!$J:$J,Quest!$H:$H,QDrop!E$1,Quest!$N:$N,QDrop!$G12)</f>
        <v>8</v>
      </c>
      <c r="F12">
        <f>+SUMIFS(Quest!$J:$J,Quest!$H:$H,QDrop!F$1,Quest!$N:$N,QDrop!$G12)</f>
        <v>0</v>
      </c>
      <c r="G12" t="s">
        <v>18055</v>
      </c>
      <c r="H12">
        <v>3</v>
      </c>
      <c r="I12" t="s">
        <v>19599</v>
      </c>
      <c r="J12">
        <v>1</v>
      </c>
      <c r="K12" t="s">
        <v>19600</v>
      </c>
      <c r="S12" s="206">
        <f t="shared" si="14"/>
        <v>12</v>
      </c>
      <c r="T12" s="175">
        <f t="shared" si="15"/>
        <v>12</v>
      </c>
      <c r="U12" s="175">
        <f t="shared" si="16"/>
        <v>3</v>
      </c>
      <c r="V12" s="175">
        <f t="shared" si="17"/>
        <v>18</v>
      </c>
      <c r="W12" s="175">
        <f t="shared" si="18"/>
        <v>24</v>
      </c>
      <c r="X12" s="207">
        <f t="shared" si="19"/>
        <v>0</v>
      </c>
      <c r="Y12" s="206">
        <f t="shared" si="20"/>
        <v>4</v>
      </c>
      <c r="Z12" s="175">
        <f t="shared" si="21"/>
        <v>4</v>
      </c>
      <c r="AA12" s="175">
        <f t="shared" si="22"/>
        <v>1</v>
      </c>
      <c r="AB12" s="175">
        <f t="shared" si="23"/>
        <v>6</v>
      </c>
      <c r="AC12" s="175">
        <f t="shared" si="24"/>
        <v>8</v>
      </c>
      <c r="AD12" s="207">
        <f t="shared" si="25"/>
        <v>0</v>
      </c>
      <c r="AE12" s="206">
        <f t="shared" si="26"/>
        <v>0</v>
      </c>
      <c r="AF12" s="175">
        <f t="shared" si="27"/>
        <v>0</v>
      </c>
      <c r="AG12" s="175">
        <f t="shared" si="28"/>
        <v>0</v>
      </c>
      <c r="AH12" s="175">
        <f t="shared" si="29"/>
        <v>0</v>
      </c>
      <c r="AI12" s="175">
        <f t="shared" si="30"/>
        <v>0</v>
      </c>
      <c r="AJ12" s="207">
        <f t="shared" si="31"/>
        <v>0</v>
      </c>
      <c r="AK12" s="206">
        <f t="shared" si="32"/>
        <v>0</v>
      </c>
      <c r="AL12" s="175">
        <f t="shared" si="33"/>
        <v>0</v>
      </c>
      <c r="AM12" s="175">
        <f t="shared" si="34"/>
        <v>0</v>
      </c>
      <c r="AN12" s="175">
        <f t="shared" si="35"/>
        <v>0</v>
      </c>
      <c r="AO12" s="175">
        <f t="shared" si="36"/>
        <v>0</v>
      </c>
      <c r="AP12" s="207">
        <f t="shared" si="37"/>
        <v>0</v>
      </c>
      <c r="AQ12" s="206">
        <f t="shared" si="38"/>
        <v>0</v>
      </c>
      <c r="AR12" s="175">
        <f t="shared" si="39"/>
        <v>0</v>
      </c>
      <c r="AS12" s="175">
        <f t="shared" si="40"/>
        <v>0</v>
      </c>
      <c r="AT12" s="175">
        <f t="shared" si="41"/>
        <v>0</v>
      </c>
      <c r="AU12" s="175">
        <f t="shared" si="42"/>
        <v>0</v>
      </c>
      <c r="AV12" s="207">
        <f t="shared" si="43"/>
        <v>0</v>
      </c>
      <c r="AW12" s="59"/>
      <c r="AX12" t="s">
        <v>12676</v>
      </c>
      <c r="AY12" s="109">
        <f t="shared" si="44"/>
        <v>20</v>
      </c>
      <c r="AZ12" s="109">
        <f t="shared" si="5"/>
        <v>20</v>
      </c>
      <c r="BA12" s="109">
        <f t="shared" si="6"/>
        <v>20</v>
      </c>
      <c r="BB12" s="109">
        <f t="shared" si="7"/>
        <v>20</v>
      </c>
      <c r="BC12" s="109">
        <f t="shared" si="8"/>
        <v>20</v>
      </c>
      <c r="BE12" s="59"/>
      <c r="BF12" s="59">
        <f t="shared" si="45"/>
        <v>20</v>
      </c>
      <c r="BG12" s="59">
        <f t="shared" si="9"/>
        <v>20</v>
      </c>
      <c r="BH12" s="59">
        <f t="shared" si="10"/>
        <v>20</v>
      </c>
      <c r="BI12" s="59">
        <f t="shared" si="11"/>
        <v>20</v>
      </c>
      <c r="BJ12" s="59">
        <f t="shared" si="12"/>
        <v>20</v>
      </c>
      <c r="BK12" s="59">
        <f t="shared" si="13"/>
        <v>0</v>
      </c>
      <c r="BL12" s="59"/>
    </row>
    <row r="13" spans="1:64" x14ac:dyDescent="0.2">
      <c r="A13">
        <f>+SUMIFS(Quest!$J:$J,Quest!$H:$H,QDrop!A$1,Quest!$N:$N,QDrop!$G13)</f>
        <v>15</v>
      </c>
      <c r="B13">
        <f>+SUMIFS(Quest!$J:$J,Quest!$H:$H,QDrop!B$1,Quest!$N:$N,QDrop!$G13)</f>
        <v>27</v>
      </c>
      <c r="C13">
        <f>+SUMIFS(Quest!$J:$J,Quest!$H:$H,QDrop!C$1,Quest!$N:$N,QDrop!$G13)</f>
        <v>13</v>
      </c>
      <c r="D13">
        <f>+SUMIFS(Quest!$J:$J,Quest!$H:$H,QDrop!D$1,Quest!$N:$N,QDrop!$G13)</f>
        <v>21</v>
      </c>
      <c r="E13">
        <f>+SUMIFS(Quest!$J:$J,Quest!$H:$H,QDrop!E$1,Quest!$N:$N,QDrop!$G13)</f>
        <v>22</v>
      </c>
      <c r="F13">
        <f>+SUMIFS(Quest!$J:$J,Quest!$H:$H,QDrop!F$1,Quest!$N:$N,QDrop!$G13)</f>
        <v>0</v>
      </c>
      <c r="G13" t="s">
        <v>18057</v>
      </c>
      <c r="H13">
        <v>4</v>
      </c>
      <c r="I13" t="s">
        <v>19599</v>
      </c>
      <c r="J13">
        <v>2</v>
      </c>
      <c r="K13" t="s">
        <v>19600</v>
      </c>
      <c r="L13">
        <v>2</v>
      </c>
      <c r="M13" t="s">
        <v>19603</v>
      </c>
      <c r="S13" s="206">
        <f t="shared" si="14"/>
        <v>60</v>
      </c>
      <c r="T13" s="175">
        <f t="shared" si="15"/>
        <v>108</v>
      </c>
      <c r="U13" s="175">
        <f t="shared" si="16"/>
        <v>52</v>
      </c>
      <c r="V13" s="175">
        <f t="shared" si="17"/>
        <v>84</v>
      </c>
      <c r="W13" s="175">
        <f t="shared" si="18"/>
        <v>88</v>
      </c>
      <c r="X13" s="207">
        <f t="shared" si="19"/>
        <v>0</v>
      </c>
      <c r="Y13" s="206">
        <f t="shared" si="20"/>
        <v>30</v>
      </c>
      <c r="Z13" s="175">
        <f t="shared" si="21"/>
        <v>54</v>
      </c>
      <c r="AA13" s="175">
        <f t="shared" si="22"/>
        <v>26</v>
      </c>
      <c r="AB13" s="175">
        <f t="shared" si="23"/>
        <v>42</v>
      </c>
      <c r="AC13" s="175">
        <f t="shared" si="24"/>
        <v>44</v>
      </c>
      <c r="AD13" s="207">
        <f t="shared" si="25"/>
        <v>0</v>
      </c>
      <c r="AE13" s="206">
        <f t="shared" si="26"/>
        <v>30</v>
      </c>
      <c r="AF13" s="175">
        <f t="shared" si="27"/>
        <v>54</v>
      </c>
      <c r="AG13" s="175">
        <f t="shared" si="28"/>
        <v>26</v>
      </c>
      <c r="AH13" s="175">
        <f t="shared" si="29"/>
        <v>42</v>
      </c>
      <c r="AI13" s="175">
        <f t="shared" si="30"/>
        <v>44</v>
      </c>
      <c r="AJ13" s="207">
        <f t="shared" si="31"/>
        <v>0</v>
      </c>
      <c r="AK13" s="206">
        <f t="shared" si="32"/>
        <v>0</v>
      </c>
      <c r="AL13" s="175">
        <f t="shared" si="33"/>
        <v>0</v>
      </c>
      <c r="AM13" s="175">
        <f t="shared" si="34"/>
        <v>0</v>
      </c>
      <c r="AN13" s="175">
        <f t="shared" si="35"/>
        <v>0</v>
      </c>
      <c r="AO13" s="175">
        <f t="shared" si="36"/>
        <v>0</v>
      </c>
      <c r="AP13" s="207">
        <f t="shared" si="37"/>
        <v>0</v>
      </c>
      <c r="AQ13" s="206">
        <f t="shared" si="38"/>
        <v>0</v>
      </c>
      <c r="AR13" s="175">
        <f t="shared" si="39"/>
        <v>0</v>
      </c>
      <c r="AS13" s="175">
        <f t="shared" si="40"/>
        <v>0</v>
      </c>
      <c r="AT13" s="175">
        <f t="shared" si="41"/>
        <v>0</v>
      </c>
      <c r="AU13" s="175">
        <f t="shared" si="42"/>
        <v>0</v>
      </c>
      <c r="AV13" s="207">
        <f t="shared" si="43"/>
        <v>0</v>
      </c>
      <c r="AW13" s="59"/>
      <c r="AX13" t="s">
        <v>12673</v>
      </c>
      <c r="AY13" s="109">
        <f t="shared" si="44"/>
        <v>20</v>
      </c>
      <c r="AZ13" s="109">
        <f t="shared" si="5"/>
        <v>20</v>
      </c>
      <c r="BA13" s="109">
        <f t="shared" si="6"/>
        <v>20</v>
      </c>
      <c r="BB13" s="109">
        <f t="shared" si="7"/>
        <v>20</v>
      </c>
      <c r="BC13" s="109">
        <f t="shared" si="8"/>
        <v>20</v>
      </c>
      <c r="BE13" s="59"/>
      <c r="BF13" s="59">
        <f t="shared" si="45"/>
        <v>20</v>
      </c>
      <c r="BG13" s="59">
        <f t="shared" si="9"/>
        <v>20</v>
      </c>
      <c r="BH13" s="59">
        <f t="shared" si="10"/>
        <v>20</v>
      </c>
      <c r="BI13" s="59">
        <f t="shared" si="11"/>
        <v>20</v>
      </c>
      <c r="BJ13" s="59">
        <f t="shared" si="12"/>
        <v>20</v>
      </c>
      <c r="BK13" s="59">
        <f t="shared" si="13"/>
        <v>0</v>
      </c>
      <c r="BL13" s="59"/>
    </row>
    <row r="14" spans="1:64" x14ac:dyDescent="0.2">
      <c r="A14">
        <f>+SUMIFS(Quest!$J:$J,Quest!$H:$H,QDrop!A$1,Quest!$N:$N,QDrop!$G14)</f>
        <v>25</v>
      </c>
      <c r="B14">
        <f>+SUMIFS(Quest!$J:$J,Quest!$H:$H,QDrop!B$1,Quest!$N:$N,QDrop!$G14)</f>
        <v>16</v>
      </c>
      <c r="C14">
        <f>+SUMIFS(Quest!$J:$J,Quest!$H:$H,QDrop!C$1,Quest!$N:$N,QDrop!$G14)</f>
        <v>21</v>
      </c>
      <c r="D14">
        <f>+SUMIFS(Quest!$J:$J,Quest!$H:$H,QDrop!D$1,Quest!$N:$N,QDrop!$G14)</f>
        <v>9</v>
      </c>
      <c r="E14">
        <f>+SUMIFS(Quest!$J:$J,Quest!$H:$H,QDrop!E$1,Quest!$N:$N,QDrop!$G14)</f>
        <v>12</v>
      </c>
      <c r="F14">
        <f>+SUMIFS(Quest!$J:$J,Quest!$H:$H,QDrop!F$1,Quest!$N:$N,QDrop!$G14)</f>
        <v>0</v>
      </c>
      <c r="G14" t="s">
        <v>18062</v>
      </c>
      <c r="H14">
        <v>3</v>
      </c>
      <c r="I14" t="s">
        <v>19599</v>
      </c>
      <c r="J14">
        <v>2</v>
      </c>
      <c r="K14" t="s">
        <v>19600</v>
      </c>
      <c r="L14">
        <v>2</v>
      </c>
      <c r="M14" t="s">
        <v>19601</v>
      </c>
      <c r="N14">
        <v>2</v>
      </c>
      <c r="O14" t="s">
        <v>19603</v>
      </c>
      <c r="P14">
        <v>2</v>
      </c>
      <c r="Q14" t="s">
        <v>19604</v>
      </c>
      <c r="S14" s="206">
        <f t="shared" si="14"/>
        <v>75</v>
      </c>
      <c r="T14" s="175">
        <f t="shared" si="15"/>
        <v>48</v>
      </c>
      <c r="U14" s="175">
        <f t="shared" si="16"/>
        <v>63</v>
      </c>
      <c r="V14" s="175">
        <f t="shared" si="17"/>
        <v>27</v>
      </c>
      <c r="W14" s="175">
        <f t="shared" si="18"/>
        <v>36</v>
      </c>
      <c r="X14" s="207">
        <f t="shared" si="19"/>
        <v>0</v>
      </c>
      <c r="Y14" s="206">
        <f>+$J14*A14</f>
        <v>50</v>
      </c>
      <c r="Z14" s="175">
        <f t="shared" si="21"/>
        <v>32</v>
      </c>
      <c r="AA14" s="175">
        <f t="shared" si="22"/>
        <v>42</v>
      </c>
      <c r="AB14" s="175">
        <f t="shared" si="23"/>
        <v>18</v>
      </c>
      <c r="AC14" s="175">
        <f t="shared" si="24"/>
        <v>24</v>
      </c>
      <c r="AD14" s="207">
        <f t="shared" si="25"/>
        <v>0</v>
      </c>
      <c r="AE14" s="206">
        <f t="shared" si="26"/>
        <v>50</v>
      </c>
      <c r="AF14" s="175">
        <f t="shared" si="27"/>
        <v>32</v>
      </c>
      <c r="AG14" s="175">
        <f t="shared" si="28"/>
        <v>42</v>
      </c>
      <c r="AH14" s="175">
        <f t="shared" si="29"/>
        <v>18</v>
      </c>
      <c r="AI14" s="175">
        <f t="shared" si="30"/>
        <v>24</v>
      </c>
      <c r="AJ14" s="207">
        <f t="shared" si="31"/>
        <v>0</v>
      </c>
      <c r="AK14" s="206">
        <f t="shared" si="32"/>
        <v>50</v>
      </c>
      <c r="AL14" s="175">
        <f t="shared" si="33"/>
        <v>32</v>
      </c>
      <c r="AM14" s="175">
        <f t="shared" si="34"/>
        <v>42</v>
      </c>
      <c r="AN14" s="175">
        <f t="shared" si="35"/>
        <v>18</v>
      </c>
      <c r="AO14" s="175">
        <f t="shared" si="36"/>
        <v>24</v>
      </c>
      <c r="AP14" s="207">
        <f t="shared" si="37"/>
        <v>0</v>
      </c>
      <c r="AQ14" s="206">
        <f t="shared" si="38"/>
        <v>50</v>
      </c>
      <c r="AR14" s="175">
        <f t="shared" si="39"/>
        <v>32</v>
      </c>
      <c r="AS14" s="175">
        <f t="shared" si="40"/>
        <v>42</v>
      </c>
      <c r="AT14" s="175">
        <f t="shared" si="41"/>
        <v>18</v>
      </c>
      <c r="AU14" s="175">
        <f t="shared" si="42"/>
        <v>24</v>
      </c>
      <c r="AV14" s="207">
        <f t="shared" si="43"/>
        <v>0</v>
      </c>
      <c r="AW14" s="59"/>
      <c r="AX14" t="s">
        <v>12657</v>
      </c>
      <c r="AY14" s="109">
        <f t="shared" si="44"/>
        <v>20</v>
      </c>
      <c r="AZ14" s="109">
        <f t="shared" si="5"/>
        <v>20</v>
      </c>
      <c r="BA14" s="109">
        <f t="shared" si="6"/>
        <v>20</v>
      </c>
      <c r="BB14" s="109">
        <f t="shared" si="7"/>
        <v>20</v>
      </c>
      <c r="BC14" s="109">
        <f t="shared" si="8"/>
        <v>20</v>
      </c>
      <c r="BE14" s="59"/>
      <c r="BF14" s="59">
        <f t="shared" si="45"/>
        <v>20</v>
      </c>
      <c r="BG14" s="59">
        <f t="shared" si="9"/>
        <v>20</v>
      </c>
      <c r="BH14" s="59">
        <f t="shared" si="10"/>
        <v>20</v>
      </c>
      <c r="BI14" s="59">
        <f t="shared" si="11"/>
        <v>20</v>
      </c>
      <c r="BJ14" s="59">
        <f t="shared" si="12"/>
        <v>20</v>
      </c>
      <c r="BK14" s="59">
        <f t="shared" si="13"/>
        <v>0</v>
      </c>
      <c r="BL14" s="59"/>
    </row>
    <row r="15" spans="1:64" x14ac:dyDescent="0.2">
      <c r="A15">
        <f>+SUMIFS(Quest!$J:$J,Quest!$H:$H,QDrop!A$1,Quest!$N:$N,QDrop!$G15)</f>
        <v>10</v>
      </c>
      <c r="B15">
        <f>+SUMIFS(Quest!$J:$J,Quest!$H:$H,QDrop!B$1,Quest!$N:$N,QDrop!$G15)</f>
        <v>18</v>
      </c>
      <c r="C15">
        <f>+SUMIFS(Quest!$J:$J,Quest!$H:$H,QDrop!C$1,Quest!$N:$N,QDrop!$G15)</f>
        <v>10</v>
      </c>
      <c r="D15">
        <f>+SUMIFS(Quest!$J:$J,Quest!$H:$H,QDrop!D$1,Quest!$N:$N,QDrop!$G15)</f>
        <v>11</v>
      </c>
      <c r="E15">
        <f>+SUMIFS(Quest!$J:$J,Quest!$H:$H,QDrop!E$1,Quest!$N:$N,QDrop!$G15)</f>
        <v>15</v>
      </c>
      <c r="F15">
        <f>+SUMIFS(Quest!$J:$J,Quest!$H:$H,QDrop!F$1,Quest!$N:$N,QDrop!$G15)</f>
        <v>0</v>
      </c>
      <c r="G15" t="s">
        <v>18188</v>
      </c>
      <c r="H15">
        <v>3</v>
      </c>
      <c r="I15" t="s">
        <v>19600</v>
      </c>
      <c r="J15">
        <v>3</v>
      </c>
      <c r="K15" t="s">
        <v>19601</v>
      </c>
      <c r="L15">
        <v>2</v>
      </c>
      <c r="M15" t="s">
        <v>19602</v>
      </c>
      <c r="N15">
        <v>4</v>
      </c>
      <c r="O15" t="s">
        <v>19603</v>
      </c>
      <c r="P15">
        <v>4</v>
      </c>
      <c r="Q15" t="s">
        <v>19604</v>
      </c>
      <c r="S15" s="206">
        <f t="shared" si="14"/>
        <v>30</v>
      </c>
      <c r="T15" s="175">
        <f t="shared" si="15"/>
        <v>54</v>
      </c>
      <c r="U15" s="175">
        <f t="shared" si="16"/>
        <v>30</v>
      </c>
      <c r="V15" s="175">
        <f t="shared" si="17"/>
        <v>33</v>
      </c>
      <c r="W15" s="175">
        <f>+$H15*E15</f>
        <v>45</v>
      </c>
      <c r="X15" s="207">
        <f t="shared" si="19"/>
        <v>0</v>
      </c>
      <c r="Y15" s="206">
        <f>+$J15*A15</f>
        <v>30</v>
      </c>
      <c r="Z15" s="175">
        <f t="shared" si="21"/>
        <v>54</v>
      </c>
      <c r="AA15" s="175">
        <f t="shared" si="22"/>
        <v>30</v>
      </c>
      <c r="AB15" s="175">
        <f t="shared" si="23"/>
        <v>33</v>
      </c>
      <c r="AC15" s="175">
        <f t="shared" si="24"/>
        <v>45</v>
      </c>
      <c r="AD15" s="207">
        <f t="shared" si="25"/>
        <v>0</v>
      </c>
      <c r="AE15" s="206">
        <f t="shared" si="26"/>
        <v>20</v>
      </c>
      <c r="AF15" s="175">
        <f t="shared" si="27"/>
        <v>36</v>
      </c>
      <c r="AG15" s="175">
        <f t="shared" si="28"/>
        <v>20</v>
      </c>
      <c r="AH15" s="175">
        <f t="shared" si="29"/>
        <v>22</v>
      </c>
      <c r="AI15" s="175">
        <f t="shared" si="30"/>
        <v>30</v>
      </c>
      <c r="AJ15" s="207">
        <f t="shared" si="31"/>
        <v>0</v>
      </c>
      <c r="AK15" s="206">
        <f t="shared" si="32"/>
        <v>40</v>
      </c>
      <c r="AL15" s="175">
        <f t="shared" si="33"/>
        <v>72</v>
      </c>
      <c r="AM15" s="175">
        <f t="shared" si="34"/>
        <v>40</v>
      </c>
      <c r="AN15" s="175">
        <f t="shared" si="35"/>
        <v>44</v>
      </c>
      <c r="AO15" s="175">
        <f t="shared" si="36"/>
        <v>60</v>
      </c>
      <c r="AP15" s="207">
        <f t="shared" si="37"/>
        <v>0</v>
      </c>
      <c r="AQ15" s="206">
        <f t="shared" si="38"/>
        <v>40</v>
      </c>
      <c r="AR15" s="175">
        <f t="shared" si="39"/>
        <v>72</v>
      </c>
      <c r="AS15" s="175">
        <f t="shared" si="40"/>
        <v>40</v>
      </c>
      <c r="AT15" s="175">
        <f t="shared" si="41"/>
        <v>44</v>
      </c>
      <c r="AU15" s="175">
        <f t="shared" si="42"/>
        <v>60</v>
      </c>
      <c r="AV15" s="207">
        <f t="shared" si="43"/>
        <v>0</v>
      </c>
      <c r="AW15" s="59"/>
      <c r="AX15" t="s">
        <v>12670</v>
      </c>
      <c r="AY15" s="109">
        <f t="shared" si="44"/>
        <v>20</v>
      </c>
      <c r="AZ15" s="109">
        <f t="shared" si="5"/>
        <v>20</v>
      </c>
      <c r="BA15" s="109">
        <f t="shared" si="6"/>
        <v>20</v>
      </c>
      <c r="BB15" s="109">
        <f t="shared" si="7"/>
        <v>20</v>
      </c>
      <c r="BC15" s="109">
        <f t="shared" si="8"/>
        <v>20</v>
      </c>
      <c r="BE15" s="59"/>
      <c r="BF15" s="59">
        <f t="shared" si="45"/>
        <v>20</v>
      </c>
      <c r="BG15" s="59">
        <f t="shared" si="9"/>
        <v>20</v>
      </c>
      <c r="BH15" s="59">
        <f t="shared" si="10"/>
        <v>20</v>
      </c>
      <c r="BI15" s="59">
        <f t="shared" si="11"/>
        <v>20</v>
      </c>
      <c r="BJ15" s="59">
        <f t="shared" si="12"/>
        <v>20</v>
      </c>
      <c r="BK15" s="59">
        <f t="shared" si="13"/>
        <v>0</v>
      </c>
      <c r="BL15" s="59"/>
    </row>
    <row r="16" spans="1:64" x14ac:dyDescent="0.2">
      <c r="A16">
        <f>+SUMIFS(Quest!$J:$J,Quest!$H:$H,QDrop!A$1,Quest!$N:$N,QDrop!$G16)</f>
        <v>10</v>
      </c>
      <c r="B16">
        <f>+SUMIFS(Quest!$J:$J,Quest!$H:$H,QDrop!B$1,Quest!$N:$N,QDrop!$G16)</f>
        <v>4</v>
      </c>
      <c r="C16">
        <f>+SUMIFS(Quest!$J:$J,Quest!$H:$H,QDrop!C$1,Quest!$N:$N,QDrop!$G16)</f>
        <v>6</v>
      </c>
      <c r="D16">
        <f>+SUMIFS(Quest!$J:$J,Quest!$H:$H,QDrop!D$1,Quest!$N:$N,QDrop!$G16)</f>
        <v>2</v>
      </c>
      <c r="E16">
        <f>+SUMIFS(Quest!$J:$J,Quest!$H:$H,QDrop!E$1,Quest!$N:$N,QDrop!$G16)</f>
        <v>3</v>
      </c>
      <c r="F16">
        <f>+SUMIFS(Quest!$J:$J,Quest!$H:$H,QDrop!F$1,Quest!$N:$N,QDrop!$G16)</f>
        <v>0</v>
      </c>
      <c r="G16" t="s">
        <v>18192</v>
      </c>
      <c r="H16">
        <v>3</v>
      </c>
      <c r="I16" t="s">
        <v>19601</v>
      </c>
      <c r="J16">
        <v>3</v>
      </c>
      <c r="K16" t="s">
        <v>19602</v>
      </c>
      <c r="L16">
        <v>4</v>
      </c>
      <c r="M16" t="s">
        <v>19603</v>
      </c>
      <c r="N16">
        <v>3</v>
      </c>
      <c r="O16" t="s">
        <v>19604</v>
      </c>
      <c r="S16" s="206">
        <f t="shared" si="14"/>
        <v>30</v>
      </c>
      <c r="T16" s="175">
        <f t="shared" si="15"/>
        <v>12</v>
      </c>
      <c r="U16" s="175">
        <f t="shared" si="16"/>
        <v>18</v>
      </c>
      <c r="V16" s="175">
        <f t="shared" si="17"/>
        <v>6</v>
      </c>
      <c r="W16" s="175">
        <f t="shared" si="18"/>
        <v>9</v>
      </c>
      <c r="X16" s="207">
        <f t="shared" si="19"/>
        <v>0</v>
      </c>
      <c r="Y16" s="206">
        <f t="shared" si="20"/>
        <v>30</v>
      </c>
      <c r="Z16" s="175">
        <f t="shared" si="21"/>
        <v>12</v>
      </c>
      <c r="AA16" s="175">
        <f t="shared" si="22"/>
        <v>18</v>
      </c>
      <c r="AB16" s="175">
        <f t="shared" si="23"/>
        <v>6</v>
      </c>
      <c r="AC16" s="175">
        <f t="shared" si="24"/>
        <v>9</v>
      </c>
      <c r="AD16" s="207">
        <f t="shared" si="25"/>
        <v>0</v>
      </c>
      <c r="AE16" s="206">
        <f t="shared" si="26"/>
        <v>40</v>
      </c>
      <c r="AF16" s="175">
        <f t="shared" si="27"/>
        <v>16</v>
      </c>
      <c r="AG16" s="175">
        <f t="shared" si="28"/>
        <v>24</v>
      </c>
      <c r="AH16" s="175">
        <f t="shared" si="29"/>
        <v>8</v>
      </c>
      <c r="AI16" s="175">
        <f t="shared" si="30"/>
        <v>12</v>
      </c>
      <c r="AJ16" s="207">
        <f t="shared" si="31"/>
        <v>0</v>
      </c>
      <c r="AK16" s="206">
        <f t="shared" si="32"/>
        <v>30</v>
      </c>
      <c r="AL16" s="175">
        <f t="shared" si="33"/>
        <v>12</v>
      </c>
      <c r="AM16" s="175">
        <f t="shared" si="34"/>
        <v>18</v>
      </c>
      <c r="AN16" s="175">
        <f t="shared" si="35"/>
        <v>6</v>
      </c>
      <c r="AO16" s="175">
        <f t="shared" si="36"/>
        <v>9</v>
      </c>
      <c r="AP16" s="207">
        <f t="shared" si="37"/>
        <v>0</v>
      </c>
      <c r="AQ16" s="206">
        <f t="shared" si="38"/>
        <v>0</v>
      </c>
      <c r="AR16" s="175">
        <f t="shared" si="39"/>
        <v>0</v>
      </c>
      <c r="AS16" s="175">
        <f t="shared" si="40"/>
        <v>0</v>
      </c>
      <c r="AT16" s="175">
        <f t="shared" si="41"/>
        <v>0</v>
      </c>
      <c r="AU16" s="175">
        <f t="shared" si="42"/>
        <v>0</v>
      </c>
      <c r="AV16" s="207">
        <f t="shared" si="43"/>
        <v>0</v>
      </c>
      <c r="AW16" s="59"/>
      <c r="AX16" t="s">
        <v>12681</v>
      </c>
      <c r="AY16" s="109">
        <f t="shared" si="44"/>
        <v>20</v>
      </c>
      <c r="AZ16" s="109">
        <f t="shared" si="5"/>
        <v>20</v>
      </c>
      <c r="BA16" s="109">
        <f t="shared" si="6"/>
        <v>20</v>
      </c>
      <c r="BB16" s="109">
        <f t="shared" si="7"/>
        <v>20</v>
      </c>
      <c r="BC16" s="109">
        <f t="shared" si="8"/>
        <v>20</v>
      </c>
      <c r="BE16" s="59"/>
      <c r="BF16" s="59">
        <f t="shared" si="45"/>
        <v>20</v>
      </c>
      <c r="BG16" s="59">
        <f t="shared" si="9"/>
        <v>20</v>
      </c>
      <c r="BH16" s="59">
        <f t="shared" si="10"/>
        <v>20</v>
      </c>
      <c r="BI16" s="59">
        <f t="shared" si="11"/>
        <v>20</v>
      </c>
      <c r="BJ16" s="59">
        <f t="shared" si="12"/>
        <v>20</v>
      </c>
      <c r="BK16" s="59">
        <f t="shared" si="13"/>
        <v>0</v>
      </c>
      <c r="BL16" s="59"/>
    </row>
    <row r="17" spans="1:64" x14ac:dyDescent="0.2">
      <c r="A17">
        <f>+SUMIFS(Quest!$J:$J,Quest!$H:$H,QDrop!A$1,Quest!$N:$N,QDrop!$G17)</f>
        <v>5</v>
      </c>
      <c r="B17">
        <f>+SUMIFS(Quest!$J:$J,Quest!$H:$H,QDrop!B$1,Quest!$N:$N,QDrop!$G17)</f>
        <v>5</v>
      </c>
      <c r="C17">
        <f>+SUMIFS(Quest!$J:$J,Quest!$H:$H,QDrop!C$1,Quest!$N:$N,QDrop!$G17)</f>
        <v>5</v>
      </c>
      <c r="D17">
        <f>+SUMIFS(Quest!$J:$J,Quest!$H:$H,QDrop!D$1,Quest!$N:$N,QDrop!$G17)</f>
        <v>5</v>
      </c>
      <c r="E17">
        <f>+SUMIFS(Quest!$J:$J,Quest!$H:$H,QDrop!E$1,Quest!$N:$N,QDrop!$G17)</f>
        <v>5</v>
      </c>
      <c r="F17">
        <f>+SUMIFS(Quest!$J:$J,Quest!$H:$H,QDrop!F$1,Quest!$N:$N,QDrop!$G17)</f>
        <v>1</v>
      </c>
      <c r="G17" t="s">
        <v>17406</v>
      </c>
      <c r="H17">
        <v>3</v>
      </c>
      <c r="I17" t="s">
        <v>19605</v>
      </c>
      <c r="S17" s="206">
        <f t="shared" si="14"/>
        <v>15</v>
      </c>
      <c r="T17" s="175">
        <f t="shared" si="15"/>
        <v>15</v>
      </c>
      <c r="U17" s="175">
        <f t="shared" si="16"/>
        <v>15</v>
      </c>
      <c r="V17" s="175">
        <f t="shared" si="17"/>
        <v>15</v>
      </c>
      <c r="W17" s="175">
        <f t="shared" si="18"/>
        <v>15</v>
      </c>
      <c r="X17" s="207">
        <f t="shared" si="19"/>
        <v>3</v>
      </c>
      <c r="Y17" s="206">
        <f t="shared" si="20"/>
        <v>0</v>
      </c>
      <c r="Z17" s="175">
        <f t="shared" si="21"/>
        <v>0</v>
      </c>
      <c r="AA17" s="175">
        <f t="shared" si="22"/>
        <v>0</v>
      </c>
      <c r="AB17" s="175">
        <f t="shared" si="23"/>
        <v>0</v>
      </c>
      <c r="AC17" s="175">
        <f t="shared" si="24"/>
        <v>0</v>
      </c>
      <c r="AD17" s="207">
        <f t="shared" si="25"/>
        <v>0</v>
      </c>
      <c r="AE17" s="206">
        <f t="shared" si="26"/>
        <v>0</v>
      </c>
      <c r="AF17" s="175">
        <f t="shared" si="27"/>
        <v>0</v>
      </c>
      <c r="AG17" s="175">
        <f t="shared" si="28"/>
        <v>0</v>
      </c>
      <c r="AH17" s="175">
        <f t="shared" si="29"/>
        <v>0</v>
      </c>
      <c r="AI17" s="175">
        <f t="shared" si="30"/>
        <v>0</v>
      </c>
      <c r="AJ17" s="207">
        <f t="shared" si="31"/>
        <v>0</v>
      </c>
      <c r="AK17" s="206">
        <f t="shared" si="32"/>
        <v>0</v>
      </c>
      <c r="AL17" s="175">
        <f t="shared" si="33"/>
        <v>0</v>
      </c>
      <c r="AM17" s="175">
        <f t="shared" si="34"/>
        <v>0</v>
      </c>
      <c r="AN17" s="175">
        <f t="shared" si="35"/>
        <v>0</v>
      </c>
      <c r="AO17" s="175">
        <f t="shared" si="36"/>
        <v>0</v>
      </c>
      <c r="AP17" s="207">
        <f t="shared" si="37"/>
        <v>0</v>
      </c>
      <c r="AQ17" s="206">
        <f t="shared" si="38"/>
        <v>0</v>
      </c>
      <c r="AR17" s="175">
        <f t="shared" si="39"/>
        <v>0</v>
      </c>
      <c r="AS17" s="175">
        <f t="shared" si="40"/>
        <v>0</v>
      </c>
      <c r="AT17" s="175">
        <f t="shared" si="41"/>
        <v>0</v>
      </c>
      <c r="AU17" s="175">
        <f t="shared" si="42"/>
        <v>0</v>
      </c>
      <c r="AV17" s="207">
        <f t="shared" si="43"/>
        <v>0</v>
      </c>
      <c r="AW17" s="59"/>
      <c r="AX17" t="s">
        <v>12684</v>
      </c>
      <c r="AY17" s="109">
        <f t="shared" si="44"/>
        <v>14</v>
      </c>
      <c r="AZ17" s="109">
        <f t="shared" si="5"/>
        <v>14</v>
      </c>
      <c r="BA17" s="109">
        <f t="shared" si="6"/>
        <v>14</v>
      </c>
      <c r="BB17" s="109">
        <f t="shared" si="7"/>
        <v>14</v>
      </c>
      <c r="BC17" s="109">
        <f t="shared" si="8"/>
        <v>14</v>
      </c>
      <c r="BE17" s="59"/>
      <c r="BF17" s="59">
        <f t="shared" si="45"/>
        <v>14</v>
      </c>
      <c r="BG17" s="59">
        <f t="shared" si="9"/>
        <v>14</v>
      </c>
      <c r="BH17" s="59">
        <f t="shared" si="10"/>
        <v>14</v>
      </c>
      <c r="BI17" s="59">
        <f t="shared" si="11"/>
        <v>14</v>
      </c>
      <c r="BJ17" s="59">
        <f t="shared" si="12"/>
        <v>14</v>
      </c>
      <c r="BK17" s="59">
        <f t="shared" si="13"/>
        <v>0</v>
      </c>
      <c r="BL17" s="59"/>
    </row>
    <row r="18" spans="1:64" x14ac:dyDescent="0.2">
      <c r="A18">
        <f>+SUMIFS(Quest!$J:$J,Quest!$H:$H,QDrop!A$1,Quest!$N:$N,QDrop!$G18)</f>
        <v>5</v>
      </c>
      <c r="B18">
        <f>+SUMIFS(Quest!$J:$J,Quest!$H:$H,QDrop!B$1,Quest!$N:$N,QDrop!$G18)</f>
        <v>5</v>
      </c>
      <c r="C18">
        <f>+SUMIFS(Quest!$J:$J,Quest!$H:$H,QDrop!C$1,Quest!$N:$N,QDrop!$G18)</f>
        <v>5</v>
      </c>
      <c r="D18">
        <f>+SUMIFS(Quest!$J:$J,Quest!$H:$H,QDrop!D$1,Quest!$N:$N,QDrop!$G18)</f>
        <v>5</v>
      </c>
      <c r="E18">
        <f>+SUMIFS(Quest!$J:$J,Quest!$H:$H,QDrop!E$1,Quest!$N:$N,QDrop!$G18)</f>
        <v>5</v>
      </c>
      <c r="F18">
        <f>+SUMIFS(Quest!$J:$J,Quest!$H:$H,QDrop!F$1,Quest!$N:$N,QDrop!$G18)</f>
        <v>1</v>
      </c>
      <c r="G18" t="s">
        <v>17407</v>
      </c>
      <c r="H18">
        <v>2</v>
      </c>
      <c r="I18" t="s">
        <v>11373</v>
      </c>
      <c r="S18" s="206">
        <f t="shared" si="14"/>
        <v>10</v>
      </c>
      <c r="T18" s="175">
        <f t="shared" si="15"/>
        <v>10</v>
      </c>
      <c r="U18" s="175">
        <f t="shared" si="16"/>
        <v>10</v>
      </c>
      <c r="V18" s="175">
        <f t="shared" si="17"/>
        <v>10</v>
      </c>
      <c r="W18" s="175">
        <f t="shared" si="18"/>
        <v>10</v>
      </c>
      <c r="X18" s="207">
        <f t="shared" si="19"/>
        <v>2</v>
      </c>
      <c r="Y18" s="206">
        <f t="shared" si="20"/>
        <v>0</v>
      </c>
      <c r="Z18" s="175">
        <f t="shared" si="21"/>
        <v>0</v>
      </c>
      <c r="AA18" s="175">
        <f t="shared" si="22"/>
        <v>0</v>
      </c>
      <c r="AB18" s="175">
        <f t="shared" si="23"/>
        <v>0</v>
      </c>
      <c r="AC18" s="175">
        <f t="shared" si="24"/>
        <v>0</v>
      </c>
      <c r="AD18" s="207">
        <f t="shared" si="25"/>
        <v>0</v>
      </c>
      <c r="AE18" s="206">
        <f t="shared" si="26"/>
        <v>0</v>
      </c>
      <c r="AF18" s="175">
        <f t="shared" si="27"/>
        <v>0</v>
      </c>
      <c r="AG18" s="175">
        <f t="shared" si="28"/>
        <v>0</v>
      </c>
      <c r="AH18" s="175">
        <f t="shared" si="29"/>
        <v>0</v>
      </c>
      <c r="AI18" s="175">
        <f t="shared" si="30"/>
        <v>0</v>
      </c>
      <c r="AJ18" s="207">
        <f t="shared" si="31"/>
        <v>0</v>
      </c>
      <c r="AK18" s="206">
        <f t="shared" si="32"/>
        <v>0</v>
      </c>
      <c r="AL18" s="175">
        <f t="shared" si="33"/>
        <v>0</v>
      </c>
      <c r="AM18" s="175">
        <f t="shared" si="34"/>
        <v>0</v>
      </c>
      <c r="AN18" s="175">
        <f t="shared" si="35"/>
        <v>0</v>
      </c>
      <c r="AO18" s="175">
        <f t="shared" si="36"/>
        <v>0</v>
      </c>
      <c r="AP18" s="207">
        <f t="shared" si="37"/>
        <v>0</v>
      </c>
      <c r="AQ18" s="206">
        <f t="shared" si="38"/>
        <v>0</v>
      </c>
      <c r="AR18" s="175">
        <f t="shared" si="39"/>
        <v>0</v>
      </c>
      <c r="AS18" s="175">
        <f t="shared" si="40"/>
        <v>0</v>
      </c>
      <c r="AT18" s="175">
        <f t="shared" si="41"/>
        <v>0</v>
      </c>
      <c r="AU18" s="175">
        <f t="shared" si="42"/>
        <v>0</v>
      </c>
      <c r="AV18" s="207">
        <f t="shared" si="43"/>
        <v>0</v>
      </c>
      <c r="AW18" s="59"/>
      <c r="AX18" t="s">
        <v>12653</v>
      </c>
      <c r="AY18" s="109">
        <f t="shared" si="44"/>
        <v>12</v>
      </c>
      <c r="AZ18" s="109">
        <f t="shared" si="5"/>
        <v>12</v>
      </c>
      <c r="BA18" s="109">
        <f t="shared" si="6"/>
        <v>12</v>
      </c>
      <c r="BB18" s="109">
        <f t="shared" si="7"/>
        <v>12</v>
      </c>
      <c r="BC18" s="109">
        <f t="shared" si="8"/>
        <v>12</v>
      </c>
      <c r="BE18" s="59"/>
      <c r="BF18" s="59">
        <f t="shared" si="45"/>
        <v>12</v>
      </c>
      <c r="BG18" s="59">
        <f t="shared" si="9"/>
        <v>12</v>
      </c>
      <c r="BH18" s="59">
        <f t="shared" si="10"/>
        <v>12</v>
      </c>
      <c r="BI18" s="59">
        <f t="shared" si="11"/>
        <v>12</v>
      </c>
      <c r="BJ18" s="59">
        <f t="shared" si="12"/>
        <v>12</v>
      </c>
      <c r="BK18" s="59">
        <f t="shared" si="13"/>
        <v>0</v>
      </c>
      <c r="BL18" s="59"/>
    </row>
    <row r="19" spans="1:64" x14ac:dyDescent="0.2">
      <c r="A19">
        <f>+SUMIFS(Quest!$J:$J,Quest!$H:$H,QDrop!A$1,Quest!$N:$N,QDrop!$G19)</f>
        <v>5</v>
      </c>
      <c r="B19">
        <f>+SUMIFS(Quest!$J:$J,Quest!$H:$H,QDrop!B$1,Quest!$N:$N,QDrop!$G19)</f>
        <v>5</v>
      </c>
      <c r="C19">
        <f>+SUMIFS(Quest!$J:$J,Quest!$H:$H,QDrop!C$1,Quest!$N:$N,QDrop!$G19)</f>
        <v>5</v>
      </c>
      <c r="D19">
        <f>+SUMIFS(Quest!$J:$J,Quest!$H:$H,QDrop!D$1,Quest!$N:$N,QDrop!$G19)</f>
        <v>5</v>
      </c>
      <c r="E19">
        <f>+SUMIFS(Quest!$J:$J,Quest!$H:$H,QDrop!E$1,Quest!$N:$N,QDrop!$G19)</f>
        <v>5</v>
      </c>
      <c r="F19">
        <f>+SUMIFS(Quest!$J:$J,Quest!$H:$H,QDrop!F$1,Quest!$N:$N,QDrop!$G19)</f>
        <v>1</v>
      </c>
      <c r="G19" t="s">
        <v>17408</v>
      </c>
      <c r="H19">
        <v>2</v>
      </c>
      <c r="I19" t="s">
        <v>12662</v>
      </c>
      <c r="S19" s="206">
        <f t="shared" si="14"/>
        <v>10</v>
      </c>
      <c r="T19" s="175">
        <f t="shared" si="15"/>
        <v>10</v>
      </c>
      <c r="U19" s="175">
        <f t="shared" si="16"/>
        <v>10</v>
      </c>
      <c r="V19" s="175">
        <f t="shared" si="17"/>
        <v>10</v>
      </c>
      <c r="W19" s="175">
        <f t="shared" si="18"/>
        <v>10</v>
      </c>
      <c r="X19" s="207">
        <f t="shared" si="19"/>
        <v>2</v>
      </c>
      <c r="Y19" s="206">
        <f t="shared" si="20"/>
        <v>0</v>
      </c>
      <c r="Z19" s="175">
        <f t="shared" si="21"/>
        <v>0</v>
      </c>
      <c r="AA19" s="175">
        <f t="shared" si="22"/>
        <v>0</v>
      </c>
      <c r="AB19" s="175">
        <f t="shared" si="23"/>
        <v>0</v>
      </c>
      <c r="AC19" s="175">
        <f t="shared" si="24"/>
        <v>0</v>
      </c>
      <c r="AD19" s="207">
        <f t="shared" si="25"/>
        <v>0</v>
      </c>
      <c r="AE19" s="206">
        <f t="shared" si="26"/>
        <v>0</v>
      </c>
      <c r="AF19" s="175">
        <f t="shared" si="27"/>
        <v>0</v>
      </c>
      <c r="AG19" s="175">
        <f t="shared" si="28"/>
        <v>0</v>
      </c>
      <c r="AH19" s="175">
        <f t="shared" si="29"/>
        <v>0</v>
      </c>
      <c r="AI19" s="175">
        <f t="shared" si="30"/>
        <v>0</v>
      </c>
      <c r="AJ19" s="207">
        <f t="shared" si="31"/>
        <v>0</v>
      </c>
      <c r="AK19" s="206">
        <f t="shared" si="32"/>
        <v>0</v>
      </c>
      <c r="AL19" s="175">
        <f t="shared" si="33"/>
        <v>0</v>
      </c>
      <c r="AM19" s="175">
        <f t="shared" si="34"/>
        <v>0</v>
      </c>
      <c r="AN19" s="175">
        <f t="shared" si="35"/>
        <v>0</v>
      </c>
      <c r="AO19" s="175">
        <f t="shared" si="36"/>
        <v>0</v>
      </c>
      <c r="AP19" s="207">
        <f t="shared" si="37"/>
        <v>0</v>
      </c>
      <c r="AQ19" s="206">
        <f t="shared" si="38"/>
        <v>0</v>
      </c>
      <c r="AR19" s="175">
        <f t="shared" si="39"/>
        <v>0</v>
      </c>
      <c r="AS19" s="175">
        <f t="shared" si="40"/>
        <v>0</v>
      </c>
      <c r="AT19" s="175">
        <f t="shared" si="41"/>
        <v>0</v>
      </c>
      <c r="AU19" s="175">
        <f t="shared" si="42"/>
        <v>0</v>
      </c>
      <c r="AV19" s="207">
        <f t="shared" si="43"/>
        <v>0</v>
      </c>
      <c r="AW19" s="59"/>
      <c r="AX19" t="s">
        <v>11231</v>
      </c>
      <c r="AY19" s="109">
        <f t="shared" si="44"/>
        <v>16</v>
      </c>
      <c r="AZ19" s="109">
        <f t="shared" si="5"/>
        <v>10</v>
      </c>
      <c r="BA19" s="109">
        <f t="shared" si="6"/>
        <v>10</v>
      </c>
      <c r="BB19" s="109">
        <f t="shared" si="7"/>
        <v>10</v>
      </c>
      <c r="BC19" s="109">
        <f t="shared" si="8"/>
        <v>10</v>
      </c>
      <c r="BE19" s="59"/>
      <c r="BF19" s="59">
        <f t="shared" si="45"/>
        <v>16</v>
      </c>
      <c r="BG19" s="59">
        <f t="shared" si="9"/>
        <v>10</v>
      </c>
      <c r="BH19" s="59">
        <f t="shared" si="10"/>
        <v>10</v>
      </c>
      <c r="BI19" s="59">
        <f t="shared" si="11"/>
        <v>10</v>
      </c>
      <c r="BJ19" s="59">
        <f t="shared" si="12"/>
        <v>10</v>
      </c>
      <c r="BK19" s="59">
        <f t="shared" si="13"/>
        <v>0</v>
      </c>
      <c r="BL19" s="59"/>
    </row>
    <row r="20" spans="1:64" x14ac:dyDescent="0.2">
      <c r="A20">
        <f>+SUMIFS(Quest!$J:$J,Quest!$H:$H,QDrop!A$1,Quest!$N:$N,QDrop!$G20)</f>
        <v>1</v>
      </c>
      <c r="B20">
        <f>+SUMIFS(Quest!$J:$J,Quest!$H:$H,QDrop!B$1,Quest!$N:$N,QDrop!$G20)</f>
        <v>0</v>
      </c>
      <c r="C20">
        <f>+SUMIFS(Quest!$J:$J,Quest!$H:$H,QDrop!C$1,Quest!$N:$N,QDrop!$G20)</f>
        <v>0</v>
      </c>
      <c r="D20">
        <f>+SUMIFS(Quest!$J:$J,Quest!$H:$H,QDrop!D$1,Quest!$N:$N,QDrop!$G20)</f>
        <v>0</v>
      </c>
      <c r="E20">
        <f>+SUMIFS(Quest!$J:$J,Quest!$H:$H,QDrop!E$1,Quest!$N:$N,QDrop!$G20)</f>
        <v>0</v>
      </c>
      <c r="F20">
        <f>+SUMIFS(Quest!$J:$J,Quest!$H:$H,QDrop!F$1,Quest!$N:$N,QDrop!$G20)</f>
        <v>0</v>
      </c>
      <c r="G20" t="s">
        <v>19221</v>
      </c>
      <c r="H20">
        <v>1</v>
      </c>
      <c r="I20" t="s">
        <v>19606</v>
      </c>
      <c r="J20">
        <v>1</v>
      </c>
      <c r="K20" t="s">
        <v>19607</v>
      </c>
      <c r="S20" s="206">
        <f t="shared" si="14"/>
        <v>1</v>
      </c>
      <c r="T20" s="175">
        <f t="shared" si="15"/>
        <v>0</v>
      </c>
      <c r="U20" s="175">
        <f t="shared" si="16"/>
        <v>0</v>
      </c>
      <c r="V20" s="175">
        <f t="shared" si="17"/>
        <v>0</v>
      </c>
      <c r="W20" s="175">
        <f t="shared" si="18"/>
        <v>0</v>
      </c>
      <c r="X20" s="207">
        <f t="shared" si="19"/>
        <v>0</v>
      </c>
      <c r="Y20" s="206">
        <f t="shared" si="20"/>
        <v>1</v>
      </c>
      <c r="Z20" s="175">
        <f t="shared" si="21"/>
        <v>0</v>
      </c>
      <c r="AA20" s="175">
        <f t="shared" si="22"/>
        <v>0</v>
      </c>
      <c r="AB20" s="175">
        <f t="shared" si="23"/>
        <v>0</v>
      </c>
      <c r="AC20" s="175">
        <f t="shared" si="24"/>
        <v>0</v>
      </c>
      <c r="AD20" s="207">
        <f t="shared" si="25"/>
        <v>0</v>
      </c>
      <c r="AE20" s="206">
        <f t="shared" si="26"/>
        <v>0</v>
      </c>
      <c r="AF20" s="175">
        <f t="shared" si="27"/>
        <v>0</v>
      </c>
      <c r="AG20" s="175">
        <f t="shared" si="28"/>
        <v>0</v>
      </c>
      <c r="AH20" s="175">
        <f t="shared" si="29"/>
        <v>0</v>
      </c>
      <c r="AI20" s="175">
        <f t="shared" si="30"/>
        <v>0</v>
      </c>
      <c r="AJ20" s="207">
        <f t="shared" si="31"/>
        <v>0</v>
      </c>
      <c r="AK20" s="206">
        <f t="shared" si="32"/>
        <v>0</v>
      </c>
      <c r="AL20" s="175">
        <f t="shared" si="33"/>
        <v>0</v>
      </c>
      <c r="AM20" s="175">
        <f t="shared" si="34"/>
        <v>0</v>
      </c>
      <c r="AN20" s="175">
        <f t="shared" si="35"/>
        <v>0</v>
      </c>
      <c r="AO20" s="175">
        <f t="shared" si="36"/>
        <v>0</v>
      </c>
      <c r="AP20" s="207">
        <f t="shared" si="37"/>
        <v>0</v>
      </c>
      <c r="AQ20" s="206">
        <f t="shared" si="38"/>
        <v>0</v>
      </c>
      <c r="AR20" s="175">
        <f t="shared" si="39"/>
        <v>0</v>
      </c>
      <c r="AS20" s="175">
        <f t="shared" si="40"/>
        <v>0</v>
      </c>
      <c r="AT20" s="175">
        <f t="shared" si="41"/>
        <v>0</v>
      </c>
      <c r="AU20" s="175">
        <f t="shared" si="42"/>
        <v>0</v>
      </c>
      <c r="AV20" s="207">
        <f t="shared" si="43"/>
        <v>0</v>
      </c>
      <c r="AW20" s="59"/>
      <c r="AX20" t="s">
        <v>12659</v>
      </c>
      <c r="AY20" s="109">
        <f t="shared" si="44"/>
        <v>16</v>
      </c>
      <c r="AZ20" s="109">
        <f t="shared" si="5"/>
        <v>10</v>
      </c>
      <c r="BA20" s="109">
        <f t="shared" si="6"/>
        <v>10</v>
      </c>
      <c r="BB20" s="109">
        <f t="shared" si="7"/>
        <v>10</v>
      </c>
      <c r="BC20" s="109">
        <f t="shared" si="8"/>
        <v>10</v>
      </c>
      <c r="BE20" s="59"/>
      <c r="BF20" s="59">
        <f t="shared" si="45"/>
        <v>16</v>
      </c>
      <c r="BG20" s="59">
        <f t="shared" si="9"/>
        <v>10</v>
      </c>
      <c r="BH20" s="59">
        <f t="shared" si="10"/>
        <v>10</v>
      </c>
      <c r="BI20" s="59">
        <f t="shared" si="11"/>
        <v>10</v>
      </c>
      <c r="BJ20" s="59">
        <f t="shared" si="12"/>
        <v>10</v>
      </c>
      <c r="BK20" s="59">
        <f t="shared" si="13"/>
        <v>0</v>
      </c>
      <c r="BL20" s="59"/>
    </row>
    <row r="21" spans="1:64" x14ac:dyDescent="0.2">
      <c r="A21">
        <f>+SUMIFS(Quest!$J:$J,Quest!$H:$H,QDrop!A$1,Quest!$N:$N,QDrop!$G21)</f>
        <v>1</v>
      </c>
      <c r="B21">
        <f>+SUMIFS(Quest!$J:$J,Quest!$H:$H,QDrop!B$1,Quest!$N:$N,QDrop!$G21)</f>
        <v>0</v>
      </c>
      <c r="C21">
        <f>+SUMIFS(Quest!$J:$J,Quest!$H:$H,QDrop!C$1,Quest!$N:$N,QDrop!$G21)</f>
        <v>0</v>
      </c>
      <c r="D21">
        <f>+SUMIFS(Quest!$J:$J,Quest!$H:$H,QDrop!D$1,Quest!$N:$N,QDrop!$G21)</f>
        <v>0</v>
      </c>
      <c r="E21">
        <f>+SUMIFS(Quest!$J:$J,Quest!$H:$H,QDrop!E$1,Quest!$N:$N,QDrop!$G21)</f>
        <v>0</v>
      </c>
      <c r="F21">
        <f>+SUMIFS(Quest!$J:$J,Quest!$H:$H,QDrop!F$1,Quest!$N:$N,QDrop!$G21)</f>
        <v>0</v>
      </c>
      <c r="G21" t="s">
        <v>19223</v>
      </c>
      <c r="H21">
        <v>1</v>
      </c>
      <c r="I21" t="s">
        <v>19606</v>
      </c>
      <c r="J21">
        <v>1</v>
      </c>
      <c r="K21" t="s">
        <v>19607</v>
      </c>
      <c r="L21">
        <v>1</v>
      </c>
      <c r="M21" t="s">
        <v>10913</v>
      </c>
      <c r="S21" s="206">
        <f t="shared" si="14"/>
        <v>1</v>
      </c>
      <c r="T21" s="175">
        <f t="shared" si="15"/>
        <v>0</v>
      </c>
      <c r="U21" s="175">
        <f t="shared" si="16"/>
        <v>0</v>
      </c>
      <c r="V21" s="175">
        <f t="shared" si="17"/>
        <v>0</v>
      </c>
      <c r="W21" s="175">
        <f t="shared" si="18"/>
        <v>0</v>
      </c>
      <c r="X21" s="207">
        <f t="shared" si="19"/>
        <v>0</v>
      </c>
      <c r="Y21" s="206">
        <f t="shared" si="20"/>
        <v>1</v>
      </c>
      <c r="Z21" s="175">
        <f t="shared" si="21"/>
        <v>0</v>
      </c>
      <c r="AA21" s="175">
        <f t="shared" si="22"/>
        <v>0</v>
      </c>
      <c r="AB21" s="175">
        <f t="shared" si="23"/>
        <v>0</v>
      </c>
      <c r="AC21" s="175">
        <f t="shared" si="24"/>
        <v>0</v>
      </c>
      <c r="AD21" s="207">
        <f t="shared" si="25"/>
        <v>0</v>
      </c>
      <c r="AE21" s="206">
        <f t="shared" si="26"/>
        <v>1</v>
      </c>
      <c r="AF21" s="175">
        <f t="shared" si="27"/>
        <v>0</v>
      </c>
      <c r="AG21" s="175">
        <f t="shared" si="28"/>
        <v>0</v>
      </c>
      <c r="AH21" s="175">
        <f t="shared" si="29"/>
        <v>0</v>
      </c>
      <c r="AI21" s="175">
        <f t="shared" si="30"/>
        <v>0</v>
      </c>
      <c r="AJ21" s="207">
        <f t="shared" si="31"/>
        <v>0</v>
      </c>
      <c r="AK21" s="206">
        <f t="shared" si="32"/>
        <v>0</v>
      </c>
      <c r="AL21" s="175">
        <f t="shared" si="33"/>
        <v>0</v>
      </c>
      <c r="AM21" s="175">
        <f t="shared" si="34"/>
        <v>0</v>
      </c>
      <c r="AN21" s="175">
        <f t="shared" si="35"/>
        <v>0</v>
      </c>
      <c r="AO21" s="175">
        <f t="shared" si="36"/>
        <v>0</v>
      </c>
      <c r="AP21" s="207">
        <f t="shared" si="37"/>
        <v>0</v>
      </c>
      <c r="AQ21" s="206">
        <f t="shared" si="38"/>
        <v>0</v>
      </c>
      <c r="AR21" s="175">
        <f t="shared" si="39"/>
        <v>0</v>
      </c>
      <c r="AS21" s="175">
        <f t="shared" si="40"/>
        <v>0</v>
      </c>
      <c r="AT21" s="175">
        <f t="shared" si="41"/>
        <v>0</v>
      </c>
      <c r="AU21" s="175">
        <f t="shared" si="42"/>
        <v>0</v>
      </c>
      <c r="AV21" s="207">
        <f t="shared" si="43"/>
        <v>0</v>
      </c>
      <c r="AW21" s="59"/>
      <c r="AX21" t="s">
        <v>19605</v>
      </c>
      <c r="AY21" s="109">
        <f t="shared" si="44"/>
        <v>18</v>
      </c>
      <c r="AZ21" s="109">
        <f t="shared" si="5"/>
        <v>18</v>
      </c>
      <c r="BA21" s="109">
        <f t="shared" si="6"/>
        <v>18</v>
      </c>
      <c r="BB21" s="109">
        <f t="shared" si="7"/>
        <v>18</v>
      </c>
      <c r="BC21" s="109">
        <f t="shared" si="8"/>
        <v>18</v>
      </c>
      <c r="BE21" s="59"/>
      <c r="BF21" s="59">
        <f t="shared" si="45"/>
        <v>15</v>
      </c>
      <c r="BG21" s="59">
        <f t="shared" si="9"/>
        <v>15</v>
      </c>
      <c r="BH21" s="59">
        <f t="shared" si="10"/>
        <v>15</v>
      </c>
      <c r="BI21" s="59">
        <f t="shared" si="11"/>
        <v>15</v>
      </c>
      <c r="BJ21" s="59">
        <f t="shared" si="12"/>
        <v>15</v>
      </c>
      <c r="BK21" s="59">
        <f t="shared" si="13"/>
        <v>3</v>
      </c>
      <c r="BL21" s="59"/>
    </row>
    <row r="22" spans="1:64" x14ac:dyDescent="0.2">
      <c r="A22">
        <f>+SUMIFS(Quest!$J:$J,Quest!$H:$H,QDrop!A$1,Quest!$N:$N,QDrop!$G22)</f>
        <v>10</v>
      </c>
      <c r="B22">
        <f>+SUMIFS(Quest!$J:$J,Quest!$H:$H,QDrop!B$1,Quest!$N:$N,QDrop!$G22)</f>
        <v>0</v>
      </c>
      <c r="C22">
        <f>+SUMIFS(Quest!$J:$J,Quest!$H:$H,QDrop!C$1,Quest!$N:$N,QDrop!$G22)</f>
        <v>0</v>
      </c>
      <c r="D22">
        <f>+SUMIFS(Quest!$J:$J,Quest!$H:$H,QDrop!D$1,Quest!$N:$N,QDrop!$G22)</f>
        <v>0</v>
      </c>
      <c r="E22">
        <f>+SUMIFS(Quest!$J:$J,Quest!$H:$H,QDrop!E$1,Quest!$N:$N,QDrop!$G22)</f>
        <v>0</v>
      </c>
      <c r="F22">
        <f>+SUMIFS(Quest!$J:$J,Quest!$H:$H,QDrop!F$1,Quest!$N:$N,QDrop!$G22)</f>
        <v>0</v>
      </c>
      <c r="G22" t="s">
        <v>19225</v>
      </c>
      <c r="H22">
        <v>2</v>
      </c>
      <c r="I22" t="s">
        <v>19606</v>
      </c>
      <c r="J22">
        <v>2</v>
      </c>
      <c r="K22" t="s">
        <v>19607</v>
      </c>
      <c r="L22">
        <v>2</v>
      </c>
      <c r="M22" t="s">
        <v>10913</v>
      </c>
      <c r="N22">
        <v>2</v>
      </c>
      <c r="O22" t="s">
        <v>12647</v>
      </c>
      <c r="S22" s="206">
        <f t="shared" si="14"/>
        <v>20</v>
      </c>
      <c r="T22" s="175">
        <f t="shared" si="15"/>
        <v>0</v>
      </c>
      <c r="U22" s="175">
        <f t="shared" si="16"/>
        <v>0</v>
      </c>
      <c r="V22" s="175">
        <f t="shared" si="17"/>
        <v>0</v>
      </c>
      <c r="W22" s="175">
        <f t="shared" si="18"/>
        <v>0</v>
      </c>
      <c r="X22" s="207">
        <f t="shared" si="19"/>
        <v>0</v>
      </c>
      <c r="Y22" s="206">
        <f t="shared" si="20"/>
        <v>20</v>
      </c>
      <c r="Z22" s="175">
        <f t="shared" si="21"/>
        <v>0</v>
      </c>
      <c r="AA22" s="175">
        <f t="shared" si="22"/>
        <v>0</v>
      </c>
      <c r="AB22" s="175">
        <f t="shared" si="23"/>
        <v>0</v>
      </c>
      <c r="AC22" s="175">
        <f t="shared" si="24"/>
        <v>0</v>
      </c>
      <c r="AD22" s="207">
        <f t="shared" si="25"/>
        <v>0</v>
      </c>
      <c r="AE22" s="206">
        <f t="shared" si="26"/>
        <v>20</v>
      </c>
      <c r="AF22" s="175">
        <f t="shared" si="27"/>
        <v>0</v>
      </c>
      <c r="AG22" s="175">
        <f t="shared" si="28"/>
        <v>0</v>
      </c>
      <c r="AH22" s="175">
        <f t="shared" si="29"/>
        <v>0</v>
      </c>
      <c r="AI22" s="175">
        <f t="shared" si="30"/>
        <v>0</v>
      </c>
      <c r="AJ22" s="207">
        <f t="shared" si="31"/>
        <v>0</v>
      </c>
      <c r="AK22" s="206">
        <f t="shared" si="32"/>
        <v>20</v>
      </c>
      <c r="AL22" s="175">
        <f t="shared" si="33"/>
        <v>0</v>
      </c>
      <c r="AM22" s="175">
        <f t="shared" si="34"/>
        <v>0</v>
      </c>
      <c r="AN22" s="175">
        <f t="shared" si="35"/>
        <v>0</v>
      </c>
      <c r="AO22" s="175">
        <f t="shared" si="36"/>
        <v>0</v>
      </c>
      <c r="AP22" s="207">
        <f t="shared" si="37"/>
        <v>0</v>
      </c>
      <c r="AQ22" s="206">
        <f t="shared" si="38"/>
        <v>0</v>
      </c>
      <c r="AR22" s="175">
        <f t="shared" si="39"/>
        <v>0</v>
      </c>
      <c r="AS22" s="175">
        <f t="shared" si="40"/>
        <v>0</v>
      </c>
      <c r="AT22" s="175">
        <f t="shared" si="41"/>
        <v>0</v>
      </c>
      <c r="AU22" s="175">
        <f t="shared" si="42"/>
        <v>0</v>
      </c>
      <c r="AV22" s="207">
        <f t="shared" si="43"/>
        <v>0</v>
      </c>
      <c r="AW22" s="59"/>
      <c r="AX22" t="s">
        <v>11373</v>
      </c>
      <c r="AY22" s="109">
        <f t="shared" si="44"/>
        <v>12</v>
      </c>
      <c r="AZ22" s="109">
        <f t="shared" si="5"/>
        <v>12</v>
      </c>
      <c r="BA22" s="109">
        <f t="shared" si="6"/>
        <v>12</v>
      </c>
      <c r="BB22" s="109">
        <f t="shared" si="7"/>
        <v>12</v>
      </c>
      <c r="BC22" s="109">
        <f t="shared" si="8"/>
        <v>12</v>
      </c>
      <c r="BE22" s="59"/>
      <c r="BF22" s="59">
        <f t="shared" si="45"/>
        <v>10</v>
      </c>
      <c r="BG22" s="59">
        <f t="shared" si="9"/>
        <v>10</v>
      </c>
      <c r="BH22" s="59">
        <f t="shared" si="10"/>
        <v>10</v>
      </c>
      <c r="BI22" s="59">
        <f t="shared" si="11"/>
        <v>10</v>
      </c>
      <c r="BJ22" s="59">
        <f t="shared" si="12"/>
        <v>10</v>
      </c>
      <c r="BK22" s="59">
        <f t="shared" si="13"/>
        <v>2</v>
      </c>
      <c r="BL22" s="59"/>
    </row>
    <row r="23" spans="1:64" x14ac:dyDescent="0.2">
      <c r="A23">
        <f>+SUMIFS(Quest!$J:$J,Quest!$H:$H,QDrop!A$1,Quest!$N:$N,QDrop!$G23)</f>
        <v>0</v>
      </c>
      <c r="B23">
        <f>+SUMIFS(Quest!$J:$J,Quest!$H:$H,QDrop!B$1,Quest!$N:$N,QDrop!$G23)</f>
        <v>1</v>
      </c>
      <c r="C23">
        <f>+SUMIFS(Quest!$J:$J,Quest!$H:$H,QDrop!C$1,Quest!$N:$N,QDrop!$G23)</f>
        <v>0</v>
      </c>
      <c r="D23">
        <f>+SUMIFS(Quest!$J:$J,Quest!$H:$H,QDrop!D$1,Quest!$N:$N,QDrop!$G23)</f>
        <v>0</v>
      </c>
      <c r="E23">
        <f>+SUMIFS(Quest!$J:$J,Quest!$H:$H,QDrop!E$1,Quest!$N:$N,QDrop!$G23)</f>
        <v>0</v>
      </c>
      <c r="F23">
        <f>+SUMIFS(Quest!$J:$J,Quest!$H:$H,QDrop!F$1,Quest!$N:$N,QDrop!$G23)</f>
        <v>0</v>
      </c>
      <c r="G23" t="s">
        <v>19229</v>
      </c>
      <c r="H23">
        <v>1</v>
      </c>
      <c r="I23" t="s">
        <v>19608</v>
      </c>
      <c r="J23">
        <v>1</v>
      </c>
      <c r="K23" t="s">
        <v>19609</v>
      </c>
      <c r="S23" s="206">
        <f t="shared" si="14"/>
        <v>0</v>
      </c>
      <c r="T23" s="175">
        <f t="shared" si="15"/>
        <v>1</v>
      </c>
      <c r="U23" s="175">
        <f t="shared" si="16"/>
        <v>0</v>
      </c>
      <c r="V23" s="175">
        <f t="shared" si="17"/>
        <v>0</v>
      </c>
      <c r="W23" s="175">
        <f t="shared" si="18"/>
        <v>0</v>
      </c>
      <c r="X23" s="207">
        <f t="shared" si="19"/>
        <v>0</v>
      </c>
      <c r="Y23" s="206">
        <f t="shared" si="20"/>
        <v>0</v>
      </c>
      <c r="Z23" s="175">
        <f t="shared" si="21"/>
        <v>1</v>
      </c>
      <c r="AA23" s="175">
        <f t="shared" si="22"/>
        <v>0</v>
      </c>
      <c r="AB23" s="175">
        <f t="shared" si="23"/>
        <v>0</v>
      </c>
      <c r="AC23" s="175">
        <f t="shared" si="24"/>
        <v>0</v>
      </c>
      <c r="AD23" s="207">
        <f t="shared" si="25"/>
        <v>0</v>
      </c>
      <c r="AE23" s="206">
        <f t="shared" si="26"/>
        <v>0</v>
      </c>
      <c r="AF23" s="175">
        <f t="shared" si="27"/>
        <v>0</v>
      </c>
      <c r="AG23" s="175">
        <f t="shared" si="28"/>
        <v>0</v>
      </c>
      <c r="AH23" s="175">
        <f t="shared" si="29"/>
        <v>0</v>
      </c>
      <c r="AI23" s="175">
        <f t="shared" si="30"/>
        <v>0</v>
      </c>
      <c r="AJ23" s="207">
        <f t="shared" si="31"/>
        <v>0</v>
      </c>
      <c r="AK23" s="206">
        <f t="shared" si="32"/>
        <v>0</v>
      </c>
      <c r="AL23" s="175">
        <f t="shared" si="33"/>
        <v>0</v>
      </c>
      <c r="AM23" s="175">
        <f t="shared" si="34"/>
        <v>0</v>
      </c>
      <c r="AN23" s="175">
        <f t="shared" si="35"/>
        <v>0</v>
      </c>
      <c r="AO23" s="175">
        <f t="shared" si="36"/>
        <v>0</v>
      </c>
      <c r="AP23" s="207">
        <f t="shared" si="37"/>
        <v>0</v>
      </c>
      <c r="AQ23" s="206">
        <f t="shared" si="38"/>
        <v>0</v>
      </c>
      <c r="AR23" s="175">
        <f t="shared" si="39"/>
        <v>0</v>
      </c>
      <c r="AS23" s="175">
        <f t="shared" si="40"/>
        <v>0</v>
      </c>
      <c r="AT23" s="175">
        <f t="shared" si="41"/>
        <v>0</v>
      </c>
      <c r="AU23" s="175">
        <f t="shared" si="42"/>
        <v>0</v>
      </c>
      <c r="AV23" s="207">
        <f t="shared" si="43"/>
        <v>0</v>
      </c>
      <c r="AW23" s="59"/>
      <c r="AX23" t="s">
        <v>12662</v>
      </c>
      <c r="AY23" s="109">
        <f t="shared" si="44"/>
        <v>12</v>
      </c>
      <c r="AZ23" s="109">
        <f t="shared" si="5"/>
        <v>12</v>
      </c>
      <c r="BA23" s="109">
        <f t="shared" si="6"/>
        <v>12</v>
      </c>
      <c r="BB23" s="109">
        <f t="shared" si="7"/>
        <v>12</v>
      </c>
      <c r="BC23" s="109">
        <f t="shared" si="8"/>
        <v>12</v>
      </c>
      <c r="BE23" s="59"/>
      <c r="BF23" s="59">
        <f t="shared" si="45"/>
        <v>10</v>
      </c>
      <c r="BG23" s="59">
        <f t="shared" si="9"/>
        <v>10</v>
      </c>
      <c r="BH23" s="59">
        <f t="shared" si="10"/>
        <v>10</v>
      </c>
      <c r="BI23" s="59">
        <f t="shared" si="11"/>
        <v>10</v>
      </c>
      <c r="BJ23" s="59">
        <f t="shared" si="12"/>
        <v>10</v>
      </c>
      <c r="BK23" s="59">
        <f t="shared" si="13"/>
        <v>2</v>
      </c>
      <c r="BL23" s="59"/>
    </row>
    <row r="24" spans="1:64" x14ac:dyDescent="0.2">
      <c r="A24">
        <f>+SUMIFS(Quest!$J:$J,Quest!$H:$H,QDrop!A$1,Quest!$N:$N,QDrop!$G24)</f>
        <v>0</v>
      </c>
      <c r="B24">
        <f>+SUMIFS(Quest!$J:$J,Quest!$H:$H,QDrop!B$1,Quest!$N:$N,QDrop!$G24)</f>
        <v>1</v>
      </c>
      <c r="C24">
        <f>+SUMIFS(Quest!$J:$J,Quest!$H:$H,QDrop!C$1,Quest!$N:$N,QDrop!$G24)</f>
        <v>0</v>
      </c>
      <c r="D24">
        <f>+SUMIFS(Quest!$J:$J,Quest!$H:$H,QDrop!D$1,Quest!$N:$N,QDrop!$G24)</f>
        <v>0</v>
      </c>
      <c r="E24">
        <f>+SUMIFS(Quest!$J:$J,Quest!$H:$H,QDrop!E$1,Quest!$N:$N,QDrop!$G24)</f>
        <v>0</v>
      </c>
      <c r="F24">
        <f>+SUMIFS(Quest!$J:$J,Quest!$H:$H,QDrop!F$1,Quest!$N:$N,QDrop!$G24)</f>
        <v>0</v>
      </c>
      <c r="G24" t="s">
        <v>19231</v>
      </c>
      <c r="H24">
        <v>1</v>
      </c>
      <c r="I24" t="s">
        <v>19608</v>
      </c>
      <c r="J24">
        <v>1</v>
      </c>
      <c r="K24" t="s">
        <v>19609</v>
      </c>
      <c r="L24">
        <v>1</v>
      </c>
      <c r="M24" t="s">
        <v>10913</v>
      </c>
      <c r="S24" s="206">
        <f t="shared" si="14"/>
        <v>0</v>
      </c>
      <c r="T24" s="175">
        <f t="shared" si="15"/>
        <v>1</v>
      </c>
      <c r="U24" s="175">
        <f t="shared" si="16"/>
        <v>0</v>
      </c>
      <c r="V24" s="175">
        <f t="shared" si="17"/>
        <v>0</v>
      </c>
      <c r="W24" s="175">
        <f t="shared" si="18"/>
        <v>0</v>
      </c>
      <c r="X24" s="207">
        <f t="shared" si="19"/>
        <v>0</v>
      </c>
      <c r="Y24" s="206">
        <f t="shared" si="20"/>
        <v>0</v>
      </c>
      <c r="Z24" s="175">
        <f t="shared" si="21"/>
        <v>1</v>
      </c>
      <c r="AA24" s="175">
        <f t="shared" si="22"/>
        <v>0</v>
      </c>
      <c r="AB24" s="175">
        <f t="shared" si="23"/>
        <v>0</v>
      </c>
      <c r="AC24" s="175">
        <f t="shared" si="24"/>
        <v>0</v>
      </c>
      <c r="AD24" s="207">
        <f t="shared" si="25"/>
        <v>0</v>
      </c>
      <c r="AE24" s="206">
        <f t="shared" si="26"/>
        <v>0</v>
      </c>
      <c r="AF24" s="175">
        <f t="shared" si="27"/>
        <v>1</v>
      </c>
      <c r="AG24" s="175">
        <f t="shared" si="28"/>
        <v>0</v>
      </c>
      <c r="AH24" s="175">
        <f t="shared" si="29"/>
        <v>0</v>
      </c>
      <c r="AI24" s="175">
        <f t="shared" si="30"/>
        <v>0</v>
      </c>
      <c r="AJ24" s="207">
        <f t="shared" si="31"/>
        <v>0</v>
      </c>
      <c r="AK24" s="206">
        <f t="shared" si="32"/>
        <v>0</v>
      </c>
      <c r="AL24" s="175">
        <f t="shared" si="33"/>
        <v>0</v>
      </c>
      <c r="AM24" s="175">
        <f t="shared" si="34"/>
        <v>0</v>
      </c>
      <c r="AN24" s="175">
        <f t="shared" si="35"/>
        <v>0</v>
      </c>
      <c r="AO24" s="175">
        <f t="shared" si="36"/>
        <v>0</v>
      </c>
      <c r="AP24" s="207">
        <f t="shared" si="37"/>
        <v>0</v>
      </c>
      <c r="AQ24" s="206">
        <f t="shared" si="38"/>
        <v>0</v>
      </c>
      <c r="AR24" s="175">
        <f t="shared" si="39"/>
        <v>0</v>
      </c>
      <c r="AS24" s="175">
        <f t="shared" si="40"/>
        <v>0</v>
      </c>
      <c r="AT24" s="175">
        <f t="shared" si="41"/>
        <v>0</v>
      </c>
      <c r="AU24" s="175">
        <f t="shared" si="42"/>
        <v>0</v>
      </c>
      <c r="AV24" s="207">
        <f t="shared" si="43"/>
        <v>0</v>
      </c>
      <c r="AW24" s="59"/>
      <c r="AX24" t="s">
        <v>19598</v>
      </c>
      <c r="AY24" s="109">
        <f t="shared" si="44"/>
        <v>24</v>
      </c>
      <c r="AZ24" s="109">
        <f t="shared" si="5"/>
        <v>18</v>
      </c>
      <c r="BA24" s="109">
        <f t="shared" si="6"/>
        <v>24</v>
      </c>
      <c r="BB24" s="109">
        <f t="shared" si="7"/>
        <v>18</v>
      </c>
      <c r="BC24" s="109">
        <f t="shared" si="8"/>
        <v>18</v>
      </c>
      <c r="BE24" s="59"/>
      <c r="BF24" s="59">
        <f t="shared" si="45"/>
        <v>22</v>
      </c>
      <c r="BG24" s="59">
        <f t="shared" si="9"/>
        <v>16</v>
      </c>
      <c r="BH24" s="59">
        <f t="shared" si="10"/>
        <v>22</v>
      </c>
      <c r="BI24" s="59">
        <f t="shared" si="11"/>
        <v>16</v>
      </c>
      <c r="BJ24" s="59">
        <f t="shared" si="12"/>
        <v>16</v>
      </c>
      <c r="BK24" s="59">
        <f t="shared" si="13"/>
        <v>2</v>
      </c>
      <c r="BL24" s="59"/>
    </row>
    <row r="25" spans="1:64" x14ac:dyDescent="0.2">
      <c r="A25">
        <f>+SUMIFS(Quest!$J:$J,Quest!$H:$H,QDrop!A$1,Quest!$N:$N,QDrop!$G25)</f>
        <v>0</v>
      </c>
      <c r="B25">
        <f>+SUMIFS(Quest!$J:$J,Quest!$H:$H,QDrop!B$1,Quest!$N:$N,QDrop!$G25)</f>
        <v>10</v>
      </c>
      <c r="C25">
        <f>+SUMIFS(Quest!$J:$J,Quest!$H:$H,QDrop!C$1,Quest!$N:$N,QDrop!$G25)</f>
        <v>0</v>
      </c>
      <c r="D25">
        <f>+SUMIFS(Quest!$J:$J,Quest!$H:$H,QDrop!D$1,Quest!$N:$N,QDrop!$G25)</f>
        <v>0</v>
      </c>
      <c r="E25">
        <f>+SUMIFS(Quest!$J:$J,Quest!$H:$H,QDrop!E$1,Quest!$N:$N,QDrop!$G25)</f>
        <v>0</v>
      </c>
      <c r="F25">
        <f>+SUMIFS(Quest!$J:$J,Quest!$H:$H,QDrop!F$1,Quest!$N:$N,QDrop!$G25)</f>
        <v>0</v>
      </c>
      <c r="G25" t="s">
        <v>19233</v>
      </c>
      <c r="H25">
        <v>2</v>
      </c>
      <c r="I25" t="s">
        <v>19608</v>
      </c>
      <c r="J25">
        <v>2</v>
      </c>
      <c r="K25" t="s">
        <v>19609</v>
      </c>
      <c r="L25">
        <v>2</v>
      </c>
      <c r="M25" t="s">
        <v>10913</v>
      </c>
      <c r="N25">
        <v>2</v>
      </c>
      <c r="O25" t="s">
        <v>12647</v>
      </c>
      <c r="S25" s="206">
        <f t="shared" si="14"/>
        <v>0</v>
      </c>
      <c r="T25" s="175">
        <f t="shared" si="15"/>
        <v>20</v>
      </c>
      <c r="U25" s="175">
        <f t="shared" si="16"/>
        <v>0</v>
      </c>
      <c r="V25" s="175">
        <f t="shared" si="17"/>
        <v>0</v>
      </c>
      <c r="W25" s="175">
        <f t="shared" si="18"/>
        <v>0</v>
      </c>
      <c r="X25" s="207">
        <f t="shared" si="19"/>
        <v>0</v>
      </c>
      <c r="Y25" s="206">
        <f t="shared" si="20"/>
        <v>0</v>
      </c>
      <c r="Z25" s="175">
        <f t="shared" si="21"/>
        <v>20</v>
      </c>
      <c r="AA25" s="175">
        <f t="shared" si="22"/>
        <v>0</v>
      </c>
      <c r="AB25" s="175">
        <f t="shared" si="23"/>
        <v>0</v>
      </c>
      <c r="AC25" s="175">
        <f t="shared" si="24"/>
        <v>0</v>
      </c>
      <c r="AD25" s="207">
        <f t="shared" si="25"/>
        <v>0</v>
      </c>
      <c r="AE25" s="206">
        <f t="shared" si="26"/>
        <v>0</v>
      </c>
      <c r="AF25" s="175">
        <f t="shared" si="27"/>
        <v>20</v>
      </c>
      <c r="AG25" s="175">
        <f t="shared" si="28"/>
        <v>0</v>
      </c>
      <c r="AH25" s="175">
        <f t="shared" si="29"/>
        <v>0</v>
      </c>
      <c r="AI25" s="175">
        <f t="shared" si="30"/>
        <v>0</v>
      </c>
      <c r="AJ25" s="207">
        <f t="shared" si="31"/>
        <v>0</v>
      </c>
      <c r="AK25" s="206">
        <f t="shared" si="32"/>
        <v>0</v>
      </c>
      <c r="AL25" s="175">
        <f t="shared" si="33"/>
        <v>20</v>
      </c>
      <c r="AM25" s="175">
        <f t="shared" si="34"/>
        <v>0</v>
      </c>
      <c r="AN25" s="175">
        <f t="shared" si="35"/>
        <v>0</v>
      </c>
      <c r="AO25" s="175">
        <f t="shared" si="36"/>
        <v>0</v>
      </c>
      <c r="AP25" s="207">
        <f t="shared" si="37"/>
        <v>0</v>
      </c>
      <c r="AQ25" s="206">
        <f t="shared" si="38"/>
        <v>0</v>
      </c>
      <c r="AR25" s="175">
        <f t="shared" si="39"/>
        <v>0</v>
      </c>
      <c r="AS25" s="175">
        <f t="shared" si="40"/>
        <v>0</v>
      </c>
      <c r="AT25" s="175">
        <f t="shared" si="41"/>
        <v>0</v>
      </c>
      <c r="AU25" s="175">
        <f t="shared" si="42"/>
        <v>0</v>
      </c>
      <c r="AV25" s="207">
        <f t="shared" si="43"/>
        <v>0</v>
      </c>
      <c r="AW25" s="59"/>
      <c r="AX25" t="s">
        <v>11597</v>
      </c>
      <c r="AY25" s="109">
        <f t="shared" si="44"/>
        <v>24</v>
      </c>
      <c r="AZ25" s="109">
        <f t="shared" si="5"/>
        <v>24</v>
      </c>
      <c r="BA25" s="109">
        <f t="shared" si="6"/>
        <v>24</v>
      </c>
      <c r="BB25" s="109">
        <f t="shared" si="7"/>
        <v>24</v>
      </c>
      <c r="BC25" s="109">
        <f t="shared" si="8"/>
        <v>24</v>
      </c>
      <c r="BE25" s="59"/>
      <c r="BF25" s="59">
        <f t="shared" si="45"/>
        <v>22</v>
      </c>
      <c r="BG25" s="59">
        <f t="shared" si="9"/>
        <v>22</v>
      </c>
      <c r="BH25" s="59">
        <f t="shared" si="10"/>
        <v>22</v>
      </c>
      <c r="BI25" s="59">
        <f t="shared" si="11"/>
        <v>22</v>
      </c>
      <c r="BJ25" s="59">
        <f t="shared" si="12"/>
        <v>22</v>
      </c>
      <c r="BK25" s="59">
        <f t="shared" si="13"/>
        <v>2</v>
      </c>
      <c r="BL25" s="59"/>
    </row>
    <row r="26" spans="1:64" x14ac:dyDescent="0.2">
      <c r="A26">
        <f>+SUMIFS(Quest!$J:$J,Quest!$H:$H,QDrop!A$1,Quest!$N:$N,QDrop!$G26)</f>
        <v>0</v>
      </c>
      <c r="B26">
        <f>+SUMIFS(Quest!$J:$J,Quest!$H:$H,QDrop!B$1,Quest!$N:$N,QDrop!$G26)</f>
        <v>0</v>
      </c>
      <c r="C26">
        <f>+SUMIFS(Quest!$J:$J,Quest!$H:$H,QDrop!C$1,Quest!$N:$N,QDrop!$G26)</f>
        <v>1</v>
      </c>
      <c r="D26">
        <f>+SUMIFS(Quest!$J:$J,Quest!$H:$H,QDrop!D$1,Quest!$N:$N,QDrop!$G26)</f>
        <v>0</v>
      </c>
      <c r="E26">
        <f>+SUMIFS(Quest!$J:$J,Quest!$H:$H,QDrop!E$1,Quest!$N:$N,QDrop!$G26)</f>
        <v>0</v>
      </c>
      <c r="F26">
        <f>+SUMIFS(Quest!$J:$J,Quest!$H:$H,QDrop!F$1,Quest!$N:$N,QDrop!$G26)</f>
        <v>0</v>
      </c>
      <c r="G26" t="s">
        <v>19237</v>
      </c>
      <c r="H26">
        <v>1</v>
      </c>
      <c r="I26" t="s">
        <v>19610</v>
      </c>
      <c r="J26">
        <v>1</v>
      </c>
      <c r="K26" t="s">
        <v>19611</v>
      </c>
      <c r="S26" s="206">
        <f t="shared" si="14"/>
        <v>0</v>
      </c>
      <c r="T26" s="175">
        <f t="shared" si="15"/>
        <v>0</v>
      </c>
      <c r="U26" s="175">
        <f t="shared" si="16"/>
        <v>1</v>
      </c>
      <c r="V26" s="175">
        <f t="shared" si="17"/>
        <v>0</v>
      </c>
      <c r="W26" s="175">
        <f t="shared" si="18"/>
        <v>0</v>
      </c>
      <c r="X26" s="207">
        <f t="shared" si="19"/>
        <v>0</v>
      </c>
      <c r="Y26" s="206">
        <f t="shared" si="20"/>
        <v>0</v>
      </c>
      <c r="Z26" s="175">
        <f t="shared" si="21"/>
        <v>0</v>
      </c>
      <c r="AA26" s="175">
        <f t="shared" si="22"/>
        <v>1</v>
      </c>
      <c r="AB26" s="175">
        <f t="shared" si="23"/>
        <v>0</v>
      </c>
      <c r="AC26" s="175">
        <f t="shared" si="24"/>
        <v>0</v>
      </c>
      <c r="AD26" s="207">
        <f t="shared" si="25"/>
        <v>0</v>
      </c>
      <c r="AE26" s="206">
        <f t="shared" si="26"/>
        <v>0</v>
      </c>
      <c r="AF26" s="175">
        <f t="shared" si="27"/>
        <v>0</v>
      </c>
      <c r="AG26" s="175">
        <f t="shared" si="28"/>
        <v>0</v>
      </c>
      <c r="AH26" s="175">
        <f t="shared" si="29"/>
        <v>0</v>
      </c>
      <c r="AI26" s="175">
        <f t="shared" si="30"/>
        <v>0</v>
      </c>
      <c r="AJ26" s="207">
        <f t="shared" si="31"/>
        <v>0</v>
      </c>
      <c r="AK26" s="206">
        <f t="shared" si="32"/>
        <v>0</v>
      </c>
      <c r="AL26" s="175">
        <f t="shared" si="33"/>
        <v>0</v>
      </c>
      <c r="AM26" s="175">
        <f t="shared" si="34"/>
        <v>0</v>
      </c>
      <c r="AN26" s="175">
        <f t="shared" si="35"/>
        <v>0</v>
      </c>
      <c r="AO26" s="175">
        <f t="shared" si="36"/>
        <v>0</v>
      </c>
      <c r="AP26" s="207">
        <f t="shared" si="37"/>
        <v>0</v>
      </c>
      <c r="AQ26" s="206">
        <f t="shared" si="38"/>
        <v>0</v>
      </c>
      <c r="AR26" s="175">
        <f t="shared" si="39"/>
        <v>0</v>
      </c>
      <c r="AS26" s="175">
        <f t="shared" si="40"/>
        <v>0</v>
      </c>
      <c r="AT26" s="175">
        <f t="shared" si="41"/>
        <v>0</v>
      </c>
      <c r="AU26" s="175">
        <f t="shared" si="42"/>
        <v>0</v>
      </c>
      <c r="AV26" s="207">
        <f t="shared" si="43"/>
        <v>0</v>
      </c>
      <c r="AW26" s="59"/>
      <c r="AX26" t="s">
        <v>12693</v>
      </c>
      <c r="AY26" s="109">
        <f t="shared" si="44"/>
        <v>18</v>
      </c>
      <c r="AZ26" s="109">
        <f t="shared" si="5"/>
        <v>18</v>
      </c>
      <c r="BA26" s="109">
        <f t="shared" si="6"/>
        <v>18</v>
      </c>
      <c r="BB26" s="109">
        <f t="shared" si="7"/>
        <v>18</v>
      </c>
      <c r="BC26" s="109">
        <f t="shared" si="8"/>
        <v>18</v>
      </c>
      <c r="BE26" s="59"/>
      <c r="BF26" s="59">
        <f t="shared" si="45"/>
        <v>16</v>
      </c>
      <c r="BG26" s="59">
        <f t="shared" si="9"/>
        <v>16</v>
      </c>
      <c r="BH26" s="59">
        <f t="shared" si="10"/>
        <v>16</v>
      </c>
      <c r="BI26" s="59">
        <f t="shared" si="11"/>
        <v>16</v>
      </c>
      <c r="BJ26" s="59">
        <f t="shared" si="12"/>
        <v>16</v>
      </c>
      <c r="BK26" s="59">
        <f t="shared" si="13"/>
        <v>2</v>
      </c>
      <c r="BL26" s="59"/>
    </row>
    <row r="27" spans="1:64" x14ac:dyDescent="0.2">
      <c r="A27">
        <f>+SUMIFS(Quest!$J:$J,Quest!$H:$H,QDrop!A$1,Quest!$N:$N,QDrop!$G27)</f>
        <v>0</v>
      </c>
      <c r="B27">
        <f>+SUMIFS(Quest!$J:$J,Quest!$H:$H,QDrop!B$1,Quest!$N:$N,QDrop!$G27)</f>
        <v>0</v>
      </c>
      <c r="C27">
        <f>+SUMIFS(Quest!$J:$J,Quest!$H:$H,QDrop!C$1,Quest!$N:$N,QDrop!$G27)</f>
        <v>1</v>
      </c>
      <c r="D27">
        <f>+SUMIFS(Quest!$J:$J,Quest!$H:$H,QDrop!D$1,Quest!$N:$N,QDrop!$G27)</f>
        <v>0</v>
      </c>
      <c r="E27">
        <f>+SUMIFS(Quest!$J:$J,Quest!$H:$H,QDrop!E$1,Quest!$N:$N,QDrop!$G27)</f>
        <v>0</v>
      </c>
      <c r="F27">
        <f>+SUMIFS(Quest!$J:$J,Quest!$H:$H,QDrop!F$1,Quest!$N:$N,QDrop!$G27)</f>
        <v>0</v>
      </c>
      <c r="G27" t="s">
        <v>19239</v>
      </c>
      <c r="H27">
        <v>1</v>
      </c>
      <c r="I27" t="s">
        <v>19610</v>
      </c>
      <c r="J27">
        <v>1</v>
      </c>
      <c r="K27" t="s">
        <v>19611</v>
      </c>
      <c r="L27">
        <v>1</v>
      </c>
      <c r="M27" t="s">
        <v>10913</v>
      </c>
      <c r="S27" s="206">
        <f t="shared" si="14"/>
        <v>0</v>
      </c>
      <c r="T27" s="175">
        <f t="shared" si="15"/>
        <v>0</v>
      </c>
      <c r="U27" s="175">
        <f t="shared" si="16"/>
        <v>1</v>
      </c>
      <c r="V27" s="175">
        <f t="shared" si="17"/>
        <v>0</v>
      </c>
      <c r="W27" s="175">
        <f t="shared" si="18"/>
        <v>0</v>
      </c>
      <c r="X27" s="207">
        <f t="shared" si="19"/>
        <v>0</v>
      </c>
      <c r="Y27" s="206">
        <f t="shared" si="20"/>
        <v>0</v>
      </c>
      <c r="Z27" s="175">
        <f t="shared" si="21"/>
        <v>0</v>
      </c>
      <c r="AA27" s="175">
        <f t="shared" si="22"/>
        <v>1</v>
      </c>
      <c r="AB27" s="175">
        <f t="shared" si="23"/>
        <v>0</v>
      </c>
      <c r="AC27" s="175">
        <f t="shared" si="24"/>
        <v>0</v>
      </c>
      <c r="AD27" s="207">
        <f t="shared" si="25"/>
        <v>0</v>
      </c>
      <c r="AE27" s="206">
        <f t="shared" si="26"/>
        <v>0</v>
      </c>
      <c r="AF27" s="175">
        <f t="shared" si="27"/>
        <v>0</v>
      </c>
      <c r="AG27" s="175">
        <f t="shared" si="28"/>
        <v>1</v>
      </c>
      <c r="AH27" s="175">
        <f t="shared" si="29"/>
        <v>0</v>
      </c>
      <c r="AI27" s="175">
        <f t="shared" si="30"/>
        <v>0</v>
      </c>
      <c r="AJ27" s="207">
        <f t="shared" si="31"/>
        <v>0</v>
      </c>
      <c r="AK27" s="206">
        <f t="shared" si="32"/>
        <v>0</v>
      </c>
      <c r="AL27" s="175">
        <f t="shared" si="33"/>
        <v>0</v>
      </c>
      <c r="AM27" s="175">
        <f t="shared" si="34"/>
        <v>0</v>
      </c>
      <c r="AN27" s="175">
        <f t="shared" si="35"/>
        <v>0</v>
      </c>
      <c r="AO27" s="175">
        <f t="shared" si="36"/>
        <v>0</v>
      </c>
      <c r="AP27" s="207">
        <f t="shared" si="37"/>
        <v>0</v>
      </c>
      <c r="AQ27" s="206">
        <f t="shared" si="38"/>
        <v>0</v>
      </c>
      <c r="AR27" s="175">
        <f t="shared" si="39"/>
        <v>0</v>
      </c>
      <c r="AS27" s="175">
        <f t="shared" si="40"/>
        <v>0</v>
      </c>
      <c r="AT27" s="175">
        <f t="shared" si="41"/>
        <v>0</v>
      </c>
      <c r="AU27" s="175">
        <f t="shared" si="42"/>
        <v>0</v>
      </c>
      <c r="AV27" s="207">
        <f t="shared" si="43"/>
        <v>0</v>
      </c>
      <c r="AW27" s="59"/>
      <c r="AX27" t="s">
        <v>12665</v>
      </c>
      <c r="AY27" s="109">
        <f t="shared" si="44"/>
        <v>9</v>
      </c>
      <c r="AZ27" s="109">
        <f t="shared" si="5"/>
        <v>9</v>
      </c>
      <c r="BA27" s="109">
        <f t="shared" si="6"/>
        <v>9</v>
      </c>
      <c r="BB27" s="109">
        <f t="shared" si="7"/>
        <v>9</v>
      </c>
      <c r="BC27" s="109">
        <f t="shared" si="8"/>
        <v>9</v>
      </c>
      <c r="BE27" s="59"/>
      <c r="BF27" s="59">
        <f t="shared" si="45"/>
        <v>9</v>
      </c>
      <c r="BG27" s="59">
        <f t="shared" si="9"/>
        <v>9</v>
      </c>
      <c r="BH27" s="59">
        <f t="shared" si="10"/>
        <v>9</v>
      </c>
      <c r="BI27" s="59">
        <f t="shared" si="11"/>
        <v>9</v>
      </c>
      <c r="BJ27" s="59">
        <f t="shared" si="12"/>
        <v>9</v>
      </c>
      <c r="BK27" s="59">
        <f t="shared" si="13"/>
        <v>0</v>
      </c>
      <c r="BL27" s="59"/>
    </row>
    <row r="28" spans="1:64" x14ac:dyDescent="0.2">
      <c r="A28">
        <f>+SUMIFS(Quest!$J:$J,Quest!$H:$H,QDrop!A$1,Quest!$N:$N,QDrop!$G28)</f>
        <v>0</v>
      </c>
      <c r="B28">
        <f>+SUMIFS(Quest!$J:$J,Quest!$H:$H,QDrop!B$1,Quest!$N:$N,QDrop!$G28)</f>
        <v>0</v>
      </c>
      <c r="C28">
        <f>+SUMIFS(Quest!$J:$J,Quest!$H:$H,QDrop!C$1,Quest!$N:$N,QDrop!$G28)</f>
        <v>10</v>
      </c>
      <c r="D28">
        <f>+SUMIFS(Quest!$J:$J,Quest!$H:$H,QDrop!D$1,Quest!$N:$N,QDrop!$G28)</f>
        <v>0</v>
      </c>
      <c r="E28">
        <f>+SUMIFS(Quest!$J:$J,Quest!$H:$H,QDrop!E$1,Quest!$N:$N,QDrop!$G28)</f>
        <v>0</v>
      </c>
      <c r="F28">
        <f>+SUMIFS(Quest!$J:$J,Quest!$H:$H,QDrop!F$1,Quest!$N:$N,QDrop!$G28)</f>
        <v>0</v>
      </c>
      <c r="G28" t="s">
        <v>19241</v>
      </c>
      <c r="H28">
        <v>2</v>
      </c>
      <c r="I28" t="s">
        <v>19610</v>
      </c>
      <c r="J28">
        <v>2</v>
      </c>
      <c r="K28" t="s">
        <v>19611</v>
      </c>
      <c r="L28">
        <v>2</v>
      </c>
      <c r="M28" t="s">
        <v>10913</v>
      </c>
      <c r="N28">
        <v>2</v>
      </c>
      <c r="O28" t="s">
        <v>12647</v>
      </c>
      <c r="S28" s="206">
        <f t="shared" si="14"/>
        <v>0</v>
      </c>
      <c r="T28" s="175">
        <f t="shared" si="15"/>
        <v>0</v>
      </c>
      <c r="U28" s="175">
        <f t="shared" si="16"/>
        <v>20</v>
      </c>
      <c r="V28" s="175">
        <f t="shared" si="17"/>
        <v>0</v>
      </c>
      <c r="W28" s="175">
        <f t="shared" si="18"/>
        <v>0</v>
      </c>
      <c r="X28" s="207">
        <f t="shared" si="19"/>
        <v>0</v>
      </c>
      <c r="Y28" s="206">
        <f t="shared" si="20"/>
        <v>0</v>
      </c>
      <c r="Z28" s="175">
        <f t="shared" si="21"/>
        <v>0</v>
      </c>
      <c r="AA28" s="175">
        <f t="shared" si="22"/>
        <v>20</v>
      </c>
      <c r="AB28" s="175">
        <f t="shared" si="23"/>
        <v>0</v>
      </c>
      <c r="AC28" s="175">
        <f t="shared" si="24"/>
        <v>0</v>
      </c>
      <c r="AD28" s="207">
        <f t="shared" si="25"/>
        <v>0</v>
      </c>
      <c r="AE28" s="206">
        <f t="shared" si="26"/>
        <v>0</v>
      </c>
      <c r="AF28" s="175">
        <f t="shared" si="27"/>
        <v>0</v>
      </c>
      <c r="AG28" s="175">
        <f t="shared" si="28"/>
        <v>20</v>
      </c>
      <c r="AH28" s="175">
        <f t="shared" si="29"/>
        <v>0</v>
      </c>
      <c r="AI28" s="175">
        <f t="shared" si="30"/>
        <v>0</v>
      </c>
      <c r="AJ28" s="207">
        <f t="shared" si="31"/>
        <v>0</v>
      </c>
      <c r="AK28" s="206">
        <f t="shared" si="32"/>
        <v>0</v>
      </c>
      <c r="AL28" s="175">
        <f t="shared" si="33"/>
        <v>0</v>
      </c>
      <c r="AM28" s="175">
        <f t="shared" si="34"/>
        <v>20</v>
      </c>
      <c r="AN28" s="175">
        <f t="shared" si="35"/>
        <v>0</v>
      </c>
      <c r="AO28" s="175">
        <f t="shared" si="36"/>
        <v>0</v>
      </c>
      <c r="AP28" s="207">
        <f t="shared" si="37"/>
        <v>0</v>
      </c>
      <c r="AQ28" s="206">
        <f t="shared" si="38"/>
        <v>0</v>
      </c>
      <c r="AR28" s="175">
        <f t="shared" si="39"/>
        <v>0</v>
      </c>
      <c r="AS28" s="175">
        <f t="shared" si="40"/>
        <v>0</v>
      </c>
      <c r="AT28" s="175">
        <f t="shared" si="41"/>
        <v>0</v>
      </c>
      <c r="AU28" s="175">
        <f t="shared" si="42"/>
        <v>0</v>
      </c>
      <c r="AV28" s="207">
        <f t="shared" si="43"/>
        <v>0</v>
      </c>
      <c r="AW28" s="59"/>
      <c r="AX28" t="s">
        <v>12649</v>
      </c>
      <c r="AY28" s="109">
        <f t="shared" si="44"/>
        <v>28</v>
      </c>
      <c r="AZ28" s="109">
        <f t="shared" si="5"/>
        <v>28</v>
      </c>
      <c r="BA28" s="109">
        <f t="shared" si="6"/>
        <v>24</v>
      </c>
      <c r="BB28" s="109">
        <f t="shared" si="7"/>
        <v>24</v>
      </c>
      <c r="BC28" s="109">
        <f t="shared" si="8"/>
        <v>24</v>
      </c>
      <c r="BE28" s="59"/>
      <c r="BF28" s="59">
        <f t="shared" si="45"/>
        <v>24</v>
      </c>
      <c r="BG28" s="59">
        <f t="shared" si="9"/>
        <v>24</v>
      </c>
      <c r="BH28" s="59">
        <f t="shared" si="10"/>
        <v>20</v>
      </c>
      <c r="BI28" s="59">
        <f t="shared" si="11"/>
        <v>20</v>
      </c>
      <c r="BJ28" s="59">
        <f t="shared" si="12"/>
        <v>20</v>
      </c>
      <c r="BK28" s="59">
        <f t="shared" si="13"/>
        <v>4</v>
      </c>
      <c r="BL28" s="59"/>
    </row>
    <row r="29" spans="1:64" x14ac:dyDescent="0.2">
      <c r="A29">
        <f>+SUMIFS(Quest!$J:$J,Quest!$H:$H,QDrop!A$1,Quest!$N:$N,QDrop!$G29)</f>
        <v>0</v>
      </c>
      <c r="B29">
        <f>+SUMIFS(Quest!$J:$J,Quest!$H:$H,QDrop!B$1,Quest!$N:$N,QDrop!$G29)</f>
        <v>0</v>
      </c>
      <c r="C29">
        <f>+SUMIFS(Quest!$J:$J,Quest!$H:$H,QDrop!C$1,Quest!$N:$N,QDrop!$G29)</f>
        <v>0</v>
      </c>
      <c r="D29">
        <f>+SUMIFS(Quest!$J:$J,Quest!$H:$H,QDrop!D$1,Quest!$N:$N,QDrop!$G29)</f>
        <v>0</v>
      </c>
      <c r="E29">
        <f>+SUMIFS(Quest!$J:$J,Quest!$H:$H,QDrop!E$1,Quest!$N:$N,QDrop!$G29)</f>
        <v>1</v>
      </c>
      <c r="F29">
        <f>+SUMIFS(Quest!$J:$J,Quest!$H:$H,QDrop!F$1,Quest!$N:$N,QDrop!$G29)</f>
        <v>0</v>
      </c>
      <c r="G29" t="s">
        <v>19253</v>
      </c>
      <c r="H29">
        <v>1</v>
      </c>
      <c r="I29" t="s">
        <v>19612</v>
      </c>
      <c r="S29" s="206">
        <f t="shared" si="14"/>
        <v>0</v>
      </c>
      <c r="T29" s="175">
        <f t="shared" si="15"/>
        <v>0</v>
      </c>
      <c r="U29" s="175">
        <f t="shared" si="16"/>
        <v>0</v>
      </c>
      <c r="V29" s="175">
        <f t="shared" si="17"/>
        <v>0</v>
      </c>
      <c r="W29" s="175">
        <f t="shared" si="18"/>
        <v>1</v>
      </c>
      <c r="X29" s="207">
        <f t="shared" si="19"/>
        <v>0</v>
      </c>
      <c r="Y29" s="206">
        <f t="shared" si="20"/>
        <v>0</v>
      </c>
      <c r="Z29" s="175">
        <f t="shared" si="21"/>
        <v>0</v>
      </c>
      <c r="AA29" s="175">
        <f t="shared" si="22"/>
        <v>0</v>
      </c>
      <c r="AB29" s="175">
        <f t="shared" si="23"/>
        <v>0</v>
      </c>
      <c r="AC29" s="175">
        <f t="shared" si="24"/>
        <v>0</v>
      </c>
      <c r="AD29" s="207">
        <f t="shared" si="25"/>
        <v>0</v>
      </c>
      <c r="AE29" s="206">
        <f t="shared" si="26"/>
        <v>0</v>
      </c>
      <c r="AF29" s="175">
        <f t="shared" si="27"/>
        <v>0</v>
      </c>
      <c r="AG29" s="175">
        <f t="shared" si="28"/>
        <v>0</v>
      </c>
      <c r="AH29" s="175">
        <f t="shared" si="29"/>
        <v>0</v>
      </c>
      <c r="AI29" s="175">
        <f t="shared" si="30"/>
        <v>0</v>
      </c>
      <c r="AJ29" s="207">
        <f t="shared" si="31"/>
        <v>0</v>
      </c>
      <c r="AK29" s="206">
        <f t="shared" si="32"/>
        <v>0</v>
      </c>
      <c r="AL29" s="175">
        <f t="shared" si="33"/>
        <v>0</v>
      </c>
      <c r="AM29" s="175">
        <f t="shared" si="34"/>
        <v>0</v>
      </c>
      <c r="AN29" s="175">
        <f t="shared" si="35"/>
        <v>0</v>
      </c>
      <c r="AO29" s="175">
        <f t="shared" si="36"/>
        <v>0</v>
      </c>
      <c r="AP29" s="207">
        <f t="shared" si="37"/>
        <v>0</v>
      </c>
      <c r="AQ29" s="206">
        <f t="shared" si="38"/>
        <v>0</v>
      </c>
      <c r="AR29" s="175">
        <f t="shared" si="39"/>
        <v>0</v>
      </c>
      <c r="AS29" s="175">
        <f t="shared" si="40"/>
        <v>0</v>
      </c>
      <c r="AT29" s="175">
        <f t="shared" si="41"/>
        <v>0</v>
      </c>
      <c r="AU29" s="175">
        <f t="shared" si="42"/>
        <v>0</v>
      </c>
      <c r="AV29" s="207">
        <f t="shared" si="43"/>
        <v>0</v>
      </c>
      <c r="AW29" s="59"/>
      <c r="AX29" t="s">
        <v>12655</v>
      </c>
      <c r="AY29" s="109">
        <f t="shared" si="44"/>
        <v>28</v>
      </c>
      <c r="AZ29" s="109">
        <f t="shared" si="5"/>
        <v>28</v>
      </c>
      <c r="BA29" s="109">
        <f t="shared" si="6"/>
        <v>24</v>
      </c>
      <c r="BB29" s="109">
        <f t="shared" si="7"/>
        <v>24</v>
      </c>
      <c r="BC29" s="109">
        <f t="shared" si="8"/>
        <v>24</v>
      </c>
      <c r="BE29" s="59"/>
      <c r="BF29" s="59">
        <f t="shared" si="45"/>
        <v>24</v>
      </c>
      <c r="BG29" s="59">
        <f t="shared" si="9"/>
        <v>24</v>
      </c>
      <c r="BH29" s="59">
        <f t="shared" si="10"/>
        <v>20</v>
      </c>
      <c r="BI29" s="59">
        <f t="shared" si="11"/>
        <v>20</v>
      </c>
      <c r="BJ29" s="59">
        <f t="shared" si="12"/>
        <v>20</v>
      </c>
      <c r="BK29" s="59">
        <f t="shared" si="13"/>
        <v>4</v>
      </c>
      <c r="BL29" s="59"/>
    </row>
    <row r="30" spans="1:64" x14ac:dyDescent="0.2">
      <c r="A30">
        <f>+SUMIFS(Quest!$J:$J,Quest!$H:$H,QDrop!A$1,Quest!$N:$N,QDrop!$G30)</f>
        <v>0</v>
      </c>
      <c r="B30">
        <f>+SUMIFS(Quest!$J:$J,Quest!$H:$H,QDrop!B$1,Quest!$N:$N,QDrop!$G30)</f>
        <v>0</v>
      </c>
      <c r="C30">
        <f>+SUMIFS(Quest!$J:$J,Quest!$H:$H,QDrop!C$1,Quest!$N:$N,QDrop!$G30)</f>
        <v>0</v>
      </c>
      <c r="D30">
        <f>+SUMIFS(Quest!$J:$J,Quest!$H:$H,QDrop!D$1,Quest!$N:$N,QDrop!$G30)</f>
        <v>0</v>
      </c>
      <c r="E30">
        <f>+SUMIFS(Quest!$J:$J,Quest!$H:$H,QDrop!E$1,Quest!$N:$N,QDrop!$G30)</f>
        <v>1</v>
      </c>
      <c r="F30">
        <f>+SUMIFS(Quest!$J:$J,Quest!$H:$H,QDrop!F$1,Quest!$N:$N,QDrop!$G30)</f>
        <v>0</v>
      </c>
      <c r="G30" t="s">
        <v>19255</v>
      </c>
      <c r="H30">
        <v>1</v>
      </c>
      <c r="I30" t="s">
        <v>19612</v>
      </c>
      <c r="J30">
        <v>1</v>
      </c>
      <c r="K30" t="s">
        <v>10913</v>
      </c>
      <c r="S30" s="206">
        <f t="shared" si="14"/>
        <v>0</v>
      </c>
      <c r="T30" s="175">
        <f t="shared" si="15"/>
        <v>0</v>
      </c>
      <c r="U30" s="175">
        <f t="shared" si="16"/>
        <v>0</v>
      </c>
      <c r="V30" s="175">
        <f t="shared" si="17"/>
        <v>0</v>
      </c>
      <c r="W30" s="175">
        <f t="shared" si="18"/>
        <v>1</v>
      </c>
      <c r="X30" s="207">
        <f t="shared" si="19"/>
        <v>0</v>
      </c>
      <c r="Y30" s="206">
        <f t="shared" si="20"/>
        <v>0</v>
      </c>
      <c r="Z30" s="175">
        <f t="shared" si="21"/>
        <v>0</v>
      </c>
      <c r="AA30" s="175">
        <f t="shared" si="22"/>
        <v>0</v>
      </c>
      <c r="AB30" s="175">
        <f t="shared" si="23"/>
        <v>0</v>
      </c>
      <c r="AC30" s="175">
        <f t="shared" si="24"/>
        <v>1</v>
      </c>
      <c r="AD30" s="207">
        <f t="shared" si="25"/>
        <v>0</v>
      </c>
      <c r="AE30" s="206">
        <f t="shared" si="26"/>
        <v>0</v>
      </c>
      <c r="AF30" s="175">
        <f t="shared" si="27"/>
        <v>0</v>
      </c>
      <c r="AG30" s="175">
        <f t="shared" si="28"/>
        <v>0</v>
      </c>
      <c r="AH30" s="175">
        <f t="shared" si="29"/>
        <v>0</v>
      </c>
      <c r="AI30" s="175">
        <f t="shared" si="30"/>
        <v>0</v>
      </c>
      <c r="AJ30" s="207">
        <f t="shared" si="31"/>
        <v>0</v>
      </c>
      <c r="AK30" s="206">
        <f t="shared" si="32"/>
        <v>0</v>
      </c>
      <c r="AL30" s="175">
        <f t="shared" si="33"/>
        <v>0</v>
      </c>
      <c r="AM30" s="175">
        <f t="shared" si="34"/>
        <v>0</v>
      </c>
      <c r="AN30" s="175">
        <f t="shared" si="35"/>
        <v>0</v>
      </c>
      <c r="AO30" s="175">
        <f t="shared" si="36"/>
        <v>0</v>
      </c>
      <c r="AP30" s="207">
        <f t="shared" si="37"/>
        <v>0</v>
      </c>
      <c r="AQ30" s="206">
        <f t="shared" si="38"/>
        <v>0</v>
      </c>
      <c r="AR30" s="175">
        <f t="shared" si="39"/>
        <v>0</v>
      </c>
      <c r="AS30" s="175">
        <f t="shared" si="40"/>
        <v>0</v>
      </c>
      <c r="AT30" s="175">
        <f t="shared" si="41"/>
        <v>0</v>
      </c>
      <c r="AU30" s="175">
        <f t="shared" si="42"/>
        <v>0</v>
      </c>
      <c r="AV30" s="207">
        <f t="shared" si="43"/>
        <v>0</v>
      </c>
      <c r="AW30" s="59"/>
      <c r="AX30" t="s">
        <v>19613</v>
      </c>
      <c r="AY30" s="109">
        <f t="shared" si="44"/>
        <v>10</v>
      </c>
      <c r="AZ30" s="109">
        <f t="shared" si="5"/>
        <v>10</v>
      </c>
      <c r="BA30" s="109">
        <f t="shared" si="6"/>
        <v>10</v>
      </c>
      <c r="BB30" s="109">
        <f t="shared" si="7"/>
        <v>12</v>
      </c>
      <c r="BC30" s="109">
        <f t="shared" si="8"/>
        <v>12</v>
      </c>
      <c r="BE30" s="59"/>
      <c r="BF30" s="59">
        <f t="shared" si="45"/>
        <v>10</v>
      </c>
      <c r="BG30" s="59">
        <f t="shared" si="9"/>
        <v>10</v>
      </c>
      <c r="BH30" s="59">
        <f t="shared" si="10"/>
        <v>10</v>
      </c>
      <c r="BI30" s="59">
        <f t="shared" si="11"/>
        <v>12</v>
      </c>
      <c r="BJ30" s="59">
        <f t="shared" si="12"/>
        <v>12</v>
      </c>
      <c r="BK30" s="59">
        <f t="shared" si="13"/>
        <v>0</v>
      </c>
      <c r="BL30" s="59"/>
    </row>
    <row r="31" spans="1:64" x14ac:dyDescent="0.2">
      <c r="A31">
        <f>+SUMIFS(Quest!$J:$J,Quest!$H:$H,QDrop!A$1,Quest!$N:$N,QDrop!$G31)</f>
        <v>0</v>
      </c>
      <c r="B31">
        <f>+SUMIFS(Quest!$J:$J,Quest!$H:$H,QDrop!B$1,Quest!$N:$N,QDrop!$G31)</f>
        <v>0</v>
      </c>
      <c r="C31">
        <f>+SUMIFS(Quest!$J:$J,Quest!$H:$H,QDrop!C$1,Quest!$N:$N,QDrop!$G31)</f>
        <v>0</v>
      </c>
      <c r="D31">
        <f>+SUMIFS(Quest!$J:$J,Quest!$H:$H,QDrop!D$1,Quest!$N:$N,QDrop!$G31)</f>
        <v>0</v>
      </c>
      <c r="E31">
        <f>+SUMIFS(Quest!$J:$J,Quest!$H:$H,QDrop!E$1,Quest!$N:$N,QDrop!$G31)</f>
        <v>10</v>
      </c>
      <c r="F31">
        <f>+SUMIFS(Quest!$J:$J,Quest!$H:$H,QDrop!F$1,Quest!$N:$N,QDrop!$G31)</f>
        <v>0</v>
      </c>
      <c r="G31" t="s">
        <v>19257</v>
      </c>
      <c r="H31">
        <v>2</v>
      </c>
      <c r="I31" t="s">
        <v>19612</v>
      </c>
      <c r="J31">
        <v>2</v>
      </c>
      <c r="K31" t="s">
        <v>10913</v>
      </c>
      <c r="L31">
        <v>2</v>
      </c>
      <c r="M31" t="s">
        <v>12647</v>
      </c>
      <c r="S31" s="206">
        <f t="shared" si="14"/>
        <v>0</v>
      </c>
      <c r="T31" s="175">
        <f t="shared" si="15"/>
        <v>0</v>
      </c>
      <c r="U31" s="175">
        <f t="shared" si="16"/>
        <v>0</v>
      </c>
      <c r="V31" s="175">
        <f t="shared" si="17"/>
        <v>0</v>
      </c>
      <c r="W31" s="175">
        <f t="shared" si="18"/>
        <v>20</v>
      </c>
      <c r="X31" s="207">
        <f t="shared" si="19"/>
        <v>0</v>
      </c>
      <c r="Y31" s="206">
        <f t="shared" si="20"/>
        <v>0</v>
      </c>
      <c r="Z31" s="175">
        <f t="shared" si="21"/>
        <v>0</v>
      </c>
      <c r="AA31" s="175">
        <f t="shared" si="22"/>
        <v>0</v>
      </c>
      <c r="AB31" s="175">
        <f t="shared" si="23"/>
        <v>0</v>
      </c>
      <c r="AC31" s="175">
        <f t="shared" si="24"/>
        <v>20</v>
      </c>
      <c r="AD31" s="207">
        <f t="shared" si="25"/>
        <v>0</v>
      </c>
      <c r="AE31" s="206">
        <f t="shared" si="26"/>
        <v>0</v>
      </c>
      <c r="AF31" s="175">
        <f t="shared" si="27"/>
        <v>0</v>
      </c>
      <c r="AG31" s="175">
        <f t="shared" si="28"/>
        <v>0</v>
      </c>
      <c r="AH31" s="175">
        <f t="shared" si="29"/>
        <v>0</v>
      </c>
      <c r="AI31" s="175">
        <f t="shared" si="30"/>
        <v>20</v>
      </c>
      <c r="AJ31" s="207">
        <f t="shared" si="31"/>
        <v>0</v>
      </c>
      <c r="AK31" s="206">
        <f t="shared" si="32"/>
        <v>0</v>
      </c>
      <c r="AL31" s="175">
        <f t="shared" si="33"/>
        <v>0</v>
      </c>
      <c r="AM31" s="175">
        <f t="shared" si="34"/>
        <v>0</v>
      </c>
      <c r="AN31" s="175">
        <f t="shared" si="35"/>
        <v>0</v>
      </c>
      <c r="AO31" s="175">
        <f t="shared" si="36"/>
        <v>0</v>
      </c>
      <c r="AP31" s="207">
        <f t="shared" si="37"/>
        <v>0</v>
      </c>
      <c r="AQ31" s="206">
        <f t="shared" si="38"/>
        <v>0</v>
      </c>
      <c r="AR31" s="175">
        <f t="shared" si="39"/>
        <v>0</v>
      </c>
      <c r="AS31" s="175">
        <f t="shared" si="40"/>
        <v>0</v>
      </c>
      <c r="AT31" s="175">
        <f t="shared" si="41"/>
        <v>0</v>
      </c>
      <c r="AU31" s="175">
        <f t="shared" si="42"/>
        <v>0</v>
      </c>
      <c r="AV31" s="207">
        <f t="shared" si="43"/>
        <v>0</v>
      </c>
      <c r="AW31" s="59"/>
      <c r="AX31" t="s">
        <v>11793</v>
      </c>
      <c r="AY31" s="109">
        <f t="shared" si="44"/>
        <v>10</v>
      </c>
      <c r="AZ31" s="109">
        <f t="shared" si="5"/>
        <v>10</v>
      </c>
      <c r="BA31" s="109">
        <f t="shared" si="6"/>
        <v>10</v>
      </c>
      <c r="BB31" s="109">
        <f t="shared" si="7"/>
        <v>12</v>
      </c>
      <c r="BC31" s="109">
        <f t="shared" si="8"/>
        <v>12</v>
      </c>
      <c r="BE31" s="59"/>
      <c r="BF31" s="59">
        <f t="shared" si="45"/>
        <v>10</v>
      </c>
      <c r="BG31" s="59">
        <f t="shared" si="9"/>
        <v>10</v>
      </c>
      <c r="BH31" s="59">
        <f t="shared" si="10"/>
        <v>10</v>
      </c>
      <c r="BI31" s="59">
        <f t="shared" si="11"/>
        <v>12</v>
      </c>
      <c r="BJ31" s="59">
        <f t="shared" si="12"/>
        <v>12</v>
      </c>
      <c r="BK31" s="59">
        <f t="shared" si="13"/>
        <v>0</v>
      </c>
      <c r="BL31" s="59"/>
    </row>
    <row r="32" spans="1:64" x14ac:dyDescent="0.2">
      <c r="A32">
        <f>+SUMIFS(Quest!$J:$J,Quest!$H:$H,QDrop!A$1,Quest!$N:$N,QDrop!$G32)</f>
        <v>0</v>
      </c>
      <c r="B32">
        <f>+SUMIFS(Quest!$J:$J,Quest!$H:$H,QDrop!B$1,Quest!$N:$N,QDrop!$G32)</f>
        <v>0</v>
      </c>
      <c r="C32">
        <f>+SUMIFS(Quest!$J:$J,Quest!$H:$H,QDrop!C$1,Quest!$N:$N,QDrop!$G32)</f>
        <v>0</v>
      </c>
      <c r="D32">
        <f>+SUMIFS(Quest!$J:$J,Quest!$H:$H,QDrop!D$1,Quest!$N:$N,QDrop!$G32)</f>
        <v>1</v>
      </c>
      <c r="E32">
        <f>+SUMIFS(Quest!$J:$J,Quest!$H:$H,QDrop!E$1,Quest!$N:$N,QDrop!$G32)</f>
        <v>0</v>
      </c>
      <c r="F32">
        <f>+SUMIFS(Quest!$J:$J,Quest!$H:$H,QDrop!F$1,Quest!$N:$N,QDrop!$G32)</f>
        <v>0</v>
      </c>
      <c r="G32" t="s">
        <v>19245</v>
      </c>
      <c r="H32">
        <v>1</v>
      </c>
      <c r="I32" t="s">
        <v>19614</v>
      </c>
      <c r="J32">
        <v>1</v>
      </c>
      <c r="K32" t="s">
        <v>19615</v>
      </c>
      <c r="S32" s="206">
        <f t="shared" ref="S32:S47" si="46">+$H32*A32</f>
        <v>0</v>
      </c>
      <c r="T32" s="175">
        <f t="shared" ref="T32:T47" si="47">+$H32*B32</f>
        <v>0</v>
      </c>
      <c r="U32" s="175">
        <f t="shared" ref="U32:U47" si="48">+$H32*C32</f>
        <v>0</v>
      </c>
      <c r="V32" s="175">
        <f t="shared" ref="V32:V47" si="49">+$H32*D32</f>
        <v>1</v>
      </c>
      <c r="W32" s="175">
        <f t="shared" ref="W32:W47" si="50">+$H32*E32</f>
        <v>0</v>
      </c>
      <c r="X32" s="207">
        <f t="shared" ref="X32:X47" si="51">+$H32*F32</f>
        <v>0</v>
      </c>
      <c r="Y32" s="206">
        <f t="shared" ref="Y32:Y47" si="52">+$J32*A32</f>
        <v>0</v>
      </c>
      <c r="Z32" s="175">
        <f t="shared" ref="Z32:Z47" si="53">+$J32*B32</f>
        <v>0</v>
      </c>
      <c r="AA32" s="175">
        <f t="shared" ref="AA32:AA47" si="54">+$J32*C32</f>
        <v>0</v>
      </c>
      <c r="AB32" s="175">
        <f t="shared" ref="AB32:AB47" si="55">+$J32*D32</f>
        <v>1</v>
      </c>
      <c r="AC32" s="175">
        <f t="shared" ref="AC32:AC47" si="56">+$J32*E32</f>
        <v>0</v>
      </c>
      <c r="AD32" s="207">
        <f t="shared" ref="AD32:AD47" si="57">+$J32*F32</f>
        <v>0</v>
      </c>
      <c r="AE32" s="206">
        <f t="shared" ref="AE32:AE47" si="58">+$L32*A32</f>
        <v>0</v>
      </c>
      <c r="AF32" s="175">
        <f t="shared" ref="AF32:AF47" si="59">+$L32*B32</f>
        <v>0</v>
      </c>
      <c r="AG32" s="175">
        <f t="shared" ref="AG32:AG47" si="60">+$L32*C32</f>
        <v>0</v>
      </c>
      <c r="AH32" s="175">
        <f t="shared" ref="AH32:AH47" si="61">+$L32*D32</f>
        <v>0</v>
      </c>
      <c r="AI32" s="175">
        <f t="shared" ref="AI32:AI47" si="62">+$L32*E32</f>
        <v>0</v>
      </c>
      <c r="AJ32" s="207">
        <f t="shared" ref="AJ32:AJ47" si="63">+$L32*F32</f>
        <v>0</v>
      </c>
      <c r="AK32" s="206">
        <f t="shared" ref="AK32:AK47" si="64">+$N32*A32</f>
        <v>0</v>
      </c>
      <c r="AL32" s="175">
        <f t="shared" ref="AL32:AL47" si="65">+$N32*B32</f>
        <v>0</v>
      </c>
      <c r="AM32" s="175">
        <f t="shared" ref="AM32:AM47" si="66">+$N32*C32</f>
        <v>0</v>
      </c>
      <c r="AN32" s="175">
        <f t="shared" ref="AN32:AN47" si="67">+$N32*D32</f>
        <v>0</v>
      </c>
      <c r="AO32" s="175">
        <f t="shared" ref="AO32:AO47" si="68">+$N32*E32</f>
        <v>0</v>
      </c>
      <c r="AP32" s="207">
        <f t="shared" ref="AP32:AP47" si="69">+$N32*F32</f>
        <v>0</v>
      </c>
      <c r="AQ32" s="206">
        <f t="shared" ref="AQ32:AQ47" si="70">+$P32*A32</f>
        <v>0</v>
      </c>
      <c r="AR32" s="175">
        <f t="shared" ref="AR32:AR47" si="71">+$P32*B32</f>
        <v>0</v>
      </c>
      <c r="AS32" s="175">
        <f t="shared" ref="AS32:AS47" si="72">+$P32*C32</f>
        <v>0</v>
      </c>
      <c r="AT32" s="175">
        <f t="shared" ref="AT32:AT47" si="73">+$P32*D32</f>
        <v>0</v>
      </c>
      <c r="AU32" s="175">
        <f t="shared" ref="AU32:AU47" si="74">+$P32*E32</f>
        <v>0</v>
      </c>
      <c r="AV32" s="207">
        <f t="shared" ref="AV32:AV47" si="75">+$P32*F32</f>
        <v>0</v>
      </c>
      <c r="AW32" s="59"/>
      <c r="AX32" t="s">
        <v>12668</v>
      </c>
      <c r="AY32" s="109">
        <f t="shared" si="44"/>
        <v>10</v>
      </c>
      <c r="AZ32" s="109">
        <f t="shared" si="5"/>
        <v>10</v>
      </c>
      <c r="BA32" s="109">
        <f t="shared" si="6"/>
        <v>10</v>
      </c>
      <c r="BB32" s="109">
        <f t="shared" si="7"/>
        <v>12</v>
      </c>
      <c r="BC32" s="109">
        <f t="shared" si="8"/>
        <v>12</v>
      </c>
      <c r="BE32" s="59"/>
      <c r="BF32" s="59">
        <f t="shared" si="45"/>
        <v>10</v>
      </c>
      <c r="BG32" s="59">
        <f t="shared" si="9"/>
        <v>10</v>
      </c>
      <c r="BH32" s="59">
        <f t="shared" si="10"/>
        <v>10</v>
      </c>
      <c r="BI32" s="59">
        <f t="shared" si="11"/>
        <v>12</v>
      </c>
      <c r="BJ32" s="59">
        <f t="shared" si="12"/>
        <v>12</v>
      </c>
      <c r="BK32" s="59">
        <f t="shared" si="13"/>
        <v>0</v>
      </c>
      <c r="BL32" s="59"/>
    </row>
    <row r="33" spans="1:64" x14ac:dyDescent="0.2">
      <c r="A33">
        <f>+SUMIFS(Quest!$J:$J,Quest!$H:$H,QDrop!A$1,Quest!$N:$N,QDrop!$G33)</f>
        <v>0</v>
      </c>
      <c r="B33">
        <f>+SUMIFS(Quest!$J:$J,Quest!$H:$H,QDrop!B$1,Quest!$N:$N,QDrop!$G33)</f>
        <v>0</v>
      </c>
      <c r="C33">
        <f>+SUMIFS(Quest!$J:$J,Quest!$H:$H,QDrop!C$1,Quest!$N:$N,QDrop!$G33)</f>
        <v>0</v>
      </c>
      <c r="D33">
        <f>+SUMIFS(Quest!$J:$J,Quest!$H:$H,QDrop!D$1,Quest!$N:$N,QDrop!$G33)</f>
        <v>1</v>
      </c>
      <c r="E33">
        <f>+SUMIFS(Quest!$J:$J,Quest!$H:$H,QDrop!E$1,Quest!$N:$N,QDrop!$G33)</f>
        <v>0</v>
      </c>
      <c r="F33">
        <f>+SUMIFS(Quest!$J:$J,Quest!$H:$H,QDrop!F$1,Quest!$N:$N,QDrop!$G33)</f>
        <v>0</v>
      </c>
      <c r="G33" t="s">
        <v>19247</v>
      </c>
      <c r="H33">
        <v>1</v>
      </c>
      <c r="I33" t="s">
        <v>19614</v>
      </c>
      <c r="J33">
        <v>1</v>
      </c>
      <c r="K33" t="s">
        <v>19615</v>
      </c>
      <c r="L33">
        <v>1</v>
      </c>
      <c r="M33" t="s">
        <v>10913</v>
      </c>
      <c r="S33" s="206">
        <f t="shared" si="46"/>
        <v>0</v>
      </c>
      <c r="T33" s="175">
        <f t="shared" si="47"/>
        <v>0</v>
      </c>
      <c r="U33" s="175">
        <f t="shared" si="48"/>
        <v>0</v>
      </c>
      <c r="V33" s="175">
        <f t="shared" si="49"/>
        <v>1</v>
      </c>
      <c r="W33" s="175">
        <f t="shared" si="50"/>
        <v>0</v>
      </c>
      <c r="X33" s="207">
        <f t="shared" si="51"/>
        <v>0</v>
      </c>
      <c r="Y33" s="206">
        <f t="shared" si="52"/>
        <v>0</v>
      </c>
      <c r="Z33" s="175">
        <f t="shared" si="53"/>
        <v>0</v>
      </c>
      <c r="AA33" s="175">
        <f t="shared" si="54"/>
        <v>0</v>
      </c>
      <c r="AB33" s="175">
        <f t="shared" si="55"/>
        <v>1</v>
      </c>
      <c r="AC33" s="175">
        <f t="shared" si="56"/>
        <v>0</v>
      </c>
      <c r="AD33" s="207">
        <f t="shared" si="57"/>
        <v>0</v>
      </c>
      <c r="AE33" s="206">
        <f t="shared" si="58"/>
        <v>0</v>
      </c>
      <c r="AF33" s="175">
        <f t="shared" si="59"/>
        <v>0</v>
      </c>
      <c r="AG33" s="175">
        <f t="shared" si="60"/>
        <v>0</v>
      </c>
      <c r="AH33" s="175">
        <f t="shared" si="61"/>
        <v>1</v>
      </c>
      <c r="AI33" s="175">
        <f t="shared" si="62"/>
        <v>0</v>
      </c>
      <c r="AJ33" s="207">
        <f t="shared" si="63"/>
        <v>0</v>
      </c>
      <c r="AK33" s="206">
        <f t="shared" si="64"/>
        <v>0</v>
      </c>
      <c r="AL33" s="175">
        <f t="shared" si="65"/>
        <v>0</v>
      </c>
      <c r="AM33" s="175">
        <f t="shared" si="66"/>
        <v>0</v>
      </c>
      <c r="AN33" s="175">
        <f t="shared" si="67"/>
        <v>0</v>
      </c>
      <c r="AO33" s="175">
        <f t="shared" si="68"/>
        <v>0</v>
      </c>
      <c r="AP33" s="207">
        <f t="shared" si="69"/>
        <v>0</v>
      </c>
      <c r="AQ33" s="206">
        <f t="shared" si="70"/>
        <v>0</v>
      </c>
      <c r="AR33" s="175">
        <f t="shared" si="71"/>
        <v>0</v>
      </c>
      <c r="AS33" s="175">
        <f t="shared" si="72"/>
        <v>0</v>
      </c>
      <c r="AT33" s="175">
        <f t="shared" si="73"/>
        <v>0</v>
      </c>
      <c r="AU33" s="175">
        <f t="shared" si="74"/>
        <v>0</v>
      </c>
      <c r="AV33" s="207">
        <f t="shared" si="75"/>
        <v>0</v>
      </c>
      <c r="AW33" s="59"/>
      <c r="BE33" s="59"/>
      <c r="BL33" s="59"/>
    </row>
    <row r="34" spans="1:64" x14ac:dyDescent="0.2">
      <c r="A34">
        <f>+SUMIFS(Quest!$J:$J,Quest!$H:$H,QDrop!A$1,Quest!$N:$N,QDrop!$G34)</f>
        <v>0</v>
      </c>
      <c r="B34">
        <f>+SUMIFS(Quest!$J:$J,Quest!$H:$H,QDrop!B$1,Quest!$N:$N,QDrop!$G34)</f>
        <v>0</v>
      </c>
      <c r="C34">
        <f>+SUMIFS(Quest!$J:$J,Quest!$H:$H,QDrop!C$1,Quest!$N:$N,QDrop!$G34)</f>
        <v>0</v>
      </c>
      <c r="D34">
        <f>+SUMIFS(Quest!$J:$J,Quest!$H:$H,QDrop!D$1,Quest!$N:$N,QDrop!$G34)</f>
        <v>10</v>
      </c>
      <c r="E34">
        <f>+SUMIFS(Quest!$J:$J,Quest!$H:$H,QDrop!E$1,Quest!$N:$N,QDrop!$G34)</f>
        <v>0</v>
      </c>
      <c r="F34">
        <f>+SUMIFS(Quest!$J:$J,Quest!$H:$H,QDrop!F$1,Quest!$N:$N,QDrop!$G34)</f>
        <v>0</v>
      </c>
      <c r="G34" t="s">
        <v>19249</v>
      </c>
      <c r="H34">
        <v>2</v>
      </c>
      <c r="I34" t="s">
        <v>19614</v>
      </c>
      <c r="J34">
        <v>2</v>
      </c>
      <c r="K34" t="s">
        <v>19615</v>
      </c>
      <c r="L34">
        <v>2</v>
      </c>
      <c r="M34" t="s">
        <v>10913</v>
      </c>
      <c r="N34">
        <v>2</v>
      </c>
      <c r="O34" t="s">
        <v>12647</v>
      </c>
      <c r="S34" s="206">
        <f t="shared" si="46"/>
        <v>0</v>
      </c>
      <c r="T34" s="175">
        <f t="shared" si="47"/>
        <v>0</v>
      </c>
      <c r="U34" s="175">
        <f t="shared" si="48"/>
        <v>0</v>
      </c>
      <c r="V34" s="175">
        <f t="shared" si="49"/>
        <v>20</v>
      </c>
      <c r="W34" s="175">
        <f t="shared" si="50"/>
        <v>0</v>
      </c>
      <c r="X34" s="207">
        <f t="shared" si="51"/>
        <v>0</v>
      </c>
      <c r="Y34" s="206">
        <f t="shared" si="52"/>
        <v>0</v>
      </c>
      <c r="Z34" s="175">
        <f t="shared" si="53"/>
        <v>0</v>
      </c>
      <c r="AA34" s="175">
        <f t="shared" si="54"/>
        <v>0</v>
      </c>
      <c r="AB34" s="175">
        <f t="shared" si="55"/>
        <v>20</v>
      </c>
      <c r="AC34" s="175">
        <f t="shared" si="56"/>
        <v>0</v>
      </c>
      <c r="AD34" s="207">
        <f t="shared" si="57"/>
        <v>0</v>
      </c>
      <c r="AE34" s="206">
        <f t="shared" si="58"/>
        <v>0</v>
      </c>
      <c r="AF34" s="175">
        <f t="shared" si="59"/>
        <v>0</v>
      </c>
      <c r="AG34" s="175">
        <f t="shared" si="60"/>
        <v>0</v>
      </c>
      <c r="AH34" s="175">
        <f t="shared" si="61"/>
        <v>20</v>
      </c>
      <c r="AI34" s="175">
        <f t="shared" si="62"/>
        <v>0</v>
      </c>
      <c r="AJ34" s="207">
        <f t="shared" si="63"/>
        <v>0</v>
      </c>
      <c r="AK34" s="206">
        <f t="shared" si="64"/>
        <v>0</v>
      </c>
      <c r="AL34" s="175">
        <f t="shared" si="65"/>
        <v>0</v>
      </c>
      <c r="AM34" s="175">
        <f t="shared" si="66"/>
        <v>0</v>
      </c>
      <c r="AN34" s="175">
        <f t="shared" si="67"/>
        <v>20</v>
      </c>
      <c r="AO34" s="175">
        <f t="shared" si="68"/>
        <v>0</v>
      </c>
      <c r="AP34" s="207">
        <f t="shared" si="69"/>
        <v>0</v>
      </c>
      <c r="AQ34" s="206">
        <f t="shared" si="70"/>
        <v>0</v>
      </c>
      <c r="AR34" s="175">
        <f t="shared" si="71"/>
        <v>0</v>
      </c>
      <c r="AS34" s="175">
        <f t="shared" si="72"/>
        <v>0</v>
      </c>
      <c r="AT34" s="175">
        <f t="shared" si="73"/>
        <v>0</v>
      </c>
      <c r="AU34" s="175">
        <f t="shared" si="74"/>
        <v>0</v>
      </c>
      <c r="AV34" s="207">
        <f t="shared" si="75"/>
        <v>0</v>
      </c>
      <c r="AW34" s="59"/>
      <c r="AX34" t="s">
        <v>19616</v>
      </c>
      <c r="AY34" s="109"/>
      <c r="AZ34" s="109"/>
      <c r="BA34" s="109"/>
      <c r="BB34" s="109"/>
      <c r="BC34" s="109"/>
      <c r="BD34" s="109">
        <f>+SUM(BF34:BK34)</f>
        <v>6980</v>
      </c>
      <c r="BE34" s="59"/>
      <c r="BF34" s="59">
        <f t="shared" ref="BF34:BF47" si="76">+SUMIF($I:$I,$AX34,S:S)+SUMIF($K:$K,$AX34,Y:Y)+SUMIF($M:$M,$AX34,AE:AE)+SUMIF($O:$O,$AX34,AK:AK)+SUMIF($Q:$Q,$AX34,AQ:AQ)</f>
        <v>680</v>
      </c>
      <c r="BG34" s="59">
        <f t="shared" ref="BG34:BG47" si="77">+SUMIF($I:$I,$AX34,T:T)+SUMIF($K:$K,$AX34,Z:Z)+SUMIF($M:$M,$AX34,AF:AF)+SUMIF($O:$O,$AX34,AL:AL)+SUMIF($Q:$Q,$AX34,AR:AR)</f>
        <v>880</v>
      </c>
      <c r="BH34" s="59">
        <f t="shared" ref="BH34:BH47" si="78">+SUMIF($I:$I,$AX34,U:U)+SUMIF($K:$K,$AX34,AA:AA)+SUMIF($M:$M,$AX34,AG:AG)+SUMIF($O:$O,$AX34,AM:AM)+SUMIF($Q:$Q,$AX34,AS:AS)</f>
        <v>1140</v>
      </c>
      <c r="BI34" s="59">
        <f t="shared" ref="BI34:BI47" si="79">+SUMIF($I:$I,$AX34,V:V)+SUMIF($K:$K,$AX34,AB:AB)+SUMIF($M:$M,$AX34,AH:AH)+SUMIF($O:$O,$AX34,AN:AN)+SUMIF($Q:$Q,$AX34,AT:AT)</f>
        <v>1320</v>
      </c>
      <c r="BJ34" s="59">
        <f t="shared" ref="BJ34:BJ47" si="80">+SUMIF($I:$I,$AX34,W:W)+SUMIF($K:$K,$AX34,AC:AC)+SUMIF($M:$M,$AX34,AI:AI)+SUMIF($O:$O,$AX34,AO:AO)+SUMIF($Q:$Q,$AX34,AU:AU)</f>
        <v>1620</v>
      </c>
      <c r="BK34" s="59">
        <f t="shared" ref="BK34:BK47" si="81">+SUMIF($I:$I,$AX34,X:X)+SUMIF($K:$K,$AX34,AD:AD)+SUMIF($M:$M,$AX34,AJ:AJ)+SUMIF($O:$O,$AX34,AP:AP)+SUMIF($Q:$Q,$AX34,AV:AV)</f>
        <v>1340</v>
      </c>
      <c r="BL34" s="59"/>
    </row>
    <row r="35" spans="1:64" x14ac:dyDescent="0.2">
      <c r="A35">
        <f>+SUMIFS(Quest!$J:$J,Quest!$H:$H,QDrop!A$1,Quest!$N:$N,QDrop!$G35)</f>
        <v>0</v>
      </c>
      <c r="B35">
        <f>+SUMIFS(Quest!$J:$J,Quest!$H:$H,QDrop!B$1,Quest!$N:$N,QDrop!$G35)</f>
        <v>0</v>
      </c>
      <c r="C35">
        <f>+SUMIFS(Quest!$J:$J,Quest!$H:$H,QDrop!C$1,Quest!$N:$N,QDrop!$G35)</f>
        <v>0</v>
      </c>
      <c r="D35">
        <f>+SUMIFS(Quest!$J:$J,Quest!$H:$H,QDrop!D$1,Quest!$N:$N,QDrop!$G35)</f>
        <v>0</v>
      </c>
      <c r="E35">
        <f>+SUMIFS(Quest!$J:$J,Quest!$H:$H,QDrop!E$1,Quest!$N:$N,QDrop!$G35)</f>
        <v>0</v>
      </c>
      <c r="F35">
        <f>+SUMIFS(Quest!$J:$J,Quest!$H:$H,QDrop!F$1,Quest!$N:$N,QDrop!$G35)</f>
        <v>1</v>
      </c>
      <c r="G35" t="s">
        <v>18411</v>
      </c>
      <c r="H35">
        <v>1</v>
      </c>
      <c r="I35" t="s">
        <v>19599</v>
      </c>
      <c r="J35">
        <v>1</v>
      </c>
      <c r="K35" t="s">
        <v>19600</v>
      </c>
      <c r="L35">
        <v>1</v>
      </c>
      <c r="M35" t="s">
        <v>19601</v>
      </c>
      <c r="N35">
        <v>1</v>
      </c>
      <c r="O35" t="s">
        <v>19603</v>
      </c>
      <c r="P35">
        <v>1</v>
      </c>
      <c r="Q35" t="s">
        <v>19604</v>
      </c>
      <c r="S35" s="206">
        <f t="shared" si="46"/>
        <v>0</v>
      </c>
      <c r="T35" s="175">
        <f t="shared" si="47"/>
        <v>0</v>
      </c>
      <c r="U35" s="175">
        <f t="shared" si="48"/>
        <v>0</v>
      </c>
      <c r="V35" s="175">
        <f t="shared" si="49"/>
        <v>0</v>
      </c>
      <c r="W35" s="175">
        <f t="shared" si="50"/>
        <v>0</v>
      </c>
      <c r="X35" s="207">
        <f t="shared" si="51"/>
        <v>1</v>
      </c>
      <c r="Y35" s="206">
        <f t="shared" si="52"/>
        <v>0</v>
      </c>
      <c r="Z35" s="175">
        <f t="shared" si="53"/>
        <v>0</v>
      </c>
      <c r="AA35" s="175">
        <f t="shared" si="54"/>
        <v>0</v>
      </c>
      <c r="AB35" s="175">
        <f t="shared" si="55"/>
        <v>0</v>
      </c>
      <c r="AC35" s="175">
        <f t="shared" si="56"/>
        <v>0</v>
      </c>
      <c r="AD35" s="207">
        <f t="shared" si="57"/>
        <v>1</v>
      </c>
      <c r="AE35" s="206">
        <f t="shared" si="58"/>
        <v>0</v>
      </c>
      <c r="AF35" s="175">
        <f t="shared" si="59"/>
        <v>0</v>
      </c>
      <c r="AG35" s="175">
        <f t="shared" si="60"/>
        <v>0</v>
      </c>
      <c r="AH35" s="175">
        <f t="shared" si="61"/>
        <v>0</v>
      </c>
      <c r="AI35" s="175">
        <f t="shared" si="62"/>
        <v>0</v>
      </c>
      <c r="AJ35" s="207">
        <f t="shared" si="63"/>
        <v>1</v>
      </c>
      <c r="AK35" s="206">
        <f t="shared" si="64"/>
        <v>0</v>
      </c>
      <c r="AL35" s="175">
        <f t="shared" si="65"/>
        <v>0</v>
      </c>
      <c r="AM35" s="175">
        <f t="shared" si="66"/>
        <v>0</v>
      </c>
      <c r="AN35" s="175">
        <f t="shared" si="67"/>
        <v>0</v>
      </c>
      <c r="AO35" s="175">
        <f t="shared" si="68"/>
        <v>0</v>
      </c>
      <c r="AP35" s="207">
        <f t="shared" si="69"/>
        <v>1</v>
      </c>
      <c r="AQ35" s="206">
        <f t="shared" si="70"/>
        <v>0</v>
      </c>
      <c r="AR35" s="175">
        <f t="shared" si="71"/>
        <v>0</v>
      </c>
      <c r="AS35" s="175">
        <f t="shared" si="72"/>
        <v>0</v>
      </c>
      <c r="AT35" s="175">
        <f t="shared" si="73"/>
        <v>0</v>
      </c>
      <c r="AU35" s="175">
        <f t="shared" si="74"/>
        <v>0</v>
      </c>
      <c r="AV35" s="207">
        <f t="shared" si="75"/>
        <v>1</v>
      </c>
      <c r="AW35" s="59"/>
      <c r="AX35" t="s">
        <v>19617</v>
      </c>
      <c r="AY35" s="109"/>
      <c r="AZ35" s="109"/>
      <c r="BA35" s="109"/>
      <c r="BB35" s="109"/>
      <c r="BC35" s="109"/>
      <c r="BD35" s="109">
        <f t="shared" ref="BD35:BD47" si="82">+SUM(BF35:BK35)</f>
        <v>23570</v>
      </c>
      <c r="BE35" s="59"/>
      <c r="BF35" s="59">
        <f t="shared" si="76"/>
        <v>5120</v>
      </c>
      <c r="BG35" s="59">
        <f t="shared" si="77"/>
        <v>4280</v>
      </c>
      <c r="BH35" s="59">
        <f t="shared" si="78"/>
        <v>3800</v>
      </c>
      <c r="BI35" s="59">
        <f t="shared" si="79"/>
        <v>4570</v>
      </c>
      <c r="BJ35" s="59">
        <f t="shared" si="80"/>
        <v>3830</v>
      </c>
      <c r="BK35" s="59">
        <f t="shared" si="81"/>
        <v>1970</v>
      </c>
      <c r="BL35" s="59"/>
    </row>
    <row r="36" spans="1:64" x14ac:dyDescent="0.2">
      <c r="A36">
        <f>+SUMIFS(Quest!$J:$J,Quest!$H:$H,QDrop!A$1,Quest!$N:$N,QDrop!$G36)</f>
        <v>1</v>
      </c>
      <c r="B36">
        <f>+SUMIFS(Quest!$J:$J,Quest!$H:$H,QDrop!B$1,Quest!$N:$N,QDrop!$G36)</f>
        <v>1</v>
      </c>
      <c r="C36">
        <f>+SUMIFS(Quest!$J:$J,Quest!$H:$H,QDrop!C$1,Quest!$N:$N,QDrop!$G36)</f>
        <v>1</v>
      </c>
      <c r="D36">
        <f>+SUMIFS(Quest!$J:$J,Quest!$H:$H,QDrop!D$1,Quest!$N:$N,QDrop!$G36)</f>
        <v>1</v>
      </c>
      <c r="E36">
        <f>+SUMIFS(Quest!$J:$J,Quest!$H:$H,QDrop!E$1,Quest!$N:$N,QDrop!$G36)</f>
        <v>1</v>
      </c>
      <c r="F36">
        <f>+SUMIFS(Quest!$J:$J,Quest!$H:$H,QDrop!F$1,Quest!$N:$N,QDrop!$G36)</f>
        <v>0</v>
      </c>
      <c r="G36" t="s">
        <v>18360</v>
      </c>
      <c r="H36">
        <v>1</v>
      </c>
      <c r="I36" t="s">
        <v>19599</v>
      </c>
      <c r="J36">
        <v>1</v>
      </c>
      <c r="K36" t="s">
        <v>19600</v>
      </c>
      <c r="L36">
        <v>1</v>
      </c>
      <c r="M36" t="s">
        <v>19603</v>
      </c>
      <c r="S36" s="206">
        <f t="shared" si="46"/>
        <v>1</v>
      </c>
      <c r="T36" s="175">
        <f t="shared" si="47"/>
        <v>1</v>
      </c>
      <c r="U36" s="175">
        <f t="shared" si="48"/>
        <v>1</v>
      </c>
      <c r="V36" s="175">
        <f t="shared" si="49"/>
        <v>1</v>
      </c>
      <c r="W36" s="175">
        <f t="shared" si="50"/>
        <v>1</v>
      </c>
      <c r="X36" s="207">
        <f t="shared" si="51"/>
        <v>0</v>
      </c>
      <c r="Y36" s="206">
        <f t="shared" si="52"/>
        <v>1</v>
      </c>
      <c r="Z36" s="175">
        <f t="shared" si="53"/>
        <v>1</v>
      </c>
      <c r="AA36" s="175">
        <f t="shared" si="54"/>
        <v>1</v>
      </c>
      <c r="AB36" s="175">
        <f t="shared" si="55"/>
        <v>1</v>
      </c>
      <c r="AC36" s="175">
        <f t="shared" si="56"/>
        <v>1</v>
      </c>
      <c r="AD36" s="207">
        <f t="shared" si="57"/>
        <v>0</v>
      </c>
      <c r="AE36" s="206">
        <f t="shared" si="58"/>
        <v>1</v>
      </c>
      <c r="AF36" s="175">
        <f t="shared" si="59"/>
        <v>1</v>
      </c>
      <c r="AG36" s="175">
        <f t="shared" si="60"/>
        <v>1</v>
      </c>
      <c r="AH36" s="175">
        <f t="shared" si="61"/>
        <v>1</v>
      </c>
      <c r="AI36" s="175">
        <f t="shared" si="62"/>
        <v>1</v>
      </c>
      <c r="AJ36" s="207">
        <f t="shared" si="63"/>
        <v>0</v>
      </c>
      <c r="AK36" s="206">
        <f t="shared" si="64"/>
        <v>0</v>
      </c>
      <c r="AL36" s="175">
        <f t="shared" si="65"/>
        <v>0</v>
      </c>
      <c r="AM36" s="175">
        <f t="shared" si="66"/>
        <v>0</v>
      </c>
      <c r="AN36" s="175">
        <f t="shared" si="67"/>
        <v>0</v>
      </c>
      <c r="AO36" s="175">
        <f t="shared" si="68"/>
        <v>0</v>
      </c>
      <c r="AP36" s="207">
        <f t="shared" si="69"/>
        <v>0</v>
      </c>
      <c r="AQ36" s="206">
        <f t="shared" si="70"/>
        <v>0</v>
      </c>
      <c r="AR36" s="175">
        <f t="shared" si="71"/>
        <v>0</v>
      </c>
      <c r="AS36" s="175">
        <f t="shared" si="72"/>
        <v>0</v>
      </c>
      <c r="AT36" s="175">
        <f t="shared" si="73"/>
        <v>0</v>
      </c>
      <c r="AU36" s="175">
        <f t="shared" si="74"/>
        <v>0</v>
      </c>
      <c r="AV36" s="207">
        <f t="shared" si="75"/>
        <v>0</v>
      </c>
      <c r="AW36" s="59"/>
      <c r="AX36" t="s">
        <v>19618</v>
      </c>
      <c r="AY36" s="109"/>
      <c r="AZ36" s="109"/>
      <c r="BA36" s="109"/>
      <c r="BB36" s="109"/>
      <c r="BC36" s="109"/>
      <c r="BD36" s="109">
        <f t="shared" si="82"/>
        <v>11835</v>
      </c>
      <c r="BE36" s="59"/>
      <c r="BF36" s="59">
        <f t="shared" si="76"/>
        <v>2400</v>
      </c>
      <c r="BG36" s="59">
        <f t="shared" si="77"/>
        <v>1920</v>
      </c>
      <c r="BH36" s="59">
        <f t="shared" si="78"/>
        <v>2080</v>
      </c>
      <c r="BI36" s="59">
        <f t="shared" si="79"/>
        <v>2275</v>
      </c>
      <c r="BJ36" s="59">
        <f t="shared" si="80"/>
        <v>2050</v>
      </c>
      <c r="BK36" s="59">
        <f t="shared" si="81"/>
        <v>1110</v>
      </c>
      <c r="BL36" s="59"/>
    </row>
    <row r="37" spans="1:64" x14ac:dyDescent="0.2">
      <c r="A37">
        <f>+SUMIFS(Quest!$J:$J,Quest!$H:$H,QDrop!A$1,Quest!$N:$N,QDrop!$G37)</f>
        <v>2</v>
      </c>
      <c r="B37">
        <f>+SUMIFS(Quest!$J:$J,Quest!$H:$H,QDrop!B$1,Quest!$N:$N,QDrop!$G37)</f>
        <v>2</v>
      </c>
      <c r="C37">
        <f>+SUMIFS(Quest!$J:$J,Quest!$H:$H,QDrop!C$1,Quest!$N:$N,QDrop!$G37)</f>
        <v>2</v>
      </c>
      <c r="D37">
        <f>+SUMIFS(Quest!$J:$J,Quest!$H:$H,QDrop!D$1,Quest!$N:$N,QDrop!$G37)</f>
        <v>2</v>
      </c>
      <c r="E37">
        <f>+SUMIFS(Quest!$J:$J,Quest!$H:$H,QDrop!E$1,Quest!$N:$N,QDrop!$G37)</f>
        <v>2</v>
      </c>
      <c r="F37">
        <f>+SUMIFS(Quest!$J:$J,Quest!$H:$H,QDrop!F$1,Quest!$N:$N,QDrop!$G37)</f>
        <v>1</v>
      </c>
      <c r="G37" t="s">
        <v>18362</v>
      </c>
      <c r="H37">
        <v>2</v>
      </c>
      <c r="I37" t="s">
        <v>19599</v>
      </c>
      <c r="J37">
        <v>1</v>
      </c>
      <c r="K37" t="s">
        <v>19600</v>
      </c>
      <c r="L37">
        <v>1</v>
      </c>
      <c r="M37" t="s">
        <v>19601</v>
      </c>
      <c r="N37">
        <v>1</v>
      </c>
      <c r="O37" t="s">
        <v>19603</v>
      </c>
      <c r="S37" s="206">
        <f t="shared" si="46"/>
        <v>4</v>
      </c>
      <c r="T37" s="175">
        <f t="shared" si="47"/>
        <v>4</v>
      </c>
      <c r="U37" s="175">
        <f t="shared" si="48"/>
        <v>4</v>
      </c>
      <c r="V37" s="175">
        <f t="shared" si="49"/>
        <v>4</v>
      </c>
      <c r="W37" s="175">
        <f t="shared" si="50"/>
        <v>4</v>
      </c>
      <c r="X37" s="207">
        <f t="shared" si="51"/>
        <v>2</v>
      </c>
      <c r="Y37" s="206">
        <f t="shared" si="52"/>
        <v>2</v>
      </c>
      <c r="Z37" s="175">
        <f t="shared" si="53"/>
        <v>2</v>
      </c>
      <c r="AA37" s="175">
        <f t="shared" si="54"/>
        <v>2</v>
      </c>
      <c r="AB37" s="175">
        <f t="shared" si="55"/>
        <v>2</v>
      </c>
      <c r="AC37" s="175">
        <f t="shared" si="56"/>
        <v>2</v>
      </c>
      <c r="AD37" s="207">
        <f t="shared" si="57"/>
        <v>1</v>
      </c>
      <c r="AE37" s="206">
        <f t="shared" si="58"/>
        <v>2</v>
      </c>
      <c r="AF37" s="175">
        <f t="shared" si="59"/>
        <v>2</v>
      </c>
      <c r="AG37" s="175">
        <f t="shared" si="60"/>
        <v>2</v>
      </c>
      <c r="AH37" s="175">
        <f t="shared" si="61"/>
        <v>2</v>
      </c>
      <c r="AI37" s="175">
        <f t="shared" si="62"/>
        <v>2</v>
      </c>
      <c r="AJ37" s="207">
        <f t="shared" si="63"/>
        <v>1</v>
      </c>
      <c r="AK37" s="206">
        <f t="shared" si="64"/>
        <v>2</v>
      </c>
      <c r="AL37" s="175">
        <f t="shared" si="65"/>
        <v>2</v>
      </c>
      <c r="AM37" s="175">
        <f t="shared" si="66"/>
        <v>2</v>
      </c>
      <c r="AN37" s="175">
        <f t="shared" si="67"/>
        <v>2</v>
      </c>
      <c r="AO37" s="175">
        <f t="shared" si="68"/>
        <v>2</v>
      </c>
      <c r="AP37" s="207">
        <f t="shared" si="69"/>
        <v>1</v>
      </c>
      <c r="AQ37" s="206">
        <f t="shared" si="70"/>
        <v>0</v>
      </c>
      <c r="AR37" s="175">
        <f t="shared" si="71"/>
        <v>0</v>
      </c>
      <c r="AS37" s="175">
        <f t="shared" si="72"/>
        <v>0</v>
      </c>
      <c r="AT37" s="175">
        <f t="shared" si="73"/>
        <v>0</v>
      </c>
      <c r="AU37" s="175">
        <f t="shared" si="74"/>
        <v>0</v>
      </c>
      <c r="AV37" s="207">
        <f t="shared" si="75"/>
        <v>0</v>
      </c>
      <c r="AW37" s="59"/>
      <c r="AX37" t="s">
        <v>19606</v>
      </c>
      <c r="AY37" s="109"/>
      <c r="AZ37" s="109"/>
      <c r="BA37" s="109"/>
      <c r="BB37" s="109"/>
      <c r="BC37" s="109"/>
      <c r="BD37" s="109">
        <f t="shared" si="82"/>
        <v>22</v>
      </c>
      <c r="BE37" s="59"/>
      <c r="BF37" s="59">
        <f t="shared" si="76"/>
        <v>22</v>
      </c>
      <c r="BG37" s="59">
        <f t="shared" si="77"/>
        <v>0</v>
      </c>
      <c r="BH37" s="59">
        <f t="shared" si="78"/>
        <v>0</v>
      </c>
      <c r="BI37" s="59">
        <f t="shared" si="79"/>
        <v>0</v>
      </c>
      <c r="BJ37" s="59">
        <f t="shared" si="80"/>
        <v>0</v>
      </c>
      <c r="BK37" s="59">
        <f t="shared" si="81"/>
        <v>0</v>
      </c>
      <c r="BL37" s="59"/>
    </row>
    <row r="38" spans="1:64" x14ac:dyDescent="0.2">
      <c r="A38">
        <f>+SUMIFS(Quest!$J:$J,Quest!$H:$H,QDrop!A$1,Quest!$N:$N,QDrop!$G38)</f>
        <v>2</v>
      </c>
      <c r="B38">
        <f>+SUMIFS(Quest!$J:$J,Quest!$H:$H,QDrop!B$1,Quest!$N:$N,QDrop!$G38)</f>
        <v>2</v>
      </c>
      <c r="C38">
        <f>+SUMIFS(Quest!$J:$J,Quest!$H:$H,QDrop!C$1,Quest!$N:$N,QDrop!$G38)</f>
        <v>2</v>
      </c>
      <c r="D38">
        <f>+SUMIFS(Quest!$J:$J,Quest!$H:$H,QDrop!D$1,Quest!$N:$N,QDrop!$G38)</f>
        <v>2</v>
      </c>
      <c r="E38">
        <f>+SUMIFS(Quest!$J:$J,Quest!$H:$H,QDrop!E$1,Quest!$N:$N,QDrop!$G38)</f>
        <v>2</v>
      </c>
      <c r="F38">
        <f>+SUMIFS(Quest!$J:$J,Quest!$H:$H,QDrop!F$1,Quest!$N:$N,QDrop!$G38)</f>
        <v>1</v>
      </c>
      <c r="G38" t="s">
        <v>18364</v>
      </c>
      <c r="H38">
        <v>2</v>
      </c>
      <c r="I38" t="s">
        <v>19599</v>
      </c>
      <c r="J38">
        <v>2</v>
      </c>
      <c r="K38" t="s">
        <v>19600</v>
      </c>
      <c r="L38">
        <v>1</v>
      </c>
      <c r="M38" t="s">
        <v>19601</v>
      </c>
      <c r="N38">
        <v>1</v>
      </c>
      <c r="O38" t="s">
        <v>19603</v>
      </c>
      <c r="P38">
        <v>1</v>
      </c>
      <c r="Q38" t="s">
        <v>19604</v>
      </c>
      <c r="S38" s="206">
        <f t="shared" si="46"/>
        <v>4</v>
      </c>
      <c r="T38" s="175">
        <f t="shared" si="47"/>
        <v>4</v>
      </c>
      <c r="U38" s="175">
        <f t="shared" si="48"/>
        <v>4</v>
      </c>
      <c r="V38" s="175">
        <f t="shared" si="49"/>
        <v>4</v>
      </c>
      <c r="W38" s="175">
        <f t="shared" si="50"/>
        <v>4</v>
      </c>
      <c r="X38" s="207">
        <f t="shared" si="51"/>
        <v>2</v>
      </c>
      <c r="Y38" s="206">
        <f t="shared" si="52"/>
        <v>4</v>
      </c>
      <c r="Z38" s="175">
        <f t="shared" si="53"/>
        <v>4</v>
      </c>
      <c r="AA38" s="175">
        <f t="shared" si="54"/>
        <v>4</v>
      </c>
      <c r="AB38" s="175">
        <f t="shared" si="55"/>
        <v>4</v>
      </c>
      <c r="AC38" s="175">
        <f t="shared" si="56"/>
        <v>4</v>
      </c>
      <c r="AD38" s="207">
        <f t="shared" si="57"/>
        <v>2</v>
      </c>
      <c r="AE38" s="206">
        <f t="shared" si="58"/>
        <v>2</v>
      </c>
      <c r="AF38" s="175">
        <f t="shared" si="59"/>
        <v>2</v>
      </c>
      <c r="AG38" s="175">
        <f t="shared" si="60"/>
        <v>2</v>
      </c>
      <c r="AH38" s="175">
        <f t="shared" si="61"/>
        <v>2</v>
      </c>
      <c r="AI38" s="175">
        <f t="shared" si="62"/>
        <v>2</v>
      </c>
      <c r="AJ38" s="207">
        <f t="shared" si="63"/>
        <v>1</v>
      </c>
      <c r="AK38" s="206">
        <f t="shared" si="64"/>
        <v>2</v>
      </c>
      <c r="AL38" s="175">
        <f t="shared" si="65"/>
        <v>2</v>
      </c>
      <c r="AM38" s="175">
        <f t="shared" si="66"/>
        <v>2</v>
      </c>
      <c r="AN38" s="175">
        <f t="shared" si="67"/>
        <v>2</v>
      </c>
      <c r="AO38" s="175">
        <f t="shared" si="68"/>
        <v>2</v>
      </c>
      <c r="AP38" s="207">
        <f t="shared" si="69"/>
        <v>1</v>
      </c>
      <c r="AQ38" s="206">
        <f t="shared" si="70"/>
        <v>2</v>
      </c>
      <c r="AR38" s="175">
        <f t="shared" si="71"/>
        <v>2</v>
      </c>
      <c r="AS38" s="175">
        <f t="shared" si="72"/>
        <v>2</v>
      </c>
      <c r="AT38" s="175">
        <f t="shared" si="73"/>
        <v>2</v>
      </c>
      <c r="AU38" s="175">
        <f t="shared" si="74"/>
        <v>2</v>
      </c>
      <c r="AV38" s="207">
        <f t="shared" si="75"/>
        <v>1</v>
      </c>
      <c r="AW38" s="59"/>
      <c r="AX38" t="s">
        <v>19608</v>
      </c>
      <c r="AY38" s="109"/>
      <c r="AZ38" s="109"/>
      <c r="BA38" s="109"/>
      <c r="BB38" s="109"/>
      <c r="BC38" s="109"/>
      <c r="BD38" s="109">
        <f t="shared" si="82"/>
        <v>22</v>
      </c>
      <c r="BE38" s="59"/>
      <c r="BF38" s="59">
        <f t="shared" si="76"/>
        <v>0</v>
      </c>
      <c r="BG38" s="59">
        <f t="shared" si="77"/>
        <v>22</v>
      </c>
      <c r="BH38" s="59">
        <f t="shared" si="78"/>
        <v>0</v>
      </c>
      <c r="BI38" s="59">
        <f t="shared" si="79"/>
        <v>0</v>
      </c>
      <c r="BJ38" s="59">
        <f t="shared" si="80"/>
        <v>0</v>
      </c>
      <c r="BK38" s="59">
        <f t="shared" si="81"/>
        <v>0</v>
      </c>
      <c r="BL38" s="59"/>
    </row>
    <row r="39" spans="1:64" x14ac:dyDescent="0.2">
      <c r="A39">
        <f>+SUMIFS(Quest!$J:$J,Quest!$H:$H,QDrop!A$1,Quest!$N:$N,QDrop!$G39)</f>
        <v>2</v>
      </c>
      <c r="B39">
        <f>+SUMIFS(Quest!$J:$J,Quest!$H:$H,QDrop!B$1,Quest!$N:$N,QDrop!$G39)</f>
        <v>2</v>
      </c>
      <c r="C39">
        <f>+SUMIFS(Quest!$J:$J,Quest!$H:$H,QDrop!C$1,Quest!$N:$N,QDrop!$G39)</f>
        <v>2</v>
      </c>
      <c r="D39">
        <f>+SUMIFS(Quest!$J:$J,Quest!$H:$H,QDrop!D$1,Quest!$N:$N,QDrop!$G39)</f>
        <v>2</v>
      </c>
      <c r="E39">
        <f>+SUMIFS(Quest!$J:$J,Quest!$H:$H,QDrop!E$1,Quest!$N:$N,QDrop!$G39)</f>
        <v>2</v>
      </c>
      <c r="F39">
        <f>+SUMIFS(Quest!$J:$J,Quest!$H:$H,QDrop!F$1,Quest!$N:$N,QDrop!$G39)</f>
        <v>1</v>
      </c>
      <c r="G39" t="s">
        <v>18366</v>
      </c>
      <c r="H39">
        <v>3</v>
      </c>
      <c r="I39" t="s">
        <v>19599</v>
      </c>
      <c r="J39">
        <v>2</v>
      </c>
      <c r="K39" t="s">
        <v>19600</v>
      </c>
      <c r="L39">
        <v>2</v>
      </c>
      <c r="M39" t="s">
        <v>19601</v>
      </c>
      <c r="N39">
        <v>2</v>
      </c>
      <c r="O39" t="s">
        <v>19603</v>
      </c>
      <c r="P39">
        <v>2</v>
      </c>
      <c r="Q39" t="s">
        <v>19604</v>
      </c>
      <c r="S39" s="206">
        <f t="shared" si="46"/>
        <v>6</v>
      </c>
      <c r="T39" s="175">
        <f t="shared" si="47"/>
        <v>6</v>
      </c>
      <c r="U39" s="175">
        <f t="shared" si="48"/>
        <v>6</v>
      </c>
      <c r="V39" s="175">
        <f t="shared" si="49"/>
        <v>6</v>
      </c>
      <c r="W39" s="175">
        <f t="shared" si="50"/>
        <v>6</v>
      </c>
      <c r="X39" s="207">
        <f t="shared" si="51"/>
        <v>3</v>
      </c>
      <c r="Y39" s="206">
        <f t="shared" si="52"/>
        <v>4</v>
      </c>
      <c r="Z39" s="175">
        <f t="shared" si="53"/>
        <v>4</v>
      </c>
      <c r="AA39" s="175">
        <f t="shared" si="54"/>
        <v>4</v>
      </c>
      <c r="AB39" s="175">
        <f t="shared" si="55"/>
        <v>4</v>
      </c>
      <c r="AC39" s="175">
        <f t="shared" si="56"/>
        <v>4</v>
      </c>
      <c r="AD39" s="207">
        <f t="shared" si="57"/>
        <v>2</v>
      </c>
      <c r="AE39" s="206">
        <f t="shared" si="58"/>
        <v>4</v>
      </c>
      <c r="AF39" s="175">
        <f t="shared" si="59"/>
        <v>4</v>
      </c>
      <c r="AG39" s="175">
        <f t="shared" si="60"/>
        <v>4</v>
      </c>
      <c r="AH39" s="175">
        <f t="shared" si="61"/>
        <v>4</v>
      </c>
      <c r="AI39" s="175">
        <f t="shared" si="62"/>
        <v>4</v>
      </c>
      <c r="AJ39" s="207">
        <f t="shared" si="63"/>
        <v>2</v>
      </c>
      <c r="AK39" s="206">
        <f t="shared" si="64"/>
        <v>4</v>
      </c>
      <c r="AL39" s="175">
        <f t="shared" si="65"/>
        <v>4</v>
      </c>
      <c r="AM39" s="175">
        <f t="shared" si="66"/>
        <v>4</v>
      </c>
      <c r="AN39" s="175">
        <f t="shared" si="67"/>
        <v>4</v>
      </c>
      <c r="AO39" s="175">
        <f t="shared" si="68"/>
        <v>4</v>
      </c>
      <c r="AP39" s="207">
        <f t="shared" si="69"/>
        <v>2</v>
      </c>
      <c r="AQ39" s="206">
        <f t="shared" si="70"/>
        <v>4</v>
      </c>
      <c r="AR39" s="175">
        <f t="shared" si="71"/>
        <v>4</v>
      </c>
      <c r="AS39" s="175">
        <f t="shared" si="72"/>
        <v>4</v>
      </c>
      <c r="AT39" s="175">
        <f t="shared" si="73"/>
        <v>4</v>
      </c>
      <c r="AU39" s="175">
        <f t="shared" si="74"/>
        <v>4</v>
      </c>
      <c r="AV39" s="207">
        <f t="shared" si="75"/>
        <v>2</v>
      </c>
      <c r="AW39" s="59"/>
      <c r="AX39" t="s">
        <v>19614</v>
      </c>
      <c r="AY39" s="109"/>
      <c r="AZ39" s="109"/>
      <c r="BA39" s="109"/>
      <c r="BB39" s="109"/>
      <c r="BC39" s="109"/>
      <c r="BD39" s="109">
        <f t="shared" si="82"/>
        <v>22</v>
      </c>
      <c r="BE39" s="59"/>
      <c r="BF39" s="59">
        <f t="shared" si="76"/>
        <v>0</v>
      </c>
      <c r="BG39" s="59">
        <f t="shared" si="77"/>
        <v>0</v>
      </c>
      <c r="BH39" s="59">
        <f t="shared" si="78"/>
        <v>0</v>
      </c>
      <c r="BI39" s="59">
        <f t="shared" si="79"/>
        <v>22</v>
      </c>
      <c r="BJ39" s="59">
        <f t="shared" si="80"/>
        <v>0</v>
      </c>
      <c r="BK39" s="59">
        <f t="shared" si="81"/>
        <v>0</v>
      </c>
      <c r="BL39" s="59"/>
    </row>
    <row r="40" spans="1:64" x14ac:dyDescent="0.2">
      <c r="A40">
        <f>+SUMIFS(Quest!$J:$J,Quest!$H:$H,QDrop!A$1,Quest!$N:$N,QDrop!$G40)</f>
        <v>3</v>
      </c>
      <c r="B40">
        <f>+SUMIFS(Quest!$J:$J,Quest!$H:$H,QDrop!B$1,Quest!$N:$N,QDrop!$G40)</f>
        <v>2</v>
      </c>
      <c r="C40">
        <f>+SUMIFS(Quest!$J:$J,Quest!$H:$H,QDrop!C$1,Quest!$N:$N,QDrop!$G40)</f>
        <v>3</v>
      </c>
      <c r="D40">
        <f>+SUMIFS(Quest!$J:$J,Quest!$H:$H,QDrop!D$1,Quest!$N:$N,QDrop!$G40)</f>
        <v>2</v>
      </c>
      <c r="E40">
        <f>+SUMIFS(Quest!$J:$J,Quest!$H:$H,QDrop!E$1,Quest!$N:$N,QDrop!$G40)</f>
        <v>2</v>
      </c>
      <c r="F40">
        <f>+SUMIFS(Quest!$J:$J,Quest!$H:$H,QDrop!F$1,Quest!$N:$N,QDrop!$G40)</f>
        <v>0</v>
      </c>
      <c r="G40" t="s">
        <v>18369</v>
      </c>
      <c r="H40">
        <v>3</v>
      </c>
      <c r="I40" t="s">
        <v>19599</v>
      </c>
      <c r="J40">
        <v>3</v>
      </c>
      <c r="K40" t="s">
        <v>19600</v>
      </c>
      <c r="L40">
        <v>3</v>
      </c>
      <c r="M40" t="s">
        <v>19601</v>
      </c>
      <c r="N40">
        <v>3</v>
      </c>
      <c r="O40" t="s">
        <v>19603</v>
      </c>
      <c r="P40">
        <v>3</v>
      </c>
      <c r="Q40" t="s">
        <v>19604</v>
      </c>
      <c r="S40" s="206">
        <f t="shared" si="46"/>
        <v>9</v>
      </c>
      <c r="T40" s="175">
        <f t="shared" si="47"/>
        <v>6</v>
      </c>
      <c r="U40" s="175">
        <f t="shared" si="48"/>
        <v>9</v>
      </c>
      <c r="V40" s="175">
        <f t="shared" si="49"/>
        <v>6</v>
      </c>
      <c r="W40" s="175">
        <f t="shared" si="50"/>
        <v>6</v>
      </c>
      <c r="X40" s="207">
        <f t="shared" si="51"/>
        <v>0</v>
      </c>
      <c r="Y40" s="206">
        <f t="shared" si="52"/>
        <v>9</v>
      </c>
      <c r="Z40" s="175">
        <f t="shared" si="53"/>
        <v>6</v>
      </c>
      <c r="AA40" s="175">
        <f t="shared" si="54"/>
        <v>9</v>
      </c>
      <c r="AB40" s="175">
        <f t="shared" si="55"/>
        <v>6</v>
      </c>
      <c r="AC40" s="175">
        <f t="shared" si="56"/>
        <v>6</v>
      </c>
      <c r="AD40" s="207">
        <f t="shared" si="57"/>
        <v>0</v>
      </c>
      <c r="AE40" s="206">
        <f t="shared" si="58"/>
        <v>9</v>
      </c>
      <c r="AF40" s="175">
        <f t="shared" si="59"/>
        <v>6</v>
      </c>
      <c r="AG40" s="175">
        <f t="shared" si="60"/>
        <v>9</v>
      </c>
      <c r="AH40" s="175">
        <f t="shared" si="61"/>
        <v>6</v>
      </c>
      <c r="AI40" s="175">
        <f t="shared" si="62"/>
        <v>6</v>
      </c>
      <c r="AJ40" s="207">
        <f t="shared" si="63"/>
        <v>0</v>
      </c>
      <c r="AK40" s="206">
        <f t="shared" si="64"/>
        <v>9</v>
      </c>
      <c r="AL40" s="175">
        <f t="shared" si="65"/>
        <v>6</v>
      </c>
      <c r="AM40" s="175">
        <f t="shared" si="66"/>
        <v>9</v>
      </c>
      <c r="AN40" s="175">
        <f t="shared" si="67"/>
        <v>6</v>
      </c>
      <c r="AO40" s="175">
        <f t="shared" si="68"/>
        <v>6</v>
      </c>
      <c r="AP40" s="207">
        <f t="shared" si="69"/>
        <v>0</v>
      </c>
      <c r="AQ40" s="206">
        <f t="shared" si="70"/>
        <v>9</v>
      </c>
      <c r="AR40" s="175">
        <f t="shared" si="71"/>
        <v>6</v>
      </c>
      <c r="AS40" s="175">
        <f t="shared" si="72"/>
        <v>9</v>
      </c>
      <c r="AT40" s="175">
        <f t="shared" si="73"/>
        <v>6</v>
      </c>
      <c r="AU40" s="175">
        <f t="shared" si="74"/>
        <v>6</v>
      </c>
      <c r="AV40" s="207">
        <f t="shared" si="75"/>
        <v>0</v>
      </c>
      <c r="AW40" s="59"/>
      <c r="AX40" t="s">
        <v>19610</v>
      </c>
      <c r="AY40" s="109"/>
      <c r="AZ40" s="109"/>
      <c r="BA40" s="109"/>
      <c r="BB40" s="109"/>
      <c r="BC40" s="109"/>
      <c r="BD40" s="109">
        <f t="shared" si="82"/>
        <v>22</v>
      </c>
      <c r="BE40" s="59"/>
      <c r="BF40" s="59">
        <f t="shared" si="76"/>
        <v>0</v>
      </c>
      <c r="BG40" s="59">
        <f t="shared" si="77"/>
        <v>0</v>
      </c>
      <c r="BH40" s="59">
        <f t="shared" si="78"/>
        <v>22</v>
      </c>
      <c r="BI40" s="59">
        <f t="shared" si="79"/>
        <v>0</v>
      </c>
      <c r="BJ40" s="59">
        <f t="shared" si="80"/>
        <v>0</v>
      </c>
      <c r="BK40" s="59">
        <f t="shared" si="81"/>
        <v>0</v>
      </c>
      <c r="BL40" s="59"/>
    </row>
    <row r="41" spans="1:64" x14ac:dyDescent="0.2">
      <c r="A41">
        <f>+SUMIFS(Quest!$J:$J,Quest!$H:$H,QDrop!A$1,Quest!$N:$N,QDrop!$G41)</f>
        <v>5</v>
      </c>
      <c r="B41">
        <f>+SUMIFS(Quest!$J:$J,Quest!$H:$H,QDrop!B$1,Quest!$N:$N,QDrop!$G41)</f>
        <v>5</v>
      </c>
      <c r="C41">
        <f>+SUMIFS(Quest!$J:$J,Quest!$H:$H,QDrop!C$1,Quest!$N:$N,QDrop!$G41)</f>
        <v>6</v>
      </c>
      <c r="D41">
        <f>+SUMIFS(Quest!$J:$J,Quest!$H:$H,QDrop!D$1,Quest!$N:$N,QDrop!$G41)</f>
        <v>6</v>
      </c>
      <c r="E41">
        <f>+SUMIFS(Quest!$J:$J,Quest!$H:$H,QDrop!E$1,Quest!$N:$N,QDrop!$G41)</f>
        <v>5</v>
      </c>
      <c r="F41">
        <f>+SUMIFS(Quest!$J:$J,Quest!$H:$H,QDrop!F$1,Quest!$N:$N,QDrop!$G41)</f>
        <v>4</v>
      </c>
      <c r="G41" t="s">
        <v>17925</v>
      </c>
      <c r="H41">
        <v>2</v>
      </c>
      <c r="I41" t="s">
        <v>19601</v>
      </c>
      <c r="J41">
        <v>1</v>
      </c>
      <c r="K41" t="s">
        <v>17350</v>
      </c>
      <c r="S41" s="206">
        <f t="shared" si="46"/>
        <v>10</v>
      </c>
      <c r="T41" s="175">
        <f t="shared" si="47"/>
        <v>10</v>
      </c>
      <c r="U41" s="175">
        <f t="shared" si="48"/>
        <v>12</v>
      </c>
      <c r="V41" s="175">
        <f t="shared" si="49"/>
        <v>12</v>
      </c>
      <c r="W41" s="175">
        <f t="shared" si="50"/>
        <v>10</v>
      </c>
      <c r="X41" s="207">
        <f t="shared" si="51"/>
        <v>8</v>
      </c>
      <c r="Y41" s="206">
        <f t="shared" si="52"/>
        <v>5</v>
      </c>
      <c r="Z41" s="175">
        <f t="shared" si="53"/>
        <v>5</v>
      </c>
      <c r="AA41" s="175">
        <f t="shared" si="54"/>
        <v>6</v>
      </c>
      <c r="AB41" s="175">
        <f t="shared" si="55"/>
        <v>6</v>
      </c>
      <c r="AC41" s="175">
        <f t="shared" si="56"/>
        <v>5</v>
      </c>
      <c r="AD41" s="207">
        <f t="shared" si="57"/>
        <v>4</v>
      </c>
      <c r="AE41" s="206">
        <f t="shared" si="58"/>
        <v>0</v>
      </c>
      <c r="AF41" s="175">
        <f t="shared" si="59"/>
        <v>0</v>
      </c>
      <c r="AG41" s="175">
        <f t="shared" si="60"/>
        <v>0</v>
      </c>
      <c r="AH41" s="175">
        <f t="shared" si="61"/>
        <v>0</v>
      </c>
      <c r="AI41" s="175">
        <f t="shared" si="62"/>
        <v>0</v>
      </c>
      <c r="AJ41" s="207">
        <f t="shared" si="63"/>
        <v>0</v>
      </c>
      <c r="AK41" s="206">
        <f t="shared" si="64"/>
        <v>0</v>
      </c>
      <c r="AL41" s="175">
        <f t="shared" si="65"/>
        <v>0</v>
      </c>
      <c r="AM41" s="175">
        <f t="shared" si="66"/>
        <v>0</v>
      </c>
      <c r="AN41" s="175">
        <f t="shared" si="67"/>
        <v>0</v>
      </c>
      <c r="AO41" s="175">
        <f t="shared" si="68"/>
        <v>0</v>
      </c>
      <c r="AP41" s="207">
        <f t="shared" si="69"/>
        <v>0</v>
      </c>
      <c r="AQ41" s="206">
        <f t="shared" si="70"/>
        <v>0</v>
      </c>
      <c r="AR41" s="175">
        <f t="shared" si="71"/>
        <v>0</v>
      </c>
      <c r="AS41" s="175">
        <f t="shared" si="72"/>
        <v>0</v>
      </c>
      <c r="AT41" s="175">
        <f t="shared" si="73"/>
        <v>0</v>
      </c>
      <c r="AU41" s="175">
        <f t="shared" si="74"/>
        <v>0</v>
      </c>
      <c r="AV41" s="207">
        <f t="shared" si="75"/>
        <v>0</v>
      </c>
      <c r="AW41" s="59"/>
      <c r="AX41" t="s">
        <v>19609</v>
      </c>
      <c r="AY41" s="109"/>
      <c r="AZ41" s="109"/>
      <c r="BA41" s="109"/>
      <c r="BB41" s="109"/>
      <c r="BC41" s="109"/>
      <c r="BD41" s="109">
        <f t="shared" si="82"/>
        <v>22</v>
      </c>
      <c r="BE41" s="59"/>
      <c r="BF41" s="59">
        <f t="shared" si="76"/>
        <v>0</v>
      </c>
      <c r="BG41" s="59">
        <f t="shared" si="77"/>
        <v>22</v>
      </c>
      <c r="BH41" s="59">
        <f t="shared" si="78"/>
        <v>0</v>
      </c>
      <c r="BI41" s="59">
        <f t="shared" si="79"/>
        <v>0</v>
      </c>
      <c r="BJ41" s="59">
        <f t="shared" si="80"/>
        <v>0</v>
      </c>
      <c r="BK41" s="59">
        <f t="shared" si="81"/>
        <v>0</v>
      </c>
      <c r="BL41" s="59"/>
    </row>
    <row r="42" spans="1:64" x14ac:dyDescent="0.2">
      <c r="A42">
        <f>+SUMIFS(Quest!$J:$J,Quest!$H:$H,QDrop!A$1,Quest!$N:$N,QDrop!$G42)</f>
        <v>5</v>
      </c>
      <c r="B42">
        <f>+SUMIFS(Quest!$J:$J,Quest!$H:$H,QDrop!B$1,Quest!$N:$N,QDrop!$G42)</f>
        <v>5</v>
      </c>
      <c r="C42">
        <f>+SUMIFS(Quest!$J:$J,Quest!$H:$H,QDrop!C$1,Quest!$N:$N,QDrop!$G42)</f>
        <v>6</v>
      </c>
      <c r="D42">
        <f>+SUMIFS(Quest!$J:$J,Quest!$H:$H,QDrop!D$1,Quest!$N:$N,QDrop!$G42)</f>
        <v>6</v>
      </c>
      <c r="E42">
        <f>+SUMIFS(Quest!$J:$J,Quest!$H:$H,QDrop!E$1,Quest!$N:$N,QDrop!$G42)</f>
        <v>5</v>
      </c>
      <c r="F42">
        <f>+SUMIFS(Quest!$J:$J,Quest!$H:$H,QDrop!F$1,Quest!$N:$N,QDrop!$G42)</f>
        <v>4</v>
      </c>
      <c r="G42" t="s">
        <v>17927</v>
      </c>
      <c r="H42">
        <v>3</v>
      </c>
      <c r="I42" t="s">
        <v>19601</v>
      </c>
      <c r="J42">
        <v>2</v>
      </c>
      <c r="K42" t="s">
        <v>19602</v>
      </c>
      <c r="L42">
        <v>1</v>
      </c>
      <c r="M42" t="s">
        <v>17350</v>
      </c>
      <c r="S42" s="206">
        <f t="shared" si="46"/>
        <v>15</v>
      </c>
      <c r="T42" s="175">
        <f t="shared" si="47"/>
        <v>15</v>
      </c>
      <c r="U42" s="175">
        <f t="shared" si="48"/>
        <v>18</v>
      </c>
      <c r="V42" s="175">
        <f t="shared" si="49"/>
        <v>18</v>
      </c>
      <c r="W42" s="175">
        <f t="shared" si="50"/>
        <v>15</v>
      </c>
      <c r="X42" s="207">
        <f t="shared" si="51"/>
        <v>12</v>
      </c>
      <c r="Y42" s="206">
        <f t="shared" si="52"/>
        <v>10</v>
      </c>
      <c r="Z42" s="175">
        <f t="shared" si="53"/>
        <v>10</v>
      </c>
      <c r="AA42" s="175">
        <f t="shared" si="54"/>
        <v>12</v>
      </c>
      <c r="AB42" s="175">
        <f t="shared" si="55"/>
        <v>12</v>
      </c>
      <c r="AC42" s="175">
        <f t="shared" si="56"/>
        <v>10</v>
      </c>
      <c r="AD42" s="207">
        <f t="shared" si="57"/>
        <v>8</v>
      </c>
      <c r="AE42" s="206">
        <f t="shared" si="58"/>
        <v>5</v>
      </c>
      <c r="AF42" s="175">
        <f t="shared" si="59"/>
        <v>5</v>
      </c>
      <c r="AG42" s="175">
        <f t="shared" si="60"/>
        <v>6</v>
      </c>
      <c r="AH42" s="175">
        <f t="shared" si="61"/>
        <v>6</v>
      </c>
      <c r="AI42" s="175">
        <f t="shared" si="62"/>
        <v>5</v>
      </c>
      <c r="AJ42" s="207">
        <f t="shared" si="63"/>
        <v>4</v>
      </c>
      <c r="AK42" s="206">
        <f t="shared" si="64"/>
        <v>0</v>
      </c>
      <c r="AL42" s="175">
        <f t="shared" si="65"/>
        <v>0</v>
      </c>
      <c r="AM42" s="175">
        <f t="shared" si="66"/>
        <v>0</v>
      </c>
      <c r="AN42" s="175">
        <f t="shared" si="67"/>
        <v>0</v>
      </c>
      <c r="AO42" s="175">
        <f t="shared" si="68"/>
        <v>0</v>
      </c>
      <c r="AP42" s="207">
        <f t="shared" si="69"/>
        <v>0</v>
      </c>
      <c r="AQ42" s="206">
        <f t="shared" si="70"/>
        <v>0</v>
      </c>
      <c r="AR42" s="175">
        <f t="shared" si="71"/>
        <v>0</v>
      </c>
      <c r="AS42" s="175">
        <f t="shared" si="72"/>
        <v>0</v>
      </c>
      <c r="AT42" s="175">
        <f t="shared" si="73"/>
        <v>0</v>
      </c>
      <c r="AU42" s="175">
        <f t="shared" si="74"/>
        <v>0</v>
      </c>
      <c r="AV42" s="207">
        <f t="shared" si="75"/>
        <v>0</v>
      </c>
      <c r="AW42" s="59"/>
      <c r="AX42" t="s">
        <v>19607</v>
      </c>
      <c r="AY42" s="109"/>
      <c r="AZ42" s="109"/>
      <c r="BA42" s="109"/>
      <c r="BB42" s="109"/>
      <c r="BC42" s="109"/>
      <c r="BD42" s="109">
        <f t="shared" si="82"/>
        <v>22</v>
      </c>
      <c r="BE42" s="59"/>
      <c r="BF42" s="59">
        <f t="shared" si="76"/>
        <v>22</v>
      </c>
      <c r="BG42" s="59">
        <f t="shared" si="77"/>
        <v>0</v>
      </c>
      <c r="BH42" s="59">
        <f t="shared" si="78"/>
        <v>0</v>
      </c>
      <c r="BI42" s="59">
        <f t="shared" si="79"/>
        <v>0</v>
      </c>
      <c r="BJ42" s="59">
        <f t="shared" si="80"/>
        <v>0</v>
      </c>
      <c r="BK42" s="59">
        <f t="shared" si="81"/>
        <v>0</v>
      </c>
      <c r="BL42" s="59"/>
    </row>
    <row r="43" spans="1:64" x14ac:dyDescent="0.2">
      <c r="A43">
        <f>+SUMIFS(Quest!$J:$J,Quest!$H:$H,QDrop!A$1,Quest!$N:$N,QDrop!$G43)</f>
        <v>5</v>
      </c>
      <c r="B43">
        <f>+SUMIFS(Quest!$J:$J,Quest!$H:$H,QDrop!B$1,Quest!$N:$N,QDrop!$G43)</f>
        <v>5</v>
      </c>
      <c r="C43">
        <f>+SUMIFS(Quest!$J:$J,Quest!$H:$H,QDrop!C$1,Quest!$N:$N,QDrop!$G43)</f>
        <v>6</v>
      </c>
      <c r="D43">
        <f>+SUMIFS(Quest!$J:$J,Quest!$H:$H,QDrop!D$1,Quest!$N:$N,QDrop!$G43)</f>
        <v>6</v>
      </c>
      <c r="E43">
        <f>+SUMIFS(Quest!$J:$J,Quest!$H:$H,QDrop!E$1,Quest!$N:$N,QDrop!$G43)</f>
        <v>5</v>
      </c>
      <c r="F43">
        <f>+SUMIFS(Quest!$J:$J,Quest!$H:$H,QDrop!F$1,Quest!$N:$N,QDrop!$G43)</f>
        <v>4</v>
      </c>
      <c r="G43" t="s">
        <v>17929</v>
      </c>
      <c r="H43">
        <v>5</v>
      </c>
      <c r="I43" t="s">
        <v>19601</v>
      </c>
      <c r="J43">
        <v>4</v>
      </c>
      <c r="K43" t="s">
        <v>19602</v>
      </c>
      <c r="L43">
        <v>2</v>
      </c>
      <c r="M43" t="s">
        <v>17350</v>
      </c>
      <c r="S43" s="206">
        <f t="shared" si="46"/>
        <v>25</v>
      </c>
      <c r="T43" s="175">
        <f t="shared" si="47"/>
        <v>25</v>
      </c>
      <c r="U43" s="175">
        <f t="shared" si="48"/>
        <v>30</v>
      </c>
      <c r="V43" s="175">
        <f t="shared" si="49"/>
        <v>30</v>
      </c>
      <c r="W43" s="175">
        <f t="shared" si="50"/>
        <v>25</v>
      </c>
      <c r="X43" s="207">
        <f t="shared" si="51"/>
        <v>20</v>
      </c>
      <c r="Y43" s="206">
        <f t="shared" si="52"/>
        <v>20</v>
      </c>
      <c r="Z43" s="175">
        <f t="shared" si="53"/>
        <v>20</v>
      </c>
      <c r="AA43" s="175">
        <f t="shared" si="54"/>
        <v>24</v>
      </c>
      <c r="AB43" s="175">
        <f t="shared" si="55"/>
        <v>24</v>
      </c>
      <c r="AC43" s="175">
        <f t="shared" si="56"/>
        <v>20</v>
      </c>
      <c r="AD43" s="207">
        <f t="shared" si="57"/>
        <v>16</v>
      </c>
      <c r="AE43" s="206">
        <f t="shared" si="58"/>
        <v>10</v>
      </c>
      <c r="AF43" s="175">
        <f t="shared" si="59"/>
        <v>10</v>
      </c>
      <c r="AG43" s="175">
        <f t="shared" si="60"/>
        <v>12</v>
      </c>
      <c r="AH43" s="175">
        <f t="shared" si="61"/>
        <v>12</v>
      </c>
      <c r="AI43" s="175">
        <f t="shared" si="62"/>
        <v>10</v>
      </c>
      <c r="AJ43" s="207">
        <f t="shared" si="63"/>
        <v>8</v>
      </c>
      <c r="AK43" s="206">
        <f t="shared" si="64"/>
        <v>0</v>
      </c>
      <c r="AL43" s="175">
        <f t="shared" si="65"/>
        <v>0</v>
      </c>
      <c r="AM43" s="175">
        <f t="shared" si="66"/>
        <v>0</v>
      </c>
      <c r="AN43" s="175">
        <f t="shared" si="67"/>
        <v>0</v>
      </c>
      <c r="AO43" s="175">
        <f t="shared" si="68"/>
        <v>0</v>
      </c>
      <c r="AP43" s="207">
        <f t="shared" si="69"/>
        <v>0</v>
      </c>
      <c r="AQ43" s="206">
        <f t="shared" si="70"/>
        <v>0</v>
      </c>
      <c r="AR43" s="175">
        <f t="shared" si="71"/>
        <v>0</v>
      </c>
      <c r="AS43" s="175">
        <f t="shared" si="72"/>
        <v>0</v>
      </c>
      <c r="AT43" s="175">
        <f t="shared" si="73"/>
        <v>0</v>
      </c>
      <c r="AU43" s="175">
        <f t="shared" si="74"/>
        <v>0</v>
      </c>
      <c r="AV43" s="207">
        <f t="shared" si="75"/>
        <v>0</v>
      </c>
      <c r="AW43" s="59"/>
      <c r="AX43" t="s">
        <v>19611</v>
      </c>
      <c r="AY43" s="109"/>
      <c r="AZ43" s="109"/>
      <c r="BA43" s="109"/>
      <c r="BB43" s="109"/>
      <c r="BC43" s="109"/>
      <c r="BD43" s="109">
        <f t="shared" si="82"/>
        <v>22</v>
      </c>
      <c r="BE43" s="59"/>
      <c r="BF43" s="59">
        <f t="shared" si="76"/>
        <v>0</v>
      </c>
      <c r="BG43" s="59">
        <f t="shared" si="77"/>
        <v>0</v>
      </c>
      <c r="BH43" s="59">
        <f t="shared" si="78"/>
        <v>22</v>
      </c>
      <c r="BI43" s="59">
        <f t="shared" si="79"/>
        <v>0</v>
      </c>
      <c r="BJ43" s="59">
        <f t="shared" si="80"/>
        <v>0</v>
      </c>
      <c r="BK43" s="59">
        <f t="shared" si="81"/>
        <v>0</v>
      </c>
      <c r="BL43" s="59"/>
    </row>
    <row r="44" spans="1:64" x14ac:dyDescent="0.2">
      <c r="A44">
        <f>+SUMIFS(Quest!$J:$J,Quest!$H:$H,QDrop!A$1,Quest!$N:$N,QDrop!$G44)</f>
        <v>0</v>
      </c>
      <c r="B44">
        <f>+SUMIFS(Quest!$J:$J,Quest!$H:$H,QDrop!B$1,Quest!$N:$N,QDrop!$G44)</f>
        <v>0</v>
      </c>
      <c r="C44">
        <f>+SUMIFS(Quest!$J:$J,Quest!$H:$H,QDrop!C$1,Quest!$N:$N,QDrop!$G44)</f>
        <v>0</v>
      </c>
      <c r="D44">
        <f>+SUMIFS(Quest!$J:$J,Quest!$H:$H,QDrop!D$1,Quest!$N:$N,QDrop!$G44)</f>
        <v>0</v>
      </c>
      <c r="E44">
        <f>+SUMIFS(Quest!$J:$J,Quest!$H:$H,QDrop!E$1,Quest!$N:$N,QDrop!$G44)</f>
        <v>0</v>
      </c>
      <c r="F44">
        <f>+SUMIFS(Quest!$J:$J,Quest!$H:$H,QDrop!F$1,Quest!$N:$N,QDrop!$G44)</f>
        <v>10</v>
      </c>
      <c r="G44" t="s">
        <v>15620</v>
      </c>
      <c r="H44">
        <v>2</v>
      </c>
      <c r="I44" t="s">
        <v>17350</v>
      </c>
      <c r="S44" s="206">
        <f t="shared" si="46"/>
        <v>0</v>
      </c>
      <c r="T44" s="175">
        <f t="shared" si="47"/>
        <v>0</v>
      </c>
      <c r="U44" s="175">
        <f t="shared" si="48"/>
        <v>0</v>
      </c>
      <c r="V44" s="175">
        <f t="shared" si="49"/>
        <v>0</v>
      </c>
      <c r="W44" s="175">
        <f t="shared" si="50"/>
        <v>0</v>
      </c>
      <c r="X44" s="207">
        <f t="shared" si="51"/>
        <v>20</v>
      </c>
      <c r="Y44" s="206">
        <f t="shared" si="52"/>
        <v>0</v>
      </c>
      <c r="Z44" s="175">
        <f t="shared" si="53"/>
        <v>0</v>
      </c>
      <c r="AA44" s="175">
        <f t="shared" si="54"/>
        <v>0</v>
      </c>
      <c r="AB44" s="175">
        <f t="shared" si="55"/>
        <v>0</v>
      </c>
      <c r="AC44" s="175">
        <f t="shared" si="56"/>
        <v>0</v>
      </c>
      <c r="AD44" s="207">
        <f t="shared" si="57"/>
        <v>0</v>
      </c>
      <c r="AE44" s="206">
        <f t="shared" si="58"/>
        <v>0</v>
      </c>
      <c r="AF44" s="175">
        <f t="shared" si="59"/>
        <v>0</v>
      </c>
      <c r="AG44" s="175">
        <f t="shared" si="60"/>
        <v>0</v>
      </c>
      <c r="AH44" s="175">
        <f t="shared" si="61"/>
        <v>0</v>
      </c>
      <c r="AI44" s="175">
        <f t="shared" si="62"/>
        <v>0</v>
      </c>
      <c r="AJ44" s="207">
        <f t="shared" si="63"/>
        <v>0</v>
      </c>
      <c r="AK44" s="206">
        <f t="shared" si="64"/>
        <v>0</v>
      </c>
      <c r="AL44" s="175">
        <f t="shared" si="65"/>
        <v>0</v>
      </c>
      <c r="AM44" s="175">
        <f t="shared" si="66"/>
        <v>0</v>
      </c>
      <c r="AN44" s="175">
        <f t="shared" si="67"/>
        <v>0</v>
      </c>
      <c r="AO44" s="175">
        <f t="shared" si="68"/>
        <v>0</v>
      </c>
      <c r="AP44" s="207">
        <f t="shared" si="69"/>
        <v>0</v>
      </c>
      <c r="AQ44" s="206">
        <f t="shared" si="70"/>
        <v>0</v>
      </c>
      <c r="AR44" s="175">
        <f t="shared" si="71"/>
        <v>0</v>
      </c>
      <c r="AS44" s="175">
        <f t="shared" si="72"/>
        <v>0</v>
      </c>
      <c r="AT44" s="175">
        <f t="shared" si="73"/>
        <v>0</v>
      </c>
      <c r="AU44" s="175">
        <f t="shared" si="74"/>
        <v>0</v>
      </c>
      <c r="AV44" s="207">
        <f t="shared" si="75"/>
        <v>0</v>
      </c>
      <c r="AW44" s="59"/>
      <c r="AX44" t="s">
        <v>19612</v>
      </c>
      <c r="AY44" s="109"/>
      <c r="AZ44" s="109"/>
      <c r="BA44" s="109"/>
      <c r="BB44" s="109"/>
      <c r="BC44" s="109"/>
      <c r="BD44" s="109">
        <f t="shared" si="82"/>
        <v>22</v>
      </c>
      <c r="BE44" s="59"/>
      <c r="BF44" s="59">
        <f t="shared" si="76"/>
        <v>0</v>
      </c>
      <c r="BG44" s="59">
        <f t="shared" si="77"/>
        <v>0</v>
      </c>
      <c r="BH44" s="59">
        <f t="shared" si="78"/>
        <v>0</v>
      </c>
      <c r="BI44" s="59">
        <f t="shared" si="79"/>
        <v>0</v>
      </c>
      <c r="BJ44" s="59">
        <f t="shared" si="80"/>
        <v>22</v>
      </c>
      <c r="BK44" s="59">
        <f t="shared" si="81"/>
        <v>0</v>
      </c>
      <c r="BL44" s="59"/>
    </row>
    <row r="45" spans="1:64" x14ac:dyDescent="0.2">
      <c r="A45">
        <f>+SUMIFS(Quest!$J:$J,Quest!$H:$H,QDrop!A$1,Quest!$N:$N,QDrop!$G45)</f>
        <v>82</v>
      </c>
      <c r="B45">
        <f>+SUMIFS(Quest!$J:$J,Quest!$H:$H,QDrop!B$1,Quest!$N:$N,QDrop!$G45)</f>
        <v>82</v>
      </c>
      <c r="C45">
        <f>+SUMIFS(Quest!$J:$J,Quest!$H:$H,QDrop!C$1,Quest!$N:$N,QDrop!$G45)</f>
        <v>82</v>
      </c>
      <c r="D45">
        <f>+SUMIFS(Quest!$J:$J,Quest!$H:$H,QDrop!D$1,Quest!$N:$N,QDrop!$G45)</f>
        <v>93</v>
      </c>
      <c r="E45">
        <f>+SUMIFS(Quest!$J:$J,Quest!$H:$H,QDrop!E$1,Quest!$N:$N,QDrop!$G45)</f>
        <v>82</v>
      </c>
      <c r="F45">
        <f>+SUMIFS(Quest!$J:$J,Quest!$H:$H,QDrop!F$1,Quest!$N:$N,QDrop!$G45)</f>
        <v>11</v>
      </c>
      <c r="G45" t="s">
        <v>10772</v>
      </c>
      <c r="S45" s="206">
        <f t="shared" si="46"/>
        <v>0</v>
      </c>
      <c r="T45" s="175">
        <f t="shared" si="47"/>
        <v>0</v>
      </c>
      <c r="U45" s="175">
        <f t="shared" si="48"/>
        <v>0</v>
      </c>
      <c r="V45" s="175">
        <f t="shared" si="49"/>
        <v>0</v>
      </c>
      <c r="W45" s="175">
        <f t="shared" si="50"/>
        <v>0</v>
      </c>
      <c r="X45" s="207">
        <f t="shared" si="51"/>
        <v>0</v>
      </c>
      <c r="Y45" s="206">
        <f t="shared" si="52"/>
        <v>0</v>
      </c>
      <c r="Z45" s="175">
        <f t="shared" si="53"/>
        <v>0</v>
      </c>
      <c r="AA45" s="175">
        <f t="shared" si="54"/>
        <v>0</v>
      </c>
      <c r="AB45" s="175">
        <f t="shared" si="55"/>
        <v>0</v>
      </c>
      <c r="AC45" s="175">
        <f t="shared" si="56"/>
        <v>0</v>
      </c>
      <c r="AD45" s="207">
        <f t="shared" si="57"/>
        <v>0</v>
      </c>
      <c r="AE45" s="206">
        <f t="shared" si="58"/>
        <v>0</v>
      </c>
      <c r="AF45" s="175">
        <f t="shared" si="59"/>
        <v>0</v>
      </c>
      <c r="AG45" s="175">
        <f t="shared" si="60"/>
        <v>0</v>
      </c>
      <c r="AH45" s="175">
        <f t="shared" si="61"/>
        <v>0</v>
      </c>
      <c r="AI45" s="175">
        <f t="shared" si="62"/>
        <v>0</v>
      </c>
      <c r="AJ45" s="207">
        <f t="shared" si="63"/>
        <v>0</v>
      </c>
      <c r="AK45" s="206">
        <f t="shared" si="64"/>
        <v>0</v>
      </c>
      <c r="AL45" s="175">
        <f t="shared" si="65"/>
        <v>0</v>
      </c>
      <c r="AM45" s="175">
        <f t="shared" si="66"/>
        <v>0</v>
      </c>
      <c r="AN45" s="175">
        <f t="shared" si="67"/>
        <v>0</v>
      </c>
      <c r="AO45" s="175">
        <f t="shared" si="68"/>
        <v>0</v>
      </c>
      <c r="AP45" s="207">
        <f t="shared" si="69"/>
        <v>0</v>
      </c>
      <c r="AQ45" s="206">
        <f t="shared" si="70"/>
        <v>0</v>
      </c>
      <c r="AR45" s="175">
        <f t="shared" si="71"/>
        <v>0</v>
      </c>
      <c r="AS45" s="175">
        <f t="shared" si="72"/>
        <v>0</v>
      </c>
      <c r="AT45" s="175">
        <f t="shared" si="73"/>
        <v>0</v>
      </c>
      <c r="AU45" s="175">
        <f t="shared" si="74"/>
        <v>0</v>
      </c>
      <c r="AV45" s="207">
        <f t="shared" si="75"/>
        <v>0</v>
      </c>
      <c r="AW45" s="59"/>
      <c r="AX45" t="s">
        <v>19615</v>
      </c>
      <c r="AY45" s="109"/>
      <c r="AZ45" s="109"/>
      <c r="BA45" s="109"/>
      <c r="BB45" s="109"/>
      <c r="BC45" s="109"/>
      <c r="BD45" s="109">
        <f t="shared" si="82"/>
        <v>22</v>
      </c>
      <c r="BE45" s="59"/>
      <c r="BF45" s="59">
        <f t="shared" si="76"/>
        <v>0</v>
      </c>
      <c r="BG45" s="59">
        <f t="shared" si="77"/>
        <v>0</v>
      </c>
      <c r="BH45" s="59">
        <f t="shared" si="78"/>
        <v>0</v>
      </c>
      <c r="BI45" s="59">
        <f t="shared" si="79"/>
        <v>22</v>
      </c>
      <c r="BJ45" s="59">
        <f t="shared" si="80"/>
        <v>0</v>
      </c>
      <c r="BK45" s="59">
        <f t="shared" si="81"/>
        <v>0</v>
      </c>
      <c r="BL45" s="59"/>
    </row>
    <row r="46" spans="1:64" x14ac:dyDescent="0.2">
      <c r="A46">
        <f>+SUMIFS(Quest!$J:$J,Quest!$H:$H,QDrop!A$1,Quest!$N:$N,QDrop!$G46)</f>
        <v>1</v>
      </c>
      <c r="B46">
        <f>+SUMIFS(Quest!$J:$J,Quest!$H:$H,QDrop!B$1,Quest!$N:$N,QDrop!$G46)</f>
        <v>1</v>
      </c>
      <c r="C46">
        <f>+SUMIFS(Quest!$J:$J,Quest!$H:$H,QDrop!C$1,Quest!$N:$N,QDrop!$G46)</f>
        <v>1</v>
      </c>
      <c r="D46">
        <f>+SUMIFS(Quest!$J:$J,Quest!$H:$H,QDrop!D$1,Quest!$N:$N,QDrop!$G46)</f>
        <v>1</v>
      </c>
      <c r="E46">
        <f>+SUMIFS(Quest!$J:$J,Quest!$H:$H,QDrop!E$1,Quest!$N:$N,QDrop!$G46)</f>
        <v>1</v>
      </c>
      <c r="F46">
        <f>+SUMIFS(Quest!$J:$J,Quest!$H:$H,QDrop!F$1,Quest!$N:$N,QDrop!$G46)</f>
        <v>0</v>
      </c>
      <c r="G46" t="s">
        <v>19168</v>
      </c>
      <c r="H46">
        <v>2</v>
      </c>
      <c r="I46" t="s">
        <v>19599</v>
      </c>
      <c r="S46" s="206">
        <f t="shared" si="46"/>
        <v>2</v>
      </c>
      <c r="T46" s="175">
        <f t="shared" si="47"/>
        <v>2</v>
      </c>
      <c r="U46" s="175">
        <f t="shared" si="48"/>
        <v>2</v>
      </c>
      <c r="V46" s="175">
        <f t="shared" si="49"/>
        <v>2</v>
      </c>
      <c r="W46" s="175">
        <f t="shared" si="50"/>
        <v>2</v>
      </c>
      <c r="X46" s="207">
        <f t="shared" si="51"/>
        <v>0</v>
      </c>
      <c r="Y46" s="206">
        <f t="shared" si="52"/>
        <v>0</v>
      </c>
      <c r="Z46" s="175">
        <f t="shared" si="53"/>
        <v>0</v>
      </c>
      <c r="AA46" s="175">
        <f t="shared" si="54"/>
        <v>0</v>
      </c>
      <c r="AB46" s="175">
        <f t="shared" si="55"/>
        <v>0</v>
      </c>
      <c r="AC46" s="175">
        <f t="shared" si="56"/>
        <v>0</v>
      </c>
      <c r="AD46" s="207">
        <f t="shared" si="57"/>
        <v>0</v>
      </c>
      <c r="AE46" s="206">
        <f t="shared" si="58"/>
        <v>0</v>
      </c>
      <c r="AF46" s="175">
        <f t="shared" si="59"/>
        <v>0</v>
      </c>
      <c r="AG46" s="175">
        <f t="shared" si="60"/>
        <v>0</v>
      </c>
      <c r="AH46" s="175">
        <f t="shared" si="61"/>
        <v>0</v>
      </c>
      <c r="AI46" s="175">
        <f t="shared" si="62"/>
        <v>0</v>
      </c>
      <c r="AJ46" s="207">
        <f t="shared" si="63"/>
        <v>0</v>
      </c>
      <c r="AK46" s="206">
        <f t="shared" si="64"/>
        <v>0</v>
      </c>
      <c r="AL46" s="175">
        <f t="shared" si="65"/>
        <v>0</v>
      </c>
      <c r="AM46" s="175">
        <f t="shared" si="66"/>
        <v>0</v>
      </c>
      <c r="AN46" s="175">
        <f t="shared" si="67"/>
        <v>0</v>
      </c>
      <c r="AO46" s="175">
        <f t="shared" si="68"/>
        <v>0</v>
      </c>
      <c r="AP46" s="207">
        <f t="shared" si="69"/>
        <v>0</v>
      </c>
      <c r="AQ46" s="206">
        <f t="shared" si="70"/>
        <v>0</v>
      </c>
      <c r="AR46" s="175">
        <f t="shared" si="71"/>
        <v>0</v>
      </c>
      <c r="AS46" s="175">
        <f t="shared" si="72"/>
        <v>0</v>
      </c>
      <c r="AT46" s="175">
        <f t="shared" si="73"/>
        <v>0</v>
      </c>
      <c r="AU46" s="175">
        <f t="shared" si="74"/>
        <v>0</v>
      </c>
      <c r="AV46" s="207">
        <f t="shared" si="75"/>
        <v>0</v>
      </c>
      <c r="AW46" s="59"/>
      <c r="AX46" t="s">
        <v>17350</v>
      </c>
      <c r="AY46" s="109"/>
      <c r="AZ46" s="109"/>
      <c r="BA46" s="109"/>
      <c r="BB46" s="109"/>
      <c r="BC46" s="109"/>
      <c r="BD46" s="109">
        <f t="shared" si="82"/>
        <v>144</v>
      </c>
      <c r="BE46" s="59"/>
      <c r="BF46" s="59">
        <f t="shared" si="76"/>
        <v>20</v>
      </c>
      <c r="BG46" s="59">
        <f t="shared" si="77"/>
        <v>20</v>
      </c>
      <c r="BH46" s="59">
        <f t="shared" si="78"/>
        <v>24</v>
      </c>
      <c r="BI46" s="59">
        <f t="shared" si="79"/>
        <v>24</v>
      </c>
      <c r="BJ46" s="59">
        <f t="shared" si="80"/>
        <v>20</v>
      </c>
      <c r="BK46" s="59">
        <f t="shared" si="81"/>
        <v>36</v>
      </c>
      <c r="BL46" s="59"/>
    </row>
    <row r="47" spans="1:64" x14ac:dyDescent="0.2">
      <c r="A47">
        <f>+SUMIFS(Quest!$J:$J,Quest!$H:$H,QDrop!A$1,Quest!$N:$N,QDrop!$G47)</f>
        <v>1</v>
      </c>
      <c r="B47">
        <f>+SUMIFS(Quest!$J:$J,Quest!$H:$H,QDrop!B$1,Quest!$N:$N,QDrop!$G47)</f>
        <v>1</v>
      </c>
      <c r="C47">
        <f>+SUMIFS(Quest!$J:$J,Quest!$H:$H,QDrop!C$1,Quest!$N:$N,QDrop!$G47)</f>
        <v>1</v>
      </c>
      <c r="D47">
        <f>+SUMIFS(Quest!$J:$J,Quest!$H:$H,QDrop!D$1,Quest!$N:$N,QDrop!$G47)</f>
        <v>1</v>
      </c>
      <c r="E47">
        <f>+SUMIFS(Quest!$J:$J,Quest!$H:$H,QDrop!E$1,Quest!$N:$N,QDrop!$G47)</f>
        <v>1</v>
      </c>
      <c r="F47">
        <f>+SUMIFS(Quest!$J:$J,Quest!$H:$H,QDrop!F$1,Quest!$N:$N,QDrop!$G47)</f>
        <v>0</v>
      </c>
      <c r="G47" t="s">
        <v>19170</v>
      </c>
      <c r="H47">
        <v>3</v>
      </c>
      <c r="I47" t="s">
        <v>19599</v>
      </c>
      <c r="J47">
        <v>2</v>
      </c>
      <c r="K47" t="s">
        <v>19600</v>
      </c>
      <c r="S47" s="206">
        <f t="shared" si="46"/>
        <v>3</v>
      </c>
      <c r="T47" s="175">
        <f t="shared" si="47"/>
        <v>3</v>
      </c>
      <c r="U47" s="175">
        <f t="shared" si="48"/>
        <v>3</v>
      </c>
      <c r="V47" s="175">
        <f t="shared" si="49"/>
        <v>3</v>
      </c>
      <c r="W47" s="175">
        <f t="shared" si="50"/>
        <v>3</v>
      </c>
      <c r="X47" s="207">
        <f t="shared" si="51"/>
        <v>0</v>
      </c>
      <c r="Y47" s="206">
        <f t="shared" si="52"/>
        <v>2</v>
      </c>
      <c r="Z47" s="175">
        <f t="shared" si="53"/>
        <v>2</v>
      </c>
      <c r="AA47" s="175">
        <f t="shared" si="54"/>
        <v>2</v>
      </c>
      <c r="AB47" s="175">
        <f t="shared" si="55"/>
        <v>2</v>
      </c>
      <c r="AC47" s="175">
        <f t="shared" si="56"/>
        <v>2</v>
      </c>
      <c r="AD47" s="207">
        <f t="shared" si="57"/>
        <v>0</v>
      </c>
      <c r="AE47" s="206">
        <f t="shared" si="58"/>
        <v>0</v>
      </c>
      <c r="AF47" s="175">
        <f t="shared" si="59"/>
        <v>0</v>
      </c>
      <c r="AG47" s="175">
        <f t="shared" si="60"/>
        <v>0</v>
      </c>
      <c r="AH47" s="175">
        <f t="shared" si="61"/>
        <v>0</v>
      </c>
      <c r="AI47" s="175">
        <f t="shared" si="62"/>
        <v>0</v>
      </c>
      <c r="AJ47" s="207">
        <f t="shared" si="63"/>
        <v>0</v>
      </c>
      <c r="AK47" s="206">
        <f t="shared" si="64"/>
        <v>0</v>
      </c>
      <c r="AL47" s="175">
        <f t="shared" si="65"/>
        <v>0</v>
      </c>
      <c r="AM47" s="175">
        <f t="shared" si="66"/>
        <v>0</v>
      </c>
      <c r="AN47" s="175">
        <f t="shared" si="67"/>
        <v>0</v>
      </c>
      <c r="AO47" s="175">
        <f t="shared" si="68"/>
        <v>0</v>
      </c>
      <c r="AP47" s="207">
        <f t="shared" si="69"/>
        <v>0</v>
      </c>
      <c r="AQ47" s="206">
        <f t="shared" si="70"/>
        <v>0</v>
      </c>
      <c r="AR47" s="175">
        <f t="shared" si="71"/>
        <v>0</v>
      </c>
      <c r="AS47" s="175">
        <f t="shared" si="72"/>
        <v>0</v>
      </c>
      <c r="AT47" s="175">
        <f t="shared" si="73"/>
        <v>0</v>
      </c>
      <c r="AU47" s="175">
        <f t="shared" si="74"/>
        <v>0</v>
      </c>
      <c r="AV47" s="207">
        <f t="shared" si="75"/>
        <v>0</v>
      </c>
      <c r="AW47" s="59"/>
      <c r="AX47" t="s">
        <v>19619</v>
      </c>
      <c r="AY47" s="109"/>
      <c r="AZ47" s="109"/>
      <c r="BA47" s="109"/>
      <c r="BB47" s="109"/>
      <c r="BC47" s="109"/>
      <c r="BD47" s="109">
        <f t="shared" si="82"/>
        <v>771</v>
      </c>
      <c r="BE47" s="59"/>
      <c r="BF47" s="59">
        <f t="shared" si="76"/>
        <v>171</v>
      </c>
      <c r="BG47" s="59">
        <f t="shared" si="77"/>
        <v>150</v>
      </c>
      <c r="BH47" s="59">
        <f t="shared" si="78"/>
        <v>150</v>
      </c>
      <c r="BI47" s="59">
        <f t="shared" si="79"/>
        <v>150</v>
      </c>
      <c r="BJ47" s="59">
        <f t="shared" si="80"/>
        <v>150</v>
      </c>
      <c r="BK47" s="59">
        <f t="shared" si="81"/>
        <v>0</v>
      </c>
      <c r="BL47" s="59"/>
    </row>
    <row r="48" spans="1:64" x14ac:dyDescent="0.2">
      <c r="A48">
        <f>+SUMIFS(Quest!$J:$J,Quest!$H:$H,QDrop!A$1,Quest!$N:$N,QDrop!$G48)</f>
        <v>1</v>
      </c>
      <c r="B48">
        <f>+SUMIFS(Quest!$J:$J,Quest!$H:$H,QDrop!B$1,Quest!$N:$N,QDrop!$G48)</f>
        <v>1</v>
      </c>
      <c r="C48">
        <f>+SUMIFS(Quest!$J:$J,Quest!$H:$H,QDrop!C$1,Quest!$N:$N,QDrop!$G48)</f>
        <v>1</v>
      </c>
      <c r="D48">
        <f>+SUMIFS(Quest!$J:$J,Quest!$H:$H,QDrop!D$1,Quest!$N:$N,QDrop!$G48)</f>
        <v>1</v>
      </c>
      <c r="E48">
        <f>+SUMIFS(Quest!$J:$J,Quest!$H:$H,QDrop!E$1,Quest!$N:$N,QDrop!$G48)</f>
        <v>1</v>
      </c>
      <c r="F48">
        <f>+SUMIFS(Quest!$J:$J,Quest!$H:$H,QDrop!F$1,Quest!$N:$N,QDrop!$G48)</f>
        <v>0</v>
      </c>
      <c r="G48" t="s">
        <v>19172</v>
      </c>
      <c r="H48">
        <v>4</v>
      </c>
      <c r="I48" t="s">
        <v>19599</v>
      </c>
      <c r="J48">
        <v>3</v>
      </c>
      <c r="K48" t="s">
        <v>19600</v>
      </c>
      <c r="L48">
        <v>2</v>
      </c>
      <c r="M48" t="s">
        <v>19601</v>
      </c>
      <c r="S48" s="206">
        <f t="shared" ref="S48:S78" si="83">+$H48*A48</f>
        <v>4</v>
      </c>
      <c r="T48" s="175">
        <f t="shared" ref="T48:T78" si="84">+$H48*B48</f>
        <v>4</v>
      </c>
      <c r="U48" s="175">
        <f t="shared" ref="U48:U78" si="85">+$H48*C48</f>
        <v>4</v>
      </c>
      <c r="V48" s="175">
        <f t="shared" ref="V48:V78" si="86">+$H48*D48</f>
        <v>4</v>
      </c>
      <c r="W48" s="175">
        <f t="shared" ref="W48:W78" si="87">+$H48*E48</f>
        <v>4</v>
      </c>
      <c r="X48" s="207">
        <f t="shared" ref="X48:X78" si="88">+$H48*F48</f>
        <v>0</v>
      </c>
      <c r="Y48" s="206">
        <f t="shared" ref="Y48:Y78" si="89">+$J48*A48</f>
        <v>3</v>
      </c>
      <c r="Z48" s="175">
        <f t="shared" ref="Z48:Z78" si="90">+$J48*B48</f>
        <v>3</v>
      </c>
      <c r="AA48" s="175">
        <f t="shared" ref="AA48:AA78" si="91">+$J48*C48</f>
        <v>3</v>
      </c>
      <c r="AB48" s="175">
        <f t="shared" ref="AB48:AB78" si="92">+$J48*D48</f>
        <v>3</v>
      </c>
      <c r="AC48" s="175">
        <f t="shared" ref="AC48:AC78" si="93">+$J48*E48</f>
        <v>3</v>
      </c>
      <c r="AD48" s="207">
        <f t="shared" ref="AD48:AD78" si="94">+$J48*F48</f>
        <v>0</v>
      </c>
      <c r="AE48" s="206">
        <f t="shared" ref="AE48:AE78" si="95">+$L48*A48</f>
        <v>2</v>
      </c>
      <c r="AF48" s="175">
        <f t="shared" ref="AF48:AF78" si="96">+$L48*B48</f>
        <v>2</v>
      </c>
      <c r="AG48" s="175">
        <f t="shared" ref="AG48:AG78" si="97">+$L48*C48</f>
        <v>2</v>
      </c>
      <c r="AH48" s="175">
        <f t="shared" ref="AH48:AH78" si="98">+$L48*D48</f>
        <v>2</v>
      </c>
      <c r="AI48" s="175">
        <f t="shared" ref="AI48:AI78" si="99">+$L48*E48</f>
        <v>2</v>
      </c>
      <c r="AJ48" s="207">
        <f t="shared" ref="AJ48:AJ78" si="100">+$L48*F48</f>
        <v>0</v>
      </c>
      <c r="AK48" s="206">
        <f t="shared" ref="AK48:AK78" si="101">+$N48*A48</f>
        <v>0</v>
      </c>
      <c r="AL48" s="175">
        <f t="shared" ref="AL48:AL78" si="102">+$N48*B48</f>
        <v>0</v>
      </c>
      <c r="AM48" s="175">
        <f t="shared" ref="AM48:AM78" si="103">+$N48*C48</f>
        <v>0</v>
      </c>
      <c r="AN48" s="175">
        <f t="shared" ref="AN48:AN78" si="104">+$N48*D48</f>
        <v>0</v>
      </c>
      <c r="AO48" s="175">
        <f t="shared" ref="AO48:AO78" si="105">+$N48*E48</f>
        <v>0</v>
      </c>
      <c r="AP48" s="207">
        <f t="shared" ref="AP48:AP78" si="106">+$N48*F48</f>
        <v>0</v>
      </c>
      <c r="AQ48" s="206">
        <f t="shared" ref="AQ48:AQ78" si="107">+$P48*A48</f>
        <v>0</v>
      </c>
      <c r="AR48" s="175">
        <f t="shared" ref="AR48:AR78" si="108">+$P48*B48</f>
        <v>0</v>
      </c>
      <c r="AS48" s="175">
        <f t="shared" ref="AS48:AS78" si="109">+$P48*C48</f>
        <v>0</v>
      </c>
      <c r="AT48" s="175">
        <f t="shared" ref="AT48:AT78" si="110">+$P48*D48</f>
        <v>0</v>
      </c>
      <c r="AU48" s="175">
        <f t="shared" ref="AU48:AU78" si="111">+$P48*E48</f>
        <v>0</v>
      </c>
      <c r="AV48" s="207">
        <f t="shared" ref="AV48:AV78" si="112">+$P48*F48</f>
        <v>0</v>
      </c>
      <c r="AW48" s="59"/>
      <c r="BE48" s="59"/>
      <c r="BL48" s="59"/>
    </row>
    <row r="49" spans="1:64" x14ac:dyDescent="0.2">
      <c r="A49">
        <f>+SUMIFS(Quest!$J:$J,Quest!$H:$H,QDrop!A$1,Quest!$N:$N,QDrop!$G49)</f>
        <v>5</v>
      </c>
      <c r="B49">
        <f>+SUMIFS(Quest!$J:$J,Quest!$H:$H,QDrop!B$1,Quest!$N:$N,QDrop!$G49)</f>
        <v>5</v>
      </c>
      <c r="C49">
        <f>+SUMIFS(Quest!$J:$J,Quest!$H:$H,QDrop!C$1,Quest!$N:$N,QDrop!$G49)</f>
        <v>5</v>
      </c>
      <c r="D49">
        <f>+SUMIFS(Quest!$J:$J,Quest!$H:$H,QDrop!D$1,Quest!$N:$N,QDrop!$G49)</f>
        <v>6</v>
      </c>
      <c r="E49">
        <f>+SUMIFS(Quest!$J:$J,Quest!$H:$H,QDrop!E$1,Quest!$N:$N,QDrop!$G49)</f>
        <v>6</v>
      </c>
      <c r="F49">
        <f>+SUMIFS(Quest!$J:$J,Quest!$H:$H,QDrop!F$1,Quest!$N:$N,QDrop!$G49)</f>
        <v>0</v>
      </c>
      <c r="G49" t="s">
        <v>17386</v>
      </c>
      <c r="H49">
        <v>2</v>
      </c>
      <c r="I49" t="s">
        <v>19613</v>
      </c>
      <c r="S49" s="206">
        <f t="shared" si="83"/>
        <v>10</v>
      </c>
      <c r="T49" s="175">
        <f t="shared" si="84"/>
        <v>10</v>
      </c>
      <c r="U49" s="175">
        <f t="shared" si="85"/>
        <v>10</v>
      </c>
      <c r="V49" s="175">
        <f t="shared" si="86"/>
        <v>12</v>
      </c>
      <c r="W49" s="175">
        <f t="shared" si="87"/>
        <v>12</v>
      </c>
      <c r="X49" s="207">
        <f t="shared" si="88"/>
        <v>0</v>
      </c>
      <c r="Y49" s="206">
        <f t="shared" si="89"/>
        <v>0</v>
      </c>
      <c r="Z49" s="175">
        <f t="shared" si="90"/>
        <v>0</v>
      </c>
      <c r="AA49" s="175">
        <f t="shared" si="91"/>
        <v>0</v>
      </c>
      <c r="AB49" s="175">
        <f t="shared" si="92"/>
        <v>0</v>
      </c>
      <c r="AC49" s="175">
        <f t="shared" si="93"/>
        <v>0</v>
      </c>
      <c r="AD49" s="207">
        <f t="shared" si="94"/>
        <v>0</v>
      </c>
      <c r="AE49" s="206">
        <f t="shared" si="95"/>
        <v>0</v>
      </c>
      <c r="AF49" s="175">
        <f t="shared" si="96"/>
        <v>0</v>
      </c>
      <c r="AG49" s="175">
        <f t="shared" si="97"/>
        <v>0</v>
      </c>
      <c r="AH49" s="175">
        <f t="shared" si="98"/>
        <v>0</v>
      </c>
      <c r="AI49" s="175">
        <f t="shared" si="99"/>
        <v>0</v>
      </c>
      <c r="AJ49" s="207">
        <f t="shared" si="100"/>
        <v>0</v>
      </c>
      <c r="AK49" s="206">
        <f t="shared" si="101"/>
        <v>0</v>
      </c>
      <c r="AL49" s="175">
        <f t="shared" si="102"/>
        <v>0</v>
      </c>
      <c r="AM49" s="175">
        <f t="shared" si="103"/>
        <v>0</v>
      </c>
      <c r="AN49" s="175">
        <f t="shared" si="104"/>
        <v>0</v>
      </c>
      <c r="AO49" s="175">
        <f t="shared" si="105"/>
        <v>0</v>
      </c>
      <c r="AP49" s="207">
        <f t="shared" si="106"/>
        <v>0</v>
      </c>
      <c r="AQ49" s="206">
        <f t="shared" si="107"/>
        <v>0</v>
      </c>
      <c r="AR49" s="175">
        <f t="shared" si="108"/>
        <v>0</v>
      </c>
      <c r="AS49" s="175">
        <f t="shared" si="109"/>
        <v>0</v>
      </c>
      <c r="AT49" s="175">
        <f t="shared" si="110"/>
        <v>0</v>
      </c>
      <c r="AU49" s="175">
        <f t="shared" si="111"/>
        <v>0</v>
      </c>
      <c r="AV49" s="207">
        <f t="shared" si="112"/>
        <v>0</v>
      </c>
      <c r="AW49" s="59"/>
      <c r="BE49" s="59"/>
      <c r="BL49" s="59"/>
    </row>
    <row r="50" spans="1:64" x14ac:dyDescent="0.2">
      <c r="A50">
        <f>+SUMIFS(Quest!$J:$J,Quest!$H:$H,QDrop!A$1,Quest!$N:$N,QDrop!$G50)</f>
        <v>5</v>
      </c>
      <c r="B50">
        <f>+SUMIFS(Quest!$J:$J,Quest!$H:$H,QDrop!B$1,Quest!$N:$N,QDrop!$G50)</f>
        <v>5</v>
      </c>
      <c r="C50">
        <f>+SUMIFS(Quest!$J:$J,Quest!$H:$H,QDrop!C$1,Quest!$N:$N,QDrop!$G50)</f>
        <v>5</v>
      </c>
      <c r="D50">
        <f>+SUMIFS(Quest!$J:$J,Quest!$H:$H,QDrop!D$1,Quest!$N:$N,QDrop!$G50)</f>
        <v>6</v>
      </c>
      <c r="E50">
        <f>+SUMIFS(Quest!$J:$J,Quest!$H:$H,QDrop!E$1,Quest!$N:$N,QDrop!$G50)</f>
        <v>6</v>
      </c>
      <c r="F50">
        <f>+SUMIFS(Quest!$J:$J,Quest!$H:$H,QDrop!F$1,Quest!$N:$N,QDrop!$G50)</f>
        <v>0</v>
      </c>
      <c r="G50" t="s">
        <v>17387</v>
      </c>
      <c r="H50">
        <v>2</v>
      </c>
      <c r="I50" t="s">
        <v>11793</v>
      </c>
      <c r="S50" s="206">
        <f t="shared" si="83"/>
        <v>10</v>
      </c>
      <c r="T50" s="175">
        <f t="shared" si="84"/>
        <v>10</v>
      </c>
      <c r="U50" s="175">
        <f t="shared" si="85"/>
        <v>10</v>
      </c>
      <c r="V50" s="175">
        <f t="shared" si="86"/>
        <v>12</v>
      </c>
      <c r="W50" s="175">
        <f t="shared" si="87"/>
        <v>12</v>
      </c>
      <c r="X50" s="207">
        <f t="shared" si="88"/>
        <v>0</v>
      </c>
      <c r="Y50" s="206">
        <f t="shared" si="89"/>
        <v>0</v>
      </c>
      <c r="Z50" s="175">
        <f t="shared" si="90"/>
        <v>0</v>
      </c>
      <c r="AA50" s="175">
        <f t="shared" si="91"/>
        <v>0</v>
      </c>
      <c r="AB50" s="175">
        <f t="shared" si="92"/>
        <v>0</v>
      </c>
      <c r="AC50" s="175">
        <f t="shared" si="93"/>
        <v>0</v>
      </c>
      <c r="AD50" s="207">
        <f t="shared" si="94"/>
        <v>0</v>
      </c>
      <c r="AE50" s="206">
        <f t="shared" si="95"/>
        <v>0</v>
      </c>
      <c r="AF50" s="175">
        <f t="shared" si="96"/>
        <v>0</v>
      </c>
      <c r="AG50" s="175">
        <f t="shared" si="97"/>
        <v>0</v>
      </c>
      <c r="AH50" s="175">
        <f t="shared" si="98"/>
        <v>0</v>
      </c>
      <c r="AI50" s="175">
        <f t="shared" si="99"/>
        <v>0</v>
      </c>
      <c r="AJ50" s="207">
        <f t="shared" si="100"/>
        <v>0</v>
      </c>
      <c r="AK50" s="206">
        <f t="shared" si="101"/>
        <v>0</v>
      </c>
      <c r="AL50" s="175">
        <f t="shared" si="102"/>
        <v>0</v>
      </c>
      <c r="AM50" s="175">
        <f t="shared" si="103"/>
        <v>0</v>
      </c>
      <c r="AN50" s="175">
        <f t="shared" si="104"/>
        <v>0</v>
      </c>
      <c r="AO50" s="175">
        <f t="shared" si="105"/>
        <v>0</v>
      </c>
      <c r="AP50" s="207">
        <f t="shared" si="106"/>
        <v>0</v>
      </c>
      <c r="AQ50" s="206">
        <f t="shared" si="107"/>
        <v>0</v>
      </c>
      <c r="AR50" s="175">
        <f t="shared" si="108"/>
        <v>0</v>
      </c>
      <c r="AS50" s="175">
        <f t="shared" si="109"/>
        <v>0</v>
      </c>
      <c r="AT50" s="175">
        <f t="shared" si="110"/>
        <v>0</v>
      </c>
      <c r="AU50" s="175">
        <f t="shared" si="111"/>
        <v>0</v>
      </c>
      <c r="AV50" s="207">
        <f t="shared" si="112"/>
        <v>0</v>
      </c>
      <c r="AW50" s="59"/>
      <c r="BE50" s="59"/>
      <c r="BL50" s="59"/>
    </row>
    <row r="51" spans="1:64" x14ac:dyDescent="0.2">
      <c r="A51">
        <f>+SUMIFS(Quest!$J:$J,Quest!$H:$H,QDrop!A$1,Quest!$N:$N,QDrop!$G51)</f>
        <v>5</v>
      </c>
      <c r="B51">
        <f>+SUMIFS(Quest!$J:$J,Quest!$H:$H,QDrop!B$1,Quest!$N:$N,QDrop!$G51)</f>
        <v>5</v>
      </c>
      <c r="C51">
        <f>+SUMIFS(Quest!$J:$J,Quest!$H:$H,QDrop!C$1,Quest!$N:$N,QDrop!$G51)</f>
        <v>5</v>
      </c>
      <c r="D51">
        <f>+SUMIFS(Quest!$J:$J,Quest!$H:$H,QDrop!D$1,Quest!$N:$N,QDrop!$G51)</f>
        <v>6</v>
      </c>
      <c r="E51">
        <f>+SUMIFS(Quest!$J:$J,Quest!$H:$H,QDrop!E$1,Quest!$N:$N,QDrop!$G51)</f>
        <v>6</v>
      </c>
      <c r="F51">
        <f>+SUMIFS(Quest!$J:$J,Quest!$H:$H,QDrop!F$1,Quest!$N:$N,QDrop!$G51)</f>
        <v>0</v>
      </c>
      <c r="G51" t="s">
        <v>17388</v>
      </c>
      <c r="H51">
        <v>2</v>
      </c>
      <c r="I51" t="s">
        <v>12668</v>
      </c>
      <c r="S51" s="206">
        <f t="shared" si="83"/>
        <v>10</v>
      </c>
      <c r="T51" s="175">
        <f t="shared" si="84"/>
        <v>10</v>
      </c>
      <c r="U51" s="175">
        <f t="shared" si="85"/>
        <v>10</v>
      </c>
      <c r="V51" s="175">
        <f t="shared" si="86"/>
        <v>12</v>
      </c>
      <c r="W51" s="175">
        <f t="shared" si="87"/>
        <v>12</v>
      </c>
      <c r="X51" s="207">
        <f t="shared" si="88"/>
        <v>0</v>
      </c>
      <c r="Y51" s="206">
        <f t="shared" si="89"/>
        <v>0</v>
      </c>
      <c r="Z51" s="175">
        <f t="shared" si="90"/>
        <v>0</v>
      </c>
      <c r="AA51" s="175">
        <f t="shared" si="91"/>
        <v>0</v>
      </c>
      <c r="AB51" s="175">
        <f t="shared" si="92"/>
        <v>0</v>
      </c>
      <c r="AC51" s="175">
        <f t="shared" si="93"/>
        <v>0</v>
      </c>
      <c r="AD51" s="207">
        <f t="shared" si="94"/>
        <v>0</v>
      </c>
      <c r="AE51" s="206">
        <f t="shared" si="95"/>
        <v>0</v>
      </c>
      <c r="AF51" s="175">
        <f t="shared" si="96"/>
        <v>0</v>
      </c>
      <c r="AG51" s="175">
        <f t="shared" si="97"/>
        <v>0</v>
      </c>
      <c r="AH51" s="175">
        <f t="shared" si="98"/>
        <v>0</v>
      </c>
      <c r="AI51" s="175">
        <f t="shared" si="99"/>
        <v>0</v>
      </c>
      <c r="AJ51" s="207">
        <f t="shared" si="100"/>
        <v>0</v>
      </c>
      <c r="AK51" s="206">
        <f t="shared" si="101"/>
        <v>0</v>
      </c>
      <c r="AL51" s="175">
        <f t="shared" si="102"/>
        <v>0</v>
      </c>
      <c r="AM51" s="175">
        <f t="shared" si="103"/>
        <v>0</v>
      </c>
      <c r="AN51" s="175">
        <f t="shared" si="104"/>
        <v>0</v>
      </c>
      <c r="AO51" s="175">
        <f t="shared" si="105"/>
        <v>0</v>
      </c>
      <c r="AP51" s="207">
        <f t="shared" si="106"/>
        <v>0</v>
      </c>
      <c r="AQ51" s="206">
        <f t="shared" si="107"/>
        <v>0</v>
      </c>
      <c r="AR51" s="175">
        <f t="shared" si="108"/>
        <v>0</v>
      </c>
      <c r="AS51" s="175">
        <f t="shared" si="109"/>
        <v>0</v>
      </c>
      <c r="AT51" s="175">
        <f t="shared" si="110"/>
        <v>0</v>
      </c>
      <c r="AU51" s="175">
        <f t="shared" si="111"/>
        <v>0</v>
      </c>
      <c r="AV51" s="207">
        <f t="shared" si="112"/>
        <v>0</v>
      </c>
      <c r="AW51" s="59"/>
      <c r="BE51" s="59"/>
      <c r="BL51" s="59"/>
    </row>
    <row r="52" spans="1:64" x14ac:dyDescent="0.2">
      <c r="A52">
        <f>+SUMIFS(Quest!$J:$J,Quest!$H:$H,QDrop!A$1,Quest!$N:$N,QDrop!$G52)</f>
        <v>0</v>
      </c>
      <c r="B52">
        <f>+SUMIFS(Quest!$J:$J,Quest!$H:$H,QDrop!B$1,Quest!$N:$N,QDrop!$G52)</f>
        <v>0</v>
      </c>
      <c r="C52">
        <f>+SUMIFS(Quest!$J:$J,Quest!$H:$H,QDrop!C$1,Quest!$N:$N,QDrop!$G52)</f>
        <v>0</v>
      </c>
      <c r="D52">
        <f>+SUMIFS(Quest!$J:$J,Quest!$H:$H,QDrop!D$1,Quest!$N:$N,QDrop!$G52)</f>
        <v>0</v>
      </c>
      <c r="E52">
        <f>+SUMIFS(Quest!$J:$J,Quest!$H:$H,QDrop!E$1,Quest!$N:$N,QDrop!$G52)</f>
        <v>0</v>
      </c>
      <c r="F52">
        <f>+SUMIFS(Quest!$J:$J,Quest!$H:$H,QDrop!F$1,Quest!$N:$N,QDrop!$G52)</f>
        <v>2</v>
      </c>
      <c r="G52" t="s">
        <v>18396</v>
      </c>
      <c r="H52">
        <v>60</v>
      </c>
      <c r="I52" t="s">
        <v>19616</v>
      </c>
      <c r="J52">
        <v>15</v>
      </c>
      <c r="K52" t="s">
        <v>19617</v>
      </c>
      <c r="S52" s="206">
        <f t="shared" si="83"/>
        <v>0</v>
      </c>
      <c r="T52" s="175">
        <f t="shared" si="84"/>
        <v>0</v>
      </c>
      <c r="U52" s="175">
        <f t="shared" si="85"/>
        <v>0</v>
      </c>
      <c r="V52" s="175">
        <f t="shared" si="86"/>
        <v>0</v>
      </c>
      <c r="W52" s="175">
        <f t="shared" si="87"/>
        <v>0</v>
      </c>
      <c r="X52" s="207">
        <f t="shared" si="88"/>
        <v>120</v>
      </c>
      <c r="Y52" s="206">
        <f t="shared" si="89"/>
        <v>0</v>
      </c>
      <c r="Z52" s="175">
        <f t="shared" si="90"/>
        <v>0</v>
      </c>
      <c r="AA52" s="175">
        <f t="shared" si="91"/>
        <v>0</v>
      </c>
      <c r="AB52" s="175">
        <f t="shared" si="92"/>
        <v>0</v>
      </c>
      <c r="AC52" s="175">
        <f t="shared" si="93"/>
        <v>0</v>
      </c>
      <c r="AD52" s="207">
        <f t="shared" si="94"/>
        <v>30</v>
      </c>
      <c r="AE52" s="206">
        <f t="shared" si="95"/>
        <v>0</v>
      </c>
      <c r="AF52" s="175">
        <f t="shared" si="96"/>
        <v>0</v>
      </c>
      <c r="AG52" s="175">
        <f t="shared" si="97"/>
        <v>0</v>
      </c>
      <c r="AH52" s="175">
        <f t="shared" si="98"/>
        <v>0</v>
      </c>
      <c r="AI52" s="175">
        <f t="shared" si="99"/>
        <v>0</v>
      </c>
      <c r="AJ52" s="207">
        <f t="shared" si="100"/>
        <v>0</v>
      </c>
      <c r="AK52" s="206">
        <f t="shared" si="101"/>
        <v>0</v>
      </c>
      <c r="AL52" s="175">
        <f t="shared" si="102"/>
        <v>0</v>
      </c>
      <c r="AM52" s="175">
        <f t="shared" si="103"/>
        <v>0</v>
      </c>
      <c r="AN52" s="175">
        <f t="shared" si="104"/>
        <v>0</v>
      </c>
      <c r="AO52" s="175">
        <f t="shared" si="105"/>
        <v>0</v>
      </c>
      <c r="AP52" s="207">
        <f t="shared" si="106"/>
        <v>0</v>
      </c>
      <c r="AQ52" s="206">
        <f t="shared" si="107"/>
        <v>0</v>
      </c>
      <c r="AR52" s="175">
        <f t="shared" si="108"/>
        <v>0</v>
      </c>
      <c r="AS52" s="175">
        <f t="shared" si="109"/>
        <v>0</v>
      </c>
      <c r="AT52" s="175">
        <f t="shared" si="110"/>
        <v>0</v>
      </c>
      <c r="AU52" s="175">
        <f t="shared" si="111"/>
        <v>0</v>
      </c>
      <c r="AV52" s="207">
        <f t="shared" si="112"/>
        <v>0</v>
      </c>
      <c r="AW52" s="59"/>
      <c r="BE52" s="59"/>
      <c r="BL52" s="59"/>
    </row>
    <row r="53" spans="1:64" x14ac:dyDescent="0.2">
      <c r="A53">
        <f>+SUMIFS(Quest!$J:$J,Quest!$H:$H,QDrop!A$1,Quest!$N:$N,QDrop!$G53)</f>
        <v>0</v>
      </c>
      <c r="B53">
        <f>+SUMIFS(Quest!$J:$J,Quest!$H:$H,QDrop!B$1,Quest!$N:$N,QDrop!$G53)</f>
        <v>0</v>
      </c>
      <c r="C53">
        <f>+SUMIFS(Quest!$J:$J,Quest!$H:$H,QDrop!C$1,Quest!$N:$N,QDrop!$G53)</f>
        <v>0</v>
      </c>
      <c r="D53">
        <f>+SUMIFS(Quest!$J:$J,Quest!$H:$H,QDrop!D$1,Quest!$N:$N,QDrop!$G53)</f>
        <v>1</v>
      </c>
      <c r="E53">
        <f>+SUMIFS(Quest!$J:$J,Quest!$H:$H,QDrop!E$1,Quest!$N:$N,QDrop!$G53)</f>
        <v>0</v>
      </c>
      <c r="F53">
        <f>+SUMIFS(Quest!$J:$J,Quest!$H:$H,QDrop!F$1,Quest!$N:$N,QDrop!$G53)</f>
        <v>2</v>
      </c>
      <c r="G53" t="s">
        <v>18258</v>
      </c>
      <c r="H53">
        <v>60</v>
      </c>
      <c r="I53" t="s">
        <v>19616</v>
      </c>
      <c r="J53">
        <v>30</v>
      </c>
      <c r="K53" t="s">
        <v>19617</v>
      </c>
      <c r="L53">
        <v>15</v>
      </c>
      <c r="M53" t="s">
        <v>19618</v>
      </c>
      <c r="S53" s="206">
        <f t="shared" si="83"/>
        <v>0</v>
      </c>
      <c r="T53" s="175">
        <f t="shared" si="84"/>
        <v>0</v>
      </c>
      <c r="U53" s="175">
        <f t="shared" si="85"/>
        <v>0</v>
      </c>
      <c r="V53" s="175">
        <f t="shared" si="86"/>
        <v>60</v>
      </c>
      <c r="W53" s="175">
        <f t="shared" si="87"/>
        <v>0</v>
      </c>
      <c r="X53" s="207">
        <f t="shared" si="88"/>
        <v>120</v>
      </c>
      <c r="Y53" s="206">
        <f t="shared" si="89"/>
        <v>0</v>
      </c>
      <c r="Z53" s="175">
        <f t="shared" si="90"/>
        <v>0</v>
      </c>
      <c r="AA53" s="175">
        <f t="shared" si="91"/>
        <v>0</v>
      </c>
      <c r="AB53" s="175">
        <f t="shared" si="92"/>
        <v>30</v>
      </c>
      <c r="AC53" s="175">
        <f t="shared" si="93"/>
        <v>0</v>
      </c>
      <c r="AD53" s="207">
        <f t="shared" si="94"/>
        <v>60</v>
      </c>
      <c r="AE53" s="206">
        <f t="shared" si="95"/>
        <v>0</v>
      </c>
      <c r="AF53" s="175">
        <f t="shared" si="96"/>
        <v>0</v>
      </c>
      <c r="AG53" s="175">
        <f t="shared" si="97"/>
        <v>0</v>
      </c>
      <c r="AH53" s="175">
        <f t="shared" si="98"/>
        <v>15</v>
      </c>
      <c r="AI53" s="175">
        <f t="shared" si="99"/>
        <v>0</v>
      </c>
      <c r="AJ53" s="207">
        <f t="shared" si="100"/>
        <v>30</v>
      </c>
      <c r="AK53" s="206">
        <f t="shared" si="101"/>
        <v>0</v>
      </c>
      <c r="AL53" s="175">
        <f t="shared" si="102"/>
        <v>0</v>
      </c>
      <c r="AM53" s="175">
        <f t="shared" si="103"/>
        <v>0</v>
      </c>
      <c r="AN53" s="175">
        <f t="shared" si="104"/>
        <v>0</v>
      </c>
      <c r="AO53" s="175">
        <f t="shared" si="105"/>
        <v>0</v>
      </c>
      <c r="AP53" s="207">
        <f t="shared" si="106"/>
        <v>0</v>
      </c>
      <c r="AQ53" s="206">
        <f t="shared" si="107"/>
        <v>0</v>
      </c>
      <c r="AR53" s="175">
        <f t="shared" si="108"/>
        <v>0</v>
      </c>
      <c r="AS53" s="175">
        <f t="shared" si="109"/>
        <v>0</v>
      </c>
      <c r="AT53" s="175">
        <f t="shared" si="110"/>
        <v>0</v>
      </c>
      <c r="AU53" s="175">
        <f t="shared" si="111"/>
        <v>0</v>
      </c>
      <c r="AV53" s="207">
        <f t="shared" si="112"/>
        <v>0</v>
      </c>
      <c r="AW53" s="59"/>
      <c r="BE53" s="59"/>
      <c r="BL53" s="59"/>
    </row>
    <row r="54" spans="1:64" x14ac:dyDescent="0.2">
      <c r="A54">
        <f>+SUMIFS(Quest!$J:$J,Quest!$H:$H,QDrop!A$1,Quest!$N:$N,QDrop!$G54)</f>
        <v>0</v>
      </c>
      <c r="B54">
        <f>+SUMIFS(Quest!$J:$J,Quest!$H:$H,QDrop!B$1,Quest!$N:$N,QDrop!$G54)</f>
        <v>0</v>
      </c>
      <c r="C54">
        <f>+SUMIFS(Quest!$J:$J,Quest!$H:$H,QDrop!C$1,Quest!$N:$N,QDrop!$G54)</f>
        <v>0</v>
      </c>
      <c r="D54">
        <f>+SUMIFS(Quest!$J:$J,Quest!$H:$H,QDrop!D$1,Quest!$N:$N,QDrop!$G54)</f>
        <v>1</v>
      </c>
      <c r="E54">
        <f>+SUMIFS(Quest!$J:$J,Quest!$H:$H,QDrop!E$1,Quest!$N:$N,QDrop!$G54)</f>
        <v>0</v>
      </c>
      <c r="F54">
        <f>+SUMIFS(Quest!$J:$J,Quest!$H:$H,QDrop!F$1,Quest!$N:$N,QDrop!$G54)</f>
        <v>2</v>
      </c>
      <c r="G54" t="s">
        <v>18260</v>
      </c>
      <c r="H54">
        <v>60</v>
      </c>
      <c r="I54" t="s">
        <v>19616</v>
      </c>
      <c r="J54">
        <v>60</v>
      </c>
      <c r="K54" t="s">
        <v>19617</v>
      </c>
      <c r="L54">
        <v>30</v>
      </c>
      <c r="M54" t="s">
        <v>19618</v>
      </c>
      <c r="S54" s="206">
        <f t="shared" si="83"/>
        <v>0</v>
      </c>
      <c r="T54" s="175">
        <f t="shared" si="84"/>
        <v>0</v>
      </c>
      <c r="U54" s="175">
        <f t="shared" si="85"/>
        <v>0</v>
      </c>
      <c r="V54" s="175">
        <f t="shared" si="86"/>
        <v>60</v>
      </c>
      <c r="W54" s="175">
        <f t="shared" si="87"/>
        <v>0</v>
      </c>
      <c r="X54" s="207">
        <f t="shared" si="88"/>
        <v>120</v>
      </c>
      <c r="Y54" s="206">
        <f t="shared" si="89"/>
        <v>0</v>
      </c>
      <c r="Z54" s="175">
        <f t="shared" si="90"/>
        <v>0</v>
      </c>
      <c r="AA54" s="175">
        <f t="shared" si="91"/>
        <v>0</v>
      </c>
      <c r="AB54" s="175">
        <f t="shared" si="92"/>
        <v>60</v>
      </c>
      <c r="AC54" s="175">
        <f t="shared" si="93"/>
        <v>0</v>
      </c>
      <c r="AD54" s="207">
        <f t="shared" si="94"/>
        <v>120</v>
      </c>
      <c r="AE54" s="206">
        <f t="shared" si="95"/>
        <v>0</v>
      </c>
      <c r="AF54" s="175">
        <f t="shared" si="96"/>
        <v>0</v>
      </c>
      <c r="AG54" s="175">
        <f t="shared" si="97"/>
        <v>0</v>
      </c>
      <c r="AH54" s="175">
        <f t="shared" si="98"/>
        <v>30</v>
      </c>
      <c r="AI54" s="175">
        <f t="shared" si="99"/>
        <v>0</v>
      </c>
      <c r="AJ54" s="207">
        <f t="shared" si="100"/>
        <v>60</v>
      </c>
      <c r="AK54" s="206">
        <f t="shared" si="101"/>
        <v>0</v>
      </c>
      <c r="AL54" s="175">
        <f t="shared" si="102"/>
        <v>0</v>
      </c>
      <c r="AM54" s="175">
        <f t="shared" si="103"/>
        <v>0</v>
      </c>
      <c r="AN54" s="175">
        <f t="shared" si="104"/>
        <v>0</v>
      </c>
      <c r="AO54" s="175">
        <f t="shared" si="105"/>
        <v>0</v>
      </c>
      <c r="AP54" s="207">
        <f t="shared" si="106"/>
        <v>0</v>
      </c>
      <c r="AQ54" s="206">
        <f t="shared" si="107"/>
        <v>0</v>
      </c>
      <c r="AR54" s="175">
        <f t="shared" si="108"/>
        <v>0</v>
      </c>
      <c r="AS54" s="175">
        <f t="shared" si="109"/>
        <v>0</v>
      </c>
      <c r="AT54" s="175">
        <f t="shared" si="110"/>
        <v>0</v>
      </c>
      <c r="AU54" s="175">
        <f t="shared" si="111"/>
        <v>0</v>
      </c>
      <c r="AV54" s="207">
        <f t="shared" si="112"/>
        <v>0</v>
      </c>
      <c r="AW54" s="59"/>
      <c r="BE54" s="59"/>
      <c r="BL54" s="59"/>
    </row>
    <row r="55" spans="1:64" x14ac:dyDescent="0.2">
      <c r="A55">
        <f>+SUMIFS(Quest!$J:$J,Quest!$H:$H,QDrop!A$1,Quest!$N:$N,QDrop!$G55)</f>
        <v>0</v>
      </c>
      <c r="B55">
        <f>+SUMIFS(Quest!$J:$J,Quest!$H:$H,QDrop!B$1,Quest!$N:$N,QDrop!$G55)</f>
        <v>0</v>
      </c>
      <c r="C55">
        <f>+SUMIFS(Quest!$J:$J,Quest!$H:$H,QDrop!C$1,Quest!$N:$N,QDrop!$G55)</f>
        <v>0</v>
      </c>
      <c r="D55">
        <f>+SUMIFS(Quest!$J:$J,Quest!$H:$H,QDrop!D$1,Quest!$N:$N,QDrop!$G55)</f>
        <v>1</v>
      </c>
      <c r="E55">
        <f>+SUMIFS(Quest!$J:$J,Quest!$H:$H,QDrop!E$1,Quest!$N:$N,QDrop!$G55)</f>
        <v>11</v>
      </c>
      <c r="F55">
        <f>+SUMIFS(Quest!$J:$J,Quest!$H:$H,QDrop!F$1,Quest!$N:$N,QDrop!$G55)</f>
        <v>10</v>
      </c>
      <c r="G55" t="s">
        <v>18262</v>
      </c>
      <c r="H55">
        <v>70</v>
      </c>
      <c r="I55" t="s">
        <v>19616</v>
      </c>
      <c r="J55">
        <v>70</v>
      </c>
      <c r="K55" t="s">
        <v>19617</v>
      </c>
      <c r="L55">
        <v>70</v>
      </c>
      <c r="M55" t="s">
        <v>19618</v>
      </c>
      <c r="S55" s="206">
        <f t="shared" si="83"/>
        <v>0</v>
      </c>
      <c r="T55" s="175">
        <f t="shared" si="84"/>
        <v>0</v>
      </c>
      <c r="U55" s="175">
        <f t="shared" si="85"/>
        <v>0</v>
      </c>
      <c r="V55" s="175">
        <f t="shared" si="86"/>
        <v>70</v>
      </c>
      <c r="W55" s="175">
        <f t="shared" si="87"/>
        <v>770</v>
      </c>
      <c r="X55" s="207">
        <f t="shared" si="88"/>
        <v>700</v>
      </c>
      <c r="Y55" s="206">
        <f t="shared" si="89"/>
        <v>0</v>
      </c>
      <c r="Z55" s="175">
        <f t="shared" si="90"/>
        <v>0</v>
      </c>
      <c r="AA55" s="175">
        <f t="shared" si="91"/>
        <v>0</v>
      </c>
      <c r="AB55" s="175">
        <f t="shared" si="92"/>
        <v>70</v>
      </c>
      <c r="AC55" s="175">
        <f t="shared" si="93"/>
        <v>770</v>
      </c>
      <c r="AD55" s="207">
        <f t="shared" si="94"/>
        <v>700</v>
      </c>
      <c r="AE55" s="206">
        <f t="shared" si="95"/>
        <v>0</v>
      </c>
      <c r="AF55" s="175">
        <f t="shared" si="96"/>
        <v>0</v>
      </c>
      <c r="AG55" s="175">
        <f t="shared" si="97"/>
        <v>0</v>
      </c>
      <c r="AH55" s="175">
        <f t="shared" si="98"/>
        <v>70</v>
      </c>
      <c r="AI55" s="175">
        <f t="shared" si="99"/>
        <v>770</v>
      </c>
      <c r="AJ55" s="207">
        <f t="shared" si="100"/>
        <v>700</v>
      </c>
      <c r="AK55" s="206">
        <f t="shared" si="101"/>
        <v>0</v>
      </c>
      <c r="AL55" s="175">
        <f t="shared" si="102"/>
        <v>0</v>
      </c>
      <c r="AM55" s="175">
        <f t="shared" si="103"/>
        <v>0</v>
      </c>
      <c r="AN55" s="175">
        <f t="shared" si="104"/>
        <v>0</v>
      </c>
      <c r="AO55" s="175">
        <f t="shared" si="105"/>
        <v>0</v>
      </c>
      <c r="AP55" s="207">
        <f t="shared" si="106"/>
        <v>0</v>
      </c>
      <c r="AQ55" s="206">
        <f t="shared" si="107"/>
        <v>0</v>
      </c>
      <c r="AR55" s="175">
        <f t="shared" si="108"/>
        <v>0</v>
      </c>
      <c r="AS55" s="175">
        <f t="shared" si="109"/>
        <v>0</v>
      </c>
      <c r="AT55" s="175">
        <f t="shared" si="110"/>
        <v>0</v>
      </c>
      <c r="AU55" s="175">
        <f t="shared" si="111"/>
        <v>0</v>
      </c>
      <c r="AV55" s="207">
        <f t="shared" si="112"/>
        <v>0</v>
      </c>
      <c r="AW55" s="59"/>
      <c r="BE55" s="59"/>
      <c r="BL55" s="59"/>
    </row>
    <row r="56" spans="1:64" x14ac:dyDescent="0.2">
      <c r="A56">
        <f>+SUMIFS(Quest!$J:$J,Quest!$H:$H,QDrop!A$1,Quest!$N:$N,QDrop!$G56)</f>
        <v>19</v>
      </c>
      <c r="B56">
        <f>+SUMIFS(Quest!$J:$J,Quest!$H:$H,QDrop!B$1,Quest!$N:$N,QDrop!$G56)</f>
        <v>29</v>
      </c>
      <c r="C56">
        <f>+SUMIFS(Quest!$J:$J,Quest!$H:$H,QDrop!C$1,Quest!$N:$N,QDrop!$G56)</f>
        <v>24</v>
      </c>
      <c r="D56">
        <f>+SUMIFS(Quest!$J:$J,Quest!$H:$H,QDrop!D$1,Quest!$N:$N,QDrop!$G56)</f>
        <v>31</v>
      </c>
      <c r="E56">
        <f>+SUMIFS(Quest!$J:$J,Quest!$H:$H,QDrop!E$1,Quest!$N:$N,QDrop!$G56)</f>
        <v>29</v>
      </c>
      <c r="F56">
        <f>+SUMIFS(Quest!$J:$J,Quest!$H:$H,QDrop!F$1,Quest!$N:$N,QDrop!$G56)</f>
        <v>14</v>
      </c>
      <c r="G56" t="s">
        <v>18020</v>
      </c>
      <c r="H56">
        <v>1</v>
      </c>
      <c r="I56" t="s">
        <v>19599</v>
      </c>
      <c r="J56">
        <v>20</v>
      </c>
      <c r="K56" t="s">
        <v>19616</v>
      </c>
      <c r="S56" s="206">
        <f t="shared" si="83"/>
        <v>19</v>
      </c>
      <c r="T56" s="175">
        <f t="shared" si="84"/>
        <v>29</v>
      </c>
      <c r="U56" s="175">
        <f t="shared" si="85"/>
        <v>24</v>
      </c>
      <c r="V56" s="175">
        <f t="shared" si="86"/>
        <v>31</v>
      </c>
      <c r="W56" s="175">
        <f t="shared" si="87"/>
        <v>29</v>
      </c>
      <c r="X56" s="207">
        <f t="shared" si="88"/>
        <v>14</v>
      </c>
      <c r="Y56" s="206">
        <f t="shared" si="89"/>
        <v>380</v>
      </c>
      <c r="Z56" s="175">
        <f t="shared" si="90"/>
        <v>580</v>
      </c>
      <c r="AA56" s="175">
        <f t="shared" si="91"/>
        <v>480</v>
      </c>
      <c r="AB56" s="175">
        <f t="shared" si="92"/>
        <v>620</v>
      </c>
      <c r="AC56" s="175">
        <f t="shared" si="93"/>
        <v>580</v>
      </c>
      <c r="AD56" s="207">
        <f t="shared" si="94"/>
        <v>280</v>
      </c>
      <c r="AE56" s="206">
        <f t="shared" si="95"/>
        <v>0</v>
      </c>
      <c r="AF56" s="175">
        <f t="shared" si="96"/>
        <v>0</v>
      </c>
      <c r="AG56" s="175">
        <f t="shared" si="97"/>
        <v>0</v>
      </c>
      <c r="AH56" s="175">
        <f t="shared" si="98"/>
        <v>0</v>
      </c>
      <c r="AI56" s="175">
        <f t="shared" si="99"/>
        <v>0</v>
      </c>
      <c r="AJ56" s="207">
        <f t="shared" si="100"/>
        <v>0</v>
      </c>
      <c r="AK56" s="206">
        <f t="shared" si="101"/>
        <v>0</v>
      </c>
      <c r="AL56" s="175">
        <f t="shared" si="102"/>
        <v>0</v>
      </c>
      <c r="AM56" s="175">
        <f t="shared" si="103"/>
        <v>0</v>
      </c>
      <c r="AN56" s="175">
        <f t="shared" si="104"/>
        <v>0</v>
      </c>
      <c r="AO56" s="175">
        <f t="shared" si="105"/>
        <v>0</v>
      </c>
      <c r="AP56" s="207">
        <f t="shared" si="106"/>
        <v>0</v>
      </c>
      <c r="AQ56" s="206">
        <f t="shared" si="107"/>
        <v>0</v>
      </c>
      <c r="AR56" s="175">
        <f t="shared" si="108"/>
        <v>0</v>
      </c>
      <c r="AS56" s="175">
        <f t="shared" si="109"/>
        <v>0</v>
      </c>
      <c r="AT56" s="175">
        <f t="shared" si="110"/>
        <v>0</v>
      </c>
      <c r="AU56" s="175">
        <f t="shared" si="111"/>
        <v>0</v>
      </c>
      <c r="AV56" s="207">
        <f t="shared" si="112"/>
        <v>0</v>
      </c>
      <c r="AW56" s="59"/>
      <c r="BE56" s="59"/>
      <c r="BL56" s="59"/>
    </row>
    <row r="57" spans="1:64" x14ac:dyDescent="0.2">
      <c r="A57">
        <f>+SUMIFS(Quest!$J:$J,Quest!$H:$H,QDrop!A$1,Quest!$N:$N,QDrop!$G57)</f>
        <v>0</v>
      </c>
      <c r="B57">
        <f>+SUMIFS(Quest!$J:$J,Quest!$H:$H,QDrop!B$1,Quest!$N:$N,QDrop!$G57)</f>
        <v>2</v>
      </c>
      <c r="C57">
        <f>+SUMIFS(Quest!$J:$J,Quest!$H:$H,QDrop!C$1,Quest!$N:$N,QDrop!$G57)</f>
        <v>0</v>
      </c>
      <c r="D57">
        <f>+SUMIFS(Quest!$J:$J,Quest!$H:$H,QDrop!D$1,Quest!$N:$N,QDrop!$G57)</f>
        <v>5</v>
      </c>
      <c r="E57">
        <f>+SUMIFS(Quest!$J:$J,Quest!$H:$H,QDrop!E$1,Quest!$N:$N,QDrop!$G57)</f>
        <v>4</v>
      </c>
      <c r="F57">
        <f>+SUMIFS(Quest!$J:$J,Quest!$H:$H,QDrop!F$1,Quest!$N:$N,QDrop!$G57)</f>
        <v>13</v>
      </c>
      <c r="G57" t="s">
        <v>18265</v>
      </c>
      <c r="H57">
        <v>2</v>
      </c>
      <c r="I57" t="s">
        <v>19599</v>
      </c>
      <c r="J57">
        <v>1</v>
      </c>
      <c r="K57" t="s">
        <v>19600</v>
      </c>
      <c r="L57">
        <v>30</v>
      </c>
      <c r="M57" t="s">
        <v>19617</v>
      </c>
      <c r="S57" s="206">
        <f t="shared" si="83"/>
        <v>0</v>
      </c>
      <c r="T57" s="175">
        <f t="shared" si="84"/>
        <v>4</v>
      </c>
      <c r="U57" s="175">
        <f t="shared" si="85"/>
        <v>0</v>
      </c>
      <c r="V57" s="175">
        <f t="shared" si="86"/>
        <v>10</v>
      </c>
      <c r="W57" s="175">
        <f t="shared" si="87"/>
        <v>8</v>
      </c>
      <c r="X57" s="207">
        <f t="shared" si="88"/>
        <v>26</v>
      </c>
      <c r="Y57" s="206">
        <f t="shared" si="89"/>
        <v>0</v>
      </c>
      <c r="Z57" s="175">
        <f t="shared" si="90"/>
        <v>2</v>
      </c>
      <c r="AA57" s="175">
        <f t="shared" si="91"/>
        <v>0</v>
      </c>
      <c r="AB57" s="175">
        <f t="shared" si="92"/>
        <v>5</v>
      </c>
      <c r="AC57" s="175">
        <f t="shared" si="93"/>
        <v>4</v>
      </c>
      <c r="AD57" s="207">
        <f t="shared" si="94"/>
        <v>13</v>
      </c>
      <c r="AE57" s="206">
        <f t="shared" si="95"/>
        <v>0</v>
      </c>
      <c r="AF57" s="175">
        <f t="shared" si="96"/>
        <v>60</v>
      </c>
      <c r="AG57" s="175">
        <f t="shared" si="97"/>
        <v>0</v>
      </c>
      <c r="AH57" s="175">
        <f t="shared" si="98"/>
        <v>150</v>
      </c>
      <c r="AI57" s="175">
        <f t="shared" si="99"/>
        <v>120</v>
      </c>
      <c r="AJ57" s="207">
        <f t="shared" si="100"/>
        <v>390</v>
      </c>
      <c r="AK57" s="206">
        <f t="shared" si="101"/>
        <v>0</v>
      </c>
      <c r="AL57" s="175">
        <f t="shared" si="102"/>
        <v>0</v>
      </c>
      <c r="AM57" s="175">
        <f t="shared" si="103"/>
        <v>0</v>
      </c>
      <c r="AN57" s="175">
        <f t="shared" si="104"/>
        <v>0</v>
      </c>
      <c r="AO57" s="175">
        <f t="shared" si="105"/>
        <v>0</v>
      </c>
      <c r="AP57" s="207">
        <f t="shared" si="106"/>
        <v>0</v>
      </c>
      <c r="AQ57" s="206">
        <f t="shared" si="107"/>
        <v>0</v>
      </c>
      <c r="AR57" s="175">
        <f t="shared" si="108"/>
        <v>0</v>
      </c>
      <c r="AS57" s="175">
        <f t="shared" si="109"/>
        <v>0</v>
      </c>
      <c r="AT57" s="175">
        <f t="shared" si="110"/>
        <v>0</v>
      </c>
      <c r="AU57" s="175">
        <f t="shared" si="111"/>
        <v>0</v>
      </c>
      <c r="AV57" s="207">
        <f t="shared" si="112"/>
        <v>0</v>
      </c>
      <c r="AW57" s="59"/>
      <c r="BE57" s="59"/>
      <c r="BL57" s="59"/>
    </row>
    <row r="58" spans="1:64" x14ac:dyDescent="0.2">
      <c r="A58">
        <f>+SUMIFS(Quest!$J:$J,Quest!$H:$H,QDrop!A$1,Quest!$N:$N,QDrop!$G58)</f>
        <v>7</v>
      </c>
      <c r="B58">
        <f>+SUMIFS(Quest!$J:$J,Quest!$H:$H,QDrop!B$1,Quest!$N:$N,QDrop!$G58)</f>
        <v>9</v>
      </c>
      <c r="C58">
        <f>+SUMIFS(Quest!$J:$J,Quest!$H:$H,QDrop!C$1,Quest!$N:$N,QDrop!$G58)</f>
        <v>11</v>
      </c>
      <c r="D58">
        <f>+SUMIFS(Quest!$J:$J,Quest!$H:$H,QDrop!D$1,Quest!$N:$N,QDrop!$G58)</f>
        <v>15</v>
      </c>
      <c r="E58">
        <f>+SUMIFS(Quest!$J:$J,Quest!$H:$H,QDrop!E$1,Quest!$N:$N,QDrop!$G58)</f>
        <v>16</v>
      </c>
      <c r="F58">
        <f>+SUMIFS(Quest!$J:$J,Quest!$H:$H,QDrop!F$1,Quest!$N:$N,QDrop!$G58)</f>
        <v>4</v>
      </c>
      <c r="G58" t="s">
        <v>18037</v>
      </c>
      <c r="H58">
        <v>3</v>
      </c>
      <c r="I58" t="s">
        <v>19599</v>
      </c>
      <c r="J58">
        <v>2</v>
      </c>
      <c r="K58" t="s">
        <v>19600</v>
      </c>
      <c r="L58">
        <v>1</v>
      </c>
      <c r="M58" t="s">
        <v>19603</v>
      </c>
      <c r="N58">
        <v>40</v>
      </c>
      <c r="O58" t="s">
        <v>19617</v>
      </c>
      <c r="S58" s="206">
        <f t="shared" si="83"/>
        <v>21</v>
      </c>
      <c r="T58" s="175">
        <f t="shared" si="84"/>
        <v>27</v>
      </c>
      <c r="U58" s="175">
        <f t="shared" si="85"/>
        <v>33</v>
      </c>
      <c r="V58" s="175">
        <f t="shared" si="86"/>
        <v>45</v>
      </c>
      <c r="W58" s="175">
        <f t="shared" si="87"/>
        <v>48</v>
      </c>
      <c r="X58" s="207">
        <f t="shared" si="88"/>
        <v>12</v>
      </c>
      <c r="Y58" s="206">
        <f t="shared" si="89"/>
        <v>14</v>
      </c>
      <c r="Z58" s="175">
        <f t="shared" si="90"/>
        <v>18</v>
      </c>
      <c r="AA58" s="175">
        <f t="shared" si="91"/>
        <v>22</v>
      </c>
      <c r="AB58" s="175">
        <f t="shared" si="92"/>
        <v>30</v>
      </c>
      <c r="AC58" s="175">
        <f t="shared" si="93"/>
        <v>32</v>
      </c>
      <c r="AD58" s="207">
        <f t="shared" si="94"/>
        <v>8</v>
      </c>
      <c r="AE58" s="206">
        <f t="shared" si="95"/>
        <v>7</v>
      </c>
      <c r="AF58" s="175">
        <f t="shared" si="96"/>
        <v>9</v>
      </c>
      <c r="AG58" s="175">
        <f t="shared" si="97"/>
        <v>11</v>
      </c>
      <c r="AH58" s="175">
        <f t="shared" si="98"/>
        <v>15</v>
      </c>
      <c r="AI58" s="175">
        <f t="shared" si="99"/>
        <v>16</v>
      </c>
      <c r="AJ58" s="207">
        <f t="shared" si="100"/>
        <v>4</v>
      </c>
      <c r="AK58" s="206">
        <f t="shared" si="101"/>
        <v>280</v>
      </c>
      <c r="AL58" s="175">
        <f t="shared" si="102"/>
        <v>360</v>
      </c>
      <c r="AM58" s="175">
        <f t="shared" si="103"/>
        <v>440</v>
      </c>
      <c r="AN58" s="175">
        <f t="shared" si="104"/>
        <v>600</v>
      </c>
      <c r="AO58" s="175">
        <f t="shared" si="105"/>
        <v>640</v>
      </c>
      <c r="AP58" s="207">
        <f t="shared" si="106"/>
        <v>160</v>
      </c>
      <c r="AQ58" s="206">
        <f t="shared" si="107"/>
        <v>0</v>
      </c>
      <c r="AR58" s="175">
        <f t="shared" si="108"/>
        <v>0</v>
      </c>
      <c r="AS58" s="175">
        <f t="shared" si="109"/>
        <v>0</v>
      </c>
      <c r="AT58" s="175">
        <f t="shared" si="110"/>
        <v>0</v>
      </c>
      <c r="AU58" s="175">
        <f t="shared" si="111"/>
        <v>0</v>
      </c>
      <c r="AV58" s="207">
        <f t="shared" si="112"/>
        <v>0</v>
      </c>
      <c r="AW58" s="59"/>
      <c r="BE58" s="59"/>
      <c r="BL58" s="59"/>
    </row>
    <row r="59" spans="1:64" x14ac:dyDescent="0.2">
      <c r="A59">
        <f>+SUMIFS(Quest!$J:$J,Quest!$H:$H,QDrop!A$1,Quest!$N:$N,QDrop!$G59)</f>
        <v>6</v>
      </c>
      <c r="B59">
        <f>+SUMIFS(Quest!$J:$J,Quest!$H:$H,QDrop!B$1,Quest!$N:$N,QDrop!$G59)</f>
        <v>8</v>
      </c>
      <c r="C59">
        <f>+SUMIFS(Quest!$J:$J,Quest!$H:$H,QDrop!C$1,Quest!$N:$N,QDrop!$G59)</f>
        <v>10</v>
      </c>
      <c r="D59">
        <f>+SUMIFS(Quest!$J:$J,Quest!$H:$H,QDrop!D$1,Quest!$N:$N,QDrop!$G59)</f>
        <v>11</v>
      </c>
      <c r="E59">
        <f>+SUMIFS(Quest!$J:$J,Quest!$H:$H,QDrop!E$1,Quest!$N:$N,QDrop!$G59)</f>
        <v>10</v>
      </c>
      <c r="F59">
        <f>+SUMIFS(Quest!$J:$J,Quest!$H:$H,QDrop!F$1,Quest!$N:$N,QDrop!$G59)</f>
        <v>3</v>
      </c>
      <c r="G59" t="s">
        <v>18042</v>
      </c>
      <c r="H59">
        <v>5</v>
      </c>
      <c r="I59" t="s">
        <v>19599</v>
      </c>
      <c r="J59">
        <v>4</v>
      </c>
      <c r="K59" t="s">
        <v>19600</v>
      </c>
      <c r="L59">
        <v>3</v>
      </c>
      <c r="M59" t="s">
        <v>19601</v>
      </c>
      <c r="N59">
        <v>4</v>
      </c>
      <c r="O59" t="s">
        <v>19603</v>
      </c>
      <c r="P59">
        <v>50</v>
      </c>
      <c r="Q59" t="s">
        <v>19617</v>
      </c>
      <c r="S59" s="206">
        <f t="shared" si="83"/>
        <v>30</v>
      </c>
      <c r="T59" s="175">
        <f t="shared" si="84"/>
        <v>40</v>
      </c>
      <c r="U59" s="175">
        <f t="shared" si="85"/>
        <v>50</v>
      </c>
      <c r="V59" s="175">
        <f t="shared" si="86"/>
        <v>55</v>
      </c>
      <c r="W59" s="175">
        <f t="shared" si="87"/>
        <v>50</v>
      </c>
      <c r="X59" s="207">
        <f t="shared" si="88"/>
        <v>15</v>
      </c>
      <c r="Y59" s="206">
        <f t="shared" si="89"/>
        <v>24</v>
      </c>
      <c r="Z59" s="175">
        <f t="shared" si="90"/>
        <v>32</v>
      </c>
      <c r="AA59" s="175">
        <f t="shared" si="91"/>
        <v>40</v>
      </c>
      <c r="AB59" s="175">
        <f t="shared" si="92"/>
        <v>44</v>
      </c>
      <c r="AC59" s="175">
        <f t="shared" si="93"/>
        <v>40</v>
      </c>
      <c r="AD59" s="207">
        <f t="shared" si="94"/>
        <v>12</v>
      </c>
      <c r="AE59" s="206">
        <f t="shared" si="95"/>
        <v>18</v>
      </c>
      <c r="AF59" s="175">
        <f t="shared" si="96"/>
        <v>24</v>
      </c>
      <c r="AG59" s="175">
        <f t="shared" si="97"/>
        <v>30</v>
      </c>
      <c r="AH59" s="175">
        <f t="shared" si="98"/>
        <v>33</v>
      </c>
      <c r="AI59" s="175">
        <f t="shared" si="99"/>
        <v>30</v>
      </c>
      <c r="AJ59" s="207">
        <f t="shared" si="100"/>
        <v>9</v>
      </c>
      <c r="AK59" s="206">
        <f t="shared" si="101"/>
        <v>24</v>
      </c>
      <c r="AL59" s="175">
        <f t="shared" si="102"/>
        <v>32</v>
      </c>
      <c r="AM59" s="175">
        <f t="shared" si="103"/>
        <v>40</v>
      </c>
      <c r="AN59" s="175">
        <f t="shared" si="104"/>
        <v>44</v>
      </c>
      <c r="AO59" s="175">
        <f t="shared" si="105"/>
        <v>40</v>
      </c>
      <c r="AP59" s="207">
        <f t="shared" si="106"/>
        <v>12</v>
      </c>
      <c r="AQ59" s="206">
        <f t="shared" si="107"/>
        <v>300</v>
      </c>
      <c r="AR59" s="175">
        <f t="shared" si="108"/>
        <v>400</v>
      </c>
      <c r="AS59" s="175">
        <f t="shared" si="109"/>
        <v>500</v>
      </c>
      <c r="AT59" s="175">
        <f t="shared" si="110"/>
        <v>550</v>
      </c>
      <c r="AU59" s="175">
        <f t="shared" si="111"/>
        <v>500</v>
      </c>
      <c r="AV59" s="207">
        <f t="shared" si="112"/>
        <v>150</v>
      </c>
      <c r="AW59" s="59"/>
      <c r="BE59" s="59"/>
      <c r="BL59" s="59"/>
    </row>
    <row r="60" spans="1:64" x14ac:dyDescent="0.2">
      <c r="A60">
        <f>+SUMIFS(Quest!$J:$J,Quest!$H:$H,QDrop!A$1,Quest!$N:$N,QDrop!$G60)</f>
        <v>4</v>
      </c>
      <c r="B60">
        <f>+SUMIFS(Quest!$J:$J,Quest!$H:$H,QDrop!B$1,Quest!$N:$N,QDrop!$G60)</f>
        <v>4</v>
      </c>
      <c r="C60">
        <f>+SUMIFS(Quest!$J:$J,Quest!$H:$H,QDrop!C$1,Quest!$N:$N,QDrop!$G60)</f>
        <v>8</v>
      </c>
      <c r="D60">
        <f>+SUMIFS(Quest!$J:$J,Quest!$H:$H,QDrop!D$1,Quest!$N:$N,QDrop!$G60)</f>
        <v>10</v>
      </c>
      <c r="E60">
        <f>+SUMIFS(Quest!$J:$J,Quest!$H:$H,QDrop!E$1,Quest!$N:$N,QDrop!$G60)</f>
        <v>7</v>
      </c>
      <c r="F60">
        <f>+SUMIFS(Quest!$J:$J,Quest!$H:$H,QDrop!F$1,Quest!$N:$N,QDrop!$G60)</f>
        <v>4</v>
      </c>
      <c r="G60" t="s">
        <v>18215</v>
      </c>
      <c r="H60">
        <v>4</v>
      </c>
      <c r="I60" t="s">
        <v>19601</v>
      </c>
      <c r="J60">
        <v>4</v>
      </c>
      <c r="K60" t="s">
        <v>19603</v>
      </c>
      <c r="L60">
        <v>4</v>
      </c>
      <c r="M60" t="s">
        <v>19604</v>
      </c>
      <c r="N60">
        <v>40</v>
      </c>
      <c r="O60" t="s">
        <v>19618</v>
      </c>
      <c r="S60" s="206">
        <f t="shared" si="83"/>
        <v>16</v>
      </c>
      <c r="T60" s="175">
        <f t="shared" si="84"/>
        <v>16</v>
      </c>
      <c r="U60" s="175">
        <f t="shared" si="85"/>
        <v>32</v>
      </c>
      <c r="V60" s="175">
        <f t="shared" si="86"/>
        <v>40</v>
      </c>
      <c r="W60" s="175">
        <f t="shared" si="87"/>
        <v>28</v>
      </c>
      <c r="X60" s="207">
        <f t="shared" si="88"/>
        <v>16</v>
      </c>
      <c r="Y60" s="206">
        <f t="shared" si="89"/>
        <v>16</v>
      </c>
      <c r="Z60" s="175">
        <f t="shared" si="90"/>
        <v>16</v>
      </c>
      <c r="AA60" s="175">
        <f t="shared" si="91"/>
        <v>32</v>
      </c>
      <c r="AB60" s="175">
        <f t="shared" si="92"/>
        <v>40</v>
      </c>
      <c r="AC60" s="175">
        <f t="shared" si="93"/>
        <v>28</v>
      </c>
      <c r="AD60" s="207">
        <f t="shared" si="94"/>
        <v>16</v>
      </c>
      <c r="AE60" s="206">
        <f t="shared" si="95"/>
        <v>16</v>
      </c>
      <c r="AF60" s="175">
        <f t="shared" si="96"/>
        <v>16</v>
      </c>
      <c r="AG60" s="175">
        <f t="shared" si="97"/>
        <v>32</v>
      </c>
      <c r="AH60" s="175">
        <f t="shared" si="98"/>
        <v>40</v>
      </c>
      <c r="AI60" s="175">
        <f t="shared" si="99"/>
        <v>28</v>
      </c>
      <c r="AJ60" s="207">
        <f t="shared" si="100"/>
        <v>16</v>
      </c>
      <c r="AK60" s="206">
        <f t="shared" si="101"/>
        <v>160</v>
      </c>
      <c r="AL60" s="175">
        <f t="shared" si="102"/>
        <v>160</v>
      </c>
      <c r="AM60" s="175">
        <f t="shared" si="103"/>
        <v>320</v>
      </c>
      <c r="AN60" s="175">
        <f t="shared" si="104"/>
        <v>400</v>
      </c>
      <c r="AO60" s="175">
        <f t="shared" si="105"/>
        <v>280</v>
      </c>
      <c r="AP60" s="207">
        <f t="shared" si="106"/>
        <v>160</v>
      </c>
      <c r="AQ60" s="206">
        <f t="shared" si="107"/>
        <v>0</v>
      </c>
      <c r="AR60" s="175">
        <f t="shared" si="108"/>
        <v>0</v>
      </c>
      <c r="AS60" s="175">
        <f t="shared" si="109"/>
        <v>0</v>
      </c>
      <c r="AT60" s="175">
        <f t="shared" si="110"/>
        <v>0</v>
      </c>
      <c r="AU60" s="175">
        <f t="shared" si="111"/>
        <v>0</v>
      </c>
      <c r="AV60" s="207">
        <f t="shared" si="112"/>
        <v>0</v>
      </c>
      <c r="AW60" s="59"/>
      <c r="BE60" s="59"/>
      <c r="BL60" s="59"/>
    </row>
    <row r="61" spans="1:64" x14ac:dyDescent="0.2">
      <c r="A61">
        <f>+SUMIFS(Quest!$J:$J,Quest!$H:$H,QDrop!A$1,Quest!$N:$N,QDrop!$G61)</f>
        <v>10</v>
      </c>
      <c r="B61">
        <f>+SUMIFS(Quest!$J:$J,Quest!$H:$H,QDrop!B$1,Quest!$N:$N,QDrop!$G61)</f>
        <v>10</v>
      </c>
      <c r="C61">
        <f>+SUMIFS(Quest!$J:$J,Quest!$H:$H,QDrop!C$1,Quest!$N:$N,QDrop!$G61)</f>
        <v>9</v>
      </c>
      <c r="D61">
        <f>+SUMIFS(Quest!$J:$J,Quest!$H:$H,QDrop!D$1,Quest!$N:$N,QDrop!$G61)</f>
        <v>9</v>
      </c>
      <c r="E61">
        <f>+SUMIFS(Quest!$J:$J,Quest!$H:$H,QDrop!E$1,Quest!$N:$N,QDrop!$G61)</f>
        <v>9</v>
      </c>
      <c r="F61">
        <f>+SUMIFS(Quest!$J:$J,Quest!$H:$H,QDrop!F$1,Quest!$N:$N,QDrop!$G61)</f>
        <v>1</v>
      </c>
      <c r="G61" t="s">
        <v>17347</v>
      </c>
      <c r="H61">
        <v>2</v>
      </c>
      <c r="I61" t="s">
        <v>12649</v>
      </c>
      <c r="S61" s="206">
        <f t="shared" si="83"/>
        <v>20</v>
      </c>
      <c r="T61" s="175">
        <f t="shared" si="84"/>
        <v>20</v>
      </c>
      <c r="U61" s="175">
        <f t="shared" si="85"/>
        <v>18</v>
      </c>
      <c r="V61" s="175">
        <f t="shared" si="86"/>
        <v>18</v>
      </c>
      <c r="W61" s="175">
        <f t="shared" si="87"/>
        <v>18</v>
      </c>
      <c r="X61" s="207">
        <f t="shared" si="88"/>
        <v>2</v>
      </c>
      <c r="Y61" s="206">
        <f t="shared" si="89"/>
        <v>0</v>
      </c>
      <c r="Z61" s="175">
        <f t="shared" si="90"/>
        <v>0</v>
      </c>
      <c r="AA61" s="175">
        <f t="shared" si="91"/>
        <v>0</v>
      </c>
      <c r="AB61" s="175">
        <f t="shared" si="92"/>
        <v>0</v>
      </c>
      <c r="AC61" s="175">
        <f t="shared" si="93"/>
        <v>0</v>
      </c>
      <c r="AD61" s="207">
        <f t="shared" si="94"/>
        <v>0</v>
      </c>
      <c r="AE61" s="206">
        <f t="shared" si="95"/>
        <v>0</v>
      </c>
      <c r="AF61" s="175">
        <f t="shared" si="96"/>
        <v>0</v>
      </c>
      <c r="AG61" s="175">
        <f t="shared" si="97"/>
        <v>0</v>
      </c>
      <c r="AH61" s="175">
        <f t="shared" si="98"/>
        <v>0</v>
      </c>
      <c r="AI61" s="175">
        <f t="shared" si="99"/>
        <v>0</v>
      </c>
      <c r="AJ61" s="207">
        <f t="shared" si="100"/>
        <v>0</v>
      </c>
      <c r="AK61" s="206">
        <f t="shared" si="101"/>
        <v>0</v>
      </c>
      <c r="AL61" s="175">
        <f t="shared" si="102"/>
        <v>0</v>
      </c>
      <c r="AM61" s="175">
        <f t="shared" si="103"/>
        <v>0</v>
      </c>
      <c r="AN61" s="175">
        <f t="shared" si="104"/>
        <v>0</v>
      </c>
      <c r="AO61" s="175">
        <f t="shared" si="105"/>
        <v>0</v>
      </c>
      <c r="AP61" s="207">
        <f t="shared" si="106"/>
        <v>0</v>
      </c>
      <c r="AQ61" s="206">
        <f t="shared" si="107"/>
        <v>0</v>
      </c>
      <c r="AR61" s="175">
        <f t="shared" si="108"/>
        <v>0</v>
      </c>
      <c r="AS61" s="175">
        <f t="shared" si="109"/>
        <v>0</v>
      </c>
      <c r="AT61" s="175">
        <f t="shared" si="110"/>
        <v>0</v>
      </c>
      <c r="AU61" s="175">
        <f t="shared" si="111"/>
        <v>0</v>
      </c>
      <c r="AV61" s="207">
        <f t="shared" si="112"/>
        <v>0</v>
      </c>
      <c r="AW61" s="59"/>
      <c r="BE61" s="59"/>
      <c r="BL61" s="59"/>
    </row>
    <row r="62" spans="1:64" x14ac:dyDescent="0.2">
      <c r="A62">
        <f>+SUMIFS(Quest!$J:$J,Quest!$H:$H,QDrop!A$1,Quest!$N:$N,QDrop!$G62)</f>
        <v>10</v>
      </c>
      <c r="B62">
        <f>+SUMIFS(Quest!$J:$J,Quest!$H:$H,QDrop!B$1,Quest!$N:$N,QDrop!$G62)</f>
        <v>10</v>
      </c>
      <c r="C62">
        <f>+SUMIFS(Quest!$J:$J,Quest!$H:$H,QDrop!C$1,Quest!$N:$N,QDrop!$G62)</f>
        <v>9</v>
      </c>
      <c r="D62">
        <f>+SUMIFS(Quest!$J:$J,Quest!$H:$H,QDrop!D$1,Quest!$N:$N,QDrop!$G62)</f>
        <v>9</v>
      </c>
      <c r="E62">
        <f>+SUMIFS(Quest!$J:$J,Quest!$H:$H,QDrop!E$1,Quest!$N:$N,QDrop!$G62)</f>
        <v>9</v>
      </c>
      <c r="F62">
        <f>+SUMIFS(Quest!$J:$J,Quest!$H:$H,QDrop!F$1,Quest!$N:$N,QDrop!$G62)</f>
        <v>1</v>
      </c>
      <c r="G62" t="s">
        <v>17348</v>
      </c>
      <c r="H62">
        <v>2</v>
      </c>
      <c r="I62" t="s">
        <v>12655</v>
      </c>
      <c r="S62" s="206">
        <f t="shared" si="83"/>
        <v>20</v>
      </c>
      <c r="T62" s="175">
        <f t="shared" si="84"/>
        <v>20</v>
      </c>
      <c r="U62" s="175">
        <f t="shared" si="85"/>
        <v>18</v>
      </c>
      <c r="V62" s="175">
        <f t="shared" si="86"/>
        <v>18</v>
      </c>
      <c r="W62" s="175">
        <f t="shared" si="87"/>
        <v>18</v>
      </c>
      <c r="X62" s="207">
        <f t="shared" si="88"/>
        <v>2</v>
      </c>
      <c r="Y62" s="206">
        <f t="shared" si="89"/>
        <v>0</v>
      </c>
      <c r="Z62" s="175">
        <f t="shared" si="90"/>
        <v>0</v>
      </c>
      <c r="AA62" s="175">
        <f t="shared" si="91"/>
        <v>0</v>
      </c>
      <c r="AB62" s="175">
        <f t="shared" si="92"/>
        <v>0</v>
      </c>
      <c r="AC62" s="175">
        <f t="shared" si="93"/>
        <v>0</v>
      </c>
      <c r="AD62" s="207">
        <f t="shared" si="94"/>
        <v>0</v>
      </c>
      <c r="AE62" s="206">
        <f t="shared" si="95"/>
        <v>0</v>
      </c>
      <c r="AF62" s="175">
        <f t="shared" si="96"/>
        <v>0</v>
      </c>
      <c r="AG62" s="175">
        <f t="shared" si="97"/>
        <v>0</v>
      </c>
      <c r="AH62" s="175">
        <f t="shared" si="98"/>
        <v>0</v>
      </c>
      <c r="AI62" s="175">
        <f t="shared" si="99"/>
        <v>0</v>
      </c>
      <c r="AJ62" s="207">
        <f t="shared" si="100"/>
        <v>0</v>
      </c>
      <c r="AK62" s="206">
        <f t="shared" si="101"/>
        <v>0</v>
      </c>
      <c r="AL62" s="175">
        <f t="shared" si="102"/>
        <v>0</v>
      </c>
      <c r="AM62" s="175">
        <f t="shared" si="103"/>
        <v>0</v>
      </c>
      <c r="AN62" s="175">
        <f t="shared" si="104"/>
        <v>0</v>
      </c>
      <c r="AO62" s="175">
        <f t="shared" si="105"/>
        <v>0</v>
      </c>
      <c r="AP62" s="207">
        <f t="shared" si="106"/>
        <v>0</v>
      </c>
      <c r="AQ62" s="206">
        <f t="shared" si="107"/>
        <v>0</v>
      </c>
      <c r="AR62" s="175">
        <f t="shared" si="108"/>
        <v>0</v>
      </c>
      <c r="AS62" s="175">
        <f t="shared" si="109"/>
        <v>0</v>
      </c>
      <c r="AT62" s="175">
        <f t="shared" si="110"/>
        <v>0</v>
      </c>
      <c r="AU62" s="175">
        <f t="shared" si="111"/>
        <v>0</v>
      </c>
      <c r="AV62" s="207">
        <f t="shared" si="112"/>
        <v>0</v>
      </c>
      <c r="AW62" s="59"/>
      <c r="BE62" s="59"/>
      <c r="BL62" s="59"/>
    </row>
    <row r="63" spans="1:64" x14ac:dyDescent="0.2">
      <c r="A63">
        <f>+SUMIFS(Quest!$J:$J,Quest!$H:$H,QDrop!A$1,Quest!$N:$N,QDrop!$G63)</f>
        <v>2</v>
      </c>
      <c r="B63">
        <f>+SUMIFS(Quest!$J:$J,Quest!$H:$H,QDrop!B$1,Quest!$N:$N,QDrop!$G63)</f>
        <v>2</v>
      </c>
      <c r="C63">
        <f>+SUMIFS(Quest!$J:$J,Quest!$H:$H,QDrop!C$1,Quest!$N:$N,QDrop!$G63)</f>
        <v>1</v>
      </c>
      <c r="D63">
        <f>+SUMIFS(Quest!$J:$J,Quest!$H:$H,QDrop!D$1,Quest!$N:$N,QDrop!$G63)</f>
        <v>1</v>
      </c>
      <c r="E63">
        <f>+SUMIFS(Quest!$J:$J,Quest!$H:$H,QDrop!E$1,Quest!$N:$N,QDrop!$G63)</f>
        <v>1</v>
      </c>
      <c r="F63">
        <f>+SUMIFS(Quest!$J:$J,Quest!$H:$H,QDrop!F$1,Quest!$N:$N,QDrop!$G63)</f>
        <v>1</v>
      </c>
      <c r="G63" t="s">
        <v>17349</v>
      </c>
      <c r="H63">
        <v>2</v>
      </c>
      <c r="I63" t="s">
        <v>12649</v>
      </c>
      <c r="J63">
        <v>2</v>
      </c>
      <c r="K63" t="s">
        <v>12655</v>
      </c>
      <c r="S63" s="206">
        <f t="shared" ref="S63:X63" si="113">+$H63*A63</f>
        <v>4</v>
      </c>
      <c r="T63" s="175">
        <f t="shared" si="113"/>
        <v>4</v>
      </c>
      <c r="U63" s="175">
        <f t="shared" si="113"/>
        <v>2</v>
      </c>
      <c r="V63" s="175">
        <f t="shared" si="113"/>
        <v>2</v>
      </c>
      <c r="W63" s="175">
        <f t="shared" si="113"/>
        <v>2</v>
      </c>
      <c r="X63" s="207">
        <f t="shared" si="113"/>
        <v>2</v>
      </c>
      <c r="Y63" s="206">
        <f t="shared" ref="Y63:AD63" si="114">+$J63*A63</f>
        <v>4</v>
      </c>
      <c r="Z63" s="175">
        <f t="shared" si="114"/>
        <v>4</v>
      </c>
      <c r="AA63" s="175">
        <f t="shared" si="114"/>
        <v>2</v>
      </c>
      <c r="AB63" s="175">
        <f t="shared" si="114"/>
        <v>2</v>
      </c>
      <c r="AC63" s="175">
        <f t="shared" si="114"/>
        <v>2</v>
      </c>
      <c r="AD63" s="207">
        <f t="shared" si="114"/>
        <v>2</v>
      </c>
      <c r="AE63" s="206">
        <f t="shared" ref="AE63:AJ63" si="115">+$L63*A63</f>
        <v>0</v>
      </c>
      <c r="AF63" s="175">
        <f t="shared" si="115"/>
        <v>0</v>
      </c>
      <c r="AG63" s="175">
        <f t="shared" si="115"/>
        <v>0</v>
      </c>
      <c r="AH63" s="175">
        <f t="shared" si="115"/>
        <v>0</v>
      </c>
      <c r="AI63" s="175">
        <f t="shared" si="115"/>
        <v>0</v>
      </c>
      <c r="AJ63" s="207">
        <f t="shared" si="115"/>
        <v>0</v>
      </c>
      <c r="AK63" s="206">
        <f t="shared" ref="AK63:AP63" si="116">+$N63*A63</f>
        <v>0</v>
      </c>
      <c r="AL63" s="175">
        <f t="shared" si="116"/>
        <v>0</v>
      </c>
      <c r="AM63" s="175">
        <f t="shared" si="116"/>
        <v>0</v>
      </c>
      <c r="AN63" s="175">
        <f t="shared" si="116"/>
        <v>0</v>
      </c>
      <c r="AO63" s="175">
        <f t="shared" si="116"/>
        <v>0</v>
      </c>
      <c r="AP63" s="207">
        <f t="shared" si="116"/>
        <v>0</v>
      </c>
      <c r="AQ63" s="206">
        <f t="shared" ref="AQ63:AV63" si="117">+$P63*A63</f>
        <v>0</v>
      </c>
      <c r="AR63" s="175">
        <f t="shared" si="117"/>
        <v>0</v>
      </c>
      <c r="AS63" s="175">
        <f t="shared" si="117"/>
        <v>0</v>
      </c>
      <c r="AT63" s="175">
        <f t="shared" si="117"/>
        <v>0</v>
      </c>
      <c r="AU63" s="175">
        <f t="shared" si="117"/>
        <v>0</v>
      </c>
      <c r="AV63" s="207">
        <f t="shared" si="117"/>
        <v>0</v>
      </c>
      <c r="AW63" s="59"/>
      <c r="BE63" s="59"/>
      <c r="BL63" s="59"/>
    </row>
    <row r="64" spans="1:64" x14ac:dyDescent="0.2">
      <c r="A64">
        <f>+SUMIFS(Quest!$J:$J,Quest!$H:$H,QDrop!A$1,Quest!$N:$N,QDrop!$G64)</f>
        <v>5</v>
      </c>
      <c r="B64">
        <f>+SUMIFS(Quest!$J:$J,Quest!$H:$H,QDrop!B$1,Quest!$N:$N,QDrop!$G64)</f>
        <v>5</v>
      </c>
      <c r="C64">
        <f>+SUMIFS(Quest!$J:$J,Quest!$H:$H,QDrop!C$1,Quest!$N:$N,QDrop!$G64)</f>
        <v>5</v>
      </c>
      <c r="D64">
        <f>+SUMIFS(Quest!$J:$J,Quest!$H:$H,QDrop!D$1,Quest!$N:$N,QDrop!$G64)</f>
        <v>5</v>
      </c>
      <c r="E64">
        <f>+SUMIFS(Quest!$J:$J,Quest!$H:$H,QDrop!E$1,Quest!$N:$N,QDrop!$G64)</f>
        <v>5</v>
      </c>
      <c r="F64">
        <f>+SUMIFS(Quest!$J:$J,Quest!$H:$H,QDrop!F$1,Quest!$N:$N,QDrop!$G64)</f>
        <v>0</v>
      </c>
      <c r="G64" t="s">
        <v>19376</v>
      </c>
      <c r="H64">
        <v>4</v>
      </c>
      <c r="I64" t="s">
        <v>12645</v>
      </c>
      <c r="J64">
        <v>1</v>
      </c>
      <c r="K64" t="s">
        <v>19619</v>
      </c>
      <c r="S64" s="206">
        <f t="shared" si="83"/>
        <v>20</v>
      </c>
      <c r="T64" s="175">
        <f t="shared" si="84"/>
        <v>20</v>
      </c>
      <c r="U64" s="175">
        <f t="shared" si="85"/>
        <v>20</v>
      </c>
      <c r="V64" s="175">
        <f t="shared" si="86"/>
        <v>20</v>
      </c>
      <c r="W64" s="175">
        <f t="shared" si="87"/>
        <v>20</v>
      </c>
      <c r="X64" s="207">
        <f t="shared" si="88"/>
        <v>0</v>
      </c>
      <c r="Y64" s="206">
        <f t="shared" si="89"/>
        <v>5</v>
      </c>
      <c r="Z64" s="175">
        <f t="shared" si="90"/>
        <v>5</v>
      </c>
      <c r="AA64" s="175">
        <f t="shared" si="91"/>
        <v>5</v>
      </c>
      <c r="AB64" s="175">
        <f t="shared" si="92"/>
        <v>5</v>
      </c>
      <c r="AC64" s="175">
        <f t="shared" si="93"/>
        <v>5</v>
      </c>
      <c r="AD64" s="207">
        <f t="shared" si="94"/>
        <v>0</v>
      </c>
      <c r="AE64" s="206">
        <f t="shared" si="95"/>
        <v>0</v>
      </c>
      <c r="AF64" s="175">
        <f t="shared" si="96"/>
        <v>0</v>
      </c>
      <c r="AG64" s="175">
        <f t="shared" si="97"/>
        <v>0</v>
      </c>
      <c r="AH64" s="175">
        <f t="shared" si="98"/>
        <v>0</v>
      </c>
      <c r="AI64" s="175">
        <f t="shared" si="99"/>
        <v>0</v>
      </c>
      <c r="AJ64" s="207">
        <f t="shared" si="100"/>
        <v>0</v>
      </c>
      <c r="AK64" s="206">
        <f t="shared" si="101"/>
        <v>0</v>
      </c>
      <c r="AL64" s="175">
        <f t="shared" si="102"/>
        <v>0</v>
      </c>
      <c r="AM64" s="175">
        <f t="shared" si="103"/>
        <v>0</v>
      </c>
      <c r="AN64" s="175">
        <f t="shared" si="104"/>
        <v>0</v>
      </c>
      <c r="AO64" s="175">
        <f t="shared" si="105"/>
        <v>0</v>
      </c>
      <c r="AP64" s="207">
        <f t="shared" si="106"/>
        <v>0</v>
      </c>
      <c r="AQ64" s="206">
        <f t="shared" si="107"/>
        <v>0</v>
      </c>
      <c r="AR64" s="175">
        <f t="shared" si="108"/>
        <v>0</v>
      </c>
      <c r="AS64" s="175">
        <f t="shared" si="109"/>
        <v>0</v>
      </c>
      <c r="AT64" s="175">
        <f t="shared" si="110"/>
        <v>0</v>
      </c>
      <c r="AU64" s="175">
        <f t="shared" si="111"/>
        <v>0</v>
      </c>
      <c r="AV64" s="207">
        <f t="shared" si="112"/>
        <v>0</v>
      </c>
      <c r="AW64" s="59"/>
      <c r="BE64" s="59"/>
      <c r="BL64" s="59"/>
    </row>
    <row r="65" spans="1:64" x14ac:dyDescent="0.2">
      <c r="A65">
        <f>+SUMIFS(Quest!$J:$J,Quest!$H:$H,QDrop!A$1,Quest!$N:$N,QDrop!$G65)</f>
        <v>5</v>
      </c>
      <c r="B65">
        <f>+SUMIFS(Quest!$J:$J,Quest!$H:$H,QDrop!B$1,Quest!$N:$N,QDrop!$G65)</f>
        <v>5</v>
      </c>
      <c r="C65">
        <f>+SUMIFS(Quest!$J:$J,Quest!$H:$H,QDrop!C$1,Quest!$N:$N,QDrop!$G65)</f>
        <v>5</v>
      </c>
      <c r="D65">
        <f>+SUMIFS(Quest!$J:$J,Quest!$H:$H,QDrop!D$1,Quest!$N:$N,QDrop!$G65)</f>
        <v>5</v>
      </c>
      <c r="E65">
        <f>+SUMIFS(Quest!$J:$J,Quest!$H:$H,QDrop!E$1,Quest!$N:$N,QDrop!$G65)</f>
        <v>5</v>
      </c>
      <c r="F65">
        <f>+SUMIFS(Quest!$J:$J,Quest!$H:$H,QDrop!F$1,Quest!$N:$N,QDrop!$G65)</f>
        <v>0</v>
      </c>
      <c r="G65" t="s">
        <v>19385</v>
      </c>
      <c r="H65">
        <v>4</v>
      </c>
      <c r="I65" t="s">
        <v>12651</v>
      </c>
      <c r="J65">
        <v>1</v>
      </c>
      <c r="K65" t="s">
        <v>19619</v>
      </c>
      <c r="S65" s="206">
        <f t="shared" si="83"/>
        <v>20</v>
      </c>
      <c r="T65" s="175">
        <f t="shared" si="84"/>
        <v>20</v>
      </c>
      <c r="U65" s="175">
        <f t="shared" si="85"/>
        <v>20</v>
      </c>
      <c r="V65" s="175">
        <f t="shared" si="86"/>
        <v>20</v>
      </c>
      <c r="W65" s="175">
        <f t="shared" si="87"/>
        <v>20</v>
      </c>
      <c r="X65" s="207">
        <f t="shared" si="88"/>
        <v>0</v>
      </c>
      <c r="Y65" s="206">
        <f t="shared" si="89"/>
        <v>5</v>
      </c>
      <c r="Z65" s="175">
        <f t="shared" si="90"/>
        <v>5</v>
      </c>
      <c r="AA65" s="175">
        <f t="shared" si="91"/>
        <v>5</v>
      </c>
      <c r="AB65" s="175">
        <f t="shared" si="92"/>
        <v>5</v>
      </c>
      <c r="AC65" s="175">
        <f t="shared" si="93"/>
        <v>5</v>
      </c>
      <c r="AD65" s="207">
        <f t="shared" si="94"/>
        <v>0</v>
      </c>
      <c r="AE65" s="206">
        <f t="shared" si="95"/>
        <v>0</v>
      </c>
      <c r="AF65" s="175">
        <f t="shared" si="96"/>
        <v>0</v>
      </c>
      <c r="AG65" s="175">
        <f t="shared" si="97"/>
        <v>0</v>
      </c>
      <c r="AH65" s="175">
        <f t="shared" si="98"/>
        <v>0</v>
      </c>
      <c r="AI65" s="175">
        <f t="shared" si="99"/>
        <v>0</v>
      </c>
      <c r="AJ65" s="207">
        <f t="shared" si="100"/>
        <v>0</v>
      </c>
      <c r="AK65" s="206">
        <f t="shared" si="101"/>
        <v>0</v>
      </c>
      <c r="AL65" s="175">
        <f t="shared" si="102"/>
        <v>0</v>
      </c>
      <c r="AM65" s="175">
        <f t="shared" si="103"/>
        <v>0</v>
      </c>
      <c r="AN65" s="175">
        <f t="shared" si="104"/>
        <v>0</v>
      </c>
      <c r="AO65" s="175">
        <f t="shared" si="105"/>
        <v>0</v>
      </c>
      <c r="AP65" s="207">
        <f t="shared" si="106"/>
        <v>0</v>
      </c>
      <c r="AQ65" s="206">
        <f t="shared" si="107"/>
        <v>0</v>
      </c>
      <c r="AR65" s="175">
        <f t="shared" si="108"/>
        <v>0</v>
      </c>
      <c r="AS65" s="175">
        <f t="shared" si="109"/>
        <v>0</v>
      </c>
      <c r="AT65" s="175">
        <f t="shared" si="110"/>
        <v>0</v>
      </c>
      <c r="AU65" s="175">
        <f t="shared" si="111"/>
        <v>0</v>
      </c>
      <c r="AV65" s="207">
        <f t="shared" si="112"/>
        <v>0</v>
      </c>
      <c r="AW65" s="59"/>
      <c r="BE65" s="59"/>
      <c r="BL65" s="59"/>
    </row>
    <row r="66" spans="1:64" x14ac:dyDescent="0.2">
      <c r="A66">
        <f>+SUMIFS(Quest!$J:$J,Quest!$H:$H,QDrop!A$1,Quest!$N:$N,QDrop!$G66)</f>
        <v>5</v>
      </c>
      <c r="B66">
        <f>+SUMIFS(Quest!$J:$J,Quest!$H:$H,QDrop!B$1,Quest!$N:$N,QDrop!$G66)</f>
        <v>5</v>
      </c>
      <c r="C66">
        <f>+SUMIFS(Quest!$J:$J,Quest!$H:$H,QDrop!C$1,Quest!$N:$N,QDrop!$G66)</f>
        <v>5</v>
      </c>
      <c r="D66">
        <f>+SUMIFS(Quest!$J:$J,Quest!$H:$H,QDrop!D$1,Quest!$N:$N,QDrop!$G66)</f>
        <v>5</v>
      </c>
      <c r="E66">
        <f>+SUMIFS(Quest!$J:$J,Quest!$H:$H,QDrop!E$1,Quest!$N:$N,QDrop!$G66)</f>
        <v>5</v>
      </c>
      <c r="F66">
        <f>+SUMIFS(Quest!$J:$J,Quest!$H:$H,QDrop!F$1,Quest!$N:$N,QDrop!$G66)</f>
        <v>0</v>
      </c>
      <c r="G66" t="s">
        <v>19404</v>
      </c>
      <c r="H66">
        <v>4</v>
      </c>
      <c r="I66" t="s">
        <v>12676</v>
      </c>
      <c r="J66">
        <v>2</v>
      </c>
      <c r="K66" t="s">
        <v>19619</v>
      </c>
      <c r="S66" s="206">
        <f t="shared" si="83"/>
        <v>20</v>
      </c>
      <c r="T66" s="175">
        <f t="shared" si="84"/>
        <v>20</v>
      </c>
      <c r="U66" s="175">
        <f t="shared" si="85"/>
        <v>20</v>
      </c>
      <c r="V66" s="175">
        <f t="shared" si="86"/>
        <v>20</v>
      </c>
      <c r="W66" s="175">
        <f t="shared" si="87"/>
        <v>20</v>
      </c>
      <c r="X66" s="207">
        <f t="shared" si="88"/>
        <v>0</v>
      </c>
      <c r="Y66" s="206">
        <f t="shared" si="89"/>
        <v>10</v>
      </c>
      <c r="Z66" s="175">
        <f t="shared" si="90"/>
        <v>10</v>
      </c>
      <c r="AA66" s="175">
        <f t="shared" si="91"/>
        <v>10</v>
      </c>
      <c r="AB66" s="175">
        <f t="shared" si="92"/>
        <v>10</v>
      </c>
      <c r="AC66" s="175">
        <f t="shared" si="93"/>
        <v>10</v>
      </c>
      <c r="AD66" s="207">
        <f t="shared" si="94"/>
        <v>0</v>
      </c>
      <c r="AE66" s="206">
        <f t="shared" si="95"/>
        <v>0</v>
      </c>
      <c r="AF66" s="175">
        <f t="shared" si="96"/>
        <v>0</v>
      </c>
      <c r="AG66" s="175">
        <f t="shared" si="97"/>
        <v>0</v>
      </c>
      <c r="AH66" s="175">
        <f t="shared" si="98"/>
        <v>0</v>
      </c>
      <c r="AI66" s="175">
        <f t="shared" si="99"/>
        <v>0</v>
      </c>
      <c r="AJ66" s="207">
        <f t="shared" si="100"/>
        <v>0</v>
      </c>
      <c r="AK66" s="206">
        <f t="shared" si="101"/>
        <v>0</v>
      </c>
      <c r="AL66" s="175">
        <f t="shared" si="102"/>
        <v>0</v>
      </c>
      <c r="AM66" s="175">
        <f t="shared" si="103"/>
        <v>0</v>
      </c>
      <c r="AN66" s="175">
        <f t="shared" si="104"/>
        <v>0</v>
      </c>
      <c r="AO66" s="175">
        <f t="shared" si="105"/>
        <v>0</v>
      </c>
      <c r="AP66" s="207">
        <f t="shared" si="106"/>
        <v>0</v>
      </c>
      <c r="AQ66" s="206">
        <f t="shared" si="107"/>
        <v>0</v>
      </c>
      <c r="AR66" s="175">
        <f t="shared" si="108"/>
        <v>0</v>
      </c>
      <c r="AS66" s="175">
        <f t="shared" si="109"/>
        <v>0</v>
      </c>
      <c r="AT66" s="175">
        <f t="shared" si="110"/>
        <v>0</v>
      </c>
      <c r="AU66" s="175">
        <f t="shared" si="111"/>
        <v>0</v>
      </c>
      <c r="AV66" s="207">
        <f t="shared" si="112"/>
        <v>0</v>
      </c>
      <c r="AW66" s="59"/>
      <c r="BE66" s="59"/>
      <c r="BL66" s="59"/>
    </row>
    <row r="67" spans="1:64" x14ac:dyDescent="0.2">
      <c r="A67">
        <f>+SUMIFS(Quest!$J:$J,Quest!$H:$H,QDrop!A$1,Quest!$N:$N,QDrop!$G67)</f>
        <v>5</v>
      </c>
      <c r="B67">
        <f>+SUMIFS(Quest!$J:$J,Quest!$H:$H,QDrop!B$1,Quest!$N:$N,QDrop!$G67)</f>
        <v>5</v>
      </c>
      <c r="C67">
        <f>+SUMIFS(Quest!$J:$J,Quest!$H:$H,QDrop!C$1,Quest!$N:$N,QDrop!$G67)</f>
        <v>5</v>
      </c>
      <c r="D67">
        <f>+SUMIFS(Quest!$J:$J,Quest!$H:$H,QDrop!D$1,Quest!$N:$N,QDrop!$G67)</f>
        <v>5</v>
      </c>
      <c r="E67">
        <f>+SUMIFS(Quest!$J:$J,Quest!$H:$H,QDrop!E$1,Quest!$N:$N,QDrop!$G67)</f>
        <v>5</v>
      </c>
      <c r="F67">
        <f>+SUMIFS(Quest!$J:$J,Quest!$H:$H,QDrop!F$1,Quest!$N:$N,QDrop!$G67)</f>
        <v>0</v>
      </c>
      <c r="G67" t="s">
        <v>19397</v>
      </c>
      <c r="H67">
        <v>4</v>
      </c>
      <c r="I67" t="s">
        <v>12673</v>
      </c>
      <c r="J67">
        <v>2</v>
      </c>
      <c r="K67" t="s">
        <v>19619</v>
      </c>
      <c r="S67" s="206">
        <f t="shared" si="83"/>
        <v>20</v>
      </c>
      <c r="T67" s="175">
        <f t="shared" si="84"/>
        <v>20</v>
      </c>
      <c r="U67" s="175">
        <f t="shared" si="85"/>
        <v>20</v>
      </c>
      <c r="V67" s="175">
        <f t="shared" si="86"/>
        <v>20</v>
      </c>
      <c r="W67" s="175">
        <f t="shared" si="87"/>
        <v>20</v>
      </c>
      <c r="X67" s="207">
        <f t="shared" si="88"/>
        <v>0</v>
      </c>
      <c r="Y67" s="206">
        <f t="shared" si="89"/>
        <v>10</v>
      </c>
      <c r="Z67" s="175">
        <f t="shared" si="90"/>
        <v>10</v>
      </c>
      <c r="AA67" s="175">
        <f t="shared" si="91"/>
        <v>10</v>
      </c>
      <c r="AB67" s="175">
        <f t="shared" si="92"/>
        <v>10</v>
      </c>
      <c r="AC67" s="175">
        <f t="shared" si="93"/>
        <v>10</v>
      </c>
      <c r="AD67" s="207">
        <f t="shared" si="94"/>
        <v>0</v>
      </c>
      <c r="AE67" s="206">
        <f t="shared" si="95"/>
        <v>0</v>
      </c>
      <c r="AF67" s="175">
        <f t="shared" si="96"/>
        <v>0</v>
      </c>
      <c r="AG67" s="175">
        <f t="shared" si="97"/>
        <v>0</v>
      </c>
      <c r="AH67" s="175">
        <f t="shared" si="98"/>
        <v>0</v>
      </c>
      <c r="AI67" s="175">
        <f t="shared" si="99"/>
        <v>0</v>
      </c>
      <c r="AJ67" s="207">
        <f t="shared" si="100"/>
        <v>0</v>
      </c>
      <c r="AK67" s="206">
        <f t="shared" si="101"/>
        <v>0</v>
      </c>
      <c r="AL67" s="175">
        <f t="shared" si="102"/>
        <v>0</v>
      </c>
      <c r="AM67" s="175">
        <f t="shared" si="103"/>
        <v>0</v>
      </c>
      <c r="AN67" s="175">
        <f t="shared" si="104"/>
        <v>0</v>
      </c>
      <c r="AO67" s="175">
        <f t="shared" si="105"/>
        <v>0</v>
      </c>
      <c r="AP67" s="207">
        <f t="shared" si="106"/>
        <v>0</v>
      </c>
      <c r="AQ67" s="206">
        <f t="shared" si="107"/>
        <v>0</v>
      </c>
      <c r="AR67" s="175">
        <f t="shared" si="108"/>
        <v>0</v>
      </c>
      <c r="AS67" s="175">
        <f t="shared" si="109"/>
        <v>0</v>
      </c>
      <c r="AT67" s="175">
        <f t="shared" si="110"/>
        <v>0</v>
      </c>
      <c r="AU67" s="175">
        <f t="shared" si="111"/>
        <v>0</v>
      </c>
      <c r="AV67" s="207">
        <f t="shared" si="112"/>
        <v>0</v>
      </c>
      <c r="AW67" s="59"/>
      <c r="BE67" s="59"/>
      <c r="BL67" s="59"/>
    </row>
    <row r="68" spans="1:64" x14ac:dyDescent="0.2">
      <c r="A68">
        <f>+SUMIFS(Quest!$J:$J,Quest!$H:$H,QDrop!A$1,Quest!$N:$N,QDrop!$G68)</f>
        <v>5</v>
      </c>
      <c r="B68">
        <f>+SUMIFS(Quest!$J:$J,Quest!$H:$H,QDrop!B$1,Quest!$N:$N,QDrop!$G68)</f>
        <v>5</v>
      </c>
      <c r="C68">
        <f>+SUMIFS(Quest!$J:$J,Quest!$H:$H,QDrop!C$1,Quest!$N:$N,QDrop!$G68)</f>
        <v>5</v>
      </c>
      <c r="D68">
        <f>+SUMIFS(Quest!$J:$J,Quest!$H:$H,QDrop!D$1,Quest!$N:$N,QDrop!$G68)</f>
        <v>5</v>
      </c>
      <c r="E68">
        <f>+SUMIFS(Quest!$J:$J,Quest!$H:$H,QDrop!E$1,Quest!$N:$N,QDrop!$G68)</f>
        <v>5</v>
      </c>
      <c r="F68">
        <f>+SUMIFS(Quest!$J:$J,Quest!$H:$H,QDrop!F$1,Quest!$N:$N,QDrop!$G68)</f>
        <v>0</v>
      </c>
      <c r="G68" t="s">
        <v>19392</v>
      </c>
      <c r="H68">
        <v>4</v>
      </c>
      <c r="I68" t="s">
        <v>12657</v>
      </c>
      <c r="J68">
        <v>2</v>
      </c>
      <c r="K68" t="s">
        <v>19619</v>
      </c>
      <c r="S68" s="206">
        <f t="shared" si="83"/>
        <v>20</v>
      </c>
      <c r="T68" s="175">
        <f t="shared" si="84"/>
        <v>20</v>
      </c>
      <c r="U68" s="175">
        <f t="shared" si="85"/>
        <v>20</v>
      </c>
      <c r="V68" s="175">
        <f t="shared" si="86"/>
        <v>20</v>
      </c>
      <c r="W68" s="175">
        <f t="shared" si="87"/>
        <v>20</v>
      </c>
      <c r="X68" s="207">
        <f t="shared" si="88"/>
        <v>0</v>
      </c>
      <c r="Y68" s="206">
        <f t="shared" si="89"/>
        <v>10</v>
      </c>
      <c r="Z68" s="175">
        <f t="shared" si="90"/>
        <v>10</v>
      </c>
      <c r="AA68" s="175">
        <f t="shared" si="91"/>
        <v>10</v>
      </c>
      <c r="AB68" s="175">
        <f t="shared" si="92"/>
        <v>10</v>
      </c>
      <c r="AC68" s="175">
        <f t="shared" si="93"/>
        <v>10</v>
      </c>
      <c r="AD68" s="207">
        <f t="shared" si="94"/>
        <v>0</v>
      </c>
      <c r="AE68" s="206">
        <f t="shared" si="95"/>
        <v>0</v>
      </c>
      <c r="AF68" s="175">
        <f t="shared" si="96"/>
        <v>0</v>
      </c>
      <c r="AG68" s="175">
        <f t="shared" si="97"/>
        <v>0</v>
      </c>
      <c r="AH68" s="175">
        <f t="shared" si="98"/>
        <v>0</v>
      </c>
      <c r="AI68" s="175">
        <f t="shared" si="99"/>
        <v>0</v>
      </c>
      <c r="AJ68" s="207">
        <f t="shared" si="100"/>
        <v>0</v>
      </c>
      <c r="AK68" s="206">
        <f t="shared" si="101"/>
        <v>0</v>
      </c>
      <c r="AL68" s="175">
        <f t="shared" si="102"/>
        <v>0</v>
      </c>
      <c r="AM68" s="175">
        <f t="shared" si="103"/>
        <v>0</v>
      </c>
      <c r="AN68" s="175">
        <f t="shared" si="104"/>
        <v>0</v>
      </c>
      <c r="AO68" s="175">
        <f t="shared" si="105"/>
        <v>0</v>
      </c>
      <c r="AP68" s="207">
        <f t="shared" si="106"/>
        <v>0</v>
      </c>
      <c r="AQ68" s="206">
        <f t="shared" si="107"/>
        <v>0</v>
      </c>
      <c r="AR68" s="175">
        <f t="shared" si="108"/>
        <v>0</v>
      </c>
      <c r="AS68" s="175">
        <f t="shared" si="109"/>
        <v>0</v>
      </c>
      <c r="AT68" s="175">
        <f t="shared" si="110"/>
        <v>0</v>
      </c>
      <c r="AU68" s="175">
        <f t="shared" si="111"/>
        <v>0</v>
      </c>
      <c r="AV68" s="207">
        <f t="shared" si="112"/>
        <v>0</v>
      </c>
      <c r="AW68" s="59"/>
      <c r="BE68" s="59"/>
      <c r="BL68" s="59"/>
    </row>
    <row r="69" spans="1:64" x14ac:dyDescent="0.2">
      <c r="A69">
        <f>+SUMIFS(Quest!$J:$J,Quest!$H:$H,QDrop!A$1,Quest!$N:$N,QDrop!$G69)</f>
        <v>8</v>
      </c>
      <c r="B69">
        <f>+SUMIFS(Quest!$J:$J,Quest!$H:$H,QDrop!B$1,Quest!$N:$N,QDrop!$G69)</f>
        <v>5</v>
      </c>
      <c r="C69">
        <f>+SUMIFS(Quest!$J:$J,Quest!$H:$H,QDrop!C$1,Quest!$N:$N,QDrop!$G69)</f>
        <v>5</v>
      </c>
      <c r="D69">
        <f>+SUMIFS(Quest!$J:$J,Quest!$H:$H,QDrop!D$1,Quest!$N:$N,QDrop!$G69)</f>
        <v>5</v>
      </c>
      <c r="E69">
        <f>+SUMIFS(Quest!$J:$J,Quest!$H:$H,QDrop!E$1,Quest!$N:$N,QDrop!$G69)</f>
        <v>5</v>
      </c>
      <c r="F69">
        <f>+SUMIFS(Quest!$J:$J,Quest!$H:$H,QDrop!F$1,Quest!$N:$N,QDrop!$G69)</f>
        <v>0</v>
      </c>
      <c r="G69" t="s">
        <v>16621</v>
      </c>
      <c r="H69">
        <v>2</v>
      </c>
      <c r="I69" t="s">
        <v>11231</v>
      </c>
      <c r="J69">
        <v>3</v>
      </c>
      <c r="K69" t="s">
        <v>19619</v>
      </c>
      <c r="S69" s="206">
        <f t="shared" si="83"/>
        <v>16</v>
      </c>
      <c r="T69" s="175">
        <f t="shared" si="84"/>
        <v>10</v>
      </c>
      <c r="U69" s="175">
        <f t="shared" si="85"/>
        <v>10</v>
      </c>
      <c r="V69" s="175">
        <f t="shared" si="86"/>
        <v>10</v>
      </c>
      <c r="W69" s="175">
        <f t="shared" si="87"/>
        <v>10</v>
      </c>
      <c r="X69" s="207">
        <f t="shared" si="88"/>
        <v>0</v>
      </c>
      <c r="Y69" s="206">
        <f t="shared" si="89"/>
        <v>24</v>
      </c>
      <c r="Z69" s="175">
        <f t="shared" si="90"/>
        <v>15</v>
      </c>
      <c r="AA69" s="175">
        <f t="shared" si="91"/>
        <v>15</v>
      </c>
      <c r="AB69" s="175">
        <f t="shared" si="92"/>
        <v>15</v>
      </c>
      <c r="AC69" s="175">
        <f t="shared" si="93"/>
        <v>15</v>
      </c>
      <c r="AD69" s="207">
        <f t="shared" si="94"/>
        <v>0</v>
      </c>
      <c r="AE69" s="206">
        <f t="shared" si="95"/>
        <v>0</v>
      </c>
      <c r="AF69" s="175">
        <f t="shared" si="96"/>
        <v>0</v>
      </c>
      <c r="AG69" s="175">
        <f t="shared" si="97"/>
        <v>0</v>
      </c>
      <c r="AH69" s="175">
        <f t="shared" si="98"/>
        <v>0</v>
      </c>
      <c r="AI69" s="175">
        <f t="shared" si="99"/>
        <v>0</v>
      </c>
      <c r="AJ69" s="207">
        <f t="shared" si="100"/>
        <v>0</v>
      </c>
      <c r="AK69" s="206">
        <f t="shared" si="101"/>
        <v>0</v>
      </c>
      <c r="AL69" s="175">
        <f t="shared" si="102"/>
        <v>0</v>
      </c>
      <c r="AM69" s="175">
        <f t="shared" si="103"/>
        <v>0</v>
      </c>
      <c r="AN69" s="175">
        <f t="shared" si="104"/>
        <v>0</v>
      </c>
      <c r="AO69" s="175">
        <f t="shared" si="105"/>
        <v>0</v>
      </c>
      <c r="AP69" s="207">
        <f t="shared" si="106"/>
        <v>0</v>
      </c>
      <c r="AQ69" s="206">
        <f t="shared" si="107"/>
        <v>0</v>
      </c>
      <c r="AR69" s="175">
        <f t="shared" si="108"/>
        <v>0</v>
      </c>
      <c r="AS69" s="175">
        <f t="shared" si="109"/>
        <v>0</v>
      </c>
      <c r="AT69" s="175">
        <f t="shared" si="110"/>
        <v>0</v>
      </c>
      <c r="AU69" s="175">
        <f t="shared" si="111"/>
        <v>0</v>
      </c>
      <c r="AV69" s="207">
        <f t="shared" si="112"/>
        <v>0</v>
      </c>
      <c r="AW69" s="59"/>
      <c r="BE69" s="59"/>
      <c r="BL69" s="59"/>
    </row>
    <row r="70" spans="1:64" x14ac:dyDescent="0.2">
      <c r="A70">
        <f>+SUMIFS(Quest!$J:$J,Quest!$H:$H,QDrop!A$1,Quest!$N:$N,QDrop!$G70)</f>
        <v>7</v>
      </c>
      <c r="B70">
        <f>+SUMIFS(Quest!$J:$J,Quest!$H:$H,QDrop!B$1,Quest!$N:$N,QDrop!$G70)</f>
        <v>7</v>
      </c>
      <c r="C70">
        <f>+SUMIFS(Quest!$J:$J,Quest!$H:$H,QDrop!C$1,Quest!$N:$N,QDrop!$G70)</f>
        <v>7</v>
      </c>
      <c r="D70">
        <f>+SUMIFS(Quest!$J:$J,Quest!$H:$H,QDrop!D$1,Quest!$N:$N,QDrop!$G70)</f>
        <v>7</v>
      </c>
      <c r="E70">
        <f>+SUMIFS(Quest!$J:$J,Quest!$H:$H,QDrop!E$1,Quest!$N:$N,QDrop!$G70)</f>
        <v>7</v>
      </c>
      <c r="F70">
        <f>+SUMIFS(Quest!$J:$J,Quest!$H:$H,QDrop!F$1,Quest!$N:$N,QDrop!$G70)</f>
        <v>0</v>
      </c>
      <c r="G70" t="s">
        <v>16550</v>
      </c>
      <c r="H70">
        <v>2</v>
      </c>
      <c r="I70" t="s">
        <v>12684</v>
      </c>
      <c r="J70">
        <v>3</v>
      </c>
      <c r="K70" t="s">
        <v>19619</v>
      </c>
      <c r="S70" s="206">
        <f t="shared" si="83"/>
        <v>14</v>
      </c>
      <c r="T70" s="175">
        <f t="shared" si="84"/>
        <v>14</v>
      </c>
      <c r="U70" s="175">
        <f t="shared" si="85"/>
        <v>14</v>
      </c>
      <c r="V70" s="175">
        <f t="shared" si="86"/>
        <v>14</v>
      </c>
      <c r="W70" s="175">
        <f t="shared" si="87"/>
        <v>14</v>
      </c>
      <c r="X70" s="207">
        <f t="shared" si="88"/>
        <v>0</v>
      </c>
      <c r="Y70" s="206">
        <f t="shared" si="89"/>
        <v>21</v>
      </c>
      <c r="Z70" s="175">
        <f t="shared" si="90"/>
        <v>21</v>
      </c>
      <c r="AA70" s="175">
        <f t="shared" si="91"/>
        <v>21</v>
      </c>
      <c r="AB70" s="175">
        <f t="shared" si="92"/>
        <v>21</v>
      </c>
      <c r="AC70" s="175">
        <f t="shared" si="93"/>
        <v>21</v>
      </c>
      <c r="AD70" s="207">
        <f t="shared" si="94"/>
        <v>0</v>
      </c>
      <c r="AE70" s="206">
        <f t="shared" si="95"/>
        <v>0</v>
      </c>
      <c r="AF70" s="175">
        <f t="shared" si="96"/>
        <v>0</v>
      </c>
      <c r="AG70" s="175">
        <f t="shared" si="97"/>
        <v>0</v>
      </c>
      <c r="AH70" s="175">
        <f t="shared" si="98"/>
        <v>0</v>
      </c>
      <c r="AI70" s="175">
        <f t="shared" si="99"/>
        <v>0</v>
      </c>
      <c r="AJ70" s="207">
        <f t="shared" si="100"/>
        <v>0</v>
      </c>
      <c r="AK70" s="206">
        <f t="shared" si="101"/>
        <v>0</v>
      </c>
      <c r="AL70" s="175">
        <f t="shared" si="102"/>
        <v>0</v>
      </c>
      <c r="AM70" s="175">
        <f t="shared" si="103"/>
        <v>0</v>
      </c>
      <c r="AN70" s="175">
        <f t="shared" si="104"/>
        <v>0</v>
      </c>
      <c r="AO70" s="175">
        <f t="shared" si="105"/>
        <v>0</v>
      </c>
      <c r="AP70" s="207">
        <f t="shared" si="106"/>
        <v>0</v>
      </c>
      <c r="AQ70" s="206">
        <f t="shared" si="107"/>
        <v>0</v>
      </c>
      <c r="AR70" s="175">
        <f t="shared" si="108"/>
        <v>0</v>
      </c>
      <c r="AS70" s="175">
        <f t="shared" si="109"/>
        <v>0</v>
      </c>
      <c r="AT70" s="175">
        <f t="shared" si="110"/>
        <v>0</v>
      </c>
      <c r="AU70" s="175">
        <f t="shared" si="111"/>
        <v>0</v>
      </c>
      <c r="AV70" s="207">
        <f t="shared" si="112"/>
        <v>0</v>
      </c>
      <c r="AW70" s="59"/>
      <c r="BE70" s="59"/>
      <c r="BL70" s="59"/>
    </row>
    <row r="71" spans="1:64" x14ac:dyDescent="0.2">
      <c r="A71">
        <f>+SUMIFS(Quest!$J:$J,Quest!$H:$H,QDrop!A$1,Quest!$N:$N,QDrop!$G71)</f>
        <v>5</v>
      </c>
      <c r="B71">
        <f>+SUMIFS(Quest!$J:$J,Quest!$H:$H,QDrop!B$1,Quest!$N:$N,QDrop!$G71)</f>
        <v>5</v>
      </c>
      <c r="C71">
        <f>+SUMIFS(Quest!$J:$J,Quest!$H:$H,QDrop!C$1,Quest!$N:$N,QDrop!$G71)</f>
        <v>5</v>
      </c>
      <c r="D71">
        <f>+SUMIFS(Quest!$J:$J,Quest!$H:$H,QDrop!D$1,Quest!$N:$N,QDrop!$G71)</f>
        <v>5</v>
      </c>
      <c r="E71">
        <f>+SUMIFS(Quest!$J:$J,Quest!$H:$H,QDrop!E$1,Quest!$N:$N,QDrop!$G71)</f>
        <v>5</v>
      </c>
      <c r="F71">
        <f>+SUMIFS(Quest!$J:$J,Quest!$H:$H,QDrop!F$1,Quest!$N:$N,QDrop!$G71)</f>
        <v>0</v>
      </c>
      <c r="G71" t="s">
        <v>19418</v>
      </c>
      <c r="H71">
        <v>4</v>
      </c>
      <c r="I71" t="s">
        <v>12681</v>
      </c>
      <c r="J71">
        <v>3</v>
      </c>
      <c r="K71" t="s">
        <v>19619</v>
      </c>
      <c r="S71" s="206">
        <f t="shared" si="83"/>
        <v>20</v>
      </c>
      <c r="T71" s="175">
        <f t="shared" si="84"/>
        <v>20</v>
      </c>
      <c r="U71" s="175">
        <f t="shared" si="85"/>
        <v>20</v>
      </c>
      <c r="V71" s="175">
        <f t="shared" si="86"/>
        <v>20</v>
      </c>
      <c r="W71" s="175">
        <f t="shared" si="87"/>
        <v>20</v>
      </c>
      <c r="X71" s="207">
        <f t="shared" si="88"/>
        <v>0</v>
      </c>
      <c r="Y71" s="206">
        <f t="shared" si="89"/>
        <v>15</v>
      </c>
      <c r="Z71" s="175">
        <f t="shared" si="90"/>
        <v>15</v>
      </c>
      <c r="AA71" s="175">
        <f t="shared" si="91"/>
        <v>15</v>
      </c>
      <c r="AB71" s="175">
        <f t="shared" si="92"/>
        <v>15</v>
      </c>
      <c r="AC71" s="175">
        <f t="shared" si="93"/>
        <v>15</v>
      </c>
      <c r="AD71" s="207">
        <f t="shared" si="94"/>
        <v>0</v>
      </c>
      <c r="AE71" s="206">
        <f t="shared" si="95"/>
        <v>0</v>
      </c>
      <c r="AF71" s="175">
        <f t="shared" si="96"/>
        <v>0</v>
      </c>
      <c r="AG71" s="175">
        <f t="shared" si="97"/>
        <v>0</v>
      </c>
      <c r="AH71" s="175">
        <f t="shared" si="98"/>
        <v>0</v>
      </c>
      <c r="AI71" s="175">
        <f t="shared" si="99"/>
        <v>0</v>
      </c>
      <c r="AJ71" s="207">
        <f t="shared" si="100"/>
        <v>0</v>
      </c>
      <c r="AK71" s="206">
        <f t="shared" si="101"/>
        <v>0</v>
      </c>
      <c r="AL71" s="175">
        <f t="shared" si="102"/>
        <v>0</v>
      </c>
      <c r="AM71" s="175">
        <f t="shared" si="103"/>
        <v>0</v>
      </c>
      <c r="AN71" s="175">
        <f t="shared" si="104"/>
        <v>0</v>
      </c>
      <c r="AO71" s="175">
        <f t="shared" si="105"/>
        <v>0</v>
      </c>
      <c r="AP71" s="207">
        <f t="shared" si="106"/>
        <v>0</v>
      </c>
      <c r="AQ71" s="206">
        <f t="shared" si="107"/>
        <v>0</v>
      </c>
      <c r="AR71" s="175">
        <f t="shared" si="108"/>
        <v>0</v>
      </c>
      <c r="AS71" s="175">
        <f t="shared" si="109"/>
        <v>0</v>
      </c>
      <c r="AT71" s="175">
        <f t="shared" si="110"/>
        <v>0</v>
      </c>
      <c r="AU71" s="175">
        <f t="shared" si="111"/>
        <v>0</v>
      </c>
      <c r="AV71" s="207">
        <f t="shared" si="112"/>
        <v>0</v>
      </c>
      <c r="AW71" s="59"/>
      <c r="BE71" s="59"/>
      <c r="BL71" s="59"/>
    </row>
    <row r="72" spans="1:64" x14ac:dyDescent="0.2">
      <c r="A72">
        <f>+SUMIFS(Quest!$J:$J,Quest!$H:$H,QDrop!A$1,Quest!$N:$N,QDrop!$G72)</f>
        <v>5</v>
      </c>
      <c r="B72">
        <f>+SUMIFS(Quest!$J:$J,Quest!$H:$H,QDrop!B$1,Quest!$N:$N,QDrop!$G72)</f>
        <v>5</v>
      </c>
      <c r="C72">
        <f>+SUMIFS(Quest!$J:$J,Quest!$H:$H,QDrop!C$1,Quest!$N:$N,QDrop!$G72)</f>
        <v>5</v>
      </c>
      <c r="D72">
        <f>+SUMIFS(Quest!$J:$J,Quest!$H:$H,QDrop!D$1,Quest!$N:$N,QDrop!$G72)</f>
        <v>5</v>
      </c>
      <c r="E72">
        <f>+SUMIFS(Quest!$J:$J,Quest!$H:$H,QDrop!E$1,Quest!$N:$N,QDrop!$G72)</f>
        <v>5</v>
      </c>
      <c r="F72">
        <f>+SUMIFS(Quest!$J:$J,Quest!$H:$H,QDrop!F$1,Quest!$N:$N,QDrop!$G72)</f>
        <v>0</v>
      </c>
      <c r="G72" t="s">
        <v>19411</v>
      </c>
      <c r="H72">
        <v>4</v>
      </c>
      <c r="I72" t="s">
        <v>12670</v>
      </c>
      <c r="J72">
        <v>3</v>
      </c>
      <c r="K72" t="s">
        <v>19619</v>
      </c>
      <c r="S72" s="206">
        <f t="shared" si="83"/>
        <v>20</v>
      </c>
      <c r="T72" s="175">
        <f t="shared" si="84"/>
        <v>20</v>
      </c>
      <c r="U72" s="175">
        <f t="shared" si="85"/>
        <v>20</v>
      </c>
      <c r="V72" s="175">
        <f t="shared" si="86"/>
        <v>20</v>
      </c>
      <c r="W72" s="175">
        <f t="shared" si="87"/>
        <v>20</v>
      </c>
      <c r="X72" s="207">
        <f t="shared" si="88"/>
        <v>0</v>
      </c>
      <c r="Y72" s="206">
        <f t="shared" si="89"/>
        <v>15</v>
      </c>
      <c r="Z72" s="175">
        <f t="shared" si="90"/>
        <v>15</v>
      </c>
      <c r="AA72" s="175">
        <f t="shared" si="91"/>
        <v>15</v>
      </c>
      <c r="AB72" s="175">
        <f t="shared" si="92"/>
        <v>15</v>
      </c>
      <c r="AC72" s="175">
        <f t="shared" si="93"/>
        <v>15</v>
      </c>
      <c r="AD72" s="207">
        <f t="shared" si="94"/>
        <v>0</v>
      </c>
      <c r="AE72" s="206">
        <f t="shared" si="95"/>
        <v>0</v>
      </c>
      <c r="AF72" s="175">
        <f t="shared" si="96"/>
        <v>0</v>
      </c>
      <c r="AG72" s="175">
        <f t="shared" si="97"/>
        <v>0</v>
      </c>
      <c r="AH72" s="175">
        <f t="shared" si="98"/>
        <v>0</v>
      </c>
      <c r="AI72" s="175">
        <f t="shared" si="99"/>
        <v>0</v>
      </c>
      <c r="AJ72" s="207">
        <f t="shared" si="100"/>
        <v>0</v>
      </c>
      <c r="AK72" s="206">
        <f t="shared" si="101"/>
        <v>0</v>
      </c>
      <c r="AL72" s="175">
        <f t="shared" si="102"/>
        <v>0</v>
      </c>
      <c r="AM72" s="175">
        <f t="shared" si="103"/>
        <v>0</v>
      </c>
      <c r="AN72" s="175">
        <f t="shared" si="104"/>
        <v>0</v>
      </c>
      <c r="AO72" s="175">
        <f t="shared" si="105"/>
        <v>0</v>
      </c>
      <c r="AP72" s="207">
        <f t="shared" si="106"/>
        <v>0</v>
      </c>
      <c r="AQ72" s="206">
        <f t="shared" si="107"/>
        <v>0</v>
      </c>
      <c r="AR72" s="175">
        <f t="shared" si="108"/>
        <v>0</v>
      </c>
      <c r="AS72" s="175">
        <f t="shared" si="109"/>
        <v>0</v>
      </c>
      <c r="AT72" s="175">
        <f t="shared" si="110"/>
        <v>0</v>
      </c>
      <c r="AU72" s="175">
        <f t="shared" si="111"/>
        <v>0</v>
      </c>
      <c r="AV72" s="207">
        <f t="shared" si="112"/>
        <v>0</v>
      </c>
      <c r="AW72" s="59"/>
      <c r="BE72" s="59"/>
      <c r="BL72" s="59"/>
    </row>
    <row r="73" spans="1:64" x14ac:dyDescent="0.2">
      <c r="A73">
        <f>+SUMIFS(Quest!$J:$J,Quest!$H:$H,QDrop!A$1,Quest!$N:$N,QDrop!$G73)</f>
        <v>8</v>
      </c>
      <c r="B73">
        <f>+SUMIFS(Quest!$J:$J,Quest!$H:$H,QDrop!B$1,Quest!$N:$N,QDrop!$G73)</f>
        <v>5</v>
      </c>
      <c r="C73">
        <f>+SUMIFS(Quest!$J:$J,Quest!$H:$H,QDrop!C$1,Quest!$N:$N,QDrop!$G73)</f>
        <v>5</v>
      </c>
      <c r="D73">
        <f>+SUMIFS(Quest!$J:$J,Quest!$H:$H,QDrop!D$1,Quest!$N:$N,QDrop!$G73)</f>
        <v>5</v>
      </c>
      <c r="E73">
        <f>+SUMIFS(Quest!$J:$J,Quest!$H:$H,QDrop!E$1,Quest!$N:$N,QDrop!$G73)</f>
        <v>5</v>
      </c>
      <c r="F73">
        <f>+SUMIFS(Quest!$J:$J,Quest!$H:$H,QDrop!F$1,Quest!$N:$N,QDrop!$G73)</f>
        <v>0</v>
      </c>
      <c r="G73" t="s">
        <v>16635</v>
      </c>
      <c r="H73">
        <v>2</v>
      </c>
      <c r="I73" t="s">
        <v>12659</v>
      </c>
      <c r="J73">
        <v>4</v>
      </c>
      <c r="K73" t="s">
        <v>19619</v>
      </c>
      <c r="L73">
        <v>4</v>
      </c>
      <c r="M73" t="s">
        <v>19602</v>
      </c>
      <c r="S73" s="206">
        <f t="shared" si="83"/>
        <v>16</v>
      </c>
      <c r="T73" s="175">
        <f t="shared" si="84"/>
        <v>10</v>
      </c>
      <c r="U73" s="175">
        <f t="shared" si="85"/>
        <v>10</v>
      </c>
      <c r="V73" s="175">
        <f t="shared" si="86"/>
        <v>10</v>
      </c>
      <c r="W73" s="175">
        <f t="shared" si="87"/>
        <v>10</v>
      </c>
      <c r="X73" s="207">
        <f t="shared" si="88"/>
        <v>0</v>
      </c>
      <c r="Y73" s="206">
        <f t="shared" si="89"/>
        <v>32</v>
      </c>
      <c r="Z73" s="175">
        <f t="shared" si="90"/>
        <v>20</v>
      </c>
      <c r="AA73" s="175">
        <f t="shared" si="91"/>
        <v>20</v>
      </c>
      <c r="AB73" s="175">
        <f t="shared" si="92"/>
        <v>20</v>
      </c>
      <c r="AC73" s="175">
        <f t="shared" si="93"/>
        <v>20</v>
      </c>
      <c r="AD73" s="207">
        <f t="shared" si="94"/>
        <v>0</v>
      </c>
      <c r="AE73" s="206">
        <f t="shared" si="95"/>
        <v>32</v>
      </c>
      <c r="AF73" s="175">
        <f t="shared" si="96"/>
        <v>20</v>
      </c>
      <c r="AG73" s="175">
        <f t="shared" si="97"/>
        <v>20</v>
      </c>
      <c r="AH73" s="175">
        <f t="shared" si="98"/>
        <v>20</v>
      </c>
      <c r="AI73" s="175">
        <f t="shared" si="99"/>
        <v>20</v>
      </c>
      <c r="AJ73" s="207">
        <f t="shared" si="100"/>
        <v>0</v>
      </c>
      <c r="AK73" s="206">
        <f t="shared" si="101"/>
        <v>0</v>
      </c>
      <c r="AL73" s="175">
        <f t="shared" si="102"/>
        <v>0</v>
      </c>
      <c r="AM73" s="175">
        <f t="shared" si="103"/>
        <v>0</v>
      </c>
      <c r="AN73" s="175">
        <f t="shared" si="104"/>
        <v>0</v>
      </c>
      <c r="AO73" s="175">
        <f t="shared" si="105"/>
        <v>0</v>
      </c>
      <c r="AP73" s="207">
        <f t="shared" si="106"/>
        <v>0</v>
      </c>
      <c r="AQ73" s="206">
        <f t="shared" si="107"/>
        <v>0</v>
      </c>
      <c r="AR73" s="175">
        <f t="shared" si="108"/>
        <v>0</v>
      </c>
      <c r="AS73" s="175">
        <f t="shared" si="109"/>
        <v>0</v>
      </c>
      <c r="AT73" s="175">
        <f t="shared" si="110"/>
        <v>0</v>
      </c>
      <c r="AU73" s="175">
        <f t="shared" si="111"/>
        <v>0</v>
      </c>
      <c r="AV73" s="207">
        <f t="shared" si="112"/>
        <v>0</v>
      </c>
      <c r="AW73" s="59"/>
      <c r="BE73" s="59"/>
      <c r="BL73" s="59"/>
    </row>
    <row r="74" spans="1:64" x14ac:dyDescent="0.2">
      <c r="A74">
        <f>+SUMIFS(Quest!$J:$J,Quest!$H:$H,QDrop!A$1,Quest!$N:$N,QDrop!$G74)</f>
        <v>6</v>
      </c>
      <c r="B74">
        <f>+SUMIFS(Quest!$J:$J,Quest!$H:$H,QDrop!B$1,Quest!$N:$N,QDrop!$G74)</f>
        <v>6</v>
      </c>
      <c r="C74">
        <f>+SUMIFS(Quest!$J:$J,Quest!$H:$H,QDrop!C$1,Quest!$N:$N,QDrop!$G74)</f>
        <v>6</v>
      </c>
      <c r="D74">
        <f>+SUMIFS(Quest!$J:$J,Quest!$H:$H,QDrop!D$1,Quest!$N:$N,QDrop!$G74)</f>
        <v>6</v>
      </c>
      <c r="E74">
        <f>+SUMIFS(Quest!$J:$J,Quest!$H:$H,QDrop!E$1,Quest!$N:$N,QDrop!$G74)</f>
        <v>6</v>
      </c>
      <c r="F74">
        <f>+SUMIFS(Quest!$J:$J,Quest!$H:$H,QDrop!F$1,Quest!$N:$N,QDrop!$G74)</f>
        <v>0</v>
      </c>
      <c r="G74" t="s">
        <v>16551</v>
      </c>
      <c r="H74">
        <v>2</v>
      </c>
      <c r="I74" t="s">
        <v>12653</v>
      </c>
      <c r="J74">
        <v>4</v>
      </c>
      <c r="K74" t="s">
        <v>19619</v>
      </c>
      <c r="L74">
        <v>4</v>
      </c>
      <c r="M74" t="s">
        <v>19602</v>
      </c>
      <c r="S74" s="206">
        <f t="shared" si="83"/>
        <v>12</v>
      </c>
      <c r="T74" s="175">
        <f t="shared" si="84"/>
        <v>12</v>
      </c>
      <c r="U74" s="175">
        <f t="shared" si="85"/>
        <v>12</v>
      </c>
      <c r="V74" s="175">
        <f t="shared" si="86"/>
        <v>12</v>
      </c>
      <c r="W74" s="175">
        <f t="shared" si="87"/>
        <v>12</v>
      </c>
      <c r="X74" s="207">
        <f t="shared" si="88"/>
        <v>0</v>
      </c>
      <c r="Y74" s="206">
        <f t="shared" si="89"/>
        <v>24</v>
      </c>
      <c r="Z74" s="175">
        <f t="shared" si="90"/>
        <v>24</v>
      </c>
      <c r="AA74" s="175">
        <f t="shared" si="91"/>
        <v>24</v>
      </c>
      <c r="AB74" s="175">
        <f t="shared" si="92"/>
        <v>24</v>
      </c>
      <c r="AC74" s="175">
        <f t="shared" si="93"/>
        <v>24</v>
      </c>
      <c r="AD74" s="207">
        <f t="shared" si="94"/>
        <v>0</v>
      </c>
      <c r="AE74" s="206">
        <f t="shared" si="95"/>
        <v>24</v>
      </c>
      <c r="AF74" s="175">
        <f t="shared" si="96"/>
        <v>24</v>
      </c>
      <c r="AG74" s="175">
        <f t="shared" si="97"/>
        <v>24</v>
      </c>
      <c r="AH74" s="175">
        <f t="shared" si="98"/>
        <v>24</v>
      </c>
      <c r="AI74" s="175">
        <f t="shared" si="99"/>
        <v>24</v>
      </c>
      <c r="AJ74" s="207">
        <f t="shared" si="100"/>
        <v>0</v>
      </c>
      <c r="AK74" s="206">
        <f t="shared" si="101"/>
        <v>0</v>
      </c>
      <c r="AL74" s="175">
        <f t="shared" si="102"/>
        <v>0</v>
      </c>
      <c r="AM74" s="175">
        <f t="shared" si="103"/>
        <v>0</v>
      </c>
      <c r="AN74" s="175">
        <f t="shared" si="104"/>
        <v>0</v>
      </c>
      <c r="AO74" s="175">
        <f t="shared" si="105"/>
        <v>0</v>
      </c>
      <c r="AP74" s="207">
        <f t="shared" si="106"/>
        <v>0</v>
      </c>
      <c r="AQ74" s="206">
        <f t="shared" si="107"/>
        <v>0</v>
      </c>
      <c r="AR74" s="175">
        <f t="shared" si="108"/>
        <v>0</v>
      </c>
      <c r="AS74" s="175">
        <f t="shared" si="109"/>
        <v>0</v>
      </c>
      <c r="AT74" s="175">
        <f t="shared" si="110"/>
        <v>0</v>
      </c>
      <c r="AU74" s="175">
        <f t="shared" si="111"/>
        <v>0</v>
      </c>
      <c r="AV74" s="207">
        <f t="shared" si="112"/>
        <v>0</v>
      </c>
      <c r="AW74" s="59"/>
      <c r="BE74" s="59"/>
      <c r="BL74" s="59"/>
    </row>
    <row r="75" spans="1:64" x14ac:dyDescent="0.2">
      <c r="A75">
        <f>+SUMIFS(Quest!$J:$J,Quest!$H:$H,QDrop!A$1,Quest!$N:$N,QDrop!$G75)</f>
        <v>10</v>
      </c>
      <c r="B75">
        <f>+SUMIFS(Quest!$J:$J,Quest!$H:$H,QDrop!B$1,Quest!$N:$N,QDrop!$G75)</f>
        <v>10</v>
      </c>
      <c r="C75">
        <f>+SUMIFS(Quest!$J:$J,Quest!$H:$H,QDrop!C$1,Quest!$N:$N,QDrop!$G75)</f>
        <v>22</v>
      </c>
      <c r="D75">
        <f>+SUMIFS(Quest!$J:$J,Quest!$H:$H,QDrop!D$1,Quest!$N:$N,QDrop!$G75)</f>
        <v>17</v>
      </c>
      <c r="E75">
        <f>+SUMIFS(Quest!$J:$J,Quest!$H:$H,QDrop!E$1,Quest!$N:$N,QDrop!$G75)</f>
        <v>9</v>
      </c>
      <c r="F75">
        <f>+SUMIFS(Quest!$J:$J,Quest!$H:$H,QDrop!F$1,Quest!$N:$N,QDrop!$G75)</f>
        <v>0</v>
      </c>
      <c r="G75" t="s">
        <v>15752</v>
      </c>
      <c r="H75">
        <v>2</v>
      </c>
      <c r="I75" t="s">
        <v>19599</v>
      </c>
      <c r="J75">
        <v>1</v>
      </c>
      <c r="K75" t="s">
        <v>19600</v>
      </c>
      <c r="L75">
        <v>30</v>
      </c>
      <c r="M75" t="s">
        <v>19616</v>
      </c>
      <c r="S75" s="206">
        <f t="shared" si="83"/>
        <v>20</v>
      </c>
      <c r="T75" s="175">
        <f t="shared" si="84"/>
        <v>20</v>
      </c>
      <c r="U75" s="175">
        <f t="shared" si="85"/>
        <v>44</v>
      </c>
      <c r="V75" s="175">
        <f t="shared" si="86"/>
        <v>34</v>
      </c>
      <c r="W75" s="175">
        <f t="shared" si="87"/>
        <v>18</v>
      </c>
      <c r="X75" s="207">
        <f t="shared" si="88"/>
        <v>0</v>
      </c>
      <c r="Y75" s="206">
        <f t="shared" si="89"/>
        <v>10</v>
      </c>
      <c r="Z75" s="175">
        <f t="shared" si="90"/>
        <v>10</v>
      </c>
      <c r="AA75" s="175">
        <f t="shared" si="91"/>
        <v>22</v>
      </c>
      <c r="AB75" s="175">
        <f t="shared" si="92"/>
        <v>17</v>
      </c>
      <c r="AC75" s="175">
        <f t="shared" si="93"/>
        <v>9</v>
      </c>
      <c r="AD75" s="207">
        <f t="shared" si="94"/>
        <v>0</v>
      </c>
      <c r="AE75" s="206">
        <f t="shared" si="95"/>
        <v>300</v>
      </c>
      <c r="AF75" s="175">
        <f t="shared" si="96"/>
        <v>300</v>
      </c>
      <c r="AG75" s="175">
        <f t="shared" si="97"/>
        <v>660</v>
      </c>
      <c r="AH75" s="175">
        <f t="shared" si="98"/>
        <v>510</v>
      </c>
      <c r="AI75" s="175">
        <f t="shared" si="99"/>
        <v>270</v>
      </c>
      <c r="AJ75" s="207">
        <f t="shared" si="100"/>
        <v>0</v>
      </c>
      <c r="AK75" s="206">
        <f t="shared" si="101"/>
        <v>0</v>
      </c>
      <c r="AL75" s="175">
        <f t="shared" si="102"/>
        <v>0</v>
      </c>
      <c r="AM75" s="175">
        <f t="shared" si="103"/>
        <v>0</v>
      </c>
      <c r="AN75" s="175">
        <f t="shared" si="104"/>
        <v>0</v>
      </c>
      <c r="AO75" s="175">
        <f t="shared" si="105"/>
        <v>0</v>
      </c>
      <c r="AP75" s="207">
        <f t="shared" si="106"/>
        <v>0</v>
      </c>
      <c r="AQ75" s="206">
        <f t="shared" si="107"/>
        <v>0</v>
      </c>
      <c r="AR75" s="175">
        <f t="shared" si="108"/>
        <v>0</v>
      </c>
      <c r="AS75" s="175">
        <f t="shared" si="109"/>
        <v>0</v>
      </c>
      <c r="AT75" s="175">
        <f t="shared" si="110"/>
        <v>0</v>
      </c>
      <c r="AU75" s="175">
        <f t="shared" si="111"/>
        <v>0</v>
      </c>
      <c r="AV75" s="207">
        <f t="shared" si="112"/>
        <v>0</v>
      </c>
      <c r="AW75" s="59"/>
      <c r="BE75" s="59"/>
      <c r="BL75" s="59"/>
    </row>
    <row r="76" spans="1:64" x14ac:dyDescent="0.2">
      <c r="A76">
        <f>+SUMIFS(Quest!$J:$J,Quest!$H:$H,QDrop!A$1,Quest!$N:$N,QDrop!$G76)</f>
        <v>56</v>
      </c>
      <c r="B76">
        <f>+SUMIFS(Quest!$J:$J,Quest!$H:$H,QDrop!B$1,Quest!$N:$N,QDrop!$G76)</f>
        <v>44</v>
      </c>
      <c r="C76">
        <f>+SUMIFS(Quest!$J:$J,Quest!$H:$H,QDrop!C$1,Quest!$N:$N,QDrop!$G76)</f>
        <v>44</v>
      </c>
      <c r="D76">
        <f>+SUMIFS(Quest!$J:$J,Quest!$H:$H,QDrop!D$1,Quest!$N:$N,QDrop!$G76)</f>
        <v>44</v>
      </c>
      <c r="E76">
        <f>+SUMIFS(Quest!$J:$J,Quest!$H:$H,QDrop!E$1,Quest!$N:$N,QDrop!$G76)</f>
        <v>25</v>
      </c>
      <c r="F76">
        <f>+SUMIFS(Quest!$J:$J,Quest!$H:$H,QDrop!F$1,Quest!$N:$N,QDrop!$G76)</f>
        <v>4</v>
      </c>
      <c r="G76" t="s">
        <v>15753</v>
      </c>
      <c r="H76">
        <v>4</v>
      </c>
      <c r="I76" t="s">
        <v>19599</v>
      </c>
      <c r="J76">
        <v>4</v>
      </c>
      <c r="K76" t="s">
        <v>19600</v>
      </c>
      <c r="L76">
        <v>40</v>
      </c>
      <c r="M76" t="s">
        <v>19617</v>
      </c>
      <c r="S76" s="206">
        <f t="shared" si="83"/>
        <v>224</v>
      </c>
      <c r="T76" s="175">
        <f t="shared" si="84"/>
        <v>176</v>
      </c>
      <c r="U76" s="175">
        <f t="shared" si="85"/>
        <v>176</v>
      </c>
      <c r="V76" s="175">
        <f t="shared" si="86"/>
        <v>176</v>
      </c>
      <c r="W76" s="175">
        <f t="shared" si="87"/>
        <v>100</v>
      </c>
      <c r="X76" s="207">
        <f t="shared" si="88"/>
        <v>16</v>
      </c>
      <c r="Y76" s="206">
        <f t="shared" si="89"/>
        <v>224</v>
      </c>
      <c r="Z76" s="175">
        <f t="shared" si="90"/>
        <v>176</v>
      </c>
      <c r="AA76" s="175">
        <f t="shared" si="91"/>
        <v>176</v>
      </c>
      <c r="AB76" s="175">
        <f t="shared" si="92"/>
        <v>176</v>
      </c>
      <c r="AC76" s="175">
        <f t="shared" si="93"/>
        <v>100</v>
      </c>
      <c r="AD76" s="207">
        <f t="shared" si="94"/>
        <v>16</v>
      </c>
      <c r="AE76" s="206">
        <f t="shared" si="95"/>
        <v>2240</v>
      </c>
      <c r="AF76" s="175">
        <f t="shared" si="96"/>
        <v>1760</v>
      </c>
      <c r="AG76" s="175">
        <f t="shared" si="97"/>
        <v>1760</v>
      </c>
      <c r="AH76" s="175">
        <f t="shared" si="98"/>
        <v>1760</v>
      </c>
      <c r="AI76" s="175">
        <f t="shared" si="99"/>
        <v>1000</v>
      </c>
      <c r="AJ76" s="207">
        <f t="shared" si="100"/>
        <v>160</v>
      </c>
      <c r="AK76" s="206">
        <f t="shared" si="101"/>
        <v>0</v>
      </c>
      <c r="AL76" s="175">
        <f t="shared" si="102"/>
        <v>0</v>
      </c>
      <c r="AM76" s="175">
        <f t="shared" si="103"/>
        <v>0</v>
      </c>
      <c r="AN76" s="175">
        <f t="shared" si="104"/>
        <v>0</v>
      </c>
      <c r="AO76" s="175">
        <f t="shared" si="105"/>
        <v>0</v>
      </c>
      <c r="AP76" s="207">
        <f t="shared" si="106"/>
        <v>0</v>
      </c>
      <c r="AQ76" s="206">
        <f t="shared" si="107"/>
        <v>0</v>
      </c>
      <c r="AR76" s="175">
        <f t="shared" si="108"/>
        <v>0</v>
      </c>
      <c r="AS76" s="175">
        <f t="shared" si="109"/>
        <v>0</v>
      </c>
      <c r="AT76" s="175">
        <f t="shared" si="110"/>
        <v>0</v>
      </c>
      <c r="AU76" s="175">
        <f t="shared" si="111"/>
        <v>0</v>
      </c>
      <c r="AV76" s="207">
        <f t="shared" si="112"/>
        <v>0</v>
      </c>
      <c r="AW76" s="59"/>
      <c r="BE76" s="59"/>
      <c r="BL76" s="59"/>
    </row>
    <row r="77" spans="1:64" x14ac:dyDescent="0.2">
      <c r="A77">
        <f>+SUMIFS(Quest!$J:$J,Quest!$H:$H,QDrop!A$1,Quest!$N:$N,QDrop!$G77)</f>
        <v>46</v>
      </c>
      <c r="B77">
        <f>+SUMIFS(Quest!$J:$J,Quest!$H:$H,QDrop!B$1,Quest!$N:$N,QDrop!$G77)</f>
        <v>34</v>
      </c>
      <c r="C77">
        <f>+SUMIFS(Quest!$J:$J,Quest!$H:$H,QDrop!C$1,Quest!$N:$N,QDrop!$G77)</f>
        <v>22</v>
      </c>
      <c r="D77">
        <f>+SUMIFS(Quest!$J:$J,Quest!$H:$H,QDrop!D$1,Quest!$N:$N,QDrop!$G77)</f>
        <v>27</v>
      </c>
      <c r="E77">
        <f>+SUMIFS(Quest!$J:$J,Quest!$H:$H,QDrop!E$1,Quest!$N:$N,QDrop!$G77)</f>
        <v>16</v>
      </c>
      <c r="F77">
        <f>+SUMIFS(Quest!$J:$J,Quest!$H:$H,QDrop!F$1,Quest!$N:$N,QDrop!$G77)</f>
        <v>4</v>
      </c>
      <c r="G77" t="s">
        <v>16141</v>
      </c>
      <c r="H77">
        <v>6</v>
      </c>
      <c r="I77" t="s">
        <v>19599</v>
      </c>
      <c r="J77">
        <v>6</v>
      </c>
      <c r="K77" t="s">
        <v>19600</v>
      </c>
      <c r="L77">
        <v>50</v>
      </c>
      <c r="M77" t="s">
        <v>19617</v>
      </c>
      <c r="S77" s="206">
        <f t="shared" si="83"/>
        <v>276</v>
      </c>
      <c r="T77" s="175">
        <f t="shared" si="84"/>
        <v>204</v>
      </c>
      <c r="U77" s="175">
        <f t="shared" si="85"/>
        <v>132</v>
      </c>
      <c r="V77" s="175">
        <f t="shared" si="86"/>
        <v>162</v>
      </c>
      <c r="W77" s="175">
        <f t="shared" si="87"/>
        <v>96</v>
      </c>
      <c r="X77" s="207">
        <f t="shared" si="88"/>
        <v>24</v>
      </c>
      <c r="Y77" s="206">
        <f t="shared" si="89"/>
        <v>276</v>
      </c>
      <c r="Z77" s="175">
        <f t="shared" si="90"/>
        <v>204</v>
      </c>
      <c r="AA77" s="175">
        <f t="shared" si="91"/>
        <v>132</v>
      </c>
      <c r="AB77" s="175">
        <f t="shared" si="92"/>
        <v>162</v>
      </c>
      <c r="AC77" s="175">
        <f t="shared" si="93"/>
        <v>96</v>
      </c>
      <c r="AD77" s="207">
        <f t="shared" si="94"/>
        <v>24</v>
      </c>
      <c r="AE77" s="206">
        <f t="shared" si="95"/>
        <v>2300</v>
      </c>
      <c r="AF77" s="175">
        <f t="shared" si="96"/>
        <v>1700</v>
      </c>
      <c r="AG77" s="175">
        <f t="shared" si="97"/>
        <v>1100</v>
      </c>
      <c r="AH77" s="175">
        <f t="shared" si="98"/>
        <v>1350</v>
      </c>
      <c r="AI77" s="175">
        <f t="shared" si="99"/>
        <v>800</v>
      </c>
      <c r="AJ77" s="207">
        <f t="shared" si="100"/>
        <v>200</v>
      </c>
      <c r="AK77" s="206">
        <f t="shared" si="101"/>
        <v>0</v>
      </c>
      <c r="AL77" s="175">
        <f t="shared" si="102"/>
        <v>0</v>
      </c>
      <c r="AM77" s="175">
        <f t="shared" si="103"/>
        <v>0</v>
      </c>
      <c r="AN77" s="175">
        <f t="shared" si="104"/>
        <v>0</v>
      </c>
      <c r="AO77" s="175">
        <f t="shared" si="105"/>
        <v>0</v>
      </c>
      <c r="AP77" s="207">
        <f t="shared" si="106"/>
        <v>0</v>
      </c>
      <c r="AQ77" s="206">
        <f t="shared" si="107"/>
        <v>0</v>
      </c>
      <c r="AR77" s="175">
        <f t="shared" si="108"/>
        <v>0</v>
      </c>
      <c r="AS77" s="175">
        <f t="shared" si="109"/>
        <v>0</v>
      </c>
      <c r="AT77" s="175">
        <f t="shared" si="110"/>
        <v>0</v>
      </c>
      <c r="AU77" s="175">
        <f t="shared" si="111"/>
        <v>0</v>
      </c>
      <c r="AV77" s="207">
        <f t="shared" si="112"/>
        <v>0</v>
      </c>
      <c r="AW77" s="59"/>
      <c r="BE77" s="59"/>
      <c r="BL77" s="59"/>
    </row>
    <row r="78" spans="1:64" x14ac:dyDescent="0.2">
      <c r="A78">
        <f>+SUMIFS(Quest!$J:$J,Quest!$H:$H,QDrop!A$1,Quest!$N:$N,QDrop!$G78)</f>
        <v>56</v>
      </c>
      <c r="B78">
        <f>+SUMIFS(Quest!$J:$J,Quest!$H:$H,QDrop!B$1,Quest!$N:$N,QDrop!$G78)</f>
        <v>44</v>
      </c>
      <c r="C78">
        <f>+SUMIFS(Quest!$J:$J,Quest!$H:$H,QDrop!C$1,Quest!$N:$N,QDrop!$G78)</f>
        <v>44</v>
      </c>
      <c r="D78">
        <f>+SUMIFS(Quest!$J:$J,Quest!$H:$H,QDrop!D$1,Quest!$N:$N,QDrop!$G78)</f>
        <v>44</v>
      </c>
      <c r="E78">
        <f>+SUMIFS(Quest!$J:$J,Quest!$H:$H,QDrop!E$1,Quest!$N:$N,QDrop!$G78)</f>
        <v>25</v>
      </c>
      <c r="F78">
        <f>+SUMIFS(Quest!$J:$J,Quest!$H:$H,QDrop!F$1,Quest!$N:$N,QDrop!$G78)</f>
        <v>4</v>
      </c>
      <c r="G78" t="s">
        <v>15754</v>
      </c>
      <c r="H78">
        <v>8</v>
      </c>
      <c r="I78" t="s">
        <v>19599</v>
      </c>
      <c r="J78">
        <v>6</v>
      </c>
      <c r="K78" t="s">
        <v>19600</v>
      </c>
      <c r="L78">
        <v>6</v>
      </c>
      <c r="M78" t="s">
        <v>19601</v>
      </c>
      <c r="N78">
        <v>4</v>
      </c>
      <c r="O78" t="s">
        <v>19602</v>
      </c>
      <c r="P78">
        <v>40</v>
      </c>
      <c r="Q78" t="s">
        <v>19618</v>
      </c>
      <c r="S78" s="208">
        <f t="shared" si="83"/>
        <v>448</v>
      </c>
      <c r="T78" s="209">
        <f t="shared" si="84"/>
        <v>352</v>
      </c>
      <c r="U78" s="209">
        <f t="shared" si="85"/>
        <v>352</v>
      </c>
      <c r="V78" s="209">
        <f t="shared" si="86"/>
        <v>352</v>
      </c>
      <c r="W78" s="209">
        <f t="shared" si="87"/>
        <v>200</v>
      </c>
      <c r="X78" s="210">
        <f t="shared" si="88"/>
        <v>32</v>
      </c>
      <c r="Y78" s="208">
        <f t="shared" si="89"/>
        <v>336</v>
      </c>
      <c r="Z78" s="209">
        <f t="shared" si="90"/>
        <v>264</v>
      </c>
      <c r="AA78" s="209">
        <f t="shared" si="91"/>
        <v>264</v>
      </c>
      <c r="AB78" s="209">
        <f t="shared" si="92"/>
        <v>264</v>
      </c>
      <c r="AC78" s="209">
        <f t="shared" si="93"/>
        <v>150</v>
      </c>
      <c r="AD78" s="210">
        <f t="shared" si="94"/>
        <v>24</v>
      </c>
      <c r="AE78" s="208">
        <f t="shared" si="95"/>
        <v>336</v>
      </c>
      <c r="AF78" s="209">
        <f t="shared" si="96"/>
        <v>264</v>
      </c>
      <c r="AG78" s="209">
        <f t="shared" si="97"/>
        <v>264</v>
      </c>
      <c r="AH78" s="209">
        <f t="shared" si="98"/>
        <v>264</v>
      </c>
      <c r="AI78" s="209">
        <f t="shared" si="99"/>
        <v>150</v>
      </c>
      <c r="AJ78" s="210">
        <f t="shared" si="100"/>
        <v>24</v>
      </c>
      <c r="AK78" s="208">
        <f t="shared" si="101"/>
        <v>224</v>
      </c>
      <c r="AL78" s="209">
        <f t="shared" si="102"/>
        <v>176</v>
      </c>
      <c r="AM78" s="209">
        <f t="shared" si="103"/>
        <v>176</v>
      </c>
      <c r="AN78" s="209">
        <f t="shared" si="104"/>
        <v>176</v>
      </c>
      <c r="AO78" s="209">
        <f t="shared" si="105"/>
        <v>100</v>
      </c>
      <c r="AP78" s="210">
        <f t="shared" si="106"/>
        <v>16</v>
      </c>
      <c r="AQ78" s="208">
        <f t="shared" si="107"/>
        <v>2240</v>
      </c>
      <c r="AR78" s="209">
        <f t="shared" si="108"/>
        <v>1760</v>
      </c>
      <c r="AS78" s="209">
        <f t="shared" si="109"/>
        <v>1760</v>
      </c>
      <c r="AT78" s="209">
        <f t="shared" si="110"/>
        <v>1760</v>
      </c>
      <c r="AU78" s="209">
        <f t="shared" si="111"/>
        <v>1000</v>
      </c>
      <c r="AV78" s="210">
        <f t="shared" si="112"/>
        <v>160</v>
      </c>
      <c r="AW78" s="59"/>
      <c r="BE78" s="59"/>
      <c r="BL78" s="59"/>
    </row>
    <row r="80" spans="1:64" x14ac:dyDescent="0.2">
      <c r="S80" s="744" t="s">
        <v>19620</v>
      </c>
      <c r="T80" s="745"/>
      <c r="U80" s="745"/>
      <c r="V80" s="745"/>
      <c r="W80" s="745"/>
      <c r="X80" s="746"/>
      <c r="Y80" s="744" t="s">
        <v>19621</v>
      </c>
      <c r="Z80" s="745"/>
      <c r="AA80" s="745"/>
      <c r="AB80" s="745"/>
      <c r="AC80" s="745"/>
      <c r="AD80" s="746"/>
      <c r="AE80" s="744" t="s">
        <v>19622</v>
      </c>
      <c r="AF80" s="745"/>
      <c r="AG80" s="745"/>
      <c r="AH80" s="745"/>
      <c r="AI80" s="745"/>
      <c r="AJ80" s="746"/>
      <c r="AK80" s="744" t="s">
        <v>19623</v>
      </c>
      <c r="AL80" s="745"/>
      <c r="AM80" s="745"/>
      <c r="AN80" s="745"/>
      <c r="AO80" s="745"/>
      <c r="AP80" s="746"/>
      <c r="AQ80" s="744" t="s">
        <v>19624</v>
      </c>
      <c r="AR80" s="745"/>
      <c r="AS80" s="745"/>
      <c r="AT80" s="745"/>
      <c r="AU80" s="745"/>
      <c r="AV80" s="746"/>
      <c r="AW80" s="84"/>
      <c r="BE80" s="84"/>
      <c r="BL80" s="84"/>
    </row>
  </sheetData>
  <sortState xmlns:xlrd2="http://schemas.microsoft.com/office/spreadsheetml/2017/richdata2" ref="S20:S34">
    <sortCondition ref="S20:S34"/>
  </sortState>
  <mergeCells count="5">
    <mergeCell ref="S80:X80"/>
    <mergeCell ref="Y80:AD80"/>
    <mergeCell ref="AE80:AJ80"/>
    <mergeCell ref="AK80:AP80"/>
    <mergeCell ref="AQ80:AV80"/>
  </mergeCells>
  <pageMargins left="0.2" right="0.2" top="0.44624999999999998" bottom="0.2" header="0.20125000000000001" footer="0.3"/>
  <pageSetup fitToHeight="0" orientation="landscape" r:id="rId1"/>
  <headerFooter>
    <oddHeader>&amp;L&amp;"-,Bold"&amp;14Dragalia Lost V3 Re;Works Quest Drop Calculations</oddHeader>
  </headerFooter>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4FACC8-91CA-4B05-A1DB-A9E187550A25}">
  <sheetPr>
    <pageSetUpPr fitToPage="1"/>
  </sheetPr>
  <dimension ref="A1:K1892"/>
  <sheetViews>
    <sheetView zoomScaleNormal="100" workbookViewId="0">
      <selection sqref="A1:F1"/>
    </sheetView>
  </sheetViews>
  <sheetFormatPr defaultRowHeight="14.25" x14ac:dyDescent="0.2"/>
  <cols>
    <col min="1" max="1" width="6.625" bestFit="1" customWidth="1"/>
    <col min="2" max="2" width="7.25" bestFit="1" customWidth="1"/>
    <col min="3" max="3" width="35.75" bestFit="1" customWidth="1"/>
    <col min="4" max="4" width="15.25" bestFit="1" customWidth="1"/>
    <col min="5" max="5" width="3.875" bestFit="1" customWidth="1"/>
    <col min="6" max="6" width="62.125" bestFit="1" customWidth="1"/>
    <col min="7" max="7" width="8.625" bestFit="1" customWidth="1"/>
    <col min="8" max="8" width="38.125" bestFit="1" customWidth="1"/>
    <col min="9" max="9" width="7" bestFit="1" customWidth="1"/>
    <col min="10" max="10" width="15" bestFit="1" customWidth="1"/>
    <col min="11" max="11" width="9.625" style="89" bestFit="1" customWidth="1"/>
    <col min="12" max="12" width="4.25" bestFit="1" customWidth="1"/>
    <col min="13" max="13" width="12.5" bestFit="1" customWidth="1"/>
  </cols>
  <sheetData>
    <row r="1" spans="1:11" x14ac:dyDescent="0.2">
      <c r="A1" s="744" t="s">
        <v>20573</v>
      </c>
      <c r="B1" s="753"/>
      <c r="C1" s="753"/>
      <c r="D1" s="753"/>
      <c r="E1" s="753"/>
      <c r="F1" s="754"/>
      <c r="G1" s="744" t="s">
        <v>20574</v>
      </c>
      <c r="H1" s="745"/>
      <c r="I1" s="745"/>
      <c r="J1" s="745"/>
      <c r="K1" s="746"/>
    </row>
    <row r="2" spans="1:11" x14ac:dyDescent="0.2">
      <c r="A2" s="95" t="s">
        <v>20575</v>
      </c>
      <c r="B2" s="67" t="s">
        <v>88</v>
      </c>
      <c r="C2" s="67" t="s">
        <v>20576</v>
      </c>
      <c r="D2" s="67" t="s">
        <v>10266</v>
      </c>
      <c r="E2" s="67" t="s">
        <v>24</v>
      </c>
      <c r="F2" s="97" t="s">
        <v>80</v>
      </c>
      <c r="G2" s="67" t="s">
        <v>20577</v>
      </c>
      <c r="H2" s="67" t="s">
        <v>89</v>
      </c>
      <c r="I2" s="67" t="s">
        <v>23</v>
      </c>
      <c r="J2" s="67" t="s">
        <v>13707</v>
      </c>
      <c r="K2" s="97" t="s">
        <v>20578</v>
      </c>
    </row>
    <row r="3" spans="1:11" x14ac:dyDescent="0.2">
      <c r="A3" s="267" t="s">
        <v>20579</v>
      </c>
      <c r="B3" s="268" t="s">
        <v>15755</v>
      </c>
      <c r="C3" s="268" t="s">
        <v>17513</v>
      </c>
      <c r="D3" s="268" t="s">
        <v>13918</v>
      </c>
      <c r="E3" s="268">
        <v>1</v>
      </c>
      <c r="F3" s="268" t="s">
        <v>20580</v>
      </c>
      <c r="G3" s="268" t="s">
        <v>1569</v>
      </c>
      <c r="H3" s="268" t="s">
        <v>1570</v>
      </c>
      <c r="I3" s="268"/>
      <c r="J3" s="268"/>
      <c r="K3" s="270"/>
    </row>
    <row r="4" spans="1:11" x14ac:dyDescent="0.2">
      <c r="A4" s="306" t="s">
        <v>20579</v>
      </c>
      <c r="B4" s="261" t="s">
        <v>15765</v>
      </c>
      <c r="C4" s="261" t="s">
        <v>17513</v>
      </c>
      <c r="D4" s="261" t="s">
        <v>13918</v>
      </c>
      <c r="E4" s="261">
        <v>2</v>
      </c>
      <c r="F4" s="261" t="s">
        <v>20581</v>
      </c>
      <c r="G4" s="261" t="s">
        <v>2353</v>
      </c>
      <c r="H4" s="261" t="s">
        <v>2354</v>
      </c>
      <c r="I4" s="261"/>
      <c r="J4" s="261"/>
      <c r="K4" s="262"/>
    </row>
    <row r="5" spans="1:11" x14ac:dyDescent="0.2">
      <c r="A5" s="306" t="s">
        <v>20579</v>
      </c>
      <c r="B5" s="261" t="s">
        <v>15776</v>
      </c>
      <c r="C5" s="261" t="s">
        <v>17513</v>
      </c>
      <c r="D5" s="261" t="s">
        <v>13918</v>
      </c>
      <c r="E5" s="261">
        <v>3</v>
      </c>
      <c r="F5" s="261" t="s">
        <v>20582</v>
      </c>
      <c r="G5" s="261" t="s">
        <v>9211</v>
      </c>
      <c r="H5" s="261" t="s">
        <v>9212</v>
      </c>
      <c r="I5" s="261"/>
      <c r="J5" s="261"/>
      <c r="K5" s="262"/>
    </row>
    <row r="6" spans="1:11" x14ac:dyDescent="0.2">
      <c r="A6" s="306" t="s">
        <v>20579</v>
      </c>
      <c r="B6" s="261" t="s">
        <v>15779</v>
      </c>
      <c r="C6" s="261" t="s">
        <v>17513</v>
      </c>
      <c r="D6" s="261" t="s">
        <v>13918</v>
      </c>
      <c r="E6" s="261">
        <v>4</v>
      </c>
      <c r="F6" s="261" t="s">
        <v>20583</v>
      </c>
      <c r="G6" s="261" t="s">
        <v>4490</v>
      </c>
      <c r="H6" s="261" t="s">
        <v>4491</v>
      </c>
      <c r="I6" s="261"/>
      <c r="J6" s="261"/>
      <c r="K6" s="262"/>
    </row>
    <row r="7" spans="1:11" x14ac:dyDescent="0.2">
      <c r="A7" s="306" t="s">
        <v>20579</v>
      </c>
      <c r="B7" s="261" t="s">
        <v>15798</v>
      </c>
      <c r="C7" s="261" t="s">
        <v>17513</v>
      </c>
      <c r="D7" s="261" t="s">
        <v>13918</v>
      </c>
      <c r="E7" s="261">
        <v>5</v>
      </c>
      <c r="F7" s="261" t="s">
        <v>20584</v>
      </c>
      <c r="G7" s="261"/>
      <c r="H7" s="261"/>
      <c r="I7" s="261" t="s">
        <v>10772</v>
      </c>
      <c r="J7" s="261" t="s">
        <v>10756</v>
      </c>
      <c r="K7" s="262">
        <v>1000000</v>
      </c>
    </row>
    <row r="8" spans="1:11" x14ac:dyDescent="0.2">
      <c r="A8" s="306" t="s">
        <v>20579</v>
      </c>
      <c r="B8" s="261" t="s">
        <v>15813</v>
      </c>
      <c r="C8" s="261" t="s">
        <v>17513</v>
      </c>
      <c r="D8" s="261" t="s">
        <v>13918</v>
      </c>
      <c r="E8" s="261">
        <v>6</v>
      </c>
      <c r="F8" s="261" t="s">
        <v>20585</v>
      </c>
      <c r="G8" s="261" t="s">
        <v>3468</v>
      </c>
      <c r="H8" s="261" t="s">
        <v>3469</v>
      </c>
      <c r="I8" s="261"/>
      <c r="J8" s="261"/>
      <c r="K8" s="262"/>
    </row>
    <row r="9" spans="1:11" x14ac:dyDescent="0.2">
      <c r="A9" s="306" t="s">
        <v>20579</v>
      </c>
      <c r="B9" s="261" t="s">
        <v>15813</v>
      </c>
      <c r="C9" s="261" t="s">
        <v>17513</v>
      </c>
      <c r="D9" s="261" t="s">
        <v>13918</v>
      </c>
      <c r="E9" s="261">
        <v>7</v>
      </c>
      <c r="F9" s="261" t="s">
        <v>20585</v>
      </c>
      <c r="G9" s="261" t="s">
        <v>20062</v>
      </c>
      <c r="H9" s="261" t="s">
        <v>20063</v>
      </c>
      <c r="I9" s="261"/>
      <c r="J9" s="261"/>
      <c r="K9" s="262"/>
    </row>
    <row r="10" spans="1:11" x14ac:dyDescent="0.2">
      <c r="A10" s="306" t="s">
        <v>20579</v>
      </c>
      <c r="B10" s="261" t="s">
        <v>15813</v>
      </c>
      <c r="C10" s="261" t="s">
        <v>17513</v>
      </c>
      <c r="D10" s="261" t="s">
        <v>13918</v>
      </c>
      <c r="E10" s="261">
        <v>8</v>
      </c>
      <c r="F10" s="261" t="s">
        <v>20585</v>
      </c>
      <c r="G10" s="261" t="s">
        <v>20064</v>
      </c>
      <c r="H10" s="261" t="s">
        <v>20065</v>
      </c>
      <c r="I10" s="261"/>
      <c r="J10" s="261"/>
      <c r="K10" s="262"/>
    </row>
    <row r="11" spans="1:11" x14ac:dyDescent="0.2">
      <c r="A11" s="306" t="s">
        <v>20579</v>
      </c>
      <c r="B11" s="261" t="s">
        <v>15813</v>
      </c>
      <c r="C11" s="261" t="s">
        <v>17513</v>
      </c>
      <c r="D11" s="261" t="s">
        <v>13918</v>
      </c>
      <c r="E11" s="261">
        <v>9</v>
      </c>
      <c r="F11" s="261" t="s">
        <v>20585</v>
      </c>
      <c r="G11" s="261" t="s">
        <v>20066</v>
      </c>
      <c r="H11" s="261" t="s">
        <v>20067</v>
      </c>
      <c r="I11" s="261"/>
      <c r="J11" s="261"/>
      <c r="K11" s="262"/>
    </row>
    <row r="12" spans="1:11" x14ac:dyDescent="0.2">
      <c r="A12" s="306" t="s">
        <v>20579</v>
      </c>
      <c r="B12" s="261" t="s">
        <v>15813</v>
      </c>
      <c r="C12" s="261" t="s">
        <v>17513</v>
      </c>
      <c r="D12" s="261" t="s">
        <v>13918</v>
      </c>
      <c r="E12" s="261">
        <v>10</v>
      </c>
      <c r="F12" s="261" t="s">
        <v>20585</v>
      </c>
      <c r="G12" s="261" t="s">
        <v>20068</v>
      </c>
      <c r="H12" s="261" t="s">
        <v>20069</v>
      </c>
      <c r="I12" s="261"/>
      <c r="J12" s="261"/>
      <c r="K12" s="262"/>
    </row>
    <row r="13" spans="1:11" x14ac:dyDescent="0.2">
      <c r="A13" s="306" t="s">
        <v>20579</v>
      </c>
      <c r="B13" s="261" t="s">
        <v>15813</v>
      </c>
      <c r="C13" s="261" t="s">
        <v>17513</v>
      </c>
      <c r="D13" s="261" t="s">
        <v>13918</v>
      </c>
      <c r="E13" s="261">
        <v>11</v>
      </c>
      <c r="F13" s="261" t="s">
        <v>20585</v>
      </c>
      <c r="G13" s="261" t="s">
        <v>20070</v>
      </c>
      <c r="H13" s="261" t="s">
        <v>20071</v>
      </c>
      <c r="I13" s="261"/>
      <c r="J13" s="261"/>
      <c r="K13" s="262"/>
    </row>
    <row r="14" spans="1:11" x14ac:dyDescent="0.2">
      <c r="A14" s="306" t="s">
        <v>20579</v>
      </c>
      <c r="B14" s="261" t="s">
        <v>15867</v>
      </c>
      <c r="C14" s="261" t="s">
        <v>17513</v>
      </c>
      <c r="D14" s="261" t="s">
        <v>13918</v>
      </c>
      <c r="E14" s="261">
        <v>12</v>
      </c>
      <c r="F14" s="261" t="s">
        <v>20586</v>
      </c>
      <c r="G14" s="261" t="s">
        <v>9200</v>
      </c>
      <c r="H14" s="261" t="s">
        <v>9201</v>
      </c>
      <c r="I14" s="261"/>
      <c r="J14" s="261"/>
      <c r="K14" s="262"/>
    </row>
    <row r="15" spans="1:11" x14ac:dyDescent="0.2">
      <c r="A15" s="306" t="s">
        <v>20579</v>
      </c>
      <c r="B15" s="261" t="s">
        <v>15867</v>
      </c>
      <c r="C15" s="261" t="s">
        <v>17513</v>
      </c>
      <c r="D15" s="261" t="s">
        <v>13918</v>
      </c>
      <c r="E15" s="261">
        <v>13</v>
      </c>
      <c r="F15" s="261" t="s">
        <v>20586</v>
      </c>
      <c r="G15" s="261" t="s">
        <v>10799</v>
      </c>
      <c r="H15" s="261" t="s">
        <v>10800</v>
      </c>
      <c r="I15" s="261"/>
      <c r="J15" s="261"/>
      <c r="K15" s="262"/>
    </row>
    <row r="16" spans="1:11" x14ac:dyDescent="0.2">
      <c r="A16" s="306" t="s">
        <v>20579</v>
      </c>
      <c r="B16" s="261" t="s">
        <v>15867</v>
      </c>
      <c r="C16" s="261" t="s">
        <v>17513</v>
      </c>
      <c r="D16" s="261" t="s">
        <v>13918</v>
      </c>
      <c r="E16" s="261">
        <v>14</v>
      </c>
      <c r="F16" s="261" t="s">
        <v>20586</v>
      </c>
      <c r="G16" s="261" t="s">
        <v>10805</v>
      </c>
      <c r="H16" s="261" t="s">
        <v>10806</v>
      </c>
      <c r="I16" s="261"/>
      <c r="J16" s="261"/>
      <c r="K16" s="262"/>
    </row>
    <row r="17" spans="1:11" x14ac:dyDescent="0.2">
      <c r="A17" s="306" t="s">
        <v>20579</v>
      </c>
      <c r="B17" s="261" t="s">
        <v>15867</v>
      </c>
      <c r="C17" s="261" t="s">
        <v>17513</v>
      </c>
      <c r="D17" s="261" t="s">
        <v>13918</v>
      </c>
      <c r="E17" s="261">
        <v>15</v>
      </c>
      <c r="F17" s="261" t="s">
        <v>20586</v>
      </c>
      <c r="G17" s="261" t="s">
        <v>10809</v>
      </c>
      <c r="H17" s="261" t="s">
        <v>10810</v>
      </c>
      <c r="I17" s="261"/>
      <c r="J17" s="261"/>
      <c r="K17" s="262"/>
    </row>
    <row r="18" spans="1:11" x14ac:dyDescent="0.2">
      <c r="A18" s="306" t="s">
        <v>20579</v>
      </c>
      <c r="B18" s="261" t="s">
        <v>15867</v>
      </c>
      <c r="C18" s="261" t="s">
        <v>17513</v>
      </c>
      <c r="D18" s="261" t="s">
        <v>13918</v>
      </c>
      <c r="E18" s="261">
        <v>16</v>
      </c>
      <c r="F18" s="261" t="s">
        <v>20586</v>
      </c>
      <c r="G18" s="261" t="s">
        <v>10813</v>
      </c>
      <c r="H18" s="261" t="s">
        <v>10814</v>
      </c>
      <c r="I18" s="261"/>
      <c r="J18" s="261"/>
      <c r="K18" s="262"/>
    </row>
    <row r="19" spans="1:11" x14ac:dyDescent="0.2">
      <c r="A19" s="306" t="s">
        <v>20579</v>
      </c>
      <c r="B19" s="261" t="s">
        <v>15867</v>
      </c>
      <c r="C19" s="261" t="s">
        <v>17513</v>
      </c>
      <c r="D19" s="261" t="s">
        <v>13918</v>
      </c>
      <c r="E19" s="261">
        <v>17</v>
      </c>
      <c r="F19" s="261" t="s">
        <v>20586</v>
      </c>
      <c r="G19" s="261" t="s">
        <v>10817</v>
      </c>
      <c r="H19" s="261" t="s">
        <v>10818</v>
      </c>
      <c r="I19" s="261"/>
      <c r="J19" s="261"/>
      <c r="K19" s="262"/>
    </row>
    <row r="20" spans="1:11" x14ac:dyDescent="0.2">
      <c r="A20" s="306" t="s">
        <v>20579</v>
      </c>
      <c r="B20" s="261" t="s">
        <v>15867</v>
      </c>
      <c r="C20" s="261" t="s">
        <v>17513</v>
      </c>
      <c r="D20" s="261" t="s">
        <v>13918</v>
      </c>
      <c r="E20" s="261">
        <v>18</v>
      </c>
      <c r="F20" s="261" t="s">
        <v>20586</v>
      </c>
      <c r="G20" s="261" t="s">
        <v>10821</v>
      </c>
      <c r="H20" s="261" t="s">
        <v>10822</v>
      </c>
      <c r="I20" s="261"/>
      <c r="J20" s="261"/>
      <c r="K20" s="262"/>
    </row>
    <row r="21" spans="1:11" x14ac:dyDescent="0.2">
      <c r="A21" s="306" t="s">
        <v>20579</v>
      </c>
      <c r="B21" s="261" t="s">
        <v>15867</v>
      </c>
      <c r="C21" s="261" t="s">
        <v>17513</v>
      </c>
      <c r="D21" s="261" t="s">
        <v>13918</v>
      </c>
      <c r="E21" s="261">
        <v>19</v>
      </c>
      <c r="F21" s="261" t="s">
        <v>20586</v>
      </c>
      <c r="G21" s="261" t="s">
        <v>10825</v>
      </c>
      <c r="H21" s="261" t="s">
        <v>10826</v>
      </c>
      <c r="I21" s="261"/>
      <c r="J21" s="261"/>
      <c r="K21" s="262"/>
    </row>
    <row r="22" spans="1:11" x14ac:dyDescent="0.2">
      <c r="A22" s="306" t="s">
        <v>20579</v>
      </c>
      <c r="B22" s="261" t="s">
        <v>15867</v>
      </c>
      <c r="C22" s="261" t="s">
        <v>17513</v>
      </c>
      <c r="D22" s="261" t="s">
        <v>13918</v>
      </c>
      <c r="E22" s="261">
        <v>20</v>
      </c>
      <c r="F22" s="261" t="s">
        <v>20586</v>
      </c>
      <c r="G22" s="261" t="s">
        <v>10829</v>
      </c>
      <c r="H22" s="261" t="s">
        <v>10830</v>
      </c>
      <c r="I22" s="261"/>
      <c r="J22" s="261"/>
      <c r="K22" s="262"/>
    </row>
    <row r="23" spans="1:11" x14ac:dyDescent="0.2">
      <c r="A23" s="306" t="s">
        <v>20579</v>
      </c>
      <c r="B23" s="261" t="s">
        <v>15867</v>
      </c>
      <c r="C23" s="261" t="s">
        <v>17513</v>
      </c>
      <c r="D23" s="261" t="s">
        <v>13918</v>
      </c>
      <c r="E23" s="261">
        <v>21</v>
      </c>
      <c r="F23" s="261" t="s">
        <v>20586</v>
      </c>
      <c r="G23" s="261"/>
      <c r="H23" s="261"/>
      <c r="I23" s="261" t="s">
        <v>10772</v>
      </c>
      <c r="J23" s="261" t="s">
        <v>10756</v>
      </c>
      <c r="K23" s="262">
        <v>1000000</v>
      </c>
    </row>
    <row r="24" spans="1:11" x14ac:dyDescent="0.2">
      <c r="A24" s="306" t="s">
        <v>20579</v>
      </c>
      <c r="B24" s="261" t="s">
        <v>15921</v>
      </c>
      <c r="C24" s="261" t="s">
        <v>17513</v>
      </c>
      <c r="D24" s="261" t="s">
        <v>13918</v>
      </c>
      <c r="E24" s="261">
        <v>22</v>
      </c>
      <c r="F24" s="261" t="s">
        <v>20587</v>
      </c>
      <c r="G24" s="261" t="s">
        <v>9187</v>
      </c>
      <c r="H24" s="261" t="s">
        <v>9188</v>
      </c>
      <c r="I24" s="261"/>
      <c r="J24" s="261"/>
      <c r="K24" s="262"/>
    </row>
    <row r="25" spans="1:11" x14ac:dyDescent="0.2">
      <c r="A25" s="306" t="s">
        <v>20579</v>
      </c>
      <c r="B25" s="261" t="s">
        <v>15921</v>
      </c>
      <c r="C25" s="261" t="s">
        <v>17513</v>
      </c>
      <c r="D25" s="261" t="s">
        <v>13918</v>
      </c>
      <c r="E25" s="261">
        <v>23</v>
      </c>
      <c r="F25" s="261" t="s">
        <v>20587</v>
      </c>
      <c r="G25" s="261"/>
      <c r="H25" s="261"/>
      <c r="I25" s="261" t="s">
        <v>10772</v>
      </c>
      <c r="J25" s="261" t="s">
        <v>10756</v>
      </c>
      <c r="K25" s="262">
        <v>1000000</v>
      </c>
    </row>
    <row r="26" spans="1:11" x14ac:dyDescent="0.2">
      <c r="A26" s="306" t="s">
        <v>20579</v>
      </c>
      <c r="B26" s="261" t="s">
        <v>16003</v>
      </c>
      <c r="C26" s="261" t="s">
        <v>17513</v>
      </c>
      <c r="D26" s="261" t="s">
        <v>13918</v>
      </c>
      <c r="E26" s="261">
        <v>24</v>
      </c>
      <c r="F26" s="261" t="s">
        <v>20588</v>
      </c>
      <c r="G26" s="261" t="s">
        <v>9222</v>
      </c>
      <c r="H26" s="261" t="s">
        <v>9223</v>
      </c>
      <c r="I26" s="261"/>
      <c r="J26" s="261"/>
      <c r="K26" s="262"/>
    </row>
    <row r="27" spans="1:11" x14ac:dyDescent="0.2">
      <c r="A27" s="306" t="s">
        <v>20579</v>
      </c>
      <c r="B27" s="261" t="s">
        <v>16003</v>
      </c>
      <c r="C27" s="261" t="s">
        <v>17513</v>
      </c>
      <c r="D27" s="261" t="s">
        <v>13918</v>
      </c>
      <c r="E27" s="261">
        <v>25</v>
      </c>
      <c r="F27" s="261" t="s">
        <v>20588</v>
      </c>
      <c r="G27" s="261" t="s">
        <v>10833</v>
      </c>
      <c r="H27" s="261" t="s">
        <v>10834</v>
      </c>
      <c r="I27" s="261"/>
      <c r="J27" s="261"/>
      <c r="K27" s="262"/>
    </row>
    <row r="28" spans="1:11" x14ac:dyDescent="0.2">
      <c r="A28" s="306" t="s">
        <v>20579</v>
      </c>
      <c r="B28" s="261" t="s">
        <v>16003</v>
      </c>
      <c r="C28" s="261" t="s">
        <v>17513</v>
      </c>
      <c r="D28" s="261" t="s">
        <v>13918</v>
      </c>
      <c r="E28" s="261">
        <v>26</v>
      </c>
      <c r="F28" s="261" t="s">
        <v>20588</v>
      </c>
      <c r="G28" s="261" t="s">
        <v>10839</v>
      </c>
      <c r="H28" s="261" t="s">
        <v>10840</v>
      </c>
      <c r="I28" s="261"/>
      <c r="J28" s="261"/>
      <c r="K28" s="262"/>
    </row>
    <row r="29" spans="1:11" x14ac:dyDescent="0.2">
      <c r="A29" s="306" t="s">
        <v>20579</v>
      </c>
      <c r="B29" s="261" t="s">
        <v>16003</v>
      </c>
      <c r="C29" s="261" t="s">
        <v>17513</v>
      </c>
      <c r="D29" s="261" t="s">
        <v>13918</v>
      </c>
      <c r="E29" s="261">
        <v>27</v>
      </c>
      <c r="F29" s="261" t="s">
        <v>20588</v>
      </c>
      <c r="G29" s="261" t="s">
        <v>10843</v>
      </c>
      <c r="H29" s="261" t="s">
        <v>10844</v>
      </c>
      <c r="I29" s="261"/>
      <c r="J29" s="261"/>
      <c r="K29" s="262"/>
    </row>
    <row r="30" spans="1:11" x14ac:dyDescent="0.2">
      <c r="A30" s="306" t="s">
        <v>20579</v>
      </c>
      <c r="B30" s="261" t="s">
        <v>16003</v>
      </c>
      <c r="C30" s="261" t="s">
        <v>17513</v>
      </c>
      <c r="D30" s="261" t="s">
        <v>13918</v>
      </c>
      <c r="E30" s="261">
        <v>28</v>
      </c>
      <c r="F30" s="261" t="s">
        <v>20588</v>
      </c>
      <c r="G30" s="261" t="s">
        <v>10847</v>
      </c>
      <c r="H30" s="261" t="s">
        <v>10848</v>
      </c>
      <c r="I30" s="261"/>
      <c r="J30" s="261"/>
      <c r="K30" s="262"/>
    </row>
    <row r="31" spans="1:11" x14ac:dyDescent="0.2">
      <c r="A31" s="306" t="s">
        <v>20579</v>
      </c>
      <c r="B31" s="261" t="s">
        <v>16003</v>
      </c>
      <c r="C31" s="261" t="s">
        <v>17513</v>
      </c>
      <c r="D31" s="261" t="s">
        <v>13918</v>
      </c>
      <c r="E31" s="261">
        <v>29</v>
      </c>
      <c r="F31" s="261" t="s">
        <v>20588</v>
      </c>
      <c r="G31" s="261" t="s">
        <v>10851</v>
      </c>
      <c r="H31" s="261" t="s">
        <v>10852</v>
      </c>
      <c r="I31" s="261"/>
      <c r="J31" s="261"/>
      <c r="K31" s="262"/>
    </row>
    <row r="32" spans="1:11" x14ac:dyDescent="0.2">
      <c r="A32" s="306" t="s">
        <v>20579</v>
      </c>
      <c r="B32" s="261" t="s">
        <v>16003</v>
      </c>
      <c r="C32" s="261" t="s">
        <v>17513</v>
      </c>
      <c r="D32" s="261" t="s">
        <v>13918</v>
      </c>
      <c r="E32" s="261">
        <v>30</v>
      </c>
      <c r="F32" s="261" t="s">
        <v>20588</v>
      </c>
      <c r="G32" s="261" t="s">
        <v>10855</v>
      </c>
      <c r="H32" s="261" t="s">
        <v>10856</v>
      </c>
      <c r="I32" s="261"/>
      <c r="J32" s="261"/>
      <c r="K32" s="262"/>
    </row>
    <row r="33" spans="1:11" x14ac:dyDescent="0.2">
      <c r="A33" s="306" t="s">
        <v>20579</v>
      </c>
      <c r="B33" s="261" t="s">
        <v>16003</v>
      </c>
      <c r="C33" s="261" t="s">
        <v>17513</v>
      </c>
      <c r="D33" s="261" t="s">
        <v>13918</v>
      </c>
      <c r="E33" s="261">
        <v>31</v>
      </c>
      <c r="F33" s="261" t="s">
        <v>20588</v>
      </c>
      <c r="G33" s="261" t="s">
        <v>10859</v>
      </c>
      <c r="H33" s="261" t="s">
        <v>10860</v>
      </c>
      <c r="I33" s="261"/>
      <c r="J33" s="261"/>
      <c r="K33" s="262"/>
    </row>
    <row r="34" spans="1:11" x14ac:dyDescent="0.2">
      <c r="A34" s="306" t="s">
        <v>20579</v>
      </c>
      <c r="B34" s="261" t="s">
        <v>16003</v>
      </c>
      <c r="C34" s="261" t="s">
        <v>17513</v>
      </c>
      <c r="D34" s="261" t="s">
        <v>13918</v>
      </c>
      <c r="E34" s="261">
        <v>32</v>
      </c>
      <c r="F34" s="261" t="s">
        <v>20588</v>
      </c>
      <c r="G34" s="261" t="s">
        <v>10863</v>
      </c>
      <c r="H34" s="261" t="s">
        <v>10864</v>
      </c>
      <c r="I34" s="261"/>
      <c r="J34" s="261"/>
      <c r="K34" s="262"/>
    </row>
    <row r="35" spans="1:11" x14ac:dyDescent="0.2">
      <c r="A35" s="306" t="s">
        <v>20579</v>
      </c>
      <c r="B35" s="261" t="s">
        <v>16003</v>
      </c>
      <c r="C35" s="261" t="s">
        <v>17513</v>
      </c>
      <c r="D35" s="261" t="s">
        <v>13918</v>
      </c>
      <c r="E35" s="261">
        <v>33</v>
      </c>
      <c r="F35" s="261" t="s">
        <v>20588</v>
      </c>
      <c r="G35" s="261" t="s">
        <v>10867</v>
      </c>
      <c r="H35" s="261" t="s">
        <v>10868</v>
      </c>
      <c r="I35" s="261"/>
      <c r="J35" s="261"/>
      <c r="K35" s="262"/>
    </row>
    <row r="36" spans="1:11" x14ac:dyDescent="0.2">
      <c r="A36" s="306" t="s">
        <v>20579</v>
      </c>
      <c r="B36" s="261" t="s">
        <v>16003</v>
      </c>
      <c r="C36" s="261" t="s">
        <v>17513</v>
      </c>
      <c r="D36" s="261" t="s">
        <v>13918</v>
      </c>
      <c r="E36" s="261">
        <v>34</v>
      </c>
      <c r="F36" s="261" t="s">
        <v>20588</v>
      </c>
      <c r="G36" s="261"/>
      <c r="H36" s="261"/>
      <c r="I36" s="261" t="s">
        <v>10772</v>
      </c>
      <c r="J36" s="261" t="s">
        <v>10756</v>
      </c>
      <c r="K36" s="262">
        <v>1000000</v>
      </c>
    </row>
    <row r="37" spans="1:11" x14ac:dyDescent="0.2">
      <c r="A37" s="306" t="s">
        <v>20579</v>
      </c>
      <c r="B37" s="261" t="s">
        <v>16053</v>
      </c>
      <c r="C37" s="261" t="s">
        <v>17513</v>
      </c>
      <c r="D37" s="261" t="s">
        <v>13918</v>
      </c>
      <c r="E37" s="261">
        <v>35</v>
      </c>
      <c r="F37" s="261" t="s">
        <v>20589</v>
      </c>
      <c r="G37" s="261" t="s">
        <v>9233</v>
      </c>
      <c r="H37" s="261" t="s">
        <v>9234</v>
      </c>
      <c r="I37" s="261"/>
      <c r="J37" s="261"/>
      <c r="K37" s="262"/>
    </row>
    <row r="38" spans="1:11" x14ac:dyDescent="0.2">
      <c r="A38" s="306" t="s">
        <v>20579</v>
      </c>
      <c r="B38" s="261" t="s">
        <v>16053</v>
      </c>
      <c r="C38" s="261" t="s">
        <v>17513</v>
      </c>
      <c r="D38" s="261" t="s">
        <v>13918</v>
      </c>
      <c r="E38" s="261">
        <v>36</v>
      </c>
      <c r="F38" s="261" t="s">
        <v>20589</v>
      </c>
      <c r="G38" s="261"/>
      <c r="H38" s="261"/>
      <c r="I38" s="261" t="s">
        <v>10772</v>
      </c>
      <c r="J38" s="261" t="s">
        <v>10756</v>
      </c>
      <c r="K38" s="262">
        <v>1000000</v>
      </c>
    </row>
    <row r="39" spans="1:11" x14ac:dyDescent="0.2">
      <c r="A39" s="306" t="s">
        <v>20579</v>
      </c>
      <c r="B39" s="261" t="s">
        <v>16129</v>
      </c>
      <c r="C39" s="261" t="s">
        <v>17513</v>
      </c>
      <c r="D39" s="261" t="s">
        <v>13918</v>
      </c>
      <c r="E39" s="261">
        <v>37</v>
      </c>
      <c r="F39" s="261" t="s">
        <v>20590</v>
      </c>
      <c r="G39" s="261"/>
      <c r="H39" s="261"/>
      <c r="I39" s="261" t="s">
        <v>10772</v>
      </c>
      <c r="J39" s="261" t="s">
        <v>10756</v>
      </c>
      <c r="K39" s="262">
        <v>1000000</v>
      </c>
    </row>
    <row r="40" spans="1:11" x14ac:dyDescent="0.2">
      <c r="A40" s="306" t="s">
        <v>20579</v>
      </c>
      <c r="B40" s="261" t="s">
        <v>16129</v>
      </c>
      <c r="C40" s="261" t="s">
        <v>17513</v>
      </c>
      <c r="D40" s="261" t="s">
        <v>13918</v>
      </c>
      <c r="E40" s="261">
        <v>38</v>
      </c>
      <c r="F40" s="261" t="s">
        <v>20590</v>
      </c>
      <c r="G40" s="261" t="s">
        <v>20072</v>
      </c>
      <c r="H40" s="261" t="s">
        <v>20073</v>
      </c>
      <c r="I40" s="261"/>
      <c r="J40" s="261"/>
      <c r="K40" s="262"/>
    </row>
    <row r="41" spans="1:11" x14ac:dyDescent="0.2">
      <c r="A41" s="306" t="s">
        <v>20579</v>
      </c>
      <c r="B41" s="261" t="s">
        <v>16129</v>
      </c>
      <c r="C41" s="261" t="s">
        <v>17513</v>
      </c>
      <c r="D41" s="261" t="s">
        <v>13918</v>
      </c>
      <c r="E41" s="261">
        <v>39</v>
      </c>
      <c r="F41" s="261" t="s">
        <v>20590</v>
      </c>
      <c r="G41" s="261" t="s">
        <v>20075</v>
      </c>
      <c r="H41" s="261" t="s">
        <v>20076</v>
      </c>
      <c r="I41" s="261"/>
      <c r="J41" s="261"/>
      <c r="K41" s="262"/>
    </row>
    <row r="42" spans="1:11" x14ac:dyDescent="0.2">
      <c r="A42" s="306" t="s">
        <v>20579</v>
      </c>
      <c r="B42" s="261" t="s">
        <v>16129</v>
      </c>
      <c r="C42" s="261" t="s">
        <v>17513</v>
      </c>
      <c r="D42" s="261" t="s">
        <v>13918</v>
      </c>
      <c r="E42" s="261">
        <v>40</v>
      </c>
      <c r="F42" s="261" t="s">
        <v>20590</v>
      </c>
      <c r="G42" s="261" t="s">
        <v>20077</v>
      </c>
      <c r="H42" s="261" t="s">
        <v>20078</v>
      </c>
      <c r="I42" s="261"/>
      <c r="J42" s="261"/>
      <c r="K42" s="262"/>
    </row>
    <row r="43" spans="1:11" x14ac:dyDescent="0.2">
      <c r="A43" s="306" t="s">
        <v>20579</v>
      </c>
      <c r="B43" s="261" t="s">
        <v>16129</v>
      </c>
      <c r="C43" s="261" t="s">
        <v>17513</v>
      </c>
      <c r="D43" s="261" t="s">
        <v>13918</v>
      </c>
      <c r="E43" s="261">
        <v>41</v>
      </c>
      <c r="F43" s="261" t="s">
        <v>20590</v>
      </c>
      <c r="G43" s="261" t="s">
        <v>20079</v>
      </c>
      <c r="H43" s="261" t="s">
        <v>20080</v>
      </c>
      <c r="I43" s="261"/>
      <c r="J43" s="261"/>
      <c r="K43" s="262"/>
    </row>
    <row r="44" spans="1:11" x14ac:dyDescent="0.2">
      <c r="A44" s="306" t="s">
        <v>20579</v>
      </c>
      <c r="B44" s="261" t="s">
        <v>16129</v>
      </c>
      <c r="C44" s="261" t="s">
        <v>17513</v>
      </c>
      <c r="D44" s="261" t="s">
        <v>13918</v>
      </c>
      <c r="E44" s="261">
        <v>42</v>
      </c>
      <c r="F44" s="261" t="s">
        <v>20590</v>
      </c>
      <c r="G44" s="261" t="s">
        <v>20081</v>
      </c>
      <c r="H44" s="261" t="s">
        <v>20082</v>
      </c>
      <c r="I44" s="261"/>
      <c r="J44" s="261"/>
      <c r="K44" s="262"/>
    </row>
    <row r="45" spans="1:11" x14ac:dyDescent="0.2">
      <c r="A45" s="306" t="s">
        <v>20579</v>
      </c>
      <c r="B45" s="261" t="s">
        <v>16129</v>
      </c>
      <c r="C45" s="261" t="s">
        <v>17513</v>
      </c>
      <c r="D45" s="261" t="s">
        <v>13918</v>
      </c>
      <c r="E45" s="261">
        <v>43</v>
      </c>
      <c r="F45" s="261" t="s">
        <v>20590</v>
      </c>
      <c r="G45" s="261" t="s">
        <v>20083</v>
      </c>
      <c r="H45" s="261" t="s">
        <v>20084</v>
      </c>
      <c r="I45" s="261"/>
      <c r="J45" s="261"/>
      <c r="K45" s="262"/>
    </row>
    <row r="46" spans="1:11" x14ac:dyDescent="0.2">
      <c r="A46" s="306" t="s">
        <v>20579</v>
      </c>
      <c r="B46" s="261" t="s">
        <v>16129</v>
      </c>
      <c r="C46" s="261" t="s">
        <v>17513</v>
      </c>
      <c r="D46" s="261" t="s">
        <v>13918</v>
      </c>
      <c r="E46" s="261">
        <v>44</v>
      </c>
      <c r="F46" s="261" t="s">
        <v>20590</v>
      </c>
      <c r="G46" s="261" t="s">
        <v>20085</v>
      </c>
      <c r="H46" s="261" t="s">
        <v>20086</v>
      </c>
      <c r="I46" s="261"/>
      <c r="J46" s="261"/>
      <c r="K46" s="262"/>
    </row>
    <row r="47" spans="1:11" x14ac:dyDescent="0.2">
      <c r="A47" s="306" t="s">
        <v>20579</v>
      </c>
      <c r="B47" s="261" t="s">
        <v>16129</v>
      </c>
      <c r="C47" s="261" t="s">
        <v>17513</v>
      </c>
      <c r="D47" s="261" t="s">
        <v>13918</v>
      </c>
      <c r="E47" s="261">
        <v>45</v>
      </c>
      <c r="F47" s="261" t="s">
        <v>20590</v>
      </c>
      <c r="G47" s="261" t="s">
        <v>20087</v>
      </c>
      <c r="H47" s="261" t="s">
        <v>20088</v>
      </c>
      <c r="I47" s="261"/>
      <c r="J47" s="261"/>
      <c r="K47" s="262"/>
    </row>
    <row r="48" spans="1:11" x14ac:dyDescent="0.2">
      <c r="A48" s="306" t="s">
        <v>20579</v>
      </c>
      <c r="B48" s="261" t="s">
        <v>16129</v>
      </c>
      <c r="C48" s="261" t="s">
        <v>17513</v>
      </c>
      <c r="D48" s="261" t="s">
        <v>13918</v>
      </c>
      <c r="E48" s="261">
        <v>46</v>
      </c>
      <c r="F48" s="261" t="s">
        <v>20590</v>
      </c>
      <c r="G48" s="261" t="s">
        <v>20089</v>
      </c>
      <c r="H48" s="261" t="s">
        <v>20090</v>
      </c>
      <c r="I48" s="261"/>
      <c r="J48" s="261"/>
      <c r="K48" s="262"/>
    </row>
    <row r="49" spans="1:11" x14ac:dyDescent="0.2">
      <c r="A49" s="306" t="s">
        <v>20579</v>
      </c>
      <c r="B49" s="261" t="s">
        <v>16129</v>
      </c>
      <c r="C49" s="261" t="s">
        <v>17513</v>
      </c>
      <c r="D49" s="261" t="s">
        <v>13918</v>
      </c>
      <c r="E49" s="261">
        <v>47</v>
      </c>
      <c r="F49" s="261" t="s">
        <v>20590</v>
      </c>
      <c r="G49" s="261" t="s">
        <v>20101</v>
      </c>
      <c r="H49" s="261" t="s">
        <v>20102</v>
      </c>
      <c r="I49" s="261"/>
      <c r="J49" s="261"/>
      <c r="K49" s="262"/>
    </row>
    <row r="50" spans="1:11" x14ac:dyDescent="0.2">
      <c r="A50" s="306" t="s">
        <v>20579</v>
      </c>
      <c r="B50" s="261" t="s">
        <v>16129</v>
      </c>
      <c r="C50" s="261" t="s">
        <v>17513</v>
      </c>
      <c r="D50" s="261" t="s">
        <v>13918</v>
      </c>
      <c r="E50" s="261">
        <v>48</v>
      </c>
      <c r="F50" s="261" t="s">
        <v>20590</v>
      </c>
      <c r="G50" s="261" t="s">
        <v>10871</v>
      </c>
      <c r="H50" s="261" t="s">
        <v>10872</v>
      </c>
      <c r="I50" s="261"/>
      <c r="J50" s="261"/>
      <c r="K50" s="262"/>
    </row>
    <row r="51" spans="1:11" x14ac:dyDescent="0.2">
      <c r="A51" s="306" t="s">
        <v>20579</v>
      </c>
      <c r="B51" s="261" t="s">
        <v>16129</v>
      </c>
      <c r="C51" s="261" t="s">
        <v>17513</v>
      </c>
      <c r="D51" s="261" t="s">
        <v>13918</v>
      </c>
      <c r="E51" s="261">
        <v>49</v>
      </c>
      <c r="F51" s="261" t="s">
        <v>20590</v>
      </c>
      <c r="G51" s="261" t="s">
        <v>10877</v>
      </c>
      <c r="H51" s="261" t="s">
        <v>10878</v>
      </c>
      <c r="I51" s="261"/>
      <c r="J51" s="261"/>
      <c r="K51" s="262"/>
    </row>
    <row r="52" spans="1:11" x14ac:dyDescent="0.2">
      <c r="A52" s="306" t="s">
        <v>20579</v>
      </c>
      <c r="B52" s="261" t="s">
        <v>16129</v>
      </c>
      <c r="C52" s="261" t="s">
        <v>17513</v>
      </c>
      <c r="D52" s="261" t="s">
        <v>13918</v>
      </c>
      <c r="E52" s="261">
        <v>50</v>
      </c>
      <c r="F52" s="261" t="s">
        <v>20590</v>
      </c>
      <c r="G52" s="261" t="s">
        <v>10881</v>
      </c>
      <c r="H52" s="261" t="s">
        <v>10882</v>
      </c>
      <c r="I52" s="261"/>
      <c r="J52" s="261"/>
      <c r="K52" s="262"/>
    </row>
    <row r="53" spans="1:11" x14ac:dyDescent="0.2">
      <c r="A53" s="306" t="s">
        <v>20579</v>
      </c>
      <c r="B53" s="261" t="s">
        <v>16129</v>
      </c>
      <c r="C53" s="261" t="s">
        <v>17513</v>
      </c>
      <c r="D53" s="261" t="s">
        <v>13918</v>
      </c>
      <c r="E53" s="261">
        <v>51</v>
      </c>
      <c r="F53" s="261" t="s">
        <v>20590</v>
      </c>
      <c r="G53" s="261" t="s">
        <v>10885</v>
      </c>
      <c r="H53" s="261" t="s">
        <v>10886</v>
      </c>
      <c r="I53" s="261"/>
      <c r="J53" s="261"/>
      <c r="K53" s="262"/>
    </row>
    <row r="54" spans="1:11" x14ac:dyDescent="0.2">
      <c r="A54" s="306" t="s">
        <v>20579</v>
      </c>
      <c r="B54" s="261" t="s">
        <v>16129</v>
      </c>
      <c r="C54" s="261" t="s">
        <v>17513</v>
      </c>
      <c r="D54" s="261" t="s">
        <v>13918</v>
      </c>
      <c r="E54" s="261">
        <v>52</v>
      </c>
      <c r="F54" s="261" t="s">
        <v>20590</v>
      </c>
      <c r="G54" s="261" t="s">
        <v>10889</v>
      </c>
      <c r="H54" s="261" t="s">
        <v>10890</v>
      </c>
      <c r="I54" s="261"/>
      <c r="J54" s="261"/>
      <c r="K54" s="262"/>
    </row>
    <row r="55" spans="1:11" x14ac:dyDescent="0.2">
      <c r="A55" s="306" t="s">
        <v>20579</v>
      </c>
      <c r="B55" s="261" t="s">
        <v>16129</v>
      </c>
      <c r="C55" s="261" t="s">
        <v>17513</v>
      </c>
      <c r="D55" s="261" t="s">
        <v>13918</v>
      </c>
      <c r="E55" s="261">
        <v>53</v>
      </c>
      <c r="F55" s="261" t="s">
        <v>20590</v>
      </c>
      <c r="G55" s="261" t="s">
        <v>10893</v>
      </c>
      <c r="H55" s="261" t="s">
        <v>10894</v>
      </c>
      <c r="I55" s="261"/>
      <c r="J55" s="261"/>
      <c r="K55" s="262"/>
    </row>
    <row r="56" spans="1:11" x14ac:dyDescent="0.2">
      <c r="A56" s="306" t="s">
        <v>20579</v>
      </c>
      <c r="B56" s="261" t="s">
        <v>16129</v>
      </c>
      <c r="C56" s="261" t="s">
        <v>17513</v>
      </c>
      <c r="D56" s="261" t="s">
        <v>13918</v>
      </c>
      <c r="E56" s="261">
        <v>54</v>
      </c>
      <c r="F56" s="261" t="s">
        <v>20590</v>
      </c>
      <c r="G56" s="261" t="s">
        <v>10897</v>
      </c>
      <c r="H56" s="261" t="s">
        <v>10898</v>
      </c>
      <c r="I56" s="261"/>
      <c r="J56" s="261"/>
      <c r="K56" s="262"/>
    </row>
    <row r="57" spans="1:11" x14ac:dyDescent="0.2">
      <c r="A57" s="306" t="s">
        <v>20579</v>
      </c>
      <c r="B57" s="261" t="s">
        <v>16129</v>
      </c>
      <c r="C57" s="261" t="s">
        <v>17513</v>
      </c>
      <c r="D57" s="261" t="s">
        <v>13918</v>
      </c>
      <c r="E57" s="261">
        <v>55</v>
      </c>
      <c r="F57" s="261" t="s">
        <v>20590</v>
      </c>
      <c r="G57" s="261" t="s">
        <v>10901</v>
      </c>
      <c r="H57" s="261" t="s">
        <v>10902</v>
      </c>
      <c r="I57" s="261"/>
      <c r="J57" s="261"/>
      <c r="K57" s="262"/>
    </row>
    <row r="58" spans="1:11" x14ac:dyDescent="0.2">
      <c r="A58" s="306" t="s">
        <v>20579</v>
      </c>
      <c r="B58" s="261" t="s">
        <v>16129</v>
      </c>
      <c r="C58" s="261" t="s">
        <v>17513</v>
      </c>
      <c r="D58" s="261" t="s">
        <v>13918</v>
      </c>
      <c r="E58" s="261">
        <v>56</v>
      </c>
      <c r="F58" s="261" t="s">
        <v>20590</v>
      </c>
      <c r="G58" s="261" t="s">
        <v>10905</v>
      </c>
      <c r="H58" s="261" t="s">
        <v>10906</v>
      </c>
      <c r="I58" s="261"/>
      <c r="J58" s="261"/>
      <c r="K58" s="262"/>
    </row>
    <row r="59" spans="1:11" x14ac:dyDescent="0.2">
      <c r="A59" s="306" t="s">
        <v>20579</v>
      </c>
      <c r="B59" s="261" t="s">
        <v>16209</v>
      </c>
      <c r="C59" s="261" t="s">
        <v>17513</v>
      </c>
      <c r="D59" s="261" t="s">
        <v>13918</v>
      </c>
      <c r="E59" s="261">
        <v>57</v>
      </c>
      <c r="F59" s="261" t="s">
        <v>20591</v>
      </c>
      <c r="G59" s="261"/>
      <c r="H59" s="261"/>
      <c r="I59" s="261" t="s">
        <v>10772</v>
      </c>
      <c r="J59" s="261" t="s">
        <v>10756</v>
      </c>
      <c r="K59" s="262">
        <v>1000000</v>
      </c>
    </row>
    <row r="60" spans="1:11" x14ac:dyDescent="0.2">
      <c r="A60" s="306" t="s">
        <v>20579</v>
      </c>
      <c r="B60" s="261" t="s">
        <v>16209</v>
      </c>
      <c r="C60" s="261" t="s">
        <v>17513</v>
      </c>
      <c r="D60" s="261" t="s">
        <v>13918</v>
      </c>
      <c r="E60" s="261">
        <v>58</v>
      </c>
      <c r="F60" s="261" t="s">
        <v>20591</v>
      </c>
      <c r="G60" s="261" t="s">
        <v>20103</v>
      </c>
      <c r="H60" s="261" t="s">
        <v>20104</v>
      </c>
      <c r="I60" s="261"/>
      <c r="J60" s="261"/>
      <c r="K60" s="262"/>
    </row>
    <row r="61" spans="1:11" x14ac:dyDescent="0.2">
      <c r="A61" s="306" t="s">
        <v>20579</v>
      </c>
      <c r="B61" s="261" t="s">
        <v>16283</v>
      </c>
      <c r="C61" s="261" t="s">
        <v>17513</v>
      </c>
      <c r="D61" s="261" t="s">
        <v>13918</v>
      </c>
      <c r="E61" s="261">
        <v>59</v>
      </c>
      <c r="F61" s="261" t="s">
        <v>20592</v>
      </c>
      <c r="G61" s="261" t="s">
        <v>4048</v>
      </c>
      <c r="H61" s="261" t="s">
        <v>4049</v>
      </c>
      <c r="I61" s="261"/>
      <c r="J61" s="261"/>
      <c r="K61" s="262"/>
    </row>
    <row r="62" spans="1:11" x14ac:dyDescent="0.2">
      <c r="A62" s="306" t="s">
        <v>20579</v>
      </c>
      <c r="B62" s="261" t="s">
        <v>16283</v>
      </c>
      <c r="C62" s="261" t="s">
        <v>17513</v>
      </c>
      <c r="D62" s="261" t="s">
        <v>13918</v>
      </c>
      <c r="E62" s="261">
        <v>60</v>
      </c>
      <c r="F62" s="261" t="s">
        <v>20592</v>
      </c>
      <c r="G62" s="261"/>
      <c r="H62" s="261"/>
      <c r="I62" s="261" t="s">
        <v>10772</v>
      </c>
      <c r="J62" s="261" t="s">
        <v>10756</v>
      </c>
      <c r="K62" s="262">
        <v>1000000</v>
      </c>
    </row>
    <row r="63" spans="1:11" x14ac:dyDescent="0.2">
      <c r="A63" s="306" t="s">
        <v>20579</v>
      </c>
      <c r="B63" s="261" t="s">
        <v>16283</v>
      </c>
      <c r="C63" s="261" t="s">
        <v>17513</v>
      </c>
      <c r="D63" s="261" t="s">
        <v>13918</v>
      </c>
      <c r="E63" s="261">
        <v>61</v>
      </c>
      <c r="F63" s="261" t="s">
        <v>20592</v>
      </c>
      <c r="G63" s="261" t="s">
        <v>20105</v>
      </c>
      <c r="H63" s="261" t="s">
        <v>20106</v>
      </c>
      <c r="I63" s="261"/>
      <c r="J63" s="261"/>
      <c r="K63" s="262"/>
    </row>
    <row r="64" spans="1:11" x14ac:dyDescent="0.2">
      <c r="A64" s="306" t="s">
        <v>20579</v>
      </c>
      <c r="B64" s="261" t="s">
        <v>16342</v>
      </c>
      <c r="C64" s="261" t="s">
        <v>17513</v>
      </c>
      <c r="D64" s="261" t="s">
        <v>13918</v>
      </c>
      <c r="E64" s="261">
        <v>62</v>
      </c>
      <c r="F64" s="261" t="s">
        <v>20593</v>
      </c>
      <c r="G64" s="261"/>
      <c r="H64" s="261"/>
      <c r="I64" s="261" t="s">
        <v>10772</v>
      </c>
      <c r="J64" s="261" t="s">
        <v>10756</v>
      </c>
      <c r="K64" s="262">
        <v>1000000</v>
      </c>
    </row>
    <row r="65" spans="1:11" x14ac:dyDescent="0.2">
      <c r="A65" s="306" t="s">
        <v>20579</v>
      </c>
      <c r="B65" s="261" t="s">
        <v>16342</v>
      </c>
      <c r="C65" s="261" t="s">
        <v>17513</v>
      </c>
      <c r="D65" s="261" t="s">
        <v>13918</v>
      </c>
      <c r="E65" s="261">
        <v>63</v>
      </c>
      <c r="F65" s="261" t="s">
        <v>20593</v>
      </c>
      <c r="G65" s="261" t="s">
        <v>20107</v>
      </c>
      <c r="H65" s="261" t="s">
        <v>20108</v>
      </c>
      <c r="I65" s="261"/>
      <c r="J65" s="261"/>
      <c r="K65" s="262"/>
    </row>
    <row r="66" spans="1:11" x14ac:dyDescent="0.2">
      <c r="A66" s="306" t="s">
        <v>20579</v>
      </c>
      <c r="B66" s="261" t="s">
        <v>16400</v>
      </c>
      <c r="C66" s="261" t="s">
        <v>17513</v>
      </c>
      <c r="D66" s="261" t="s">
        <v>13918</v>
      </c>
      <c r="E66" s="261">
        <v>64</v>
      </c>
      <c r="F66" s="261" t="s">
        <v>20594</v>
      </c>
      <c r="G66" s="261" t="s">
        <v>2867</v>
      </c>
      <c r="H66" s="261" t="s">
        <v>2868</v>
      </c>
      <c r="I66" s="261"/>
      <c r="J66" s="261"/>
      <c r="K66" s="262"/>
    </row>
    <row r="67" spans="1:11" x14ac:dyDescent="0.2">
      <c r="A67" s="306" t="s">
        <v>20579</v>
      </c>
      <c r="B67" s="261" t="s">
        <v>16400</v>
      </c>
      <c r="C67" s="261" t="s">
        <v>17513</v>
      </c>
      <c r="D67" s="261" t="s">
        <v>13918</v>
      </c>
      <c r="E67" s="261">
        <v>65</v>
      </c>
      <c r="F67" s="261" t="s">
        <v>20594</v>
      </c>
      <c r="G67" s="261"/>
      <c r="H67" s="261"/>
      <c r="I67" s="261" t="s">
        <v>10772</v>
      </c>
      <c r="J67" s="261" t="s">
        <v>10756</v>
      </c>
      <c r="K67" s="262">
        <v>1000000</v>
      </c>
    </row>
    <row r="68" spans="1:11" x14ac:dyDescent="0.2">
      <c r="A68" s="306" t="s">
        <v>20579</v>
      </c>
      <c r="B68" s="261" t="s">
        <v>16400</v>
      </c>
      <c r="C68" s="261" t="s">
        <v>17513</v>
      </c>
      <c r="D68" s="261" t="s">
        <v>13918</v>
      </c>
      <c r="E68" s="261">
        <v>66</v>
      </c>
      <c r="F68" s="261" t="s">
        <v>20594</v>
      </c>
      <c r="G68" s="261" t="s">
        <v>20110</v>
      </c>
      <c r="H68" s="261" t="s">
        <v>20111</v>
      </c>
      <c r="I68" s="261"/>
      <c r="J68" s="261"/>
      <c r="K68" s="262"/>
    </row>
    <row r="69" spans="1:11" x14ac:dyDescent="0.2">
      <c r="A69" s="306" t="s">
        <v>20579</v>
      </c>
      <c r="B69" s="261" t="s">
        <v>16458</v>
      </c>
      <c r="C69" s="261" t="s">
        <v>17513</v>
      </c>
      <c r="D69" s="261" t="s">
        <v>13918</v>
      </c>
      <c r="E69" s="261">
        <v>67</v>
      </c>
      <c r="F69" s="261" t="s">
        <v>20595</v>
      </c>
      <c r="G69" s="261" t="s">
        <v>392</v>
      </c>
      <c r="H69" s="261" t="s">
        <v>393</v>
      </c>
      <c r="I69" s="261"/>
      <c r="J69" s="261"/>
      <c r="K69" s="262"/>
    </row>
    <row r="70" spans="1:11" x14ac:dyDescent="0.2">
      <c r="A70" s="306" t="s">
        <v>20579</v>
      </c>
      <c r="B70" s="261" t="s">
        <v>16464</v>
      </c>
      <c r="C70" s="261" t="s">
        <v>17513</v>
      </c>
      <c r="D70" s="261" t="s">
        <v>13918</v>
      </c>
      <c r="E70" s="261">
        <v>68</v>
      </c>
      <c r="F70" s="261" t="s">
        <v>20595</v>
      </c>
      <c r="G70" s="261"/>
      <c r="H70" s="261"/>
      <c r="I70" s="261" t="s">
        <v>10772</v>
      </c>
      <c r="J70" s="261" t="s">
        <v>10756</v>
      </c>
      <c r="K70" s="262">
        <v>1000000</v>
      </c>
    </row>
    <row r="71" spans="1:11" x14ac:dyDescent="0.2">
      <c r="A71" s="306" t="s">
        <v>20579</v>
      </c>
      <c r="B71" s="261" t="s">
        <v>16528</v>
      </c>
      <c r="C71" s="261" t="s">
        <v>17513</v>
      </c>
      <c r="D71" s="261" t="s">
        <v>13918</v>
      </c>
      <c r="E71" s="261">
        <v>69</v>
      </c>
      <c r="F71" s="261" t="s">
        <v>20596</v>
      </c>
      <c r="G71" s="261"/>
      <c r="H71" s="261"/>
      <c r="I71" s="261" t="s">
        <v>10772</v>
      </c>
      <c r="J71" s="261" t="s">
        <v>10756</v>
      </c>
      <c r="K71" s="262">
        <v>1000000</v>
      </c>
    </row>
    <row r="72" spans="1:11" x14ac:dyDescent="0.2">
      <c r="A72" s="306" t="s">
        <v>20579</v>
      </c>
      <c r="B72" s="261" t="s">
        <v>16592</v>
      </c>
      <c r="C72" s="261" t="s">
        <v>17513</v>
      </c>
      <c r="D72" s="261" t="s">
        <v>13918</v>
      </c>
      <c r="E72" s="261">
        <v>70</v>
      </c>
      <c r="F72" s="261" t="s">
        <v>20597</v>
      </c>
      <c r="G72" s="261" t="s">
        <v>1993</v>
      </c>
      <c r="H72" s="261" t="s">
        <v>1994</v>
      </c>
      <c r="I72" s="261"/>
      <c r="J72" s="261"/>
      <c r="K72" s="262"/>
    </row>
    <row r="73" spans="1:11" x14ac:dyDescent="0.2">
      <c r="A73" s="306" t="s">
        <v>20579</v>
      </c>
      <c r="B73" s="261" t="s">
        <v>16601</v>
      </c>
      <c r="C73" s="261" t="s">
        <v>17513</v>
      </c>
      <c r="D73" s="261" t="s">
        <v>13918</v>
      </c>
      <c r="E73" s="261">
        <v>71</v>
      </c>
      <c r="F73" s="261" t="s">
        <v>20598</v>
      </c>
      <c r="G73" s="261"/>
      <c r="H73" s="261"/>
      <c r="I73" s="261" t="s">
        <v>10772</v>
      </c>
      <c r="J73" s="261" t="s">
        <v>10756</v>
      </c>
      <c r="K73" s="262">
        <v>1000000</v>
      </c>
    </row>
    <row r="74" spans="1:11" x14ac:dyDescent="0.2">
      <c r="A74" s="306" t="s">
        <v>20579</v>
      </c>
      <c r="B74" s="261" t="s">
        <v>16681</v>
      </c>
      <c r="C74" s="261" t="s">
        <v>17513</v>
      </c>
      <c r="D74" s="261" t="s">
        <v>13918</v>
      </c>
      <c r="E74" s="261">
        <v>72</v>
      </c>
      <c r="F74" s="261" t="s">
        <v>20599</v>
      </c>
      <c r="G74" s="261"/>
      <c r="H74" s="261"/>
      <c r="I74" s="261" t="s">
        <v>10772</v>
      </c>
      <c r="J74" s="261" t="s">
        <v>10756</v>
      </c>
      <c r="K74" s="262">
        <v>1000000</v>
      </c>
    </row>
    <row r="75" spans="1:11" x14ac:dyDescent="0.2">
      <c r="A75" s="306" t="s">
        <v>20579</v>
      </c>
      <c r="B75" s="261" t="s">
        <v>16672</v>
      </c>
      <c r="C75" s="261" t="s">
        <v>17513</v>
      </c>
      <c r="D75" s="261" t="s">
        <v>13918</v>
      </c>
      <c r="E75" s="261">
        <v>73</v>
      </c>
      <c r="F75" s="261" t="s">
        <v>20600</v>
      </c>
      <c r="G75" s="261" t="s">
        <v>4374</v>
      </c>
      <c r="H75" s="261" t="s">
        <v>4375</v>
      </c>
      <c r="I75" s="261"/>
      <c r="J75" s="261"/>
      <c r="K75" s="262"/>
    </row>
    <row r="76" spans="1:11" x14ac:dyDescent="0.2">
      <c r="A76" s="306" t="s">
        <v>20579</v>
      </c>
      <c r="B76" s="261" t="s">
        <v>16748</v>
      </c>
      <c r="C76" s="261" t="s">
        <v>17513</v>
      </c>
      <c r="D76" s="261" t="s">
        <v>13918</v>
      </c>
      <c r="E76" s="261">
        <v>74</v>
      </c>
      <c r="F76" s="261" t="s">
        <v>20601</v>
      </c>
      <c r="G76" s="261"/>
      <c r="H76" s="261"/>
      <c r="I76" s="261" t="s">
        <v>10772</v>
      </c>
      <c r="J76" s="261" t="s">
        <v>10756</v>
      </c>
      <c r="K76" s="262">
        <v>1000000</v>
      </c>
    </row>
    <row r="77" spans="1:11" x14ac:dyDescent="0.2">
      <c r="A77" s="306" t="s">
        <v>20579</v>
      </c>
      <c r="B77" s="261" t="s">
        <v>16807</v>
      </c>
      <c r="C77" s="261" t="s">
        <v>17513</v>
      </c>
      <c r="D77" s="261" t="s">
        <v>13918</v>
      </c>
      <c r="E77" s="261">
        <v>75</v>
      </c>
      <c r="F77" s="261" t="s">
        <v>20602</v>
      </c>
      <c r="G77" s="261" t="s">
        <v>4301</v>
      </c>
      <c r="H77" s="261" t="s">
        <v>4302</v>
      </c>
      <c r="I77" s="261"/>
      <c r="J77" s="261"/>
      <c r="K77" s="262"/>
    </row>
    <row r="78" spans="1:11" x14ac:dyDescent="0.2">
      <c r="A78" s="306" t="s">
        <v>20579</v>
      </c>
      <c r="B78" s="261" t="s">
        <v>16816</v>
      </c>
      <c r="C78" s="261" t="s">
        <v>17513</v>
      </c>
      <c r="D78" s="261" t="s">
        <v>13918</v>
      </c>
      <c r="E78" s="261">
        <v>76</v>
      </c>
      <c r="F78" s="261" t="s">
        <v>20603</v>
      </c>
      <c r="G78" s="261"/>
      <c r="H78" s="261"/>
      <c r="I78" s="261" t="s">
        <v>10772</v>
      </c>
      <c r="J78" s="261" t="s">
        <v>10756</v>
      </c>
      <c r="K78" s="262">
        <v>1000000</v>
      </c>
    </row>
    <row r="79" spans="1:11" x14ac:dyDescent="0.2">
      <c r="A79" s="306" t="s">
        <v>20579</v>
      </c>
      <c r="B79" s="261" t="s">
        <v>16880</v>
      </c>
      <c r="C79" s="261" t="s">
        <v>17513</v>
      </c>
      <c r="D79" s="261" t="s">
        <v>13918</v>
      </c>
      <c r="E79" s="261">
        <v>77</v>
      </c>
      <c r="F79" s="261" t="s">
        <v>20604</v>
      </c>
      <c r="G79" s="261" t="s">
        <v>4543</v>
      </c>
      <c r="H79" s="261" t="s">
        <v>4544</v>
      </c>
      <c r="I79" s="261"/>
      <c r="J79" s="261"/>
      <c r="K79" s="262"/>
    </row>
    <row r="80" spans="1:11" x14ac:dyDescent="0.2">
      <c r="A80" s="306" t="s">
        <v>20579</v>
      </c>
      <c r="B80" s="261" t="s">
        <v>16886</v>
      </c>
      <c r="C80" s="261" t="s">
        <v>17513</v>
      </c>
      <c r="D80" s="261" t="s">
        <v>13918</v>
      </c>
      <c r="E80" s="261">
        <v>78</v>
      </c>
      <c r="F80" s="261" t="s">
        <v>20605</v>
      </c>
      <c r="G80" s="261"/>
      <c r="H80" s="261"/>
      <c r="I80" s="261" t="s">
        <v>10772</v>
      </c>
      <c r="J80" s="261" t="s">
        <v>10756</v>
      </c>
      <c r="K80" s="262">
        <v>1000000</v>
      </c>
    </row>
    <row r="81" spans="1:11" x14ac:dyDescent="0.2">
      <c r="A81" s="306" t="s">
        <v>20579</v>
      </c>
      <c r="B81" s="261" t="s">
        <v>16946</v>
      </c>
      <c r="C81" s="261" t="s">
        <v>17513</v>
      </c>
      <c r="D81" s="261" t="s">
        <v>13918</v>
      </c>
      <c r="E81" s="261">
        <v>79</v>
      </c>
      <c r="F81" s="261" t="s">
        <v>20606</v>
      </c>
      <c r="G81" s="261" t="s">
        <v>2208</v>
      </c>
      <c r="H81" s="261" t="s">
        <v>2209</v>
      </c>
      <c r="I81" s="261"/>
      <c r="J81" s="261"/>
      <c r="K81" s="262"/>
    </row>
    <row r="82" spans="1:11" x14ac:dyDescent="0.2">
      <c r="A82" s="306" t="s">
        <v>20579</v>
      </c>
      <c r="B82" s="261" t="s">
        <v>16946</v>
      </c>
      <c r="C82" s="261" t="s">
        <v>17513</v>
      </c>
      <c r="D82" s="261" t="s">
        <v>13918</v>
      </c>
      <c r="E82" s="261">
        <v>80</v>
      </c>
      <c r="F82" s="261" t="s">
        <v>20606</v>
      </c>
      <c r="G82" s="261"/>
      <c r="H82" s="261"/>
      <c r="I82" s="261" t="s">
        <v>10772</v>
      </c>
      <c r="J82" s="261" t="s">
        <v>10756</v>
      </c>
      <c r="K82" s="262">
        <v>1000000</v>
      </c>
    </row>
    <row r="83" spans="1:11" x14ac:dyDescent="0.2">
      <c r="A83" s="306" t="s">
        <v>20579</v>
      </c>
      <c r="B83" s="261" t="s">
        <v>17018</v>
      </c>
      <c r="C83" s="261" t="s">
        <v>17513</v>
      </c>
      <c r="D83" s="261" t="s">
        <v>13918</v>
      </c>
      <c r="E83" s="261">
        <v>81</v>
      </c>
      <c r="F83" s="261" t="s">
        <v>20607</v>
      </c>
      <c r="G83" s="261" t="s">
        <v>1203</v>
      </c>
      <c r="H83" s="261" t="s">
        <v>1204</v>
      </c>
      <c r="I83" s="261"/>
      <c r="J83" s="261"/>
      <c r="K83" s="262"/>
    </row>
    <row r="84" spans="1:11" x14ac:dyDescent="0.2">
      <c r="A84" s="306" t="s">
        <v>20579</v>
      </c>
      <c r="B84" s="261" t="s">
        <v>17018</v>
      </c>
      <c r="C84" s="261" t="s">
        <v>17513</v>
      </c>
      <c r="D84" s="261" t="s">
        <v>13918</v>
      </c>
      <c r="E84" s="261">
        <v>82</v>
      </c>
      <c r="F84" s="261" t="s">
        <v>20607</v>
      </c>
      <c r="G84" s="261"/>
      <c r="H84" s="261"/>
      <c r="I84" s="261" t="s">
        <v>10772</v>
      </c>
      <c r="J84" s="261" t="s">
        <v>10756</v>
      </c>
      <c r="K84" s="262">
        <v>1000000</v>
      </c>
    </row>
    <row r="85" spans="1:11" x14ac:dyDescent="0.2">
      <c r="A85" s="306" t="s">
        <v>20579</v>
      </c>
      <c r="B85" s="261" t="s">
        <v>17098</v>
      </c>
      <c r="C85" s="261" t="s">
        <v>17513</v>
      </c>
      <c r="D85" s="261" t="s">
        <v>13918</v>
      </c>
      <c r="E85" s="261">
        <v>83</v>
      </c>
      <c r="F85" s="261" t="s">
        <v>20608</v>
      </c>
      <c r="G85" s="261" t="s">
        <v>3177</v>
      </c>
      <c r="H85" s="261" t="s">
        <v>3178</v>
      </c>
      <c r="I85" s="261"/>
      <c r="J85" s="261"/>
      <c r="K85" s="262"/>
    </row>
    <row r="86" spans="1:11" x14ac:dyDescent="0.2">
      <c r="A86" s="306" t="s">
        <v>20579</v>
      </c>
      <c r="B86" s="261" t="s">
        <v>17098</v>
      </c>
      <c r="C86" s="261" t="s">
        <v>17513</v>
      </c>
      <c r="D86" s="261" t="s">
        <v>13918</v>
      </c>
      <c r="E86" s="261">
        <v>84</v>
      </c>
      <c r="F86" s="261" t="s">
        <v>20608</v>
      </c>
      <c r="G86" s="261"/>
      <c r="H86" s="261"/>
      <c r="I86" s="261" t="s">
        <v>10772</v>
      </c>
      <c r="J86" s="261" t="s">
        <v>10756</v>
      </c>
      <c r="K86" s="262">
        <v>1000000</v>
      </c>
    </row>
    <row r="87" spans="1:11" x14ac:dyDescent="0.2">
      <c r="A87" s="306" t="s">
        <v>20579</v>
      </c>
      <c r="B87" s="261" t="s">
        <v>17172</v>
      </c>
      <c r="C87" s="261" t="s">
        <v>17513</v>
      </c>
      <c r="D87" s="261" t="s">
        <v>13918</v>
      </c>
      <c r="E87" s="261">
        <v>85</v>
      </c>
      <c r="F87" s="261" t="s">
        <v>20609</v>
      </c>
      <c r="G87" s="261" t="s">
        <v>3875</v>
      </c>
      <c r="H87" s="261" t="s">
        <v>3876</v>
      </c>
      <c r="I87" s="261"/>
      <c r="J87" s="261"/>
      <c r="K87" s="262"/>
    </row>
    <row r="88" spans="1:11" x14ac:dyDescent="0.2">
      <c r="A88" s="306" t="s">
        <v>20579</v>
      </c>
      <c r="B88" s="261" t="s">
        <v>17172</v>
      </c>
      <c r="C88" s="261" t="s">
        <v>17513</v>
      </c>
      <c r="D88" s="261" t="s">
        <v>13918</v>
      </c>
      <c r="E88" s="261">
        <v>86</v>
      </c>
      <c r="F88" s="261" t="s">
        <v>20609</v>
      </c>
      <c r="G88" s="261"/>
      <c r="H88" s="261"/>
      <c r="I88" s="261" t="s">
        <v>10772</v>
      </c>
      <c r="J88" s="261" t="s">
        <v>10756</v>
      </c>
      <c r="K88" s="262">
        <v>1000000</v>
      </c>
    </row>
    <row r="89" spans="1:11" x14ac:dyDescent="0.2">
      <c r="A89" s="306" t="s">
        <v>20579</v>
      </c>
      <c r="B89" s="261" t="s">
        <v>17236</v>
      </c>
      <c r="C89" s="261" t="s">
        <v>17513</v>
      </c>
      <c r="D89" s="261" t="s">
        <v>13918</v>
      </c>
      <c r="E89" s="261">
        <v>87</v>
      </c>
      <c r="F89" s="261" t="s">
        <v>20610</v>
      </c>
      <c r="G89" s="261" t="s">
        <v>4562</v>
      </c>
      <c r="H89" s="261" t="s">
        <v>4563</v>
      </c>
      <c r="I89" s="261"/>
      <c r="J89" s="261"/>
      <c r="K89" s="262"/>
    </row>
    <row r="90" spans="1:11" x14ac:dyDescent="0.2">
      <c r="A90" s="306" t="s">
        <v>20579</v>
      </c>
      <c r="B90" s="261" t="s">
        <v>17236</v>
      </c>
      <c r="C90" s="261" t="s">
        <v>17513</v>
      </c>
      <c r="D90" s="261" t="s">
        <v>13918</v>
      </c>
      <c r="E90" s="261">
        <v>88</v>
      </c>
      <c r="F90" s="261" t="s">
        <v>20610</v>
      </c>
      <c r="G90" s="261"/>
      <c r="H90" s="261"/>
      <c r="I90" s="261" t="s">
        <v>10772</v>
      </c>
      <c r="J90" s="261" t="s">
        <v>10756</v>
      </c>
      <c r="K90" s="262">
        <v>1000000</v>
      </c>
    </row>
    <row r="91" spans="1:11" x14ac:dyDescent="0.2">
      <c r="A91" s="306" t="s">
        <v>20579</v>
      </c>
      <c r="B91" s="261" t="s">
        <v>17295</v>
      </c>
      <c r="C91" s="261" t="s">
        <v>17513</v>
      </c>
      <c r="D91" s="261" t="s">
        <v>13918</v>
      </c>
      <c r="E91" s="261">
        <v>89</v>
      </c>
      <c r="F91" s="261" t="s">
        <v>20611</v>
      </c>
      <c r="G91" s="261" t="s">
        <v>1709</v>
      </c>
      <c r="H91" s="261" t="s">
        <v>1710</v>
      </c>
      <c r="I91" s="261"/>
      <c r="J91" s="261"/>
      <c r="K91" s="262"/>
    </row>
    <row r="92" spans="1:11" x14ac:dyDescent="0.2">
      <c r="A92" s="306" t="s">
        <v>20579</v>
      </c>
      <c r="B92" s="261" t="s">
        <v>17295</v>
      </c>
      <c r="C92" s="261" t="s">
        <v>17513</v>
      </c>
      <c r="D92" s="261" t="s">
        <v>13918</v>
      </c>
      <c r="E92" s="261">
        <v>90</v>
      </c>
      <c r="F92" s="261" t="s">
        <v>20611</v>
      </c>
      <c r="G92" s="261"/>
      <c r="H92" s="261"/>
      <c r="I92" s="261" t="s">
        <v>10772</v>
      </c>
      <c r="J92" s="261" t="s">
        <v>10756</v>
      </c>
      <c r="K92" s="262">
        <v>1000000</v>
      </c>
    </row>
    <row r="93" spans="1:11" x14ac:dyDescent="0.2">
      <c r="A93" s="306" t="s">
        <v>20579</v>
      </c>
      <c r="B93" s="261" t="s">
        <v>17360</v>
      </c>
      <c r="C93" s="261" t="s">
        <v>17513</v>
      </c>
      <c r="D93" s="261" t="s">
        <v>13918</v>
      </c>
      <c r="E93" s="261">
        <v>91</v>
      </c>
      <c r="F93" s="261" t="s">
        <v>20612</v>
      </c>
      <c r="G93" s="261" t="s">
        <v>423</v>
      </c>
      <c r="H93" s="261" t="s">
        <v>424</v>
      </c>
      <c r="I93" s="261"/>
      <c r="J93" s="261"/>
      <c r="K93" s="262"/>
    </row>
    <row r="94" spans="1:11" x14ac:dyDescent="0.2">
      <c r="A94" s="306" t="s">
        <v>20579</v>
      </c>
      <c r="B94" s="261" t="s">
        <v>17360</v>
      </c>
      <c r="C94" s="261" t="s">
        <v>17513</v>
      </c>
      <c r="D94" s="261" t="s">
        <v>13918</v>
      </c>
      <c r="E94" s="261">
        <v>92</v>
      </c>
      <c r="F94" s="261" t="s">
        <v>20612</v>
      </c>
      <c r="G94" s="261"/>
      <c r="H94" s="261"/>
      <c r="I94" s="261" t="s">
        <v>10772</v>
      </c>
      <c r="J94" s="261" t="s">
        <v>10756</v>
      </c>
      <c r="K94" s="262">
        <v>1000000</v>
      </c>
    </row>
    <row r="95" spans="1:11" x14ac:dyDescent="0.2">
      <c r="A95" s="306" t="s">
        <v>20579</v>
      </c>
      <c r="B95" s="261" t="s">
        <v>17426</v>
      </c>
      <c r="C95" s="261" t="s">
        <v>17513</v>
      </c>
      <c r="D95" s="261" t="s">
        <v>13918</v>
      </c>
      <c r="E95" s="261">
        <v>93</v>
      </c>
      <c r="F95" s="261" t="s">
        <v>20613</v>
      </c>
      <c r="G95" s="261"/>
      <c r="H95" s="261"/>
      <c r="I95" s="261" t="s">
        <v>10772</v>
      </c>
      <c r="J95" s="261" t="s">
        <v>10756</v>
      </c>
      <c r="K95" s="262">
        <v>1000000</v>
      </c>
    </row>
    <row r="96" spans="1:11" x14ac:dyDescent="0.2">
      <c r="A96" s="306" t="s">
        <v>20579</v>
      </c>
      <c r="B96" s="261" t="s">
        <v>17498</v>
      </c>
      <c r="C96" s="261" t="s">
        <v>17513</v>
      </c>
      <c r="D96" s="261" t="s">
        <v>13918</v>
      </c>
      <c r="E96" s="261">
        <v>94</v>
      </c>
      <c r="F96" s="261" t="s">
        <v>20614</v>
      </c>
      <c r="G96" s="261"/>
      <c r="H96" s="261"/>
      <c r="I96" s="261" t="s">
        <v>10772</v>
      </c>
      <c r="J96" s="261" t="s">
        <v>10756</v>
      </c>
      <c r="K96" s="262">
        <v>1000000</v>
      </c>
    </row>
    <row r="97" spans="1:11" x14ac:dyDescent="0.2">
      <c r="A97" s="306" t="s">
        <v>20579</v>
      </c>
      <c r="B97" s="261" t="s">
        <v>17528</v>
      </c>
      <c r="C97" s="261" t="s">
        <v>17513</v>
      </c>
      <c r="D97" s="261" t="s">
        <v>13918</v>
      </c>
      <c r="E97" s="261">
        <v>95</v>
      </c>
      <c r="F97" s="261" t="s">
        <v>20615</v>
      </c>
      <c r="G97" s="261" t="s">
        <v>13920</v>
      </c>
      <c r="H97" s="261" t="s">
        <v>484</v>
      </c>
      <c r="I97" s="261"/>
      <c r="J97" s="261"/>
      <c r="K97" s="262"/>
    </row>
    <row r="98" spans="1:11" x14ac:dyDescent="0.2">
      <c r="A98" s="306" t="s">
        <v>20579</v>
      </c>
      <c r="B98" s="261" t="s">
        <v>17528</v>
      </c>
      <c r="C98" s="261" t="s">
        <v>17513</v>
      </c>
      <c r="D98" s="261" t="s">
        <v>13918</v>
      </c>
      <c r="E98" s="261">
        <v>96</v>
      </c>
      <c r="F98" s="261" t="s">
        <v>20615</v>
      </c>
      <c r="G98" s="261"/>
      <c r="H98" s="261"/>
      <c r="I98" s="261"/>
      <c r="J98" s="261" t="s">
        <v>17507</v>
      </c>
      <c r="K98" s="262">
        <v>1000000</v>
      </c>
    </row>
    <row r="99" spans="1:11" x14ac:dyDescent="0.2">
      <c r="A99" s="306" t="s">
        <v>20579</v>
      </c>
      <c r="B99" s="261" t="s">
        <v>17548</v>
      </c>
      <c r="C99" s="261" t="s">
        <v>17513</v>
      </c>
      <c r="D99" s="261" t="s">
        <v>13918</v>
      </c>
      <c r="E99" s="261">
        <v>97</v>
      </c>
      <c r="F99" s="261" t="s">
        <v>20616</v>
      </c>
      <c r="G99" s="261"/>
      <c r="H99" s="261"/>
      <c r="I99" s="261"/>
      <c r="J99" s="261" t="s">
        <v>17507</v>
      </c>
      <c r="K99" s="262">
        <v>1000000</v>
      </c>
    </row>
    <row r="100" spans="1:11" x14ac:dyDescent="0.2">
      <c r="A100" s="306" t="s">
        <v>20579</v>
      </c>
      <c r="B100" s="261" t="s">
        <v>17568</v>
      </c>
      <c r="C100" s="261" t="s">
        <v>17513</v>
      </c>
      <c r="D100" s="261" t="s">
        <v>13918</v>
      </c>
      <c r="E100" s="261">
        <v>98</v>
      </c>
      <c r="F100" s="261" t="s">
        <v>20617</v>
      </c>
      <c r="G100" s="261" t="s">
        <v>14186</v>
      </c>
      <c r="H100" s="261" t="s">
        <v>14187</v>
      </c>
      <c r="I100" s="261"/>
      <c r="J100" s="261"/>
      <c r="K100" s="262"/>
    </row>
    <row r="101" spans="1:11" x14ac:dyDescent="0.2">
      <c r="A101" s="306" t="s">
        <v>20579</v>
      </c>
      <c r="B101" s="261" t="s">
        <v>17568</v>
      </c>
      <c r="C101" s="261" t="s">
        <v>17513</v>
      </c>
      <c r="D101" s="261" t="s">
        <v>13918</v>
      </c>
      <c r="E101" s="261">
        <v>99</v>
      </c>
      <c r="F101" s="261" t="s">
        <v>20617</v>
      </c>
      <c r="G101" s="261"/>
      <c r="H101" s="261"/>
      <c r="I101" s="261"/>
      <c r="J101" s="261" t="s">
        <v>17507</v>
      </c>
      <c r="K101" s="262">
        <v>1000000</v>
      </c>
    </row>
    <row r="102" spans="1:11" x14ac:dyDescent="0.2">
      <c r="A102" s="306" t="s">
        <v>20579</v>
      </c>
      <c r="B102" s="261" t="s">
        <v>17598</v>
      </c>
      <c r="C102" s="261" t="s">
        <v>17513</v>
      </c>
      <c r="D102" s="261" t="s">
        <v>13918</v>
      </c>
      <c r="E102" s="261">
        <v>100</v>
      </c>
      <c r="F102" s="261" t="s">
        <v>20617</v>
      </c>
      <c r="G102" s="261"/>
      <c r="H102" s="261"/>
      <c r="I102" s="261"/>
      <c r="J102" s="261" t="s">
        <v>17507</v>
      </c>
      <c r="K102" s="262">
        <v>1000000</v>
      </c>
    </row>
    <row r="103" spans="1:11" x14ac:dyDescent="0.2">
      <c r="A103" s="306" t="s">
        <v>20579</v>
      </c>
      <c r="B103" s="261" t="s">
        <v>17616</v>
      </c>
      <c r="C103" s="261" t="s">
        <v>17513</v>
      </c>
      <c r="D103" s="261" t="s">
        <v>13918</v>
      </c>
      <c r="E103" s="261">
        <v>101</v>
      </c>
      <c r="F103" s="261" t="s">
        <v>20618</v>
      </c>
      <c r="G103" s="261" t="s">
        <v>14052</v>
      </c>
      <c r="H103" s="261" t="s">
        <v>14053</v>
      </c>
      <c r="I103" s="261"/>
      <c r="J103" s="261"/>
      <c r="K103" s="262"/>
    </row>
    <row r="104" spans="1:11" x14ac:dyDescent="0.2">
      <c r="A104" s="306" t="s">
        <v>20579</v>
      </c>
      <c r="B104" s="261" t="s">
        <v>17616</v>
      </c>
      <c r="C104" s="261" t="s">
        <v>17513</v>
      </c>
      <c r="D104" s="261" t="s">
        <v>13918</v>
      </c>
      <c r="E104" s="261">
        <v>102</v>
      </c>
      <c r="F104" s="261" t="s">
        <v>20618</v>
      </c>
      <c r="G104" s="261"/>
      <c r="H104" s="261"/>
      <c r="I104" s="261"/>
      <c r="J104" s="261" t="s">
        <v>17507</v>
      </c>
      <c r="K104" s="262">
        <v>1000000</v>
      </c>
    </row>
    <row r="105" spans="1:11" x14ac:dyDescent="0.2">
      <c r="A105" s="306" t="s">
        <v>20579</v>
      </c>
      <c r="B105" s="261" t="s">
        <v>17648</v>
      </c>
      <c r="C105" s="261" t="s">
        <v>17513</v>
      </c>
      <c r="D105" s="261" t="s">
        <v>13918</v>
      </c>
      <c r="E105" s="261">
        <v>103</v>
      </c>
      <c r="F105" s="261" t="s">
        <v>20619</v>
      </c>
      <c r="G105" s="261" t="s">
        <v>786</v>
      </c>
      <c r="H105" s="261" t="s">
        <v>787</v>
      </c>
      <c r="I105" s="261"/>
      <c r="J105" s="261"/>
      <c r="K105" s="262"/>
    </row>
    <row r="106" spans="1:11" x14ac:dyDescent="0.2">
      <c r="A106" s="306" t="s">
        <v>20579</v>
      </c>
      <c r="B106" s="261" t="s">
        <v>17648</v>
      </c>
      <c r="C106" s="261" t="s">
        <v>17513</v>
      </c>
      <c r="D106" s="261" t="s">
        <v>13918</v>
      </c>
      <c r="E106" s="261">
        <v>104</v>
      </c>
      <c r="F106" s="261" t="s">
        <v>20619</v>
      </c>
      <c r="G106" s="261"/>
      <c r="H106" s="261"/>
      <c r="I106" s="261"/>
      <c r="J106" s="261" t="s">
        <v>17507</v>
      </c>
      <c r="K106" s="262">
        <v>1000000</v>
      </c>
    </row>
    <row r="107" spans="1:11" x14ac:dyDescent="0.2">
      <c r="A107" s="306" t="s">
        <v>20579</v>
      </c>
      <c r="B107" s="261" t="s">
        <v>17676</v>
      </c>
      <c r="C107" s="261" t="s">
        <v>17513</v>
      </c>
      <c r="D107" s="261" t="s">
        <v>13918</v>
      </c>
      <c r="E107" s="261">
        <v>105</v>
      </c>
      <c r="F107" s="261" t="s">
        <v>20620</v>
      </c>
      <c r="G107" s="261" t="s">
        <v>2027</v>
      </c>
      <c r="H107" s="261" t="s">
        <v>2028</v>
      </c>
      <c r="I107" s="261"/>
      <c r="J107" s="261"/>
      <c r="K107" s="262"/>
    </row>
    <row r="108" spans="1:11" x14ac:dyDescent="0.2">
      <c r="A108" s="306" t="s">
        <v>20579</v>
      </c>
      <c r="B108" s="261" t="s">
        <v>17676</v>
      </c>
      <c r="C108" s="261" t="s">
        <v>17513</v>
      </c>
      <c r="D108" s="261" t="s">
        <v>13918</v>
      </c>
      <c r="E108" s="261">
        <v>106</v>
      </c>
      <c r="F108" s="261" t="s">
        <v>20620</v>
      </c>
      <c r="G108" s="261"/>
      <c r="H108" s="261"/>
      <c r="I108" s="261"/>
      <c r="J108" s="261" t="s">
        <v>17507</v>
      </c>
      <c r="K108" s="262">
        <v>1000000</v>
      </c>
    </row>
    <row r="109" spans="1:11" x14ac:dyDescent="0.2">
      <c r="A109" s="306" t="s">
        <v>20579</v>
      </c>
      <c r="B109" s="261" t="s">
        <v>17704</v>
      </c>
      <c r="C109" s="261" t="s">
        <v>17513</v>
      </c>
      <c r="D109" s="261" t="s">
        <v>13918</v>
      </c>
      <c r="E109" s="261">
        <v>107</v>
      </c>
      <c r="F109" s="261" t="s">
        <v>20621</v>
      </c>
      <c r="G109" s="261" t="s">
        <v>692</v>
      </c>
      <c r="H109" s="261" t="s">
        <v>693</v>
      </c>
      <c r="I109" s="261"/>
      <c r="J109" s="261"/>
      <c r="K109" s="262"/>
    </row>
    <row r="110" spans="1:11" x14ac:dyDescent="0.2">
      <c r="A110" s="306" t="s">
        <v>20579</v>
      </c>
      <c r="B110" s="261" t="s">
        <v>17704</v>
      </c>
      <c r="C110" s="261" t="s">
        <v>17513</v>
      </c>
      <c r="D110" s="261" t="s">
        <v>13918</v>
      </c>
      <c r="E110" s="261">
        <v>108</v>
      </c>
      <c r="F110" s="261" t="s">
        <v>20621</v>
      </c>
      <c r="G110" s="261"/>
      <c r="H110" s="261"/>
      <c r="I110" s="261"/>
      <c r="J110" s="261" t="s">
        <v>17507</v>
      </c>
      <c r="K110" s="262">
        <v>1000000</v>
      </c>
    </row>
    <row r="111" spans="1:11" x14ac:dyDescent="0.2">
      <c r="A111" s="306" t="s">
        <v>20579</v>
      </c>
      <c r="B111" s="261" t="s">
        <v>17720</v>
      </c>
      <c r="C111" s="261" t="s">
        <v>17513</v>
      </c>
      <c r="D111" s="261" t="s">
        <v>13918</v>
      </c>
      <c r="E111" s="261">
        <v>109</v>
      </c>
      <c r="F111" s="261" t="s">
        <v>20622</v>
      </c>
      <c r="G111" s="261" t="s">
        <v>1426</v>
      </c>
      <c r="H111" s="261" t="s">
        <v>1427</v>
      </c>
      <c r="I111" s="261"/>
      <c r="J111" s="261"/>
      <c r="K111" s="262"/>
    </row>
    <row r="112" spans="1:11" x14ac:dyDescent="0.2">
      <c r="A112" s="306" t="s">
        <v>20579</v>
      </c>
      <c r="B112" s="261" t="s">
        <v>17720</v>
      </c>
      <c r="C112" s="261" t="s">
        <v>17513</v>
      </c>
      <c r="D112" s="261" t="s">
        <v>13918</v>
      </c>
      <c r="E112" s="261">
        <v>110</v>
      </c>
      <c r="F112" s="261" t="s">
        <v>20622</v>
      </c>
      <c r="G112" s="261"/>
      <c r="H112" s="261"/>
      <c r="I112" s="261"/>
      <c r="J112" s="261" t="s">
        <v>17507</v>
      </c>
      <c r="K112" s="262">
        <v>1000000</v>
      </c>
    </row>
    <row r="113" spans="1:11" x14ac:dyDescent="0.2">
      <c r="A113" s="306" t="s">
        <v>20579</v>
      </c>
      <c r="B113" s="261" t="s">
        <v>17738</v>
      </c>
      <c r="C113" s="261" t="s">
        <v>17513</v>
      </c>
      <c r="D113" s="261" t="s">
        <v>13918</v>
      </c>
      <c r="E113" s="261">
        <v>111</v>
      </c>
      <c r="F113" s="261" t="s">
        <v>20623</v>
      </c>
      <c r="G113" s="261"/>
      <c r="H113" s="261"/>
      <c r="I113" s="261"/>
      <c r="J113" s="261" t="s">
        <v>17507</v>
      </c>
      <c r="K113" s="262">
        <v>1000000</v>
      </c>
    </row>
    <row r="114" spans="1:11" x14ac:dyDescent="0.2">
      <c r="A114" s="306" t="s">
        <v>20579</v>
      </c>
      <c r="B114" s="261" t="s">
        <v>19984</v>
      </c>
      <c r="C114" s="261" t="s">
        <v>17513</v>
      </c>
      <c r="D114" s="261" t="s">
        <v>13918</v>
      </c>
      <c r="E114" s="261">
        <v>112</v>
      </c>
      <c r="F114" s="261" t="s">
        <v>20623</v>
      </c>
      <c r="G114" s="261" t="s">
        <v>4401</v>
      </c>
      <c r="H114" s="261" t="s">
        <v>4402</v>
      </c>
      <c r="I114" s="261"/>
      <c r="J114" s="261"/>
      <c r="K114" s="262"/>
    </row>
    <row r="115" spans="1:11" x14ac:dyDescent="0.2">
      <c r="A115" s="306" t="s">
        <v>20579</v>
      </c>
      <c r="B115" s="261" t="s">
        <v>17756</v>
      </c>
      <c r="C115" s="261" t="s">
        <v>17513</v>
      </c>
      <c r="D115" s="261" t="s">
        <v>13918</v>
      </c>
      <c r="E115" s="261">
        <v>113</v>
      </c>
      <c r="F115" s="261" t="s">
        <v>20624</v>
      </c>
      <c r="G115" s="261" t="s">
        <v>2982</v>
      </c>
      <c r="H115" s="261" t="s">
        <v>2983</v>
      </c>
      <c r="I115" s="261"/>
      <c r="J115" s="261"/>
      <c r="K115" s="262"/>
    </row>
    <row r="116" spans="1:11" x14ac:dyDescent="0.2">
      <c r="A116" s="306" t="s">
        <v>20579</v>
      </c>
      <c r="B116" s="261" t="s">
        <v>17756</v>
      </c>
      <c r="C116" s="261" t="s">
        <v>17513</v>
      </c>
      <c r="D116" s="261" t="s">
        <v>13918</v>
      </c>
      <c r="E116" s="261">
        <v>114</v>
      </c>
      <c r="F116" s="261" t="s">
        <v>20624</v>
      </c>
      <c r="G116" s="261"/>
      <c r="H116" s="261"/>
      <c r="I116" s="261"/>
      <c r="J116" s="261" t="s">
        <v>17507</v>
      </c>
      <c r="K116" s="262">
        <v>1000000</v>
      </c>
    </row>
    <row r="117" spans="1:11" x14ac:dyDescent="0.2">
      <c r="A117" s="306" t="s">
        <v>20579</v>
      </c>
      <c r="B117" s="261" t="s">
        <v>17774</v>
      </c>
      <c r="C117" s="261" t="s">
        <v>17513</v>
      </c>
      <c r="D117" s="261" t="s">
        <v>13918</v>
      </c>
      <c r="E117" s="261">
        <v>115</v>
      </c>
      <c r="F117" s="261" t="s">
        <v>20625</v>
      </c>
      <c r="G117" s="261" t="s">
        <v>3805</v>
      </c>
      <c r="H117" s="261" t="s">
        <v>3806</v>
      </c>
      <c r="I117" s="261"/>
      <c r="J117" s="261"/>
      <c r="K117" s="262"/>
    </row>
    <row r="118" spans="1:11" x14ac:dyDescent="0.2">
      <c r="A118" s="306" t="s">
        <v>20579</v>
      </c>
      <c r="B118" s="261" t="s">
        <v>17774</v>
      </c>
      <c r="C118" s="261" t="s">
        <v>17513</v>
      </c>
      <c r="D118" s="261" t="s">
        <v>13918</v>
      </c>
      <c r="E118" s="261">
        <v>116</v>
      </c>
      <c r="F118" s="261" t="s">
        <v>20625</v>
      </c>
      <c r="G118" s="261"/>
      <c r="H118" s="261"/>
      <c r="I118" s="261"/>
      <c r="J118" s="261" t="s">
        <v>17507</v>
      </c>
      <c r="K118" s="262">
        <v>1000000</v>
      </c>
    </row>
    <row r="119" spans="1:11" x14ac:dyDescent="0.2">
      <c r="A119" s="306" t="s">
        <v>20579</v>
      </c>
      <c r="B119" s="261" t="s">
        <v>17794</v>
      </c>
      <c r="C119" s="261" t="s">
        <v>17513</v>
      </c>
      <c r="D119" s="261" t="s">
        <v>13918</v>
      </c>
      <c r="E119" s="261">
        <v>117</v>
      </c>
      <c r="F119" s="261" t="s">
        <v>20626</v>
      </c>
      <c r="G119" s="261"/>
      <c r="H119" s="261"/>
      <c r="I119" s="261"/>
      <c r="J119" s="261" t="s">
        <v>17507</v>
      </c>
      <c r="K119" s="262">
        <v>1000000</v>
      </c>
    </row>
    <row r="120" spans="1:11" x14ac:dyDescent="0.2">
      <c r="A120" s="306" t="s">
        <v>20579</v>
      </c>
      <c r="B120" s="261" t="s">
        <v>17814</v>
      </c>
      <c r="C120" s="261" t="s">
        <v>17513</v>
      </c>
      <c r="D120" s="261" t="s">
        <v>13918</v>
      </c>
      <c r="E120" s="261">
        <v>118</v>
      </c>
      <c r="F120" s="261" t="s">
        <v>20627</v>
      </c>
      <c r="G120" s="261" t="s">
        <v>458</v>
      </c>
      <c r="H120" s="261" t="s">
        <v>459</v>
      </c>
      <c r="I120" s="261"/>
      <c r="J120" s="261"/>
      <c r="K120" s="262"/>
    </row>
    <row r="121" spans="1:11" x14ac:dyDescent="0.2">
      <c r="A121" s="306" t="s">
        <v>20579</v>
      </c>
      <c r="B121" s="261" t="s">
        <v>17814</v>
      </c>
      <c r="C121" s="261" t="s">
        <v>17513</v>
      </c>
      <c r="D121" s="261" t="s">
        <v>13918</v>
      </c>
      <c r="E121" s="261">
        <v>119</v>
      </c>
      <c r="F121" s="261" t="s">
        <v>20627</v>
      </c>
      <c r="G121" s="261"/>
      <c r="H121" s="261"/>
      <c r="I121" s="261"/>
      <c r="J121" s="261" t="s">
        <v>17507</v>
      </c>
      <c r="K121" s="262">
        <v>1000000</v>
      </c>
    </row>
    <row r="122" spans="1:11" x14ac:dyDescent="0.2">
      <c r="A122" s="306" t="s">
        <v>20579</v>
      </c>
      <c r="B122" s="261" t="s">
        <v>17831</v>
      </c>
      <c r="C122" s="261" t="s">
        <v>17513</v>
      </c>
      <c r="D122" s="261" t="s">
        <v>13918</v>
      </c>
      <c r="E122" s="261">
        <v>120</v>
      </c>
      <c r="F122" s="261" t="s">
        <v>20628</v>
      </c>
      <c r="G122" s="261" t="s">
        <v>3625</v>
      </c>
      <c r="H122" s="261" t="s">
        <v>3626</v>
      </c>
      <c r="I122" s="261"/>
      <c r="J122" s="261"/>
      <c r="K122" s="262"/>
    </row>
    <row r="123" spans="1:11" x14ac:dyDescent="0.2">
      <c r="A123" s="306" t="s">
        <v>20579</v>
      </c>
      <c r="B123" s="261" t="s">
        <v>17831</v>
      </c>
      <c r="C123" s="261" t="s">
        <v>17513</v>
      </c>
      <c r="D123" s="261" t="s">
        <v>13918</v>
      </c>
      <c r="E123" s="261">
        <v>121</v>
      </c>
      <c r="F123" s="261" t="s">
        <v>20628</v>
      </c>
      <c r="G123" s="261"/>
      <c r="H123" s="261"/>
      <c r="I123" s="261"/>
      <c r="J123" s="261" t="s">
        <v>17507</v>
      </c>
      <c r="K123" s="262">
        <v>1000000</v>
      </c>
    </row>
    <row r="124" spans="1:11" x14ac:dyDescent="0.2">
      <c r="A124" s="306" t="s">
        <v>20579</v>
      </c>
      <c r="B124" s="261" t="s">
        <v>17845</v>
      </c>
      <c r="C124" s="261" t="s">
        <v>17513</v>
      </c>
      <c r="D124" s="261" t="s">
        <v>13918</v>
      </c>
      <c r="E124" s="261">
        <v>122</v>
      </c>
      <c r="F124" s="261" t="s">
        <v>20629</v>
      </c>
      <c r="G124" s="261" t="s">
        <v>9140</v>
      </c>
      <c r="H124" s="261" t="s">
        <v>9141</v>
      </c>
      <c r="I124" s="261"/>
      <c r="J124" s="261"/>
      <c r="K124" s="262"/>
    </row>
    <row r="125" spans="1:11" x14ac:dyDescent="0.2">
      <c r="A125" s="306" t="s">
        <v>20579</v>
      </c>
      <c r="B125" s="261" t="s">
        <v>17845</v>
      </c>
      <c r="C125" s="261" t="s">
        <v>17513</v>
      </c>
      <c r="D125" s="261" t="s">
        <v>13918</v>
      </c>
      <c r="E125" s="261">
        <v>123</v>
      </c>
      <c r="F125" s="261" t="s">
        <v>20629</v>
      </c>
      <c r="G125" s="261"/>
      <c r="H125" s="261"/>
      <c r="I125" s="261"/>
      <c r="J125" s="261" t="s">
        <v>17507</v>
      </c>
      <c r="K125" s="262">
        <v>1000000</v>
      </c>
    </row>
    <row r="126" spans="1:11" x14ac:dyDescent="0.2">
      <c r="A126" s="306" t="s">
        <v>20579</v>
      </c>
      <c r="B126" s="261" t="s">
        <v>17859</v>
      </c>
      <c r="C126" s="261" t="s">
        <v>17513</v>
      </c>
      <c r="D126" s="261" t="s">
        <v>13918</v>
      </c>
      <c r="E126" s="261">
        <v>124</v>
      </c>
      <c r="F126" s="261" t="s">
        <v>20630</v>
      </c>
      <c r="G126" s="261" t="s">
        <v>9152</v>
      </c>
      <c r="H126" s="261" t="s">
        <v>9153</v>
      </c>
      <c r="I126" s="261"/>
      <c r="J126" s="261"/>
      <c r="K126" s="262"/>
    </row>
    <row r="127" spans="1:11" x14ac:dyDescent="0.2">
      <c r="A127" s="306" t="s">
        <v>20579</v>
      </c>
      <c r="B127" s="261" t="s">
        <v>17859</v>
      </c>
      <c r="C127" s="261" t="s">
        <v>17513</v>
      </c>
      <c r="D127" s="261" t="s">
        <v>13918</v>
      </c>
      <c r="E127" s="261">
        <v>125</v>
      </c>
      <c r="F127" s="261" t="s">
        <v>20630</v>
      </c>
      <c r="G127" s="261"/>
      <c r="H127" s="261"/>
      <c r="I127" s="261"/>
      <c r="J127" s="261" t="s">
        <v>17507</v>
      </c>
      <c r="K127" s="262">
        <v>1000000</v>
      </c>
    </row>
    <row r="128" spans="1:11" x14ac:dyDescent="0.2">
      <c r="A128" s="306" t="s">
        <v>20579</v>
      </c>
      <c r="B128" s="261" t="s">
        <v>17875</v>
      </c>
      <c r="C128" s="261" t="s">
        <v>17513</v>
      </c>
      <c r="D128" s="261" t="s">
        <v>13918</v>
      </c>
      <c r="E128" s="261">
        <v>126</v>
      </c>
      <c r="F128" s="261" t="s">
        <v>20631</v>
      </c>
      <c r="G128" s="261" t="s">
        <v>9163</v>
      </c>
      <c r="H128" s="261" t="s">
        <v>9164</v>
      </c>
      <c r="I128" s="261"/>
      <c r="J128" s="261"/>
      <c r="K128" s="262"/>
    </row>
    <row r="129" spans="1:11" x14ac:dyDescent="0.2">
      <c r="A129" s="306" t="s">
        <v>20579</v>
      </c>
      <c r="B129" s="261" t="s">
        <v>17875</v>
      </c>
      <c r="C129" s="261" t="s">
        <v>17513</v>
      </c>
      <c r="D129" s="261" t="s">
        <v>13918</v>
      </c>
      <c r="E129" s="261">
        <v>127</v>
      </c>
      <c r="F129" s="261" t="s">
        <v>20631</v>
      </c>
      <c r="G129" s="261"/>
      <c r="H129" s="261"/>
      <c r="I129" s="261"/>
      <c r="J129" s="261" t="s">
        <v>17507</v>
      </c>
      <c r="K129" s="262">
        <v>1000000</v>
      </c>
    </row>
    <row r="130" spans="1:11" x14ac:dyDescent="0.2">
      <c r="A130" s="306" t="s">
        <v>20579</v>
      </c>
      <c r="B130" s="261" t="s">
        <v>17893</v>
      </c>
      <c r="C130" s="261" t="s">
        <v>17513</v>
      </c>
      <c r="D130" s="261" t="s">
        <v>13918</v>
      </c>
      <c r="E130" s="261">
        <v>128</v>
      </c>
      <c r="F130" s="261" t="s">
        <v>20632</v>
      </c>
      <c r="G130" s="261" t="s">
        <v>9127</v>
      </c>
      <c r="H130" s="261" t="s">
        <v>9128</v>
      </c>
      <c r="I130" s="261"/>
      <c r="J130" s="261"/>
      <c r="K130" s="262"/>
    </row>
    <row r="131" spans="1:11" x14ac:dyDescent="0.2">
      <c r="A131" s="306" t="s">
        <v>20579</v>
      </c>
      <c r="B131" s="261" t="s">
        <v>17893</v>
      </c>
      <c r="C131" s="261" t="s">
        <v>17513</v>
      </c>
      <c r="D131" s="261" t="s">
        <v>13918</v>
      </c>
      <c r="E131" s="261">
        <v>129</v>
      </c>
      <c r="F131" s="261" t="s">
        <v>20632</v>
      </c>
      <c r="G131" s="261"/>
      <c r="H131" s="261"/>
      <c r="I131" s="261"/>
      <c r="J131" s="261" t="s">
        <v>17507</v>
      </c>
      <c r="K131" s="262">
        <v>1000000</v>
      </c>
    </row>
    <row r="132" spans="1:11" x14ac:dyDescent="0.2">
      <c r="A132" s="306" t="s">
        <v>20579</v>
      </c>
      <c r="B132" s="261" t="s">
        <v>17913</v>
      </c>
      <c r="C132" s="261" t="s">
        <v>17513</v>
      </c>
      <c r="D132" s="261" t="s">
        <v>13918</v>
      </c>
      <c r="E132" s="261">
        <v>130</v>
      </c>
      <c r="F132" s="261" t="s">
        <v>20633</v>
      </c>
      <c r="G132" s="261" t="s">
        <v>9175</v>
      </c>
      <c r="H132" s="261" t="s">
        <v>9176</v>
      </c>
      <c r="I132" s="261"/>
      <c r="J132" s="261"/>
      <c r="K132" s="262"/>
    </row>
    <row r="133" spans="1:11" x14ac:dyDescent="0.2">
      <c r="A133" s="306" t="s">
        <v>20579</v>
      </c>
      <c r="B133" s="261" t="s">
        <v>17913</v>
      </c>
      <c r="C133" s="261" t="s">
        <v>17513</v>
      </c>
      <c r="D133" s="261" t="s">
        <v>13918</v>
      </c>
      <c r="E133" s="261">
        <v>131</v>
      </c>
      <c r="F133" s="261" t="s">
        <v>20633</v>
      </c>
      <c r="G133" s="261"/>
      <c r="H133" s="261"/>
      <c r="I133" s="261"/>
      <c r="J133" s="261" t="s">
        <v>17507</v>
      </c>
      <c r="K133" s="262">
        <v>1000000</v>
      </c>
    </row>
    <row r="134" spans="1:11" x14ac:dyDescent="0.2">
      <c r="A134" s="306" t="s">
        <v>20579</v>
      </c>
      <c r="B134" s="261" t="s">
        <v>17938</v>
      </c>
      <c r="C134" s="261" t="s">
        <v>17513</v>
      </c>
      <c r="D134" s="261" t="s">
        <v>13918</v>
      </c>
      <c r="E134" s="261">
        <v>132</v>
      </c>
      <c r="F134" s="261" t="s">
        <v>20634</v>
      </c>
      <c r="G134" s="261" t="s">
        <v>10216</v>
      </c>
      <c r="H134" s="261" t="s">
        <v>10217</v>
      </c>
      <c r="I134" s="261"/>
      <c r="J134" s="261"/>
      <c r="K134" s="262"/>
    </row>
    <row r="135" spans="1:11" x14ac:dyDescent="0.2">
      <c r="A135" s="306" t="s">
        <v>20579</v>
      </c>
      <c r="B135" s="261" t="s">
        <v>17938</v>
      </c>
      <c r="C135" s="261" t="s">
        <v>17513</v>
      </c>
      <c r="D135" s="261" t="s">
        <v>13918</v>
      </c>
      <c r="E135" s="261">
        <v>133</v>
      </c>
      <c r="F135" s="261" t="s">
        <v>20634</v>
      </c>
      <c r="G135" s="261"/>
      <c r="H135" s="261"/>
      <c r="I135" s="261"/>
      <c r="J135" s="261" t="s">
        <v>17507</v>
      </c>
      <c r="K135" s="262">
        <v>1000000</v>
      </c>
    </row>
    <row r="136" spans="1:11" x14ac:dyDescent="0.2">
      <c r="A136" s="306" t="s">
        <v>20579</v>
      </c>
      <c r="B136" s="261" t="s">
        <v>17954</v>
      </c>
      <c r="C136" s="261" t="s">
        <v>17513</v>
      </c>
      <c r="D136" s="261" t="s">
        <v>13918</v>
      </c>
      <c r="E136" s="261">
        <v>134</v>
      </c>
      <c r="F136" s="261" t="s">
        <v>20635</v>
      </c>
      <c r="G136" s="261" t="s">
        <v>537</v>
      </c>
      <c r="H136" s="261" t="s">
        <v>538</v>
      </c>
      <c r="I136" s="261"/>
      <c r="J136" s="261"/>
      <c r="K136" s="262"/>
    </row>
    <row r="137" spans="1:11" x14ac:dyDescent="0.2">
      <c r="A137" s="306" t="s">
        <v>20579</v>
      </c>
      <c r="B137" s="261" t="s">
        <v>17954</v>
      </c>
      <c r="C137" s="261" t="s">
        <v>17513</v>
      </c>
      <c r="D137" s="261" t="s">
        <v>13918</v>
      </c>
      <c r="E137" s="261">
        <v>135</v>
      </c>
      <c r="F137" s="261" t="s">
        <v>20635</v>
      </c>
      <c r="G137" s="261"/>
      <c r="H137" s="261"/>
      <c r="I137" s="261"/>
      <c r="J137" s="261" t="s">
        <v>17507</v>
      </c>
      <c r="K137" s="262">
        <v>1000000</v>
      </c>
    </row>
    <row r="138" spans="1:11" x14ac:dyDescent="0.2">
      <c r="A138" s="306" t="s">
        <v>20579</v>
      </c>
      <c r="B138" s="261" t="s">
        <v>17291</v>
      </c>
      <c r="C138" s="261" t="s">
        <v>17513</v>
      </c>
      <c r="D138" s="261" t="s">
        <v>13918</v>
      </c>
      <c r="E138" s="261">
        <v>136</v>
      </c>
      <c r="F138" s="261" t="s">
        <v>20636</v>
      </c>
      <c r="G138" s="261" t="s">
        <v>3773</v>
      </c>
      <c r="H138" s="261" t="s">
        <v>3774</v>
      </c>
      <c r="I138" s="261"/>
      <c r="J138" s="261"/>
      <c r="K138" s="262"/>
    </row>
    <row r="139" spans="1:11" x14ac:dyDescent="0.2">
      <c r="A139" s="306" t="s">
        <v>20579</v>
      </c>
      <c r="B139" s="261" t="s">
        <v>17970</v>
      </c>
      <c r="C139" s="261" t="s">
        <v>17513</v>
      </c>
      <c r="D139" s="261" t="s">
        <v>13918</v>
      </c>
      <c r="E139" s="261">
        <v>137</v>
      </c>
      <c r="F139" s="261" t="s">
        <v>20636</v>
      </c>
      <c r="G139" s="261"/>
      <c r="H139" s="261"/>
      <c r="I139" s="261"/>
      <c r="J139" s="261" t="s">
        <v>17507</v>
      </c>
      <c r="K139" s="262">
        <v>1000000</v>
      </c>
    </row>
    <row r="140" spans="1:11" x14ac:dyDescent="0.2">
      <c r="A140" s="306" t="s">
        <v>20579</v>
      </c>
      <c r="B140" s="261" t="s">
        <v>17984</v>
      </c>
      <c r="C140" s="261" t="s">
        <v>17513</v>
      </c>
      <c r="D140" s="261" t="s">
        <v>13918</v>
      </c>
      <c r="E140" s="261">
        <v>138</v>
      </c>
      <c r="F140" s="261" t="s">
        <v>20637</v>
      </c>
      <c r="G140" s="261"/>
      <c r="H140" s="261"/>
      <c r="I140" s="261"/>
      <c r="J140" s="261" t="s">
        <v>17507</v>
      </c>
      <c r="K140" s="262">
        <v>1000000</v>
      </c>
    </row>
    <row r="141" spans="1:11" x14ac:dyDescent="0.2">
      <c r="A141" s="306" t="s">
        <v>20579</v>
      </c>
      <c r="B141" s="261" t="s">
        <v>18000</v>
      </c>
      <c r="C141" s="261" t="s">
        <v>17513</v>
      </c>
      <c r="D141" s="261" t="s">
        <v>13918</v>
      </c>
      <c r="E141" s="261">
        <v>139</v>
      </c>
      <c r="F141" s="261" t="s">
        <v>20638</v>
      </c>
      <c r="G141" s="261"/>
      <c r="H141" s="261"/>
      <c r="I141" s="261"/>
      <c r="J141" s="261" t="s">
        <v>17507</v>
      </c>
      <c r="K141" s="262">
        <v>1000000</v>
      </c>
    </row>
    <row r="142" spans="1:11" x14ac:dyDescent="0.2">
      <c r="A142" s="306" t="s">
        <v>20579</v>
      </c>
      <c r="B142" s="261" t="s">
        <v>18014</v>
      </c>
      <c r="C142" s="261" t="s">
        <v>17513</v>
      </c>
      <c r="D142" s="261" t="s">
        <v>13918</v>
      </c>
      <c r="E142" s="261">
        <v>140</v>
      </c>
      <c r="F142" s="261" t="s">
        <v>20639</v>
      </c>
      <c r="G142" s="261"/>
      <c r="H142" s="261"/>
      <c r="I142" s="261"/>
      <c r="J142" s="261" t="s">
        <v>17507</v>
      </c>
      <c r="K142" s="262">
        <v>1000000</v>
      </c>
    </row>
    <row r="143" spans="1:11" x14ac:dyDescent="0.2">
      <c r="A143" s="306" t="s">
        <v>20579</v>
      </c>
      <c r="B143" s="261" t="s">
        <v>17529</v>
      </c>
      <c r="C143" s="261" t="s">
        <v>17513</v>
      </c>
      <c r="D143" s="261" t="s">
        <v>13918</v>
      </c>
      <c r="E143" s="261">
        <v>141</v>
      </c>
      <c r="F143" s="261" t="s">
        <v>20640</v>
      </c>
      <c r="G143" s="261" t="s">
        <v>13948</v>
      </c>
      <c r="H143" s="261" t="s">
        <v>13949</v>
      </c>
      <c r="I143" s="261"/>
      <c r="J143" s="261"/>
      <c r="K143" s="262"/>
    </row>
    <row r="144" spans="1:11" x14ac:dyDescent="0.2">
      <c r="A144" s="306" t="s">
        <v>20579</v>
      </c>
      <c r="B144" s="261" t="s">
        <v>17529</v>
      </c>
      <c r="C144" s="261" t="s">
        <v>17513</v>
      </c>
      <c r="D144" s="261" t="s">
        <v>13918</v>
      </c>
      <c r="E144" s="261">
        <v>142</v>
      </c>
      <c r="F144" s="261" t="s">
        <v>20640</v>
      </c>
      <c r="G144" s="261"/>
      <c r="H144" s="261"/>
      <c r="I144" s="261"/>
      <c r="J144" s="261" t="s">
        <v>19618</v>
      </c>
      <c r="K144" s="262">
        <v>500</v>
      </c>
    </row>
    <row r="145" spans="1:11" x14ac:dyDescent="0.2">
      <c r="A145" s="306" t="s">
        <v>20579</v>
      </c>
      <c r="B145" s="261" t="s">
        <v>17549</v>
      </c>
      <c r="C145" s="261" t="s">
        <v>17513</v>
      </c>
      <c r="D145" s="261" t="s">
        <v>13918</v>
      </c>
      <c r="E145" s="261">
        <v>143</v>
      </c>
      <c r="F145" s="261" t="s">
        <v>20641</v>
      </c>
      <c r="G145" s="261"/>
      <c r="H145" s="261"/>
      <c r="I145" s="261"/>
      <c r="J145" s="261" t="s">
        <v>19618</v>
      </c>
      <c r="K145" s="262">
        <v>500</v>
      </c>
    </row>
    <row r="146" spans="1:11" x14ac:dyDescent="0.2">
      <c r="A146" s="306" t="s">
        <v>20579</v>
      </c>
      <c r="B146" s="261" t="s">
        <v>17569</v>
      </c>
      <c r="C146" s="261" t="s">
        <v>17513</v>
      </c>
      <c r="D146" s="261" t="s">
        <v>13918</v>
      </c>
      <c r="E146" s="261">
        <v>144</v>
      </c>
      <c r="F146" s="261" t="s">
        <v>20642</v>
      </c>
      <c r="G146" s="261" t="s">
        <v>13944</v>
      </c>
      <c r="H146" s="261" t="s">
        <v>13945</v>
      </c>
      <c r="I146" s="261"/>
      <c r="J146" s="261"/>
      <c r="K146" s="262"/>
    </row>
    <row r="147" spans="1:11" x14ac:dyDescent="0.2">
      <c r="A147" s="306" t="s">
        <v>20579</v>
      </c>
      <c r="B147" s="261" t="s">
        <v>17569</v>
      </c>
      <c r="C147" s="261" t="s">
        <v>17513</v>
      </c>
      <c r="D147" s="261" t="s">
        <v>13918</v>
      </c>
      <c r="E147" s="261">
        <v>145</v>
      </c>
      <c r="F147" s="261" t="s">
        <v>20642</v>
      </c>
      <c r="G147" s="261"/>
      <c r="H147" s="261"/>
      <c r="I147" s="261"/>
      <c r="J147" s="261" t="s">
        <v>19618</v>
      </c>
      <c r="K147" s="262">
        <v>500</v>
      </c>
    </row>
    <row r="148" spans="1:11" x14ac:dyDescent="0.2">
      <c r="A148" s="306" t="s">
        <v>20579</v>
      </c>
      <c r="B148" s="261" t="s">
        <v>17599</v>
      </c>
      <c r="C148" s="261" t="s">
        <v>17513</v>
      </c>
      <c r="D148" s="261" t="s">
        <v>13918</v>
      </c>
      <c r="E148" s="261">
        <v>146</v>
      </c>
      <c r="F148" s="261" t="s">
        <v>20642</v>
      </c>
      <c r="G148" s="261"/>
      <c r="H148" s="261"/>
      <c r="I148" s="261"/>
      <c r="J148" s="261" t="s">
        <v>19618</v>
      </c>
      <c r="K148" s="262">
        <v>500</v>
      </c>
    </row>
    <row r="149" spans="1:11" x14ac:dyDescent="0.2">
      <c r="A149" s="306" t="s">
        <v>20579</v>
      </c>
      <c r="B149" s="261" t="s">
        <v>17617</v>
      </c>
      <c r="C149" s="261" t="s">
        <v>17513</v>
      </c>
      <c r="D149" s="261" t="s">
        <v>13918</v>
      </c>
      <c r="E149" s="261">
        <v>147</v>
      </c>
      <c r="F149" s="261" t="s">
        <v>20643</v>
      </c>
      <c r="G149" s="261" t="s">
        <v>14189</v>
      </c>
      <c r="H149" s="261" t="s">
        <v>14190</v>
      </c>
      <c r="I149" s="261"/>
      <c r="J149" s="261"/>
      <c r="K149" s="262"/>
    </row>
    <row r="150" spans="1:11" x14ac:dyDescent="0.2">
      <c r="A150" s="306" t="s">
        <v>20579</v>
      </c>
      <c r="B150" s="261" t="s">
        <v>17617</v>
      </c>
      <c r="C150" s="261" t="s">
        <v>17513</v>
      </c>
      <c r="D150" s="261" t="s">
        <v>13918</v>
      </c>
      <c r="E150" s="261">
        <v>148</v>
      </c>
      <c r="F150" s="261" t="s">
        <v>20643</v>
      </c>
      <c r="G150" s="261"/>
      <c r="H150" s="261"/>
      <c r="I150" s="261"/>
      <c r="J150" s="261" t="s">
        <v>19618</v>
      </c>
      <c r="K150" s="262">
        <v>500</v>
      </c>
    </row>
    <row r="151" spans="1:11" x14ac:dyDescent="0.2">
      <c r="A151" s="306" t="s">
        <v>20579</v>
      </c>
      <c r="B151" s="261" t="s">
        <v>17649</v>
      </c>
      <c r="C151" s="261" t="s">
        <v>17513</v>
      </c>
      <c r="D151" s="261" t="s">
        <v>13918</v>
      </c>
      <c r="E151" s="261">
        <v>149</v>
      </c>
      <c r="F151" s="261" t="s">
        <v>20644</v>
      </c>
      <c r="G151" s="261"/>
      <c r="H151" s="261"/>
      <c r="I151" s="261"/>
      <c r="J151" s="261" t="s">
        <v>19618</v>
      </c>
      <c r="K151" s="262">
        <v>500</v>
      </c>
    </row>
    <row r="152" spans="1:11" x14ac:dyDescent="0.2">
      <c r="A152" s="306" t="s">
        <v>20579</v>
      </c>
      <c r="B152" s="261" t="s">
        <v>17677</v>
      </c>
      <c r="C152" s="261" t="s">
        <v>17513</v>
      </c>
      <c r="D152" s="261" t="s">
        <v>13918</v>
      </c>
      <c r="E152" s="261">
        <v>150</v>
      </c>
      <c r="F152" s="261" t="s">
        <v>20645</v>
      </c>
      <c r="G152" s="261"/>
      <c r="H152" s="261"/>
      <c r="I152" s="261"/>
      <c r="J152" s="261" t="s">
        <v>19618</v>
      </c>
      <c r="K152" s="262">
        <v>500</v>
      </c>
    </row>
    <row r="153" spans="1:11" x14ac:dyDescent="0.2">
      <c r="A153" s="306" t="s">
        <v>20579</v>
      </c>
      <c r="B153" s="261" t="s">
        <v>17705</v>
      </c>
      <c r="C153" s="261" t="s">
        <v>17513</v>
      </c>
      <c r="D153" s="261" t="s">
        <v>13918</v>
      </c>
      <c r="E153" s="261">
        <v>151</v>
      </c>
      <c r="F153" s="261" t="s">
        <v>20646</v>
      </c>
      <c r="G153" s="261"/>
      <c r="H153" s="261"/>
      <c r="I153" s="261"/>
      <c r="J153" s="261" t="s">
        <v>19618</v>
      </c>
      <c r="K153" s="262">
        <v>500</v>
      </c>
    </row>
    <row r="154" spans="1:11" x14ac:dyDescent="0.2">
      <c r="A154" s="306" t="s">
        <v>20579</v>
      </c>
      <c r="B154" s="261" t="s">
        <v>17721</v>
      </c>
      <c r="C154" s="261" t="s">
        <v>17513</v>
      </c>
      <c r="D154" s="261" t="s">
        <v>13918</v>
      </c>
      <c r="E154" s="261">
        <v>152</v>
      </c>
      <c r="F154" s="261" t="s">
        <v>20647</v>
      </c>
      <c r="G154" s="261"/>
      <c r="H154" s="261"/>
      <c r="I154" s="261"/>
      <c r="J154" s="261" t="s">
        <v>19618</v>
      </c>
      <c r="K154" s="262">
        <v>500</v>
      </c>
    </row>
    <row r="155" spans="1:11" x14ac:dyDescent="0.2">
      <c r="A155" s="306" t="s">
        <v>20579</v>
      </c>
      <c r="B155" s="261" t="s">
        <v>17739</v>
      </c>
      <c r="C155" s="261" t="s">
        <v>17513</v>
      </c>
      <c r="D155" s="261" t="s">
        <v>13918</v>
      </c>
      <c r="E155" s="261">
        <v>153</v>
      </c>
      <c r="F155" s="261" t="s">
        <v>20648</v>
      </c>
      <c r="G155" s="261"/>
      <c r="H155" s="261"/>
      <c r="I155" s="261"/>
      <c r="J155" s="261" t="s">
        <v>19618</v>
      </c>
      <c r="K155" s="262">
        <v>500</v>
      </c>
    </row>
    <row r="156" spans="1:11" x14ac:dyDescent="0.2">
      <c r="A156" s="306" t="s">
        <v>20579</v>
      </c>
      <c r="B156" s="261" t="s">
        <v>17757</v>
      </c>
      <c r="C156" s="261" t="s">
        <v>17513</v>
      </c>
      <c r="D156" s="261" t="s">
        <v>13918</v>
      </c>
      <c r="E156" s="261">
        <v>154</v>
      </c>
      <c r="F156" s="261" t="s">
        <v>20649</v>
      </c>
      <c r="G156" s="261"/>
      <c r="H156" s="261"/>
      <c r="I156" s="261"/>
      <c r="J156" s="261" t="s">
        <v>19618</v>
      </c>
      <c r="K156" s="262">
        <v>500</v>
      </c>
    </row>
    <row r="157" spans="1:11" x14ac:dyDescent="0.2">
      <c r="A157" s="306" t="s">
        <v>20579</v>
      </c>
      <c r="B157" s="261" t="s">
        <v>17775</v>
      </c>
      <c r="C157" s="261" t="s">
        <v>17513</v>
      </c>
      <c r="D157" s="261" t="s">
        <v>13918</v>
      </c>
      <c r="E157" s="261">
        <v>155</v>
      </c>
      <c r="F157" s="261" t="s">
        <v>20650</v>
      </c>
      <c r="G157" s="261"/>
      <c r="H157" s="261"/>
      <c r="I157" s="261"/>
      <c r="J157" s="261" t="s">
        <v>19618</v>
      </c>
      <c r="K157" s="262">
        <v>500</v>
      </c>
    </row>
    <row r="158" spans="1:11" x14ac:dyDescent="0.2">
      <c r="A158" s="306" t="s">
        <v>20579</v>
      </c>
      <c r="B158" s="261" t="s">
        <v>17795</v>
      </c>
      <c r="C158" s="261" t="s">
        <v>17513</v>
      </c>
      <c r="D158" s="261" t="s">
        <v>13918</v>
      </c>
      <c r="E158" s="261">
        <v>156</v>
      </c>
      <c r="F158" s="261" t="s">
        <v>20651</v>
      </c>
      <c r="G158" s="261"/>
      <c r="H158" s="261"/>
      <c r="I158" s="261"/>
      <c r="J158" s="261" t="s">
        <v>19618</v>
      </c>
      <c r="K158" s="262">
        <v>500</v>
      </c>
    </row>
    <row r="159" spans="1:11" x14ac:dyDescent="0.2">
      <c r="A159" s="306" t="s">
        <v>20579</v>
      </c>
      <c r="B159" s="261" t="s">
        <v>17815</v>
      </c>
      <c r="C159" s="261" t="s">
        <v>17513</v>
      </c>
      <c r="D159" s="261" t="s">
        <v>13918</v>
      </c>
      <c r="E159" s="261">
        <v>157</v>
      </c>
      <c r="F159" s="261" t="s">
        <v>20652</v>
      </c>
      <c r="G159" s="261"/>
      <c r="H159" s="261"/>
      <c r="I159" s="261"/>
      <c r="J159" s="261" t="s">
        <v>19618</v>
      </c>
      <c r="K159" s="262">
        <v>500</v>
      </c>
    </row>
    <row r="160" spans="1:11" x14ac:dyDescent="0.2">
      <c r="A160" s="306" t="s">
        <v>20579</v>
      </c>
      <c r="B160" s="261" t="s">
        <v>17832</v>
      </c>
      <c r="C160" s="261" t="s">
        <v>17513</v>
      </c>
      <c r="D160" s="261" t="s">
        <v>13918</v>
      </c>
      <c r="E160" s="261">
        <v>158</v>
      </c>
      <c r="F160" s="261" t="s">
        <v>20653</v>
      </c>
      <c r="G160" s="261"/>
      <c r="H160" s="261"/>
      <c r="I160" s="261"/>
      <c r="J160" s="261" t="s">
        <v>19618</v>
      </c>
      <c r="K160" s="262">
        <v>500</v>
      </c>
    </row>
    <row r="161" spans="1:11" x14ac:dyDescent="0.2">
      <c r="A161" s="306" t="s">
        <v>20579</v>
      </c>
      <c r="B161" s="261" t="s">
        <v>17846</v>
      </c>
      <c r="C161" s="261" t="s">
        <v>17513</v>
      </c>
      <c r="D161" s="261" t="s">
        <v>13918</v>
      </c>
      <c r="E161" s="261">
        <v>159</v>
      </c>
      <c r="F161" s="261" t="s">
        <v>20654</v>
      </c>
      <c r="G161" s="261" t="s">
        <v>1079</v>
      </c>
      <c r="H161" s="261" t="s">
        <v>1080</v>
      </c>
      <c r="I161" s="261"/>
      <c r="J161" s="261"/>
      <c r="K161" s="262"/>
    </row>
    <row r="162" spans="1:11" x14ac:dyDescent="0.2">
      <c r="A162" s="306" t="s">
        <v>20579</v>
      </c>
      <c r="B162" s="261" t="s">
        <v>17846</v>
      </c>
      <c r="C162" s="261" t="s">
        <v>17513</v>
      </c>
      <c r="D162" s="261" t="s">
        <v>13918</v>
      </c>
      <c r="E162" s="261">
        <v>160</v>
      </c>
      <c r="F162" s="261" t="s">
        <v>20654</v>
      </c>
      <c r="G162" s="261"/>
      <c r="H162" s="261"/>
      <c r="I162" s="261"/>
      <c r="J162" s="261" t="s">
        <v>19618</v>
      </c>
      <c r="K162" s="262">
        <v>500</v>
      </c>
    </row>
    <row r="163" spans="1:11" x14ac:dyDescent="0.2">
      <c r="A163" s="306" t="s">
        <v>20579</v>
      </c>
      <c r="B163" s="261" t="s">
        <v>17860</v>
      </c>
      <c r="C163" s="261" t="s">
        <v>17513</v>
      </c>
      <c r="D163" s="261" t="s">
        <v>13918</v>
      </c>
      <c r="E163" s="261">
        <v>161</v>
      </c>
      <c r="F163" s="261" t="s">
        <v>20655</v>
      </c>
      <c r="G163" s="261" t="s">
        <v>10254</v>
      </c>
      <c r="H163" s="261" t="s">
        <v>10255</v>
      </c>
      <c r="I163" s="261"/>
      <c r="J163" s="261"/>
      <c r="K163" s="262"/>
    </row>
    <row r="164" spans="1:11" x14ac:dyDescent="0.2">
      <c r="A164" s="306" t="s">
        <v>20579</v>
      </c>
      <c r="B164" s="261" t="s">
        <v>17860</v>
      </c>
      <c r="C164" s="261" t="s">
        <v>17513</v>
      </c>
      <c r="D164" s="261" t="s">
        <v>13918</v>
      </c>
      <c r="E164" s="261">
        <v>162</v>
      </c>
      <c r="F164" s="261" t="s">
        <v>20655</v>
      </c>
      <c r="G164" s="261"/>
      <c r="H164" s="261"/>
      <c r="I164" s="261"/>
      <c r="J164" s="261" t="s">
        <v>19618</v>
      </c>
      <c r="K164" s="262">
        <v>500</v>
      </c>
    </row>
    <row r="165" spans="1:11" x14ac:dyDescent="0.2">
      <c r="A165" s="306" t="s">
        <v>20579</v>
      </c>
      <c r="B165" s="261" t="s">
        <v>17876</v>
      </c>
      <c r="C165" s="261" t="s">
        <v>17513</v>
      </c>
      <c r="D165" s="261" t="s">
        <v>13918</v>
      </c>
      <c r="E165" s="261">
        <v>163</v>
      </c>
      <c r="F165" s="261" t="s">
        <v>20656</v>
      </c>
      <c r="G165" s="261"/>
      <c r="H165" s="261"/>
      <c r="I165" s="261"/>
      <c r="J165" s="261" t="s">
        <v>19618</v>
      </c>
      <c r="K165" s="262">
        <v>500</v>
      </c>
    </row>
    <row r="166" spans="1:11" x14ac:dyDescent="0.2">
      <c r="A166" s="306" t="s">
        <v>20579</v>
      </c>
      <c r="B166" s="261" t="s">
        <v>17894</v>
      </c>
      <c r="C166" s="261" t="s">
        <v>17513</v>
      </c>
      <c r="D166" s="261" t="s">
        <v>13918</v>
      </c>
      <c r="E166" s="261">
        <v>164</v>
      </c>
      <c r="F166" s="261" t="s">
        <v>20657</v>
      </c>
      <c r="G166" s="261"/>
      <c r="H166" s="261"/>
      <c r="I166" s="261"/>
      <c r="J166" s="261" t="s">
        <v>19618</v>
      </c>
      <c r="K166" s="262">
        <v>500</v>
      </c>
    </row>
    <row r="167" spans="1:11" x14ac:dyDescent="0.2">
      <c r="A167" s="306" t="s">
        <v>20579</v>
      </c>
      <c r="B167" s="261" t="s">
        <v>17914</v>
      </c>
      <c r="C167" s="261" t="s">
        <v>17513</v>
      </c>
      <c r="D167" s="261" t="s">
        <v>13918</v>
      </c>
      <c r="E167" s="261">
        <v>165</v>
      </c>
      <c r="F167" s="261" t="s">
        <v>20658</v>
      </c>
      <c r="G167" s="261"/>
      <c r="H167" s="261"/>
      <c r="I167" s="261"/>
      <c r="J167" s="261" t="s">
        <v>19618</v>
      </c>
      <c r="K167" s="262">
        <v>500</v>
      </c>
    </row>
    <row r="168" spans="1:11" x14ac:dyDescent="0.2">
      <c r="A168" s="306" t="s">
        <v>20579</v>
      </c>
      <c r="B168" s="261" t="s">
        <v>17939</v>
      </c>
      <c r="C168" s="261" t="s">
        <v>17513</v>
      </c>
      <c r="D168" s="261" t="s">
        <v>13918</v>
      </c>
      <c r="E168" s="261">
        <v>166</v>
      </c>
      <c r="F168" s="261" t="s">
        <v>20659</v>
      </c>
      <c r="G168" s="261"/>
      <c r="H168" s="261"/>
      <c r="I168" s="261"/>
      <c r="J168" s="261" t="s">
        <v>19618</v>
      </c>
      <c r="K168" s="262">
        <v>500</v>
      </c>
    </row>
    <row r="169" spans="1:11" x14ac:dyDescent="0.2">
      <c r="A169" s="306" t="s">
        <v>20579</v>
      </c>
      <c r="B169" s="261" t="s">
        <v>17955</v>
      </c>
      <c r="C169" s="261" t="s">
        <v>17513</v>
      </c>
      <c r="D169" s="261" t="s">
        <v>13918</v>
      </c>
      <c r="E169" s="261">
        <v>167</v>
      </c>
      <c r="F169" s="261" t="s">
        <v>20660</v>
      </c>
      <c r="G169" s="261"/>
      <c r="H169" s="261"/>
      <c r="I169" s="261"/>
      <c r="J169" s="261" t="s">
        <v>19618</v>
      </c>
      <c r="K169" s="262">
        <v>500</v>
      </c>
    </row>
    <row r="170" spans="1:11" x14ac:dyDescent="0.2">
      <c r="A170" s="306" t="s">
        <v>20579</v>
      </c>
      <c r="B170" s="261" t="s">
        <v>17971</v>
      </c>
      <c r="C170" s="261" t="s">
        <v>17513</v>
      </c>
      <c r="D170" s="261" t="s">
        <v>13918</v>
      </c>
      <c r="E170" s="261">
        <v>168</v>
      </c>
      <c r="F170" s="261" t="s">
        <v>20661</v>
      </c>
      <c r="G170" s="261"/>
      <c r="H170" s="261"/>
      <c r="I170" s="261"/>
      <c r="J170" s="261" t="s">
        <v>19618</v>
      </c>
      <c r="K170" s="262">
        <v>500</v>
      </c>
    </row>
    <row r="171" spans="1:11" x14ac:dyDescent="0.2">
      <c r="A171" s="306" t="s">
        <v>20579</v>
      </c>
      <c r="B171" s="261" t="s">
        <v>17985</v>
      </c>
      <c r="C171" s="261" t="s">
        <v>17513</v>
      </c>
      <c r="D171" s="261" t="s">
        <v>13918</v>
      </c>
      <c r="E171" s="261">
        <v>169</v>
      </c>
      <c r="F171" s="261" t="s">
        <v>20662</v>
      </c>
      <c r="G171" s="261"/>
      <c r="H171" s="261"/>
      <c r="I171" s="261"/>
      <c r="J171" s="261" t="s">
        <v>19618</v>
      </c>
      <c r="K171" s="262">
        <v>500</v>
      </c>
    </row>
    <row r="172" spans="1:11" x14ac:dyDescent="0.2">
      <c r="A172" s="306" t="s">
        <v>20579</v>
      </c>
      <c r="B172" s="261" t="s">
        <v>18001</v>
      </c>
      <c r="C172" s="261" t="s">
        <v>17513</v>
      </c>
      <c r="D172" s="261" t="s">
        <v>13918</v>
      </c>
      <c r="E172" s="261">
        <v>170</v>
      </c>
      <c r="F172" s="261" t="s">
        <v>20663</v>
      </c>
      <c r="G172" s="261"/>
      <c r="H172" s="261"/>
      <c r="I172" s="261"/>
      <c r="J172" s="261" t="s">
        <v>19618</v>
      </c>
      <c r="K172" s="262">
        <v>500</v>
      </c>
    </row>
    <row r="173" spans="1:11" x14ac:dyDescent="0.2">
      <c r="A173" s="306" t="s">
        <v>20579</v>
      </c>
      <c r="B173" s="261" t="s">
        <v>18015</v>
      </c>
      <c r="C173" s="261" t="s">
        <v>17513</v>
      </c>
      <c r="D173" s="261" t="s">
        <v>13918</v>
      </c>
      <c r="E173" s="261">
        <v>171</v>
      </c>
      <c r="F173" s="261" t="s">
        <v>20664</v>
      </c>
      <c r="G173" s="261"/>
      <c r="H173" s="261"/>
      <c r="I173" s="261"/>
      <c r="J173" s="261" t="s">
        <v>19618</v>
      </c>
      <c r="K173" s="262">
        <v>500</v>
      </c>
    </row>
    <row r="174" spans="1:11" x14ac:dyDescent="0.2">
      <c r="A174" s="306" t="s">
        <v>20665</v>
      </c>
      <c r="B174" s="261" t="s">
        <v>20666</v>
      </c>
      <c r="C174" s="261" t="s">
        <v>20667</v>
      </c>
      <c r="D174" s="261" t="s">
        <v>18054</v>
      </c>
      <c r="E174" s="261">
        <v>1</v>
      </c>
      <c r="F174" s="261" t="s">
        <v>20668</v>
      </c>
      <c r="G174" s="261"/>
      <c r="H174" s="261"/>
      <c r="I174" s="261"/>
      <c r="J174" s="261" t="s">
        <v>17507</v>
      </c>
      <c r="K174" s="262">
        <v>5000</v>
      </c>
    </row>
    <row r="175" spans="1:11" x14ac:dyDescent="0.2">
      <c r="A175" s="306" t="s">
        <v>20665</v>
      </c>
      <c r="B175" s="261" t="s">
        <v>20666</v>
      </c>
      <c r="C175" s="261" t="s">
        <v>20667</v>
      </c>
      <c r="D175" s="261" t="s">
        <v>18054</v>
      </c>
      <c r="E175" s="261">
        <v>2</v>
      </c>
      <c r="F175" s="261" t="s">
        <v>20669</v>
      </c>
      <c r="G175" s="261"/>
      <c r="H175" s="261"/>
      <c r="I175" s="261"/>
      <c r="J175" s="261" t="s">
        <v>17507</v>
      </c>
      <c r="K175" s="262">
        <v>5000</v>
      </c>
    </row>
    <row r="176" spans="1:11" x14ac:dyDescent="0.2">
      <c r="A176" s="306" t="s">
        <v>20665</v>
      </c>
      <c r="B176" s="261" t="s">
        <v>20666</v>
      </c>
      <c r="C176" s="261" t="s">
        <v>20667</v>
      </c>
      <c r="D176" s="261" t="s">
        <v>18054</v>
      </c>
      <c r="E176" s="261">
        <v>3</v>
      </c>
      <c r="F176" s="261" t="s">
        <v>20670</v>
      </c>
      <c r="G176" s="261"/>
      <c r="H176" s="261"/>
      <c r="I176" s="261"/>
      <c r="J176" s="261" t="s">
        <v>17507</v>
      </c>
      <c r="K176" s="262">
        <v>50000</v>
      </c>
    </row>
    <row r="177" spans="1:11" x14ac:dyDescent="0.2">
      <c r="A177" s="306" t="s">
        <v>20665</v>
      </c>
      <c r="B177" s="261" t="s">
        <v>20666</v>
      </c>
      <c r="C177" s="261" t="s">
        <v>20667</v>
      </c>
      <c r="D177" s="261" t="s">
        <v>18054</v>
      </c>
      <c r="E177" s="261">
        <v>4</v>
      </c>
      <c r="F177" s="261" t="s">
        <v>20671</v>
      </c>
      <c r="G177" s="261"/>
      <c r="H177" s="261"/>
      <c r="I177" s="261"/>
      <c r="J177" s="261" t="s">
        <v>17507</v>
      </c>
      <c r="K177" s="262">
        <v>50000</v>
      </c>
    </row>
    <row r="178" spans="1:11" x14ac:dyDescent="0.2">
      <c r="A178" s="306" t="s">
        <v>20665</v>
      </c>
      <c r="B178" s="261" t="s">
        <v>20666</v>
      </c>
      <c r="C178" s="261" t="s">
        <v>20667</v>
      </c>
      <c r="D178" s="261" t="s">
        <v>18054</v>
      </c>
      <c r="E178" s="261">
        <v>5</v>
      </c>
      <c r="F178" s="261" t="s">
        <v>20672</v>
      </c>
      <c r="G178" s="261"/>
      <c r="H178" s="261"/>
      <c r="I178" s="261"/>
      <c r="J178" s="261" t="s">
        <v>17507</v>
      </c>
      <c r="K178" s="262">
        <v>50000</v>
      </c>
    </row>
    <row r="179" spans="1:11" x14ac:dyDescent="0.2">
      <c r="A179" s="306" t="s">
        <v>20665</v>
      </c>
      <c r="B179" s="261" t="s">
        <v>20666</v>
      </c>
      <c r="C179" s="261" t="s">
        <v>20667</v>
      </c>
      <c r="D179" s="261" t="s">
        <v>18054</v>
      </c>
      <c r="E179" s="261">
        <v>6</v>
      </c>
      <c r="F179" s="261" t="s">
        <v>20673</v>
      </c>
      <c r="G179" s="261"/>
      <c r="H179" s="261"/>
      <c r="I179" s="261"/>
      <c r="J179" s="261" t="s">
        <v>17507</v>
      </c>
      <c r="K179" s="262">
        <v>50000</v>
      </c>
    </row>
    <row r="180" spans="1:11" x14ac:dyDescent="0.2">
      <c r="A180" s="306" t="s">
        <v>20665</v>
      </c>
      <c r="B180" s="261" t="s">
        <v>20666</v>
      </c>
      <c r="C180" s="261" t="s">
        <v>20667</v>
      </c>
      <c r="D180" s="261" t="s">
        <v>18054</v>
      </c>
      <c r="E180" s="261">
        <v>7</v>
      </c>
      <c r="F180" s="261" t="s">
        <v>20674</v>
      </c>
      <c r="G180" s="261"/>
      <c r="H180" s="261"/>
      <c r="I180" s="261"/>
      <c r="J180" s="261" t="s">
        <v>17507</v>
      </c>
      <c r="K180" s="262">
        <v>50000</v>
      </c>
    </row>
    <row r="181" spans="1:11" x14ac:dyDescent="0.2">
      <c r="A181" s="306" t="s">
        <v>20665</v>
      </c>
      <c r="B181" s="261" t="s">
        <v>20666</v>
      </c>
      <c r="C181" s="261" t="s">
        <v>20667</v>
      </c>
      <c r="D181" s="261" t="s">
        <v>18054</v>
      </c>
      <c r="E181" s="261">
        <v>8</v>
      </c>
      <c r="F181" s="261" t="s">
        <v>20450</v>
      </c>
      <c r="G181" s="261" t="s">
        <v>14477</v>
      </c>
      <c r="H181" s="261" t="s">
        <v>14478</v>
      </c>
      <c r="I181" s="261"/>
      <c r="J181" s="261"/>
      <c r="K181" s="262"/>
    </row>
    <row r="182" spans="1:11" x14ac:dyDescent="0.2">
      <c r="A182" s="306" t="s">
        <v>20665</v>
      </c>
      <c r="B182" s="261" t="s">
        <v>20666</v>
      </c>
      <c r="C182" s="261" t="s">
        <v>20667</v>
      </c>
      <c r="D182" s="261" t="s">
        <v>18054</v>
      </c>
      <c r="E182" s="261">
        <v>9</v>
      </c>
      <c r="F182" s="261" t="s">
        <v>20539</v>
      </c>
      <c r="G182" s="261" t="s">
        <v>14623</v>
      </c>
      <c r="H182" s="261" t="s">
        <v>14624</v>
      </c>
      <c r="I182" s="261"/>
      <c r="J182" s="261"/>
      <c r="K182" s="262"/>
    </row>
    <row r="183" spans="1:11" x14ac:dyDescent="0.2">
      <c r="A183" s="306" t="s">
        <v>20665</v>
      </c>
      <c r="B183" s="261" t="s">
        <v>20666</v>
      </c>
      <c r="C183" s="261" t="s">
        <v>20667</v>
      </c>
      <c r="D183" s="261" t="s">
        <v>18054</v>
      </c>
      <c r="E183" s="261">
        <v>10</v>
      </c>
      <c r="F183" s="261" t="s">
        <v>20401</v>
      </c>
      <c r="G183" s="261" t="s">
        <v>14389</v>
      </c>
      <c r="H183" s="261" t="s">
        <v>14390</v>
      </c>
      <c r="I183" s="261"/>
      <c r="J183" s="261"/>
      <c r="K183" s="262"/>
    </row>
    <row r="184" spans="1:11" x14ac:dyDescent="0.2">
      <c r="A184" s="306" t="s">
        <v>20665</v>
      </c>
      <c r="B184" s="261" t="s">
        <v>20666</v>
      </c>
      <c r="C184" s="261" t="s">
        <v>20667</v>
      </c>
      <c r="D184" s="261" t="s">
        <v>18054</v>
      </c>
      <c r="E184" s="261">
        <v>11</v>
      </c>
      <c r="F184" s="261" t="s">
        <v>20407</v>
      </c>
      <c r="G184" s="261" t="s">
        <v>14399</v>
      </c>
      <c r="H184" s="261" t="s">
        <v>14400</v>
      </c>
      <c r="I184" s="261"/>
      <c r="J184" s="261"/>
      <c r="K184" s="262"/>
    </row>
    <row r="185" spans="1:11" x14ac:dyDescent="0.2">
      <c r="A185" s="306" t="s">
        <v>20665</v>
      </c>
      <c r="B185" s="261" t="s">
        <v>20666</v>
      </c>
      <c r="C185" s="261" t="s">
        <v>20667</v>
      </c>
      <c r="D185" s="261" t="s">
        <v>18054</v>
      </c>
      <c r="E185" s="261">
        <v>12</v>
      </c>
      <c r="F185" s="261" t="s">
        <v>20547</v>
      </c>
      <c r="G185" s="261" t="s">
        <v>14638</v>
      </c>
      <c r="H185" s="261" t="s">
        <v>14639</v>
      </c>
      <c r="I185" s="261"/>
      <c r="J185" s="261"/>
      <c r="K185" s="262"/>
    </row>
    <row r="186" spans="1:11" x14ac:dyDescent="0.2">
      <c r="A186" s="306" t="s">
        <v>20665</v>
      </c>
      <c r="B186" s="261" t="s">
        <v>20666</v>
      </c>
      <c r="C186" s="261" t="s">
        <v>20667</v>
      </c>
      <c r="D186" s="261" t="s">
        <v>18054</v>
      </c>
      <c r="E186" s="261">
        <v>13</v>
      </c>
      <c r="F186" s="261" t="s">
        <v>20675</v>
      </c>
      <c r="G186" s="261"/>
      <c r="H186" s="261"/>
      <c r="I186" s="261"/>
      <c r="J186" s="261" t="s">
        <v>19618</v>
      </c>
      <c r="K186" s="262">
        <v>25</v>
      </c>
    </row>
    <row r="187" spans="1:11" x14ac:dyDescent="0.2">
      <c r="A187" s="306" t="s">
        <v>20665</v>
      </c>
      <c r="B187" s="261" t="s">
        <v>20666</v>
      </c>
      <c r="C187" s="261" t="s">
        <v>20667</v>
      </c>
      <c r="D187" s="261" t="s">
        <v>18054</v>
      </c>
      <c r="E187" s="261">
        <v>14</v>
      </c>
      <c r="F187" s="261" t="s">
        <v>20676</v>
      </c>
      <c r="G187" s="261"/>
      <c r="H187" s="261"/>
      <c r="I187" s="261"/>
      <c r="J187" s="261" t="s">
        <v>19618</v>
      </c>
      <c r="K187" s="262">
        <v>25</v>
      </c>
    </row>
    <row r="188" spans="1:11" x14ac:dyDescent="0.2">
      <c r="A188" s="306" t="s">
        <v>20665</v>
      </c>
      <c r="B188" s="261" t="s">
        <v>20666</v>
      </c>
      <c r="C188" s="261" t="s">
        <v>20667</v>
      </c>
      <c r="D188" s="261" t="s">
        <v>18054</v>
      </c>
      <c r="E188" s="261">
        <v>15</v>
      </c>
      <c r="F188" s="261" t="s">
        <v>20677</v>
      </c>
      <c r="G188" s="261"/>
      <c r="H188" s="261"/>
      <c r="I188" s="261"/>
      <c r="J188" s="261" t="s">
        <v>19618</v>
      </c>
      <c r="K188" s="262">
        <v>25</v>
      </c>
    </row>
    <row r="189" spans="1:11" x14ac:dyDescent="0.2">
      <c r="A189" s="306" t="s">
        <v>20665</v>
      </c>
      <c r="B189" s="261" t="s">
        <v>20666</v>
      </c>
      <c r="C189" s="261" t="s">
        <v>20667</v>
      </c>
      <c r="D189" s="261" t="s">
        <v>18054</v>
      </c>
      <c r="E189" s="261">
        <v>16</v>
      </c>
      <c r="F189" s="261" t="s">
        <v>20678</v>
      </c>
      <c r="G189" s="261"/>
      <c r="H189" s="261"/>
      <c r="I189" s="261"/>
      <c r="J189" s="261" t="s">
        <v>19618</v>
      </c>
      <c r="K189" s="262">
        <v>25</v>
      </c>
    </row>
    <row r="190" spans="1:11" x14ac:dyDescent="0.2">
      <c r="A190" s="306" t="s">
        <v>20665</v>
      </c>
      <c r="B190" s="261" t="s">
        <v>20666</v>
      </c>
      <c r="C190" s="261" t="s">
        <v>20667</v>
      </c>
      <c r="D190" s="261" t="s">
        <v>18054</v>
      </c>
      <c r="E190" s="261">
        <v>17</v>
      </c>
      <c r="F190" s="261" t="s">
        <v>20679</v>
      </c>
      <c r="G190" s="261"/>
      <c r="H190" s="261"/>
      <c r="I190" s="261"/>
      <c r="J190" s="261" t="s">
        <v>19618</v>
      </c>
      <c r="K190" s="262">
        <v>25</v>
      </c>
    </row>
    <row r="191" spans="1:11" x14ac:dyDescent="0.2">
      <c r="A191" s="306" t="s">
        <v>20665</v>
      </c>
      <c r="B191" s="261" t="s">
        <v>20666</v>
      </c>
      <c r="C191" s="261" t="s">
        <v>20667</v>
      </c>
      <c r="D191" s="261" t="s">
        <v>18054</v>
      </c>
      <c r="E191" s="261">
        <v>18</v>
      </c>
      <c r="F191" s="261" t="s">
        <v>20680</v>
      </c>
      <c r="G191" s="261"/>
      <c r="H191" s="261"/>
      <c r="I191" s="261"/>
      <c r="J191" s="261" t="s">
        <v>19618</v>
      </c>
      <c r="K191" s="262">
        <v>25</v>
      </c>
    </row>
    <row r="192" spans="1:11" x14ac:dyDescent="0.2">
      <c r="A192" s="306" t="s">
        <v>20665</v>
      </c>
      <c r="B192" s="261" t="s">
        <v>20666</v>
      </c>
      <c r="C192" s="261" t="s">
        <v>20667</v>
      </c>
      <c r="D192" s="261" t="s">
        <v>18054</v>
      </c>
      <c r="E192" s="261">
        <v>19</v>
      </c>
      <c r="F192" s="261" t="s">
        <v>20681</v>
      </c>
      <c r="G192" s="261"/>
      <c r="H192" s="261"/>
      <c r="I192" s="261"/>
      <c r="J192" s="261" t="s">
        <v>19618</v>
      </c>
      <c r="K192" s="262">
        <v>25</v>
      </c>
    </row>
    <row r="193" spans="1:11" x14ac:dyDescent="0.2">
      <c r="A193" s="306" t="s">
        <v>20665</v>
      </c>
      <c r="B193" s="261" t="s">
        <v>20666</v>
      </c>
      <c r="C193" s="261" t="s">
        <v>20667</v>
      </c>
      <c r="D193" s="261" t="s">
        <v>18054</v>
      </c>
      <c r="E193" s="261">
        <v>20</v>
      </c>
      <c r="F193" s="261" t="s">
        <v>20682</v>
      </c>
      <c r="G193" s="261"/>
      <c r="H193" s="261"/>
      <c r="I193" s="261"/>
      <c r="J193" s="261" t="s">
        <v>19618</v>
      </c>
      <c r="K193" s="262">
        <v>25</v>
      </c>
    </row>
    <row r="194" spans="1:11" x14ac:dyDescent="0.2">
      <c r="A194" s="306" t="s">
        <v>20665</v>
      </c>
      <c r="B194" s="261" t="s">
        <v>20666</v>
      </c>
      <c r="C194" s="261" t="s">
        <v>20667</v>
      </c>
      <c r="D194" s="261" t="s">
        <v>18054</v>
      </c>
      <c r="E194" s="261">
        <v>21</v>
      </c>
      <c r="F194" s="261" t="s">
        <v>20683</v>
      </c>
      <c r="G194" s="261"/>
      <c r="H194" s="261"/>
      <c r="I194" s="261" t="s">
        <v>10772</v>
      </c>
      <c r="J194" s="261" t="s">
        <v>10756</v>
      </c>
      <c r="K194" s="262">
        <v>1000000</v>
      </c>
    </row>
    <row r="195" spans="1:11" x14ac:dyDescent="0.2">
      <c r="A195" s="306" t="s">
        <v>20665</v>
      </c>
      <c r="B195" s="261" t="s">
        <v>20666</v>
      </c>
      <c r="C195" s="261" t="s">
        <v>20667</v>
      </c>
      <c r="D195" s="261" t="s">
        <v>18054</v>
      </c>
      <c r="E195" s="261">
        <v>22</v>
      </c>
      <c r="F195" s="261" t="s">
        <v>20684</v>
      </c>
      <c r="G195" s="261"/>
      <c r="H195" s="261"/>
      <c r="I195" s="261" t="s">
        <v>10772</v>
      </c>
      <c r="J195" s="261" t="s">
        <v>10756</v>
      </c>
      <c r="K195" s="262">
        <v>1000000</v>
      </c>
    </row>
    <row r="196" spans="1:11" x14ac:dyDescent="0.2">
      <c r="A196" s="306" t="s">
        <v>20665</v>
      </c>
      <c r="B196" s="261" t="s">
        <v>20666</v>
      </c>
      <c r="C196" s="261" t="s">
        <v>20667</v>
      </c>
      <c r="D196" s="261" t="s">
        <v>18054</v>
      </c>
      <c r="E196" s="261">
        <v>23</v>
      </c>
      <c r="F196" s="261" t="s">
        <v>20685</v>
      </c>
      <c r="G196" s="261"/>
      <c r="H196" s="261"/>
      <c r="I196" s="261" t="s">
        <v>10772</v>
      </c>
      <c r="J196" s="261" t="s">
        <v>10756</v>
      </c>
      <c r="K196" s="262">
        <v>1000000</v>
      </c>
    </row>
    <row r="197" spans="1:11" x14ac:dyDescent="0.2">
      <c r="A197" s="306" t="s">
        <v>20665</v>
      </c>
      <c r="B197" s="261" t="s">
        <v>20666</v>
      </c>
      <c r="C197" s="261" t="s">
        <v>20667</v>
      </c>
      <c r="D197" s="261" t="s">
        <v>18054</v>
      </c>
      <c r="E197" s="261">
        <v>24</v>
      </c>
      <c r="F197" s="261" t="s">
        <v>20686</v>
      </c>
      <c r="G197" s="261"/>
      <c r="H197" s="261"/>
      <c r="I197" s="261" t="s">
        <v>10772</v>
      </c>
      <c r="J197" s="261" t="s">
        <v>10756</v>
      </c>
      <c r="K197" s="262">
        <v>1000000</v>
      </c>
    </row>
    <row r="198" spans="1:11" x14ac:dyDescent="0.2">
      <c r="A198" s="306" t="s">
        <v>20665</v>
      </c>
      <c r="B198" s="261" t="s">
        <v>20666</v>
      </c>
      <c r="C198" s="261" t="s">
        <v>20667</v>
      </c>
      <c r="D198" s="261" t="s">
        <v>18054</v>
      </c>
      <c r="E198" s="261">
        <v>25</v>
      </c>
      <c r="F198" s="261" t="s">
        <v>20687</v>
      </c>
      <c r="G198" s="261"/>
      <c r="H198" s="261"/>
      <c r="I198" s="261" t="s">
        <v>10772</v>
      </c>
      <c r="J198" s="261" t="s">
        <v>10756</v>
      </c>
      <c r="K198" s="262">
        <v>1000000</v>
      </c>
    </row>
    <row r="199" spans="1:11" x14ac:dyDescent="0.2">
      <c r="A199" s="306" t="s">
        <v>20665</v>
      </c>
      <c r="B199" s="261" t="s">
        <v>20666</v>
      </c>
      <c r="C199" s="261" t="s">
        <v>20667</v>
      </c>
      <c r="D199" s="261" t="s">
        <v>18054</v>
      </c>
      <c r="E199" s="261">
        <v>26</v>
      </c>
      <c r="F199" s="261" t="s">
        <v>20688</v>
      </c>
      <c r="G199" s="261"/>
      <c r="H199" s="261"/>
      <c r="I199" s="261" t="s">
        <v>10772</v>
      </c>
      <c r="J199" s="261" t="s">
        <v>10756</v>
      </c>
      <c r="K199" s="262">
        <v>1000000</v>
      </c>
    </row>
    <row r="200" spans="1:11" x14ac:dyDescent="0.2">
      <c r="A200" s="306" t="s">
        <v>20665</v>
      </c>
      <c r="B200" s="261" t="s">
        <v>20666</v>
      </c>
      <c r="C200" s="261" t="s">
        <v>20667</v>
      </c>
      <c r="D200" s="261" t="s">
        <v>18054</v>
      </c>
      <c r="E200" s="261">
        <v>27</v>
      </c>
      <c r="F200" s="261" t="s">
        <v>20689</v>
      </c>
      <c r="G200" s="261"/>
      <c r="H200" s="261"/>
      <c r="I200" s="261" t="s">
        <v>10772</v>
      </c>
      <c r="J200" s="261" t="s">
        <v>10756</v>
      </c>
      <c r="K200" s="262">
        <v>1000000</v>
      </c>
    </row>
    <row r="201" spans="1:11" x14ac:dyDescent="0.2">
      <c r="A201" s="306" t="s">
        <v>20665</v>
      </c>
      <c r="B201" s="261" t="s">
        <v>20666</v>
      </c>
      <c r="C201" s="261" t="s">
        <v>20667</v>
      </c>
      <c r="D201" s="261" t="s">
        <v>18054</v>
      </c>
      <c r="E201" s="261">
        <v>28</v>
      </c>
      <c r="F201" s="261" t="s">
        <v>20690</v>
      </c>
      <c r="G201" s="261"/>
      <c r="H201" s="261"/>
      <c r="I201" s="261" t="s">
        <v>10772</v>
      </c>
      <c r="J201" s="261" t="s">
        <v>10756</v>
      </c>
      <c r="K201" s="262">
        <v>1000000</v>
      </c>
    </row>
    <row r="202" spans="1:11" x14ac:dyDescent="0.2">
      <c r="A202" s="306" t="s">
        <v>20665</v>
      </c>
      <c r="B202" s="261" t="s">
        <v>20666</v>
      </c>
      <c r="C202" s="261" t="s">
        <v>20667</v>
      </c>
      <c r="D202" s="261" t="s">
        <v>18054</v>
      </c>
      <c r="E202" s="261">
        <v>29</v>
      </c>
      <c r="F202" s="261" t="s">
        <v>20691</v>
      </c>
      <c r="G202" s="261"/>
      <c r="H202" s="261"/>
      <c r="I202" s="261" t="s">
        <v>10772</v>
      </c>
      <c r="J202" s="261" t="s">
        <v>10756</v>
      </c>
      <c r="K202" s="262">
        <v>1000000</v>
      </c>
    </row>
    <row r="203" spans="1:11" x14ac:dyDescent="0.2">
      <c r="A203" s="306" t="s">
        <v>20665</v>
      </c>
      <c r="B203" s="261" t="s">
        <v>20666</v>
      </c>
      <c r="C203" s="261" t="s">
        <v>20667</v>
      </c>
      <c r="D203" s="261" t="s">
        <v>18054</v>
      </c>
      <c r="E203" s="261">
        <v>30</v>
      </c>
      <c r="F203" s="261" t="s">
        <v>20692</v>
      </c>
      <c r="G203" s="261"/>
      <c r="H203" s="261"/>
      <c r="I203" s="261" t="s">
        <v>10772</v>
      </c>
      <c r="J203" s="261" t="s">
        <v>10756</v>
      </c>
      <c r="K203" s="262">
        <v>1000000</v>
      </c>
    </row>
    <row r="204" spans="1:11" x14ac:dyDescent="0.2">
      <c r="A204" s="306" t="s">
        <v>20665</v>
      </c>
      <c r="B204" s="261" t="s">
        <v>20666</v>
      </c>
      <c r="C204" s="261" t="s">
        <v>20667</v>
      </c>
      <c r="D204" s="261" t="s">
        <v>18054</v>
      </c>
      <c r="E204" s="261">
        <v>31</v>
      </c>
      <c r="F204" s="261" t="s">
        <v>20693</v>
      </c>
      <c r="G204" s="261"/>
      <c r="H204" s="261"/>
      <c r="I204" s="261" t="s">
        <v>10772</v>
      </c>
      <c r="J204" s="261" t="s">
        <v>10756</v>
      </c>
      <c r="K204" s="262">
        <v>1000000</v>
      </c>
    </row>
    <row r="205" spans="1:11" x14ac:dyDescent="0.2">
      <c r="A205" s="306" t="s">
        <v>20665</v>
      </c>
      <c r="B205" s="261" t="s">
        <v>20666</v>
      </c>
      <c r="C205" s="261" t="s">
        <v>20667</v>
      </c>
      <c r="D205" s="261" t="s">
        <v>18054</v>
      </c>
      <c r="E205" s="261">
        <v>32</v>
      </c>
      <c r="F205" s="261" t="s">
        <v>20694</v>
      </c>
      <c r="G205" s="261"/>
      <c r="H205" s="261"/>
      <c r="I205" s="261" t="s">
        <v>10772</v>
      </c>
      <c r="J205" s="261" t="s">
        <v>10756</v>
      </c>
      <c r="K205" s="262">
        <v>1000000</v>
      </c>
    </row>
    <row r="206" spans="1:11" x14ac:dyDescent="0.2">
      <c r="A206" s="306" t="s">
        <v>20665</v>
      </c>
      <c r="B206" s="261" t="s">
        <v>20666</v>
      </c>
      <c r="C206" s="261" t="s">
        <v>20667</v>
      </c>
      <c r="D206" s="261" t="s">
        <v>18054</v>
      </c>
      <c r="E206" s="261">
        <v>33</v>
      </c>
      <c r="F206" s="261" t="s">
        <v>20695</v>
      </c>
      <c r="G206" s="261"/>
      <c r="H206" s="261"/>
      <c r="I206" s="261" t="s">
        <v>10772</v>
      </c>
      <c r="J206" s="261" t="s">
        <v>10756</v>
      </c>
      <c r="K206" s="262">
        <v>1000000</v>
      </c>
    </row>
    <row r="207" spans="1:11" x14ac:dyDescent="0.2">
      <c r="A207" s="306" t="s">
        <v>20665</v>
      </c>
      <c r="B207" s="261" t="s">
        <v>20666</v>
      </c>
      <c r="C207" s="261" t="s">
        <v>20667</v>
      </c>
      <c r="D207" s="261" t="s">
        <v>18054</v>
      </c>
      <c r="E207" s="261">
        <v>34</v>
      </c>
      <c r="F207" s="261" t="s">
        <v>20696</v>
      </c>
      <c r="G207" s="261"/>
      <c r="H207" s="261"/>
      <c r="I207" s="261" t="s">
        <v>10772</v>
      </c>
      <c r="J207" s="261" t="s">
        <v>10756</v>
      </c>
      <c r="K207" s="262">
        <v>1000000</v>
      </c>
    </row>
    <row r="208" spans="1:11" x14ac:dyDescent="0.2">
      <c r="A208" s="306" t="s">
        <v>20665</v>
      </c>
      <c r="B208" s="261" t="s">
        <v>20666</v>
      </c>
      <c r="C208" s="261" t="s">
        <v>20667</v>
      </c>
      <c r="D208" s="261" t="s">
        <v>18054</v>
      </c>
      <c r="E208" s="261">
        <v>35</v>
      </c>
      <c r="F208" s="261" t="s">
        <v>20697</v>
      </c>
      <c r="G208" s="261"/>
      <c r="H208" s="261"/>
      <c r="I208" s="261" t="s">
        <v>10772</v>
      </c>
      <c r="J208" s="261" t="s">
        <v>10756</v>
      </c>
      <c r="K208" s="262">
        <v>1000000</v>
      </c>
    </row>
    <row r="209" spans="1:11" x14ac:dyDescent="0.2">
      <c r="A209" s="306" t="s">
        <v>20665</v>
      </c>
      <c r="B209" s="261" t="s">
        <v>20666</v>
      </c>
      <c r="C209" s="261" t="s">
        <v>20667</v>
      </c>
      <c r="D209" s="261" t="s">
        <v>18054</v>
      </c>
      <c r="E209" s="261">
        <v>36</v>
      </c>
      <c r="F209" s="261" t="s">
        <v>20698</v>
      </c>
      <c r="G209" s="261"/>
      <c r="H209" s="261"/>
      <c r="I209" s="261" t="s">
        <v>10772</v>
      </c>
      <c r="J209" s="261" t="s">
        <v>10756</v>
      </c>
      <c r="K209" s="262">
        <v>1000000</v>
      </c>
    </row>
    <row r="210" spans="1:11" x14ac:dyDescent="0.2">
      <c r="A210" s="306" t="s">
        <v>20665</v>
      </c>
      <c r="B210" s="261" t="s">
        <v>20666</v>
      </c>
      <c r="C210" s="261" t="s">
        <v>20667</v>
      </c>
      <c r="D210" s="261" t="s">
        <v>18054</v>
      </c>
      <c r="E210" s="261">
        <v>37</v>
      </c>
      <c r="F210" s="261" t="s">
        <v>20699</v>
      </c>
      <c r="G210" s="261"/>
      <c r="H210" s="261"/>
      <c r="I210" s="261" t="s">
        <v>10772</v>
      </c>
      <c r="J210" s="261" t="s">
        <v>10756</v>
      </c>
      <c r="K210" s="262">
        <v>500000</v>
      </c>
    </row>
    <row r="211" spans="1:11" x14ac:dyDescent="0.2">
      <c r="A211" s="306" t="s">
        <v>20665</v>
      </c>
      <c r="B211" s="261" t="s">
        <v>19156</v>
      </c>
      <c r="C211" s="261" t="s">
        <v>20667</v>
      </c>
      <c r="D211" s="261" t="s">
        <v>18054</v>
      </c>
      <c r="E211" s="261">
        <v>38</v>
      </c>
      <c r="F211" s="261" t="s">
        <v>20700</v>
      </c>
      <c r="G211" s="261" t="s">
        <v>14658</v>
      </c>
      <c r="H211" s="261" t="s">
        <v>14659</v>
      </c>
      <c r="I211" s="261"/>
      <c r="J211" s="261"/>
      <c r="K211" s="262"/>
    </row>
    <row r="212" spans="1:11" x14ac:dyDescent="0.2">
      <c r="A212" s="306" t="s">
        <v>20665</v>
      </c>
      <c r="B212" s="261" t="s">
        <v>19158</v>
      </c>
      <c r="C212" s="261" t="s">
        <v>20667</v>
      </c>
      <c r="D212" s="261" t="s">
        <v>18054</v>
      </c>
      <c r="E212" s="261">
        <v>39</v>
      </c>
      <c r="F212" s="261" t="s">
        <v>20701</v>
      </c>
      <c r="G212" s="261" t="s">
        <v>14521</v>
      </c>
      <c r="H212" s="261" t="s">
        <v>14522</v>
      </c>
      <c r="I212" s="261"/>
      <c r="J212" s="261"/>
      <c r="K212" s="262"/>
    </row>
    <row r="213" spans="1:11" x14ac:dyDescent="0.2">
      <c r="A213" s="306" t="s">
        <v>20665</v>
      </c>
      <c r="B213" s="261" t="s">
        <v>19159</v>
      </c>
      <c r="C213" s="261" t="s">
        <v>20667</v>
      </c>
      <c r="D213" s="261" t="s">
        <v>18054</v>
      </c>
      <c r="E213" s="261">
        <v>40</v>
      </c>
      <c r="F213" s="261" t="s">
        <v>20702</v>
      </c>
      <c r="G213" s="261" t="s">
        <v>14408</v>
      </c>
      <c r="H213" s="261" t="s">
        <v>14409</v>
      </c>
      <c r="I213" s="261"/>
      <c r="J213" s="261"/>
      <c r="K213" s="262"/>
    </row>
    <row r="214" spans="1:11" x14ac:dyDescent="0.2">
      <c r="A214" s="306" t="s">
        <v>20665</v>
      </c>
      <c r="B214" s="261" t="s">
        <v>19160</v>
      </c>
      <c r="C214" s="261" t="s">
        <v>20667</v>
      </c>
      <c r="D214" s="261" t="s">
        <v>18054</v>
      </c>
      <c r="E214" s="261">
        <v>41</v>
      </c>
      <c r="F214" s="261" t="s">
        <v>20703</v>
      </c>
      <c r="G214" s="261" t="s">
        <v>13941</v>
      </c>
      <c r="H214" s="261" t="s">
        <v>13942</v>
      </c>
      <c r="I214" s="261"/>
      <c r="J214" s="261"/>
      <c r="K214" s="262"/>
    </row>
    <row r="215" spans="1:11" x14ac:dyDescent="0.2">
      <c r="A215" s="306" t="s">
        <v>20665</v>
      </c>
      <c r="B215" s="261" t="s">
        <v>20666</v>
      </c>
      <c r="C215" s="261" t="s">
        <v>20667</v>
      </c>
      <c r="D215" s="261" t="s">
        <v>18054</v>
      </c>
      <c r="E215" s="261">
        <v>42</v>
      </c>
      <c r="F215" s="261" t="s">
        <v>20704</v>
      </c>
      <c r="G215" s="261"/>
      <c r="H215" s="261"/>
      <c r="I215" s="261"/>
      <c r="J215" s="261" t="s">
        <v>17507</v>
      </c>
      <c r="K215" s="262">
        <v>50000</v>
      </c>
    </row>
    <row r="216" spans="1:11" x14ac:dyDescent="0.2">
      <c r="A216" s="306" t="s">
        <v>20665</v>
      </c>
      <c r="B216" s="261" t="s">
        <v>20666</v>
      </c>
      <c r="C216" s="261" t="s">
        <v>20667</v>
      </c>
      <c r="D216" s="261" t="s">
        <v>18054</v>
      </c>
      <c r="E216" s="261">
        <v>43</v>
      </c>
      <c r="F216" s="261" t="s">
        <v>20705</v>
      </c>
      <c r="G216" s="261"/>
      <c r="H216" s="261"/>
      <c r="I216" s="261"/>
      <c r="J216" s="261" t="s">
        <v>17507</v>
      </c>
      <c r="K216" s="262">
        <v>50000</v>
      </c>
    </row>
    <row r="217" spans="1:11" x14ac:dyDescent="0.2">
      <c r="A217" s="306" t="s">
        <v>20665</v>
      </c>
      <c r="B217" s="261" t="s">
        <v>20666</v>
      </c>
      <c r="C217" s="261" t="s">
        <v>20667</v>
      </c>
      <c r="D217" s="261" t="s">
        <v>18054</v>
      </c>
      <c r="E217" s="261">
        <v>44</v>
      </c>
      <c r="F217" s="261" t="s">
        <v>20706</v>
      </c>
      <c r="G217" s="261"/>
      <c r="H217" s="261"/>
      <c r="I217" s="261"/>
      <c r="J217" s="261" t="s">
        <v>17507</v>
      </c>
      <c r="K217" s="262">
        <v>50000</v>
      </c>
    </row>
    <row r="218" spans="1:11" x14ac:dyDescent="0.2">
      <c r="A218" s="306" t="s">
        <v>20665</v>
      </c>
      <c r="B218" s="261" t="s">
        <v>20666</v>
      </c>
      <c r="C218" s="261" t="s">
        <v>20667</v>
      </c>
      <c r="D218" s="261" t="s">
        <v>18054</v>
      </c>
      <c r="E218" s="261">
        <v>45</v>
      </c>
      <c r="F218" s="261" t="s">
        <v>20707</v>
      </c>
      <c r="G218" s="261"/>
      <c r="H218" s="261"/>
      <c r="I218" s="261"/>
      <c r="J218" s="261" t="s">
        <v>17507</v>
      </c>
      <c r="K218" s="262">
        <v>100000</v>
      </c>
    </row>
    <row r="219" spans="1:11" x14ac:dyDescent="0.2">
      <c r="A219" s="306" t="s">
        <v>20665</v>
      </c>
      <c r="B219" s="261" t="s">
        <v>20666</v>
      </c>
      <c r="C219" s="261" t="s">
        <v>20667</v>
      </c>
      <c r="D219" s="261" t="s">
        <v>18054</v>
      </c>
      <c r="E219" s="261">
        <v>46</v>
      </c>
      <c r="F219" s="261" t="s">
        <v>20708</v>
      </c>
      <c r="G219" s="261"/>
      <c r="H219" s="261"/>
      <c r="I219" s="261"/>
      <c r="J219" s="261" t="s">
        <v>17507</v>
      </c>
      <c r="K219" s="262">
        <v>50000</v>
      </c>
    </row>
    <row r="220" spans="1:11" x14ac:dyDescent="0.2">
      <c r="A220" s="306" t="s">
        <v>20665</v>
      </c>
      <c r="B220" s="261" t="s">
        <v>19161</v>
      </c>
      <c r="C220" s="261" t="s">
        <v>20667</v>
      </c>
      <c r="D220" s="261" t="s">
        <v>18054</v>
      </c>
      <c r="E220" s="261">
        <v>47</v>
      </c>
      <c r="F220" s="261" t="s">
        <v>20709</v>
      </c>
      <c r="G220" s="261" t="s">
        <v>14602</v>
      </c>
      <c r="H220" s="261" t="s">
        <v>14603</v>
      </c>
      <c r="I220" s="261"/>
      <c r="J220" s="261"/>
      <c r="K220" s="262"/>
    </row>
    <row r="221" spans="1:11" x14ac:dyDescent="0.2">
      <c r="A221" s="306" t="s">
        <v>20665</v>
      </c>
      <c r="B221" s="261" t="s">
        <v>19163</v>
      </c>
      <c r="C221" s="261" t="s">
        <v>20667</v>
      </c>
      <c r="D221" s="261" t="s">
        <v>18054</v>
      </c>
      <c r="E221" s="261">
        <v>48</v>
      </c>
      <c r="F221" s="261" t="s">
        <v>20710</v>
      </c>
      <c r="G221" s="261" t="s">
        <v>14471</v>
      </c>
      <c r="H221" s="261" t="s">
        <v>14472</v>
      </c>
      <c r="I221" s="261"/>
      <c r="J221" s="261"/>
      <c r="K221" s="262"/>
    </row>
    <row r="222" spans="1:11" x14ac:dyDescent="0.2">
      <c r="A222" s="306" t="s">
        <v>20665</v>
      </c>
      <c r="B222" s="261" t="s">
        <v>19164</v>
      </c>
      <c r="C222" s="261" t="s">
        <v>20667</v>
      </c>
      <c r="D222" s="261" t="s">
        <v>18054</v>
      </c>
      <c r="E222" s="261">
        <v>49</v>
      </c>
      <c r="F222" s="261" t="s">
        <v>20711</v>
      </c>
      <c r="G222" s="261" t="s">
        <v>14371</v>
      </c>
      <c r="H222" s="261" t="s">
        <v>14372</v>
      </c>
      <c r="I222" s="261"/>
      <c r="J222" s="261"/>
      <c r="K222" s="262"/>
    </row>
    <row r="223" spans="1:11" x14ac:dyDescent="0.2">
      <c r="A223" s="306" t="s">
        <v>20665</v>
      </c>
      <c r="B223" s="261" t="s">
        <v>19165</v>
      </c>
      <c r="C223" s="261" t="s">
        <v>20667</v>
      </c>
      <c r="D223" s="261" t="s">
        <v>18054</v>
      </c>
      <c r="E223" s="261">
        <v>50</v>
      </c>
      <c r="F223" s="261" t="s">
        <v>20712</v>
      </c>
      <c r="G223" s="261" t="s">
        <v>14111</v>
      </c>
      <c r="H223" s="261" t="s">
        <v>14112</v>
      </c>
      <c r="I223" s="261"/>
      <c r="J223" s="261"/>
      <c r="K223" s="262"/>
    </row>
    <row r="224" spans="1:11" x14ac:dyDescent="0.2">
      <c r="A224" s="306" t="s">
        <v>20665</v>
      </c>
      <c r="B224" s="261" t="s">
        <v>20666</v>
      </c>
      <c r="C224" s="261" t="s">
        <v>20667</v>
      </c>
      <c r="D224" s="261" t="s">
        <v>18054</v>
      </c>
      <c r="E224" s="261">
        <v>51</v>
      </c>
      <c r="F224" s="261" t="s">
        <v>20713</v>
      </c>
      <c r="G224" s="261"/>
      <c r="H224" s="261"/>
      <c r="I224" s="261"/>
      <c r="J224" s="261" t="s">
        <v>17507</v>
      </c>
      <c r="K224" s="262">
        <v>50000</v>
      </c>
    </row>
    <row r="225" spans="1:11" x14ac:dyDescent="0.2">
      <c r="A225" s="306" t="s">
        <v>20665</v>
      </c>
      <c r="B225" s="261" t="s">
        <v>20666</v>
      </c>
      <c r="C225" s="261" t="s">
        <v>20667</v>
      </c>
      <c r="D225" s="261" t="s">
        <v>18054</v>
      </c>
      <c r="E225" s="261">
        <v>52</v>
      </c>
      <c r="F225" s="261" t="s">
        <v>20714</v>
      </c>
      <c r="G225" s="261"/>
      <c r="H225" s="261"/>
      <c r="I225" s="261"/>
      <c r="J225" s="261" t="s">
        <v>17507</v>
      </c>
      <c r="K225" s="262">
        <v>50000</v>
      </c>
    </row>
    <row r="226" spans="1:11" x14ac:dyDescent="0.2">
      <c r="A226" s="306" t="s">
        <v>20665</v>
      </c>
      <c r="B226" s="261" t="s">
        <v>19166</v>
      </c>
      <c r="C226" s="261" t="s">
        <v>14035</v>
      </c>
      <c r="D226" s="261" t="s">
        <v>18054</v>
      </c>
      <c r="E226" s="261">
        <v>53</v>
      </c>
      <c r="F226" s="261" t="s">
        <v>935</v>
      </c>
      <c r="G226" s="261" t="s">
        <v>930</v>
      </c>
      <c r="H226" s="261" t="s">
        <v>931</v>
      </c>
      <c r="I226" s="261"/>
      <c r="J226" s="261"/>
      <c r="K226" s="262"/>
    </row>
    <row r="227" spans="1:11" x14ac:dyDescent="0.2">
      <c r="A227" s="306" t="s">
        <v>20665</v>
      </c>
      <c r="B227" s="261" t="s">
        <v>19166</v>
      </c>
      <c r="C227" s="261" t="s">
        <v>14035</v>
      </c>
      <c r="D227" s="261" t="s">
        <v>18054</v>
      </c>
      <c r="E227" s="261">
        <v>54</v>
      </c>
      <c r="F227" s="261" t="s">
        <v>935</v>
      </c>
      <c r="G227" s="261" t="s">
        <v>14610</v>
      </c>
      <c r="H227" s="261" t="s">
        <v>14611</v>
      </c>
      <c r="I227" s="261"/>
      <c r="J227" s="261"/>
      <c r="K227" s="262"/>
    </row>
    <row r="228" spans="1:11" x14ac:dyDescent="0.2">
      <c r="A228" s="306" t="s">
        <v>20665</v>
      </c>
      <c r="B228" s="261" t="s">
        <v>19169</v>
      </c>
      <c r="C228" s="261" t="s">
        <v>14035</v>
      </c>
      <c r="D228" s="261" t="s">
        <v>18054</v>
      </c>
      <c r="E228" s="261">
        <v>55</v>
      </c>
      <c r="F228" s="261" t="s">
        <v>744</v>
      </c>
      <c r="G228" s="261" t="s">
        <v>739</v>
      </c>
      <c r="H228" s="261" t="s">
        <v>740</v>
      </c>
      <c r="I228" s="261"/>
      <c r="J228" s="261"/>
      <c r="K228" s="262"/>
    </row>
    <row r="229" spans="1:11" x14ac:dyDescent="0.2">
      <c r="A229" s="306" t="s">
        <v>20665</v>
      </c>
      <c r="B229" s="261" t="s">
        <v>19169</v>
      </c>
      <c r="C229" s="261" t="s">
        <v>14035</v>
      </c>
      <c r="D229" s="261" t="s">
        <v>18054</v>
      </c>
      <c r="E229" s="261">
        <v>56</v>
      </c>
      <c r="F229" s="261" t="s">
        <v>744</v>
      </c>
      <c r="G229" s="261" t="s">
        <v>14650</v>
      </c>
      <c r="H229" s="261" t="s">
        <v>14651</v>
      </c>
      <c r="I229" s="261"/>
      <c r="J229" s="261"/>
      <c r="K229" s="262"/>
    </row>
    <row r="230" spans="1:11" x14ac:dyDescent="0.2">
      <c r="A230" s="306" t="s">
        <v>20665</v>
      </c>
      <c r="B230" s="261" t="s">
        <v>19171</v>
      </c>
      <c r="C230" s="261" t="s">
        <v>14035</v>
      </c>
      <c r="D230" s="261" t="s">
        <v>18054</v>
      </c>
      <c r="E230" s="261">
        <v>57</v>
      </c>
      <c r="F230" s="261" t="s">
        <v>481</v>
      </c>
      <c r="G230" s="261" t="s">
        <v>476</v>
      </c>
      <c r="H230" s="261" t="s">
        <v>477</v>
      </c>
      <c r="I230" s="261"/>
      <c r="J230" s="261"/>
      <c r="K230" s="262"/>
    </row>
    <row r="231" spans="1:11" x14ac:dyDescent="0.2">
      <c r="A231" s="306" t="s">
        <v>20665</v>
      </c>
      <c r="B231" s="261" t="s">
        <v>19171</v>
      </c>
      <c r="C231" s="261" t="s">
        <v>14035</v>
      </c>
      <c r="D231" s="261" t="s">
        <v>18054</v>
      </c>
      <c r="E231" s="261">
        <v>58</v>
      </c>
      <c r="F231" s="261" t="s">
        <v>481</v>
      </c>
      <c r="G231" s="261" t="s">
        <v>14031</v>
      </c>
      <c r="H231" s="261" t="s">
        <v>14032</v>
      </c>
      <c r="I231" s="261"/>
      <c r="J231" s="261"/>
      <c r="K231" s="262"/>
    </row>
    <row r="232" spans="1:11" x14ac:dyDescent="0.2">
      <c r="A232" s="306" t="s">
        <v>20665</v>
      </c>
      <c r="B232" s="261" t="s">
        <v>19173</v>
      </c>
      <c r="C232" s="261" t="s">
        <v>14035</v>
      </c>
      <c r="D232" s="261" t="s">
        <v>18054</v>
      </c>
      <c r="E232" s="261">
        <v>59</v>
      </c>
      <c r="F232" s="261" t="s">
        <v>1376</v>
      </c>
      <c r="G232" s="261" t="s">
        <v>1371</v>
      </c>
      <c r="H232" s="261" t="s">
        <v>1372</v>
      </c>
      <c r="I232" s="261"/>
      <c r="J232" s="261"/>
      <c r="K232" s="262"/>
    </row>
    <row r="233" spans="1:11" x14ac:dyDescent="0.2">
      <c r="A233" s="306" t="s">
        <v>20665</v>
      </c>
      <c r="B233" s="261" t="s">
        <v>19173</v>
      </c>
      <c r="C233" s="261" t="s">
        <v>14035</v>
      </c>
      <c r="D233" s="261" t="s">
        <v>18054</v>
      </c>
      <c r="E233" s="261">
        <v>60</v>
      </c>
      <c r="F233" s="261" t="s">
        <v>1376</v>
      </c>
      <c r="G233" s="261" t="s">
        <v>14375</v>
      </c>
      <c r="H233" s="261" t="s">
        <v>14376</v>
      </c>
      <c r="I233" s="261"/>
      <c r="J233" s="261"/>
      <c r="K233" s="262"/>
    </row>
    <row r="234" spans="1:11" x14ac:dyDescent="0.2">
      <c r="A234" s="306" t="s">
        <v>20665</v>
      </c>
      <c r="B234" s="261" t="s">
        <v>19175</v>
      </c>
      <c r="C234" s="261" t="s">
        <v>14035</v>
      </c>
      <c r="D234" s="261" t="s">
        <v>18054</v>
      </c>
      <c r="E234" s="261">
        <v>61</v>
      </c>
      <c r="F234" s="261" t="s">
        <v>1600</v>
      </c>
      <c r="G234" s="261" t="s">
        <v>1595</v>
      </c>
      <c r="H234" s="261" t="s">
        <v>1596</v>
      </c>
      <c r="I234" s="261"/>
      <c r="J234" s="261"/>
      <c r="K234" s="262"/>
    </row>
    <row r="235" spans="1:11" x14ac:dyDescent="0.2">
      <c r="A235" s="306" t="s">
        <v>20665</v>
      </c>
      <c r="B235" s="261" t="s">
        <v>19175</v>
      </c>
      <c r="C235" s="261" t="s">
        <v>14035</v>
      </c>
      <c r="D235" s="261" t="s">
        <v>18054</v>
      </c>
      <c r="E235" s="261">
        <v>62</v>
      </c>
      <c r="F235" s="261" t="s">
        <v>1600</v>
      </c>
      <c r="G235" s="261" t="s">
        <v>14395</v>
      </c>
      <c r="H235" s="261" t="s">
        <v>14396</v>
      </c>
      <c r="I235" s="261"/>
      <c r="J235" s="261"/>
      <c r="K235" s="262"/>
    </row>
    <row r="236" spans="1:11" x14ac:dyDescent="0.2">
      <c r="A236" s="306" t="s">
        <v>20665</v>
      </c>
      <c r="B236" s="261" t="s">
        <v>19176</v>
      </c>
      <c r="C236" s="261" t="s">
        <v>14035</v>
      </c>
      <c r="D236" s="261" t="s">
        <v>18054</v>
      </c>
      <c r="E236" s="261">
        <v>63</v>
      </c>
      <c r="F236" s="261" t="s">
        <v>1150</v>
      </c>
      <c r="G236" s="261" t="s">
        <v>1145</v>
      </c>
      <c r="H236" s="261" t="s">
        <v>1146</v>
      </c>
      <c r="I236" s="261"/>
      <c r="J236" s="261"/>
      <c r="K236" s="262"/>
    </row>
    <row r="237" spans="1:11" x14ac:dyDescent="0.2">
      <c r="A237" s="306" t="s">
        <v>20665</v>
      </c>
      <c r="B237" s="261" t="s">
        <v>19176</v>
      </c>
      <c r="C237" s="261" t="s">
        <v>14035</v>
      </c>
      <c r="D237" s="261" t="s">
        <v>18054</v>
      </c>
      <c r="E237" s="261">
        <v>64</v>
      </c>
      <c r="F237" s="261" t="s">
        <v>1150</v>
      </c>
      <c r="G237" s="261" t="s">
        <v>14091</v>
      </c>
      <c r="H237" s="261" t="s">
        <v>14092</v>
      </c>
      <c r="I237" s="261"/>
      <c r="J237" s="261"/>
      <c r="K237" s="262"/>
    </row>
    <row r="238" spans="1:11" x14ac:dyDescent="0.2">
      <c r="A238" s="306" t="s">
        <v>20665</v>
      </c>
      <c r="B238" s="261" t="s">
        <v>19177</v>
      </c>
      <c r="C238" s="261" t="s">
        <v>14035</v>
      </c>
      <c r="D238" s="261" t="s">
        <v>18054</v>
      </c>
      <c r="E238" s="261">
        <v>65</v>
      </c>
      <c r="F238" s="261" t="s">
        <v>2598</v>
      </c>
      <c r="G238" s="261" t="s">
        <v>2593</v>
      </c>
      <c r="H238" s="261" t="s">
        <v>2594</v>
      </c>
      <c r="I238" s="261"/>
      <c r="J238" s="261"/>
      <c r="K238" s="262"/>
    </row>
    <row r="239" spans="1:11" x14ac:dyDescent="0.2">
      <c r="A239" s="306" t="s">
        <v>20665</v>
      </c>
      <c r="B239" s="261" t="s">
        <v>19177</v>
      </c>
      <c r="C239" s="261" t="s">
        <v>14035</v>
      </c>
      <c r="D239" s="261" t="s">
        <v>18054</v>
      </c>
      <c r="E239" s="261">
        <v>66</v>
      </c>
      <c r="F239" s="261" t="s">
        <v>2598</v>
      </c>
      <c r="G239" s="261" t="s">
        <v>14616</v>
      </c>
      <c r="H239" s="261" t="s">
        <v>14617</v>
      </c>
      <c r="I239" s="261"/>
      <c r="J239" s="261"/>
      <c r="K239" s="262"/>
    </row>
    <row r="240" spans="1:11" x14ac:dyDescent="0.2">
      <c r="A240" s="306" t="s">
        <v>20665</v>
      </c>
      <c r="B240" s="261" t="s">
        <v>19179</v>
      </c>
      <c r="C240" s="261" t="s">
        <v>14035</v>
      </c>
      <c r="D240" s="261" t="s">
        <v>18054</v>
      </c>
      <c r="E240" s="261">
        <v>67</v>
      </c>
      <c r="F240" s="261" t="s">
        <v>2661</v>
      </c>
      <c r="G240" s="261" t="s">
        <v>2656</v>
      </c>
      <c r="H240" s="261" t="s">
        <v>2657</v>
      </c>
      <c r="I240" s="261"/>
      <c r="J240" s="261"/>
      <c r="K240" s="262"/>
    </row>
    <row r="241" spans="1:11" x14ac:dyDescent="0.2">
      <c r="A241" s="306" t="s">
        <v>20665</v>
      </c>
      <c r="B241" s="261" t="s">
        <v>19179</v>
      </c>
      <c r="C241" s="261" t="s">
        <v>14035</v>
      </c>
      <c r="D241" s="261" t="s">
        <v>18054</v>
      </c>
      <c r="E241" s="261">
        <v>68</v>
      </c>
      <c r="F241" s="261" t="s">
        <v>2661</v>
      </c>
      <c r="G241" s="261" t="s">
        <v>14184</v>
      </c>
      <c r="H241" s="261" t="s">
        <v>14185</v>
      </c>
      <c r="I241" s="261"/>
      <c r="J241" s="261"/>
      <c r="K241" s="262"/>
    </row>
    <row r="242" spans="1:11" x14ac:dyDescent="0.2">
      <c r="A242" s="306" t="s">
        <v>20665</v>
      </c>
      <c r="B242" s="261" t="s">
        <v>19180</v>
      </c>
      <c r="C242" s="261" t="s">
        <v>14035</v>
      </c>
      <c r="D242" s="261" t="s">
        <v>18054</v>
      </c>
      <c r="E242" s="261">
        <v>69</v>
      </c>
      <c r="F242" s="261" t="s">
        <v>2372</v>
      </c>
      <c r="G242" s="261" t="s">
        <v>2367</v>
      </c>
      <c r="H242" s="261" t="s">
        <v>2368</v>
      </c>
      <c r="I242" s="261"/>
      <c r="J242" s="261"/>
      <c r="K242" s="262"/>
    </row>
    <row r="243" spans="1:11" x14ac:dyDescent="0.2">
      <c r="A243" s="306" t="s">
        <v>20665</v>
      </c>
      <c r="B243" s="261" t="s">
        <v>19180</v>
      </c>
      <c r="C243" s="261" t="s">
        <v>14035</v>
      </c>
      <c r="D243" s="261" t="s">
        <v>18054</v>
      </c>
      <c r="E243" s="261">
        <v>70</v>
      </c>
      <c r="F243" s="261" t="s">
        <v>2372</v>
      </c>
      <c r="G243" s="261" t="s">
        <v>14490</v>
      </c>
      <c r="H243" s="261" t="s">
        <v>14491</v>
      </c>
      <c r="I243" s="261"/>
      <c r="J243" s="261"/>
      <c r="K243" s="262"/>
    </row>
    <row r="244" spans="1:11" x14ac:dyDescent="0.2">
      <c r="A244" s="306" t="s">
        <v>20665</v>
      </c>
      <c r="B244" s="261" t="s">
        <v>19181</v>
      </c>
      <c r="C244" s="261" t="s">
        <v>14035</v>
      </c>
      <c r="D244" s="261" t="s">
        <v>18054</v>
      </c>
      <c r="E244" s="261">
        <v>71</v>
      </c>
      <c r="F244" s="261" t="s">
        <v>3693</v>
      </c>
      <c r="G244" s="261" t="s">
        <v>3688</v>
      </c>
      <c r="H244" s="261" t="s">
        <v>3689</v>
      </c>
      <c r="I244" s="261"/>
      <c r="J244" s="261"/>
      <c r="K244" s="262"/>
    </row>
    <row r="245" spans="1:11" x14ac:dyDescent="0.2">
      <c r="A245" s="306" t="s">
        <v>20665</v>
      </c>
      <c r="B245" s="261" t="s">
        <v>19181</v>
      </c>
      <c r="C245" s="261" t="s">
        <v>14035</v>
      </c>
      <c r="D245" s="261" t="s">
        <v>18054</v>
      </c>
      <c r="E245" s="261">
        <v>72</v>
      </c>
      <c r="F245" s="261" t="s">
        <v>3693</v>
      </c>
      <c r="G245" s="261" t="s">
        <v>14386</v>
      </c>
      <c r="H245" s="261" t="s">
        <v>14387</v>
      </c>
      <c r="I245" s="261"/>
      <c r="J245" s="261"/>
      <c r="K245" s="262"/>
    </row>
    <row r="246" spans="1:11" x14ac:dyDescent="0.2">
      <c r="A246" s="306" t="s">
        <v>20665</v>
      </c>
      <c r="B246" s="261" t="s">
        <v>19183</v>
      </c>
      <c r="C246" s="261" t="s">
        <v>14035</v>
      </c>
      <c r="D246" s="261" t="s">
        <v>18054</v>
      </c>
      <c r="E246" s="261">
        <v>73</v>
      </c>
      <c r="F246" s="261" t="s">
        <v>2935</v>
      </c>
      <c r="G246" s="261" t="s">
        <v>2930</v>
      </c>
      <c r="H246" s="261" t="s">
        <v>2931</v>
      </c>
      <c r="I246" s="261"/>
      <c r="J246" s="261"/>
      <c r="K246" s="262"/>
    </row>
    <row r="247" spans="1:11" x14ac:dyDescent="0.2">
      <c r="A247" s="306" t="s">
        <v>20665</v>
      </c>
      <c r="B247" s="261" t="s">
        <v>19183</v>
      </c>
      <c r="C247" s="261" t="s">
        <v>14035</v>
      </c>
      <c r="D247" s="261" t="s">
        <v>18054</v>
      </c>
      <c r="E247" s="261">
        <v>74</v>
      </c>
      <c r="F247" s="261" t="s">
        <v>2935</v>
      </c>
      <c r="G247" s="261" t="s">
        <v>14441</v>
      </c>
      <c r="H247" s="261" t="s">
        <v>14442</v>
      </c>
      <c r="I247" s="261"/>
      <c r="J247" s="261"/>
      <c r="K247" s="262"/>
    </row>
    <row r="248" spans="1:11" x14ac:dyDescent="0.2">
      <c r="A248" s="306" t="s">
        <v>20665</v>
      </c>
      <c r="B248" s="261" t="s">
        <v>19184</v>
      </c>
      <c r="C248" s="261" t="s">
        <v>14035</v>
      </c>
      <c r="D248" s="261" t="s">
        <v>18054</v>
      </c>
      <c r="E248" s="261">
        <v>75</v>
      </c>
      <c r="F248" s="261" t="s">
        <v>3242</v>
      </c>
      <c r="G248" s="261" t="s">
        <v>3237</v>
      </c>
      <c r="H248" s="261" t="s">
        <v>3238</v>
      </c>
      <c r="I248" s="261"/>
      <c r="J248" s="261"/>
      <c r="K248" s="262"/>
    </row>
    <row r="249" spans="1:11" x14ac:dyDescent="0.2">
      <c r="A249" s="306" t="s">
        <v>20665</v>
      </c>
      <c r="B249" s="261" t="s">
        <v>19184</v>
      </c>
      <c r="C249" s="261" t="s">
        <v>14035</v>
      </c>
      <c r="D249" s="261" t="s">
        <v>18054</v>
      </c>
      <c r="E249" s="261">
        <v>76</v>
      </c>
      <c r="F249" s="261" t="s">
        <v>3242</v>
      </c>
      <c r="G249" s="261" t="s">
        <v>14654</v>
      </c>
      <c r="H249" s="261" t="s">
        <v>14655</v>
      </c>
      <c r="I249" s="261"/>
      <c r="J249" s="261"/>
      <c r="K249" s="262"/>
    </row>
    <row r="250" spans="1:11" x14ac:dyDescent="0.2">
      <c r="A250" s="306" t="s">
        <v>20665</v>
      </c>
      <c r="B250" s="261" t="s">
        <v>19185</v>
      </c>
      <c r="C250" s="261" t="s">
        <v>14035</v>
      </c>
      <c r="D250" s="261" t="s">
        <v>18054</v>
      </c>
      <c r="E250" s="261">
        <v>77</v>
      </c>
      <c r="F250" s="261" t="s">
        <v>4447</v>
      </c>
      <c r="G250" s="261" t="s">
        <v>4442</v>
      </c>
      <c r="H250" s="261" t="s">
        <v>4443</v>
      </c>
      <c r="I250" s="261"/>
      <c r="J250" s="261"/>
      <c r="K250" s="262"/>
    </row>
    <row r="251" spans="1:11" x14ac:dyDescent="0.2">
      <c r="A251" s="306" t="s">
        <v>20665</v>
      </c>
      <c r="B251" s="261" t="s">
        <v>19185</v>
      </c>
      <c r="C251" s="261" t="s">
        <v>14035</v>
      </c>
      <c r="D251" s="261" t="s">
        <v>18054</v>
      </c>
      <c r="E251" s="261">
        <v>78</v>
      </c>
      <c r="F251" s="261" t="s">
        <v>4447</v>
      </c>
      <c r="G251" s="261" t="s">
        <v>14381</v>
      </c>
      <c r="H251" s="261" t="s">
        <v>14382</v>
      </c>
      <c r="I251" s="261"/>
      <c r="J251" s="261"/>
      <c r="K251" s="262"/>
    </row>
    <row r="252" spans="1:11" x14ac:dyDescent="0.2">
      <c r="A252" s="306" t="s">
        <v>20665</v>
      </c>
      <c r="B252" s="261" t="s">
        <v>19187</v>
      </c>
      <c r="C252" s="261" t="s">
        <v>14035</v>
      </c>
      <c r="D252" s="261" t="s">
        <v>18054</v>
      </c>
      <c r="E252" s="261">
        <v>79</v>
      </c>
      <c r="F252" s="261" t="s">
        <v>4091</v>
      </c>
      <c r="G252" s="261" t="s">
        <v>4086</v>
      </c>
      <c r="H252" s="261" t="s">
        <v>4087</v>
      </c>
      <c r="I252" s="261"/>
      <c r="J252" s="261"/>
      <c r="K252" s="262"/>
    </row>
    <row r="253" spans="1:11" x14ac:dyDescent="0.2">
      <c r="A253" s="306" t="s">
        <v>20665</v>
      </c>
      <c r="B253" s="261" t="s">
        <v>19187</v>
      </c>
      <c r="C253" s="261" t="s">
        <v>14035</v>
      </c>
      <c r="D253" s="261" t="s">
        <v>18054</v>
      </c>
      <c r="E253" s="261">
        <v>80</v>
      </c>
      <c r="F253" s="261" t="s">
        <v>4091</v>
      </c>
      <c r="G253" s="261" t="s">
        <v>14151</v>
      </c>
      <c r="H253" s="261" t="s">
        <v>14152</v>
      </c>
      <c r="I253" s="261"/>
      <c r="J253" s="261"/>
      <c r="K253" s="262"/>
    </row>
    <row r="254" spans="1:11" x14ac:dyDescent="0.2">
      <c r="A254" s="306" t="s">
        <v>20665</v>
      </c>
      <c r="B254" s="261" t="s">
        <v>19188</v>
      </c>
      <c r="C254" s="261" t="s">
        <v>14035</v>
      </c>
      <c r="D254" s="261" t="s">
        <v>18054</v>
      </c>
      <c r="E254" s="261">
        <v>81</v>
      </c>
      <c r="F254" s="261" t="s">
        <v>4333</v>
      </c>
      <c r="G254" s="261" t="s">
        <v>4328</v>
      </c>
      <c r="H254" s="261" t="s">
        <v>4329</v>
      </c>
      <c r="I254" s="261"/>
      <c r="J254" s="261"/>
      <c r="K254" s="262"/>
    </row>
    <row r="255" spans="1:11" x14ac:dyDescent="0.2">
      <c r="A255" s="306" t="s">
        <v>20665</v>
      </c>
      <c r="B255" s="261" t="s">
        <v>19188</v>
      </c>
      <c r="C255" s="261" t="s">
        <v>14035</v>
      </c>
      <c r="D255" s="261" t="s">
        <v>18054</v>
      </c>
      <c r="E255" s="261">
        <v>82</v>
      </c>
      <c r="F255" s="261" t="s">
        <v>4333</v>
      </c>
      <c r="G255" s="261" t="s">
        <v>14083</v>
      </c>
      <c r="H255" s="261" t="s">
        <v>14084</v>
      </c>
      <c r="I255" s="261"/>
      <c r="J255" s="261"/>
      <c r="K255" s="262"/>
    </row>
    <row r="256" spans="1:11" x14ac:dyDescent="0.2">
      <c r="A256" s="306" t="s">
        <v>20665</v>
      </c>
      <c r="B256" s="261" t="s">
        <v>20666</v>
      </c>
      <c r="C256" s="261" t="s">
        <v>20667</v>
      </c>
      <c r="D256" s="261" t="s">
        <v>18054</v>
      </c>
      <c r="E256" s="261">
        <v>83</v>
      </c>
      <c r="F256" s="261" t="s">
        <v>20715</v>
      </c>
      <c r="G256" s="261"/>
      <c r="H256" s="261"/>
      <c r="I256" s="261"/>
      <c r="J256" s="261" t="s">
        <v>17507</v>
      </c>
      <c r="K256" s="262">
        <v>50000</v>
      </c>
    </row>
    <row r="257" spans="1:11" x14ac:dyDescent="0.2">
      <c r="A257" s="306" t="s">
        <v>20716</v>
      </c>
      <c r="B257" s="261" t="s">
        <v>20666</v>
      </c>
      <c r="C257" s="261" t="s">
        <v>20667</v>
      </c>
      <c r="D257" s="261" t="s">
        <v>18054</v>
      </c>
      <c r="E257" s="261">
        <v>84</v>
      </c>
      <c r="F257" s="261" t="s">
        <v>20717</v>
      </c>
      <c r="G257" s="261" t="s">
        <v>14085</v>
      </c>
      <c r="H257" s="261" t="s">
        <v>14086</v>
      </c>
      <c r="I257" s="261"/>
      <c r="J257" s="261"/>
      <c r="K257" s="262"/>
    </row>
    <row r="258" spans="1:11" x14ac:dyDescent="0.2">
      <c r="A258" s="306" t="s">
        <v>20716</v>
      </c>
      <c r="B258" s="261" t="s">
        <v>19189</v>
      </c>
      <c r="C258" s="261" t="s">
        <v>20667</v>
      </c>
      <c r="D258" s="261" t="s">
        <v>18054</v>
      </c>
      <c r="E258" s="261">
        <v>85</v>
      </c>
      <c r="F258" s="261" t="s">
        <v>20718</v>
      </c>
      <c r="G258" s="261" t="s">
        <v>14604</v>
      </c>
      <c r="H258" s="261" t="s">
        <v>14605</v>
      </c>
      <c r="I258" s="261"/>
      <c r="J258" s="261"/>
      <c r="K258" s="262"/>
    </row>
    <row r="259" spans="1:11" x14ac:dyDescent="0.2">
      <c r="A259" s="306" t="s">
        <v>20716</v>
      </c>
      <c r="B259" s="261" t="s">
        <v>19189</v>
      </c>
      <c r="C259" s="261" t="s">
        <v>20667</v>
      </c>
      <c r="D259" s="261" t="s">
        <v>18054</v>
      </c>
      <c r="E259" s="261">
        <v>86</v>
      </c>
      <c r="F259" s="261" t="s">
        <v>20718</v>
      </c>
      <c r="G259" s="261"/>
      <c r="H259" s="261"/>
      <c r="I259" s="261" t="s">
        <v>1947</v>
      </c>
      <c r="J259" s="261" t="s">
        <v>19603</v>
      </c>
      <c r="K259" s="262">
        <v>30</v>
      </c>
    </row>
    <row r="260" spans="1:11" x14ac:dyDescent="0.2">
      <c r="A260" s="306" t="s">
        <v>20716</v>
      </c>
      <c r="B260" s="261" t="s">
        <v>19192</v>
      </c>
      <c r="C260" s="261" t="s">
        <v>20667</v>
      </c>
      <c r="D260" s="261" t="s">
        <v>18054</v>
      </c>
      <c r="E260" s="261">
        <v>87</v>
      </c>
      <c r="F260" s="261" t="s">
        <v>20719</v>
      </c>
      <c r="G260" s="261" t="s">
        <v>8714</v>
      </c>
      <c r="H260" s="261" t="s">
        <v>8715</v>
      </c>
      <c r="I260" s="261"/>
      <c r="J260" s="261"/>
      <c r="K260" s="262"/>
    </row>
    <row r="261" spans="1:11" x14ac:dyDescent="0.2">
      <c r="A261" s="306" t="s">
        <v>20716</v>
      </c>
      <c r="B261" s="261" t="s">
        <v>19192</v>
      </c>
      <c r="C261" s="261" t="s">
        <v>20667</v>
      </c>
      <c r="D261" s="261" t="s">
        <v>18054</v>
      </c>
      <c r="E261" s="261">
        <v>88</v>
      </c>
      <c r="F261" s="261" t="s">
        <v>20719</v>
      </c>
      <c r="G261" s="261" t="s">
        <v>14666</v>
      </c>
      <c r="H261" s="261" t="s">
        <v>14667</v>
      </c>
      <c r="I261" s="261"/>
      <c r="J261" s="261"/>
      <c r="K261" s="262"/>
    </row>
    <row r="262" spans="1:11" x14ac:dyDescent="0.2">
      <c r="A262" s="306" t="s">
        <v>20716</v>
      </c>
      <c r="B262" s="261" t="s">
        <v>19194</v>
      </c>
      <c r="C262" s="261" t="s">
        <v>20667</v>
      </c>
      <c r="D262" s="261" t="s">
        <v>18054</v>
      </c>
      <c r="E262" s="261">
        <v>89</v>
      </c>
      <c r="F262" s="261" t="s">
        <v>20720</v>
      </c>
      <c r="G262" s="261" t="s">
        <v>9377</v>
      </c>
      <c r="H262" s="261" t="s">
        <v>9378</v>
      </c>
      <c r="I262" s="261"/>
      <c r="J262" s="261"/>
      <c r="K262" s="262"/>
    </row>
    <row r="263" spans="1:11" x14ac:dyDescent="0.2">
      <c r="A263" s="306" t="s">
        <v>20716</v>
      </c>
      <c r="B263" s="261" t="s">
        <v>19194</v>
      </c>
      <c r="C263" s="261" t="s">
        <v>20667</v>
      </c>
      <c r="D263" s="261" t="s">
        <v>18054</v>
      </c>
      <c r="E263" s="261">
        <v>90</v>
      </c>
      <c r="F263" s="261" t="s">
        <v>20720</v>
      </c>
      <c r="G263" s="261" t="s">
        <v>14504</v>
      </c>
      <c r="H263" s="261" t="s">
        <v>14505</v>
      </c>
      <c r="I263" s="261"/>
      <c r="J263" s="261"/>
      <c r="K263" s="262"/>
    </row>
    <row r="264" spans="1:11" x14ac:dyDescent="0.2">
      <c r="A264" s="306" t="s">
        <v>20716</v>
      </c>
      <c r="B264" s="261" t="s">
        <v>19196</v>
      </c>
      <c r="C264" s="261" t="s">
        <v>20667</v>
      </c>
      <c r="D264" s="261" t="s">
        <v>18054</v>
      </c>
      <c r="E264" s="261">
        <v>91</v>
      </c>
      <c r="F264" s="261" t="s">
        <v>20721</v>
      </c>
      <c r="G264" s="261" t="s">
        <v>8702</v>
      </c>
      <c r="H264" s="261" t="s">
        <v>8703</v>
      </c>
      <c r="I264" s="261"/>
      <c r="J264" s="261"/>
      <c r="K264" s="262"/>
    </row>
    <row r="265" spans="1:11" x14ac:dyDescent="0.2">
      <c r="A265" s="306" t="s">
        <v>20716</v>
      </c>
      <c r="B265" s="261" t="s">
        <v>19196</v>
      </c>
      <c r="C265" s="261" t="s">
        <v>20667</v>
      </c>
      <c r="D265" s="261" t="s">
        <v>18054</v>
      </c>
      <c r="E265" s="261">
        <v>92</v>
      </c>
      <c r="F265" s="261" t="s">
        <v>20721</v>
      </c>
      <c r="G265" s="261" t="s">
        <v>14029</v>
      </c>
      <c r="H265" s="261" t="s">
        <v>14030</v>
      </c>
      <c r="I265" s="261"/>
      <c r="J265" s="261"/>
      <c r="K265" s="262"/>
    </row>
    <row r="266" spans="1:11" x14ac:dyDescent="0.2">
      <c r="A266" s="306" t="s">
        <v>20716</v>
      </c>
      <c r="B266" s="261" t="s">
        <v>19196</v>
      </c>
      <c r="C266" s="261" t="s">
        <v>20667</v>
      </c>
      <c r="D266" s="261" t="s">
        <v>18054</v>
      </c>
      <c r="E266" s="261">
        <v>93</v>
      </c>
      <c r="F266" s="261" t="s">
        <v>20721</v>
      </c>
      <c r="G266" s="261"/>
      <c r="H266" s="261"/>
      <c r="I266" s="261" t="s">
        <v>1947</v>
      </c>
      <c r="J266" s="261" t="s">
        <v>19604</v>
      </c>
      <c r="K266" s="262">
        <v>30</v>
      </c>
    </row>
    <row r="267" spans="1:11" x14ac:dyDescent="0.2">
      <c r="A267" s="306" t="s">
        <v>20716</v>
      </c>
      <c r="B267" s="261" t="s">
        <v>19198</v>
      </c>
      <c r="C267" s="261" t="s">
        <v>20667</v>
      </c>
      <c r="D267" s="261" t="s">
        <v>18054</v>
      </c>
      <c r="E267" s="261">
        <v>94</v>
      </c>
      <c r="F267" s="261" t="s">
        <v>20722</v>
      </c>
      <c r="G267" s="261" t="s">
        <v>14640</v>
      </c>
      <c r="H267" s="261" t="s">
        <v>14641</v>
      </c>
      <c r="I267" s="261"/>
      <c r="J267" s="261"/>
      <c r="K267" s="262"/>
    </row>
    <row r="268" spans="1:11" x14ac:dyDescent="0.2">
      <c r="A268" s="306" t="s">
        <v>20716</v>
      </c>
      <c r="B268" s="261" t="s">
        <v>19198</v>
      </c>
      <c r="C268" s="261" t="s">
        <v>20667</v>
      </c>
      <c r="D268" s="261" t="s">
        <v>18054</v>
      </c>
      <c r="E268" s="261">
        <v>95</v>
      </c>
      <c r="F268" s="261" t="s">
        <v>20722</v>
      </c>
      <c r="G268" s="261"/>
      <c r="H268" s="261"/>
      <c r="I268" s="261" t="s">
        <v>1103</v>
      </c>
      <c r="J268" s="261" t="s">
        <v>19603</v>
      </c>
      <c r="K268" s="262">
        <v>30</v>
      </c>
    </row>
    <row r="269" spans="1:11" x14ac:dyDescent="0.2">
      <c r="A269" s="306" t="s">
        <v>20716</v>
      </c>
      <c r="B269" s="261" t="s">
        <v>19200</v>
      </c>
      <c r="C269" s="261" t="s">
        <v>20667</v>
      </c>
      <c r="D269" s="261" t="s">
        <v>18054</v>
      </c>
      <c r="E269" s="261">
        <v>96</v>
      </c>
      <c r="F269" s="261" t="s">
        <v>20723</v>
      </c>
      <c r="G269" s="261" t="s">
        <v>8690</v>
      </c>
      <c r="H269" s="261" t="s">
        <v>8691</v>
      </c>
      <c r="I269" s="261"/>
      <c r="J269" s="261"/>
      <c r="K269" s="262"/>
    </row>
    <row r="270" spans="1:11" x14ac:dyDescent="0.2">
      <c r="A270" s="306" t="s">
        <v>20716</v>
      </c>
      <c r="B270" s="261" t="s">
        <v>19200</v>
      </c>
      <c r="C270" s="261" t="s">
        <v>20667</v>
      </c>
      <c r="D270" s="261" t="s">
        <v>18054</v>
      </c>
      <c r="E270" s="261">
        <v>97</v>
      </c>
      <c r="F270" s="261" t="s">
        <v>20723</v>
      </c>
      <c r="G270" s="261" t="s">
        <v>14634</v>
      </c>
      <c r="H270" s="261" t="s">
        <v>14635</v>
      </c>
      <c r="I270" s="261"/>
      <c r="J270" s="261"/>
      <c r="K270" s="262"/>
    </row>
    <row r="271" spans="1:11" x14ac:dyDescent="0.2">
      <c r="A271" s="306" t="s">
        <v>20716</v>
      </c>
      <c r="B271" s="261" t="s">
        <v>19201</v>
      </c>
      <c r="C271" s="261" t="s">
        <v>20667</v>
      </c>
      <c r="D271" s="261" t="s">
        <v>18054</v>
      </c>
      <c r="E271" s="261">
        <v>98</v>
      </c>
      <c r="F271" s="261" t="s">
        <v>20724</v>
      </c>
      <c r="G271" s="261" t="s">
        <v>10084</v>
      </c>
      <c r="H271" s="261" t="s">
        <v>10085</v>
      </c>
      <c r="I271" s="261"/>
      <c r="J271" s="261"/>
      <c r="K271" s="262"/>
    </row>
    <row r="272" spans="1:11" x14ac:dyDescent="0.2">
      <c r="A272" s="306" t="s">
        <v>20716</v>
      </c>
      <c r="B272" s="261" t="s">
        <v>19201</v>
      </c>
      <c r="C272" s="261" t="s">
        <v>20667</v>
      </c>
      <c r="D272" s="261" t="s">
        <v>18054</v>
      </c>
      <c r="E272" s="261">
        <v>99</v>
      </c>
      <c r="F272" s="261" t="s">
        <v>20724</v>
      </c>
      <c r="G272" s="261" t="s">
        <v>14517</v>
      </c>
      <c r="H272" s="261" t="s">
        <v>14518</v>
      </c>
      <c r="I272" s="261"/>
      <c r="J272" s="261"/>
      <c r="K272" s="262"/>
    </row>
    <row r="273" spans="1:11" x14ac:dyDescent="0.2">
      <c r="A273" s="306" t="s">
        <v>20716</v>
      </c>
      <c r="B273" s="261" t="s">
        <v>19202</v>
      </c>
      <c r="C273" s="261" t="s">
        <v>20667</v>
      </c>
      <c r="D273" s="261" t="s">
        <v>18054</v>
      </c>
      <c r="E273" s="261">
        <v>100</v>
      </c>
      <c r="F273" s="261" t="s">
        <v>20725</v>
      </c>
      <c r="G273" s="261" t="s">
        <v>9841</v>
      </c>
      <c r="H273" s="261" t="s">
        <v>9842</v>
      </c>
      <c r="I273" s="261"/>
      <c r="J273" s="261"/>
      <c r="K273" s="262"/>
    </row>
    <row r="274" spans="1:11" x14ac:dyDescent="0.2">
      <c r="A274" s="306" t="s">
        <v>20716</v>
      </c>
      <c r="B274" s="261" t="s">
        <v>19202</v>
      </c>
      <c r="C274" s="261" t="s">
        <v>20667</v>
      </c>
      <c r="D274" s="261" t="s">
        <v>18054</v>
      </c>
      <c r="E274" s="261">
        <v>101</v>
      </c>
      <c r="F274" s="261" t="s">
        <v>20725</v>
      </c>
      <c r="G274" s="261" t="s">
        <v>14664</v>
      </c>
      <c r="H274" s="261" t="s">
        <v>14665</v>
      </c>
      <c r="I274" s="261"/>
      <c r="J274" s="261"/>
      <c r="K274" s="262"/>
    </row>
    <row r="275" spans="1:11" x14ac:dyDescent="0.2">
      <c r="A275" s="306" t="s">
        <v>20716</v>
      </c>
      <c r="B275" s="261" t="s">
        <v>19202</v>
      </c>
      <c r="C275" s="261" t="s">
        <v>20667</v>
      </c>
      <c r="D275" s="261" t="s">
        <v>18054</v>
      </c>
      <c r="E275" s="261">
        <v>102</v>
      </c>
      <c r="F275" s="261" t="s">
        <v>20725</v>
      </c>
      <c r="G275" s="261"/>
      <c r="H275" s="261"/>
      <c r="I275" s="261" t="s">
        <v>1103</v>
      </c>
      <c r="J275" s="261" t="s">
        <v>19604</v>
      </c>
      <c r="K275" s="262">
        <v>30</v>
      </c>
    </row>
    <row r="276" spans="1:11" x14ac:dyDescent="0.2">
      <c r="A276" s="306" t="s">
        <v>20716</v>
      </c>
      <c r="B276" s="261" t="s">
        <v>19203</v>
      </c>
      <c r="C276" s="261" t="s">
        <v>20667</v>
      </c>
      <c r="D276" s="261" t="s">
        <v>18054</v>
      </c>
      <c r="E276" s="261">
        <v>103</v>
      </c>
      <c r="F276" s="261" t="s">
        <v>20726</v>
      </c>
      <c r="G276" s="261" t="s">
        <v>14392</v>
      </c>
      <c r="H276" s="261" t="s">
        <v>14393</v>
      </c>
      <c r="I276" s="261"/>
      <c r="J276" s="261"/>
      <c r="K276" s="262"/>
    </row>
    <row r="277" spans="1:11" x14ac:dyDescent="0.2">
      <c r="A277" s="306" t="s">
        <v>20716</v>
      </c>
      <c r="B277" s="261" t="s">
        <v>19203</v>
      </c>
      <c r="C277" s="261" t="s">
        <v>20667</v>
      </c>
      <c r="D277" s="261" t="s">
        <v>18054</v>
      </c>
      <c r="E277" s="261">
        <v>104</v>
      </c>
      <c r="F277" s="261" t="s">
        <v>20726</v>
      </c>
      <c r="G277" s="261"/>
      <c r="H277" s="261"/>
      <c r="I277" s="261" t="s">
        <v>122</v>
      </c>
      <c r="J277" s="261" t="s">
        <v>19603</v>
      </c>
      <c r="K277" s="262">
        <v>30</v>
      </c>
    </row>
    <row r="278" spans="1:11" x14ac:dyDescent="0.2">
      <c r="A278" s="306" t="s">
        <v>20716</v>
      </c>
      <c r="B278" s="261" t="s">
        <v>19205</v>
      </c>
      <c r="C278" s="261" t="s">
        <v>20667</v>
      </c>
      <c r="D278" s="261" t="s">
        <v>18054</v>
      </c>
      <c r="E278" s="261">
        <v>105</v>
      </c>
      <c r="F278" s="261" t="s">
        <v>20727</v>
      </c>
      <c r="G278" s="261" t="s">
        <v>9355</v>
      </c>
      <c r="H278" s="261" t="s">
        <v>9356</v>
      </c>
      <c r="I278" s="261"/>
      <c r="J278" s="261"/>
      <c r="K278" s="262"/>
    </row>
    <row r="279" spans="1:11" x14ac:dyDescent="0.2">
      <c r="A279" s="306" t="s">
        <v>20716</v>
      </c>
      <c r="B279" s="261" t="s">
        <v>19205</v>
      </c>
      <c r="C279" s="261" t="s">
        <v>20667</v>
      </c>
      <c r="D279" s="261" t="s">
        <v>18054</v>
      </c>
      <c r="E279" s="261">
        <v>106</v>
      </c>
      <c r="F279" s="261" t="s">
        <v>20727</v>
      </c>
      <c r="G279" s="261" t="s">
        <v>14378</v>
      </c>
      <c r="H279" s="261" t="s">
        <v>14379</v>
      </c>
      <c r="I279" s="261"/>
      <c r="J279" s="261"/>
      <c r="K279" s="262"/>
    </row>
    <row r="280" spans="1:11" x14ac:dyDescent="0.2">
      <c r="A280" s="306" t="s">
        <v>20716</v>
      </c>
      <c r="B280" s="261" t="s">
        <v>19206</v>
      </c>
      <c r="C280" s="261" t="s">
        <v>20667</v>
      </c>
      <c r="D280" s="261" t="s">
        <v>18054</v>
      </c>
      <c r="E280" s="261">
        <v>107</v>
      </c>
      <c r="F280" s="261" t="s">
        <v>20728</v>
      </c>
      <c r="G280" s="261" t="s">
        <v>9297</v>
      </c>
      <c r="H280" s="261" t="s">
        <v>9298</v>
      </c>
      <c r="I280" s="261"/>
      <c r="J280" s="261"/>
      <c r="K280" s="262"/>
    </row>
    <row r="281" spans="1:11" x14ac:dyDescent="0.2">
      <c r="A281" s="306" t="s">
        <v>20716</v>
      </c>
      <c r="B281" s="261" t="s">
        <v>19206</v>
      </c>
      <c r="C281" s="261" t="s">
        <v>20667</v>
      </c>
      <c r="D281" s="261" t="s">
        <v>18054</v>
      </c>
      <c r="E281" s="261">
        <v>108</v>
      </c>
      <c r="F281" s="261" t="s">
        <v>20728</v>
      </c>
      <c r="G281" s="261" t="s">
        <v>14429</v>
      </c>
      <c r="H281" s="261" t="s">
        <v>14430</v>
      </c>
      <c r="I281" s="261"/>
      <c r="J281" s="261"/>
      <c r="K281" s="262"/>
    </row>
    <row r="282" spans="1:11" x14ac:dyDescent="0.2">
      <c r="A282" s="306" t="s">
        <v>20716</v>
      </c>
      <c r="B282" s="261" t="s">
        <v>19207</v>
      </c>
      <c r="C282" s="261" t="s">
        <v>20667</v>
      </c>
      <c r="D282" s="261" t="s">
        <v>18054</v>
      </c>
      <c r="E282" s="261">
        <v>109</v>
      </c>
      <c r="F282" s="261" t="s">
        <v>20729</v>
      </c>
      <c r="G282" s="261" t="s">
        <v>9771</v>
      </c>
      <c r="H282" s="261" t="s">
        <v>9772</v>
      </c>
      <c r="I282" s="261"/>
      <c r="J282" s="261"/>
      <c r="K282" s="262"/>
    </row>
    <row r="283" spans="1:11" x14ac:dyDescent="0.2">
      <c r="A283" s="306" t="s">
        <v>20716</v>
      </c>
      <c r="B283" s="261" t="s">
        <v>19207</v>
      </c>
      <c r="C283" s="261" t="s">
        <v>20667</v>
      </c>
      <c r="D283" s="261" t="s">
        <v>18054</v>
      </c>
      <c r="E283" s="261">
        <v>110</v>
      </c>
      <c r="F283" s="261" t="s">
        <v>20729</v>
      </c>
      <c r="G283" s="261" t="s">
        <v>14559</v>
      </c>
      <c r="H283" s="261" t="s">
        <v>14560</v>
      </c>
      <c r="I283" s="261"/>
      <c r="J283" s="261"/>
      <c r="K283" s="262"/>
    </row>
    <row r="284" spans="1:11" x14ac:dyDescent="0.2">
      <c r="A284" s="306" t="s">
        <v>20716</v>
      </c>
      <c r="B284" s="261" t="s">
        <v>19207</v>
      </c>
      <c r="C284" s="261" t="s">
        <v>20667</v>
      </c>
      <c r="D284" s="261" t="s">
        <v>18054</v>
      </c>
      <c r="E284" s="261">
        <v>111</v>
      </c>
      <c r="F284" s="261" t="s">
        <v>20729</v>
      </c>
      <c r="G284" s="261"/>
      <c r="H284" s="261"/>
      <c r="I284" s="261" t="s">
        <v>122</v>
      </c>
      <c r="J284" s="261" t="s">
        <v>19604</v>
      </c>
      <c r="K284" s="262">
        <v>30</v>
      </c>
    </row>
    <row r="285" spans="1:11" x14ac:dyDescent="0.2">
      <c r="A285" s="306" t="s">
        <v>20716</v>
      </c>
      <c r="B285" s="261" t="s">
        <v>19208</v>
      </c>
      <c r="C285" s="261" t="s">
        <v>20667</v>
      </c>
      <c r="D285" s="261" t="s">
        <v>18054</v>
      </c>
      <c r="E285" s="261">
        <v>112</v>
      </c>
      <c r="F285" s="261" t="s">
        <v>20730</v>
      </c>
      <c r="G285" s="261" t="s">
        <v>14384</v>
      </c>
      <c r="H285" s="261" t="s">
        <v>14385</v>
      </c>
      <c r="I285" s="261"/>
      <c r="J285" s="261"/>
      <c r="K285" s="262"/>
    </row>
    <row r="286" spans="1:11" x14ac:dyDescent="0.2">
      <c r="A286" s="306" t="s">
        <v>20716</v>
      </c>
      <c r="B286" s="261" t="s">
        <v>19208</v>
      </c>
      <c r="C286" s="261" t="s">
        <v>20667</v>
      </c>
      <c r="D286" s="261" t="s">
        <v>18054</v>
      </c>
      <c r="E286" s="261">
        <v>113</v>
      </c>
      <c r="F286" s="261" t="s">
        <v>20730</v>
      </c>
      <c r="G286" s="261"/>
      <c r="H286" s="261"/>
      <c r="I286" s="261" t="s">
        <v>2837</v>
      </c>
      <c r="J286" s="261" t="s">
        <v>19603</v>
      </c>
      <c r="K286" s="262">
        <v>30</v>
      </c>
    </row>
    <row r="287" spans="1:11" x14ac:dyDescent="0.2">
      <c r="A287" s="306" t="s">
        <v>20716</v>
      </c>
      <c r="B287" s="261" t="s">
        <v>19210</v>
      </c>
      <c r="C287" s="261" t="s">
        <v>20667</v>
      </c>
      <c r="D287" s="261" t="s">
        <v>18054</v>
      </c>
      <c r="E287" s="261">
        <v>114</v>
      </c>
      <c r="F287" s="261" t="s">
        <v>20731</v>
      </c>
      <c r="G287" s="261" t="s">
        <v>8738</v>
      </c>
      <c r="H287" s="261" t="s">
        <v>8739</v>
      </c>
      <c r="I287" s="261"/>
      <c r="J287" s="261"/>
      <c r="K287" s="262"/>
    </row>
    <row r="288" spans="1:11" x14ac:dyDescent="0.2">
      <c r="A288" s="306" t="s">
        <v>20716</v>
      </c>
      <c r="B288" s="261" t="s">
        <v>19210</v>
      </c>
      <c r="C288" s="261" t="s">
        <v>20667</v>
      </c>
      <c r="D288" s="261" t="s">
        <v>18054</v>
      </c>
      <c r="E288" s="261">
        <v>115</v>
      </c>
      <c r="F288" s="261" t="s">
        <v>20731</v>
      </c>
      <c r="G288" s="261" t="s">
        <v>14612</v>
      </c>
      <c r="H288" s="261" t="s">
        <v>14613</v>
      </c>
      <c r="I288" s="261"/>
      <c r="J288" s="261"/>
      <c r="K288" s="262"/>
    </row>
    <row r="289" spans="1:11" x14ac:dyDescent="0.2">
      <c r="A289" s="306" t="s">
        <v>20716</v>
      </c>
      <c r="B289" s="261" t="s">
        <v>19211</v>
      </c>
      <c r="C289" s="261" t="s">
        <v>20667</v>
      </c>
      <c r="D289" s="261" t="s">
        <v>18054</v>
      </c>
      <c r="E289" s="261">
        <v>116</v>
      </c>
      <c r="F289" s="261" t="s">
        <v>20732</v>
      </c>
      <c r="G289" s="261" t="s">
        <v>10065</v>
      </c>
      <c r="H289" s="261" t="s">
        <v>10066</v>
      </c>
      <c r="I289" s="261"/>
      <c r="J289" s="261"/>
      <c r="K289" s="262"/>
    </row>
    <row r="290" spans="1:11" x14ac:dyDescent="0.2">
      <c r="A290" s="306" t="s">
        <v>20716</v>
      </c>
      <c r="B290" s="261" t="s">
        <v>19211</v>
      </c>
      <c r="C290" s="261" t="s">
        <v>20667</v>
      </c>
      <c r="D290" s="261" t="s">
        <v>18054</v>
      </c>
      <c r="E290" s="261">
        <v>117</v>
      </c>
      <c r="F290" s="261" t="s">
        <v>20732</v>
      </c>
      <c r="G290" s="261" t="s">
        <v>14642</v>
      </c>
      <c r="H290" s="261" t="s">
        <v>14643</v>
      </c>
      <c r="I290" s="261"/>
      <c r="J290" s="261"/>
      <c r="K290" s="262"/>
    </row>
    <row r="291" spans="1:11" x14ac:dyDescent="0.2">
      <c r="A291" s="306" t="s">
        <v>20716</v>
      </c>
      <c r="B291" s="261" t="s">
        <v>19212</v>
      </c>
      <c r="C291" s="261" t="s">
        <v>20667</v>
      </c>
      <c r="D291" s="261" t="s">
        <v>18054</v>
      </c>
      <c r="E291" s="261">
        <v>118</v>
      </c>
      <c r="F291" s="261" t="s">
        <v>20733</v>
      </c>
      <c r="G291" s="261" t="s">
        <v>9863</v>
      </c>
      <c r="H291" s="261" t="s">
        <v>9864</v>
      </c>
      <c r="I291" s="261"/>
      <c r="J291" s="261"/>
      <c r="K291" s="262"/>
    </row>
    <row r="292" spans="1:11" x14ac:dyDescent="0.2">
      <c r="A292" s="306" t="s">
        <v>20716</v>
      </c>
      <c r="B292" s="261" t="s">
        <v>19212</v>
      </c>
      <c r="C292" s="261" t="s">
        <v>20667</v>
      </c>
      <c r="D292" s="261" t="s">
        <v>18054</v>
      </c>
      <c r="E292" s="261">
        <v>119</v>
      </c>
      <c r="F292" s="261" t="s">
        <v>20733</v>
      </c>
      <c r="G292" s="261" t="s">
        <v>13991</v>
      </c>
      <c r="H292" s="261" t="s">
        <v>13992</v>
      </c>
      <c r="I292" s="261"/>
      <c r="J292" s="261"/>
      <c r="K292" s="262"/>
    </row>
    <row r="293" spans="1:11" x14ac:dyDescent="0.2">
      <c r="A293" s="306" t="s">
        <v>20716</v>
      </c>
      <c r="B293" s="261" t="s">
        <v>19212</v>
      </c>
      <c r="C293" s="261" t="s">
        <v>20667</v>
      </c>
      <c r="D293" s="261" t="s">
        <v>18054</v>
      </c>
      <c r="E293" s="261">
        <v>120</v>
      </c>
      <c r="F293" s="261" t="s">
        <v>20733</v>
      </c>
      <c r="G293" s="261"/>
      <c r="H293" s="261"/>
      <c r="I293" s="261" t="s">
        <v>2837</v>
      </c>
      <c r="J293" s="261" t="s">
        <v>19604</v>
      </c>
      <c r="K293" s="262">
        <v>30</v>
      </c>
    </row>
    <row r="294" spans="1:11" x14ac:dyDescent="0.2">
      <c r="A294" s="306" t="s">
        <v>20716</v>
      </c>
      <c r="B294" s="261" t="s">
        <v>19213</v>
      </c>
      <c r="C294" s="261" t="s">
        <v>20667</v>
      </c>
      <c r="D294" s="261" t="s">
        <v>18054</v>
      </c>
      <c r="E294" s="261">
        <v>121</v>
      </c>
      <c r="F294" s="261" t="s">
        <v>20734</v>
      </c>
      <c r="G294" s="261" t="s">
        <v>14369</v>
      </c>
      <c r="H294" s="261" t="s">
        <v>14370</v>
      </c>
      <c r="I294" s="261"/>
      <c r="J294" s="261"/>
      <c r="K294" s="262"/>
    </row>
    <row r="295" spans="1:11" x14ac:dyDescent="0.2">
      <c r="A295" s="306" t="s">
        <v>20716</v>
      </c>
      <c r="B295" s="261" t="s">
        <v>19213</v>
      </c>
      <c r="C295" s="261" t="s">
        <v>20667</v>
      </c>
      <c r="D295" s="261" t="s">
        <v>18054</v>
      </c>
      <c r="E295" s="261">
        <v>122</v>
      </c>
      <c r="F295" s="261" t="s">
        <v>20734</v>
      </c>
      <c r="G295" s="261"/>
      <c r="H295" s="261"/>
      <c r="I295" s="261" t="s">
        <v>3779</v>
      </c>
      <c r="J295" s="261" t="s">
        <v>19603</v>
      </c>
      <c r="K295" s="262">
        <v>30</v>
      </c>
    </row>
    <row r="296" spans="1:11" x14ac:dyDescent="0.2">
      <c r="A296" s="306" t="s">
        <v>20716</v>
      </c>
      <c r="B296" s="261" t="s">
        <v>19215</v>
      </c>
      <c r="C296" s="261" t="s">
        <v>20667</v>
      </c>
      <c r="D296" s="261" t="s">
        <v>18054</v>
      </c>
      <c r="E296" s="261">
        <v>123</v>
      </c>
      <c r="F296" s="261" t="s">
        <v>20735</v>
      </c>
      <c r="G296" s="261" t="s">
        <v>9344</v>
      </c>
      <c r="H296" s="261" t="s">
        <v>9345</v>
      </c>
      <c r="I296" s="261"/>
      <c r="J296" s="261"/>
      <c r="K296" s="262"/>
    </row>
    <row r="297" spans="1:11" x14ac:dyDescent="0.2">
      <c r="A297" s="306" t="s">
        <v>20716</v>
      </c>
      <c r="B297" s="261" t="s">
        <v>19215</v>
      </c>
      <c r="C297" s="261" t="s">
        <v>20667</v>
      </c>
      <c r="D297" s="261" t="s">
        <v>18054</v>
      </c>
      <c r="E297" s="261">
        <v>124</v>
      </c>
      <c r="F297" s="261" t="s">
        <v>20735</v>
      </c>
      <c r="G297" s="261" t="s">
        <v>14402</v>
      </c>
      <c r="H297" s="261" t="s">
        <v>14403</v>
      </c>
      <c r="I297" s="261"/>
      <c r="J297" s="261"/>
      <c r="K297" s="262"/>
    </row>
    <row r="298" spans="1:11" x14ac:dyDescent="0.2">
      <c r="A298" s="306" t="s">
        <v>20716</v>
      </c>
      <c r="B298" s="261" t="s">
        <v>19216</v>
      </c>
      <c r="C298" s="261" t="s">
        <v>20667</v>
      </c>
      <c r="D298" s="261" t="s">
        <v>18054</v>
      </c>
      <c r="E298" s="261">
        <v>125</v>
      </c>
      <c r="F298" s="261" t="s">
        <v>20736</v>
      </c>
      <c r="G298" s="261" t="s">
        <v>8761</v>
      </c>
      <c r="H298" s="261" t="s">
        <v>8762</v>
      </c>
      <c r="I298" s="261"/>
      <c r="J298" s="261"/>
      <c r="K298" s="262"/>
    </row>
    <row r="299" spans="1:11" x14ac:dyDescent="0.2">
      <c r="A299" s="306" t="s">
        <v>20716</v>
      </c>
      <c r="B299" s="261" t="s">
        <v>19216</v>
      </c>
      <c r="C299" s="261" t="s">
        <v>20667</v>
      </c>
      <c r="D299" s="261" t="s">
        <v>18054</v>
      </c>
      <c r="E299" s="261">
        <v>126</v>
      </c>
      <c r="F299" s="261" t="s">
        <v>20736</v>
      </c>
      <c r="G299" s="261" t="s">
        <v>14434</v>
      </c>
      <c r="H299" s="261" t="s">
        <v>14435</v>
      </c>
      <c r="I299" s="261"/>
      <c r="J299" s="261"/>
      <c r="K299" s="262"/>
    </row>
    <row r="300" spans="1:11" x14ac:dyDescent="0.2">
      <c r="A300" s="306" t="s">
        <v>20716</v>
      </c>
      <c r="B300" s="261" t="s">
        <v>19217</v>
      </c>
      <c r="C300" s="261" t="s">
        <v>20667</v>
      </c>
      <c r="D300" s="261" t="s">
        <v>18054</v>
      </c>
      <c r="E300" s="261">
        <v>127</v>
      </c>
      <c r="F300" s="261" t="s">
        <v>20737</v>
      </c>
      <c r="G300" s="261" t="s">
        <v>9647</v>
      </c>
      <c r="H300" s="261" t="s">
        <v>9648</v>
      </c>
      <c r="I300" s="261"/>
      <c r="J300" s="261"/>
      <c r="K300" s="262"/>
    </row>
    <row r="301" spans="1:11" x14ac:dyDescent="0.2">
      <c r="A301" s="306" t="s">
        <v>20716</v>
      </c>
      <c r="B301" s="261" t="s">
        <v>19217</v>
      </c>
      <c r="C301" s="261" t="s">
        <v>20667</v>
      </c>
      <c r="D301" s="261" t="s">
        <v>18054</v>
      </c>
      <c r="E301" s="261">
        <v>128</v>
      </c>
      <c r="F301" s="261" t="s">
        <v>20737</v>
      </c>
      <c r="G301" s="261" t="s">
        <v>14529</v>
      </c>
      <c r="H301" s="261" t="s">
        <v>14530</v>
      </c>
      <c r="I301" s="261"/>
      <c r="J301" s="261"/>
      <c r="K301" s="262"/>
    </row>
    <row r="302" spans="1:11" x14ac:dyDescent="0.2">
      <c r="A302" s="306" t="s">
        <v>20716</v>
      </c>
      <c r="B302" s="261" t="s">
        <v>19217</v>
      </c>
      <c r="C302" s="261" t="s">
        <v>20667</v>
      </c>
      <c r="D302" s="261" t="s">
        <v>18054</v>
      </c>
      <c r="E302" s="261">
        <v>129</v>
      </c>
      <c r="F302" s="261" t="s">
        <v>20737</v>
      </c>
      <c r="G302" s="261"/>
      <c r="H302" s="261"/>
      <c r="I302" s="261" t="s">
        <v>3779</v>
      </c>
      <c r="J302" s="261" t="s">
        <v>19604</v>
      </c>
      <c r="K302" s="262">
        <v>30</v>
      </c>
    </row>
    <row r="303" spans="1:11" x14ac:dyDescent="0.2">
      <c r="A303" s="306" t="s">
        <v>20738</v>
      </c>
      <c r="B303" s="261" t="s">
        <v>19218</v>
      </c>
      <c r="C303" s="261" t="s">
        <v>13954</v>
      </c>
      <c r="D303" s="261" t="s">
        <v>18054</v>
      </c>
      <c r="E303" s="261">
        <v>1</v>
      </c>
      <c r="F303" s="261" t="s">
        <v>20739</v>
      </c>
      <c r="G303" s="261" t="s">
        <v>524</v>
      </c>
      <c r="H303" s="261" t="s">
        <v>525</v>
      </c>
      <c r="I303" s="261"/>
      <c r="J303" s="261"/>
      <c r="K303" s="262"/>
    </row>
    <row r="304" spans="1:11" x14ac:dyDescent="0.2">
      <c r="A304" s="306" t="s">
        <v>20738</v>
      </c>
      <c r="B304" s="261" t="s">
        <v>19218</v>
      </c>
      <c r="C304" s="261" t="s">
        <v>13954</v>
      </c>
      <c r="D304" s="261" t="s">
        <v>18054</v>
      </c>
      <c r="E304" s="261">
        <v>2</v>
      </c>
      <c r="F304" s="261" t="s">
        <v>20739</v>
      </c>
      <c r="G304" s="261" t="s">
        <v>14631</v>
      </c>
      <c r="H304" s="261" t="s">
        <v>14632</v>
      </c>
      <c r="I304" s="261"/>
      <c r="J304" s="261"/>
      <c r="K304" s="262"/>
    </row>
    <row r="305" spans="1:11" x14ac:dyDescent="0.2">
      <c r="A305" s="306" t="s">
        <v>20738</v>
      </c>
      <c r="B305" s="261" t="s">
        <v>19220</v>
      </c>
      <c r="C305" s="261" t="s">
        <v>13954</v>
      </c>
      <c r="D305" s="261" t="s">
        <v>18054</v>
      </c>
      <c r="E305" s="261">
        <v>3</v>
      </c>
      <c r="F305" s="261" t="s">
        <v>20740</v>
      </c>
      <c r="G305" s="261" t="s">
        <v>306</v>
      </c>
      <c r="H305" s="261" t="s">
        <v>307</v>
      </c>
      <c r="I305" s="261"/>
      <c r="J305" s="261"/>
      <c r="K305" s="262"/>
    </row>
    <row r="306" spans="1:11" x14ac:dyDescent="0.2">
      <c r="A306" s="306" t="s">
        <v>20738</v>
      </c>
      <c r="B306" s="261" t="s">
        <v>19220</v>
      </c>
      <c r="C306" s="261" t="s">
        <v>13954</v>
      </c>
      <c r="D306" s="261" t="s">
        <v>18054</v>
      </c>
      <c r="E306" s="261">
        <v>4</v>
      </c>
      <c r="F306" s="261" t="s">
        <v>20740</v>
      </c>
      <c r="G306" s="261" t="s">
        <v>14412</v>
      </c>
      <c r="H306" s="261" t="s">
        <v>14413</v>
      </c>
      <c r="I306" s="261"/>
      <c r="J306" s="261"/>
      <c r="K306" s="262"/>
    </row>
    <row r="307" spans="1:11" x14ac:dyDescent="0.2">
      <c r="A307" s="306" t="s">
        <v>20738</v>
      </c>
      <c r="B307" s="261" t="s">
        <v>19222</v>
      </c>
      <c r="C307" s="261" t="s">
        <v>13954</v>
      </c>
      <c r="D307" s="261" t="s">
        <v>18054</v>
      </c>
      <c r="E307" s="261">
        <v>5</v>
      </c>
      <c r="F307" s="261" t="s">
        <v>20741</v>
      </c>
      <c r="G307" s="261" t="s">
        <v>376</v>
      </c>
      <c r="H307" s="261" t="s">
        <v>377</v>
      </c>
      <c r="I307" s="261"/>
      <c r="J307" s="261"/>
      <c r="K307" s="262"/>
    </row>
    <row r="308" spans="1:11" x14ac:dyDescent="0.2">
      <c r="A308" s="306" t="s">
        <v>20738</v>
      </c>
      <c r="B308" s="261" t="s">
        <v>19222</v>
      </c>
      <c r="C308" s="261" t="s">
        <v>13954</v>
      </c>
      <c r="D308" s="261" t="s">
        <v>18054</v>
      </c>
      <c r="E308" s="261">
        <v>6</v>
      </c>
      <c r="F308" s="261" t="s">
        <v>20741</v>
      </c>
      <c r="G308" s="261" t="s">
        <v>14502</v>
      </c>
      <c r="H308" s="261" t="s">
        <v>14503</v>
      </c>
      <c r="I308" s="261"/>
      <c r="J308" s="261"/>
      <c r="K308" s="262"/>
    </row>
    <row r="309" spans="1:11" x14ac:dyDescent="0.2">
      <c r="A309" s="306" t="s">
        <v>20738</v>
      </c>
      <c r="B309" s="261" t="s">
        <v>19224</v>
      </c>
      <c r="C309" s="261" t="s">
        <v>13954</v>
      </c>
      <c r="D309" s="261" t="s">
        <v>18054</v>
      </c>
      <c r="E309" s="261">
        <v>7</v>
      </c>
      <c r="F309" s="261" t="s">
        <v>20742</v>
      </c>
      <c r="G309" s="261" t="s">
        <v>8677</v>
      </c>
      <c r="H309" s="261" t="s">
        <v>8678</v>
      </c>
      <c r="I309" s="261"/>
      <c r="J309" s="261"/>
      <c r="K309" s="262"/>
    </row>
    <row r="310" spans="1:11" x14ac:dyDescent="0.2">
      <c r="A310" s="306" t="s">
        <v>20738</v>
      </c>
      <c r="B310" s="261" t="s">
        <v>19224</v>
      </c>
      <c r="C310" s="261" t="s">
        <v>13954</v>
      </c>
      <c r="D310" s="261" t="s">
        <v>18054</v>
      </c>
      <c r="E310" s="261">
        <v>8</v>
      </c>
      <c r="F310" s="261" t="s">
        <v>20742</v>
      </c>
      <c r="G310" s="261" t="s">
        <v>13951</v>
      </c>
      <c r="H310" s="261" t="s">
        <v>13952</v>
      </c>
      <c r="I310" s="261"/>
      <c r="J310" s="261"/>
      <c r="K310" s="262"/>
    </row>
    <row r="311" spans="1:11" x14ac:dyDescent="0.2">
      <c r="A311" s="306" t="s">
        <v>20738</v>
      </c>
      <c r="B311" s="261" t="s">
        <v>19226</v>
      </c>
      <c r="C311" s="261" t="s">
        <v>13954</v>
      </c>
      <c r="D311" s="261" t="s">
        <v>18054</v>
      </c>
      <c r="E311" s="261">
        <v>9</v>
      </c>
      <c r="F311" s="261" t="s">
        <v>20743</v>
      </c>
      <c r="G311" s="261" t="s">
        <v>1487</v>
      </c>
      <c r="H311" s="261" t="s">
        <v>1488</v>
      </c>
      <c r="I311" s="261"/>
      <c r="J311" s="261"/>
      <c r="K311" s="262"/>
    </row>
    <row r="312" spans="1:11" x14ac:dyDescent="0.2">
      <c r="A312" s="306" t="s">
        <v>20738</v>
      </c>
      <c r="B312" s="261" t="s">
        <v>19226</v>
      </c>
      <c r="C312" s="261" t="s">
        <v>13954</v>
      </c>
      <c r="D312" s="261" t="s">
        <v>18054</v>
      </c>
      <c r="E312" s="261">
        <v>10</v>
      </c>
      <c r="F312" s="261" t="s">
        <v>20743</v>
      </c>
      <c r="G312" s="261" t="s">
        <v>14459</v>
      </c>
      <c r="H312" s="261" t="s">
        <v>14460</v>
      </c>
      <c r="I312" s="261"/>
      <c r="J312" s="261"/>
      <c r="K312" s="262"/>
    </row>
    <row r="313" spans="1:11" x14ac:dyDescent="0.2">
      <c r="A313" s="306" t="s">
        <v>20738</v>
      </c>
      <c r="B313" s="261" t="s">
        <v>19228</v>
      </c>
      <c r="C313" s="261" t="s">
        <v>13954</v>
      </c>
      <c r="D313" s="261" t="s">
        <v>18054</v>
      </c>
      <c r="E313" s="261">
        <v>11</v>
      </c>
      <c r="F313" s="261" t="s">
        <v>20744</v>
      </c>
      <c r="G313" s="261" t="s">
        <v>1582</v>
      </c>
      <c r="H313" s="261" t="s">
        <v>1583</v>
      </c>
      <c r="I313" s="261"/>
      <c r="J313" s="261"/>
      <c r="K313" s="262"/>
    </row>
    <row r="314" spans="1:11" x14ac:dyDescent="0.2">
      <c r="A314" s="306" t="s">
        <v>20738</v>
      </c>
      <c r="B314" s="261" t="s">
        <v>19228</v>
      </c>
      <c r="C314" s="261" t="s">
        <v>13954</v>
      </c>
      <c r="D314" s="261" t="s">
        <v>18054</v>
      </c>
      <c r="E314" s="261">
        <v>12</v>
      </c>
      <c r="F314" s="261" t="s">
        <v>20744</v>
      </c>
      <c r="G314" s="261" t="s">
        <v>14424</v>
      </c>
      <c r="H314" s="261" t="s">
        <v>14425</v>
      </c>
      <c r="I314" s="261"/>
      <c r="J314" s="261"/>
      <c r="K314" s="262"/>
    </row>
    <row r="315" spans="1:11" x14ac:dyDescent="0.2">
      <c r="A315" s="306" t="s">
        <v>20738</v>
      </c>
      <c r="B315" s="261" t="s">
        <v>19230</v>
      </c>
      <c r="C315" s="261" t="s">
        <v>13954</v>
      </c>
      <c r="D315" s="261" t="s">
        <v>18054</v>
      </c>
      <c r="E315" s="261">
        <v>13</v>
      </c>
      <c r="F315" s="261" t="s">
        <v>20745</v>
      </c>
      <c r="G315" s="261" t="s">
        <v>1543</v>
      </c>
      <c r="H315" s="261" t="s">
        <v>1544</v>
      </c>
      <c r="I315" s="261"/>
      <c r="J315" s="261"/>
      <c r="K315" s="262"/>
    </row>
    <row r="316" spans="1:11" x14ac:dyDescent="0.2">
      <c r="A316" s="306" t="s">
        <v>20738</v>
      </c>
      <c r="B316" s="261" t="s">
        <v>19230</v>
      </c>
      <c r="C316" s="261" t="s">
        <v>13954</v>
      </c>
      <c r="D316" s="261" t="s">
        <v>18054</v>
      </c>
      <c r="E316" s="261">
        <v>14</v>
      </c>
      <c r="F316" s="261" t="s">
        <v>20745</v>
      </c>
      <c r="G316" s="261" t="s">
        <v>14551</v>
      </c>
      <c r="H316" s="261" t="s">
        <v>14552</v>
      </c>
      <c r="I316" s="261"/>
      <c r="J316" s="261"/>
      <c r="K316" s="262"/>
    </row>
    <row r="317" spans="1:11" x14ac:dyDescent="0.2">
      <c r="A317" s="306" t="s">
        <v>20738</v>
      </c>
      <c r="B317" s="261" t="s">
        <v>19232</v>
      </c>
      <c r="C317" s="261" t="s">
        <v>13954</v>
      </c>
      <c r="D317" s="261" t="s">
        <v>18054</v>
      </c>
      <c r="E317" s="261">
        <v>15</v>
      </c>
      <c r="F317" s="261" t="s">
        <v>20746</v>
      </c>
      <c r="G317" s="261" t="s">
        <v>9593</v>
      </c>
      <c r="H317" s="261" t="s">
        <v>9594</v>
      </c>
      <c r="I317" s="261"/>
      <c r="J317" s="261"/>
      <c r="K317" s="262"/>
    </row>
    <row r="318" spans="1:11" x14ac:dyDescent="0.2">
      <c r="A318" s="306" t="s">
        <v>20738</v>
      </c>
      <c r="B318" s="261" t="s">
        <v>19232</v>
      </c>
      <c r="C318" s="261" t="s">
        <v>13954</v>
      </c>
      <c r="D318" s="261" t="s">
        <v>18054</v>
      </c>
      <c r="E318" s="261">
        <v>16</v>
      </c>
      <c r="F318" s="261" t="s">
        <v>20746</v>
      </c>
      <c r="G318" s="261" t="s">
        <v>14113</v>
      </c>
      <c r="H318" s="261" t="s">
        <v>14114</v>
      </c>
      <c r="I318" s="261"/>
      <c r="J318" s="261"/>
      <c r="K318" s="262"/>
    </row>
    <row r="319" spans="1:11" x14ac:dyDescent="0.2">
      <c r="A319" s="306" t="s">
        <v>20738</v>
      </c>
      <c r="B319" s="261" t="s">
        <v>19234</v>
      </c>
      <c r="C319" s="261" t="s">
        <v>13954</v>
      </c>
      <c r="D319" s="261" t="s">
        <v>18054</v>
      </c>
      <c r="E319" s="261">
        <v>17</v>
      </c>
      <c r="F319" s="261" t="s">
        <v>20747</v>
      </c>
      <c r="G319" s="261" t="s">
        <v>2161</v>
      </c>
      <c r="H319" s="261" t="s">
        <v>2162</v>
      </c>
      <c r="I319" s="261"/>
      <c r="J319" s="261"/>
      <c r="K319" s="262"/>
    </row>
    <row r="320" spans="1:11" x14ac:dyDescent="0.2">
      <c r="A320" s="306" t="s">
        <v>20738</v>
      </c>
      <c r="B320" s="261" t="s">
        <v>19234</v>
      </c>
      <c r="C320" s="261" t="s">
        <v>13954</v>
      </c>
      <c r="D320" s="261" t="s">
        <v>18054</v>
      </c>
      <c r="E320" s="261">
        <v>18</v>
      </c>
      <c r="F320" s="261" t="s">
        <v>20747</v>
      </c>
      <c r="G320" s="261" t="s">
        <v>14618</v>
      </c>
      <c r="H320" s="261" t="s">
        <v>14619</v>
      </c>
      <c r="I320" s="261"/>
      <c r="J320" s="261"/>
      <c r="K320" s="262"/>
    </row>
    <row r="321" spans="1:11" x14ac:dyDescent="0.2">
      <c r="A321" s="306" t="s">
        <v>20738</v>
      </c>
      <c r="B321" s="261" t="s">
        <v>19236</v>
      </c>
      <c r="C321" s="261" t="s">
        <v>13954</v>
      </c>
      <c r="D321" s="261" t="s">
        <v>18054</v>
      </c>
      <c r="E321" s="261">
        <v>19</v>
      </c>
      <c r="F321" s="261" t="s">
        <v>20748</v>
      </c>
      <c r="G321" s="261" t="s">
        <v>2578</v>
      </c>
      <c r="H321" s="261" t="s">
        <v>2579</v>
      </c>
      <c r="I321" s="261"/>
      <c r="J321" s="261"/>
      <c r="K321" s="262"/>
    </row>
    <row r="322" spans="1:11" x14ac:dyDescent="0.2">
      <c r="A322" s="306" t="s">
        <v>20738</v>
      </c>
      <c r="B322" s="261" t="s">
        <v>19236</v>
      </c>
      <c r="C322" s="261" t="s">
        <v>13954</v>
      </c>
      <c r="D322" s="261" t="s">
        <v>18054</v>
      </c>
      <c r="E322" s="261">
        <v>20</v>
      </c>
      <c r="F322" s="261" t="s">
        <v>20748</v>
      </c>
      <c r="G322" s="261" t="s">
        <v>14418</v>
      </c>
      <c r="H322" s="261" t="s">
        <v>14419</v>
      </c>
      <c r="I322" s="261"/>
      <c r="J322" s="261"/>
      <c r="K322" s="262"/>
    </row>
    <row r="323" spans="1:11" x14ac:dyDescent="0.2">
      <c r="A323" s="306" t="s">
        <v>20738</v>
      </c>
      <c r="B323" s="261" t="s">
        <v>19238</v>
      </c>
      <c r="C323" s="261" t="s">
        <v>13954</v>
      </c>
      <c r="D323" s="261" t="s">
        <v>18054</v>
      </c>
      <c r="E323" s="261">
        <v>21</v>
      </c>
      <c r="F323" s="261" t="s">
        <v>20749</v>
      </c>
      <c r="G323" s="261" t="s">
        <v>2539</v>
      </c>
      <c r="H323" s="261" t="s">
        <v>2540</v>
      </c>
      <c r="I323" s="261"/>
      <c r="J323" s="261"/>
      <c r="K323" s="262"/>
    </row>
    <row r="324" spans="1:11" x14ac:dyDescent="0.2">
      <c r="A324" s="306" t="s">
        <v>20738</v>
      </c>
      <c r="B324" s="261" t="s">
        <v>19238</v>
      </c>
      <c r="C324" s="261" t="s">
        <v>13954</v>
      </c>
      <c r="D324" s="261" t="s">
        <v>18054</v>
      </c>
      <c r="E324" s="261">
        <v>22</v>
      </c>
      <c r="F324" s="261" t="s">
        <v>20749</v>
      </c>
      <c r="G324" s="261" t="s">
        <v>14406</v>
      </c>
      <c r="H324" s="261" t="s">
        <v>14407</v>
      </c>
      <c r="I324" s="261"/>
      <c r="J324" s="261"/>
      <c r="K324" s="262"/>
    </row>
    <row r="325" spans="1:11" x14ac:dyDescent="0.2">
      <c r="A325" s="306" t="s">
        <v>20738</v>
      </c>
      <c r="B325" s="261" t="s">
        <v>19240</v>
      </c>
      <c r="C325" s="261" t="s">
        <v>13954</v>
      </c>
      <c r="D325" s="261" t="s">
        <v>18054</v>
      </c>
      <c r="E325" s="261">
        <v>23</v>
      </c>
      <c r="F325" s="261" t="s">
        <v>20750</v>
      </c>
      <c r="G325" s="261" t="s">
        <v>9625</v>
      </c>
      <c r="H325" s="261" t="s">
        <v>9626</v>
      </c>
      <c r="I325" s="261"/>
      <c r="J325" s="261"/>
      <c r="K325" s="262"/>
    </row>
    <row r="326" spans="1:11" x14ac:dyDescent="0.2">
      <c r="A326" s="306" t="s">
        <v>20738</v>
      </c>
      <c r="B326" s="261" t="s">
        <v>19240</v>
      </c>
      <c r="C326" s="261" t="s">
        <v>13954</v>
      </c>
      <c r="D326" s="261" t="s">
        <v>18054</v>
      </c>
      <c r="E326" s="261">
        <v>24</v>
      </c>
      <c r="F326" s="261" t="s">
        <v>20750</v>
      </c>
      <c r="G326" s="261" t="s">
        <v>13995</v>
      </c>
      <c r="H326" s="261" t="s">
        <v>13996</v>
      </c>
      <c r="I326" s="261"/>
      <c r="J326" s="261"/>
      <c r="K326" s="262"/>
    </row>
    <row r="327" spans="1:11" x14ac:dyDescent="0.2">
      <c r="A327" s="306" t="s">
        <v>20738</v>
      </c>
      <c r="B327" s="261" t="s">
        <v>19242</v>
      </c>
      <c r="C327" s="261" t="s">
        <v>13954</v>
      </c>
      <c r="D327" s="261" t="s">
        <v>18054</v>
      </c>
      <c r="E327" s="261">
        <v>25</v>
      </c>
      <c r="F327" s="261" t="s">
        <v>20751</v>
      </c>
      <c r="G327" s="261" t="s">
        <v>3482</v>
      </c>
      <c r="H327" s="261" t="s">
        <v>3483</v>
      </c>
      <c r="I327" s="261"/>
      <c r="J327" s="261"/>
      <c r="K327" s="262"/>
    </row>
    <row r="328" spans="1:11" x14ac:dyDescent="0.2">
      <c r="A328" s="306" t="s">
        <v>20738</v>
      </c>
      <c r="B328" s="261" t="s">
        <v>19242</v>
      </c>
      <c r="C328" s="261" t="s">
        <v>13954</v>
      </c>
      <c r="D328" s="261" t="s">
        <v>18054</v>
      </c>
      <c r="E328" s="261">
        <v>26</v>
      </c>
      <c r="F328" s="261" t="s">
        <v>20751</v>
      </c>
      <c r="G328" s="261" t="s">
        <v>14644</v>
      </c>
      <c r="H328" s="261" t="s">
        <v>14645</v>
      </c>
      <c r="I328" s="261"/>
      <c r="J328" s="261"/>
      <c r="K328" s="262"/>
    </row>
    <row r="329" spans="1:11" x14ac:dyDescent="0.2">
      <c r="A329" s="306" t="s">
        <v>20738</v>
      </c>
      <c r="B329" s="261" t="s">
        <v>19244</v>
      </c>
      <c r="C329" s="261" t="s">
        <v>13954</v>
      </c>
      <c r="D329" s="261" t="s">
        <v>18054</v>
      </c>
      <c r="E329" s="261">
        <v>27</v>
      </c>
      <c r="F329" s="261" t="s">
        <v>20752</v>
      </c>
      <c r="G329" s="261" t="s">
        <v>3144</v>
      </c>
      <c r="H329" s="261" t="s">
        <v>3145</v>
      </c>
      <c r="I329" s="261"/>
      <c r="J329" s="261"/>
      <c r="K329" s="262"/>
    </row>
    <row r="330" spans="1:11" x14ac:dyDescent="0.2">
      <c r="A330" s="306" t="s">
        <v>20738</v>
      </c>
      <c r="B330" s="261" t="s">
        <v>19244</v>
      </c>
      <c r="C330" s="261" t="s">
        <v>13954</v>
      </c>
      <c r="D330" s="261" t="s">
        <v>18054</v>
      </c>
      <c r="E330" s="261">
        <v>28</v>
      </c>
      <c r="F330" s="261" t="s">
        <v>20752</v>
      </c>
      <c r="G330" s="261" t="s">
        <v>14415</v>
      </c>
      <c r="H330" s="261" t="s">
        <v>14416</v>
      </c>
      <c r="I330" s="261"/>
      <c r="J330" s="261"/>
      <c r="K330" s="262"/>
    </row>
    <row r="331" spans="1:11" x14ac:dyDescent="0.2">
      <c r="A331" s="306" t="s">
        <v>20738</v>
      </c>
      <c r="B331" s="261" t="s">
        <v>19246</v>
      </c>
      <c r="C331" s="261" t="s">
        <v>13954</v>
      </c>
      <c r="D331" s="261" t="s">
        <v>18054</v>
      </c>
      <c r="E331" s="261">
        <v>29</v>
      </c>
      <c r="F331" s="261" t="s">
        <v>20753</v>
      </c>
      <c r="G331" s="261" t="s">
        <v>3640</v>
      </c>
      <c r="H331" s="261" t="s">
        <v>3641</v>
      </c>
      <c r="I331" s="261"/>
      <c r="J331" s="261"/>
      <c r="K331" s="262"/>
    </row>
    <row r="332" spans="1:11" x14ac:dyDescent="0.2">
      <c r="A332" s="306" t="s">
        <v>20738</v>
      </c>
      <c r="B332" s="261" t="s">
        <v>19246</v>
      </c>
      <c r="C332" s="261" t="s">
        <v>13954</v>
      </c>
      <c r="D332" s="261" t="s">
        <v>18054</v>
      </c>
      <c r="E332" s="261">
        <v>30</v>
      </c>
      <c r="F332" s="261" t="s">
        <v>20753</v>
      </c>
      <c r="G332" s="261" t="s">
        <v>14625</v>
      </c>
      <c r="H332" s="261" t="s">
        <v>14626</v>
      </c>
      <c r="I332" s="261"/>
      <c r="J332" s="261"/>
      <c r="K332" s="262"/>
    </row>
    <row r="333" spans="1:11" x14ac:dyDescent="0.2">
      <c r="A333" s="306" t="s">
        <v>20738</v>
      </c>
      <c r="B333" s="261" t="s">
        <v>19248</v>
      </c>
      <c r="C333" s="261" t="s">
        <v>13954</v>
      </c>
      <c r="D333" s="261" t="s">
        <v>18054</v>
      </c>
      <c r="E333" s="261">
        <v>31</v>
      </c>
      <c r="F333" s="261" t="s">
        <v>20754</v>
      </c>
      <c r="G333" s="261" t="s">
        <v>9525</v>
      </c>
      <c r="H333" s="261" t="s">
        <v>9526</v>
      </c>
      <c r="I333" s="261"/>
      <c r="J333" s="261"/>
      <c r="K333" s="262"/>
    </row>
    <row r="334" spans="1:11" x14ac:dyDescent="0.2">
      <c r="A334" s="306" t="s">
        <v>20738</v>
      </c>
      <c r="B334" s="261" t="s">
        <v>19248</v>
      </c>
      <c r="C334" s="261" t="s">
        <v>13954</v>
      </c>
      <c r="D334" s="261" t="s">
        <v>18054</v>
      </c>
      <c r="E334" s="261">
        <v>32</v>
      </c>
      <c r="F334" s="261" t="s">
        <v>20754</v>
      </c>
      <c r="G334" s="261" t="s">
        <v>14069</v>
      </c>
      <c r="H334" s="261" t="s">
        <v>14070</v>
      </c>
      <c r="I334" s="261"/>
      <c r="J334" s="261"/>
      <c r="K334" s="262"/>
    </row>
    <row r="335" spans="1:11" x14ac:dyDescent="0.2">
      <c r="A335" s="306" t="s">
        <v>20738</v>
      </c>
      <c r="B335" s="261" t="s">
        <v>19250</v>
      </c>
      <c r="C335" s="261" t="s">
        <v>13954</v>
      </c>
      <c r="D335" s="261" t="s">
        <v>18054</v>
      </c>
      <c r="E335" s="261">
        <v>33</v>
      </c>
      <c r="F335" s="261" t="s">
        <v>20755</v>
      </c>
      <c r="G335" s="261" t="s">
        <v>3964</v>
      </c>
      <c r="H335" s="261" t="s">
        <v>3965</v>
      </c>
      <c r="I335" s="261"/>
      <c r="J335" s="261"/>
      <c r="K335" s="262"/>
    </row>
    <row r="336" spans="1:11" x14ac:dyDescent="0.2">
      <c r="A336" s="306" t="s">
        <v>20738</v>
      </c>
      <c r="B336" s="261" t="s">
        <v>19250</v>
      </c>
      <c r="C336" s="261" t="s">
        <v>13954</v>
      </c>
      <c r="D336" s="261" t="s">
        <v>18054</v>
      </c>
      <c r="E336" s="261">
        <v>34</v>
      </c>
      <c r="F336" s="261" t="s">
        <v>20755</v>
      </c>
      <c r="G336" s="261" t="s">
        <v>14535</v>
      </c>
      <c r="H336" s="261" t="s">
        <v>14536</v>
      </c>
      <c r="I336" s="261"/>
      <c r="J336" s="261"/>
      <c r="K336" s="262"/>
    </row>
    <row r="337" spans="1:11" x14ac:dyDescent="0.2">
      <c r="A337" s="306" t="s">
        <v>20738</v>
      </c>
      <c r="B337" s="261" t="s">
        <v>19252</v>
      </c>
      <c r="C337" s="261" t="s">
        <v>13954</v>
      </c>
      <c r="D337" s="261" t="s">
        <v>18054</v>
      </c>
      <c r="E337" s="261">
        <v>35</v>
      </c>
      <c r="F337" s="261" t="s">
        <v>20756</v>
      </c>
      <c r="G337" s="261" t="s">
        <v>3861</v>
      </c>
      <c r="H337" s="261" t="s">
        <v>3862</v>
      </c>
      <c r="I337" s="261"/>
      <c r="J337" s="261"/>
      <c r="K337" s="262"/>
    </row>
    <row r="338" spans="1:11" x14ac:dyDescent="0.2">
      <c r="A338" s="306" t="s">
        <v>20738</v>
      </c>
      <c r="B338" s="261" t="s">
        <v>19252</v>
      </c>
      <c r="C338" s="261" t="s">
        <v>13954</v>
      </c>
      <c r="D338" s="261" t="s">
        <v>18054</v>
      </c>
      <c r="E338" s="261">
        <v>36</v>
      </c>
      <c r="F338" s="261" t="s">
        <v>20756</v>
      </c>
      <c r="G338" s="261" t="s">
        <v>14421</v>
      </c>
      <c r="H338" s="261" t="s">
        <v>14422</v>
      </c>
      <c r="I338" s="261"/>
      <c r="J338" s="261"/>
      <c r="K338" s="262"/>
    </row>
    <row r="339" spans="1:11" x14ac:dyDescent="0.2">
      <c r="A339" s="306" t="s">
        <v>20738</v>
      </c>
      <c r="B339" s="261" t="s">
        <v>19254</v>
      </c>
      <c r="C339" s="261" t="s">
        <v>13954</v>
      </c>
      <c r="D339" s="261" t="s">
        <v>18054</v>
      </c>
      <c r="E339" s="261">
        <v>37</v>
      </c>
      <c r="F339" s="261" t="s">
        <v>20757</v>
      </c>
      <c r="G339" s="261" t="s">
        <v>4430</v>
      </c>
      <c r="H339" s="261" t="s">
        <v>4431</v>
      </c>
      <c r="I339" s="261"/>
      <c r="J339" s="261"/>
      <c r="K339" s="262"/>
    </row>
    <row r="340" spans="1:11" x14ac:dyDescent="0.2">
      <c r="A340" s="306" t="s">
        <v>20738</v>
      </c>
      <c r="B340" s="261" t="s">
        <v>19254</v>
      </c>
      <c r="C340" s="261" t="s">
        <v>13954</v>
      </c>
      <c r="D340" s="261" t="s">
        <v>18054</v>
      </c>
      <c r="E340" s="261">
        <v>38</v>
      </c>
      <c r="F340" s="261" t="s">
        <v>20757</v>
      </c>
      <c r="G340" s="261" t="s">
        <v>14636</v>
      </c>
      <c r="H340" s="261" t="s">
        <v>14637</v>
      </c>
      <c r="I340" s="261"/>
      <c r="J340" s="261"/>
      <c r="K340" s="262"/>
    </row>
    <row r="341" spans="1:11" x14ac:dyDescent="0.2">
      <c r="A341" s="306" t="s">
        <v>20738</v>
      </c>
      <c r="B341" s="261" t="s">
        <v>19256</v>
      </c>
      <c r="C341" s="261" t="s">
        <v>13954</v>
      </c>
      <c r="D341" s="261" t="s">
        <v>18054</v>
      </c>
      <c r="E341" s="261">
        <v>39</v>
      </c>
      <c r="F341" s="261" t="s">
        <v>20758</v>
      </c>
      <c r="G341" s="261" t="s">
        <v>9704</v>
      </c>
      <c r="H341" s="261" t="s">
        <v>9705</v>
      </c>
      <c r="I341" s="261"/>
      <c r="J341" s="261"/>
      <c r="K341" s="262"/>
    </row>
    <row r="342" spans="1:11" x14ac:dyDescent="0.2">
      <c r="A342" s="306" t="s">
        <v>20738</v>
      </c>
      <c r="B342" s="261" t="s">
        <v>19256</v>
      </c>
      <c r="C342" s="261" t="s">
        <v>13954</v>
      </c>
      <c r="D342" s="261" t="s">
        <v>18054</v>
      </c>
      <c r="E342" s="261">
        <v>40</v>
      </c>
      <c r="F342" s="261" t="s">
        <v>20758</v>
      </c>
      <c r="G342" s="261" t="s">
        <v>14098</v>
      </c>
      <c r="H342" s="261" t="s">
        <v>8666</v>
      </c>
      <c r="I342" s="261"/>
      <c r="J342" s="261"/>
      <c r="K342" s="262"/>
    </row>
    <row r="343" spans="1:11" x14ac:dyDescent="0.2">
      <c r="A343" s="306" t="s">
        <v>20759</v>
      </c>
      <c r="B343" s="261" t="s">
        <v>19383</v>
      </c>
      <c r="C343" s="261" t="s">
        <v>19374</v>
      </c>
      <c r="D343" s="261" t="s">
        <v>18054</v>
      </c>
      <c r="E343" s="261">
        <v>1</v>
      </c>
      <c r="F343" s="261" t="s">
        <v>20760</v>
      </c>
      <c r="G343" s="261" t="s">
        <v>20091</v>
      </c>
      <c r="H343" s="261" t="s">
        <v>20092</v>
      </c>
      <c r="I343" s="261"/>
      <c r="J343" s="261"/>
      <c r="K343" s="262"/>
    </row>
    <row r="344" spans="1:11" x14ac:dyDescent="0.2">
      <c r="A344" s="306" t="s">
        <v>20759</v>
      </c>
      <c r="B344" s="261" t="s">
        <v>19560</v>
      </c>
      <c r="C344" s="261" t="s">
        <v>19374</v>
      </c>
      <c r="D344" s="261" t="s">
        <v>18054</v>
      </c>
      <c r="E344" s="261">
        <v>2</v>
      </c>
      <c r="F344" s="261" t="s">
        <v>20761</v>
      </c>
      <c r="G344" s="261" t="s">
        <v>20093</v>
      </c>
      <c r="H344" s="261" t="s">
        <v>20094</v>
      </c>
      <c r="I344" s="261"/>
      <c r="J344" s="261"/>
      <c r="K344" s="262"/>
    </row>
    <row r="345" spans="1:11" x14ac:dyDescent="0.2">
      <c r="A345" s="306" t="s">
        <v>20759</v>
      </c>
      <c r="B345" s="261" t="s">
        <v>19386</v>
      </c>
      <c r="C345" s="261" t="s">
        <v>19374</v>
      </c>
      <c r="D345" s="261" t="s">
        <v>18054</v>
      </c>
      <c r="E345" s="261">
        <v>3</v>
      </c>
      <c r="F345" s="261" t="s">
        <v>20762</v>
      </c>
      <c r="G345" s="261" t="s">
        <v>20095</v>
      </c>
      <c r="H345" s="261" t="s">
        <v>20096</v>
      </c>
      <c r="I345" s="261"/>
      <c r="J345" s="261"/>
      <c r="K345" s="262"/>
    </row>
    <row r="346" spans="1:11" x14ac:dyDescent="0.2">
      <c r="A346" s="306" t="s">
        <v>20759</v>
      </c>
      <c r="B346" s="261" t="s">
        <v>19388</v>
      </c>
      <c r="C346" s="261" t="s">
        <v>19374</v>
      </c>
      <c r="D346" s="261" t="s">
        <v>18054</v>
      </c>
      <c r="E346" s="261">
        <v>4</v>
      </c>
      <c r="F346" s="261" t="s">
        <v>20763</v>
      </c>
      <c r="G346" s="261" t="s">
        <v>20097</v>
      </c>
      <c r="H346" s="261" t="s">
        <v>20098</v>
      </c>
      <c r="I346" s="261"/>
      <c r="J346" s="261"/>
      <c r="K346" s="262"/>
    </row>
    <row r="347" spans="1:11" x14ac:dyDescent="0.2">
      <c r="A347" s="306" t="s">
        <v>20759</v>
      </c>
      <c r="B347" s="261" t="s">
        <v>19563</v>
      </c>
      <c r="C347" s="261" t="s">
        <v>19374</v>
      </c>
      <c r="D347" s="261" t="s">
        <v>18054</v>
      </c>
      <c r="E347" s="261">
        <v>5</v>
      </c>
      <c r="F347" s="261" t="s">
        <v>20764</v>
      </c>
      <c r="G347" s="261" t="s">
        <v>20099</v>
      </c>
      <c r="H347" s="261" t="s">
        <v>20100</v>
      </c>
      <c r="I347" s="261"/>
      <c r="J347" s="261"/>
      <c r="K347" s="262"/>
    </row>
    <row r="348" spans="1:11" x14ac:dyDescent="0.2">
      <c r="A348" s="306" t="s">
        <v>20759</v>
      </c>
      <c r="B348" s="261" t="s">
        <v>137</v>
      </c>
      <c r="C348" s="261" t="s">
        <v>19374</v>
      </c>
      <c r="D348" s="261" t="s">
        <v>18054</v>
      </c>
      <c r="E348" s="261">
        <v>6</v>
      </c>
      <c r="F348" s="261" t="s">
        <v>20765</v>
      </c>
      <c r="G348" s="261" t="s">
        <v>770</v>
      </c>
      <c r="H348" s="261" t="s">
        <v>771</v>
      </c>
      <c r="I348" s="261"/>
      <c r="J348" s="261"/>
      <c r="K348" s="262"/>
    </row>
    <row r="349" spans="1:11" x14ac:dyDescent="0.2">
      <c r="A349" s="306" t="s">
        <v>20759</v>
      </c>
      <c r="B349" s="261" t="s">
        <v>137</v>
      </c>
      <c r="C349" s="261" t="s">
        <v>19374</v>
      </c>
      <c r="D349" s="261" t="s">
        <v>18054</v>
      </c>
      <c r="E349" s="261">
        <v>7</v>
      </c>
      <c r="F349" s="261" t="s">
        <v>20766</v>
      </c>
      <c r="G349" s="261" t="s">
        <v>2565</v>
      </c>
      <c r="H349" s="261" t="s">
        <v>2566</v>
      </c>
      <c r="I349" s="261"/>
      <c r="J349" s="261"/>
      <c r="K349" s="262"/>
    </row>
    <row r="350" spans="1:11" x14ac:dyDescent="0.2">
      <c r="A350" s="306" t="s">
        <v>20759</v>
      </c>
      <c r="B350" s="261" t="s">
        <v>137</v>
      </c>
      <c r="C350" s="261" t="s">
        <v>19374</v>
      </c>
      <c r="D350" s="261" t="s">
        <v>18054</v>
      </c>
      <c r="E350" s="261">
        <v>8</v>
      </c>
      <c r="F350" s="261" t="s">
        <v>20767</v>
      </c>
      <c r="G350" s="261" t="s">
        <v>900</v>
      </c>
      <c r="H350" s="261" t="s">
        <v>901</v>
      </c>
      <c r="I350" s="261"/>
      <c r="J350" s="261"/>
      <c r="K350" s="262"/>
    </row>
    <row r="351" spans="1:11" x14ac:dyDescent="0.2">
      <c r="A351" s="306" t="s">
        <v>20759</v>
      </c>
      <c r="B351" s="261" t="s">
        <v>137</v>
      </c>
      <c r="C351" s="261" t="s">
        <v>19374</v>
      </c>
      <c r="D351" s="261" t="s">
        <v>18054</v>
      </c>
      <c r="E351" s="261">
        <v>9</v>
      </c>
      <c r="F351" s="261" t="s">
        <v>20768</v>
      </c>
      <c r="G351" s="261" t="s">
        <v>607</v>
      </c>
      <c r="H351" s="261" t="s">
        <v>608</v>
      </c>
      <c r="I351" s="261"/>
      <c r="J351" s="261"/>
      <c r="K351" s="262"/>
    </row>
    <row r="352" spans="1:11" x14ac:dyDescent="0.2">
      <c r="A352" s="306" t="s">
        <v>20759</v>
      </c>
      <c r="B352" s="261" t="s">
        <v>137</v>
      </c>
      <c r="C352" s="261" t="s">
        <v>19374</v>
      </c>
      <c r="D352" s="261" t="s">
        <v>18054</v>
      </c>
      <c r="E352" s="261">
        <v>10</v>
      </c>
      <c r="F352" s="261" t="s">
        <v>20769</v>
      </c>
      <c r="G352" s="261" t="s">
        <v>1555</v>
      </c>
      <c r="H352" s="261" t="s">
        <v>1556</v>
      </c>
      <c r="I352" s="261"/>
      <c r="J352" s="261"/>
      <c r="K352" s="262"/>
    </row>
    <row r="353" spans="1:11" x14ac:dyDescent="0.2">
      <c r="A353" s="306" t="s">
        <v>20759</v>
      </c>
      <c r="B353" s="261" t="s">
        <v>137</v>
      </c>
      <c r="C353" s="261" t="s">
        <v>19374</v>
      </c>
      <c r="D353" s="261" t="s">
        <v>18054</v>
      </c>
      <c r="E353" s="261">
        <v>11</v>
      </c>
      <c r="F353" s="261" t="s">
        <v>20770</v>
      </c>
      <c r="G353" s="261" t="s">
        <v>2116</v>
      </c>
      <c r="H353" s="261" t="s">
        <v>2117</v>
      </c>
      <c r="I353" s="261"/>
      <c r="J353" s="261"/>
      <c r="K353" s="262"/>
    </row>
    <row r="354" spans="1:11" x14ac:dyDescent="0.2">
      <c r="A354" s="306" t="s">
        <v>20759</v>
      </c>
      <c r="B354" s="261" t="s">
        <v>19416</v>
      </c>
      <c r="C354" s="261" t="s">
        <v>19374</v>
      </c>
      <c r="D354" s="261" t="s">
        <v>18054</v>
      </c>
      <c r="E354" s="261">
        <v>12</v>
      </c>
      <c r="F354" s="261" t="s">
        <v>20771</v>
      </c>
      <c r="G354" s="261" t="s">
        <v>710</v>
      </c>
      <c r="H354" s="261" t="s">
        <v>711</v>
      </c>
      <c r="I354" s="261"/>
      <c r="J354" s="261"/>
      <c r="K354" s="262"/>
    </row>
    <row r="355" spans="1:11" x14ac:dyDescent="0.2">
      <c r="A355" s="306" t="s">
        <v>20759</v>
      </c>
      <c r="B355" s="261" t="s">
        <v>19419</v>
      </c>
      <c r="C355" s="261" t="s">
        <v>19374</v>
      </c>
      <c r="D355" s="261" t="s">
        <v>18054</v>
      </c>
      <c r="E355" s="261">
        <v>13</v>
      </c>
      <c r="F355" s="261" t="s">
        <v>20772</v>
      </c>
      <c r="G355" s="261" t="s">
        <v>1754</v>
      </c>
      <c r="H355" s="261" t="s">
        <v>1755</v>
      </c>
      <c r="I355" s="261"/>
      <c r="J355" s="261"/>
      <c r="K355" s="262"/>
    </row>
    <row r="356" spans="1:11" x14ac:dyDescent="0.2">
      <c r="A356" s="306" t="s">
        <v>20759</v>
      </c>
      <c r="B356" s="261" t="s">
        <v>19585</v>
      </c>
      <c r="C356" s="261" t="s">
        <v>19374</v>
      </c>
      <c r="D356" s="261" t="s">
        <v>18054</v>
      </c>
      <c r="E356" s="261">
        <v>14</v>
      </c>
      <c r="F356" s="261" t="s">
        <v>20773</v>
      </c>
      <c r="G356" s="261" t="s">
        <v>2010</v>
      </c>
      <c r="H356" s="261" t="s">
        <v>2011</v>
      </c>
      <c r="I356" s="261"/>
      <c r="J356" s="261"/>
      <c r="K356" s="262"/>
    </row>
    <row r="357" spans="1:11" x14ac:dyDescent="0.2">
      <c r="A357" s="306" t="s">
        <v>20759</v>
      </c>
      <c r="B357" s="261" t="s">
        <v>19421</v>
      </c>
      <c r="C357" s="261" t="s">
        <v>19374</v>
      </c>
      <c r="D357" s="261" t="s">
        <v>18054</v>
      </c>
      <c r="E357" s="261">
        <v>15</v>
      </c>
      <c r="F357" s="261" t="s">
        <v>20774</v>
      </c>
      <c r="G357" s="261" t="s">
        <v>2900</v>
      </c>
      <c r="H357" s="261" t="s">
        <v>2901</v>
      </c>
      <c r="I357" s="261"/>
      <c r="J357" s="261"/>
      <c r="K357" s="262"/>
    </row>
    <row r="358" spans="1:11" x14ac:dyDescent="0.2">
      <c r="A358" s="306" t="s">
        <v>20759</v>
      </c>
      <c r="B358" s="261" t="s">
        <v>19423</v>
      </c>
      <c r="C358" s="261" t="s">
        <v>19374</v>
      </c>
      <c r="D358" s="261" t="s">
        <v>18054</v>
      </c>
      <c r="E358" s="261">
        <v>16</v>
      </c>
      <c r="F358" s="261" t="s">
        <v>20775</v>
      </c>
      <c r="G358" s="261" t="s">
        <v>3905</v>
      </c>
      <c r="H358" s="261" t="s">
        <v>3906</v>
      </c>
      <c r="I358" s="261"/>
      <c r="J358" s="261"/>
      <c r="K358" s="262"/>
    </row>
    <row r="359" spans="1:11" x14ac:dyDescent="0.2">
      <c r="A359" s="306" t="s">
        <v>20759</v>
      </c>
      <c r="B359" s="261" t="s">
        <v>19425</v>
      </c>
      <c r="C359" s="261" t="s">
        <v>19374</v>
      </c>
      <c r="D359" s="261" t="s">
        <v>18054</v>
      </c>
      <c r="E359" s="261">
        <v>17</v>
      </c>
      <c r="F359" s="261" t="s">
        <v>20776</v>
      </c>
      <c r="G359" s="261" t="s">
        <v>9852</v>
      </c>
      <c r="H359" s="261" t="s">
        <v>9853</v>
      </c>
      <c r="I359" s="261"/>
      <c r="J359" s="261"/>
      <c r="K359" s="262"/>
    </row>
    <row r="360" spans="1:11" x14ac:dyDescent="0.2">
      <c r="A360" s="306" t="s">
        <v>20759</v>
      </c>
      <c r="B360" s="261" t="s">
        <v>19427</v>
      </c>
      <c r="C360" s="261" t="s">
        <v>19374</v>
      </c>
      <c r="D360" s="261" t="s">
        <v>18054</v>
      </c>
      <c r="E360" s="261">
        <v>18</v>
      </c>
      <c r="F360" s="261" t="s">
        <v>20777</v>
      </c>
      <c r="G360" s="261" t="s">
        <v>9367</v>
      </c>
      <c r="H360" s="261" t="s">
        <v>9368</v>
      </c>
      <c r="I360" s="261"/>
      <c r="J360" s="261"/>
      <c r="K360" s="262"/>
    </row>
    <row r="361" spans="1:11" x14ac:dyDescent="0.2">
      <c r="A361" s="306" t="s">
        <v>20759</v>
      </c>
      <c r="B361" s="261" t="s">
        <v>19429</v>
      </c>
      <c r="C361" s="261" t="s">
        <v>19374</v>
      </c>
      <c r="D361" s="261" t="s">
        <v>18054</v>
      </c>
      <c r="E361" s="261">
        <v>19</v>
      </c>
      <c r="F361" s="261" t="s">
        <v>20778</v>
      </c>
      <c r="G361" s="261" t="s">
        <v>9830</v>
      </c>
      <c r="H361" s="261" t="s">
        <v>9831</v>
      </c>
      <c r="I361" s="261"/>
      <c r="J361" s="261"/>
      <c r="K361" s="262"/>
    </row>
    <row r="362" spans="1:11" x14ac:dyDescent="0.2">
      <c r="A362" s="306" t="s">
        <v>20759</v>
      </c>
      <c r="B362" s="261" t="s">
        <v>19431</v>
      </c>
      <c r="C362" s="261" t="s">
        <v>19374</v>
      </c>
      <c r="D362" s="261" t="s">
        <v>18054</v>
      </c>
      <c r="E362" s="261">
        <v>20</v>
      </c>
      <c r="F362" s="261" t="s">
        <v>20779</v>
      </c>
      <c r="G362" s="261" t="s">
        <v>9335</v>
      </c>
      <c r="H362" s="261" t="s">
        <v>9336</v>
      </c>
      <c r="I362" s="261"/>
      <c r="J362" s="261"/>
      <c r="K362" s="262"/>
    </row>
    <row r="363" spans="1:11" x14ac:dyDescent="0.2">
      <c r="A363" s="306" t="s">
        <v>20759</v>
      </c>
      <c r="B363" s="261" t="s">
        <v>19433</v>
      </c>
      <c r="C363" s="261" t="s">
        <v>19374</v>
      </c>
      <c r="D363" s="261" t="s">
        <v>18054</v>
      </c>
      <c r="E363" s="261">
        <v>21</v>
      </c>
      <c r="F363" s="261" t="s">
        <v>20780</v>
      </c>
      <c r="G363" s="261" t="s">
        <v>9394</v>
      </c>
      <c r="H363" s="261" t="s">
        <v>9395</v>
      </c>
      <c r="I363" s="261"/>
      <c r="J363" s="261"/>
      <c r="K363" s="262"/>
    </row>
    <row r="364" spans="1:11" x14ac:dyDescent="0.2">
      <c r="A364" s="306" t="s">
        <v>20759</v>
      </c>
      <c r="B364" s="261" t="s">
        <v>19435</v>
      </c>
      <c r="C364" s="261" t="s">
        <v>19374</v>
      </c>
      <c r="D364" s="261" t="s">
        <v>18054</v>
      </c>
      <c r="E364" s="261">
        <v>22</v>
      </c>
      <c r="F364" s="261" t="s">
        <v>10025</v>
      </c>
      <c r="G364" s="261" t="s">
        <v>10020</v>
      </c>
      <c r="H364" s="261" t="s">
        <v>10021</v>
      </c>
      <c r="I364" s="261"/>
      <c r="J364" s="261"/>
      <c r="K364" s="262"/>
    </row>
    <row r="365" spans="1:11" x14ac:dyDescent="0.2">
      <c r="A365" s="306" t="s">
        <v>20759</v>
      </c>
      <c r="B365" s="261" t="s">
        <v>19436</v>
      </c>
      <c r="C365" s="261" t="s">
        <v>19374</v>
      </c>
      <c r="D365" s="261" t="s">
        <v>18054</v>
      </c>
      <c r="E365" s="261">
        <v>23</v>
      </c>
      <c r="F365" s="261" t="s">
        <v>10018</v>
      </c>
      <c r="G365" s="261" t="s">
        <v>10013</v>
      </c>
      <c r="H365" s="261" t="s">
        <v>10014</v>
      </c>
      <c r="I365" s="261"/>
      <c r="J365" s="261"/>
      <c r="K365" s="262"/>
    </row>
    <row r="366" spans="1:11" x14ac:dyDescent="0.2">
      <c r="A366" s="306" t="s">
        <v>20759</v>
      </c>
      <c r="B366" s="261" t="s">
        <v>19437</v>
      </c>
      <c r="C366" s="261" t="s">
        <v>19374</v>
      </c>
      <c r="D366" s="261" t="s">
        <v>18054</v>
      </c>
      <c r="E366" s="261">
        <v>24</v>
      </c>
      <c r="F366" s="261" t="s">
        <v>10008</v>
      </c>
      <c r="G366" s="261" t="s">
        <v>10003</v>
      </c>
      <c r="H366" s="261" t="s">
        <v>10004</v>
      </c>
      <c r="I366" s="261"/>
      <c r="J366" s="261"/>
      <c r="K366" s="262"/>
    </row>
    <row r="367" spans="1:11" x14ac:dyDescent="0.2">
      <c r="A367" s="306" t="s">
        <v>20759</v>
      </c>
      <c r="B367" s="261" t="s">
        <v>19438</v>
      </c>
      <c r="C367" s="261" t="s">
        <v>19374</v>
      </c>
      <c r="D367" s="261" t="s">
        <v>18054</v>
      </c>
      <c r="E367" s="261">
        <v>25</v>
      </c>
      <c r="F367" s="261" t="s">
        <v>10032</v>
      </c>
      <c r="G367" s="261" t="s">
        <v>10027</v>
      </c>
      <c r="H367" s="261" t="s">
        <v>10028</v>
      </c>
      <c r="I367" s="261"/>
      <c r="J367" s="261"/>
      <c r="K367" s="262"/>
    </row>
    <row r="368" spans="1:11" x14ac:dyDescent="0.2">
      <c r="A368" s="306" t="s">
        <v>20759</v>
      </c>
      <c r="B368" s="261" t="s">
        <v>19439</v>
      </c>
      <c r="C368" s="261" t="s">
        <v>19374</v>
      </c>
      <c r="D368" s="261" t="s">
        <v>18054</v>
      </c>
      <c r="E368" s="261">
        <v>26</v>
      </c>
      <c r="F368" s="261" t="s">
        <v>10039</v>
      </c>
      <c r="G368" s="261" t="s">
        <v>10034</v>
      </c>
      <c r="H368" s="261" t="s">
        <v>10035</v>
      </c>
      <c r="I368" s="261"/>
      <c r="J368" s="261"/>
      <c r="K368" s="262"/>
    </row>
    <row r="369" spans="1:11" x14ac:dyDescent="0.2">
      <c r="A369" s="306" t="s">
        <v>20759</v>
      </c>
      <c r="B369" s="261" t="s">
        <v>19440</v>
      </c>
      <c r="C369" s="261" t="s">
        <v>19374</v>
      </c>
      <c r="D369" s="261" t="s">
        <v>18054</v>
      </c>
      <c r="E369" s="261">
        <v>27</v>
      </c>
      <c r="F369" s="261" t="s">
        <v>20781</v>
      </c>
      <c r="G369" s="261" t="s">
        <v>218</v>
      </c>
      <c r="H369" s="261" t="s">
        <v>219</v>
      </c>
      <c r="I369" s="261"/>
      <c r="J369" s="261"/>
      <c r="K369" s="262"/>
    </row>
    <row r="370" spans="1:11" x14ac:dyDescent="0.2">
      <c r="A370" s="306" t="s">
        <v>20759</v>
      </c>
      <c r="B370" s="261" t="s">
        <v>19442</v>
      </c>
      <c r="C370" s="261" t="s">
        <v>19374</v>
      </c>
      <c r="D370" s="261" t="s">
        <v>18054</v>
      </c>
      <c r="E370" s="261">
        <v>28</v>
      </c>
      <c r="F370" s="261" t="s">
        <v>20782</v>
      </c>
      <c r="G370" s="261" t="s">
        <v>1841</v>
      </c>
      <c r="H370" s="261" t="s">
        <v>1842</v>
      </c>
      <c r="I370" s="261"/>
      <c r="J370" s="261"/>
      <c r="K370" s="262"/>
    </row>
    <row r="371" spans="1:11" x14ac:dyDescent="0.2">
      <c r="A371" s="306" t="s">
        <v>20759</v>
      </c>
      <c r="B371" s="261" t="s">
        <v>19444</v>
      </c>
      <c r="C371" s="261" t="s">
        <v>19374</v>
      </c>
      <c r="D371" s="261" t="s">
        <v>18054</v>
      </c>
      <c r="E371" s="261">
        <v>29</v>
      </c>
      <c r="F371" s="261" t="s">
        <v>20783</v>
      </c>
      <c r="G371" s="261" t="s">
        <v>2240</v>
      </c>
      <c r="H371" s="261" t="s">
        <v>2241</v>
      </c>
      <c r="I371" s="261"/>
      <c r="J371" s="261"/>
      <c r="K371" s="262"/>
    </row>
    <row r="372" spans="1:11" x14ac:dyDescent="0.2">
      <c r="A372" s="306" t="s">
        <v>20759</v>
      </c>
      <c r="B372" s="261" t="s">
        <v>19446</v>
      </c>
      <c r="C372" s="261" t="s">
        <v>19374</v>
      </c>
      <c r="D372" s="261" t="s">
        <v>18054</v>
      </c>
      <c r="E372" s="261">
        <v>30</v>
      </c>
      <c r="F372" s="261" t="s">
        <v>20784</v>
      </c>
      <c r="G372" s="261" t="s">
        <v>2997</v>
      </c>
      <c r="H372" s="261" t="s">
        <v>2998</v>
      </c>
      <c r="I372" s="261"/>
      <c r="J372" s="261"/>
      <c r="K372" s="262"/>
    </row>
    <row r="373" spans="1:11" x14ac:dyDescent="0.2">
      <c r="A373" s="306" t="s">
        <v>20759</v>
      </c>
      <c r="B373" s="261" t="s">
        <v>19448</v>
      </c>
      <c r="C373" s="261" t="s">
        <v>19374</v>
      </c>
      <c r="D373" s="261" t="s">
        <v>18054</v>
      </c>
      <c r="E373" s="261">
        <v>31</v>
      </c>
      <c r="F373" s="261" t="s">
        <v>20785</v>
      </c>
      <c r="G373" s="261" t="s">
        <v>3819</v>
      </c>
      <c r="H373" s="261" t="s">
        <v>3820</v>
      </c>
      <c r="I373" s="261"/>
      <c r="J373" s="261"/>
      <c r="K373" s="262"/>
    </row>
    <row r="374" spans="1:11" x14ac:dyDescent="0.2">
      <c r="A374" s="306" t="s">
        <v>20759</v>
      </c>
      <c r="B374" s="261" t="s">
        <v>19258</v>
      </c>
      <c r="C374" s="261" t="s">
        <v>19259</v>
      </c>
      <c r="D374" s="261" t="s">
        <v>18054</v>
      </c>
      <c r="E374" s="261">
        <v>32</v>
      </c>
      <c r="F374" s="261" t="s">
        <v>20786</v>
      </c>
      <c r="G374" s="261" t="s">
        <v>9682</v>
      </c>
      <c r="H374" s="261" t="s">
        <v>9683</v>
      </c>
      <c r="I374" s="261"/>
      <c r="J374" s="261"/>
      <c r="K374" s="262"/>
    </row>
    <row r="375" spans="1:11" x14ac:dyDescent="0.2">
      <c r="A375" s="306" t="s">
        <v>20759</v>
      </c>
      <c r="B375" s="261" t="s">
        <v>19263</v>
      </c>
      <c r="C375" s="261" t="s">
        <v>19259</v>
      </c>
      <c r="D375" s="261" t="s">
        <v>18054</v>
      </c>
      <c r="E375" s="261">
        <v>33</v>
      </c>
      <c r="F375" s="261" t="s">
        <v>20787</v>
      </c>
      <c r="G375" s="261" t="s">
        <v>20112</v>
      </c>
      <c r="H375" s="261" t="s">
        <v>20113</v>
      </c>
      <c r="I375" s="261"/>
      <c r="J375" s="261"/>
      <c r="K375" s="262"/>
    </row>
    <row r="376" spans="1:11" x14ac:dyDescent="0.2">
      <c r="A376" s="306" t="s">
        <v>20759</v>
      </c>
      <c r="B376" s="261" t="s">
        <v>19263</v>
      </c>
      <c r="C376" s="261" t="s">
        <v>19259</v>
      </c>
      <c r="D376" s="261" t="s">
        <v>18054</v>
      </c>
      <c r="E376" s="261">
        <v>34</v>
      </c>
      <c r="F376" s="261" t="s">
        <v>20787</v>
      </c>
      <c r="G376" s="261" t="s">
        <v>9267</v>
      </c>
      <c r="H376" s="261" t="s">
        <v>9268</v>
      </c>
      <c r="I376" s="261"/>
      <c r="J376" s="261"/>
      <c r="K376" s="262"/>
    </row>
    <row r="377" spans="1:11" x14ac:dyDescent="0.2">
      <c r="A377" s="306" t="s">
        <v>20759</v>
      </c>
      <c r="B377" s="261" t="s">
        <v>19266</v>
      </c>
      <c r="C377" s="261" t="s">
        <v>19259</v>
      </c>
      <c r="D377" s="261" t="s">
        <v>18054</v>
      </c>
      <c r="E377" s="261">
        <v>35</v>
      </c>
      <c r="F377" s="261" t="s">
        <v>20788</v>
      </c>
      <c r="G377" s="261" t="s">
        <v>9726</v>
      </c>
      <c r="H377" s="261" t="s">
        <v>9727</v>
      </c>
      <c r="I377" s="261"/>
      <c r="J377" s="261"/>
      <c r="K377" s="262"/>
    </row>
    <row r="378" spans="1:11" x14ac:dyDescent="0.2">
      <c r="A378" s="306" t="s">
        <v>20759</v>
      </c>
      <c r="B378" s="261" t="s">
        <v>19268</v>
      </c>
      <c r="C378" s="261" t="s">
        <v>19259</v>
      </c>
      <c r="D378" s="261" t="s">
        <v>18054</v>
      </c>
      <c r="E378" s="261">
        <v>36</v>
      </c>
      <c r="F378" s="261" t="s">
        <v>20789</v>
      </c>
      <c r="G378" s="261" t="s">
        <v>20114</v>
      </c>
      <c r="H378" s="261" t="s">
        <v>20115</v>
      </c>
      <c r="I378" s="261"/>
      <c r="J378" s="261"/>
      <c r="K378" s="262"/>
    </row>
    <row r="379" spans="1:11" x14ac:dyDescent="0.2">
      <c r="A379" s="306" t="s">
        <v>20759</v>
      </c>
      <c r="B379" s="261" t="s">
        <v>19268</v>
      </c>
      <c r="C379" s="261" t="s">
        <v>19259</v>
      </c>
      <c r="D379" s="261" t="s">
        <v>18054</v>
      </c>
      <c r="E379" s="261">
        <v>37</v>
      </c>
      <c r="F379" s="261" t="s">
        <v>20789</v>
      </c>
      <c r="G379" s="261" t="s">
        <v>9257</v>
      </c>
      <c r="H379" s="261" t="s">
        <v>9258</v>
      </c>
      <c r="I379" s="261"/>
      <c r="J379" s="261"/>
      <c r="K379" s="262"/>
    </row>
    <row r="380" spans="1:11" x14ac:dyDescent="0.2">
      <c r="A380" s="306" t="s">
        <v>20759</v>
      </c>
      <c r="B380" s="261" t="s">
        <v>19271</v>
      </c>
      <c r="C380" s="261" t="s">
        <v>19259</v>
      </c>
      <c r="D380" s="261" t="s">
        <v>18054</v>
      </c>
      <c r="E380" s="261">
        <v>38</v>
      </c>
      <c r="F380" s="261" t="s">
        <v>20790</v>
      </c>
      <c r="G380" s="261" t="s">
        <v>9599</v>
      </c>
      <c r="H380" s="261" t="s">
        <v>9600</v>
      </c>
      <c r="I380" s="261"/>
      <c r="J380" s="261"/>
      <c r="K380" s="262"/>
    </row>
    <row r="381" spans="1:11" x14ac:dyDescent="0.2">
      <c r="A381" s="306" t="s">
        <v>20759</v>
      </c>
      <c r="B381" s="261" t="s">
        <v>19273</v>
      </c>
      <c r="C381" s="261" t="s">
        <v>19259</v>
      </c>
      <c r="D381" s="261" t="s">
        <v>18054</v>
      </c>
      <c r="E381" s="261">
        <v>39</v>
      </c>
      <c r="F381" s="261" t="s">
        <v>20791</v>
      </c>
      <c r="G381" s="261" t="s">
        <v>20116</v>
      </c>
      <c r="H381" s="261" t="s">
        <v>20117</v>
      </c>
      <c r="I381" s="261"/>
      <c r="J381" s="261"/>
      <c r="K381" s="262"/>
    </row>
    <row r="382" spans="1:11" x14ac:dyDescent="0.2">
      <c r="A382" s="306" t="s">
        <v>20759</v>
      </c>
      <c r="B382" s="261" t="s">
        <v>19273</v>
      </c>
      <c r="C382" s="261" t="s">
        <v>19259</v>
      </c>
      <c r="D382" s="261" t="s">
        <v>18054</v>
      </c>
      <c r="E382" s="261">
        <v>40</v>
      </c>
      <c r="F382" s="261" t="s">
        <v>20791</v>
      </c>
      <c r="G382" s="261" t="s">
        <v>9244</v>
      </c>
      <c r="H382" s="261" t="s">
        <v>9245</v>
      </c>
      <c r="I382" s="261"/>
      <c r="J382" s="261"/>
      <c r="K382" s="262"/>
    </row>
    <row r="383" spans="1:11" x14ac:dyDescent="0.2">
      <c r="A383" s="306" t="s">
        <v>20759</v>
      </c>
      <c r="B383" s="261" t="s">
        <v>19276</v>
      </c>
      <c r="C383" s="261" t="s">
        <v>19259</v>
      </c>
      <c r="D383" s="261" t="s">
        <v>18054</v>
      </c>
      <c r="E383" s="261">
        <v>41</v>
      </c>
      <c r="F383" s="261" t="s">
        <v>20792</v>
      </c>
      <c r="G383" s="261" t="s">
        <v>9573</v>
      </c>
      <c r="H383" s="261" t="s">
        <v>9574</v>
      </c>
      <c r="I383" s="261"/>
      <c r="J383" s="261"/>
      <c r="K383" s="262"/>
    </row>
    <row r="384" spans="1:11" x14ac:dyDescent="0.2">
      <c r="A384" s="306" t="s">
        <v>20759</v>
      </c>
      <c r="B384" s="261" t="s">
        <v>19278</v>
      </c>
      <c r="C384" s="261" t="s">
        <v>19259</v>
      </c>
      <c r="D384" s="261" t="s">
        <v>18054</v>
      </c>
      <c r="E384" s="261">
        <v>42</v>
      </c>
      <c r="F384" s="261" t="s">
        <v>20793</v>
      </c>
      <c r="G384" s="261" t="s">
        <v>20118</v>
      </c>
      <c r="H384" s="261" t="s">
        <v>20119</v>
      </c>
      <c r="I384" s="261"/>
      <c r="J384" s="261"/>
      <c r="K384" s="262"/>
    </row>
    <row r="385" spans="1:11" x14ac:dyDescent="0.2">
      <c r="A385" s="306" t="s">
        <v>20759</v>
      </c>
      <c r="B385" s="261" t="s">
        <v>19278</v>
      </c>
      <c r="C385" s="261" t="s">
        <v>19259</v>
      </c>
      <c r="D385" s="261" t="s">
        <v>18054</v>
      </c>
      <c r="E385" s="261">
        <v>43</v>
      </c>
      <c r="F385" s="261" t="s">
        <v>20793</v>
      </c>
      <c r="G385" s="261" t="s">
        <v>9277</v>
      </c>
      <c r="H385" s="261" t="s">
        <v>9278</v>
      </c>
      <c r="I385" s="261"/>
      <c r="J385" s="261"/>
      <c r="K385" s="262"/>
    </row>
    <row r="386" spans="1:11" x14ac:dyDescent="0.2">
      <c r="A386" s="306" t="s">
        <v>20759</v>
      </c>
      <c r="B386" s="261" t="s">
        <v>19281</v>
      </c>
      <c r="C386" s="261" t="s">
        <v>19259</v>
      </c>
      <c r="D386" s="261" t="s">
        <v>18054</v>
      </c>
      <c r="E386" s="261">
        <v>44</v>
      </c>
      <c r="F386" s="261" t="s">
        <v>20794</v>
      </c>
      <c r="G386" s="261" t="s">
        <v>9584</v>
      </c>
      <c r="H386" s="261" t="s">
        <v>9585</v>
      </c>
      <c r="I386" s="261"/>
      <c r="J386" s="261"/>
      <c r="K386" s="262"/>
    </row>
    <row r="387" spans="1:11" x14ac:dyDescent="0.2">
      <c r="A387" s="306" t="s">
        <v>20759</v>
      </c>
      <c r="B387" s="261" t="s">
        <v>19283</v>
      </c>
      <c r="C387" s="261" t="s">
        <v>19259</v>
      </c>
      <c r="D387" s="261" t="s">
        <v>18054</v>
      </c>
      <c r="E387" s="261">
        <v>45</v>
      </c>
      <c r="F387" s="261" t="s">
        <v>20795</v>
      </c>
      <c r="G387" s="261" t="s">
        <v>20120</v>
      </c>
      <c r="H387" s="261" t="s">
        <v>20121</v>
      </c>
      <c r="I387" s="261"/>
      <c r="J387" s="261"/>
      <c r="K387" s="262"/>
    </row>
    <row r="388" spans="1:11" x14ac:dyDescent="0.2">
      <c r="A388" s="306" t="s">
        <v>20759</v>
      </c>
      <c r="B388" s="261" t="s">
        <v>19283</v>
      </c>
      <c r="C388" s="261" t="s">
        <v>19259</v>
      </c>
      <c r="D388" s="261" t="s">
        <v>18054</v>
      </c>
      <c r="E388" s="261">
        <v>46</v>
      </c>
      <c r="F388" s="261" t="s">
        <v>20795</v>
      </c>
      <c r="G388" s="261" t="s">
        <v>9287</v>
      </c>
      <c r="H388" s="261" t="s">
        <v>9288</v>
      </c>
      <c r="I388" s="261"/>
      <c r="J388" s="261"/>
      <c r="K388" s="262"/>
    </row>
    <row r="389" spans="1:11" x14ac:dyDescent="0.2">
      <c r="A389" s="306" t="s">
        <v>20796</v>
      </c>
      <c r="B389" s="261" t="s">
        <v>19455</v>
      </c>
      <c r="C389" s="261" t="s">
        <v>19456</v>
      </c>
      <c r="D389" s="261" t="s">
        <v>18054</v>
      </c>
      <c r="E389" s="261">
        <v>1</v>
      </c>
      <c r="F389" s="261" t="s">
        <v>20797</v>
      </c>
      <c r="G389" s="261" t="s">
        <v>9488</v>
      </c>
      <c r="H389" s="261" t="s">
        <v>9489</v>
      </c>
      <c r="I389" s="261"/>
      <c r="J389" s="261"/>
      <c r="K389" s="262"/>
    </row>
    <row r="390" spans="1:11" x14ac:dyDescent="0.2">
      <c r="A390" s="306" t="s">
        <v>20796</v>
      </c>
      <c r="B390" s="261" t="s">
        <v>19460</v>
      </c>
      <c r="C390" s="261" t="s">
        <v>19456</v>
      </c>
      <c r="D390" s="261" t="s">
        <v>18054</v>
      </c>
      <c r="E390" s="261">
        <v>2</v>
      </c>
      <c r="F390" s="261" t="s">
        <v>20798</v>
      </c>
      <c r="G390" s="261" t="s">
        <v>14693</v>
      </c>
      <c r="H390" s="261" t="s">
        <v>14694</v>
      </c>
      <c r="I390" s="261"/>
      <c r="J390" s="261"/>
      <c r="K390" s="262"/>
    </row>
    <row r="391" spans="1:11" x14ac:dyDescent="0.2">
      <c r="A391" s="306" t="s">
        <v>20796</v>
      </c>
      <c r="B391" s="261" t="s">
        <v>19464</v>
      </c>
      <c r="C391" s="261" t="s">
        <v>19456</v>
      </c>
      <c r="D391" s="261" t="s">
        <v>18054</v>
      </c>
      <c r="E391" s="261">
        <v>3</v>
      </c>
      <c r="F391" s="261" t="s">
        <v>20799</v>
      </c>
      <c r="G391" s="261" t="s">
        <v>14696</v>
      </c>
      <c r="H391" s="261" t="s">
        <v>13876</v>
      </c>
      <c r="I391" s="261"/>
      <c r="J391" s="261"/>
      <c r="K391" s="262"/>
    </row>
    <row r="392" spans="1:11" x14ac:dyDescent="0.2">
      <c r="A392" s="306" t="s">
        <v>20796</v>
      </c>
      <c r="B392" s="261" t="s">
        <v>19468</v>
      </c>
      <c r="C392" s="261" t="s">
        <v>19456</v>
      </c>
      <c r="D392" s="261" t="s">
        <v>18054</v>
      </c>
      <c r="E392" s="261">
        <v>4</v>
      </c>
      <c r="F392" s="261" t="s">
        <v>20800</v>
      </c>
      <c r="G392" s="261" t="s">
        <v>9874</v>
      </c>
      <c r="H392" s="261" t="s">
        <v>9875</v>
      </c>
      <c r="I392" s="261"/>
      <c r="J392" s="261"/>
      <c r="K392" s="262"/>
    </row>
    <row r="393" spans="1:11" x14ac:dyDescent="0.2">
      <c r="A393" s="306" t="s">
        <v>20796</v>
      </c>
      <c r="B393" s="261" t="s">
        <v>19472</v>
      </c>
      <c r="C393" s="261" t="s">
        <v>19456</v>
      </c>
      <c r="D393" s="261" t="s">
        <v>18054</v>
      </c>
      <c r="E393" s="261">
        <v>5</v>
      </c>
      <c r="F393" s="261" t="s">
        <v>20801</v>
      </c>
      <c r="G393" s="261" t="s">
        <v>181</v>
      </c>
      <c r="H393" s="261" t="s">
        <v>182</v>
      </c>
      <c r="I393" s="261"/>
      <c r="J393" s="261"/>
      <c r="K393" s="262"/>
    </row>
    <row r="394" spans="1:11" x14ac:dyDescent="0.2">
      <c r="A394" s="306" t="s">
        <v>20796</v>
      </c>
      <c r="B394" s="261" t="s">
        <v>19476</v>
      </c>
      <c r="C394" s="261" t="s">
        <v>19456</v>
      </c>
      <c r="D394" s="261" t="s">
        <v>18054</v>
      </c>
      <c r="E394" s="261">
        <v>6</v>
      </c>
      <c r="F394" s="261" t="s">
        <v>20802</v>
      </c>
      <c r="G394" s="261" t="s">
        <v>10096</v>
      </c>
      <c r="H394" s="261" t="s">
        <v>10097</v>
      </c>
      <c r="I394" s="261"/>
      <c r="J394" s="261"/>
      <c r="K394" s="262"/>
    </row>
    <row r="395" spans="1:11" x14ac:dyDescent="0.2">
      <c r="A395" s="306" t="s">
        <v>20796</v>
      </c>
      <c r="B395" s="261" t="s">
        <v>19480</v>
      </c>
      <c r="C395" s="261" t="s">
        <v>19456</v>
      </c>
      <c r="D395" s="261" t="s">
        <v>18054</v>
      </c>
      <c r="E395" s="261">
        <v>7</v>
      </c>
      <c r="F395" s="261" t="s">
        <v>20803</v>
      </c>
      <c r="G395" s="261" t="s">
        <v>2131</v>
      </c>
      <c r="H395" s="261" t="s">
        <v>2132</v>
      </c>
      <c r="I395" s="261"/>
      <c r="J395" s="261"/>
      <c r="K395" s="262"/>
    </row>
    <row r="396" spans="1:11" x14ac:dyDescent="0.2">
      <c r="A396" s="306" t="s">
        <v>20796</v>
      </c>
      <c r="B396" s="261" t="s">
        <v>19484</v>
      </c>
      <c r="C396" s="261" t="s">
        <v>19456</v>
      </c>
      <c r="D396" s="261" t="s">
        <v>18054</v>
      </c>
      <c r="E396" s="261">
        <v>8</v>
      </c>
      <c r="F396" s="261" t="s">
        <v>20804</v>
      </c>
      <c r="G396" s="261" t="s">
        <v>14697</v>
      </c>
      <c r="H396" s="261" t="s">
        <v>14698</v>
      </c>
      <c r="I396" s="261"/>
      <c r="J396" s="261"/>
      <c r="K396" s="262"/>
    </row>
    <row r="397" spans="1:11" x14ac:dyDescent="0.2">
      <c r="A397" s="306" t="s">
        <v>20796</v>
      </c>
      <c r="B397" s="261" t="s">
        <v>19488</v>
      </c>
      <c r="C397" s="261" t="s">
        <v>19456</v>
      </c>
      <c r="D397" s="261" t="s">
        <v>18054</v>
      </c>
      <c r="E397" s="261">
        <v>9</v>
      </c>
      <c r="F397" s="261" t="s">
        <v>20805</v>
      </c>
      <c r="G397" s="261" t="s">
        <v>14699</v>
      </c>
      <c r="H397" s="261" t="s">
        <v>14700</v>
      </c>
      <c r="I397" s="261"/>
      <c r="J397" s="261"/>
      <c r="K397" s="262"/>
    </row>
    <row r="398" spans="1:11" x14ac:dyDescent="0.2">
      <c r="A398" s="306" t="s">
        <v>20796</v>
      </c>
      <c r="B398" s="261" t="s">
        <v>19492</v>
      </c>
      <c r="C398" s="261" t="s">
        <v>19456</v>
      </c>
      <c r="D398" s="261" t="s">
        <v>18054</v>
      </c>
      <c r="E398" s="261">
        <v>10</v>
      </c>
      <c r="F398" s="261" t="s">
        <v>20806</v>
      </c>
      <c r="G398" s="261" t="s">
        <v>14691</v>
      </c>
      <c r="H398" s="261" t="s">
        <v>14692</v>
      </c>
      <c r="I398" s="261"/>
      <c r="J398" s="261"/>
      <c r="K398" s="262"/>
    </row>
    <row r="399" spans="1:11" x14ac:dyDescent="0.2">
      <c r="A399" s="306" t="s">
        <v>20796</v>
      </c>
      <c r="B399" s="261" t="s">
        <v>19496</v>
      </c>
      <c r="C399" s="261" t="s">
        <v>19456</v>
      </c>
      <c r="D399" s="261" t="s">
        <v>18054</v>
      </c>
      <c r="E399" s="261">
        <v>11</v>
      </c>
      <c r="F399" s="261" t="s">
        <v>20807</v>
      </c>
      <c r="G399" s="261" t="s">
        <v>14689</v>
      </c>
      <c r="H399" s="261" t="s">
        <v>14690</v>
      </c>
      <c r="I399" s="261"/>
      <c r="J399" s="261"/>
      <c r="K399" s="262"/>
    </row>
    <row r="400" spans="1:11" x14ac:dyDescent="0.2">
      <c r="A400" s="306" t="s">
        <v>20796</v>
      </c>
      <c r="B400" s="261" t="s">
        <v>19500</v>
      </c>
      <c r="C400" s="261" t="s">
        <v>19456</v>
      </c>
      <c r="D400" s="261" t="s">
        <v>18054</v>
      </c>
      <c r="E400" s="261">
        <v>12</v>
      </c>
      <c r="F400" s="261" t="s">
        <v>20808</v>
      </c>
      <c r="G400" s="261" t="s">
        <v>8726</v>
      </c>
      <c r="H400" s="261" t="s">
        <v>8727</v>
      </c>
      <c r="I400" s="261"/>
      <c r="J400" s="261"/>
      <c r="K400" s="262"/>
    </row>
    <row r="401" spans="1:11" x14ac:dyDescent="0.2">
      <c r="A401" s="306" t="s">
        <v>20796</v>
      </c>
      <c r="B401" s="261" t="s">
        <v>19504</v>
      </c>
      <c r="C401" s="261" t="s">
        <v>19456</v>
      </c>
      <c r="D401" s="261" t="s">
        <v>18054</v>
      </c>
      <c r="E401" s="261">
        <v>13</v>
      </c>
      <c r="F401" s="261" t="s">
        <v>20809</v>
      </c>
      <c r="G401" s="261" t="s">
        <v>9503</v>
      </c>
      <c r="H401" s="261" t="s">
        <v>9504</v>
      </c>
      <c r="I401" s="261"/>
      <c r="J401" s="261"/>
      <c r="K401" s="262"/>
    </row>
    <row r="402" spans="1:11" x14ac:dyDescent="0.2">
      <c r="A402" s="306" t="s">
        <v>20796</v>
      </c>
      <c r="B402" s="261" t="s">
        <v>19508</v>
      </c>
      <c r="C402" s="261" t="s">
        <v>19456</v>
      </c>
      <c r="D402" s="261" t="s">
        <v>18054</v>
      </c>
      <c r="E402" s="261">
        <v>14</v>
      </c>
      <c r="F402" s="261" t="s">
        <v>20810</v>
      </c>
      <c r="G402" s="261" t="s">
        <v>3364</v>
      </c>
      <c r="H402" s="261" t="s">
        <v>3365</v>
      </c>
      <c r="I402" s="261"/>
      <c r="J402" s="261"/>
      <c r="K402" s="262"/>
    </row>
    <row r="403" spans="1:11" x14ac:dyDescent="0.2">
      <c r="A403" s="306" t="s">
        <v>20796</v>
      </c>
      <c r="B403" s="261" t="s">
        <v>19512</v>
      </c>
      <c r="C403" s="261" t="s">
        <v>19456</v>
      </c>
      <c r="D403" s="261" t="s">
        <v>18054</v>
      </c>
      <c r="E403" s="261">
        <v>15</v>
      </c>
      <c r="F403" s="261" t="s">
        <v>20811</v>
      </c>
      <c r="G403" s="261" t="s">
        <v>14687</v>
      </c>
      <c r="H403" s="261" t="s">
        <v>14688</v>
      </c>
      <c r="I403" s="261"/>
      <c r="J403" s="261"/>
      <c r="K403" s="262"/>
    </row>
    <row r="404" spans="1:11" x14ac:dyDescent="0.2">
      <c r="A404" s="306" t="s">
        <v>20796</v>
      </c>
      <c r="B404" s="261" t="s">
        <v>19516</v>
      </c>
      <c r="C404" s="261" t="s">
        <v>19456</v>
      </c>
      <c r="D404" s="261" t="s">
        <v>18054</v>
      </c>
      <c r="E404" s="261">
        <v>16</v>
      </c>
      <c r="F404" s="261" t="s">
        <v>20812</v>
      </c>
      <c r="G404" s="261" t="s">
        <v>14684</v>
      </c>
      <c r="H404" s="261" t="s">
        <v>14685</v>
      </c>
      <c r="I404" s="261"/>
      <c r="J404" s="261"/>
      <c r="K404" s="262"/>
    </row>
    <row r="405" spans="1:11" x14ac:dyDescent="0.2">
      <c r="A405" s="306" t="s">
        <v>20796</v>
      </c>
      <c r="B405" s="261" t="s">
        <v>19520</v>
      </c>
      <c r="C405" s="261" t="s">
        <v>19456</v>
      </c>
      <c r="D405" s="261" t="s">
        <v>18054</v>
      </c>
      <c r="E405" s="261">
        <v>17</v>
      </c>
      <c r="F405" s="261" t="s">
        <v>20813</v>
      </c>
      <c r="G405" s="261" t="s">
        <v>10118</v>
      </c>
      <c r="H405" s="261" t="s">
        <v>10119</v>
      </c>
      <c r="I405" s="261"/>
      <c r="J405" s="261"/>
      <c r="K405" s="262"/>
    </row>
    <row r="406" spans="1:11" x14ac:dyDescent="0.2">
      <c r="A406" s="306" t="s">
        <v>20796</v>
      </c>
      <c r="B406" s="261" t="s">
        <v>19524</v>
      </c>
      <c r="C406" s="261" t="s">
        <v>19456</v>
      </c>
      <c r="D406" s="261" t="s">
        <v>18054</v>
      </c>
      <c r="E406" s="261">
        <v>18</v>
      </c>
      <c r="F406" s="261" t="s">
        <v>20814</v>
      </c>
      <c r="G406" s="261" t="s">
        <v>3950</v>
      </c>
      <c r="H406" s="261" t="s">
        <v>3951</v>
      </c>
      <c r="I406" s="261"/>
      <c r="J406" s="261"/>
      <c r="K406" s="262"/>
    </row>
    <row r="407" spans="1:11" x14ac:dyDescent="0.2">
      <c r="A407" s="306" t="s">
        <v>20796</v>
      </c>
      <c r="B407" s="261" t="s">
        <v>19528</v>
      </c>
      <c r="C407" s="261" t="s">
        <v>19456</v>
      </c>
      <c r="D407" s="261" t="s">
        <v>18054</v>
      </c>
      <c r="E407" s="261">
        <v>19</v>
      </c>
      <c r="F407" s="261" t="s">
        <v>20815</v>
      </c>
      <c r="G407" s="261" t="s">
        <v>9670</v>
      </c>
      <c r="H407" s="261" t="s">
        <v>9671</v>
      </c>
      <c r="I407" s="261"/>
      <c r="J407" s="261"/>
      <c r="K407" s="262"/>
    </row>
    <row r="408" spans="1:11" x14ac:dyDescent="0.2">
      <c r="A408" s="306" t="s">
        <v>20796</v>
      </c>
      <c r="B408" s="261" t="s">
        <v>19532</v>
      </c>
      <c r="C408" s="261" t="s">
        <v>19456</v>
      </c>
      <c r="D408" s="261" t="s">
        <v>18054</v>
      </c>
      <c r="E408" s="261">
        <v>20</v>
      </c>
      <c r="F408" s="261" t="s">
        <v>20816</v>
      </c>
      <c r="G408" s="261" t="s">
        <v>4214</v>
      </c>
      <c r="H408" s="261" t="s">
        <v>4215</v>
      </c>
      <c r="I408" s="261"/>
      <c r="J408" s="261"/>
      <c r="K408" s="262"/>
    </row>
    <row r="409" spans="1:11" x14ac:dyDescent="0.2">
      <c r="A409" s="306" t="s">
        <v>20796</v>
      </c>
      <c r="B409" s="261" t="s">
        <v>19536</v>
      </c>
      <c r="C409" s="261" t="s">
        <v>19456</v>
      </c>
      <c r="D409" s="261" t="s">
        <v>18054</v>
      </c>
      <c r="E409" s="261">
        <v>21</v>
      </c>
      <c r="F409" s="261" t="s">
        <v>20817</v>
      </c>
      <c r="G409" s="261" t="s">
        <v>14701</v>
      </c>
      <c r="H409" s="261" t="s">
        <v>14702</v>
      </c>
      <c r="I409" s="261"/>
      <c r="J409" s="261"/>
      <c r="K409" s="262"/>
    </row>
    <row r="410" spans="1:11" x14ac:dyDescent="0.2">
      <c r="A410" s="306" t="s">
        <v>20796</v>
      </c>
      <c r="B410" s="261" t="s">
        <v>19540</v>
      </c>
      <c r="C410" s="261" t="s">
        <v>19456</v>
      </c>
      <c r="D410" s="261" t="s">
        <v>18054</v>
      </c>
      <c r="E410" s="261">
        <v>22</v>
      </c>
      <c r="F410" s="261" t="s">
        <v>20818</v>
      </c>
      <c r="G410" s="261" t="s">
        <v>14704</v>
      </c>
      <c r="H410" s="261" t="s">
        <v>13905</v>
      </c>
      <c r="I410" s="261"/>
      <c r="J410" s="261"/>
      <c r="K410" s="262"/>
    </row>
    <row r="411" spans="1:11" x14ac:dyDescent="0.2">
      <c r="A411" s="306" t="s">
        <v>20796</v>
      </c>
      <c r="B411" s="261" t="s">
        <v>19544</v>
      </c>
      <c r="C411" s="261" t="s">
        <v>19456</v>
      </c>
      <c r="D411" s="261" t="s">
        <v>18054</v>
      </c>
      <c r="E411" s="261">
        <v>23</v>
      </c>
      <c r="F411" s="261" t="s">
        <v>20819</v>
      </c>
      <c r="G411" s="261" t="s">
        <v>10203</v>
      </c>
      <c r="H411" s="261" t="s">
        <v>10204</v>
      </c>
      <c r="I411" s="261"/>
      <c r="J411" s="261"/>
      <c r="K411" s="262"/>
    </row>
    <row r="412" spans="1:11" x14ac:dyDescent="0.2">
      <c r="A412" s="306" t="s">
        <v>20796</v>
      </c>
      <c r="B412" s="261" t="s">
        <v>19548</v>
      </c>
      <c r="C412" s="261" t="s">
        <v>19456</v>
      </c>
      <c r="D412" s="261" t="s">
        <v>18054</v>
      </c>
      <c r="E412" s="261">
        <v>24</v>
      </c>
      <c r="F412" s="261" t="s">
        <v>20820</v>
      </c>
      <c r="G412" s="261" t="s">
        <v>1741</v>
      </c>
      <c r="H412" s="261" t="s">
        <v>1742</v>
      </c>
      <c r="I412" s="261"/>
      <c r="J412" s="261"/>
      <c r="K412" s="262"/>
    </row>
    <row r="413" spans="1:11" x14ac:dyDescent="0.2">
      <c r="A413" s="306" t="s">
        <v>20796</v>
      </c>
      <c r="B413" s="261" t="s">
        <v>19552</v>
      </c>
      <c r="C413" s="261" t="s">
        <v>19456</v>
      </c>
      <c r="D413" s="261" t="s">
        <v>18054</v>
      </c>
      <c r="E413" s="261">
        <v>25</v>
      </c>
      <c r="F413" s="261" t="s">
        <v>20821</v>
      </c>
      <c r="G413" s="261" t="s">
        <v>2439</v>
      </c>
      <c r="H413" s="261" t="s">
        <v>2440</v>
      </c>
      <c r="I413" s="261"/>
      <c r="J413" s="261"/>
      <c r="K413" s="262"/>
    </row>
    <row r="414" spans="1:11" x14ac:dyDescent="0.2">
      <c r="A414" s="306" t="s">
        <v>20796</v>
      </c>
      <c r="B414" s="261" t="s">
        <v>19556</v>
      </c>
      <c r="C414" s="261" t="s">
        <v>19456</v>
      </c>
      <c r="D414" s="261" t="s">
        <v>18054</v>
      </c>
      <c r="E414" s="261">
        <v>26</v>
      </c>
      <c r="F414" s="261" t="s">
        <v>20822</v>
      </c>
      <c r="G414" s="261" t="s">
        <v>9737</v>
      </c>
      <c r="H414" s="261" t="s">
        <v>9738</v>
      </c>
      <c r="I414" s="261"/>
      <c r="J414" s="261"/>
      <c r="K414" s="262"/>
    </row>
    <row r="415" spans="1:11" x14ac:dyDescent="0.2">
      <c r="A415" s="306" t="s">
        <v>20796</v>
      </c>
      <c r="B415" s="261" t="s">
        <v>19286</v>
      </c>
      <c r="C415" s="261" t="s">
        <v>19287</v>
      </c>
      <c r="D415" s="261" t="s">
        <v>18054</v>
      </c>
      <c r="E415" s="261">
        <v>27</v>
      </c>
      <c r="F415" s="261" t="s">
        <v>20823</v>
      </c>
      <c r="G415" s="261" t="s">
        <v>20122</v>
      </c>
      <c r="H415" s="261" t="s">
        <v>20123</v>
      </c>
      <c r="I415" s="261"/>
      <c r="J415" s="261"/>
      <c r="K415" s="262"/>
    </row>
    <row r="416" spans="1:11" x14ac:dyDescent="0.2">
      <c r="A416" s="306" t="s">
        <v>20796</v>
      </c>
      <c r="B416" s="261" t="s">
        <v>19289</v>
      </c>
      <c r="C416" s="261" t="s">
        <v>19287</v>
      </c>
      <c r="D416" s="261" t="s">
        <v>18054</v>
      </c>
      <c r="E416" s="261">
        <v>28</v>
      </c>
      <c r="F416" s="261" t="s">
        <v>20824</v>
      </c>
      <c r="G416" s="261" t="s">
        <v>8788</v>
      </c>
      <c r="H416" s="261" t="s">
        <v>8789</v>
      </c>
      <c r="I416" s="261"/>
      <c r="J416" s="261"/>
      <c r="K416" s="262"/>
    </row>
    <row r="417" spans="1:11" x14ac:dyDescent="0.2">
      <c r="A417" s="306" t="s">
        <v>20796</v>
      </c>
      <c r="B417" s="261" t="s">
        <v>19290</v>
      </c>
      <c r="C417" s="261" t="s">
        <v>19287</v>
      </c>
      <c r="D417" s="261" t="s">
        <v>18054</v>
      </c>
      <c r="E417" s="261">
        <v>29</v>
      </c>
      <c r="F417" s="261" t="s">
        <v>20825</v>
      </c>
      <c r="G417" s="261" t="s">
        <v>4577</v>
      </c>
      <c r="H417" s="261" t="s">
        <v>4578</v>
      </c>
      <c r="I417" s="261"/>
      <c r="J417" s="261"/>
      <c r="K417" s="262"/>
    </row>
    <row r="418" spans="1:11" x14ac:dyDescent="0.2">
      <c r="A418" s="306" t="s">
        <v>20796</v>
      </c>
      <c r="B418" s="261" t="s">
        <v>19291</v>
      </c>
      <c r="C418" s="261" t="s">
        <v>19287</v>
      </c>
      <c r="D418" s="261" t="s">
        <v>18054</v>
      </c>
      <c r="E418" s="261">
        <v>30</v>
      </c>
      <c r="F418" s="261" t="s">
        <v>20826</v>
      </c>
      <c r="G418" s="261" t="s">
        <v>20124</v>
      </c>
      <c r="H418" s="261" t="s">
        <v>20125</v>
      </c>
      <c r="I418" s="261"/>
      <c r="J418" s="261"/>
      <c r="K418" s="262"/>
    </row>
    <row r="419" spans="1:11" x14ac:dyDescent="0.2">
      <c r="A419" s="306" t="s">
        <v>20796</v>
      </c>
      <c r="B419" s="261" t="s">
        <v>19293</v>
      </c>
      <c r="C419" s="261" t="s">
        <v>19287</v>
      </c>
      <c r="D419" s="261" t="s">
        <v>18054</v>
      </c>
      <c r="E419" s="261">
        <v>31</v>
      </c>
      <c r="F419" s="261" t="s">
        <v>20827</v>
      </c>
      <c r="G419" s="261" t="s">
        <v>8773</v>
      </c>
      <c r="H419" s="261" t="s">
        <v>8774</v>
      </c>
      <c r="I419" s="261"/>
      <c r="J419" s="261"/>
      <c r="K419" s="262"/>
    </row>
    <row r="420" spans="1:11" x14ac:dyDescent="0.2">
      <c r="A420" s="306" t="s">
        <v>20796</v>
      </c>
      <c r="B420" s="261" t="s">
        <v>19294</v>
      </c>
      <c r="C420" s="261" t="s">
        <v>19287</v>
      </c>
      <c r="D420" s="261" t="s">
        <v>18054</v>
      </c>
      <c r="E420" s="261">
        <v>32</v>
      </c>
      <c r="F420" s="261" t="s">
        <v>20828</v>
      </c>
      <c r="G420" s="261" t="s">
        <v>4587</v>
      </c>
      <c r="H420" s="261" t="s">
        <v>4588</v>
      </c>
      <c r="I420" s="261"/>
      <c r="J420" s="261"/>
      <c r="K420" s="262"/>
    </row>
    <row r="421" spans="1:11" x14ac:dyDescent="0.2">
      <c r="A421" s="306" t="s">
        <v>20796</v>
      </c>
      <c r="B421" s="261" t="s">
        <v>19295</v>
      </c>
      <c r="C421" s="261" t="s">
        <v>19287</v>
      </c>
      <c r="D421" s="261" t="s">
        <v>18054</v>
      </c>
      <c r="E421" s="261">
        <v>33</v>
      </c>
      <c r="F421" s="261" t="s">
        <v>20829</v>
      </c>
      <c r="G421" s="261" t="s">
        <v>20126</v>
      </c>
      <c r="H421" s="261" t="s">
        <v>20127</v>
      </c>
      <c r="I421" s="261"/>
      <c r="J421" s="261"/>
      <c r="K421" s="262"/>
    </row>
    <row r="422" spans="1:11" x14ac:dyDescent="0.2">
      <c r="A422" s="306" t="s">
        <v>20796</v>
      </c>
      <c r="B422" s="261" t="s">
        <v>19297</v>
      </c>
      <c r="C422" s="261" t="s">
        <v>19287</v>
      </c>
      <c r="D422" s="261" t="s">
        <v>18054</v>
      </c>
      <c r="E422" s="261">
        <v>34</v>
      </c>
      <c r="F422" s="261" t="s">
        <v>20830</v>
      </c>
      <c r="G422" s="261" t="s">
        <v>8802</v>
      </c>
      <c r="H422" s="261" t="s">
        <v>8803</v>
      </c>
      <c r="I422" s="261"/>
      <c r="J422" s="261"/>
      <c r="K422" s="262"/>
    </row>
    <row r="423" spans="1:11" x14ac:dyDescent="0.2">
      <c r="A423" s="306" t="s">
        <v>20796</v>
      </c>
      <c r="B423" s="261" t="s">
        <v>19298</v>
      </c>
      <c r="C423" s="261" t="s">
        <v>19287</v>
      </c>
      <c r="D423" s="261" t="s">
        <v>18054</v>
      </c>
      <c r="E423" s="261">
        <v>35</v>
      </c>
      <c r="F423" s="261" t="s">
        <v>20831</v>
      </c>
      <c r="G423" s="261" t="s">
        <v>943</v>
      </c>
      <c r="H423" s="261" t="s">
        <v>944</v>
      </c>
      <c r="I423" s="261"/>
      <c r="J423" s="261"/>
      <c r="K423" s="262"/>
    </row>
    <row r="424" spans="1:11" x14ac:dyDescent="0.2">
      <c r="A424" s="306" t="s">
        <v>20796</v>
      </c>
      <c r="B424" s="261" t="s">
        <v>19299</v>
      </c>
      <c r="C424" s="261" t="s">
        <v>19287</v>
      </c>
      <c r="D424" s="261" t="s">
        <v>18054</v>
      </c>
      <c r="E424" s="261">
        <v>36</v>
      </c>
      <c r="F424" s="261" t="s">
        <v>20832</v>
      </c>
      <c r="G424" s="261" t="s">
        <v>20128</v>
      </c>
      <c r="H424" s="261" t="s">
        <v>20129</v>
      </c>
      <c r="I424" s="261"/>
      <c r="J424" s="261"/>
      <c r="K424" s="262"/>
    </row>
    <row r="425" spans="1:11" x14ac:dyDescent="0.2">
      <c r="A425" s="306" t="s">
        <v>20796</v>
      </c>
      <c r="B425" s="261" t="s">
        <v>19301</v>
      </c>
      <c r="C425" s="261" t="s">
        <v>19287</v>
      </c>
      <c r="D425" s="261" t="s">
        <v>18054</v>
      </c>
      <c r="E425" s="261">
        <v>37</v>
      </c>
      <c r="F425" s="261" t="s">
        <v>20833</v>
      </c>
      <c r="G425" s="261" t="s">
        <v>8808</v>
      </c>
      <c r="H425" s="261" t="s">
        <v>8809</v>
      </c>
      <c r="I425" s="261"/>
      <c r="J425" s="261"/>
      <c r="K425" s="262"/>
    </row>
    <row r="426" spans="1:11" x14ac:dyDescent="0.2">
      <c r="A426" s="306" t="s">
        <v>20796</v>
      </c>
      <c r="B426" s="261" t="s">
        <v>19302</v>
      </c>
      <c r="C426" s="261" t="s">
        <v>19287</v>
      </c>
      <c r="D426" s="261" t="s">
        <v>18054</v>
      </c>
      <c r="E426" s="261">
        <v>38</v>
      </c>
      <c r="F426" s="261" t="s">
        <v>20834</v>
      </c>
      <c r="G426" s="261" t="s">
        <v>4582</v>
      </c>
      <c r="H426" s="261" t="s">
        <v>4583</v>
      </c>
      <c r="I426" s="261"/>
      <c r="J426" s="261"/>
      <c r="K426" s="262"/>
    </row>
    <row r="427" spans="1:11" x14ac:dyDescent="0.2">
      <c r="A427" s="306" t="s">
        <v>20796</v>
      </c>
      <c r="B427" s="261" t="s">
        <v>19303</v>
      </c>
      <c r="C427" s="261" t="s">
        <v>19287</v>
      </c>
      <c r="D427" s="261" t="s">
        <v>18054</v>
      </c>
      <c r="E427" s="261">
        <v>39</v>
      </c>
      <c r="F427" s="261" t="s">
        <v>20835</v>
      </c>
      <c r="G427" s="261" t="s">
        <v>20130</v>
      </c>
      <c r="H427" s="261" t="s">
        <v>20131</v>
      </c>
      <c r="I427" s="261"/>
      <c r="J427" s="261"/>
      <c r="K427" s="262"/>
    </row>
    <row r="428" spans="1:11" x14ac:dyDescent="0.2">
      <c r="A428" s="306" t="s">
        <v>20796</v>
      </c>
      <c r="B428" s="261" t="s">
        <v>19305</v>
      </c>
      <c r="C428" s="261" t="s">
        <v>19287</v>
      </c>
      <c r="D428" s="261" t="s">
        <v>18054</v>
      </c>
      <c r="E428" s="261">
        <v>40</v>
      </c>
      <c r="F428" s="261" t="s">
        <v>20836</v>
      </c>
      <c r="G428" s="261" t="s">
        <v>8815</v>
      </c>
      <c r="H428" s="261" t="s">
        <v>8816</v>
      </c>
      <c r="I428" s="261"/>
      <c r="J428" s="261"/>
      <c r="K428" s="262"/>
    </row>
    <row r="429" spans="1:11" x14ac:dyDescent="0.2">
      <c r="A429" s="306" t="s">
        <v>20796</v>
      </c>
      <c r="B429" s="261" t="s">
        <v>19306</v>
      </c>
      <c r="C429" s="261" t="s">
        <v>19287</v>
      </c>
      <c r="D429" s="261" t="s">
        <v>18054</v>
      </c>
      <c r="E429" s="261">
        <v>41</v>
      </c>
      <c r="F429" s="261" t="s">
        <v>20837</v>
      </c>
      <c r="G429" s="261" t="s">
        <v>4592</v>
      </c>
      <c r="H429" s="261" t="s">
        <v>4593</v>
      </c>
      <c r="I429" s="261"/>
      <c r="J429" s="261"/>
      <c r="K429" s="262"/>
    </row>
    <row r="430" spans="1:11" x14ac:dyDescent="0.2">
      <c r="A430" s="306" t="s">
        <v>20838</v>
      </c>
      <c r="B430" s="261" t="s">
        <v>19307</v>
      </c>
      <c r="C430" s="261" t="s">
        <v>13844</v>
      </c>
      <c r="D430" s="261" t="s">
        <v>18054</v>
      </c>
      <c r="E430" s="261">
        <v>1</v>
      </c>
      <c r="F430" s="261" t="s">
        <v>20839</v>
      </c>
      <c r="G430" s="261" t="s">
        <v>8837</v>
      </c>
      <c r="H430" s="261" t="s">
        <v>8838</v>
      </c>
      <c r="I430" s="261"/>
      <c r="J430" s="261"/>
      <c r="K430" s="262"/>
    </row>
    <row r="431" spans="1:11" x14ac:dyDescent="0.2">
      <c r="A431" s="306" t="s">
        <v>20838</v>
      </c>
      <c r="B431" s="261" t="s">
        <v>19307</v>
      </c>
      <c r="C431" s="261" t="s">
        <v>13844</v>
      </c>
      <c r="D431" s="261" t="s">
        <v>18054</v>
      </c>
      <c r="E431" s="261">
        <v>2</v>
      </c>
      <c r="F431" s="261" t="s">
        <v>20839</v>
      </c>
      <c r="G431" s="261" t="s">
        <v>13858</v>
      </c>
      <c r="H431" s="261" t="s">
        <v>13859</v>
      </c>
      <c r="I431" s="261"/>
      <c r="J431" s="261"/>
      <c r="K431" s="262"/>
    </row>
    <row r="432" spans="1:11" x14ac:dyDescent="0.2">
      <c r="A432" s="306" t="s">
        <v>20838</v>
      </c>
      <c r="B432" s="261" t="s">
        <v>19307</v>
      </c>
      <c r="C432" s="261" t="s">
        <v>13844</v>
      </c>
      <c r="D432" s="261" t="s">
        <v>18054</v>
      </c>
      <c r="E432" s="261">
        <v>3</v>
      </c>
      <c r="F432" s="261" t="s">
        <v>20839</v>
      </c>
      <c r="G432" s="261" t="s">
        <v>13860</v>
      </c>
      <c r="H432" s="261" t="s">
        <v>13861</v>
      </c>
      <c r="I432" s="261"/>
      <c r="J432" s="261"/>
      <c r="K432" s="262"/>
    </row>
    <row r="433" spans="1:11" x14ac:dyDescent="0.2">
      <c r="A433" s="306" t="s">
        <v>20838</v>
      </c>
      <c r="B433" s="261" t="s">
        <v>19309</v>
      </c>
      <c r="C433" s="261" t="s">
        <v>13844</v>
      </c>
      <c r="D433" s="261" t="s">
        <v>18054</v>
      </c>
      <c r="E433" s="261">
        <v>4</v>
      </c>
      <c r="F433" s="261" t="s">
        <v>20840</v>
      </c>
      <c r="G433" s="261" t="s">
        <v>9103</v>
      </c>
      <c r="H433" s="261" t="s">
        <v>9104</v>
      </c>
      <c r="I433" s="261"/>
      <c r="J433" s="261"/>
      <c r="K433" s="262"/>
    </row>
    <row r="434" spans="1:11" x14ac:dyDescent="0.2">
      <c r="A434" s="306" t="s">
        <v>20838</v>
      </c>
      <c r="B434" s="261" t="s">
        <v>19309</v>
      </c>
      <c r="C434" s="261" t="s">
        <v>13844</v>
      </c>
      <c r="D434" s="261" t="s">
        <v>18054</v>
      </c>
      <c r="E434" s="261">
        <v>5</v>
      </c>
      <c r="F434" s="261" t="s">
        <v>20840</v>
      </c>
      <c r="G434" s="261" t="s">
        <v>13864</v>
      </c>
      <c r="H434" s="261" t="s">
        <v>13865</v>
      </c>
      <c r="I434" s="261"/>
      <c r="J434" s="261"/>
      <c r="K434" s="262"/>
    </row>
    <row r="435" spans="1:11" x14ac:dyDescent="0.2">
      <c r="A435" s="306" t="s">
        <v>20838</v>
      </c>
      <c r="B435" s="261" t="s">
        <v>19309</v>
      </c>
      <c r="C435" s="261" t="s">
        <v>13844</v>
      </c>
      <c r="D435" s="261" t="s">
        <v>18054</v>
      </c>
      <c r="E435" s="261">
        <v>6</v>
      </c>
      <c r="F435" s="261" t="s">
        <v>20840</v>
      </c>
      <c r="G435" s="261" t="s">
        <v>13866</v>
      </c>
      <c r="H435" s="261" t="s">
        <v>13867</v>
      </c>
      <c r="I435" s="261"/>
      <c r="J435" s="261"/>
      <c r="K435" s="262"/>
    </row>
    <row r="436" spans="1:11" x14ac:dyDescent="0.2">
      <c r="A436" s="306" t="s">
        <v>20838</v>
      </c>
      <c r="B436" s="261" t="s">
        <v>19310</v>
      </c>
      <c r="C436" s="261" t="s">
        <v>13844</v>
      </c>
      <c r="D436" s="261" t="s">
        <v>18054</v>
      </c>
      <c r="E436" s="261">
        <v>7</v>
      </c>
      <c r="F436" s="261" t="s">
        <v>20841</v>
      </c>
      <c r="G436" s="261" t="s">
        <v>13869</v>
      </c>
      <c r="H436" s="261" t="s">
        <v>13870</v>
      </c>
      <c r="I436" s="261"/>
      <c r="J436" s="261"/>
      <c r="K436" s="262"/>
    </row>
    <row r="437" spans="1:11" x14ac:dyDescent="0.2">
      <c r="A437" s="306" t="s">
        <v>20838</v>
      </c>
      <c r="B437" s="261" t="s">
        <v>19310</v>
      </c>
      <c r="C437" s="261" t="s">
        <v>13844</v>
      </c>
      <c r="D437" s="261" t="s">
        <v>18054</v>
      </c>
      <c r="E437" s="261">
        <v>8</v>
      </c>
      <c r="F437" s="261" t="s">
        <v>20841</v>
      </c>
      <c r="G437" s="261" t="s">
        <v>13871</v>
      </c>
      <c r="H437" s="261" t="s">
        <v>13872</v>
      </c>
      <c r="I437" s="261"/>
      <c r="J437" s="261"/>
      <c r="K437" s="262"/>
    </row>
    <row r="438" spans="1:11" x14ac:dyDescent="0.2">
      <c r="A438" s="306" t="s">
        <v>20838</v>
      </c>
      <c r="B438" s="261" t="s">
        <v>19311</v>
      </c>
      <c r="C438" s="261" t="s">
        <v>13844</v>
      </c>
      <c r="D438" s="261" t="s">
        <v>18054</v>
      </c>
      <c r="E438" s="261">
        <v>9</v>
      </c>
      <c r="F438" s="261" t="s">
        <v>20842</v>
      </c>
      <c r="G438" s="261" t="s">
        <v>8823</v>
      </c>
      <c r="H438" s="261" t="s">
        <v>8824</v>
      </c>
      <c r="I438" s="261"/>
      <c r="J438" s="261"/>
      <c r="K438" s="262"/>
    </row>
    <row r="439" spans="1:11" x14ac:dyDescent="0.2">
      <c r="A439" s="306" t="s">
        <v>20838</v>
      </c>
      <c r="B439" s="261" t="s">
        <v>19311</v>
      </c>
      <c r="C439" s="261" t="s">
        <v>13844</v>
      </c>
      <c r="D439" s="261" t="s">
        <v>18054</v>
      </c>
      <c r="E439" s="261">
        <v>10</v>
      </c>
      <c r="F439" s="261" t="s">
        <v>20842</v>
      </c>
      <c r="G439" s="261" t="s">
        <v>13887</v>
      </c>
      <c r="H439" s="261" t="s">
        <v>13888</v>
      </c>
      <c r="I439" s="261"/>
      <c r="J439" s="261"/>
      <c r="K439" s="262"/>
    </row>
    <row r="440" spans="1:11" x14ac:dyDescent="0.2">
      <c r="A440" s="306" t="s">
        <v>20838</v>
      </c>
      <c r="B440" s="261" t="s">
        <v>19311</v>
      </c>
      <c r="C440" s="261" t="s">
        <v>13844</v>
      </c>
      <c r="D440" s="261" t="s">
        <v>18054</v>
      </c>
      <c r="E440" s="261">
        <v>11</v>
      </c>
      <c r="F440" s="261" t="s">
        <v>20842</v>
      </c>
      <c r="G440" s="261" t="s">
        <v>13890</v>
      </c>
      <c r="H440" s="261" t="s">
        <v>13891</v>
      </c>
      <c r="I440" s="261"/>
      <c r="J440" s="261"/>
      <c r="K440" s="262"/>
    </row>
    <row r="441" spans="1:11" x14ac:dyDescent="0.2">
      <c r="A441" s="306" t="s">
        <v>20838</v>
      </c>
      <c r="B441" s="261" t="s">
        <v>19313</v>
      </c>
      <c r="C441" s="261" t="s">
        <v>13844</v>
      </c>
      <c r="D441" s="261" t="s">
        <v>18054</v>
      </c>
      <c r="E441" s="261">
        <v>12</v>
      </c>
      <c r="F441" s="261" t="s">
        <v>20843</v>
      </c>
      <c r="G441" s="261" t="s">
        <v>9115</v>
      </c>
      <c r="H441" s="261" t="s">
        <v>9116</v>
      </c>
      <c r="I441" s="261"/>
      <c r="J441" s="261"/>
      <c r="K441" s="262"/>
    </row>
    <row r="442" spans="1:11" x14ac:dyDescent="0.2">
      <c r="A442" s="306" t="s">
        <v>20838</v>
      </c>
      <c r="B442" s="261" t="s">
        <v>19313</v>
      </c>
      <c r="C442" s="261" t="s">
        <v>13844</v>
      </c>
      <c r="D442" s="261" t="s">
        <v>18054</v>
      </c>
      <c r="E442" s="261">
        <v>13</v>
      </c>
      <c r="F442" s="261" t="s">
        <v>20843</v>
      </c>
      <c r="G442" s="261" t="s">
        <v>13893</v>
      </c>
      <c r="H442" s="261" t="s">
        <v>13894</v>
      </c>
      <c r="I442" s="261"/>
      <c r="J442" s="261"/>
      <c r="K442" s="262"/>
    </row>
    <row r="443" spans="1:11" x14ac:dyDescent="0.2">
      <c r="A443" s="306" t="s">
        <v>20838</v>
      </c>
      <c r="B443" s="261" t="s">
        <v>19313</v>
      </c>
      <c r="C443" s="261" t="s">
        <v>13844</v>
      </c>
      <c r="D443" s="261" t="s">
        <v>18054</v>
      </c>
      <c r="E443" s="261">
        <v>14</v>
      </c>
      <c r="F443" s="261" t="s">
        <v>20843</v>
      </c>
      <c r="G443" s="261" t="s">
        <v>13896</v>
      </c>
      <c r="H443" s="261" t="s">
        <v>13897</v>
      </c>
      <c r="I443" s="261"/>
      <c r="J443" s="261"/>
      <c r="K443" s="262"/>
    </row>
    <row r="444" spans="1:11" x14ac:dyDescent="0.2">
      <c r="A444" s="306" t="s">
        <v>20838</v>
      </c>
      <c r="B444" s="261" t="s">
        <v>19314</v>
      </c>
      <c r="C444" s="261" t="s">
        <v>13844</v>
      </c>
      <c r="D444" s="261" t="s">
        <v>18054</v>
      </c>
      <c r="E444" s="261">
        <v>15</v>
      </c>
      <c r="F444" s="261" t="s">
        <v>20844</v>
      </c>
      <c r="G444" s="261" t="s">
        <v>13898</v>
      </c>
      <c r="H444" s="261" t="s">
        <v>20186</v>
      </c>
      <c r="I444" s="261"/>
      <c r="J444" s="261"/>
      <c r="K444" s="262"/>
    </row>
    <row r="445" spans="1:11" x14ac:dyDescent="0.2">
      <c r="A445" s="306" t="s">
        <v>20838</v>
      </c>
      <c r="B445" s="261" t="s">
        <v>19314</v>
      </c>
      <c r="C445" s="261" t="s">
        <v>13844</v>
      </c>
      <c r="D445" s="261" t="s">
        <v>18054</v>
      </c>
      <c r="E445" s="261">
        <v>16</v>
      </c>
      <c r="F445" s="261" t="s">
        <v>20844</v>
      </c>
      <c r="G445" s="261" t="s">
        <v>13900</v>
      </c>
      <c r="H445" s="261" t="s">
        <v>13901</v>
      </c>
      <c r="I445" s="261"/>
      <c r="J445" s="261"/>
      <c r="K445" s="262"/>
    </row>
    <row r="446" spans="1:11" x14ac:dyDescent="0.2">
      <c r="A446" s="306" t="s">
        <v>20838</v>
      </c>
      <c r="B446" s="261" t="s">
        <v>19315</v>
      </c>
      <c r="C446" s="261" t="s">
        <v>13844</v>
      </c>
      <c r="D446" s="261" t="s">
        <v>18054</v>
      </c>
      <c r="E446" s="261">
        <v>17</v>
      </c>
      <c r="F446" s="261" t="s">
        <v>20845</v>
      </c>
      <c r="G446" s="261" t="s">
        <v>8850</v>
      </c>
      <c r="H446" s="261" t="s">
        <v>8851</v>
      </c>
      <c r="I446" s="261"/>
      <c r="J446" s="261"/>
      <c r="K446" s="262"/>
    </row>
    <row r="447" spans="1:11" x14ac:dyDescent="0.2">
      <c r="A447" s="306" t="s">
        <v>20838</v>
      </c>
      <c r="B447" s="261" t="s">
        <v>19315</v>
      </c>
      <c r="C447" s="261" t="s">
        <v>13844</v>
      </c>
      <c r="D447" s="261" t="s">
        <v>18054</v>
      </c>
      <c r="E447" s="261">
        <v>18</v>
      </c>
      <c r="F447" s="261" t="s">
        <v>20845</v>
      </c>
      <c r="G447" s="261" t="s">
        <v>13902</v>
      </c>
      <c r="H447" s="261" t="s">
        <v>13903</v>
      </c>
      <c r="I447" s="261"/>
      <c r="J447" s="261"/>
      <c r="K447" s="262"/>
    </row>
    <row r="448" spans="1:11" x14ac:dyDescent="0.2">
      <c r="A448" s="306" t="s">
        <v>20838</v>
      </c>
      <c r="B448" s="261" t="s">
        <v>19315</v>
      </c>
      <c r="C448" s="261" t="s">
        <v>13844</v>
      </c>
      <c r="D448" s="261" t="s">
        <v>18054</v>
      </c>
      <c r="E448" s="261">
        <v>19</v>
      </c>
      <c r="F448" s="261" t="s">
        <v>20845</v>
      </c>
      <c r="G448" s="261" t="s">
        <v>13904</v>
      </c>
      <c r="H448" s="261" t="s">
        <v>13905</v>
      </c>
      <c r="I448" s="261"/>
      <c r="J448" s="261"/>
      <c r="K448" s="262"/>
    </row>
    <row r="449" spans="1:11" x14ac:dyDescent="0.2">
      <c r="A449" s="306" t="s">
        <v>20838</v>
      </c>
      <c r="B449" s="261" t="s">
        <v>19317</v>
      </c>
      <c r="C449" s="261" t="s">
        <v>13844</v>
      </c>
      <c r="D449" s="261" t="s">
        <v>18054</v>
      </c>
      <c r="E449" s="261">
        <v>20</v>
      </c>
      <c r="F449" s="261" t="s">
        <v>20846</v>
      </c>
      <c r="G449" s="261" t="s">
        <v>9121</v>
      </c>
      <c r="H449" s="261" t="s">
        <v>9122</v>
      </c>
      <c r="I449" s="261"/>
      <c r="J449" s="261"/>
      <c r="K449" s="262"/>
    </row>
    <row r="450" spans="1:11" x14ac:dyDescent="0.2">
      <c r="A450" s="306" t="s">
        <v>20838</v>
      </c>
      <c r="B450" s="261" t="s">
        <v>19317</v>
      </c>
      <c r="C450" s="261" t="s">
        <v>13844</v>
      </c>
      <c r="D450" s="261" t="s">
        <v>18054</v>
      </c>
      <c r="E450" s="261">
        <v>21</v>
      </c>
      <c r="F450" s="261" t="s">
        <v>20846</v>
      </c>
      <c r="G450" s="261" t="s">
        <v>13907</v>
      </c>
      <c r="H450" s="261" t="s">
        <v>13908</v>
      </c>
      <c r="I450" s="261"/>
      <c r="J450" s="261"/>
      <c r="K450" s="262"/>
    </row>
    <row r="451" spans="1:11" x14ac:dyDescent="0.2">
      <c r="A451" s="306" t="s">
        <v>20838</v>
      </c>
      <c r="B451" s="261" t="s">
        <v>19317</v>
      </c>
      <c r="C451" s="261" t="s">
        <v>13844</v>
      </c>
      <c r="D451" s="261" t="s">
        <v>18054</v>
      </c>
      <c r="E451" s="261">
        <v>22</v>
      </c>
      <c r="F451" s="261" t="s">
        <v>20846</v>
      </c>
      <c r="G451" s="261" t="s">
        <v>13909</v>
      </c>
      <c r="H451" s="261" t="s">
        <v>13910</v>
      </c>
      <c r="I451" s="261"/>
      <c r="J451" s="261"/>
      <c r="K451" s="262"/>
    </row>
    <row r="452" spans="1:11" x14ac:dyDescent="0.2">
      <c r="A452" s="306" t="s">
        <v>20838</v>
      </c>
      <c r="B452" s="261" t="s">
        <v>19318</v>
      </c>
      <c r="C452" s="261" t="s">
        <v>13844</v>
      </c>
      <c r="D452" s="261" t="s">
        <v>18054</v>
      </c>
      <c r="E452" s="261">
        <v>23</v>
      </c>
      <c r="F452" s="261" t="s">
        <v>20847</v>
      </c>
      <c r="G452" s="261" t="s">
        <v>13911</v>
      </c>
      <c r="H452" s="261" t="s">
        <v>13912</v>
      </c>
      <c r="I452" s="261"/>
      <c r="J452" s="261"/>
      <c r="K452" s="262"/>
    </row>
    <row r="453" spans="1:11" x14ac:dyDescent="0.2">
      <c r="A453" s="306" t="s">
        <v>20838</v>
      </c>
      <c r="B453" s="261" t="s">
        <v>19318</v>
      </c>
      <c r="C453" s="261" t="s">
        <v>13844</v>
      </c>
      <c r="D453" s="261" t="s">
        <v>18054</v>
      </c>
      <c r="E453" s="261">
        <v>24</v>
      </c>
      <c r="F453" s="261" t="s">
        <v>20847</v>
      </c>
      <c r="G453" s="261" t="s">
        <v>13913</v>
      </c>
      <c r="H453" s="261" t="s">
        <v>13914</v>
      </c>
      <c r="I453" s="261"/>
      <c r="J453" s="261"/>
      <c r="K453" s="262"/>
    </row>
    <row r="454" spans="1:11" x14ac:dyDescent="0.2">
      <c r="A454" s="306" t="s">
        <v>20838</v>
      </c>
      <c r="B454" s="261" t="s">
        <v>19319</v>
      </c>
      <c r="C454" s="261" t="s">
        <v>13844</v>
      </c>
      <c r="D454" s="261" t="s">
        <v>18054</v>
      </c>
      <c r="E454" s="261">
        <v>25</v>
      </c>
      <c r="F454" s="261" t="s">
        <v>20848</v>
      </c>
      <c r="G454" s="261" t="s">
        <v>8862</v>
      </c>
      <c r="H454" s="261" t="s">
        <v>8863</v>
      </c>
      <c r="I454" s="261"/>
      <c r="J454" s="261"/>
      <c r="K454" s="262"/>
    </row>
    <row r="455" spans="1:11" x14ac:dyDescent="0.2">
      <c r="A455" s="306" t="s">
        <v>20838</v>
      </c>
      <c r="B455" s="261" t="s">
        <v>19319</v>
      </c>
      <c r="C455" s="261" t="s">
        <v>13844</v>
      </c>
      <c r="D455" s="261" t="s">
        <v>18054</v>
      </c>
      <c r="E455" s="261">
        <v>26</v>
      </c>
      <c r="F455" s="261" t="s">
        <v>20848</v>
      </c>
      <c r="G455" s="261" t="s">
        <v>13873</v>
      </c>
      <c r="H455" s="261" t="s">
        <v>13874</v>
      </c>
      <c r="I455" s="261"/>
      <c r="J455" s="261"/>
      <c r="K455" s="262"/>
    </row>
    <row r="456" spans="1:11" x14ac:dyDescent="0.2">
      <c r="A456" s="306" t="s">
        <v>20838</v>
      </c>
      <c r="B456" s="261" t="s">
        <v>19319</v>
      </c>
      <c r="C456" s="261" t="s">
        <v>13844</v>
      </c>
      <c r="D456" s="261" t="s">
        <v>18054</v>
      </c>
      <c r="E456" s="261">
        <v>27</v>
      </c>
      <c r="F456" s="261" t="s">
        <v>20848</v>
      </c>
      <c r="G456" s="261" t="s">
        <v>13875</v>
      </c>
      <c r="H456" s="261" t="s">
        <v>13876</v>
      </c>
      <c r="I456" s="261"/>
      <c r="J456" s="261"/>
      <c r="K456" s="262"/>
    </row>
    <row r="457" spans="1:11" x14ac:dyDescent="0.2">
      <c r="A457" s="306" t="s">
        <v>20838</v>
      </c>
      <c r="B457" s="261" t="s">
        <v>19321</v>
      </c>
      <c r="C457" s="261" t="s">
        <v>13844</v>
      </c>
      <c r="D457" s="261" t="s">
        <v>18054</v>
      </c>
      <c r="E457" s="261">
        <v>28</v>
      </c>
      <c r="F457" s="261" t="s">
        <v>20849</v>
      </c>
      <c r="G457" s="261" t="s">
        <v>9109</v>
      </c>
      <c r="H457" s="261" t="s">
        <v>9110</v>
      </c>
      <c r="I457" s="261"/>
      <c r="J457" s="261"/>
      <c r="K457" s="262"/>
    </row>
    <row r="458" spans="1:11" x14ac:dyDescent="0.2">
      <c r="A458" s="306" t="s">
        <v>20838</v>
      </c>
      <c r="B458" s="261" t="s">
        <v>19321</v>
      </c>
      <c r="C458" s="261" t="s">
        <v>13844</v>
      </c>
      <c r="D458" s="261" t="s">
        <v>18054</v>
      </c>
      <c r="E458" s="261">
        <v>29</v>
      </c>
      <c r="F458" s="261" t="s">
        <v>20849</v>
      </c>
      <c r="G458" s="261" t="s">
        <v>13878</v>
      </c>
      <c r="H458" s="261" t="s">
        <v>13879</v>
      </c>
      <c r="I458" s="261"/>
      <c r="J458" s="261"/>
      <c r="K458" s="262"/>
    </row>
    <row r="459" spans="1:11" x14ac:dyDescent="0.2">
      <c r="A459" s="306" t="s">
        <v>20838</v>
      </c>
      <c r="B459" s="261" t="s">
        <v>19321</v>
      </c>
      <c r="C459" s="261" t="s">
        <v>13844</v>
      </c>
      <c r="D459" s="261" t="s">
        <v>18054</v>
      </c>
      <c r="E459" s="261">
        <v>30</v>
      </c>
      <c r="F459" s="261" t="s">
        <v>20849</v>
      </c>
      <c r="G459" s="261" t="s">
        <v>13880</v>
      </c>
      <c r="H459" s="261" t="s">
        <v>13881</v>
      </c>
      <c r="I459" s="261"/>
      <c r="J459" s="261"/>
      <c r="K459" s="262"/>
    </row>
    <row r="460" spans="1:11" x14ac:dyDescent="0.2">
      <c r="A460" s="306" t="s">
        <v>20838</v>
      </c>
      <c r="B460" s="261" t="s">
        <v>19322</v>
      </c>
      <c r="C460" s="261" t="s">
        <v>13844</v>
      </c>
      <c r="D460" s="261" t="s">
        <v>18054</v>
      </c>
      <c r="E460" s="261">
        <v>31</v>
      </c>
      <c r="F460" s="261" t="s">
        <v>20850</v>
      </c>
      <c r="G460" s="261" t="s">
        <v>13883</v>
      </c>
      <c r="H460" s="261" t="s">
        <v>13884</v>
      </c>
      <c r="I460" s="261"/>
      <c r="J460" s="261"/>
      <c r="K460" s="262"/>
    </row>
    <row r="461" spans="1:11" x14ac:dyDescent="0.2">
      <c r="A461" s="306" t="s">
        <v>20838</v>
      </c>
      <c r="B461" s="261" t="s">
        <v>19322</v>
      </c>
      <c r="C461" s="261" t="s">
        <v>13844</v>
      </c>
      <c r="D461" s="261" t="s">
        <v>18054</v>
      </c>
      <c r="E461" s="261">
        <v>32</v>
      </c>
      <c r="F461" s="261" t="s">
        <v>20850</v>
      </c>
      <c r="G461" s="261" t="s">
        <v>13885</v>
      </c>
      <c r="H461" s="261" t="s">
        <v>13886</v>
      </c>
      <c r="I461" s="261"/>
      <c r="J461" s="261"/>
      <c r="K461" s="262"/>
    </row>
    <row r="462" spans="1:11" x14ac:dyDescent="0.2">
      <c r="A462" s="306" t="s">
        <v>20838</v>
      </c>
      <c r="B462" s="261" t="s">
        <v>19323</v>
      </c>
      <c r="C462" s="261" t="s">
        <v>13844</v>
      </c>
      <c r="D462" s="261" t="s">
        <v>18054</v>
      </c>
      <c r="E462" s="261">
        <v>33</v>
      </c>
      <c r="F462" s="261" t="s">
        <v>20851</v>
      </c>
      <c r="G462" s="261" t="s">
        <v>8875</v>
      </c>
      <c r="H462" s="261" t="s">
        <v>8876</v>
      </c>
      <c r="I462" s="261"/>
      <c r="J462" s="261"/>
      <c r="K462" s="262"/>
    </row>
    <row r="463" spans="1:11" x14ac:dyDescent="0.2">
      <c r="A463" s="306" t="s">
        <v>20838</v>
      </c>
      <c r="B463" s="261" t="s">
        <v>19323</v>
      </c>
      <c r="C463" s="261" t="s">
        <v>13844</v>
      </c>
      <c r="D463" s="261" t="s">
        <v>18054</v>
      </c>
      <c r="E463" s="261">
        <v>34</v>
      </c>
      <c r="F463" s="261" t="s">
        <v>20851</v>
      </c>
      <c r="G463" s="261" t="s">
        <v>13840</v>
      </c>
      <c r="H463" s="261" t="s">
        <v>13841</v>
      </c>
      <c r="I463" s="261"/>
      <c r="J463" s="261"/>
      <c r="K463" s="262"/>
    </row>
    <row r="464" spans="1:11" x14ac:dyDescent="0.2">
      <c r="A464" s="306" t="s">
        <v>20838</v>
      </c>
      <c r="B464" s="261" t="s">
        <v>19323</v>
      </c>
      <c r="C464" s="261" t="s">
        <v>13844</v>
      </c>
      <c r="D464" s="261" t="s">
        <v>18054</v>
      </c>
      <c r="E464" s="261">
        <v>35</v>
      </c>
      <c r="F464" s="261" t="s">
        <v>20851</v>
      </c>
      <c r="G464" s="261" t="s">
        <v>13845</v>
      </c>
      <c r="H464" s="261" t="s">
        <v>13846</v>
      </c>
      <c r="I464" s="261"/>
      <c r="J464" s="261"/>
      <c r="K464" s="262"/>
    </row>
    <row r="465" spans="1:11" x14ac:dyDescent="0.2">
      <c r="A465" s="306" t="s">
        <v>20838</v>
      </c>
      <c r="B465" s="261" t="s">
        <v>19325</v>
      </c>
      <c r="C465" s="261" t="s">
        <v>13844</v>
      </c>
      <c r="D465" s="261" t="s">
        <v>18054</v>
      </c>
      <c r="E465" s="261">
        <v>36</v>
      </c>
      <c r="F465" s="261" t="s">
        <v>20852</v>
      </c>
      <c r="G465" s="261" t="s">
        <v>9095</v>
      </c>
      <c r="H465" s="261" t="s">
        <v>9096</v>
      </c>
      <c r="I465" s="261"/>
      <c r="J465" s="261"/>
      <c r="K465" s="262"/>
    </row>
    <row r="466" spans="1:11" x14ac:dyDescent="0.2">
      <c r="A466" s="306" t="s">
        <v>20838</v>
      </c>
      <c r="B466" s="261" t="s">
        <v>19325</v>
      </c>
      <c r="C466" s="261" t="s">
        <v>13844</v>
      </c>
      <c r="D466" s="261" t="s">
        <v>18054</v>
      </c>
      <c r="E466" s="261">
        <v>37</v>
      </c>
      <c r="F466" s="261" t="s">
        <v>20852</v>
      </c>
      <c r="G466" s="261" t="s">
        <v>13848</v>
      </c>
      <c r="H466" s="261" t="s">
        <v>13849</v>
      </c>
      <c r="I466" s="261"/>
      <c r="J466" s="261"/>
      <c r="K466" s="262"/>
    </row>
    <row r="467" spans="1:11" x14ac:dyDescent="0.2">
      <c r="A467" s="306" t="s">
        <v>20838</v>
      </c>
      <c r="B467" s="261" t="s">
        <v>19325</v>
      </c>
      <c r="C467" s="261" t="s">
        <v>13844</v>
      </c>
      <c r="D467" s="261" t="s">
        <v>18054</v>
      </c>
      <c r="E467" s="261">
        <v>38</v>
      </c>
      <c r="F467" s="261" t="s">
        <v>20852</v>
      </c>
      <c r="G467" s="261" t="s">
        <v>13850</v>
      </c>
      <c r="H467" s="261" t="s">
        <v>13851</v>
      </c>
      <c r="I467" s="261"/>
      <c r="J467" s="261"/>
      <c r="K467" s="262"/>
    </row>
    <row r="468" spans="1:11" x14ac:dyDescent="0.2">
      <c r="A468" s="306" t="s">
        <v>20838</v>
      </c>
      <c r="B468" s="261" t="s">
        <v>19326</v>
      </c>
      <c r="C468" s="261" t="s">
        <v>13844</v>
      </c>
      <c r="D468" s="261" t="s">
        <v>18054</v>
      </c>
      <c r="E468" s="261">
        <v>39</v>
      </c>
      <c r="F468" s="261" t="s">
        <v>20853</v>
      </c>
      <c r="G468" s="261" t="s">
        <v>13853</v>
      </c>
      <c r="H468" s="261" t="s">
        <v>13854</v>
      </c>
      <c r="I468" s="261"/>
      <c r="J468" s="261"/>
      <c r="K468" s="262"/>
    </row>
    <row r="469" spans="1:11" x14ac:dyDescent="0.2">
      <c r="A469" s="306" t="s">
        <v>20838</v>
      </c>
      <c r="B469" s="261" t="s">
        <v>19326</v>
      </c>
      <c r="C469" s="261" t="s">
        <v>13844</v>
      </c>
      <c r="D469" s="261" t="s">
        <v>18054</v>
      </c>
      <c r="E469" s="261">
        <v>40</v>
      </c>
      <c r="F469" s="261" t="s">
        <v>20853</v>
      </c>
      <c r="G469" s="261" t="s">
        <v>13856</v>
      </c>
      <c r="H469" s="261" t="s">
        <v>13857</v>
      </c>
      <c r="I469" s="261"/>
      <c r="J469" s="261"/>
      <c r="K469" s="262"/>
    </row>
    <row r="470" spans="1:11" x14ac:dyDescent="0.2">
      <c r="A470" s="306" t="s">
        <v>20838</v>
      </c>
      <c r="B470" s="261" t="s">
        <v>19363</v>
      </c>
      <c r="C470" s="261" t="s">
        <v>13844</v>
      </c>
      <c r="D470" s="261" t="s">
        <v>18054</v>
      </c>
      <c r="E470" s="261">
        <v>41</v>
      </c>
      <c r="F470" s="261" t="s">
        <v>20854</v>
      </c>
      <c r="G470" s="261" t="s">
        <v>14708</v>
      </c>
      <c r="H470" s="261" t="s">
        <v>14709</v>
      </c>
      <c r="I470" s="261"/>
      <c r="J470" s="261"/>
      <c r="K470" s="262"/>
    </row>
    <row r="471" spans="1:11" x14ac:dyDescent="0.2">
      <c r="A471" s="306" t="s">
        <v>20838</v>
      </c>
      <c r="B471" s="261" t="s">
        <v>19365</v>
      </c>
      <c r="C471" s="261" t="s">
        <v>13844</v>
      </c>
      <c r="D471" s="261" t="s">
        <v>18054</v>
      </c>
      <c r="E471" s="261">
        <v>42</v>
      </c>
      <c r="F471" s="261" t="s">
        <v>20855</v>
      </c>
      <c r="G471" s="261" t="s">
        <v>14712</v>
      </c>
      <c r="H471" s="261" t="s">
        <v>14713</v>
      </c>
      <c r="I471" s="261"/>
      <c r="J471" s="261"/>
      <c r="K471" s="262"/>
    </row>
    <row r="472" spans="1:11" x14ac:dyDescent="0.2">
      <c r="A472" s="306" t="s">
        <v>20838</v>
      </c>
      <c r="B472" s="261" t="s">
        <v>19367</v>
      </c>
      <c r="C472" s="261" t="s">
        <v>13844</v>
      </c>
      <c r="D472" s="261" t="s">
        <v>18054</v>
      </c>
      <c r="E472" s="261">
        <v>43</v>
      </c>
      <c r="F472" s="261" t="s">
        <v>20856</v>
      </c>
      <c r="G472" s="261" t="s">
        <v>14714</v>
      </c>
      <c r="H472" s="261" t="s">
        <v>14715</v>
      </c>
      <c r="I472" s="261"/>
      <c r="J472" s="261"/>
      <c r="K472" s="262"/>
    </row>
    <row r="473" spans="1:11" x14ac:dyDescent="0.2">
      <c r="A473" s="306" t="s">
        <v>20838</v>
      </c>
      <c r="B473" s="261" t="s">
        <v>19369</v>
      </c>
      <c r="C473" s="261" t="s">
        <v>13844</v>
      </c>
      <c r="D473" s="261" t="s">
        <v>18054</v>
      </c>
      <c r="E473" s="261">
        <v>44</v>
      </c>
      <c r="F473" s="261" t="s">
        <v>20857</v>
      </c>
      <c r="G473" s="261" t="s">
        <v>14710</v>
      </c>
      <c r="H473" s="261" t="s">
        <v>20570</v>
      </c>
      <c r="I473" s="261"/>
      <c r="J473" s="261"/>
      <c r="K473" s="262"/>
    </row>
    <row r="474" spans="1:11" x14ac:dyDescent="0.2">
      <c r="A474" s="306" t="s">
        <v>20838</v>
      </c>
      <c r="B474" s="261" t="s">
        <v>19371</v>
      </c>
      <c r="C474" s="261" t="s">
        <v>13844</v>
      </c>
      <c r="D474" s="261" t="s">
        <v>18054</v>
      </c>
      <c r="E474" s="261">
        <v>45</v>
      </c>
      <c r="F474" s="261" t="s">
        <v>20858</v>
      </c>
      <c r="G474" s="261" t="s">
        <v>14705</v>
      </c>
      <c r="H474" s="261" t="s">
        <v>14706</v>
      </c>
      <c r="I474" s="261"/>
      <c r="J474" s="261"/>
      <c r="K474" s="262"/>
    </row>
    <row r="475" spans="1:11" x14ac:dyDescent="0.2">
      <c r="A475" s="306" t="s">
        <v>20838</v>
      </c>
      <c r="B475" s="261" t="s">
        <v>20838</v>
      </c>
      <c r="C475" s="261" t="s">
        <v>13844</v>
      </c>
      <c r="D475" s="261" t="s">
        <v>18054</v>
      </c>
      <c r="E475" s="261">
        <v>46</v>
      </c>
      <c r="F475" s="261" t="s">
        <v>20859</v>
      </c>
      <c r="G475" s="261" t="s">
        <v>14718</v>
      </c>
      <c r="H475" s="261" t="s">
        <v>14719</v>
      </c>
      <c r="I475" s="261"/>
      <c r="J475" s="261"/>
      <c r="K475" s="262"/>
    </row>
    <row r="476" spans="1:11" x14ac:dyDescent="0.2">
      <c r="A476" s="306" t="s">
        <v>20838</v>
      </c>
      <c r="B476" s="261" t="s">
        <v>19330</v>
      </c>
      <c r="C476" s="261" t="s">
        <v>19328</v>
      </c>
      <c r="D476" s="261" t="s">
        <v>18054</v>
      </c>
      <c r="E476" s="261">
        <v>47</v>
      </c>
      <c r="F476" s="261" t="s">
        <v>20860</v>
      </c>
      <c r="G476" s="261" t="s">
        <v>9463</v>
      </c>
      <c r="H476" s="261" t="s">
        <v>9464</v>
      </c>
      <c r="I476" s="261"/>
      <c r="J476" s="261"/>
      <c r="K476" s="262"/>
    </row>
    <row r="477" spans="1:11" x14ac:dyDescent="0.2">
      <c r="A477" s="306" t="s">
        <v>20838</v>
      </c>
      <c r="B477" s="261" t="s">
        <v>19334</v>
      </c>
      <c r="C477" s="261" t="s">
        <v>19328</v>
      </c>
      <c r="D477" s="261" t="s">
        <v>18054</v>
      </c>
      <c r="E477" s="261">
        <v>48</v>
      </c>
      <c r="F477" s="261" t="s">
        <v>20861</v>
      </c>
      <c r="G477" s="261" t="s">
        <v>9449</v>
      </c>
      <c r="H477" s="261" t="s">
        <v>9450</v>
      </c>
      <c r="I477" s="261"/>
      <c r="J477" s="261"/>
      <c r="K477" s="262"/>
    </row>
    <row r="478" spans="1:11" x14ac:dyDescent="0.2">
      <c r="A478" s="306" t="s">
        <v>20838</v>
      </c>
      <c r="B478" s="261" t="s">
        <v>19338</v>
      </c>
      <c r="C478" s="261" t="s">
        <v>19328</v>
      </c>
      <c r="D478" s="261" t="s">
        <v>18054</v>
      </c>
      <c r="E478" s="261">
        <v>49</v>
      </c>
      <c r="F478" s="261" t="s">
        <v>20862</v>
      </c>
      <c r="G478" s="261" t="s">
        <v>9470</v>
      </c>
      <c r="H478" s="261" t="s">
        <v>9471</v>
      </c>
      <c r="I478" s="261"/>
      <c r="J478" s="261"/>
      <c r="K478" s="262"/>
    </row>
    <row r="479" spans="1:11" x14ac:dyDescent="0.2">
      <c r="A479" s="306" t="s">
        <v>20838</v>
      </c>
      <c r="B479" s="261" t="s">
        <v>19342</v>
      </c>
      <c r="C479" s="261" t="s">
        <v>19328</v>
      </c>
      <c r="D479" s="261" t="s">
        <v>18054</v>
      </c>
      <c r="E479" s="261">
        <v>50</v>
      </c>
      <c r="F479" s="261" t="s">
        <v>20863</v>
      </c>
      <c r="G479" s="261" t="s">
        <v>9476</v>
      </c>
      <c r="H479" s="261" t="s">
        <v>9477</v>
      </c>
      <c r="I479" s="261"/>
      <c r="J479" s="261"/>
      <c r="K479" s="262"/>
    </row>
    <row r="480" spans="1:11" x14ac:dyDescent="0.2">
      <c r="A480" s="306" t="s">
        <v>20838</v>
      </c>
      <c r="B480" s="261" t="s">
        <v>19346</v>
      </c>
      <c r="C480" s="261" t="s">
        <v>19328</v>
      </c>
      <c r="D480" s="261" t="s">
        <v>18054</v>
      </c>
      <c r="E480" s="261">
        <v>51</v>
      </c>
      <c r="F480" s="261" t="s">
        <v>20864</v>
      </c>
      <c r="G480" s="261" t="s">
        <v>9482</v>
      </c>
      <c r="H480" s="261" t="s">
        <v>9483</v>
      </c>
      <c r="I480" s="261"/>
      <c r="J480" s="261"/>
      <c r="K480" s="262"/>
    </row>
    <row r="481" spans="1:11" x14ac:dyDescent="0.2">
      <c r="A481" s="306" t="s">
        <v>24292</v>
      </c>
      <c r="B481" s="261" t="s">
        <v>21482</v>
      </c>
      <c r="C481" s="261" t="s">
        <v>20</v>
      </c>
      <c r="D481" s="261" t="s">
        <v>21483</v>
      </c>
      <c r="E481" s="261">
        <v>1</v>
      </c>
      <c r="F481" s="261" t="s">
        <v>21484</v>
      </c>
      <c r="G481" s="261"/>
      <c r="H481" s="261"/>
      <c r="I481" s="261" t="s">
        <v>10772</v>
      </c>
      <c r="J481" s="261" t="s">
        <v>21485</v>
      </c>
      <c r="K481" s="262">
        <v>500</v>
      </c>
    </row>
    <row r="482" spans="1:11" x14ac:dyDescent="0.2">
      <c r="A482" s="306" t="s">
        <v>24292</v>
      </c>
      <c r="B482" s="261" t="s">
        <v>21482</v>
      </c>
      <c r="C482" s="261" t="s">
        <v>20</v>
      </c>
      <c r="D482" s="261" t="s">
        <v>21483</v>
      </c>
      <c r="E482" s="261">
        <v>2</v>
      </c>
      <c r="F482" s="261" t="s">
        <v>21486</v>
      </c>
      <c r="G482" s="261"/>
      <c r="H482" s="261"/>
      <c r="I482" s="261" t="s">
        <v>10772</v>
      </c>
      <c r="J482" s="261" t="s">
        <v>21485</v>
      </c>
      <c r="K482" s="262">
        <v>1000</v>
      </c>
    </row>
    <row r="483" spans="1:11" x14ac:dyDescent="0.2">
      <c r="A483" s="306" t="s">
        <v>24292</v>
      </c>
      <c r="B483" s="261" t="s">
        <v>21482</v>
      </c>
      <c r="C483" s="261" t="s">
        <v>20</v>
      </c>
      <c r="D483" s="261" t="s">
        <v>21483</v>
      </c>
      <c r="E483" s="261">
        <v>3</v>
      </c>
      <c r="F483" s="261" t="s">
        <v>21487</v>
      </c>
      <c r="G483" s="261"/>
      <c r="H483" s="261"/>
      <c r="I483" s="261" t="s">
        <v>10772</v>
      </c>
      <c r="J483" s="261" t="s">
        <v>21485</v>
      </c>
      <c r="K483" s="262">
        <v>2000</v>
      </c>
    </row>
    <row r="484" spans="1:11" x14ac:dyDescent="0.2">
      <c r="A484" s="306" t="s">
        <v>24292</v>
      </c>
      <c r="B484" s="261" t="s">
        <v>21482</v>
      </c>
      <c r="C484" s="261" t="s">
        <v>20</v>
      </c>
      <c r="D484" s="261" t="s">
        <v>21483</v>
      </c>
      <c r="E484" s="261">
        <v>4</v>
      </c>
      <c r="F484" s="261" t="s">
        <v>21488</v>
      </c>
      <c r="G484" s="261"/>
      <c r="H484" s="261"/>
      <c r="I484" s="261" t="s">
        <v>10772</v>
      </c>
      <c r="J484" s="261" t="s">
        <v>21485</v>
      </c>
      <c r="K484" s="262">
        <v>3000</v>
      </c>
    </row>
    <row r="485" spans="1:11" x14ac:dyDescent="0.2">
      <c r="A485" s="306" t="s">
        <v>24292</v>
      </c>
      <c r="B485" s="261" t="s">
        <v>21482</v>
      </c>
      <c r="C485" s="261" t="s">
        <v>20</v>
      </c>
      <c r="D485" s="261" t="s">
        <v>21483</v>
      </c>
      <c r="E485" s="261">
        <v>5</v>
      </c>
      <c r="F485" s="261" t="s">
        <v>21489</v>
      </c>
      <c r="G485" s="261"/>
      <c r="H485" s="261"/>
      <c r="I485" s="261" t="s">
        <v>10772</v>
      </c>
      <c r="J485" s="261" t="s">
        <v>21485</v>
      </c>
      <c r="K485" s="262">
        <v>5000</v>
      </c>
    </row>
    <row r="486" spans="1:11" x14ac:dyDescent="0.2">
      <c r="A486" s="306" t="s">
        <v>24292</v>
      </c>
      <c r="B486" s="261" t="s">
        <v>21482</v>
      </c>
      <c r="C486" s="261" t="s">
        <v>20</v>
      </c>
      <c r="D486" s="261" t="s">
        <v>21483</v>
      </c>
      <c r="E486" s="261">
        <v>6</v>
      </c>
      <c r="F486" s="261" t="s">
        <v>21490</v>
      </c>
      <c r="G486" s="261"/>
      <c r="H486" s="261"/>
      <c r="I486" s="261" t="s">
        <v>10772</v>
      </c>
      <c r="J486" s="261" t="s">
        <v>21485</v>
      </c>
      <c r="K486" s="262">
        <v>10000</v>
      </c>
    </row>
    <row r="487" spans="1:11" x14ac:dyDescent="0.2">
      <c r="A487" s="306" t="s">
        <v>24292</v>
      </c>
      <c r="B487" s="261" t="s">
        <v>21482</v>
      </c>
      <c r="C487" s="261" t="s">
        <v>20</v>
      </c>
      <c r="D487" s="261" t="s">
        <v>21483</v>
      </c>
      <c r="E487" s="261">
        <v>7</v>
      </c>
      <c r="F487" s="261" t="s">
        <v>21491</v>
      </c>
      <c r="G487" s="261"/>
      <c r="H487" s="261"/>
      <c r="I487" s="261" t="s">
        <v>10772</v>
      </c>
      <c r="J487" s="261" t="s">
        <v>21485</v>
      </c>
      <c r="K487" s="262">
        <v>500</v>
      </c>
    </row>
    <row r="488" spans="1:11" x14ac:dyDescent="0.2">
      <c r="A488" s="306" t="s">
        <v>24292</v>
      </c>
      <c r="B488" s="261" t="s">
        <v>21482</v>
      </c>
      <c r="C488" s="261" t="s">
        <v>20</v>
      </c>
      <c r="D488" s="261" t="s">
        <v>21483</v>
      </c>
      <c r="E488" s="261">
        <v>8</v>
      </c>
      <c r="F488" s="261" t="s">
        <v>21492</v>
      </c>
      <c r="G488" s="261"/>
      <c r="H488" s="261"/>
      <c r="I488" s="261" t="s">
        <v>10772</v>
      </c>
      <c r="J488" s="261" t="s">
        <v>21485</v>
      </c>
      <c r="K488" s="262">
        <v>600</v>
      </c>
    </row>
    <row r="489" spans="1:11" x14ac:dyDescent="0.2">
      <c r="A489" s="306" t="s">
        <v>24292</v>
      </c>
      <c r="B489" s="261" t="s">
        <v>21482</v>
      </c>
      <c r="C489" s="261" t="s">
        <v>20</v>
      </c>
      <c r="D489" s="261" t="s">
        <v>21483</v>
      </c>
      <c r="E489" s="261">
        <v>9</v>
      </c>
      <c r="F489" s="261" t="s">
        <v>21493</v>
      </c>
      <c r="G489" s="261"/>
      <c r="H489" s="261"/>
      <c r="I489" s="261" t="s">
        <v>10772</v>
      </c>
      <c r="J489" s="261" t="s">
        <v>21485</v>
      </c>
      <c r="K489" s="262">
        <v>1000</v>
      </c>
    </row>
    <row r="490" spans="1:11" x14ac:dyDescent="0.2">
      <c r="A490" s="306" t="s">
        <v>24292</v>
      </c>
      <c r="B490" s="261" t="s">
        <v>21482</v>
      </c>
      <c r="C490" s="261" t="s">
        <v>20</v>
      </c>
      <c r="D490" s="261" t="s">
        <v>21483</v>
      </c>
      <c r="E490" s="261">
        <v>10</v>
      </c>
      <c r="F490" s="261" t="s">
        <v>21494</v>
      </c>
      <c r="G490" s="261"/>
      <c r="H490" s="261"/>
      <c r="I490" s="261" t="s">
        <v>10772</v>
      </c>
      <c r="J490" s="261" t="s">
        <v>21485</v>
      </c>
      <c r="K490" s="262">
        <v>1000</v>
      </c>
    </row>
    <row r="491" spans="1:11" x14ac:dyDescent="0.2">
      <c r="A491" s="306" t="s">
        <v>24292</v>
      </c>
      <c r="B491" s="261" t="s">
        <v>21482</v>
      </c>
      <c r="C491" s="261" t="s">
        <v>20</v>
      </c>
      <c r="D491" s="261" t="s">
        <v>21483</v>
      </c>
      <c r="E491" s="261">
        <v>11</v>
      </c>
      <c r="F491" s="261" t="s">
        <v>21495</v>
      </c>
      <c r="G491" s="261"/>
      <c r="H491" s="261"/>
      <c r="I491" s="261" t="s">
        <v>10772</v>
      </c>
      <c r="J491" s="261" t="s">
        <v>21485</v>
      </c>
      <c r="K491" s="262">
        <v>1000</v>
      </c>
    </row>
    <row r="492" spans="1:11" x14ac:dyDescent="0.2">
      <c r="A492" s="306" t="s">
        <v>24292</v>
      </c>
      <c r="B492" s="261" t="s">
        <v>21482</v>
      </c>
      <c r="C492" s="261" t="s">
        <v>20</v>
      </c>
      <c r="D492" s="261" t="s">
        <v>21483</v>
      </c>
      <c r="E492" s="261">
        <v>12</v>
      </c>
      <c r="F492" s="261" t="s">
        <v>21496</v>
      </c>
      <c r="G492" s="261"/>
      <c r="H492" s="261"/>
      <c r="I492" s="261" t="s">
        <v>10772</v>
      </c>
      <c r="J492" s="261" t="s">
        <v>21485</v>
      </c>
      <c r="K492" s="262">
        <v>1000</v>
      </c>
    </row>
    <row r="493" spans="1:11" x14ac:dyDescent="0.2">
      <c r="A493" s="306" t="s">
        <v>24292</v>
      </c>
      <c r="B493" s="261" t="s">
        <v>21482</v>
      </c>
      <c r="C493" s="261" t="s">
        <v>20</v>
      </c>
      <c r="D493" s="261" t="s">
        <v>21483</v>
      </c>
      <c r="E493" s="261">
        <v>13</v>
      </c>
      <c r="F493" s="261" t="s">
        <v>21497</v>
      </c>
      <c r="G493" s="261"/>
      <c r="H493" s="261"/>
      <c r="I493" s="261" t="s">
        <v>10772</v>
      </c>
      <c r="J493" s="261" t="s">
        <v>21485</v>
      </c>
      <c r="K493" s="262">
        <v>1000</v>
      </c>
    </row>
    <row r="494" spans="1:11" x14ac:dyDescent="0.2">
      <c r="A494" s="306" t="s">
        <v>24292</v>
      </c>
      <c r="B494" s="261" t="s">
        <v>21482</v>
      </c>
      <c r="C494" s="261" t="s">
        <v>20</v>
      </c>
      <c r="D494" s="261" t="s">
        <v>21483</v>
      </c>
      <c r="E494" s="261">
        <v>14</v>
      </c>
      <c r="F494" s="261" t="s">
        <v>21498</v>
      </c>
      <c r="G494" s="261"/>
      <c r="H494" s="261"/>
      <c r="I494" s="261" t="s">
        <v>10772</v>
      </c>
      <c r="J494" s="261" t="s">
        <v>21485</v>
      </c>
      <c r="K494" s="262">
        <v>1500</v>
      </c>
    </row>
    <row r="495" spans="1:11" x14ac:dyDescent="0.2">
      <c r="A495" s="306" t="s">
        <v>24292</v>
      </c>
      <c r="B495" s="261" t="s">
        <v>21482</v>
      </c>
      <c r="C495" s="261" t="s">
        <v>20</v>
      </c>
      <c r="D495" s="261" t="s">
        <v>21483</v>
      </c>
      <c r="E495" s="261">
        <v>15</v>
      </c>
      <c r="F495" s="261" t="s">
        <v>21499</v>
      </c>
      <c r="G495" s="261"/>
      <c r="H495" s="261"/>
      <c r="I495" s="261" t="s">
        <v>10772</v>
      </c>
      <c r="J495" s="261" t="s">
        <v>21485</v>
      </c>
      <c r="K495" s="262">
        <v>2000</v>
      </c>
    </row>
    <row r="496" spans="1:11" x14ac:dyDescent="0.2">
      <c r="A496" s="306" t="s">
        <v>24292</v>
      </c>
      <c r="B496" s="261" t="s">
        <v>21482</v>
      </c>
      <c r="C496" s="261" t="s">
        <v>20</v>
      </c>
      <c r="D496" s="261" t="s">
        <v>21483</v>
      </c>
      <c r="E496" s="261">
        <v>16</v>
      </c>
      <c r="F496" s="261" t="s">
        <v>21500</v>
      </c>
      <c r="G496" s="261"/>
      <c r="H496" s="261"/>
      <c r="I496" s="261" t="s">
        <v>10772</v>
      </c>
      <c r="J496" s="261" t="s">
        <v>21501</v>
      </c>
      <c r="K496" s="262">
        <v>200</v>
      </c>
    </row>
    <row r="497" spans="1:11" x14ac:dyDescent="0.2">
      <c r="A497" s="306" t="s">
        <v>24292</v>
      </c>
      <c r="B497" s="261" t="s">
        <v>21482</v>
      </c>
      <c r="C497" s="261" t="s">
        <v>20</v>
      </c>
      <c r="D497" s="261" t="s">
        <v>21483</v>
      </c>
      <c r="E497" s="261">
        <v>17</v>
      </c>
      <c r="F497" s="261" t="s">
        <v>21502</v>
      </c>
      <c r="G497" s="261"/>
      <c r="H497" s="261"/>
      <c r="I497" s="261" t="s">
        <v>10772</v>
      </c>
      <c r="J497" s="261" t="s">
        <v>21501</v>
      </c>
      <c r="K497" s="262">
        <v>500</v>
      </c>
    </row>
    <row r="498" spans="1:11" x14ac:dyDescent="0.2">
      <c r="A498" s="306" t="s">
        <v>24292</v>
      </c>
      <c r="B498" s="261" t="s">
        <v>21482</v>
      </c>
      <c r="C498" s="261" t="s">
        <v>20</v>
      </c>
      <c r="D498" s="261" t="s">
        <v>21483</v>
      </c>
      <c r="E498" s="261">
        <v>18</v>
      </c>
      <c r="F498" s="261" t="s">
        <v>21503</v>
      </c>
      <c r="G498" s="261"/>
      <c r="H498" s="261"/>
      <c r="I498" s="261" t="s">
        <v>10772</v>
      </c>
      <c r="J498" s="261" t="s">
        <v>21501</v>
      </c>
      <c r="K498" s="262">
        <v>1000</v>
      </c>
    </row>
    <row r="499" spans="1:11" x14ac:dyDescent="0.2">
      <c r="A499" s="306" t="s">
        <v>24292</v>
      </c>
      <c r="B499" s="261" t="s">
        <v>21482</v>
      </c>
      <c r="C499" s="261" t="s">
        <v>20</v>
      </c>
      <c r="D499" s="261" t="s">
        <v>21483</v>
      </c>
      <c r="E499" s="261">
        <v>19</v>
      </c>
      <c r="F499" s="261" t="s">
        <v>21504</v>
      </c>
      <c r="G499" s="261"/>
      <c r="H499" s="261"/>
      <c r="I499" s="261" t="s">
        <v>10772</v>
      </c>
      <c r="J499" s="261" t="s">
        <v>21501</v>
      </c>
      <c r="K499" s="262">
        <v>2000</v>
      </c>
    </row>
    <row r="500" spans="1:11" x14ac:dyDescent="0.2">
      <c r="A500" s="306" t="s">
        <v>24292</v>
      </c>
      <c r="B500" s="261" t="s">
        <v>21482</v>
      </c>
      <c r="C500" s="261" t="s">
        <v>20</v>
      </c>
      <c r="D500" s="261" t="s">
        <v>21483</v>
      </c>
      <c r="E500" s="261">
        <v>20</v>
      </c>
      <c r="F500" s="261" t="s">
        <v>21505</v>
      </c>
      <c r="G500" s="261"/>
      <c r="H500" s="261"/>
      <c r="I500" s="261" t="s">
        <v>10772</v>
      </c>
      <c r="J500" s="261" t="s">
        <v>21501</v>
      </c>
      <c r="K500" s="262">
        <v>200</v>
      </c>
    </row>
    <row r="501" spans="1:11" x14ac:dyDescent="0.2">
      <c r="A501" s="306" t="s">
        <v>24292</v>
      </c>
      <c r="B501" s="261" t="s">
        <v>21482</v>
      </c>
      <c r="C501" s="261" t="s">
        <v>20</v>
      </c>
      <c r="D501" s="261" t="s">
        <v>21483</v>
      </c>
      <c r="E501" s="261">
        <v>21</v>
      </c>
      <c r="F501" s="261" t="s">
        <v>21506</v>
      </c>
      <c r="G501" s="261"/>
      <c r="H501" s="261"/>
      <c r="I501" s="261" t="s">
        <v>10772</v>
      </c>
      <c r="J501" s="261" t="s">
        <v>21501</v>
      </c>
      <c r="K501" s="262">
        <v>500</v>
      </c>
    </row>
    <row r="502" spans="1:11" x14ac:dyDescent="0.2">
      <c r="A502" s="306" t="s">
        <v>24292</v>
      </c>
      <c r="B502" s="261" t="s">
        <v>21482</v>
      </c>
      <c r="C502" s="261" t="s">
        <v>20</v>
      </c>
      <c r="D502" s="261" t="s">
        <v>21483</v>
      </c>
      <c r="E502" s="261">
        <v>22</v>
      </c>
      <c r="F502" s="261" t="s">
        <v>21507</v>
      </c>
      <c r="G502" s="261"/>
      <c r="H502" s="261"/>
      <c r="I502" s="261" t="s">
        <v>10772</v>
      </c>
      <c r="J502" s="261" t="s">
        <v>21501</v>
      </c>
      <c r="K502" s="262">
        <v>1000</v>
      </c>
    </row>
    <row r="503" spans="1:11" x14ac:dyDescent="0.2">
      <c r="A503" s="306" t="s">
        <v>24292</v>
      </c>
      <c r="B503" s="261" t="s">
        <v>21482</v>
      </c>
      <c r="C503" s="261" t="s">
        <v>20</v>
      </c>
      <c r="D503" s="261" t="s">
        <v>21483</v>
      </c>
      <c r="E503" s="261">
        <v>23</v>
      </c>
      <c r="F503" s="261" t="s">
        <v>21508</v>
      </c>
      <c r="G503" s="261"/>
      <c r="H503" s="261"/>
      <c r="I503" s="261" t="s">
        <v>10772</v>
      </c>
      <c r="J503" s="261" t="s">
        <v>21501</v>
      </c>
      <c r="K503" s="262">
        <v>2000</v>
      </c>
    </row>
    <row r="504" spans="1:11" x14ac:dyDescent="0.2">
      <c r="A504" s="306" t="s">
        <v>24292</v>
      </c>
      <c r="B504" s="261" t="s">
        <v>21482</v>
      </c>
      <c r="C504" s="261" t="s">
        <v>20</v>
      </c>
      <c r="D504" s="261" t="s">
        <v>21483</v>
      </c>
      <c r="E504" s="261">
        <v>24</v>
      </c>
      <c r="F504" s="261" t="s">
        <v>21509</v>
      </c>
      <c r="G504" s="261"/>
      <c r="H504" s="261"/>
      <c r="I504" s="261" t="s">
        <v>10772</v>
      </c>
      <c r="J504" s="261" t="s">
        <v>21501</v>
      </c>
      <c r="K504" s="262">
        <v>200</v>
      </c>
    </row>
    <row r="505" spans="1:11" x14ac:dyDescent="0.2">
      <c r="A505" s="306" t="s">
        <v>24292</v>
      </c>
      <c r="B505" s="261" t="s">
        <v>21482</v>
      </c>
      <c r="C505" s="261" t="s">
        <v>20</v>
      </c>
      <c r="D505" s="261" t="s">
        <v>21483</v>
      </c>
      <c r="E505" s="261">
        <v>25</v>
      </c>
      <c r="F505" s="261" t="s">
        <v>21510</v>
      </c>
      <c r="G505" s="261"/>
      <c r="H505" s="261"/>
      <c r="I505" s="261" t="s">
        <v>10772</v>
      </c>
      <c r="J505" s="261" t="s">
        <v>21501</v>
      </c>
      <c r="K505" s="262">
        <v>500</v>
      </c>
    </row>
    <row r="506" spans="1:11" x14ac:dyDescent="0.2">
      <c r="A506" s="306" t="s">
        <v>24292</v>
      </c>
      <c r="B506" s="261" t="s">
        <v>21482</v>
      </c>
      <c r="C506" s="261" t="s">
        <v>20</v>
      </c>
      <c r="D506" s="261" t="s">
        <v>21483</v>
      </c>
      <c r="E506" s="261">
        <v>26</v>
      </c>
      <c r="F506" s="261" t="s">
        <v>21511</v>
      </c>
      <c r="G506" s="261"/>
      <c r="H506" s="261"/>
      <c r="I506" s="261" t="s">
        <v>10772</v>
      </c>
      <c r="J506" s="261" t="s">
        <v>21501</v>
      </c>
      <c r="K506" s="262">
        <v>1000</v>
      </c>
    </row>
    <row r="507" spans="1:11" x14ac:dyDescent="0.2">
      <c r="A507" s="306" t="s">
        <v>24292</v>
      </c>
      <c r="B507" s="261" t="s">
        <v>21482</v>
      </c>
      <c r="C507" s="261" t="s">
        <v>20</v>
      </c>
      <c r="D507" s="261" t="s">
        <v>21483</v>
      </c>
      <c r="E507" s="261">
        <v>27</v>
      </c>
      <c r="F507" s="261" t="s">
        <v>21512</v>
      </c>
      <c r="G507" s="261"/>
      <c r="H507" s="261"/>
      <c r="I507" s="261" t="s">
        <v>10772</v>
      </c>
      <c r="J507" s="261" t="s">
        <v>21501</v>
      </c>
      <c r="K507" s="262">
        <v>2000</v>
      </c>
    </row>
    <row r="508" spans="1:11" x14ac:dyDescent="0.2">
      <c r="A508" s="306" t="s">
        <v>24292</v>
      </c>
      <c r="B508" s="261" t="s">
        <v>21482</v>
      </c>
      <c r="C508" s="261" t="s">
        <v>20</v>
      </c>
      <c r="D508" s="261" t="s">
        <v>21483</v>
      </c>
      <c r="E508" s="261">
        <v>28</v>
      </c>
      <c r="F508" s="261" t="s">
        <v>21513</v>
      </c>
      <c r="G508" s="261"/>
      <c r="H508" s="261"/>
      <c r="I508" s="261" t="s">
        <v>10772</v>
      </c>
      <c r="J508" s="261" t="s">
        <v>21485</v>
      </c>
      <c r="K508" s="262">
        <v>1000</v>
      </c>
    </row>
    <row r="509" spans="1:11" x14ac:dyDescent="0.2">
      <c r="A509" s="306" t="s">
        <v>24292</v>
      </c>
      <c r="B509" s="261" t="s">
        <v>21482</v>
      </c>
      <c r="C509" s="261" t="s">
        <v>20</v>
      </c>
      <c r="D509" s="261" t="s">
        <v>21483</v>
      </c>
      <c r="E509" s="261">
        <v>29</v>
      </c>
      <c r="F509" s="261" t="s">
        <v>21514</v>
      </c>
      <c r="G509" s="261"/>
      <c r="H509" s="261"/>
      <c r="I509" s="261" t="s">
        <v>10772</v>
      </c>
      <c r="J509" s="261" t="s">
        <v>21485</v>
      </c>
      <c r="K509" s="262">
        <v>1000</v>
      </c>
    </row>
    <row r="510" spans="1:11" x14ac:dyDescent="0.2">
      <c r="A510" s="306" t="s">
        <v>24292</v>
      </c>
      <c r="B510" s="261" t="s">
        <v>21482</v>
      </c>
      <c r="C510" s="261" t="s">
        <v>20</v>
      </c>
      <c r="D510" s="261" t="s">
        <v>21483</v>
      </c>
      <c r="E510" s="261">
        <v>30</v>
      </c>
      <c r="F510" s="261" t="s">
        <v>21515</v>
      </c>
      <c r="G510" s="261"/>
      <c r="H510" s="261"/>
      <c r="I510" s="261" t="s">
        <v>10772</v>
      </c>
      <c r="J510" s="261" t="s">
        <v>21485</v>
      </c>
      <c r="K510" s="262">
        <v>1000</v>
      </c>
    </row>
    <row r="511" spans="1:11" x14ac:dyDescent="0.2">
      <c r="A511" s="306" t="s">
        <v>24292</v>
      </c>
      <c r="B511" s="261" t="s">
        <v>21482</v>
      </c>
      <c r="C511" s="261" t="s">
        <v>20</v>
      </c>
      <c r="D511" s="261" t="s">
        <v>21483</v>
      </c>
      <c r="E511" s="261">
        <v>31</v>
      </c>
      <c r="F511" s="261" t="s">
        <v>21516</v>
      </c>
      <c r="G511" s="261"/>
      <c r="H511" s="261"/>
      <c r="I511" s="261" t="s">
        <v>10772</v>
      </c>
      <c r="J511" s="261" t="s">
        <v>21485</v>
      </c>
      <c r="K511" s="262">
        <v>1500</v>
      </c>
    </row>
    <row r="512" spans="1:11" x14ac:dyDescent="0.2">
      <c r="A512" s="306" t="s">
        <v>24292</v>
      </c>
      <c r="B512" s="261" t="s">
        <v>21482</v>
      </c>
      <c r="C512" s="261" t="s">
        <v>20</v>
      </c>
      <c r="D512" s="261" t="s">
        <v>21483</v>
      </c>
      <c r="E512" s="261">
        <v>32</v>
      </c>
      <c r="F512" s="261" t="s">
        <v>21517</v>
      </c>
      <c r="G512" s="261"/>
      <c r="H512" s="261"/>
      <c r="I512" s="261" t="s">
        <v>10772</v>
      </c>
      <c r="J512" s="261" t="s">
        <v>21485</v>
      </c>
      <c r="K512" s="262">
        <v>1500</v>
      </c>
    </row>
    <row r="513" spans="1:11" x14ac:dyDescent="0.2">
      <c r="A513" s="306" t="s">
        <v>24292</v>
      </c>
      <c r="B513" s="261" t="s">
        <v>21482</v>
      </c>
      <c r="C513" s="261" t="s">
        <v>20</v>
      </c>
      <c r="D513" s="261" t="s">
        <v>21483</v>
      </c>
      <c r="E513" s="261">
        <v>33</v>
      </c>
      <c r="F513" s="261" t="s">
        <v>21518</v>
      </c>
      <c r="G513" s="261"/>
      <c r="H513" s="261"/>
      <c r="I513" s="261" t="s">
        <v>10772</v>
      </c>
      <c r="J513" s="261" t="s">
        <v>21485</v>
      </c>
      <c r="K513" s="262">
        <v>2000</v>
      </c>
    </row>
    <row r="514" spans="1:11" x14ac:dyDescent="0.2">
      <c r="A514" s="306" t="s">
        <v>24292</v>
      </c>
      <c r="B514" s="261" t="s">
        <v>21482</v>
      </c>
      <c r="C514" s="261" t="s">
        <v>20</v>
      </c>
      <c r="D514" s="261" t="s">
        <v>21483</v>
      </c>
      <c r="E514" s="261">
        <v>34</v>
      </c>
      <c r="F514" s="261" t="s">
        <v>21519</v>
      </c>
      <c r="G514" s="261"/>
      <c r="H514" s="261"/>
      <c r="I514" s="261" t="s">
        <v>10772</v>
      </c>
      <c r="J514" s="261" t="s">
        <v>21485</v>
      </c>
      <c r="K514" s="262">
        <v>2000</v>
      </c>
    </row>
    <row r="515" spans="1:11" x14ac:dyDescent="0.2">
      <c r="A515" s="306" t="s">
        <v>24292</v>
      </c>
      <c r="B515" s="261" t="s">
        <v>21482</v>
      </c>
      <c r="C515" s="261" t="s">
        <v>20</v>
      </c>
      <c r="D515" s="261" t="s">
        <v>21483</v>
      </c>
      <c r="E515" s="261">
        <v>35</v>
      </c>
      <c r="F515" s="261" t="s">
        <v>21520</v>
      </c>
      <c r="G515" s="261"/>
      <c r="H515" s="261"/>
      <c r="I515" s="261" t="s">
        <v>10772</v>
      </c>
      <c r="J515" s="261" t="s">
        <v>21485</v>
      </c>
      <c r="K515" s="262">
        <v>2000</v>
      </c>
    </row>
    <row r="516" spans="1:11" x14ac:dyDescent="0.2">
      <c r="A516" s="306" t="s">
        <v>24292</v>
      </c>
      <c r="B516" s="261" t="s">
        <v>21482</v>
      </c>
      <c r="C516" s="261" t="s">
        <v>20</v>
      </c>
      <c r="D516" s="261" t="s">
        <v>21483</v>
      </c>
      <c r="E516" s="261">
        <v>36</v>
      </c>
      <c r="F516" s="261" t="s">
        <v>21521</v>
      </c>
      <c r="G516" s="261"/>
      <c r="H516" s="261"/>
      <c r="I516" s="261" t="s">
        <v>10772</v>
      </c>
      <c r="J516" s="261" t="s">
        <v>21485</v>
      </c>
      <c r="K516" s="262">
        <v>3000</v>
      </c>
    </row>
    <row r="517" spans="1:11" x14ac:dyDescent="0.2">
      <c r="A517" s="306" t="s">
        <v>24292</v>
      </c>
      <c r="B517" s="261" t="s">
        <v>21482</v>
      </c>
      <c r="C517" s="261" t="s">
        <v>20</v>
      </c>
      <c r="D517" s="261" t="s">
        <v>21483</v>
      </c>
      <c r="E517" s="261">
        <v>37</v>
      </c>
      <c r="F517" s="261" t="s">
        <v>21522</v>
      </c>
      <c r="G517" s="261"/>
      <c r="H517" s="261"/>
      <c r="I517" s="261" t="s">
        <v>10772</v>
      </c>
      <c r="J517" s="261" t="s">
        <v>21485</v>
      </c>
      <c r="K517" s="262">
        <v>3000</v>
      </c>
    </row>
    <row r="518" spans="1:11" x14ac:dyDescent="0.2">
      <c r="A518" s="306" t="s">
        <v>24292</v>
      </c>
      <c r="B518" s="261" t="s">
        <v>21482</v>
      </c>
      <c r="C518" s="261" t="s">
        <v>20</v>
      </c>
      <c r="D518" s="261" t="s">
        <v>21483</v>
      </c>
      <c r="E518" s="261">
        <v>38</v>
      </c>
      <c r="F518" s="261" t="s">
        <v>21523</v>
      </c>
      <c r="G518" s="261"/>
      <c r="H518" s="261"/>
      <c r="I518" s="261" t="s">
        <v>10772</v>
      </c>
      <c r="J518" s="261" t="s">
        <v>21485</v>
      </c>
      <c r="K518" s="262">
        <v>5000</v>
      </c>
    </row>
    <row r="519" spans="1:11" x14ac:dyDescent="0.2">
      <c r="A519" s="306" t="s">
        <v>24292</v>
      </c>
      <c r="B519" s="261" t="s">
        <v>21482</v>
      </c>
      <c r="C519" s="261" t="s">
        <v>20</v>
      </c>
      <c r="D519" s="261" t="s">
        <v>21483</v>
      </c>
      <c r="E519" s="261">
        <v>39</v>
      </c>
      <c r="F519" s="261" t="s">
        <v>21524</v>
      </c>
      <c r="G519" s="261"/>
      <c r="H519" s="261"/>
      <c r="I519" s="261" t="s">
        <v>10772</v>
      </c>
      <c r="J519" s="261" t="s">
        <v>21485</v>
      </c>
      <c r="K519" s="262">
        <v>5000</v>
      </c>
    </row>
    <row r="520" spans="1:11" x14ac:dyDescent="0.2">
      <c r="A520" s="306" t="s">
        <v>24292</v>
      </c>
      <c r="B520" s="261" t="s">
        <v>21482</v>
      </c>
      <c r="C520" s="261" t="s">
        <v>20</v>
      </c>
      <c r="D520" s="261" t="s">
        <v>21483</v>
      </c>
      <c r="E520" s="261">
        <v>40</v>
      </c>
      <c r="F520" s="261" t="s">
        <v>21525</v>
      </c>
      <c r="G520" s="261"/>
      <c r="H520" s="261"/>
      <c r="I520" s="261" t="s">
        <v>10772</v>
      </c>
      <c r="J520" s="261" t="s">
        <v>21485</v>
      </c>
      <c r="K520" s="262">
        <v>8000</v>
      </c>
    </row>
    <row r="521" spans="1:11" x14ac:dyDescent="0.2">
      <c r="A521" s="306" t="s">
        <v>24292</v>
      </c>
      <c r="B521" s="261" t="s">
        <v>21482</v>
      </c>
      <c r="C521" s="261" t="s">
        <v>20</v>
      </c>
      <c r="D521" s="261" t="s">
        <v>21483</v>
      </c>
      <c r="E521" s="261">
        <v>41</v>
      </c>
      <c r="F521" s="261" t="s">
        <v>21526</v>
      </c>
      <c r="G521" s="261"/>
      <c r="H521" s="261"/>
      <c r="I521" s="261" t="s">
        <v>10772</v>
      </c>
      <c r="J521" s="261" t="s">
        <v>21501</v>
      </c>
      <c r="K521" s="262">
        <v>500</v>
      </c>
    </row>
    <row r="522" spans="1:11" x14ac:dyDescent="0.2">
      <c r="A522" s="306" t="s">
        <v>24292</v>
      </c>
      <c r="B522" s="261" t="s">
        <v>21482</v>
      </c>
      <c r="C522" s="261" t="s">
        <v>20</v>
      </c>
      <c r="D522" s="261" t="s">
        <v>21483</v>
      </c>
      <c r="E522" s="261">
        <v>42</v>
      </c>
      <c r="F522" s="261" t="s">
        <v>21527</v>
      </c>
      <c r="G522" s="261"/>
      <c r="H522" s="261"/>
      <c r="I522" s="261" t="s">
        <v>10772</v>
      </c>
      <c r="J522" s="261" t="s">
        <v>21501</v>
      </c>
      <c r="K522" s="262">
        <v>1000</v>
      </c>
    </row>
    <row r="523" spans="1:11" x14ac:dyDescent="0.2">
      <c r="A523" s="306" t="s">
        <v>24292</v>
      </c>
      <c r="B523" s="261" t="s">
        <v>21482</v>
      </c>
      <c r="C523" s="261" t="s">
        <v>20</v>
      </c>
      <c r="D523" s="261" t="s">
        <v>21483</v>
      </c>
      <c r="E523" s="261">
        <v>43</v>
      </c>
      <c r="F523" s="261" t="s">
        <v>21528</v>
      </c>
      <c r="G523" s="261"/>
      <c r="H523" s="261"/>
      <c r="I523" s="261" t="s">
        <v>10772</v>
      </c>
      <c r="J523" s="261" t="s">
        <v>21501</v>
      </c>
      <c r="K523" s="262">
        <v>2000</v>
      </c>
    </row>
    <row r="524" spans="1:11" x14ac:dyDescent="0.2">
      <c r="A524" s="306" t="s">
        <v>24292</v>
      </c>
      <c r="B524" s="261" t="s">
        <v>21482</v>
      </c>
      <c r="C524" s="261" t="s">
        <v>20</v>
      </c>
      <c r="D524" s="261" t="s">
        <v>21483</v>
      </c>
      <c r="E524" s="261">
        <v>44</v>
      </c>
      <c r="F524" s="261" t="s">
        <v>21529</v>
      </c>
      <c r="G524" s="261"/>
      <c r="H524" s="261"/>
      <c r="I524" s="261" t="s">
        <v>10772</v>
      </c>
      <c r="J524" s="261" t="s">
        <v>21501</v>
      </c>
      <c r="K524" s="262">
        <v>3000</v>
      </c>
    </row>
    <row r="525" spans="1:11" x14ac:dyDescent="0.2">
      <c r="A525" s="306" t="s">
        <v>24292</v>
      </c>
      <c r="B525" s="261" t="s">
        <v>21482</v>
      </c>
      <c r="C525" s="261" t="s">
        <v>20</v>
      </c>
      <c r="D525" s="261" t="s">
        <v>21483</v>
      </c>
      <c r="E525" s="261">
        <v>45</v>
      </c>
      <c r="F525" s="261" t="s">
        <v>21530</v>
      </c>
      <c r="G525" s="261"/>
      <c r="H525" s="261"/>
      <c r="I525" s="261"/>
      <c r="J525" s="261"/>
      <c r="K525" s="262"/>
    </row>
    <row r="526" spans="1:11" x14ac:dyDescent="0.2">
      <c r="A526" s="306" t="s">
        <v>24292</v>
      </c>
      <c r="B526" s="261" t="s">
        <v>21482</v>
      </c>
      <c r="C526" s="261" t="s">
        <v>20</v>
      </c>
      <c r="D526" s="261" t="s">
        <v>21483</v>
      </c>
      <c r="E526" s="261">
        <v>46</v>
      </c>
      <c r="F526" s="261" t="s">
        <v>21531</v>
      </c>
      <c r="G526" s="261"/>
      <c r="H526" s="261"/>
      <c r="I526" s="261"/>
      <c r="J526" s="261"/>
      <c r="K526" s="262"/>
    </row>
    <row r="527" spans="1:11" x14ac:dyDescent="0.2">
      <c r="A527" s="306" t="s">
        <v>24292</v>
      </c>
      <c r="B527" s="261" t="s">
        <v>21482</v>
      </c>
      <c r="C527" s="261" t="s">
        <v>20</v>
      </c>
      <c r="D527" s="261" t="s">
        <v>21483</v>
      </c>
      <c r="E527" s="261">
        <v>47</v>
      </c>
      <c r="F527" s="261" t="s">
        <v>21532</v>
      </c>
      <c r="G527" s="261"/>
      <c r="H527" s="261"/>
      <c r="I527" s="261"/>
      <c r="J527" s="261"/>
      <c r="K527" s="262"/>
    </row>
    <row r="528" spans="1:11" x14ac:dyDescent="0.2">
      <c r="A528" s="306" t="s">
        <v>24292</v>
      </c>
      <c r="B528" s="261" t="s">
        <v>21482</v>
      </c>
      <c r="C528" s="261" t="s">
        <v>20</v>
      </c>
      <c r="D528" s="261" t="s">
        <v>21483</v>
      </c>
      <c r="E528" s="261">
        <v>48</v>
      </c>
      <c r="F528" s="261" t="s">
        <v>21533</v>
      </c>
      <c r="G528" s="261"/>
      <c r="H528" s="261"/>
      <c r="I528" s="261"/>
      <c r="J528" s="261"/>
      <c r="K528" s="262"/>
    </row>
    <row r="529" spans="1:11" x14ac:dyDescent="0.2">
      <c r="A529" s="306" t="s">
        <v>24292</v>
      </c>
      <c r="B529" s="261" t="s">
        <v>21482</v>
      </c>
      <c r="C529" s="261" t="s">
        <v>20</v>
      </c>
      <c r="D529" s="261" t="s">
        <v>21483</v>
      </c>
      <c r="E529" s="261">
        <v>49</v>
      </c>
      <c r="F529" s="261" t="s">
        <v>21534</v>
      </c>
      <c r="G529" s="261"/>
      <c r="H529" s="261"/>
      <c r="I529" s="261"/>
      <c r="J529" s="261"/>
      <c r="K529" s="262"/>
    </row>
    <row r="530" spans="1:11" x14ac:dyDescent="0.2">
      <c r="A530" s="306" t="s">
        <v>24291</v>
      </c>
      <c r="B530" s="261" t="s">
        <v>21210</v>
      </c>
      <c r="C530" s="261" t="s">
        <v>19636</v>
      </c>
      <c r="D530" s="261" t="s">
        <v>21211</v>
      </c>
      <c r="E530" s="261">
        <v>1</v>
      </c>
      <c r="F530" s="261" t="s">
        <v>21212</v>
      </c>
      <c r="G530" s="261"/>
      <c r="H530" s="261"/>
      <c r="I530" s="261"/>
      <c r="J530" s="261" t="s">
        <v>17507</v>
      </c>
      <c r="K530" s="262">
        <v>100000</v>
      </c>
    </row>
    <row r="531" spans="1:11" x14ac:dyDescent="0.2">
      <c r="A531" s="306" t="s">
        <v>24291</v>
      </c>
      <c r="B531" s="261" t="s">
        <v>21210</v>
      </c>
      <c r="C531" s="261" t="s">
        <v>19636</v>
      </c>
      <c r="D531" s="261" t="s">
        <v>21211</v>
      </c>
      <c r="E531" s="261">
        <v>2</v>
      </c>
      <c r="F531" s="261" t="s">
        <v>21213</v>
      </c>
      <c r="G531" s="261"/>
      <c r="H531" s="261"/>
      <c r="I531" s="261"/>
      <c r="J531" s="261" t="s">
        <v>19618</v>
      </c>
      <c r="K531" s="262">
        <v>100</v>
      </c>
    </row>
    <row r="532" spans="1:11" x14ac:dyDescent="0.2">
      <c r="A532" s="306" t="s">
        <v>24291</v>
      </c>
      <c r="B532" s="261" t="s">
        <v>21210</v>
      </c>
      <c r="C532" s="261" t="s">
        <v>19636</v>
      </c>
      <c r="D532" s="261" t="s">
        <v>21211</v>
      </c>
      <c r="E532" s="261">
        <v>3</v>
      </c>
      <c r="F532" s="261" t="s">
        <v>21214</v>
      </c>
      <c r="G532" s="261"/>
      <c r="H532" s="261"/>
      <c r="I532" s="261" t="s">
        <v>10772</v>
      </c>
      <c r="J532" s="261" t="s">
        <v>10756</v>
      </c>
      <c r="K532" s="262">
        <v>1000000</v>
      </c>
    </row>
    <row r="533" spans="1:11" x14ac:dyDescent="0.2">
      <c r="A533" s="306" t="s">
        <v>24291</v>
      </c>
      <c r="B533" s="261" t="s">
        <v>21210</v>
      </c>
      <c r="C533" s="261" t="s">
        <v>19636</v>
      </c>
      <c r="D533" s="261" t="s">
        <v>21211</v>
      </c>
      <c r="E533" s="261">
        <v>4</v>
      </c>
      <c r="F533" s="261" t="s">
        <v>21215</v>
      </c>
      <c r="G533" s="261"/>
      <c r="H533" s="261"/>
      <c r="I533" s="261"/>
      <c r="J533" s="261" t="s">
        <v>19618</v>
      </c>
      <c r="K533" s="262">
        <v>100</v>
      </c>
    </row>
    <row r="534" spans="1:11" x14ac:dyDescent="0.2">
      <c r="A534" s="306" t="s">
        <v>24291</v>
      </c>
      <c r="B534" s="261" t="s">
        <v>21210</v>
      </c>
      <c r="C534" s="261" t="s">
        <v>19636</v>
      </c>
      <c r="D534" s="261" t="s">
        <v>21211</v>
      </c>
      <c r="E534" s="261">
        <v>5</v>
      </c>
      <c r="F534" s="261" t="s">
        <v>21216</v>
      </c>
      <c r="G534" s="261"/>
      <c r="H534" s="261"/>
      <c r="I534" s="261" t="s">
        <v>10772</v>
      </c>
      <c r="J534" s="261" t="s">
        <v>10756</v>
      </c>
      <c r="K534" s="262">
        <v>1000000</v>
      </c>
    </row>
    <row r="535" spans="1:11" x14ac:dyDescent="0.2">
      <c r="A535" s="306" t="s">
        <v>24291</v>
      </c>
      <c r="B535" s="261" t="s">
        <v>21210</v>
      </c>
      <c r="C535" s="261" t="s">
        <v>19636</v>
      </c>
      <c r="D535" s="261" t="s">
        <v>21211</v>
      </c>
      <c r="E535" s="261">
        <v>6</v>
      </c>
      <c r="F535" s="261" t="s">
        <v>21217</v>
      </c>
      <c r="G535" s="261" t="s">
        <v>1868</v>
      </c>
      <c r="H535" s="261" t="s">
        <v>1869</v>
      </c>
      <c r="I535" s="261"/>
      <c r="J535" s="261"/>
      <c r="K535" s="262"/>
    </row>
    <row r="536" spans="1:11" x14ac:dyDescent="0.2">
      <c r="A536" s="306" t="s">
        <v>24291</v>
      </c>
      <c r="B536" s="261" t="s">
        <v>21210</v>
      </c>
      <c r="C536" s="261" t="s">
        <v>19636</v>
      </c>
      <c r="D536" s="261" t="s">
        <v>21211</v>
      </c>
      <c r="E536" s="261">
        <v>7</v>
      </c>
      <c r="F536" s="261" t="s">
        <v>21218</v>
      </c>
      <c r="G536" s="261"/>
      <c r="H536" s="261"/>
      <c r="I536" s="261"/>
      <c r="J536" s="261" t="s">
        <v>19618</v>
      </c>
      <c r="K536" s="262">
        <v>150</v>
      </c>
    </row>
    <row r="537" spans="1:11" x14ac:dyDescent="0.2">
      <c r="A537" s="306" t="s">
        <v>24291</v>
      </c>
      <c r="B537" s="261" t="s">
        <v>21210</v>
      </c>
      <c r="C537" s="261" t="s">
        <v>19636</v>
      </c>
      <c r="D537" s="261" t="s">
        <v>21211</v>
      </c>
      <c r="E537" s="261">
        <v>8</v>
      </c>
      <c r="F537" s="261" t="s">
        <v>21219</v>
      </c>
      <c r="G537" s="261"/>
      <c r="H537" s="261"/>
      <c r="I537" s="261" t="s">
        <v>10772</v>
      </c>
      <c r="J537" s="261" t="s">
        <v>10756</v>
      </c>
      <c r="K537" s="262">
        <v>2000000</v>
      </c>
    </row>
    <row r="538" spans="1:11" x14ac:dyDescent="0.2">
      <c r="A538" s="306" t="s">
        <v>24291</v>
      </c>
      <c r="B538" s="261" t="s">
        <v>21210</v>
      </c>
      <c r="C538" s="261" t="s">
        <v>19636</v>
      </c>
      <c r="D538" s="261" t="s">
        <v>21211</v>
      </c>
      <c r="E538" s="261">
        <v>9</v>
      </c>
      <c r="F538" s="261" t="s">
        <v>21220</v>
      </c>
      <c r="G538" s="261"/>
      <c r="H538" s="261"/>
      <c r="I538" s="261"/>
      <c r="J538" s="261" t="s">
        <v>19618</v>
      </c>
      <c r="K538" s="262">
        <v>150</v>
      </c>
    </row>
    <row r="539" spans="1:11" x14ac:dyDescent="0.2">
      <c r="A539" s="306" t="s">
        <v>24291</v>
      </c>
      <c r="B539" s="261" t="s">
        <v>21210</v>
      </c>
      <c r="C539" s="261" t="s">
        <v>19636</v>
      </c>
      <c r="D539" s="261" t="s">
        <v>21211</v>
      </c>
      <c r="E539" s="261">
        <v>10</v>
      </c>
      <c r="F539" s="261" t="s">
        <v>21221</v>
      </c>
      <c r="G539" s="261"/>
      <c r="H539" s="261"/>
      <c r="I539" s="261" t="s">
        <v>10772</v>
      </c>
      <c r="J539" s="261" t="s">
        <v>10756</v>
      </c>
      <c r="K539" s="262">
        <v>2000000</v>
      </c>
    </row>
    <row r="540" spans="1:11" x14ac:dyDescent="0.2">
      <c r="A540" s="306" t="s">
        <v>24291</v>
      </c>
      <c r="B540" s="261" t="s">
        <v>21210</v>
      </c>
      <c r="C540" s="261" t="s">
        <v>19636</v>
      </c>
      <c r="D540" s="261" t="s">
        <v>21211</v>
      </c>
      <c r="E540" s="261">
        <v>11</v>
      </c>
      <c r="F540" s="261" t="s">
        <v>21222</v>
      </c>
      <c r="G540" s="261" t="s">
        <v>235</v>
      </c>
      <c r="H540" s="261" t="s">
        <v>236</v>
      </c>
      <c r="I540" s="261"/>
      <c r="J540" s="261"/>
      <c r="K540" s="262"/>
    </row>
    <row r="541" spans="1:11" x14ac:dyDescent="0.2">
      <c r="A541" s="306" t="s">
        <v>24291</v>
      </c>
      <c r="B541" s="261" t="s">
        <v>21210</v>
      </c>
      <c r="C541" s="261" t="s">
        <v>19636</v>
      </c>
      <c r="D541" s="261" t="s">
        <v>21211</v>
      </c>
      <c r="E541" s="261">
        <v>12</v>
      </c>
      <c r="F541" s="261" t="s">
        <v>21223</v>
      </c>
      <c r="G541" s="261"/>
      <c r="H541" s="261"/>
      <c r="I541" s="261"/>
      <c r="J541" s="261" t="s">
        <v>19618</v>
      </c>
      <c r="K541" s="262">
        <v>200</v>
      </c>
    </row>
    <row r="542" spans="1:11" x14ac:dyDescent="0.2">
      <c r="A542" s="306" t="s">
        <v>24291</v>
      </c>
      <c r="B542" s="261" t="s">
        <v>21210</v>
      </c>
      <c r="C542" s="261" t="s">
        <v>19636</v>
      </c>
      <c r="D542" s="261" t="s">
        <v>21211</v>
      </c>
      <c r="E542" s="261">
        <v>13</v>
      </c>
      <c r="F542" s="261" t="s">
        <v>21224</v>
      </c>
      <c r="G542" s="261"/>
      <c r="H542" s="261"/>
      <c r="I542" s="261" t="s">
        <v>10772</v>
      </c>
      <c r="J542" s="261" t="s">
        <v>10756</v>
      </c>
      <c r="K542" s="262">
        <v>3000000</v>
      </c>
    </row>
    <row r="543" spans="1:11" x14ac:dyDescent="0.2">
      <c r="A543" s="306" t="s">
        <v>24291</v>
      </c>
      <c r="B543" s="261" t="s">
        <v>21210</v>
      </c>
      <c r="C543" s="261" t="s">
        <v>19636</v>
      </c>
      <c r="D543" s="261" t="s">
        <v>21211</v>
      </c>
      <c r="E543" s="261">
        <v>14</v>
      </c>
      <c r="F543" s="261" t="s">
        <v>21225</v>
      </c>
      <c r="G543" s="261"/>
      <c r="H543" s="261"/>
      <c r="I543" s="261"/>
      <c r="J543" s="261" t="s">
        <v>19618</v>
      </c>
      <c r="K543" s="262">
        <v>200</v>
      </c>
    </row>
    <row r="544" spans="1:11" x14ac:dyDescent="0.2">
      <c r="A544" s="306" t="s">
        <v>24291</v>
      </c>
      <c r="B544" s="261" t="s">
        <v>21210</v>
      </c>
      <c r="C544" s="261" t="s">
        <v>19636</v>
      </c>
      <c r="D544" s="261" t="s">
        <v>21211</v>
      </c>
      <c r="E544" s="261">
        <v>15</v>
      </c>
      <c r="F544" s="261" t="s">
        <v>21226</v>
      </c>
      <c r="G544" s="261"/>
      <c r="H544" s="261"/>
      <c r="I544" s="261" t="s">
        <v>10772</v>
      </c>
      <c r="J544" s="261" t="s">
        <v>10756</v>
      </c>
      <c r="K544" s="262">
        <v>3000000</v>
      </c>
    </row>
    <row r="545" spans="1:11" x14ac:dyDescent="0.2">
      <c r="A545" s="306" t="s">
        <v>24291</v>
      </c>
      <c r="B545" s="261" t="s">
        <v>21210</v>
      </c>
      <c r="C545" s="261" t="s">
        <v>19636</v>
      </c>
      <c r="D545" s="261" t="s">
        <v>21211</v>
      </c>
      <c r="E545" s="261">
        <v>16</v>
      </c>
      <c r="F545" s="261" t="s">
        <v>21227</v>
      </c>
      <c r="G545" s="261" t="s">
        <v>490</v>
      </c>
      <c r="H545" s="261" t="s">
        <v>491</v>
      </c>
      <c r="I545" s="261"/>
      <c r="J545" s="261"/>
      <c r="K545" s="262"/>
    </row>
    <row r="546" spans="1:11" x14ac:dyDescent="0.2">
      <c r="A546" s="306" t="s">
        <v>24291</v>
      </c>
      <c r="B546" s="261" t="s">
        <v>21210</v>
      </c>
      <c r="C546" s="261" t="s">
        <v>19636</v>
      </c>
      <c r="D546" s="261" t="s">
        <v>21211</v>
      </c>
      <c r="E546" s="261">
        <v>17</v>
      </c>
      <c r="F546" s="261" t="s">
        <v>21228</v>
      </c>
      <c r="G546" s="261"/>
      <c r="H546" s="261"/>
      <c r="I546" s="261"/>
      <c r="J546" s="261" t="s">
        <v>19618</v>
      </c>
      <c r="K546" s="262">
        <v>250</v>
      </c>
    </row>
    <row r="547" spans="1:11" x14ac:dyDescent="0.2">
      <c r="A547" s="306" t="s">
        <v>24291</v>
      </c>
      <c r="B547" s="261" t="s">
        <v>21210</v>
      </c>
      <c r="C547" s="261" t="s">
        <v>19636</v>
      </c>
      <c r="D547" s="261" t="s">
        <v>21211</v>
      </c>
      <c r="E547" s="261">
        <v>18</v>
      </c>
      <c r="F547" s="261" t="s">
        <v>21229</v>
      </c>
      <c r="G547" s="261"/>
      <c r="H547" s="261"/>
      <c r="I547" s="261" t="s">
        <v>10772</v>
      </c>
      <c r="J547" s="261" t="s">
        <v>10756</v>
      </c>
      <c r="K547" s="262">
        <v>4000000</v>
      </c>
    </row>
    <row r="548" spans="1:11" x14ac:dyDescent="0.2">
      <c r="A548" s="306" t="s">
        <v>24291</v>
      </c>
      <c r="B548" s="261" t="s">
        <v>21210</v>
      </c>
      <c r="C548" s="261" t="s">
        <v>19636</v>
      </c>
      <c r="D548" s="261" t="s">
        <v>21211</v>
      </c>
      <c r="E548" s="261">
        <v>19</v>
      </c>
      <c r="F548" s="261" t="s">
        <v>21230</v>
      </c>
      <c r="G548" s="261"/>
      <c r="H548" s="261"/>
      <c r="I548" s="261"/>
      <c r="J548" s="261" t="s">
        <v>19618</v>
      </c>
      <c r="K548" s="262">
        <v>250</v>
      </c>
    </row>
    <row r="549" spans="1:11" x14ac:dyDescent="0.2">
      <c r="A549" s="306" t="s">
        <v>24291</v>
      </c>
      <c r="B549" s="261" t="s">
        <v>21210</v>
      </c>
      <c r="C549" s="261" t="s">
        <v>19636</v>
      </c>
      <c r="D549" s="261" t="s">
        <v>21211</v>
      </c>
      <c r="E549" s="261">
        <v>20</v>
      </c>
      <c r="F549" s="261" t="s">
        <v>21231</v>
      </c>
      <c r="G549" s="261"/>
      <c r="H549" s="261"/>
      <c r="I549" s="261" t="s">
        <v>10772</v>
      </c>
      <c r="J549" s="261" t="s">
        <v>10756</v>
      </c>
      <c r="K549" s="262">
        <v>4000000</v>
      </c>
    </row>
    <row r="550" spans="1:11" x14ac:dyDescent="0.2">
      <c r="A550" s="306" t="s">
        <v>24291</v>
      </c>
      <c r="B550" s="261" t="s">
        <v>21210</v>
      </c>
      <c r="C550" s="261" t="s">
        <v>19636</v>
      </c>
      <c r="D550" s="261" t="s">
        <v>21211</v>
      </c>
      <c r="E550" s="261">
        <v>21</v>
      </c>
      <c r="F550" s="261" t="s">
        <v>23998</v>
      </c>
      <c r="G550" s="261" t="s">
        <v>85</v>
      </c>
      <c r="H550" s="261" t="s">
        <v>1414</v>
      </c>
      <c r="I550" s="261"/>
      <c r="J550" s="261"/>
      <c r="K550" s="262"/>
    </row>
    <row r="551" spans="1:11" x14ac:dyDescent="0.2">
      <c r="A551" s="306" t="s">
        <v>24291</v>
      </c>
      <c r="B551" s="261" t="s">
        <v>21210</v>
      </c>
      <c r="C551" s="261" t="s">
        <v>19636</v>
      </c>
      <c r="D551" s="261" t="s">
        <v>21211</v>
      </c>
      <c r="E551" s="261">
        <v>22</v>
      </c>
      <c r="F551" s="261" t="s">
        <v>24001</v>
      </c>
      <c r="G551" s="261"/>
      <c r="H551" s="261"/>
      <c r="I551" s="261"/>
      <c r="J551" s="261" t="s">
        <v>21232</v>
      </c>
      <c r="K551" s="262">
        <v>1</v>
      </c>
    </row>
    <row r="552" spans="1:11" x14ac:dyDescent="0.2">
      <c r="A552" s="306" t="s">
        <v>24291</v>
      </c>
      <c r="B552" s="261" t="s">
        <v>21210</v>
      </c>
      <c r="C552" s="261" t="s">
        <v>19636</v>
      </c>
      <c r="D552" s="261" t="s">
        <v>21211</v>
      </c>
      <c r="E552" s="261">
        <v>23</v>
      </c>
      <c r="F552" s="261" t="s">
        <v>24002</v>
      </c>
      <c r="G552" s="261"/>
      <c r="H552" s="261"/>
      <c r="I552" s="261"/>
      <c r="J552" s="261" t="s">
        <v>21232</v>
      </c>
      <c r="K552" s="262">
        <v>1</v>
      </c>
    </row>
    <row r="553" spans="1:11" x14ac:dyDescent="0.2">
      <c r="A553" s="306" t="s">
        <v>24291</v>
      </c>
      <c r="B553" s="261" t="s">
        <v>21210</v>
      </c>
      <c r="C553" s="261" t="s">
        <v>19636</v>
      </c>
      <c r="D553" s="261" t="s">
        <v>21211</v>
      </c>
      <c r="E553" s="261">
        <v>24</v>
      </c>
      <c r="F553" s="261" t="s">
        <v>24003</v>
      </c>
      <c r="G553" s="261"/>
      <c r="H553" s="261"/>
      <c r="I553" s="261"/>
      <c r="J553" s="261" t="s">
        <v>21232</v>
      </c>
      <c r="K553" s="262">
        <v>1</v>
      </c>
    </row>
    <row r="554" spans="1:11" x14ac:dyDescent="0.2">
      <c r="A554" s="306" t="s">
        <v>24291</v>
      </c>
      <c r="B554" s="261" t="s">
        <v>21210</v>
      </c>
      <c r="C554" s="261" t="s">
        <v>19636</v>
      </c>
      <c r="D554" s="261" t="s">
        <v>21211</v>
      </c>
      <c r="E554" s="261">
        <v>25</v>
      </c>
      <c r="F554" s="261" t="s">
        <v>24004</v>
      </c>
      <c r="G554" s="261"/>
      <c r="H554" s="261"/>
      <c r="I554" s="261"/>
      <c r="J554" s="261" t="s">
        <v>21232</v>
      </c>
      <c r="K554" s="262">
        <v>1</v>
      </c>
    </row>
    <row r="555" spans="1:11" x14ac:dyDescent="0.2">
      <c r="A555" s="306" t="s">
        <v>24291</v>
      </c>
      <c r="B555" s="261" t="s">
        <v>21210</v>
      </c>
      <c r="C555" s="261" t="s">
        <v>19636</v>
      </c>
      <c r="D555" s="261" t="s">
        <v>21211</v>
      </c>
      <c r="E555" s="261">
        <v>26</v>
      </c>
      <c r="F555" s="261" t="s">
        <v>24005</v>
      </c>
      <c r="G555" s="261"/>
      <c r="H555" s="261"/>
      <c r="I555" s="261"/>
      <c r="J555" s="261" t="s">
        <v>21232</v>
      </c>
      <c r="K555" s="262">
        <v>1</v>
      </c>
    </row>
    <row r="556" spans="1:11" x14ac:dyDescent="0.2">
      <c r="A556" s="306" t="s">
        <v>24291</v>
      </c>
      <c r="B556" s="261" t="s">
        <v>21210</v>
      </c>
      <c r="C556" s="261" t="s">
        <v>19636</v>
      </c>
      <c r="D556" s="261" t="s">
        <v>21211</v>
      </c>
      <c r="E556" s="261">
        <v>27</v>
      </c>
      <c r="F556" s="261" t="s">
        <v>24006</v>
      </c>
      <c r="G556" s="261"/>
      <c r="H556" s="261"/>
      <c r="I556" s="261"/>
      <c r="J556" s="261" t="s">
        <v>21232</v>
      </c>
      <c r="K556" s="262">
        <v>1</v>
      </c>
    </row>
    <row r="557" spans="1:11" x14ac:dyDescent="0.2">
      <c r="A557" s="306" t="s">
        <v>24291</v>
      </c>
      <c r="B557" s="261" t="s">
        <v>21210</v>
      </c>
      <c r="C557" s="261" t="s">
        <v>19636</v>
      </c>
      <c r="D557" s="261" t="s">
        <v>21211</v>
      </c>
      <c r="E557" s="261">
        <v>28</v>
      </c>
      <c r="F557" s="261" t="s">
        <v>24010</v>
      </c>
      <c r="G557" s="261"/>
      <c r="H557" s="261"/>
      <c r="I557" s="261"/>
      <c r="J557" s="261" t="s">
        <v>21232</v>
      </c>
      <c r="K557" s="262">
        <v>1</v>
      </c>
    </row>
    <row r="558" spans="1:11" x14ac:dyDescent="0.2">
      <c r="A558" s="306" t="s">
        <v>24291</v>
      </c>
      <c r="B558" s="261" t="s">
        <v>21210</v>
      </c>
      <c r="C558" s="261" t="s">
        <v>19636</v>
      </c>
      <c r="D558" s="261" t="s">
        <v>21211</v>
      </c>
      <c r="E558" s="261">
        <v>29</v>
      </c>
      <c r="F558" s="261" t="s">
        <v>21233</v>
      </c>
      <c r="G558" s="261"/>
      <c r="H558" s="261"/>
      <c r="I558" s="261"/>
      <c r="J558" s="261" t="s">
        <v>21232</v>
      </c>
      <c r="K558" s="262">
        <v>1</v>
      </c>
    </row>
    <row r="559" spans="1:11" x14ac:dyDescent="0.2">
      <c r="A559" s="306" t="s">
        <v>24291</v>
      </c>
      <c r="B559" s="261" t="s">
        <v>21210</v>
      </c>
      <c r="C559" s="261" t="s">
        <v>19636</v>
      </c>
      <c r="D559" s="261" t="s">
        <v>21211</v>
      </c>
      <c r="E559" s="261">
        <v>30</v>
      </c>
      <c r="F559" s="261" t="s">
        <v>24011</v>
      </c>
      <c r="G559" s="261"/>
      <c r="H559" s="261"/>
      <c r="I559" s="261"/>
      <c r="J559" s="261" t="s">
        <v>21232</v>
      </c>
      <c r="K559" s="262">
        <v>1</v>
      </c>
    </row>
    <row r="560" spans="1:11" x14ac:dyDescent="0.2">
      <c r="A560" s="306" t="s">
        <v>24291</v>
      </c>
      <c r="B560" s="261" t="s">
        <v>21210</v>
      </c>
      <c r="C560" s="261" t="s">
        <v>19636</v>
      </c>
      <c r="D560" s="261" t="s">
        <v>21211</v>
      </c>
      <c r="E560" s="261">
        <v>31</v>
      </c>
      <c r="F560" s="261" t="s">
        <v>21234</v>
      </c>
      <c r="G560" s="261"/>
      <c r="H560" s="261"/>
      <c r="I560" s="261"/>
      <c r="J560" s="261" t="s">
        <v>21232</v>
      </c>
      <c r="K560" s="262">
        <v>1</v>
      </c>
    </row>
    <row r="561" spans="1:11" x14ac:dyDescent="0.2">
      <c r="A561" s="306" t="s">
        <v>24291</v>
      </c>
      <c r="B561" s="261" t="s">
        <v>21210</v>
      </c>
      <c r="C561" s="261" t="s">
        <v>19636</v>
      </c>
      <c r="D561" s="261" t="s">
        <v>21211</v>
      </c>
      <c r="E561" s="261">
        <v>32</v>
      </c>
      <c r="F561" s="261" t="s">
        <v>24007</v>
      </c>
      <c r="G561" s="261"/>
      <c r="H561" s="261"/>
      <c r="I561" s="261"/>
      <c r="J561" s="261" t="s">
        <v>21232</v>
      </c>
      <c r="K561" s="262">
        <v>1</v>
      </c>
    </row>
    <row r="562" spans="1:11" x14ac:dyDescent="0.2">
      <c r="A562" s="306" t="s">
        <v>24291</v>
      </c>
      <c r="B562" s="261" t="s">
        <v>21210</v>
      </c>
      <c r="C562" s="261" t="s">
        <v>19636</v>
      </c>
      <c r="D562" s="261" t="s">
        <v>21211</v>
      </c>
      <c r="E562" s="261">
        <v>33</v>
      </c>
      <c r="F562" s="261" t="s">
        <v>21235</v>
      </c>
      <c r="G562" s="261"/>
      <c r="H562" s="261"/>
      <c r="I562" s="261"/>
      <c r="J562" s="261" t="s">
        <v>21232</v>
      </c>
      <c r="K562" s="262">
        <v>1</v>
      </c>
    </row>
    <row r="563" spans="1:11" x14ac:dyDescent="0.2">
      <c r="A563" s="306" t="s">
        <v>24291</v>
      </c>
      <c r="B563" s="261" t="s">
        <v>21210</v>
      </c>
      <c r="C563" s="261" t="s">
        <v>19636</v>
      </c>
      <c r="D563" s="261" t="s">
        <v>21211</v>
      </c>
      <c r="E563" s="261">
        <v>34</v>
      </c>
      <c r="F563" s="261" t="s">
        <v>24008</v>
      </c>
      <c r="G563" s="261"/>
      <c r="H563" s="261"/>
      <c r="I563" s="261"/>
      <c r="J563" s="261" t="s">
        <v>21232</v>
      </c>
      <c r="K563" s="262">
        <v>1</v>
      </c>
    </row>
    <row r="564" spans="1:11" x14ac:dyDescent="0.2">
      <c r="A564" s="306" t="s">
        <v>24291</v>
      </c>
      <c r="B564" s="261" t="s">
        <v>21210</v>
      </c>
      <c r="C564" s="261" t="s">
        <v>19636</v>
      </c>
      <c r="D564" s="261" t="s">
        <v>21211</v>
      </c>
      <c r="E564" s="261">
        <v>35</v>
      </c>
      <c r="F564" s="261" t="s">
        <v>21236</v>
      </c>
      <c r="G564" s="261"/>
      <c r="H564" s="261"/>
      <c r="I564" s="261"/>
      <c r="J564" s="261" t="s">
        <v>21232</v>
      </c>
      <c r="K564" s="262">
        <v>1</v>
      </c>
    </row>
    <row r="565" spans="1:11" x14ac:dyDescent="0.2">
      <c r="A565" s="306" t="s">
        <v>24291</v>
      </c>
      <c r="B565" s="261" t="s">
        <v>21210</v>
      </c>
      <c r="C565" s="261" t="s">
        <v>19636</v>
      </c>
      <c r="D565" s="261" t="s">
        <v>21211</v>
      </c>
      <c r="E565" s="261">
        <v>36</v>
      </c>
      <c r="F565" s="261" t="s">
        <v>24009</v>
      </c>
      <c r="G565" s="261"/>
      <c r="H565" s="261"/>
      <c r="I565" s="261"/>
      <c r="J565" s="261" t="s">
        <v>21232</v>
      </c>
      <c r="K565" s="262">
        <v>1</v>
      </c>
    </row>
    <row r="566" spans="1:11" x14ac:dyDescent="0.2">
      <c r="A566" s="306" t="s">
        <v>24291</v>
      </c>
      <c r="B566" s="261" t="s">
        <v>21210</v>
      </c>
      <c r="C566" s="261" t="s">
        <v>19636</v>
      </c>
      <c r="D566" s="261" t="s">
        <v>21211</v>
      </c>
      <c r="E566" s="261">
        <v>37</v>
      </c>
      <c r="F566" s="261" t="s">
        <v>24000</v>
      </c>
      <c r="G566" s="261"/>
      <c r="H566" s="261"/>
      <c r="I566" s="261"/>
      <c r="J566" s="261" t="s">
        <v>21232</v>
      </c>
      <c r="K566" s="262">
        <v>1</v>
      </c>
    </row>
    <row r="567" spans="1:11" x14ac:dyDescent="0.2">
      <c r="A567" s="306" t="s">
        <v>24291</v>
      </c>
      <c r="B567" s="261" t="s">
        <v>21210</v>
      </c>
      <c r="C567" s="261" t="s">
        <v>19636</v>
      </c>
      <c r="D567" s="261" t="s">
        <v>21211</v>
      </c>
      <c r="E567" s="261">
        <v>38</v>
      </c>
      <c r="F567" s="261" t="s">
        <v>21237</v>
      </c>
      <c r="G567" s="261"/>
      <c r="H567" s="261"/>
      <c r="I567" s="261" t="s">
        <v>122</v>
      </c>
      <c r="J567" s="261" t="s">
        <v>19599</v>
      </c>
      <c r="K567" s="262">
        <v>20</v>
      </c>
    </row>
    <row r="568" spans="1:11" x14ac:dyDescent="0.2">
      <c r="A568" s="306" t="s">
        <v>24291</v>
      </c>
      <c r="B568" s="261" t="s">
        <v>21210</v>
      </c>
      <c r="C568" s="261" t="s">
        <v>19636</v>
      </c>
      <c r="D568" s="261" t="s">
        <v>21211</v>
      </c>
      <c r="E568" s="261">
        <v>39</v>
      </c>
      <c r="F568" s="261" t="s">
        <v>21238</v>
      </c>
      <c r="G568" s="261"/>
      <c r="H568" s="261"/>
      <c r="I568" s="261" t="s">
        <v>122</v>
      </c>
      <c r="J568" s="261" t="s">
        <v>19600</v>
      </c>
      <c r="K568" s="262">
        <v>20</v>
      </c>
    </row>
    <row r="569" spans="1:11" x14ac:dyDescent="0.2">
      <c r="A569" s="306" t="s">
        <v>24291</v>
      </c>
      <c r="B569" s="261" t="s">
        <v>21210</v>
      </c>
      <c r="C569" s="261" t="s">
        <v>19636</v>
      </c>
      <c r="D569" s="261" t="s">
        <v>21211</v>
      </c>
      <c r="E569" s="261">
        <v>40</v>
      </c>
      <c r="F569" s="261" t="s">
        <v>21239</v>
      </c>
      <c r="G569" s="261"/>
      <c r="H569" s="261"/>
      <c r="I569" s="261" t="s">
        <v>10772</v>
      </c>
      <c r="J569" s="261" t="s">
        <v>19618</v>
      </c>
      <c r="K569" s="262">
        <v>30</v>
      </c>
    </row>
    <row r="570" spans="1:11" x14ac:dyDescent="0.2">
      <c r="A570" s="306" t="s">
        <v>24291</v>
      </c>
      <c r="B570" s="261" t="s">
        <v>21210</v>
      </c>
      <c r="C570" s="261" t="s">
        <v>19636</v>
      </c>
      <c r="D570" s="261" t="s">
        <v>21211</v>
      </c>
      <c r="E570" s="261">
        <v>41</v>
      </c>
      <c r="F570" s="261" t="s">
        <v>21240</v>
      </c>
      <c r="G570" s="261"/>
      <c r="H570" s="261"/>
      <c r="I570" s="261" t="s">
        <v>122</v>
      </c>
      <c r="J570" s="261" t="s">
        <v>19603</v>
      </c>
      <c r="K570" s="262">
        <v>20</v>
      </c>
    </row>
    <row r="571" spans="1:11" x14ac:dyDescent="0.2">
      <c r="A571" s="306" t="s">
        <v>24291</v>
      </c>
      <c r="B571" s="261" t="s">
        <v>21210</v>
      </c>
      <c r="C571" s="261" t="s">
        <v>19636</v>
      </c>
      <c r="D571" s="261" t="s">
        <v>21211</v>
      </c>
      <c r="E571" s="261">
        <v>42</v>
      </c>
      <c r="F571" s="261" t="s">
        <v>21241</v>
      </c>
      <c r="G571" s="261"/>
      <c r="H571" s="261"/>
      <c r="I571" s="261" t="s">
        <v>122</v>
      </c>
      <c r="J571" s="261" t="s">
        <v>19601</v>
      </c>
      <c r="K571" s="262">
        <v>20</v>
      </c>
    </row>
    <row r="572" spans="1:11" x14ac:dyDescent="0.2">
      <c r="A572" s="306" t="s">
        <v>24291</v>
      </c>
      <c r="B572" s="261" t="s">
        <v>21210</v>
      </c>
      <c r="C572" s="261" t="s">
        <v>19636</v>
      </c>
      <c r="D572" s="261" t="s">
        <v>21211</v>
      </c>
      <c r="E572" s="261">
        <v>43</v>
      </c>
      <c r="F572" s="261" t="s">
        <v>21242</v>
      </c>
      <c r="G572" s="261"/>
      <c r="H572" s="261"/>
      <c r="I572" s="261" t="s">
        <v>10772</v>
      </c>
      <c r="J572" s="261" t="s">
        <v>17507</v>
      </c>
      <c r="K572" s="262">
        <v>100000</v>
      </c>
    </row>
    <row r="573" spans="1:11" x14ac:dyDescent="0.2">
      <c r="A573" s="306" t="s">
        <v>24291</v>
      </c>
      <c r="B573" s="261" t="s">
        <v>21210</v>
      </c>
      <c r="C573" s="261" t="s">
        <v>19636</v>
      </c>
      <c r="D573" s="261" t="s">
        <v>21211</v>
      </c>
      <c r="E573" s="261">
        <v>44</v>
      </c>
      <c r="F573" s="261" t="s">
        <v>21243</v>
      </c>
      <c r="G573" s="261"/>
      <c r="H573" s="261"/>
      <c r="I573" s="261" t="s">
        <v>122</v>
      </c>
      <c r="J573" s="261" t="s">
        <v>19604</v>
      </c>
      <c r="K573" s="262">
        <v>20</v>
      </c>
    </row>
    <row r="574" spans="1:11" x14ac:dyDescent="0.2">
      <c r="A574" s="306" t="s">
        <v>24291</v>
      </c>
      <c r="B574" s="261" t="s">
        <v>21210</v>
      </c>
      <c r="C574" s="261" t="s">
        <v>19636</v>
      </c>
      <c r="D574" s="261" t="s">
        <v>21211</v>
      </c>
      <c r="E574" s="261">
        <v>45</v>
      </c>
      <c r="F574" s="261" t="s">
        <v>21244</v>
      </c>
      <c r="G574" s="261"/>
      <c r="H574" s="261"/>
      <c r="I574" s="261" t="s">
        <v>122</v>
      </c>
      <c r="J574" s="261" t="s">
        <v>19602</v>
      </c>
      <c r="K574" s="262">
        <v>20</v>
      </c>
    </row>
    <row r="575" spans="1:11" x14ac:dyDescent="0.2">
      <c r="A575" s="306" t="s">
        <v>24291</v>
      </c>
      <c r="B575" s="261" t="s">
        <v>21210</v>
      </c>
      <c r="C575" s="261" t="s">
        <v>19636</v>
      </c>
      <c r="D575" s="261" t="s">
        <v>21211</v>
      </c>
      <c r="E575" s="261">
        <v>46</v>
      </c>
      <c r="F575" s="261" t="s">
        <v>21245</v>
      </c>
      <c r="G575" s="261"/>
      <c r="H575" s="261"/>
      <c r="I575" s="261" t="s">
        <v>10772</v>
      </c>
      <c r="J575" s="261" t="s">
        <v>10756</v>
      </c>
      <c r="K575" s="262">
        <v>500000</v>
      </c>
    </row>
    <row r="576" spans="1:11" x14ac:dyDescent="0.2">
      <c r="A576" s="306" t="s">
        <v>24291</v>
      </c>
      <c r="B576" s="261" t="s">
        <v>21210</v>
      </c>
      <c r="C576" s="261" t="s">
        <v>19636</v>
      </c>
      <c r="D576" s="261" t="s">
        <v>21211</v>
      </c>
      <c r="E576" s="261">
        <v>47</v>
      </c>
      <c r="F576" s="261" t="s">
        <v>21246</v>
      </c>
      <c r="G576" s="261" t="s">
        <v>1020</v>
      </c>
      <c r="H576" s="261" t="s">
        <v>1021</v>
      </c>
      <c r="I576" s="261"/>
      <c r="J576" s="261"/>
      <c r="K576" s="262"/>
    </row>
    <row r="577" spans="1:11" x14ac:dyDescent="0.2">
      <c r="A577" s="306" t="s">
        <v>24291</v>
      </c>
      <c r="B577" s="261" t="s">
        <v>21210</v>
      </c>
      <c r="C577" s="261" t="s">
        <v>19636</v>
      </c>
      <c r="D577" s="261" t="s">
        <v>21211</v>
      </c>
      <c r="E577" s="261">
        <v>48</v>
      </c>
      <c r="F577" s="261" t="s">
        <v>21247</v>
      </c>
      <c r="G577" s="261"/>
      <c r="H577" s="261"/>
      <c r="I577" s="261" t="s">
        <v>122</v>
      </c>
      <c r="J577" s="261" t="s">
        <v>19599</v>
      </c>
      <c r="K577" s="262">
        <v>30</v>
      </c>
    </row>
    <row r="578" spans="1:11" x14ac:dyDescent="0.2">
      <c r="A578" s="306" t="s">
        <v>24291</v>
      </c>
      <c r="B578" s="261" t="s">
        <v>21210</v>
      </c>
      <c r="C578" s="261" t="s">
        <v>19636</v>
      </c>
      <c r="D578" s="261" t="s">
        <v>21211</v>
      </c>
      <c r="E578" s="261">
        <v>49</v>
      </c>
      <c r="F578" s="261" t="s">
        <v>21248</v>
      </c>
      <c r="G578" s="261"/>
      <c r="H578" s="261"/>
      <c r="I578" s="261" t="s">
        <v>122</v>
      </c>
      <c r="J578" s="261" t="s">
        <v>19600</v>
      </c>
      <c r="K578" s="262">
        <v>30</v>
      </c>
    </row>
    <row r="579" spans="1:11" x14ac:dyDescent="0.2">
      <c r="A579" s="306" t="s">
        <v>24291</v>
      </c>
      <c r="B579" s="261" t="s">
        <v>21210</v>
      </c>
      <c r="C579" s="261" t="s">
        <v>19636</v>
      </c>
      <c r="D579" s="261" t="s">
        <v>21211</v>
      </c>
      <c r="E579" s="261">
        <v>50</v>
      </c>
      <c r="F579" s="261" t="s">
        <v>21249</v>
      </c>
      <c r="G579" s="261"/>
      <c r="H579" s="261"/>
      <c r="I579" s="261" t="s">
        <v>10772</v>
      </c>
      <c r="J579" s="261" t="s">
        <v>19618</v>
      </c>
      <c r="K579" s="262">
        <v>50</v>
      </c>
    </row>
    <row r="580" spans="1:11" x14ac:dyDescent="0.2">
      <c r="A580" s="306" t="s">
        <v>24291</v>
      </c>
      <c r="B580" s="261" t="s">
        <v>21210</v>
      </c>
      <c r="C580" s="261" t="s">
        <v>19636</v>
      </c>
      <c r="D580" s="261" t="s">
        <v>21211</v>
      </c>
      <c r="E580" s="261">
        <v>51</v>
      </c>
      <c r="F580" s="261" t="s">
        <v>21250</v>
      </c>
      <c r="G580" s="261"/>
      <c r="H580" s="261"/>
      <c r="I580" s="261" t="s">
        <v>122</v>
      </c>
      <c r="J580" s="261" t="s">
        <v>19603</v>
      </c>
      <c r="K580" s="262">
        <v>30</v>
      </c>
    </row>
    <row r="581" spans="1:11" x14ac:dyDescent="0.2">
      <c r="A581" s="306" t="s">
        <v>24291</v>
      </c>
      <c r="B581" s="261" t="s">
        <v>21210</v>
      </c>
      <c r="C581" s="261" t="s">
        <v>19636</v>
      </c>
      <c r="D581" s="261" t="s">
        <v>21211</v>
      </c>
      <c r="E581" s="261">
        <v>52</v>
      </c>
      <c r="F581" s="261" t="s">
        <v>21251</v>
      </c>
      <c r="G581" s="261"/>
      <c r="H581" s="261"/>
      <c r="I581" s="261" t="s">
        <v>122</v>
      </c>
      <c r="J581" s="261" t="s">
        <v>19601</v>
      </c>
      <c r="K581" s="262">
        <v>30</v>
      </c>
    </row>
    <row r="582" spans="1:11" x14ac:dyDescent="0.2">
      <c r="A582" s="306" t="s">
        <v>24291</v>
      </c>
      <c r="B582" s="261" t="s">
        <v>21210</v>
      </c>
      <c r="C582" s="261" t="s">
        <v>19636</v>
      </c>
      <c r="D582" s="261" t="s">
        <v>21211</v>
      </c>
      <c r="E582" s="261">
        <v>53</v>
      </c>
      <c r="F582" s="261" t="s">
        <v>21252</v>
      </c>
      <c r="G582" s="261"/>
      <c r="H582" s="261"/>
      <c r="I582" s="261" t="s">
        <v>10772</v>
      </c>
      <c r="J582" s="261" t="s">
        <v>17507</v>
      </c>
      <c r="K582" s="262">
        <v>200000</v>
      </c>
    </row>
    <row r="583" spans="1:11" x14ac:dyDescent="0.2">
      <c r="A583" s="306" t="s">
        <v>24291</v>
      </c>
      <c r="B583" s="261" t="s">
        <v>21210</v>
      </c>
      <c r="C583" s="261" t="s">
        <v>19636</v>
      </c>
      <c r="D583" s="261" t="s">
        <v>21211</v>
      </c>
      <c r="E583" s="261">
        <v>54</v>
      </c>
      <c r="F583" s="261" t="s">
        <v>21253</v>
      </c>
      <c r="G583" s="261"/>
      <c r="H583" s="261"/>
      <c r="I583" s="261" t="s">
        <v>122</v>
      </c>
      <c r="J583" s="261" t="s">
        <v>19604</v>
      </c>
      <c r="K583" s="262">
        <v>30</v>
      </c>
    </row>
    <row r="584" spans="1:11" x14ac:dyDescent="0.2">
      <c r="A584" s="306" t="s">
        <v>24291</v>
      </c>
      <c r="B584" s="261" t="s">
        <v>21210</v>
      </c>
      <c r="C584" s="261" t="s">
        <v>19636</v>
      </c>
      <c r="D584" s="261" t="s">
        <v>21211</v>
      </c>
      <c r="E584" s="261">
        <v>55</v>
      </c>
      <c r="F584" s="261" t="s">
        <v>21254</v>
      </c>
      <c r="G584" s="261"/>
      <c r="H584" s="261"/>
      <c r="I584" s="261" t="s">
        <v>122</v>
      </c>
      <c r="J584" s="261" t="s">
        <v>19602</v>
      </c>
      <c r="K584" s="262">
        <v>30</v>
      </c>
    </row>
    <row r="585" spans="1:11" x14ac:dyDescent="0.2">
      <c r="A585" s="306" t="s">
        <v>24291</v>
      </c>
      <c r="B585" s="261" t="s">
        <v>21210</v>
      </c>
      <c r="C585" s="261" t="s">
        <v>19636</v>
      </c>
      <c r="D585" s="261" t="s">
        <v>21211</v>
      </c>
      <c r="E585" s="261">
        <v>56</v>
      </c>
      <c r="F585" s="261" t="s">
        <v>21255</v>
      </c>
      <c r="G585" s="261"/>
      <c r="H585" s="261"/>
      <c r="I585" s="261" t="s">
        <v>10772</v>
      </c>
      <c r="J585" s="261" t="s">
        <v>10756</v>
      </c>
      <c r="K585" s="262">
        <v>1000000</v>
      </c>
    </row>
    <row r="586" spans="1:11" x14ac:dyDescent="0.2">
      <c r="A586" s="306" t="s">
        <v>24291</v>
      </c>
      <c r="B586" s="261" t="s">
        <v>21210</v>
      </c>
      <c r="C586" s="261" t="s">
        <v>19636</v>
      </c>
      <c r="D586" s="261" t="s">
        <v>21211</v>
      </c>
      <c r="E586" s="261">
        <v>57</v>
      </c>
      <c r="F586" s="261" t="s">
        <v>21256</v>
      </c>
      <c r="G586" s="261" t="s">
        <v>624</v>
      </c>
      <c r="H586" s="261" t="s">
        <v>625</v>
      </c>
      <c r="I586" s="261"/>
      <c r="J586" s="261"/>
      <c r="K586" s="262"/>
    </row>
    <row r="587" spans="1:11" x14ac:dyDescent="0.2">
      <c r="A587" s="306" t="s">
        <v>24291</v>
      </c>
      <c r="B587" s="261" t="s">
        <v>21210</v>
      </c>
      <c r="C587" s="261" t="s">
        <v>19636</v>
      </c>
      <c r="D587" s="261" t="s">
        <v>21211</v>
      </c>
      <c r="E587" s="261">
        <v>58</v>
      </c>
      <c r="F587" s="261" t="s">
        <v>21257</v>
      </c>
      <c r="G587" s="261"/>
      <c r="H587" s="261"/>
      <c r="I587" s="261" t="s">
        <v>122</v>
      </c>
      <c r="J587" s="261" t="s">
        <v>19599</v>
      </c>
      <c r="K587" s="262">
        <v>40</v>
      </c>
    </row>
    <row r="588" spans="1:11" x14ac:dyDescent="0.2">
      <c r="A588" s="306" t="s">
        <v>24291</v>
      </c>
      <c r="B588" s="261" t="s">
        <v>21210</v>
      </c>
      <c r="C588" s="261" t="s">
        <v>19636</v>
      </c>
      <c r="D588" s="261" t="s">
        <v>21211</v>
      </c>
      <c r="E588" s="261">
        <v>59</v>
      </c>
      <c r="F588" s="261" t="s">
        <v>21258</v>
      </c>
      <c r="G588" s="261"/>
      <c r="H588" s="261"/>
      <c r="I588" s="261" t="s">
        <v>122</v>
      </c>
      <c r="J588" s="261" t="s">
        <v>19600</v>
      </c>
      <c r="K588" s="262">
        <v>40</v>
      </c>
    </row>
    <row r="589" spans="1:11" x14ac:dyDescent="0.2">
      <c r="A589" s="306" t="s">
        <v>24291</v>
      </c>
      <c r="B589" s="261" t="s">
        <v>21210</v>
      </c>
      <c r="C589" s="261" t="s">
        <v>19636</v>
      </c>
      <c r="D589" s="261" t="s">
        <v>21211</v>
      </c>
      <c r="E589" s="261">
        <v>60</v>
      </c>
      <c r="F589" s="261" t="s">
        <v>21259</v>
      </c>
      <c r="G589" s="261"/>
      <c r="H589" s="261"/>
      <c r="I589" s="261" t="s">
        <v>10772</v>
      </c>
      <c r="J589" s="261" t="s">
        <v>19618</v>
      </c>
      <c r="K589" s="262">
        <v>100</v>
      </c>
    </row>
    <row r="590" spans="1:11" x14ac:dyDescent="0.2">
      <c r="A590" s="306" t="s">
        <v>24291</v>
      </c>
      <c r="B590" s="261" t="s">
        <v>21210</v>
      </c>
      <c r="C590" s="261" t="s">
        <v>19636</v>
      </c>
      <c r="D590" s="261" t="s">
        <v>21211</v>
      </c>
      <c r="E590" s="261">
        <v>61</v>
      </c>
      <c r="F590" s="261" t="s">
        <v>21260</v>
      </c>
      <c r="G590" s="261"/>
      <c r="H590" s="261"/>
      <c r="I590" s="261" t="s">
        <v>122</v>
      </c>
      <c r="J590" s="261" t="s">
        <v>19603</v>
      </c>
      <c r="K590" s="262">
        <v>40</v>
      </c>
    </row>
    <row r="591" spans="1:11" x14ac:dyDescent="0.2">
      <c r="A591" s="306" t="s">
        <v>24291</v>
      </c>
      <c r="B591" s="261" t="s">
        <v>21210</v>
      </c>
      <c r="C591" s="261" t="s">
        <v>19636</v>
      </c>
      <c r="D591" s="261" t="s">
        <v>21211</v>
      </c>
      <c r="E591" s="261">
        <v>62</v>
      </c>
      <c r="F591" s="261" t="s">
        <v>21261</v>
      </c>
      <c r="G591" s="261"/>
      <c r="H591" s="261"/>
      <c r="I591" s="261" t="s">
        <v>122</v>
      </c>
      <c r="J591" s="261" t="s">
        <v>19601</v>
      </c>
      <c r="K591" s="262">
        <v>40</v>
      </c>
    </row>
    <row r="592" spans="1:11" x14ac:dyDescent="0.2">
      <c r="A592" s="306" t="s">
        <v>24291</v>
      </c>
      <c r="B592" s="261" t="s">
        <v>21210</v>
      </c>
      <c r="C592" s="261" t="s">
        <v>19636</v>
      </c>
      <c r="D592" s="261" t="s">
        <v>21211</v>
      </c>
      <c r="E592" s="261">
        <v>63</v>
      </c>
      <c r="F592" s="261" t="s">
        <v>21262</v>
      </c>
      <c r="G592" s="261"/>
      <c r="H592" s="261"/>
      <c r="I592" s="261" t="s">
        <v>10772</v>
      </c>
      <c r="J592" s="261" t="s">
        <v>17507</v>
      </c>
      <c r="K592" s="262">
        <v>300000</v>
      </c>
    </row>
    <row r="593" spans="1:11" x14ac:dyDescent="0.2">
      <c r="A593" s="306" t="s">
        <v>24291</v>
      </c>
      <c r="B593" s="261" t="s">
        <v>21210</v>
      </c>
      <c r="C593" s="261" t="s">
        <v>19636</v>
      </c>
      <c r="D593" s="261" t="s">
        <v>21211</v>
      </c>
      <c r="E593" s="261">
        <v>64</v>
      </c>
      <c r="F593" s="261" t="s">
        <v>21263</v>
      </c>
      <c r="G593" s="261"/>
      <c r="H593" s="261"/>
      <c r="I593" s="261" t="s">
        <v>122</v>
      </c>
      <c r="J593" s="261" t="s">
        <v>19604</v>
      </c>
      <c r="K593" s="262">
        <v>40</v>
      </c>
    </row>
    <row r="594" spans="1:11" x14ac:dyDescent="0.2">
      <c r="A594" s="306" t="s">
        <v>24291</v>
      </c>
      <c r="B594" s="261" t="s">
        <v>21210</v>
      </c>
      <c r="C594" s="261" t="s">
        <v>19636</v>
      </c>
      <c r="D594" s="261" t="s">
        <v>21211</v>
      </c>
      <c r="E594" s="261">
        <v>65</v>
      </c>
      <c r="F594" s="261" t="s">
        <v>21264</v>
      </c>
      <c r="G594" s="261"/>
      <c r="H594" s="261"/>
      <c r="I594" s="261" t="s">
        <v>122</v>
      </c>
      <c r="J594" s="261" t="s">
        <v>19602</v>
      </c>
      <c r="K594" s="262">
        <v>40</v>
      </c>
    </row>
    <row r="595" spans="1:11" x14ac:dyDescent="0.2">
      <c r="A595" s="306" t="s">
        <v>24291</v>
      </c>
      <c r="B595" s="261" t="s">
        <v>21210</v>
      </c>
      <c r="C595" s="261" t="s">
        <v>19636</v>
      </c>
      <c r="D595" s="261" t="s">
        <v>21211</v>
      </c>
      <c r="E595" s="261">
        <v>66</v>
      </c>
      <c r="F595" s="261" t="s">
        <v>21265</v>
      </c>
      <c r="G595" s="261"/>
      <c r="H595" s="261"/>
      <c r="I595" s="261" t="s">
        <v>10772</v>
      </c>
      <c r="J595" s="261" t="s">
        <v>10756</v>
      </c>
      <c r="K595" s="262">
        <v>1500000</v>
      </c>
    </row>
    <row r="596" spans="1:11" x14ac:dyDescent="0.2">
      <c r="A596" s="306" t="s">
        <v>24291</v>
      </c>
      <c r="B596" s="261" t="s">
        <v>21210</v>
      </c>
      <c r="C596" s="261" t="s">
        <v>19636</v>
      </c>
      <c r="D596" s="261" t="s">
        <v>21211</v>
      </c>
      <c r="E596" s="261">
        <v>67</v>
      </c>
      <c r="F596" s="261" t="s">
        <v>21266</v>
      </c>
      <c r="G596" s="261" t="s">
        <v>254</v>
      </c>
      <c r="H596" s="261" t="s">
        <v>255</v>
      </c>
      <c r="I596" s="261"/>
      <c r="J596" s="261"/>
      <c r="K596" s="262"/>
    </row>
    <row r="597" spans="1:11" x14ac:dyDescent="0.2">
      <c r="A597" s="306" t="s">
        <v>24291</v>
      </c>
      <c r="B597" s="261" t="s">
        <v>21210</v>
      </c>
      <c r="C597" s="261" t="s">
        <v>19636</v>
      </c>
      <c r="D597" s="261" t="s">
        <v>21211</v>
      </c>
      <c r="E597" s="261">
        <v>68</v>
      </c>
      <c r="F597" s="261" t="s">
        <v>21267</v>
      </c>
      <c r="G597" s="261"/>
      <c r="H597" s="261"/>
      <c r="I597" s="261" t="s">
        <v>122</v>
      </c>
      <c r="J597" s="261" t="s">
        <v>19599</v>
      </c>
      <c r="K597" s="262">
        <v>50</v>
      </c>
    </row>
    <row r="598" spans="1:11" x14ac:dyDescent="0.2">
      <c r="A598" s="306" t="s">
        <v>24291</v>
      </c>
      <c r="B598" s="261" t="s">
        <v>21210</v>
      </c>
      <c r="C598" s="261" t="s">
        <v>19636</v>
      </c>
      <c r="D598" s="261" t="s">
        <v>21211</v>
      </c>
      <c r="E598" s="261">
        <v>69</v>
      </c>
      <c r="F598" s="261" t="s">
        <v>21268</v>
      </c>
      <c r="G598" s="261"/>
      <c r="H598" s="261"/>
      <c r="I598" s="261" t="s">
        <v>122</v>
      </c>
      <c r="J598" s="261" t="s">
        <v>19600</v>
      </c>
      <c r="K598" s="262">
        <v>50</v>
      </c>
    </row>
    <row r="599" spans="1:11" x14ac:dyDescent="0.2">
      <c r="A599" s="306" t="s">
        <v>24291</v>
      </c>
      <c r="B599" s="261" t="s">
        <v>21210</v>
      </c>
      <c r="C599" s="261" t="s">
        <v>19636</v>
      </c>
      <c r="D599" s="261" t="s">
        <v>21211</v>
      </c>
      <c r="E599" s="261">
        <v>70</v>
      </c>
      <c r="F599" s="261" t="s">
        <v>21269</v>
      </c>
      <c r="G599" s="261"/>
      <c r="H599" s="261"/>
      <c r="I599" s="261" t="s">
        <v>122</v>
      </c>
      <c r="J599" s="261" t="s">
        <v>19603</v>
      </c>
      <c r="K599" s="262">
        <v>50</v>
      </c>
    </row>
    <row r="600" spans="1:11" x14ac:dyDescent="0.2">
      <c r="A600" s="306" t="s">
        <v>24291</v>
      </c>
      <c r="B600" s="261" t="s">
        <v>21210</v>
      </c>
      <c r="C600" s="261" t="s">
        <v>19636</v>
      </c>
      <c r="D600" s="261" t="s">
        <v>21211</v>
      </c>
      <c r="E600" s="261">
        <v>71</v>
      </c>
      <c r="F600" s="261" t="s">
        <v>21270</v>
      </c>
      <c r="G600" s="261"/>
      <c r="H600" s="261"/>
      <c r="I600" s="261" t="s">
        <v>122</v>
      </c>
      <c r="J600" s="261" t="s">
        <v>19601</v>
      </c>
      <c r="K600" s="262">
        <v>50</v>
      </c>
    </row>
    <row r="601" spans="1:11" x14ac:dyDescent="0.2">
      <c r="A601" s="306" t="s">
        <v>24291</v>
      </c>
      <c r="B601" s="261" t="s">
        <v>21210</v>
      </c>
      <c r="C601" s="261" t="s">
        <v>19636</v>
      </c>
      <c r="D601" s="261" t="s">
        <v>21211</v>
      </c>
      <c r="E601" s="261">
        <v>72</v>
      </c>
      <c r="F601" s="261" t="s">
        <v>21271</v>
      </c>
      <c r="G601" s="261"/>
      <c r="H601" s="261"/>
      <c r="I601" s="261" t="s">
        <v>122</v>
      </c>
      <c r="J601" s="261" t="s">
        <v>19604</v>
      </c>
      <c r="K601" s="262">
        <v>50</v>
      </c>
    </row>
    <row r="602" spans="1:11" x14ac:dyDescent="0.2">
      <c r="A602" s="306" t="s">
        <v>24291</v>
      </c>
      <c r="B602" s="261" t="s">
        <v>21210</v>
      </c>
      <c r="C602" s="261" t="s">
        <v>19636</v>
      </c>
      <c r="D602" s="261" t="s">
        <v>21211</v>
      </c>
      <c r="E602" s="261">
        <v>73</v>
      </c>
      <c r="F602" s="261" t="s">
        <v>21272</v>
      </c>
      <c r="G602" s="261"/>
      <c r="H602" s="261"/>
      <c r="I602" s="261" t="s">
        <v>122</v>
      </c>
      <c r="J602" s="261" t="s">
        <v>19602</v>
      </c>
      <c r="K602" s="262">
        <v>50</v>
      </c>
    </row>
    <row r="603" spans="1:11" x14ac:dyDescent="0.2">
      <c r="A603" s="306" t="s">
        <v>24291</v>
      </c>
      <c r="B603" s="261" t="s">
        <v>21210</v>
      </c>
      <c r="C603" s="261" t="s">
        <v>19636</v>
      </c>
      <c r="D603" s="261" t="s">
        <v>21211</v>
      </c>
      <c r="E603" s="261">
        <v>74</v>
      </c>
      <c r="F603" s="261" t="s">
        <v>21273</v>
      </c>
      <c r="G603" s="261" t="s">
        <v>86</v>
      </c>
      <c r="H603" s="261" t="s">
        <v>915</v>
      </c>
      <c r="I603" s="261"/>
      <c r="J603" s="261"/>
      <c r="K603" s="262"/>
    </row>
    <row r="604" spans="1:11" x14ac:dyDescent="0.2">
      <c r="A604" s="306" t="s">
        <v>24291</v>
      </c>
      <c r="B604" s="261" t="s">
        <v>21210</v>
      </c>
      <c r="C604" s="261" t="s">
        <v>19636</v>
      </c>
      <c r="D604" s="261" t="s">
        <v>21211</v>
      </c>
      <c r="E604" s="261">
        <v>75</v>
      </c>
      <c r="F604" s="261" t="s">
        <v>21274</v>
      </c>
      <c r="G604" s="261"/>
      <c r="H604" s="261"/>
      <c r="I604" s="261" t="s">
        <v>10772</v>
      </c>
      <c r="J604" s="261" t="s">
        <v>19618</v>
      </c>
      <c r="K604" s="262">
        <v>200</v>
      </c>
    </row>
    <row r="605" spans="1:11" x14ac:dyDescent="0.2">
      <c r="A605" s="306" t="s">
        <v>24291</v>
      </c>
      <c r="B605" s="261" t="s">
        <v>21210</v>
      </c>
      <c r="C605" s="261" t="s">
        <v>19636</v>
      </c>
      <c r="D605" s="261" t="s">
        <v>21211</v>
      </c>
      <c r="E605" s="261">
        <v>76</v>
      </c>
      <c r="F605" s="261" t="s">
        <v>21275</v>
      </c>
      <c r="G605" s="261"/>
      <c r="H605" s="261"/>
      <c r="I605" s="261" t="s">
        <v>10772</v>
      </c>
      <c r="J605" s="261" t="s">
        <v>17507</v>
      </c>
      <c r="K605" s="262">
        <v>500000</v>
      </c>
    </row>
    <row r="606" spans="1:11" x14ac:dyDescent="0.2">
      <c r="A606" s="306" t="s">
        <v>24291</v>
      </c>
      <c r="B606" s="261" t="s">
        <v>21210</v>
      </c>
      <c r="C606" s="261" t="s">
        <v>19636</v>
      </c>
      <c r="D606" s="261" t="s">
        <v>21211</v>
      </c>
      <c r="E606" s="261">
        <v>77</v>
      </c>
      <c r="F606" s="261" t="s">
        <v>24014</v>
      </c>
      <c r="G606" s="261"/>
      <c r="H606" s="261"/>
      <c r="I606" s="261" t="s">
        <v>10772</v>
      </c>
      <c r="J606" s="261" t="s">
        <v>10756</v>
      </c>
      <c r="K606" s="262">
        <v>2500000</v>
      </c>
    </row>
    <row r="607" spans="1:11" x14ac:dyDescent="0.2">
      <c r="A607" s="306" t="s">
        <v>24291</v>
      </c>
      <c r="B607" s="261" t="s">
        <v>21210</v>
      </c>
      <c r="C607" s="261" t="s">
        <v>19636</v>
      </c>
      <c r="D607" s="261" t="s">
        <v>21211</v>
      </c>
      <c r="E607" s="261">
        <v>78</v>
      </c>
      <c r="F607" s="261" t="s">
        <v>21276</v>
      </c>
      <c r="G607" s="261"/>
      <c r="H607" s="261"/>
      <c r="I607" s="261" t="s">
        <v>10772</v>
      </c>
      <c r="J607" s="261" t="s">
        <v>19618</v>
      </c>
      <c r="K607" s="262">
        <v>250</v>
      </c>
    </row>
    <row r="608" spans="1:11" x14ac:dyDescent="0.2">
      <c r="A608" s="306" t="s">
        <v>24291</v>
      </c>
      <c r="B608" s="261" t="s">
        <v>21210</v>
      </c>
      <c r="C608" s="261" t="s">
        <v>19636</v>
      </c>
      <c r="D608" s="261" t="s">
        <v>21211</v>
      </c>
      <c r="E608" s="261">
        <v>79</v>
      </c>
      <c r="F608" s="261" t="s">
        <v>24013</v>
      </c>
      <c r="G608" s="261"/>
      <c r="H608" s="261"/>
      <c r="I608" s="261" t="s">
        <v>10772</v>
      </c>
      <c r="J608" s="261" t="s">
        <v>17507</v>
      </c>
      <c r="K608" s="262">
        <v>700000</v>
      </c>
    </row>
    <row r="609" spans="1:11" x14ac:dyDescent="0.2">
      <c r="A609" s="306" t="s">
        <v>24291</v>
      </c>
      <c r="B609" s="261" t="s">
        <v>21210</v>
      </c>
      <c r="C609" s="261" t="s">
        <v>19636</v>
      </c>
      <c r="D609" s="261" t="s">
        <v>21211</v>
      </c>
      <c r="E609" s="261">
        <v>80</v>
      </c>
      <c r="F609" s="261" t="s">
        <v>24012</v>
      </c>
      <c r="G609" s="261"/>
      <c r="H609" s="261"/>
      <c r="I609" s="261" t="s">
        <v>10772</v>
      </c>
      <c r="J609" s="261" t="s">
        <v>10756</v>
      </c>
      <c r="K609" s="262">
        <v>3500000</v>
      </c>
    </row>
    <row r="610" spans="1:11" x14ac:dyDescent="0.2">
      <c r="A610" s="306" t="s">
        <v>24291</v>
      </c>
      <c r="B610" s="261" t="s">
        <v>21210</v>
      </c>
      <c r="C610" s="261" t="s">
        <v>19636</v>
      </c>
      <c r="D610" s="261" t="s">
        <v>21211</v>
      </c>
      <c r="E610" s="261">
        <v>81</v>
      </c>
      <c r="F610" s="261" t="s">
        <v>24020</v>
      </c>
      <c r="G610" s="261"/>
      <c r="H610" s="261"/>
      <c r="I610" s="261" t="s">
        <v>10772</v>
      </c>
      <c r="J610" s="261" t="s">
        <v>21232</v>
      </c>
      <c r="K610" s="262">
        <v>1</v>
      </c>
    </row>
    <row r="611" spans="1:11" x14ac:dyDescent="0.2">
      <c r="A611" s="306" t="s">
        <v>24291</v>
      </c>
      <c r="B611" s="261" t="s">
        <v>21210</v>
      </c>
      <c r="C611" s="261" t="s">
        <v>19636</v>
      </c>
      <c r="D611" s="261" t="s">
        <v>21211</v>
      </c>
      <c r="E611" s="261">
        <v>82</v>
      </c>
      <c r="F611" s="261" t="s">
        <v>24021</v>
      </c>
      <c r="G611" s="261"/>
      <c r="H611" s="261"/>
      <c r="I611" s="261" t="s">
        <v>10772</v>
      </c>
      <c r="J611" s="261" t="s">
        <v>21232</v>
      </c>
      <c r="K611" s="262">
        <v>1</v>
      </c>
    </row>
    <row r="612" spans="1:11" x14ac:dyDescent="0.2">
      <c r="A612" s="306" t="s">
        <v>24291</v>
      </c>
      <c r="B612" s="261" t="s">
        <v>21210</v>
      </c>
      <c r="C612" s="261" t="s">
        <v>19636</v>
      </c>
      <c r="D612" s="261" t="s">
        <v>21211</v>
      </c>
      <c r="E612" s="261">
        <v>83</v>
      </c>
      <c r="F612" s="261" t="s">
        <v>24022</v>
      </c>
      <c r="G612" s="261"/>
      <c r="H612" s="261"/>
      <c r="I612" s="261" t="s">
        <v>10772</v>
      </c>
      <c r="J612" s="261" t="s">
        <v>21232</v>
      </c>
      <c r="K612" s="262">
        <v>1</v>
      </c>
    </row>
    <row r="613" spans="1:11" x14ac:dyDescent="0.2">
      <c r="A613" s="306" t="s">
        <v>24291</v>
      </c>
      <c r="B613" s="261" t="s">
        <v>21210</v>
      </c>
      <c r="C613" s="261" t="s">
        <v>19636</v>
      </c>
      <c r="D613" s="261" t="s">
        <v>21211</v>
      </c>
      <c r="E613" s="261">
        <v>84</v>
      </c>
      <c r="F613" s="261" t="s">
        <v>21277</v>
      </c>
      <c r="G613" s="261"/>
      <c r="H613" s="261"/>
      <c r="I613" s="261" t="s">
        <v>10772</v>
      </c>
      <c r="J613" s="261" t="s">
        <v>21232</v>
      </c>
      <c r="K613" s="262">
        <v>1</v>
      </c>
    </row>
    <row r="614" spans="1:11" x14ac:dyDescent="0.2">
      <c r="A614" s="306" t="s">
        <v>24291</v>
      </c>
      <c r="B614" s="261" t="s">
        <v>21210</v>
      </c>
      <c r="C614" s="261" t="s">
        <v>19636</v>
      </c>
      <c r="D614" s="261" t="s">
        <v>21211</v>
      </c>
      <c r="E614" s="261">
        <v>85</v>
      </c>
      <c r="F614" s="261" t="s">
        <v>21278</v>
      </c>
      <c r="G614" s="261"/>
      <c r="H614" s="261"/>
      <c r="I614" s="261" t="s">
        <v>10772</v>
      </c>
      <c r="J614" s="261" t="s">
        <v>21232</v>
      </c>
      <c r="K614" s="262">
        <v>1</v>
      </c>
    </row>
    <row r="615" spans="1:11" x14ac:dyDescent="0.2">
      <c r="A615" s="306" t="s">
        <v>24291</v>
      </c>
      <c r="B615" s="261" t="s">
        <v>21210</v>
      </c>
      <c r="C615" s="261" t="s">
        <v>19636</v>
      </c>
      <c r="D615" s="261" t="s">
        <v>21211</v>
      </c>
      <c r="E615" s="261">
        <v>86</v>
      </c>
      <c r="F615" s="261" t="s">
        <v>24023</v>
      </c>
      <c r="G615" s="261"/>
      <c r="H615" s="261"/>
      <c r="I615" s="261" t="s">
        <v>10772</v>
      </c>
      <c r="J615" s="261" t="s">
        <v>21232</v>
      </c>
      <c r="K615" s="262">
        <v>1</v>
      </c>
    </row>
    <row r="616" spans="1:11" x14ac:dyDescent="0.2">
      <c r="A616" s="306" t="s">
        <v>24291</v>
      </c>
      <c r="B616" s="261" t="s">
        <v>21210</v>
      </c>
      <c r="C616" s="261" t="s">
        <v>19636</v>
      </c>
      <c r="D616" s="261" t="s">
        <v>21211</v>
      </c>
      <c r="E616" s="261">
        <v>87</v>
      </c>
      <c r="F616" s="261" t="s">
        <v>21279</v>
      </c>
      <c r="G616" s="261"/>
      <c r="H616" s="261"/>
      <c r="I616" s="261" t="s">
        <v>10772</v>
      </c>
      <c r="J616" s="261" t="s">
        <v>21232</v>
      </c>
      <c r="K616" s="262">
        <v>1</v>
      </c>
    </row>
    <row r="617" spans="1:11" x14ac:dyDescent="0.2">
      <c r="A617" s="306" t="s">
        <v>24291</v>
      </c>
      <c r="B617" s="261" t="s">
        <v>21210</v>
      </c>
      <c r="C617" s="261" t="s">
        <v>19636</v>
      </c>
      <c r="D617" s="261" t="s">
        <v>21211</v>
      </c>
      <c r="E617" s="261">
        <v>88</v>
      </c>
      <c r="F617" s="261" t="s">
        <v>24019</v>
      </c>
      <c r="G617" s="261"/>
      <c r="H617" s="261"/>
      <c r="I617" s="261" t="s">
        <v>10772</v>
      </c>
      <c r="J617" s="261" t="s">
        <v>21232</v>
      </c>
      <c r="K617" s="262">
        <v>1</v>
      </c>
    </row>
    <row r="618" spans="1:11" x14ac:dyDescent="0.2">
      <c r="A618" s="306" t="s">
        <v>24291</v>
      </c>
      <c r="B618" s="261" t="s">
        <v>21210</v>
      </c>
      <c r="C618" s="261" t="s">
        <v>19636</v>
      </c>
      <c r="D618" s="261" t="s">
        <v>21211</v>
      </c>
      <c r="E618" s="261">
        <v>89</v>
      </c>
      <c r="F618" s="261" t="s">
        <v>21280</v>
      </c>
      <c r="G618" s="261"/>
      <c r="H618" s="261"/>
      <c r="I618" s="261" t="s">
        <v>10772</v>
      </c>
      <c r="J618" s="261" t="s">
        <v>21232</v>
      </c>
      <c r="K618" s="262">
        <v>1</v>
      </c>
    </row>
    <row r="619" spans="1:11" x14ac:dyDescent="0.2">
      <c r="A619" s="306" t="s">
        <v>24291</v>
      </c>
      <c r="B619" s="261" t="s">
        <v>21210</v>
      </c>
      <c r="C619" s="261" t="s">
        <v>19636</v>
      </c>
      <c r="D619" s="261" t="s">
        <v>21211</v>
      </c>
      <c r="E619" s="261">
        <v>90</v>
      </c>
      <c r="F619" s="261" t="s">
        <v>21281</v>
      </c>
      <c r="G619" s="261"/>
      <c r="H619" s="261"/>
      <c r="I619" s="261" t="s">
        <v>10772</v>
      </c>
      <c r="J619" s="261" t="s">
        <v>21232</v>
      </c>
      <c r="K619" s="262">
        <v>1</v>
      </c>
    </row>
    <row r="620" spans="1:11" x14ac:dyDescent="0.2">
      <c r="A620" s="306" t="s">
        <v>24291</v>
      </c>
      <c r="B620" s="261" t="s">
        <v>21210</v>
      </c>
      <c r="C620" s="261" t="s">
        <v>19636</v>
      </c>
      <c r="D620" s="261" t="s">
        <v>21211</v>
      </c>
      <c r="E620" s="261">
        <v>91</v>
      </c>
      <c r="F620" s="261" t="s">
        <v>24018</v>
      </c>
      <c r="G620" s="261"/>
      <c r="H620" s="261"/>
      <c r="I620" s="261" t="s">
        <v>10772</v>
      </c>
      <c r="J620" s="261" t="s">
        <v>21232</v>
      </c>
      <c r="K620" s="262">
        <v>1</v>
      </c>
    </row>
    <row r="621" spans="1:11" x14ac:dyDescent="0.2">
      <c r="A621" s="306" t="s">
        <v>24291</v>
      </c>
      <c r="B621" s="261" t="s">
        <v>21210</v>
      </c>
      <c r="C621" s="261" t="s">
        <v>19636</v>
      </c>
      <c r="D621" s="261" t="s">
        <v>21211</v>
      </c>
      <c r="E621" s="261">
        <v>92</v>
      </c>
      <c r="F621" s="261" t="s">
        <v>21282</v>
      </c>
      <c r="G621" s="261"/>
      <c r="H621" s="261"/>
      <c r="I621" s="261" t="s">
        <v>10772</v>
      </c>
      <c r="J621" s="261" t="s">
        <v>21232</v>
      </c>
      <c r="K621" s="262">
        <v>1</v>
      </c>
    </row>
    <row r="622" spans="1:11" x14ac:dyDescent="0.2">
      <c r="A622" s="306" t="s">
        <v>24291</v>
      </c>
      <c r="B622" s="261" t="s">
        <v>21210</v>
      </c>
      <c r="C622" s="261" t="s">
        <v>19636</v>
      </c>
      <c r="D622" s="261" t="s">
        <v>21211</v>
      </c>
      <c r="E622" s="261">
        <v>93</v>
      </c>
      <c r="F622" s="261" t="s">
        <v>24017</v>
      </c>
      <c r="G622" s="261"/>
      <c r="H622" s="261"/>
      <c r="I622" s="261" t="s">
        <v>10772</v>
      </c>
      <c r="J622" s="261" t="s">
        <v>21232</v>
      </c>
      <c r="K622" s="262">
        <v>1</v>
      </c>
    </row>
    <row r="623" spans="1:11" x14ac:dyDescent="0.2">
      <c r="A623" s="306" t="s">
        <v>24291</v>
      </c>
      <c r="B623" s="261" t="s">
        <v>21210</v>
      </c>
      <c r="C623" s="261" t="s">
        <v>19636</v>
      </c>
      <c r="D623" s="261" t="s">
        <v>21211</v>
      </c>
      <c r="E623" s="261">
        <v>94</v>
      </c>
      <c r="F623" s="261" t="s">
        <v>21283</v>
      </c>
      <c r="G623" s="261"/>
      <c r="H623" s="261"/>
      <c r="I623" s="261" t="s">
        <v>10772</v>
      </c>
      <c r="J623" s="261" t="s">
        <v>21232</v>
      </c>
      <c r="K623" s="262">
        <v>1</v>
      </c>
    </row>
    <row r="624" spans="1:11" x14ac:dyDescent="0.2">
      <c r="A624" s="306" t="s">
        <v>24291</v>
      </c>
      <c r="B624" s="261" t="s">
        <v>21210</v>
      </c>
      <c r="C624" s="261" t="s">
        <v>19636</v>
      </c>
      <c r="D624" s="261" t="s">
        <v>21211</v>
      </c>
      <c r="E624" s="261">
        <v>95</v>
      </c>
      <c r="F624" s="261" t="s">
        <v>21284</v>
      </c>
      <c r="G624" s="261"/>
      <c r="H624" s="261"/>
      <c r="I624" s="261" t="s">
        <v>10772</v>
      </c>
      <c r="J624" s="261" t="s">
        <v>21232</v>
      </c>
      <c r="K624" s="262">
        <v>1</v>
      </c>
    </row>
    <row r="625" spans="1:11" x14ac:dyDescent="0.2">
      <c r="A625" s="306" t="s">
        <v>24291</v>
      </c>
      <c r="B625" s="261" t="s">
        <v>21210</v>
      </c>
      <c r="C625" s="261" t="s">
        <v>19636</v>
      </c>
      <c r="D625" s="261" t="s">
        <v>21211</v>
      </c>
      <c r="E625" s="261">
        <v>96</v>
      </c>
      <c r="F625" s="261" t="s">
        <v>24016</v>
      </c>
      <c r="G625" s="261"/>
      <c r="H625" s="261"/>
      <c r="I625" s="261" t="s">
        <v>10772</v>
      </c>
      <c r="J625" s="261" t="s">
        <v>21232</v>
      </c>
      <c r="K625" s="262">
        <v>1</v>
      </c>
    </row>
    <row r="626" spans="1:11" x14ac:dyDescent="0.2">
      <c r="A626" s="306" t="s">
        <v>24291</v>
      </c>
      <c r="B626" s="261" t="s">
        <v>21210</v>
      </c>
      <c r="C626" s="261" t="s">
        <v>19636</v>
      </c>
      <c r="D626" s="261" t="s">
        <v>21211</v>
      </c>
      <c r="E626" s="261">
        <v>97</v>
      </c>
      <c r="F626" s="261" t="s">
        <v>21285</v>
      </c>
      <c r="G626" s="261"/>
      <c r="H626" s="261"/>
      <c r="I626" s="261" t="s">
        <v>10772</v>
      </c>
      <c r="J626" s="261" t="s">
        <v>21232</v>
      </c>
      <c r="K626" s="262">
        <v>1</v>
      </c>
    </row>
    <row r="627" spans="1:11" x14ac:dyDescent="0.2">
      <c r="A627" s="306" t="s">
        <v>24291</v>
      </c>
      <c r="B627" s="261" t="s">
        <v>21210</v>
      </c>
      <c r="C627" s="261" t="s">
        <v>19636</v>
      </c>
      <c r="D627" s="261" t="s">
        <v>21211</v>
      </c>
      <c r="E627" s="261">
        <v>98</v>
      </c>
      <c r="F627" s="261" t="s">
        <v>24015</v>
      </c>
      <c r="G627" s="261"/>
      <c r="H627" s="261"/>
      <c r="I627" s="261" t="s">
        <v>10772</v>
      </c>
      <c r="J627" s="261" t="s">
        <v>21232</v>
      </c>
      <c r="K627" s="262">
        <v>1</v>
      </c>
    </row>
    <row r="628" spans="1:11" x14ac:dyDescent="0.2">
      <c r="A628" s="306" t="s">
        <v>24291</v>
      </c>
      <c r="B628" s="261" t="s">
        <v>21210</v>
      </c>
      <c r="C628" s="261" t="s">
        <v>19636</v>
      </c>
      <c r="D628" s="261" t="s">
        <v>21211</v>
      </c>
      <c r="E628" s="261">
        <v>99</v>
      </c>
      <c r="F628" s="261" t="s">
        <v>21286</v>
      </c>
      <c r="G628" s="261"/>
      <c r="H628" s="261"/>
      <c r="I628" s="261" t="s">
        <v>1103</v>
      </c>
      <c r="J628" s="261" t="s">
        <v>19599</v>
      </c>
      <c r="K628" s="262">
        <v>20</v>
      </c>
    </row>
    <row r="629" spans="1:11" x14ac:dyDescent="0.2">
      <c r="A629" s="306" t="s">
        <v>24291</v>
      </c>
      <c r="B629" s="261" t="s">
        <v>21210</v>
      </c>
      <c r="C629" s="261" t="s">
        <v>19636</v>
      </c>
      <c r="D629" s="261" t="s">
        <v>21211</v>
      </c>
      <c r="E629" s="261">
        <v>100</v>
      </c>
      <c r="F629" s="261" t="s">
        <v>21287</v>
      </c>
      <c r="G629" s="261"/>
      <c r="H629" s="261"/>
      <c r="I629" s="261" t="s">
        <v>1103</v>
      </c>
      <c r="J629" s="261" t="s">
        <v>19600</v>
      </c>
      <c r="K629" s="262">
        <v>20</v>
      </c>
    </row>
    <row r="630" spans="1:11" x14ac:dyDescent="0.2">
      <c r="A630" s="306" t="s">
        <v>24291</v>
      </c>
      <c r="B630" s="261" t="s">
        <v>21210</v>
      </c>
      <c r="C630" s="261" t="s">
        <v>19636</v>
      </c>
      <c r="D630" s="261" t="s">
        <v>21211</v>
      </c>
      <c r="E630" s="261">
        <v>101</v>
      </c>
      <c r="F630" s="261" t="s">
        <v>21288</v>
      </c>
      <c r="G630" s="261"/>
      <c r="H630" s="261"/>
      <c r="I630" s="261" t="s">
        <v>10772</v>
      </c>
      <c r="J630" s="261" t="s">
        <v>19618</v>
      </c>
      <c r="K630" s="262">
        <v>30</v>
      </c>
    </row>
    <row r="631" spans="1:11" x14ac:dyDescent="0.2">
      <c r="A631" s="306" t="s">
        <v>24291</v>
      </c>
      <c r="B631" s="261" t="s">
        <v>21210</v>
      </c>
      <c r="C631" s="261" t="s">
        <v>19636</v>
      </c>
      <c r="D631" s="261" t="s">
        <v>21211</v>
      </c>
      <c r="E631" s="261">
        <v>102</v>
      </c>
      <c r="F631" s="261" t="s">
        <v>21289</v>
      </c>
      <c r="G631" s="261"/>
      <c r="H631" s="261"/>
      <c r="I631" s="261" t="s">
        <v>1103</v>
      </c>
      <c r="J631" s="261" t="s">
        <v>19603</v>
      </c>
      <c r="K631" s="262">
        <v>20</v>
      </c>
    </row>
    <row r="632" spans="1:11" x14ac:dyDescent="0.2">
      <c r="A632" s="306" t="s">
        <v>24291</v>
      </c>
      <c r="B632" s="261" t="s">
        <v>21210</v>
      </c>
      <c r="C632" s="261" t="s">
        <v>19636</v>
      </c>
      <c r="D632" s="261" t="s">
        <v>21211</v>
      </c>
      <c r="E632" s="261">
        <v>103</v>
      </c>
      <c r="F632" s="261" t="s">
        <v>21290</v>
      </c>
      <c r="G632" s="261"/>
      <c r="H632" s="261"/>
      <c r="I632" s="261" t="s">
        <v>1103</v>
      </c>
      <c r="J632" s="261" t="s">
        <v>19601</v>
      </c>
      <c r="K632" s="262">
        <v>20</v>
      </c>
    </row>
    <row r="633" spans="1:11" x14ac:dyDescent="0.2">
      <c r="A633" s="306" t="s">
        <v>24291</v>
      </c>
      <c r="B633" s="261" t="s">
        <v>21210</v>
      </c>
      <c r="C633" s="261" t="s">
        <v>19636</v>
      </c>
      <c r="D633" s="261" t="s">
        <v>21211</v>
      </c>
      <c r="E633" s="261">
        <v>104</v>
      </c>
      <c r="F633" s="261" t="s">
        <v>21291</v>
      </c>
      <c r="G633" s="261"/>
      <c r="H633" s="261"/>
      <c r="I633" s="261" t="s">
        <v>10772</v>
      </c>
      <c r="J633" s="261" t="s">
        <v>17507</v>
      </c>
      <c r="K633" s="262">
        <v>100000</v>
      </c>
    </row>
    <row r="634" spans="1:11" x14ac:dyDescent="0.2">
      <c r="A634" s="306" t="s">
        <v>24291</v>
      </c>
      <c r="B634" s="261" t="s">
        <v>21210</v>
      </c>
      <c r="C634" s="261" t="s">
        <v>19636</v>
      </c>
      <c r="D634" s="261" t="s">
        <v>21211</v>
      </c>
      <c r="E634" s="261">
        <v>105</v>
      </c>
      <c r="F634" s="261" t="s">
        <v>21292</v>
      </c>
      <c r="G634" s="261"/>
      <c r="H634" s="261"/>
      <c r="I634" s="261" t="s">
        <v>1103</v>
      </c>
      <c r="J634" s="261" t="s">
        <v>19604</v>
      </c>
      <c r="K634" s="262">
        <v>20</v>
      </c>
    </row>
    <row r="635" spans="1:11" x14ac:dyDescent="0.2">
      <c r="A635" s="306" t="s">
        <v>24291</v>
      </c>
      <c r="B635" s="261" t="s">
        <v>21210</v>
      </c>
      <c r="C635" s="261" t="s">
        <v>19636</v>
      </c>
      <c r="D635" s="261" t="s">
        <v>21211</v>
      </c>
      <c r="E635" s="261">
        <v>106</v>
      </c>
      <c r="F635" s="261" t="s">
        <v>21293</v>
      </c>
      <c r="G635" s="261"/>
      <c r="H635" s="261"/>
      <c r="I635" s="261" t="s">
        <v>1103</v>
      </c>
      <c r="J635" s="261" t="s">
        <v>19602</v>
      </c>
      <c r="K635" s="262">
        <v>20</v>
      </c>
    </row>
    <row r="636" spans="1:11" x14ac:dyDescent="0.2">
      <c r="A636" s="306" t="s">
        <v>24291</v>
      </c>
      <c r="B636" s="261" t="s">
        <v>21210</v>
      </c>
      <c r="C636" s="261" t="s">
        <v>19636</v>
      </c>
      <c r="D636" s="261" t="s">
        <v>21211</v>
      </c>
      <c r="E636" s="261">
        <v>107</v>
      </c>
      <c r="F636" s="261" t="s">
        <v>21294</v>
      </c>
      <c r="G636" s="261"/>
      <c r="H636" s="261"/>
      <c r="I636" s="261" t="s">
        <v>10772</v>
      </c>
      <c r="J636" s="261" t="s">
        <v>10756</v>
      </c>
      <c r="K636" s="262">
        <v>500000</v>
      </c>
    </row>
    <row r="637" spans="1:11" x14ac:dyDescent="0.2">
      <c r="A637" s="306" t="s">
        <v>24291</v>
      </c>
      <c r="B637" s="261" t="s">
        <v>21210</v>
      </c>
      <c r="C637" s="261" t="s">
        <v>19636</v>
      </c>
      <c r="D637" s="261" t="s">
        <v>21211</v>
      </c>
      <c r="E637" s="261">
        <v>108</v>
      </c>
      <c r="F637" s="261" t="s">
        <v>21295</v>
      </c>
      <c r="G637" s="261" t="s">
        <v>1456</v>
      </c>
      <c r="H637" s="261" t="s">
        <v>1457</v>
      </c>
      <c r="I637" s="261"/>
      <c r="J637" s="261"/>
      <c r="K637" s="262"/>
    </row>
    <row r="638" spans="1:11" x14ac:dyDescent="0.2">
      <c r="A638" s="306" t="s">
        <v>24291</v>
      </c>
      <c r="B638" s="261" t="s">
        <v>21210</v>
      </c>
      <c r="C638" s="261" t="s">
        <v>19636</v>
      </c>
      <c r="D638" s="261" t="s">
        <v>21211</v>
      </c>
      <c r="E638" s="261">
        <v>109</v>
      </c>
      <c r="F638" s="261" t="s">
        <v>21296</v>
      </c>
      <c r="G638" s="261"/>
      <c r="H638" s="261"/>
      <c r="I638" s="261" t="s">
        <v>1103</v>
      </c>
      <c r="J638" s="261" t="s">
        <v>19599</v>
      </c>
      <c r="K638" s="262">
        <v>30</v>
      </c>
    </row>
    <row r="639" spans="1:11" x14ac:dyDescent="0.2">
      <c r="A639" s="306" t="s">
        <v>24291</v>
      </c>
      <c r="B639" s="261" t="s">
        <v>21210</v>
      </c>
      <c r="C639" s="261" t="s">
        <v>19636</v>
      </c>
      <c r="D639" s="261" t="s">
        <v>21211</v>
      </c>
      <c r="E639" s="261">
        <v>110</v>
      </c>
      <c r="F639" s="261" t="s">
        <v>21297</v>
      </c>
      <c r="G639" s="261"/>
      <c r="H639" s="261"/>
      <c r="I639" s="261" t="s">
        <v>1103</v>
      </c>
      <c r="J639" s="261" t="s">
        <v>19600</v>
      </c>
      <c r="K639" s="262">
        <v>30</v>
      </c>
    </row>
    <row r="640" spans="1:11" x14ac:dyDescent="0.2">
      <c r="A640" s="306" t="s">
        <v>24291</v>
      </c>
      <c r="B640" s="261" t="s">
        <v>21210</v>
      </c>
      <c r="C640" s="261" t="s">
        <v>19636</v>
      </c>
      <c r="D640" s="261" t="s">
        <v>21211</v>
      </c>
      <c r="E640" s="261">
        <v>111</v>
      </c>
      <c r="F640" s="261" t="s">
        <v>21298</v>
      </c>
      <c r="G640" s="261"/>
      <c r="H640" s="261"/>
      <c r="I640" s="261" t="s">
        <v>10772</v>
      </c>
      <c r="J640" s="261" t="s">
        <v>19618</v>
      </c>
      <c r="K640" s="262">
        <v>50</v>
      </c>
    </row>
    <row r="641" spans="1:11" x14ac:dyDescent="0.2">
      <c r="A641" s="306" t="s">
        <v>24291</v>
      </c>
      <c r="B641" s="261" t="s">
        <v>21210</v>
      </c>
      <c r="C641" s="261" t="s">
        <v>19636</v>
      </c>
      <c r="D641" s="261" t="s">
        <v>21211</v>
      </c>
      <c r="E641" s="261">
        <v>112</v>
      </c>
      <c r="F641" s="261" t="s">
        <v>21299</v>
      </c>
      <c r="G641" s="261"/>
      <c r="H641" s="261"/>
      <c r="I641" s="261" t="s">
        <v>1103</v>
      </c>
      <c r="J641" s="261" t="s">
        <v>19603</v>
      </c>
      <c r="K641" s="262">
        <v>30</v>
      </c>
    </row>
    <row r="642" spans="1:11" x14ac:dyDescent="0.2">
      <c r="A642" s="306" t="s">
        <v>24291</v>
      </c>
      <c r="B642" s="261" t="s">
        <v>21210</v>
      </c>
      <c r="C642" s="261" t="s">
        <v>19636</v>
      </c>
      <c r="D642" s="261" t="s">
        <v>21211</v>
      </c>
      <c r="E642" s="261">
        <v>113</v>
      </c>
      <c r="F642" s="261" t="s">
        <v>21300</v>
      </c>
      <c r="G642" s="261"/>
      <c r="H642" s="261"/>
      <c r="I642" s="261" t="s">
        <v>1103</v>
      </c>
      <c r="J642" s="261" t="s">
        <v>19601</v>
      </c>
      <c r="K642" s="262">
        <v>30</v>
      </c>
    </row>
    <row r="643" spans="1:11" x14ac:dyDescent="0.2">
      <c r="A643" s="306" t="s">
        <v>24291</v>
      </c>
      <c r="B643" s="261" t="s">
        <v>21210</v>
      </c>
      <c r="C643" s="261" t="s">
        <v>19636</v>
      </c>
      <c r="D643" s="261" t="s">
        <v>21211</v>
      </c>
      <c r="E643" s="261">
        <v>114</v>
      </c>
      <c r="F643" s="261" t="s">
        <v>21301</v>
      </c>
      <c r="G643" s="261"/>
      <c r="H643" s="261"/>
      <c r="I643" s="261" t="s">
        <v>10772</v>
      </c>
      <c r="J643" s="261" t="s">
        <v>17507</v>
      </c>
      <c r="K643" s="262">
        <v>200000</v>
      </c>
    </row>
    <row r="644" spans="1:11" x14ac:dyDescent="0.2">
      <c r="A644" s="306" t="s">
        <v>24291</v>
      </c>
      <c r="B644" s="261" t="s">
        <v>21210</v>
      </c>
      <c r="C644" s="261" t="s">
        <v>19636</v>
      </c>
      <c r="D644" s="261" t="s">
        <v>21211</v>
      </c>
      <c r="E644" s="261">
        <v>115</v>
      </c>
      <c r="F644" s="261" t="s">
        <v>21302</v>
      </c>
      <c r="G644" s="261"/>
      <c r="H644" s="261"/>
      <c r="I644" s="261" t="s">
        <v>1103</v>
      </c>
      <c r="J644" s="261" t="s">
        <v>19604</v>
      </c>
      <c r="K644" s="262">
        <v>30</v>
      </c>
    </row>
    <row r="645" spans="1:11" x14ac:dyDescent="0.2">
      <c r="A645" s="306" t="s">
        <v>24291</v>
      </c>
      <c r="B645" s="261" t="s">
        <v>21210</v>
      </c>
      <c r="C645" s="261" t="s">
        <v>19636</v>
      </c>
      <c r="D645" s="261" t="s">
        <v>21211</v>
      </c>
      <c r="E645" s="261">
        <v>116</v>
      </c>
      <c r="F645" s="261" t="s">
        <v>21303</v>
      </c>
      <c r="G645" s="261"/>
      <c r="H645" s="261"/>
      <c r="I645" s="261" t="s">
        <v>1103</v>
      </c>
      <c r="J645" s="261" t="s">
        <v>19602</v>
      </c>
      <c r="K645" s="262">
        <v>30</v>
      </c>
    </row>
    <row r="646" spans="1:11" x14ac:dyDescent="0.2">
      <c r="A646" s="306" t="s">
        <v>24291</v>
      </c>
      <c r="B646" s="261" t="s">
        <v>21210</v>
      </c>
      <c r="C646" s="261" t="s">
        <v>19636</v>
      </c>
      <c r="D646" s="261" t="s">
        <v>21211</v>
      </c>
      <c r="E646" s="261">
        <v>117</v>
      </c>
      <c r="F646" s="261" t="s">
        <v>21304</v>
      </c>
      <c r="G646" s="261"/>
      <c r="H646" s="261"/>
      <c r="I646" s="261" t="s">
        <v>10772</v>
      </c>
      <c r="J646" s="261" t="s">
        <v>10756</v>
      </c>
      <c r="K646" s="262">
        <v>1000000</v>
      </c>
    </row>
    <row r="647" spans="1:11" x14ac:dyDescent="0.2">
      <c r="A647" s="306" t="s">
        <v>24291</v>
      </c>
      <c r="B647" s="261" t="s">
        <v>21210</v>
      </c>
      <c r="C647" s="261" t="s">
        <v>19636</v>
      </c>
      <c r="D647" s="261" t="s">
        <v>21211</v>
      </c>
      <c r="E647" s="261">
        <v>118</v>
      </c>
      <c r="F647" s="261" t="s">
        <v>21305</v>
      </c>
      <c r="G647" s="261" t="s">
        <v>1855</v>
      </c>
      <c r="H647" s="261" t="s">
        <v>1856</v>
      </c>
      <c r="I647" s="261"/>
      <c r="J647" s="261"/>
      <c r="K647" s="262"/>
    </row>
    <row r="648" spans="1:11" x14ac:dyDescent="0.2">
      <c r="A648" s="306" t="s">
        <v>24291</v>
      </c>
      <c r="B648" s="261" t="s">
        <v>21210</v>
      </c>
      <c r="C648" s="261" t="s">
        <v>19636</v>
      </c>
      <c r="D648" s="261" t="s">
        <v>21211</v>
      </c>
      <c r="E648" s="261">
        <v>119</v>
      </c>
      <c r="F648" s="261" t="s">
        <v>21306</v>
      </c>
      <c r="G648" s="261"/>
      <c r="H648" s="261"/>
      <c r="I648" s="261" t="s">
        <v>1103</v>
      </c>
      <c r="J648" s="261" t="s">
        <v>19599</v>
      </c>
      <c r="K648" s="262">
        <v>40</v>
      </c>
    </row>
    <row r="649" spans="1:11" x14ac:dyDescent="0.2">
      <c r="A649" s="306" t="s">
        <v>24291</v>
      </c>
      <c r="B649" s="261" t="s">
        <v>21210</v>
      </c>
      <c r="C649" s="261" t="s">
        <v>19636</v>
      </c>
      <c r="D649" s="261" t="s">
        <v>21211</v>
      </c>
      <c r="E649" s="261">
        <v>120</v>
      </c>
      <c r="F649" s="261" t="s">
        <v>21307</v>
      </c>
      <c r="G649" s="261"/>
      <c r="H649" s="261"/>
      <c r="I649" s="261" t="s">
        <v>1103</v>
      </c>
      <c r="J649" s="261" t="s">
        <v>19600</v>
      </c>
      <c r="K649" s="262">
        <v>40</v>
      </c>
    </row>
    <row r="650" spans="1:11" x14ac:dyDescent="0.2">
      <c r="A650" s="306" t="s">
        <v>24291</v>
      </c>
      <c r="B650" s="261" t="s">
        <v>21210</v>
      </c>
      <c r="C650" s="261" t="s">
        <v>19636</v>
      </c>
      <c r="D650" s="261" t="s">
        <v>21211</v>
      </c>
      <c r="E650" s="261">
        <v>121</v>
      </c>
      <c r="F650" s="261" t="s">
        <v>21308</v>
      </c>
      <c r="G650" s="261"/>
      <c r="H650" s="261"/>
      <c r="I650" s="261" t="s">
        <v>10772</v>
      </c>
      <c r="J650" s="261" t="s">
        <v>19618</v>
      </c>
      <c r="K650" s="262">
        <v>100</v>
      </c>
    </row>
    <row r="651" spans="1:11" x14ac:dyDescent="0.2">
      <c r="A651" s="306" t="s">
        <v>24291</v>
      </c>
      <c r="B651" s="261" t="s">
        <v>21210</v>
      </c>
      <c r="C651" s="261" t="s">
        <v>19636</v>
      </c>
      <c r="D651" s="261" t="s">
        <v>21211</v>
      </c>
      <c r="E651" s="261">
        <v>122</v>
      </c>
      <c r="F651" s="261" t="s">
        <v>21309</v>
      </c>
      <c r="G651" s="261"/>
      <c r="H651" s="261"/>
      <c r="I651" s="261" t="s">
        <v>1103</v>
      </c>
      <c r="J651" s="261" t="s">
        <v>19603</v>
      </c>
      <c r="K651" s="262">
        <v>40</v>
      </c>
    </row>
    <row r="652" spans="1:11" x14ac:dyDescent="0.2">
      <c r="A652" s="306" t="s">
        <v>24291</v>
      </c>
      <c r="B652" s="261" t="s">
        <v>21210</v>
      </c>
      <c r="C652" s="261" t="s">
        <v>19636</v>
      </c>
      <c r="D652" s="261" t="s">
        <v>21211</v>
      </c>
      <c r="E652" s="261">
        <v>123</v>
      </c>
      <c r="F652" s="261" t="s">
        <v>21310</v>
      </c>
      <c r="G652" s="261"/>
      <c r="H652" s="261"/>
      <c r="I652" s="261" t="s">
        <v>1103</v>
      </c>
      <c r="J652" s="261" t="s">
        <v>19601</v>
      </c>
      <c r="K652" s="262">
        <v>40</v>
      </c>
    </row>
    <row r="653" spans="1:11" x14ac:dyDescent="0.2">
      <c r="A653" s="306" t="s">
        <v>24291</v>
      </c>
      <c r="B653" s="261" t="s">
        <v>21210</v>
      </c>
      <c r="C653" s="261" t="s">
        <v>19636</v>
      </c>
      <c r="D653" s="261" t="s">
        <v>21211</v>
      </c>
      <c r="E653" s="261">
        <v>124</v>
      </c>
      <c r="F653" s="261" t="s">
        <v>21311</v>
      </c>
      <c r="G653" s="261"/>
      <c r="H653" s="261"/>
      <c r="I653" s="261" t="s">
        <v>10772</v>
      </c>
      <c r="J653" s="261" t="s">
        <v>17507</v>
      </c>
      <c r="K653" s="262">
        <v>300000</v>
      </c>
    </row>
    <row r="654" spans="1:11" x14ac:dyDescent="0.2">
      <c r="A654" s="306" t="s">
        <v>24291</v>
      </c>
      <c r="B654" s="261" t="s">
        <v>21210</v>
      </c>
      <c r="C654" s="261" t="s">
        <v>19636</v>
      </c>
      <c r="D654" s="261" t="s">
        <v>21211</v>
      </c>
      <c r="E654" s="261">
        <v>125</v>
      </c>
      <c r="F654" s="261" t="s">
        <v>21312</v>
      </c>
      <c r="G654" s="261"/>
      <c r="H654" s="261"/>
      <c r="I654" s="261" t="s">
        <v>1103</v>
      </c>
      <c r="J654" s="261" t="s">
        <v>19604</v>
      </c>
      <c r="K654" s="262">
        <v>40</v>
      </c>
    </row>
    <row r="655" spans="1:11" x14ac:dyDescent="0.2">
      <c r="A655" s="306" t="s">
        <v>24291</v>
      </c>
      <c r="B655" s="261" t="s">
        <v>21210</v>
      </c>
      <c r="C655" s="261" t="s">
        <v>19636</v>
      </c>
      <c r="D655" s="261" t="s">
        <v>21211</v>
      </c>
      <c r="E655" s="261">
        <v>126</v>
      </c>
      <c r="F655" s="261" t="s">
        <v>21313</v>
      </c>
      <c r="G655" s="261"/>
      <c r="H655" s="261"/>
      <c r="I655" s="261" t="s">
        <v>1103</v>
      </c>
      <c r="J655" s="261" t="s">
        <v>19602</v>
      </c>
      <c r="K655" s="262">
        <v>40</v>
      </c>
    </row>
    <row r="656" spans="1:11" x14ac:dyDescent="0.2">
      <c r="A656" s="306" t="s">
        <v>24291</v>
      </c>
      <c r="B656" s="261" t="s">
        <v>21210</v>
      </c>
      <c r="C656" s="261" t="s">
        <v>19636</v>
      </c>
      <c r="D656" s="261" t="s">
        <v>21211</v>
      </c>
      <c r="E656" s="261">
        <v>127</v>
      </c>
      <c r="F656" s="261" t="s">
        <v>21314</v>
      </c>
      <c r="G656" s="261"/>
      <c r="H656" s="261"/>
      <c r="I656" s="261" t="s">
        <v>10772</v>
      </c>
      <c r="J656" s="261" t="s">
        <v>10756</v>
      </c>
      <c r="K656" s="262">
        <v>1500000</v>
      </c>
    </row>
    <row r="657" spans="1:11" x14ac:dyDescent="0.2">
      <c r="A657" s="306" t="s">
        <v>24291</v>
      </c>
      <c r="B657" s="261" t="s">
        <v>21210</v>
      </c>
      <c r="C657" s="261" t="s">
        <v>19636</v>
      </c>
      <c r="D657" s="261" t="s">
        <v>21211</v>
      </c>
      <c r="E657" s="261">
        <v>128</v>
      </c>
      <c r="F657" s="261" t="s">
        <v>21315</v>
      </c>
      <c r="G657" s="261" t="s">
        <v>1471</v>
      </c>
      <c r="H657" s="261" t="s">
        <v>1472</v>
      </c>
      <c r="I657" s="261"/>
      <c r="J657" s="261"/>
      <c r="K657" s="262"/>
    </row>
    <row r="658" spans="1:11" x14ac:dyDescent="0.2">
      <c r="A658" s="306" t="s">
        <v>24291</v>
      </c>
      <c r="B658" s="261" t="s">
        <v>21210</v>
      </c>
      <c r="C658" s="261" t="s">
        <v>19636</v>
      </c>
      <c r="D658" s="261" t="s">
        <v>21211</v>
      </c>
      <c r="E658" s="261">
        <v>129</v>
      </c>
      <c r="F658" s="261" t="s">
        <v>21316</v>
      </c>
      <c r="G658" s="261"/>
      <c r="H658" s="261"/>
      <c r="I658" s="261" t="s">
        <v>1103</v>
      </c>
      <c r="J658" s="261" t="s">
        <v>19599</v>
      </c>
      <c r="K658" s="262">
        <v>50</v>
      </c>
    </row>
    <row r="659" spans="1:11" x14ac:dyDescent="0.2">
      <c r="A659" s="306" t="s">
        <v>24291</v>
      </c>
      <c r="B659" s="261" t="s">
        <v>21210</v>
      </c>
      <c r="C659" s="261" t="s">
        <v>19636</v>
      </c>
      <c r="D659" s="261" t="s">
        <v>21211</v>
      </c>
      <c r="E659" s="261">
        <v>130</v>
      </c>
      <c r="F659" s="261" t="s">
        <v>21317</v>
      </c>
      <c r="G659" s="261"/>
      <c r="H659" s="261"/>
      <c r="I659" s="261" t="s">
        <v>1103</v>
      </c>
      <c r="J659" s="261" t="s">
        <v>19600</v>
      </c>
      <c r="K659" s="262">
        <v>50</v>
      </c>
    </row>
    <row r="660" spans="1:11" x14ac:dyDescent="0.2">
      <c r="A660" s="306" t="s">
        <v>24291</v>
      </c>
      <c r="B660" s="261" t="s">
        <v>21210</v>
      </c>
      <c r="C660" s="261" t="s">
        <v>19636</v>
      </c>
      <c r="D660" s="261" t="s">
        <v>21211</v>
      </c>
      <c r="E660" s="261">
        <v>131</v>
      </c>
      <c r="F660" s="261" t="s">
        <v>21318</v>
      </c>
      <c r="G660" s="261"/>
      <c r="H660" s="261"/>
      <c r="I660" s="261" t="s">
        <v>1103</v>
      </c>
      <c r="J660" s="261" t="s">
        <v>19603</v>
      </c>
      <c r="K660" s="262">
        <v>50</v>
      </c>
    </row>
    <row r="661" spans="1:11" x14ac:dyDescent="0.2">
      <c r="A661" s="306" t="s">
        <v>24291</v>
      </c>
      <c r="B661" s="261" t="s">
        <v>21210</v>
      </c>
      <c r="C661" s="261" t="s">
        <v>19636</v>
      </c>
      <c r="D661" s="261" t="s">
        <v>21211</v>
      </c>
      <c r="E661" s="261">
        <v>132</v>
      </c>
      <c r="F661" s="261" t="s">
        <v>21319</v>
      </c>
      <c r="G661" s="261"/>
      <c r="H661" s="261"/>
      <c r="I661" s="261" t="s">
        <v>1103</v>
      </c>
      <c r="J661" s="261" t="s">
        <v>19601</v>
      </c>
      <c r="K661" s="262">
        <v>50</v>
      </c>
    </row>
    <row r="662" spans="1:11" x14ac:dyDescent="0.2">
      <c r="A662" s="306" t="s">
        <v>24291</v>
      </c>
      <c r="B662" s="261" t="s">
        <v>21210</v>
      </c>
      <c r="C662" s="261" t="s">
        <v>19636</v>
      </c>
      <c r="D662" s="261" t="s">
        <v>21211</v>
      </c>
      <c r="E662" s="261">
        <v>133</v>
      </c>
      <c r="F662" s="261" t="s">
        <v>21320</v>
      </c>
      <c r="G662" s="261"/>
      <c r="H662" s="261"/>
      <c r="I662" s="261" t="s">
        <v>1103</v>
      </c>
      <c r="J662" s="261" t="s">
        <v>19604</v>
      </c>
      <c r="K662" s="262">
        <v>50</v>
      </c>
    </row>
    <row r="663" spans="1:11" x14ac:dyDescent="0.2">
      <c r="A663" s="306" t="s">
        <v>24291</v>
      </c>
      <c r="B663" s="261" t="s">
        <v>21210</v>
      </c>
      <c r="C663" s="261" t="s">
        <v>19636</v>
      </c>
      <c r="D663" s="261" t="s">
        <v>21211</v>
      </c>
      <c r="E663" s="261">
        <v>134</v>
      </c>
      <c r="F663" s="261" t="s">
        <v>21321</v>
      </c>
      <c r="G663" s="261"/>
      <c r="H663" s="261"/>
      <c r="I663" s="261" t="s">
        <v>1103</v>
      </c>
      <c r="J663" s="261" t="s">
        <v>19602</v>
      </c>
      <c r="K663" s="262">
        <v>50</v>
      </c>
    </row>
    <row r="664" spans="1:11" x14ac:dyDescent="0.2">
      <c r="A664" s="306" t="s">
        <v>24291</v>
      </c>
      <c r="B664" s="261" t="s">
        <v>21210</v>
      </c>
      <c r="C664" s="261" t="s">
        <v>19636</v>
      </c>
      <c r="D664" s="261" t="s">
        <v>21211</v>
      </c>
      <c r="E664" s="261">
        <v>135</v>
      </c>
      <c r="F664" s="261" t="s">
        <v>21322</v>
      </c>
      <c r="G664" s="261" t="s">
        <v>1385</v>
      </c>
      <c r="H664" s="261" t="s">
        <v>1386</v>
      </c>
      <c r="I664" s="261"/>
      <c r="J664" s="261"/>
      <c r="K664" s="262"/>
    </row>
    <row r="665" spans="1:11" x14ac:dyDescent="0.2">
      <c r="A665" s="306" t="s">
        <v>24291</v>
      </c>
      <c r="B665" s="261" t="s">
        <v>21210</v>
      </c>
      <c r="C665" s="261" t="s">
        <v>19636</v>
      </c>
      <c r="D665" s="261" t="s">
        <v>21211</v>
      </c>
      <c r="E665" s="261">
        <v>136</v>
      </c>
      <c r="F665" s="261" t="s">
        <v>21323</v>
      </c>
      <c r="G665" s="261"/>
      <c r="H665" s="261"/>
      <c r="I665" s="261" t="s">
        <v>10772</v>
      </c>
      <c r="J665" s="261" t="s">
        <v>19618</v>
      </c>
      <c r="K665" s="262">
        <v>200</v>
      </c>
    </row>
    <row r="666" spans="1:11" x14ac:dyDescent="0.2">
      <c r="A666" s="306" t="s">
        <v>24291</v>
      </c>
      <c r="B666" s="261" t="s">
        <v>21210</v>
      </c>
      <c r="C666" s="261" t="s">
        <v>19636</v>
      </c>
      <c r="D666" s="261" t="s">
        <v>21211</v>
      </c>
      <c r="E666" s="261">
        <v>137</v>
      </c>
      <c r="F666" s="261" t="s">
        <v>21324</v>
      </c>
      <c r="G666" s="261"/>
      <c r="H666" s="261"/>
      <c r="I666" s="261" t="s">
        <v>10772</v>
      </c>
      <c r="J666" s="261" t="s">
        <v>17507</v>
      </c>
      <c r="K666" s="262">
        <v>500000</v>
      </c>
    </row>
    <row r="667" spans="1:11" x14ac:dyDescent="0.2">
      <c r="A667" s="306" t="s">
        <v>24291</v>
      </c>
      <c r="B667" s="261" t="s">
        <v>21210</v>
      </c>
      <c r="C667" s="261" t="s">
        <v>19636</v>
      </c>
      <c r="D667" s="261" t="s">
        <v>21211</v>
      </c>
      <c r="E667" s="261">
        <v>138</v>
      </c>
      <c r="F667" s="261" t="s">
        <v>24024</v>
      </c>
      <c r="G667" s="261"/>
      <c r="H667" s="261"/>
      <c r="I667" s="261" t="s">
        <v>10772</v>
      </c>
      <c r="J667" s="261" t="s">
        <v>10756</v>
      </c>
      <c r="K667" s="262">
        <v>2500000</v>
      </c>
    </row>
    <row r="668" spans="1:11" x14ac:dyDescent="0.2">
      <c r="A668" s="306" t="s">
        <v>24291</v>
      </c>
      <c r="B668" s="261" t="s">
        <v>21210</v>
      </c>
      <c r="C668" s="261" t="s">
        <v>19636</v>
      </c>
      <c r="D668" s="261" t="s">
        <v>21211</v>
      </c>
      <c r="E668" s="261">
        <v>139</v>
      </c>
      <c r="F668" s="261" t="s">
        <v>21325</v>
      </c>
      <c r="G668" s="261"/>
      <c r="H668" s="261"/>
      <c r="I668" s="261" t="s">
        <v>10772</v>
      </c>
      <c r="J668" s="261" t="s">
        <v>19618</v>
      </c>
      <c r="K668" s="262">
        <v>250</v>
      </c>
    </row>
    <row r="669" spans="1:11" x14ac:dyDescent="0.2">
      <c r="A669" s="306" t="s">
        <v>24291</v>
      </c>
      <c r="B669" s="261" t="s">
        <v>21210</v>
      </c>
      <c r="C669" s="261" t="s">
        <v>19636</v>
      </c>
      <c r="D669" s="261" t="s">
        <v>21211</v>
      </c>
      <c r="E669" s="261">
        <v>140</v>
      </c>
      <c r="F669" s="261" t="s">
        <v>24025</v>
      </c>
      <c r="G669" s="261"/>
      <c r="H669" s="261"/>
      <c r="I669" s="261" t="s">
        <v>10772</v>
      </c>
      <c r="J669" s="261" t="s">
        <v>17507</v>
      </c>
      <c r="K669" s="262">
        <v>700000</v>
      </c>
    </row>
    <row r="670" spans="1:11" x14ac:dyDescent="0.2">
      <c r="A670" s="306" t="s">
        <v>24291</v>
      </c>
      <c r="B670" s="261" t="s">
        <v>21210</v>
      </c>
      <c r="C670" s="261" t="s">
        <v>19636</v>
      </c>
      <c r="D670" s="261" t="s">
        <v>21211</v>
      </c>
      <c r="E670" s="261">
        <v>141</v>
      </c>
      <c r="F670" s="261" t="s">
        <v>24026</v>
      </c>
      <c r="G670" s="261"/>
      <c r="H670" s="261"/>
      <c r="I670" s="261" t="s">
        <v>10772</v>
      </c>
      <c r="J670" s="261" t="s">
        <v>10756</v>
      </c>
      <c r="K670" s="262">
        <v>3500000</v>
      </c>
    </row>
    <row r="671" spans="1:11" x14ac:dyDescent="0.2">
      <c r="A671" s="306" t="s">
        <v>24291</v>
      </c>
      <c r="B671" s="261" t="s">
        <v>21210</v>
      </c>
      <c r="C671" s="261" t="s">
        <v>19636</v>
      </c>
      <c r="D671" s="261" t="s">
        <v>21211</v>
      </c>
      <c r="E671" s="261">
        <v>142</v>
      </c>
      <c r="F671" s="261" t="s">
        <v>24027</v>
      </c>
      <c r="G671" s="261"/>
      <c r="H671" s="261"/>
      <c r="I671" s="261" t="s">
        <v>10772</v>
      </c>
      <c r="J671" s="261" t="s">
        <v>21232</v>
      </c>
      <c r="K671" s="262">
        <v>1</v>
      </c>
    </row>
    <row r="672" spans="1:11" x14ac:dyDescent="0.2">
      <c r="A672" s="306" t="s">
        <v>24291</v>
      </c>
      <c r="B672" s="261" t="s">
        <v>21210</v>
      </c>
      <c r="C672" s="261" t="s">
        <v>19636</v>
      </c>
      <c r="D672" s="261" t="s">
        <v>21211</v>
      </c>
      <c r="E672" s="261">
        <v>143</v>
      </c>
      <c r="F672" s="261" t="s">
        <v>24028</v>
      </c>
      <c r="G672" s="261"/>
      <c r="H672" s="261"/>
      <c r="I672" s="261" t="s">
        <v>10772</v>
      </c>
      <c r="J672" s="261" t="s">
        <v>21232</v>
      </c>
      <c r="K672" s="262">
        <v>1</v>
      </c>
    </row>
    <row r="673" spans="1:11" x14ac:dyDescent="0.2">
      <c r="A673" s="306" t="s">
        <v>24291</v>
      </c>
      <c r="B673" s="261" t="s">
        <v>21210</v>
      </c>
      <c r="C673" s="261" t="s">
        <v>19636</v>
      </c>
      <c r="D673" s="261" t="s">
        <v>21211</v>
      </c>
      <c r="E673" s="261">
        <v>144</v>
      </c>
      <c r="F673" s="261" t="s">
        <v>24029</v>
      </c>
      <c r="G673" s="261"/>
      <c r="H673" s="261"/>
      <c r="I673" s="261" t="s">
        <v>10772</v>
      </c>
      <c r="J673" s="261" t="s">
        <v>21232</v>
      </c>
      <c r="K673" s="262">
        <v>1</v>
      </c>
    </row>
    <row r="674" spans="1:11" x14ac:dyDescent="0.2">
      <c r="A674" s="306" t="s">
        <v>24291</v>
      </c>
      <c r="B674" s="261" t="s">
        <v>21210</v>
      </c>
      <c r="C674" s="261" t="s">
        <v>19636</v>
      </c>
      <c r="D674" s="261" t="s">
        <v>21211</v>
      </c>
      <c r="E674" s="261">
        <v>145</v>
      </c>
      <c r="F674" s="261" t="s">
        <v>21326</v>
      </c>
      <c r="G674" s="261"/>
      <c r="H674" s="261"/>
      <c r="I674" s="261" t="s">
        <v>10772</v>
      </c>
      <c r="J674" s="261" t="s">
        <v>21232</v>
      </c>
      <c r="K674" s="262">
        <v>1</v>
      </c>
    </row>
    <row r="675" spans="1:11" x14ac:dyDescent="0.2">
      <c r="A675" s="306" t="s">
        <v>24291</v>
      </c>
      <c r="B675" s="261" t="s">
        <v>21210</v>
      </c>
      <c r="C675" s="261" t="s">
        <v>19636</v>
      </c>
      <c r="D675" s="261" t="s">
        <v>21211</v>
      </c>
      <c r="E675" s="261">
        <v>146</v>
      </c>
      <c r="F675" s="261" t="s">
        <v>21327</v>
      </c>
      <c r="G675" s="261"/>
      <c r="H675" s="261"/>
      <c r="I675" s="261" t="s">
        <v>10772</v>
      </c>
      <c r="J675" s="261" t="s">
        <v>21232</v>
      </c>
      <c r="K675" s="262">
        <v>1</v>
      </c>
    </row>
    <row r="676" spans="1:11" x14ac:dyDescent="0.2">
      <c r="A676" s="306" t="s">
        <v>24291</v>
      </c>
      <c r="B676" s="261" t="s">
        <v>21210</v>
      </c>
      <c r="C676" s="261" t="s">
        <v>19636</v>
      </c>
      <c r="D676" s="261" t="s">
        <v>21211</v>
      </c>
      <c r="E676" s="261">
        <v>147</v>
      </c>
      <c r="F676" s="261" t="s">
        <v>24030</v>
      </c>
      <c r="G676" s="261"/>
      <c r="H676" s="261"/>
      <c r="I676" s="261" t="s">
        <v>10772</v>
      </c>
      <c r="J676" s="261" t="s">
        <v>21232</v>
      </c>
      <c r="K676" s="262">
        <v>1</v>
      </c>
    </row>
    <row r="677" spans="1:11" x14ac:dyDescent="0.2">
      <c r="A677" s="306" t="s">
        <v>24291</v>
      </c>
      <c r="B677" s="261" t="s">
        <v>21210</v>
      </c>
      <c r="C677" s="261" t="s">
        <v>19636</v>
      </c>
      <c r="D677" s="261" t="s">
        <v>21211</v>
      </c>
      <c r="E677" s="261">
        <v>148</v>
      </c>
      <c r="F677" s="261" t="s">
        <v>21328</v>
      </c>
      <c r="G677" s="261"/>
      <c r="H677" s="261"/>
      <c r="I677" s="261" t="s">
        <v>10772</v>
      </c>
      <c r="J677" s="261" t="s">
        <v>21232</v>
      </c>
      <c r="K677" s="262">
        <v>1</v>
      </c>
    </row>
    <row r="678" spans="1:11" x14ac:dyDescent="0.2">
      <c r="A678" s="306" t="s">
        <v>24291</v>
      </c>
      <c r="B678" s="261" t="s">
        <v>21210</v>
      </c>
      <c r="C678" s="261" t="s">
        <v>19636</v>
      </c>
      <c r="D678" s="261" t="s">
        <v>21211</v>
      </c>
      <c r="E678" s="261">
        <v>149</v>
      </c>
      <c r="F678" s="261" t="s">
        <v>24031</v>
      </c>
      <c r="G678" s="261"/>
      <c r="H678" s="261"/>
      <c r="I678" s="261" t="s">
        <v>10772</v>
      </c>
      <c r="J678" s="261" t="s">
        <v>21232</v>
      </c>
      <c r="K678" s="262">
        <v>1</v>
      </c>
    </row>
    <row r="679" spans="1:11" x14ac:dyDescent="0.2">
      <c r="A679" s="306" t="s">
        <v>24291</v>
      </c>
      <c r="B679" s="261" t="s">
        <v>21210</v>
      </c>
      <c r="C679" s="261" t="s">
        <v>19636</v>
      </c>
      <c r="D679" s="261" t="s">
        <v>21211</v>
      </c>
      <c r="E679" s="261">
        <v>150</v>
      </c>
      <c r="F679" s="261" t="s">
        <v>21329</v>
      </c>
      <c r="G679" s="261"/>
      <c r="H679" s="261"/>
      <c r="I679" s="261" t="s">
        <v>10772</v>
      </c>
      <c r="J679" s="261" t="s">
        <v>21232</v>
      </c>
      <c r="K679" s="262">
        <v>1</v>
      </c>
    </row>
    <row r="680" spans="1:11" x14ac:dyDescent="0.2">
      <c r="A680" s="306" t="s">
        <v>24291</v>
      </c>
      <c r="B680" s="261" t="s">
        <v>21210</v>
      </c>
      <c r="C680" s="261" t="s">
        <v>19636</v>
      </c>
      <c r="D680" s="261" t="s">
        <v>21211</v>
      </c>
      <c r="E680" s="261">
        <v>151</v>
      </c>
      <c r="F680" s="261" t="s">
        <v>21330</v>
      </c>
      <c r="G680" s="261"/>
      <c r="H680" s="261"/>
      <c r="I680" s="261" t="s">
        <v>10772</v>
      </c>
      <c r="J680" s="261" t="s">
        <v>21232</v>
      </c>
      <c r="K680" s="262">
        <v>1</v>
      </c>
    </row>
    <row r="681" spans="1:11" x14ac:dyDescent="0.2">
      <c r="A681" s="306" t="s">
        <v>24291</v>
      </c>
      <c r="B681" s="261" t="s">
        <v>21210</v>
      </c>
      <c r="C681" s="261" t="s">
        <v>19636</v>
      </c>
      <c r="D681" s="261" t="s">
        <v>21211</v>
      </c>
      <c r="E681" s="261">
        <v>152</v>
      </c>
      <c r="F681" s="261" t="s">
        <v>24032</v>
      </c>
      <c r="G681" s="261"/>
      <c r="H681" s="261"/>
      <c r="I681" s="261" t="s">
        <v>10772</v>
      </c>
      <c r="J681" s="261" t="s">
        <v>21232</v>
      </c>
      <c r="K681" s="262">
        <v>1</v>
      </c>
    </row>
    <row r="682" spans="1:11" x14ac:dyDescent="0.2">
      <c r="A682" s="306" t="s">
        <v>24291</v>
      </c>
      <c r="B682" s="261" t="s">
        <v>21210</v>
      </c>
      <c r="C682" s="261" t="s">
        <v>19636</v>
      </c>
      <c r="D682" s="261" t="s">
        <v>21211</v>
      </c>
      <c r="E682" s="261">
        <v>153</v>
      </c>
      <c r="F682" s="261" t="s">
        <v>21331</v>
      </c>
      <c r="G682" s="261"/>
      <c r="H682" s="261"/>
      <c r="I682" s="261" t="s">
        <v>10772</v>
      </c>
      <c r="J682" s="261" t="s">
        <v>21232</v>
      </c>
      <c r="K682" s="262">
        <v>1</v>
      </c>
    </row>
    <row r="683" spans="1:11" x14ac:dyDescent="0.2">
      <c r="A683" s="306" t="s">
        <v>24291</v>
      </c>
      <c r="B683" s="261" t="s">
        <v>21210</v>
      </c>
      <c r="C683" s="261" t="s">
        <v>19636</v>
      </c>
      <c r="D683" s="261" t="s">
        <v>21211</v>
      </c>
      <c r="E683" s="261">
        <v>154</v>
      </c>
      <c r="F683" s="261" t="s">
        <v>24033</v>
      </c>
      <c r="G683" s="261"/>
      <c r="H683" s="261"/>
      <c r="I683" s="261" t="s">
        <v>10772</v>
      </c>
      <c r="J683" s="261" t="s">
        <v>21232</v>
      </c>
      <c r="K683" s="262">
        <v>1</v>
      </c>
    </row>
    <row r="684" spans="1:11" x14ac:dyDescent="0.2">
      <c r="A684" s="306" t="s">
        <v>24291</v>
      </c>
      <c r="B684" s="261" t="s">
        <v>21210</v>
      </c>
      <c r="C684" s="261" t="s">
        <v>19636</v>
      </c>
      <c r="D684" s="261" t="s">
        <v>21211</v>
      </c>
      <c r="E684" s="261">
        <v>155</v>
      </c>
      <c r="F684" s="261" t="s">
        <v>21332</v>
      </c>
      <c r="G684" s="261"/>
      <c r="H684" s="261"/>
      <c r="I684" s="261" t="s">
        <v>10772</v>
      </c>
      <c r="J684" s="261" t="s">
        <v>21232</v>
      </c>
      <c r="K684" s="262">
        <v>1</v>
      </c>
    </row>
    <row r="685" spans="1:11" x14ac:dyDescent="0.2">
      <c r="A685" s="306" t="s">
        <v>24291</v>
      </c>
      <c r="B685" s="261" t="s">
        <v>21210</v>
      </c>
      <c r="C685" s="261" t="s">
        <v>19636</v>
      </c>
      <c r="D685" s="261" t="s">
        <v>21211</v>
      </c>
      <c r="E685" s="261">
        <v>156</v>
      </c>
      <c r="F685" s="261" t="s">
        <v>21333</v>
      </c>
      <c r="G685" s="261"/>
      <c r="H685" s="261"/>
      <c r="I685" s="261" t="s">
        <v>10772</v>
      </c>
      <c r="J685" s="261" t="s">
        <v>21232</v>
      </c>
      <c r="K685" s="262">
        <v>1</v>
      </c>
    </row>
    <row r="686" spans="1:11" x14ac:dyDescent="0.2">
      <c r="A686" s="306" t="s">
        <v>24291</v>
      </c>
      <c r="B686" s="261" t="s">
        <v>21210</v>
      </c>
      <c r="C686" s="261" t="s">
        <v>19636</v>
      </c>
      <c r="D686" s="261" t="s">
        <v>21211</v>
      </c>
      <c r="E686" s="261">
        <v>157</v>
      </c>
      <c r="F686" s="261" t="s">
        <v>24034</v>
      </c>
      <c r="G686" s="261"/>
      <c r="H686" s="261"/>
      <c r="I686" s="261" t="s">
        <v>10772</v>
      </c>
      <c r="J686" s="261" t="s">
        <v>21232</v>
      </c>
      <c r="K686" s="262">
        <v>1</v>
      </c>
    </row>
    <row r="687" spans="1:11" x14ac:dyDescent="0.2">
      <c r="A687" s="306" t="s">
        <v>24291</v>
      </c>
      <c r="B687" s="261" t="s">
        <v>21210</v>
      </c>
      <c r="C687" s="261" t="s">
        <v>19636</v>
      </c>
      <c r="D687" s="261" t="s">
        <v>21211</v>
      </c>
      <c r="E687" s="261">
        <v>158</v>
      </c>
      <c r="F687" s="261" t="s">
        <v>21334</v>
      </c>
      <c r="G687" s="261"/>
      <c r="H687" s="261"/>
      <c r="I687" s="261" t="s">
        <v>10772</v>
      </c>
      <c r="J687" s="261" t="s">
        <v>21232</v>
      </c>
      <c r="K687" s="262">
        <v>1</v>
      </c>
    </row>
    <row r="688" spans="1:11" x14ac:dyDescent="0.2">
      <c r="A688" s="306" t="s">
        <v>24291</v>
      </c>
      <c r="B688" s="261" t="s">
        <v>21210</v>
      </c>
      <c r="C688" s="261" t="s">
        <v>19636</v>
      </c>
      <c r="D688" s="261" t="s">
        <v>21211</v>
      </c>
      <c r="E688" s="261">
        <v>159</v>
      </c>
      <c r="F688" s="261" t="s">
        <v>24035</v>
      </c>
      <c r="G688" s="261"/>
      <c r="H688" s="261"/>
      <c r="I688" s="261" t="s">
        <v>10772</v>
      </c>
      <c r="J688" s="261" t="s">
        <v>21232</v>
      </c>
      <c r="K688" s="262">
        <v>1</v>
      </c>
    </row>
    <row r="689" spans="1:11" x14ac:dyDescent="0.2">
      <c r="A689" s="306" t="s">
        <v>24291</v>
      </c>
      <c r="B689" s="261" t="s">
        <v>21210</v>
      </c>
      <c r="C689" s="261" t="s">
        <v>19636</v>
      </c>
      <c r="D689" s="261" t="s">
        <v>21211</v>
      </c>
      <c r="E689" s="261">
        <v>160</v>
      </c>
      <c r="F689" s="261" t="s">
        <v>21335</v>
      </c>
      <c r="G689" s="261"/>
      <c r="H689" s="261"/>
      <c r="I689" s="261" t="s">
        <v>1947</v>
      </c>
      <c r="J689" s="261" t="s">
        <v>19599</v>
      </c>
      <c r="K689" s="262">
        <v>20</v>
      </c>
    </row>
    <row r="690" spans="1:11" x14ac:dyDescent="0.2">
      <c r="A690" s="306" t="s">
        <v>24291</v>
      </c>
      <c r="B690" s="261" t="s">
        <v>21210</v>
      </c>
      <c r="C690" s="261" t="s">
        <v>19636</v>
      </c>
      <c r="D690" s="261" t="s">
        <v>21211</v>
      </c>
      <c r="E690" s="261">
        <v>161</v>
      </c>
      <c r="F690" s="261" t="s">
        <v>21336</v>
      </c>
      <c r="G690" s="261"/>
      <c r="H690" s="261"/>
      <c r="I690" s="261" t="s">
        <v>1947</v>
      </c>
      <c r="J690" s="261" t="s">
        <v>19600</v>
      </c>
      <c r="K690" s="262">
        <v>20</v>
      </c>
    </row>
    <row r="691" spans="1:11" x14ac:dyDescent="0.2">
      <c r="A691" s="306" t="s">
        <v>24291</v>
      </c>
      <c r="B691" s="261" t="s">
        <v>21210</v>
      </c>
      <c r="C691" s="261" t="s">
        <v>19636</v>
      </c>
      <c r="D691" s="261" t="s">
        <v>21211</v>
      </c>
      <c r="E691" s="261">
        <v>162</v>
      </c>
      <c r="F691" s="261" t="s">
        <v>21337</v>
      </c>
      <c r="G691" s="261"/>
      <c r="H691" s="261"/>
      <c r="I691" s="261" t="s">
        <v>10772</v>
      </c>
      <c r="J691" s="261" t="s">
        <v>19618</v>
      </c>
      <c r="K691" s="262">
        <v>30</v>
      </c>
    </row>
    <row r="692" spans="1:11" x14ac:dyDescent="0.2">
      <c r="A692" s="306" t="s">
        <v>24291</v>
      </c>
      <c r="B692" s="261" t="s">
        <v>21210</v>
      </c>
      <c r="C692" s="261" t="s">
        <v>19636</v>
      </c>
      <c r="D692" s="261" t="s">
        <v>21211</v>
      </c>
      <c r="E692" s="261">
        <v>163</v>
      </c>
      <c r="F692" s="261" t="s">
        <v>21338</v>
      </c>
      <c r="G692" s="261"/>
      <c r="H692" s="261"/>
      <c r="I692" s="261" t="s">
        <v>1947</v>
      </c>
      <c r="J692" s="261" t="s">
        <v>19603</v>
      </c>
      <c r="K692" s="262">
        <v>20</v>
      </c>
    </row>
    <row r="693" spans="1:11" x14ac:dyDescent="0.2">
      <c r="A693" s="306" t="s">
        <v>24291</v>
      </c>
      <c r="B693" s="261" t="s">
        <v>21210</v>
      </c>
      <c r="C693" s="261" t="s">
        <v>19636</v>
      </c>
      <c r="D693" s="261" t="s">
        <v>21211</v>
      </c>
      <c r="E693" s="261">
        <v>164</v>
      </c>
      <c r="F693" s="261" t="s">
        <v>21339</v>
      </c>
      <c r="G693" s="261"/>
      <c r="H693" s="261"/>
      <c r="I693" s="261" t="s">
        <v>1947</v>
      </c>
      <c r="J693" s="261" t="s">
        <v>19601</v>
      </c>
      <c r="K693" s="262">
        <v>20</v>
      </c>
    </row>
    <row r="694" spans="1:11" x14ac:dyDescent="0.2">
      <c r="A694" s="306" t="s">
        <v>24291</v>
      </c>
      <c r="B694" s="261" t="s">
        <v>21210</v>
      </c>
      <c r="C694" s="261" t="s">
        <v>19636</v>
      </c>
      <c r="D694" s="261" t="s">
        <v>21211</v>
      </c>
      <c r="E694" s="261">
        <v>165</v>
      </c>
      <c r="F694" s="261" t="s">
        <v>21340</v>
      </c>
      <c r="G694" s="261"/>
      <c r="H694" s="261"/>
      <c r="I694" s="261" t="s">
        <v>10772</v>
      </c>
      <c r="J694" s="261" t="s">
        <v>17507</v>
      </c>
      <c r="K694" s="262">
        <v>100000</v>
      </c>
    </row>
    <row r="695" spans="1:11" x14ac:dyDescent="0.2">
      <c r="A695" s="306" t="s">
        <v>24291</v>
      </c>
      <c r="B695" s="261" t="s">
        <v>21210</v>
      </c>
      <c r="C695" s="261" t="s">
        <v>19636</v>
      </c>
      <c r="D695" s="261" t="s">
        <v>21211</v>
      </c>
      <c r="E695" s="261">
        <v>166</v>
      </c>
      <c r="F695" s="261" t="s">
        <v>21341</v>
      </c>
      <c r="G695" s="261"/>
      <c r="H695" s="261"/>
      <c r="I695" s="261" t="s">
        <v>1947</v>
      </c>
      <c r="J695" s="261" t="s">
        <v>19604</v>
      </c>
      <c r="K695" s="262">
        <v>20</v>
      </c>
    </row>
    <row r="696" spans="1:11" x14ac:dyDescent="0.2">
      <c r="A696" s="306" t="s">
        <v>24291</v>
      </c>
      <c r="B696" s="261" t="s">
        <v>21210</v>
      </c>
      <c r="C696" s="261" t="s">
        <v>19636</v>
      </c>
      <c r="D696" s="261" t="s">
        <v>21211</v>
      </c>
      <c r="E696" s="261">
        <v>167</v>
      </c>
      <c r="F696" s="261" t="s">
        <v>21342</v>
      </c>
      <c r="G696" s="261"/>
      <c r="H696" s="261"/>
      <c r="I696" s="261" t="s">
        <v>1947</v>
      </c>
      <c r="J696" s="261" t="s">
        <v>19602</v>
      </c>
      <c r="K696" s="262">
        <v>20</v>
      </c>
    </row>
    <row r="697" spans="1:11" x14ac:dyDescent="0.2">
      <c r="A697" s="306" t="s">
        <v>24291</v>
      </c>
      <c r="B697" s="261" t="s">
        <v>21210</v>
      </c>
      <c r="C697" s="261" t="s">
        <v>19636</v>
      </c>
      <c r="D697" s="261" t="s">
        <v>21211</v>
      </c>
      <c r="E697" s="261">
        <v>168</v>
      </c>
      <c r="F697" s="261" t="s">
        <v>21343</v>
      </c>
      <c r="G697" s="261"/>
      <c r="H697" s="261"/>
      <c r="I697" s="261" t="s">
        <v>10772</v>
      </c>
      <c r="J697" s="261" t="s">
        <v>10756</v>
      </c>
      <c r="K697" s="262">
        <v>500000</v>
      </c>
    </row>
    <row r="698" spans="1:11" x14ac:dyDescent="0.2">
      <c r="A698" s="306" t="s">
        <v>24291</v>
      </c>
      <c r="B698" s="261" t="s">
        <v>21210</v>
      </c>
      <c r="C698" s="261" t="s">
        <v>19636</v>
      </c>
      <c r="D698" s="261" t="s">
        <v>21211</v>
      </c>
      <c r="E698" s="261">
        <v>169</v>
      </c>
      <c r="F698" s="261" t="s">
        <v>21344</v>
      </c>
      <c r="G698" s="261" t="s">
        <v>2044</v>
      </c>
      <c r="H698" s="261" t="s">
        <v>2045</v>
      </c>
      <c r="I698" s="261"/>
      <c r="J698" s="261"/>
      <c r="K698" s="262"/>
    </row>
    <row r="699" spans="1:11" x14ac:dyDescent="0.2">
      <c r="A699" s="306" t="s">
        <v>24291</v>
      </c>
      <c r="B699" s="261" t="s">
        <v>21210</v>
      </c>
      <c r="C699" s="261" t="s">
        <v>19636</v>
      </c>
      <c r="D699" s="261" t="s">
        <v>21211</v>
      </c>
      <c r="E699" s="261">
        <v>170</v>
      </c>
      <c r="F699" s="261" t="s">
        <v>21345</v>
      </c>
      <c r="G699" s="261"/>
      <c r="H699" s="261"/>
      <c r="I699" s="261" t="s">
        <v>1947</v>
      </c>
      <c r="J699" s="261" t="s">
        <v>19599</v>
      </c>
      <c r="K699" s="262">
        <v>30</v>
      </c>
    </row>
    <row r="700" spans="1:11" x14ac:dyDescent="0.2">
      <c r="A700" s="306" t="s">
        <v>24291</v>
      </c>
      <c r="B700" s="261" t="s">
        <v>21210</v>
      </c>
      <c r="C700" s="261" t="s">
        <v>19636</v>
      </c>
      <c r="D700" s="261" t="s">
        <v>21211</v>
      </c>
      <c r="E700" s="261">
        <v>171</v>
      </c>
      <c r="F700" s="261" t="s">
        <v>21346</v>
      </c>
      <c r="G700" s="261"/>
      <c r="H700" s="261"/>
      <c r="I700" s="261" t="s">
        <v>1947</v>
      </c>
      <c r="J700" s="261" t="s">
        <v>19600</v>
      </c>
      <c r="K700" s="262">
        <v>30</v>
      </c>
    </row>
    <row r="701" spans="1:11" x14ac:dyDescent="0.2">
      <c r="A701" s="306" t="s">
        <v>24291</v>
      </c>
      <c r="B701" s="261" t="s">
        <v>21210</v>
      </c>
      <c r="C701" s="261" t="s">
        <v>19636</v>
      </c>
      <c r="D701" s="261" t="s">
        <v>21211</v>
      </c>
      <c r="E701" s="261">
        <v>172</v>
      </c>
      <c r="F701" s="261" t="s">
        <v>21347</v>
      </c>
      <c r="G701" s="261"/>
      <c r="H701" s="261"/>
      <c r="I701" s="261" t="s">
        <v>10772</v>
      </c>
      <c r="J701" s="261" t="s">
        <v>19618</v>
      </c>
      <c r="K701" s="262">
        <v>50</v>
      </c>
    </row>
    <row r="702" spans="1:11" x14ac:dyDescent="0.2">
      <c r="A702" s="306" t="s">
        <v>24291</v>
      </c>
      <c r="B702" s="261" t="s">
        <v>21210</v>
      </c>
      <c r="C702" s="261" t="s">
        <v>19636</v>
      </c>
      <c r="D702" s="261" t="s">
        <v>21211</v>
      </c>
      <c r="E702" s="261">
        <v>173</v>
      </c>
      <c r="F702" s="261" t="s">
        <v>21348</v>
      </c>
      <c r="G702" s="261"/>
      <c r="H702" s="261"/>
      <c r="I702" s="261" t="s">
        <v>1947</v>
      </c>
      <c r="J702" s="261" t="s">
        <v>19603</v>
      </c>
      <c r="K702" s="262">
        <v>30</v>
      </c>
    </row>
    <row r="703" spans="1:11" x14ac:dyDescent="0.2">
      <c r="A703" s="306" t="s">
        <v>24291</v>
      </c>
      <c r="B703" s="261" t="s">
        <v>21210</v>
      </c>
      <c r="C703" s="261" t="s">
        <v>19636</v>
      </c>
      <c r="D703" s="261" t="s">
        <v>21211</v>
      </c>
      <c r="E703" s="261">
        <v>174</v>
      </c>
      <c r="F703" s="261" t="s">
        <v>21349</v>
      </c>
      <c r="G703" s="261"/>
      <c r="H703" s="261"/>
      <c r="I703" s="261" t="s">
        <v>1947</v>
      </c>
      <c r="J703" s="261" t="s">
        <v>19601</v>
      </c>
      <c r="K703" s="262">
        <v>30</v>
      </c>
    </row>
    <row r="704" spans="1:11" x14ac:dyDescent="0.2">
      <c r="A704" s="306" t="s">
        <v>24291</v>
      </c>
      <c r="B704" s="261" t="s">
        <v>21210</v>
      </c>
      <c r="C704" s="261" t="s">
        <v>19636</v>
      </c>
      <c r="D704" s="261" t="s">
        <v>21211</v>
      </c>
      <c r="E704" s="261">
        <v>175</v>
      </c>
      <c r="F704" s="261" t="s">
        <v>21350</v>
      </c>
      <c r="G704" s="261"/>
      <c r="H704" s="261"/>
      <c r="I704" s="261" t="s">
        <v>10772</v>
      </c>
      <c r="J704" s="261" t="s">
        <v>17507</v>
      </c>
      <c r="K704" s="262">
        <v>200000</v>
      </c>
    </row>
    <row r="705" spans="1:11" x14ac:dyDescent="0.2">
      <c r="A705" s="306" t="s">
        <v>24291</v>
      </c>
      <c r="B705" s="261" t="s">
        <v>21210</v>
      </c>
      <c r="C705" s="261" t="s">
        <v>19636</v>
      </c>
      <c r="D705" s="261" t="s">
        <v>21211</v>
      </c>
      <c r="E705" s="261">
        <v>176</v>
      </c>
      <c r="F705" s="261" t="s">
        <v>21351</v>
      </c>
      <c r="G705" s="261"/>
      <c r="H705" s="261"/>
      <c r="I705" s="261" t="s">
        <v>1947</v>
      </c>
      <c r="J705" s="261" t="s">
        <v>19604</v>
      </c>
      <c r="K705" s="262">
        <v>30</v>
      </c>
    </row>
    <row r="706" spans="1:11" x14ac:dyDescent="0.2">
      <c r="A706" s="306" t="s">
        <v>24291</v>
      </c>
      <c r="B706" s="261" t="s">
        <v>21210</v>
      </c>
      <c r="C706" s="261" t="s">
        <v>19636</v>
      </c>
      <c r="D706" s="261" t="s">
        <v>21211</v>
      </c>
      <c r="E706" s="261">
        <v>177</v>
      </c>
      <c r="F706" s="261" t="s">
        <v>21352</v>
      </c>
      <c r="G706" s="261"/>
      <c r="H706" s="261"/>
      <c r="I706" s="261" t="s">
        <v>1947</v>
      </c>
      <c r="J706" s="261" t="s">
        <v>19602</v>
      </c>
      <c r="K706" s="262">
        <v>30</v>
      </c>
    </row>
    <row r="707" spans="1:11" x14ac:dyDescent="0.2">
      <c r="A707" s="306" t="s">
        <v>24291</v>
      </c>
      <c r="B707" s="261" t="s">
        <v>21210</v>
      </c>
      <c r="C707" s="261" t="s">
        <v>19636</v>
      </c>
      <c r="D707" s="261" t="s">
        <v>21211</v>
      </c>
      <c r="E707" s="261">
        <v>178</v>
      </c>
      <c r="F707" s="261" t="s">
        <v>21353</v>
      </c>
      <c r="G707" s="261"/>
      <c r="H707" s="261"/>
      <c r="I707" s="261" t="s">
        <v>10772</v>
      </c>
      <c r="J707" s="261" t="s">
        <v>10756</v>
      </c>
      <c r="K707" s="262">
        <v>1000000</v>
      </c>
    </row>
    <row r="708" spans="1:11" x14ac:dyDescent="0.2">
      <c r="A708" s="306" t="s">
        <v>24291</v>
      </c>
      <c r="B708" s="261" t="s">
        <v>21210</v>
      </c>
      <c r="C708" s="261" t="s">
        <v>19636</v>
      </c>
      <c r="D708" s="261" t="s">
        <v>21211</v>
      </c>
      <c r="E708" s="261">
        <v>179</v>
      </c>
      <c r="F708" s="261" t="s">
        <v>21354</v>
      </c>
      <c r="G708" s="261" t="s">
        <v>2751</v>
      </c>
      <c r="H708" s="261" t="s">
        <v>2752</v>
      </c>
      <c r="I708" s="261"/>
      <c r="J708" s="261"/>
      <c r="K708" s="262"/>
    </row>
    <row r="709" spans="1:11" x14ac:dyDescent="0.2">
      <c r="A709" s="306" t="s">
        <v>24291</v>
      </c>
      <c r="B709" s="261" t="s">
        <v>21210</v>
      </c>
      <c r="C709" s="261" t="s">
        <v>19636</v>
      </c>
      <c r="D709" s="261" t="s">
        <v>21211</v>
      </c>
      <c r="E709" s="261">
        <v>180</v>
      </c>
      <c r="F709" s="261" t="s">
        <v>21355</v>
      </c>
      <c r="G709" s="261"/>
      <c r="H709" s="261"/>
      <c r="I709" s="261" t="s">
        <v>1947</v>
      </c>
      <c r="J709" s="261" t="s">
        <v>19599</v>
      </c>
      <c r="K709" s="262">
        <v>40</v>
      </c>
    </row>
    <row r="710" spans="1:11" x14ac:dyDescent="0.2">
      <c r="A710" s="306" t="s">
        <v>24291</v>
      </c>
      <c r="B710" s="261" t="s">
        <v>21210</v>
      </c>
      <c r="C710" s="261" t="s">
        <v>19636</v>
      </c>
      <c r="D710" s="261" t="s">
        <v>21211</v>
      </c>
      <c r="E710" s="261">
        <v>181</v>
      </c>
      <c r="F710" s="261" t="s">
        <v>21356</v>
      </c>
      <c r="G710" s="261"/>
      <c r="H710" s="261"/>
      <c r="I710" s="261" t="s">
        <v>1947</v>
      </c>
      <c r="J710" s="261" t="s">
        <v>19600</v>
      </c>
      <c r="K710" s="262">
        <v>40</v>
      </c>
    </row>
    <row r="711" spans="1:11" x14ac:dyDescent="0.2">
      <c r="A711" s="306" t="s">
        <v>24291</v>
      </c>
      <c r="B711" s="261" t="s">
        <v>21210</v>
      </c>
      <c r="C711" s="261" t="s">
        <v>19636</v>
      </c>
      <c r="D711" s="261" t="s">
        <v>21211</v>
      </c>
      <c r="E711" s="261">
        <v>182</v>
      </c>
      <c r="F711" s="261" t="s">
        <v>21357</v>
      </c>
      <c r="G711" s="261"/>
      <c r="H711" s="261"/>
      <c r="I711" s="261" t="s">
        <v>10772</v>
      </c>
      <c r="J711" s="261" t="s">
        <v>19618</v>
      </c>
      <c r="K711" s="262">
        <v>100</v>
      </c>
    </row>
    <row r="712" spans="1:11" x14ac:dyDescent="0.2">
      <c r="A712" s="306" t="s">
        <v>24291</v>
      </c>
      <c r="B712" s="261" t="s">
        <v>21210</v>
      </c>
      <c r="C712" s="261" t="s">
        <v>19636</v>
      </c>
      <c r="D712" s="261" t="s">
        <v>21211</v>
      </c>
      <c r="E712" s="261">
        <v>183</v>
      </c>
      <c r="F712" s="261" t="s">
        <v>21358</v>
      </c>
      <c r="G712" s="261"/>
      <c r="H712" s="261"/>
      <c r="I712" s="261" t="s">
        <v>1947</v>
      </c>
      <c r="J712" s="261" t="s">
        <v>19603</v>
      </c>
      <c r="K712" s="262">
        <v>40</v>
      </c>
    </row>
    <row r="713" spans="1:11" x14ac:dyDescent="0.2">
      <c r="A713" s="306" t="s">
        <v>24291</v>
      </c>
      <c r="B713" s="261" t="s">
        <v>21210</v>
      </c>
      <c r="C713" s="261" t="s">
        <v>19636</v>
      </c>
      <c r="D713" s="261" t="s">
        <v>21211</v>
      </c>
      <c r="E713" s="261">
        <v>184</v>
      </c>
      <c r="F713" s="261" t="s">
        <v>21359</v>
      </c>
      <c r="G713" s="261"/>
      <c r="H713" s="261"/>
      <c r="I713" s="261" t="s">
        <v>1947</v>
      </c>
      <c r="J713" s="261" t="s">
        <v>19601</v>
      </c>
      <c r="K713" s="262">
        <v>40</v>
      </c>
    </row>
    <row r="714" spans="1:11" x14ac:dyDescent="0.2">
      <c r="A714" s="306" t="s">
        <v>24291</v>
      </c>
      <c r="B714" s="261" t="s">
        <v>21210</v>
      </c>
      <c r="C714" s="261" t="s">
        <v>19636</v>
      </c>
      <c r="D714" s="261" t="s">
        <v>21211</v>
      </c>
      <c r="E714" s="261">
        <v>185</v>
      </c>
      <c r="F714" s="261" t="s">
        <v>21360</v>
      </c>
      <c r="G714" s="261"/>
      <c r="H714" s="261"/>
      <c r="I714" s="261" t="s">
        <v>10772</v>
      </c>
      <c r="J714" s="261" t="s">
        <v>17507</v>
      </c>
      <c r="K714" s="262">
        <v>300000</v>
      </c>
    </row>
    <row r="715" spans="1:11" x14ac:dyDescent="0.2">
      <c r="A715" s="306" t="s">
        <v>24291</v>
      </c>
      <c r="B715" s="261" t="s">
        <v>21210</v>
      </c>
      <c r="C715" s="261" t="s">
        <v>19636</v>
      </c>
      <c r="D715" s="261" t="s">
        <v>21211</v>
      </c>
      <c r="E715" s="261">
        <v>186</v>
      </c>
      <c r="F715" s="261" t="s">
        <v>21361</v>
      </c>
      <c r="G715" s="261"/>
      <c r="H715" s="261"/>
      <c r="I715" s="261" t="s">
        <v>1947</v>
      </c>
      <c r="J715" s="261" t="s">
        <v>19604</v>
      </c>
      <c r="K715" s="262">
        <v>40</v>
      </c>
    </row>
    <row r="716" spans="1:11" x14ac:dyDescent="0.2">
      <c r="A716" s="306" t="s">
        <v>24291</v>
      </c>
      <c r="B716" s="261" t="s">
        <v>21210</v>
      </c>
      <c r="C716" s="261" t="s">
        <v>19636</v>
      </c>
      <c r="D716" s="261" t="s">
        <v>21211</v>
      </c>
      <c r="E716" s="261">
        <v>187</v>
      </c>
      <c r="F716" s="261" t="s">
        <v>21362</v>
      </c>
      <c r="G716" s="261"/>
      <c r="H716" s="261"/>
      <c r="I716" s="261" t="s">
        <v>1947</v>
      </c>
      <c r="J716" s="261" t="s">
        <v>19602</v>
      </c>
      <c r="K716" s="262">
        <v>40</v>
      </c>
    </row>
    <row r="717" spans="1:11" x14ac:dyDescent="0.2">
      <c r="A717" s="306" t="s">
        <v>24291</v>
      </c>
      <c r="B717" s="261" t="s">
        <v>21210</v>
      </c>
      <c r="C717" s="261" t="s">
        <v>19636</v>
      </c>
      <c r="D717" s="261" t="s">
        <v>21211</v>
      </c>
      <c r="E717" s="261">
        <v>188</v>
      </c>
      <c r="F717" s="261" t="s">
        <v>21363</v>
      </c>
      <c r="G717" s="261"/>
      <c r="H717" s="261"/>
      <c r="I717" s="261" t="s">
        <v>10772</v>
      </c>
      <c r="J717" s="261" t="s">
        <v>10756</v>
      </c>
      <c r="K717" s="262">
        <v>1500000</v>
      </c>
    </row>
    <row r="718" spans="1:11" x14ac:dyDescent="0.2">
      <c r="A718" s="306" t="s">
        <v>24291</v>
      </c>
      <c r="B718" s="261" t="s">
        <v>21210</v>
      </c>
      <c r="C718" s="261" t="s">
        <v>19636</v>
      </c>
      <c r="D718" s="261" t="s">
        <v>21211</v>
      </c>
      <c r="E718" s="261">
        <v>189</v>
      </c>
      <c r="F718" s="261" t="s">
        <v>21364</v>
      </c>
      <c r="G718" s="261" t="s">
        <v>2482</v>
      </c>
      <c r="H718" s="261" t="s">
        <v>2483</v>
      </c>
      <c r="I718" s="261"/>
      <c r="J718" s="261"/>
      <c r="K718" s="262"/>
    </row>
    <row r="719" spans="1:11" x14ac:dyDescent="0.2">
      <c r="A719" s="306" t="s">
        <v>24291</v>
      </c>
      <c r="B719" s="261" t="s">
        <v>21210</v>
      </c>
      <c r="C719" s="261" t="s">
        <v>19636</v>
      </c>
      <c r="D719" s="261" t="s">
        <v>21211</v>
      </c>
      <c r="E719" s="261">
        <v>190</v>
      </c>
      <c r="F719" s="261" t="s">
        <v>21365</v>
      </c>
      <c r="G719" s="261"/>
      <c r="H719" s="261"/>
      <c r="I719" s="261" t="s">
        <v>1947</v>
      </c>
      <c r="J719" s="261" t="s">
        <v>19599</v>
      </c>
      <c r="K719" s="262">
        <v>50</v>
      </c>
    </row>
    <row r="720" spans="1:11" x14ac:dyDescent="0.2">
      <c r="A720" s="306" t="s">
        <v>24291</v>
      </c>
      <c r="B720" s="261" t="s">
        <v>21210</v>
      </c>
      <c r="C720" s="261" t="s">
        <v>19636</v>
      </c>
      <c r="D720" s="261" t="s">
        <v>21211</v>
      </c>
      <c r="E720" s="261">
        <v>191</v>
      </c>
      <c r="F720" s="261" t="s">
        <v>21366</v>
      </c>
      <c r="G720" s="261"/>
      <c r="H720" s="261"/>
      <c r="I720" s="261" t="s">
        <v>1947</v>
      </c>
      <c r="J720" s="261" t="s">
        <v>19600</v>
      </c>
      <c r="K720" s="262">
        <v>50</v>
      </c>
    </row>
    <row r="721" spans="1:11" x14ac:dyDescent="0.2">
      <c r="A721" s="306" t="s">
        <v>24291</v>
      </c>
      <c r="B721" s="261" t="s">
        <v>21210</v>
      </c>
      <c r="C721" s="261" t="s">
        <v>19636</v>
      </c>
      <c r="D721" s="261" t="s">
        <v>21211</v>
      </c>
      <c r="E721" s="261">
        <v>192</v>
      </c>
      <c r="F721" s="261" t="s">
        <v>21367</v>
      </c>
      <c r="G721" s="261"/>
      <c r="H721" s="261"/>
      <c r="I721" s="261" t="s">
        <v>1947</v>
      </c>
      <c r="J721" s="261" t="s">
        <v>19603</v>
      </c>
      <c r="K721" s="262">
        <v>50</v>
      </c>
    </row>
    <row r="722" spans="1:11" x14ac:dyDescent="0.2">
      <c r="A722" s="306" t="s">
        <v>24291</v>
      </c>
      <c r="B722" s="261" t="s">
        <v>21210</v>
      </c>
      <c r="C722" s="261" t="s">
        <v>19636</v>
      </c>
      <c r="D722" s="261" t="s">
        <v>21211</v>
      </c>
      <c r="E722" s="261">
        <v>193</v>
      </c>
      <c r="F722" s="261" t="s">
        <v>21368</v>
      </c>
      <c r="G722" s="261"/>
      <c r="H722" s="261"/>
      <c r="I722" s="261" t="s">
        <v>1947</v>
      </c>
      <c r="J722" s="261" t="s">
        <v>19601</v>
      </c>
      <c r="K722" s="262">
        <v>50</v>
      </c>
    </row>
    <row r="723" spans="1:11" x14ac:dyDescent="0.2">
      <c r="A723" s="306" t="s">
        <v>24291</v>
      </c>
      <c r="B723" s="261" t="s">
        <v>21210</v>
      </c>
      <c r="C723" s="261" t="s">
        <v>19636</v>
      </c>
      <c r="D723" s="261" t="s">
        <v>21211</v>
      </c>
      <c r="E723" s="261">
        <v>194</v>
      </c>
      <c r="F723" s="261" t="s">
        <v>21369</v>
      </c>
      <c r="G723" s="261"/>
      <c r="H723" s="261"/>
      <c r="I723" s="261" t="s">
        <v>1947</v>
      </c>
      <c r="J723" s="261" t="s">
        <v>19604</v>
      </c>
      <c r="K723" s="262">
        <v>50</v>
      </c>
    </row>
    <row r="724" spans="1:11" x14ac:dyDescent="0.2">
      <c r="A724" s="306" t="s">
        <v>24291</v>
      </c>
      <c r="B724" s="261" t="s">
        <v>21210</v>
      </c>
      <c r="C724" s="261" t="s">
        <v>19636</v>
      </c>
      <c r="D724" s="261" t="s">
        <v>21211</v>
      </c>
      <c r="E724" s="261">
        <v>195</v>
      </c>
      <c r="F724" s="261" t="s">
        <v>21370</v>
      </c>
      <c r="G724" s="261"/>
      <c r="H724" s="261"/>
      <c r="I724" s="261" t="s">
        <v>1947</v>
      </c>
      <c r="J724" s="261" t="s">
        <v>19602</v>
      </c>
      <c r="K724" s="262">
        <v>50</v>
      </c>
    </row>
    <row r="725" spans="1:11" x14ac:dyDescent="0.2">
      <c r="A725" s="306" t="s">
        <v>24291</v>
      </c>
      <c r="B725" s="261" t="s">
        <v>21210</v>
      </c>
      <c r="C725" s="261" t="s">
        <v>19636</v>
      </c>
      <c r="D725" s="261" t="s">
        <v>21211</v>
      </c>
      <c r="E725" s="261">
        <v>196</v>
      </c>
      <c r="F725" s="261" t="s">
        <v>21371</v>
      </c>
      <c r="G725" s="261" t="s">
        <v>2682</v>
      </c>
      <c r="H725" s="261" t="s">
        <v>2683</v>
      </c>
      <c r="I725" s="261"/>
      <c r="J725" s="261"/>
      <c r="K725" s="262"/>
    </row>
    <row r="726" spans="1:11" x14ac:dyDescent="0.2">
      <c r="A726" s="306" t="s">
        <v>24291</v>
      </c>
      <c r="B726" s="261" t="s">
        <v>21210</v>
      </c>
      <c r="C726" s="261" t="s">
        <v>19636</v>
      </c>
      <c r="D726" s="261" t="s">
        <v>21211</v>
      </c>
      <c r="E726" s="261">
        <v>197</v>
      </c>
      <c r="F726" s="261" t="s">
        <v>21372</v>
      </c>
      <c r="G726" s="261"/>
      <c r="H726" s="261"/>
      <c r="I726" s="261" t="s">
        <v>10772</v>
      </c>
      <c r="J726" s="261" t="s">
        <v>19618</v>
      </c>
      <c r="K726" s="262">
        <v>200</v>
      </c>
    </row>
    <row r="727" spans="1:11" x14ac:dyDescent="0.2">
      <c r="A727" s="306" t="s">
        <v>24291</v>
      </c>
      <c r="B727" s="261" t="s">
        <v>21210</v>
      </c>
      <c r="C727" s="261" t="s">
        <v>19636</v>
      </c>
      <c r="D727" s="261" t="s">
        <v>21211</v>
      </c>
      <c r="E727" s="261">
        <v>198</v>
      </c>
      <c r="F727" s="261" t="s">
        <v>21373</v>
      </c>
      <c r="G727" s="261"/>
      <c r="H727" s="261"/>
      <c r="I727" s="261" t="s">
        <v>10772</v>
      </c>
      <c r="J727" s="261" t="s">
        <v>17507</v>
      </c>
      <c r="K727" s="262">
        <v>500000</v>
      </c>
    </row>
    <row r="728" spans="1:11" x14ac:dyDescent="0.2">
      <c r="A728" s="306" t="s">
        <v>24291</v>
      </c>
      <c r="B728" s="261" t="s">
        <v>21210</v>
      </c>
      <c r="C728" s="261" t="s">
        <v>19636</v>
      </c>
      <c r="D728" s="261" t="s">
        <v>21211</v>
      </c>
      <c r="E728" s="261">
        <v>199</v>
      </c>
      <c r="F728" s="261" t="s">
        <v>24036</v>
      </c>
      <c r="G728" s="261"/>
      <c r="H728" s="261"/>
      <c r="I728" s="261" t="s">
        <v>10772</v>
      </c>
      <c r="J728" s="261" t="s">
        <v>10756</v>
      </c>
      <c r="K728" s="262">
        <v>2500000</v>
      </c>
    </row>
    <row r="729" spans="1:11" x14ac:dyDescent="0.2">
      <c r="A729" s="306" t="s">
        <v>24291</v>
      </c>
      <c r="B729" s="261" t="s">
        <v>21210</v>
      </c>
      <c r="C729" s="261" t="s">
        <v>19636</v>
      </c>
      <c r="D729" s="261" t="s">
        <v>21211</v>
      </c>
      <c r="E729" s="261">
        <v>200</v>
      </c>
      <c r="F729" s="261" t="s">
        <v>21374</v>
      </c>
      <c r="G729" s="261"/>
      <c r="H729" s="261"/>
      <c r="I729" s="261" t="s">
        <v>10772</v>
      </c>
      <c r="J729" s="261" t="s">
        <v>19618</v>
      </c>
      <c r="K729" s="262">
        <v>250</v>
      </c>
    </row>
    <row r="730" spans="1:11" x14ac:dyDescent="0.2">
      <c r="A730" s="306" t="s">
        <v>24291</v>
      </c>
      <c r="B730" s="261" t="s">
        <v>21210</v>
      </c>
      <c r="C730" s="261" t="s">
        <v>19636</v>
      </c>
      <c r="D730" s="261" t="s">
        <v>21211</v>
      </c>
      <c r="E730" s="261">
        <v>201</v>
      </c>
      <c r="F730" s="261" t="s">
        <v>24037</v>
      </c>
      <c r="G730" s="261"/>
      <c r="H730" s="261"/>
      <c r="I730" s="261" t="s">
        <v>10772</v>
      </c>
      <c r="J730" s="261" t="s">
        <v>17507</v>
      </c>
      <c r="K730" s="262">
        <v>700000</v>
      </c>
    </row>
    <row r="731" spans="1:11" x14ac:dyDescent="0.2">
      <c r="A731" s="306" t="s">
        <v>24291</v>
      </c>
      <c r="B731" s="261" t="s">
        <v>21210</v>
      </c>
      <c r="C731" s="261" t="s">
        <v>19636</v>
      </c>
      <c r="D731" s="261" t="s">
        <v>21211</v>
      </c>
      <c r="E731" s="261">
        <v>202</v>
      </c>
      <c r="F731" s="261" t="s">
        <v>24038</v>
      </c>
      <c r="G731" s="261"/>
      <c r="H731" s="261"/>
      <c r="I731" s="261" t="s">
        <v>10772</v>
      </c>
      <c r="J731" s="261" t="s">
        <v>10756</v>
      </c>
      <c r="K731" s="262">
        <v>3500000</v>
      </c>
    </row>
    <row r="732" spans="1:11" x14ac:dyDescent="0.2">
      <c r="A732" s="306" t="s">
        <v>24291</v>
      </c>
      <c r="B732" s="261" t="s">
        <v>21210</v>
      </c>
      <c r="C732" s="261" t="s">
        <v>19636</v>
      </c>
      <c r="D732" s="261" t="s">
        <v>21211</v>
      </c>
      <c r="E732" s="261">
        <v>203</v>
      </c>
      <c r="F732" s="261" t="s">
        <v>24039</v>
      </c>
      <c r="G732" s="261"/>
      <c r="H732" s="261"/>
      <c r="I732" s="261" t="s">
        <v>10772</v>
      </c>
      <c r="J732" s="261" t="s">
        <v>21232</v>
      </c>
      <c r="K732" s="262">
        <v>1</v>
      </c>
    </row>
    <row r="733" spans="1:11" x14ac:dyDescent="0.2">
      <c r="A733" s="306" t="s">
        <v>24291</v>
      </c>
      <c r="B733" s="261" t="s">
        <v>21210</v>
      </c>
      <c r="C733" s="261" t="s">
        <v>19636</v>
      </c>
      <c r="D733" s="261" t="s">
        <v>21211</v>
      </c>
      <c r="E733" s="261">
        <v>204</v>
      </c>
      <c r="F733" s="261" t="s">
        <v>24040</v>
      </c>
      <c r="G733" s="261"/>
      <c r="H733" s="261"/>
      <c r="I733" s="261" t="s">
        <v>10772</v>
      </c>
      <c r="J733" s="261" t="s">
        <v>21232</v>
      </c>
      <c r="K733" s="262">
        <v>1</v>
      </c>
    </row>
    <row r="734" spans="1:11" x14ac:dyDescent="0.2">
      <c r="A734" s="306" t="s">
        <v>24291</v>
      </c>
      <c r="B734" s="261" t="s">
        <v>21210</v>
      </c>
      <c r="C734" s="261" t="s">
        <v>19636</v>
      </c>
      <c r="D734" s="261" t="s">
        <v>21211</v>
      </c>
      <c r="E734" s="261">
        <v>205</v>
      </c>
      <c r="F734" s="261" t="s">
        <v>24041</v>
      </c>
      <c r="G734" s="261"/>
      <c r="H734" s="261"/>
      <c r="I734" s="261" t="s">
        <v>10772</v>
      </c>
      <c r="J734" s="261" t="s">
        <v>21232</v>
      </c>
      <c r="K734" s="262">
        <v>1</v>
      </c>
    </row>
    <row r="735" spans="1:11" x14ac:dyDescent="0.2">
      <c r="A735" s="306" t="s">
        <v>24291</v>
      </c>
      <c r="B735" s="261" t="s">
        <v>21210</v>
      </c>
      <c r="C735" s="261" t="s">
        <v>19636</v>
      </c>
      <c r="D735" s="261" t="s">
        <v>21211</v>
      </c>
      <c r="E735" s="261">
        <v>206</v>
      </c>
      <c r="F735" s="261" t="s">
        <v>21375</v>
      </c>
      <c r="G735" s="261"/>
      <c r="H735" s="261"/>
      <c r="I735" s="261" t="s">
        <v>10772</v>
      </c>
      <c r="J735" s="261" t="s">
        <v>21232</v>
      </c>
      <c r="K735" s="262">
        <v>1</v>
      </c>
    </row>
    <row r="736" spans="1:11" x14ac:dyDescent="0.2">
      <c r="A736" s="306" t="s">
        <v>24291</v>
      </c>
      <c r="B736" s="261" t="s">
        <v>21210</v>
      </c>
      <c r="C736" s="261" t="s">
        <v>19636</v>
      </c>
      <c r="D736" s="261" t="s">
        <v>21211</v>
      </c>
      <c r="E736" s="261">
        <v>207</v>
      </c>
      <c r="F736" s="261" t="s">
        <v>21376</v>
      </c>
      <c r="G736" s="261"/>
      <c r="H736" s="261"/>
      <c r="I736" s="261" t="s">
        <v>10772</v>
      </c>
      <c r="J736" s="261" t="s">
        <v>21232</v>
      </c>
      <c r="K736" s="262">
        <v>1</v>
      </c>
    </row>
    <row r="737" spans="1:11" x14ac:dyDescent="0.2">
      <c r="A737" s="306" t="s">
        <v>24291</v>
      </c>
      <c r="B737" s="261" t="s">
        <v>21210</v>
      </c>
      <c r="C737" s="261" t="s">
        <v>19636</v>
      </c>
      <c r="D737" s="261" t="s">
        <v>21211</v>
      </c>
      <c r="E737" s="261">
        <v>208</v>
      </c>
      <c r="F737" s="261" t="s">
        <v>24042</v>
      </c>
      <c r="G737" s="261"/>
      <c r="H737" s="261"/>
      <c r="I737" s="261" t="s">
        <v>10772</v>
      </c>
      <c r="J737" s="261" t="s">
        <v>21232</v>
      </c>
      <c r="K737" s="262">
        <v>1</v>
      </c>
    </row>
    <row r="738" spans="1:11" x14ac:dyDescent="0.2">
      <c r="A738" s="306" t="s">
        <v>24291</v>
      </c>
      <c r="B738" s="261" t="s">
        <v>21210</v>
      </c>
      <c r="C738" s="261" t="s">
        <v>19636</v>
      </c>
      <c r="D738" s="261" t="s">
        <v>21211</v>
      </c>
      <c r="E738" s="261">
        <v>209</v>
      </c>
      <c r="F738" s="261" t="s">
        <v>21377</v>
      </c>
      <c r="G738" s="261"/>
      <c r="H738" s="261"/>
      <c r="I738" s="261" t="s">
        <v>10772</v>
      </c>
      <c r="J738" s="261" t="s">
        <v>21232</v>
      </c>
      <c r="K738" s="262">
        <v>1</v>
      </c>
    </row>
    <row r="739" spans="1:11" x14ac:dyDescent="0.2">
      <c r="A739" s="306" t="s">
        <v>24291</v>
      </c>
      <c r="B739" s="261" t="s">
        <v>21210</v>
      </c>
      <c r="C739" s="261" t="s">
        <v>19636</v>
      </c>
      <c r="D739" s="261" t="s">
        <v>21211</v>
      </c>
      <c r="E739" s="261">
        <v>210</v>
      </c>
      <c r="F739" s="261" t="s">
        <v>24043</v>
      </c>
      <c r="G739" s="261"/>
      <c r="H739" s="261"/>
      <c r="I739" s="261" t="s">
        <v>10772</v>
      </c>
      <c r="J739" s="261" t="s">
        <v>21232</v>
      </c>
      <c r="K739" s="262">
        <v>1</v>
      </c>
    </row>
    <row r="740" spans="1:11" x14ac:dyDescent="0.2">
      <c r="A740" s="306" t="s">
        <v>24291</v>
      </c>
      <c r="B740" s="261" t="s">
        <v>21210</v>
      </c>
      <c r="C740" s="261" t="s">
        <v>19636</v>
      </c>
      <c r="D740" s="261" t="s">
        <v>21211</v>
      </c>
      <c r="E740" s="261">
        <v>211</v>
      </c>
      <c r="F740" s="261" t="s">
        <v>21378</v>
      </c>
      <c r="G740" s="261"/>
      <c r="H740" s="261"/>
      <c r="I740" s="261" t="s">
        <v>10772</v>
      </c>
      <c r="J740" s="261" t="s">
        <v>21232</v>
      </c>
      <c r="K740" s="262">
        <v>1</v>
      </c>
    </row>
    <row r="741" spans="1:11" x14ac:dyDescent="0.2">
      <c r="A741" s="306" t="s">
        <v>24291</v>
      </c>
      <c r="B741" s="261" t="s">
        <v>21210</v>
      </c>
      <c r="C741" s="261" t="s">
        <v>19636</v>
      </c>
      <c r="D741" s="261" t="s">
        <v>21211</v>
      </c>
      <c r="E741" s="261">
        <v>212</v>
      </c>
      <c r="F741" s="261" t="s">
        <v>21379</v>
      </c>
      <c r="G741" s="261"/>
      <c r="H741" s="261"/>
      <c r="I741" s="261" t="s">
        <v>10772</v>
      </c>
      <c r="J741" s="261" t="s">
        <v>21232</v>
      </c>
      <c r="K741" s="262">
        <v>1</v>
      </c>
    </row>
    <row r="742" spans="1:11" x14ac:dyDescent="0.2">
      <c r="A742" s="306" t="s">
        <v>24291</v>
      </c>
      <c r="B742" s="261" t="s">
        <v>21210</v>
      </c>
      <c r="C742" s="261" t="s">
        <v>19636</v>
      </c>
      <c r="D742" s="261" t="s">
        <v>21211</v>
      </c>
      <c r="E742" s="261">
        <v>213</v>
      </c>
      <c r="F742" s="261" t="s">
        <v>24044</v>
      </c>
      <c r="G742" s="261"/>
      <c r="H742" s="261"/>
      <c r="I742" s="261" t="s">
        <v>10772</v>
      </c>
      <c r="J742" s="261" t="s">
        <v>21232</v>
      </c>
      <c r="K742" s="262">
        <v>1</v>
      </c>
    </row>
    <row r="743" spans="1:11" x14ac:dyDescent="0.2">
      <c r="A743" s="306" t="s">
        <v>24291</v>
      </c>
      <c r="B743" s="261" t="s">
        <v>21210</v>
      </c>
      <c r="C743" s="261" t="s">
        <v>19636</v>
      </c>
      <c r="D743" s="261" t="s">
        <v>21211</v>
      </c>
      <c r="E743" s="261">
        <v>214</v>
      </c>
      <c r="F743" s="261" t="s">
        <v>21380</v>
      </c>
      <c r="G743" s="261"/>
      <c r="H743" s="261"/>
      <c r="I743" s="261" t="s">
        <v>10772</v>
      </c>
      <c r="J743" s="261" t="s">
        <v>21232</v>
      </c>
      <c r="K743" s="262">
        <v>1</v>
      </c>
    </row>
    <row r="744" spans="1:11" x14ac:dyDescent="0.2">
      <c r="A744" s="306" t="s">
        <v>24291</v>
      </c>
      <c r="B744" s="261" t="s">
        <v>21210</v>
      </c>
      <c r="C744" s="261" t="s">
        <v>19636</v>
      </c>
      <c r="D744" s="261" t="s">
        <v>21211</v>
      </c>
      <c r="E744" s="261">
        <v>215</v>
      </c>
      <c r="F744" s="261" t="s">
        <v>24045</v>
      </c>
      <c r="G744" s="261"/>
      <c r="H744" s="261"/>
      <c r="I744" s="261" t="s">
        <v>10772</v>
      </c>
      <c r="J744" s="261" t="s">
        <v>21232</v>
      </c>
      <c r="K744" s="262">
        <v>1</v>
      </c>
    </row>
    <row r="745" spans="1:11" x14ac:dyDescent="0.2">
      <c r="A745" s="306" t="s">
        <v>24291</v>
      </c>
      <c r="B745" s="261" t="s">
        <v>21210</v>
      </c>
      <c r="C745" s="261" t="s">
        <v>19636</v>
      </c>
      <c r="D745" s="261" t="s">
        <v>21211</v>
      </c>
      <c r="E745" s="261">
        <v>216</v>
      </c>
      <c r="F745" s="261" t="s">
        <v>21381</v>
      </c>
      <c r="G745" s="261"/>
      <c r="H745" s="261"/>
      <c r="I745" s="261" t="s">
        <v>10772</v>
      </c>
      <c r="J745" s="261" t="s">
        <v>21232</v>
      </c>
      <c r="K745" s="262">
        <v>1</v>
      </c>
    </row>
    <row r="746" spans="1:11" x14ac:dyDescent="0.2">
      <c r="A746" s="306" t="s">
        <v>24291</v>
      </c>
      <c r="B746" s="261" t="s">
        <v>21210</v>
      </c>
      <c r="C746" s="261" t="s">
        <v>19636</v>
      </c>
      <c r="D746" s="261" t="s">
        <v>21211</v>
      </c>
      <c r="E746" s="261">
        <v>217</v>
      </c>
      <c r="F746" s="261" t="s">
        <v>21382</v>
      </c>
      <c r="G746" s="261"/>
      <c r="H746" s="261"/>
      <c r="I746" s="261" t="s">
        <v>10772</v>
      </c>
      <c r="J746" s="261" t="s">
        <v>21232</v>
      </c>
      <c r="K746" s="262">
        <v>1</v>
      </c>
    </row>
    <row r="747" spans="1:11" x14ac:dyDescent="0.2">
      <c r="A747" s="306" t="s">
        <v>24291</v>
      </c>
      <c r="B747" s="261" t="s">
        <v>21210</v>
      </c>
      <c r="C747" s="261" t="s">
        <v>19636</v>
      </c>
      <c r="D747" s="261" t="s">
        <v>21211</v>
      </c>
      <c r="E747" s="261">
        <v>218</v>
      </c>
      <c r="F747" s="261" t="s">
        <v>24046</v>
      </c>
      <c r="G747" s="261"/>
      <c r="H747" s="261"/>
      <c r="I747" s="261" t="s">
        <v>10772</v>
      </c>
      <c r="J747" s="261" t="s">
        <v>21232</v>
      </c>
      <c r="K747" s="262">
        <v>1</v>
      </c>
    </row>
    <row r="748" spans="1:11" x14ac:dyDescent="0.2">
      <c r="A748" s="306" t="s">
        <v>24291</v>
      </c>
      <c r="B748" s="261" t="s">
        <v>21210</v>
      </c>
      <c r="C748" s="261" t="s">
        <v>19636</v>
      </c>
      <c r="D748" s="261" t="s">
        <v>21211</v>
      </c>
      <c r="E748" s="261">
        <v>219</v>
      </c>
      <c r="F748" s="261" t="s">
        <v>21383</v>
      </c>
      <c r="G748" s="261"/>
      <c r="H748" s="261"/>
      <c r="I748" s="261" t="s">
        <v>10772</v>
      </c>
      <c r="J748" s="261" t="s">
        <v>21232</v>
      </c>
      <c r="K748" s="262">
        <v>1</v>
      </c>
    </row>
    <row r="749" spans="1:11" x14ac:dyDescent="0.2">
      <c r="A749" s="306" t="s">
        <v>24291</v>
      </c>
      <c r="B749" s="261" t="s">
        <v>21210</v>
      </c>
      <c r="C749" s="261" t="s">
        <v>19636</v>
      </c>
      <c r="D749" s="261" t="s">
        <v>21211</v>
      </c>
      <c r="E749" s="261">
        <v>220</v>
      </c>
      <c r="F749" s="261" t="s">
        <v>24047</v>
      </c>
      <c r="G749" s="261"/>
      <c r="H749" s="261"/>
      <c r="I749" s="261" t="s">
        <v>10772</v>
      </c>
      <c r="J749" s="261" t="s">
        <v>21232</v>
      </c>
      <c r="K749" s="262">
        <v>1</v>
      </c>
    </row>
    <row r="750" spans="1:11" x14ac:dyDescent="0.2">
      <c r="A750" s="306" t="s">
        <v>24291</v>
      </c>
      <c r="B750" s="261" t="s">
        <v>21210</v>
      </c>
      <c r="C750" s="261" t="s">
        <v>19636</v>
      </c>
      <c r="D750" s="261" t="s">
        <v>21211</v>
      </c>
      <c r="E750" s="261">
        <v>221</v>
      </c>
      <c r="F750" s="261" t="s">
        <v>21384</v>
      </c>
      <c r="G750" s="261"/>
      <c r="H750" s="261"/>
      <c r="I750" s="261" t="s">
        <v>2837</v>
      </c>
      <c r="J750" s="261" t="s">
        <v>19599</v>
      </c>
      <c r="K750" s="262">
        <v>20</v>
      </c>
    </row>
    <row r="751" spans="1:11" x14ac:dyDescent="0.2">
      <c r="A751" s="306" t="s">
        <v>24291</v>
      </c>
      <c r="B751" s="261" t="s">
        <v>21210</v>
      </c>
      <c r="C751" s="261" t="s">
        <v>19636</v>
      </c>
      <c r="D751" s="261" t="s">
        <v>21211</v>
      </c>
      <c r="E751" s="261">
        <v>222</v>
      </c>
      <c r="F751" s="261" t="s">
        <v>21385</v>
      </c>
      <c r="G751" s="261"/>
      <c r="H751" s="261"/>
      <c r="I751" s="261" t="s">
        <v>2837</v>
      </c>
      <c r="J751" s="261" t="s">
        <v>19600</v>
      </c>
      <c r="K751" s="262">
        <v>20</v>
      </c>
    </row>
    <row r="752" spans="1:11" x14ac:dyDescent="0.2">
      <c r="A752" s="306" t="s">
        <v>24291</v>
      </c>
      <c r="B752" s="261" t="s">
        <v>21210</v>
      </c>
      <c r="C752" s="261" t="s">
        <v>19636</v>
      </c>
      <c r="D752" s="261" t="s">
        <v>21211</v>
      </c>
      <c r="E752" s="261">
        <v>223</v>
      </c>
      <c r="F752" s="261" t="s">
        <v>21386</v>
      </c>
      <c r="G752" s="261"/>
      <c r="H752" s="261"/>
      <c r="I752" s="261" t="s">
        <v>10772</v>
      </c>
      <c r="J752" s="261" t="s">
        <v>19618</v>
      </c>
      <c r="K752" s="262">
        <v>30</v>
      </c>
    </row>
    <row r="753" spans="1:11" x14ac:dyDescent="0.2">
      <c r="A753" s="306" t="s">
        <v>24291</v>
      </c>
      <c r="B753" s="261" t="s">
        <v>21210</v>
      </c>
      <c r="C753" s="261" t="s">
        <v>19636</v>
      </c>
      <c r="D753" s="261" t="s">
        <v>21211</v>
      </c>
      <c r="E753" s="261">
        <v>224</v>
      </c>
      <c r="F753" s="261" t="s">
        <v>21387</v>
      </c>
      <c r="G753" s="261"/>
      <c r="H753" s="261"/>
      <c r="I753" s="261" t="s">
        <v>2837</v>
      </c>
      <c r="J753" s="261" t="s">
        <v>19603</v>
      </c>
      <c r="K753" s="262">
        <v>20</v>
      </c>
    </row>
    <row r="754" spans="1:11" x14ac:dyDescent="0.2">
      <c r="A754" s="306" t="s">
        <v>24291</v>
      </c>
      <c r="B754" s="261" t="s">
        <v>21210</v>
      </c>
      <c r="C754" s="261" t="s">
        <v>19636</v>
      </c>
      <c r="D754" s="261" t="s">
        <v>21211</v>
      </c>
      <c r="E754" s="261">
        <v>225</v>
      </c>
      <c r="F754" s="261" t="s">
        <v>21388</v>
      </c>
      <c r="G754" s="261"/>
      <c r="H754" s="261"/>
      <c r="I754" s="261" t="s">
        <v>2837</v>
      </c>
      <c r="J754" s="261" t="s">
        <v>19601</v>
      </c>
      <c r="K754" s="262">
        <v>20</v>
      </c>
    </row>
    <row r="755" spans="1:11" x14ac:dyDescent="0.2">
      <c r="A755" s="306" t="s">
        <v>24291</v>
      </c>
      <c r="B755" s="261" t="s">
        <v>21210</v>
      </c>
      <c r="C755" s="261" t="s">
        <v>19636</v>
      </c>
      <c r="D755" s="261" t="s">
        <v>21211</v>
      </c>
      <c r="E755" s="261">
        <v>226</v>
      </c>
      <c r="F755" s="261" t="s">
        <v>21389</v>
      </c>
      <c r="G755" s="261"/>
      <c r="H755" s="261"/>
      <c r="I755" s="261" t="s">
        <v>10772</v>
      </c>
      <c r="J755" s="261" t="s">
        <v>17507</v>
      </c>
      <c r="K755" s="262">
        <v>100000</v>
      </c>
    </row>
    <row r="756" spans="1:11" x14ac:dyDescent="0.2">
      <c r="A756" s="306" t="s">
        <v>24291</v>
      </c>
      <c r="B756" s="261" t="s">
        <v>21210</v>
      </c>
      <c r="C756" s="261" t="s">
        <v>19636</v>
      </c>
      <c r="D756" s="261" t="s">
        <v>21211</v>
      </c>
      <c r="E756" s="261">
        <v>227</v>
      </c>
      <c r="F756" s="261" t="s">
        <v>21390</v>
      </c>
      <c r="G756" s="261"/>
      <c r="H756" s="261"/>
      <c r="I756" s="261" t="s">
        <v>2837</v>
      </c>
      <c r="J756" s="261" t="s">
        <v>19604</v>
      </c>
      <c r="K756" s="262">
        <v>20</v>
      </c>
    </row>
    <row r="757" spans="1:11" x14ac:dyDescent="0.2">
      <c r="A757" s="306" t="s">
        <v>24291</v>
      </c>
      <c r="B757" s="261" t="s">
        <v>21210</v>
      </c>
      <c r="C757" s="261" t="s">
        <v>19636</v>
      </c>
      <c r="D757" s="261" t="s">
        <v>21211</v>
      </c>
      <c r="E757" s="261">
        <v>228</v>
      </c>
      <c r="F757" s="261" t="s">
        <v>21391</v>
      </c>
      <c r="G757" s="261"/>
      <c r="H757" s="261"/>
      <c r="I757" s="261" t="s">
        <v>2837</v>
      </c>
      <c r="J757" s="261" t="s">
        <v>19602</v>
      </c>
      <c r="K757" s="262">
        <v>20</v>
      </c>
    </row>
    <row r="758" spans="1:11" x14ac:dyDescent="0.2">
      <c r="A758" s="306" t="s">
        <v>24291</v>
      </c>
      <c r="B758" s="261" t="s">
        <v>21210</v>
      </c>
      <c r="C758" s="261" t="s">
        <v>19636</v>
      </c>
      <c r="D758" s="261" t="s">
        <v>21211</v>
      </c>
      <c r="E758" s="261">
        <v>229</v>
      </c>
      <c r="F758" s="261" t="s">
        <v>21392</v>
      </c>
      <c r="G758" s="261"/>
      <c r="H758" s="261"/>
      <c r="I758" s="261" t="s">
        <v>10772</v>
      </c>
      <c r="J758" s="261" t="s">
        <v>10756</v>
      </c>
      <c r="K758" s="262">
        <v>500000</v>
      </c>
    </row>
    <row r="759" spans="1:11" x14ac:dyDescent="0.2">
      <c r="A759" s="306" t="s">
        <v>24291</v>
      </c>
      <c r="B759" s="261" t="s">
        <v>21210</v>
      </c>
      <c r="C759" s="261" t="s">
        <v>19636</v>
      </c>
      <c r="D759" s="261" t="s">
        <v>21211</v>
      </c>
      <c r="E759" s="261">
        <v>230</v>
      </c>
      <c r="F759" s="261" t="s">
        <v>21393</v>
      </c>
      <c r="G759" s="261" t="s">
        <v>3584</v>
      </c>
      <c r="H759" s="261" t="s">
        <v>3585</v>
      </c>
      <c r="I759" s="261"/>
      <c r="J759" s="261"/>
      <c r="K759" s="262"/>
    </row>
    <row r="760" spans="1:11" x14ac:dyDescent="0.2">
      <c r="A760" s="306" t="s">
        <v>24291</v>
      </c>
      <c r="B760" s="261" t="s">
        <v>21210</v>
      </c>
      <c r="C760" s="261" t="s">
        <v>19636</v>
      </c>
      <c r="D760" s="261" t="s">
        <v>21211</v>
      </c>
      <c r="E760" s="261">
        <v>231</v>
      </c>
      <c r="F760" s="261" t="s">
        <v>21394</v>
      </c>
      <c r="G760" s="261"/>
      <c r="H760" s="261"/>
      <c r="I760" s="261" t="s">
        <v>2837</v>
      </c>
      <c r="J760" s="261" t="s">
        <v>19599</v>
      </c>
      <c r="K760" s="262">
        <v>30</v>
      </c>
    </row>
    <row r="761" spans="1:11" x14ac:dyDescent="0.2">
      <c r="A761" s="306" t="s">
        <v>24291</v>
      </c>
      <c r="B761" s="261" t="s">
        <v>21210</v>
      </c>
      <c r="C761" s="261" t="s">
        <v>19636</v>
      </c>
      <c r="D761" s="261" t="s">
        <v>21211</v>
      </c>
      <c r="E761" s="261">
        <v>232</v>
      </c>
      <c r="F761" s="261" t="s">
        <v>21395</v>
      </c>
      <c r="G761" s="261"/>
      <c r="H761" s="261"/>
      <c r="I761" s="261" t="s">
        <v>2837</v>
      </c>
      <c r="J761" s="261" t="s">
        <v>19600</v>
      </c>
      <c r="K761" s="262">
        <v>30</v>
      </c>
    </row>
    <row r="762" spans="1:11" x14ac:dyDescent="0.2">
      <c r="A762" s="306" t="s">
        <v>24291</v>
      </c>
      <c r="B762" s="261" t="s">
        <v>21210</v>
      </c>
      <c r="C762" s="261" t="s">
        <v>19636</v>
      </c>
      <c r="D762" s="261" t="s">
        <v>21211</v>
      </c>
      <c r="E762" s="261">
        <v>233</v>
      </c>
      <c r="F762" s="261" t="s">
        <v>21396</v>
      </c>
      <c r="G762" s="261"/>
      <c r="H762" s="261"/>
      <c r="I762" s="261" t="s">
        <v>10772</v>
      </c>
      <c r="J762" s="261" t="s">
        <v>19618</v>
      </c>
      <c r="K762" s="262">
        <v>50</v>
      </c>
    </row>
    <row r="763" spans="1:11" x14ac:dyDescent="0.2">
      <c r="A763" s="306" t="s">
        <v>24291</v>
      </c>
      <c r="B763" s="261" t="s">
        <v>21210</v>
      </c>
      <c r="C763" s="261" t="s">
        <v>19636</v>
      </c>
      <c r="D763" s="261" t="s">
        <v>21211</v>
      </c>
      <c r="E763" s="261">
        <v>234</v>
      </c>
      <c r="F763" s="261" t="s">
        <v>21397</v>
      </c>
      <c r="G763" s="261"/>
      <c r="H763" s="261"/>
      <c r="I763" s="261" t="s">
        <v>2837</v>
      </c>
      <c r="J763" s="261" t="s">
        <v>19603</v>
      </c>
      <c r="K763" s="262">
        <v>30</v>
      </c>
    </row>
    <row r="764" spans="1:11" x14ac:dyDescent="0.2">
      <c r="A764" s="306" t="s">
        <v>24291</v>
      </c>
      <c r="B764" s="261" t="s">
        <v>21210</v>
      </c>
      <c r="C764" s="261" t="s">
        <v>19636</v>
      </c>
      <c r="D764" s="261" t="s">
        <v>21211</v>
      </c>
      <c r="E764" s="261">
        <v>235</v>
      </c>
      <c r="F764" s="261" t="s">
        <v>21398</v>
      </c>
      <c r="G764" s="261"/>
      <c r="H764" s="261"/>
      <c r="I764" s="261" t="s">
        <v>2837</v>
      </c>
      <c r="J764" s="261" t="s">
        <v>19601</v>
      </c>
      <c r="K764" s="262">
        <v>30</v>
      </c>
    </row>
    <row r="765" spans="1:11" x14ac:dyDescent="0.2">
      <c r="A765" s="306" t="s">
        <v>24291</v>
      </c>
      <c r="B765" s="261" t="s">
        <v>21210</v>
      </c>
      <c r="C765" s="261" t="s">
        <v>19636</v>
      </c>
      <c r="D765" s="261" t="s">
        <v>21211</v>
      </c>
      <c r="E765" s="261">
        <v>236</v>
      </c>
      <c r="F765" s="261" t="s">
        <v>21399</v>
      </c>
      <c r="G765" s="261"/>
      <c r="H765" s="261"/>
      <c r="I765" s="261" t="s">
        <v>10772</v>
      </c>
      <c r="J765" s="261" t="s">
        <v>17507</v>
      </c>
      <c r="K765" s="262">
        <v>200000</v>
      </c>
    </row>
    <row r="766" spans="1:11" x14ac:dyDescent="0.2">
      <c r="A766" s="306" t="s">
        <v>24291</v>
      </c>
      <c r="B766" s="261" t="s">
        <v>21210</v>
      </c>
      <c r="C766" s="261" t="s">
        <v>19636</v>
      </c>
      <c r="D766" s="261" t="s">
        <v>21211</v>
      </c>
      <c r="E766" s="261">
        <v>237</v>
      </c>
      <c r="F766" s="261" t="s">
        <v>21400</v>
      </c>
      <c r="G766" s="261"/>
      <c r="H766" s="261"/>
      <c r="I766" s="261" t="s">
        <v>2837</v>
      </c>
      <c r="J766" s="261" t="s">
        <v>19604</v>
      </c>
      <c r="K766" s="262">
        <v>30</v>
      </c>
    </row>
    <row r="767" spans="1:11" x14ac:dyDescent="0.2">
      <c r="A767" s="306" t="s">
        <v>24291</v>
      </c>
      <c r="B767" s="261" t="s">
        <v>21210</v>
      </c>
      <c r="C767" s="261" t="s">
        <v>19636</v>
      </c>
      <c r="D767" s="261" t="s">
        <v>21211</v>
      </c>
      <c r="E767" s="261">
        <v>238</v>
      </c>
      <c r="F767" s="261" t="s">
        <v>21401</v>
      </c>
      <c r="G767" s="261"/>
      <c r="H767" s="261"/>
      <c r="I767" s="261" t="s">
        <v>2837</v>
      </c>
      <c r="J767" s="261" t="s">
        <v>19602</v>
      </c>
      <c r="K767" s="262">
        <v>30</v>
      </c>
    </row>
    <row r="768" spans="1:11" x14ac:dyDescent="0.2">
      <c r="A768" s="306" t="s">
        <v>24291</v>
      </c>
      <c r="B768" s="261" t="s">
        <v>21210</v>
      </c>
      <c r="C768" s="261" t="s">
        <v>19636</v>
      </c>
      <c r="D768" s="261" t="s">
        <v>21211</v>
      </c>
      <c r="E768" s="261">
        <v>239</v>
      </c>
      <c r="F768" s="261" t="s">
        <v>21402</v>
      </c>
      <c r="G768" s="261"/>
      <c r="H768" s="261"/>
      <c r="I768" s="261" t="s">
        <v>10772</v>
      </c>
      <c r="J768" s="261" t="s">
        <v>10756</v>
      </c>
      <c r="K768" s="262">
        <v>1000000</v>
      </c>
    </row>
    <row r="769" spans="1:11" x14ac:dyDescent="0.2">
      <c r="A769" s="306" t="s">
        <v>24291</v>
      </c>
      <c r="B769" s="261" t="s">
        <v>21210</v>
      </c>
      <c r="C769" s="261" t="s">
        <v>19636</v>
      </c>
      <c r="D769" s="261" t="s">
        <v>21211</v>
      </c>
      <c r="E769" s="261">
        <v>240</v>
      </c>
      <c r="F769" s="261" t="s">
        <v>21403</v>
      </c>
      <c r="G769" s="261" t="s">
        <v>2916</v>
      </c>
      <c r="H769" s="261" t="s">
        <v>2917</v>
      </c>
      <c r="I769" s="261"/>
      <c r="J769" s="261"/>
      <c r="K769" s="262"/>
    </row>
    <row r="770" spans="1:11" x14ac:dyDescent="0.2">
      <c r="A770" s="306" t="s">
        <v>24291</v>
      </c>
      <c r="B770" s="261" t="s">
        <v>21210</v>
      </c>
      <c r="C770" s="261" t="s">
        <v>19636</v>
      </c>
      <c r="D770" s="261" t="s">
        <v>21211</v>
      </c>
      <c r="E770" s="261">
        <v>241</v>
      </c>
      <c r="F770" s="261" t="s">
        <v>21404</v>
      </c>
      <c r="G770" s="261"/>
      <c r="H770" s="261"/>
      <c r="I770" s="261" t="s">
        <v>2837</v>
      </c>
      <c r="J770" s="261" t="s">
        <v>19599</v>
      </c>
      <c r="K770" s="262">
        <v>40</v>
      </c>
    </row>
    <row r="771" spans="1:11" x14ac:dyDescent="0.2">
      <c r="A771" s="306" t="s">
        <v>24291</v>
      </c>
      <c r="B771" s="261" t="s">
        <v>21210</v>
      </c>
      <c r="C771" s="261" t="s">
        <v>19636</v>
      </c>
      <c r="D771" s="261" t="s">
        <v>21211</v>
      </c>
      <c r="E771" s="261">
        <v>242</v>
      </c>
      <c r="F771" s="261" t="s">
        <v>21405</v>
      </c>
      <c r="G771" s="261"/>
      <c r="H771" s="261"/>
      <c r="I771" s="261" t="s">
        <v>2837</v>
      </c>
      <c r="J771" s="261" t="s">
        <v>19600</v>
      </c>
      <c r="K771" s="262">
        <v>40</v>
      </c>
    </row>
    <row r="772" spans="1:11" x14ac:dyDescent="0.2">
      <c r="A772" s="306" t="s">
        <v>24291</v>
      </c>
      <c r="B772" s="261" t="s">
        <v>21210</v>
      </c>
      <c r="C772" s="261" t="s">
        <v>19636</v>
      </c>
      <c r="D772" s="261" t="s">
        <v>21211</v>
      </c>
      <c r="E772" s="261">
        <v>243</v>
      </c>
      <c r="F772" s="261" t="s">
        <v>21406</v>
      </c>
      <c r="G772" s="261"/>
      <c r="H772" s="261"/>
      <c r="I772" s="261" t="s">
        <v>10772</v>
      </c>
      <c r="J772" s="261" t="s">
        <v>19618</v>
      </c>
      <c r="K772" s="262">
        <v>100</v>
      </c>
    </row>
    <row r="773" spans="1:11" x14ac:dyDescent="0.2">
      <c r="A773" s="306" t="s">
        <v>24291</v>
      </c>
      <c r="B773" s="261" t="s">
        <v>21210</v>
      </c>
      <c r="C773" s="261" t="s">
        <v>19636</v>
      </c>
      <c r="D773" s="261" t="s">
        <v>21211</v>
      </c>
      <c r="E773" s="261">
        <v>244</v>
      </c>
      <c r="F773" s="261" t="s">
        <v>21407</v>
      </c>
      <c r="G773" s="261"/>
      <c r="H773" s="261"/>
      <c r="I773" s="261" t="s">
        <v>2837</v>
      </c>
      <c r="J773" s="261" t="s">
        <v>19603</v>
      </c>
      <c r="K773" s="262">
        <v>40</v>
      </c>
    </row>
    <row r="774" spans="1:11" x14ac:dyDescent="0.2">
      <c r="A774" s="306" t="s">
        <v>24291</v>
      </c>
      <c r="B774" s="261" t="s">
        <v>21210</v>
      </c>
      <c r="C774" s="261" t="s">
        <v>19636</v>
      </c>
      <c r="D774" s="261" t="s">
        <v>21211</v>
      </c>
      <c r="E774" s="261">
        <v>245</v>
      </c>
      <c r="F774" s="261" t="s">
        <v>21408</v>
      </c>
      <c r="G774" s="261"/>
      <c r="H774" s="261"/>
      <c r="I774" s="261" t="s">
        <v>2837</v>
      </c>
      <c r="J774" s="261" t="s">
        <v>19601</v>
      </c>
      <c r="K774" s="262">
        <v>40</v>
      </c>
    </row>
    <row r="775" spans="1:11" x14ac:dyDescent="0.2">
      <c r="A775" s="306" t="s">
        <v>24291</v>
      </c>
      <c r="B775" s="261" t="s">
        <v>21210</v>
      </c>
      <c r="C775" s="261" t="s">
        <v>19636</v>
      </c>
      <c r="D775" s="261" t="s">
        <v>21211</v>
      </c>
      <c r="E775" s="261">
        <v>246</v>
      </c>
      <c r="F775" s="261" t="s">
        <v>21409</v>
      </c>
      <c r="G775" s="261"/>
      <c r="H775" s="261"/>
      <c r="I775" s="261" t="s">
        <v>10772</v>
      </c>
      <c r="J775" s="261" t="s">
        <v>17507</v>
      </c>
      <c r="K775" s="262">
        <v>300000</v>
      </c>
    </row>
    <row r="776" spans="1:11" x14ac:dyDescent="0.2">
      <c r="A776" s="306" t="s">
        <v>24291</v>
      </c>
      <c r="B776" s="261" t="s">
        <v>21210</v>
      </c>
      <c r="C776" s="261" t="s">
        <v>19636</v>
      </c>
      <c r="D776" s="261" t="s">
        <v>21211</v>
      </c>
      <c r="E776" s="261">
        <v>247</v>
      </c>
      <c r="F776" s="261" t="s">
        <v>21410</v>
      </c>
      <c r="G776" s="261"/>
      <c r="H776" s="261"/>
      <c r="I776" s="261" t="s">
        <v>2837</v>
      </c>
      <c r="J776" s="261" t="s">
        <v>19604</v>
      </c>
      <c r="K776" s="262">
        <v>40</v>
      </c>
    </row>
    <row r="777" spans="1:11" x14ac:dyDescent="0.2">
      <c r="A777" s="306" t="s">
        <v>24291</v>
      </c>
      <c r="B777" s="261" t="s">
        <v>21210</v>
      </c>
      <c r="C777" s="261" t="s">
        <v>19636</v>
      </c>
      <c r="D777" s="261" t="s">
        <v>21211</v>
      </c>
      <c r="E777" s="261">
        <v>248</v>
      </c>
      <c r="F777" s="261" t="s">
        <v>21411</v>
      </c>
      <c r="G777" s="261"/>
      <c r="H777" s="261"/>
      <c r="I777" s="261" t="s">
        <v>2837</v>
      </c>
      <c r="J777" s="261" t="s">
        <v>19602</v>
      </c>
      <c r="K777" s="262">
        <v>40</v>
      </c>
    </row>
    <row r="778" spans="1:11" x14ac:dyDescent="0.2">
      <c r="A778" s="306" t="s">
        <v>24291</v>
      </c>
      <c r="B778" s="261" t="s">
        <v>21210</v>
      </c>
      <c r="C778" s="261" t="s">
        <v>19636</v>
      </c>
      <c r="D778" s="261" t="s">
        <v>21211</v>
      </c>
      <c r="E778" s="261">
        <v>249</v>
      </c>
      <c r="F778" s="261" t="s">
        <v>21412</v>
      </c>
      <c r="G778" s="261"/>
      <c r="H778" s="261"/>
      <c r="I778" s="261" t="s">
        <v>10772</v>
      </c>
      <c r="J778" s="261" t="s">
        <v>10756</v>
      </c>
      <c r="K778" s="262">
        <v>1500000</v>
      </c>
    </row>
    <row r="779" spans="1:11" x14ac:dyDescent="0.2">
      <c r="A779" s="306" t="s">
        <v>24291</v>
      </c>
      <c r="B779" s="261" t="s">
        <v>21210</v>
      </c>
      <c r="C779" s="261" t="s">
        <v>19636</v>
      </c>
      <c r="D779" s="261" t="s">
        <v>21211</v>
      </c>
      <c r="E779" s="261">
        <v>250</v>
      </c>
      <c r="F779" s="261" t="s">
        <v>21413</v>
      </c>
      <c r="G779" s="261" t="s">
        <v>3029</v>
      </c>
      <c r="H779" s="261" t="s">
        <v>3030</v>
      </c>
      <c r="I779" s="261"/>
      <c r="J779" s="261"/>
      <c r="K779" s="262"/>
    </row>
    <row r="780" spans="1:11" x14ac:dyDescent="0.2">
      <c r="A780" s="306" t="s">
        <v>24291</v>
      </c>
      <c r="B780" s="261" t="s">
        <v>21210</v>
      </c>
      <c r="C780" s="261" t="s">
        <v>19636</v>
      </c>
      <c r="D780" s="261" t="s">
        <v>21211</v>
      </c>
      <c r="E780" s="261">
        <v>251</v>
      </c>
      <c r="F780" s="261" t="s">
        <v>21414</v>
      </c>
      <c r="G780" s="261"/>
      <c r="H780" s="261"/>
      <c r="I780" s="261" t="s">
        <v>2837</v>
      </c>
      <c r="J780" s="261" t="s">
        <v>19599</v>
      </c>
      <c r="K780" s="262">
        <v>50</v>
      </c>
    </row>
    <row r="781" spans="1:11" x14ac:dyDescent="0.2">
      <c r="A781" s="306" t="s">
        <v>24291</v>
      </c>
      <c r="B781" s="261" t="s">
        <v>21210</v>
      </c>
      <c r="C781" s="261" t="s">
        <v>19636</v>
      </c>
      <c r="D781" s="261" t="s">
        <v>21211</v>
      </c>
      <c r="E781" s="261">
        <v>252</v>
      </c>
      <c r="F781" s="261" t="s">
        <v>21415</v>
      </c>
      <c r="G781" s="261"/>
      <c r="H781" s="261"/>
      <c r="I781" s="261" t="s">
        <v>2837</v>
      </c>
      <c r="J781" s="261" t="s">
        <v>19600</v>
      </c>
      <c r="K781" s="262">
        <v>50</v>
      </c>
    </row>
    <row r="782" spans="1:11" x14ac:dyDescent="0.2">
      <c r="A782" s="306" t="s">
        <v>24291</v>
      </c>
      <c r="B782" s="261" t="s">
        <v>21210</v>
      </c>
      <c r="C782" s="261" t="s">
        <v>19636</v>
      </c>
      <c r="D782" s="261" t="s">
        <v>21211</v>
      </c>
      <c r="E782" s="261">
        <v>253</v>
      </c>
      <c r="F782" s="261" t="s">
        <v>21416</v>
      </c>
      <c r="G782" s="261"/>
      <c r="H782" s="261"/>
      <c r="I782" s="261" t="s">
        <v>2837</v>
      </c>
      <c r="J782" s="261" t="s">
        <v>19603</v>
      </c>
      <c r="K782" s="262">
        <v>50</v>
      </c>
    </row>
    <row r="783" spans="1:11" x14ac:dyDescent="0.2">
      <c r="A783" s="306" t="s">
        <v>24291</v>
      </c>
      <c r="B783" s="261" t="s">
        <v>21210</v>
      </c>
      <c r="C783" s="261" t="s">
        <v>19636</v>
      </c>
      <c r="D783" s="261" t="s">
        <v>21211</v>
      </c>
      <c r="E783" s="261">
        <v>254</v>
      </c>
      <c r="F783" s="261" t="s">
        <v>21417</v>
      </c>
      <c r="G783" s="261"/>
      <c r="H783" s="261"/>
      <c r="I783" s="261" t="s">
        <v>2837</v>
      </c>
      <c r="J783" s="261" t="s">
        <v>19601</v>
      </c>
      <c r="K783" s="262">
        <v>50</v>
      </c>
    </row>
    <row r="784" spans="1:11" x14ac:dyDescent="0.2">
      <c r="A784" s="306" t="s">
        <v>24291</v>
      </c>
      <c r="B784" s="261" t="s">
        <v>21210</v>
      </c>
      <c r="C784" s="261" t="s">
        <v>19636</v>
      </c>
      <c r="D784" s="261" t="s">
        <v>21211</v>
      </c>
      <c r="E784" s="261">
        <v>255</v>
      </c>
      <c r="F784" s="261" t="s">
        <v>21418</v>
      </c>
      <c r="G784" s="261"/>
      <c r="H784" s="261"/>
      <c r="I784" s="261" t="s">
        <v>2837</v>
      </c>
      <c r="J784" s="261" t="s">
        <v>19604</v>
      </c>
      <c r="K784" s="262">
        <v>50</v>
      </c>
    </row>
    <row r="785" spans="1:11" x14ac:dyDescent="0.2">
      <c r="A785" s="306" t="s">
        <v>24291</v>
      </c>
      <c r="B785" s="261" t="s">
        <v>21210</v>
      </c>
      <c r="C785" s="261" t="s">
        <v>19636</v>
      </c>
      <c r="D785" s="261" t="s">
        <v>21211</v>
      </c>
      <c r="E785" s="261">
        <v>256</v>
      </c>
      <c r="F785" s="261" t="s">
        <v>21419</v>
      </c>
      <c r="G785" s="261"/>
      <c r="H785" s="261"/>
      <c r="I785" s="261" t="s">
        <v>2837</v>
      </c>
      <c r="J785" s="261" t="s">
        <v>19602</v>
      </c>
      <c r="K785" s="262">
        <v>50</v>
      </c>
    </row>
    <row r="786" spans="1:11" x14ac:dyDescent="0.2">
      <c r="A786" s="306" t="s">
        <v>24291</v>
      </c>
      <c r="B786" s="261" t="s">
        <v>21210</v>
      </c>
      <c r="C786" s="261" t="s">
        <v>19636</v>
      </c>
      <c r="D786" s="261" t="s">
        <v>21211</v>
      </c>
      <c r="E786" s="261">
        <v>257</v>
      </c>
      <c r="F786" s="261" t="s">
        <v>21420</v>
      </c>
      <c r="G786" s="261" t="s">
        <v>3452</v>
      </c>
      <c r="H786" s="261" t="s">
        <v>3453</v>
      </c>
      <c r="I786" s="261"/>
      <c r="J786" s="261"/>
      <c r="K786" s="262"/>
    </row>
    <row r="787" spans="1:11" x14ac:dyDescent="0.2">
      <c r="A787" s="306" t="s">
        <v>24291</v>
      </c>
      <c r="B787" s="261" t="s">
        <v>21210</v>
      </c>
      <c r="C787" s="261" t="s">
        <v>19636</v>
      </c>
      <c r="D787" s="261" t="s">
        <v>21211</v>
      </c>
      <c r="E787" s="261">
        <v>258</v>
      </c>
      <c r="F787" s="261" t="s">
        <v>21421</v>
      </c>
      <c r="G787" s="261"/>
      <c r="H787" s="261"/>
      <c r="I787" s="261" t="s">
        <v>10772</v>
      </c>
      <c r="J787" s="261" t="s">
        <v>19618</v>
      </c>
      <c r="K787" s="262">
        <v>200</v>
      </c>
    </row>
    <row r="788" spans="1:11" x14ac:dyDescent="0.2">
      <c r="A788" s="306" t="s">
        <v>24291</v>
      </c>
      <c r="B788" s="261" t="s">
        <v>21210</v>
      </c>
      <c r="C788" s="261" t="s">
        <v>19636</v>
      </c>
      <c r="D788" s="261" t="s">
        <v>21211</v>
      </c>
      <c r="E788" s="261">
        <v>259</v>
      </c>
      <c r="F788" s="261" t="s">
        <v>21422</v>
      </c>
      <c r="G788" s="261"/>
      <c r="H788" s="261"/>
      <c r="I788" s="261" t="s">
        <v>10772</v>
      </c>
      <c r="J788" s="261" t="s">
        <v>17507</v>
      </c>
      <c r="K788" s="262">
        <v>500000</v>
      </c>
    </row>
    <row r="789" spans="1:11" x14ac:dyDescent="0.2">
      <c r="A789" s="306" t="s">
        <v>24291</v>
      </c>
      <c r="B789" s="261" t="s">
        <v>21210</v>
      </c>
      <c r="C789" s="261" t="s">
        <v>19636</v>
      </c>
      <c r="D789" s="261" t="s">
        <v>21211</v>
      </c>
      <c r="E789" s="261">
        <v>260</v>
      </c>
      <c r="F789" s="261" t="s">
        <v>24048</v>
      </c>
      <c r="G789" s="261"/>
      <c r="H789" s="261"/>
      <c r="I789" s="261" t="s">
        <v>10772</v>
      </c>
      <c r="J789" s="261" t="s">
        <v>10756</v>
      </c>
      <c r="K789" s="262">
        <v>2500000</v>
      </c>
    </row>
    <row r="790" spans="1:11" x14ac:dyDescent="0.2">
      <c r="A790" s="306" t="s">
        <v>24291</v>
      </c>
      <c r="B790" s="261" t="s">
        <v>21210</v>
      </c>
      <c r="C790" s="261" t="s">
        <v>19636</v>
      </c>
      <c r="D790" s="261" t="s">
        <v>21211</v>
      </c>
      <c r="E790" s="261">
        <v>261</v>
      </c>
      <c r="F790" s="261" t="s">
        <v>21423</v>
      </c>
      <c r="G790" s="261"/>
      <c r="H790" s="261"/>
      <c r="I790" s="261" t="s">
        <v>10772</v>
      </c>
      <c r="J790" s="261" t="s">
        <v>19618</v>
      </c>
      <c r="K790" s="262">
        <v>250</v>
      </c>
    </row>
    <row r="791" spans="1:11" x14ac:dyDescent="0.2">
      <c r="A791" s="306" t="s">
        <v>24291</v>
      </c>
      <c r="B791" s="261" t="s">
        <v>21210</v>
      </c>
      <c r="C791" s="261" t="s">
        <v>19636</v>
      </c>
      <c r="D791" s="261" t="s">
        <v>21211</v>
      </c>
      <c r="E791" s="261">
        <v>262</v>
      </c>
      <c r="F791" s="261" t="s">
        <v>24049</v>
      </c>
      <c r="G791" s="261"/>
      <c r="H791" s="261"/>
      <c r="I791" s="261" t="s">
        <v>10772</v>
      </c>
      <c r="J791" s="261" t="s">
        <v>17507</v>
      </c>
      <c r="K791" s="262">
        <v>700000</v>
      </c>
    </row>
    <row r="792" spans="1:11" x14ac:dyDescent="0.2">
      <c r="A792" s="306" t="s">
        <v>24291</v>
      </c>
      <c r="B792" s="261" t="s">
        <v>21210</v>
      </c>
      <c r="C792" s="261" t="s">
        <v>19636</v>
      </c>
      <c r="D792" s="261" t="s">
        <v>21211</v>
      </c>
      <c r="E792" s="261">
        <v>263</v>
      </c>
      <c r="F792" s="261" t="s">
        <v>24050</v>
      </c>
      <c r="G792" s="261"/>
      <c r="H792" s="261"/>
      <c r="I792" s="261" t="s">
        <v>10772</v>
      </c>
      <c r="J792" s="261" t="s">
        <v>10756</v>
      </c>
      <c r="K792" s="262">
        <v>3500000</v>
      </c>
    </row>
    <row r="793" spans="1:11" x14ac:dyDescent="0.2">
      <c r="A793" s="306" t="s">
        <v>24291</v>
      </c>
      <c r="B793" s="261" t="s">
        <v>21210</v>
      </c>
      <c r="C793" s="261" t="s">
        <v>19636</v>
      </c>
      <c r="D793" s="261" t="s">
        <v>21211</v>
      </c>
      <c r="E793" s="261">
        <v>264</v>
      </c>
      <c r="F793" s="261" t="s">
        <v>24051</v>
      </c>
      <c r="G793" s="261"/>
      <c r="H793" s="261"/>
      <c r="I793" s="261" t="s">
        <v>10772</v>
      </c>
      <c r="J793" s="261" t="s">
        <v>21232</v>
      </c>
      <c r="K793" s="262">
        <v>1</v>
      </c>
    </row>
    <row r="794" spans="1:11" x14ac:dyDescent="0.2">
      <c r="A794" s="306" t="s">
        <v>24291</v>
      </c>
      <c r="B794" s="261" t="s">
        <v>21210</v>
      </c>
      <c r="C794" s="261" t="s">
        <v>19636</v>
      </c>
      <c r="D794" s="261" t="s">
        <v>21211</v>
      </c>
      <c r="E794" s="261">
        <v>265</v>
      </c>
      <c r="F794" s="261" t="s">
        <v>24052</v>
      </c>
      <c r="G794" s="261"/>
      <c r="H794" s="261"/>
      <c r="I794" s="261" t="s">
        <v>10772</v>
      </c>
      <c r="J794" s="261" t="s">
        <v>21232</v>
      </c>
      <c r="K794" s="262">
        <v>1</v>
      </c>
    </row>
    <row r="795" spans="1:11" x14ac:dyDescent="0.2">
      <c r="A795" s="306" t="s">
        <v>24291</v>
      </c>
      <c r="B795" s="261" t="s">
        <v>21210</v>
      </c>
      <c r="C795" s="261" t="s">
        <v>19636</v>
      </c>
      <c r="D795" s="261" t="s">
        <v>21211</v>
      </c>
      <c r="E795" s="261">
        <v>266</v>
      </c>
      <c r="F795" s="261" t="s">
        <v>24053</v>
      </c>
      <c r="G795" s="261"/>
      <c r="H795" s="261"/>
      <c r="I795" s="261" t="s">
        <v>10772</v>
      </c>
      <c r="J795" s="261" t="s">
        <v>21232</v>
      </c>
      <c r="K795" s="262">
        <v>1</v>
      </c>
    </row>
    <row r="796" spans="1:11" x14ac:dyDescent="0.2">
      <c r="A796" s="306" t="s">
        <v>24291</v>
      </c>
      <c r="B796" s="261" t="s">
        <v>21210</v>
      </c>
      <c r="C796" s="261" t="s">
        <v>19636</v>
      </c>
      <c r="D796" s="261" t="s">
        <v>21211</v>
      </c>
      <c r="E796" s="261">
        <v>267</v>
      </c>
      <c r="F796" s="261" t="s">
        <v>21424</v>
      </c>
      <c r="G796" s="261"/>
      <c r="H796" s="261"/>
      <c r="I796" s="261" t="s">
        <v>10772</v>
      </c>
      <c r="J796" s="261" t="s">
        <v>21232</v>
      </c>
      <c r="K796" s="262">
        <v>1</v>
      </c>
    </row>
    <row r="797" spans="1:11" x14ac:dyDescent="0.2">
      <c r="A797" s="306" t="s">
        <v>24291</v>
      </c>
      <c r="B797" s="261" t="s">
        <v>21210</v>
      </c>
      <c r="C797" s="261" t="s">
        <v>19636</v>
      </c>
      <c r="D797" s="261" t="s">
        <v>21211</v>
      </c>
      <c r="E797" s="261">
        <v>268</v>
      </c>
      <c r="F797" s="261" t="s">
        <v>21425</v>
      </c>
      <c r="G797" s="261"/>
      <c r="H797" s="261"/>
      <c r="I797" s="261" t="s">
        <v>10772</v>
      </c>
      <c r="J797" s="261" t="s">
        <v>21232</v>
      </c>
      <c r="K797" s="262">
        <v>1</v>
      </c>
    </row>
    <row r="798" spans="1:11" x14ac:dyDescent="0.2">
      <c r="A798" s="306" t="s">
        <v>24291</v>
      </c>
      <c r="B798" s="261" t="s">
        <v>21210</v>
      </c>
      <c r="C798" s="261" t="s">
        <v>19636</v>
      </c>
      <c r="D798" s="261" t="s">
        <v>21211</v>
      </c>
      <c r="E798" s="261">
        <v>269</v>
      </c>
      <c r="F798" s="261" t="s">
        <v>24054</v>
      </c>
      <c r="G798" s="261"/>
      <c r="H798" s="261"/>
      <c r="I798" s="261" t="s">
        <v>10772</v>
      </c>
      <c r="J798" s="261" t="s">
        <v>21232</v>
      </c>
      <c r="K798" s="262">
        <v>1</v>
      </c>
    </row>
    <row r="799" spans="1:11" x14ac:dyDescent="0.2">
      <c r="A799" s="306" t="s">
        <v>24291</v>
      </c>
      <c r="B799" s="261" t="s">
        <v>21210</v>
      </c>
      <c r="C799" s="261" t="s">
        <v>19636</v>
      </c>
      <c r="D799" s="261" t="s">
        <v>21211</v>
      </c>
      <c r="E799" s="261">
        <v>270</v>
      </c>
      <c r="F799" s="261" t="s">
        <v>21426</v>
      </c>
      <c r="G799" s="261"/>
      <c r="H799" s="261"/>
      <c r="I799" s="261" t="s">
        <v>10772</v>
      </c>
      <c r="J799" s="261" t="s">
        <v>21232</v>
      </c>
      <c r="K799" s="262">
        <v>1</v>
      </c>
    </row>
    <row r="800" spans="1:11" x14ac:dyDescent="0.2">
      <c r="A800" s="306" t="s">
        <v>24291</v>
      </c>
      <c r="B800" s="261" t="s">
        <v>21210</v>
      </c>
      <c r="C800" s="261" t="s">
        <v>19636</v>
      </c>
      <c r="D800" s="261" t="s">
        <v>21211</v>
      </c>
      <c r="E800" s="261">
        <v>271</v>
      </c>
      <c r="F800" s="261" t="s">
        <v>24055</v>
      </c>
      <c r="G800" s="261"/>
      <c r="H800" s="261"/>
      <c r="I800" s="261" t="s">
        <v>10772</v>
      </c>
      <c r="J800" s="261" t="s">
        <v>21232</v>
      </c>
      <c r="K800" s="262">
        <v>1</v>
      </c>
    </row>
    <row r="801" spans="1:11" x14ac:dyDescent="0.2">
      <c r="A801" s="306" t="s">
        <v>24291</v>
      </c>
      <c r="B801" s="261" t="s">
        <v>21210</v>
      </c>
      <c r="C801" s="261" t="s">
        <v>19636</v>
      </c>
      <c r="D801" s="261" t="s">
        <v>21211</v>
      </c>
      <c r="E801" s="261">
        <v>272</v>
      </c>
      <c r="F801" s="261" t="s">
        <v>21427</v>
      </c>
      <c r="G801" s="261"/>
      <c r="H801" s="261"/>
      <c r="I801" s="261" t="s">
        <v>10772</v>
      </c>
      <c r="J801" s="261" t="s">
        <v>21232</v>
      </c>
      <c r="K801" s="262">
        <v>1</v>
      </c>
    </row>
    <row r="802" spans="1:11" x14ac:dyDescent="0.2">
      <c r="A802" s="306" t="s">
        <v>24291</v>
      </c>
      <c r="B802" s="261" t="s">
        <v>21210</v>
      </c>
      <c r="C802" s="261" t="s">
        <v>19636</v>
      </c>
      <c r="D802" s="261" t="s">
        <v>21211</v>
      </c>
      <c r="E802" s="261">
        <v>273</v>
      </c>
      <c r="F802" s="261" t="s">
        <v>21428</v>
      </c>
      <c r="G802" s="261"/>
      <c r="H802" s="261"/>
      <c r="I802" s="261" t="s">
        <v>10772</v>
      </c>
      <c r="J802" s="261" t="s">
        <v>21232</v>
      </c>
      <c r="K802" s="262">
        <v>1</v>
      </c>
    </row>
    <row r="803" spans="1:11" x14ac:dyDescent="0.2">
      <c r="A803" s="306" t="s">
        <v>24291</v>
      </c>
      <c r="B803" s="261" t="s">
        <v>21210</v>
      </c>
      <c r="C803" s="261" t="s">
        <v>19636</v>
      </c>
      <c r="D803" s="261" t="s">
        <v>21211</v>
      </c>
      <c r="E803" s="261">
        <v>274</v>
      </c>
      <c r="F803" s="261" t="s">
        <v>24056</v>
      </c>
      <c r="G803" s="261"/>
      <c r="H803" s="261"/>
      <c r="I803" s="261" t="s">
        <v>10772</v>
      </c>
      <c r="J803" s="261" t="s">
        <v>21232</v>
      </c>
      <c r="K803" s="262">
        <v>1</v>
      </c>
    </row>
    <row r="804" spans="1:11" x14ac:dyDescent="0.2">
      <c r="A804" s="306" t="s">
        <v>24291</v>
      </c>
      <c r="B804" s="261" t="s">
        <v>21210</v>
      </c>
      <c r="C804" s="261" t="s">
        <v>19636</v>
      </c>
      <c r="D804" s="261" t="s">
        <v>21211</v>
      </c>
      <c r="E804" s="261">
        <v>275</v>
      </c>
      <c r="F804" s="261" t="s">
        <v>21429</v>
      </c>
      <c r="G804" s="261"/>
      <c r="H804" s="261"/>
      <c r="I804" s="261" t="s">
        <v>10772</v>
      </c>
      <c r="J804" s="261" t="s">
        <v>21232</v>
      </c>
      <c r="K804" s="262">
        <v>1</v>
      </c>
    </row>
    <row r="805" spans="1:11" x14ac:dyDescent="0.2">
      <c r="A805" s="306" t="s">
        <v>24291</v>
      </c>
      <c r="B805" s="261" t="s">
        <v>21210</v>
      </c>
      <c r="C805" s="261" t="s">
        <v>19636</v>
      </c>
      <c r="D805" s="261" t="s">
        <v>21211</v>
      </c>
      <c r="E805" s="261">
        <v>276</v>
      </c>
      <c r="F805" s="261" t="s">
        <v>24057</v>
      </c>
      <c r="G805" s="261"/>
      <c r="H805" s="261"/>
      <c r="I805" s="261" t="s">
        <v>10772</v>
      </c>
      <c r="J805" s="261" t="s">
        <v>21232</v>
      </c>
      <c r="K805" s="262">
        <v>1</v>
      </c>
    </row>
    <row r="806" spans="1:11" x14ac:dyDescent="0.2">
      <c r="A806" s="306" t="s">
        <v>24291</v>
      </c>
      <c r="B806" s="261" t="s">
        <v>21210</v>
      </c>
      <c r="C806" s="261" t="s">
        <v>19636</v>
      </c>
      <c r="D806" s="261" t="s">
        <v>21211</v>
      </c>
      <c r="E806" s="261">
        <v>277</v>
      </c>
      <c r="F806" s="261" t="s">
        <v>21430</v>
      </c>
      <c r="G806" s="261"/>
      <c r="H806" s="261"/>
      <c r="I806" s="261" t="s">
        <v>10772</v>
      </c>
      <c r="J806" s="261" t="s">
        <v>21232</v>
      </c>
      <c r="K806" s="262">
        <v>1</v>
      </c>
    </row>
    <row r="807" spans="1:11" x14ac:dyDescent="0.2">
      <c r="A807" s="306" t="s">
        <v>24291</v>
      </c>
      <c r="B807" s="261" t="s">
        <v>21210</v>
      </c>
      <c r="C807" s="261" t="s">
        <v>19636</v>
      </c>
      <c r="D807" s="261" t="s">
        <v>21211</v>
      </c>
      <c r="E807" s="261">
        <v>278</v>
      </c>
      <c r="F807" s="261" t="s">
        <v>21431</v>
      </c>
      <c r="G807" s="261"/>
      <c r="H807" s="261"/>
      <c r="I807" s="261" t="s">
        <v>10772</v>
      </c>
      <c r="J807" s="261" t="s">
        <v>21232</v>
      </c>
      <c r="K807" s="262">
        <v>1</v>
      </c>
    </row>
    <row r="808" spans="1:11" x14ac:dyDescent="0.2">
      <c r="A808" s="306" t="s">
        <v>24291</v>
      </c>
      <c r="B808" s="261" t="s">
        <v>21210</v>
      </c>
      <c r="C808" s="261" t="s">
        <v>19636</v>
      </c>
      <c r="D808" s="261" t="s">
        <v>21211</v>
      </c>
      <c r="E808" s="261">
        <v>279</v>
      </c>
      <c r="F808" s="261" t="s">
        <v>24058</v>
      </c>
      <c r="G808" s="261"/>
      <c r="H808" s="261"/>
      <c r="I808" s="261" t="s">
        <v>10772</v>
      </c>
      <c r="J808" s="261" t="s">
        <v>21232</v>
      </c>
      <c r="K808" s="262">
        <v>1</v>
      </c>
    </row>
    <row r="809" spans="1:11" x14ac:dyDescent="0.2">
      <c r="A809" s="306" t="s">
        <v>24291</v>
      </c>
      <c r="B809" s="261" t="s">
        <v>21210</v>
      </c>
      <c r="C809" s="261" t="s">
        <v>19636</v>
      </c>
      <c r="D809" s="261" t="s">
        <v>21211</v>
      </c>
      <c r="E809" s="261">
        <v>280</v>
      </c>
      <c r="F809" s="261" t="s">
        <v>21432</v>
      </c>
      <c r="G809" s="261"/>
      <c r="H809" s="261"/>
      <c r="I809" s="261" t="s">
        <v>10772</v>
      </c>
      <c r="J809" s="261" t="s">
        <v>21232</v>
      </c>
      <c r="K809" s="262">
        <v>1</v>
      </c>
    </row>
    <row r="810" spans="1:11" x14ac:dyDescent="0.2">
      <c r="A810" s="306" t="s">
        <v>24291</v>
      </c>
      <c r="B810" s="261" t="s">
        <v>21210</v>
      </c>
      <c r="C810" s="261" t="s">
        <v>19636</v>
      </c>
      <c r="D810" s="261" t="s">
        <v>21211</v>
      </c>
      <c r="E810" s="261">
        <v>281</v>
      </c>
      <c r="F810" s="261" t="s">
        <v>24059</v>
      </c>
      <c r="G810" s="261"/>
      <c r="H810" s="261"/>
      <c r="I810" s="261" t="s">
        <v>10772</v>
      </c>
      <c r="J810" s="261" t="s">
        <v>21232</v>
      </c>
      <c r="K810" s="262">
        <v>1</v>
      </c>
    </row>
    <row r="811" spans="1:11" x14ac:dyDescent="0.2">
      <c r="A811" s="306" t="s">
        <v>24291</v>
      </c>
      <c r="B811" s="261" t="s">
        <v>21210</v>
      </c>
      <c r="C811" s="261" t="s">
        <v>19636</v>
      </c>
      <c r="D811" s="261" t="s">
        <v>21211</v>
      </c>
      <c r="E811" s="261">
        <v>282</v>
      </c>
      <c r="F811" s="261" t="s">
        <v>21433</v>
      </c>
      <c r="G811" s="261"/>
      <c r="H811" s="261"/>
      <c r="I811" s="261" t="s">
        <v>3779</v>
      </c>
      <c r="J811" s="261" t="s">
        <v>19599</v>
      </c>
      <c r="K811" s="262">
        <v>20</v>
      </c>
    </row>
    <row r="812" spans="1:11" x14ac:dyDescent="0.2">
      <c r="A812" s="306" t="s">
        <v>24291</v>
      </c>
      <c r="B812" s="261" t="s">
        <v>21210</v>
      </c>
      <c r="C812" s="261" t="s">
        <v>19636</v>
      </c>
      <c r="D812" s="261" t="s">
        <v>21211</v>
      </c>
      <c r="E812" s="261">
        <v>283</v>
      </c>
      <c r="F812" s="261" t="s">
        <v>21434</v>
      </c>
      <c r="G812" s="261"/>
      <c r="H812" s="261"/>
      <c r="I812" s="261" t="s">
        <v>3779</v>
      </c>
      <c r="J812" s="261" t="s">
        <v>19600</v>
      </c>
      <c r="K812" s="262">
        <v>20</v>
      </c>
    </row>
    <row r="813" spans="1:11" x14ac:dyDescent="0.2">
      <c r="A813" s="306" t="s">
        <v>24291</v>
      </c>
      <c r="B813" s="261" t="s">
        <v>21210</v>
      </c>
      <c r="C813" s="261" t="s">
        <v>19636</v>
      </c>
      <c r="D813" s="261" t="s">
        <v>21211</v>
      </c>
      <c r="E813" s="261">
        <v>284</v>
      </c>
      <c r="F813" s="261" t="s">
        <v>21435</v>
      </c>
      <c r="G813" s="261"/>
      <c r="H813" s="261"/>
      <c r="I813" s="261" t="s">
        <v>10772</v>
      </c>
      <c r="J813" s="261" t="s">
        <v>19618</v>
      </c>
      <c r="K813" s="262">
        <v>30</v>
      </c>
    </row>
    <row r="814" spans="1:11" x14ac:dyDescent="0.2">
      <c r="A814" s="306" t="s">
        <v>24291</v>
      </c>
      <c r="B814" s="261" t="s">
        <v>21210</v>
      </c>
      <c r="C814" s="261" t="s">
        <v>19636</v>
      </c>
      <c r="D814" s="261" t="s">
        <v>21211</v>
      </c>
      <c r="E814" s="261">
        <v>285</v>
      </c>
      <c r="F814" s="261" t="s">
        <v>21436</v>
      </c>
      <c r="G814" s="261"/>
      <c r="H814" s="261"/>
      <c r="I814" s="261" t="s">
        <v>3779</v>
      </c>
      <c r="J814" s="261" t="s">
        <v>19603</v>
      </c>
      <c r="K814" s="262">
        <v>20</v>
      </c>
    </row>
    <row r="815" spans="1:11" x14ac:dyDescent="0.2">
      <c r="A815" s="306" t="s">
        <v>24291</v>
      </c>
      <c r="B815" s="261" t="s">
        <v>21210</v>
      </c>
      <c r="C815" s="261" t="s">
        <v>19636</v>
      </c>
      <c r="D815" s="261" t="s">
        <v>21211</v>
      </c>
      <c r="E815" s="261">
        <v>286</v>
      </c>
      <c r="F815" s="261" t="s">
        <v>21437</v>
      </c>
      <c r="G815" s="261"/>
      <c r="H815" s="261"/>
      <c r="I815" s="261" t="s">
        <v>3779</v>
      </c>
      <c r="J815" s="261" t="s">
        <v>19601</v>
      </c>
      <c r="K815" s="262">
        <v>20</v>
      </c>
    </row>
    <row r="816" spans="1:11" x14ac:dyDescent="0.2">
      <c r="A816" s="306" t="s">
        <v>24291</v>
      </c>
      <c r="B816" s="261" t="s">
        <v>21210</v>
      </c>
      <c r="C816" s="261" t="s">
        <v>19636</v>
      </c>
      <c r="D816" s="261" t="s">
        <v>21211</v>
      </c>
      <c r="E816" s="261">
        <v>287</v>
      </c>
      <c r="F816" s="261" t="s">
        <v>21438</v>
      </c>
      <c r="G816" s="261"/>
      <c r="H816" s="261"/>
      <c r="I816" s="261" t="s">
        <v>10772</v>
      </c>
      <c r="J816" s="261" t="s">
        <v>17507</v>
      </c>
      <c r="K816" s="262">
        <v>100000</v>
      </c>
    </row>
    <row r="817" spans="1:11" x14ac:dyDescent="0.2">
      <c r="A817" s="306" t="s">
        <v>24291</v>
      </c>
      <c r="B817" s="261" t="s">
        <v>21210</v>
      </c>
      <c r="C817" s="261" t="s">
        <v>19636</v>
      </c>
      <c r="D817" s="261" t="s">
        <v>21211</v>
      </c>
      <c r="E817" s="261">
        <v>288</v>
      </c>
      <c r="F817" s="261" t="s">
        <v>21439</v>
      </c>
      <c r="G817" s="261"/>
      <c r="H817" s="261"/>
      <c r="I817" s="261" t="s">
        <v>3779</v>
      </c>
      <c r="J817" s="261" t="s">
        <v>19604</v>
      </c>
      <c r="K817" s="262">
        <v>20</v>
      </c>
    </row>
    <row r="818" spans="1:11" x14ac:dyDescent="0.2">
      <c r="A818" s="306" t="s">
        <v>24291</v>
      </c>
      <c r="B818" s="261" t="s">
        <v>21210</v>
      </c>
      <c r="C818" s="261" t="s">
        <v>19636</v>
      </c>
      <c r="D818" s="261" t="s">
        <v>21211</v>
      </c>
      <c r="E818" s="261">
        <v>289</v>
      </c>
      <c r="F818" s="261" t="s">
        <v>21440</v>
      </c>
      <c r="G818" s="261"/>
      <c r="H818" s="261"/>
      <c r="I818" s="261" t="s">
        <v>3779</v>
      </c>
      <c r="J818" s="261" t="s">
        <v>19602</v>
      </c>
      <c r="K818" s="262">
        <v>20</v>
      </c>
    </row>
    <row r="819" spans="1:11" x14ac:dyDescent="0.2">
      <c r="A819" s="306" t="s">
        <v>24291</v>
      </c>
      <c r="B819" s="261" t="s">
        <v>21210</v>
      </c>
      <c r="C819" s="261" t="s">
        <v>19636</v>
      </c>
      <c r="D819" s="261" t="s">
        <v>21211</v>
      </c>
      <c r="E819" s="261">
        <v>290</v>
      </c>
      <c r="F819" s="261" t="s">
        <v>21441</v>
      </c>
      <c r="G819" s="261"/>
      <c r="H819" s="261"/>
      <c r="I819" s="261" t="s">
        <v>10772</v>
      </c>
      <c r="J819" s="261" t="s">
        <v>10756</v>
      </c>
      <c r="K819" s="262">
        <v>500000</v>
      </c>
    </row>
    <row r="820" spans="1:11" x14ac:dyDescent="0.2">
      <c r="A820" s="306" t="s">
        <v>24291</v>
      </c>
      <c r="B820" s="261" t="s">
        <v>21210</v>
      </c>
      <c r="C820" s="261" t="s">
        <v>19636</v>
      </c>
      <c r="D820" s="261" t="s">
        <v>21211</v>
      </c>
      <c r="E820" s="261">
        <v>291</v>
      </c>
      <c r="F820" s="261" t="s">
        <v>21442</v>
      </c>
      <c r="G820" s="261" t="s">
        <v>4229</v>
      </c>
      <c r="H820" s="261" t="s">
        <v>4230</v>
      </c>
      <c r="I820" s="261"/>
      <c r="J820" s="261"/>
      <c r="K820" s="262"/>
    </row>
    <row r="821" spans="1:11" x14ac:dyDescent="0.2">
      <c r="A821" s="306" t="s">
        <v>24291</v>
      </c>
      <c r="B821" s="261" t="s">
        <v>21210</v>
      </c>
      <c r="C821" s="261" t="s">
        <v>19636</v>
      </c>
      <c r="D821" s="261" t="s">
        <v>21211</v>
      </c>
      <c r="E821" s="261">
        <v>292</v>
      </c>
      <c r="F821" s="261" t="s">
        <v>21443</v>
      </c>
      <c r="G821" s="261"/>
      <c r="H821" s="261"/>
      <c r="I821" s="261" t="s">
        <v>3779</v>
      </c>
      <c r="J821" s="261" t="s">
        <v>19599</v>
      </c>
      <c r="K821" s="262">
        <v>30</v>
      </c>
    </row>
    <row r="822" spans="1:11" x14ac:dyDescent="0.2">
      <c r="A822" s="306" t="s">
        <v>24291</v>
      </c>
      <c r="B822" s="261" t="s">
        <v>21210</v>
      </c>
      <c r="C822" s="261" t="s">
        <v>19636</v>
      </c>
      <c r="D822" s="261" t="s">
        <v>21211</v>
      </c>
      <c r="E822" s="261">
        <v>293</v>
      </c>
      <c r="F822" s="261" t="s">
        <v>21444</v>
      </c>
      <c r="G822" s="261"/>
      <c r="H822" s="261"/>
      <c r="I822" s="261" t="s">
        <v>3779</v>
      </c>
      <c r="J822" s="261" t="s">
        <v>19600</v>
      </c>
      <c r="K822" s="262">
        <v>30</v>
      </c>
    </row>
    <row r="823" spans="1:11" x14ac:dyDescent="0.2">
      <c r="A823" s="306" t="s">
        <v>24291</v>
      </c>
      <c r="B823" s="261" t="s">
        <v>21210</v>
      </c>
      <c r="C823" s="261" t="s">
        <v>19636</v>
      </c>
      <c r="D823" s="261" t="s">
        <v>21211</v>
      </c>
      <c r="E823" s="261">
        <v>294</v>
      </c>
      <c r="F823" s="261" t="s">
        <v>21445</v>
      </c>
      <c r="G823" s="261"/>
      <c r="H823" s="261"/>
      <c r="I823" s="261" t="s">
        <v>10772</v>
      </c>
      <c r="J823" s="261" t="s">
        <v>19618</v>
      </c>
      <c r="K823" s="262">
        <v>50</v>
      </c>
    </row>
    <row r="824" spans="1:11" x14ac:dyDescent="0.2">
      <c r="A824" s="306" t="s">
        <v>24291</v>
      </c>
      <c r="B824" s="261" t="s">
        <v>21210</v>
      </c>
      <c r="C824" s="261" t="s">
        <v>19636</v>
      </c>
      <c r="D824" s="261" t="s">
        <v>21211</v>
      </c>
      <c r="E824" s="261">
        <v>295</v>
      </c>
      <c r="F824" s="261" t="s">
        <v>21446</v>
      </c>
      <c r="G824" s="261"/>
      <c r="H824" s="261"/>
      <c r="I824" s="261" t="s">
        <v>3779</v>
      </c>
      <c r="J824" s="261" t="s">
        <v>19603</v>
      </c>
      <c r="K824" s="262">
        <v>30</v>
      </c>
    </row>
    <row r="825" spans="1:11" x14ac:dyDescent="0.2">
      <c r="A825" s="306" t="s">
        <v>24291</v>
      </c>
      <c r="B825" s="261" t="s">
        <v>21210</v>
      </c>
      <c r="C825" s="261" t="s">
        <v>19636</v>
      </c>
      <c r="D825" s="261" t="s">
        <v>21211</v>
      </c>
      <c r="E825" s="261">
        <v>296</v>
      </c>
      <c r="F825" s="261" t="s">
        <v>21447</v>
      </c>
      <c r="G825" s="261"/>
      <c r="H825" s="261"/>
      <c r="I825" s="261" t="s">
        <v>3779</v>
      </c>
      <c r="J825" s="261" t="s">
        <v>19601</v>
      </c>
      <c r="K825" s="262">
        <v>30</v>
      </c>
    </row>
    <row r="826" spans="1:11" x14ac:dyDescent="0.2">
      <c r="A826" s="306" t="s">
        <v>24291</v>
      </c>
      <c r="B826" s="261" t="s">
        <v>21210</v>
      </c>
      <c r="C826" s="261" t="s">
        <v>19636</v>
      </c>
      <c r="D826" s="261" t="s">
        <v>21211</v>
      </c>
      <c r="E826" s="261">
        <v>297</v>
      </c>
      <c r="F826" s="261" t="s">
        <v>21448</v>
      </c>
      <c r="G826" s="261"/>
      <c r="H826" s="261"/>
      <c r="I826" s="261" t="s">
        <v>10772</v>
      </c>
      <c r="J826" s="261" t="s">
        <v>17507</v>
      </c>
      <c r="K826" s="262">
        <v>200000</v>
      </c>
    </row>
    <row r="827" spans="1:11" x14ac:dyDescent="0.2">
      <c r="A827" s="306" t="s">
        <v>24291</v>
      </c>
      <c r="B827" s="261" t="s">
        <v>21210</v>
      </c>
      <c r="C827" s="261" t="s">
        <v>19636</v>
      </c>
      <c r="D827" s="261" t="s">
        <v>21211</v>
      </c>
      <c r="E827" s="261">
        <v>298</v>
      </c>
      <c r="F827" s="261" t="s">
        <v>21449</v>
      </c>
      <c r="G827" s="261"/>
      <c r="H827" s="261"/>
      <c r="I827" s="261" t="s">
        <v>3779</v>
      </c>
      <c r="J827" s="261" t="s">
        <v>19604</v>
      </c>
      <c r="K827" s="262">
        <v>30</v>
      </c>
    </row>
    <row r="828" spans="1:11" x14ac:dyDescent="0.2">
      <c r="A828" s="306" t="s">
        <v>24291</v>
      </c>
      <c r="B828" s="261" t="s">
        <v>21210</v>
      </c>
      <c r="C828" s="261" t="s">
        <v>19636</v>
      </c>
      <c r="D828" s="261" t="s">
        <v>21211</v>
      </c>
      <c r="E828" s="261">
        <v>299</v>
      </c>
      <c r="F828" s="261" t="s">
        <v>21450</v>
      </c>
      <c r="G828" s="261"/>
      <c r="H828" s="261"/>
      <c r="I828" s="261" t="s">
        <v>3779</v>
      </c>
      <c r="J828" s="261" t="s">
        <v>19602</v>
      </c>
      <c r="K828" s="262">
        <v>30</v>
      </c>
    </row>
    <row r="829" spans="1:11" x14ac:dyDescent="0.2">
      <c r="A829" s="306" t="s">
        <v>24291</v>
      </c>
      <c r="B829" s="261" t="s">
        <v>21210</v>
      </c>
      <c r="C829" s="261" t="s">
        <v>19636</v>
      </c>
      <c r="D829" s="261" t="s">
        <v>21211</v>
      </c>
      <c r="E829" s="261">
        <v>300</v>
      </c>
      <c r="F829" s="261" t="s">
        <v>21451</v>
      </c>
      <c r="G829" s="261"/>
      <c r="H829" s="261"/>
      <c r="I829" s="261" t="s">
        <v>10772</v>
      </c>
      <c r="J829" s="261" t="s">
        <v>10756</v>
      </c>
      <c r="K829" s="262">
        <v>1000000</v>
      </c>
    </row>
    <row r="830" spans="1:11" x14ac:dyDescent="0.2">
      <c r="A830" s="306" t="s">
        <v>24291</v>
      </c>
      <c r="B830" s="261" t="s">
        <v>21210</v>
      </c>
      <c r="C830" s="261" t="s">
        <v>19636</v>
      </c>
      <c r="D830" s="261" t="s">
        <v>21211</v>
      </c>
      <c r="E830" s="261">
        <v>301</v>
      </c>
      <c r="F830" s="261" t="s">
        <v>21452</v>
      </c>
      <c r="G830" s="261" t="s">
        <v>3847</v>
      </c>
      <c r="H830" s="261" t="s">
        <v>3848</v>
      </c>
      <c r="I830" s="261"/>
      <c r="J830" s="261"/>
      <c r="K830" s="262"/>
    </row>
    <row r="831" spans="1:11" x14ac:dyDescent="0.2">
      <c r="A831" s="306" t="s">
        <v>24291</v>
      </c>
      <c r="B831" s="261" t="s">
        <v>21210</v>
      </c>
      <c r="C831" s="261" t="s">
        <v>19636</v>
      </c>
      <c r="D831" s="261" t="s">
        <v>21211</v>
      </c>
      <c r="E831" s="261">
        <v>302</v>
      </c>
      <c r="F831" s="261" t="s">
        <v>21453</v>
      </c>
      <c r="G831" s="261"/>
      <c r="H831" s="261"/>
      <c r="I831" s="261" t="s">
        <v>3779</v>
      </c>
      <c r="J831" s="261" t="s">
        <v>19599</v>
      </c>
      <c r="K831" s="262">
        <v>40</v>
      </c>
    </row>
    <row r="832" spans="1:11" x14ac:dyDescent="0.2">
      <c r="A832" s="306" t="s">
        <v>24291</v>
      </c>
      <c r="B832" s="261" t="s">
        <v>21210</v>
      </c>
      <c r="C832" s="261" t="s">
        <v>19636</v>
      </c>
      <c r="D832" s="261" t="s">
        <v>21211</v>
      </c>
      <c r="E832" s="261">
        <v>303</v>
      </c>
      <c r="F832" s="261" t="s">
        <v>21454</v>
      </c>
      <c r="G832" s="261"/>
      <c r="H832" s="261"/>
      <c r="I832" s="261" t="s">
        <v>3779</v>
      </c>
      <c r="J832" s="261" t="s">
        <v>19600</v>
      </c>
      <c r="K832" s="262">
        <v>40</v>
      </c>
    </row>
    <row r="833" spans="1:11" x14ac:dyDescent="0.2">
      <c r="A833" s="306" t="s">
        <v>24291</v>
      </c>
      <c r="B833" s="261" t="s">
        <v>21210</v>
      </c>
      <c r="C833" s="261" t="s">
        <v>19636</v>
      </c>
      <c r="D833" s="261" t="s">
        <v>21211</v>
      </c>
      <c r="E833" s="261">
        <v>304</v>
      </c>
      <c r="F833" s="261" t="s">
        <v>21455</v>
      </c>
      <c r="G833" s="261"/>
      <c r="H833" s="261"/>
      <c r="I833" s="261" t="s">
        <v>10772</v>
      </c>
      <c r="J833" s="261" t="s">
        <v>19618</v>
      </c>
      <c r="K833" s="262">
        <v>100</v>
      </c>
    </row>
    <row r="834" spans="1:11" x14ac:dyDescent="0.2">
      <c r="A834" s="306" t="s">
        <v>24291</v>
      </c>
      <c r="B834" s="261" t="s">
        <v>21210</v>
      </c>
      <c r="C834" s="261" t="s">
        <v>19636</v>
      </c>
      <c r="D834" s="261" t="s">
        <v>21211</v>
      </c>
      <c r="E834" s="261">
        <v>305</v>
      </c>
      <c r="F834" s="261" t="s">
        <v>21456</v>
      </c>
      <c r="G834" s="261"/>
      <c r="H834" s="261"/>
      <c r="I834" s="261" t="s">
        <v>3779</v>
      </c>
      <c r="J834" s="261" t="s">
        <v>19603</v>
      </c>
      <c r="K834" s="262">
        <v>40</v>
      </c>
    </row>
    <row r="835" spans="1:11" x14ac:dyDescent="0.2">
      <c r="A835" s="306" t="s">
        <v>24291</v>
      </c>
      <c r="B835" s="261" t="s">
        <v>21210</v>
      </c>
      <c r="C835" s="261" t="s">
        <v>19636</v>
      </c>
      <c r="D835" s="261" t="s">
        <v>21211</v>
      </c>
      <c r="E835" s="261">
        <v>306</v>
      </c>
      <c r="F835" s="261" t="s">
        <v>21457</v>
      </c>
      <c r="G835" s="261"/>
      <c r="H835" s="261"/>
      <c r="I835" s="261" t="s">
        <v>3779</v>
      </c>
      <c r="J835" s="261" t="s">
        <v>19601</v>
      </c>
      <c r="K835" s="262">
        <v>40</v>
      </c>
    </row>
    <row r="836" spans="1:11" x14ac:dyDescent="0.2">
      <c r="A836" s="306" t="s">
        <v>24291</v>
      </c>
      <c r="B836" s="261" t="s">
        <v>21210</v>
      </c>
      <c r="C836" s="261" t="s">
        <v>19636</v>
      </c>
      <c r="D836" s="261" t="s">
        <v>21211</v>
      </c>
      <c r="E836" s="261">
        <v>307</v>
      </c>
      <c r="F836" s="261" t="s">
        <v>21458</v>
      </c>
      <c r="G836" s="261"/>
      <c r="H836" s="261"/>
      <c r="I836" s="261" t="s">
        <v>10772</v>
      </c>
      <c r="J836" s="261" t="s">
        <v>17507</v>
      </c>
      <c r="K836" s="262">
        <v>300000</v>
      </c>
    </row>
    <row r="837" spans="1:11" x14ac:dyDescent="0.2">
      <c r="A837" s="306" t="s">
        <v>24291</v>
      </c>
      <c r="B837" s="261" t="s">
        <v>21210</v>
      </c>
      <c r="C837" s="261" t="s">
        <v>19636</v>
      </c>
      <c r="D837" s="261" t="s">
        <v>21211</v>
      </c>
      <c r="E837" s="261">
        <v>308</v>
      </c>
      <c r="F837" s="261" t="s">
        <v>21459</v>
      </c>
      <c r="G837" s="261"/>
      <c r="H837" s="261"/>
      <c r="I837" s="261" t="s">
        <v>3779</v>
      </c>
      <c r="J837" s="261" t="s">
        <v>19604</v>
      </c>
      <c r="K837" s="262">
        <v>40</v>
      </c>
    </row>
    <row r="838" spans="1:11" x14ac:dyDescent="0.2">
      <c r="A838" s="306" t="s">
        <v>24291</v>
      </c>
      <c r="B838" s="261" t="s">
        <v>21210</v>
      </c>
      <c r="C838" s="261" t="s">
        <v>19636</v>
      </c>
      <c r="D838" s="261" t="s">
        <v>21211</v>
      </c>
      <c r="E838" s="261">
        <v>309</v>
      </c>
      <c r="F838" s="261" t="s">
        <v>21460</v>
      </c>
      <c r="G838" s="261"/>
      <c r="H838" s="261"/>
      <c r="I838" s="261" t="s">
        <v>3779</v>
      </c>
      <c r="J838" s="261" t="s">
        <v>19602</v>
      </c>
      <c r="K838" s="262">
        <v>40</v>
      </c>
    </row>
    <row r="839" spans="1:11" x14ac:dyDescent="0.2">
      <c r="A839" s="306" t="s">
        <v>24291</v>
      </c>
      <c r="B839" s="261" t="s">
        <v>21210</v>
      </c>
      <c r="C839" s="261" t="s">
        <v>19636</v>
      </c>
      <c r="D839" s="261" t="s">
        <v>21211</v>
      </c>
      <c r="E839" s="261">
        <v>310</v>
      </c>
      <c r="F839" s="261" t="s">
        <v>21461</v>
      </c>
      <c r="G839" s="261"/>
      <c r="H839" s="261"/>
      <c r="I839" s="261" t="s">
        <v>10772</v>
      </c>
      <c r="J839" s="261" t="s">
        <v>10756</v>
      </c>
      <c r="K839" s="262">
        <v>1500000</v>
      </c>
    </row>
    <row r="840" spans="1:11" x14ac:dyDescent="0.2">
      <c r="A840" s="306" t="s">
        <v>24291</v>
      </c>
      <c r="B840" s="261" t="s">
        <v>21210</v>
      </c>
      <c r="C840" s="261" t="s">
        <v>19636</v>
      </c>
      <c r="D840" s="261" t="s">
        <v>21211</v>
      </c>
      <c r="E840" s="261">
        <v>311</v>
      </c>
      <c r="F840" s="261" t="s">
        <v>21462</v>
      </c>
      <c r="G840" s="261" t="s">
        <v>4062</v>
      </c>
      <c r="H840" s="261" t="s">
        <v>4063</v>
      </c>
      <c r="I840" s="261"/>
      <c r="J840" s="261"/>
      <c r="K840" s="262"/>
    </row>
    <row r="841" spans="1:11" x14ac:dyDescent="0.2">
      <c r="A841" s="306" t="s">
        <v>24291</v>
      </c>
      <c r="B841" s="261" t="s">
        <v>21210</v>
      </c>
      <c r="C841" s="261" t="s">
        <v>19636</v>
      </c>
      <c r="D841" s="261" t="s">
        <v>21211</v>
      </c>
      <c r="E841" s="261">
        <v>312</v>
      </c>
      <c r="F841" s="261" t="s">
        <v>21463</v>
      </c>
      <c r="G841" s="261"/>
      <c r="H841" s="261"/>
      <c r="I841" s="261" t="s">
        <v>3779</v>
      </c>
      <c r="J841" s="261" t="s">
        <v>19599</v>
      </c>
      <c r="K841" s="262">
        <v>50</v>
      </c>
    </row>
    <row r="842" spans="1:11" x14ac:dyDescent="0.2">
      <c r="A842" s="306" t="s">
        <v>24291</v>
      </c>
      <c r="B842" s="261" t="s">
        <v>21210</v>
      </c>
      <c r="C842" s="261" t="s">
        <v>19636</v>
      </c>
      <c r="D842" s="261" t="s">
        <v>21211</v>
      </c>
      <c r="E842" s="261">
        <v>313</v>
      </c>
      <c r="F842" s="261" t="s">
        <v>21464</v>
      </c>
      <c r="G842" s="261"/>
      <c r="H842" s="261"/>
      <c r="I842" s="261" t="s">
        <v>3779</v>
      </c>
      <c r="J842" s="261" t="s">
        <v>19600</v>
      </c>
      <c r="K842" s="262">
        <v>50</v>
      </c>
    </row>
    <row r="843" spans="1:11" x14ac:dyDescent="0.2">
      <c r="A843" s="306" t="s">
        <v>24291</v>
      </c>
      <c r="B843" s="261" t="s">
        <v>21210</v>
      </c>
      <c r="C843" s="261" t="s">
        <v>19636</v>
      </c>
      <c r="D843" s="261" t="s">
        <v>21211</v>
      </c>
      <c r="E843" s="261">
        <v>314</v>
      </c>
      <c r="F843" s="261" t="s">
        <v>21465</v>
      </c>
      <c r="G843" s="261"/>
      <c r="H843" s="261"/>
      <c r="I843" s="261" t="s">
        <v>3779</v>
      </c>
      <c r="J843" s="261" t="s">
        <v>19603</v>
      </c>
      <c r="K843" s="262">
        <v>50</v>
      </c>
    </row>
    <row r="844" spans="1:11" x14ac:dyDescent="0.2">
      <c r="A844" s="306" t="s">
        <v>24291</v>
      </c>
      <c r="B844" s="261" t="s">
        <v>21210</v>
      </c>
      <c r="C844" s="261" t="s">
        <v>19636</v>
      </c>
      <c r="D844" s="261" t="s">
        <v>21211</v>
      </c>
      <c r="E844" s="261">
        <v>315</v>
      </c>
      <c r="F844" s="261" t="s">
        <v>21466</v>
      </c>
      <c r="G844" s="261"/>
      <c r="H844" s="261"/>
      <c r="I844" s="261" t="s">
        <v>3779</v>
      </c>
      <c r="J844" s="261" t="s">
        <v>19601</v>
      </c>
      <c r="K844" s="262">
        <v>50</v>
      </c>
    </row>
    <row r="845" spans="1:11" x14ac:dyDescent="0.2">
      <c r="A845" s="306" t="s">
        <v>24291</v>
      </c>
      <c r="B845" s="261" t="s">
        <v>21210</v>
      </c>
      <c r="C845" s="261" t="s">
        <v>19636</v>
      </c>
      <c r="D845" s="261" t="s">
        <v>21211</v>
      </c>
      <c r="E845" s="261">
        <v>316</v>
      </c>
      <c r="F845" s="261" t="s">
        <v>21467</v>
      </c>
      <c r="G845" s="261"/>
      <c r="H845" s="261"/>
      <c r="I845" s="261" t="s">
        <v>3779</v>
      </c>
      <c r="J845" s="261" t="s">
        <v>19604</v>
      </c>
      <c r="K845" s="262">
        <v>50</v>
      </c>
    </row>
    <row r="846" spans="1:11" x14ac:dyDescent="0.2">
      <c r="A846" s="306" t="s">
        <v>24291</v>
      </c>
      <c r="B846" s="261" t="s">
        <v>21210</v>
      </c>
      <c r="C846" s="261" t="s">
        <v>19636</v>
      </c>
      <c r="D846" s="261" t="s">
        <v>21211</v>
      </c>
      <c r="E846" s="261">
        <v>317</v>
      </c>
      <c r="F846" s="261" t="s">
        <v>21468</v>
      </c>
      <c r="G846" s="261"/>
      <c r="H846" s="261"/>
      <c r="I846" s="261" t="s">
        <v>3779</v>
      </c>
      <c r="J846" s="261" t="s">
        <v>19602</v>
      </c>
      <c r="K846" s="262">
        <v>50</v>
      </c>
    </row>
    <row r="847" spans="1:11" x14ac:dyDescent="0.2">
      <c r="A847" s="306" t="s">
        <v>24291</v>
      </c>
      <c r="B847" s="261" t="s">
        <v>21210</v>
      </c>
      <c r="C847" s="261" t="s">
        <v>19636</v>
      </c>
      <c r="D847" s="261" t="s">
        <v>21211</v>
      </c>
      <c r="E847" s="261">
        <v>318</v>
      </c>
      <c r="F847" s="261" t="s">
        <v>21469</v>
      </c>
      <c r="G847" s="261" t="s">
        <v>4344</v>
      </c>
      <c r="H847" s="261" t="s">
        <v>4345</v>
      </c>
      <c r="I847" s="261"/>
      <c r="J847" s="261"/>
      <c r="K847" s="262"/>
    </row>
    <row r="848" spans="1:11" x14ac:dyDescent="0.2">
      <c r="A848" s="306" t="s">
        <v>24291</v>
      </c>
      <c r="B848" s="261" t="s">
        <v>21210</v>
      </c>
      <c r="C848" s="261" t="s">
        <v>19636</v>
      </c>
      <c r="D848" s="261" t="s">
        <v>21211</v>
      </c>
      <c r="E848" s="261">
        <v>319</v>
      </c>
      <c r="F848" s="261" t="s">
        <v>21470</v>
      </c>
      <c r="G848" s="261"/>
      <c r="H848" s="261"/>
      <c r="I848" s="261" t="s">
        <v>10772</v>
      </c>
      <c r="J848" s="261" t="s">
        <v>19618</v>
      </c>
      <c r="K848" s="262">
        <v>200</v>
      </c>
    </row>
    <row r="849" spans="1:11" x14ac:dyDescent="0.2">
      <c r="A849" s="306" t="s">
        <v>24291</v>
      </c>
      <c r="B849" s="261" t="s">
        <v>21210</v>
      </c>
      <c r="C849" s="261" t="s">
        <v>19636</v>
      </c>
      <c r="D849" s="261" t="s">
        <v>21211</v>
      </c>
      <c r="E849" s="261">
        <v>320</v>
      </c>
      <c r="F849" s="261" t="s">
        <v>21471</v>
      </c>
      <c r="G849" s="261"/>
      <c r="H849" s="261"/>
      <c r="I849" s="261" t="s">
        <v>10772</v>
      </c>
      <c r="J849" s="261" t="s">
        <v>17507</v>
      </c>
      <c r="K849" s="262">
        <v>500000</v>
      </c>
    </row>
    <row r="850" spans="1:11" x14ac:dyDescent="0.2">
      <c r="A850" s="306" t="s">
        <v>24291</v>
      </c>
      <c r="B850" s="261" t="s">
        <v>21210</v>
      </c>
      <c r="C850" s="261" t="s">
        <v>19636</v>
      </c>
      <c r="D850" s="261" t="s">
        <v>21211</v>
      </c>
      <c r="E850" s="261">
        <v>321</v>
      </c>
      <c r="F850" s="261" t="s">
        <v>24060</v>
      </c>
      <c r="G850" s="261"/>
      <c r="H850" s="261"/>
      <c r="I850" s="261" t="s">
        <v>10772</v>
      </c>
      <c r="J850" s="261" t="s">
        <v>10756</v>
      </c>
      <c r="K850" s="262">
        <v>2500000</v>
      </c>
    </row>
    <row r="851" spans="1:11" x14ac:dyDescent="0.2">
      <c r="A851" s="306" t="s">
        <v>24291</v>
      </c>
      <c r="B851" s="261" t="s">
        <v>21210</v>
      </c>
      <c r="C851" s="261" t="s">
        <v>19636</v>
      </c>
      <c r="D851" s="261" t="s">
        <v>21211</v>
      </c>
      <c r="E851" s="261">
        <v>322</v>
      </c>
      <c r="F851" s="261" t="s">
        <v>21472</v>
      </c>
      <c r="G851" s="261"/>
      <c r="H851" s="261"/>
      <c r="I851" s="261" t="s">
        <v>10772</v>
      </c>
      <c r="J851" s="261" t="s">
        <v>19618</v>
      </c>
      <c r="K851" s="262">
        <v>250</v>
      </c>
    </row>
    <row r="852" spans="1:11" x14ac:dyDescent="0.2">
      <c r="A852" s="306" t="s">
        <v>24291</v>
      </c>
      <c r="B852" s="261" t="s">
        <v>21210</v>
      </c>
      <c r="C852" s="261" t="s">
        <v>19636</v>
      </c>
      <c r="D852" s="261" t="s">
        <v>21211</v>
      </c>
      <c r="E852" s="261">
        <v>323</v>
      </c>
      <c r="F852" s="261" t="s">
        <v>24061</v>
      </c>
      <c r="G852" s="261"/>
      <c r="H852" s="261"/>
      <c r="I852" s="261" t="s">
        <v>10772</v>
      </c>
      <c r="J852" s="261" t="s">
        <v>17507</v>
      </c>
      <c r="K852" s="262">
        <v>700000</v>
      </c>
    </row>
    <row r="853" spans="1:11" x14ac:dyDescent="0.2">
      <c r="A853" s="306" t="s">
        <v>24291</v>
      </c>
      <c r="B853" s="261" t="s">
        <v>21210</v>
      </c>
      <c r="C853" s="261" t="s">
        <v>19636</v>
      </c>
      <c r="D853" s="261" t="s">
        <v>21211</v>
      </c>
      <c r="E853" s="261">
        <v>324</v>
      </c>
      <c r="F853" s="261" t="s">
        <v>24062</v>
      </c>
      <c r="G853" s="261"/>
      <c r="H853" s="261"/>
      <c r="I853" s="261" t="s">
        <v>10772</v>
      </c>
      <c r="J853" s="261" t="s">
        <v>10756</v>
      </c>
      <c r="K853" s="262">
        <v>3500000</v>
      </c>
    </row>
    <row r="854" spans="1:11" x14ac:dyDescent="0.2">
      <c r="A854" s="306" t="s">
        <v>24291</v>
      </c>
      <c r="B854" s="261" t="s">
        <v>21210</v>
      </c>
      <c r="C854" s="261" t="s">
        <v>19636</v>
      </c>
      <c r="D854" s="261" t="s">
        <v>21211</v>
      </c>
      <c r="E854" s="261">
        <v>325</v>
      </c>
      <c r="F854" s="261" t="s">
        <v>24063</v>
      </c>
      <c r="G854" s="261"/>
      <c r="H854" s="261"/>
      <c r="I854" s="261" t="s">
        <v>10772</v>
      </c>
      <c r="J854" s="261" t="s">
        <v>21232</v>
      </c>
      <c r="K854" s="262">
        <v>1</v>
      </c>
    </row>
    <row r="855" spans="1:11" x14ac:dyDescent="0.2">
      <c r="A855" s="306" t="s">
        <v>24291</v>
      </c>
      <c r="B855" s="261" t="s">
        <v>21210</v>
      </c>
      <c r="C855" s="261" t="s">
        <v>19636</v>
      </c>
      <c r="D855" s="261" t="s">
        <v>21211</v>
      </c>
      <c r="E855" s="261">
        <v>326</v>
      </c>
      <c r="F855" s="261" t="s">
        <v>24064</v>
      </c>
      <c r="G855" s="261"/>
      <c r="H855" s="261"/>
      <c r="I855" s="261" t="s">
        <v>10772</v>
      </c>
      <c r="J855" s="261" t="s">
        <v>21232</v>
      </c>
      <c r="K855" s="262">
        <v>1</v>
      </c>
    </row>
    <row r="856" spans="1:11" x14ac:dyDescent="0.2">
      <c r="A856" s="306" t="s">
        <v>24291</v>
      </c>
      <c r="B856" s="261" t="s">
        <v>21210</v>
      </c>
      <c r="C856" s="261" t="s">
        <v>19636</v>
      </c>
      <c r="D856" s="261" t="s">
        <v>21211</v>
      </c>
      <c r="E856" s="261">
        <v>327</v>
      </c>
      <c r="F856" s="261" t="s">
        <v>24065</v>
      </c>
      <c r="G856" s="261"/>
      <c r="H856" s="261"/>
      <c r="I856" s="261" t="s">
        <v>10772</v>
      </c>
      <c r="J856" s="261" t="s">
        <v>21232</v>
      </c>
      <c r="K856" s="262">
        <v>1</v>
      </c>
    </row>
    <row r="857" spans="1:11" x14ac:dyDescent="0.2">
      <c r="A857" s="306" t="s">
        <v>24291</v>
      </c>
      <c r="B857" s="261" t="s">
        <v>21210</v>
      </c>
      <c r="C857" s="261" t="s">
        <v>19636</v>
      </c>
      <c r="D857" s="261" t="s">
        <v>21211</v>
      </c>
      <c r="E857" s="261">
        <v>328</v>
      </c>
      <c r="F857" s="261" t="s">
        <v>21473</v>
      </c>
      <c r="G857" s="261"/>
      <c r="H857" s="261"/>
      <c r="I857" s="261" t="s">
        <v>10772</v>
      </c>
      <c r="J857" s="261" t="s">
        <v>21232</v>
      </c>
      <c r="K857" s="262">
        <v>1</v>
      </c>
    </row>
    <row r="858" spans="1:11" x14ac:dyDescent="0.2">
      <c r="A858" s="306" t="s">
        <v>24291</v>
      </c>
      <c r="B858" s="261" t="s">
        <v>21210</v>
      </c>
      <c r="C858" s="261" t="s">
        <v>19636</v>
      </c>
      <c r="D858" s="261" t="s">
        <v>21211</v>
      </c>
      <c r="E858" s="261">
        <v>329</v>
      </c>
      <c r="F858" s="261" t="s">
        <v>21474</v>
      </c>
      <c r="G858" s="261"/>
      <c r="H858" s="261"/>
      <c r="I858" s="261" t="s">
        <v>10772</v>
      </c>
      <c r="J858" s="261" t="s">
        <v>21232</v>
      </c>
      <c r="K858" s="262">
        <v>1</v>
      </c>
    </row>
    <row r="859" spans="1:11" x14ac:dyDescent="0.2">
      <c r="A859" s="306" t="s">
        <v>24291</v>
      </c>
      <c r="B859" s="261" t="s">
        <v>21210</v>
      </c>
      <c r="C859" s="261" t="s">
        <v>19636</v>
      </c>
      <c r="D859" s="261" t="s">
        <v>21211</v>
      </c>
      <c r="E859" s="261">
        <v>330</v>
      </c>
      <c r="F859" s="261" t="s">
        <v>24066</v>
      </c>
      <c r="G859" s="261"/>
      <c r="H859" s="261"/>
      <c r="I859" s="261" t="s">
        <v>10772</v>
      </c>
      <c r="J859" s="261" t="s">
        <v>21232</v>
      </c>
      <c r="K859" s="262">
        <v>1</v>
      </c>
    </row>
    <row r="860" spans="1:11" x14ac:dyDescent="0.2">
      <c r="A860" s="306" t="s">
        <v>24291</v>
      </c>
      <c r="B860" s="261" t="s">
        <v>21210</v>
      </c>
      <c r="C860" s="261" t="s">
        <v>19636</v>
      </c>
      <c r="D860" s="261" t="s">
        <v>21211</v>
      </c>
      <c r="E860" s="261">
        <v>331</v>
      </c>
      <c r="F860" s="261" t="s">
        <v>21475</v>
      </c>
      <c r="G860" s="261"/>
      <c r="H860" s="261"/>
      <c r="I860" s="261" t="s">
        <v>10772</v>
      </c>
      <c r="J860" s="261" t="s">
        <v>21232</v>
      </c>
      <c r="K860" s="262">
        <v>1</v>
      </c>
    </row>
    <row r="861" spans="1:11" x14ac:dyDescent="0.2">
      <c r="A861" s="306" t="s">
        <v>24291</v>
      </c>
      <c r="B861" s="261" t="s">
        <v>21210</v>
      </c>
      <c r="C861" s="261" t="s">
        <v>19636</v>
      </c>
      <c r="D861" s="261" t="s">
        <v>21211</v>
      </c>
      <c r="E861" s="261">
        <v>332</v>
      </c>
      <c r="F861" s="261" t="s">
        <v>24067</v>
      </c>
      <c r="G861" s="261"/>
      <c r="H861" s="261"/>
      <c r="I861" s="261" t="s">
        <v>10772</v>
      </c>
      <c r="J861" s="261" t="s">
        <v>21232</v>
      </c>
      <c r="K861" s="262">
        <v>1</v>
      </c>
    </row>
    <row r="862" spans="1:11" x14ac:dyDescent="0.2">
      <c r="A862" s="306" t="s">
        <v>24291</v>
      </c>
      <c r="B862" s="261" t="s">
        <v>21210</v>
      </c>
      <c r="C862" s="261" t="s">
        <v>19636</v>
      </c>
      <c r="D862" s="261" t="s">
        <v>21211</v>
      </c>
      <c r="E862" s="261">
        <v>333</v>
      </c>
      <c r="F862" s="261" t="s">
        <v>21476</v>
      </c>
      <c r="G862" s="261"/>
      <c r="H862" s="261"/>
      <c r="I862" s="261" t="s">
        <v>10772</v>
      </c>
      <c r="J862" s="261" t="s">
        <v>21232</v>
      </c>
      <c r="K862" s="262">
        <v>1</v>
      </c>
    </row>
    <row r="863" spans="1:11" x14ac:dyDescent="0.2">
      <c r="A863" s="306" t="s">
        <v>24291</v>
      </c>
      <c r="B863" s="261" t="s">
        <v>21210</v>
      </c>
      <c r="C863" s="261" t="s">
        <v>19636</v>
      </c>
      <c r="D863" s="261" t="s">
        <v>21211</v>
      </c>
      <c r="E863" s="261">
        <v>334</v>
      </c>
      <c r="F863" s="261" t="s">
        <v>21477</v>
      </c>
      <c r="G863" s="261"/>
      <c r="H863" s="261"/>
      <c r="I863" s="261" t="s">
        <v>10772</v>
      </c>
      <c r="J863" s="261" t="s">
        <v>21232</v>
      </c>
      <c r="K863" s="262">
        <v>1</v>
      </c>
    </row>
    <row r="864" spans="1:11" x14ac:dyDescent="0.2">
      <c r="A864" s="306" t="s">
        <v>24291</v>
      </c>
      <c r="B864" s="261" t="s">
        <v>21210</v>
      </c>
      <c r="C864" s="261" t="s">
        <v>19636</v>
      </c>
      <c r="D864" s="261" t="s">
        <v>21211</v>
      </c>
      <c r="E864" s="261">
        <v>335</v>
      </c>
      <c r="F864" s="261" t="s">
        <v>24068</v>
      </c>
      <c r="G864" s="261"/>
      <c r="H864" s="261"/>
      <c r="I864" s="261" t="s">
        <v>10772</v>
      </c>
      <c r="J864" s="261" t="s">
        <v>21232</v>
      </c>
      <c r="K864" s="262">
        <v>1</v>
      </c>
    </row>
    <row r="865" spans="1:11" x14ac:dyDescent="0.2">
      <c r="A865" s="306" t="s">
        <v>24291</v>
      </c>
      <c r="B865" s="261" t="s">
        <v>21210</v>
      </c>
      <c r="C865" s="261" t="s">
        <v>19636</v>
      </c>
      <c r="D865" s="261" t="s">
        <v>21211</v>
      </c>
      <c r="E865" s="261">
        <v>336</v>
      </c>
      <c r="F865" s="261" t="s">
        <v>21478</v>
      </c>
      <c r="G865" s="261"/>
      <c r="H865" s="261"/>
      <c r="I865" s="261" t="s">
        <v>10772</v>
      </c>
      <c r="J865" s="261" t="s">
        <v>21232</v>
      </c>
      <c r="K865" s="262">
        <v>1</v>
      </c>
    </row>
    <row r="866" spans="1:11" x14ac:dyDescent="0.2">
      <c r="A866" s="306" t="s">
        <v>24291</v>
      </c>
      <c r="B866" s="261" t="s">
        <v>21210</v>
      </c>
      <c r="C866" s="261" t="s">
        <v>19636</v>
      </c>
      <c r="D866" s="261" t="s">
        <v>21211</v>
      </c>
      <c r="E866" s="261">
        <v>337</v>
      </c>
      <c r="F866" s="261" t="s">
        <v>24069</v>
      </c>
      <c r="G866" s="261"/>
      <c r="H866" s="261"/>
      <c r="I866" s="261" t="s">
        <v>10772</v>
      </c>
      <c r="J866" s="261" t="s">
        <v>21232</v>
      </c>
      <c r="K866" s="262">
        <v>1</v>
      </c>
    </row>
    <row r="867" spans="1:11" x14ac:dyDescent="0.2">
      <c r="A867" s="306" t="s">
        <v>24291</v>
      </c>
      <c r="B867" s="261" t="s">
        <v>21210</v>
      </c>
      <c r="C867" s="261" t="s">
        <v>19636</v>
      </c>
      <c r="D867" s="261" t="s">
        <v>21211</v>
      </c>
      <c r="E867" s="261">
        <v>338</v>
      </c>
      <c r="F867" s="261" t="s">
        <v>21479</v>
      </c>
      <c r="G867" s="261"/>
      <c r="H867" s="261"/>
      <c r="I867" s="261" t="s">
        <v>10772</v>
      </c>
      <c r="J867" s="261" t="s">
        <v>21232</v>
      </c>
      <c r="K867" s="262">
        <v>1</v>
      </c>
    </row>
    <row r="868" spans="1:11" x14ac:dyDescent="0.2">
      <c r="A868" s="306" t="s">
        <v>24291</v>
      </c>
      <c r="B868" s="261" t="s">
        <v>21210</v>
      </c>
      <c r="C868" s="261" t="s">
        <v>19636</v>
      </c>
      <c r="D868" s="261" t="s">
        <v>21211</v>
      </c>
      <c r="E868" s="261">
        <v>339</v>
      </c>
      <c r="F868" s="261" t="s">
        <v>21480</v>
      </c>
      <c r="G868" s="261"/>
      <c r="H868" s="261"/>
      <c r="I868" s="261" t="s">
        <v>10772</v>
      </c>
      <c r="J868" s="261" t="s">
        <v>21232</v>
      </c>
      <c r="K868" s="262">
        <v>1</v>
      </c>
    </row>
    <row r="869" spans="1:11" x14ac:dyDescent="0.2">
      <c r="A869" s="306" t="s">
        <v>24291</v>
      </c>
      <c r="B869" s="261" t="s">
        <v>21210</v>
      </c>
      <c r="C869" s="261" t="s">
        <v>19636</v>
      </c>
      <c r="D869" s="261" t="s">
        <v>21211</v>
      </c>
      <c r="E869" s="261">
        <v>340</v>
      </c>
      <c r="F869" s="261" t="s">
        <v>24070</v>
      </c>
      <c r="G869" s="261"/>
      <c r="H869" s="261"/>
      <c r="I869" s="261" t="s">
        <v>10772</v>
      </c>
      <c r="J869" s="261" t="s">
        <v>21232</v>
      </c>
      <c r="K869" s="262">
        <v>1</v>
      </c>
    </row>
    <row r="870" spans="1:11" x14ac:dyDescent="0.2">
      <c r="A870" s="306" t="s">
        <v>24291</v>
      </c>
      <c r="B870" s="261" t="s">
        <v>21210</v>
      </c>
      <c r="C870" s="261" t="s">
        <v>19636</v>
      </c>
      <c r="D870" s="261" t="s">
        <v>21211</v>
      </c>
      <c r="E870" s="261">
        <v>341</v>
      </c>
      <c r="F870" s="261" t="s">
        <v>21481</v>
      </c>
      <c r="G870" s="261"/>
      <c r="H870" s="261"/>
      <c r="I870" s="261" t="s">
        <v>10772</v>
      </c>
      <c r="J870" s="261" t="s">
        <v>21232</v>
      </c>
      <c r="K870" s="262">
        <v>1</v>
      </c>
    </row>
    <row r="871" spans="1:11" x14ac:dyDescent="0.2">
      <c r="A871" s="306" t="s">
        <v>24291</v>
      </c>
      <c r="B871" s="261" t="s">
        <v>21210</v>
      </c>
      <c r="C871" s="261" t="s">
        <v>19636</v>
      </c>
      <c r="D871" s="261" t="s">
        <v>21211</v>
      </c>
      <c r="E871" s="261">
        <v>342</v>
      </c>
      <c r="F871" s="261" t="s">
        <v>24071</v>
      </c>
      <c r="G871" s="261"/>
      <c r="H871" s="261"/>
      <c r="I871" s="261" t="s">
        <v>10772</v>
      </c>
      <c r="J871" s="261" t="s">
        <v>21232</v>
      </c>
      <c r="K871" s="262">
        <v>1</v>
      </c>
    </row>
    <row r="872" spans="1:11" x14ac:dyDescent="0.2">
      <c r="A872" s="306" t="s">
        <v>20419</v>
      </c>
      <c r="B872" s="261" t="s">
        <v>20419</v>
      </c>
      <c r="C872" s="261" t="s">
        <v>13959</v>
      </c>
      <c r="D872" s="261" t="s">
        <v>18017</v>
      </c>
      <c r="E872" s="261">
        <v>1</v>
      </c>
      <c r="F872" s="261" t="s">
        <v>19688</v>
      </c>
      <c r="G872" s="261" t="s">
        <v>14427</v>
      </c>
      <c r="H872" s="261" t="s">
        <v>14428</v>
      </c>
      <c r="I872" s="261"/>
      <c r="J872" s="261"/>
      <c r="K872" s="262"/>
    </row>
    <row r="873" spans="1:11" x14ac:dyDescent="0.2">
      <c r="A873" s="306" t="s">
        <v>20419</v>
      </c>
      <c r="B873" s="261" t="s">
        <v>18023</v>
      </c>
      <c r="C873" s="261" t="s">
        <v>13959</v>
      </c>
      <c r="D873" s="261" t="s">
        <v>18017</v>
      </c>
      <c r="E873" s="261">
        <v>2</v>
      </c>
      <c r="F873" s="261" t="s">
        <v>20865</v>
      </c>
      <c r="G873" s="261" t="s">
        <v>1266</v>
      </c>
      <c r="H873" s="261" t="s">
        <v>1267</v>
      </c>
      <c r="I873" s="261"/>
      <c r="J873" s="261"/>
      <c r="K873" s="262"/>
    </row>
    <row r="874" spans="1:11" x14ac:dyDescent="0.2">
      <c r="A874" s="306" t="s">
        <v>20419</v>
      </c>
      <c r="B874" s="261" t="s">
        <v>18032</v>
      </c>
      <c r="C874" s="261" t="s">
        <v>13959</v>
      </c>
      <c r="D874" s="261" t="s">
        <v>18017</v>
      </c>
      <c r="E874" s="261">
        <v>3</v>
      </c>
      <c r="F874" s="261" t="s">
        <v>20866</v>
      </c>
      <c r="G874" s="261" t="s">
        <v>13955</v>
      </c>
      <c r="H874" s="261" t="s">
        <v>13956</v>
      </c>
      <c r="I874" s="261"/>
      <c r="J874" s="261"/>
      <c r="K874" s="262"/>
    </row>
    <row r="875" spans="1:11" x14ac:dyDescent="0.2">
      <c r="A875" s="306" t="s">
        <v>20419</v>
      </c>
      <c r="B875" s="261" t="s">
        <v>18036</v>
      </c>
      <c r="C875" s="261" t="s">
        <v>13959</v>
      </c>
      <c r="D875" s="261" t="s">
        <v>18017</v>
      </c>
      <c r="E875" s="261">
        <v>4</v>
      </c>
      <c r="F875" s="261" t="s">
        <v>20867</v>
      </c>
      <c r="G875" s="261" t="s">
        <v>9714</v>
      </c>
      <c r="H875" s="261" t="s">
        <v>9715</v>
      </c>
      <c r="I875" s="261"/>
      <c r="J875" s="261"/>
      <c r="K875" s="262"/>
    </row>
    <row r="876" spans="1:11" x14ac:dyDescent="0.2">
      <c r="A876" s="306" t="s">
        <v>20419</v>
      </c>
      <c r="B876" s="261" t="s">
        <v>20419</v>
      </c>
      <c r="C876" s="261" t="s">
        <v>13959</v>
      </c>
      <c r="D876" s="261" t="s">
        <v>18017</v>
      </c>
      <c r="E876" s="261">
        <v>5</v>
      </c>
      <c r="F876" s="261" t="s">
        <v>20868</v>
      </c>
      <c r="G876" s="261"/>
      <c r="H876" s="261"/>
      <c r="I876" s="261" t="s">
        <v>1103</v>
      </c>
      <c r="J876" s="261" t="s">
        <v>19599</v>
      </c>
      <c r="K876" s="262">
        <v>20</v>
      </c>
    </row>
    <row r="877" spans="1:11" x14ac:dyDescent="0.2">
      <c r="A877" s="306" t="s">
        <v>20419</v>
      </c>
      <c r="B877" s="261" t="s">
        <v>20419</v>
      </c>
      <c r="C877" s="261" t="s">
        <v>13959</v>
      </c>
      <c r="D877" s="261" t="s">
        <v>18017</v>
      </c>
      <c r="E877" s="261">
        <v>6</v>
      </c>
      <c r="F877" s="261" t="s">
        <v>20869</v>
      </c>
      <c r="G877" s="261"/>
      <c r="H877" s="261"/>
      <c r="I877" s="261" t="s">
        <v>1103</v>
      </c>
      <c r="J877" s="261" t="s">
        <v>19600</v>
      </c>
      <c r="K877" s="262">
        <v>20</v>
      </c>
    </row>
    <row r="878" spans="1:11" x14ac:dyDescent="0.2">
      <c r="A878" s="306" t="s">
        <v>20419</v>
      </c>
      <c r="B878" s="261" t="s">
        <v>20419</v>
      </c>
      <c r="C878" s="261" t="s">
        <v>13959</v>
      </c>
      <c r="D878" s="261" t="s">
        <v>18017</v>
      </c>
      <c r="E878" s="261">
        <v>7</v>
      </c>
      <c r="F878" s="261" t="s">
        <v>20870</v>
      </c>
      <c r="G878" s="261"/>
      <c r="H878" s="261"/>
      <c r="I878" s="261" t="s">
        <v>1103</v>
      </c>
      <c r="J878" s="261" t="s">
        <v>19603</v>
      </c>
      <c r="K878" s="262">
        <v>20</v>
      </c>
    </row>
    <row r="879" spans="1:11" x14ac:dyDescent="0.2">
      <c r="A879" s="306" t="s">
        <v>20419</v>
      </c>
      <c r="B879" s="261" t="s">
        <v>20419</v>
      </c>
      <c r="C879" s="261" t="s">
        <v>13959</v>
      </c>
      <c r="D879" s="261" t="s">
        <v>18017</v>
      </c>
      <c r="E879" s="261">
        <v>8</v>
      </c>
      <c r="F879" s="261" t="s">
        <v>20871</v>
      </c>
      <c r="G879" s="261"/>
      <c r="H879" s="261"/>
      <c r="I879" s="261" t="s">
        <v>1103</v>
      </c>
      <c r="J879" s="261" t="s">
        <v>19601</v>
      </c>
      <c r="K879" s="262">
        <v>20</v>
      </c>
    </row>
    <row r="880" spans="1:11" x14ac:dyDescent="0.2">
      <c r="A880" s="306" t="s">
        <v>20419</v>
      </c>
      <c r="B880" s="261" t="s">
        <v>20419</v>
      </c>
      <c r="C880" s="261" t="s">
        <v>13959</v>
      </c>
      <c r="D880" s="261" t="s">
        <v>18017</v>
      </c>
      <c r="E880" s="261">
        <v>9</v>
      </c>
      <c r="F880" s="261" t="s">
        <v>20872</v>
      </c>
      <c r="G880" s="261"/>
      <c r="H880" s="261"/>
      <c r="I880" s="261" t="s">
        <v>1103</v>
      </c>
      <c r="J880" s="261" t="s">
        <v>19604</v>
      </c>
      <c r="K880" s="262">
        <v>20</v>
      </c>
    </row>
    <row r="881" spans="1:11" x14ac:dyDescent="0.2">
      <c r="A881" s="306" t="s">
        <v>20419</v>
      </c>
      <c r="B881" s="261" t="s">
        <v>20419</v>
      </c>
      <c r="C881" s="261" t="s">
        <v>13959</v>
      </c>
      <c r="D881" s="261" t="s">
        <v>18017</v>
      </c>
      <c r="E881" s="261">
        <v>10</v>
      </c>
      <c r="F881" s="261" t="s">
        <v>20873</v>
      </c>
      <c r="G881" s="261"/>
      <c r="H881" s="261"/>
      <c r="I881" s="261" t="s">
        <v>1103</v>
      </c>
      <c r="J881" s="261" t="s">
        <v>19602</v>
      </c>
      <c r="K881" s="262">
        <v>20</v>
      </c>
    </row>
    <row r="882" spans="1:11" x14ac:dyDescent="0.2">
      <c r="A882" s="306" t="s">
        <v>20419</v>
      </c>
      <c r="B882" s="261" t="s">
        <v>20419</v>
      </c>
      <c r="C882" s="261" t="s">
        <v>13959</v>
      </c>
      <c r="D882" s="261" t="s">
        <v>18017</v>
      </c>
      <c r="E882" s="261">
        <v>11</v>
      </c>
      <c r="F882" s="261" t="s">
        <v>20874</v>
      </c>
      <c r="G882" s="261"/>
      <c r="H882" s="261"/>
      <c r="I882" s="261" t="s">
        <v>10772</v>
      </c>
      <c r="J882" s="261" t="s">
        <v>19618</v>
      </c>
      <c r="K882" s="262">
        <v>100</v>
      </c>
    </row>
    <row r="883" spans="1:11" x14ac:dyDescent="0.2">
      <c r="A883" s="306" t="s">
        <v>19720</v>
      </c>
      <c r="B883" s="261" t="s">
        <v>19720</v>
      </c>
      <c r="C883" s="261" t="s">
        <v>13967</v>
      </c>
      <c r="D883" s="261" t="s">
        <v>18046</v>
      </c>
      <c r="E883" s="261">
        <v>1</v>
      </c>
      <c r="F883" s="261" t="s">
        <v>19688</v>
      </c>
      <c r="G883" s="261" t="s">
        <v>20132</v>
      </c>
      <c r="H883" s="261" t="s">
        <v>20133</v>
      </c>
      <c r="I883" s="261"/>
      <c r="J883" s="261"/>
      <c r="K883" s="262"/>
    </row>
    <row r="884" spans="1:11" x14ac:dyDescent="0.2">
      <c r="A884" s="306" t="s">
        <v>19720</v>
      </c>
      <c r="B884" s="261" t="s">
        <v>19720</v>
      </c>
      <c r="C884" s="261" t="s">
        <v>13967</v>
      </c>
      <c r="D884" s="261" t="s">
        <v>18046</v>
      </c>
      <c r="E884" s="261">
        <v>2</v>
      </c>
      <c r="F884" s="261" t="s">
        <v>19688</v>
      </c>
      <c r="G884" s="261" t="s">
        <v>13971</v>
      </c>
      <c r="H884" s="261" t="s">
        <v>13972</v>
      </c>
      <c r="I884" s="261"/>
      <c r="J884" s="261"/>
      <c r="K884" s="262"/>
    </row>
    <row r="885" spans="1:11" x14ac:dyDescent="0.2">
      <c r="A885" s="306" t="s">
        <v>19720</v>
      </c>
      <c r="B885" s="261" t="s">
        <v>18045</v>
      </c>
      <c r="C885" s="261" t="s">
        <v>13967</v>
      </c>
      <c r="D885" s="261" t="s">
        <v>18046</v>
      </c>
      <c r="E885" s="261">
        <v>3</v>
      </c>
      <c r="F885" s="261" t="s">
        <v>20875</v>
      </c>
      <c r="G885" s="261" t="s">
        <v>14648</v>
      </c>
      <c r="H885" s="261" t="s">
        <v>14649</v>
      </c>
      <c r="I885" s="261"/>
      <c r="J885" s="261"/>
      <c r="K885" s="262"/>
    </row>
    <row r="886" spans="1:11" x14ac:dyDescent="0.2">
      <c r="A886" s="306" t="s">
        <v>19720</v>
      </c>
      <c r="B886" s="261" t="s">
        <v>18049</v>
      </c>
      <c r="C886" s="261" t="s">
        <v>13967</v>
      </c>
      <c r="D886" s="261" t="s">
        <v>18046</v>
      </c>
      <c r="E886" s="261">
        <v>4</v>
      </c>
      <c r="F886" s="261" t="s">
        <v>20876</v>
      </c>
      <c r="G886" s="261" t="s">
        <v>14431</v>
      </c>
      <c r="H886" s="261" t="s">
        <v>14432</v>
      </c>
      <c r="I886" s="261"/>
      <c r="J886" s="261"/>
      <c r="K886" s="262"/>
    </row>
    <row r="887" spans="1:11" x14ac:dyDescent="0.2">
      <c r="A887" s="306" t="s">
        <v>19720</v>
      </c>
      <c r="B887" s="261" t="s">
        <v>18051</v>
      </c>
      <c r="C887" s="261" t="s">
        <v>13967</v>
      </c>
      <c r="D887" s="261" t="s">
        <v>18046</v>
      </c>
      <c r="E887" s="261">
        <v>5</v>
      </c>
      <c r="F887" s="261" t="s">
        <v>20877</v>
      </c>
      <c r="G887" s="261" t="s">
        <v>13963</v>
      </c>
      <c r="H887" s="261" t="s">
        <v>13964</v>
      </c>
      <c r="I887" s="261"/>
      <c r="J887" s="261"/>
      <c r="K887" s="262"/>
    </row>
    <row r="888" spans="1:11" x14ac:dyDescent="0.2">
      <c r="A888" s="306" t="s">
        <v>19720</v>
      </c>
      <c r="B888" s="261" t="s">
        <v>18053</v>
      </c>
      <c r="C888" s="261" t="s">
        <v>13967</v>
      </c>
      <c r="D888" s="261" t="s">
        <v>18046</v>
      </c>
      <c r="E888" s="261">
        <v>6</v>
      </c>
      <c r="F888" s="261" t="s">
        <v>20878</v>
      </c>
      <c r="G888" s="261" t="s">
        <v>13968</v>
      </c>
      <c r="H888" s="261" t="s">
        <v>13969</v>
      </c>
      <c r="I888" s="261"/>
      <c r="J888" s="261"/>
      <c r="K888" s="262"/>
    </row>
    <row r="889" spans="1:11" x14ac:dyDescent="0.2">
      <c r="A889" s="306" t="s">
        <v>19720</v>
      </c>
      <c r="B889" s="261" t="s">
        <v>18056</v>
      </c>
      <c r="C889" s="261" t="s">
        <v>13967</v>
      </c>
      <c r="D889" s="261" t="s">
        <v>18046</v>
      </c>
      <c r="E889" s="261">
        <v>7</v>
      </c>
      <c r="F889" s="261" t="s">
        <v>20879</v>
      </c>
      <c r="G889" s="261" t="s">
        <v>1005</v>
      </c>
      <c r="H889" s="261" t="s">
        <v>1006</v>
      </c>
      <c r="I889" s="261"/>
      <c r="J889" s="261"/>
      <c r="K889" s="262"/>
    </row>
    <row r="890" spans="1:11" x14ac:dyDescent="0.2">
      <c r="A890" s="306" t="s">
        <v>19720</v>
      </c>
      <c r="B890" s="261" t="s">
        <v>18058</v>
      </c>
      <c r="C890" s="261" t="s">
        <v>13967</v>
      </c>
      <c r="D890" s="261" t="s">
        <v>18046</v>
      </c>
      <c r="E890" s="261">
        <v>8</v>
      </c>
      <c r="F890" s="261" t="s">
        <v>20880</v>
      </c>
      <c r="G890" s="261" t="s">
        <v>573</v>
      </c>
      <c r="H890" s="261" t="s">
        <v>574</v>
      </c>
      <c r="I890" s="261"/>
      <c r="J890" s="261"/>
      <c r="K890" s="262"/>
    </row>
    <row r="891" spans="1:11" x14ac:dyDescent="0.2">
      <c r="A891" s="306" t="s">
        <v>19720</v>
      </c>
      <c r="B891" s="261" t="s">
        <v>18060</v>
      </c>
      <c r="C891" s="261" t="s">
        <v>13967</v>
      </c>
      <c r="D891" s="261" t="s">
        <v>18046</v>
      </c>
      <c r="E891" s="261">
        <v>9</v>
      </c>
      <c r="F891" s="261" t="s">
        <v>20881</v>
      </c>
      <c r="G891" s="261" t="s">
        <v>3321</v>
      </c>
      <c r="H891" s="261" t="s">
        <v>3322</v>
      </c>
      <c r="I891" s="261"/>
      <c r="J891" s="261"/>
      <c r="K891" s="262"/>
    </row>
    <row r="892" spans="1:11" x14ac:dyDescent="0.2">
      <c r="A892" s="306" t="s">
        <v>19720</v>
      </c>
      <c r="B892" s="261" t="s">
        <v>19720</v>
      </c>
      <c r="C892" s="261" t="s">
        <v>13967</v>
      </c>
      <c r="D892" s="261" t="s">
        <v>18046</v>
      </c>
      <c r="E892" s="261">
        <v>10</v>
      </c>
      <c r="F892" s="261" t="s">
        <v>20882</v>
      </c>
      <c r="G892" s="261"/>
      <c r="H892" s="261"/>
      <c r="I892" s="261"/>
      <c r="J892" s="261" t="s">
        <v>20883</v>
      </c>
      <c r="K892" s="262">
        <v>7</v>
      </c>
    </row>
    <row r="893" spans="1:11" x14ac:dyDescent="0.2">
      <c r="A893" s="306" t="s">
        <v>19720</v>
      </c>
      <c r="B893" s="261" t="s">
        <v>19720</v>
      </c>
      <c r="C893" s="261" t="s">
        <v>13967</v>
      </c>
      <c r="D893" s="261" t="s">
        <v>18046</v>
      </c>
      <c r="E893" s="261">
        <v>11</v>
      </c>
      <c r="F893" s="261" t="s">
        <v>20884</v>
      </c>
      <c r="G893" s="261"/>
      <c r="H893" s="261"/>
      <c r="I893" s="261"/>
      <c r="J893" s="261" t="s">
        <v>20883</v>
      </c>
      <c r="K893" s="262">
        <v>7</v>
      </c>
    </row>
    <row r="894" spans="1:11" x14ac:dyDescent="0.2">
      <c r="A894" s="306" t="s">
        <v>19720</v>
      </c>
      <c r="B894" s="261" t="s">
        <v>19720</v>
      </c>
      <c r="C894" s="261" t="s">
        <v>13967</v>
      </c>
      <c r="D894" s="261" t="s">
        <v>18046</v>
      </c>
      <c r="E894" s="261">
        <v>12</v>
      </c>
      <c r="F894" s="261" t="s">
        <v>20868</v>
      </c>
      <c r="G894" s="261"/>
      <c r="H894" s="261"/>
      <c r="I894" s="261"/>
      <c r="J894" s="261" t="s">
        <v>20883</v>
      </c>
      <c r="K894" s="262">
        <v>7</v>
      </c>
    </row>
    <row r="895" spans="1:11" x14ac:dyDescent="0.2">
      <c r="A895" s="306" t="s">
        <v>19720</v>
      </c>
      <c r="B895" s="261" t="s">
        <v>19720</v>
      </c>
      <c r="C895" s="261" t="s">
        <v>13967</v>
      </c>
      <c r="D895" s="261" t="s">
        <v>18046</v>
      </c>
      <c r="E895" s="261">
        <v>13</v>
      </c>
      <c r="F895" s="261" t="s">
        <v>20885</v>
      </c>
      <c r="G895" s="261"/>
      <c r="H895" s="261"/>
      <c r="I895" s="261"/>
      <c r="J895" s="261" t="s">
        <v>20883</v>
      </c>
      <c r="K895" s="262">
        <v>7</v>
      </c>
    </row>
    <row r="896" spans="1:11" x14ac:dyDescent="0.2">
      <c r="A896" s="306" t="s">
        <v>19720</v>
      </c>
      <c r="B896" s="261" t="s">
        <v>19720</v>
      </c>
      <c r="C896" s="261" t="s">
        <v>13967</v>
      </c>
      <c r="D896" s="261" t="s">
        <v>18046</v>
      </c>
      <c r="E896" s="261">
        <v>14</v>
      </c>
      <c r="F896" s="261" t="s">
        <v>20886</v>
      </c>
      <c r="G896" s="261"/>
      <c r="H896" s="261"/>
      <c r="I896" s="261"/>
      <c r="J896" s="261" t="s">
        <v>20883</v>
      </c>
      <c r="K896" s="262">
        <v>6</v>
      </c>
    </row>
    <row r="897" spans="1:11" x14ac:dyDescent="0.2">
      <c r="A897" s="306" t="s">
        <v>19720</v>
      </c>
      <c r="B897" s="261" t="s">
        <v>19720</v>
      </c>
      <c r="C897" s="261" t="s">
        <v>13967</v>
      </c>
      <c r="D897" s="261" t="s">
        <v>18046</v>
      </c>
      <c r="E897" s="261">
        <v>15</v>
      </c>
      <c r="F897" s="261" t="s">
        <v>19923</v>
      </c>
      <c r="G897" s="261" t="s">
        <v>3676</v>
      </c>
      <c r="H897" s="261" t="s">
        <v>3677</v>
      </c>
      <c r="I897" s="261"/>
      <c r="J897" s="261"/>
      <c r="K897" s="262"/>
    </row>
    <row r="898" spans="1:11" x14ac:dyDescent="0.2">
      <c r="A898" s="306" t="s">
        <v>19720</v>
      </c>
      <c r="B898" s="261" t="s">
        <v>19720</v>
      </c>
      <c r="C898" s="261" t="s">
        <v>13967</v>
      </c>
      <c r="D898" s="261" t="s">
        <v>18046</v>
      </c>
      <c r="E898" s="261">
        <v>16</v>
      </c>
      <c r="F898" s="261" t="s">
        <v>19873</v>
      </c>
      <c r="G898" s="261" t="s">
        <v>3044</v>
      </c>
      <c r="H898" s="261" t="s">
        <v>3045</v>
      </c>
      <c r="I898" s="261"/>
      <c r="J898" s="261"/>
      <c r="K898" s="262"/>
    </row>
    <row r="899" spans="1:11" x14ac:dyDescent="0.2">
      <c r="A899" s="306" t="s">
        <v>19720</v>
      </c>
      <c r="B899" s="261" t="s">
        <v>19720</v>
      </c>
      <c r="C899" s="261" t="s">
        <v>13967</v>
      </c>
      <c r="D899" s="261" t="s">
        <v>18046</v>
      </c>
      <c r="E899" s="261">
        <v>17</v>
      </c>
      <c r="F899" s="261" t="s">
        <v>19719</v>
      </c>
      <c r="G899" s="261" t="s">
        <v>1159</v>
      </c>
      <c r="H899" s="261" t="s">
        <v>1160</v>
      </c>
      <c r="I899" s="261"/>
      <c r="J899" s="261"/>
      <c r="K899" s="262"/>
    </row>
    <row r="900" spans="1:11" x14ac:dyDescent="0.2">
      <c r="A900" s="306" t="s">
        <v>19720</v>
      </c>
      <c r="B900" s="261" t="s">
        <v>19720</v>
      </c>
      <c r="C900" s="261" t="s">
        <v>13967</v>
      </c>
      <c r="D900" s="261" t="s">
        <v>18046</v>
      </c>
      <c r="E900" s="261">
        <v>18</v>
      </c>
      <c r="F900" s="261" t="s">
        <v>20037</v>
      </c>
      <c r="G900" s="261" t="s">
        <v>9636</v>
      </c>
      <c r="H900" s="261" t="s">
        <v>9637</v>
      </c>
      <c r="I900" s="261"/>
      <c r="J900" s="261"/>
      <c r="K900" s="262"/>
    </row>
    <row r="901" spans="1:11" x14ac:dyDescent="0.2">
      <c r="A901" s="306" t="s">
        <v>19720</v>
      </c>
      <c r="B901" s="261" t="s">
        <v>19720</v>
      </c>
      <c r="C901" s="261" t="s">
        <v>13967</v>
      </c>
      <c r="D901" s="261" t="s">
        <v>18046</v>
      </c>
      <c r="E901" s="261">
        <v>19</v>
      </c>
      <c r="F901" s="261" t="s">
        <v>20870</v>
      </c>
      <c r="G901" s="261"/>
      <c r="H901" s="261"/>
      <c r="I901" s="261" t="s">
        <v>2837</v>
      </c>
      <c r="J901" s="261" t="s">
        <v>19599</v>
      </c>
      <c r="K901" s="262">
        <v>20</v>
      </c>
    </row>
    <row r="902" spans="1:11" x14ac:dyDescent="0.2">
      <c r="A902" s="306" t="s">
        <v>19720</v>
      </c>
      <c r="B902" s="261" t="s">
        <v>19720</v>
      </c>
      <c r="C902" s="261" t="s">
        <v>13967</v>
      </c>
      <c r="D902" s="261" t="s">
        <v>18046</v>
      </c>
      <c r="E902" s="261">
        <v>20</v>
      </c>
      <c r="F902" s="261" t="s">
        <v>20887</v>
      </c>
      <c r="G902" s="261"/>
      <c r="H902" s="261"/>
      <c r="I902" s="261" t="s">
        <v>2837</v>
      </c>
      <c r="J902" s="261" t="s">
        <v>19600</v>
      </c>
      <c r="K902" s="262">
        <v>20</v>
      </c>
    </row>
    <row r="903" spans="1:11" x14ac:dyDescent="0.2">
      <c r="A903" s="306" t="s">
        <v>19720</v>
      </c>
      <c r="B903" s="261" t="s">
        <v>19720</v>
      </c>
      <c r="C903" s="261" t="s">
        <v>13967</v>
      </c>
      <c r="D903" s="261" t="s">
        <v>18046</v>
      </c>
      <c r="E903" s="261">
        <v>21</v>
      </c>
      <c r="F903" s="261" t="s">
        <v>20888</v>
      </c>
      <c r="G903" s="261"/>
      <c r="H903" s="261"/>
      <c r="I903" s="261" t="s">
        <v>2837</v>
      </c>
      <c r="J903" s="261" t="s">
        <v>19603</v>
      </c>
      <c r="K903" s="262">
        <v>20</v>
      </c>
    </row>
    <row r="904" spans="1:11" x14ac:dyDescent="0.2">
      <c r="A904" s="306" t="s">
        <v>19720</v>
      </c>
      <c r="B904" s="261" t="s">
        <v>19720</v>
      </c>
      <c r="C904" s="261" t="s">
        <v>13967</v>
      </c>
      <c r="D904" s="261" t="s">
        <v>18046</v>
      </c>
      <c r="E904" s="261">
        <v>22</v>
      </c>
      <c r="F904" s="261" t="s">
        <v>20872</v>
      </c>
      <c r="G904" s="261"/>
      <c r="H904" s="261"/>
      <c r="I904" s="261" t="s">
        <v>2837</v>
      </c>
      <c r="J904" s="261" t="s">
        <v>19601</v>
      </c>
      <c r="K904" s="262">
        <v>20</v>
      </c>
    </row>
    <row r="905" spans="1:11" x14ac:dyDescent="0.2">
      <c r="A905" s="306" t="s">
        <v>19720</v>
      </c>
      <c r="B905" s="261" t="s">
        <v>19720</v>
      </c>
      <c r="C905" s="261" t="s">
        <v>13967</v>
      </c>
      <c r="D905" s="261" t="s">
        <v>18046</v>
      </c>
      <c r="E905" s="261">
        <v>23</v>
      </c>
      <c r="F905" s="261" t="s">
        <v>20889</v>
      </c>
      <c r="G905" s="261"/>
      <c r="H905" s="261"/>
      <c r="I905" s="261" t="s">
        <v>2837</v>
      </c>
      <c r="J905" s="261" t="s">
        <v>19604</v>
      </c>
      <c r="K905" s="262">
        <v>20</v>
      </c>
    </row>
    <row r="906" spans="1:11" x14ac:dyDescent="0.2">
      <c r="A906" s="306" t="s">
        <v>19720</v>
      </c>
      <c r="B906" s="261" t="s">
        <v>19720</v>
      </c>
      <c r="C906" s="261" t="s">
        <v>13967</v>
      </c>
      <c r="D906" s="261" t="s">
        <v>18046</v>
      </c>
      <c r="E906" s="261">
        <v>24</v>
      </c>
      <c r="F906" s="261" t="s">
        <v>20890</v>
      </c>
      <c r="G906" s="261"/>
      <c r="H906" s="261"/>
      <c r="I906" s="261" t="s">
        <v>2837</v>
      </c>
      <c r="J906" s="261" t="s">
        <v>19602</v>
      </c>
      <c r="K906" s="262">
        <v>20</v>
      </c>
    </row>
    <row r="907" spans="1:11" x14ac:dyDescent="0.2">
      <c r="A907" s="306" t="s">
        <v>19720</v>
      </c>
      <c r="B907" s="261" t="s">
        <v>19720</v>
      </c>
      <c r="C907" s="261" t="s">
        <v>13967</v>
      </c>
      <c r="D907" s="261" t="s">
        <v>18046</v>
      </c>
      <c r="E907" s="261">
        <v>25</v>
      </c>
      <c r="F907" s="261" t="s">
        <v>20891</v>
      </c>
      <c r="G907" s="261"/>
      <c r="H907" s="261"/>
      <c r="I907" s="261" t="s">
        <v>2837</v>
      </c>
      <c r="J907" s="261" t="s">
        <v>19618</v>
      </c>
      <c r="K907" s="262">
        <v>100</v>
      </c>
    </row>
    <row r="908" spans="1:11" x14ac:dyDescent="0.2">
      <c r="A908" s="306" t="s">
        <v>20424</v>
      </c>
      <c r="B908" s="261" t="s">
        <v>20424</v>
      </c>
      <c r="C908" s="261" t="s">
        <v>13976</v>
      </c>
      <c r="D908" s="261" t="s">
        <v>18017</v>
      </c>
      <c r="E908" s="261">
        <v>1</v>
      </c>
      <c r="F908" s="261" t="s">
        <v>19688</v>
      </c>
      <c r="G908" s="261" t="s">
        <v>14437</v>
      </c>
      <c r="H908" s="261" t="s">
        <v>14438</v>
      </c>
      <c r="I908" s="261"/>
      <c r="J908" s="261"/>
      <c r="K908" s="262"/>
    </row>
    <row r="909" spans="1:11" x14ac:dyDescent="0.2">
      <c r="A909" s="306" t="s">
        <v>20424</v>
      </c>
      <c r="B909" s="261" t="s">
        <v>18069</v>
      </c>
      <c r="C909" s="261" t="s">
        <v>13976</v>
      </c>
      <c r="D909" s="261" t="s">
        <v>18017</v>
      </c>
      <c r="E909" s="261">
        <v>2</v>
      </c>
      <c r="F909" s="261" t="s">
        <v>20892</v>
      </c>
      <c r="G909" s="261" t="s">
        <v>507</v>
      </c>
      <c r="H909" s="261" t="s">
        <v>508</v>
      </c>
      <c r="I909" s="261"/>
      <c r="J909" s="261"/>
      <c r="K909" s="262"/>
    </row>
    <row r="910" spans="1:11" x14ac:dyDescent="0.2">
      <c r="A910" s="306" t="s">
        <v>20424</v>
      </c>
      <c r="B910" s="261" t="s">
        <v>18076</v>
      </c>
      <c r="C910" s="261" t="s">
        <v>13976</v>
      </c>
      <c r="D910" s="261" t="s">
        <v>18017</v>
      </c>
      <c r="E910" s="261">
        <v>3</v>
      </c>
      <c r="F910" s="261" t="s">
        <v>20893</v>
      </c>
      <c r="G910" s="261" t="s">
        <v>13973</v>
      </c>
      <c r="H910" s="261" t="s">
        <v>13974</v>
      </c>
      <c r="I910" s="261"/>
      <c r="J910" s="261"/>
      <c r="K910" s="262"/>
    </row>
    <row r="911" spans="1:11" x14ac:dyDescent="0.2">
      <c r="A911" s="306" t="s">
        <v>20424</v>
      </c>
      <c r="B911" s="261" t="s">
        <v>18079</v>
      </c>
      <c r="C911" s="261" t="s">
        <v>13976</v>
      </c>
      <c r="D911" s="261" t="s">
        <v>18017</v>
      </c>
      <c r="E911" s="261">
        <v>4</v>
      </c>
      <c r="F911" s="261" t="s">
        <v>20894</v>
      </c>
      <c r="G911" s="261" t="s">
        <v>10054</v>
      </c>
      <c r="H911" s="261" t="s">
        <v>10055</v>
      </c>
      <c r="I911" s="261"/>
      <c r="J911" s="261"/>
      <c r="K911" s="262"/>
    </row>
    <row r="912" spans="1:11" x14ac:dyDescent="0.2">
      <c r="A912" s="306" t="s">
        <v>20424</v>
      </c>
      <c r="B912" s="261" t="s">
        <v>18081</v>
      </c>
      <c r="C912" s="261" t="s">
        <v>13976</v>
      </c>
      <c r="D912" s="261" t="s">
        <v>18017</v>
      </c>
      <c r="E912" s="261">
        <v>5</v>
      </c>
      <c r="F912" s="261" t="s">
        <v>20895</v>
      </c>
      <c r="G912" s="261" t="s">
        <v>4572</v>
      </c>
      <c r="H912" s="261" t="s">
        <v>4573</v>
      </c>
      <c r="I912" s="261"/>
      <c r="J912" s="261"/>
      <c r="K912" s="262"/>
    </row>
    <row r="913" spans="1:11" x14ac:dyDescent="0.2">
      <c r="A913" s="306" t="s">
        <v>20424</v>
      </c>
      <c r="B913" s="261" t="s">
        <v>20424</v>
      </c>
      <c r="C913" s="261" t="s">
        <v>13976</v>
      </c>
      <c r="D913" s="261" t="s">
        <v>18017</v>
      </c>
      <c r="E913" s="261">
        <v>6</v>
      </c>
      <c r="F913" s="261" t="s">
        <v>20868</v>
      </c>
      <c r="G913" s="261"/>
      <c r="H913" s="261"/>
      <c r="I913" s="261" t="s">
        <v>122</v>
      </c>
      <c r="J913" s="261" t="s">
        <v>19599</v>
      </c>
      <c r="K913" s="262">
        <v>20</v>
      </c>
    </row>
    <row r="914" spans="1:11" x14ac:dyDescent="0.2">
      <c r="A914" s="306" t="s">
        <v>20424</v>
      </c>
      <c r="B914" s="261" t="s">
        <v>20424</v>
      </c>
      <c r="C914" s="261" t="s">
        <v>13976</v>
      </c>
      <c r="D914" s="261" t="s">
        <v>18017</v>
      </c>
      <c r="E914" s="261">
        <v>7</v>
      </c>
      <c r="F914" s="261" t="s">
        <v>20869</v>
      </c>
      <c r="G914" s="261"/>
      <c r="H914" s="261"/>
      <c r="I914" s="261" t="s">
        <v>122</v>
      </c>
      <c r="J914" s="261" t="s">
        <v>19600</v>
      </c>
      <c r="K914" s="262">
        <v>20</v>
      </c>
    </row>
    <row r="915" spans="1:11" x14ac:dyDescent="0.2">
      <c r="A915" s="306" t="s">
        <v>20424</v>
      </c>
      <c r="B915" s="261" t="s">
        <v>20424</v>
      </c>
      <c r="C915" s="261" t="s">
        <v>13976</v>
      </c>
      <c r="D915" s="261" t="s">
        <v>18017</v>
      </c>
      <c r="E915" s="261">
        <v>8</v>
      </c>
      <c r="F915" s="261" t="s">
        <v>20870</v>
      </c>
      <c r="G915" s="261"/>
      <c r="H915" s="261"/>
      <c r="I915" s="261" t="s">
        <v>122</v>
      </c>
      <c r="J915" s="261" t="s">
        <v>19603</v>
      </c>
      <c r="K915" s="262">
        <v>20</v>
      </c>
    </row>
    <row r="916" spans="1:11" x14ac:dyDescent="0.2">
      <c r="A916" s="306" t="s">
        <v>20424</v>
      </c>
      <c r="B916" s="261" t="s">
        <v>20424</v>
      </c>
      <c r="C916" s="261" t="s">
        <v>13976</v>
      </c>
      <c r="D916" s="261" t="s">
        <v>18017</v>
      </c>
      <c r="E916" s="261">
        <v>9</v>
      </c>
      <c r="F916" s="261" t="s">
        <v>20871</v>
      </c>
      <c r="G916" s="261"/>
      <c r="H916" s="261"/>
      <c r="I916" s="261" t="s">
        <v>122</v>
      </c>
      <c r="J916" s="261" t="s">
        <v>19601</v>
      </c>
      <c r="K916" s="262">
        <v>20</v>
      </c>
    </row>
    <row r="917" spans="1:11" x14ac:dyDescent="0.2">
      <c r="A917" s="306" t="s">
        <v>20424</v>
      </c>
      <c r="B917" s="261" t="s">
        <v>20424</v>
      </c>
      <c r="C917" s="261" t="s">
        <v>13976</v>
      </c>
      <c r="D917" s="261" t="s">
        <v>18017</v>
      </c>
      <c r="E917" s="261">
        <v>10</v>
      </c>
      <c r="F917" s="261" t="s">
        <v>20872</v>
      </c>
      <c r="G917" s="261"/>
      <c r="H917" s="261"/>
      <c r="I917" s="261" t="s">
        <v>122</v>
      </c>
      <c r="J917" s="261" t="s">
        <v>19604</v>
      </c>
      <c r="K917" s="262">
        <v>20</v>
      </c>
    </row>
    <row r="918" spans="1:11" x14ac:dyDescent="0.2">
      <c r="A918" s="306" t="s">
        <v>20424</v>
      </c>
      <c r="B918" s="261" t="s">
        <v>20424</v>
      </c>
      <c r="C918" s="261" t="s">
        <v>13976</v>
      </c>
      <c r="D918" s="261" t="s">
        <v>18017</v>
      </c>
      <c r="E918" s="261">
        <v>11</v>
      </c>
      <c r="F918" s="261" t="s">
        <v>20873</v>
      </c>
      <c r="G918" s="261"/>
      <c r="H918" s="261"/>
      <c r="I918" s="261" t="s">
        <v>122</v>
      </c>
      <c r="J918" s="261" t="s">
        <v>19602</v>
      </c>
      <c r="K918" s="262">
        <v>20</v>
      </c>
    </row>
    <row r="919" spans="1:11" x14ac:dyDescent="0.2">
      <c r="A919" s="306" t="s">
        <v>20424</v>
      </c>
      <c r="B919" s="261" t="s">
        <v>20424</v>
      </c>
      <c r="C919" s="261" t="s">
        <v>13976</v>
      </c>
      <c r="D919" s="261" t="s">
        <v>18017</v>
      </c>
      <c r="E919" s="261">
        <v>12</v>
      </c>
      <c r="F919" s="261" t="s">
        <v>20874</v>
      </c>
      <c r="G919" s="261"/>
      <c r="H919" s="261"/>
      <c r="I919" s="261" t="s">
        <v>10772</v>
      </c>
      <c r="J919" s="261" t="s">
        <v>19618</v>
      </c>
      <c r="K919" s="262">
        <v>100</v>
      </c>
    </row>
    <row r="920" spans="1:11" x14ac:dyDescent="0.2">
      <c r="A920" s="306" t="s">
        <v>20028</v>
      </c>
      <c r="B920" s="261" t="s">
        <v>20028</v>
      </c>
      <c r="C920" s="261" t="s">
        <v>13983</v>
      </c>
      <c r="D920" s="261" t="s">
        <v>18046</v>
      </c>
      <c r="E920" s="261">
        <v>1</v>
      </c>
      <c r="F920" s="261" t="s">
        <v>19688</v>
      </c>
      <c r="G920" s="261" t="s">
        <v>20134</v>
      </c>
      <c r="H920" s="261" t="s">
        <v>20135</v>
      </c>
      <c r="I920" s="261"/>
      <c r="J920" s="261"/>
      <c r="K920" s="262"/>
    </row>
    <row r="921" spans="1:11" x14ac:dyDescent="0.2">
      <c r="A921" s="306" t="s">
        <v>20028</v>
      </c>
      <c r="B921" s="261" t="s">
        <v>20028</v>
      </c>
      <c r="C921" s="261" t="s">
        <v>13983</v>
      </c>
      <c r="D921" s="261" t="s">
        <v>18046</v>
      </c>
      <c r="E921" s="261">
        <v>2</v>
      </c>
      <c r="F921" s="261" t="s">
        <v>19688</v>
      </c>
      <c r="G921" s="261" t="s">
        <v>13986</v>
      </c>
      <c r="H921" s="261" t="s">
        <v>13987</v>
      </c>
      <c r="I921" s="261"/>
      <c r="J921" s="261"/>
      <c r="K921" s="262"/>
    </row>
    <row r="922" spans="1:11" x14ac:dyDescent="0.2">
      <c r="A922" s="306" t="s">
        <v>20028</v>
      </c>
      <c r="B922" s="261" t="s">
        <v>20028</v>
      </c>
      <c r="C922" s="261" t="s">
        <v>13983</v>
      </c>
      <c r="D922" s="261" t="s">
        <v>18046</v>
      </c>
      <c r="E922" s="261">
        <v>3</v>
      </c>
      <c r="F922" s="261" t="s">
        <v>20882</v>
      </c>
      <c r="G922" s="261"/>
      <c r="H922" s="261"/>
      <c r="I922" s="261"/>
      <c r="J922" s="261" t="s">
        <v>20896</v>
      </c>
      <c r="K922" s="262">
        <v>7</v>
      </c>
    </row>
    <row r="923" spans="1:11" x14ac:dyDescent="0.2">
      <c r="A923" s="306" t="s">
        <v>20028</v>
      </c>
      <c r="B923" s="261" t="s">
        <v>20028</v>
      </c>
      <c r="C923" s="261" t="s">
        <v>13983</v>
      </c>
      <c r="D923" s="261" t="s">
        <v>18046</v>
      </c>
      <c r="E923" s="261">
        <v>4</v>
      </c>
      <c r="F923" s="261" t="s">
        <v>20884</v>
      </c>
      <c r="G923" s="261"/>
      <c r="H923" s="261"/>
      <c r="I923" s="261"/>
      <c r="J923" s="261" t="s">
        <v>20896</v>
      </c>
      <c r="K923" s="262">
        <v>7</v>
      </c>
    </row>
    <row r="924" spans="1:11" x14ac:dyDescent="0.2">
      <c r="A924" s="306" t="s">
        <v>20028</v>
      </c>
      <c r="B924" s="261" t="s">
        <v>20028</v>
      </c>
      <c r="C924" s="261" t="s">
        <v>13983</v>
      </c>
      <c r="D924" s="261" t="s">
        <v>18046</v>
      </c>
      <c r="E924" s="261">
        <v>5</v>
      </c>
      <c r="F924" s="261" t="s">
        <v>20868</v>
      </c>
      <c r="G924" s="261"/>
      <c r="H924" s="261"/>
      <c r="I924" s="261"/>
      <c r="J924" s="261" t="s">
        <v>20896</v>
      </c>
      <c r="K924" s="262">
        <v>7</v>
      </c>
    </row>
    <row r="925" spans="1:11" x14ac:dyDescent="0.2">
      <c r="A925" s="306" t="s">
        <v>20028</v>
      </c>
      <c r="B925" s="261" t="s">
        <v>20028</v>
      </c>
      <c r="C925" s="261" t="s">
        <v>13983</v>
      </c>
      <c r="D925" s="261" t="s">
        <v>18046</v>
      </c>
      <c r="E925" s="261">
        <v>6</v>
      </c>
      <c r="F925" s="261" t="s">
        <v>20885</v>
      </c>
      <c r="G925" s="261"/>
      <c r="H925" s="261"/>
      <c r="I925" s="261"/>
      <c r="J925" s="261" t="s">
        <v>20896</v>
      </c>
      <c r="K925" s="262">
        <v>7</v>
      </c>
    </row>
    <row r="926" spans="1:11" x14ac:dyDescent="0.2">
      <c r="A926" s="306" t="s">
        <v>20028</v>
      </c>
      <c r="B926" s="261" t="s">
        <v>20028</v>
      </c>
      <c r="C926" s="261" t="s">
        <v>13983</v>
      </c>
      <c r="D926" s="261" t="s">
        <v>18046</v>
      </c>
      <c r="E926" s="261">
        <v>7</v>
      </c>
      <c r="F926" s="261" t="s">
        <v>20886</v>
      </c>
      <c r="G926" s="261"/>
      <c r="H926" s="261"/>
      <c r="I926" s="261"/>
      <c r="J926" s="261" t="s">
        <v>20896</v>
      </c>
      <c r="K926" s="262">
        <v>6</v>
      </c>
    </row>
    <row r="927" spans="1:11" x14ac:dyDescent="0.2">
      <c r="A927" s="306" t="s">
        <v>20028</v>
      </c>
      <c r="B927" s="261" t="s">
        <v>20028</v>
      </c>
      <c r="C927" s="261" t="s">
        <v>13983</v>
      </c>
      <c r="D927" s="261" t="s">
        <v>18046</v>
      </c>
      <c r="E927" s="261">
        <v>8</v>
      </c>
      <c r="F927" s="261" t="s">
        <v>20027</v>
      </c>
      <c r="G927" s="261" t="s">
        <v>9323</v>
      </c>
      <c r="H927" s="261" t="s">
        <v>9324</v>
      </c>
      <c r="I927" s="261"/>
      <c r="J927" s="261"/>
      <c r="K927" s="262"/>
    </row>
    <row r="928" spans="1:11" x14ac:dyDescent="0.2">
      <c r="A928" s="306" t="s">
        <v>20028</v>
      </c>
      <c r="B928" s="261" t="s">
        <v>18085</v>
      </c>
      <c r="C928" s="261" t="s">
        <v>13983</v>
      </c>
      <c r="D928" s="261" t="s">
        <v>18046</v>
      </c>
      <c r="E928" s="261">
        <v>9</v>
      </c>
      <c r="F928" s="261" t="s">
        <v>20897</v>
      </c>
      <c r="G928" s="261" t="s">
        <v>14652</v>
      </c>
      <c r="H928" s="261" t="s">
        <v>14653</v>
      </c>
      <c r="I928" s="261"/>
      <c r="J928" s="261"/>
      <c r="K928" s="262"/>
    </row>
    <row r="929" spans="1:11" x14ac:dyDescent="0.2">
      <c r="A929" s="306" t="s">
        <v>20028</v>
      </c>
      <c r="B929" s="261" t="s">
        <v>18087</v>
      </c>
      <c r="C929" s="261" t="s">
        <v>13983</v>
      </c>
      <c r="D929" s="261" t="s">
        <v>18046</v>
      </c>
      <c r="E929" s="261">
        <v>10</v>
      </c>
      <c r="F929" s="261" t="s">
        <v>20898</v>
      </c>
      <c r="G929" s="261" t="s">
        <v>14439</v>
      </c>
      <c r="H929" s="261" t="s">
        <v>14440</v>
      </c>
      <c r="I929" s="261"/>
      <c r="J929" s="261"/>
      <c r="K929" s="262"/>
    </row>
    <row r="930" spans="1:11" x14ac:dyDescent="0.2">
      <c r="A930" s="306" t="s">
        <v>20028</v>
      </c>
      <c r="B930" s="261" t="s">
        <v>18089</v>
      </c>
      <c r="C930" s="261" t="s">
        <v>13983</v>
      </c>
      <c r="D930" s="261" t="s">
        <v>18046</v>
      </c>
      <c r="E930" s="261">
        <v>11</v>
      </c>
      <c r="F930" s="261" t="s">
        <v>20899</v>
      </c>
      <c r="G930" s="261" t="s">
        <v>13980</v>
      </c>
      <c r="H930" s="261" t="s">
        <v>13981</v>
      </c>
      <c r="I930" s="261"/>
      <c r="J930" s="261"/>
      <c r="K930" s="262"/>
    </row>
    <row r="931" spans="1:11" x14ac:dyDescent="0.2">
      <c r="A931" s="306" t="s">
        <v>20028</v>
      </c>
      <c r="B931" s="261" t="s">
        <v>18090</v>
      </c>
      <c r="C931" s="261" t="s">
        <v>13983</v>
      </c>
      <c r="D931" s="261" t="s">
        <v>18046</v>
      </c>
      <c r="E931" s="261">
        <v>12</v>
      </c>
      <c r="F931" s="261" t="s">
        <v>20900</v>
      </c>
      <c r="G931" s="261" t="s">
        <v>2763</v>
      </c>
      <c r="H931" s="261" t="s">
        <v>2764</v>
      </c>
      <c r="I931" s="261"/>
      <c r="J931" s="261"/>
      <c r="K931" s="262"/>
    </row>
    <row r="932" spans="1:11" x14ac:dyDescent="0.2">
      <c r="A932" s="306" t="s">
        <v>20028</v>
      </c>
      <c r="B932" s="261" t="s">
        <v>18091</v>
      </c>
      <c r="C932" s="261" t="s">
        <v>13983</v>
      </c>
      <c r="D932" s="261" t="s">
        <v>18046</v>
      </c>
      <c r="E932" s="261">
        <v>13</v>
      </c>
      <c r="F932" s="261" t="s">
        <v>20901</v>
      </c>
      <c r="G932" s="261" t="s">
        <v>13984</v>
      </c>
      <c r="H932" s="261" t="s">
        <v>13985</v>
      </c>
      <c r="I932" s="261"/>
      <c r="J932" s="261"/>
      <c r="K932" s="262"/>
    </row>
    <row r="933" spans="1:11" x14ac:dyDescent="0.2">
      <c r="A933" s="306" t="s">
        <v>20028</v>
      </c>
      <c r="B933" s="261" t="s">
        <v>18093</v>
      </c>
      <c r="C933" s="261" t="s">
        <v>13983</v>
      </c>
      <c r="D933" s="261" t="s">
        <v>18046</v>
      </c>
      <c r="E933" s="261">
        <v>14</v>
      </c>
      <c r="F933" s="261" t="s">
        <v>20902</v>
      </c>
      <c r="G933" s="261" t="s">
        <v>2552</v>
      </c>
      <c r="H933" s="261" t="s">
        <v>2553</v>
      </c>
      <c r="I933" s="261"/>
      <c r="J933" s="261"/>
      <c r="K933" s="262"/>
    </row>
    <row r="934" spans="1:11" x14ac:dyDescent="0.2">
      <c r="A934" s="306" t="s">
        <v>20028</v>
      </c>
      <c r="B934" s="261" t="s">
        <v>20028</v>
      </c>
      <c r="C934" s="261" t="s">
        <v>13983</v>
      </c>
      <c r="D934" s="261" t="s">
        <v>18046</v>
      </c>
      <c r="E934" s="261">
        <v>15</v>
      </c>
      <c r="F934" s="261" t="s">
        <v>20870</v>
      </c>
      <c r="G934" s="261"/>
      <c r="H934" s="261"/>
      <c r="I934" s="261" t="s">
        <v>1947</v>
      </c>
      <c r="J934" s="261" t="s">
        <v>19599</v>
      </c>
      <c r="K934" s="262">
        <v>20</v>
      </c>
    </row>
    <row r="935" spans="1:11" x14ac:dyDescent="0.2">
      <c r="A935" s="306" t="s">
        <v>20028</v>
      </c>
      <c r="B935" s="261" t="s">
        <v>20028</v>
      </c>
      <c r="C935" s="261" t="s">
        <v>13983</v>
      </c>
      <c r="D935" s="261" t="s">
        <v>18046</v>
      </c>
      <c r="E935" s="261">
        <v>16</v>
      </c>
      <c r="F935" s="261" t="s">
        <v>20888</v>
      </c>
      <c r="G935" s="261"/>
      <c r="H935" s="261"/>
      <c r="I935" s="261" t="s">
        <v>1947</v>
      </c>
      <c r="J935" s="261" t="s">
        <v>19603</v>
      </c>
      <c r="K935" s="262">
        <v>20</v>
      </c>
    </row>
    <row r="936" spans="1:11" x14ac:dyDescent="0.2">
      <c r="A936" s="306" t="s">
        <v>20028</v>
      </c>
      <c r="B936" s="261" t="s">
        <v>20028</v>
      </c>
      <c r="C936" s="261" t="s">
        <v>13983</v>
      </c>
      <c r="D936" s="261" t="s">
        <v>18046</v>
      </c>
      <c r="E936" s="261">
        <v>17</v>
      </c>
      <c r="F936" s="261" t="s">
        <v>20903</v>
      </c>
      <c r="G936" s="261"/>
      <c r="H936" s="261"/>
      <c r="I936" s="261" t="s">
        <v>1947</v>
      </c>
      <c r="J936" s="261" t="s">
        <v>19600</v>
      </c>
      <c r="K936" s="262">
        <v>20</v>
      </c>
    </row>
    <row r="937" spans="1:11" x14ac:dyDescent="0.2">
      <c r="A937" s="306" t="s">
        <v>20028</v>
      </c>
      <c r="B937" s="261" t="s">
        <v>20028</v>
      </c>
      <c r="C937" s="261" t="s">
        <v>13983</v>
      </c>
      <c r="D937" s="261" t="s">
        <v>18046</v>
      </c>
      <c r="E937" s="261">
        <v>18</v>
      </c>
      <c r="F937" s="261" t="s">
        <v>20872</v>
      </c>
      <c r="G937" s="261"/>
      <c r="H937" s="261"/>
      <c r="I937" s="261" t="s">
        <v>1947</v>
      </c>
      <c r="J937" s="261" t="s">
        <v>19601</v>
      </c>
      <c r="K937" s="262">
        <v>20</v>
      </c>
    </row>
    <row r="938" spans="1:11" x14ac:dyDescent="0.2">
      <c r="A938" s="306" t="s">
        <v>20028</v>
      </c>
      <c r="B938" s="261" t="s">
        <v>20028</v>
      </c>
      <c r="C938" s="261" t="s">
        <v>13983</v>
      </c>
      <c r="D938" s="261" t="s">
        <v>18046</v>
      </c>
      <c r="E938" s="261">
        <v>19</v>
      </c>
      <c r="F938" s="261" t="s">
        <v>20889</v>
      </c>
      <c r="G938" s="261"/>
      <c r="H938" s="261"/>
      <c r="I938" s="261" t="s">
        <v>1947</v>
      </c>
      <c r="J938" s="261" t="s">
        <v>19604</v>
      </c>
      <c r="K938" s="262">
        <v>20</v>
      </c>
    </row>
    <row r="939" spans="1:11" x14ac:dyDescent="0.2">
      <c r="A939" s="306" t="s">
        <v>20028</v>
      </c>
      <c r="B939" s="261" t="s">
        <v>20028</v>
      </c>
      <c r="C939" s="261" t="s">
        <v>13983</v>
      </c>
      <c r="D939" s="261" t="s">
        <v>18046</v>
      </c>
      <c r="E939" s="261">
        <v>20</v>
      </c>
      <c r="F939" s="261" t="s">
        <v>20890</v>
      </c>
      <c r="G939" s="261"/>
      <c r="H939" s="261"/>
      <c r="I939" s="261" t="s">
        <v>1947</v>
      </c>
      <c r="J939" s="261" t="s">
        <v>19602</v>
      </c>
      <c r="K939" s="262">
        <v>20</v>
      </c>
    </row>
    <row r="940" spans="1:11" x14ac:dyDescent="0.2">
      <c r="A940" s="306" t="s">
        <v>20028</v>
      </c>
      <c r="B940" s="261" t="s">
        <v>20028</v>
      </c>
      <c r="C940" s="261" t="s">
        <v>13983</v>
      </c>
      <c r="D940" s="261" t="s">
        <v>18046</v>
      </c>
      <c r="E940" s="261">
        <v>21</v>
      </c>
      <c r="F940" s="261" t="s">
        <v>20891</v>
      </c>
      <c r="G940" s="261"/>
      <c r="H940" s="261"/>
      <c r="I940" s="261" t="s">
        <v>1947</v>
      </c>
      <c r="J940" s="261" t="s">
        <v>19618</v>
      </c>
      <c r="K940" s="262">
        <v>100</v>
      </c>
    </row>
    <row r="941" spans="1:11" x14ac:dyDescent="0.2">
      <c r="A941" s="306" t="s">
        <v>20428</v>
      </c>
      <c r="B941" s="261" t="s">
        <v>20428</v>
      </c>
      <c r="C941" s="261" t="s">
        <v>13990</v>
      </c>
      <c r="D941" s="261" t="s">
        <v>18017</v>
      </c>
      <c r="E941" s="261">
        <v>1</v>
      </c>
      <c r="F941" s="261" t="s">
        <v>19688</v>
      </c>
      <c r="G941" s="261" t="s">
        <v>14443</v>
      </c>
      <c r="H941" s="261" t="s">
        <v>14444</v>
      </c>
      <c r="I941" s="261"/>
      <c r="J941" s="261"/>
      <c r="K941" s="262"/>
    </row>
    <row r="942" spans="1:11" x14ac:dyDescent="0.2">
      <c r="A942" s="306" t="s">
        <v>20428</v>
      </c>
      <c r="B942" s="261" t="s">
        <v>18100</v>
      </c>
      <c r="C942" s="261" t="s">
        <v>13990</v>
      </c>
      <c r="D942" s="261" t="s">
        <v>18017</v>
      </c>
      <c r="E942" s="261">
        <v>2</v>
      </c>
      <c r="F942" s="261" t="s">
        <v>20904</v>
      </c>
      <c r="G942" s="261" t="s">
        <v>3437</v>
      </c>
      <c r="H942" s="261" t="s">
        <v>3438</v>
      </c>
      <c r="I942" s="261"/>
      <c r="J942" s="261"/>
      <c r="K942" s="262"/>
    </row>
    <row r="943" spans="1:11" x14ac:dyDescent="0.2">
      <c r="A943" s="306" t="s">
        <v>20428</v>
      </c>
      <c r="B943" s="261" t="s">
        <v>18102</v>
      </c>
      <c r="C943" s="261" t="s">
        <v>13990</v>
      </c>
      <c r="D943" s="261" t="s">
        <v>18017</v>
      </c>
      <c r="E943" s="261">
        <v>3</v>
      </c>
      <c r="F943" s="261" t="s">
        <v>20905</v>
      </c>
      <c r="G943" s="261" t="s">
        <v>2466</v>
      </c>
      <c r="H943" s="261" t="s">
        <v>2467</v>
      </c>
      <c r="I943" s="261"/>
      <c r="J943" s="261"/>
      <c r="K943" s="262"/>
    </row>
    <row r="944" spans="1:11" x14ac:dyDescent="0.2">
      <c r="A944" s="306" t="s">
        <v>20428</v>
      </c>
      <c r="B944" s="261" t="s">
        <v>18106</v>
      </c>
      <c r="C944" s="261" t="s">
        <v>13990</v>
      </c>
      <c r="D944" s="261" t="s">
        <v>18017</v>
      </c>
      <c r="E944" s="261">
        <v>4</v>
      </c>
      <c r="F944" s="261" t="s">
        <v>20906</v>
      </c>
      <c r="G944" s="261" t="s">
        <v>3662</v>
      </c>
      <c r="H944" s="261" t="s">
        <v>3663</v>
      </c>
      <c r="I944" s="261"/>
      <c r="J944" s="261"/>
      <c r="K944" s="262"/>
    </row>
    <row r="945" spans="1:11" x14ac:dyDescent="0.2">
      <c r="A945" s="306" t="s">
        <v>20428</v>
      </c>
      <c r="B945" s="261" t="s">
        <v>18109</v>
      </c>
      <c r="C945" s="261" t="s">
        <v>13990</v>
      </c>
      <c r="D945" s="261" t="s">
        <v>18017</v>
      </c>
      <c r="E945" s="261">
        <v>5</v>
      </c>
      <c r="F945" s="261" t="s">
        <v>20907</v>
      </c>
      <c r="G945" s="261" t="s">
        <v>9760</v>
      </c>
      <c r="H945" s="261" t="s">
        <v>9761</v>
      </c>
      <c r="I945" s="261"/>
      <c r="J945" s="261"/>
      <c r="K945" s="262"/>
    </row>
    <row r="946" spans="1:11" x14ac:dyDescent="0.2">
      <c r="A946" s="306" t="s">
        <v>20428</v>
      </c>
      <c r="B946" s="261" t="s">
        <v>18110</v>
      </c>
      <c r="C946" s="261" t="s">
        <v>13990</v>
      </c>
      <c r="D946" s="261" t="s">
        <v>18017</v>
      </c>
      <c r="E946" s="261">
        <v>6</v>
      </c>
      <c r="F946" s="261" t="s">
        <v>20908</v>
      </c>
      <c r="G946" s="261" t="s">
        <v>13988</v>
      </c>
      <c r="H946" s="261" t="s">
        <v>13989</v>
      </c>
      <c r="I946" s="261"/>
      <c r="J946" s="261"/>
      <c r="K946" s="262"/>
    </row>
    <row r="947" spans="1:11" x14ac:dyDescent="0.2">
      <c r="A947" s="306" t="s">
        <v>20428</v>
      </c>
      <c r="B947" s="261" t="s">
        <v>18111</v>
      </c>
      <c r="C947" s="261" t="s">
        <v>13990</v>
      </c>
      <c r="D947" s="261" t="s">
        <v>18017</v>
      </c>
      <c r="E947" s="261">
        <v>7</v>
      </c>
      <c r="F947" s="261" t="s">
        <v>20909</v>
      </c>
      <c r="G947" s="261" t="s">
        <v>3557</v>
      </c>
      <c r="H947" s="261" t="s">
        <v>3558</v>
      </c>
      <c r="I947" s="261"/>
      <c r="J947" s="261"/>
      <c r="K947" s="262"/>
    </row>
    <row r="948" spans="1:11" x14ac:dyDescent="0.2">
      <c r="A948" s="306" t="s">
        <v>20428</v>
      </c>
      <c r="B948" s="261" t="s">
        <v>20428</v>
      </c>
      <c r="C948" s="261" t="s">
        <v>13990</v>
      </c>
      <c r="D948" s="261" t="s">
        <v>18017</v>
      </c>
      <c r="E948" s="261">
        <v>8</v>
      </c>
      <c r="F948" s="261" t="s">
        <v>20868</v>
      </c>
      <c r="G948" s="261"/>
      <c r="H948" s="261"/>
      <c r="I948" s="261" t="s">
        <v>2837</v>
      </c>
      <c r="J948" s="261" t="s">
        <v>19599</v>
      </c>
      <c r="K948" s="262">
        <v>20</v>
      </c>
    </row>
    <row r="949" spans="1:11" x14ac:dyDescent="0.2">
      <c r="A949" s="306" t="s">
        <v>20428</v>
      </c>
      <c r="B949" s="261" t="s">
        <v>20428</v>
      </c>
      <c r="C949" s="261" t="s">
        <v>13990</v>
      </c>
      <c r="D949" s="261" t="s">
        <v>18017</v>
      </c>
      <c r="E949" s="261">
        <v>9</v>
      </c>
      <c r="F949" s="261" t="s">
        <v>20869</v>
      </c>
      <c r="G949" s="261"/>
      <c r="H949" s="261"/>
      <c r="I949" s="261" t="s">
        <v>2837</v>
      </c>
      <c r="J949" s="261" t="s">
        <v>19600</v>
      </c>
      <c r="K949" s="262">
        <v>20</v>
      </c>
    </row>
    <row r="950" spans="1:11" x14ac:dyDescent="0.2">
      <c r="A950" s="306" t="s">
        <v>20428</v>
      </c>
      <c r="B950" s="261" t="s">
        <v>20428</v>
      </c>
      <c r="C950" s="261" t="s">
        <v>13990</v>
      </c>
      <c r="D950" s="261" t="s">
        <v>18017</v>
      </c>
      <c r="E950" s="261">
        <v>10</v>
      </c>
      <c r="F950" s="261" t="s">
        <v>20870</v>
      </c>
      <c r="G950" s="261"/>
      <c r="H950" s="261"/>
      <c r="I950" s="261" t="s">
        <v>2837</v>
      </c>
      <c r="J950" s="261" t="s">
        <v>19603</v>
      </c>
      <c r="K950" s="262">
        <v>20</v>
      </c>
    </row>
    <row r="951" spans="1:11" x14ac:dyDescent="0.2">
      <c r="A951" s="306" t="s">
        <v>20428</v>
      </c>
      <c r="B951" s="261" t="s">
        <v>20428</v>
      </c>
      <c r="C951" s="261" t="s">
        <v>13990</v>
      </c>
      <c r="D951" s="261" t="s">
        <v>18017</v>
      </c>
      <c r="E951" s="261">
        <v>11</v>
      </c>
      <c r="F951" s="261" t="s">
        <v>20871</v>
      </c>
      <c r="G951" s="261"/>
      <c r="H951" s="261"/>
      <c r="I951" s="261" t="s">
        <v>2837</v>
      </c>
      <c r="J951" s="261" t="s">
        <v>19601</v>
      </c>
      <c r="K951" s="262">
        <v>20</v>
      </c>
    </row>
    <row r="952" spans="1:11" x14ac:dyDescent="0.2">
      <c r="A952" s="306" t="s">
        <v>20428</v>
      </c>
      <c r="B952" s="261" t="s">
        <v>20428</v>
      </c>
      <c r="C952" s="261" t="s">
        <v>13990</v>
      </c>
      <c r="D952" s="261" t="s">
        <v>18017</v>
      </c>
      <c r="E952" s="261">
        <v>12</v>
      </c>
      <c r="F952" s="261" t="s">
        <v>20872</v>
      </c>
      <c r="G952" s="261"/>
      <c r="H952" s="261"/>
      <c r="I952" s="261" t="s">
        <v>2837</v>
      </c>
      <c r="J952" s="261" t="s">
        <v>19604</v>
      </c>
      <c r="K952" s="262">
        <v>20</v>
      </c>
    </row>
    <row r="953" spans="1:11" x14ac:dyDescent="0.2">
      <c r="A953" s="306" t="s">
        <v>20428</v>
      </c>
      <c r="B953" s="261" t="s">
        <v>20428</v>
      </c>
      <c r="C953" s="261" t="s">
        <v>13990</v>
      </c>
      <c r="D953" s="261" t="s">
        <v>18017</v>
      </c>
      <c r="E953" s="261">
        <v>13</v>
      </c>
      <c r="F953" s="261" t="s">
        <v>20873</v>
      </c>
      <c r="G953" s="261"/>
      <c r="H953" s="261"/>
      <c r="I953" s="261" t="s">
        <v>2837</v>
      </c>
      <c r="J953" s="261" t="s">
        <v>19602</v>
      </c>
      <c r="K953" s="262">
        <v>20</v>
      </c>
    </row>
    <row r="954" spans="1:11" x14ac:dyDescent="0.2">
      <c r="A954" s="306" t="s">
        <v>20428</v>
      </c>
      <c r="B954" s="261" t="s">
        <v>20428</v>
      </c>
      <c r="C954" s="261" t="s">
        <v>13990</v>
      </c>
      <c r="D954" s="261" t="s">
        <v>18017</v>
      </c>
      <c r="E954" s="261">
        <v>14</v>
      </c>
      <c r="F954" s="261" t="s">
        <v>20874</v>
      </c>
      <c r="G954" s="261"/>
      <c r="H954" s="261"/>
      <c r="I954" s="261" t="s">
        <v>10772</v>
      </c>
      <c r="J954" s="261" t="s">
        <v>19618</v>
      </c>
      <c r="K954" s="262">
        <v>100</v>
      </c>
    </row>
    <row r="955" spans="1:11" x14ac:dyDescent="0.2">
      <c r="A955" s="306" t="s">
        <v>19773</v>
      </c>
      <c r="B955" s="261" t="s">
        <v>19773</v>
      </c>
      <c r="C955" s="261" t="s">
        <v>14001</v>
      </c>
      <c r="D955" s="261" t="s">
        <v>18046</v>
      </c>
      <c r="E955" s="261">
        <v>1</v>
      </c>
      <c r="F955" s="261" t="s">
        <v>19688</v>
      </c>
      <c r="G955" s="261" t="s">
        <v>20136</v>
      </c>
      <c r="H955" s="261" t="s">
        <v>20137</v>
      </c>
      <c r="I955" s="261"/>
      <c r="J955" s="261"/>
      <c r="K955" s="262"/>
    </row>
    <row r="956" spans="1:11" x14ac:dyDescent="0.2">
      <c r="A956" s="306" t="s">
        <v>19773</v>
      </c>
      <c r="B956" s="261" t="s">
        <v>19773</v>
      </c>
      <c r="C956" s="261" t="s">
        <v>14001</v>
      </c>
      <c r="D956" s="261" t="s">
        <v>18046</v>
      </c>
      <c r="E956" s="261">
        <v>2</v>
      </c>
      <c r="F956" s="261" t="s">
        <v>19688</v>
      </c>
      <c r="G956" s="261" t="s">
        <v>14004</v>
      </c>
      <c r="H956" s="261" t="s">
        <v>14005</v>
      </c>
      <c r="I956" s="261"/>
      <c r="J956" s="261"/>
      <c r="K956" s="262"/>
    </row>
    <row r="957" spans="1:11" x14ac:dyDescent="0.2">
      <c r="A957" s="306" t="s">
        <v>19773</v>
      </c>
      <c r="B957" s="261" t="s">
        <v>19773</v>
      </c>
      <c r="C957" s="261" t="s">
        <v>14001</v>
      </c>
      <c r="D957" s="261" t="s">
        <v>18046</v>
      </c>
      <c r="E957" s="261">
        <v>3</v>
      </c>
      <c r="F957" s="261" t="s">
        <v>20910</v>
      </c>
      <c r="G957" s="261" t="s">
        <v>13998</v>
      </c>
      <c r="H957" s="261" t="s">
        <v>13999</v>
      </c>
      <c r="I957" s="261"/>
      <c r="J957" s="261"/>
      <c r="K957" s="262"/>
    </row>
    <row r="958" spans="1:11" x14ac:dyDescent="0.2">
      <c r="A958" s="306" t="s">
        <v>19773</v>
      </c>
      <c r="B958" s="261" t="s">
        <v>19773</v>
      </c>
      <c r="C958" s="261" t="s">
        <v>14001</v>
      </c>
      <c r="D958" s="261" t="s">
        <v>18046</v>
      </c>
      <c r="E958" s="261">
        <v>4</v>
      </c>
      <c r="F958" s="261" t="s">
        <v>20910</v>
      </c>
      <c r="G958" s="261" t="s">
        <v>14002</v>
      </c>
      <c r="H958" s="261" t="s">
        <v>14003</v>
      </c>
      <c r="I958" s="261"/>
      <c r="J958" s="261"/>
      <c r="K958" s="262"/>
    </row>
    <row r="959" spans="1:11" x14ac:dyDescent="0.2">
      <c r="A959" s="306" t="s">
        <v>19773</v>
      </c>
      <c r="B959" s="261" t="s">
        <v>19773</v>
      </c>
      <c r="C959" s="261" t="s">
        <v>14001</v>
      </c>
      <c r="D959" s="261" t="s">
        <v>18046</v>
      </c>
      <c r="E959" s="261">
        <v>5</v>
      </c>
      <c r="F959" s="261" t="s">
        <v>20910</v>
      </c>
      <c r="G959" s="261" t="s">
        <v>14006</v>
      </c>
      <c r="H959" s="261" t="s">
        <v>14007</v>
      </c>
      <c r="I959" s="261"/>
      <c r="J959" s="261"/>
      <c r="K959" s="262"/>
    </row>
    <row r="960" spans="1:11" x14ac:dyDescent="0.2">
      <c r="A960" s="306" t="s">
        <v>19773</v>
      </c>
      <c r="B960" s="261" t="s">
        <v>19773</v>
      </c>
      <c r="C960" s="261" t="s">
        <v>14001</v>
      </c>
      <c r="D960" s="261" t="s">
        <v>18046</v>
      </c>
      <c r="E960" s="261">
        <v>6</v>
      </c>
      <c r="F960" s="261" t="s">
        <v>20910</v>
      </c>
      <c r="G960" s="261" t="s">
        <v>14153</v>
      </c>
      <c r="H960" s="261" t="s">
        <v>14154</v>
      </c>
      <c r="I960" s="261"/>
      <c r="J960" s="261"/>
      <c r="K960" s="262"/>
    </row>
    <row r="961" spans="1:11" x14ac:dyDescent="0.2">
      <c r="A961" s="306" t="s">
        <v>19773</v>
      </c>
      <c r="B961" s="261" t="s">
        <v>19773</v>
      </c>
      <c r="C961" s="261" t="s">
        <v>14001</v>
      </c>
      <c r="D961" s="261" t="s">
        <v>18046</v>
      </c>
      <c r="E961" s="261">
        <v>7</v>
      </c>
      <c r="F961" s="261" t="s">
        <v>20910</v>
      </c>
      <c r="G961" s="261" t="s">
        <v>14445</v>
      </c>
      <c r="H961" s="261" t="s">
        <v>14446</v>
      </c>
      <c r="I961" s="261"/>
      <c r="J961" s="261"/>
      <c r="K961" s="262"/>
    </row>
    <row r="962" spans="1:11" x14ac:dyDescent="0.2">
      <c r="A962" s="306" t="s">
        <v>19773</v>
      </c>
      <c r="B962" s="261" t="s">
        <v>19773</v>
      </c>
      <c r="C962" s="261" t="s">
        <v>14001</v>
      </c>
      <c r="D962" s="261" t="s">
        <v>18046</v>
      </c>
      <c r="E962" s="261">
        <v>8</v>
      </c>
      <c r="F962" s="261" t="s">
        <v>20910</v>
      </c>
      <c r="G962" s="261" t="s">
        <v>14507</v>
      </c>
      <c r="H962" s="261" t="s">
        <v>14508</v>
      </c>
      <c r="I962" s="261"/>
      <c r="J962" s="261"/>
      <c r="K962" s="262"/>
    </row>
    <row r="963" spans="1:11" x14ac:dyDescent="0.2">
      <c r="A963" s="306" t="s">
        <v>19773</v>
      </c>
      <c r="B963" s="261" t="s">
        <v>19773</v>
      </c>
      <c r="C963" s="261" t="s">
        <v>14001</v>
      </c>
      <c r="D963" s="261" t="s">
        <v>18046</v>
      </c>
      <c r="E963" s="261">
        <v>9</v>
      </c>
      <c r="F963" s="261" t="s">
        <v>20910</v>
      </c>
      <c r="G963" s="261" t="s">
        <v>14656</v>
      </c>
      <c r="H963" s="261" t="s">
        <v>14657</v>
      </c>
      <c r="I963" s="261"/>
      <c r="J963" s="261"/>
      <c r="K963" s="262"/>
    </row>
    <row r="964" spans="1:11" x14ac:dyDescent="0.2">
      <c r="A964" s="306" t="s">
        <v>19773</v>
      </c>
      <c r="B964" s="261" t="s">
        <v>19773</v>
      </c>
      <c r="C964" s="261" t="s">
        <v>14001</v>
      </c>
      <c r="D964" s="261" t="s">
        <v>18046</v>
      </c>
      <c r="E964" s="261">
        <v>10</v>
      </c>
      <c r="F964" s="261" t="s">
        <v>20882</v>
      </c>
      <c r="G964" s="261"/>
      <c r="H964" s="261"/>
      <c r="I964" s="261"/>
      <c r="J964" s="261" t="s">
        <v>20911</v>
      </c>
      <c r="K964" s="262">
        <v>7</v>
      </c>
    </row>
    <row r="965" spans="1:11" x14ac:dyDescent="0.2">
      <c r="A965" s="306" t="s">
        <v>19773</v>
      </c>
      <c r="B965" s="261" t="s">
        <v>19773</v>
      </c>
      <c r="C965" s="261" t="s">
        <v>14001</v>
      </c>
      <c r="D965" s="261" t="s">
        <v>18046</v>
      </c>
      <c r="E965" s="261">
        <v>11</v>
      </c>
      <c r="F965" s="261" t="s">
        <v>20884</v>
      </c>
      <c r="G965" s="261"/>
      <c r="H965" s="261"/>
      <c r="I965" s="261"/>
      <c r="J965" s="261" t="s">
        <v>20911</v>
      </c>
      <c r="K965" s="262">
        <v>7</v>
      </c>
    </row>
    <row r="966" spans="1:11" x14ac:dyDescent="0.2">
      <c r="A966" s="306" t="s">
        <v>19773</v>
      </c>
      <c r="B966" s="261" t="s">
        <v>19773</v>
      </c>
      <c r="C966" s="261" t="s">
        <v>14001</v>
      </c>
      <c r="D966" s="261" t="s">
        <v>18046</v>
      </c>
      <c r="E966" s="261">
        <v>12</v>
      </c>
      <c r="F966" s="261" t="s">
        <v>20868</v>
      </c>
      <c r="G966" s="261"/>
      <c r="H966" s="261"/>
      <c r="I966" s="261"/>
      <c r="J966" s="261" t="s">
        <v>20911</v>
      </c>
      <c r="K966" s="262">
        <v>7</v>
      </c>
    </row>
    <row r="967" spans="1:11" x14ac:dyDescent="0.2">
      <c r="A967" s="306" t="s">
        <v>19773</v>
      </c>
      <c r="B967" s="261" t="s">
        <v>19773</v>
      </c>
      <c r="C967" s="261" t="s">
        <v>14001</v>
      </c>
      <c r="D967" s="261" t="s">
        <v>18046</v>
      </c>
      <c r="E967" s="261">
        <v>13</v>
      </c>
      <c r="F967" s="261" t="s">
        <v>20885</v>
      </c>
      <c r="G967" s="261"/>
      <c r="H967" s="261"/>
      <c r="I967" s="261"/>
      <c r="J967" s="261" t="s">
        <v>20911</v>
      </c>
      <c r="K967" s="262">
        <v>7</v>
      </c>
    </row>
    <row r="968" spans="1:11" x14ac:dyDescent="0.2">
      <c r="A968" s="306" t="s">
        <v>19773</v>
      </c>
      <c r="B968" s="261" t="s">
        <v>19773</v>
      </c>
      <c r="C968" s="261" t="s">
        <v>14001</v>
      </c>
      <c r="D968" s="261" t="s">
        <v>18046</v>
      </c>
      <c r="E968" s="261">
        <v>14</v>
      </c>
      <c r="F968" s="261" t="s">
        <v>20886</v>
      </c>
      <c r="G968" s="261"/>
      <c r="H968" s="261"/>
      <c r="I968" s="261"/>
      <c r="J968" s="261" t="s">
        <v>20911</v>
      </c>
      <c r="K968" s="262">
        <v>6</v>
      </c>
    </row>
    <row r="969" spans="1:11" x14ac:dyDescent="0.2">
      <c r="A969" s="306" t="s">
        <v>19773</v>
      </c>
      <c r="B969" s="261" t="s">
        <v>19773</v>
      </c>
      <c r="C969" s="261" t="s">
        <v>14001</v>
      </c>
      <c r="D969" s="261" t="s">
        <v>18046</v>
      </c>
      <c r="E969" s="261">
        <v>15</v>
      </c>
      <c r="F969" s="261" t="s">
        <v>19772</v>
      </c>
      <c r="G969" s="261" t="s">
        <v>1795</v>
      </c>
      <c r="H969" s="261" t="s">
        <v>1796</v>
      </c>
      <c r="I969" s="261"/>
      <c r="J969" s="261"/>
      <c r="K969" s="262"/>
    </row>
    <row r="970" spans="1:11" x14ac:dyDescent="0.2">
      <c r="A970" s="306" t="s">
        <v>19773</v>
      </c>
      <c r="B970" s="261" t="s">
        <v>19773</v>
      </c>
      <c r="C970" s="261" t="s">
        <v>14001</v>
      </c>
      <c r="D970" s="261" t="s">
        <v>18046</v>
      </c>
      <c r="E970" s="261">
        <v>16</v>
      </c>
      <c r="F970" s="261" t="s">
        <v>19843</v>
      </c>
      <c r="G970" s="261" t="s">
        <v>2669</v>
      </c>
      <c r="H970" s="261" t="s">
        <v>2670</v>
      </c>
      <c r="I970" s="261"/>
      <c r="J970" s="261"/>
      <c r="K970" s="262"/>
    </row>
    <row r="971" spans="1:11" x14ac:dyDescent="0.2">
      <c r="A971" s="306" t="s">
        <v>19773</v>
      </c>
      <c r="B971" s="261" t="s">
        <v>19773</v>
      </c>
      <c r="C971" s="261" t="s">
        <v>14001</v>
      </c>
      <c r="D971" s="261" t="s">
        <v>18046</v>
      </c>
      <c r="E971" s="261">
        <v>17</v>
      </c>
      <c r="F971" s="261" t="s">
        <v>20024</v>
      </c>
      <c r="G971" s="261" t="s">
        <v>8902</v>
      </c>
      <c r="H971" s="261" t="s">
        <v>8903</v>
      </c>
      <c r="I971" s="261"/>
      <c r="J971" s="261"/>
      <c r="K971" s="262"/>
    </row>
    <row r="972" spans="1:11" x14ac:dyDescent="0.2">
      <c r="A972" s="306" t="s">
        <v>19773</v>
      </c>
      <c r="B972" s="261" t="s">
        <v>18119</v>
      </c>
      <c r="C972" s="261" t="s">
        <v>14001</v>
      </c>
      <c r="D972" s="261" t="s">
        <v>18046</v>
      </c>
      <c r="E972" s="261">
        <v>18</v>
      </c>
      <c r="F972" s="261" t="s">
        <v>20912</v>
      </c>
      <c r="G972" s="261" t="s">
        <v>1668</v>
      </c>
      <c r="H972" s="261" t="s">
        <v>1669</v>
      </c>
      <c r="I972" s="261"/>
      <c r="J972" s="261"/>
      <c r="K972" s="262"/>
    </row>
    <row r="973" spans="1:11" x14ac:dyDescent="0.2">
      <c r="A973" s="306" t="s">
        <v>19773</v>
      </c>
      <c r="B973" s="261" t="s">
        <v>18120</v>
      </c>
      <c r="C973" s="261" t="s">
        <v>14001</v>
      </c>
      <c r="D973" s="261" t="s">
        <v>18046</v>
      </c>
      <c r="E973" s="261">
        <v>19</v>
      </c>
      <c r="F973" s="261" t="s">
        <v>20913</v>
      </c>
      <c r="G973" s="261" t="s">
        <v>3223</v>
      </c>
      <c r="H973" s="261" t="s">
        <v>3224</v>
      </c>
      <c r="I973" s="261"/>
      <c r="J973" s="261"/>
      <c r="K973" s="262"/>
    </row>
    <row r="974" spans="1:11" x14ac:dyDescent="0.2">
      <c r="A974" s="306" t="s">
        <v>19773</v>
      </c>
      <c r="B974" s="261" t="s">
        <v>18122</v>
      </c>
      <c r="C974" s="261" t="s">
        <v>14001</v>
      </c>
      <c r="D974" s="261" t="s">
        <v>18046</v>
      </c>
      <c r="E974" s="261">
        <v>20</v>
      </c>
      <c r="F974" s="261" t="s">
        <v>20914</v>
      </c>
      <c r="G974" s="261" t="s">
        <v>1340</v>
      </c>
      <c r="H974" s="261" t="s">
        <v>1341</v>
      </c>
      <c r="I974" s="261"/>
      <c r="J974" s="261"/>
      <c r="K974" s="262"/>
    </row>
    <row r="975" spans="1:11" x14ac:dyDescent="0.2">
      <c r="A975" s="306" t="s">
        <v>19773</v>
      </c>
      <c r="B975" s="261" t="s">
        <v>19773</v>
      </c>
      <c r="C975" s="261" t="s">
        <v>14001</v>
      </c>
      <c r="D975" s="261" t="s">
        <v>18046</v>
      </c>
      <c r="E975" s="261">
        <v>21</v>
      </c>
      <c r="F975" s="261" t="s">
        <v>20870</v>
      </c>
      <c r="G975" s="261"/>
      <c r="H975" s="261"/>
      <c r="I975" s="261" t="s">
        <v>1103</v>
      </c>
      <c r="J975" s="261" t="s">
        <v>19599</v>
      </c>
      <c r="K975" s="262">
        <v>20</v>
      </c>
    </row>
    <row r="976" spans="1:11" x14ac:dyDescent="0.2">
      <c r="A976" s="306" t="s">
        <v>19773</v>
      </c>
      <c r="B976" s="261" t="s">
        <v>19773</v>
      </c>
      <c r="C976" s="261" t="s">
        <v>14001</v>
      </c>
      <c r="D976" s="261" t="s">
        <v>18046</v>
      </c>
      <c r="E976" s="261">
        <v>22</v>
      </c>
      <c r="F976" s="261" t="s">
        <v>20888</v>
      </c>
      <c r="G976" s="261"/>
      <c r="H976" s="261"/>
      <c r="I976" s="261" t="s">
        <v>1103</v>
      </c>
      <c r="J976" s="261" t="s">
        <v>19603</v>
      </c>
      <c r="K976" s="262">
        <v>20</v>
      </c>
    </row>
    <row r="977" spans="1:11" x14ac:dyDescent="0.2">
      <c r="A977" s="306" t="s">
        <v>19773</v>
      </c>
      <c r="B977" s="261" t="s">
        <v>19773</v>
      </c>
      <c r="C977" s="261" t="s">
        <v>14001</v>
      </c>
      <c r="D977" s="261" t="s">
        <v>18046</v>
      </c>
      <c r="E977" s="261">
        <v>23</v>
      </c>
      <c r="F977" s="261" t="s">
        <v>20915</v>
      </c>
      <c r="G977" s="261"/>
      <c r="H977" s="261"/>
      <c r="I977" s="261" t="s">
        <v>1103</v>
      </c>
      <c r="J977" s="261" t="s">
        <v>19600</v>
      </c>
      <c r="K977" s="262">
        <v>20</v>
      </c>
    </row>
    <row r="978" spans="1:11" x14ac:dyDescent="0.2">
      <c r="A978" s="306" t="s">
        <v>19773</v>
      </c>
      <c r="B978" s="261" t="s">
        <v>19773</v>
      </c>
      <c r="C978" s="261" t="s">
        <v>14001</v>
      </c>
      <c r="D978" s="261" t="s">
        <v>18046</v>
      </c>
      <c r="E978" s="261">
        <v>24</v>
      </c>
      <c r="F978" s="261" t="s">
        <v>20872</v>
      </c>
      <c r="G978" s="261"/>
      <c r="H978" s="261"/>
      <c r="I978" s="261" t="s">
        <v>1103</v>
      </c>
      <c r="J978" s="261" t="s">
        <v>19601</v>
      </c>
      <c r="K978" s="262">
        <v>20</v>
      </c>
    </row>
    <row r="979" spans="1:11" x14ac:dyDescent="0.2">
      <c r="A979" s="306" t="s">
        <v>19773</v>
      </c>
      <c r="B979" s="261" t="s">
        <v>19773</v>
      </c>
      <c r="C979" s="261" t="s">
        <v>14001</v>
      </c>
      <c r="D979" s="261" t="s">
        <v>18046</v>
      </c>
      <c r="E979" s="261">
        <v>25</v>
      </c>
      <c r="F979" s="261" t="s">
        <v>20889</v>
      </c>
      <c r="G979" s="261"/>
      <c r="H979" s="261"/>
      <c r="I979" s="261" t="s">
        <v>1103</v>
      </c>
      <c r="J979" s="261" t="s">
        <v>19604</v>
      </c>
      <c r="K979" s="262">
        <v>20</v>
      </c>
    </row>
    <row r="980" spans="1:11" x14ac:dyDescent="0.2">
      <c r="A980" s="306" t="s">
        <v>19773</v>
      </c>
      <c r="B980" s="261" t="s">
        <v>19773</v>
      </c>
      <c r="C980" s="261" t="s">
        <v>14001</v>
      </c>
      <c r="D980" s="261" t="s">
        <v>18046</v>
      </c>
      <c r="E980" s="261">
        <v>26</v>
      </c>
      <c r="F980" s="261" t="s">
        <v>20890</v>
      </c>
      <c r="G980" s="261"/>
      <c r="H980" s="261"/>
      <c r="I980" s="261" t="s">
        <v>1103</v>
      </c>
      <c r="J980" s="261" t="s">
        <v>19602</v>
      </c>
      <c r="K980" s="262">
        <v>20</v>
      </c>
    </row>
    <row r="981" spans="1:11" x14ac:dyDescent="0.2">
      <c r="A981" s="306" t="s">
        <v>19773</v>
      </c>
      <c r="B981" s="261" t="s">
        <v>19773</v>
      </c>
      <c r="C981" s="261" t="s">
        <v>14001</v>
      </c>
      <c r="D981" s="261" t="s">
        <v>18046</v>
      </c>
      <c r="E981" s="261">
        <v>27</v>
      </c>
      <c r="F981" s="261" t="s">
        <v>20891</v>
      </c>
      <c r="G981" s="261"/>
      <c r="H981" s="261"/>
      <c r="I981" s="261" t="s">
        <v>1103</v>
      </c>
      <c r="J981" s="261" t="s">
        <v>19618</v>
      </c>
      <c r="K981" s="262">
        <v>100</v>
      </c>
    </row>
    <row r="982" spans="1:11" x14ac:dyDescent="0.2">
      <c r="A982" s="306" t="s">
        <v>20432</v>
      </c>
      <c r="B982" s="261" t="s">
        <v>20432</v>
      </c>
      <c r="C982" s="261" t="s">
        <v>18124</v>
      </c>
      <c r="D982" s="261" t="s">
        <v>18017</v>
      </c>
      <c r="E982" s="261">
        <v>1</v>
      </c>
      <c r="F982" s="261" t="s">
        <v>19688</v>
      </c>
      <c r="G982" s="261" t="s">
        <v>14449</v>
      </c>
      <c r="H982" s="261" t="s">
        <v>14450</v>
      </c>
      <c r="I982" s="261"/>
      <c r="J982" s="261"/>
      <c r="K982" s="262"/>
    </row>
    <row r="983" spans="1:11" x14ac:dyDescent="0.2">
      <c r="A983" s="306" t="s">
        <v>20432</v>
      </c>
      <c r="B983" s="261" t="s">
        <v>18126</v>
      </c>
      <c r="C983" s="261" t="s">
        <v>18124</v>
      </c>
      <c r="D983" s="261" t="s">
        <v>18017</v>
      </c>
      <c r="E983" s="261">
        <v>2</v>
      </c>
      <c r="F983" s="261" t="s">
        <v>20916</v>
      </c>
      <c r="G983" s="261" t="s">
        <v>4244</v>
      </c>
      <c r="H983" s="261" t="s">
        <v>4245</v>
      </c>
      <c r="I983" s="261"/>
      <c r="J983" s="261"/>
      <c r="K983" s="262"/>
    </row>
    <row r="984" spans="1:11" x14ac:dyDescent="0.2">
      <c r="A984" s="306" t="s">
        <v>20432</v>
      </c>
      <c r="B984" s="261" t="s">
        <v>18130</v>
      </c>
      <c r="C984" s="261" t="s">
        <v>18124</v>
      </c>
      <c r="D984" s="261" t="s">
        <v>18017</v>
      </c>
      <c r="E984" s="261">
        <v>3</v>
      </c>
      <c r="F984" s="261" t="s">
        <v>20917</v>
      </c>
      <c r="G984" s="261" t="s">
        <v>4144</v>
      </c>
      <c r="H984" s="261" t="s">
        <v>4145</v>
      </c>
      <c r="I984" s="261"/>
      <c r="J984" s="261"/>
      <c r="K984" s="262"/>
    </row>
    <row r="985" spans="1:11" x14ac:dyDescent="0.2">
      <c r="A985" s="306" t="s">
        <v>20432</v>
      </c>
      <c r="B985" s="261" t="s">
        <v>18132</v>
      </c>
      <c r="C985" s="261" t="s">
        <v>18124</v>
      </c>
      <c r="D985" s="261" t="s">
        <v>18017</v>
      </c>
      <c r="E985" s="261">
        <v>4</v>
      </c>
      <c r="F985" s="261" t="s">
        <v>20918</v>
      </c>
      <c r="G985" s="261" t="s">
        <v>2147</v>
      </c>
      <c r="H985" s="261" t="s">
        <v>2148</v>
      </c>
      <c r="I985" s="261"/>
      <c r="J985" s="261"/>
      <c r="K985" s="262"/>
    </row>
    <row r="986" spans="1:11" x14ac:dyDescent="0.2">
      <c r="A986" s="306" t="s">
        <v>20432</v>
      </c>
      <c r="B986" s="261" t="s">
        <v>18136</v>
      </c>
      <c r="C986" s="261" t="s">
        <v>18124</v>
      </c>
      <c r="D986" s="261" t="s">
        <v>18017</v>
      </c>
      <c r="E986" s="261">
        <v>5</v>
      </c>
      <c r="F986" s="261" t="s">
        <v>20919</v>
      </c>
      <c r="G986" s="261" t="s">
        <v>14013</v>
      </c>
      <c r="H986" s="261" t="s">
        <v>14014</v>
      </c>
      <c r="I986" s="261"/>
      <c r="J986" s="261"/>
      <c r="K986" s="262"/>
    </row>
    <row r="987" spans="1:11" x14ac:dyDescent="0.2">
      <c r="A987" s="306" t="s">
        <v>20432</v>
      </c>
      <c r="B987" s="261" t="s">
        <v>18137</v>
      </c>
      <c r="C987" s="261" t="s">
        <v>18124</v>
      </c>
      <c r="D987" s="261" t="s">
        <v>18017</v>
      </c>
      <c r="E987" s="261">
        <v>6</v>
      </c>
      <c r="F987" s="261" t="s">
        <v>20920</v>
      </c>
      <c r="G987" s="261" t="s">
        <v>3919</v>
      </c>
      <c r="H987" s="261" t="s">
        <v>3920</v>
      </c>
      <c r="I987" s="261"/>
      <c r="J987" s="261"/>
      <c r="K987" s="262"/>
    </row>
    <row r="988" spans="1:11" x14ac:dyDescent="0.2">
      <c r="A988" s="306" t="s">
        <v>20432</v>
      </c>
      <c r="B988" s="261" t="s">
        <v>18138</v>
      </c>
      <c r="C988" s="261" t="s">
        <v>18124</v>
      </c>
      <c r="D988" s="261" t="s">
        <v>18017</v>
      </c>
      <c r="E988" s="261">
        <v>7</v>
      </c>
      <c r="F988" s="261" t="s">
        <v>20921</v>
      </c>
      <c r="G988" s="261" t="s">
        <v>14447</v>
      </c>
      <c r="H988" s="261" t="s">
        <v>14448</v>
      </c>
      <c r="I988" s="261"/>
      <c r="J988" s="261"/>
      <c r="K988" s="262"/>
    </row>
    <row r="989" spans="1:11" x14ac:dyDescent="0.2">
      <c r="A989" s="306" t="s">
        <v>20432</v>
      </c>
      <c r="B989" s="261" t="s">
        <v>18141</v>
      </c>
      <c r="C989" s="261" t="s">
        <v>18124</v>
      </c>
      <c r="D989" s="261" t="s">
        <v>18017</v>
      </c>
      <c r="E989" s="261">
        <v>8</v>
      </c>
      <c r="F989" s="261" t="s">
        <v>20922</v>
      </c>
      <c r="G989" s="261" t="s">
        <v>8980</v>
      </c>
      <c r="H989" s="261" t="s">
        <v>8981</v>
      </c>
      <c r="I989" s="261"/>
      <c r="J989" s="261"/>
      <c r="K989" s="262"/>
    </row>
    <row r="990" spans="1:11" x14ac:dyDescent="0.2">
      <c r="A990" s="306" t="s">
        <v>20432</v>
      </c>
      <c r="B990" s="261" t="s">
        <v>18142</v>
      </c>
      <c r="C990" s="261" t="s">
        <v>18124</v>
      </c>
      <c r="D990" s="261" t="s">
        <v>18017</v>
      </c>
      <c r="E990" s="261">
        <v>9</v>
      </c>
      <c r="F990" s="261" t="s">
        <v>20923</v>
      </c>
      <c r="G990" s="261" t="s">
        <v>14009</v>
      </c>
      <c r="H990" s="261" t="s">
        <v>14010</v>
      </c>
      <c r="I990" s="261"/>
      <c r="J990" s="261"/>
      <c r="K990" s="262"/>
    </row>
    <row r="991" spans="1:11" x14ac:dyDescent="0.2">
      <c r="A991" s="306" t="s">
        <v>20432</v>
      </c>
      <c r="B991" s="261" t="s">
        <v>18143</v>
      </c>
      <c r="C991" s="261" t="s">
        <v>18124</v>
      </c>
      <c r="D991" s="261" t="s">
        <v>18017</v>
      </c>
      <c r="E991" s="261">
        <v>10</v>
      </c>
      <c r="F991" s="261" t="s">
        <v>20924</v>
      </c>
      <c r="G991" s="261" t="s">
        <v>9052</v>
      </c>
      <c r="H991" s="261" t="s">
        <v>9053</v>
      </c>
      <c r="I991" s="261"/>
      <c r="J991" s="261"/>
      <c r="K991" s="262"/>
    </row>
    <row r="992" spans="1:11" x14ac:dyDescent="0.2">
      <c r="A992" s="306" t="s">
        <v>20432</v>
      </c>
      <c r="B992" s="261" t="s">
        <v>20432</v>
      </c>
      <c r="C992" s="261" t="s">
        <v>18124</v>
      </c>
      <c r="D992" s="261" t="s">
        <v>18017</v>
      </c>
      <c r="E992" s="261">
        <v>11</v>
      </c>
      <c r="F992" s="261" t="s">
        <v>20868</v>
      </c>
      <c r="G992" s="261"/>
      <c r="H992" s="261"/>
      <c r="I992" s="261" t="s">
        <v>3779</v>
      </c>
      <c r="J992" s="261" t="s">
        <v>19599</v>
      </c>
      <c r="K992" s="262">
        <v>20</v>
      </c>
    </row>
    <row r="993" spans="1:11" x14ac:dyDescent="0.2">
      <c r="A993" s="306" t="s">
        <v>20432</v>
      </c>
      <c r="B993" s="261" t="s">
        <v>20432</v>
      </c>
      <c r="C993" s="261" t="s">
        <v>18124</v>
      </c>
      <c r="D993" s="261" t="s">
        <v>18017</v>
      </c>
      <c r="E993" s="261">
        <v>12</v>
      </c>
      <c r="F993" s="261" t="s">
        <v>20869</v>
      </c>
      <c r="G993" s="261"/>
      <c r="H993" s="261"/>
      <c r="I993" s="261" t="s">
        <v>3779</v>
      </c>
      <c r="J993" s="261" t="s">
        <v>19600</v>
      </c>
      <c r="K993" s="262">
        <v>20</v>
      </c>
    </row>
    <row r="994" spans="1:11" x14ac:dyDescent="0.2">
      <c r="A994" s="306" t="s">
        <v>20432</v>
      </c>
      <c r="B994" s="261" t="s">
        <v>20432</v>
      </c>
      <c r="C994" s="261" t="s">
        <v>18124</v>
      </c>
      <c r="D994" s="261" t="s">
        <v>18017</v>
      </c>
      <c r="E994" s="261">
        <v>13</v>
      </c>
      <c r="F994" s="261" t="s">
        <v>20870</v>
      </c>
      <c r="G994" s="261"/>
      <c r="H994" s="261"/>
      <c r="I994" s="261" t="s">
        <v>3779</v>
      </c>
      <c r="J994" s="261" t="s">
        <v>19603</v>
      </c>
      <c r="K994" s="262">
        <v>20</v>
      </c>
    </row>
    <row r="995" spans="1:11" x14ac:dyDescent="0.2">
      <c r="A995" s="306" t="s">
        <v>20432</v>
      </c>
      <c r="B995" s="261" t="s">
        <v>20432</v>
      </c>
      <c r="C995" s="261" t="s">
        <v>18124</v>
      </c>
      <c r="D995" s="261" t="s">
        <v>18017</v>
      </c>
      <c r="E995" s="261">
        <v>14</v>
      </c>
      <c r="F995" s="261" t="s">
        <v>20871</v>
      </c>
      <c r="G995" s="261"/>
      <c r="H995" s="261"/>
      <c r="I995" s="261" t="s">
        <v>3779</v>
      </c>
      <c r="J995" s="261" t="s">
        <v>19601</v>
      </c>
      <c r="K995" s="262">
        <v>20</v>
      </c>
    </row>
    <row r="996" spans="1:11" x14ac:dyDescent="0.2">
      <c r="A996" s="306" t="s">
        <v>20432</v>
      </c>
      <c r="B996" s="261" t="s">
        <v>20432</v>
      </c>
      <c r="C996" s="261" t="s">
        <v>18124</v>
      </c>
      <c r="D996" s="261" t="s">
        <v>18017</v>
      </c>
      <c r="E996" s="261">
        <v>15</v>
      </c>
      <c r="F996" s="261" t="s">
        <v>20872</v>
      </c>
      <c r="G996" s="261"/>
      <c r="H996" s="261"/>
      <c r="I996" s="261" t="s">
        <v>3779</v>
      </c>
      <c r="J996" s="261" t="s">
        <v>19604</v>
      </c>
      <c r="K996" s="262">
        <v>20</v>
      </c>
    </row>
    <row r="997" spans="1:11" x14ac:dyDescent="0.2">
      <c r="A997" s="306" t="s">
        <v>20432</v>
      </c>
      <c r="B997" s="261" t="s">
        <v>20432</v>
      </c>
      <c r="C997" s="261" t="s">
        <v>18124</v>
      </c>
      <c r="D997" s="261" t="s">
        <v>18017</v>
      </c>
      <c r="E997" s="261">
        <v>16</v>
      </c>
      <c r="F997" s="261" t="s">
        <v>20873</v>
      </c>
      <c r="G997" s="261"/>
      <c r="H997" s="261"/>
      <c r="I997" s="261" t="s">
        <v>3779</v>
      </c>
      <c r="J997" s="261" t="s">
        <v>19602</v>
      </c>
      <c r="K997" s="262">
        <v>20</v>
      </c>
    </row>
    <row r="998" spans="1:11" x14ac:dyDescent="0.2">
      <c r="A998" s="306" t="s">
        <v>20432</v>
      </c>
      <c r="B998" s="261" t="s">
        <v>20432</v>
      </c>
      <c r="C998" s="261" t="s">
        <v>18124</v>
      </c>
      <c r="D998" s="261" t="s">
        <v>18017</v>
      </c>
      <c r="E998" s="261">
        <v>17</v>
      </c>
      <c r="F998" s="261" t="s">
        <v>20874</v>
      </c>
      <c r="G998" s="261"/>
      <c r="H998" s="261"/>
      <c r="I998" s="261" t="s">
        <v>10772</v>
      </c>
      <c r="J998" s="261" t="s">
        <v>19618</v>
      </c>
      <c r="K998" s="262">
        <v>100</v>
      </c>
    </row>
    <row r="999" spans="1:11" x14ac:dyDescent="0.2">
      <c r="A999" s="306" t="s">
        <v>20034</v>
      </c>
      <c r="B999" s="261" t="s">
        <v>20034</v>
      </c>
      <c r="C999" s="261" t="s">
        <v>14017</v>
      </c>
      <c r="D999" s="261" t="s">
        <v>18046</v>
      </c>
      <c r="E999" s="261">
        <v>1</v>
      </c>
      <c r="F999" s="261" t="s">
        <v>19688</v>
      </c>
      <c r="G999" s="261" t="s">
        <v>20138</v>
      </c>
      <c r="H999" s="261" t="s">
        <v>20139</v>
      </c>
      <c r="I999" s="261"/>
      <c r="J999" s="261"/>
      <c r="K999" s="262"/>
    </row>
    <row r="1000" spans="1:11" x14ac:dyDescent="0.2">
      <c r="A1000" s="306" t="s">
        <v>20034</v>
      </c>
      <c r="B1000" s="261" t="s">
        <v>20034</v>
      </c>
      <c r="C1000" s="261" t="s">
        <v>14017</v>
      </c>
      <c r="D1000" s="261" t="s">
        <v>18046</v>
      </c>
      <c r="E1000" s="261">
        <v>2</v>
      </c>
      <c r="F1000" s="261" t="s">
        <v>19688</v>
      </c>
      <c r="G1000" s="261" t="s">
        <v>14020</v>
      </c>
      <c r="H1000" s="261" t="s">
        <v>14021</v>
      </c>
      <c r="I1000" s="261"/>
      <c r="J1000" s="261"/>
      <c r="K1000" s="262"/>
    </row>
    <row r="1001" spans="1:11" x14ac:dyDescent="0.2">
      <c r="A1001" s="306" t="s">
        <v>20034</v>
      </c>
      <c r="B1001" s="261" t="s">
        <v>18144</v>
      </c>
      <c r="C1001" s="261" t="s">
        <v>14017</v>
      </c>
      <c r="D1001" s="261" t="s">
        <v>18046</v>
      </c>
      <c r="E1001" s="261">
        <v>3</v>
      </c>
      <c r="F1001" s="261" t="s">
        <v>20925</v>
      </c>
      <c r="G1001" s="261" t="s">
        <v>14660</v>
      </c>
      <c r="H1001" s="261" t="s">
        <v>14661</v>
      </c>
      <c r="I1001" s="261"/>
      <c r="J1001" s="261"/>
      <c r="K1001" s="262"/>
    </row>
    <row r="1002" spans="1:11" x14ac:dyDescent="0.2">
      <c r="A1002" s="306" t="s">
        <v>20034</v>
      </c>
      <c r="B1002" s="261" t="s">
        <v>18148</v>
      </c>
      <c r="C1002" s="261" t="s">
        <v>14017</v>
      </c>
      <c r="D1002" s="261" t="s">
        <v>18046</v>
      </c>
      <c r="E1002" s="261">
        <v>4</v>
      </c>
      <c r="F1002" s="261" t="s">
        <v>20926</v>
      </c>
      <c r="G1002" s="261" t="s">
        <v>14451</v>
      </c>
      <c r="H1002" s="261" t="s">
        <v>14452</v>
      </c>
      <c r="I1002" s="261"/>
      <c r="J1002" s="261"/>
      <c r="K1002" s="262"/>
    </row>
    <row r="1003" spans="1:11" x14ac:dyDescent="0.2">
      <c r="A1003" s="306" t="s">
        <v>20034</v>
      </c>
      <c r="B1003" s="261" t="s">
        <v>18150</v>
      </c>
      <c r="C1003" s="261" t="s">
        <v>14017</v>
      </c>
      <c r="D1003" s="261" t="s">
        <v>18046</v>
      </c>
      <c r="E1003" s="261">
        <v>5</v>
      </c>
      <c r="F1003" s="261" t="s">
        <v>20927</v>
      </c>
      <c r="G1003" s="261" t="s">
        <v>14018</v>
      </c>
      <c r="H1003" s="261" t="s">
        <v>14019</v>
      </c>
      <c r="I1003" s="261"/>
      <c r="J1003" s="261"/>
      <c r="K1003" s="262"/>
    </row>
    <row r="1004" spans="1:11" x14ac:dyDescent="0.2">
      <c r="A1004" s="306" t="s">
        <v>20034</v>
      </c>
      <c r="B1004" s="261" t="s">
        <v>18151</v>
      </c>
      <c r="C1004" s="261" t="s">
        <v>14017</v>
      </c>
      <c r="D1004" s="261" t="s">
        <v>18046</v>
      </c>
      <c r="E1004" s="261">
        <v>6</v>
      </c>
      <c r="F1004" s="261" t="s">
        <v>20928</v>
      </c>
      <c r="G1004" s="261" t="s">
        <v>3128</v>
      </c>
      <c r="H1004" s="261" t="s">
        <v>3129</v>
      </c>
      <c r="I1004" s="261"/>
      <c r="J1004" s="261"/>
      <c r="K1004" s="262"/>
    </row>
    <row r="1005" spans="1:11" x14ac:dyDescent="0.2">
      <c r="A1005" s="306" t="s">
        <v>20034</v>
      </c>
      <c r="B1005" s="261" t="s">
        <v>18152</v>
      </c>
      <c r="C1005" s="261" t="s">
        <v>14017</v>
      </c>
      <c r="D1005" s="261" t="s">
        <v>18046</v>
      </c>
      <c r="E1005" s="261">
        <v>7</v>
      </c>
      <c r="F1005" s="261" t="s">
        <v>20929</v>
      </c>
      <c r="G1005" s="261" t="s">
        <v>14015</v>
      </c>
      <c r="H1005" s="261" t="s">
        <v>14016</v>
      </c>
      <c r="I1005" s="261"/>
      <c r="J1005" s="261"/>
      <c r="K1005" s="262"/>
    </row>
    <row r="1006" spans="1:11" x14ac:dyDescent="0.2">
      <c r="A1006" s="306" t="s">
        <v>20034</v>
      </c>
      <c r="B1006" s="261" t="s">
        <v>18154</v>
      </c>
      <c r="C1006" s="261" t="s">
        <v>14017</v>
      </c>
      <c r="D1006" s="261" t="s">
        <v>18046</v>
      </c>
      <c r="E1006" s="261">
        <v>8</v>
      </c>
      <c r="F1006" s="261" t="s">
        <v>20930</v>
      </c>
      <c r="G1006" s="261" t="s">
        <v>3334</v>
      </c>
      <c r="H1006" s="261" t="s">
        <v>3335</v>
      </c>
      <c r="I1006" s="261"/>
      <c r="J1006" s="261"/>
      <c r="K1006" s="262"/>
    </row>
    <row r="1007" spans="1:11" x14ac:dyDescent="0.2">
      <c r="A1007" s="306" t="s">
        <v>20034</v>
      </c>
      <c r="B1007" s="261" t="s">
        <v>20034</v>
      </c>
      <c r="C1007" s="261" t="s">
        <v>14017</v>
      </c>
      <c r="D1007" s="261" t="s">
        <v>18046</v>
      </c>
      <c r="E1007" s="261">
        <v>9</v>
      </c>
      <c r="F1007" s="261" t="s">
        <v>20882</v>
      </c>
      <c r="G1007" s="261"/>
      <c r="H1007" s="261"/>
      <c r="I1007" s="261"/>
      <c r="J1007" s="261" t="s">
        <v>20931</v>
      </c>
      <c r="K1007" s="262">
        <v>7</v>
      </c>
    </row>
    <row r="1008" spans="1:11" x14ac:dyDescent="0.2">
      <c r="A1008" s="306" t="s">
        <v>20034</v>
      </c>
      <c r="B1008" s="261" t="s">
        <v>20034</v>
      </c>
      <c r="C1008" s="261" t="s">
        <v>14017</v>
      </c>
      <c r="D1008" s="261" t="s">
        <v>18046</v>
      </c>
      <c r="E1008" s="261">
        <v>10</v>
      </c>
      <c r="F1008" s="261" t="s">
        <v>20884</v>
      </c>
      <c r="G1008" s="261"/>
      <c r="H1008" s="261"/>
      <c r="I1008" s="261"/>
      <c r="J1008" s="261" t="s">
        <v>20931</v>
      </c>
      <c r="K1008" s="262">
        <v>7</v>
      </c>
    </row>
    <row r="1009" spans="1:11" x14ac:dyDescent="0.2">
      <c r="A1009" s="306" t="s">
        <v>20034</v>
      </c>
      <c r="B1009" s="261" t="s">
        <v>20034</v>
      </c>
      <c r="C1009" s="261" t="s">
        <v>14017</v>
      </c>
      <c r="D1009" s="261" t="s">
        <v>18046</v>
      </c>
      <c r="E1009" s="261">
        <v>11</v>
      </c>
      <c r="F1009" s="261" t="s">
        <v>20868</v>
      </c>
      <c r="G1009" s="261"/>
      <c r="H1009" s="261"/>
      <c r="I1009" s="261"/>
      <c r="J1009" s="261" t="s">
        <v>20931</v>
      </c>
      <c r="K1009" s="262">
        <v>7</v>
      </c>
    </row>
    <row r="1010" spans="1:11" x14ac:dyDescent="0.2">
      <c r="A1010" s="306" t="s">
        <v>20034</v>
      </c>
      <c r="B1010" s="261" t="s">
        <v>20034</v>
      </c>
      <c r="C1010" s="261" t="s">
        <v>14017</v>
      </c>
      <c r="D1010" s="261" t="s">
        <v>18046</v>
      </c>
      <c r="E1010" s="261">
        <v>12</v>
      </c>
      <c r="F1010" s="261" t="s">
        <v>20885</v>
      </c>
      <c r="G1010" s="261"/>
      <c r="H1010" s="261"/>
      <c r="I1010" s="261"/>
      <c r="J1010" s="261" t="s">
        <v>20931</v>
      </c>
      <c r="K1010" s="262">
        <v>7</v>
      </c>
    </row>
    <row r="1011" spans="1:11" x14ac:dyDescent="0.2">
      <c r="A1011" s="306" t="s">
        <v>20034</v>
      </c>
      <c r="B1011" s="261" t="s">
        <v>20034</v>
      </c>
      <c r="C1011" s="261" t="s">
        <v>14017</v>
      </c>
      <c r="D1011" s="261" t="s">
        <v>18046</v>
      </c>
      <c r="E1011" s="261">
        <v>13</v>
      </c>
      <c r="F1011" s="261" t="s">
        <v>20886</v>
      </c>
      <c r="G1011" s="261"/>
      <c r="H1011" s="261"/>
      <c r="I1011" s="261"/>
      <c r="J1011" s="261" t="s">
        <v>20931</v>
      </c>
      <c r="K1011" s="262">
        <v>6</v>
      </c>
    </row>
    <row r="1012" spans="1:11" x14ac:dyDescent="0.2">
      <c r="A1012" s="306" t="s">
        <v>20034</v>
      </c>
      <c r="B1012" s="261" t="s">
        <v>20034</v>
      </c>
      <c r="C1012" s="261" t="s">
        <v>14017</v>
      </c>
      <c r="D1012" s="261" t="s">
        <v>18046</v>
      </c>
      <c r="E1012" s="261">
        <v>14</v>
      </c>
      <c r="F1012" s="261" t="s">
        <v>20033</v>
      </c>
      <c r="G1012" s="261" t="s">
        <v>9386</v>
      </c>
      <c r="H1012" s="261" t="s">
        <v>9387</v>
      </c>
      <c r="I1012" s="261"/>
      <c r="J1012" s="261"/>
      <c r="K1012" s="262"/>
    </row>
    <row r="1013" spans="1:11" x14ac:dyDescent="0.2">
      <c r="A1013" s="306" t="s">
        <v>20034</v>
      </c>
      <c r="B1013" s="261" t="s">
        <v>20034</v>
      </c>
      <c r="C1013" s="261" t="s">
        <v>14017</v>
      </c>
      <c r="D1013" s="261" t="s">
        <v>18046</v>
      </c>
      <c r="E1013" s="261">
        <v>15</v>
      </c>
      <c r="F1013" s="261" t="s">
        <v>20870</v>
      </c>
      <c r="G1013" s="261"/>
      <c r="H1013" s="261"/>
      <c r="I1013" s="261" t="s">
        <v>2837</v>
      </c>
      <c r="J1013" s="261" t="s">
        <v>19599</v>
      </c>
      <c r="K1013" s="262">
        <v>20</v>
      </c>
    </row>
    <row r="1014" spans="1:11" x14ac:dyDescent="0.2">
      <c r="A1014" s="306" t="s">
        <v>20034</v>
      </c>
      <c r="B1014" s="261" t="s">
        <v>20034</v>
      </c>
      <c r="C1014" s="261" t="s">
        <v>14017</v>
      </c>
      <c r="D1014" s="261" t="s">
        <v>18046</v>
      </c>
      <c r="E1014" s="261">
        <v>16</v>
      </c>
      <c r="F1014" s="261" t="s">
        <v>20888</v>
      </c>
      <c r="G1014" s="261"/>
      <c r="H1014" s="261"/>
      <c r="I1014" s="261" t="s">
        <v>2837</v>
      </c>
      <c r="J1014" s="261" t="s">
        <v>19603</v>
      </c>
      <c r="K1014" s="262">
        <v>20</v>
      </c>
    </row>
    <row r="1015" spans="1:11" x14ac:dyDescent="0.2">
      <c r="A1015" s="306" t="s">
        <v>20034</v>
      </c>
      <c r="B1015" s="261" t="s">
        <v>20034</v>
      </c>
      <c r="C1015" s="261" t="s">
        <v>14017</v>
      </c>
      <c r="D1015" s="261" t="s">
        <v>18046</v>
      </c>
      <c r="E1015" s="261">
        <v>17</v>
      </c>
      <c r="F1015" s="261" t="s">
        <v>20932</v>
      </c>
      <c r="G1015" s="261"/>
      <c r="H1015" s="261"/>
      <c r="I1015" s="261" t="s">
        <v>2837</v>
      </c>
      <c r="J1015" s="261" t="s">
        <v>19600</v>
      </c>
      <c r="K1015" s="262">
        <v>20</v>
      </c>
    </row>
    <row r="1016" spans="1:11" x14ac:dyDescent="0.2">
      <c r="A1016" s="306" t="s">
        <v>20034</v>
      </c>
      <c r="B1016" s="261" t="s">
        <v>20034</v>
      </c>
      <c r="C1016" s="261" t="s">
        <v>14017</v>
      </c>
      <c r="D1016" s="261" t="s">
        <v>18046</v>
      </c>
      <c r="E1016" s="261">
        <v>18</v>
      </c>
      <c r="F1016" s="261" t="s">
        <v>20872</v>
      </c>
      <c r="G1016" s="261"/>
      <c r="H1016" s="261"/>
      <c r="I1016" s="261" t="s">
        <v>2837</v>
      </c>
      <c r="J1016" s="261" t="s">
        <v>19601</v>
      </c>
      <c r="K1016" s="262">
        <v>20</v>
      </c>
    </row>
    <row r="1017" spans="1:11" x14ac:dyDescent="0.2">
      <c r="A1017" s="306" t="s">
        <v>20034</v>
      </c>
      <c r="B1017" s="261" t="s">
        <v>20034</v>
      </c>
      <c r="C1017" s="261" t="s">
        <v>14017</v>
      </c>
      <c r="D1017" s="261" t="s">
        <v>18046</v>
      </c>
      <c r="E1017" s="261">
        <v>19</v>
      </c>
      <c r="F1017" s="261" t="s">
        <v>20889</v>
      </c>
      <c r="G1017" s="261"/>
      <c r="H1017" s="261"/>
      <c r="I1017" s="261" t="s">
        <v>2837</v>
      </c>
      <c r="J1017" s="261" t="s">
        <v>19604</v>
      </c>
      <c r="K1017" s="262">
        <v>20</v>
      </c>
    </row>
    <row r="1018" spans="1:11" x14ac:dyDescent="0.2">
      <c r="A1018" s="306" t="s">
        <v>20034</v>
      </c>
      <c r="B1018" s="261" t="s">
        <v>20034</v>
      </c>
      <c r="C1018" s="261" t="s">
        <v>14017</v>
      </c>
      <c r="D1018" s="261" t="s">
        <v>18046</v>
      </c>
      <c r="E1018" s="261">
        <v>20</v>
      </c>
      <c r="F1018" s="261" t="s">
        <v>20890</v>
      </c>
      <c r="G1018" s="261"/>
      <c r="H1018" s="261"/>
      <c r="I1018" s="261" t="s">
        <v>2837</v>
      </c>
      <c r="J1018" s="261" t="s">
        <v>19602</v>
      </c>
      <c r="K1018" s="262">
        <v>20</v>
      </c>
    </row>
    <row r="1019" spans="1:11" x14ac:dyDescent="0.2">
      <c r="A1019" s="306" t="s">
        <v>20034</v>
      </c>
      <c r="B1019" s="261" t="s">
        <v>20034</v>
      </c>
      <c r="C1019" s="261" t="s">
        <v>14017</v>
      </c>
      <c r="D1019" s="261" t="s">
        <v>18046</v>
      </c>
      <c r="E1019" s="261">
        <v>21</v>
      </c>
      <c r="F1019" s="261" t="s">
        <v>20891</v>
      </c>
      <c r="G1019" s="261"/>
      <c r="H1019" s="261"/>
      <c r="I1019" s="261" t="s">
        <v>2837</v>
      </c>
      <c r="J1019" s="261" t="s">
        <v>19618</v>
      </c>
      <c r="K1019" s="262">
        <v>100</v>
      </c>
    </row>
    <row r="1020" spans="1:11" x14ac:dyDescent="0.2">
      <c r="A1020" s="306" t="s">
        <v>20436</v>
      </c>
      <c r="B1020" s="261" t="s">
        <v>20436</v>
      </c>
      <c r="C1020" s="261" t="s">
        <v>14028</v>
      </c>
      <c r="D1020" s="261" t="s">
        <v>18017</v>
      </c>
      <c r="E1020" s="261">
        <v>1</v>
      </c>
      <c r="F1020" s="261" t="s">
        <v>19688</v>
      </c>
      <c r="G1020" s="261" t="s">
        <v>14455</v>
      </c>
      <c r="H1020" s="261" t="s">
        <v>14456</v>
      </c>
      <c r="I1020" s="261"/>
      <c r="J1020" s="261"/>
      <c r="K1020" s="262"/>
    </row>
    <row r="1021" spans="1:11" x14ac:dyDescent="0.2">
      <c r="A1021" s="306" t="s">
        <v>20436</v>
      </c>
      <c r="B1021" s="261" t="s">
        <v>18155</v>
      </c>
      <c r="C1021" s="261" t="s">
        <v>14028</v>
      </c>
      <c r="D1021" s="261" t="s">
        <v>18017</v>
      </c>
      <c r="E1021" s="261">
        <v>2</v>
      </c>
      <c r="F1021" s="261" t="s">
        <v>20933</v>
      </c>
      <c r="G1021" s="261" t="s">
        <v>14662</v>
      </c>
      <c r="H1021" s="261" t="s">
        <v>14663</v>
      </c>
      <c r="I1021" s="261"/>
      <c r="J1021" s="261"/>
      <c r="K1021" s="262"/>
    </row>
    <row r="1022" spans="1:11" x14ac:dyDescent="0.2">
      <c r="A1022" s="306" t="s">
        <v>20436</v>
      </c>
      <c r="B1022" s="261" t="s">
        <v>18157</v>
      </c>
      <c r="C1022" s="261" t="s">
        <v>14028</v>
      </c>
      <c r="D1022" s="261" t="s">
        <v>18017</v>
      </c>
      <c r="E1022" s="261">
        <v>3</v>
      </c>
      <c r="F1022" s="261" t="s">
        <v>20934</v>
      </c>
      <c r="G1022" s="261" t="s">
        <v>14453</v>
      </c>
      <c r="H1022" s="261" t="s">
        <v>14454</v>
      </c>
      <c r="I1022" s="261"/>
      <c r="J1022" s="261"/>
      <c r="K1022" s="262"/>
    </row>
    <row r="1023" spans="1:11" x14ac:dyDescent="0.2">
      <c r="A1023" s="306" t="s">
        <v>20436</v>
      </c>
      <c r="B1023" s="261" t="s">
        <v>18159</v>
      </c>
      <c r="C1023" s="261" t="s">
        <v>14028</v>
      </c>
      <c r="D1023" s="261" t="s">
        <v>18017</v>
      </c>
      <c r="E1023" s="261">
        <v>4</v>
      </c>
      <c r="F1023" s="261" t="s">
        <v>20935</v>
      </c>
      <c r="G1023" s="261" t="s">
        <v>14161</v>
      </c>
      <c r="H1023" s="261" t="s">
        <v>14162</v>
      </c>
      <c r="I1023" s="261"/>
      <c r="J1023" s="261"/>
      <c r="K1023" s="262"/>
    </row>
    <row r="1024" spans="1:11" x14ac:dyDescent="0.2">
      <c r="A1024" s="306" t="s">
        <v>20436</v>
      </c>
      <c r="B1024" s="261" t="s">
        <v>18161</v>
      </c>
      <c r="C1024" s="261" t="s">
        <v>14028</v>
      </c>
      <c r="D1024" s="261" t="s">
        <v>18017</v>
      </c>
      <c r="E1024" s="261">
        <v>5</v>
      </c>
      <c r="F1024" s="261" t="s">
        <v>20936</v>
      </c>
      <c r="G1024" s="261" t="s">
        <v>2253</v>
      </c>
      <c r="H1024" s="261" t="s">
        <v>2254</v>
      </c>
      <c r="I1024" s="261"/>
      <c r="J1024" s="261"/>
      <c r="K1024" s="262"/>
    </row>
    <row r="1025" spans="1:11" x14ac:dyDescent="0.2">
      <c r="A1025" s="306" t="s">
        <v>20436</v>
      </c>
      <c r="B1025" s="261" t="s">
        <v>18163</v>
      </c>
      <c r="C1025" s="261" t="s">
        <v>14028</v>
      </c>
      <c r="D1025" s="261" t="s">
        <v>18017</v>
      </c>
      <c r="E1025" s="261">
        <v>6</v>
      </c>
      <c r="F1025" s="261" t="s">
        <v>20937</v>
      </c>
      <c r="G1025" s="261" t="s">
        <v>10041</v>
      </c>
      <c r="H1025" s="261" t="s">
        <v>10042</v>
      </c>
      <c r="I1025" s="261"/>
      <c r="J1025" s="261"/>
      <c r="K1025" s="262"/>
    </row>
    <row r="1026" spans="1:11" x14ac:dyDescent="0.2">
      <c r="A1026" s="306" t="s">
        <v>20436</v>
      </c>
      <c r="B1026" s="261" t="s">
        <v>18167</v>
      </c>
      <c r="C1026" s="261" t="s">
        <v>14028</v>
      </c>
      <c r="D1026" s="261" t="s">
        <v>18017</v>
      </c>
      <c r="E1026" s="261">
        <v>7</v>
      </c>
      <c r="F1026" s="261" t="s">
        <v>20938</v>
      </c>
      <c r="G1026" s="261" t="s">
        <v>3597</v>
      </c>
      <c r="H1026" s="261" t="s">
        <v>3598</v>
      </c>
      <c r="I1026" s="261"/>
      <c r="J1026" s="261"/>
      <c r="K1026" s="262"/>
    </row>
    <row r="1027" spans="1:11" x14ac:dyDescent="0.2">
      <c r="A1027" s="306" t="s">
        <v>20436</v>
      </c>
      <c r="B1027" s="261" t="s">
        <v>18170</v>
      </c>
      <c r="C1027" s="261" t="s">
        <v>14028</v>
      </c>
      <c r="D1027" s="261" t="s">
        <v>18017</v>
      </c>
      <c r="E1027" s="261">
        <v>8</v>
      </c>
      <c r="F1027" s="261" t="s">
        <v>20939</v>
      </c>
      <c r="G1027" s="261" t="s">
        <v>2058</v>
      </c>
      <c r="H1027" s="261" t="s">
        <v>2059</v>
      </c>
      <c r="I1027" s="261"/>
      <c r="J1027" s="261"/>
      <c r="K1027" s="262"/>
    </row>
    <row r="1028" spans="1:11" x14ac:dyDescent="0.2">
      <c r="A1028" s="306" t="s">
        <v>20436</v>
      </c>
      <c r="B1028" s="261" t="s">
        <v>18171</v>
      </c>
      <c r="C1028" s="261" t="s">
        <v>14028</v>
      </c>
      <c r="D1028" s="261" t="s">
        <v>18017</v>
      </c>
      <c r="E1028" s="261">
        <v>9</v>
      </c>
      <c r="F1028" s="261" t="s">
        <v>20940</v>
      </c>
      <c r="G1028" s="261" t="s">
        <v>14026</v>
      </c>
      <c r="H1028" s="261" t="s">
        <v>14027</v>
      </c>
      <c r="I1028" s="261"/>
      <c r="J1028" s="261"/>
      <c r="K1028" s="262"/>
    </row>
    <row r="1029" spans="1:11" x14ac:dyDescent="0.2">
      <c r="A1029" s="306" t="s">
        <v>20436</v>
      </c>
      <c r="B1029" s="261" t="s">
        <v>18172</v>
      </c>
      <c r="C1029" s="261" t="s">
        <v>14028</v>
      </c>
      <c r="D1029" s="261" t="s">
        <v>18017</v>
      </c>
      <c r="E1029" s="261">
        <v>10</v>
      </c>
      <c r="F1029" s="261" t="s">
        <v>20941</v>
      </c>
      <c r="G1029" s="261" t="s">
        <v>2339</v>
      </c>
      <c r="H1029" s="261" t="s">
        <v>2340</v>
      </c>
      <c r="I1029" s="261"/>
      <c r="J1029" s="261"/>
      <c r="K1029" s="262"/>
    </row>
    <row r="1030" spans="1:11" x14ac:dyDescent="0.2">
      <c r="A1030" s="306" t="s">
        <v>20436</v>
      </c>
      <c r="B1030" s="261" t="s">
        <v>18173</v>
      </c>
      <c r="C1030" s="261" t="s">
        <v>14028</v>
      </c>
      <c r="D1030" s="261" t="s">
        <v>18017</v>
      </c>
      <c r="E1030" s="261">
        <v>11</v>
      </c>
      <c r="F1030" s="261" t="s">
        <v>20942</v>
      </c>
      <c r="G1030" s="261" t="s">
        <v>8970</v>
      </c>
      <c r="H1030" s="261" t="s">
        <v>8971</v>
      </c>
      <c r="I1030" s="261"/>
      <c r="J1030" s="261"/>
      <c r="K1030" s="262"/>
    </row>
    <row r="1031" spans="1:11" x14ac:dyDescent="0.2">
      <c r="A1031" s="306" t="s">
        <v>20436</v>
      </c>
      <c r="B1031" s="261" t="s">
        <v>20436</v>
      </c>
      <c r="C1031" s="261" t="s">
        <v>14028</v>
      </c>
      <c r="D1031" s="261" t="s">
        <v>18017</v>
      </c>
      <c r="E1031" s="261">
        <v>12</v>
      </c>
      <c r="F1031" s="261" t="s">
        <v>20868</v>
      </c>
      <c r="G1031" s="261"/>
      <c r="H1031" s="261"/>
      <c r="I1031" s="261" t="s">
        <v>1947</v>
      </c>
      <c r="J1031" s="261" t="s">
        <v>19599</v>
      </c>
      <c r="K1031" s="262">
        <v>20</v>
      </c>
    </row>
    <row r="1032" spans="1:11" x14ac:dyDescent="0.2">
      <c r="A1032" s="306" t="s">
        <v>20436</v>
      </c>
      <c r="B1032" s="261" t="s">
        <v>20436</v>
      </c>
      <c r="C1032" s="261" t="s">
        <v>14028</v>
      </c>
      <c r="D1032" s="261" t="s">
        <v>18017</v>
      </c>
      <c r="E1032" s="261">
        <v>13</v>
      </c>
      <c r="F1032" s="261" t="s">
        <v>20869</v>
      </c>
      <c r="G1032" s="261"/>
      <c r="H1032" s="261"/>
      <c r="I1032" s="261" t="s">
        <v>1947</v>
      </c>
      <c r="J1032" s="261" t="s">
        <v>19600</v>
      </c>
      <c r="K1032" s="262">
        <v>20</v>
      </c>
    </row>
    <row r="1033" spans="1:11" x14ac:dyDescent="0.2">
      <c r="A1033" s="306" t="s">
        <v>20436</v>
      </c>
      <c r="B1033" s="261" t="s">
        <v>20436</v>
      </c>
      <c r="C1033" s="261" t="s">
        <v>14028</v>
      </c>
      <c r="D1033" s="261" t="s">
        <v>18017</v>
      </c>
      <c r="E1033" s="261">
        <v>14</v>
      </c>
      <c r="F1033" s="261" t="s">
        <v>20870</v>
      </c>
      <c r="G1033" s="261"/>
      <c r="H1033" s="261"/>
      <c r="I1033" s="261" t="s">
        <v>1947</v>
      </c>
      <c r="J1033" s="261" t="s">
        <v>19603</v>
      </c>
      <c r="K1033" s="262">
        <v>20</v>
      </c>
    </row>
    <row r="1034" spans="1:11" x14ac:dyDescent="0.2">
      <c r="A1034" s="306" t="s">
        <v>20436</v>
      </c>
      <c r="B1034" s="261" t="s">
        <v>20436</v>
      </c>
      <c r="C1034" s="261" t="s">
        <v>14028</v>
      </c>
      <c r="D1034" s="261" t="s">
        <v>18017</v>
      </c>
      <c r="E1034" s="261">
        <v>15</v>
      </c>
      <c r="F1034" s="261" t="s">
        <v>20871</v>
      </c>
      <c r="G1034" s="261"/>
      <c r="H1034" s="261"/>
      <c r="I1034" s="261" t="s">
        <v>1947</v>
      </c>
      <c r="J1034" s="261" t="s">
        <v>19601</v>
      </c>
      <c r="K1034" s="262">
        <v>20</v>
      </c>
    </row>
    <row r="1035" spans="1:11" x14ac:dyDescent="0.2">
      <c r="A1035" s="306" t="s">
        <v>20436</v>
      </c>
      <c r="B1035" s="261" t="s">
        <v>20436</v>
      </c>
      <c r="C1035" s="261" t="s">
        <v>14028</v>
      </c>
      <c r="D1035" s="261" t="s">
        <v>18017</v>
      </c>
      <c r="E1035" s="261">
        <v>16</v>
      </c>
      <c r="F1035" s="261" t="s">
        <v>20872</v>
      </c>
      <c r="G1035" s="261"/>
      <c r="H1035" s="261"/>
      <c r="I1035" s="261" t="s">
        <v>1947</v>
      </c>
      <c r="J1035" s="261" t="s">
        <v>19604</v>
      </c>
      <c r="K1035" s="262">
        <v>20</v>
      </c>
    </row>
    <row r="1036" spans="1:11" x14ac:dyDescent="0.2">
      <c r="A1036" s="306" t="s">
        <v>20436</v>
      </c>
      <c r="B1036" s="261" t="s">
        <v>20436</v>
      </c>
      <c r="C1036" s="261" t="s">
        <v>14028</v>
      </c>
      <c r="D1036" s="261" t="s">
        <v>18017</v>
      </c>
      <c r="E1036" s="261">
        <v>17</v>
      </c>
      <c r="F1036" s="261" t="s">
        <v>20873</v>
      </c>
      <c r="G1036" s="261"/>
      <c r="H1036" s="261"/>
      <c r="I1036" s="261" t="s">
        <v>1947</v>
      </c>
      <c r="J1036" s="261" t="s">
        <v>19602</v>
      </c>
      <c r="K1036" s="262">
        <v>20</v>
      </c>
    </row>
    <row r="1037" spans="1:11" x14ac:dyDescent="0.2">
      <c r="A1037" s="306" t="s">
        <v>20436</v>
      </c>
      <c r="B1037" s="261" t="s">
        <v>20436</v>
      </c>
      <c r="C1037" s="261" t="s">
        <v>14028</v>
      </c>
      <c r="D1037" s="261" t="s">
        <v>18017</v>
      </c>
      <c r="E1037" s="261">
        <v>18</v>
      </c>
      <c r="F1037" s="261" t="s">
        <v>20874</v>
      </c>
      <c r="G1037" s="261"/>
      <c r="H1037" s="261"/>
      <c r="I1037" s="261" t="s">
        <v>10772</v>
      </c>
      <c r="J1037" s="261" t="s">
        <v>19618</v>
      </c>
      <c r="K1037" s="262">
        <v>100</v>
      </c>
    </row>
    <row r="1038" spans="1:11" x14ac:dyDescent="0.2">
      <c r="A1038" s="306" t="s">
        <v>19689</v>
      </c>
      <c r="B1038" s="261" t="s">
        <v>19689</v>
      </c>
      <c r="C1038" s="261" t="s">
        <v>14038</v>
      </c>
      <c r="D1038" s="261" t="s">
        <v>18175</v>
      </c>
      <c r="E1038" s="261">
        <v>1</v>
      </c>
      <c r="F1038" s="261" t="s">
        <v>20243</v>
      </c>
      <c r="G1038" s="261" t="s">
        <v>14036</v>
      </c>
      <c r="H1038" s="261" t="s">
        <v>14037</v>
      </c>
      <c r="I1038" s="261"/>
      <c r="J1038" s="261"/>
      <c r="K1038" s="262"/>
    </row>
    <row r="1039" spans="1:11" x14ac:dyDescent="0.2">
      <c r="A1039" s="306" t="s">
        <v>19689</v>
      </c>
      <c r="B1039" s="261" t="s">
        <v>19689</v>
      </c>
      <c r="C1039" s="261" t="s">
        <v>14038</v>
      </c>
      <c r="D1039" s="261" t="s">
        <v>18175</v>
      </c>
      <c r="E1039" s="261">
        <v>2</v>
      </c>
      <c r="F1039" s="261" t="s">
        <v>20243</v>
      </c>
      <c r="G1039" s="261" t="s">
        <v>14039</v>
      </c>
      <c r="H1039" s="261" t="s">
        <v>14040</v>
      </c>
      <c r="I1039" s="261"/>
      <c r="J1039" s="261"/>
      <c r="K1039" s="262"/>
    </row>
    <row r="1040" spans="1:11" x14ac:dyDescent="0.2">
      <c r="A1040" s="306" t="s">
        <v>19689</v>
      </c>
      <c r="B1040" s="261" t="s">
        <v>19689</v>
      </c>
      <c r="C1040" s="261" t="s">
        <v>14038</v>
      </c>
      <c r="D1040" s="261" t="s">
        <v>18175</v>
      </c>
      <c r="E1040" s="261">
        <v>3</v>
      </c>
      <c r="F1040" s="261" t="s">
        <v>20243</v>
      </c>
      <c r="G1040" s="261" t="s">
        <v>14041</v>
      </c>
      <c r="H1040" s="261" t="s">
        <v>14042</v>
      </c>
      <c r="I1040" s="261"/>
      <c r="J1040" s="261"/>
      <c r="K1040" s="262"/>
    </row>
    <row r="1041" spans="1:11" x14ac:dyDescent="0.2">
      <c r="A1041" s="306" t="s">
        <v>19689</v>
      </c>
      <c r="B1041" s="261" t="s">
        <v>19689</v>
      </c>
      <c r="C1041" s="261" t="s">
        <v>14038</v>
      </c>
      <c r="D1041" s="261" t="s">
        <v>18175</v>
      </c>
      <c r="E1041" s="261">
        <v>4</v>
      </c>
      <c r="F1041" s="261" t="s">
        <v>20243</v>
      </c>
      <c r="G1041" s="261" t="s">
        <v>14043</v>
      </c>
      <c r="H1041" s="261" t="s">
        <v>14044</v>
      </c>
      <c r="I1041" s="261"/>
      <c r="J1041" s="261"/>
      <c r="K1041" s="262"/>
    </row>
    <row r="1042" spans="1:11" x14ac:dyDescent="0.2">
      <c r="A1042" s="306" t="s">
        <v>19689</v>
      </c>
      <c r="B1042" s="261" t="s">
        <v>19689</v>
      </c>
      <c r="C1042" s="261" t="s">
        <v>14038</v>
      </c>
      <c r="D1042" s="261" t="s">
        <v>18175</v>
      </c>
      <c r="E1042" s="261">
        <v>5</v>
      </c>
      <c r="F1042" s="261" t="s">
        <v>20243</v>
      </c>
      <c r="G1042" s="261" t="s">
        <v>14045</v>
      </c>
      <c r="H1042" s="261" t="s">
        <v>14046</v>
      </c>
      <c r="I1042" s="261"/>
      <c r="J1042" s="261"/>
      <c r="K1042" s="262"/>
    </row>
    <row r="1043" spans="1:11" x14ac:dyDescent="0.2">
      <c r="A1043" s="306" t="s">
        <v>19689</v>
      </c>
      <c r="B1043" s="261" t="s">
        <v>19689</v>
      </c>
      <c r="C1043" s="261" t="s">
        <v>14038</v>
      </c>
      <c r="D1043" s="261" t="s">
        <v>18175</v>
      </c>
      <c r="E1043" s="261">
        <v>6</v>
      </c>
      <c r="F1043" s="261" t="s">
        <v>20243</v>
      </c>
      <c r="G1043" s="261" t="s">
        <v>14048</v>
      </c>
      <c r="H1043" s="261" t="s">
        <v>14049</v>
      </c>
      <c r="I1043" s="261"/>
      <c r="J1043" s="261"/>
      <c r="K1043" s="262"/>
    </row>
    <row r="1044" spans="1:11" x14ac:dyDescent="0.2">
      <c r="A1044" s="306" t="s">
        <v>19689</v>
      </c>
      <c r="B1044" s="261" t="s">
        <v>19689</v>
      </c>
      <c r="C1044" s="261" t="s">
        <v>14038</v>
      </c>
      <c r="D1044" s="261" t="s">
        <v>18175</v>
      </c>
      <c r="E1044" s="261">
        <v>7</v>
      </c>
      <c r="F1044" s="261" t="s">
        <v>20243</v>
      </c>
      <c r="G1044" s="261" t="s">
        <v>14050</v>
      </c>
      <c r="H1044" s="261" t="s">
        <v>14051</v>
      </c>
      <c r="I1044" s="261"/>
      <c r="J1044" s="261"/>
      <c r="K1044" s="262"/>
    </row>
    <row r="1045" spans="1:11" x14ac:dyDescent="0.2">
      <c r="A1045" s="306" t="s">
        <v>19689</v>
      </c>
      <c r="B1045" s="261" t="s">
        <v>19689</v>
      </c>
      <c r="C1045" s="261" t="s">
        <v>14038</v>
      </c>
      <c r="D1045" s="261" t="s">
        <v>18175</v>
      </c>
      <c r="E1045" s="261">
        <v>8</v>
      </c>
      <c r="F1045" s="261" t="s">
        <v>19688</v>
      </c>
      <c r="G1045" s="261" t="s">
        <v>803</v>
      </c>
      <c r="H1045" s="261" t="s">
        <v>804</v>
      </c>
      <c r="I1045" s="261"/>
      <c r="J1045" s="261"/>
      <c r="K1045" s="262"/>
    </row>
    <row r="1046" spans="1:11" x14ac:dyDescent="0.2">
      <c r="A1046" s="306" t="s">
        <v>19689</v>
      </c>
      <c r="B1046" s="261" t="s">
        <v>18179</v>
      </c>
      <c r="C1046" s="261" t="s">
        <v>14038</v>
      </c>
      <c r="D1046" s="261" t="s">
        <v>18175</v>
      </c>
      <c r="E1046" s="261">
        <v>9</v>
      </c>
      <c r="F1046" s="261" t="s">
        <v>20943</v>
      </c>
      <c r="G1046" s="261" t="s">
        <v>2326</v>
      </c>
      <c r="H1046" s="261" t="s">
        <v>2327</v>
      </c>
      <c r="I1046" s="261"/>
      <c r="J1046" s="261"/>
      <c r="K1046" s="262"/>
    </row>
    <row r="1047" spans="1:11" x14ac:dyDescent="0.2">
      <c r="A1047" s="306" t="s">
        <v>19689</v>
      </c>
      <c r="B1047" s="261" t="s">
        <v>18183</v>
      </c>
      <c r="C1047" s="261" t="s">
        <v>14038</v>
      </c>
      <c r="D1047" s="261" t="s">
        <v>18175</v>
      </c>
      <c r="E1047" s="261">
        <v>10</v>
      </c>
      <c r="F1047" s="261" t="s">
        <v>20944</v>
      </c>
      <c r="G1047" s="261" t="s">
        <v>289</v>
      </c>
      <c r="H1047" s="261" t="s">
        <v>290</v>
      </c>
      <c r="I1047" s="261"/>
      <c r="J1047" s="261"/>
      <c r="K1047" s="262"/>
    </row>
    <row r="1048" spans="1:11" x14ac:dyDescent="0.2">
      <c r="A1048" s="306" t="s">
        <v>19689</v>
      </c>
      <c r="B1048" s="261" t="s">
        <v>18186</v>
      </c>
      <c r="C1048" s="261" t="s">
        <v>14038</v>
      </c>
      <c r="D1048" s="261" t="s">
        <v>18175</v>
      </c>
      <c r="E1048" s="261">
        <v>11</v>
      </c>
      <c r="F1048" s="261" t="s">
        <v>20945</v>
      </c>
      <c r="G1048" s="261" t="s">
        <v>992</v>
      </c>
      <c r="H1048" s="261" t="s">
        <v>993</v>
      </c>
      <c r="I1048" s="261"/>
      <c r="J1048" s="261"/>
      <c r="K1048" s="262"/>
    </row>
    <row r="1049" spans="1:11" x14ac:dyDescent="0.2">
      <c r="A1049" s="306" t="s">
        <v>19689</v>
      </c>
      <c r="B1049" s="261" t="s">
        <v>18190</v>
      </c>
      <c r="C1049" s="261" t="s">
        <v>14038</v>
      </c>
      <c r="D1049" s="261" t="s">
        <v>18175</v>
      </c>
      <c r="E1049" s="261">
        <v>12</v>
      </c>
      <c r="F1049" s="261" t="s">
        <v>20946</v>
      </c>
      <c r="G1049" s="261" t="s">
        <v>4316</v>
      </c>
      <c r="H1049" s="261" t="s">
        <v>4317</v>
      </c>
      <c r="I1049" s="261"/>
      <c r="J1049" s="261"/>
      <c r="K1049" s="262"/>
    </row>
    <row r="1050" spans="1:11" x14ac:dyDescent="0.2">
      <c r="A1050" s="306" t="s">
        <v>19689</v>
      </c>
      <c r="B1050" s="261" t="s">
        <v>18191</v>
      </c>
      <c r="C1050" s="261" t="s">
        <v>14038</v>
      </c>
      <c r="D1050" s="261" t="s">
        <v>18175</v>
      </c>
      <c r="E1050" s="261">
        <v>13</v>
      </c>
      <c r="F1050" s="261" t="s">
        <v>20947</v>
      </c>
      <c r="G1050" s="261" t="s">
        <v>9547</v>
      </c>
      <c r="H1050" s="261" t="s">
        <v>9548</v>
      </c>
      <c r="I1050" s="261"/>
      <c r="J1050" s="261"/>
      <c r="K1050" s="262"/>
    </row>
    <row r="1051" spans="1:11" x14ac:dyDescent="0.2">
      <c r="A1051" s="306" t="s">
        <v>19689</v>
      </c>
      <c r="B1051" s="261" t="s">
        <v>19689</v>
      </c>
      <c r="C1051" s="261" t="s">
        <v>14038</v>
      </c>
      <c r="D1051" s="261" t="s">
        <v>18175</v>
      </c>
      <c r="E1051" s="261">
        <v>14</v>
      </c>
      <c r="F1051" s="261" t="s">
        <v>20948</v>
      </c>
      <c r="G1051" s="261"/>
      <c r="H1051" s="261"/>
      <c r="I1051" s="261" t="s">
        <v>122</v>
      </c>
      <c r="J1051" s="261" t="s">
        <v>19599</v>
      </c>
      <c r="K1051" s="262">
        <v>20</v>
      </c>
    </row>
    <row r="1052" spans="1:11" x14ac:dyDescent="0.2">
      <c r="A1052" s="306" t="s">
        <v>19689</v>
      </c>
      <c r="B1052" s="261" t="s">
        <v>19689</v>
      </c>
      <c r="C1052" s="261" t="s">
        <v>14038</v>
      </c>
      <c r="D1052" s="261" t="s">
        <v>18175</v>
      </c>
      <c r="E1052" s="261">
        <v>15</v>
      </c>
      <c r="F1052" s="261" t="s">
        <v>20949</v>
      </c>
      <c r="G1052" s="261"/>
      <c r="H1052" s="261"/>
      <c r="I1052" s="261" t="s">
        <v>122</v>
      </c>
      <c r="J1052" s="261" t="s">
        <v>19600</v>
      </c>
      <c r="K1052" s="262">
        <v>20</v>
      </c>
    </row>
    <row r="1053" spans="1:11" x14ac:dyDescent="0.2">
      <c r="A1053" s="306" t="s">
        <v>19689</v>
      </c>
      <c r="B1053" s="261" t="s">
        <v>19689</v>
      </c>
      <c r="C1053" s="261" t="s">
        <v>14038</v>
      </c>
      <c r="D1053" s="261" t="s">
        <v>18175</v>
      </c>
      <c r="E1053" s="261">
        <v>16</v>
      </c>
      <c r="F1053" s="261" t="s">
        <v>20950</v>
      </c>
      <c r="G1053" s="261"/>
      <c r="H1053" s="261"/>
      <c r="I1053" s="261" t="s">
        <v>122</v>
      </c>
      <c r="J1053" s="261" t="s">
        <v>19603</v>
      </c>
      <c r="K1053" s="262">
        <v>20</v>
      </c>
    </row>
    <row r="1054" spans="1:11" x14ac:dyDescent="0.2">
      <c r="A1054" s="306" t="s">
        <v>19689</v>
      </c>
      <c r="B1054" s="261" t="s">
        <v>19689</v>
      </c>
      <c r="C1054" s="261" t="s">
        <v>14038</v>
      </c>
      <c r="D1054" s="261" t="s">
        <v>18175</v>
      </c>
      <c r="E1054" s="261">
        <v>17</v>
      </c>
      <c r="F1054" s="261" t="s">
        <v>20951</v>
      </c>
      <c r="G1054" s="261"/>
      <c r="H1054" s="261"/>
      <c r="I1054" s="261" t="s">
        <v>122</v>
      </c>
      <c r="J1054" s="261" t="s">
        <v>19601</v>
      </c>
      <c r="K1054" s="262">
        <v>20</v>
      </c>
    </row>
    <row r="1055" spans="1:11" x14ac:dyDescent="0.2">
      <c r="A1055" s="306" t="s">
        <v>19689</v>
      </c>
      <c r="B1055" s="261" t="s">
        <v>19689</v>
      </c>
      <c r="C1055" s="261" t="s">
        <v>14038</v>
      </c>
      <c r="D1055" s="261" t="s">
        <v>18175</v>
      </c>
      <c r="E1055" s="261">
        <v>18</v>
      </c>
      <c r="F1055" s="261" t="s">
        <v>20952</v>
      </c>
      <c r="G1055" s="261"/>
      <c r="H1055" s="261"/>
      <c r="I1055" s="261" t="s">
        <v>122</v>
      </c>
      <c r="J1055" s="261" t="s">
        <v>19604</v>
      </c>
      <c r="K1055" s="262">
        <v>20</v>
      </c>
    </row>
    <row r="1056" spans="1:11" x14ac:dyDescent="0.2">
      <c r="A1056" s="306" t="s">
        <v>19689</v>
      </c>
      <c r="B1056" s="261" t="s">
        <v>19689</v>
      </c>
      <c r="C1056" s="261" t="s">
        <v>14038</v>
      </c>
      <c r="D1056" s="261" t="s">
        <v>18175</v>
      </c>
      <c r="E1056" s="261">
        <v>19</v>
      </c>
      <c r="F1056" s="261" t="s">
        <v>20953</v>
      </c>
      <c r="G1056" s="261"/>
      <c r="H1056" s="261"/>
      <c r="I1056" s="261" t="s">
        <v>122</v>
      </c>
      <c r="J1056" s="261" t="s">
        <v>19602</v>
      </c>
      <c r="K1056" s="262">
        <v>20</v>
      </c>
    </row>
    <row r="1057" spans="1:11" x14ac:dyDescent="0.2">
      <c r="A1057" s="306" t="s">
        <v>19689</v>
      </c>
      <c r="B1057" s="261" t="s">
        <v>19689</v>
      </c>
      <c r="C1057" s="261" t="s">
        <v>14038</v>
      </c>
      <c r="D1057" s="261" t="s">
        <v>18175</v>
      </c>
      <c r="E1057" s="261">
        <v>20</v>
      </c>
      <c r="F1057" s="261" t="s">
        <v>20954</v>
      </c>
      <c r="G1057" s="261"/>
      <c r="H1057" s="261"/>
      <c r="I1057" s="261" t="s">
        <v>10772</v>
      </c>
      <c r="J1057" s="261" t="s">
        <v>19618</v>
      </c>
      <c r="K1057" s="262">
        <v>100</v>
      </c>
    </row>
    <row r="1058" spans="1:11" x14ac:dyDescent="0.2">
      <c r="A1058" s="306" t="s">
        <v>20440</v>
      </c>
      <c r="B1058" s="261" t="s">
        <v>20440</v>
      </c>
      <c r="C1058" s="261" t="s">
        <v>14057</v>
      </c>
      <c r="D1058" s="261" t="s">
        <v>18017</v>
      </c>
      <c r="E1058" s="261">
        <v>1</v>
      </c>
      <c r="F1058" s="261" t="s">
        <v>19688</v>
      </c>
      <c r="G1058" s="261" t="s">
        <v>14461</v>
      </c>
      <c r="H1058" s="261" t="s">
        <v>14462</v>
      </c>
      <c r="I1058" s="261"/>
      <c r="J1058" s="261"/>
      <c r="K1058" s="262"/>
    </row>
    <row r="1059" spans="1:11" x14ac:dyDescent="0.2">
      <c r="A1059" s="306" t="s">
        <v>20440</v>
      </c>
      <c r="B1059" s="261" t="s">
        <v>18193</v>
      </c>
      <c r="C1059" s="261" t="s">
        <v>14057</v>
      </c>
      <c r="D1059" s="261" t="s">
        <v>18017</v>
      </c>
      <c r="E1059" s="261">
        <v>2</v>
      </c>
      <c r="F1059" s="261" t="s">
        <v>20955</v>
      </c>
      <c r="G1059" s="261" t="s">
        <v>3651</v>
      </c>
      <c r="H1059" s="261" t="s">
        <v>3652</v>
      </c>
      <c r="I1059" s="261"/>
      <c r="J1059" s="261"/>
      <c r="K1059" s="262"/>
    </row>
    <row r="1060" spans="1:11" x14ac:dyDescent="0.2">
      <c r="A1060" s="306" t="s">
        <v>20440</v>
      </c>
      <c r="B1060" s="261" t="s">
        <v>18205</v>
      </c>
      <c r="C1060" s="261" t="s">
        <v>14057</v>
      </c>
      <c r="D1060" s="261" t="s">
        <v>18017</v>
      </c>
      <c r="E1060" s="261">
        <v>3</v>
      </c>
      <c r="F1060" s="261" t="s">
        <v>20956</v>
      </c>
      <c r="G1060" s="261" t="s">
        <v>8750</v>
      </c>
      <c r="H1060" s="261" t="s">
        <v>8751</v>
      </c>
      <c r="I1060" s="261"/>
      <c r="J1060" s="261"/>
      <c r="K1060" s="262"/>
    </row>
    <row r="1061" spans="1:11" x14ac:dyDescent="0.2">
      <c r="A1061" s="306" t="s">
        <v>20440</v>
      </c>
      <c r="B1061" s="261" t="s">
        <v>18210</v>
      </c>
      <c r="C1061" s="261" t="s">
        <v>14057</v>
      </c>
      <c r="D1061" s="261" t="s">
        <v>18017</v>
      </c>
      <c r="E1061" s="261">
        <v>4</v>
      </c>
      <c r="F1061" s="261" t="s">
        <v>20957</v>
      </c>
      <c r="G1061" s="261" t="s">
        <v>14055</v>
      </c>
      <c r="H1061" s="261" t="s">
        <v>14056</v>
      </c>
      <c r="I1061" s="261"/>
      <c r="J1061" s="261"/>
      <c r="K1061" s="262"/>
    </row>
    <row r="1062" spans="1:11" x14ac:dyDescent="0.2">
      <c r="A1062" s="306" t="s">
        <v>20440</v>
      </c>
      <c r="B1062" s="261" t="s">
        <v>20440</v>
      </c>
      <c r="C1062" s="261" t="s">
        <v>14057</v>
      </c>
      <c r="D1062" s="261" t="s">
        <v>18017</v>
      </c>
      <c r="E1062" s="261">
        <v>5</v>
      </c>
      <c r="F1062" s="261" t="s">
        <v>20868</v>
      </c>
      <c r="G1062" s="261"/>
      <c r="H1062" s="261"/>
      <c r="I1062" s="261" t="s">
        <v>2837</v>
      </c>
      <c r="J1062" s="261" t="s">
        <v>19599</v>
      </c>
      <c r="K1062" s="262">
        <v>20</v>
      </c>
    </row>
    <row r="1063" spans="1:11" x14ac:dyDescent="0.2">
      <c r="A1063" s="306" t="s">
        <v>20440</v>
      </c>
      <c r="B1063" s="261" t="s">
        <v>20440</v>
      </c>
      <c r="C1063" s="261" t="s">
        <v>14057</v>
      </c>
      <c r="D1063" s="261" t="s">
        <v>18017</v>
      </c>
      <c r="E1063" s="261">
        <v>6</v>
      </c>
      <c r="F1063" s="261" t="s">
        <v>20869</v>
      </c>
      <c r="G1063" s="261"/>
      <c r="H1063" s="261"/>
      <c r="I1063" s="261" t="s">
        <v>2837</v>
      </c>
      <c r="J1063" s="261" t="s">
        <v>19600</v>
      </c>
      <c r="K1063" s="262">
        <v>20</v>
      </c>
    </row>
    <row r="1064" spans="1:11" x14ac:dyDescent="0.2">
      <c r="A1064" s="306" t="s">
        <v>20440</v>
      </c>
      <c r="B1064" s="261" t="s">
        <v>20440</v>
      </c>
      <c r="C1064" s="261" t="s">
        <v>14057</v>
      </c>
      <c r="D1064" s="261" t="s">
        <v>18017</v>
      </c>
      <c r="E1064" s="261">
        <v>7</v>
      </c>
      <c r="F1064" s="261" t="s">
        <v>20870</v>
      </c>
      <c r="G1064" s="261"/>
      <c r="H1064" s="261"/>
      <c r="I1064" s="261" t="s">
        <v>2837</v>
      </c>
      <c r="J1064" s="261" t="s">
        <v>19603</v>
      </c>
      <c r="K1064" s="262">
        <v>20</v>
      </c>
    </row>
    <row r="1065" spans="1:11" x14ac:dyDescent="0.2">
      <c r="A1065" s="306" t="s">
        <v>20440</v>
      </c>
      <c r="B1065" s="261" t="s">
        <v>20440</v>
      </c>
      <c r="C1065" s="261" t="s">
        <v>14057</v>
      </c>
      <c r="D1065" s="261" t="s">
        <v>18017</v>
      </c>
      <c r="E1065" s="261">
        <v>8</v>
      </c>
      <c r="F1065" s="261" t="s">
        <v>20871</v>
      </c>
      <c r="G1065" s="261"/>
      <c r="H1065" s="261"/>
      <c r="I1065" s="261" t="s">
        <v>2837</v>
      </c>
      <c r="J1065" s="261" t="s">
        <v>19601</v>
      </c>
      <c r="K1065" s="262">
        <v>20</v>
      </c>
    </row>
    <row r="1066" spans="1:11" x14ac:dyDescent="0.2">
      <c r="A1066" s="306" t="s">
        <v>20440</v>
      </c>
      <c r="B1066" s="261" t="s">
        <v>20440</v>
      </c>
      <c r="C1066" s="261" t="s">
        <v>14057</v>
      </c>
      <c r="D1066" s="261" t="s">
        <v>18017</v>
      </c>
      <c r="E1066" s="261">
        <v>9</v>
      </c>
      <c r="F1066" s="261" t="s">
        <v>20872</v>
      </c>
      <c r="G1066" s="261"/>
      <c r="H1066" s="261"/>
      <c r="I1066" s="261" t="s">
        <v>2837</v>
      </c>
      <c r="J1066" s="261" t="s">
        <v>19604</v>
      </c>
      <c r="K1066" s="262">
        <v>20</v>
      </c>
    </row>
    <row r="1067" spans="1:11" x14ac:dyDescent="0.2">
      <c r="A1067" s="306" t="s">
        <v>20440</v>
      </c>
      <c r="B1067" s="261" t="s">
        <v>20440</v>
      </c>
      <c r="C1067" s="261" t="s">
        <v>14057</v>
      </c>
      <c r="D1067" s="261" t="s">
        <v>18017</v>
      </c>
      <c r="E1067" s="261">
        <v>10</v>
      </c>
      <c r="F1067" s="261" t="s">
        <v>20873</v>
      </c>
      <c r="G1067" s="261"/>
      <c r="H1067" s="261"/>
      <c r="I1067" s="261" t="s">
        <v>2837</v>
      </c>
      <c r="J1067" s="261" t="s">
        <v>19602</v>
      </c>
      <c r="K1067" s="262">
        <v>20</v>
      </c>
    </row>
    <row r="1068" spans="1:11" x14ac:dyDescent="0.2">
      <c r="A1068" s="306" t="s">
        <v>20440</v>
      </c>
      <c r="B1068" s="261" t="s">
        <v>20440</v>
      </c>
      <c r="C1068" s="261" t="s">
        <v>14057</v>
      </c>
      <c r="D1068" s="261" t="s">
        <v>18017</v>
      </c>
      <c r="E1068" s="261">
        <v>11</v>
      </c>
      <c r="F1068" s="261" t="s">
        <v>20874</v>
      </c>
      <c r="G1068" s="261"/>
      <c r="H1068" s="261"/>
      <c r="I1068" s="261" t="s">
        <v>10772</v>
      </c>
      <c r="J1068" s="261" t="s">
        <v>19618</v>
      </c>
      <c r="K1068" s="262">
        <v>100</v>
      </c>
    </row>
    <row r="1069" spans="1:11" x14ac:dyDescent="0.2">
      <c r="A1069" s="306" t="s">
        <v>20049</v>
      </c>
      <c r="B1069" s="261" t="s">
        <v>20049</v>
      </c>
      <c r="C1069" s="261" t="s">
        <v>14060</v>
      </c>
      <c r="D1069" s="261" t="s">
        <v>18046</v>
      </c>
      <c r="E1069" s="261">
        <v>1</v>
      </c>
      <c r="F1069" s="261" t="s">
        <v>19688</v>
      </c>
      <c r="G1069" s="261" t="s">
        <v>20140</v>
      </c>
      <c r="H1069" s="261" t="s">
        <v>20141</v>
      </c>
      <c r="I1069" s="261"/>
      <c r="J1069" s="261"/>
      <c r="K1069" s="262"/>
    </row>
    <row r="1070" spans="1:11" x14ac:dyDescent="0.2">
      <c r="A1070" s="306" t="s">
        <v>20049</v>
      </c>
      <c r="B1070" s="261" t="s">
        <v>20049</v>
      </c>
      <c r="C1070" s="261" t="s">
        <v>14060</v>
      </c>
      <c r="D1070" s="261" t="s">
        <v>18046</v>
      </c>
      <c r="E1070" s="261">
        <v>2</v>
      </c>
      <c r="F1070" s="261" t="s">
        <v>19688</v>
      </c>
      <c r="G1070" s="261" t="s">
        <v>14061</v>
      </c>
      <c r="H1070" s="261" t="s">
        <v>14062</v>
      </c>
      <c r="I1070" s="261"/>
      <c r="J1070" s="261"/>
      <c r="K1070" s="262"/>
    </row>
    <row r="1071" spans="1:11" x14ac:dyDescent="0.2">
      <c r="A1071" s="306" t="s">
        <v>20049</v>
      </c>
      <c r="B1071" s="261" t="s">
        <v>20049</v>
      </c>
      <c r="C1071" s="261" t="s">
        <v>14060</v>
      </c>
      <c r="D1071" s="261" t="s">
        <v>18046</v>
      </c>
      <c r="E1071" s="261">
        <v>3</v>
      </c>
      <c r="F1071" s="261" t="s">
        <v>20882</v>
      </c>
      <c r="G1071" s="261"/>
      <c r="H1071" s="261"/>
      <c r="I1071" s="261"/>
      <c r="J1071" s="261" t="s">
        <v>20958</v>
      </c>
      <c r="K1071" s="262">
        <v>7</v>
      </c>
    </row>
    <row r="1072" spans="1:11" x14ac:dyDescent="0.2">
      <c r="A1072" s="306" t="s">
        <v>20049</v>
      </c>
      <c r="B1072" s="261" t="s">
        <v>20049</v>
      </c>
      <c r="C1072" s="261" t="s">
        <v>14060</v>
      </c>
      <c r="D1072" s="261" t="s">
        <v>18046</v>
      </c>
      <c r="E1072" s="261">
        <v>4</v>
      </c>
      <c r="F1072" s="261" t="s">
        <v>20884</v>
      </c>
      <c r="G1072" s="261"/>
      <c r="H1072" s="261"/>
      <c r="I1072" s="261"/>
      <c r="J1072" s="261" t="s">
        <v>20958</v>
      </c>
      <c r="K1072" s="262">
        <v>7</v>
      </c>
    </row>
    <row r="1073" spans="1:11" x14ac:dyDescent="0.2">
      <c r="A1073" s="306" t="s">
        <v>20049</v>
      </c>
      <c r="B1073" s="261" t="s">
        <v>20049</v>
      </c>
      <c r="C1073" s="261" t="s">
        <v>14060</v>
      </c>
      <c r="D1073" s="261" t="s">
        <v>18046</v>
      </c>
      <c r="E1073" s="261">
        <v>5</v>
      </c>
      <c r="F1073" s="261" t="s">
        <v>20868</v>
      </c>
      <c r="G1073" s="261"/>
      <c r="H1073" s="261"/>
      <c r="I1073" s="261"/>
      <c r="J1073" s="261" t="s">
        <v>20958</v>
      </c>
      <c r="K1073" s="262">
        <v>7</v>
      </c>
    </row>
    <row r="1074" spans="1:11" x14ac:dyDescent="0.2">
      <c r="A1074" s="306" t="s">
        <v>20049</v>
      </c>
      <c r="B1074" s="261" t="s">
        <v>20049</v>
      </c>
      <c r="C1074" s="261" t="s">
        <v>14060</v>
      </c>
      <c r="D1074" s="261" t="s">
        <v>18046</v>
      </c>
      <c r="E1074" s="261">
        <v>6</v>
      </c>
      <c r="F1074" s="261" t="s">
        <v>20885</v>
      </c>
      <c r="G1074" s="261"/>
      <c r="H1074" s="261"/>
      <c r="I1074" s="261"/>
      <c r="J1074" s="261" t="s">
        <v>20958</v>
      </c>
      <c r="K1074" s="262">
        <v>7</v>
      </c>
    </row>
    <row r="1075" spans="1:11" x14ac:dyDescent="0.2">
      <c r="A1075" s="306" t="s">
        <v>20049</v>
      </c>
      <c r="B1075" s="261" t="s">
        <v>20049</v>
      </c>
      <c r="C1075" s="261" t="s">
        <v>14060</v>
      </c>
      <c r="D1075" s="261" t="s">
        <v>18046</v>
      </c>
      <c r="E1075" s="261">
        <v>7</v>
      </c>
      <c r="F1075" s="261" t="s">
        <v>20886</v>
      </c>
      <c r="G1075" s="261"/>
      <c r="H1075" s="261"/>
      <c r="I1075" s="261"/>
      <c r="J1075" s="261" t="s">
        <v>20958</v>
      </c>
      <c r="K1075" s="262">
        <v>6</v>
      </c>
    </row>
    <row r="1076" spans="1:11" x14ac:dyDescent="0.2">
      <c r="A1076" s="306" t="s">
        <v>20049</v>
      </c>
      <c r="B1076" s="261" t="s">
        <v>20049</v>
      </c>
      <c r="C1076" s="261" t="s">
        <v>14060</v>
      </c>
      <c r="D1076" s="261" t="s">
        <v>18046</v>
      </c>
      <c r="E1076" s="261">
        <v>8</v>
      </c>
      <c r="F1076" s="261" t="s">
        <v>20048</v>
      </c>
      <c r="G1076" s="261" t="s">
        <v>10107</v>
      </c>
      <c r="H1076" s="261" t="s">
        <v>10108</v>
      </c>
      <c r="I1076" s="261"/>
      <c r="J1076" s="261"/>
      <c r="K1076" s="262"/>
    </row>
    <row r="1077" spans="1:11" x14ac:dyDescent="0.2">
      <c r="A1077" s="306" t="s">
        <v>20049</v>
      </c>
      <c r="B1077" s="261" t="s">
        <v>18222</v>
      </c>
      <c r="C1077" s="261" t="s">
        <v>14060</v>
      </c>
      <c r="D1077" s="261" t="s">
        <v>18046</v>
      </c>
      <c r="E1077" s="261">
        <v>9</v>
      </c>
      <c r="F1077" s="261" t="s">
        <v>20959</v>
      </c>
      <c r="G1077" s="261" t="s">
        <v>14668</v>
      </c>
      <c r="H1077" s="261" t="s">
        <v>14669</v>
      </c>
      <c r="I1077" s="261"/>
      <c r="J1077" s="261"/>
      <c r="K1077" s="262"/>
    </row>
    <row r="1078" spans="1:11" x14ac:dyDescent="0.2">
      <c r="A1078" s="306" t="s">
        <v>20049</v>
      </c>
      <c r="B1078" s="261" t="s">
        <v>18224</v>
      </c>
      <c r="C1078" s="261" t="s">
        <v>14060</v>
      </c>
      <c r="D1078" s="261" t="s">
        <v>18046</v>
      </c>
      <c r="E1078" s="261">
        <v>10</v>
      </c>
      <c r="F1078" s="261" t="s">
        <v>20960</v>
      </c>
      <c r="G1078" s="261" t="s">
        <v>14463</v>
      </c>
      <c r="H1078" s="261" t="s">
        <v>14464</v>
      </c>
      <c r="I1078" s="261"/>
      <c r="J1078" s="261"/>
      <c r="K1078" s="262"/>
    </row>
    <row r="1079" spans="1:11" x14ac:dyDescent="0.2">
      <c r="A1079" s="306" t="s">
        <v>20049</v>
      </c>
      <c r="B1079" s="261" t="s">
        <v>18225</v>
      </c>
      <c r="C1079" s="261" t="s">
        <v>14060</v>
      </c>
      <c r="D1079" s="261" t="s">
        <v>18046</v>
      </c>
      <c r="E1079" s="261">
        <v>11</v>
      </c>
      <c r="F1079" s="261" t="s">
        <v>20961</v>
      </c>
      <c r="G1079" s="261" t="s">
        <v>4132</v>
      </c>
      <c r="H1079" s="261" t="s">
        <v>4133</v>
      </c>
      <c r="I1079" s="261"/>
      <c r="J1079" s="261"/>
      <c r="K1079" s="262"/>
    </row>
    <row r="1080" spans="1:11" x14ac:dyDescent="0.2">
      <c r="A1080" s="306" t="s">
        <v>20049</v>
      </c>
      <c r="B1080" s="261" t="s">
        <v>18226</v>
      </c>
      <c r="C1080" s="261" t="s">
        <v>14060</v>
      </c>
      <c r="D1080" s="261" t="s">
        <v>18046</v>
      </c>
      <c r="E1080" s="261">
        <v>12</v>
      </c>
      <c r="F1080" s="261" t="s">
        <v>20962</v>
      </c>
      <c r="G1080" s="261" t="s">
        <v>14058</v>
      </c>
      <c r="H1080" s="261" t="s">
        <v>14059</v>
      </c>
      <c r="I1080" s="261"/>
      <c r="J1080" s="261"/>
      <c r="K1080" s="262"/>
    </row>
    <row r="1081" spans="1:11" x14ac:dyDescent="0.2">
      <c r="A1081" s="306" t="s">
        <v>20049</v>
      </c>
      <c r="B1081" s="261" t="s">
        <v>18228</v>
      </c>
      <c r="C1081" s="261" t="s">
        <v>14060</v>
      </c>
      <c r="D1081" s="261" t="s">
        <v>18046</v>
      </c>
      <c r="E1081" s="261">
        <v>13</v>
      </c>
      <c r="F1081" s="261" t="s">
        <v>20963</v>
      </c>
      <c r="G1081" s="261" t="s">
        <v>4480</v>
      </c>
      <c r="H1081" s="261" t="s">
        <v>4481</v>
      </c>
      <c r="I1081" s="261"/>
      <c r="J1081" s="261"/>
      <c r="K1081" s="262"/>
    </row>
    <row r="1082" spans="1:11" x14ac:dyDescent="0.2">
      <c r="A1082" s="306" t="s">
        <v>20049</v>
      </c>
      <c r="B1082" s="261" t="s">
        <v>20049</v>
      </c>
      <c r="C1082" s="261" t="s">
        <v>14060</v>
      </c>
      <c r="D1082" s="261" t="s">
        <v>18046</v>
      </c>
      <c r="E1082" s="261">
        <v>14</v>
      </c>
      <c r="F1082" s="261" t="s">
        <v>20870</v>
      </c>
      <c r="G1082" s="261"/>
      <c r="H1082" s="261"/>
      <c r="I1082" s="261" t="s">
        <v>3779</v>
      </c>
      <c r="J1082" s="261" t="s">
        <v>19599</v>
      </c>
      <c r="K1082" s="262">
        <v>20</v>
      </c>
    </row>
    <row r="1083" spans="1:11" x14ac:dyDescent="0.2">
      <c r="A1083" s="306" t="s">
        <v>20049</v>
      </c>
      <c r="B1083" s="261" t="s">
        <v>20049</v>
      </c>
      <c r="C1083" s="261" t="s">
        <v>14060</v>
      </c>
      <c r="D1083" s="261" t="s">
        <v>18046</v>
      </c>
      <c r="E1083" s="261">
        <v>15</v>
      </c>
      <c r="F1083" s="261" t="s">
        <v>20888</v>
      </c>
      <c r="G1083" s="261"/>
      <c r="H1083" s="261"/>
      <c r="I1083" s="261" t="s">
        <v>3779</v>
      </c>
      <c r="J1083" s="261" t="s">
        <v>19603</v>
      </c>
      <c r="K1083" s="262">
        <v>20</v>
      </c>
    </row>
    <row r="1084" spans="1:11" x14ac:dyDescent="0.2">
      <c r="A1084" s="306" t="s">
        <v>20049</v>
      </c>
      <c r="B1084" s="261" t="s">
        <v>20049</v>
      </c>
      <c r="C1084" s="261" t="s">
        <v>14060</v>
      </c>
      <c r="D1084" s="261" t="s">
        <v>18046</v>
      </c>
      <c r="E1084" s="261">
        <v>16</v>
      </c>
      <c r="F1084" s="261" t="s">
        <v>20964</v>
      </c>
      <c r="G1084" s="261"/>
      <c r="H1084" s="261"/>
      <c r="I1084" s="261" t="s">
        <v>3779</v>
      </c>
      <c r="J1084" s="261" t="s">
        <v>19600</v>
      </c>
      <c r="K1084" s="262">
        <v>20</v>
      </c>
    </row>
    <row r="1085" spans="1:11" x14ac:dyDescent="0.2">
      <c r="A1085" s="306" t="s">
        <v>20049</v>
      </c>
      <c r="B1085" s="261" t="s">
        <v>20049</v>
      </c>
      <c r="C1085" s="261" t="s">
        <v>14060</v>
      </c>
      <c r="D1085" s="261" t="s">
        <v>18046</v>
      </c>
      <c r="E1085" s="261">
        <v>17</v>
      </c>
      <c r="F1085" s="261" t="s">
        <v>20872</v>
      </c>
      <c r="G1085" s="261"/>
      <c r="H1085" s="261"/>
      <c r="I1085" s="261" t="s">
        <v>3779</v>
      </c>
      <c r="J1085" s="261" t="s">
        <v>19601</v>
      </c>
      <c r="K1085" s="262">
        <v>20</v>
      </c>
    </row>
    <row r="1086" spans="1:11" x14ac:dyDescent="0.2">
      <c r="A1086" s="306" t="s">
        <v>20049</v>
      </c>
      <c r="B1086" s="261" t="s">
        <v>20049</v>
      </c>
      <c r="C1086" s="261" t="s">
        <v>14060</v>
      </c>
      <c r="D1086" s="261" t="s">
        <v>18046</v>
      </c>
      <c r="E1086" s="261">
        <v>18</v>
      </c>
      <c r="F1086" s="261" t="s">
        <v>20889</v>
      </c>
      <c r="G1086" s="261"/>
      <c r="H1086" s="261"/>
      <c r="I1086" s="261" t="s">
        <v>3779</v>
      </c>
      <c r="J1086" s="261" t="s">
        <v>19604</v>
      </c>
      <c r="K1086" s="262">
        <v>20</v>
      </c>
    </row>
    <row r="1087" spans="1:11" x14ac:dyDescent="0.2">
      <c r="A1087" s="306" t="s">
        <v>20049</v>
      </c>
      <c r="B1087" s="261" t="s">
        <v>20049</v>
      </c>
      <c r="C1087" s="261" t="s">
        <v>14060</v>
      </c>
      <c r="D1087" s="261" t="s">
        <v>18046</v>
      </c>
      <c r="E1087" s="261">
        <v>19</v>
      </c>
      <c r="F1087" s="261" t="s">
        <v>20890</v>
      </c>
      <c r="G1087" s="261"/>
      <c r="H1087" s="261"/>
      <c r="I1087" s="261" t="s">
        <v>3779</v>
      </c>
      <c r="J1087" s="261" t="s">
        <v>19602</v>
      </c>
      <c r="K1087" s="262">
        <v>20</v>
      </c>
    </row>
    <row r="1088" spans="1:11" x14ac:dyDescent="0.2">
      <c r="A1088" s="306" t="s">
        <v>20049</v>
      </c>
      <c r="B1088" s="261" t="s">
        <v>20049</v>
      </c>
      <c r="C1088" s="261" t="s">
        <v>14060</v>
      </c>
      <c r="D1088" s="261" t="s">
        <v>18046</v>
      </c>
      <c r="E1088" s="261">
        <v>20</v>
      </c>
      <c r="F1088" s="261" t="s">
        <v>20891</v>
      </c>
      <c r="G1088" s="261"/>
      <c r="H1088" s="261"/>
      <c r="I1088" s="261" t="s">
        <v>3779</v>
      </c>
      <c r="J1088" s="261" t="s">
        <v>19618</v>
      </c>
      <c r="K1088" s="262">
        <v>100</v>
      </c>
    </row>
    <row r="1089" spans="1:11" x14ac:dyDescent="0.2">
      <c r="A1089" s="306" t="s">
        <v>20023</v>
      </c>
      <c r="B1089" s="261" t="s">
        <v>20023</v>
      </c>
      <c r="C1089" s="261" t="s">
        <v>14065</v>
      </c>
      <c r="D1089" s="261" t="s">
        <v>18046</v>
      </c>
      <c r="E1089" s="261">
        <v>1</v>
      </c>
      <c r="F1089" s="261" t="s">
        <v>19688</v>
      </c>
      <c r="G1089" s="261" t="s">
        <v>20142</v>
      </c>
      <c r="H1089" s="261" t="s">
        <v>20143</v>
      </c>
      <c r="I1089" s="261"/>
      <c r="J1089" s="261"/>
      <c r="K1089" s="262"/>
    </row>
    <row r="1090" spans="1:11" x14ac:dyDescent="0.2">
      <c r="A1090" s="306" t="s">
        <v>20023</v>
      </c>
      <c r="B1090" s="261" t="s">
        <v>20023</v>
      </c>
      <c r="C1090" s="261" t="s">
        <v>14065</v>
      </c>
      <c r="D1090" s="261" t="s">
        <v>18046</v>
      </c>
      <c r="E1090" s="261">
        <v>2</v>
      </c>
      <c r="F1090" s="261" t="s">
        <v>19688</v>
      </c>
      <c r="G1090" s="261" t="s">
        <v>14066</v>
      </c>
      <c r="H1090" s="261" t="s">
        <v>14067</v>
      </c>
      <c r="I1090" s="261"/>
      <c r="J1090" s="261"/>
      <c r="K1090" s="262"/>
    </row>
    <row r="1091" spans="1:11" x14ac:dyDescent="0.2">
      <c r="A1091" s="306" t="s">
        <v>20023</v>
      </c>
      <c r="B1091" s="261" t="s">
        <v>20023</v>
      </c>
      <c r="C1091" s="261" t="s">
        <v>14065</v>
      </c>
      <c r="D1091" s="261" t="s">
        <v>18046</v>
      </c>
      <c r="E1091" s="261">
        <v>3</v>
      </c>
      <c r="F1091" s="261" t="s">
        <v>20882</v>
      </c>
      <c r="G1091" s="261"/>
      <c r="H1091" s="261"/>
      <c r="I1091" s="261"/>
      <c r="J1091" s="261" t="s">
        <v>20965</v>
      </c>
      <c r="K1091" s="262">
        <v>7</v>
      </c>
    </row>
    <row r="1092" spans="1:11" x14ac:dyDescent="0.2">
      <c r="A1092" s="306" t="s">
        <v>20023</v>
      </c>
      <c r="B1092" s="261" t="s">
        <v>20023</v>
      </c>
      <c r="C1092" s="261" t="s">
        <v>14065</v>
      </c>
      <c r="D1092" s="261" t="s">
        <v>18046</v>
      </c>
      <c r="E1092" s="261">
        <v>4</v>
      </c>
      <c r="F1092" s="261" t="s">
        <v>20884</v>
      </c>
      <c r="G1092" s="261"/>
      <c r="H1092" s="261"/>
      <c r="I1092" s="261"/>
      <c r="J1092" s="261" t="s">
        <v>20965</v>
      </c>
      <c r="K1092" s="262">
        <v>7</v>
      </c>
    </row>
    <row r="1093" spans="1:11" x14ac:dyDescent="0.2">
      <c r="A1093" s="306" t="s">
        <v>20023</v>
      </c>
      <c r="B1093" s="261" t="s">
        <v>20023</v>
      </c>
      <c r="C1093" s="261" t="s">
        <v>14065</v>
      </c>
      <c r="D1093" s="261" t="s">
        <v>18046</v>
      </c>
      <c r="E1093" s="261">
        <v>5</v>
      </c>
      <c r="F1093" s="261" t="s">
        <v>20868</v>
      </c>
      <c r="G1093" s="261"/>
      <c r="H1093" s="261"/>
      <c r="I1093" s="261"/>
      <c r="J1093" s="261" t="s">
        <v>20965</v>
      </c>
      <c r="K1093" s="262">
        <v>7</v>
      </c>
    </row>
    <row r="1094" spans="1:11" x14ac:dyDescent="0.2">
      <c r="A1094" s="306" t="s">
        <v>20023</v>
      </c>
      <c r="B1094" s="261" t="s">
        <v>20023</v>
      </c>
      <c r="C1094" s="261" t="s">
        <v>14065</v>
      </c>
      <c r="D1094" s="261" t="s">
        <v>18046</v>
      </c>
      <c r="E1094" s="261">
        <v>6</v>
      </c>
      <c r="F1094" s="261" t="s">
        <v>20885</v>
      </c>
      <c r="G1094" s="261"/>
      <c r="H1094" s="261"/>
      <c r="I1094" s="261"/>
      <c r="J1094" s="261" t="s">
        <v>20965</v>
      </c>
      <c r="K1094" s="262">
        <v>7</v>
      </c>
    </row>
    <row r="1095" spans="1:11" x14ac:dyDescent="0.2">
      <c r="A1095" s="306" t="s">
        <v>20023</v>
      </c>
      <c r="B1095" s="261" t="s">
        <v>20023</v>
      </c>
      <c r="C1095" s="261" t="s">
        <v>14065</v>
      </c>
      <c r="D1095" s="261" t="s">
        <v>18046</v>
      </c>
      <c r="E1095" s="261">
        <v>7</v>
      </c>
      <c r="F1095" s="261" t="s">
        <v>20886</v>
      </c>
      <c r="G1095" s="261"/>
      <c r="H1095" s="261"/>
      <c r="I1095" s="261"/>
      <c r="J1095" s="261" t="s">
        <v>20965</v>
      </c>
      <c r="K1095" s="262">
        <v>6</v>
      </c>
    </row>
    <row r="1096" spans="1:11" x14ac:dyDescent="0.2">
      <c r="A1096" s="306" t="s">
        <v>20023</v>
      </c>
      <c r="B1096" s="261" t="s">
        <v>20023</v>
      </c>
      <c r="C1096" s="261" t="s">
        <v>14065</v>
      </c>
      <c r="D1096" s="261" t="s">
        <v>18046</v>
      </c>
      <c r="E1096" s="261">
        <v>8</v>
      </c>
      <c r="F1096" s="261" t="s">
        <v>20022</v>
      </c>
      <c r="G1096" s="261" t="s">
        <v>9311</v>
      </c>
      <c r="H1096" s="261" t="s">
        <v>9312</v>
      </c>
      <c r="I1096" s="261"/>
      <c r="J1096" s="261"/>
      <c r="K1096" s="262"/>
    </row>
    <row r="1097" spans="1:11" x14ac:dyDescent="0.2">
      <c r="A1097" s="306" t="s">
        <v>20023</v>
      </c>
      <c r="B1097" s="261" t="s">
        <v>18231</v>
      </c>
      <c r="C1097" s="261" t="s">
        <v>14065</v>
      </c>
      <c r="D1097" s="261" t="s">
        <v>18046</v>
      </c>
      <c r="E1097" s="261">
        <v>9</v>
      </c>
      <c r="F1097" s="261" t="s">
        <v>20966</v>
      </c>
      <c r="G1097" s="261" t="s">
        <v>14063</v>
      </c>
      <c r="H1097" s="261" t="s">
        <v>14064</v>
      </c>
      <c r="I1097" s="261"/>
      <c r="J1097" s="261"/>
      <c r="K1097" s="262"/>
    </row>
    <row r="1098" spans="1:11" x14ac:dyDescent="0.2">
      <c r="A1098" s="306" t="s">
        <v>20023</v>
      </c>
      <c r="B1098" s="261" t="s">
        <v>18233</v>
      </c>
      <c r="C1098" s="261" t="s">
        <v>14065</v>
      </c>
      <c r="D1098" s="261" t="s">
        <v>18046</v>
      </c>
      <c r="E1098" s="261">
        <v>10</v>
      </c>
      <c r="F1098" s="261" t="s">
        <v>20967</v>
      </c>
      <c r="G1098" s="261" t="s">
        <v>14670</v>
      </c>
      <c r="H1098" s="261" t="s">
        <v>14671</v>
      </c>
      <c r="I1098" s="261"/>
      <c r="J1098" s="261"/>
      <c r="K1098" s="262"/>
    </row>
    <row r="1099" spans="1:11" x14ac:dyDescent="0.2">
      <c r="A1099" s="306" t="s">
        <v>20023</v>
      </c>
      <c r="B1099" s="261" t="s">
        <v>18235</v>
      </c>
      <c r="C1099" s="261" t="s">
        <v>14065</v>
      </c>
      <c r="D1099" s="261" t="s">
        <v>18046</v>
      </c>
      <c r="E1099" s="261">
        <v>11</v>
      </c>
      <c r="F1099" s="261" t="s">
        <v>20968</v>
      </c>
      <c r="G1099" s="261" t="s">
        <v>14465</v>
      </c>
      <c r="H1099" s="261" t="s">
        <v>14466</v>
      </c>
      <c r="I1099" s="261"/>
      <c r="J1099" s="261"/>
      <c r="K1099" s="262"/>
    </row>
    <row r="1100" spans="1:11" x14ac:dyDescent="0.2">
      <c r="A1100" s="306" t="s">
        <v>20023</v>
      </c>
      <c r="B1100" s="261" t="s">
        <v>18236</v>
      </c>
      <c r="C1100" s="261" t="s">
        <v>14065</v>
      </c>
      <c r="D1100" s="261" t="s">
        <v>18046</v>
      </c>
      <c r="E1100" s="261">
        <v>12</v>
      </c>
      <c r="F1100" s="261" t="s">
        <v>20969</v>
      </c>
      <c r="G1100" s="261" t="s">
        <v>3115</v>
      </c>
      <c r="H1100" s="261" t="s">
        <v>3116</v>
      </c>
      <c r="I1100" s="261"/>
      <c r="J1100" s="261"/>
      <c r="K1100" s="262"/>
    </row>
    <row r="1101" spans="1:11" x14ac:dyDescent="0.2">
      <c r="A1101" s="306" t="s">
        <v>20023</v>
      </c>
      <c r="B1101" s="261" t="s">
        <v>18237</v>
      </c>
      <c r="C1101" s="261" t="s">
        <v>14065</v>
      </c>
      <c r="D1101" s="261" t="s">
        <v>18046</v>
      </c>
      <c r="E1101" s="261">
        <v>13</v>
      </c>
      <c r="F1101" s="261" t="s">
        <v>20970</v>
      </c>
      <c r="G1101" s="261" t="s">
        <v>79</v>
      </c>
      <c r="H1101" s="261" t="s">
        <v>1656</v>
      </c>
      <c r="I1101" s="261"/>
      <c r="J1101" s="261"/>
      <c r="K1101" s="262"/>
    </row>
    <row r="1102" spans="1:11" x14ac:dyDescent="0.2">
      <c r="A1102" s="306" t="s">
        <v>20023</v>
      </c>
      <c r="B1102" s="261" t="s">
        <v>18239</v>
      </c>
      <c r="C1102" s="261" t="s">
        <v>14065</v>
      </c>
      <c r="D1102" s="261" t="s">
        <v>18046</v>
      </c>
      <c r="E1102" s="261">
        <v>14</v>
      </c>
      <c r="F1102" s="261" t="s">
        <v>20971</v>
      </c>
      <c r="G1102" s="261" t="s">
        <v>2454</v>
      </c>
      <c r="H1102" s="261" t="s">
        <v>2455</v>
      </c>
      <c r="I1102" s="261"/>
      <c r="J1102" s="261"/>
      <c r="K1102" s="262"/>
    </row>
    <row r="1103" spans="1:11" x14ac:dyDescent="0.2">
      <c r="A1103" s="306" t="s">
        <v>20023</v>
      </c>
      <c r="B1103" s="261" t="s">
        <v>20023</v>
      </c>
      <c r="C1103" s="261" t="s">
        <v>14065</v>
      </c>
      <c r="D1103" s="261" t="s">
        <v>18046</v>
      </c>
      <c r="E1103" s="261">
        <v>15</v>
      </c>
      <c r="F1103" s="261" t="s">
        <v>20870</v>
      </c>
      <c r="G1103" s="261"/>
      <c r="H1103" s="261"/>
      <c r="I1103" s="261" t="s">
        <v>1103</v>
      </c>
      <c r="J1103" s="261" t="s">
        <v>19599</v>
      </c>
      <c r="K1103" s="262">
        <v>20</v>
      </c>
    </row>
    <row r="1104" spans="1:11" x14ac:dyDescent="0.2">
      <c r="A1104" s="306" t="s">
        <v>20023</v>
      </c>
      <c r="B1104" s="261" t="s">
        <v>20023</v>
      </c>
      <c r="C1104" s="261" t="s">
        <v>14065</v>
      </c>
      <c r="D1104" s="261" t="s">
        <v>18046</v>
      </c>
      <c r="E1104" s="261">
        <v>16</v>
      </c>
      <c r="F1104" s="261" t="s">
        <v>20888</v>
      </c>
      <c r="G1104" s="261"/>
      <c r="H1104" s="261"/>
      <c r="I1104" s="261" t="s">
        <v>1103</v>
      </c>
      <c r="J1104" s="261" t="s">
        <v>19603</v>
      </c>
      <c r="K1104" s="262">
        <v>20</v>
      </c>
    </row>
    <row r="1105" spans="1:11" x14ac:dyDescent="0.2">
      <c r="A1105" s="306" t="s">
        <v>20023</v>
      </c>
      <c r="B1105" s="261" t="s">
        <v>20023</v>
      </c>
      <c r="C1105" s="261" t="s">
        <v>14065</v>
      </c>
      <c r="D1105" s="261" t="s">
        <v>18046</v>
      </c>
      <c r="E1105" s="261">
        <v>17</v>
      </c>
      <c r="F1105" s="261" t="s">
        <v>20972</v>
      </c>
      <c r="G1105" s="261"/>
      <c r="H1105" s="261"/>
      <c r="I1105" s="261" t="s">
        <v>1103</v>
      </c>
      <c r="J1105" s="261" t="s">
        <v>19600</v>
      </c>
      <c r="K1105" s="262">
        <v>20</v>
      </c>
    </row>
    <row r="1106" spans="1:11" x14ac:dyDescent="0.2">
      <c r="A1106" s="306" t="s">
        <v>20023</v>
      </c>
      <c r="B1106" s="261" t="s">
        <v>20023</v>
      </c>
      <c r="C1106" s="261" t="s">
        <v>14065</v>
      </c>
      <c r="D1106" s="261" t="s">
        <v>18046</v>
      </c>
      <c r="E1106" s="261">
        <v>18</v>
      </c>
      <c r="F1106" s="261" t="s">
        <v>20872</v>
      </c>
      <c r="G1106" s="261"/>
      <c r="H1106" s="261"/>
      <c r="I1106" s="261" t="s">
        <v>1103</v>
      </c>
      <c r="J1106" s="261" t="s">
        <v>19601</v>
      </c>
      <c r="K1106" s="262">
        <v>20</v>
      </c>
    </row>
    <row r="1107" spans="1:11" x14ac:dyDescent="0.2">
      <c r="A1107" s="306" t="s">
        <v>20023</v>
      </c>
      <c r="B1107" s="261" t="s">
        <v>20023</v>
      </c>
      <c r="C1107" s="261" t="s">
        <v>14065</v>
      </c>
      <c r="D1107" s="261" t="s">
        <v>18046</v>
      </c>
      <c r="E1107" s="261">
        <v>19</v>
      </c>
      <c r="F1107" s="261" t="s">
        <v>20889</v>
      </c>
      <c r="G1107" s="261"/>
      <c r="H1107" s="261"/>
      <c r="I1107" s="261" t="s">
        <v>1103</v>
      </c>
      <c r="J1107" s="261" t="s">
        <v>19604</v>
      </c>
      <c r="K1107" s="262">
        <v>20</v>
      </c>
    </row>
    <row r="1108" spans="1:11" x14ac:dyDescent="0.2">
      <c r="A1108" s="306" t="s">
        <v>20023</v>
      </c>
      <c r="B1108" s="261" t="s">
        <v>20023</v>
      </c>
      <c r="C1108" s="261" t="s">
        <v>14065</v>
      </c>
      <c r="D1108" s="261" t="s">
        <v>18046</v>
      </c>
      <c r="E1108" s="261">
        <v>20</v>
      </c>
      <c r="F1108" s="261" t="s">
        <v>20890</v>
      </c>
      <c r="G1108" s="261"/>
      <c r="H1108" s="261"/>
      <c r="I1108" s="261" t="s">
        <v>1103</v>
      </c>
      <c r="J1108" s="261" t="s">
        <v>19602</v>
      </c>
      <c r="K1108" s="262">
        <v>20</v>
      </c>
    </row>
    <row r="1109" spans="1:11" x14ac:dyDescent="0.2">
      <c r="A1109" s="306" t="s">
        <v>20023</v>
      </c>
      <c r="B1109" s="261" t="s">
        <v>20023</v>
      </c>
      <c r="C1109" s="261" t="s">
        <v>14065</v>
      </c>
      <c r="D1109" s="261" t="s">
        <v>18046</v>
      </c>
      <c r="E1109" s="261">
        <v>21</v>
      </c>
      <c r="F1109" s="261" t="s">
        <v>20891</v>
      </c>
      <c r="G1109" s="261"/>
      <c r="H1109" s="261"/>
      <c r="I1109" s="261" t="s">
        <v>1103</v>
      </c>
      <c r="J1109" s="261" t="s">
        <v>19618</v>
      </c>
      <c r="K1109" s="262">
        <v>100</v>
      </c>
    </row>
    <row r="1110" spans="1:11" x14ac:dyDescent="0.2">
      <c r="A1110" s="306" t="s">
        <v>20259</v>
      </c>
      <c r="B1110" s="261" t="s">
        <v>20259</v>
      </c>
      <c r="C1110" s="261" t="s">
        <v>18242</v>
      </c>
      <c r="D1110" s="261" t="s">
        <v>18241</v>
      </c>
      <c r="E1110" s="261">
        <v>1</v>
      </c>
      <c r="F1110" s="261" t="s">
        <v>19688</v>
      </c>
      <c r="G1110" s="261" t="s">
        <v>14072</v>
      </c>
      <c r="H1110" s="261" t="s">
        <v>14073</v>
      </c>
      <c r="I1110" s="261"/>
      <c r="J1110" s="261"/>
      <c r="K1110" s="262"/>
    </row>
    <row r="1111" spans="1:11" x14ac:dyDescent="0.2">
      <c r="A1111" s="306" t="s">
        <v>20259</v>
      </c>
      <c r="B1111" s="261" t="s">
        <v>18240</v>
      </c>
      <c r="C1111" s="261" t="s">
        <v>18242</v>
      </c>
      <c r="D1111" s="261" t="s">
        <v>18241</v>
      </c>
      <c r="E1111" s="261">
        <v>2</v>
      </c>
      <c r="F1111" s="261" t="s">
        <v>20973</v>
      </c>
      <c r="G1111" s="261" t="s">
        <v>2887</v>
      </c>
      <c r="H1111" s="261" t="s">
        <v>2888</v>
      </c>
      <c r="I1111" s="261"/>
      <c r="J1111" s="261"/>
      <c r="K1111" s="262"/>
    </row>
    <row r="1112" spans="1:11" x14ac:dyDescent="0.2">
      <c r="A1112" s="306" t="s">
        <v>20259</v>
      </c>
      <c r="B1112" s="261" t="s">
        <v>18249</v>
      </c>
      <c r="C1112" s="261" t="s">
        <v>18242</v>
      </c>
      <c r="D1112" s="261" t="s">
        <v>18241</v>
      </c>
      <c r="E1112" s="261">
        <v>3</v>
      </c>
      <c r="F1112" s="261" t="s">
        <v>20974</v>
      </c>
      <c r="G1112" s="261" t="s">
        <v>14672</v>
      </c>
      <c r="H1112" s="261" t="s">
        <v>14673</v>
      </c>
      <c r="I1112" s="261"/>
      <c r="J1112" s="261"/>
      <c r="K1112" s="262"/>
    </row>
    <row r="1113" spans="1:11" x14ac:dyDescent="0.2">
      <c r="A1113" s="306" t="s">
        <v>20259</v>
      </c>
      <c r="B1113" s="261" t="s">
        <v>18251</v>
      </c>
      <c r="C1113" s="261" t="s">
        <v>18242</v>
      </c>
      <c r="D1113" s="261" t="s">
        <v>18241</v>
      </c>
      <c r="E1113" s="261">
        <v>4</v>
      </c>
      <c r="F1113" s="261" t="s">
        <v>20975</v>
      </c>
      <c r="G1113" s="261" t="s">
        <v>200</v>
      </c>
      <c r="H1113" s="261" t="s">
        <v>201</v>
      </c>
      <c r="I1113" s="261"/>
      <c r="J1113" s="261"/>
      <c r="K1113" s="262"/>
    </row>
    <row r="1114" spans="1:11" x14ac:dyDescent="0.2">
      <c r="A1114" s="306" t="s">
        <v>20259</v>
      </c>
      <c r="B1114" s="261" t="s">
        <v>18252</v>
      </c>
      <c r="C1114" s="261" t="s">
        <v>18242</v>
      </c>
      <c r="D1114" s="261" t="s">
        <v>18241</v>
      </c>
      <c r="E1114" s="261">
        <v>5</v>
      </c>
      <c r="F1114" s="261" t="s">
        <v>20976</v>
      </c>
      <c r="G1114" s="261" t="s">
        <v>14467</v>
      </c>
      <c r="H1114" s="261" t="s">
        <v>14468</v>
      </c>
      <c r="I1114" s="261"/>
      <c r="J1114" s="261"/>
      <c r="K1114" s="262"/>
    </row>
    <row r="1115" spans="1:11" x14ac:dyDescent="0.2">
      <c r="A1115" s="306" t="s">
        <v>20259</v>
      </c>
      <c r="B1115" s="261" t="s">
        <v>18256</v>
      </c>
      <c r="C1115" s="261" t="s">
        <v>18242</v>
      </c>
      <c r="D1115" s="261" t="s">
        <v>18241</v>
      </c>
      <c r="E1115" s="261">
        <v>6</v>
      </c>
      <c r="F1115" s="261" t="s">
        <v>20977</v>
      </c>
      <c r="G1115" s="261" t="s">
        <v>1530</v>
      </c>
      <c r="H1115" s="261" t="s">
        <v>1531</v>
      </c>
      <c r="I1115" s="261"/>
      <c r="J1115" s="261"/>
      <c r="K1115" s="262"/>
    </row>
    <row r="1116" spans="1:11" x14ac:dyDescent="0.2">
      <c r="A1116" s="306" t="s">
        <v>20259</v>
      </c>
      <c r="B1116" s="261" t="s">
        <v>18261</v>
      </c>
      <c r="C1116" s="261" t="s">
        <v>18242</v>
      </c>
      <c r="D1116" s="261" t="s">
        <v>18241</v>
      </c>
      <c r="E1116" s="261">
        <v>7</v>
      </c>
      <c r="F1116" s="261" t="s">
        <v>20978</v>
      </c>
      <c r="G1116" s="261" t="s">
        <v>14077</v>
      </c>
      <c r="H1116" s="261" t="s">
        <v>14078</v>
      </c>
      <c r="I1116" s="261"/>
      <c r="J1116" s="261"/>
      <c r="K1116" s="262"/>
    </row>
    <row r="1117" spans="1:11" x14ac:dyDescent="0.2">
      <c r="A1117" s="306" t="s">
        <v>20259</v>
      </c>
      <c r="B1117" s="261" t="s">
        <v>18266</v>
      </c>
      <c r="C1117" s="261" t="s">
        <v>18242</v>
      </c>
      <c r="D1117" s="261" t="s">
        <v>18241</v>
      </c>
      <c r="E1117" s="261">
        <v>8</v>
      </c>
      <c r="F1117" s="261" t="s">
        <v>20979</v>
      </c>
      <c r="G1117" s="261" t="s">
        <v>4417</v>
      </c>
      <c r="H1117" s="261" t="s">
        <v>4418</v>
      </c>
      <c r="I1117" s="261"/>
      <c r="J1117" s="261"/>
      <c r="K1117" s="262"/>
    </row>
    <row r="1118" spans="1:11" x14ac:dyDescent="0.2">
      <c r="A1118" s="306" t="s">
        <v>20448</v>
      </c>
      <c r="B1118" s="261" t="s">
        <v>20448</v>
      </c>
      <c r="C1118" s="261" t="s">
        <v>14476</v>
      </c>
      <c r="D1118" s="261" t="s">
        <v>18017</v>
      </c>
      <c r="E1118" s="261">
        <v>1</v>
      </c>
      <c r="F1118" s="261" t="s">
        <v>19688</v>
      </c>
      <c r="G1118" s="261" t="s">
        <v>14473</v>
      </c>
      <c r="H1118" s="261" t="s">
        <v>14474</v>
      </c>
      <c r="I1118" s="261"/>
      <c r="J1118" s="261"/>
      <c r="K1118" s="262"/>
    </row>
    <row r="1119" spans="1:11" x14ac:dyDescent="0.2">
      <c r="A1119" s="306" t="s">
        <v>20448</v>
      </c>
      <c r="B1119" s="261" t="s">
        <v>18274</v>
      </c>
      <c r="C1119" s="261" t="s">
        <v>14476</v>
      </c>
      <c r="D1119" s="261" t="s">
        <v>18017</v>
      </c>
      <c r="E1119" s="261">
        <v>2</v>
      </c>
      <c r="F1119" s="261" t="s">
        <v>20980</v>
      </c>
      <c r="G1119" s="261" t="s">
        <v>725</v>
      </c>
      <c r="H1119" s="261" t="s">
        <v>726</v>
      </c>
      <c r="I1119" s="261"/>
      <c r="J1119" s="261"/>
      <c r="K1119" s="262"/>
    </row>
    <row r="1120" spans="1:11" x14ac:dyDescent="0.2">
      <c r="A1120" s="306" t="s">
        <v>20448</v>
      </c>
      <c r="B1120" s="261" t="s">
        <v>18277</v>
      </c>
      <c r="C1120" s="261" t="s">
        <v>14476</v>
      </c>
      <c r="D1120" s="261" t="s">
        <v>18017</v>
      </c>
      <c r="E1120" s="261">
        <v>3</v>
      </c>
      <c r="F1120" s="261" t="s">
        <v>20981</v>
      </c>
      <c r="G1120" s="261" t="s">
        <v>8912</v>
      </c>
      <c r="H1120" s="261" t="s">
        <v>8913</v>
      </c>
      <c r="I1120" s="261"/>
      <c r="J1120" s="261"/>
      <c r="K1120" s="262"/>
    </row>
    <row r="1121" spans="1:11" x14ac:dyDescent="0.2">
      <c r="A1121" s="306" t="s">
        <v>20448</v>
      </c>
      <c r="B1121" s="261" t="s">
        <v>20448</v>
      </c>
      <c r="C1121" s="261" t="s">
        <v>14476</v>
      </c>
      <c r="D1121" s="261" t="s">
        <v>18017</v>
      </c>
      <c r="E1121" s="261">
        <v>5</v>
      </c>
      <c r="F1121" s="261" t="s">
        <v>20868</v>
      </c>
      <c r="G1121" s="261"/>
      <c r="H1121" s="261"/>
      <c r="I1121" s="261" t="s">
        <v>122</v>
      </c>
      <c r="J1121" s="261" t="s">
        <v>19599</v>
      </c>
      <c r="K1121" s="262">
        <v>20</v>
      </c>
    </row>
    <row r="1122" spans="1:11" x14ac:dyDescent="0.2">
      <c r="A1122" s="306" t="s">
        <v>20448</v>
      </c>
      <c r="B1122" s="261" t="s">
        <v>20448</v>
      </c>
      <c r="C1122" s="261" t="s">
        <v>14476</v>
      </c>
      <c r="D1122" s="261" t="s">
        <v>18017</v>
      </c>
      <c r="E1122" s="261">
        <v>6</v>
      </c>
      <c r="F1122" s="261" t="s">
        <v>20869</v>
      </c>
      <c r="G1122" s="261"/>
      <c r="H1122" s="261"/>
      <c r="I1122" s="261" t="s">
        <v>122</v>
      </c>
      <c r="J1122" s="261" t="s">
        <v>19600</v>
      </c>
      <c r="K1122" s="262">
        <v>20</v>
      </c>
    </row>
    <row r="1123" spans="1:11" x14ac:dyDescent="0.2">
      <c r="A1123" s="306" t="s">
        <v>20448</v>
      </c>
      <c r="B1123" s="261" t="s">
        <v>20448</v>
      </c>
      <c r="C1123" s="261" t="s">
        <v>14476</v>
      </c>
      <c r="D1123" s="261" t="s">
        <v>18017</v>
      </c>
      <c r="E1123" s="261">
        <v>7</v>
      </c>
      <c r="F1123" s="261" t="s">
        <v>20870</v>
      </c>
      <c r="G1123" s="261"/>
      <c r="H1123" s="261"/>
      <c r="I1123" s="261" t="s">
        <v>122</v>
      </c>
      <c r="J1123" s="261" t="s">
        <v>19603</v>
      </c>
      <c r="K1123" s="262">
        <v>20</v>
      </c>
    </row>
    <row r="1124" spans="1:11" x14ac:dyDescent="0.2">
      <c r="A1124" s="306" t="s">
        <v>20448</v>
      </c>
      <c r="B1124" s="261" t="s">
        <v>20448</v>
      </c>
      <c r="C1124" s="261" t="s">
        <v>14476</v>
      </c>
      <c r="D1124" s="261" t="s">
        <v>18017</v>
      </c>
      <c r="E1124" s="261">
        <v>8</v>
      </c>
      <c r="F1124" s="261" t="s">
        <v>20871</v>
      </c>
      <c r="G1124" s="261"/>
      <c r="H1124" s="261"/>
      <c r="I1124" s="261" t="s">
        <v>122</v>
      </c>
      <c r="J1124" s="261" t="s">
        <v>19601</v>
      </c>
      <c r="K1124" s="262">
        <v>20</v>
      </c>
    </row>
    <row r="1125" spans="1:11" x14ac:dyDescent="0.2">
      <c r="A1125" s="306" t="s">
        <v>20448</v>
      </c>
      <c r="B1125" s="261" t="s">
        <v>20448</v>
      </c>
      <c r="C1125" s="261" t="s">
        <v>14476</v>
      </c>
      <c r="D1125" s="261" t="s">
        <v>18017</v>
      </c>
      <c r="E1125" s="261">
        <v>9</v>
      </c>
      <c r="F1125" s="261" t="s">
        <v>20872</v>
      </c>
      <c r="G1125" s="261"/>
      <c r="H1125" s="261"/>
      <c r="I1125" s="261" t="s">
        <v>122</v>
      </c>
      <c r="J1125" s="261" t="s">
        <v>19604</v>
      </c>
      <c r="K1125" s="262">
        <v>20</v>
      </c>
    </row>
    <row r="1126" spans="1:11" x14ac:dyDescent="0.2">
      <c r="A1126" s="306" t="s">
        <v>20448</v>
      </c>
      <c r="B1126" s="261" t="s">
        <v>20448</v>
      </c>
      <c r="C1126" s="261" t="s">
        <v>14476</v>
      </c>
      <c r="D1126" s="261" t="s">
        <v>18017</v>
      </c>
      <c r="E1126" s="261">
        <v>10</v>
      </c>
      <c r="F1126" s="261" t="s">
        <v>20873</v>
      </c>
      <c r="G1126" s="261"/>
      <c r="H1126" s="261"/>
      <c r="I1126" s="261" t="s">
        <v>122</v>
      </c>
      <c r="J1126" s="261" t="s">
        <v>19602</v>
      </c>
      <c r="K1126" s="262">
        <v>20</v>
      </c>
    </row>
    <row r="1127" spans="1:11" x14ac:dyDescent="0.2">
      <c r="A1127" s="306" t="s">
        <v>20448</v>
      </c>
      <c r="B1127" s="261" t="s">
        <v>20448</v>
      </c>
      <c r="C1127" s="261" t="s">
        <v>14476</v>
      </c>
      <c r="D1127" s="261" t="s">
        <v>18017</v>
      </c>
      <c r="E1127" s="261">
        <v>11</v>
      </c>
      <c r="F1127" s="261" t="s">
        <v>20874</v>
      </c>
      <c r="G1127" s="261"/>
      <c r="H1127" s="261"/>
      <c r="I1127" s="261" t="s">
        <v>10772</v>
      </c>
      <c r="J1127" s="261" t="s">
        <v>19618</v>
      </c>
      <c r="K1127" s="262">
        <v>100</v>
      </c>
    </row>
    <row r="1128" spans="1:11" x14ac:dyDescent="0.2">
      <c r="A1128" s="306" t="s">
        <v>20016</v>
      </c>
      <c r="B1128" s="261" t="s">
        <v>20016</v>
      </c>
      <c r="C1128" s="261" t="s">
        <v>14095</v>
      </c>
      <c r="D1128" s="261" t="s">
        <v>18046</v>
      </c>
      <c r="E1128" s="261">
        <v>1</v>
      </c>
      <c r="F1128" s="261" t="s">
        <v>19688</v>
      </c>
      <c r="G1128" s="261" t="s">
        <v>20144</v>
      </c>
      <c r="H1128" s="261" t="s">
        <v>20145</v>
      </c>
      <c r="I1128" s="261"/>
      <c r="J1128" s="261"/>
      <c r="K1128" s="262"/>
    </row>
    <row r="1129" spans="1:11" x14ac:dyDescent="0.2">
      <c r="A1129" s="306" t="s">
        <v>20016</v>
      </c>
      <c r="B1129" s="261" t="s">
        <v>20016</v>
      </c>
      <c r="C1129" s="261" t="s">
        <v>14095</v>
      </c>
      <c r="D1129" s="261" t="s">
        <v>18046</v>
      </c>
      <c r="E1129" s="261">
        <v>2</v>
      </c>
      <c r="F1129" s="261" t="s">
        <v>19688</v>
      </c>
      <c r="G1129" s="261" t="s">
        <v>14096</v>
      </c>
      <c r="H1129" s="261" t="s">
        <v>14097</v>
      </c>
      <c r="I1129" s="261"/>
      <c r="J1129" s="261"/>
      <c r="K1129" s="262"/>
    </row>
    <row r="1130" spans="1:11" x14ac:dyDescent="0.2">
      <c r="A1130" s="306" t="s">
        <v>20016</v>
      </c>
      <c r="B1130" s="261" t="s">
        <v>18285</v>
      </c>
      <c r="C1130" s="261" t="s">
        <v>14095</v>
      </c>
      <c r="D1130" s="261" t="s">
        <v>18046</v>
      </c>
      <c r="E1130" s="261">
        <v>3</v>
      </c>
      <c r="F1130" s="261" t="s">
        <v>20982</v>
      </c>
      <c r="G1130" s="261" t="s">
        <v>1356</v>
      </c>
      <c r="H1130" s="261" t="s">
        <v>1357</v>
      </c>
      <c r="I1130" s="261"/>
      <c r="J1130" s="261"/>
      <c r="K1130" s="262"/>
    </row>
    <row r="1131" spans="1:11" x14ac:dyDescent="0.2">
      <c r="A1131" s="306" t="s">
        <v>20016</v>
      </c>
      <c r="B1131" s="261" t="s">
        <v>18289</v>
      </c>
      <c r="C1131" s="261" t="s">
        <v>14095</v>
      </c>
      <c r="D1131" s="261" t="s">
        <v>18046</v>
      </c>
      <c r="E1131" s="261">
        <v>4</v>
      </c>
      <c r="F1131" s="261" t="s">
        <v>20983</v>
      </c>
      <c r="G1131" s="261" t="s">
        <v>14481</v>
      </c>
      <c r="H1131" s="261" t="s">
        <v>14482</v>
      </c>
      <c r="I1131" s="261"/>
      <c r="J1131" s="261"/>
      <c r="K1131" s="262"/>
    </row>
    <row r="1132" spans="1:11" x14ac:dyDescent="0.2">
      <c r="A1132" s="306" t="s">
        <v>20016</v>
      </c>
      <c r="B1132" s="261" t="s">
        <v>18290</v>
      </c>
      <c r="C1132" s="261" t="s">
        <v>14095</v>
      </c>
      <c r="D1132" s="261" t="s">
        <v>18046</v>
      </c>
      <c r="E1132" s="261">
        <v>5</v>
      </c>
      <c r="F1132" s="261" t="s">
        <v>20984</v>
      </c>
      <c r="G1132" s="261" t="s">
        <v>591</v>
      </c>
      <c r="H1132" s="261" t="s">
        <v>592</v>
      </c>
      <c r="I1132" s="261"/>
      <c r="J1132" s="261"/>
      <c r="K1132" s="262"/>
    </row>
    <row r="1133" spans="1:11" x14ac:dyDescent="0.2">
      <c r="A1133" s="306" t="s">
        <v>20016</v>
      </c>
      <c r="B1133" s="261" t="s">
        <v>18291</v>
      </c>
      <c r="C1133" s="261" t="s">
        <v>14095</v>
      </c>
      <c r="D1133" s="261" t="s">
        <v>18046</v>
      </c>
      <c r="E1133" s="261">
        <v>6</v>
      </c>
      <c r="F1133" s="261" t="s">
        <v>20985</v>
      </c>
      <c r="G1133" s="261" t="s">
        <v>14093</v>
      </c>
      <c r="H1133" s="261" t="s">
        <v>14094</v>
      </c>
      <c r="I1133" s="261"/>
      <c r="J1133" s="261"/>
      <c r="K1133" s="262"/>
    </row>
    <row r="1134" spans="1:11" x14ac:dyDescent="0.2">
      <c r="A1134" s="306" t="s">
        <v>20016</v>
      </c>
      <c r="B1134" s="261" t="s">
        <v>18293</v>
      </c>
      <c r="C1134" s="261" t="s">
        <v>14095</v>
      </c>
      <c r="D1134" s="261" t="s">
        <v>18046</v>
      </c>
      <c r="E1134" s="261">
        <v>7</v>
      </c>
      <c r="F1134" s="261" t="s">
        <v>20986</v>
      </c>
      <c r="G1134" s="261" t="s">
        <v>360</v>
      </c>
      <c r="H1134" s="261" t="s">
        <v>361</v>
      </c>
      <c r="I1134" s="261"/>
      <c r="J1134" s="261"/>
      <c r="K1134" s="262"/>
    </row>
    <row r="1135" spans="1:11" x14ac:dyDescent="0.2">
      <c r="A1135" s="306" t="s">
        <v>20016</v>
      </c>
      <c r="B1135" s="261" t="s">
        <v>20016</v>
      </c>
      <c r="C1135" s="261" t="s">
        <v>14095</v>
      </c>
      <c r="D1135" s="261" t="s">
        <v>18046</v>
      </c>
      <c r="E1135" s="261">
        <v>8</v>
      </c>
      <c r="F1135" s="261" t="s">
        <v>20882</v>
      </c>
      <c r="G1135" s="261"/>
      <c r="H1135" s="261"/>
      <c r="I1135" s="261"/>
      <c r="J1135" s="261" t="s">
        <v>20987</v>
      </c>
      <c r="K1135" s="262">
        <v>7</v>
      </c>
    </row>
    <row r="1136" spans="1:11" x14ac:dyDescent="0.2">
      <c r="A1136" s="306" t="s">
        <v>20016</v>
      </c>
      <c r="B1136" s="261" t="s">
        <v>20016</v>
      </c>
      <c r="C1136" s="261" t="s">
        <v>14095</v>
      </c>
      <c r="D1136" s="261" t="s">
        <v>18046</v>
      </c>
      <c r="E1136" s="261">
        <v>9</v>
      </c>
      <c r="F1136" s="261" t="s">
        <v>20884</v>
      </c>
      <c r="G1136" s="261"/>
      <c r="H1136" s="261"/>
      <c r="I1136" s="261"/>
      <c r="J1136" s="261" t="s">
        <v>20987</v>
      </c>
      <c r="K1136" s="262">
        <v>7</v>
      </c>
    </row>
    <row r="1137" spans="1:11" x14ac:dyDescent="0.2">
      <c r="A1137" s="306" t="s">
        <v>20016</v>
      </c>
      <c r="B1137" s="261" t="s">
        <v>20016</v>
      </c>
      <c r="C1137" s="261" t="s">
        <v>14095</v>
      </c>
      <c r="D1137" s="261" t="s">
        <v>18046</v>
      </c>
      <c r="E1137" s="261">
        <v>10</v>
      </c>
      <c r="F1137" s="261" t="s">
        <v>20868</v>
      </c>
      <c r="G1137" s="261"/>
      <c r="H1137" s="261"/>
      <c r="I1137" s="261"/>
      <c r="J1137" s="261" t="s">
        <v>20987</v>
      </c>
      <c r="K1137" s="262">
        <v>7</v>
      </c>
    </row>
    <row r="1138" spans="1:11" x14ac:dyDescent="0.2">
      <c r="A1138" s="306" t="s">
        <v>20016</v>
      </c>
      <c r="B1138" s="261" t="s">
        <v>20016</v>
      </c>
      <c r="C1138" s="261" t="s">
        <v>14095</v>
      </c>
      <c r="D1138" s="261" t="s">
        <v>18046</v>
      </c>
      <c r="E1138" s="261">
        <v>11</v>
      </c>
      <c r="F1138" s="261" t="s">
        <v>20885</v>
      </c>
      <c r="G1138" s="261"/>
      <c r="H1138" s="261"/>
      <c r="I1138" s="261"/>
      <c r="J1138" s="261" t="s">
        <v>20987</v>
      </c>
      <c r="K1138" s="262">
        <v>7</v>
      </c>
    </row>
    <row r="1139" spans="1:11" x14ac:dyDescent="0.2">
      <c r="A1139" s="306" t="s">
        <v>20016</v>
      </c>
      <c r="B1139" s="261" t="s">
        <v>20016</v>
      </c>
      <c r="C1139" s="261" t="s">
        <v>14095</v>
      </c>
      <c r="D1139" s="261" t="s">
        <v>18046</v>
      </c>
      <c r="E1139" s="261">
        <v>12</v>
      </c>
      <c r="F1139" s="261" t="s">
        <v>20886</v>
      </c>
      <c r="G1139" s="261"/>
      <c r="H1139" s="261"/>
      <c r="I1139" s="261"/>
      <c r="J1139" s="261" t="s">
        <v>20987</v>
      </c>
      <c r="K1139" s="262">
        <v>6</v>
      </c>
    </row>
    <row r="1140" spans="1:11" x14ac:dyDescent="0.2">
      <c r="A1140" s="306" t="s">
        <v>20016</v>
      </c>
      <c r="B1140" s="261" t="s">
        <v>20016</v>
      </c>
      <c r="C1140" s="261" t="s">
        <v>14095</v>
      </c>
      <c r="D1140" s="261" t="s">
        <v>18046</v>
      </c>
      <c r="E1140" s="261">
        <v>13</v>
      </c>
      <c r="F1140" s="261" t="s">
        <v>20015</v>
      </c>
      <c r="G1140" s="261" t="s">
        <v>8945</v>
      </c>
      <c r="H1140" s="261" t="s">
        <v>8946</v>
      </c>
      <c r="I1140" s="261"/>
      <c r="J1140" s="261"/>
      <c r="K1140" s="262"/>
    </row>
    <row r="1141" spans="1:11" x14ac:dyDescent="0.2">
      <c r="A1141" s="306" t="s">
        <v>20016</v>
      </c>
      <c r="B1141" s="261" t="s">
        <v>20016</v>
      </c>
      <c r="C1141" s="261" t="s">
        <v>14095</v>
      </c>
      <c r="D1141" s="261" t="s">
        <v>18046</v>
      </c>
      <c r="E1141" s="261">
        <v>14</v>
      </c>
      <c r="F1141" s="261" t="s">
        <v>20870</v>
      </c>
      <c r="G1141" s="261"/>
      <c r="H1141" s="261"/>
      <c r="I1141" s="261" t="s">
        <v>122</v>
      </c>
      <c r="J1141" s="261" t="s">
        <v>19599</v>
      </c>
      <c r="K1141" s="262">
        <v>20</v>
      </c>
    </row>
    <row r="1142" spans="1:11" x14ac:dyDescent="0.2">
      <c r="A1142" s="306" t="s">
        <v>20016</v>
      </c>
      <c r="B1142" s="261" t="s">
        <v>20016</v>
      </c>
      <c r="C1142" s="261" t="s">
        <v>14095</v>
      </c>
      <c r="D1142" s="261" t="s">
        <v>18046</v>
      </c>
      <c r="E1142" s="261">
        <v>15</v>
      </c>
      <c r="F1142" s="261" t="s">
        <v>20888</v>
      </c>
      <c r="G1142" s="261"/>
      <c r="H1142" s="261"/>
      <c r="I1142" s="261" t="s">
        <v>122</v>
      </c>
      <c r="J1142" s="261" t="s">
        <v>19603</v>
      </c>
      <c r="K1142" s="262">
        <v>20</v>
      </c>
    </row>
    <row r="1143" spans="1:11" x14ac:dyDescent="0.2">
      <c r="A1143" s="306" t="s">
        <v>20016</v>
      </c>
      <c r="B1143" s="261" t="s">
        <v>20016</v>
      </c>
      <c r="C1143" s="261" t="s">
        <v>14095</v>
      </c>
      <c r="D1143" s="261" t="s">
        <v>18046</v>
      </c>
      <c r="E1143" s="261">
        <v>16</v>
      </c>
      <c r="F1143" s="261" t="s">
        <v>20988</v>
      </c>
      <c r="G1143" s="261"/>
      <c r="H1143" s="261"/>
      <c r="I1143" s="261" t="s">
        <v>122</v>
      </c>
      <c r="J1143" s="261" t="s">
        <v>19600</v>
      </c>
      <c r="K1143" s="262">
        <v>20</v>
      </c>
    </row>
    <row r="1144" spans="1:11" x14ac:dyDescent="0.2">
      <c r="A1144" s="306" t="s">
        <v>20016</v>
      </c>
      <c r="B1144" s="261" t="s">
        <v>20016</v>
      </c>
      <c r="C1144" s="261" t="s">
        <v>14095</v>
      </c>
      <c r="D1144" s="261" t="s">
        <v>18046</v>
      </c>
      <c r="E1144" s="261">
        <v>17</v>
      </c>
      <c r="F1144" s="261" t="s">
        <v>20872</v>
      </c>
      <c r="G1144" s="261"/>
      <c r="H1144" s="261"/>
      <c r="I1144" s="261" t="s">
        <v>122</v>
      </c>
      <c r="J1144" s="261" t="s">
        <v>19601</v>
      </c>
      <c r="K1144" s="262">
        <v>20</v>
      </c>
    </row>
    <row r="1145" spans="1:11" x14ac:dyDescent="0.2">
      <c r="A1145" s="306" t="s">
        <v>20016</v>
      </c>
      <c r="B1145" s="261" t="s">
        <v>20016</v>
      </c>
      <c r="C1145" s="261" t="s">
        <v>14095</v>
      </c>
      <c r="D1145" s="261" t="s">
        <v>18046</v>
      </c>
      <c r="E1145" s="261">
        <v>18</v>
      </c>
      <c r="F1145" s="261" t="s">
        <v>20889</v>
      </c>
      <c r="G1145" s="261"/>
      <c r="H1145" s="261"/>
      <c r="I1145" s="261" t="s">
        <v>122</v>
      </c>
      <c r="J1145" s="261" t="s">
        <v>19604</v>
      </c>
      <c r="K1145" s="262">
        <v>20</v>
      </c>
    </row>
    <row r="1146" spans="1:11" x14ac:dyDescent="0.2">
      <c r="A1146" s="306" t="s">
        <v>20016</v>
      </c>
      <c r="B1146" s="261" t="s">
        <v>20016</v>
      </c>
      <c r="C1146" s="261" t="s">
        <v>14095</v>
      </c>
      <c r="D1146" s="261" t="s">
        <v>18046</v>
      </c>
      <c r="E1146" s="261">
        <v>19</v>
      </c>
      <c r="F1146" s="261" t="s">
        <v>20890</v>
      </c>
      <c r="G1146" s="261"/>
      <c r="H1146" s="261"/>
      <c r="I1146" s="261" t="s">
        <v>122</v>
      </c>
      <c r="J1146" s="261" t="s">
        <v>19602</v>
      </c>
      <c r="K1146" s="262">
        <v>20</v>
      </c>
    </row>
    <row r="1147" spans="1:11" x14ac:dyDescent="0.2">
      <c r="A1147" s="306" t="s">
        <v>20016</v>
      </c>
      <c r="B1147" s="261" t="s">
        <v>20016</v>
      </c>
      <c r="C1147" s="261" t="s">
        <v>14095</v>
      </c>
      <c r="D1147" s="261" t="s">
        <v>18046</v>
      </c>
      <c r="E1147" s="261">
        <v>20</v>
      </c>
      <c r="F1147" s="261" t="s">
        <v>20891</v>
      </c>
      <c r="G1147" s="261"/>
      <c r="H1147" s="261"/>
      <c r="I1147" s="261" t="s">
        <v>122</v>
      </c>
      <c r="J1147" s="261" t="s">
        <v>19618</v>
      </c>
      <c r="K1147" s="262">
        <v>100</v>
      </c>
    </row>
    <row r="1148" spans="1:11" x14ac:dyDescent="0.2">
      <c r="A1148" s="306" t="s">
        <v>20455</v>
      </c>
      <c r="B1148" s="261" t="s">
        <v>20455</v>
      </c>
      <c r="C1148" s="261" t="s">
        <v>14102</v>
      </c>
      <c r="D1148" s="261" t="s">
        <v>18017</v>
      </c>
      <c r="E1148" s="261">
        <v>1</v>
      </c>
      <c r="F1148" s="261" t="s">
        <v>19688</v>
      </c>
      <c r="G1148" s="261" t="s">
        <v>14485</v>
      </c>
      <c r="H1148" s="261" t="s">
        <v>14486</v>
      </c>
      <c r="I1148" s="261"/>
      <c r="J1148" s="261"/>
      <c r="K1148" s="262"/>
    </row>
    <row r="1149" spans="1:11" x14ac:dyDescent="0.2">
      <c r="A1149" s="306" t="s">
        <v>20455</v>
      </c>
      <c r="B1149" s="261" t="s">
        <v>18294</v>
      </c>
      <c r="C1149" s="261" t="s">
        <v>14102</v>
      </c>
      <c r="D1149" s="261" t="s">
        <v>18017</v>
      </c>
      <c r="E1149" s="261">
        <v>2</v>
      </c>
      <c r="F1149" s="261" t="s">
        <v>20989</v>
      </c>
      <c r="G1149" s="261" t="s">
        <v>1783</v>
      </c>
      <c r="H1149" s="261" t="s">
        <v>1784</v>
      </c>
      <c r="I1149" s="261"/>
      <c r="J1149" s="261"/>
      <c r="K1149" s="262"/>
    </row>
    <row r="1150" spans="1:11" x14ac:dyDescent="0.2">
      <c r="A1150" s="306" t="s">
        <v>20455</v>
      </c>
      <c r="B1150" s="261" t="s">
        <v>18296</v>
      </c>
      <c r="C1150" s="261" t="s">
        <v>14102</v>
      </c>
      <c r="D1150" s="261" t="s">
        <v>18017</v>
      </c>
      <c r="E1150" s="261">
        <v>3</v>
      </c>
      <c r="F1150" s="261" t="s">
        <v>20990</v>
      </c>
      <c r="G1150" s="261" t="s">
        <v>1251</v>
      </c>
      <c r="H1150" s="261" t="s">
        <v>1252</v>
      </c>
      <c r="I1150" s="261"/>
      <c r="J1150" s="261"/>
      <c r="K1150" s="262"/>
    </row>
    <row r="1151" spans="1:11" x14ac:dyDescent="0.2">
      <c r="A1151" s="306" t="s">
        <v>20455</v>
      </c>
      <c r="B1151" s="261" t="s">
        <v>18298</v>
      </c>
      <c r="C1151" s="261" t="s">
        <v>14102</v>
      </c>
      <c r="D1151" s="261" t="s">
        <v>18017</v>
      </c>
      <c r="E1151" s="261">
        <v>4</v>
      </c>
      <c r="F1151" s="261" t="s">
        <v>20991</v>
      </c>
      <c r="G1151" s="261" t="s">
        <v>14483</v>
      </c>
      <c r="H1151" s="261" t="s">
        <v>14484</v>
      </c>
      <c r="I1151" s="261"/>
      <c r="J1151" s="261"/>
      <c r="K1151" s="262"/>
    </row>
    <row r="1152" spans="1:11" x14ac:dyDescent="0.2">
      <c r="A1152" s="306" t="s">
        <v>20455</v>
      </c>
      <c r="B1152" s="261" t="s">
        <v>18301</v>
      </c>
      <c r="C1152" s="261" t="s">
        <v>14102</v>
      </c>
      <c r="D1152" s="261" t="s">
        <v>18017</v>
      </c>
      <c r="E1152" s="261">
        <v>5</v>
      </c>
      <c r="F1152" s="261" t="s">
        <v>20992</v>
      </c>
      <c r="G1152" s="261" t="s">
        <v>1442</v>
      </c>
      <c r="H1152" s="261" t="s">
        <v>1443</v>
      </c>
      <c r="I1152" s="261"/>
      <c r="J1152" s="261"/>
      <c r="K1152" s="262"/>
    </row>
    <row r="1153" spans="1:11" x14ac:dyDescent="0.2">
      <c r="A1153" s="306" t="s">
        <v>20455</v>
      </c>
      <c r="B1153" s="261" t="s">
        <v>18305</v>
      </c>
      <c r="C1153" s="261" t="s">
        <v>14102</v>
      </c>
      <c r="D1153" s="261" t="s">
        <v>18017</v>
      </c>
      <c r="E1153" s="261">
        <v>6</v>
      </c>
      <c r="F1153" s="261" t="s">
        <v>20993</v>
      </c>
      <c r="G1153" s="261" t="s">
        <v>9657</v>
      </c>
      <c r="H1153" s="261" t="s">
        <v>9658</v>
      </c>
      <c r="I1153" s="261"/>
      <c r="J1153" s="261"/>
      <c r="K1153" s="262"/>
    </row>
    <row r="1154" spans="1:11" x14ac:dyDescent="0.2">
      <c r="A1154" s="306" t="s">
        <v>20455</v>
      </c>
      <c r="B1154" s="261" t="s">
        <v>18306</v>
      </c>
      <c r="C1154" s="261" t="s">
        <v>14102</v>
      </c>
      <c r="D1154" s="261" t="s">
        <v>18017</v>
      </c>
      <c r="E1154" s="261">
        <v>7</v>
      </c>
      <c r="F1154" s="261" t="s">
        <v>20994</v>
      </c>
      <c r="G1154" s="261" t="s">
        <v>14100</v>
      </c>
      <c r="H1154" s="261" t="s">
        <v>14101</v>
      </c>
      <c r="I1154" s="261"/>
      <c r="J1154" s="261"/>
      <c r="K1154" s="262"/>
    </row>
    <row r="1155" spans="1:11" x14ac:dyDescent="0.2">
      <c r="A1155" s="306" t="s">
        <v>20455</v>
      </c>
      <c r="B1155" s="261" t="s">
        <v>18307</v>
      </c>
      <c r="C1155" s="261" t="s">
        <v>14102</v>
      </c>
      <c r="D1155" s="261" t="s">
        <v>18017</v>
      </c>
      <c r="E1155" s="261">
        <v>8</v>
      </c>
      <c r="F1155" s="261" t="s">
        <v>20995</v>
      </c>
      <c r="G1155" s="261" t="s">
        <v>1131</v>
      </c>
      <c r="H1155" s="261" t="s">
        <v>1132</v>
      </c>
      <c r="I1155" s="261"/>
      <c r="J1155" s="261"/>
      <c r="K1155" s="262"/>
    </row>
    <row r="1156" spans="1:11" x14ac:dyDescent="0.2">
      <c r="A1156" s="306" t="s">
        <v>20455</v>
      </c>
      <c r="B1156" s="261" t="s">
        <v>18308</v>
      </c>
      <c r="C1156" s="261" t="s">
        <v>14102</v>
      </c>
      <c r="D1156" s="261" t="s">
        <v>18017</v>
      </c>
      <c r="E1156" s="261">
        <v>9</v>
      </c>
      <c r="F1156" s="261" t="s">
        <v>20996</v>
      </c>
      <c r="G1156" s="261" t="s">
        <v>9614</v>
      </c>
      <c r="H1156" s="261" t="s">
        <v>9615</v>
      </c>
      <c r="I1156" s="261"/>
      <c r="J1156" s="261"/>
      <c r="K1156" s="262"/>
    </row>
    <row r="1157" spans="1:11" x14ac:dyDescent="0.2">
      <c r="A1157" s="306" t="s">
        <v>20455</v>
      </c>
      <c r="B1157" s="261" t="s">
        <v>20455</v>
      </c>
      <c r="C1157" s="261" t="s">
        <v>14102</v>
      </c>
      <c r="D1157" s="261" t="s">
        <v>18017</v>
      </c>
      <c r="E1157" s="261">
        <v>10</v>
      </c>
      <c r="F1157" s="261" t="s">
        <v>20868</v>
      </c>
      <c r="G1157" s="261"/>
      <c r="H1157" s="261"/>
      <c r="I1157" s="261" t="s">
        <v>1103</v>
      </c>
      <c r="J1157" s="261" t="s">
        <v>19599</v>
      </c>
      <c r="K1157" s="262">
        <v>20</v>
      </c>
    </row>
    <row r="1158" spans="1:11" x14ac:dyDescent="0.2">
      <c r="A1158" s="306" t="s">
        <v>20455</v>
      </c>
      <c r="B1158" s="261" t="s">
        <v>20455</v>
      </c>
      <c r="C1158" s="261" t="s">
        <v>14102</v>
      </c>
      <c r="D1158" s="261" t="s">
        <v>18017</v>
      </c>
      <c r="E1158" s="261">
        <v>11</v>
      </c>
      <c r="F1158" s="261" t="s">
        <v>20869</v>
      </c>
      <c r="G1158" s="261"/>
      <c r="H1158" s="261"/>
      <c r="I1158" s="261" t="s">
        <v>1103</v>
      </c>
      <c r="J1158" s="261" t="s">
        <v>19600</v>
      </c>
      <c r="K1158" s="262">
        <v>20</v>
      </c>
    </row>
    <row r="1159" spans="1:11" x14ac:dyDescent="0.2">
      <c r="A1159" s="306" t="s">
        <v>20455</v>
      </c>
      <c r="B1159" s="261" t="s">
        <v>20455</v>
      </c>
      <c r="C1159" s="261" t="s">
        <v>14102</v>
      </c>
      <c r="D1159" s="261" t="s">
        <v>18017</v>
      </c>
      <c r="E1159" s="261">
        <v>12</v>
      </c>
      <c r="F1159" s="261" t="s">
        <v>20870</v>
      </c>
      <c r="G1159" s="261"/>
      <c r="H1159" s="261"/>
      <c r="I1159" s="261" t="s">
        <v>1103</v>
      </c>
      <c r="J1159" s="261" t="s">
        <v>19603</v>
      </c>
      <c r="K1159" s="262">
        <v>20</v>
      </c>
    </row>
    <row r="1160" spans="1:11" x14ac:dyDescent="0.2">
      <c r="A1160" s="306" t="s">
        <v>20455</v>
      </c>
      <c r="B1160" s="261" t="s">
        <v>20455</v>
      </c>
      <c r="C1160" s="261" t="s">
        <v>14102</v>
      </c>
      <c r="D1160" s="261" t="s">
        <v>18017</v>
      </c>
      <c r="E1160" s="261">
        <v>13</v>
      </c>
      <c r="F1160" s="261" t="s">
        <v>20871</v>
      </c>
      <c r="G1160" s="261"/>
      <c r="H1160" s="261"/>
      <c r="I1160" s="261" t="s">
        <v>1103</v>
      </c>
      <c r="J1160" s="261" t="s">
        <v>19601</v>
      </c>
      <c r="K1160" s="262">
        <v>20</v>
      </c>
    </row>
    <row r="1161" spans="1:11" x14ac:dyDescent="0.2">
      <c r="A1161" s="306" t="s">
        <v>20455</v>
      </c>
      <c r="B1161" s="261" t="s">
        <v>20455</v>
      </c>
      <c r="C1161" s="261" t="s">
        <v>14102</v>
      </c>
      <c r="D1161" s="261" t="s">
        <v>18017</v>
      </c>
      <c r="E1161" s="261">
        <v>14</v>
      </c>
      <c r="F1161" s="261" t="s">
        <v>20872</v>
      </c>
      <c r="G1161" s="261"/>
      <c r="H1161" s="261"/>
      <c r="I1161" s="261" t="s">
        <v>1103</v>
      </c>
      <c r="J1161" s="261" t="s">
        <v>19604</v>
      </c>
      <c r="K1161" s="262">
        <v>20</v>
      </c>
    </row>
    <row r="1162" spans="1:11" x14ac:dyDescent="0.2">
      <c r="A1162" s="306" t="s">
        <v>20455</v>
      </c>
      <c r="B1162" s="261" t="s">
        <v>20455</v>
      </c>
      <c r="C1162" s="261" t="s">
        <v>14102</v>
      </c>
      <c r="D1162" s="261" t="s">
        <v>18017</v>
      </c>
      <c r="E1162" s="261">
        <v>15</v>
      </c>
      <c r="F1162" s="261" t="s">
        <v>20873</v>
      </c>
      <c r="G1162" s="261"/>
      <c r="H1162" s="261"/>
      <c r="I1162" s="261" t="s">
        <v>1103</v>
      </c>
      <c r="J1162" s="261" t="s">
        <v>19602</v>
      </c>
      <c r="K1162" s="262">
        <v>20</v>
      </c>
    </row>
    <row r="1163" spans="1:11" x14ac:dyDescent="0.2">
      <c r="A1163" s="306" t="s">
        <v>20455</v>
      </c>
      <c r="B1163" s="261" t="s">
        <v>20455</v>
      </c>
      <c r="C1163" s="261" t="s">
        <v>14102</v>
      </c>
      <c r="D1163" s="261" t="s">
        <v>18017</v>
      </c>
      <c r="E1163" s="261">
        <v>16</v>
      </c>
      <c r="F1163" s="261" t="s">
        <v>20874</v>
      </c>
      <c r="G1163" s="261"/>
      <c r="H1163" s="261"/>
      <c r="I1163" s="261" t="s">
        <v>10772</v>
      </c>
      <c r="J1163" s="261" t="s">
        <v>19618</v>
      </c>
      <c r="K1163" s="262">
        <v>100</v>
      </c>
    </row>
    <row r="1164" spans="1:11" x14ac:dyDescent="0.2">
      <c r="A1164" s="306" t="s">
        <v>20032</v>
      </c>
      <c r="B1164" s="261" t="s">
        <v>20032</v>
      </c>
      <c r="C1164" s="261" t="s">
        <v>14105</v>
      </c>
      <c r="D1164" s="261" t="s">
        <v>18046</v>
      </c>
      <c r="E1164" s="261">
        <v>1</v>
      </c>
      <c r="F1164" s="261" t="s">
        <v>19688</v>
      </c>
      <c r="G1164" s="261" t="s">
        <v>20146</v>
      </c>
      <c r="H1164" s="261" t="s">
        <v>20147</v>
      </c>
      <c r="I1164" s="261"/>
      <c r="J1164" s="261"/>
      <c r="K1164" s="262"/>
    </row>
    <row r="1165" spans="1:11" x14ac:dyDescent="0.2">
      <c r="A1165" s="306" t="s">
        <v>20032</v>
      </c>
      <c r="B1165" s="261" t="s">
        <v>20032</v>
      </c>
      <c r="C1165" s="261" t="s">
        <v>14105</v>
      </c>
      <c r="D1165" s="261" t="s">
        <v>18046</v>
      </c>
      <c r="E1165" s="261">
        <v>2</v>
      </c>
      <c r="F1165" s="261" t="s">
        <v>19688</v>
      </c>
      <c r="G1165" s="261" t="s">
        <v>14106</v>
      </c>
      <c r="H1165" s="261" t="s">
        <v>14107</v>
      </c>
      <c r="I1165" s="261"/>
      <c r="J1165" s="261"/>
      <c r="K1165" s="262"/>
    </row>
    <row r="1166" spans="1:11" x14ac:dyDescent="0.2">
      <c r="A1166" s="306" t="s">
        <v>20032</v>
      </c>
      <c r="B1166" s="261" t="s">
        <v>18313</v>
      </c>
      <c r="C1166" s="261" t="s">
        <v>14105</v>
      </c>
      <c r="D1166" s="261" t="s">
        <v>18046</v>
      </c>
      <c r="E1166" s="261">
        <v>3</v>
      </c>
      <c r="F1166" s="261" t="s">
        <v>20997</v>
      </c>
      <c r="G1166" s="261" t="s">
        <v>14488</v>
      </c>
      <c r="H1166" s="261" t="s">
        <v>14489</v>
      </c>
      <c r="I1166" s="261"/>
      <c r="J1166" s="261"/>
      <c r="K1166" s="262"/>
    </row>
    <row r="1167" spans="1:11" x14ac:dyDescent="0.2">
      <c r="A1167" s="306" t="s">
        <v>20032</v>
      </c>
      <c r="B1167" s="261" t="s">
        <v>18315</v>
      </c>
      <c r="C1167" s="261" t="s">
        <v>14105</v>
      </c>
      <c r="D1167" s="261" t="s">
        <v>18046</v>
      </c>
      <c r="E1167" s="261">
        <v>4</v>
      </c>
      <c r="F1167" s="261" t="s">
        <v>20998</v>
      </c>
      <c r="G1167" s="261" t="s">
        <v>14103</v>
      </c>
      <c r="H1167" s="261" t="s">
        <v>14104</v>
      </c>
      <c r="I1167" s="261"/>
      <c r="J1167" s="261"/>
      <c r="K1167" s="262"/>
    </row>
    <row r="1168" spans="1:11" x14ac:dyDescent="0.2">
      <c r="A1168" s="306" t="s">
        <v>20032</v>
      </c>
      <c r="B1168" s="261" t="s">
        <v>18316</v>
      </c>
      <c r="C1168" s="261" t="s">
        <v>14105</v>
      </c>
      <c r="D1168" s="261" t="s">
        <v>18046</v>
      </c>
      <c r="E1168" s="261">
        <v>5</v>
      </c>
      <c r="F1168" s="261" t="s">
        <v>20999</v>
      </c>
      <c r="G1168" s="261" t="s">
        <v>3250</v>
      </c>
      <c r="H1168" s="261" t="s">
        <v>3251</v>
      </c>
      <c r="I1168" s="261"/>
      <c r="J1168" s="261"/>
      <c r="K1168" s="262"/>
    </row>
    <row r="1169" spans="1:11" x14ac:dyDescent="0.2">
      <c r="A1169" s="306" t="s">
        <v>20032</v>
      </c>
      <c r="B1169" s="261" t="s">
        <v>18317</v>
      </c>
      <c r="C1169" s="261" t="s">
        <v>14105</v>
      </c>
      <c r="D1169" s="261" t="s">
        <v>18046</v>
      </c>
      <c r="E1169" s="261">
        <v>6</v>
      </c>
      <c r="F1169" s="261" t="s">
        <v>21000</v>
      </c>
      <c r="G1169" s="261" t="s">
        <v>4469</v>
      </c>
      <c r="H1169" s="261" t="s">
        <v>4470</v>
      </c>
      <c r="I1169" s="261"/>
      <c r="J1169" s="261"/>
      <c r="K1169" s="262"/>
    </row>
    <row r="1170" spans="1:11" x14ac:dyDescent="0.2">
      <c r="A1170" s="306" t="s">
        <v>20032</v>
      </c>
      <c r="B1170" s="261" t="s">
        <v>18319</v>
      </c>
      <c r="C1170" s="261" t="s">
        <v>14105</v>
      </c>
      <c r="D1170" s="261" t="s">
        <v>18046</v>
      </c>
      <c r="E1170" s="261">
        <v>7</v>
      </c>
      <c r="F1170" s="261" t="s">
        <v>21001</v>
      </c>
      <c r="G1170" s="261" t="s">
        <v>3422</v>
      </c>
      <c r="H1170" s="261" t="s">
        <v>3423</v>
      </c>
      <c r="I1170" s="261"/>
      <c r="J1170" s="261"/>
      <c r="K1170" s="262"/>
    </row>
    <row r="1171" spans="1:11" x14ac:dyDescent="0.2">
      <c r="A1171" s="306" t="s">
        <v>20032</v>
      </c>
      <c r="B1171" s="261" t="s">
        <v>20032</v>
      </c>
      <c r="C1171" s="261" t="s">
        <v>14105</v>
      </c>
      <c r="D1171" s="261" t="s">
        <v>18046</v>
      </c>
      <c r="E1171" s="261">
        <v>8</v>
      </c>
      <c r="F1171" s="261" t="s">
        <v>20882</v>
      </c>
      <c r="G1171" s="261"/>
      <c r="H1171" s="261"/>
      <c r="I1171" s="261"/>
      <c r="J1171" s="261" t="s">
        <v>21002</v>
      </c>
      <c r="K1171" s="262">
        <v>7</v>
      </c>
    </row>
    <row r="1172" spans="1:11" x14ac:dyDescent="0.2">
      <c r="A1172" s="306" t="s">
        <v>20032</v>
      </c>
      <c r="B1172" s="261" t="s">
        <v>20032</v>
      </c>
      <c r="C1172" s="261" t="s">
        <v>14105</v>
      </c>
      <c r="D1172" s="261" t="s">
        <v>18046</v>
      </c>
      <c r="E1172" s="261">
        <v>9</v>
      </c>
      <c r="F1172" s="261" t="s">
        <v>20884</v>
      </c>
      <c r="G1172" s="261"/>
      <c r="H1172" s="261"/>
      <c r="I1172" s="261"/>
      <c r="J1172" s="261" t="s">
        <v>21002</v>
      </c>
      <c r="K1172" s="262">
        <v>7</v>
      </c>
    </row>
    <row r="1173" spans="1:11" x14ac:dyDescent="0.2">
      <c r="A1173" s="306" t="s">
        <v>20032</v>
      </c>
      <c r="B1173" s="261" t="s">
        <v>20032</v>
      </c>
      <c r="C1173" s="261" t="s">
        <v>14105</v>
      </c>
      <c r="D1173" s="261" t="s">
        <v>18046</v>
      </c>
      <c r="E1173" s="261">
        <v>10</v>
      </c>
      <c r="F1173" s="261" t="s">
        <v>20868</v>
      </c>
      <c r="G1173" s="261"/>
      <c r="H1173" s="261"/>
      <c r="I1173" s="261"/>
      <c r="J1173" s="261" t="s">
        <v>21002</v>
      </c>
      <c r="K1173" s="262">
        <v>7</v>
      </c>
    </row>
    <row r="1174" spans="1:11" x14ac:dyDescent="0.2">
      <c r="A1174" s="306" t="s">
        <v>20032</v>
      </c>
      <c r="B1174" s="261" t="s">
        <v>20032</v>
      </c>
      <c r="C1174" s="261" t="s">
        <v>14105</v>
      </c>
      <c r="D1174" s="261" t="s">
        <v>18046</v>
      </c>
      <c r="E1174" s="261">
        <v>11</v>
      </c>
      <c r="F1174" s="261" t="s">
        <v>20885</v>
      </c>
      <c r="G1174" s="261"/>
      <c r="H1174" s="261"/>
      <c r="I1174" s="261"/>
      <c r="J1174" s="261" t="s">
        <v>21002</v>
      </c>
      <c r="K1174" s="262">
        <v>7</v>
      </c>
    </row>
    <row r="1175" spans="1:11" x14ac:dyDescent="0.2">
      <c r="A1175" s="306" t="s">
        <v>20032</v>
      </c>
      <c r="B1175" s="261" t="s">
        <v>20032</v>
      </c>
      <c r="C1175" s="261" t="s">
        <v>14105</v>
      </c>
      <c r="D1175" s="261" t="s">
        <v>18046</v>
      </c>
      <c r="E1175" s="261">
        <v>12</v>
      </c>
      <c r="F1175" s="261" t="s">
        <v>20886</v>
      </c>
      <c r="G1175" s="261"/>
      <c r="H1175" s="261"/>
      <c r="I1175" s="261"/>
      <c r="J1175" s="261" t="s">
        <v>21002</v>
      </c>
      <c r="K1175" s="262">
        <v>6</v>
      </c>
    </row>
    <row r="1176" spans="1:11" x14ac:dyDescent="0.2">
      <c r="A1176" s="306" t="s">
        <v>20032</v>
      </c>
      <c r="B1176" s="261" t="s">
        <v>20032</v>
      </c>
      <c r="C1176" s="261" t="s">
        <v>14105</v>
      </c>
      <c r="D1176" s="261" t="s">
        <v>18046</v>
      </c>
      <c r="E1176" s="261">
        <v>13</v>
      </c>
      <c r="F1176" s="261" t="s">
        <v>20031</v>
      </c>
      <c r="G1176" s="261" t="s">
        <v>9749</v>
      </c>
      <c r="H1176" s="261" t="s">
        <v>9750</v>
      </c>
      <c r="I1176" s="261"/>
      <c r="J1176" s="261"/>
      <c r="K1176" s="262"/>
    </row>
    <row r="1177" spans="1:11" x14ac:dyDescent="0.2">
      <c r="A1177" s="306" t="s">
        <v>20032</v>
      </c>
      <c r="B1177" s="261" t="s">
        <v>20032</v>
      </c>
      <c r="C1177" s="261" t="s">
        <v>14105</v>
      </c>
      <c r="D1177" s="261" t="s">
        <v>18046</v>
      </c>
      <c r="E1177" s="261">
        <v>14</v>
      </c>
      <c r="F1177" s="261" t="s">
        <v>20870</v>
      </c>
      <c r="G1177" s="261"/>
      <c r="H1177" s="261"/>
      <c r="I1177" s="261" t="s">
        <v>2837</v>
      </c>
      <c r="J1177" s="261" t="s">
        <v>19599</v>
      </c>
      <c r="K1177" s="262">
        <v>20</v>
      </c>
    </row>
    <row r="1178" spans="1:11" x14ac:dyDescent="0.2">
      <c r="A1178" s="306" t="s">
        <v>20032</v>
      </c>
      <c r="B1178" s="261" t="s">
        <v>20032</v>
      </c>
      <c r="C1178" s="261" t="s">
        <v>14105</v>
      </c>
      <c r="D1178" s="261" t="s">
        <v>18046</v>
      </c>
      <c r="E1178" s="261">
        <v>15</v>
      </c>
      <c r="F1178" s="261" t="s">
        <v>21003</v>
      </c>
      <c r="G1178" s="261"/>
      <c r="H1178" s="261"/>
      <c r="I1178" s="261" t="s">
        <v>2837</v>
      </c>
      <c r="J1178" s="261" t="s">
        <v>19600</v>
      </c>
      <c r="K1178" s="262">
        <v>20</v>
      </c>
    </row>
    <row r="1179" spans="1:11" x14ac:dyDescent="0.2">
      <c r="A1179" s="306" t="s">
        <v>20032</v>
      </c>
      <c r="B1179" s="261" t="s">
        <v>20032</v>
      </c>
      <c r="C1179" s="261" t="s">
        <v>14105</v>
      </c>
      <c r="D1179" s="261" t="s">
        <v>18046</v>
      </c>
      <c r="E1179" s="261">
        <v>16</v>
      </c>
      <c r="F1179" s="261" t="s">
        <v>20888</v>
      </c>
      <c r="G1179" s="261"/>
      <c r="H1179" s="261"/>
      <c r="I1179" s="261" t="s">
        <v>2837</v>
      </c>
      <c r="J1179" s="261" t="s">
        <v>19603</v>
      </c>
      <c r="K1179" s="262">
        <v>20</v>
      </c>
    </row>
    <row r="1180" spans="1:11" x14ac:dyDescent="0.2">
      <c r="A1180" s="306" t="s">
        <v>20032</v>
      </c>
      <c r="B1180" s="261" t="s">
        <v>20032</v>
      </c>
      <c r="C1180" s="261" t="s">
        <v>14105</v>
      </c>
      <c r="D1180" s="261" t="s">
        <v>18046</v>
      </c>
      <c r="E1180" s="261">
        <v>17</v>
      </c>
      <c r="F1180" s="261" t="s">
        <v>20872</v>
      </c>
      <c r="G1180" s="261"/>
      <c r="H1180" s="261"/>
      <c r="I1180" s="261" t="s">
        <v>2837</v>
      </c>
      <c r="J1180" s="261" t="s">
        <v>19601</v>
      </c>
      <c r="K1180" s="262">
        <v>20</v>
      </c>
    </row>
    <row r="1181" spans="1:11" x14ac:dyDescent="0.2">
      <c r="A1181" s="306" t="s">
        <v>20032</v>
      </c>
      <c r="B1181" s="261" t="s">
        <v>20032</v>
      </c>
      <c r="C1181" s="261" t="s">
        <v>14105</v>
      </c>
      <c r="D1181" s="261" t="s">
        <v>18046</v>
      </c>
      <c r="E1181" s="261">
        <v>18</v>
      </c>
      <c r="F1181" s="261" t="s">
        <v>20889</v>
      </c>
      <c r="G1181" s="261"/>
      <c r="H1181" s="261"/>
      <c r="I1181" s="261" t="s">
        <v>2837</v>
      </c>
      <c r="J1181" s="261" t="s">
        <v>19604</v>
      </c>
      <c r="K1181" s="262">
        <v>20</v>
      </c>
    </row>
    <row r="1182" spans="1:11" x14ac:dyDescent="0.2">
      <c r="A1182" s="306" t="s">
        <v>20032</v>
      </c>
      <c r="B1182" s="261" t="s">
        <v>20032</v>
      </c>
      <c r="C1182" s="261" t="s">
        <v>14105</v>
      </c>
      <c r="D1182" s="261" t="s">
        <v>18046</v>
      </c>
      <c r="E1182" s="261">
        <v>19</v>
      </c>
      <c r="F1182" s="261" t="s">
        <v>20890</v>
      </c>
      <c r="G1182" s="261"/>
      <c r="H1182" s="261"/>
      <c r="I1182" s="261" t="s">
        <v>2837</v>
      </c>
      <c r="J1182" s="261" t="s">
        <v>19602</v>
      </c>
      <c r="K1182" s="262">
        <v>20</v>
      </c>
    </row>
    <row r="1183" spans="1:11" x14ac:dyDescent="0.2">
      <c r="A1183" s="306" t="s">
        <v>20032</v>
      </c>
      <c r="B1183" s="261" t="s">
        <v>20032</v>
      </c>
      <c r="C1183" s="261" t="s">
        <v>14105</v>
      </c>
      <c r="D1183" s="261" t="s">
        <v>18046</v>
      </c>
      <c r="E1183" s="261">
        <v>20</v>
      </c>
      <c r="F1183" s="261" t="s">
        <v>20891</v>
      </c>
      <c r="G1183" s="261"/>
      <c r="H1183" s="261"/>
      <c r="I1183" s="261" t="s">
        <v>2837</v>
      </c>
      <c r="J1183" s="261" t="s">
        <v>19618</v>
      </c>
      <c r="K1183" s="262">
        <v>100</v>
      </c>
    </row>
    <row r="1184" spans="1:11" x14ac:dyDescent="0.2">
      <c r="A1184" s="306" t="s">
        <v>20460</v>
      </c>
      <c r="B1184" s="261" t="s">
        <v>20460</v>
      </c>
      <c r="C1184" s="261" t="s">
        <v>14119</v>
      </c>
      <c r="D1184" s="261" t="s">
        <v>18017</v>
      </c>
      <c r="E1184" s="261">
        <v>1</v>
      </c>
      <c r="F1184" s="261" t="s">
        <v>19688</v>
      </c>
      <c r="G1184" s="261" t="s">
        <v>14494</v>
      </c>
      <c r="H1184" s="261" t="s">
        <v>14495</v>
      </c>
      <c r="I1184" s="261"/>
      <c r="J1184" s="261"/>
      <c r="K1184" s="262"/>
    </row>
    <row r="1185" spans="1:11" x14ac:dyDescent="0.2">
      <c r="A1185" s="306" t="s">
        <v>20460</v>
      </c>
      <c r="B1185" s="261" t="s">
        <v>18322</v>
      </c>
      <c r="C1185" s="261" t="s">
        <v>14119</v>
      </c>
      <c r="D1185" s="261" t="s">
        <v>18017</v>
      </c>
      <c r="E1185" s="261">
        <v>2</v>
      </c>
      <c r="F1185" s="261" t="s">
        <v>21004</v>
      </c>
      <c r="G1185" s="261" t="s">
        <v>3834</v>
      </c>
      <c r="H1185" s="261" t="s">
        <v>3835</v>
      </c>
      <c r="I1185" s="261"/>
      <c r="J1185" s="261"/>
      <c r="K1185" s="262"/>
    </row>
    <row r="1186" spans="1:11" x14ac:dyDescent="0.2">
      <c r="A1186" s="306" t="s">
        <v>20460</v>
      </c>
      <c r="B1186" s="261" t="s">
        <v>18324</v>
      </c>
      <c r="C1186" s="261" t="s">
        <v>14119</v>
      </c>
      <c r="D1186" s="261" t="s">
        <v>18017</v>
      </c>
      <c r="E1186" s="261">
        <v>3</v>
      </c>
      <c r="F1186" s="261" t="s">
        <v>21005</v>
      </c>
      <c r="G1186" s="261" t="s">
        <v>8991</v>
      </c>
      <c r="H1186" s="261" t="s">
        <v>8992</v>
      </c>
      <c r="I1186" s="261"/>
      <c r="J1186" s="261"/>
      <c r="K1186" s="262"/>
    </row>
    <row r="1187" spans="1:11" x14ac:dyDescent="0.2">
      <c r="A1187" s="306" t="s">
        <v>20460</v>
      </c>
      <c r="B1187" s="261" t="s">
        <v>18325</v>
      </c>
      <c r="C1187" s="261" t="s">
        <v>14119</v>
      </c>
      <c r="D1187" s="261" t="s">
        <v>18017</v>
      </c>
      <c r="E1187" s="261">
        <v>4</v>
      </c>
      <c r="F1187" s="261" t="s">
        <v>21006</v>
      </c>
      <c r="G1187" s="261" t="s">
        <v>14116</v>
      </c>
      <c r="H1187" s="261" t="s">
        <v>14117</v>
      </c>
      <c r="I1187" s="261"/>
      <c r="J1187" s="261"/>
      <c r="K1187" s="262"/>
    </row>
    <row r="1188" spans="1:11" x14ac:dyDescent="0.2">
      <c r="A1188" s="306" t="s">
        <v>20460</v>
      </c>
      <c r="B1188" s="261" t="s">
        <v>18330</v>
      </c>
      <c r="C1188" s="261" t="s">
        <v>14119</v>
      </c>
      <c r="D1188" s="261" t="s">
        <v>18017</v>
      </c>
      <c r="E1188" s="261">
        <v>5</v>
      </c>
      <c r="F1188" s="261" t="s">
        <v>21007</v>
      </c>
      <c r="G1188" s="261" t="s">
        <v>4033</v>
      </c>
      <c r="H1188" s="261" t="s">
        <v>4034</v>
      </c>
      <c r="I1188" s="261"/>
      <c r="J1188" s="261"/>
      <c r="K1188" s="262"/>
    </row>
    <row r="1189" spans="1:11" x14ac:dyDescent="0.2">
      <c r="A1189" s="306" t="s">
        <v>20460</v>
      </c>
      <c r="B1189" s="261" t="s">
        <v>18337</v>
      </c>
      <c r="C1189" s="261" t="s">
        <v>14119</v>
      </c>
      <c r="D1189" s="261" t="s">
        <v>18017</v>
      </c>
      <c r="E1189" s="261">
        <v>6</v>
      </c>
      <c r="F1189" s="261" t="s">
        <v>21008</v>
      </c>
      <c r="G1189" s="261" t="s">
        <v>4388</v>
      </c>
      <c r="H1189" s="261" t="s">
        <v>4389</v>
      </c>
      <c r="I1189" s="261"/>
      <c r="J1189" s="261"/>
      <c r="K1189" s="262"/>
    </row>
    <row r="1190" spans="1:11" x14ac:dyDescent="0.2">
      <c r="A1190" s="306" t="s">
        <v>20460</v>
      </c>
      <c r="B1190" s="261" t="s">
        <v>18339</v>
      </c>
      <c r="C1190" s="261" t="s">
        <v>14119</v>
      </c>
      <c r="D1190" s="261" t="s">
        <v>18017</v>
      </c>
      <c r="E1190" s="261">
        <v>7</v>
      </c>
      <c r="F1190" s="261" t="s">
        <v>21009</v>
      </c>
      <c r="G1190" s="261" t="s">
        <v>10194</v>
      </c>
      <c r="H1190" s="261" t="s">
        <v>10195</v>
      </c>
      <c r="I1190" s="261"/>
      <c r="J1190" s="261"/>
      <c r="K1190" s="262"/>
    </row>
    <row r="1191" spans="1:11" x14ac:dyDescent="0.2">
      <c r="A1191" s="306" t="s">
        <v>20460</v>
      </c>
      <c r="B1191" s="261" t="s">
        <v>20460</v>
      </c>
      <c r="C1191" s="261" t="s">
        <v>14119</v>
      </c>
      <c r="D1191" s="261" t="s">
        <v>18017</v>
      </c>
      <c r="E1191" s="261">
        <v>8</v>
      </c>
      <c r="F1191" s="261" t="s">
        <v>20868</v>
      </c>
      <c r="G1191" s="261"/>
      <c r="H1191" s="261"/>
      <c r="I1191" s="261" t="s">
        <v>3779</v>
      </c>
      <c r="J1191" s="261" t="s">
        <v>19599</v>
      </c>
      <c r="K1191" s="262">
        <v>20</v>
      </c>
    </row>
    <row r="1192" spans="1:11" x14ac:dyDescent="0.2">
      <c r="A1192" s="306" t="s">
        <v>20460</v>
      </c>
      <c r="B1192" s="261" t="s">
        <v>20460</v>
      </c>
      <c r="C1192" s="261" t="s">
        <v>14119</v>
      </c>
      <c r="D1192" s="261" t="s">
        <v>18017</v>
      </c>
      <c r="E1192" s="261">
        <v>9</v>
      </c>
      <c r="F1192" s="261" t="s">
        <v>20869</v>
      </c>
      <c r="G1192" s="261"/>
      <c r="H1192" s="261"/>
      <c r="I1192" s="261" t="s">
        <v>3779</v>
      </c>
      <c r="J1192" s="261" t="s">
        <v>19600</v>
      </c>
      <c r="K1192" s="262">
        <v>20</v>
      </c>
    </row>
    <row r="1193" spans="1:11" x14ac:dyDescent="0.2">
      <c r="A1193" s="306" t="s">
        <v>20460</v>
      </c>
      <c r="B1193" s="261" t="s">
        <v>20460</v>
      </c>
      <c r="C1193" s="261" t="s">
        <v>14119</v>
      </c>
      <c r="D1193" s="261" t="s">
        <v>18017</v>
      </c>
      <c r="E1193" s="261">
        <v>10</v>
      </c>
      <c r="F1193" s="261" t="s">
        <v>20870</v>
      </c>
      <c r="G1193" s="261"/>
      <c r="H1193" s="261"/>
      <c r="I1193" s="261" t="s">
        <v>3779</v>
      </c>
      <c r="J1193" s="261" t="s">
        <v>19603</v>
      </c>
      <c r="K1193" s="262">
        <v>20</v>
      </c>
    </row>
    <row r="1194" spans="1:11" x14ac:dyDescent="0.2">
      <c r="A1194" s="306" t="s">
        <v>20460</v>
      </c>
      <c r="B1194" s="261" t="s">
        <v>20460</v>
      </c>
      <c r="C1194" s="261" t="s">
        <v>14119</v>
      </c>
      <c r="D1194" s="261" t="s">
        <v>18017</v>
      </c>
      <c r="E1194" s="261">
        <v>11</v>
      </c>
      <c r="F1194" s="261" t="s">
        <v>20871</v>
      </c>
      <c r="G1194" s="261"/>
      <c r="H1194" s="261"/>
      <c r="I1194" s="261" t="s">
        <v>3779</v>
      </c>
      <c r="J1194" s="261" t="s">
        <v>19601</v>
      </c>
      <c r="K1194" s="262">
        <v>20</v>
      </c>
    </row>
    <row r="1195" spans="1:11" x14ac:dyDescent="0.2">
      <c r="A1195" s="306" t="s">
        <v>20460</v>
      </c>
      <c r="B1195" s="261" t="s">
        <v>20460</v>
      </c>
      <c r="C1195" s="261" t="s">
        <v>14119</v>
      </c>
      <c r="D1195" s="261" t="s">
        <v>18017</v>
      </c>
      <c r="E1195" s="261">
        <v>12</v>
      </c>
      <c r="F1195" s="261" t="s">
        <v>20872</v>
      </c>
      <c r="G1195" s="261"/>
      <c r="H1195" s="261"/>
      <c r="I1195" s="261" t="s">
        <v>3779</v>
      </c>
      <c r="J1195" s="261" t="s">
        <v>19604</v>
      </c>
      <c r="K1195" s="262">
        <v>20</v>
      </c>
    </row>
    <row r="1196" spans="1:11" x14ac:dyDescent="0.2">
      <c r="A1196" s="306" t="s">
        <v>20460</v>
      </c>
      <c r="B1196" s="261" t="s">
        <v>20460</v>
      </c>
      <c r="C1196" s="261" t="s">
        <v>14119</v>
      </c>
      <c r="D1196" s="261" t="s">
        <v>18017</v>
      </c>
      <c r="E1196" s="261">
        <v>13</v>
      </c>
      <c r="F1196" s="261" t="s">
        <v>20873</v>
      </c>
      <c r="G1196" s="261"/>
      <c r="H1196" s="261"/>
      <c r="I1196" s="261" t="s">
        <v>3779</v>
      </c>
      <c r="J1196" s="261" t="s">
        <v>19602</v>
      </c>
      <c r="K1196" s="262">
        <v>20</v>
      </c>
    </row>
    <row r="1197" spans="1:11" x14ac:dyDescent="0.2">
      <c r="A1197" s="306" t="s">
        <v>20460</v>
      </c>
      <c r="B1197" s="261" t="s">
        <v>20460</v>
      </c>
      <c r="C1197" s="261" t="s">
        <v>14119</v>
      </c>
      <c r="D1197" s="261" t="s">
        <v>18017</v>
      </c>
      <c r="E1197" s="261">
        <v>14</v>
      </c>
      <c r="F1197" s="261" t="s">
        <v>20874</v>
      </c>
      <c r="G1197" s="261"/>
      <c r="H1197" s="261"/>
      <c r="I1197" s="261" t="s">
        <v>10772</v>
      </c>
      <c r="J1197" s="261" t="s">
        <v>19618</v>
      </c>
      <c r="K1197" s="262">
        <v>100</v>
      </c>
    </row>
    <row r="1198" spans="1:11" x14ac:dyDescent="0.2">
      <c r="A1198" s="306" t="s">
        <v>20464</v>
      </c>
      <c r="B1198" s="261" t="s">
        <v>20464</v>
      </c>
      <c r="C1198" s="261" t="s">
        <v>14130</v>
      </c>
      <c r="D1198" s="261" t="s">
        <v>18175</v>
      </c>
      <c r="E1198" s="261">
        <v>1</v>
      </c>
      <c r="F1198" s="261" t="s">
        <v>19688</v>
      </c>
      <c r="G1198" s="261" t="s">
        <v>14500</v>
      </c>
      <c r="H1198" s="261" t="s">
        <v>14501</v>
      </c>
      <c r="I1198" s="261"/>
      <c r="J1198" s="261"/>
      <c r="K1198" s="262"/>
    </row>
    <row r="1199" spans="1:11" x14ac:dyDescent="0.2">
      <c r="A1199" s="306" t="s">
        <v>20464</v>
      </c>
      <c r="B1199" s="261" t="s">
        <v>18349</v>
      </c>
      <c r="C1199" s="261" t="s">
        <v>14130</v>
      </c>
      <c r="D1199" s="261" t="s">
        <v>18175</v>
      </c>
      <c r="E1199" s="261">
        <v>2</v>
      </c>
      <c r="F1199" s="261" t="s">
        <v>20944</v>
      </c>
      <c r="G1199" s="261" t="s">
        <v>14128</v>
      </c>
      <c r="H1199" s="261" t="s">
        <v>14129</v>
      </c>
      <c r="I1199" s="261"/>
      <c r="J1199" s="261"/>
      <c r="K1199" s="262"/>
    </row>
    <row r="1200" spans="1:11" x14ac:dyDescent="0.2">
      <c r="A1200" s="306" t="s">
        <v>20464</v>
      </c>
      <c r="B1200" s="261" t="s">
        <v>18352</v>
      </c>
      <c r="C1200" s="261" t="s">
        <v>14130</v>
      </c>
      <c r="D1200" s="261" t="s">
        <v>18175</v>
      </c>
      <c r="E1200" s="261">
        <v>3</v>
      </c>
      <c r="F1200" s="261" t="s">
        <v>20945</v>
      </c>
      <c r="G1200" s="261" t="s">
        <v>4201</v>
      </c>
      <c r="H1200" s="261" t="s">
        <v>4202</v>
      </c>
      <c r="I1200" s="261"/>
      <c r="J1200" s="261"/>
      <c r="K1200" s="262"/>
    </row>
    <row r="1201" spans="1:11" x14ac:dyDescent="0.2">
      <c r="A1201" s="306" t="s">
        <v>20464</v>
      </c>
      <c r="B1201" s="261" t="s">
        <v>18355</v>
      </c>
      <c r="C1201" s="261" t="s">
        <v>14130</v>
      </c>
      <c r="D1201" s="261" t="s">
        <v>18175</v>
      </c>
      <c r="E1201" s="261">
        <v>4</v>
      </c>
      <c r="F1201" s="261" t="s">
        <v>20946</v>
      </c>
      <c r="G1201" s="261" t="s">
        <v>2737</v>
      </c>
      <c r="H1201" s="261" t="s">
        <v>2738</v>
      </c>
      <c r="I1201" s="261"/>
      <c r="J1201" s="261"/>
      <c r="K1201" s="262"/>
    </row>
    <row r="1202" spans="1:11" x14ac:dyDescent="0.2">
      <c r="A1202" s="306" t="s">
        <v>20464</v>
      </c>
      <c r="B1202" s="261" t="s">
        <v>18356</v>
      </c>
      <c r="C1202" s="261" t="s">
        <v>14130</v>
      </c>
      <c r="D1202" s="261" t="s">
        <v>18175</v>
      </c>
      <c r="E1202" s="261">
        <v>5</v>
      </c>
      <c r="F1202" s="261" t="s">
        <v>20947</v>
      </c>
      <c r="G1202" s="261" t="s">
        <v>9514</v>
      </c>
      <c r="H1202" s="261" t="s">
        <v>9515</v>
      </c>
      <c r="I1202" s="261"/>
      <c r="J1202" s="261"/>
      <c r="K1202" s="262"/>
    </row>
    <row r="1203" spans="1:11" x14ac:dyDescent="0.2">
      <c r="A1203" s="306" t="s">
        <v>20464</v>
      </c>
      <c r="B1203" s="261" t="s">
        <v>20464</v>
      </c>
      <c r="C1203" s="261" t="s">
        <v>14130</v>
      </c>
      <c r="D1203" s="261" t="s">
        <v>18175</v>
      </c>
      <c r="E1203" s="261">
        <v>6</v>
      </c>
      <c r="F1203" s="261" t="s">
        <v>20948</v>
      </c>
      <c r="G1203" s="261"/>
      <c r="H1203" s="261"/>
      <c r="I1203" s="261" t="s">
        <v>3779</v>
      </c>
      <c r="J1203" s="261" t="s">
        <v>19599</v>
      </c>
      <c r="K1203" s="262">
        <v>20</v>
      </c>
    </row>
    <row r="1204" spans="1:11" x14ac:dyDescent="0.2">
      <c r="A1204" s="306" t="s">
        <v>20464</v>
      </c>
      <c r="B1204" s="261" t="s">
        <v>20464</v>
      </c>
      <c r="C1204" s="261" t="s">
        <v>14130</v>
      </c>
      <c r="D1204" s="261" t="s">
        <v>18175</v>
      </c>
      <c r="E1204" s="261">
        <v>7</v>
      </c>
      <c r="F1204" s="261" t="s">
        <v>20949</v>
      </c>
      <c r="G1204" s="261"/>
      <c r="H1204" s="261"/>
      <c r="I1204" s="261" t="s">
        <v>3779</v>
      </c>
      <c r="J1204" s="261" t="s">
        <v>19600</v>
      </c>
      <c r="K1204" s="262">
        <v>20</v>
      </c>
    </row>
    <row r="1205" spans="1:11" x14ac:dyDescent="0.2">
      <c r="A1205" s="306" t="s">
        <v>20464</v>
      </c>
      <c r="B1205" s="261" t="s">
        <v>20464</v>
      </c>
      <c r="C1205" s="261" t="s">
        <v>14130</v>
      </c>
      <c r="D1205" s="261" t="s">
        <v>18175</v>
      </c>
      <c r="E1205" s="261">
        <v>8</v>
      </c>
      <c r="F1205" s="261" t="s">
        <v>20950</v>
      </c>
      <c r="G1205" s="261"/>
      <c r="H1205" s="261"/>
      <c r="I1205" s="261" t="s">
        <v>3779</v>
      </c>
      <c r="J1205" s="261" t="s">
        <v>19603</v>
      </c>
      <c r="K1205" s="262">
        <v>20</v>
      </c>
    </row>
    <row r="1206" spans="1:11" x14ac:dyDescent="0.2">
      <c r="A1206" s="306" t="s">
        <v>20464</v>
      </c>
      <c r="B1206" s="261" t="s">
        <v>20464</v>
      </c>
      <c r="C1206" s="261" t="s">
        <v>14130</v>
      </c>
      <c r="D1206" s="261" t="s">
        <v>18175</v>
      </c>
      <c r="E1206" s="261">
        <v>9</v>
      </c>
      <c r="F1206" s="261" t="s">
        <v>20951</v>
      </c>
      <c r="G1206" s="261"/>
      <c r="H1206" s="261"/>
      <c r="I1206" s="261" t="s">
        <v>3779</v>
      </c>
      <c r="J1206" s="261" t="s">
        <v>19601</v>
      </c>
      <c r="K1206" s="262">
        <v>20</v>
      </c>
    </row>
    <row r="1207" spans="1:11" x14ac:dyDescent="0.2">
      <c r="A1207" s="306" t="s">
        <v>20464</v>
      </c>
      <c r="B1207" s="261" t="s">
        <v>20464</v>
      </c>
      <c r="C1207" s="261" t="s">
        <v>14130</v>
      </c>
      <c r="D1207" s="261" t="s">
        <v>18175</v>
      </c>
      <c r="E1207" s="261">
        <v>10</v>
      </c>
      <c r="F1207" s="261" t="s">
        <v>20952</v>
      </c>
      <c r="G1207" s="261"/>
      <c r="H1207" s="261"/>
      <c r="I1207" s="261" t="s">
        <v>3779</v>
      </c>
      <c r="J1207" s="261" t="s">
        <v>19604</v>
      </c>
      <c r="K1207" s="262">
        <v>20</v>
      </c>
    </row>
    <row r="1208" spans="1:11" x14ac:dyDescent="0.2">
      <c r="A1208" s="306" t="s">
        <v>20464</v>
      </c>
      <c r="B1208" s="261" t="s">
        <v>20464</v>
      </c>
      <c r="C1208" s="261" t="s">
        <v>14130</v>
      </c>
      <c r="D1208" s="261" t="s">
        <v>18175</v>
      </c>
      <c r="E1208" s="261">
        <v>11</v>
      </c>
      <c r="F1208" s="261" t="s">
        <v>20953</v>
      </c>
      <c r="G1208" s="261"/>
      <c r="H1208" s="261"/>
      <c r="I1208" s="261" t="s">
        <v>3779</v>
      </c>
      <c r="J1208" s="261" t="s">
        <v>19602</v>
      </c>
      <c r="K1208" s="262">
        <v>20</v>
      </c>
    </row>
    <row r="1209" spans="1:11" x14ac:dyDescent="0.2">
      <c r="A1209" s="306" t="s">
        <v>20464</v>
      </c>
      <c r="B1209" s="261" t="s">
        <v>20464</v>
      </c>
      <c r="C1209" s="261" t="s">
        <v>14130</v>
      </c>
      <c r="D1209" s="261" t="s">
        <v>18175</v>
      </c>
      <c r="E1209" s="261">
        <v>12</v>
      </c>
      <c r="F1209" s="261" t="s">
        <v>20954</v>
      </c>
      <c r="G1209" s="261"/>
      <c r="H1209" s="261"/>
      <c r="I1209" s="261" t="s">
        <v>10772</v>
      </c>
      <c r="J1209" s="261" t="s">
        <v>19618</v>
      </c>
      <c r="K1209" s="262">
        <v>100</v>
      </c>
    </row>
    <row r="1210" spans="1:11" x14ac:dyDescent="0.2">
      <c r="A1210" s="306" t="s">
        <v>19696</v>
      </c>
      <c r="B1210" s="261" t="s">
        <v>19696</v>
      </c>
      <c r="C1210" s="261" t="s">
        <v>19695</v>
      </c>
      <c r="D1210" s="261" t="s">
        <v>18241</v>
      </c>
      <c r="E1210" s="261">
        <v>1</v>
      </c>
      <c r="F1210" s="261" t="s">
        <v>19688</v>
      </c>
      <c r="G1210" s="261" t="s">
        <v>885</v>
      </c>
      <c r="H1210" s="261" t="s">
        <v>886</v>
      </c>
      <c r="I1210" s="261"/>
      <c r="J1210" s="261"/>
      <c r="K1210" s="262"/>
    </row>
    <row r="1211" spans="1:11" x14ac:dyDescent="0.2">
      <c r="A1211" s="306" t="s">
        <v>19696</v>
      </c>
      <c r="B1211" s="261" t="s">
        <v>18357</v>
      </c>
      <c r="C1211" s="261" t="s">
        <v>19695</v>
      </c>
      <c r="D1211" s="261" t="s">
        <v>18241</v>
      </c>
      <c r="E1211" s="261">
        <v>2</v>
      </c>
      <c r="F1211" s="261" t="s">
        <v>21010</v>
      </c>
      <c r="G1211" s="261" t="s">
        <v>14140</v>
      </c>
      <c r="H1211" s="261" t="s">
        <v>14141</v>
      </c>
      <c r="I1211" s="261"/>
      <c r="J1211" s="261"/>
      <c r="K1211" s="262"/>
    </row>
    <row r="1212" spans="1:11" x14ac:dyDescent="0.2">
      <c r="A1212" s="306" t="s">
        <v>19696</v>
      </c>
      <c r="B1212" s="261" t="s">
        <v>18370</v>
      </c>
      <c r="C1212" s="261" t="s">
        <v>19695</v>
      </c>
      <c r="D1212" s="261" t="s">
        <v>18241</v>
      </c>
      <c r="E1212" s="261">
        <v>3</v>
      </c>
      <c r="F1212" s="261" t="s">
        <v>21011</v>
      </c>
      <c r="G1212" s="261" t="s">
        <v>14137</v>
      </c>
      <c r="H1212" s="261" t="s">
        <v>14138</v>
      </c>
      <c r="I1212" s="261"/>
      <c r="J1212" s="261"/>
      <c r="K1212" s="262"/>
    </row>
    <row r="1213" spans="1:11" x14ac:dyDescent="0.2">
      <c r="A1213" s="306" t="s">
        <v>19696</v>
      </c>
      <c r="B1213" s="261" t="s">
        <v>18376</v>
      </c>
      <c r="C1213" s="261" t="s">
        <v>19695</v>
      </c>
      <c r="D1213" s="261" t="s">
        <v>18241</v>
      </c>
      <c r="E1213" s="261">
        <v>4</v>
      </c>
      <c r="F1213" s="261" t="s">
        <v>21012</v>
      </c>
      <c r="G1213" s="261" t="s">
        <v>14145</v>
      </c>
      <c r="H1213" s="261" t="s">
        <v>14146</v>
      </c>
      <c r="I1213" s="261"/>
      <c r="J1213" s="261"/>
      <c r="K1213" s="262"/>
    </row>
    <row r="1214" spans="1:11" x14ac:dyDescent="0.2">
      <c r="A1214" s="306" t="s">
        <v>19696</v>
      </c>
      <c r="B1214" s="261" t="s">
        <v>18382</v>
      </c>
      <c r="C1214" s="261" t="s">
        <v>19695</v>
      </c>
      <c r="D1214" s="261" t="s">
        <v>18241</v>
      </c>
      <c r="E1214" s="261">
        <v>5</v>
      </c>
      <c r="F1214" s="261" t="s">
        <v>21013</v>
      </c>
      <c r="G1214" s="261" t="s">
        <v>14142</v>
      </c>
      <c r="H1214" s="261" t="s">
        <v>14143</v>
      </c>
      <c r="I1214" s="261"/>
      <c r="J1214" s="261"/>
      <c r="K1214" s="262"/>
    </row>
    <row r="1215" spans="1:11" x14ac:dyDescent="0.2">
      <c r="A1215" s="306" t="s">
        <v>19696</v>
      </c>
      <c r="B1215" s="261" t="s">
        <v>18388</v>
      </c>
      <c r="C1215" s="261" t="s">
        <v>19695</v>
      </c>
      <c r="D1215" s="261" t="s">
        <v>18241</v>
      </c>
      <c r="E1215" s="261">
        <v>6</v>
      </c>
      <c r="F1215" s="261" t="s">
        <v>21014</v>
      </c>
      <c r="G1215" s="261" t="s">
        <v>14147</v>
      </c>
      <c r="H1215" s="261" t="s">
        <v>14148</v>
      </c>
      <c r="I1215" s="261"/>
      <c r="J1215" s="261"/>
      <c r="K1215" s="262"/>
    </row>
    <row r="1216" spans="1:11" x14ac:dyDescent="0.2">
      <c r="A1216" s="306" t="s">
        <v>19696</v>
      </c>
      <c r="B1216" s="261" t="s">
        <v>18394</v>
      </c>
      <c r="C1216" s="261" t="s">
        <v>19695</v>
      </c>
      <c r="D1216" s="261" t="s">
        <v>18241</v>
      </c>
      <c r="E1216" s="261">
        <v>7</v>
      </c>
      <c r="F1216" s="261" t="s">
        <v>21015</v>
      </c>
      <c r="G1216" s="261" t="s">
        <v>14149</v>
      </c>
      <c r="H1216" s="261" t="s">
        <v>14150</v>
      </c>
      <c r="I1216" s="261"/>
      <c r="J1216" s="261"/>
      <c r="K1216" s="262"/>
    </row>
    <row r="1217" spans="1:11" x14ac:dyDescent="0.2">
      <c r="A1217" s="306" t="s">
        <v>20470</v>
      </c>
      <c r="B1217" s="261" t="s">
        <v>20470</v>
      </c>
      <c r="C1217" s="261" t="s">
        <v>14158</v>
      </c>
      <c r="D1217" s="261" t="s">
        <v>18017</v>
      </c>
      <c r="E1217" s="261">
        <v>1</v>
      </c>
      <c r="F1217" s="261" t="s">
        <v>19688</v>
      </c>
      <c r="G1217" s="261" t="s">
        <v>14511</v>
      </c>
      <c r="H1217" s="261" t="s">
        <v>14512</v>
      </c>
      <c r="I1217" s="261"/>
      <c r="J1217" s="261"/>
      <c r="K1217" s="262"/>
    </row>
    <row r="1218" spans="1:11" x14ac:dyDescent="0.2">
      <c r="A1218" s="306" t="s">
        <v>20470</v>
      </c>
      <c r="B1218" s="261" t="s">
        <v>18412</v>
      </c>
      <c r="C1218" s="261" t="s">
        <v>14158</v>
      </c>
      <c r="D1218" s="261" t="s">
        <v>18017</v>
      </c>
      <c r="E1218" s="261">
        <v>2</v>
      </c>
      <c r="F1218" s="261" t="s">
        <v>21016</v>
      </c>
      <c r="G1218" s="261" t="s">
        <v>3571</v>
      </c>
      <c r="H1218" s="261" t="s">
        <v>3572</v>
      </c>
      <c r="I1218" s="261"/>
      <c r="J1218" s="261"/>
      <c r="K1218" s="262"/>
    </row>
    <row r="1219" spans="1:11" x14ac:dyDescent="0.2">
      <c r="A1219" s="306" t="s">
        <v>20470</v>
      </c>
      <c r="B1219" s="261" t="s">
        <v>18414</v>
      </c>
      <c r="C1219" s="261" t="s">
        <v>14158</v>
      </c>
      <c r="D1219" s="261" t="s">
        <v>18017</v>
      </c>
      <c r="E1219" s="261">
        <v>3</v>
      </c>
      <c r="F1219" s="261" t="s">
        <v>21017</v>
      </c>
      <c r="G1219" s="261" t="s">
        <v>3013</v>
      </c>
      <c r="H1219" s="261" t="s">
        <v>3014</v>
      </c>
      <c r="I1219" s="261"/>
      <c r="J1219" s="261"/>
      <c r="K1219" s="262"/>
    </row>
    <row r="1220" spans="1:11" x14ac:dyDescent="0.2">
      <c r="A1220" s="306" t="s">
        <v>20470</v>
      </c>
      <c r="B1220" s="261" t="s">
        <v>18416</v>
      </c>
      <c r="C1220" s="261" t="s">
        <v>14158</v>
      </c>
      <c r="D1220" s="261" t="s">
        <v>18017</v>
      </c>
      <c r="E1220" s="261">
        <v>4</v>
      </c>
      <c r="F1220" s="261" t="s">
        <v>21018</v>
      </c>
      <c r="G1220" s="261" t="s">
        <v>3102</v>
      </c>
      <c r="H1220" s="261" t="s">
        <v>3103</v>
      </c>
      <c r="I1220" s="261"/>
      <c r="J1220" s="261"/>
      <c r="K1220" s="262"/>
    </row>
    <row r="1221" spans="1:11" x14ac:dyDescent="0.2">
      <c r="A1221" s="306" t="s">
        <v>20470</v>
      </c>
      <c r="B1221" s="261" t="s">
        <v>18418</v>
      </c>
      <c r="C1221" s="261" t="s">
        <v>14158</v>
      </c>
      <c r="D1221" s="261" t="s">
        <v>18017</v>
      </c>
      <c r="E1221" s="261">
        <v>5</v>
      </c>
      <c r="F1221" s="261" t="s">
        <v>21019</v>
      </c>
      <c r="G1221" s="261" t="s">
        <v>14509</v>
      </c>
      <c r="H1221" s="261" t="s">
        <v>14510</v>
      </c>
      <c r="I1221" s="261"/>
      <c r="J1221" s="261"/>
      <c r="K1221" s="262"/>
    </row>
    <row r="1222" spans="1:11" x14ac:dyDescent="0.2">
      <c r="A1222" s="306" t="s">
        <v>20470</v>
      </c>
      <c r="B1222" s="261" t="s">
        <v>18421</v>
      </c>
      <c r="C1222" s="261" t="s">
        <v>14158</v>
      </c>
      <c r="D1222" s="261" t="s">
        <v>18017</v>
      </c>
      <c r="E1222" s="261">
        <v>6</v>
      </c>
      <c r="F1222" s="261" t="s">
        <v>21020</v>
      </c>
      <c r="G1222" s="261" t="s">
        <v>10074</v>
      </c>
      <c r="H1222" s="261" t="s">
        <v>10075</v>
      </c>
      <c r="I1222" s="261"/>
      <c r="J1222" s="261"/>
      <c r="K1222" s="262"/>
    </row>
    <row r="1223" spans="1:11" x14ac:dyDescent="0.2">
      <c r="A1223" s="306" t="s">
        <v>20470</v>
      </c>
      <c r="B1223" s="261" t="s">
        <v>18422</v>
      </c>
      <c r="C1223" s="261" t="s">
        <v>14158</v>
      </c>
      <c r="D1223" s="261" t="s">
        <v>18017</v>
      </c>
      <c r="E1223" s="261">
        <v>7</v>
      </c>
      <c r="F1223" s="261" t="s">
        <v>21021</v>
      </c>
      <c r="G1223" s="261" t="s">
        <v>14156</v>
      </c>
      <c r="H1223" s="261" t="s">
        <v>14157</v>
      </c>
      <c r="I1223" s="261"/>
      <c r="J1223" s="261"/>
      <c r="K1223" s="262"/>
    </row>
    <row r="1224" spans="1:11" x14ac:dyDescent="0.2">
      <c r="A1224" s="306" t="s">
        <v>20470</v>
      </c>
      <c r="B1224" s="261" t="s">
        <v>18423</v>
      </c>
      <c r="C1224" s="261" t="s">
        <v>14158</v>
      </c>
      <c r="D1224" s="261" t="s">
        <v>18017</v>
      </c>
      <c r="E1224" s="261">
        <v>8</v>
      </c>
      <c r="F1224" s="261" t="s">
        <v>21022</v>
      </c>
      <c r="G1224" s="261" t="s">
        <v>344</v>
      </c>
      <c r="H1224" s="261" t="s">
        <v>345</v>
      </c>
      <c r="I1224" s="261"/>
      <c r="J1224" s="261"/>
      <c r="K1224" s="262"/>
    </row>
    <row r="1225" spans="1:11" x14ac:dyDescent="0.2">
      <c r="A1225" s="306" t="s">
        <v>20470</v>
      </c>
      <c r="B1225" s="261" t="s">
        <v>18424</v>
      </c>
      <c r="C1225" s="261" t="s">
        <v>14158</v>
      </c>
      <c r="D1225" s="261" t="s">
        <v>18017</v>
      </c>
      <c r="E1225" s="261">
        <v>9</v>
      </c>
      <c r="F1225" s="261" t="s">
        <v>21023</v>
      </c>
      <c r="G1225" s="261" t="s">
        <v>9040</v>
      </c>
      <c r="H1225" s="261" t="s">
        <v>9041</v>
      </c>
      <c r="I1225" s="261"/>
      <c r="J1225" s="261"/>
      <c r="K1225" s="262"/>
    </row>
    <row r="1226" spans="1:11" x14ac:dyDescent="0.2">
      <c r="A1226" s="306" t="s">
        <v>20470</v>
      </c>
      <c r="B1226" s="261" t="s">
        <v>20470</v>
      </c>
      <c r="C1226" s="261" t="s">
        <v>14158</v>
      </c>
      <c r="D1226" s="261" t="s">
        <v>18017</v>
      </c>
      <c r="E1226" s="261">
        <v>10</v>
      </c>
      <c r="F1226" s="261" t="s">
        <v>20868</v>
      </c>
      <c r="G1226" s="261"/>
      <c r="H1226" s="261"/>
      <c r="I1226" s="261" t="s">
        <v>2837</v>
      </c>
      <c r="J1226" s="261" t="s">
        <v>19599</v>
      </c>
      <c r="K1226" s="262">
        <v>20</v>
      </c>
    </row>
    <row r="1227" spans="1:11" x14ac:dyDescent="0.2">
      <c r="A1227" s="306" t="s">
        <v>20470</v>
      </c>
      <c r="B1227" s="261" t="s">
        <v>20470</v>
      </c>
      <c r="C1227" s="261" t="s">
        <v>14158</v>
      </c>
      <c r="D1227" s="261" t="s">
        <v>18017</v>
      </c>
      <c r="E1227" s="261">
        <v>11</v>
      </c>
      <c r="F1227" s="261" t="s">
        <v>20869</v>
      </c>
      <c r="G1227" s="261"/>
      <c r="H1227" s="261"/>
      <c r="I1227" s="261" t="s">
        <v>2837</v>
      </c>
      <c r="J1227" s="261" t="s">
        <v>19600</v>
      </c>
      <c r="K1227" s="262">
        <v>20</v>
      </c>
    </row>
    <row r="1228" spans="1:11" x14ac:dyDescent="0.2">
      <c r="A1228" s="306" t="s">
        <v>20470</v>
      </c>
      <c r="B1228" s="261" t="s">
        <v>20470</v>
      </c>
      <c r="C1228" s="261" t="s">
        <v>14158</v>
      </c>
      <c r="D1228" s="261" t="s">
        <v>18017</v>
      </c>
      <c r="E1228" s="261">
        <v>12</v>
      </c>
      <c r="F1228" s="261" t="s">
        <v>20870</v>
      </c>
      <c r="G1228" s="261"/>
      <c r="H1228" s="261"/>
      <c r="I1228" s="261" t="s">
        <v>2837</v>
      </c>
      <c r="J1228" s="261" t="s">
        <v>19603</v>
      </c>
      <c r="K1228" s="262">
        <v>20</v>
      </c>
    </row>
    <row r="1229" spans="1:11" x14ac:dyDescent="0.2">
      <c r="A1229" s="306" t="s">
        <v>20470</v>
      </c>
      <c r="B1229" s="261" t="s">
        <v>20470</v>
      </c>
      <c r="C1229" s="261" t="s">
        <v>14158</v>
      </c>
      <c r="D1229" s="261" t="s">
        <v>18017</v>
      </c>
      <c r="E1229" s="261">
        <v>13</v>
      </c>
      <c r="F1229" s="261" t="s">
        <v>20871</v>
      </c>
      <c r="G1229" s="261"/>
      <c r="H1229" s="261"/>
      <c r="I1229" s="261" t="s">
        <v>2837</v>
      </c>
      <c r="J1229" s="261" t="s">
        <v>19601</v>
      </c>
      <c r="K1229" s="262">
        <v>20</v>
      </c>
    </row>
    <row r="1230" spans="1:11" x14ac:dyDescent="0.2">
      <c r="A1230" s="306" t="s">
        <v>20470</v>
      </c>
      <c r="B1230" s="261" t="s">
        <v>20470</v>
      </c>
      <c r="C1230" s="261" t="s">
        <v>14158</v>
      </c>
      <c r="D1230" s="261" t="s">
        <v>18017</v>
      </c>
      <c r="E1230" s="261">
        <v>14</v>
      </c>
      <c r="F1230" s="261" t="s">
        <v>20872</v>
      </c>
      <c r="G1230" s="261"/>
      <c r="H1230" s="261"/>
      <c r="I1230" s="261" t="s">
        <v>2837</v>
      </c>
      <c r="J1230" s="261" t="s">
        <v>19604</v>
      </c>
      <c r="K1230" s="262">
        <v>20</v>
      </c>
    </row>
    <row r="1231" spans="1:11" x14ac:dyDescent="0.2">
      <c r="A1231" s="306" t="s">
        <v>20470</v>
      </c>
      <c r="B1231" s="261" t="s">
        <v>20470</v>
      </c>
      <c r="C1231" s="261" t="s">
        <v>14158</v>
      </c>
      <c r="D1231" s="261" t="s">
        <v>18017</v>
      </c>
      <c r="E1231" s="261">
        <v>15</v>
      </c>
      <c r="F1231" s="261" t="s">
        <v>20873</v>
      </c>
      <c r="G1231" s="261"/>
      <c r="H1231" s="261"/>
      <c r="I1231" s="261" t="s">
        <v>2837</v>
      </c>
      <c r="J1231" s="261" t="s">
        <v>19602</v>
      </c>
      <c r="K1231" s="262">
        <v>20</v>
      </c>
    </row>
    <row r="1232" spans="1:11" x14ac:dyDescent="0.2">
      <c r="A1232" s="306" t="s">
        <v>20470</v>
      </c>
      <c r="B1232" s="261" t="s">
        <v>20470</v>
      </c>
      <c r="C1232" s="261" t="s">
        <v>14158</v>
      </c>
      <c r="D1232" s="261" t="s">
        <v>18017</v>
      </c>
      <c r="E1232" s="261">
        <v>16</v>
      </c>
      <c r="F1232" s="261" t="s">
        <v>20874</v>
      </c>
      <c r="G1232" s="261"/>
      <c r="H1232" s="261"/>
      <c r="I1232" s="261" t="s">
        <v>10772</v>
      </c>
      <c r="J1232" s="261" t="s">
        <v>19618</v>
      </c>
      <c r="K1232" s="262">
        <v>100</v>
      </c>
    </row>
    <row r="1233" spans="1:11" x14ac:dyDescent="0.2">
      <c r="A1233" s="306" t="s">
        <v>20473</v>
      </c>
      <c r="B1233" s="261" t="s">
        <v>20473</v>
      </c>
      <c r="C1233" s="261" t="s">
        <v>19631</v>
      </c>
      <c r="D1233" s="261" t="s">
        <v>18241</v>
      </c>
      <c r="E1233" s="261">
        <v>1</v>
      </c>
      <c r="F1233" s="261" t="s">
        <v>19688</v>
      </c>
      <c r="G1233" s="261" t="s">
        <v>14515</v>
      </c>
      <c r="H1233" s="261" t="s">
        <v>14516</v>
      </c>
      <c r="I1233" s="261"/>
      <c r="J1233" s="261"/>
      <c r="K1233" s="262"/>
    </row>
    <row r="1234" spans="1:11" x14ac:dyDescent="0.2">
      <c r="A1234" s="306" t="s">
        <v>20473</v>
      </c>
      <c r="B1234" s="261" t="s">
        <v>18430</v>
      </c>
      <c r="C1234" s="261" t="s">
        <v>19631</v>
      </c>
      <c r="D1234" s="261" t="s">
        <v>18241</v>
      </c>
      <c r="E1234" s="261">
        <v>2</v>
      </c>
      <c r="F1234" s="261" t="s">
        <v>21024</v>
      </c>
      <c r="G1234" s="261" t="s">
        <v>161</v>
      </c>
      <c r="H1234" s="261" t="s">
        <v>162</v>
      </c>
      <c r="I1234" s="261"/>
      <c r="J1234" s="261"/>
      <c r="K1234" s="262"/>
    </row>
    <row r="1235" spans="1:11" x14ac:dyDescent="0.2">
      <c r="A1235" s="306" t="s">
        <v>20473</v>
      </c>
      <c r="B1235" s="261" t="s">
        <v>18434</v>
      </c>
      <c r="C1235" s="261" t="s">
        <v>19631</v>
      </c>
      <c r="D1235" s="261" t="s">
        <v>18241</v>
      </c>
      <c r="E1235" s="261">
        <v>3</v>
      </c>
      <c r="F1235" s="261" t="s">
        <v>21025</v>
      </c>
      <c r="G1235" s="261" t="s">
        <v>3308</v>
      </c>
      <c r="H1235" s="261" t="s">
        <v>3309</v>
      </c>
      <c r="I1235" s="261"/>
      <c r="J1235" s="261"/>
      <c r="K1235" s="262"/>
    </row>
    <row r="1236" spans="1:11" x14ac:dyDescent="0.2">
      <c r="A1236" s="306" t="s">
        <v>20473</v>
      </c>
      <c r="B1236" s="261" t="s">
        <v>18436</v>
      </c>
      <c r="C1236" s="261" t="s">
        <v>19631</v>
      </c>
      <c r="D1236" s="261" t="s">
        <v>18241</v>
      </c>
      <c r="E1236" s="261">
        <v>4</v>
      </c>
      <c r="F1236" s="261" t="s">
        <v>21026</v>
      </c>
      <c r="G1236" s="261" t="s">
        <v>1640</v>
      </c>
      <c r="H1236" s="261" t="s">
        <v>1641</v>
      </c>
      <c r="I1236" s="261"/>
      <c r="J1236" s="261"/>
      <c r="K1236" s="262"/>
    </row>
    <row r="1237" spans="1:11" x14ac:dyDescent="0.2">
      <c r="A1237" s="306" t="s">
        <v>20473</v>
      </c>
      <c r="B1237" s="261" t="s">
        <v>18441</v>
      </c>
      <c r="C1237" s="261" t="s">
        <v>19631</v>
      </c>
      <c r="D1237" s="261" t="s">
        <v>18241</v>
      </c>
      <c r="E1237" s="261">
        <v>5</v>
      </c>
      <c r="F1237" s="261" t="s">
        <v>21027</v>
      </c>
      <c r="G1237" s="261" t="s">
        <v>8664</v>
      </c>
      <c r="H1237" s="261" t="s">
        <v>8665</v>
      </c>
      <c r="I1237" s="261"/>
      <c r="J1237" s="261"/>
      <c r="K1237" s="262"/>
    </row>
    <row r="1238" spans="1:11" x14ac:dyDescent="0.2">
      <c r="A1238" s="306" t="s">
        <v>20473</v>
      </c>
      <c r="B1238" s="261" t="s">
        <v>18446</v>
      </c>
      <c r="C1238" s="261" t="s">
        <v>19631</v>
      </c>
      <c r="D1238" s="261" t="s">
        <v>18241</v>
      </c>
      <c r="E1238" s="261">
        <v>6</v>
      </c>
      <c r="F1238" s="261" t="s">
        <v>21028</v>
      </c>
      <c r="G1238" s="261" t="s">
        <v>14172</v>
      </c>
      <c r="H1238" s="261" t="s">
        <v>14173</v>
      </c>
      <c r="I1238" s="261"/>
      <c r="J1238" s="261"/>
      <c r="K1238" s="262"/>
    </row>
    <row r="1239" spans="1:11" x14ac:dyDescent="0.2">
      <c r="A1239" s="306" t="s">
        <v>20473</v>
      </c>
      <c r="B1239" s="261" t="s">
        <v>18448</v>
      </c>
      <c r="C1239" s="261" t="s">
        <v>19631</v>
      </c>
      <c r="D1239" s="261" t="s">
        <v>18241</v>
      </c>
      <c r="E1239" s="261">
        <v>7</v>
      </c>
      <c r="F1239" s="261" t="s">
        <v>21029</v>
      </c>
      <c r="G1239" s="261" t="s">
        <v>14169</v>
      </c>
      <c r="H1239" s="261" t="s">
        <v>14170</v>
      </c>
      <c r="I1239" s="261"/>
      <c r="J1239" s="261"/>
      <c r="K1239" s="262"/>
    </row>
    <row r="1240" spans="1:11" x14ac:dyDescent="0.2">
      <c r="A1240" s="306" t="s">
        <v>20473</v>
      </c>
      <c r="B1240" s="261" t="s">
        <v>18449</v>
      </c>
      <c r="C1240" s="261" t="s">
        <v>19631</v>
      </c>
      <c r="D1240" s="261" t="s">
        <v>18241</v>
      </c>
      <c r="E1240" s="261">
        <v>8</v>
      </c>
      <c r="F1240" s="261" t="s">
        <v>21030</v>
      </c>
      <c r="G1240" s="261" t="s">
        <v>10144</v>
      </c>
      <c r="H1240" s="261" t="s">
        <v>10145</v>
      </c>
      <c r="I1240" s="261"/>
      <c r="J1240" s="261"/>
      <c r="K1240" s="262"/>
    </row>
    <row r="1241" spans="1:11" x14ac:dyDescent="0.2">
      <c r="A1241" s="306" t="s">
        <v>20473</v>
      </c>
      <c r="B1241" s="261" t="s">
        <v>18451</v>
      </c>
      <c r="C1241" s="261" t="s">
        <v>19631</v>
      </c>
      <c r="D1241" s="261" t="s">
        <v>18241</v>
      </c>
      <c r="E1241" s="261">
        <v>9</v>
      </c>
      <c r="F1241" s="261" t="s">
        <v>21031</v>
      </c>
      <c r="G1241" s="261" t="s">
        <v>14174</v>
      </c>
      <c r="H1241" s="261" t="s">
        <v>14175</v>
      </c>
      <c r="I1241" s="261"/>
      <c r="J1241" s="261"/>
      <c r="K1241" s="262"/>
    </row>
    <row r="1242" spans="1:11" x14ac:dyDescent="0.2">
      <c r="A1242" s="306" t="s">
        <v>20473</v>
      </c>
      <c r="B1242" s="261" t="s">
        <v>18453</v>
      </c>
      <c r="C1242" s="261" t="s">
        <v>19631</v>
      </c>
      <c r="D1242" s="261" t="s">
        <v>18241</v>
      </c>
      <c r="E1242" s="261">
        <v>10</v>
      </c>
      <c r="F1242" s="261" t="s">
        <v>21032</v>
      </c>
      <c r="G1242" s="261" t="s">
        <v>14163</v>
      </c>
      <c r="H1242" s="261" t="s">
        <v>14164</v>
      </c>
      <c r="I1242" s="261"/>
      <c r="J1242" s="261"/>
      <c r="K1242" s="262"/>
    </row>
    <row r="1243" spans="1:11" x14ac:dyDescent="0.2">
      <c r="A1243" s="306" t="s">
        <v>20473</v>
      </c>
      <c r="B1243" s="261" t="s">
        <v>18456</v>
      </c>
      <c r="C1243" s="261" t="s">
        <v>19631</v>
      </c>
      <c r="D1243" s="261" t="s">
        <v>18241</v>
      </c>
      <c r="E1243" s="261">
        <v>11</v>
      </c>
      <c r="F1243" s="261" t="s">
        <v>21033</v>
      </c>
      <c r="G1243" s="261" t="s">
        <v>14167</v>
      </c>
      <c r="H1243" s="261" t="s">
        <v>14168</v>
      </c>
      <c r="I1243" s="261"/>
      <c r="J1243" s="261"/>
      <c r="K1243" s="262"/>
    </row>
    <row r="1244" spans="1:11" x14ac:dyDescent="0.2">
      <c r="A1244" s="306" t="s">
        <v>20473</v>
      </c>
      <c r="B1244" s="261" t="s">
        <v>18458</v>
      </c>
      <c r="C1244" s="261" t="s">
        <v>19631</v>
      </c>
      <c r="D1244" s="261" t="s">
        <v>18241</v>
      </c>
      <c r="E1244" s="261">
        <v>12</v>
      </c>
      <c r="F1244" s="261" t="s">
        <v>21034</v>
      </c>
      <c r="G1244" s="261" t="s">
        <v>10155</v>
      </c>
      <c r="H1244" s="261" t="s">
        <v>10156</v>
      </c>
      <c r="I1244" s="261"/>
      <c r="J1244" s="261"/>
      <c r="K1244" s="262"/>
    </row>
    <row r="1245" spans="1:11" x14ac:dyDescent="0.2">
      <c r="A1245" s="306" t="s">
        <v>20021</v>
      </c>
      <c r="B1245" s="261" t="s">
        <v>20021</v>
      </c>
      <c r="C1245" s="261" t="s">
        <v>14181</v>
      </c>
      <c r="D1245" s="261" t="s">
        <v>18046</v>
      </c>
      <c r="E1245" s="261">
        <v>1</v>
      </c>
      <c r="F1245" s="261" t="s">
        <v>19688</v>
      </c>
      <c r="G1245" s="261" t="s">
        <v>20148</v>
      </c>
      <c r="H1245" s="261" t="s">
        <v>20149</v>
      </c>
      <c r="I1245" s="261"/>
      <c r="J1245" s="261"/>
      <c r="K1245" s="262"/>
    </row>
    <row r="1246" spans="1:11" x14ac:dyDescent="0.2">
      <c r="A1246" s="306" t="s">
        <v>20021</v>
      </c>
      <c r="B1246" s="261" t="s">
        <v>20021</v>
      </c>
      <c r="C1246" s="261" t="s">
        <v>14181</v>
      </c>
      <c r="D1246" s="261" t="s">
        <v>18046</v>
      </c>
      <c r="E1246" s="261">
        <v>2</v>
      </c>
      <c r="F1246" s="261" t="s">
        <v>19688</v>
      </c>
      <c r="G1246" s="261" t="s">
        <v>14179</v>
      </c>
      <c r="H1246" s="261" t="s">
        <v>14180</v>
      </c>
      <c r="I1246" s="261"/>
      <c r="J1246" s="261"/>
      <c r="K1246" s="262"/>
    </row>
    <row r="1247" spans="1:11" x14ac:dyDescent="0.2">
      <c r="A1247" s="306" t="s">
        <v>20021</v>
      </c>
      <c r="B1247" s="261" t="s">
        <v>18466</v>
      </c>
      <c r="C1247" s="261" t="s">
        <v>14181</v>
      </c>
      <c r="D1247" s="261" t="s">
        <v>18046</v>
      </c>
      <c r="E1247" s="261">
        <v>3</v>
      </c>
      <c r="F1247" s="261" t="s">
        <v>21035</v>
      </c>
      <c r="G1247" s="261" t="s">
        <v>14519</v>
      </c>
      <c r="H1247" s="261" t="s">
        <v>14520</v>
      </c>
      <c r="I1247" s="261"/>
      <c r="J1247" s="261"/>
      <c r="K1247" s="262"/>
    </row>
    <row r="1248" spans="1:11" x14ac:dyDescent="0.2">
      <c r="A1248" s="306" t="s">
        <v>20021</v>
      </c>
      <c r="B1248" s="261" t="s">
        <v>18468</v>
      </c>
      <c r="C1248" s="261" t="s">
        <v>14181</v>
      </c>
      <c r="D1248" s="261" t="s">
        <v>18046</v>
      </c>
      <c r="E1248" s="261">
        <v>4</v>
      </c>
      <c r="F1248" s="261" t="s">
        <v>21036</v>
      </c>
      <c r="G1248" s="261" t="s">
        <v>14182</v>
      </c>
      <c r="H1248" s="261" t="s">
        <v>14183</v>
      </c>
      <c r="I1248" s="261"/>
      <c r="J1248" s="261"/>
      <c r="K1248" s="262"/>
    </row>
    <row r="1249" spans="1:11" x14ac:dyDescent="0.2">
      <c r="A1249" s="306" t="s">
        <v>20021</v>
      </c>
      <c r="B1249" s="261" t="s">
        <v>18469</v>
      </c>
      <c r="C1249" s="261" t="s">
        <v>14181</v>
      </c>
      <c r="D1249" s="261" t="s">
        <v>18046</v>
      </c>
      <c r="E1249" s="261">
        <v>5</v>
      </c>
      <c r="F1249" s="261" t="s">
        <v>21037</v>
      </c>
      <c r="G1249" s="261" t="s">
        <v>1767</v>
      </c>
      <c r="H1249" s="261" t="s">
        <v>1768</v>
      </c>
      <c r="I1249" s="261"/>
      <c r="J1249" s="261"/>
      <c r="K1249" s="262"/>
    </row>
    <row r="1250" spans="1:11" x14ac:dyDescent="0.2">
      <c r="A1250" s="306" t="s">
        <v>20021</v>
      </c>
      <c r="B1250" s="261" t="s">
        <v>18470</v>
      </c>
      <c r="C1250" s="261" t="s">
        <v>14181</v>
      </c>
      <c r="D1250" s="261" t="s">
        <v>18046</v>
      </c>
      <c r="E1250" s="261">
        <v>6</v>
      </c>
      <c r="F1250" s="261" t="s">
        <v>21038</v>
      </c>
      <c r="G1250" s="261" t="s">
        <v>1326</v>
      </c>
      <c r="H1250" s="261" t="s">
        <v>1327</v>
      </c>
      <c r="I1250" s="261"/>
      <c r="J1250" s="261"/>
      <c r="K1250" s="262"/>
    </row>
    <row r="1251" spans="1:11" x14ac:dyDescent="0.2">
      <c r="A1251" s="306" t="s">
        <v>20021</v>
      </c>
      <c r="B1251" s="261" t="s">
        <v>18472</v>
      </c>
      <c r="C1251" s="261" t="s">
        <v>14181</v>
      </c>
      <c r="D1251" s="261" t="s">
        <v>18046</v>
      </c>
      <c r="E1251" s="261">
        <v>7</v>
      </c>
      <c r="F1251" s="261" t="s">
        <v>21039</v>
      </c>
      <c r="G1251" s="261" t="s">
        <v>1237</v>
      </c>
      <c r="H1251" s="261" t="s">
        <v>1238</v>
      </c>
      <c r="I1251" s="261"/>
      <c r="J1251" s="261"/>
      <c r="K1251" s="262"/>
    </row>
    <row r="1252" spans="1:11" x14ac:dyDescent="0.2">
      <c r="A1252" s="306" t="s">
        <v>20021</v>
      </c>
      <c r="B1252" s="261" t="s">
        <v>20021</v>
      </c>
      <c r="C1252" s="261" t="s">
        <v>14181</v>
      </c>
      <c r="D1252" s="261" t="s">
        <v>18046</v>
      </c>
      <c r="E1252" s="261">
        <v>8</v>
      </c>
      <c r="F1252" s="261" t="s">
        <v>20882</v>
      </c>
      <c r="G1252" s="261"/>
      <c r="H1252" s="261"/>
      <c r="I1252" s="261"/>
      <c r="J1252" s="261" t="s">
        <v>1332</v>
      </c>
      <c r="K1252" s="262">
        <v>7</v>
      </c>
    </row>
    <row r="1253" spans="1:11" x14ac:dyDescent="0.2">
      <c r="A1253" s="306" t="s">
        <v>20021</v>
      </c>
      <c r="B1253" s="261" t="s">
        <v>20021</v>
      </c>
      <c r="C1253" s="261" t="s">
        <v>14181</v>
      </c>
      <c r="D1253" s="261" t="s">
        <v>18046</v>
      </c>
      <c r="E1253" s="261">
        <v>9</v>
      </c>
      <c r="F1253" s="261" t="s">
        <v>20884</v>
      </c>
      <c r="G1253" s="261"/>
      <c r="H1253" s="261"/>
      <c r="I1253" s="261"/>
      <c r="J1253" s="261" t="s">
        <v>1332</v>
      </c>
      <c r="K1253" s="262">
        <v>7</v>
      </c>
    </row>
    <row r="1254" spans="1:11" x14ac:dyDescent="0.2">
      <c r="A1254" s="306" t="s">
        <v>20021</v>
      </c>
      <c r="B1254" s="261" t="s">
        <v>20021</v>
      </c>
      <c r="C1254" s="261" t="s">
        <v>14181</v>
      </c>
      <c r="D1254" s="261" t="s">
        <v>18046</v>
      </c>
      <c r="E1254" s="261">
        <v>10</v>
      </c>
      <c r="F1254" s="261" t="s">
        <v>20868</v>
      </c>
      <c r="G1254" s="261"/>
      <c r="H1254" s="261"/>
      <c r="I1254" s="261"/>
      <c r="J1254" s="261" t="s">
        <v>1332</v>
      </c>
      <c r="K1254" s="262">
        <v>7</v>
      </c>
    </row>
    <row r="1255" spans="1:11" x14ac:dyDescent="0.2">
      <c r="A1255" s="306" t="s">
        <v>20021</v>
      </c>
      <c r="B1255" s="261" t="s">
        <v>20021</v>
      </c>
      <c r="C1255" s="261" t="s">
        <v>14181</v>
      </c>
      <c r="D1255" s="261" t="s">
        <v>18046</v>
      </c>
      <c r="E1255" s="261">
        <v>11</v>
      </c>
      <c r="F1255" s="261" t="s">
        <v>20885</v>
      </c>
      <c r="G1255" s="261"/>
      <c r="H1255" s="261"/>
      <c r="I1255" s="261"/>
      <c r="J1255" s="261" t="s">
        <v>1332</v>
      </c>
      <c r="K1255" s="262">
        <v>7</v>
      </c>
    </row>
    <row r="1256" spans="1:11" x14ac:dyDescent="0.2">
      <c r="A1256" s="306" t="s">
        <v>20021</v>
      </c>
      <c r="B1256" s="261" t="s">
        <v>20021</v>
      </c>
      <c r="C1256" s="261" t="s">
        <v>14181</v>
      </c>
      <c r="D1256" s="261" t="s">
        <v>18046</v>
      </c>
      <c r="E1256" s="261">
        <v>12</v>
      </c>
      <c r="F1256" s="261" t="s">
        <v>20886</v>
      </c>
      <c r="G1256" s="261"/>
      <c r="H1256" s="261"/>
      <c r="I1256" s="261"/>
      <c r="J1256" s="261" t="s">
        <v>1332</v>
      </c>
      <c r="K1256" s="262">
        <v>6</v>
      </c>
    </row>
    <row r="1257" spans="1:11" x14ac:dyDescent="0.2">
      <c r="A1257" s="306" t="s">
        <v>20021</v>
      </c>
      <c r="B1257" s="261" t="s">
        <v>20021</v>
      </c>
      <c r="C1257" s="261" t="s">
        <v>14181</v>
      </c>
      <c r="D1257" s="261" t="s">
        <v>18046</v>
      </c>
      <c r="E1257" s="261">
        <v>13</v>
      </c>
      <c r="F1257" s="261" t="s">
        <v>21040</v>
      </c>
      <c r="G1257" s="261" t="s">
        <v>8960</v>
      </c>
      <c r="H1257" s="261" t="s">
        <v>8961</v>
      </c>
      <c r="I1257" s="261"/>
      <c r="J1257" s="261"/>
      <c r="K1257" s="262"/>
    </row>
    <row r="1258" spans="1:11" x14ac:dyDescent="0.2">
      <c r="A1258" s="306" t="s">
        <v>20021</v>
      </c>
      <c r="B1258" s="261" t="s">
        <v>20021</v>
      </c>
      <c r="C1258" s="261" t="s">
        <v>14181</v>
      </c>
      <c r="D1258" s="261" t="s">
        <v>18046</v>
      </c>
      <c r="E1258" s="261">
        <v>14</v>
      </c>
      <c r="F1258" s="261" t="s">
        <v>20870</v>
      </c>
      <c r="G1258" s="261"/>
      <c r="H1258" s="261"/>
      <c r="I1258" s="261" t="s">
        <v>1103</v>
      </c>
      <c r="J1258" s="261" t="s">
        <v>19599</v>
      </c>
      <c r="K1258" s="262">
        <v>20</v>
      </c>
    </row>
    <row r="1259" spans="1:11" x14ac:dyDescent="0.2">
      <c r="A1259" s="306" t="s">
        <v>20021</v>
      </c>
      <c r="B1259" s="261" t="s">
        <v>20021</v>
      </c>
      <c r="C1259" s="261" t="s">
        <v>14181</v>
      </c>
      <c r="D1259" s="261" t="s">
        <v>18046</v>
      </c>
      <c r="E1259" s="261">
        <v>15</v>
      </c>
      <c r="F1259" s="261" t="s">
        <v>21041</v>
      </c>
      <c r="G1259" s="261"/>
      <c r="H1259" s="261"/>
      <c r="I1259" s="261" t="s">
        <v>1103</v>
      </c>
      <c r="J1259" s="261" t="s">
        <v>19600</v>
      </c>
      <c r="K1259" s="262">
        <v>20</v>
      </c>
    </row>
    <row r="1260" spans="1:11" x14ac:dyDescent="0.2">
      <c r="A1260" s="306" t="s">
        <v>20021</v>
      </c>
      <c r="B1260" s="261" t="s">
        <v>20021</v>
      </c>
      <c r="C1260" s="261" t="s">
        <v>14181</v>
      </c>
      <c r="D1260" s="261" t="s">
        <v>18046</v>
      </c>
      <c r="E1260" s="261">
        <v>16</v>
      </c>
      <c r="F1260" s="261" t="s">
        <v>20888</v>
      </c>
      <c r="G1260" s="261"/>
      <c r="H1260" s="261"/>
      <c r="I1260" s="261" t="s">
        <v>1103</v>
      </c>
      <c r="J1260" s="261" t="s">
        <v>19603</v>
      </c>
      <c r="K1260" s="262">
        <v>20</v>
      </c>
    </row>
    <row r="1261" spans="1:11" x14ac:dyDescent="0.2">
      <c r="A1261" s="306" t="s">
        <v>20021</v>
      </c>
      <c r="B1261" s="261" t="s">
        <v>20021</v>
      </c>
      <c r="C1261" s="261" t="s">
        <v>14181</v>
      </c>
      <c r="D1261" s="261" t="s">
        <v>18046</v>
      </c>
      <c r="E1261" s="261">
        <v>17</v>
      </c>
      <c r="F1261" s="261" t="s">
        <v>20872</v>
      </c>
      <c r="G1261" s="261"/>
      <c r="H1261" s="261"/>
      <c r="I1261" s="261" t="s">
        <v>1103</v>
      </c>
      <c r="J1261" s="261" t="s">
        <v>19601</v>
      </c>
      <c r="K1261" s="262">
        <v>20</v>
      </c>
    </row>
    <row r="1262" spans="1:11" x14ac:dyDescent="0.2">
      <c r="A1262" s="306" t="s">
        <v>20021</v>
      </c>
      <c r="B1262" s="261" t="s">
        <v>20021</v>
      </c>
      <c r="C1262" s="261" t="s">
        <v>14181</v>
      </c>
      <c r="D1262" s="261" t="s">
        <v>18046</v>
      </c>
      <c r="E1262" s="261">
        <v>18</v>
      </c>
      <c r="F1262" s="261" t="s">
        <v>20889</v>
      </c>
      <c r="G1262" s="261"/>
      <c r="H1262" s="261"/>
      <c r="I1262" s="261" t="s">
        <v>1103</v>
      </c>
      <c r="J1262" s="261" t="s">
        <v>19604</v>
      </c>
      <c r="K1262" s="262">
        <v>20</v>
      </c>
    </row>
    <row r="1263" spans="1:11" x14ac:dyDescent="0.2">
      <c r="A1263" s="306" t="s">
        <v>20021</v>
      </c>
      <c r="B1263" s="261" t="s">
        <v>20021</v>
      </c>
      <c r="C1263" s="261" t="s">
        <v>14181</v>
      </c>
      <c r="D1263" s="261" t="s">
        <v>18046</v>
      </c>
      <c r="E1263" s="261">
        <v>19</v>
      </c>
      <c r="F1263" s="261" t="s">
        <v>20890</v>
      </c>
      <c r="G1263" s="261"/>
      <c r="H1263" s="261"/>
      <c r="I1263" s="261" t="s">
        <v>1103</v>
      </c>
      <c r="J1263" s="261" t="s">
        <v>19602</v>
      </c>
      <c r="K1263" s="262">
        <v>20</v>
      </c>
    </row>
    <row r="1264" spans="1:11" x14ac:dyDescent="0.2">
      <c r="A1264" s="306" t="s">
        <v>20021</v>
      </c>
      <c r="B1264" s="261" t="s">
        <v>20021</v>
      </c>
      <c r="C1264" s="261" t="s">
        <v>14181</v>
      </c>
      <c r="D1264" s="261" t="s">
        <v>18046</v>
      </c>
      <c r="E1264" s="261">
        <v>20</v>
      </c>
      <c r="F1264" s="261" t="s">
        <v>20891</v>
      </c>
      <c r="G1264" s="261"/>
      <c r="H1264" s="261"/>
      <c r="I1264" s="261" t="s">
        <v>1103</v>
      </c>
      <c r="J1264" s="261" t="s">
        <v>19618</v>
      </c>
      <c r="K1264" s="262">
        <v>100</v>
      </c>
    </row>
    <row r="1265" spans="1:11" x14ac:dyDescent="0.2">
      <c r="A1265" s="306" t="s">
        <v>20479</v>
      </c>
      <c r="B1265" s="261" t="s">
        <v>20479</v>
      </c>
      <c r="C1265" s="261" t="s">
        <v>14201</v>
      </c>
      <c r="D1265" s="261" t="s">
        <v>18017</v>
      </c>
      <c r="E1265" s="261">
        <v>1</v>
      </c>
      <c r="F1265" s="261" t="s">
        <v>19688</v>
      </c>
      <c r="G1265" s="261" t="s">
        <v>14525</v>
      </c>
      <c r="H1265" s="261" t="s">
        <v>14526</v>
      </c>
      <c r="I1265" s="261"/>
      <c r="J1265" s="261"/>
      <c r="K1265" s="262"/>
    </row>
    <row r="1266" spans="1:11" x14ac:dyDescent="0.2">
      <c r="A1266" s="306" t="s">
        <v>20479</v>
      </c>
      <c r="B1266" s="261" t="s">
        <v>18475</v>
      </c>
      <c r="C1266" s="261" t="s">
        <v>14201</v>
      </c>
      <c r="D1266" s="261" t="s">
        <v>18017</v>
      </c>
      <c r="E1266" s="261">
        <v>2</v>
      </c>
      <c r="F1266" s="261" t="s">
        <v>21042</v>
      </c>
      <c r="G1266" s="261" t="s">
        <v>3933</v>
      </c>
      <c r="H1266" s="261" t="s">
        <v>3934</v>
      </c>
      <c r="I1266" s="261"/>
      <c r="J1266" s="261"/>
      <c r="K1266" s="262"/>
    </row>
    <row r="1267" spans="1:11" x14ac:dyDescent="0.2">
      <c r="A1267" s="306" t="s">
        <v>20479</v>
      </c>
      <c r="B1267" s="261" t="s">
        <v>18477</v>
      </c>
      <c r="C1267" s="261" t="s">
        <v>14201</v>
      </c>
      <c r="D1267" s="261" t="s">
        <v>18017</v>
      </c>
      <c r="E1267" s="261">
        <v>3</v>
      </c>
      <c r="F1267" s="261" t="s">
        <v>21043</v>
      </c>
      <c r="G1267" s="261" t="s">
        <v>14523</v>
      </c>
      <c r="H1267" s="261" t="s">
        <v>14524</v>
      </c>
      <c r="I1267" s="261"/>
      <c r="J1267" s="261"/>
      <c r="K1267" s="262"/>
    </row>
    <row r="1268" spans="1:11" x14ac:dyDescent="0.2">
      <c r="A1268" s="306" t="s">
        <v>20479</v>
      </c>
      <c r="B1268" s="261" t="s">
        <v>18479</v>
      </c>
      <c r="C1268" s="261" t="s">
        <v>14201</v>
      </c>
      <c r="D1268" s="261" t="s">
        <v>18017</v>
      </c>
      <c r="E1268" s="261">
        <v>4</v>
      </c>
      <c r="F1268" s="261" t="s">
        <v>21044</v>
      </c>
      <c r="G1268" s="261" t="s">
        <v>71</v>
      </c>
      <c r="H1268" s="261" t="s">
        <v>4455</v>
      </c>
      <c r="I1268" s="261"/>
      <c r="J1268" s="261"/>
      <c r="K1268" s="262"/>
    </row>
    <row r="1269" spans="1:11" x14ac:dyDescent="0.2">
      <c r="A1269" s="306" t="s">
        <v>20479</v>
      </c>
      <c r="B1269" s="261" t="s">
        <v>18482</v>
      </c>
      <c r="C1269" s="261" t="s">
        <v>14201</v>
      </c>
      <c r="D1269" s="261" t="s">
        <v>18017</v>
      </c>
      <c r="E1269" s="261">
        <v>5</v>
      </c>
      <c r="F1269" s="261" t="s">
        <v>21045</v>
      </c>
      <c r="G1269" s="261" t="s">
        <v>9536</v>
      </c>
      <c r="H1269" s="261" t="s">
        <v>9537</v>
      </c>
      <c r="I1269" s="261"/>
      <c r="J1269" s="261"/>
      <c r="K1269" s="262"/>
    </row>
    <row r="1270" spans="1:11" x14ac:dyDescent="0.2">
      <c r="A1270" s="306" t="s">
        <v>20479</v>
      </c>
      <c r="B1270" s="261" t="s">
        <v>18483</v>
      </c>
      <c r="C1270" s="261" t="s">
        <v>14201</v>
      </c>
      <c r="D1270" s="261" t="s">
        <v>18017</v>
      </c>
      <c r="E1270" s="261">
        <v>6</v>
      </c>
      <c r="F1270" s="261" t="s">
        <v>21046</v>
      </c>
      <c r="G1270" s="261" t="s">
        <v>14198</v>
      </c>
      <c r="H1270" s="261" t="s">
        <v>14199</v>
      </c>
      <c r="I1270" s="261"/>
      <c r="J1270" s="261"/>
      <c r="K1270" s="262"/>
    </row>
    <row r="1271" spans="1:11" x14ac:dyDescent="0.2">
      <c r="A1271" s="306" t="s">
        <v>20479</v>
      </c>
      <c r="B1271" s="261" t="s">
        <v>18484</v>
      </c>
      <c r="C1271" s="261" t="s">
        <v>14201</v>
      </c>
      <c r="D1271" s="261" t="s">
        <v>18017</v>
      </c>
      <c r="E1271" s="261">
        <v>7</v>
      </c>
      <c r="F1271" s="261" t="s">
        <v>21047</v>
      </c>
      <c r="G1271" s="261" t="s">
        <v>4020</v>
      </c>
      <c r="H1271" s="261" t="s">
        <v>4021</v>
      </c>
      <c r="I1271" s="261"/>
      <c r="J1271" s="261"/>
      <c r="K1271" s="262"/>
    </row>
    <row r="1272" spans="1:11" x14ac:dyDescent="0.2">
      <c r="A1272" s="306" t="s">
        <v>20479</v>
      </c>
      <c r="B1272" s="261" t="s">
        <v>18485</v>
      </c>
      <c r="C1272" s="261" t="s">
        <v>14201</v>
      </c>
      <c r="D1272" s="261" t="s">
        <v>18017</v>
      </c>
      <c r="E1272" s="261">
        <v>8</v>
      </c>
      <c r="F1272" s="261" t="s">
        <v>21048</v>
      </c>
      <c r="G1272" s="261" t="s">
        <v>9818</v>
      </c>
      <c r="H1272" s="261" t="s">
        <v>9819</v>
      </c>
      <c r="I1272" s="261"/>
      <c r="J1272" s="261"/>
      <c r="K1272" s="262"/>
    </row>
    <row r="1273" spans="1:11" x14ac:dyDescent="0.2">
      <c r="A1273" s="306" t="s">
        <v>20479</v>
      </c>
      <c r="B1273" s="261" t="s">
        <v>20479</v>
      </c>
      <c r="C1273" s="261" t="s">
        <v>14201</v>
      </c>
      <c r="D1273" s="261" t="s">
        <v>18017</v>
      </c>
      <c r="E1273" s="261">
        <v>9</v>
      </c>
      <c r="F1273" s="261" t="s">
        <v>20868</v>
      </c>
      <c r="G1273" s="261"/>
      <c r="H1273" s="261"/>
      <c r="I1273" s="261" t="s">
        <v>3779</v>
      </c>
      <c r="J1273" s="261" t="s">
        <v>19599</v>
      </c>
      <c r="K1273" s="262">
        <v>20</v>
      </c>
    </row>
    <row r="1274" spans="1:11" x14ac:dyDescent="0.2">
      <c r="A1274" s="306" t="s">
        <v>20479</v>
      </c>
      <c r="B1274" s="261" t="s">
        <v>20479</v>
      </c>
      <c r="C1274" s="261" t="s">
        <v>14201</v>
      </c>
      <c r="D1274" s="261" t="s">
        <v>18017</v>
      </c>
      <c r="E1274" s="261">
        <v>10</v>
      </c>
      <c r="F1274" s="261" t="s">
        <v>20869</v>
      </c>
      <c r="G1274" s="261"/>
      <c r="H1274" s="261"/>
      <c r="I1274" s="261" t="s">
        <v>3779</v>
      </c>
      <c r="J1274" s="261" t="s">
        <v>19600</v>
      </c>
      <c r="K1274" s="262">
        <v>20</v>
      </c>
    </row>
    <row r="1275" spans="1:11" x14ac:dyDescent="0.2">
      <c r="A1275" s="306" t="s">
        <v>20479</v>
      </c>
      <c r="B1275" s="261" t="s">
        <v>20479</v>
      </c>
      <c r="C1275" s="261" t="s">
        <v>14201</v>
      </c>
      <c r="D1275" s="261" t="s">
        <v>18017</v>
      </c>
      <c r="E1275" s="261">
        <v>11</v>
      </c>
      <c r="F1275" s="261" t="s">
        <v>20870</v>
      </c>
      <c r="G1275" s="261"/>
      <c r="H1275" s="261"/>
      <c r="I1275" s="261" t="s">
        <v>3779</v>
      </c>
      <c r="J1275" s="261" t="s">
        <v>19603</v>
      </c>
      <c r="K1275" s="262">
        <v>20</v>
      </c>
    </row>
    <row r="1276" spans="1:11" x14ac:dyDescent="0.2">
      <c r="A1276" s="306" t="s">
        <v>20479</v>
      </c>
      <c r="B1276" s="261" t="s">
        <v>20479</v>
      </c>
      <c r="C1276" s="261" t="s">
        <v>14201</v>
      </c>
      <c r="D1276" s="261" t="s">
        <v>18017</v>
      </c>
      <c r="E1276" s="261">
        <v>12</v>
      </c>
      <c r="F1276" s="261" t="s">
        <v>20871</v>
      </c>
      <c r="G1276" s="261"/>
      <c r="H1276" s="261"/>
      <c r="I1276" s="261" t="s">
        <v>3779</v>
      </c>
      <c r="J1276" s="261" t="s">
        <v>19601</v>
      </c>
      <c r="K1276" s="262">
        <v>20</v>
      </c>
    </row>
    <row r="1277" spans="1:11" x14ac:dyDescent="0.2">
      <c r="A1277" s="306" t="s">
        <v>20479</v>
      </c>
      <c r="B1277" s="261" t="s">
        <v>20479</v>
      </c>
      <c r="C1277" s="261" t="s">
        <v>14201</v>
      </c>
      <c r="D1277" s="261" t="s">
        <v>18017</v>
      </c>
      <c r="E1277" s="261">
        <v>13</v>
      </c>
      <c r="F1277" s="261" t="s">
        <v>20872</v>
      </c>
      <c r="G1277" s="261"/>
      <c r="H1277" s="261"/>
      <c r="I1277" s="261" t="s">
        <v>3779</v>
      </c>
      <c r="J1277" s="261" t="s">
        <v>19604</v>
      </c>
      <c r="K1277" s="262">
        <v>20</v>
      </c>
    </row>
    <row r="1278" spans="1:11" x14ac:dyDescent="0.2">
      <c r="A1278" s="306" t="s">
        <v>20479</v>
      </c>
      <c r="B1278" s="261" t="s">
        <v>20479</v>
      </c>
      <c r="C1278" s="261" t="s">
        <v>14201</v>
      </c>
      <c r="D1278" s="261" t="s">
        <v>18017</v>
      </c>
      <c r="E1278" s="261">
        <v>14</v>
      </c>
      <c r="F1278" s="261" t="s">
        <v>20873</v>
      </c>
      <c r="G1278" s="261"/>
      <c r="H1278" s="261"/>
      <c r="I1278" s="261" t="s">
        <v>3779</v>
      </c>
      <c r="J1278" s="261" t="s">
        <v>19602</v>
      </c>
      <c r="K1278" s="262">
        <v>20</v>
      </c>
    </row>
    <row r="1279" spans="1:11" x14ac:dyDescent="0.2">
      <c r="A1279" s="306" t="s">
        <v>20479</v>
      </c>
      <c r="B1279" s="261" t="s">
        <v>20479</v>
      </c>
      <c r="C1279" s="261" t="s">
        <v>14201</v>
      </c>
      <c r="D1279" s="261" t="s">
        <v>18017</v>
      </c>
      <c r="E1279" s="261">
        <v>15</v>
      </c>
      <c r="F1279" s="261" t="s">
        <v>20874</v>
      </c>
      <c r="G1279" s="261"/>
      <c r="H1279" s="261"/>
      <c r="I1279" s="261" t="s">
        <v>10772</v>
      </c>
      <c r="J1279" s="261" t="s">
        <v>19618</v>
      </c>
      <c r="K1279" s="262">
        <v>100</v>
      </c>
    </row>
    <row r="1280" spans="1:11" x14ac:dyDescent="0.2">
      <c r="A1280" s="306" t="s">
        <v>20316</v>
      </c>
      <c r="B1280" s="261" t="s">
        <v>20316</v>
      </c>
      <c r="C1280" s="261" t="s">
        <v>14206</v>
      </c>
      <c r="D1280" s="261" t="s">
        <v>18241</v>
      </c>
      <c r="E1280" s="261">
        <v>1</v>
      </c>
      <c r="F1280" s="261" t="s">
        <v>19688</v>
      </c>
      <c r="G1280" s="261" t="s">
        <v>14204</v>
      </c>
      <c r="H1280" s="261" t="s">
        <v>14205</v>
      </c>
      <c r="I1280" s="261"/>
      <c r="J1280" s="261"/>
      <c r="K1280" s="262"/>
    </row>
    <row r="1281" spans="1:11" x14ac:dyDescent="0.2">
      <c r="A1281" s="306" t="s">
        <v>20316</v>
      </c>
      <c r="B1281" s="261" t="s">
        <v>18496</v>
      </c>
      <c r="C1281" s="261" t="s">
        <v>14206</v>
      </c>
      <c r="D1281" s="261" t="s">
        <v>18241</v>
      </c>
      <c r="E1281" s="261">
        <v>2</v>
      </c>
      <c r="F1281" s="261" t="s">
        <v>21049</v>
      </c>
      <c r="G1281" s="261" t="s">
        <v>3294</v>
      </c>
      <c r="H1281" s="261" t="s">
        <v>3295</v>
      </c>
      <c r="I1281" s="261"/>
      <c r="J1281" s="261"/>
      <c r="K1281" s="262"/>
    </row>
    <row r="1282" spans="1:11" x14ac:dyDescent="0.2">
      <c r="A1282" s="306" t="s">
        <v>20316</v>
      </c>
      <c r="B1282" s="261" t="s">
        <v>18500</v>
      </c>
      <c r="C1282" s="261" t="s">
        <v>14206</v>
      </c>
      <c r="D1282" s="261" t="s">
        <v>18241</v>
      </c>
      <c r="E1282" s="261">
        <v>3</v>
      </c>
      <c r="F1282" s="261" t="s">
        <v>21050</v>
      </c>
      <c r="G1282" s="261" t="s">
        <v>3542</v>
      </c>
      <c r="H1282" s="261" t="s">
        <v>3543</v>
      </c>
      <c r="I1282" s="261"/>
      <c r="J1282" s="261"/>
      <c r="K1282" s="262"/>
    </row>
    <row r="1283" spans="1:11" x14ac:dyDescent="0.2">
      <c r="A1283" s="306" t="s">
        <v>20316</v>
      </c>
      <c r="B1283" s="261" t="s">
        <v>18504</v>
      </c>
      <c r="C1283" s="261" t="s">
        <v>14206</v>
      </c>
      <c r="D1283" s="261" t="s">
        <v>18241</v>
      </c>
      <c r="E1283" s="261">
        <v>4</v>
      </c>
      <c r="F1283" s="261" t="s">
        <v>21051</v>
      </c>
      <c r="G1283" s="261" t="s">
        <v>1310</v>
      </c>
      <c r="H1283" s="261" t="s">
        <v>1311</v>
      </c>
      <c r="I1283" s="261"/>
      <c r="J1283" s="261"/>
      <c r="K1283" s="262"/>
    </row>
    <row r="1284" spans="1:11" x14ac:dyDescent="0.2">
      <c r="A1284" s="306" t="s">
        <v>20316</v>
      </c>
      <c r="B1284" s="261" t="s">
        <v>18508</v>
      </c>
      <c r="C1284" s="261" t="s">
        <v>14206</v>
      </c>
      <c r="D1284" s="261" t="s">
        <v>18241</v>
      </c>
      <c r="E1284" s="261">
        <v>5</v>
      </c>
      <c r="F1284" s="261" t="s">
        <v>21052</v>
      </c>
      <c r="G1284" s="261" t="s">
        <v>140</v>
      </c>
      <c r="H1284" s="261" t="s">
        <v>141</v>
      </c>
      <c r="I1284" s="261"/>
      <c r="J1284" s="261"/>
      <c r="K1284" s="262"/>
    </row>
    <row r="1285" spans="1:11" x14ac:dyDescent="0.2">
      <c r="A1285" s="306" t="s">
        <v>20316</v>
      </c>
      <c r="B1285" s="261" t="s">
        <v>18510</v>
      </c>
      <c r="C1285" s="261" t="s">
        <v>14206</v>
      </c>
      <c r="D1285" s="261" t="s">
        <v>18241</v>
      </c>
      <c r="E1285" s="261">
        <v>6</v>
      </c>
      <c r="F1285" s="261" t="s">
        <v>21053</v>
      </c>
      <c r="G1285" s="261" t="s">
        <v>14207</v>
      </c>
      <c r="H1285" s="261" t="s">
        <v>14208</v>
      </c>
      <c r="I1285" s="261"/>
      <c r="J1285" s="261"/>
      <c r="K1285" s="262"/>
    </row>
    <row r="1286" spans="1:11" x14ac:dyDescent="0.2">
      <c r="A1286" s="306" t="s">
        <v>20483</v>
      </c>
      <c r="B1286" s="261" t="s">
        <v>20483</v>
      </c>
      <c r="C1286" s="261" t="s">
        <v>14214</v>
      </c>
      <c r="D1286" s="261" t="s">
        <v>18017</v>
      </c>
      <c r="E1286" s="261">
        <v>1</v>
      </c>
      <c r="F1286" s="261" t="s">
        <v>19688</v>
      </c>
      <c r="G1286" s="261" t="s">
        <v>14531</v>
      </c>
      <c r="H1286" s="261" t="s">
        <v>14532</v>
      </c>
      <c r="I1286" s="261"/>
      <c r="J1286" s="261"/>
      <c r="K1286" s="262"/>
    </row>
    <row r="1287" spans="1:11" x14ac:dyDescent="0.2">
      <c r="A1287" s="306" t="s">
        <v>20483</v>
      </c>
      <c r="B1287" s="261" t="s">
        <v>18544</v>
      </c>
      <c r="C1287" s="261" t="s">
        <v>14214</v>
      </c>
      <c r="D1287" s="261" t="s">
        <v>18017</v>
      </c>
      <c r="E1287" s="261">
        <v>2</v>
      </c>
      <c r="F1287" s="261" t="s">
        <v>21054</v>
      </c>
      <c r="G1287" s="261" t="s">
        <v>14533</v>
      </c>
      <c r="H1287" s="261" t="s">
        <v>14534</v>
      </c>
      <c r="I1287" s="261"/>
      <c r="J1287" s="261"/>
      <c r="K1287" s="262"/>
    </row>
    <row r="1288" spans="1:11" x14ac:dyDescent="0.2">
      <c r="A1288" s="306" t="s">
        <v>20483</v>
      </c>
      <c r="B1288" s="261" t="s">
        <v>18546</v>
      </c>
      <c r="C1288" s="261" t="s">
        <v>14214</v>
      </c>
      <c r="D1288" s="261" t="s">
        <v>18017</v>
      </c>
      <c r="E1288" s="261">
        <v>3</v>
      </c>
      <c r="F1288" s="261" t="s">
        <v>21055</v>
      </c>
      <c r="G1288" s="261" t="s">
        <v>3090</v>
      </c>
      <c r="H1288" s="261" t="s">
        <v>3091</v>
      </c>
      <c r="I1288" s="261"/>
      <c r="J1288" s="261"/>
      <c r="K1288" s="262"/>
    </row>
    <row r="1289" spans="1:11" x14ac:dyDescent="0.2">
      <c r="A1289" s="306" t="s">
        <v>20483</v>
      </c>
      <c r="B1289" s="261" t="s">
        <v>18550</v>
      </c>
      <c r="C1289" s="261" t="s">
        <v>14214</v>
      </c>
      <c r="D1289" s="261" t="s">
        <v>18017</v>
      </c>
      <c r="E1289" s="261">
        <v>4</v>
      </c>
      <c r="F1289" s="261" t="s">
        <v>21056</v>
      </c>
      <c r="G1289" s="261" t="s">
        <v>3528</v>
      </c>
      <c r="H1289" s="261" t="s">
        <v>3529</v>
      </c>
      <c r="I1289" s="261"/>
      <c r="J1289" s="261"/>
      <c r="K1289" s="262"/>
    </row>
    <row r="1290" spans="1:11" x14ac:dyDescent="0.2">
      <c r="A1290" s="306" t="s">
        <v>20483</v>
      </c>
      <c r="B1290" s="261" t="s">
        <v>18553</v>
      </c>
      <c r="C1290" s="261" t="s">
        <v>14214</v>
      </c>
      <c r="D1290" s="261" t="s">
        <v>18017</v>
      </c>
      <c r="E1290" s="261">
        <v>5</v>
      </c>
      <c r="F1290" s="261" t="s">
        <v>21057</v>
      </c>
      <c r="G1290" s="261" t="s">
        <v>3209</v>
      </c>
      <c r="H1290" s="261" t="s">
        <v>3210</v>
      </c>
      <c r="I1290" s="261"/>
      <c r="J1290" s="261"/>
      <c r="K1290" s="262"/>
    </row>
    <row r="1291" spans="1:11" x14ac:dyDescent="0.2">
      <c r="A1291" s="306" t="s">
        <v>20483</v>
      </c>
      <c r="B1291" s="261" t="s">
        <v>18554</v>
      </c>
      <c r="C1291" s="261" t="s">
        <v>14214</v>
      </c>
      <c r="D1291" s="261" t="s">
        <v>18017</v>
      </c>
      <c r="E1291" s="261">
        <v>6</v>
      </c>
      <c r="F1291" s="261" t="s">
        <v>21058</v>
      </c>
      <c r="G1291" s="261" t="s">
        <v>14212</v>
      </c>
      <c r="H1291" s="261" t="s">
        <v>14213</v>
      </c>
      <c r="I1291" s="261"/>
      <c r="J1291" s="261"/>
      <c r="K1291" s="262"/>
    </row>
    <row r="1292" spans="1:11" x14ac:dyDescent="0.2">
      <c r="A1292" s="306" t="s">
        <v>20483</v>
      </c>
      <c r="B1292" s="261" t="s">
        <v>18555</v>
      </c>
      <c r="C1292" s="261" t="s">
        <v>14214</v>
      </c>
      <c r="D1292" s="261" t="s">
        <v>18017</v>
      </c>
      <c r="E1292" s="261">
        <v>7</v>
      </c>
      <c r="F1292" s="261" t="s">
        <v>21059</v>
      </c>
      <c r="G1292" s="261" t="s">
        <v>3349</v>
      </c>
      <c r="H1292" s="261" t="s">
        <v>3350</v>
      </c>
      <c r="I1292" s="261"/>
      <c r="J1292" s="261"/>
      <c r="K1292" s="262"/>
    </row>
    <row r="1293" spans="1:11" x14ac:dyDescent="0.2">
      <c r="A1293" s="306" t="s">
        <v>20483</v>
      </c>
      <c r="B1293" s="261" t="s">
        <v>18556</v>
      </c>
      <c r="C1293" s="261" t="s">
        <v>14214</v>
      </c>
      <c r="D1293" s="261" t="s">
        <v>18017</v>
      </c>
      <c r="E1293" s="261">
        <v>8</v>
      </c>
      <c r="F1293" s="261" t="s">
        <v>21060</v>
      </c>
      <c r="G1293" s="261" t="s">
        <v>9694</v>
      </c>
      <c r="H1293" s="261" t="s">
        <v>9695</v>
      </c>
      <c r="I1293" s="261"/>
      <c r="J1293" s="261"/>
      <c r="K1293" s="262"/>
    </row>
    <row r="1294" spans="1:11" x14ac:dyDescent="0.2">
      <c r="A1294" s="306" t="s">
        <v>20483</v>
      </c>
      <c r="B1294" s="261" t="s">
        <v>20483</v>
      </c>
      <c r="C1294" s="261" t="s">
        <v>14214</v>
      </c>
      <c r="D1294" s="261" t="s">
        <v>18017</v>
      </c>
      <c r="E1294" s="261">
        <v>9</v>
      </c>
      <c r="F1294" s="261" t="s">
        <v>20868</v>
      </c>
      <c r="G1294" s="261"/>
      <c r="H1294" s="261"/>
      <c r="I1294" s="261" t="s">
        <v>2837</v>
      </c>
      <c r="J1294" s="261" t="s">
        <v>19599</v>
      </c>
      <c r="K1294" s="262">
        <v>20</v>
      </c>
    </row>
    <row r="1295" spans="1:11" x14ac:dyDescent="0.2">
      <c r="A1295" s="306" t="s">
        <v>20483</v>
      </c>
      <c r="B1295" s="261" t="s">
        <v>20483</v>
      </c>
      <c r="C1295" s="261" t="s">
        <v>14214</v>
      </c>
      <c r="D1295" s="261" t="s">
        <v>18017</v>
      </c>
      <c r="E1295" s="261">
        <v>10</v>
      </c>
      <c r="F1295" s="261" t="s">
        <v>20869</v>
      </c>
      <c r="G1295" s="261"/>
      <c r="H1295" s="261"/>
      <c r="I1295" s="261" t="s">
        <v>2837</v>
      </c>
      <c r="J1295" s="261" t="s">
        <v>19600</v>
      </c>
      <c r="K1295" s="262">
        <v>20</v>
      </c>
    </row>
    <row r="1296" spans="1:11" x14ac:dyDescent="0.2">
      <c r="A1296" s="306" t="s">
        <v>20483</v>
      </c>
      <c r="B1296" s="261" t="s">
        <v>20483</v>
      </c>
      <c r="C1296" s="261" t="s">
        <v>14214</v>
      </c>
      <c r="D1296" s="261" t="s">
        <v>18017</v>
      </c>
      <c r="E1296" s="261">
        <v>11</v>
      </c>
      <c r="F1296" s="261" t="s">
        <v>20870</v>
      </c>
      <c r="G1296" s="261"/>
      <c r="H1296" s="261"/>
      <c r="I1296" s="261" t="s">
        <v>2837</v>
      </c>
      <c r="J1296" s="261" t="s">
        <v>19603</v>
      </c>
      <c r="K1296" s="262">
        <v>20</v>
      </c>
    </row>
    <row r="1297" spans="1:11" x14ac:dyDescent="0.2">
      <c r="A1297" s="306" t="s">
        <v>20483</v>
      </c>
      <c r="B1297" s="261" t="s">
        <v>20483</v>
      </c>
      <c r="C1297" s="261" t="s">
        <v>14214</v>
      </c>
      <c r="D1297" s="261" t="s">
        <v>18017</v>
      </c>
      <c r="E1297" s="261">
        <v>12</v>
      </c>
      <c r="F1297" s="261" t="s">
        <v>20871</v>
      </c>
      <c r="G1297" s="261"/>
      <c r="H1297" s="261"/>
      <c r="I1297" s="261" t="s">
        <v>2837</v>
      </c>
      <c r="J1297" s="261" t="s">
        <v>19601</v>
      </c>
      <c r="K1297" s="262">
        <v>20</v>
      </c>
    </row>
    <row r="1298" spans="1:11" x14ac:dyDescent="0.2">
      <c r="A1298" s="306" t="s">
        <v>20483</v>
      </c>
      <c r="B1298" s="261" t="s">
        <v>20483</v>
      </c>
      <c r="C1298" s="261" t="s">
        <v>14214</v>
      </c>
      <c r="D1298" s="261" t="s">
        <v>18017</v>
      </c>
      <c r="E1298" s="261">
        <v>13</v>
      </c>
      <c r="F1298" s="261" t="s">
        <v>20872</v>
      </c>
      <c r="G1298" s="261"/>
      <c r="H1298" s="261"/>
      <c r="I1298" s="261" t="s">
        <v>2837</v>
      </c>
      <c r="J1298" s="261" t="s">
        <v>19604</v>
      </c>
      <c r="K1298" s="262">
        <v>20</v>
      </c>
    </row>
    <row r="1299" spans="1:11" x14ac:dyDescent="0.2">
      <c r="A1299" s="306" t="s">
        <v>20483</v>
      </c>
      <c r="B1299" s="261" t="s">
        <v>20483</v>
      </c>
      <c r="C1299" s="261" t="s">
        <v>14214</v>
      </c>
      <c r="D1299" s="261" t="s">
        <v>18017</v>
      </c>
      <c r="E1299" s="261">
        <v>14</v>
      </c>
      <c r="F1299" s="261" t="s">
        <v>20873</v>
      </c>
      <c r="G1299" s="261"/>
      <c r="H1299" s="261"/>
      <c r="I1299" s="261" t="s">
        <v>2837</v>
      </c>
      <c r="J1299" s="261" t="s">
        <v>19602</v>
      </c>
      <c r="K1299" s="262">
        <v>20</v>
      </c>
    </row>
    <row r="1300" spans="1:11" x14ac:dyDescent="0.2">
      <c r="A1300" s="306" t="s">
        <v>20483</v>
      </c>
      <c r="B1300" s="261" t="s">
        <v>20483</v>
      </c>
      <c r="C1300" s="261" t="s">
        <v>14214</v>
      </c>
      <c r="D1300" s="261" t="s">
        <v>18017</v>
      </c>
      <c r="E1300" s="261">
        <v>15</v>
      </c>
      <c r="F1300" s="261" t="s">
        <v>20874</v>
      </c>
      <c r="G1300" s="261"/>
      <c r="H1300" s="261"/>
      <c r="I1300" s="261" t="s">
        <v>10772</v>
      </c>
      <c r="J1300" s="261" t="s">
        <v>19618</v>
      </c>
      <c r="K1300" s="262">
        <v>100</v>
      </c>
    </row>
    <row r="1301" spans="1:11" x14ac:dyDescent="0.2">
      <c r="A1301" s="306" t="s">
        <v>20321</v>
      </c>
      <c r="B1301" s="261" t="s">
        <v>20321</v>
      </c>
      <c r="C1301" s="261" t="s">
        <v>14217</v>
      </c>
      <c r="D1301" s="261" t="s">
        <v>18560</v>
      </c>
      <c r="E1301" s="261">
        <v>1</v>
      </c>
      <c r="F1301" s="261" t="s">
        <v>19688</v>
      </c>
      <c r="G1301" s="261" t="s">
        <v>14215</v>
      </c>
      <c r="H1301" s="261" t="s">
        <v>14216</v>
      </c>
      <c r="I1301" s="261"/>
      <c r="J1301" s="261"/>
      <c r="K1301" s="262"/>
    </row>
    <row r="1302" spans="1:11" x14ac:dyDescent="0.2">
      <c r="A1302" s="306" t="s">
        <v>20321</v>
      </c>
      <c r="B1302" s="261" t="s">
        <v>18574</v>
      </c>
      <c r="C1302" s="261" t="s">
        <v>14217</v>
      </c>
      <c r="D1302" s="261" t="s">
        <v>18560</v>
      </c>
      <c r="E1302" s="261">
        <v>2</v>
      </c>
      <c r="F1302" s="261" t="s">
        <v>20946</v>
      </c>
      <c r="G1302" s="261" t="s">
        <v>674</v>
      </c>
      <c r="H1302" s="261" t="s">
        <v>675</v>
      </c>
      <c r="I1302" s="261"/>
      <c r="J1302" s="261"/>
      <c r="K1302" s="262"/>
    </row>
    <row r="1303" spans="1:11" x14ac:dyDescent="0.2">
      <c r="A1303" s="306" t="s">
        <v>20321</v>
      </c>
      <c r="B1303" s="261" t="s">
        <v>18575</v>
      </c>
      <c r="C1303" s="261" t="s">
        <v>14217</v>
      </c>
      <c r="D1303" s="261" t="s">
        <v>18560</v>
      </c>
      <c r="E1303" s="261">
        <v>3</v>
      </c>
      <c r="F1303" s="261" t="s">
        <v>20947</v>
      </c>
      <c r="G1303" s="261" t="s">
        <v>3891</v>
      </c>
      <c r="H1303" s="261" t="s">
        <v>3892</v>
      </c>
      <c r="I1303" s="261"/>
      <c r="J1303" s="261"/>
      <c r="K1303" s="262"/>
    </row>
    <row r="1304" spans="1:11" x14ac:dyDescent="0.2">
      <c r="A1304" s="306" t="s">
        <v>20321</v>
      </c>
      <c r="B1304" s="261" t="s">
        <v>20321</v>
      </c>
      <c r="C1304" s="261" t="s">
        <v>14217</v>
      </c>
      <c r="D1304" s="261" t="s">
        <v>18560</v>
      </c>
      <c r="E1304" s="261">
        <v>4</v>
      </c>
      <c r="F1304" s="261" t="s">
        <v>20948</v>
      </c>
      <c r="G1304" s="261"/>
      <c r="H1304" s="261"/>
      <c r="I1304" s="261" t="s">
        <v>3779</v>
      </c>
      <c r="J1304" s="261" t="s">
        <v>19599</v>
      </c>
      <c r="K1304" s="262">
        <v>20</v>
      </c>
    </row>
    <row r="1305" spans="1:11" x14ac:dyDescent="0.2">
      <c r="A1305" s="306" t="s">
        <v>20321</v>
      </c>
      <c r="B1305" s="261" t="s">
        <v>20321</v>
      </c>
      <c r="C1305" s="261" t="s">
        <v>14217</v>
      </c>
      <c r="D1305" s="261" t="s">
        <v>18560</v>
      </c>
      <c r="E1305" s="261">
        <v>5</v>
      </c>
      <c r="F1305" s="261" t="s">
        <v>20949</v>
      </c>
      <c r="G1305" s="261"/>
      <c r="H1305" s="261"/>
      <c r="I1305" s="261" t="s">
        <v>3779</v>
      </c>
      <c r="J1305" s="261" t="s">
        <v>19600</v>
      </c>
      <c r="K1305" s="262">
        <v>20</v>
      </c>
    </row>
    <row r="1306" spans="1:11" x14ac:dyDescent="0.2">
      <c r="A1306" s="306" t="s">
        <v>20321</v>
      </c>
      <c r="B1306" s="261" t="s">
        <v>20321</v>
      </c>
      <c r="C1306" s="261" t="s">
        <v>14217</v>
      </c>
      <c r="D1306" s="261" t="s">
        <v>18560</v>
      </c>
      <c r="E1306" s="261">
        <v>6</v>
      </c>
      <c r="F1306" s="261" t="s">
        <v>20950</v>
      </c>
      <c r="G1306" s="261"/>
      <c r="H1306" s="261"/>
      <c r="I1306" s="261" t="s">
        <v>3779</v>
      </c>
      <c r="J1306" s="261" t="s">
        <v>19603</v>
      </c>
      <c r="K1306" s="262">
        <v>20</v>
      </c>
    </row>
    <row r="1307" spans="1:11" x14ac:dyDescent="0.2">
      <c r="A1307" s="306" t="s">
        <v>20321</v>
      </c>
      <c r="B1307" s="261" t="s">
        <v>20321</v>
      </c>
      <c r="C1307" s="261" t="s">
        <v>14217</v>
      </c>
      <c r="D1307" s="261" t="s">
        <v>18560</v>
      </c>
      <c r="E1307" s="261">
        <v>7</v>
      </c>
      <c r="F1307" s="261" t="s">
        <v>20951</v>
      </c>
      <c r="G1307" s="261"/>
      <c r="H1307" s="261"/>
      <c r="I1307" s="261" t="s">
        <v>3779</v>
      </c>
      <c r="J1307" s="261" t="s">
        <v>19601</v>
      </c>
      <c r="K1307" s="262">
        <v>20</v>
      </c>
    </row>
    <row r="1308" spans="1:11" x14ac:dyDescent="0.2">
      <c r="A1308" s="306" t="s">
        <v>20321</v>
      </c>
      <c r="B1308" s="261" t="s">
        <v>20321</v>
      </c>
      <c r="C1308" s="261" t="s">
        <v>14217</v>
      </c>
      <c r="D1308" s="261" t="s">
        <v>18560</v>
      </c>
      <c r="E1308" s="261">
        <v>8</v>
      </c>
      <c r="F1308" s="261" t="s">
        <v>20952</v>
      </c>
      <c r="G1308" s="261"/>
      <c r="H1308" s="261"/>
      <c r="I1308" s="261" t="s">
        <v>3779</v>
      </c>
      <c r="J1308" s="261" t="s">
        <v>19604</v>
      </c>
      <c r="K1308" s="262">
        <v>20</v>
      </c>
    </row>
    <row r="1309" spans="1:11" x14ac:dyDescent="0.2">
      <c r="A1309" s="306" t="s">
        <v>20321</v>
      </c>
      <c r="B1309" s="261" t="s">
        <v>20321</v>
      </c>
      <c r="C1309" s="261" t="s">
        <v>14217</v>
      </c>
      <c r="D1309" s="261" t="s">
        <v>18560</v>
      </c>
      <c r="E1309" s="261">
        <v>9</v>
      </c>
      <c r="F1309" s="261" t="s">
        <v>20953</v>
      </c>
      <c r="G1309" s="261"/>
      <c r="H1309" s="261"/>
      <c r="I1309" s="261" t="s">
        <v>3779</v>
      </c>
      <c r="J1309" s="261" t="s">
        <v>19602</v>
      </c>
      <c r="K1309" s="262">
        <v>20</v>
      </c>
    </row>
    <row r="1310" spans="1:11" x14ac:dyDescent="0.2">
      <c r="A1310" s="306" t="s">
        <v>20321</v>
      </c>
      <c r="B1310" s="261" t="s">
        <v>20321</v>
      </c>
      <c r="C1310" s="261" t="s">
        <v>14217</v>
      </c>
      <c r="D1310" s="261" t="s">
        <v>18560</v>
      </c>
      <c r="E1310" s="261">
        <v>10</v>
      </c>
      <c r="F1310" s="261" t="s">
        <v>20954</v>
      </c>
      <c r="G1310" s="261"/>
      <c r="H1310" s="261"/>
      <c r="I1310" s="261" t="s">
        <v>10772</v>
      </c>
      <c r="J1310" s="261" t="s">
        <v>19618</v>
      </c>
      <c r="K1310" s="262">
        <v>100</v>
      </c>
    </row>
    <row r="1311" spans="1:11" x14ac:dyDescent="0.2">
      <c r="A1311" s="306" t="s">
        <v>20019</v>
      </c>
      <c r="B1311" s="261" t="s">
        <v>20019</v>
      </c>
      <c r="C1311" s="261" t="s">
        <v>14220</v>
      </c>
      <c r="D1311" s="261" t="s">
        <v>18046</v>
      </c>
      <c r="E1311" s="261">
        <v>1</v>
      </c>
      <c r="F1311" s="261" t="s">
        <v>19688</v>
      </c>
      <c r="G1311" s="261" t="s">
        <v>20150</v>
      </c>
      <c r="H1311" s="261" t="s">
        <v>20151</v>
      </c>
      <c r="I1311" s="261"/>
      <c r="J1311" s="261"/>
      <c r="K1311" s="262"/>
    </row>
    <row r="1312" spans="1:11" x14ac:dyDescent="0.2">
      <c r="A1312" s="306" t="s">
        <v>20019</v>
      </c>
      <c r="B1312" s="261" t="s">
        <v>20019</v>
      </c>
      <c r="C1312" s="261" t="s">
        <v>14220</v>
      </c>
      <c r="D1312" s="261" t="s">
        <v>18046</v>
      </c>
      <c r="E1312" s="261">
        <v>2</v>
      </c>
      <c r="F1312" s="261" t="s">
        <v>19688</v>
      </c>
      <c r="G1312" s="261" t="s">
        <v>14218</v>
      </c>
      <c r="H1312" s="261" t="s">
        <v>14219</v>
      </c>
      <c r="I1312" s="261"/>
      <c r="J1312" s="261"/>
      <c r="K1312" s="262"/>
    </row>
    <row r="1313" spans="1:11" x14ac:dyDescent="0.2">
      <c r="A1313" s="306" t="s">
        <v>20019</v>
      </c>
      <c r="B1313" s="261" t="s">
        <v>18582</v>
      </c>
      <c r="C1313" s="261" t="s">
        <v>14220</v>
      </c>
      <c r="D1313" s="261" t="s">
        <v>18046</v>
      </c>
      <c r="E1313" s="261">
        <v>3</v>
      </c>
      <c r="F1313" s="261" t="s">
        <v>21061</v>
      </c>
      <c r="G1313" s="261" t="s">
        <v>14537</v>
      </c>
      <c r="H1313" s="261" t="s">
        <v>14538</v>
      </c>
      <c r="I1313" s="261"/>
      <c r="J1313" s="261"/>
      <c r="K1313" s="262"/>
    </row>
    <row r="1314" spans="1:11" x14ac:dyDescent="0.2">
      <c r="A1314" s="306" t="s">
        <v>20019</v>
      </c>
      <c r="B1314" s="261" t="s">
        <v>18583</v>
      </c>
      <c r="C1314" s="261" t="s">
        <v>14220</v>
      </c>
      <c r="D1314" s="261" t="s">
        <v>18046</v>
      </c>
      <c r="E1314" s="261">
        <v>4</v>
      </c>
      <c r="F1314" s="261" t="s">
        <v>21062</v>
      </c>
      <c r="G1314" s="261" t="s">
        <v>1114</v>
      </c>
      <c r="H1314" s="261" t="s">
        <v>1115</v>
      </c>
      <c r="I1314" s="261"/>
      <c r="J1314" s="261"/>
      <c r="K1314" s="262"/>
    </row>
    <row r="1315" spans="1:11" x14ac:dyDescent="0.2">
      <c r="A1315" s="306" t="s">
        <v>20019</v>
      </c>
      <c r="B1315" s="261" t="s">
        <v>18584</v>
      </c>
      <c r="C1315" s="261" t="s">
        <v>14220</v>
      </c>
      <c r="D1315" s="261" t="s">
        <v>18046</v>
      </c>
      <c r="E1315" s="261">
        <v>5</v>
      </c>
      <c r="F1315" s="261" t="s">
        <v>21063</v>
      </c>
      <c r="G1315" s="261" t="s">
        <v>14221</v>
      </c>
      <c r="H1315" s="261" t="s">
        <v>14222</v>
      </c>
      <c r="I1315" s="261"/>
      <c r="J1315" s="261"/>
      <c r="K1315" s="262"/>
    </row>
    <row r="1316" spans="1:11" x14ac:dyDescent="0.2">
      <c r="A1316" s="306" t="s">
        <v>20019</v>
      </c>
      <c r="B1316" s="261" t="s">
        <v>18586</v>
      </c>
      <c r="C1316" s="261" t="s">
        <v>14220</v>
      </c>
      <c r="D1316" s="261" t="s">
        <v>18046</v>
      </c>
      <c r="E1316" s="261">
        <v>6</v>
      </c>
      <c r="F1316" s="261" t="s">
        <v>21064</v>
      </c>
      <c r="G1316" s="261" t="s">
        <v>1516</v>
      </c>
      <c r="H1316" s="261" t="s">
        <v>1517</v>
      </c>
      <c r="I1316" s="261"/>
      <c r="J1316" s="261"/>
      <c r="K1316" s="262"/>
    </row>
    <row r="1317" spans="1:11" x14ac:dyDescent="0.2">
      <c r="A1317" s="306" t="s">
        <v>20019</v>
      </c>
      <c r="B1317" s="261" t="s">
        <v>20019</v>
      </c>
      <c r="C1317" s="261" t="s">
        <v>14220</v>
      </c>
      <c r="D1317" s="261" t="s">
        <v>18046</v>
      </c>
      <c r="E1317" s="261">
        <v>7</v>
      </c>
      <c r="F1317" s="261" t="s">
        <v>20882</v>
      </c>
      <c r="G1317" s="261"/>
      <c r="H1317" s="261"/>
      <c r="I1317" s="261"/>
      <c r="J1317" s="261" t="s">
        <v>21065</v>
      </c>
      <c r="K1317" s="262">
        <v>7</v>
      </c>
    </row>
    <row r="1318" spans="1:11" x14ac:dyDescent="0.2">
      <c r="A1318" s="306" t="s">
        <v>20019</v>
      </c>
      <c r="B1318" s="261" t="s">
        <v>20019</v>
      </c>
      <c r="C1318" s="261" t="s">
        <v>14220</v>
      </c>
      <c r="D1318" s="261" t="s">
        <v>18046</v>
      </c>
      <c r="E1318" s="261">
        <v>8</v>
      </c>
      <c r="F1318" s="261" t="s">
        <v>20884</v>
      </c>
      <c r="G1318" s="261"/>
      <c r="H1318" s="261"/>
      <c r="I1318" s="261"/>
      <c r="J1318" s="261" t="s">
        <v>21065</v>
      </c>
      <c r="K1318" s="262">
        <v>7</v>
      </c>
    </row>
    <row r="1319" spans="1:11" x14ac:dyDescent="0.2">
      <c r="A1319" s="306" t="s">
        <v>20019</v>
      </c>
      <c r="B1319" s="261" t="s">
        <v>20019</v>
      </c>
      <c r="C1319" s="261" t="s">
        <v>14220</v>
      </c>
      <c r="D1319" s="261" t="s">
        <v>18046</v>
      </c>
      <c r="E1319" s="261">
        <v>9</v>
      </c>
      <c r="F1319" s="261" t="s">
        <v>20868</v>
      </c>
      <c r="G1319" s="261"/>
      <c r="H1319" s="261"/>
      <c r="I1319" s="261"/>
      <c r="J1319" s="261" t="s">
        <v>21065</v>
      </c>
      <c r="K1319" s="262">
        <v>7</v>
      </c>
    </row>
    <row r="1320" spans="1:11" x14ac:dyDescent="0.2">
      <c r="A1320" s="306" t="s">
        <v>20019</v>
      </c>
      <c r="B1320" s="261" t="s">
        <v>20019</v>
      </c>
      <c r="C1320" s="261" t="s">
        <v>14220</v>
      </c>
      <c r="D1320" s="261" t="s">
        <v>18046</v>
      </c>
      <c r="E1320" s="261">
        <v>10</v>
      </c>
      <c r="F1320" s="261" t="s">
        <v>20885</v>
      </c>
      <c r="G1320" s="261"/>
      <c r="H1320" s="261"/>
      <c r="I1320" s="261"/>
      <c r="J1320" s="261" t="s">
        <v>21065</v>
      </c>
      <c r="K1320" s="262">
        <v>7</v>
      </c>
    </row>
    <row r="1321" spans="1:11" x14ac:dyDescent="0.2">
      <c r="A1321" s="306" t="s">
        <v>20019</v>
      </c>
      <c r="B1321" s="261" t="s">
        <v>20019</v>
      </c>
      <c r="C1321" s="261" t="s">
        <v>14220</v>
      </c>
      <c r="D1321" s="261" t="s">
        <v>18046</v>
      </c>
      <c r="E1321" s="261">
        <v>11</v>
      </c>
      <c r="F1321" s="261" t="s">
        <v>20886</v>
      </c>
      <c r="G1321" s="261"/>
      <c r="H1321" s="261"/>
      <c r="I1321" s="261"/>
      <c r="J1321" s="261" t="s">
        <v>21065</v>
      </c>
      <c r="K1321" s="262">
        <v>6</v>
      </c>
    </row>
    <row r="1322" spans="1:11" x14ac:dyDescent="0.2">
      <c r="A1322" s="306" t="s">
        <v>20019</v>
      </c>
      <c r="B1322" s="261" t="s">
        <v>20019</v>
      </c>
      <c r="C1322" s="261" t="s">
        <v>14220</v>
      </c>
      <c r="D1322" s="261" t="s">
        <v>18046</v>
      </c>
      <c r="E1322" s="261">
        <v>12</v>
      </c>
      <c r="F1322" s="261" t="s">
        <v>20018</v>
      </c>
      <c r="G1322" s="261" t="s">
        <v>9016</v>
      </c>
      <c r="H1322" s="261" t="s">
        <v>9017</v>
      </c>
      <c r="I1322" s="261"/>
      <c r="J1322" s="261"/>
      <c r="K1322" s="262"/>
    </row>
    <row r="1323" spans="1:11" x14ac:dyDescent="0.2">
      <c r="A1323" s="306" t="s">
        <v>20019</v>
      </c>
      <c r="B1323" s="261" t="s">
        <v>20019</v>
      </c>
      <c r="C1323" s="261" t="s">
        <v>14220</v>
      </c>
      <c r="D1323" s="261" t="s">
        <v>18046</v>
      </c>
      <c r="E1323" s="261">
        <v>13</v>
      </c>
      <c r="F1323" s="261" t="s">
        <v>20870</v>
      </c>
      <c r="G1323" s="261"/>
      <c r="H1323" s="261"/>
      <c r="I1323" s="261" t="s">
        <v>1103</v>
      </c>
      <c r="J1323" s="261" t="s">
        <v>19599</v>
      </c>
      <c r="K1323" s="262">
        <v>20</v>
      </c>
    </row>
    <row r="1324" spans="1:11" x14ac:dyDescent="0.2">
      <c r="A1324" s="306" t="s">
        <v>20019</v>
      </c>
      <c r="B1324" s="261" t="s">
        <v>20019</v>
      </c>
      <c r="C1324" s="261" t="s">
        <v>14220</v>
      </c>
      <c r="D1324" s="261" t="s">
        <v>18046</v>
      </c>
      <c r="E1324" s="261">
        <v>14</v>
      </c>
      <c r="F1324" s="261" t="s">
        <v>21066</v>
      </c>
      <c r="G1324" s="261"/>
      <c r="H1324" s="261"/>
      <c r="I1324" s="261" t="s">
        <v>1103</v>
      </c>
      <c r="J1324" s="261" t="s">
        <v>19600</v>
      </c>
      <c r="K1324" s="262">
        <v>20</v>
      </c>
    </row>
    <row r="1325" spans="1:11" x14ac:dyDescent="0.2">
      <c r="A1325" s="306" t="s">
        <v>20019</v>
      </c>
      <c r="B1325" s="261" t="s">
        <v>20019</v>
      </c>
      <c r="C1325" s="261" t="s">
        <v>14220</v>
      </c>
      <c r="D1325" s="261" t="s">
        <v>18046</v>
      </c>
      <c r="E1325" s="261">
        <v>15</v>
      </c>
      <c r="F1325" s="261" t="s">
        <v>20888</v>
      </c>
      <c r="G1325" s="261"/>
      <c r="H1325" s="261"/>
      <c r="I1325" s="261" t="s">
        <v>1103</v>
      </c>
      <c r="J1325" s="261" t="s">
        <v>19603</v>
      </c>
      <c r="K1325" s="262">
        <v>20</v>
      </c>
    </row>
    <row r="1326" spans="1:11" x14ac:dyDescent="0.2">
      <c r="A1326" s="306" t="s">
        <v>20019</v>
      </c>
      <c r="B1326" s="261" t="s">
        <v>20019</v>
      </c>
      <c r="C1326" s="261" t="s">
        <v>14220</v>
      </c>
      <c r="D1326" s="261" t="s">
        <v>18046</v>
      </c>
      <c r="E1326" s="261">
        <v>16</v>
      </c>
      <c r="F1326" s="261" t="s">
        <v>20872</v>
      </c>
      <c r="G1326" s="261"/>
      <c r="H1326" s="261"/>
      <c r="I1326" s="261" t="s">
        <v>1103</v>
      </c>
      <c r="J1326" s="261" t="s">
        <v>19601</v>
      </c>
      <c r="K1326" s="262">
        <v>20</v>
      </c>
    </row>
    <row r="1327" spans="1:11" x14ac:dyDescent="0.2">
      <c r="A1327" s="306" t="s">
        <v>20019</v>
      </c>
      <c r="B1327" s="261" t="s">
        <v>20019</v>
      </c>
      <c r="C1327" s="261" t="s">
        <v>14220</v>
      </c>
      <c r="D1327" s="261" t="s">
        <v>18046</v>
      </c>
      <c r="E1327" s="261">
        <v>17</v>
      </c>
      <c r="F1327" s="261" t="s">
        <v>20889</v>
      </c>
      <c r="G1327" s="261"/>
      <c r="H1327" s="261"/>
      <c r="I1327" s="261" t="s">
        <v>1103</v>
      </c>
      <c r="J1327" s="261" t="s">
        <v>19604</v>
      </c>
      <c r="K1327" s="262">
        <v>20</v>
      </c>
    </row>
    <row r="1328" spans="1:11" x14ac:dyDescent="0.2">
      <c r="A1328" s="306" t="s">
        <v>20019</v>
      </c>
      <c r="B1328" s="261" t="s">
        <v>20019</v>
      </c>
      <c r="C1328" s="261" t="s">
        <v>14220</v>
      </c>
      <c r="D1328" s="261" t="s">
        <v>18046</v>
      </c>
      <c r="E1328" s="261">
        <v>18</v>
      </c>
      <c r="F1328" s="261" t="s">
        <v>20890</v>
      </c>
      <c r="G1328" s="261"/>
      <c r="H1328" s="261"/>
      <c r="I1328" s="261" t="s">
        <v>1103</v>
      </c>
      <c r="J1328" s="261" t="s">
        <v>19602</v>
      </c>
      <c r="K1328" s="262">
        <v>20</v>
      </c>
    </row>
    <row r="1329" spans="1:11" x14ac:dyDescent="0.2">
      <c r="A1329" s="306" t="s">
        <v>20019</v>
      </c>
      <c r="B1329" s="261" t="s">
        <v>20019</v>
      </c>
      <c r="C1329" s="261" t="s">
        <v>14220</v>
      </c>
      <c r="D1329" s="261" t="s">
        <v>18046</v>
      </c>
      <c r="E1329" s="261">
        <v>19</v>
      </c>
      <c r="F1329" s="261" t="s">
        <v>20891</v>
      </c>
      <c r="G1329" s="261"/>
      <c r="H1329" s="261"/>
      <c r="I1329" s="261" t="s">
        <v>1103</v>
      </c>
      <c r="J1329" s="261" t="s">
        <v>19618</v>
      </c>
      <c r="K1329" s="262">
        <v>100</v>
      </c>
    </row>
    <row r="1330" spans="1:11" x14ac:dyDescent="0.2">
      <c r="A1330" s="306" t="s">
        <v>20325</v>
      </c>
      <c r="B1330" s="261" t="s">
        <v>20325</v>
      </c>
      <c r="C1330" s="261" t="s">
        <v>14225</v>
      </c>
      <c r="D1330" s="261" t="s">
        <v>18588</v>
      </c>
      <c r="E1330" s="261">
        <v>1</v>
      </c>
      <c r="F1330" s="261" t="s">
        <v>19688</v>
      </c>
      <c r="G1330" s="261" t="s">
        <v>14223</v>
      </c>
      <c r="H1330" s="261" t="s">
        <v>14224</v>
      </c>
      <c r="I1330" s="261"/>
      <c r="J1330" s="261"/>
      <c r="K1330" s="262"/>
    </row>
    <row r="1331" spans="1:11" x14ac:dyDescent="0.2">
      <c r="A1331" s="306" t="s">
        <v>20325</v>
      </c>
      <c r="B1331" s="261" t="s">
        <v>18602</v>
      </c>
      <c r="C1331" s="261" t="s">
        <v>14225</v>
      </c>
      <c r="D1331" s="261" t="s">
        <v>18588</v>
      </c>
      <c r="E1331" s="261">
        <v>2</v>
      </c>
      <c r="F1331" s="261" t="s">
        <v>21067</v>
      </c>
      <c r="G1331" s="261" t="s">
        <v>4116</v>
      </c>
      <c r="H1331" s="261" t="s">
        <v>4117</v>
      </c>
      <c r="I1331" s="261"/>
      <c r="J1331" s="261"/>
      <c r="K1331" s="262"/>
    </row>
    <row r="1332" spans="1:11" x14ac:dyDescent="0.2">
      <c r="A1332" s="306" t="s">
        <v>20325</v>
      </c>
      <c r="B1332" s="261" t="s">
        <v>18603</v>
      </c>
      <c r="C1332" s="261" t="s">
        <v>14225</v>
      </c>
      <c r="D1332" s="261" t="s">
        <v>18588</v>
      </c>
      <c r="E1332" s="261">
        <v>3</v>
      </c>
      <c r="F1332" s="261" t="s">
        <v>21068</v>
      </c>
      <c r="G1332" s="261" t="s">
        <v>3406</v>
      </c>
      <c r="H1332" s="261" t="s">
        <v>3407</v>
      </c>
      <c r="I1332" s="261"/>
      <c r="J1332" s="261"/>
      <c r="K1332" s="262"/>
    </row>
    <row r="1333" spans="1:11" x14ac:dyDescent="0.2">
      <c r="A1333" s="306" t="s">
        <v>20325</v>
      </c>
      <c r="B1333" s="261" t="s">
        <v>20325</v>
      </c>
      <c r="C1333" s="261" t="s">
        <v>14225</v>
      </c>
      <c r="D1333" s="261" t="s">
        <v>18588</v>
      </c>
      <c r="E1333" s="261">
        <v>4</v>
      </c>
      <c r="F1333" s="261" t="s">
        <v>20948</v>
      </c>
      <c r="G1333" s="261"/>
      <c r="H1333" s="261"/>
      <c r="I1333" s="261" t="s">
        <v>3779</v>
      </c>
      <c r="J1333" s="261" t="s">
        <v>19599</v>
      </c>
      <c r="K1333" s="262">
        <v>20</v>
      </c>
    </row>
    <row r="1334" spans="1:11" x14ac:dyDescent="0.2">
      <c r="A1334" s="306" t="s">
        <v>20325</v>
      </c>
      <c r="B1334" s="261" t="s">
        <v>20325</v>
      </c>
      <c r="C1334" s="261" t="s">
        <v>14225</v>
      </c>
      <c r="D1334" s="261" t="s">
        <v>18588</v>
      </c>
      <c r="E1334" s="261">
        <v>5</v>
      </c>
      <c r="F1334" s="261" t="s">
        <v>20949</v>
      </c>
      <c r="G1334" s="261"/>
      <c r="H1334" s="261"/>
      <c r="I1334" s="261" t="s">
        <v>3779</v>
      </c>
      <c r="J1334" s="261" t="s">
        <v>19600</v>
      </c>
      <c r="K1334" s="262">
        <v>20</v>
      </c>
    </row>
    <row r="1335" spans="1:11" x14ac:dyDescent="0.2">
      <c r="A1335" s="306" t="s">
        <v>20325</v>
      </c>
      <c r="B1335" s="261" t="s">
        <v>20325</v>
      </c>
      <c r="C1335" s="261" t="s">
        <v>14225</v>
      </c>
      <c r="D1335" s="261" t="s">
        <v>18588</v>
      </c>
      <c r="E1335" s="261">
        <v>6</v>
      </c>
      <c r="F1335" s="261" t="s">
        <v>20950</v>
      </c>
      <c r="G1335" s="261"/>
      <c r="H1335" s="261"/>
      <c r="I1335" s="261" t="s">
        <v>3779</v>
      </c>
      <c r="J1335" s="261" t="s">
        <v>19603</v>
      </c>
      <c r="K1335" s="262">
        <v>20</v>
      </c>
    </row>
    <row r="1336" spans="1:11" x14ac:dyDescent="0.2">
      <c r="A1336" s="306" t="s">
        <v>20325</v>
      </c>
      <c r="B1336" s="261" t="s">
        <v>20325</v>
      </c>
      <c r="C1336" s="261" t="s">
        <v>14225</v>
      </c>
      <c r="D1336" s="261" t="s">
        <v>18588</v>
      </c>
      <c r="E1336" s="261">
        <v>7</v>
      </c>
      <c r="F1336" s="261" t="s">
        <v>21069</v>
      </c>
      <c r="G1336" s="261"/>
      <c r="H1336" s="261"/>
      <c r="I1336" s="261" t="s">
        <v>3779</v>
      </c>
      <c r="J1336" s="261" t="s">
        <v>19601</v>
      </c>
      <c r="K1336" s="262">
        <v>20</v>
      </c>
    </row>
    <row r="1337" spans="1:11" x14ac:dyDescent="0.2">
      <c r="A1337" s="306" t="s">
        <v>20325</v>
      </c>
      <c r="B1337" s="261" t="s">
        <v>20325</v>
      </c>
      <c r="C1337" s="261" t="s">
        <v>14225</v>
      </c>
      <c r="D1337" s="261" t="s">
        <v>18588</v>
      </c>
      <c r="E1337" s="261">
        <v>8</v>
      </c>
      <c r="F1337" s="261" t="s">
        <v>20952</v>
      </c>
      <c r="G1337" s="261"/>
      <c r="H1337" s="261"/>
      <c r="I1337" s="261" t="s">
        <v>3779</v>
      </c>
      <c r="J1337" s="261" t="s">
        <v>19604</v>
      </c>
      <c r="K1337" s="262">
        <v>20</v>
      </c>
    </row>
    <row r="1338" spans="1:11" x14ac:dyDescent="0.2">
      <c r="A1338" s="306" t="s">
        <v>20325</v>
      </c>
      <c r="B1338" s="261" t="s">
        <v>20325</v>
      </c>
      <c r="C1338" s="261" t="s">
        <v>14225</v>
      </c>
      <c r="D1338" s="261" t="s">
        <v>18588</v>
      </c>
      <c r="E1338" s="261">
        <v>9</v>
      </c>
      <c r="F1338" s="261" t="s">
        <v>21070</v>
      </c>
      <c r="G1338" s="261"/>
      <c r="H1338" s="261"/>
      <c r="I1338" s="261" t="s">
        <v>3779</v>
      </c>
      <c r="J1338" s="261" t="s">
        <v>19602</v>
      </c>
      <c r="K1338" s="262">
        <v>20</v>
      </c>
    </row>
    <row r="1339" spans="1:11" x14ac:dyDescent="0.2">
      <c r="A1339" s="306" t="s">
        <v>20325</v>
      </c>
      <c r="B1339" s="261" t="s">
        <v>20325</v>
      </c>
      <c r="C1339" s="261" t="s">
        <v>14225</v>
      </c>
      <c r="D1339" s="261" t="s">
        <v>18588</v>
      </c>
      <c r="E1339" s="261">
        <v>10</v>
      </c>
      <c r="F1339" s="261" t="s">
        <v>21071</v>
      </c>
      <c r="G1339" s="261"/>
      <c r="H1339" s="261"/>
      <c r="I1339" s="261" t="s">
        <v>10772</v>
      </c>
      <c r="J1339" s="261" t="s">
        <v>19618</v>
      </c>
      <c r="K1339" s="262">
        <v>100</v>
      </c>
    </row>
    <row r="1340" spans="1:11" x14ac:dyDescent="0.2">
      <c r="A1340" s="306" t="s">
        <v>20489</v>
      </c>
      <c r="B1340" s="261" t="s">
        <v>20489</v>
      </c>
      <c r="C1340" s="261" t="s">
        <v>14229</v>
      </c>
      <c r="D1340" s="261" t="s">
        <v>18017</v>
      </c>
      <c r="E1340" s="261">
        <v>1</v>
      </c>
      <c r="F1340" s="261" t="s">
        <v>19688</v>
      </c>
      <c r="G1340" s="261" t="s">
        <v>14541</v>
      </c>
      <c r="H1340" s="261" t="s">
        <v>14542</v>
      </c>
      <c r="I1340" s="261"/>
      <c r="J1340" s="261"/>
      <c r="K1340" s="262"/>
    </row>
    <row r="1341" spans="1:11" x14ac:dyDescent="0.2">
      <c r="A1341" s="306" t="s">
        <v>20489</v>
      </c>
      <c r="B1341" s="261" t="s">
        <v>18604</v>
      </c>
      <c r="C1341" s="261" t="s">
        <v>14229</v>
      </c>
      <c r="D1341" s="261" t="s">
        <v>18017</v>
      </c>
      <c r="E1341" s="261">
        <v>2</v>
      </c>
      <c r="F1341" s="261" t="s">
        <v>21072</v>
      </c>
      <c r="G1341" s="261" t="s">
        <v>14544</v>
      </c>
      <c r="H1341" s="261" t="s">
        <v>14545</v>
      </c>
      <c r="I1341" s="261"/>
      <c r="J1341" s="261"/>
      <c r="K1341" s="262"/>
    </row>
    <row r="1342" spans="1:11" x14ac:dyDescent="0.2">
      <c r="A1342" s="306" t="s">
        <v>20489</v>
      </c>
      <c r="B1342" s="261" t="s">
        <v>18606</v>
      </c>
      <c r="C1342" s="261" t="s">
        <v>14229</v>
      </c>
      <c r="D1342" s="261" t="s">
        <v>18017</v>
      </c>
      <c r="E1342" s="261">
        <v>3</v>
      </c>
      <c r="F1342" s="261" t="s">
        <v>21073</v>
      </c>
      <c r="G1342" s="261" t="s">
        <v>2314</v>
      </c>
      <c r="H1342" s="261" t="s">
        <v>2315</v>
      </c>
      <c r="I1342" s="261"/>
      <c r="J1342" s="261"/>
      <c r="K1342" s="262"/>
    </row>
    <row r="1343" spans="1:11" x14ac:dyDescent="0.2">
      <c r="A1343" s="306" t="s">
        <v>20489</v>
      </c>
      <c r="B1343" s="261" t="s">
        <v>18609</v>
      </c>
      <c r="C1343" s="261" t="s">
        <v>14229</v>
      </c>
      <c r="D1343" s="261" t="s">
        <v>18017</v>
      </c>
      <c r="E1343" s="261">
        <v>4</v>
      </c>
      <c r="F1343" s="261" t="s">
        <v>21074</v>
      </c>
      <c r="G1343" s="261" t="s">
        <v>2224</v>
      </c>
      <c r="H1343" s="261" t="s">
        <v>2225</v>
      </c>
      <c r="I1343" s="261"/>
      <c r="J1343" s="261"/>
      <c r="K1343" s="262"/>
    </row>
    <row r="1344" spans="1:11" x14ac:dyDescent="0.2">
      <c r="A1344" s="306" t="s">
        <v>20489</v>
      </c>
      <c r="B1344" s="261" t="s">
        <v>18610</v>
      </c>
      <c r="C1344" s="261" t="s">
        <v>14229</v>
      </c>
      <c r="D1344" s="261" t="s">
        <v>18017</v>
      </c>
      <c r="E1344" s="261">
        <v>5</v>
      </c>
      <c r="F1344" s="261" t="s">
        <v>21075</v>
      </c>
      <c r="G1344" s="261" t="s">
        <v>14226</v>
      </c>
      <c r="H1344" s="261" t="s">
        <v>14227</v>
      </c>
      <c r="I1344" s="261"/>
      <c r="J1344" s="261"/>
      <c r="K1344" s="262"/>
    </row>
    <row r="1345" spans="1:11" x14ac:dyDescent="0.2">
      <c r="A1345" s="306" t="s">
        <v>20489</v>
      </c>
      <c r="B1345" s="261" t="s">
        <v>18611</v>
      </c>
      <c r="C1345" s="261" t="s">
        <v>14229</v>
      </c>
      <c r="D1345" s="261" t="s">
        <v>18017</v>
      </c>
      <c r="E1345" s="261">
        <v>6</v>
      </c>
      <c r="F1345" s="261" t="s">
        <v>21076</v>
      </c>
      <c r="G1345" s="261" t="s">
        <v>2643</v>
      </c>
      <c r="H1345" s="261" t="s">
        <v>2644</v>
      </c>
      <c r="I1345" s="261"/>
      <c r="J1345" s="261"/>
      <c r="K1345" s="262"/>
    </row>
    <row r="1346" spans="1:11" x14ac:dyDescent="0.2">
      <c r="A1346" s="306" t="s">
        <v>20489</v>
      </c>
      <c r="B1346" s="261" t="s">
        <v>18612</v>
      </c>
      <c r="C1346" s="261" t="s">
        <v>14229</v>
      </c>
      <c r="D1346" s="261" t="s">
        <v>18017</v>
      </c>
      <c r="E1346" s="261">
        <v>7</v>
      </c>
      <c r="F1346" s="261" t="s">
        <v>21077</v>
      </c>
      <c r="G1346" s="261" t="s">
        <v>9795</v>
      </c>
      <c r="H1346" s="261" t="s">
        <v>9796</v>
      </c>
      <c r="I1346" s="261"/>
      <c r="J1346" s="261"/>
      <c r="K1346" s="262"/>
    </row>
    <row r="1347" spans="1:11" x14ac:dyDescent="0.2">
      <c r="A1347" s="306" t="s">
        <v>20489</v>
      </c>
      <c r="B1347" s="261" t="s">
        <v>18613</v>
      </c>
      <c r="C1347" s="261" t="s">
        <v>14229</v>
      </c>
      <c r="D1347" s="261" t="s">
        <v>18017</v>
      </c>
      <c r="E1347" s="261">
        <v>8</v>
      </c>
      <c r="F1347" s="261" t="s">
        <v>21078</v>
      </c>
      <c r="G1347" s="261" t="s">
        <v>4567</v>
      </c>
      <c r="H1347" s="261" t="s">
        <v>4568</v>
      </c>
      <c r="I1347" s="261"/>
      <c r="J1347" s="261"/>
      <c r="K1347" s="262"/>
    </row>
    <row r="1348" spans="1:11" x14ac:dyDescent="0.2">
      <c r="A1348" s="306" t="s">
        <v>20489</v>
      </c>
      <c r="B1348" s="261" t="s">
        <v>20489</v>
      </c>
      <c r="C1348" s="261" t="s">
        <v>14229</v>
      </c>
      <c r="D1348" s="261" t="s">
        <v>18017</v>
      </c>
      <c r="E1348" s="261">
        <v>9</v>
      </c>
      <c r="F1348" s="261" t="s">
        <v>20868</v>
      </c>
      <c r="G1348" s="261"/>
      <c r="H1348" s="261"/>
      <c r="I1348" s="261" t="s">
        <v>1947</v>
      </c>
      <c r="J1348" s="261" t="s">
        <v>19599</v>
      </c>
      <c r="K1348" s="262">
        <v>20</v>
      </c>
    </row>
    <row r="1349" spans="1:11" x14ac:dyDescent="0.2">
      <c r="A1349" s="306" t="s">
        <v>20489</v>
      </c>
      <c r="B1349" s="261" t="s">
        <v>20489</v>
      </c>
      <c r="C1349" s="261" t="s">
        <v>14229</v>
      </c>
      <c r="D1349" s="261" t="s">
        <v>18017</v>
      </c>
      <c r="E1349" s="261">
        <v>10</v>
      </c>
      <c r="F1349" s="261" t="s">
        <v>20869</v>
      </c>
      <c r="G1349" s="261"/>
      <c r="H1349" s="261"/>
      <c r="I1349" s="261" t="s">
        <v>1947</v>
      </c>
      <c r="J1349" s="261" t="s">
        <v>19600</v>
      </c>
      <c r="K1349" s="262">
        <v>20</v>
      </c>
    </row>
    <row r="1350" spans="1:11" x14ac:dyDescent="0.2">
      <c r="A1350" s="306" t="s">
        <v>20489</v>
      </c>
      <c r="B1350" s="261" t="s">
        <v>20489</v>
      </c>
      <c r="C1350" s="261" t="s">
        <v>14229</v>
      </c>
      <c r="D1350" s="261" t="s">
        <v>18017</v>
      </c>
      <c r="E1350" s="261">
        <v>11</v>
      </c>
      <c r="F1350" s="261" t="s">
        <v>20870</v>
      </c>
      <c r="G1350" s="261"/>
      <c r="H1350" s="261"/>
      <c r="I1350" s="261" t="s">
        <v>1947</v>
      </c>
      <c r="J1350" s="261" t="s">
        <v>19603</v>
      </c>
      <c r="K1350" s="262">
        <v>20</v>
      </c>
    </row>
    <row r="1351" spans="1:11" x14ac:dyDescent="0.2">
      <c r="A1351" s="306" t="s">
        <v>20489</v>
      </c>
      <c r="B1351" s="261" t="s">
        <v>20489</v>
      </c>
      <c r="C1351" s="261" t="s">
        <v>14229</v>
      </c>
      <c r="D1351" s="261" t="s">
        <v>18017</v>
      </c>
      <c r="E1351" s="261">
        <v>12</v>
      </c>
      <c r="F1351" s="261" t="s">
        <v>20871</v>
      </c>
      <c r="G1351" s="261"/>
      <c r="H1351" s="261"/>
      <c r="I1351" s="261" t="s">
        <v>1947</v>
      </c>
      <c r="J1351" s="261" t="s">
        <v>19601</v>
      </c>
      <c r="K1351" s="262">
        <v>20</v>
      </c>
    </row>
    <row r="1352" spans="1:11" x14ac:dyDescent="0.2">
      <c r="A1352" s="306" t="s">
        <v>20489</v>
      </c>
      <c r="B1352" s="261" t="s">
        <v>20489</v>
      </c>
      <c r="C1352" s="261" t="s">
        <v>14229</v>
      </c>
      <c r="D1352" s="261" t="s">
        <v>18017</v>
      </c>
      <c r="E1352" s="261">
        <v>13</v>
      </c>
      <c r="F1352" s="261" t="s">
        <v>20872</v>
      </c>
      <c r="G1352" s="261"/>
      <c r="H1352" s="261"/>
      <c r="I1352" s="261" t="s">
        <v>1947</v>
      </c>
      <c r="J1352" s="261" t="s">
        <v>19604</v>
      </c>
      <c r="K1352" s="262">
        <v>20</v>
      </c>
    </row>
    <row r="1353" spans="1:11" x14ac:dyDescent="0.2">
      <c r="A1353" s="306" t="s">
        <v>20489</v>
      </c>
      <c r="B1353" s="261" t="s">
        <v>20489</v>
      </c>
      <c r="C1353" s="261" t="s">
        <v>14229</v>
      </c>
      <c r="D1353" s="261" t="s">
        <v>18017</v>
      </c>
      <c r="E1353" s="261">
        <v>14</v>
      </c>
      <c r="F1353" s="261" t="s">
        <v>20873</v>
      </c>
      <c r="G1353" s="261"/>
      <c r="H1353" s="261"/>
      <c r="I1353" s="261" t="s">
        <v>1947</v>
      </c>
      <c r="J1353" s="261" t="s">
        <v>19602</v>
      </c>
      <c r="K1353" s="262">
        <v>20</v>
      </c>
    </row>
    <row r="1354" spans="1:11" x14ac:dyDescent="0.2">
      <c r="A1354" s="306" t="s">
        <v>20489</v>
      </c>
      <c r="B1354" s="261" t="s">
        <v>20489</v>
      </c>
      <c r="C1354" s="261" t="s">
        <v>14229</v>
      </c>
      <c r="D1354" s="261" t="s">
        <v>18017</v>
      </c>
      <c r="E1354" s="261">
        <v>15</v>
      </c>
      <c r="F1354" s="261" t="s">
        <v>20874</v>
      </c>
      <c r="G1354" s="261"/>
      <c r="H1354" s="261"/>
      <c r="I1354" s="261" t="s">
        <v>10772</v>
      </c>
      <c r="J1354" s="261" t="s">
        <v>19618</v>
      </c>
      <c r="K1354" s="262">
        <v>100</v>
      </c>
    </row>
    <row r="1355" spans="1:11" x14ac:dyDescent="0.2">
      <c r="A1355" s="306" t="s">
        <v>20328</v>
      </c>
      <c r="B1355" s="261" t="s">
        <v>20328</v>
      </c>
      <c r="C1355" s="261" t="s">
        <v>14233</v>
      </c>
      <c r="D1355" s="261" t="s">
        <v>18560</v>
      </c>
      <c r="E1355" s="261">
        <v>1</v>
      </c>
      <c r="F1355" s="261" t="s">
        <v>19688</v>
      </c>
      <c r="G1355" s="261" t="s">
        <v>14230</v>
      </c>
      <c r="H1355" s="261" t="s">
        <v>14231</v>
      </c>
      <c r="I1355" s="261"/>
      <c r="J1355" s="261"/>
      <c r="K1355" s="262"/>
    </row>
    <row r="1356" spans="1:11" x14ac:dyDescent="0.2">
      <c r="A1356" s="306" t="s">
        <v>20328</v>
      </c>
      <c r="B1356" s="261" t="s">
        <v>18629</v>
      </c>
      <c r="C1356" s="261" t="s">
        <v>14233</v>
      </c>
      <c r="D1356" s="261" t="s">
        <v>18560</v>
      </c>
      <c r="E1356" s="261">
        <v>2</v>
      </c>
      <c r="F1356" s="261" t="s">
        <v>20946</v>
      </c>
      <c r="G1356" s="261" t="s">
        <v>978</v>
      </c>
      <c r="H1356" s="261" t="s">
        <v>979</v>
      </c>
      <c r="I1356" s="261"/>
      <c r="J1356" s="261"/>
      <c r="K1356" s="262"/>
    </row>
    <row r="1357" spans="1:11" x14ac:dyDescent="0.2">
      <c r="A1357" s="306" t="s">
        <v>20328</v>
      </c>
      <c r="B1357" s="261" t="s">
        <v>18630</v>
      </c>
      <c r="C1357" s="261" t="s">
        <v>14233</v>
      </c>
      <c r="D1357" s="261" t="s">
        <v>18560</v>
      </c>
      <c r="E1357" s="261">
        <v>3</v>
      </c>
      <c r="F1357" s="261" t="s">
        <v>20947</v>
      </c>
      <c r="G1357" s="261" t="s">
        <v>3075</v>
      </c>
      <c r="H1357" s="261" t="s">
        <v>3076</v>
      </c>
      <c r="I1357" s="261"/>
      <c r="J1357" s="261"/>
      <c r="K1357" s="262"/>
    </row>
    <row r="1358" spans="1:11" x14ac:dyDescent="0.2">
      <c r="A1358" s="306" t="s">
        <v>20328</v>
      </c>
      <c r="B1358" s="261" t="s">
        <v>20328</v>
      </c>
      <c r="C1358" s="261" t="s">
        <v>14233</v>
      </c>
      <c r="D1358" s="261" t="s">
        <v>18560</v>
      </c>
      <c r="E1358" s="261">
        <v>4</v>
      </c>
      <c r="F1358" s="261" t="s">
        <v>20948</v>
      </c>
      <c r="G1358" s="261"/>
      <c r="H1358" s="261"/>
      <c r="I1358" s="261" t="s">
        <v>2837</v>
      </c>
      <c r="J1358" s="261" t="s">
        <v>19599</v>
      </c>
      <c r="K1358" s="262">
        <v>20</v>
      </c>
    </row>
    <row r="1359" spans="1:11" x14ac:dyDescent="0.2">
      <c r="A1359" s="306" t="s">
        <v>20328</v>
      </c>
      <c r="B1359" s="261" t="s">
        <v>20328</v>
      </c>
      <c r="C1359" s="261" t="s">
        <v>14233</v>
      </c>
      <c r="D1359" s="261" t="s">
        <v>18560</v>
      </c>
      <c r="E1359" s="261">
        <v>5</v>
      </c>
      <c r="F1359" s="261" t="s">
        <v>20949</v>
      </c>
      <c r="G1359" s="261"/>
      <c r="H1359" s="261"/>
      <c r="I1359" s="261" t="s">
        <v>2837</v>
      </c>
      <c r="J1359" s="261" t="s">
        <v>19600</v>
      </c>
      <c r="K1359" s="262">
        <v>20</v>
      </c>
    </row>
    <row r="1360" spans="1:11" x14ac:dyDescent="0.2">
      <c r="A1360" s="306" t="s">
        <v>20328</v>
      </c>
      <c r="B1360" s="261" t="s">
        <v>20328</v>
      </c>
      <c r="C1360" s="261" t="s">
        <v>14233</v>
      </c>
      <c r="D1360" s="261" t="s">
        <v>18560</v>
      </c>
      <c r="E1360" s="261">
        <v>6</v>
      </c>
      <c r="F1360" s="261" t="s">
        <v>20950</v>
      </c>
      <c r="G1360" s="261"/>
      <c r="H1360" s="261"/>
      <c r="I1360" s="261" t="s">
        <v>2837</v>
      </c>
      <c r="J1360" s="261" t="s">
        <v>19603</v>
      </c>
      <c r="K1360" s="262">
        <v>20</v>
      </c>
    </row>
    <row r="1361" spans="1:11" x14ac:dyDescent="0.2">
      <c r="A1361" s="306" t="s">
        <v>20328</v>
      </c>
      <c r="B1361" s="261" t="s">
        <v>20328</v>
      </c>
      <c r="C1361" s="261" t="s">
        <v>14233</v>
      </c>
      <c r="D1361" s="261" t="s">
        <v>18560</v>
      </c>
      <c r="E1361" s="261">
        <v>7</v>
      </c>
      <c r="F1361" s="261" t="s">
        <v>20951</v>
      </c>
      <c r="G1361" s="261"/>
      <c r="H1361" s="261"/>
      <c r="I1361" s="261" t="s">
        <v>2837</v>
      </c>
      <c r="J1361" s="261" t="s">
        <v>19601</v>
      </c>
      <c r="K1361" s="262">
        <v>20</v>
      </c>
    </row>
    <row r="1362" spans="1:11" x14ac:dyDescent="0.2">
      <c r="A1362" s="306" t="s">
        <v>20328</v>
      </c>
      <c r="B1362" s="261" t="s">
        <v>20328</v>
      </c>
      <c r="C1362" s="261" t="s">
        <v>14233</v>
      </c>
      <c r="D1362" s="261" t="s">
        <v>18560</v>
      </c>
      <c r="E1362" s="261">
        <v>8</v>
      </c>
      <c r="F1362" s="261" t="s">
        <v>20952</v>
      </c>
      <c r="G1362" s="261"/>
      <c r="H1362" s="261"/>
      <c r="I1362" s="261" t="s">
        <v>2837</v>
      </c>
      <c r="J1362" s="261" t="s">
        <v>19604</v>
      </c>
      <c r="K1362" s="262">
        <v>20</v>
      </c>
    </row>
    <row r="1363" spans="1:11" x14ac:dyDescent="0.2">
      <c r="A1363" s="306" t="s">
        <v>20328</v>
      </c>
      <c r="B1363" s="261" t="s">
        <v>20328</v>
      </c>
      <c r="C1363" s="261" t="s">
        <v>14233</v>
      </c>
      <c r="D1363" s="261" t="s">
        <v>18560</v>
      </c>
      <c r="E1363" s="261">
        <v>9</v>
      </c>
      <c r="F1363" s="261" t="s">
        <v>20953</v>
      </c>
      <c r="G1363" s="261"/>
      <c r="H1363" s="261"/>
      <c r="I1363" s="261" t="s">
        <v>2837</v>
      </c>
      <c r="J1363" s="261" t="s">
        <v>19602</v>
      </c>
      <c r="K1363" s="262">
        <v>20</v>
      </c>
    </row>
    <row r="1364" spans="1:11" x14ac:dyDescent="0.2">
      <c r="A1364" s="306" t="s">
        <v>20328</v>
      </c>
      <c r="B1364" s="261" t="s">
        <v>20328</v>
      </c>
      <c r="C1364" s="261" t="s">
        <v>14233</v>
      </c>
      <c r="D1364" s="261" t="s">
        <v>18560</v>
      </c>
      <c r="E1364" s="261">
        <v>10</v>
      </c>
      <c r="F1364" s="261" t="s">
        <v>20954</v>
      </c>
      <c r="G1364" s="261"/>
      <c r="H1364" s="261"/>
      <c r="I1364" s="261" t="s">
        <v>10772</v>
      </c>
      <c r="J1364" s="261" t="s">
        <v>19618</v>
      </c>
      <c r="K1364" s="262">
        <v>100</v>
      </c>
    </row>
    <row r="1365" spans="1:11" x14ac:dyDescent="0.2">
      <c r="A1365" s="306" t="s">
        <v>20330</v>
      </c>
      <c r="B1365" s="261" t="s">
        <v>20330</v>
      </c>
      <c r="C1365" s="261" t="s">
        <v>14236</v>
      </c>
      <c r="D1365" s="261" t="s">
        <v>18046</v>
      </c>
      <c r="E1365" s="261">
        <v>1</v>
      </c>
      <c r="F1365" s="261" t="s">
        <v>19688</v>
      </c>
      <c r="G1365" s="261" t="s">
        <v>20152</v>
      </c>
      <c r="H1365" s="261" t="s">
        <v>20153</v>
      </c>
      <c r="I1365" s="261"/>
      <c r="J1365" s="261"/>
      <c r="K1365" s="262"/>
    </row>
    <row r="1366" spans="1:11" x14ac:dyDescent="0.2">
      <c r="A1366" s="306" t="s">
        <v>20330</v>
      </c>
      <c r="B1366" s="261" t="s">
        <v>20330</v>
      </c>
      <c r="C1366" s="261" t="s">
        <v>14236</v>
      </c>
      <c r="D1366" s="261" t="s">
        <v>18046</v>
      </c>
      <c r="E1366" s="261">
        <v>2</v>
      </c>
      <c r="F1366" s="261" t="s">
        <v>19688</v>
      </c>
      <c r="G1366" s="261" t="s">
        <v>14234</v>
      </c>
      <c r="H1366" s="261" t="s">
        <v>14235</v>
      </c>
      <c r="I1366" s="261"/>
      <c r="J1366" s="261"/>
      <c r="K1366" s="262"/>
    </row>
    <row r="1367" spans="1:11" x14ac:dyDescent="0.2">
      <c r="A1367" s="306" t="s">
        <v>20330</v>
      </c>
      <c r="B1367" s="261" t="s">
        <v>18633</v>
      </c>
      <c r="C1367" s="261" t="s">
        <v>14236</v>
      </c>
      <c r="D1367" s="261" t="s">
        <v>18046</v>
      </c>
      <c r="E1367" s="261">
        <v>3</v>
      </c>
      <c r="F1367" s="261" t="s">
        <v>21079</v>
      </c>
      <c r="G1367" s="261" t="s">
        <v>14548</v>
      </c>
      <c r="H1367" s="261" t="s">
        <v>14549</v>
      </c>
      <c r="I1367" s="261"/>
      <c r="J1367" s="261"/>
      <c r="K1367" s="262"/>
    </row>
    <row r="1368" spans="1:11" x14ac:dyDescent="0.2">
      <c r="A1368" s="306" t="s">
        <v>20330</v>
      </c>
      <c r="B1368" s="261" t="s">
        <v>18636</v>
      </c>
      <c r="C1368" s="261" t="s">
        <v>14236</v>
      </c>
      <c r="D1368" s="261" t="s">
        <v>18046</v>
      </c>
      <c r="E1368" s="261">
        <v>4</v>
      </c>
      <c r="F1368" s="261" t="s">
        <v>21080</v>
      </c>
      <c r="G1368" s="261" t="s">
        <v>1625</v>
      </c>
      <c r="H1368" s="261" t="s">
        <v>1626</v>
      </c>
      <c r="I1368" s="261"/>
      <c r="J1368" s="261"/>
      <c r="K1368" s="262"/>
    </row>
    <row r="1369" spans="1:11" x14ac:dyDescent="0.2">
      <c r="A1369" s="306" t="s">
        <v>20330</v>
      </c>
      <c r="B1369" s="261" t="s">
        <v>18637</v>
      </c>
      <c r="C1369" s="261" t="s">
        <v>14236</v>
      </c>
      <c r="D1369" s="261" t="s">
        <v>18046</v>
      </c>
      <c r="E1369" s="261">
        <v>5</v>
      </c>
      <c r="F1369" s="261" t="s">
        <v>21081</v>
      </c>
      <c r="G1369" s="261" t="s">
        <v>14237</v>
      </c>
      <c r="H1369" s="261" t="s">
        <v>14238</v>
      </c>
      <c r="I1369" s="261"/>
      <c r="J1369" s="261"/>
      <c r="K1369" s="262"/>
    </row>
    <row r="1370" spans="1:11" x14ac:dyDescent="0.2">
      <c r="A1370" s="306" t="s">
        <v>20330</v>
      </c>
      <c r="B1370" s="261" t="s">
        <v>18639</v>
      </c>
      <c r="C1370" s="261" t="s">
        <v>14236</v>
      </c>
      <c r="D1370" s="261" t="s">
        <v>18046</v>
      </c>
      <c r="E1370" s="261">
        <v>6</v>
      </c>
      <c r="F1370" s="261" t="s">
        <v>21082</v>
      </c>
      <c r="G1370" s="261" t="s">
        <v>4006</v>
      </c>
      <c r="H1370" s="261" t="s">
        <v>4007</v>
      </c>
      <c r="I1370" s="261"/>
      <c r="J1370" s="261"/>
      <c r="K1370" s="262"/>
    </row>
    <row r="1371" spans="1:11" x14ac:dyDescent="0.2">
      <c r="A1371" s="306" t="s">
        <v>20330</v>
      </c>
      <c r="B1371" s="261" t="s">
        <v>20330</v>
      </c>
      <c r="C1371" s="261" t="s">
        <v>14236</v>
      </c>
      <c r="D1371" s="261" t="s">
        <v>18046</v>
      </c>
      <c r="E1371" s="261">
        <v>7</v>
      </c>
      <c r="F1371" s="261" t="s">
        <v>20882</v>
      </c>
      <c r="G1371" s="261"/>
      <c r="H1371" s="261"/>
      <c r="I1371" s="261"/>
      <c r="J1371" s="261" t="s">
        <v>21083</v>
      </c>
      <c r="K1371" s="262">
        <v>7</v>
      </c>
    </row>
    <row r="1372" spans="1:11" x14ac:dyDescent="0.2">
      <c r="A1372" s="306" t="s">
        <v>20330</v>
      </c>
      <c r="B1372" s="261" t="s">
        <v>20330</v>
      </c>
      <c r="C1372" s="261" t="s">
        <v>14236</v>
      </c>
      <c r="D1372" s="261" t="s">
        <v>18046</v>
      </c>
      <c r="E1372" s="261">
        <v>8</v>
      </c>
      <c r="F1372" s="261" t="s">
        <v>20884</v>
      </c>
      <c r="G1372" s="261"/>
      <c r="H1372" s="261"/>
      <c r="I1372" s="261"/>
      <c r="J1372" s="261" t="s">
        <v>21083</v>
      </c>
      <c r="K1372" s="262">
        <v>7</v>
      </c>
    </row>
    <row r="1373" spans="1:11" x14ac:dyDescent="0.2">
      <c r="A1373" s="306" t="s">
        <v>20330</v>
      </c>
      <c r="B1373" s="261" t="s">
        <v>20330</v>
      </c>
      <c r="C1373" s="261" t="s">
        <v>14236</v>
      </c>
      <c r="D1373" s="261" t="s">
        <v>18046</v>
      </c>
      <c r="E1373" s="261">
        <v>9</v>
      </c>
      <c r="F1373" s="261" t="s">
        <v>20868</v>
      </c>
      <c r="G1373" s="261"/>
      <c r="H1373" s="261"/>
      <c r="I1373" s="261"/>
      <c r="J1373" s="261" t="s">
        <v>21083</v>
      </c>
      <c r="K1373" s="262">
        <v>7</v>
      </c>
    </row>
    <row r="1374" spans="1:11" x14ac:dyDescent="0.2">
      <c r="A1374" s="306" t="s">
        <v>20330</v>
      </c>
      <c r="B1374" s="261" t="s">
        <v>20330</v>
      </c>
      <c r="C1374" s="261" t="s">
        <v>14236</v>
      </c>
      <c r="D1374" s="261" t="s">
        <v>18046</v>
      </c>
      <c r="E1374" s="261">
        <v>10</v>
      </c>
      <c r="F1374" s="261" t="s">
        <v>20885</v>
      </c>
      <c r="G1374" s="261"/>
      <c r="H1374" s="261"/>
      <c r="I1374" s="261"/>
      <c r="J1374" s="261" t="s">
        <v>21083</v>
      </c>
      <c r="K1374" s="262">
        <v>7</v>
      </c>
    </row>
    <row r="1375" spans="1:11" x14ac:dyDescent="0.2">
      <c r="A1375" s="306" t="s">
        <v>20330</v>
      </c>
      <c r="B1375" s="261" t="s">
        <v>20330</v>
      </c>
      <c r="C1375" s="261" t="s">
        <v>14236</v>
      </c>
      <c r="D1375" s="261" t="s">
        <v>18046</v>
      </c>
      <c r="E1375" s="261">
        <v>11</v>
      </c>
      <c r="F1375" s="261" t="s">
        <v>20886</v>
      </c>
      <c r="G1375" s="261"/>
      <c r="H1375" s="261"/>
      <c r="I1375" s="261"/>
      <c r="J1375" s="261" t="s">
        <v>21083</v>
      </c>
      <c r="K1375" s="262">
        <v>6</v>
      </c>
    </row>
    <row r="1376" spans="1:11" x14ac:dyDescent="0.2">
      <c r="A1376" s="306" t="s">
        <v>20330</v>
      </c>
      <c r="B1376" s="261" t="s">
        <v>20330</v>
      </c>
      <c r="C1376" s="261" t="s">
        <v>14236</v>
      </c>
      <c r="D1376" s="261" t="s">
        <v>18046</v>
      </c>
      <c r="E1376" s="261">
        <v>12</v>
      </c>
      <c r="F1376" s="261" t="s">
        <v>20870</v>
      </c>
      <c r="G1376" s="261"/>
      <c r="H1376" s="261"/>
      <c r="I1376" s="261" t="s">
        <v>3779</v>
      </c>
      <c r="J1376" s="261" t="s">
        <v>19599</v>
      </c>
      <c r="K1376" s="262">
        <v>20</v>
      </c>
    </row>
    <row r="1377" spans="1:11" x14ac:dyDescent="0.2">
      <c r="A1377" s="306" t="s">
        <v>20330</v>
      </c>
      <c r="B1377" s="261" t="s">
        <v>20330</v>
      </c>
      <c r="C1377" s="261" t="s">
        <v>14236</v>
      </c>
      <c r="D1377" s="261" t="s">
        <v>18046</v>
      </c>
      <c r="E1377" s="261">
        <v>13</v>
      </c>
      <c r="F1377" s="261" t="s">
        <v>21084</v>
      </c>
      <c r="G1377" s="261"/>
      <c r="H1377" s="261"/>
      <c r="I1377" s="261" t="s">
        <v>3779</v>
      </c>
      <c r="J1377" s="261" t="s">
        <v>19600</v>
      </c>
      <c r="K1377" s="262">
        <v>20</v>
      </c>
    </row>
    <row r="1378" spans="1:11" x14ac:dyDescent="0.2">
      <c r="A1378" s="306" t="s">
        <v>20330</v>
      </c>
      <c r="B1378" s="261" t="s">
        <v>20330</v>
      </c>
      <c r="C1378" s="261" t="s">
        <v>14236</v>
      </c>
      <c r="D1378" s="261" t="s">
        <v>18046</v>
      </c>
      <c r="E1378" s="261">
        <v>14</v>
      </c>
      <c r="F1378" s="261" t="s">
        <v>20888</v>
      </c>
      <c r="G1378" s="261"/>
      <c r="H1378" s="261"/>
      <c r="I1378" s="261" t="s">
        <v>3779</v>
      </c>
      <c r="J1378" s="261" t="s">
        <v>19603</v>
      </c>
      <c r="K1378" s="262">
        <v>20</v>
      </c>
    </row>
    <row r="1379" spans="1:11" x14ac:dyDescent="0.2">
      <c r="A1379" s="306" t="s">
        <v>20330</v>
      </c>
      <c r="B1379" s="261" t="s">
        <v>20330</v>
      </c>
      <c r="C1379" s="261" t="s">
        <v>14236</v>
      </c>
      <c r="D1379" s="261" t="s">
        <v>18046</v>
      </c>
      <c r="E1379" s="261">
        <v>15</v>
      </c>
      <c r="F1379" s="261" t="s">
        <v>20872</v>
      </c>
      <c r="G1379" s="261"/>
      <c r="H1379" s="261"/>
      <c r="I1379" s="261" t="s">
        <v>3779</v>
      </c>
      <c r="J1379" s="261" t="s">
        <v>19601</v>
      </c>
      <c r="K1379" s="262">
        <v>20</v>
      </c>
    </row>
    <row r="1380" spans="1:11" x14ac:dyDescent="0.2">
      <c r="A1380" s="306" t="s">
        <v>20330</v>
      </c>
      <c r="B1380" s="261" t="s">
        <v>20330</v>
      </c>
      <c r="C1380" s="261" t="s">
        <v>14236</v>
      </c>
      <c r="D1380" s="261" t="s">
        <v>18046</v>
      </c>
      <c r="E1380" s="261">
        <v>16</v>
      </c>
      <c r="F1380" s="261" t="s">
        <v>20889</v>
      </c>
      <c r="G1380" s="261"/>
      <c r="H1380" s="261"/>
      <c r="I1380" s="261" t="s">
        <v>3779</v>
      </c>
      <c r="J1380" s="261" t="s">
        <v>19604</v>
      </c>
      <c r="K1380" s="262">
        <v>20</v>
      </c>
    </row>
    <row r="1381" spans="1:11" x14ac:dyDescent="0.2">
      <c r="A1381" s="306" t="s">
        <v>20330</v>
      </c>
      <c r="B1381" s="261" t="s">
        <v>20330</v>
      </c>
      <c r="C1381" s="261" t="s">
        <v>14236</v>
      </c>
      <c r="D1381" s="261" t="s">
        <v>18046</v>
      </c>
      <c r="E1381" s="261">
        <v>17</v>
      </c>
      <c r="F1381" s="261" t="s">
        <v>20890</v>
      </c>
      <c r="G1381" s="261"/>
      <c r="H1381" s="261"/>
      <c r="I1381" s="261" t="s">
        <v>3779</v>
      </c>
      <c r="J1381" s="261" t="s">
        <v>19602</v>
      </c>
      <c r="K1381" s="262">
        <v>20</v>
      </c>
    </row>
    <row r="1382" spans="1:11" x14ac:dyDescent="0.2">
      <c r="A1382" s="306" t="s">
        <v>20330</v>
      </c>
      <c r="B1382" s="261" t="s">
        <v>20330</v>
      </c>
      <c r="C1382" s="261" t="s">
        <v>14236</v>
      </c>
      <c r="D1382" s="261" t="s">
        <v>18046</v>
      </c>
      <c r="E1382" s="261">
        <v>18</v>
      </c>
      <c r="F1382" s="261" t="s">
        <v>20891</v>
      </c>
      <c r="G1382" s="261"/>
      <c r="H1382" s="261"/>
      <c r="I1382" s="261" t="s">
        <v>3779</v>
      </c>
      <c r="J1382" s="261" t="s">
        <v>19618</v>
      </c>
      <c r="K1382" s="262">
        <v>100</v>
      </c>
    </row>
    <row r="1383" spans="1:11" x14ac:dyDescent="0.2">
      <c r="A1383" s="306" t="s">
        <v>20333</v>
      </c>
      <c r="B1383" s="261" t="s">
        <v>20333</v>
      </c>
      <c r="C1383" s="261" t="s">
        <v>14242</v>
      </c>
      <c r="D1383" s="261" t="s">
        <v>18588</v>
      </c>
      <c r="E1383" s="261">
        <v>1</v>
      </c>
      <c r="F1383" s="261" t="s">
        <v>19688</v>
      </c>
      <c r="G1383" s="261" t="s">
        <v>14240</v>
      </c>
      <c r="H1383" s="261" t="s">
        <v>14241</v>
      </c>
      <c r="I1383" s="261"/>
      <c r="J1383" s="261"/>
      <c r="K1383" s="262"/>
    </row>
    <row r="1384" spans="1:11" x14ac:dyDescent="0.2">
      <c r="A1384" s="306" t="s">
        <v>20333</v>
      </c>
      <c r="B1384" s="261" t="s">
        <v>18657</v>
      </c>
      <c r="C1384" s="261" t="s">
        <v>14242</v>
      </c>
      <c r="D1384" s="261" t="s">
        <v>18588</v>
      </c>
      <c r="E1384" s="261">
        <v>2</v>
      </c>
      <c r="F1384" s="261" t="s">
        <v>21067</v>
      </c>
      <c r="G1384" s="261" t="s">
        <v>869</v>
      </c>
      <c r="H1384" s="261" t="s">
        <v>870</v>
      </c>
      <c r="I1384" s="261"/>
      <c r="J1384" s="261"/>
      <c r="K1384" s="262"/>
    </row>
    <row r="1385" spans="1:11" x14ac:dyDescent="0.2">
      <c r="A1385" s="306" t="s">
        <v>20333</v>
      </c>
      <c r="B1385" s="261" t="s">
        <v>18658</v>
      </c>
      <c r="C1385" s="261" t="s">
        <v>14242</v>
      </c>
      <c r="D1385" s="261" t="s">
        <v>18588</v>
      </c>
      <c r="E1385" s="261">
        <v>3</v>
      </c>
      <c r="F1385" s="261" t="s">
        <v>21068</v>
      </c>
      <c r="G1385" s="261" t="s">
        <v>8888</v>
      </c>
      <c r="H1385" s="261" t="s">
        <v>8889</v>
      </c>
      <c r="I1385" s="261"/>
      <c r="J1385" s="261"/>
      <c r="K1385" s="262"/>
    </row>
    <row r="1386" spans="1:11" x14ac:dyDescent="0.2">
      <c r="A1386" s="306" t="s">
        <v>20333</v>
      </c>
      <c r="B1386" s="261" t="s">
        <v>20333</v>
      </c>
      <c r="C1386" s="261" t="s">
        <v>14242</v>
      </c>
      <c r="D1386" s="261" t="s">
        <v>18588</v>
      </c>
      <c r="E1386" s="261">
        <v>4</v>
      </c>
      <c r="F1386" s="261" t="s">
        <v>20948</v>
      </c>
      <c r="G1386" s="261"/>
      <c r="H1386" s="261"/>
      <c r="I1386" s="261" t="s">
        <v>122</v>
      </c>
      <c r="J1386" s="261" t="s">
        <v>19599</v>
      </c>
      <c r="K1386" s="262">
        <v>20</v>
      </c>
    </row>
    <row r="1387" spans="1:11" x14ac:dyDescent="0.2">
      <c r="A1387" s="306" t="s">
        <v>20333</v>
      </c>
      <c r="B1387" s="261" t="s">
        <v>20333</v>
      </c>
      <c r="C1387" s="261" t="s">
        <v>14242</v>
      </c>
      <c r="D1387" s="261" t="s">
        <v>18588</v>
      </c>
      <c r="E1387" s="261">
        <v>5</v>
      </c>
      <c r="F1387" s="261" t="s">
        <v>20949</v>
      </c>
      <c r="G1387" s="261"/>
      <c r="H1387" s="261"/>
      <c r="I1387" s="261" t="s">
        <v>122</v>
      </c>
      <c r="J1387" s="261" t="s">
        <v>19600</v>
      </c>
      <c r="K1387" s="262">
        <v>20</v>
      </c>
    </row>
    <row r="1388" spans="1:11" x14ac:dyDescent="0.2">
      <c r="A1388" s="306" t="s">
        <v>20333</v>
      </c>
      <c r="B1388" s="261" t="s">
        <v>20333</v>
      </c>
      <c r="C1388" s="261" t="s">
        <v>14242</v>
      </c>
      <c r="D1388" s="261" t="s">
        <v>18588</v>
      </c>
      <c r="E1388" s="261">
        <v>6</v>
      </c>
      <c r="F1388" s="261" t="s">
        <v>20950</v>
      </c>
      <c r="G1388" s="261"/>
      <c r="H1388" s="261"/>
      <c r="I1388" s="261" t="s">
        <v>122</v>
      </c>
      <c r="J1388" s="261" t="s">
        <v>19603</v>
      </c>
      <c r="K1388" s="262">
        <v>20</v>
      </c>
    </row>
    <row r="1389" spans="1:11" x14ac:dyDescent="0.2">
      <c r="A1389" s="306" t="s">
        <v>20333</v>
      </c>
      <c r="B1389" s="261" t="s">
        <v>20333</v>
      </c>
      <c r="C1389" s="261" t="s">
        <v>14242</v>
      </c>
      <c r="D1389" s="261" t="s">
        <v>18588</v>
      </c>
      <c r="E1389" s="261">
        <v>7</v>
      </c>
      <c r="F1389" s="261" t="s">
        <v>21069</v>
      </c>
      <c r="G1389" s="261"/>
      <c r="H1389" s="261"/>
      <c r="I1389" s="261" t="s">
        <v>122</v>
      </c>
      <c r="J1389" s="261" t="s">
        <v>19601</v>
      </c>
      <c r="K1389" s="262">
        <v>20</v>
      </c>
    </row>
    <row r="1390" spans="1:11" x14ac:dyDescent="0.2">
      <c r="A1390" s="306" t="s">
        <v>20333</v>
      </c>
      <c r="B1390" s="261" t="s">
        <v>20333</v>
      </c>
      <c r="C1390" s="261" t="s">
        <v>14242</v>
      </c>
      <c r="D1390" s="261" t="s">
        <v>18588</v>
      </c>
      <c r="E1390" s="261">
        <v>8</v>
      </c>
      <c r="F1390" s="261" t="s">
        <v>20952</v>
      </c>
      <c r="G1390" s="261"/>
      <c r="H1390" s="261"/>
      <c r="I1390" s="261" t="s">
        <v>122</v>
      </c>
      <c r="J1390" s="261" t="s">
        <v>19604</v>
      </c>
      <c r="K1390" s="262">
        <v>20</v>
      </c>
    </row>
    <row r="1391" spans="1:11" x14ac:dyDescent="0.2">
      <c r="A1391" s="306" t="s">
        <v>20333</v>
      </c>
      <c r="B1391" s="261" t="s">
        <v>20333</v>
      </c>
      <c r="C1391" s="261" t="s">
        <v>14242</v>
      </c>
      <c r="D1391" s="261" t="s">
        <v>18588</v>
      </c>
      <c r="E1391" s="261">
        <v>9</v>
      </c>
      <c r="F1391" s="261" t="s">
        <v>21070</v>
      </c>
      <c r="G1391" s="261"/>
      <c r="H1391" s="261"/>
      <c r="I1391" s="261" t="s">
        <v>122</v>
      </c>
      <c r="J1391" s="261" t="s">
        <v>19602</v>
      </c>
      <c r="K1391" s="262">
        <v>20</v>
      </c>
    </row>
    <row r="1392" spans="1:11" x14ac:dyDescent="0.2">
      <c r="A1392" s="306" t="s">
        <v>20333</v>
      </c>
      <c r="B1392" s="261" t="s">
        <v>20333</v>
      </c>
      <c r="C1392" s="261" t="s">
        <v>14242</v>
      </c>
      <c r="D1392" s="261" t="s">
        <v>18588</v>
      </c>
      <c r="E1392" s="261">
        <v>10</v>
      </c>
      <c r="F1392" s="261" t="s">
        <v>21071</v>
      </c>
      <c r="G1392" s="261"/>
      <c r="H1392" s="261"/>
      <c r="I1392" s="261" t="s">
        <v>10772</v>
      </c>
      <c r="J1392" s="261" t="s">
        <v>19618</v>
      </c>
      <c r="K1392" s="262">
        <v>100</v>
      </c>
    </row>
    <row r="1393" spans="1:11" x14ac:dyDescent="0.2">
      <c r="A1393" s="306" t="s">
        <v>20497</v>
      </c>
      <c r="B1393" s="261" t="s">
        <v>20497</v>
      </c>
      <c r="C1393" s="261" t="s">
        <v>14245</v>
      </c>
      <c r="D1393" s="261" t="s">
        <v>18017</v>
      </c>
      <c r="E1393" s="261">
        <v>1</v>
      </c>
      <c r="F1393" s="261" t="s">
        <v>19688</v>
      </c>
      <c r="G1393" s="261" t="s">
        <v>14557</v>
      </c>
      <c r="H1393" s="261" t="s">
        <v>14558</v>
      </c>
      <c r="I1393" s="261"/>
      <c r="J1393" s="261"/>
      <c r="K1393" s="262"/>
    </row>
    <row r="1394" spans="1:11" x14ac:dyDescent="0.2">
      <c r="A1394" s="306" t="s">
        <v>20497</v>
      </c>
      <c r="B1394" s="261" t="s">
        <v>18661</v>
      </c>
      <c r="C1394" s="261" t="s">
        <v>14245</v>
      </c>
      <c r="D1394" s="261" t="s">
        <v>18017</v>
      </c>
      <c r="E1394" s="261">
        <v>2</v>
      </c>
      <c r="F1394" s="261" t="s">
        <v>21085</v>
      </c>
      <c r="G1394" s="261" t="s">
        <v>2964</v>
      </c>
      <c r="H1394" s="261" t="s">
        <v>2965</v>
      </c>
      <c r="I1394" s="261"/>
      <c r="J1394" s="261"/>
      <c r="K1394" s="262"/>
    </row>
    <row r="1395" spans="1:11" x14ac:dyDescent="0.2">
      <c r="A1395" s="306" t="s">
        <v>20497</v>
      </c>
      <c r="B1395" s="261" t="s">
        <v>18663</v>
      </c>
      <c r="C1395" s="261" t="s">
        <v>14245</v>
      </c>
      <c r="D1395" s="261" t="s">
        <v>18017</v>
      </c>
      <c r="E1395" s="261">
        <v>3</v>
      </c>
      <c r="F1395" s="261" t="s">
        <v>21086</v>
      </c>
      <c r="G1395" s="261" t="s">
        <v>14246</v>
      </c>
      <c r="H1395" s="261" t="s">
        <v>14247</v>
      </c>
      <c r="I1395" s="261"/>
      <c r="J1395" s="261"/>
      <c r="K1395" s="262"/>
    </row>
    <row r="1396" spans="1:11" x14ac:dyDescent="0.2">
      <c r="A1396" s="306" t="s">
        <v>20497</v>
      </c>
      <c r="B1396" s="261" t="s">
        <v>18667</v>
      </c>
      <c r="C1396" s="261" t="s">
        <v>14245</v>
      </c>
      <c r="D1396" s="261" t="s">
        <v>18017</v>
      </c>
      <c r="E1396" s="261">
        <v>4</v>
      </c>
      <c r="F1396" s="261" t="s">
        <v>21087</v>
      </c>
      <c r="G1396" s="261" t="s">
        <v>14243</v>
      </c>
      <c r="H1396" s="261" t="s">
        <v>14244</v>
      </c>
      <c r="I1396" s="261"/>
      <c r="J1396" s="261"/>
      <c r="K1396" s="262"/>
    </row>
    <row r="1397" spans="1:11" x14ac:dyDescent="0.2">
      <c r="A1397" s="306" t="s">
        <v>20497</v>
      </c>
      <c r="B1397" s="261" t="s">
        <v>18670</v>
      </c>
      <c r="C1397" s="261" t="s">
        <v>14245</v>
      </c>
      <c r="D1397" s="261" t="s">
        <v>18017</v>
      </c>
      <c r="E1397" s="261">
        <v>5</v>
      </c>
      <c r="F1397" s="261" t="s">
        <v>21088</v>
      </c>
      <c r="G1397" s="261" t="s">
        <v>2525</v>
      </c>
      <c r="H1397" s="261" t="s">
        <v>2526</v>
      </c>
      <c r="I1397" s="261"/>
      <c r="J1397" s="261"/>
      <c r="K1397" s="262"/>
    </row>
    <row r="1398" spans="1:11" x14ac:dyDescent="0.2">
      <c r="A1398" s="306" t="s">
        <v>20497</v>
      </c>
      <c r="B1398" s="261" t="s">
        <v>18671</v>
      </c>
      <c r="C1398" s="261" t="s">
        <v>14245</v>
      </c>
      <c r="D1398" s="261" t="s">
        <v>18017</v>
      </c>
      <c r="E1398" s="261">
        <v>6</v>
      </c>
      <c r="F1398" s="261" t="s">
        <v>21089</v>
      </c>
      <c r="G1398" s="261" t="s">
        <v>14555</v>
      </c>
      <c r="H1398" s="261" t="s">
        <v>14556</v>
      </c>
      <c r="I1398" s="261"/>
      <c r="J1398" s="261"/>
      <c r="K1398" s="262"/>
    </row>
    <row r="1399" spans="1:11" x14ac:dyDescent="0.2">
      <c r="A1399" s="306" t="s">
        <v>20497</v>
      </c>
      <c r="B1399" s="261" t="s">
        <v>18672</v>
      </c>
      <c r="C1399" s="261" t="s">
        <v>14245</v>
      </c>
      <c r="D1399" s="261" t="s">
        <v>18017</v>
      </c>
      <c r="E1399" s="261">
        <v>7</v>
      </c>
      <c r="F1399" s="261" t="s">
        <v>21090</v>
      </c>
      <c r="G1399" s="261" t="s">
        <v>3746</v>
      </c>
      <c r="H1399" s="261" t="s">
        <v>3747</v>
      </c>
      <c r="I1399" s="261"/>
      <c r="J1399" s="261"/>
      <c r="K1399" s="262"/>
    </row>
    <row r="1400" spans="1:11" x14ac:dyDescent="0.2">
      <c r="A1400" s="306" t="s">
        <v>20497</v>
      </c>
      <c r="B1400" s="261" t="s">
        <v>18673</v>
      </c>
      <c r="C1400" s="261" t="s">
        <v>14245</v>
      </c>
      <c r="D1400" s="261" t="s">
        <v>18017</v>
      </c>
      <c r="E1400" s="261">
        <v>8</v>
      </c>
      <c r="F1400" s="261" t="s">
        <v>21091</v>
      </c>
      <c r="G1400" s="261" t="s">
        <v>10169</v>
      </c>
      <c r="H1400" s="261" t="s">
        <v>10170</v>
      </c>
      <c r="I1400" s="261"/>
      <c r="J1400" s="261"/>
      <c r="K1400" s="262"/>
    </row>
    <row r="1401" spans="1:11" x14ac:dyDescent="0.2">
      <c r="A1401" s="306" t="s">
        <v>20497</v>
      </c>
      <c r="B1401" s="261" t="s">
        <v>20497</v>
      </c>
      <c r="C1401" s="261" t="s">
        <v>14245</v>
      </c>
      <c r="D1401" s="261" t="s">
        <v>18017</v>
      </c>
      <c r="E1401" s="261">
        <v>9</v>
      </c>
      <c r="F1401" s="261" t="s">
        <v>20868</v>
      </c>
      <c r="G1401" s="261"/>
      <c r="H1401" s="261"/>
      <c r="I1401" s="261" t="s">
        <v>2837</v>
      </c>
      <c r="J1401" s="261" t="s">
        <v>19599</v>
      </c>
      <c r="K1401" s="262">
        <v>20</v>
      </c>
    </row>
    <row r="1402" spans="1:11" x14ac:dyDescent="0.2">
      <c r="A1402" s="306" t="s">
        <v>20497</v>
      </c>
      <c r="B1402" s="261" t="s">
        <v>20497</v>
      </c>
      <c r="C1402" s="261" t="s">
        <v>14245</v>
      </c>
      <c r="D1402" s="261" t="s">
        <v>18017</v>
      </c>
      <c r="E1402" s="261">
        <v>10</v>
      </c>
      <c r="F1402" s="261" t="s">
        <v>20869</v>
      </c>
      <c r="G1402" s="261"/>
      <c r="H1402" s="261"/>
      <c r="I1402" s="261" t="s">
        <v>2837</v>
      </c>
      <c r="J1402" s="261" t="s">
        <v>19600</v>
      </c>
      <c r="K1402" s="262">
        <v>20</v>
      </c>
    </row>
    <row r="1403" spans="1:11" x14ac:dyDescent="0.2">
      <c r="A1403" s="306" t="s">
        <v>20497</v>
      </c>
      <c r="B1403" s="261" t="s">
        <v>20497</v>
      </c>
      <c r="C1403" s="261" t="s">
        <v>14245</v>
      </c>
      <c r="D1403" s="261" t="s">
        <v>18017</v>
      </c>
      <c r="E1403" s="261">
        <v>11</v>
      </c>
      <c r="F1403" s="261" t="s">
        <v>20870</v>
      </c>
      <c r="G1403" s="261"/>
      <c r="H1403" s="261"/>
      <c r="I1403" s="261" t="s">
        <v>2837</v>
      </c>
      <c r="J1403" s="261" t="s">
        <v>19603</v>
      </c>
      <c r="K1403" s="262">
        <v>20</v>
      </c>
    </row>
    <row r="1404" spans="1:11" x14ac:dyDescent="0.2">
      <c r="A1404" s="306" t="s">
        <v>20497</v>
      </c>
      <c r="B1404" s="261" t="s">
        <v>20497</v>
      </c>
      <c r="C1404" s="261" t="s">
        <v>14245</v>
      </c>
      <c r="D1404" s="261" t="s">
        <v>18017</v>
      </c>
      <c r="E1404" s="261">
        <v>12</v>
      </c>
      <c r="F1404" s="261" t="s">
        <v>20871</v>
      </c>
      <c r="G1404" s="261"/>
      <c r="H1404" s="261"/>
      <c r="I1404" s="261" t="s">
        <v>2837</v>
      </c>
      <c r="J1404" s="261" t="s">
        <v>19601</v>
      </c>
      <c r="K1404" s="262">
        <v>20</v>
      </c>
    </row>
    <row r="1405" spans="1:11" x14ac:dyDescent="0.2">
      <c r="A1405" s="306" t="s">
        <v>20497</v>
      </c>
      <c r="B1405" s="261" t="s">
        <v>20497</v>
      </c>
      <c r="C1405" s="261" t="s">
        <v>14245</v>
      </c>
      <c r="D1405" s="261" t="s">
        <v>18017</v>
      </c>
      <c r="E1405" s="261">
        <v>13</v>
      </c>
      <c r="F1405" s="261" t="s">
        <v>20872</v>
      </c>
      <c r="G1405" s="261"/>
      <c r="H1405" s="261"/>
      <c r="I1405" s="261" t="s">
        <v>2837</v>
      </c>
      <c r="J1405" s="261" t="s">
        <v>19604</v>
      </c>
      <c r="K1405" s="262">
        <v>20</v>
      </c>
    </row>
    <row r="1406" spans="1:11" x14ac:dyDescent="0.2">
      <c r="A1406" s="306" t="s">
        <v>20497</v>
      </c>
      <c r="B1406" s="261" t="s">
        <v>20497</v>
      </c>
      <c r="C1406" s="261" t="s">
        <v>14245</v>
      </c>
      <c r="D1406" s="261" t="s">
        <v>18017</v>
      </c>
      <c r="E1406" s="261">
        <v>14</v>
      </c>
      <c r="F1406" s="261" t="s">
        <v>20873</v>
      </c>
      <c r="G1406" s="261"/>
      <c r="H1406" s="261"/>
      <c r="I1406" s="261" t="s">
        <v>2837</v>
      </c>
      <c r="J1406" s="261" t="s">
        <v>19602</v>
      </c>
      <c r="K1406" s="262">
        <v>20</v>
      </c>
    </row>
    <row r="1407" spans="1:11" x14ac:dyDescent="0.2">
      <c r="A1407" s="306" t="s">
        <v>20497</v>
      </c>
      <c r="B1407" s="261" t="s">
        <v>20497</v>
      </c>
      <c r="C1407" s="261" t="s">
        <v>14245</v>
      </c>
      <c r="D1407" s="261" t="s">
        <v>18017</v>
      </c>
      <c r="E1407" s="261">
        <v>15</v>
      </c>
      <c r="F1407" s="261" t="s">
        <v>20874</v>
      </c>
      <c r="G1407" s="261"/>
      <c r="H1407" s="261"/>
      <c r="I1407" s="261" t="s">
        <v>10772</v>
      </c>
      <c r="J1407" s="261" t="s">
        <v>19618</v>
      </c>
      <c r="K1407" s="262">
        <v>100</v>
      </c>
    </row>
    <row r="1408" spans="1:11" x14ac:dyDescent="0.2">
      <c r="A1408" s="306" t="s">
        <v>20337</v>
      </c>
      <c r="B1408" s="261" t="s">
        <v>20337</v>
      </c>
      <c r="C1408" s="261" t="s">
        <v>14252</v>
      </c>
      <c r="D1408" s="261" t="s">
        <v>18560</v>
      </c>
      <c r="E1408" s="261">
        <v>1</v>
      </c>
      <c r="F1408" s="261" t="s">
        <v>19688</v>
      </c>
      <c r="G1408" s="261" t="s">
        <v>14249</v>
      </c>
      <c r="H1408" s="261" t="s">
        <v>14250</v>
      </c>
      <c r="I1408" s="261"/>
      <c r="J1408" s="261"/>
      <c r="K1408" s="262"/>
    </row>
    <row r="1409" spans="1:11" x14ac:dyDescent="0.2">
      <c r="A1409" s="306" t="s">
        <v>20337</v>
      </c>
      <c r="B1409" s="261" t="s">
        <v>18690</v>
      </c>
      <c r="C1409" s="261" t="s">
        <v>14252</v>
      </c>
      <c r="D1409" s="261" t="s">
        <v>18560</v>
      </c>
      <c r="E1409" s="261">
        <v>2</v>
      </c>
      <c r="F1409" s="261" t="s">
        <v>20946</v>
      </c>
      <c r="G1409" s="261" t="s">
        <v>1221</v>
      </c>
      <c r="H1409" s="261" t="s">
        <v>1222</v>
      </c>
      <c r="I1409" s="261"/>
      <c r="J1409" s="261"/>
      <c r="K1409" s="262"/>
    </row>
    <row r="1410" spans="1:11" x14ac:dyDescent="0.2">
      <c r="A1410" s="306" t="s">
        <v>20337</v>
      </c>
      <c r="B1410" s="261" t="s">
        <v>18691</v>
      </c>
      <c r="C1410" s="261" t="s">
        <v>14252</v>
      </c>
      <c r="D1410" s="261" t="s">
        <v>18560</v>
      </c>
      <c r="E1410" s="261">
        <v>3</v>
      </c>
      <c r="F1410" s="261" t="s">
        <v>20947</v>
      </c>
      <c r="G1410" s="261" t="s">
        <v>2426</v>
      </c>
      <c r="H1410" s="261" t="s">
        <v>2427</v>
      </c>
      <c r="I1410" s="261"/>
      <c r="J1410" s="261"/>
      <c r="K1410" s="262"/>
    </row>
    <row r="1411" spans="1:11" x14ac:dyDescent="0.2">
      <c r="A1411" s="306" t="s">
        <v>20337</v>
      </c>
      <c r="B1411" s="261" t="s">
        <v>20337</v>
      </c>
      <c r="C1411" s="261" t="s">
        <v>14252</v>
      </c>
      <c r="D1411" s="261" t="s">
        <v>18560</v>
      </c>
      <c r="E1411" s="261">
        <v>4</v>
      </c>
      <c r="F1411" s="261" t="s">
        <v>20948</v>
      </c>
      <c r="G1411" s="261"/>
      <c r="H1411" s="261"/>
      <c r="I1411" s="261" t="s">
        <v>1947</v>
      </c>
      <c r="J1411" s="261" t="s">
        <v>19599</v>
      </c>
      <c r="K1411" s="262">
        <v>20</v>
      </c>
    </row>
    <row r="1412" spans="1:11" x14ac:dyDescent="0.2">
      <c r="A1412" s="306" t="s">
        <v>20337</v>
      </c>
      <c r="B1412" s="261" t="s">
        <v>20337</v>
      </c>
      <c r="C1412" s="261" t="s">
        <v>14252</v>
      </c>
      <c r="D1412" s="261" t="s">
        <v>18560</v>
      </c>
      <c r="E1412" s="261">
        <v>5</v>
      </c>
      <c r="F1412" s="261" t="s">
        <v>20949</v>
      </c>
      <c r="G1412" s="261"/>
      <c r="H1412" s="261"/>
      <c r="I1412" s="261" t="s">
        <v>1947</v>
      </c>
      <c r="J1412" s="261" t="s">
        <v>19600</v>
      </c>
      <c r="K1412" s="262">
        <v>20</v>
      </c>
    </row>
    <row r="1413" spans="1:11" x14ac:dyDescent="0.2">
      <c r="A1413" s="306" t="s">
        <v>20337</v>
      </c>
      <c r="B1413" s="261" t="s">
        <v>20337</v>
      </c>
      <c r="C1413" s="261" t="s">
        <v>14252</v>
      </c>
      <c r="D1413" s="261" t="s">
        <v>18560</v>
      </c>
      <c r="E1413" s="261">
        <v>6</v>
      </c>
      <c r="F1413" s="261" t="s">
        <v>20950</v>
      </c>
      <c r="G1413" s="261"/>
      <c r="H1413" s="261"/>
      <c r="I1413" s="261" t="s">
        <v>1947</v>
      </c>
      <c r="J1413" s="261" t="s">
        <v>19603</v>
      </c>
      <c r="K1413" s="262">
        <v>20</v>
      </c>
    </row>
    <row r="1414" spans="1:11" x14ac:dyDescent="0.2">
      <c r="A1414" s="306" t="s">
        <v>20337</v>
      </c>
      <c r="B1414" s="261" t="s">
        <v>20337</v>
      </c>
      <c r="C1414" s="261" t="s">
        <v>14252</v>
      </c>
      <c r="D1414" s="261" t="s">
        <v>18560</v>
      </c>
      <c r="E1414" s="261">
        <v>7</v>
      </c>
      <c r="F1414" s="261" t="s">
        <v>20951</v>
      </c>
      <c r="G1414" s="261"/>
      <c r="H1414" s="261"/>
      <c r="I1414" s="261" t="s">
        <v>1947</v>
      </c>
      <c r="J1414" s="261" t="s">
        <v>19601</v>
      </c>
      <c r="K1414" s="262">
        <v>20</v>
      </c>
    </row>
    <row r="1415" spans="1:11" x14ac:dyDescent="0.2">
      <c r="A1415" s="306" t="s">
        <v>20337</v>
      </c>
      <c r="B1415" s="261" t="s">
        <v>20337</v>
      </c>
      <c r="C1415" s="261" t="s">
        <v>14252</v>
      </c>
      <c r="D1415" s="261" t="s">
        <v>18560</v>
      </c>
      <c r="E1415" s="261">
        <v>8</v>
      </c>
      <c r="F1415" s="261" t="s">
        <v>20952</v>
      </c>
      <c r="G1415" s="261"/>
      <c r="H1415" s="261"/>
      <c r="I1415" s="261" t="s">
        <v>1947</v>
      </c>
      <c r="J1415" s="261" t="s">
        <v>19604</v>
      </c>
      <c r="K1415" s="262">
        <v>20</v>
      </c>
    </row>
    <row r="1416" spans="1:11" x14ac:dyDescent="0.2">
      <c r="A1416" s="306" t="s">
        <v>20337</v>
      </c>
      <c r="B1416" s="261" t="s">
        <v>20337</v>
      </c>
      <c r="C1416" s="261" t="s">
        <v>14252</v>
      </c>
      <c r="D1416" s="261" t="s">
        <v>18560</v>
      </c>
      <c r="E1416" s="261">
        <v>9</v>
      </c>
      <c r="F1416" s="261" t="s">
        <v>20953</v>
      </c>
      <c r="G1416" s="261"/>
      <c r="H1416" s="261"/>
      <c r="I1416" s="261" t="s">
        <v>1947</v>
      </c>
      <c r="J1416" s="261" t="s">
        <v>19602</v>
      </c>
      <c r="K1416" s="262">
        <v>20</v>
      </c>
    </row>
    <row r="1417" spans="1:11" x14ac:dyDescent="0.2">
      <c r="A1417" s="306" t="s">
        <v>20337</v>
      </c>
      <c r="B1417" s="261" t="s">
        <v>20337</v>
      </c>
      <c r="C1417" s="261" t="s">
        <v>14252</v>
      </c>
      <c r="D1417" s="261" t="s">
        <v>18560</v>
      </c>
      <c r="E1417" s="261">
        <v>10</v>
      </c>
      <c r="F1417" s="261" t="s">
        <v>20954</v>
      </c>
      <c r="G1417" s="261"/>
      <c r="H1417" s="261"/>
      <c r="I1417" s="261" t="s">
        <v>10772</v>
      </c>
      <c r="J1417" s="261" t="s">
        <v>19618</v>
      </c>
      <c r="K1417" s="262">
        <v>100</v>
      </c>
    </row>
    <row r="1418" spans="1:11" x14ac:dyDescent="0.2">
      <c r="A1418" s="306" t="s">
        <v>20043</v>
      </c>
      <c r="B1418" s="261" t="s">
        <v>20043</v>
      </c>
      <c r="C1418" s="261" t="s">
        <v>14255</v>
      </c>
      <c r="D1418" s="261" t="s">
        <v>18046</v>
      </c>
      <c r="E1418" s="261">
        <v>1</v>
      </c>
      <c r="F1418" s="261" t="s">
        <v>19688</v>
      </c>
      <c r="G1418" s="261" t="s">
        <v>20154</v>
      </c>
      <c r="H1418" s="261" t="s">
        <v>20155</v>
      </c>
      <c r="I1418" s="261"/>
      <c r="J1418" s="261"/>
      <c r="K1418" s="262"/>
    </row>
    <row r="1419" spans="1:11" x14ac:dyDescent="0.2">
      <c r="A1419" s="306" t="s">
        <v>20043</v>
      </c>
      <c r="B1419" s="261" t="s">
        <v>20043</v>
      </c>
      <c r="C1419" s="261" t="s">
        <v>14255</v>
      </c>
      <c r="D1419" s="261" t="s">
        <v>18046</v>
      </c>
      <c r="E1419" s="261">
        <v>2</v>
      </c>
      <c r="F1419" s="261" t="s">
        <v>19688</v>
      </c>
      <c r="G1419" s="261" t="s">
        <v>14561</v>
      </c>
      <c r="H1419" s="261" t="s">
        <v>14562</v>
      </c>
      <c r="I1419" s="261"/>
      <c r="J1419" s="261"/>
      <c r="K1419" s="262"/>
    </row>
    <row r="1420" spans="1:11" x14ac:dyDescent="0.2">
      <c r="A1420" s="306" t="s">
        <v>20043</v>
      </c>
      <c r="B1420" s="261" t="s">
        <v>18697</v>
      </c>
      <c r="C1420" s="261" t="s">
        <v>14255</v>
      </c>
      <c r="D1420" s="261" t="s">
        <v>18046</v>
      </c>
      <c r="E1420" s="261">
        <v>3</v>
      </c>
      <c r="F1420" s="261" t="s">
        <v>21092</v>
      </c>
      <c r="G1420" s="261" t="s">
        <v>4286</v>
      </c>
      <c r="H1420" s="261" t="s">
        <v>4287</v>
      </c>
      <c r="I1420" s="261"/>
      <c r="J1420" s="261"/>
      <c r="K1420" s="262"/>
    </row>
    <row r="1421" spans="1:11" x14ac:dyDescent="0.2">
      <c r="A1421" s="306" t="s">
        <v>20043</v>
      </c>
      <c r="B1421" s="261" t="s">
        <v>18698</v>
      </c>
      <c r="C1421" s="261" t="s">
        <v>14255</v>
      </c>
      <c r="D1421" s="261" t="s">
        <v>18046</v>
      </c>
      <c r="E1421" s="261">
        <v>4</v>
      </c>
      <c r="F1421" s="261" t="s">
        <v>21093</v>
      </c>
      <c r="G1421" s="261" t="s">
        <v>14253</v>
      </c>
      <c r="H1421" s="261" t="s">
        <v>14254</v>
      </c>
      <c r="I1421" s="261"/>
      <c r="J1421" s="261"/>
      <c r="K1421" s="262"/>
    </row>
    <row r="1422" spans="1:11" x14ac:dyDescent="0.2">
      <c r="A1422" s="306" t="s">
        <v>20043</v>
      </c>
      <c r="B1422" s="261" t="s">
        <v>18700</v>
      </c>
      <c r="C1422" s="261" t="s">
        <v>14255</v>
      </c>
      <c r="D1422" s="261" t="s">
        <v>18046</v>
      </c>
      <c r="E1422" s="261">
        <v>5</v>
      </c>
      <c r="F1422" s="261" t="s">
        <v>21094</v>
      </c>
      <c r="G1422" s="261" t="s">
        <v>14256</v>
      </c>
      <c r="H1422" s="261" t="s">
        <v>14257</v>
      </c>
      <c r="I1422" s="261"/>
      <c r="J1422" s="261"/>
      <c r="K1422" s="262"/>
    </row>
    <row r="1423" spans="1:11" x14ac:dyDescent="0.2">
      <c r="A1423" s="306" t="s">
        <v>20043</v>
      </c>
      <c r="B1423" s="261" t="s">
        <v>18701</v>
      </c>
      <c r="C1423" s="261" t="s">
        <v>14255</v>
      </c>
      <c r="D1423" s="261" t="s">
        <v>18046</v>
      </c>
      <c r="E1423" s="261">
        <v>6</v>
      </c>
      <c r="F1423" s="261" t="s">
        <v>21095</v>
      </c>
      <c r="G1423" s="261" t="s">
        <v>1925</v>
      </c>
      <c r="H1423" s="261" t="s">
        <v>1926</v>
      </c>
      <c r="I1423" s="261"/>
      <c r="J1423" s="261"/>
      <c r="K1423" s="262"/>
    </row>
    <row r="1424" spans="1:11" x14ac:dyDescent="0.2">
      <c r="A1424" s="306" t="s">
        <v>20043</v>
      </c>
      <c r="B1424" s="261" t="s">
        <v>20043</v>
      </c>
      <c r="C1424" s="261" t="s">
        <v>14255</v>
      </c>
      <c r="D1424" s="261" t="s">
        <v>18046</v>
      </c>
      <c r="E1424" s="261">
        <v>7</v>
      </c>
      <c r="F1424" s="261" t="s">
        <v>20882</v>
      </c>
      <c r="G1424" s="261"/>
      <c r="H1424" s="261"/>
      <c r="I1424" s="261"/>
      <c r="J1424" s="261" t="s">
        <v>21096</v>
      </c>
      <c r="K1424" s="262">
        <v>7</v>
      </c>
    </row>
    <row r="1425" spans="1:11" x14ac:dyDescent="0.2">
      <c r="A1425" s="306" t="s">
        <v>20043</v>
      </c>
      <c r="B1425" s="261" t="s">
        <v>20043</v>
      </c>
      <c r="C1425" s="261" t="s">
        <v>14255</v>
      </c>
      <c r="D1425" s="261" t="s">
        <v>18046</v>
      </c>
      <c r="E1425" s="261">
        <v>8</v>
      </c>
      <c r="F1425" s="261" t="s">
        <v>20884</v>
      </c>
      <c r="G1425" s="261"/>
      <c r="H1425" s="261"/>
      <c r="I1425" s="261"/>
      <c r="J1425" s="261" t="s">
        <v>21096</v>
      </c>
      <c r="K1425" s="262">
        <v>7</v>
      </c>
    </row>
    <row r="1426" spans="1:11" x14ac:dyDescent="0.2">
      <c r="A1426" s="306" t="s">
        <v>20043</v>
      </c>
      <c r="B1426" s="261" t="s">
        <v>20043</v>
      </c>
      <c r="C1426" s="261" t="s">
        <v>14255</v>
      </c>
      <c r="D1426" s="261" t="s">
        <v>18046</v>
      </c>
      <c r="E1426" s="261">
        <v>9</v>
      </c>
      <c r="F1426" s="261" t="s">
        <v>20868</v>
      </c>
      <c r="G1426" s="261"/>
      <c r="H1426" s="261"/>
      <c r="I1426" s="261"/>
      <c r="J1426" s="261" t="s">
        <v>21096</v>
      </c>
      <c r="K1426" s="262">
        <v>7</v>
      </c>
    </row>
    <row r="1427" spans="1:11" x14ac:dyDescent="0.2">
      <c r="A1427" s="306" t="s">
        <v>20043</v>
      </c>
      <c r="B1427" s="261" t="s">
        <v>20043</v>
      </c>
      <c r="C1427" s="261" t="s">
        <v>14255</v>
      </c>
      <c r="D1427" s="261" t="s">
        <v>18046</v>
      </c>
      <c r="E1427" s="261">
        <v>10</v>
      </c>
      <c r="F1427" s="261" t="s">
        <v>20885</v>
      </c>
      <c r="G1427" s="261"/>
      <c r="H1427" s="261"/>
      <c r="I1427" s="261"/>
      <c r="J1427" s="261" t="s">
        <v>21096</v>
      </c>
      <c r="K1427" s="262">
        <v>7</v>
      </c>
    </row>
    <row r="1428" spans="1:11" x14ac:dyDescent="0.2">
      <c r="A1428" s="306" t="s">
        <v>20043</v>
      </c>
      <c r="B1428" s="261" t="s">
        <v>20043</v>
      </c>
      <c r="C1428" s="261" t="s">
        <v>14255</v>
      </c>
      <c r="D1428" s="261" t="s">
        <v>18046</v>
      </c>
      <c r="E1428" s="261">
        <v>11</v>
      </c>
      <c r="F1428" s="261" t="s">
        <v>20886</v>
      </c>
      <c r="G1428" s="261"/>
      <c r="H1428" s="261"/>
      <c r="I1428" s="261"/>
      <c r="J1428" s="261" t="s">
        <v>21096</v>
      </c>
      <c r="K1428" s="262">
        <v>6</v>
      </c>
    </row>
    <row r="1429" spans="1:11" x14ac:dyDescent="0.2">
      <c r="A1429" s="306" t="s">
        <v>20043</v>
      </c>
      <c r="B1429" s="261" t="s">
        <v>20043</v>
      </c>
      <c r="C1429" s="261" t="s">
        <v>14255</v>
      </c>
      <c r="D1429" s="261" t="s">
        <v>18046</v>
      </c>
      <c r="E1429" s="261">
        <v>12</v>
      </c>
      <c r="F1429" s="261" t="s">
        <v>20042</v>
      </c>
      <c r="G1429" s="261" t="s">
        <v>8934</v>
      </c>
      <c r="H1429" s="261" t="s">
        <v>8935</v>
      </c>
      <c r="I1429" s="261"/>
      <c r="J1429" s="261"/>
      <c r="K1429" s="262"/>
    </row>
    <row r="1430" spans="1:11" x14ac:dyDescent="0.2">
      <c r="A1430" s="306" t="s">
        <v>20043</v>
      </c>
      <c r="B1430" s="261" t="s">
        <v>20043</v>
      </c>
      <c r="C1430" s="261" t="s">
        <v>14255</v>
      </c>
      <c r="D1430" s="261" t="s">
        <v>18046</v>
      </c>
      <c r="E1430" s="261">
        <v>13</v>
      </c>
      <c r="F1430" s="261" t="s">
        <v>20870</v>
      </c>
      <c r="G1430" s="261"/>
      <c r="H1430" s="261"/>
      <c r="I1430" s="261" t="s">
        <v>3779</v>
      </c>
      <c r="J1430" s="261" t="s">
        <v>19599</v>
      </c>
      <c r="K1430" s="262">
        <v>20</v>
      </c>
    </row>
    <row r="1431" spans="1:11" x14ac:dyDescent="0.2">
      <c r="A1431" s="306" t="s">
        <v>20043</v>
      </c>
      <c r="B1431" s="261" t="s">
        <v>20043</v>
      </c>
      <c r="C1431" s="261" t="s">
        <v>14255</v>
      </c>
      <c r="D1431" s="261" t="s">
        <v>18046</v>
      </c>
      <c r="E1431" s="261">
        <v>14</v>
      </c>
      <c r="F1431" s="261" t="s">
        <v>20888</v>
      </c>
      <c r="G1431" s="261"/>
      <c r="H1431" s="261"/>
      <c r="I1431" s="261" t="s">
        <v>3779</v>
      </c>
      <c r="J1431" s="261" t="s">
        <v>19603</v>
      </c>
      <c r="K1431" s="262">
        <v>20</v>
      </c>
    </row>
    <row r="1432" spans="1:11" x14ac:dyDescent="0.2">
      <c r="A1432" s="306" t="s">
        <v>20043</v>
      </c>
      <c r="B1432" s="261" t="s">
        <v>20043</v>
      </c>
      <c r="C1432" s="261" t="s">
        <v>14255</v>
      </c>
      <c r="D1432" s="261" t="s">
        <v>18046</v>
      </c>
      <c r="E1432" s="261">
        <v>15</v>
      </c>
      <c r="F1432" s="261" t="s">
        <v>21097</v>
      </c>
      <c r="G1432" s="261"/>
      <c r="H1432" s="261"/>
      <c r="I1432" s="261" t="s">
        <v>3779</v>
      </c>
      <c r="J1432" s="261" t="s">
        <v>19600</v>
      </c>
      <c r="K1432" s="262">
        <v>20</v>
      </c>
    </row>
    <row r="1433" spans="1:11" x14ac:dyDescent="0.2">
      <c r="A1433" s="306" t="s">
        <v>20043</v>
      </c>
      <c r="B1433" s="261" t="s">
        <v>20043</v>
      </c>
      <c r="C1433" s="261" t="s">
        <v>14255</v>
      </c>
      <c r="D1433" s="261" t="s">
        <v>18046</v>
      </c>
      <c r="E1433" s="261">
        <v>16</v>
      </c>
      <c r="F1433" s="261" t="s">
        <v>20872</v>
      </c>
      <c r="G1433" s="261"/>
      <c r="H1433" s="261"/>
      <c r="I1433" s="261" t="s">
        <v>3779</v>
      </c>
      <c r="J1433" s="261" t="s">
        <v>19601</v>
      </c>
      <c r="K1433" s="262">
        <v>20</v>
      </c>
    </row>
    <row r="1434" spans="1:11" x14ac:dyDescent="0.2">
      <c r="A1434" s="306" t="s">
        <v>20043</v>
      </c>
      <c r="B1434" s="261" t="s">
        <v>20043</v>
      </c>
      <c r="C1434" s="261" t="s">
        <v>14255</v>
      </c>
      <c r="D1434" s="261" t="s">
        <v>18046</v>
      </c>
      <c r="E1434" s="261">
        <v>17</v>
      </c>
      <c r="F1434" s="261" t="s">
        <v>20889</v>
      </c>
      <c r="G1434" s="261"/>
      <c r="H1434" s="261"/>
      <c r="I1434" s="261" t="s">
        <v>3779</v>
      </c>
      <c r="J1434" s="261" t="s">
        <v>19604</v>
      </c>
      <c r="K1434" s="262">
        <v>20</v>
      </c>
    </row>
    <row r="1435" spans="1:11" x14ac:dyDescent="0.2">
      <c r="A1435" s="306" t="s">
        <v>20043</v>
      </c>
      <c r="B1435" s="261" t="s">
        <v>20043</v>
      </c>
      <c r="C1435" s="261" t="s">
        <v>14255</v>
      </c>
      <c r="D1435" s="261" t="s">
        <v>18046</v>
      </c>
      <c r="E1435" s="261">
        <v>18</v>
      </c>
      <c r="F1435" s="261" t="s">
        <v>20890</v>
      </c>
      <c r="G1435" s="261"/>
      <c r="H1435" s="261"/>
      <c r="I1435" s="261" t="s">
        <v>3779</v>
      </c>
      <c r="J1435" s="261" t="s">
        <v>19602</v>
      </c>
      <c r="K1435" s="262">
        <v>20</v>
      </c>
    </row>
    <row r="1436" spans="1:11" x14ac:dyDescent="0.2">
      <c r="A1436" s="306" t="s">
        <v>20043</v>
      </c>
      <c r="B1436" s="261" t="s">
        <v>20043</v>
      </c>
      <c r="C1436" s="261" t="s">
        <v>14255</v>
      </c>
      <c r="D1436" s="261" t="s">
        <v>18046</v>
      </c>
      <c r="E1436" s="261">
        <v>19</v>
      </c>
      <c r="F1436" s="261" t="s">
        <v>20891</v>
      </c>
      <c r="G1436" s="261"/>
      <c r="H1436" s="261"/>
      <c r="I1436" s="261" t="s">
        <v>3779</v>
      </c>
      <c r="J1436" s="261" t="s">
        <v>19618</v>
      </c>
      <c r="K1436" s="262">
        <v>100</v>
      </c>
    </row>
    <row r="1437" spans="1:11" x14ac:dyDescent="0.2">
      <c r="A1437" s="306" t="s">
        <v>21098</v>
      </c>
      <c r="B1437" s="261" t="s">
        <v>18718</v>
      </c>
      <c r="C1437" s="261" t="s">
        <v>14262</v>
      </c>
      <c r="D1437" s="261" t="s">
        <v>18588</v>
      </c>
      <c r="E1437" s="261">
        <v>1</v>
      </c>
      <c r="F1437" s="261" t="s">
        <v>21067</v>
      </c>
      <c r="G1437" s="261" t="s">
        <v>2819</v>
      </c>
      <c r="H1437" s="261" t="s">
        <v>2820</v>
      </c>
      <c r="I1437" s="261"/>
      <c r="J1437" s="261"/>
      <c r="K1437" s="262"/>
    </row>
    <row r="1438" spans="1:11" x14ac:dyDescent="0.2">
      <c r="A1438" s="306" t="s">
        <v>21098</v>
      </c>
      <c r="B1438" s="261" t="s">
        <v>18719</v>
      </c>
      <c r="C1438" s="261" t="s">
        <v>14262</v>
      </c>
      <c r="D1438" s="261" t="s">
        <v>18588</v>
      </c>
      <c r="E1438" s="261">
        <v>2</v>
      </c>
      <c r="F1438" s="261" t="s">
        <v>21068</v>
      </c>
      <c r="G1438" s="261" t="s">
        <v>2723</v>
      </c>
      <c r="H1438" s="261" t="s">
        <v>2724</v>
      </c>
      <c r="I1438" s="261"/>
      <c r="J1438" s="261"/>
      <c r="K1438" s="262"/>
    </row>
    <row r="1439" spans="1:11" x14ac:dyDescent="0.2">
      <c r="A1439" s="306" t="s">
        <v>21098</v>
      </c>
      <c r="B1439" s="261" t="s">
        <v>18720</v>
      </c>
      <c r="C1439" s="261" t="s">
        <v>14262</v>
      </c>
      <c r="D1439" s="261" t="s">
        <v>18588</v>
      </c>
      <c r="E1439" s="261">
        <v>3</v>
      </c>
      <c r="F1439" s="261" t="s">
        <v>21099</v>
      </c>
      <c r="G1439" s="261" t="s">
        <v>14259</v>
      </c>
      <c r="H1439" s="261" t="s">
        <v>14260</v>
      </c>
      <c r="I1439" s="261"/>
      <c r="J1439" s="261"/>
      <c r="K1439" s="262"/>
    </row>
    <row r="1440" spans="1:11" x14ac:dyDescent="0.2">
      <c r="A1440" s="306" t="s">
        <v>21098</v>
      </c>
      <c r="B1440" s="261" t="s">
        <v>21098</v>
      </c>
      <c r="C1440" s="261" t="s">
        <v>14262</v>
      </c>
      <c r="D1440" s="261" t="s">
        <v>18588</v>
      </c>
      <c r="E1440" s="261">
        <v>4</v>
      </c>
      <c r="F1440" s="261" t="s">
        <v>20948</v>
      </c>
      <c r="G1440" s="261"/>
      <c r="H1440" s="261"/>
      <c r="I1440" s="261" t="s">
        <v>1947</v>
      </c>
      <c r="J1440" s="261" t="s">
        <v>19599</v>
      </c>
      <c r="K1440" s="262">
        <v>20</v>
      </c>
    </row>
    <row r="1441" spans="1:11" x14ac:dyDescent="0.2">
      <c r="A1441" s="306" t="s">
        <v>21098</v>
      </c>
      <c r="B1441" s="261" t="s">
        <v>21098</v>
      </c>
      <c r="C1441" s="261" t="s">
        <v>14262</v>
      </c>
      <c r="D1441" s="261" t="s">
        <v>18588</v>
      </c>
      <c r="E1441" s="261">
        <v>5</v>
      </c>
      <c r="F1441" s="261" t="s">
        <v>20949</v>
      </c>
      <c r="G1441" s="261"/>
      <c r="H1441" s="261"/>
      <c r="I1441" s="261" t="s">
        <v>1947</v>
      </c>
      <c r="J1441" s="261" t="s">
        <v>19600</v>
      </c>
      <c r="K1441" s="262">
        <v>20</v>
      </c>
    </row>
    <row r="1442" spans="1:11" x14ac:dyDescent="0.2">
      <c r="A1442" s="306" t="s">
        <v>21098</v>
      </c>
      <c r="B1442" s="261" t="s">
        <v>21098</v>
      </c>
      <c r="C1442" s="261" t="s">
        <v>14262</v>
      </c>
      <c r="D1442" s="261" t="s">
        <v>18588</v>
      </c>
      <c r="E1442" s="261">
        <v>6</v>
      </c>
      <c r="F1442" s="261" t="s">
        <v>20950</v>
      </c>
      <c r="G1442" s="261"/>
      <c r="H1442" s="261"/>
      <c r="I1442" s="261" t="s">
        <v>1947</v>
      </c>
      <c r="J1442" s="261" t="s">
        <v>19603</v>
      </c>
      <c r="K1442" s="262">
        <v>20</v>
      </c>
    </row>
    <row r="1443" spans="1:11" x14ac:dyDescent="0.2">
      <c r="A1443" s="306" t="s">
        <v>21098</v>
      </c>
      <c r="B1443" s="261" t="s">
        <v>21098</v>
      </c>
      <c r="C1443" s="261" t="s">
        <v>14262</v>
      </c>
      <c r="D1443" s="261" t="s">
        <v>18588</v>
      </c>
      <c r="E1443" s="261">
        <v>7</v>
      </c>
      <c r="F1443" s="261" t="s">
        <v>21069</v>
      </c>
      <c r="G1443" s="261"/>
      <c r="H1443" s="261"/>
      <c r="I1443" s="261" t="s">
        <v>1947</v>
      </c>
      <c r="J1443" s="261" t="s">
        <v>19601</v>
      </c>
      <c r="K1443" s="262">
        <v>20</v>
      </c>
    </row>
    <row r="1444" spans="1:11" x14ac:dyDescent="0.2">
      <c r="A1444" s="306" t="s">
        <v>21098</v>
      </c>
      <c r="B1444" s="261" t="s">
        <v>21098</v>
      </c>
      <c r="C1444" s="261" t="s">
        <v>14262</v>
      </c>
      <c r="D1444" s="261" t="s">
        <v>18588</v>
      </c>
      <c r="E1444" s="261">
        <v>8</v>
      </c>
      <c r="F1444" s="261" t="s">
        <v>20952</v>
      </c>
      <c r="G1444" s="261"/>
      <c r="H1444" s="261"/>
      <c r="I1444" s="261" t="s">
        <v>1947</v>
      </c>
      <c r="J1444" s="261" t="s">
        <v>19604</v>
      </c>
      <c r="K1444" s="262">
        <v>20</v>
      </c>
    </row>
    <row r="1445" spans="1:11" x14ac:dyDescent="0.2">
      <c r="A1445" s="306" t="s">
        <v>21098</v>
      </c>
      <c r="B1445" s="261" t="s">
        <v>21098</v>
      </c>
      <c r="C1445" s="261" t="s">
        <v>14262</v>
      </c>
      <c r="D1445" s="261" t="s">
        <v>18588</v>
      </c>
      <c r="E1445" s="261">
        <v>9</v>
      </c>
      <c r="F1445" s="261" t="s">
        <v>21070</v>
      </c>
      <c r="G1445" s="261"/>
      <c r="H1445" s="261"/>
      <c r="I1445" s="261" t="s">
        <v>1947</v>
      </c>
      <c r="J1445" s="261" t="s">
        <v>19602</v>
      </c>
      <c r="K1445" s="262">
        <v>20</v>
      </c>
    </row>
    <row r="1446" spans="1:11" x14ac:dyDescent="0.2">
      <c r="A1446" s="306" t="s">
        <v>21098</v>
      </c>
      <c r="B1446" s="261" t="s">
        <v>21098</v>
      </c>
      <c r="C1446" s="261" t="s">
        <v>14262</v>
      </c>
      <c r="D1446" s="261" t="s">
        <v>18588</v>
      </c>
      <c r="E1446" s="261">
        <v>10</v>
      </c>
      <c r="F1446" s="261" t="s">
        <v>21071</v>
      </c>
      <c r="G1446" s="261"/>
      <c r="H1446" s="261"/>
      <c r="I1446" s="261" t="s">
        <v>10772</v>
      </c>
      <c r="J1446" s="261" t="s">
        <v>19618</v>
      </c>
      <c r="K1446" s="262">
        <v>100</v>
      </c>
    </row>
    <row r="1447" spans="1:11" x14ac:dyDescent="0.2">
      <c r="A1447" s="306" t="s">
        <v>20342</v>
      </c>
      <c r="B1447" s="261" t="s">
        <v>20342</v>
      </c>
      <c r="C1447" s="261" t="s">
        <v>14265</v>
      </c>
      <c r="D1447" s="261" t="s">
        <v>18017</v>
      </c>
      <c r="E1447" s="261">
        <v>1</v>
      </c>
      <c r="F1447" s="261" t="s">
        <v>19688</v>
      </c>
      <c r="G1447" s="261" t="s">
        <v>14263</v>
      </c>
      <c r="H1447" s="261" t="s">
        <v>14264</v>
      </c>
      <c r="I1447" s="261"/>
      <c r="J1447" s="261"/>
      <c r="K1447" s="262"/>
    </row>
    <row r="1448" spans="1:11" x14ac:dyDescent="0.2">
      <c r="A1448" s="306" t="s">
        <v>20342</v>
      </c>
      <c r="B1448" s="261" t="s">
        <v>18722</v>
      </c>
      <c r="C1448" s="261" t="s">
        <v>19766</v>
      </c>
      <c r="D1448" s="261" t="s">
        <v>18017</v>
      </c>
      <c r="E1448" s="261">
        <v>2</v>
      </c>
      <c r="F1448" s="261" t="s">
        <v>21100</v>
      </c>
      <c r="G1448" s="261" t="s">
        <v>1726</v>
      </c>
      <c r="H1448" s="261" t="s">
        <v>1727</v>
      </c>
      <c r="I1448" s="261"/>
      <c r="J1448" s="261"/>
      <c r="K1448" s="262"/>
    </row>
    <row r="1449" spans="1:11" x14ac:dyDescent="0.2">
      <c r="A1449" s="306" t="s">
        <v>20342</v>
      </c>
      <c r="B1449" s="261" t="s">
        <v>18728</v>
      </c>
      <c r="C1449" s="261" t="s">
        <v>19766</v>
      </c>
      <c r="D1449" s="261" t="s">
        <v>18017</v>
      </c>
      <c r="E1449" s="261">
        <v>3</v>
      </c>
      <c r="F1449" s="261" t="s">
        <v>21101</v>
      </c>
      <c r="G1449" s="261" t="s">
        <v>2102</v>
      </c>
      <c r="H1449" s="261" t="s">
        <v>2103</v>
      </c>
      <c r="I1449" s="261"/>
      <c r="J1449" s="261"/>
      <c r="K1449" s="262"/>
    </row>
    <row r="1450" spans="1:11" x14ac:dyDescent="0.2">
      <c r="A1450" s="306" t="s">
        <v>20342</v>
      </c>
      <c r="B1450" s="261" t="s">
        <v>18731</v>
      </c>
      <c r="C1450" s="261" t="s">
        <v>14265</v>
      </c>
      <c r="D1450" s="261" t="s">
        <v>18017</v>
      </c>
      <c r="E1450" s="261">
        <v>4</v>
      </c>
      <c r="F1450" s="261" t="s">
        <v>21102</v>
      </c>
      <c r="G1450" s="261" t="s">
        <v>14266</v>
      </c>
      <c r="H1450" s="261" t="s">
        <v>14267</v>
      </c>
      <c r="I1450" s="261"/>
      <c r="J1450" s="261"/>
      <c r="K1450" s="262"/>
    </row>
    <row r="1451" spans="1:11" x14ac:dyDescent="0.2">
      <c r="A1451" s="306" t="s">
        <v>20342</v>
      </c>
      <c r="B1451" s="261" t="s">
        <v>18733</v>
      </c>
      <c r="C1451" s="261" t="s">
        <v>19766</v>
      </c>
      <c r="D1451" s="261" t="s">
        <v>18017</v>
      </c>
      <c r="E1451" s="261">
        <v>5</v>
      </c>
      <c r="F1451" s="261" t="s">
        <v>21103</v>
      </c>
      <c r="G1451" s="261" t="s">
        <v>8923</v>
      </c>
      <c r="H1451" s="261" t="s">
        <v>8924</v>
      </c>
      <c r="I1451" s="261"/>
      <c r="J1451" s="261"/>
      <c r="K1451" s="262"/>
    </row>
    <row r="1452" spans="1:11" x14ac:dyDescent="0.2">
      <c r="A1452" s="306" t="s">
        <v>20342</v>
      </c>
      <c r="B1452" s="261" t="s">
        <v>18737</v>
      </c>
      <c r="C1452" s="261" t="s">
        <v>19766</v>
      </c>
      <c r="D1452" s="261" t="s">
        <v>18017</v>
      </c>
      <c r="E1452" s="261">
        <v>6</v>
      </c>
      <c r="F1452" s="261" t="s">
        <v>21104</v>
      </c>
      <c r="G1452" s="261" t="s">
        <v>2850</v>
      </c>
      <c r="H1452" s="261" t="s">
        <v>2851</v>
      </c>
      <c r="I1452" s="261"/>
      <c r="J1452" s="261"/>
      <c r="K1452" s="262"/>
    </row>
    <row r="1453" spans="1:11" x14ac:dyDescent="0.2">
      <c r="A1453" s="306" t="s">
        <v>20342</v>
      </c>
      <c r="B1453" s="261" t="s">
        <v>20342</v>
      </c>
      <c r="C1453" s="261" t="s">
        <v>14265</v>
      </c>
      <c r="D1453" s="261" t="s">
        <v>18017</v>
      </c>
      <c r="E1453" s="261">
        <v>7</v>
      </c>
      <c r="F1453" s="261" t="s">
        <v>20868</v>
      </c>
      <c r="G1453" s="261"/>
      <c r="H1453" s="261"/>
      <c r="I1453" s="261" t="s">
        <v>1103</v>
      </c>
      <c r="J1453" s="261" t="s">
        <v>19599</v>
      </c>
      <c r="K1453" s="262">
        <v>20</v>
      </c>
    </row>
    <row r="1454" spans="1:11" x14ac:dyDescent="0.2">
      <c r="A1454" s="306" t="s">
        <v>20342</v>
      </c>
      <c r="B1454" s="261" t="s">
        <v>20342</v>
      </c>
      <c r="C1454" s="261" t="s">
        <v>14265</v>
      </c>
      <c r="D1454" s="261" t="s">
        <v>18017</v>
      </c>
      <c r="E1454" s="261">
        <v>8</v>
      </c>
      <c r="F1454" s="261" t="s">
        <v>20869</v>
      </c>
      <c r="G1454" s="261"/>
      <c r="H1454" s="261"/>
      <c r="I1454" s="261" t="s">
        <v>1103</v>
      </c>
      <c r="J1454" s="261" t="s">
        <v>19600</v>
      </c>
      <c r="K1454" s="262">
        <v>20</v>
      </c>
    </row>
    <row r="1455" spans="1:11" x14ac:dyDescent="0.2">
      <c r="A1455" s="306" t="s">
        <v>20342</v>
      </c>
      <c r="B1455" s="261" t="s">
        <v>20342</v>
      </c>
      <c r="C1455" s="261" t="s">
        <v>14265</v>
      </c>
      <c r="D1455" s="261" t="s">
        <v>18017</v>
      </c>
      <c r="E1455" s="261">
        <v>9</v>
      </c>
      <c r="F1455" s="261" t="s">
        <v>20870</v>
      </c>
      <c r="G1455" s="261"/>
      <c r="H1455" s="261"/>
      <c r="I1455" s="261" t="s">
        <v>1103</v>
      </c>
      <c r="J1455" s="261" t="s">
        <v>19603</v>
      </c>
      <c r="K1455" s="262">
        <v>20</v>
      </c>
    </row>
    <row r="1456" spans="1:11" x14ac:dyDescent="0.2">
      <c r="A1456" s="306" t="s">
        <v>20342</v>
      </c>
      <c r="B1456" s="261" t="s">
        <v>20342</v>
      </c>
      <c r="C1456" s="261" t="s">
        <v>14265</v>
      </c>
      <c r="D1456" s="261" t="s">
        <v>18017</v>
      </c>
      <c r="E1456" s="261">
        <v>10</v>
      </c>
      <c r="F1456" s="261" t="s">
        <v>20871</v>
      </c>
      <c r="G1456" s="261"/>
      <c r="H1456" s="261"/>
      <c r="I1456" s="261" t="s">
        <v>1103</v>
      </c>
      <c r="J1456" s="261" t="s">
        <v>19601</v>
      </c>
      <c r="K1456" s="262">
        <v>20</v>
      </c>
    </row>
    <row r="1457" spans="1:11" x14ac:dyDescent="0.2">
      <c r="A1457" s="306" t="s">
        <v>20342</v>
      </c>
      <c r="B1457" s="261" t="s">
        <v>20342</v>
      </c>
      <c r="C1457" s="261" t="s">
        <v>14265</v>
      </c>
      <c r="D1457" s="261" t="s">
        <v>18017</v>
      </c>
      <c r="E1457" s="261">
        <v>11</v>
      </c>
      <c r="F1457" s="261" t="s">
        <v>20872</v>
      </c>
      <c r="G1457" s="261"/>
      <c r="H1457" s="261"/>
      <c r="I1457" s="261" t="s">
        <v>1103</v>
      </c>
      <c r="J1457" s="261" t="s">
        <v>19604</v>
      </c>
      <c r="K1457" s="262">
        <v>20</v>
      </c>
    </row>
    <row r="1458" spans="1:11" x14ac:dyDescent="0.2">
      <c r="A1458" s="306" t="s">
        <v>20342</v>
      </c>
      <c r="B1458" s="261" t="s">
        <v>20342</v>
      </c>
      <c r="C1458" s="261" t="s">
        <v>14265</v>
      </c>
      <c r="D1458" s="261" t="s">
        <v>18017</v>
      </c>
      <c r="E1458" s="261">
        <v>12</v>
      </c>
      <c r="F1458" s="261" t="s">
        <v>20873</v>
      </c>
      <c r="G1458" s="261"/>
      <c r="H1458" s="261"/>
      <c r="I1458" s="261" t="s">
        <v>1103</v>
      </c>
      <c r="J1458" s="261" t="s">
        <v>19602</v>
      </c>
      <c r="K1458" s="262">
        <v>20</v>
      </c>
    </row>
    <row r="1459" spans="1:11" x14ac:dyDescent="0.2">
      <c r="A1459" s="306" t="s">
        <v>20342</v>
      </c>
      <c r="B1459" s="261" t="s">
        <v>20342</v>
      </c>
      <c r="C1459" s="261" t="s">
        <v>14265</v>
      </c>
      <c r="D1459" s="261" t="s">
        <v>18017</v>
      </c>
      <c r="E1459" s="261">
        <v>13</v>
      </c>
      <c r="F1459" s="261" t="s">
        <v>20874</v>
      </c>
      <c r="G1459" s="261"/>
      <c r="H1459" s="261"/>
      <c r="I1459" s="261" t="s">
        <v>10772</v>
      </c>
      <c r="J1459" s="261" t="s">
        <v>19618</v>
      </c>
      <c r="K1459" s="262">
        <v>100</v>
      </c>
    </row>
    <row r="1460" spans="1:11" x14ac:dyDescent="0.2">
      <c r="A1460" s="306" t="s">
        <v>20345</v>
      </c>
      <c r="B1460" s="261" t="s">
        <v>20345</v>
      </c>
      <c r="C1460" s="261" t="s">
        <v>14271</v>
      </c>
      <c r="D1460" s="261" t="s">
        <v>18560</v>
      </c>
      <c r="E1460" s="261">
        <v>1</v>
      </c>
      <c r="F1460" s="261" t="s">
        <v>20948</v>
      </c>
      <c r="G1460" s="261"/>
      <c r="H1460" s="261"/>
      <c r="I1460" s="261" t="s">
        <v>3779</v>
      </c>
      <c r="J1460" s="261" t="s">
        <v>19599</v>
      </c>
      <c r="K1460" s="262">
        <v>20</v>
      </c>
    </row>
    <row r="1461" spans="1:11" x14ac:dyDescent="0.2">
      <c r="A1461" s="306" t="s">
        <v>20345</v>
      </c>
      <c r="B1461" s="261" t="s">
        <v>20345</v>
      </c>
      <c r="C1461" s="261" t="s">
        <v>14271</v>
      </c>
      <c r="D1461" s="261" t="s">
        <v>18560</v>
      </c>
      <c r="E1461" s="261">
        <v>1</v>
      </c>
      <c r="F1461" s="261" t="s">
        <v>19688</v>
      </c>
      <c r="G1461" s="261" t="s">
        <v>14268</v>
      </c>
      <c r="H1461" s="261" t="s">
        <v>14269</v>
      </c>
      <c r="I1461" s="261"/>
      <c r="J1461" s="261"/>
      <c r="K1461" s="262"/>
    </row>
    <row r="1462" spans="1:11" x14ac:dyDescent="0.2">
      <c r="A1462" s="306" t="s">
        <v>20345</v>
      </c>
      <c r="B1462" s="261" t="s">
        <v>20345</v>
      </c>
      <c r="C1462" s="261" t="s">
        <v>14271</v>
      </c>
      <c r="D1462" s="261" t="s">
        <v>18560</v>
      </c>
      <c r="E1462" s="261">
        <v>2</v>
      </c>
      <c r="F1462" s="261" t="s">
        <v>20949</v>
      </c>
      <c r="G1462" s="261"/>
      <c r="H1462" s="261"/>
      <c r="I1462" s="261" t="s">
        <v>3779</v>
      </c>
      <c r="J1462" s="261" t="s">
        <v>19600</v>
      </c>
      <c r="K1462" s="262">
        <v>20</v>
      </c>
    </row>
    <row r="1463" spans="1:11" x14ac:dyDescent="0.2">
      <c r="A1463" s="306" t="s">
        <v>20345</v>
      </c>
      <c r="B1463" s="261" t="s">
        <v>18753</v>
      </c>
      <c r="C1463" s="261" t="s">
        <v>14271</v>
      </c>
      <c r="D1463" s="261" t="s">
        <v>18560</v>
      </c>
      <c r="E1463" s="261">
        <v>2</v>
      </c>
      <c r="F1463" s="261" t="s">
        <v>20946</v>
      </c>
      <c r="G1463" s="261" t="s">
        <v>1826</v>
      </c>
      <c r="H1463" s="261" t="s">
        <v>1827</v>
      </c>
      <c r="I1463" s="261"/>
      <c r="J1463" s="261"/>
      <c r="K1463" s="262"/>
    </row>
    <row r="1464" spans="1:11" x14ac:dyDescent="0.2">
      <c r="A1464" s="306" t="s">
        <v>20345</v>
      </c>
      <c r="B1464" s="261" t="s">
        <v>20345</v>
      </c>
      <c r="C1464" s="261" t="s">
        <v>14271</v>
      </c>
      <c r="D1464" s="261" t="s">
        <v>18560</v>
      </c>
      <c r="E1464" s="261">
        <v>3</v>
      </c>
      <c r="F1464" s="261" t="s">
        <v>20950</v>
      </c>
      <c r="G1464" s="261"/>
      <c r="H1464" s="261"/>
      <c r="I1464" s="261" t="s">
        <v>3779</v>
      </c>
      <c r="J1464" s="261" t="s">
        <v>19603</v>
      </c>
      <c r="K1464" s="262">
        <v>20</v>
      </c>
    </row>
    <row r="1465" spans="1:11" x14ac:dyDescent="0.2">
      <c r="A1465" s="306" t="s">
        <v>20345</v>
      </c>
      <c r="B1465" s="261" t="s">
        <v>18754</v>
      </c>
      <c r="C1465" s="261" t="s">
        <v>14271</v>
      </c>
      <c r="D1465" s="261" t="s">
        <v>18560</v>
      </c>
      <c r="E1465" s="261">
        <v>3</v>
      </c>
      <c r="F1465" s="261" t="s">
        <v>20947</v>
      </c>
      <c r="G1465" s="261" t="s">
        <v>4099</v>
      </c>
      <c r="H1465" s="261" t="s">
        <v>4100</v>
      </c>
      <c r="I1465" s="261"/>
      <c r="J1465" s="261"/>
      <c r="K1465" s="262"/>
    </row>
    <row r="1466" spans="1:11" x14ac:dyDescent="0.2">
      <c r="A1466" s="306" t="s">
        <v>20345</v>
      </c>
      <c r="B1466" s="261" t="s">
        <v>20345</v>
      </c>
      <c r="C1466" s="261" t="s">
        <v>14271</v>
      </c>
      <c r="D1466" s="261" t="s">
        <v>18560</v>
      </c>
      <c r="E1466" s="261">
        <v>4</v>
      </c>
      <c r="F1466" s="261" t="s">
        <v>20951</v>
      </c>
      <c r="G1466" s="261"/>
      <c r="H1466" s="261"/>
      <c r="I1466" s="261" t="s">
        <v>3779</v>
      </c>
      <c r="J1466" s="261" t="s">
        <v>19601</v>
      </c>
      <c r="K1466" s="262">
        <v>20</v>
      </c>
    </row>
    <row r="1467" spans="1:11" x14ac:dyDescent="0.2">
      <c r="A1467" s="306" t="s">
        <v>20345</v>
      </c>
      <c r="B1467" s="261" t="s">
        <v>20345</v>
      </c>
      <c r="C1467" s="261" t="s">
        <v>14271</v>
      </c>
      <c r="D1467" s="261" t="s">
        <v>18560</v>
      </c>
      <c r="E1467" s="261">
        <v>5</v>
      </c>
      <c r="F1467" s="261" t="s">
        <v>20952</v>
      </c>
      <c r="G1467" s="261"/>
      <c r="H1467" s="261"/>
      <c r="I1467" s="261" t="s">
        <v>3779</v>
      </c>
      <c r="J1467" s="261" t="s">
        <v>19604</v>
      </c>
      <c r="K1467" s="262">
        <v>20</v>
      </c>
    </row>
    <row r="1468" spans="1:11" x14ac:dyDescent="0.2">
      <c r="A1468" s="306" t="s">
        <v>20345</v>
      </c>
      <c r="B1468" s="261" t="s">
        <v>20345</v>
      </c>
      <c r="C1468" s="261" t="s">
        <v>14271</v>
      </c>
      <c r="D1468" s="261" t="s">
        <v>18560</v>
      </c>
      <c r="E1468" s="261">
        <v>6</v>
      </c>
      <c r="F1468" s="261" t="s">
        <v>20953</v>
      </c>
      <c r="G1468" s="261"/>
      <c r="H1468" s="261"/>
      <c r="I1468" s="261" t="s">
        <v>3779</v>
      </c>
      <c r="J1468" s="261" t="s">
        <v>19602</v>
      </c>
      <c r="K1468" s="262">
        <v>20</v>
      </c>
    </row>
    <row r="1469" spans="1:11" x14ac:dyDescent="0.2">
      <c r="A1469" s="306" t="s">
        <v>20345</v>
      </c>
      <c r="B1469" s="261" t="s">
        <v>20345</v>
      </c>
      <c r="C1469" s="261" t="s">
        <v>14271</v>
      </c>
      <c r="D1469" s="261" t="s">
        <v>18560</v>
      </c>
      <c r="E1469" s="261">
        <v>7</v>
      </c>
      <c r="F1469" s="261" t="s">
        <v>20954</v>
      </c>
      <c r="G1469" s="261"/>
      <c r="H1469" s="261"/>
      <c r="I1469" s="261" t="s">
        <v>10772</v>
      </c>
      <c r="J1469" s="261" t="s">
        <v>19618</v>
      </c>
      <c r="K1469" s="262">
        <v>100</v>
      </c>
    </row>
    <row r="1470" spans="1:11" x14ac:dyDescent="0.2">
      <c r="A1470" s="306" t="s">
        <v>20502</v>
      </c>
      <c r="B1470" s="261" t="s">
        <v>20502</v>
      </c>
      <c r="C1470" s="261" t="s">
        <v>14275</v>
      </c>
      <c r="D1470" s="261" t="s">
        <v>18017</v>
      </c>
      <c r="E1470" s="261">
        <v>1</v>
      </c>
      <c r="F1470" s="261" t="s">
        <v>19688</v>
      </c>
      <c r="G1470" s="261" t="s">
        <v>14565</v>
      </c>
      <c r="H1470" s="261" t="s">
        <v>14566</v>
      </c>
      <c r="I1470" s="261"/>
      <c r="J1470" s="261"/>
      <c r="K1470" s="262"/>
    </row>
    <row r="1471" spans="1:11" x14ac:dyDescent="0.2">
      <c r="A1471" s="306" t="s">
        <v>20502</v>
      </c>
      <c r="B1471" s="261" t="s">
        <v>18755</v>
      </c>
      <c r="C1471" s="261" t="s">
        <v>14275</v>
      </c>
      <c r="D1471" s="261" t="s">
        <v>18017</v>
      </c>
      <c r="E1471" s="261">
        <v>2</v>
      </c>
      <c r="F1471" s="261" t="s">
        <v>21105</v>
      </c>
      <c r="G1471" s="261" t="s">
        <v>961</v>
      </c>
      <c r="H1471" s="261" t="s">
        <v>962</v>
      </c>
      <c r="I1471" s="261"/>
      <c r="J1471" s="261"/>
      <c r="K1471" s="262"/>
    </row>
    <row r="1472" spans="1:11" x14ac:dyDescent="0.2">
      <c r="A1472" s="306" t="s">
        <v>20502</v>
      </c>
      <c r="B1472" s="261" t="s">
        <v>18761</v>
      </c>
      <c r="C1472" s="261" t="s">
        <v>14275</v>
      </c>
      <c r="D1472" s="261" t="s">
        <v>18017</v>
      </c>
      <c r="E1472" s="261">
        <v>3</v>
      </c>
      <c r="F1472" s="261" t="s">
        <v>21106</v>
      </c>
      <c r="G1472" s="261" t="s">
        <v>14272</v>
      </c>
      <c r="H1472" s="261" t="s">
        <v>14273</v>
      </c>
      <c r="I1472" s="261"/>
      <c r="J1472" s="261"/>
      <c r="K1472" s="262"/>
    </row>
    <row r="1473" spans="1:11" x14ac:dyDescent="0.2">
      <c r="A1473" s="306" t="s">
        <v>20502</v>
      </c>
      <c r="B1473" s="261" t="s">
        <v>18764</v>
      </c>
      <c r="C1473" s="261" t="s">
        <v>14275</v>
      </c>
      <c r="D1473" s="261" t="s">
        <v>18017</v>
      </c>
      <c r="E1473" s="261">
        <v>4</v>
      </c>
      <c r="F1473" s="261" t="s">
        <v>21107</v>
      </c>
      <c r="G1473" s="261" t="s">
        <v>852</v>
      </c>
      <c r="H1473" s="261" t="s">
        <v>853</v>
      </c>
      <c r="I1473" s="261"/>
      <c r="J1473" s="261"/>
      <c r="K1473" s="262"/>
    </row>
    <row r="1474" spans="1:11" x14ac:dyDescent="0.2">
      <c r="A1474" s="306" t="s">
        <v>20502</v>
      </c>
      <c r="B1474" s="261" t="s">
        <v>18766</v>
      </c>
      <c r="C1474" s="261" t="s">
        <v>14275</v>
      </c>
      <c r="D1474" s="261" t="s">
        <v>18017</v>
      </c>
      <c r="E1474" s="261">
        <v>5</v>
      </c>
      <c r="F1474" s="261" t="s">
        <v>21108</v>
      </c>
      <c r="G1474" s="261" t="s">
        <v>9003</v>
      </c>
      <c r="H1474" s="261" t="s">
        <v>9004</v>
      </c>
      <c r="I1474" s="261"/>
      <c r="J1474" s="261"/>
      <c r="K1474" s="262"/>
    </row>
    <row r="1475" spans="1:11" x14ac:dyDescent="0.2">
      <c r="A1475" s="306" t="s">
        <v>20502</v>
      </c>
      <c r="B1475" s="261" t="s">
        <v>18767</v>
      </c>
      <c r="C1475" s="261" t="s">
        <v>14275</v>
      </c>
      <c r="D1475" s="261" t="s">
        <v>18017</v>
      </c>
      <c r="E1475" s="261">
        <v>6</v>
      </c>
      <c r="F1475" s="261" t="s">
        <v>21109</v>
      </c>
      <c r="G1475" s="261" t="s">
        <v>1910</v>
      </c>
      <c r="H1475" s="261" t="s">
        <v>1911</v>
      </c>
      <c r="I1475" s="261"/>
      <c r="J1475" s="261"/>
      <c r="K1475" s="262"/>
    </row>
    <row r="1476" spans="1:11" x14ac:dyDescent="0.2">
      <c r="A1476" s="306" t="s">
        <v>20502</v>
      </c>
      <c r="B1476" s="261" t="s">
        <v>20502</v>
      </c>
      <c r="C1476" s="261" t="s">
        <v>14275</v>
      </c>
      <c r="D1476" s="261" t="s">
        <v>18017</v>
      </c>
      <c r="E1476" s="261">
        <v>7</v>
      </c>
      <c r="F1476" s="261" t="s">
        <v>20868</v>
      </c>
      <c r="G1476" s="261"/>
      <c r="H1476" s="261"/>
      <c r="I1476" s="261" t="s">
        <v>122</v>
      </c>
      <c r="J1476" s="261" t="s">
        <v>19599</v>
      </c>
      <c r="K1476" s="262">
        <v>20</v>
      </c>
    </row>
    <row r="1477" spans="1:11" x14ac:dyDescent="0.2">
      <c r="A1477" s="306" t="s">
        <v>20502</v>
      </c>
      <c r="B1477" s="261" t="s">
        <v>20502</v>
      </c>
      <c r="C1477" s="261" t="s">
        <v>14275</v>
      </c>
      <c r="D1477" s="261" t="s">
        <v>18017</v>
      </c>
      <c r="E1477" s="261">
        <v>8</v>
      </c>
      <c r="F1477" s="261" t="s">
        <v>20869</v>
      </c>
      <c r="G1477" s="261"/>
      <c r="H1477" s="261"/>
      <c r="I1477" s="261" t="s">
        <v>122</v>
      </c>
      <c r="J1477" s="261" t="s">
        <v>19600</v>
      </c>
      <c r="K1477" s="262">
        <v>20</v>
      </c>
    </row>
    <row r="1478" spans="1:11" x14ac:dyDescent="0.2">
      <c r="A1478" s="306" t="s">
        <v>20502</v>
      </c>
      <c r="B1478" s="261" t="s">
        <v>20502</v>
      </c>
      <c r="C1478" s="261" t="s">
        <v>14275</v>
      </c>
      <c r="D1478" s="261" t="s">
        <v>18017</v>
      </c>
      <c r="E1478" s="261">
        <v>9</v>
      </c>
      <c r="F1478" s="261" t="s">
        <v>20870</v>
      </c>
      <c r="G1478" s="261"/>
      <c r="H1478" s="261"/>
      <c r="I1478" s="261" t="s">
        <v>122</v>
      </c>
      <c r="J1478" s="261" t="s">
        <v>19603</v>
      </c>
      <c r="K1478" s="262">
        <v>20</v>
      </c>
    </row>
    <row r="1479" spans="1:11" x14ac:dyDescent="0.2">
      <c r="A1479" s="306" t="s">
        <v>20502</v>
      </c>
      <c r="B1479" s="261" t="s">
        <v>20502</v>
      </c>
      <c r="C1479" s="261" t="s">
        <v>14275</v>
      </c>
      <c r="D1479" s="261" t="s">
        <v>18017</v>
      </c>
      <c r="E1479" s="261">
        <v>10</v>
      </c>
      <c r="F1479" s="261" t="s">
        <v>20871</v>
      </c>
      <c r="G1479" s="261"/>
      <c r="H1479" s="261"/>
      <c r="I1479" s="261" t="s">
        <v>122</v>
      </c>
      <c r="J1479" s="261" t="s">
        <v>19601</v>
      </c>
      <c r="K1479" s="262">
        <v>20</v>
      </c>
    </row>
    <row r="1480" spans="1:11" x14ac:dyDescent="0.2">
      <c r="A1480" s="306" t="s">
        <v>20502</v>
      </c>
      <c r="B1480" s="261" t="s">
        <v>20502</v>
      </c>
      <c r="C1480" s="261" t="s">
        <v>14275</v>
      </c>
      <c r="D1480" s="261" t="s">
        <v>18017</v>
      </c>
      <c r="E1480" s="261">
        <v>11</v>
      </c>
      <c r="F1480" s="261" t="s">
        <v>20872</v>
      </c>
      <c r="G1480" s="261"/>
      <c r="H1480" s="261"/>
      <c r="I1480" s="261" t="s">
        <v>122</v>
      </c>
      <c r="J1480" s="261" t="s">
        <v>19604</v>
      </c>
      <c r="K1480" s="262">
        <v>20</v>
      </c>
    </row>
    <row r="1481" spans="1:11" x14ac:dyDescent="0.2">
      <c r="A1481" s="306" t="s">
        <v>20502</v>
      </c>
      <c r="B1481" s="261" t="s">
        <v>20502</v>
      </c>
      <c r="C1481" s="261" t="s">
        <v>14275</v>
      </c>
      <c r="D1481" s="261" t="s">
        <v>18017</v>
      </c>
      <c r="E1481" s="261">
        <v>12</v>
      </c>
      <c r="F1481" s="261" t="s">
        <v>20873</v>
      </c>
      <c r="G1481" s="261"/>
      <c r="H1481" s="261"/>
      <c r="I1481" s="261" t="s">
        <v>122</v>
      </c>
      <c r="J1481" s="261" t="s">
        <v>19602</v>
      </c>
      <c r="K1481" s="262">
        <v>20</v>
      </c>
    </row>
    <row r="1482" spans="1:11" x14ac:dyDescent="0.2">
      <c r="A1482" s="306" t="s">
        <v>20502</v>
      </c>
      <c r="B1482" s="261" t="s">
        <v>20502</v>
      </c>
      <c r="C1482" s="261" t="s">
        <v>14275</v>
      </c>
      <c r="D1482" s="261" t="s">
        <v>18017</v>
      </c>
      <c r="E1482" s="261">
        <v>13</v>
      </c>
      <c r="F1482" s="261" t="s">
        <v>20874</v>
      </c>
      <c r="G1482" s="261"/>
      <c r="H1482" s="261"/>
      <c r="I1482" s="261" t="s">
        <v>10772</v>
      </c>
      <c r="J1482" s="261" t="s">
        <v>19618</v>
      </c>
      <c r="K1482" s="262">
        <v>100</v>
      </c>
    </row>
    <row r="1483" spans="1:11" x14ac:dyDescent="0.2">
      <c r="A1483" s="306" t="s">
        <v>21110</v>
      </c>
      <c r="B1483" s="261" t="s">
        <v>21110</v>
      </c>
      <c r="C1483" s="261" t="s">
        <v>18774</v>
      </c>
      <c r="D1483" s="261" t="s">
        <v>18773</v>
      </c>
      <c r="E1483" s="261">
        <v>1</v>
      </c>
      <c r="F1483" s="261" t="s">
        <v>21111</v>
      </c>
      <c r="G1483" s="261"/>
      <c r="H1483" s="261"/>
      <c r="I1483" s="261" t="s">
        <v>10772</v>
      </c>
      <c r="J1483" s="261" t="s">
        <v>10756</v>
      </c>
      <c r="K1483" s="262">
        <v>1000000</v>
      </c>
    </row>
    <row r="1484" spans="1:11" x14ac:dyDescent="0.2">
      <c r="A1484" s="306" t="s">
        <v>21110</v>
      </c>
      <c r="B1484" s="261" t="s">
        <v>18791</v>
      </c>
      <c r="C1484" s="261" t="s">
        <v>18774</v>
      </c>
      <c r="D1484" s="261" t="s">
        <v>18773</v>
      </c>
      <c r="E1484" s="261">
        <v>2</v>
      </c>
      <c r="F1484" s="261" t="s">
        <v>21112</v>
      </c>
      <c r="G1484" s="261" t="s">
        <v>2298</v>
      </c>
      <c r="H1484" s="261" t="s">
        <v>2299</v>
      </c>
      <c r="I1484" s="261"/>
      <c r="J1484" s="261"/>
      <c r="K1484" s="262"/>
    </row>
    <row r="1485" spans="1:11" x14ac:dyDescent="0.2">
      <c r="A1485" s="306" t="s">
        <v>21110</v>
      </c>
      <c r="B1485" s="261" t="s">
        <v>18793</v>
      </c>
      <c r="C1485" s="261" t="s">
        <v>18774</v>
      </c>
      <c r="D1485" s="261" t="s">
        <v>18773</v>
      </c>
      <c r="E1485" s="261">
        <v>3</v>
      </c>
      <c r="F1485" s="261" t="s">
        <v>21113</v>
      </c>
      <c r="G1485" s="261" t="s">
        <v>657</v>
      </c>
      <c r="H1485" s="261" t="s">
        <v>658</v>
      </c>
      <c r="I1485" s="261"/>
      <c r="J1485" s="261"/>
      <c r="K1485" s="262"/>
    </row>
    <row r="1486" spans="1:11" x14ac:dyDescent="0.2">
      <c r="A1486" s="306" t="s">
        <v>21110</v>
      </c>
      <c r="B1486" s="261" t="s">
        <v>18795</v>
      </c>
      <c r="C1486" s="261" t="s">
        <v>18774</v>
      </c>
      <c r="D1486" s="261" t="s">
        <v>18773</v>
      </c>
      <c r="E1486" s="261">
        <v>4</v>
      </c>
      <c r="F1486" s="261" t="s">
        <v>21114</v>
      </c>
      <c r="G1486" s="261" t="s">
        <v>3610</v>
      </c>
      <c r="H1486" s="261" t="s">
        <v>3611</v>
      </c>
      <c r="I1486" s="261"/>
      <c r="J1486" s="261"/>
      <c r="K1486" s="262"/>
    </row>
    <row r="1487" spans="1:11" x14ac:dyDescent="0.2">
      <c r="A1487" s="306" t="s">
        <v>21110</v>
      </c>
      <c r="B1487" s="261" t="s">
        <v>21110</v>
      </c>
      <c r="C1487" s="261" t="s">
        <v>18774</v>
      </c>
      <c r="D1487" s="261" t="s">
        <v>18773</v>
      </c>
      <c r="E1487" s="261">
        <v>5</v>
      </c>
      <c r="F1487" s="261" t="s">
        <v>21115</v>
      </c>
      <c r="G1487" s="261"/>
      <c r="H1487" s="261"/>
      <c r="I1487" s="261" t="s">
        <v>10772</v>
      </c>
      <c r="J1487" s="261" t="s">
        <v>10756</v>
      </c>
      <c r="K1487" s="262">
        <v>3000000</v>
      </c>
    </row>
    <row r="1488" spans="1:11" x14ac:dyDescent="0.2">
      <c r="A1488" s="306" t="s">
        <v>21110</v>
      </c>
      <c r="B1488" s="261" t="s">
        <v>21110</v>
      </c>
      <c r="C1488" s="261" t="s">
        <v>18774</v>
      </c>
      <c r="D1488" s="261" t="s">
        <v>18773</v>
      </c>
      <c r="E1488" s="261">
        <v>6</v>
      </c>
      <c r="F1488" s="261" t="s">
        <v>21116</v>
      </c>
      <c r="G1488" s="261"/>
      <c r="H1488" s="261"/>
      <c r="I1488" s="261" t="s">
        <v>10772</v>
      </c>
      <c r="J1488" s="261" t="s">
        <v>10756</v>
      </c>
      <c r="K1488" s="262">
        <v>6000000</v>
      </c>
    </row>
    <row r="1489" spans="1:11" x14ac:dyDescent="0.2">
      <c r="A1489" s="306" t="s">
        <v>21110</v>
      </c>
      <c r="B1489" s="261" t="s">
        <v>21110</v>
      </c>
      <c r="C1489" s="261" t="s">
        <v>18774</v>
      </c>
      <c r="D1489" s="261" t="s">
        <v>18773</v>
      </c>
      <c r="E1489" s="261">
        <v>7</v>
      </c>
      <c r="F1489" s="261" t="s">
        <v>21117</v>
      </c>
      <c r="G1489" s="261"/>
      <c r="H1489" s="261"/>
      <c r="I1489" s="261" t="s">
        <v>10772</v>
      </c>
      <c r="J1489" s="261" t="s">
        <v>10756</v>
      </c>
      <c r="K1489" s="262">
        <v>10000000</v>
      </c>
    </row>
    <row r="1490" spans="1:11" x14ac:dyDescent="0.2">
      <c r="A1490" s="306" t="s">
        <v>21110</v>
      </c>
      <c r="B1490" s="261" t="s">
        <v>21110</v>
      </c>
      <c r="C1490" s="261" t="s">
        <v>18774</v>
      </c>
      <c r="D1490" s="261" t="s">
        <v>18773</v>
      </c>
      <c r="E1490" s="261">
        <v>8</v>
      </c>
      <c r="F1490" s="261" t="s">
        <v>20948</v>
      </c>
      <c r="G1490" s="261"/>
      <c r="H1490" s="261"/>
      <c r="I1490" s="261" t="s">
        <v>122</v>
      </c>
      <c r="J1490" s="261" t="s">
        <v>19599</v>
      </c>
      <c r="K1490" s="262">
        <v>20</v>
      </c>
    </row>
    <row r="1491" spans="1:11" x14ac:dyDescent="0.2">
      <c r="A1491" s="306" t="s">
        <v>21110</v>
      </c>
      <c r="B1491" s="261" t="s">
        <v>21110</v>
      </c>
      <c r="C1491" s="261" t="s">
        <v>18774</v>
      </c>
      <c r="D1491" s="261" t="s">
        <v>18773</v>
      </c>
      <c r="E1491" s="261">
        <v>9</v>
      </c>
      <c r="F1491" s="261" t="s">
        <v>20949</v>
      </c>
      <c r="G1491" s="261"/>
      <c r="H1491" s="261"/>
      <c r="I1491" s="261" t="s">
        <v>122</v>
      </c>
      <c r="J1491" s="261" t="s">
        <v>19600</v>
      </c>
      <c r="K1491" s="262">
        <v>20</v>
      </c>
    </row>
    <row r="1492" spans="1:11" x14ac:dyDescent="0.2">
      <c r="A1492" s="306" t="s">
        <v>21110</v>
      </c>
      <c r="B1492" s="261" t="s">
        <v>21110</v>
      </c>
      <c r="C1492" s="261" t="s">
        <v>18774</v>
      </c>
      <c r="D1492" s="261" t="s">
        <v>18773</v>
      </c>
      <c r="E1492" s="261">
        <v>10</v>
      </c>
      <c r="F1492" s="261" t="s">
        <v>20950</v>
      </c>
      <c r="G1492" s="261"/>
      <c r="H1492" s="261"/>
      <c r="I1492" s="261" t="s">
        <v>122</v>
      </c>
      <c r="J1492" s="261" t="s">
        <v>19603</v>
      </c>
      <c r="K1492" s="262">
        <v>20</v>
      </c>
    </row>
    <row r="1493" spans="1:11" x14ac:dyDescent="0.2">
      <c r="A1493" s="306" t="s">
        <v>21110</v>
      </c>
      <c r="B1493" s="261" t="s">
        <v>21110</v>
      </c>
      <c r="C1493" s="261" t="s">
        <v>18774</v>
      </c>
      <c r="D1493" s="261" t="s">
        <v>18773</v>
      </c>
      <c r="E1493" s="261">
        <v>11</v>
      </c>
      <c r="F1493" s="261" t="s">
        <v>21116</v>
      </c>
      <c r="G1493" s="261"/>
      <c r="H1493" s="261"/>
      <c r="I1493" s="261" t="s">
        <v>122</v>
      </c>
      <c r="J1493" s="261" t="s">
        <v>19601</v>
      </c>
      <c r="K1493" s="262">
        <v>20</v>
      </c>
    </row>
    <row r="1494" spans="1:11" x14ac:dyDescent="0.2">
      <c r="A1494" s="306" t="s">
        <v>21110</v>
      </c>
      <c r="B1494" s="261" t="s">
        <v>21110</v>
      </c>
      <c r="C1494" s="261" t="s">
        <v>18774</v>
      </c>
      <c r="D1494" s="261" t="s">
        <v>18773</v>
      </c>
      <c r="E1494" s="261">
        <v>12</v>
      </c>
      <c r="F1494" s="261" t="s">
        <v>20952</v>
      </c>
      <c r="G1494" s="261"/>
      <c r="H1494" s="261"/>
      <c r="I1494" s="261" t="s">
        <v>122</v>
      </c>
      <c r="J1494" s="261" t="s">
        <v>19604</v>
      </c>
      <c r="K1494" s="262">
        <v>20</v>
      </c>
    </row>
    <row r="1495" spans="1:11" x14ac:dyDescent="0.2">
      <c r="A1495" s="306" t="s">
        <v>21110</v>
      </c>
      <c r="B1495" s="261" t="s">
        <v>21110</v>
      </c>
      <c r="C1495" s="261" t="s">
        <v>18774</v>
      </c>
      <c r="D1495" s="261" t="s">
        <v>18773</v>
      </c>
      <c r="E1495" s="261">
        <v>13</v>
      </c>
      <c r="F1495" s="261" t="s">
        <v>21117</v>
      </c>
      <c r="G1495" s="261"/>
      <c r="H1495" s="261"/>
      <c r="I1495" s="261" t="s">
        <v>122</v>
      </c>
      <c r="J1495" s="261" t="s">
        <v>19602</v>
      </c>
      <c r="K1495" s="262">
        <v>20</v>
      </c>
    </row>
    <row r="1496" spans="1:11" x14ac:dyDescent="0.2">
      <c r="A1496" s="306" t="s">
        <v>21110</v>
      </c>
      <c r="B1496" s="261" t="s">
        <v>21110</v>
      </c>
      <c r="C1496" s="261" t="s">
        <v>18774</v>
      </c>
      <c r="D1496" s="261" t="s">
        <v>18773</v>
      </c>
      <c r="E1496" s="261">
        <v>14</v>
      </c>
      <c r="F1496" s="261" t="s">
        <v>21118</v>
      </c>
      <c r="G1496" s="261"/>
      <c r="H1496" s="261"/>
      <c r="I1496" s="261" t="s">
        <v>10772</v>
      </c>
      <c r="J1496" s="261" t="s">
        <v>19618</v>
      </c>
      <c r="K1496" s="262">
        <v>100</v>
      </c>
    </row>
    <row r="1497" spans="1:11" x14ac:dyDescent="0.2">
      <c r="A1497" s="306" t="s">
        <v>20504</v>
      </c>
      <c r="B1497" s="261" t="s">
        <v>20504</v>
      </c>
      <c r="C1497" s="261" t="s">
        <v>19673</v>
      </c>
      <c r="D1497" s="261" t="s">
        <v>18241</v>
      </c>
      <c r="E1497" s="261">
        <v>1</v>
      </c>
      <c r="F1497" s="261" t="s">
        <v>19688</v>
      </c>
      <c r="G1497" s="261" t="s">
        <v>14567</v>
      </c>
      <c r="H1497" s="261" t="s">
        <v>14568</v>
      </c>
      <c r="I1497" s="261"/>
      <c r="J1497" s="261"/>
      <c r="K1497" s="262"/>
    </row>
    <row r="1498" spans="1:11" x14ac:dyDescent="0.2">
      <c r="A1498" s="306" t="s">
        <v>20504</v>
      </c>
      <c r="B1498" s="261" t="s">
        <v>18802</v>
      </c>
      <c r="C1498" s="261" t="s">
        <v>19673</v>
      </c>
      <c r="D1498" s="261" t="s">
        <v>18241</v>
      </c>
      <c r="E1498" s="261">
        <v>2</v>
      </c>
      <c r="F1498" s="261" t="s">
        <v>21119</v>
      </c>
      <c r="G1498" s="261" t="s">
        <v>3192</v>
      </c>
      <c r="H1498" s="261" t="s">
        <v>3193</v>
      </c>
      <c r="I1498" s="261"/>
      <c r="J1498" s="261"/>
      <c r="K1498" s="262"/>
    </row>
    <row r="1499" spans="1:11" x14ac:dyDescent="0.2">
      <c r="A1499" s="306" t="s">
        <v>20504</v>
      </c>
      <c r="B1499" s="261" t="s">
        <v>18806</v>
      </c>
      <c r="C1499" s="261" t="s">
        <v>19673</v>
      </c>
      <c r="D1499" s="261" t="s">
        <v>18241</v>
      </c>
      <c r="E1499" s="261">
        <v>3</v>
      </c>
      <c r="F1499" s="261" t="s">
        <v>21120</v>
      </c>
      <c r="G1499" s="261" t="s">
        <v>14279</v>
      </c>
      <c r="H1499" s="261" t="s">
        <v>14280</v>
      </c>
      <c r="I1499" s="261"/>
      <c r="J1499" s="261"/>
      <c r="K1499" s="262"/>
    </row>
    <row r="1500" spans="1:11" x14ac:dyDescent="0.2">
      <c r="A1500" s="306" t="s">
        <v>20504</v>
      </c>
      <c r="B1500" s="261" t="s">
        <v>18809</v>
      </c>
      <c r="C1500" s="261" t="s">
        <v>19673</v>
      </c>
      <c r="D1500" s="261" t="s">
        <v>18241</v>
      </c>
      <c r="E1500" s="261">
        <v>4</v>
      </c>
      <c r="F1500" s="261" t="s">
        <v>21121</v>
      </c>
      <c r="G1500" s="261" t="s">
        <v>10242</v>
      </c>
      <c r="H1500" s="261" t="s">
        <v>10243</v>
      </c>
      <c r="I1500" s="261"/>
      <c r="J1500" s="261"/>
      <c r="K1500" s="262"/>
    </row>
    <row r="1501" spans="1:11" x14ac:dyDescent="0.2">
      <c r="A1501" s="306" t="s">
        <v>20504</v>
      </c>
      <c r="B1501" s="261" t="s">
        <v>18810</v>
      </c>
      <c r="C1501" s="261" t="s">
        <v>19673</v>
      </c>
      <c r="D1501" s="261" t="s">
        <v>18241</v>
      </c>
      <c r="E1501" s="261">
        <v>5</v>
      </c>
      <c r="F1501" s="261" t="s">
        <v>21122</v>
      </c>
      <c r="G1501" s="261" t="s">
        <v>1977</v>
      </c>
      <c r="H1501" s="261" t="s">
        <v>1978</v>
      </c>
      <c r="I1501" s="261"/>
      <c r="J1501" s="261"/>
      <c r="K1501" s="262"/>
    </row>
    <row r="1502" spans="1:11" x14ac:dyDescent="0.2">
      <c r="A1502" s="306" t="s">
        <v>20504</v>
      </c>
      <c r="B1502" s="261" t="s">
        <v>18811</v>
      </c>
      <c r="C1502" s="261" t="s">
        <v>19673</v>
      </c>
      <c r="D1502" s="261" t="s">
        <v>18241</v>
      </c>
      <c r="E1502" s="261">
        <v>6</v>
      </c>
      <c r="F1502" s="261" t="s">
        <v>21123</v>
      </c>
      <c r="G1502" s="261" t="s">
        <v>639</v>
      </c>
      <c r="H1502" s="261" t="s">
        <v>640</v>
      </c>
      <c r="I1502" s="261"/>
      <c r="J1502" s="261"/>
      <c r="K1502" s="262"/>
    </row>
    <row r="1503" spans="1:11" x14ac:dyDescent="0.2">
      <c r="A1503" s="306" t="s">
        <v>20504</v>
      </c>
      <c r="B1503" s="261" t="s">
        <v>18815</v>
      </c>
      <c r="C1503" s="261" t="s">
        <v>19673</v>
      </c>
      <c r="D1503" s="261" t="s">
        <v>18241</v>
      </c>
      <c r="E1503" s="261">
        <v>7</v>
      </c>
      <c r="F1503" s="261" t="s">
        <v>21124</v>
      </c>
      <c r="G1503" s="261" t="s">
        <v>3990</v>
      </c>
      <c r="H1503" s="261" t="s">
        <v>3991</v>
      </c>
      <c r="I1503" s="261"/>
      <c r="J1503" s="261"/>
      <c r="K1503" s="262"/>
    </row>
    <row r="1504" spans="1:11" x14ac:dyDescent="0.2">
      <c r="A1504" s="306" t="s">
        <v>20504</v>
      </c>
      <c r="B1504" s="261" t="s">
        <v>18819</v>
      </c>
      <c r="C1504" s="261" t="s">
        <v>19673</v>
      </c>
      <c r="D1504" s="261" t="s">
        <v>18241</v>
      </c>
      <c r="E1504" s="261">
        <v>8</v>
      </c>
      <c r="F1504" s="261" t="s">
        <v>21125</v>
      </c>
      <c r="G1504" s="261" t="s">
        <v>14276</v>
      </c>
      <c r="H1504" s="261" t="s">
        <v>14277</v>
      </c>
      <c r="I1504" s="261"/>
      <c r="J1504" s="261"/>
      <c r="K1504" s="262"/>
    </row>
    <row r="1505" spans="1:11" x14ac:dyDescent="0.2">
      <c r="A1505" s="306" t="s">
        <v>20350</v>
      </c>
      <c r="B1505" s="261" t="s">
        <v>20350</v>
      </c>
      <c r="C1505" s="261" t="s">
        <v>14283</v>
      </c>
      <c r="D1505" s="261" t="s">
        <v>18560</v>
      </c>
      <c r="E1505" s="261">
        <v>1</v>
      </c>
      <c r="F1505" s="261" t="s">
        <v>19688</v>
      </c>
      <c r="G1505" s="261" t="s">
        <v>14281</v>
      </c>
      <c r="H1505" s="261" t="s">
        <v>14282</v>
      </c>
      <c r="I1505" s="261"/>
      <c r="J1505" s="261"/>
      <c r="K1505" s="262"/>
    </row>
    <row r="1506" spans="1:11" x14ac:dyDescent="0.2">
      <c r="A1506" s="306" t="s">
        <v>20350</v>
      </c>
      <c r="B1506" s="261" t="s">
        <v>18837</v>
      </c>
      <c r="C1506" s="261" t="s">
        <v>14283</v>
      </c>
      <c r="D1506" s="261" t="s">
        <v>18560</v>
      </c>
      <c r="E1506" s="261">
        <v>2</v>
      </c>
      <c r="F1506" s="261" t="s">
        <v>20946</v>
      </c>
      <c r="G1506" s="261" t="s">
        <v>2509</v>
      </c>
      <c r="H1506" s="261" t="s">
        <v>2510</v>
      </c>
      <c r="I1506" s="261"/>
      <c r="J1506" s="261"/>
      <c r="K1506" s="262"/>
    </row>
    <row r="1507" spans="1:11" x14ac:dyDescent="0.2">
      <c r="A1507" s="306" t="s">
        <v>20350</v>
      </c>
      <c r="B1507" s="261" t="s">
        <v>18838</v>
      </c>
      <c r="C1507" s="261" t="s">
        <v>14283</v>
      </c>
      <c r="D1507" s="261" t="s">
        <v>18560</v>
      </c>
      <c r="E1507" s="261">
        <v>3</v>
      </c>
      <c r="F1507" s="261" t="s">
        <v>20947</v>
      </c>
      <c r="G1507" s="261" t="s">
        <v>9561</v>
      </c>
      <c r="H1507" s="261" t="s">
        <v>9562</v>
      </c>
      <c r="I1507" s="261"/>
      <c r="J1507" s="261"/>
      <c r="K1507" s="262"/>
    </row>
    <row r="1508" spans="1:11" x14ac:dyDescent="0.2">
      <c r="A1508" s="306" t="s">
        <v>20350</v>
      </c>
      <c r="B1508" s="261" t="s">
        <v>20350</v>
      </c>
      <c r="C1508" s="261" t="s">
        <v>14283</v>
      </c>
      <c r="D1508" s="261" t="s">
        <v>18560</v>
      </c>
      <c r="E1508" s="261">
        <v>4</v>
      </c>
      <c r="F1508" s="261" t="s">
        <v>20948</v>
      </c>
      <c r="G1508" s="261"/>
      <c r="H1508" s="261"/>
      <c r="I1508" s="261" t="s">
        <v>1947</v>
      </c>
      <c r="J1508" s="261" t="s">
        <v>19599</v>
      </c>
      <c r="K1508" s="262">
        <v>20</v>
      </c>
    </row>
    <row r="1509" spans="1:11" x14ac:dyDescent="0.2">
      <c r="A1509" s="306" t="s">
        <v>20350</v>
      </c>
      <c r="B1509" s="261" t="s">
        <v>20350</v>
      </c>
      <c r="C1509" s="261" t="s">
        <v>14283</v>
      </c>
      <c r="D1509" s="261" t="s">
        <v>18560</v>
      </c>
      <c r="E1509" s="261">
        <v>5</v>
      </c>
      <c r="F1509" s="261" t="s">
        <v>20949</v>
      </c>
      <c r="G1509" s="261"/>
      <c r="H1509" s="261"/>
      <c r="I1509" s="261" t="s">
        <v>1947</v>
      </c>
      <c r="J1509" s="261" t="s">
        <v>19600</v>
      </c>
      <c r="K1509" s="262">
        <v>20</v>
      </c>
    </row>
    <row r="1510" spans="1:11" x14ac:dyDescent="0.2">
      <c r="A1510" s="306" t="s">
        <v>20350</v>
      </c>
      <c r="B1510" s="261" t="s">
        <v>20350</v>
      </c>
      <c r="C1510" s="261" t="s">
        <v>14283</v>
      </c>
      <c r="D1510" s="261" t="s">
        <v>18560</v>
      </c>
      <c r="E1510" s="261">
        <v>6</v>
      </c>
      <c r="F1510" s="261" t="s">
        <v>20950</v>
      </c>
      <c r="G1510" s="261"/>
      <c r="H1510" s="261"/>
      <c r="I1510" s="261" t="s">
        <v>1947</v>
      </c>
      <c r="J1510" s="261" t="s">
        <v>19603</v>
      </c>
      <c r="K1510" s="262">
        <v>20</v>
      </c>
    </row>
    <row r="1511" spans="1:11" x14ac:dyDescent="0.2">
      <c r="A1511" s="306" t="s">
        <v>20350</v>
      </c>
      <c r="B1511" s="261" t="s">
        <v>20350</v>
      </c>
      <c r="C1511" s="261" t="s">
        <v>14283</v>
      </c>
      <c r="D1511" s="261" t="s">
        <v>18560</v>
      </c>
      <c r="E1511" s="261">
        <v>7</v>
      </c>
      <c r="F1511" s="261" t="s">
        <v>20951</v>
      </c>
      <c r="G1511" s="261"/>
      <c r="H1511" s="261"/>
      <c r="I1511" s="261" t="s">
        <v>1947</v>
      </c>
      <c r="J1511" s="261" t="s">
        <v>19601</v>
      </c>
      <c r="K1511" s="262">
        <v>20</v>
      </c>
    </row>
    <row r="1512" spans="1:11" x14ac:dyDescent="0.2">
      <c r="A1512" s="306" t="s">
        <v>20350</v>
      </c>
      <c r="B1512" s="261" t="s">
        <v>20350</v>
      </c>
      <c r="C1512" s="261" t="s">
        <v>14283</v>
      </c>
      <c r="D1512" s="261" t="s">
        <v>18560</v>
      </c>
      <c r="E1512" s="261">
        <v>8</v>
      </c>
      <c r="F1512" s="261" t="s">
        <v>20952</v>
      </c>
      <c r="G1512" s="261"/>
      <c r="H1512" s="261"/>
      <c r="I1512" s="261" t="s">
        <v>1947</v>
      </c>
      <c r="J1512" s="261" t="s">
        <v>19604</v>
      </c>
      <c r="K1512" s="262">
        <v>20</v>
      </c>
    </row>
    <row r="1513" spans="1:11" x14ac:dyDescent="0.2">
      <c r="A1513" s="306" t="s">
        <v>20350</v>
      </c>
      <c r="B1513" s="261" t="s">
        <v>20350</v>
      </c>
      <c r="C1513" s="261" t="s">
        <v>14283</v>
      </c>
      <c r="D1513" s="261" t="s">
        <v>18560</v>
      </c>
      <c r="E1513" s="261">
        <v>9</v>
      </c>
      <c r="F1513" s="261" t="s">
        <v>20953</v>
      </c>
      <c r="G1513" s="261"/>
      <c r="H1513" s="261"/>
      <c r="I1513" s="261" t="s">
        <v>1947</v>
      </c>
      <c r="J1513" s="261" t="s">
        <v>19602</v>
      </c>
      <c r="K1513" s="262">
        <v>20</v>
      </c>
    </row>
    <row r="1514" spans="1:11" x14ac:dyDescent="0.2">
      <c r="A1514" s="306" t="s">
        <v>20350</v>
      </c>
      <c r="B1514" s="261" t="s">
        <v>20350</v>
      </c>
      <c r="C1514" s="261" t="s">
        <v>14283</v>
      </c>
      <c r="D1514" s="261" t="s">
        <v>18560</v>
      </c>
      <c r="E1514" s="261">
        <v>10</v>
      </c>
      <c r="F1514" s="261" t="s">
        <v>20954</v>
      </c>
      <c r="G1514" s="261"/>
      <c r="H1514" s="261"/>
      <c r="I1514" s="261" t="s">
        <v>10772</v>
      </c>
      <c r="J1514" s="261" t="s">
        <v>19618</v>
      </c>
      <c r="K1514" s="262">
        <v>100</v>
      </c>
    </row>
    <row r="1515" spans="1:11" x14ac:dyDescent="0.2">
      <c r="A1515" s="306" t="s">
        <v>20353</v>
      </c>
      <c r="B1515" s="261" t="s">
        <v>20353</v>
      </c>
      <c r="C1515" s="261" t="s">
        <v>14286</v>
      </c>
      <c r="D1515" s="261" t="s">
        <v>18046</v>
      </c>
      <c r="E1515" s="261">
        <v>1</v>
      </c>
      <c r="F1515" s="261" t="s">
        <v>19688</v>
      </c>
      <c r="G1515" s="261" t="s">
        <v>20156</v>
      </c>
      <c r="H1515" s="261" t="s">
        <v>20157</v>
      </c>
      <c r="I1515" s="261"/>
      <c r="J1515" s="261"/>
      <c r="K1515" s="262"/>
    </row>
    <row r="1516" spans="1:11" x14ac:dyDescent="0.2">
      <c r="A1516" s="306" t="s">
        <v>20353</v>
      </c>
      <c r="B1516" s="261" t="s">
        <v>20353</v>
      </c>
      <c r="C1516" s="261" t="s">
        <v>14286</v>
      </c>
      <c r="D1516" s="261" t="s">
        <v>18046</v>
      </c>
      <c r="E1516" s="261">
        <v>2</v>
      </c>
      <c r="F1516" s="261" t="s">
        <v>19688</v>
      </c>
      <c r="G1516" s="261" t="s">
        <v>14287</v>
      </c>
      <c r="H1516" s="261" t="s">
        <v>14288</v>
      </c>
      <c r="I1516" s="261"/>
      <c r="J1516" s="261"/>
      <c r="K1516" s="262"/>
    </row>
    <row r="1517" spans="1:11" x14ac:dyDescent="0.2">
      <c r="A1517" s="306" t="s">
        <v>20353</v>
      </c>
      <c r="B1517" s="261" t="s">
        <v>18839</v>
      </c>
      <c r="C1517" s="261" t="s">
        <v>14286</v>
      </c>
      <c r="D1517" s="261" t="s">
        <v>18046</v>
      </c>
      <c r="E1517" s="261">
        <v>3</v>
      </c>
      <c r="F1517" s="261" t="s">
        <v>21126</v>
      </c>
      <c r="G1517" s="261" t="s">
        <v>14284</v>
      </c>
      <c r="H1517" s="261" t="s">
        <v>14285</v>
      </c>
      <c r="I1517" s="261"/>
      <c r="J1517" s="261"/>
      <c r="K1517" s="262"/>
    </row>
    <row r="1518" spans="1:11" x14ac:dyDescent="0.2">
      <c r="A1518" s="306" t="s">
        <v>20353</v>
      </c>
      <c r="B1518" s="261" t="s">
        <v>18844</v>
      </c>
      <c r="C1518" s="261" t="s">
        <v>14286</v>
      </c>
      <c r="D1518" s="261" t="s">
        <v>18046</v>
      </c>
      <c r="E1518" s="261">
        <v>4</v>
      </c>
      <c r="F1518" s="261" t="s">
        <v>21127</v>
      </c>
      <c r="G1518" s="261" t="s">
        <v>1064</v>
      </c>
      <c r="H1518" s="261" t="s">
        <v>1065</v>
      </c>
      <c r="I1518" s="261"/>
      <c r="J1518" s="261"/>
      <c r="K1518" s="262"/>
    </row>
    <row r="1519" spans="1:11" x14ac:dyDescent="0.2">
      <c r="A1519" s="306" t="s">
        <v>20353</v>
      </c>
      <c r="B1519" s="261" t="s">
        <v>18847</v>
      </c>
      <c r="C1519" s="261" t="s">
        <v>14286</v>
      </c>
      <c r="D1519" s="261" t="s">
        <v>18046</v>
      </c>
      <c r="E1519" s="261">
        <v>5</v>
      </c>
      <c r="F1519" s="261" t="s">
        <v>21128</v>
      </c>
      <c r="G1519" s="261" t="s">
        <v>3278</v>
      </c>
      <c r="H1519" s="261" t="s">
        <v>3279</v>
      </c>
      <c r="I1519" s="261"/>
      <c r="J1519" s="261"/>
      <c r="K1519" s="262"/>
    </row>
    <row r="1520" spans="1:11" x14ac:dyDescent="0.2">
      <c r="A1520" s="306" t="s">
        <v>20353</v>
      </c>
      <c r="B1520" s="261" t="s">
        <v>20353</v>
      </c>
      <c r="C1520" s="261" t="s">
        <v>14286</v>
      </c>
      <c r="D1520" s="261" t="s">
        <v>18046</v>
      </c>
      <c r="E1520" s="261">
        <v>6</v>
      </c>
      <c r="F1520" s="261" t="s">
        <v>20882</v>
      </c>
      <c r="G1520" s="261"/>
      <c r="H1520" s="261"/>
      <c r="I1520" s="261"/>
      <c r="J1520" s="261" t="s">
        <v>21129</v>
      </c>
      <c r="K1520" s="262">
        <v>7</v>
      </c>
    </row>
    <row r="1521" spans="1:11" x14ac:dyDescent="0.2">
      <c r="A1521" s="306" t="s">
        <v>20353</v>
      </c>
      <c r="B1521" s="261" t="s">
        <v>20353</v>
      </c>
      <c r="C1521" s="261" t="s">
        <v>14286</v>
      </c>
      <c r="D1521" s="261" t="s">
        <v>18046</v>
      </c>
      <c r="E1521" s="261">
        <v>7</v>
      </c>
      <c r="F1521" s="261" t="s">
        <v>20884</v>
      </c>
      <c r="G1521" s="261"/>
      <c r="H1521" s="261"/>
      <c r="I1521" s="261"/>
      <c r="J1521" s="261" t="s">
        <v>21129</v>
      </c>
      <c r="K1521" s="262">
        <v>7</v>
      </c>
    </row>
    <row r="1522" spans="1:11" x14ac:dyDescent="0.2">
      <c r="A1522" s="306" t="s">
        <v>20353</v>
      </c>
      <c r="B1522" s="261" t="s">
        <v>20353</v>
      </c>
      <c r="C1522" s="261" t="s">
        <v>14286</v>
      </c>
      <c r="D1522" s="261" t="s">
        <v>18046</v>
      </c>
      <c r="E1522" s="261">
        <v>8</v>
      </c>
      <c r="F1522" s="261" t="s">
        <v>20868</v>
      </c>
      <c r="G1522" s="261"/>
      <c r="H1522" s="261"/>
      <c r="I1522" s="261"/>
      <c r="J1522" s="261" t="s">
        <v>21129</v>
      </c>
      <c r="K1522" s="262">
        <v>7</v>
      </c>
    </row>
    <row r="1523" spans="1:11" x14ac:dyDescent="0.2">
      <c r="A1523" s="306" t="s">
        <v>20353</v>
      </c>
      <c r="B1523" s="261" t="s">
        <v>20353</v>
      </c>
      <c r="C1523" s="261" t="s">
        <v>14286</v>
      </c>
      <c r="D1523" s="261" t="s">
        <v>18046</v>
      </c>
      <c r="E1523" s="261">
        <v>9</v>
      </c>
      <c r="F1523" s="261" t="s">
        <v>20885</v>
      </c>
      <c r="G1523" s="261"/>
      <c r="H1523" s="261"/>
      <c r="I1523" s="261"/>
      <c r="J1523" s="261" t="s">
        <v>21129</v>
      </c>
      <c r="K1523" s="262">
        <v>7</v>
      </c>
    </row>
    <row r="1524" spans="1:11" x14ac:dyDescent="0.2">
      <c r="A1524" s="306" t="s">
        <v>20353</v>
      </c>
      <c r="B1524" s="261" t="s">
        <v>20353</v>
      </c>
      <c r="C1524" s="261" t="s">
        <v>14286</v>
      </c>
      <c r="D1524" s="261" t="s">
        <v>18046</v>
      </c>
      <c r="E1524" s="261">
        <v>10</v>
      </c>
      <c r="F1524" s="261" t="s">
        <v>20886</v>
      </c>
      <c r="G1524" s="261"/>
      <c r="H1524" s="261"/>
      <c r="I1524" s="261"/>
      <c r="J1524" s="261" t="s">
        <v>21129</v>
      </c>
      <c r="K1524" s="262">
        <v>6</v>
      </c>
    </row>
    <row r="1525" spans="1:11" x14ac:dyDescent="0.2">
      <c r="A1525" s="306" t="s">
        <v>20353</v>
      </c>
      <c r="B1525" s="261" t="s">
        <v>20353</v>
      </c>
      <c r="C1525" s="261" t="s">
        <v>14286</v>
      </c>
      <c r="D1525" s="261" t="s">
        <v>18046</v>
      </c>
      <c r="E1525" s="261">
        <v>11</v>
      </c>
      <c r="F1525" s="261" t="s">
        <v>20870</v>
      </c>
      <c r="G1525" s="261"/>
      <c r="H1525" s="261"/>
      <c r="I1525" s="261" t="s">
        <v>122</v>
      </c>
      <c r="J1525" s="261" t="s">
        <v>19599</v>
      </c>
      <c r="K1525" s="262">
        <v>20</v>
      </c>
    </row>
    <row r="1526" spans="1:11" x14ac:dyDescent="0.2">
      <c r="A1526" s="306" t="s">
        <v>20353</v>
      </c>
      <c r="B1526" s="261" t="s">
        <v>20353</v>
      </c>
      <c r="C1526" s="261" t="s">
        <v>14286</v>
      </c>
      <c r="D1526" s="261" t="s">
        <v>18046</v>
      </c>
      <c r="E1526" s="261">
        <v>12</v>
      </c>
      <c r="F1526" s="261" t="s">
        <v>21130</v>
      </c>
      <c r="G1526" s="261"/>
      <c r="H1526" s="261"/>
      <c r="I1526" s="261" t="s">
        <v>122</v>
      </c>
      <c r="J1526" s="261" t="s">
        <v>19600</v>
      </c>
      <c r="K1526" s="262">
        <v>20</v>
      </c>
    </row>
    <row r="1527" spans="1:11" x14ac:dyDescent="0.2">
      <c r="A1527" s="306" t="s">
        <v>20353</v>
      </c>
      <c r="B1527" s="261" t="s">
        <v>20353</v>
      </c>
      <c r="C1527" s="261" t="s">
        <v>14286</v>
      </c>
      <c r="D1527" s="261" t="s">
        <v>18046</v>
      </c>
      <c r="E1527" s="261">
        <v>13</v>
      </c>
      <c r="F1527" s="261" t="s">
        <v>20888</v>
      </c>
      <c r="G1527" s="261"/>
      <c r="H1527" s="261"/>
      <c r="I1527" s="261" t="s">
        <v>122</v>
      </c>
      <c r="J1527" s="261" t="s">
        <v>19603</v>
      </c>
      <c r="K1527" s="262">
        <v>20</v>
      </c>
    </row>
    <row r="1528" spans="1:11" x14ac:dyDescent="0.2">
      <c r="A1528" s="306" t="s">
        <v>20353</v>
      </c>
      <c r="B1528" s="261" t="s">
        <v>20353</v>
      </c>
      <c r="C1528" s="261" t="s">
        <v>14286</v>
      </c>
      <c r="D1528" s="261" t="s">
        <v>18046</v>
      </c>
      <c r="E1528" s="261">
        <v>14</v>
      </c>
      <c r="F1528" s="261" t="s">
        <v>20872</v>
      </c>
      <c r="G1528" s="261"/>
      <c r="H1528" s="261"/>
      <c r="I1528" s="261" t="s">
        <v>122</v>
      </c>
      <c r="J1528" s="261" t="s">
        <v>19601</v>
      </c>
      <c r="K1528" s="262">
        <v>20</v>
      </c>
    </row>
    <row r="1529" spans="1:11" x14ac:dyDescent="0.2">
      <c r="A1529" s="306" t="s">
        <v>20353</v>
      </c>
      <c r="B1529" s="261" t="s">
        <v>20353</v>
      </c>
      <c r="C1529" s="261" t="s">
        <v>14286</v>
      </c>
      <c r="D1529" s="261" t="s">
        <v>18046</v>
      </c>
      <c r="E1529" s="261">
        <v>15</v>
      </c>
      <c r="F1529" s="261" t="s">
        <v>20889</v>
      </c>
      <c r="G1529" s="261"/>
      <c r="H1529" s="261"/>
      <c r="I1529" s="261" t="s">
        <v>122</v>
      </c>
      <c r="J1529" s="261" t="s">
        <v>19604</v>
      </c>
      <c r="K1529" s="262">
        <v>20</v>
      </c>
    </row>
    <row r="1530" spans="1:11" x14ac:dyDescent="0.2">
      <c r="A1530" s="306" t="s">
        <v>20353</v>
      </c>
      <c r="B1530" s="261" t="s">
        <v>20353</v>
      </c>
      <c r="C1530" s="261" t="s">
        <v>14286</v>
      </c>
      <c r="D1530" s="261" t="s">
        <v>18046</v>
      </c>
      <c r="E1530" s="261">
        <v>16</v>
      </c>
      <c r="F1530" s="261" t="s">
        <v>20890</v>
      </c>
      <c r="G1530" s="261"/>
      <c r="H1530" s="261"/>
      <c r="I1530" s="261" t="s">
        <v>122</v>
      </c>
      <c r="J1530" s="261" t="s">
        <v>19602</v>
      </c>
      <c r="K1530" s="262">
        <v>20</v>
      </c>
    </row>
    <row r="1531" spans="1:11" x14ac:dyDescent="0.2">
      <c r="A1531" s="306" t="s">
        <v>20353</v>
      </c>
      <c r="B1531" s="261" t="s">
        <v>20353</v>
      </c>
      <c r="C1531" s="261" t="s">
        <v>14286</v>
      </c>
      <c r="D1531" s="261" t="s">
        <v>18046</v>
      </c>
      <c r="E1531" s="261">
        <v>17</v>
      </c>
      <c r="F1531" s="261" t="s">
        <v>20891</v>
      </c>
      <c r="G1531" s="261"/>
      <c r="H1531" s="261"/>
      <c r="I1531" s="261" t="s">
        <v>122</v>
      </c>
      <c r="J1531" s="261" t="s">
        <v>19618</v>
      </c>
      <c r="K1531" s="262">
        <v>100</v>
      </c>
    </row>
    <row r="1532" spans="1:11" x14ac:dyDescent="0.2">
      <c r="A1532" s="306" t="s">
        <v>21131</v>
      </c>
      <c r="B1532" s="261" t="s">
        <v>18866</v>
      </c>
      <c r="C1532" s="261" t="s">
        <v>18852</v>
      </c>
      <c r="D1532" s="261" t="s">
        <v>18588</v>
      </c>
      <c r="E1532" s="261">
        <v>1</v>
      </c>
      <c r="F1532" s="261" t="s">
        <v>21067</v>
      </c>
      <c r="G1532" s="261" t="s">
        <v>3731</v>
      </c>
      <c r="H1532" s="261" t="s">
        <v>3732</v>
      </c>
      <c r="I1532" s="261"/>
      <c r="J1532" s="261"/>
      <c r="K1532" s="262"/>
    </row>
    <row r="1533" spans="1:11" x14ac:dyDescent="0.2">
      <c r="A1533" s="306" t="s">
        <v>21131</v>
      </c>
      <c r="B1533" s="261" t="s">
        <v>18867</v>
      </c>
      <c r="C1533" s="261" t="s">
        <v>18852</v>
      </c>
      <c r="D1533" s="261" t="s">
        <v>18588</v>
      </c>
      <c r="E1533" s="261">
        <v>2</v>
      </c>
      <c r="F1533" s="261" t="s">
        <v>21068</v>
      </c>
      <c r="G1533" s="261" t="s">
        <v>1397</v>
      </c>
      <c r="H1533" s="261" t="s">
        <v>1398</v>
      </c>
      <c r="I1533" s="261"/>
      <c r="J1533" s="261"/>
      <c r="K1533" s="262"/>
    </row>
    <row r="1534" spans="1:11" x14ac:dyDescent="0.2">
      <c r="A1534" s="306" t="s">
        <v>21131</v>
      </c>
      <c r="B1534" s="261" t="s">
        <v>21131</v>
      </c>
      <c r="C1534" s="261" t="s">
        <v>18852</v>
      </c>
      <c r="D1534" s="261" t="s">
        <v>18588</v>
      </c>
      <c r="E1534" s="261">
        <v>3</v>
      </c>
      <c r="F1534" s="261" t="s">
        <v>20948</v>
      </c>
      <c r="G1534" s="261"/>
      <c r="H1534" s="261"/>
      <c r="I1534" s="261" t="s">
        <v>2837</v>
      </c>
      <c r="J1534" s="261" t="s">
        <v>19599</v>
      </c>
      <c r="K1534" s="262">
        <v>20</v>
      </c>
    </row>
    <row r="1535" spans="1:11" x14ac:dyDescent="0.2">
      <c r="A1535" s="306" t="s">
        <v>21131</v>
      </c>
      <c r="B1535" s="261" t="s">
        <v>21131</v>
      </c>
      <c r="C1535" s="261" t="s">
        <v>18852</v>
      </c>
      <c r="D1535" s="261" t="s">
        <v>18588</v>
      </c>
      <c r="E1535" s="261">
        <v>4</v>
      </c>
      <c r="F1535" s="261" t="s">
        <v>20949</v>
      </c>
      <c r="G1535" s="261"/>
      <c r="H1535" s="261"/>
      <c r="I1535" s="261" t="s">
        <v>2837</v>
      </c>
      <c r="J1535" s="261" t="s">
        <v>19600</v>
      </c>
      <c r="K1535" s="262">
        <v>20</v>
      </c>
    </row>
    <row r="1536" spans="1:11" x14ac:dyDescent="0.2">
      <c r="A1536" s="306" t="s">
        <v>21131</v>
      </c>
      <c r="B1536" s="261" t="s">
        <v>21131</v>
      </c>
      <c r="C1536" s="261" t="s">
        <v>18852</v>
      </c>
      <c r="D1536" s="261" t="s">
        <v>18588</v>
      </c>
      <c r="E1536" s="261">
        <v>5</v>
      </c>
      <c r="F1536" s="261" t="s">
        <v>20950</v>
      </c>
      <c r="G1536" s="261"/>
      <c r="H1536" s="261"/>
      <c r="I1536" s="261" t="s">
        <v>2837</v>
      </c>
      <c r="J1536" s="261" t="s">
        <v>19603</v>
      </c>
      <c r="K1536" s="262">
        <v>20</v>
      </c>
    </row>
    <row r="1537" spans="1:11" x14ac:dyDescent="0.2">
      <c r="A1537" s="306" t="s">
        <v>21131</v>
      </c>
      <c r="B1537" s="261" t="s">
        <v>21131</v>
      </c>
      <c r="C1537" s="261" t="s">
        <v>18852</v>
      </c>
      <c r="D1537" s="261" t="s">
        <v>18588</v>
      </c>
      <c r="E1537" s="261">
        <v>6</v>
      </c>
      <c r="F1537" s="261" t="s">
        <v>21069</v>
      </c>
      <c r="G1537" s="261"/>
      <c r="H1537" s="261"/>
      <c r="I1537" s="261" t="s">
        <v>2837</v>
      </c>
      <c r="J1537" s="261" t="s">
        <v>19601</v>
      </c>
      <c r="K1537" s="262">
        <v>20</v>
      </c>
    </row>
    <row r="1538" spans="1:11" x14ac:dyDescent="0.2">
      <c r="A1538" s="306" t="s">
        <v>21131</v>
      </c>
      <c r="B1538" s="261" t="s">
        <v>21131</v>
      </c>
      <c r="C1538" s="261" t="s">
        <v>18852</v>
      </c>
      <c r="D1538" s="261" t="s">
        <v>18588</v>
      </c>
      <c r="E1538" s="261">
        <v>7</v>
      </c>
      <c r="F1538" s="261" t="s">
        <v>20952</v>
      </c>
      <c r="G1538" s="261"/>
      <c r="H1538" s="261"/>
      <c r="I1538" s="261" t="s">
        <v>2837</v>
      </c>
      <c r="J1538" s="261" t="s">
        <v>19604</v>
      </c>
      <c r="K1538" s="262">
        <v>20</v>
      </c>
    </row>
    <row r="1539" spans="1:11" x14ac:dyDescent="0.2">
      <c r="A1539" s="306" t="s">
        <v>21131</v>
      </c>
      <c r="B1539" s="261" t="s">
        <v>21131</v>
      </c>
      <c r="C1539" s="261" t="s">
        <v>18852</v>
      </c>
      <c r="D1539" s="261" t="s">
        <v>18588</v>
      </c>
      <c r="E1539" s="261">
        <v>8</v>
      </c>
      <c r="F1539" s="261" t="s">
        <v>21070</v>
      </c>
      <c r="G1539" s="261"/>
      <c r="H1539" s="261"/>
      <c r="I1539" s="261" t="s">
        <v>2837</v>
      </c>
      <c r="J1539" s="261" t="s">
        <v>19602</v>
      </c>
      <c r="K1539" s="262">
        <v>20</v>
      </c>
    </row>
    <row r="1540" spans="1:11" x14ac:dyDescent="0.2">
      <c r="A1540" s="306" t="s">
        <v>21131</v>
      </c>
      <c r="B1540" s="261" t="s">
        <v>21131</v>
      </c>
      <c r="C1540" s="261" t="s">
        <v>18852</v>
      </c>
      <c r="D1540" s="261" t="s">
        <v>18588</v>
      </c>
      <c r="E1540" s="261">
        <v>9</v>
      </c>
      <c r="F1540" s="261" t="s">
        <v>21071</v>
      </c>
      <c r="G1540" s="261"/>
      <c r="H1540" s="261"/>
      <c r="I1540" s="261" t="s">
        <v>10772</v>
      </c>
      <c r="J1540" s="261" t="s">
        <v>19618</v>
      </c>
      <c r="K1540" s="262">
        <v>100</v>
      </c>
    </row>
    <row r="1541" spans="1:11" x14ac:dyDescent="0.2">
      <c r="A1541" s="306" t="s">
        <v>20355</v>
      </c>
      <c r="B1541" s="261" t="s">
        <v>20355</v>
      </c>
      <c r="C1541" s="261" t="s">
        <v>14293</v>
      </c>
      <c r="D1541" s="261" t="s">
        <v>18017</v>
      </c>
      <c r="E1541" s="261">
        <v>1</v>
      </c>
      <c r="F1541" s="261" t="s">
        <v>19688</v>
      </c>
      <c r="G1541" s="261" t="s">
        <v>14290</v>
      </c>
      <c r="H1541" s="261" t="s">
        <v>14291</v>
      </c>
      <c r="I1541" s="261"/>
      <c r="J1541" s="261"/>
      <c r="K1541" s="262"/>
    </row>
    <row r="1542" spans="1:11" x14ac:dyDescent="0.2">
      <c r="A1542" s="306" t="s">
        <v>20355</v>
      </c>
      <c r="B1542" s="261" t="s">
        <v>18871</v>
      </c>
      <c r="C1542" s="261" t="s">
        <v>14293</v>
      </c>
      <c r="D1542" s="261" t="s">
        <v>18017</v>
      </c>
      <c r="E1542" s="261">
        <v>2</v>
      </c>
      <c r="F1542" s="261" t="s">
        <v>21132</v>
      </c>
      <c r="G1542" s="261" t="s">
        <v>2494</v>
      </c>
      <c r="H1542" s="261" t="s">
        <v>2495</v>
      </c>
      <c r="I1542" s="261"/>
      <c r="J1542" s="261"/>
      <c r="K1542" s="262"/>
    </row>
    <row r="1543" spans="1:11" x14ac:dyDescent="0.2">
      <c r="A1543" s="306" t="s">
        <v>20355</v>
      </c>
      <c r="B1543" s="261" t="s">
        <v>18873</v>
      </c>
      <c r="C1543" s="261" t="s">
        <v>14293</v>
      </c>
      <c r="D1543" s="261" t="s">
        <v>18017</v>
      </c>
      <c r="E1543" s="261">
        <v>3</v>
      </c>
      <c r="F1543" s="261" t="s">
        <v>21133</v>
      </c>
      <c r="G1543" s="261" t="s">
        <v>14569</v>
      </c>
      <c r="H1543" s="261" t="s">
        <v>14570</v>
      </c>
      <c r="I1543" s="261"/>
      <c r="J1543" s="261"/>
      <c r="K1543" s="262"/>
    </row>
    <row r="1544" spans="1:11" x14ac:dyDescent="0.2">
      <c r="A1544" s="306" t="s">
        <v>20355</v>
      </c>
      <c r="B1544" s="261" t="s">
        <v>18875</v>
      </c>
      <c r="C1544" s="261" t="s">
        <v>14293</v>
      </c>
      <c r="D1544" s="261" t="s">
        <v>18017</v>
      </c>
      <c r="E1544" s="261">
        <v>4</v>
      </c>
      <c r="F1544" s="261" t="s">
        <v>21134</v>
      </c>
      <c r="G1544" s="261" t="s">
        <v>2627</v>
      </c>
      <c r="H1544" s="261" t="s">
        <v>2628</v>
      </c>
      <c r="I1544" s="261"/>
      <c r="J1544" s="261"/>
      <c r="K1544" s="262"/>
    </row>
    <row r="1545" spans="1:11" x14ac:dyDescent="0.2">
      <c r="A1545" s="306" t="s">
        <v>20355</v>
      </c>
      <c r="B1545" s="261" t="s">
        <v>18877</v>
      </c>
      <c r="C1545" s="261" t="s">
        <v>14293</v>
      </c>
      <c r="D1545" s="261" t="s">
        <v>18017</v>
      </c>
      <c r="E1545" s="261">
        <v>5</v>
      </c>
      <c r="F1545" s="261" t="s">
        <v>21135</v>
      </c>
      <c r="G1545" s="261" t="s">
        <v>3792</v>
      </c>
      <c r="H1545" s="261" t="s">
        <v>3793</v>
      </c>
      <c r="I1545" s="261"/>
      <c r="J1545" s="261"/>
      <c r="K1545" s="262"/>
    </row>
    <row r="1546" spans="1:11" x14ac:dyDescent="0.2">
      <c r="A1546" s="306" t="s">
        <v>20355</v>
      </c>
      <c r="B1546" s="261" t="s">
        <v>18878</v>
      </c>
      <c r="C1546" s="261" t="s">
        <v>14293</v>
      </c>
      <c r="D1546" s="261" t="s">
        <v>18017</v>
      </c>
      <c r="E1546" s="261">
        <v>6</v>
      </c>
      <c r="F1546" s="261" t="s">
        <v>21136</v>
      </c>
      <c r="G1546" s="261" t="s">
        <v>14294</v>
      </c>
      <c r="H1546" s="261" t="s">
        <v>14295</v>
      </c>
      <c r="I1546" s="261"/>
      <c r="J1546" s="261"/>
      <c r="K1546" s="262"/>
    </row>
    <row r="1547" spans="1:11" x14ac:dyDescent="0.2">
      <c r="A1547" s="306" t="s">
        <v>20355</v>
      </c>
      <c r="B1547" s="261" t="s">
        <v>18879</v>
      </c>
      <c r="C1547" s="261" t="s">
        <v>14293</v>
      </c>
      <c r="D1547" s="261" t="s">
        <v>18017</v>
      </c>
      <c r="E1547" s="261">
        <v>7</v>
      </c>
      <c r="F1547" s="261" t="s">
        <v>21137</v>
      </c>
      <c r="G1547" s="261" t="s">
        <v>10228</v>
      </c>
      <c r="H1547" s="261" t="s">
        <v>10229</v>
      </c>
      <c r="I1547" s="261"/>
      <c r="J1547" s="261"/>
      <c r="K1547" s="262"/>
    </row>
    <row r="1548" spans="1:11" x14ac:dyDescent="0.2">
      <c r="A1548" s="306" t="s">
        <v>20355</v>
      </c>
      <c r="B1548" s="261" t="s">
        <v>18880</v>
      </c>
      <c r="C1548" s="261" t="s">
        <v>14293</v>
      </c>
      <c r="D1548" s="261" t="s">
        <v>18017</v>
      </c>
      <c r="E1548" s="261">
        <v>8</v>
      </c>
      <c r="F1548" s="261" t="s">
        <v>21138</v>
      </c>
      <c r="G1548" s="261" t="s">
        <v>10181</v>
      </c>
      <c r="H1548" s="261" t="s">
        <v>10182</v>
      </c>
      <c r="I1548" s="261"/>
      <c r="J1548" s="261"/>
      <c r="K1548" s="262"/>
    </row>
    <row r="1549" spans="1:11" x14ac:dyDescent="0.2">
      <c r="A1549" s="306" t="s">
        <v>20355</v>
      </c>
      <c r="B1549" s="261" t="s">
        <v>20355</v>
      </c>
      <c r="C1549" s="261" t="s">
        <v>14293</v>
      </c>
      <c r="D1549" s="261" t="s">
        <v>18017</v>
      </c>
      <c r="E1549" s="261">
        <v>9</v>
      </c>
      <c r="F1549" s="261" t="s">
        <v>20868</v>
      </c>
      <c r="G1549" s="261"/>
      <c r="H1549" s="261"/>
      <c r="I1549" s="261" t="s">
        <v>1947</v>
      </c>
      <c r="J1549" s="261" t="s">
        <v>19599</v>
      </c>
      <c r="K1549" s="262">
        <v>20</v>
      </c>
    </row>
    <row r="1550" spans="1:11" x14ac:dyDescent="0.2">
      <c r="A1550" s="306" t="s">
        <v>20355</v>
      </c>
      <c r="B1550" s="261" t="s">
        <v>20355</v>
      </c>
      <c r="C1550" s="261" t="s">
        <v>14293</v>
      </c>
      <c r="D1550" s="261" t="s">
        <v>18017</v>
      </c>
      <c r="E1550" s="261">
        <v>10</v>
      </c>
      <c r="F1550" s="261" t="s">
        <v>20869</v>
      </c>
      <c r="G1550" s="261"/>
      <c r="H1550" s="261"/>
      <c r="I1550" s="261" t="s">
        <v>1947</v>
      </c>
      <c r="J1550" s="261" t="s">
        <v>19600</v>
      </c>
      <c r="K1550" s="262">
        <v>20</v>
      </c>
    </row>
    <row r="1551" spans="1:11" x14ac:dyDescent="0.2">
      <c r="A1551" s="306" t="s">
        <v>20355</v>
      </c>
      <c r="B1551" s="261" t="s">
        <v>20355</v>
      </c>
      <c r="C1551" s="261" t="s">
        <v>14293</v>
      </c>
      <c r="D1551" s="261" t="s">
        <v>18017</v>
      </c>
      <c r="E1551" s="261">
        <v>11</v>
      </c>
      <c r="F1551" s="261" t="s">
        <v>20870</v>
      </c>
      <c r="G1551" s="261"/>
      <c r="H1551" s="261"/>
      <c r="I1551" s="261" t="s">
        <v>1947</v>
      </c>
      <c r="J1551" s="261" t="s">
        <v>19603</v>
      </c>
      <c r="K1551" s="262">
        <v>20</v>
      </c>
    </row>
    <row r="1552" spans="1:11" x14ac:dyDescent="0.2">
      <c r="A1552" s="306" t="s">
        <v>20355</v>
      </c>
      <c r="B1552" s="261" t="s">
        <v>20355</v>
      </c>
      <c r="C1552" s="261" t="s">
        <v>14293</v>
      </c>
      <c r="D1552" s="261" t="s">
        <v>18017</v>
      </c>
      <c r="E1552" s="261">
        <v>12</v>
      </c>
      <c r="F1552" s="261" t="s">
        <v>20871</v>
      </c>
      <c r="G1552" s="261"/>
      <c r="H1552" s="261"/>
      <c r="I1552" s="261" t="s">
        <v>1947</v>
      </c>
      <c r="J1552" s="261" t="s">
        <v>19601</v>
      </c>
      <c r="K1552" s="262">
        <v>20</v>
      </c>
    </row>
    <row r="1553" spans="1:11" x14ac:dyDescent="0.2">
      <c r="A1553" s="306" t="s">
        <v>20355</v>
      </c>
      <c r="B1553" s="261" t="s">
        <v>20355</v>
      </c>
      <c r="C1553" s="261" t="s">
        <v>14293</v>
      </c>
      <c r="D1553" s="261" t="s">
        <v>18017</v>
      </c>
      <c r="E1553" s="261">
        <v>13</v>
      </c>
      <c r="F1553" s="261" t="s">
        <v>20872</v>
      </c>
      <c r="G1553" s="261"/>
      <c r="H1553" s="261"/>
      <c r="I1553" s="261" t="s">
        <v>1947</v>
      </c>
      <c r="J1553" s="261" t="s">
        <v>19604</v>
      </c>
      <c r="K1553" s="262">
        <v>20</v>
      </c>
    </row>
    <row r="1554" spans="1:11" x14ac:dyDescent="0.2">
      <c r="A1554" s="306" t="s">
        <v>20355</v>
      </c>
      <c r="B1554" s="261" t="s">
        <v>20355</v>
      </c>
      <c r="C1554" s="261" t="s">
        <v>14293</v>
      </c>
      <c r="D1554" s="261" t="s">
        <v>18017</v>
      </c>
      <c r="E1554" s="261">
        <v>14</v>
      </c>
      <c r="F1554" s="261" t="s">
        <v>20873</v>
      </c>
      <c r="G1554" s="261"/>
      <c r="H1554" s="261"/>
      <c r="I1554" s="261" t="s">
        <v>1947</v>
      </c>
      <c r="J1554" s="261" t="s">
        <v>19602</v>
      </c>
      <c r="K1554" s="262">
        <v>20</v>
      </c>
    </row>
    <row r="1555" spans="1:11" x14ac:dyDescent="0.2">
      <c r="A1555" s="306" t="s">
        <v>20355</v>
      </c>
      <c r="B1555" s="261" t="s">
        <v>20355</v>
      </c>
      <c r="C1555" s="261" t="s">
        <v>14293</v>
      </c>
      <c r="D1555" s="261" t="s">
        <v>18017</v>
      </c>
      <c r="E1555" s="261">
        <v>15</v>
      </c>
      <c r="F1555" s="261" t="s">
        <v>20874</v>
      </c>
      <c r="G1555" s="261"/>
      <c r="H1555" s="261"/>
      <c r="I1555" s="261" t="s">
        <v>10772</v>
      </c>
      <c r="J1555" s="261" t="s">
        <v>19618</v>
      </c>
      <c r="K1555" s="262">
        <v>100</v>
      </c>
    </row>
    <row r="1556" spans="1:11" x14ac:dyDescent="0.2">
      <c r="A1556" s="306" t="s">
        <v>21139</v>
      </c>
      <c r="B1556" s="261" t="s">
        <v>18898</v>
      </c>
      <c r="C1556" s="261" t="s">
        <v>18884</v>
      </c>
      <c r="D1556" s="261" t="s">
        <v>18560</v>
      </c>
      <c r="E1556" s="261">
        <v>1</v>
      </c>
      <c r="F1556" s="261" t="s">
        <v>20946</v>
      </c>
      <c r="G1556" s="261" t="s">
        <v>1292</v>
      </c>
      <c r="H1556" s="261" t="s">
        <v>1293</v>
      </c>
      <c r="I1556" s="261"/>
      <c r="J1556" s="261"/>
      <c r="K1556" s="262"/>
    </row>
    <row r="1557" spans="1:11" x14ac:dyDescent="0.2">
      <c r="A1557" s="306" t="s">
        <v>21139</v>
      </c>
      <c r="B1557" s="261" t="s">
        <v>18899</v>
      </c>
      <c r="C1557" s="261" t="s">
        <v>18884</v>
      </c>
      <c r="D1557" s="261" t="s">
        <v>18560</v>
      </c>
      <c r="E1557" s="261">
        <v>2</v>
      </c>
      <c r="F1557" s="261" t="s">
        <v>20947</v>
      </c>
      <c r="G1557" s="261" t="s">
        <v>555</v>
      </c>
      <c r="H1557" s="261" t="s">
        <v>556</v>
      </c>
      <c r="I1557" s="261"/>
      <c r="J1557" s="261"/>
      <c r="K1557" s="262"/>
    </row>
    <row r="1558" spans="1:11" x14ac:dyDescent="0.2">
      <c r="A1558" s="306" t="s">
        <v>21139</v>
      </c>
      <c r="B1558" s="261" t="s">
        <v>21139</v>
      </c>
      <c r="C1558" s="261" t="s">
        <v>18884</v>
      </c>
      <c r="D1558" s="261" t="s">
        <v>18560</v>
      </c>
      <c r="E1558" s="261">
        <v>3</v>
      </c>
      <c r="F1558" s="261" t="s">
        <v>20948</v>
      </c>
      <c r="G1558" s="261"/>
      <c r="H1558" s="261"/>
      <c r="I1558" s="261" t="s">
        <v>1103</v>
      </c>
      <c r="J1558" s="261" t="s">
        <v>19599</v>
      </c>
      <c r="K1558" s="262">
        <v>20</v>
      </c>
    </row>
    <row r="1559" spans="1:11" x14ac:dyDescent="0.2">
      <c r="A1559" s="306" t="s">
        <v>21139</v>
      </c>
      <c r="B1559" s="261" t="s">
        <v>21139</v>
      </c>
      <c r="C1559" s="261" t="s">
        <v>18884</v>
      </c>
      <c r="D1559" s="261" t="s">
        <v>18560</v>
      </c>
      <c r="E1559" s="261">
        <v>4</v>
      </c>
      <c r="F1559" s="261" t="s">
        <v>20949</v>
      </c>
      <c r="G1559" s="261"/>
      <c r="H1559" s="261"/>
      <c r="I1559" s="261" t="s">
        <v>1103</v>
      </c>
      <c r="J1559" s="261" t="s">
        <v>19600</v>
      </c>
      <c r="K1559" s="262">
        <v>20</v>
      </c>
    </row>
    <row r="1560" spans="1:11" x14ac:dyDescent="0.2">
      <c r="A1560" s="306" t="s">
        <v>21139</v>
      </c>
      <c r="B1560" s="261" t="s">
        <v>21139</v>
      </c>
      <c r="C1560" s="261" t="s">
        <v>18884</v>
      </c>
      <c r="D1560" s="261" t="s">
        <v>18560</v>
      </c>
      <c r="E1560" s="261">
        <v>5</v>
      </c>
      <c r="F1560" s="261" t="s">
        <v>20950</v>
      </c>
      <c r="G1560" s="261"/>
      <c r="H1560" s="261"/>
      <c r="I1560" s="261" t="s">
        <v>1103</v>
      </c>
      <c r="J1560" s="261" t="s">
        <v>19603</v>
      </c>
      <c r="K1560" s="262">
        <v>20</v>
      </c>
    </row>
    <row r="1561" spans="1:11" x14ac:dyDescent="0.2">
      <c r="A1561" s="306" t="s">
        <v>21139</v>
      </c>
      <c r="B1561" s="261" t="s">
        <v>21139</v>
      </c>
      <c r="C1561" s="261" t="s">
        <v>18884</v>
      </c>
      <c r="D1561" s="261" t="s">
        <v>18560</v>
      </c>
      <c r="E1561" s="261">
        <v>6</v>
      </c>
      <c r="F1561" s="261" t="s">
        <v>20951</v>
      </c>
      <c r="G1561" s="261"/>
      <c r="H1561" s="261"/>
      <c r="I1561" s="261" t="s">
        <v>1103</v>
      </c>
      <c r="J1561" s="261" t="s">
        <v>19601</v>
      </c>
      <c r="K1561" s="262">
        <v>20</v>
      </c>
    </row>
    <row r="1562" spans="1:11" x14ac:dyDescent="0.2">
      <c r="A1562" s="306" t="s">
        <v>21139</v>
      </c>
      <c r="B1562" s="261" t="s">
        <v>21139</v>
      </c>
      <c r="C1562" s="261" t="s">
        <v>18884</v>
      </c>
      <c r="D1562" s="261" t="s">
        <v>18560</v>
      </c>
      <c r="E1562" s="261">
        <v>7</v>
      </c>
      <c r="F1562" s="261" t="s">
        <v>20952</v>
      </c>
      <c r="G1562" s="261"/>
      <c r="H1562" s="261"/>
      <c r="I1562" s="261" t="s">
        <v>1103</v>
      </c>
      <c r="J1562" s="261" t="s">
        <v>19604</v>
      </c>
      <c r="K1562" s="262">
        <v>20</v>
      </c>
    </row>
    <row r="1563" spans="1:11" x14ac:dyDescent="0.2">
      <c r="A1563" s="306" t="s">
        <v>21139</v>
      </c>
      <c r="B1563" s="261" t="s">
        <v>21139</v>
      </c>
      <c r="C1563" s="261" t="s">
        <v>18884</v>
      </c>
      <c r="D1563" s="261" t="s">
        <v>18560</v>
      </c>
      <c r="E1563" s="261">
        <v>8</v>
      </c>
      <c r="F1563" s="261" t="s">
        <v>20953</v>
      </c>
      <c r="G1563" s="261"/>
      <c r="H1563" s="261"/>
      <c r="I1563" s="261" t="s">
        <v>1103</v>
      </c>
      <c r="J1563" s="261" t="s">
        <v>19602</v>
      </c>
      <c r="K1563" s="262">
        <v>20</v>
      </c>
    </row>
    <row r="1564" spans="1:11" x14ac:dyDescent="0.2">
      <c r="A1564" s="306" t="s">
        <v>21139</v>
      </c>
      <c r="B1564" s="261" t="s">
        <v>21139</v>
      </c>
      <c r="C1564" s="261" t="s">
        <v>18884</v>
      </c>
      <c r="D1564" s="261" t="s">
        <v>18560</v>
      </c>
      <c r="E1564" s="261">
        <v>9</v>
      </c>
      <c r="F1564" s="261" t="s">
        <v>20954</v>
      </c>
      <c r="G1564" s="261"/>
      <c r="H1564" s="261"/>
      <c r="I1564" s="261" t="s">
        <v>10772</v>
      </c>
      <c r="J1564" s="261" t="s">
        <v>19618</v>
      </c>
      <c r="K1564" s="262">
        <v>100</v>
      </c>
    </row>
    <row r="1565" spans="1:11" x14ac:dyDescent="0.2">
      <c r="A1565" s="306" t="s">
        <v>21140</v>
      </c>
      <c r="B1565" s="261" t="s">
        <v>18904</v>
      </c>
      <c r="C1565" s="261" t="s">
        <v>14298</v>
      </c>
      <c r="D1565" s="261" t="s">
        <v>18017</v>
      </c>
      <c r="E1565" s="261">
        <v>1</v>
      </c>
      <c r="F1565" s="261" t="s">
        <v>21141</v>
      </c>
      <c r="G1565" s="261" t="s">
        <v>4359</v>
      </c>
      <c r="H1565" s="261" t="s">
        <v>4360</v>
      </c>
      <c r="I1565" s="261"/>
      <c r="J1565" s="261"/>
      <c r="K1565" s="262"/>
    </row>
    <row r="1566" spans="1:11" x14ac:dyDescent="0.2">
      <c r="A1566" s="306" t="s">
        <v>21140</v>
      </c>
      <c r="B1566" s="261" t="s">
        <v>18906</v>
      </c>
      <c r="C1566" s="261" t="s">
        <v>14298</v>
      </c>
      <c r="D1566" s="261" t="s">
        <v>18017</v>
      </c>
      <c r="E1566" s="261">
        <v>2</v>
      </c>
      <c r="F1566" s="261" t="s">
        <v>21142</v>
      </c>
      <c r="G1566" s="261" t="s">
        <v>10133</v>
      </c>
      <c r="H1566" s="261" t="s">
        <v>10134</v>
      </c>
      <c r="I1566" s="261"/>
      <c r="J1566" s="261"/>
      <c r="K1566" s="262"/>
    </row>
    <row r="1567" spans="1:11" x14ac:dyDescent="0.2">
      <c r="A1567" s="306" t="s">
        <v>21140</v>
      </c>
      <c r="B1567" s="261" t="s">
        <v>18907</v>
      </c>
      <c r="C1567" s="261" t="s">
        <v>14298</v>
      </c>
      <c r="D1567" s="261" t="s">
        <v>18017</v>
      </c>
      <c r="E1567" s="261">
        <v>3</v>
      </c>
      <c r="F1567" s="261" t="s">
        <v>21143</v>
      </c>
      <c r="G1567" s="261" t="s">
        <v>14296</v>
      </c>
      <c r="H1567" s="261" t="s">
        <v>14297</v>
      </c>
      <c r="I1567" s="261"/>
      <c r="J1567" s="261"/>
      <c r="K1567" s="262"/>
    </row>
    <row r="1568" spans="1:11" x14ac:dyDescent="0.2">
      <c r="A1568" s="306" t="s">
        <v>21140</v>
      </c>
      <c r="B1568" s="261" t="s">
        <v>18908</v>
      </c>
      <c r="C1568" s="261" t="s">
        <v>14298</v>
      </c>
      <c r="D1568" s="261" t="s">
        <v>18017</v>
      </c>
      <c r="E1568" s="261">
        <v>4</v>
      </c>
      <c r="F1568" s="261" t="s">
        <v>21008</v>
      </c>
      <c r="G1568" s="261" t="s">
        <v>14299</v>
      </c>
      <c r="H1568" s="261" t="s">
        <v>14300</v>
      </c>
      <c r="I1568" s="261"/>
      <c r="J1568" s="261"/>
      <c r="K1568" s="262"/>
    </row>
    <row r="1569" spans="1:11" x14ac:dyDescent="0.2">
      <c r="A1569" s="306" t="s">
        <v>21140</v>
      </c>
      <c r="B1569" s="261" t="s">
        <v>18912</v>
      </c>
      <c r="C1569" s="261" t="s">
        <v>14298</v>
      </c>
      <c r="D1569" s="261" t="s">
        <v>18017</v>
      </c>
      <c r="E1569" s="261">
        <v>5</v>
      </c>
      <c r="F1569" s="261" t="s">
        <v>21144</v>
      </c>
      <c r="G1569" s="261" t="s">
        <v>2411</v>
      </c>
      <c r="H1569" s="261" t="s">
        <v>2412</v>
      </c>
      <c r="I1569" s="261"/>
      <c r="J1569" s="261"/>
      <c r="K1569" s="262"/>
    </row>
    <row r="1570" spans="1:11" x14ac:dyDescent="0.2">
      <c r="A1570" s="306" t="s">
        <v>21140</v>
      </c>
      <c r="B1570" s="261" t="s">
        <v>21140</v>
      </c>
      <c r="C1570" s="261" t="s">
        <v>14298</v>
      </c>
      <c r="D1570" s="261" t="s">
        <v>18017</v>
      </c>
      <c r="E1570" s="261">
        <v>6</v>
      </c>
      <c r="F1570" s="261" t="s">
        <v>20868</v>
      </c>
      <c r="G1570" s="261"/>
      <c r="H1570" s="261"/>
      <c r="I1570" s="261" t="s">
        <v>122</v>
      </c>
      <c r="J1570" s="261" t="s">
        <v>19599</v>
      </c>
      <c r="K1570" s="262">
        <v>20</v>
      </c>
    </row>
    <row r="1571" spans="1:11" x14ac:dyDescent="0.2">
      <c r="A1571" s="306" t="s">
        <v>21140</v>
      </c>
      <c r="B1571" s="261" t="s">
        <v>21140</v>
      </c>
      <c r="C1571" s="261" t="s">
        <v>14298</v>
      </c>
      <c r="D1571" s="261" t="s">
        <v>18017</v>
      </c>
      <c r="E1571" s="261">
        <v>7</v>
      </c>
      <c r="F1571" s="261" t="s">
        <v>20869</v>
      </c>
      <c r="G1571" s="261"/>
      <c r="H1571" s="261"/>
      <c r="I1571" s="261" t="s">
        <v>122</v>
      </c>
      <c r="J1571" s="261" t="s">
        <v>19600</v>
      </c>
      <c r="K1571" s="262">
        <v>20</v>
      </c>
    </row>
    <row r="1572" spans="1:11" x14ac:dyDescent="0.2">
      <c r="A1572" s="306" t="s">
        <v>21140</v>
      </c>
      <c r="B1572" s="261" t="s">
        <v>21140</v>
      </c>
      <c r="C1572" s="261" t="s">
        <v>14298</v>
      </c>
      <c r="D1572" s="261" t="s">
        <v>18017</v>
      </c>
      <c r="E1572" s="261">
        <v>8</v>
      </c>
      <c r="F1572" s="261" t="s">
        <v>20870</v>
      </c>
      <c r="G1572" s="261"/>
      <c r="H1572" s="261"/>
      <c r="I1572" s="261" t="s">
        <v>122</v>
      </c>
      <c r="J1572" s="261" t="s">
        <v>19603</v>
      </c>
      <c r="K1572" s="262">
        <v>20</v>
      </c>
    </row>
    <row r="1573" spans="1:11" x14ac:dyDescent="0.2">
      <c r="A1573" s="306" t="s">
        <v>21140</v>
      </c>
      <c r="B1573" s="261" t="s">
        <v>21140</v>
      </c>
      <c r="C1573" s="261" t="s">
        <v>14298</v>
      </c>
      <c r="D1573" s="261" t="s">
        <v>18017</v>
      </c>
      <c r="E1573" s="261">
        <v>9</v>
      </c>
      <c r="F1573" s="261" t="s">
        <v>20871</v>
      </c>
      <c r="G1573" s="261"/>
      <c r="H1573" s="261"/>
      <c r="I1573" s="261" t="s">
        <v>122</v>
      </c>
      <c r="J1573" s="261" t="s">
        <v>19601</v>
      </c>
      <c r="K1573" s="262">
        <v>20</v>
      </c>
    </row>
    <row r="1574" spans="1:11" x14ac:dyDescent="0.2">
      <c r="A1574" s="306" t="s">
        <v>21140</v>
      </c>
      <c r="B1574" s="261" t="s">
        <v>21140</v>
      </c>
      <c r="C1574" s="261" t="s">
        <v>14298</v>
      </c>
      <c r="D1574" s="261" t="s">
        <v>18017</v>
      </c>
      <c r="E1574" s="261">
        <v>10</v>
      </c>
      <c r="F1574" s="261" t="s">
        <v>20872</v>
      </c>
      <c r="G1574" s="261"/>
      <c r="H1574" s="261"/>
      <c r="I1574" s="261" t="s">
        <v>122</v>
      </c>
      <c r="J1574" s="261" t="s">
        <v>19604</v>
      </c>
      <c r="K1574" s="262">
        <v>20</v>
      </c>
    </row>
    <row r="1575" spans="1:11" x14ac:dyDescent="0.2">
      <c r="A1575" s="306" t="s">
        <v>21140</v>
      </c>
      <c r="B1575" s="261" t="s">
        <v>21140</v>
      </c>
      <c r="C1575" s="261" t="s">
        <v>14298</v>
      </c>
      <c r="D1575" s="261" t="s">
        <v>18017</v>
      </c>
      <c r="E1575" s="261">
        <v>11</v>
      </c>
      <c r="F1575" s="261" t="s">
        <v>20873</v>
      </c>
      <c r="G1575" s="261"/>
      <c r="H1575" s="261"/>
      <c r="I1575" s="261" t="s">
        <v>122</v>
      </c>
      <c r="J1575" s="261" t="s">
        <v>19602</v>
      </c>
      <c r="K1575" s="262">
        <v>20</v>
      </c>
    </row>
    <row r="1576" spans="1:11" x14ac:dyDescent="0.2">
      <c r="A1576" s="306" t="s">
        <v>21140</v>
      </c>
      <c r="B1576" s="261" t="s">
        <v>21140</v>
      </c>
      <c r="C1576" s="261" t="s">
        <v>14298</v>
      </c>
      <c r="D1576" s="261" t="s">
        <v>18017</v>
      </c>
      <c r="E1576" s="261">
        <v>12</v>
      </c>
      <c r="F1576" s="261" t="s">
        <v>20874</v>
      </c>
      <c r="G1576" s="261"/>
      <c r="H1576" s="261"/>
      <c r="I1576" s="261" t="s">
        <v>10772</v>
      </c>
      <c r="J1576" s="261" t="s">
        <v>19618</v>
      </c>
      <c r="K1576" s="262">
        <v>100</v>
      </c>
    </row>
    <row r="1577" spans="1:11" x14ac:dyDescent="0.2">
      <c r="A1577" s="306" t="s">
        <v>21145</v>
      </c>
      <c r="B1577" s="261" t="s">
        <v>18929</v>
      </c>
      <c r="C1577" s="261" t="s">
        <v>18915</v>
      </c>
      <c r="D1577" s="261" t="s">
        <v>18588</v>
      </c>
      <c r="E1577" s="261">
        <v>1</v>
      </c>
      <c r="F1577" s="261" t="s">
        <v>21067</v>
      </c>
      <c r="G1577" s="261" t="s">
        <v>324</v>
      </c>
      <c r="H1577" s="261" t="s">
        <v>325</v>
      </c>
      <c r="I1577" s="261"/>
      <c r="J1577" s="261"/>
      <c r="K1577" s="262"/>
    </row>
    <row r="1578" spans="1:11" x14ac:dyDescent="0.2">
      <c r="A1578" s="306" t="s">
        <v>21145</v>
      </c>
      <c r="B1578" s="261" t="s">
        <v>18930</v>
      </c>
      <c r="C1578" s="261" t="s">
        <v>18915</v>
      </c>
      <c r="D1578" s="261" t="s">
        <v>18588</v>
      </c>
      <c r="E1578" s="261">
        <v>2</v>
      </c>
      <c r="F1578" s="261" t="s">
        <v>21068</v>
      </c>
      <c r="G1578" s="261" t="s">
        <v>2804</v>
      </c>
      <c r="H1578" s="261" t="s">
        <v>2805</v>
      </c>
      <c r="I1578" s="261"/>
      <c r="J1578" s="261"/>
      <c r="K1578" s="262"/>
    </row>
    <row r="1579" spans="1:11" x14ac:dyDescent="0.2">
      <c r="A1579" s="306" t="s">
        <v>21145</v>
      </c>
      <c r="B1579" s="261" t="s">
        <v>21145</v>
      </c>
      <c r="C1579" s="261" t="s">
        <v>18915</v>
      </c>
      <c r="D1579" s="261" t="s">
        <v>18588</v>
      </c>
      <c r="E1579" s="261">
        <v>3</v>
      </c>
      <c r="F1579" s="261" t="s">
        <v>20948</v>
      </c>
      <c r="G1579" s="261"/>
      <c r="H1579" s="261"/>
      <c r="I1579" s="261" t="s">
        <v>1947</v>
      </c>
      <c r="J1579" s="261" t="s">
        <v>19599</v>
      </c>
      <c r="K1579" s="262">
        <v>20</v>
      </c>
    </row>
    <row r="1580" spans="1:11" x14ac:dyDescent="0.2">
      <c r="A1580" s="306" t="s">
        <v>21145</v>
      </c>
      <c r="B1580" s="261" t="s">
        <v>21145</v>
      </c>
      <c r="C1580" s="261" t="s">
        <v>18915</v>
      </c>
      <c r="D1580" s="261" t="s">
        <v>18588</v>
      </c>
      <c r="E1580" s="261">
        <v>4</v>
      </c>
      <c r="F1580" s="261" t="s">
        <v>20949</v>
      </c>
      <c r="G1580" s="261"/>
      <c r="H1580" s="261"/>
      <c r="I1580" s="261" t="s">
        <v>1947</v>
      </c>
      <c r="J1580" s="261" t="s">
        <v>19600</v>
      </c>
      <c r="K1580" s="262">
        <v>20</v>
      </c>
    </row>
    <row r="1581" spans="1:11" x14ac:dyDescent="0.2">
      <c r="A1581" s="306" t="s">
        <v>21145</v>
      </c>
      <c r="B1581" s="261" t="s">
        <v>21145</v>
      </c>
      <c r="C1581" s="261" t="s">
        <v>18915</v>
      </c>
      <c r="D1581" s="261" t="s">
        <v>18588</v>
      </c>
      <c r="E1581" s="261">
        <v>5</v>
      </c>
      <c r="F1581" s="261" t="s">
        <v>20950</v>
      </c>
      <c r="G1581" s="261"/>
      <c r="H1581" s="261"/>
      <c r="I1581" s="261" t="s">
        <v>1947</v>
      </c>
      <c r="J1581" s="261" t="s">
        <v>19603</v>
      </c>
      <c r="K1581" s="262">
        <v>20</v>
      </c>
    </row>
    <row r="1582" spans="1:11" x14ac:dyDescent="0.2">
      <c r="A1582" s="306" t="s">
        <v>21145</v>
      </c>
      <c r="B1582" s="261" t="s">
        <v>21145</v>
      </c>
      <c r="C1582" s="261" t="s">
        <v>18915</v>
      </c>
      <c r="D1582" s="261" t="s">
        <v>18588</v>
      </c>
      <c r="E1582" s="261">
        <v>6</v>
      </c>
      <c r="F1582" s="261" t="s">
        <v>21069</v>
      </c>
      <c r="G1582" s="261"/>
      <c r="H1582" s="261"/>
      <c r="I1582" s="261" t="s">
        <v>1947</v>
      </c>
      <c r="J1582" s="261" t="s">
        <v>19601</v>
      </c>
      <c r="K1582" s="262">
        <v>20</v>
      </c>
    </row>
    <row r="1583" spans="1:11" x14ac:dyDescent="0.2">
      <c r="A1583" s="306" t="s">
        <v>21145</v>
      </c>
      <c r="B1583" s="261" t="s">
        <v>21145</v>
      </c>
      <c r="C1583" s="261" t="s">
        <v>18915</v>
      </c>
      <c r="D1583" s="261" t="s">
        <v>18588</v>
      </c>
      <c r="E1583" s="261">
        <v>7</v>
      </c>
      <c r="F1583" s="261" t="s">
        <v>20952</v>
      </c>
      <c r="G1583" s="261"/>
      <c r="H1583" s="261"/>
      <c r="I1583" s="261" t="s">
        <v>1947</v>
      </c>
      <c r="J1583" s="261" t="s">
        <v>19604</v>
      </c>
      <c r="K1583" s="262">
        <v>20</v>
      </c>
    </row>
    <row r="1584" spans="1:11" x14ac:dyDescent="0.2">
      <c r="A1584" s="306" t="s">
        <v>21145</v>
      </c>
      <c r="B1584" s="261" t="s">
        <v>21145</v>
      </c>
      <c r="C1584" s="261" t="s">
        <v>18915</v>
      </c>
      <c r="D1584" s="261" t="s">
        <v>18588</v>
      </c>
      <c r="E1584" s="261">
        <v>8</v>
      </c>
      <c r="F1584" s="261" t="s">
        <v>21070</v>
      </c>
      <c r="G1584" s="261"/>
      <c r="H1584" s="261"/>
      <c r="I1584" s="261" t="s">
        <v>1947</v>
      </c>
      <c r="J1584" s="261" t="s">
        <v>19602</v>
      </c>
      <c r="K1584" s="262">
        <v>20</v>
      </c>
    </row>
    <row r="1585" spans="1:11" x14ac:dyDescent="0.2">
      <c r="A1585" s="306" t="s">
        <v>21145</v>
      </c>
      <c r="B1585" s="261" t="s">
        <v>21145</v>
      </c>
      <c r="C1585" s="261" t="s">
        <v>18915</v>
      </c>
      <c r="D1585" s="261" t="s">
        <v>18588</v>
      </c>
      <c r="E1585" s="261">
        <v>9</v>
      </c>
      <c r="F1585" s="261" t="s">
        <v>21071</v>
      </c>
      <c r="G1585" s="261"/>
      <c r="H1585" s="261"/>
      <c r="I1585" s="261" t="s">
        <v>10772</v>
      </c>
      <c r="J1585" s="261" t="s">
        <v>19618</v>
      </c>
      <c r="K1585" s="262">
        <v>100</v>
      </c>
    </row>
    <row r="1586" spans="1:11" x14ac:dyDescent="0.2">
      <c r="A1586" s="306" t="s">
        <v>20508</v>
      </c>
      <c r="B1586" s="261" t="s">
        <v>20508</v>
      </c>
      <c r="C1586" s="261" t="s">
        <v>14303</v>
      </c>
      <c r="D1586" s="261" t="s">
        <v>18933</v>
      </c>
      <c r="E1586" s="261">
        <v>1</v>
      </c>
      <c r="F1586" s="261" t="s">
        <v>19688</v>
      </c>
      <c r="G1586" s="261" t="s">
        <v>14573</v>
      </c>
      <c r="H1586" s="261" t="s">
        <v>14574</v>
      </c>
      <c r="I1586" s="261"/>
      <c r="J1586" s="261"/>
      <c r="K1586" s="262"/>
    </row>
    <row r="1587" spans="1:11" x14ac:dyDescent="0.2">
      <c r="A1587" s="306" t="s">
        <v>20508</v>
      </c>
      <c r="B1587" s="261" t="s">
        <v>18935</v>
      </c>
      <c r="C1587" s="261" t="s">
        <v>14303</v>
      </c>
      <c r="D1587" s="261" t="s">
        <v>18933</v>
      </c>
      <c r="E1587" s="261">
        <v>2</v>
      </c>
      <c r="F1587" s="261" t="s">
        <v>21146</v>
      </c>
      <c r="G1587" s="261" t="s">
        <v>3390</v>
      </c>
      <c r="H1587" s="261" t="s">
        <v>3391</v>
      </c>
      <c r="I1587" s="261"/>
      <c r="J1587" s="261"/>
      <c r="K1587" s="262"/>
    </row>
    <row r="1588" spans="1:11" x14ac:dyDescent="0.2">
      <c r="A1588" s="306" t="s">
        <v>20508</v>
      </c>
      <c r="B1588" s="261" t="s">
        <v>18936</v>
      </c>
      <c r="C1588" s="261" t="s">
        <v>14303</v>
      </c>
      <c r="D1588" s="261" t="s">
        <v>18933</v>
      </c>
      <c r="E1588" s="261">
        <v>3</v>
      </c>
      <c r="F1588" s="261" t="s">
        <v>21146</v>
      </c>
      <c r="G1588" s="261" t="s">
        <v>14571</v>
      </c>
      <c r="H1588" s="261" t="s">
        <v>14572</v>
      </c>
      <c r="I1588" s="261"/>
      <c r="J1588" s="261"/>
      <c r="K1588" s="262"/>
    </row>
    <row r="1589" spans="1:11" x14ac:dyDescent="0.2">
      <c r="A1589" s="306" t="s">
        <v>20508</v>
      </c>
      <c r="B1589" s="261" t="s">
        <v>18937</v>
      </c>
      <c r="C1589" s="261" t="s">
        <v>14303</v>
      </c>
      <c r="D1589" s="261" t="s">
        <v>18933</v>
      </c>
      <c r="E1589" s="261">
        <v>4</v>
      </c>
      <c r="F1589" s="261" t="s">
        <v>21147</v>
      </c>
      <c r="G1589" s="261" t="s">
        <v>1895</v>
      </c>
      <c r="H1589" s="261" t="s">
        <v>1896</v>
      </c>
      <c r="I1589" s="261"/>
      <c r="J1589" s="261"/>
      <c r="K1589" s="262"/>
    </row>
    <row r="1590" spans="1:11" x14ac:dyDescent="0.2">
      <c r="A1590" s="306" t="s">
        <v>20508</v>
      </c>
      <c r="B1590" s="261" t="s">
        <v>18939</v>
      </c>
      <c r="C1590" s="261" t="s">
        <v>14303</v>
      </c>
      <c r="D1590" s="261" t="s">
        <v>18933</v>
      </c>
      <c r="E1590" s="261">
        <v>5</v>
      </c>
      <c r="F1590" s="261" t="s">
        <v>21148</v>
      </c>
      <c r="G1590" s="261" t="s">
        <v>14301</v>
      </c>
      <c r="H1590" s="261" t="s">
        <v>14302</v>
      </c>
      <c r="I1590" s="261"/>
      <c r="J1590" s="261"/>
      <c r="K1590" s="262"/>
    </row>
    <row r="1591" spans="1:11" x14ac:dyDescent="0.2">
      <c r="A1591" s="306" t="s">
        <v>20508</v>
      </c>
      <c r="B1591" s="261" t="s">
        <v>20508</v>
      </c>
      <c r="C1591" s="261" t="s">
        <v>14303</v>
      </c>
      <c r="D1591" s="261" t="s">
        <v>18933</v>
      </c>
      <c r="E1591" s="261">
        <v>6</v>
      </c>
      <c r="F1591" s="261" t="s">
        <v>21149</v>
      </c>
      <c r="G1591" s="261"/>
      <c r="H1591" s="261"/>
      <c r="I1591" s="261" t="s">
        <v>1103</v>
      </c>
      <c r="J1591" s="261" t="s">
        <v>19599</v>
      </c>
      <c r="K1591" s="262">
        <v>20</v>
      </c>
    </row>
    <row r="1592" spans="1:11" x14ac:dyDescent="0.2">
      <c r="A1592" s="306" t="s">
        <v>20508</v>
      </c>
      <c r="B1592" s="261" t="s">
        <v>20508</v>
      </c>
      <c r="C1592" s="261" t="s">
        <v>14303</v>
      </c>
      <c r="D1592" s="261" t="s">
        <v>18933</v>
      </c>
      <c r="E1592" s="261">
        <v>7</v>
      </c>
      <c r="F1592" s="261" t="s">
        <v>21150</v>
      </c>
      <c r="G1592" s="261"/>
      <c r="H1592" s="261"/>
      <c r="I1592" s="261" t="s">
        <v>1103</v>
      </c>
      <c r="J1592" s="261" t="s">
        <v>19600</v>
      </c>
      <c r="K1592" s="262">
        <v>20</v>
      </c>
    </row>
    <row r="1593" spans="1:11" x14ac:dyDescent="0.2">
      <c r="A1593" s="306" t="s">
        <v>20508</v>
      </c>
      <c r="B1593" s="261" t="s">
        <v>20508</v>
      </c>
      <c r="C1593" s="261" t="s">
        <v>14303</v>
      </c>
      <c r="D1593" s="261" t="s">
        <v>18933</v>
      </c>
      <c r="E1593" s="261">
        <v>8</v>
      </c>
      <c r="F1593" s="261" t="s">
        <v>21151</v>
      </c>
      <c r="G1593" s="261"/>
      <c r="H1593" s="261"/>
      <c r="I1593" s="261" t="s">
        <v>1103</v>
      </c>
      <c r="J1593" s="261" t="s">
        <v>19603</v>
      </c>
      <c r="K1593" s="262">
        <v>20</v>
      </c>
    </row>
    <row r="1594" spans="1:11" x14ac:dyDescent="0.2">
      <c r="A1594" s="306" t="s">
        <v>20508</v>
      </c>
      <c r="B1594" s="261" t="s">
        <v>20508</v>
      </c>
      <c r="C1594" s="261" t="s">
        <v>14303</v>
      </c>
      <c r="D1594" s="261" t="s">
        <v>18933</v>
      </c>
      <c r="E1594" s="261">
        <v>9</v>
      </c>
      <c r="F1594" s="261" t="s">
        <v>21152</v>
      </c>
      <c r="G1594" s="261"/>
      <c r="H1594" s="261"/>
      <c r="I1594" s="261" t="s">
        <v>1103</v>
      </c>
      <c r="J1594" s="261" t="s">
        <v>19601</v>
      </c>
      <c r="K1594" s="262">
        <v>20</v>
      </c>
    </row>
    <row r="1595" spans="1:11" x14ac:dyDescent="0.2">
      <c r="A1595" s="306" t="s">
        <v>20508</v>
      </c>
      <c r="B1595" s="261" t="s">
        <v>20508</v>
      </c>
      <c r="C1595" s="261" t="s">
        <v>14303</v>
      </c>
      <c r="D1595" s="261" t="s">
        <v>18933</v>
      </c>
      <c r="E1595" s="261">
        <v>10</v>
      </c>
      <c r="F1595" s="261" t="s">
        <v>21153</v>
      </c>
      <c r="G1595" s="261"/>
      <c r="H1595" s="261"/>
      <c r="I1595" s="261" t="s">
        <v>1103</v>
      </c>
      <c r="J1595" s="261" t="s">
        <v>19604</v>
      </c>
      <c r="K1595" s="262">
        <v>20</v>
      </c>
    </row>
    <row r="1596" spans="1:11" x14ac:dyDescent="0.2">
      <c r="A1596" s="306" t="s">
        <v>20508</v>
      </c>
      <c r="B1596" s="261" t="s">
        <v>20508</v>
      </c>
      <c r="C1596" s="261" t="s">
        <v>14303</v>
      </c>
      <c r="D1596" s="261" t="s">
        <v>18933</v>
      </c>
      <c r="E1596" s="261">
        <v>11</v>
      </c>
      <c r="F1596" s="261" t="s">
        <v>21154</v>
      </c>
      <c r="G1596" s="261"/>
      <c r="H1596" s="261"/>
      <c r="I1596" s="261" t="s">
        <v>1103</v>
      </c>
      <c r="J1596" s="261" t="s">
        <v>19602</v>
      </c>
      <c r="K1596" s="262">
        <v>20</v>
      </c>
    </row>
    <row r="1597" spans="1:11" x14ac:dyDescent="0.2">
      <c r="A1597" s="306" t="s">
        <v>20508</v>
      </c>
      <c r="B1597" s="261" t="s">
        <v>20508</v>
      </c>
      <c r="C1597" s="261" t="s">
        <v>14303</v>
      </c>
      <c r="D1597" s="261" t="s">
        <v>18933</v>
      </c>
      <c r="E1597" s="261">
        <v>12</v>
      </c>
      <c r="F1597" s="261" t="s">
        <v>21155</v>
      </c>
      <c r="G1597" s="261"/>
      <c r="H1597" s="261"/>
      <c r="I1597" s="261" t="s">
        <v>10772</v>
      </c>
      <c r="J1597" s="261" t="s">
        <v>19618</v>
      </c>
      <c r="K1597" s="262">
        <v>100</v>
      </c>
    </row>
    <row r="1598" spans="1:11" x14ac:dyDescent="0.2">
      <c r="A1598" s="306" t="s">
        <v>21156</v>
      </c>
      <c r="B1598" s="261" t="s">
        <v>18956</v>
      </c>
      <c r="C1598" s="261" t="s">
        <v>18942</v>
      </c>
      <c r="D1598" s="261" t="s">
        <v>18560</v>
      </c>
      <c r="E1598" s="261">
        <v>1</v>
      </c>
      <c r="F1598" s="261" t="s">
        <v>20946</v>
      </c>
      <c r="G1598" s="261" t="s">
        <v>1501</v>
      </c>
      <c r="H1598" s="261" t="s">
        <v>1502</v>
      </c>
      <c r="I1598" s="261"/>
      <c r="J1598" s="261"/>
      <c r="K1598" s="262"/>
    </row>
    <row r="1599" spans="1:11" x14ac:dyDescent="0.2">
      <c r="A1599" s="306" t="s">
        <v>21156</v>
      </c>
      <c r="B1599" s="261" t="s">
        <v>18957</v>
      </c>
      <c r="C1599" s="261" t="s">
        <v>18942</v>
      </c>
      <c r="D1599" s="261" t="s">
        <v>18560</v>
      </c>
      <c r="E1599" s="261">
        <v>2</v>
      </c>
      <c r="F1599" s="261" t="s">
        <v>20947</v>
      </c>
      <c r="G1599" s="261" t="s">
        <v>1960</v>
      </c>
      <c r="H1599" s="261" t="s">
        <v>1961</v>
      </c>
      <c r="I1599" s="261"/>
      <c r="J1599" s="261"/>
      <c r="K1599" s="262"/>
    </row>
    <row r="1600" spans="1:11" x14ac:dyDescent="0.2">
      <c r="A1600" s="306" t="s">
        <v>21156</v>
      </c>
      <c r="B1600" s="261" t="s">
        <v>21156</v>
      </c>
      <c r="C1600" s="261" t="s">
        <v>18942</v>
      </c>
      <c r="D1600" s="261" t="s">
        <v>18560</v>
      </c>
      <c r="E1600" s="261">
        <v>3</v>
      </c>
      <c r="F1600" s="261" t="s">
        <v>20948</v>
      </c>
      <c r="G1600" s="261"/>
      <c r="H1600" s="261"/>
      <c r="I1600" s="261" t="s">
        <v>1103</v>
      </c>
      <c r="J1600" s="261" t="s">
        <v>19599</v>
      </c>
      <c r="K1600" s="262">
        <v>20</v>
      </c>
    </row>
    <row r="1601" spans="1:11" x14ac:dyDescent="0.2">
      <c r="A1601" s="306" t="s">
        <v>21156</v>
      </c>
      <c r="B1601" s="261" t="s">
        <v>21156</v>
      </c>
      <c r="C1601" s="261" t="s">
        <v>18942</v>
      </c>
      <c r="D1601" s="261" t="s">
        <v>18560</v>
      </c>
      <c r="E1601" s="261">
        <v>4</v>
      </c>
      <c r="F1601" s="261" t="s">
        <v>20949</v>
      </c>
      <c r="G1601" s="261"/>
      <c r="H1601" s="261"/>
      <c r="I1601" s="261" t="s">
        <v>1103</v>
      </c>
      <c r="J1601" s="261" t="s">
        <v>19600</v>
      </c>
      <c r="K1601" s="262">
        <v>20</v>
      </c>
    </row>
    <row r="1602" spans="1:11" x14ac:dyDescent="0.2">
      <c r="A1602" s="306" t="s">
        <v>21156</v>
      </c>
      <c r="B1602" s="261" t="s">
        <v>21156</v>
      </c>
      <c r="C1602" s="261" t="s">
        <v>18942</v>
      </c>
      <c r="D1602" s="261" t="s">
        <v>18560</v>
      </c>
      <c r="E1602" s="261">
        <v>5</v>
      </c>
      <c r="F1602" s="261" t="s">
        <v>20950</v>
      </c>
      <c r="G1602" s="261"/>
      <c r="H1602" s="261"/>
      <c r="I1602" s="261" t="s">
        <v>1103</v>
      </c>
      <c r="J1602" s="261" t="s">
        <v>19603</v>
      </c>
      <c r="K1602" s="262">
        <v>20</v>
      </c>
    </row>
    <row r="1603" spans="1:11" x14ac:dyDescent="0.2">
      <c r="A1603" s="306" t="s">
        <v>21156</v>
      </c>
      <c r="B1603" s="261" t="s">
        <v>21156</v>
      </c>
      <c r="C1603" s="261" t="s">
        <v>18942</v>
      </c>
      <c r="D1603" s="261" t="s">
        <v>18560</v>
      </c>
      <c r="E1603" s="261">
        <v>6</v>
      </c>
      <c r="F1603" s="261" t="s">
        <v>20951</v>
      </c>
      <c r="G1603" s="261"/>
      <c r="H1603" s="261"/>
      <c r="I1603" s="261" t="s">
        <v>1103</v>
      </c>
      <c r="J1603" s="261" t="s">
        <v>19601</v>
      </c>
      <c r="K1603" s="262">
        <v>20</v>
      </c>
    </row>
    <row r="1604" spans="1:11" x14ac:dyDescent="0.2">
      <c r="A1604" s="306" t="s">
        <v>21156</v>
      </c>
      <c r="B1604" s="261" t="s">
        <v>21156</v>
      </c>
      <c r="C1604" s="261" t="s">
        <v>18942</v>
      </c>
      <c r="D1604" s="261" t="s">
        <v>18560</v>
      </c>
      <c r="E1604" s="261">
        <v>7</v>
      </c>
      <c r="F1604" s="261" t="s">
        <v>20952</v>
      </c>
      <c r="G1604" s="261"/>
      <c r="H1604" s="261"/>
      <c r="I1604" s="261" t="s">
        <v>1103</v>
      </c>
      <c r="J1604" s="261" t="s">
        <v>19604</v>
      </c>
      <c r="K1604" s="262">
        <v>20</v>
      </c>
    </row>
    <row r="1605" spans="1:11" x14ac:dyDescent="0.2">
      <c r="A1605" s="306" t="s">
        <v>21156</v>
      </c>
      <c r="B1605" s="261" t="s">
        <v>21156</v>
      </c>
      <c r="C1605" s="261" t="s">
        <v>18942</v>
      </c>
      <c r="D1605" s="261" t="s">
        <v>18560</v>
      </c>
      <c r="E1605" s="261">
        <v>8</v>
      </c>
      <c r="F1605" s="261" t="s">
        <v>20953</v>
      </c>
      <c r="G1605" s="261"/>
      <c r="H1605" s="261"/>
      <c r="I1605" s="261" t="s">
        <v>1103</v>
      </c>
      <c r="J1605" s="261" t="s">
        <v>19602</v>
      </c>
      <c r="K1605" s="262">
        <v>20</v>
      </c>
    </row>
    <row r="1606" spans="1:11" x14ac:dyDescent="0.2">
      <c r="A1606" s="306" t="s">
        <v>21156</v>
      </c>
      <c r="B1606" s="261" t="s">
        <v>21156</v>
      </c>
      <c r="C1606" s="261" t="s">
        <v>18942</v>
      </c>
      <c r="D1606" s="261" t="s">
        <v>18560</v>
      </c>
      <c r="E1606" s="261">
        <v>9</v>
      </c>
      <c r="F1606" s="261" t="s">
        <v>20954</v>
      </c>
      <c r="G1606" s="261"/>
      <c r="H1606" s="261"/>
      <c r="I1606" s="261" t="s">
        <v>10772</v>
      </c>
      <c r="J1606" s="261" t="s">
        <v>19618</v>
      </c>
      <c r="K1606" s="262">
        <v>100</v>
      </c>
    </row>
    <row r="1607" spans="1:11" x14ac:dyDescent="0.2">
      <c r="A1607" s="306" t="s">
        <v>20160</v>
      </c>
      <c r="B1607" s="261" t="s">
        <v>20160</v>
      </c>
      <c r="C1607" s="261" t="s">
        <v>14308</v>
      </c>
      <c r="D1607" s="261" t="s">
        <v>18046</v>
      </c>
      <c r="E1607" s="261">
        <v>1</v>
      </c>
      <c r="F1607" s="261" t="s">
        <v>19688</v>
      </c>
      <c r="G1607" s="261" t="s">
        <v>20158</v>
      </c>
      <c r="H1607" s="261" t="s">
        <v>20159</v>
      </c>
      <c r="I1607" s="261"/>
      <c r="J1607" s="261"/>
      <c r="K1607" s="262"/>
    </row>
    <row r="1608" spans="1:11" x14ac:dyDescent="0.2">
      <c r="A1608" s="306" t="s">
        <v>20160</v>
      </c>
      <c r="B1608" s="261" t="s">
        <v>20160</v>
      </c>
      <c r="C1608" s="261" t="s">
        <v>14308</v>
      </c>
      <c r="D1608" s="261" t="s">
        <v>18046</v>
      </c>
      <c r="E1608" s="261">
        <v>2</v>
      </c>
      <c r="F1608" s="261" t="s">
        <v>19688</v>
      </c>
      <c r="G1608" s="261" t="s">
        <v>14575</v>
      </c>
      <c r="H1608" s="261" t="s">
        <v>14576</v>
      </c>
      <c r="I1608" s="261"/>
      <c r="J1608" s="261"/>
      <c r="K1608" s="262"/>
    </row>
    <row r="1609" spans="1:11" x14ac:dyDescent="0.2">
      <c r="A1609" s="306" t="s">
        <v>20160</v>
      </c>
      <c r="B1609" s="261" t="s">
        <v>18963</v>
      </c>
      <c r="C1609" s="261" t="s">
        <v>14308</v>
      </c>
      <c r="D1609" s="261" t="s">
        <v>18046</v>
      </c>
      <c r="E1609" s="261">
        <v>3</v>
      </c>
      <c r="F1609" s="261" t="s">
        <v>21157</v>
      </c>
      <c r="G1609" s="261" t="s">
        <v>753</v>
      </c>
      <c r="H1609" s="261" t="s">
        <v>754</v>
      </c>
      <c r="I1609" s="261"/>
      <c r="J1609" s="261"/>
      <c r="K1609" s="262"/>
    </row>
    <row r="1610" spans="1:11" x14ac:dyDescent="0.2">
      <c r="A1610" s="306" t="s">
        <v>20160</v>
      </c>
      <c r="B1610" s="261" t="s">
        <v>18966</v>
      </c>
      <c r="C1610" s="261" t="s">
        <v>14308</v>
      </c>
      <c r="D1610" s="261" t="s">
        <v>18046</v>
      </c>
      <c r="E1610" s="261">
        <v>4</v>
      </c>
      <c r="F1610" s="261" t="s">
        <v>21158</v>
      </c>
      <c r="G1610" s="261" t="s">
        <v>4530</v>
      </c>
      <c r="H1610" s="261" t="s">
        <v>4531</v>
      </c>
      <c r="I1610" s="261"/>
      <c r="J1610" s="261"/>
      <c r="K1610" s="262"/>
    </row>
    <row r="1611" spans="1:11" x14ac:dyDescent="0.2">
      <c r="A1611" s="306" t="s">
        <v>20160</v>
      </c>
      <c r="B1611" s="261" t="s">
        <v>18967</v>
      </c>
      <c r="C1611" s="261" t="s">
        <v>14308</v>
      </c>
      <c r="D1611" s="261" t="s">
        <v>18046</v>
      </c>
      <c r="E1611" s="261">
        <v>5</v>
      </c>
      <c r="F1611" s="261" t="s">
        <v>21159</v>
      </c>
      <c r="G1611" s="261" t="s">
        <v>14306</v>
      </c>
      <c r="H1611" s="261" t="s">
        <v>14307</v>
      </c>
      <c r="I1611" s="261"/>
      <c r="J1611" s="261"/>
      <c r="K1611" s="262"/>
    </row>
    <row r="1612" spans="1:11" x14ac:dyDescent="0.2">
      <c r="A1612" s="306" t="s">
        <v>20160</v>
      </c>
      <c r="B1612" s="261" t="s">
        <v>20160</v>
      </c>
      <c r="C1612" s="261" t="s">
        <v>14308</v>
      </c>
      <c r="D1612" s="261" t="s">
        <v>18046</v>
      </c>
      <c r="E1612" s="261">
        <v>6</v>
      </c>
      <c r="F1612" s="261" t="s">
        <v>20882</v>
      </c>
      <c r="G1612" s="261"/>
      <c r="H1612" s="261"/>
      <c r="I1612" s="261"/>
      <c r="J1612" s="261" t="s">
        <v>21160</v>
      </c>
      <c r="K1612" s="262">
        <v>7</v>
      </c>
    </row>
    <row r="1613" spans="1:11" x14ac:dyDescent="0.2">
      <c r="A1613" s="306" t="s">
        <v>20160</v>
      </c>
      <c r="B1613" s="261" t="s">
        <v>20160</v>
      </c>
      <c r="C1613" s="261" t="s">
        <v>14308</v>
      </c>
      <c r="D1613" s="261" t="s">
        <v>18046</v>
      </c>
      <c r="E1613" s="261">
        <v>7</v>
      </c>
      <c r="F1613" s="261" t="s">
        <v>20884</v>
      </c>
      <c r="G1613" s="261"/>
      <c r="H1613" s="261"/>
      <c r="I1613" s="261"/>
      <c r="J1613" s="261" t="s">
        <v>21160</v>
      </c>
      <c r="K1613" s="262">
        <v>7</v>
      </c>
    </row>
    <row r="1614" spans="1:11" x14ac:dyDescent="0.2">
      <c r="A1614" s="306" t="s">
        <v>20160</v>
      </c>
      <c r="B1614" s="261" t="s">
        <v>20160</v>
      </c>
      <c r="C1614" s="261" t="s">
        <v>14308</v>
      </c>
      <c r="D1614" s="261" t="s">
        <v>18046</v>
      </c>
      <c r="E1614" s="261">
        <v>8</v>
      </c>
      <c r="F1614" s="261" t="s">
        <v>20868</v>
      </c>
      <c r="G1614" s="261"/>
      <c r="H1614" s="261"/>
      <c r="I1614" s="261"/>
      <c r="J1614" s="261" t="s">
        <v>21160</v>
      </c>
      <c r="K1614" s="262">
        <v>7</v>
      </c>
    </row>
    <row r="1615" spans="1:11" x14ac:dyDescent="0.2">
      <c r="A1615" s="306" t="s">
        <v>20160</v>
      </c>
      <c r="B1615" s="261" t="s">
        <v>20160</v>
      </c>
      <c r="C1615" s="261" t="s">
        <v>14308</v>
      </c>
      <c r="D1615" s="261" t="s">
        <v>18046</v>
      </c>
      <c r="E1615" s="261">
        <v>9</v>
      </c>
      <c r="F1615" s="261" t="s">
        <v>20885</v>
      </c>
      <c r="G1615" s="261"/>
      <c r="H1615" s="261"/>
      <c r="I1615" s="261"/>
      <c r="J1615" s="261" t="s">
        <v>21160</v>
      </c>
      <c r="K1615" s="262">
        <v>7</v>
      </c>
    </row>
    <row r="1616" spans="1:11" x14ac:dyDescent="0.2">
      <c r="A1616" s="306" t="s">
        <v>20160</v>
      </c>
      <c r="B1616" s="261" t="s">
        <v>20160</v>
      </c>
      <c r="C1616" s="261" t="s">
        <v>14308</v>
      </c>
      <c r="D1616" s="261" t="s">
        <v>18046</v>
      </c>
      <c r="E1616" s="261">
        <v>10</v>
      </c>
      <c r="F1616" s="261" t="s">
        <v>20886</v>
      </c>
      <c r="G1616" s="261"/>
      <c r="H1616" s="261"/>
      <c r="I1616" s="261"/>
      <c r="J1616" s="261" t="s">
        <v>21160</v>
      </c>
      <c r="K1616" s="262">
        <v>6</v>
      </c>
    </row>
    <row r="1617" spans="1:11" x14ac:dyDescent="0.2">
      <c r="A1617" s="306" t="s">
        <v>20160</v>
      </c>
      <c r="B1617" s="261" t="s">
        <v>20160</v>
      </c>
      <c r="C1617" s="261" t="s">
        <v>14308</v>
      </c>
      <c r="D1617" s="261" t="s">
        <v>18046</v>
      </c>
      <c r="E1617" s="261">
        <v>11</v>
      </c>
      <c r="F1617" s="261" t="s">
        <v>20870</v>
      </c>
      <c r="G1617" s="261"/>
      <c r="H1617" s="261"/>
      <c r="I1617" s="261" t="s">
        <v>3779</v>
      </c>
      <c r="J1617" s="261" t="s">
        <v>19599</v>
      </c>
      <c r="K1617" s="262">
        <v>20</v>
      </c>
    </row>
    <row r="1618" spans="1:11" x14ac:dyDescent="0.2">
      <c r="A1618" s="306" t="s">
        <v>20160</v>
      </c>
      <c r="B1618" s="261" t="s">
        <v>20160</v>
      </c>
      <c r="C1618" s="261" t="s">
        <v>14308</v>
      </c>
      <c r="D1618" s="261" t="s">
        <v>18046</v>
      </c>
      <c r="E1618" s="261">
        <v>12</v>
      </c>
      <c r="F1618" s="261" t="s">
        <v>20888</v>
      </c>
      <c r="G1618" s="261"/>
      <c r="H1618" s="261"/>
      <c r="I1618" s="261" t="s">
        <v>3779</v>
      </c>
      <c r="J1618" s="261" t="s">
        <v>19603</v>
      </c>
      <c r="K1618" s="262">
        <v>20</v>
      </c>
    </row>
    <row r="1619" spans="1:11" x14ac:dyDescent="0.2">
      <c r="A1619" s="306" t="s">
        <v>20160</v>
      </c>
      <c r="B1619" s="261" t="s">
        <v>20160</v>
      </c>
      <c r="C1619" s="261" t="s">
        <v>14308</v>
      </c>
      <c r="D1619" s="261" t="s">
        <v>18046</v>
      </c>
      <c r="E1619" s="261">
        <v>13</v>
      </c>
      <c r="F1619" s="261" t="s">
        <v>21161</v>
      </c>
      <c r="G1619" s="261"/>
      <c r="H1619" s="261"/>
      <c r="I1619" s="261" t="s">
        <v>3779</v>
      </c>
      <c r="J1619" s="261" t="s">
        <v>19600</v>
      </c>
      <c r="K1619" s="262">
        <v>20</v>
      </c>
    </row>
    <row r="1620" spans="1:11" x14ac:dyDescent="0.2">
      <c r="A1620" s="306" t="s">
        <v>20160</v>
      </c>
      <c r="B1620" s="261" t="s">
        <v>20160</v>
      </c>
      <c r="C1620" s="261" t="s">
        <v>14308</v>
      </c>
      <c r="D1620" s="261" t="s">
        <v>18046</v>
      </c>
      <c r="E1620" s="261">
        <v>14</v>
      </c>
      <c r="F1620" s="261" t="s">
        <v>20872</v>
      </c>
      <c r="G1620" s="261"/>
      <c r="H1620" s="261"/>
      <c r="I1620" s="261" t="s">
        <v>3779</v>
      </c>
      <c r="J1620" s="261" t="s">
        <v>19601</v>
      </c>
      <c r="K1620" s="262">
        <v>20</v>
      </c>
    </row>
    <row r="1621" spans="1:11" x14ac:dyDescent="0.2">
      <c r="A1621" s="306" t="s">
        <v>20160</v>
      </c>
      <c r="B1621" s="261" t="s">
        <v>20160</v>
      </c>
      <c r="C1621" s="261" t="s">
        <v>14308</v>
      </c>
      <c r="D1621" s="261" t="s">
        <v>18046</v>
      </c>
      <c r="E1621" s="261">
        <v>15</v>
      </c>
      <c r="F1621" s="261" t="s">
        <v>20889</v>
      </c>
      <c r="G1621" s="261"/>
      <c r="H1621" s="261"/>
      <c r="I1621" s="261" t="s">
        <v>3779</v>
      </c>
      <c r="J1621" s="261" t="s">
        <v>19604</v>
      </c>
      <c r="K1621" s="262">
        <v>20</v>
      </c>
    </row>
    <row r="1622" spans="1:11" x14ac:dyDescent="0.2">
      <c r="A1622" s="306" t="s">
        <v>20160</v>
      </c>
      <c r="B1622" s="261" t="s">
        <v>20160</v>
      </c>
      <c r="C1622" s="261" t="s">
        <v>14308</v>
      </c>
      <c r="D1622" s="261" t="s">
        <v>18046</v>
      </c>
      <c r="E1622" s="261">
        <v>16</v>
      </c>
      <c r="F1622" s="261" t="s">
        <v>20890</v>
      </c>
      <c r="G1622" s="261"/>
      <c r="H1622" s="261"/>
      <c r="I1622" s="261" t="s">
        <v>3779</v>
      </c>
      <c r="J1622" s="261" t="s">
        <v>19602</v>
      </c>
      <c r="K1622" s="262">
        <v>20</v>
      </c>
    </row>
    <row r="1623" spans="1:11" x14ac:dyDescent="0.2">
      <c r="A1623" s="306" t="s">
        <v>20160</v>
      </c>
      <c r="B1623" s="261" t="s">
        <v>20160</v>
      </c>
      <c r="C1623" s="261" t="s">
        <v>14308</v>
      </c>
      <c r="D1623" s="261" t="s">
        <v>18046</v>
      </c>
      <c r="E1623" s="261">
        <v>17</v>
      </c>
      <c r="F1623" s="261" t="s">
        <v>20891</v>
      </c>
      <c r="G1623" s="261"/>
      <c r="H1623" s="261"/>
      <c r="I1623" s="261" t="s">
        <v>3779</v>
      </c>
      <c r="J1623" s="261" t="s">
        <v>19618</v>
      </c>
      <c r="K1623" s="262">
        <v>100</v>
      </c>
    </row>
    <row r="1624" spans="1:11" x14ac:dyDescent="0.2">
      <c r="A1624" s="306" t="s">
        <v>21162</v>
      </c>
      <c r="B1624" s="261" t="s">
        <v>21162</v>
      </c>
      <c r="C1624" s="261" t="s">
        <v>18970</v>
      </c>
      <c r="D1624" s="261" t="s">
        <v>18588</v>
      </c>
      <c r="E1624" s="261">
        <v>1</v>
      </c>
      <c r="F1624" s="261" t="s">
        <v>20948</v>
      </c>
      <c r="G1624" s="261"/>
      <c r="H1624" s="261"/>
      <c r="I1624" s="261" t="s">
        <v>1103</v>
      </c>
      <c r="J1624" s="261" t="s">
        <v>19599</v>
      </c>
      <c r="K1624" s="262">
        <v>20</v>
      </c>
    </row>
    <row r="1625" spans="1:11" x14ac:dyDescent="0.2">
      <c r="A1625" s="306" t="s">
        <v>21162</v>
      </c>
      <c r="B1625" s="261" t="s">
        <v>21162</v>
      </c>
      <c r="C1625" s="261" t="s">
        <v>18970</v>
      </c>
      <c r="D1625" s="261" t="s">
        <v>18588</v>
      </c>
      <c r="E1625" s="261">
        <v>2</v>
      </c>
      <c r="F1625" s="261" t="s">
        <v>20949</v>
      </c>
      <c r="G1625" s="261"/>
      <c r="H1625" s="261"/>
      <c r="I1625" s="261" t="s">
        <v>1103</v>
      </c>
      <c r="J1625" s="261" t="s">
        <v>19600</v>
      </c>
      <c r="K1625" s="262">
        <v>20</v>
      </c>
    </row>
    <row r="1626" spans="1:11" x14ac:dyDescent="0.2">
      <c r="A1626" s="306" t="s">
        <v>21162</v>
      </c>
      <c r="B1626" s="261" t="s">
        <v>18984</v>
      </c>
      <c r="C1626" s="261" t="s">
        <v>18970</v>
      </c>
      <c r="D1626" s="261" t="s">
        <v>18588</v>
      </c>
      <c r="E1626" s="261">
        <v>2</v>
      </c>
      <c r="F1626" s="261" t="s">
        <v>21067</v>
      </c>
      <c r="G1626" s="261" t="s">
        <v>1097</v>
      </c>
      <c r="H1626" s="261" t="s">
        <v>1098</v>
      </c>
      <c r="I1626" s="261"/>
      <c r="J1626" s="261"/>
      <c r="K1626" s="262"/>
    </row>
    <row r="1627" spans="1:11" x14ac:dyDescent="0.2">
      <c r="A1627" s="306" t="s">
        <v>21162</v>
      </c>
      <c r="B1627" s="261" t="s">
        <v>21162</v>
      </c>
      <c r="C1627" s="261" t="s">
        <v>18970</v>
      </c>
      <c r="D1627" s="261" t="s">
        <v>18588</v>
      </c>
      <c r="E1627" s="261">
        <v>3</v>
      </c>
      <c r="F1627" s="261" t="s">
        <v>20950</v>
      </c>
      <c r="G1627" s="261"/>
      <c r="H1627" s="261"/>
      <c r="I1627" s="261" t="s">
        <v>1103</v>
      </c>
      <c r="J1627" s="261" t="s">
        <v>19603</v>
      </c>
      <c r="K1627" s="262">
        <v>20</v>
      </c>
    </row>
    <row r="1628" spans="1:11" x14ac:dyDescent="0.2">
      <c r="A1628" s="306" t="s">
        <v>21162</v>
      </c>
      <c r="B1628" s="261" t="s">
        <v>18985</v>
      </c>
      <c r="C1628" s="261" t="s">
        <v>18970</v>
      </c>
      <c r="D1628" s="261" t="s">
        <v>18588</v>
      </c>
      <c r="E1628" s="261">
        <v>3</v>
      </c>
      <c r="F1628" s="261" t="s">
        <v>21068</v>
      </c>
      <c r="G1628" s="261" t="s">
        <v>442</v>
      </c>
      <c r="H1628" s="261" t="s">
        <v>443</v>
      </c>
      <c r="I1628" s="261"/>
      <c r="J1628" s="261"/>
      <c r="K1628" s="262"/>
    </row>
    <row r="1629" spans="1:11" x14ac:dyDescent="0.2">
      <c r="A1629" s="306" t="s">
        <v>21162</v>
      </c>
      <c r="B1629" s="261" t="s">
        <v>21162</v>
      </c>
      <c r="C1629" s="261" t="s">
        <v>18970</v>
      </c>
      <c r="D1629" s="261" t="s">
        <v>18588</v>
      </c>
      <c r="E1629" s="261">
        <v>4</v>
      </c>
      <c r="F1629" s="261" t="s">
        <v>21069</v>
      </c>
      <c r="G1629" s="261"/>
      <c r="H1629" s="261"/>
      <c r="I1629" s="261" t="s">
        <v>1103</v>
      </c>
      <c r="J1629" s="261" t="s">
        <v>19601</v>
      </c>
      <c r="K1629" s="262">
        <v>20</v>
      </c>
    </row>
    <row r="1630" spans="1:11" x14ac:dyDescent="0.2">
      <c r="A1630" s="306" t="s">
        <v>21162</v>
      </c>
      <c r="B1630" s="261" t="s">
        <v>18986</v>
      </c>
      <c r="C1630" s="261" t="s">
        <v>18970</v>
      </c>
      <c r="D1630" s="261" t="s">
        <v>18588</v>
      </c>
      <c r="E1630" s="261">
        <v>4</v>
      </c>
      <c r="F1630" s="261" t="s">
        <v>21099</v>
      </c>
      <c r="G1630" s="261" t="s">
        <v>9784</v>
      </c>
      <c r="H1630" s="261" t="s">
        <v>9785</v>
      </c>
      <c r="I1630" s="261"/>
      <c r="J1630" s="261"/>
      <c r="K1630" s="262"/>
    </row>
    <row r="1631" spans="1:11" x14ac:dyDescent="0.2">
      <c r="A1631" s="306" t="s">
        <v>21162</v>
      </c>
      <c r="B1631" s="261" t="s">
        <v>21162</v>
      </c>
      <c r="C1631" s="261" t="s">
        <v>18970</v>
      </c>
      <c r="D1631" s="261" t="s">
        <v>18588</v>
      </c>
      <c r="E1631" s="261">
        <v>5</v>
      </c>
      <c r="F1631" s="261" t="s">
        <v>20952</v>
      </c>
      <c r="G1631" s="261"/>
      <c r="H1631" s="261"/>
      <c r="I1631" s="261" t="s">
        <v>1103</v>
      </c>
      <c r="J1631" s="261" t="s">
        <v>19604</v>
      </c>
      <c r="K1631" s="262">
        <v>20</v>
      </c>
    </row>
    <row r="1632" spans="1:11" x14ac:dyDescent="0.2">
      <c r="A1632" s="306" t="s">
        <v>21162</v>
      </c>
      <c r="B1632" s="261" t="s">
        <v>21162</v>
      </c>
      <c r="C1632" s="261" t="s">
        <v>18970</v>
      </c>
      <c r="D1632" s="261" t="s">
        <v>18588</v>
      </c>
      <c r="E1632" s="261">
        <v>6</v>
      </c>
      <c r="F1632" s="261" t="s">
        <v>21070</v>
      </c>
      <c r="G1632" s="261"/>
      <c r="H1632" s="261"/>
      <c r="I1632" s="261" t="s">
        <v>1103</v>
      </c>
      <c r="J1632" s="261" t="s">
        <v>19602</v>
      </c>
      <c r="K1632" s="262">
        <v>20</v>
      </c>
    </row>
    <row r="1633" spans="1:11" x14ac:dyDescent="0.2">
      <c r="A1633" s="306" t="s">
        <v>21162</v>
      </c>
      <c r="B1633" s="261" t="s">
        <v>21162</v>
      </c>
      <c r="C1633" s="261" t="s">
        <v>18970</v>
      </c>
      <c r="D1633" s="261" t="s">
        <v>18588</v>
      </c>
      <c r="E1633" s="261">
        <v>7</v>
      </c>
      <c r="F1633" s="261" t="s">
        <v>21071</v>
      </c>
      <c r="G1633" s="261"/>
      <c r="H1633" s="261"/>
      <c r="I1633" s="261" t="s">
        <v>10772</v>
      </c>
      <c r="J1633" s="261" t="s">
        <v>19618</v>
      </c>
      <c r="K1633" s="262">
        <v>100</v>
      </c>
    </row>
    <row r="1634" spans="1:11" x14ac:dyDescent="0.2">
      <c r="A1634" s="306" t="s">
        <v>20363</v>
      </c>
      <c r="B1634" s="261" t="s">
        <v>20363</v>
      </c>
      <c r="C1634" s="261" t="s">
        <v>14311</v>
      </c>
      <c r="D1634" s="261" t="s">
        <v>18017</v>
      </c>
      <c r="E1634" s="261">
        <v>1</v>
      </c>
      <c r="F1634" s="261" t="s">
        <v>19688</v>
      </c>
      <c r="G1634" s="261" t="s">
        <v>14309</v>
      </c>
      <c r="H1634" s="261" t="s">
        <v>14310</v>
      </c>
      <c r="I1634" s="261"/>
      <c r="J1634" s="261"/>
      <c r="K1634" s="262"/>
    </row>
    <row r="1635" spans="1:11" x14ac:dyDescent="0.2">
      <c r="A1635" s="306" t="s">
        <v>20363</v>
      </c>
      <c r="B1635" s="261" t="s">
        <v>18987</v>
      </c>
      <c r="C1635" s="261" t="s">
        <v>14311</v>
      </c>
      <c r="D1635" s="261" t="s">
        <v>18017</v>
      </c>
      <c r="E1635" s="261">
        <v>2</v>
      </c>
      <c r="F1635" s="261" t="s">
        <v>21163</v>
      </c>
      <c r="G1635" s="261" t="s">
        <v>3978</v>
      </c>
      <c r="H1635" s="261" t="s">
        <v>3979</v>
      </c>
      <c r="I1635" s="261"/>
      <c r="J1635" s="261"/>
      <c r="K1635" s="262"/>
    </row>
    <row r="1636" spans="1:11" x14ac:dyDescent="0.2">
      <c r="A1636" s="306" t="s">
        <v>20363</v>
      </c>
      <c r="B1636" s="261" t="s">
        <v>18991</v>
      </c>
      <c r="C1636" s="261" t="s">
        <v>14311</v>
      </c>
      <c r="D1636" s="261" t="s">
        <v>18017</v>
      </c>
      <c r="E1636" s="261">
        <v>3</v>
      </c>
      <c r="F1636" s="261" t="s">
        <v>21164</v>
      </c>
      <c r="G1636" s="261" t="s">
        <v>4185</v>
      </c>
      <c r="H1636" s="261" t="s">
        <v>4186</v>
      </c>
      <c r="I1636" s="261"/>
      <c r="J1636" s="261"/>
      <c r="K1636" s="262"/>
    </row>
    <row r="1637" spans="1:11" x14ac:dyDescent="0.2">
      <c r="A1637" s="306" t="s">
        <v>20363</v>
      </c>
      <c r="B1637" s="261" t="s">
        <v>18994</v>
      </c>
      <c r="C1637" s="261" t="s">
        <v>14311</v>
      </c>
      <c r="D1637" s="261" t="s">
        <v>18017</v>
      </c>
      <c r="E1637" s="261">
        <v>4</v>
      </c>
      <c r="F1637" s="261" t="s">
        <v>21165</v>
      </c>
      <c r="G1637" s="261" t="s">
        <v>3512</v>
      </c>
      <c r="H1637" s="261" t="s">
        <v>3513</v>
      </c>
      <c r="I1637" s="261"/>
      <c r="J1637" s="261"/>
      <c r="K1637" s="262"/>
    </row>
    <row r="1638" spans="1:11" x14ac:dyDescent="0.2">
      <c r="A1638" s="306" t="s">
        <v>20363</v>
      </c>
      <c r="B1638" s="261" t="s">
        <v>18995</v>
      </c>
      <c r="C1638" s="261" t="s">
        <v>14311</v>
      </c>
      <c r="D1638" s="261" t="s">
        <v>18017</v>
      </c>
      <c r="E1638" s="261">
        <v>5</v>
      </c>
      <c r="F1638" s="261" t="s">
        <v>21166</v>
      </c>
      <c r="G1638" s="261" t="s">
        <v>14312</v>
      </c>
      <c r="H1638" s="261" t="s">
        <v>14313</v>
      </c>
      <c r="I1638" s="261"/>
      <c r="J1638" s="261"/>
      <c r="K1638" s="262"/>
    </row>
    <row r="1639" spans="1:11" x14ac:dyDescent="0.2">
      <c r="A1639" s="306" t="s">
        <v>20363</v>
      </c>
      <c r="B1639" s="261" t="s">
        <v>18996</v>
      </c>
      <c r="C1639" s="261" t="s">
        <v>14311</v>
      </c>
      <c r="D1639" s="261" t="s">
        <v>18017</v>
      </c>
      <c r="E1639" s="261">
        <v>6</v>
      </c>
      <c r="F1639" s="261" t="s">
        <v>21167</v>
      </c>
      <c r="G1639" s="261" t="s">
        <v>9806</v>
      </c>
      <c r="H1639" s="261" t="s">
        <v>9807</v>
      </c>
      <c r="I1639" s="261"/>
      <c r="J1639" s="261"/>
      <c r="K1639" s="262"/>
    </row>
    <row r="1640" spans="1:11" x14ac:dyDescent="0.2">
      <c r="A1640" s="306" t="s">
        <v>20363</v>
      </c>
      <c r="B1640" s="261" t="s">
        <v>20363</v>
      </c>
      <c r="C1640" s="261" t="s">
        <v>14311</v>
      </c>
      <c r="D1640" s="261" t="s">
        <v>18017</v>
      </c>
      <c r="E1640" s="261">
        <v>7</v>
      </c>
      <c r="F1640" s="261" t="s">
        <v>20868</v>
      </c>
      <c r="G1640" s="261"/>
      <c r="H1640" s="261"/>
      <c r="I1640" s="261" t="s">
        <v>2837</v>
      </c>
      <c r="J1640" s="261" t="s">
        <v>19599</v>
      </c>
      <c r="K1640" s="262">
        <v>20</v>
      </c>
    </row>
    <row r="1641" spans="1:11" x14ac:dyDescent="0.2">
      <c r="A1641" s="306" t="s">
        <v>20363</v>
      </c>
      <c r="B1641" s="261" t="s">
        <v>20363</v>
      </c>
      <c r="C1641" s="261" t="s">
        <v>14311</v>
      </c>
      <c r="D1641" s="261" t="s">
        <v>18017</v>
      </c>
      <c r="E1641" s="261">
        <v>8</v>
      </c>
      <c r="F1641" s="261" t="s">
        <v>20869</v>
      </c>
      <c r="G1641" s="261"/>
      <c r="H1641" s="261"/>
      <c r="I1641" s="261" t="s">
        <v>2837</v>
      </c>
      <c r="J1641" s="261" t="s">
        <v>19600</v>
      </c>
      <c r="K1641" s="262">
        <v>20</v>
      </c>
    </row>
    <row r="1642" spans="1:11" x14ac:dyDescent="0.2">
      <c r="A1642" s="306" t="s">
        <v>20363</v>
      </c>
      <c r="B1642" s="261" t="s">
        <v>20363</v>
      </c>
      <c r="C1642" s="261" t="s">
        <v>14311</v>
      </c>
      <c r="D1642" s="261" t="s">
        <v>18017</v>
      </c>
      <c r="E1642" s="261">
        <v>9</v>
      </c>
      <c r="F1642" s="261" t="s">
        <v>20870</v>
      </c>
      <c r="G1642" s="261"/>
      <c r="H1642" s="261"/>
      <c r="I1642" s="261" t="s">
        <v>2837</v>
      </c>
      <c r="J1642" s="261" t="s">
        <v>19603</v>
      </c>
      <c r="K1642" s="262">
        <v>20</v>
      </c>
    </row>
    <row r="1643" spans="1:11" x14ac:dyDescent="0.2">
      <c r="A1643" s="306" t="s">
        <v>20363</v>
      </c>
      <c r="B1643" s="261" t="s">
        <v>20363</v>
      </c>
      <c r="C1643" s="261" t="s">
        <v>14311</v>
      </c>
      <c r="D1643" s="261" t="s">
        <v>18017</v>
      </c>
      <c r="E1643" s="261">
        <v>10</v>
      </c>
      <c r="F1643" s="261" t="s">
        <v>20871</v>
      </c>
      <c r="G1643" s="261"/>
      <c r="H1643" s="261"/>
      <c r="I1643" s="261" t="s">
        <v>2837</v>
      </c>
      <c r="J1643" s="261" t="s">
        <v>19601</v>
      </c>
      <c r="K1643" s="262">
        <v>20</v>
      </c>
    </row>
    <row r="1644" spans="1:11" x14ac:dyDescent="0.2">
      <c r="A1644" s="306" t="s">
        <v>20363</v>
      </c>
      <c r="B1644" s="261" t="s">
        <v>20363</v>
      </c>
      <c r="C1644" s="261" t="s">
        <v>14311</v>
      </c>
      <c r="D1644" s="261" t="s">
        <v>18017</v>
      </c>
      <c r="E1644" s="261">
        <v>11</v>
      </c>
      <c r="F1644" s="261" t="s">
        <v>20872</v>
      </c>
      <c r="G1644" s="261"/>
      <c r="H1644" s="261"/>
      <c r="I1644" s="261" t="s">
        <v>2837</v>
      </c>
      <c r="J1644" s="261" t="s">
        <v>19604</v>
      </c>
      <c r="K1644" s="262">
        <v>20</v>
      </c>
    </row>
    <row r="1645" spans="1:11" x14ac:dyDescent="0.2">
      <c r="A1645" s="306" t="s">
        <v>20363</v>
      </c>
      <c r="B1645" s="261" t="s">
        <v>20363</v>
      </c>
      <c r="C1645" s="261" t="s">
        <v>14311</v>
      </c>
      <c r="D1645" s="261" t="s">
        <v>18017</v>
      </c>
      <c r="E1645" s="261">
        <v>12</v>
      </c>
      <c r="F1645" s="261" t="s">
        <v>20873</v>
      </c>
      <c r="G1645" s="261"/>
      <c r="H1645" s="261"/>
      <c r="I1645" s="261" t="s">
        <v>2837</v>
      </c>
      <c r="J1645" s="261" t="s">
        <v>19602</v>
      </c>
      <c r="K1645" s="262">
        <v>20</v>
      </c>
    </row>
    <row r="1646" spans="1:11" x14ac:dyDescent="0.2">
      <c r="A1646" s="306" t="s">
        <v>20363</v>
      </c>
      <c r="B1646" s="261" t="s">
        <v>20363</v>
      </c>
      <c r="C1646" s="261" t="s">
        <v>14311</v>
      </c>
      <c r="D1646" s="261" t="s">
        <v>18017</v>
      </c>
      <c r="E1646" s="261">
        <v>13</v>
      </c>
      <c r="F1646" s="261" t="s">
        <v>20874</v>
      </c>
      <c r="G1646" s="261"/>
      <c r="H1646" s="261"/>
      <c r="I1646" s="261" t="s">
        <v>10772</v>
      </c>
      <c r="J1646" s="261" t="s">
        <v>19618</v>
      </c>
      <c r="K1646" s="262">
        <v>100</v>
      </c>
    </row>
    <row r="1647" spans="1:11" x14ac:dyDescent="0.2">
      <c r="A1647" s="306" t="s">
        <v>21168</v>
      </c>
      <c r="B1647" s="261" t="s">
        <v>19015</v>
      </c>
      <c r="C1647" s="261" t="s">
        <v>19001</v>
      </c>
      <c r="D1647" s="261" t="s">
        <v>18560</v>
      </c>
      <c r="E1647" s="261">
        <v>1</v>
      </c>
      <c r="F1647" s="261" t="s">
        <v>20946</v>
      </c>
      <c r="G1647" s="261" t="s">
        <v>833</v>
      </c>
      <c r="H1647" s="261" t="s">
        <v>834</v>
      </c>
      <c r="I1647" s="261"/>
      <c r="J1647" s="261"/>
      <c r="K1647" s="262"/>
    </row>
    <row r="1648" spans="1:11" x14ac:dyDescent="0.2">
      <c r="A1648" s="306" t="s">
        <v>21168</v>
      </c>
      <c r="B1648" s="261" t="s">
        <v>19016</v>
      </c>
      <c r="C1648" s="261" t="s">
        <v>19001</v>
      </c>
      <c r="D1648" s="261" t="s">
        <v>18560</v>
      </c>
      <c r="E1648" s="261">
        <v>2</v>
      </c>
      <c r="F1648" s="261" t="s">
        <v>20947</v>
      </c>
      <c r="G1648" s="261" t="s">
        <v>2088</v>
      </c>
      <c r="H1648" s="261" t="s">
        <v>2089</v>
      </c>
      <c r="I1648" s="261"/>
      <c r="J1648" s="261"/>
      <c r="K1648" s="262"/>
    </row>
    <row r="1649" spans="1:11" x14ac:dyDescent="0.2">
      <c r="A1649" s="306" t="s">
        <v>21168</v>
      </c>
      <c r="B1649" s="261" t="s">
        <v>21168</v>
      </c>
      <c r="C1649" s="261" t="s">
        <v>19001</v>
      </c>
      <c r="D1649" s="261" t="s">
        <v>18560</v>
      </c>
      <c r="E1649" s="261">
        <v>3</v>
      </c>
      <c r="F1649" s="261" t="s">
        <v>20948</v>
      </c>
      <c r="G1649" s="261"/>
      <c r="H1649" s="261"/>
      <c r="I1649" s="261" t="s">
        <v>122</v>
      </c>
      <c r="J1649" s="261" t="s">
        <v>19599</v>
      </c>
      <c r="K1649" s="262">
        <v>20</v>
      </c>
    </row>
    <row r="1650" spans="1:11" x14ac:dyDescent="0.2">
      <c r="A1650" s="306" t="s">
        <v>21168</v>
      </c>
      <c r="B1650" s="261" t="s">
        <v>21168</v>
      </c>
      <c r="C1650" s="261" t="s">
        <v>19001</v>
      </c>
      <c r="D1650" s="261" t="s">
        <v>18560</v>
      </c>
      <c r="E1650" s="261">
        <v>4</v>
      </c>
      <c r="F1650" s="261" t="s">
        <v>20949</v>
      </c>
      <c r="G1650" s="261"/>
      <c r="H1650" s="261"/>
      <c r="I1650" s="261" t="s">
        <v>122</v>
      </c>
      <c r="J1650" s="261" t="s">
        <v>19600</v>
      </c>
      <c r="K1650" s="262">
        <v>20</v>
      </c>
    </row>
    <row r="1651" spans="1:11" x14ac:dyDescent="0.2">
      <c r="A1651" s="306" t="s">
        <v>21168</v>
      </c>
      <c r="B1651" s="261" t="s">
        <v>21168</v>
      </c>
      <c r="C1651" s="261" t="s">
        <v>19001</v>
      </c>
      <c r="D1651" s="261" t="s">
        <v>18560</v>
      </c>
      <c r="E1651" s="261">
        <v>5</v>
      </c>
      <c r="F1651" s="261" t="s">
        <v>20950</v>
      </c>
      <c r="G1651" s="261"/>
      <c r="H1651" s="261"/>
      <c r="I1651" s="261" t="s">
        <v>122</v>
      </c>
      <c r="J1651" s="261" t="s">
        <v>19603</v>
      </c>
      <c r="K1651" s="262">
        <v>20</v>
      </c>
    </row>
    <row r="1652" spans="1:11" x14ac:dyDescent="0.2">
      <c r="A1652" s="306" t="s">
        <v>21168</v>
      </c>
      <c r="B1652" s="261" t="s">
        <v>21168</v>
      </c>
      <c r="C1652" s="261" t="s">
        <v>19001</v>
      </c>
      <c r="D1652" s="261" t="s">
        <v>18560</v>
      </c>
      <c r="E1652" s="261">
        <v>6</v>
      </c>
      <c r="F1652" s="261" t="s">
        <v>20951</v>
      </c>
      <c r="G1652" s="261"/>
      <c r="H1652" s="261"/>
      <c r="I1652" s="261" t="s">
        <v>122</v>
      </c>
      <c r="J1652" s="261" t="s">
        <v>19601</v>
      </c>
      <c r="K1652" s="262">
        <v>20</v>
      </c>
    </row>
    <row r="1653" spans="1:11" x14ac:dyDescent="0.2">
      <c r="A1653" s="306" t="s">
        <v>21168</v>
      </c>
      <c r="B1653" s="261" t="s">
        <v>21168</v>
      </c>
      <c r="C1653" s="261" t="s">
        <v>19001</v>
      </c>
      <c r="D1653" s="261" t="s">
        <v>18560</v>
      </c>
      <c r="E1653" s="261">
        <v>7</v>
      </c>
      <c r="F1653" s="261" t="s">
        <v>20952</v>
      </c>
      <c r="G1653" s="261"/>
      <c r="H1653" s="261"/>
      <c r="I1653" s="261" t="s">
        <v>122</v>
      </c>
      <c r="J1653" s="261" t="s">
        <v>19604</v>
      </c>
      <c r="K1653" s="262">
        <v>20</v>
      </c>
    </row>
    <row r="1654" spans="1:11" x14ac:dyDescent="0.2">
      <c r="A1654" s="306" t="s">
        <v>21168</v>
      </c>
      <c r="B1654" s="261" t="s">
        <v>21168</v>
      </c>
      <c r="C1654" s="261" t="s">
        <v>19001</v>
      </c>
      <c r="D1654" s="261" t="s">
        <v>18560</v>
      </c>
      <c r="E1654" s="261">
        <v>8</v>
      </c>
      <c r="F1654" s="261" t="s">
        <v>20953</v>
      </c>
      <c r="G1654" s="261"/>
      <c r="H1654" s="261"/>
      <c r="I1654" s="261" t="s">
        <v>122</v>
      </c>
      <c r="J1654" s="261" t="s">
        <v>19602</v>
      </c>
      <c r="K1654" s="262">
        <v>20</v>
      </c>
    </row>
    <row r="1655" spans="1:11" x14ac:dyDescent="0.2">
      <c r="A1655" s="306" t="s">
        <v>21168</v>
      </c>
      <c r="B1655" s="261" t="s">
        <v>21168</v>
      </c>
      <c r="C1655" s="261" t="s">
        <v>19001</v>
      </c>
      <c r="D1655" s="261" t="s">
        <v>18560</v>
      </c>
      <c r="E1655" s="261">
        <v>9</v>
      </c>
      <c r="F1655" s="261" t="s">
        <v>20954</v>
      </c>
      <c r="G1655" s="261"/>
      <c r="H1655" s="261"/>
      <c r="I1655" s="261" t="s">
        <v>10772</v>
      </c>
      <c r="J1655" s="261" t="s">
        <v>19618</v>
      </c>
      <c r="K1655" s="262">
        <v>100</v>
      </c>
    </row>
    <row r="1656" spans="1:11" x14ac:dyDescent="0.2">
      <c r="A1656" s="306" t="s">
        <v>20512</v>
      </c>
      <c r="B1656" s="261" t="s">
        <v>20512</v>
      </c>
      <c r="C1656" s="261" t="s">
        <v>14316</v>
      </c>
      <c r="D1656" s="261" t="s">
        <v>18933</v>
      </c>
      <c r="E1656" s="261">
        <v>1</v>
      </c>
      <c r="F1656" s="261" t="s">
        <v>19688</v>
      </c>
      <c r="G1656" s="261" t="s">
        <v>14579</v>
      </c>
      <c r="H1656" s="261" t="s">
        <v>14580</v>
      </c>
      <c r="I1656" s="261"/>
      <c r="J1656" s="261"/>
      <c r="K1656" s="262"/>
    </row>
    <row r="1657" spans="1:11" x14ac:dyDescent="0.2">
      <c r="A1657" s="306" t="s">
        <v>20512</v>
      </c>
      <c r="B1657" s="261" t="s">
        <v>19019</v>
      </c>
      <c r="C1657" s="261" t="s">
        <v>14316</v>
      </c>
      <c r="D1657" s="261" t="s">
        <v>18933</v>
      </c>
      <c r="E1657" s="261">
        <v>2</v>
      </c>
      <c r="F1657" s="261" t="s">
        <v>21169</v>
      </c>
      <c r="G1657" s="261" t="s">
        <v>2831</v>
      </c>
      <c r="H1657" s="261" t="s">
        <v>2832</v>
      </c>
      <c r="I1657" s="261"/>
      <c r="J1657" s="261"/>
      <c r="K1657" s="262"/>
    </row>
    <row r="1658" spans="1:11" x14ac:dyDescent="0.2">
      <c r="A1658" s="306" t="s">
        <v>20512</v>
      </c>
      <c r="B1658" s="261" t="s">
        <v>19020</v>
      </c>
      <c r="C1658" s="261" t="s">
        <v>14316</v>
      </c>
      <c r="D1658" s="261" t="s">
        <v>18933</v>
      </c>
      <c r="E1658" s="261">
        <v>3</v>
      </c>
      <c r="F1658" s="261" t="s">
        <v>21170</v>
      </c>
      <c r="G1658" s="261" t="s">
        <v>14577</v>
      </c>
      <c r="H1658" s="261" t="s">
        <v>14578</v>
      </c>
      <c r="I1658" s="261"/>
      <c r="J1658" s="261"/>
      <c r="K1658" s="262"/>
    </row>
    <row r="1659" spans="1:11" x14ac:dyDescent="0.2">
      <c r="A1659" s="306" t="s">
        <v>20512</v>
      </c>
      <c r="B1659" s="261" t="s">
        <v>19021</v>
      </c>
      <c r="C1659" s="261" t="s">
        <v>14316</v>
      </c>
      <c r="D1659" s="261" t="s">
        <v>18933</v>
      </c>
      <c r="E1659" s="261">
        <v>4</v>
      </c>
      <c r="F1659" s="261" t="s">
        <v>21171</v>
      </c>
      <c r="G1659" s="261" t="s">
        <v>2788</v>
      </c>
      <c r="H1659" s="261" t="s">
        <v>2789</v>
      </c>
      <c r="I1659" s="261"/>
      <c r="J1659" s="261"/>
      <c r="K1659" s="262"/>
    </row>
    <row r="1660" spans="1:11" x14ac:dyDescent="0.2">
      <c r="A1660" s="306" t="s">
        <v>20512</v>
      </c>
      <c r="B1660" s="261" t="s">
        <v>19023</v>
      </c>
      <c r="C1660" s="261" t="s">
        <v>14316</v>
      </c>
      <c r="D1660" s="261" t="s">
        <v>18933</v>
      </c>
      <c r="E1660" s="261">
        <v>5</v>
      </c>
      <c r="F1660" s="261" t="s">
        <v>21172</v>
      </c>
      <c r="G1660" s="261" t="s">
        <v>14314</v>
      </c>
      <c r="H1660" s="261" t="s">
        <v>14315</v>
      </c>
      <c r="I1660" s="261"/>
      <c r="J1660" s="261"/>
      <c r="K1660" s="262"/>
    </row>
    <row r="1661" spans="1:11" x14ac:dyDescent="0.2">
      <c r="A1661" s="306" t="s">
        <v>20512</v>
      </c>
      <c r="B1661" s="261" t="s">
        <v>20512</v>
      </c>
      <c r="C1661" s="261" t="s">
        <v>14316</v>
      </c>
      <c r="D1661" s="261" t="s">
        <v>18933</v>
      </c>
      <c r="E1661" s="261">
        <v>6</v>
      </c>
      <c r="F1661" s="261" t="s">
        <v>21149</v>
      </c>
      <c r="G1661" s="261"/>
      <c r="H1661" s="261"/>
      <c r="I1661" s="261" t="s">
        <v>1947</v>
      </c>
      <c r="J1661" s="261" t="s">
        <v>19599</v>
      </c>
      <c r="K1661" s="262">
        <v>20</v>
      </c>
    </row>
    <row r="1662" spans="1:11" x14ac:dyDescent="0.2">
      <c r="A1662" s="306" t="s">
        <v>20512</v>
      </c>
      <c r="B1662" s="261" t="s">
        <v>20512</v>
      </c>
      <c r="C1662" s="261" t="s">
        <v>14316</v>
      </c>
      <c r="D1662" s="261" t="s">
        <v>18933</v>
      </c>
      <c r="E1662" s="261">
        <v>7</v>
      </c>
      <c r="F1662" s="261" t="s">
        <v>21150</v>
      </c>
      <c r="G1662" s="261"/>
      <c r="H1662" s="261"/>
      <c r="I1662" s="261" t="s">
        <v>1947</v>
      </c>
      <c r="J1662" s="261" t="s">
        <v>19600</v>
      </c>
      <c r="K1662" s="262">
        <v>20</v>
      </c>
    </row>
    <row r="1663" spans="1:11" x14ac:dyDescent="0.2">
      <c r="A1663" s="306" t="s">
        <v>20512</v>
      </c>
      <c r="B1663" s="261" t="s">
        <v>20512</v>
      </c>
      <c r="C1663" s="261" t="s">
        <v>14316</v>
      </c>
      <c r="D1663" s="261" t="s">
        <v>18933</v>
      </c>
      <c r="E1663" s="261">
        <v>8</v>
      </c>
      <c r="F1663" s="261" t="s">
        <v>21151</v>
      </c>
      <c r="G1663" s="261"/>
      <c r="H1663" s="261"/>
      <c r="I1663" s="261" t="s">
        <v>1947</v>
      </c>
      <c r="J1663" s="261" t="s">
        <v>19603</v>
      </c>
      <c r="K1663" s="262">
        <v>20</v>
      </c>
    </row>
    <row r="1664" spans="1:11" x14ac:dyDescent="0.2">
      <c r="A1664" s="306" t="s">
        <v>20512</v>
      </c>
      <c r="B1664" s="261" t="s">
        <v>20512</v>
      </c>
      <c r="C1664" s="261" t="s">
        <v>14316</v>
      </c>
      <c r="D1664" s="261" t="s">
        <v>18933</v>
      </c>
      <c r="E1664" s="261">
        <v>9</v>
      </c>
      <c r="F1664" s="261" t="s">
        <v>21152</v>
      </c>
      <c r="G1664" s="261"/>
      <c r="H1664" s="261"/>
      <c r="I1664" s="261" t="s">
        <v>1947</v>
      </c>
      <c r="J1664" s="261" t="s">
        <v>19601</v>
      </c>
      <c r="K1664" s="262">
        <v>20</v>
      </c>
    </row>
    <row r="1665" spans="1:11" x14ac:dyDescent="0.2">
      <c r="A1665" s="306" t="s">
        <v>20512</v>
      </c>
      <c r="B1665" s="261" t="s">
        <v>20512</v>
      </c>
      <c r="C1665" s="261" t="s">
        <v>14316</v>
      </c>
      <c r="D1665" s="261" t="s">
        <v>18933</v>
      </c>
      <c r="E1665" s="261">
        <v>10</v>
      </c>
      <c r="F1665" s="261" t="s">
        <v>21153</v>
      </c>
      <c r="G1665" s="261"/>
      <c r="H1665" s="261"/>
      <c r="I1665" s="261" t="s">
        <v>1947</v>
      </c>
      <c r="J1665" s="261" t="s">
        <v>19604</v>
      </c>
      <c r="K1665" s="262">
        <v>20</v>
      </c>
    </row>
    <row r="1666" spans="1:11" x14ac:dyDescent="0.2">
      <c r="A1666" s="306" t="s">
        <v>20512</v>
      </c>
      <c r="B1666" s="261" t="s">
        <v>20512</v>
      </c>
      <c r="C1666" s="261" t="s">
        <v>14316</v>
      </c>
      <c r="D1666" s="261" t="s">
        <v>18933</v>
      </c>
      <c r="E1666" s="261">
        <v>11</v>
      </c>
      <c r="F1666" s="261" t="s">
        <v>21154</v>
      </c>
      <c r="G1666" s="261"/>
      <c r="H1666" s="261"/>
      <c r="I1666" s="261" t="s">
        <v>1947</v>
      </c>
      <c r="J1666" s="261" t="s">
        <v>19602</v>
      </c>
      <c r="K1666" s="262">
        <v>20</v>
      </c>
    </row>
    <row r="1667" spans="1:11" x14ac:dyDescent="0.2">
      <c r="A1667" s="306" t="s">
        <v>20512</v>
      </c>
      <c r="B1667" s="261" t="s">
        <v>20512</v>
      </c>
      <c r="C1667" s="261" t="s">
        <v>14316</v>
      </c>
      <c r="D1667" s="261" t="s">
        <v>18933</v>
      </c>
      <c r="E1667" s="261">
        <v>12</v>
      </c>
      <c r="F1667" s="261" t="s">
        <v>21155</v>
      </c>
      <c r="G1667" s="261"/>
      <c r="H1667" s="261"/>
      <c r="I1667" s="261" t="s">
        <v>10772</v>
      </c>
      <c r="J1667" s="261" t="s">
        <v>19618</v>
      </c>
      <c r="K1667" s="262">
        <v>100</v>
      </c>
    </row>
    <row r="1668" spans="1:11" x14ac:dyDescent="0.2">
      <c r="A1668" s="306" t="s">
        <v>21173</v>
      </c>
      <c r="B1668" s="261" t="s">
        <v>19040</v>
      </c>
      <c r="C1668" s="261" t="s">
        <v>19026</v>
      </c>
      <c r="D1668" s="261" t="s">
        <v>18588</v>
      </c>
      <c r="E1668" s="261">
        <v>1</v>
      </c>
      <c r="F1668" s="261" t="s">
        <v>21067</v>
      </c>
      <c r="G1668" s="261" t="s">
        <v>115</v>
      </c>
      <c r="H1668" s="261" t="s">
        <v>116</v>
      </c>
      <c r="I1668" s="261"/>
      <c r="J1668" s="261"/>
      <c r="K1668" s="262"/>
    </row>
    <row r="1669" spans="1:11" x14ac:dyDescent="0.2">
      <c r="A1669" s="306" t="s">
        <v>21173</v>
      </c>
      <c r="B1669" s="261" t="s">
        <v>19041</v>
      </c>
      <c r="C1669" s="261" t="s">
        <v>19026</v>
      </c>
      <c r="D1669" s="261" t="s">
        <v>18588</v>
      </c>
      <c r="E1669" s="261">
        <v>2</v>
      </c>
      <c r="F1669" s="261" t="s">
        <v>21068</v>
      </c>
      <c r="G1669" s="261" t="s">
        <v>3058</v>
      </c>
      <c r="H1669" s="261" t="s">
        <v>3059</v>
      </c>
      <c r="I1669" s="261"/>
      <c r="J1669" s="261"/>
      <c r="K1669" s="262"/>
    </row>
    <row r="1670" spans="1:11" x14ac:dyDescent="0.2">
      <c r="A1670" s="306" t="s">
        <v>21173</v>
      </c>
      <c r="B1670" s="261" t="s">
        <v>21173</v>
      </c>
      <c r="C1670" s="261" t="s">
        <v>19026</v>
      </c>
      <c r="D1670" s="261" t="s">
        <v>18588</v>
      </c>
      <c r="E1670" s="261">
        <v>3</v>
      </c>
      <c r="F1670" s="261" t="s">
        <v>20948</v>
      </c>
      <c r="G1670" s="261"/>
      <c r="H1670" s="261"/>
      <c r="I1670" s="261" t="s">
        <v>122</v>
      </c>
      <c r="J1670" s="261" t="s">
        <v>19599</v>
      </c>
      <c r="K1670" s="262">
        <v>20</v>
      </c>
    </row>
    <row r="1671" spans="1:11" x14ac:dyDescent="0.2">
      <c r="A1671" s="306" t="s">
        <v>21173</v>
      </c>
      <c r="B1671" s="261" t="s">
        <v>21173</v>
      </c>
      <c r="C1671" s="261" t="s">
        <v>19026</v>
      </c>
      <c r="D1671" s="261" t="s">
        <v>18588</v>
      </c>
      <c r="E1671" s="261">
        <v>4</v>
      </c>
      <c r="F1671" s="261" t="s">
        <v>20949</v>
      </c>
      <c r="G1671" s="261"/>
      <c r="H1671" s="261"/>
      <c r="I1671" s="261" t="s">
        <v>122</v>
      </c>
      <c r="J1671" s="261" t="s">
        <v>19600</v>
      </c>
      <c r="K1671" s="262">
        <v>20</v>
      </c>
    </row>
    <row r="1672" spans="1:11" x14ac:dyDescent="0.2">
      <c r="A1672" s="306" t="s">
        <v>21173</v>
      </c>
      <c r="B1672" s="261" t="s">
        <v>21173</v>
      </c>
      <c r="C1672" s="261" t="s">
        <v>19026</v>
      </c>
      <c r="D1672" s="261" t="s">
        <v>18588</v>
      </c>
      <c r="E1672" s="261">
        <v>5</v>
      </c>
      <c r="F1672" s="261" t="s">
        <v>20950</v>
      </c>
      <c r="G1672" s="261"/>
      <c r="H1672" s="261"/>
      <c r="I1672" s="261" t="s">
        <v>122</v>
      </c>
      <c r="J1672" s="261" t="s">
        <v>19603</v>
      </c>
      <c r="K1672" s="262">
        <v>20</v>
      </c>
    </row>
    <row r="1673" spans="1:11" x14ac:dyDescent="0.2">
      <c r="A1673" s="306" t="s">
        <v>21173</v>
      </c>
      <c r="B1673" s="261" t="s">
        <v>21173</v>
      </c>
      <c r="C1673" s="261" t="s">
        <v>19026</v>
      </c>
      <c r="D1673" s="261" t="s">
        <v>18588</v>
      </c>
      <c r="E1673" s="261">
        <v>6</v>
      </c>
      <c r="F1673" s="261" t="s">
        <v>21069</v>
      </c>
      <c r="G1673" s="261"/>
      <c r="H1673" s="261"/>
      <c r="I1673" s="261" t="s">
        <v>122</v>
      </c>
      <c r="J1673" s="261" t="s">
        <v>19601</v>
      </c>
      <c r="K1673" s="262">
        <v>20</v>
      </c>
    </row>
    <row r="1674" spans="1:11" x14ac:dyDescent="0.2">
      <c r="A1674" s="306" t="s">
        <v>21173</v>
      </c>
      <c r="B1674" s="261" t="s">
        <v>21173</v>
      </c>
      <c r="C1674" s="261" t="s">
        <v>19026</v>
      </c>
      <c r="D1674" s="261" t="s">
        <v>18588</v>
      </c>
      <c r="E1674" s="261">
        <v>7</v>
      </c>
      <c r="F1674" s="261" t="s">
        <v>20952</v>
      </c>
      <c r="G1674" s="261"/>
      <c r="H1674" s="261"/>
      <c r="I1674" s="261" t="s">
        <v>122</v>
      </c>
      <c r="J1674" s="261" t="s">
        <v>19604</v>
      </c>
      <c r="K1674" s="262">
        <v>20</v>
      </c>
    </row>
    <row r="1675" spans="1:11" x14ac:dyDescent="0.2">
      <c r="A1675" s="306" t="s">
        <v>21173</v>
      </c>
      <c r="B1675" s="261" t="s">
        <v>21173</v>
      </c>
      <c r="C1675" s="261" t="s">
        <v>19026</v>
      </c>
      <c r="D1675" s="261" t="s">
        <v>18588</v>
      </c>
      <c r="E1675" s="261">
        <v>8</v>
      </c>
      <c r="F1675" s="261" t="s">
        <v>21070</v>
      </c>
      <c r="G1675" s="261"/>
      <c r="H1675" s="261"/>
      <c r="I1675" s="261" t="s">
        <v>122</v>
      </c>
      <c r="J1675" s="261" t="s">
        <v>19602</v>
      </c>
      <c r="K1675" s="262">
        <v>20</v>
      </c>
    </row>
    <row r="1676" spans="1:11" x14ac:dyDescent="0.2">
      <c r="A1676" s="306" t="s">
        <v>21173</v>
      </c>
      <c r="B1676" s="261" t="s">
        <v>21173</v>
      </c>
      <c r="C1676" s="261" t="s">
        <v>19026</v>
      </c>
      <c r="D1676" s="261" t="s">
        <v>18588</v>
      </c>
      <c r="E1676" s="261">
        <v>9</v>
      </c>
      <c r="F1676" s="261" t="s">
        <v>21071</v>
      </c>
      <c r="G1676" s="261"/>
      <c r="H1676" s="261"/>
      <c r="I1676" s="261" t="s">
        <v>10772</v>
      </c>
      <c r="J1676" s="261" t="s">
        <v>19618</v>
      </c>
      <c r="K1676" s="262">
        <v>100</v>
      </c>
    </row>
    <row r="1677" spans="1:11" x14ac:dyDescent="0.2">
      <c r="A1677" s="306" t="s">
        <v>20368</v>
      </c>
      <c r="B1677" s="261" t="s">
        <v>20368</v>
      </c>
      <c r="C1677" s="261" t="s">
        <v>14320</v>
      </c>
      <c r="D1677" s="261" t="s">
        <v>18017</v>
      </c>
      <c r="E1677" s="261">
        <v>1</v>
      </c>
      <c r="F1677" s="261" t="s">
        <v>19688</v>
      </c>
      <c r="G1677" s="261" t="s">
        <v>14321</v>
      </c>
      <c r="H1677" s="261" t="s">
        <v>14322</v>
      </c>
      <c r="I1677" s="261"/>
      <c r="J1677" s="261"/>
      <c r="K1677" s="262"/>
    </row>
    <row r="1678" spans="1:11" x14ac:dyDescent="0.2">
      <c r="A1678" s="306" t="s">
        <v>20368</v>
      </c>
      <c r="B1678" s="261" t="s">
        <v>19045</v>
      </c>
      <c r="C1678" s="261" t="s">
        <v>14320</v>
      </c>
      <c r="D1678" s="261" t="s">
        <v>18017</v>
      </c>
      <c r="E1678" s="261">
        <v>2</v>
      </c>
      <c r="F1678" s="261" t="s">
        <v>21174</v>
      </c>
      <c r="G1678" s="261" t="s">
        <v>2073</v>
      </c>
      <c r="H1678" s="261" t="s">
        <v>2074</v>
      </c>
      <c r="I1678" s="261"/>
      <c r="J1678" s="261"/>
      <c r="K1678" s="262"/>
    </row>
    <row r="1679" spans="1:11" x14ac:dyDescent="0.2">
      <c r="A1679" s="306" t="s">
        <v>20368</v>
      </c>
      <c r="B1679" s="261" t="s">
        <v>19049</v>
      </c>
      <c r="C1679" s="261" t="s">
        <v>14320</v>
      </c>
      <c r="D1679" s="261" t="s">
        <v>18017</v>
      </c>
      <c r="E1679" s="261">
        <v>3</v>
      </c>
      <c r="F1679" s="261" t="s">
        <v>21175</v>
      </c>
      <c r="G1679" s="261" t="s">
        <v>14324</v>
      </c>
      <c r="H1679" s="261" t="s">
        <v>14325</v>
      </c>
      <c r="I1679" s="261"/>
      <c r="J1679" s="261"/>
      <c r="K1679" s="262"/>
    </row>
    <row r="1680" spans="1:11" x14ac:dyDescent="0.2">
      <c r="A1680" s="306" t="s">
        <v>20368</v>
      </c>
      <c r="B1680" s="261" t="s">
        <v>19052</v>
      </c>
      <c r="C1680" s="261" t="s">
        <v>14320</v>
      </c>
      <c r="D1680" s="261" t="s">
        <v>18017</v>
      </c>
      <c r="E1680" s="261">
        <v>4</v>
      </c>
      <c r="F1680" s="261" t="s">
        <v>21176</v>
      </c>
      <c r="G1680" s="261" t="s">
        <v>1185</v>
      </c>
      <c r="H1680" s="261" t="s">
        <v>1186</v>
      </c>
      <c r="I1680" s="261"/>
      <c r="J1680" s="261"/>
      <c r="K1680" s="262"/>
    </row>
    <row r="1681" spans="1:11" x14ac:dyDescent="0.2">
      <c r="A1681" s="306" t="s">
        <v>20368</v>
      </c>
      <c r="B1681" s="261" t="s">
        <v>19054</v>
      </c>
      <c r="C1681" s="261" t="s">
        <v>14320</v>
      </c>
      <c r="D1681" s="261" t="s">
        <v>18017</v>
      </c>
      <c r="E1681" s="261">
        <v>5</v>
      </c>
      <c r="F1681" s="261" t="s">
        <v>21177</v>
      </c>
      <c r="G1681" s="261" t="s">
        <v>14317</v>
      </c>
      <c r="H1681" s="261" t="s">
        <v>14318</v>
      </c>
      <c r="I1681" s="261"/>
      <c r="J1681" s="261"/>
      <c r="K1681" s="262"/>
    </row>
    <row r="1682" spans="1:11" x14ac:dyDescent="0.2">
      <c r="A1682" s="306" t="s">
        <v>20368</v>
      </c>
      <c r="B1682" s="261" t="s">
        <v>20368</v>
      </c>
      <c r="C1682" s="261" t="s">
        <v>14320</v>
      </c>
      <c r="D1682" s="261" t="s">
        <v>18017</v>
      </c>
      <c r="E1682" s="261">
        <v>6</v>
      </c>
      <c r="F1682" s="261" t="s">
        <v>20868</v>
      </c>
      <c r="G1682" s="261"/>
      <c r="H1682" s="261"/>
      <c r="I1682" s="261" t="s">
        <v>1947</v>
      </c>
      <c r="J1682" s="261" t="s">
        <v>19599</v>
      </c>
      <c r="K1682" s="262">
        <v>20</v>
      </c>
    </row>
    <row r="1683" spans="1:11" x14ac:dyDescent="0.2">
      <c r="A1683" s="306" t="s">
        <v>20368</v>
      </c>
      <c r="B1683" s="261" t="s">
        <v>20368</v>
      </c>
      <c r="C1683" s="261" t="s">
        <v>14320</v>
      </c>
      <c r="D1683" s="261" t="s">
        <v>18017</v>
      </c>
      <c r="E1683" s="261">
        <v>7</v>
      </c>
      <c r="F1683" s="261" t="s">
        <v>20869</v>
      </c>
      <c r="G1683" s="261"/>
      <c r="H1683" s="261"/>
      <c r="I1683" s="261" t="s">
        <v>1947</v>
      </c>
      <c r="J1683" s="261" t="s">
        <v>19600</v>
      </c>
      <c r="K1683" s="262">
        <v>20</v>
      </c>
    </row>
    <row r="1684" spans="1:11" x14ac:dyDescent="0.2">
      <c r="A1684" s="306" t="s">
        <v>20368</v>
      </c>
      <c r="B1684" s="261" t="s">
        <v>20368</v>
      </c>
      <c r="C1684" s="261" t="s">
        <v>14320</v>
      </c>
      <c r="D1684" s="261" t="s">
        <v>18017</v>
      </c>
      <c r="E1684" s="261">
        <v>8</v>
      </c>
      <c r="F1684" s="261" t="s">
        <v>20870</v>
      </c>
      <c r="G1684" s="261"/>
      <c r="H1684" s="261"/>
      <c r="I1684" s="261" t="s">
        <v>1947</v>
      </c>
      <c r="J1684" s="261" t="s">
        <v>19603</v>
      </c>
      <c r="K1684" s="262">
        <v>20</v>
      </c>
    </row>
    <row r="1685" spans="1:11" x14ac:dyDescent="0.2">
      <c r="A1685" s="306" t="s">
        <v>20368</v>
      </c>
      <c r="B1685" s="261" t="s">
        <v>20368</v>
      </c>
      <c r="C1685" s="261" t="s">
        <v>14320</v>
      </c>
      <c r="D1685" s="261" t="s">
        <v>18017</v>
      </c>
      <c r="E1685" s="261">
        <v>9</v>
      </c>
      <c r="F1685" s="261" t="s">
        <v>20871</v>
      </c>
      <c r="G1685" s="261"/>
      <c r="H1685" s="261"/>
      <c r="I1685" s="261" t="s">
        <v>1947</v>
      </c>
      <c r="J1685" s="261" t="s">
        <v>19601</v>
      </c>
      <c r="K1685" s="262">
        <v>20</v>
      </c>
    </row>
    <row r="1686" spans="1:11" x14ac:dyDescent="0.2">
      <c r="A1686" s="306" t="s">
        <v>20368</v>
      </c>
      <c r="B1686" s="261" t="s">
        <v>20368</v>
      </c>
      <c r="C1686" s="261" t="s">
        <v>14320</v>
      </c>
      <c r="D1686" s="261" t="s">
        <v>18017</v>
      </c>
      <c r="E1686" s="261">
        <v>10</v>
      </c>
      <c r="F1686" s="261" t="s">
        <v>20872</v>
      </c>
      <c r="G1686" s="261"/>
      <c r="H1686" s="261"/>
      <c r="I1686" s="261" t="s">
        <v>1947</v>
      </c>
      <c r="J1686" s="261" t="s">
        <v>19604</v>
      </c>
      <c r="K1686" s="262">
        <v>20</v>
      </c>
    </row>
    <row r="1687" spans="1:11" x14ac:dyDescent="0.2">
      <c r="A1687" s="306" t="s">
        <v>20368</v>
      </c>
      <c r="B1687" s="261" t="s">
        <v>20368</v>
      </c>
      <c r="C1687" s="261" t="s">
        <v>14320</v>
      </c>
      <c r="D1687" s="261" t="s">
        <v>18017</v>
      </c>
      <c r="E1687" s="261">
        <v>11</v>
      </c>
      <c r="F1687" s="261" t="s">
        <v>20873</v>
      </c>
      <c r="G1687" s="261"/>
      <c r="H1687" s="261"/>
      <c r="I1687" s="261" t="s">
        <v>1947</v>
      </c>
      <c r="J1687" s="261" t="s">
        <v>19602</v>
      </c>
      <c r="K1687" s="262">
        <v>20</v>
      </c>
    </row>
    <row r="1688" spans="1:11" x14ac:dyDescent="0.2">
      <c r="A1688" s="306" t="s">
        <v>20368</v>
      </c>
      <c r="B1688" s="261" t="s">
        <v>20368</v>
      </c>
      <c r="C1688" s="261" t="s">
        <v>14320</v>
      </c>
      <c r="D1688" s="261" t="s">
        <v>18017</v>
      </c>
      <c r="E1688" s="261">
        <v>12</v>
      </c>
      <c r="F1688" s="261" t="s">
        <v>20874</v>
      </c>
      <c r="G1688" s="261"/>
      <c r="H1688" s="261"/>
      <c r="I1688" s="261" t="s">
        <v>10772</v>
      </c>
      <c r="J1688" s="261" t="s">
        <v>19618</v>
      </c>
      <c r="K1688" s="262">
        <v>100</v>
      </c>
    </row>
    <row r="1689" spans="1:11" x14ac:dyDescent="0.2">
      <c r="A1689" s="306" t="s">
        <v>20514</v>
      </c>
      <c r="B1689" s="261" t="s">
        <v>20514</v>
      </c>
      <c r="C1689" s="261" t="s">
        <v>14583</v>
      </c>
      <c r="D1689" s="261" t="s">
        <v>18017</v>
      </c>
      <c r="E1689" s="261">
        <v>1</v>
      </c>
      <c r="F1689" s="261" t="s">
        <v>20868</v>
      </c>
      <c r="G1689" s="261"/>
      <c r="H1689" s="261"/>
      <c r="I1689" s="261" t="s">
        <v>3779</v>
      </c>
      <c r="J1689" s="261" t="s">
        <v>19599</v>
      </c>
      <c r="K1689" s="262">
        <v>20</v>
      </c>
    </row>
    <row r="1690" spans="1:11" x14ac:dyDescent="0.2">
      <c r="A1690" s="306" t="s">
        <v>20514</v>
      </c>
      <c r="B1690" s="261" t="s">
        <v>20514</v>
      </c>
      <c r="C1690" s="261" t="s">
        <v>14583</v>
      </c>
      <c r="D1690" s="261" t="s">
        <v>18017</v>
      </c>
      <c r="E1690" s="261">
        <v>2</v>
      </c>
      <c r="F1690" s="261" t="s">
        <v>19688</v>
      </c>
      <c r="G1690" s="261" t="s">
        <v>14581</v>
      </c>
      <c r="H1690" s="261" t="s">
        <v>14582</v>
      </c>
      <c r="I1690" s="261"/>
      <c r="J1690" s="261"/>
      <c r="K1690" s="262"/>
    </row>
    <row r="1691" spans="1:11" x14ac:dyDescent="0.2">
      <c r="A1691" s="306" t="s">
        <v>20514</v>
      </c>
      <c r="B1691" s="261" t="s">
        <v>19066</v>
      </c>
      <c r="C1691" s="261" t="s">
        <v>14583</v>
      </c>
      <c r="D1691" s="261" t="s">
        <v>18017</v>
      </c>
      <c r="E1691" s="261">
        <v>3</v>
      </c>
      <c r="F1691" s="261" t="s">
        <v>21178</v>
      </c>
      <c r="G1691" s="261" t="s">
        <v>1810</v>
      </c>
      <c r="H1691" s="261" t="s">
        <v>1811</v>
      </c>
      <c r="I1691" s="261"/>
      <c r="J1691" s="261"/>
      <c r="K1691" s="262"/>
    </row>
    <row r="1692" spans="1:11" x14ac:dyDescent="0.2">
      <c r="A1692" s="306" t="s">
        <v>20514</v>
      </c>
      <c r="B1692" s="261" t="s">
        <v>19074</v>
      </c>
      <c r="C1692" s="261" t="s">
        <v>14583</v>
      </c>
      <c r="D1692" s="261" t="s">
        <v>18017</v>
      </c>
      <c r="E1692" s="261">
        <v>4</v>
      </c>
      <c r="F1692" s="261" t="s">
        <v>21179</v>
      </c>
      <c r="G1692" s="261" t="s">
        <v>2611</v>
      </c>
      <c r="H1692" s="261" t="s">
        <v>2612</v>
      </c>
      <c r="I1692" s="261"/>
      <c r="J1692" s="261"/>
      <c r="K1692" s="262"/>
    </row>
    <row r="1693" spans="1:11" x14ac:dyDescent="0.2">
      <c r="A1693" s="306" t="s">
        <v>20514</v>
      </c>
      <c r="B1693" s="261" t="s">
        <v>20514</v>
      </c>
      <c r="C1693" s="261" t="s">
        <v>14583</v>
      </c>
      <c r="D1693" s="261" t="s">
        <v>18017</v>
      </c>
      <c r="E1693" s="261">
        <v>5</v>
      </c>
      <c r="F1693" s="261" t="s">
        <v>20869</v>
      </c>
      <c r="G1693" s="261"/>
      <c r="H1693" s="261"/>
      <c r="I1693" s="261" t="s">
        <v>3779</v>
      </c>
      <c r="J1693" s="261" t="s">
        <v>19600</v>
      </c>
      <c r="K1693" s="262">
        <v>20</v>
      </c>
    </row>
    <row r="1694" spans="1:11" x14ac:dyDescent="0.2">
      <c r="A1694" s="306" t="s">
        <v>20514</v>
      </c>
      <c r="B1694" s="261" t="s">
        <v>20514</v>
      </c>
      <c r="C1694" s="261" t="s">
        <v>14583</v>
      </c>
      <c r="D1694" s="261" t="s">
        <v>18017</v>
      </c>
      <c r="E1694" s="261">
        <v>6</v>
      </c>
      <c r="F1694" s="261" t="s">
        <v>20870</v>
      </c>
      <c r="G1694" s="261"/>
      <c r="H1694" s="261"/>
      <c r="I1694" s="261" t="s">
        <v>3779</v>
      </c>
      <c r="J1694" s="261" t="s">
        <v>19603</v>
      </c>
      <c r="K1694" s="262">
        <v>20</v>
      </c>
    </row>
    <row r="1695" spans="1:11" x14ac:dyDescent="0.2">
      <c r="A1695" s="306" t="s">
        <v>20514</v>
      </c>
      <c r="B1695" s="261" t="s">
        <v>20514</v>
      </c>
      <c r="C1695" s="261" t="s">
        <v>14583</v>
      </c>
      <c r="D1695" s="261" t="s">
        <v>18017</v>
      </c>
      <c r="E1695" s="261">
        <v>7</v>
      </c>
      <c r="F1695" s="261" t="s">
        <v>20871</v>
      </c>
      <c r="G1695" s="261"/>
      <c r="H1695" s="261"/>
      <c r="I1695" s="261" t="s">
        <v>3779</v>
      </c>
      <c r="J1695" s="261" t="s">
        <v>19601</v>
      </c>
      <c r="K1695" s="262">
        <v>20</v>
      </c>
    </row>
    <row r="1696" spans="1:11" x14ac:dyDescent="0.2">
      <c r="A1696" s="306" t="s">
        <v>20514</v>
      </c>
      <c r="B1696" s="261" t="s">
        <v>20514</v>
      </c>
      <c r="C1696" s="261" t="s">
        <v>14583</v>
      </c>
      <c r="D1696" s="261" t="s">
        <v>18017</v>
      </c>
      <c r="E1696" s="261">
        <v>8</v>
      </c>
      <c r="F1696" s="261" t="s">
        <v>20872</v>
      </c>
      <c r="G1696" s="261"/>
      <c r="H1696" s="261"/>
      <c r="I1696" s="261" t="s">
        <v>3779</v>
      </c>
      <c r="J1696" s="261" t="s">
        <v>19604</v>
      </c>
      <c r="K1696" s="262">
        <v>20</v>
      </c>
    </row>
    <row r="1697" spans="1:11" x14ac:dyDescent="0.2">
      <c r="A1697" s="306" t="s">
        <v>20514</v>
      </c>
      <c r="B1697" s="261" t="s">
        <v>20514</v>
      </c>
      <c r="C1697" s="261" t="s">
        <v>14583</v>
      </c>
      <c r="D1697" s="261" t="s">
        <v>18017</v>
      </c>
      <c r="E1697" s="261">
        <v>9</v>
      </c>
      <c r="F1697" s="261" t="s">
        <v>20873</v>
      </c>
      <c r="G1697" s="261"/>
      <c r="H1697" s="261"/>
      <c r="I1697" s="261" t="s">
        <v>3779</v>
      </c>
      <c r="J1697" s="261" t="s">
        <v>19602</v>
      </c>
      <c r="K1697" s="262">
        <v>20</v>
      </c>
    </row>
    <row r="1698" spans="1:11" x14ac:dyDescent="0.2">
      <c r="A1698" s="306" t="s">
        <v>20514</v>
      </c>
      <c r="B1698" s="261" t="s">
        <v>20514</v>
      </c>
      <c r="C1698" s="261" t="s">
        <v>14583</v>
      </c>
      <c r="D1698" s="261" t="s">
        <v>18017</v>
      </c>
      <c r="E1698" s="261">
        <v>10</v>
      </c>
      <c r="F1698" s="261" t="s">
        <v>20874</v>
      </c>
      <c r="G1698" s="261"/>
      <c r="H1698" s="261"/>
      <c r="I1698" s="261" t="s">
        <v>10772</v>
      </c>
      <c r="J1698" s="261" t="s">
        <v>19618</v>
      </c>
      <c r="K1698" s="262">
        <v>100</v>
      </c>
    </row>
    <row r="1699" spans="1:11" x14ac:dyDescent="0.2">
      <c r="A1699" s="306" t="s">
        <v>20371</v>
      </c>
      <c r="B1699" s="261" t="s">
        <v>20371</v>
      </c>
      <c r="C1699" s="261" t="s">
        <v>14328</v>
      </c>
      <c r="D1699" s="261" t="s">
        <v>18046</v>
      </c>
      <c r="E1699" s="261">
        <v>1</v>
      </c>
      <c r="F1699" s="261" t="s">
        <v>19688</v>
      </c>
      <c r="G1699" s="261" t="s">
        <v>20161</v>
      </c>
      <c r="H1699" s="261" t="s">
        <v>20162</v>
      </c>
      <c r="I1699" s="261"/>
      <c r="J1699" s="261"/>
      <c r="K1699" s="262"/>
    </row>
    <row r="1700" spans="1:11" x14ac:dyDescent="0.2">
      <c r="A1700" s="306" t="s">
        <v>20371</v>
      </c>
      <c r="B1700" s="261" t="s">
        <v>20371</v>
      </c>
      <c r="C1700" s="261" t="s">
        <v>14328</v>
      </c>
      <c r="D1700" s="261" t="s">
        <v>18046</v>
      </c>
      <c r="E1700" s="261">
        <v>1</v>
      </c>
      <c r="F1700" s="261" t="s">
        <v>19688</v>
      </c>
      <c r="G1700" s="261" t="s">
        <v>14326</v>
      </c>
      <c r="H1700" s="261" t="s">
        <v>14327</v>
      </c>
      <c r="I1700" s="261"/>
      <c r="J1700" s="261"/>
      <c r="K1700" s="262"/>
    </row>
    <row r="1701" spans="1:11" x14ac:dyDescent="0.2">
      <c r="A1701" s="306" t="s">
        <v>20371</v>
      </c>
      <c r="B1701" s="261" t="s">
        <v>20371</v>
      </c>
      <c r="C1701" s="261" t="s">
        <v>14328</v>
      </c>
      <c r="D1701" s="261" t="s">
        <v>18046</v>
      </c>
      <c r="E1701" s="261">
        <v>2</v>
      </c>
      <c r="F1701" s="261" t="s">
        <v>20882</v>
      </c>
      <c r="G1701" s="261"/>
      <c r="H1701" s="261"/>
      <c r="I1701" s="261"/>
      <c r="J1701" s="261" t="s">
        <v>21180</v>
      </c>
      <c r="K1701" s="262">
        <v>7</v>
      </c>
    </row>
    <row r="1702" spans="1:11" x14ac:dyDescent="0.2">
      <c r="A1702" s="306" t="s">
        <v>20371</v>
      </c>
      <c r="B1702" s="261" t="s">
        <v>20371</v>
      </c>
      <c r="C1702" s="261" t="s">
        <v>14328</v>
      </c>
      <c r="D1702" s="261" t="s">
        <v>18046</v>
      </c>
      <c r="E1702" s="261">
        <v>3</v>
      </c>
      <c r="F1702" s="261" t="s">
        <v>20884</v>
      </c>
      <c r="G1702" s="261"/>
      <c r="H1702" s="261"/>
      <c r="I1702" s="261"/>
      <c r="J1702" s="261" t="s">
        <v>21180</v>
      </c>
      <c r="K1702" s="262">
        <v>7</v>
      </c>
    </row>
    <row r="1703" spans="1:11" x14ac:dyDescent="0.2">
      <c r="A1703" s="306" t="s">
        <v>20371</v>
      </c>
      <c r="B1703" s="261" t="s">
        <v>20371</v>
      </c>
      <c r="C1703" s="261" t="s">
        <v>14328</v>
      </c>
      <c r="D1703" s="261" t="s">
        <v>18046</v>
      </c>
      <c r="E1703" s="261">
        <v>4</v>
      </c>
      <c r="F1703" s="261" t="s">
        <v>20868</v>
      </c>
      <c r="G1703" s="261"/>
      <c r="H1703" s="261"/>
      <c r="I1703" s="261"/>
      <c r="J1703" s="261" t="s">
        <v>21180</v>
      </c>
      <c r="K1703" s="262">
        <v>7</v>
      </c>
    </row>
    <row r="1704" spans="1:11" x14ac:dyDescent="0.2">
      <c r="A1704" s="306" t="s">
        <v>20371</v>
      </c>
      <c r="B1704" s="261" t="s">
        <v>19082</v>
      </c>
      <c r="C1704" s="261" t="s">
        <v>14328</v>
      </c>
      <c r="D1704" s="261" t="s">
        <v>18046</v>
      </c>
      <c r="E1704" s="261">
        <v>4</v>
      </c>
      <c r="F1704" s="261" t="s">
        <v>21181</v>
      </c>
      <c r="G1704" s="261" t="s">
        <v>4268</v>
      </c>
      <c r="H1704" s="261" t="s">
        <v>4269</v>
      </c>
      <c r="I1704" s="261"/>
      <c r="J1704" s="261"/>
      <c r="K1704" s="262"/>
    </row>
    <row r="1705" spans="1:11" x14ac:dyDescent="0.2">
      <c r="A1705" s="306" t="s">
        <v>20371</v>
      </c>
      <c r="B1705" s="261" t="s">
        <v>20371</v>
      </c>
      <c r="C1705" s="261" t="s">
        <v>14328</v>
      </c>
      <c r="D1705" s="261" t="s">
        <v>18046</v>
      </c>
      <c r="E1705" s="261">
        <v>5</v>
      </c>
      <c r="F1705" s="261" t="s">
        <v>20885</v>
      </c>
      <c r="G1705" s="261"/>
      <c r="H1705" s="261"/>
      <c r="I1705" s="261"/>
      <c r="J1705" s="261" t="s">
        <v>21180</v>
      </c>
      <c r="K1705" s="262">
        <v>7</v>
      </c>
    </row>
    <row r="1706" spans="1:11" x14ac:dyDescent="0.2">
      <c r="A1706" s="306" t="s">
        <v>20371</v>
      </c>
      <c r="B1706" s="261" t="s">
        <v>20371</v>
      </c>
      <c r="C1706" s="261" t="s">
        <v>14328</v>
      </c>
      <c r="D1706" s="261" t="s">
        <v>18046</v>
      </c>
      <c r="E1706" s="261">
        <v>6</v>
      </c>
      <c r="F1706" s="261" t="s">
        <v>20886</v>
      </c>
      <c r="G1706" s="261"/>
      <c r="H1706" s="261"/>
      <c r="I1706" s="261"/>
      <c r="J1706" s="261" t="s">
        <v>21180</v>
      </c>
      <c r="K1706" s="262">
        <v>6</v>
      </c>
    </row>
    <row r="1707" spans="1:11" x14ac:dyDescent="0.2">
      <c r="A1707" s="306" t="s">
        <v>20371</v>
      </c>
      <c r="B1707" s="261" t="s">
        <v>19085</v>
      </c>
      <c r="C1707" s="261" t="s">
        <v>14328</v>
      </c>
      <c r="D1707" s="261" t="s">
        <v>18046</v>
      </c>
      <c r="E1707" s="261">
        <v>6</v>
      </c>
      <c r="F1707" s="261" t="s">
        <v>21182</v>
      </c>
      <c r="G1707" s="261" t="s">
        <v>3714</v>
      </c>
      <c r="H1707" s="261" t="s">
        <v>3715</v>
      </c>
      <c r="I1707" s="261"/>
      <c r="J1707" s="261"/>
      <c r="K1707" s="262"/>
    </row>
    <row r="1708" spans="1:11" x14ac:dyDescent="0.2">
      <c r="A1708" s="306" t="s">
        <v>20371</v>
      </c>
      <c r="B1708" s="261" t="s">
        <v>20371</v>
      </c>
      <c r="C1708" s="261" t="s">
        <v>14328</v>
      </c>
      <c r="D1708" s="261" t="s">
        <v>18046</v>
      </c>
      <c r="E1708" s="261">
        <v>7</v>
      </c>
      <c r="F1708" s="261" t="s">
        <v>20870</v>
      </c>
      <c r="G1708" s="261"/>
      <c r="H1708" s="261"/>
      <c r="I1708" s="261" t="s">
        <v>2837</v>
      </c>
      <c r="J1708" s="261" t="s">
        <v>19599</v>
      </c>
      <c r="K1708" s="262">
        <v>20</v>
      </c>
    </row>
    <row r="1709" spans="1:11" x14ac:dyDescent="0.2">
      <c r="A1709" s="306" t="s">
        <v>20371</v>
      </c>
      <c r="B1709" s="261" t="s">
        <v>19086</v>
      </c>
      <c r="C1709" s="261" t="s">
        <v>14328</v>
      </c>
      <c r="D1709" s="261" t="s">
        <v>18046</v>
      </c>
      <c r="E1709" s="261">
        <v>7</v>
      </c>
      <c r="F1709" s="261" t="s">
        <v>21183</v>
      </c>
      <c r="G1709" s="261" t="s">
        <v>14329</v>
      </c>
      <c r="H1709" s="261" t="s">
        <v>14330</v>
      </c>
      <c r="I1709" s="261"/>
      <c r="J1709" s="261"/>
      <c r="K1709" s="262"/>
    </row>
    <row r="1710" spans="1:11" x14ac:dyDescent="0.2">
      <c r="A1710" s="306" t="s">
        <v>20371</v>
      </c>
      <c r="B1710" s="261" t="s">
        <v>20371</v>
      </c>
      <c r="C1710" s="261" t="s">
        <v>14328</v>
      </c>
      <c r="D1710" s="261" t="s">
        <v>18046</v>
      </c>
      <c r="E1710" s="261">
        <v>8</v>
      </c>
      <c r="F1710" s="261" t="s">
        <v>20888</v>
      </c>
      <c r="G1710" s="261"/>
      <c r="H1710" s="261"/>
      <c r="I1710" s="261" t="s">
        <v>2837</v>
      </c>
      <c r="J1710" s="261" t="s">
        <v>19603</v>
      </c>
      <c r="K1710" s="262">
        <v>20</v>
      </c>
    </row>
    <row r="1711" spans="1:11" x14ac:dyDescent="0.2">
      <c r="A1711" s="306" t="s">
        <v>20371</v>
      </c>
      <c r="B1711" s="261" t="s">
        <v>20371</v>
      </c>
      <c r="C1711" s="261" t="s">
        <v>14328</v>
      </c>
      <c r="D1711" s="261" t="s">
        <v>18046</v>
      </c>
      <c r="E1711" s="261">
        <v>9</v>
      </c>
      <c r="F1711" s="261" t="s">
        <v>21184</v>
      </c>
      <c r="G1711" s="261"/>
      <c r="H1711" s="261"/>
      <c r="I1711" s="261" t="s">
        <v>2837</v>
      </c>
      <c r="J1711" s="261" t="s">
        <v>19600</v>
      </c>
      <c r="K1711" s="262">
        <v>20</v>
      </c>
    </row>
    <row r="1712" spans="1:11" x14ac:dyDescent="0.2">
      <c r="A1712" s="306" t="s">
        <v>20371</v>
      </c>
      <c r="B1712" s="261" t="s">
        <v>20371</v>
      </c>
      <c r="C1712" s="261" t="s">
        <v>14328</v>
      </c>
      <c r="D1712" s="261" t="s">
        <v>18046</v>
      </c>
      <c r="E1712" s="261">
        <v>10</v>
      </c>
      <c r="F1712" s="261" t="s">
        <v>20872</v>
      </c>
      <c r="G1712" s="261"/>
      <c r="H1712" s="261"/>
      <c r="I1712" s="261" t="s">
        <v>2837</v>
      </c>
      <c r="J1712" s="261" t="s">
        <v>19601</v>
      </c>
      <c r="K1712" s="262">
        <v>20</v>
      </c>
    </row>
    <row r="1713" spans="1:11" x14ac:dyDescent="0.2">
      <c r="A1713" s="306" t="s">
        <v>20371</v>
      </c>
      <c r="B1713" s="261" t="s">
        <v>20371</v>
      </c>
      <c r="C1713" s="261" t="s">
        <v>14328</v>
      </c>
      <c r="D1713" s="261" t="s">
        <v>18046</v>
      </c>
      <c r="E1713" s="261">
        <v>11</v>
      </c>
      <c r="F1713" s="261" t="s">
        <v>20889</v>
      </c>
      <c r="G1713" s="261"/>
      <c r="H1713" s="261"/>
      <c r="I1713" s="261" t="s">
        <v>2837</v>
      </c>
      <c r="J1713" s="261" t="s">
        <v>19604</v>
      </c>
      <c r="K1713" s="262">
        <v>20</v>
      </c>
    </row>
    <row r="1714" spans="1:11" x14ac:dyDescent="0.2">
      <c r="A1714" s="306" t="s">
        <v>20371</v>
      </c>
      <c r="B1714" s="261" t="s">
        <v>20371</v>
      </c>
      <c r="C1714" s="261" t="s">
        <v>14328</v>
      </c>
      <c r="D1714" s="261" t="s">
        <v>18046</v>
      </c>
      <c r="E1714" s="261">
        <v>12</v>
      </c>
      <c r="F1714" s="261" t="s">
        <v>20890</v>
      </c>
      <c r="G1714" s="261"/>
      <c r="H1714" s="261"/>
      <c r="I1714" s="261" t="s">
        <v>2837</v>
      </c>
      <c r="J1714" s="261" t="s">
        <v>19602</v>
      </c>
      <c r="K1714" s="262">
        <v>20</v>
      </c>
    </row>
    <row r="1715" spans="1:11" x14ac:dyDescent="0.2">
      <c r="A1715" s="306" t="s">
        <v>20371</v>
      </c>
      <c r="B1715" s="261" t="s">
        <v>20371</v>
      </c>
      <c r="C1715" s="261" t="s">
        <v>14328</v>
      </c>
      <c r="D1715" s="261" t="s">
        <v>18046</v>
      </c>
      <c r="E1715" s="261">
        <v>13</v>
      </c>
      <c r="F1715" s="261" t="s">
        <v>20891</v>
      </c>
      <c r="G1715" s="261"/>
      <c r="H1715" s="261"/>
      <c r="I1715" s="261" t="s">
        <v>2837</v>
      </c>
      <c r="J1715" s="261" t="s">
        <v>19618</v>
      </c>
      <c r="K1715" s="262">
        <v>100</v>
      </c>
    </row>
    <row r="1716" spans="1:11" x14ac:dyDescent="0.2">
      <c r="A1716" s="306" t="s">
        <v>21185</v>
      </c>
      <c r="B1716" s="261" t="s">
        <v>19104</v>
      </c>
      <c r="C1716" s="261" t="s">
        <v>19090</v>
      </c>
      <c r="D1716" s="261" t="s">
        <v>18560</v>
      </c>
      <c r="E1716" s="261">
        <v>1</v>
      </c>
      <c r="F1716" s="261" t="s">
        <v>21067</v>
      </c>
      <c r="G1716" s="261" t="s">
        <v>2946</v>
      </c>
      <c r="H1716" s="261" t="s">
        <v>2947</v>
      </c>
      <c r="I1716" s="261"/>
      <c r="J1716" s="261"/>
      <c r="K1716" s="262"/>
    </row>
    <row r="1717" spans="1:11" x14ac:dyDescent="0.2">
      <c r="A1717" s="306" t="s">
        <v>21185</v>
      </c>
      <c r="B1717" s="261" t="s">
        <v>21185</v>
      </c>
      <c r="C1717" s="261" t="s">
        <v>19090</v>
      </c>
      <c r="D1717" s="261" t="s">
        <v>18560</v>
      </c>
      <c r="E1717" s="261">
        <v>2</v>
      </c>
      <c r="F1717" s="261" t="s">
        <v>20948</v>
      </c>
      <c r="G1717" s="261"/>
      <c r="H1717" s="261"/>
      <c r="I1717" s="261" t="s">
        <v>2837</v>
      </c>
      <c r="J1717" s="261" t="s">
        <v>19599</v>
      </c>
      <c r="K1717" s="262">
        <v>20</v>
      </c>
    </row>
    <row r="1718" spans="1:11" x14ac:dyDescent="0.2">
      <c r="A1718" s="306" t="s">
        <v>21185</v>
      </c>
      <c r="B1718" s="261" t="s">
        <v>21185</v>
      </c>
      <c r="C1718" s="261" t="s">
        <v>19090</v>
      </c>
      <c r="D1718" s="261" t="s">
        <v>18560</v>
      </c>
      <c r="E1718" s="261">
        <v>3</v>
      </c>
      <c r="F1718" s="261" t="s">
        <v>20949</v>
      </c>
      <c r="G1718" s="261"/>
      <c r="H1718" s="261"/>
      <c r="I1718" s="261" t="s">
        <v>2837</v>
      </c>
      <c r="J1718" s="261" t="s">
        <v>19600</v>
      </c>
      <c r="K1718" s="262">
        <v>20</v>
      </c>
    </row>
    <row r="1719" spans="1:11" x14ac:dyDescent="0.2">
      <c r="A1719" s="306" t="s">
        <v>21185</v>
      </c>
      <c r="B1719" s="261" t="s">
        <v>21185</v>
      </c>
      <c r="C1719" s="261" t="s">
        <v>19090</v>
      </c>
      <c r="D1719" s="261" t="s">
        <v>18560</v>
      </c>
      <c r="E1719" s="261">
        <v>4</v>
      </c>
      <c r="F1719" s="261" t="s">
        <v>20950</v>
      </c>
      <c r="G1719" s="261"/>
      <c r="H1719" s="261"/>
      <c r="I1719" s="261" t="s">
        <v>2837</v>
      </c>
      <c r="J1719" s="261" t="s">
        <v>19603</v>
      </c>
      <c r="K1719" s="262">
        <v>20</v>
      </c>
    </row>
    <row r="1720" spans="1:11" x14ac:dyDescent="0.2">
      <c r="A1720" s="306" t="s">
        <v>21185</v>
      </c>
      <c r="B1720" s="261" t="s">
        <v>21185</v>
      </c>
      <c r="C1720" s="261" t="s">
        <v>19090</v>
      </c>
      <c r="D1720" s="261" t="s">
        <v>18560</v>
      </c>
      <c r="E1720" s="261">
        <v>5</v>
      </c>
      <c r="F1720" s="261" t="s">
        <v>20951</v>
      </c>
      <c r="G1720" s="261"/>
      <c r="H1720" s="261"/>
      <c r="I1720" s="261" t="s">
        <v>2837</v>
      </c>
      <c r="J1720" s="261" t="s">
        <v>19601</v>
      </c>
      <c r="K1720" s="262">
        <v>20</v>
      </c>
    </row>
    <row r="1721" spans="1:11" x14ac:dyDescent="0.2">
      <c r="A1721" s="306" t="s">
        <v>21185</v>
      </c>
      <c r="B1721" s="261" t="s">
        <v>21185</v>
      </c>
      <c r="C1721" s="261" t="s">
        <v>19090</v>
      </c>
      <c r="D1721" s="261" t="s">
        <v>18560</v>
      </c>
      <c r="E1721" s="261">
        <v>6</v>
      </c>
      <c r="F1721" s="261" t="s">
        <v>20952</v>
      </c>
      <c r="G1721" s="261"/>
      <c r="H1721" s="261"/>
      <c r="I1721" s="261" t="s">
        <v>2837</v>
      </c>
      <c r="J1721" s="261" t="s">
        <v>19604</v>
      </c>
      <c r="K1721" s="262">
        <v>20</v>
      </c>
    </row>
    <row r="1722" spans="1:11" x14ac:dyDescent="0.2">
      <c r="A1722" s="306" t="s">
        <v>21185</v>
      </c>
      <c r="B1722" s="261" t="s">
        <v>21185</v>
      </c>
      <c r="C1722" s="261" t="s">
        <v>19090</v>
      </c>
      <c r="D1722" s="261" t="s">
        <v>18560</v>
      </c>
      <c r="E1722" s="261">
        <v>7</v>
      </c>
      <c r="F1722" s="261" t="s">
        <v>20953</v>
      </c>
      <c r="G1722" s="261"/>
      <c r="H1722" s="261"/>
      <c r="I1722" s="261" t="s">
        <v>2837</v>
      </c>
      <c r="J1722" s="261" t="s">
        <v>19602</v>
      </c>
      <c r="K1722" s="262">
        <v>20</v>
      </c>
    </row>
    <row r="1723" spans="1:11" x14ac:dyDescent="0.2">
      <c r="A1723" s="306" t="s">
        <v>21185</v>
      </c>
      <c r="B1723" s="261" t="s">
        <v>21185</v>
      </c>
      <c r="C1723" s="261" t="s">
        <v>19090</v>
      </c>
      <c r="D1723" s="261" t="s">
        <v>18560</v>
      </c>
      <c r="E1723" s="261">
        <v>8</v>
      </c>
      <c r="F1723" s="261" t="s">
        <v>20954</v>
      </c>
      <c r="G1723" s="261"/>
      <c r="H1723" s="261"/>
      <c r="I1723" s="261" t="s">
        <v>10772</v>
      </c>
      <c r="J1723" s="261" t="s">
        <v>19618</v>
      </c>
      <c r="K1723" s="262">
        <v>100</v>
      </c>
    </row>
    <row r="1724" spans="1:11" x14ac:dyDescent="0.2">
      <c r="A1724" s="306" t="s">
        <v>20517</v>
      </c>
      <c r="B1724" s="261" t="s">
        <v>20517</v>
      </c>
      <c r="C1724" s="261" t="s">
        <v>14333</v>
      </c>
      <c r="D1724" s="261" t="s">
        <v>18933</v>
      </c>
      <c r="E1724" s="261">
        <v>1</v>
      </c>
      <c r="F1724" s="261" t="s">
        <v>19688</v>
      </c>
      <c r="G1724" s="261" t="s">
        <v>14586</v>
      </c>
      <c r="H1724" s="261" t="s">
        <v>14587</v>
      </c>
      <c r="I1724" s="261"/>
      <c r="J1724" s="261"/>
      <c r="K1724" s="262"/>
    </row>
    <row r="1725" spans="1:11" x14ac:dyDescent="0.2">
      <c r="A1725" s="306" t="s">
        <v>20517</v>
      </c>
      <c r="B1725" s="261" t="s">
        <v>19108</v>
      </c>
      <c r="C1725" s="261" t="s">
        <v>14333</v>
      </c>
      <c r="D1725" s="261" t="s">
        <v>18933</v>
      </c>
      <c r="E1725" s="261">
        <v>2</v>
      </c>
      <c r="F1725" s="261" t="s">
        <v>21186</v>
      </c>
      <c r="G1725" s="261" t="s">
        <v>1048</v>
      </c>
      <c r="H1725" s="261" t="s">
        <v>1049</v>
      </c>
      <c r="I1725" s="261"/>
      <c r="J1725" s="261"/>
      <c r="K1725" s="262"/>
    </row>
    <row r="1726" spans="1:11" x14ac:dyDescent="0.2">
      <c r="A1726" s="306" t="s">
        <v>20517</v>
      </c>
      <c r="B1726" s="261" t="s">
        <v>19109</v>
      </c>
      <c r="C1726" s="261" t="s">
        <v>14333</v>
      </c>
      <c r="D1726" s="261" t="s">
        <v>18933</v>
      </c>
      <c r="E1726" s="261">
        <v>3</v>
      </c>
      <c r="F1726" s="261" t="s">
        <v>21187</v>
      </c>
      <c r="G1726" s="261" t="s">
        <v>14584</v>
      </c>
      <c r="H1726" s="261" t="s">
        <v>14585</v>
      </c>
      <c r="I1726" s="261"/>
      <c r="J1726" s="261"/>
      <c r="K1726" s="262"/>
    </row>
    <row r="1727" spans="1:11" x14ac:dyDescent="0.2">
      <c r="A1727" s="306" t="s">
        <v>20517</v>
      </c>
      <c r="B1727" s="261" t="s">
        <v>19110</v>
      </c>
      <c r="C1727" s="261" t="s">
        <v>14333</v>
      </c>
      <c r="D1727" s="261" t="s">
        <v>18933</v>
      </c>
      <c r="E1727" s="261">
        <v>4</v>
      </c>
      <c r="F1727" s="261" t="s">
        <v>21188</v>
      </c>
      <c r="G1727" s="261" t="s">
        <v>2191</v>
      </c>
      <c r="H1727" s="261" t="s">
        <v>2192</v>
      </c>
      <c r="I1727" s="261"/>
      <c r="J1727" s="261"/>
      <c r="K1727" s="262"/>
    </row>
    <row r="1728" spans="1:11" x14ac:dyDescent="0.2">
      <c r="A1728" s="306" t="s">
        <v>20517</v>
      </c>
      <c r="B1728" s="261" t="s">
        <v>19112</v>
      </c>
      <c r="C1728" s="261" t="s">
        <v>14333</v>
      </c>
      <c r="D1728" s="261" t="s">
        <v>18933</v>
      </c>
      <c r="E1728" s="261">
        <v>5</v>
      </c>
      <c r="F1728" s="261" t="s">
        <v>21189</v>
      </c>
      <c r="G1728" s="261" t="s">
        <v>14331</v>
      </c>
      <c r="H1728" s="261" t="s">
        <v>14332</v>
      </c>
      <c r="I1728" s="261"/>
      <c r="J1728" s="261"/>
      <c r="K1728" s="262"/>
    </row>
    <row r="1729" spans="1:11" x14ac:dyDescent="0.2">
      <c r="A1729" s="306" t="s">
        <v>20517</v>
      </c>
      <c r="B1729" s="261" t="s">
        <v>19113</v>
      </c>
      <c r="C1729" s="261" t="s">
        <v>14333</v>
      </c>
      <c r="D1729" s="261" t="s">
        <v>18933</v>
      </c>
      <c r="E1729" s="261">
        <v>6</v>
      </c>
      <c r="F1729" s="261" t="s">
        <v>21190</v>
      </c>
      <c r="G1729" s="261" t="s">
        <v>14334</v>
      </c>
      <c r="H1729" s="261" t="s">
        <v>14335</v>
      </c>
      <c r="I1729" s="261"/>
      <c r="J1729" s="261"/>
      <c r="K1729" s="262"/>
    </row>
    <row r="1730" spans="1:11" x14ac:dyDescent="0.2">
      <c r="A1730" s="306" t="s">
        <v>20517</v>
      </c>
      <c r="B1730" s="261" t="s">
        <v>20517</v>
      </c>
      <c r="C1730" s="261" t="s">
        <v>14333</v>
      </c>
      <c r="D1730" s="261" t="s">
        <v>18933</v>
      </c>
      <c r="E1730" s="261">
        <v>7</v>
      </c>
      <c r="F1730" s="261" t="s">
        <v>21149</v>
      </c>
      <c r="G1730" s="261"/>
      <c r="H1730" s="261"/>
      <c r="I1730" s="261" t="s">
        <v>122</v>
      </c>
      <c r="J1730" s="261" t="s">
        <v>19599</v>
      </c>
      <c r="K1730" s="262">
        <v>20</v>
      </c>
    </row>
    <row r="1731" spans="1:11" x14ac:dyDescent="0.2">
      <c r="A1731" s="306" t="s">
        <v>20517</v>
      </c>
      <c r="B1731" s="261" t="s">
        <v>20517</v>
      </c>
      <c r="C1731" s="261" t="s">
        <v>14333</v>
      </c>
      <c r="D1731" s="261" t="s">
        <v>18933</v>
      </c>
      <c r="E1731" s="261">
        <v>8</v>
      </c>
      <c r="F1731" s="261" t="s">
        <v>21150</v>
      </c>
      <c r="G1731" s="261"/>
      <c r="H1731" s="261"/>
      <c r="I1731" s="261" t="s">
        <v>122</v>
      </c>
      <c r="J1731" s="261" t="s">
        <v>19600</v>
      </c>
      <c r="K1731" s="262">
        <v>20</v>
      </c>
    </row>
    <row r="1732" spans="1:11" x14ac:dyDescent="0.2">
      <c r="A1732" s="306" t="s">
        <v>20517</v>
      </c>
      <c r="B1732" s="261" t="s">
        <v>20517</v>
      </c>
      <c r="C1732" s="261" t="s">
        <v>14333</v>
      </c>
      <c r="D1732" s="261" t="s">
        <v>18933</v>
      </c>
      <c r="E1732" s="261">
        <v>9</v>
      </c>
      <c r="F1732" s="261" t="s">
        <v>21151</v>
      </c>
      <c r="G1732" s="261"/>
      <c r="H1732" s="261"/>
      <c r="I1732" s="261" t="s">
        <v>122</v>
      </c>
      <c r="J1732" s="261" t="s">
        <v>19603</v>
      </c>
      <c r="K1732" s="262">
        <v>20</v>
      </c>
    </row>
    <row r="1733" spans="1:11" x14ac:dyDescent="0.2">
      <c r="A1733" s="306" t="s">
        <v>20517</v>
      </c>
      <c r="B1733" s="261" t="s">
        <v>20517</v>
      </c>
      <c r="C1733" s="261" t="s">
        <v>14333</v>
      </c>
      <c r="D1733" s="261" t="s">
        <v>18933</v>
      </c>
      <c r="E1733" s="261">
        <v>10</v>
      </c>
      <c r="F1733" s="261" t="s">
        <v>21152</v>
      </c>
      <c r="G1733" s="261"/>
      <c r="H1733" s="261"/>
      <c r="I1733" s="261" t="s">
        <v>122</v>
      </c>
      <c r="J1733" s="261" t="s">
        <v>19601</v>
      </c>
      <c r="K1733" s="262">
        <v>20</v>
      </c>
    </row>
    <row r="1734" spans="1:11" x14ac:dyDescent="0.2">
      <c r="A1734" s="306" t="s">
        <v>20517</v>
      </c>
      <c r="B1734" s="261" t="s">
        <v>20517</v>
      </c>
      <c r="C1734" s="261" t="s">
        <v>14333</v>
      </c>
      <c r="D1734" s="261" t="s">
        <v>18933</v>
      </c>
      <c r="E1734" s="261">
        <v>11</v>
      </c>
      <c r="F1734" s="261" t="s">
        <v>21153</v>
      </c>
      <c r="G1734" s="261"/>
      <c r="H1734" s="261"/>
      <c r="I1734" s="261" t="s">
        <v>122</v>
      </c>
      <c r="J1734" s="261" t="s">
        <v>19604</v>
      </c>
      <c r="K1734" s="262">
        <v>20</v>
      </c>
    </row>
    <row r="1735" spans="1:11" x14ac:dyDescent="0.2">
      <c r="A1735" s="306" t="s">
        <v>20517</v>
      </c>
      <c r="B1735" s="261" t="s">
        <v>20517</v>
      </c>
      <c r="C1735" s="261" t="s">
        <v>14333</v>
      </c>
      <c r="D1735" s="261" t="s">
        <v>18933</v>
      </c>
      <c r="E1735" s="261">
        <v>12</v>
      </c>
      <c r="F1735" s="261" t="s">
        <v>21154</v>
      </c>
      <c r="G1735" s="261"/>
      <c r="H1735" s="261"/>
      <c r="I1735" s="261" t="s">
        <v>122</v>
      </c>
      <c r="J1735" s="261" t="s">
        <v>19602</v>
      </c>
      <c r="K1735" s="262">
        <v>20</v>
      </c>
    </row>
    <row r="1736" spans="1:11" x14ac:dyDescent="0.2">
      <c r="A1736" s="306" t="s">
        <v>20517</v>
      </c>
      <c r="B1736" s="261" t="s">
        <v>20517</v>
      </c>
      <c r="C1736" s="261" t="s">
        <v>14333</v>
      </c>
      <c r="D1736" s="261" t="s">
        <v>18933</v>
      </c>
      <c r="E1736" s="261">
        <v>13</v>
      </c>
      <c r="F1736" s="261" t="s">
        <v>21155</v>
      </c>
      <c r="G1736" s="261"/>
      <c r="H1736" s="261"/>
      <c r="I1736" s="261" t="s">
        <v>10772</v>
      </c>
      <c r="J1736" s="261" t="s">
        <v>19618</v>
      </c>
      <c r="K1736" s="262">
        <v>100</v>
      </c>
    </row>
    <row r="1737" spans="1:11" x14ac:dyDescent="0.2">
      <c r="A1737" s="306" t="s">
        <v>20519</v>
      </c>
      <c r="B1737" s="261" t="s">
        <v>20519</v>
      </c>
      <c r="C1737" s="261" t="s">
        <v>14339</v>
      </c>
      <c r="D1737" s="261" t="s">
        <v>18017</v>
      </c>
      <c r="E1737" s="261">
        <v>1</v>
      </c>
      <c r="F1737" s="261" t="s">
        <v>19688</v>
      </c>
      <c r="G1737" s="261" t="s">
        <v>14588</v>
      </c>
      <c r="H1737" s="261" t="s">
        <v>14589</v>
      </c>
      <c r="I1737" s="261"/>
      <c r="J1737" s="261"/>
      <c r="K1737" s="262"/>
    </row>
    <row r="1738" spans="1:11" x14ac:dyDescent="0.2">
      <c r="A1738" s="306" t="s">
        <v>20519</v>
      </c>
      <c r="B1738" s="261" t="s">
        <v>19114</v>
      </c>
      <c r="C1738" s="261" t="s">
        <v>14339</v>
      </c>
      <c r="D1738" s="261" t="s">
        <v>18017</v>
      </c>
      <c r="E1738" s="261">
        <v>2</v>
      </c>
      <c r="F1738" s="261" t="s">
        <v>21191</v>
      </c>
      <c r="G1738" s="261" t="s">
        <v>2398</v>
      </c>
      <c r="H1738" s="261" t="s">
        <v>2399</v>
      </c>
      <c r="I1738" s="261"/>
      <c r="J1738" s="261"/>
      <c r="K1738" s="262"/>
    </row>
    <row r="1739" spans="1:11" x14ac:dyDescent="0.2">
      <c r="A1739" s="306" t="s">
        <v>20519</v>
      </c>
      <c r="B1739" s="261" t="s">
        <v>19118</v>
      </c>
      <c r="C1739" s="261" t="s">
        <v>14339</v>
      </c>
      <c r="D1739" s="261" t="s">
        <v>18017</v>
      </c>
      <c r="E1739" s="261">
        <v>3</v>
      </c>
      <c r="F1739" s="261" t="s">
        <v>21192</v>
      </c>
      <c r="G1739" s="261" t="s">
        <v>14336</v>
      </c>
      <c r="H1739" s="261" t="s">
        <v>14337</v>
      </c>
      <c r="I1739" s="261"/>
      <c r="J1739" s="261"/>
      <c r="K1739" s="262"/>
    </row>
    <row r="1740" spans="1:11" x14ac:dyDescent="0.2">
      <c r="A1740" s="306" t="s">
        <v>20519</v>
      </c>
      <c r="B1740" s="261" t="s">
        <v>19121</v>
      </c>
      <c r="C1740" s="261" t="s">
        <v>14339</v>
      </c>
      <c r="D1740" s="261" t="s">
        <v>18017</v>
      </c>
      <c r="E1740" s="261">
        <v>4</v>
      </c>
      <c r="F1740" s="261" t="s">
        <v>21193</v>
      </c>
      <c r="G1740" s="261" t="s">
        <v>4171</v>
      </c>
      <c r="H1740" s="261" t="s">
        <v>4172</v>
      </c>
      <c r="I1740" s="261"/>
      <c r="J1740" s="261"/>
      <c r="K1740" s="262"/>
    </row>
    <row r="1741" spans="1:11" x14ac:dyDescent="0.2">
      <c r="A1741" s="306" t="s">
        <v>20519</v>
      </c>
      <c r="B1741" s="261" t="s">
        <v>19123</v>
      </c>
      <c r="C1741" s="261" t="s">
        <v>14339</v>
      </c>
      <c r="D1741" s="261" t="s">
        <v>18017</v>
      </c>
      <c r="E1741" s="261">
        <v>5</v>
      </c>
      <c r="F1741" s="261" t="s">
        <v>21194</v>
      </c>
      <c r="G1741" s="261" t="s">
        <v>2282</v>
      </c>
      <c r="H1741" s="261" t="s">
        <v>2283</v>
      </c>
      <c r="I1741" s="261"/>
      <c r="J1741" s="261"/>
      <c r="K1741" s="262"/>
    </row>
    <row r="1742" spans="1:11" x14ac:dyDescent="0.2">
      <c r="A1742" s="306" t="s">
        <v>20519</v>
      </c>
      <c r="B1742" s="261" t="s">
        <v>19124</v>
      </c>
      <c r="C1742" s="261" t="s">
        <v>14339</v>
      </c>
      <c r="D1742" s="261" t="s">
        <v>18017</v>
      </c>
      <c r="E1742" s="261">
        <v>6</v>
      </c>
      <c r="F1742" s="261" t="s">
        <v>21195</v>
      </c>
      <c r="G1742" s="261" t="s">
        <v>9028</v>
      </c>
      <c r="H1742" s="261" t="s">
        <v>9029</v>
      </c>
      <c r="I1742" s="261"/>
      <c r="J1742" s="261"/>
      <c r="K1742" s="262"/>
    </row>
    <row r="1743" spans="1:11" x14ac:dyDescent="0.2">
      <c r="A1743" s="306" t="s">
        <v>20519</v>
      </c>
      <c r="B1743" s="261" t="s">
        <v>20519</v>
      </c>
      <c r="C1743" s="261" t="s">
        <v>14339</v>
      </c>
      <c r="D1743" s="261" t="s">
        <v>18017</v>
      </c>
      <c r="E1743" s="261">
        <v>7</v>
      </c>
      <c r="F1743" s="261" t="s">
        <v>20868</v>
      </c>
      <c r="G1743" s="261"/>
      <c r="H1743" s="261"/>
      <c r="I1743" s="261" t="s">
        <v>1947</v>
      </c>
      <c r="J1743" s="261" t="s">
        <v>19599</v>
      </c>
      <c r="K1743" s="262">
        <v>20</v>
      </c>
    </row>
    <row r="1744" spans="1:11" x14ac:dyDescent="0.2">
      <c r="A1744" s="306" t="s">
        <v>20519</v>
      </c>
      <c r="B1744" s="261" t="s">
        <v>20519</v>
      </c>
      <c r="C1744" s="261" t="s">
        <v>14339</v>
      </c>
      <c r="D1744" s="261" t="s">
        <v>18017</v>
      </c>
      <c r="E1744" s="261">
        <v>8</v>
      </c>
      <c r="F1744" s="261" t="s">
        <v>20869</v>
      </c>
      <c r="G1744" s="261"/>
      <c r="H1744" s="261"/>
      <c r="I1744" s="261" t="s">
        <v>1947</v>
      </c>
      <c r="J1744" s="261" t="s">
        <v>19600</v>
      </c>
      <c r="K1744" s="262">
        <v>20</v>
      </c>
    </row>
    <row r="1745" spans="1:11" x14ac:dyDescent="0.2">
      <c r="A1745" s="306" t="s">
        <v>20519</v>
      </c>
      <c r="B1745" s="261" t="s">
        <v>20519</v>
      </c>
      <c r="C1745" s="261" t="s">
        <v>14339</v>
      </c>
      <c r="D1745" s="261" t="s">
        <v>18017</v>
      </c>
      <c r="E1745" s="261">
        <v>9</v>
      </c>
      <c r="F1745" s="261" t="s">
        <v>20870</v>
      </c>
      <c r="G1745" s="261"/>
      <c r="H1745" s="261"/>
      <c r="I1745" s="261" t="s">
        <v>1947</v>
      </c>
      <c r="J1745" s="261" t="s">
        <v>19603</v>
      </c>
      <c r="K1745" s="262">
        <v>20</v>
      </c>
    </row>
    <row r="1746" spans="1:11" x14ac:dyDescent="0.2">
      <c r="A1746" s="306" t="s">
        <v>20519</v>
      </c>
      <c r="B1746" s="261" t="s">
        <v>20519</v>
      </c>
      <c r="C1746" s="261" t="s">
        <v>14339</v>
      </c>
      <c r="D1746" s="261" t="s">
        <v>18017</v>
      </c>
      <c r="E1746" s="261">
        <v>10</v>
      </c>
      <c r="F1746" s="261" t="s">
        <v>20871</v>
      </c>
      <c r="G1746" s="261"/>
      <c r="H1746" s="261"/>
      <c r="I1746" s="261" t="s">
        <v>1947</v>
      </c>
      <c r="J1746" s="261" t="s">
        <v>19601</v>
      </c>
      <c r="K1746" s="262">
        <v>20</v>
      </c>
    </row>
    <row r="1747" spans="1:11" x14ac:dyDescent="0.2">
      <c r="A1747" s="306" t="s">
        <v>20519</v>
      </c>
      <c r="B1747" s="261" t="s">
        <v>20519</v>
      </c>
      <c r="C1747" s="261" t="s">
        <v>14339</v>
      </c>
      <c r="D1747" s="261" t="s">
        <v>18017</v>
      </c>
      <c r="E1747" s="261">
        <v>11</v>
      </c>
      <c r="F1747" s="261" t="s">
        <v>20872</v>
      </c>
      <c r="G1747" s="261"/>
      <c r="H1747" s="261"/>
      <c r="I1747" s="261" t="s">
        <v>1947</v>
      </c>
      <c r="J1747" s="261" t="s">
        <v>19604</v>
      </c>
      <c r="K1747" s="262">
        <v>20</v>
      </c>
    </row>
    <row r="1748" spans="1:11" x14ac:dyDescent="0.2">
      <c r="A1748" s="306" t="s">
        <v>20519</v>
      </c>
      <c r="B1748" s="261" t="s">
        <v>20519</v>
      </c>
      <c r="C1748" s="261" t="s">
        <v>14339</v>
      </c>
      <c r="D1748" s="261" t="s">
        <v>18017</v>
      </c>
      <c r="E1748" s="261">
        <v>12</v>
      </c>
      <c r="F1748" s="261" t="s">
        <v>20873</v>
      </c>
      <c r="G1748" s="261"/>
      <c r="H1748" s="261"/>
      <c r="I1748" s="261" t="s">
        <v>1947</v>
      </c>
      <c r="J1748" s="261" t="s">
        <v>19602</v>
      </c>
      <c r="K1748" s="262">
        <v>20</v>
      </c>
    </row>
    <row r="1749" spans="1:11" x14ac:dyDescent="0.2">
      <c r="A1749" s="306" t="s">
        <v>20519</v>
      </c>
      <c r="B1749" s="261" t="s">
        <v>20519</v>
      </c>
      <c r="C1749" s="261" t="s">
        <v>14339</v>
      </c>
      <c r="D1749" s="261" t="s">
        <v>18017</v>
      </c>
      <c r="E1749" s="261">
        <v>13</v>
      </c>
      <c r="F1749" s="261" t="s">
        <v>20874</v>
      </c>
      <c r="G1749" s="261"/>
      <c r="H1749" s="261"/>
      <c r="I1749" s="261" t="s">
        <v>10772</v>
      </c>
      <c r="J1749" s="261" t="s">
        <v>19618</v>
      </c>
      <c r="K1749" s="262">
        <v>100</v>
      </c>
    </row>
    <row r="1750" spans="1:11" x14ac:dyDescent="0.2">
      <c r="A1750" s="306" t="s">
        <v>20522</v>
      </c>
      <c r="B1750" s="261" t="s">
        <v>20522</v>
      </c>
      <c r="C1750" s="261" t="s">
        <v>14343</v>
      </c>
      <c r="D1750" s="261" t="s">
        <v>18933</v>
      </c>
      <c r="E1750" s="261">
        <v>1</v>
      </c>
      <c r="F1750" s="261" t="s">
        <v>19688</v>
      </c>
      <c r="G1750" s="261" t="s">
        <v>14592</v>
      </c>
      <c r="H1750" s="261" t="s">
        <v>14593</v>
      </c>
      <c r="I1750" s="261"/>
      <c r="J1750" s="261"/>
      <c r="K1750" s="262"/>
    </row>
    <row r="1751" spans="1:11" x14ac:dyDescent="0.2">
      <c r="A1751" s="306" t="s">
        <v>20522</v>
      </c>
      <c r="B1751" s="261" t="s">
        <v>19129</v>
      </c>
      <c r="C1751" s="261" t="s">
        <v>14343</v>
      </c>
      <c r="D1751" s="261" t="s">
        <v>18933</v>
      </c>
      <c r="E1751" s="261">
        <v>2</v>
      </c>
      <c r="F1751" s="261" t="s">
        <v>21196</v>
      </c>
      <c r="G1751" s="261" t="s">
        <v>3158</v>
      </c>
      <c r="H1751" s="261" t="s">
        <v>3159</v>
      </c>
      <c r="I1751" s="261"/>
      <c r="J1751" s="261"/>
      <c r="K1751" s="262"/>
    </row>
    <row r="1752" spans="1:11" x14ac:dyDescent="0.2">
      <c r="A1752" s="306" t="s">
        <v>20522</v>
      </c>
      <c r="B1752" s="261" t="s">
        <v>19130</v>
      </c>
      <c r="C1752" s="261" t="s">
        <v>14343</v>
      </c>
      <c r="D1752" s="261" t="s">
        <v>18933</v>
      </c>
      <c r="E1752" s="261">
        <v>3</v>
      </c>
      <c r="F1752" s="261" t="s">
        <v>21197</v>
      </c>
      <c r="G1752" s="261" t="s">
        <v>14590</v>
      </c>
      <c r="H1752" s="261" t="s">
        <v>14591</v>
      </c>
      <c r="I1752" s="261"/>
      <c r="J1752" s="261"/>
      <c r="K1752" s="262"/>
    </row>
    <row r="1753" spans="1:11" x14ac:dyDescent="0.2">
      <c r="A1753" s="306" t="s">
        <v>20522</v>
      </c>
      <c r="B1753" s="261" t="s">
        <v>19131</v>
      </c>
      <c r="C1753" s="261" t="s">
        <v>14343</v>
      </c>
      <c r="D1753" s="261" t="s">
        <v>18933</v>
      </c>
      <c r="E1753" s="261">
        <v>4</v>
      </c>
      <c r="F1753" s="261" t="s">
        <v>21198</v>
      </c>
      <c r="G1753" s="261" t="s">
        <v>2382</v>
      </c>
      <c r="H1753" s="261" t="s">
        <v>2383</v>
      </c>
      <c r="I1753" s="261"/>
      <c r="J1753" s="261"/>
      <c r="K1753" s="262"/>
    </row>
    <row r="1754" spans="1:11" x14ac:dyDescent="0.2">
      <c r="A1754" s="306" t="s">
        <v>20522</v>
      </c>
      <c r="B1754" s="261" t="s">
        <v>19133</v>
      </c>
      <c r="C1754" s="261" t="s">
        <v>14343</v>
      </c>
      <c r="D1754" s="261" t="s">
        <v>18933</v>
      </c>
      <c r="E1754" s="261">
        <v>5</v>
      </c>
      <c r="F1754" s="261" t="s">
        <v>21199</v>
      </c>
      <c r="G1754" s="261" t="s">
        <v>14340</v>
      </c>
      <c r="H1754" s="261" t="s">
        <v>14341</v>
      </c>
      <c r="I1754" s="261"/>
      <c r="J1754" s="261"/>
      <c r="K1754" s="262"/>
    </row>
    <row r="1755" spans="1:11" x14ac:dyDescent="0.2">
      <c r="A1755" s="306" t="s">
        <v>20522</v>
      </c>
      <c r="B1755" s="261" t="s">
        <v>19134</v>
      </c>
      <c r="C1755" s="261" t="s">
        <v>14343</v>
      </c>
      <c r="D1755" s="261" t="s">
        <v>18933</v>
      </c>
      <c r="E1755" s="261">
        <v>6</v>
      </c>
      <c r="F1755" s="261" t="s">
        <v>21200</v>
      </c>
      <c r="G1755" s="261" t="s">
        <v>14344</v>
      </c>
      <c r="H1755" s="261" t="s">
        <v>14345</v>
      </c>
      <c r="I1755" s="261"/>
      <c r="J1755" s="261"/>
      <c r="K1755" s="262"/>
    </row>
    <row r="1756" spans="1:11" x14ac:dyDescent="0.2">
      <c r="A1756" s="306" t="s">
        <v>20522</v>
      </c>
      <c r="B1756" s="261" t="s">
        <v>20522</v>
      </c>
      <c r="C1756" s="261" t="s">
        <v>14343</v>
      </c>
      <c r="D1756" s="261" t="s">
        <v>18933</v>
      </c>
      <c r="E1756" s="261">
        <v>7</v>
      </c>
      <c r="F1756" s="261" t="s">
        <v>21149</v>
      </c>
      <c r="G1756" s="261"/>
      <c r="H1756" s="261"/>
      <c r="I1756" s="261" t="s">
        <v>2837</v>
      </c>
      <c r="J1756" s="261" t="s">
        <v>19599</v>
      </c>
      <c r="K1756" s="262">
        <v>20</v>
      </c>
    </row>
    <row r="1757" spans="1:11" x14ac:dyDescent="0.2">
      <c r="A1757" s="306" t="s">
        <v>20522</v>
      </c>
      <c r="B1757" s="261" t="s">
        <v>20522</v>
      </c>
      <c r="C1757" s="261" t="s">
        <v>14343</v>
      </c>
      <c r="D1757" s="261" t="s">
        <v>18933</v>
      </c>
      <c r="E1757" s="261">
        <v>8</v>
      </c>
      <c r="F1757" s="261" t="s">
        <v>21150</v>
      </c>
      <c r="G1757" s="261"/>
      <c r="H1757" s="261"/>
      <c r="I1757" s="261" t="s">
        <v>2837</v>
      </c>
      <c r="J1757" s="261" t="s">
        <v>19600</v>
      </c>
      <c r="K1757" s="262">
        <v>20</v>
      </c>
    </row>
    <row r="1758" spans="1:11" x14ac:dyDescent="0.2">
      <c r="A1758" s="306" t="s">
        <v>20522</v>
      </c>
      <c r="B1758" s="261" t="s">
        <v>20522</v>
      </c>
      <c r="C1758" s="261" t="s">
        <v>14343</v>
      </c>
      <c r="D1758" s="261" t="s">
        <v>18933</v>
      </c>
      <c r="E1758" s="261">
        <v>9</v>
      </c>
      <c r="F1758" s="261" t="s">
        <v>21151</v>
      </c>
      <c r="G1758" s="261"/>
      <c r="H1758" s="261"/>
      <c r="I1758" s="261" t="s">
        <v>2837</v>
      </c>
      <c r="J1758" s="261" t="s">
        <v>19603</v>
      </c>
      <c r="K1758" s="262">
        <v>20</v>
      </c>
    </row>
    <row r="1759" spans="1:11" x14ac:dyDescent="0.2">
      <c r="A1759" s="306" t="s">
        <v>20522</v>
      </c>
      <c r="B1759" s="261" t="s">
        <v>20522</v>
      </c>
      <c r="C1759" s="261" t="s">
        <v>14343</v>
      </c>
      <c r="D1759" s="261" t="s">
        <v>18933</v>
      </c>
      <c r="E1759" s="261">
        <v>10</v>
      </c>
      <c r="F1759" s="261" t="s">
        <v>21152</v>
      </c>
      <c r="G1759" s="261"/>
      <c r="H1759" s="261"/>
      <c r="I1759" s="261" t="s">
        <v>2837</v>
      </c>
      <c r="J1759" s="261" t="s">
        <v>19601</v>
      </c>
      <c r="K1759" s="262">
        <v>20</v>
      </c>
    </row>
    <row r="1760" spans="1:11" x14ac:dyDescent="0.2">
      <c r="A1760" s="306" t="s">
        <v>20522</v>
      </c>
      <c r="B1760" s="261" t="s">
        <v>20522</v>
      </c>
      <c r="C1760" s="261" t="s">
        <v>14343</v>
      </c>
      <c r="D1760" s="261" t="s">
        <v>18933</v>
      </c>
      <c r="E1760" s="261">
        <v>11</v>
      </c>
      <c r="F1760" s="261" t="s">
        <v>21153</v>
      </c>
      <c r="G1760" s="261"/>
      <c r="H1760" s="261"/>
      <c r="I1760" s="261" t="s">
        <v>2837</v>
      </c>
      <c r="J1760" s="261" t="s">
        <v>19604</v>
      </c>
      <c r="K1760" s="262">
        <v>20</v>
      </c>
    </row>
    <row r="1761" spans="1:11" x14ac:dyDescent="0.2">
      <c r="A1761" s="306" t="s">
        <v>20522</v>
      </c>
      <c r="B1761" s="261" t="s">
        <v>20522</v>
      </c>
      <c r="C1761" s="261" t="s">
        <v>14343</v>
      </c>
      <c r="D1761" s="261" t="s">
        <v>18933</v>
      </c>
      <c r="E1761" s="261">
        <v>12</v>
      </c>
      <c r="F1761" s="261" t="s">
        <v>21154</v>
      </c>
      <c r="G1761" s="261"/>
      <c r="H1761" s="261"/>
      <c r="I1761" s="261" t="s">
        <v>2837</v>
      </c>
      <c r="J1761" s="261" t="s">
        <v>19602</v>
      </c>
      <c r="K1761" s="262">
        <v>20</v>
      </c>
    </row>
    <row r="1762" spans="1:11" x14ac:dyDescent="0.2">
      <c r="A1762" s="306" t="s">
        <v>20522</v>
      </c>
      <c r="B1762" s="261" t="s">
        <v>20522</v>
      </c>
      <c r="C1762" s="261" t="s">
        <v>14343</v>
      </c>
      <c r="D1762" s="261" t="s">
        <v>18933</v>
      </c>
      <c r="E1762" s="261">
        <v>13</v>
      </c>
      <c r="F1762" s="261" t="s">
        <v>21155</v>
      </c>
      <c r="G1762" s="261"/>
      <c r="H1762" s="261"/>
      <c r="I1762" s="261" t="s">
        <v>10772</v>
      </c>
      <c r="J1762" s="261" t="s">
        <v>19618</v>
      </c>
      <c r="K1762" s="262">
        <v>100</v>
      </c>
    </row>
    <row r="1763" spans="1:11" x14ac:dyDescent="0.2">
      <c r="A1763" s="306" t="s">
        <v>20525</v>
      </c>
      <c r="B1763" s="261" t="s">
        <v>20525</v>
      </c>
      <c r="C1763" s="261" t="s">
        <v>14349</v>
      </c>
      <c r="D1763" s="261" t="s">
        <v>18933</v>
      </c>
      <c r="E1763" s="261">
        <v>1</v>
      </c>
      <c r="F1763" s="261" t="s">
        <v>19688</v>
      </c>
      <c r="G1763" s="261" t="s">
        <v>14596</v>
      </c>
      <c r="H1763" s="261" t="s">
        <v>14597</v>
      </c>
      <c r="I1763" s="261"/>
      <c r="J1763" s="261"/>
      <c r="K1763" s="262"/>
    </row>
    <row r="1764" spans="1:11" x14ac:dyDescent="0.2">
      <c r="A1764" s="306" t="s">
        <v>20525</v>
      </c>
      <c r="B1764" s="261" t="s">
        <v>19137</v>
      </c>
      <c r="C1764" s="261" t="s">
        <v>14349</v>
      </c>
      <c r="D1764" s="261" t="s">
        <v>18933</v>
      </c>
      <c r="E1764" s="261">
        <v>2</v>
      </c>
      <c r="F1764" s="261" t="s">
        <v>21201</v>
      </c>
      <c r="G1764" s="261" t="s">
        <v>4514</v>
      </c>
      <c r="H1764" s="261" t="s">
        <v>4515</v>
      </c>
      <c r="I1764" s="261"/>
      <c r="J1764" s="261"/>
      <c r="K1764" s="262"/>
    </row>
    <row r="1765" spans="1:11" x14ac:dyDescent="0.2">
      <c r="A1765" s="306" t="s">
        <v>20525</v>
      </c>
      <c r="B1765" s="261" t="s">
        <v>19138</v>
      </c>
      <c r="C1765" s="261" t="s">
        <v>14349</v>
      </c>
      <c r="D1765" s="261" t="s">
        <v>18933</v>
      </c>
      <c r="E1765" s="261">
        <v>3</v>
      </c>
      <c r="F1765" s="261" t="s">
        <v>21202</v>
      </c>
      <c r="G1765" s="261" t="s">
        <v>14594</v>
      </c>
      <c r="H1765" s="261" t="s">
        <v>14595</v>
      </c>
      <c r="I1765" s="261"/>
      <c r="J1765" s="261"/>
      <c r="K1765" s="262"/>
    </row>
    <row r="1766" spans="1:11" x14ac:dyDescent="0.2">
      <c r="A1766" s="306" t="s">
        <v>20525</v>
      </c>
      <c r="B1766" s="261" t="s">
        <v>19139</v>
      </c>
      <c r="C1766" s="261" t="s">
        <v>14349</v>
      </c>
      <c r="D1766" s="261" t="s">
        <v>18933</v>
      </c>
      <c r="E1766" s="261">
        <v>4</v>
      </c>
      <c r="F1766" s="261" t="s">
        <v>21203</v>
      </c>
      <c r="G1766" s="261" t="s">
        <v>1610</v>
      </c>
      <c r="H1766" s="261" t="s">
        <v>1611</v>
      </c>
      <c r="I1766" s="261"/>
      <c r="J1766" s="261"/>
      <c r="K1766" s="262"/>
    </row>
    <row r="1767" spans="1:11" x14ac:dyDescent="0.2">
      <c r="A1767" s="306" t="s">
        <v>20525</v>
      </c>
      <c r="B1767" s="261" t="s">
        <v>19141</v>
      </c>
      <c r="C1767" s="261" t="s">
        <v>14349</v>
      </c>
      <c r="D1767" s="261" t="s">
        <v>18933</v>
      </c>
      <c r="E1767" s="261">
        <v>5</v>
      </c>
      <c r="F1767" s="261" t="s">
        <v>21204</v>
      </c>
      <c r="G1767" s="261" t="s">
        <v>14347</v>
      </c>
      <c r="H1767" s="261" t="s">
        <v>14348</v>
      </c>
      <c r="I1767" s="261"/>
      <c r="J1767" s="261"/>
      <c r="K1767" s="262"/>
    </row>
    <row r="1768" spans="1:11" x14ac:dyDescent="0.2">
      <c r="A1768" s="306" t="s">
        <v>20525</v>
      </c>
      <c r="B1768" s="261" t="s">
        <v>19142</v>
      </c>
      <c r="C1768" s="261" t="s">
        <v>14349</v>
      </c>
      <c r="D1768" s="261" t="s">
        <v>18933</v>
      </c>
      <c r="E1768" s="261">
        <v>6</v>
      </c>
      <c r="F1768" s="261" t="s">
        <v>21205</v>
      </c>
      <c r="G1768" s="261" t="s">
        <v>14350</v>
      </c>
      <c r="H1768" s="261" t="s">
        <v>14351</v>
      </c>
      <c r="I1768" s="261"/>
      <c r="J1768" s="261"/>
      <c r="K1768" s="262"/>
    </row>
    <row r="1769" spans="1:11" x14ac:dyDescent="0.2">
      <c r="A1769" s="306" t="s">
        <v>20525</v>
      </c>
      <c r="B1769" s="261" t="s">
        <v>20525</v>
      </c>
      <c r="C1769" s="261" t="s">
        <v>14349</v>
      </c>
      <c r="D1769" s="261" t="s">
        <v>18933</v>
      </c>
      <c r="E1769" s="261">
        <v>7</v>
      </c>
      <c r="F1769" s="261" t="s">
        <v>21149</v>
      </c>
      <c r="G1769" s="261"/>
      <c r="H1769" s="261"/>
      <c r="I1769" s="261" t="s">
        <v>3779</v>
      </c>
      <c r="J1769" s="261" t="s">
        <v>19599</v>
      </c>
      <c r="K1769" s="262">
        <v>20</v>
      </c>
    </row>
    <row r="1770" spans="1:11" x14ac:dyDescent="0.2">
      <c r="A1770" s="306" t="s">
        <v>20525</v>
      </c>
      <c r="B1770" s="261" t="s">
        <v>20525</v>
      </c>
      <c r="C1770" s="261" t="s">
        <v>14349</v>
      </c>
      <c r="D1770" s="261" t="s">
        <v>18933</v>
      </c>
      <c r="E1770" s="261">
        <v>8</v>
      </c>
      <c r="F1770" s="261" t="s">
        <v>21150</v>
      </c>
      <c r="G1770" s="261"/>
      <c r="H1770" s="261"/>
      <c r="I1770" s="261" t="s">
        <v>3779</v>
      </c>
      <c r="J1770" s="261" t="s">
        <v>19600</v>
      </c>
      <c r="K1770" s="262">
        <v>20</v>
      </c>
    </row>
    <row r="1771" spans="1:11" x14ac:dyDescent="0.2">
      <c r="A1771" s="306" t="s">
        <v>20525</v>
      </c>
      <c r="B1771" s="261" t="s">
        <v>20525</v>
      </c>
      <c r="C1771" s="261" t="s">
        <v>14349</v>
      </c>
      <c r="D1771" s="261" t="s">
        <v>18933</v>
      </c>
      <c r="E1771" s="261">
        <v>9</v>
      </c>
      <c r="F1771" s="261" t="s">
        <v>21151</v>
      </c>
      <c r="G1771" s="261"/>
      <c r="H1771" s="261"/>
      <c r="I1771" s="261" t="s">
        <v>3779</v>
      </c>
      <c r="J1771" s="261" t="s">
        <v>19603</v>
      </c>
      <c r="K1771" s="262">
        <v>20</v>
      </c>
    </row>
    <row r="1772" spans="1:11" x14ac:dyDescent="0.2">
      <c r="A1772" s="306" t="s">
        <v>20525</v>
      </c>
      <c r="B1772" s="261" t="s">
        <v>20525</v>
      </c>
      <c r="C1772" s="261" t="s">
        <v>14349</v>
      </c>
      <c r="D1772" s="261" t="s">
        <v>18933</v>
      </c>
      <c r="E1772" s="261">
        <v>10</v>
      </c>
      <c r="F1772" s="261" t="s">
        <v>21152</v>
      </c>
      <c r="G1772" s="261"/>
      <c r="H1772" s="261"/>
      <c r="I1772" s="261" t="s">
        <v>3779</v>
      </c>
      <c r="J1772" s="261" t="s">
        <v>19601</v>
      </c>
      <c r="K1772" s="262">
        <v>20</v>
      </c>
    </row>
    <row r="1773" spans="1:11" x14ac:dyDescent="0.2">
      <c r="A1773" s="306" t="s">
        <v>20525</v>
      </c>
      <c r="B1773" s="261" t="s">
        <v>20525</v>
      </c>
      <c r="C1773" s="261" t="s">
        <v>14349</v>
      </c>
      <c r="D1773" s="261" t="s">
        <v>18933</v>
      </c>
      <c r="E1773" s="261">
        <v>11</v>
      </c>
      <c r="F1773" s="261" t="s">
        <v>21153</v>
      </c>
      <c r="G1773" s="261"/>
      <c r="H1773" s="261"/>
      <c r="I1773" s="261" t="s">
        <v>3779</v>
      </c>
      <c r="J1773" s="261" t="s">
        <v>19604</v>
      </c>
      <c r="K1773" s="262">
        <v>20</v>
      </c>
    </row>
    <row r="1774" spans="1:11" x14ac:dyDescent="0.2">
      <c r="A1774" s="306" t="s">
        <v>20525</v>
      </c>
      <c r="B1774" s="261" t="s">
        <v>20525</v>
      </c>
      <c r="C1774" s="261" t="s">
        <v>14349</v>
      </c>
      <c r="D1774" s="261" t="s">
        <v>18933</v>
      </c>
      <c r="E1774" s="261">
        <v>12</v>
      </c>
      <c r="F1774" s="261" t="s">
        <v>21154</v>
      </c>
      <c r="G1774" s="261"/>
      <c r="H1774" s="261"/>
      <c r="I1774" s="261" t="s">
        <v>3779</v>
      </c>
      <c r="J1774" s="261" t="s">
        <v>19602</v>
      </c>
      <c r="K1774" s="262">
        <v>20</v>
      </c>
    </row>
    <row r="1775" spans="1:11" x14ac:dyDescent="0.2">
      <c r="A1775" s="306" t="s">
        <v>20525</v>
      </c>
      <c r="B1775" s="261" t="s">
        <v>20525</v>
      </c>
      <c r="C1775" s="261" t="s">
        <v>14349</v>
      </c>
      <c r="D1775" s="261" t="s">
        <v>18933</v>
      </c>
      <c r="E1775" s="261">
        <v>13</v>
      </c>
      <c r="F1775" s="261" t="s">
        <v>21155</v>
      </c>
      <c r="G1775" s="261"/>
      <c r="H1775" s="261"/>
      <c r="I1775" s="261" t="s">
        <v>10772</v>
      </c>
      <c r="J1775" s="261" t="s">
        <v>19618</v>
      </c>
      <c r="K1775" s="262">
        <v>100</v>
      </c>
    </row>
    <row r="1776" spans="1:11" x14ac:dyDescent="0.2">
      <c r="A1776" s="306" t="s">
        <v>20382</v>
      </c>
      <c r="B1776" s="261" t="s">
        <v>19143</v>
      </c>
      <c r="C1776" s="261" t="s">
        <v>14355</v>
      </c>
      <c r="D1776" s="261" t="s">
        <v>18017</v>
      </c>
      <c r="E1776" s="261">
        <v>1</v>
      </c>
      <c r="F1776" s="261" t="s">
        <v>21206</v>
      </c>
      <c r="G1776" s="261" t="s">
        <v>1695</v>
      </c>
      <c r="H1776" s="261" t="s">
        <v>1696</v>
      </c>
      <c r="I1776" s="261"/>
      <c r="J1776" s="261"/>
      <c r="K1776" s="262"/>
    </row>
    <row r="1777" spans="1:11" x14ac:dyDescent="0.2">
      <c r="A1777" s="306" t="s">
        <v>20382</v>
      </c>
      <c r="B1777" s="261" t="s">
        <v>19147</v>
      </c>
      <c r="C1777" s="261" t="s">
        <v>14355</v>
      </c>
      <c r="D1777" s="261" t="s">
        <v>18017</v>
      </c>
      <c r="E1777" s="261">
        <v>2</v>
      </c>
      <c r="F1777" s="261" t="s">
        <v>21207</v>
      </c>
      <c r="G1777" s="261" t="s">
        <v>14352</v>
      </c>
      <c r="H1777" s="261" t="s">
        <v>14353</v>
      </c>
      <c r="I1777" s="261"/>
      <c r="J1777" s="261"/>
      <c r="K1777" s="262"/>
    </row>
    <row r="1778" spans="1:11" x14ac:dyDescent="0.2">
      <c r="A1778" s="306" t="s">
        <v>20382</v>
      </c>
      <c r="B1778" s="261" t="s">
        <v>19150</v>
      </c>
      <c r="C1778" s="261" t="s">
        <v>14355</v>
      </c>
      <c r="D1778" s="261" t="s">
        <v>18017</v>
      </c>
      <c r="E1778" s="261">
        <v>3</v>
      </c>
      <c r="F1778" s="261" t="s">
        <v>21208</v>
      </c>
      <c r="G1778" s="261" t="s">
        <v>3496</v>
      </c>
      <c r="H1778" s="261" t="s">
        <v>3497</v>
      </c>
      <c r="I1778" s="261"/>
      <c r="J1778" s="261"/>
      <c r="K1778" s="262"/>
    </row>
    <row r="1779" spans="1:11" x14ac:dyDescent="0.2">
      <c r="A1779" s="306" t="s">
        <v>20382</v>
      </c>
      <c r="B1779" s="261" t="s">
        <v>19152</v>
      </c>
      <c r="C1779" s="261" t="s">
        <v>14355</v>
      </c>
      <c r="D1779" s="261" t="s">
        <v>18017</v>
      </c>
      <c r="E1779" s="261">
        <v>4</v>
      </c>
      <c r="F1779" s="261" t="s">
        <v>21209</v>
      </c>
      <c r="G1779" s="261" t="s">
        <v>1941</v>
      </c>
      <c r="H1779" s="261" t="s">
        <v>1942</v>
      </c>
      <c r="I1779" s="261"/>
      <c r="J1779" s="261"/>
      <c r="K1779" s="262"/>
    </row>
    <row r="1780" spans="1:11" x14ac:dyDescent="0.2">
      <c r="A1780" s="306" t="s">
        <v>20382</v>
      </c>
      <c r="B1780" s="261" t="s">
        <v>20382</v>
      </c>
      <c r="C1780" s="261" t="s">
        <v>14355</v>
      </c>
      <c r="D1780" s="261" t="s">
        <v>18017</v>
      </c>
      <c r="E1780" s="261">
        <v>5</v>
      </c>
      <c r="F1780" s="261" t="s">
        <v>20243</v>
      </c>
      <c r="G1780" s="261" t="s">
        <v>14356</v>
      </c>
      <c r="H1780" s="261" t="s">
        <v>14357</v>
      </c>
      <c r="I1780" s="261"/>
      <c r="J1780" s="261"/>
      <c r="K1780" s="262"/>
    </row>
    <row r="1781" spans="1:11" x14ac:dyDescent="0.2">
      <c r="A1781" s="306" t="s">
        <v>20382</v>
      </c>
      <c r="B1781" s="261" t="s">
        <v>20382</v>
      </c>
      <c r="C1781" s="261" t="s">
        <v>14355</v>
      </c>
      <c r="D1781" s="261" t="s">
        <v>18017</v>
      </c>
      <c r="E1781" s="261">
        <v>6</v>
      </c>
      <c r="F1781" s="261" t="s">
        <v>20243</v>
      </c>
      <c r="G1781" s="261" t="s">
        <v>14358</v>
      </c>
      <c r="H1781" s="261" t="s">
        <v>14359</v>
      </c>
      <c r="I1781" s="261"/>
      <c r="J1781" s="261"/>
      <c r="K1781" s="262"/>
    </row>
    <row r="1782" spans="1:11" x14ac:dyDescent="0.2">
      <c r="A1782" s="306" t="s">
        <v>20382</v>
      </c>
      <c r="B1782" s="261" t="s">
        <v>20382</v>
      </c>
      <c r="C1782" s="261" t="s">
        <v>14355</v>
      </c>
      <c r="D1782" s="261" t="s">
        <v>18017</v>
      </c>
      <c r="E1782" s="261">
        <v>7</v>
      </c>
      <c r="F1782" s="261" t="s">
        <v>20243</v>
      </c>
      <c r="G1782" s="261" t="s">
        <v>14360</v>
      </c>
      <c r="H1782" s="261" t="s">
        <v>14361</v>
      </c>
      <c r="I1782" s="261"/>
      <c r="J1782" s="261"/>
      <c r="K1782" s="262"/>
    </row>
    <row r="1783" spans="1:11" x14ac:dyDescent="0.2">
      <c r="A1783" s="306" t="s">
        <v>20382</v>
      </c>
      <c r="B1783" s="261" t="s">
        <v>20382</v>
      </c>
      <c r="C1783" s="261" t="s">
        <v>14355</v>
      </c>
      <c r="D1783" s="261" t="s">
        <v>18017</v>
      </c>
      <c r="E1783" s="261">
        <v>8</v>
      </c>
      <c r="F1783" s="261" t="s">
        <v>20243</v>
      </c>
      <c r="G1783" s="261" t="s">
        <v>14362</v>
      </c>
      <c r="H1783" s="261" t="s">
        <v>14363</v>
      </c>
      <c r="I1783" s="261"/>
      <c r="J1783" s="261"/>
      <c r="K1783" s="262"/>
    </row>
    <row r="1784" spans="1:11" x14ac:dyDescent="0.2">
      <c r="A1784" s="306" t="s">
        <v>20382</v>
      </c>
      <c r="B1784" s="261" t="s">
        <v>20382</v>
      </c>
      <c r="C1784" s="261" t="s">
        <v>14355</v>
      </c>
      <c r="D1784" s="261" t="s">
        <v>18017</v>
      </c>
      <c r="E1784" s="261">
        <v>9</v>
      </c>
      <c r="F1784" s="261" t="s">
        <v>20243</v>
      </c>
      <c r="G1784" s="261" t="s">
        <v>14364</v>
      </c>
      <c r="H1784" s="261" t="s">
        <v>14365</v>
      </c>
      <c r="I1784" s="261"/>
      <c r="J1784" s="261"/>
      <c r="K1784" s="262"/>
    </row>
    <row r="1785" spans="1:11" x14ac:dyDescent="0.2">
      <c r="A1785" s="306" t="s">
        <v>20382</v>
      </c>
      <c r="B1785" s="261" t="s">
        <v>20382</v>
      </c>
      <c r="C1785" s="261" t="s">
        <v>14355</v>
      </c>
      <c r="D1785" s="261" t="s">
        <v>18017</v>
      </c>
      <c r="E1785" s="261">
        <v>10</v>
      </c>
      <c r="F1785" s="261" t="s">
        <v>20868</v>
      </c>
      <c r="G1785" s="261"/>
      <c r="H1785" s="261"/>
      <c r="I1785" s="261" t="s">
        <v>1103</v>
      </c>
      <c r="J1785" s="261" t="s">
        <v>19599</v>
      </c>
      <c r="K1785" s="262">
        <v>20</v>
      </c>
    </row>
    <row r="1786" spans="1:11" x14ac:dyDescent="0.2">
      <c r="A1786" s="306" t="s">
        <v>20382</v>
      </c>
      <c r="B1786" s="261" t="s">
        <v>20382</v>
      </c>
      <c r="C1786" s="261" t="s">
        <v>14355</v>
      </c>
      <c r="D1786" s="261" t="s">
        <v>18017</v>
      </c>
      <c r="E1786" s="261">
        <v>11</v>
      </c>
      <c r="F1786" s="261" t="s">
        <v>20869</v>
      </c>
      <c r="G1786" s="261"/>
      <c r="H1786" s="261"/>
      <c r="I1786" s="261" t="s">
        <v>1103</v>
      </c>
      <c r="J1786" s="261" t="s">
        <v>19600</v>
      </c>
      <c r="K1786" s="262">
        <v>20</v>
      </c>
    </row>
    <row r="1787" spans="1:11" x14ac:dyDescent="0.2">
      <c r="A1787" s="306" t="s">
        <v>20382</v>
      </c>
      <c r="B1787" s="261" t="s">
        <v>20382</v>
      </c>
      <c r="C1787" s="261" t="s">
        <v>14355</v>
      </c>
      <c r="D1787" s="261" t="s">
        <v>18017</v>
      </c>
      <c r="E1787" s="261">
        <v>12</v>
      </c>
      <c r="F1787" s="261" t="s">
        <v>20870</v>
      </c>
      <c r="G1787" s="261"/>
      <c r="H1787" s="261"/>
      <c r="I1787" s="261" t="s">
        <v>1103</v>
      </c>
      <c r="J1787" s="261" t="s">
        <v>19603</v>
      </c>
      <c r="K1787" s="262">
        <v>20</v>
      </c>
    </row>
    <row r="1788" spans="1:11" x14ac:dyDescent="0.2">
      <c r="A1788" s="306" t="s">
        <v>20382</v>
      </c>
      <c r="B1788" s="261" t="s">
        <v>20382</v>
      </c>
      <c r="C1788" s="261" t="s">
        <v>14355</v>
      </c>
      <c r="D1788" s="261" t="s">
        <v>18017</v>
      </c>
      <c r="E1788" s="261">
        <v>13</v>
      </c>
      <c r="F1788" s="261" t="s">
        <v>20871</v>
      </c>
      <c r="G1788" s="261"/>
      <c r="H1788" s="261"/>
      <c r="I1788" s="261" t="s">
        <v>1103</v>
      </c>
      <c r="J1788" s="261" t="s">
        <v>19601</v>
      </c>
      <c r="K1788" s="262">
        <v>20</v>
      </c>
    </row>
    <row r="1789" spans="1:11" x14ac:dyDescent="0.2">
      <c r="A1789" s="306" t="s">
        <v>20382</v>
      </c>
      <c r="B1789" s="261" t="s">
        <v>20382</v>
      </c>
      <c r="C1789" s="261" t="s">
        <v>14355</v>
      </c>
      <c r="D1789" s="261" t="s">
        <v>18017</v>
      </c>
      <c r="E1789" s="261">
        <v>14</v>
      </c>
      <c r="F1789" s="261" t="s">
        <v>20872</v>
      </c>
      <c r="G1789" s="261"/>
      <c r="H1789" s="261"/>
      <c r="I1789" s="261" t="s">
        <v>1103</v>
      </c>
      <c r="J1789" s="261" t="s">
        <v>19604</v>
      </c>
      <c r="K1789" s="262">
        <v>20</v>
      </c>
    </row>
    <row r="1790" spans="1:11" x14ac:dyDescent="0.2">
      <c r="A1790" s="306" t="s">
        <v>20382</v>
      </c>
      <c r="B1790" s="261" t="s">
        <v>20382</v>
      </c>
      <c r="C1790" s="261" t="s">
        <v>14355</v>
      </c>
      <c r="D1790" s="261" t="s">
        <v>18017</v>
      </c>
      <c r="E1790" s="261">
        <v>15</v>
      </c>
      <c r="F1790" s="261" t="s">
        <v>20873</v>
      </c>
      <c r="G1790" s="261"/>
      <c r="H1790" s="261"/>
      <c r="I1790" s="261" t="s">
        <v>1103</v>
      </c>
      <c r="J1790" s="261" t="s">
        <v>19602</v>
      </c>
      <c r="K1790" s="262">
        <v>20</v>
      </c>
    </row>
    <row r="1791" spans="1:11" x14ac:dyDescent="0.2">
      <c r="A1791" s="272" t="s">
        <v>20382</v>
      </c>
      <c r="B1791" s="264" t="s">
        <v>20382</v>
      </c>
      <c r="C1791" s="264" t="s">
        <v>14355</v>
      </c>
      <c r="D1791" s="264" t="s">
        <v>18017</v>
      </c>
      <c r="E1791" s="264">
        <v>16</v>
      </c>
      <c r="F1791" s="264" t="s">
        <v>20874</v>
      </c>
      <c r="G1791" s="264"/>
      <c r="H1791" s="264"/>
      <c r="I1791" s="264" t="s">
        <v>10772</v>
      </c>
      <c r="J1791" s="264" t="s">
        <v>19618</v>
      </c>
      <c r="K1791" s="266">
        <v>100</v>
      </c>
    </row>
    <row r="1793" spans="1:8" x14ac:dyDescent="0.2">
      <c r="A1793" s="267" t="s">
        <v>21535</v>
      </c>
      <c r="B1793" s="268" t="s">
        <v>21535</v>
      </c>
      <c r="C1793" s="268" t="s">
        <v>21536</v>
      </c>
      <c r="D1793" s="268" t="s">
        <v>19847</v>
      </c>
      <c r="E1793" s="268">
        <v>1</v>
      </c>
      <c r="F1793" s="268" t="s">
        <v>9407</v>
      </c>
      <c r="G1793" s="268" t="s">
        <v>9422</v>
      </c>
      <c r="H1793" s="342" t="s">
        <v>9423</v>
      </c>
    </row>
    <row r="1794" spans="1:8" x14ac:dyDescent="0.2">
      <c r="A1794" s="271" t="s">
        <v>21535</v>
      </c>
      <c r="B1794" s="259" t="s">
        <v>21535</v>
      </c>
      <c r="C1794" s="259" t="s">
        <v>21536</v>
      </c>
      <c r="D1794" s="259" t="s">
        <v>19847</v>
      </c>
      <c r="E1794" s="259">
        <v>2</v>
      </c>
      <c r="F1794" s="259" t="s">
        <v>9407</v>
      </c>
      <c r="G1794" s="259" t="s">
        <v>9440</v>
      </c>
      <c r="H1794" s="343" t="s">
        <v>9441</v>
      </c>
    </row>
    <row r="1795" spans="1:8" x14ac:dyDescent="0.2">
      <c r="A1795" s="271" t="s">
        <v>21535</v>
      </c>
      <c r="B1795" s="259" t="s">
        <v>21535</v>
      </c>
      <c r="C1795" s="259" t="s">
        <v>21536</v>
      </c>
      <c r="D1795" s="259" t="s">
        <v>19847</v>
      </c>
      <c r="E1795" s="259">
        <v>3</v>
      </c>
      <c r="F1795" s="259" t="s">
        <v>9407</v>
      </c>
      <c r="G1795" s="259" t="s">
        <v>9402</v>
      </c>
      <c r="H1795" s="343" t="s">
        <v>9403</v>
      </c>
    </row>
    <row r="1796" spans="1:8" x14ac:dyDescent="0.2">
      <c r="A1796" s="271" t="s">
        <v>21535</v>
      </c>
      <c r="B1796" s="259" t="s">
        <v>21535</v>
      </c>
      <c r="C1796" s="259" t="s">
        <v>21536</v>
      </c>
      <c r="D1796" s="259" t="s">
        <v>19847</v>
      </c>
      <c r="E1796" s="259">
        <v>4</v>
      </c>
      <c r="F1796" s="259" t="s">
        <v>9407</v>
      </c>
      <c r="G1796" s="259" t="s">
        <v>9413</v>
      </c>
      <c r="H1796" s="343" t="s">
        <v>9414</v>
      </c>
    </row>
    <row r="1797" spans="1:8" x14ac:dyDescent="0.2">
      <c r="A1797" s="271" t="s">
        <v>21535</v>
      </c>
      <c r="B1797" s="259" t="s">
        <v>21535</v>
      </c>
      <c r="C1797" s="259" t="s">
        <v>21536</v>
      </c>
      <c r="D1797" s="259" t="s">
        <v>19847</v>
      </c>
      <c r="E1797" s="259">
        <v>5</v>
      </c>
      <c r="F1797" s="259" t="s">
        <v>9407</v>
      </c>
      <c r="G1797" s="259" t="s">
        <v>9431</v>
      </c>
      <c r="H1797" s="343" t="s">
        <v>9432</v>
      </c>
    </row>
    <row r="1798" spans="1:8" x14ac:dyDescent="0.2">
      <c r="A1798" s="271" t="s">
        <v>21535</v>
      </c>
      <c r="B1798" s="259" t="s">
        <v>21535</v>
      </c>
      <c r="C1798" s="259" t="s">
        <v>21536</v>
      </c>
      <c r="D1798" s="259" t="s">
        <v>19847</v>
      </c>
      <c r="E1798" s="259">
        <v>6</v>
      </c>
      <c r="F1798" s="259" t="s">
        <v>20055</v>
      </c>
      <c r="G1798" s="259" t="s">
        <v>9084</v>
      </c>
      <c r="H1798" s="343" t="s">
        <v>9085</v>
      </c>
    </row>
    <row r="1799" spans="1:8" x14ac:dyDescent="0.2">
      <c r="A1799" s="271" t="s">
        <v>21535</v>
      </c>
      <c r="B1799" s="259" t="s">
        <v>21535</v>
      </c>
      <c r="C1799" s="259" t="s">
        <v>21536</v>
      </c>
      <c r="D1799" s="259" t="s">
        <v>19847</v>
      </c>
      <c r="E1799" s="259">
        <v>7</v>
      </c>
      <c r="F1799" s="259" t="s">
        <v>20053</v>
      </c>
      <c r="G1799" s="259" t="s">
        <v>9074</v>
      </c>
      <c r="H1799" s="343" t="s">
        <v>9075</v>
      </c>
    </row>
    <row r="1800" spans="1:8" x14ac:dyDescent="0.2">
      <c r="A1800" s="271" t="s">
        <v>21535</v>
      </c>
      <c r="B1800" s="259" t="s">
        <v>21535</v>
      </c>
      <c r="C1800" s="259" t="s">
        <v>21536</v>
      </c>
      <c r="D1800" s="259" t="s">
        <v>19847</v>
      </c>
      <c r="E1800" s="259">
        <v>8</v>
      </c>
      <c r="F1800" s="259" t="s">
        <v>20051</v>
      </c>
      <c r="G1800" s="259" t="s">
        <v>9063</v>
      </c>
      <c r="H1800" s="343" t="s">
        <v>9064</v>
      </c>
    </row>
    <row r="1801" spans="1:8" x14ac:dyDescent="0.2">
      <c r="A1801" s="271" t="s">
        <v>21535</v>
      </c>
      <c r="B1801" s="259" t="s">
        <v>21535</v>
      </c>
      <c r="C1801" s="259" t="s">
        <v>21536</v>
      </c>
      <c r="D1801" s="259" t="s">
        <v>19847</v>
      </c>
      <c r="E1801" s="259">
        <v>9</v>
      </c>
      <c r="F1801" s="259" t="s">
        <v>2713</v>
      </c>
      <c r="G1801" s="259" t="s">
        <v>2708</v>
      </c>
      <c r="H1801" s="343" t="s">
        <v>2709</v>
      </c>
    </row>
    <row r="1802" spans="1:8" x14ac:dyDescent="0.2">
      <c r="A1802" s="271" t="s">
        <v>21537</v>
      </c>
      <c r="B1802" s="259" t="s">
        <v>21537</v>
      </c>
      <c r="C1802" s="259" t="s">
        <v>21536</v>
      </c>
      <c r="D1802" s="259" t="s">
        <v>13720</v>
      </c>
      <c r="E1802" s="259">
        <v>1</v>
      </c>
      <c r="F1802" s="259" t="s">
        <v>276</v>
      </c>
      <c r="G1802" s="259" t="s">
        <v>271</v>
      </c>
      <c r="H1802" s="343" t="s">
        <v>272</v>
      </c>
    </row>
    <row r="1803" spans="1:8" x14ac:dyDescent="0.2">
      <c r="A1803" s="271" t="s">
        <v>21537</v>
      </c>
      <c r="B1803" s="259" t="s">
        <v>21537</v>
      </c>
      <c r="C1803" s="259" t="s">
        <v>21536</v>
      </c>
      <c r="D1803" s="259" t="s">
        <v>13720</v>
      </c>
      <c r="E1803" s="259">
        <v>2</v>
      </c>
      <c r="F1803" s="259" t="s">
        <v>276</v>
      </c>
      <c r="G1803" s="259" t="s">
        <v>409</v>
      </c>
      <c r="H1803" s="343" t="s">
        <v>410</v>
      </c>
    </row>
    <row r="1804" spans="1:8" x14ac:dyDescent="0.2">
      <c r="A1804" s="271" t="s">
        <v>21537</v>
      </c>
      <c r="B1804" s="259" t="s">
        <v>21537</v>
      </c>
      <c r="C1804" s="259" t="s">
        <v>21536</v>
      </c>
      <c r="D1804" s="259" t="s">
        <v>13720</v>
      </c>
      <c r="E1804" s="259">
        <v>3</v>
      </c>
      <c r="F1804" s="259" t="s">
        <v>276</v>
      </c>
      <c r="G1804" s="259" t="s">
        <v>818</v>
      </c>
      <c r="H1804" s="343" t="s">
        <v>819</v>
      </c>
    </row>
    <row r="1805" spans="1:8" x14ac:dyDescent="0.2">
      <c r="A1805" s="271" t="s">
        <v>21537</v>
      </c>
      <c r="B1805" s="259" t="s">
        <v>21537</v>
      </c>
      <c r="C1805" s="259" t="s">
        <v>21536</v>
      </c>
      <c r="D1805" s="259" t="s">
        <v>13720</v>
      </c>
      <c r="E1805" s="259">
        <v>4</v>
      </c>
      <c r="F1805" s="259" t="s">
        <v>276</v>
      </c>
      <c r="G1805" s="259" t="s">
        <v>1036</v>
      </c>
      <c r="H1805" s="343" t="s">
        <v>1037</v>
      </c>
    </row>
    <row r="1806" spans="1:8" x14ac:dyDescent="0.2">
      <c r="A1806" s="271" t="s">
        <v>21537</v>
      </c>
      <c r="B1806" s="259" t="s">
        <v>21537</v>
      </c>
      <c r="C1806" s="259" t="s">
        <v>21536</v>
      </c>
      <c r="D1806" s="259" t="s">
        <v>13720</v>
      </c>
      <c r="E1806" s="259">
        <v>5</v>
      </c>
      <c r="F1806" s="259" t="s">
        <v>276</v>
      </c>
      <c r="G1806" s="259" t="s">
        <v>1171</v>
      </c>
      <c r="H1806" s="343" t="s">
        <v>1172</v>
      </c>
    </row>
    <row r="1807" spans="1:8" x14ac:dyDescent="0.2">
      <c r="A1807" s="271" t="s">
        <v>21537</v>
      </c>
      <c r="B1807" s="259" t="s">
        <v>21537</v>
      </c>
      <c r="C1807" s="259" t="s">
        <v>21536</v>
      </c>
      <c r="D1807" s="259" t="s">
        <v>13720</v>
      </c>
      <c r="E1807" s="259">
        <v>6</v>
      </c>
      <c r="F1807" s="259" t="s">
        <v>276</v>
      </c>
      <c r="G1807" s="259" t="s">
        <v>1279</v>
      </c>
      <c r="H1807" s="343" t="s">
        <v>1280</v>
      </c>
    </row>
    <row r="1808" spans="1:8" x14ac:dyDescent="0.2">
      <c r="A1808" s="271" t="s">
        <v>21537</v>
      </c>
      <c r="B1808" s="259" t="s">
        <v>21537</v>
      </c>
      <c r="C1808" s="259" t="s">
        <v>21536</v>
      </c>
      <c r="D1808" s="259" t="s">
        <v>13720</v>
      </c>
      <c r="E1808" s="259">
        <v>7</v>
      </c>
      <c r="F1808" s="259" t="s">
        <v>276</v>
      </c>
      <c r="G1808" s="259" t="s">
        <v>1681</v>
      </c>
      <c r="H1808" s="343" t="s">
        <v>1682</v>
      </c>
    </row>
    <row r="1809" spans="1:8" x14ac:dyDescent="0.2">
      <c r="A1809" s="271" t="s">
        <v>21537</v>
      </c>
      <c r="B1809" s="259" t="s">
        <v>21537</v>
      </c>
      <c r="C1809" s="259" t="s">
        <v>21536</v>
      </c>
      <c r="D1809" s="259" t="s">
        <v>13720</v>
      </c>
      <c r="E1809" s="259">
        <v>8</v>
      </c>
      <c r="F1809" s="259" t="s">
        <v>276</v>
      </c>
      <c r="G1809" s="259" t="s">
        <v>1881</v>
      </c>
      <c r="H1809" s="343" t="s">
        <v>1882</v>
      </c>
    </row>
    <row r="1810" spans="1:8" x14ac:dyDescent="0.2">
      <c r="A1810" s="271" t="s">
        <v>21537</v>
      </c>
      <c r="B1810" s="259" t="s">
        <v>21537</v>
      </c>
      <c r="C1810" s="259" t="s">
        <v>21536</v>
      </c>
      <c r="D1810" s="259" t="s">
        <v>13720</v>
      </c>
      <c r="E1810" s="259">
        <v>9</v>
      </c>
      <c r="F1810" s="259" t="s">
        <v>276</v>
      </c>
      <c r="G1810" s="259" t="s">
        <v>2175</v>
      </c>
      <c r="H1810" s="343" t="s">
        <v>2176</v>
      </c>
    </row>
    <row r="1811" spans="1:8" x14ac:dyDescent="0.2">
      <c r="A1811" s="271" t="s">
        <v>21537</v>
      </c>
      <c r="B1811" s="259" t="s">
        <v>21537</v>
      </c>
      <c r="C1811" s="259" t="s">
        <v>21536</v>
      </c>
      <c r="D1811" s="259" t="s">
        <v>13720</v>
      </c>
      <c r="E1811" s="259">
        <v>10</v>
      </c>
      <c r="F1811" s="259" t="s">
        <v>276</v>
      </c>
      <c r="G1811" s="259" t="s">
        <v>2266</v>
      </c>
      <c r="H1811" s="343" t="s">
        <v>2267</v>
      </c>
    </row>
    <row r="1812" spans="1:8" x14ac:dyDescent="0.2">
      <c r="A1812" s="271" t="s">
        <v>21537</v>
      </c>
      <c r="B1812" s="259" t="s">
        <v>21537</v>
      </c>
      <c r="C1812" s="259" t="s">
        <v>21536</v>
      </c>
      <c r="D1812" s="259" t="s">
        <v>13720</v>
      </c>
      <c r="E1812" s="259">
        <v>11</v>
      </c>
      <c r="F1812" s="259" t="s">
        <v>276</v>
      </c>
      <c r="G1812" s="259" t="s">
        <v>2695</v>
      </c>
      <c r="H1812" s="343" t="s">
        <v>2696</v>
      </c>
    </row>
    <row r="1813" spans="1:8" x14ac:dyDescent="0.2">
      <c r="A1813" s="271" t="s">
        <v>21537</v>
      </c>
      <c r="B1813" s="259" t="s">
        <v>21537</v>
      </c>
      <c r="C1813" s="259" t="s">
        <v>21536</v>
      </c>
      <c r="D1813" s="259" t="s">
        <v>13720</v>
      </c>
      <c r="E1813" s="259">
        <v>12</v>
      </c>
      <c r="F1813" s="259" t="s">
        <v>276</v>
      </c>
      <c r="G1813" s="259" t="s">
        <v>2777</v>
      </c>
      <c r="H1813" s="343" t="s">
        <v>2778</v>
      </c>
    </row>
    <row r="1814" spans="1:8" x14ac:dyDescent="0.2">
      <c r="A1814" s="271" t="s">
        <v>21537</v>
      </c>
      <c r="B1814" s="259" t="s">
        <v>21537</v>
      </c>
      <c r="C1814" s="259" t="s">
        <v>21536</v>
      </c>
      <c r="D1814" s="259" t="s">
        <v>13720</v>
      </c>
      <c r="E1814" s="259">
        <v>13</v>
      </c>
      <c r="F1814" s="259" t="s">
        <v>276</v>
      </c>
      <c r="G1814" s="259" t="s">
        <v>3264</v>
      </c>
      <c r="H1814" s="343" t="s">
        <v>3265</v>
      </c>
    </row>
    <row r="1815" spans="1:8" x14ac:dyDescent="0.2">
      <c r="A1815" s="271" t="s">
        <v>21537</v>
      </c>
      <c r="B1815" s="259" t="s">
        <v>21537</v>
      </c>
      <c r="C1815" s="259" t="s">
        <v>21536</v>
      </c>
      <c r="D1815" s="259" t="s">
        <v>13720</v>
      </c>
      <c r="E1815" s="259">
        <v>14</v>
      </c>
      <c r="F1815" s="259" t="s">
        <v>276</v>
      </c>
      <c r="G1815" s="259" t="s">
        <v>3377</v>
      </c>
      <c r="H1815" s="343" t="s">
        <v>3378</v>
      </c>
    </row>
    <row r="1816" spans="1:8" x14ac:dyDescent="0.2">
      <c r="A1816" s="271" t="s">
        <v>21537</v>
      </c>
      <c r="B1816" s="259" t="s">
        <v>21537</v>
      </c>
      <c r="C1816" s="259" t="s">
        <v>21536</v>
      </c>
      <c r="D1816" s="259" t="s">
        <v>13720</v>
      </c>
      <c r="E1816" s="259">
        <v>15</v>
      </c>
      <c r="F1816" s="259" t="s">
        <v>276</v>
      </c>
      <c r="G1816" s="259" t="s">
        <v>3702</v>
      </c>
      <c r="H1816" s="343" t="s">
        <v>3703</v>
      </c>
    </row>
    <row r="1817" spans="1:8" x14ac:dyDescent="0.2">
      <c r="A1817" s="271" t="s">
        <v>21537</v>
      </c>
      <c r="B1817" s="259" t="s">
        <v>21537</v>
      </c>
      <c r="C1817" s="259" t="s">
        <v>21536</v>
      </c>
      <c r="D1817" s="259" t="s">
        <v>13720</v>
      </c>
      <c r="E1817" s="259">
        <v>16</v>
      </c>
      <c r="F1817" s="259" t="s">
        <v>276</v>
      </c>
      <c r="G1817" s="259" t="s">
        <v>3761</v>
      </c>
      <c r="H1817" s="343" t="s">
        <v>3762</v>
      </c>
    </row>
    <row r="1818" spans="1:8" x14ac:dyDescent="0.2">
      <c r="A1818" s="271" t="s">
        <v>21537</v>
      </c>
      <c r="B1818" s="259" t="s">
        <v>21537</v>
      </c>
      <c r="C1818" s="259" t="s">
        <v>21536</v>
      </c>
      <c r="D1818" s="259" t="s">
        <v>13720</v>
      </c>
      <c r="E1818" s="259">
        <v>17</v>
      </c>
      <c r="F1818" s="259" t="s">
        <v>276</v>
      </c>
      <c r="G1818" s="259" t="s">
        <v>4075</v>
      </c>
      <c r="H1818" s="343" t="s">
        <v>4076</v>
      </c>
    </row>
    <row r="1819" spans="1:8" x14ac:dyDescent="0.2">
      <c r="A1819" s="271" t="s">
        <v>21537</v>
      </c>
      <c r="B1819" s="259" t="s">
        <v>21537</v>
      </c>
      <c r="C1819" s="259" t="s">
        <v>21536</v>
      </c>
      <c r="D1819" s="259" t="s">
        <v>13720</v>
      </c>
      <c r="E1819" s="259">
        <v>18</v>
      </c>
      <c r="F1819" s="259" t="s">
        <v>276</v>
      </c>
      <c r="G1819" s="259" t="s">
        <v>4159</v>
      </c>
      <c r="H1819" s="343" t="s">
        <v>4160</v>
      </c>
    </row>
    <row r="1820" spans="1:8" x14ac:dyDescent="0.2">
      <c r="A1820" s="271" t="s">
        <v>21537</v>
      </c>
      <c r="B1820" s="259" t="s">
        <v>21537</v>
      </c>
      <c r="C1820" s="259" t="s">
        <v>21536</v>
      </c>
      <c r="D1820" s="259" t="s">
        <v>13720</v>
      </c>
      <c r="E1820" s="259">
        <v>19</v>
      </c>
      <c r="F1820" s="259" t="s">
        <v>276</v>
      </c>
      <c r="G1820" s="259" t="s">
        <v>4257</v>
      </c>
      <c r="H1820" s="343" t="s">
        <v>4258</v>
      </c>
    </row>
    <row r="1821" spans="1:8" x14ac:dyDescent="0.2">
      <c r="A1821" s="271" t="s">
        <v>21537</v>
      </c>
      <c r="B1821" s="259" t="s">
        <v>21537</v>
      </c>
      <c r="C1821" s="259" t="s">
        <v>21536</v>
      </c>
      <c r="D1821" s="259" t="s">
        <v>13720</v>
      </c>
      <c r="E1821" s="259">
        <v>20</v>
      </c>
      <c r="F1821" s="259" t="s">
        <v>276</v>
      </c>
      <c r="G1821" s="259" t="s">
        <v>4503</v>
      </c>
      <c r="H1821" s="343" t="s">
        <v>4504</v>
      </c>
    </row>
    <row r="1822" spans="1:8" x14ac:dyDescent="0.2">
      <c r="A1822" s="271" t="s">
        <v>21537</v>
      </c>
      <c r="B1822" s="259" t="s">
        <v>21537</v>
      </c>
      <c r="C1822" s="259" t="s">
        <v>21536</v>
      </c>
      <c r="D1822" s="259" t="s">
        <v>13720</v>
      </c>
      <c r="E1822" s="259">
        <v>21</v>
      </c>
      <c r="F1822" s="259" t="s">
        <v>276</v>
      </c>
      <c r="G1822" s="259" t="s">
        <v>9926</v>
      </c>
      <c r="H1822" s="343" t="s">
        <v>9927</v>
      </c>
    </row>
    <row r="1823" spans="1:8" x14ac:dyDescent="0.2">
      <c r="A1823" s="271" t="s">
        <v>21537</v>
      </c>
      <c r="B1823" s="259" t="s">
        <v>21537</v>
      </c>
      <c r="C1823" s="259" t="s">
        <v>21536</v>
      </c>
      <c r="D1823" s="259" t="s">
        <v>13720</v>
      </c>
      <c r="E1823" s="259">
        <v>22</v>
      </c>
      <c r="F1823" s="259" t="s">
        <v>276</v>
      </c>
      <c r="G1823" s="259" t="s">
        <v>9885</v>
      </c>
      <c r="H1823" s="343" t="s">
        <v>9886</v>
      </c>
    </row>
    <row r="1824" spans="1:8" x14ac:dyDescent="0.2">
      <c r="A1824" s="271" t="s">
        <v>21537</v>
      </c>
      <c r="B1824" s="259" t="s">
        <v>21537</v>
      </c>
      <c r="C1824" s="259" t="s">
        <v>21536</v>
      </c>
      <c r="D1824" s="259" t="s">
        <v>13720</v>
      </c>
      <c r="E1824" s="259">
        <v>23</v>
      </c>
      <c r="F1824" s="259" t="s">
        <v>276</v>
      </c>
      <c r="G1824" s="259" t="s">
        <v>9964</v>
      </c>
      <c r="H1824" s="343" t="s">
        <v>9965</v>
      </c>
    </row>
    <row r="1825" spans="1:8" x14ac:dyDescent="0.2">
      <c r="A1825" s="271" t="s">
        <v>21537</v>
      </c>
      <c r="B1825" s="259" t="s">
        <v>21537</v>
      </c>
      <c r="C1825" s="259" t="s">
        <v>21536</v>
      </c>
      <c r="D1825" s="259" t="s">
        <v>13720</v>
      </c>
      <c r="E1825" s="259">
        <v>24</v>
      </c>
      <c r="F1825" s="259" t="s">
        <v>276</v>
      </c>
      <c r="G1825" s="259" t="s">
        <v>9936</v>
      </c>
      <c r="H1825" s="343" t="s">
        <v>9937</v>
      </c>
    </row>
    <row r="1826" spans="1:8" x14ac:dyDescent="0.2">
      <c r="A1826" s="271" t="s">
        <v>21537</v>
      </c>
      <c r="B1826" s="259" t="s">
        <v>21537</v>
      </c>
      <c r="C1826" s="259" t="s">
        <v>21536</v>
      </c>
      <c r="D1826" s="259" t="s">
        <v>13720</v>
      </c>
      <c r="E1826" s="259">
        <v>25</v>
      </c>
      <c r="F1826" s="259" t="s">
        <v>276</v>
      </c>
      <c r="G1826" s="259" t="s">
        <v>9897</v>
      </c>
      <c r="H1826" s="343" t="s">
        <v>9898</v>
      </c>
    </row>
    <row r="1827" spans="1:8" x14ac:dyDescent="0.2">
      <c r="A1827" s="271" t="s">
        <v>21537</v>
      </c>
      <c r="B1827" s="259" t="s">
        <v>21537</v>
      </c>
      <c r="C1827" s="259" t="s">
        <v>21536</v>
      </c>
      <c r="D1827" s="259" t="s">
        <v>13720</v>
      </c>
      <c r="E1827" s="259">
        <v>26</v>
      </c>
      <c r="F1827" s="259" t="s">
        <v>276</v>
      </c>
      <c r="G1827" s="259" t="s">
        <v>9975</v>
      </c>
      <c r="H1827" s="343" t="s">
        <v>9976</v>
      </c>
    </row>
    <row r="1828" spans="1:8" x14ac:dyDescent="0.2">
      <c r="A1828" s="271" t="s">
        <v>21537</v>
      </c>
      <c r="B1828" s="259" t="s">
        <v>21537</v>
      </c>
      <c r="C1828" s="259" t="s">
        <v>21536</v>
      </c>
      <c r="D1828" s="259" t="s">
        <v>13720</v>
      </c>
      <c r="E1828" s="259">
        <v>27</v>
      </c>
      <c r="F1828" s="259" t="s">
        <v>276</v>
      </c>
      <c r="G1828" s="259" t="s">
        <v>9943</v>
      </c>
      <c r="H1828" s="343" t="s">
        <v>9944</v>
      </c>
    </row>
    <row r="1829" spans="1:8" x14ac:dyDescent="0.2">
      <c r="A1829" s="271" t="s">
        <v>21537</v>
      </c>
      <c r="B1829" s="259" t="s">
        <v>21537</v>
      </c>
      <c r="C1829" s="259" t="s">
        <v>21536</v>
      </c>
      <c r="D1829" s="259" t="s">
        <v>13720</v>
      </c>
      <c r="E1829" s="259">
        <v>28</v>
      </c>
      <c r="F1829" s="259" t="s">
        <v>276</v>
      </c>
      <c r="G1829" s="259" t="s">
        <v>9904</v>
      </c>
      <c r="H1829" s="343" t="s">
        <v>9905</v>
      </c>
    </row>
    <row r="1830" spans="1:8" x14ac:dyDescent="0.2">
      <c r="A1830" s="271" t="s">
        <v>21537</v>
      </c>
      <c r="B1830" s="259" t="s">
        <v>21537</v>
      </c>
      <c r="C1830" s="259" t="s">
        <v>21536</v>
      </c>
      <c r="D1830" s="259" t="s">
        <v>13720</v>
      </c>
      <c r="E1830" s="259">
        <v>29</v>
      </c>
      <c r="F1830" s="259" t="s">
        <v>276</v>
      </c>
      <c r="G1830" s="259" t="s">
        <v>9982</v>
      </c>
      <c r="H1830" s="343" t="s">
        <v>9983</v>
      </c>
    </row>
    <row r="1831" spans="1:8" x14ac:dyDescent="0.2">
      <c r="A1831" s="271" t="s">
        <v>21537</v>
      </c>
      <c r="B1831" s="259" t="s">
        <v>21537</v>
      </c>
      <c r="C1831" s="259" t="s">
        <v>21536</v>
      </c>
      <c r="D1831" s="259" t="s">
        <v>13720</v>
      </c>
      <c r="E1831" s="259">
        <v>30</v>
      </c>
      <c r="F1831" s="259" t="s">
        <v>276</v>
      </c>
      <c r="G1831" s="259" t="s">
        <v>9950</v>
      </c>
      <c r="H1831" s="343" t="s">
        <v>9951</v>
      </c>
    </row>
    <row r="1832" spans="1:8" x14ac:dyDescent="0.2">
      <c r="A1832" s="271" t="s">
        <v>21537</v>
      </c>
      <c r="B1832" s="259" t="s">
        <v>21537</v>
      </c>
      <c r="C1832" s="259" t="s">
        <v>21536</v>
      </c>
      <c r="D1832" s="259" t="s">
        <v>13720</v>
      </c>
      <c r="E1832" s="259">
        <v>31</v>
      </c>
      <c r="F1832" s="259" t="s">
        <v>276</v>
      </c>
      <c r="G1832" s="259" t="s">
        <v>9912</v>
      </c>
      <c r="H1832" s="343" t="s">
        <v>9913</v>
      </c>
    </row>
    <row r="1833" spans="1:8" x14ac:dyDescent="0.2">
      <c r="A1833" s="271" t="s">
        <v>21537</v>
      </c>
      <c r="B1833" s="259" t="s">
        <v>21537</v>
      </c>
      <c r="C1833" s="259" t="s">
        <v>21536</v>
      </c>
      <c r="D1833" s="259" t="s">
        <v>13720</v>
      </c>
      <c r="E1833" s="259">
        <v>32</v>
      </c>
      <c r="F1833" s="259" t="s">
        <v>276</v>
      </c>
      <c r="G1833" s="259" t="s">
        <v>9989</v>
      </c>
      <c r="H1833" s="343" t="s">
        <v>9990</v>
      </c>
    </row>
    <row r="1834" spans="1:8" x14ac:dyDescent="0.2">
      <c r="A1834" s="271" t="s">
        <v>21537</v>
      </c>
      <c r="B1834" s="259" t="s">
        <v>21537</v>
      </c>
      <c r="C1834" s="259" t="s">
        <v>21536</v>
      </c>
      <c r="D1834" s="259" t="s">
        <v>13720</v>
      </c>
      <c r="E1834" s="259">
        <v>33</v>
      </c>
      <c r="F1834" s="259" t="s">
        <v>276</v>
      </c>
      <c r="G1834" s="259" t="s">
        <v>9957</v>
      </c>
      <c r="H1834" s="343" t="s">
        <v>9958</v>
      </c>
    </row>
    <row r="1835" spans="1:8" x14ac:dyDescent="0.2">
      <c r="A1835" s="271" t="s">
        <v>21537</v>
      </c>
      <c r="B1835" s="259" t="s">
        <v>21537</v>
      </c>
      <c r="C1835" s="259" t="s">
        <v>21536</v>
      </c>
      <c r="D1835" s="259" t="s">
        <v>13720</v>
      </c>
      <c r="E1835" s="259">
        <v>34</v>
      </c>
      <c r="F1835" s="259" t="s">
        <v>276</v>
      </c>
      <c r="G1835" s="259" t="s">
        <v>9919</v>
      </c>
      <c r="H1835" s="343" t="s">
        <v>9920</v>
      </c>
    </row>
    <row r="1836" spans="1:8" x14ac:dyDescent="0.2">
      <c r="A1836" s="271" t="s">
        <v>21537</v>
      </c>
      <c r="B1836" s="259" t="s">
        <v>21537</v>
      </c>
      <c r="C1836" s="259" t="s">
        <v>21536</v>
      </c>
      <c r="D1836" s="259" t="s">
        <v>13720</v>
      </c>
      <c r="E1836" s="259">
        <v>35</v>
      </c>
      <c r="F1836" s="259" t="s">
        <v>276</v>
      </c>
      <c r="G1836" s="259" t="s">
        <v>8652</v>
      </c>
      <c r="H1836" s="343" t="s">
        <v>9997</v>
      </c>
    </row>
    <row r="1837" spans="1:8" x14ac:dyDescent="0.2">
      <c r="A1837" s="271" t="s">
        <v>21537</v>
      </c>
      <c r="B1837" s="259" t="s">
        <v>21537</v>
      </c>
      <c r="C1837" s="259" t="s">
        <v>21536</v>
      </c>
      <c r="D1837" s="259" t="s">
        <v>13720</v>
      </c>
      <c r="E1837" s="259">
        <v>36</v>
      </c>
      <c r="F1837" s="259" t="s">
        <v>276</v>
      </c>
      <c r="G1837" s="259" t="s">
        <v>14674</v>
      </c>
      <c r="H1837" s="343" t="s">
        <v>14675</v>
      </c>
    </row>
    <row r="1838" spans="1:8" x14ac:dyDescent="0.2">
      <c r="A1838" s="271" t="s">
        <v>21537</v>
      </c>
      <c r="B1838" s="259" t="s">
        <v>21537</v>
      </c>
      <c r="C1838" s="259" t="s">
        <v>21536</v>
      </c>
      <c r="D1838" s="259" t="s">
        <v>13720</v>
      </c>
      <c r="E1838" s="259">
        <v>37</v>
      </c>
      <c r="F1838" s="259" t="s">
        <v>276</v>
      </c>
      <c r="G1838" s="259" t="s">
        <v>14676</v>
      </c>
      <c r="H1838" s="343" t="s">
        <v>14677</v>
      </c>
    </row>
    <row r="1839" spans="1:8" x14ac:dyDescent="0.2">
      <c r="A1839" s="271" t="s">
        <v>21537</v>
      </c>
      <c r="B1839" s="259" t="s">
        <v>21537</v>
      </c>
      <c r="C1839" s="259" t="s">
        <v>21536</v>
      </c>
      <c r="D1839" s="259" t="s">
        <v>13720</v>
      </c>
      <c r="E1839" s="259">
        <v>38</v>
      </c>
      <c r="F1839" s="259" t="s">
        <v>276</v>
      </c>
      <c r="G1839" s="259" t="s">
        <v>14678</v>
      </c>
      <c r="H1839" s="343" t="s">
        <v>14679</v>
      </c>
    </row>
    <row r="1840" spans="1:8" x14ac:dyDescent="0.2">
      <c r="A1840" s="271" t="s">
        <v>21537</v>
      </c>
      <c r="B1840" s="259" t="s">
        <v>21537</v>
      </c>
      <c r="C1840" s="259" t="s">
        <v>21536</v>
      </c>
      <c r="D1840" s="259" t="s">
        <v>13720</v>
      </c>
      <c r="E1840" s="259">
        <v>39</v>
      </c>
      <c r="F1840" s="259" t="s">
        <v>276</v>
      </c>
      <c r="G1840" s="259" t="s">
        <v>14680</v>
      </c>
      <c r="H1840" s="343" t="s">
        <v>14681</v>
      </c>
    </row>
    <row r="1841" spans="1:8" x14ac:dyDescent="0.2">
      <c r="A1841" s="271" t="s">
        <v>21537</v>
      </c>
      <c r="B1841" s="259" t="s">
        <v>21537</v>
      </c>
      <c r="C1841" s="259" t="s">
        <v>21536</v>
      </c>
      <c r="D1841" s="259" t="s">
        <v>13720</v>
      </c>
      <c r="E1841" s="259">
        <v>40</v>
      </c>
      <c r="F1841" s="259" t="s">
        <v>276</v>
      </c>
      <c r="G1841" s="259" t="s">
        <v>14682</v>
      </c>
      <c r="H1841" s="343" t="s">
        <v>14683</v>
      </c>
    </row>
    <row r="1842" spans="1:8" x14ac:dyDescent="0.2">
      <c r="A1842" s="271" t="s">
        <v>21538</v>
      </c>
      <c r="B1842" s="259" t="s">
        <v>21538</v>
      </c>
      <c r="C1842" s="259" t="s">
        <v>21536</v>
      </c>
      <c r="D1842" s="259" t="s">
        <v>21539</v>
      </c>
      <c r="E1842" s="259">
        <v>1</v>
      </c>
      <c r="F1842" s="259" t="s">
        <v>21540</v>
      </c>
      <c r="G1842" s="259" t="s">
        <v>14410</v>
      </c>
      <c r="H1842" s="343" t="s">
        <v>14411</v>
      </c>
    </row>
    <row r="1843" spans="1:8" x14ac:dyDescent="0.2">
      <c r="A1843" s="271" t="s">
        <v>21538</v>
      </c>
      <c r="B1843" s="259" t="s">
        <v>21538</v>
      </c>
      <c r="C1843" s="259" t="s">
        <v>21536</v>
      </c>
      <c r="D1843" s="259" t="s">
        <v>21539</v>
      </c>
      <c r="E1843" s="259">
        <v>2</v>
      </c>
      <c r="F1843" s="259" t="s">
        <v>21541</v>
      </c>
      <c r="G1843" s="259" t="s">
        <v>14646</v>
      </c>
      <c r="H1843" s="343" t="s">
        <v>14647</v>
      </c>
    </row>
    <row r="1844" spans="1:8" x14ac:dyDescent="0.2">
      <c r="A1844" s="271" t="s">
        <v>21538</v>
      </c>
      <c r="B1844" s="259" t="s">
        <v>21538</v>
      </c>
      <c r="C1844" s="259" t="s">
        <v>21536</v>
      </c>
      <c r="D1844" s="259" t="s">
        <v>21539</v>
      </c>
      <c r="E1844" s="259">
        <v>3</v>
      </c>
      <c r="F1844" s="259" t="s">
        <v>21542</v>
      </c>
      <c r="G1844" s="259" t="s">
        <v>14366</v>
      </c>
      <c r="H1844" s="343" t="s">
        <v>14367</v>
      </c>
    </row>
    <row r="1845" spans="1:8" x14ac:dyDescent="0.2">
      <c r="A1845" s="271" t="s">
        <v>21538</v>
      </c>
      <c r="B1845" s="259" t="s">
        <v>21538</v>
      </c>
      <c r="C1845" s="259" t="s">
        <v>21536</v>
      </c>
      <c r="D1845" s="259" t="s">
        <v>21539</v>
      </c>
      <c r="E1845" s="259">
        <v>4</v>
      </c>
      <c r="F1845" s="259" t="s">
        <v>21543</v>
      </c>
      <c r="G1845" s="259" t="s">
        <v>13916</v>
      </c>
      <c r="H1845" s="343" t="s">
        <v>13917</v>
      </c>
    </row>
    <row r="1846" spans="1:8" x14ac:dyDescent="0.2">
      <c r="A1846" s="271" t="s">
        <v>21538</v>
      </c>
      <c r="B1846" s="259" t="s">
        <v>21538</v>
      </c>
      <c r="C1846" s="259" t="s">
        <v>21536</v>
      </c>
      <c r="D1846" s="259" t="s">
        <v>21539</v>
      </c>
      <c r="E1846" s="259">
        <v>5</v>
      </c>
      <c r="F1846" s="259" t="s">
        <v>21544</v>
      </c>
      <c r="G1846" s="259" t="s">
        <v>13939</v>
      </c>
      <c r="H1846" s="343" t="s">
        <v>13940</v>
      </c>
    </row>
    <row r="1847" spans="1:8" x14ac:dyDescent="0.2">
      <c r="A1847" s="271" t="s">
        <v>21538</v>
      </c>
      <c r="B1847" s="259" t="s">
        <v>21538</v>
      </c>
      <c r="C1847" s="259" t="s">
        <v>21536</v>
      </c>
      <c r="D1847" s="259" t="s">
        <v>21539</v>
      </c>
      <c r="E1847" s="259">
        <v>6</v>
      </c>
      <c r="F1847" s="259" t="s">
        <v>21545</v>
      </c>
      <c r="G1847" s="259" t="s">
        <v>13960</v>
      </c>
      <c r="H1847" s="343" t="s">
        <v>13961</v>
      </c>
    </row>
    <row r="1848" spans="1:8" x14ac:dyDescent="0.2">
      <c r="A1848" s="271" t="s">
        <v>21538</v>
      </c>
      <c r="B1848" s="259" t="s">
        <v>21538</v>
      </c>
      <c r="C1848" s="259" t="s">
        <v>21536</v>
      </c>
      <c r="D1848" s="259" t="s">
        <v>21539</v>
      </c>
      <c r="E1848" s="259">
        <v>7</v>
      </c>
      <c r="F1848" s="259" t="s">
        <v>21546</v>
      </c>
      <c r="G1848" s="259" t="s">
        <v>14614</v>
      </c>
      <c r="H1848" s="343" t="s">
        <v>14615</v>
      </c>
    </row>
    <row r="1849" spans="1:8" x14ac:dyDescent="0.2">
      <c r="A1849" s="271" t="s">
        <v>21538</v>
      </c>
      <c r="B1849" s="259" t="s">
        <v>21538</v>
      </c>
      <c r="C1849" s="259" t="s">
        <v>21536</v>
      </c>
      <c r="D1849" s="259" t="s">
        <v>21539</v>
      </c>
      <c r="E1849" s="259">
        <v>8</v>
      </c>
      <c r="F1849" s="259" t="s">
        <v>21547</v>
      </c>
      <c r="G1849" s="259" t="s">
        <v>14404</v>
      </c>
      <c r="H1849" s="343" t="s">
        <v>14405</v>
      </c>
    </row>
    <row r="1850" spans="1:8" x14ac:dyDescent="0.2">
      <c r="A1850" s="271" t="s">
        <v>21538</v>
      </c>
      <c r="B1850" s="259" t="s">
        <v>21538</v>
      </c>
      <c r="C1850" s="259" t="s">
        <v>21536</v>
      </c>
      <c r="D1850" s="259" t="s">
        <v>21539</v>
      </c>
      <c r="E1850" s="259">
        <v>9</v>
      </c>
      <c r="F1850" s="259" t="s">
        <v>21548</v>
      </c>
      <c r="G1850" s="259" t="s">
        <v>14397</v>
      </c>
      <c r="H1850" s="343" t="s">
        <v>14398</v>
      </c>
    </row>
    <row r="1851" spans="1:8" x14ac:dyDescent="0.2">
      <c r="A1851" s="271" t="s">
        <v>21538</v>
      </c>
      <c r="B1851" s="259" t="s">
        <v>21538</v>
      </c>
      <c r="C1851" s="259" t="s">
        <v>21536</v>
      </c>
      <c r="D1851" s="259" t="s">
        <v>21539</v>
      </c>
      <c r="E1851" s="259">
        <v>10</v>
      </c>
      <c r="F1851" s="259" t="s">
        <v>21549</v>
      </c>
      <c r="G1851" s="259" t="s">
        <v>14192</v>
      </c>
      <c r="H1851" s="343" t="s">
        <v>14193</v>
      </c>
    </row>
    <row r="1852" spans="1:8" x14ac:dyDescent="0.2">
      <c r="A1852" s="271" t="s">
        <v>21538</v>
      </c>
      <c r="B1852" s="259" t="s">
        <v>21538</v>
      </c>
      <c r="C1852" s="259" t="s">
        <v>21536</v>
      </c>
      <c r="D1852" s="259" t="s">
        <v>21539</v>
      </c>
      <c r="E1852" s="259">
        <v>11</v>
      </c>
      <c r="F1852" s="259" t="s">
        <v>21550</v>
      </c>
      <c r="G1852" s="259" t="s">
        <v>14023</v>
      </c>
      <c r="H1852" s="343" t="s">
        <v>14024</v>
      </c>
    </row>
    <row r="1853" spans="1:8" x14ac:dyDescent="0.2">
      <c r="A1853" s="271" t="s">
        <v>21538</v>
      </c>
      <c r="B1853" s="259" t="s">
        <v>21538</v>
      </c>
      <c r="C1853" s="259" t="s">
        <v>21536</v>
      </c>
      <c r="D1853" s="259" t="s">
        <v>21539</v>
      </c>
      <c r="E1853" s="259">
        <v>12</v>
      </c>
      <c r="F1853" s="259" t="s">
        <v>21551</v>
      </c>
      <c r="G1853" s="259" t="s">
        <v>14088</v>
      </c>
      <c r="H1853" s="343" t="s">
        <v>14089</v>
      </c>
    </row>
    <row r="1854" spans="1:8" x14ac:dyDescent="0.2">
      <c r="A1854" s="271" t="s">
        <v>21538</v>
      </c>
      <c r="B1854" s="259" t="s">
        <v>21538</v>
      </c>
      <c r="C1854" s="259" t="s">
        <v>21536</v>
      </c>
      <c r="D1854" s="259" t="s">
        <v>21539</v>
      </c>
      <c r="E1854" s="259">
        <v>13</v>
      </c>
      <c r="F1854" s="259" t="s">
        <v>21552</v>
      </c>
      <c r="G1854" s="259" t="s">
        <v>14606</v>
      </c>
      <c r="H1854" s="343" t="s">
        <v>14607</v>
      </c>
    </row>
    <row r="1855" spans="1:8" x14ac:dyDescent="0.2">
      <c r="A1855" s="271" t="s">
        <v>21538</v>
      </c>
      <c r="B1855" s="259" t="s">
        <v>21538</v>
      </c>
      <c r="C1855" s="259" t="s">
        <v>21536</v>
      </c>
      <c r="D1855" s="259" t="s">
        <v>21539</v>
      </c>
      <c r="E1855" s="259">
        <v>14</v>
      </c>
      <c r="F1855" s="259" t="s">
        <v>21553</v>
      </c>
      <c r="G1855" s="259" t="s">
        <v>13931</v>
      </c>
      <c r="H1855" s="343" t="s">
        <v>13932</v>
      </c>
    </row>
    <row r="1856" spans="1:8" x14ac:dyDescent="0.2">
      <c r="A1856" s="271" t="s">
        <v>21538</v>
      </c>
      <c r="B1856" s="259" t="s">
        <v>21538</v>
      </c>
      <c r="C1856" s="259" t="s">
        <v>21536</v>
      </c>
      <c r="D1856" s="259" t="s">
        <v>21539</v>
      </c>
      <c r="E1856" s="259">
        <v>15</v>
      </c>
      <c r="F1856" s="259" t="s">
        <v>21554</v>
      </c>
      <c r="G1856" s="259" t="s">
        <v>13927</v>
      </c>
      <c r="H1856" s="343" t="s">
        <v>13928</v>
      </c>
    </row>
    <row r="1857" spans="1:8" x14ac:dyDescent="0.2">
      <c r="A1857" s="271" t="s">
        <v>21538</v>
      </c>
      <c r="B1857" s="259" t="s">
        <v>21538</v>
      </c>
      <c r="C1857" s="259" t="s">
        <v>21536</v>
      </c>
      <c r="D1857" s="259" t="s">
        <v>21539</v>
      </c>
      <c r="E1857" s="259">
        <v>16</v>
      </c>
      <c r="F1857" s="259" t="s">
        <v>21555</v>
      </c>
      <c r="G1857" s="259" t="s">
        <v>14553</v>
      </c>
      <c r="H1857" s="343" t="s">
        <v>14554</v>
      </c>
    </row>
    <row r="1858" spans="1:8" x14ac:dyDescent="0.2">
      <c r="A1858" s="271" t="s">
        <v>21538</v>
      </c>
      <c r="B1858" s="259" t="s">
        <v>21538</v>
      </c>
      <c r="C1858" s="259" t="s">
        <v>21536</v>
      </c>
      <c r="D1858" s="259" t="s">
        <v>21539</v>
      </c>
      <c r="E1858" s="259">
        <v>17</v>
      </c>
      <c r="F1858" s="259" t="s">
        <v>21556</v>
      </c>
      <c r="G1858" s="259" t="s">
        <v>14527</v>
      </c>
      <c r="H1858" s="343" t="s">
        <v>14528</v>
      </c>
    </row>
    <row r="1859" spans="1:8" x14ac:dyDescent="0.2">
      <c r="A1859" s="271" t="s">
        <v>21538</v>
      </c>
      <c r="B1859" s="259" t="s">
        <v>21538</v>
      </c>
      <c r="C1859" s="259" t="s">
        <v>21536</v>
      </c>
      <c r="D1859" s="259" t="s">
        <v>21539</v>
      </c>
      <c r="E1859" s="259">
        <v>18</v>
      </c>
      <c r="F1859" s="259" t="s">
        <v>21557</v>
      </c>
      <c r="G1859" s="259" t="s">
        <v>14373</v>
      </c>
      <c r="H1859" s="343" t="s">
        <v>14374</v>
      </c>
    </row>
    <row r="1860" spans="1:8" x14ac:dyDescent="0.2">
      <c r="A1860" s="271" t="s">
        <v>21538</v>
      </c>
      <c r="B1860" s="259" t="s">
        <v>21538</v>
      </c>
      <c r="C1860" s="259" t="s">
        <v>21536</v>
      </c>
      <c r="D1860" s="259" t="s">
        <v>21539</v>
      </c>
      <c r="E1860" s="259">
        <v>19</v>
      </c>
      <c r="F1860" s="259" t="s">
        <v>21558</v>
      </c>
      <c r="G1860" s="259" t="s">
        <v>14627</v>
      </c>
      <c r="H1860" s="343" t="s">
        <v>14628</v>
      </c>
    </row>
    <row r="1861" spans="1:8" x14ac:dyDescent="0.2">
      <c r="A1861" s="271" t="s">
        <v>21538</v>
      </c>
      <c r="B1861" s="259" t="s">
        <v>21538</v>
      </c>
      <c r="C1861" s="259" t="s">
        <v>21536</v>
      </c>
      <c r="D1861" s="259" t="s">
        <v>21539</v>
      </c>
      <c r="E1861" s="259">
        <v>20</v>
      </c>
      <c r="F1861" s="259" t="s">
        <v>21559</v>
      </c>
      <c r="G1861" s="259" t="s">
        <v>14539</v>
      </c>
      <c r="H1861" s="343" t="s">
        <v>14540</v>
      </c>
    </row>
    <row r="1862" spans="1:8" x14ac:dyDescent="0.2">
      <c r="A1862" s="271" t="s">
        <v>21538</v>
      </c>
      <c r="B1862" s="259" t="s">
        <v>21538</v>
      </c>
      <c r="C1862" s="259" t="s">
        <v>21536</v>
      </c>
      <c r="D1862" s="259" t="s">
        <v>21539</v>
      </c>
      <c r="E1862" s="259">
        <v>21</v>
      </c>
      <c r="F1862" s="259" t="s">
        <v>21560</v>
      </c>
      <c r="G1862" s="259" t="s">
        <v>14469</v>
      </c>
      <c r="H1862" s="343" t="s">
        <v>14470</v>
      </c>
    </row>
    <row r="1863" spans="1:8" x14ac:dyDescent="0.2">
      <c r="A1863" s="271" t="s">
        <v>21538</v>
      </c>
      <c r="B1863" s="259" t="s">
        <v>21538</v>
      </c>
      <c r="C1863" s="259" t="s">
        <v>21536</v>
      </c>
      <c r="D1863" s="259" t="s">
        <v>21539</v>
      </c>
      <c r="E1863" s="259">
        <v>22</v>
      </c>
      <c r="F1863" s="259" t="s">
        <v>21561</v>
      </c>
      <c r="G1863" s="259" t="s">
        <v>14079</v>
      </c>
      <c r="H1863" s="343" t="s">
        <v>14080</v>
      </c>
    </row>
    <row r="1864" spans="1:8" x14ac:dyDescent="0.2">
      <c r="A1864" s="271" t="s">
        <v>21538</v>
      </c>
      <c r="B1864" s="259" t="s">
        <v>21538</v>
      </c>
      <c r="C1864" s="259" t="s">
        <v>21536</v>
      </c>
      <c r="D1864" s="259" t="s">
        <v>21539</v>
      </c>
      <c r="E1864" s="259">
        <v>23</v>
      </c>
      <c r="F1864" s="259" t="s">
        <v>21562</v>
      </c>
      <c r="G1864" s="259" t="s">
        <v>14109</v>
      </c>
      <c r="H1864" s="343" t="s">
        <v>14110</v>
      </c>
    </row>
    <row r="1865" spans="1:8" x14ac:dyDescent="0.2">
      <c r="A1865" s="271" t="s">
        <v>21538</v>
      </c>
      <c r="B1865" s="259" t="s">
        <v>21538</v>
      </c>
      <c r="C1865" s="259" t="s">
        <v>21536</v>
      </c>
      <c r="D1865" s="259" t="s">
        <v>21539</v>
      </c>
      <c r="E1865" s="259">
        <v>24</v>
      </c>
      <c r="F1865" s="259" t="s">
        <v>21563</v>
      </c>
      <c r="G1865" s="259" t="s">
        <v>14304</v>
      </c>
      <c r="H1865" s="343" t="s">
        <v>14305</v>
      </c>
    </row>
    <row r="1866" spans="1:8" x14ac:dyDescent="0.2">
      <c r="A1866" s="271" t="s">
        <v>21538</v>
      </c>
      <c r="B1866" s="259" t="s">
        <v>21538</v>
      </c>
      <c r="C1866" s="259" t="s">
        <v>21536</v>
      </c>
      <c r="D1866" s="259" t="s">
        <v>21539</v>
      </c>
      <c r="E1866" s="259">
        <v>25</v>
      </c>
      <c r="F1866" s="259" t="s">
        <v>21564</v>
      </c>
      <c r="G1866" s="259" t="s">
        <v>13934</v>
      </c>
      <c r="H1866" s="343" t="s">
        <v>13935</v>
      </c>
    </row>
    <row r="1867" spans="1:8" x14ac:dyDescent="0.2">
      <c r="A1867" s="271" t="s">
        <v>21538</v>
      </c>
      <c r="B1867" s="259" t="s">
        <v>21538</v>
      </c>
      <c r="C1867" s="259" t="s">
        <v>21536</v>
      </c>
      <c r="D1867" s="259" t="s">
        <v>21539</v>
      </c>
      <c r="E1867" s="259">
        <v>26</v>
      </c>
      <c r="F1867" s="259" t="s">
        <v>21565</v>
      </c>
      <c r="G1867" s="259" t="s">
        <v>14159</v>
      </c>
      <c r="H1867" s="343" t="s">
        <v>14160</v>
      </c>
    </row>
    <row r="1868" spans="1:8" x14ac:dyDescent="0.2">
      <c r="A1868" s="271" t="s">
        <v>21538</v>
      </c>
      <c r="B1868" s="259" t="s">
        <v>21538</v>
      </c>
      <c r="C1868" s="259" t="s">
        <v>21536</v>
      </c>
      <c r="D1868" s="259" t="s">
        <v>21539</v>
      </c>
      <c r="E1868" s="259">
        <v>27</v>
      </c>
      <c r="F1868" s="259" t="s">
        <v>21566</v>
      </c>
      <c r="G1868" s="259" t="s">
        <v>14210</v>
      </c>
      <c r="H1868" s="343" t="s">
        <v>14211</v>
      </c>
    </row>
    <row r="1869" spans="1:8" x14ac:dyDescent="0.2">
      <c r="A1869" s="271" t="s">
        <v>21538</v>
      </c>
      <c r="B1869" s="259" t="s">
        <v>21538</v>
      </c>
      <c r="C1869" s="259" t="s">
        <v>21536</v>
      </c>
      <c r="D1869" s="259" t="s">
        <v>21539</v>
      </c>
      <c r="E1869" s="259">
        <v>28</v>
      </c>
      <c r="F1869" s="259" t="s">
        <v>21567</v>
      </c>
      <c r="G1869" s="259" t="s">
        <v>14496</v>
      </c>
      <c r="H1869" s="343" t="s">
        <v>14497</v>
      </c>
    </row>
    <row r="1870" spans="1:8" x14ac:dyDescent="0.2">
      <c r="A1870" s="271" t="s">
        <v>21538</v>
      </c>
      <c r="B1870" s="259" t="s">
        <v>21538</v>
      </c>
      <c r="C1870" s="259" t="s">
        <v>21536</v>
      </c>
      <c r="D1870" s="259" t="s">
        <v>21539</v>
      </c>
      <c r="E1870" s="259">
        <v>29</v>
      </c>
      <c r="F1870" s="259" t="s">
        <v>21568</v>
      </c>
      <c r="G1870" s="259" t="s">
        <v>13923</v>
      </c>
      <c r="H1870" s="343" t="s">
        <v>13924</v>
      </c>
    </row>
    <row r="1871" spans="1:8" x14ac:dyDescent="0.2">
      <c r="A1871" s="271" t="s">
        <v>21538</v>
      </c>
      <c r="B1871" s="259" t="s">
        <v>21538</v>
      </c>
      <c r="C1871" s="259" t="s">
        <v>21536</v>
      </c>
      <c r="D1871" s="259" t="s">
        <v>21539</v>
      </c>
      <c r="E1871" s="259">
        <v>30</v>
      </c>
      <c r="F1871" s="259" t="s">
        <v>21569</v>
      </c>
      <c r="G1871" s="259" t="s">
        <v>14498</v>
      </c>
      <c r="H1871" s="343" t="s">
        <v>14499</v>
      </c>
    </row>
    <row r="1872" spans="1:8" x14ac:dyDescent="0.2">
      <c r="A1872" s="271" t="s">
        <v>21538</v>
      </c>
      <c r="B1872" s="259" t="s">
        <v>21538</v>
      </c>
      <c r="C1872" s="259" t="s">
        <v>21536</v>
      </c>
      <c r="D1872" s="259" t="s">
        <v>21539</v>
      </c>
      <c r="E1872" s="259">
        <v>31</v>
      </c>
      <c r="F1872" s="259" t="s">
        <v>21570</v>
      </c>
      <c r="G1872" s="259" t="s">
        <v>14120</v>
      </c>
      <c r="H1872" s="343" t="s">
        <v>14121</v>
      </c>
    </row>
    <row r="1873" spans="1:8" x14ac:dyDescent="0.2">
      <c r="A1873" s="271" t="s">
        <v>21538</v>
      </c>
      <c r="B1873" s="259" t="s">
        <v>21538</v>
      </c>
      <c r="C1873" s="259" t="s">
        <v>21536</v>
      </c>
      <c r="D1873" s="259" t="s">
        <v>21539</v>
      </c>
      <c r="E1873" s="259">
        <v>32</v>
      </c>
      <c r="F1873" s="259" t="s">
        <v>21571</v>
      </c>
      <c r="G1873" s="259" t="s">
        <v>14123</v>
      </c>
      <c r="H1873" s="343" t="s">
        <v>14124</v>
      </c>
    </row>
    <row r="1874" spans="1:8" x14ac:dyDescent="0.2">
      <c r="A1874" s="271" t="s">
        <v>21538</v>
      </c>
      <c r="B1874" s="259" t="s">
        <v>21538</v>
      </c>
      <c r="C1874" s="259" t="s">
        <v>21536</v>
      </c>
      <c r="D1874" s="259" t="s">
        <v>21539</v>
      </c>
      <c r="E1874" s="259">
        <v>33</v>
      </c>
      <c r="F1874" s="259" t="s">
        <v>21572</v>
      </c>
      <c r="G1874" s="259" t="s">
        <v>14600</v>
      </c>
      <c r="H1874" s="343" t="s">
        <v>14601</v>
      </c>
    </row>
    <row r="1875" spans="1:8" x14ac:dyDescent="0.2">
      <c r="A1875" s="271" t="s">
        <v>21538</v>
      </c>
      <c r="B1875" s="259" t="s">
        <v>21538</v>
      </c>
      <c r="C1875" s="259" t="s">
        <v>21536</v>
      </c>
      <c r="D1875" s="259" t="s">
        <v>21539</v>
      </c>
      <c r="E1875" s="259">
        <v>34</v>
      </c>
      <c r="F1875" s="259" t="s">
        <v>21573</v>
      </c>
      <c r="G1875" s="259" t="s">
        <v>14383</v>
      </c>
      <c r="H1875" s="343" t="s">
        <v>4216</v>
      </c>
    </row>
    <row r="1876" spans="1:8" x14ac:dyDescent="0.2">
      <c r="A1876" s="271" t="s">
        <v>21538</v>
      </c>
      <c r="B1876" s="259" t="s">
        <v>21538</v>
      </c>
      <c r="C1876" s="259" t="s">
        <v>21536</v>
      </c>
      <c r="D1876" s="259" t="s">
        <v>21539</v>
      </c>
      <c r="E1876" s="259">
        <v>35</v>
      </c>
      <c r="F1876" s="259" t="s">
        <v>21574</v>
      </c>
      <c r="G1876" s="259" t="s">
        <v>14202</v>
      </c>
      <c r="H1876" s="343" t="s">
        <v>14203</v>
      </c>
    </row>
    <row r="1877" spans="1:8" x14ac:dyDescent="0.2">
      <c r="A1877" s="271" t="s">
        <v>21538</v>
      </c>
      <c r="B1877" s="259" t="s">
        <v>21538</v>
      </c>
      <c r="C1877" s="259" t="s">
        <v>21536</v>
      </c>
      <c r="D1877" s="259" t="s">
        <v>21539</v>
      </c>
      <c r="E1877" s="259">
        <v>36</v>
      </c>
      <c r="F1877" s="259" t="s">
        <v>21575</v>
      </c>
      <c r="G1877" s="259" t="s">
        <v>13977</v>
      </c>
      <c r="H1877" s="343" t="s">
        <v>13978</v>
      </c>
    </row>
    <row r="1878" spans="1:8" x14ac:dyDescent="0.2">
      <c r="A1878" s="271" t="s">
        <v>21538</v>
      </c>
      <c r="B1878" s="259" t="s">
        <v>21538</v>
      </c>
      <c r="C1878" s="259" t="s">
        <v>21536</v>
      </c>
      <c r="D1878" s="259" t="s">
        <v>21539</v>
      </c>
      <c r="E1878" s="259">
        <v>37</v>
      </c>
      <c r="F1878" s="259" t="s">
        <v>21576</v>
      </c>
      <c r="G1878" s="259" t="s">
        <v>14621</v>
      </c>
      <c r="H1878" s="343" t="s">
        <v>14622</v>
      </c>
    </row>
    <row r="1879" spans="1:8" x14ac:dyDescent="0.2">
      <c r="A1879" s="271" t="s">
        <v>21538</v>
      </c>
      <c r="B1879" s="259" t="s">
        <v>21538</v>
      </c>
      <c r="C1879" s="259" t="s">
        <v>21536</v>
      </c>
      <c r="D1879" s="259" t="s">
        <v>21539</v>
      </c>
      <c r="E1879" s="259">
        <v>38</v>
      </c>
      <c r="F1879" s="259" t="s">
        <v>21577</v>
      </c>
      <c r="G1879" s="259" t="s">
        <v>14479</v>
      </c>
      <c r="H1879" s="343" t="s">
        <v>14480</v>
      </c>
    </row>
    <row r="1880" spans="1:8" x14ac:dyDescent="0.2">
      <c r="A1880" s="271" t="s">
        <v>21538</v>
      </c>
      <c r="B1880" s="259" t="s">
        <v>21538</v>
      </c>
      <c r="C1880" s="259" t="s">
        <v>21536</v>
      </c>
      <c r="D1880" s="259" t="s">
        <v>21539</v>
      </c>
      <c r="E1880" s="259">
        <v>39</v>
      </c>
      <c r="F1880" s="259" t="s">
        <v>21578</v>
      </c>
      <c r="G1880" s="259" t="s">
        <v>14194</v>
      </c>
      <c r="H1880" s="343" t="s">
        <v>14195</v>
      </c>
    </row>
    <row r="1881" spans="1:8" x14ac:dyDescent="0.2">
      <c r="A1881" s="271" t="s">
        <v>21538</v>
      </c>
      <c r="B1881" s="259" t="s">
        <v>21538</v>
      </c>
      <c r="C1881" s="259" t="s">
        <v>21536</v>
      </c>
      <c r="D1881" s="259" t="s">
        <v>21539</v>
      </c>
      <c r="E1881" s="259">
        <v>40</v>
      </c>
      <c r="F1881" s="259" t="s">
        <v>21579</v>
      </c>
      <c r="G1881" s="259" t="s">
        <v>14457</v>
      </c>
      <c r="H1881" s="343" t="s">
        <v>14458</v>
      </c>
    </row>
    <row r="1882" spans="1:8" x14ac:dyDescent="0.2">
      <c r="A1882" s="271" t="s">
        <v>21538</v>
      </c>
      <c r="B1882" s="259" t="s">
        <v>21538</v>
      </c>
      <c r="C1882" s="259" t="s">
        <v>21536</v>
      </c>
      <c r="D1882" s="259" t="s">
        <v>21539</v>
      </c>
      <c r="E1882" s="259">
        <v>41</v>
      </c>
      <c r="F1882" s="259" t="s">
        <v>21580</v>
      </c>
      <c r="G1882" s="259" t="s">
        <v>14134</v>
      </c>
      <c r="H1882" s="343" t="s">
        <v>14135</v>
      </c>
    </row>
    <row r="1883" spans="1:8" x14ac:dyDescent="0.2">
      <c r="A1883" s="271" t="s">
        <v>21538</v>
      </c>
      <c r="B1883" s="259" t="s">
        <v>21538</v>
      </c>
      <c r="C1883" s="259" t="s">
        <v>21536</v>
      </c>
      <c r="D1883" s="259" t="s">
        <v>21539</v>
      </c>
      <c r="E1883" s="259">
        <v>42</v>
      </c>
      <c r="F1883" s="259" t="s">
        <v>21581</v>
      </c>
      <c r="G1883" s="259" t="s">
        <v>14546</v>
      </c>
      <c r="H1883" s="343" t="s">
        <v>14547</v>
      </c>
    </row>
    <row r="1884" spans="1:8" x14ac:dyDescent="0.2">
      <c r="A1884" s="271" t="s">
        <v>21538</v>
      </c>
      <c r="B1884" s="259" t="s">
        <v>21538</v>
      </c>
      <c r="C1884" s="259" t="s">
        <v>21536</v>
      </c>
      <c r="D1884" s="259" t="s">
        <v>21539</v>
      </c>
      <c r="E1884" s="259">
        <v>43</v>
      </c>
      <c r="F1884" s="259" t="s">
        <v>21582</v>
      </c>
      <c r="G1884" s="259" t="s">
        <v>14629</v>
      </c>
      <c r="H1884" s="343" t="s">
        <v>14630</v>
      </c>
    </row>
    <row r="1885" spans="1:8" x14ac:dyDescent="0.2">
      <c r="A1885" s="271" t="s">
        <v>21538</v>
      </c>
      <c r="B1885" s="259" t="s">
        <v>21538</v>
      </c>
      <c r="C1885" s="259" t="s">
        <v>21536</v>
      </c>
      <c r="D1885" s="259" t="s">
        <v>21539</v>
      </c>
      <c r="E1885" s="259">
        <v>44</v>
      </c>
      <c r="F1885" s="259" t="s">
        <v>21583</v>
      </c>
      <c r="G1885" s="259" t="s">
        <v>14176</v>
      </c>
      <c r="H1885" s="343" t="s">
        <v>14177</v>
      </c>
    </row>
    <row r="1886" spans="1:8" x14ac:dyDescent="0.2">
      <c r="A1886" s="271" t="s">
        <v>21538</v>
      </c>
      <c r="B1886" s="259" t="s">
        <v>21538</v>
      </c>
      <c r="C1886" s="259" t="s">
        <v>21536</v>
      </c>
      <c r="D1886" s="259" t="s">
        <v>21539</v>
      </c>
      <c r="E1886" s="259">
        <v>45</v>
      </c>
      <c r="F1886" s="259" t="s">
        <v>21584</v>
      </c>
      <c r="G1886" s="259" t="s">
        <v>14598</v>
      </c>
      <c r="H1886" s="343" t="s">
        <v>14599</v>
      </c>
    </row>
    <row r="1887" spans="1:8" x14ac:dyDescent="0.2">
      <c r="A1887" s="271" t="s">
        <v>21538</v>
      </c>
      <c r="B1887" s="259" t="s">
        <v>21538</v>
      </c>
      <c r="C1887" s="259" t="s">
        <v>21536</v>
      </c>
      <c r="D1887" s="259" t="s">
        <v>21539</v>
      </c>
      <c r="E1887" s="259">
        <v>46</v>
      </c>
      <c r="F1887" s="259" t="s">
        <v>21585</v>
      </c>
      <c r="G1887" s="259" t="s">
        <v>14513</v>
      </c>
      <c r="H1887" s="343" t="s">
        <v>14514</v>
      </c>
    </row>
    <row r="1888" spans="1:8" x14ac:dyDescent="0.2">
      <c r="A1888" s="271" t="s">
        <v>21538</v>
      </c>
      <c r="B1888" s="259" t="s">
        <v>21538</v>
      </c>
      <c r="C1888" s="259" t="s">
        <v>21536</v>
      </c>
      <c r="D1888" s="259" t="s">
        <v>21539</v>
      </c>
      <c r="E1888" s="259">
        <v>47</v>
      </c>
      <c r="F1888" s="259" t="s">
        <v>21586</v>
      </c>
      <c r="G1888" s="259" t="s">
        <v>14125</v>
      </c>
      <c r="H1888" s="343" t="s">
        <v>14126</v>
      </c>
    </row>
    <row r="1889" spans="1:8" x14ac:dyDescent="0.2">
      <c r="A1889" s="271" t="s">
        <v>21538</v>
      </c>
      <c r="B1889" s="259" t="s">
        <v>21538</v>
      </c>
      <c r="C1889" s="259" t="s">
        <v>21536</v>
      </c>
      <c r="D1889" s="259" t="s">
        <v>21539</v>
      </c>
      <c r="E1889" s="259">
        <v>48</v>
      </c>
      <c r="F1889" s="259" t="s">
        <v>21587</v>
      </c>
      <c r="G1889" s="259" t="s">
        <v>14563</v>
      </c>
      <c r="H1889" s="343" t="s">
        <v>14564</v>
      </c>
    </row>
    <row r="1890" spans="1:8" x14ac:dyDescent="0.2">
      <c r="A1890" s="271" t="s">
        <v>21538</v>
      </c>
      <c r="B1890" s="259" t="s">
        <v>21538</v>
      </c>
      <c r="C1890" s="259" t="s">
        <v>21536</v>
      </c>
      <c r="D1890" s="259" t="s">
        <v>21539</v>
      </c>
      <c r="E1890" s="259">
        <v>49</v>
      </c>
      <c r="F1890" s="259" t="s">
        <v>21588</v>
      </c>
      <c r="G1890" s="259" t="s">
        <v>14492</v>
      </c>
      <c r="H1890" s="343" t="s">
        <v>14493</v>
      </c>
    </row>
    <row r="1891" spans="1:8" x14ac:dyDescent="0.2">
      <c r="A1891" s="271" t="s">
        <v>21538</v>
      </c>
      <c r="B1891" s="259" t="s">
        <v>21538</v>
      </c>
      <c r="C1891" s="259" t="s">
        <v>21536</v>
      </c>
      <c r="D1891" s="259" t="s">
        <v>21539</v>
      </c>
      <c r="E1891" s="259">
        <v>50</v>
      </c>
      <c r="F1891" s="259" t="s">
        <v>21589</v>
      </c>
      <c r="G1891" s="259" t="s">
        <v>14131</v>
      </c>
      <c r="H1891" s="343" t="s">
        <v>14132</v>
      </c>
    </row>
    <row r="1892" spans="1:8" x14ac:dyDescent="0.2">
      <c r="A1892" s="46" t="s">
        <v>21538</v>
      </c>
      <c r="B1892" s="47" t="s">
        <v>21538</v>
      </c>
      <c r="C1892" s="47" t="s">
        <v>21536</v>
      </c>
      <c r="D1892" s="47" t="s">
        <v>21539</v>
      </c>
      <c r="E1892" s="47">
        <v>51</v>
      </c>
      <c r="F1892" s="47" t="s">
        <v>21590</v>
      </c>
      <c r="G1892" s="47" t="s">
        <v>14608</v>
      </c>
      <c r="H1892" s="48" t="s">
        <v>14609</v>
      </c>
    </row>
  </sheetData>
  <autoFilter ref="A2:K1791" xr:uid="{AF4FACC8-91CA-4B05-A1DB-A9E187550A25}">
    <sortState xmlns:xlrd2="http://schemas.microsoft.com/office/spreadsheetml/2017/richdata2" ref="A3:K1791">
      <sortCondition ref="A2:A1791"/>
    </sortState>
  </autoFilter>
  <sortState xmlns:xlrd2="http://schemas.microsoft.com/office/spreadsheetml/2017/richdata2" ref="B1810:K1815">
    <sortCondition ref="B1810:B1815"/>
  </sortState>
  <mergeCells count="2">
    <mergeCell ref="A1:F1"/>
    <mergeCell ref="G1:K1"/>
  </mergeCells>
  <phoneticPr fontId="26" type="noConversion"/>
  <pageMargins left="0.2" right="0.2" top="0.381041666666667" bottom="0.2" header="0.20281250000000001" footer="0.3"/>
  <pageSetup scale="59" fitToHeight="0" orientation="landscape" r:id="rId1"/>
  <headerFooter>
    <oddHeader>&amp;L&amp;"-,Bold"&amp;14Dragalia Lost V3 Re;Works Endeavors List</oddHeader>
  </headerFooter>
  <rowBreaks count="1" manualBreakCount="1">
    <brk id="1792" max="16383" man="1"/>
  </rowBreaks>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979771-6B65-42C9-8259-513A607E825F}">
  <sheetPr>
    <pageSetUpPr fitToPage="1"/>
  </sheetPr>
  <dimension ref="A1:H102"/>
  <sheetViews>
    <sheetView zoomScaleNormal="100" workbookViewId="0">
      <selection sqref="A1:F1"/>
    </sheetView>
  </sheetViews>
  <sheetFormatPr defaultRowHeight="14.25" x14ac:dyDescent="0.2"/>
  <cols>
    <col min="1" max="1" width="6.625" bestFit="1" customWidth="1"/>
    <col min="2" max="2" width="7.25" bestFit="1" customWidth="1"/>
    <col min="3" max="3" width="11.875" bestFit="1" customWidth="1"/>
    <col min="4" max="4" width="15.25" bestFit="1" customWidth="1"/>
    <col min="5" max="5" width="3.875" bestFit="1" customWidth="1"/>
    <col min="6" max="6" width="41.625" bestFit="1" customWidth="1"/>
    <col min="7" max="7" width="8.625" bestFit="1" customWidth="1"/>
    <col min="8" max="8" width="17.75" bestFit="1" customWidth="1"/>
    <col min="9" max="9" width="4.25" bestFit="1" customWidth="1"/>
    <col min="10" max="10" width="12.5" bestFit="1" customWidth="1"/>
  </cols>
  <sheetData>
    <row r="1" spans="1:8" x14ac:dyDescent="0.2">
      <c r="A1" s="744" t="s">
        <v>24543</v>
      </c>
      <c r="B1" s="753"/>
      <c r="C1" s="753"/>
      <c r="D1" s="753"/>
      <c r="E1" s="753"/>
      <c r="F1" s="754"/>
      <c r="G1" s="744" t="s">
        <v>20574</v>
      </c>
      <c r="H1" s="746"/>
    </row>
    <row r="2" spans="1:8" x14ac:dyDescent="0.2">
      <c r="A2" s="95" t="s">
        <v>20575</v>
      </c>
      <c r="B2" s="67" t="s">
        <v>88</v>
      </c>
      <c r="C2" s="67" t="s">
        <v>20576</v>
      </c>
      <c r="D2" s="67" t="s">
        <v>10266</v>
      </c>
      <c r="E2" s="67" t="s">
        <v>24</v>
      </c>
      <c r="F2" s="97" t="s">
        <v>80</v>
      </c>
      <c r="G2" s="67" t="s">
        <v>20577</v>
      </c>
      <c r="H2" s="97" t="s">
        <v>89</v>
      </c>
    </row>
    <row r="3" spans="1:8" x14ac:dyDescent="0.2">
      <c r="A3" s="267" t="s">
        <v>21535</v>
      </c>
      <c r="B3" s="268" t="s">
        <v>21535</v>
      </c>
      <c r="C3" s="268" t="s">
        <v>21536</v>
      </c>
      <c r="D3" s="268" t="s">
        <v>19847</v>
      </c>
      <c r="E3" s="268">
        <v>1</v>
      </c>
      <c r="F3" s="268" t="s">
        <v>9407</v>
      </c>
      <c r="G3" s="268" t="s">
        <v>9422</v>
      </c>
      <c r="H3" s="342" t="s">
        <v>9423</v>
      </c>
    </row>
    <row r="4" spans="1:8" x14ac:dyDescent="0.2">
      <c r="A4" s="271" t="s">
        <v>21535</v>
      </c>
      <c r="B4" s="259" t="s">
        <v>21535</v>
      </c>
      <c r="C4" s="259" t="s">
        <v>21536</v>
      </c>
      <c r="D4" s="259" t="s">
        <v>19847</v>
      </c>
      <c r="E4" s="259">
        <v>2</v>
      </c>
      <c r="F4" s="259" t="s">
        <v>9407</v>
      </c>
      <c r="G4" s="259" t="s">
        <v>9440</v>
      </c>
      <c r="H4" s="343" t="s">
        <v>9441</v>
      </c>
    </row>
    <row r="5" spans="1:8" x14ac:dyDescent="0.2">
      <c r="A5" s="271" t="s">
        <v>21535</v>
      </c>
      <c r="B5" s="259" t="s">
        <v>21535</v>
      </c>
      <c r="C5" s="259" t="s">
        <v>21536</v>
      </c>
      <c r="D5" s="259" t="s">
        <v>19847</v>
      </c>
      <c r="E5" s="259">
        <v>3</v>
      </c>
      <c r="F5" s="259" t="s">
        <v>9407</v>
      </c>
      <c r="G5" s="259" t="s">
        <v>9402</v>
      </c>
      <c r="H5" s="343" t="s">
        <v>9403</v>
      </c>
    </row>
    <row r="6" spans="1:8" x14ac:dyDescent="0.2">
      <c r="A6" s="271" t="s">
        <v>21535</v>
      </c>
      <c r="B6" s="259" t="s">
        <v>21535</v>
      </c>
      <c r="C6" s="259" t="s">
        <v>21536</v>
      </c>
      <c r="D6" s="259" t="s">
        <v>19847</v>
      </c>
      <c r="E6" s="259">
        <v>4</v>
      </c>
      <c r="F6" s="259" t="s">
        <v>9407</v>
      </c>
      <c r="G6" s="259" t="s">
        <v>9413</v>
      </c>
      <c r="H6" s="343" t="s">
        <v>9414</v>
      </c>
    </row>
    <row r="7" spans="1:8" x14ac:dyDescent="0.2">
      <c r="A7" s="271" t="s">
        <v>21535</v>
      </c>
      <c r="B7" s="259" t="s">
        <v>21535</v>
      </c>
      <c r="C7" s="259" t="s">
        <v>21536</v>
      </c>
      <c r="D7" s="259" t="s">
        <v>19847</v>
      </c>
      <c r="E7" s="259">
        <v>5</v>
      </c>
      <c r="F7" s="259" t="s">
        <v>9407</v>
      </c>
      <c r="G7" s="259" t="s">
        <v>9431</v>
      </c>
      <c r="H7" s="343" t="s">
        <v>9432</v>
      </c>
    </row>
    <row r="8" spans="1:8" x14ac:dyDescent="0.2">
      <c r="A8" s="271" t="s">
        <v>21535</v>
      </c>
      <c r="B8" s="259" t="s">
        <v>21535</v>
      </c>
      <c r="C8" s="259" t="s">
        <v>21536</v>
      </c>
      <c r="D8" s="259" t="s">
        <v>19847</v>
      </c>
      <c r="E8" s="259">
        <v>6</v>
      </c>
      <c r="F8" s="259" t="s">
        <v>20055</v>
      </c>
      <c r="G8" s="259" t="s">
        <v>9084</v>
      </c>
      <c r="H8" s="343" t="s">
        <v>9085</v>
      </c>
    </row>
    <row r="9" spans="1:8" x14ac:dyDescent="0.2">
      <c r="A9" s="271" t="s">
        <v>21535</v>
      </c>
      <c r="B9" s="259" t="s">
        <v>21535</v>
      </c>
      <c r="C9" s="259" t="s">
        <v>21536</v>
      </c>
      <c r="D9" s="259" t="s">
        <v>19847</v>
      </c>
      <c r="E9" s="259">
        <v>7</v>
      </c>
      <c r="F9" s="259" t="s">
        <v>20053</v>
      </c>
      <c r="G9" s="259" t="s">
        <v>9074</v>
      </c>
      <c r="H9" s="343" t="s">
        <v>9075</v>
      </c>
    </row>
    <row r="10" spans="1:8" x14ac:dyDescent="0.2">
      <c r="A10" s="271" t="s">
        <v>21535</v>
      </c>
      <c r="B10" s="259" t="s">
        <v>21535</v>
      </c>
      <c r="C10" s="259" t="s">
        <v>21536</v>
      </c>
      <c r="D10" s="259" t="s">
        <v>19847</v>
      </c>
      <c r="E10" s="259">
        <v>8</v>
      </c>
      <c r="F10" s="259" t="s">
        <v>20051</v>
      </c>
      <c r="G10" s="259" t="s">
        <v>9063</v>
      </c>
      <c r="H10" s="343" t="s">
        <v>9064</v>
      </c>
    </row>
    <row r="11" spans="1:8" x14ac:dyDescent="0.2">
      <c r="A11" s="271" t="s">
        <v>21535</v>
      </c>
      <c r="B11" s="259" t="s">
        <v>21535</v>
      </c>
      <c r="C11" s="259" t="s">
        <v>21536</v>
      </c>
      <c r="D11" s="259" t="s">
        <v>19847</v>
      </c>
      <c r="E11" s="259">
        <v>9</v>
      </c>
      <c r="F11" s="259" t="s">
        <v>2713</v>
      </c>
      <c r="G11" s="259" t="s">
        <v>2708</v>
      </c>
      <c r="H11" s="343" t="s">
        <v>2709</v>
      </c>
    </row>
    <row r="12" spans="1:8" x14ac:dyDescent="0.2">
      <c r="A12" s="271" t="s">
        <v>21537</v>
      </c>
      <c r="B12" s="259" t="s">
        <v>21537</v>
      </c>
      <c r="C12" s="259" t="s">
        <v>21536</v>
      </c>
      <c r="D12" s="259" t="s">
        <v>13720</v>
      </c>
      <c r="E12" s="259">
        <v>1</v>
      </c>
      <c r="F12" s="259" t="s">
        <v>276</v>
      </c>
      <c r="G12" s="259" t="s">
        <v>271</v>
      </c>
      <c r="H12" s="343" t="s">
        <v>272</v>
      </c>
    </row>
    <row r="13" spans="1:8" x14ac:dyDescent="0.2">
      <c r="A13" s="271" t="s">
        <v>21537</v>
      </c>
      <c r="B13" s="259" t="s">
        <v>21537</v>
      </c>
      <c r="C13" s="259" t="s">
        <v>21536</v>
      </c>
      <c r="D13" s="259" t="s">
        <v>13720</v>
      </c>
      <c r="E13" s="259">
        <v>2</v>
      </c>
      <c r="F13" s="259" t="s">
        <v>276</v>
      </c>
      <c r="G13" s="259" t="s">
        <v>409</v>
      </c>
      <c r="H13" s="343" t="s">
        <v>410</v>
      </c>
    </row>
    <row r="14" spans="1:8" x14ac:dyDescent="0.2">
      <c r="A14" s="271" t="s">
        <v>21537</v>
      </c>
      <c r="B14" s="259" t="s">
        <v>21537</v>
      </c>
      <c r="C14" s="259" t="s">
        <v>21536</v>
      </c>
      <c r="D14" s="259" t="s">
        <v>13720</v>
      </c>
      <c r="E14" s="259">
        <v>3</v>
      </c>
      <c r="F14" s="259" t="s">
        <v>276</v>
      </c>
      <c r="G14" s="259" t="s">
        <v>818</v>
      </c>
      <c r="H14" s="343" t="s">
        <v>819</v>
      </c>
    </row>
    <row r="15" spans="1:8" x14ac:dyDescent="0.2">
      <c r="A15" s="271" t="s">
        <v>21537</v>
      </c>
      <c r="B15" s="259" t="s">
        <v>21537</v>
      </c>
      <c r="C15" s="259" t="s">
        <v>21536</v>
      </c>
      <c r="D15" s="259" t="s">
        <v>13720</v>
      </c>
      <c r="E15" s="259">
        <v>4</v>
      </c>
      <c r="F15" s="259" t="s">
        <v>276</v>
      </c>
      <c r="G15" s="259" t="s">
        <v>1036</v>
      </c>
      <c r="H15" s="343" t="s">
        <v>1037</v>
      </c>
    </row>
    <row r="16" spans="1:8" x14ac:dyDescent="0.2">
      <c r="A16" s="271" t="s">
        <v>21537</v>
      </c>
      <c r="B16" s="259" t="s">
        <v>21537</v>
      </c>
      <c r="C16" s="259" t="s">
        <v>21536</v>
      </c>
      <c r="D16" s="259" t="s">
        <v>13720</v>
      </c>
      <c r="E16" s="259">
        <v>5</v>
      </c>
      <c r="F16" s="259" t="s">
        <v>276</v>
      </c>
      <c r="G16" s="259" t="s">
        <v>1171</v>
      </c>
      <c r="H16" s="343" t="s">
        <v>1172</v>
      </c>
    </row>
    <row r="17" spans="1:8" x14ac:dyDescent="0.2">
      <c r="A17" s="271" t="s">
        <v>21537</v>
      </c>
      <c r="B17" s="259" t="s">
        <v>21537</v>
      </c>
      <c r="C17" s="259" t="s">
        <v>21536</v>
      </c>
      <c r="D17" s="259" t="s">
        <v>13720</v>
      </c>
      <c r="E17" s="259">
        <v>6</v>
      </c>
      <c r="F17" s="259" t="s">
        <v>276</v>
      </c>
      <c r="G17" s="259" t="s">
        <v>1279</v>
      </c>
      <c r="H17" s="343" t="s">
        <v>1280</v>
      </c>
    </row>
    <row r="18" spans="1:8" x14ac:dyDescent="0.2">
      <c r="A18" s="271" t="s">
        <v>21537</v>
      </c>
      <c r="B18" s="259" t="s">
        <v>21537</v>
      </c>
      <c r="C18" s="259" t="s">
        <v>21536</v>
      </c>
      <c r="D18" s="259" t="s">
        <v>13720</v>
      </c>
      <c r="E18" s="259">
        <v>7</v>
      </c>
      <c r="F18" s="259" t="s">
        <v>276</v>
      </c>
      <c r="G18" s="259" t="s">
        <v>1681</v>
      </c>
      <c r="H18" s="343" t="s">
        <v>1682</v>
      </c>
    </row>
    <row r="19" spans="1:8" x14ac:dyDescent="0.2">
      <c r="A19" s="271" t="s">
        <v>21537</v>
      </c>
      <c r="B19" s="259" t="s">
        <v>21537</v>
      </c>
      <c r="C19" s="259" t="s">
        <v>21536</v>
      </c>
      <c r="D19" s="259" t="s">
        <v>13720</v>
      </c>
      <c r="E19" s="259">
        <v>8</v>
      </c>
      <c r="F19" s="259" t="s">
        <v>276</v>
      </c>
      <c r="G19" s="259" t="s">
        <v>1881</v>
      </c>
      <c r="H19" s="343" t="s">
        <v>1882</v>
      </c>
    </row>
    <row r="20" spans="1:8" x14ac:dyDescent="0.2">
      <c r="A20" s="271" t="s">
        <v>21537</v>
      </c>
      <c r="B20" s="259" t="s">
        <v>21537</v>
      </c>
      <c r="C20" s="259" t="s">
        <v>21536</v>
      </c>
      <c r="D20" s="259" t="s">
        <v>13720</v>
      </c>
      <c r="E20" s="259">
        <v>9</v>
      </c>
      <c r="F20" s="259" t="s">
        <v>276</v>
      </c>
      <c r="G20" s="259" t="s">
        <v>2175</v>
      </c>
      <c r="H20" s="343" t="s">
        <v>2176</v>
      </c>
    </row>
    <row r="21" spans="1:8" x14ac:dyDescent="0.2">
      <c r="A21" s="271" t="s">
        <v>21537</v>
      </c>
      <c r="B21" s="259" t="s">
        <v>21537</v>
      </c>
      <c r="C21" s="259" t="s">
        <v>21536</v>
      </c>
      <c r="D21" s="259" t="s">
        <v>13720</v>
      </c>
      <c r="E21" s="259">
        <v>10</v>
      </c>
      <c r="F21" s="259" t="s">
        <v>276</v>
      </c>
      <c r="G21" s="259" t="s">
        <v>2266</v>
      </c>
      <c r="H21" s="343" t="s">
        <v>2267</v>
      </c>
    </row>
    <row r="22" spans="1:8" x14ac:dyDescent="0.2">
      <c r="A22" s="271" t="s">
        <v>21537</v>
      </c>
      <c r="B22" s="259" t="s">
        <v>21537</v>
      </c>
      <c r="C22" s="259" t="s">
        <v>21536</v>
      </c>
      <c r="D22" s="259" t="s">
        <v>13720</v>
      </c>
      <c r="E22" s="259">
        <v>11</v>
      </c>
      <c r="F22" s="259" t="s">
        <v>276</v>
      </c>
      <c r="G22" s="259" t="s">
        <v>2695</v>
      </c>
      <c r="H22" s="343" t="s">
        <v>2696</v>
      </c>
    </row>
    <row r="23" spans="1:8" x14ac:dyDescent="0.2">
      <c r="A23" s="271" t="s">
        <v>21537</v>
      </c>
      <c r="B23" s="259" t="s">
        <v>21537</v>
      </c>
      <c r="C23" s="259" t="s">
        <v>21536</v>
      </c>
      <c r="D23" s="259" t="s">
        <v>13720</v>
      </c>
      <c r="E23" s="259">
        <v>12</v>
      </c>
      <c r="F23" s="259" t="s">
        <v>276</v>
      </c>
      <c r="G23" s="259" t="s">
        <v>2777</v>
      </c>
      <c r="H23" s="343" t="s">
        <v>2778</v>
      </c>
    </row>
    <row r="24" spans="1:8" x14ac:dyDescent="0.2">
      <c r="A24" s="271" t="s">
        <v>21537</v>
      </c>
      <c r="B24" s="259" t="s">
        <v>21537</v>
      </c>
      <c r="C24" s="259" t="s">
        <v>21536</v>
      </c>
      <c r="D24" s="259" t="s">
        <v>13720</v>
      </c>
      <c r="E24" s="259">
        <v>13</v>
      </c>
      <c r="F24" s="259" t="s">
        <v>276</v>
      </c>
      <c r="G24" s="259" t="s">
        <v>3264</v>
      </c>
      <c r="H24" s="343" t="s">
        <v>3265</v>
      </c>
    </row>
    <row r="25" spans="1:8" x14ac:dyDescent="0.2">
      <c r="A25" s="271" t="s">
        <v>21537</v>
      </c>
      <c r="B25" s="259" t="s">
        <v>21537</v>
      </c>
      <c r="C25" s="259" t="s">
        <v>21536</v>
      </c>
      <c r="D25" s="259" t="s">
        <v>13720</v>
      </c>
      <c r="E25" s="259">
        <v>14</v>
      </c>
      <c r="F25" s="259" t="s">
        <v>276</v>
      </c>
      <c r="G25" s="259" t="s">
        <v>3377</v>
      </c>
      <c r="H25" s="343" t="s">
        <v>3378</v>
      </c>
    </row>
    <row r="26" spans="1:8" x14ac:dyDescent="0.2">
      <c r="A26" s="271" t="s">
        <v>21537</v>
      </c>
      <c r="B26" s="259" t="s">
        <v>21537</v>
      </c>
      <c r="C26" s="259" t="s">
        <v>21536</v>
      </c>
      <c r="D26" s="259" t="s">
        <v>13720</v>
      </c>
      <c r="E26" s="259">
        <v>15</v>
      </c>
      <c r="F26" s="259" t="s">
        <v>276</v>
      </c>
      <c r="G26" s="259" t="s">
        <v>3702</v>
      </c>
      <c r="H26" s="343" t="s">
        <v>3703</v>
      </c>
    </row>
    <row r="27" spans="1:8" x14ac:dyDescent="0.2">
      <c r="A27" s="271" t="s">
        <v>21537</v>
      </c>
      <c r="B27" s="259" t="s">
        <v>21537</v>
      </c>
      <c r="C27" s="259" t="s">
        <v>21536</v>
      </c>
      <c r="D27" s="259" t="s">
        <v>13720</v>
      </c>
      <c r="E27" s="259">
        <v>16</v>
      </c>
      <c r="F27" s="259" t="s">
        <v>276</v>
      </c>
      <c r="G27" s="259" t="s">
        <v>3761</v>
      </c>
      <c r="H27" s="343" t="s">
        <v>3762</v>
      </c>
    </row>
    <row r="28" spans="1:8" x14ac:dyDescent="0.2">
      <c r="A28" s="271" t="s">
        <v>21537</v>
      </c>
      <c r="B28" s="259" t="s">
        <v>21537</v>
      </c>
      <c r="C28" s="259" t="s">
        <v>21536</v>
      </c>
      <c r="D28" s="259" t="s">
        <v>13720</v>
      </c>
      <c r="E28" s="259">
        <v>17</v>
      </c>
      <c r="F28" s="259" t="s">
        <v>276</v>
      </c>
      <c r="G28" s="259" t="s">
        <v>4075</v>
      </c>
      <c r="H28" s="343" t="s">
        <v>4076</v>
      </c>
    </row>
    <row r="29" spans="1:8" x14ac:dyDescent="0.2">
      <c r="A29" s="271" t="s">
        <v>21537</v>
      </c>
      <c r="B29" s="259" t="s">
        <v>21537</v>
      </c>
      <c r="C29" s="259" t="s">
        <v>21536</v>
      </c>
      <c r="D29" s="259" t="s">
        <v>13720</v>
      </c>
      <c r="E29" s="259">
        <v>18</v>
      </c>
      <c r="F29" s="259" t="s">
        <v>276</v>
      </c>
      <c r="G29" s="259" t="s">
        <v>4159</v>
      </c>
      <c r="H29" s="343" t="s">
        <v>4160</v>
      </c>
    </row>
    <row r="30" spans="1:8" x14ac:dyDescent="0.2">
      <c r="A30" s="271" t="s">
        <v>21537</v>
      </c>
      <c r="B30" s="259" t="s">
        <v>21537</v>
      </c>
      <c r="C30" s="259" t="s">
        <v>21536</v>
      </c>
      <c r="D30" s="259" t="s">
        <v>13720</v>
      </c>
      <c r="E30" s="259">
        <v>19</v>
      </c>
      <c r="F30" s="259" t="s">
        <v>276</v>
      </c>
      <c r="G30" s="259" t="s">
        <v>4257</v>
      </c>
      <c r="H30" s="343" t="s">
        <v>4258</v>
      </c>
    </row>
    <row r="31" spans="1:8" x14ac:dyDescent="0.2">
      <c r="A31" s="271" t="s">
        <v>21537</v>
      </c>
      <c r="B31" s="259" t="s">
        <v>21537</v>
      </c>
      <c r="C31" s="259" t="s">
        <v>21536</v>
      </c>
      <c r="D31" s="259" t="s">
        <v>13720</v>
      </c>
      <c r="E31" s="259">
        <v>20</v>
      </c>
      <c r="F31" s="259" t="s">
        <v>276</v>
      </c>
      <c r="G31" s="259" t="s">
        <v>4503</v>
      </c>
      <c r="H31" s="343" t="s">
        <v>4504</v>
      </c>
    </row>
    <row r="32" spans="1:8" x14ac:dyDescent="0.2">
      <c r="A32" s="271" t="s">
        <v>21537</v>
      </c>
      <c r="B32" s="259" t="s">
        <v>21537</v>
      </c>
      <c r="C32" s="259" t="s">
        <v>21536</v>
      </c>
      <c r="D32" s="259" t="s">
        <v>13720</v>
      </c>
      <c r="E32" s="259">
        <v>21</v>
      </c>
      <c r="F32" s="259" t="s">
        <v>276</v>
      </c>
      <c r="G32" s="259" t="s">
        <v>9926</v>
      </c>
      <c r="H32" s="343" t="s">
        <v>9927</v>
      </c>
    </row>
    <row r="33" spans="1:8" x14ac:dyDescent="0.2">
      <c r="A33" s="271" t="s">
        <v>21537</v>
      </c>
      <c r="B33" s="259" t="s">
        <v>21537</v>
      </c>
      <c r="C33" s="259" t="s">
        <v>21536</v>
      </c>
      <c r="D33" s="259" t="s">
        <v>13720</v>
      </c>
      <c r="E33" s="259">
        <v>22</v>
      </c>
      <c r="F33" s="259" t="s">
        <v>276</v>
      </c>
      <c r="G33" s="259" t="s">
        <v>9885</v>
      </c>
      <c r="H33" s="343" t="s">
        <v>9886</v>
      </c>
    </row>
    <row r="34" spans="1:8" x14ac:dyDescent="0.2">
      <c r="A34" s="271" t="s">
        <v>21537</v>
      </c>
      <c r="B34" s="259" t="s">
        <v>21537</v>
      </c>
      <c r="C34" s="259" t="s">
        <v>21536</v>
      </c>
      <c r="D34" s="259" t="s">
        <v>13720</v>
      </c>
      <c r="E34" s="259">
        <v>23</v>
      </c>
      <c r="F34" s="259" t="s">
        <v>276</v>
      </c>
      <c r="G34" s="259" t="s">
        <v>9964</v>
      </c>
      <c r="H34" s="343" t="s">
        <v>9965</v>
      </c>
    </row>
    <row r="35" spans="1:8" x14ac:dyDescent="0.2">
      <c r="A35" s="271" t="s">
        <v>21537</v>
      </c>
      <c r="B35" s="259" t="s">
        <v>21537</v>
      </c>
      <c r="C35" s="259" t="s">
        <v>21536</v>
      </c>
      <c r="D35" s="259" t="s">
        <v>13720</v>
      </c>
      <c r="E35" s="259">
        <v>24</v>
      </c>
      <c r="F35" s="259" t="s">
        <v>276</v>
      </c>
      <c r="G35" s="259" t="s">
        <v>9936</v>
      </c>
      <c r="H35" s="343" t="s">
        <v>9937</v>
      </c>
    </row>
    <row r="36" spans="1:8" x14ac:dyDescent="0.2">
      <c r="A36" s="271" t="s">
        <v>21537</v>
      </c>
      <c r="B36" s="259" t="s">
        <v>21537</v>
      </c>
      <c r="C36" s="259" t="s">
        <v>21536</v>
      </c>
      <c r="D36" s="259" t="s">
        <v>13720</v>
      </c>
      <c r="E36" s="259">
        <v>25</v>
      </c>
      <c r="F36" s="259" t="s">
        <v>276</v>
      </c>
      <c r="G36" s="259" t="s">
        <v>9897</v>
      </c>
      <c r="H36" s="343" t="s">
        <v>9898</v>
      </c>
    </row>
    <row r="37" spans="1:8" x14ac:dyDescent="0.2">
      <c r="A37" s="271" t="s">
        <v>21537</v>
      </c>
      <c r="B37" s="259" t="s">
        <v>21537</v>
      </c>
      <c r="C37" s="259" t="s">
        <v>21536</v>
      </c>
      <c r="D37" s="259" t="s">
        <v>13720</v>
      </c>
      <c r="E37" s="259">
        <v>26</v>
      </c>
      <c r="F37" s="259" t="s">
        <v>276</v>
      </c>
      <c r="G37" s="259" t="s">
        <v>9975</v>
      </c>
      <c r="H37" s="343" t="s">
        <v>9976</v>
      </c>
    </row>
    <row r="38" spans="1:8" x14ac:dyDescent="0.2">
      <c r="A38" s="271" t="s">
        <v>21537</v>
      </c>
      <c r="B38" s="259" t="s">
        <v>21537</v>
      </c>
      <c r="C38" s="259" t="s">
        <v>21536</v>
      </c>
      <c r="D38" s="259" t="s">
        <v>13720</v>
      </c>
      <c r="E38" s="259">
        <v>27</v>
      </c>
      <c r="F38" s="259" t="s">
        <v>276</v>
      </c>
      <c r="G38" s="259" t="s">
        <v>9943</v>
      </c>
      <c r="H38" s="343" t="s">
        <v>9944</v>
      </c>
    </row>
    <row r="39" spans="1:8" x14ac:dyDescent="0.2">
      <c r="A39" s="271" t="s">
        <v>21537</v>
      </c>
      <c r="B39" s="259" t="s">
        <v>21537</v>
      </c>
      <c r="C39" s="259" t="s">
        <v>21536</v>
      </c>
      <c r="D39" s="259" t="s">
        <v>13720</v>
      </c>
      <c r="E39" s="259">
        <v>28</v>
      </c>
      <c r="F39" s="259" t="s">
        <v>276</v>
      </c>
      <c r="G39" s="259" t="s">
        <v>9904</v>
      </c>
      <c r="H39" s="343" t="s">
        <v>9905</v>
      </c>
    </row>
    <row r="40" spans="1:8" x14ac:dyDescent="0.2">
      <c r="A40" s="271" t="s">
        <v>21537</v>
      </c>
      <c r="B40" s="259" t="s">
        <v>21537</v>
      </c>
      <c r="C40" s="259" t="s">
        <v>21536</v>
      </c>
      <c r="D40" s="259" t="s">
        <v>13720</v>
      </c>
      <c r="E40" s="259">
        <v>29</v>
      </c>
      <c r="F40" s="259" t="s">
        <v>276</v>
      </c>
      <c r="G40" s="259" t="s">
        <v>9982</v>
      </c>
      <c r="H40" s="343" t="s">
        <v>9983</v>
      </c>
    </row>
    <row r="41" spans="1:8" x14ac:dyDescent="0.2">
      <c r="A41" s="271" t="s">
        <v>21537</v>
      </c>
      <c r="B41" s="259" t="s">
        <v>21537</v>
      </c>
      <c r="C41" s="259" t="s">
        <v>21536</v>
      </c>
      <c r="D41" s="259" t="s">
        <v>13720</v>
      </c>
      <c r="E41" s="259">
        <v>30</v>
      </c>
      <c r="F41" s="259" t="s">
        <v>276</v>
      </c>
      <c r="G41" s="259" t="s">
        <v>9950</v>
      </c>
      <c r="H41" s="343" t="s">
        <v>9951</v>
      </c>
    </row>
    <row r="42" spans="1:8" x14ac:dyDescent="0.2">
      <c r="A42" s="271" t="s">
        <v>21537</v>
      </c>
      <c r="B42" s="259" t="s">
        <v>21537</v>
      </c>
      <c r="C42" s="259" t="s">
        <v>21536</v>
      </c>
      <c r="D42" s="259" t="s">
        <v>13720</v>
      </c>
      <c r="E42" s="259">
        <v>31</v>
      </c>
      <c r="F42" s="259" t="s">
        <v>276</v>
      </c>
      <c r="G42" s="259" t="s">
        <v>9912</v>
      </c>
      <c r="H42" s="343" t="s">
        <v>9913</v>
      </c>
    </row>
    <row r="43" spans="1:8" x14ac:dyDescent="0.2">
      <c r="A43" s="271" t="s">
        <v>21537</v>
      </c>
      <c r="B43" s="259" t="s">
        <v>21537</v>
      </c>
      <c r="C43" s="259" t="s">
        <v>21536</v>
      </c>
      <c r="D43" s="259" t="s">
        <v>13720</v>
      </c>
      <c r="E43" s="259">
        <v>32</v>
      </c>
      <c r="F43" s="259" t="s">
        <v>276</v>
      </c>
      <c r="G43" s="259" t="s">
        <v>9989</v>
      </c>
      <c r="H43" s="343" t="s">
        <v>9990</v>
      </c>
    </row>
    <row r="44" spans="1:8" x14ac:dyDescent="0.2">
      <c r="A44" s="271" t="s">
        <v>21537</v>
      </c>
      <c r="B44" s="259" t="s">
        <v>21537</v>
      </c>
      <c r="C44" s="259" t="s">
        <v>21536</v>
      </c>
      <c r="D44" s="259" t="s">
        <v>13720</v>
      </c>
      <c r="E44" s="259">
        <v>33</v>
      </c>
      <c r="F44" s="259" t="s">
        <v>276</v>
      </c>
      <c r="G44" s="259" t="s">
        <v>9957</v>
      </c>
      <c r="H44" s="343" t="s">
        <v>9958</v>
      </c>
    </row>
    <row r="45" spans="1:8" x14ac:dyDescent="0.2">
      <c r="A45" s="271" t="s">
        <v>21537</v>
      </c>
      <c r="B45" s="259" t="s">
        <v>21537</v>
      </c>
      <c r="C45" s="259" t="s">
        <v>21536</v>
      </c>
      <c r="D45" s="259" t="s">
        <v>13720</v>
      </c>
      <c r="E45" s="259">
        <v>34</v>
      </c>
      <c r="F45" s="259" t="s">
        <v>276</v>
      </c>
      <c r="G45" s="259" t="s">
        <v>9919</v>
      </c>
      <c r="H45" s="343" t="s">
        <v>9920</v>
      </c>
    </row>
    <row r="46" spans="1:8" x14ac:dyDescent="0.2">
      <c r="A46" s="271" t="s">
        <v>21537</v>
      </c>
      <c r="B46" s="259" t="s">
        <v>21537</v>
      </c>
      <c r="C46" s="259" t="s">
        <v>21536</v>
      </c>
      <c r="D46" s="259" t="s">
        <v>13720</v>
      </c>
      <c r="E46" s="259">
        <v>35</v>
      </c>
      <c r="F46" s="259" t="s">
        <v>276</v>
      </c>
      <c r="G46" s="259" t="s">
        <v>8652</v>
      </c>
      <c r="H46" s="343" t="s">
        <v>9997</v>
      </c>
    </row>
    <row r="47" spans="1:8" x14ac:dyDescent="0.2">
      <c r="A47" s="271" t="s">
        <v>21537</v>
      </c>
      <c r="B47" s="259" t="s">
        <v>21537</v>
      </c>
      <c r="C47" s="259" t="s">
        <v>21536</v>
      </c>
      <c r="D47" s="259" t="s">
        <v>13720</v>
      </c>
      <c r="E47" s="259">
        <v>36</v>
      </c>
      <c r="F47" s="259" t="s">
        <v>276</v>
      </c>
      <c r="G47" s="259" t="s">
        <v>14674</v>
      </c>
      <c r="H47" s="343" t="s">
        <v>14675</v>
      </c>
    </row>
    <row r="48" spans="1:8" x14ac:dyDescent="0.2">
      <c r="A48" s="271" t="s">
        <v>21537</v>
      </c>
      <c r="B48" s="259" t="s">
        <v>21537</v>
      </c>
      <c r="C48" s="259" t="s">
        <v>21536</v>
      </c>
      <c r="D48" s="259" t="s">
        <v>13720</v>
      </c>
      <c r="E48" s="259">
        <v>37</v>
      </c>
      <c r="F48" s="259" t="s">
        <v>276</v>
      </c>
      <c r="G48" s="259" t="s">
        <v>14676</v>
      </c>
      <c r="H48" s="343" t="s">
        <v>14677</v>
      </c>
    </row>
    <row r="49" spans="1:8" x14ac:dyDescent="0.2">
      <c r="A49" s="271" t="s">
        <v>21537</v>
      </c>
      <c r="B49" s="259" t="s">
        <v>21537</v>
      </c>
      <c r="C49" s="259" t="s">
        <v>21536</v>
      </c>
      <c r="D49" s="259" t="s">
        <v>13720</v>
      </c>
      <c r="E49" s="259">
        <v>38</v>
      </c>
      <c r="F49" s="259" t="s">
        <v>276</v>
      </c>
      <c r="G49" s="259" t="s">
        <v>14678</v>
      </c>
      <c r="H49" s="343" t="s">
        <v>14679</v>
      </c>
    </row>
    <row r="50" spans="1:8" x14ac:dyDescent="0.2">
      <c r="A50" s="271" t="s">
        <v>21537</v>
      </c>
      <c r="B50" s="259" t="s">
        <v>21537</v>
      </c>
      <c r="C50" s="259" t="s">
        <v>21536</v>
      </c>
      <c r="D50" s="259" t="s">
        <v>13720</v>
      </c>
      <c r="E50" s="259">
        <v>39</v>
      </c>
      <c r="F50" s="259" t="s">
        <v>276</v>
      </c>
      <c r="G50" s="259" t="s">
        <v>14680</v>
      </c>
      <c r="H50" s="343" t="s">
        <v>14681</v>
      </c>
    </row>
    <row r="51" spans="1:8" x14ac:dyDescent="0.2">
      <c r="A51" s="271" t="s">
        <v>21537</v>
      </c>
      <c r="B51" s="259" t="s">
        <v>21537</v>
      </c>
      <c r="C51" s="259" t="s">
        <v>21536</v>
      </c>
      <c r="D51" s="259" t="s">
        <v>13720</v>
      </c>
      <c r="E51" s="259">
        <v>40</v>
      </c>
      <c r="F51" s="259" t="s">
        <v>276</v>
      </c>
      <c r="G51" s="259" t="s">
        <v>14682</v>
      </c>
      <c r="H51" s="343" t="s">
        <v>14683</v>
      </c>
    </row>
    <row r="52" spans="1:8" x14ac:dyDescent="0.2">
      <c r="A52" s="271" t="s">
        <v>21538</v>
      </c>
      <c r="B52" s="259" t="s">
        <v>21538</v>
      </c>
      <c r="C52" s="259" t="s">
        <v>21536</v>
      </c>
      <c r="D52" s="259" t="s">
        <v>21539</v>
      </c>
      <c r="E52" s="259">
        <v>1</v>
      </c>
      <c r="F52" s="259" t="s">
        <v>21540</v>
      </c>
      <c r="G52" s="259" t="s">
        <v>14410</v>
      </c>
      <c r="H52" s="343" t="s">
        <v>14411</v>
      </c>
    </row>
    <row r="53" spans="1:8" x14ac:dyDescent="0.2">
      <c r="A53" s="271" t="s">
        <v>21538</v>
      </c>
      <c r="B53" s="259" t="s">
        <v>21538</v>
      </c>
      <c r="C53" s="259" t="s">
        <v>21536</v>
      </c>
      <c r="D53" s="259" t="s">
        <v>21539</v>
      </c>
      <c r="E53" s="259">
        <v>2</v>
      </c>
      <c r="F53" s="259" t="s">
        <v>21541</v>
      </c>
      <c r="G53" s="259" t="s">
        <v>14646</v>
      </c>
      <c r="H53" s="343" t="s">
        <v>14647</v>
      </c>
    </row>
    <row r="54" spans="1:8" x14ac:dyDescent="0.2">
      <c r="A54" s="271" t="s">
        <v>21538</v>
      </c>
      <c r="B54" s="259" t="s">
        <v>21538</v>
      </c>
      <c r="C54" s="259" t="s">
        <v>21536</v>
      </c>
      <c r="D54" s="259" t="s">
        <v>21539</v>
      </c>
      <c r="E54" s="259">
        <v>3</v>
      </c>
      <c r="F54" s="259" t="s">
        <v>21542</v>
      </c>
      <c r="G54" s="259" t="s">
        <v>14366</v>
      </c>
      <c r="H54" s="343" t="s">
        <v>14367</v>
      </c>
    </row>
    <row r="55" spans="1:8" x14ac:dyDescent="0.2">
      <c r="A55" s="271" t="s">
        <v>21538</v>
      </c>
      <c r="B55" s="259" t="s">
        <v>21538</v>
      </c>
      <c r="C55" s="259" t="s">
        <v>21536</v>
      </c>
      <c r="D55" s="259" t="s">
        <v>21539</v>
      </c>
      <c r="E55" s="259">
        <v>4</v>
      </c>
      <c r="F55" s="259" t="s">
        <v>21543</v>
      </c>
      <c r="G55" s="259" t="s">
        <v>13916</v>
      </c>
      <c r="H55" s="343" t="s">
        <v>13917</v>
      </c>
    </row>
    <row r="56" spans="1:8" x14ac:dyDescent="0.2">
      <c r="A56" s="271" t="s">
        <v>21538</v>
      </c>
      <c r="B56" s="259" t="s">
        <v>21538</v>
      </c>
      <c r="C56" s="259" t="s">
        <v>21536</v>
      </c>
      <c r="D56" s="259" t="s">
        <v>21539</v>
      </c>
      <c r="E56" s="259">
        <v>5</v>
      </c>
      <c r="F56" s="259" t="s">
        <v>21544</v>
      </c>
      <c r="G56" s="259" t="s">
        <v>13939</v>
      </c>
      <c r="H56" s="343" t="s">
        <v>13940</v>
      </c>
    </row>
    <row r="57" spans="1:8" x14ac:dyDescent="0.2">
      <c r="A57" s="271" t="s">
        <v>21538</v>
      </c>
      <c r="B57" s="259" t="s">
        <v>21538</v>
      </c>
      <c r="C57" s="259" t="s">
        <v>21536</v>
      </c>
      <c r="D57" s="259" t="s">
        <v>21539</v>
      </c>
      <c r="E57" s="259">
        <v>6</v>
      </c>
      <c r="F57" s="259" t="s">
        <v>21545</v>
      </c>
      <c r="G57" s="259" t="s">
        <v>13960</v>
      </c>
      <c r="H57" s="343" t="s">
        <v>13961</v>
      </c>
    </row>
    <row r="58" spans="1:8" x14ac:dyDescent="0.2">
      <c r="A58" s="271" t="s">
        <v>21538</v>
      </c>
      <c r="B58" s="259" t="s">
        <v>21538</v>
      </c>
      <c r="C58" s="259" t="s">
        <v>21536</v>
      </c>
      <c r="D58" s="259" t="s">
        <v>21539</v>
      </c>
      <c r="E58" s="259">
        <v>7</v>
      </c>
      <c r="F58" s="259" t="s">
        <v>21546</v>
      </c>
      <c r="G58" s="259" t="s">
        <v>14614</v>
      </c>
      <c r="H58" s="343" t="s">
        <v>14615</v>
      </c>
    </row>
    <row r="59" spans="1:8" x14ac:dyDescent="0.2">
      <c r="A59" s="271" t="s">
        <v>21538</v>
      </c>
      <c r="B59" s="259" t="s">
        <v>21538</v>
      </c>
      <c r="C59" s="259" t="s">
        <v>21536</v>
      </c>
      <c r="D59" s="259" t="s">
        <v>21539</v>
      </c>
      <c r="E59" s="259">
        <v>8</v>
      </c>
      <c r="F59" s="259" t="s">
        <v>21547</v>
      </c>
      <c r="G59" s="259" t="s">
        <v>14404</v>
      </c>
      <c r="H59" s="343" t="s">
        <v>14405</v>
      </c>
    </row>
    <row r="60" spans="1:8" x14ac:dyDescent="0.2">
      <c r="A60" s="271" t="s">
        <v>21538</v>
      </c>
      <c r="B60" s="259" t="s">
        <v>21538</v>
      </c>
      <c r="C60" s="259" t="s">
        <v>21536</v>
      </c>
      <c r="D60" s="259" t="s">
        <v>21539</v>
      </c>
      <c r="E60" s="259">
        <v>9</v>
      </c>
      <c r="F60" s="259" t="s">
        <v>21548</v>
      </c>
      <c r="G60" s="259" t="s">
        <v>14397</v>
      </c>
      <c r="H60" s="343" t="s">
        <v>14398</v>
      </c>
    </row>
    <row r="61" spans="1:8" x14ac:dyDescent="0.2">
      <c r="A61" s="271" t="s">
        <v>21538</v>
      </c>
      <c r="B61" s="259" t="s">
        <v>21538</v>
      </c>
      <c r="C61" s="259" t="s">
        <v>21536</v>
      </c>
      <c r="D61" s="259" t="s">
        <v>21539</v>
      </c>
      <c r="E61" s="259">
        <v>10</v>
      </c>
      <c r="F61" s="259" t="s">
        <v>21549</v>
      </c>
      <c r="G61" s="259" t="s">
        <v>14192</v>
      </c>
      <c r="H61" s="343" t="s">
        <v>14193</v>
      </c>
    </row>
    <row r="62" spans="1:8" x14ac:dyDescent="0.2">
      <c r="A62" s="271" t="s">
        <v>21538</v>
      </c>
      <c r="B62" s="259" t="s">
        <v>21538</v>
      </c>
      <c r="C62" s="259" t="s">
        <v>21536</v>
      </c>
      <c r="D62" s="259" t="s">
        <v>21539</v>
      </c>
      <c r="E62" s="259">
        <v>11</v>
      </c>
      <c r="F62" s="259" t="s">
        <v>21550</v>
      </c>
      <c r="G62" s="259" t="s">
        <v>14023</v>
      </c>
      <c r="H62" s="343" t="s">
        <v>14024</v>
      </c>
    </row>
    <row r="63" spans="1:8" x14ac:dyDescent="0.2">
      <c r="A63" s="271" t="s">
        <v>21538</v>
      </c>
      <c r="B63" s="259" t="s">
        <v>21538</v>
      </c>
      <c r="C63" s="259" t="s">
        <v>21536</v>
      </c>
      <c r="D63" s="259" t="s">
        <v>21539</v>
      </c>
      <c r="E63" s="259">
        <v>12</v>
      </c>
      <c r="F63" s="259" t="s">
        <v>21551</v>
      </c>
      <c r="G63" s="259" t="s">
        <v>14088</v>
      </c>
      <c r="H63" s="343" t="s">
        <v>14089</v>
      </c>
    </row>
    <row r="64" spans="1:8" x14ac:dyDescent="0.2">
      <c r="A64" s="271" t="s">
        <v>21538</v>
      </c>
      <c r="B64" s="259" t="s">
        <v>21538</v>
      </c>
      <c r="C64" s="259" t="s">
        <v>21536</v>
      </c>
      <c r="D64" s="259" t="s">
        <v>21539</v>
      </c>
      <c r="E64" s="259">
        <v>13</v>
      </c>
      <c r="F64" s="259" t="s">
        <v>21552</v>
      </c>
      <c r="G64" s="259" t="s">
        <v>14606</v>
      </c>
      <c r="H64" s="343" t="s">
        <v>14607</v>
      </c>
    </row>
    <row r="65" spans="1:8" x14ac:dyDescent="0.2">
      <c r="A65" s="271" t="s">
        <v>21538</v>
      </c>
      <c r="B65" s="259" t="s">
        <v>21538</v>
      </c>
      <c r="C65" s="259" t="s">
        <v>21536</v>
      </c>
      <c r="D65" s="259" t="s">
        <v>21539</v>
      </c>
      <c r="E65" s="259">
        <v>14</v>
      </c>
      <c r="F65" s="259" t="s">
        <v>21553</v>
      </c>
      <c r="G65" s="259" t="s">
        <v>13931</v>
      </c>
      <c r="H65" s="343" t="s">
        <v>13932</v>
      </c>
    </row>
    <row r="66" spans="1:8" x14ac:dyDescent="0.2">
      <c r="A66" s="271" t="s">
        <v>21538</v>
      </c>
      <c r="B66" s="259" t="s">
        <v>21538</v>
      </c>
      <c r="C66" s="259" t="s">
        <v>21536</v>
      </c>
      <c r="D66" s="259" t="s">
        <v>21539</v>
      </c>
      <c r="E66" s="259">
        <v>15</v>
      </c>
      <c r="F66" s="259" t="s">
        <v>21554</v>
      </c>
      <c r="G66" s="259" t="s">
        <v>13927</v>
      </c>
      <c r="H66" s="343" t="s">
        <v>13928</v>
      </c>
    </row>
    <row r="67" spans="1:8" x14ac:dyDescent="0.2">
      <c r="A67" s="271" t="s">
        <v>21538</v>
      </c>
      <c r="B67" s="259" t="s">
        <v>21538</v>
      </c>
      <c r="C67" s="259" t="s">
        <v>21536</v>
      </c>
      <c r="D67" s="259" t="s">
        <v>21539</v>
      </c>
      <c r="E67" s="259">
        <v>16</v>
      </c>
      <c r="F67" s="259" t="s">
        <v>21555</v>
      </c>
      <c r="G67" s="259" t="s">
        <v>14553</v>
      </c>
      <c r="H67" s="343" t="s">
        <v>14554</v>
      </c>
    </row>
    <row r="68" spans="1:8" x14ac:dyDescent="0.2">
      <c r="A68" s="271" t="s">
        <v>21538</v>
      </c>
      <c r="B68" s="259" t="s">
        <v>21538</v>
      </c>
      <c r="C68" s="259" t="s">
        <v>21536</v>
      </c>
      <c r="D68" s="259" t="s">
        <v>21539</v>
      </c>
      <c r="E68" s="259">
        <v>17</v>
      </c>
      <c r="F68" s="259" t="s">
        <v>21556</v>
      </c>
      <c r="G68" s="259" t="s">
        <v>14527</v>
      </c>
      <c r="H68" s="343" t="s">
        <v>14528</v>
      </c>
    </row>
    <row r="69" spans="1:8" x14ac:dyDescent="0.2">
      <c r="A69" s="271" t="s">
        <v>21538</v>
      </c>
      <c r="B69" s="259" t="s">
        <v>21538</v>
      </c>
      <c r="C69" s="259" t="s">
        <v>21536</v>
      </c>
      <c r="D69" s="259" t="s">
        <v>21539</v>
      </c>
      <c r="E69" s="259">
        <v>18</v>
      </c>
      <c r="F69" s="259" t="s">
        <v>21557</v>
      </c>
      <c r="G69" s="259" t="s">
        <v>14373</v>
      </c>
      <c r="H69" s="343" t="s">
        <v>14374</v>
      </c>
    </row>
    <row r="70" spans="1:8" x14ac:dyDescent="0.2">
      <c r="A70" s="271" t="s">
        <v>21538</v>
      </c>
      <c r="B70" s="259" t="s">
        <v>21538</v>
      </c>
      <c r="C70" s="259" t="s">
        <v>21536</v>
      </c>
      <c r="D70" s="259" t="s">
        <v>21539</v>
      </c>
      <c r="E70" s="259">
        <v>19</v>
      </c>
      <c r="F70" s="259" t="s">
        <v>21558</v>
      </c>
      <c r="G70" s="259" t="s">
        <v>14627</v>
      </c>
      <c r="H70" s="343" t="s">
        <v>14628</v>
      </c>
    </row>
    <row r="71" spans="1:8" x14ac:dyDescent="0.2">
      <c r="A71" s="271" t="s">
        <v>21538</v>
      </c>
      <c r="B71" s="259" t="s">
        <v>21538</v>
      </c>
      <c r="C71" s="259" t="s">
        <v>21536</v>
      </c>
      <c r="D71" s="259" t="s">
        <v>21539</v>
      </c>
      <c r="E71" s="259">
        <v>20</v>
      </c>
      <c r="F71" s="259" t="s">
        <v>21559</v>
      </c>
      <c r="G71" s="259" t="s">
        <v>14539</v>
      </c>
      <c r="H71" s="343" t="s">
        <v>14540</v>
      </c>
    </row>
    <row r="72" spans="1:8" x14ac:dyDescent="0.2">
      <c r="A72" s="271" t="s">
        <v>21538</v>
      </c>
      <c r="B72" s="259" t="s">
        <v>21538</v>
      </c>
      <c r="C72" s="259" t="s">
        <v>21536</v>
      </c>
      <c r="D72" s="259" t="s">
        <v>21539</v>
      </c>
      <c r="E72" s="259">
        <v>21</v>
      </c>
      <c r="F72" s="259" t="s">
        <v>21560</v>
      </c>
      <c r="G72" s="259" t="s">
        <v>14469</v>
      </c>
      <c r="H72" s="343" t="s">
        <v>14470</v>
      </c>
    </row>
    <row r="73" spans="1:8" x14ac:dyDescent="0.2">
      <c r="A73" s="271" t="s">
        <v>21538</v>
      </c>
      <c r="B73" s="259" t="s">
        <v>21538</v>
      </c>
      <c r="C73" s="259" t="s">
        <v>21536</v>
      </c>
      <c r="D73" s="259" t="s">
        <v>21539</v>
      </c>
      <c r="E73" s="259">
        <v>22</v>
      </c>
      <c r="F73" s="259" t="s">
        <v>21561</v>
      </c>
      <c r="G73" s="259" t="s">
        <v>14079</v>
      </c>
      <c r="H73" s="343" t="s">
        <v>14080</v>
      </c>
    </row>
    <row r="74" spans="1:8" x14ac:dyDescent="0.2">
      <c r="A74" s="271" t="s">
        <v>21538</v>
      </c>
      <c r="B74" s="259" t="s">
        <v>21538</v>
      </c>
      <c r="C74" s="259" t="s">
        <v>21536</v>
      </c>
      <c r="D74" s="259" t="s">
        <v>21539</v>
      </c>
      <c r="E74" s="259">
        <v>23</v>
      </c>
      <c r="F74" s="259" t="s">
        <v>21562</v>
      </c>
      <c r="G74" s="259" t="s">
        <v>14109</v>
      </c>
      <c r="H74" s="343" t="s">
        <v>14110</v>
      </c>
    </row>
    <row r="75" spans="1:8" x14ac:dyDescent="0.2">
      <c r="A75" s="271" t="s">
        <v>21538</v>
      </c>
      <c r="B75" s="259" t="s">
        <v>21538</v>
      </c>
      <c r="C75" s="259" t="s">
        <v>21536</v>
      </c>
      <c r="D75" s="259" t="s">
        <v>21539</v>
      </c>
      <c r="E75" s="259">
        <v>24</v>
      </c>
      <c r="F75" s="259" t="s">
        <v>21563</v>
      </c>
      <c r="G75" s="259" t="s">
        <v>14304</v>
      </c>
      <c r="H75" s="343" t="s">
        <v>14305</v>
      </c>
    </row>
    <row r="76" spans="1:8" x14ac:dyDescent="0.2">
      <c r="A76" s="271" t="s">
        <v>21538</v>
      </c>
      <c r="B76" s="259" t="s">
        <v>21538</v>
      </c>
      <c r="C76" s="259" t="s">
        <v>21536</v>
      </c>
      <c r="D76" s="259" t="s">
        <v>21539</v>
      </c>
      <c r="E76" s="259">
        <v>25</v>
      </c>
      <c r="F76" s="259" t="s">
        <v>21564</v>
      </c>
      <c r="G76" s="259" t="s">
        <v>13934</v>
      </c>
      <c r="H76" s="343" t="s">
        <v>13935</v>
      </c>
    </row>
    <row r="77" spans="1:8" x14ac:dyDescent="0.2">
      <c r="A77" s="271" t="s">
        <v>21538</v>
      </c>
      <c r="B77" s="259" t="s">
        <v>21538</v>
      </c>
      <c r="C77" s="259" t="s">
        <v>21536</v>
      </c>
      <c r="D77" s="259" t="s">
        <v>21539</v>
      </c>
      <c r="E77" s="259">
        <v>26</v>
      </c>
      <c r="F77" s="259" t="s">
        <v>21565</v>
      </c>
      <c r="G77" s="259" t="s">
        <v>14159</v>
      </c>
      <c r="H77" s="343" t="s">
        <v>14160</v>
      </c>
    </row>
    <row r="78" spans="1:8" x14ac:dyDescent="0.2">
      <c r="A78" s="271" t="s">
        <v>21538</v>
      </c>
      <c r="B78" s="259" t="s">
        <v>21538</v>
      </c>
      <c r="C78" s="259" t="s">
        <v>21536</v>
      </c>
      <c r="D78" s="259" t="s">
        <v>21539</v>
      </c>
      <c r="E78" s="259">
        <v>27</v>
      </c>
      <c r="F78" s="259" t="s">
        <v>21566</v>
      </c>
      <c r="G78" s="259" t="s">
        <v>14210</v>
      </c>
      <c r="H78" s="343" t="s">
        <v>14211</v>
      </c>
    </row>
    <row r="79" spans="1:8" x14ac:dyDescent="0.2">
      <c r="A79" s="271" t="s">
        <v>21538</v>
      </c>
      <c r="B79" s="259" t="s">
        <v>21538</v>
      </c>
      <c r="C79" s="259" t="s">
        <v>21536</v>
      </c>
      <c r="D79" s="259" t="s">
        <v>21539</v>
      </c>
      <c r="E79" s="259">
        <v>28</v>
      </c>
      <c r="F79" s="259" t="s">
        <v>21567</v>
      </c>
      <c r="G79" s="259" t="s">
        <v>14496</v>
      </c>
      <c r="H79" s="343" t="s">
        <v>14497</v>
      </c>
    </row>
    <row r="80" spans="1:8" x14ac:dyDescent="0.2">
      <c r="A80" s="271" t="s">
        <v>21538</v>
      </c>
      <c r="B80" s="259" t="s">
        <v>21538</v>
      </c>
      <c r="C80" s="259" t="s">
        <v>21536</v>
      </c>
      <c r="D80" s="259" t="s">
        <v>21539</v>
      </c>
      <c r="E80" s="259">
        <v>29</v>
      </c>
      <c r="F80" s="259" t="s">
        <v>21568</v>
      </c>
      <c r="G80" s="259" t="s">
        <v>13923</v>
      </c>
      <c r="H80" s="343" t="s">
        <v>13924</v>
      </c>
    </row>
    <row r="81" spans="1:8" x14ac:dyDescent="0.2">
      <c r="A81" s="271" t="s">
        <v>21538</v>
      </c>
      <c r="B81" s="259" t="s">
        <v>21538</v>
      </c>
      <c r="C81" s="259" t="s">
        <v>21536</v>
      </c>
      <c r="D81" s="259" t="s">
        <v>21539</v>
      </c>
      <c r="E81" s="259">
        <v>30</v>
      </c>
      <c r="F81" s="259" t="s">
        <v>21569</v>
      </c>
      <c r="G81" s="259" t="s">
        <v>14498</v>
      </c>
      <c r="H81" s="343" t="s">
        <v>14499</v>
      </c>
    </row>
    <row r="82" spans="1:8" x14ac:dyDescent="0.2">
      <c r="A82" s="271" t="s">
        <v>21538</v>
      </c>
      <c r="B82" s="259" t="s">
        <v>21538</v>
      </c>
      <c r="C82" s="259" t="s">
        <v>21536</v>
      </c>
      <c r="D82" s="259" t="s">
        <v>21539</v>
      </c>
      <c r="E82" s="259">
        <v>31</v>
      </c>
      <c r="F82" s="259" t="s">
        <v>21570</v>
      </c>
      <c r="G82" s="259" t="s">
        <v>14120</v>
      </c>
      <c r="H82" s="343" t="s">
        <v>14121</v>
      </c>
    </row>
    <row r="83" spans="1:8" x14ac:dyDescent="0.2">
      <c r="A83" s="271" t="s">
        <v>21538</v>
      </c>
      <c r="B83" s="259" t="s">
        <v>21538</v>
      </c>
      <c r="C83" s="259" t="s">
        <v>21536</v>
      </c>
      <c r="D83" s="259" t="s">
        <v>21539</v>
      </c>
      <c r="E83" s="259">
        <v>32</v>
      </c>
      <c r="F83" s="259" t="s">
        <v>21571</v>
      </c>
      <c r="G83" s="259" t="s">
        <v>14123</v>
      </c>
      <c r="H83" s="343" t="s">
        <v>14124</v>
      </c>
    </row>
    <row r="84" spans="1:8" x14ac:dyDescent="0.2">
      <c r="A84" s="271" t="s">
        <v>21538</v>
      </c>
      <c r="B84" s="259" t="s">
        <v>21538</v>
      </c>
      <c r="C84" s="259" t="s">
        <v>21536</v>
      </c>
      <c r="D84" s="259" t="s">
        <v>21539</v>
      </c>
      <c r="E84" s="259">
        <v>33</v>
      </c>
      <c r="F84" s="259" t="s">
        <v>21572</v>
      </c>
      <c r="G84" s="259" t="s">
        <v>14600</v>
      </c>
      <c r="H84" s="343" t="s">
        <v>14601</v>
      </c>
    </row>
    <row r="85" spans="1:8" x14ac:dyDescent="0.2">
      <c r="A85" s="271" t="s">
        <v>21538</v>
      </c>
      <c r="B85" s="259" t="s">
        <v>21538</v>
      </c>
      <c r="C85" s="259" t="s">
        <v>21536</v>
      </c>
      <c r="D85" s="259" t="s">
        <v>21539</v>
      </c>
      <c r="E85" s="259">
        <v>34</v>
      </c>
      <c r="F85" s="259" t="s">
        <v>21573</v>
      </c>
      <c r="G85" s="259" t="s">
        <v>14383</v>
      </c>
      <c r="H85" s="343" t="s">
        <v>4216</v>
      </c>
    </row>
    <row r="86" spans="1:8" x14ac:dyDescent="0.2">
      <c r="A86" s="271" t="s">
        <v>21538</v>
      </c>
      <c r="B86" s="259" t="s">
        <v>21538</v>
      </c>
      <c r="C86" s="259" t="s">
        <v>21536</v>
      </c>
      <c r="D86" s="259" t="s">
        <v>21539</v>
      </c>
      <c r="E86" s="259">
        <v>35</v>
      </c>
      <c r="F86" s="259" t="s">
        <v>21574</v>
      </c>
      <c r="G86" s="259" t="s">
        <v>14202</v>
      </c>
      <c r="H86" s="343" t="s">
        <v>14203</v>
      </c>
    </row>
    <row r="87" spans="1:8" x14ac:dyDescent="0.2">
      <c r="A87" s="271" t="s">
        <v>21538</v>
      </c>
      <c r="B87" s="259" t="s">
        <v>21538</v>
      </c>
      <c r="C87" s="259" t="s">
        <v>21536</v>
      </c>
      <c r="D87" s="259" t="s">
        <v>21539</v>
      </c>
      <c r="E87" s="259">
        <v>36</v>
      </c>
      <c r="F87" s="259" t="s">
        <v>21575</v>
      </c>
      <c r="G87" s="259" t="s">
        <v>13977</v>
      </c>
      <c r="H87" s="343" t="s">
        <v>13978</v>
      </c>
    </row>
    <row r="88" spans="1:8" x14ac:dyDescent="0.2">
      <c r="A88" s="271" t="s">
        <v>21538</v>
      </c>
      <c r="B88" s="259" t="s">
        <v>21538</v>
      </c>
      <c r="C88" s="259" t="s">
        <v>21536</v>
      </c>
      <c r="D88" s="259" t="s">
        <v>21539</v>
      </c>
      <c r="E88" s="259">
        <v>37</v>
      </c>
      <c r="F88" s="259" t="s">
        <v>21576</v>
      </c>
      <c r="G88" s="259" t="s">
        <v>14621</v>
      </c>
      <c r="H88" s="343" t="s">
        <v>14622</v>
      </c>
    </row>
    <row r="89" spans="1:8" x14ac:dyDescent="0.2">
      <c r="A89" s="271" t="s">
        <v>21538</v>
      </c>
      <c r="B89" s="259" t="s">
        <v>21538</v>
      </c>
      <c r="C89" s="259" t="s">
        <v>21536</v>
      </c>
      <c r="D89" s="259" t="s">
        <v>21539</v>
      </c>
      <c r="E89" s="259">
        <v>38</v>
      </c>
      <c r="F89" s="259" t="s">
        <v>21577</v>
      </c>
      <c r="G89" s="259" t="s">
        <v>14479</v>
      </c>
      <c r="H89" s="343" t="s">
        <v>14480</v>
      </c>
    </row>
    <row r="90" spans="1:8" x14ac:dyDescent="0.2">
      <c r="A90" s="271" t="s">
        <v>21538</v>
      </c>
      <c r="B90" s="259" t="s">
        <v>21538</v>
      </c>
      <c r="C90" s="259" t="s">
        <v>21536</v>
      </c>
      <c r="D90" s="259" t="s">
        <v>21539</v>
      </c>
      <c r="E90" s="259">
        <v>39</v>
      </c>
      <c r="F90" s="259" t="s">
        <v>21578</v>
      </c>
      <c r="G90" s="259" t="s">
        <v>14194</v>
      </c>
      <c r="H90" s="343" t="s">
        <v>14195</v>
      </c>
    </row>
    <row r="91" spans="1:8" x14ac:dyDescent="0.2">
      <c r="A91" s="271" t="s">
        <v>21538</v>
      </c>
      <c r="B91" s="259" t="s">
        <v>21538</v>
      </c>
      <c r="C91" s="259" t="s">
        <v>21536</v>
      </c>
      <c r="D91" s="259" t="s">
        <v>21539</v>
      </c>
      <c r="E91" s="259">
        <v>40</v>
      </c>
      <c r="F91" s="259" t="s">
        <v>21579</v>
      </c>
      <c r="G91" s="259" t="s">
        <v>14457</v>
      </c>
      <c r="H91" s="343" t="s">
        <v>14458</v>
      </c>
    </row>
    <row r="92" spans="1:8" x14ac:dyDescent="0.2">
      <c r="A92" s="271" t="s">
        <v>21538</v>
      </c>
      <c r="B92" s="259" t="s">
        <v>21538</v>
      </c>
      <c r="C92" s="259" t="s">
        <v>21536</v>
      </c>
      <c r="D92" s="259" t="s">
        <v>21539</v>
      </c>
      <c r="E92" s="259">
        <v>41</v>
      </c>
      <c r="F92" s="259" t="s">
        <v>21580</v>
      </c>
      <c r="G92" s="259" t="s">
        <v>14134</v>
      </c>
      <c r="H92" s="343" t="s">
        <v>14135</v>
      </c>
    </row>
    <row r="93" spans="1:8" x14ac:dyDescent="0.2">
      <c r="A93" s="271" t="s">
        <v>21538</v>
      </c>
      <c r="B93" s="259" t="s">
        <v>21538</v>
      </c>
      <c r="C93" s="259" t="s">
        <v>21536</v>
      </c>
      <c r="D93" s="259" t="s">
        <v>21539</v>
      </c>
      <c r="E93" s="259">
        <v>42</v>
      </c>
      <c r="F93" s="259" t="s">
        <v>21581</v>
      </c>
      <c r="G93" s="259" t="s">
        <v>14546</v>
      </c>
      <c r="H93" s="343" t="s">
        <v>14547</v>
      </c>
    </row>
    <row r="94" spans="1:8" x14ac:dyDescent="0.2">
      <c r="A94" s="271" t="s">
        <v>21538</v>
      </c>
      <c r="B94" s="259" t="s">
        <v>21538</v>
      </c>
      <c r="C94" s="259" t="s">
        <v>21536</v>
      </c>
      <c r="D94" s="259" t="s">
        <v>21539</v>
      </c>
      <c r="E94" s="259">
        <v>43</v>
      </c>
      <c r="F94" s="259" t="s">
        <v>21582</v>
      </c>
      <c r="G94" s="259" t="s">
        <v>14629</v>
      </c>
      <c r="H94" s="343" t="s">
        <v>14630</v>
      </c>
    </row>
    <row r="95" spans="1:8" x14ac:dyDescent="0.2">
      <c r="A95" s="271" t="s">
        <v>21538</v>
      </c>
      <c r="B95" s="259" t="s">
        <v>21538</v>
      </c>
      <c r="C95" s="259" t="s">
        <v>21536</v>
      </c>
      <c r="D95" s="259" t="s">
        <v>21539</v>
      </c>
      <c r="E95" s="259">
        <v>44</v>
      </c>
      <c r="F95" s="259" t="s">
        <v>21583</v>
      </c>
      <c r="G95" s="259" t="s">
        <v>14176</v>
      </c>
      <c r="H95" s="343" t="s">
        <v>14177</v>
      </c>
    </row>
    <row r="96" spans="1:8" x14ac:dyDescent="0.2">
      <c r="A96" s="271" t="s">
        <v>21538</v>
      </c>
      <c r="B96" s="259" t="s">
        <v>21538</v>
      </c>
      <c r="C96" s="259" t="s">
        <v>21536</v>
      </c>
      <c r="D96" s="259" t="s">
        <v>21539</v>
      </c>
      <c r="E96" s="259">
        <v>45</v>
      </c>
      <c r="F96" s="259" t="s">
        <v>21584</v>
      </c>
      <c r="G96" s="259" t="s">
        <v>14598</v>
      </c>
      <c r="H96" s="343" t="s">
        <v>14599</v>
      </c>
    </row>
    <row r="97" spans="1:8" x14ac:dyDescent="0.2">
      <c r="A97" s="271" t="s">
        <v>21538</v>
      </c>
      <c r="B97" s="259" t="s">
        <v>21538</v>
      </c>
      <c r="C97" s="259" t="s">
        <v>21536</v>
      </c>
      <c r="D97" s="259" t="s">
        <v>21539</v>
      </c>
      <c r="E97" s="259">
        <v>46</v>
      </c>
      <c r="F97" s="259" t="s">
        <v>21585</v>
      </c>
      <c r="G97" s="259" t="s">
        <v>14513</v>
      </c>
      <c r="H97" s="343" t="s">
        <v>14514</v>
      </c>
    </row>
    <row r="98" spans="1:8" x14ac:dyDescent="0.2">
      <c r="A98" s="271" t="s">
        <v>21538</v>
      </c>
      <c r="B98" s="259" t="s">
        <v>21538</v>
      </c>
      <c r="C98" s="259" t="s">
        <v>21536</v>
      </c>
      <c r="D98" s="259" t="s">
        <v>21539</v>
      </c>
      <c r="E98" s="259">
        <v>47</v>
      </c>
      <c r="F98" s="259" t="s">
        <v>21586</v>
      </c>
      <c r="G98" s="259" t="s">
        <v>14125</v>
      </c>
      <c r="H98" s="343" t="s">
        <v>14126</v>
      </c>
    </row>
    <row r="99" spans="1:8" x14ac:dyDescent="0.2">
      <c r="A99" s="271" t="s">
        <v>21538</v>
      </c>
      <c r="B99" s="259" t="s">
        <v>21538</v>
      </c>
      <c r="C99" s="259" t="s">
        <v>21536</v>
      </c>
      <c r="D99" s="259" t="s">
        <v>21539</v>
      </c>
      <c r="E99" s="259">
        <v>48</v>
      </c>
      <c r="F99" s="259" t="s">
        <v>21587</v>
      </c>
      <c r="G99" s="259" t="s">
        <v>14563</v>
      </c>
      <c r="H99" s="343" t="s">
        <v>14564</v>
      </c>
    </row>
    <row r="100" spans="1:8" x14ac:dyDescent="0.2">
      <c r="A100" s="271" t="s">
        <v>21538</v>
      </c>
      <c r="B100" s="259" t="s">
        <v>21538</v>
      </c>
      <c r="C100" s="259" t="s">
        <v>21536</v>
      </c>
      <c r="D100" s="259" t="s">
        <v>21539</v>
      </c>
      <c r="E100" s="259">
        <v>49</v>
      </c>
      <c r="F100" s="259" t="s">
        <v>21588</v>
      </c>
      <c r="G100" s="259" t="s">
        <v>14492</v>
      </c>
      <c r="H100" s="343" t="s">
        <v>14493</v>
      </c>
    </row>
    <row r="101" spans="1:8" x14ac:dyDescent="0.2">
      <c r="A101" s="271" t="s">
        <v>21538</v>
      </c>
      <c r="B101" s="259" t="s">
        <v>21538</v>
      </c>
      <c r="C101" s="259" t="s">
        <v>21536</v>
      </c>
      <c r="D101" s="259" t="s">
        <v>21539</v>
      </c>
      <c r="E101" s="259">
        <v>50</v>
      </c>
      <c r="F101" s="259" t="s">
        <v>21589</v>
      </c>
      <c r="G101" s="259" t="s">
        <v>14131</v>
      </c>
      <c r="H101" s="343" t="s">
        <v>14132</v>
      </c>
    </row>
    <row r="102" spans="1:8" x14ac:dyDescent="0.2">
      <c r="A102" s="46" t="s">
        <v>21538</v>
      </c>
      <c r="B102" s="47" t="s">
        <v>21538</v>
      </c>
      <c r="C102" s="47" t="s">
        <v>21536</v>
      </c>
      <c r="D102" s="47" t="s">
        <v>21539</v>
      </c>
      <c r="E102" s="47">
        <v>51</v>
      </c>
      <c r="F102" s="47" t="s">
        <v>21590</v>
      </c>
      <c r="G102" s="47" t="s">
        <v>14608</v>
      </c>
      <c r="H102" s="48" t="s">
        <v>14609</v>
      </c>
    </row>
  </sheetData>
  <mergeCells count="2">
    <mergeCell ref="A1:F1"/>
    <mergeCell ref="G1:H1"/>
  </mergeCells>
  <pageMargins left="0.2" right="0.2" top="0.5" bottom="0.2" header="0.20281250000000001" footer="0.3"/>
  <pageSetup fitToHeight="0" orientation="landscape" r:id="rId1"/>
  <headerFooter>
    <oddHeader>&amp;L&amp;"-,Bold"&amp;14Dragalia Lost V3 Re;Works Other Rewards List</oddHeader>
  </headerFooter>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94DDF5-AC41-4DB6-850A-A7B4D0080E93}">
  <sheetPr>
    <pageSetUpPr fitToPage="1"/>
  </sheetPr>
  <dimension ref="A1:G94"/>
  <sheetViews>
    <sheetView zoomScaleNormal="100" workbookViewId="0"/>
  </sheetViews>
  <sheetFormatPr defaultRowHeight="14.25" x14ac:dyDescent="0.2"/>
  <cols>
    <col min="1" max="1" width="21.625" bestFit="1" customWidth="1"/>
    <col min="2" max="2" width="4.125" bestFit="1" customWidth="1"/>
    <col min="3" max="3" width="47.125" bestFit="1" customWidth="1"/>
    <col min="4" max="4" width="38.125" customWidth="1"/>
    <col min="5" max="5" width="10.5" bestFit="1" customWidth="1"/>
    <col min="6" max="6" width="9" bestFit="1" customWidth="1"/>
    <col min="7" max="7" width="9.75" style="89" bestFit="1" customWidth="1"/>
  </cols>
  <sheetData>
    <row r="1" spans="1:7" x14ac:dyDescent="0.2">
      <c r="A1" s="95" t="s">
        <v>21591</v>
      </c>
      <c r="B1" s="67" t="s">
        <v>24</v>
      </c>
      <c r="C1" s="67" t="s">
        <v>80</v>
      </c>
      <c r="D1" s="67" t="s">
        <v>21592</v>
      </c>
      <c r="E1" s="67" t="s">
        <v>13707</v>
      </c>
      <c r="F1" s="67" t="s">
        <v>23</v>
      </c>
      <c r="G1" s="868" t="s">
        <v>20578</v>
      </c>
    </row>
    <row r="2" spans="1:7" ht="28.5" x14ac:dyDescent="0.2">
      <c r="A2" s="271" t="s">
        <v>21593</v>
      </c>
      <c r="B2" s="259">
        <v>1</v>
      </c>
      <c r="C2" s="259" t="s">
        <v>21594</v>
      </c>
      <c r="D2" s="260" t="s">
        <v>21595</v>
      </c>
      <c r="E2" s="259" t="s">
        <v>17507</v>
      </c>
      <c r="F2" s="259" t="s">
        <v>10772</v>
      </c>
      <c r="G2" s="263">
        <v>150000</v>
      </c>
    </row>
    <row r="3" spans="1:7" ht="28.5" x14ac:dyDescent="0.2">
      <c r="A3" s="271" t="s">
        <v>21593</v>
      </c>
      <c r="B3" s="259">
        <v>2</v>
      </c>
      <c r="C3" s="259" t="s">
        <v>21596</v>
      </c>
      <c r="D3" s="260" t="s">
        <v>21597</v>
      </c>
      <c r="E3" s="259" t="s">
        <v>19618</v>
      </c>
      <c r="F3" s="259" t="s">
        <v>10772</v>
      </c>
      <c r="G3" s="263">
        <v>100</v>
      </c>
    </row>
    <row r="4" spans="1:7" ht="42.75" x14ac:dyDescent="0.2">
      <c r="A4" s="271" t="s">
        <v>21593</v>
      </c>
      <c r="B4" s="259">
        <v>3</v>
      </c>
      <c r="C4" s="259" t="s">
        <v>21598</v>
      </c>
      <c r="D4" s="260" t="s">
        <v>21599</v>
      </c>
      <c r="E4" s="259" t="s">
        <v>21600</v>
      </c>
      <c r="F4" s="259" t="s">
        <v>122</v>
      </c>
      <c r="G4" s="263">
        <v>20</v>
      </c>
    </row>
    <row r="5" spans="1:7" ht="71.25" x14ac:dyDescent="0.2">
      <c r="A5" s="271" t="s">
        <v>21593</v>
      </c>
      <c r="B5" s="259">
        <v>4</v>
      </c>
      <c r="C5" s="259" t="s">
        <v>21601</v>
      </c>
      <c r="D5" s="260" t="s">
        <v>21602</v>
      </c>
      <c r="E5" s="259" t="s">
        <v>19599</v>
      </c>
      <c r="F5" s="259" t="s">
        <v>122</v>
      </c>
      <c r="G5" s="263">
        <v>50</v>
      </c>
    </row>
    <row r="6" spans="1:7" ht="57" x14ac:dyDescent="0.2">
      <c r="A6" s="271" t="s">
        <v>21593</v>
      </c>
      <c r="B6" s="259">
        <v>5</v>
      </c>
      <c r="C6" s="259" t="s">
        <v>21603</v>
      </c>
      <c r="D6" s="260" t="s">
        <v>21604</v>
      </c>
      <c r="E6" s="259" t="s">
        <v>19599</v>
      </c>
      <c r="F6" s="259" t="s">
        <v>122</v>
      </c>
      <c r="G6" s="263">
        <v>50</v>
      </c>
    </row>
    <row r="7" spans="1:7" x14ac:dyDescent="0.2">
      <c r="A7" s="271" t="s">
        <v>21593</v>
      </c>
      <c r="B7" s="259">
        <v>6</v>
      </c>
      <c r="C7" s="259" t="s">
        <v>21605</v>
      </c>
      <c r="D7" s="260" t="s">
        <v>21606</v>
      </c>
      <c r="E7" s="259" t="s">
        <v>17507</v>
      </c>
      <c r="F7" s="259" t="s">
        <v>10772</v>
      </c>
      <c r="G7" s="263">
        <v>150000</v>
      </c>
    </row>
    <row r="8" spans="1:7" ht="28.5" x14ac:dyDescent="0.2">
      <c r="A8" s="271" t="s">
        <v>21593</v>
      </c>
      <c r="B8" s="259">
        <v>7</v>
      </c>
      <c r="C8" s="259" t="s">
        <v>21607</v>
      </c>
      <c r="D8" s="260" t="s">
        <v>21608</v>
      </c>
      <c r="E8" s="259" t="s">
        <v>19600</v>
      </c>
      <c r="F8" s="259" t="s">
        <v>122</v>
      </c>
      <c r="G8" s="263">
        <v>20</v>
      </c>
    </row>
    <row r="9" spans="1:7" ht="42.75" x14ac:dyDescent="0.2">
      <c r="A9" s="271" t="s">
        <v>21593</v>
      </c>
      <c r="B9" s="259">
        <v>8</v>
      </c>
      <c r="C9" s="259" t="s">
        <v>21609</v>
      </c>
      <c r="D9" s="260" t="s">
        <v>21599</v>
      </c>
      <c r="E9" s="259" t="s">
        <v>21600</v>
      </c>
      <c r="F9" s="259" t="s">
        <v>1947</v>
      </c>
      <c r="G9" s="263">
        <v>20</v>
      </c>
    </row>
    <row r="10" spans="1:7" ht="71.25" x14ac:dyDescent="0.2">
      <c r="A10" s="271" t="s">
        <v>21593</v>
      </c>
      <c r="B10" s="259">
        <v>9</v>
      </c>
      <c r="C10" s="259" t="s">
        <v>21610</v>
      </c>
      <c r="D10" s="260" t="s">
        <v>21602</v>
      </c>
      <c r="E10" s="259" t="s">
        <v>19599</v>
      </c>
      <c r="F10" s="259" t="s">
        <v>1947</v>
      </c>
      <c r="G10" s="263">
        <v>50</v>
      </c>
    </row>
    <row r="11" spans="1:7" ht="57" x14ac:dyDescent="0.2">
      <c r="A11" s="271" t="s">
        <v>21593</v>
      </c>
      <c r="B11" s="259">
        <v>10</v>
      </c>
      <c r="C11" s="259" t="s">
        <v>21611</v>
      </c>
      <c r="D11" s="260" t="s">
        <v>21612</v>
      </c>
      <c r="E11" s="259" t="s">
        <v>19599</v>
      </c>
      <c r="F11" s="259" t="s">
        <v>1947</v>
      </c>
      <c r="G11" s="263">
        <v>50</v>
      </c>
    </row>
    <row r="12" spans="1:7" ht="42.75" x14ac:dyDescent="0.2">
      <c r="A12" s="271" t="s">
        <v>21593</v>
      </c>
      <c r="B12" s="259">
        <v>11</v>
      </c>
      <c r="C12" s="259" t="s">
        <v>21613</v>
      </c>
      <c r="D12" s="260" t="s">
        <v>21614</v>
      </c>
      <c r="E12" s="259" t="s">
        <v>19599</v>
      </c>
      <c r="F12" s="259" t="s">
        <v>1947</v>
      </c>
      <c r="G12" s="263">
        <v>40</v>
      </c>
    </row>
    <row r="13" spans="1:7" ht="57" x14ac:dyDescent="0.2">
      <c r="A13" s="271" t="s">
        <v>21593</v>
      </c>
      <c r="B13" s="259">
        <v>12</v>
      </c>
      <c r="C13" s="259" t="s">
        <v>21615</v>
      </c>
      <c r="D13" s="260" t="s">
        <v>21616</v>
      </c>
      <c r="E13" s="259" t="s">
        <v>19600</v>
      </c>
      <c r="F13" s="259" t="s">
        <v>1947</v>
      </c>
      <c r="G13" s="263">
        <v>20</v>
      </c>
    </row>
    <row r="14" spans="1:7" ht="57" x14ac:dyDescent="0.2">
      <c r="A14" s="271" t="s">
        <v>21593</v>
      </c>
      <c r="B14" s="259">
        <v>13</v>
      </c>
      <c r="C14" s="259" t="s">
        <v>21617</v>
      </c>
      <c r="D14" s="260" t="s">
        <v>21618</v>
      </c>
      <c r="E14" s="259" t="s">
        <v>19600</v>
      </c>
      <c r="F14" s="259" t="s">
        <v>1947</v>
      </c>
      <c r="G14" s="263">
        <v>20</v>
      </c>
    </row>
    <row r="15" spans="1:7" x14ac:dyDescent="0.2">
      <c r="A15" s="271" t="s">
        <v>21593</v>
      </c>
      <c r="B15" s="259">
        <v>14</v>
      </c>
      <c r="C15" s="259" t="s">
        <v>21619</v>
      </c>
      <c r="D15" s="260" t="s">
        <v>21620</v>
      </c>
      <c r="E15" s="259" t="s">
        <v>19600</v>
      </c>
      <c r="F15" s="259" t="s">
        <v>1947</v>
      </c>
      <c r="G15" s="263">
        <v>25</v>
      </c>
    </row>
    <row r="16" spans="1:7" ht="28.5" x14ac:dyDescent="0.2">
      <c r="A16" s="271" t="s">
        <v>21593</v>
      </c>
      <c r="B16" s="259">
        <v>15</v>
      </c>
      <c r="C16" s="259" t="s">
        <v>21621</v>
      </c>
      <c r="D16" s="260" t="s">
        <v>21622</v>
      </c>
      <c r="E16" s="259" t="s">
        <v>19600</v>
      </c>
      <c r="F16" s="259" t="s">
        <v>1947</v>
      </c>
      <c r="G16" s="263">
        <v>40</v>
      </c>
    </row>
    <row r="17" spans="1:7" x14ac:dyDescent="0.2">
      <c r="A17" s="271" t="s">
        <v>21593</v>
      </c>
      <c r="B17" s="259">
        <v>16</v>
      </c>
      <c r="C17" s="259" t="s">
        <v>21623</v>
      </c>
      <c r="D17" s="260" t="s">
        <v>21606</v>
      </c>
      <c r="E17" s="259" t="s">
        <v>19600</v>
      </c>
      <c r="F17" s="259" t="s">
        <v>1103</v>
      </c>
      <c r="G17" s="263">
        <v>40</v>
      </c>
    </row>
    <row r="18" spans="1:7" ht="42.75" x14ac:dyDescent="0.2">
      <c r="A18" s="271" t="s">
        <v>21593</v>
      </c>
      <c r="B18" s="259">
        <v>17</v>
      </c>
      <c r="C18" s="259" t="s">
        <v>21624</v>
      </c>
      <c r="D18" s="260" t="s">
        <v>21599</v>
      </c>
      <c r="E18" s="259" t="s">
        <v>21600</v>
      </c>
      <c r="F18" s="259" t="s">
        <v>1103</v>
      </c>
      <c r="G18" s="263">
        <v>20</v>
      </c>
    </row>
    <row r="19" spans="1:7" ht="71.25" x14ac:dyDescent="0.2">
      <c r="A19" s="271" t="s">
        <v>21593</v>
      </c>
      <c r="B19" s="259">
        <v>18</v>
      </c>
      <c r="C19" s="259" t="s">
        <v>21625</v>
      </c>
      <c r="D19" s="260" t="s">
        <v>21626</v>
      </c>
      <c r="E19" s="259" t="s">
        <v>19599</v>
      </c>
      <c r="F19" s="259" t="s">
        <v>1103</v>
      </c>
      <c r="G19" s="263">
        <v>50</v>
      </c>
    </row>
    <row r="20" spans="1:7" ht="71.25" x14ac:dyDescent="0.2">
      <c r="A20" s="271" t="s">
        <v>21593</v>
      </c>
      <c r="B20" s="259">
        <v>19</v>
      </c>
      <c r="C20" s="259" t="s">
        <v>21627</v>
      </c>
      <c r="D20" s="260" t="s">
        <v>21628</v>
      </c>
      <c r="E20" s="259" t="s">
        <v>19599</v>
      </c>
      <c r="F20" s="259" t="s">
        <v>1103</v>
      </c>
      <c r="G20" s="263">
        <v>50</v>
      </c>
    </row>
    <row r="21" spans="1:7" ht="42.75" x14ac:dyDescent="0.2">
      <c r="A21" s="271" t="s">
        <v>21593</v>
      </c>
      <c r="B21" s="259">
        <v>20</v>
      </c>
      <c r="C21" s="259" t="s">
        <v>21629</v>
      </c>
      <c r="D21" s="260" t="s">
        <v>21630</v>
      </c>
      <c r="E21" s="259" t="s">
        <v>19600</v>
      </c>
      <c r="F21" s="259" t="s">
        <v>1103</v>
      </c>
      <c r="G21" s="263">
        <v>20</v>
      </c>
    </row>
    <row r="22" spans="1:7" ht="57" x14ac:dyDescent="0.2">
      <c r="A22" s="271" t="s">
        <v>21593</v>
      </c>
      <c r="B22" s="259">
        <v>21</v>
      </c>
      <c r="C22" s="259" t="s">
        <v>21631</v>
      </c>
      <c r="D22" s="260" t="s">
        <v>21632</v>
      </c>
      <c r="E22" s="259" t="s">
        <v>19600</v>
      </c>
      <c r="F22" s="259" t="s">
        <v>1103</v>
      </c>
      <c r="G22" s="263">
        <v>20</v>
      </c>
    </row>
    <row r="23" spans="1:7" ht="28.5" x14ac:dyDescent="0.2">
      <c r="A23" s="271" t="s">
        <v>21593</v>
      </c>
      <c r="B23" s="259">
        <v>22</v>
      </c>
      <c r="C23" s="259" t="s">
        <v>21633</v>
      </c>
      <c r="D23" s="260" t="s">
        <v>21634</v>
      </c>
      <c r="E23" s="259" t="s">
        <v>19600</v>
      </c>
      <c r="F23" s="259" t="s">
        <v>1103</v>
      </c>
      <c r="G23" s="263">
        <v>25</v>
      </c>
    </row>
    <row r="24" spans="1:7" ht="28.5" x14ac:dyDescent="0.2">
      <c r="A24" s="271" t="s">
        <v>21593</v>
      </c>
      <c r="B24" s="259">
        <v>23</v>
      </c>
      <c r="C24" s="259" t="s">
        <v>21635</v>
      </c>
      <c r="D24" s="260" t="s">
        <v>21636</v>
      </c>
      <c r="E24" s="259" t="s">
        <v>19600</v>
      </c>
      <c r="F24" s="259" t="s">
        <v>3779</v>
      </c>
      <c r="G24" s="263">
        <v>40</v>
      </c>
    </row>
    <row r="25" spans="1:7" ht="57" x14ac:dyDescent="0.2">
      <c r="A25" s="271" t="s">
        <v>21593</v>
      </c>
      <c r="B25" s="259">
        <v>24</v>
      </c>
      <c r="C25" s="259" t="s">
        <v>21637</v>
      </c>
      <c r="D25" s="260" t="s">
        <v>21638</v>
      </c>
      <c r="E25" s="259" t="s">
        <v>19600</v>
      </c>
      <c r="F25" s="259" t="s">
        <v>122</v>
      </c>
      <c r="G25" s="263">
        <v>20</v>
      </c>
    </row>
    <row r="26" spans="1:7" x14ac:dyDescent="0.2">
      <c r="A26" s="271" t="s">
        <v>21593</v>
      </c>
      <c r="B26" s="259">
        <v>25</v>
      </c>
      <c r="C26" s="259" t="s">
        <v>21639</v>
      </c>
      <c r="D26" s="260" t="s">
        <v>21640</v>
      </c>
      <c r="E26" s="259" t="s">
        <v>19600</v>
      </c>
      <c r="F26" s="259" t="s">
        <v>122</v>
      </c>
      <c r="G26" s="263">
        <v>25</v>
      </c>
    </row>
    <row r="27" spans="1:7" ht="57" x14ac:dyDescent="0.2">
      <c r="A27" s="271" t="s">
        <v>21593</v>
      </c>
      <c r="B27" s="259">
        <v>26</v>
      </c>
      <c r="C27" s="259" t="s">
        <v>21641</v>
      </c>
      <c r="D27" s="260" t="s">
        <v>21642</v>
      </c>
      <c r="E27" s="259" t="s">
        <v>17507</v>
      </c>
      <c r="F27" s="259" t="s">
        <v>10772</v>
      </c>
      <c r="G27" s="263">
        <v>150000</v>
      </c>
    </row>
    <row r="28" spans="1:7" ht="42.75" x14ac:dyDescent="0.2">
      <c r="A28" s="271" t="s">
        <v>21593</v>
      </c>
      <c r="B28" s="259">
        <v>27</v>
      </c>
      <c r="C28" s="259" t="s">
        <v>21643</v>
      </c>
      <c r="D28" s="260" t="s">
        <v>21599</v>
      </c>
      <c r="E28" s="259" t="s">
        <v>21600</v>
      </c>
      <c r="F28" s="259" t="s">
        <v>3779</v>
      </c>
      <c r="G28" s="263">
        <v>20</v>
      </c>
    </row>
    <row r="29" spans="1:7" ht="71.25" x14ac:dyDescent="0.2">
      <c r="A29" s="271" t="s">
        <v>21593</v>
      </c>
      <c r="B29" s="259">
        <v>28</v>
      </c>
      <c r="C29" s="259" t="s">
        <v>21644</v>
      </c>
      <c r="D29" s="260" t="s">
        <v>21626</v>
      </c>
      <c r="E29" s="259" t="s">
        <v>19599</v>
      </c>
      <c r="F29" s="259" t="s">
        <v>3779</v>
      </c>
      <c r="G29" s="263">
        <v>50</v>
      </c>
    </row>
    <row r="30" spans="1:7" ht="71.25" x14ac:dyDescent="0.2">
      <c r="A30" s="271" t="s">
        <v>21593</v>
      </c>
      <c r="B30" s="259">
        <v>29</v>
      </c>
      <c r="C30" s="259" t="s">
        <v>21645</v>
      </c>
      <c r="D30" s="260" t="s">
        <v>21646</v>
      </c>
      <c r="E30" s="259" t="s">
        <v>19599</v>
      </c>
      <c r="F30" s="259" t="s">
        <v>3779</v>
      </c>
      <c r="G30" s="263">
        <v>50</v>
      </c>
    </row>
    <row r="31" spans="1:7" ht="42.75" x14ac:dyDescent="0.2">
      <c r="A31" s="271" t="s">
        <v>21593</v>
      </c>
      <c r="B31" s="259">
        <v>30</v>
      </c>
      <c r="C31" s="259" t="s">
        <v>21647</v>
      </c>
      <c r="D31" s="260" t="s">
        <v>21648</v>
      </c>
      <c r="E31" s="259" t="s">
        <v>19600</v>
      </c>
      <c r="F31" s="259" t="s">
        <v>3779</v>
      </c>
      <c r="G31" s="263">
        <v>20</v>
      </c>
    </row>
    <row r="32" spans="1:7" ht="57" x14ac:dyDescent="0.2">
      <c r="A32" s="271" t="s">
        <v>21593</v>
      </c>
      <c r="B32" s="259">
        <v>31</v>
      </c>
      <c r="C32" s="259" t="s">
        <v>21649</v>
      </c>
      <c r="D32" s="260" t="s">
        <v>21650</v>
      </c>
      <c r="E32" s="259" t="s">
        <v>19600</v>
      </c>
      <c r="F32" s="259" t="s">
        <v>2837</v>
      </c>
      <c r="G32" s="263">
        <v>40</v>
      </c>
    </row>
    <row r="33" spans="1:7" ht="42.75" x14ac:dyDescent="0.2">
      <c r="A33" s="271" t="s">
        <v>21593</v>
      </c>
      <c r="B33" s="259">
        <v>32</v>
      </c>
      <c r="C33" s="259" t="s">
        <v>21651</v>
      </c>
      <c r="D33" s="260" t="s">
        <v>21599</v>
      </c>
      <c r="E33" s="259" t="s">
        <v>21600</v>
      </c>
      <c r="F33" s="259" t="s">
        <v>2837</v>
      </c>
      <c r="G33" s="263">
        <v>20</v>
      </c>
    </row>
    <row r="34" spans="1:7" ht="71.25" x14ac:dyDescent="0.2">
      <c r="A34" s="271" t="s">
        <v>21593</v>
      </c>
      <c r="B34" s="259">
        <v>33</v>
      </c>
      <c r="C34" s="259" t="s">
        <v>21652</v>
      </c>
      <c r="D34" s="260" t="s">
        <v>21626</v>
      </c>
      <c r="E34" s="259" t="s">
        <v>19599</v>
      </c>
      <c r="F34" s="259" t="s">
        <v>2837</v>
      </c>
      <c r="G34" s="263">
        <v>50</v>
      </c>
    </row>
    <row r="35" spans="1:7" ht="57" x14ac:dyDescent="0.2">
      <c r="A35" s="271" t="s">
        <v>21593</v>
      </c>
      <c r="B35" s="259">
        <v>34</v>
      </c>
      <c r="C35" s="259" t="s">
        <v>21653</v>
      </c>
      <c r="D35" s="260" t="s">
        <v>21654</v>
      </c>
      <c r="E35" s="259" t="s">
        <v>19599</v>
      </c>
      <c r="F35" s="259" t="s">
        <v>2837</v>
      </c>
      <c r="G35" s="263">
        <v>50</v>
      </c>
    </row>
    <row r="36" spans="1:7" ht="42.75" x14ac:dyDescent="0.2">
      <c r="A36" s="271" t="s">
        <v>21593</v>
      </c>
      <c r="B36" s="259">
        <v>35</v>
      </c>
      <c r="C36" s="259" t="s">
        <v>21655</v>
      </c>
      <c r="D36" s="260" t="s">
        <v>21656</v>
      </c>
      <c r="E36" s="259" t="s">
        <v>19600</v>
      </c>
      <c r="F36" s="259" t="s">
        <v>2837</v>
      </c>
      <c r="G36" s="263">
        <v>20</v>
      </c>
    </row>
    <row r="37" spans="1:7" ht="57" x14ac:dyDescent="0.2">
      <c r="A37" s="271" t="s">
        <v>21593</v>
      </c>
      <c r="B37" s="259">
        <v>36</v>
      </c>
      <c r="C37" s="259" t="s">
        <v>21657</v>
      </c>
      <c r="D37" s="260" t="s">
        <v>21658</v>
      </c>
      <c r="E37" s="259" t="s">
        <v>19600</v>
      </c>
      <c r="F37" s="259" t="s">
        <v>2837</v>
      </c>
      <c r="G37" s="263">
        <v>20</v>
      </c>
    </row>
    <row r="38" spans="1:7" x14ac:dyDescent="0.2">
      <c r="A38" s="271" t="s">
        <v>21593</v>
      </c>
      <c r="B38" s="259">
        <v>37</v>
      </c>
      <c r="C38" s="259" t="s">
        <v>21659</v>
      </c>
      <c r="D38" s="260" t="s">
        <v>21660</v>
      </c>
      <c r="E38" s="259" t="s">
        <v>19600</v>
      </c>
      <c r="F38" s="259" t="s">
        <v>2837</v>
      </c>
      <c r="G38" s="263">
        <v>25</v>
      </c>
    </row>
    <row r="39" spans="1:7" ht="57" x14ac:dyDescent="0.2">
      <c r="A39" s="271" t="s">
        <v>21593</v>
      </c>
      <c r="B39" s="259">
        <v>38</v>
      </c>
      <c r="C39" s="259" t="s">
        <v>21661</v>
      </c>
      <c r="D39" s="260" t="s">
        <v>21662</v>
      </c>
      <c r="E39" s="259" t="s">
        <v>19600</v>
      </c>
      <c r="F39" s="259" t="s">
        <v>122</v>
      </c>
      <c r="G39" s="263">
        <v>40</v>
      </c>
    </row>
    <row r="40" spans="1:7" ht="71.25" x14ac:dyDescent="0.2">
      <c r="A40" s="271" t="s">
        <v>21593</v>
      </c>
      <c r="B40" s="259">
        <v>39</v>
      </c>
      <c r="C40" s="259" t="s">
        <v>21663</v>
      </c>
      <c r="D40" s="260" t="s">
        <v>21664</v>
      </c>
      <c r="E40" s="259" t="s">
        <v>19600</v>
      </c>
      <c r="F40" s="259" t="s">
        <v>3779</v>
      </c>
      <c r="G40" s="263">
        <v>20</v>
      </c>
    </row>
    <row r="41" spans="1:7" ht="28.5" x14ac:dyDescent="0.2">
      <c r="A41" s="271" t="s">
        <v>21593</v>
      </c>
      <c r="B41" s="259">
        <v>40</v>
      </c>
      <c r="C41" s="259" t="s">
        <v>21665</v>
      </c>
      <c r="D41" s="260" t="s">
        <v>21666</v>
      </c>
      <c r="E41" s="259" t="s">
        <v>19600</v>
      </c>
      <c r="F41" s="259" t="s">
        <v>3779</v>
      </c>
      <c r="G41" s="263">
        <v>25</v>
      </c>
    </row>
    <row r="42" spans="1:7" ht="71.25" x14ac:dyDescent="0.2">
      <c r="A42" s="271" t="s">
        <v>21593</v>
      </c>
      <c r="B42" s="259">
        <v>41</v>
      </c>
      <c r="C42" s="259" t="s">
        <v>21667</v>
      </c>
      <c r="D42" s="260" t="s">
        <v>21668</v>
      </c>
      <c r="E42" s="259" t="s">
        <v>19618</v>
      </c>
      <c r="F42" s="259" t="s">
        <v>10772</v>
      </c>
      <c r="G42" s="263">
        <v>100</v>
      </c>
    </row>
    <row r="43" spans="1:7" ht="28.5" x14ac:dyDescent="0.2">
      <c r="A43" s="271" t="s">
        <v>21593</v>
      </c>
      <c r="B43" s="259">
        <v>42</v>
      </c>
      <c r="C43" s="259" t="s">
        <v>21669</v>
      </c>
      <c r="D43" s="260" t="s">
        <v>21670</v>
      </c>
      <c r="E43" s="259" t="s">
        <v>17507</v>
      </c>
      <c r="F43" s="259" t="s">
        <v>10772</v>
      </c>
      <c r="G43" s="263">
        <v>1000000</v>
      </c>
    </row>
    <row r="44" spans="1:7" ht="42.75" x14ac:dyDescent="0.2">
      <c r="A44" s="271" t="s">
        <v>21671</v>
      </c>
      <c r="B44" s="259">
        <v>1</v>
      </c>
      <c r="C44" s="259" t="s">
        <v>21672</v>
      </c>
      <c r="D44" s="260" t="s">
        <v>21599</v>
      </c>
      <c r="E44" s="259" t="s">
        <v>19601</v>
      </c>
      <c r="F44" s="259" t="s">
        <v>122</v>
      </c>
      <c r="G44" s="263">
        <v>50</v>
      </c>
    </row>
    <row r="45" spans="1:7" ht="57" x14ac:dyDescent="0.2">
      <c r="A45" s="271" t="s">
        <v>21671</v>
      </c>
      <c r="B45" s="259">
        <v>2</v>
      </c>
      <c r="C45" s="259" t="s">
        <v>21673</v>
      </c>
      <c r="D45" s="260" t="s">
        <v>21674</v>
      </c>
      <c r="E45" s="259" t="s">
        <v>19600</v>
      </c>
      <c r="F45" s="259" t="s">
        <v>122</v>
      </c>
      <c r="G45" s="263">
        <v>50</v>
      </c>
    </row>
    <row r="46" spans="1:7" ht="28.5" x14ac:dyDescent="0.2">
      <c r="A46" s="271" t="s">
        <v>21671</v>
      </c>
      <c r="B46" s="259">
        <v>3</v>
      </c>
      <c r="C46" s="259" t="s">
        <v>21675</v>
      </c>
      <c r="D46" s="260" t="s">
        <v>21676</v>
      </c>
      <c r="E46" s="259" t="s">
        <v>17507</v>
      </c>
      <c r="F46" s="259" t="s">
        <v>10772</v>
      </c>
      <c r="G46" s="263">
        <v>500000</v>
      </c>
    </row>
    <row r="47" spans="1:7" ht="42.75" x14ac:dyDescent="0.2">
      <c r="A47" s="271" t="s">
        <v>21671</v>
      </c>
      <c r="B47" s="259">
        <v>4</v>
      </c>
      <c r="C47" s="259" t="s">
        <v>21677</v>
      </c>
      <c r="D47" s="260" t="s">
        <v>21599</v>
      </c>
      <c r="E47" s="259" t="s">
        <v>19601</v>
      </c>
      <c r="F47" s="259" t="s">
        <v>3779</v>
      </c>
      <c r="G47" s="263">
        <v>50</v>
      </c>
    </row>
    <row r="48" spans="1:7" ht="57" x14ac:dyDescent="0.2">
      <c r="A48" s="271" t="s">
        <v>21671</v>
      </c>
      <c r="B48" s="259">
        <v>5</v>
      </c>
      <c r="C48" s="259" t="s">
        <v>21678</v>
      </c>
      <c r="D48" s="260" t="s">
        <v>21679</v>
      </c>
      <c r="E48" s="259" t="s">
        <v>19600</v>
      </c>
      <c r="F48" s="259" t="s">
        <v>3779</v>
      </c>
      <c r="G48" s="263">
        <v>50</v>
      </c>
    </row>
    <row r="49" spans="1:7" x14ac:dyDescent="0.2">
      <c r="A49" s="271" t="s">
        <v>21671</v>
      </c>
      <c r="B49" s="259">
        <v>6</v>
      </c>
      <c r="C49" s="259" t="s">
        <v>21680</v>
      </c>
      <c r="D49" s="260" t="s">
        <v>21681</v>
      </c>
      <c r="E49" s="259" t="s">
        <v>19618</v>
      </c>
      <c r="F49" s="259" t="s">
        <v>10772</v>
      </c>
      <c r="G49" s="263">
        <v>100</v>
      </c>
    </row>
    <row r="50" spans="1:7" ht="71.25" x14ac:dyDescent="0.2">
      <c r="A50" s="271" t="s">
        <v>21671</v>
      </c>
      <c r="B50" s="259">
        <v>7</v>
      </c>
      <c r="C50" s="259" t="s">
        <v>21682</v>
      </c>
      <c r="D50" s="260" t="s">
        <v>21683</v>
      </c>
      <c r="E50" s="259" t="s">
        <v>19618</v>
      </c>
      <c r="F50" s="259" t="s">
        <v>10772</v>
      </c>
      <c r="G50" s="263">
        <v>100</v>
      </c>
    </row>
    <row r="51" spans="1:7" ht="42.75" x14ac:dyDescent="0.2">
      <c r="A51" s="271" t="s">
        <v>21671</v>
      </c>
      <c r="B51" s="259">
        <v>8</v>
      </c>
      <c r="C51" s="259" t="s">
        <v>21684</v>
      </c>
      <c r="D51" s="260" t="s">
        <v>21685</v>
      </c>
      <c r="E51" s="259" t="s">
        <v>19604</v>
      </c>
      <c r="F51" s="259" t="s">
        <v>1947</v>
      </c>
      <c r="G51" s="263">
        <v>40</v>
      </c>
    </row>
    <row r="52" spans="1:7" ht="28.5" x14ac:dyDescent="0.2">
      <c r="A52" s="271" t="s">
        <v>21671</v>
      </c>
      <c r="B52" s="259">
        <v>9</v>
      </c>
      <c r="C52" s="259" t="s">
        <v>21686</v>
      </c>
      <c r="D52" s="260" t="s">
        <v>21687</v>
      </c>
      <c r="E52" s="259" t="s">
        <v>10756</v>
      </c>
      <c r="F52" s="259" t="s">
        <v>10772</v>
      </c>
      <c r="G52" s="263">
        <v>500000</v>
      </c>
    </row>
    <row r="53" spans="1:7" ht="57" x14ac:dyDescent="0.2">
      <c r="A53" s="271" t="s">
        <v>21671</v>
      </c>
      <c r="B53" s="259">
        <v>10</v>
      </c>
      <c r="C53" s="259" t="s">
        <v>21688</v>
      </c>
      <c r="D53" s="260" t="s">
        <v>21689</v>
      </c>
      <c r="E53" s="259" t="s">
        <v>17507</v>
      </c>
      <c r="F53" s="259" t="s">
        <v>10772</v>
      </c>
      <c r="G53" s="263">
        <v>500000</v>
      </c>
    </row>
    <row r="54" spans="1:7" ht="42.75" x14ac:dyDescent="0.2">
      <c r="A54" s="271" t="s">
        <v>21671</v>
      </c>
      <c r="B54" s="259">
        <v>11</v>
      </c>
      <c r="C54" s="259" t="s">
        <v>21690</v>
      </c>
      <c r="D54" s="260" t="s">
        <v>21599</v>
      </c>
      <c r="E54" s="259" t="s">
        <v>19601</v>
      </c>
      <c r="F54" s="259" t="s">
        <v>1947</v>
      </c>
      <c r="G54" s="263">
        <v>50</v>
      </c>
    </row>
    <row r="55" spans="1:7" ht="57" x14ac:dyDescent="0.2">
      <c r="A55" s="271" t="s">
        <v>21671</v>
      </c>
      <c r="B55" s="259">
        <v>12</v>
      </c>
      <c r="C55" s="259" t="s">
        <v>21691</v>
      </c>
      <c r="D55" s="260" t="s">
        <v>21692</v>
      </c>
      <c r="E55" s="259" t="s">
        <v>19600</v>
      </c>
      <c r="F55" s="259" t="s">
        <v>1947</v>
      </c>
      <c r="G55" s="263">
        <v>50</v>
      </c>
    </row>
    <row r="56" spans="1:7" ht="42.75" x14ac:dyDescent="0.2">
      <c r="A56" s="271" t="s">
        <v>21671</v>
      </c>
      <c r="B56" s="259">
        <v>13</v>
      </c>
      <c r="C56" s="259" t="s">
        <v>21693</v>
      </c>
      <c r="D56" s="260" t="s">
        <v>21694</v>
      </c>
      <c r="E56" s="259" t="s">
        <v>19604</v>
      </c>
      <c r="F56" s="259" t="s">
        <v>1103</v>
      </c>
      <c r="G56" s="263">
        <v>40</v>
      </c>
    </row>
    <row r="57" spans="1:7" ht="42.75" x14ac:dyDescent="0.2">
      <c r="A57" s="271" t="s">
        <v>21671</v>
      </c>
      <c r="B57" s="259">
        <v>14</v>
      </c>
      <c r="C57" s="259" t="s">
        <v>21695</v>
      </c>
      <c r="D57" s="260" t="s">
        <v>21599</v>
      </c>
      <c r="E57" s="259" t="s">
        <v>19601</v>
      </c>
      <c r="F57" s="259" t="s">
        <v>1103</v>
      </c>
      <c r="G57" s="263">
        <v>50</v>
      </c>
    </row>
    <row r="58" spans="1:7" ht="57" x14ac:dyDescent="0.2">
      <c r="A58" s="271" t="s">
        <v>21671</v>
      </c>
      <c r="B58" s="259">
        <v>15</v>
      </c>
      <c r="C58" s="259" t="s">
        <v>21696</v>
      </c>
      <c r="D58" s="260" t="s">
        <v>21697</v>
      </c>
      <c r="E58" s="259" t="s">
        <v>19600</v>
      </c>
      <c r="F58" s="259" t="s">
        <v>1103</v>
      </c>
      <c r="G58" s="263">
        <v>50</v>
      </c>
    </row>
    <row r="59" spans="1:7" ht="42.75" x14ac:dyDescent="0.2">
      <c r="A59" s="271" t="s">
        <v>21671</v>
      </c>
      <c r="B59" s="259">
        <v>16</v>
      </c>
      <c r="C59" s="259" t="s">
        <v>21698</v>
      </c>
      <c r="D59" s="260" t="s">
        <v>21599</v>
      </c>
      <c r="E59" s="259" t="s">
        <v>19601</v>
      </c>
      <c r="F59" s="259" t="s">
        <v>2837</v>
      </c>
      <c r="G59" s="263">
        <v>50</v>
      </c>
    </row>
    <row r="60" spans="1:7" ht="57" x14ac:dyDescent="0.2">
      <c r="A60" s="271" t="s">
        <v>21671</v>
      </c>
      <c r="B60" s="259">
        <v>17</v>
      </c>
      <c r="C60" s="259" t="s">
        <v>21699</v>
      </c>
      <c r="D60" s="260" t="s">
        <v>21700</v>
      </c>
      <c r="E60" s="259" t="s">
        <v>19600</v>
      </c>
      <c r="F60" s="259" t="s">
        <v>2837</v>
      </c>
      <c r="G60" s="263">
        <v>50</v>
      </c>
    </row>
    <row r="61" spans="1:7" ht="57" x14ac:dyDescent="0.2">
      <c r="A61" s="271" t="s">
        <v>21671</v>
      </c>
      <c r="B61" s="259">
        <v>18</v>
      </c>
      <c r="C61" s="259" t="s">
        <v>21701</v>
      </c>
      <c r="D61" s="260" t="s">
        <v>21702</v>
      </c>
      <c r="E61" s="259" t="s">
        <v>19618</v>
      </c>
      <c r="F61" s="259" t="s">
        <v>10772</v>
      </c>
      <c r="G61" s="263">
        <v>100</v>
      </c>
    </row>
    <row r="62" spans="1:7" ht="57" x14ac:dyDescent="0.2">
      <c r="A62" s="271" t="s">
        <v>21671</v>
      </c>
      <c r="B62" s="259">
        <v>19</v>
      </c>
      <c r="C62" s="259" t="s">
        <v>21703</v>
      </c>
      <c r="D62" s="260" t="s">
        <v>21704</v>
      </c>
      <c r="E62" s="259" t="s">
        <v>10756</v>
      </c>
      <c r="F62" s="259" t="s">
        <v>10772</v>
      </c>
      <c r="G62" s="263">
        <v>500000</v>
      </c>
    </row>
    <row r="63" spans="1:7" ht="71.25" x14ac:dyDescent="0.2">
      <c r="A63" s="271" t="s">
        <v>21671</v>
      </c>
      <c r="B63" s="259">
        <v>20</v>
      </c>
      <c r="C63" s="259" t="s">
        <v>21705</v>
      </c>
      <c r="D63" s="260" t="s">
        <v>21706</v>
      </c>
      <c r="E63" s="259" t="s">
        <v>10756</v>
      </c>
      <c r="F63" s="259" t="s">
        <v>10772</v>
      </c>
      <c r="G63" s="263">
        <v>500000</v>
      </c>
    </row>
    <row r="64" spans="1:7" ht="28.5" x14ac:dyDescent="0.2">
      <c r="A64" s="271" t="s">
        <v>21671</v>
      </c>
      <c r="B64" s="259">
        <v>21</v>
      </c>
      <c r="C64" s="259" t="s">
        <v>21707</v>
      </c>
      <c r="D64" s="260" t="s">
        <v>21708</v>
      </c>
      <c r="E64" s="259" t="s">
        <v>19618</v>
      </c>
      <c r="F64" s="259" t="s">
        <v>10772</v>
      </c>
      <c r="G64" s="263">
        <v>2000</v>
      </c>
    </row>
    <row r="65" spans="1:7" ht="71.25" x14ac:dyDescent="0.2">
      <c r="A65" s="271" t="s">
        <v>21709</v>
      </c>
      <c r="B65" s="259">
        <v>1</v>
      </c>
      <c r="C65" s="259" t="s">
        <v>21710</v>
      </c>
      <c r="D65" s="260" t="s">
        <v>21711</v>
      </c>
      <c r="E65" s="259" t="s">
        <v>21600</v>
      </c>
      <c r="F65" s="259" t="s">
        <v>122</v>
      </c>
      <c r="G65" s="263">
        <v>50</v>
      </c>
    </row>
    <row r="66" spans="1:7" ht="71.25" x14ac:dyDescent="0.2">
      <c r="A66" s="271" t="s">
        <v>21709</v>
      </c>
      <c r="B66" s="259">
        <v>2</v>
      </c>
      <c r="C66" s="259" t="s">
        <v>21712</v>
      </c>
      <c r="D66" s="260" t="s">
        <v>21713</v>
      </c>
      <c r="E66" s="259" t="s">
        <v>21600</v>
      </c>
      <c r="F66" s="259" t="s">
        <v>1103</v>
      </c>
      <c r="G66" s="263">
        <v>50</v>
      </c>
    </row>
    <row r="67" spans="1:7" ht="71.25" x14ac:dyDescent="0.2">
      <c r="A67" s="271" t="s">
        <v>21709</v>
      </c>
      <c r="B67" s="259">
        <v>3</v>
      </c>
      <c r="C67" s="259" t="s">
        <v>21714</v>
      </c>
      <c r="D67" s="260" t="s">
        <v>21715</v>
      </c>
      <c r="E67" s="259" t="s">
        <v>21600</v>
      </c>
      <c r="F67" s="259" t="s">
        <v>1947</v>
      </c>
      <c r="G67" s="263">
        <v>50</v>
      </c>
    </row>
    <row r="68" spans="1:7" ht="71.25" x14ac:dyDescent="0.2">
      <c r="A68" s="271" t="s">
        <v>21709</v>
      </c>
      <c r="B68" s="259">
        <v>4</v>
      </c>
      <c r="C68" s="259" t="s">
        <v>21716</v>
      </c>
      <c r="D68" s="260" t="s">
        <v>21717</v>
      </c>
      <c r="E68" s="259" t="s">
        <v>21600</v>
      </c>
      <c r="F68" s="259" t="s">
        <v>2837</v>
      </c>
      <c r="G68" s="263">
        <v>50</v>
      </c>
    </row>
    <row r="69" spans="1:7" ht="71.25" x14ac:dyDescent="0.2">
      <c r="A69" s="271" t="s">
        <v>21709</v>
      </c>
      <c r="B69" s="259">
        <v>5</v>
      </c>
      <c r="C69" s="259" t="s">
        <v>21718</v>
      </c>
      <c r="D69" s="260" t="s">
        <v>21719</v>
      </c>
      <c r="E69" s="259" t="s">
        <v>21600</v>
      </c>
      <c r="F69" s="259" t="s">
        <v>3779</v>
      </c>
      <c r="G69" s="263">
        <v>50</v>
      </c>
    </row>
    <row r="70" spans="1:7" ht="28.5" x14ac:dyDescent="0.2">
      <c r="A70" s="271" t="s">
        <v>21709</v>
      </c>
      <c r="B70" s="259">
        <v>6</v>
      </c>
      <c r="C70" s="259" t="s">
        <v>21720</v>
      </c>
      <c r="D70" s="260" t="s">
        <v>21721</v>
      </c>
      <c r="E70" s="259" t="s">
        <v>19618</v>
      </c>
      <c r="F70" s="259" t="s">
        <v>10772</v>
      </c>
      <c r="G70" s="263">
        <v>200</v>
      </c>
    </row>
    <row r="71" spans="1:7" ht="57" x14ac:dyDescent="0.2">
      <c r="A71" s="271" t="s">
        <v>21709</v>
      </c>
      <c r="B71" s="259">
        <v>7</v>
      </c>
      <c r="C71" s="259" t="s">
        <v>21722</v>
      </c>
      <c r="D71" s="260" t="s">
        <v>21723</v>
      </c>
      <c r="E71" s="259" t="s">
        <v>19602</v>
      </c>
      <c r="F71" s="259" t="s">
        <v>122</v>
      </c>
      <c r="G71" s="263">
        <v>50</v>
      </c>
    </row>
    <row r="72" spans="1:7" ht="57" x14ac:dyDescent="0.2">
      <c r="A72" s="271" t="s">
        <v>21709</v>
      </c>
      <c r="B72" s="259">
        <v>8</v>
      </c>
      <c r="C72" s="259" t="s">
        <v>21724</v>
      </c>
      <c r="D72" s="260" t="s">
        <v>21725</v>
      </c>
      <c r="E72" s="259" t="s">
        <v>19602</v>
      </c>
      <c r="F72" s="259" t="s">
        <v>1103</v>
      </c>
      <c r="G72" s="263">
        <v>50</v>
      </c>
    </row>
    <row r="73" spans="1:7" ht="57" x14ac:dyDescent="0.2">
      <c r="A73" s="271" t="s">
        <v>21709</v>
      </c>
      <c r="B73" s="259">
        <v>9</v>
      </c>
      <c r="C73" s="259" t="s">
        <v>21726</v>
      </c>
      <c r="D73" s="260" t="s">
        <v>21727</v>
      </c>
      <c r="E73" s="259" t="s">
        <v>19602</v>
      </c>
      <c r="F73" s="259" t="s">
        <v>1947</v>
      </c>
      <c r="G73" s="263">
        <v>50</v>
      </c>
    </row>
    <row r="74" spans="1:7" ht="57" x14ac:dyDescent="0.2">
      <c r="A74" s="271" t="s">
        <v>21709</v>
      </c>
      <c r="B74" s="259">
        <v>10</v>
      </c>
      <c r="C74" s="259" t="s">
        <v>21728</v>
      </c>
      <c r="D74" s="260" t="s">
        <v>21729</v>
      </c>
      <c r="E74" s="259" t="s">
        <v>19602</v>
      </c>
      <c r="F74" s="259" t="s">
        <v>2837</v>
      </c>
      <c r="G74" s="263">
        <v>50</v>
      </c>
    </row>
    <row r="75" spans="1:7" ht="71.25" x14ac:dyDescent="0.2">
      <c r="A75" s="271" t="s">
        <v>21709</v>
      </c>
      <c r="B75" s="259">
        <v>11</v>
      </c>
      <c r="C75" s="259" t="s">
        <v>21730</v>
      </c>
      <c r="D75" s="260" t="s">
        <v>21731</v>
      </c>
      <c r="E75" s="259" t="s">
        <v>19602</v>
      </c>
      <c r="F75" s="259" t="s">
        <v>3779</v>
      </c>
      <c r="G75" s="263">
        <v>50</v>
      </c>
    </row>
    <row r="76" spans="1:7" ht="57" x14ac:dyDescent="0.2">
      <c r="A76" s="271" t="s">
        <v>21709</v>
      </c>
      <c r="B76" s="259">
        <v>12</v>
      </c>
      <c r="C76" s="259" t="s">
        <v>21732</v>
      </c>
      <c r="D76" s="260" t="s">
        <v>21733</v>
      </c>
      <c r="E76" s="259" t="s">
        <v>19618</v>
      </c>
      <c r="F76" s="259" t="s">
        <v>10772</v>
      </c>
      <c r="G76" s="263">
        <v>120</v>
      </c>
    </row>
    <row r="77" spans="1:7" ht="71.25" x14ac:dyDescent="0.2">
      <c r="A77" s="271" t="s">
        <v>21709</v>
      </c>
      <c r="B77" s="259">
        <v>13</v>
      </c>
      <c r="C77" s="259" t="s">
        <v>20763</v>
      </c>
      <c r="D77" s="260" t="s">
        <v>21734</v>
      </c>
      <c r="E77" s="259" t="s">
        <v>10756</v>
      </c>
      <c r="F77" s="259" t="s">
        <v>10772</v>
      </c>
      <c r="G77" s="263">
        <v>500000</v>
      </c>
    </row>
    <row r="78" spans="1:7" ht="57" x14ac:dyDescent="0.2">
      <c r="A78" s="271" t="s">
        <v>21709</v>
      </c>
      <c r="B78" s="259">
        <v>14</v>
      </c>
      <c r="C78" s="259" t="s">
        <v>21735</v>
      </c>
      <c r="D78" s="260" t="s">
        <v>21736</v>
      </c>
      <c r="E78" s="259" t="s">
        <v>19618</v>
      </c>
      <c r="F78" s="259" t="s">
        <v>10772</v>
      </c>
      <c r="G78" s="263">
        <v>200</v>
      </c>
    </row>
    <row r="79" spans="1:7" ht="71.25" x14ac:dyDescent="0.2">
      <c r="A79" s="271" t="s">
        <v>21709</v>
      </c>
      <c r="B79" s="259">
        <v>15</v>
      </c>
      <c r="C79" s="259" t="s">
        <v>21737</v>
      </c>
      <c r="D79" s="260" t="s">
        <v>21738</v>
      </c>
      <c r="E79" s="259" t="s">
        <v>10756</v>
      </c>
      <c r="F79" s="259" t="s">
        <v>10772</v>
      </c>
      <c r="G79" s="263">
        <v>500000</v>
      </c>
    </row>
    <row r="80" spans="1:7" ht="71.25" x14ac:dyDescent="0.2">
      <c r="A80" s="271" t="s">
        <v>21709</v>
      </c>
      <c r="B80" s="259">
        <v>16</v>
      </c>
      <c r="C80" s="259" t="s">
        <v>21739</v>
      </c>
      <c r="D80" s="260" t="s">
        <v>21740</v>
      </c>
      <c r="E80" s="259" t="s">
        <v>10756</v>
      </c>
      <c r="F80" s="259" t="s">
        <v>10772</v>
      </c>
      <c r="G80" s="263">
        <v>1000000</v>
      </c>
    </row>
    <row r="81" spans="1:7" ht="42.75" x14ac:dyDescent="0.2">
      <c r="A81" s="271" t="s">
        <v>21709</v>
      </c>
      <c r="B81" s="259">
        <v>17</v>
      </c>
      <c r="C81" s="259" t="s">
        <v>21741</v>
      </c>
      <c r="D81" s="260" t="s">
        <v>21742</v>
      </c>
      <c r="E81" s="259" t="s">
        <v>19604</v>
      </c>
      <c r="F81" s="259" t="s">
        <v>122</v>
      </c>
      <c r="G81" s="263">
        <v>40</v>
      </c>
    </row>
    <row r="82" spans="1:7" ht="42.75" x14ac:dyDescent="0.2">
      <c r="A82" s="271" t="s">
        <v>21709</v>
      </c>
      <c r="B82" s="259">
        <v>18</v>
      </c>
      <c r="C82" s="259" t="s">
        <v>21743</v>
      </c>
      <c r="D82" s="260" t="s">
        <v>21744</v>
      </c>
      <c r="E82" s="259" t="s">
        <v>19604</v>
      </c>
      <c r="F82" s="259" t="s">
        <v>2837</v>
      </c>
      <c r="G82" s="263">
        <v>40</v>
      </c>
    </row>
    <row r="83" spans="1:7" ht="57" x14ac:dyDescent="0.2">
      <c r="A83" s="271" t="s">
        <v>21709</v>
      </c>
      <c r="B83" s="259">
        <v>19</v>
      </c>
      <c r="C83" s="259" t="s">
        <v>21745</v>
      </c>
      <c r="D83" s="260" t="s">
        <v>21746</v>
      </c>
      <c r="E83" s="259" t="s">
        <v>19618</v>
      </c>
      <c r="F83" s="259" t="s">
        <v>10772</v>
      </c>
      <c r="G83" s="263">
        <v>150</v>
      </c>
    </row>
    <row r="84" spans="1:7" ht="71.25" x14ac:dyDescent="0.2">
      <c r="A84" s="271" t="s">
        <v>21709</v>
      </c>
      <c r="B84" s="259">
        <v>20</v>
      </c>
      <c r="C84" s="259" t="s">
        <v>21747</v>
      </c>
      <c r="D84" s="260" t="s">
        <v>21748</v>
      </c>
      <c r="E84" s="259" t="s">
        <v>10756</v>
      </c>
      <c r="F84" s="259" t="s">
        <v>10772</v>
      </c>
      <c r="G84" s="263">
        <v>1000000</v>
      </c>
    </row>
    <row r="85" spans="1:7" ht="57" x14ac:dyDescent="0.2">
      <c r="A85" s="271" t="s">
        <v>21709</v>
      </c>
      <c r="B85" s="259">
        <v>21</v>
      </c>
      <c r="C85" s="259" t="s">
        <v>21749</v>
      </c>
      <c r="D85" s="260" t="s">
        <v>21750</v>
      </c>
      <c r="E85" s="259" t="s">
        <v>19618</v>
      </c>
      <c r="F85" s="259" t="s">
        <v>10772</v>
      </c>
      <c r="G85" s="263">
        <v>150</v>
      </c>
    </row>
    <row r="86" spans="1:7" ht="85.5" x14ac:dyDescent="0.2">
      <c r="A86" s="271" t="s">
        <v>21709</v>
      </c>
      <c r="B86" s="259">
        <v>22</v>
      </c>
      <c r="C86" s="259" t="s">
        <v>21751</v>
      </c>
      <c r="D86" s="260" t="s">
        <v>21752</v>
      </c>
      <c r="E86" s="259" t="s">
        <v>10756</v>
      </c>
      <c r="F86" s="259" t="s">
        <v>10772</v>
      </c>
      <c r="G86" s="262">
        <v>1500000</v>
      </c>
    </row>
    <row r="87" spans="1:7" ht="28.5" x14ac:dyDescent="0.2">
      <c r="A87" s="271" t="s">
        <v>21709</v>
      </c>
      <c r="B87" s="259">
        <v>23</v>
      </c>
      <c r="C87" s="259" t="s">
        <v>21753</v>
      </c>
      <c r="D87" s="260" t="s">
        <v>21754</v>
      </c>
      <c r="E87" s="259" t="s">
        <v>17507</v>
      </c>
      <c r="F87" s="259" t="s">
        <v>10772</v>
      </c>
      <c r="G87" s="263">
        <v>500000</v>
      </c>
    </row>
    <row r="88" spans="1:7" ht="42.75" x14ac:dyDescent="0.2">
      <c r="A88" s="271" t="s">
        <v>21709</v>
      </c>
      <c r="B88" s="259">
        <v>24</v>
      </c>
      <c r="C88" s="259" t="s">
        <v>21755</v>
      </c>
      <c r="D88" s="260" t="s">
        <v>21756</v>
      </c>
      <c r="E88" s="259" t="s">
        <v>19604</v>
      </c>
      <c r="F88" s="259" t="s">
        <v>3779</v>
      </c>
      <c r="G88" s="263">
        <v>40</v>
      </c>
    </row>
    <row r="89" spans="1:7" ht="57" x14ac:dyDescent="0.2">
      <c r="A89" s="271" t="s">
        <v>21709</v>
      </c>
      <c r="B89" s="259">
        <v>25</v>
      </c>
      <c r="C89" s="259" t="s">
        <v>21757</v>
      </c>
      <c r="D89" s="260" t="s">
        <v>21758</v>
      </c>
      <c r="E89" s="259" t="s">
        <v>10756</v>
      </c>
      <c r="F89" s="259" t="s">
        <v>10772</v>
      </c>
      <c r="G89" s="263">
        <v>1000000</v>
      </c>
    </row>
    <row r="90" spans="1:7" ht="57" x14ac:dyDescent="0.2">
      <c r="A90" s="271" t="s">
        <v>21709</v>
      </c>
      <c r="B90" s="259">
        <v>26</v>
      </c>
      <c r="C90" s="259" t="s">
        <v>21759</v>
      </c>
      <c r="D90" s="260" t="s">
        <v>21746</v>
      </c>
      <c r="E90" s="259" t="s">
        <v>19618</v>
      </c>
      <c r="F90" s="259" t="s">
        <v>10772</v>
      </c>
      <c r="G90" s="263">
        <v>180</v>
      </c>
    </row>
    <row r="91" spans="1:7" ht="57" x14ac:dyDescent="0.2">
      <c r="A91" s="271" t="s">
        <v>21709</v>
      </c>
      <c r="B91" s="259">
        <v>27</v>
      </c>
      <c r="C91" s="259" t="s">
        <v>21760</v>
      </c>
      <c r="D91" s="260" t="s">
        <v>21761</v>
      </c>
      <c r="E91" s="259" t="s">
        <v>10756</v>
      </c>
      <c r="F91" s="259" t="s">
        <v>10772</v>
      </c>
      <c r="G91" s="263">
        <v>1000000</v>
      </c>
    </row>
    <row r="92" spans="1:7" ht="57" x14ac:dyDescent="0.2">
      <c r="A92" s="271" t="s">
        <v>21709</v>
      </c>
      <c r="B92" s="259">
        <v>28</v>
      </c>
      <c r="C92" s="259" t="s">
        <v>21762</v>
      </c>
      <c r="D92" s="260" t="s">
        <v>21763</v>
      </c>
      <c r="E92" s="259" t="s">
        <v>19618</v>
      </c>
      <c r="F92" s="259" t="s">
        <v>10772</v>
      </c>
      <c r="G92" s="263">
        <v>200</v>
      </c>
    </row>
    <row r="93" spans="1:7" ht="28.5" x14ac:dyDescent="0.2">
      <c r="A93" s="271" t="s">
        <v>21709</v>
      </c>
      <c r="B93" s="259">
        <v>29</v>
      </c>
      <c r="C93" s="259" t="s">
        <v>21764</v>
      </c>
      <c r="D93" s="260" t="s">
        <v>21765</v>
      </c>
      <c r="E93" s="259" t="s">
        <v>10756</v>
      </c>
      <c r="F93" s="259" t="s">
        <v>10772</v>
      </c>
      <c r="G93" s="263">
        <v>3000000</v>
      </c>
    </row>
    <row r="94" spans="1:7" ht="28.5" x14ac:dyDescent="0.2">
      <c r="A94" s="272" t="s">
        <v>21709</v>
      </c>
      <c r="B94" s="264">
        <v>30</v>
      </c>
      <c r="C94" s="264" t="s">
        <v>21766</v>
      </c>
      <c r="D94" s="265" t="s">
        <v>21767</v>
      </c>
      <c r="E94" s="264" t="s">
        <v>19618</v>
      </c>
      <c r="F94" s="264" t="s">
        <v>10772</v>
      </c>
      <c r="G94" s="266">
        <v>3000</v>
      </c>
    </row>
  </sheetData>
  <autoFilter ref="A1:G96" xr:uid="{A6F16F31-6E7A-4E03-B5F5-1454DCA64811}">
    <sortState xmlns:xlrd2="http://schemas.microsoft.com/office/spreadsheetml/2017/richdata2" ref="A2:G95">
      <sortCondition ref="A1:A96"/>
    </sortState>
  </autoFilter>
  <sortState xmlns:xlrd2="http://schemas.microsoft.com/office/spreadsheetml/2017/richdata2" ref="A47:G56">
    <sortCondition ref="C47:C56"/>
  </sortState>
  <pageMargins left="0.25" right="0.25" top="0.453125" bottom="0.2" header="0.199375" footer="0.3"/>
  <pageSetup scale="87" fitToHeight="0" orientation="landscape" r:id="rId1"/>
  <headerFooter>
    <oddHeader>&amp;L&amp;"-,Bold"&amp;14Dragalia Lost V3 Re;Works Royal Regimen Rewards</oddHeader>
  </headerFooter>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DF7CBC-2300-4B7A-99E7-E47C9776E145}">
  <sheetPr>
    <outlinePr summaryBelow="0" summaryRight="0"/>
    <pageSetUpPr fitToPage="1"/>
  </sheetPr>
  <dimension ref="A1:AA985"/>
  <sheetViews>
    <sheetView zoomScaleNormal="100" workbookViewId="0">
      <selection activeCell="D9" sqref="D9"/>
    </sheetView>
  </sheetViews>
  <sheetFormatPr defaultColWidth="12.625" defaultRowHeight="14.25" x14ac:dyDescent="0.2"/>
  <cols>
    <col min="1" max="1" width="13.375" customWidth="1"/>
    <col min="2" max="2" width="3.5" customWidth="1"/>
    <col min="3" max="3" width="7.625" customWidth="1"/>
    <col min="4" max="4" width="26" customWidth="1"/>
    <col min="5" max="6" width="4.625" customWidth="1"/>
    <col min="7" max="7" width="5.25" customWidth="1"/>
    <col min="8" max="8" width="1.875" customWidth="1"/>
    <col min="9" max="9" width="4.875" bestFit="1" customWidth="1"/>
    <col min="10" max="10" width="13.375" customWidth="1"/>
    <col min="11" max="11" width="19.875" customWidth="1"/>
    <col min="12" max="12" width="24.875" customWidth="1"/>
    <col min="13" max="13" width="8.125" customWidth="1"/>
    <col min="14" max="16" width="10.625" customWidth="1"/>
    <col min="17" max="17" width="6.875" bestFit="1" customWidth="1"/>
    <col min="18" max="18" width="7.5" bestFit="1" customWidth="1"/>
    <col min="19" max="19" width="6.5" bestFit="1" customWidth="1"/>
    <col min="20" max="20" width="7.125" bestFit="1" customWidth="1"/>
    <col min="21" max="21" width="8.25" bestFit="1" customWidth="1"/>
  </cols>
  <sheetData>
    <row r="1" spans="1:27" x14ac:dyDescent="0.2">
      <c r="A1" s="95" t="s">
        <v>18046</v>
      </c>
      <c r="B1" s="67" t="s">
        <v>21788</v>
      </c>
      <c r="C1" s="165" t="s">
        <v>10756</v>
      </c>
      <c r="D1" s="67" t="s">
        <v>13707</v>
      </c>
      <c r="E1" s="166" t="s">
        <v>96</v>
      </c>
      <c r="F1" s="166" t="s">
        <v>97</v>
      </c>
      <c r="G1" s="167" t="s">
        <v>21789</v>
      </c>
      <c r="H1" s="1"/>
      <c r="I1" s="95" t="s">
        <v>19625</v>
      </c>
      <c r="J1" s="67" t="s">
        <v>10266</v>
      </c>
      <c r="K1" s="67" t="s">
        <v>89</v>
      </c>
      <c r="L1" s="67" t="s">
        <v>21790</v>
      </c>
      <c r="M1" s="67" t="s">
        <v>23</v>
      </c>
      <c r="N1" s="67" t="s">
        <v>95</v>
      </c>
      <c r="O1" s="67" t="s">
        <v>21791</v>
      </c>
      <c r="P1" s="67" t="s">
        <v>21792</v>
      </c>
      <c r="Q1" s="67" t="s">
        <v>21793</v>
      </c>
      <c r="R1" s="67" t="s">
        <v>21794</v>
      </c>
      <c r="S1" s="67" t="s">
        <v>21795</v>
      </c>
      <c r="T1" s="67" t="s">
        <v>21796</v>
      </c>
      <c r="U1" s="97" t="s">
        <v>21797</v>
      </c>
      <c r="V1" s="1"/>
      <c r="W1" s="1"/>
      <c r="X1" s="1"/>
      <c r="Y1" s="1"/>
      <c r="Z1" s="1"/>
      <c r="AA1" s="1"/>
    </row>
    <row r="2" spans="1:27" x14ac:dyDescent="0.2">
      <c r="A2" s="271" t="s">
        <v>21798</v>
      </c>
      <c r="B2" s="259">
        <v>1</v>
      </c>
      <c r="C2" s="870">
        <v>0</v>
      </c>
      <c r="D2" s="259" t="s">
        <v>13720</v>
      </c>
      <c r="E2" s="871">
        <v>1</v>
      </c>
      <c r="F2" s="871">
        <v>1</v>
      </c>
      <c r="G2" s="872"/>
      <c r="I2" s="271" t="s">
        <v>20062</v>
      </c>
      <c r="J2" s="259" t="s">
        <v>21798</v>
      </c>
      <c r="K2" s="259" t="s">
        <v>20063</v>
      </c>
      <c r="L2" s="259" t="s">
        <v>21799</v>
      </c>
      <c r="M2" s="259" t="s">
        <v>122</v>
      </c>
      <c r="N2" s="259"/>
      <c r="O2" s="259"/>
      <c r="P2" s="870">
        <f>SUMIF(A:A,J2,C:C)</f>
        <v>1593000</v>
      </c>
      <c r="Q2" s="871">
        <v>26</v>
      </c>
      <c r="R2" s="871">
        <v>26</v>
      </c>
      <c r="S2" s="871"/>
      <c r="T2" s="871"/>
      <c r="U2" s="343"/>
    </row>
    <row r="3" spans="1:27" x14ac:dyDescent="0.2">
      <c r="A3" s="306" t="s">
        <v>21798</v>
      </c>
      <c r="B3" s="261">
        <v>2</v>
      </c>
      <c r="C3" s="279">
        <v>400</v>
      </c>
      <c r="D3" s="261" t="s">
        <v>10772</v>
      </c>
      <c r="E3" s="869">
        <v>2</v>
      </c>
      <c r="F3" s="869">
        <v>1</v>
      </c>
      <c r="G3" s="873"/>
      <c r="I3" s="306" t="s">
        <v>20064</v>
      </c>
      <c r="J3" s="261" t="s">
        <v>21798</v>
      </c>
      <c r="K3" s="261" t="s">
        <v>20065</v>
      </c>
      <c r="L3" s="261" t="s">
        <v>21799</v>
      </c>
      <c r="M3" s="261" t="s">
        <v>1103</v>
      </c>
      <c r="N3" s="261"/>
      <c r="O3" s="261"/>
      <c r="P3" s="279">
        <f>SUMIF(A:A,J3,C:C)</f>
        <v>1593000</v>
      </c>
      <c r="Q3" s="869">
        <v>26</v>
      </c>
      <c r="R3" s="869">
        <v>26</v>
      </c>
      <c r="S3" s="869"/>
      <c r="T3" s="869"/>
      <c r="U3" s="330"/>
    </row>
    <row r="4" spans="1:27" x14ac:dyDescent="0.2">
      <c r="A4" s="306" t="s">
        <v>21798</v>
      </c>
      <c r="B4" s="261">
        <v>3</v>
      </c>
      <c r="C4" s="279">
        <v>600</v>
      </c>
      <c r="D4" s="261" t="s">
        <v>10772</v>
      </c>
      <c r="E4" s="869">
        <v>2</v>
      </c>
      <c r="F4" s="869">
        <v>2</v>
      </c>
      <c r="G4" s="873"/>
      <c r="I4" s="306" t="s">
        <v>20066</v>
      </c>
      <c r="J4" s="261" t="s">
        <v>21798</v>
      </c>
      <c r="K4" s="261" t="s">
        <v>20067</v>
      </c>
      <c r="L4" s="261" t="s">
        <v>21799</v>
      </c>
      <c r="M4" s="261" t="s">
        <v>1947</v>
      </c>
      <c r="N4" s="261"/>
      <c r="O4" s="261"/>
      <c r="P4" s="279">
        <f>SUMIF(A:A,J4,C:C)</f>
        <v>1593000</v>
      </c>
      <c r="Q4" s="869">
        <v>26</v>
      </c>
      <c r="R4" s="869">
        <v>26</v>
      </c>
      <c r="S4" s="869"/>
      <c r="T4" s="869"/>
      <c r="U4" s="330"/>
    </row>
    <row r="5" spans="1:27" x14ac:dyDescent="0.2">
      <c r="A5" s="306" t="s">
        <v>21798</v>
      </c>
      <c r="B5" s="261">
        <v>4</v>
      </c>
      <c r="C5" s="279">
        <v>800</v>
      </c>
      <c r="D5" s="261" t="s">
        <v>10772</v>
      </c>
      <c r="E5" s="869">
        <v>3</v>
      </c>
      <c r="F5" s="869">
        <v>2</v>
      </c>
      <c r="G5" s="873"/>
      <c r="I5" s="306" t="s">
        <v>20068</v>
      </c>
      <c r="J5" s="261" t="s">
        <v>21798</v>
      </c>
      <c r="K5" s="261" t="s">
        <v>20069</v>
      </c>
      <c r="L5" s="261" t="s">
        <v>21799</v>
      </c>
      <c r="M5" s="261" t="s">
        <v>2837</v>
      </c>
      <c r="N5" s="261"/>
      <c r="O5" s="261"/>
      <c r="P5" s="279">
        <f>SUMIF(A:A,J5,C:C)</f>
        <v>1593000</v>
      </c>
      <c r="Q5" s="869">
        <v>26</v>
      </c>
      <c r="R5" s="869">
        <v>26</v>
      </c>
      <c r="S5" s="869"/>
      <c r="T5" s="869"/>
      <c r="U5" s="330"/>
    </row>
    <row r="6" spans="1:27" x14ac:dyDescent="0.2">
      <c r="A6" s="306" t="s">
        <v>21798</v>
      </c>
      <c r="B6" s="261">
        <v>5</v>
      </c>
      <c r="C6" s="279">
        <v>1000</v>
      </c>
      <c r="D6" s="261" t="s">
        <v>10772</v>
      </c>
      <c r="E6" s="869">
        <v>3</v>
      </c>
      <c r="F6" s="869">
        <v>3</v>
      </c>
      <c r="G6" s="873"/>
      <c r="I6" s="306" t="s">
        <v>20070</v>
      </c>
      <c r="J6" s="261" t="s">
        <v>21798</v>
      </c>
      <c r="K6" s="261" t="s">
        <v>20071</v>
      </c>
      <c r="L6" s="261" t="s">
        <v>21799</v>
      </c>
      <c r="M6" s="261" t="s">
        <v>3779</v>
      </c>
      <c r="N6" s="261"/>
      <c r="O6" s="261"/>
      <c r="P6" s="279">
        <f>SUMIF(A:A,J6,C:C)</f>
        <v>1593000</v>
      </c>
      <c r="Q6" s="869">
        <v>33</v>
      </c>
      <c r="R6" s="869">
        <v>33</v>
      </c>
      <c r="S6" s="869"/>
      <c r="T6" s="869"/>
      <c r="U6" s="330"/>
    </row>
    <row r="7" spans="1:27" x14ac:dyDescent="0.2">
      <c r="A7" s="306" t="s">
        <v>21798</v>
      </c>
      <c r="B7" s="261">
        <v>6</v>
      </c>
      <c r="C7" s="279">
        <v>1200</v>
      </c>
      <c r="D7" s="261" t="s">
        <v>19599</v>
      </c>
      <c r="E7" s="869">
        <v>4</v>
      </c>
      <c r="F7" s="869">
        <v>3</v>
      </c>
      <c r="G7" s="873"/>
      <c r="I7" s="306" t="s">
        <v>20072</v>
      </c>
      <c r="J7" s="261" t="s">
        <v>21800</v>
      </c>
      <c r="K7" s="261" t="s">
        <v>20073</v>
      </c>
      <c r="L7" s="261" t="s">
        <v>21801</v>
      </c>
      <c r="M7" s="261"/>
      <c r="N7" s="261" t="s">
        <v>123</v>
      </c>
      <c r="O7" s="261"/>
      <c r="P7" s="279">
        <f t="shared" ref="P7:P33" si="0">SUMIF(A:A,J7,C:C)</f>
        <v>1589000</v>
      </c>
      <c r="Q7" s="869">
        <v>33</v>
      </c>
      <c r="R7" s="869">
        <v>33</v>
      </c>
      <c r="S7" s="869"/>
      <c r="T7" s="869"/>
      <c r="U7" s="330"/>
    </row>
    <row r="8" spans="1:27" x14ac:dyDescent="0.2">
      <c r="A8" s="306" t="s">
        <v>21798</v>
      </c>
      <c r="B8" s="261">
        <v>7</v>
      </c>
      <c r="C8" s="279">
        <v>1500</v>
      </c>
      <c r="D8" s="261" t="s">
        <v>19599</v>
      </c>
      <c r="E8" s="869">
        <v>4</v>
      </c>
      <c r="F8" s="869">
        <v>4</v>
      </c>
      <c r="G8" s="873"/>
      <c r="I8" s="306" t="s">
        <v>20075</v>
      </c>
      <c r="J8" s="261" t="s">
        <v>21800</v>
      </c>
      <c r="K8" s="261" t="s">
        <v>20076</v>
      </c>
      <c r="L8" s="261" t="s">
        <v>21801</v>
      </c>
      <c r="M8" s="261"/>
      <c r="N8" s="261" t="s">
        <v>330</v>
      </c>
      <c r="O8" s="261"/>
      <c r="P8" s="279">
        <f t="shared" si="0"/>
        <v>1589000</v>
      </c>
      <c r="Q8" s="869">
        <v>33</v>
      </c>
      <c r="R8" s="869">
        <v>33</v>
      </c>
      <c r="S8" s="869"/>
      <c r="T8" s="869"/>
      <c r="U8" s="330"/>
    </row>
    <row r="9" spans="1:27" x14ac:dyDescent="0.2">
      <c r="A9" s="306" t="s">
        <v>21798</v>
      </c>
      <c r="B9" s="261">
        <v>8</v>
      </c>
      <c r="C9" s="279">
        <v>2000</v>
      </c>
      <c r="D9" s="261" t="s">
        <v>19599</v>
      </c>
      <c r="E9" s="869">
        <v>5</v>
      </c>
      <c r="F9" s="869">
        <v>4</v>
      </c>
      <c r="G9" s="873"/>
      <c r="I9" s="306" t="s">
        <v>20077</v>
      </c>
      <c r="J9" s="261" t="s">
        <v>21800</v>
      </c>
      <c r="K9" s="261" t="s">
        <v>20078</v>
      </c>
      <c r="L9" s="261" t="s">
        <v>21801</v>
      </c>
      <c r="M9" s="261"/>
      <c r="N9" s="261" t="s">
        <v>429</v>
      </c>
      <c r="O9" s="261"/>
      <c r="P9" s="279">
        <f>SUMIF(A:A,J9,C:C)</f>
        <v>1589000</v>
      </c>
      <c r="Q9" s="869">
        <v>33</v>
      </c>
      <c r="R9" s="869">
        <v>33</v>
      </c>
      <c r="S9" s="869"/>
      <c r="T9" s="869"/>
      <c r="U9" s="330"/>
    </row>
    <row r="10" spans="1:27" x14ac:dyDescent="0.2">
      <c r="A10" s="306" t="s">
        <v>21798</v>
      </c>
      <c r="B10" s="261">
        <v>9</v>
      </c>
      <c r="C10" s="279">
        <v>2500</v>
      </c>
      <c r="D10" s="261" t="s">
        <v>19599</v>
      </c>
      <c r="E10" s="869">
        <v>5</v>
      </c>
      <c r="F10" s="869">
        <v>5</v>
      </c>
      <c r="G10" s="873"/>
      <c r="I10" s="306" t="s">
        <v>20079</v>
      </c>
      <c r="J10" s="261" t="s">
        <v>21800</v>
      </c>
      <c r="K10" s="261" t="s">
        <v>20080</v>
      </c>
      <c r="L10" s="261" t="s">
        <v>21801</v>
      </c>
      <c r="M10" s="261"/>
      <c r="N10" s="261" t="s">
        <v>543</v>
      </c>
      <c r="O10" s="261"/>
      <c r="P10" s="279">
        <f t="shared" si="0"/>
        <v>1589000</v>
      </c>
      <c r="Q10" s="869">
        <v>33</v>
      </c>
      <c r="R10" s="869">
        <v>33</v>
      </c>
      <c r="S10" s="869"/>
      <c r="T10" s="869"/>
      <c r="U10" s="330"/>
    </row>
    <row r="11" spans="1:27" x14ac:dyDescent="0.2">
      <c r="A11" s="306" t="s">
        <v>21798</v>
      </c>
      <c r="B11" s="261">
        <v>10</v>
      </c>
      <c r="C11" s="279">
        <v>3000</v>
      </c>
      <c r="D11" s="261" t="s">
        <v>19599</v>
      </c>
      <c r="E11" s="869">
        <v>6</v>
      </c>
      <c r="F11" s="869">
        <v>5</v>
      </c>
      <c r="G11" s="873"/>
      <c r="I11" s="306" t="s">
        <v>20081</v>
      </c>
      <c r="J11" s="261" t="s">
        <v>21800</v>
      </c>
      <c r="K11" s="261" t="s">
        <v>20082</v>
      </c>
      <c r="L11" s="261" t="s">
        <v>21801</v>
      </c>
      <c r="M11" s="261"/>
      <c r="N11" s="261" t="s">
        <v>645</v>
      </c>
      <c r="O11" s="261"/>
      <c r="P11" s="279">
        <f t="shared" si="0"/>
        <v>1589000</v>
      </c>
      <c r="Q11" s="869">
        <v>33</v>
      </c>
      <c r="R11" s="869">
        <v>33</v>
      </c>
      <c r="S11" s="869"/>
      <c r="T11" s="869"/>
      <c r="U11" s="330"/>
    </row>
    <row r="12" spans="1:27" x14ac:dyDescent="0.2">
      <c r="A12" s="306" t="s">
        <v>21798</v>
      </c>
      <c r="B12" s="261">
        <v>11</v>
      </c>
      <c r="C12" s="279">
        <v>4000</v>
      </c>
      <c r="D12" s="261" t="s">
        <v>19600</v>
      </c>
      <c r="E12" s="869">
        <v>6</v>
      </c>
      <c r="F12" s="869">
        <v>6</v>
      </c>
      <c r="G12" s="873"/>
      <c r="I12" s="306" t="s">
        <v>20083</v>
      </c>
      <c r="J12" s="261" t="s">
        <v>21800</v>
      </c>
      <c r="K12" s="261" t="s">
        <v>20084</v>
      </c>
      <c r="L12" s="261" t="s">
        <v>21801</v>
      </c>
      <c r="M12" s="261"/>
      <c r="N12" s="261" t="s">
        <v>759</v>
      </c>
      <c r="O12" s="261"/>
      <c r="P12" s="279">
        <f t="shared" si="0"/>
        <v>1589000</v>
      </c>
      <c r="Q12" s="869">
        <v>33</v>
      </c>
      <c r="R12" s="869">
        <v>33</v>
      </c>
      <c r="S12" s="869"/>
      <c r="T12" s="869"/>
      <c r="U12" s="330"/>
    </row>
    <row r="13" spans="1:27" x14ac:dyDescent="0.2">
      <c r="A13" s="306" t="s">
        <v>21798</v>
      </c>
      <c r="B13" s="261">
        <v>12</v>
      </c>
      <c r="C13" s="279">
        <v>5000</v>
      </c>
      <c r="D13" s="261" t="s">
        <v>19600</v>
      </c>
      <c r="E13" s="869">
        <v>7</v>
      </c>
      <c r="F13" s="869">
        <v>6</v>
      </c>
      <c r="G13" s="873"/>
      <c r="I13" s="306" t="s">
        <v>20085</v>
      </c>
      <c r="J13" s="261" t="s">
        <v>21800</v>
      </c>
      <c r="K13" s="261" t="s">
        <v>20086</v>
      </c>
      <c r="L13" s="261" t="s">
        <v>21801</v>
      </c>
      <c r="M13" s="261"/>
      <c r="N13" s="261" t="s">
        <v>839</v>
      </c>
      <c r="O13" s="261"/>
      <c r="P13" s="279">
        <f t="shared" si="0"/>
        <v>1589000</v>
      </c>
      <c r="Q13" s="869">
        <v>33</v>
      </c>
      <c r="R13" s="869">
        <v>33</v>
      </c>
      <c r="S13" s="869"/>
      <c r="T13" s="869"/>
      <c r="U13" s="330"/>
    </row>
    <row r="14" spans="1:27" x14ac:dyDescent="0.2">
      <c r="A14" s="306" t="s">
        <v>21798</v>
      </c>
      <c r="B14" s="261">
        <v>13</v>
      </c>
      <c r="C14" s="279">
        <v>6000</v>
      </c>
      <c r="D14" s="261" t="s">
        <v>19600</v>
      </c>
      <c r="E14" s="869">
        <v>7</v>
      </c>
      <c r="F14" s="869">
        <v>7</v>
      </c>
      <c r="G14" s="873"/>
      <c r="I14" s="306" t="s">
        <v>20087</v>
      </c>
      <c r="J14" s="261" t="s">
        <v>21800</v>
      </c>
      <c r="K14" s="261" t="s">
        <v>20088</v>
      </c>
      <c r="L14" s="261" t="s">
        <v>21801</v>
      </c>
      <c r="M14" s="261"/>
      <c r="N14" s="261" t="s">
        <v>949</v>
      </c>
      <c r="O14" s="261"/>
      <c r="P14" s="279">
        <f t="shared" si="0"/>
        <v>1589000</v>
      </c>
      <c r="Q14" s="869">
        <v>33</v>
      </c>
      <c r="R14" s="869">
        <v>33</v>
      </c>
      <c r="S14" s="869"/>
      <c r="T14" s="869"/>
      <c r="U14" s="330"/>
    </row>
    <row r="15" spans="1:27" x14ac:dyDescent="0.2">
      <c r="A15" s="306" t="s">
        <v>21798</v>
      </c>
      <c r="B15" s="261">
        <v>14</v>
      </c>
      <c r="C15" s="279">
        <v>7000</v>
      </c>
      <c r="D15" s="261" t="s">
        <v>19600</v>
      </c>
      <c r="E15" s="869">
        <v>8</v>
      </c>
      <c r="F15" s="869">
        <v>7</v>
      </c>
      <c r="G15" s="873"/>
      <c r="I15" s="306" t="s">
        <v>20089</v>
      </c>
      <c r="J15" s="261" t="s">
        <v>21800</v>
      </c>
      <c r="K15" s="261" t="s">
        <v>20090</v>
      </c>
      <c r="L15" s="261" t="s">
        <v>21801</v>
      </c>
      <c r="M15" s="261"/>
      <c r="N15" s="261" t="s">
        <v>1054</v>
      </c>
      <c r="O15" s="261"/>
      <c r="P15" s="279">
        <f t="shared" si="0"/>
        <v>1589000</v>
      </c>
      <c r="Q15" s="869">
        <v>33</v>
      </c>
      <c r="R15" s="869">
        <v>33</v>
      </c>
      <c r="S15" s="869"/>
      <c r="T15" s="869"/>
      <c r="U15" s="330"/>
    </row>
    <row r="16" spans="1:27" x14ac:dyDescent="0.2">
      <c r="A16" s="306" t="s">
        <v>21798</v>
      </c>
      <c r="B16" s="261">
        <v>15</v>
      </c>
      <c r="C16" s="279">
        <v>8000</v>
      </c>
      <c r="D16" s="261" t="s">
        <v>19600</v>
      </c>
      <c r="E16" s="869">
        <v>8</v>
      </c>
      <c r="F16" s="869">
        <v>8</v>
      </c>
      <c r="G16" s="873"/>
      <c r="I16" s="306" t="s">
        <v>20091</v>
      </c>
      <c r="J16" s="261" t="s">
        <v>21802</v>
      </c>
      <c r="K16" s="261" t="s">
        <v>20092</v>
      </c>
      <c r="L16" s="261" t="s">
        <v>21803</v>
      </c>
      <c r="M16" s="261" t="s">
        <v>122</v>
      </c>
      <c r="N16" s="261"/>
      <c r="O16" s="261"/>
      <c r="P16" s="279">
        <f t="shared" si="0"/>
        <v>262500</v>
      </c>
      <c r="Q16" s="869">
        <v>5</v>
      </c>
      <c r="R16" s="869">
        <v>5</v>
      </c>
      <c r="S16" s="869"/>
      <c r="T16" s="869"/>
      <c r="U16" s="330"/>
    </row>
    <row r="17" spans="1:21" x14ac:dyDescent="0.2">
      <c r="A17" s="306" t="s">
        <v>21798</v>
      </c>
      <c r="B17" s="261">
        <v>16</v>
      </c>
      <c r="C17" s="279">
        <v>10000</v>
      </c>
      <c r="D17" s="261" t="s">
        <v>19600</v>
      </c>
      <c r="E17" s="869">
        <v>9</v>
      </c>
      <c r="F17" s="869">
        <v>8</v>
      </c>
      <c r="G17" s="873"/>
      <c r="I17" s="306" t="s">
        <v>20093</v>
      </c>
      <c r="J17" s="261" t="s">
        <v>21802</v>
      </c>
      <c r="K17" s="261" t="s">
        <v>20094</v>
      </c>
      <c r="L17" s="261" t="s">
        <v>21803</v>
      </c>
      <c r="M17" s="261" t="s">
        <v>1103</v>
      </c>
      <c r="N17" s="261"/>
      <c r="O17" s="261"/>
      <c r="P17" s="279">
        <f t="shared" si="0"/>
        <v>262500</v>
      </c>
      <c r="Q17" s="869">
        <v>5</v>
      </c>
      <c r="R17" s="869">
        <v>5</v>
      </c>
      <c r="S17" s="869"/>
      <c r="T17" s="869"/>
      <c r="U17" s="330"/>
    </row>
    <row r="18" spans="1:21" x14ac:dyDescent="0.2">
      <c r="A18" s="306" t="s">
        <v>21798</v>
      </c>
      <c r="B18" s="261">
        <v>17</v>
      </c>
      <c r="C18" s="279">
        <v>12000</v>
      </c>
      <c r="D18" s="261" t="s">
        <v>19600</v>
      </c>
      <c r="E18" s="869">
        <v>9</v>
      </c>
      <c r="F18" s="869">
        <v>9</v>
      </c>
      <c r="G18" s="873"/>
      <c r="I18" s="306" t="s">
        <v>20095</v>
      </c>
      <c r="J18" s="261" t="s">
        <v>21802</v>
      </c>
      <c r="K18" s="261" t="s">
        <v>20096</v>
      </c>
      <c r="L18" s="261" t="s">
        <v>21803</v>
      </c>
      <c r="M18" s="261" t="s">
        <v>1947</v>
      </c>
      <c r="N18" s="261"/>
      <c r="O18" s="261"/>
      <c r="P18" s="279">
        <f t="shared" si="0"/>
        <v>262500</v>
      </c>
      <c r="Q18" s="869">
        <v>5</v>
      </c>
      <c r="R18" s="869">
        <v>5</v>
      </c>
      <c r="S18" s="869"/>
      <c r="T18" s="869"/>
      <c r="U18" s="330"/>
    </row>
    <row r="19" spans="1:21" x14ac:dyDescent="0.2">
      <c r="A19" s="306" t="s">
        <v>21798</v>
      </c>
      <c r="B19" s="261">
        <v>18</v>
      </c>
      <c r="C19" s="279">
        <v>14000</v>
      </c>
      <c r="D19" s="261" t="s">
        <v>19600</v>
      </c>
      <c r="E19" s="869">
        <v>10</v>
      </c>
      <c r="F19" s="869">
        <v>9</v>
      </c>
      <c r="G19" s="873"/>
      <c r="I19" s="306" t="s">
        <v>20097</v>
      </c>
      <c r="J19" s="261" t="s">
        <v>21802</v>
      </c>
      <c r="K19" s="261" t="s">
        <v>20098</v>
      </c>
      <c r="L19" s="261" t="s">
        <v>21803</v>
      </c>
      <c r="M19" s="261" t="s">
        <v>2837</v>
      </c>
      <c r="N19" s="261"/>
      <c r="O19" s="261"/>
      <c r="P19" s="279">
        <f t="shared" si="0"/>
        <v>262500</v>
      </c>
      <c r="Q19" s="869">
        <v>5</v>
      </c>
      <c r="R19" s="869">
        <v>5</v>
      </c>
      <c r="S19" s="869"/>
      <c r="T19" s="869"/>
      <c r="U19" s="330"/>
    </row>
    <row r="20" spans="1:21" x14ac:dyDescent="0.2">
      <c r="A20" s="306" t="s">
        <v>21798</v>
      </c>
      <c r="B20" s="261">
        <v>19</v>
      </c>
      <c r="C20" s="279">
        <v>16000</v>
      </c>
      <c r="D20" s="261" t="s">
        <v>19600</v>
      </c>
      <c r="E20" s="869">
        <v>10</v>
      </c>
      <c r="F20" s="869">
        <v>10</v>
      </c>
      <c r="G20" s="873"/>
      <c r="I20" s="306" t="s">
        <v>20099</v>
      </c>
      <c r="J20" s="261" t="s">
        <v>21802</v>
      </c>
      <c r="K20" s="261" t="s">
        <v>20100</v>
      </c>
      <c r="L20" s="261" t="s">
        <v>21803</v>
      </c>
      <c r="M20" s="261" t="s">
        <v>3779</v>
      </c>
      <c r="N20" s="261"/>
      <c r="O20" s="261"/>
      <c r="P20" s="279">
        <f t="shared" si="0"/>
        <v>262500</v>
      </c>
      <c r="Q20" s="869">
        <v>5</v>
      </c>
      <c r="R20" s="869">
        <v>5</v>
      </c>
      <c r="S20" s="869"/>
      <c r="T20" s="869"/>
      <c r="U20" s="330"/>
    </row>
    <row r="21" spans="1:21" x14ac:dyDescent="0.2">
      <c r="A21" s="306" t="s">
        <v>21798</v>
      </c>
      <c r="B21" s="261">
        <v>20</v>
      </c>
      <c r="C21" s="279">
        <v>18000</v>
      </c>
      <c r="D21" s="261" t="s">
        <v>19600</v>
      </c>
      <c r="E21" s="869">
        <v>11</v>
      </c>
      <c r="F21" s="869">
        <v>10</v>
      </c>
      <c r="G21" s="873"/>
      <c r="I21" s="306" t="s">
        <v>20101</v>
      </c>
      <c r="J21" s="261" t="s">
        <v>21804</v>
      </c>
      <c r="K21" s="261" t="s">
        <v>20102</v>
      </c>
      <c r="L21" s="261" t="s">
        <v>21801</v>
      </c>
      <c r="M21" s="261" t="s">
        <v>1947</v>
      </c>
      <c r="N21" s="261"/>
      <c r="O21" s="261"/>
      <c r="P21" s="279">
        <f t="shared" ref="P21:P28" si="1">SUMIF(A:A,J21,C:C)</f>
        <v>1081000</v>
      </c>
      <c r="Q21" s="869"/>
      <c r="R21" s="869"/>
      <c r="S21" s="869"/>
      <c r="T21" s="869"/>
      <c r="U21" s="330">
        <v>60</v>
      </c>
    </row>
    <row r="22" spans="1:21" x14ac:dyDescent="0.2">
      <c r="A22" s="306" t="s">
        <v>21798</v>
      </c>
      <c r="B22" s="261">
        <v>21</v>
      </c>
      <c r="C22" s="279">
        <v>20000</v>
      </c>
      <c r="D22" s="261" t="s">
        <v>19601</v>
      </c>
      <c r="E22" s="869">
        <v>11</v>
      </c>
      <c r="F22" s="869">
        <v>11</v>
      </c>
      <c r="G22" s="873"/>
      <c r="I22" s="306" t="s">
        <v>20103</v>
      </c>
      <c r="J22" s="261" t="s">
        <v>21804</v>
      </c>
      <c r="K22" s="261" t="s">
        <v>20104</v>
      </c>
      <c r="L22" s="261" t="s">
        <v>21805</v>
      </c>
      <c r="M22" s="261" t="s">
        <v>1103</v>
      </c>
      <c r="N22" s="261"/>
      <c r="O22" s="261"/>
      <c r="P22" s="279">
        <f t="shared" si="1"/>
        <v>1081000</v>
      </c>
      <c r="Q22" s="869"/>
      <c r="R22" s="869"/>
      <c r="S22" s="869"/>
      <c r="T22" s="869"/>
      <c r="U22" s="330">
        <v>60</v>
      </c>
    </row>
    <row r="23" spans="1:21" x14ac:dyDescent="0.2">
      <c r="A23" s="306" t="s">
        <v>21798</v>
      </c>
      <c r="B23" s="261">
        <v>22</v>
      </c>
      <c r="C23" s="279">
        <v>22000</v>
      </c>
      <c r="D23" s="261" t="s">
        <v>19601</v>
      </c>
      <c r="E23" s="869">
        <v>12</v>
      </c>
      <c r="F23" s="869">
        <v>11</v>
      </c>
      <c r="G23" s="873"/>
      <c r="I23" s="306" t="s">
        <v>20105</v>
      </c>
      <c r="J23" s="261" t="s">
        <v>21804</v>
      </c>
      <c r="K23" s="261" t="s">
        <v>20106</v>
      </c>
      <c r="L23" s="261" t="s">
        <v>21806</v>
      </c>
      <c r="M23" s="261" t="s">
        <v>122</v>
      </c>
      <c r="N23" s="261"/>
      <c r="O23" s="261"/>
      <c r="P23" s="279">
        <f t="shared" si="1"/>
        <v>1081000</v>
      </c>
      <c r="Q23" s="869"/>
      <c r="R23" s="869"/>
      <c r="S23" s="869"/>
      <c r="T23" s="869"/>
      <c r="U23" s="330">
        <v>60</v>
      </c>
    </row>
    <row r="24" spans="1:21" x14ac:dyDescent="0.2">
      <c r="A24" s="306" t="s">
        <v>21798</v>
      </c>
      <c r="B24" s="261">
        <v>23</v>
      </c>
      <c r="C24" s="279">
        <v>24000</v>
      </c>
      <c r="D24" s="261" t="s">
        <v>19601</v>
      </c>
      <c r="E24" s="869">
        <v>12</v>
      </c>
      <c r="F24" s="869">
        <v>12</v>
      </c>
      <c r="G24" s="873"/>
      <c r="I24" s="306" t="s">
        <v>20107</v>
      </c>
      <c r="J24" s="261" t="s">
        <v>21804</v>
      </c>
      <c r="K24" s="261" t="s">
        <v>20108</v>
      </c>
      <c r="L24" s="261" t="s">
        <v>21807</v>
      </c>
      <c r="M24" s="261" t="s">
        <v>2837</v>
      </c>
      <c r="N24" s="261"/>
      <c r="O24" s="261"/>
      <c r="P24" s="279">
        <f t="shared" si="1"/>
        <v>1081000</v>
      </c>
      <c r="Q24" s="869"/>
      <c r="R24" s="869"/>
      <c r="S24" s="869"/>
      <c r="T24" s="869"/>
      <c r="U24" s="330">
        <v>60</v>
      </c>
    </row>
    <row r="25" spans="1:21" x14ac:dyDescent="0.2">
      <c r="A25" s="306" t="s">
        <v>21798</v>
      </c>
      <c r="B25" s="261">
        <v>24</v>
      </c>
      <c r="C25" s="279">
        <v>26000</v>
      </c>
      <c r="D25" s="261" t="s">
        <v>19601</v>
      </c>
      <c r="E25" s="869">
        <v>13</v>
      </c>
      <c r="F25" s="869">
        <v>12</v>
      </c>
      <c r="G25" s="873"/>
      <c r="I25" s="306" t="s">
        <v>20110</v>
      </c>
      <c r="J25" s="261" t="s">
        <v>21804</v>
      </c>
      <c r="K25" s="261" t="s">
        <v>20111</v>
      </c>
      <c r="L25" s="261" t="s">
        <v>14122</v>
      </c>
      <c r="M25" s="261" t="s">
        <v>3779</v>
      </c>
      <c r="N25" s="261"/>
      <c r="O25" s="261"/>
      <c r="P25" s="279">
        <f t="shared" si="1"/>
        <v>1081000</v>
      </c>
      <c r="Q25" s="869"/>
      <c r="R25" s="869"/>
      <c r="S25" s="869"/>
      <c r="T25" s="869"/>
      <c r="U25" s="330">
        <v>60</v>
      </c>
    </row>
    <row r="26" spans="1:21" x14ac:dyDescent="0.2">
      <c r="A26" s="306" t="s">
        <v>21798</v>
      </c>
      <c r="B26" s="261">
        <v>25</v>
      </c>
      <c r="C26" s="279">
        <v>28000</v>
      </c>
      <c r="D26" s="261" t="s">
        <v>19601</v>
      </c>
      <c r="E26" s="869">
        <v>13</v>
      </c>
      <c r="F26" s="869">
        <v>13</v>
      </c>
      <c r="G26" s="873"/>
      <c r="I26" s="306" t="s">
        <v>20112</v>
      </c>
      <c r="J26" s="261" t="s">
        <v>21808</v>
      </c>
      <c r="K26" s="261" t="s">
        <v>20113</v>
      </c>
      <c r="L26" s="261" t="s">
        <v>21809</v>
      </c>
      <c r="M26" s="261" t="s">
        <v>1947</v>
      </c>
      <c r="N26" s="261"/>
      <c r="O26" s="261"/>
      <c r="P26" s="279">
        <f t="shared" si="1"/>
        <v>1190000</v>
      </c>
      <c r="Q26" s="869"/>
      <c r="R26" s="869"/>
      <c r="S26" s="869">
        <v>15</v>
      </c>
      <c r="T26" s="869">
        <v>15</v>
      </c>
      <c r="U26" s="330"/>
    </row>
    <row r="27" spans="1:21" x14ac:dyDescent="0.2">
      <c r="A27" s="306" t="s">
        <v>21798</v>
      </c>
      <c r="B27" s="261">
        <v>26</v>
      </c>
      <c r="C27" s="279">
        <v>30000</v>
      </c>
      <c r="D27" s="261" t="s">
        <v>19601</v>
      </c>
      <c r="E27" s="869">
        <v>14</v>
      </c>
      <c r="F27" s="869">
        <v>13</v>
      </c>
      <c r="G27" s="873"/>
      <c r="I27" s="306" t="s">
        <v>20114</v>
      </c>
      <c r="J27" s="261" t="s">
        <v>21808</v>
      </c>
      <c r="K27" s="261" t="s">
        <v>20115</v>
      </c>
      <c r="L27" s="261" t="s">
        <v>21810</v>
      </c>
      <c r="M27" s="261" t="s">
        <v>1103</v>
      </c>
      <c r="N27" s="261"/>
      <c r="O27" s="261"/>
      <c r="P27" s="279">
        <f t="shared" si="1"/>
        <v>1190000</v>
      </c>
      <c r="Q27" s="869"/>
      <c r="R27" s="869"/>
      <c r="S27" s="869">
        <v>15</v>
      </c>
      <c r="T27" s="869">
        <v>15</v>
      </c>
      <c r="U27" s="330"/>
    </row>
    <row r="28" spans="1:21" x14ac:dyDescent="0.2">
      <c r="A28" s="306" t="s">
        <v>21798</v>
      </c>
      <c r="B28" s="261">
        <v>27</v>
      </c>
      <c r="C28" s="279">
        <v>32000</v>
      </c>
      <c r="D28" s="261" t="s">
        <v>19601</v>
      </c>
      <c r="E28" s="869">
        <v>14</v>
      </c>
      <c r="F28" s="869">
        <v>14</v>
      </c>
      <c r="G28" s="873"/>
      <c r="I28" s="306" t="s">
        <v>20116</v>
      </c>
      <c r="J28" s="261" t="s">
        <v>21808</v>
      </c>
      <c r="K28" s="261" t="s">
        <v>20117</v>
      </c>
      <c r="L28" s="261" t="s">
        <v>21811</v>
      </c>
      <c r="M28" s="261" t="s">
        <v>122</v>
      </c>
      <c r="N28" s="261"/>
      <c r="O28" s="261"/>
      <c r="P28" s="279">
        <f t="shared" si="1"/>
        <v>1190000</v>
      </c>
      <c r="Q28" s="869"/>
      <c r="R28" s="869"/>
      <c r="S28" s="869">
        <v>15</v>
      </c>
      <c r="T28" s="869">
        <v>15</v>
      </c>
      <c r="U28" s="330"/>
    </row>
    <row r="29" spans="1:21" x14ac:dyDescent="0.2">
      <c r="A29" s="306" t="s">
        <v>21798</v>
      </c>
      <c r="B29" s="261">
        <v>28</v>
      </c>
      <c r="C29" s="279">
        <v>34000</v>
      </c>
      <c r="D29" s="261" t="s">
        <v>19601</v>
      </c>
      <c r="E29" s="869">
        <v>15</v>
      </c>
      <c r="F29" s="869">
        <v>14</v>
      </c>
      <c r="G29" s="873"/>
      <c r="I29" s="306" t="s">
        <v>20118</v>
      </c>
      <c r="J29" s="261" t="s">
        <v>21808</v>
      </c>
      <c r="K29" s="261" t="s">
        <v>20119</v>
      </c>
      <c r="L29" s="261" t="s">
        <v>21812</v>
      </c>
      <c r="M29" s="261" t="s">
        <v>2837</v>
      </c>
      <c r="N29" s="261"/>
      <c r="O29" s="261"/>
      <c r="P29" s="279">
        <f t="shared" si="0"/>
        <v>1190000</v>
      </c>
      <c r="Q29" s="869"/>
      <c r="R29" s="869"/>
      <c r="S29" s="869">
        <v>15</v>
      </c>
      <c r="T29" s="869">
        <v>15</v>
      </c>
      <c r="U29" s="330"/>
    </row>
    <row r="30" spans="1:21" x14ac:dyDescent="0.2">
      <c r="A30" s="306" t="s">
        <v>21798</v>
      </c>
      <c r="B30" s="261">
        <v>29</v>
      </c>
      <c r="C30" s="279">
        <v>36000</v>
      </c>
      <c r="D30" s="261" t="s">
        <v>19601</v>
      </c>
      <c r="E30" s="869">
        <v>15</v>
      </c>
      <c r="F30" s="869">
        <v>15</v>
      </c>
      <c r="G30" s="873"/>
      <c r="I30" s="306" t="s">
        <v>20120</v>
      </c>
      <c r="J30" s="261" t="s">
        <v>21808</v>
      </c>
      <c r="K30" s="261" t="s">
        <v>20121</v>
      </c>
      <c r="L30" s="261" t="s">
        <v>21813</v>
      </c>
      <c r="M30" s="261" t="s">
        <v>3779</v>
      </c>
      <c r="N30" s="261"/>
      <c r="O30" s="261"/>
      <c r="P30" s="279">
        <f t="shared" si="0"/>
        <v>1190000</v>
      </c>
      <c r="Q30" s="869"/>
      <c r="R30" s="869"/>
      <c r="S30" s="869">
        <v>15</v>
      </c>
      <c r="T30" s="869">
        <v>15</v>
      </c>
      <c r="U30" s="330"/>
    </row>
    <row r="31" spans="1:21" x14ac:dyDescent="0.2">
      <c r="A31" s="306" t="s">
        <v>21798</v>
      </c>
      <c r="B31" s="261">
        <v>30</v>
      </c>
      <c r="C31" s="279">
        <v>38000</v>
      </c>
      <c r="D31" s="261" t="s">
        <v>19601</v>
      </c>
      <c r="E31" s="869">
        <v>16</v>
      </c>
      <c r="F31" s="869">
        <v>15</v>
      </c>
      <c r="G31" s="873"/>
      <c r="I31" s="306" t="s">
        <v>20122</v>
      </c>
      <c r="J31" s="261" t="s">
        <v>21814</v>
      </c>
      <c r="K31" s="261" t="s">
        <v>20123</v>
      </c>
      <c r="L31" s="261" t="s">
        <v>21815</v>
      </c>
      <c r="M31" s="261" t="s">
        <v>122</v>
      </c>
      <c r="N31" s="261"/>
      <c r="O31" s="261"/>
      <c r="P31" s="279">
        <f t="shared" si="0"/>
        <v>3370000</v>
      </c>
      <c r="Q31" s="869">
        <v>31</v>
      </c>
      <c r="R31" s="869">
        <v>31</v>
      </c>
      <c r="S31" s="869"/>
      <c r="T31" s="869"/>
      <c r="U31" s="330"/>
    </row>
    <row r="32" spans="1:21" x14ac:dyDescent="0.2">
      <c r="A32" s="306" t="s">
        <v>21798</v>
      </c>
      <c r="B32" s="261">
        <v>31</v>
      </c>
      <c r="C32" s="279">
        <v>42000</v>
      </c>
      <c r="D32" s="261" t="s">
        <v>19602</v>
      </c>
      <c r="E32" s="869">
        <v>16</v>
      </c>
      <c r="F32" s="869">
        <v>16</v>
      </c>
      <c r="G32" s="873"/>
      <c r="I32" s="306" t="s">
        <v>20124</v>
      </c>
      <c r="J32" s="261" t="s">
        <v>21814</v>
      </c>
      <c r="K32" s="261" t="s">
        <v>20125</v>
      </c>
      <c r="L32" s="261" t="s">
        <v>21816</v>
      </c>
      <c r="M32" s="261" t="s">
        <v>1103</v>
      </c>
      <c r="N32" s="261"/>
      <c r="O32" s="261"/>
      <c r="P32" s="279">
        <f t="shared" si="0"/>
        <v>3370000</v>
      </c>
      <c r="Q32" s="869">
        <v>31</v>
      </c>
      <c r="R32" s="869">
        <v>31</v>
      </c>
      <c r="S32" s="869"/>
      <c r="T32" s="869"/>
      <c r="U32" s="330"/>
    </row>
    <row r="33" spans="1:21" x14ac:dyDescent="0.2">
      <c r="A33" s="306" t="s">
        <v>21798</v>
      </c>
      <c r="B33" s="261">
        <v>32</v>
      </c>
      <c r="C33" s="279">
        <v>46000</v>
      </c>
      <c r="D33" s="261" t="s">
        <v>19602</v>
      </c>
      <c r="E33" s="869">
        <v>17</v>
      </c>
      <c r="F33" s="869">
        <v>16</v>
      </c>
      <c r="G33" s="873"/>
      <c r="I33" s="306" t="s">
        <v>20126</v>
      </c>
      <c r="J33" s="261" t="s">
        <v>21814</v>
      </c>
      <c r="K33" s="261" t="s">
        <v>20127</v>
      </c>
      <c r="L33" s="261" t="s">
        <v>21817</v>
      </c>
      <c r="M33" s="261" t="s">
        <v>1947</v>
      </c>
      <c r="N33" s="261"/>
      <c r="O33" s="261"/>
      <c r="P33" s="279">
        <f t="shared" si="0"/>
        <v>3370000</v>
      </c>
      <c r="Q33" s="869">
        <v>31</v>
      </c>
      <c r="R33" s="869">
        <v>31</v>
      </c>
      <c r="S33" s="869"/>
      <c r="T33" s="869"/>
      <c r="U33" s="330"/>
    </row>
    <row r="34" spans="1:21" x14ac:dyDescent="0.2">
      <c r="A34" s="306" t="s">
        <v>21798</v>
      </c>
      <c r="B34" s="261">
        <v>33</v>
      </c>
      <c r="C34" s="279">
        <v>50000</v>
      </c>
      <c r="D34" s="261" t="s">
        <v>19602</v>
      </c>
      <c r="E34" s="869">
        <v>17</v>
      </c>
      <c r="F34" s="869">
        <v>17</v>
      </c>
      <c r="G34" s="873"/>
      <c r="I34" s="306" t="s">
        <v>20128</v>
      </c>
      <c r="J34" s="261" t="s">
        <v>21814</v>
      </c>
      <c r="K34" s="261" t="s">
        <v>20129</v>
      </c>
      <c r="L34" s="261" t="s">
        <v>21818</v>
      </c>
      <c r="M34" s="261" t="s">
        <v>2837</v>
      </c>
      <c r="N34" s="261"/>
      <c r="O34" s="261"/>
      <c r="P34" s="279">
        <f t="shared" ref="P34:P50" si="2">SUMIF(A:A,J34,C:C)</f>
        <v>3370000</v>
      </c>
      <c r="Q34" s="869">
        <v>31</v>
      </c>
      <c r="R34" s="869">
        <v>31</v>
      </c>
      <c r="S34" s="869"/>
      <c r="T34" s="869"/>
      <c r="U34" s="330"/>
    </row>
    <row r="35" spans="1:21" x14ac:dyDescent="0.2">
      <c r="A35" s="306" t="s">
        <v>21798</v>
      </c>
      <c r="B35" s="261">
        <v>34</v>
      </c>
      <c r="C35" s="279">
        <v>54000</v>
      </c>
      <c r="D35" s="261" t="s">
        <v>19602</v>
      </c>
      <c r="E35" s="869">
        <v>18</v>
      </c>
      <c r="F35" s="869">
        <v>17</v>
      </c>
      <c r="G35" s="873"/>
      <c r="I35" s="306" t="s">
        <v>20130</v>
      </c>
      <c r="J35" s="261" t="s">
        <v>21814</v>
      </c>
      <c r="K35" s="261" t="s">
        <v>20131</v>
      </c>
      <c r="L35" s="261" t="s">
        <v>21819</v>
      </c>
      <c r="M35" s="261" t="s">
        <v>3779</v>
      </c>
      <c r="N35" s="261"/>
      <c r="O35" s="261"/>
      <c r="P35" s="279">
        <f t="shared" si="2"/>
        <v>3370000</v>
      </c>
      <c r="Q35" s="869">
        <v>31</v>
      </c>
      <c r="R35" s="869">
        <v>31</v>
      </c>
      <c r="S35" s="869"/>
      <c r="T35" s="869"/>
      <c r="U35" s="330"/>
    </row>
    <row r="36" spans="1:21" x14ac:dyDescent="0.2">
      <c r="A36" s="306" t="s">
        <v>21798</v>
      </c>
      <c r="B36" s="261">
        <v>35</v>
      </c>
      <c r="C36" s="279">
        <v>58000</v>
      </c>
      <c r="D36" s="261" t="s">
        <v>19602</v>
      </c>
      <c r="E36" s="869">
        <v>18</v>
      </c>
      <c r="F36" s="869">
        <v>18</v>
      </c>
      <c r="G36" s="873"/>
      <c r="I36" s="306" t="s">
        <v>20132</v>
      </c>
      <c r="J36" s="261" t="s">
        <v>21820</v>
      </c>
      <c r="K36" s="261" t="s">
        <v>20133</v>
      </c>
      <c r="L36" s="261" t="s">
        <v>13967</v>
      </c>
      <c r="M36" s="261" t="s">
        <v>2837</v>
      </c>
      <c r="N36" s="261"/>
      <c r="O36" s="261"/>
      <c r="P36" s="279">
        <f t="shared" si="2"/>
        <v>94600</v>
      </c>
      <c r="Q36" s="869">
        <v>9.5</v>
      </c>
      <c r="R36" s="869">
        <v>8.5</v>
      </c>
      <c r="S36" s="869"/>
      <c r="T36" s="869"/>
      <c r="U36" s="330"/>
    </row>
    <row r="37" spans="1:21" x14ac:dyDescent="0.2">
      <c r="A37" s="306" t="s">
        <v>21798</v>
      </c>
      <c r="B37" s="261">
        <v>36</v>
      </c>
      <c r="C37" s="279">
        <f>C36+6000</f>
        <v>64000</v>
      </c>
      <c r="D37" s="261" t="s">
        <v>19602</v>
      </c>
      <c r="E37" s="869">
        <v>19</v>
      </c>
      <c r="F37" s="869">
        <v>19</v>
      </c>
      <c r="G37" s="873"/>
      <c r="I37" s="306" t="s">
        <v>20134</v>
      </c>
      <c r="J37" s="261" t="s">
        <v>21820</v>
      </c>
      <c r="K37" s="261" t="s">
        <v>20135</v>
      </c>
      <c r="L37" s="261" t="s">
        <v>13983</v>
      </c>
      <c r="M37" s="261" t="s">
        <v>1947</v>
      </c>
      <c r="N37" s="261"/>
      <c r="O37" s="261"/>
      <c r="P37" s="279">
        <f t="shared" si="2"/>
        <v>94600</v>
      </c>
      <c r="Q37" s="869">
        <v>9.5</v>
      </c>
      <c r="R37" s="869">
        <v>8.5</v>
      </c>
      <c r="S37" s="869"/>
      <c r="T37" s="869"/>
      <c r="U37" s="330"/>
    </row>
    <row r="38" spans="1:21" x14ac:dyDescent="0.2">
      <c r="A38" s="306" t="s">
        <v>21798</v>
      </c>
      <c r="B38" s="261">
        <v>37</v>
      </c>
      <c r="C38" s="279">
        <f>C37+6000</f>
        <v>70000</v>
      </c>
      <c r="D38" s="261" t="s">
        <v>19602</v>
      </c>
      <c r="E38" s="869">
        <v>20</v>
      </c>
      <c r="F38" s="869">
        <v>20</v>
      </c>
      <c r="G38" s="873"/>
      <c r="I38" s="306" t="s">
        <v>20136</v>
      </c>
      <c r="J38" s="261" t="s">
        <v>21820</v>
      </c>
      <c r="K38" s="261" t="s">
        <v>20137</v>
      </c>
      <c r="L38" s="261" t="s">
        <v>14001</v>
      </c>
      <c r="M38" s="261" t="s">
        <v>1103</v>
      </c>
      <c r="N38" s="261"/>
      <c r="O38" s="261"/>
      <c r="P38" s="279">
        <f t="shared" si="2"/>
        <v>94600</v>
      </c>
      <c r="Q38" s="869">
        <v>9.5</v>
      </c>
      <c r="R38" s="869">
        <v>8.5</v>
      </c>
      <c r="S38" s="869"/>
      <c r="T38" s="869"/>
      <c r="U38" s="330"/>
    </row>
    <row r="39" spans="1:21" x14ac:dyDescent="0.2">
      <c r="A39" s="306" t="s">
        <v>21798</v>
      </c>
      <c r="B39" s="261">
        <v>38</v>
      </c>
      <c r="C39" s="279">
        <f>C38+6000</f>
        <v>76000</v>
      </c>
      <c r="D39" s="261" t="s">
        <v>19602</v>
      </c>
      <c r="E39" s="869">
        <v>21</v>
      </c>
      <c r="F39" s="869">
        <v>21</v>
      </c>
      <c r="G39" s="873"/>
      <c r="I39" s="306" t="s">
        <v>20138</v>
      </c>
      <c r="J39" s="261" t="s">
        <v>21820</v>
      </c>
      <c r="K39" s="261" t="s">
        <v>20139</v>
      </c>
      <c r="L39" s="261" t="s">
        <v>14017</v>
      </c>
      <c r="M39" s="261" t="s">
        <v>2837</v>
      </c>
      <c r="N39" s="261"/>
      <c r="O39" s="261"/>
      <c r="P39" s="279">
        <f t="shared" si="2"/>
        <v>94600</v>
      </c>
      <c r="Q39" s="869">
        <v>9.5</v>
      </c>
      <c r="R39" s="869">
        <v>8.5</v>
      </c>
      <c r="S39" s="869"/>
      <c r="T39" s="869"/>
      <c r="U39" s="330"/>
    </row>
    <row r="40" spans="1:21" x14ac:dyDescent="0.2">
      <c r="A40" s="306" t="s">
        <v>21798</v>
      </c>
      <c r="B40" s="261">
        <v>39</v>
      </c>
      <c r="C40" s="279">
        <f>C39+6000</f>
        <v>82000</v>
      </c>
      <c r="D40" s="261" t="s">
        <v>19602</v>
      </c>
      <c r="E40" s="869">
        <v>22</v>
      </c>
      <c r="F40" s="869">
        <v>22</v>
      </c>
      <c r="G40" s="873"/>
      <c r="I40" s="306" t="s">
        <v>20140</v>
      </c>
      <c r="J40" s="261" t="s">
        <v>21820</v>
      </c>
      <c r="K40" s="261" t="s">
        <v>20141</v>
      </c>
      <c r="L40" s="261" t="s">
        <v>14060</v>
      </c>
      <c r="M40" s="261" t="s">
        <v>3779</v>
      </c>
      <c r="N40" s="261"/>
      <c r="O40" s="261"/>
      <c r="P40" s="279">
        <f t="shared" si="2"/>
        <v>94600</v>
      </c>
      <c r="Q40" s="869">
        <v>9.5</v>
      </c>
      <c r="R40" s="869">
        <v>8.5</v>
      </c>
      <c r="S40" s="869"/>
      <c r="T40" s="869"/>
      <c r="U40" s="330"/>
    </row>
    <row r="41" spans="1:21" x14ac:dyDescent="0.2">
      <c r="A41" s="306" t="s">
        <v>21798</v>
      </c>
      <c r="B41" s="261">
        <v>40</v>
      </c>
      <c r="C41" s="279">
        <f>C40+6000</f>
        <v>88000</v>
      </c>
      <c r="D41" s="261" t="s">
        <v>19602</v>
      </c>
      <c r="E41" s="869">
        <v>23</v>
      </c>
      <c r="F41" s="869">
        <v>23</v>
      </c>
      <c r="G41" s="873"/>
      <c r="I41" s="306" t="s">
        <v>20142</v>
      </c>
      <c r="J41" s="261" t="s">
        <v>21820</v>
      </c>
      <c r="K41" s="261" t="s">
        <v>20143</v>
      </c>
      <c r="L41" s="261" t="s">
        <v>14065</v>
      </c>
      <c r="M41" s="261" t="s">
        <v>1103</v>
      </c>
      <c r="N41" s="261"/>
      <c r="O41" s="261"/>
      <c r="P41" s="279">
        <f t="shared" si="2"/>
        <v>94600</v>
      </c>
      <c r="Q41" s="869">
        <v>9.5</v>
      </c>
      <c r="R41" s="869">
        <v>8.5</v>
      </c>
      <c r="S41" s="869"/>
      <c r="T41" s="869"/>
      <c r="U41" s="330"/>
    </row>
    <row r="42" spans="1:21" x14ac:dyDescent="0.2">
      <c r="A42" s="306" t="s">
        <v>21798</v>
      </c>
      <c r="B42" s="261">
        <v>41</v>
      </c>
      <c r="C42" s="279">
        <f>C41+8000</f>
        <v>96000</v>
      </c>
      <c r="D42" s="261" t="s">
        <v>17350</v>
      </c>
      <c r="E42" s="869">
        <v>24</v>
      </c>
      <c r="F42" s="869">
        <v>24</v>
      </c>
      <c r="G42" s="873"/>
      <c r="I42" s="306" t="s">
        <v>20144</v>
      </c>
      <c r="J42" s="261" t="s">
        <v>21820</v>
      </c>
      <c r="K42" s="261" t="s">
        <v>20145</v>
      </c>
      <c r="L42" s="261" t="s">
        <v>14095</v>
      </c>
      <c r="M42" s="261" t="s">
        <v>122</v>
      </c>
      <c r="N42" s="261"/>
      <c r="O42" s="261"/>
      <c r="P42" s="279">
        <f t="shared" si="2"/>
        <v>94600</v>
      </c>
      <c r="Q42" s="869">
        <v>9.5</v>
      </c>
      <c r="R42" s="869">
        <v>8.5</v>
      </c>
      <c r="S42" s="869"/>
      <c r="T42" s="869"/>
      <c r="U42" s="330"/>
    </row>
    <row r="43" spans="1:21" x14ac:dyDescent="0.2">
      <c r="A43" s="306" t="s">
        <v>21798</v>
      </c>
      <c r="B43" s="261">
        <v>42</v>
      </c>
      <c r="C43" s="279">
        <f>C42+8000</f>
        <v>104000</v>
      </c>
      <c r="D43" s="261" t="s">
        <v>17350</v>
      </c>
      <c r="E43" s="869">
        <v>25</v>
      </c>
      <c r="F43" s="869">
        <v>24</v>
      </c>
      <c r="G43" s="873"/>
      <c r="I43" s="306" t="s">
        <v>20146</v>
      </c>
      <c r="J43" s="261" t="s">
        <v>21821</v>
      </c>
      <c r="K43" s="261" t="s">
        <v>20147</v>
      </c>
      <c r="L43" s="261" t="s">
        <v>14105</v>
      </c>
      <c r="M43" s="261"/>
      <c r="N43" s="261" t="s">
        <v>759</v>
      </c>
      <c r="O43" s="261" t="s">
        <v>429</v>
      </c>
      <c r="P43" s="279">
        <f t="shared" si="2"/>
        <v>94600</v>
      </c>
      <c r="Q43" s="869">
        <v>6</v>
      </c>
      <c r="R43" s="869">
        <v>6</v>
      </c>
      <c r="S43" s="869"/>
      <c r="T43" s="869"/>
      <c r="U43" s="330"/>
    </row>
    <row r="44" spans="1:21" x14ac:dyDescent="0.2">
      <c r="A44" s="306" t="s">
        <v>21798</v>
      </c>
      <c r="B44" s="261">
        <v>43</v>
      </c>
      <c r="C44" s="279">
        <f>C43+8000</f>
        <v>112000</v>
      </c>
      <c r="D44" s="261" t="s">
        <v>17350</v>
      </c>
      <c r="E44" s="869">
        <v>25</v>
      </c>
      <c r="F44" s="869">
        <v>25</v>
      </c>
      <c r="G44" s="873"/>
      <c r="I44" s="306" t="s">
        <v>20148</v>
      </c>
      <c r="J44" s="261" t="s">
        <v>21821</v>
      </c>
      <c r="K44" s="261" t="s">
        <v>20149</v>
      </c>
      <c r="L44" s="261" t="s">
        <v>14181</v>
      </c>
      <c r="M44" s="261"/>
      <c r="N44" s="261" t="s">
        <v>330</v>
      </c>
      <c r="O44" s="261" t="s">
        <v>839</v>
      </c>
      <c r="P44" s="279">
        <f t="shared" si="2"/>
        <v>94600</v>
      </c>
      <c r="Q44" s="869">
        <v>6</v>
      </c>
      <c r="R44" s="869">
        <v>6</v>
      </c>
      <c r="S44" s="869"/>
      <c r="T44" s="869"/>
      <c r="U44" s="330"/>
    </row>
    <row r="45" spans="1:21" x14ac:dyDescent="0.2">
      <c r="A45" s="306" t="s">
        <v>21798</v>
      </c>
      <c r="B45" s="261">
        <v>44</v>
      </c>
      <c r="C45" s="279">
        <f>C44+8000</f>
        <v>120000</v>
      </c>
      <c r="D45" s="261" t="s">
        <v>17350</v>
      </c>
      <c r="E45" s="869">
        <v>26</v>
      </c>
      <c r="F45" s="869">
        <v>25</v>
      </c>
      <c r="G45" s="873"/>
      <c r="I45" s="306" t="s">
        <v>20150</v>
      </c>
      <c r="J45" s="261" t="s">
        <v>21821</v>
      </c>
      <c r="K45" s="261" t="s">
        <v>20151</v>
      </c>
      <c r="L45" s="261" t="s">
        <v>14220</v>
      </c>
      <c r="M45" s="261"/>
      <c r="N45" s="261" t="s">
        <v>123</v>
      </c>
      <c r="O45" s="261" t="s">
        <v>645</v>
      </c>
      <c r="P45" s="279">
        <f t="shared" si="2"/>
        <v>94600</v>
      </c>
      <c r="Q45" s="869">
        <v>6</v>
      </c>
      <c r="R45" s="869">
        <v>6</v>
      </c>
      <c r="S45" s="869"/>
      <c r="T45" s="869"/>
      <c r="U45" s="330"/>
    </row>
    <row r="46" spans="1:21" x14ac:dyDescent="0.2">
      <c r="A46" s="306" t="s">
        <v>21798</v>
      </c>
      <c r="B46" s="261">
        <v>45</v>
      </c>
      <c r="C46" s="279">
        <f>C45+8000</f>
        <v>128000</v>
      </c>
      <c r="D46" s="261" t="s">
        <v>17350</v>
      </c>
      <c r="E46" s="869">
        <v>26</v>
      </c>
      <c r="F46" s="869">
        <v>26</v>
      </c>
      <c r="G46" s="873"/>
      <c r="I46" s="306" t="s">
        <v>20152</v>
      </c>
      <c r="J46" s="261" t="s">
        <v>21821</v>
      </c>
      <c r="K46" s="261" t="s">
        <v>20153</v>
      </c>
      <c r="L46" s="261" t="s">
        <v>14236</v>
      </c>
      <c r="M46" s="261"/>
      <c r="N46" s="261" t="s">
        <v>543</v>
      </c>
      <c r="O46" s="261" t="s">
        <v>949</v>
      </c>
      <c r="P46" s="279">
        <f t="shared" si="2"/>
        <v>94600</v>
      </c>
      <c r="Q46" s="869">
        <v>6</v>
      </c>
      <c r="R46" s="869">
        <v>6</v>
      </c>
      <c r="S46" s="869"/>
      <c r="T46" s="869"/>
      <c r="U46" s="330"/>
    </row>
    <row r="47" spans="1:21" x14ac:dyDescent="0.2">
      <c r="A47" s="306" t="s">
        <v>21800</v>
      </c>
      <c r="B47" s="261">
        <v>1</v>
      </c>
      <c r="C47" s="279">
        <v>0</v>
      </c>
      <c r="D47" s="261" t="s">
        <v>21822</v>
      </c>
      <c r="E47" s="869">
        <v>6</v>
      </c>
      <c r="F47" s="869">
        <v>6</v>
      </c>
      <c r="G47" s="873"/>
      <c r="I47" s="306" t="s">
        <v>20154</v>
      </c>
      <c r="J47" s="261" t="s">
        <v>21821</v>
      </c>
      <c r="K47" s="261" t="s">
        <v>20155</v>
      </c>
      <c r="L47" s="261" t="s">
        <v>14255</v>
      </c>
      <c r="M47" s="261"/>
      <c r="N47" s="261" t="s">
        <v>759</v>
      </c>
      <c r="O47" s="261" t="s">
        <v>1054</v>
      </c>
      <c r="P47" s="279">
        <f t="shared" si="2"/>
        <v>94600</v>
      </c>
      <c r="Q47" s="869">
        <v>6</v>
      </c>
      <c r="R47" s="869">
        <v>6</v>
      </c>
      <c r="S47" s="869"/>
      <c r="T47" s="869"/>
      <c r="U47" s="330"/>
    </row>
    <row r="48" spans="1:21" x14ac:dyDescent="0.2">
      <c r="A48" s="306" t="s">
        <v>21800</v>
      </c>
      <c r="B48" s="261">
        <v>2</v>
      </c>
      <c r="C48" s="279">
        <v>1500</v>
      </c>
      <c r="D48" s="261" t="s">
        <v>21823</v>
      </c>
      <c r="E48" s="869">
        <v>7</v>
      </c>
      <c r="F48" s="869">
        <v>6</v>
      </c>
      <c r="G48" s="873"/>
      <c r="I48" s="306" t="s">
        <v>20156</v>
      </c>
      <c r="J48" s="261" t="s">
        <v>21821</v>
      </c>
      <c r="K48" s="261" t="s">
        <v>20157</v>
      </c>
      <c r="L48" s="261" t="s">
        <v>14286</v>
      </c>
      <c r="M48" s="261"/>
      <c r="N48" s="261" t="s">
        <v>429</v>
      </c>
      <c r="O48" s="261" t="s">
        <v>1054</v>
      </c>
      <c r="P48" s="279">
        <f t="shared" si="2"/>
        <v>94600</v>
      </c>
      <c r="Q48" s="869">
        <v>6</v>
      </c>
      <c r="R48" s="869">
        <v>6</v>
      </c>
      <c r="S48" s="869"/>
      <c r="T48" s="869"/>
      <c r="U48" s="330"/>
    </row>
    <row r="49" spans="1:21" x14ac:dyDescent="0.2">
      <c r="A49" s="306" t="s">
        <v>21800</v>
      </c>
      <c r="B49" s="261">
        <v>3</v>
      </c>
      <c r="C49" s="279">
        <v>2000</v>
      </c>
      <c r="D49" s="261" t="s">
        <v>21823</v>
      </c>
      <c r="E49" s="869">
        <v>7</v>
      </c>
      <c r="F49" s="869">
        <v>7</v>
      </c>
      <c r="G49" s="873"/>
      <c r="I49" s="306" t="s">
        <v>20158</v>
      </c>
      <c r="J49" s="261" t="s">
        <v>21821</v>
      </c>
      <c r="K49" s="261" t="s">
        <v>20159</v>
      </c>
      <c r="L49" s="261" t="s">
        <v>14308</v>
      </c>
      <c r="M49" s="261"/>
      <c r="N49" s="261" t="s">
        <v>543</v>
      </c>
      <c r="O49" s="261" t="s">
        <v>839</v>
      </c>
      <c r="P49" s="279">
        <f t="shared" si="2"/>
        <v>94600</v>
      </c>
      <c r="Q49" s="869">
        <v>6</v>
      </c>
      <c r="R49" s="869">
        <v>6</v>
      </c>
      <c r="S49" s="869"/>
      <c r="T49" s="869"/>
      <c r="U49" s="330"/>
    </row>
    <row r="50" spans="1:21" x14ac:dyDescent="0.2">
      <c r="A50" s="306" t="s">
        <v>21800</v>
      </c>
      <c r="B50" s="261">
        <v>4</v>
      </c>
      <c r="C50" s="279">
        <v>2500</v>
      </c>
      <c r="D50" s="261" t="s">
        <v>21823</v>
      </c>
      <c r="E50" s="869">
        <v>8</v>
      </c>
      <c r="F50" s="869">
        <v>7</v>
      </c>
      <c r="G50" s="873"/>
      <c r="I50" s="272" t="s">
        <v>20161</v>
      </c>
      <c r="J50" s="264" t="s">
        <v>21821</v>
      </c>
      <c r="K50" s="264" t="s">
        <v>20162</v>
      </c>
      <c r="L50" s="264" t="s">
        <v>14328</v>
      </c>
      <c r="M50" s="264"/>
      <c r="N50" s="264" t="s">
        <v>330</v>
      </c>
      <c r="O50" s="264" t="s">
        <v>949</v>
      </c>
      <c r="P50" s="336">
        <f t="shared" si="2"/>
        <v>94600</v>
      </c>
      <c r="Q50" s="874">
        <v>6</v>
      </c>
      <c r="R50" s="874">
        <v>6</v>
      </c>
      <c r="S50" s="874"/>
      <c r="T50" s="874"/>
      <c r="U50" s="332"/>
    </row>
    <row r="51" spans="1:21" x14ac:dyDescent="0.2">
      <c r="A51" s="306" t="s">
        <v>21800</v>
      </c>
      <c r="B51" s="261">
        <v>5</v>
      </c>
      <c r="C51" s="279">
        <v>3000</v>
      </c>
      <c r="D51" s="261" t="s">
        <v>21823</v>
      </c>
      <c r="E51" s="869">
        <v>8</v>
      </c>
      <c r="F51" s="869">
        <v>8</v>
      </c>
      <c r="G51" s="873"/>
      <c r="Q51" s="111"/>
      <c r="R51" s="111"/>
      <c r="S51" s="111"/>
      <c r="T51" s="111"/>
    </row>
    <row r="52" spans="1:21" x14ac:dyDescent="0.2">
      <c r="A52" s="306" t="s">
        <v>21800</v>
      </c>
      <c r="B52" s="261">
        <v>6</v>
      </c>
      <c r="C52" s="279">
        <v>4000</v>
      </c>
      <c r="D52" s="261" t="s">
        <v>21823</v>
      </c>
      <c r="E52" s="869">
        <v>9</v>
      </c>
      <c r="F52" s="869">
        <v>8</v>
      </c>
      <c r="G52" s="873"/>
      <c r="I52" s="111"/>
      <c r="J52" s="111"/>
      <c r="L52" s="67" t="s">
        <v>21824</v>
      </c>
      <c r="M52" s="67"/>
      <c r="N52" s="67"/>
      <c r="O52" s="67"/>
      <c r="P52" s="165">
        <f>SUM(P2:P51)</f>
        <v>53202500</v>
      </c>
    </row>
    <row r="53" spans="1:21" x14ac:dyDescent="0.2">
      <c r="A53" s="306" t="s">
        <v>21800</v>
      </c>
      <c r="B53" s="261">
        <v>7</v>
      </c>
      <c r="C53" s="279">
        <v>5000</v>
      </c>
      <c r="D53" s="261" t="s">
        <v>21823</v>
      </c>
      <c r="E53" s="869">
        <v>9</v>
      </c>
      <c r="F53" s="869">
        <v>9</v>
      </c>
      <c r="G53" s="873"/>
    </row>
    <row r="54" spans="1:21" x14ac:dyDescent="0.2">
      <c r="A54" s="306" t="s">
        <v>21800</v>
      </c>
      <c r="B54" s="261">
        <v>8</v>
      </c>
      <c r="C54" s="279">
        <v>6000</v>
      </c>
      <c r="D54" s="261" t="s">
        <v>21823</v>
      </c>
      <c r="E54" s="869">
        <v>10</v>
      </c>
      <c r="F54" s="869">
        <v>9</v>
      </c>
      <c r="G54" s="873"/>
    </row>
    <row r="55" spans="1:21" x14ac:dyDescent="0.2">
      <c r="A55" s="306" t="s">
        <v>21800</v>
      </c>
      <c r="B55" s="261">
        <v>9</v>
      </c>
      <c r="C55" s="279">
        <v>7000</v>
      </c>
      <c r="D55" s="261" t="s">
        <v>21823</v>
      </c>
      <c r="E55" s="869">
        <v>10</v>
      </c>
      <c r="F55" s="869">
        <v>10</v>
      </c>
      <c r="G55" s="873"/>
    </row>
    <row r="56" spans="1:21" x14ac:dyDescent="0.2">
      <c r="A56" s="306" t="s">
        <v>21800</v>
      </c>
      <c r="B56" s="261">
        <v>10</v>
      </c>
      <c r="C56" s="279">
        <v>8000</v>
      </c>
      <c r="D56" s="261" t="s">
        <v>21823</v>
      </c>
      <c r="E56" s="869">
        <v>11</v>
      </c>
      <c r="F56" s="869">
        <v>10</v>
      </c>
      <c r="G56" s="873"/>
    </row>
    <row r="57" spans="1:21" x14ac:dyDescent="0.2">
      <c r="A57" s="306" t="s">
        <v>21800</v>
      </c>
      <c r="B57" s="261">
        <v>11</v>
      </c>
      <c r="C57" s="279">
        <v>10000</v>
      </c>
      <c r="D57" s="261" t="s">
        <v>21823</v>
      </c>
      <c r="E57" s="869">
        <v>11</v>
      </c>
      <c r="F57" s="869">
        <v>11</v>
      </c>
      <c r="G57" s="873"/>
    </row>
    <row r="58" spans="1:21" x14ac:dyDescent="0.2">
      <c r="A58" s="306" t="s">
        <v>21800</v>
      </c>
      <c r="B58" s="261">
        <v>12</v>
      </c>
      <c r="C58" s="279">
        <v>12000</v>
      </c>
      <c r="D58" s="261" t="s">
        <v>21823</v>
      </c>
      <c r="E58" s="869">
        <v>12</v>
      </c>
      <c r="F58" s="869">
        <v>11</v>
      </c>
      <c r="G58" s="873"/>
    </row>
    <row r="59" spans="1:21" x14ac:dyDescent="0.2">
      <c r="A59" s="306" t="s">
        <v>21800</v>
      </c>
      <c r="B59" s="261">
        <v>13</v>
      </c>
      <c r="C59" s="279">
        <v>14000</v>
      </c>
      <c r="D59" s="261" t="s">
        <v>21823</v>
      </c>
      <c r="E59" s="869">
        <v>12</v>
      </c>
      <c r="F59" s="869">
        <v>12</v>
      </c>
      <c r="G59" s="873"/>
    </row>
    <row r="60" spans="1:21" x14ac:dyDescent="0.2">
      <c r="A60" s="306" t="s">
        <v>21800</v>
      </c>
      <c r="B60" s="261">
        <v>14</v>
      </c>
      <c r="C60" s="279">
        <v>16000</v>
      </c>
      <c r="D60" s="261" t="s">
        <v>21823</v>
      </c>
      <c r="E60" s="869">
        <v>13</v>
      </c>
      <c r="F60" s="869">
        <v>12</v>
      </c>
      <c r="G60" s="873"/>
    </row>
    <row r="61" spans="1:21" x14ac:dyDescent="0.2">
      <c r="A61" s="306" t="s">
        <v>21800</v>
      </c>
      <c r="B61" s="261">
        <v>15</v>
      </c>
      <c r="C61" s="279">
        <v>18000</v>
      </c>
      <c r="D61" s="261" t="s">
        <v>21823</v>
      </c>
      <c r="E61" s="869">
        <v>13</v>
      </c>
      <c r="F61" s="869">
        <v>13</v>
      </c>
      <c r="G61" s="873"/>
    </row>
    <row r="62" spans="1:21" x14ac:dyDescent="0.2">
      <c r="A62" s="306" t="s">
        <v>21800</v>
      </c>
      <c r="B62" s="261">
        <v>16</v>
      </c>
      <c r="C62" s="279">
        <v>20000</v>
      </c>
      <c r="D62" s="261" t="s">
        <v>10913</v>
      </c>
      <c r="E62" s="869">
        <v>16</v>
      </c>
      <c r="F62" s="869">
        <v>16</v>
      </c>
      <c r="G62" s="873"/>
    </row>
    <row r="63" spans="1:21" x14ac:dyDescent="0.2">
      <c r="A63" s="306" t="s">
        <v>21800</v>
      </c>
      <c r="B63" s="261">
        <v>17</v>
      </c>
      <c r="C63" s="279">
        <v>22000</v>
      </c>
      <c r="D63" s="261" t="s">
        <v>10913</v>
      </c>
      <c r="E63" s="869">
        <v>16</v>
      </c>
      <c r="F63" s="869">
        <v>17</v>
      </c>
      <c r="G63" s="873"/>
    </row>
    <row r="64" spans="1:21" x14ac:dyDescent="0.2">
      <c r="A64" s="306" t="s">
        <v>21800</v>
      </c>
      <c r="B64" s="261">
        <v>18</v>
      </c>
      <c r="C64" s="279">
        <v>24000</v>
      </c>
      <c r="D64" s="261" t="s">
        <v>10913</v>
      </c>
      <c r="E64" s="869">
        <v>17</v>
      </c>
      <c r="F64" s="869">
        <v>17</v>
      </c>
      <c r="G64" s="873"/>
    </row>
    <row r="65" spans="1:7" x14ac:dyDescent="0.2">
      <c r="A65" s="306" t="s">
        <v>21800</v>
      </c>
      <c r="B65" s="261">
        <v>19</v>
      </c>
      <c r="C65" s="279">
        <v>26000</v>
      </c>
      <c r="D65" s="261" t="s">
        <v>10913</v>
      </c>
      <c r="E65" s="869">
        <v>17</v>
      </c>
      <c r="F65" s="869">
        <v>18</v>
      </c>
      <c r="G65" s="873"/>
    </row>
    <row r="66" spans="1:7" x14ac:dyDescent="0.2">
      <c r="A66" s="306" t="s">
        <v>21800</v>
      </c>
      <c r="B66" s="261">
        <v>20</v>
      </c>
      <c r="C66" s="279">
        <v>28000</v>
      </c>
      <c r="D66" s="261" t="s">
        <v>10913</v>
      </c>
      <c r="E66" s="869">
        <v>18</v>
      </c>
      <c r="F66" s="869">
        <v>18</v>
      </c>
      <c r="G66" s="873"/>
    </row>
    <row r="67" spans="1:7" x14ac:dyDescent="0.2">
      <c r="A67" s="306" t="s">
        <v>21800</v>
      </c>
      <c r="B67" s="261">
        <v>21</v>
      </c>
      <c r="C67" s="279">
        <v>30000</v>
      </c>
      <c r="D67" s="261" t="s">
        <v>10913</v>
      </c>
      <c r="E67" s="869">
        <v>18</v>
      </c>
      <c r="F67" s="869">
        <v>19</v>
      </c>
      <c r="G67" s="873"/>
    </row>
    <row r="68" spans="1:7" x14ac:dyDescent="0.2">
      <c r="A68" s="306" t="s">
        <v>21800</v>
      </c>
      <c r="B68" s="261">
        <v>22</v>
      </c>
      <c r="C68" s="279">
        <v>32000</v>
      </c>
      <c r="D68" s="261" t="s">
        <v>10913</v>
      </c>
      <c r="E68" s="869">
        <v>19</v>
      </c>
      <c r="F68" s="869">
        <v>19</v>
      </c>
      <c r="G68" s="873"/>
    </row>
    <row r="69" spans="1:7" x14ac:dyDescent="0.2">
      <c r="A69" s="306" t="s">
        <v>21800</v>
      </c>
      <c r="B69" s="261">
        <v>23</v>
      </c>
      <c r="C69" s="279">
        <v>34000</v>
      </c>
      <c r="D69" s="261" t="s">
        <v>10913</v>
      </c>
      <c r="E69" s="869">
        <v>19</v>
      </c>
      <c r="F69" s="869">
        <v>20</v>
      </c>
      <c r="G69" s="873"/>
    </row>
    <row r="70" spans="1:7" x14ac:dyDescent="0.2">
      <c r="A70" s="306" t="s">
        <v>21800</v>
      </c>
      <c r="B70" s="261">
        <v>24</v>
      </c>
      <c r="C70" s="279">
        <v>36000</v>
      </c>
      <c r="D70" s="261" t="s">
        <v>10913</v>
      </c>
      <c r="E70" s="869">
        <v>20</v>
      </c>
      <c r="F70" s="869">
        <v>20</v>
      </c>
      <c r="G70" s="873"/>
    </row>
    <row r="71" spans="1:7" x14ac:dyDescent="0.2">
      <c r="A71" s="306" t="s">
        <v>21800</v>
      </c>
      <c r="B71" s="261">
        <v>25</v>
      </c>
      <c r="C71" s="279">
        <v>38000</v>
      </c>
      <c r="D71" s="261" t="s">
        <v>10913</v>
      </c>
      <c r="E71" s="869">
        <v>20</v>
      </c>
      <c r="F71" s="869">
        <v>21</v>
      </c>
      <c r="G71" s="873"/>
    </row>
    <row r="72" spans="1:7" x14ac:dyDescent="0.2">
      <c r="A72" s="306" t="s">
        <v>21800</v>
      </c>
      <c r="B72" s="261">
        <v>26</v>
      </c>
      <c r="C72" s="279">
        <v>42000</v>
      </c>
      <c r="D72" s="261" t="s">
        <v>12647</v>
      </c>
      <c r="E72" s="869">
        <v>21</v>
      </c>
      <c r="F72" s="869">
        <v>21</v>
      </c>
      <c r="G72" s="873"/>
    </row>
    <row r="73" spans="1:7" x14ac:dyDescent="0.2">
      <c r="A73" s="306" t="s">
        <v>21800</v>
      </c>
      <c r="B73" s="261">
        <v>27</v>
      </c>
      <c r="C73" s="279">
        <v>46000</v>
      </c>
      <c r="D73" s="261" t="s">
        <v>12647</v>
      </c>
      <c r="E73" s="869">
        <v>21</v>
      </c>
      <c r="F73" s="869">
        <v>22</v>
      </c>
      <c r="G73" s="873"/>
    </row>
    <row r="74" spans="1:7" x14ac:dyDescent="0.2">
      <c r="A74" s="306" t="s">
        <v>21800</v>
      </c>
      <c r="B74" s="261">
        <v>28</v>
      </c>
      <c r="C74" s="279">
        <v>50000</v>
      </c>
      <c r="D74" s="261" t="s">
        <v>12647</v>
      </c>
      <c r="E74" s="869">
        <v>22</v>
      </c>
      <c r="F74" s="869">
        <v>22</v>
      </c>
      <c r="G74" s="873"/>
    </row>
    <row r="75" spans="1:7" x14ac:dyDescent="0.2">
      <c r="A75" s="306" t="s">
        <v>21800</v>
      </c>
      <c r="B75" s="261">
        <v>29</v>
      </c>
      <c r="C75" s="279">
        <v>54000</v>
      </c>
      <c r="D75" s="261" t="s">
        <v>12647</v>
      </c>
      <c r="E75" s="869">
        <v>22</v>
      </c>
      <c r="F75" s="869">
        <v>23</v>
      </c>
      <c r="G75" s="873"/>
    </row>
    <row r="76" spans="1:7" x14ac:dyDescent="0.2">
      <c r="A76" s="306" t="s">
        <v>21800</v>
      </c>
      <c r="B76" s="261">
        <v>30</v>
      </c>
      <c r="C76" s="279">
        <v>58000</v>
      </c>
      <c r="D76" s="261" t="s">
        <v>12647</v>
      </c>
      <c r="E76" s="869">
        <v>23</v>
      </c>
      <c r="F76" s="869">
        <v>23</v>
      </c>
      <c r="G76" s="873"/>
    </row>
    <row r="77" spans="1:7" x14ac:dyDescent="0.2">
      <c r="A77" s="306" t="s">
        <v>21800</v>
      </c>
      <c r="B77" s="261">
        <v>31</v>
      </c>
      <c r="C77" s="279">
        <f>C76+6000</f>
        <v>64000</v>
      </c>
      <c r="D77" s="261" t="s">
        <v>12647</v>
      </c>
      <c r="E77" s="869">
        <v>28</v>
      </c>
      <c r="F77" s="869">
        <v>28</v>
      </c>
      <c r="G77" s="873"/>
    </row>
    <row r="78" spans="1:7" x14ac:dyDescent="0.2">
      <c r="A78" s="306" t="s">
        <v>21800</v>
      </c>
      <c r="B78" s="261">
        <v>32</v>
      </c>
      <c r="C78" s="279">
        <f>C77+6000</f>
        <v>70000</v>
      </c>
      <c r="D78" s="261" t="s">
        <v>12647</v>
      </c>
      <c r="E78" s="869">
        <v>29</v>
      </c>
      <c r="F78" s="869">
        <v>28</v>
      </c>
      <c r="G78" s="873"/>
    </row>
    <row r="79" spans="1:7" x14ac:dyDescent="0.2">
      <c r="A79" s="306" t="s">
        <v>21800</v>
      </c>
      <c r="B79" s="261">
        <v>33</v>
      </c>
      <c r="C79" s="279">
        <f>C78+6000</f>
        <v>76000</v>
      </c>
      <c r="D79" s="261" t="s">
        <v>12647</v>
      </c>
      <c r="E79" s="869">
        <v>29</v>
      </c>
      <c r="F79" s="869">
        <v>29</v>
      </c>
      <c r="G79" s="873"/>
    </row>
    <row r="80" spans="1:7" x14ac:dyDescent="0.2">
      <c r="A80" s="306" t="s">
        <v>21800</v>
      </c>
      <c r="B80" s="261">
        <v>34</v>
      </c>
      <c r="C80" s="279">
        <f>C79+6000</f>
        <v>82000</v>
      </c>
      <c r="D80" s="261" t="s">
        <v>12647</v>
      </c>
      <c r="E80" s="869">
        <v>30</v>
      </c>
      <c r="F80" s="869">
        <v>29</v>
      </c>
      <c r="G80" s="873"/>
    </row>
    <row r="81" spans="1:7" x14ac:dyDescent="0.2">
      <c r="A81" s="306" t="s">
        <v>21800</v>
      </c>
      <c r="B81" s="261">
        <v>35</v>
      </c>
      <c r="C81" s="279">
        <f>C80+6000</f>
        <v>88000</v>
      </c>
      <c r="D81" s="261" t="s">
        <v>12647</v>
      </c>
      <c r="E81" s="869">
        <v>30</v>
      </c>
      <c r="F81" s="869">
        <v>30</v>
      </c>
      <c r="G81" s="873"/>
    </row>
    <row r="82" spans="1:7" x14ac:dyDescent="0.2">
      <c r="A82" s="306" t="s">
        <v>21800</v>
      </c>
      <c r="B82" s="261">
        <v>36</v>
      </c>
      <c r="C82" s="279">
        <f>C81+8000</f>
        <v>96000</v>
      </c>
      <c r="D82" s="261" t="s">
        <v>17350</v>
      </c>
      <c r="E82" s="869">
        <v>31</v>
      </c>
      <c r="F82" s="869">
        <v>31</v>
      </c>
      <c r="G82" s="873"/>
    </row>
    <row r="83" spans="1:7" x14ac:dyDescent="0.2">
      <c r="A83" s="306" t="s">
        <v>21800</v>
      </c>
      <c r="B83" s="261">
        <v>37</v>
      </c>
      <c r="C83" s="279">
        <f>C82+8000</f>
        <v>104000</v>
      </c>
      <c r="D83" s="261" t="s">
        <v>17350</v>
      </c>
      <c r="E83" s="869">
        <v>32</v>
      </c>
      <c r="F83" s="869">
        <v>31</v>
      </c>
      <c r="G83" s="873"/>
    </row>
    <row r="84" spans="1:7" x14ac:dyDescent="0.2">
      <c r="A84" s="306" t="s">
        <v>21800</v>
      </c>
      <c r="B84" s="261">
        <v>38</v>
      </c>
      <c r="C84" s="279">
        <f>C83+8000</f>
        <v>112000</v>
      </c>
      <c r="D84" s="261" t="s">
        <v>17350</v>
      </c>
      <c r="E84" s="869">
        <v>32</v>
      </c>
      <c r="F84" s="869">
        <v>32</v>
      </c>
      <c r="G84" s="873"/>
    </row>
    <row r="85" spans="1:7" x14ac:dyDescent="0.2">
      <c r="A85" s="306" t="s">
        <v>21800</v>
      </c>
      <c r="B85" s="261">
        <v>39</v>
      </c>
      <c r="C85" s="279">
        <f>C84+8000</f>
        <v>120000</v>
      </c>
      <c r="D85" s="261" t="s">
        <v>17350</v>
      </c>
      <c r="E85" s="869">
        <v>33</v>
      </c>
      <c r="F85" s="869">
        <v>32</v>
      </c>
      <c r="G85" s="873"/>
    </row>
    <row r="86" spans="1:7" x14ac:dyDescent="0.2">
      <c r="A86" s="306" t="s">
        <v>21800</v>
      </c>
      <c r="B86" s="261">
        <v>40</v>
      </c>
      <c r="C86" s="279">
        <f>C85+8000</f>
        <v>128000</v>
      </c>
      <c r="D86" s="261" t="s">
        <v>17350</v>
      </c>
      <c r="E86" s="869">
        <v>33</v>
      </c>
      <c r="F86" s="869">
        <v>33</v>
      </c>
      <c r="G86" s="873"/>
    </row>
    <row r="87" spans="1:7" x14ac:dyDescent="0.2">
      <c r="A87" s="306" t="s">
        <v>21802</v>
      </c>
      <c r="B87" s="261">
        <v>1</v>
      </c>
      <c r="C87" s="279">
        <v>0</v>
      </c>
      <c r="D87" s="261" t="s">
        <v>21825</v>
      </c>
      <c r="E87" s="869">
        <v>1</v>
      </c>
      <c r="F87" s="869">
        <v>1</v>
      </c>
      <c r="G87" s="873"/>
    </row>
    <row r="88" spans="1:7" x14ac:dyDescent="0.2">
      <c r="A88" s="306" t="s">
        <v>21802</v>
      </c>
      <c r="B88" s="261">
        <v>2</v>
      </c>
      <c r="C88" s="279">
        <v>2500</v>
      </c>
      <c r="D88" s="261" t="s">
        <v>12645</v>
      </c>
      <c r="E88" s="869">
        <v>1.5</v>
      </c>
      <c r="F88" s="869">
        <v>1</v>
      </c>
      <c r="G88" s="873"/>
    </row>
    <row r="89" spans="1:7" x14ac:dyDescent="0.2">
      <c r="A89" s="306" t="s">
        <v>21802</v>
      </c>
      <c r="B89" s="261">
        <v>3</v>
      </c>
      <c r="C89" s="279">
        <v>5000</v>
      </c>
      <c r="D89" s="261" t="s">
        <v>12651</v>
      </c>
      <c r="E89" s="869">
        <v>1.5</v>
      </c>
      <c r="F89" s="869">
        <v>1.5</v>
      </c>
      <c r="G89" s="873"/>
    </row>
    <row r="90" spans="1:7" x14ac:dyDescent="0.2">
      <c r="A90" s="306" t="s">
        <v>21802</v>
      </c>
      <c r="B90" s="261">
        <v>4</v>
      </c>
      <c r="C90" s="279">
        <v>7500</v>
      </c>
      <c r="D90" s="261" t="s">
        <v>12651</v>
      </c>
      <c r="E90" s="869">
        <v>2</v>
      </c>
      <c r="F90" s="869">
        <v>1.5</v>
      </c>
      <c r="G90" s="873"/>
    </row>
    <row r="91" spans="1:7" x14ac:dyDescent="0.2">
      <c r="A91" s="306" t="s">
        <v>21802</v>
      </c>
      <c r="B91" s="261">
        <v>5</v>
      </c>
      <c r="C91" s="279">
        <v>10000</v>
      </c>
      <c r="D91" s="261" t="s">
        <v>12657</v>
      </c>
      <c r="E91" s="869">
        <v>2</v>
      </c>
      <c r="F91" s="869">
        <v>2</v>
      </c>
      <c r="G91" s="873"/>
    </row>
    <row r="92" spans="1:7" x14ac:dyDescent="0.2">
      <c r="A92" s="306" t="s">
        <v>21802</v>
      </c>
      <c r="B92" s="261">
        <v>6</v>
      </c>
      <c r="C92" s="279">
        <v>12500</v>
      </c>
      <c r="D92" s="261" t="s">
        <v>12657</v>
      </c>
      <c r="E92" s="869">
        <v>2.5</v>
      </c>
      <c r="F92" s="869">
        <v>2</v>
      </c>
      <c r="G92" s="873"/>
    </row>
    <row r="93" spans="1:7" x14ac:dyDescent="0.2">
      <c r="A93" s="306" t="s">
        <v>21802</v>
      </c>
      <c r="B93" s="261">
        <v>7</v>
      </c>
      <c r="C93" s="279">
        <v>15000</v>
      </c>
      <c r="D93" s="261" t="s">
        <v>12673</v>
      </c>
      <c r="E93" s="869">
        <v>2.5</v>
      </c>
      <c r="F93" s="869">
        <v>2.5</v>
      </c>
      <c r="G93" s="873"/>
    </row>
    <row r="94" spans="1:7" x14ac:dyDescent="0.2">
      <c r="A94" s="306" t="s">
        <v>21802</v>
      </c>
      <c r="B94" s="261">
        <v>8</v>
      </c>
      <c r="C94" s="279">
        <v>17500</v>
      </c>
      <c r="D94" s="261" t="s">
        <v>12673</v>
      </c>
      <c r="E94" s="869">
        <v>3</v>
      </c>
      <c r="F94" s="869">
        <v>2.5</v>
      </c>
      <c r="G94" s="873"/>
    </row>
    <row r="95" spans="1:7" x14ac:dyDescent="0.2">
      <c r="A95" s="306" t="s">
        <v>21802</v>
      </c>
      <c r="B95" s="261">
        <v>9</v>
      </c>
      <c r="C95" s="279">
        <v>20000</v>
      </c>
      <c r="D95" s="261" t="s">
        <v>12670</v>
      </c>
      <c r="E95" s="869">
        <v>3</v>
      </c>
      <c r="F95" s="869">
        <v>3</v>
      </c>
      <c r="G95" s="873"/>
    </row>
    <row r="96" spans="1:7" x14ac:dyDescent="0.2">
      <c r="A96" s="306" t="s">
        <v>21802</v>
      </c>
      <c r="B96" s="261">
        <v>10</v>
      </c>
      <c r="C96" s="279">
        <v>22500</v>
      </c>
      <c r="D96" s="261" t="s">
        <v>12670</v>
      </c>
      <c r="E96" s="869">
        <v>3.5</v>
      </c>
      <c r="F96" s="869">
        <v>3</v>
      </c>
      <c r="G96" s="873"/>
    </row>
    <row r="97" spans="1:7" x14ac:dyDescent="0.2">
      <c r="A97" s="306" t="s">
        <v>21802</v>
      </c>
      <c r="B97" s="261">
        <v>11</v>
      </c>
      <c r="C97" s="279">
        <v>25000</v>
      </c>
      <c r="D97" s="261" t="s">
        <v>12676</v>
      </c>
      <c r="E97" s="869">
        <v>3.5</v>
      </c>
      <c r="F97" s="869">
        <v>3.5</v>
      </c>
      <c r="G97" s="873"/>
    </row>
    <row r="98" spans="1:7" x14ac:dyDescent="0.2">
      <c r="A98" s="306" t="s">
        <v>21802</v>
      </c>
      <c r="B98" s="261">
        <v>12</v>
      </c>
      <c r="C98" s="279">
        <v>27500</v>
      </c>
      <c r="D98" s="261" t="s">
        <v>12676</v>
      </c>
      <c r="E98" s="869">
        <v>4</v>
      </c>
      <c r="F98" s="869">
        <v>4</v>
      </c>
      <c r="G98" s="873"/>
    </row>
    <row r="99" spans="1:7" x14ac:dyDescent="0.2">
      <c r="A99" s="306" t="s">
        <v>21802</v>
      </c>
      <c r="B99" s="261">
        <v>13</v>
      </c>
      <c r="C99" s="279">
        <v>30000</v>
      </c>
      <c r="D99" s="261" t="s">
        <v>12681</v>
      </c>
      <c r="E99" s="869">
        <v>4.5</v>
      </c>
      <c r="F99" s="869">
        <v>4</v>
      </c>
      <c r="G99" s="873"/>
    </row>
    <row r="100" spans="1:7" x14ac:dyDescent="0.2">
      <c r="A100" s="306" t="s">
        <v>21802</v>
      </c>
      <c r="B100" s="261">
        <v>14</v>
      </c>
      <c r="C100" s="279">
        <v>32500</v>
      </c>
      <c r="D100" s="261" t="s">
        <v>12684</v>
      </c>
      <c r="E100" s="869">
        <v>4.5</v>
      </c>
      <c r="F100" s="869">
        <v>4.5</v>
      </c>
      <c r="G100" s="873"/>
    </row>
    <row r="101" spans="1:7" x14ac:dyDescent="0.2">
      <c r="A101" s="306" t="s">
        <v>21802</v>
      </c>
      <c r="B101" s="261">
        <v>15</v>
      </c>
      <c r="C101" s="279">
        <v>35000</v>
      </c>
      <c r="D101" s="261" t="s">
        <v>12653</v>
      </c>
      <c r="E101" s="869">
        <v>5</v>
      </c>
      <c r="F101" s="869">
        <v>5</v>
      </c>
      <c r="G101" s="873"/>
    </row>
    <row r="102" spans="1:7" x14ac:dyDescent="0.2">
      <c r="A102" s="306" t="s">
        <v>21808</v>
      </c>
      <c r="B102" s="261">
        <v>1</v>
      </c>
      <c r="C102" s="279"/>
      <c r="D102" s="261" t="s">
        <v>21826</v>
      </c>
      <c r="E102" s="869">
        <v>3.5</v>
      </c>
      <c r="F102" s="869">
        <v>3.5</v>
      </c>
      <c r="G102" s="873"/>
    </row>
    <row r="103" spans="1:7" x14ac:dyDescent="0.2">
      <c r="A103" s="306" t="s">
        <v>21808</v>
      </c>
      <c r="B103" s="261">
        <v>2</v>
      </c>
      <c r="C103" s="279">
        <v>20000</v>
      </c>
      <c r="D103" s="261" t="s">
        <v>19605</v>
      </c>
      <c r="E103" s="869">
        <v>4</v>
      </c>
      <c r="F103" s="869">
        <v>4</v>
      </c>
      <c r="G103" s="873"/>
    </row>
    <row r="104" spans="1:7" x14ac:dyDescent="0.2">
      <c r="A104" s="306" t="s">
        <v>21808</v>
      </c>
      <c r="B104" s="261">
        <v>3</v>
      </c>
      <c r="C104" s="279">
        <v>30000</v>
      </c>
      <c r="D104" s="261" t="s">
        <v>19605</v>
      </c>
      <c r="E104" s="869">
        <v>4.5</v>
      </c>
      <c r="F104" s="869">
        <v>4.5</v>
      </c>
      <c r="G104" s="873"/>
    </row>
    <row r="105" spans="1:7" x14ac:dyDescent="0.2">
      <c r="A105" s="306" t="s">
        <v>21808</v>
      </c>
      <c r="B105" s="261">
        <v>4</v>
      </c>
      <c r="C105" s="279">
        <v>40000</v>
      </c>
      <c r="D105" s="261" t="s">
        <v>19605</v>
      </c>
      <c r="E105" s="869">
        <v>5</v>
      </c>
      <c r="F105" s="869">
        <v>5</v>
      </c>
      <c r="G105" s="873"/>
    </row>
    <row r="106" spans="1:7" x14ac:dyDescent="0.2">
      <c r="A106" s="306" t="s">
        <v>21808</v>
      </c>
      <c r="B106" s="261">
        <v>5</v>
      </c>
      <c r="C106" s="279">
        <v>50000</v>
      </c>
      <c r="D106" s="261" t="s">
        <v>19605</v>
      </c>
      <c r="E106" s="869">
        <v>5.5</v>
      </c>
      <c r="F106" s="869">
        <v>5.5</v>
      </c>
      <c r="G106" s="873"/>
    </row>
    <row r="107" spans="1:7" x14ac:dyDescent="0.2">
      <c r="A107" s="306" t="s">
        <v>21808</v>
      </c>
      <c r="B107" s="261">
        <v>6</v>
      </c>
      <c r="C107" s="279">
        <v>60000</v>
      </c>
      <c r="D107" s="261" t="s">
        <v>19605</v>
      </c>
      <c r="E107" s="869">
        <v>6</v>
      </c>
      <c r="F107" s="869">
        <v>6</v>
      </c>
      <c r="G107" s="873"/>
    </row>
    <row r="108" spans="1:7" x14ac:dyDescent="0.2">
      <c r="A108" s="306" t="s">
        <v>21808</v>
      </c>
      <c r="B108" s="261">
        <v>7</v>
      </c>
      <c r="C108" s="279">
        <v>70000</v>
      </c>
      <c r="D108" s="261" t="s">
        <v>19605</v>
      </c>
      <c r="E108" s="869">
        <v>6.5</v>
      </c>
      <c r="F108" s="869">
        <v>6.5</v>
      </c>
      <c r="G108" s="873"/>
    </row>
    <row r="109" spans="1:7" x14ac:dyDescent="0.2">
      <c r="A109" s="306" t="s">
        <v>21808</v>
      </c>
      <c r="B109" s="261">
        <v>8</v>
      </c>
      <c r="C109" s="279">
        <v>80000</v>
      </c>
      <c r="D109" s="261" t="s">
        <v>19605</v>
      </c>
      <c r="E109" s="869">
        <v>8</v>
      </c>
      <c r="F109" s="869">
        <v>8</v>
      </c>
      <c r="G109" s="873"/>
    </row>
    <row r="110" spans="1:7" x14ac:dyDescent="0.2">
      <c r="A110" s="306" t="s">
        <v>21808</v>
      </c>
      <c r="B110" s="261">
        <v>9</v>
      </c>
      <c r="C110" s="279">
        <v>90000</v>
      </c>
      <c r="D110" s="261" t="s">
        <v>19605</v>
      </c>
      <c r="E110" s="869">
        <v>8.5</v>
      </c>
      <c r="F110" s="869">
        <v>8.5</v>
      </c>
      <c r="G110" s="873"/>
    </row>
    <row r="111" spans="1:7" x14ac:dyDescent="0.2">
      <c r="A111" s="306" t="s">
        <v>21808</v>
      </c>
      <c r="B111" s="261">
        <v>10</v>
      </c>
      <c r="C111" s="279">
        <v>100000</v>
      </c>
      <c r="D111" s="261" t="s">
        <v>19605</v>
      </c>
      <c r="E111" s="869">
        <v>11.5</v>
      </c>
      <c r="F111" s="869">
        <v>11.5</v>
      </c>
      <c r="G111" s="873"/>
    </row>
    <row r="112" spans="1:7" x14ac:dyDescent="0.2">
      <c r="A112" s="306" t="s">
        <v>21808</v>
      </c>
      <c r="B112" s="261">
        <v>11</v>
      </c>
      <c r="C112" s="279">
        <v>110000</v>
      </c>
      <c r="D112" s="261" t="s">
        <v>19613</v>
      </c>
      <c r="E112" s="869">
        <v>13</v>
      </c>
      <c r="F112" s="869">
        <v>13</v>
      </c>
      <c r="G112" s="873"/>
    </row>
    <row r="113" spans="1:7" x14ac:dyDescent="0.2">
      <c r="A113" s="306" t="s">
        <v>21808</v>
      </c>
      <c r="B113" s="261">
        <v>12</v>
      </c>
      <c r="C113" s="279">
        <v>120000</v>
      </c>
      <c r="D113" s="261" t="s">
        <v>19613</v>
      </c>
      <c r="E113" s="869">
        <v>13.5</v>
      </c>
      <c r="F113" s="869">
        <v>13.5</v>
      </c>
      <c r="G113" s="873"/>
    </row>
    <row r="114" spans="1:7" x14ac:dyDescent="0.2">
      <c r="A114" s="306" t="s">
        <v>21808</v>
      </c>
      <c r="B114" s="261">
        <v>13</v>
      </c>
      <c r="C114" s="279">
        <v>130000</v>
      </c>
      <c r="D114" s="261" t="s">
        <v>19613</v>
      </c>
      <c r="E114" s="869">
        <v>14</v>
      </c>
      <c r="F114" s="869">
        <v>14</v>
      </c>
      <c r="G114" s="873"/>
    </row>
    <row r="115" spans="1:7" x14ac:dyDescent="0.2">
      <c r="A115" s="306" t="s">
        <v>21808</v>
      </c>
      <c r="B115" s="261">
        <v>14</v>
      </c>
      <c r="C115" s="279">
        <v>140000</v>
      </c>
      <c r="D115" s="261" t="s">
        <v>19613</v>
      </c>
      <c r="E115" s="869">
        <v>14.5</v>
      </c>
      <c r="F115" s="869">
        <v>14.5</v>
      </c>
      <c r="G115" s="873"/>
    </row>
    <row r="116" spans="1:7" x14ac:dyDescent="0.2">
      <c r="A116" s="306" t="s">
        <v>21808</v>
      </c>
      <c r="B116" s="261">
        <v>15</v>
      </c>
      <c r="C116" s="279">
        <v>150000</v>
      </c>
      <c r="D116" s="261" t="s">
        <v>19613</v>
      </c>
      <c r="E116" s="869">
        <v>15</v>
      </c>
      <c r="F116" s="869">
        <v>15</v>
      </c>
      <c r="G116" s="873"/>
    </row>
    <row r="117" spans="1:7" x14ac:dyDescent="0.2">
      <c r="A117" s="306" t="s">
        <v>21804</v>
      </c>
      <c r="B117" s="261">
        <v>1</v>
      </c>
      <c r="C117" s="279">
        <v>0</v>
      </c>
      <c r="D117" s="261" t="s">
        <v>21827</v>
      </c>
      <c r="E117" s="869"/>
      <c r="F117" s="869"/>
      <c r="G117" s="873">
        <v>2</v>
      </c>
    </row>
    <row r="118" spans="1:7" x14ac:dyDescent="0.2">
      <c r="A118" s="306" t="s">
        <v>21804</v>
      </c>
      <c r="B118" s="261">
        <v>2</v>
      </c>
      <c r="C118" s="279">
        <v>1500</v>
      </c>
      <c r="D118" s="261" t="s">
        <v>19603</v>
      </c>
      <c r="E118" s="869"/>
      <c r="F118" s="869"/>
      <c r="G118" s="873">
        <v>4</v>
      </c>
    </row>
    <row r="119" spans="1:7" x14ac:dyDescent="0.2">
      <c r="A119" s="306" t="s">
        <v>21804</v>
      </c>
      <c r="B119" s="261">
        <v>3</v>
      </c>
      <c r="C119" s="279">
        <v>2000</v>
      </c>
      <c r="D119" s="261" t="s">
        <v>19603</v>
      </c>
      <c r="E119" s="869"/>
      <c r="F119" s="869"/>
      <c r="G119" s="873">
        <v>6</v>
      </c>
    </row>
    <row r="120" spans="1:7" x14ac:dyDescent="0.2">
      <c r="A120" s="306" t="s">
        <v>21804</v>
      </c>
      <c r="B120" s="261">
        <v>4</v>
      </c>
      <c r="C120" s="279">
        <v>2500</v>
      </c>
      <c r="D120" s="261" t="s">
        <v>19603</v>
      </c>
      <c r="E120" s="869"/>
      <c r="F120" s="869"/>
      <c r="G120" s="873">
        <v>8</v>
      </c>
    </row>
    <row r="121" spans="1:7" x14ac:dyDescent="0.2">
      <c r="A121" s="306" t="s">
        <v>21804</v>
      </c>
      <c r="B121" s="261">
        <v>5</v>
      </c>
      <c r="C121" s="279">
        <v>3000</v>
      </c>
      <c r="D121" s="261" t="s">
        <v>19603</v>
      </c>
      <c r="E121" s="869"/>
      <c r="F121" s="869"/>
      <c r="G121" s="873">
        <v>10</v>
      </c>
    </row>
    <row r="122" spans="1:7" x14ac:dyDescent="0.2">
      <c r="A122" s="306" t="s">
        <v>21804</v>
      </c>
      <c r="B122" s="261">
        <v>6</v>
      </c>
      <c r="C122" s="279">
        <v>4000</v>
      </c>
      <c r="D122" s="261" t="s">
        <v>19603</v>
      </c>
      <c r="E122" s="869"/>
      <c r="F122" s="869"/>
      <c r="G122" s="873">
        <v>12</v>
      </c>
    </row>
    <row r="123" spans="1:7" x14ac:dyDescent="0.2">
      <c r="A123" s="306" t="s">
        <v>21804</v>
      </c>
      <c r="B123" s="261">
        <v>7</v>
      </c>
      <c r="C123" s="279">
        <v>5000</v>
      </c>
      <c r="D123" s="261" t="s">
        <v>19603</v>
      </c>
      <c r="E123" s="869"/>
      <c r="F123" s="869"/>
      <c r="G123" s="873">
        <v>14</v>
      </c>
    </row>
    <row r="124" spans="1:7" x14ac:dyDescent="0.2">
      <c r="A124" s="306" t="s">
        <v>21804</v>
      </c>
      <c r="B124" s="261">
        <v>8</v>
      </c>
      <c r="C124" s="279">
        <v>6000</v>
      </c>
      <c r="D124" s="261" t="s">
        <v>19603</v>
      </c>
      <c r="E124" s="869"/>
      <c r="F124" s="869"/>
      <c r="G124" s="873">
        <v>16</v>
      </c>
    </row>
    <row r="125" spans="1:7" x14ac:dyDescent="0.2">
      <c r="A125" s="306" t="s">
        <v>21804</v>
      </c>
      <c r="B125" s="261">
        <v>9</v>
      </c>
      <c r="C125" s="279">
        <v>7000</v>
      </c>
      <c r="D125" s="261" t="s">
        <v>19603</v>
      </c>
      <c r="E125" s="869"/>
      <c r="F125" s="869"/>
      <c r="G125" s="873">
        <v>18</v>
      </c>
    </row>
    <row r="126" spans="1:7" x14ac:dyDescent="0.2">
      <c r="A126" s="306" t="s">
        <v>21804</v>
      </c>
      <c r="B126" s="261">
        <v>10</v>
      </c>
      <c r="C126" s="279">
        <v>8000</v>
      </c>
      <c r="D126" s="261" t="s">
        <v>19603</v>
      </c>
      <c r="E126" s="869"/>
      <c r="F126" s="869"/>
      <c r="G126" s="873">
        <v>20</v>
      </c>
    </row>
    <row r="127" spans="1:7" x14ac:dyDescent="0.2">
      <c r="A127" s="306" t="s">
        <v>21804</v>
      </c>
      <c r="B127" s="261">
        <v>11</v>
      </c>
      <c r="C127" s="279">
        <v>10000</v>
      </c>
      <c r="D127" s="261" t="s">
        <v>19604</v>
      </c>
      <c r="E127" s="869"/>
      <c r="F127" s="869"/>
      <c r="G127" s="873">
        <v>22</v>
      </c>
    </row>
    <row r="128" spans="1:7" x14ac:dyDescent="0.2">
      <c r="A128" s="306" t="s">
        <v>21804</v>
      </c>
      <c r="B128" s="261">
        <v>12</v>
      </c>
      <c r="C128" s="279">
        <v>12000</v>
      </c>
      <c r="D128" s="261" t="s">
        <v>19604</v>
      </c>
      <c r="E128" s="869"/>
      <c r="F128" s="869"/>
      <c r="G128" s="873">
        <v>24</v>
      </c>
    </row>
    <row r="129" spans="1:7" x14ac:dyDescent="0.2">
      <c r="A129" s="306" t="s">
        <v>21804</v>
      </c>
      <c r="B129" s="261">
        <v>13</v>
      </c>
      <c r="C129" s="279">
        <v>14000</v>
      </c>
      <c r="D129" s="261" t="s">
        <v>19604</v>
      </c>
      <c r="E129" s="869"/>
      <c r="F129" s="869"/>
      <c r="G129" s="873">
        <v>26</v>
      </c>
    </row>
    <row r="130" spans="1:7" x14ac:dyDescent="0.2">
      <c r="A130" s="306" t="s">
        <v>21804</v>
      </c>
      <c r="B130" s="261">
        <v>14</v>
      </c>
      <c r="C130" s="279">
        <v>16000</v>
      </c>
      <c r="D130" s="261" t="s">
        <v>19604</v>
      </c>
      <c r="E130" s="869"/>
      <c r="F130" s="869"/>
      <c r="G130" s="873">
        <v>28</v>
      </c>
    </row>
    <row r="131" spans="1:7" x14ac:dyDescent="0.2">
      <c r="A131" s="306" t="s">
        <v>21804</v>
      </c>
      <c r="B131" s="261">
        <v>15</v>
      </c>
      <c r="C131" s="279">
        <v>18000</v>
      </c>
      <c r="D131" s="261" t="s">
        <v>19604</v>
      </c>
      <c r="E131" s="869"/>
      <c r="F131" s="869"/>
      <c r="G131" s="873">
        <v>30</v>
      </c>
    </row>
    <row r="132" spans="1:7" x14ac:dyDescent="0.2">
      <c r="A132" s="306" t="s">
        <v>21804</v>
      </c>
      <c r="B132" s="261">
        <v>16</v>
      </c>
      <c r="C132" s="279">
        <v>20000</v>
      </c>
      <c r="D132" s="261" t="s">
        <v>19604</v>
      </c>
      <c r="E132" s="869"/>
      <c r="F132" s="869"/>
      <c r="G132" s="873">
        <v>32</v>
      </c>
    </row>
    <row r="133" spans="1:7" x14ac:dyDescent="0.2">
      <c r="A133" s="306" t="s">
        <v>21804</v>
      </c>
      <c r="B133" s="261">
        <v>17</v>
      </c>
      <c r="C133" s="279">
        <v>22000</v>
      </c>
      <c r="D133" s="261" t="s">
        <v>19604</v>
      </c>
      <c r="E133" s="869"/>
      <c r="F133" s="869"/>
      <c r="G133" s="873">
        <v>34</v>
      </c>
    </row>
    <row r="134" spans="1:7" x14ac:dyDescent="0.2">
      <c r="A134" s="306" t="s">
        <v>21804</v>
      </c>
      <c r="B134" s="261">
        <v>18</v>
      </c>
      <c r="C134" s="279">
        <v>24000</v>
      </c>
      <c r="D134" s="261" t="s">
        <v>19604</v>
      </c>
      <c r="E134" s="869"/>
      <c r="F134" s="869"/>
      <c r="G134" s="873">
        <v>36</v>
      </c>
    </row>
    <row r="135" spans="1:7" x14ac:dyDescent="0.2">
      <c r="A135" s="306" t="s">
        <v>21804</v>
      </c>
      <c r="B135" s="261">
        <v>19</v>
      </c>
      <c r="C135" s="279">
        <v>26000</v>
      </c>
      <c r="D135" s="261" t="s">
        <v>19604</v>
      </c>
      <c r="E135" s="869"/>
      <c r="F135" s="869"/>
      <c r="G135" s="873">
        <v>38</v>
      </c>
    </row>
    <row r="136" spans="1:7" x14ac:dyDescent="0.2">
      <c r="A136" s="306" t="s">
        <v>21804</v>
      </c>
      <c r="B136" s="261">
        <v>20</v>
      </c>
      <c r="C136" s="279">
        <v>30000</v>
      </c>
      <c r="D136" s="261" t="s">
        <v>19604</v>
      </c>
      <c r="E136" s="869"/>
      <c r="F136" s="869"/>
      <c r="G136" s="873">
        <v>40</v>
      </c>
    </row>
    <row r="137" spans="1:7" x14ac:dyDescent="0.2">
      <c r="A137" s="306" t="s">
        <v>21804</v>
      </c>
      <c r="B137" s="261">
        <v>21</v>
      </c>
      <c r="C137" s="279">
        <f t="shared" ref="C137:C146" si="3">C136+10000</f>
        <v>40000</v>
      </c>
      <c r="D137" s="261" t="s">
        <v>19605</v>
      </c>
      <c r="E137" s="869"/>
      <c r="F137" s="869"/>
      <c r="G137" s="873">
        <v>42</v>
      </c>
    </row>
    <row r="138" spans="1:7" x14ac:dyDescent="0.2">
      <c r="A138" s="306" t="s">
        <v>21804</v>
      </c>
      <c r="B138" s="261">
        <v>22</v>
      </c>
      <c r="C138" s="279">
        <f t="shared" si="3"/>
        <v>50000</v>
      </c>
      <c r="D138" s="261" t="s">
        <v>19605</v>
      </c>
      <c r="E138" s="869"/>
      <c r="F138" s="869"/>
      <c r="G138" s="873">
        <v>44</v>
      </c>
    </row>
    <row r="139" spans="1:7" x14ac:dyDescent="0.2">
      <c r="A139" s="306" t="s">
        <v>21804</v>
      </c>
      <c r="B139" s="261">
        <v>23</v>
      </c>
      <c r="C139" s="279">
        <f t="shared" si="3"/>
        <v>60000</v>
      </c>
      <c r="D139" s="261" t="s">
        <v>19605</v>
      </c>
      <c r="E139" s="869"/>
      <c r="F139" s="869"/>
      <c r="G139" s="873">
        <v>46</v>
      </c>
    </row>
    <row r="140" spans="1:7" x14ac:dyDescent="0.2">
      <c r="A140" s="306" t="s">
        <v>21804</v>
      </c>
      <c r="B140" s="261">
        <v>24</v>
      </c>
      <c r="C140" s="279">
        <f t="shared" si="3"/>
        <v>70000</v>
      </c>
      <c r="D140" s="261" t="s">
        <v>19605</v>
      </c>
      <c r="E140" s="869"/>
      <c r="F140" s="869"/>
      <c r="G140" s="873">
        <v>48</v>
      </c>
    </row>
    <row r="141" spans="1:7" x14ac:dyDescent="0.2">
      <c r="A141" s="306" t="s">
        <v>21804</v>
      </c>
      <c r="B141" s="261">
        <v>25</v>
      </c>
      <c r="C141" s="279">
        <f t="shared" si="3"/>
        <v>80000</v>
      </c>
      <c r="D141" s="261" t="s">
        <v>19605</v>
      </c>
      <c r="E141" s="869"/>
      <c r="F141" s="869"/>
      <c r="G141" s="873">
        <v>50</v>
      </c>
    </row>
    <row r="142" spans="1:7" x14ac:dyDescent="0.2">
      <c r="A142" s="306" t="s">
        <v>21804</v>
      </c>
      <c r="B142" s="261">
        <v>26</v>
      </c>
      <c r="C142" s="279">
        <f t="shared" si="3"/>
        <v>90000</v>
      </c>
      <c r="D142" s="261" t="s">
        <v>19613</v>
      </c>
      <c r="E142" s="869"/>
      <c r="F142" s="869"/>
      <c r="G142" s="873">
        <v>52</v>
      </c>
    </row>
    <row r="143" spans="1:7" x14ac:dyDescent="0.2">
      <c r="A143" s="306" t="s">
        <v>21804</v>
      </c>
      <c r="B143" s="261">
        <v>27</v>
      </c>
      <c r="C143" s="279">
        <f t="shared" si="3"/>
        <v>100000</v>
      </c>
      <c r="D143" s="261" t="s">
        <v>19613</v>
      </c>
      <c r="E143" s="869"/>
      <c r="F143" s="869"/>
      <c r="G143" s="873">
        <v>54</v>
      </c>
    </row>
    <row r="144" spans="1:7" x14ac:dyDescent="0.2">
      <c r="A144" s="306" t="s">
        <v>21804</v>
      </c>
      <c r="B144" s="261">
        <v>28</v>
      </c>
      <c r="C144" s="279">
        <f t="shared" si="3"/>
        <v>110000</v>
      </c>
      <c r="D144" s="261" t="s">
        <v>19613</v>
      </c>
      <c r="E144" s="869"/>
      <c r="F144" s="869"/>
      <c r="G144" s="873">
        <v>56</v>
      </c>
    </row>
    <row r="145" spans="1:7" x14ac:dyDescent="0.2">
      <c r="A145" s="306" t="s">
        <v>21804</v>
      </c>
      <c r="B145" s="261">
        <v>29</v>
      </c>
      <c r="C145" s="279">
        <f t="shared" si="3"/>
        <v>120000</v>
      </c>
      <c r="D145" s="261" t="s">
        <v>19613</v>
      </c>
      <c r="E145" s="869"/>
      <c r="F145" s="869"/>
      <c r="G145" s="873">
        <v>58</v>
      </c>
    </row>
    <row r="146" spans="1:7" x14ac:dyDescent="0.2">
      <c r="A146" s="306" t="s">
        <v>21804</v>
      </c>
      <c r="B146" s="261">
        <v>30</v>
      </c>
      <c r="C146" s="279">
        <f t="shared" si="3"/>
        <v>130000</v>
      </c>
      <c r="D146" s="261" t="s">
        <v>19613</v>
      </c>
      <c r="E146" s="869"/>
      <c r="F146" s="869"/>
      <c r="G146" s="873">
        <v>60</v>
      </c>
    </row>
    <row r="147" spans="1:7" x14ac:dyDescent="0.2">
      <c r="A147" s="306" t="s">
        <v>21820</v>
      </c>
      <c r="B147" s="261">
        <v>1</v>
      </c>
      <c r="C147" s="279"/>
      <c r="D147" s="261" t="s">
        <v>21828</v>
      </c>
      <c r="E147" s="869">
        <v>1</v>
      </c>
      <c r="F147" s="869">
        <v>0</v>
      </c>
      <c r="G147" s="873"/>
    </row>
    <row r="148" spans="1:7" x14ac:dyDescent="0.2">
      <c r="A148" s="306" t="s">
        <v>21820</v>
      </c>
      <c r="B148" s="261">
        <v>2</v>
      </c>
      <c r="C148" s="279">
        <v>100</v>
      </c>
      <c r="D148" s="261" t="s">
        <v>21829</v>
      </c>
      <c r="E148" s="869">
        <v>1.5</v>
      </c>
      <c r="F148" s="869">
        <v>0</v>
      </c>
      <c r="G148" s="873"/>
    </row>
    <row r="149" spans="1:7" x14ac:dyDescent="0.2">
      <c r="A149" s="306" t="s">
        <v>21820</v>
      </c>
      <c r="B149" s="261">
        <v>3</v>
      </c>
      <c r="C149" s="279">
        <v>200</v>
      </c>
      <c r="D149" s="261" t="s">
        <v>21829</v>
      </c>
      <c r="E149" s="869">
        <v>1.5</v>
      </c>
      <c r="F149" s="869">
        <v>0.5</v>
      </c>
      <c r="G149" s="873"/>
    </row>
    <row r="150" spans="1:7" x14ac:dyDescent="0.2">
      <c r="A150" s="306" t="s">
        <v>21820</v>
      </c>
      <c r="B150" s="261">
        <v>4</v>
      </c>
      <c r="C150" s="279">
        <v>300</v>
      </c>
      <c r="D150" s="261" t="s">
        <v>21829</v>
      </c>
      <c r="E150" s="869">
        <v>2</v>
      </c>
      <c r="F150" s="869">
        <v>0.5</v>
      </c>
      <c r="G150" s="873"/>
    </row>
    <row r="151" spans="1:7" x14ac:dyDescent="0.2">
      <c r="A151" s="306" t="s">
        <v>21820</v>
      </c>
      <c r="B151" s="261">
        <v>5</v>
      </c>
      <c r="C151" s="279">
        <v>400</v>
      </c>
      <c r="D151" s="261" t="s">
        <v>21829</v>
      </c>
      <c r="E151" s="869">
        <v>2</v>
      </c>
      <c r="F151" s="869">
        <v>1</v>
      </c>
      <c r="G151" s="873"/>
    </row>
    <row r="152" spans="1:7" x14ac:dyDescent="0.2">
      <c r="A152" s="306" t="s">
        <v>21820</v>
      </c>
      <c r="B152" s="261">
        <v>6</v>
      </c>
      <c r="C152" s="279">
        <v>500</v>
      </c>
      <c r="D152" s="261" t="s">
        <v>21829</v>
      </c>
      <c r="E152" s="869">
        <v>2.5</v>
      </c>
      <c r="F152" s="869">
        <v>1</v>
      </c>
      <c r="G152" s="873"/>
    </row>
    <row r="153" spans="1:7" x14ac:dyDescent="0.2">
      <c r="A153" s="306" t="s">
        <v>21820</v>
      </c>
      <c r="B153" s="261">
        <v>7</v>
      </c>
      <c r="C153" s="279">
        <v>600</v>
      </c>
      <c r="D153" s="261" t="s">
        <v>21829</v>
      </c>
      <c r="E153" s="869">
        <v>2.5</v>
      </c>
      <c r="F153" s="869">
        <v>1.5</v>
      </c>
      <c r="G153" s="873"/>
    </row>
    <row r="154" spans="1:7" x14ac:dyDescent="0.2">
      <c r="A154" s="306" t="s">
        <v>21820</v>
      </c>
      <c r="B154" s="261">
        <v>8</v>
      </c>
      <c r="C154" s="279">
        <v>700</v>
      </c>
      <c r="D154" s="261" t="s">
        <v>21829</v>
      </c>
      <c r="E154" s="869">
        <v>3</v>
      </c>
      <c r="F154" s="869">
        <v>1.5</v>
      </c>
      <c r="G154" s="873"/>
    </row>
    <row r="155" spans="1:7" x14ac:dyDescent="0.2">
      <c r="A155" s="306" t="s">
        <v>21820</v>
      </c>
      <c r="B155" s="261">
        <v>9</v>
      </c>
      <c r="C155" s="279">
        <v>800</v>
      </c>
      <c r="D155" s="261" t="s">
        <v>21829</v>
      </c>
      <c r="E155" s="869">
        <v>3</v>
      </c>
      <c r="F155" s="869">
        <v>2</v>
      </c>
      <c r="G155" s="873"/>
    </row>
    <row r="156" spans="1:7" x14ac:dyDescent="0.2">
      <c r="A156" s="306" t="s">
        <v>21820</v>
      </c>
      <c r="B156" s="261">
        <v>10</v>
      </c>
      <c r="C156" s="279">
        <v>1000</v>
      </c>
      <c r="D156" s="261" t="s">
        <v>21829</v>
      </c>
      <c r="E156" s="869">
        <v>3.5</v>
      </c>
      <c r="F156" s="869">
        <v>2</v>
      </c>
      <c r="G156" s="873"/>
    </row>
    <row r="157" spans="1:7" x14ac:dyDescent="0.2">
      <c r="A157" s="306" t="s">
        <v>21820</v>
      </c>
      <c r="B157" s="261">
        <v>11</v>
      </c>
      <c r="C157" s="279">
        <v>1200</v>
      </c>
      <c r="D157" s="261" t="s">
        <v>21829</v>
      </c>
      <c r="E157" s="869">
        <v>3.5</v>
      </c>
      <c r="F157" s="869">
        <v>2.5</v>
      </c>
      <c r="G157" s="873"/>
    </row>
    <row r="158" spans="1:7" x14ac:dyDescent="0.2">
      <c r="A158" s="306" t="s">
        <v>21820</v>
      </c>
      <c r="B158" s="261">
        <v>12</v>
      </c>
      <c r="C158" s="279">
        <v>1400</v>
      </c>
      <c r="D158" s="261" t="s">
        <v>21829</v>
      </c>
      <c r="E158" s="869">
        <v>4</v>
      </c>
      <c r="F158" s="869">
        <v>2.5</v>
      </c>
      <c r="G158" s="873"/>
    </row>
    <row r="159" spans="1:7" x14ac:dyDescent="0.2">
      <c r="A159" s="306" t="s">
        <v>21820</v>
      </c>
      <c r="B159" s="261">
        <v>13</v>
      </c>
      <c r="C159" s="279">
        <v>1600</v>
      </c>
      <c r="D159" s="261" t="s">
        <v>21829</v>
      </c>
      <c r="E159" s="869">
        <v>4</v>
      </c>
      <c r="F159" s="869">
        <v>3</v>
      </c>
      <c r="G159" s="873"/>
    </row>
    <row r="160" spans="1:7" x14ac:dyDescent="0.2">
      <c r="A160" s="306" t="s">
        <v>21820</v>
      </c>
      <c r="B160" s="261">
        <v>14</v>
      </c>
      <c r="C160" s="279">
        <v>1800</v>
      </c>
      <c r="D160" s="261" t="s">
        <v>21829</v>
      </c>
      <c r="E160" s="869">
        <v>4.5</v>
      </c>
      <c r="F160" s="869">
        <v>3</v>
      </c>
      <c r="G160" s="873"/>
    </row>
    <row r="161" spans="1:7" x14ac:dyDescent="0.2">
      <c r="A161" s="306" t="s">
        <v>21820</v>
      </c>
      <c r="B161" s="261">
        <v>15</v>
      </c>
      <c r="C161" s="279">
        <v>2000</v>
      </c>
      <c r="D161" s="261" t="s">
        <v>21829</v>
      </c>
      <c r="E161" s="869">
        <v>4.5</v>
      </c>
      <c r="F161" s="869">
        <v>3.5</v>
      </c>
      <c r="G161" s="873"/>
    </row>
    <row r="162" spans="1:7" x14ac:dyDescent="0.2">
      <c r="A162" s="306" t="s">
        <v>21820</v>
      </c>
      <c r="B162" s="261">
        <v>16</v>
      </c>
      <c r="C162" s="279">
        <v>2200</v>
      </c>
      <c r="D162" s="261" t="s">
        <v>21829</v>
      </c>
      <c r="E162" s="869">
        <v>5</v>
      </c>
      <c r="F162" s="869">
        <v>3.5</v>
      </c>
      <c r="G162" s="873"/>
    </row>
    <row r="163" spans="1:7" x14ac:dyDescent="0.2">
      <c r="A163" s="306" t="s">
        <v>21820</v>
      </c>
      <c r="B163" s="261">
        <v>17</v>
      </c>
      <c r="C163" s="279">
        <v>2400</v>
      </c>
      <c r="D163" s="261" t="s">
        <v>21829</v>
      </c>
      <c r="E163" s="869">
        <v>5</v>
      </c>
      <c r="F163" s="869">
        <v>4</v>
      </c>
      <c r="G163" s="873"/>
    </row>
    <row r="164" spans="1:7" x14ac:dyDescent="0.2">
      <c r="A164" s="306" t="s">
        <v>21820</v>
      </c>
      <c r="B164" s="261">
        <v>18</v>
      </c>
      <c r="C164" s="279">
        <v>2600</v>
      </c>
      <c r="D164" s="261" t="s">
        <v>21829</v>
      </c>
      <c r="E164" s="869">
        <v>5.5</v>
      </c>
      <c r="F164" s="869">
        <v>4</v>
      </c>
      <c r="G164" s="873"/>
    </row>
    <row r="165" spans="1:7" x14ac:dyDescent="0.2">
      <c r="A165" s="306" t="s">
        <v>21820</v>
      </c>
      <c r="B165" s="261">
        <v>19</v>
      </c>
      <c r="C165" s="279">
        <v>2800</v>
      </c>
      <c r="D165" s="261" t="s">
        <v>21829</v>
      </c>
      <c r="E165" s="869">
        <v>5.5</v>
      </c>
      <c r="F165" s="869">
        <v>4.5</v>
      </c>
      <c r="G165" s="873"/>
    </row>
    <row r="166" spans="1:7" x14ac:dyDescent="0.2">
      <c r="A166" s="306" t="s">
        <v>21820</v>
      </c>
      <c r="B166" s="261">
        <v>20</v>
      </c>
      <c r="C166" s="279">
        <v>3000</v>
      </c>
      <c r="D166" s="261" t="s">
        <v>21829</v>
      </c>
      <c r="E166" s="869">
        <v>6</v>
      </c>
      <c r="F166" s="869">
        <v>4.5</v>
      </c>
      <c r="G166" s="873"/>
    </row>
    <row r="167" spans="1:7" x14ac:dyDescent="0.2">
      <c r="A167" s="306" t="s">
        <v>21820</v>
      </c>
      <c r="B167" s="261">
        <v>21</v>
      </c>
      <c r="C167" s="279">
        <v>3200</v>
      </c>
      <c r="D167" s="261" t="s">
        <v>21829</v>
      </c>
      <c r="E167" s="869">
        <v>6</v>
      </c>
      <c r="F167" s="869">
        <v>5</v>
      </c>
      <c r="G167" s="873"/>
    </row>
    <row r="168" spans="1:7" x14ac:dyDescent="0.2">
      <c r="A168" s="306" t="s">
        <v>21820</v>
      </c>
      <c r="B168" s="261">
        <v>22</v>
      </c>
      <c r="C168" s="279">
        <v>3400</v>
      </c>
      <c r="D168" s="261" t="s">
        <v>21829</v>
      </c>
      <c r="E168" s="869">
        <v>6.5</v>
      </c>
      <c r="F168" s="869">
        <v>5</v>
      </c>
      <c r="G168" s="873"/>
    </row>
    <row r="169" spans="1:7" x14ac:dyDescent="0.2">
      <c r="A169" s="306" t="s">
        <v>21820</v>
      </c>
      <c r="B169" s="261">
        <v>23</v>
      </c>
      <c r="C169" s="279">
        <v>3600</v>
      </c>
      <c r="D169" s="261" t="s">
        <v>21829</v>
      </c>
      <c r="E169" s="869">
        <v>6.5</v>
      </c>
      <c r="F169" s="869">
        <v>5.5</v>
      </c>
      <c r="G169" s="873"/>
    </row>
    <row r="170" spans="1:7" x14ac:dyDescent="0.2">
      <c r="A170" s="306" t="s">
        <v>21820</v>
      </c>
      <c r="B170" s="261">
        <v>24</v>
      </c>
      <c r="C170" s="279">
        <v>3800</v>
      </c>
      <c r="D170" s="261" t="s">
        <v>21829</v>
      </c>
      <c r="E170" s="869">
        <v>7</v>
      </c>
      <c r="F170" s="869">
        <v>5.5</v>
      </c>
      <c r="G170" s="873"/>
    </row>
    <row r="171" spans="1:7" x14ac:dyDescent="0.2">
      <c r="A171" s="306" t="s">
        <v>21820</v>
      </c>
      <c r="B171" s="261">
        <v>25</v>
      </c>
      <c r="C171" s="279">
        <v>4000</v>
      </c>
      <c r="D171" s="261" t="s">
        <v>21829</v>
      </c>
      <c r="E171" s="869">
        <v>7</v>
      </c>
      <c r="F171" s="869">
        <v>6</v>
      </c>
      <c r="G171" s="873"/>
    </row>
    <row r="172" spans="1:7" x14ac:dyDescent="0.2">
      <c r="A172" s="306" t="s">
        <v>21820</v>
      </c>
      <c r="B172" s="261">
        <v>26</v>
      </c>
      <c r="C172" s="279">
        <v>4200</v>
      </c>
      <c r="D172" s="261" t="s">
        <v>21829</v>
      </c>
      <c r="E172" s="869">
        <v>7.5</v>
      </c>
      <c r="F172" s="869">
        <v>6</v>
      </c>
      <c r="G172" s="873"/>
    </row>
    <row r="173" spans="1:7" x14ac:dyDescent="0.2">
      <c r="A173" s="306" t="s">
        <v>21820</v>
      </c>
      <c r="B173" s="261">
        <v>27</v>
      </c>
      <c r="C173" s="279">
        <v>4400</v>
      </c>
      <c r="D173" s="261" t="s">
        <v>21829</v>
      </c>
      <c r="E173" s="869">
        <v>7.5</v>
      </c>
      <c r="F173" s="869">
        <v>6.5</v>
      </c>
      <c r="G173" s="873"/>
    </row>
    <row r="174" spans="1:7" x14ac:dyDescent="0.2">
      <c r="A174" s="306" t="s">
        <v>21820</v>
      </c>
      <c r="B174" s="261">
        <v>28</v>
      </c>
      <c r="C174" s="279">
        <v>4600</v>
      </c>
      <c r="D174" s="261" t="s">
        <v>21829</v>
      </c>
      <c r="E174" s="869">
        <v>8</v>
      </c>
      <c r="F174" s="869">
        <v>6.5</v>
      </c>
      <c r="G174" s="873"/>
    </row>
    <row r="175" spans="1:7" x14ac:dyDescent="0.2">
      <c r="A175" s="306" t="s">
        <v>21820</v>
      </c>
      <c r="B175" s="261">
        <v>29</v>
      </c>
      <c r="C175" s="279">
        <v>4800</v>
      </c>
      <c r="D175" s="261" t="s">
        <v>21829</v>
      </c>
      <c r="E175" s="869">
        <v>8</v>
      </c>
      <c r="F175" s="869">
        <v>7</v>
      </c>
      <c r="G175" s="873"/>
    </row>
    <row r="176" spans="1:7" x14ac:dyDescent="0.2">
      <c r="A176" s="306" t="s">
        <v>21820</v>
      </c>
      <c r="B176" s="261">
        <v>30</v>
      </c>
      <c r="C176" s="279">
        <v>5000</v>
      </c>
      <c r="D176" s="261" t="s">
        <v>21829</v>
      </c>
      <c r="E176" s="869">
        <v>8.5</v>
      </c>
      <c r="F176" s="869">
        <v>7</v>
      </c>
      <c r="G176" s="873"/>
    </row>
    <row r="177" spans="1:7" x14ac:dyDescent="0.2">
      <c r="A177" s="306" t="s">
        <v>21820</v>
      </c>
      <c r="B177" s="261">
        <v>31</v>
      </c>
      <c r="C177" s="279">
        <v>5200</v>
      </c>
      <c r="D177" s="261" t="s">
        <v>21829</v>
      </c>
      <c r="E177" s="869">
        <v>8.5</v>
      </c>
      <c r="F177" s="869">
        <v>7.5</v>
      </c>
      <c r="G177" s="873"/>
    </row>
    <row r="178" spans="1:7" x14ac:dyDescent="0.2">
      <c r="A178" s="306" t="s">
        <v>21820</v>
      </c>
      <c r="B178" s="261">
        <v>32</v>
      </c>
      <c r="C178" s="279">
        <v>5400</v>
      </c>
      <c r="D178" s="261" t="s">
        <v>21829</v>
      </c>
      <c r="E178" s="869">
        <v>9</v>
      </c>
      <c r="F178" s="869">
        <v>7.5</v>
      </c>
      <c r="G178" s="873"/>
    </row>
    <row r="179" spans="1:7" x14ac:dyDescent="0.2">
      <c r="A179" s="306" t="s">
        <v>21820</v>
      </c>
      <c r="B179" s="261">
        <v>33</v>
      </c>
      <c r="C179" s="279">
        <v>5600</v>
      </c>
      <c r="D179" s="261" t="s">
        <v>21829</v>
      </c>
      <c r="E179" s="869">
        <v>9</v>
      </c>
      <c r="F179" s="869">
        <v>8</v>
      </c>
      <c r="G179" s="873"/>
    </row>
    <row r="180" spans="1:7" x14ac:dyDescent="0.2">
      <c r="A180" s="306" t="s">
        <v>21820</v>
      </c>
      <c r="B180" s="261">
        <v>34</v>
      </c>
      <c r="C180" s="279">
        <v>5800</v>
      </c>
      <c r="D180" s="261" t="s">
        <v>21829</v>
      </c>
      <c r="E180" s="869">
        <v>9.5</v>
      </c>
      <c r="F180" s="869">
        <v>8</v>
      </c>
      <c r="G180" s="873"/>
    </row>
    <row r="181" spans="1:7" x14ac:dyDescent="0.2">
      <c r="A181" s="306" t="s">
        <v>21820</v>
      </c>
      <c r="B181" s="261">
        <v>35</v>
      </c>
      <c r="C181" s="279">
        <v>6000</v>
      </c>
      <c r="D181" s="261" t="s">
        <v>21829</v>
      </c>
      <c r="E181" s="869">
        <v>9.5</v>
      </c>
      <c r="F181" s="869">
        <v>8.5</v>
      </c>
      <c r="G181" s="873"/>
    </row>
    <row r="182" spans="1:7" x14ac:dyDescent="0.2">
      <c r="A182" s="306" t="s">
        <v>21821</v>
      </c>
      <c r="B182" s="261">
        <v>1</v>
      </c>
      <c r="C182" s="279">
        <v>0</v>
      </c>
      <c r="D182" s="261" t="s">
        <v>21828</v>
      </c>
      <c r="E182" s="869">
        <v>0.5</v>
      </c>
      <c r="F182" s="869">
        <v>0.5</v>
      </c>
      <c r="G182" s="873"/>
    </row>
    <row r="183" spans="1:7" x14ac:dyDescent="0.2">
      <c r="A183" s="306" t="s">
        <v>21821</v>
      </c>
      <c r="B183" s="261">
        <v>2</v>
      </c>
      <c r="C183" s="279">
        <v>100</v>
      </c>
      <c r="D183" s="261" t="s">
        <v>21829</v>
      </c>
      <c r="E183" s="869">
        <v>0.8</v>
      </c>
      <c r="F183" s="869">
        <v>0.5</v>
      </c>
      <c r="G183" s="873"/>
    </row>
    <row r="184" spans="1:7" x14ac:dyDescent="0.2">
      <c r="A184" s="306" t="s">
        <v>21821</v>
      </c>
      <c r="B184" s="261">
        <v>3</v>
      </c>
      <c r="C184" s="279">
        <v>200</v>
      </c>
      <c r="D184" s="261" t="s">
        <v>21829</v>
      </c>
      <c r="E184" s="869">
        <v>0.8</v>
      </c>
      <c r="F184" s="869">
        <v>0.8</v>
      </c>
      <c r="G184" s="873"/>
    </row>
    <row r="185" spans="1:7" x14ac:dyDescent="0.2">
      <c r="A185" s="306" t="s">
        <v>21821</v>
      </c>
      <c r="B185" s="261">
        <v>4</v>
      </c>
      <c r="C185" s="279">
        <v>300</v>
      </c>
      <c r="D185" s="261" t="s">
        <v>21829</v>
      </c>
      <c r="E185" s="869">
        <v>1.1000000000000001</v>
      </c>
      <c r="F185" s="869">
        <v>0.8</v>
      </c>
      <c r="G185" s="873"/>
    </row>
    <row r="186" spans="1:7" x14ac:dyDescent="0.2">
      <c r="A186" s="306" t="s">
        <v>21821</v>
      </c>
      <c r="B186" s="261">
        <v>5</v>
      </c>
      <c r="C186" s="279">
        <v>400</v>
      </c>
      <c r="D186" s="261" t="s">
        <v>21829</v>
      </c>
      <c r="E186" s="869">
        <v>1.1000000000000001</v>
      </c>
      <c r="F186" s="869">
        <v>1.1000000000000001</v>
      </c>
      <c r="G186" s="873"/>
    </row>
    <row r="187" spans="1:7" x14ac:dyDescent="0.2">
      <c r="A187" s="306" t="s">
        <v>21821</v>
      </c>
      <c r="B187" s="261">
        <v>6</v>
      </c>
      <c r="C187" s="279">
        <v>500</v>
      </c>
      <c r="D187" s="261" t="s">
        <v>21829</v>
      </c>
      <c r="E187" s="869">
        <v>1.4</v>
      </c>
      <c r="F187" s="869">
        <v>1.1000000000000001</v>
      </c>
      <c r="G187" s="873"/>
    </row>
    <row r="188" spans="1:7" x14ac:dyDescent="0.2">
      <c r="A188" s="306" t="s">
        <v>21821</v>
      </c>
      <c r="B188" s="261">
        <v>7</v>
      </c>
      <c r="C188" s="279">
        <v>600</v>
      </c>
      <c r="D188" s="261" t="s">
        <v>21829</v>
      </c>
      <c r="E188" s="869">
        <v>1.4</v>
      </c>
      <c r="F188" s="869">
        <v>1.4</v>
      </c>
      <c r="G188" s="873"/>
    </row>
    <row r="189" spans="1:7" x14ac:dyDescent="0.2">
      <c r="A189" s="306" t="s">
        <v>21821</v>
      </c>
      <c r="B189" s="261">
        <v>8</v>
      </c>
      <c r="C189" s="279">
        <v>700</v>
      </c>
      <c r="D189" s="261" t="s">
        <v>21829</v>
      </c>
      <c r="E189" s="869">
        <v>1.7</v>
      </c>
      <c r="F189" s="869">
        <v>1.4</v>
      </c>
      <c r="G189" s="873"/>
    </row>
    <row r="190" spans="1:7" x14ac:dyDescent="0.2">
      <c r="A190" s="306" t="s">
        <v>21821</v>
      </c>
      <c r="B190" s="261">
        <v>9</v>
      </c>
      <c r="C190" s="279">
        <v>800</v>
      </c>
      <c r="D190" s="261" t="s">
        <v>21829</v>
      </c>
      <c r="E190" s="869">
        <v>1.7</v>
      </c>
      <c r="F190" s="869">
        <v>1.7</v>
      </c>
      <c r="G190" s="873"/>
    </row>
    <row r="191" spans="1:7" x14ac:dyDescent="0.2">
      <c r="A191" s="306" t="s">
        <v>21821</v>
      </c>
      <c r="B191" s="261">
        <v>10</v>
      </c>
      <c r="C191" s="279">
        <v>1000</v>
      </c>
      <c r="D191" s="261" t="s">
        <v>21829</v>
      </c>
      <c r="E191" s="869">
        <v>2</v>
      </c>
      <c r="F191" s="869">
        <v>1.7</v>
      </c>
      <c r="G191" s="873"/>
    </row>
    <row r="192" spans="1:7" x14ac:dyDescent="0.2">
      <c r="A192" s="306" t="s">
        <v>21821</v>
      </c>
      <c r="B192" s="261">
        <v>11</v>
      </c>
      <c r="C192" s="279">
        <v>1200</v>
      </c>
      <c r="D192" s="261" t="s">
        <v>21829</v>
      </c>
      <c r="E192" s="869">
        <v>2</v>
      </c>
      <c r="F192" s="869">
        <v>2</v>
      </c>
      <c r="G192" s="873"/>
    </row>
    <row r="193" spans="1:7" x14ac:dyDescent="0.2">
      <c r="A193" s="306" t="s">
        <v>21821</v>
      </c>
      <c r="B193" s="261">
        <v>12</v>
      </c>
      <c r="C193" s="279">
        <v>1400</v>
      </c>
      <c r="D193" s="261" t="s">
        <v>21829</v>
      </c>
      <c r="E193" s="869">
        <v>2.2999999999999998</v>
      </c>
      <c r="F193" s="869">
        <v>2</v>
      </c>
      <c r="G193" s="873"/>
    </row>
    <row r="194" spans="1:7" x14ac:dyDescent="0.2">
      <c r="A194" s="306" t="s">
        <v>21821</v>
      </c>
      <c r="B194" s="261">
        <v>13</v>
      </c>
      <c r="C194" s="279">
        <v>1600</v>
      </c>
      <c r="D194" s="261" t="s">
        <v>21829</v>
      </c>
      <c r="E194" s="869">
        <v>2.2999999999999998</v>
      </c>
      <c r="F194" s="869">
        <v>2.2999999999999998</v>
      </c>
      <c r="G194" s="873"/>
    </row>
    <row r="195" spans="1:7" x14ac:dyDescent="0.2">
      <c r="A195" s="306" t="s">
        <v>21821</v>
      </c>
      <c r="B195" s="261">
        <v>14</v>
      </c>
      <c r="C195" s="279">
        <v>1800</v>
      </c>
      <c r="D195" s="261" t="s">
        <v>21829</v>
      </c>
      <c r="E195" s="869">
        <v>2.6</v>
      </c>
      <c r="F195" s="869">
        <v>2.2999999999999998</v>
      </c>
      <c r="G195" s="873"/>
    </row>
    <row r="196" spans="1:7" x14ac:dyDescent="0.2">
      <c r="A196" s="306" t="s">
        <v>21821</v>
      </c>
      <c r="B196" s="261">
        <v>15</v>
      </c>
      <c r="C196" s="279">
        <v>2000</v>
      </c>
      <c r="D196" s="261" t="s">
        <v>21829</v>
      </c>
      <c r="E196" s="869">
        <v>2.6</v>
      </c>
      <c r="F196" s="869">
        <v>2.6</v>
      </c>
      <c r="G196" s="873"/>
    </row>
    <row r="197" spans="1:7" x14ac:dyDescent="0.2">
      <c r="A197" s="306" t="s">
        <v>21821</v>
      </c>
      <c r="B197" s="261">
        <v>16</v>
      </c>
      <c r="C197" s="279">
        <v>2200</v>
      </c>
      <c r="D197" s="261" t="s">
        <v>21829</v>
      </c>
      <c r="E197" s="869">
        <v>2.9</v>
      </c>
      <c r="F197" s="869">
        <v>2.6</v>
      </c>
      <c r="G197" s="873"/>
    </row>
    <row r="198" spans="1:7" x14ac:dyDescent="0.2">
      <c r="A198" s="306" t="s">
        <v>21821</v>
      </c>
      <c r="B198" s="261">
        <v>17</v>
      </c>
      <c r="C198" s="279">
        <v>2400</v>
      </c>
      <c r="D198" s="261" t="s">
        <v>21829</v>
      </c>
      <c r="E198" s="869">
        <v>2.9</v>
      </c>
      <c r="F198" s="869">
        <v>2.9</v>
      </c>
      <c r="G198" s="873"/>
    </row>
    <row r="199" spans="1:7" x14ac:dyDescent="0.2">
      <c r="A199" s="306" t="s">
        <v>21821</v>
      </c>
      <c r="B199" s="261">
        <v>18</v>
      </c>
      <c r="C199" s="279">
        <v>2600</v>
      </c>
      <c r="D199" s="261" t="s">
        <v>21829</v>
      </c>
      <c r="E199" s="869">
        <v>3.2</v>
      </c>
      <c r="F199" s="869">
        <v>2.9</v>
      </c>
      <c r="G199" s="873"/>
    </row>
    <row r="200" spans="1:7" x14ac:dyDescent="0.2">
      <c r="A200" s="306" t="s">
        <v>21821</v>
      </c>
      <c r="B200" s="261">
        <v>19</v>
      </c>
      <c r="C200" s="279">
        <v>2800</v>
      </c>
      <c r="D200" s="261" t="s">
        <v>21829</v>
      </c>
      <c r="E200" s="869">
        <v>3.2</v>
      </c>
      <c r="F200" s="869">
        <v>3.2</v>
      </c>
      <c r="G200" s="873"/>
    </row>
    <row r="201" spans="1:7" x14ac:dyDescent="0.2">
      <c r="A201" s="306" t="s">
        <v>21821</v>
      </c>
      <c r="B201" s="261">
        <v>20</v>
      </c>
      <c r="C201" s="279">
        <v>3000</v>
      </c>
      <c r="D201" s="261" t="s">
        <v>21829</v>
      </c>
      <c r="E201" s="869">
        <v>3.5</v>
      </c>
      <c r="F201" s="869">
        <v>3.2</v>
      </c>
      <c r="G201" s="873"/>
    </row>
    <row r="202" spans="1:7" x14ac:dyDescent="0.2">
      <c r="A202" s="306" t="s">
        <v>21821</v>
      </c>
      <c r="B202" s="261">
        <v>21</v>
      </c>
      <c r="C202" s="279">
        <v>3200</v>
      </c>
      <c r="D202" s="261" t="s">
        <v>21829</v>
      </c>
      <c r="E202" s="869">
        <v>3.5</v>
      </c>
      <c r="F202" s="869">
        <v>3.5</v>
      </c>
      <c r="G202" s="873"/>
    </row>
    <row r="203" spans="1:7" x14ac:dyDescent="0.2">
      <c r="A203" s="306" t="s">
        <v>21821</v>
      </c>
      <c r="B203" s="261">
        <v>22</v>
      </c>
      <c r="C203" s="279">
        <v>3400</v>
      </c>
      <c r="D203" s="261" t="s">
        <v>21829</v>
      </c>
      <c r="E203" s="869">
        <v>3.8</v>
      </c>
      <c r="F203" s="869">
        <v>3.5</v>
      </c>
      <c r="G203" s="873"/>
    </row>
    <row r="204" spans="1:7" x14ac:dyDescent="0.2">
      <c r="A204" s="306" t="s">
        <v>21821</v>
      </c>
      <c r="B204" s="261">
        <v>23</v>
      </c>
      <c r="C204" s="279">
        <v>3600</v>
      </c>
      <c r="D204" s="261" t="s">
        <v>21829</v>
      </c>
      <c r="E204" s="869">
        <v>3.8</v>
      </c>
      <c r="F204" s="869">
        <v>3.8</v>
      </c>
      <c r="G204" s="873"/>
    </row>
    <row r="205" spans="1:7" x14ac:dyDescent="0.2">
      <c r="A205" s="306" t="s">
        <v>21821</v>
      </c>
      <c r="B205" s="261">
        <v>24</v>
      </c>
      <c r="C205" s="279">
        <v>3800</v>
      </c>
      <c r="D205" s="261" t="s">
        <v>21829</v>
      </c>
      <c r="E205" s="869">
        <v>4.0999999999999996</v>
      </c>
      <c r="F205" s="869">
        <v>3.8</v>
      </c>
      <c r="G205" s="873"/>
    </row>
    <row r="206" spans="1:7" x14ac:dyDescent="0.2">
      <c r="A206" s="306" t="s">
        <v>21821</v>
      </c>
      <c r="B206" s="261">
        <v>25</v>
      </c>
      <c r="C206" s="279">
        <v>4000</v>
      </c>
      <c r="D206" s="261" t="s">
        <v>21829</v>
      </c>
      <c r="E206" s="869">
        <v>4.0999999999999996</v>
      </c>
      <c r="F206" s="869">
        <v>4.0999999999999996</v>
      </c>
      <c r="G206" s="873"/>
    </row>
    <row r="207" spans="1:7" x14ac:dyDescent="0.2">
      <c r="A207" s="306" t="s">
        <v>21821</v>
      </c>
      <c r="B207" s="261">
        <v>26</v>
      </c>
      <c r="C207" s="279">
        <v>4200</v>
      </c>
      <c r="D207" s="261" t="s">
        <v>21829</v>
      </c>
      <c r="E207" s="869">
        <v>4.4000000000000004</v>
      </c>
      <c r="F207" s="869">
        <v>4.0999999999999996</v>
      </c>
      <c r="G207" s="873"/>
    </row>
    <row r="208" spans="1:7" x14ac:dyDescent="0.2">
      <c r="A208" s="306" t="s">
        <v>21821</v>
      </c>
      <c r="B208" s="261">
        <v>27</v>
      </c>
      <c r="C208" s="279">
        <v>4400</v>
      </c>
      <c r="D208" s="261" t="s">
        <v>21829</v>
      </c>
      <c r="E208" s="869">
        <v>4.4000000000000004</v>
      </c>
      <c r="F208" s="869">
        <v>4.4000000000000004</v>
      </c>
      <c r="G208" s="873"/>
    </row>
    <row r="209" spans="1:7" x14ac:dyDescent="0.2">
      <c r="A209" s="306" t="s">
        <v>21821</v>
      </c>
      <c r="B209" s="261">
        <v>28</v>
      </c>
      <c r="C209" s="279">
        <v>4600</v>
      </c>
      <c r="D209" s="261" t="s">
        <v>21829</v>
      </c>
      <c r="E209" s="869">
        <v>4.7</v>
      </c>
      <c r="F209" s="869">
        <v>4.4000000000000004</v>
      </c>
      <c r="G209" s="873"/>
    </row>
    <row r="210" spans="1:7" x14ac:dyDescent="0.2">
      <c r="A210" s="306" t="s">
        <v>21821</v>
      </c>
      <c r="B210" s="261">
        <v>29</v>
      </c>
      <c r="C210" s="279">
        <v>4800</v>
      </c>
      <c r="D210" s="261" t="s">
        <v>21829</v>
      </c>
      <c r="E210" s="869">
        <v>4.7</v>
      </c>
      <c r="F210" s="869">
        <v>4.7</v>
      </c>
      <c r="G210" s="873"/>
    </row>
    <row r="211" spans="1:7" x14ac:dyDescent="0.2">
      <c r="A211" s="306" t="s">
        <v>21821</v>
      </c>
      <c r="B211" s="261">
        <v>30</v>
      </c>
      <c r="C211" s="279">
        <v>5000</v>
      </c>
      <c r="D211" s="261" t="s">
        <v>21829</v>
      </c>
      <c r="E211" s="869">
        <v>5</v>
      </c>
      <c r="F211" s="869">
        <v>5</v>
      </c>
      <c r="G211" s="873"/>
    </row>
    <row r="212" spans="1:7" x14ac:dyDescent="0.2">
      <c r="A212" s="306" t="s">
        <v>21821</v>
      </c>
      <c r="B212" s="261">
        <v>31</v>
      </c>
      <c r="C212" s="279">
        <v>5200</v>
      </c>
      <c r="D212" s="261" t="s">
        <v>21829</v>
      </c>
      <c r="E212" s="869">
        <v>5.3</v>
      </c>
      <c r="F212" s="869">
        <v>5</v>
      </c>
      <c r="G212" s="873"/>
    </row>
    <row r="213" spans="1:7" x14ac:dyDescent="0.2">
      <c r="A213" s="306" t="s">
        <v>21821</v>
      </c>
      <c r="B213" s="261">
        <v>32</v>
      </c>
      <c r="C213" s="279">
        <v>5400</v>
      </c>
      <c r="D213" s="261" t="s">
        <v>21829</v>
      </c>
      <c r="E213" s="869">
        <v>5.3</v>
      </c>
      <c r="F213" s="869">
        <v>5.3</v>
      </c>
      <c r="G213" s="873"/>
    </row>
    <row r="214" spans="1:7" x14ac:dyDescent="0.2">
      <c r="A214" s="306" t="s">
        <v>21821</v>
      </c>
      <c r="B214" s="261">
        <v>33</v>
      </c>
      <c r="C214" s="279">
        <v>5600</v>
      </c>
      <c r="D214" s="261" t="s">
        <v>21829</v>
      </c>
      <c r="E214" s="869">
        <v>5.7</v>
      </c>
      <c r="F214" s="869">
        <v>5.3</v>
      </c>
      <c r="G214" s="873"/>
    </row>
    <row r="215" spans="1:7" x14ac:dyDescent="0.2">
      <c r="A215" s="306" t="s">
        <v>21821</v>
      </c>
      <c r="B215" s="261">
        <v>34</v>
      </c>
      <c r="C215" s="279">
        <v>5800</v>
      </c>
      <c r="D215" s="261" t="s">
        <v>21829</v>
      </c>
      <c r="E215" s="869">
        <v>5.7</v>
      </c>
      <c r="F215" s="869">
        <v>5.7</v>
      </c>
      <c r="G215" s="873"/>
    </row>
    <row r="216" spans="1:7" x14ac:dyDescent="0.2">
      <c r="A216" s="306" t="s">
        <v>21821</v>
      </c>
      <c r="B216" s="261">
        <v>35</v>
      </c>
      <c r="C216" s="279">
        <v>6000</v>
      </c>
      <c r="D216" s="261" t="s">
        <v>21829</v>
      </c>
      <c r="E216" s="869">
        <v>6</v>
      </c>
      <c r="F216" s="869">
        <v>6</v>
      </c>
      <c r="G216" s="873"/>
    </row>
    <row r="217" spans="1:7" x14ac:dyDescent="0.2">
      <c r="A217" s="306" t="s">
        <v>21814</v>
      </c>
      <c r="B217" s="261">
        <v>1</v>
      </c>
      <c r="C217" s="279"/>
      <c r="D217" s="261" t="s">
        <v>21830</v>
      </c>
      <c r="E217" s="869">
        <v>3</v>
      </c>
      <c r="F217" s="869">
        <v>3</v>
      </c>
      <c r="G217" s="873"/>
    </row>
    <row r="218" spans="1:7" x14ac:dyDescent="0.2">
      <c r="A218" s="306" t="s">
        <v>21814</v>
      </c>
      <c r="B218" s="261">
        <v>2</v>
      </c>
      <c r="C218" s="279">
        <v>10000</v>
      </c>
      <c r="D218" s="261" t="s">
        <v>19598</v>
      </c>
      <c r="E218" s="869">
        <v>4</v>
      </c>
      <c r="F218" s="869">
        <v>3.5</v>
      </c>
      <c r="G218" s="873"/>
    </row>
    <row r="219" spans="1:7" x14ac:dyDescent="0.2">
      <c r="A219" s="306" t="s">
        <v>21814</v>
      </c>
      <c r="B219" s="261">
        <v>3</v>
      </c>
      <c r="C219" s="279">
        <f t="shared" ref="C219:C226" si="4">C218+5000</f>
        <v>15000</v>
      </c>
      <c r="D219" s="261" t="s">
        <v>19598</v>
      </c>
      <c r="E219" s="869">
        <v>4.5</v>
      </c>
      <c r="F219" s="869">
        <v>4.5</v>
      </c>
      <c r="G219" s="873"/>
    </row>
    <row r="220" spans="1:7" x14ac:dyDescent="0.2">
      <c r="A220" s="306" t="s">
        <v>21814</v>
      </c>
      <c r="B220" s="261">
        <v>4</v>
      </c>
      <c r="C220" s="279">
        <f t="shared" si="4"/>
        <v>20000</v>
      </c>
      <c r="D220" s="261" t="s">
        <v>19598</v>
      </c>
      <c r="E220" s="869">
        <v>5.5</v>
      </c>
      <c r="F220" s="869">
        <v>5</v>
      </c>
      <c r="G220" s="873"/>
    </row>
    <row r="221" spans="1:7" x14ac:dyDescent="0.2">
      <c r="A221" s="306" t="s">
        <v>21814</v>
      </c>
      <c r="B221" s="261">
        <v>5</v>
      </c>
      <c r="C221" s="279">
        <f t="shared" si="4"/>
        <v>25000</v>
      </c>
      <c r="D221" s="261" t="s">
        <v>19598</v>
      </c>
      <c r="E221" s="869">
        <v>6</v>
      </c>
      <c r="F221" s="869">
        <v>6</v>
      </c>
      <c r="G221" s="873"/>
    </row>
    <row r="222" spans="1:7" x14ac:dyDescent="0.2">
      <c r="A222" s="306" t="s">
        <v>21814</v>
      </c>
      <c r="B222" s="261">
        <v>6</v>
      </c>
      <c r="C222" s="279">
        <f t="shared" si="4"/>
        <v>30000</v>
      </c>
      <c r="D222" s="261" t="s">
        <v>19598</v>
      </c>
      <c r="E222" s="869">
        <v>7</v>
      </c>
      <c r="F222" s="869">
        <v>6.5</v>
      </c>
      <c r="G222" s="873"/>
    </row>
    <row r="223" spans="1:7" x14ac:dyDescent="0.2">
      <c r="A223" s="306" t="s">
        <v>21814</v>
      </c>
      <c r="B223" s="261">
        <v>7</v>
      </c>
      <c r="C223" s="279">
        <f t="shared" si="4"/>
        <v>35000</v>
      </c>
      <c r="D223" s="261" t="s">
        <v>19598</v>
      </c>
      <c r="E223" s="869">
        <v>7.5</v>
      </c>
      <c r="F223" s="869">
        <v>7.5</v>
      </c>
      <c r="G223" s="873"/>
    </row>
    <row r="224" spans="1:7" x14ac:dyDescent="0.2">
      <c r="A224" s="306" t="s">
        <v>21814</v>
      </c>
      <c r="B224" s="261">
        <v>8</v>
      </c>
      <c r="C224" s="279">
        <f t="shared" si="4"/>
        <v>40000</v>
      </c>
      <c r="D224" s="261" t="s">
        <v>19598</v>
      </c>
      <c r="E224" s="869">
        <v>8.5</v>
      </c>
      <c r="F224" s="869">
        <v>8</v>
      </c>
      <c r="G224" s="873"/>
    </row>
    <row r="225" spans="1:7" x14ac:dyDescent="0.2">
      <c r="A225" s="306" t="s">
        <v>21814</v>
      </c>
      <c r="B225" s="261">
        <v>9</v>
      </c>
      <c r="C225" s="279">
        <f t="shared" si="4"/>
        <v>45000</v>
      </c>
      <c r="D225" s="261" t="s">
        <v>19598</v>
      </c>
      <c r="E225" s="869">
        <v>9</v>
      </c>
      <c r="F225" s="869">
        <v>9</v>
      </c>
      <c r="G225" s="873"/>
    </row>
    <row r="226" spans="1:7" x14ac:dyDescent="0.2">
      <c r="A226" s="306" t="s">
        <v>21814</v>
      </c>
      <c r="B226" s="261">
        <v>10</v>
      </c>
      <c r="C226" s="279">
        <f t="shared" si="4"/>
        <v>50000</v>
      </c>
      <c r="D226" s="261" t="s">
        <v>19598</v>
      </c>
      <c r="E226" s="869">
        <v>11</v>
      </c>
      <c r="F226" s="869">
        <v>11</v>
      </c>
      <c r="G226" s="873"/>
    </row>
    <row r="227" spans="1:7" x14ac:dyDescent="0.2">
      <c r="A227" s="306" t="s">
        <v>21814</v>
      </c>
      <c r="B227" s="261">
        <v>11</v>
      </c>
      <c r="C227" s="279">
        <f t="shared" ref="C227:C246" si="5">C226+10000</f>
        <v>60000</v>
      </c>
      <c r="D227" s="261" t="s">
        <v>19598</v>
      </c>
      <c r="E227" s="869">
        <v>12</v>
      </c>
      <c r="F227" s="869">
        <v>12</v>
      </c>
      <c r="G227" s="873"/>
    </row>
    <row r="228" spans="1:7" x14ac:dyDescent="0.2">
      <c r="A228" s="306" t="s">
        <v>21814</v>
      </c>
      <c r="B228" s="261">
        <v>12</v>
      </c>
      <c r="C228" s="279">
        <f t="shared" si="5"/>
        <v>70000</v>
      </c>
      <c r="D228" s="261" t="s">
        <v>19598</v>
      </c>
      <c r="E228" s="869">
        <v>13</v>
      </c>
      <c r="F228" s="869">
        <v>13</v>
      </c>
      <c r="G228" s="873"/>
    </row>
    <row r="229" spans="1:7" x14ac:dyDescent="0.2">
      <c r="A229" s="306" t="s">
        <v>21814</v>
      </c>
      <c r="B229" s="261">
        <v>13</v>
      </c>
      <c r="C229" s="279">
        <f t="shared" si="5"/>
        <v>80000</v>
      </c>
      <c r="D229" s="261" t="s">
        <v>19598</v>
      </c>
      <c r="E229" s="869">
        <v>14</v>
      </c>
      <c r="F229" s="869">
        <v>14</v>
      </c>
      <c r="G229" s="873"/>
    </row>
    <row r="230" spans="1:7" x14ac:dyDescent="0.2">
      <c r="A230" s="306" t="s">
        <v>21814</v>
      </c>
      <c r="B230" s="261">
        <v>14</v>
      </c>
      <c r="C230" s="279">
        <f t="shared" si="5"/>
        <v>90000</v>
      </c>
      <c r="D230" s="261" t="s">
        <v>19598</v>
      </c>
      <c r="E230" s="869">
        <v>15</v>
      </c>
      <c r="F230" s="869">
        <v>15</v>
      </c>
      <c r="G230" s="873"/>
    </row>
    <row r="231" spans="1:7" x14ac:dyDescent="0.2">
      <c r="A231" s="306" t="s">
        <v>21814</v>
      </c>
      <c r="B231" s="261">
        <v>15</v>
      </c>
      <c r="C231" s="279">
        <f t="shared" si="5"/>
        <v>100000</v>
      </c>
      <c r="D231" s="261" t="s">
        <v>19598</v>
      </c>
      <c r="E231" s="869">
        <v>16</v>
      </c>
      <c r="F231" s="869">
        <v>16</v>
      </c>
      <c r="G231" s="873"/>
    </row>
    <row r="232" spans="1:7" x14ac:dyDescent="0.2">
      <c r="A232" s="306" t="s">
        <v>21814</v>
      </c>
      <c r="B232" s="261">
        <v>16</v>
      </c>
      <c r="C232" s="279">
        <f t="shared" si="5"/>
        <v>110000</v>
      </c>
      <c r="D232" s="261" t="s">
        <v>11597</v>
      </c>
      <c r="E232" s="869">
        <v>17</v>
      </c>
      <c r="F232" s="869">
        <v>17</v>
      </c>
      <c r="G232" s="873"/>
    </row>
    <row r="233" spans="1:7" x14ac:dyDescent="0.2">
      <c r="A233" s="306" t="s">
        <v>21814</v>
      </c>
      <c r="B233" s="261">
        <v>17</v>
      </c>
      <c r="C233" s="279">
        <f t="shared" si="5"/>
        <v>120000</v>
      </c>
      <c r="D233" s="261" t="s">
        <v>11597</v>
      </c>
      <c r="E233" s="869">
        <v>18</v>
      </c>
      <c r="F233" s="869">
        <v>18</v>
      </c>
      <c r="G233" s="873"/>
    </row>
    <row r="234" spans="1:7" x14ac:dyDescent="0.2">
      <c r="A234" s="306" t="s">
        <v>21814</v>
      </c>
      <c r="B234" s="261">
        <v>18</v>
      </c>
      <c r="C234" s="279">
        <f t="shared" si="5"/>
        <v>130000</v>
      </c>
      <c r="D234" s="261" t="s">
        <v>11597</v>
      </c>
      <c r="E234" s="869">
        <v>19</v>
      </c>
      <c r="F234" s="869">
        <v>19</v>
      </c>
      <c r="G234" s="873"/>
    </row>
    <row r="235" spans="1:7" x14ac:dyDescent="0.2">
      <c r="A235" s="306" t="s">
        <v>21814</v>
      </c>
      <c r="B235" s="261">
        <v>19</v>
      </c>
      <c r="C235" s="279">
        <f t="shared" si="5"/>
        <v>140000</v>
      </c>
      <c r="D235" s="261" t="s">
        <v>11597</v>
      </c>
      <c r="E235" s="869">
        <v>20</v>
      </c>
      <c r="F235" s="869">
        <v>20</v>
      </c>
      <c r="G235" s="873"/>
    </row>
    <row r="236" spans="1:7" x14ac:dyDescent="0.2">
      <c r="A236" s="306" t="s">
        <v>21814</v>
      </c>
      <c r="B236" s="261">
        <v>20</v>
      </c>
      <c r="C236" s="279">
        <f t="shared" si="5"/>
        <v>150000</v>
      </c>
      <c r="D236" s="261" t="s">
        <v>11597</v>
      </c>
      <c r="E236" s="869">
        <v>21</v>
      </c>
      <c r="F236" s="869">
        <v>21</v>
      </c>
      <c r="G236" s="873"/>
    </row>
    <row r="237" spans="1:7" x14ac:dyDescent="0.2">
      <c r="A237" s="306" t="s">
        <v>21814</v>
      </c>
      <c r="B237" s="261">
        <v>21</v>
      </c>
      <c r="C237" s="279">
        <f t="shared" si="5"/>
        <v>160000</v>
      </c>
      <c r="D237" s="261" t="s">
        <v>11597</v>
      </c>
      <c r="E237" s="869">
        <v>22</v>
      </c>
      <c r="F237" s="869">
        <v>22</v>
      </c>
      <c r="G237" s="873"/>
    </row>
    <row r="238" spans="1:7" x14ac:dyDescent="0.2">
      <c r="A238" s="306" t="s">
        <v>21814</v>
      </c>
      <c r="B238" s="261">
        <v>22</v>
      </c>
      <c r="C238" s="279">
        <f t="shared" si="5"/>
        <v>170000</v>
      </c>
      <c r="D238" s="261" t="s">
        <v>11597</v>
      </c>
      <c r="E238" s="869">
        <v>23</v>
      </c>
      <c r="F238" s="869">
        <v>23</v>
      </c>
      <c r="G238" s="873"/>
    </row>
    <row r="239" spans="1:7" x14ac:dyDescent="0.2">
      <c r="A239" s="306" t="s">
        <v>21814</v>
      </c>
      <c r="B239" s="261">
        <v>23</v>
      </c>
      <c r="C239" s="279">
        <f t="shared" si="5"/>
        <v>180000</v>
      </c>
      <c r="D239" s="261" t="s">
        <v>11597</v>
      </c>
      <c r="E239" s="869">
        <v>24</v>
      </c>
      <c r="F239" s="869">
        <v>24</v>
      </c>
      <c r="G239" s="873"/>
    </row>
    <row r="240" spans="1:7" x14ac:dyDescent="0.2">
      <c r="A240" s="306" t="s">
        <v>21814</v>
      </c>
      <c r="B240" s="261">
        <v>24</v>
      </c>
      <c r="C240" s="279">
        <f t="shared" si="5"/>
        <v>190000</v>
      </c>
      <c r="D240" s="261" t="s">
        <v>11597</v>
      </c>
      <c r="E240" s="869">
        <v>25</v>
      </c>
      <c r="F240" s="869">
        <v>25</v>
      </c>
      <c r="G240" s="873"/>
    </row>
    <row r="241" spans="1:7" x14ac:dyDescent="0.2">
      <c r="A241" s="306" t="s">
        <v>21814</v>
      </c>
      <c r="B241" s="261">
        <v>25</v>
      </c>
      <c r="C241" s="279">
        <f t="shared" si="5"/>
        <v>200000</v>
      </c>
      <c r="D241" s="261" t="s">
        <v>11597</v>
      </c>
      <c r="E241" s="869">
        <v>26</v>
      </c>
      <c r="F241" s="869">
        <v>26</v>
      </c>
      <c r="G241" s="873"/>
    </row>
    <row r="242" spans="1:7" x14ac:dyDescent="0.2">
      <c r="A242" s="306" t="s">
        <v>21814</v>
      </c>
      <c r="B242" s="261">
        <v>26</v>
      </c>
      <c r="C242" s="279">
        <f t="shared" si="5"/>
        <v>210000</v>
      </c>
      <c r="D242" s="261" t="s">
        <v>12693</v>
      </c>
      <c r="E242" s="869">
        <v>27</v>
      </c>
      <c r="F242" s="869">
        <v>27</v>
      </c>
      <c r="G242" s="873"/>
    </row>
    <row r="243" spans="1:7" x14ac:dyDescent="0.2">
      <c r="A243" s="306" t="s">
        <v>21814</v>
      </c>
      <c r="B243" s="261">
        <v>27</v>
      </c>
      <c r="C243" s="279">
        <f t="shared" si="5"/>
        <v>220000</v>
      </c>
      <c r="D243" s="261" t="s">
        <v>12693</v>
      </c>
      <c r="E243" s="869">
        <v>28</v>
      </c>
      <c r="F243" s="869">
        <v>28</v>
      </c>
      <c r="G243" s="873"/>
    </row>
    <row r="244" spans="1:7" x14ac:dyDescent="0.2">
      <c r="A244" s="306" t="s">
        <v>21814</v>
      </c>
      <c r="B244" s="261">
        <v>28</v>
      </c>
      <c r="C244" s="279">
        <f t="shared" si="5"/>
        <v>230000</v>
      </c>
      <c r="D244" s="261" t="s">
        <v>12693</v>
      </c>
      <c r="E244" s="869">
        <v>29</v>
      </c>
      <c r="F244" s="869">
        <v>29</v>
      </c>
      <c r="G244" s="873"/>
    </row>
    <row r="245" spans="1:7" x14ac:dyDescent="0.2">
      <c r="A245" s="306" t="s">
        <v>21814</v>
      </c>
      <c r="B245" s="261">
        <v>29</v>
      </c>
      <c r="C245" s="279">
        <f t="shared" si="5"/>
        <v>240000</v>
      </c>
      <c r="D245" s="261" t="s">
        <v>12693</v>
      </c>
      <c r="E245" s="869">
        <v>30</v>
      </c>
      <c r="F245" s="869">
        <v>30</v>
      </c>
      <c r="G245" s="873"/>
    </row>
    <row r="246" spans="1:7" x14ac:dyDescent="0.2">
      <c r="A246" s="272" t="s">
        <v>21814</v>
      </c>
      <c r="B246" s="264">
        <v>30</v>
      </c>
      <c r="C246" s="336">
        <f t="shared" si="5"/>
        <v>250000</v>
      </c>
      <c r="D246" s="264" t="s">
        <v>12693</v>
      </c>
      <c r="E246" s="874">
        <v>31</v>
      </c>
      <c r="F246" s="874">
        <v>31</v>
      </c>
      <c r="G246" s="875"/>
    </row>
    <row r="247" spans="1:7" x14ac:dyDescent="0.2">
      <c r="C247" s="89"/>
      <c r="E247" s="111"/>
      <c r="F247" s="111"/>
      <c r="G247" s="111"/>
    </row>
    <row r="248" spans="1:7" x14ac:dyDescent="0.2">
      <c r="C248" s="89"/>
      <c r="E248" s="111"/>
      <c r="F248" s="111"/>
      <c r="G248" s="111"/>
    </row>
    <row r="249" spans="1:7" x14ac:dyDescent="0.2">
      <c r="C249" s="89"/>
      <c r="E249" s="111"/>
      <c r="F249" s="111"/>
      <c r="G249" s="111"/>
    </row>
    <row r="250" spans="1:7" x14ac:dyDescent="0.2">
      <c r="C250" s="89"/>
      <c r="E250" s="111"/>
      <c r="F250" s="111"/>
      <c r="G250" s="111"/>
    </row>
    <row r="251" spans="1:7" x14ac:dyDescent="0.2">
      <c r="C251" s="89"/>
      <c r="E251" s="111"/>
      <c r="F251" s="111"/>
      <c r="G251" s="111"/>
    </row>
    <row r="252" spans="1:7" x14ac:dyDescent="0.2">
      <c r="C252" s="89"/>
      <c r="E252" s="111"/>
      <c r="F252" s="111"/>
      <c r="G252" s="111"/>
    </row>
    <row r="253" spans="1:7" x14ac:dyDescent="0.2">
      <c r="C253" s="89"/>
      <c r="E253" s="111"/>
      <c r="F253" s="111"/>
      <c r="G253" s="111"/>
    </row>
    <row r="254" spans="1:7" x14ac:dyDescent="0.2">
      <c r="C254" s="89"/>
      <c r="E254" s="111"/>
      <c r="F254" s="111"/>
      <c r="G254" s="111"/>
    </row>
    <row r="255" spans="1:7" x14ac:dyDescent="0.2">
      <c r="C255" s="89"/>
      <c r="E255" s="111"/>
      <c r="F255" s="111"/>
      <c r="G255" s="111"/>
    </row>
    <row r="256" spans="1:7" x14ac:dyDescent="0.2">
      <c r="C256" s="89"/>
      <c r="E256" s="111"/>
      <c r="F256" s="111"/>
      <c r="G256" s="111"/>
    </row>
    <row r="257" spans="3:7" x14ac:dyDescent="0.2">
      <c r="C257" s="89"/>
      <c r="E257" s="111"/>
      <c r="F257" s="111"/>
      <c r="G257" s="111"/>
    </row>
    <row r="258" spans="3:7" x14ac:dyDescent="0.2">
      <c r="C258" s="89"/>
      <c r="E258" s="111"/>
      <c r="F258" s="111"/>
      <c r="G258" s="111"/>
    </row>
    <row r="259" spans="3:7" x14ac:dyDescent="0.2">
      <c r="C259" s="89"/>
      <c r="E259" s="111"/>
      <c r="F259" s="111"/>
      <c r="G259" s="111"/>
    </row>
    <row r="260" spans="3:7" x14ac:dyDescent="0.2">
      <c r="C260" s="89"/>
      <c r="E260" s="111"/>
      <c r="F260" s="111"/>
      <c r="G260" s="111"/>
    </row>
    <row r="261" spans="3:7" x14ac:dyDescent="0.2">
      <c r="C261" s="89"/>
      <c r="E261" s="111"/>
      <c r="F261" s="111"/>
      <c r="G261" s="111"/>
    </row>
    <row r="262" spans="3:7" x14ac:dyDescent="0.2">
      <c r="C262" s="89"/>
      <c r="E262" s="111"/>
      <c r="F262" s="111"/>
      <c r="G262" s="111"/>
    </row>
    <row r="263" spans="3:7" x14ac:dyDescent="0.2">
      <c r="C263" s="89"/>
      <c r="E263" s="111"/>
      <c r="F263" s="111"/>
      <c r="G263" s="111"/>
    </row>
    <row r="264" spans="3:7" x14ac:dyDescent="0.2">
      <c r="C264" s="89"/>
      <c r="E264" s="111"/>
      <c r="F264" s="111"/>
      <c r="G264" s="111"/>
    </row>
    <row r="265" spans="3:7" x14ac:dyDescent="0.2">
      <c r="C265" s="89"/>
      <c r="E265" s="111"/>
      <c r="F265" s="111"/>
      <c r="G265" s="111"/>
    </row>
    <row r="266" spans="3:7" x14ac:dyDescent="0.2">
      <c r="C266" s="89"/>
      <c r="E266" s="111"/>
      <c r="F266" s="111"/>
      <c r="G266" s="111"/>
    </row>
    <row r="267" spans="3:7" x14ac:dyDescent="0.2">
      <c r="C267" s="89"/>
      <c r="E267" s="111"/>
      <c r="F267" s="111"/>
      <c r="G267" s="111"/>
    </row>
    <row r="268" spans="3:7" x14ac:dyDescent="0.2">
      <c r="C268" s="89"/>
      <c r="E268" s="111"/>
      <c r="F268" s="111"/>
      <c r="G268" s="111"/>
    </row>
    <row r="269" spans="3:7" x14ac:dyDescent="0.2">
      <c r="C269" s="89"/>
      <c r="E269" s="111"/>
      <c r="F269" s="111"/>
      <c r="G269" s="111"/>
    </row>
    <row r="270" spans="3:7" x14ac:dyDescent="0.2">
      <c r="C270" s="89"/>
      <c r="E270" s="111"/>
      <c r="F270" s="111"/>
      <c r="G270" s="111"/>
    </row>
    <row r="271" spans="3:7" x14ac:dyDescent="0.2">
      <c r="C271" s="89"/>
      <c r="E271" s="111"/>
      <c r="F271" s="111"/>
      <c r="G271" s="111"/>
    </row>
    <row r="272" spans="3:7" x14ac:dyDescent="0.2">
      <c r="C272" s="89"/>
      <c r="E272" s="111"/>
      <c r="F272" s="111"/>
      <c r="G272" s="111"/>
    </row>
    <row r="273" spans="3:7" x14ac:dyDescent="0.2">
      <c r="C273" s="89"/>
      <c r="E273" s="111"/>
      <c r="F273" s="111"/>
      <c r="G273" s="111"/>
    </row>
    <row r="274" spans="3:7" x14ac:dyDescent="0.2">
      <c r="C274" s="89"/>
      <c r="E274" s="111"/>
      <c r="F274" s="111"/>
      <c r="G274" s="111"/>
    </row>
    <row r="275" spans="3:7" x14ac:dyDescent="0.2">
      <c r="C275" s="89"/>
      <c r="E275" s="111"/>
      <c r="F275" s="111"/>
      <c r="G275" s="111"/>
    </row>
    <row r="276" spans="3:7" x14ac:dyDescent="0.2">
      <c r="C276" s="89"/>
      <c r="E276" s="111"/>
      <c r="F276" s="111"/>
      <c r="G276" s="111"/>
    </row>
    <row r="277" spans="3:7" x14ac:dyDescent="0.2">
      <c r="C277" s="89"/>
      <c r="E277" s="111"/>
      <c r="F277" s="111"/>
      <c r="G277" s="111"/>
    </row>
    <row r="278" spans="3:7" x14ac:dyDescent="0.2">
      <c r="C278" s="89"/>
      <c r="E278" s="111"/>
      <c r="F278" s="111"/>
      <c r="G278" s="111"/>
    </row>
    <row r="279" spans="3:7" x14ac:dyDescent="0.2">
      <c r="C279" s="89"/>
      <c r="E279" s="111"/>
      <c r="F279" s="111"/>
      <c r="G279" s="111"/>
    </row>
    <row r="280" spans="3:7" x14ac:dyDescent="0.2">
      <c r="C280" s="89"/>
      <c r="E280" s="111"/>
      <c r="F280" s="111"/>
      <c r="G280" s="111"/>
    </row>
    <row r="281" spans="3:7" x14ac:dyDescent="0.2">
      <c r="C281" s="89"/>
      <c r="E281" s="111"/>
      <c r="F281" s="111"/>
      <c r="G281" s="111"/>
    </row>
    <row r="282" spans="3:7" x14ac:dyDescent="0.2">
      <c r="C282" s="89"/>
      <c r="E282" s="111"/>
      <c r="F282" s="111"/>
      <c r="G282" s="111"/>
    </row>
    <row r="283" spans="3:7" x14ac:dyDescent="0.2">
      <c r="C283" s="89"/>
      <c r="E283" s="111"/>
      <c r="F283" s="111"/>
      <c r="G283" s="111"/>
    </row>
    <row r="284" spans="3:7" x14ac:dyDescent="0.2">
      <c r="C284" s="89"/>
      <c r="E284" s="111"/>
      <c r="F284" s="111"/>
      <c r="G284" s="111"/>
    </row>
    <row r="285" spans="3:7" x14ac:dyDescent="0.2">
      <c r="C285" s="89"/>
      <c r="E285" s="111"/>
      <c r="F285" s="111"/>
      <c r="G285" s="111"/>
    </row>
    <row r="286" spans="3:7" x14ac:dyDescent="0.2">
      <c r="C286" s="89"/>
      <c r="E286" s="111"/>
      <c r="F286" s="111"/>
      <c r="G286" s="111"/>
    </row>
    <row r="287" spans="3:7" x14ac:dyDescent="0.2">
      <c r="C287" s="89"/>
      <c r="E287" s="111"/>
      <c r="F287" s="111"/>
      <c r="G287" s="111"/>
    </row>
    <row r="288" spans="3:7" x14ac:dyDescent="0.2">
      <c r="C288" s="89"/>
      <c r="E288" s="111"/>
      <c r="F288" s="111"/>
      <c r="G288" s="111"/>
    </row>
    <row r="289" spans="3:7" x14ac:dyDescent="0.2">
      <c r="C289" s="89"/>
      <c r="E289" s="111"/>
      <c r="F289" s="111"/>
      <c r="G289" s="111"/>
    </row>
    <row r="290" spans="3:7" x14ac:dyDescent="0.2">
      <c r="C290" s="89"/>
      <c r="E290" s="111"/>
      <c r="F290" s="111"/>
      <c r="G290" s="111"/>
    </row>
    <row r="291" spans="3:7" x14ac:dyDescent="0.2">
      <c r="C291" s="89"/>
      <c r="E291" s="111"/>
      <c r="F291" s="111"/>
      <c r="G291" s="111"/>
    </row>
    <row r="292" spans="3:7" x14ac:dyDescent="0.2">
      <c r="C292" s="89"/>
      <c r="E292" s="111"/>
      <c r="F292" s="111"/>
      <c r="G292" s="111"/>
    </row>
    <row r="293" spans="3:7" x14ac:dyDescent="0.2">
      <c r="C293" s="89"/>
      <c r="E293" s="111"/>
      <c r="F293" s="111"/>
      <c r="G293" s="111"/>
    </row>
    <row r="294" spans="3:7" x14ac:dyDescent="0.2">
      <c r="C294" s="89"/>
      <c r="E294" s="111"/>
      <c r="F294" s="111"/>
      <c r="G294" s="111"/>
    </row>
    <row r="295" spans="3:7" x14ac:dyDescent="0.2">
      <c r="C295" s="89"/>
      <c r="E295" s="111"/>
      <c r="F295" s="111"/>
      <c r="G295" s="111"/>
    </row>
    <row r="296" spans="3:7" x14ac:dyDescent="0.2">
      <c r="C296" s="89"/>
      <c r="E296" s="111"/>
      <c r="F296" s="111"/>
      <c r="G296" s="111"/>
    </row>
    <row r="297" spans="3:7" x14ac:dyDescent="0.2">
      <c r="C297" s="89"/>
      <c r="E297" s="111"/>
      <c r="F297" s="111"/>
      <c r="G297" s="111"/>
    </row>
    <row r="298" spans="3:7" x14ac:dyDescent="0.2">
      <c r="C298" s="89"/>
      <c r="E298" s="111"/>
      <c r="F298" s="111"/>
      <c r="G298" s="111"/>
    </row>
    <row r="299" spans="3:7" x14ac:dyDescent="0.2">
      <c r="C299" s="89"/>
      <c r="E299" s="111"/>
      <c r="F299" s="111"/>
      <c r="G299" s="111"/>
    </row>
    <row r="300" spans="3:7" x14ac:dyDescent="0.2">
      <c r="C300" s="89"/>
      <c r="E300" s="111"/>
      <c r="F300" s="111"/>
      <c r="G300" s="111"/>
    </row>
    <row r="301" spans="3:7" x14ac:dyDescent="0.2">
      <c r="C301" s="89"/>
      <c r="E301" s="111"/>
      <c r="F301" s="111"/>
      <c r="G301" s="111"/>
    </row>
    <row r="302" spans="3:7" x14ac:dyDescent="0.2">
      <c r="C302" s="89"/>
      <c r="E302" s="111"/>
      <c r="F302" s="111"/>
      <c r="G302" s="111"/>
    </row>
    <row r="303" spans="3:7" x14ac:dyDescent="0.2">
      <c r="C303" s="89"/>
      <c r="E303" s="111"/>
      <c r="F303" s="111"/>
      <c r="G303" s="111"/>
    </row>
    <row r="304" spans="3:7" x14ac:dyDescent="0.2">
      <c r="C304" s="89"/>
      <c r="E304" s="111"/>
      <c r="F304" s="111"/>
      <c r="G304" s="111"/>
    </row>
    <row r="305" spans="3:7" x14ac:dyDescent="0.2">
      <c r="C305" s="89"/>
      <c r="E305" s="111"/>
      <c r="F305" s="111"/>
      <c r="G305" s="111"/>
    </row>
    <row r="306" spans="3:7" x14ac:dyDescent="0.2">
      <c r="C306" s="89"/>
      <c r="E306" s="111"/>
      <c r="F306" s="111"/>
      <c r="G306" s="111"/>
    </row>
    <row r="307" spans="3:7" x14ac:dyDescent="0.2">
      <c r="C307" s="89"/>
      <c r="E307" s="111"/>
      <c r="F307" s="111"/>
      <c r="G307" s="111"/>
    </row>
    <row r="308" spans="3:7" x14ac:dyDescent="0.2">
      <c r="C308" s="89"/>
      <c r="E308" s="111"/>
      <c r="F308" s="111"/>
      <c r="G308" s="111"/>
    </row>
    <row r="309" spans="3:7" x14ac:dyDescent="0.2">
      <c r="C309" s="89"/>
      <c r="E309" s="111"/>
      <c r="F309" s="111"/>
      <c r="G309" s="111"/>
    </row>
    <row r="310" spans="3:7" x14ac:dyDescent="0.2">
      <c r="C310" s="89"/>
      <c r="E310" s="111"/>
      <c r="F310" s="111"/>
      <c r="G310" s="111"/>
    </row>
    <row r="311" spans="3:7" x14ac:dyDescent="0.2">
      <c r="C311" s="89"/>
      <c r="E311" s="111"/>
      <c r="F311" s="111"/>
      <c r="G311" s="111"/>
    </row>
    <row r="312" spans="3:7" x14ac:dyDescent="0.2">
      <c r="C312" s="89"/>
      <c r="E312" s="111"/>
      <c r="F312" s="111"/>
      <c r="G312" s="111"/>
    </row>
    <row r="313" spans="3:7" x14ac:dyDescent="0.2">
      <c r="C313" s="89"/>
      <c r="E313" s="111"/>
      <c r="F313" s="111"/>
      <c r="G313" s="111"/>
    </row>
    <row r="314" spans="3:7" x14ac:dyDescent="0.2">
      <c r="C314" s="89"/>
      <c r="E314" s="111"/>
      <c r="F314" s="111"/>
      <c r="G314" s="111"/>
    </row>
    <row r="315" spans="3:7" x14ac:dyDescent="0.2">
      <c r="C315" s="89"/>
      <c r="E315" s="111"/>
      <c r="F315" s="111"/>
      <c r="G315" s="111"/>
    </row>
    <row r="316" spans="3:7" x14ac:dyDescent="0.2">
      <c r="C316" s="89"/>
      <c r="E316" s="111"/>
      <c r="F316" s="111"/>
      <c r="G316" s="111"/>
    </row>
    <row r="317" spans="3:7" x14ac:dyDescent="0.2">
      <c r="C317" s="89"/>
      <c r="E317" s="111"/>
      <c r="F317" s="111"/>
      <c r="G317" s="111"/>
    </row>
    <row r="318" spans="3:7" x14ac:dyDescent="0.2">
      <c r="C318" s="89"/>
      <c r="E318" s="111"/>
      <c r="F318" s="111"/>
      <c r="G318" s="111"/>
    </row>
    <row r="319" spans="3:7" x14ac:dyDescent="0.2">
      <c r="C319" s="89"/>
      <c r="E319" s="111"/>
      <c r="F319" s="111"/>
      <c r="G319" s="111"/>
    </row>
    <row r="320" spans="3:7" x14ac:dyDescent="0.2">
      <c r="C320" s="89"/>
      <c r="E320" s="111"/>
      <c r="F320" s="111"/>
      <c r="G320" s="111"/>
    </row>
    <row r="321" spans="3:7" x14ac:dyDescent="0.2">
      <c r="C321" s="89"/>
      <c r="E321" s="111"/>
      <c r="F321" s="111"/>
      <c r="G321" s="111"/>
    </row>
    <row r="322" spans="3:7" x14ac:dyDescent="0.2">
      <c r="C322" s="89"/>
      <c r="E322" s="111"/>
      <c r="F322" s="111"/>
      <c r="G322" s="111"/>
    </row>
    <row r="323" spans="3:7" x14ac:dyDescent="0.2">
      <c r="C323" s="89"/>
      <c r="E323" s="111"/>
      <c r="F323" s="111"/>
      <c r="G323" s="111"/>
    </row>
    <row r="324" spans="3:7" x14ac:dyDescent="0.2">
      <c r="C324" s="89"/>
      <c r="E324" s="111"/>
      <c r="F324" s="111"/>
      <c r="G324" s="111"/>
    </row>
    <row r="325" spans="3:7" x14ac:dyDescent="0.2">
      <c r="C325" s="89"/>
      <c r="E325" s="111"/>
      <c r="F325" s="111"/>
      <c r="G325" s="111"/>
    </row>
    <row r="326" spans="3:7" x14ac:dyDescent="0.2">
      <c r="C326" s="89"/>
      <c r="E326" s="111"/>
      <c r="F326" s="111"/>
      <c r="G326" s="111"/>
    </row>
    <row r="327" spans="3:7" x14ac:dyDescent="0.2">
      <c r="C327" s="89"/>
      <c r="E327" s="111"/>
      <c r="F327" s="111"/>
      <c r="G327" s="111"/>
    </row>
    <row r="328" spans="3:7" x14ac:dyDescent="0.2">
      <c r="C328" s="89"/>
      <c r="E328" s="111"/>
      <c r="F328" s="111"/>
      <c r="G328" s="111"/>
    </row>
    <row r="329" spans="3:7" x14ac:dyDescent="0.2">
      <c r="C329" s="89"/>
      <c r="E329" s="111"/>
      <c r="F329" s="111"/>
      <c r="G329" s="111"/>
    </row>
    <row r="330" spans="3:7" x14ac:dyDescent="0.2">
      <c r="C330" s="89"/>
      <c r="E330" s="111"/>
      <c r="F330" s="111"/>
      <c r="G330" s="111"/>
    </row>
    <row r="331" spans="3:7" x14ac:dyDescent="0.2">
      <c r="C331" s="89"/>
      <c r="E331" s="111"/>
      <c r="F331" s="111"/>
      <c r="G331" s="111"/>
    </row>
    <row r="332" spans="3:7" x14ac:dyDescent="0.2">
      <c r="C332" s="89"/>
      <c r="E332" s="111"/>
      <c r="F332" s="111"/>
      <c r="G332" s="111"/>
    </row>
    <row r="333" spans="3:7" x14ac:dyDescent="0.2">
      <c r="C333" s="89"/>
      <c r="E333" s="111"/>
      <c r="F333" s="111"/>
      <c r="G333" s="111"/>
    </row>
    <row r="334" spans="3:7" x14ac:dyDescent="0.2">
      <c r="C334" s="89"/>
      <c r="E334" s="111"/>
      <c r="F334" s="111"/>
      <c r="G334" s="111"/>
    </row>
    <row r="335" spans="3:7" x14ac:dyDescent="0.2">
      <c r="C335" s="89"/>
      <c r="E335" s="111"/>
      <c r="F335" s="111"/>
      <c r="G335" s="111"/>
    </row>
    <row r="336" spans="3:7" x14ac:dyDescent="0.2">
      <c r="C336" s="89"/>
      <c r="E336" s="111"/>
      <c r="F336" s="111"/>
      <c r="G336" s="111"/>
    </row>
    <row r="337" spans="3:7" x14ac:dyDescent="0.2">
      <c r="C337" s="89"/>
      <c r="E337" s="111"/>
      <c r="F337" s="111"/>
      <c r="G337" s="111"/>
    </row>
    <row r="338" spans="3:7" x14ac:dyDescent="0.2">
      <c r="C338" s="89"/>
      <c r="E338" s="111"/>
      <c r="F338" s="111"/>
      <c r="G338" s="111"/>
    </row>
    <row r="339" spans="3:7" x14ac:dyDescent="0.2">
      <c r="C339" s="89"/>
      <c r="E339" s="111"/>
      <c r="F339" s="111"/>
      <c r="G339" s="111"/>
    </row>
    <row r="340" spans="3:7" x14ac:dyDescent="0.2">
      <c r="C340" s="89"/>
      <c r="E340" s="111"/>
      <c r="F340" s="111"/>
      <c r="G340" s="111"/>
    </row>
    <row r="341" spans="3:7" x14ac:dyDescent="0.2">
      <c r="C341" s="89"/>
      <c r="E341" s="111"/>
      <c r="F341" s="111"/>
      <c r="G341" s="111"/>
    </row>
    <row r="342" spans="3:7" x14ac:dyDescent="0.2">
      <c r="C342" s="89"/>
      <c r="E342" s="111"/>
      <c r="F342" s="111"/>
      <c r="G342" s="111"/>
    </row>
    <row r="343" spans="3:7" x14ac:dyDescent="0.2">
      <c r="C343" s="89"/>
      <c r="E343" s="111"/>
      <c r="F343" s="111"/>
      <c r="G343" s="111"/>
    </row>
    <row r="344" spans="3:7" x14ac:dyDescent="0.2">
      <c r="C344" s="89"/>
      <c r="E344" s="111"/>
      <c r="F344" s="111"/>
      <c r="G344" s="111"/>
    </row>
    <row r="345" spans="3:7" x14ac:dyDescent="0.2">
      <c r="C345" s="89"/>
      <c r="E345" s="111"/>
      <c r="F345" s="111"/>
      <c r="G345" s="111"/>
    </row>
    <row r="346" spans="3:7" x14ac:dyDescent="0.2">
      <c r="C346" s="89"/>
      <c r="E346" s="111"/>
      <c r="F346" s="111"/>
      <c r="G346" s="111"/>
    </row>
    <row r="347" spans="3:7" x14ac:dyDescent="0.2">
      <c r="C347" s="89"/>
      <c r="E347" s="111"/>
      <c r="F347" s="111"/>
      <c r="G347" s="111"/>
    </row>
    <row r="348" spans="3:7" x14ac:dyDescent="0.2">
      <c r="C348" s="89"/>
      <c r="E348" s="111"/>
      <c r="F348" s="111"/>
      <c r="G348" s="111"/>
    </row>
    <row r="349" spans="3:7" x14ac:dyDescent="0.2">
      <c r="C349" s="89"/>
      <c r="E349" s="111"/>
      <c r="F349" s="111"/>
      <c r="G349" s="111"/>
    </row>
    <row r="350" spans="3:7" x14ac:dyDescent="0.2">
      <c r="C350" s="89"/>
      <c r="E350" s="111"/>
      <c r="F350" s="111"/>
      <c r="G350" s="111"/>
    </row>
    <row r="351" spans="3:7" x14ac:dyDescent="0.2">
      <c r="C351" s="89"/>
      <c r="E351" s="111"/>
      <c r="F351" s="111"/>
      <c r="G351" s="111"/>
    </row>
    <row r="352" spans="3:7" x14ac:dyDescent="0.2">
      <c r="C352" s="89"/>
      <c r="E352" s="111"/>
      <c r="F352" s="111"/>
      <c r="G352" s="111"/>
    </row>
    <row r="353" spans="3:7" x14ac:dyDescent="0.2">
      <c r="C353" s="89"/>
      <c r="E353" s="111"/>
      <c r="F353" s="111"/>
      <c r="G353" s="111"/>
    </row>
    <row r="354" spans="3:7" x14ac:dyDescent="0.2">
      <c r="C354" s="89"/>
      <c r="E354" s="111"/>
      <c r="F354" s="111"/>
      <c r="G354" s="111"/>
    </row>
    <row r="355" spans="3:7" x14ac:dyDescent="0.2">
      <c r="C355" s="89"/>
      <c r="E355" s="111"/>
      <c r="F355" s="111"/>
      <c r="G355" s="111"/>
    </row>
    <row r="356" spans="3:7" x14ac:dyDescent="0.2">
      <c r="C356" s="89"/>
      <c r="E356" s="111"/>
      <c r="F356" s="111"/>
      <c r="G356" s="111"/>
    </row>
    <row r="357" spans="3:7" x14ac:dyDescent="0.2">
      <c r="C357" s="89"/>
      <c r="E357" s="111"/>
      <c r="F357" s="111"/>
      <c r="G357" s="111"/>
    </row>
    <row r="358" spans="3:7" x14ac:dyDescent="0.2">
      <c r="C358" s="89"/>
      <c r="E358" s="111"/>
      <c r="F358" s="111"/>
      <c r="G358" s="111"/>
    </row>
    <row r="359" spans="3:7" x14ac:dyDescent="0.2">
      <c r="C359" s="89"/>
      <c r="E359" s="111"/>
      <c r="F359" s="111"/>
      <c r="G359" s="111"/>
    </row>
    <row r="360" spans="3:7" x14ac:dyDescent="0.2">
      <c r="C360" s="89"/>
      <c r="E360" s="111"/>
      <c r="F360" s="111"/>
      <c r="G360" s="111"/>
    </row>
    <row r="361" spans="3:7" x14ac:dyDescent="0.2">
      <c r="C361" s="89"/>
      <c r="E361" s="111"/>
      <c r="F361" s="111"/>
      <c r="G361" s="111"/>
    </row>
    <row r="362" spans="3:7" x14ac:dyDescent="0.2">
      <c r="C362" s="89"/>
      <c r="E362" s="111"/>
      <c r="F362" s="111"/>
      <c r="G362" s="111"/>
    </row>
    <row r="363" spans="3:7" x14ac:dyDescent="0.2">
      <c r="C363" s="89"/>
      <c r="E363" s="111"/>
      <c r="F363" s="111"/>
      <c r="G363" s="111"/>
    </row>
    <row r="364" spans="3:7" x14ac:dyDescent="0.2">
      <c r="C364" s="89"/>
      <c r="E364" s="111"/>
      <c r="F364" s="111"/>
      <c r="G364" s="111"/>
    </row>
    <row r="365" spans="3:7" x14ac:dyDescent="0.2">
      <c r="C365" s="89"/>
      <c r="E365" s="111"/>
      <c r="F365" s="111"/>
      <c r="G365" s="111"/>
    </row>
    <row r="366" spans="3:7" x14ac:dyDescent="0.2">
      <c r="C366" s="89"/>
      <c r="E366" s="111"/>
      <c r="F366" s="111"/>
      <c r="G366" s="111"/>
    </row>
    <row r="367" spans="3:7" x14ac:dyDescent="0.2">
      <c r="C367" s="89"/>
      <c r="E367" s="111"/>
      <c r="F367" s="111"/>
      <c r="G367" s="111"/>
    </row>
    <row r="368" spans="3:7" x14ac:dyDescent="0.2">
      <c r="C368" s="89"/>
      <c r="E368" s="111"/>
      <c r="F368" s="111"/>
      <c r="G368" s="111"/>
    </row>
    <row r="369" spans="3:7" x14ac:dyDescent="0.2">
      <c r="C369" s="89"/>
      <c r="E369" s="111"/>
      <c r="F369" s="111"/>
      <c r="G369" s="111"/>
    </row>
    <row r="370" spans="3:7" x14ac:dyDescent="0.2">
      <c r="C370" s="89"/>
      <c r="E370" s="111"/>
      <c r="F370" s="111"/>
      <c r="G370" s="111"/>
    </row>
    <row r="371" spans="3:7" x14ac:dyDescent="0.2">
      <c r="C371" s="89"/>
      <c r="E371" s="111"/>
      <c r="F371" s="111"/>
      <c r="G371" s="111"/>
    </row>
    <row r="372" spans="3:7" x14ac:dyDescent="0.2">
      <c r="C372" s="89"/>
      <c r="E372" s="111"/>
      <c r="F372" s="111"/>
      <c r="G372" s="111"/>
    </row>
    <row r="373" spans="3:7" x14ac:dyDescent="0.2">
      <c r="C373" s="89"/>
      <c r="E373" s="111"/>
      <c r="F373" s="111"/>
      <c r="G373" s="111"/>
    </row>
    <row r="374" spans="3:7" x14ac:dyDescent="0.2">
      <c r="C374" s="89"/>
      <c r="E374" s="111"/>
      <c r="F374" s="111"/>
      <c r="G374" s="111"/>
    </row>
    <row r="375" spans="3:7" x14ac:dyDescent="0.2">
      <c r="C375" s="89"/>
      <c r="E375" s="111"/>
      <c r="F375" s="111"/>
      <c r="G375" s="111"/>
    </row>
    <row r="376" spans="3:7" x14ac:dyDescent="0.2">
      <c r="C376" s="89"/>
      <c r="E376" s="111"/>
      <c r="F376" s="111"/>
      <c r="G376" s="111"/>
    </row>
    <row r="377" spans="3:7" x14ac:dyDescent="0.2">
      <c r="C377" s="89"/>
      <c r="E377" s="111"/>
      <c r="F377" s="111"/>
      <c r="G377" s="111"/>
    </row>
    <row r="378" spans="3:7" x14ac:dyDescent="0.2">
      <c r="C378" s="89"/>
      <c r="E378" s="111"/>
      <c r="F378" s="111"/>
      <c r="G378" s="111"/>
    </row>
    <row r="379" spans="3:7" x14ac:dyDescent="0.2">
      <c r="C379" s="89"/>
      <c r="E379" s="111"/>
      <c r="F379" s="111"/>
      <c r="G379" s="111"/>
    </row>
    <row r="380" spans="3:7" x14ac:dyDescent="0.2">
      <c r="C380" s="89"/>
      <c r="E380" s="111"/>
      <c r="F380" s="111"/>
      <c r="G380" s="111"/>
    </row>
    <row r="381" spans="3:7" x14ac:dyDescent="0.2">
      <c r="C381" s="89"/>
      <c r="E381" s="111"/>
      <c r="F381" s="111"/>
      <c r="G381" s="111"/>
    </row>
    <row r="382" spans="3:7" x14ac:dyDescent="0.2">
      <c r="C382" s="89"/>
      <c r="E382" s="111"/>
      <c r="F382" s="111"/>
      <c r="G382" s="111"/>
    </row>
    <row r="383" spans="3:7" x14ac:dyDescent="0.2">
      <c r="C383" s="89"/>
      <c r="E383" s="111"/>
      <c r="F383" s="111"/>
      <c r="G383" s="111"/>
    </row>
    <row r="384" spans="3:7" x14ac:dyDescent="0.2">
      <c r="C384" s="89"/>
      <c r="E384" s="111"/>
      <c r="F384" s="111"/>
      <c r="G384" s="111"/>
    </row>
    <row r="385" spans="3:7" x14ac:dyDescent="0.2">
      <c r="C385" s="89"/>
      <c r="E385" s="111"/>
      <c r="F385" s="111"/>
      <c r="G385" s="111"/>
    </row>
    <row r="386" spans="3:7" x14ac:dyDescent="0.2">
      <c r="C386" s="89"/>
      <c r="E386" s="111"/>
      <c r="F386" s="111"/>
      <c r="G386" s="111"/>
    </row>
    <row r="387" spans="3:7" x14ac:dyDescent="0.2">
      <c r="C387" s="89"/>
      <c r="E387" s="111"/>
      <c r="F387" s="111"/>
      <c r="G387" s="111"/>
    </row>
    <row r="388" spans="3:7" x14ac:dyDescent="0.2">
      <c r="C388" s="89"/>
      <c r="E388" s="111"/>
      <c r="F388" s="111"/>
      <c r="G388" s="111"/>
    </row>
    <row r="389" spans="3:7" x14ac:dyDescent="0.2">
      <c r="C389" s="89"/>
      <c r="E389" s="111"/>
      <c r="F389" s="111"/>
      <c r="G389" s="111"/>
    </row>
    <row r="390" spans="3:7" x14ac:dyDescent="0.2">
      <c r="C390" s="89"/>
      <c r="E390" s="111"/>
      <c r="F390" s="111"/>
      <c r="G390" s="111"/>
    </row>
    <row r="391" spans="3:7" x14ac:dyDescent="0.2">
      <c r="C391" s="89"/>
      <c r="E391" s="111"/>
      <c r="F391" s="111"/>
      <c r="G391" s="111"/>
    </row>
    <row r="392" spans="3:7" x14ac:dyDescent="0.2">
      <c r="C392" s="89"/>
      <c r="E392" s="111"/>
      <c r="F392" s="111"/>
      <c r="G392" s="111"/>
    </row>
    <row r="393" spans="3:7" x14ac:dyDescent="0.2">
      <c r="C393" s="89"/>
      <c r="E393" s="111"/>
      <c r="F393" s="111"/>
      <c r="G393" s="111"/>
    </row>
    <row r="394" spans="3:7" x14ac:dyDescent="0.2">
      <c r="C394" s="89"/>
      <c r="E394" s="111"/>
      <c r="F394" s="111"/>
      <c r="G394" s="111"/>
    </row>
    <row r="395" spans="3:7" x14ac:dyDescent="0.2">
      <c r="C395" s="89"/>
      <c r="E395" s="111"/>
      <c r="F395" s="111"/>
      <c r="G395" s="111"/>
    </row>
    <row r="396" spans="3:7" x14ac:dyDescent="0.2">
      <c r="C396" s="89"/>
      <c r="E396" s="111"/>
      <c r="F396" s="111"/>
      <c r="G396" s="111"/>
    </row>
    <row r="397" spans="3:7" x14ac:dyDescent="0.2">
      <c r="C397" s="89"/>
      <c r="E397" s="111"/>
      <c r="F397" s="111"/>
      <c r="G397" s="111"/>
    </row>
    <row r="398" spans="3:7" x14ac:dyDescent="0.2">
      <c r="C398" s="89"/>
      <c r="E398" s="111"/>
      <c r="F398" s="111"/>
      <c r="G398" s="111"/>
    </row>
    <row r="399" spans="3:7" x14ac:dyDescent="0.2">
      <c r="C399" s="89"/>
      <c r="E399" s="111"/>
      <c r="F399" s="111"/>
      <c r="G399" s="111"/>
    </row>
    <row r="400" spans="3:7" x14ac:dyDescent="0.2">
      <c r="C400" s="89"/>
      <c r="E400" s="111"/>
      <c r="F400" s="111"/>
      <c r="G400" s="111"/>
    </row>
    <row r="401" spans="3:7" x14ac:dyDescent="0.2">
      <c r="C401" s="89"/>
      <c r="E401" s="111"/>
      <c r="F401" s="111"/>
      <c r="G401" s="111"/>
    </row>
    <row r="402" spans="3:7" x14ac:dyDescent="0.2">
      <c r="C402" s="89"/>
      <c r="E402" s="111"/>
      <c r="F402" s="111"/>
      <c r="G402" s="111"/>
    </row>
    <row r="403" spans="3:7" x14ac:dyDescent="0.2">
      <c r="C403" s="89"/>
      <c r="E403" s="111"/>
      <c r="F403" s="111"/>
      <c r="G403" s="111"/>
    </row>
    <row r="404" spans="3:7" x14ac:dyDescent="0.2">
      <c r="C404" s="89"/>
      <c r="E404" s="111"/>
      <c r="F404" s="111"/>
      <c r="G404" s="111"/>
    </row>
    <row r="405" spans="3:7" x14ac:dyDescent="0.2">
      <c r="C405" s="89"/>
      <c r="E405" s="111"/>
      <c r="F405" s="111"/>
      <c r="G405" s="111"/>
    </row>
    <row r="406" spans="3:7" x14ac:dyDescent="0.2">
      <c r="C406" s="89"/>
      <c r="E406" s="111"/>
      <c r="F406" s="111"/>
      <c r="G406" s="111"/>
    </row>
    <row r="407" spans="3:7" x14ac:dyDescent="0.2">
      <c r="C407" s="89"/>
      <c r="E407" s="111"/>
      <c r="F407" s="111"/>
      <c r="G407" s="111"/>
    </row>
    <row r="408" spans="3:7" x14ac:dyDescent="0.2">
      <c r="C408" s="89"/>
      <c r="E408" s="111"/>
      <c r="F408" s="111"/>
      <c r="G408" s="111"/>
    </row>
    <row r="409" spans="3:7" x14ac:dyDescent="0.2">
      <c r="C409" s="89"/>
      <c r="E409" s="111"/>
      <c r="F409" s="111"/>
      <c r="G409" s="111"/>
    </row>
    <row r="410" spans="3:7" x14ac:dyDescent="0.2">
      <c r="C410" s="89"/>
      <c r="E410" s="111"/>
      <c r="F410" s="111"/>
      <c r="G410" s="111"/>
    </row>
    <row r="411" spans="3:7" x14ac:dyDescent="0.2">
      <c r="C411" s="89"/>
      <c r="E411" s="111"/>
      <c r="F411" s="111"/>
      <c r="G411" s="111"/>
    </row>
    <row r="412" spans="3:7" x14ac:dyDescent="0.2">
      <c r="C412" s="89"/>
      <c r="E412" s="111"/>
      <c r="F412" s="111"/>
      <c r="G412" s="111"/>
    </row>
    <row r="413" spans="3:7" x14ac:dyDescent="0.2">
      <c r="C413" s="89"/>
      <c r="E413" s="111"/>
      <c r="F413" s="111"/>
      <c r="G413" s="111"/>
    </row>
    <row r="414" spans="3:7" x14ac:dyDescent="0.2">
      <c r="C414" s="89"/>
      <c r="E414" s="111"/>
      <c r="F414" s="111"/>
      <c r="G414" s="111"/>
    </row>
    <row r="415" spans="3:7" x14ac:dyDescent="0.2">
      <c r="C415" s="89"/>
      <c r="E415" s="111"/>
      <c r="F415" s="111"/>
      <c r="G415" s="111"/>
    </row>
    <row r="416" spans="3:7" x14ac:dyDescent="0.2">
      <c r="C416" s="89"/>
      <c r="E416" s="111"/>
      <c r="F416" s="111"/>
      <c r="G416" s="111"/>
    </row>
    <row r="417" spans="3:7" x14ac:dyDescent="0.2">
      <c r="C417" s="89"/>
      <c r="E417" s="111"/>
      <c r="F417" s="111"/>
      <c r="G417" s="111"/>
    </row>
    <row r="418" spans="3:7" x14ac:dyDescent="0.2">
      <c r="C418" s="89"/>
      <c r="E418" s="111"/>
      <c r="F418" s="111"/>
      <c r="G418" s="111"/>
    </row>
    <row r="419" spans="3:7" x14ac:dyDescent="0.2">
      <c r="C419" s="89"/>
      <c r="E419" s="111"/>
      <c r="F419" s="111"/>
      <c r="G419" s="111"/>
    </row>
    <row r="420" spans="3:7" x14ac:dyDescent="0.2">
      <c r="C420" s="89"/>
      <c r="E420" s="111"/>
      <c r="F420" s="111"/>
      <c r="G420" s="111"/>
    </row>
    <row r="421" spans="3:7" x14ac:dyDescent="0.2">
      <c r="C421" s="89"/>
      <c r="E421" s="111"/>
      <c r="F421" s="111"/>
      <c r="G421" s="111"/>
    </row>
    <row r="422" spans="3:7" x14ac:dyDescent="0.2">
      <c r="C422" s="89"/>
      <c r="E422" s="111"/>
      <c r="F422" s="111"/>
      <c r="G422" s="111"/>
    </row>
    <row r="423" spans="3:7" x14ac:dyDescent="0.2">
      <c r="C423" s="89"/>
      <c r="E423" s="111"/>
      <c r="F423" s="111"/>
      <c r="G423" s="111"/>
    </row>
    <row r="424" spans="3:7" x14ac:dyDescent="0.2">
      <c r="C424" s="89"/>
      <c r="E424" s="111"/>
      <c r="F424" s="111"/>
      <c r="G424" s="111"/>
    </row>
    <row r="425" spans="3:7" x14ac:dyDescent="0.2">
      <c r="C425" s="89"/>
      <c r="E425" s="111"/>
      <c r="F425" s="111"/>
      <c r="G425" s="111"/>
    </row>
    <row r="426" spans="3:7" x14ac:dyDescent="0.2">
      <c r="C426" s="89"/>
      <c r="E426" s="111"/>
      <c r="F426" s="111"/>
      <c r="G426" s="111"/>
    </row>
    <row r="427" spans="3:7" x14ac:dyDescent="0.2">
      <c r="C427" s="89"/>
      <c r="E427" s="111"/>
      <c r="F427" s="111"/>
      <c r="G427" s="111"/>
    </row>
    <row r="428" spans="3:7" x14ac:dyDescent="0.2">
      <c r="C428" s="89"/>
      <c r="E428" s="111"/>
      <c r="F428" s="111"/>
      <c r="G428" s="111"/>
    </row>
    <row r="429" spans="3:7" x14ac:dyDescent="0.2">
      <c r="C429" s="89"/>
      <c r="E429" s="111"/>
      <c r="F429" s="111"/>
      <c r="G429" s="111"/>
    </row>
    <row r="430" spans="3:7" x14ac:dyDescent="0.2">
      <c r="C430" s="89"/>
      <c r="E430" s="111"/>
      <c r="F430" s="111"/>
      <c r="G430" s="111"/>
    </row>
    <row r="431" spans="3:7" x14ac:dyDescent="0.2">
      <c r="C431" s="89"/>
      <c r="E431" s="111"/>
      <c r="F431" s="111"/>
      <c r="G431" s="111"/>
    </row>
    <row r="432" spans="3:7" x14ac:dyDescent="0.2">
      <c r="C432" s="89"/>
      <c r="E432" s="111"/>
      <c r="F432" s="111"/>
      <c r="G432" s="111"/>
    </row>
    <row r="433" spans="3:7" x14ac:dyDescent="0.2">
      <c r="C433" s="89"/>
      <c r="E433" s="111"/>
      <c r="F433" s="111"/>
      <c r="G433" s="111"/>
    </row>
    <row r="434" spans="3:7" x14ac:dyDescent="0.2">
      <c r="C434" s="89"/>
      <c r="E434" s="111"/>
      <c r="F434" s="111"/>
      <c r="G434" s="111"/>
    </row>
    <row r="435" spans="3:7" x14ac:dyDescent="0.2">
      <c r="C435" s="89"/>
      <c r="E435" s="111"/>
      <c r="F435" s="111"/>
      <c r="G435" s="111"/>
    </row>
    <row r="436" spans="3:7" x14ac:dyDescent="0.2">
      <c r="C436" s="89"/>
      <c r="E436" s="111"/>
      <c r="F436" s="111"/>
      <c r="G436" s="111"/>
    </row>
    <row r="437" spans="3:7" x14ac:dyDescent="0.2">
      <c r="C437" s="89"/>
      <c r="E437" s="111"/>
      <c r="F437" s="111"/>
      <c r="G437" s="111"/>
    </row>
    <row r="438" spans="3:7" x14ac:dyDescent="0.2">
      <c r="C438" s="89"/>
      <c r="E438" s="111"/>
      <c r="F438" s="111"/>
      <c r="G438" s="111"/>
    </row>
    <row r="439" spans="3:7" x14ac:dyDescent="0.2">
      <c r="C439" s="89"/>
      <c r="E439" s="111"/>
      <c r="F439" s="111"/>
      <c r="G439" s="111"/>
    </row>
    <row r="440" spans="3:7" x14ac:dyDescent="0.2">
      <c r="C440" s="89"/>
      <c r="E440" s="111"/>
      <c r="F440" s="111"/>
      <c r="G440" s="111"/>
    </row>
    <row r="441" spans="3:7" x14ac:dyDescent="0.2">
      <c r="C441" s="89"/>
      <c r="E441" s="111"/>
      <c r="F441" s="111"/>
      <c r="G441" s="111"/>
    </row>
    <row r="442" spans="3:7" x14ac:dyDescent="0.2">
      <c r="C442" s="89"/>
      <c r="E442" s="111"/>
      <c r="F442" s="111"/>
      <c r="G442" s="111"/>
    </row>
    <row r="443" spans="3:7" x14ac:dyDescent="0.2">
      <c r="C443" s="89"/>
      <c r="E443" s="111"/>
      <c r="F443" s="111"/>
      <c r="G443" s="111"/>
    </row>
    <row r="444" spans="3:7" x14ac:dyDescent="0.2">
      <c r="C444" s="89"/>
      <c r="E444" s="111"/>
      <c r="F444" s="111"/>
      <c r="G444" s="111"/>
    </row>
    <row r="445" spans="3:7" x14ac:dyDescent="0.2">
      <c r="C445" s="89"/>
      <c r="E445" s="111"/>
      <c r="F445" s="111"/>
      <c r="G445" s="111"/>
    </row>
    <row r="446" spans="3:7" x14ac:dyDescent="0.2">
      <c r="C446" s="89"/>
      <c r="E446" s="111"/>
      <c r="F446" s="111"/>
      <c r="G446" s="111"/>
    </row>
    <row r="447" spans="3:7" x14ac:dyDescent="0.2">
      <c r="C447" s="89"/>
      <c r="E447" s="111"/>
      <c r="F447" s="111"/>
      <c r="G447" s="111"/>
    </row>
    <row r="448" spans="3:7" x14ac:dyDescent="0.2">
      <c r="C448" s="89"/>
      <c r="E448" s="111"/>
      <c r="F448" s="111"/>
      <c r="G448" s="111"/>
    </row>
    <row r="449" spans="3:7" x14ac:dyDescent="0.2">
      <c r="C449" s="89"/>
      <c r="E449" s="111"/>
      <c r="F449" s="111"/>
      <c r="G449" s="111"/>
    </row>
    <row r="450" spans="3:7" x14ac:dyDescent="0.2">
      <c r="C450" s="89"/>
      <c r="E450" s="111"/>
      <c r="F450" s="111"/>
      <c r="G450" s="111"/>
    </row>
    <row r="451" spans="3:7" x14ac:dyDescent="0.2">
      <c r="C451" s="89"/>
      <c r="E451" s="111"/>
      <c r="F451" s="111"/>
      <c r="G451" s="111"/>
    </row>
    <row r="452" spans="3:7" x14ac:dyDescent="0.2">
      <c r="C452" s="89"/>
      <c r="E452" s="111"/>
      <c r="F452" s="111"/>
      <c r="G452" s="111"/>
    </row>
    <row r="453" spans="3:7" x14ac:dyDescent="0.2">
      <c r="C453" s="89"/>
      <c r="E453" s="111"/>
      <c r="F453" s="111"/>
      <c r="G453" s="111"/>
    </row>
    <row r="454" spans="3:7" x14ac:dyDescent="0.2">
      <c r="C454" s="89"/>
      <c r="E454" s="111"/>
      <c r="F454" s="111"/>
      <c r="G454" s="111"/>
    </row>
    <row r="455" spans="3:7" x14ac:dyDescent="0.2">
      <c r="C455" s="89"/>
      <c r="E455" s="111"/>
      <c r="F455" s="111"/>
      <c r="G455" s="111"/>
    </row>
    <row r="456" spans="3:7" x14ac:dyDescent="0.2">
      <c r="C456" s="89"/>
      <c r="E456" s="111"/>
      <c r="F456" s="111"/>
      <c r="G456" s="111"/>
    </row>
    <row r="457" spans="3:7" x14ac:dyDescent="0.2">
      <c r="C457" s="89"/>
      <c r="E457" s="111"/>
      <c r="F457" s="111"/>
      <c r="G457" s="111"/>
    </row>
    <row r="458" spans="3:7" x14ac:dyDescent="0.2">
      <c r="C458" s="89"/>
      <c r="E458" s="111"/>
      <c r="F458" s="111"/>
      <c r="G458" s="111"/>
    </row>
    <row r="459" spans="3:7" x14ac:dyDescent="0.2">
      <c r="C459" s="89"/>
      <c r="E459" s="111"/>
      <c r="F459" s="111"/>
      <c r="G459" s="111"/>
    </row>
    <row r="460" spans="3:7" x14ac:dyDescent="0.2">
      <c r="C460" s="89"/>
      <c r="E460" s="111"/>
      <c r="F460" s="111"/>
      <c r="G460" s="111"/>
    </row>
    <row r="461" spans="3:7" x14ac:dyDescent="0.2">
      <c r="C461" s="89"/>
      <c r="E461" s="111"/>
      <c r="F461" s="111"/>
      <c r="G461" s="111"/>
    </row>
    <row r="462" spans="3:7" x14ac:dyDescent="0.2">
      <c r="C462" s="89"/>
      <c r="E462" s="111"/>
      <c r="F462" s="111"/>
      <c r="G462" s="111"/>
    </row>
    <row r="463" spans="3:7" x14ac:dyDescent="0.2">
      <c r="C463" s="89"/>
      <c r="E463" s="111"/>
      <c r="F463" s="111"/>
      <c r="G463" s="111"/>
    </row>
    <row r="464" spans="3:7" x14ac:dyDescent="0.2">
      <c r="C464" s="89"/>
      <c r="E464" s="111"/>
      <c r="F464" s="111"/>
      <c r="G464" s="111"/>
    </row>
    <row r="465" spans="3:7" x14ac:dyDescent="0.2">
      <c r="C465" s="89"/>
      <c r="E465" s="111"/>
      <c r="F465" s="111"/>
      <c r="G465" s="111"/>
    </row>
    <row r="466" spans="3:7" x14ac:dyDescent="0.2">
      <c r="C466" s="89"/>
      <c r="E466" s="111"/>
      <c r="F466" s="111"/>
      <c r="G466" s="111"/>
    </row>
    <row r="467" spans="3:7" x14ac:dyDescent="0.2">
      <c r="C467" s="89"/>
      <c r="E467" s="111"/>
      <c r="F467" s="111"/>
      <c r="G467" s="111"/>
    </row>
    <row r="468" spans="3:7" x14ac:dyDescent="0.2">
      <c r="C468" s="89"/>
      <c r="E468" s="111"/>
      <c r="F468" s="111"/>
      <c r="G468" s="111"/>
    </row>
    <row r="469" spans="3:7" x14ac:dyDescent="0.2">
      <c r="C469" s="89"/>
      <c r="E469" s="111"/>
      <c r="F469" s="111"/>
      <c r="G469" s="111"/>
    </row>
    <row r="470" spans="3:7" x14ac:dyDescent="0.2">
      <c r="C470" s="89"/>
      <c r="E470" s="111"/>
      <c r="F470" s="111"/>
      <c r="G470" s="111"/>
    </row>
    <row r="471" spans="3:7" x14ac:dyDescent="0.2">
      <c r="C471" s="89"/>
      <c r="E471" s="111"/>
      <c r="F471" s="111"/>
      <c r="G471" s="111"/>
    </row>
    <row r="472" spans="3:7" x14ac:dyDescent="0.2">
      <c r="C472" s="89"/>
      <c r="E472" s="111"/>
      <c r="F472" s="111"/>
      <c r="G472" s="111"/>
    </row>
    <row r="473" spans="3:7" x14ac:dyDescent="0.2">
      <c r="C473" s="89"/>
      <c r="E473" s="111"/>
      <c r="F473" s="111"/>
      <c r="G473" s="111"/>
    </row>
    <row r="474" spans="3:7" x14ac:dyDescent="0.2">
      <c r="C474" s="89"/>
      <c r="E474" s="111"/>
      <c r="F474" s="111"/>
      <c r="G474" s="111"/>
    </row>
    <row r="475" spans="3:7" x14ac:dyDescent="0.2">
      <c r="C475" s="89"/>
      <c r="E475" s="111"/>
      <c r="F475" s="111"/>
      <c r="G475" s="111"/>
    </row>
    <row r="476" spans="3:7" x14ac:dyDescent="0.2">
      <c r="C476" s="89"/>
      <c r="E476" s="111"/>
      <c r="F476" s="111"/>
      <c r="G476" s="111"/>
    </row>
    <row r="477" spans="3:7" x14ac:dyDescent="0.2">
      <c r="C477" s="89"/>
      <c r="E477" s="111"/>
      <c r="F477" s="111"/>
      <c r="G477" s="111"/>
    </row>
    <row r="478" spans="3:7" x14ac:dyDescent="0.2">
      <c r="C478" s="89"/>
      <c r="E478" s="111"/>
      <c r="F478" s="111"/>
      <c r="G478" s="111"/>
    </row>
    <row r="479" spans="3:7" x14ac:dyDescent="0.2">
      <c r="C479" s="89"/>
      <c r="E479" s="111"/>
      <c r="F479" s="111"/>
      <c r="G479" s="111"/>
    </row>
    <row r="480" spans="3:7" x14ac:dyDescent="0.2">
      <c r="C480" s="89"/>
      <c r="E480" s="111"/>
      <c r="F480" s="111"/>
      <c r="G480" s="111"/>
    </row>
    <row r="481" spans="3:7" x14ac:dyDescent="0.2">
      <c r="C481" s="89"/>
      <c r="E481" s="111"/>
      <c r="F481" s="111"/>
      <c r="G481" s="111"/>
    </row>
    <row r="482" spans="3:7" x14ac:dyDescent="0.2">
      <c r="C482" s="89"/>
      <c r="E482" s="111"/>
      <c r="F482" s="111"/>
      <c r="G482" s="111"/>
    </row>
    <row r="483" spans="3:7" x14ac:dyDescent="0.2">
      <c r="C483" s="89"/>
      <c r="E483" s="111"/>
      <c r="F483" s="111"/>
      <c r="G483" s="111"/>
    </row>
    <row r="484" spans="3:7" x14ac:dyDescent="0.2">
      <c r="C484" s="89"/>
      <c r="E484" s="111"/>
      <c r="F484" s="111"/>
      <c r="G484" s="111"/>
    </row>
    <row r="485" spans="3:7" x14ac:dyDescent="0.2">
      <c r="C485" s="89"/>
      <c r="E485" s="111"/>
      <c r="F485" s="111"/>
      <c r="G485" s="111"/>
    </row>
    <row r="486" spans="3:7" x14ac:dyDescent="0.2">
      <c r="C486" s="89"/>
      <c r="E486" s="111"/>
      <c r="F486" s="111"/>
      <c r="G486" s="111"/>
    </row>
    <row r="487" spans="3:7" x14ac:dyDescent="0.2">
      <c r="C487" s="89"/>
      <c r="E487" s="111"/>
      <c r="F487" s="111"/>
      <c r="G487" s="111"/>
    </row>
    <row r="488" spans="3:7" x14ac:dyDescent="0.2">
      <c r="C488" s="89"/>
      <c r="E488" s="111"/>
      <c r="F488" s="111"/>
      <c r="G488" s="111"/>
    </row>
    <row r="489" spans="3:7" x14ac:dyDescent="0.2">
      <c r="C489" s="89"/>
      <c r="E489" s="111"/>
      <c r="F489" s="111"/>
      <c r="G489" s="111"/>
    </row>
    <row r="490" spans="3:7" x14ac:dyDescent="0.2">
      <c r="C490" s="89"/>
      <c r="E490" s="111"/>
      <c r="F490" s="111"/>
      <c r="G490" s="111"/>
    </row>
    <row r="491" spans="3:7" x14ac:dyDescent="0.2">
      <c r="C491" s="89"/>
      <c r="E491" s="111"/>
      <c r="F491" s="111"/>
      <c r="G491" s="111"/>
    </row>
    <row r="492" spans="3:7" x14ac:dyDescent="0.2">
      <c r="C492" s="89"/>
      <c r="E492" s="111"/>
      <c r="F492" s="111"/>
      <c r="G492" s="111"/>
    </row>
    <row r="493" spans="3:7" x14ac:dyDescent="0.2">
      <c r="C493" s="89"/>
      <c r="E493" s="111"/>
      <c r="F493" s="111"/>
      <c r="G493" s="111"/>
    </row>
    <row r="494" spans="3:7" x14ac:dyDescent="0.2">
      <c r="C494" s="89"/>
      <c r="E494" s="111"/>
      <c r="F494" s="111"/>
      <c r="G494" s="111"/>
    </row>
    <row r="495" spans="3:7" x14ac:dyDescent="0.2">
      <c r="C495" s="89"/>
      <c r="E495" s="111"/>
      <c r="F495" s="111"/>
      <c r="G495" s="111"/>
    </row>
    <row r="496" spans="3:7" x14ac:dyDescent="0.2">
      <c r="C496" s="89"/>
      <c r="E496" s="111"/>
      <c r="F496" s="111"/>
      <c r="G496" s="111"/>
    </row>
    <row r="497" spans="3:7" x14ac:dyDescent="0.2">
      <c r="C497" s="89"/>
      <c r="E497" s="111"/>
      <c r="F497" s="111"/>
      <c r="G497" s="111"/>
    </row>
    <row r="498" spans="3:7" x14ac:dyDescent="0.2">
      <c r="C498" s="89"/>
      <c r="E498" s="111"/>
      <c r="F498" s="111"/>
      <c r="G498" s="111"/>
    </row>
    <row r="499" spans="3:7" x14ac:dyDescent="0.2">
      <c r="C499" s="89"/>
      <c r="E499" s="111"/>
      <c r="F499" s="111"/>
      <c r="G499" s="111"/>
    </row>
    <row r="500" spans="3:7" x14ac:dyDescent="0.2">
      <c r="C500" s="89"/>
      <c r="E500" s="111"/>
      <c r="F500" s="111"/>
      <c r="G500" s="111"/>
    </row>
    <row r="501" spans="3:7" x14ac:dyDescent="0.2">
      <c r="C501" s="89"/>
      <c r="E501" s="111"/>
      <c r="F501" s="111"/>
      <c r="G501" s="111"/>
    </row>
    <row r="502" spans="3:7" x14ac:dyDescent="0.2">
      <c r="C502" s="89"/>
      <c r="E502" s="111"/>
      <c r="F502" s="111"/>
      <c r="G502" s="111"/>
    </row>
    <row r="503" spans="3:7" x14ac:dyDescent="0.2">
      <c r="C503" s="89"/>
      <c r="E503" s="111"/>
      <c r="F503" s="111"/>
      <c r="G503" s="111"/>
    </row>
    <row r="504" spans="3:7" x14ac:dyDescent="0.2">
      <c r="C504" s="89"/>
      <c r="E504" s="111"/>
      <c r="F504" s="111"/>
      <c r="G504" s="111"/>
    </row>
    <row r="505" spans="3:7" x14ac:dyDescent="0.2">
      <c r="C505" s="89"/>
      <c r="E505" s="111"/>
      <c r="F505" s="111"/>
      <c r="G505" s="111"/>
    </row>
    <row r="506" spans="3:7" x14ac:dyDescent="0.2">
      <c r="C506" s="89"/>
      <c r="E506" s="111"/>
      <c r="F506" s="111"/>
      <c r="G506" s="111"/>
    </row>
    <row r="507" spans="3:7" x14ac:dyDescent="0.2">
      <c r="C507" s="89"/>
      <c r="E507" s="111"/>
      <c r="F507" s="111"/>
      <c r="G507" s="111"/>
    </row>
    <row r="508" spans="3:7" x14ac:dyDescent="0.2">
      <c r="C508" s="89"/>
      <c r="E508" s="111"/>
      <c r="F508" s="111"/>
      <c r="G508" s="111"/>
    </row>
    <row r="509" spans="3:7" x14ac:dyDescent="0.2">
      <c r="C509" s="89"/>
      <c r="E509" s="111"/>
      <c r="F509" s="111"/>
      <c r="G509" s="111"/>
    </row>
    <row r="510" spans="3:7" x14ac:dyDescent="0.2">
      <c r="C510" s="89"/>
      <c r="E510" s="111"/>
      <c r="F510" s="111"/>
      <c r="G510" s="111"/>
    </row>
    <row r="511" spans="3:7" x14ac:dyDescent="0.2">
      <c r="C511" s="89"/>
      <c r="E511" s="111"/>
      <c r="F511" s="111"/>
      <c r="G511" s="111"/>
    </row>
    <row r="512" spans="3:7" x14ac:dyDescent="0.2">
      <c r="C512" s="89"/>
      <c r="E512" s="111"/>
      <c r="F512" s="111"/>
      <c r="G512" s="111"/>
    </row>
    <row r="513" spans="3:7" x14ac:dyDescent="0.2">
      <c r="C513" s="89"/>
      <c r="E513" s="111"/>
      <c r="F513" s="111"/>
      <c r="G513" s="111"/>
    </row>
    <row r="514" spans="3:7" x14ac:dyDescent="0.2">
      <c r="C514" s="89"/>
      <c r="E514" s="111"/>
      <c r="F514" s="111"/>
      <c r="G514" s="111"/>
    </row>
    <row r="515" spans="3:7" x14ac:dyDescent="0.2">
      <c r="C515" s="89"/>
      <c r="E515" s="111"/>
      <c r="F515" s="111"/>
      <c r="G515" s="111"/>
    </row>
    <row r="516" spans="3:7" x14ac:dyDescent="0.2">
      <c r="C516" s="89"/>
      <c r="E516" s="111"/>
      <c r="F516" s="111"/>
      <c r="G516" s="111"/>
    </row>
    <row r="517" spans="3:7" x14ac:dyDescent="0.2">
      <c r="C517" s="89"/>
      <c r="E517" s="111"/>
      <c r="F517" s="111"/>
      <c r="G517" s="111"/>
    </row>
    <row r="518" spans="3:7" x14ac:dyDescent="0.2">
      <c r="C518" s="89"/>
      <c r="E518" s="111"/>
      <c r="F518" s="111"/>
      <c r="G518" s="111"/>
    </row>
    <row r="519" spans="3:7" x14ac:dyDescent="0.2">
      <c r="C519" s="89"/>
      <c r="E519" s="111"/>
      <c r="F519" s="111"/>
      <c r="G519" s="111"/>
    </row>
    <row r="520" spans="3:7" x14ac:dyDescent="0.2">
      <c r="C520" s="89"/>
      <c r="E520" s="111"/>
      <c r="F520" s="111"/>
      <c r="G520" s="111"/>
    </row>
    <row r="521" spans="3:7" x14ac:dyDescent="0.2">
      <c r="C521" s="89"/>
      <c r="E521" s="111"/>
      <c r="F521" s="111"/>
      <c r="G521" s="111"/>
    </row>
    <row r="522" spans="3:7" x14ac:dyDescent="0.2">
      <c r="C522" s="89"/>
      <c r="E522" s="111"/>
      <c r="F522" s="111"/>
      <c r="G522" s="111"/>
    </row>
    <row r="523" spans="3:7" x14ac:dyDescent="0.2">
      <c r="C523" s="89"/>
      <c r="E523" s="111"/>
      <c r="F523" s="111"/>
      <c r="G523" s="111"/>
    </row>
    <row r="524" spans="3:7" x14ac:dyDescent="0.2">
      <c r="C524" s="89"/>
      <c r="E524" s="111"/>
      <c r="F524" s="111"/>
      <c r="G524" s="111"/>
    </row>
    <row r="525" spans="3:7" x14ac:dyDescent="0.2">
      <c r="C525" s="89"/>
      <c r="E525" s="111"/>
      <c r="F525" s="111"/>
      <c r="G525" s="111"/>
    </row>
    <row r="526" spans="3:7" x14ac:dyDescent="0.2">
      <c r="C526" s="89"/>
      <c r="E526" s="111"/>
      <c r="F526" s="111"/>
      <c r="G526" s="111"/>
    </row>
    <row r="527" spans="3:7" x14ac:dyDescent="0.2">
      <c r="C527" s="89"/>
      <c r="E527" s="111"/>
      <c r="F527" s="111"/>
      <c r="G527" s="111"/>
    </row>
    <row r="528" spans="3:7" x14ac:dyDescent="0.2">
      <c r="C528" s="89"/>
      <c r="E528" s="111"/>
      <c r="F528" s="111"/>
      <c r="G528" s="111"/>
    </row>
    <row r="529" spans="3:7" x14ac:dyDescent="0.2">
      <c r="C529" s="89"/>
      <c r="E529" s="111"/>
      <c r="F529" s="111"/>
      <c r="G529" s="111"/>
    </row>
    <row r="530" spans="3:7" x14ac:dyDescent="0.2">
      <c r="C530" s="89"/>
      <c r="E530" s="111"/>
      <c r="F530" s="111"/>
      <c r="G530" s="111"/>
    </row>
    <row r="531" spans="3:7" x14ac:dyDescent="0.2">
      <c r="C531" s="89"/>
      <c r="E531" s="111"/>
      <c r="F531" s="111"/>
      <c r="G531" s="111"/>
    </row>
    <row r="532" spans="3:7" x14ac:dyDescent="0.2">
      <c r="C532" s="89"/>
      <c r="E532" s="111"/>
      <c r="F532" s="111"/>
      <c r="G532" s="111"/>
    </row>
    <row r="533" spans="3:7" x14ac:dyDescent="0.2">
      <c r="C533" s="89"/>
      <c r="E533" s="111"/>
      <c r="F533" s="111"/>
      <c r="G533" s="111"/>
    </row>
    <row r="534" spans="3:7" x14ac:dyDescent="0.2">
      <c r="C534" s="89"/>
      <c r="E534" s="111"/>
      <c r="F534" s="111"/>
      <c r="G534" s="111"/>
    </row>
    <row r="535" spans="3:7" x14ac:dyDescent="0.2">
      <c r="C535" s="89"/>
      <c r="E535" s="111"/>
      <c r="F535" s="111"/>
      <c r="G535" s="111"/>
    </row>
    <row r="536" spans="3:7" x14ac:dyDescent="0.2">
      <c r="C536" s="89"/>
      <c r="E536" s="111"/>
      <c r="F536" s="111"/>
      <c r="G536" s="111"/>
    </row>
    <row r="537" spans="3:7" x14ac:dyDescent="0.2">
      <c r="C537" s="89"/>
      <c r="E537" s="111"/>
      <c r="F537" s="111"/>
      <c r="G537" s="111"/>
    </row>
    <row r="538" spans="3:7" x14ac:dyDescent="0.2">
      <c r="C538" s="89"/>
      <c r="E538" s="111"/>
      <c r="F538" s="111"/>
      <c r="G538" s="111"/>
    </row>
    <row r="539" spans="3:7" x14ac:dyDescent="0.2">
      <c r="C539" s="89"/>
      <c r="E539" s="111"/>
      <c r="F539" s="111"/>
      <c r="G539" s="111"/>
    </row>
    <row r="540" spans="3:7" x14ac:dyDescent="0.2">
      <c r="C540" s="89"/>
      <c r="E540" s="111"/>
      <c r="F540" s="111"/>
      <c r="G540" s="111"/>
    </row>
    <row r="541" spans="3:7" x14ac:dyDescent="0.2">
      <c r="C541" s="89"/>
      <c r="E541" s="111"/>
      <c r="F541" s="111"/>
      <c r="G541" s="111"/>
    </row>
    <row r="542" spans="3:7" x14ac:dyDescent="0.2">
      <c r="C542" s="89"/>
      <c r="E542" s="111"/>
      <c r="F542" s="111"/>
      <c r="G542" s="111"/>
    </row>
    <row r="543" spans="3:7" x14ac:dyDescent="0.2">
      <c r="C543" s="89"/>
      <c r="E543" s="111"/>
      <c r="F543" s="111"/>
      <c r="G543" s="111"/>
    </row>
    <row r="544" spans="3:7" x14ac:dyDescent="0.2">
      <c r="C544" s="89"/>
      <c r="E544" s="111"/>
      <c r="F544" s="111"/>
      <c r="G544" s="111"/>
    </row>
    <row r="545" spans="3:7" x14ac:dyDescent="0.2">
      <c r="C545" s="89"/>
      <c r="E545" s="111"/>
      <c r="F545" s="111"/>
      <c r="G545" s="111"/>
    </row>
    <row r="546" spans="3:7" x14ac:dyDescent="0.2">
      <c r="C546" s="89"/>
      <c r="E546" s="111"/>
      <c r="F546" s="111"/>
      <c r="G546" s="111"/>
    </row>
    <row r="547" spans="3:7" x14ac:dyDescent="0.2">
      <c r="C547" s="89"/>
      <c r="E547" s="111"/>
      <c r="F547" s="111"/>
      <c r="G547" s="111"/>
    </row>
    <row r="548" spans="3:7" x14ac:dyDescent="0.2">
      <c r="C548" s="89"/>
      <c r="E548" s="111"/>
      <c r="F548" s="111"/>
      <c r="G548" s="111"/>
    </row>
    <row r="549" spans="3:7" x14ac:dyDescent="0.2">
      <c r="C549" s="89"/>
      <c r="E549" s="111"/>
      <c r="F549" s="111"/>
      <c r="G549" s="111"/>
    </row>
    <row r="550" spans="3:7" x14ac:dyDescent="0.2">
      <c r="C550" s="89"/>
      <c r="E550" s="111"/>
      <c r="F550" s="111"/>
      <c r="G550" s="111"/>
    </row>
    <row r="551" spans="3:7" x14ac:dyDescent="0.2">
      <c r="C551" s="89"/>
      <c r="E551" s="111"/>
      <c r="F551" s="111"/>
      <c r="G551" s="111"/>
    </row>
    <row r="552" spans="3:7" x14ac:dyDescent="0.2">
      <c r="C552" s="89"/>
      <c r="E552" s="111"/>
      <c r="F552" s="111"/>
      <c r="G552" s="111"/>
    </row>
    <row r="553" spans="3:7" x14ac:dyDescent="0.2">
      <c r="C553" s="89"/>
      <c r="E553" s="111"/>
      <c r="F553" s="111"/>
      <c r="G553" s="111"/>
    </row>
    <row r="554" spans="3:7" x14ac:dyDescent="0.2">
      <c r="C554" s="89"/>
      <c r="E554" s="111"/>
      <c r="F554" s="111"/>
      <c r="G554" s="111"/>
    </row>
    <row r="555" spans="3:7" x14ac:dyDescent="0.2">
      <c r="C555" s="89"/>
      <c r="E555" s="111"/>
      <c r="F555" s="111"/>
      <c r="G555" s="111"/>
    </row>
    <row r="556" spans="3:7" x14ac:dyDescent="0.2">
      <c r="C556" s="89"/>
      <c r="E556" s="111"/>
      <c r="F556" s="111"/>
      <c r="G556" s="111"/>
    </row>
    <row r="557" spans="3:7" x14ac:dyDescent="0.2">
      <c r="C557" s="89"/>
      <c r="E557" s="111"/>
      <c r="F557" s="111"/>
      <c r="G557" s="111"/>
    </row>
    <row r="558" spans="3:7" x14ac:dyDescent="0.2">
      <c r="C558" s="89"/>
      <c r="E558" s="111"/>
      <c r="F558" s="111"/>
      <c r="G558" s="111"/>
    </row>
    <row r="559" spans="3:7" x14ac:dyDescent="0.2">
      <c r="C559" s="89"/>
      <c r="E559" s="111"/>
      <c r="F559" s="111"/>
      <c r="G559" s="111"/>
    </row>
    <row r="560" spans="3:7" x14ac:dyDescent="0.2">
      <c r="C560" s="89"/>
      <c r="E560" s="111"/>
      <c r="F560" s="111"/>
      <c r="G560" s="111"/>
    </row>
    <row r="561" spans="3:7" x14ac:dyDescent="0.2">
      <c r="C561" s="89"/>
      <c r="E561" s="111"/>
      <c r="F561" s="111"/>
      <c r="G561" s="111"/>
    </row>
    <row r="562" spans="3:7" x14ac:dyDescent="0.2">
      <c r="C562" s="89"/>
      <c r="E562" s="111"/>
      <c r="F562" s="111"/>
      <c r="G562" s="111"/>
    </row>
    <row r="563" spans="3:7" x14ac:dyDescent="0.2">
      <c r="C563" s="89"/>
      <c r="E563" s="111"/>
      <c r="F563" s="111"/>
      <c r="G563" s="111"/>
    </row>
    <row r="564" spans="3:7" x14ac:dyDescent="0.2">
      <c r="C564" s="89"/>
      <c r="E564" s="111"/>
      <c r="F564" s="111"/>
      <c r="G564" s="111"/>
    </row>
    <row r="565" spans="3:7" x14ac:dyDescent="0.2">
      <c r="C565" s="89"/>
      <c r="E565" s="111"/>
      <c r="F565" s="111"/>
      <c r="G565" s="111"/>
    </row>
    <row r="566" spans="3:7" x14ac:dyDescent="0.2">
      <c r="C566" s="89"/>
      <c r="E566" s="111"/>
      <c r="F566" s="111"/>
      <c r="G566" s="111"/>
    </row>
    <row r="567" spans="3:7" x14ac:dyDescent="0.2">
      <c r="C567" s="89"/>
      <c r="E567" s="111"/>
      <c r="F567" s="111"/>
      <c r="G567" s="111"/>
    </row>
    <row r="568" spans="3:7" x14ac:dyDescent="0.2">
      <c r="C568" s="89"/>
      <c r="E568" s="111"/>
      <c r="F568" s="111"/>
      <c r="G568" s="111"/>
    </row>
    <row r="569" spans="3:7" x14ac:dyDescent="0.2">
      <c r="C569" s="89"/>
      <c r="E569" s="111"/>
      <c r="F569" s="111"/>
      <c r="G569" s="111"/>
    </row>
    <row r="570" spans="3:7" x14ac:dyDescent="0.2">
      <c r="C570" s="89"/>
      <c r="E570" s="111"/>
      <c r="F570" s="111"/>
      <c r="G570" s="111"/>
    </row>
    <row r="571" spans="3:7" x14ac:dyDescent="0.2">
      <c r="C571" s="89"/>
      <c r="E571" s="111"/>
      <c r="F571" s="111"/>
      <c r="G571" s="111"/>
    </row>
    <row r="572" spans="3:7" x14ac:dyDescent="0.2">
      <c r="C572" s="89"/>
      <c r="E572" s="111"/>
      <c r="F572" s="111"/>
      <c r="G572" s="111"/>
    </row>
    <row r="573" spans="3:7" x14ac:dyDescent="0.2">
      <c r="C573" s="89"/>
      <c r="E573" s="111"/>
      <c r="F573" s="111"/>
      <c r="G573" s="111"/>
    </row>
    <row r="574" spans="3:7" x14ac:dyDescent="0.2">
      <c r="C574" s="89"/>
      <c r="E574" s="111"/>
      <c r="F574" s="111"/>
      <c r="G574" s="111"/>
    </row>
    <row r="575" spans="3:7" x14ac:dyDescent="0.2">
      <c r="C575" s="89"/>
      <c r="E575" s="111"/>
      <c r="F575" s="111"/>
      <c r="G575" s="111"/>
    </row>
    <row r="576" spans="3:7" x14ac:dyDescent="0.2">
      <c r="C576" s="89"/>
      <c r="E576" s="111"/>
      <c r="F576" s="111"/>
      <c r="G576" s="111"/>
    </row>
    <row r="577" spans="3:7" x14ac:dyDescent="0.2">
      <c r="C577" s="89"/>
      <c r="E577" s="111"/>
      <c r="F577" s="111"/>
      <c r="G577" s="111"/>
    </row>
    <row r="578" spans="3:7" x14ac:dyDescent="0.2">
      <c r="C578" s="89"/>
      <c r="E578" s="111"/>
      <c r="F578" s="111"/>
      <c r="G578" s="111"/>
    </row>
    <row r="579" spans="3:7" x14ac:dyDescent="0.2">
      <c r="C579" s="89"/>
      <c r="E579" s="111"/>
      <c r="F579" s="111"/>
      <c r="G579" s="111"/>
    </row>
    <row r="580" spans="3:7" x14ac:dyDescent="0.2">
      <c r="C580" s="89"/>
      <c r="E580" s="111"/>
      <c r="F580" s="111"/>
      <c r="G580" s="111"/>
    </row>
    <row r="581" spans="3:7" x14ac:dyDescent="0.2">
      <c r="C581" s="89"/>
      <c r="E581" s="111"/>
      <c r="F581" s="111"/>
      <c r="G581" s="111"/>
    </row>
    <row r="582" spans="3:7" x14ac:dyDescent="0.2">
      <c r="C582" s="89"/>
      <c r="E582" s="111"/>
      <c r="F582" s="111"/>
      <c r="G582" s="111"/>
    </row>
    <row r="583" spans="3:7" x14ac:dyDescent="0.2">
      <c r="C583" s="89"/>
      <c r="E583" s="111"/>
      <c r="F583" s="111"/>
      <c r="G583" s="111"/>
    </row>
    <row r="584" spans="3:7" x14ac:dyDescent="0.2">
      <c r="C584" s="89"/>
      <c r="E584" s="111"/>
      <c r="F584" s="111"/>
      <c r="G584" s="111"/>
    </row>
    <row r="585" spans="3:7" x14ac:dyDescent="0.2">
      <c r="C585" s="89"/>
      <c r="E585" s="111"/>
      <c r="F585" s="111"/>
      <c r="G585" s="111"/>
    </row>
    <row r="586" spans="3:7" x14ac:dyDescent="0.2">
      <c r="C586" s="89"/>
      <c r="E586" s="111"/>
      <c r="F586" s="111"/>
      <c r="G586" s="111"/>
    </row>
    <row r="587" spans="3:7" x14ac:dyDescent="0.2">
      <c r="C587" s="89"/>
      <c r="E587" s="111"/>
      <c r="F587" s="111"/>
      <c r="G587" s="111"/>
    </row>
    <row r="588" spans="3:7" x14ac:dyDescent="0.2">
      <c r="C588" s="89"/>
      <c r="E588" s="111"/>
      <c r="F588" s="111"/>
      <c r="G588" s="111"/>
    </row>
    <row r="589" spans="3:7" x14ac:dyDescent="0.2">
      <c r="C589" s="89"/>
      <c r="E589" s="111"/>
      <c r="F589" s="111"/>
      <c r="G589" s="111"/>
    </row>
    <row r="590" spans="3:7" x14ac:dyDescent="0.2">
      <c r="C590" s="89"/>
      <c r="E590" s="111"/>
      <c r="F590" s="111"/>
      <c r="G590" s="111"/>
    </row>
    <row r="591" spans="3:7" x14ac:dyDescent="0.2">
      <c r="C591" s="89"/>
      <c r="E591" s="111"/>
      <c r="F591" s="111"/>
      <c r="G591" s="111"/>
    </row>
    <row r="592" spans="3:7" x14ac:dyDescent="0.2">
      <c r="C592" s="89"/>
      <c r="E592" s="111"/>
      <c r="F592" s="111"/>
      <c r="G592" s="111"/>
    </row>
    <row r="593" spans="3:7" x14ac:dyDescent="0.2">
      <c r="C593" s="89"/>
      <c r="E593" s="111"/>
      <c r="F593" s="111"/>
      <c r="G593" s="111"/>
    </row>
    <row r="594" spans="3:7" x14ac:dyDescent="0.2">
      <c r="C594" s="89"/>
      <c r="E594" s="111"/>
      <c r="F594" s="111"/>
      <c r="G594" s="111"/>
    </row>
    <row r="595" spans="3:7" x14ac:dyDescent="0.2">
      <c r="C595" s="89"/>
      <c r="E595" s="111"/>
      <c r="F595" s="111"/>
      <c r="G595" s="111"/>
    </row>
    <row r="596" spans="3:7" x14ac:dyDescent="0.2">
      <c r="C596" s="89"/>
      <c r="E596" s="111"/>
      <c r="F596" s="111"/>
      <c r="G596" s="111"/>
    </row>
    <row r="597" spans="3:7" x14ac:dyDescent="0.2">
      <c r="C597" s="89"/>
      <c r="E597" s="111"/>
      <c r="F597" s="111"/>
      <c r="G597" s="111"/>
    </row>
    <row r="598" spans="3:7" x14ac:dyDescent="0.2">
      <c r="C598" s="89"/>
      <c r="E598" s="111"/>
      <c r="F598" s="111"/>
      <c r="G598" s="111"/>
    </row>
    <row r="599" spans="3:7" x14ac:dyDescent="0.2">
      <c r="C599" s="89"/>
      <c r="E599" s="111"/>
      <c r="F599" s="111"/>
      <c r="G599" s="111"/>
    </row>
    <row r="600" spans="3:7" x14ac:dyDescent="0.2">
      <c r="C600" s="89"/>
      <c r="E600" s="111"/>
      <c r="F600" s="111"/>
      <c r="G600" s="111"/>
    </row>
    <row r="601" spans="3:7" x14ac:dyDescent="0.2">
      <c r="C601" s="89"/>
      <c r="E601" s="111"/>
      <c r="F601" s="111"/>
      <c r="G601" s="111"/>
    </row>
    <row r="602" spans="3:7" x14ac:dyDescent="0.2">
      <c r="C602" s="89"/>
      <c r="E602" s="111"/>
      <c r="F602" s="111"/>
      <c r="G602" s="111"/>
    </row>
    <row r="603" spans="3:7" x14ac:dyDescent="0.2">
      <c r="C603" s="89"/>
      <c r="E603" s="111"/>
      <c r="F603" s="111"/>
      <c r="G603" s="111"/>
    </row>
    <row r="604" spans="3:7" x14ac:dyDescent="0.2">
      <c r="C604" s="89"/>
      <c r="E604" s="111"/>
      <c r="F604" s="111"/>
      <c r="G604" s="111"/>
    </row>
    <row r="605" spans="3:7" x14ac:dyDescent="0.2">
      <c r="C605" s="89"/>
      <c r="E605" s="111"/>
      <c r="F605" s="111"/>
      <c r="G605" s="111"/>
    </row>
    <row r="606" spans="3:7" x14ac:dyDescent="0.2">
      <c r="C606" s="89"/>
      <c r="E606" s="111"/>
      <c r="F606" s="111"/>
      <c r="G606" s="111"/>
    </row>
    <row r="607" spans="3:7" x14ac:dyDescent="0.2">
      <c r="C607" s="89"/>
      <c r="E607" s="111"/>
      <c r="F607" s="111"/>
      <c r="G607" s="111"/>
    </row>
    <row r="608" spans="3:7" x14ac:dyDescent="0.2">
      <c r="C608" s="89"/>
      <c r="E608" s="111"/>
      <c r="F608" s="111"/>
      <c r="G608" s="111"/>
    </row>
    <row r="609" spans="3:7" x14ac:dyDescent="0.2">
      <c r="C609" s="89"/>
      <c r="E609" s="111"/>
      <c r="F609" s="111"/>
      <c r="G609" s="111"/>
    </row>
    <row r="610" spans="3:7" x14ac:dyDescent="0.2">
      <c r="C610" s="89"/>
      <c r="E610" s="111"/>
      <c r="F610" s="111"/>
      <c r="G610" s="111"/>
    </row>
    <row r="611" spans="3:7" x14ac:dyDescent="0.2">
      <c r="C611" s="89"/>
      <c r="E611" s="111"/>
      <c r="F611" s="111"/>
      <c r="G611" s="111"/>
    </row>
    <row r="612" spans="3:7" x14ac:dyDescent="0.2">
      <c r="C612" s="89"/>
      <c r="E612" s="111"/>
      <c r="F612" s="111"/>
      <c r="G612" s="111"/>
    </row>
    <row r="613" spans="3:7" x14ac:dyDescent="0.2">
      <c r="C613" s="89"/>
      <c r="E613" s="111"/>
      <c r="F613" s="111"/>
      <c r="G613" s="111"/>
    </row>
    <row r="614" spans="3:7" x14ac:dyDescent="0.2">
      <c r="C614" s="89"/>
      <c r="E614" s="111"/>
      <c r="F614" s="111"/>
      <c r="G614" s="111"/>
    </row>
    <row r="615" spans="3:7" x14ac:dyDescent="0.2">
      <c r="C615" s="89"/>
      <c r="E615" s="111"/>
      <c r="F615" s="111"/>
      <c r="G615" s="111"/>
    </row>
    <row r="616" spans="3:7" x14ac:dyDescent="0.2">
      <c r="C616" s="89"/>
      <c r="E616" s="111"/>
      <c r="F616" s="111"/>
      <c r="G616" s="111"/>
    </row>
    <row r="617" spans="3:7" x14ac:dyDescent="0.2">
      <c r="C617" s="89"/>
      <c r="E617" s="111"/>
      <c r="F617" s="111"/>
      <c r="G617" s="111"/>
    </row>
    <row r="618" spans="3:7" x14ac:dyDescent="0.2">
      <c r="C618" s="89"/>
      <c r="E618" s="111"/>
      <c r="F618" s="111"/>
      <c r="G618" s="111"/>
    </row>
    <row r="619" spans="3:7" x14ac:dyDescent="0.2">
      <c r="C619" s="89"/>
      <c r="E619" s="111"/>
      <c r="F619" s="111"/>
      <c r="G619" s="111"/>
    </row>
    <row r="620" spans="3:7" x14ac:dyDescent="0.2">
      <c r="C620" s="89"/>
      <c r="E620" s="111"/>
      <c r="F620" s="111"/>
      <c r="G620" s="111"/>
    </row>
    <row r="621" spans="3:7" x14ac:dyDescent="0.2">
      <c r="C621" s="89"/>
      <c r="E621" s="111"/>
      <c r="F621" s="111"/>
      <c r="G621" s="111"/>
    </row>
    <row r="622" spans="3:7" x14ac:dyDescent="0.2">
      <c r="C622" s="89"/>
      <c r="E622" s="111"/>
      <c r="F622" s="111"/>
      <c r="G622" s="111"/>
    </row>
    <row r="623" spans="3:7" x14ac:dyDescent="0.2">
      <c r="C623" s="89"/>
      <c r="E623" s="111"/>
      <c r="F623" s="111"/>
      <c r="G623" s="111"/>
    </row>
    <row r="624" spans="3:7" x14ac:dyDescent="0.2">
      <c r="C624" s="89"/>
      <c r="E624" s="111"/>
      <c r="F624" s="111"/>
      <c r="G624" s="111"/>
    </row>
    <row r="625" spans="3:7" x14ac:dyDescent="0.2">
      <c r="C625" s="89"/>
      <c r="E625" s="111"/>
      <c r="F625" s="111"/>
      <c r="G625" s="111"/>
    </row>
    <row r="626" spans="3:7" x14ac:dyDescent="0.2">
      <c r="C626" s="89"/>
      <c r="E626" s="111"/>
      <c r="F626" s="111"/>
      <c r="G626" s="111"/>
    </row>
    <row r="627" spans="3:7" x14ac:dyDescent="0.2">
      <c r="C627" s="89"/>
      <c r="E627" s="111"/>
      <c r="F627" s="111"/>
      <c r="G627" s="111"/>
    </row>
    <row r="628" spans="3:7" x14ac:dyDescent="0.2">
      <c r="C628" s="89"/>
      <c r="E628" s="111"/>
      <c r="F628" s="111"/>
      <c r="G628" s="111"/>
    </row>
    <row r="629" spans="3:7" x14ac:dyDescent="0.2">
      <c r="C629" s="89"/>
      <c r="E629" s="111"/>
      <c r="F629" s="111"/>
      <c r="G629" s="111"/>
    </row>
    <row r="630" spans="3:7" x14ac:dyDescent="0.2">
      <c r="C630" s="89"/>
      <c r="E630" s="111"/>
      <c r="F630" s="111"/>
      <c r="G630" s="111"/>
    </row>
    <row r="631" spans="3:7" x14ac:dyDescent="0.2">
      <c r="C631" s="89"/>
      <c r="E631" s="111"/>
      <c r="F631" s="111"/>
      <c r="G631" s="111"/>
    </row>
    <row r="632" spans="3:7" x14ac:dyDescent="0.2">
      <c r="C632" s="89"/>
      <c r="E632" s="111"/>
      <c r="F632" s="111"/>
      <c r="G632" s="111"/>
    </row>
    <row r="633" spans="3:7" x14ac:dyDescent="0.2">
      <c r="C633" s="89"/>
      <c r="E633" s="111"/>
      <c r="F633" s="111"/>
      <c r="G633" s="111"/>
    </row>
    <row r="634" spans="3:7" x14ac:dyDescent="0.2">
      <c r="C634" s="89"/>
      <c r="E634" s="111"/>
      <c r="F634" s="111"/>
      <c r="G634" s="111"/>
    </row>
    <row r="635" spans="3:7" x14ac:dyDescent="0.2">
      <c r="C635" s="89"/>
      <c r="E635" s="111"/>
      <c r="F635" s="111"/>
      <c r="G635" s="111"/>
    </row>
    <row r="636" spans="3:7" x14ac:dyDescent="0.2">
      <c r="C636" s="89"/>
      <c r="E636" s="111"/>
      <c r="F636" s="111"/>
      <c r="G636" s="111"/>
    </row>
    <row r="637" spans="3:7" x14ac:dyDescent="0.2">
      <c r="C637" s="89"/>
      <c r="E637" s="111"/>
      <c r="F637" s="111"/>
      <c r="G637" s="111"/>
    </row>
    <row r="638" spans="3:7" x14ac:dyDescent="0.2">
      <c r="C638" s="89"/>
      <c r="E638" s="111"/>
      <c r="F638" s="111"/>
      <c r="G638" s="111"/>
    </row>
    <row r="639" spans="3:7" x14ac:dyDescent="0.2">
      <c r="C639" s="89"/>
      <c r="E639" s="111"/>
      <c r="F639" s="111"/>
      <c r="G639" s="111"/>
    </row>
    <row r="640" spans="3:7" x14ac:dyDescent="0.2">
      <c r="C640" s="89"/>
      <c r="E640" s="111"/>
      <c r="F640" s="111"/>
      <c r="G640" s="111"/>
    </row>
    <row r="641" spans="3:7" x14ac:dyDescent="0.2">
      <c r="C641" s="89"/>
      <c r="E641" s="111"/>
      <c r="F641" s="111"/>
      <c r="G641" s="111"/>
    </row>
    <row r="642" spans="3:7" x14ac:dyDescent="0.2">
      <c r="C642" s="89"/>
      <c r="E642" s="111"/>
      <c r="F642" s="111"/>
      <c r="G642" s="111"/>
    </row>
    <row r="643" spans="3:7" x14ac:dyDescent="0.2">
      <c r="C643" s="89"/>
      <c r="E643" s="111"/>
      <c r="F643" s="111"/>
      <c r="G643" s="111"/>
    </row>
    <row r="644" spans="3:7" x14ac:dyDescent="0.2">
      <c r="C644" s="89"/>
      <c r="E644" s="111"/>
      <c r="F644" s="111"/>
      <c r="G644" s="111"/>
    </row>
    <row r="645" spans="3:7" x14ac:dyDescent="0.2">
      <c r="C645" s="89"/>
      <c r="E645" s="111"/>
      <c r="F645" s="111"/>
      <c r="G645" s="111"/>
    </row>
    <row r="646" spans="3:7" x14ac:dyDescent="0.2">
      <c r="C646" s="89"/>
      <c r="E646" s="111"/>
      <c r="F646" s="111"/>
      <c r="G646" s="111"/>
    </row>
    <row r="647" spans="3:7" x14ac:dyDescent="0.2">
      <c r="C647" s="89"/>
      <c r="E647" s="111"/>
      <c r="F647" s="111"/>
      <c r="G647" s="111"/>
    </row>
    <row r="648" spans="3:7" x14ac:dyDescent="0.2">
      <c r="C648" s="89"/>
      <c r="E648" s="111"/>
      <c r="F648" s="111"/>
      <c r="G648" s="111"/>
    </row>
    <row r="649" spans="3:7" x14ac:dyDescent="0.2">
      <c r="C649" s="89"/>
      <c r="E649" s="111"/>
      <c r="F649" s="111"/>
      <c r="G649" s="111"/>
    </row>
    <row r="650" spans="3:7" x14ac:dyDescent="0.2">
      <c r="C650" s="89"/>
      <c r="E650" s="111"/>
      <c r="F650" s="111"/>
      <c r="G650" s="111"/>
    </row>
    <row r="651" spans="3:7" x14ac:dyDescent="0.2">
      <c r="C651" s="89"/>
      <c r="E651" s="111"/>
      <c r="F651" s="111"/>
      <c r="G651" s="111"/>
    </row>
    <row r="652" spans="3:7" x14ac:dyDescent="0.2">
      <c r="C652" s="89"/>
      <c r="E652" s="111"/>
      <c r="F652" s="111"/>
      <c r="G652" s="111"/>
    </row>
    <row r="653" spans="3:7" x14ac:dyDescent="0.2">
      <c r="C653" s="89"/>
      <c r="E653" s="111"/>
      <c r="F653" s="111"/>
      <c r="G653" s="111"/>
    </row>
    <row r="654" spans="3:7" x14ac:dyDescent="0.2">
      <c r="C654" s="89"/>
      <c r="E654" s="111"/>
      <c r="F654" s="111"/>
      <c r="G654" s="111"/>
    </row>
    <row r="655" spans="3:7" x14ac:dyDescent="0.2">
      <c r="C655" s="89"/>
      <c r="E655" s="111"/>
      <c r="F655" s="111"/>
      <c r="G655" s="111"/>
    </row>
    <row r="656" spans="3:7" x14ac:dyDescent="0.2">
      <c r="C656" s="89"/>
      <c r="E656" s="111"/>
      <c r="F656" s="111"/>
      <c r="G656" s="111"/>
    </row>
    <row r="657" spans="3:7" x14ac:dyDescent="0.2">
      <c r="C657" s="89"/>
      <c r="E657" s="111"/>
      <c r="F657" s="111"/>
      <c r="G657" s="111"/>
    </row>
    <row r="658" spans="3:7" x14ac:dyDescent="0.2">
      <c r="C658" s="89"/>
      <c r="E658" s="111"/>
      <c r="F658" s="111"/>
      <c r="G658" s="111"/>
    </row>
    <row r="659" spans="3:7" x14ac:dyDescent="0.2">
      <c r="C659" s="89"/>
      <c r="E659" s="111"/>
      <c r="F659" s="111"/>
      <c r="G659" s="111"/>
    </row>
    <row r="660" spans="3:7" x14ac:dyDescent="0.2">
      <c r="C660" s="89"/>
      <c r="E660" s="111"/>
      <c r="F660" s="111"/>
      <c r="G660" s="111"/>
    </row>
    <row r="661" spans="3:7" x14ac:dyDescent="0.2">
      <c r="C661" s="89"/>
      <c r="E661" s="111"/>
      <c r="F661" s="111"/>
      <c r="G661" s="111"/>
    </row>
    <row r="662" spans="3:7" x14ac:dyDescent="0.2">
      <c r="C662" s="89"/>
      <c r="E662" s="111"/>
      <c r="F662" s="111"/>
      <c r="G662" s="111"/>
    </row>
    <row r="663" spans="3:7" x14ac:dyDescent="0.2">
      <c r="C663" s="89"/>
      <c r="E663" s="111"/>
      <c r="F663" s="111"/>
      <c r="G663" s="111"/>
    </row>
    <row r="664" spans="3:7" x14ac:dyDescent="0.2">
      <c r="C664" s="89"/>
      <c r="E664" s="111"/>
      <c r="F664" s="111"/>
      <c r="G664" s="111"/>
    </row>
    <row r="665" spans="3:7" x14ac:dyDescent="0.2">
      <c r="C665" s="89"/>
      <c r="E665" s="111"/>
      <c r="F665" s="111"/>
      <c r="G665" s="111"/>
    </row>
    <row r="666" spans="3:7" x14ac:dyDescent="0.2">
      <c r="C666" s="89"/>
      <c r="E666" s="111"/>
      <c r="F666" s="111"/>
      <c r="G666" s="111"/>
    </row>
    <row r="667" spans="3:7" x14ac:dyDescent="0.2">
      <c r="C667" s="89"/>
      <c r="E667" s="111"/>
      <c r="F667" s="111"/>
      <c r="G667" s="111"/>
    </row>
    <row r="668" spans="3:7" x14ac:dyDescent="0.2">
      <c r="C668" s="89"/>
      <c r="E668" s="111"/>
      <c r="F668" s="111"/>
      <c r="G668" s="111"/>
    </row>
    <row r="669" spans="3:7" x14ac:dyDescent="0.2">
      <c r="C669" s="89"/>
      <c r="E669" s="111"/>
      <c r="F669" s="111"/>
      <c r="G669" s="111"/>
    </row>
    <row r="670" spans="3:7" x14ac:dyDescent="0.2">
      <c r="C670" s="89"/>
      <c r="E670" s="111"/>
      <c r="F670" s="111"/>
      <c r="G670" s="111"/>
    </row>
    <row r="671" spans="3:7" x14ac:dyDescent="0.2">
      <c r="C671" s="89"/>
      <c r="E671" s="111"/>
      <c r="F671" s="111"/>
      <c r="G671" s="111"/>
    </row>
    <row r="672" spans="3:7" x14ac:dyDescent="0.2">
      <c r="C672" s="89"/>
      <c r="E672" s="111"/>
      <c r="F672" s="111"/>
      <c r="G672" s="111"/>
    </row>
    <row r="673" spans="3:7" x14ac:dyDescent="0.2">
      <c r="C673" s="89"/>
      <c r="E673" s="111"/>
      <c r="F673" s="111"/>
      <c r="G673" s="111"/>
    </row>
    <row r="674" spans="3:7" x14ac:dyDescent="0.2">
      <c r="C674" s="89"/>
      <c r="E674" s="111"/>
      <c r="F674" s="111"/>
      <c r="G674" s="111"/>
    </row>
    <row r="675" spans="3:7" x14ac:dyDescent="0.2">
      <c r="C675" s="89"/>
      <c r="E675" s="111"/>
      <c r="F675" s="111"/>
      <c r="G675" s="111"/>
    </row>
    <row r="676" spans="3:7" x14ac:dyDescent="0.2">
      <c r="C676" s="89"/>
      <c r="E676" s="111"/>
      <c r="F676" s="111"/>
      <c r="G676" s="111"/>
    </row>
    <row r="677" spans="3:7" x14ac:dyDescent="0.2">
      <c r="C677" s="89"/>
      <c r="E677" s="111"/>
      <c r="F677" s="111"/>
      <c r="G677" s="111"/>
    </row>
    <row r="678" spans="3:7" x14ac:dyDescent="0.2">
      <c r="C678" s="89"/>
      <c r="E678" s="111"/>
      <c r="F678" s="111"/>
      <c r="G678" s="111"/>
    </row>
    <row r="679" spans="3:7" x14ac:dyDescent="0.2">
      <c r="C679" s="89"/>
      <c r="E679" s="111"/>
      <c r="F679" s="111"/>
      <c r="G679" s="111"/>
    </row>
    <row r="680" spans="3:7" x14ac:dyDescent="0.2">
      <c r="C680" s="89"/>
      <c r="E680" s="111"/>
      <c r="F680" s="111"/>
      <c r="G680" s="111"/>
    </row>
    <row r="681" spans="3:7" x14ac:dyDescent="0.2">
      <c r="C681" s="89"/>
      <c r="E681" s="111"/>
      <c r="F681" s="111"/>
      <c r="G681" s="111"/>
    </row>
    <row r="682" spans="3:7" x14ac:dyDescent="0.2">
      <c r="C682" s="89"/>
      <c r="E682" s="111"/>
      <c r="F682" s="111"/>
      <c r="G682" s="111"/>
    </row>
    <row r="683" spans="3:7" x14ac:dyDescent="0.2">
      <c r="C683" s="89"/>
      <c r="E683" s="111"/>
      <c r="F683" s="111"/>
      <c r="G683" s="111"/>
    </row>
    <row r="684" spans="3:7" x14ac:dyDescent="0.2">
      <c r="C684" s="89"/>
      <c r="E684" s="111"/>
      <c r="F684" s="111"/>
      <c r="G684" s="111"/>
    </row>
    <row r="685" spans="3:7" x14ac:dyDescent="0.2">
      <c r="C685" s="89"/>
      <c r="E685" s="111"/>
      <c r="F685" s="111"/>
      <c r="G685" s="111"/>
    </row>
    <row r="686" spans="3:7" x14ac:dyDescent="0.2">
      <c r="C686" s="89"/>
      <c r="E686" s="111"/>
      <c r="F686" s="111"/>
      <c r="G686" s="111"/>
    </row>
    <row r="687" spans="3:7" x14ac:dyDescent="0.2">
      <c r="C687" s="89"/>
      <c r="E687" s="111"/>
      <c r="F687" s="111"/>
      <c r="G687" s="111"/>
    </row>
    <row r="688" spans="3:7" x14ac:dyDescent="0.2">
      <c r="C688" s="89"/>
      <c r="E688" s="111"/>
      <c r="F688" s="111"/>
      <c r="G688" s="111"/>
    </row>
    <row r="689" spans="3:7" x14ac:dyDescent="0.2">
      <c r="C689" s="89"/>
      <c r="E689" s="111"/>
      <c r="F689" s="111"/>
      <c r="G689" s="111"/>
    </row>
    <row r="690" spans="3:7" x14ac:dyDescent="0.2">
      <c r="C690" s="89"/>
      <c r="E690" s="111"/>
      <c r="F690" s="111"/>
      <c r="G690" s="111"/>
    </row>
    <row r="691" spans="3:7" x14ac:dyDescent="0.2">
      <c r="C691" s="89"/>
      <c r="E691" s="111"/>
      <c r="F691" s="111"/>
      <c r="G691" s="111"/>
    </row>
    <row r="692" spans="3:7" x14ac:dyDescent="0.2">
      <c r="C692" s="89"/>
      <c r="E692" s="111"/>
      <c r="F692" s="111"/>
      <c r="G692" s="111"/>
    </row>
    <row r="693" spans="3:7" x14ac:dyDescent="0.2">
      <c r="C693" s="89"/>
      <c r="E693" s="111"/>
      <c r="F693" s="111"/>
      <c r="G693" s="111"/>
    </row>
    <row r="694" spans="3:7" x14ac:dyDescent="0.2">
      <c r="C694" s="89"/>
      <c r="E694" s="111"/>
      <c r="F694" s="111"/>
      <c r="G694" s="111"/>
    </row>
    <row r="695" spans="3:7" x14ac:dyDescent="0.2">
      <c r="C695" s="89"/>
      <c r="E695" s="111"/>
      <c r="F695" s="111"/>
      <c r="G695" s="111"/>
    </row>
    <row r="696" spans="3:7" x14ac:dyDescent="0.2">
      <c r="C696" s="89"/>
      <c r="E696" s="111"/>
      <c r="F696" s="111"/>
      <c r="G696" s="111"/>
    </row>
    <row r="697" spans="3:7" x14ac:dyDescent="0.2">
      <c r="C697" s="89"/>
      <c r="E697" s="111"/>
      <c r="F697" s="111"/>
      <c r="G697" s="111"/>
    </row>
    <row r="698" spans="3:7" x14ac:dyDescent="0.2">
      <c r="C698" s="89"/>
      <c r="E698" s="111"/>
      <c r="F698" s="111"/>
      <c r="G698" s="111"/>
    </row>
    <row r="699" spans="3:7" x14ac:dyDescent="0.2">
      <c r="C699" s="89"/>
      <c r="E699" s="111"/>
      <c r="F699" s="111"/>
      <c r="G699" s="111"/>
    </row>
    <row r="700" spans="3:7" x14ac:dyDescent="0.2">
      <c r="C700" s="89"/>
      <c r="E700" s="111"/>
      <c r="F700" s="111"/>
      <c r="G700" s="111"/>
    </row>
    <row r="701" spans="3:7" x14ac:dyDescent="0.2">
      <c r="C701" s="89"/>
      <c r="E701" s="111"/>
      <c r="F701" s="111"/>
      <c r="G701" s="111"/>
    </row>
    <row r="702" spans="3:7" x14ac:dyDescent="0.2">
      <c r="C702" s="89"/>
      <c r="E702" s="111"/>
      <c r="F702" s="111"/>
      <c r="G702" s="111"/>
    </row>
    <row r="703" spans="3:7" x14ac:dyDescent="0.2">
      <c r="C703" s="89"/>
      <c r="E703" s="111"/>
      <c r="F703" s="111"/>
      <c r="G703" s="111"/>
    </row>
    <row r="704" spans="3:7" x14ac:dyDescent="0.2">
      <c r="C704" s="89"/>
      <c r="E704" s="111"/>
      <c r="F704" s="111"/>
      <c r="G704" s="111"/>
    </row>
    <row r="705" spans="3:7" x14ac:dyDescent="0.2">
      <c r="C705" s="89"/>
      <c r="E705" s="111"/>
      <c r="F705" s="111"/>
      <c r="G705" s="111"/>
    </row>
    <row r="706" spans="3:7" x14ac:dyDescent="0.2">
      <c r="C706" s="89"/>
      <c r="E706" s="111"/>
      <c r="F706" s="111"/>
      <c r="G706" s="111"/>
    </row>
    <row r="707" spans="3:7" x14ac:dyDescent="0.2">
      <c r="C707" s="89"/>
      <c r="E707" s="111"/>
      <c r="F707" s="111"/>
      <c r="G707" s="111"/>
    </row>
    <row r="708" spans="3:7" x14ac:dyDescent="0.2">
      <c r="C708" s="89"/>
      <c r="E708" s="111"/>
      <c r="F708" s="111"/>
      <c r="G708" s="111"/>
    </row>
    <row r="709" spans="3:7" x14ac:dyDescent="0.2">
      <c r="C709" s="89"/>
      <c r="E709" s="111"/>
      <c r="F709" s="111"/>
      <c r="G709" s="111"/>
    </row>
    <row r="710" spans="3:7" x14ac:dyDescent="0.2">
      <c r="C710" s="89"/>
      <c r="E710" s="111"/>
      <c r="F710" s="111"/>
      <c r="G710" s="111"/>
    </row>
    <row r="711" spans="3:7" x14ac:dyDescent="0.2">
      <c r="C711" s="89"/>
      <c r="E711" s="111"/>
      <c r="F711" s="111"/>
      <c r="G711" s="111"/>
    </row>
    <row r="712" spans="3:7" x14ac:dyDescent="0.2">
      <c r="C712" s="89"/>
      <c r="E712" s="111"/>
      <c r="F712" s="111"/>
      <c r="G712" s="111"/>
    </row>
    <row r="713" spans="3:7" x14ac:dyDescent="0.2">
      <c r="C713" s="89"/>
      <c r="E713" s="111"/>
      <c r="F713" s="111"/>
      <c r="G713" s="111"/>
    </row>
    <row r="714" spans="3:7" x14ac:dyDescent="0.2">
      <c r="C714" s="89"/>
      <c r="E714" s="111"/>
      <c r="F714" s="111"/>
      <c r="G714" s="111"/>
    </row>
    <row r="715" spans="3:7" x14ac:dyDescent="0.2">
      <c r="C715" s="89"/>
      <c r="E715" s="111"/>
      <c r="F715" s="111"/>
      <c r="G715" s="111"/>
    </row>
    <row r="716" spans="3:7" x14ac:dyDescent="0.2">
      <c r="C716" s="89"/>
      <c r="E716" s="111"/>
      <c r="F716" s="111"/>
      <c r="G716" s="111"/>
    </row>
    <row r="717" spans="3:7" x14ac:dyDescent="0.2">
      <c r="C717" s="89"/>
      <c r="E717" s="111"/>
      <c r="F717" s="111"/>
      <c r="G717" s="111"/>
    </row>
    <row r="718" spans="3:7" x14ac:dyDescent="0.2">
      <c r="C718" s="89"/>
      <c r="E718" s="111"/>
      <c r="F718" s="111"/>
      <c r="G718" s="111"/>
    </row>
    <row r="719" spans="3:7" x14ac:dyDescent="0.2">
      <c r="C719" s="89"/>
      <c r="E719" s="111"/>
      <c r="F719" s="111"/>
      <c r="G719" s="111"/>
    </row>
    <row r="720" spans="3:7" x14ac:dyDescent="0.2">
      <c r="C720" s="89"/>
      <c r="E720" s="111"/>
      <c r="F720" s="111"/>
      <c r="G720" s="111"/>
    </row>
    <row r="721" spans="3:7" x14ac:dyDescent="0.2">
      <c r="C721" s="89"/>
      <c r="E721" s="111"/>
      <c r="F721" s="111"/>
      <c r="G721" s="111"/>
    </row>
    <row r="722" spans="3:7" x14ac:dyDescent="0.2">
      <c r="C722" s="89"/>
      <c r="E722" s="111"/>
      <c r="F722" s="111"/>
      <c r="G722" s="111"/>
    </row>
    <row r="723" spans="3:7" x14ac:dyDescent="0.2">
      <c r="C723" s="89"/>
      <c r="E723" s="111"/>
      <c r="F723" s="111"/>
      <c r="G723" s="111"/>
    </row>
    <row r="724" spans="3:7" x14ac:dyDescent="0.2">
      <c r="C724" s="89"/>
      <c r="E724" s="111"/>
      <c r="F724" s="111"/>
      <c r="G724" s="111"/>
    </row>
    <row r="725" spans="3:7" x14ac:dyDescent="0.2">
      <c r="C725" s="89"/>
      <c r="E725" s="111"/>
      <c r="F725" s="111"/>
      <c r="G725" s="111"/>
    </row>
    <row r="726" spans="3:7" x14ac:dyDescent="0.2">
      <c r="C726" s="89"/>
      <c r="E726" s="111"/>
      <c r="F726" s="111"/>
      <c r="G726" s="111"/>
    </row>
    <row r="727" spans="3:7" x14ac:dyDescent="0.2">
      <c r="C727" s="89"/>
      <c r="E727" s="111"/>
      <c r="F727" s="111"/>
      <c r="G727" s="111"/>
    </row>
    <row r="728" spans="3:7" x14ac:dyDescent="0.2">
      <c r="C728" s="89"/>
      <c r="E728" s="111"/>
      <c r="F728" s="111"/>
      <c r="G728" s="111"/>
    </row>
    <row r="729" spans="3:7" x14ac:dyDescent="0.2">
      <c r="C729" s="89"/>
      <c r="E729" s="111"/>
      <c r="F729" s="111"/>
      <c r="G729" s="111"/>
    </row>
    <row r="730" spans="3:7" x14ac:dyDescent="0.2">
      <c r="C730" s="89"/>
      <c r="E730" s="111"/>
      <c r="F730" s="111"/>
      <c r="G730" s="111"/>
    </row>
    <row r="731" spans="3:7" x14ac:dyDescent="0.2">
      <c r="C731" s="89"/>
      <c r="E731" s="111"/>
      <c r="F731" s="111"/>
      <c r="G731" s="111"/>
    </row>
    <row r="732" spans="3:7" x14ac:dyDescent="0.2">
      <c r="C732" s="89"/>
      <c r="E732" s="111"/>
      <c r="F732" s="111"/>
      <c r="G732" s="111"/>
    </row>
    <row r="733" spans="3:7" x14ac:dyDescent="0.2">
      <c r="C733" s="89"/>
      <c r="E733" s="111"/>
      <c r="F733" s="111"/>
      <c r="G733" s="111"/>
    </row>
    <row r="734" spans="3:7" x14ac:dyDescent="0.2">
      <c r="C734" s="89"/>
      <c r="E734" s="111"/>
      <c r="F734" s="111"/>
      <c r="G734" s="111"/>
    </row>
    <row r="735" spans="3:7" x14ac:dyDescent="0.2">
      <c r="C735" s="89"/>
      <c r="E735" s="111"/>
      <c r="F735" s="111"/>
      <c r="G735" s="111"/>
    </row>
    <row r="736" spans="3:7" x14ac:dyDescent="0.2">
      <c r="C736" s="89"/>
      <c r="E736" s="111"/>
      <c r="F736" s="111"/>
      <c r="G736" s="111"/>
    </row>
    <row r="737" spans="3:7" x14ac:dyDescent="0.2">
      <c r="C737" s="89"/>
      <c r="E737" s="111"/>
      <c r="F737" s="111"/>
      <c r="G737" s="111"/>
    </row>
    <row r="738" spans="3:7" x14ac:dyDescent="0.2">
      <c r="C738" s="89"/>
      <c r="E738" s="111"/>
      <c r="F738" s="111"/>
      <c r="G738" s="111"/>
    </row>
    <row r="739" spans="3:7" x14ac:dyDescent="0.2">
      <c r="C739" s="89"/>
      <c r="E739" s="111"/>
      <c r="F739" s="111"/>
      <c r="G739" s="111"/>
    </row>
    <row r="740" spans="3:7" x14ac:dyDescent="0.2">
      <c r="C740" s="89"/>
      <c r="E740" s="111"/>
      <c r="F740" s="111"/>
      <c r="G740" s="111"/>
    </row>
    <row r="741" spans="3:7" x14ac:dyDescent="0.2">
      <c r="C741" s="89"/>
      <c r="E741" s="111"/>
      <c r="F741" s="111"/>
      <c r="G741" s="111"/>
    </row>
    <row r="742" spans="3:7" x14ac:dyDescent="0.2">
      <c r="C742" s="89"/>
      <c r="E742" s="111"/>
      <c r="F742" s="111"/>
      <c r="G742" s="111"/>
    </row>
    <row r="743" spans="3:7" x14ac:dyDescent="0.2">
      <c r="C743" s="89"/>
      <c r="E743" s="111"/>
      <c r="F743" s="111"/>
      <c r="G743" s="111"/>
    </row>
    <row r="744" spans="3:7" x14ac:dyDescent="0.2">
      <c r="C744" s="89"/>
      <c r="E744" s="111"/>
      <c r="F744" s="111"/>
      <c r="G744" s="111"/>
    </row>
    <row r="745" spans="3:7" x14ac:dyDescent="0.2">
      <c r="C745" s="89"/>
      <c r="E745" s="111"/>
      <c r="F745" s="111"/>
      <c r="G745" s="111"/>
    </row>
    <row r="746" spans="3:7" x14ac:dyDescent="0.2">
      <c r="C746" s="89"/>
      <c r="E746" s="111"/>
      <c r="F746" s="111"/>
      <c r="G746" s="111"/>
    </row>
    <row r="747" spans="3:7" x14ac:dyDescent="0.2">
      <c r="C747" s="89"/>
      <c r="E747" s="111"/>
      <c r="F747" s="111"/>
      <c r="G747" s="111"/>
    </row>
    <row r="748" spans="3:7" x14ac:dyDescent="0.2">
      <c r="C748" s="89"/>
      <c r="E748" s="111"/>
      <c r="F748" s="111"/>
      <c r="G748" s="111"/>
    </row>
    <row r="749" spans="3:7" x14ac:dyDescent="0.2">
      <c r="C749" s="89"/>
      <c r="E749" s="111"/>
      <c r="F749" s="111"/>
      <c r="G749" s="111"/>
    </row>
    <row r="750" spans="3:7" x14ac:dyDescent="0.2">
      <c r="C750" s="89"/>
      <c r="E750" s="111"/>
      <c r="F750" s="111"/>
      <c r="G750" s="111"/>
    </row>
    <row r="751" spans="3:7" x14ac:dyDescent="0.2">
      <c r="C751" s="89"/>
      <c r="E751" s="111"/>
      <c r="F751" s="111"/>
      <c r="G751" s="111"/>
    </row>
    <row r="752" spans="3:7" x14ac:dyDescent="0.2">
      <c r="C752" s="89"/>
      <c r="E752" s="111"/>
      <c r="F752" s="111"/>
      <c r="G752" s="111"/>
    </row>
    <row r="753" spans="3:7" x14ac:dyDescent="0.2">
      <c r="C753" s="89"/>
      <c r="E753" s="111"/>
      <c r="F753" s="111"/>
      <c r="G753" s="111"/>
    </row>
    <row r="754" spans="3:7" x14ac:dyDescent="0.2">
      <c r="C754" s="89"/>
      <c r="E754" s="111"/>
      <c r="F754" s="111"/>
      <c r="G754" s="111"/>
    </row>
    <row r="755" spans="3:7" x14ac:dyDescent="0.2">
      <c r="C755" s="89"/>
      <c r="E755" s="111"/>
      <c r="F755" s="111"/>
      <c r="G755" s="111"/>
    </row>
    <row r="756" spans="3:7" x14ac:dyDescent="0.2">
      <c r="C756" s="89"/>
      <c r="E756" s="111"/>
      <c r="F756" s="111"/>
      <c r="G756" s="111"/>
    </row>
    <row r="757" spans="3:7" x14ac:dyDescent="0.2">
      <c r="C757" s="89"/>
      <c r="E757" s="111"/>
      <c r="F757" s="111"/>
      <c r="G757" s="111"/>
    </row>
    <row r="758" spans="3:7" x14ac:dyDescent="0.2">
      <c r="C758" s="89"/>
      <c r="E758" s="111"/>
      <c r="F758" s="111"/>
      <c r="G758" s="111"/>
    </row>
    <row r="759" spans="3:7" x14ac:dyDescent="0.2">
      <c r="C759" s="89"/>
      <c r="E759" s="111"/>
      <c r="F759" s="111"/>
      <c r="G759" s="111"/>
    </row>
    <row r="760" spans="3:7" x14ac:dyDescent="0.2">
      <c r="C760" s="89"/>
      <c r="E760" s="111"/>
      <c r="F760" s="111"/>
      <c r="G760" s="111"/>
    </row>
    <row r="761" spans="3:7" x14ac:dyDescent="0.2">
      <c r="C761" s="89"/>
      <c r="E761" s="111"/>
      <c r="F761" s="111"/>
      <c r="G761" s="111"/>
    </row>
    <row r="762" spans="3:7" x14ac:dyDescent="0.2">
      <c r="C762" s="89"/>
      <c r="E762" s="111"/>
      <c r="F762" s="111"/>
      <c r="G762" s="111"/>
    </row>
    <row r="763" spans="3:7" x14ac:dyDescent="0.2">
      <c r="C763" s="89"/>
      <c r="E763" s="111"/>
      <c r="F763" s="111"/>
      <c r="G763" s="111"/>
    </row>
    <row r="764" spans="3:7" x14ac:dyDescent="0.2">
      <c r="C764" s="89"/>
      <c r="E764" s="111"/>
      <c r="F764" s="111"/>
      <c r="G764" s="111"/>
    </row>
    <row r="765" spans="3:7" x14ac:dyDescent="0.2">
      <c r="C765" s="89"/>
      <c r="E765" s="111"/>
      <c r="F765" s="111"/>
      <c r="G765" s="111"/>
    </row>
    <row r="766" spans="3:7" x14ac:dyDescent="0.2">
      <c r="C766" s="89"/>
      <c r="E766" s="111"/>
      <c r="F766" s="111"/>
      <c r="G766" s="111"/>
    </row>
    <row r="767" spans="3:7" x14ac:dyDescent="0.2">
      <c r="C767" s="89"/>
      <c r="E767" s="111"/>
      <c r="F767" s="111"/>
      <c r="G767" s="111"/>
    </row>
    <row r="768" spans="3:7" x14ac:dyDescent="0.2">
      <c r="C768" s="89"/>
      <c r="E768" s="111"/>
      <c r="F768" s="111"/>
      <c r="G768" s="111"/>
    </row>
    <row r="769" spans="3:7" x14ac:dyDescent="0.2">
      <c r="C769" s="89"/>
      <c r="E769" s="111"/>
      <c r="F769" s="111"/>
      <c r="G769" s="111"/>
    </row>
    <row r="770" spans="3:7" x14ac:dyDescent="0.2">
      <c r="C770" s="89"/>
      <c r="E770" s="111"/>
      <c r="F770" s="111"/>
      <c r="G770" s="111"/>
    </row>
    <row r="771" spans="3:7" x14ac:dyDescent="0.2">
      <c r="C771" s="89"/>
      <c r="E771" s="111"/>
      <c r="F771" s="111"/>
      <c r="G771" s="111"/>
    </row>
    <row r="772" spans="3:7" x14ac:dyDescent="0.2">
      <c r="C772" s="89"/>
      <c r="E772" s="111"/>
      <c r="F772" s="111"/>
      <c r="G772" s="111"/>
    </row>
    <row r="773" spans="3:7" x14ac:dyDescent="0.2">
      <c r="C773" s="89"/>
      <c r="E773" s="111"/>
      <c r="F773" s="111"/>
      <c r="G773" s="111"/>
    </row>
    <row r="774" spans="3:7" x14ac:dyDescent="0.2">
      <c r="C774" s="89"/>
      <c r="E774" s="111"/>
      <c r="F774" s="111"/>
      <c r="G774" s="111"/>
    </row>
    <row r="775" spans="3:7" x14ac:dyDescent="0.2">
      <c r="C775" s="89"/>
      <c r="E775" s="111"/>
      <c r="F775" s="111"/>
      <c r="G775" s="111"/>
    </row>
    <row r="776" spans="3:7" x14ac:dyDescent="0.2">
      <c r="C776" s="89"/>
      <c r="E776" s="111"/>
      <c r="F776" s="111"/>
      <c r="G776" s="111"/>
    </row>
    <row r="777" spans="3:7" x14ac:dyDescent="0.2">
      <c r="C777" s="89"/>
      <c r="E777" s="111"/>
      <c r="F777" s="111"/>
      <c r="G777" s="111"/>
    </row>
    <row r="778" spans="3:7" x14ac:dyDescent="0.2">
      <c r="C778" s="89"/>
      <c r="E778" s="111"/>
      <c r="F778" s="111"/>
      <c r="G778" s="111"/>
    </row>
    <row r="779" spans="3:7" x14ac:dyDescent="0.2">
      <c r="C779" s="89"/>
      <c r="E779" s="111"/>
      <c r="F779" s="111"/>
      <c r="G779" s="111"/>
    </row>
    <row r="780" spans="3:7" x14ac:dyDescent="0.2">
      <c r="C780" s="89"/>
      <c r="E780" s="111"/>
      <c r="F780" s="111"/>
      <c r="G780" s="111"/>
    </row>
    <row r="781" spans="3:7" x14ac:dyDescent="0.2">
      <c r="C781" s="89"/>
      <c r="E781" s="111"/>
      <c r="F781" s="111"/>
      <c r="G781" s="111"/>
    </row>
    <row r="782" spans="3:7" x14ac:dyDescent="0.2">
      <c r="C782" s="89"/>
      <c r="E782" s="111"/>
      <c r="F782" s="111"/>
      <c r="G782" s="111"/>
    </row>
    <row r="783" spans="3:7" x14ac:dyDescent="0.2">
      <c r="C783" s="89"/>
      <c r="E783" s="111"/>
      <c r="F783" s="111"/>
      <c r="G783" s="111"/>
    </row>
    <row r="784" spans="3:7" x14ac:dyDescent="0.2">
      <c r="C784" s="89"/>
      <c r="E784" s="111"/>
      <c r="F784" s="111"/>
      <c r="G784" s="111"/>
    </row>
    <row r="785" spans="3:7" x14ac:dyDescent="0.2">
      <c r="C785" s="89"/>
      <c r="E785" s="111"/>
      <c r="F785" s="111"/>
      <c r="G785" s="111"/>
    </row>
    <row r="786" spans="3:7" x14ac:dyDescent="0.2">
      <c r="C786" s="89"/>
      <c r="E786" s="111"/>
      <c r="F786" s="111"/>
      <c r="G786" s="111"/>
    </row>
    <row r="787" spans="3:7" x14ac:dyDescent="0.2">
      <c r="C787" s="89"/>
      <c r="E787" s="111"/>
      <c r="F787" s="111"/>
      <c r="G787" s="111"/>
    </row>
    <row r="788" spans="3:7" x14ac:dyDescent="0.2">
      <c r="C788" s="89"/>
      <c r="E788" s="111"/>
      <c r="F788" s="111"/>
      <c r="G788" s="111"/>
    </row>
    <row r="789" spans="3:7" x14ac:dyDescent="0.2">
      <c r="C789" s="89"/>
      <c r="E789" s="111"/>
      <c r="F789" s="111"/>
      <c r="G789" s="111"/>
    </row>
    <row r="790" spans="3:7" x14ac:dyDescent="0.2">
      <c r="C790" s="89"/>
      <c r="E790" s="111"/>
      <c r="F790" s="111"/>
      <c r="G790" s="111"/>
    </row>
    <row r="791" spans="3:7" x14ac:dyDescent="0.2">
      <c r="C791" s="89"/>
      <c r="E791" s="111"/>
      <c r="F791" s="111"/>
      <c r="G791" s="111"/>
    </row>
    <row r="792" spans="3:7" x14ac:dyDescent="0.2">
      <c r="C792" s="89"/>
      <c r="E792" s="111"/>
      <c r="F792" s="111"/>
      <c r="G792" s="111"/>
    </row>
    <row r="793" spans="3:7" x14ac:dyDescent="0.2">
      <c r="C793" s="89"/>
      <c r="E793" s="111"/>
      <c r="F793" s="111"/>
      <c r="G793" s="111"/>
    </row>
    <row r="794" spans="3:7" x14ac:dyDescent="0.2">
      <c r="C794" s="89"/>
      <c r="E794" s="111"/>
      <c r="F794" s="111"/>
      <c r="G794" s="111"/>
    </row>
    <row r="795" spans="3:7" x14ac:dyDescent="0.2">
      <c r="C795" s="89"/>
      <c r="E795" s="111"/>
      <c r="F795" s="111"/>
      <c r="G795" s="111"/>
    </row>
    <row r="796" spans="3:7" x14ac:dyDescent="0.2">
      <c r="C796" s="89"/>
      <c r="E796" s="111"/>
      <c r="F796" s="111"/>
      <c r="G796" s="111"/>
    </row>
    <row r="797" spans="3:7" x14ac:dyDescent="0.2">
      <c r="C797" s="89"/>
      <c r="E797" s="111"/>
      <c r="F797" s="111"/>
      <c r="G797" s="111"/>
    </row>
    <row r="798" spans="3:7" x14ac:dyDescent="0.2">
      <c r="C798" s="89"/>
      <c r="E798" s="111"/>
      <c r="F798" s="111"/>
      <c r="G798" s="111"/>
    </row>
    <row r="799" spans="3:7" x14ac:dyDescent="0.2">
      <c r="C799" s="89"/>
      <c r="E799" s="111"/>
      <c r="F799" s="111"/>
      <c r="G799" s="111"/>
    </row>
    <row r="800" spans="3:7" x14ac:dyDescent="0.2">
      <c r="C800" s="89"/>
      <c r="E800" s="111"/>
      <c r="F800" s="111"/>
      <c r="G800" s="111"/>
    </row>
    <row r="801" spans="3:7" x14ac:dyDescent="0.2">
      <c r="C801" s="89"/>
      <c r="E801" s="111"/>
      <c r="F801" s="111"/>
      <c r="G801" s="111"/>
    </row>
    <row r="802" spans="3:7" x14ac:dyDescent="0.2">
      <c r="C802" s="89"/>
      <c r="E802" s="111"/>
      <c r="F802" s="111"/>
      <c r="G802" s="111"/>
    </row>
    <row r="803" spans="3:7" x14ac:dyDescent="0.2">
      <c r="C803" s="89"/>
      <c r="E803" s="111"/>
      <c r="F803" s="111"/>
      <c r="G803" s="111"/>
    </row>
    <row r="804" spans="3:7" x14ac:dyDescent="0.2">
      <c r="C804" s="89"/>
      <c r="E804" s="111"/>
      <c r="F804" s="111"/>
      <c r="G804" s="111"/>
    </row>
    <row r="805" spans="3:7" x14ac:dyDescent="0.2">
      <c r="C805" s="89"/>
      <c r="E805" s="111"/>
      <c r="F805" s="111"/>
      <c r="G805" s="111"/>
    </row>
    <row r="806" spans="3:7" x14ac:dyDescent="0.2">
      <c r="C806" s="89"/>
      <c r="E806" s="111"/>
      <c r="F806" s="111"/>
      <c r="G806" s="111"/>
    </row>
    <row r="807" spans="3:7" x14ac:dyDescent="0.2">
      <c r="C807" s="89"/>
      <c r="E807" s="111"/>
      <c r="F807" s="111"/>
      <c r="G807" s="111"/>
    </row>
    <row r="808" spans="3:7" x14ac:dyDescent="0.2">
      <c r="C808" s="89"/>
      <c r="E808" s="111"/>
      <c r="F808" s="111"/>
      <c r="G808" s="111"/>
    </row>
    <row r="809" spans="3:7" x14ac:dyDescent="0.2">
      <c r="C809" s="89"/>
      <c r="E809" s="111"/>
      <c r="F809" s="111"/>
      <c r="G809" s="111"/>
    </row>
    <row r="810" spans="3:7" x14ac:dyDescent="0.2">
      <c r="C810" s="89"/>
      <c r="E810" s="111"/>
      <c r="F810" s="111"/>
      <c r="G810" s="111"/>
    </row>
    <row r="811" spans="3:7" x14ac:dyDescent="0.2">
      <c r="C811" s="89"/>
      <c r="E811" s="111"/>
      <c r="F811" s="111"/>
      <c r="G811" s="111"/>
    </row>
    <row r="812" spans="3:7" x14ac:dyDescent="0.2">
      <c r="C812" s="89"/>
      <c r="E812" s="111"/>
      <c r="F812" s="111"/>
      <c r="G812" s="111"/>
    </row>
    <row r="813" spans="3:7" x14ac:dyDescent="0.2">
      <c r="C813" s="89"/>
      <c r="E813" s="111"/>
      <c r="F813" s="111"/>
      <c r="G813" s="111"/>
    </row>
    <row r="814" spans="3:7" x14ac:dyDescent="0.2">
      <c r="C814" s="89"/>
      <c r="E814" s="111"/>
      <c r="F814" s="111"/>
      <c r="G814" s="111"/>
    </row>
    <row r="815" spans="3:7" x14ac:dyDescent="0.2">
      <c r="C815" s="89"/>
      <c r="E815" s="111"/>
      <c r="F815" s="111"/>
      <c r="G815" s="111"/>
    </row>
    <row r="816" spans="3:7" x14ac:dyDescent="0.2">
      <c r="C816" s="89"/>
      <c r="E816" s="111"/>
      <c r="F816" s="111"/>
      <c r="G816" s="111"/>
    </row>
    <row r="817" spans="3:7" x14ac:dyDescent="0.2">
      <c r="C817" s="89"/>
      <c r="E817" s="111"/>
      <c r="F817" s="111"/>
      <c r="G817" s="111"/>
    </row>
    <row r="818" spans="3:7" x14ac:dyDescent="0.2">
      <c r="C818" s="89"/>
      <c r="E818" s="111"/>
      <c r="F818" s="111"/>
      <c r="G818" s="111"/>
    </row>
    <row r="819" spans="3:7" x14ac:dyDescent="0.2">
      <c r="C819" s="89"/>
      <c r="E819" s="111"/>
      <c r="F819" s="111"/>
      <c r="G819" s="111"/>
    </row>
    <row r="820" spans="3:7" x14ac:dyDescent="0.2">
      <c r="C820" s="89"/>
      <c r="E820" s="111"/>
      <c r="F820" s="111"/>
      <c r="G820" s="111"/>
    </row>
    <row r="821" spans="3:7" x14ac:dyDescent="0.2">
      <c r="C821" s="89"/>
      <c r="E821" s="111"/>
      <c r="F821" s="111"/>
      <c r="G821" s="111"/>
    </row>
    <row r="822" spans="3:7" x14ac:dyDescent="0.2">
      <c r="C822" s="89"/>
      <c r="E822" s="111"/>
      <c r="F822" s="111"/>
      <c r="G822" s="111"/>
    </row>
    <row r="823" spans="3:7" x14ac:dyDescent="0.2">
      <c r="C823" s="89"/>
      <c r="E823" s="111"/>
      <c r="F823" s="111"/>
      <c r="G823" s="111"/>
    </row>
    <row r="824" spans="3:7" x14ac:dyDescent="0.2">
      <c r="C824" s="89"/>
      <c r="E824" s="111"/>
      <c r="F824" s="111"/>
      <c r="G824" s="111"/>
    </row>
    <row r="825" spans="3:7" x14ac:dyDescent="0.2">
      <c r="C825" s="89"/>
      <c r="E825" s="111"/>
      <c r="F825" s="111"/>
      <c r="G825" s="111"/>
    </row>
    <row r="826" spans="3:7" x14ac:dyDescent="0.2">
      <c r="C826" s="89"/>
      <c r="E826" s="111"/>
      <c r="F826" s="111"/>
      <c r="G826" s="111"/>
    </row>
    <row r="827" spans="3:7" x14ac:dyDescent="0.2">
      <c r="C827" s="89"/>
      <c r="E827" s="111"/>
      <c r="F827" s="111"/>
      <c r="G827" s="111"/>
    </row>
    <row r="828" spans="3:7" x14ac:dyDescent="0.2">
      <c r="C828" s="89"/>
      <c r="E828" s="111"/>
      <c r="F828" s="111"/>
      <c r="G828" s="111"/>
    </row>
    <row r="829" spans="3:7" x14ac:dyDescent="0.2">
      <c r="C829" s="89"/>
      <c r="E829" s="111"/>
      <c r="F829" s="111"/>
      <c r="G829" s="111"/>
    </row>
    <row r="830" spans="3:7" x14ac:dyDescent="0.2">
      <c r="C830" s="89"/>
      <c r="E830" s="111"/>
      <c r="F830" s="111"/>
      <c r="G830" s="111"/>
    </row>
    <row r="831" spans="3:7" x14ac:dyDescent="0.2">
      <c r="C831" s="89"/>
      <c r="E831" s="111"/>
      <c r="F831" s="111"/>
      <c r="G831" s="111"/>
    </row>
    <row r="832" spans="3:7" x14ac:dyDescent="0.2">
      <c r="C832" s="89"/>
      <c r="E832" s="111"/>
      <c r="F832" s="111"/>
      <c r="G832" s="111"/>
    </row>
    <row r="833" spans="3:7" x14ac:dyDescent="0.2">
      <c r="C833" s="89"/>
      <c r="E833" s="111"/>
      <c r="F833" s="111"/>
      <c r="G833" s="111"/>
    </row>
    <row r="834" spans="3:7" x14ac:dyDescent="0.2">
      <c r="C834" s="89"/>
      <c r="E834" s="111"/>
      <c r="F834" s="111"/>
      <c r="G834" s="111"/>
    </row>
    <row r="835" spans="3:7" x14ac:dyDescent="0.2">
      <c r="C835" s="89"/>
      <c r="E835" s="111"/>
      <c r="F835" s="111"/>
      <c r="G835" s="111"/>
    </row>
    <row r="836" spans="3:7" x14ac:dyDescent="0.2">
      <c r="C836" s="89"/>
      <c r="E836" s="111"/>
      <c r="F836" s="111"/>
      <c r="G836" s="111"/>
    </row>
    <row r="837" spans="3:7" x14ac:dyDescent="0.2">
      <c r="C837" s="89"/>
      <c r="E837" s="111"/>
      <c r="F837" s="111"/>
      <c r="G837" s="111"/>
    </row>
    <row r="838" spans="3:7" x14ac:dyDescent="0.2">
      <c r="C838" s="89"/>
      <c r="E838" s="111"/>
      <c r="F838" s="111"/>
      <c r="G838" s="111"/>
    </row>
    <row r="839" spans="3:7" x14ac:dyDescent="0.2">
      <c r="C839" s="89"/>
      <c r="E839" s="111"/>
      <c r="F839" s="111"/>
      <c r="G839" s="111"/>
    </row>
    <row r="840" spans="3:7" x14ac:dyDescent="0.2">
      <c r="C840" s="89"/>
      <c r="E840" s="111"/>
      <c r="F840" s="111"/>
      <c r="G840" s="111"/>
    </row>
    <row r="841" spans="3:7" x14ac:dyDescent="0.2">
      <c r="C841" s="89"/>
      <c r="E841" s="111"/>
      <c r="F841" s="111"/>
      <c r="G841" s="111"/>
    </row>
    <row r="842" spans="3:7" x14ac:dyDescent="0.2">
      <c r="C842" s="89"/>
      <c r="E842" s="111"/>
      <c r="F842" s="111"/>
      <c r="G842" s="111"/>
    </row>
    <row r="843" spans="3:7" x14ac:dyDescent="0.2">
      <c r="C843" s="89"/>
      <c r="E843" s="111"/>
      <c r="F843" s="111"/>
      <c r="G843" s="111"/>
    </row>
    <row r="844" spans="3:7" x14ac:dyDescent="0.2">
      <c r="C844" s="89"/>
      <c r="E844" s="111"/>
      <c r="F844" s="111"/>
      <c r="G844" s="111"/>
    </row>
    <row r="845" spans="3:7" x14ac:dyDescent="0.2">
      <c r="C845" s="89"/>
      <c r="E845" s="111"/>
      <c r="F845" s="111"/>
      <c r="G845" s="111"/>
    </row>
    <row r="846" spans="3:7" x14ac:dyDescent="0.2">
      <c r="C846" s="89"/>
      <c r="E846" s="111"/>
      <c r="F846" s="111"/>
      <c r="G846" s="111"/>
    </row>
    <row r="847" spans="3:7" x14ac:dyDescent="0.2">
      <c r="C847" s="89"/>
      <c r="E847" s="111"/>
      <c r="F847" s="111"/>
      <c r="G847" s="111"/>
    </row>
    <row r="848" spans="3:7" x14ac:dyDescent="0.2">
      <c r="C848" s="89"/>
      <c r="E848" s="111"/>
      <c r="F848" s="111"/>
      <c r="G848" s="111"/>
    </row>
    <row r="849" spans="3:7" x14ac:dyDescent="0.2">
      <c r="C849" s="89"/>
      <c r="E849" s="111"/>
      <c r="F849" s="111"/>
      <c r="G849" s="111"/>
    </row>
    <row r="850" spans="3:7" x14ac:dyDescent="0.2">
      <c r="C850" s="89"/>
      <c r="E850" s="111"/>
      <c r="F850" s="111"/>
      <c r="G850" s="111"/>
    </row>
    <row r="851" spans="3:7" x14ac:dyDescent="0.2">
      <c r="C851" s="89"/>
      <c r="E851" s="111"/>
      <c r="F851" s="111"/>
      <c r="G851" s="111"/>
    </row>
    <row r="852" spans="3:7" x14ac:dyDescent="0.2">
      <c r="C852" s="89"/>
      <c r="E852" s="111"/>
      <c r="F852" s="111"/>
      <c r="G852" s="111"/>
    </row>
    <row r="853" spans="3:7" x14ac:dyDescent="0.2">
      <c r="C853" s="89"/>
      <c r="E853" s="111"/>
      <c r="F853" s="111"/>
      <c r="G853" s="111"/>
    </row>
    <row r="854" spans="3:7" x14ac:dyDescent="0.2">
      <c r="C854" s="89"/>
      <c r="E854" s="111"/>
      <c r="F854" s="111"/>
      <c r="G854" s="111"/>
    </row>
    <row r="855" spans="3:7" x14ac:dyDescent="0.2">
      <c r="C855" s="89"/>
      <c r="E855" s="111"/>
      <c r="F855" s="111"/>
      <c r="G855" s="111"/>
    </row>
    <row r="856" spans="3:7" x14ac:dyDescent="0.2">
      <c r="C856" s="89"/>
      <c r="E856" s="111"/>
      <c r="F856" s="111"/>
      <c r="G856" s="111"/>
    </row>
    <row r="857" spans="3:7" x14ac:dyDescent="0.2">
      <c r="C857" s="89"/>
      <c r="E857" s="111"/>
      <c r="F857" s="111"/>
      <c r="G857" s="111"/>
    </row>
    <row r="858" spans="3:7" x14ac:dyDescent="0.2">
      <c r="C858" s="89"/>
      <c r="E858" s="111"/>
      <c r="F858" s="111"/>
      <c r="G858" s="111"/>
    </row>
    <row r="859" spans="3:7" x14ac:dyDescent="0.2">
      <c r="C859" s="89"/>
      <c r="E859" s="111"/>
      <c r="F859" s="111"/>
      <c r="G859" s="111"/>
    </row>
    <row r="860" spans="3:7" x14ac:dyDescent="0.2">
      <c r="C860" s="89"/>
      <c r="E860" s="111"/>
      <c r="F860" s="111"/>
      <c r="G860" s="111"/>
    </row>
    <row r="861" spans="3:7" x14ac:dyDescent="0.2">
      <c r="C861" s="89"/>
      <c r="E861" s="111"/>
      <c r="F861" s="111"/>
      <c r="G861" s="111"/>
    </row>
    <row r="862" spans="3:7" x14ac:dyDescent="0.2">
      <c r="C862" s="89"/>
      <c r="E862" s="111"/>
      <c r="F862" s="111"/>
      <c r="G862" s="111"/>
    </row>
    <row r="863" spans="3:7" x14ac:dyDescent="0.2">
      <c r="C863" s="89"/>
      <c r="E863" s="111"/>
      <c r="F863" s="111"/>
      <c r="G863" s="111"/>
    </row>
    <row r="864" spans="3:7" x14ac:dyDescent="0.2">
      <c r="C864" s="89"/>
      <c r="E864" s="111"/>
      <c r="F864" s="111"/>
      <c r="G864" s="111"/>
    </row>
    <row r="865" spans="3:7" x14ac:dyDescent="0.2">
      <c r="C865" s="89"/>
      <c r="E865" s="111"/>
      <c r="F865" s="111"/>
      <c r="G865" s="111"/>
    </row>
    <row r="866" spans="3:7" x14ac:dyDescent="0.2">
      <c r="C866" s="89"/>
      <c r="E866" s="111"/>
      <c r="F866" s="111"/>
      <c r="G866" s="111"/>
    </row>
    <row r="867" spans="3:7" x14ac:dyDescent="0.2">
      <c r="C867" s="89"/>
      <c r="E867" s="111"/>
      <c r="F867" s="111"/>
      <c r="G867" s="111"/>
    </row>
    <row r="868" spans="3:7" x14ac:dyDescent="0.2">
      <c r="C868" s="89"/>
      <c r="E868" s="111"/>
      <c r="F868" s="111"/>
      <c r="G868" s="111"/>
    </row>
    <row r="869" spans="3:7" x14ac:dyDescent="0.2">
      <c r="C869" s="89"/>
      <c r="E869" s="111"/>
      <c r="F869" s="111"/>
      <c r="G869" s="111"/>
    </row>
    <row r="870" spans="3:7" x14ac:dyDescent="0.2">
      <c r="C870" s="89"/>
      <c r="E870" s="111"/>
      <c r="F870" s="111"/>
      <c r="G870" s="111"/>
    </row>
    <row r="871" spans="3:7" x14ac:dyDescent="0.2">
      <c r="C871" s="89"/>
      <c r="E871" s="111"/>
      <c r="F871" s="111"/>
      <c r="G871" s="111"/>
    </row>
    <row r="872" spans="3:7" x14ac:dyDescent="0.2">
      <c r="C872" s="89"/>
      <c r="E872" s="111"/>
      <c r="F872" s="111"/>
      <c r="G872" s="111"/>
    </row>
    <row r="873" spans="3:7" x14ac:dyDescent="0.2">
      <c r="C873" s="89"/>
      <c r="E873" s="111"/>
      <c r="F873" s="111"/>
      <c r="G873" s="111"/>
    </row>
    <row r="874" spans="3:7" x14ac:dyDescent="0.2">
      <c r="C874" s="89"/>
      <c r="E874" s="111"/>
      <c r="F874" s="111"/>
      <c r="G874" s="111"/>
    </row>
    <row r="875" spans="3:7" x14ac:dyDescent="0.2">
      <c r="C875" s="89"/>
      <c r="E875" s="111"/>
      <c r="F875" s="111"/>
      <c r="G875" s="111"/>
    </row>
    <row r="876" spans="3:7" x14ac:dyDescent="0.2">
      <c r="C876" s="89"/>
      <c r="E876" s="111"/>
      <c r="F876" s="111"/>
      <c r="G876" s="111"/>
    </row>
    <row r="877" spans="3:7" x14ac:dyDescent="0.2">
      <c r="C877" s="89"/>
      <c r="E877" s="111"/>
      <c r="F877" s="111"/>
      <c r="G877" s="111"/>
    </row>
    <row r="878" spans="3:7" x14ac:dyDescent="0.2">
      <c r="C878" s="89"/>
      <c r="E878" s="111"/>
      <c r="F878" s="111"/>
      <c r="G878" s="111"/>
    </row>
    <row r="879" spans="3:7" x14ac:dyDescent="0.2">
      <c r="C879" s="89"/>
      <c r="E879" s="111"/>
      <c r="F879" s="111"/>
      <c r="G879" s="111"/>
    </row>
    <row r="880" spans="3:7" x14ac:dyDescent="0.2">
      <c r="C880" s="89"/>
      <c r="E880" s="111"/>
      <c r="F880" s="111"/>
      <c r="G880" s="111"/>
    </row>
    <row r="881" spans="3:7" x14ac:dyDescent="0.2">
      <c r="C881" s="89"/>
      <c r="E881" s="111"/>
      <c r="F881" s="111"/>
      <c r="G881" s="111"/>
    </row>
    <row r="882" spans="3:7" x14ac:dyDescent="0.2">
      <c r="C882" s="89"/>
      <c r="E882" s="111"/>
      <c r="F882" s="111"/>
      <c r="G882" s="111"/>
    </row>
    <row r="883" spans="3:7" x14ac:dyDescent="0.2">
      <c r="C883" s="89"/>
      <c r="E883" s="111"/>
      <c r="F883" s="111"/>
      <c r="G883" s="111"/>
    </row>
    <row r="884" spans="3:7" x14ac:dyDescent="0.2">
      <c r="C884" s="89"/>
      <c r="E884" s="111"/>
      <c r="F884" s="111"/>
      <c r="G884" s="111"/>
    </row>
    <row r="885" spans="3:7" x14ac:dyDescent="0.2">
      <c r="C885" s="89"/>
      <c r="E885" s="111"/>
      <c r="F885" s="111"/>
      <c r="G885" s="111"/>
    </row>
    <row r="886" spans="3:7" x14ac:dyDescent="0.2">
      <c r="C886" s="89"/>
      <c r="E886" s="111"/>
      <c r="F886" s="111"/>
      <c r="G886" s="111"/>
    </row>
    <row r="887" spans="3:7" x14ac:dyDescent="0.2">
      <c r="C887" s="89"/>
      <c r="E887" s="111"/>
      <c r="F887" s="111"/>
      <c r="G887" s="111"/>
    </row>
    <row r="888" spans="3:7" x14ac:dyDescent="0.2">
      <c r="C888" s="89"/>
      <c r="E888" s="111"/>
      <c r="F888" s="111"/>
      <c r="G888" s="111"/>
    </row>
    <row r="889" spans="3:7" x14ac:dyDescent="0.2">
      <c r="C889" s="89"/>
      <c r="E889" s="111"/>
      <c r="F889" s="111"/>
      <c r="G889" s="111"/>
    </row>
    <row r="890" spans="3:7" x14ac:dyDescent="0.2">
      <c r="C890" s="89"/>
      <c r="E890" s="111"/>
      <c r="F890" s="111"/>
      <c r="G890" s="111"/>
    </row>
    <row r="891" spans="3:7" x14ac:dyDescent="0.2">
      <c r="C891" s="89"/>
      <c r="E891" s="111"/>
      <c r="F891" s="111"/>
      <c r="G891" s="111"/>
    </row>
    <row r="892" spans="3:7" x14ac:dyDescent="0.2">
      <c r="C892" s="89"/>
      <c r="E892" s="111"/>
      <c r="F892" s="111"/>
      <c r="G892" s="111"/>
    </row>
    <row r="893" spans="3:7" x14ac:dyDescent="0.2">
      <c r="C893" s="89"/>
      <c r="E893" s="111"/>
      <c r="F893" s="111"/>
      <c r="G893" s="111"/>
    </row>
    <row r="894" spans="3:7" x14ac:dyDescent="0.2">
      <c r="C894" s="89"/>
      <c r="E894" s="111"/>
      <c r="F894" s="111"/>
      <c r="G894" s="111"/>
    </row>
    <row r="895" spans="3:7" x14ac:dyDescent="0.2">
      <c r="C895" s="89"/>
      <c r="E895" s="111"/>
      <c r="F895" s="111"/>
      <c r="G895" s="111"/>
    </row>
    <row r="896" spans="3:7" x14ac:dyDescent="0.2">
      <c r="C896" s="89"/>
      <c r="E896" s="111"/>
      <c r="F896" s="111"/>
      <c r="G896" s="111"/>
    </row>
    <row r="897" spans="3:7" x14ac:dyDescent="0.2">
      <c r="C897" s="89"/>
      <c r="E897" s="111"/>
      <c r="F897" s="111"/>
      <c r="G897" s="111"/>
    </row>
    <row r="898" spans="3:7" x14ac:dyDescent="0.2">
      <c r="C898" s="89"/>
      <c r="E898" s="111"/>
      <c r="F898" s="111"/>
      <c r="G898" s="111"/>
    </row>
    <row r="899" spans="3:7" x14ac:dyDescent="0.2">
      <c r="C899" s="89"/>
      <c r="E899" s="111"/>
      <c r="F899" s="111"/>
      <c r="G899" s="111"/>
    </row>
    <row r="900" spans="3:7" x14ac:dyDescent="0.2">
      <c r="C900" s="89"/>
      <c r="E900" s="111"/>
      <c r="F900" s="111"/>
      <c r="G900" s="111"/>
    </row>
    <row r="901" spans="3:7" x14ac:dyDescent="0.2">
      <c r="C901" s="89"/>
      <c r="E901" s="111"/>
      <c r="F901" s="111"/>
      <c r="G901" s="111"/>
    </row>
    <row r="902" spans="3:7" x14ac:dyDescent="0.2">
      <c r="C902" s="89"/>
      <c r="E902" s="111"/>
      <c r="F902" s="111"/>
      <c r="G902" s="111"/>
    </row>
    <row r="903" spans="3:7" x14ac:dyDescent="0.2">
      <c r="C903" s="89"/>
      <c r="E903" s="111"/>
      <c r="F903" s="111"/>
      <c r="G903" s="111"/>
    </row>
    <row r="904" spans="3:7" x14ac:dyDescent="0.2">
      <c r="C904" s="89"/>
      <c r="E904" s="111"/>
      <c r="F904" s="111"/>
      <c r="G904" s="111"/>
    </row>
    <row r="905" spans="3:7" x14ac:dyDescent="0.2">
      <c r="C905" s="89"/>
      <c r="E905" s="111"/>
      <c r="F905" s="111"/>
      <c r="G905" s="111"/>
    </row>
    <row r="906" spans="3:7" x14ac:dyDescent="0.2">
      <c r="C906" s="89"/>
      <c r="E906" s="111"/>
      <c r="F906" s="111"/>
      <c r="G906" s="111"/>
    </row>
    <row r="907" spans="3:7" x14ac:dyDescent="0.2">
      <c r="C907" s="89"/>
      <c r="E907" s="111"/>
      <c r="F907" s="111"/>
      <c r="G907" s="111"/>
    </row>
    <row r="908" spans="3:7" x14ac:dyDescent="0.2">
      <c r="C908" s="89"/>
      <c r="E908" s="111"/>
      <c r="F908" s="111"/>
      <c r="G908" s="111"/>
    </row>
    <row r="909" spans="3:7" x14ac:dyDescent="0.2">
      <c r="C909" s="89"/>
      <c r="E909" s="111"/>
      <c r="F909" s="111"/>
      <c r="G909" s="111"/>
    </row>
    <row r="910" spans="3:7" x14ac:dyDescent="0.2">
      <c r="C910" s="89"/>
      <c r="E910" s="111"/>
      <c r="F910" s="111"/>
      <c r="G910" s="111"/>
    </row>
    <row r="911" spans="3:7" x14ac:dyDescent="0.2">
      <c r="C911" s="89"/>
      <c r="E911" s="111"/>
      <c r="F911" s="111"/>
      <c r="G911" s="111"/>
    </row>
    <row r="912" spans="3:7" x14ac:dyDescent="0.2">
      <c r="C912" s="89"/>
      <c r="E912" s="111"/>
      <c r="F912" s="111"/>
      <c r="G912" s="111"/>
    </row>
    <row r="913" spans="3:7" x14ac:dyDescent="0.2">
      <c r="C913" s="89"/>
      <c r="E913" s="111"/>
      <c r="F913" s="111"/>
      <c r="G913" s="111"/>
    </row>
    <row r="914" spans="3:7" x14ac:dyDescent="0.2">
      <c r="C914" s="89"/>
      <c r="E914" s="111"/>
      <c r="F914" s="111"/>
      <c r="G914" s="111"/>
    </row>
    <row r="915" spans="3:7" x14ac:dyDescent="0.2">
      <c r="C915" s="89"/>
      <c r="E915" s="111"/>
      <c r="F915" s="111"/>
      <c r="G915" s="111"/>
    </row>
    <row r="916" spans="3:7" x14ac:dyDescent="0.2">
      <c r="C916" s="89"/>
      <c r="E916" s="111"/>
      <c r="F916" s="111"/>
      <c r="G916" s="111"/>
    </row>
    <row r="917" spans="3:7" x14ac:dyDescent="0.2">
      <c r="C917" s="89"/>
      <c r="E917" s="111"/>
      <c r="F917" s="111"/>
      <c r="G917" s="111"/>
    </row>
    <row r="918" spans="3:7" x14ac:dyDescent="0.2">
      <c r="C918" s="89"/>
      <c r="E918" s="111"/>
      <c r="F918" s="111"/>
      <c r="G918" s="111"/>
    </row>
    <row r="919" spans="3:7" x14ac:dyDescent="0.2">
      <c r="C919" s="89"/>
      <c r="E919" s="111"/>
      <c r="F919" s="111"/>
      <c r="G919" s="111"/>
    </row>
    <row r="920" spans="3:7" x14ac:dyDescent="0.2">
      <c r="C920" s="89"/>
      <c r="E920" s="111"/>
      <c r="F920" s="111"/>
      <c r="G920" s="111"/>
    </row>
    <row r="921" spans="3:7" x14ac:dyDescent="0.2">
      <c r="C921" s="89"/>
      <c r="E921" s="111"/>
      <c r="F921" s="111"/>
      <c r="G921" s="111"/>
    </row>
    <row r="922" spans="3:7" x14ac:dyDescent="0.2">
      <c r="C922" s="89"/>
      <c r="E922" s="111"/>
      <c r="F922" s="111"/>
      <c r="G922" s="111"/>
    </row>
    <row r="923" spans="3:7" x14ac:dyDescent="0.2">
      <c r="C923" s="89"/>
      <c r="E923" s="111"/>
      <c r="F923" s="111"/>
      <c r="G923" s="111"/>
    </row>
    <row r="924" spans="3:7" x14ac:dyDescent="0.2">
      <c r="C924" s="89"/>
      <c r="E924" s="111"/>
      <c r="F924" s="111"/>
      <c r="G924" s="111"/>
    </row>
    <row r="925" spans="3:7" x14ac:dyDescent="0.2">
      <c r="C925" s="89"/>
      <c r="E925" s="111"/>
      <c r="F925" s="111"/>
      <c r="G925" s="111"/>
    </row>
    <row r="926" spans="3:7" x14ac:dyDescent="0.2">
      <c r="C926" s="89"/>
      <c r="E926" s="111"/>
      <c r="F926" s="111"/>
      <c r="G926" s="111"/>
    </row>
    <row r="927" spans="3:7" x14ac:dyDescent="0.2">
      <c r="C927" s="89"/>
      <c r="E927" s="111"/>
      <c r="F927" s="111"/>
      <c r="G927" s="111"/>
    </row>
    <row r="928" spans="3:7" x14ac:dyDescent="0.2">
      <c r="C928" s="89"/>
      <c r="E928" s="111"/>
      <c r="F928" s="111"/>
      <c r="G928" s="111"/>
    </row>
    <row r="929" spans="3:7" x14ac:dyDescent="0.2">
      <c r="C929" s="89"/>
      <c r="E929" s="111"/>
      <c r="F929" s="111"/>
      <c r="G929" s="111"/>
    </row>
    <row r="930" spans="3:7" x14ac:dyDescent="0.2">
      <c r="C930" s="89"/>
      <c r="E930" s="111"/>
      <c r="F930" s="111"/>
      <c r="G930" s="111"/>
    </row>
    <row r="931" spans="3:7" x14ac:dyDescent="0.2">
      <c r="C931" s="89"/>
      <c r="E931" s="111"/>
      <c r="F931" s="111"/>
      <c r="G931" s="111"/>
    </row>
    <row r="932" spans="3:7" x14ac:dyDescent="0.2">
      <c r="C932" s="89"/>
      <c r="E932" s="111"/>
      <c r="F932" s="111"/>
      <c r="G932" s="111"/>
    </row>
    <row r="933" spans="3:7" x14ac:dyDescent="0.2">
      <c r="C933" s="89"/>
      <c r="E933" s="111"/>
      <c r="F933" s="111"/>
      <c r="G933" s="111"/>
    </row>
    <row r="934" spans="3:7" x14ac:dyDescent="0.2">
      <c r="C934" s="89"/>
      <c r="E934" s="111"/>
      <c r="F934" s="111"/>
      <c r="G934" s="111"/>
    </row>
    <row r="935" spans="3:7" x14ac:dyDescent="0.2">
      <c r="C935" s="89"/>
      <c r="E935" s="111"/>
      <c r="F935" s="111"/>
      <c r="G935" s="111"/>
    </row>
    <row r="936" spans="3:7" x14ac:dyDescent="0.2">
      <c r="C936" s="89"/>
      <c r="E936" s="111"/>
      <c r="F936" s="111"/>
      <c r="G936" s="111"/>
    </row>
    <row r="937" spans="3:7" x14ac:dyDescent="0.2">
      <c r="C937" s="89"/>
      <c r="E937" s="111"/>
      <c r="F937" s="111"/>
      <c r="G937" s="111"/>
    </row>
    <row r="938" spans="3:7" x14ac:dyDescent="0.2">
      <c r="C938" s="89"/>
      <c r="E938" s="111"/>
      <c r="F938" s="111"/>
      <c r="G938" s="111"/>
    </row>
    <row r="939" spans="3:7" x14ac:dyDescent="0.2">
      <c r="C939" s="89"/>
      <c r="E939" s="111"/>
      <c r="F939" s="111"/>
      <c r="G939" s="111"/>
    </row>
    <row r="940" spans="3:7" x14ac:dyDescent="0.2">
      <c r="C940" s="89"/>
      <c r="E940" s="111"/>
      <c r="F940" s="111"/>
      <c r="G940" s="111"/>
    </row>
    <row r="941" spans="3:7" x14ac:dyDescent="0.2">
      <c r="C941" s="89"/>
      <c r="E941" s="111"/>
      <c r="F941" s="111"/>
      <c r="G941" s="111"/>
    </row>
    <row r="942" spans="3:7" x14ac:dyDescent="0.2">
      <c r="C942" s="89"/>
      <c r="E942" s="111"/>
      <c r="F942" s="111"/>
      <c r="G942" s="111"/>
    </row>
    <row r="943" spans="3:7" x14ac:dyDescent="0.2">
      <c r="C943" s="89"/>
      <c r="E943" s="111"/>
      <c r="F943" s="111"/>
      <c r="G943" s="111"/>
    </row>
    <row r="944" spans="3:7" x14ac:dyDescent="0.2">
      <c r="C944" s="89"/>
      <c r="E944" s="111"/>
      <c r="F944" s="111"/>
      <c r="G944" s="111"/>
    </row>
    <row r="945" spans="3:7" x14ac:dyDescent="0.2">
      <c r="C945" s="89"/>
      <c r="E945" s="111"/>
      <c r="F945" s="111"/>
      <c r="G945" s="111"/>
    </row>
    <row r="946" spans="3:7" x14ac:dyDescent="0.2">
      <c r="C946" s="89"/>
      <c r="E946" s="111"/>
      <c r="F946" s="111"/>
      <c r="G946" s="111"/>
    </row>
    <row r="947" spans="3:7" x14ac:dyDescent="0.2">
      <c r="C947" s="89"/>
      <c r="E947" s="111"/>
      <c r="F947" s="111"/>
      <c r="G947" s="111"/>
    </row>
    <row r="948" spans="3:7" x14ac:dyDescent="0.2">
      <c r="C948" s="89"/>
      <c r="E948" s="111"/>
      <c r="F948" s="111"/>
      <c r="G948" s="111"/>
    </row>
    <row r="949" spans="3:7" x14ac:dyDescent="0.2">
      <c r="C949" s="89"/>
      <c r="E949" s="111"/>
      <c r="F949" s="111"/>
      <c r="G949" s="111"/>
    </row>
    <row r="950" spans="3:7" x14ac:dyDescent="0.2">
      <c r="C950" s="89"/>
      <c r="E950" s="111"/>
      <c r="F950" s="111"/>
      <c r="G950" s="111"/>
    </row>
    <row r="951" spans="3:7" x14ac:dyDescent="0.2">
      <c r="C951" s="89"/>
      <c r="E951" s="111"/>
      <c r="F951" s="111"/>
      <c r="G951" s="111"/>
    </row>
    <row r="952" spans="3:7" x14ac:dyDescent="0.2">
      <c r="C952" s="89"/>
      <c r="E952" s="111"/>
      <c r="F952" s="111"/>
      <c r="G952" s="111"/>
    </row>
    <row r="953" spans="3:7" x14ac:dyDescent="0.2">
      <c r="C953" s="89"/>
      <c r="E953" s="111"/>
      <c r="F953" s="111"/>
      <c r="G953" s="111"/>
    </row>
    <row r="954" spans="3:7" x14ac:dyDescent="0.2">
      <c r="C954" s="89"/>
      <c r="E954" s="111"/>
      <c r="F954" s="111"/>
      <c r="G954" s="111"/>
    </row>
    <row r="955" spans="3:7" x14ac:dyDescent="0.2">
      <c r="C955" s="89"/>
      <c r="E955" s="111"/>
      <c r="F955" s="111"/>
      <c r="G955" s="111"/>
    </row>
    <row r="956" spans="3:7" x14ac:dyDescent="0.2">
      <c r="C956" s="89"/>
      <c r="E956" s="111"/>
      <c r="F956" s="111"/>
      <c r="G956" s="111"/>
    </row>
    <row r="957" spans="3:7" x14ac:dyDescent="0.2">
      <c r="C957" s="89"/>
      <c r="E957" s="111"/>
      <c r="F957" s="111"/>
      <c r="G957" s="111"/>
    </row>
    <row r="958" spans="3:7" x14ac:dyDescent="0.2">
      <c r="C958" s="89"/>
      <c r="E958" s="111"/>
      <c r="F958" s="111"/>
      <c r="G958" s="111"/>
    </row>
    <row r="959" spans="3:7" x14ac:dyDescent="0.2">
      <c r="C959" s="89"/>
      <c r="E959" s="111"/>
      <c r="F959" s="111"/>
      <c r="G959" s="111"/>
    </row>
    <row r="960" spans="3:7" x14ac:dyDescent="0.2">
      <c r="C960" s="89"/>
      <c r="E960" s="111"/>
      <c r="F960" s="111"/>
      <c r="G960" s="111"/>
    </row>
    <row r="961" spans="3:7" x14ac:dyDescent="0.2">
      <c r="C961" s="89"/>
      <c r="E961" s="111"/>
      <c r="F961" s="111"/>
      <c r="G961" s="111"/>
    </row>
    <row r="962" spans="3:7" x14ac:dyDescent="0.2">
      <c r="C962" s="89"/>
      <c r="E962" s="111"/>
      <c r="F962" s="111"/>
      <c r="G962" s="111"/>
    </row>
    <row r="963" spans="3:7" x14ac:dyDescent="0.2">
      <c r="C963" s="89"/>
      <c r="E963" s="111"/>
      <c r="F963" s="111"/>
      <c r="G963" s="111"/>
    </row>
    <row r="964" spans="3:7" x14ac:dyDescent="0.2">
      <c r="C964" s="89"/>
      <c r="E964" s="111"/>
      <c r="F964" s="111"/>
      <c r="G964" s="111"/>
    </row>
    <row r="965" spans="3:7" x14ac:dyDescent="0.2">
      <c r="C965" s="89"/>
      <c r="E965" s="111"/>
      <c r="F965" s="111"/>
      <c r="G965" s="111"/>
    </row>
    <row r="966" spans="3:7" x14ac:dyDescent="0.2">
      <c r="C966" s="89"/>
      <c r="E966" s="111"/>
      <c r="F966" s="111"/>
      <c r="G966" s="111"/>
    </row>
    <row r="967" spans="3:7" x14ac:dyDescent="0.2">
      <c r="C967" s="89"/>
      <c r="E967" s="111"/>
      <c r="F967" s="111"/>
      <c r="G967" s="111"/>
    </row>
    <row r="968" spans="3:7" x14ac:dyDescent="0.2">
      <c r="C968" s="89"/>
      <c r="E968" s="111"/>
      <c r="F968" s="111"/>
      <c r="G968" s="111"/>
    </row>
    <row r="969" spans="3:7" x14ac:dyDescent="0.2">
      <c r="C969" s="89"/>
      <c r="E969" s="111"/>
      <c r="F969" s="111"/>
      <c r="G969" s="111"/>
    </row>
    <row r="970" spans="3:7" x14ac:dyDescent="0.2">
      <c r="C970" s="89"/>
      <c r="E970" s="111"/>
      <c r="F970" s="111"/>
      <c r="G970" s="111"/>
    </row>
    <row r="971" spans="3:7" x14ac:dyDescent="0.2">
      <c r="C971" s="89"/>
      <c r="E971" s="111"/>
      <c r="F971" s="111"/>
      <c r="G971" s="111"/>
    </row>
    <row r="972" spans="3:7" x14ac:dyDescent="0.2">
      <c r="C972" s="89"/>
      <c r="E972" s="111"/>
      <c r="F972" s="111"/>
      <c r="G972" s="111"/>
    </row>
    <row r="973" spans="3:7" x14ac:dyDescent="0.2">
      <c r="C973" s="89"/>
      <c r="E973" s="111"/>
      <c r="F973" s="111"/>
      <c r="G973" s="111"/>
    </row>
    <row r="974" spans="3:7" x14ac:dyDescent="0.2">
      <c r="C974" s="89"/>
      <c r="E974" s="111"/>
      <c r="F974" s="111"/>
      <c r="G974" s="111"/>
    </row>
    <row r="975" spans="3:7" x14ac:dyDescent="0.2">
      <c r="C975" s="89"/>
      <c r="E975" s="111"/>
      <c r="F975" s="111"/>
      <c r="G975" s="111"/>
    </row>
    <row r="976" spans="3:7" x14ac:dyDescent="0.2">
      <c r="C976" s="89"/>
      <c r="E976" s="111"/>
      <c r="F976" s="111"/>
      <c r="G976" s="111"/>
    </row>
    <row r="977" spans="3:7" x14ac:dyDescent="0.2">
      <c r="C977" s="89"/>
      <c r="E977" s="111"/>
      <c r="F977" s="111"/>
      <c r="G977" s="111"/>
    </row>
    <row r="978" spans="3:7" x14ac:dyDescent="0.2">
      <c r="C978" s="89"/>
      <c r="E978" s="111"/>
      <c r="F978" s="111"/>
      <c r="G978" s="111"/>
    </row>
    <row r="979" spans="3:7" x14ac:dyDescent="0.2">
      <c r="C979" s="89"/>
      <c r="E979" s="111"/>
      <c r="F979" s="111"/>
      <c r="G979" s="111"/>
    </row>
    <row r="980" spans="3:7" x14ac:dyDescent="0.2">
      <c r="C980" s="89"/>
      <c r="E980" s="111"/>
      <c r="F980" s="111"/>
      <c r="G980" s="111"/>
    </row>
    <row r="981" spans="3:7" x14ac:dyDescent="0.2">
      <c r="C981" s="89"/>
      <c r="E981" s="111"/>
      <c r="F981" s="111"/>
      <c r="G981" s="111"/>
    </row>
    <row r="982" spans="3:7" x14ac:dyDescent="0.2">
      <c r="C982" s="89"/>
      <c r="E982" s="111"/>
      <c r="F982" s="111"/>
      <c r="G982" s="111"/>
    </row>
    <row r="983" spans="3:7" x14ac:dyDescent="0.2">
      <c r="C983" s="89"/>
      <c r="E983" s="111"/>
      <c r="F983" s="111"/>
      <c r="G983" s="111"/>
    </row>
    <row r="984" spans="3:7" x14ac:dyDescent="0.2">
      <c r="C984" s="89"/>
      <c r="E984" s="111"/>
      <c r="F984" s="111"/>
      <c r="G984" s="111"/>
    </row>
    <row r="985" spans="3:7" x14ac:dyDescent="0.2">
      <c r="C985" s="89"/>
      <c r="E985" s="111"/>
      <c r="F985" s="111"/>
      <c r="G985" s="111"/>
    </row>
  </sheetData>
  <autoFilter ref="A1:G246" xr:uid="{40DF7CBC-2300-4B7A-99E7-E47C9776E145}"/>
  <sortState xmlns:xlrd2="http://schemas.microsoft.com/office/spreadsheetml/2017/richdata2" ref="I26:U28">
    <sortCondition ref="I26:I28"/>
  </sortState>
  <phoneticPr fontId="26" type="noConversion"/>
  <pageMargins left="0.7" right="0.7" top="0.5" bottom="0.2" header="0.2" footer="0"/>
  <pageSetup fitToHeight="0" orientation="portrait" r:id="rId1"/>
  <headerFooter>
    <oddHeader>&amp;L&amp;"-,Bold"&amp;14Dragalia Lost V3 Re;Works Facility Costs</oddHeader>
  </headerFooter>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6CC15F-F06B-4910-AE7A-3A0CCBBF283F}">
  <sheetPr>
    <outlinePr summaryBelow="0" summaryRight="0"/>
    <pageSetUpPr fitToPage="1"/>
  </sheetPr>
  <dimension ref="A1:AF192"/>
  <sheetViews>
    <sheetView zoomScaleNormal="100" workbookViewId="0"/>
  </sheetViews>
  <sheetFormatPr defaultColWidth="12.625" defaultRowHeight="14.25" x14ac:dyDescent="0.2"/>
  <cols>
    <col min="1" max="1" width="28" bestFit="1" customWidth="1"/>
    <col min="2" max="2" width="25.375" bestFit="1" customWidth="1"/>
    <col min="3" max="3" width="7" bestFit="1" customWidth="1"/>
    <col min="4" max="4" width="10.625" bestFit="1" customWidth="1"/>
    <col min="5" max="5" width="9.625" bestFit="1" customWidth="1"/>
    <col min="6" max="7" width="10.625" bestFit="1" customWidth="1"/>
    <col min="8" max="8" width="1.25" customWidth="1"/>
    <col min="9" max="9" width="10.625" bestFit="1" customWidth="1"/>
    <col min="10" max="10" width="9.625" bestFit="1" customWidth="1"/>
    <col min="11" max="11" width="10.625" bestFit="1" customWidth="1"/>
    <col min="12" max="12" width="11.125" bestFit="1" customWidth="1"/>
    <col min="13" max="13" width="45.25" bestFit="1" customWidth="1"/>
    <col min="14" max="14" width="10.625" bestFit="1" customWidth="1"/>
  </cols>
  <sheetData>
    <row r="1" spans="1:32" x14ac:dyDescent="0.2">
      <c r="A1" s="193" t="s">
        <v>24547</v>
      </c>
      <c r="B1" s="194" t="s">
        <v>19597</v>
      </c>
      <c r="C1" s="194" t="s">
        <v>23</v>
      </c>
      <c r="D1" s="194" t="s">
        <v>18046</v>
      </c>
      <c r="E1" s="194" t="s">
        <v>4596</v>
      </c>
      <c r="F1" s="194" t="s">
        <v>95</v>
      </c>
      <c r="G1" s="194" t="s">
        <v>21768</v>
      </c>
      <c r="H1" s="194"/>
      <c r="I1" s="194" t="s">
        <v>15</v>
      </c>
      <c r="J1" s="194" t="s">
        <v>21769</v>
      </c>
      <c r="K1" s="194" t="s">
        <v>16</v>
      </c>
      <c r="L1" s="194" t="s">
        <v>21770</v>
      </c>
      <c r="M1" s="281" t="s">
        <v>21771</v>
      </c>
      <c r="N1" s="1"/>
      <c r="O1" s="1"/>
      <c r="P1" s="1"/>
      <c r="Q1" s="1"/>
      <c r="R1" s="1"/>
      <c r="S1" s="1"/>
      <c r="T1" s="1"/>
      <c r="U1" s="1"/>
      <c r="V1" s="1"/>
      <c r="W1" s="1"/>
      <c r="X1" s="1"/>
      <c r="Y1" s="1"/>
      <c r="Z1" s="1"/>
      <c r="AA1" s="1"/>
      <c r="AB1" s="1"/>
      <c r="AC1" s="1"/>
      <c r="AD1" s="1"/>
      <c r="AE1" s="1"/>
      <c r="AF1" s="1"/>
    </row>
    <row r="2" spans="1:32" x14ac:dyDescent="0.2">
      <c r="A2" s="283" t="str">
        <f>+B2</f>
        <v>Rupies</v>
      </c>
      <c r="B2" s="65" t="s">
        <v>10756</v>
      </c>
      <c r="C2" s="65" t="s">
        <v>10772</v>
      </c>
      <c r="D2" s="284">
        <f>+Facility!P52</f>
        <v>53202500</v>
      </c>
      <c r="E2" s="65">
        <v>0</v>
      </c>
      <c r="F2" s="284">
        <f>+SUM(WEAP!O:O)+'W-U'!F768+'W-U'!O268+'W-U'!W183</f>
        <v>125500500</v>
      </c>
      <c r="G2" s="284">
        <f>D2+E2+F2</f>
        <v>178703000</v>
      </c>
      <c r="H2" s="284"/>
      <c r="I2" s="284">
        <f>+SUM(Quest!P:P)</f>
        <v>73365970</v>
      </c>
      <c r="J2" s="284">
        <f>+SUMIF(RR!E:E,Mats!B2,RR!G:G)</f>
        <v>11000000</v>
      </c>
      <c r="K2" s="284">
        <f>+SUMIF(Endvr!J:J,Mats!B2,Endvr!K:K)</f>
        <v>127500000</v>
      </c>
      <c r="L2" s="285">
        <f>SUM(I2:K2)-G2</f>
        <v>33162970</v>
      </c>
      <c r="M2" s="66" t="s">
        <v>21772</v>
      </c>
    </row>
    <row r="3" spans="1:32" x14ac:dyDescent="0.2">
      <c r="A3" s="286" t="str">
        <f>+B3</f>
        <v>Mana</v>
      </c>
      <c r="B3" s="278" t="s">
        <v>17507</v>
      </c>
      <c r="C3" s="278" t="s">
        <v>10772</v>
      </c>
      <c r="D3" s="278">
        <v>0</v>
      </c>
      <c r="E3" s="279">
        <f>+MC!I10</f>
        <v>44377500</v>
      </c>
      <c r="F3" s="279">
        <v>0</v>
      </c>
      <c r="G3" s="279">
        <f t="shared" ref="G3" si="0">D3+E3+F3</f>
        <v>44377500</v>
      </c>
      <c r="H3" s="279"/>
      <c r="I3" s="279">
        <f>+SUM(Quest!O:O)</f>
        <v>45273870</v>
      </c>
      <c r="J3" s="279">
        <f>+SUMIF(RR!E:E,Mats!B3,RR!G:G)</f>
        <v>2950000</v>
      </c>
      <c r="K3" s="279">
        <f>+SUMIF(Endvr!J:J,Mats!B3,Endvr!K:K)</f>
        <v>35810000</v>
      </c>
      <c r="L3" s="280">
        <f t="shared" ref="L3:L67" si="1">SUM(I3:K3)-G3</f>
        <v>39656370</v>
      </c>
      <c r="M3" s="282" t="s">
        <v>21773</v>
      </c>
    </row>
    <row r="4" spans="1:32" x14ac:dyDescent="0.2">
      <c r="A4" s="287" t="str">
        <f>+B4</f>
        <v>Bronze Crystal</v>
      </c>
      <c r="B4" s="288" t="s">
        <v>19616</v>
      </c>
      <c r="C4" s="288" t="s">
        <v>10772</v>
      </c>
      <c r="D4" s="288"/>
      <c r="E4" s="288"/>
      <c r="F4" s="288"/>
      <c r="G4" s="288">
        <f>D4+E4+F4</f>
        <v>0</v>
      </c>
      <c r="H4" s="288"/>
      <c r="I4" s="289">
        <f>+INDEX(QDrop!$AX:$BD,MATCH(Mats!$B4,QDrop!$AX:$AX,0),MATCH(Mats!$C4,QDrop!$AX$1:$BD$1,0))</f>
        <v>6980</v>
      </c>
      <c r="J4" s="289">
        <f>+SUMIF(RR!E:E,Mats!B4,RR!G:G)</f>
        <v>0</v>
      </c>
      <c r="K4" s="289">
        <f>+SUMIF(Endvr!J:J,Mats!B4,Endvr!K:K)</f>
        <v>0</v>
      </c>
      <c r="L4" s="290">
        <f>SUM(I4:K4)-G4</f>
        <v>6980</v>
      </c>
      <c r="M4" s="291" t="s">
        <v>21774</v>
      </c>
      <c r="N4" s="89"/>
    </row>
    <row r="5" spans="1:32" x14ac:dyDescent="0.2">
      <c r="A5" s="287" t="str">
        <f t="shared" ref="A5:A34" si="2">+B5</f>
        <v>Silver Crystal</v>
      </c>
      <c r="B5" s="288" t="s">
        <v>19617</v>
      </c>
      <c r="C5" s="288" t="s">
        <v>10772</v>
      </c>
      <c r="D5" s="288"/>
      <c r="E5" s="288"/>
      <c r="F5" s="288"/>
      <c r="G5" s="288">
        <f>D5+E5+F5</f>
        <v>0</v>
      </c>
      <c r="H5" s="288"/>
      <c r="I5" s="289">
        <f>+INDEX(QDrop!$AX:$BD,MATCH(Mats!$B5,QDrop!$AX:$AX,0),MATCH(Mats!$C5,QDrop!$AX$1:$BD$1,0))</f>
        <v>23570</v>
      </c>
      <c r="J5" s="289">
        <f>+SUMIF(RR!E:E,Mats!B5,RR!G:G)</f>
        <v>0</v>
      </c>
      <c r="K5" s="289">
        <f>+SUMIF(Endvr!J:J,Mats!B5,Endvr!K:K)</f>
        <v>0</v>
      </c>
      <c r="L5" s="290">
        <f>SUM(I5:K5)-G5</f>
        <v>23570</v>
      </c>
      <c r="M5" s="291" t="s">
        <v>21774</v>
      </c>
      <c r="N5" s="89"/>
    </row>
    <row r="6" spans="1:32" x14ac:dyDescent="0.2">
      <c r="A6" s="287" t="str">
        <f t="shared" si="2"/>
        <v>Gold Crystal</v>
      </c>
      <c r="B6" s="288" t="s">
        <v>19618</v>
      </c>
      <c r="C6" s="288" t="s">
        <v>10772</v>
      </c>
      <c r="D6" s="288"/>
      <c r="E6" s="288"/>
      <c r="F6" s="288"/>
      <c r="G6" s="288">
        <f>D6+E6+F6</f>
        <v>0</v>
      </c>
      <c r="H6" s="288"/>
      <c r="I6" s="289">
        <f>+INDEX(QDrop!$AX:$BD,MATCH(Mats!$B6,QDrop!$AX:$AX,0),MATCH(Mats!$C6,QDrop!$AX$1:$BD$1,0))</f>
        <v>11835</v>
      </c>
      <c r="J6" s="289">
        <f>+SUMIF(RR!E:E,Mats!B6,RR!G:G)</f>
        <v>6700</v>
      </c>
      <c r="K6" s="289">
        <f>+SUMIF(Endvr!J:J,Mats!B6,Endvr!K:K)</f>
        <v>23950</v>
      </c>
      <c r="L6" s="290">
        <f>SUM(I6:K6)-G6</f>
        <v>42485</v>
      </c>
      <c r="M6" s="291" t="s">
        <v>21774</v>
      </c>
      <c r="N6" s="89"/>
    </row>
    <row r="7" spans="1:32" x14ac:dyDescent="0.2">
      <c r="A7" s="306" t="str">
        <f t="shared" si="2"/>
        <v>Snack-o'-Lantern</v>
      </c>
      <c r="B7" s="278" t="s">
        <v>20883</v>
      </c>
      <c r="C7" s="278" t="s">
        <v>10772</v>
      </c>
      <c r="D7" s="278">
        <v>34</v>
      </c>
      <c r="E7" s="278">
        <f>SUMIFS(MC!M:M,MC!K:K,B7,MC!L:L,C7)</f>
        <v>0</v>
      </c>
      <c r="F7" s="278">
        <f>COUNTIF('W-WS'!D:D,B7)*9</f>
        <v>0</v>
      </c>
      <c r="G7" s="278">
        <f t="shared" ref="G7:G21" si="3">D7+E7+F7</f>
        <v>34</v>
      </c>
      <c r="H7" s="278"/>
      <c r="I7" s="279"/>
      <c r="J7" s="261">
        <f>+SUMIF(RR!E:E,Mats!B7,RR!G:G)</f>
        <v>0</v>
      </c>
      <c r="K7" s="279">
        <f>+SUMIF(Endvr!J:J,Mats!B7,Endvr!K:K)</f>
        <v>34</v>
      </c>
      <c r="L7" s="280">
        <f t="shared" si="1"/>
        <v>0</v>
      </c>
      <c r="M7" s="282" t="s">
        <v>13967</v>
      </c>
      <c r="N7" s="68"/>
    </row>
    <row r="8" spans="1:32" x14ac:dyDescent="0.2">
      <c r="A8" s="306" t="str">
        <f t="shared" si="2"/>
        <v>Windwhistle Grass</v>
      </c>
      <c r="B8" s="278" t="s">
        <v>20896</v>
      </c>
      <c r="C8" s="278" t="s">
        <v>10772</v>
      </c>
      <c r="D8" s="278">
        <v>34</v>
      </c>
      <c r="E8" s="278">
        <f>SUMIFS(MC!M:M,MC!K:K,B8,MC!L:L,C8)</f>
        <v>0</v>
      </c>
      <c r="F8" s="278">
        <f>COUNTIF('W-WS'!D:D,B8)*9</f>
        <v>0</v>
      </c>
      <c r="G8" s="278">
        <f t="shared" si="3"/>
        <v>34</v>
      </c>
      <c r="H8" s="278"/>
      <c r="I8" s="279"/>
      <c r="J8" s="261">
        <f>+SUMIF(RR!E:E,Mats!B8,RR!G:G)</f>
        <v>0</v>
      </c>
      <c r="K8" s="279">
        <f>+SUMIF(Endvr!J:J,Mats!B8,Endvr!K:K)</f>
        <v>34</v>
      </c>
      <c r="L8" s="280">
        <f t="shared" si="1"/>
        <v>0</v>
      </c>
      <c r="M8" s="282" t="s">
        <v>13983</v>
      </c>
      <c r="N8" s="68"/>
    </row>
    <row r="9" spans="1:32" x14ac:dyDescent="0.2">
      <c r="A9" s="306" t="str">
        <f t="shared" si="2"/>
        <v>Astral Ornament</v>
      </c>
      <c r="B9" s="278" t="s">
        <v>20911</v>
      </c>
      <c r="C9" s="278" t="s">
        <v>10772</v>
      </c>
      <c r="D9" s="278">
        <v>34</v>
      </c>
      <c r="E9" s="278">
        <f>SUMIFS(MC!M:M,MC!K:K,B9,MC!L:L,C9)</f>
        <v>0</v>
      </c>
      <c r="F9" s="278">
        <f>COUNTIF('W-WS'!D:D,B9)*9</f>
        <v>0</v>
      </c>
      <c r="G9" s="278">
        <f t="shared" si="3"/>
        <v>34</v>
      </c>
      <c r="H9" s="278"/>
      <c r="I9" s="279"/>
      <c r="J9" s="261">
        <f>+SUMIF(RR!E:E,Mats!B9,RR!G:G)</f>
        <v>0</v>
      </c>
      <c r="K9" s="279">
        <f>+SUMIF(Endvr!J:J,Mats!B9,Endvr!K:K)</f>
        <v>34</v>
      </c>
      <c r="L9" s="280">
        <f t="shared" si="1"/>
        <v>0</v>
      </c>
      <c r="M9" s="282" t="s">
        <v>14001</v>
      </c>
      <c r="N9" s="68"/>
    </row>
    <row r="10" spans="1:32" x14ac:dyDescent="0.2">
      <c r="A10" s="306" t="str">
        <f t="shared" si="2"/>
        <v>Tent Canvas</v>
      </c>
      <c r="B10" s="278" t="s">
        <v>20931</v>
      </c>
      <c r="C10" s="278" t="s">
        <v>10772</v>
      </c>
      <c r="D10" s="278">
        <v>34</v>
      </c>
      <c r="E10" s="278">
        <f>SUMIFS(MC!M:M,MC!K:K,B10,MC!L:L,C10)</f>
        <v>0</v>
      </c>
      <c r="F10" s="278">
        <f>COUNTIF('W-WS'!D:D,B10)*9</f>
        <v>0</v>
      </c>
      <c r="G10" s="278">
        <f t="shared" si="3"/>
        <v>34</v>
      </c>
      <c r="H10" s="278"/>
      <c r="I10" s="279"/>
      <c r="J10" s="261">
        <f>+SUMIF(RR!E:E,Mats!B10,RR!G:G)</f>
        <v>0</v>
      </c>
      <c r="K10" s="279">
        <f>+SUMIF(Endvr!J:J,Mats!B10,Endvr!K:K)</f>
        <v>34</v>
      </c>
      <c r="L10" s="280">
        <f t="shared" si="1"/>
        <v>0</v>
      </c>
      <c r="M10" s="282" t="s">
        <v>14017</v>
      </c>
      <c r="N10" s="68"/>
    </row>
    <row r="11" spans="1:32" x14ac:dyDescent="0.2">
      <c r="A11" s="306" t="str">
        <f t="shared" si="2"/>
        <v>Arcane Tome</v>
      </c>
      <c r="B11" s="278" t="s">
        <v>20958</v>
      </c>
      <c r="C11" s="278" t="s">
        <v>10772</v>
      </c>
      <c r="D11" s="278">
        <v>34</v>
      </c>
      <c r="E11" s="278">
        <f>SUMIFS(MC!M:M,MC!K:K,B11,MC!L:L,C11)</f>
        <v>0</v>
      </c>
      <c r="F11" s="278">
        <f>COUNTIF('W-WS'!D:D,B11)*9</f>
        <v>0</v>
      </c>
      <c r="G11" s="278">
        <f t="shared" si="3"/>
        <v>34</v>
      </c>
      <c r="H11" s="278"/>
      <c r="I11" s="279"/>
      <c r="J11" s="261">
        <f>+SUMIF(RR!E:E,Mats!B11,RR!G:G)</f>
        <v>0</v>
      </c>
      <c r="K11" s="279">
        <f>+SUMIF(Endvr!J:J,Mats!B11,Endvr!K:K)</f>
        <v>34</v>
      </c>
      <c r="L11" s="280">
        <f t="shared" si="1"/>
        <v>0</v>
      </c>
      <c r="M11" s="282" t="s">
        <v>14060</v>
      </c>
      <c r="N11" s="68"/>
    </row>
    <row r="12" spans="1:32" x14ac:dyDescent="0.2">
      <c r="A12" s="306" t="str">
        <f t="shared" si="2"/>
        <v>Papier-mâché</v>
      </c>
      <c r="B12" s="278" t="s">
        <v>20965</v>
      </c>
      <c r="C12" s="278" t="s">
        <v>10772</v>
      </c>
      <c r="D12" s="278">
        <v>34</v>
      </c>
      <c r="E12" s="278">
        <f>SUMIFS(MC!M:M,MC!K:K,B12,MC!L:L,C12)</f>
        <v>0</v>
      </c>
      <c r="F12" s="278">
        <f>COUNTIF('W-WS'!D:D,B12)*9</f>
        <v>0</v>
      </c>
      <c r="G12" s="278">
        <f t="shared" si="3"/>
        <v>34</v>
      </c>
      <c r="H12" s="278"/>
      <c r="I12" s="279"/>
      <c r="J12" s="261">
        <f>+SUMIF(RR!E:E,Mats!B12,RR!G:G)</f>
        <v>0</v>
      </c>
      <c r="K12" s="279">
        <f>+SUMIF(Endvr!J:J,Mats!B12,Endvr!K:K)</f>
        <v>34</v>
      </c>
      <c r="L12" s="280">
        <f t="shared" si="1"/>
        <v>0</v>
      </c>
      <c r="M12" s="282" t="s">
        <v>14065</v>
      </c>
      <c r="N12" s="68"/>
    </row>
    <row r="13" spans="1:32" x14ac:dyDescent="0.2">
      <c r="A13" s="306" t="str">
        <f t="shared" si="2"/>
        <v>Motivational Log</v>
      </c>
      <c r="B13" s="278" t="s">
        <v>20987</v>
      </c>
      <c r="C13" s="278" t="s">
        <v>10772</v>
      </c>
      <c r="D13" s="278">
        <v>34</v>
      </c>
      <c r="E13" s="278">
        <f>SUMIFS(MC!M:M,MC!K:K,B13,MC!L:L,C13)</f>
        <v>0</v>
      </c>
      <c r="F13" s="278">
        <f>COUNTIF('W-WS'!D:D,B13)*9</f>
        <v>0</v>
      </c>
      <c r="G13" s="278">
        <f t="shared" si="3"/>
        <v>34</v>
      </c>
      <c r="H13" s="278"/>
      <c r="I13" s="279"/>
      <c r="J13" s="261">
        <f>+SUMIF(RR!E:E,Mats!B13,RR!G:G)</f>
        <v>0</v>
      </c>
      <c r="K13" s="279">
        <f>+SUMIF(Endvr!J:J,Mats!B13,Endvr!K:K)</f>
        <v>34</v>
      </c>
      <c r="L13" s="280">
        <f t="shared" si="1"/>
        <v>0</v>
      </c>
      <c r="M13" s="282" t="s">
        <v>14095</v>
      </c>
      <c r="N13" s="68"/>
    </row>
    <row r="14" spans="1:32" x14ac:dyDescent="0.2">
      <c r="A14" s="306" t="str">
        <f t="shared" si="2"/>
        <v>Glam Shell</v>
      </c>
      <c r="B14" s="278" t="s">
        <v>21002</v>
      </c>
      <c r="C14" s="278" t="s">
        <v>10772</v>
      </c>
      <c r="D14" s="278">
        <v>34</v>
      </c>
      <c r="E14" s="278">
        <f>SUMIFS(MC!M:M,MC!K:K,B14,MC!L:L,C14)</f>
        <v>0</v>
      </c>
      <c r="F14" s="278">
        <f>COUNTIF('W-WS'!D:D,B14)*9</f>
        <v>0</v>
      </c>
      <c r="G14" s="278">
        <f t="shared" si="3"/>
        <v>34</v>
      </c>
      <c r="H14" s="278"/>
      <c r="I14" s="279"/>
      <c r="J14" s="261">
        <f>+SUMIF(RR!E:E,Mats!B14,RR!G:G)</f>
        <v>0</v>
      </c>
      <c r="K14" s="279">
        <f>+SUMIF(Endvr!J:J,Mats!B14,Endvr!K:K)</f>
        <v>34</v>
      </c>
      <c r="L14" s="280">
        <f t="shared" si="1"/>
        <v>0</v>
      </c>
      <c r="M14" s="282" t="s">
        <v>14105</v>
      </c>
      <c r="N14" s="68"/>
    </row>
    <row r="15" spans="1:32" x14ac:dyDescent="0.2">
      <c r="A15" s="306" t="str">
        <f t="shared" si="2"/>
        <v>Chef's Special</v>
      </c>
      <c r="B15" s="278" t="s">
        <v>1332</v>
      </c>
      <c r="C15" s="278" t="s">
        <v>10772</v>
      </c>
      <c r="D15" s="278">
        <v>34</v>
      </c>
      <c r="E15" s="278">
        <f>SUMIFS(MC!M:M,MC!K:K,B15,MC!L:L,C15)</f>
        <v>0</v>
      </c>
      <c r="F15" s="278">
        <f>COUNTIF('W-WS'!D:D,B15)*9</f>
        <v>0</v>
      </c>
      <c r="G15" s="278">
        <f t="shared" si="3"/>
        <v>34</v>
      </c>
      <c r="H15" s="278"/>
      <c r="I15" s="279"/>
      <c r="J15" s="261">
        <f>+SUMIF(RR!E:E,Mats!B15,RR!G:G)</f>
        <v>0</v>
      </c>
      <c r="K15" s="279">
        <f>+SUMIF(Endvr!J:J,Mats!B15,Endvr!K:K)</f>
        <v>34</v>
      </c>
      <c r="L15" s="280">
        <f t="shared" si="1"/>
        <v>0</v>
      </c>
      <c r="M15" s="282" t="s">
        <v>14181</v>
      </c>
      <c r="N15" s="68"/>
    </row>
    <row r="16" spans="1:32" x14ac:dyDescent="0.2">
      <c r="A16" s="306" t="str">
        <f t="shared" si="2"/>
        <v>Ornate Lantern</v>
      </c>
      <c r="B16" s="278" t="s">
        <v>21065</v>
      </c>
      <c r="C16" s="278" t="s">
        <v>10772</v>
      </c>
      <c r="D16" s="278">
        <v>34</v>
      </c>
      <c r="E16" s="278">
        <f>SUMIFS(MC!M:M,MC!K:K,B16,MC!L:L,C16)</f>
        <v>0</v>
      </c>
      <c r="F16" s="278">
        <f>COUNTIF('W-WS'!D:D,B16)*9</f>
        <v>0</v>
      </c>
      <c r="G16" s="278">
        <f t="shared" si="3"/>
        <v>34</v>
      </c>
      <c r="H16" s="278"/>
      <c r="I16" s="279"/>
      <c r="J16" s="261">
        <f>+SUMIF(RR!E:E,Mats!B16,RR!G:G)</f>
        <v>0</v>
      </c>
      <c r="K16" s="279">
        <f>+SUMIF(Endvr!J:J,Mats!B16,Endvr!K:K)</f>
        <v>34</v>
      </c>
      <c r="L16" s="280">
        <f t="shared" si="1"/>
        <v>0</v>
      </c>
      <c r="M16" s="282" t="s">
        <v>14220</v>
      </c>
      <c r="N16" s="68"/>
    </row>
    <row r="17" spans="1:14" x14ac:dyDescent="0.2">
      <c r="A17" s="306" t="str">
        <f t="shared" si="2"/>
        <v>Holy Ore</v>
      </c>
      <c r="B17" s="278" t="s">
        <v>21083</v>
      </c>
      <c r="C17" s="278" t="s">
        <v>10772</v>
      </c>
      <c r="D17" s="278">
        <v>34</v>
      </c>
      <c r="E17" s="278">
        <f>SUMIFS(MC!M:M,MC!K:K,B17,MC!L:L,C17)</f>
        <v>0</v>
      </c>
      <c r="F17" s="278">
        <f>COUNTIF('W-WS'!D:D,B17)*9</f>
        <v>0</v>
      </c>
      <c r="G17" s="278">
        <f t="shared" si="3"/>
        <v>34</v>
      </c>
      <c r="H17" s="278"/>
      <c r="I17" s="279"/>
      <c r="J17" s="261">
        <f>+SUMIF(RR!E:E,Mats!B17,RR!G:G)</f>
        <v>0</v>
      </c>
      <c r="K17" s="279">
        <f>+SUMIF(Endvr!J:J,Mats!B17,Endvr!K:K)</f>
        <v>34</v>
      </c>
      <c r="L17" s="280">
        <f t="shared" si="1"/>
        <v>0</v>
      </c>
      <c r="M17" s="282" t="s">
        <v>14236</v>
      </c>
      <c r="N17" s="68"/>
    </row>
    <row r="18" spans="1:14" x14ac:dyDescent="0.2">
      <c r="A18" s="306" t="str">
        <f t="shared" si="2"/>
        <v xml:space="preserve">Libretto </v>
      </c>
      <c r="B18" s="278" t="s">
        <v>21096</v>
      </c>
      <c r="C18" s="278" t="s">
        <v>10772</v>
      </c>
      <c r="D18" s="278">
        <v>34</v>
      </c>
      <c r="E18" s="278">
        <f>SUMIFS(MC!M:M,MC!K:K,B18,MC!L:L,C18)</f>
        <v>0</v>
      </c>
      <c r="F18" s="278">
        <f>COUNTIF('W-WS'!D:D,B18)*9</f>
        <v>0</v>
      </c>
      <c r="G18" s="278">
        <f t="shared" si="3"/>
        <v>34</v>
      </c>
      <c r="H18" s="278"/>
      <c r="I18" s="279"/>
      <c r="J18" s="261">
        <f>+SUMIF(RR!E:E,Mats!B18,RR!G:G)</f>
        <v>0</v>
      </c>
      <c r="K18" s="279">
        <f>+SUMIF(Endvr!J:J,Mats!B18,Endvr!K:K)</f>
        <v>34</v>
      </c>
      <c r="L18" s="280">
        <f t="shared" si="1"/>
        <v>0</v>
      </c>
      <c r="M18" s="282" t="s">
        <v>14255</v>
      </c>
      <c r="N18" s="68"/>
    </row>
    <row r="19" spans="1:14" x14ac:dyDescent="0.2">
      <c r="A19" s="306" t="str">
        <f t="shared" si="2"/>
        <v xml:space="preserve">Sacred Stone </v>
      </c>
      <c r="B19" s="278" t="s">
        <v>21129</v>
      </c>
      <c r="C19" s="278" t="s">
        <v>10772</v>
      </c>
      <c r="D19" s="278">
        <v>34</v>
      </c>
      <c r="E19" s="278">
        <f>SUMIFS(MC!M:M,MC!K:K,B19,MC!L:L,C19)</f>
        <v>0</v>
      </c>
      <c r="F19" s="278">
        <f>COUNTIF('W-WS'!D:D,B19)*9</f>
        <v>0</v>
      </c>
      <c r="G19" s="278">
        <f t="shared" si="3"/>
        <v>34</v>
      </c>
      <c r="H19" s="278"/>
      <c r="I19" s="279"/>
      <c r="J19" s="261">
        <f>+SUMIF(RR!E:E,Mats!B19,RR!G:G)</f>
        <v>0</v>
      </c>
      <c r="K19" s="279">
        <f>+SUMIF(Endvr!J:J,Mats!B19,Endvr!K:K)</f>
        <v>34</v>
      </c>
      <c r="L19" s="280">
        <f t="shared" si="1"/>
        <v>0</v>
      </c>
      <c r="M19" s="282" t="s">
        <v>14286</v>
      </c>
      <c r="N19" s="68"/>
    </row>
    <row r="20" spans="1:14" x14ac:dyDescent="0.2">
      <c r="A20" s="306" t="str">
        <f t="shared" si="2"/>
        <v>Tidal Tears</v>
      </c>
      <c r="B20" s="278" t="s">
        <v>21160</v>
      </c>
      <c r="C20" s="278" t="s">
        <v>10772</v>
      </c>
      <c r="D20" s="278">
        <v>34</v>
      </c>
      <c r="E20" s="278">
        <f>SUMIFS(MC!M:M,MC!K:K,B20,MC!L:L,C20)</f>
        <v>0</v>
      </c>
      <c r="F20" s="278">
        <f>COUNTIF('W-WS'!D:D,B20)*9</f>
        <v>0</v>
      </c>
      <c r="G20" s="278">
        <f t="shared" si="3"/>
        <v>34</v>
      </c>
      <c r="H20" s="278"/>
      <c r="I20" s="279"/>
      <c r="J20" s="261">
        <f>+SUMIF(RR!E:E,Mats!B20,RR!G:G)</f>
        <v>0</v>
      </c>
      <c r="K20" s="279">
        <f>+SUMIF(Endvr!J:J,Mats!B20,Endvr!K:K)</f>
        <v>34</v>
      </c>
      <c r="L20" s="280">
        <f t="shared" si="1"/>
        <v>0</v>
      </c>
      <c r="M20" s="282" t="s">
        <v>14308</v>
      </c>
      <c r="N20" s="68"/>
    </row>
    <row r="21" spans="1:14" x14ac:dyDescent="0.2">
      <c r="A21" s="306" t="str">
        <f t="shared" si="2"/>
        <v xml:space="preserve">Conductive Bolt </v>
      </c>
      <c r="B21" s="278" t="s">
        <v>21180</v>
      </c>
      <c r="C21" s="278" t="s">
        <v>10772</v>
      </c>
      <c r="D21" s="278">
        <v>34</v>
      </c>
      <c r="E21" s="278">
        <f>SUMIFS(MC!M:M,MC!K:K,B21,MC!L:L,C21)</f>
        <v>0</v>
      </c>
      <c r="F21" s="278">
        <f>COUNTIF('W-WS'!D:D,B21)*9</f>
        <v>0</v>
      </c>
      <c r="G21" s="278">
        <f t="shared" si="3"/>
        <v>34</v>
      </c>
      <c r="H21" s="278"/>
      <c r="I21" s="279"/>
      <c r="J21" s="261">
        <f>+SUMIF(RR!E:E,Mats!B21,RR!G:G)</f>
        <v>0</v>
      </c>
      <c r="K21" s="279">
        <f>+SUMIF(Endvr!J:J,Mats!B21,Endvr!K:K)</f>
        <v>34</v>
      </c>
      <c r="L21" s="280">
        <f t="shared" si="1"/>
        <v>0</v>
      </c>
      <c r="M21" s="282" t="s">
        <v>14328</v>
      </c>
      <c r="N21" s="68"/>
    </row>
    <row r="22" spans="1:14" x14ac:dyDescent="0.2">
      <c r="A22" s="306" t="str">
        <f t="shared" si="2"/>
        <v>Sword Tablet</v>
      </c>
      <c r="B22" s="278" t="s">
        <v>19606</v>
      </c>
      <c r="C22" s="278" t="s">
        <v>10772</v>
      </c>
      <c r="D22" s="278">
        <f>COUNTIF(Facility!D:D,"Weapon Tablet")</f>
        <v>14</v>
      </c>
      <c r="E22" s="278">
        <f>SUMIFS(MC!M:M,MC!K:K,B22,MC!L:L,C22)</f>
        <v>0</v>
      </c>
      <c r="F22" s="278">
        <f>COUNTIF('W-WS'!D:D,B22)</f>
        <v>0</v>
      </c>
      <c r="G22" s="278">
        <f t="shared" ref="G22:G31" si="4">D22+E22+F22</f>
        <v>14</v>
      </c>
      <c r="H22" s="278"/>
      <c r="I22" s="279">
        <f>+INDEX(QDrop!$AX:$BD,MATCH(Mats!$B22,QDrop!$AX:$AX,0),MATCH(Mats!$C22,QDrop!$AX$1:$BD$1,0))</f>
        <v>22</v>
      </c>
      <c r="J22" s="261">
        <f>+SUMIF(RR!E:E,Mats!B22,RR!G:G)</f>
        <v>0</v>
      </c>
      <c r="K22" s="279">
        <f>+SUMIF(Endvr!J:J,Mats!B22,Endvr!K:K)</f>
        <v>0</v>
      </c>
      <c r="L22" s="280">
        <f t="shared" si="1"/>
        <v>8</v>
      </c>
      <c r="M22" s="282" t="s">
        <v>21775</v>
      </c>
      <c r="N22" s="68"/>
    </row>
    <row r="23" spans="1:14" x14ac:dyDescent="0.2">
      <c r="A23" s="306" t="str">
        <f t="shared" si="2"/>
        <v>Blade Tablet</v>
      </c>
      <c r="B23" s="278" t="s">
        <v>19608</v>
      </c>
      <c r="C23" s="278" t="s">
        <v>10772</v>
      </c>
      <c r="D23" s="278">
        <f>COUNTIF(Facility!D:D,"Weapon Tablet")</f>
        <v>14</v>
      </c>
      <c r="E23" s="278">
        <f>SUMIFS(MC!M:M,MC!K:K,B23,MC!L:L,C23)</f>
        <v>0</v>
      </c>
      <c r="F23" s="278">
        <f>COUNTIF('W-WS'!D:D,B23)</f>
        <v>0</v>
      </c>
      <c r="G23" s="278">
        <f t="shared" si="4"/>
        <v>14</v>
      </c>
      <c r="H23" s="278"/>
      <c r="I23" s="279">
        <f>+INDEX(QDrop!$AX:$BD,MATCH(Mats!$B23,QDrop!$AX:$AX,0),MATCH(Mats!$C23,QDrop!$AX$1:$BD$1,0))</f>
        <v>22</v>
      </c>
      <c r="J23" s="261">
        <f>+SUMIF(RR!E:E,Mats!B23,RR!G:G)</f>
        <v>0</v>
      </c>
      <c r="K23" s="279">
        <f>+SUMIF(Endvr!J:J,Mats!B23,Endvr!K:K)</f>
        <v>0</v>
      </c>
      <c r="L23" s="280">
        <f t="shared" si="1"/>
        <v>8</v>
      </c>
      <c r="M23" s="282" t="s">
        <v>21776</v>
      </c>
      <c r="N23" s="68"/>
    </row>
    <row r="24" spans="1:14" x14ac:dyDescent="0.2">
      <c r="A24" s="306" t="str">
        <f t="shared" si="2"/>
        <v>Dagger Tablet</v>
      </c>
      <c r="B24" s="278" t="s">
        <v>19614</v>
      </c>
      <c r="C24" s="278" t="s">
        <v>10772</v>
      </c>
      <c r="D24" s="278">
        <f>COUNTIF(Facility!D:D,"Weapon Tablet")</f>
        <v>14</v>
      </c>
      <c r="E24" s="278">
        <f>SUMIFS(MC!M:M,MC!K:K,B24,MC!L:L,C24)</f>
        <v>0</v>
      </c>
      <c r="F24" s="278">
        <f>COUNTIF('W-WS'!D:D,B24)</f>
        <v>0</v>
      </c>
      <c r="G24" s="278">
        <f t="shared" si="4"/>
        <v>14</v>
      </c>
      <c r="H24" s="278"/>
      <c r="I24" s="279">
        <f>+INDEX(QDrop!$AX:$BD,MATCH(Mats!$B24,QDrop!$AX:$AX,0),MATCH(Mats!$C24,QDrop!$AX$1:$BD$1,0))</f>
        <v>22</v>
      </c>
      <c r="J24" s="261">
        <f>+SUMIF(RR!E:E,Mats!B24,RR!G:G)</f>
        <v>0</v>
      </c>
      <c r="K24" s="279">
        <f>+SUMIF(Endvr!J:J,Mats!B24,Endvr!K:K)</f>
        <v>0</v>
      </c>
      <c r="L24" s="280">
        <f t="shared" si="1"/>
        <v>8</v>
      </c>
      <c r="M24" s="282" t="s">
        <v>21777</v>
      </c>
      <c r="N24" s="68"/>
    </row>
    <row r="25" spans="1:14" x14ac:dyDescent="0.2">
      <c r="A25" s="306" t="str">
        <f t="shared" si="2"/>
        <v>Axe Tablet</v>
      </c>
      <c r="B25" s="278" t="s">
        <v>19610</v>
      </c>
      <c r="C25" s="278" t="s">
        <v>10772</v>
      </c>
      <c r="D25" s="278">
        <f>COUNTIF(Facility!D:D,"Weapon Tablet")</f>
        <v>14</v>
      </c>
      <c r="E25" s="278">
        <f>SUMIFS(MC!M:M,MC!K:K,B25,MC!L:L,C25)</f>
        <v>0</v>
      </c>
      <c r="F25" s="278">
        <f>COUNTIF('W-WS'!D:D,B25)</f>
        <v>0</v>
      </c>
      <c r="G25" s="278">
        <f t="shared" si="4"/>
        <v>14</v>
      </c>
      <c r="H25" s="278"/>
      <c r="I25" s="279">
        <f>+INDEX(QDrop!$AX:$BD,MATCH(Mats!$B25,QDrop!$AX:$AX,0),MATCH(Mats!$C25,QDrop!$AX$1:$BD$1,0))</f>
        <v>22</v>
      </c>
      <c r="J25" s="261">
        <f>+SUMIF(RR!E:E,Mats!B25,RR!G:G)</f>
        <v>0</v>
      </c>
      <c r="K25" s="279">
        <f>+SUMIF(Endvr!J:J,Mats!B25,Endvr!K:K)</f>
        <v>0</v>
      </c>
      <c r="L25" s="280">
        <f t="shared" si="1"/>
        <v>8</v>
      </c>
      <c r="M25" s="282" t="s">
        <v>21778</v>
      </c>
      <c r="N25" s="68"/>
    </row>
    <row r="26" spans="1:14" x14ac:dyDescent="0.2">
      <c r="A26" s="306" t="str">
        <f t="shared" si="2"/>
        <v>Lance Tablet</v>
      </c>
      <c r="B26" s="278" t="s">
        <v>19609</v>
      </c>
      <c r="C26" s="278" t="s">
        <v>10772</v>
      </c>
      <c r="D26" s="278">
        <f>COUNTIF(Facility!D:D,"Weapon Tablet")</f>
        <v>14</v>
      </c>
      <c r="E26" s="278">
        <f>SUMIFS(MC!M:M,MC!K:K,B26,MC!L:L,C26)</f>
        <v>0</v>
      </c>
      <c r="F26" s="278">
        <f>COUNTIF('W-WS'!D:D,B26)</f>
        <v>0</v>
      </c>
      <c r="G26" s="278">
        <f t="shared" si="4"/>
        <v>14</v>
      </c>
      <c r="H26" s="278"/>
      <c r="I26" s="279">
        <f>+INDEX(QDrop!$AX:$BD,MATCH(Mats!$B26,QDrop!$AX:$AX,0),MATCH(Mats!$C26,QDrop!$AX$1:$BD$1,0))</f>
        <v>22</v>
      </c>
      <c r="J26" s="261">
        <f>+SUMIF(RR!E:E,Mats!B26,RR!G:G)</f>
        <v>0</v>
      </c>
      <c r="K26" s="279">
        <f>+SUMIF(Endvr!J:J,Mats!B26,Endvr!K:K)</f>
        <v>0</v>
      </c>
      <c r="L26" s="280">
        <f t="shared" si="1"/>
        <v>8</v>
      </c>
      <c r="M26" s="282" t="s">
        <v>21776</v>
      </c>
      <c r="N26" s="68"/>
    </row>
    <row r="27" spans="1:14" x14ac:dyDescent="0.2">
      <c r="A27" s="306" t="str">
        <f t="shared" si="2"/>
        <v>Bow Tablet</v>
      </c>
      <c r="B27" s="278" t="s">
        <v>19607</v>
      </c>
      <c r="C27" s="278" t="s">
        <v>10772</v>
      </c>
      <c r="D27" s="278">
        <f>COUNTIF(Facility!D:D,"Weapon Tablet")</f>
        <v>14</v>
      </c>
      <c r="E27" s="278">
        <f>SUMIFS(MC!M:M,MC!K:K,B27,MC!L:L,C27)</f>
        <v>0</v>
      </c>
      <c r="F27" s="278">
        <f>COUNTIF('W-WS'!D:D,B27)</f>
        <v>0</v>
      </c>
      <c r="G27" s="278">
        <f t="shared" si="4"/>
        <v>14</v>
      </c>
      <c r="H27" s="278"/>
      <c r="I27" s="279">
        <f>+INDEX(QDrop!$AX:$BD,MATCH(Mats!$B27,QDrop!$AX:$AX,0),MATCH(Mats!$C27,QDrop!$AX$1:$BD$1,0))</f>
        <v>22</v>
      </c>
      <c r="J27" s="261">
        <f>+SUMIF(RR!E:E,Mats!B27,RR!G:G)</f>
        <v>0</v>
      </c>
      <c r="K27" s="279">
        <f>+SUMIF(Endvr!J:J,Mats!B27,Endvr!K:K)</f>
        <v>0</v>
      </c>
      <c r="L27" s="280">
        <f t="shared" si="1"/>
        <v>8</v>
      </c>
      <c r="M27" s="282" t="s">
        <v>21775</v>
      </c>
      <c r="N27" s="68"/>
    </row>
    <row r="28" spans="1:14" x14ac:dyDescent="0.2">
      <c r="A28" s="306" t="str">
        <f t="shared" si="2"/>
        <v>Wand Tablet</v>
      </c>
      <c r="B28" s="278" t="s">
        <v>19611</v>
      </c>
      <c r="C28" s="278" t="s">
        <v>10772</v>
      </c>
      <c r="D28" s="278">
        <f>COUNTIF(Facility!D:D,"Weapon Tablet")</f>
        <v>14</v>
      </c>
      <c r="E28" s="278">
        <f>SUMIFS(MC!M:M,MC!K:K,B28,MC!L:L,C28)</f>
        <v>0</v>
      </c>
      <c r="F28" s="278">
        <f>COUNTIF('W-WS'!D:D,B28)</f>
        <v>0</v>
      </c>
      <c r="G28" s="278">
        <f t="shared" si="4"/>
        <v>14</v>
      </c>
      <c r="H28" s="278"/>
      <c r="I28" s="279">
        <f>+INDEX(QDrop!$AX:$BD,MATCH(Mats!$B28,QDrop!$AX:$AX,0),MATCH(Mats!$C28,QDrop!$AX$1:$BD$1,0))</f>
        <v>22</v>
      </c>
      <c r="J28" s="261">
        <f>+SUMIF(RR!E:E,Mats!B28,RR!G:G)</f>
        <v>0</v>
      </c>
      <c r="K28" s="279">
        <f>+SUMIF(Endvr!J:J,Mats!B28,Endvr!K:K)</f>
        <v>0</v>
      </c>
      <c r="L28" s="280">
        <f t="shared" si="1"/>
        <v>8</v>
      </c>
      <c r="M28" s="282" t="s">
        <v>21778</v>
      </c>
      <c r="N28" s="68"/>
    </row>
    <row r="29" spans="1:14" x14ac:dyDescent="0.2">
      <c r="A29" s="306" t="str">
        <f t="shared" si="2"/>
        <v>Staff Tablet</v>
      </c>
      <c r="B29" s="278" t="s">
        <v>19612</v>
      </c>
      <c r="C29" s="278" t="s">
        <v>10772</v>
      </c>
      <c r="D29" s="278">
        <f>COUNTIF(Facility!D:D,"Weapon Tablet")</f>
        <v>14</v>
      </c>
      <c r="E29" s="278">
        <f>SUMIFS(MC!M:M,MC!K:K,B29,MC!L:L,C29)</f>
        <v>0</v>
      </c>
      <c r="F29" s="278">
        <f>COUNTIF('W-WS'!D:D,B29)</f>
        <v>0</v>
      </c>
      <c r="G29" s="278">
        <f t="shared" si="4"/>
        <v>14</v>
      </c>
      <c r="H29" s="278"/>
      <c r="I29" s="279">
        <f>+INDEX(QDrop!$AX:$BD,MATCH(Mats!$B29,QDrop!$AX:$AX,0),MATCH(Mats!$C29,QDrop!$AX$1:$BD$1,0))</f>
        <v>22</v>
      </c>
      <c r="J29" s="261">
        <f>+SUMIF(RR!E:E,Mats!B29,RR!G:G)</f>
        <v>0</v>
      </c>
      <c r="K29" s="279">
        <f>+SUMIF(Endvr!J:J,Mats!B29,Endvr!K:K)</f>
        <v>0</v>
      </c>
      <c r="L29" s="280">
        <f t="shared" si="1"/>
        <v>8</v>
      </c>
      <c r="M29" s="282" t="s">
        <v>21779</v>
      </c>
      <c r="N29" s="68"/>
    </row>
    <row r="30" spans="1:14" x14ac:dyDescent="0.2">
      <c r="A30" s="306" t="str">
        <f t="shared" si="2"/>
        <v>Manacaster Tablet</v>
      </c>
      <c r="B30" s="278" t="s">
        <v>19615</v>
      </c>
      <c r="C30" s="278" t="s">
        <v>10772</v>
      </c>
      <c r="D30" s="278">
        <f>COUNTIF(Facility!D:D,"Weapon Tablet")</f>
        <v>14</v>
      </c>
      <c r="E30" s="278">
        <f>SUMIFS(MC!M:M,MC!K:K,B30,MC!L:L,C30)</f>
        <v>0</v>
      </c>
      <c r="F30" s="278">
        <f>COUNTIF('W-WS'!D:D,B30)</f>
        <v>0</v>
      </c>
      <c r="G30" s="278">
        <f t="shared" si="4"/>
        <v>14</v>
      </c>
      <c r="H30" s="278"/>
      <c r="I30" s="279">
        <f>+INDEX(QDrop!$AX:$BD,MATCH(Mats!$B30,QDrop!$AX:$AX,0),MATCH(Mats!$C30,QDrop!$AX$1:$BD$1,0))</f>
        <v>22</v>
      </c>
      <c r="J30" s="261">
        <f>+SUMIF(RR!E:E,Mats!B30,RR!G:G)</f>
        <v>0</v>
      </c>
      <c r="K30" s="279">
        <f>+SUMIF(Endvr!J:J,Mats!B30,Endvr!K:K)</f>
        <v>0</v>
      </c>
      <c r="L30" s="280">
        <f t="shared" si="1"/>
        <v>8</v>
      </c>
      <c r="M30" s="282" t="s">
        <v>21777</v>
      </c>
      <c r="N30" s="68"/>
    </row>
    <row r="31" spans="1:14" x14ac:dyDescent="0.2">
      <c r="A31" s="306" t="str">
        <f t="shared" si="2"/>
        <v>Nature's Blessing</v>
      </c>
      <c r="B31" s="278" t="s">
        <v>17350</v>
      </c>
      <c r="C31" s="278" t="s">
        <v>10772</v>
      </c>
      <c r="D31" s="278">
        <f>COUNTIF(Facility!D:D,B31)*9+COUNTIF(Facility!D:D,B31)*5</f>
        <v>140</v>
      </c>
      <c r="E31" s="278">
        <f>SUMIFS(MC!M:M,MC!K:K,B31,MC!L:L,C31)</f>
        <v>0</v>
      </c>
      <c r="F31" s="278">
        <f>COUNTIF('W-WS'!D:D,B31)</f>
        <v>0</v>
      </c>
      <c r="G31" s="278">
        <f t="shared" si="4"/>
        <v>140</v>
      </c>
      <c r="H31" s="278"/>
      <c r="I31" s="279">
        <f>+INDEX(QDrop!$AX:$BD,MATCH(Mats!$B31,QDrop!$AX:$AX,0),MATCH(Mats!$C31,QDrop!$AX$1:$BD$1,0))</f>
        <v>144</v>
      </c>
      <c r="J31" s="261">
        <f>+SUMIF(RR!E:E,Mats!B31,RR!G:G)</f>
        <v>0</v>
      </c>
      <c r="K31" s="279">
        <f>+SUMIF(Endvr!J:J,Mats!B31,Endvr!K:K)</f>
        <v>0</v>
      </c>
      <c r="L31" s="280">
        <f t="shared" si="1"/>
        <v>4</v>
      </c>
      <c r="M31" s="282" t="s">
        <v>21780</v>
      </c>
      <c r="N31" s="68"/>
    </row>
    <row r="32" spans="1:14" x14ac:dyDescent="0.2">
      <c r="A32" s="306" t="str">
        <f t="shared" si="2"/>
        <v>Void Leaves</v>
      </c>
      <c r="B32" s="278" t="s">
        <v>21781</v>
      </c>
      <c r="C32" s="278" t="s">
        <v>10772</v>
      </c>
      <c r="D32" s="278"/>
      <c r="E32" s="278"/>
      <c r="F32" s="278"/>
      <c r="G32" s="278"/>
      <c r="H32" s="278"/>
      <c r="I32" s="279"/>
      <c r="J32" s="261">
        <f>+SUMIF(RR!E:E,Mats!B32,RR!G:G)</f>
        <v>0</v>
      </c>
      <c r="K32" s="279">
        <f>+SUMIF(Endvr!J:J,Mats!B32,Endvr!K:K)</f>
        <v>0</v>
      </c>
      <c r="L32" s="280">
        <f t="shared" si="1"/>
        <v>0</v>
      </c>
      <c r="M32" s="282" t="s">
        <v>21782</v>
      </c>
    </row>
    <row r="33" spans="1:16" x14ac:dyDescent="0.2">
      <c r="A33" s="287" t="str">
        <f t="shared" si="2"/>
        <v>Dawn Amber</v>
      </c>
      <c r="B33" s="288" t="s">
        <v>21485</v>
      </c>
      <c r="C33" s="288" t="s">
        <v>10772</v>
      </c>
      <c r="D33" s="288"/>
      <c r="E33" s="288"/>
      <c r="F33" s="288"/>
      <c r="G33" s="289">
        <f>+EtK!K26</f>
        <v>531375</v>
      </c>
      <c r="H33" s="288"/>
      <c r="I33" s="289"/>
      <c r="J33" s="288">
        <f>+SUMIF(RR!E:E,Mats!B33,RR!G:G)</f>
        <v>0</v>
      </c>
      <c r="K33" s="289">
        <f>+SUMIF(Endvr!J:J,Mats!B33,Endvr!K:K)</f>
        <v>67100</v>
      </c>
      <c r="L33" s="290">
        <f t="shared" si="1"/>
        <v>-464275</v>
      </c>
      <c r="M33" s="291" t="s">
        <v>20</v>
      </c>
    </row>
    <row r="34" spans="1:16" x14ac:dyDescent="0.2">
      <c r="A34" s="287" t="str">
        <f t="shared" si="2"/>
        <v>Dusk Amber</v>
      </c>
      <c r="B34" s="288" t="s">
        <v>21501</v>
      </c>
      <c r="C34" s="288" t="s">
        <v>10772</v>
      </c>
      <c r="D34" s="288"/>
      <c r="E34" s="288"/>
      <c r="F34" s="288"/>
      <c r="G34" s="289">
        <f>+EtK!L26</f>
        <v>76500</v>
      </c>
      <c r="H34" s="288"/>
      <c r="I34" s="289"/>
      <c r="J34" s="288">
        <f>+SUMIF(RR!E:E,Mats!B34,RR!G:G)</f>
        <v>0</v>
      </c>
      <c r="K34" s="289">
        <f>+SUMIF(Endvr!J:J,Mats!B34,Endvr!K:K)</f>
        <v>17600</v>
      </c>
      <c r="L34" s="290">
        <f t="shared" si="1"/>
        <v>-58900</v>
      </c>
      <c r="M34" s="291" t="s">
        <v>20</v>
      </c>
    </row>
    <row r="35" spans="1:16" x14ac:dyDescent="0.2">
      <c r="A35" s="306" t="s">
        <v>21232</v>
      </c>
      <c r="B35" s="261" t="s">
        <v>21232</v>
      </c>
      <c r="C35" s="261" t="s">
        <v>10772</v>
      </c>
      <c r="D35" s="278">
        <f>COUNTIF(Facility!D:D,B35)</f>
        <v>0</v>
      </c>
      <c r="E35" s="278">
        <f>SUMIFS(MC!M:M,MC!K:K,B35,MC!L:L,C35)</f>
        <v>0</v>
      </c>
      <c r="F35" s="278">
        <f>COUNTIF('W-WS'!D:D,B35)</f>
        <v>0</v>
      </c>
      <c r="G35" s="278">
        <f t="shared" ref="G35" si="5">D35+E35+F35</f>
        <v>0</v>
      </c>
      <c r="H35" s="278"/>
      <c r="I35" s="279"/>
      <c r="J35" s="261">
        <f>+SUMIF(RR!E:E,Mats!B35,RR!G:G)</f>
        <v>0</v>
      </c>
      <c r="K35" s="279">
        <f>+SUMIF(Endvr!J:J,Mats!B35,Endvr!K:K)</f>
        <v>106</v>
      </c>
      <c r="L35" s="280">
        <f t="shared" ref="L35" si="6">SUM(I35:K35)-G35</f>
        <v>106</v>
      </c>
      <c r="M35" s="330" t="s">
        <v>24233</v>
      </c>
      <c r="N35" s="68"/>
    </row>
    <row r="36" spans="1:16" x14ac:dyDescent="0.2">
      <c r="A36" s="306" t="s">
        <v>24085</v>
      </c>
      <c r="B36" s="278" t="s">
        <v>19599</v>
      </c>
      <c r="C36" s="278" t="s">
        <v>122</v>
      </c>
      <c r="D36" s="278">
        <f>COUNTIF(Facility!D:D,B36)</f>
        <v>5</v>
      </c>
      <c r="E36" s="278">
        <f>SUMIFS(MC!M:M,MC!K:K,B36,MC!L:L,C36)</f>
        <v>590</v>
      </c>
      <c r="F36" s="278">
        <f>COUNTIF('W-WS'!D:D,B36)</f>
        <v>0</v>
      </c>
      <c r="G36" s="278">
        <f t="shared" ref="G36:G67" si="7">D36+E36+F36</f>
        <v>595</v>
      </c>
      <c r="H36" s="278"/>
      <c r="I36" s="279">
        <f>+INDEX(QDrop!$AX:$BD,MATCH(Mats!$B36,QDrop!$AX:$AX,0),MATCH(Mats!$C36,QDrop!$AX$1:$BD$1,0))</f>
        <v>1429</v>
      </c>
      <c r="J36" s="261">
        <f>+SUMIFS(RR!G:G,RR!F:F,Mats!C36,RR!E:E,Mats!B36)</f>
        <v>100</v>
      </c>
      <c r="K36" s="279">
        <f>+SUMIFS(Endvr!K:K,Endvr!I:I,Mats!C36,Endvr!J:J,Mats!B36)</f>
        <v>380</v>
      </c>
      <c r="L36" s="280">
        <f t="shared" si="1"/>
        <v>1314</v>
      </c>
      <c r="M36" s="282" t="s">
        <v>21783</v>
      </c>
      <c r="N36" s="68"/>
      <c r="O36" s="68"/>
    </row>
    <row r="37" spans="1:16" x14ac:dyDescent="0.2">
      <c r="A37" s="306" t="s">
        <v>24086</v>
      </c>
      <c r="B37" s="278" t="s">
        <v>19600</v>
      </c>
      <c r="C37" s="278" t="s">
        <v>122</v>
      </c>
      <c r="D37" s="278">
        <f>COUNTIF(Facility!D:D,B37)</f>
        <v>10</v>
      </c>
      <c r="E37" s="278">
        <f>SUMIFS(MC!M:M,MC!K:K,B37,MC!L:L,C37)</f>
        <v>590</v>
      </c>
      <c r="F37" s="278">
        <f>COUNTIF('W-WS'!D:D,B37)</f>
        <v>0</v>
      </c>
      <c r="G37" s="278">
        <f t="shared" si="7"/>
        <v>600</v>
      </c>
      <c r="H37" s="278"/>
      <c r="I37" s="279">
        <f>+INDEX(QDrop!$AX:$BD,MATCH(Mats!$B37,QDrop!$AX:$AX,0),MATCH(Mats!$C37,QDrop!$AX$1:$BD$1,0))</f>
        <v>1126</v>
      </c>
      <c r="J37" s="261">
        <f>+SUMIFS(RR!G:G,RR!F:F,Mats!C37,RR!E:E,Mats!B37)</f>
        <v>155</v>
      </c>
      <c r="K37" s="279">
        <f>+SUMIFS(Endvr!K:K,Endvr!I:I,Mats!C37,Endvr!J:J,Mats!B37)</f>
        <v>380</v>
      </c>
      <c r="L37" s="280">
        <f t="shared" si="1"/>
        <v>1061</v>
      </c>
      <c r="M37" s="282" t="s">
        <v>21783</v>
      </c>
      <c r="N37" s="68"/>
      <c r="O37" s="68"/>
    </row>
    <row r="38" spans="1:16" x14ac:dyDescent="0.2">
      <c r="A38" s="306" t="s">
        <v>24088</v>
      </c>
      <c r="B38" s="278" t="s">
        <v>19601</v>
      </c>
      <c r="C38" s="278" t="s">
        <v>122</v>
      </c>
      <c r="D38" s="278">
        <f>COUNTIF(Facility!D:D,B38)</f>
        <v>10</v>
      </c>
      <c r="E38" s="278">
        <f>SUMIFS(MC!M:M,MC!K:K,B38,MC!L:L,C38)</f>
        <v>295</v>
      </c>
      <c r="F38" s="278">
        <f>COUNTIF('W-WS'!D:D,B38)</f>
        <v>0</v>
      </c>
      <c r="G38" s="278">
        <f t="shared" si="7"/>
        <v>305</v>
      </c>
      <c r="H38" s="278"/>
      <c r="I38" s="279">
        <f>+INDEX(QDrop!$AX:$BD,MATCH(Mats!$B38,QDrop!$AX:$AX,0),MATCH(Mats!$C38,QDrop!$AX$1:$BD$1,0))</f>
        <v>643</v>
      </c>
      <c r="J38" s="261">
        <f>+SUMIFS(RR!G:G,RR!F:F,Mats!C38,RR!E:E,Mats!B38)</f>
        <v>50</v>
      </c>
      <c r="K38" s="279">
        <f>+SUMIFS(Endvr!K:K,Endvr!I:I,Mats!C38,Endvr!J:J,Mats!B38)</f>
        <v>380</v>
      </c>
      <c r="L38" s="280">
        <f t="shared" si="1"/>
        <v>768</v>
      </c>
      <c r="M38" s="282" t="s">
        <v>21783</v>
      </c>
      <c r="N38" s="68"/>
    </row>
    <row r="39" spans="1:16" x14ac:dyDescent="0.2">
      <c r="A39" s="286" t="s">
        <v>24087</v>
      </c>
      <c r="B39" s="278" t="s">
        <v>19602</v>
      </c>
      <c r="C39" s="278" t="s">
        <v>122</v>
      </c>
      <c r="D39" s="278">
        <f>COUNTIF(Facility!D:D,B39)</f>
        <v>10</v>
      </c>
      <c r="E39" s="278">
        <f>SUMIFS(MC!M:M,MC!K:K,B39,MC!L:L,C39)</f>
        <v>295</v>
      </c>
      <c r="F39" s="278">
        <f>COUNTIF('W-WS'!D:D,B39)</f>
        <v>0</v>
      </c>
      <c r="G39" s="278">
        <f t="shared" si="7"/>
        <v>305</v>
      </c>
      <c r="H39" s="278"/>
      <c r="I39" s="279">
        <f>+INDEX(QDrop!$AX:$BD,MATCH(Mats!$B39,QDrop!$AX:$AX,0),MATCH(Mats!$C39,QDrop!$AX$1:$BD$1,0))</f>
        <v>400</v>
      </c>
      <c r="J39" s="261">
        <f>+SUMIFS(RR!G:G,RR!F:F,Mats!C39,RR!E:E,Mats!B39)</f>
        <v>50</v>
      </c>
      <c r="K39" s="279">
        <f>+SUMIFS(Endvr!K:K,Endvr!I:I,Mats!C39,Endvr!J:J,Mats!B39)</f>
        <v>380</v>
      </c>
      <c r="L39" s="280">
        <f t="shared" si="1"/>
        <v>525</v>
      </c>
      <c r="M39" s="282" t="s">
        <v>21784</v>
      </c>
      <c r="N39" s="68"/>
    </row>
    <row r="40" spans="1:16" x14ac:dyDescent="0.2">
      <c r="A40" s="306" t="s">
        <v>24078</v>
      </c>
      <c r="B40" s="278" t="s">
        <v>19599</v>
      </c>
      <c r="C40" s="278" t="s">
        <v>1103</v>
      </c>
      <c r="D40" s="278">
        <f>COUNTIF(Facility!D:D,B40)</f>
        <v>5</v>
      </c>
      <c r="E40" s="278">
        <f>SUMIFS(MC!M:M,MC!K:K,B40,MC!L:L,C40)</f>
        <v>600</v>
      </c>
      <c r="F40" s="278">
        <f>COUNTIF('W-WS'!D:D,B40)</f>
        <v>0</v>
      </c>
      <c r="G40" s="278">
        <f t="shared" ref="G40:G47" si="8">D40+E40+F40</f>
        <v>605</v>
      </c>
      <c r="H40" s="278"/>
      <c r="I40" s="279">
        <f>+INDEX(QDrop!$AX:$BD,MATCH(Mats!$B40,QDrop!$AX:$AX,0),MATCH(Mats!$C40,QDrop!$AX$1:$BD$1,0))</f>
        <v>1227</v>
      </c>
      <c r="J40" s="261">
        <f>+SUMIFS(RR!G:G,RR!F:F,Mats!C40,RR!E:E,Mats!B40)</f>
        <v>100</v>
      </c>
      <c r="K40" s="279">
        <f>+SUMIFS(Endvr!K:K,Endvr!I:I,Mats!C40,Endvr!J:J,Mats!B40)</f>
        <v>380</v>
      </c>
      <c r="L40" s="280">
        <f t="shared" si="1"/>
        <v>1102</v>
      </c>
      <c r="M40" s="282" t="s">
        <v>21783</v>
      </c>
      <c r="N40" s="68"/>
    </row>
    <row r="41" spans="1:16" x14ac:dyDescent="0.2">
      <c r="A41" s="306" t="s">
        <v>24082</v>
      </c>
      <c r="B41" s="278" t="s">
        <v>19600</v>
      </c>
      <c r="C41" s="278" t="s">
        <v>1103</v>
      </c>
      <c r="D41" s="278">
        <f>COUNTIF(Facility!D:D,B41)</f>
        <v>10</v>
      </c>
      <c r="E41" s="278">
        <f>SUMIFS(MC!M:M,MC!K:K,B41,MC!L:L,C41)</f>
        <v>600</v>
      </c>
      <c r="F41" s="278">
        <f>COUNTIF('W-WS'!D:D,B41)</f>
        <v>0</v>
      </c>
      <c r="G41" s="278">
        <f t="shared" si="8"/>
        <v>610</v>
      </c>
      <c r="H41" s="278"/>
      <c r="I41" s="279">
        <f>+INDEX(QDrop!$AX:$BD,MATCH(Mats!$B41,QDrop!$AX:$AX,0),MATCH(Mats!$C41,QDrop!$AX$1:$BD$1,0))</f>
        <v>975</v>
      </c>
      <c r="J41" s="261">
        <f>+SUMIFS(RR!G:G,RR!F:F,Mats!C41,RR!E:E,Mats!B41)</f>
        <v>155</v>
      </c>
      <c r="K41" s="279">
        <f>+SUMIFS(Endvr!K:K,Endvr!I:I,Mats!C41,Endvr!J:J,Mats!B41)</f>
        <v>380</v>
      </c>
      <c r="L41" s="280">
        <f t="shared" si="1"/>
        <v>900</v>
      </c>
      <c r="M41" s="282" t="s">
        <v>21783</v>
      </c>
      <c r="N41" s="68"/>
    </row>
    <row r="42" spans="1:16" x14ac:dyDescent="0.2">
      <c r="A42" s="306" t="s">
        <v>24083</v>
      </c>
      <c r="B42" s="278" t="s">
        <v>19601</v>
      </c>
      <c r="C42" s="278" t="s">
        <v>1103</v>
      </c>
      <c r="D42" s="278">
        <f>COUNTIF(Facility!D:D,B42)</f>
        <v>10</v>
      </c>
      <c r="E42" s="278">
        <f>SUMIFS(MC!M:M,MC!K:K,B42,MC!L:L,C42)</f>
        <v>300</v>
      </c>
      <c r="F42" s="278">
        <f>COUNTIF('W-WS'!D:D,B42)</f>
        <v>0</v>
      </c>
      <c r="G42" s="278">
        <f t="shared" si="8"/>
        <v>310</v>
      </c>
      <c r="H42" s="278"/>
      <c r="I42" s="279">
        <f>+INDEX(QDrop!$AX:$BD,MATCH(Mats!$B42,QDrop!$AX:$AX,0),MATCH(Mats!$C42,QDrop!$AX$1:$BD$1,0))</f>
        <v>562</v>
      </c>
      <c r="J42" s="261">
        <f>+SUMIFS(RR!G:G,RR!F:F,Mats!C42,RR!E:E,Mats!B42)</f>
        <v>50</v>
      </c>
      <c r="K42" s="279">
        <f>+SUMIFS(Endvr!K:K,Endvr!I:I,Mats!C42,Endvr!J:J,Mats!B42)</f>
        <v>380</v>
      </c>
      <c r="L42" s="280">
        <f t="shared" si="1"/>
        <v>682</v>
      </c>
      <c r="M42" s="282" t="s">
        <v>21783</v>
      </c>
      <c r="N42" s="68"/>
    </row>
    <row r="43" spans="1:16" x14ac:dyDescent="0.2">
      <c r="A43" s="306" t="s">
        <v>24084</v>
      </c>
      <c r="B43" s="278" t="s">
        <v>19602</v>
      </c>
      <c r="C43" s="278" t="s">
        <v>1103</v>
      </c>
      <c r="D43" s="278">
        <f>COUNTIF(Facility!D:D,B43)</f>
        <v>10</v>
      </c>
      <c r="E43" s="278">
        <f>SUMIFS(MC!M:M,MC!K:K,B43,MC!L:L,C43)</f>
        <v>300</v>
      </c>
      <c r="F43" s="278">
        <f>COUNTIF('W-WS'!D:D,B43)</f>
        <v>0</v>
      </c>
      <c r="G43" s="278">
        <f t="shared" si="8"/>
        <v>310</v>
      </c>
      <c r="H43" s="278"/>
      <c r="I43" s="279">
        <f>+INDEX(QDrop!$AX:$BD,MATCH(Mats!$B43,QDrop!$AX:$AX,0),MATCH(Mats!$C43,QDrop!$AX$1:$BD$1,0))</f>
        <v>338</v>
      </c>
      <c r="J43" s="261">
        <f>+SUMIFS(RR!G:G,RR!F:F,Mats!C43,RR!E:E,Mats!B43)</f>
        <v>50</v>
      </c>
      <c r="K43" s="279">
        <f>+SUMIFS(Endvr!K:K,Endvr!I:I,Mats!C43,Endvr!J:J,Mats!B43)</f>
        <v>380</v>
      </c>
      <c r="L43" s="280">
        <f t="shared" si="1"/>
        <v>458</v>
      </c>
      <c r="M43" s="282" t="s">
        <v>21784</v>
      </c>
      <c r="N43" s="68"/>
    </row>
    <row r="44" spans="1:16" x14ac:dyDescent="0.2">
      <c r="A44" s="306" t="s">
        <v>24079</v>
      </c>
      <c r="B44" s="278" t="s">
        <v>19599</v>
      </c>
      <c r="C44" s="278" t="s">
        <v>1947</v>
      </c>
      <c r="D44" s="278">
        <f>COUNTIF(Facility!D:D,B44)</f>
        <v>5</v>
      </c>
      <c r="E44" s="278">
        <f>SUMIFS(MC!M:M,MC!K:K,B44,MC!L:L,C44)</f>
        <v>630</v>
      </c>
      <c r="F44" s="278">
        <f>COUNTIF('W-WS'!D:D,B44)</f>
        <v>0</v>
      </c>
      <c r="G44" s="278">
        <f t="shared" si="8"/>
        <v>635</v>
      </c>
      <c r="H44" s="278"/>
      <c r="I44" s="279">
        <f>+INDEX(QDrop!$AX:$BD,MATCH(Mats!$B44,QDrop!$AX:$AX,0),MATCH(Mats!$C44,QDrop!$AX$1:$BD$1,0))</f>
        <v>1159</v>
      </c>
      <c r="J44" s="261">
        <f>+SUMIFS(RR!G:G,RR!F:F,Mats!C44,RR!E:E,Mats!B44)</f>
        <v>140</v>
      </c>
      <c r="K44" s="279">
        <f>+SUMIFS(Endvr!K:K,Endvr!I:I,Mats!C44,Endvr!J:J,Mats!B44)</f>
        <v>360</v>
      </c>
      <c r="L44" s="280">
        <f t="shared" si="1"/>
        <v>1024</v>
      </c>
      <c r="M44" s="282" t="s">
        <v>21783</v>
      </c>
      <c r="N44" s="68"/>
    </row>
    <row r="45" spans="1:16" x14ac:dyDescent="0.2">
      <c r="A45" s="306" t="s">
        <v>24089</v>
      </c>
      <c r="B45" s="278" t="s">
        <v>19600</v>
      </c>
      <c r="C45" s="278" t="s">
        <v>1947</v>
      </c>
      <c r="D45" s="278">
        <f>COUNTIF(Facility!D:D,B45)</f>
        <v>10</v>
      </c>
      <c r="E45" s="278">
        <f>SUMIFS(MC!M:M,MC!K:K,B45,MC!L:L,C45)</f>
        <v>630</v>
      </c>
      <c r="F45" s="278">
        <f>COUNTIF('W-WS'!D:D,B45)</f>
        <v>0</v>
      </c>
      <c r="G45" s="278">
        <f t="shared" si="8"/>
        <v>640</v>
      </c>
      <c r="H45" s="278"/>
      <c r="I45" s="279">
        <f>+INDEX(QDrop!$AX:$BD,MATCH(Mats!$B45,QDrop!$AX:$AX,0),MATCH(Mats!$C45,QDrop!$AX$1:$BD$1,0))</f>
        <v>883</v>
      </c>
      <c r="J45" s="261">
        <f>+SUMIFS(RR!G:G,RR!F:F,Mats!C45,RR!E:E,Mats!B45)</f>
        <v>155</v>
      </c>
      <c r="K45" s="279">
        <f>+SUMIFS(Endvr!K:K,Endvr!I:I,Mats!C45,Endvr!J:J,Mats!B45)</f>
        <v>360</v>
      </c>
      <c r="L45" s="280">
        <f t="shared" si="1"/>
        <v>758</v>
      </c>
      <c r="M45" s="282" t="s">
        <v>21783</v>
      </c>
      <c r="N45" s="68"/>
    </row>
    <row r="46" spans="1:16" x14ac:dyDescent="0.2">
      <c r="A46" s="306" t="s">
        <v>24090</v>
      </c>
      <c r="B46" s="278" t="s">
        <v>19601</v>
      </c>
      <c r="C46" s="278" t="s">
        <v>1947</v>
      </c>
      <c r="D46" s="278">
        <f>COUNTIF(Facility!D:D,B46)</f>
        <v>10</v>
      </c>
      <c r="E46" s="278">
        <f>SUMIFS(MC!M:M,MC!K:K,B46,MC!L:L,C46)</f>
        <v>315</v>
      </c>
      <c r="F46" s="278">
        <f>COUNTIF('W-WS'!D:D,B46)</f>
        <v>0</v>
      </c>
      <c r="G46" s="278">
        <f t="shared" si="8"/>
        <v>325</v>
      </c>
      <c r="H46" s="278"/>
      <c r="I46" s="279">
        <f>+INDEX(QDrop!$AX:$BD,MATCH(Mats!$B46,QDrop!$AX:$AX,0),MATCH(Mats!$C46,QDrop!$AX$1:$BD$1,0))</f>
        <v>589</v>
      </c>
      <c r="J46" s="261">
        <f>+SUMIFS(RR!G:G,RR!F:F,Mats!C46,RR!E:E,Mats!B46)</f>
        <v>50</v>
      </c>
      <c r="K46" s="279">
        <f>+SUMIFS(Endvr!K:K,Endvr!I:I,Mats!C46,Endvr!J:J,Mats!B46)</f>
        <v>360</v>
      </c>
      <c r="L46" s="280">
        <f t="shared" si="1"/>
        <v>674</v>
      </c>
      <c r="M46" s="282" t="s">
        <v>21783</v>
      </c>
      <c r="N46" s="68"/>
    </row>
    <row r="47" spans="1:16" x14ac:dyDescent="0.2">
      <c r="A47" s="306" t="s">
        <v>24091</v>
      </c>
      <c r="B47" s="278" t="s">
        <v>19602</v>
      </c>
      <c r="C47" s="278" t="s">
        <v>1947</v>
      </c>
      <c r="D47" s="278">
        <f>COUNTIF(Facility!D:D,B47)</f>
        <v>10</v>
      </c>
      <c r="E47" s="278">
        <f>SUMIFS(MC!M:M,MC!K:K,B47,MC!L:L,C47)</f>
        <v>315</v>
      </c>
      <c r="F47" s="278">
        <f>COUNTIF('W-WS'!D:D,B47)</f>
        <v>0</v>
      </c>
      <c r="G47" s="278">
        <f t="shared" si="8"/>
        <v>325</v>
      </c>
      <c r="H47" s="278"/>
      <c r="I47" s="279">
        <f>+INDEX(QDrop!$AX:$BD,MATCH(Mats!$B47,QDrop!$AX:$AX,0),MATCH(Mats!$C47,QDrop!$AX$1:$BD$1,0))</f>
        <v>334</v>
      </c>
      <c r="J47" s="261">
        <f>+SUMIFS(RR!G:G,RR!F:F,Mats!C47,RR!E:E,Mats!B47)</f>
        <v>50</v>
      </c>
      <c r="K47" s="279">
        <f>+SUMIFS(Endvr!K:K,Endvr!I:I,Mats!C47,Endvr!J:J,Mats!B47)</f>
        <v>360</v>
      </c>
      <c r="L47" s="280">
        <f t="shared" si="1"/>
        <v>419</v>
      </c>
      <c r="M47" s="282" t="s">
        <v>21784</v>
      </c>
      <c r="N47" s="68"/>
    </row>
    <row r="48" spans="1:16" x14ac:dyDescent="0.2">
      <c r="A48" s="306" t="s">
        <v>24080</v>
      </c>
      <c r="B48" s="278" t="s">
        <v>19599</v>
      </c>
      <c r="C48" s="278" t="s">
        <v>2837</v>
      </c>
      <c r="D48" s="278">
        <f>COUNTIF(Facility!D:D,B48)</f>
        <v>5</v>
      </c>
      <c r="E48" s="278">
        <f>SUMIFS(MC!M:M,MC!K:K,B48,MC!L:L,C48)</f>
        <v>660</v>
      </c>
      <c r="F48" s="278">
        <f>COUNTIF('W-WS'!D:D,B48)</f>
        <v>0</v>
      </c>
      <c r="G48" s="278">
        <f t="shared" si="7"/>
        <v>665</v>
      </c>
      <c r="H48" s="278"/>
      <c r="I48" s="279">
        <f>+INDEX(QDrop!$AX:$BD,MATCH(Mats!$B48,QDrop!$AX:$AX,0),MATCH(Mats!$C48,QDrop!$AX$1:$BD$1,0))</f>
        <v>1205</v>
      </c>
      <c r="J48" s="261">
        <f>+SUMIFS(RR!G:G,RR!F:F,Mats!C48,RR!E:E,Mats!B48)</f>
        <v>100</v>
      </c>
      <c r="K48" s="279">
        <f>+SUMIFS(Endvr!K:K,Endvr!I:I,Mats!C48,Endvr!J:J,Mats!B48)</f>
        <v>420</v>
      </c>
      <c r="L48" s="280">
        <f t="shared" si="1"/>
        <v>1060</v>
      </c>
      <c r="M48" s="282" t="s">
        <v>21783</v>
      </c>
      <c r="N48" s="68"/>
      <c r="P48" s="68"/>
    </row>
    <row r="49" spans="1:16" x14ac:dyDescent="0.2">
      <c r="A49" s="306" t="s">
        <v>24092</v>
      </c>
      <c r="B49" s="278" t="s">
        <v>19600</v>
      </c>
      <c r="C49" s="278" t="s">
        <v>2837</v>
      </c>
      <c r="D49" s="278">
        <f>COUNTIF(Facility!D:D,B49)</f>
        <v>10</v>
      </c>
      <c r="E49" s="278">
        <f>SUMIFS(MC!M:M,MC!K:K,B49,MC!L:L,C49)</f>
        <v>660</v>
      </c>
      <c r="F49" s="278">
        <f>COUNTIF('W-WS'!D:D,B49)</f>
        <v>0</v>
      </c>
      <c r="G49" s="278">
        <f t="shared" si="7"/>
        <v>670</v>
      </c>
      <c r="H49" s="278"/>
      <c r="I49" s="279">
        <f>+INDEX(QDrop!$AX:$BD,MATCH(Mats!$B49,QDrop!$AX:$AX,0),MATCH(Mats!$C49,QDrop!$AX$1:$BD$1,0))</f>
        <v>922</v>
      </c>
      <c r="J49" s="261">
        <f>+SUMIFS(RR!G:G,RR!F:F,Mats!C49,RR!E:E,Mats!B49)</f>
        <v>155</v>
      </c>
      <c r="K49" s="279">
        <f>+SUMIFS(Endvr!K:K,Endvr!I:I,Mats!C49,Endvr!J:J,Mats!B49)</f>
        <v>420</v>
      </c>
      <c r="L49" s="280">
        <f t="shared" si="1"/>
        <v>827</v>
      </c>
      <c r="M49" s="282" t="s">
        <v>21783</v>
      </c>
      <c r="N49" s="68"/>
      <c r="P49" s="68"/>
    </row>
    <row r="50" spans="1:16" x14ac:dyDescent="0.2">
      <c r="A50" s="286" t="s">
        <v>24093</v>
      </c>
      <c r="B50" s="278" t="s">
        <v>19601</v>
      </c>
      <c r="C50" s="278" t="s">
        <v>2837</v>
      </c>
      <c r="D50" s="278">
        <f>COUNTIF(Facility!D:D,B50)</f>
        <v>10</v>
      </c>
      <c r="E50" s="278">
        <f>SUMIFS(MC!M:M,MC!K:K,B50,MC!L:L,C50)</f>
        <v>330</v>
      </c>
      <c r="F50" s="278">
        <f>COUNTIF('W-WS'!D:D,B50)</f>
        <v>0</v>
      </c>
      <c r="G50" s="278">
        <f t="shared" si="7"/>
        <v>340</v>
      </c>
      <c r="H50" s="278"/>
      <c r="I50" s="279">
        <f>+INDEX(QDrop!$AX:$BD,MATCH(Mats!$B50,QDrop!$AX:$AX,0),MATCH(Mats!$C50,QDrop!$AX$1:$BD$1,0))</f>
        <v>564</v>
      </c>
      <c r="J50" s="261">
        <f>+SUMIFS(RR!G:G,RR!F:F,Mats!C50,RR!E:E,Mats!B50)</f>
        <v>50</v>
      </c>
      <c r="K50" s="279">
        <f>+SUMIFS(Endvr!K:K,Endvr!I:I,Mats!C50,Endvr!J:J,Mats!B50)</f>
        <v>420</v>
      </c>
      <c r="L50" s="280">
        <f t="shared" si="1"/>
        <v>694</v>
      </c>
      <c r="M50" s="282" t="s">
        <v>21783</v>
      </c>
      <c r="N50" s="68"/>
      <c r="P50" s="68"/>
    </row>
    <row r="51" spans="1:16" x14ac:dyDescent="0.2">
      <c r="A51" s="306" t="s">
        <v>24094</v>
      </c>
      <c r="B51" s="278" t="s">
        <v>19602</v>
      </c>
      <c r="C51" s="278" t="s">
        <v>2837</v>
      </c>
      <c r="D51" s="278">
        <f>COUNTIF(Facility!D:D,B51)</f>
        <v>10</v>
      </c>
      <c r="E51" s="278">
        <f>SUMIFS(MC!M:M,MC!K:K,B51,MC!L:L,C51)</f>
        <v>330</v>
      </c>
      <c r="F51" s="278">
        <f>COUNTIF('W-WS'!D:D,B51)</f>
        <v>0</v>
      </c>
      <c r="G51" s="278">
        <f t="shared" si="7"/>
        <v>340</v>
      </c>
      <c r="H51" s="278"/>
      <c r="I51" s="279">
        <f>+INDEX(QDrop!$AX:$BD,MATCH(Mats!$B51,QDrop!$AX:$AX,0),MATCH(Mats!$C51,QDrop!$AX$1:$BD$1,0))</f>
        <v>324</v>
      </c>
      <c r="J51" s="261">
        <f>+SUMIFS(RR!G:G,RR!F:F,Mats!C51,RR!E:E,Mats!B51)</f>
        <v>50</v>
      </c>
      <c r="K51" s="279">
        <f>+SUMIFS(Endvr!K:K,Endvr!I:I,Mats!C51,Endvr!J:J,Mats!B51)</f>
        <v>420</v>
      </c>
      <c r="L51" s="280">
        <f t="shared" si="1"/>
        <v>454</v>
      </c>
      <c r="M51" s="282" t="s">
        <v>21784</v>
      </c>
      <c r="N51" s="68"/>
      <c r="P51" s="68"/>
    </row>
    <row r="52" spans="1:16" x14ac:dyDescent="0.2">
      <c r="A52" s="306" t="s">
        <v>24081</v>
      </c>
      <c r="B52" s="278" t="s">
        <v>19599</v>
      </c>
      <c r="C52" s="278" t="s">
        <v>3779</v>
      </c>
      <c r="D52" s="278">
        <f>COUNTIF(Facility!D:D,B52)</f>
        <v>5</v>
      </c>
      <c r="E52" s="278">
        <f>SUMIFS(MC!M:M,MC!K:K,B52,MC!L:L,C52)</f>
        <v>570</v>
      </c>
      <c r="F52" s="278">
        <f>COUNTIF('W-WS'!D:D,B52)</f>
        <v>0</v>
      </c>
      <c r="G52" s="278">
        <f t="shared" si="7"/>
        <v>575</v>
      </c>
      <c r="H52" s="278"/>
      <c r="I52" s="279">
        <f>+INDEX(QDrop!$AX:$BD,MATCH(Mats!$B52,QDrop!$AX:$AX,0),MATCH(Mats!$C52,QDrop!$AX$1:$BD$1,0))</f>
        <v>904</v>
      </c>
      <c r="J52" s="261">
        <f>+SUMIFS(RR!G:G,RR!F:F,Mats!C52,RR!E:E,Mats!B52)</f>
        <v>100</v>
      </c>
      <c r="K52" s="279">
        <f>+SUMIFS(Endvr!K:K,Endvr!I:I,Mats!C52,Endvr!J:J,Mats!B52)</f>
        <v>400</v>
      </c>
      <c r="L52" s="280">
        <f t="shared" si="1"/>
        <v>829</v>
      </c>
      <c r="M52" s="282" t="s">
        <v>21783</v>
      </c>
      <c r="N52" s="68"/>
      <c r="P52" s="68"/>
    </row>
    <row r="53" spans="1:16" x14ac:dyDescent="0.2">
      <c r="A53" s="306" t="s">
        <v>24095</v>
      </c>
      <c r="B53" s="278" t="s">
        <v>19600</v>
      </c>
      <c r="C53" s="278" t="s">
        <v>3779</v>
      </c>
      <c r="D53" s="278">
        <f>COUNTIF(Facility!D:D,B53)</f>
        <v>10</v>
      </c>
      <c r="E53" s="278">
        <f>SUMIFS(MC!M:M,MC!K:K,B53,MC!L:L,C53)</f>
        <v>570</v>
      </c>
      <c r="F53" s="278">
        <f>COUNTIF('W-WS'!D:D,B53)</f>
        <v>0</v>
      </c>
      <c r="G53" s="278">
        <f t="shared" si="7"/>
        <v>580</v>
      </c>
      <c r="H53" s="278"/>
      <c r="I53" s="279">
        <f>+INDEX(QDrop!$AX:$BD,MATCH(Mats!$B53,QDrop!$AX:$AX,0),MATCH(Mats!$C53,QDrop!$AX$1:$BD$1,0))</f>
        <v>677</v>
      </c>
      <c r="J53" s="261">
        <f>+SUMIFS(RR!G:G,RR!F:F,Mats!C53,RR!E:E,Mats!B53)</f>
        <v>155</v>
      </c>
      <c r="K53" s="279">
        <f>+SUMIFS(Endvr!K:K,Endvr!I:I,Mats!C53,Endvr!J:J,Mats!B53)</f>
        <v>400</v>
      </c>
      <c r="L53" s="280">
        <f t="shared" si="1"/>
        <v>652</v>
      </c>
      <c r="M53" s="282" t="s">
        <v>21783</v>
      </c>
      <c r="N53" s="68"/>
      <c r="P53" s="68"/>
    </row>
    <row r="54" spans="1:16" x14ac:dyDescent="0.2">
      <c r="A54" s="306" t="s">
        <v>24096</v>
      </c>
      <c r="B54" s="278" t="s">
        <v>19601</v>
      </c>
      <c r="C54" s="278" t="s">
        <v>3779</v>
      </c>
      <c r="D54" s="278">
        <f>COUNTIF(Facility!D:D,B54)</f>
        <v>10</v>
      </c>
      <c r="E54" s="278">
        <f>SUMIFS(MC!M:M,MC!K:K,B54,MC!L:L,C54)</f>
        <v>285</v>
      </c>
      <c r="F54" s="278">
        <f>COUNTIF('W-WS'!D:D,B54)</f>
        <v>0</v>
      </c>
      <c r="G54" s="278">
        <f t="shared" si="7"/>
        <v>295</v>
      </c>
      <c r="H54" s="278"/>
      <c r="I54" s="279">
        <f>+INDEX(QDrop!$AX:$BD,MATCH(Mats!$B54,QDrop!$AX:$AX,0),MATCH(Mats!$C54,QDrop!$AX$1:$BD$1,0))</f>
        <v>446</v>
      </c>
      <c r="J54" s="261">
        <f>+SUMIFS(RR!G:G,RR!F:F,Mats!C54,RR!E:E,Mats!B54)</f>
        <v>50</v>
      </c>
      <c r="K54" s="279">
        <f>+SUMIFS(Endvr!K:K,Endvr!I:I,Mats!C54,Endvr!J:J,Mats!B54)</f>
        <v>400</v>
      </c>
      <c r="L54" s="280">
        <f t="shared" si="1"/>
        <v>601</v>
      </c>
      <c r="M54" s="282" t="s">
        <v>21783</v>
      </c>
      <c r="N54" s="68"/>
    </row>
    <row r="55" spans="1:16" x14ac:dyDescent="0.2">
      <c r="A55" s="306" t="s">
        <v>24097</v>
      </c>
      <c r="B55" s="278" t="s">
        <v>19602</v>
      </c>
      <c r="C55" s="278" t="s">
        <v>3779</v>
      </c>
      <c r="D55" s="278">
        <f>COUNTIF(Facility!D:D,B55)</f>
        <v>10</v>
      </c>
      <c r="E55" s="278">
        <f>SUMIFS(MC!M:M,MC!K:K,B55,MC!L:L,C55)</f>
        <v>285</v>
      </c>
      <c r="F55" s="278">
        <f>COUNTIF('W-WS'!D:D,B55)</f>
        <v>0</v>
      </c>
      <c r="G55" s="278">
        <f t="shared" si="7"/>
        <v>295</v>
      </c>
      <c r="H55" s="278"/>
      <c r="I55" s="279">
        <f>+INDEX(QDrop!$AX:$BD,MATCH(Mats!$B55,QDrop!$AX:$AX,0),MATCH(Mats!$C55,QDrop!$AX$1:$BD$1,0))</f>
        <v>253</v>
      </c>
      <c r="J55" s="261">
        <f>+SUMIFS(RR!G:G,RR!F:F,Mats!C55,RR!E:E,Mats!B55)</f>
        <v>50</v>
      </c>
      <c r="K55" s="279">
        <f>+SUMIFS(Endvr!K:K,Endvr!I:I,Mats!C55,Endvr!J:J,Mats!B55)</f>
        <v>400</v>
      </c>
      <c r="L55" s="280">
        <f t="shared" si="1"/>
        <v>408</v>
      </c>
      <c r="M55" s="282" t="s">
        <v>21784</v>
      </c>
      <c r="N55" s="68"/>
    </row>
    <row r="56" spans="1:16" x14ac:dyDescent="0.2">
      <c r="A56" s="306" t="s">
        <v>24106</v>
      </c>
      <c r="B56" s="278" t="s">
        <v>19603</v>
      </c>
      <c r="C56" s="278" t="s">
        <v>122</v>
      </c>
      <c r="D56" s="278">
        <f>COUNTIF(Facility!D:D,B56)</f>
        <v>9</v>
      </c>
      <c r="E56" s="278">
        <f>SUMIFS(MC!M:M,MC!K:K,B56,MC!L:L,C56)</f>
        <v>295</v>
      </c>
      <c r="F56" s="278">
        <f>COUNTIF('W-WS'!D:D,B56)*9</f>
        <v>0</v>
      </c>
      <c r="G56" s="278">
        <f t="shared" ref="G56:G65" si="9">D56+E56+F56</f>
        <v>304</v>
      </c>
      <c r="H56" s="278"/>
      <c r="I56" s="279">
        <f>+INDEX(QDrop!$AX:$BD,MATCH(Mats!$B56,QDrop!$AX:$AX,0),MATCH(Mats!$C56,QDrop!$AX$1:$BD$1,0))</f>
        <v>272</v>
      </c>
      <c r="J56" s="261">
        <f>+SUMIFS(RR!G:G,RR!F:F,Mats!C56,RR!E:E,Mats!B56)</f>
        <v>70</v>
      </c>
      <c r="K56" s="279">
        <f>+SUMIFS(Endvr!K:K,Endvr!I:I,Mats!C56,Endvr!J:J,Mats!B56)</f>
        <v>410</v>
      </c>
      <c r="L56" s="280">
        <f t="shared" si="1"/>
        <v>448</v>
      </c>
      <c r="M56" s="282" t="s">
        <v>21785</v>
      </c>
      <c r="N56" s="68"/>
    </row>
    <row r="57" spans="1:16" x14ac:dyDescent="0.2">
      <c r="A57" s="306" t="s">
        <v>24105</v>
      </c>
      <c r="B57" s="278" t="s">
        <v>19604</v>
      </c>
      <c r="C57" s="278" t="s">
        <v>122</v>
      </c>
      <c r="D57" s="278">
        <f>COUNTIF(Facility!D:D,B57)</f>
        <v>10</v>
      </c>
      <c r="E57" s="278">
        <f>SUMIFS(MC!M:M,MC!K:K,B57,MC!L:L,C57)</f>
        <v>295</v>
      </c>
      <c r="F57" s="278">
        <f>COUNTIF('W-WS'!D:D,B57)*9</f>
        <v>0</v>
      </c>
      <c r="G57" s="278">
        <f>D57+E57+F57</f>
        <v>305</v>
      </c>
      <c r="H57" s="278"/>
      <c r="I57" s="279">
        <f>+INDEX(QDrop!$AX:$BD,MATCH(Mats!$B57,QDrop!$AX:$AX,0),MATCH(Mats!$C57,QDrop!$AX$1:$BD$1,0))</f>
        <v>185</v>
      </c>
      <c r="J57" s="261">
        <f>+SUMIFS(RR!G:G,RR!F:F,Mats!C57,RR!E:E,Mats!B57)</f>
        <v>40</v>
      </c>
      <c r="K57" s="279">
        <f>+SUMIFS(Endvr!K:K,Endvr!I:I,Mats!C57,Endvr!J:J,Mats!B57)</f>
        <v>410</v>
      </c>
      <c r="L57" s="280">
        <f>SUM(I57:K57)-G57</f>
        <v>330</v>
      </c>
      <c r="M57" s="282" t="s">
        <v>21786</v>
      </c>
      <c r="N57" s="68"/>
    </row>
    <row r="58" spans="1:16" x14ac:dyDescent="0.2">
      <c r="A58" s="306" t="s">
        <v>24104</v>
      </c>
      <c r="B58" s="278" t="s">
        <v>19603</v>
      </c>
      <c r="C58" s="278" t="s">
        <v>1103</v>
      </c>
      <c r="D58" s="278">
        <f>COUNTIF(Facility!D:D,B58)</f>
        <v>9</v>
      </c>
      <c r="E58" s="278">
        <f>SUMIFS(MC!M:M,MC!K:K,B58,MC!L:L,C58)</f>
        <v>300</v>
      </c>
      <c r="F58" s="278">
        <f>COUNTIF('W-WS'!D:D,B58)*9</f>
        <v>0</v>
      </c>
      <c r="G58" s="278">
        <f>D58+E58+F58</f>
        <v>309</v>
      </c>
      <c r="H58" s="278"/>
      <c r="I58" s="279">
        <f>+INDEX(QDrop!$AX:$BD,MATCH(Mats!$B58,QDrop!$AX:$AX,0),MATCH(Mats!$C58,QDrop!$AX$1:$BD$1,0))</f>
        <v>293</v>
      </c>
      <c r="J58" s="261">
        <f>+SUMIFS(RR!G:G,RR!F:F,Mats!C58,RR!E:E,Mats!B58)</f>
        <v>70</v>
      </c>
      <c r="K58" s="279">
        <f>+SUMIFS(Endvr!K:K,Endvr!I:I,Mats!C58,Endvr!J:J,Mats!B58)</f>
        <v>410</v>
      </c>
      <c r="L58" s="280">
        <f>SUM(I58:K58)-G58</f>
        <v>464</v>
      </c>
      <c r="M58" s="282" t="s">
        <v>21785</v>
      </c>
      <c r="N58" s="68"/>
    </row>
    <row r="59" spans="1:16" x14ac:dyDescent="0.2">
      <c r="A59" s="306" t="s">
        <v>24103</v>
      </c>
      <c r="B59" s="278" t="s">
        <v>19604</v>
      </c>
      <c r="C59" s="278" t="s">
        <v>1103</v>
      </c>
      <c r="D59" s="278">
        <f>COUNTIF(Facility!D:D,B59)</f>
        <v>10</v>
      </c>
      <c r="E59" s="278">
        <f>SUMIFS(MC!M:M,MC!K:K,B59,MC!L:L,C59)</f>
        <v>300</v>
      </c>
      <c r="F59" s="278">
        <f>COUNTIF('W-WS'!D:D,B59)*9</f>
        <v>0</v>
      </c>
      <c r="G59" s="278">
        <f>D59+E59+F59</f>
        <v>310</v>
      </c>
      <c r="H59" s="278"/>
      <c r="I59" s="279">
        <f>+INDEX(QDrop!$AX:$BD,MATCH(Mats!$B59,QDrop!$AX:$AX,0),MATCH(Mats!$C59,QDrop!$AX$1:$BD$1,0))</f>
        <v>178</v>
      </c>
      <c r="J59" s="261">
        <f>+SUMIFS(RR!G:G,RR!F:F,Mats!C59,RR!E:E,Mats!B59)</f>
        <v>40</v>
      </c>
      <c r="K59" s="279">
        <f>+SUMIFS(Endvr!K:K,Endvr!I:I,Mats!C59,Endvr!J:J,Mats!B59)</f>
        <v>410</v>
      </c>
      <c r="L59" s="280">
        <f>SUM(I59:K59)-G59</f>
        <v>318</v>
      </c>
      <c r="M59" s="282" t="s">
        <v>21786</v>
      </c>
      <c r="N59" s="68"/>
    </row>
    <row r="60" spans="1:16" x14ac:dyDescent="0.2">
      <c r="A60" s="306" t="s">
        <v>24101</v>
      </c>
      <c r="B60" s="278" t="s">
        <v>19603</v>
      </c>
      <c r="C60" s="278" t="s">
        <v>1947</v>
      </c>
      <c r="D60" s="278">
        <f>COUNTIF(Facility!D:D,B60)</f>
        <v>9</v>
      </c>
      <c r="E60" s="278">
        <f>SUMIFS(MC!M:M,MC!K:K,B60,MC!L:L,C60)</f>
        <v>315</v>
      </c>
      <c r="F60" s="278">
        <f>COUNTIF('W-WS'!D:D,B60)*9</f>
        <v>0</v>
      </c>
      <c r="G60" s="278">
        <f>D60+E60+F60</f>
        <v>324</v>
      </c>
      <c r="H60" s="278"/>
      <c r="I60" s="279">
        <f>+INDEX(QDrop!$AX:$BD,MATCH(Mats!$B60,QDrop!$AX:$AX,0),MATCH(Mats!$C60,QDrop!$AX$1:$BD$1,0))</f>
        <v>280</v>
      </c>
      <c r="J60" s="261">
        <f>+SUMIFS(RR!G:G,RR!F:F,Mats!C60,RR!E:E,Mats!B60)</f>
        <v>70</v>
      </c>
      <c r="K60" s="279">
        <f>+SUMIFS(Endvr!K:K,Endvr!I:I,Mats!C60,Endvr!J:J,Mats!B60)</f>
        <v>390</v>
      </c>
      <c r="L60" s="280">
        <f>SUM(I60:K60)-G60</f>
        <v>416</v>
      </c>
      <c r="M60" s="282" t="s">
        <v>21785</v>
      </c>
      <c r="N60" s="68"/>
    </row>
    <row r="61" spans="1:16" x14ac:dyDescent="0.2">
      <c r="A61" s="306" t="s">
        <v>24100</v>
      </c>
      <c r="B61" s="278" t="s">
        <v>19604</v>
      </c>
      <c r="C61" s="278" t="s">
        <v>1947</v>
      </c>
      <c r="D61" s="278">
        <f>COUNTIF(Facility!D:D,B61)</f>
        <v>10</v>
      </c>
      <c r="E61" s="278">
        <f>SUMIFS(MC!M:M,MC!K:K,B61,MC!L:L,C61)</f>
        <v>315</v>
      </c>
      <c r="F61" s="278">
        <f>COUNTIF('W-WS'!D:D,B61)*9</f>
        <v>0</v>
      </c>
      <c r="G61" s="278">
        <f>D61+E61+F61</f>
        <v>325</v>
      </c>
      <c r="H61" s="278"/>
      <c r="I61" s="279">
        <f>+INDEX(QDrop!$AX:$BD,MATCH(Mats!$B61,QDrop!$AX:$AX,0),MATCH(Mats!$C61,QDrop!$AX$1:$BD$1,0))</f>
        <v>181</v>
      </c>
      <c r="J61" s="261">
        <f>+SUMIFS(RR!G:G,RR!F:F,Mats!C61,RR!E:E,Mats!B61)</f>
        <v>40</v>
      </c>
      <c r="K61" s="279">
        <f>+SUMIFS(Endvr!K:K,Endvr!I:I,Mats!C61,Endvr!J:J,Mats!B61)</f>
        <v>390</v>
      </c>
      <c r="L61" s="280">
        <f>SUM(I61:K61)-G61</f>
        <v>286</v>
      </c>
      <c r="M61" s="282" t="s">
        <v>21786</v>
      </c>
      <c r="N61" s="68"/>
    </row>
    <row r="62" spans="1:16" x14ac:dyDescent="0.2">
      <c r="A62" s="306" t="s">
        <v>24102</v>
      </c>
      <c r="B62" s="278" t="s">
        <v>19603</v>
      </c>
      <c r="C62" s="278" t="s">
        <v>2837</v>
      </c>
      <c r="D62" s="278">
        <f>COUNTIF(Facility!D:D,B62)</f>
        <v>9</v>
      </c>
      <c r="E62" s="278">
        <f>SUMIFS(MC!M:M,MC!K:K,B62,MC!L:L,C62)</f>
        <v>330</v>
      </c>
      <c r="F62" s="278">
        <f>COUNTIF('W-WS'!D:D,B62)*9</f>
        <v>0</v>
      </c>
      <c r="G62" s="278">
        <f t="shared" si="9"/>
        <v>339</v>
      </c>
      <c r="H62" s="278"/>
      <c r="I62" s="279">
        <f>+INDEX(QDrop!$AX:$BD,MATCH(Mats!$B62,QDrop!$AX:$AX,0),MATCH(Mats!$C62,QDrop!$AX$1:$BD$1,0))</f>
        <v>273</v>
      </c>
      <c r="J62" s="261">
        <f>+SUMIFS(RR!G:G,RR!F:F,Mats!C62,RR!E:E,Mats!B62)</f>
        <v>70</v>
      </c>
      <c r="K62" s="279">
        <f>+SUMIFS(Endvr!K:K,Endvr!I:I,Mats!C62,Endvr!J:J,Mats!B62)</f>
        <v>450</v>
      </c>
      <c r="L62" s="280">
        <f t="shared" si="1"/>
        <v>454</v>
      </c>
      <c r="M62" s="282" t="s">
        <v>21785</v>
      </c>
      <c r="N62" s="68"/>
    </row>
    <row r="63" spans="1:16" x14ac:dyDescent="0.2">
      <c r="A63" s="306" t="s">
        <v>24107</v>
      </c>
      <c r="B63" s="278" t="s">
        <v>19604</v>
      </c>
      <c r="C63" s="278" t="s">
        <v>2837</v>
      </c>
      <c r="D63" s="278">
        <f>COUNTIF(Facility!D:D,B63)</f>
        <v>10</v>
      </c>
      <c r="E63" s="278">
        <f>SUMIFS(MC!M:M,MC!K:K,B63,MC!L:L,C63)</f>
        <v>330</v>
      </c>
      <c r="F63" s="278">
        <f>COUNTIF('W-WS'!D:D,B63)*9</f>
        <v>0</v>
      </c>
      <c r="G63" s="278">
        <f>D63+E63+F63</f>
        <v>340</v>
      </c>
      <c r="H63" s="278"/>
      <c r="I63" s="279">
        <f>+INDEX(QDrop!$AX:$BD,MATCH(Mats!$B63,QDrop!$AX:$AX,0),MATCH(Mats!$C63,QDrop!$AX$1:$BD$1,0))</f>
        <v>154</v>
      </c>
      <c r="J63" s="261">
        <f>+SUMIFS(RR!G:G,RR!F:F,Mats!C63,RR!E:E,Mats!B63)</f>
        <v>40</v>
      </c>
      <c r="K63" s="279">
        <f>+SUMIFS(Endvr!K:K,Endvr!I:I,Mats!C63,Endvr!J:J,Mats!B63)</f>
        <v>450</v>
      </c>
      <c r="L63" s="280">
        <f>SUM(I63:K63)-G63</f>
        <v>304</v>
      </c>
      <c r="M63" s="282" t="s">
        <v>21786</v>
      </c>
      <c r="N63" s="68"/>
    </row>
    <row r="64" spans="1:16" x14ac:dyDescent="0.2">
      <c r="A64" s="306" t="s">
        <v>24098</v>
      </c>
      <c r="B64" s="278" t="s">
        <v>19603</v>
      </c>
      <c r="C64" s="278" t="s">
        <v>3779</v>
      </c>
      <c r="D64" s="278">
        <f>COUNTIF(Facility!D:D,B64)</f>
        <v>9</v>
      </c>
      <c r="E64" s="278">
        <f>SUMIFS(MC!M:M,MC!K:K,B64,MC!L:L,C64)</f>
        <v>285</v>
      </c>
      <c r="F64" s="278">
        <f>COUNTIF('W-WS'!D:D,B64)*9</f>
        <v>0</v>
      </c>
      <c r="G64" s="278">
        <f t="shared" si="9"/>
        <v>294</v>
      </c>
      <c r="H64" s="278"/>
      <c r="I64" s="279">
        <f>+INDEX(QDrop!$AX:$BD,MATCH(Mats!$B64,QDrop!$AX:$AX,0),MATCH(Mats!$C64,QDrop!$AX$1:$BD$1,0))</f>
        <v>286</v>
      </c>
      <c r="J64" s="261">
        <f>+SUMIFS(RR!G:G,RR!F:F,Mats!C64,RR!E:E,Mats!B64)</f>
        <v>70</v>
      </c>
      <c r="K64" s="279">
        <f>+SUMIFS(Endvr!K:K,Endvr!I:I,Mats!C64,Endvr!J:J,Mats!B64)</f>
        <v>430</v>
      </c>
      <c r="L64" s="280">
        <f t="shared" si="1"/>
        <v>492</v>
      </c>
      <c r="M64" s="282" t="s">
        <v>21785</v>
      </c>
      <c r="N64" s="68"/>
    </row>
    <row r="65" spans="1:14" x14ac:dyDescent="0.2">
      <c r="A65" s="306" t="s">
        <v>24099</v>
      </c>
      <c r="B65" s="278" t="s">
        <v>19604</v>
      </c>
      <c r="C65" s="278" t="s">
        <v>3779</v>
      </c>
      <c r="D65" s="278">
        <f>COUNTIF(Facility!D:D,B65)</f>
        <v>10</v>
      </c>
      <c r="E65" s="278">
        <f>SUMIFS(MC!M:M,MC!K:K,B65,MC!L:L,C65)</f>
        <v>285</v>
      </c>
      <c r="F65" s="278">
        <f>COUNTIF('W-WS'!D:D,B65)*9</f>
        <v>0</v>
      </c>
      <c r="G65" s="278">
        <f t="shared" si="9"/>
        <v>295</v>
      </c>
      <c r="H65" s="278"/>
      <c r="I65" s="279">
        <f>+INDEX(QDrop!$AX:$BD,MATCH(Mats!$B65,QDrop!$AX:$AX,0),MATCH(Mats!$C65,QDrop!$AX$1:$BD$1,0))</f>
        <v>167</v>
      </c>
      <c r="J65" s="261">
        <f>+SUMIFS(RR!G:G,RR!F:F,Mats!C65,RR!E:E,Mats!B65)</f>
        <v>40</v>
      </c>
      <c r="K65" s="279">
        <f>+SUMIFS(Endvr!K:K,Endvr!I:I,Mats!C65,Endvr!J:J,Mats!B65)</f>
        <v>430</v>
      </c>
      <c r="L65" s="280">
        <f t="shared" si="1"/>
        <v>342</v>
      </c>
      <c r="M65" s="282" t="s">
        <v>21786</v>
      </c>
      <c r="N65" s="68"/>
    </row>
    <row r="66" spans="1:14" x14ac:dyDescent="0.2">
      <c r="A66" s="306" t="s">
        <v>24108</v>
      </c>
      <c r="B66" s="278" t="s">
        <v>10913</v>
      </c>
      <c r="C66" s="278" t="s">
        <v>122</v>
      </c>
      <c r="D66" s="278">
        <f>COUNTIF(Facility!D:D,B66)</f>
        <v>10</v>
      </c>
      <c r="E66" s="278">
        <f>SUMIFS(MC!M:M,MC!K:K,B66,MC!L:L,C66)</f>
        <v>0</v>
      </c>
      <c r="F66" s="278">
        <f>COUNTIF('W-WS'!D:D,B66)*9</f>
        <v>9</v>
      </c>
      <c r="G66" s="278">
        <f t="shared" si="7"/>
        <v>19</v>
      </c>
      <c r="H66" s="278"/>
      <c r="I66" s="279">
        <f>+INDEX(QDrop!$AX:$BD,MATCH(Mats!$B66,QDrop!$AX:$AX,0),MATCH(Mats!$C66,QDrop!$AX$1:$BD$1,0))</f>
        <v>21</v>
      </c>
      <c r="J66" s="261">
        <f>+SUMIFS(RR!G:G,RR!F:F,Mats!C66,RR!E:E,Mats!B66)</f>
        <v>0</v>
      </c>
      <c r="K66" s="279">
        <f>+SUMIFS(Endvr!K:K,Endvr!I:I,Mats!C66,Endvr!J:J,Mats!B66)</f>
        <v>0</v>
      </c>
      <c r="L66" s="280">
        <f t="shared" si="1"/>
        <v>2</v>
      </c>
      <c r="M66" s="282" t="s">
        <v>13741</v>
      </c>
      <c r="N66" s="68"/>
    </row>
    <row r="67" spans="1:14" x14ac:dyDescent="0.2">
      <c r="A67" s="306" t="s">
        <v>24114</v>
      </c>
      <c r="B67" s="278" t="s">
        <v>12647</v>
      </c>
      <c r="C67" s="278" t="s">
        <v>122</v>
      </c>
      <c r="D67" s="278">
        <f>COUNTIF(Facility!D:D,B67)</f>
        <v>10</v>
      </c>
      <c r="E67" s="278">
        <f>SUMIFS(MC!M:M,MC!K:K,B67,MC!L:L,C67)</f>
        <v>0</v>
      </c>
      <c r="F67" s="278">
        <f>COUNTIF('W-WS'!D:D,B67)*9</f>
        <v>9</v>
      </c>
      <c r="G67" s="278">
        <f t="shared" si="7"/>
        <v>19</v>
      </c>
      <c r="H67" s="278"/>
      <c r="I67" s="279">
        <f>+INDEX(QDrop!$AX:$BD,MATCH(Mats!$B67,QDrop!$AX:$AX,0),MATCH(Mats!$C67,QDrop!$AX$1:$BD$1,0))</f>
        <v>20</v>
      </c>
      <c r="J67" s="261">
        <f>+SUMIFS(RR!G:G,RR!F:F,Mats!C67,RR!E:E,Mats!B67)</f>
        <v>0</v>
      </c>
      <c r="K67" s="279">
        <f>+SUMIFS(Endvr!K:K,Endvr!I:I,Mats!C67,Endvr!J:J,Mats!B67)</f>
        <v>0</v>
      </c>
      <c r="L67" s="280">
        <f t="shared" si="1"/>
        <v>1</v>
      </c>
      <c r="M67" s="282" t="s">
        <v>21787</v>
      </c>
      <c r="N67" s="68"/>
    </row>
    <row r="68" spans="1:14" x14ac:dyDescent="0.2">
      <c r="A68" s="306" t="s">
        <v>24109</v>
      </c>
      <c r="B68" s="278" t="s">
        <v>10913</v>
      </c>
      <c r="C68" s="278" t="s">
        <v>1103</v>
      </c>
      <c r="D68" s="278">
        <f>COUNTIF(Facility!D:D,B68)</f>
        <v>10</v>
      </c>
      <c r="E68" s="278">
        <f>SUMIFS(MC!M:M,MC!K:K,B68,MC!L:L,C68)</f>
        <v>0</v>
      </c>
      <c r="F68" s="278">
        <f>COUNTIF('W-WS'!D:D,B68)*9</f>
        <v>9</v>
      </c>
      <c r="G68" s="278">
        <f>D68+E68+F68</f>
        <v>19</v>
      </c>
      <c r="H68" s="278"/>
      <c r="I68" s="279">
        <f>+INDEX(QDrop!$AX:$BD,MATCH(Mats!$B68,QDrop!$AX:$AX,0),MATCH(Mats!$C68,QDrop!$AX$1:$BD$1,0))</f>
        <v>21</v>
      </c>
      <c r="J68" s="261">
        <f>+SUMIFS(RR!G:G,RR!F:F,Mats!C68,RR!E:E,Mats!B68)</f>
        <v>0</v>
      </c>
      <c r="K68" s="279">
        <f>+SUMIFS(Endvr!K:K,Endvr!I:I,Mats!C68,Endvr!J:J,Mats!B68)</f>
        <v>0</v>
      </c>
      <c r="L68" s="280">
        <f>SUM(I68:K68)-G68</f>
        <v>2</v>
      </c>
      <c r="M68" s="282" t="s">
        <v>13741</v>
      </c>
      <c r="N68" s="68"/>
    </row>
    <row r="69" spans="1:14" x14ac:dyDescent="0.2">
      <c r="A69" s="306" t="s">
        <v>24115</v>
      </c>
      <c r="B69" s="278" t="s">
        <v>12647</v>
      </c>
      <c r="C69" s="278" t="s">
        <v>1103</v>
      </c>
      <c r="D69" s="278">
        <f>COUNTIF(Facility!D:D,B69)</f>
        <v>10</v>
      </c>
      <c r="E69" s="278">
        <f>SUMIFS(MC!M:M,MC!K:K,B69,MC!L:L,C69)</f>
        <v>0</v>
      </c>
      <c r="F69" s="278">
        <f>COUNTIF('W-WS'!D:D,B69)*9</f>
        <v>9</v>
      </c>
      <c r="G69" s="278">
        <f>D69+E69+F69</f>
        <v>19</v>
      </c>
      <c r="H69" s="278"/>
      <c r="I69" s="279">
        <f>+INDEX(QDrop!$AX:$BD,MATCH(Mats!$B69,QDrop!$AX:$AX,0),MATCH(Mats!$C69,QDrop!$AX$1:$BD$1,0))</f>
        <v>20</v>
      </c>
      <c r="J69" s="261">
        <f>+SUMIFS(RR!G:G,RR!F:F,Mats!C69,RR!E:E,Mats!B69)</f>
        <v>0</v>
      </c>
      <c r="K69" s="279">
        <f>+SUMIFS(Endvr!K:K,Endvr!I:I,Mats!C69,Endvr!J:J,Mats!B69)</f>
        <v>0</v>
      </c>
      <c r="L69" s="280">
        <f>SUM(I69:K69)-G69</f>
        <v>1</v>
      </c>
      <c r="M69" s="282" t="s">
        <v>21787</v>
      </c>
      <c r="N69" s="68"/>
    </row>
    <row r="70" spans="1:14" x14ac:dyDescent="0.2">
      <c r="A70" s="306" t="s">
        <v>24110</v>
      </c>
      <c r="B70" s="278" t="s">
        <v>10913</v>
      </c>
      <c r="C70" s="278" t="s">
        <v>1947</v>
      </c>
      <c r="D70" s="278">
        <f>COUNTIF(Facility!D:D,B70)</f>
        <v>10</v>
      </c>
      <c r="E70" s="278">
        <f>SUMIFS(MC!M:M,MC!K:K,B70,MC!L:L,C70)</f>
        <v>0</v>
      </c>
      <c r="F70" s="278">
        <f>COUNTIF('W-WS'!D:D,B70)*9</f>
        <v>9</v>
      </c>
      <c r="G70" s="278">
        <f>D70+E70+F70</f>
        <v>19</v>
      </c>
      <c r="H70" s="278"/>
      <c r="I70" s="279">
        <f>+INDEX(QDrop!$AX:$BD,MATCH(Mats!$B70,QDrop!$AX:$AX,0),MATCH(Mats!$C70,QDrop!$AX$1:$BD$1,0))</f>
        <v>21</v>
      </c>
      <c r="J70" s="261">
        <f>+SUMIFS(RR!G:G,RR!F:F,Mats!C70,RR!E:E,Mats!B70)</f>
        <v>0</v>
      </c>
      <c r="K70" s="279">
        <f>+SUMIFS(Endvr!K:K,Endvr!I:I,Mats!C70,Endvr!J:J,Mats!B70)</f>
        <v>0</v>
      </c>
      <c r="L70" s="280">
        <f>SUM(I70:K70)-G70</f>
        <v>2</v>
      </c>
      <c r="M70" s="282" t="s">
        <v>13741</v>
      </c>
      <c r="N70" s="68"/>
    </row>
    <row r="71" spans="1:14" x14ac:dyDescent="0.2">
      <c r="A71" s="306" t="s">
        <v>24111</v>
      </c>
      <c r="B71" s="278" t="s">
        <v>12647</v>
      </c>
      <c r="C71" s="278" t="s">
        <v>1947</v>
      </c>
      <c r="D71" s="278">
        <f>COUNTIF(Facility!D:D,B71)</f>
        <v>10</v>
      </c>
      <c r="E71" s="278">
        <f>SUMIFS(MC!M:M,MC!K:K,B71,MC!L:L,C71)</f>
        <v>0</v>
      </c>
      <c r="F71" s="278">
        <f>COUNTIF('W-WS'!D:D,B71)*9</f>
        <v>9</v>
      </c>
      <c r="G71" s="278">
        <f>D71+E71+F71</f>
        <v>19</v>
      </c>
      <c r="H71" s="278"/>
      <c r="I71" s="279">
        <f>+INDEX(QDrop!$AX:$BD,MATCH(Mats!$B71,QDrop!$AX:$AX,0),MATCH(Mats!$C71,QDrop!$AX$1:$BD$1,0))</f>
        <v>20</v>
      </c>
      <c r="J71" s="261">
        <f>+SUMIFS(RR!G:G,RR!F:F,Mats!C71,RR!E:E,Mats!B71)</f>
        <v>0</v>
      </c>
      <c r="K71" s="279">
        <f>+SUMIFS(Endvr!K:K,Endvr!I:I,Mats!C71,Endvr!J:J,Mats!B71)</f>
        <v>0</v>
      </c>
      <c r="L71" s="280">
        <f>SUM(I71:K71)-G71</f>
        <v>1</v>
      </c>
      <c r="M71" s="282" t="s">
        <v>21787</v>
      </c>
      <c r="N71" s="68"/>
    </row>
    <row r="72" spans="1:14" x14ac:dyDescent="0.2">
      <c r="A72" s="306" t="s">
        <v>24112</v>
      </c>
      <c r="B72" s="278" t="s">
        <v>10913</v>
      </c>
      <c r="C72" s="278" t="s">
        <v>2837</v>
      </c>
      <c r="D72" s="278">
        <f>COUNTIF(Facility!D:D,B72)</f>
        <v>10</v>
      </c>
      <c r="E72" s="278">
        <f>SUMIFS(MC!M:M,MC!K:K,B72,MC!L:L,C72)</f>
        <v>0</v>
      </c>
      <c r="F72" s="278">
        <f>COUNTIF('W-WS'!D:D,B72)*9</f>
        <v>9</v>
      </c>
      <c r="G72" s="278">
        <f t="shared" ref="G72:G117" si="10">D72+E72+F72</f>
        <v>19</v>
      </c>
      <c r="H72" s="278"/>
      <c r="I72" s="279">
        <f>+INDEX(QDrop!$AX:$BD,MATCH(Mats!$B72,QDrop!$AX:$AX,0),MATCH(Mats!$C72,QDrop!$AX$1:$BD$1,0))</f>
        <v>21</v>
      </c>
      <c r="J72" s="261">
        <f>+SUMIFS(RR!G:G,RR!F:F,Mats!C72,RR!E:E,Mats!B72)</f>
        <v>0</v>
      </c>
      <c r="K72" s="279">
        <f>+SUMIFS(Endvr!K:K,Endvr!I:I,Mats!C72,Endvr!J:J,Mats!B72)</f>
        <v>0</v>
      </c>
      <c r="L72" s="280">
        <f t="shared" ref="L72:L146" si="11">SUM(I72:K72)-G72</f>
        <v>2</v>
      </c>
      <c r="M72" s="282" t="s">
        <v>13741</v>
      </c>
      <c r="N72" s="68"/>
    </row>
    <row r="73" spans="1:14" x14ac:dyDescent="0.2">
      <c r="A73" s="306" t="s">
        <v>24113</v>
      </c>
      <c r="B73" s="278" t="s">
        <v>12647</v>
      </c>
      <c r="C73" s="278" t="s">
        <v>2837</v>
      </c>
      <c r="D73" s="278">
        <f>COUNTIF(Facility!D:D,B73)</f>
        <v>10</v>
      </c>
      <c r="E73" s="278">
        <f>SUMIFS(MC!M:M,MC!K:K,B73,MC!L:L,C73)</f>
        <v>0</v>
      </c>
      <c r="F73" s="278">
        <f>COUNTIF('W-WS'!D:D,B73)*9</f>
        <v>9</v>
      </c>
      <c r="G73" s="278">
        <f t="shared" si="10"/>
        <v>19</v>
      </c>
      <c r="H73" s="278"/>
      <c r="I73" s="279">
        <f>+INDEX(QDrop!$AX:$BD,MATCH(Mats!$B73,QDrop!$AX:$AX,0),MATCH(Mats!$C73,QDrop!$AX$1:$BD$1,0))</f>
        <v>20</v>
      </c>
      <c r="J73" s="261">
        <f>+SUMIFS(RR!G:G,RR!F:F,Mats!C73,RR!E:E,Mats!B73)</f>
        <v>0</v>
      </c>
      <c r="K73" s="279">
        <f>+SUMIFS(Endvr!K:K,Endvr!I:I,Mats!C73,Endvr!J:J,Mats!B73)</f>
        <v>0</v>
      </c>
      <c r="L73" s="280">
        <f t="shared" si="11"/>
        <v>1</v>
      </c>
      <c r="M73" s="282" t="s">
        <v>21787</v>
      </c>
      <c r="N73" s="68"/>
    </row>
    <row r="74" spans="1:14" x14ac:dyDescent="0.2">
      <c r="A74" s="306" t="s">
        <v>24116</v>
      </c>
      <c r="B74" s="278" t="s">
        <v>10913</v>
      </c>
      <c r="C74" s="278" t="s">
        <v>3779</v>
      </c>
      <c r="D74" s="278">
        <f>COUNTIF(Facility!D:D,B74)</f>
        <v>10</v>
      </c>
      <c r="E74" s="278">
        <f>SUMIFS(MC!M:M,MC!K:K,B74,MC!L:L,C74)</f>
        <v>0</v>
      </c>
      <c r="F74" s="278">
        <f>COUNTIF('W-WS'!D:D,B74)*9</f>
        <v>9</v>
      </c>
      <c r="G74" s="278">
        <f t="shared" si="10"/>
        <v>19</v>
      </c>
      <c r="H74" s="278"/>
      <c r="I74" s="279">
        <f>+INDEX(QDrop!$AX:$BD,MATCH(Mats!$B74,QDrop!$AX:$AX,0),MATCH(Mats!$C74,QDrop!$AX$1:$BD$1,0))</f>
        <v>21</v>
      </c>
      <c r="J74" s="261">
        <f>+SUMIFS(RR!G:G,RR!F:F,Mats!C74,RR!E:E,Mats!B74)</f>
        <v>0</v>
      </c>
      <c r="K74" s="279">
        <f>+SUMIFS(Endvr!K:K,Endvr!I:I,Mats!C74,Endvr!J:J,Mats!B74)</f>
        <v>0</v>
      </c>
      <c r="L74" s="280">
        <f t="shared" si="11"/>
        <v>2</v>
      </c>
      <c r="M74" s="282" t="s">
        <v>13741</v>
      </c>
      <c r="N74" s="68"/>
    </row>
    <row r="75" spans="1:14" x14ac:dyDescent="0.2">
      <c r="A75" s="306" t="s">
        <v>24117</v>
      </c>
      <c r="B75" s="278" t="s">
        <v>12647</v>
      </c>
      <c r="C75" s="278" t="s">
        <v>3779</v>
      </c>
      <c r="D75" s="278">
        <f>COUNTIF(Facility!D:D,B75)</f>
        <v>10</v>
      </c>
      <c r="E75" s="278">
        <f>SUMIFS(MC!M:M,MC!K:K,B75,MC!L:L,C75)</f>
        <v>0</v>
      </c>
      <c r="F75" s="278">
        <f>COUNTIF('W-WS'!D:D,B75)*9</f>
        <v>9</v>
      </c>
      <c r="G75" s="278">
        <f t="shared" si="10"/>
        <v>19</v>
      </c>
      <c r="H75" s="278"/>
      <c r="I75" s="279">
        <f>+INDEX(QDrop!$AX:$BD,MATCH(Mats!$B75,QDrop!$AX:$AX,0),MATCH(Mats!$C75,QDrop!$AX$1:$BD$1,0))</f>
        <v>20</v>
      </c>
      <c r="J75" s="261">
        <f>+SUMIFS(RR!G:G,RR!F:F,Mats!C75,RR!E:E,Mats!B75)</f>
        <v>0</v>
      </c>
      <c r="K75" s="279">
        <f>+SUMIFS(Endvr!K:K,Endvr!I:I,Mats!C75,Endvr!J:J,Mats!B75)</f>
        <v>0</v>
      </c>
      <c r="L75" s="280">
        <f t="shared" si="11"/>
        <v>1</v>
      </c>
      <c r="M75" s="282" t="s">
        <v>21787</v>
      </c>
      <c r="N75" s="68"/>
    </row>
    <row r="76" spans="1:14" x14ac:dyDescent="0.2">
      <c r="A76" s="306" t="s">
        <v>24176</v>
      </c>
      <c r="B76" s="278" t="s">
        <v>12645</v>
      </c>
      <c r="C76" s="278" t="s">
        <v>122</v>
      </c>
      <c r="D76" s="278">
        <f>COUNTIF(Facility!D:D,B76)</f>
        <v>1</v>
      </c>
      <c r="E76" s="278">
        <f>SUMIFS(MC!M:M,MC!K:K,B76,MC!L:L,C76)</f>
        <v>0</v>
      </c>
      <c r="F76" s="278">
        <f>COUNTIF('W-WS'!D:D,B76)*9</f>
        <v>18</v>
      </c>
      <c r="G76" s="278">
        <f t="shared" si="10"/>
        <v>19</v>
      </c>
      <c r="H76" s="278"/>
      <c r="I76" s="279">
        <f>+INDEX(QDrop!$AX:$BD,MATCH(Mats!$B76,QDrop!$AX:$AX,0),MATCH(Mats!$C76,QDrop!$AX$1:$BD$1,0))</f>
        <v>20</v>
      </c>
      <c r="J76" s="261">
        <f>+SUMIFS(RR!G:G,RR!F:F,Mats!C76,RR!E:E,Mats!B76)</f>
        <v>0</v>
      </c>
      <c r="K76" s="279">
        <f>+SUMIFS(Endvr!K:K,Endvr!I:I,Mats!C76,Endvr!J:J,Mats!B76)</f>
        <v>0</v>
      </c>
      <c r="L76" s="280">
        <f t="shared" si="11"/>
        <v>1</v>
      </c>
      <c r="M76" s="282" t="s">
        <v>19374</v>
      </c>
      <c r="N76" s="68"/>
    </row>
    <row r="77" spans="1:14" x14ac:dyDescent="0.2">
      <c r="A77" s="306" t="s">
        <v>24163</v>
      </c>
      <c r="B77" s="278" t="s">
        <v>12651</v>
      </c>
      <c r="C77" s="278" t="s">
        <v>122</v>
      </c>
      <c r="D77" s="278">
        <f>COUNTIF(Facility!D:D,B77)</f>
        <v>2</v>
      </c>
      <c r="E77" s="278">
        <f>SUMIFS(MC!M:M,MC!K:K,B77,MC!L:L,C77)</f>
        <v>0</v>
      </c>
      <c r="F77" s="278">
        <f>COUNTIF('W-WS'!D:D,B77)*9</f>
        <v>18</v>
      </c>
      <c r="G77" s="278">
        <f t="shared" si="10"/>
        <v>20</v>
      </c>
      <c r="H77" s="278"/>
      <c r="I77" s="279">
        <f>+INDEX(QDrop!$AX:$BD,MATCH(Mats!$B77,QDrop!$AX:$AX,0),MATCH(Mats!$C77,QDrop!$AX$1:$BD$1,0))</f>
        <v>20</v>
      </c>
      <c r="J77" s="261">
        <f>+SUMIFS(RR!G:G,RR!F:F,Mats!C77,RR!E:E,Mats!B77)</f>
        <v>0</v>
      </c>
      <c r="K77" s="279">
        <f>+SUMIFS(Endvr!K:K,Endvr!I:I,Mats!C77,Endvr!J:J,Mats!B77)</f>
        <v>0</v>
      </c>
      <c r="L77" s="280">
        <f t="shared" si="11"/>
        <v>0</v>
      </c>
      <c r="M77" s="282" t="s">
        <v>19374</v>
      </c>
      <c r="N77" s="68"/>
    </row>
    <row r="78" spans="1:14" x14ac:dyDescent="0.2">
      <c r="A78" s="286" t="s">
        <v>24167</v>
      </c>
      <c r="B78" s="278" t="s">
        <v>12657</v>
      </c>
      <c r="C78" s="278" t="s">
        <v>122</v>
      </c>
      <c r="D78" s="278">
        <f>COUNTIF(Facility!D:D,B78)</f>
        <v>2</v>
      </c>
      <c r="E78" s="278">
        <f>SUMIFS(MC!M:M,MC!K:K,B78,MC!L:L,C78)</f>
        <v>0</v>
      </c>
      <c r="F78" s="278">
        <f>COUNTIF('W-WS'!D:D,B78)*9</f>
        <v>18</v>
      </c>
      <c r="G78" s="278">
        <f t="shared" si="10"/>
        <v>20</v>
      </c>
      <c r="H78" s="278"/>
      <c r="I78" s="279">
        <f>+INDEX(QDrop!$AX:$BD,MATCH(Mats!$B78,QDrop!$AX:$AX,0),MATCH(Mats!$C78,QDrop!$AX$1:$BD$1,0))</f>
        <v>20</v>
      </c>
      <c r="J78" s="261">
        <f>+SUMIFS(RR!G:G,RR!F:F,Mats!C78,RR!E:E,Mats!B78)</f>
        <v>0</v>
      </c>
      <c r="K78" s="279">
        <f>+SUMIFS(Endvr!K:K,Endvr!I:I,Mats!C78,Endvr!J:J,Mats!B78)</f>
        <v>0</v>
      </c>
      <c r="L78" s="280">
        <f t="shared" si="11"/>
        <v>0</v>
      </c>
      <c r="M78" s="282" t="s">
        <v>19374</v>
      </c>
      <c r="N78" s="68"/>
    </row>
    <row r="79" spans="1:14" x14ac:dyDescent="0.2">
      <c r="A79" s="286" t="s">
        <v>24177</v>
      </c>
      <c r="B79" s="278" t="s">
        <v>12673</v>
      </c>
      <c r="C79" s="278" t="s">
        <v>122</v>
      </c>
      <c r="D79" s="278">
        <f>COUNTIF(Facility!D:D,B79)</f>
        <v>2</v>
      </c>
      <c r="E79" s="278">
        <f>SUMIFS(MC!M:M,MC!K:K,B79,MC!L:L,C79)</f>
        <v>0</v>
      </c>
      <c r="F79" s="278">
        <f>COUNTIF('W-WS'!D:D,B79)*9</f>
        <v>18</v>
      </c>
      <c r="G79" s="278">
        <f t="shared" si="10"/>
        <v>20</v>
      </c>
      <c r="H79" s="278"/>
      <c r="I79" s="279">
        <f>+INDEX(QDrop!$AX:$BD,MATCH(Mats!$B79,QDrop!$AX:$AX,0),MATCH(Mats!$C79,QDrop!$AX$1:$BD$1,0))</f>
        <v>20</v>
      </c>
      <c r="J79" s="261">
        <f>+SUMIFS(RR!G:G,RR!F:F,Mats!C79,RR!E:E,Mats!B79)</f>
        <v>0</v>
      </c>
      <c r="K79" s="279">
        <f>+SUMIFS(Endvr!K:K,Endvr!I:I,Mats!C79,Endvr!J:J,Mats!B79)</f>
        <v>0</v>
      </c>
      <c r="L79" s="280">
        <f t="shared" si="11"/>
        <v>0</v>
      </c>
      <c r="M79" s="282" t="s">
        <v>19374</v>
      </c>
      <c r="N79" s="68"/>
    </row>
    <row r="80" spans="1:14" x14ac:dyDescent="0.2">
      <c r="A80" s="286" t="s">
        <v>24179</v>
      </c>
      <c r="B80" s="278" t="s">
        <v>12670</v>
      </c>
      <c r="C80" s="278" t="s">
        <v>122</v>
      </c>
      <c r="D80" s="278">
        <f>COUNTIF(Facility!D:D,B80)</f>
        <v>2</v>
      </c>
      <c r="E80" s="278">
        <f>SUMIFS(MC!M:M,MC!K:K,B80,MC!L:L,C80)</f>
        <v>0</v>
      </c>
      <c r="F80" s="278">
        <f>COUNTIF('W-WS'!D:D,B80)*9</f>
        <v>18</v>
      </c>
      <c r="G80" s="278">
        <f t="shared" si="10"/>
        <v>20</v>
      </c>
      <c r="H80" s="278"/>
      <c r="I80" s="279">
        <f>+INDEX(QDrop!$AX:$BD,MATCH(Mats!$B80,QDrop!$AX:$AX,0),MATCH(Mats!$C80,QDrop!$AX$1:$BD$1,0))</f>
        <v>20</v>
      </c>
      <c r="J80" s="261">
        <f>+SUMIFS(RR!G:G,RR!F:F,Mats!C80,RR!E:E,Mats!B80)</f>
        <v>0</v>
      </c>
      <c r="K80" s="279">
        <f>+SUMIFS(Endvr!K:K,Endvr!I:I,Mats!C80,Endvr!J:J,Mats!B80)</f>
        <v>0</v>
      </c>
      <c r="L80" s="280">
        <f t="shared" si="11"/>
        <v>0</v>
      </c>
      <c r="M80" s="282" t="s">
        <v>19374</v>
      </c>
      <c r="N80" s="68"/>
    </row>
    <row r="81" spans="1:14" x14ac:dyDescent="0.2">
      <c r="A81" s="286" t="s">
        <v>24178</v>
      </c>
      <c r="B81" s="278" t="s">
        <v>12676</v>
      </c>
      <c r="C81" s="278" t="s">
        <v>122</v>
      </c>
      <c r="D81" s="278">
        <f>COUNTIF(Facility!D:D,B81)</f>
        <v>2</v>
      </c>
      <c r="E81" s="278">
        <f>SUMIFS(MC!M:M,MC!K:K,B81,MC!L:L,C81)</f>
        <v>0</v>
      </c>
      <c r="F81" s="278">
        <f>COUNTIF('W-WS'!D:D,B81)*9</f>
        <v>18</v>
      </c>
      <c r="G81" s="278">
        <f t="shared" si="10"/>
        <v>20</v>
      </c>
      <c r="H81" s="278"/>
      <c r="I81" s="279">
        <f>+INDEX(QDrop!$AX:$BD,MATCH(Mats!$B81,QDrop!$AX:$AX,0),MATCH(Mats!$C81,QDrop!$AX$1:$BD$1,0))</f>
        <v>20</v>
      </c>
      <c r="J81" s="261">
        <f>+SUMIFS(RR!G:G,RR!F:F,Mats!C81,RR!E:E,Mats!B81)</f>
        <v>0</v>
      </c>
      <c r="K81" s="279">
        <f>+SUMIFS(Endvr!K:K,Endvr!I:I,Mats!C81,Endvr!J:J,Mats!B81)</f>
        <v>0</v>
      </c>
      <c r="L81" s="280">
        <f t="shared" si="11"/>
        <v>0</v>
      </c>
      <c r="M81" s="282" t="s">
        <v>19374</v>
      </c>
      <c r="N81" s="68"/>
    </row>
    <row r="82" spans="1:14" x14ac:dyDescent="0.2">
      <c r="A82" s="286" t="s">
        <v>24180</v>
      </c>
      <c r="B82" s="278" t="s">
        <v>12681</v>
      </c>
      <c r="C82" s="278" t="s">
        <v>122</v>
      </c>
      <c r="D82" s="278">
        <f>COUNTIF(Facility!D:D,B82)</f>
        <v>1</v>
      </c>
      <c r="E82" s="278">
        <f>SUMIFS(MC!M:M,MC!K:K,B82,MC!L:L,C82)</f>
        <v>0</v>
      </c>
      <c r="F82" s="278">
        <f>COUNTIF('W-WS'!D:D,B82)*9</f>
        <v>18</v>
      </c>
      <c r="G82" s="278">
        <f t="shared" si="10"/>
        <v>19</v>
      </c>
      <c r="H82" s="278"/>
      <c r="I82" s="279">
        <f>+INDEX(QDrop!$AX:$BD,MATCH(Mats!$B82,QDrop!$AX:$AX,0),MATCH(Mats!$C82,QDrop!$AX$1:$BD$1,0))</f>
        <v>20</v>
      </c>
      <c r="J82" s="261">
        <f>+SUMIFS(RR!G:G,RR!F:F,Mats!C82,RR!E:E,Mats!B82)</f>
        <v>0</v>
      </c>
      <c r="K82" s="279">
        <f>+SUMIFS(Endvr!K:K,Endvr!I:I,Mats!C82,Endvr!J:J,Mats!B82)</f>
        <v>0</v>
      </c>
      <c r="L82" s="280">
        <f t="shared" si="11"/>
        <v>1</v>
      </c>
      <c r="M82" s="282" t="s">
        <v>19374</v>
      </c>
      <c r="N82" s="68"/>
    </row>
    <row r="83" spans="1:14" x14ac:dyDescent="0.2">
      <c r="A83" s="286" t="s">
        <v>24181</v>
      </c>
      <c r="B83" s="278" t="s">
        <v>12684</v>
      </c>
      <c r="C83" s="278" t="s">
        <v>122</v>
      </c>
      <c r="D83" s="278">
        <f>COUNTIF(Facility!D:D,B83)</f>
        <v>1</v>
      </c>
      <c r="E83" s="278">
        <f>SUMIFS(MC!M:M,MC!K:K,B83,MC!L:L,C83)</f>
        <v>0</v>
      </c>
      <c r="F83" s="278">
        <f>COUNTIF('W-WS'!D:D,B83)*9</f>
        <v>9</v>
      </c>
      <c r="G83" s="278">
        <f t="shared" si="10"/>
        <v>10</v>
      </c>
      <c r="H83" s="278"/>
      <c r="I83" s="279">
        <f>+INDEX(QDrop!$AX:$BD,MATCH(Mats!$B83,QDrop!$AX:$AX,0),MATCH(Mats!$C83,QDrop!$AX$1:$BD$1,0))</f>
        <v>14</v>
      </c>
      <c r="J83" s="261">
        <f>+SUMIFS(RR!G:G,RR!F:F,Mats!C83,RR!E:E,Mats!B83)</f>
        <v>0</v>
      </c>
      <c r="K83" s="279">
        <f>+SUMIFS(Endvr!K:K,Endvr!I:I,Mats!C83,Endvr!J:J,Mats!B83)</f>
        <v>0</v>
      </c>
      <c r="L83" s="280">
        <f t="shared" si="11"/>
        <v>4</v>
      </c>
      <c r="M83" s="282" t="s">
        <v>19374</v>
      </c>
      <c r="N83" s="68"/>
    </row>
    <row r="84" spans="1:14" x14ac:dyDescent="0.2">
      <c r="A84" s="286" t="s">
        <v>24182</v>
      </c>
      <c r="B84" s="278" t="s">
        <v>12653</v>
      </c>
      <c r="C84" s="278" t="s">
        <v>122</v>
      </c>
      <c r="D84" s="278">
        <f>COUNTIF(Facility!D:D,B84)</f>
        <v>1</v>
      </c>
      <c r="E84" s="278">
        <f>SUMIFS(MC!M:M,MC!K:K,B84,MC!L:L,C84)</f>
        <v>0</v>
      </c>
      <c r="F84" s="278">
        <f>COUNTIF('W-WS'!D:D,B84)*9</f>
        <v>9</v>
      </c>
      <c r="G84" s="278">
        <f t="shared" si="10"/>
        <v>10</v>
      </c>
      <c r="H84" s="278"/>
      <c r="I84" s="279">
        <f>+INDEX(QDrop!$AX:$BD,MATCH(Mats!$B84,QDrop!$AX:$AX,0),MATCH(Mats!$C84,QDrop!$AX$1:$BD$1,0))</f>
        <v>12</v>
      </c>
      <c r="J84" s="261">
        <f>+SUMIFS(RR!G:G,RR!F:F,Mats!C84,RR!E:E,Mats!B84)</f>
        <v>0</v>
      </c>
      <c r="K84" s="279">
        <f>+SUMIFS(Endvr!K:K,Endvr!I:I,Mats!C84,Endvr!J:J,Mats!B84)</f>
        <v>0</v>
      </c>
      <c r="L84" s="280">
        <f t="shared" si="11"/>
        <v>2</v>
      </c>
      <c r="M84" s="282" t="s">
        <v>19374</v>
      </c>
      <c r="N84" s="68"/>
    </row>
    <row r="85" spans="1:14" x14ac:dyDescent="0.2">
      <c r="A85" s="286" t="s">
        <v>24183</v>
      </c>
      <c r="B85" s="278" t="s">
        <v>12645</v>
      </c>
      <c r="C85" s="278" t="s">
        <v>1103</v>
      </c>
      <c r="D85" s="278">
        <f>COUNTIF(Facility!D:D,B85)</f>
        <v>1</v>
      </c>
      <c r="E85" s="278">
        <f>SUMIFS(MC!M:M,MC!K:K,B85,MC!L:L,C85)</f>
        <v>0</v>
      </c>
      <c r="F85" s="278">
        <f>COUNTIF('W-WS'!D:D,B85)*9</f>
        <v>18</v>
      </c>
      <c r="G85" s="278">
        <f t="shared" ref="G85:G102" si="12">D85+E85+F85</f>
        <v>19</v>
      </c>
      <c r="H85" s="278"/>
      <c r="I85" s="279">
        <f>+INDEX(QDrop!$AX:$BD,MATCH(Mats!$B85,QDrop!$AX:$AX,0),MATCH(Mats!$C85,QDrop!$AX$1:$BD$1,0))</f>
        <v>20</v>
      </c>
      <c r="J85" s="261">
        <f>+SUMIFS(RR!G:G,RR!F:F,Mats!C85,RR!E:E,Mats!B85)</f>
        <v>0</v>
      </c>
      <c r="K85" s="279">
        <f>+SUMIFS(Endvr!K:K,Endvr!I:I,Mats!C85,Endvr!J:J,Mats!B85)</f>
        <v>0</v>
      </c>
      <c r="L85" s="280">
        <f t="shared" ref="L85:L102" si="13">SUM(I85:K85)-G85</f>
        <v>1</v>
      </c>
      <c r="M85" s="282" t="s">
        <v>19374</v>
      </c>
      <c r="N85" s="68"/>
    </row>
    <row r="86" spans="1:14" x14ac:dyDescent="0.2">
      <c r="A86" s="286" t="s">
        <v>24164</v>
      </c>
      <c r="B86" s="278" t="s">
        <v>12651</v>
      </c>
      <c r="C86" s="278" t="s">
        <v>1103</v>
      </c>
      <c r="D86" s="278">
        <f>COUNTIF(Facility!D:D,B86)</f>
        <v>2</v>
      </c>
      <c r="E86" s="278">
        <f>SUMIFS(MC!M:M,MC!K:K,B86,MC!L:L,C86)</f>
        <v>0</v>
      </c>
      <c r="F86" s="278">
        <f>COUNTIF('W-WS'!D:D,B86)*9</f>
        <v>18</v>
      </c>
      <c r="G86" s="278">
        <f t="shared" si="12"/>
        <v>20</v>
      </c>
      <c r="H86" s="278"/>
      <c r="I86" s="279">
        <f>+INDEX(QDrop!$AX:$BD,MATCH(Mats!$B86,QDrop!$AX:$AX,0),MATCH(Mats!$C86,QDrop!$AX$1:$BD$1,0))</f>
        <v>20</v>
      </c>
      <c r="J86" s="261">
        <f>+SUMIFS(RR!G:G,RR!F:F,Mats!C86,RR!E:E,Mats!B86)</f>
        <v>0</v>
      </c>
      <c r="K86" s="279">
        <f>+SUMIFS(Endvr!K:K,Endvr!I:I,Mats!C86,Endvr!J:J,Mats!B86)</f>
        <v>0</v>
      </c>
      <c r="L86" s="280">
        <f t="shared" si="13"/>
        <v>0</v>
      </c>
      <c r="M86" s="282" t="s">
        <v>19374</v>
      </c>
      <c r="N86" s="68"/>
    </row>
    <row r="87" spans="1:14" x14ac:dyDescent="0.2">
      <c r="A87" s="286" t="s">
        <v>24184</v>
      </c>
      <c r="B87" s="278" t="s">
        <v>12657</v>
      </c>
      <c r="C87" s="278" t="s">
        <v>1103</v>
      </c>
      <c r="D87" s="278">
        <f>COUNTIF(Facility!D:D,B87)</f>
        <v>2</v>
      </c>
      <c r="E87" s="278">
        <f>SUMIFS(MC!M:M,MC!K:K,B87,MC!L:L,C87)</f>
        <v>0</v>
      </c>
      <c r="F87" s="278">
        <f>COUNTIF('W-WS'!D:D,B87)*9</f>
        <v>18</v>
      </c>
      <c r="G87" s="278">
        <f t="shared" si="12"/>
        <v>20</v>
      </c>
      <c r="H87" s="278"/>
      <c r="I87" s="279">
        <f>+INDEX(QDrop!$AX:$BD,MATCH(Mats!$B87,QDrop!$AX:$AX,0),MATCH(Mats!$C87,QDrop!$AX$1:$BD$1,0))</f>
        <v>20</v>
      </c>
      <c r="J87" s="261">
        <f>+SUMIFS(RR!G:G,RR!F:F,Mats!C87,RR!E:E,Mats!B87)</f>
        <v>0</v>
      </c>
      <c r="K87" s="279">
        <f>+SUMIFS(Endvr!K:K,Endvr!I:I,Mats!C87,Endvr!J:J,Mats!B87)</f>
        <v>0</v>
      </c>
      <c r="L87" s="280">
        <f t="shared" si="13"/>
        <v>0</v>
      </c>
      <c r="M87" s="282" t="s">
        <v>19374</v>
      </c>
      <c r="N87" s="68"/>
    </row>
    <row r="88" spans="1:14" x14ac:dyDescent="0.2">
      <c r="A88" s="286" t="s">
        <v>24170</v>
      </c>
      <c r="B88" s="278" t="s">
        <v>12673</v>
      </c>
      <c r="C88" s="278" t="s">
        <v>1103</v>
      </c>
      <c r="D88" s="278">
        <f>COUNTIF(Facility!D:D,B88)</f>
        <v>2</v>
      </c>
      <c r="E88" s="278">
        <f>SUMIFS(MC!M:M,MC!K:K,B88,MC!L:L,C88)</f>
        <v>0</v>
      </c>
      <c r="F88" s="278">
        <f>COUNTIF('W-WS'!D:D,B88)*9</f>
        <v>18</v>
      </c>
      <c r="G88" s="278">
        <f t="shared" si="12"/>
        <v>20</v>
      </c>
      <c r="H88" s="278"/>
      <c r="I88" s="279">
        <f>+INDEX(QDrop!$AX:$BD,MATCH(Mats!$B88,QDrop!$AX:$AX,0),MATCH(Mats!$C88,QDrop!$AX$1:$BD$1,0))</f>
        <v>20</v>
      </c>
      <c r="J88" s="261">
        <f>+SUMIFS(RR!G:G,RR!F:F,Mats!C88,RR!E:E,Mats!B88)</f>
        <v>0</v>
      </c>
      <c r="K88" s="279">
        <f>+SUMIFS(Endvr!K:K,Endvr!I:I,Mats!C88,Endvr!J:J,Mats!B88)</f>
        <v>0</v>
      </c>
      <c r="L88" s="280">
        <f t="shared" si="13"/>
        <v>0</v>
      </c>
      <c r="M88" s="282" t="s">
        <v>19374</v>
      </c>
      <c r="N88" s="68"/>
    </row>
    <row r="89" spans="1:14" x14ac:dyDescent="0.2">
      <c r="A89" s="286" t="s">
        <v>24185</v>
      </c>
      <c r="B89" s="278" t="s">
        <v>12670</v>
      </c>
      <c r="C89" s="278" t="s">
        <v>1103</v>
      </c>
      <c r="D89" s="278">
        <f>COUNTIF(Facility!D:D,B89)</f>
        <v>2</v>
      </c>
      <c r="E89" s="278">
        <f>SUMIFS(MC!M:M,MC!K:K,B89,MC!L:L,C89)</f>
        <v>0</v>
      </c>
      <c r="F89" s="278">
        <f>COUNTIF('W-WS'!D:D,B89)*9</f>
        <v>18</v>
      </c>
      <c r="G89" s="278">
        <f t="shared" si="12"/>
        <v>20</v>
      </c>
      <c r="H89" s="278"/>
      <c r="I89" s="279">
        <f>+INDEX(QDrop!$AX:$BD,MATCH(Mats!$B89,QDrop!$AX:$AX,0),MATCH(Mats!$C89,QDrop!$AX$1:$BD$1,0))</f>
        <v>20</v>
      </c>
      <c r="J89" s="261">
        <f>+SUMIFS(RR!G:G,RR!F:F,Mats!C89,RR!E:E,Mats!B89)</f>
        <v>0</v>
      </c>
      <c r="K89" s="279">
        <f>+SUMIFS(Endvr!K:K,Endvr!I:I,Mats!C89,Endvr!J:J,Mats!B89)</f>
        <v>0</v>
      </c>
      <c r="L89" s="280">
        <f t="shared" si="13"/>
        <v>0</v>
      </c>
      <c r="M89" s="282" t="s">
        <v>19374</v>
      </c>
      <c r="N89" s="68"/>
    </row>
    <row r="90" spans="1:14" x14ac:dyDescent="0.2">
      <c r="A90" s="286" t="s">
        <v>24172</v>
      </c>
      <c r="B90" s="278" t="s">
        <v>12676</v>
      </c>
      <c r="C90" s="278" t="s">
        <v>1103</v>
      </c>
      <c r="D90" s="278">
        <f>COUNTIF(Facility!D:D,B90)</f>
        <v>2</v>
      </c>
      <c r="E90" s="278">
        <f>SUMIFS(MC!M:M,MC!K:K,B90,MC!L:L,C90)</f>
        <v>0</v>
      </c>
      <c r="F90" s="278">
        <f>COUNTIF('W-WS'!D:D,B90)*9</f>
        <v>18</v>
      </c>
      <c r="G90" s="278">
        <f t="shared" si="12"/>
        <v>20</v>
      </c>
      <c r="H90" s="278"/>
      <c r="I90" s="279">
        <f>+INDEX(QDrop!$AX:$BD,MATCH(Mats!$B90,QDrop!$AX:$AX,0),MATCH(Mats!$C90,QDrop!$AX$1:$BD$1,0))</f>
        <v>20</v>
      </c>
      <c r="J90" s="261">
        <f>+SUMIFS(RR!G:G,RR!F:F,Mats!C90,RR!E:E,Mats!B90)</f>
        <v>0</v>
      </c>
      <c r="K90" s="279">
        <f>+SUMIFS(Endvr!K:K,Endvr!I:I,Mats!C90,Endvr!J:J,Mats!B90)</f>
        <v>0</v>
      </c>
      <c r="L90" s="280">
        <f t="shared" si="13"/>
        <v>0</v>
      </c>
      <c r="M90" s="282" t="s">
        <v>19374</v>
      </c>
      <c r="N90" s="68"/>
    </row>
    <row r="91" spans="1:14" x14ac:dyDescent="0.2">
      <c r="A91" s="286" t="s">
        <v>24188</v>
      </c>
      <c r="B91" s="278" t="s">
        <v>12681</v>
      </c>
      <c r="C91" s="278" t="s">
        <v>1103</v>
      </c>
      <c r="D91" s="278">
        <f>COUNTIF(Facility!D:D,B91)</f>
        <v>1</v>
      </c>
      <c r="E91" s="278">
        <f>SUMIFS(MC!M:M,MC!K:K,B91,MC!L:L,C91)</f>
        <v>0</v>
      </c>
      <c r="F91" s="278">
        <f>COUNTIF('W-WS'!D:D,B91)*9</f>
        <v>18</v>
      </c>
      <c r="G91" s="278">
        <f t="shared" si="12"/>
        <v>19</v>
      </c>
      <c r="H91" s="278"/>
      <c r="I91" s="279">
        <f>+INDEX(QDrop!$AX:$BD,MATCH(Mats!$B91,QDrop!$AX:$AX,0),MATCH(Mats!$C91,QDrop!$AX$1:$BD$1,0))</f>
        <v>20</v>
      </c>
      <c r="J91" s="261">
        <f>+SUMIFS(RR!G:G,RR!F:F,Mats!C91,RR!E:E,Mats!B91)</f>
        <v>0</v>
      </c>
      <c r="K91" s="279">
        <f>+SUMIFS(Endvr!K:K,Endvr!I:I,Mats!C91,Endvr!J:J,Mats!B91)</f>
        <v>0</v>
      </c>
      <c r="L91" s="280">
        <f t="shared" si="13"/>
        <v>1</v>
      </c>
      <c r="M91" s="282" t="s">
        <v>19374</v>
      </c>
      <c r="N91" s="68"/>
    </row>
    <row r="92" spans="1:14" x14ac:dyDescent="0.2">
      <c r="A92" s="286" t="s">
        <v>24186</v>
      </c>
      <c r="B92" s="278" t="s">
        <v>12684</v>
      </c>
      <c r="C92" s="278" t="s">
        <v>1103</v>
      </c>
      <c r="D92" s="278">
        <f>COUNTIF(Facility!D:D,B92)</f>
        <v>1</v>
      </c>
      <c r="E92" s="278">
        <f>SUMIFS(MC!M:M,MC!K:K,B92,MC!L:L,C92)</f>
        <v>0</v>
      </c>
      <c r="F92" s="278">
        <f>COUNTIF('W-WS'!D:D,B92)*9</f>
        <v>9</v>
      </c>
      <c r="G92" s="278">
        <f t="shared" si="12"/>
        <v>10</v>
      </c>
      <c r="H92" s="278"/>
      <c r="I92" s="279">
        <f>+INDEX(QDrop!$AX:$BD,MATCH(Mats!$B92,QDrop!$AX:$AX,0),MATCH(Mats!$C92,QDrop!$AX$1:$BD$1,0))</f>
        <v>14</v>
      </c>
      <c r="J92" s="261">
        <f>+SUMIFS(RR!G:G,RR!F:F,Mats!C92,RR!E:E,Mats!B92)</f>
        <v>0</v>
      </c>
      <c r="K92" s="279">
        <f>+SUMIFS(Endvr!K:K,Endvr!I:I,Mats!C92,Endvr!J:J,Mats!B92)</f>
        <v>0</v>
      </c>
      <c r="L92" s="280">
        <f t="shared" si="13"/>
        <v>4</v>
      </c>
      <c r="M92" s="282" t="s">
        <v>19374</v>
      </c>
      <c r="N92" s="68"/>
    </row>
    <row r="93" spans="1:14" x14ac:dyDescent="0.2">
      <c r="A93" s="286" t="s">
        <v>24187</v>
      </c>
      <c r="B93" s="278" t="s">
        <v>12653</v>
      </c>
      <c r="C93" s="278" t="s">
        <v>1103</v>
      </c>
      <c r="D93" s="278">
        <f>COUNTIF(Facility!D:D,B93)</f>
        <v>1</v>
      </c>
      <c r="E93" s="278">
        <f>SUMIFS(MC!M:M,MC!K:K,B93,MC!L:L,C93)</f>
        <v>0</v>
      </c>
      <c r="F93" s="278">
        <f>COUNTIF('W-WS'!D:D,B93)*9</f>
        <v>9</v>
      </c>
      <c r="G93" s="278">
        <f t="shared" si="12"/>
        <v>10</v>
      </c>
      <c r="H93" s="278"/>
      <c r="I93" s="279">
        <f>+INDEX(QDrop!$AX:$BD,MATCH(Mats!$B93,QDrop!$AX:$AX,0),MATCH(Mats!$C93,QDrop!$AX$1:$BD$1,0))</f>
        <v>12</v>
      </c>
      <c r="J93" s="261">
        <f>+SUMIFS(RR!G:G,RR!F:F,Mats!C93,RR!E:E,Mats!B93)</f>
        <v>0</v>
      </c>
      <c r="K93" s="279">
        <f>+SUMIFS(Endvr!K:K,Endvr!I:I,Mats!C93,Endvr!J:J,Mats!B93)</f>
        <v>0</v>
      </c>
      <c r="L93" s="280">
        <f t="shared" si="13"/>
        <v>2</v>
      </c>
      <c r="M93" s="282" t="s">
        <v>19374</v>
      </c>
      <c r="N93" s="68"/>
    </row>
    <row r="94" spans="1:14" x14ac:dyDescent="0.2">
      <c r="A94" s="286" t="s">
        <v>24166</v>
      </c>
      <c r="B94" s="278" t="s">
        <v>12645</v>
      </c>
      <c r="C94" s="278" t="s">
        <v>1947</v>
      </c>
      <c r="D94" s="278">
        <f>COUNTIF(Facility!D:D,B94)</f>
        <v>1</v>
      </c>
      <c r="E94" s="278">
        <f>SUMIFS(MC!M:M,MC!K:K,B94,MC!L:L,C94)</f>
        <v>0</v>
      </c>
      <c r="F94" s="278">
        <f>COUNTIF('W-WS'!D:D,B94)*9</f>
        <v>18</v>
      </c>
      <c r="G94" s="278">
        <f t="shared" si="12"/>
        <v>19</v>
      </c>
      <c r="H94" s="278"/>
      <c r="I94" s="279">
        <f>+INDEX(QDrop!$AX:$BD,MATCH(Mats!$B94,QDrop!$AX:$AX,0),MATCH(Mats!$C94,QDrop!$AX$1:$BD$1,0))</f>
        <v>20</v>
      </c>
      <c r="J94" s="261">
        <f>+SUMIFS(RR!G:G,RR!F:F,Mats!C94,RR!E:E,Mats!B94)</f>
        <v>0</v>
      </c>
      <c r="K94" s="279">
        <f>+SUMIFS(Endvr!K:K,Endvr!I:I,Mats!C94,Endvr!J:J,Mats!B94)</f>
        <v>0</v>
      </c>
      <c r="L94" s="280">
        <f t="shared" si="13"/>
        <v>1</v>
      </c>
      <c r="M94" s="282" t="s">
        <v>19374</v>
      </c>
      <c r="N94" s="68"/>
    </row>
    <row r="95" spans="1:14" x14ac:dyDescent="0.2">
      <c r="A95" s="286" t="s">
        <v>24189</v>
      </c>
      <c r="B95" s="278" t="s">
        <v>12651</v>
      </c>
      <c r="C95" s="278" t="s">
        <v>1947</v>
      </c>
      <c r="D95" s="278">
        <f>COUNTIF(Facility!D:D,B95)</f>
        <v>2</v>
      </c>
      <c r="E95" s="278">
        <f>SUMIFS(MC!M:M,MC!K:K,B95,MC!L:L,C95)</f>
        <v>0</v>
      </c>
      <c r="F95" s="278">
        <f>COUNTIF('W-WS'!D:D,B95)*9</f>
        <v>18</v>
      </c>
      <c r="G95" s="278">
        <f t="shared" si="12"/>
        <v>20</v>
      </c>
      <c r="H95" s="278"/>
      <c r="I95" s="279">
        <f>+INDEX(QDrop!$AX:$BD,MATCH(Mats!$B95,QDrop!$AX:$AX,0),MATCH(Mats!$C95,QDrop!$AX$1:$BD$1,0))</f>
        <v>20</v>
      </c>
      <c r="J95" s="261">
        <f>+SUMIFS(RR!G:G,RR!F:F,Mats!C95,RR!E:E,Mats!B95)</f>
        <v>0</v>
      </c>
      <c r="K95" s="279">
        <f>+SUMIFS(Endvr!K:K,Endvr!I:I,Mats!C95,Endvr!J:J,Mats!B95)</f>
        <v>0</v>
      </c>
      <c r="L95" s="280">
        <f t="shared" si="13"/>
        <v>0</v>
      </c>
      <c r="M95" s="282" t="s">
        <v>19374</v>
      </c>
      <c r="N95" s="68"/>
    </row>
    <row r="96" spans="1:14" x14ac:dyDescent="0.2">
      <c r="A96" s="286" t="s">
        <v>24168</v>
      </c>
      <c r="B96" s="278" t="s">
        <v>12657</v>
      </c>
      <c r="C96" s="278" t="s">
        <v>1947</v>
      </c>
      <c r="D96" s="278">
        <f>COUNTIF(Facility!D:D,B96)</f>
        <v>2</v>
      </c>
      <c r="E96" s="278">
        <f>SUMIFS(MC!M:M,MC!K:K,B96,MC!L:L,C96)</f>
        <v>0</v>
      </c>
      <c r="F96" s="278">
        <f>COUNTIF('W-WS'!D:D,B96)*9</f>
        <v>18</v>
      </c>
      <c r="G96" s="278">
        <f t="shared" si="12"/>
        <v>20</v>
      </c>
      <c r="H96" s="278"/>
      <c r="I96" s="279">
        <f>+INDEX(QDrop!$AX:$BD,MATCH(Mats!$B96,QDrop!$AX:$AX,0),MATCH(Mats!$C96,QDrop!$AX$1:$BD$1,0))</f>
        <v>20</v>
      </c>
      <c r="J96" s="261">
        <f>+SUMIFS(RR!G:G,RR!F:F,Mats!C96,RR!E:E,Mats!B96)</f>
        <v>0</v>
      </c>
      <c r="K96" s="279">
        <f>+SUMIFS(Endvr!K:K,Endvr!I:I,Mats!C96,Endvr!J:J,Mats!B96)</f>
        <v>0</v>
      </c>
      <c r="L96" s="280">
        <f t="shared" si="13"/>
        <v>0</v>
      </c>
      <c r="M96" s="282" t="s">
        <v>19374</v>
      </c>
      <c r="N96" s="68"/>
    </row>
    <row r="97" spans="1:14" x14ac:dyDescent="0.2">
      <c r="A97" s="286" t="s">
        <v>24171</v>
      </c>
      <c r="B97" s="278" t="s">
        <v>12673</v>
      </c>
      <c r="C97" s="278" t="s">
        <v>1947</v>
      </c>
      <c r="D97" s="278">
        <f>COUNTIF(Facility!D:D,B97)</f>
        <v>2</v>
      </c>
      <c r="E97" s="278">
        <f>SUMIFS(MC!M:M,MC!K:K,B97,MC!L:L,C97)</f>
        <v>0</v>
      </c>
      <c r="F97" s="278">
        <f>COUNTIF('W-WS'!D:D,B97)*9</f>
        <v>18</v>
      </c>
      <c r="G97" s="278">
        <f t="shared" si="12"/>
        <v>20</v>
      </c>
      <c r="H97" s="278"/>
      <c r="I97" s="279">
        <f>+INDEX(QDrop!$AX:$BD,MATCH(Mats!$B97,QDrop!$AX:$AX,0),MATCH(Mats!$C97,QDrop!$AX$1:$BD$1,0))</f>
        <v>20</v>
      </c>
      <c r="J97" s="261">
        <f>+SUMIFS(RR!G:G,RR!F:F,Mats!C97,RR!E:E,Mats!B97)</f>
        <v>0</v>
      </c>
      <c r="K97" s="279">
        <f>+SUMIFS(Endvr!K:K,Endvr!I:I,Mats!C97,Endvr!J:J,Mats!B97)</f>
        <v>0</v>
      </c>
      <c r="L97" s="280">
        <f t="shared" si="13"/>
        <v>0</v>
      </c>
      <c r="M97" s="282" t="s">
        <v>19374</v>
      </c>
      <c r="N97" s="68"/>
    </row>
    <row r="98" spans="1:14" x14ac:dyDescent="0.2">
      <c r="A98" s="286" t="s">
        <v>24198</v>
      </c>
      <c r="B98" s="278" t="s">
        <v>12670</v>
      </c>
      <c r="C98" s="278" t="s">
        <v>1947</v>
      </c>
      <c r="D98" s="278">
        <f>COUNTIF(Facility!D:D,B98)</f>
        <v>2</v>
      </c>
      <c r="E98" s="278">
        <f>SUMIFS(MC!M:M,MC!K:K,B98,MC!L:L,C98)</f>
        <v>0</v>
      </c>
      <c r="F98" s="278">
        <f>COUNTIF('W-WS'!D:D,B98)*9</f>
        <v>18</v>
      </c>
      <c r="G98" s="278">
        <f t="shared" si="12"/>
        <v>20</v>
      </c>
      <c r="H98" s="278"/>
      <c r="I98" s="279">
        <f>+INDEX(QDrop!$AX:$BD,MATCH(Mats!$B98,QDrop!$AX:$AX,0),MATCH(Mats!$C98,QDrop!$AX$1:$BD$1,0))</f>
        <v>20</v>
      </c>
      <c r="J98" s="261">
        <f>+SUMIFS(RR!G:G,RR!F:F,Mats!C98,RR!E:E,Mats!B98)</f>
        <v>0</v>
      </c>
      <c r="K98" s="279">
        <f>+SUMIFS(Endvr!K:K,Endvr!I:I,Mats!C98,Endvr!J:J,Mats!B98)</f>
        <v>0</v>
      </c>
      <c r="L98" s="280">
        <f t="shared" si="13"/>
        <v>0</v>
      </c>
      <c r="M98" s="282" t="s">
        <v>19374</v>
      </c>
      <c r="N98" s="68"/>
    </row>
    <row r="99" spans="1:14" x14ac:dyDescent="0.2">
      <c r="A99" s="286" t="s">
        <v>24196</v>
      </c>
      <c r="B99" s="278" t="s">
        <v>12676</v>
      </c>
      <c r="C99" s="278" t="s">
        <v>1947</v>
      </c>
      <c r="D99" s="278">
        <f>COUNTIF(Facility!D:D,B99)</f>
        <v>2</v>
      </c>
      <c r="E99" s="278">
        <f>SUMIFS(MC!M:M,MC!K:K,B99,MC!L:L,C99)</f>
        <v>0</v>
      </c>
      <c r="F99" s="278">
        <f>COUNTIF('W-WS'!D:D,B99)*9</f>
        <v>18</v>
      </c>
      <c r="G99" s="278">
        <f t="shared" si="12"/>
        <v>20</v>
      </c>
      <c r="H99" s="278"/>
      <c r="I99" s="279">
        <f>+INDEX(QDrop!$AX:$BD,MATCH(Mats!$B99,QDrop!$AX:$AX,0),MATCH(Mats!$C99,QDrop!$AX$1:$BD$1,0))</f>
        <v>20</v>
      </c>
      <c r="J99" s="261">
        <f>+SUMIFS(RR!G:G,RR!F:F,Mats!C99,RR!E:E,Mats!B99)</f>
        <v>0</v>
      </c>
      <c r="K99" s="279">
        <f>+SUMIFS(Endvr!K:K,Endvr!I:I,Mats!C99,Endvr!J:J,Mats!B99)</f>
        <v>0</v>
      </c>
      <c r="L99" s="280">
        <f t="shared" si="13"/>
        <v>0</v>
      </c>
      <c r="M99" s="282" t="s">
        <v>19374</v>
      </c>
      <c r="N99" s="68"/>
    </row>
    <row r="100" spans="1:14" x14ac:dyDescent="0.2">
      <c r="A100" s="286" t="s">
        <v>24175</v>
      </c>
      <c r="B100" s="278" t="s">
        <v>12681</v>
      </c>
      <c r="C100" s="278" t="s">
        <v>1947</v>
      </c>
      <c r="D100" s="278">
        <f>COUNTIF(Facility!D:D,B100)</f>
        <v>1</v>
      </c>
      <c r="E100" s="278">
        <f>SUMIFS(MC!M:M,MC!K:K,B100,MC!L:L,C100)</f>
        <v>0</v>
      </c>
      <c r="F100" s="278">
        <f>COUNTIF('W-WS'!D:D,B100)*9</f>
        <v>18</v>
      </c>
      <c r="G100" s="278">
        <f t="shared" si="12"/>
        <v>19</v>
      </c>
      <c r="H100" s="278"/>
      <c r="I100" s="279">
        <f>+INDEX(QDrop!$AX:$BD,MATCH(Mats!$B100,QDrop!$AX:$AX,0),MATCH(Mats!$C100,QDrop!$AX$1:$BD$1,0))</f>
        <v>20</v>
      </c>
      <c r="J100" s="261">
        <f>+SUMIFS(RR!G:G,RR!F:F,Mats!C100,RR!E:E,Mats!B100)</f>
        <v>0</v>
      </c>
      <c r="K100" s="279">
        <f>+SUMIFS(Endvr!K:K,Endvr!I:I,Mats!C100,Endvr!J:J,Mats!B100)</f>
        <v>0</v>
      </c>
      <c r="L100" s="280">
        <f t="shared" si="13"/>
        <v>1</v>
      </c>
      <c r="M100" s="282" t="s">
        <v>19374</v>
      </c>
      <c r="N100" s="68"/>
    </row>
    <row r="101" spans="1:14" x14ac:dyDescent="0.2">
      <c r="A101" s="286" t="s">
        <v>24202</v>
      </c>
      <c r="B101" s="278" t="s">
        <v>12684</v>
      </c>
      <c r="C101" s="278" t="s">
        <v>1947</v>
      </c>
      <c r="D101" s="278">
        <f>COUNTIF(Facility!D:D,B101)</f>
        <v>1</v>
      </c>
      <c r="E101" s="278">
        <f>SUMIFS(MC!M:M,MC!K:K,B101,MC!L:L,C101)</f>
        <v>0</v>
      </c>
      <c r="F101" s="278">
        <f>COUNTIF('W-WS'!D:D,B101)*9</f>
        <v>9</v>
      </c>
      <c r="G101" s="278">
        <f t="shared" si="12"/>
        <v>10</v>
      </c>
      <c r="H101" s="278"/>
      <c r="I101" s="279">
        <f>+INDEX(QDrop!$AX:$BD,MATCH(Mats!$B101,QDrop!$AX:$AX,0),MATCH(Mats!$C101,QDrop!$AX$1:$BD$1,0))</f>
        <v>14</v>
      </c>
      <c r="J101" s="261">
        <f>+SUMIFS(RR!G:G,RR!F:F,Mats!C101,RR!E:E,Mats!B101)</f>
        <v>0</v>
      </c>
      <c r="K101" s="279">
        <f>+SUMIFS(Endvr!K:K,Endvr!I:I,Mats!C101,Endvr!J:J,Mats!B101)</f>
        <v>0</v>
      </c>
      <c r="L101" s="280">
        <f t="shared" si="13"/>
        <v>4</v>
      </c>
      <c r="M101" s="282" t="s">
        <v>19374</v>
      </c>
      <c r="N101" s="68"/>
    </row>
    <row r="102" spans="1:14" x14ac:dyDescent="0.2">
      <c r="A102" s="286" t="s">
        <v>24203</v>
      </c>
      <c r="B102" s="278" t="s">
        <v>12653</v>
      </c>
      <c r="C102" s="278" t="s">
        <v>1947</v>
      </c>
      <c r="D102" s="278">
        <f>COUNTIF(Facility!D:D,B102)</f>
        <v>1</v>
      </c>
      <c r="E102" s="278">
        <f>SUMIFS(MC!M:M,MC!K:K,B102,MC!L:L,C102)</f>
        <v>0</v>
      </c>
      <c r="F102" s="278">
        <f>COUNTIF('W-WS'!D:D,B102)*9</f>
        <v>9</v>
      </c>
      <c r="G102" s="278">
        <f t="shared" si="12"/>
        <v>10</v>
      </c>
      <c r="H102" s="278"/>
      <c r="I102" s="279">
        <f>+INDEX(QDrop!$AX:$BD,MATCH(Mats!$B102,QDrop!$AX:$AX,0),MATCH(Mats!$C102,QDrop!$AX$1:$BD$1,0))</f>
        <v>12</v>
      </c>
      <c r="J102" s="261">
        <f>+SUMIFS(RR!G:G,RR!F:F,Mats!C102,RR!E:E,Mats!B102)</f>
        <v>0</v>
      </c>
      <c r="K102" s="279">
        <f>+SUMIFS(Endvr!K:K,Endvr!I:I,Mats!C102,Endvr!J:J,Mats!B102)</f>
        <v>0</v>
      </c>
      <c r="L102" s="280">
        <f t="shared" si="13"/>
        <v>2</v>
      </c>
      <c r="M102" s="282" t="s">
        <v>19374</v>
      </c>
      <c r="N102" s="68"/>
    </row>
    <row r="103" spans="1:14" x14ac:dyDescent="0.2">
      <c r="A103" s="286" t="s">
        <v>24191</v>
      </c>
      <c r="B103" s="278" t="s">
        <v>12645</v>
      </c>
      <c r="C103" s="278" t="s">
        <v>2837</v>
      </c>
      <c r="D103" s="278">
        <f>COUNTIF(Facility!D:D,B103)</f>
        <v>1</v>
      </c>
      <c r="E103" s="278">
        <f>SUMIFS(MC!M:M,MC!K:K,B103,MC!L:L,C103)</f>
        <v>0</v>
      </c>
      <c r="F103" s="278">
        <f>COUNTIF('W-WS'!D:D,B103)*9</f>
        <v>18</v>
      </c>
      <c r="G103" s="278">
        <f t="shared" si="10"/>
        <v>19</v>
      </c>
      <c r="H103" s="278"/>
      <c r="I103" s="279">
        <f>+INDEX(QDrop!$AX:$BD,MATCH(Mats!$B103,QDrop!$AX:$AX,0),MATCH(Mats!$C103,QDrop!$AX$1:$BD$1,0))</f>
        <v>20</v>
      </c>
      <c r="J103" s="261">
        <f>+SUMIFS(RR!G:G,RR!F:F,Mats!C103,RR!E:E,Mats!B103)</f>
        <v>0</v>
      </c>
      <c r="K103" s="279">
        <f>+SUMIFS(Endvr!K:K,Endvr!I:I,Mats!C103,Endvr!J:J,Mats!B103)</f>
        <v>0</v>
      </c>
      <c r="L103" s="280">
        <f t="shared" si="11"/>
        <v>1</v>
      </c>
      <c r="M103" s="282" t="s">
        <v>19374</v>
      </c>
      <c r="N103" s="68"/>
    </row>
    <row r="104" spans="1:14" x14ac:dyDescent="0.2">
      <c r="A104" s="286" t="s">
        <v>24190</v>
      </c>
      <c r="B104" s="278" t="s">
        <v>12651</v>
      </c>
      <c r="C104" s="278" t="s">
        <v>2837</v>
      </c>
      <c r="D104" s="278">
        <f>COUNTIF(Facility!D:D,B104)</f>
        <v>2</v>
      </c>
      <c r="E104" s="278">
        <f>SUMIFS(MC!M:M,MC!K:K,B104,MC!L:L,C104)</f>
        <v>0</v>
      </c>
      <c r="F104" s="278">
        <f>COUNTIF('W-WS'!D:D,B104)*9</f>
        <v>18</v>
      </c>
      <c r="G104" s="278">
        <f t="shared" si="10"/>
        <v>20</v>
      </c>
      <c r="H104" s="278"/>
      <c r="I104" s="279">
        <f>+INDEX(QDrop!$AX:$BD,MATCH(Mats!$B104,QDrop!$AX:$AX,0),MATCH(Mats!$C104,QDrop!$AX$1:$BD$1,0))</f>
        <v>20</v>
      </c>
      <c r="J104" s="261">
        <f>+SUMIFS(RR!G:G,RR!F:F,Mats!C104,RR!E:E,Mats!B104)</f>
        <v>0</v>
      </c>
      <c r="K104" s="279">
        <f>+SUMIFS(Endvr!K:K,Endvr!I:I,Mats!C104,Endvr!J:J,Mats!B104)</f>
        <v>0</v>
      </c>
      <c r="L104" s="280">
        <f t="shared" si="11"/>
        <v>0</v>
      </c>
      <c r="M104" s="282" t="s">
        <v>19374</v>
      </c>
      <c r="N104" s="68"/>
    </row>
    <row r="105" spans="1:14" x14ac:dyDescent="0.2">
      <c r="A105" s="286" t="s">
        <v>24169</v>
      </c>
      <c r="B105" s="278" t="s">
        <v>12657</v>
      </c>
      <c r="C105" s="278" t="s">
        <v>2837</v>
      </c>
      <c r="D105" s="278">
        <f>COUNTIF(Facility!D:D,B105)</f>
        <v>2</v>
      </c>
      <c r="E105" s="278">
        <f>SUMIFS(MC!M:M,MC!K:K,B105,MC!L:L,C105)</f>
        <v>0</v>
      </c>
      <c r="F105" s="278">
        <f>COUNTIF('W-WS'!D:D,B105)*9</f>
        <v>18</v>
      </c>
      <c r="G105" s="278">
        <f t="shared" si="10"/>
        <v>20</v>
      </c>
      <c r="H105" s="278"/>
      <c r="I105" s="279">
        <f>+INDEX(QDrop!$AX:$BD,MATCH(Mats!$B105,QDrop!$AX:$AX,0),MATCH(Mats!$C105,QDrop!$AX$1:$BD$1,0))</f>
        <v>20</v>
      </c>
      <c r="J105" s="261">
        <f>+SUMIFS(RR!G:G,RR!F:F,Mats!C105,RR!E:E,Mats!B105)</f>
        <v>0</v>
      </c>
      <c r="K105" s="279">
        <f>+SUMIFS(Endvr!K:K,Endvr!I:I,Mats!C105,Endvr!J:J,Mats!B105)</f>
        <v>0</v>
      </c>
      <c r="L105" s="280">
        <f t="shared" si="11"/>
        <v>0</v>
      </c>
      <c r="M105" s="282" t="s">
        <v>19374</v>
      </c>
      <c r="N105" s="68"/>
    </row>
    <row r="106" spans="1:14" x14ac:dyDescent="0.2">
      <c r="A106" s="286" t="s">
        <v>24194</v>
      </c>
      <c r="B106" s="278" t="s">
        <v>12673</v>
      </c>
      <c r="C106" s="278" t="s">
        <v>2837</v>
      </c>
      <c r="D106" s="278">
        <f>COUNTIF(Facility!D:D,B106)</f>
        <v>2</v>
      </c>
      <c r="E106" s="278">
        <f>SUMIFS(MC!M:M,MC!K:K,B106,MC!L:L,C106)</f>
        <v>0</v>
      </c>
      <c r="F106" s="278">
        <f>COUNTIF('W-WS'!D:D,B106)*9</f>
        <v>18</v>
      </c>
      <c r="G106" s="278">
        <f t="shared" si="10"/>
        <v>20</v>
      </c>
      <c r="H106" s="278"/>
      <c r="I106" s="279">
        <f>+INDEX(QDrop!$AX:$BD,MATCH(Mats!$B106,QDrop!$AX:$AX,0),MATCH(Mats!$C106,QDrop!$AX$1:$BD$1,0))</f>
        <v>20</v>
      </c>
      <c r="J106" s="261">
        <f>+SUMIFS(RR!G:G,RR!F:F,Mats!C106,RR!E:E,Mats!B106)</f>
        <v>0</v>
      </c>
      <c r="K106" s="279">
        <f>+SUMIFS(Endvr!K:K,Endvr!I:I,Mats!C106,Endvr!J:J,Mats!B106)</f>
        <v>0</v>
      </c>
      <c r="L106" s="280">
        <f t="shared" si="11"/>
        <v>0</v>
      </c>
      <c r="M106" s="282" t="s">
        <v>19374</v>
      </c>
      <c r="N106" s="68"/>
    </row>
    <row r="107" spans="1:14" x14ac:dyDescent="0.2">
      <c r="A107" s="306" t="s">
        <v>24199</v>
      </c>
      <c r="B107" s="278" t="s">
        <v>12670</v>
      </c>
      <c r="C107" s="278" t="s">
        <v>2837</v>
      </c>
      <c r="D107" s="278">
        <f>COUNTIF(Facility!D:D,B107)</f>
        <v>2</v>
      </c>
      <c r="E107" s="278">
        <f>SUMIFS(MC!M:M,MC!K:K,B107,MC!L:L,C107)</f>
        <v>0</v>
      </c>
      <c r="F107" s="278">
        <f>COUNTIF('W-WS'!D:D,B107)*9</f>
        <v>18</v>
      </c>
      <c r="G107" s="278">
        <f t="shared" si="10"/>
        <v>20</v>
      </c>
      <c r="H107" s="278"/>
      <c r="I107" s="279">
        <f>+INDEX(QDrop!$AX:$BD,MATCH(Mats!$B107,QDrop!$AX:$AX,0),MATCH(Mats!$C107,QDrop!$AX$1:$BD$1,0))</f>
        <v>20</v>
      </c>
      <c r="J107" s="261">
        <f>+SUMIFS(RR!G:G,RR!F:F,Mats!C107,RR!E:E,Mats!B107)</f>
        <v>0</v>
      </c>
      <c r="K107" s="279">
        <f>+SUMIFS(Endvr!K:K,Endvr!I:I,Mats!C107,Endvr!J:J,Mats!B107)</f>
        <v>0</v>
      </c>
      <c r="L107" s="280">
        <f t="shared" si="11"/>
        <v>0</v>
      </c>
      <c r="M107" s="282" t="s">
        <v>19374</v>
      </c>
      <c r="N107" s="68"/>
    </row>
    <row r="108" spans="1:14" x14ac:dyDescent="0.2">
      <c r="A108" s="286" t="s">
        <v>24173</v>
      </c>
      <c r="B108" s="278" t="s">
        <v>12676</v>
      </c>
      <c r="C108" s="278" t="s">
        <v>2837</v>
      </c>
      <c r="D108" s="278">
        <f>COUNTIF(Facility!D:D,B108)</f>
        <v>2</v>
      </c>
      <c r="E108" s="278">
        <f>SUMIFS(MC!M:M,MC!K:K,B108,MC!L:L,C108)</f>
        <v>0</v>
      </c>
      <c r="F108" s="278">
        <f>COUNTIF('W-WS'!D:D,B108)*9</f>
        <v>18</v>
      </c>
      <c r="G108" s="278">
        <f t="shared" si="10"/>
        <v>20</v>
      </c>
      <c r="H108" s="278"/>
      <c r="I108" s="279">
        <f>+INDEX(QDrop!$AX:$BD,MATCH(Mats!$B108,QDrop!$AX:$AX,0),MATCH(Mats!$C108,QDrop!$AX$1:$BD$1,0))</f>
        <v>20</v>
      </c>
      <c r="J108" s="261">
        <f>+SUMIFS(RR!G:G,RR!F:F,Mats!C108,RR!E:E,Mats!B108)</f>
        <v>0</v>
      </c>
      <c r="K108" s="279">
        <f>+SUMIFS(Endvr!K:K,Endvr!I:I,Mats!C108,Endvr!J:J,Mats!B108)</f>
        <v>0</v>
      </c>
      <c r="L108" s="280">
        <f t="shared" si="11"/>
        <v>0</v>
      </c>
      <c r="M108" s="282" t="s">
        <v>19374</v>
      </c>
      <c r="N108" s="68"/>
    </row>
    <row r="109" spans="1:14" x14ac:dyDescent="0.2">
      <c r="A109" s="286" t="s">
        <v>24200</v>
      </c>
      <c r="B109" s="278" t="s">
        <v>12681</v>
      </c>
      <c r="C109" s="278" t="s">
        <v>2837</v>
      </c>
      <c r="D109" s="278">
        <f>COUNTIF(Facility!D:D,B109)</f>
        <v>1</v>
      </c>
      <c r="E109" s="278">
        <f>SUMIFS(MC!M:M,MC!K:K,B109,MC!L:L,C109)</f>
        <v>0</v>
      </c>
      <c r="F109" s="278">
        <f>COUNTIF('W-WS'!D:D,B109)*9</f>
        <v>18</v>
      </c>
      <c r="G109" s="278">
        <f t="shared" si="10"/>
        <v>19</v>
      </c>
      <c r="H109" s="278"/>
      <c r="I109" s="279">
        <f>+INDEX(QDrop!$AX:$BD,MATCH(Mats!$B109,QDrop!$AX:$AX,0),MATCH(Mats!$C109,QDrop!$AX$1:$BD$1,0))</f>
        <v>20</v>
      </c>
      <c r="J109" s="261">
        <f>+SUMIFS(RR!G:G,RR!F:F,Mats!C109,RR!E:E,Mats!B109)</f>
        <v>0</v>
      </c>
      <c r="K109" s="279">
        <f>+SUMIFS(Endvr!K:K,Endvr!I:I,Mats!C109,Endvr!J:J,Mats!B109)</f>
        <v>0</v>
      </c>
      <c r="L109" s="280">
        <f t="shared" si="11"/>
        <v>1</v>
      </c>
      <c r="M109" s="282" t="s">
        <v>19374</v>
      </c>
      <c r="N109" s="68"/>
    </row>
    <row r="110" spans="1:14" x14ac:dyDescent="0.2">
      <c r="A110" s="286" t="s">
        <v>24204</v>
      </c>
      <c r="B110" s="278" t="s">
        <v>12684</v>
      </c>
      <c r="C110" s="278" t="s">
        <v>2837</v>
      </c>
      <c r="D110" s="278">
        <f>COUNTIF(Facility!D:D,B110)</f>
        <v>1</v>
      </c>
      <c r="E110" s="278">
        <f>SUMIFS(MC!M:M,MC!K:K,B110,MC!L:L,C110)</f>
        <v>0</v>
      </c>
      <c r="F110" s="278">
        <f>COUNTIF('W-WS'!D:D,B110)*9</f>
        <v>9</v>
      </c>
      <c r="G110" s="278">
        <f t="shared" si="10"/>
        <v>10</v>
      </c>
      <c r="H110" s="278"/>
      <c r="I110" s="279">
        <f>+INDEX(QDrop!$AX:$BD,MATCH(Mats!$B110,QDrop!$AX:$AX,0),MATCH(Mats!$C110,QDrop!$AX$1:$BD$1,0))</f>
        <v>14</v>
      </c>
      <c r="J110" s="261">
        <f>+SUMIFS(RR!G:G,RR!F:F,Mats!C110,RR!E:E,Mats!B110)</f>
        <v>0</v>
      </c>
      <c r="K110" s="279">
        <f>+SUMIFS(Endvr!K:K,Endvr!I:I,Mats!C110,Endvr!J:J,Mats!B110)</f>
        <v>0</v>
      </c>
      <c r="L110" s="280">
        <f t="shared" si="11"/>
        <v>4</v>
      </c>
      <c r="M110" s="282" t="s">
        <v>19374</v>
      </c>
      <c r="N110" s="68"/>
    </row>
    <row r="111" spans="1:14" x14ac:dyDescent="0.2">
      <c r="A111" s="286" t="s">
        <v>24205</v>
      </c>
      <c r="B111" s="278" t="s">
        <v>12653</v>
      </c>
      <c r="C111" s="278" t="s">
        <v>2837</v>
      </c>
      <c r="D111" s="278">
        <f>COUNTIF(Facility!D:D,B111)</f>
        <v>1</v>
      </c>
      <c r="E111" s="278">
        <f>SUMIFS(MC!M:M,MC!K:K,B111,MC!L:L,C111)</f>
        <v>0</v>
      </c>
      <c r="F111" s="278">
        <f>COUNTIF('W-WS'!D:D,B111)*9</f>
        <v>9</v>
      </c>
      <c r="G111" s="278">
        <f t="shared" si="10"/>
        <v>10</v>
      </c>
      <c r="H111" s="278"/>
      <c r="I111" s="279">
        <f>+INDEX(QDrop!$AX:$BD,MATCH(Mats!$B111,QDrop!$AX:$AX,0),MATCH(Mats!$C111,QDrop!$AX$1:$BD$1,0))</f>
        <v>12</v>
      </c>
      <c r="J111" s="261">
        <f>+SUMIFS(RR!G:G,RR!F:F,Mats!C111,RR!E:E,Mats!B111)</f>
        <v>0</v>
      </c>
      <c r="K111" s="279">
        <f>+SUMIFS(Endvr!K:K,Endvr!I:I,Mats!C111,Endvr!J:J,Mats!B111)</f>
        <v>0</v>
      </c>
      <c r="L111" s="280">
        <f t="shared" si="11"/>
        <v>2</v>
      </c>
      <c r="M111" s="282" t="s">
        <v>19374</v>
      </c>
      <c r="N111" s="68"/>
    </row>
    <row r="112" spans="1:14" x14ac:dyDescent="0.2">
      <c r="A112" s="286" t="s">
        <v>24192</v>
      </c>
      <c r="B112" s="278" t="s">
        <v>12645</v>
      </c>
      <c r="C112" s="278" t="s">
        <v>3779</v>
      </c>
      <c r="D112" s="278">
        <f>COUNTIF(Facility!D:D,B112)</f>
        <v>1</v>
      </c>
      <c r="E112" s="278">
        <f>SUMIFS(MC!M:M,MC!K:K,B112,MC!L:L,C112)</f>
        <v>0</v>
      </c>
      <c r="F112" s="278">
        <f>COUNTIF('W-WS'!D:D,B112)*9</f>
        <v>18</v>
      </c>
      <c r="G112" s="278">
        <f t="shared" si="10"/>
        <v>19</v>
      </c>
      <c r="H112" s="278"/>
      <c r="I112" s="279">
        <f>+INDEX(QDrop!$AX:$BD,MATCH(Mats!$B112,QDrop!$AX:$AX,0),MATCH(Mats!$C112,QDrop!$AX$1:$BD$1,0))</f>
        <v>20</v>
      </c>
      <c r="J112" s="261">
        <f>+SUMIFS(RR!G:G,RR!F:F,Mats!C112,RR!E:E,Mats!B112)</f>
        <v>0</v>
      </c>
      <c r="K112" s="279">
        <f>+SUMIFS(Endvr!K:K,Endvr!I:I,Mats!C112,Endvr!J:J,Mats!B112)</f>
        <v>0</v>
      </c>
      <c r="L112" s="280">
        <f t="shared" si="11"/>
        <v>1</v>
      </c>
      <c r="M112" s="282" t="s">
        <v>19374</v>
      </c>
      <c r="N112" s="68"/>
    </row>
    <row r="113" spans="1:14" x14ac:dyDescent="0.2">
      <c r="A113" s="286" t="s">
        <v>24165</v>
      </c>
      <c r="B113" s="278" t="s">
        <v>12651</v>
      </c>
      <c r="C113" s="278" t="s">
        <v>3779</v>
      </c>
      <c r="D113" s="278">
        <f>COUNTIF(Facility!D:D,B113)</f>
        <v>2</v>
      </c>
      <c r="E113" s="278">
        <f>SUMIFS(MC!M:M,MC!K:K,B113,MC!L:L,C113)</f>
        <v>0</v>
      </c>
      <c r="F113" s="278">
        <f>COUNTIF('W-WS'!D:D,B113)*9</f>
        <v>18</v>
      </c>
      <c r="G113" s="278">
        <f t="shared" si="10"/>
        <v>20</v>
      </c>
      <c r="H113" s="278"/>
      <c r="I113" s="279">
        <f>+INDEX(QDrop!$AX:$BD,MATCH(Mats!$B113,QDrop!$AX:$AX,0),MATCH(Mats!$C113,QDrop!$AX$1:$BD$1,0))</f>
        <v>20</v>
      </c>
      <c r="J113" s="261">
        <f>+SUMIFS(RR!G:G,RR!F:F,Mats!C113,RR!E:E,Mats!B113)</f>
        <v>0</v>
      </c>
      <c r="K113" s="279">
        <f>+SUMIFS(Endvr!K:K,Endvr!I:I,Mats!C113,Endvr!J:J,Mats!B113)</f>
        <v>0</v>
      </c>
      <c r="L113" s="280">
        <f t="shared" si="11"/>
        <v>0</v>
      </c>
      <c r="M113" s="282" t="s">
        <v>19374</v>
      </c>
      <c r="N113" s="68"/>
    </row>
    <row r="114" spans="1:14" x14ac:dyDescent="0.2">
      <c r="A114" s="286" t="s">
        <v>24193</v>
      </c>
      <c r="B114" s="278" t="s">
        <v>12657</v>
      </c>
      <c r="C114" s="278" t="s">
        <v>3779</v>
      </c>
      <c r="D114" s="278">
        <f>COUNTIF(Facility!D:D,B114)</f>
        <v>2</v>
      </c>
      <c r="E114" s="278">
        <f>SUMIFS(MC!M:M,MC!K:K,B114,MC!L:L,C114)</f>
        <v>0</v>
      </c>
      <c r="F114" s="278">
        <f>COUNTIF('W-WS'!D:D,B114)*9</f>
        <v>18</v>
      </c>
      <c r="G114" s="278">
        <f t="shared" si="10"/>
        <v>20</v>
      </c>
      <c r="H114" s="278"/>
      <c r="I114" s="279">
        <f>+INDEX(QDrop!$AX:$BD,MATCH(Mats!$B114,QDrop!$AX:$AX,0),MATCH(Mats!$C114,QDrop!$AX$1:$BD$1,0))</f>
        <v>20</v>
      </c>
      <c r="J114" s="261">
        <f>+SUMIFS(RR!G:G,RR!F:F,Mats!C114,RR!E:E,Mats!B114)</f>
        <v>0</v>
      </c>
      <c r="K114" s="279">
        <f>+SUMIFS(Endvr!K:K,Endvr!I:I,Mats!C114,Endvr!J:J,Mats!B114)</f>
        <v>0</v>
      </c>
      <c r="L114" s="280">
        <f t="shared" si="11"/>
        <v>0</v>
      </c>
      <c r="M114" s="282" t="s">
        <v>19374</v>
      </c>
      <c r="N114" s="68"/>
    </row>
    <row r="115" spans="1:14" x14ac:dyDescent="0.2">
      <c r="A115" s="286" t="s">
        <v>24195</v>
      </c>
      <c r="B115" s="278" t="s">
        <v>12673</v>
      </c>
      <c r="C115" s="278" t="s">
        <v>3779</v>
      </c>
      <c r="D115" s="278">
        <f>COUNTIF(Facility!D:D,B115)</f>
        <v>2</v>
      </c>
      <c r="E115" s="278">
        <f>SUMIFS(MC!M:M,MC!K:K,B115,MC!L:L,C115)</f>
        <v>0</v>
      </c>
      <c r="F115" s="278">
        <f>COUNTIF('W-WS'!D:D,B115)*9</f>
        <v>18</v>
      </c>
      <c r="G115" s="278">
        <f t="shared" si="10"/>
        <v>20</v>
      </c>
      <c r="H115" s="278"/>
      <c r="I115" s="279">
        <f>+INDEX(QDrop!$AX:$BD,MATCH(Mats!$B115,QDrop!$AX:$AX,0),MATCH(Mats!$C115,QDrop!$AX$1:$BD$1,0))</f>
        <v>20</v>
      </c>
      <c r="J115" s="261">
        <f>+SUMIFS(RR!G:G,RR!F:F,Mats!C115,RR!E:E,Mats!B115)</f>
        <v>0</v>
      </c>
      <c r="K115" s="279">
        <f>+SUMIFS(Endvr!K:K,Endvr!I:I,Mats!C115,Endvr!J:J,Mats!B115)</f>
        <v>0</v>
      </c>
      <c r="L115" s="280">
        <f t="shared" si="11"/>
        <v>0</v>
      </c>
      <c r="M115" s="282" t="s">
        <v>19374</v>
      </c>
      <c r="N115" s="68"/>
    </row>
    <row r="116" spans="1:14" x14ac:dyDescent="0.2">
      <c r="A116" s="286" t="s">
        <v>24174</v>
      </c>
      <c r="B116" s="278" t="s">
        <v>12670</v>
      </c>
      <c r="C116" s="278" t="s">
        <v>3779</v>
      </c>
      <c r="D116" s="278">
        <f>COUNTIF(Facility!D:D,B116)</f>
        <v>2</v>
      </c>
      <c r="E116" s="278">
        <f>SUMIFS(MC!M:M,MC!K:K,B116,MC!L:L,C116)</f>
        <v>0</v>
      </c>
      <c r="F116" s="278">
        <f>COUNTIF('W-WS'!D:D,B116)*9</f>
        <v>18</v>
      </c>
      <c r="G116" s="278">
        <f t="shared" si="10"/>
        <v>20</v>
      </c>
      <c r="H116" s="278"/>
      <c r="I116" s="279">
        <f>+INDEX(QDrop!$AX:$BD,MATCH(Mats!$B116,QDrop!$AX:$AX,0),MATCH(Mats!$C116,QDrop!$AX$1:$BD$1,0))</f>
        <v>20</v>
      </c>
      <c r="J116" s="261">
        <f>+SUMIFS(RR!G:G,RR!F:F,Mats!C116,RR!E:E,Mats!B116)</f>
        <v>0</v>
      </c>
      <c r="K116" s="279">
        <f>+SUMIFS(Endvr!K:K,Endvr!I:I,Mats!C116,Endvr!J:J,Mats!B116)</f>
        <v>0</v>
      </c>
      <c r="L116" s="280">
        <f t="shared" si="11"/>
        <v>0</v>
      </c>
      <c r="M116" s="282" t="s">
        <v>19374</v>
      </c>
      <c r="N116" s="68"/>
    </row>
    <row r="117" spans="1:14" x14ac:dyDescent="0.2">
      <c r="A117" s="286" t="s">
        <v>24197</v>
      </c>
      <c r="B117" s="278" t="s">
        <v>12676</v>
      </c>
      <c r="C117" s="278" t="s">
        <v>3779</v>
      </c>
      <c r="D117" s="278">
        <f>COUNTIF(Facility!D:D,B117)</f>
        <v>2</v>
      </c>
      <c r="E117" s="278">
        <f>SUMIFS(MC!M:M,MC!K:K,B117,MC!L:L,C117)</f>
        <v>0</v>
      </c>
      <c r="F117" s="278">
        <f>COUNTIF('W-WS'!D:D,B117)*9</f>
        <v>18</v>
      </c>
      <c r="G117" s="278">
        <f t="shared" si="10"/>
        <v>20</v>
      </c>
      <c r="H117" s="278"/>
      <c r="I117" s="279">
        <f>+INDEX(QDrop!$AX:$BD,MATCH(Mats!$B117,QDrop!$AX:$AX,0),MATCH(Mats!$C117,QDrop!$AX$1:$BD$1,0))</f>
        <v>20</v>
      </c>
      <c r="J117" s="261">
        <f>+SUMIFS(RR!G:G,RR!F:F,Mats!C117,RR!E:E,Mats!B117)</f>
        <v>0</v>
      </c>
      <c r="K117" s="279">
        <f>+SUMIFS(Endvr!K:K,Endvr!I:I,Mats!C117,Endvr!J:J,Mats!B117)</f>
        <v>0</v>
      </c>
      <c r="L117" s="280">
        <f t="shared" si="11"/>
        <v>0</v>
      </c>
      <c r="M117" s="282" t="s">
        <v>19374</v>
      </c>
      <c r="N117" s="68"/>
    </row>
    <row r="118" spans="1:14" x14ac:dyDescent="0.2">
      <c r="A118" s="286" t="s">
        <v>24201</v>
      </c>
      <c r="B118" s="278" t="s">
        <v>12681</v>
      </c>
      <c r="C118" s="278" t="s">
        <v>3779</v>
      </c>
      <c r="D118" s="278">
        <f>COUNTIF(Facility!D:D,B118)</f>
        <v>1</v>
      </c>
      <c r="E118" s="278">
        <f>SUMIFS(MC!M:M,MC!K:K,B118,MC!L:L,C118)</f>
        <v>0</v>
      </c>
      <c r="F118" s="278">
        <f>COUNTIF('W-WS'!D:D,B118)*9</f>
        <v>18</v>
      </c>
      <c r="G118" s="278">
        <f t="shared" ref="G118:G146" si="14">D118+E118+F118</f>
        <v>19</v>
      </c>
      <c r="H118" s="278"/>
      <c r="I118" s="279">
        <f>+INDEX(QDrop!$AX:$BD,MATCH(Mats!$B118,QDrop!$AX:$AX,0),MATCH(Mats!$C118,QDrop!$AX$1:$BD$1,0))</f>
        <v>20</v>
      </c>
      <c r="J118" s="261">
        <f>+SUMIFS(RR!G:G,RR!F:F,Mats!C118,RR!E:E,Mats!B118)</f>
        <v>0</v>
      </c>
      <c r="K118" s="279">
        <f>+SUMIFS(Endvr!K:K,Endvr!I:I,Mats!C118,Endvr!J:J,Mats!B118)</f>
        <v>0</v>
      </c>
      <c r="L118" s="280">
        <f t="shared" si="11"/>
        <v>1</v>
      </c>
      <c r="M118" s="282" t="s">
        <v>19374</v>
      </c>
      <c r="N118" s="68"/>
    </row>
    <row r="119" spans="1:14" x14ac:dyDescent="0.2">
      <c r="A119" s="286" t="s">
        <v>24206</v>
      </c>
      <c r="B119" s="278" t="s">
        <v>12684</v>
      </c>
      <c r="C119" s="278" t="s">
        <v>3779</v>
      </c>
      <c r="D119" s="278">
        <f>COUNTIF(Facility!D:D,B119)</f>
        <v>1</v>
      </c>
      <c r="E119" s="278">
        <f>SUMIFS(MC!M:M,MC!K:K,B119,MC!L:L,C119)</f>
        <v>0</v>
      </c>
      <c r="F119" s="278">
        <f>COUNTIF('W-WS'!D:D,B119)*9</f>
        <v>9</v>
      </c>
      <c r="G119" s="278">
        <f t="shared" si="14"/>
        <v>10</v>
      </c>
      <c r="H119" s="278"/>
      <c r="I119" s="279">
        <f>+INDEX(QDrop!$AX:$BD,MATCH(Mats!$B119,QDrop!$AX:$AX,0),MATCH(Mats!$C119,QDrop!$AX$1:$BD$1,0))</f>
        <v>14</v>
      </c>
      <c r="J119" s="261">
        <f>+SUMIFS(RR!G:G,RR!F:F,Mats!C119,RR!E:E,Mats!B119)</f>
        <v>0</v>
      </c>
      <c r="K119" s="279">
        <f>+SUMIFS(Endvr!K:K,Endvr!I:I,Mats!C119,Endvr!J:J,Mats!B119)</f>
        <v>0</v>
      </c>
      <c r="L119" s="280">
        <f t="shared" si="11"/>
        <v>4</v>
      </c>
      <c r="M119" s="282" t="s">
        <v>19374</v>
      </c>
      <c r="N119" s="68"/>
    </row>
    <row r="120" spans="1:14" x14ac:dyDescent="0.2">
      <c r="A120" s="286" t="s">
        <v>24207</v>
      </c>
      <c r="B120" s="278" t="s">
        <v>12653</v>
      </c>
      <c r="C120" s="278" t="s">
        <v>3779</v>
      </c>
      <c r="D120" s="278">
        <f>COUNTIF(Facility!D:D,B120)</f>
        <v>1</v>
      </c>
      <c r="E120" s="278">
        <f>SUMIFS(MC!M:M,MC!K:K,B120,MC!L:L,C120)</f>
        <v>0</v>
      </c>
      <c r="F120" s="278">
        <f>COUNTIF('W-WS'!D:D,B120)*9</f>
        <v>9</v>
      </c>
      <c r="G120" s="278">
        <f t="shared" si="14"/>
        <v>10</v>
      </c>
      <c r="H120" s="278"/>
      <c r="I120" s="279">
        <f>+INDEX(QDrop!$AX:$BD,MATCH(Mats!$B120,QDrop!$AX:$AX,0),MATCH(Mats!$C120,QDrop!$AX$1:$BD$1,0))</f>
        <v>12</v>
      </c>
      <c r="J120" s="261">
        <f>+SUMIFS(RR!G:G,RR!F:F,Mats!C120,RR!E:E,Mats!B120)</f>
        <v>0</v>
      </c>
      <c r="K120" s="279">
        <f>+SUMIFS(Endvr!K:K,Endvr!I:I,Mats!C120,Endvr!J:J,Mats!B120)</f>
        <v>0</v>
      </c>
      <c r="L120" s="280">
        <f t="shared" si="11"/>
        <v>2</v>
      </c>
      <c r="M120" s="282" t="s">
        <v>19374</v>
      </c>
      <c r="N120" s="68"/>
    </row>
    <row r="121" spans="1:14" x14ac:dyDescent="0.2">
      <c r="A121" s="286" t="s">
        <v>24208</v>
      </c>
      <c r="B121" s="278" t="s">
        <v>11231</v>
      </c>
      <c r="C121" s="278" t="s">
        <v>122</v>
      </c>
      <c r="D121" s="278">
        <f>COUNTIF(Facility!D:D,B121)</f>
        <v>0</v>
      </c>
      <c r="E121" s="278">
        <f>SUMIFS(MC!M:M,MC!K:K,B121,MC!L:L,C121)</f>
        <v>0</v>
      </c>
      <c r="F121" s="278">
        <f>COUNTIF('W-WS'!D:D,B121)*9</f>
        <v>9</v>
      </c>
      <c r="G121" s="278">
        <f t="shared" si="14"/>
        <v>9</v>
      </c>
      <c r="H121" s="278"/>
      <c r="I121" s="279">
        <f>+INDEX(QDrop!$AX:$BD,MATCH(Mats!$B121,QDrop!$AX:$AX,0),MATCH(Mats!$C121,QDrop!$AX$1:$BD$1,0))</f>
        <v>16</v>
      </c>
      <c r="J121" s="261">
        <f>+SUMIFS(RR!G:G,RR!F:F,Mats!C121,RR!E:E,Mats!B121)</f>
        <v>0</v>
      </c>
      <c r="K121" s="279">
        <f>+SUMIFS(Endvr!K:K,Endvr!I:I,Mats!C121,Endvr!J:J,Mats!B121)</f>
        <v>0</v>
      </c>
      <c r="L121" s="280">
        <f t="shared" si="11"/>
        <v>7</v>
      </c>
      <c r="M121" s="282" t="s">
        <v>19374</v>
      </c>
      <c r="N121" s="68"/>
    </row>
    <row r="122" spans="1:14" x14ac:dyDescent="0.2">
      <c r="A122" s="286" t="s">
        <v>24210</v>
      </c>
      <c r="B122" s="278" t="s">
        <v>11231</v>
      </c>
      <c r="C122" s="278" t="s">
        <v>1103</v>
      </c>
      <c r="D122" s="278">
        <f>COUNTIF(Facility!D:D,B122)</f>
        <v>0</v>
      </c>
      <c r="E122" s="278">
        <f>SUMIFS(MC!M:M,MC!K:K,B122,MC!L:L,C122)</f>
        <v>0</v>
      </c>
      <c r="F122" s="278">
        <f>COUNTIF('W-WS'!D:D,B122)*9</f>
        <v>9</v>
      </c>
      <c r="G122" s="278">
        <f>D122+E122+F122</f>
        <v>9</v>
      </c>
      <c r="H122" s="278"/>
      <c r="I122" s="279">
        <f>+INDEX(QDrop!$AX:$BD,MATCH(Mats!$B122,QDrop!$AX:$AX,0),MATCH(Mats!$C122,QDrop!$AX$1:$BD$1,0))</f>
        <v>10</v>
      </c>
      <c r="J122" s="261">
        <f>+SUMIFS(RR!G:G,RR!F:F,Mats!C122,RR!E:E,Mats!B122)</f>
        <v>0</v>
      </c>
      <c r="K122" s="279">
        <f>+SUMIFS(Endvr!K:K,Endvr!I:I,Mats!C122,Endvr!J:J,Mats!B122)</f>
        <v>0</v>
      </c>
      <c r="L122" s="280">
        <f>SUM(I122:K122)-G122</f>
        <v>1</v>
      </c>
      <c r="M122" s="282" t="s">
        <v>19374</v>
      </c>
      <c r="N122" s="68"/>
    </row>
    <row r="123" spans="1:14" x14ac:dyDescent="0.2">
      <c r="A123" s="286" t="s">
        <v>24212</v>
      </c>
      <c r="B123" s="278" t="s">
        <v>11231</v>
      </c>
      <c r="C123" s="278" t="s">
        <v>1947</v>
      </c>
      <c r="D123" s="278">
        <f>COUNTIF(Facility!D:D,B123)</f>
        <v>0</v>
      </c>
      <c r="E123" s="278">
        <f>SUMIFS(MC!M:M,MC!K:K,B123,MC!L:L,C123)</f>
        <v>0</v>
      </c>
      <c r="F123" s="278">
        <f>COUNTIF('W-WS'!D:D,B123)*9</f>
        <v>9</v>
      </c>
      <c r="G123" s="278">
        <f>D123+E123+F123</f>
        <v>9</v>
      </c>
      <c r="H123" s="278"/>
      <c r="I123" s="279">
        <f>+INDEX(QDrop!$AX:$BD,MATCH(Mats!$B123,QDrop!$AX:$AX,0),MATCH(Mats!$C123,QDrop!$AX$1:$BD$1,0))</f>
        <v>10</v>
      </c>
      <c r="J123" s="261">
        <f>+SUMIFS(RR!G:G,RR!F:F,Mats!C123,RR!E:E,Mats!B123)</f>
        <v>0</v>
      </c>
      <c r="K123" s="279">
        <f>+SUMIFS(Endvr!K:K,Endvr!I:I,Mats!C123,Endvr!J:J,Mats!B123)</f>
        <v>0</v>
      </c>
      <c r="L123" s="280">
        <f>SUM(I123:K123)-G123</f>
        <v>1</v>
      </c>
      <c r="M123" s="282" t="s">
        <v>19374</v>
      </c>
      <c r="N123" s="68"/>
    </row>
    <row r="124" spans="1:14" x14ac:dyDescent="0.2">
      <c r="A124" s="286" t="s">
        <v>24214</v>
      </c>
      <c r="B124" s="278" t="s">
        <v>11231</v>
      </c>
      <c r="C124" s="278" t="s">
        <v>2837</v>
      </c>
      <c r="D124" s="278">
        <f>COUNTIF(Facility!D:D,B124)</f>
        <v>0</v>
      </c>
      <c r="E124" s="278">
        <f>SUMIFS(MC!M:M,MC!K:K,B124,MC!L:L,C124)</f>
        <v>0</v>
      </c>
      <c r="F124" s="278">
        <f>COUNTIF('W-WS'!D:D,B124)*9</f>
        <v>9</v>
      </c>
      <c r="G124" s="278">
        <f t="shared" si="14"/>
        <v>9</v>
      </c>
      <c r="H124" s="278"/>
      <c r="I124" s="279">
        <f>+INDEX(QDrop!$AX:$BD,MATCH(Mats!$B124,QDrop!$AX:$AX,0),MATCH(Mats!$C124,QDrop!$AX$1:$BD$1,0))</f>
        <v>10</v>
      </c>
      <c r="J124" s="261">
        <f>+SUMIFS(RR!G:G,RR!F:F,Mats!C124,RR!E:E,Mats!B124)</f>
        <v>0</v>
      </c>
      <c r="K124" s="279">
        <f>+SUMIFS(Endvr!K:K,Endvr!I:I,Mats!C124,Endvr!J:J,Mats!B124)</f>
        <v>0</v>
      </c>
      <c r="L124" s="280">
        <f t="shared" si="11"/>
        <v>1</v>
      </c>
      <c r="M124" s="282" t="s">
        <v>19374</v>
      </c>
      <c r="N124" s="68"/>
    </row>
    <row r="125" spans="1:14" x14ac:dyDescent="0.2">
      <c r="A125" s="286" t="s">
        <v>24215</v>
      </c>
      <c r="B125" s="278" t="s">
        <v>11231</v>
      </c>
      <c r="C125" s="278" t="s">
        <v>3779</v>
      </c>
      <c r="D125" s="278">
        <f>COUNTIF(Facility!D:D,B125)</f>
        <v>0</v>
      </c>
      <c r="E125" s="278">
        <f>SUMIFS(MC!M:M,MC!K:K,B125,MC!L:L,C125)</f>
        <v>0</v>
      </c>
      <c r="F125" s="278">
        <f>COUNTIF('W-WS'!D:D,B125)*9</f>
        <v>9</v>
      </c>
      <c r="G125" s="278">
        <f t="shared" si="14"/>
        <v>9</v>
      </c>
      <c r="H125" s="278"/>
      <c r="I125" s="279">
        <f>+INDEX(QDrop!$AX:$BD,MATCH(Mats!$B125,QDrop!$AX:$AX,0),MATCH(Mats!$C125,QDrop!$AX$1:$BD$1,0))</f>
        <v>10</v>
      </c>
      <c r="J125" s="261">
        <f>+SUMIFS(RR!G:G,RR!F:F,Mats!C125,RR!E:E,Mats!B125)</f>
        <v>0</v>
      </c>
      <c r="K125" s="279">
        <f>+SUMIFS(Endvr!K:K,Endvr!I:I,Mats!C125,Endvr!J:J,Mats!B125)</f>
        <v>0</v>
      </c>
      <c r="L125" s="280">
        <f t="shared" si="11"/>
        <v>1</v>
      </c>
      <c r="M125" s="282" t="s">
        <v>19374</v>
      </c>
      <c r="N125" s="68"/>
    </row>
    <row r="126" spans="1:14" x14ac:dyDescent="0.2">
      <c r="A126" s="286" t="s">
        <v>24209</v>
      </c>
      <c r="B126" s="278" t="s">
        <v>12659</v>
      </c>
      <c r="C126" s="278" t="s">
        <v>122</v>
      </c>
      <c r="D126" s="278">
        <f>COUNTIF(Facility!D:D,B126)</f>
        <v>0</v>
      </c>
      <c r="E126" s="278">
        <f>SUMIFS(MC!M:M,MC!K:K,B126,MC!L:L,C126)</f>
        <v>0</v>
      </c>
      <c r="F126" s="278">
        <f>COUNTIF('W-WS'!D:D,B126)*9</f>
        <v>9</v>
      </c>
      <c r="G126" s="278">
        <f t="shared" si="14"/>
        <v>9</v>
      </c>
      <c r="H126" s="278"/>
      <c r="I126" s="279">
        <f>+INDEX(QDrop!$AX:$BD,MATCH(Mats!$B126,QDrop!$AX:$AX,0),MATCH(Mats!$C126,QDrop!$AX$1:$BD$1,0))</f>
        <v>16</v>
      </c>
      <c r="J126" s="261">
        <f>+SUMIFS(RR!G:G,RR!F:F,Mats!C126,RR!E:E,Mats!B126)</f>
        <v>0</v>
      </c>
      <c r="K126" s="279">
        <f>+SUMIFS(Endvr!K:K,Endvr!I:I,Mats!C126,Endvr!J:J,Mats!B126)</f>
        <v>0</v>
      </c>
      <c r="L126" s="280">
        <f t="shared" si="11"/>
        <v>7</v>
      </c>
      <c r="M126" s="282" t="s">
        <v>19374</v>
      </c>
      <c r="N126" s="68"/>
    </row>
    <row r="127" spans="1:14" x14ac:dyDescent="0.2">
      <c r="A127" s="286" t="s">
        <v>24211</v>
      </c>
      <c r="B127" s="278" t="s">
        <v>12659</v>
      </c>
      <c r="C127" s="278" t="s">
        <v>1103</v>
      </c>
      <c r="D127" s="278">
        <f>COUNTIF(Facility!D:D,B127)</f>
        <v>0</v>
      </c>
      <c r="E127" s="278">
        <f>SUMIFS(MC!M:M,MC!K:K,B127,MC!L:L,C127)</f>
        <v>0</v>
      </c>
      <c r="F127" s="278">
        <f>COUNTIF('W-WS'!D:D,B127)*9</f>
        <v>9</v>
      </c>
      <c r="G127" s="278">
        <f>D127+E127+F127</f>
        <v>9</v>
      </c>
      <c r="H127" s="278"/>
      <c r="I127" s="279">
        <f>+INDEX(QDrop!$AX:$BD,MATCH(Mats!$B127,QDrop!$AX:$AX,0),MATCH(Mats!$C127,QDrop!$AX$1:$BD$1,0))</f>
        <v>10</v>
      </c>
      <c r="J127" s="261">
        <f>+SUMIFS(RR!G:G,RR!F:F,Mats!C127,RR!E:E,Mats!B127)</f>
        <v>0</v>
      </c>
      <c r="K127" s="279">
        <f>+SUMIFS(Endvr!K:K,Endvr!I:I,Mats!C127,Endvr!J:J,Mats!B127)</f>
        <v>0</v>
      </c>
      <c r="L127" s="280">
        <f>SUM(I127:K127)-G127</f>
        <v>1</v>
      </c>
      <c r="M127" s="282" t="s">
        <v>19374</v>
      </c>
      <c r="N127" s="68"/>
    </row>
    <row r="128" spans="1:14" x14ac:dyDescent="0.2">
      <c r="A128" s="286" t="s">
        <v>24213</v>
      </c>
      <c r="B128" s="278" t="s">
        <v>12659</v>
      </c>
      <c r="C128" s="278" t="s">
        <v>1947</v>
      </c>
      <c r="D128" s="278">
        <f>COUNTIF(Facility!D:D,B128)</f>
        <v>0</v>
      </c>
      <c r="E128" s="278">
        <f>SUMIFS(MC!M:M,MC!K:K,B128,MC!L:L,C128)</f>
        <v>0</v>
      </c>
      <c r="F128" s="278">
        <f>COUNTIF('W-WS'!D:D,B128)*9</f>
        <v>9</v>
      </c>
      <c r="G128" s="278">
        <f>D128+E128+F128</f>
        <v>9</v>
      </c>
      <c r="H128" s="278"/>
      <c r="I128" s="279">
        <f>+INDEX(QDrop!$AX:$BD,MATCH(Mats!$B128,QDrop!$AX:$AX,0),MATCH(Mats!$C128,QDrop!$AX$1:$BD$1,0))</f>
        <v>10</v>
      </c>
      <c r="J128" s="261">
        <f>+SUMIFS(RR!G:G,RR!F:F,Mats!C128,RR!E:E,Mats!B128)</f>
        <v>0</v>
      </c>
      <c r="K128" s="279">
        <f>+SUMIFS(Endvr!K:K,Endvr!I:I,Mats!C128,Endvr!J:J,Mats!B128)</f>
        <v>0</v>
      </c>
      <c r="L128" s="280">
        <f>SUM(I128:K128)-G128</f>
        <v>1</v>
      </c>
      <c r="M128" s="282" t="s">
        <v>19374</v>
      </c>
      <c r="N128" s="68"/>
    </row>
    <row r="129" spans="1:14" x14ac:dyDescent="0.2">
      <c r="A129" s="286" t="s">
        <v>24216</v>
      </c>
      <c r="B129" s="278" t="s">
        <v>12659</v>
      </c>
      <c r="C129" s="278" t="s">
        <v>2837</v>
      </c>
      <c r="D129" s="278">
        <f>COUNTIF(Facility!D:D,B129)</f>
        <v>0</v>
      </c>
      <c r="E129" s="278">
        <f>SUMIFS(MC!M:M,MC!K:K,B129,MC!L:L,C129)</f>
        <v>0</v>
      </c>
      <c r="F129" s="278">
        <f>COUNTIF('W-WS'!D:D,B129)*9</f>
        <v>9</v>
      </c>
      <c r="G129" s="278">
        <f t="shared" si="14"/>
        <v>9</v>
      </c>
      <c r="H129" s="278"/>
      <c r="I129" s="279">
        <f>+INDEX(QDrop!$AX:$BD,MATCH(Mats!$B129,QDrop!$AX:$AX,0),MATCH(Mats!$C129,QDrop!$AX$1:$BD$1,0))</f>
        <v>10</v>
      </c>
      <c r="J129" s="261">
        <f>+SUMIFS(RR!G:G,RR!F:F,Mats!C129,RR!E:E,Mats!B129)</f>
        <v>0</v>
      </c>
      <c r="K129" s="279">
        <f>+SUMIFS(Endvr!K:K,Endvr!I:I,Mats!C129,Endvr!J:J,Mats!B129)</f>
        <v>0</v>
      </c>
      <c r="L129" s="280">
        <f t="shared" si="11"/>
        <v>1</v>
      </c>
      <c r="M129" s="282" t="s">
        <v>19374</v>
      </c>
      <c r="N129" s="68"/>
    </row>
    <row r="130" spans="1:14" x14ac:dyDescent="0.2">
      <c r="A130" s="286" t="s">
        <v>24217</v>
      </c>
      <c r="B130" s="278" t="s">
        <v>12659</v>
      </c>
      <c r="C130" s="278" t="s">
        <v>3779</v>
      </c>
      <c r="D130" s="278">
        <f>COUNTIF(Facility!D:D,B130)</f>
        <v>0</v>
      </c>
      <c r="E130" s="278">
        <f>SUMIFS(MC!M:M,MC!K:K,B130,MC!L:L,C130)</f>
        <v>0</v>
      </c>
      <c r="F130" s="278">
        <f>COUNTIF('W-WS'!D:D,B130)*9</f>
        <v>9</v>
      </c>
      <c r="G130" s="278">
        <f t="shared" si="14"/>
        <v>9</v>
      </c>
      <c r="H130" s="278"/>
      <c r="I130" s="279">
        <f>+INDEX(QDrop!$AX:$BD,MATCH(Mats!$B130,QDrop!$AX:$AX,0),MATCH(Mats!$C130,QDrop!$AX$1:$BD$1,0))</f>
        <v>10</v>
      </c>
      <c r="J130" s="261">
        <f>+SUMIFS(RR!G:G,RR!F:F,Mats!C130,RR!E:E,Mats!B130)</f>
        <v>0</v>
      </c>
      <c r="K130" s="279">
        <f>+SUMIFS(Endvr!K:K,Endvr!I:I,Mats!C130,Endvr!J:J,Mats!B130)</f>
        <v>0</v>
      </c>
      <c r="L130" s="280">
        <f t="shared" si="11"/>
        <v>1</v>
      </c>
      <c r="M130" s="282" t="s">
        <v>19374</v>
      </c>
      <c r="N130" s="68"/>
    </row>
    <row r="131" spans="1:14" x14ac:dyDescent="0.2">
      <c r="A131" s="286" t="s">
        <v>24218</v>
      </c>
      <c r="B131" s="278" t="s">
        <v>19605</v>
      </c>
      <c r="C131" s="278" t="s">
        <v>122</v>
      </c>
      <c r="D131" s="278">
        <f>COUNTIF(Facility!D:D,B131)</f>
        <v>14</v>
      </c>
      <c r="E131" s="278">
        <f>SUMIFS(MC!M:M,MC!K:K,B131,MC!L:L,C131)</f>
        <v>0</v>
      </c>
      <c r="F131" s="278">
        <f>COUNTIF('W-WS'!D:D,B131)*9</f>
        <v>0</v>
      </c>
      <c r="G131" s="278">
        <f t="shared" ref="G131:G143" si="15">D131+E131+F131</f>
        <v>14</v>
      </c>
      <c r="H131" s="278"/>
      <c r="I131" s="279">
        <f>+INDEX(QDrop!$AX:$BD,MATCH(Mats!$B131,QDrop!$AX:$AX,0),MATCH(Mats!$C131,QDrop!$AX$1:$BD$1,0))</f>
        <v>18</v>
      </c>
      <c r="J131" s="261">
        <f>+SUMIFS(RR!G:G,RR!F:F,Mats!C131,RR!E:E,Mats!B131)</f>
        <v>0</v>
      </c>
      <c r="K131" s="279">
        <f>+SUMIFS(Endvr!K:K,Endvr!I:I,Mats!C131,Endvr!J:J,Mats!B131)</f>
        <v>0</v>
      </c>
      <c r="L131" s="280">
        <f t="shared" ref="L131:L143" si="16">SUM(I131:K131)-G131</f>
        <v>4</v>
      </c>
      <c r="M131" s="282" t="s">
        <v>19259</v>
      </c>
      <c r="N131" s="68"/>
    </row>
    <row r="132" spans="1:14" x14ac:dyDescent="0.2">
      <c r="A132" s="286" t="s">
        <v>24219</v>
      </c>
      <c r="B132" s="278" t="s">
        <v>19605</v>
      </c>
      <c r="C132" s="278" t="s">
        <v>1103</v>
      </c>
      <c r="D132" s="278">
        <f>COUNTIF(Facility!D:D,B132)</f>
        <v>14</v>
      </c>
      <c r="E132" s="278">
        <f>SUMIFS(MC!M:M,MC!K:K,B132,MC!L:L,C132)</f>
        <v>0</v>
      </c>
      <c r="F132" s="278">
        <f>COUNTIF('W-WS'!D:D,B132)*9</f>
        <v>0</v>
      </c>
      <c r="G132" s="278">
        <f>D132+E132+F132</f>
        <v>14</v>
      </c>
      <c r="H132" s="278"/>
      <c r="I132" s="279">
        <f>+INDEX(QDrop!$AX:$BD,MATCH(Mats!$B132,QDrop!$AX:$AX,0),MATCH(Mats!$C132,QDrop!$AX$1:$BD$1,0))</f>
        <v>18</v>
      </c>
      <c r="J132" s="261">
        <f>+SUMIFS(RR!G:G,RR!F:F,Mats!C132,RR!E:E,Mats!B132)</f>
        <v>0</v>
      </c>
      <c r="K132" s="279">
        <f>+SUMIFS(Endvr!K:K,Endvr!I:I,Mats!C132,Endvr!J:J,Mats!B132)</f>
        <v>0</v>
      </c>
      <c r="L132" s="280">
        <f>SUM(I132:K132)-G132</f>
        <v>4</v>
      </c>
      <c r="M132" s="282" t="s">
        <v>19259</v>
      </c>
      <c r="N132" s="68"/>
    </row>
    <row r="133" spans="1:14" x14ac:dyDescent="0.2">
      <c r="A133" s="286" t="s">
        <v>24220</v>
      </c>
      <c r="B133" s="278" t="s">
        <v>19605</v>
      </c>
      <c r="C133" s="278" t="s">
        <v>1947</v>
      </c>
      <c r="D133" s="278">
        <f>COUNTIF(Facility!D:D,B133)</f>
        <v>14</v>
      </c>
      <c r="E133" s="278">
        <f>SUMIFS(MC!M:M,MC!K:K,B133,MC!L:L,C133)</f>
        <v>0</v>
      </c>
      <c r="F133" s="278">
        <f>COUNTIF('W-WS'!D:D,B133)*9</f>
        <v>0</v>
      </c>
      <c r="G133" s="278">
        <f>D133+E133+F133</f>
        <v>14</v>
      </c>
      <c r="H133" s="278"/>
      <c r="I133" s="279">
        <f>+INDEX(QDrop!$AX:$BD,MATCH(Mats!$B133,QDrop!$AX:$AX,0),MATCH(Mats!$C133,QDrop!$AX$1:$BD$1,0))</f>
        <v>18</v>
      </c>
      <c r="J133" s="261">
        <f>+SUMIFS(RR!G:G,RR!F:F,Mats!C133,RR!E:E,Mats!B133)</f>
        <v>0</v>
      </c>
      <c r="K133" s="279">
        <f>+SUMIFS(Endvr!K:K,Endvr!I:I,Mats!C133,Endvr!J:J,Mats!B133)</f>
        <v>0</v>
      </c>
      <c r="L133" s="280">
        <f>SUM(I133:K133)-G133</f>
        <v>4</v>
      </c>
      <c r="M133" s="282" t="s">
        <v>19259</v>
      </c>
      <c r="N133" s="68"/>
    </row>
    <row r="134" spans="1:14" x14ac:dyDescent="0.2">
      <c r="A134" s="286" t="s">
        <v>24221</v>
      </c>
      <c r="B134" s="278" t="s">
        <v>19605</v>
      </c>
      <c r="C134" s="278" t="s">
        <v>2837</v>
      </c>
      <c r="D134" s="278">
        <f>COUNTIF(Facility!D:D,B134)</f>
        <v>14</v>
      </c>
      <c r="E134" s="278">
        <f>SUMIFS(MC!M:M,MC!K:K,B134,MC!L:L,C134)</f>
        <v>0</v>
      </c>
      <c r="F134" s="278">
        <f>COUNTIF('W-WS'!D:D,B134)*9</f>
        <v>0</v>
      </c>
      <c r="G134" s="278">
        <f t="shared" si="15"/>
        <v>14</v>
      </c>
      <c r="H134" s="278"/>
      <c r="I134" s="279">
        <f>+INDEX(QDrop!$AX:$BD,MATCH(Mats!$B134,QDrop!$AX:$AX,0),MATCH(Mats!$C134,QDrop!$AX$1:$BD$1,0))</f>
        <v>18</v>
      </c>
      <c r="J134" s="261">
        <f>+SUMIFS(RR!G:G,RR!F:F,Mats!C134,RR!E:E,Mats!B134)</f>
        <v>0</v>
      </c>
      <c r="K134" s="279">
        <f>+SUMIFS(Endvr!K:K,Endvr!I:I,Mats!C134,Endvr!J:J,Mats!B134)</f>
        <v>0</v>
      </c>
      <c r="L134" s="280">
        <f t="shared" si="16"/>
        <v>4</v>
      </c>
      <c r="M134" s="282" t="s">
        <v>19259</v>
      </c>
      <c r="N134" s="68"/>
    </row>
    <row r="135" spans="1:14" x14ac:dyDescent="0.2">
      <c r="A135" s="286" t="s">
        <v>24222</v>
      </c>
      <c r="B135" s="278" t="s">
        <v>19605</v>
      </c>
      <c r="C135" s="278" t="s">
        <v>3779</v>
      </c>
      <c r="D135" s="278">
        <f>COUNTIF(Facility!D:D,B135)</f>
        <v>14</v>
      </c>
      <c r="E135" s="278">
        <f>SUMIFS(MC!M:M,MC!K:K,B135,MC!L:L,C135)</f>
        <v>0</v>
      </c>
      <c r="F135" s="278">
        <f>COUNTIF('W-WS'!D:D,B135)*9</f>
        <v>0</v>
      </c>
      <c r="G135" s="278">
        <f t="shared" si="15"/>
        <v>14</v>
      </c>
      <c r="H135" s="278"/>
      <c r="I135" s="279">
        <f>+INDEX(QDrop!$AX:$BD,MATCH(Mats!$B135,QDrop!$AX:$AX,0),MATCH(Mats!$C135,QDrop!$AX$1:$BD$1,0))</f>
        <v>18</v>
      </c>
      <c r="J135" s="261">
        <f>+SUMIFS(RR!G:G,RR!F:F,Mats!C135,RR!E:E,Mats!B135)</f>
        <v>0</v>
      </c>
      <c r="K135" s="279">
        <f>+SUMIFS(Endvr!K:K,Endvr!I:I,Mats!C135,Endvr!J:J,Mats!B135)</f>
        <v>0</v>
      </c>
      <c r="L135" s="280">
        <f t="shared" si="16"/>
        <v>4</v>
      </c>
      <c r="M135" s="282" t="s">
        <v>19259</v>
      </c>
      <c r="N135" s="68"/>
    </row>
    <row r="136" spans="1:14" x14ac:dyDescent="0.2">
      <c r="A136" s="286" t="s">
        <v>24223</v>
      </c>
      <c r="B136" s="278" t="s">
        <v>11373</v>
      </c>
      <c r="C136" s="278" t="s">
        <v>122</v>
      </c>
      <c r="D136" s="278">
        <f>COUNTIF(Facility!D:D,B136)</f>
        <v>0</v>
      </c>
      <c r="E136" s="278">
        <f>SUMIFS(MC!M:M,MC!K:K,B136,MC!L:L,C136)</f>
        <v>0</v>
      </c>
      <c r="F136" s="278">
        <f>COUNTIF('W-WS'!D:D,B136)*9</f>
        <v>9</v>
      </c>
      <c r="G136" s="278">
        <f t="shared" si="15"/>
        <v>9</v>
      </c>
      <c r="H136" s="278"/>
      <c r="I136" s="279">
        <f>+INDEX(QDrop!$AX:$BD,MATCH(Mats!$B136,QDrop!$AX:$AX,0),MATCH(Mats!$C136,QDrop!$AX$1:$BD$1,0))</f>
        <v>12</v>
      </c>
      <c r="J136" s="261">
        <f>+SUMIFS(RR!G:G,RR!F:F,Mats!C136,RR!E:E,Mats!B136)</f>
        <v>0</v>
      </c>
      <c r="K136" s="279">
        <f>+SUMIFS(Endvr!K:K,Endvr!I:I,Mats!C136,Endvr!J:J,Mats!B136)</f>
        <v>0</v>
      </c>
      <c r="L136" s="280">
        <f t="shared" si="16"/>
        <v>3</v>
      </c>
      <c r="M136" s="282" t="s">
        <v>19259</v>
      </c>
      <c r="N136" s="68"/>
    </row>
    <row r="137" spans="1:14" x14ac:dyDescent="0.2">
      <c r="A137" s="286" t="s">
        <v>24225</v>
      </c>
      <c r="B137" s="278" t="s">
        <v>11373</v>
      </c>
      <c r="C137" s="278" t="s">
        <v>1103</v>
      </c>
      <c r="D137" s="278">
        <f>COUNTIF(Facility!D:D,B137)</f>
        <v>0</v>
      </c>
      <c r="E137" s="278">
        <f>SUMIFS(MC!M:M,MC!K:K,B137,MC!L:L,C137)</f>
        <v>0</v>
      </c>
      <c r="F137" s="278">
        <f>COUNTIF('W-WS'!D:D,B137)*9</f>
        <v>9</v>
      </c>
      <c r="G137" s="278">
        <f t="shared" si="15"/>
        <v>9</v>
      </c>
      <c r="H137" s="278"/>
      <c r="I137" s="279">
        <f>+INDEX(QDrop!$AX:$BD,MATCH(Mats!$B137,QDrop!$AX:$AX,0),MATCH(Mats!$C137,QDrop!$AX$1:$BD$1,0))</f>
        <v>12</v>
      </c>
      <c r="J137" s="261">
        <f>+SUMIFS(RR!G:G,RR!F:F,Mats!C137,RR!E:E,Mats!B137)</f>
        <v>0</v>
      </c>
      <c r="K137" s="279">
        <f>+SUMIFS(Endvr!K:K,Endvr!I:I,Mats!C137,Endvr!J:J,Mats!B137)</f>
        <v>0</v>
      </c>
      <c r="L137" s="280">
        <f t="shared" si="16"/>
        <v>3</v>
      </c>
      <c r="M137" s="282" t="s">
        <v>19259</v>
      </c>
      <c r="N137" s="68"/>
    </row>
    <row r="138" spans="1:14" x14ac:dyDescent="0.2">
      <c r="A138" s="286" t="s">
        <v>24227</v>
      </c>
      <c r="B138" s="278" t="s">
        <v>11373</v>
      </c>
      <c r="C138" s="278" t="s">
        <v>1947</v>
      </c>
      <c r="D138" s="278">
        <f>COUNTIF(Facility!D:D,B138)</f>
        <v>0</v>
      </c>
      <c r="E138" s="278">
        <f>SUMIFS(MC!M:M,MC!K:K,B138,MC!L:L,C138)</f>
        <v>0</v>
      </c>
      <c r="F138" s="278">
        <f>COUNTIF('W-WS'!D:D,B138)*9</f>
        <v>9</v>
      </c>
      <c r="G138" s="278">
        <f t="shared" si="15"/>
        <v>9</v>
      </c>
      <c r="H138" s="278"/>
      <c r="I138" s="279">
        <f>+INDEX(QDrop!$AX:$BD,MATCH(Mats!$B138,QDrop!$AX:$AX,0),MATCH(Mats!$C138,QDrop!$AX$1:$BD$1,0))</f>
        <v>12</v>
      </c>
      <c r="J138" s="261">
        <f>+SUMIFS(RR!G:G,RR!F:F,Mats!C138,RR!E:E,Mats!B138)</f>
        <v>0</v>
      </c>
      <c r="K138" s="279">
        <f>+SUMIFS(Endvr!K:K,Endvr!I:I,Mats!C138,Endvr!J:J,Mats!B138)</f>
        <v>0</v>
      </c>
      <c r="L138" s="280">
        <f t="shared" si="16"/>
        <v>3</v>
      </c>
      <c r="M138" s="282" t="s">
        <v>19259</v>
      </c>
      <c r="N138" s="68"/>
    </row>
    <row r="139" spans="1:14" x14ac:dyDescent="0.2">
      <c r="A139" s="286" t="s">
        <v>24229</v>
      </c>
      <c r="B139" s="278" t="s">
        <v>11373</v>
      </c>
      <c r="C139" s="278" t="s">
        <v>2837</v>
      </c>
      <c r="D139" s="278">
        <f>COUNTIF(Facility!D:D,B139)</f>
        <v>0</v>
      </c>
      <c r="E139" s="278">
        <f>SUMIFS(MC!M:M,MC!K:K,B139,MC!L:L,C139)</f>
        <v>0</v>
      </c>
      <c r="F139" s="278">
        <f>COUNTIF('W-WS'!D:D,B139)*9</f>
        <v>9</v>
      </c>
      <c r="G139" s="278">
        <f>D139+E139+F139</f>
        <v>9</v>
      </c>
      <c r="H139" s="278"/>
      <c r="I139" s="279">
        <f>+INDEX(QDrop!$AX:$BD,MATCH(Mats!$B139,QDrop!$AX:$AX,0),MATCH(Mats!$C139,QDrop!$AX$1:$BD$1,0))</f>
        <v>12</v>
      </c>
      <c r="J139" s="261">
        <f>+SUMIFS(RR!G:G,RR!F:F,Mats!C139,RR!E:E,Mats!B139)</f>
        <v>0</v>
      </c>
      <c r="K139" s="279">
        <f>+SUMIFS(Endvr!K:K,Endvr!I:I,Mats!C139,Endvr!J:J,Mats!B139)</f>
        <v>0</v>
      </c>
      <c r="L139" s="280">
        <f>SUM(I139:K139)-G139</f>
        <v>3</v>
      </c>
      <c r="M139" s="282" t="s">
        <v>19259</v>
      </c>
      <c r="N139" s="68"/>
    </row>
    <row r="140" spans="1:14" x14ac:dyDescent="0.2">
      <c r="A140" s="286" t="s">
        <v>24231</v>
      </c>
      <c r="B140" s="278" t="s">
        <v>11373</v>
      </c>
      <c r="C140" s="278" t="s">
        <v>3779</v>
      </c>
      <c r="D140" s="278">
        <f>COUNTIF(Facility!D:D,B140)</f>
        <v>0</v>
      </c>
      <c r="E140" s="278">
        <f>SUMIFS(MC!M:M,MC!K:K,B140,MC!L:L,C140)</f>
        <v>0</v>
      </c>
      <c r="F140" s="278">
        <f>COUNTIF('W-WS'!D:D,B140)*9</f>
        <v>9</v>
      </c>
      <c r="G140" s="278">
        <f>D140+E140+F140</f>
        <v>9</v>
      </c>
      <c r="H140" s="278"/>
      <c r="I140" s="279">
        <f>+INDEX(QDrop!$AX:$BD,MATCH(Mats!$B140,QDrop!$AX:$AX,0),MATCH(Mats!$C140,QDrop!$AX$1:$BD$1,0))</f>
        <v>12</v>
      </c>
      <c r="J140" s="261">
        <f>+SUMIFS(RR!G:G,RR!F:F,Mats!C140,RR!E:E,Mats!B140)</f>
        <v>0</v>
      </c>
      <c r="K140" s="279">
        <f>+SUMIFS(Endvr!K:K,Endvr!I:I,Mats!C140,Endvr!J:J,Mats!B140)</f>
        <v>0</v>
      </c>
      <c r="L140" s="280">
        <f>SUM(I140:K140)-G140</f>
        <v>3</v>
      </c>
      <c r="M140" s="282" t="s">
        <v>19259</v>
      </c>
      <c r="N140" s="68"/>
    </row>
    <row r="141" spans="1:14" x14ac:dyDescent="0.2">
      <c r="A141" s="286" t="s">
        <v>24224</v>
      </c>
      <c r="B141" s="278" t="s">
        <v>12662</v>
      </c>
      <c r="C141" s="278" t="s">
        <v>122</v>
      </c>
      <c r="D141" s="278">
        <f>COUNTIF(Facility!D:D,B141)</f>
        <v>0</v>
      </c>
      <c r="E141" s="278">
        <f>SUMIFS(MC!M:M,MC!K:K,B141,MC!L:L,C141)</f>
        <v>0</v>
      </c>
      <c r="F141" s="278">
        <f>COUNTIF('W-WS'!D:D,B141)*9</f>
        <v>9</v>
      </c>
      <c r="G141" s="278">
        <f t="shared" si="15"/>
        <v>9</v>
      </c>
      <c r="H141" s="278"/>
      <c r="I141" s="279">
        <f>+INDEX(QDrop!$AX:$BD,MATCH(Mats!$B141,QDrop!$AX:$AX,0),MATCH(Mats!$C141,QDrop!$AX$1:$BD$1,0))</f>
        <v>12</v>
      </c>
      <c r="J141" s="261">
        <f>+SUMIFS(RR!G:G,RR!F:F,Mats!C141,RR!E:E,Mats!B141)</f>
        <v>0</v>
      </c>
      <c r="K141" s="279">
        <f>+SUMIFS(Endvr!K:K,Endvr!I:I,Mats!C141,Endvr!J:J,Mats!B141)</f>
        <v>0</v>
      </c>
      <c r="L141" s="280">
        <f t="shared" si="16"/>
        <v>3</v>
      </c>
      <c r="M141" s="282" t="s">
        <v>19259</v>
      </c>
      <c r="N141" s="68"/>
    </row>
    <row r="142" spans="1:14" x14ac:dyDescent="0.2">
      <c r="A142" s="286" t="s">
        <v>24226</v>
      </c>
      <c r="B142" s="278" t="s">
        <v>12662</v>
      </c>
      <c r="C142" s="278" t="s">
        <v>1103</v>
      </c>
      <c r="D142" s="278">
        <f>COUNTIF(Facility!D:D,B142)</f>
        <v>0</v>
      </c>
      <c r="E142" s="278">
        <f>SUMIFS(MC!M:M,MC!K:K,B142,MC!L:L,C142)</f>
        <v>0</v>
      </c>
      <c r="F142" s="278">
        <f>COUNTIF('W-WS'!D:D,B142)*9</f>
        <v>9</v>
      </c>
      <c r="G142" s="278">
        <f t="shared" si="15"/>
        <v>9</v>
      </c>
      <c r="H142" s="278"/>
      <c r="I142" s="279">
        <f>+INDEX(QDrop!$AX:$BD,MATCH(Mats!$B142,QDrop!$AX:$AX,0),MATCH(Mats!$C142,QDrop!$AX$1:$BD$1,0))</f>
        <v>12</v>
      </c>
      <c r="J142" s="261">
        <f>+SUMIFS(RR!G:G,RR!F:F,Mats!C142,RR!E:E,Mats!B142)</f>
        <v>0</v>
      </c>
      <c r="K142" s="279">
        <f>+SUMIFS(Endvr!K:K,Endvr!I:I,Mats!C142,Endvr!J:J,Mats!B142)</f>
        <v>0</v>
      </c>
      <c r="L142" s="280">
        <f t="shared" si="16"/>
        <v>3</v>
      </c>
      <c r="M142" s="282" t="s">
        <v>19259</v>
      </c>
      <c r="N142" s="68"/>
    </row>
    <row r="143" spans="1:14" x14ac:dyDescent="0.2">
      <c r="A143" s="286" t="s">
        <v>24228</v>
      </c>
      <c r="B143" s="278" t="s">
        <v>12662</v>
      </c>
      <c r="C143" s="278" t="s">
        <v>1947</v>
      </c>
      <c r="D143" s="278">
        <f>COUNTIF(Facility!D:D,B143)</f>
        <v>0</v>
      </c>
      <c r="E143" s="278">
        <f>SUMIFS(MC!M:M,MC!K:K,B143,MC!L:L,C143)</f>
        <v>0</v>
      </c>
      <c r="F143" s="278">
        <f>COUNTIF('W-WS'!D:D,B143)*9</f>
        <v>9</v>
      </c>
      <c r="G143" s="278">
        <f t="shared" si="15"/>
        <v>9</v>
      </c>
      <c r="H143" s="278"/>
      <c r="I143" s="279">
        <f>+INDEX(QDrop!$AX:$BD,MATCH(Mats!$B143,QDrop!$AX:$AX,0),MATCH(Mats!$C143,QDrop!$AX$1:$BD$1,0))</f>
        <v>12</v>
      </c>
      <c r="J143" s="261">
        <f>+SUMIFS(RR!G:G,RR!F:F,Mats!C143,RR!E:E,Mats!B143)</f>
        <v>0</v>
      </c>
      <c r="K143" s="279">
        <f>+SUMIFS(Endvr!K:K,Endvr!I:I,Mats!C143,Endvr!J:J,Mats!B143)</f>
        <v>0</v>
      </c>
      <c r="L143" s="280">
        <f t="shared" si="16"/>
        <v>3</v>
      </c>
      <c r="M143" s="282" t="s">
        <v>19259</v>
      </c>
      <c r="N143" s="68"/>
    </row>
    <row r="144" spans="1:14" x14ac:dyDescent="0.2">
      <c r="A144" s="286" t="s">
        <v>24230</v>
      </c>
      <c r="B144" s="278" t="s">
        <v>12662</v>
      </c>
      <c r="C144" s="278" t="s">
        <v>2837</v>
      </c>
      <c r="D144" s="278">
        <f>COUNTIF(Facility!D:D,B144)</f>
        <v>0</v>
      </c>
      <c r="E144" s="278">
        <f>SUMIFS(MC!M:M,MC!K:K,B144,MC!L:L,C144)</f>
        <v>0</v>
      </c>
      <c r="F144" s="278">
        <f>COUNTIF('W-WS'!D:D,B144)*9</f>
        <v>9</v>
      </c>
      <c r="G144" s="278">
        <f>D144+E144+F144</f>
        <v>9</v>
      </c>
      <c r="H144" s="278"/>
      <c r="I144" s="279">
        <f>+INDEX(QDrop!$AX:$BD,MATCH(Mats!$B144,QDrop!$AX:$AX,0),MATCH(Mats!$C144,QDrop!$AX$1:$BD$1,0))</f>
        <v>12</v>
      </c>
      <c r="J144" s="261">
        <f>+SUMIFS(RR!G:G,RR!F:F,Mats!C144,RR!E:E,Mats!B144)</f>
        <v>0</v>
      </c>
      <c r="K144" s="279">
        <f>+SUMIFS(Endvr!K:K,Endvr!I:I,Mats!C144,Endvr!J:J,Mats!B144)</f>
        <v>0</v>
      </c>
      <c r="L144" s="280">
        <f>SUM(I144:K144)-G144</f>
        <v>3</v>
      </c>
      <c r="M144" s="282" t="s">
        <v>19259</v>
      </c>
      <c r="N144" s="68"/>
    </row>
    <row r="145" spans="1:14" x14ac:dyDescent="0.2">
      <c r="A145" s="286" t="s">
        <v>24232</v>
      </c>
      <c r="B145" s="278" t="s">
        <v>12662</v>
      </c>
      <c r="C145" s="278" t="s">
        <v>3779</v>
      </c>
      <c r="D145" s="278">
        <f>COUNTIF(Facility!D:D,B145)</f>
        <v>0</v>
      </c>
      <c r="E145" s="278">
        <f>SUMIFS(MC!M:M,MC!K:K,B145,MC!L:L,C145)</f>
        <v>0</v>
      </c>
      <c r="F145" s="278">
        <f>COUNTIF('W-WS'!D:D,B145)*9</f>
        <v>9</v>
      </c>
      <c r="G145" s="278">
        <f>D145+E145+F145</f>
        <v>9</v>
      </c>
      <c r="H145" s="278"/>
      <c r="I145" s="279">
        <f>+INDEX(QDrop!$AX:$BD,MATCH(Mats!$B145,QDrop!$AX:$AX,0),MATCH(Mats!$C145,QDrop!$AX$1:$BD$1,0))</f>
        <v>12</v>
      </c>
      <c r="J145" s="261">
        <f>+SUMIFS(RR!G:G,RR!F:F,Mats!C145,RR!E:E,Mats!B145)</f>
        <v>0</v>
      </c>
      <c r="K145" s="279">
        <f>+SUMIFS(Endvr!K:K,Endvr!I:I,Mats!C145,Endvr!J:J,Mats!B145)</f>
        <v>0</v>
      </c>
      <c r="L145" s="280">
        <f>SUM(I145:K145)-G145</f>
        <v>3</v>
      </c>
      <c r="M145" s="282" t="s">
        <v>19259</v>
      </c>
      <c r="N145" s="68"/>
    </row>
    <row r="146" spans="1:14" x14ac:dyDescent="0.2">
      <c r="A146" s="286" t="s">
        <v>24118</v>
      </c>
      <c r="B146" s="278" t="s">
        <v>19598</v>
      </c>
      <c r="C146" s="278" t="s">
        <v>122</v>
      </c>
      <c r="D146" s="278">
        <f>COUNTIF(Facility!D:D,B146)</f>
        <v>14</v>
      </c>
      <c r="E146" s="278">
        <f>SUMIFS(MC!M:M,MC!K:K,B146,MC!L:L,C146)</f>
        <v>0</v>
      </c>
      <c r="F146" s="278">
        <f>COUNTIF('W-WS'!D:D,B146)*9</f>
        <v>0</v>
      </c>
      <c r="G146" s="278">
        <f t="shared" si="14"/>
        <v>14</v>
      </c>
      <c r="H146" s="278"/>
      <c r="I146" s="279">
        <f>+INDEX(QDrop!$AX:$BD,MATCH(Mats!$B146,QDrop!$AX:$AX,0),MATCH(Mats!$C146,QDrop!$AX$1:$BD$1,0))</f>
        <v>24</v>
      </c>
      <c r="J146" s="261">
        <f>+SUMIFS(RR!G:G,RR!F:F,Mats!C146,RR!E:E,Mats!B146)</f>
        <v>0</v>
      </c>
      <c r="K146" s="279">
        <f>+SUMIFS(Endvr!K:K,Endvr!I:I,Mats!C146,Endvr!J:J,Mats!B146)</f>
        <v>0</v>
      </c>
      <c r="L146" s="280">
        <f t="shared" si="11"/>
        <v>10</v>
      </c>
      <c r="M146" s="282" t="s">
        <v>19287</v>
      </c>
      <c r="N146" s="68"/>
    </row>
    <row r="147" spans="1:14" x14ac:dyDescent="0.2">
      <c r="A147" s="286" t="s">
        <v>24122</v>
      </c>
      <c r="B147" s="278" t="s">
        <v>19598</v>
      </c>
      <c r="C147" s="278" t="s">
        <v>1103</v>
      </c>
      <c r="D147" s="278">
        <f>COUNTIF(Facility!D:D,B147)</f>
        <v>14</v>
      </c>
      <c r="E147" s="278">
        <f>SUMIFS(MC!M:M,MC!K:K,B147,MC!L:L,C147)</f>
        <v>0</v>
      </c>
      <c r="F147" s="278">
        <f>COUNTIF('W-WS'!D:D,B147)*9</f>
        <v>0</v>
      </c>
      <c r="G147" s="278">
        <f t="shared" ref="G147:G163" si="17">D147+E147+F147</f>
        <v>14</v>
      </c>
      <c r="H147" s="278"/>
      <c r="I147" s="279">
        <f>+INDEX(QDrop!$AX:$BD,MATCH(Mats!$B147,QDrop!$AX:$AX,0),MATCH(Mats!$C147,QDrop!$AX$1:$BD$1,0))</f>
        <v>18</v>
      </c>
      <c r="J147" s="261">
        <f>+SUMIFS(RR!G:G,RR!F:F,Mats!C147,RR!E:E,Mats!B147)</f>
        <v>0</v>
      </c>
      <c r="K147" s="279">
        <f>+SUMIFS(Endvr!K:K,Endvr!I:I,Mats!C147,Endvr!J:J,Mats!B147)</f>
        <v>0</v>
      </c>
      <c r="L147" s="280">
        <f t="shared" ref="L147:L190" si="18">SUM(I147:K147)-G147</f>
        <v>4</v>
      </c>
      <c r="M147" s="282" t="s">
        <v>19287</v>
      </c>
      <c r="N147" s="68"/>
    </row>
    <row r="148" spans="1:14" x14ac:dyDescent="0.2">
      <c r="A148" s="286" t="s">
        <v>24126</v>
      </c>
      <c r="B148" s="278" t="s">
        <v>19598</v>
      </c>
      <c r="C148" s="278" t="s">
        <v>1947</v>
      </c>
      <c r="D148" s="278">
        <f>COUNTIF(Facility!D:D,B148)</f>
        <v>14</v>
      </c>
      <c r="E148" s="278">
        <f>SUMIFS(MC!M:M,MC!K:K,B148,MC!L:L,C148)</f>
        <v>0</v>
      </c>
      <c r="F148" s="278">
        <f>COUNTIF('W-WS'!D:D,B148)*9</f>
        <v>0</v>
      </c>
      <c r="G148" s="278">
        <f t="shared" si="17"/>
        <v>14</v>
      </c>
      <c r="H148" s="278"/>
      <c r="I148" s="279">
        <f>+INDEX(QDrop!$AX:$BD,MATCH(Mats!$B148,QDrop!$AX:$AX,0),MATCH(Mats!$C148,QDrop!$AX$1:$BD$1,0))</f>
        <v>24</v>
      </c>
      <c r="J148" s="261">
        <f>+SUMIFS(RR!G:G,RR!F:F,Mats!C148,RR!E:E,Mats!B148)</f>
        <v>0</v>
      </c>
      <c r="K148" s="279">
        <f>+SUMIFS(Endvr!K:K,Endvr!I:I,Mats!C148,Endvr!J:J,Mats!B148)</f>
        <v>0</v>
      </c>
      <c r="L148" s="280">
        <f t="shared" si="18"/>
        <v>10</v>
      </c>
      <c r="M148" s="282" t="s">
        <v>19287</v>
      </c>
      <c r="N148" s="68"/>
    </row>
    <row r="149" spans="1:14" x14ac:dyDescent="0.2">
      <c r="A149" s="286" t="s">
        <v>24130</v>
      </c>
      <c r="B149" s="278" t="s">
        <v>19598</v>
      </c>
      <c r="C149" s="278" t="s">
        <v>2837</v>
      </c>
      <c r="D149" s="278">
        <f>COUNTIF(Facility!D:D,B149)</f>
        <v>14</v>
      </c>
      <c r="E149" s="278">
        <f>SUMIFS(MC!M:M,MC!K:K,B149,MC!L:L,C149)</f>
        <v>0</v>
      </c>
      <c r="F149" s="278">
        <f>COUNTIF('W-WS'!D:D,B149)*9</f>
        <v>0</v>
      </c>
      <c r="G149" s="278">
        <f>D149+E149+F149</f>
        <v>14</v>
      </c>
      <c r="H149" s="278"/>
      <c r="I149" s="279">
        <f>+INDEX(QDrop!$AX:$BD,MATCH(Mats!$B149,QDrop!$AX:$AX,0),MATCH(Mats!$C149,QDrop!$AX$1:$BD$1,0))</f>
        <v>18</v>
      </c>
      <c r="J149" s="261">
        <f>+SUMIFS(RR!G:G,RR!F:F,Mats!C149,RR!E:E,Mats!B149)</f>
        <v>0</v>
      </c>
      <c r="K149" s="279">
        <f>+SUMIFS(Endvr!K:K,Endvr!I:I,Mats!C149,Endvr!J:J,Mats!B149)</f>
        <v>0</v>
      </c>
      <c r="L149" s="280">
        <f>SUM(I149:K149)-G149</f>
        <v>4</v>
      </c>
      <c r="M149" s="282" t="s">
        <v>19287</v>
      </c>
      <c r="N149" s="68"/>
    </row>
    <row r="150" spans="1:14" x14ac:dyDescent="0.2">
      <c r="A150" s="286" t="s">
        <v>24137</v>
      </c>
      <c r="B150" s="278" t="s">
        <v>19598</v>
      </c>
      <c r="C150" s="278" t="s">
        <v>3779</v>
      </c>
      <c r="D150" s="278">
        <f>COUNTIF(Facility!D:D,B150)</f>
        <v>14</v>
      </c>
      <c r="E150" s="278">
        <f>SUMIFS(MC!M:M,MC!K:K,B150,MC!L:L,C150)</f>
        <v>0</v>
      </c>
      <c r="F150" s="278">
        <f>COUNTIF('W-WS'!D:D,B150)*9</f>
        <v>0</v>
      </c>
      <c r="G150" s="278">
        <f>D150+E150+F150</f>
        <v>14</v>
      </c>
      <c r="H150" s="278"/>
      <c r="I150" s="279">
        <f>+INDEX(QDrop!$AX:$BD,MATCH(Mats!$B150,QDrop!$AX:$AX,0),MATCH(Mats!$C150,QDrop!$AX$1:$BD$1,0))</f>
        <v>18</v>
      </c>
      <c r="J150" s="261">
        <f>+SUMIFS(RR!G:G,RR!F:F,Mats!C150,RR!E:E,Mats!B150)</f>
        <v>0</v>
      </c>
      <c r="K150" s="279">
        <f>+SUMIFS(Endvr!K:K,Endvr!I:I,Mats!C150,Endvr!J:J,Mats!B150)</f>
        <v>0</v>
      </c>
      <c r="L150" s="280">
        <f>SUM(I150:K150)-G150</f>
        <v>4</v>
      </c>
      <c r="M150" s="282" t="s">
        <v>19287</v>
      </c>
      <c r="N150" s="68"/>
    </row>
    <row r="151" spans="1:14" x14ac:dyDescent="0.2">
      <c r="A151" s="286" t="s">
        <v>24119</v>
      </c>
      <c r="B151" s="278" t="s">
        <v>11597</v>
      </c>
      <c r="C151" s="278" t="s">
        <v>122</v>
      </c>
      <c r="D151" s="278">
        <f>COUNTIF(Facility!D:D,B151)</f>
        <v>10</v>
      </c>
      <c r="E151" s="278">
        <f>SUMIFS(MC!M:M,MC!K:K,B151,MC!L:L,C151)</f>
        <v>0</v>
      </c>
      <c r="F151" s="278">
        <f>COUNTIF('W-WS'!D:D,B151)*9</f>
        <v>9</v>
      </c>
      <c r="G151" s="278">
        <f t="shared" si="17"/>
        <v>19</v>
      </c>
      <c r="H151" s="278"/>
      <c r="I151" s="279">
        <f>+INDEX(QDrop!$AX:$BD,MATCH(Mats!$B151,QDrop!$AX:$AX,0),MATCH(Mats!$C151,QDrop!$AX$1:$BD$1,0))</f>
        <v>24</v>
      </c>
      <c r="J151" s="261">
        <f>+SUMIFS(RR!G:G,RR!F:F,Mats!C151,RR!E:E,Mats!B151)</f>
        <v>0</v>
      </c>
      <c r="K151" s="279">
        <f>+SUMIFS(Endvr!K:K,Endvr!I:I,Mats!C151,Endvr!J:J,Mats!B151)</f>
        <v>0</v>
      </c>
      <c r="L151" s="280">
        <f t="shared" si="18"/>
        <v>5</v>
      </c>
      <c r="M151" s="282" t="s">
        <v>19287</v>
      </c>
      <c r="N151" s="68"/>
    </row>
    <row r="152" spans="1:14" x14ac:dyDescent="0.2">
      <c r="A152" s="286" t="s">
        <v>24123</v>
      </c>
      <c r="B152" s="278" t="s">
        <v>11597</v>
      </c>
      <c r="C152" s="278" t="s">
        <v>1103</v>
      </c>
      <c r="D152" s="278">
        <f>COUNTIF(Facility!D:D,B152)</f>
        <v>10</v>
      </c>
      <c r="E152" s="278">
        <f>SUMIFS(MC!M:M,MC!K:K,B152,MC!L:L,C152)</f>
        <v>0</v>
      </c>
      <c r="F152" s="278">
        <f>COUNTIF('W-WS'!D:D,B152)*9</f>
        <v>9</v>
      </c>
      <c r="G152" s="278">
        <f t="shared" si="17"/>
        <v>19</v>
      </c>
      <c r="H152" s="278"/>
      <c r="I152" s="279">
        <f>+INDEX(QDrop!$AX:$BD,MATCH(Mats!$B152,QDrop!$AX:$AX,0),MATCH(Mats!$C152,QDrop!$AX$1:$BD$1,0))</f>
        <v>24</v>
      </c>
      <c r="J152" s="261">
        <f>+SUMIFS(RR!G:G,RR!F:F,Mats!C152,RR!E:E,Mats!B152)</f>
        <v>0</v>
      </c>
      <c r="K152" s="279">
        <f>+SUMIFS(Endvr!K:K,Endvr!I:I,Mats!C152,Endvr!J:J,Mats!B152)</f>
        <v>0</v>
      </c>
      <c r="L152" s="280">
        <f t="shared" si="18"/>
        <v>5</v>
      </c>
      <c r="M152" s="282" t="s">
        <v>19287</v>
      </c>
      <c r="N152" s="68"/>
    </row>
    <row r="153" spans="1:14" x14ac:dyDescent="0.2">
      <c r="A153" s="286" t="s">
        <v>24127</v>
      </c>
      <c r="B153" s="278" t="s">
        <v>11597</v>
      </c>
      <c r="C153" s="278" t="s">
        <v>1947</v>
      </c>
      <c r="D153" s="278">
        <f>COUNTIF(Facility!D:D,B153)</f>
        <v>10</v>
      </c>
      <c r="E153" s="278">
        <f>SUMIFS(MC!M:M,MC!K:K,B153,MC!L:L,C153)</f>
        <v>0</v>
      </c>
      <c r="F153" s="278">
        <f>COUNTIF('W-WS'!D:D,B153)*9</f>
        <v>9</v>
      </c>
      <c r="G153" s="278">
        <f t="shared" si="17"/>
        <v>19</v>
      </c>
      <c r="H153" s="278"/>
      <c r="I153" s="279">
        <f>+INDEX(QDrop!$AX:$BD,MATCH(Mats!$B153,QDrop!$AX:$AX,0),MATCH(Mats!$C153,QDrop!$AX$1:$BD$1,0))</f>
        <v>24</v>
      </c>
      <c r="J153" s="261">
        <f>+SUMIFS(RR!G:G,RR!F:F,Mats!C153,RR!E:E,Mats!B153)</f>
        <v>0</v>
      </c>
      <c r="K153" s="279">
        <f>+SUMIFS(Endvr!K:K,Endvr!I:I,Mats!C153,Endvr!J:J,Mats!B153)</f>
        <v>0</v>
      </c>
      <c r="L153" s="280">
        <f t="shared" si="18"/>
        <v>5</v>
      </c>
      <c r="M153" s="282" t="s">
        <v>19287</v>
      </c>
      <c r="N153" s="68"/>
    </row>
    <row r="154" spans="1:14" x14ac:dyDescent="0.2">
      <c r="A154" s="286" t="s">
        <v>24131</v>
      </c>
      <c r="B154" s="278" t="s">
        <v>11597</v>
      </c>
      <c r="C154" s="278" t="s">
        <v>2837</v>
      </c>
      <c r="D154" s="278">
        <f>COUNTIF(Facility!D:D,B154)</f>
        <v>10</v>
      </c>
      <c r="E154" s="278">
        <f>SUMIFS(MC!M:M,MC!K:K,B154,MC!L:L,C154)</f>
        <v>0</v>
      </c>
      <c r="F154" s="278">
        <f>COUNTIF('W-WS'!D:D,B154)*9</f>
        <v>9</v>
      </c>
      <c r="G154" s="278">
        <f>D154+E154+F154</f>
        <v>19</v>
      </c>
      <c r="H154" s="278"/>
      <c r="I154" s="279">
        <f>+INDEX(QDrop!$AX:$BD,MATCH(Mats!$B154,QDrop!$AX:$AX,0),MATCH(Mats!$C154,QDrop!$AX$1:$BD$1,0))</f>
        <v>24</v>
      </c>
      <c r="J154" s="261">
        <f>+SUMIFS(RR!G:G,RR!F:F,Mats!C154,RR!E:E,Mats!B154)</f>
        <v>0</v>
      </c>
      <c r="K154" s="279">
        <f>+SUMIFS(Endvr!K:K,Endvr!I:I,Mats!C154,Endvr!J:J,Mats!B154)</f>
        <v>0</v>
      </c>
      <c r="L154" s="280">
        <f>SUM(I154:K154)-G154</f>
        <v>5</v>
      </c>
      <c r="M154" s="282" t="s">
        <v>19287</v>
      </c>
      <c r="N154" s="68"/>
    </row>
    <row r="155" spans="1:14" x14ac:dyDescent="0.2">
      <c r="A155" s="286" t="s">
        <v>24136</v>
      </c>
      <c r="B155" s="278" t="s">
        <v>11597</v>
      </c>
      <c r="C155" s="278" t="s">
        <v>3779</v>
      </c>
      <c r="D155" s="278">
        <f>COUNTIF(Facility!D:D,B155)</f>
        <v>10</v>
      </c>
      <c r="E155" s="278">
        <f>SUMIFS(MC!M:M,MC!K:K,B155,MC!L:L,C155)</f>
        <v>0</v>
      </c>
      <c r="F155" s="278">
        <f>COUNTIF('W-WS'!D:D,B155)*9</f>
        <v>9</v>
      </c>
      <c r="G155" s="278">
        <f>D155+E155+F155</f>
        <v>19</v>
      </c>
      <c r="H155" s="278"/>
      <c r="I155" s="279">
        <f>+INDEX(QDrop!$AX:$BD,MATCH(Mats!$B155,QDrop!$AX:$AX,0),MATCH(Mats!$C155,QDrop!$AX$1:$BD$1,0))</f>
        <v>24</v>
      </c>
      <c r="J155" s="261">
        <f>+SUMIFS(RR!G:G,RR!F:F,Mats!C155,RR!E:E,Mats!B155)</f>
        <v>0</v>
      </c>
      <c r="K155" s="279">
        <f>+SUMIFS(Endvr!K:K,Endvr!I:I,Mats!C155,Endvr!J:J,Mats!B155)</f>
        <v>0</v>
      </c>
      <c r="L155" s="280">
        <f>SUM(I155:K155)-G155</f>
        <v>5</v>
      </c>
      <c r="M155" s="282" t="s">
        <v>19287</v>
      </c>
      <c r="N155" s="68"/>
    </row>
    <row r="156" spans="1:14" x14ac:dyDescent="0.2">
      <c r="A156" s="286" t="s">
        <v>24120</v>
      </c>
      <c r="B156" s="278" t="s">
        <v>12693</v>
      </c>
      <c r="C156" s="278" t="s">
        <v>122</v>
      </c>
      <c r="D156" s="278">
        <f>COUNTIF(Facility!D:D,B156)</f>
        <v>5</v>
      </c>
      <c r="E156" s="278">
        <f>SUMIFS(MC!M:M,MC!K:K,B156,MC!L:L,C156)</f>
        <v>0</v>
      </c>
      <c r="F156" s="278">
        <f>COUNTIF('W-WS'!D:D,B156)*9</f>
        <v>9</v>
      </c>
      <c r="G156" s="278">
        <f t="shared" si="17"/>
        <v>14</v>
      </c>
      <c r="H156" s="278"/>
      <c r="I156" s="279">
        <f>+INDEX(QDrop!$AX:$BD,MATCH(Mats!$B156,QDrop!$AX:$AX,0),MATCH(Mats!$C156,QDrop!$AX$1:$BD$1,0))</f>
        <v>18</v>
      </c>
      <c r="J156" s="261">
        <f>+SUMIFS(RR!G:G,RR!F:F,Mats!C156,RR!E:E,Mats!B156)</f>
        <v>0</v>
      </c>
      <c r="K156" s="279">
        <f>+SUMIFS(Endvr!K:K,Endvr!I:I,Mats!C156,Endvr!J:J,Mats!B156)</f>
        <v>0</v>
      </c>
      <c r="L156" s="280">
        <f t="shared" si="18"/>
        <v>4</v>
      </c>
      <c r="M156" s="282" t="s">
        <v>19287</v>
      </c>
      <c r="N156" s="68"/>
    </row>
    <row r="157" spans="1:14" x14ac:dyDescent="0.2">
      <c r="A157" s="286" t="s">
        <v>24124</v>
      </c>
      <c r="B157" s="278" t="s">
        <v>12693</v>
      </c>
      <c r="C157" s="278" t="s">
        <v>1103</v>
      </c>
      <c r="D157" s="278">
        <f>COUNTIF(Facility!D:D,B157)</f>
        <v>5</v>
      </c>
      <c r="E157" s="278">
        <f>SUMIFS(MC!M:M,MC!K:K,B157,MC!L:L,C157)</f>
        <v>0</v>
      </c>
      <c r="F157" s="278">
        <f>COUNTIF('W-WS'!D:D,B157)*9</f>
        <v>9</v>
      </c>
      <c r="G157" s="278">
        <f t="shared" si="17"/>
        <v>14</v>
      </c>
      <c r="H157" s="278"/>
      <c r="I157" s="279">
        <f>+INDEX(QDrop!$AX:$BD,MATCH(Mats!$B157,QDrop!$AX:$AX,0),MATCH(Mats!$C157,QDrop!$AX$1:$BD$1,0))</f>
        <v>18</v>
      </c>
      <c r="J157" s="261">
        <f>+SUMIFS(RR!G:G,RR!F:F,Mats!C157,RR!E:E,Mats!B157)</f>
        <v>0</v>
      </c>
      <c r="K157" s="279">
        <f>+SUMIFS(Endvr!K:K,Endvr!I:I,Mats!C157,Endvr!J:J,Mats!B157)</f>
        <v>0</v>
      </c>
      <c r="L157" s="280">
        <f t="shared" si="18"/>
        <v>4</v>
      </c>
      <c r="M157" s="282" t="s">
        <v>19287</v>
      </c>
      <c r="N157" s="68"/>
    </row>
    <row r="158" spans="1:14" x14ac:dyDescent="0.2">
      <c r="A158" s="286" t="s">
        <v>24128</v>
      </c>
      <c r="B158" s="278" t="s">
        <v>12693</v>
      </c>
      <c r="C158" s="278" t="s">
        <v>1947</v>
      </c>
      <c r="D158" s="278">
        <f>COUNTIF(Facility!D:D,B158)</f>
        <v>5</v>
      </c>
      <c r="E158" s="278">
        <f>SUMIFS(MC!M:M,MC!K:K,B158,MC!L:L,C158)</f>
        <v>0</v>
      </c>
      <c r="F158" s="278">
        <f>COUNTIF('W-WS'!D:D,B158)*9</f>
        <v>9</v>
      </c>
      <c r="G158" s="278">
        <f t="shared" si="17"/>
        <v>14</v>
      </c>
      <c r="H158" s="278"/>
      <c r="I158" s="279">
        <f>+INDEX(QDrop!$AX:$BD,MATCH(Mats!$B158,QDrop!$AX:$AX,0),MATCH(Mats!$C158,QDrop!$AX$1:$BD$1,0))</f>
        <v>18</v>
      </c>
      <c r="J158" s="261">
        <f>+SUMIFS(RR!G:G,RR!F:F,Mats!C158,RR!E:E,Mats!B158)</f>
        <v>0</v>
      </c>
      <c r="K158" s="279">
        <f>+SUMIFS(Endvr!K:K,Endvr!I:I,Mats!C158,Endvr!J:J,Mats!B158)</f>
        <v>0</v>
      </c>
      <c r="L158" s="280">
        <f t="shared" si="18"/>
        <v>4</v>
      </c>
      <c r="M158" s="282" t="s">
        <v>19287</v>
      </c>
      <c r="N158" s="68"/>
    </row>
    <row r="159" spans="1:14" x14ac:dyDescent="0.2">
      <c r="A159" s="286" t="s">
        <v>24132</v>
      </c>
      <c r="B159" s="278" t="s">
        <v>12693</v>
      </c>
      <c r="C159" s="278" t="s">
        <v>2837</v>
      </c>
      <c r="D159" s="278">
        <f>COUNTIF(Facility!D:D,B159)</f>
        <v>5</v>
      </c>
      <c r="E159" s="278">
        <f>SUMIFS(MC!M:M,MC!K:K,B159,MC!L:L,C159)</f>
        <v>0</v>
      </c>
      <c r="F159" s="278">
        <f>COUNTIF('W-WS'!D:D,B159)*9</f>
        <v>9</v>
      </c>
      <c r="G159" s="278">
        <f>D159+E159+F159</f>
        <v>14</v>
      </c>
      <c r="H159" s="278"/>
      <c r="I159" s="279">
        <f>+INDEX(QDrop!$AX:$BD,MATCH(Mats!$B159,QDrop!$AX:$AX,0),MATCH(Mats!$C159,QDrop!$AX$1:$BD$1,0))</f>
        <v>18</v>
      </c>
      <c r="J159" s="261">
        <f>+SUMIFS(RR!G:G,RR!F:F,Mats!C159,RR!E:E,Mats!B159)</f>
        <v>0</v>
      </c>
      <c r="K159" s="279">
        <f>+SUMIFS(Endvr!K:K,Endvr!I:I,Mats!C159,Endvr!J:J,Mats!B159)</f>
        <v>0</v>
      </c>
      <c r="L159" s="280">
        <f>SUM(I159:K159)-G159</f>
        <v>4</v>
      </c>
      <c r="M159" s="282" t="s">
        <v>19287</v>
      </c>
      <c r="N159" s="68"/>
    </row>
    <row r="160" spans="1:14" x14ac:dyDescent="0.2">
      <c r="A160" s="286" t="s">
        <v>24135</v>
      </c>
      <c r="B160" s="278" t="s">
        <v>12693</v>
      </c>
      <c r="C160" s="278" t="s">
        <v>3779</v>
      </c>
      <c r="D160" s="278">
        <f>COUNTIF(Facility!D:D,B160)</f>
        <v>5</v>
      </c>
      <c r="E160" s="278">
        <f>SUMIFS(MC!M:M,MC!K:K,B160,MC!L:L,C160)</f>
        <v>0</v>
      </c>
      <c r="F160" s="278">
        <f>COUNTIF('W-WS'!D:D,B160)*9</f>
        <v>9</v>
      </c>
      <c r="G160" s="278">
        <f>D160+E160+F160</f>
        <v>14</v>
      </c>
      <c r="H160" s="278"/>
      <c r="I160" s="279">
        <f>+INDEX(QDrop!$AX:$BD,MATCH(Mats!$B160,QDrop!$AX:$AX,0),MATCH(Mats!$C160,QDrop!$AX$1:$BD$1,0))</f>
        <v>18</v>
      </c>
      <c r="J160" s="261">
        <f>+SUMIFS(RR!G:G,RR!F:F,Mats!C160,RR!E:E,Mats!B160)</f>
        <v>0</v>
      </c>
      <c r="K160" s="279">
        <f>+SUMIFS(Endvr!K:K,Endvr!I:I,Mats!C160,Endvr!J:J,Mats!B160)</f>
        <v>0</v>
      </c>
      <c r="L160" s="280">
        <f>SUM(I160:K160)-G160</f>
        <v>4</v>
      </c>
      <c r="M160" s="282" t="s">
        <v>19287</v>
      </c>
      <c r="N160" s="68"/>
    </row>
    <row r="161" spans="1:14" x14ac:dyDescent="0.2">
      <c r="A161" s="286" t="s">
        <v>24121</v>
      </c>
      <c r="B161" s="278" t="s">
        <v>12665</v>
      </c>
      <c r="C161" s="278" t="s">
        <v>122</v>
      </c>
      <c r="D161" s="278">
        <f>COUNTIF(Facility!D:D,B161)</f>
        <v>0</v>
      </c>
      <c r="E161" s="278">
        <f>SUMIFS(MC!M:M,MC!K:K,B161,MC!L:L,C161)</f>
        <v>0</v>
      </c>
      <c r="F161" s="278">
        <f>COUNTIF('W-WS'!D:D,B161)*9</f>
        <v>9</v>
      </c>
      <c r="G161" s="278">
        <f t="shared" si="17"/>
        <v>9</v>
      </c>
      <c r="H161" s="278"/>
      <c r="I161" s="279">
        <f>+INDEX(QDrop!$AX:$BD,MATCH(Mats!$B161,QDrop!$AX:$AX,0),MATCH(Mats!$C161,QDrop!$AX$1:$BD$1,0))</f>
        <v>9</v>
      </c>
      <c r="J161" s="261">
        <f>+SUMIFS(RR!G:G,RR!F:F,Mats!C161,RR!E:E,Mats!B161)</f>
        <v>0</v>
      </c>
      <c r="K161" s="279">
        <f>+SUMIFS(Endvr!K:K,Endvr!I:I,Mats!C161,Endvr!J:J,Mats!B161)</f>
        <v>0</v>
      </c>
      <c r="L161" s="280">
        <f t="shared" si="18"/>
        <v>0</v>
      </c>
      <c r="M161" s="282" t="s">
        <v>19287</v>
      </c>
      <c r="N161" s="68"/>
    </row>
    <row r="162" spans="1:14" x14ac:dyDescent="0.2">
      <c r="A162" s="286" t="s">
        <v>24125</v>
      </c>
      <c r="B162" s="278" t="s">
        <v>12665</v>
      </c>
      <c r="C162" s="278" t="s">
        <v>1103</v>
      </c>
      <c r="D162" s="278">
        <f>COUNTIF(Facility!D:D,B162)</f>
        <v>0</v>
      </c>
      <c r="E162" s="278">
        <f>SUMIFS(MC!M:M,MC!K:K,B162,MC!L:L,C162)</f>
        <v>0</v>
      </c>
      <c r="F162" s="278">
        <f>COUNTIF('W-WS'!D:D,B162)*9</f>
        <v>9</v>
      </c>
      <c r="G162" s="278">
        <f t="shared" si="17"/>
        <v>9</v>
      </c>
      <c r="H162" s="278"/>
      <c r="I162" s="279">
        <f>+INDEX(QDrop!$AX:$BD,MATCH(Mats!$B162,QDrop!$AX:$AX,0),MATCH(Mats!$C162,QDrop!$AX$1:$BD$1,0))</f>
        <v>9</v>
      </c>
      <c r="J162" s="261">
        <f>+SUMIFS(RR!G:G,RR!F:F,Mats!C162,RR!E:E,Mats!B162)</f>
        <v>0</v>
      </c>
      <c r="K162" s="279">
        <f>+SUMIFS(Endvr!K:K,Endvr!I:I,Mats!C162,Endvr!J:J,Mats!B162)</f>
        <v>0</v>
      </c>
      <c r="L162" s="280">
        <f t="shared" si="18"/>
        <v>0</v>
      </c>
      <c r="M162" s="282" t="s">
        <v>19287</v>
      </c>
      <c r="N162" s="68"/>
    </row>
    <row r="163" spans="1:14" x14ac:dyDescent="0.2">
      <c r="A163" s="286" t="s">
        <v>24129</v>
      </c>
      <c r="B163" s="278" t="s">
        <v>12665</v>
      </c>
      <c r="C163" s="278" t="s">
        <v>1947</v>
      </c>
      <c r="D163" s="278">
        <f>COUNTIF(Facility!D:D,B163)</f>
        <v>0</v>
      </c>
      <c r="E163" s="278">
        <f>SUMIFS(MC!M:M,MC!K:K,B163,MC!L:L,C163)</f>
        <v>0</v>
      </c>
      <c r="F163" s="278">
        <f>COUNTIF('W-WS'!D:D,B163)*9</f>
        <v>9</v>
      </c>
      <c r="G163" s="278">
        <f t="shared" si="17"/>
        <v>9</v>
      </c>
      <c r="H163" s="278"/>
      <c r="I163" s="279">
        <f>+INDEX(QDrop!$AX:$BD,MATCH(Mats!$B163,QDrop!$AX:$AX,0),MATCH(Mats!$C163,QDrop!$AX$1:$BD$1,0))</f>
        <v>9</v>
      </c>
      <c r="J163" s="261">
        <f>+SUMIFS(RR!G:G,RR!F:F,Mats!C163,RR!E:E,Mats!B163)</f>
        <v>0</v>
      </c>
      <c r="K163" s="279">
        <f>+SUMIFS(Endvr!K:K,Endvr!I:I,Mats!C163,Endvr!J:J,Mats!B163)</f>
        <v>0</v>
      </c>
      <c r="L163" s="280">
        <f t="shared" si="18"/>
        <v>0</v>
      </c>
      <c r="M163" s="282" t="s">
        <v>19287</v>
      </c>
      <c r="N163" s="68"/>
    </row>
    <row r="164" spans="1:14" x14ac:dyDescent="0.2">
      <c r="A164" s="286" t="s">
        <v>24133</v>
      </c>
      <c r="B164" s="278" t="s">
        <v>12665</v>
      </c>
      <c r="C164" s="278" t="s">
        <v>2837</v>
      </c>
      <c r="D164" s="278">
        <f>COUNTIF(Facility!D:D,B164)</f>
        <v>0</v>
      </c>
      <c r="E164" s="278">
        <f>SUMIFS(MC!M:M,MC!K:K,B164,MC!L:L,C164)</f>
        <v>0</v>
      </c>
      <c r="F164" s="278">
        <f>COUNTIF('W-WS'!D:D,B164)*9</f>
        <v>9</v>
      </c>
      <c r="G164" s="278">
        <f>D164+E164+F164</f>
        <v>9</v>
      </c>
      <c r="H164" s="278"/>
      <c r="I164" s="279">
        <f>+INDEX(QDrop!$AX:$BD,MATCH(Mats!$B164,QDrop!$AX:$AX,0),MATCH(Mats!$C164,QDrop!$AX$1:$BD$1,0))</f>
        <v>9</v>
      </c>
      <c r="J164" s="261">
        <f>+SUMIFS(RR!G:G,RR!F:F,Mats!C164,RR!E:E,Mats!B164)</f>
        <v>0</v>
      </c>
      <c r="K164" s="279">
        <f>+SUMIFS(Endvr!K:K,Endvr!I:I,Mats!C164,Endvr!J:J,Mats!B164)</f>
        <v>0</v>
      </c>
      <c r="L164" s="280">
        <f>SUM(I164:K164)-G164</f>
        <v>0</v>
      </c>
      <c r="M164" s="282" t="s">
        <v>19287</v>
      </c>
      <c r="N164" s="68"/>
    </row>
    <row r="165" spans="1:14" x14ac:dyDescent="0.2">
      <c r="A165" s="286" t="s">
        <v>24134</v>
      </c>
      <c r="B165" s="278" t="s">
        <v>12665</v>
      </c>
      <c r="C165" s="278" t="s">
        <v>3779</v>
      </c>
      <c r="D165" s="278">
        <f>COUNTIF(Facility!D:D,B165)</f>
        <v>0</v>
      </c>
      <c r="E165" s="278">
        <f>SUMIFS(MC!M:M,MC!K:K,B165,MC!L:L,C165)</f>
        <v>0</v>
      </c>
      <c r="F165" s="278">
        <f>COUNTIF('W-WS'!D:D,B165)*9</f>
        <v>9</v>
      </c>
      <c r="G165" s="278">
        <f>D165+E165+F165</f>
        <v>9</v>
      </c>
      <c r="H165" s="278"/>
      <c r="I165" s="279">
        <f>+INDEX(QDrop!$AX:$BD,MATCH(Mats!$B165,QDrop!$AX:$AX,0),MATCH(Mats!$C165,QDrop!$AX$1:$BD$1,0))</f>
        <v>9</v>
      </c>
      <c r="J165" s="261">
        <f>+SUMIFS(RR!G:G,RR!F:F,Mats!C165,RR!E:E,Mats!B165)</f>
        <v>0</v>
      </c>
      <c r="K165" s="279">
        <f>+SUMIFS(Endvr!K:K,Endvr!I:I,Mats!C165,Endvr!J:J,Mats!B165)</f>
        <v>0</v>
      </c>
      <c r="L165" s="280">
        <f>SUM(I165:K165)-G165</f>
        <v>0</v>
      </c>
      <c r="M165" s="282" t="s">
        <v>19287</v>
      </c>
      <c r="N165" s="68"/>
    </row>
    <row r="166" spans="1:14" x14ac:dyDescent="0.2">
      <c r="A166" s="286" t="s">
        <v>24138</v>
      </c>
      <c r="B166" s="278" t="s">
        <v>12649</v>
      </c>
      <c r="C166" s="278" t="s">
        <v>122</v>
      </c>
      <c r="D166" s="278">
        <f>COUNTIF(Facility!D:D,B166)</f>
        <v>0</v>
      </c>
      <c r="E166" s="278">
        <f>SUMIFS(MC!M:M,MC!K:K,B166,MC!L:L,C166)</f>
        <v>0</v>
      </c>
      <c r="F166" s="278">
        <f>COUNTIF('W-WS'!D:D,B166)*9</f>
        <v>18</v>
      </c>
      <c r="G166" s="278">
        <f t="shared" ref="G166:G173" si="19">D166+E166+F166</f>
        <v>18</v>
      </c>
      <c r="H166" s="278"/>
      <c r="I166" s="279">
        <f>+INDEX(QDrop!$AX:$BD,MATCH(Mats!$B166,QDrop!$AX:$AX,0),MATCH(Mats!$C166,QDrop!$AX$1:$BD$1,0))</f>
        <v>28</v>
      </c>
      <c r="J166" s="261">
        <f>+SUMIFS(RR!G:G,RR!F:F,Mats!C166,RR!E:E,Mats!B166)</f>
        <v>0</v>
      </c>
      <c r="K166" s="279">
        <f>+SUMIFS(Endvr!K:K,Endvr!I:I,Mats!C166,Endvr!J:J,Mats!B166)</f>
        <v>0</v>
      </c>
      <c r="L166" s="280">
        <f t="shared" ref="L166:L173" si="20">SUM(I166:K166)-G166</f>
        <v>10</v>
      </c>
      <c r="M166" s="282" t="s">
        <v>13844</v>
      </c>
      <c r="N166" s="68"/>
    </row>
    <row r="167" spans="1:14" x14ac:dyDescent="0.2">
      <c r="A167" s="286" t="s">
        <v>24140</v>
      </c>
      <c r="B167" s="278" t="s">
        <v>12649</v>
      </c>
      <c r="C167" s="278" t="s">
        <v>1103</v>
      </c>
      <c r="D167" s="278">
        <f>COUNTIF(Facility!D:D,B167)</f>
        <v>0</v>
      </c>
      <c r="E167" s="278">
        <f>SUMIFS(MC!M:M,MC!K:K,B167,MC!L:L,C167)</f>
        <v>0</v>
      </c>
      <c r="F167" s="278">
        <f>COUNTIF('W-WS'!D:D,B167)*9</f>
        <v>18</v>
      </c>
      <c r="G167" s="278">
        <f t="shared" si="19"/>
        <v>18</v>
      </c>
      <c r="H167" s="278"/>
      <c r="I167" s="279">
        <f>+INDEX(QDrop!$AX:$BD,MATCH(Mats!$B167,QDrop!$AX:$AX,0),MATCH(Mats!$C167,QDrop!$AX$1:$BD$1,0))</f>
        <v>28</v>
      </c>
      <c r="J167" s="261">
        <f>+SUMIFS(RR!G:G,RR!F:F,Mats!C167,RR!E:E,Mats!B167)</f>
        <v>0</v>
      </c>
      <c r="K167" s="279">
        <f>+SUMIFS(Endvr!K:K,Endvr!I:I,Mats!C167,Endvr!J:J,Mats!B167)</f>
        <v>0</v>
      </c>
      <c r="L167" s="280">
        <f t="shared" si="20"/>
        <v>10</v>
      </c>
      <c r="M167" s="282" t="s">
        <v>13844</v>
      </c>
      <c r="N167" s="68"/>
    </row>
    <row r="168" spans="1:14" x14ac:dyDescent="0.2">
      <c r="A168" s="286" t="s">
        <v>24142</v>
      </c>
      <c r="B168" s="278" t="s">
        <v>12649</v>
      </c>
      <c r="C168" s="278" t="s">
        <v>1947</v>
      </c>
      <c r="D168" s="278">
        <f>COUNTIF(Facility!D:D,B168)</f>
        <v>0</v>
      </c>
      <c r="E168" s="278">
        <f>SUMIFS(MC!M:M,MC!K:K,B168,MC!L:L,C168)</f>
        <v>0</v>
      </c>
      <c r="F168" s="278">
        <f>COUNTIF('W-WS'!D:D,B168)*9</f>
        <v>18</v>
      </c>
      <c r="G168" s="278">
        <f t="shared" si="19"/>
        <v>18</v>
      </c>
      <c r="H168" s="278"/>
      <c r="I168" s="279">
        <f>+INDEX(QDrop!$AX:$BD,MATCH(Mats!$B168,QDrop!$AX:$AX,0),MATCH(Mats!$C168,QDrop!$AX$1:$BD$1,0))</f>
        <v>24</v>
      </c>
      <c r="J168" s="261">
        <f>+SUMIFS(RR!G:G,RR!F:F,Mats!C168,RR!E:E,Mats!B168)</f>
        <v>0</v>
      </c>
      <c r="K168" s="279">
        <f>+SUMIFS(Endvr!K:K,Endvr!I:I,Mats!C168,Endvr!J:J,Mats!B168)</f>
        <v>0</v>
      </c>
      <c r="L168" s="280">
        <f t="shared" si="20"/>
        <v>6</v>
      </c>
      <c r="M168" s="282" t="s">
        <v>13844</v>
      </c>
      <c r="N168" s="68"/>
    </row>
    <row r="169" spans="1:14" x14ac:dyDescent="0.2">
      <c r="A169" s="286" t="s">
        <v>24144</v>
      </c>
      <c r="B169" s="278" t="s">
        <v>12649</v>
      </c>
      <c r="C169" s="278" t="s">
        <v>2837</v>
      </c>
      <c r="D169" s="278">
        <f>COUNTIF(Facility!D:D,B169)</f>
        <v>0</v>
      </c>
      <c r="E169" s="278">
        <f>SUMIFS(MC!M:M,MC!K:K,B169,MC!L:L,C169)</f>
        <v>0</v>
      </c>
      <c r="F169" s="278">
        <f>COUNTIF('W-WS'!D:D,B169)*9</f>
        <v>18</v>
      </c>
      <c r="G169" s="278">
        <f>D169+E169+F169</f>
        <v>18</v>
      </c>
      <c r="H169" s="278"/>
      <c r="I169" s="279">
        <f>+INDEX(QDrop!$AX:$BD,MATCH(Mats!$B169,QDrop!$AX:$AX,0),MATCH(Mats!$C169,QDrop!$AX$1:$BD$1,0))</f>
        <v>24</v>
      </c>
      <c r="J169" s="261">
        <f>+SUMIFS(RR!G:G,RR!F:F,Mats!C169,RR!E:E,Mats!B169)</f>
        <v>0</v>
      </c>
      <c r="K169" s="279">
        <f>+SUMIFS(Endvr!K:K,Endvr!I:I,Mats!C169,Endvr!J:J,Mats!B169)</f>
        <v>0</v>
      </c>
      <c r="L169" s="280">
        <f>SUM(I169:K169)-G169</f>
        <v>6</v>
      </c>
      <c r="M169" s="282" t="s">
        <v>13844</v>
      </c>
      <c r="N169" s="68"/>
    </row>
    <row r="170" spans="1:14" x14ac:dyDescent="0.2">
      <c r="A170" s="286" t="s">
        <v>24146</v>
      </c>
      <c r="B170" s="278" t="s">
        <v>12649</v>
      </c>
      <c r="C170" s="278" t="s">
        <v>3779</v>
      </c>
      <c r="D170" s="278">
        <f>COUNTIF(Facility!D:D,B170)</f>
        <v>0</v>
      </c>
      <c r="E170" s="278">
        <f>SUMIFS(MC!M:M,MC!K:K,B170,MC!L:L,C170)</f>
        <v>0</v>
      </c>
      <c r="F170" s="278">
        <f>COUNTIF('W-WS'!D:D,B170)*9</f>
        <v>18</v>
      </c>
      <c r="G170" s="278">
        <f>D170+E170+F170</f>
        <v>18</v>
      </c>
      <c r="H170" s="278"/>
      <c r="I170" s="279">
        <f>+INDEX(QDrop!$AX:$BD,MATCH(Mats!$B170,QDrop!$AX:$AX,0),MATCH(Mats!$C170,QDrop!$AX$1:$BD$1,0))</f>
        <v>24</v>
      </c>
      <c r="J170" s="261">
        <f>+SUMIFS(RR!G:G,RR!F:F,Mats!C170,RR!E:E,Mats!B170)</f>
        <v>0</v>
      </c>
      <c r="K170" s="279">
        <f>+SUMIFS(Endvr!K:K,Endvr!I:I,Mats!C170,Endvr!J:J,Mats!B170)</f>
        <v>0</v>
      </c>
      <c r="L170" s="280">
        <f>SUM(I170:K170)-G170</f>
        <v>6</v>
      </c>
      <c r="M170" s="282" t="s">
        <v>13844</v>
      </c>
      <c r="N170" s="68"/>
    </row>
    <row r="171" spans="1:14" x14ac:dyDescent="0.2">
      <c r="A171" s="286" t="s">
        <v>24139</v>
      </c>
      <c r="B171" s="278" t="s">
        <v>12655</v>
      </c>
      <c r="C171" s="278" t="s">
        <v>122</v>
      </c>
      <c r="D171" s="278">
        <f>COUNTIF(Facility!D:D,B171)</f>
        <v>0</v>
      </c>
      <c r="E171" s="278">
        <f>SUMIFS(MC!M:M,MC!K:K,B171,MC!L:L,C171)</f>
        <v>0</v>
      </c>
      <c r="F171" s="278">
        <f>COUNTIF('W-WS'!D:D,B171)*9</f>
        <v>18</v>
      </c>
      <c r="G171" s="278">
        <f t="shared" si="19"/>
        <v>18</v>
      </c>
      <c r="H171" s="278"/>
      <c r="I171" s="279">
        <f>+INDEX(QDrop!$AX:$BD,MATCH(Mats!$B171,QDrop!$AX:$AX,0),MATCH(Mats!$C171,QDrop!$AX$1:$BD$1,0))</f>
        <v>28</v>
      </c>
      <c r="J171" s="261">
        <f>+SUMIFS(RR!G:G,RR!F:F,Mats!C171,RR!E:E,Mats!B171)</f>
        <v>0</v>
      </c>
      <c r="K171" s="279">
        <f>+SUMIFS(Endvr!K:K,Endvr!I:I,Mats!C171,Endvr!J:J,Mats!B171)</f>
        <v>0</v>
      </c>
      <c r="L171" s="280">
        <f t="shared" si="20"/>
        <v>10</v>
      </c>
      <c r="M171" s="282" t="s">
        <v>13844</v>
      </c>
      <c r="N171" s="68"/>
    </row>
    <row r="172" spans="1:14" x14ac:dyDescent="0.2">
      <c r="A172" s="286" t="s">
        <v>24141</v>
      </c>
      <c r="B172" s="278" t="s">
        <v>12655</v>
      </c>
      <c r="C172" s="278" t="s">
        <v>1103</v>
      </c>
      <c r="D172" s="278">
        <f>COUNTIF(Facility!D:D,B172)</f>
        <v>0</v>
      </c>
      <c r="E172" s="278">
        <f>SUMIFS(MC!M:M,MC!K:K,B172,MC!L:L,C172)</f>
        <v>0</v>
      </c>
      <c r="F172" s="278">
        <f>COUNTIF('W-WS'!D:D,B172)*9</f>
        <v>18</v>
      </c>
      <c r="G172" s="278">
        <f t="shared" si="19"/>
        <v>18</v>
      </c>
      <c r="H172" s="278"/>
      <c r="I172" s="279">
        <f>+INDEX(QDrop!$AX:$BD,MATCH(Mats!$B172,QDrop!$AX:$AX,0),MATCH(Mats!$C172,QDrop!$AX$1:$BD$1,0))</f>
        <v>28</v>
      </c>
      <c r="J172" s="261">
        <f>+SUMIFS(RR!G:G,RR!F:F,Mats!C172,RR!E:E,Mats!B172)</f>
        <v>0</v>
      </c>
      <c r="K172" s="279">
        <f>+SUMIFS(Endvr!K:K,Endvr!I:I,Mats!C172,Endvr!J:J,Mats!B172)</f>
        <v>0</v>
      </c>
      <c r="L172" s="280">
        <f t="shared" si="20"/>
        <v>10</v>
      </c>
      <c r="M172" s="282" t="s">
        <v>13844</v>
      </c>
      <c r="N172" s="68"/>
    </row>
    <row r="173" spans="1:14" x14ac:dyDescent="0.2">
      <c r="A173" s="286" t="s">
        <v>24143</v>
      </c>
      <c r="B173" s="278" t="s">
        <v>12655</v>
      </c>
      <c r="C173" s="278" t="s">
        <v>1947</v>
      </c>
      <c r="D173" s="278">
        <f>COUNTIF(Facility!D:D,B173)</f>
        <v>0</v>
      </c>
      <c r="E173" s="278">
        <f>SUMIFS(MC!M:M,MC!K:K,B173,MC!L:L,C173)</f>
        <v>0</v>
      </c>
      <c r="F173" s="278">
        <f>COUNTIF('W-WS'!D:D,B173)*9</f>
        <v>18</v>
      </c>
      <c r="G173" s="278">
        <f t="shared" si="19"/>
        <v>18</v>
      </c>
      <c r="H173" s="278"/>
      <c r="I173" s="279">
        <f>+INDEX(QDrop!$AX:$BD,MATCH(Mats!$B173,QDrop!$AX:$AX,0),MATCH(Mats!$C173,QDrop!$AX$1:$BD$1,0))</f>
        <v>24</v>
      </c>
      <c r="J173" s="261">
        <f>+SUMIFS(RR!G:G,RR!F:F,Mats!C173,RR!E:E,Mats!B173)</f>
        <v>0</v>
      </c>
      <c r="K173" s="279">
        <f>+SUMIFS(Endvr!K:K,Endvr!I:I,Mats!C173,Endvr!J:J,Mats!B173)</f>
        <v>0</v>
      </c>
      <c r="L173" s="280">
        <f t="shared" si="20"/>
        <v>6</v>
      </c>
      <c r="M173" s="282" t="s">
        <v>13844</v>
      </c>
      <c r="N173" s="68"/>
    </row>
    <row r="174" spans="1:14" x14ac:dyDescent="0.2">
      <c r="A174" s="286" t="s">
        <v>24145</v>
      </c>
      <c r="B174" s="278" t="s">
        <v>12655</v>
      </c>
      <c r="C174" s="278" t="s">
        <v>2837</v>
      </c>
      <c r="D174" s="278">
        <f>COUNTIF(Facility!D:D,B174)</f>
        <v>0</v>
      </c>
      <c r="E174" s="278">
        <f>SUMIFS(MC!M:M,MC!K:K,B174,MC!L:L,C174)</f>
        <v>0</v>
      </c>
      <c r="F174" s="278">
        <f>COUNTIF('W-WS'!D:D,B174)*9</f>
        <v>18</v>
      </c>
      <c r="G174" s="278">
        <f>D174+E174+F174</f>
        <v>18</v>
      </c>
      <c r="H174" s="278"/>
      <c r="I174" s="279">
        <f>+INDEX(QDrop!$AX:$BD,MATCH(Mats!$B174,QDrop!$AX:$AX,0),MATCH(Mats!$C174,QDrop!$AX$1:$BD$1,0))</f>
        <v>24</v>
      </c>
      <c r="J174" s="261">
        <f>+SUMIFS(RR!G:G,RR!F:F,Mats!C174,RR!E:E,Mats!B174)</f>
        <v>0</v>
      </c>
      <c r="K174" s="279">
        <f>+SUMIFS(Endvr!K:K,Endvr!I:I,Mats!C174,Endvr!J:J,Mats!B174)</f>
        <v>0</v>
      </c>
      <c r="L174" s="280">
        <f>SUM(I174:K174)-G174</f>
        <v>6</v>
      </c>
      <c r="M174" s="282" t="s">
        <v>13844</v>
      </c>
      <c r="N174" s="68"/>
    </row>
    <row r="175" spans="1:14" x14ac:dyDescent="0.2">
      <c r="A175" s="286" t="s">
        <v>24147</v>
      </c>
      <c r="B175" s="278" t="s">
        <v>12655</v>
      </c>
      <c r="C175" s="278" t="s">
        <v>3779</v>
      </c>
      <c r="D175" s="278">
        <f>COUNTIF(Facility!D:D,B175)</f>
        <v>0</v>
      </c>
      <c r="E175" s="278">
        <f>SUMIFS(MC!M:M,MC!K:K,B175,MC!L:L,C175)</f>
        <v>0</v>
      </c>
      <c r="F175" s="278">
        <f>COUNTIF('W-WS'!D:D,B175)*9</f>
        <v>18</v>
      </c>
      <c r="G175" s="278">
        <f>D175+E175+F175</f>
        <v>18</v>
      </c>
      <c r="H175" s="278"/>
      <c r="I175" s="279">
        <f>+INDEX(QDrop!$AX:$BD,MATCH(Mats!$B175,QDrop!$AX:$AX,0),MATCH(Mats!$C175,QDrop!$AX$1:$BD$1,0))</f>
        <v>24</v>
      </c>
      <c r="J175" s="261">
        <f>+SUMIFS(RR!G:G,RR!F:F,Mats!C175,RR!E:E,Mats!B175)</f>
        <v>0</v>
      </c>
      <c r="K175" s="279">
        <f>+SUMIFS(Endvr!K:K,Endvr!I:I,Mats!C175,Endvr!J:J,Mats!B175)</f>
        <v>0</v>
      </c>
      <c r="L175" s="280">
        <f>SUM(I175:K175)-G175</f>
        <v>6</v>
      </c>
      <c r="M175" s="282" t="s">
        <v>13844</v>
      </c>
      <c r="N175" s="68"/>
    </row>
    <row r="176" spans="1:14" x14ac:dyDescent="0.2">
      <c r="A176" s="286" t="s">
        <v>24148</v>
      </c>
      <c r="B176" s="278" t="s">
        <v>19613</v>
      </c>
      <c r="C176" s="278" t="s">
        <v>122</v>
      </c>
      <c r="D176" s="278">
        <f>COUNTIF(Facility!D:D,B176)</f>
        <v>10</v>
      </c>
      <c r="E176" s="278">
        <f>SUMIFS(MC!M:M,MC!K:K,B176,MC!L:L,C176)</f>
        <v>0</v>
      </c>
      <c r="F176" s="278">
        <f>COUNTIF('W-WS'!D:D,B176)*9</f>
        <v>0</v>
      </c>
      <c r="G176" s="278">
        <f t="shared" ref="G176:G178" si="21">D176+E176+F176</f>
        <v>10</v>
      </c>
      <c r="H176" s="278"/>
      <c r="I176" s="279">
        <f>+INDEX(QDrop!$AX:$BD,MATCH(Mats!$B176,QDrop!$AX:$AX,0),MATCH(Mats!$C176,QDrop!$AX$1:$BD$1,0))</f>
        <v>10</v>
      </c>
      <c r="J176" s="261">
        <f>+SUMIFS(RR!G:G,RR!F:F,Mats!C176,RR!E:E,Mats!B176)</f>
        <v>0</v>
      </c>
      <c r="K176" s="279">
        <f>+SUMIFS(Endvr!K:K,Endvr!I:I,Mats!C176,Endvr!J:J,Mats!B176)</f>
        <v>0</v>
      </c>
      <c r="L176" s="280">
        <f t="shared" si="18"/>
        <v>0</v>
      </c>
      <c r="M176" s="282" t="s">
        <v>19328</v>
      </c>
      <c r="N176" s="68"/>
    </row>
    <row r="177" spans="1:14" x14ac:dyDescent="0.2">
      <c r="A177" s="286" t="s">
        <v>24149</v>
      </c>
      <c r="B177" s="278" t="s">
        <v>19613</v>
      </c>
      <c r="C177" s="278" t="s">
        <v>1103</v>
      </c>
      <c r="D177" s="278">
        <f>COUNTIF(Facility!D:D,B177)</f>
        <v>10</v>
      </c>
      <c r="E177" s="278">
        <f>SUMIFS(MC!M:M,MC!K:K,B177,MC!L:L,C177)</f>
        <v>0</v>
      </c>
      <c r="F177" s="278">
        <f>COUNTIF('W-WS'!D:D,B177)*9</f>
        <v>0</v>
      </c>
      <c r="G177" s="278">
        <f t="shared" si="21"/>
        <v>10</v>
      </c>
      <c r="H177" s="278"/>
      <c r="I177" s="279">
        <f>+INDEX(QDrop!$AX:$BD,MATCH(Mats!$B177,QDrop!$AX:$AX,0),MATCH(Mats!$C177,QDrop!$AX$1:$BD$1,0))</f>
        <v>10</v>
      </c>
      <c r="J177" s="261">
        <f>+SUMIFS(RR!G:G,RR!F:F,Mats!C177,RR!E:E,Mats!B177)</f>
        <v>0</v>
      </c>
      <c r="K177" s="279">
        <f>+SUMIFS(Endvr!K:K,Endvr!I:I,Mats!C177,Endvr!J:J,Mats!B177)</f>
        <v>0</v>
      </c>
      <c r="L177" s="280">
        <f t="shared" si="18"/>
        <v>0</v>
      </c>
      <c r="M177" s="282" t="s">
        <v>19328</v>
      </c>
      <c r="N177" s="68"/>
    </row>
    <row r="178" spans="1:14" x14ac:dyDescent="0.2">
      <c r="A178" s="286" t="s">
        <v>24150</v>
      </c>
      <c r="B178" s="278" t="s">
        <v>19613</v>
      </c>
      <c r="C178" s="278" t="s">
        <v>1947</v>
      </c>
      <c r="D178" s="278">
        <f>COUNTIF(Facility!D:D,B178)</f>
        <v>10</v>
      </c>
      <c r="E178" s="278">
        <f>SUMIFS(MC!M:M,MC!K:K,B178,MC!L:L,C178)</f>
        <v>0</v>
      </c>
      <c r="F178" s="278">
        <f>COUNTIF('W-WS'!D:D,B178)*9</f>
        <v>0</v>
      </c>
      <c r="G178" s="278">
        <f t="shared" si="21"/>
        <v>10</v>
      </c>
      <c r="H178" s="278"/>
      <c r="I178" s="279">
        <f>+INDEX(QDrop!$AX:$BD,MATCH(Mats!$B178,QDrop!$AX:$AX,0),MATCH(Mats!$C178,QDrop!$AX$1:$BD$1,0))</f>
        <v>10</v>
      </c>
      <c r="J178" s="261">
        <f>+SUMIFS(RR!G:G,RR!F:F,Mats!C178,RR!E:E,Mats!B178)</f>
        <v>0</v>
      </c>
      <c r="K178" s="279">
        <f>+SUMIFS(Endvr!K:K,Endvr!I:I,Mats!C178,Endvr!J:J,Mats!B178)</f>
        <v>0</v>
      </c>
      <c r="L178" s="280">
        <f t="shared" si="18"/>
        <v>0</v>
      </c>
      <c r="M178" s="282" t="s">
        <v>19328</v>
      </c>
      <c r="N178" s="68"/>
    </row>
    <row r="179" spans="1:14" x14ac:dyDescent="0.2">
      <c r="A179" s="286" t="s">
        <v>24151</v>
      </c>
      <c r="B179" s="278" t="s">
        <v>19613</v>
      </c>
      <c r="C179" s="278" t="s">
        <v>2837</v>
      </c>
      <c r="D179" s="278">
        <f>COUNTIF(Facility!D:D,B179)</f>
        <v>10</v>
      </c>
      <c r="E179" s="278">
        <f>SUMIFS(MC!M:M,MC!K:K,B179,MC!L:L,C179)</f>
        <v>0</v>
      </c>
      <c r="F179" s="278">
        <f>COUNTIF('W-WS'!D:D,B179)*9</f>
        <v>0</v>
      </c>
      <c r="G179" s="278">
        <f>D179+E179+F179</f>
        <v>10</v>
      </c>
      <c r="H179" s="278"/>
      <c r="I179" s="279">
        <f>+INDEX(QDrop!$AX:$BD,MATCH(Mats!$B179,QDrop!$AX:$AX,0),MATCH(Mats!$C179,QDrop!$AX$1:$BD$1,0))</f>
        <v>12</v>
      </c>
      <c r="J179" s="261">
        <f>+SUMIFS(RR!G:G,RR!F:F,Mats!C179,RR!E:E,Mats!B179)</f>
        <v>0</v>
      </c>
      <c r="K179" s="279">
        <f>+SUMIFS(Endvr!K:K,Endvr!I:I,Mats!C179,Endvr!J:J,Mats!B179)</f>
        <v>0</v>
      </c>
      <c r="L179" s="280">
        <f>SUM(I179:K179)-G179</f>
        <v>2</v>
      </c>
      <c r="M179" s="282" t="s">
        <v>19328</v>
      </c>
      <c r="N179" s="68"/>
    </row>
    <row r="180" spans="1:14" x14ac:dyDescent="0.2">
      <c r="A180" s="286" t="s">
        <v>24152</v>
      </c>
      <c r="B180" s="278" t="s">
        <v>19613</v>
      </c>
      <c r="C180" s="278" t="s">
        <v>3779</v>
      </c>
      <c r="D180" s="278">
        <f>COUNTIF(Facility!D:D,B180)</f>
        <v>10</v>
      </c>
      <c r="E180" s="278">
        <f>SUMIFS(MC!M:M,MC!K:K,B180,MC!L:L,C180)</f>
        <v>0</v>
      </c>
      <c r="F180" s="278">
        <f>COUNTIF('W-WS'!D:D,B180)*9</f>
        <v>0</v>
      </c>
      <c r="G180" s="278">
        <f>D180+E180+F180</f>
        <v>10</v>
      </c>
      <c r="H180" s="278"/>
      <c r="I180" s="279">
        <f>+INDEX(QDrop!$AX:$BD,MATCH(Mats!$B180,QDrop!$AX:$AX,0),MATCH(Mats!$C180,QDrop!$AX$1:$BD$1,0))</f>
        <v>12</v>
      </c>
      <c r="J180" s="261">
        <f>+SUMIFS(RR!G:G,RR!F:F,Mats!C180,RR!E:E,Mats!B180)</f>
        <v>0</v>
      </c>
      <c r="K180" s="279">
        <f>+SUMIFS(Endvr!K:K,Endvr!I:I,Mats!C180,Endvr!J:J,Mats!B180)</f>
        <v>0</v>
      </c>
      <c r="L180" s="280">
        <f>SUM(I180:K180)-G180</f>
        <v>2</v>
      </c>
      <c r="M180" s="282" t="s">
        <v>19328</v>
      </c>
      <c r="N180" s="68"/>
    </row>
    <row r="181" spans="1:14" x14ac:dyDescent="0.2">
      <c r="A181" s="286" t="s">
        <v>24153</v>
      </c>
      <c r="B181" s="278" t="s">
        <v>11793</v>
      </c>
      <c r="C181" s="278" t="s">
        <v>122</v>
      </c>
      <c r="D181" s="278">
        <f>COUNTIF(Facility!D:D,B181)</f>
        <v>0</v>
      </c>
      <c r="E181" s="278">
        <f>SUMIFS(MC!M:M,MC!K:K,B181,MC!L:L,C181)</f>
        <v>0</v>
      </c>
      <c r="F181" s="278">
        <f>COUNTIF('W-WS'!D:D,B181)*9</f>
        <v>9</v>
      </c>
      <c r="G181" s="278">
        <f t="shared" ref="G181:G190" si="22">D181+E181+F181</f>
        <v>9</v>
      </c>
      <c r="H181" s="278"/>
      <c r="I181" s="279">
        <f>+INDEX(QDrop!$AX:$BD,MATCH(Mats!$B181,QDrop!$AX:$AX,0),MATCH(Mats!$C181,QDrop!$AX$1:$BD$1,0))</f>
        <v>10</v>
      </c>
      <c r="J181" s="261">
        <f>+SUMIFS(RR!G:G,RR!F:F,Mats!C181,RR!E:E,Mats!B181)</f>
        <v>0</v>
      </c>
      <c r="K181" s="279">
        <f>+SUMIFS(Endvr!K:K,Endvr!I:I,Mats!C181,Endvr!J:J,Mats!B181)</f>
        <v>0</v>
      </c>
      <c r="L181" s="280">
        <f t="shared" si="18"/>
        <v>1</v>
      </c>
      <c r="M181" s="282" t="s">
        <v>19328</v>
      </c>
      <c r="N181" s="68"/>
    </row>
    <row r="182" spans="1:14" x14ac:dyDescent="0.2">
      <c r="A182" s="286" t="s">
        <v>24154</v>
      </c>
      <c r="B182" s="278" t="s">
        <v>11793</v>
      </c>
      <c r="C182" s="278" t="s">
        <v>1103</v>
      </c>
      <c r="D182" s="278">
        <f>COUNTIF(Facility!D:D,B182)</f>
        <v>0</v>
      </c>
      <c r="E182" s="278">
        <f>SUMIFS(MC!M:M,MC!K:K,B182,MC!L:L,C182)</f>
        <v>0</v>
      </c>
      <c r="F182" s="278">
        <f>COUNTIF('W-WS'!D:D,B182)*9</f>
        <v>9</v>
      </c>
      <c r="G182" s="278">
        <f t="shared" si="22"/>
        <v>9</v>
      </c>
      <c r="H182" s="278"/>
      <c r="I182" s="279">
        <f>+INDEX(QDrop!$AX:$BD,MATCH(Mats!$B182,QDrop!$AX:$AX,0),MATCH(Mats!$C182,QDrop!$AX$1:$BD$1,0))</f>
        <v>10</v>
      </c>
      <c r="J182" s="261">
        <f>+SUMIFS(RR!G:G,RR!F:F,Mats!C182,RR!E:E,Mats!B182)</f>
        <v>0</v>
      </c>
      <c r="K182" s="279">
        <f>+SUMIFS(Endvr!K:K,Endvr!I:I,Mats!C182,Endvr!J:J,Mats!B182)</f>
        <v>0</v>
      </c>
      <c r="L182" s="280">
        <f t="shared" si="18"/>
        <v>1</v>
      </c>
      <c r="M182" s="282" t="s">
        <v>19328</v>
      </c>
      <c r="N182" s="68"/>
    </row>
    <row r="183" spans="1:14" x14ac:dyDescent="0.2">
      <c r="A183" s="286" t="s">
        <v>24155</v>
      </c>
      <c r="B183" s="278" t="s">
        <v>11793</v>
      </c>
      <c r="C183" s="278" t="s">
        <v>1947</v>
      </c>
      <c r="D183" s="278">
        <f>COUNTIF(Facility!D:D,B183)</f>
        <v>0</v>
      </c>
      <c r="E183" s="278">
        <f>SUMIFS(MC!M:M,MC!K:K,B183,MC!L:L,C183)</f>
        <v>0</v>
      </c>
      <c r="F183" s="278">
        <f>COUNTIF('W-WS'!D:D,B183)*9</f>
        <v>9</v>
      </c>
      <c r="G183" s="278">
        <f t="shared" si="22"/>
        <v>9</v>
      </c>
      <c r="H183" s="278"/>
      <c r="I183" s="279">
        <f>+INDEX(QDrop!$AX:$BD,MATCH(Mats!$B183,QDrop!$AX:$AX,0),MATCH(Mats!$C183,QDrop!$AX$1:$BD$1,0))</f>
        <v>10</v>
      </c>
      <c r="J183" s="261">
        <f>+SUMIFS(RR!G:G,RR!F:F,Mats!C183,RR!E:E,Mats!B183)</f>
        <v>0</v>
      </c>
      <c r="K183" s="279">
        <f>+SUMIFS(Endvr!K:K,Endvr!I:I,Mats!C183,Endvr!J:J,Mats!B183)</f>
        <v>0</v>
      </c>
      <c r="L183" s="280">
        <f t="shared" si="18"/>
        <v>1</v>
      </c>
      <c r="M183" s="282" t="s">
        <v>19328</v>
      </c>
      <c r="N183" s="68"/>
    </row>
    <row r="184" spans="1:14" x14ac:dyDescent="0.2">
      <c r="A184" s="286" t="s">
        <v>24156</v>
      </c>
      <c r="B184" s="278" t="s">
        <v>11793</v>
      </c>
      <c r="C184" s="278" t="s">
        <v>2837</v>
      </c>
      <c r="D184" s="278">
        <f>COUNTIF(Facility!D:D,B184)</f>
        <v>0</v>
      </c>
      <c r="E184" s="278">
        <f>SUMIFS(MC!M:M,MC!K:K,B184,MC!L:L,C184)</f>
        <v>0</v>
      </c>
      <c r="F184" s="278">
        <f>COUNTIF('W-WS'!D:D,B184)*9</f>
        <v>9</v>
      </c>
      <c r="G184" s="278">
        <f>D184+E184+F184</f>
        <v>9</v>
      </c>
      <c r="H184" s="278"/>
      <c r="I184" s="279">
        <f>+INDEX(QDrop!$AX:$BD,MATCH(Mats!$B184,QDrop!$AX:$AX,0),MATCH(Mats!$C184,QDrop!$AX$1:$BD$1,0))</f>
        <v>12</v>
      </c>
      <c r="J184" s="261">
        <f>+SUMIFS(RR!G:G,RR!F:F,Mats!C184,RR!E:E,Mats!B184)</f>
        <v>0</v>
      </c>
      <c r="K184" s="279">
        <f>+SUMIFS(Endvr!K:K,Endvr!I:I,Mats!C184,Endvr!J:J,Mats!B184)</f>
        <v>0</v>
      </c>
      <c r="L184" s="280">
        <f>SUM(I184:K184)-G184</f>
        <v>3</v>
      </c>
      <c r="M184" s="282" t="s">
        <v>19328</v>
      </c>
      <c r="N184" s="68"/>
    </row>
    <row r="185" spans="1:14" x14ac:dyDescent="0.2">
      <c r="A185" s="286" t="s">
        <v>24157</v>
      </c>
      <c r="B185" s="278" t="s">
        <v>11793</v>
      </c>
      <c r="C185" s="278" t="s">
        <v>3779</v>
      </c>
      <c r="D185" s="278">
        <f>COUNTIF(Facility!D:D,B185)</f>
        <v>0</v>
      </c>
      <c r="E185" s="278">
        <f>SUMIFS(MC!M:M,MC!K:K,B185,MC!L:L,C185)</f>
        <v>0</v>
      </c>
      <c r="F185" s="278">
        <f>COUNTIF('W-WS'!D:D,B185)*9</f>
        <v>9</v>
      </c>
      <c r="G185" s="278">
        <f>D185+E185+F185</f>
        <v>9</v>
      </c>
      <c r="H185" s="278"/>
      <c r="I185" s="279">
        <f>+INDEX(QDrop!$AX:$BD,MATCH(Mats!$B185,QDrop!$AX:$AX,0),MATCH(Mats!$C185,QDrop!$AX$1:$BD$1,0))</f>
        <v>12</v>
      </c>
      <c r="J185" s="261">
        <f>+SUMIFS(RR!G:G,RR!F:F,Mats!C185,RR!E:E,Mats!B185)</f>
        <v>0</v>
      </c>
      <c r="K185" s="279">
        <f>+SUMIFS(Endvr!K:K,Endvr!I:I,Mats!C185,Endvr!J:J,Mats!B185)</f>
        <v>0</v>
      </c>
      <c r="L185" s="280">
        <f>SUM(I185:K185)-G185</f>
        <v>3</v>
      </c>
      <c r="M185" s="282" t="s">
        <v>19328</v>
      </c>
      <c r="N185" s="68"/>
    </row>
    <row r="186" spans="1:14" x14ac:dyDescent="0.2">
      <c r="A186" s="286" t="s">
        <v>24158</v>
      </c>
      <c r="B186" s="278" t="s">
        <v>12668</v>
      </c>
      <c r="C186" s="278" t="s">
        <v>122</v>
      </c>
      <c r="D186" s="278">
        <f>COUNTIF(Facility!D:D,B186)</f>
        <v>0</v>
      </c>
      <c r="E186" s="278">
        <f>SUMIFS(MC!M:M,MC!K:K,B186,MC!L:L,C186)</f>
        <v>0</v>
      </c>
      <c r="F186" s="278">
        <f>COUNTIF('W-WS'!D:D,B186)*9</f>
        <v>9</v>
      </c>
      <c r="G186" s="278">
        <f t="shared" si="22"/>
        <v>9</v>
      </c>
      <c r="H186" s="278"/>
      <c r="I186" s="279">
        <f>+INDEX(QDrop!$AX:$BD,MATCH(Mats!$B186,QDrop!$AX:$AX,0),MATCH(Mats!$C186,QDrop!$AX$1:$BD$1,0))</f>
        <v>10</v>
      </c>
      <c r="J186" s="261">
        <f>+SUMIFS(RR!G:G,RR!F:F,Mats!C186,RR!E:E,Mats!B186)</f>
        <v>0</v>
      </c>
      <c r="K186" s="279">
        <f>+SUMIFS(Endvr!K:K,Endvr!I:I,Mats!C186,Endvr!J:J,Mats!B186)</f>
        <v>0</v>
      </c>
      <c r="L186" s="280">
        <f t="shared" si="18"/>
        <v>1</v>
      </c>
      <c r="M186" s="282" t="s">
        <v>19328</v>
      </c>
      <c r="N186" s="68"/>
    </row>
    <row r="187" spans="1:14" x14ac:dyDescent="0.2">
      <c r="A187" s="286" t="s">
        <v>24159</v>
      </c>
      <c r="B187" s="278" t="s">
        <v>12668</v>
      </c>
      <c r="C187" s="261" t="s">
        <v>1103</v>
      </c>
      <c r="D187" s="278">
        <f>COUNTIF(Facility!D:D,B187)</f>
        <v>0</v>
      </c>
      <c r="E187" s="278">
        <f>SUMIFS(MC!M:M,MC!K:K,B187,MC!L:L,C187)</f>
        <v>0</v>
      </c>
      <c r="F187" s="278">
        <f>COUNTIF('W-WS'!D:D,B187)*9</f>
        <v>9</v>
      </c>
      <c r="G187" s="278">
        <f t="shared" si="22"/>
        <v>9</v>
      </c>
      <c r="H187" s="278"/>
      <c r="I187" s="279">
        <f>+INDEX(QDrop!$AX:$BD,MATCH(Mats!$B187,QDrop!$AX:$AX,0),MATCH(Mats!$C187,QDrop!$AX$1:$BD$1,0))</f>
        <v>10</v>
      </c>
      <c r="J187" s="261">
        <f>+SUMIFS(RR!G:G,RR!F:F,Mats!C187,RR!E:E,Mats!B187)</f>
        <v>0</v>
      </c>
      <c r="K187" s="279">
        <f>+SUMIFS(Endvr!K:K,Endvr!I:I,Mats!C187,Endvr!J:J,Mats!B187)</f>
        <v>0</v>
      </c>
      <c r="L187" s="280">
        <f t="shared" si="18"/>
        <v>1</v>
      </c>
      <c r="M187" s="282" t="s">
        <v>19328</v>
      </c>
      <c r="N187" s="68"/>
    </row>
    <row r="188" spans="1:14" x14ac:dyDescent="0.2">
      <c r="A188" s="286" t="s">
        <v>24160</v>
      </c>
      <c r="B188" s="278" t="s">
        <v>12668</v>
      </c>
      <c r="C188" s="261" t="s">
        <v>1947</v>
      </c>
      <c r="D188" s="278">
        <f>COUNTIF(Facility!D:D,B188)</f>
        <v>0</v>
      </c>
      <c r="E188" s="278">
        <f>SUMIFS(MC!M:M,MC!K:K,B188,MC!L:L,C188)</f>
        <v>0</v>
      </c>
      <c r="F188" s="278">
        <f>COUNTIF('W-WS'!D:D,B188)*9</f>
        <v>9</v>
      </c>
      <c r="G188" s="278">
        <f t="shared" si="22"/>
        <v>9</v>
      </c>
      <c r="H188" s="278"/>
      <c r="I188" s="279">
        <f>+INDEX(QDrop!$AX:$BD,MATCH(Mats!$B188,QDrop!$AX:$AX,0),MATCH(Mats!$C188,QDrop!$AX$1:$BD$1,0))</f>
        <v>10</v>
      </c>
      <c r="J188" s="261">
        <f>+SUMIFS(RR!G:G,RR!F:F,Mats!C188,RR!E:E,Mats!B188)</f>
        <v>0</v>
      </c>
      <c r="K188" s="279">
        <f>+SUMIFS(Endvr!K:K,Endvr!I:I,Mats!C188,Endvr!J:J,Mats!B188)</f>
        <v>0</v>
      </c>
      <c r="L188" s="280">
        <f t="shared" si="18"/>
        <v>1</v>
      </c>
      <c r="M188" s="282" t="s">
        <v>19328</v>
      </c>
      <c r="N188" s="68"/>
    </row>
    <row r="189" spans="1:14" x14ac:dyDescent="0.2">
      <c r="A189" s="286" t="s">
        <v>24161</v>
      </c>
      <c r="B189" s="278" t="s">
        <v>12668</v>
      </c>
      <c r="C189" s="261" t="s">
        <v>2837</v>
      </c>
      <c r="D189" s="278">
        <f>COUNTIF(Facility!D:D,B189)</f>
        <v>0</v>
      </c>
      <c r="E189" s="278">
        <f>SUMIFS(MC!M:M,MC!K:K,B189,MC!L:L,C189)</f>
        <v>0</v>
      </c>
      <c r="F189" s="278">
        <f>COUNTIF('W-WS'!D:D,B189)*9</f>
        <v>9</v>
      </c>
      <c r="G189" s="278">
        <f t="shared" si="22"/>
        <v>9</v>
      </c>
      <c r="H189" s="278"/>
      <c r="I189" s="279">
        <f>+INDEX(QDrop!$AX:$BD,MATCH(Mats!$B189,QDrop!$AX:$AX,0),MATCH(Mats!$C189,QDrop!$AX$1:$BD$1,0))</f>
        <v>12</v>
      </c>
      <c r="J189" s="261">
        <f>+SUMIFS(RR!G:G,RR!F:F,Mats!C189,RR!E:E,Mats!B189)</f>
        <v>0</v>
      </c>
      <c r="K189" s="279">
        <f>+SUMIFS(Endvr!K:K,Endvr!I:I,Mats!C189,Endvr!J:J,Mats!B189)</f>
        <v>0</v>
      </c>
      <c r="L189" s="280">
        <f t="shared" si="18"/>
        <v>3</v>
      </c>
      <c r="M189" s="282" t="s">
        <v>19328</v>
      </c>
      <c r="N189" s="68"/>
    </row>
    <row r="190" spans="1:14" x14ac:dyDescent="0.2">
      <c r="A190" s="273" t="s">
        <v>24162</v>
      </c>
      <c r="B190" s="274" t="s">
        <v>12668</v>
      </c>
      <c r="C190" s="47" t="s">
        <v>3779</v>
      </c>
      <c r="D190" s="274">
        <f>COUNTIF(Facility!D:D,B190)</f>
        <v>0</v>
      </c>
      <c r="E190" s="274">
        <f>SUMIFS(MC!M:M,MC!K:K,B190,MC!L:L,C190)</f>
        <v>0</v>
      </c>
      <c r="F190" s="274">
        <f>COUNTIF('W-WS'!D:D,B190)*9</f>
        <v>9</v>
      </c>
      <c r="G190" s="274">
        <f t="shared" si="22"/>
        <v>9</v>
      </c>
      <c r="H190" s="274"/>
      <c r="I190" s="275">
        <f>+INDEX(QDrop!$AX:$BD,MATCH(Mats!$B190,QDrop!$AX:$AX,0),MATCH(Mats!$C190,QDrop!$AX$1:$BD$1,0))</f>
        <v>12</v>
      </c>
      <c r="J190" s="47">
        <f>+SUMIFS(RR!G:G,RR!F:F,Mats!C190,RR!E:E,Mats!B190)</f>
        <v>0</v>
      </c>
      <c r="K190" s="275">
        <f>+SUMIFS(Endvr!K:K,Endvr!I:I,Mats!C190,Endvr!J:J,Mats!B190)</f>
        <v>0</v>
      </c>
      <c r="L190" s="276">
        <f t="shared" si="18"/>
        <v>3</v>
      </c>
      <c r="M190" s="277" t="s">
        <v>19328</v>
      </c>
      <c r="N190" s="68"/>
    </row>
    <row r="192" spans="1:14" x14ac:dyDescent="0.2">
      <c r="A192" t="s">
        <v>23979</v>
      </c>
    </row>
  </sheetData>
  <pageMargins left="0.2" right="0.2" top="0.4090625" bottom="0.2" header="0.20052083333333301" footer="0.3"/>
  <pageSetup scale="65" fitToHeight="0" orientation="landscape" r:id="rId1"/>
  <headerFooter>
    <oddHeader>&amp;L&amp;"-,Bold"&amp;14Dragalia Lost V3 Re;Works Material Calculator and List</oddHeader>
  </headerFooter>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22C682-3202-499B-AC43-FDF3B36EA4F7}">
  <sheetPr>
    <outlinePr summaryBelow="0" summaryRight="0"/>
  </sheetPr>
  <dimension ref="A1:AC1000"/>
  <sheetViews>
    <sheetView zoomScaleNormal="100" workbookViewId="0"/>
  </sheetViews>
  <sheetFormatPr defaultColWidth="12.625" defaultRowHeight="14.25" x14ac:dyDescent="0.2"/>
  <cols>
    <col min="1" max="1" width="8" bestFit="1" customWidth="1"/>
    <col min="2" max="2" width="9.25" bestFit="1" customWidth="1"/>
    <col min="3" max="3" width="8.5" bestFit="1" customWidth="1"/>
    <col min="4" max="4" width="3.875" bestFit="1" customWidth="1"/>
    <col min="5" max="5" width="3.75" bestFit="1" customWidth="1"/>
    <col min="6" max="6" width="24.75" bestFit="1" customWidth="1"/>
    <col min="7" max="7" width="2.25" customWidth="1"/>
    <col min="8" max="8" width="9.5" bestFit="1" customWidth="1"/>
    <col min="9" max="9" width="10.375" bestFit="1" customWidth="1"/>
    <col min="10" max="10" width="2.25" customWidth="1"/>
    <col min="11" max="11" width="13.875" customWidth="1"/>
    <col min="12" max="12" width="8.125" customWidth="1"/>
    <col min="13" max="13" width="14.25" bestFit="1" customWidth="1"/>
  </cols>
  <sheetData>
    <row r="1" spans="1:29" x14ac:dyDescent="0.2">
      <c r="A1" s="95" t="s">
        <v>21831</v>
      </c>
      <c r="B1" s="165" t="s">
        <v>21832</v>
      </c>
      <c r="C1" s="67" t="s">
        <v>13707</v>
      </c>
      <c r="D1" s="67" t="s">
        <v>96</v>
      </c>
      <c r="E1" s="67" t="s">
        <v>97</v>
      </c>
      <c r="F1" s="97" t="s">
        <v>93</v>
      </c>
      <c r="G1" s="1"/>
      <c r="H1" s="253" t="s">
        <v>23</v>
      </c>
      <c r="I1" s="214" t="s">
        <v>21833</v>
      </c>
      <c r="J1" s="1"/>
      <c r="K1" s="95" t="s">
        <v>13707</v>
      </c>
      <c r="L1" s="215" t="s">
        <v>23</v>
      </c>
      <c r="M1" s="254" t="s">
        <v>21834</v>
      </c>
      <c r="N1" s="80"/>
      <c r="P1" s="80"/>
      <c r="Q1" s="80"/>
      <c r="R1" s="1"/>
      <c r="S1" s="1"/>
      <c r="T1" s="1"/>
      <c r="U1" s="1"/>
      <c r="V1" s="1"/>
      <c r="W1" s="1"/>
      <c r="X1" s="1"/>
      <c r="Y1" s="1"/>
      <c r="Z1" s="1"/>
      <c r="AA1" s="1"/>
      <c r="AB1" s="1"/>
      <c r="AC1" s="1"/>
    </row>
    <row r="2" spans="1:29" x14ac:dyDescent="0.2">
      <c r="A2" s="68">
        <v>1</v>
      </c>
      <c r="B2" s="77">
        <v>100</v>
      </c>
      <c r="D2">
        <v>8</v>
      </c>
      <c r="E2">
        <v>5</v>
      </c>
      <c r="H2" s="70" t="s">
        <v>122</v>
      </c>
      <c r="I2" s="68">
        <f>+COUNTIF(ADV!J:J,MC!H2)</f>
        <v>59</v>
      </c>
      <c r="K2" s="68" t="s">
        <v>19599</v>
      </c>
      <c r="L2" s="79" t="s">
        <v>122</v>
      </c>
      <c r="M2" s="68">
        <f t="shared" ref="M2:M7" si="0">COUNTIF($C:$C,$K2)*SUMIF($H:$H,L2,$I:$I)</f>
        <v>590</v>
      </c>
    </row>
    <row r="3" spans="1:29" x14ac:dyDescent="0.2">
      <c r="A3" s="68">
        <v>2</v>
      </c>
      <c r="B3" s="77">
        <v>200</v>
      </c>
      <c r="D3">
        <f>+D2+8</f>
        <v>16</v>
      </c>
      <c r="E3">
        <f>+E2+5</f>
        <v>10</v>
      </c>
      <c r="H3" s="70" t="s">
        <v>1103</v>
      </c>
      <c r="I3" s="68">
        <f>+COUNTIF(ADV!J:J,MC!H3)</f>
        <v>60</v>
      </c>
      <c r="K3" s="68" t="s">
        <v>19600</v>
      </c>
      <c r="L3" s="79" t="s">
        <v>122</v>
      </c>
      <c r="M3" s="68">
        <f t="shared" si="0"/>
        <v>590</v>
      </c>
    </row>
    <row r="4" spans="1:29" x14ac:dyDescent="0.2">
      <c r="A4" s="68">
        <v>3</v>
      </c>
      <c r="B4" s="77">
        <v>300</v>
      </c>
      <c r="D4">
        <f t="shared" ref="D4:D51" si="1">+D3+8</f>
        <v>24</v>
      </c>
      <c r="E4">
        <f t="shared" ref="E4:E51" si="2">+E3+5</f>
        <v>15</v>
      </c>
      <c r="H4" s="70" t="s">
        <v>1947</v>
      </c>
      <c r="I4" s="68">
        <f>+COUNTIF(ADV!J:J,MC!H4)</f>
        <v>63</v>
      </c>
      <c r="K4" s="68" t="s">
        <v>19603</v>
      </c>
      <c r="L4" s="79" t="s">
        <v>122</v>
      </c>
      <c r="M4" s="68">
        <f t="shared" si="0"/>
        <v>295</v>
      </c>
    </row>
    <row r="5" spans="1:29" x14ac:dyDescent="0.2">
      <c r="A5" s="68">
        <v>4</v>
      </c>
      <c r="B5" s="77">
        <v>400</v>
      </c>
      <c r="D5">
        <f t="shared" si="1"/>
        <v>32</v>
      </c>
      <c r="E5">
        <f t="shared" si="2"/>
        <v>20</v>
      </c>
      <c r="H5" s="70" t="s">
        <v>2837</v>
      </c>
      <c r="I5" s="68">
        <f>+COUNTIF(ADV!J:J,MC!H5)</f>
        <v>66</v>
      </c>
      <c r="K5" s="68" t="s">
        <v>19601</v>
      </c>
      <c r="L5" s="79" t="s">
        <v>122</v>
      </c>
      <c r="M5" s="68">
        <f t="shared" si="0"/>
        <v>295</v>
      </c>
    </row>
    <row r="6" spans="1:29" x14ac:dyDescent="0.2">
      <c r="A6" s="68">
        <v>5</v>
      </c>
      <c r="B6" s="77">
        <v>500</v>
      </c>
      <c r="D6">
        <f t="shared" si="1"/>
        <v>40</v>
      </c>
      <c r="E6">
        <f t="shared" si="2"/>
        <v>25</v>
      </c>
      <c r="F6" t="s">
        <v>21835</v>
      </c>
      <c r="H6" s="70" t="s">
        <v>3779</v>
      </c>
      <c r="I6" s="68">
        <f>+COUNTIF(ADV!J:J,MC!H6)</f>
        <v>57</v>
      </c>
      <c r="K6" s="68" t="s">
        <v>19604</v>
      </c>
      <c r="L6" s="79" t="s">
        <v>122</v>
      </c>
      <c r="M6" s="68">
        <f t="shared" si="0"/>
        <v>295</v>
      </c>
    </row>
    <row r="7" spans="1:29" x14ac:dyDescent="0.2">
      <c r="A7" s="68">
        <v>6</v>
      </c>
      <c r="B7" s="77">
        <v>600</v>
      </c>
      <c r="D7">
        <f t="shared" si="1"/>
        <v>48</v>
      </c>
      <c r="E7">
        <f t="shared" si="2"/>
        <v>30</v>
      </c>
      <c r="K7" s="68" t="s">
        <v>19602</v>
      </c>
      <c r="L7" s="79" t="s">
        <v>122</v>
      </c>
      <c r="M7" s="68">
        <f t="shared" si="0"/>
        <v>295</v>
      </c>
    </row>
    <row r="8" spans="1:29" x14ac:dyDescent="0.2">
      <c r="A8" s="68">
        <v>7</v>
      </c>
      <c r="B8" s="77">
        <v>700</v>
      </c>
      <c r="D8">
        <f t="shared" si="1"/>
        <v>56</v>
      </c>
      <c r="E8">
        <f t="shared" si="2"/>
        <v>35</v>
      </c>
      <c r="I8" s="1">
        <f>SUM(I2:I7)</f>
        <v>305</v>
      </c>
      <c r="K8" s="68" t="s">
        <v>19599</v>
      </c>
      <c r="L8" s="79" t="s">
        <v>1103</v>
      </c>
      <c r="M8" s="68">
        <f t="shared" ref="M8:M31" si="3">COUNTIF($C:$C,$K8)*SUMIF($H:$H,L8,$I:$I)</f>
        <v>600</v>
      </c>
    </row>
    <row r="9" spans="1:29" x14ac:dyDescent="0.2">
      <c r="A9" s="68">
        <v>8</v>
      </c>
      <c r="B9" s="77">
        <v>800</v>
      </c>
      <c r="D9">
        <f t="shared" si="1"/>
        <v>64</v>
      </c>
      <c r="E9">
        <f t="shared" si="2"/>
        <v>40</v>
      </c>
      <c r="K9" s="68" t="s">
        <v>19600</v>
      </c>
      <c r="L9" s="79" t="s">
        <v>1103</v>
      </c>
      <c r="M9" s="68">
        <f t="shared" si="3"/>
        <v>600</v>
      </c>
    </row>
    <row r="10" spans="1:29" x14ac:dyDescent="0.2">
      <c r="A10" s="68">
        <v>9</v>
      </c>
      <c r="B10" s="77">
        <v>900</v>
      </c>
      <c r="D10">
        <f t="shared" si="1"/>
        <v>72</v>
      </c>
      <c r="E10">
        <f t="shared" si="2"/>
        <v>45</v>
      </c>
      <c r="H10" s="67" t="s">
        <v>21836</v>
      </c>
      <c r="I10" s="165">
        <f>I8*SUM(B2:B51)</f>
        <v>44377500</v>
      </c>
      <c r="K10" s="68" t="s">
        <v>19603</v>
      </c>
      <c r="L10" s="79" t="s">
        <v>1103</v>
      </c>
      <c r="M10" s="68">
        <f t="shared" si="3"/>
        <v>300</v>
      </c>
    </row>
    <row r="11" spans="1:29" x14ac:dyDescent="0.2">
      <c r="A11" s="68">
        <v>10</v>
      </c>
      <c r="B11" s="77">
        <v>1000</v>
      </c>
      <c r="D11">
        <f t="shared" si="1"/>
        <v>80</v>
      </c>
      <c r="E11">
        <f t="shared" si="2"/>
        <v>50</v>
      </c>
      <c r="F11" t="s">
        <v>21837</v>
      </c>
      <c r="K11" s="68" t="s">
        <v>19601</v>
      </c>
      <c r="L11" s="79" t="s">
        <v>1103</v>
      </c>
      <c r="M11" s="68">
        <f t="shared" si="3"/>
        <v>300</v>
      </c>
    </row>
    <row r="12" spans="1:29" x14ac:dyDescent="0.2">
      <c r="A12" s="68">
        <v>11</v>
      </c>
      <c r="B12" s="77">
        <v>2000</v>
      </c>
      <c r="C12" s="68" t="s">
        <v>19599</v>
      </c>
      <c r="D12">
        <f t="shared" si="1"/>
        <v>88</v>
      </c>
      <c r="E12">
        <f t="shared" si="2"/>
        <v>55</v>
      </c>
      <c r="F12" s="68"/>
      <c r="K12" s="68" t="s">
        <v>19604</v>
      </c>
      <c r="L12" s="79" t="s">
        <v>1103</v>
      </c>
      <c r="M12" s="68">
        <f t="shared" si="3"/>
        <v>300</v>
      </c>
    </row>
    <row r="13" spans="1:29" x14ac:dyDescent="0.2">
      <c r="A13" s="68">
        <v>12</v>
      </c>
      <c r="B13" s="77">
        <v>2000</v>
      </c>
      <c r="C13" s="68" t="s">
        <v>19599</v>
      </c>
      <c r="D13">
        <f t="shared" si="1"/>
        <v>96</v>
      </c>
      <c r="E13">
        <f t="shared" si="2"/>
        <v>60</v>
      </c>
      <c r="F13" s="68"/>
      <c r="K13" s="68" t="s">
        <v>19602</v>
      </c>
      <c r="L13" s="79" t="s">
        <v>1103</v>
      </c>
      <c r="M13" s="68">
        <f t="shared" si="3"/>
        <v>300</v>
      </c>
    </row>
    <row r="14" spans="1:29" x14ac:dyDescent="0.2">
      <c r="A14" s="68">
        <v>13</v>
      </c>
      <c r="B14" s="77">
        <v>2000</v>
      </c>
      <c r="C14" s="68" t="s">
        <v>19599</v>
      </c>
      <c r="D14">
        <f t="shared" si="1"/>
        <v>104</v>
      </c>
      <c r="E14">
        <f t="shared" si="2"/>
        <v>65</v>
      </c>
      <c r="F14" s="68"/>
      <c r="K14" s="68" t="s">
        <v>19599</v>
      </c>
      <c r="L14" s="79" t="s">
        <v>1947</v>
      </c>
      <c r="M14" s="68">
        <f t="shared" si="3"/>
        <v>630</v>
      </c>
    </row>
    <row r="15" spans="1:29" x14ac:dyDescent="0.2">
      <c r="A15" s="68">
        <v>14</v>
      </c>
      <c r="B15" s="77">
        <v>2000</v>
      </c>
      <c r="C15" s="68" t="s">
        <v>19599</v>
      </c>
      <c r="D15">
        <f t="shared" si="1"/>
        <v>112</v>
      </c>
      <c r="E15">
        <f t="shared" si="2"/>
        <v>70</v>
      </c>
      <c r="F15" s="68"/>
      <c r="K15" s="68" t="s">
        <v>19600</v>
      </c>
      <c r="L15" s="79" t="s">
        <v>1947</v>
      </c>
      <c r="M15" s="68">
        <f t="shared" si="3"/>
        <v>630</v>
      </c>
    </row>
    <row r="16" spans="1:29" x14ac:dyDescent="0.2">
      <c r="A16" s="68">
        <v>15</v>
      </c>
      <c r="B16" s="77">
        <v>2000</v>
      </c>
      <c r="C16" s="68" t="s">
        <v>19599</v>
      </c>
      <c r="D16">
        <f t="shared" si="1"/>
        <v>120</v>
      </c>
      <c r="E16">
        <f t="shared" si="2"/>
        <v>75</v>
      </c>
      <c r="F16" t="s">
        <v>21838</v>
      </c>
      <c r="K16" s="68" t="s">
        <v>19603</v>
      </c>
      <c r="L16" s="79" t="s">
        <v>1947</v>
      </c>
      <c r="M16" s="68">
        <f t="shared" si="3"/>
        <v>315</v>
      </c>
    </row>
    <row r="17" spans="1:13" x14ac:dyDescent="0.2">
      <c r="A17" s="68">
        <v>16</v>
      </c>
      <c r="B17" s="77">
        <v>2000</v>
      </c>
      <c r="C17" s="68" t="s">
        <v>19599</v>
      </c>
      <c r="D17">
        <f t="shared" si="1"/>
        <v>128</v>
      </c>
      <c r="E17">
        <f t="shared" si="2"/>
        <v>80</v>
      </c>
      <c r="F17" s="68"/>
      <c r="K17" s="68" t="s">
        <v>19601</v>
      </c>
      <c r="L17" s="79" t="s">
        <v>1947</v>
      </c>
      <c r="M17" s="68">
        <f t="shared" si="3"/>
        <v>315</v>
      </c>
    </row>
    <row r="18" spans="1:13" x14ac:dyDescent="0.2">
      <c r="A18" s="68">
        <v>17</v>
      </c>
      <c r="B18" s="77">
        <v>2000</v>
      </c>
      <c r="C18" s="68" t="s">
        <v>19599</v>
      </c>
      <c r="D18">
        <f t="shared" si="1"/>
        <v>136</v>
      </c>
      <c r="E18">
        <f t="shared" si="2"/>
        <v>85</v>
      </c>
      <c r="F18" s="68"/>
      <c r="K18" s="68" t="s">
        <v>19604</v>
      </c>
      <c r="L18" s="79" t="s">
        <v>1947</v>
      </c>
      <c r="M18" s="68">
        <f t="shared" si="3"/>
        <v>315</v>
      </c>
    </row>
    <row r="19" spans="1:13" x14ac:dyDescent="0.2">
      <c r="A19" s="68">
        <v>18</v>
      </c>
      <c r="B19" s="77">
        <v>2000</v>
      </c>
      <c r="C19" s="68" t="s">
        <v>19599</v>
      </c>
      <c r="D19">
        <f t="shared" si="1"/>
        <v>144</v>
      </c>
      <c r="E19">
        <f t="shared" si="2"/>
        <v>90</v>
      </c>
      <c r="F19" s="68"/>
      <c r="K19" s="68" t="s">
        <v>19602</v>
      </c>
      <c r="L19" s="79" t="s">
        <v>1947</v>
      </c>
      <c r="M19" s="68">
        <f t="shared" si="3"/>
        <v>315</v>
      </c>
    </row>
    <row r="20" spans="1:13" x14ac:dyDescent="0.2">
      <c r="A20" s="68">
        <v>19</v>
      </c>
      <c r="B20" s="77">
        <v>2000</v>
      </c>
      <c r="C20" s="68" t="s">
        <v>19599</v>
      </c>
      <c r="D20">
        <f t="shared" si="1"/>
        <v>152</v>
      </c>
      <c r="E20">
        <f t="shared" si="2"/>
        <v>95</v>
      </c>
      <c r="K20" s="68" t="s">
        <v>19599</v>
      </c>
      <c r="L20" s="79" t="s">
        <v>2837</v>
      </c>
      <c r="M20" s="68">
        <f t="shared" si="3"/>
        <v>660</v>
      </c>
    </row>
    <row r="21" spans="1:13" x14ac:dyDescent="0.2">
      <c r="A21" s="68">
        <v>20</v>
      </c>
      <c r="B21" s="77">
        <v>2000</v>
      </c>
      <c r="C21" s="68" t="s">
        <v>19599</v>
      </c>
      <c r="D21">
        <f t="shared" si="1"/>
        <v>160</v>
      </c>
      <c r="E21">
        <f t="shared" si="2"/>
        <v>100</v>
      </c>
      <c r="F21" t="s">
        <v>21839</v>
      </c>
      <c r="K21" s="68" t="s">
        <v>19600</v>
      </c>
      <c r="L21" s="79" t="s">
        <v>2837</v>
      </c>
      <c r="M21" s="68">
        <f t="shared" si="3"/>
        <v>660</v>
      </c>
    </row>
    <row r="22" spans="1:13" x14ac:dyDescent="0.2">
      <c r="A22" s="68">
        <v>21</v>
      </c>
      <c r="B22" s="77">
        <v>3000</v>
      </c>
      <c r="C22" s="68" t="s">
        <v>19600</v>
      </c>
      <c r="D22">
        <f t="shared" si="1"/>
        <v>168</v>
      </c>
      <c r="E22">
        <f t="shared" si="2"/>
        <v>105</v>
      </c>
      <c r="F22" s="68"/>
      <c r="K22" s="68" t="s">
        <v>19603</v>
      </c>
      <c r="L22" s="79" t="s">
        <v>2837</v>
      </c>
      <c r="M22" s="68">
        <f t="shared" si="3"/>
        <v>330</v>
      </c>
    </row>
    <row r="23" spans="1:13" x14ac:dyDescent="0.2">
      <c r="A23" s="68">
        <v>22</v>
      </c>
      <c r="B23" s="77">
        <v>3000</v>
      </c>
      <c r="C23" s="68" t="s">
        <v>19600</v>
      </c>
      <c r="D23">
        <f t="shared" si="1"/>
        <v>176</v>
      </c>
      <c r="E23">
        <f t="shared" si="2"/>
        <v>110</v>
      </c>
      <c r="F23" s="68"/>
      <c r="K23" s="68" t="s">
        <v>19601</v>
      </c>
      <c r="L23" s="79" t="s">
        <v>2837</v>
      </c>
      <c r="M23" s="68">
        <f t="shared" si="3"/>
        <v>330</v>
      </c>
    </row>
    <row r="24" spans="1:13" x14ac:dyDescent="0.2">
      <c r="A24" s="68">
        <v>23</v>
      </c>
      <c r="B24" s="77">
        <v>3000</v>
      </c>
      <c r="C24" s="68" t="s">
        <v>19600</v>
      </c>
      <c r="D24">
        <f t="shared" si="1"/>
        <v>184</v>
      </c>
      <c r="E24">
        <f t="shared" si="2"/>
        <v>115</v>
      </c>
      <c r="F24" s="68"/>
      <c r="K24" s="68" t="s">
        <v>19604</v>
      </c>
      <c r="L24" s="79" t="s">
        <v>2837</v>
      </c>
      <c r="M24" s="68">
        <f t="shared" si="3"/>
        <v>330</v>
      </c>
    </row>
    <row r="25" spans="1:13" x14ac:dyDescent="0.2">
      <c r="A25" s="68">
        <v>24</v>
      </c>
      <c r="B25" s="77">
        <v>3000</v>
      </c>
      <c r="C25" s="68" t="s">
        <v>19600</v>
      </c>
      <c r="D25">
        <f t="shared" si="1"/>
        <v>192</v>
      </c>
      <c r="E25">
        <f t="shared" si="2"/>
        <v>120</v>
      </c>
      <c r="F25" s="68"/>
      <c r="K25" s="68" t="s">
        <v>19602</v>
      </c>
      <c r="L25" s="79" t="s">
        <v>2837</v>
      </c>
      <c r="M25" s="68">
        <f t="shared" si="3"/>
        <v>330</v>
      </c>
    </row>
    <row r="26" spans="1:13" x14ac:dyDescent="0.2">
      <c r="A26" s="68">
        <v>25</v>
      </c>
      <c r="B26" s="77">
        <v>3000</v>
      </c>
      <c r="C26" s="68" t="s">
        <v>19600</v>
      </c>
      <c r="D26">
        <f t="shared" si="1"/>
        <v>200</v>
      </c>
      <c r="E26">
        <f t="shared" si="2"/>
        <v>125</v>
      </c>
      <c r="F26" t="s">
        <v>21840</v>
      </c>
      <c r="K26" s="68" t="s">
        <v>19599</v>
      </c>
      <c r="L26" s="79" t="s">
        <v>3779</v>
      </c>
      <c r="M26" s="68">
        <f t="shared" si="3"/>
        <v>570</v>
      </c>
    </row>
    <row r="27" spans="1:13" x14ac:dyDescent="0.2">
      <c r="A27" s="68">
        <v>26</v>
      </c>
      <c r="B27" s="77">
        <v>3000</v>
      </c>
      <c r="C27" s="68" t="s">
        <v>19600</v>
      </c>
      <c r="D27">
        <f t="shared" si="1"/>
        <v>208</v>
      </c>
      <c r="E27">
        <f t="shared" si="2"/>
        <v>130</v>
      </c>
      <c r="K27" s="68" t="s">
        <v>19600</v>
      </c>
      <c r="L27" s="79" t="s">
        <v>3779</v>
      </c>
      <c r="M27" s="68">
        <f t="shared" si="3"/>
        <v>570</v>
      </c>
    </row>
    <row r="28" spans="1:13" x14ac:dyDescent="0.2">
      <c r="A28" s="68">
        <v>27</v>
      </c>
      <c r="B28" s="77">
        <v>3000</v>
      </c>
      <c r="C28" s="68" t="s">
        <v>19600</v>
      </c>
      <c r="D28">
        <f t="shared" si="1"/>
        <v>216</v>
      </c>
      <c r="E28">
        <f t="shared" si="2"/>
        <v>135</v>
      </c>
      <c r="F28" s="68"/>
      <c r="K28" s="68" t="s">
        <v>19603</v>
      </c>
      <c r="L28" s="79" t="s">
        <v>3779</v>
      </c>
      <c r="M28" s="68">
        <f t="shared" si="3"/>
        <v>285</v>
      </c>
    </row>
    <row r="29" spans="1:13" x14ac:dyDescent="0.2">
      <c r="A29" s="68">
        <v>28</v>
      </c>
      <c r="B29" s="77">
        <v>3000</v>
      </c>
      <c r="C29" s="68" t="s">
        <v>19600</v>
      </c>
      <c r="D29">
        <f t="shared" si="1"/>
        <v>224</v>
      </c>
      <c r="E29">
        <f t="shared" si="2"/>
        <v>140</v>
      </c>
      <c r="F29" s="68"/>
      <c r="K29" s="68" t="s">
        <v>19601</v>
      </c>
      <c r="L29" s="79" t="s">
        <v>3779</v>
      </c>
      <c r="M29" s="68">
        <f t="shared" si="3"/>
        <v>285</v>
      </c>
    </row>
    <row r="30" spans="1:13" x14ac:dyDescent="0.2">
      <c r="A30" s="68">
        <v>29</v>
      </c>
      <c r="B30" s="77">
        <v>3000</v>
      </c>
      <c r="C30" s="68" t="s">
        <v>19600</v>
      </c>
      <c r="D30">
        <f t="shared" si="1"/>
        <v>232</v>
      </c>
      <c r="E30">
        <f t="shared" si="2"/>
        <v>145</v>
      </c>
      <c r="K30" s="68" t="s">
        <v>19604</v>
      </c>
      <c r="L30" s="79" t="s">
        <v>3779</v>
      </c>
      <c r="M30" s="68">
        <f t="shared" si="3"/>
        <v>285</v>
      </c>
    </row>
    <row r="31" spans="1:13" x14ac:dyDescent="0.2">
      <c r="A31" s="68">
        <v>30</v>
      </c>
      <c r="B31" s="77">
        <v>3000</v>
      </c>
      <c r="C31" s="68" t="s">
        <v>19600</v>
      </c>
      <c r="D31">
        <f t="shared" si="1"/>
        <v>240</v>
      </c>
      <c r="E31">
        <f t="shared" si="2"/>
        <v>150</v>
      </c>
      <c r="F31" t="s">
        <v>21841</v>
      </c>
      <c r="K31" s="68" t="s">
        <v>19602</v>
      </c>
      <c r="L31" s="79" t="s">
        <v>3779</v>
      </c>
      <c r="M31" s="68">
        <f t="shared" si="3"/>
        <v>285</v>
      </c>
    </row>
    <row r="32" spans="1:13" x14ac:dyDescent="0.2">
      <c r="A32" s="68">
        <v>31</v>
      </c>
      <c r="B32" s="77">
        <v>4000</v>
      </c>
      <c r="C32" s="68" t="s">
        <v>19603</v>
      </c>
      <c r="D32">
        <f t="shared" si="1"/>
        <v>248</v>
      </c>
      <c r="E32">
        <f t="shared" si="2"/>
        <v>155</v>
      </c>
      <c r="F32" s="68"/>
    </row>
    <row r="33" spans="1:12" x14ac:dyDescent="0.2">
      <c r="A33" s="68">
        <v>32</v>
      </c>
      <c r="B33" s="77">
        <v>4000</v>
      </c>
      <c r="C33" s="68" t="s">
        <v>19603</v>
      </c>
      <c r="D33">
        <f t="shared" si="1"/>
        <v>256</v>
      </c>
      <c r="E33">
        <f t="shared" si="2"/>
        <v>160</v>
      </c>
      <c r="K33" s="81" t="s">
        <v>113</v>
      </c>
    </row>
    <row r="34" spans="1:12" x14ac:dyDescent="0.2">
      <c r="A34" s="68">
        <v>33</v>
      </c>
      <c r="B34" s="77">
        <v>4000</v>
      </c>
      <c r="C34" s="68" t="s">
        <v>19603</v>
      </c>
      <c r="D34">
        <f t="shared" si="1"/>
        <v>264</v>
      </c>
      <c r="E34">
        <f t="shared" si="2"/>
        <v>165</v>
      </c>
      <c r="F34" s="68"/>
      <c r="K34" t="s">
        <v>21842</v>
      </c>
    </row>
    <row r="35" spans="1:12" x14ac:dyDescent="0.2">
      <c r="A35" s="68">
        <v>34</v>
      </c>
      <c r="B35" s="77">
        <v>4000</v>
      </c>
      <c r="C35" s="68" t="s">
        <v>19603</v>
      </c>
      <c r="D35">
        <f t="shared" si="1"/>
        <v>272</v>
      </c>
      <c r="E35">
        <f t="shared" si="2"/>
        <v>170</v>
      </c>
      <c r="F35" s="68"/>
      <c r="K35" t="s">
        <v>21843</v>
      </c>
    </row>
    <row r="36" spans="1:12" x14ac:dyDescent="0.2">
      <c r="A36" s="68">
        <v>35</v>
      </c>
      <c r="B36" s="77">
        <v>4000</v>
      </c>
      <c r="C36" s="68" t="s">
        <v>19603</v>
      </c>
      <c r="D36">
        <f t="shared" si="1"/>
        <v>280</v>
      </c>
      <c r="E36">
        <f t="shared" si="2"/>
        <v>175</v>
      </c>
      <c r="F36" t="s">
        <v>21844</v>
      </c>
      <c r="K36" t="s">
        <v>21845</v>
      </c>
    </row>
    <row r="37" spans="1:12" x14ac:dyDescent="0.2">
      <c r="A37" s="68">
        <v>36</v>
      </c>
      <c r="B37" s="77">
        <v>4000</v>
      </c>
      <c r="C37" s="68" t="s">
        <v>19601</v>
      </c>
      <c r="D37">
        <f t="shared" si="1"/>
        <v>288</v>
      </c>
      <c r="E37">
        <f t="shared" si="2"/>
        <v>180</v>
      </c>
      <c r="F37" s="68"/>
      <c r="H37" s="68"/>
      <c r="K37" t="s">
        <v>21846</v>
      </c>
    </row>
    <row r="38" spans="1:12" x14ac:dyDescent="0.2">
      <c r="A38" s="68">
        <v>37</v>
      </c>
      <c r="B38" s="77">
        <v>4000</v>
      </c>
      <c r="C38" s="68" t="s">
        <v>19601</v>
      </c>
      <c r="D38">
        <f t="shared" si="1"/>
        <v>296</v>
      </c>
      <c r="E38">
        <f t="shared" si="2"/>
        <v>185</v>
      </c>
      <c r="F38" s="68"/>
      <c r="H38" s="68"/>
      <c r="K38" t="s">
        <v>21847</v>
      </c>
    </row>
    <row r="39" spans="1:12" x14ac:dyDescent="0.2">
      <c r="A39" s="68">
        <v>38</v>
      </c>
      <c r="B39" s="77">
        <v>4000</v>
      </c>
      <c r="C39" s="68" t="s">
        <v>19601</v>
      </c>
      <c r="D39">
        <f t="shared" si="1"/>
        <v>304</v>
      </c>
      <c r="E39">
        <f t="shared" si="2"/>
        <v>190</v>
      </c>
      <c r="H39" s="68"/>
      <c r="K39" t="s">
        <v>21848</v>
      </c>
    </row>
    <row r="40" spans="1:12" x14ac:dyDescent="0.2">
      <c r="A40" s="68">
        <v>39</v>
      </c>
      <c r="B40" s="77">
        <v>4000</v>
      </c>
      <c r="C40" s="68" t="s">
        <v>19601</v>
      </c>
      <c r="D40">
        <f t="shared" si="1"/>
        <v>312</v>
      </c>
      <c r="E40">
        <f t="shared" si="2"/>
        <v>195</v>
      </c>
      <c r="H40" s="68"/>
      <c r="K40" t="s">
        <v>21849</v>
      </c>
    </row>
    <row r="41" spans="1:12" x14ac:dyDescent="0.2">
      <c r="A41" s="68">
        <v>40</v>
      </c>
      <c r="B41" s="77">
        <v>4000</v>
      </c>
      <c r="C41" t="s">
        <v>19601</v>
      </c>
      <c r="D41">
        <f t="shared" si="1"/>
        <v>320</v>
      </c>
      <c r="E41">
        <f t="shared" si="2"/>
        <v>200</v>
      </c>
      <c r="F41" t="s">
        <v>21850</v>
      </c>
      <c r="H41" s="68"/>
    </row>
    <row r="42" spans="1:12" x14ac:dyDescent="0.2">
      <c r="A42" s="68">
        <v>41</v>
      </c>
      <c r="B42" s="77">
        <v>5000</v>
      </c>
      <c r="C42" s="68" t="s">
        <v>19604</v>
      </c>
      <c r="D42">
        <f t="shared" si="1"/>
        <v>328</v>
      </c>
      <c r="E42">
        <f t="shared" si="2"/>
        <v>205</v>
      </c>
      <c r="F42" s="68"/>
    </row>
    <row r="43" spans="1:12" x14ac:dyDescent="0.2">
      <c r="A43" s="68">
        <v>42</v>
      </c>
      <c r="B43" s="77">
        <v>5000</v>
      </c>
      <c r="C43" s="68" t="s">
        <v>19604</v>
      </c>
      <c r="D43">
        <f t="shared" si="1"/>
        <v>336</v>
      </c>
      <c r="E43">
        <f t="shared" si="2"/>
        <v>210</v>
      </c>
    </row>
    <row r="44" spans="1:12" x14ac:dyDescent="0.2">
      <c r="A44" s="68">
        <v>43</v>
      </c>
      <c r="B44" s="77">
        <v>5000</v>
      </c>
      <c r="C44" s="68" t="s">
        <v>19604</v>
      </c>
      <c r="D44">
        <f t="shared" si="1"/>
        <v>344</v>
      </c>
      <c r="E44">
        <f t="shared" si="2"/>
        <v>215</v>
      </c>
      <c r="F44" s="68"/>
      <c r="L44" s="71"/>
    </row>
    <row r="45" spans="1:12" x14ac:dyDescent="0.2">
      <c r="A45" s="68">
        <v>44</v>
      </c>
      <c r="B45" s="77">
        <v>5000</v>
      </c>
      <c r="C45" s="68" t="s">
        <v>19604</v>
      </c>
      <c r="D45">
        <f t="shared" si="1"/>
        <v>352</v>
      </c>
      <c r="E45">
        <f t="shared" si="2"/>
        <v>220</v>
      </c>
      <c r="F45" s="68"/>
      <c r="L45" s="71"/>
    </row>
    <row r="46" spans="1:12" x14ac:dyDescent="0.2">
      <c r="A46" s="68">
        <v>45</v>
      </c>
      <c r="B46" s="77">
        <v>5000</v>
      </c>
      <c r="C46" s="68" t="s">
        <v>19604</v>
      </c>
      <c r="D46">
        <f t="shared" si="1"/>
        <v>360</v>
      </c>
      <c r="E46">
        <f t="shared" si="2"/>
        <v>225</v>
      </c>
      <c r="F46" t="s">
        <v>21851</v>
      </c>
      <c r="L46" s="71"/>
    </row>
    <row r="47" spans="1:12" x14ac:dyDescent="0.2">
      <c r="A47" s="68">
        <v>46</v>
      </c>
      <c r="B47" s="77">
        <v>5000</v>
      </c>
      <c r="C47" s="68" t="s">
        <v>19602</v>
      </c>
      <c r="D47">
        <f t="shared" si="1"/>
        <v>368</v>
      </c>
      <c r="E47">
        <f t="shared" si="2"/>
        <v>230</v>
      </c>
      <c r="L47" s="71"/>
    </row>
    <row r="48" spans="1:12" x14ac:dyDescent="0.2">
      <c r="A48" s="68">
        <v>47</v>
      </c>
      <c r="B48" s="77">
        <v>5000</v>
      </c>
      <c r="C48" s="68" t="s">
        <v>19602</v>
      </c>
      <c r="D48">
        <f t="shared" si="1"/>
        <v>376</v>
      </c>
      <c r="E48">
        <f t="shared" si="2"/>
        <v>235</v>
      </c>
      <c r="L48" s="71"/>
    </row>
    <row r="49" spans="1:12" x14ac:dyDescent="0.2">
      <c r="A49" s="68">
        <v>48</v>
      </c>
      <c r="B49" s="77">
        <v>5000</v>
      </c>
      <c r="C49" s="68" t="s">
        <v>19602</v>
      </c>
      <c r="D49">
        <f t="shared" si="1"/>
        <v>384</v>
      </c>
      <c r="E49">
        <f t="shared" si="2"/>
        <v>240</v>
      </c>
      <c r="L49" s="71"/>
    </row>
    <row r="50" spans="1:12" x14ac:dyDescent="0.2">
      <c r="A50" s="68">
        <v>49</v>
      </c>
      <c r="B50" s="77">
        <v>5000</v>
      </c>
      <c r="C50" s="68" t="s">
        <v>19602</v>
      </c>
      <c r="D50">
        <f t="shared" si="1"/>
        <v>392</v>
      </c>
      <c r="E50">
        <f t="shared" si="2"/>
        <v>245</v>
      </c>
      <c r="L50" s="71"/>
    </row>
    <row r="51" spans="1:12" x14ac:dyDescent="0.2">
      <c r="A51" s="68">
        <v>50</v>
      </c>
      <c r="B51" s="77">
        <v>5000</v>
      </c>
      <c r="C51" s="68" t="s">
        <v>19602</v>
      </c>
      <c r="D51">
        <f t="shared" si="1"/>
        <v>400</v>
      </c>
      <c r="E51">
        <f t="shared" si="2"/>
        <v>250</v>
      </c>
      <c r="F51" t="s">
        <v>21852</v>
      </c>
      <c r="L51" s="71"/>
    </row>
    <row r="52" spans="1:12" x14ac:dyDescent="0.2">
      <c r="B52" s="77"/>
      <c r="L52" s="71"/>
    </row>
    <row r="53" spans="1:12" x14ac:dyDescent="0.2">
      <c r="A53" s="292"/>
      <c r="B53" s="165">
        <f>SUM(B2:B52)</f>
        <v>145500</v>
      </c>
      <c r="C53" s="67" t="s">
        <v>21853</v>
      </c>
      <c r="D53" s="292"/>
      <c r="E53" s="292"/>
      <c r="F53" s="292"/>
      <c r="L53" s="71"/>
    </row>
    <row r="54" spans="1:12" x14ac:dyDescent="0.2">
      <c r="B54" s="77"/>
      <c r="L54" s="71"/>
    </row>
    <row r="55" spans="1:12" x14ac:dyDescent="0.2">
      <c r="B55" s="77"/>
      <c r="L55" s="71"/>
    </row>
    <row r="56" spans="1:12" x14ac:dyDescent="0.2">
      <c r="B56" s="77"/>
      <c r="L56" s="71"/>
    </row>
    <row r="57" spans="1:12" x14ac:dyDescent="0.2">
      <c r="B57" s="77"/>
      <c r="L57" s="71"/>
    </row>
    <row r="58" spans="1:12" x14ac:dyDescent="0.2">
      <c r="B58" s="77"/>
      <c r="L58" s="71"/>
    </row>
    <row r="59" spans="1:12" x14ac:dyDescent="0.2">
      <c r="B59" s="77"/>
      <c r="L59" s="71"/>
    </row>
    <row r="60" spans="1:12" x14ac:dyDescent="0.2">
      <c r="B60" s="77"/>
      <c r="L60" s="71"/>
    </row>
    <row r="61" spans="1:12" x14ac:dyDescent="0.2">
      <c r="B61" s="77"/>
      <c r="L61" s="71"/>
    </row>
    <row r="62" spans="1:12" x14ac:dyDescent="0.2">
      <c r="B62" s="77"/>
      <c r="L62" s="71"/>
    </row>
    <row r="63" spans="1:12" x14ac:dyDescent="0.2">
      <c r="B63" s="77"/>
      <c r="L63" s="71"/>
    </row>
    <row r="64" spans="1:12" x14ac:dyDescent="0.2">
      <c r="B64" s="77"/>
      <c r="L64" s="71"/>
    </row>
    <row r="65" spans="2:12" x14ac:dyDescent="0.2">
      <c r="B65" s="77"/>
      <c r="L65" s="71"/>
    </row>
    <row r="66" spans="2:12" x14ac:dyDescent="0.2">
      <c r="B66" s="77"/>
      <c r="L66" s="71"/>
    </row>
    <row r="67" spans="2:12" x14ac:dyDescent="0.2">
      <c r="B67" s="77"/>
      <c r="L67" s="71"/>
    </row>
    <row r="68" spans="2:12" x14ac:dyDescent="0.2">
      <c r="B68" s="77"/>
      <c r="L68" s="71"/>
    </row>
    <row r="69" spans="2:12" x14ac:dyDescent="0.2">
      <c r="B69" s="77"/>
      <c r="L69" s="71"/>
    </row>
    <row r="70" spans="2:12" x14ac:dyDescent="0.2">
      <c r="B70" s="77"/>
      <c r="L70" s="71"/>
    </row>
    <row r="71" spans="2:12" x14ac:dyDescent="0.2">
      <c r="B71" s="77"/>
      <c r="L71" s="71"/>
    </row>
    <row r="72" spans="2:12" x14ac:dyDescent="0.2">
      <c r="B72" s="77"/>
      <c r="L72" s="71"/>
    </row>
    <row r="73" spans="2:12" x14ac:dyDescent="0.2">
      <c r="B73" s="77"/>
      <c r="L73" s="71"/>
    </row>
    <row r="74" spans="2:12" x14ac:dyDescent="0.2">
      <c r="B74" s="77"/>
      <c r="L74" s="71"/>
    </row>
    <row r="75" spans="2:12" x14ac:dyDescent="0.2">
      <c r="B75" s="77"/>
      <c r="L75" s="71"/>
    </row>
    <row r="76" spans="2:12" x14ac:dyDescent="0.2">
      <c r="B76" s="77"/>
      <c r="L76" s="71"/>
    </row>
    <row r="77" spans="2:12" x14ac:dyDescent="0.2">
      <c r="B77" s="77"/>
      <c r="L77" s="71"/>
    </row>
    <row r="78" spans="2:12" x14ac:dyDescent="0.2">
      <c r="B78" s="77"/>
      <c r="L78" s="71"/>
    </row>
    <row r="79" spans="2:12" x14ac:dyDescent="0.2">
      <c r="B79" s="77"/>
      <c r="L79" s="71"/>
    </row>
    <row r="80" spans="2:12" x14ac:dyDescent="0.2">
      <c r="B80" s="77"/>
      <c r="L80" s="71"/>
    </row>
    <row r="81" spans="2:12" x14ac:dyDescent="0.2">
      <c r="B81" s="77"/>
      <c r="L81" s="71"/>
    </row>
    <row r="82" spans="2:12" x14ac:dyDescent="0.2">
      <c r="B82" s="77"/>
      <c r="L82" s="71"/>
    </row>
    <row r="83" spans="2:12" x14ac:dyDescent="0.2">
      <c r="B83" s="77"/>
      <c r="L83" s="71"/>
    </row>
    <row r="84" spans="2:12" x14ac:dyDescent="0.2">
      <c r="B84" s="77"/>
      <c r="L84" s="71"/>
    </row>
    <row r="85" spans="2:12" x14ac:dyDescent="0.2">
      <c r="B85" s="77"/>
      <c r="L85" s="71"/>
    </row>
    <row r="86" spans="2:12" x14ac:dyDescent="0.2">
      <c r="B86" s="77"/>
      <c r="L86" s="71"/>
    </row>
    <row r="87" spans="2:12" x14ac:dyDescent="0.2">
      <c r="B87" s="77"/>
      <c r="L87" s="71"/>
    </row>
    <row r="88" spans="2:12" x14ac:dyDescent="0.2">
      <c r="B88" s="77"/>
      <c r="L88" s="71"/>
    </row>
    <row r="89" spans="2:12" x14ac:dyDescent="0.2">
      <c r="B89" s="77"/>
      <c r="L89" s="71"/>
    </row>
    <row r="90" spans="2:12" x14ac:dyDescent="0.2">
      <c r="B90" s="77"/>
      <c r="L90" s="71"/>
    </row>
    <row r="91" spans="2:12" x14ac:dyDescent="0.2">
      <c r="B91" s="77"/>
      <c r="L91" s="71"/>
    </row>
    <row r="92" spans="2:12" x14ac:dyDescent="0.2">
      <c r="B92" s="77"/>
      <c r="L92" s="71"/>
    </row>
    <row r="93" spans="2:12" x14ac:dyDescent="0.2">
      <c r="B93" s="77"/>
      <c r="L93" s="71"/>
    </row>
    <row r="94" spans="2:12" x14ac:dyDescent="0.2">
      <c r="B94" s="77"/>
      <c r="L94" s="71"/>
    </row>
    <row r="95" spans="2:12" x14ac:dyDescent="0.2">
      <c r="B95" s="77"/>
      <c r="L95" s="71"/>
    </row>
    <row r="96" spans="2:12" x14ac:dyDescent="0.2">
      <c r="B96" s="77"/>
      <c r="L96" s="71"/>
    </row>
    <row r="97" spans="2:12" x14ac:dyDescent="0.2">
      <c r="B97" s="77"/>
      <c r="L97" s="71"/>
    </row>
    <row r="98" spans="2:12" x14ac:dyDescent="0.2">
      <c r="B98" s="77"/>
      <c r="L98" s="71"/>
    </row>
    <row r="99" spans="2:12" x14ac:dyDescent="0.2">
      <c r="B99" s="77"/>
      <c r="L99" s="71"/>
    </row>
    <row r="100" spans="2:12" x14ac:dyDescent="0.2">
      <c r="B100" s="77"/>
      <c r="L100" s="71"/>
    </row>
    <row r="101" spans="2:12" x14ac:dyDescent="0.2">
      <c r="B101" s="77"/>
      <c r="L101" s="71"/>
    </row>
    <row r="102" spans="2:12" x14ac:dyDescent="0.2">
      <c r="B102" s="77"/>
      <c r="L102" s="71"/>
    </row>
    <row r="103" spans="2:12" x14ac:dyDescent="0.2">
      <c r="B103" s="77"/>
      <c r="L103" s="71"/>
    </row>
    <row r="104" spans="2:12" x14ac:dyDescent="0.2">
      <c r="B104" s="77"/>
      <c r="L104" s="71"/>
    </row>
    <row r="105" spans="2:12" x14ac:dyDescent="0.2">
      <c r="B105" s="77"/>
      <c r="L105" s="71"/>
    </row>
    <row r="106" spans="2:12" x14ac:dyDescent="0.2">
      <c r="B106" s="77"/>
      <c r="L106" s="71"/>
    </row>
    <row r="107" spans="2:12" x14ac:dyDescent="0.2">
      <c r="B107" s="77"/>
      <c r="L107" s="71"/>
    </row>
    <row r="108" spans="2:12" x14ac:dyDescent="0.2">
      <c r="B108" s="77"/>
      <c r="L108" s="71"/>
    </row>
    <row r="109" spans="2:12" x14ac:dyDescent="0.2">
      <c r="B109" s="77"/>
      <c r="L109" s="71"/>
    </row>
    <row r="110" spans="2:12" x14ac:dyDescent="0.2">
      <c r="B110" s="77"/>
      <c r="L110" s="71"/>
    </row>
    <row r="111" spans="2:12" x14ac:dyDescent="0.2">
      <c r="B111" s="77"/>
      <c r="L111" s="71"/>
    </row>
    <row r="112" spans="2:12" x14ac:dyDescent="0.2">
      <c r="B112" s="77"/>
      <c r="L112" s="71"/>
    </row>
    <row r="113" spans="2:12" x14ac:dyDescent="0.2">
      <c r="B113" s="77"/>
      <c r="L113" s="71"/>
    </row>
    <row r="114" spans="2:12" x14ac:dyDescent="0.2">
      <c r="B114" s="77"/>
      <c r="L114" s="71"/>
    </row>
    <row r="115" spans="2:12" x14ac:dyDescent="0.2">
      <c r="B115" s="77"/>
      <c r="L115" s="71"/>
    </row>
    <row r="116" spans="2:12" x14ac:dyDescent="0.2">
      <c r="B116" s="77"/>
      <c r="L116" s="71"/>
    </row>
    <row r="117" spans="2:12" x14ac:dyDescent="0.2">
      <c r="B117" s="77"/>
      <c r="L117" s="71"/>
    </row>
    <row r="118" spans="2:12" x14ac:dyDescent="0.2">
      <c r="B118" s="77"/>
      <c r="L118" s="71"/>
    </row>
    <row r="119" spans="2:12" x14ac:dyDescent="0.2">
      <c r="B119" s="77"/>
      <c r="L119" s="71"/>
    </row>
    <row r="120" spans="2:12" x14ac:dyDescent="0.2">
      <c r="B120" s="77"/>
      <c r="L120" s="71"/>
    </row>
    <row r="121" spans="2:12" x14ac:dyDescent="0.2">
      <c r="B121" s="77"/>
      <c r="L121" s="71"/>
    </row>
    <row r="122" spans="2:12" x14ac:dyDescent="0.2">
      <c r="B122" s="77"/>
      <c r="L122" s="71"/>
    </row>
    <row r="123" spans="2:12" x14ac:dyDescent="0.2">
      <c r="B123" s="77"/>
      <c r="L123" s="71"/>
    </row>
    <row r="124" spans="2:12" x14ac:dyDescent="0.2">
      <c r="B124" s="77"/>
      <c r="L124" s="71"/>
    </row>
    <row r="125" spans="2:12" x14ac:dyDescent="0.2">
      <c r="B125" s="77"/>
      <c r="L125" s="71"/>
    </row>
    <row r="126" spans="2:12" x14ac:dyDescent="0.2">
      <c r="B126" s="77"/>
      <c r="L126" s="71"/>
    </row>
    <row r="127" spans="2:12" x14ac:dyDescent="0.2">
      <c r="B127" s="77"/>
      <c r="L127" s="71"/>
    </row>
    <row r="128" spans="2:12" x14ac:dyDescent="0.2">
      <c r="B128" s="77"/>
      <c r="L128" s="71"/>
    </row>
    <row r="129" spans="2:12" x14ac:dyDescent="0.2">
      <c r="B129" s="77"/>
      <c r="L129" s="71"/>
    </row>
    <row r="130" spans="2:12" x14ac:dyDescent="0.2">
      <c r="B130" s="77"/>
      <c r="L130" s="71"/>
    </row>
    <row r="131" spans="2:12" x14ac:dyDescent="0.2">
      <c r="B131" s="77"/>
      <c r="L131" s="71"/>
    </row>
    <row r="132" spans="2:12" x14ac:dyDescent="0.2">
      <c r="B132" s="77"/>
      <c r="L132" s="71"/>
    </row>
    <row r="133" spans="2:12" x14ac:dyDescent="0.2">
      <c r="B133" s="77"/>
      <c r="L133" s="71"/>
    </row>
    <row r="134" spans="2:12" x14ac:dyDescent="0.2">
      <c r="B134" s="77"/>
      <c r="L134" s="71"/>
    </row>
    <row r="135" spans="2:12" x14ac:dyDescent="0.2">
      <c r="B135" s="77"/>
      <c r="L135" s="71"/>
    </row>
    <row r="136" spans="2:12" x14ac:dyDescent="0.2">
      <c r="B136" s="77"/>
      <c r="L136" s="71"/>
    </row>
    <row r="137" spans="2:12" x14ac:dyDescent="0.2">
      <c r="B137" s="77"/>
      <c r="L137" s="71"/>
    </row>
    <row r="138" spans="2:12" x14ac:dyDescent="0.2">
      <c r="B138" s="77"/>
      <c r="L138" s="71"/>
    </row>
    <row r="139" spans="2:12" x14ac:dyDescent="0.2">
      <c r="B139" s="77"/>
      <c r="L139" s="71"/>
    </row>
    <row r="140" spans="2:12" x14ac:dyDescent="0.2">
      <c r="B140" s="77"/>
      <c r="L140" s="71"/>
    </row>
    <row r="141" spans="2:12" x14ac:dyDescent="0.2">
      <c r="B141" s="77"/>
      <c r="L141" s="71"/>
    </row>
    <row r="142" spans="2:12" x14ac:dyDescent="0.2">
      <c r="B142" s="77"/>
      <c r="L142" s="71"/>
    </row>
    <row r="143" spans="2:12" x14ac:dyDescent="0.2">
      <c r="B143" s="77"/>
      <c r="L143" s="71"/>
    </row>
    <row r="144" spans="2:12" x14ac:dyDescent="0.2">
      <c r="B144" s="77"/>
      <c r="L144" s="71"/>
    </row>
    <row r="145" spans="2:12" x14ac:dyDescent="0.2">
      <c r="B145" s="77"/>
      <c r="L145" s="71"/>
    </row>
    <row r="146" spans="2:12" x14ac:dyDescent="0.2">
      <c r="B146" s="77"/>
      <c r="L146" s="71"/>
    </row>
    <row r="147" spans="2:12" x14ac:dyDescent="0.2">
      <c r="B147" s="77"/>
      <c r="L147" s="71"/>
    </row>
    <row r="148" spans="2:12" x14ac:dyDescent="0.2">
      <c r="B148" s="77"/>
      <c r="L148" s="71"/>
    </row>
    <row r="149" spans="2:12" x14ac:dyDescent="0.2">
      <c r="B149" s="77"/>
      <c r="L149" s="71"/>
    </row>
    <row r="150" spans="2:12" x14ac:dyDescent="0.2">
      <c r="B150" s="77"/>
      <c r="L150" s="71"/>
    </row>
    <row r="151" spans="2:12" x14ac:dyDescent="0.2">
      <c r="B151" s="77"/>
      <c r="L151" s="71"/>
    </row>
    <row r="152" spans="2:12" x14ac:dyDescent="0.2">
      <c r="B152" s="77"/>
      <c r="L152" s="71"/>
    </row>
    <row r="153" spans="2:12" x14ac:dyDescent="0.2">
      <c r="B153" s="77"/>
      <c r="L153" s="71"/>
    </row>
    <row r="154" spans="2:12" x14ac:dyDescent="0.2">
      <c r="B154" s="77"/>
      <c r="L154" s="71"/>
    </row>
    <row r="155" spans="2:12" x14ac:dyDescent="0.2">
      <c r="B155" s="77"/>
      <c r="L155" s="71"/>
    </row>
    <row r="156" spans="2:12" x14ac:dyDescent="0.2">
      <c r="B156" s="77"/>
      <c r="L156" s="71"/>
    </row>
    <row r="157" spans="2:12" x14ac:dyDescent="0.2">
      <c r="B157" s="77"/>
      <c r="L157" s="71"/>
    </row>
    <row r="158" spans="2:12" x14ac:dyDescent="0.2">
      <c r="B158" s="77"/>
      <c r="L158" s="71"/>
    </row>
    <row r="159" spans="2:12" x14ac:dyDescent="0.2">
      <c r="B159" s="77"/>
      <c r="L159" s="71"/>
    </row>
    <row r="160" spans="2:12" x14ac:dyDescent="0.2">
      <c r="B160" s="77"/>
      <c r="L160" s="71"/>
    </row>
    <row r="161" spans="2:12" x14ac:dyDescent="0.2">
      <c r="B161" s="77"/>
      <c r="L161" s="71"/>
    </row>
    <row r="162" spans="2:12" x14ac:dyDescent="0.2">
      <c r="B162" s="77"/>
      <c r="L162" s="71"/>
    </row>
    <row r="163" spans="2:12" x14ac:dyDescent="0.2">
      <c r="B163" s="77"/>
      <c r="L163" s="71"/>
    </row>
    <row r="164" spans="2:12" x14ac:dyDescent="0.2">
      <c r="B164" s="77"/>
      <c r="L164" s="71"/>
    </row>
    <row r="165" spans="2:12" x14ac:dyDescent="0.2">
      <c r="B165" s="77"/>
      <c r="L165" s="71"/>
    </row>
    <row r="166" spans="2:12" x14ac:dyDescent="0.2">
      <c r="B166" s="77"/>
      <c r="L166" s="71"/>
    </row>
    <row r="167" spans="2:12" x14ac:dyDescent="0.2">
      <c r="B167" s="77"/>
      <c r="L167" s="71"/>
    </row>
    <row r="168" spans="2:12" x14ac:dyDescent="0.2">
      <c r="B168" s="77"/>
      <c r="L168" s="71"/>
    </row>
    <row r="169" spans="2:12" x14ac:dyDescent="0.2">
      <c r="B169" s="77"/>
      <c r="L169" s="71"/>
    </row>
    <row r="170" spans="2:12" x14ac:dyDescent="0.2">
      <c r="B170" s="77"/>
      <c r="L170" s="71"/>
    </row>
    <row r="171" spans="2:12" x14ac:dyDescent="0.2">
      <c r="B171" s="77"/>
      <c r="L171" s="71"/>
    </row>
    <row r="172" spans="2:12" x14ac:dyDescent="0.2">
      <c r="B172" s="77"/>
      <c r="L172" s="71"/>
    </row>
    <row r="173" spans="2:12" x14ac:dyDescent="0.2">
      <c r="B173" s="77"/>
      <c r="L173" s="71"/>
    </row>
    <row r="174" spans="2:12" x14ac:dyDescent="0.2">
      <c r="B174" s="77"/>
      <c r="L174" s="71"/>
    </row>
    <row r="175" spans="2:12" x14ac:dyDescent="0.2">
      <c r="B175" s="77"/>
      <c r="L175" s="71"/>
    </row>
    <row r="176" spans="2:12" x14ac:dyDescent="0.2">
      <c r="B176" s="77"/>
      <c r="L176" s="71"/>
    </row>
    <row r="177" spans="2:12" x14ac:dyDescent="0.2">
      <c r="B177" s="77"/>
      <c r="L177" s="71"/>
    </row>
    <row r="178" spans="2:12" x14ac:dyDescent="0.2">
      <c r="B178" s="77"/>
      <c r="L178" s="71"/>
    </row>
    <row r="179" spans="2:12" x14ac:dyDescent="0.2">
      <c r="B179" s="77"/>
      <c r="L179" s="71"/>
    </row>
    <row r="180" spans="2:12" x14ac:dyDescent="0.2">
      <c r="B180" s="77"/>
      <c r="L180" s="71"/>
    </row>
    <row r="181" spans="2:12" x14ac:dyDescent="0.2">
      <c r="B181" s="77"/>
      <c r="L181" s="71"/>
    </row>
    <row r="182" spans="2:12" x14ac:dyDescent="0.2">
      <c r="B182" s="77"/>
      <c r="L182" s="71"/>
    </row>
    <row r="183" spans="2:12" x14ac:dyDescent="0.2">
      <c r="B183" s="77"/>
      <c r="L183" s="71"/>
    </row>
    <row r="184" spans="2:12" x14ac:dyDescent="0.2">
      <c r="B184" s="77"/>
      <c r="L184" s="71"/>
    </row>
    <row r="185" spans="2:12" x14ac:dyDescent="0.2">
      <c r="B185" s="77"/>
      <c r="L185" s="71"/>
    </row>
    <row r="186" spans="2:12" x14ac:dyDescent="0.2">
      <c r="B186" s="77"/>
      <c r="L186" s="71"/>
    </row>
    <row r="187" spans="2:12" x14ac:dyDescent="0.2">
      <c r="B187" s="77"/>
      <c r="L187" s="71"/>
    </row>
    <row r="188" spans="2:12" x14ac:dyDescent="0.2">
      <c r="B188" s="77"/>
      <c r="L188" s="71"/>
    </row>
    <row r="189" spans="2:12" x14ac:dyDescent="0.2">
      <c r="B189" s="77"/>
      <c r="L189" s="71"/>
    </row>
    <row r="190" spans="2:12" x14ac:dyDescent="0.2">
      <c r="B190" s="77"/>
      <c r="L190" s="71"/>
    </row>
    <row r="191" spans="2:12" x14ac:dyDescent="0.2">
      <c r="B191" s="77"/>
      <c r="L191" s="71"/>
    </row>
    <row r="192" spans="2:12" x14ac:dyDescent="0.2">
      <c r="B192" s="77"/>
      <c r="L192" s="71"/>
    </row>
    <row r="193" spans="2:12" x14ac:dyDescent="0.2">
      <c r="B193" s="77"/>
      <c r="L193" s="71"/>
    </row>
    <row r="194" spans="2:12" x14ac:dyDescent="0.2">
      <c r="B194" s="77"/>
      <c r="L194" s="71"/>
    </row>
    <row r="195" spans="2:12" x14ac:dyDescent="0.2">
      <c r="B195" s="77"/>
      <c r="L195" s="71"/>
    </row>
    <row r="196" spans="2:12" x14ac:dyDescent="0.2">
      <c r="B196" s="77"/>
      <c r="L196" s="71"/>
    </row>
    <row r="197" spans="2:12" x14ac:dyDescent="0.2">
      <c r="B197" s="77"/>
      <c r="L197" s="71"/>
    </row>
    <row r="198" spans="2:12" x14ac:dyDescent="0.2">
      <c r="B198" s="77"/>
      <c r="L198" s="71"/>
    </row>
    <row r="199" spans="2:12" x14ac:dyDescent="0.2">
      <c r="B199" s="77"/>
      <c r="L199" s="71"/>
    </row>
    <row r="200" spans="2:12" x14ac:dyDescent="0.2">
      <c r="B200" s="77"/>
      <c r="L200" s="71"/>
    </row>
    <row r="201" spans="2:12" x14ac:dyDescent="0.2">
      <c r="B201" s="77"/>
      <c r="L201" s="71"/>
    </row>
    <row r="202" spans="2:12" x14ac:dyDescent="0.2">
      <c r="B202" s="77"/>
      <c r="L202" s="71"/>
    </row>
    <row r="203" spans="2:12" x14ac:dyDescent="0.2">
      <c r="B203" s="77"/>
      <c r="L203" s="71"/>
    </row>
    <row r="204" spans="2:12" x14ac:dyDescent="0.2">
      <c r="B204" s="77"/>
      <c r="L204" s="71"/>
    </row>
    <row r="205" spans="2:12" x14ac:dyDescent="0.2">
      <c r="B205" s="77"/>
      <c r="L205" s="71"/>
    </row>
    <row r="206" spans="2:12" x14ac:dyDescent="0.2">
      <c r="B206" s="77"/>
      <c r="L206" s="71"/>
    </row>
    <row r="207" spans="2:12" x14ac:dyDescent="0.2">
      <c r="B207" s="77"/>
      <c r="L207" s="71"/>
    </row>
    <row r="208" spans="2:12" x14ac:dyDescent="0.2">
      <c r="B208" s="77"/>
      <c r="L208" s="71"/>
    </row>
    <row r="209" spans="2:12" x14ac:dyDescent="0.2">
      <c r="B209" s="77"/>
      <c r="L209" s="71"/>
    </row>
    <row r="210" spans="2:12" x14ac:dyDescent="0.2">
      <c r="B210" s="77"/>
      <c r="L210" s="71"/>
    </row>
    <row r="211" spans="2:12" x14ac:dyDescent="0.2">
      <c r="B211" s="77"/>
      <c r="L211" s="71"/>
    </row>
    <row r="212" spans="2:12" x14ac:dyDescent="0.2">
      <c r="B212" s="77"/>
      <c r="L212" s="71"/>
    </row>
    <row r="213" spans="2:12" x14ac:dyDescent="0.2">
      <c r="B213" s="77"/>
      <c r="L213" s="71"/>
    </row>
    <row r="214" spans="2:12" x14ac:dyDescent="0.2">
      <c r="B214" s="77"/>
      <c r="L214" s="71"/>
    </row>
    <row r="215" spans="2:12" x14ac:dyDescent="0.2">
      <c r="B215" s="77"/>
      <c r="L215" s="71"/>
    </row>
    <row r="216" spans="2:12" x14ac:dyDescent="0.2">
      <c r="B216" s="77"/>
      <c r="L216" s="71"/>
    </row>
    <row r="217" spans="2:12" x14ac:dyDescent="0.2">
      <c r="B217" s="77"/>
      <c r="L217" s="71"/>
    </row>
    <row r="218" spans="2:12" x14ac:dyDescent="0.2">
      <c r="B218" s="77"/>
      <c r="L218" s="71"/>
    </row>
    <row r="219" spans="2:12" x14ac:dyDescent="0.2">
      <c r="B219" s="77"/>
      <c r="L219" s="71"/>
    </row>
    <row r="220" spans="2:12" x14ac:dyDescent="0.2">
      <c r="B220" s="77"/>
      <c r="L220" s="71"/>
    </row>
    <row r="221" spans="2:12" x14ac:dyDescent="0.2">
      <c r="B221" s="77"/>
      <c r="L221" s="71"/>
    </row>
    <row r="222" spans="2:12" x14ac:dyDescent="0.2">
      <c r="B222" s="77"/>
      <c r="L222" s="71"/>
    </row>
    <row r="223" spans="2:12" x14ac:dyDescent="0.2">
      <c r="B223" s="77"/>
      <c r="L223" s="71"/>
    </row>
    <row r="224" spans="2:12" x14ac:dyDescent="0.2">
      <c r="B224" s="77"/>
      <c r="L224" s="71"/>
    </row>
    <row r="225" spans="2:12" x14ac:dyDescent="0.2">
      <c r="B225" s="77"/>
      <c r="L225" s="71"/>
    </row>
    <row r="226" spans="2:12" x14ac:dyDescent="0.2">
      <c r="B226" s="77"/>
      <c r="L226" s="71"/>
    </row>
    <row r="227" spans="2:12" x14ac:dyDescent="0.2">
      <c r="B227" s="77"/>
      <c r="L227" s="71"/>
    </row>
    <row r="228" spans="2:12" x14ac:dyDescent="0.2">
      <c r="B228" s="77"/>
      <c r="L228" s="71"/>
    </row>
    <row r="229" spans="2:12" x14ac:dyDescent="0.2">
      <c r="B229" s="77"/>
      <c r="L229" s="71"/>
    </row>
    <row r="230" spans="2:12" x14ac:dyDescent="0.2">
      <c r="B230" s="77"/>
      <c r="L230" s="71"/>
    </row>
    <row r="231" spans="2:12" x14ac:dyDescent="0.2">
      <c r="B231" s="77"/>
      <c r="L231" s="71"/>
    </row>
    <row r="232" spans="2:12" x14ac:dyDescent="0.2">
      <c r="B232" s="77"/>
      <c r="L232" s="71"/>
    </row>
    <row r="233" spans="2:12" x14ac:dyDescent="0.2">
      <c r="B233" s="77"/>
      <c r="L233" s="71"/>
    </row>
    <row r="234" spans="2:12" x14ac:dyDescent="0.2">
      <c r="B234" s="77"/>
      <c r="L234" s="71"/>
    </row>
    <row r="235" spans="2:12" x14ac:dyDescent="0.2">
      <c r="B235" s="77"/>
      <c r="L235" s="71"/>
    </row>
    <row r="236" spans="2:12" x14ac:dyDescent="0.2">
      <c r="B236" s="77"/>
      <c r="L236" s="71"/>
    </row>
    <row r="237" spans="2:12" x14ac:dyDescent="0.2">
      <c r="B237" s="77"/>
      <c r="L237" s="71"/>
    </row>
    <row r="238" spans="2:12" x14ac:dyDescent="0.2">
      <c r="B238" s="77"/>
      <c r="L238" s="71"/>
    </row>
    <row r="239" spans="2:12" x14ac:dyDescent="0.2">
      <c r="B239" s="77"/>
      <c r="L239" s="71"/>
    </row>
    <row r="240" spans="2:12" x14ac:dyDescent="0.2">
      <c r="B240" s="77"/>
      <c r="L240" s="71"/>
    </row>
    <row r="241" spans="2:12" x14ac:dyDescent="0.2">
      <c r="B241" s="77"/>
      <c r="L241" s="71"/>
    </row>
    <row r="242" spans="2:12" x14ac:dyDescent="0.2">
      <c r="B242" s="77"/>
      <c r="L242" s="71"/>
    </row>
    <row r="243" spans="2:12" x14ac:dyDescent="0.2">
      <c r="B243" s="77"/>
      <c r="L243" s="71"/>
    </row>
    <row r="244" spans="2:12" x14ac:dyDescent="0.2">
      <c r="B244" s="77"/>
      <c r="L244" s="71"/>
    </row>
    <row r="245" spans="2:12" x14ac:dyDescent="0.2">
      <c r="B245" s="77"/>
      <c r="L245" s="71"/>
    </row>
    <row r="246" spans="2:12" x14ac:dyDescent="0.2">
      <c r="B246" s="77"/>
      <c r="L246" s="71"/>
    </row>
    <row r="247" spans="2:12" x14ac:dyDescent="0.2">
      <c r="B247" s="77"/>
      <c r="L247" s="71"/>
    </row>
    <row r="248" spans="2:12" x14ac:dyDescent="0.2">
      <c r="B248" s="77"/>
      <c r="L248" s="71"/>
    </row>
    <row r="249" spans="2:12" x14ac:dyDescent="0.2">
      <c r="B249" s="77"/>
      <c r="L249" s="71"/>
    </row>
    <row r="250" spans="2:12" x14ac:dyDescent="0.2">
      <c r="B250" s="77"/>
      <c r="L250" s="71"/>
    </row>
    <row r="251" spans="2:12" x14ac:dyDescent="0.2">
      <c r="B251" s="77"/>
      <c r="L251" s="71"/>
    </row>
    <row r="252" spans="2:12" x14ac:dyDescent="0.2">
      <c r="B252" s="77"/>
      <c r="L252" s="71"/>
    </row>
    <row r="253" spans="2:12" x14ac:dyDescent="0.2">
      <c r="B253" s="77"/>
      <c r="L253" s="71"/>
    </row>
    <row r="254" spans="2:12" x14ac:dyDescent="0.2">
      <c r="B254" s="77"/>
      <c r="L254" s="71"/>
    </row>
    <row r="255" spans="2:12" x14ac:dyDescent="0.2">
      <c r="B255" s="77"/>
      <c r="L255" s="71"/>
    </row>
    <row r="256" spans="2:12" x14ac:dyDescent="0.2">
      <c r="B256" s="77"/>
      <c r="L256" s="71"/>
    </row>
    <row r="257" spans="2:12" x14ac:dyDescent="0.2">
      <c r="B257" s="77"/>
      <c r="L257" s="71"/>
    </row>
    <row r="258" spans="2:12" x14ac:dyDescent="0.2">
      <c r="B258" s="77"/>
      <c r="L258" s="71"/>
    </row>
    <row r="259" spans="2:12" x14ac:dyDescent="0.2">
      <c r="B259" s="77"/>
      <c r="L259" s="71"/>
    </row>
    <row r="260" spans="2:12" x14ac:dyDescent="0.2">
      <c r="B260" s="77"/>
      <c r="L260" s="71"/>
    </row>
    <row r="261" spans="2:12" x14ac:dyDescent="0.2">
      <c r="B261" s="77"/>
      <c r="L261" s="71"/>
    </row>
    <row r="262" spans="2:12" x14ac:dyDescent="0.2">
      <c r="B262" s="77"/>
      <c r="L262" s="71"/>
    </row>
    <row r="263" spans="2:12" x14ac:dyDescent="0.2">
      <c r="B263" s="77"/>
      <c r="L263" s="71"/>
    </row>
    <row r="264" spans="2:12" x14ac:dyDescent="0.2">
      <c r="B264" s="77"/>
      <c r="L264" s="71"/>
    </row>
    <row r="265" spans="2:12" x14ac:dyDescent="0.2">
      <c r="B265" s="77"/>
      <c r="L265" s="71"/>
    </row>
    <row r="266" spans="2:12" x14ac:dyDescent="0.2">
      <c r="B266" s="77"/>
      <c r="L266" s="71"/>
    </row>
    <row r="267" spans="2:12" x14ac:dyDescent="0.2">
      <c r="B267" s="77"/>
      <c r="L267" s="71"/>
    </row>
    <row r="268" spans="2:12" x14ac:dyDescent="0.2">
      <c r="B268" s="77"/>
      <c r="L268" s="71"/>
    </row>
    <row r="269" spans="2:12" x14ac:dyDescent="0.2">
      <c r="B269" s="77"/>
      <c r="L269" s="71"/>
    </row>
    <row r="270" spans="2:12" x14ac:dyDescent="0.2">
      <c r="B270" s="77"/>
      <c r="L270" s="71"/>
    </row>
    <row r="271" spans="2:12" x14ac:dyDescent="0.2">
      <c r="B271" s="77"/>
      <c r="L271" s="71"/>
    </row>
    <row r="272" spans="2:12" x14ac:dyDescent="0.2">
      <c r="B272" s="77"/>
      <c r="L272" s="71"/>
    </row>
    <row r="273" spans="2:12" x14ac:dyDescent="0.2">
      <c r="B273" s="77"/>
      <c r="L273" s="71"/>
    </row>
    <row r="274" spans="2:12" x14ac:dyDescent="0.2">
      <c r="B274" s="77"/>
      <c r="L274" s="71"/>
    </row>
    <row r="275" spans="2:12" x14ac:dyDescent="0.2">
      <c r="B275" s="77"/>
      <c r="L275" s="71"/>
    </row>
    <row r="276" spans="2:12" x14ac:dyDescent="0.2">
      <c r="B276" s="77"/>
      <c r="L276" s="71"/>
    </row>
    <row r="277" spans="2:12" x14ac:dyDescent="0.2">
      <c r="B277" s="77"/>
      <c r="L277" s="71"/>
    </row>
    <row r="278" spans="2:12" x14ac:dyDescent="0.2">
      <c r="B278" s="77"/>
      <c r="L278" s="71"/>
    </row>
    <row r="279" spans="2:12" x14ac:dyDescent="0.2">
      <c r="B279" s="77"/>
      <c r="L279" s="71"/>
    </row>
    <row r="280" spans="2:12" x14ac:dyDescent="0.2">
      <c r="B280" s="77"/>
      <c r="L280" s="71"/>
    </row>
    <row r="281" spans="2:12" x14ac:dyDescent="0.2">
      <c r="B281" s="77"/>
      <c r="L281" s="71"/>
    </row>
    <row r="282" spans="2:12" x14ac:dyDescent="0.2">
      <c r="B282" s="77"/>
      <c r="L282" s="71"/>
    </row>
    <row r="283" spans="2:12" x14ac:dyDescent="0.2">
      <c r="B283" s="77"/>
      <c r="L283" s="71"/>
    </row>
    <row r="284" spans="2:12" x14ac:dyDescent="0.2">
      <c r="B284" s="77"/>
      <c r="L284" s="71"/>
    </row>
    <row r="285" spans="2:12" x14ac:dyDescent="0.2">
      <c r="B285" s="77"/>
      <c r="L285" s="71"/>
    </row>
    <row r="286" spans="2:12" x14ac:dyDescent="0.2">
      <c r="B286" s="77"/>
      <c r="L286" s="71"/>
    </row>
    <row r="287" spans="2:12" x14ac:dyDescent="0.2">
      <c r="B287" s="77"/>
      <c r="L287" s="71"/>
    </row>
    <row r="288" spans="2:12" x14ac:dyDescent="0.2">
      <c r="B288" s="77"/>
      <c r="L288" s="71"/>
    </row>
    <row r="289" spans="2:12" x14ac:dyDescent="0.2">
      <c r="B289" s="77"/>
      <c r="L289" s="71"/>
    </row>
    <row r="290" spans="2:12" x14ac:dyDescent="0.2">
      <c r="B290" s="77"/>
      <c r="L290" s="71"/>
    </row>
    <row r="291" spans="2:12" x14ac:dyDescent="0.2">
      <c r="B291" s="77"/>
      <c r="L291" s="71"/>
    </row>
    <row r="292" spans="2:12" x14ac:dyDescent="0.2">
      <c r="B292" s="77"/>
      <c r="L292" s="71"/>
    </row>
    <row r="293" spans="2:12" x14ac:dyDescent="0.2">
      <c r="B293" s="77"/>
      <c r="L293" s="71"/>
    </row>
    <row r="294" spans="2:12" x14ac:dyDescent="0.2">
      <c r="B294" s="77"/>
      <c r="L294" s="71"/>
    </row>
    <row r="295" spans="2:12" x14ac:dyDescent="0.2">
      <c r="B295" s="77"/>
      <c r="L295" s="71"/>
    </row>
    <row r="296" spans="2:12" x14ac:dyDescent="0.2">
      <c r="B296" s="77"/>
      <c r="L296" s="71"/>
    </row>
    <row r="297" spans="2:12" x14ac:dyDescent="0.2">
      <c r="B297" s="77"/>
      <c r="L297" s="71"/>
    </row>
    <row r="298" spans="2:12" x14ac:dyDescent="0.2">
      <c r="B298" s="77"/>
      <c r="L298" s="71"/>
    </row>
    <row r="299" spans="2:12" x14ac:dyDescent="0.2">
      <c r="B299" s="77"/>
      <c r="L299" s="71"/>
    </row>
    <row r="300" spans="2:12" x14ac:dyDescent="0.2">
      <c r="B300" s="77"/>
      <c r="L300" s="71"/>
    </row>
    <row r="301" spans="2:12" x14ac:dyDescent="0.2">
      <c r="B301" s="77"/>
      <c r="L301" s="71"/>
    </row>
    <row r="302" spans="2:12" x14ac:dyDescent="0.2">
      <c r="B302" s="77"/>
      <c r="L302" s="71"/>
    </row>
    <row r="303" spans="2:12" x14ac:dyDescent="0.2">
      <c r="B303" s="77"/>
      <c r="L303" s="71"/>
    </row>
    <row r="304" spans="2:12" x14ac:dyDescent="0.2">
      <c r="B304" s="77"/>
      <c r="L304" s="71"/>
    </row>
    <row r="305" spans="2:12" x14ac:dyDescent="0.2">
      <c r="B305" s="77"/>
      <c r="L305" s="71"/>
    </row>
    <row r="306" spans="2:12" x14ac:dyDescent="0.2">
      <c r="B306" s="77"/>
      <c r="L306" s="71"/>
    </row>
    <row r="307" spans="2:12" x14ac:dyDescent="0.2">
      <c r="B307" s="77"/>
      <c r="L307" s="71"/>
    </row>
    <row r="308" spans="2:12" x14ac:dyDescent="0.2">
      <c r="B308" s="77"/>
      <c r="L308" s="71"/>
    </row>
    <row r="309" spans="2:12" x14ac:dyDescent="0.2">
      <c r="B309" s="77"/>
      <c r="L309" s="71"/>
    </row>
    <row r="310" spans="2:12" x14ac:dyDescent="0.2">
      <c r="B310" s="77"/>
      <c r="L310" s="71"/>
    </row>
    <row r="311" spans="2:12" x14ac:dyDescent="0.2">
      <c r="B311" s="77"/>
      <c r="L311" s="71"/>
    </row>
    <row r="312" spans="2:12" x14ac:dyDescent="0.2">
      <c r="B312" s="77"/>
      <c r="L312" s="71"/>
    </row>
    <row r="313" spans="2:12" x14ac:dyDescent="0.2">
      <c r="B313" s="77"/>
      <c r="L313" s="71"/>
    </row>
    <row r="314" spans="2:12" x14ac:dyDescent="0.2">
      <c r="B314" s="77"/>
      <c r="L314" s="71"/>
    </row>
    <row r="315" spans="2:12" x14ac:dyDescent="0.2">
      <c r="B315" s="77"/>
      <c r="L315" s="71"/>
    </row>
    <row r="316" spans="2:12" x14ac:dyDescent="0.2">
      <c r="B316" s="77"/>
      <c r="L316" s="71"/>
    </row>
    <row r="317" spans="2:12" x14ac:dyDescent="0.2">
      <c r="B317" s="77"/>
      <c r="L317" s="71"/>
    </row>
    <row r="318" spans="2:12" x14ac:dyDescent="0.2">
      <c r="B318" s="77"/>
      <c r="L318" s="71"/>
    </row>
    <row r="319" spans="2:12" x14ac:dyDescent="0.2">
      <c r="B319" s="77"/>
      <c r="L319" s="71"/>
    </row>
    <row r="320" spans="2:12" x14ac:dyDescent="0.2">
      <c r="B320" s="77"/>
      <c r="L320" s="71"/>
    </row>
    <row r="321" spans="2:12" x14ac:dyDescent="0.2">
      <c r="B321" s="77"/>
      <c r="L321" s="71"/>
    </row>
    <row r="322" spans="2:12" x14ac:dyDescent="0.2">
      <c r="B322" s="77"/>
      <c r="L322" s="71"/>
    </row>
    <row r="323" spans="2:12" x14ac:dyDescent="0.2">
      <c r="B323" s="77"/>
      <c r="L323" s="71"/>
    </row>
    <row r="324" spans="2:12" x14ac:dyDescent="0.2">
      <c r="B324" s="77"/>
      <c r="L324" s="71"/>
    </row>
    <row r="325" spans="2:12" x14ac:dyDescent="0.2">
      <c r="B325" s="77"/>
      <c r="L325" s="71"/>
    </row>
    <row r="326" spans="2:12" x14ac:dyDescent="0.2">
      <c r="B326" s="77"/>
      <c r="L326" s="71"/>
    </row>
    <row r="327" spans="2:12" x14ac:dyDescent="0.2">
      <c r="B327" s="77"/>
      <c r="L327" s="71"/>
    </row>
    <row r="328" spans="2:12" x14ac:dyDescent="0.2">
      <c r="B328" s="77"/>
      <c r="L328" s="71"/>
    </row>
    <row r="329" spans="2:12" x14ac:dyDescent="0.2">
      <c r="B329" s="77"/>
      <c r="L329" s="71"/>
    </row>
    <row r="330" spans="2:12" x14ac:dyDescent="0.2">
      <c r="B330" s="77"/>
      <c r="L330" s="71"/>
    </row>
    <row r="331" spans="2:12" x14ac:dyDescent="0.2">
      <c r="B331" s="77"/>
      <c r="L331" s="71"/>
    </row>
    <row r="332" spans="2:12" x14ac:dyDescent="0.2">
      <c r="B332" s="77"/>
      <c r="L332" s="71"/>
    </row>
    <row r="333" spans="2:12" x14ac:dyDescent="0.2">
      <c r="B333" s="77"/>
      <c r="L333" s="71"/>
    </row>
    <row r="334" spans="2:12" x14ac:dyDescent="0.2">
      <c r="B334" s="77"/>
      <c r="L334" s="71"/>
    </row>
    <row r="335" spans="2:12" x14ac:dyDescent="0.2">
      <c r="B335" s="77"/>
      <c r="L335" s="71"/>
    </row>
    <row r="336" spans="2:12" x14ac:dyDescent="0.2">
      <c r="B336" s="77"/>
      <c r="L336" s="71"/>
    </row>
    <row r="337" spans="2:12" x14ac:dyDescent="0.2">
      <c r="B337" s="77"/>
      <c r="L337" s="71"/>
    </row>
    <row r="338" spans="2:12" x14ac:dyDescent="0.2">
      <c r="B338" s="77"/>
      <c r="L338" s="71"/>
    </row>
    <row r="339" spans="2:12" x14ac:dyDescent="0.2">
      <c r="B339" s="77"/>
      <c r="L339" s="71"/>
    </row>
    <row r="340" spans="2:12" x14ac:dyDescent="0.2">
      <c r="B340" s="77"/>
      <c r="L340" s="71"/>
    </row>
    <row r="341" spans="2:12" x14ac:dyDescent="0.2">
      <c r="B341" s="77"/>
      <c r="L341" s="71"/>
    </row>
    <row r="342" spans="2:12" x14ac:dyDescent="0.2">
      <c r="B342" s="77"/>
      <c r="L342" s="71"/>
    </row>
    <row r="343" spans="2:12" x14ac:dyDescent="0.2">
      <c r="B343" s="77"/>
      <c r="L343" s="71"/>
    </row>
    <row r="344" spans="2:12" x14ac:dyDescent="0.2">
      <c r="B344" s="77"/>
      <c r="L344" s="71"/>
    </row>
    <row r="345" spans="2:12" x14ac:dyDescent="0.2">
      <c r="B345" s="77"/>
      <c r="L345" s="71"/>
    </row>
    <row r="346" spans="2:12" x14ac:dyDescent="0.2">
      <c r="B346" s="77"/>
      <c r="L346" s="71"/>
    </row>
    <row r="347" spans="2:12" x14ac:dyDescent="0.2">
      <c r="B347" s="77"/>
      <c r="L347" s="71"/>
    </row>
    <row r="348" spans="2:12" x14ac:dyDescent="0.2">
      <c r="B348" s="77"/>
      <c r="L348" s="71"/>
    </row>
    <row r="349" spans="2:12" x14ac:dyDescent="0.2">
      <c r="B349" s="77"/>
      <c r="L349" s="71"/>
    </row>
    <row r="350" spans="2:12" x14ac:dyDescent="0.2">
      <c r="B350" s="77"/>
      <c r="L350" s="71"/>
    </row>
    <row r="351" spans="2:12" x14ac:dyDescent="0.2">
      <c r="B351" s="77"/>
      <c r="L351" s="71"/>
    </row>
    <row r="352" spans="2:12" x14ac:dyDescent="0.2">
      <c r="B352" s="77"/>
      <c r="L352" s="71"/>
    </row>
    <row r="353" spans="2:12" x14ac:dyDescent="0.2">
      <c r="B353" s="77"/>
      <c r="L353" s="71"/>
    </row>
    <row r="354" spans="2:12" x14ac:dyDescent="0.2">
      <c r="B354" s="77"/>
      <c r="L354" s="71"/>
    </row>
    <row r="355" spans="2:12" x14ac:dyDescent="0.2">
      <c r="B355" s="77"/>
      <c r="L355" s="71"/>
    </row>
    <row r="356" spans="2:12" x14ac:dyDescent="0.2">
      <c r="B356" s="77"/>
      <c r="L356" s="71"/>
    </row>
    <row r="357" spans="2:12" x14ac:dyDescent="0.2">
      <c r="B357" s="77"/>
      <c r="L357" s="71"/>
    </row>
    <row r="358" spans="2:12" x14ac:dyDescent="0.2">
      <c r="B358" s="77"/>
      <c r="L358" s="71"/>
    </row>
    <row r="359" spans="2:12" x14ac:dyDescent="0.2">
      <c r="B359" s="77"/>
      <c r="L359" s="71"/>
    </row>
    <row r="360" spans="2:12" x14ac:dyDescent="0.2">
      <c r="B360" s="77"/>
      <c r="L360" s="71"/>
    </row>
    <row r="361" spans="2:12" x14ac:dyDescent="0.2">
      <c r="B361" s="77"/>
      <c r="L361" s="71"/>
    </row>
    <row r="362" spans="2:12" x14ac:dyDescent="0.2">
      <c r="B362" s="77"/>
      <c r="L362" s="71"/>
    </row>
    <row r="363" spans="2:12" x14ac:dyDescent="0.2">
      <c r="B363" s="77"/>
      <c r="L363" s="71"/>
    </row>
    <row r="364" spans="2:12" x14ac:dyDescent="0.2">
      <c r="B364" s="77"/>
      <c r="L364" s="71"/>
    </row>
    <row r="365" spans="2:12" x14ac:dyDescent="0.2">
      <c r="B365" s="77"/>
      <c r="L365" s="71"/>
    </row>
    <row r="366" spans="2:12" x14ac:dyDescent="0.2">
      <c r="B366" s="77"/>
      <c r="L366" s="71"/>
    </row>
    <row r="367" spans="2:12" x14ac:dyDescent="0.2">
      <c r="B367" s="77"/>
      <c r="L367" s="71"/>
    </row>
    <row r="368" spans="2:12" x14ac:dyDescent="0.2">
      <c r="B368" s="77"/>
      <c r="L368" s="71"/>
    </row>
    <row r="369" spans="2:12" x14ac:dyDescent="0.2">
      <c r="B369" s="77"/>
      <c r="L369" s="71"/>
    </row>
    <row r="370" spans="2:12" x14ac:dyDescent="0.2">
      <c r="B370" s="77"/>
      <c r="L370" s="71"/>
    </row>
    <row r="371" spans="2:12" x14ac:dyDescent="0.2">
      <c r="B371" s="77"/>
      <c r="L371" s="71"/>
    </row>
    <row r="372" spans="2:12" x14ac:dyDescent="0.2">
      <c r="B372" s="77"/>
      <c r="L372" s="71"/>
    </row>
    <row r="373" spans="2:12" x14ac:dyDescent="0.2">
      <c r="B373" s="77"/>
      <c r="L373" s="71"/>
    </row>
    <row r="374" spans="2:12" x14ac:dyDescent="0.2">
      <c r="B374" s="77"/>
      <c r="L374" s="71"/>
    </row>
    <row r="375" spans="2:12" x14ac:dyDescent="0.2">
      <c r="B375" s="77"/>
      <c r="L375" s="71"/>
    </row>
    <row r="376" spans="2:12" x14ac:dyDescent="0.2">
      <c r="B376" s="77"/>
      <c r="L376" s="71"/>
    </row>
    <row r="377" spans="2:12" x14ac:dyDescent="0.2">
      <c r="B377" s="77"/>
      <c r="L377" s="71"/>
    </row>
    <row r="378" spans="2:12" x14ac:dyDescent="0.2">
      <c r="B378" s="77"/>
      <c r="L378" s="71"/>
    </row>
    <row r="379" spans="2:12" x14ac:dyDescent="0.2">
      <c r="B379" s="77"/>
      <c r="L379" s="71"/>
    </row>
    <row r="380" spans="2:12" x14ac:dyDescent="0.2">
      <c r="B380" s="77"/>
      <c r="L380" s="71"/>
    </row>
    <row r="381" spans="2:12" x14ac:dyDescent="0.2">
      <c r="B381" s="77"/>
      <c r="L381" s="71"/>
    </row>
    <row r="382" spans="2:12" x14ac:dyDescent="0.2">
      <c r="B382" s="77"/>
      <c r="L382" s="71"/>
    </row>
    <row r="383" spans="2:12" x14ac:dyDescent="0.2">
      <c r="B383" s="77"/>
      <c r="L383" s="71"/>
    </row>
    <row r="384" spans="2:12" x14ac:dyDescent="0.2">
      <c r="B384" s="77"/>
      <c r="L384" s="71"/>
    </row>
    <row r="385" spans="2:12" x14ac:dyDescent="0.2">
      <c r="B385" s="77"/>
      <c r="L385" s="71"/>
    </row>
    <row r="386" spans="2:12" x14ac:dyDescent="0.2">
      <c r="B386" s="77"/>
      <c r="L386" s="71"/>
    </row>
    <row r="387" spans="2:12" x14ac:dyDescent="0.2">
      <c r="B387" s="77"/>
      <c r="L387" s="71"/>
    </row>
    <row r="388" spans="2:12" x14ac:dyDescent="0.2">
      <c r="B388" s="77"/>
      <c r="L388" s="71"/>
    </row>
    <row r="389" spans="2:12" x14ac:dyDescent="0.2">
      <c r="B389" s="77"/>
      <c r="L389" s="71"/>
    </row>
    <row r="390" spans="2:12" x14ac:dyDescent="0.2">
      <c r="B390" s="77"/>
      <c r="L390" s="71"/>
    </row>
    <row r="391" spans="2:12" x14ac:dyDescent="0.2">
      <c r="B391" s="77"/>
      <c r="L391" s="71"/>
    </row>
    <row r="392" spans="2:12" x14ac:dyDescent="0.2">
      <c r="B392" s="77"/>
      <c r="L392" s="71"/>
    </row>
    <row r="393" spans="2:12" x14ac:dyDescent="0.2">
      <c r="B393" s="77"/>
      <c r="L393" s="71"/>
    </row>
    <row r="394" spans="2:12" x14ac:dyDescent="0.2">
      <c r="B394" s="77"/>
      <c r="L394" s="71"/>
    </row>
    <row r="395" spans="2:12" x14ac:dyDescent="0.2">
      <c r="B395" s="77"/>
      <c r="L395" s="71"/>
    </row>
    <row r="396" spans="2:12" x14ac:dyDescent="0.2">
      <c r="B396" s="77"/>
      <c r="L396" s="71"/>
    </row>
    <row r="397" spans="2:12" x14ac:dyDescent="0.2">
      <c r="B397" s="77"/>
      <c r="L397" s="71"/>
    </row>
    <row r="398" spans="2:12" x14ac:dyDescent="0.2">
      <c r="B398" s="77"/>
      <c r="L398" s="71"/>
    </row>
    <row r="399" spans="2:12" x14ac:dyDescent="0.2">
      <c r="B399" s="77"/>
      <c r="L399" s="71"/>
    </row>
    <row r="400" spans="2:12" x14ac:dyDescent="0.2">
      <c r="B400" s="77"/>
      <c r="L400" s="71"/>
    </row>
    <row r="401" spans="2:12" x14ac:dyDescent="0.2">
      <c r="B401" s="77"/>
      <c r="L401" s="71"/>
    </row>
    <row r="402" spans="2:12" x14ac:dyDescent="0.2">
      <c r="B402" s="77"/>
      <c r="L402" s="71"/>
    </row>
    <row r="403" spans="2:12" x14ac:dyDescent="0.2">
      <c r="B403" s="77"/>
      <c r="L403" s="71"/>
    </row>
    <row r="404" spans="2:12" x14ac:dyDescent="0.2">
      <c r="B404" s="77"/>
      <c r="L404" s="71"/>
    </row>
    <row r="405" spans="2:12" x14ac:dyDescent="0.2">
      <c r="B405" s="77"/>
      <c r="L405" s="71"/>
    </row>
    <row r="406" spans="2:12" x14ac:dyDescent="0.2">
      <c r="B406" s="77"/>
      <c r="L406" s="71"/>
    </row>
    <row r="407" spans="2:12" x14ac:dyDescent="0.2">
      <c r="B407" s="77"/>
      <c r="L407" s="71"/>
    </row>
    <row r="408" spans="2:12" x14ac:dyDescent="0.2">
      <c r="B408" s="77"/>
      <c r="L408" s="71"/>
    </row>
    <row r="409" spans="2:12" x14ac:dyDescent="0.2">
      <c r="B409" s="77"/>
      <c r="L409" s="71"/>
    </row>
    <row r="410" spans="2:12" x14ac:dyDescent="0.2">
      <c r="B410" s="77"/>
      <c r="L410" s="71"/>
    </row>
    <row r="411" spans="2:12" x14ac:dyDescent="0.2">
      <c r="B411" s="77"/>
      <c r="L411" s="71"/>
    </row>
    <row r="412" spans="2:12" x14ac:dyDescent="0.2">
      <c r="B412" s="77"/>
      <c r="L412" s="71"/>
    </row>
    <row r="413" spans="2:12" x14ac:dyDescent="0.2">
      <c r="B413" s="77"/>
      <c r="L413" s="71"/>
    </row>
    <row r="414" spans="2:12" x14ac:dyDescent="0.2">
      <c r="B414" s="77"/>
      <c r="L414" s="71"/>
    </row>
    <row r="415" spans="2:12" x14ac:dyDescent="0.2">
      <c r="B415" s="77"/>
      <c r="L415" s="71"/>
    </row>
    <row r="416" spans="2:12" x14ac:dyDescent="0.2">
      <c r="B416" s="77"/>
      <c r="L416" s="71"/>
    </row>
    <row r="417" spans="2:12" x14ac:dyDescent="0.2">
      <c r="B417" s="77"/>
      <c r="L417" s="71"/>
    </row>
    <row r="418" spans="2:12" x14ac:dyDescent="0.2">
      <c r="B418" s="77"/>
      <c r="L418" s="71"/>
    </row>
    <row r="419" spans="2:12" x14ac:dyDescent="0.2">
      <c r="B419" s="77"/>
      <c r="L419" s="71"/>
    </row>
    <row r="420" spans="2:12" x14ac:dyDescent="0.2">
      <c r="B420" s="77"/>
      <c r="L420" s="71"/>
    </row>
    <row r="421" spans="2:12" x14ac:dyDescent="0.2">
      <c r="B421" s="77"/>
      <c r="L421" s="71"/>
    </row>
    <row r="422" spans="2:12" x14ac:dyDescent="0.2">
      <c r="B422" s="77"/>
      <c r="L422" s="71"/>
    </row>
    <row r="423" spans="2:12" x14ac:dyDescent="0.2">
      <c r="B423" s="77"/>
      <c r="L423" s="71"/>
    </row>
    <row r="424" spans="2:12" x14ac:dyDescent="0.2">
      <c r="B424" s="77"/>
      <c r="L424" s="71"/>
    </row>
    <row r="425" spans="2:12" x14ac:dyDescent="0.2">
      <c r="B425" s="77"/>
      <c r="L425" s="71"/>
    </row>
    <row r="426" spans="2:12" x14ac:dyDescent="0.2">
      <c r="B426" s="77"/>
      <c r="L426" s="71"/>
    </row>
    <row r="427" spans="2:12" x14ac:dyDescent="0.2">
      <c r="B427" s="77"/>
      <c r="L427" s="71"/>
    </row>
    <row r="428" spans="2:12" x14ac:dyDescent="0.2">
      <c r="B428" s="77"/>
      <c r="L428" s="71"/>
    </row>
    <row r="429" spans="2:12" x14ac:dyDescent="0.2">
      <c r="B429" s="77"/>
      <c r="L429" s="71"/>
    </row>
    <row r="430" spans="2:12" x14ac:dyDescent="0.2">
      <c r="B430" s="77"/>
      <c r="L430" s="71"/>
    </row>
    <row r="431" spans="2:12" x14ac:dyDescent="0.2">
      <c r="B431" s="77"/>
      <c r="L431" s="71"/>
    </row>
    <row r="432" spans="2:12" x14ac:dyDescent="0.2">
      <c r="B432" s="77"/>
      <c r="L432" s="71"/>
    </row>
    <row r="433" spans="2:12" x14ac:dyDescent="0.2">
      <c r="B433" s="77"/>
      <c r="L433" s="71"/>
    </row>
    <row r="434" spans="2:12" x14ac:dyDescent="0.2">
      <c r="B434" s="77"/>
      <c r="L434" s="71"/>
    </row>
    <row r="435" spans="2:12" x14ac:dyDescent="0.2">
      <c r="B435" s="77"/>
      <c r="L435" s="71"/>
    </row>
    <row r="436" spans="2:12" x14ac:dyDescent="0.2">
      <c r="B436" s="77"/>
      <c r="L436" s="71"/>
    </row>
    <row r="437" spans="2:12" x14ac:dyDescent="0.2">
      <c r="B437" s="77"/>
      <c r="L437" s="71"/>
    </row>
    <row r="438" spans="2:12" x14ac:dyDescent="0.2">
      <c r="B438" s="77"/>
      <c r="L438" s="71"/>
    </row>
    <row r="439" spans="2:12" x14ac:dyDescent="0.2">
      <c r="B439" s="77"/>
      <c r="L439" s="71"/>
    </row>
    <row r="440" spans="2:12" x14ac:dyDescent="0.2">
      <c r="B440" s="77"/>
      <c r="L440" s="71"/>
    </row>
    <row r="441" spans="2:12" x14ac:dyDescent="0.2">
      <c r="B441" s="77"/>
      <c r="L441" s="71"/>
    </row>
    <row r="442" spans="2:12" x14ac:dyDescent="0.2">
      <c r="B442" s="77"/>
      <c r="L442" s="71"/>
    </row>
    <row r="443" spans="2:12" x14ac:dyDescent="0.2">
      <c r="B443" s="77"/>
      <c r="L443" s="71"/>
    </row>
    <row r="444" spans="2:12" x14ac:dyDescent="0.2">
      <c r="B444" s="77"/>
      <c r="L444" s="71"/>
    </row>
    <row r="445" spans="2:12" x14ac:dyDescent="0.2">
      <c r="B445" s="77"/>
      <c r="L445" s="71"/>
    </row>
    <row r="446" spans="2:12" x14ac:dyDescent="0.2">
      <c r="B446" s="77"/>
      <c r="L446" s="71"/>
    </row>
    <row r="447" spans="2:12" x14ac:dyDescent="0.2">
      <c r="B447" s="77"/>
      <c r="L447" s="71"/>
    </row>
    <row r="448" spans="2:12" x14ac:dyDescent="0.2">
      <c r="B448" s="77"/>
      <c r="L448" s="71"/>
    </row>
    <row r="449" spans="2:12" x14ac:dyDescent="0.2">
      <c r="B449" s="77"/>
      <c r="L449" s="71"/>
    </row>
    <row r="450" spans="2:12" x14ac:dyDescent="0.2">
      <c r="B450" s="77"/>
      <c r="L450" s="71"/>
    </row>
    <row r="451" spans="2:12" x14ac:dyDescent="0.2">
      <c r="B451" s="77"/>
      <c r="L451" s="71"/>
    </row>
    <row r="452" spans="2:12" x14ac:dyDescent="0.2">
      <c r="B452" s="77"/>
      <c r="L452" s="71"/>
    </row>
    <row r="453" spans="2:12" x14ac:dyDescent="0.2">
      <c r="B453" s="77"/>
      <c r="L453" s="71"/>
    </row>
    <row r="454" spans="2:12" x14ac:dyDescent="0.2">
      <c r="B454" s="77"/>
      <c r="L454" s="71"/>
    </row>
    <row r="455" spans="2:12" x14ac:dyDescent="0.2">
      <c r="B455" s="77"/>
      <c r="L455" s="71"/>
    </row>
    <row r="456" spans="2:12" x14ac:dyDescent="0.2">
      <c r="B456" s="77"/>
      <c r="L456" s="71"/>
    </row>
    <row r="457" spans="2:12" x14ac:dyDescent="0.2">
      <c r="B457" s="77"/>
      <c r="L457" s="71"/>
    </row>
    <row r="458" spans="2:12" x14ac:dyDescent="0.2">
      <c r="B458" s="77"/>
      <c r="L458" s="71"/>
    </row>
    <row r="459" spans="2:12" x14ac:dyDescent="0.2">
      <c r="B459" s="77"/>
      <c r="L459" s="71"/>
    </row>
    <row r="460" spans="2:12" x14ac:dyDescent="0.2">
      <c r="B460" s="77"/>
      <c r="L460" s="71"/>
    </row>
    <row r="461" spans="2:12" x14ac:dyDescent="0.2">
      <c r="B461" s="77"/>
      <c r="L461" s="71"/>
    </row>
    <row r="462" spans="2:12" x14ac:dyDescent="0.2">
      <c r="B462" s="77"/>
      <c r="L462" s="71"/>
    </row>
    <row r="463" spans="2:12" x14ac:dyDescent="0.2">
      <c r="B463" s="77"/>
      <c r="L463" s="71"/>
    </row>
    <row r="464" spans="2:12" x14ac:dyDescent="0.2">
      <c r="B464" s="77"/>
      <c r="L464" s="71"/>
    </row>
    <row r="465" spans="2:12" x14ac:dyDescent="0.2">
      <c r="B465" s="77"/>
      <c r="L465" s="71"/>
    </row>
    <row r="466" spans="2:12" x14ac:dyDescent="0.2">
      <c r="B466" s="77"/>
      <c r="L466" s="71"/>
    </row>
    <row r="467" spans="2:12" x14ac:dyDescent="0.2">
      <c r="B467" s="77"/>
      <c r="L467" s="71"/>
    </row>
    <row r="468" spans="2:12" x14ac:dyDescent="0.2">
      <c r="B468" s="77"/>
      <c r="L468" s="71"/>
    </row>
    <row r="469" spans="2:12" x14ac:dyDescent="0.2">
      <c r="B469" s="77"/>
      <c r="L469" s="71"/>
    </row>
    <row r="470" spans="2:12" x14ac:dyDescent="0.2">
      <c r="B470" s="77"/>
      <c r="L470" s="71"/>
    </row>
    <row r="471" spans="2:12" x14ac:dyDescent="0.2">
      <c r="B471" s="77"/>
      <c r="L471" s="71"/>
    </row>
    <row r="472" spans="2:12" x14ac:dyDescent="0.2">
      <c r="B472" s="77"/>
      <c r="L472" s="71"/>
    </row>
    <row r="473" spans="2:12" x14ac:dyDescent="0.2">
      <c r="B473" s="77"/>
      <c r="L473" s="71"/>
    </row>
    <row r="474" spans="2:12" x14ac:dyDescent="0.2">
      <c r="B474" s="77"/>
      <c r="L474" s="71"/>
    </row>
    <row r="475" spans="2:12" x14ac:dyDescent="0.2">
      <c r="B475" s="77"/>
      <c r="L475" s="71"/>
    </row>
    <row r="476" spans="2:12" x14ac:dyDescent="0.2">
      <c r="B476" s="77"/>
      <c r="L476" s="71"/>
    </row>
    <row r="477" spans="2:12" x14ac:dyDescent="0.2">
      <c r="B477" s="77"/>
      <c r="L477" s="71"/>
    </row>
    <row r="478" spans="2:12" x14ac:dyDescent="0.2">
      <c r="B478" s="77"/>
      <c r="L478" s="71"/>
    </row>
    <row r="479" spans="2:12" x14ac:dyDescent="0.2">
      <c r="B479" s="77"/>
      <c r="L479" s="71"/>
    </row>
    <row r="480" spans="2:12" x14ac:dyDescent="0.2">
      <c r="B480" s="77"/>
      <c r="L480" s="71"/>
    </row>
    <row r="481" spans="2:12" x14ac:dyDescent="0.2">
      <c r="B481" s="77"/>
      <c r="L481" s="71"/>
    </row>
    <row r="482" spans="2:12" x14ac:dyDescent="0.2">
      <c r="B482" s="77"/>
      <c r="L482" s="71"/>
    </row>
    <row r="483" spans="2:12" x14ac:dyDescent="0.2">
      <c r="B483" s="77"/>
      <c r="L483" s="71"/>
    </row>
    <row r="484" spans="2:12" x14ac:dyDescent="0.2">
      <c r="B484" s="77"/>
      <c r="L484" s="71"/>
    </row>
    <row r="485" spans="2:12" x14ac:dyDescent="0.2">
      <c r="B485" s="77"/>
      <c r="L485" s="71"/>
    </row>
    <row r="486" spans="2:12" x14ac:dyDescent="0.2">
      <c r="B486" s="77"/>
      <c r="L486" s="71"/>
    </row>
    <row r="487" spans="2:12" x14ac:dyDescent="0.2">
      <c r="B487" s="77"/>
      <c r="L487" s="71"/>
    </row>
    <row r="488" spans="2:12" x14ac:dyDescent="0.2">
      <c r="B488" s="77"/>
      <c r="L488" s="71"/>
    </row>
    <row r="489" spans="2:12" x14ac:dyDescent="0.2">
      <c r="B489" s="77"/>
      <c r="L489" s="71"/>
    </row>
    <row r="490" spans="2:12" x14ac:dyDescent="0.2">
      <c r="B490" s="77"/>
      <c r="L490" s="71"/>
    </row>
    <row r="491" spans="2:12" x14ac:dyDescent="0.2">
      <c r="B491" s="77"/>
      <c r="L491" s="71"/>
    </row>
    <row r="492" spans="2:12" x14ac:dyDescent="0.2">
      <c r="B492" s="77"/>
      <c r="L492" s="71"/>
    </row>
    <row r="493" spans="2:12" x14ac:dyDescent="0.2">
      <c r="B493" s="77"/>
      <c r="L493" s="71"/>
    </row>
    <row r="494" spans="2:12" x14ac:dyDescent="0.2">
      <c r="B494" s="77"/>
      <c r="L494" s="71"/>
    </row>
    <row r="495" spans="2:12" x14ac:dyDescent="0.2">
      <c r="B495" s="77"/>
      <c r="L495" s="71"/>
    </row>
    <row r="496" spans="2:12" x14ac:dyDescent="0.2">
      <c r="B496" s="77"/>
      <c r="L496" s="71"/>
    </row>
    <row r="497" spans="2:12" x14ac:dyDescent="0.2">
      <c r="B497" s="77"/>
      <c r="L497" s="71"/>
    </row>
    <row r="498" spans="2:12" x14ac:dyDescent="0.2">
      <c r="B498" s="77"/>
      <c r="L498" s="71"/>
    </row>
    <row r="499" spans="2:12" x14ac:dyDescent="0.2">
      <c r="B499" s="77"/>
      <c r="L499" s="71"/>
    </row>
    <row r="500" spans="2:12" x14ac:dyDescent="0.2">
      <c r="B500" s="77"/>
      <c r="L500" s="71"/>
    </row>
    <row r="501" spans="2:12" x14ac:dyDescent="0.2">
      <c r="B501" s="77"/>
      <c r="L501" s="71"/>
    </row>
    <row r="502" spans="2:12" x14ac:dyDescent="0.2">
      <c r="B502" s="77"/>
      <c r="L502" s="71"/>
    </row>
    <row r="503" spans="2:12" x14ac:dyDescent="0.2">
      <c r="B503" s="77"/>
      <c r="L503" s="71"/>
    </row>
    <row r="504" spans="2:12" x14ac:dyDescent="0.2">
      <c r="B504" s="77"/>
      <c r="L504" s="71"/>
    </row>
    <row r="505" spans="2:12" x14ac:dyDescent="0.2">
      <c r="B505" s="77"/>
      <c r="L505" s="71"/>
    </row>
    <row r="506" spans="2:12" x14ac:dyDescent="0.2">
      <c r="B506" s="77"/>
      <c r="L506" s="71"/>
    </row>
    <row r="507" spans="2:12" x14ac:dyDescent="0.2">
      <c r="B507" s="77"/>
      <c r="L507" s="71"/>
    </row>
    <row r="508" spans="2:12" x14ac:dyDescent="0.2">
      <c r="B508" s="77"/>
      <c r="L508" s="71"/>
    </row>
    <row r="509" spans="2:12" x14ac:dyDescent="0.2">
      <c r="B509" s="77"/>
      <c r="L509" s="71"/>
    </row>
    <row r="510" spans="2:12" x14ac:dyDescent="0.2">
      <c r="B510" s="77"/>
      <c r="L510" s="71"/>
    </row>
    <row r="511" spans="2:12" x14ac:dyDescent="0.2">
      <c r="B511" s="77"/>
      <c r="L511" s="71"/>
    </row>
    <row r="512" spans="2:12" x14ac:dyDescent="0.2">
      <c r="B512" s="77"/>
      <c r="L512" s="71"/>
    </row>
    <row r="513" spans="2:12" x14ac:dyDescent="0.2">
      <c r="B513" s="77"/>
      <c r="L513" s="71"/>
    </row>
    <row r="514" spans="2:12" x14ac:dyDescent="0.2">
      <c r="B514" s="77"/>
      <c r="L514" s="71"/>
    </row>
    <row r="515" spans="2:12" x14ac:dyDescent="0.2">
      <c r="B515" s="77"/>
      <c r="L515" s="71"/>
    </row>
    <row r="516" spans="2:12" x14ac:dyDescent="0.2">
      <c r="B516" s="77"/>
      <c r="L516" s="71"/>
    </row>
    <row r="517" spans="2:12" x14ac:dyDescent="0.2">
      <c r="B517" s="77"/>
      <c r="L517" s="71"/>
    </row>
    <row r="518" spans="2:12" x14ac:dyDescent="0.2">
      <c r="B518" s="77"/>
      <c r="L518" s="71"/>
    </row>
    <row r="519" spans="2:12" x14ac:dyDescent="0.2">
      <c r="B519" s="77"/>
      <c r="L519" s="71"/>
    </row>
    <row r="520" spans="2:12" x14ac:dyDescent="0.2">
      <c r="B520" s="77"/>
      <c r="L520" s="71"/>
    </row>
    <row r="521" spans="2:12" x14ac:dyDescent="0.2">
      <c r="B521" s="77"/>
      <c r="L521" s="71"/>
    </row>
    <row r="522" spans="2:12" x14ac:dyDescent="0.2">
      <c r="B522" s="77"/>
      <c r="L522" s="71"/>
    </row>
    <row r="523" spans="2:12" x14ac:dyDescent="0.2">
      <c r="B523" s="77"/>
      <c r="L523" s="71"/>
    </row>
    <row r="524" spans="2:12" x14ac:dyDescent="0.2">
      <c r="B524" s="77"/>
      <c r="L524" s="71"/>
    </row>
    <row r="525" spans="2:12" x14ac:dyDescent="0.2">
      <c r="B525" s="77"/>
      <c r="L525" s="71"/>
    </row>
    <row r="526" spans="2:12" x14ac:dyDescent="0.2">
      <c r="B526" s="77"/>
      <c r="L526" s="71"/>
    </row>
    <row r="527" spans="2:12" x14ac:dyDescent="0.2">
      <c r="B527" s="77"/>
      <c r="L527" s="71"/>
    </row>
    <row r="528" spans="2:12" x14ac:dyDescent="0.2">
      <c r="B528" s="77"/>
      <c r="L528" s="71"/>
    </row>
    <row r="529" spans="2:12" x14ac:dyDescent="0.2">
      <c r="B529" s="77"/>
      <c r="L529" s="71"/>
    </row>
    <row r="530" spans="2:12" x14ac:dyDescent="0.2">
      <c r="B530" s="77"/>
      <c r="L530" s="71"/>
    </row>
    <row r="531" spans="2:12" x14ac:dyDescent="0.2">
      <c r="B531" s="77"/>
      <c r="L531" s="71"/>
    </row>
    <row r="532" spans="2:12" x14ac:dyDescent="0.2">
      <c r="B532" s="77"/>
      <c r="L532" s="71"/>
    </row>
    <row r="533" spans="2:12" x14ac:dyDescent="0.2">
      <c r="B533" s="77"/>
      <c r="L533" s="71"/>
    </row>
    <row r="534" spans="2:12" x14ac:dyDescent="0.2">
      <c r="B534" s="77"/>
      <c r="L534" s="71"/>
    </row>
    <row r="535" spans="2:12" x14ac:dyDescent="0.2">
      <c r="B535" s="77"/>
      <c r="L535" s="71"/>
    </row>
    <row r="536" spans="2:12" x14ac:dyDescent="0.2">
      <c r="B536" s="77"/>
      <c r="L536" s="71"/>
    </row>
    <row r="537" spans="2:12" x14ac:dyDescent="0.2">
      <c r="B537" s="77"/>
      <c r="L537" s="71"/>
    </row>
    <row r="538" spans="2:12" x14ac:dyDescent="0.2">
      <c r="B538" s="77"/>
      <c r="L538" s="71"/>
    </row>
    <row r="539" spans="2:12" x14ac:dyDescent="0.2">
      <c r="B539" s="77"/>
      <c r="L539" s="71"/>
    </row>
    <row r="540" spans="2:12" x14ac:dyDescent="0.2">
      <c r="B540" s="77"/>
      <c r="L540" s="71"/>
    </row>
    <row r="541" spans="2:12" x14ac:dyDescent="0.2">
      <c r="B541" s="77"/>
      <c r="L541" s="71"/>
    </row>
    <row r="542" spans="2:12" x14ac:dyDescent="0.2">
      <c r="B542" s="77"/>
      <c r="L542" s="71"/>
    </row>
    <row r="543" spans="2:12" x14ac:dyDescent="0.2">
      <c r="B543" s="77"/>
      <c r="L543" s="71"/>
    </row>
    <row r="544" spans="2:12" x14ac:dyDescent="0.2">
      <c r="B544" s="77"/>
      <c r="L544" s="71"/>
    </row>
    <row r="545" spans="2:12" x14ac:dyDescent="0.2">
      <c r="B545" s="77"/>
      <c r="L545" s="71"/>
    </row>
    <row r="546" spans="2:12" x14ac:dyDescent="0.2">
      <c r="B546" s="77"/>
      <c r="L546" s="71"/>
    </row>
    <row r="547" spans="2:12" x14ac:dyDescent="0.2">
      <c r="B547" s="77"/>
      <c r="L547" s="71"/>
    </row>
    <row r="548" spans="2:12" x14ac:dyDescent="0.2">
      <c r="B548" s="77"/>
      <c r="L548" s="71"/>
    </row>
    <row r="549" spans="2:12" x14ac:dyDescent="0.2">
      <c r="B549" s="77"/>
      <c r="L549" s="71"/>
    </row>
    <row r="550" spans="2:12" x14ac:dyDescent="0.2">
      <c r="B550" s="77"/>
      <c r="L550" s="71"/>
    </row>
    <row r="551" spans="2:12" x14ac:dyDescent="0.2">
      <c r="B551" s="77"/>
      <c r="L551" s="71"/>
    </row>
    <row r="552" spans="2:12" x14ac:dyDescent="0.2">
      <c r="B552" s="77"/>
      <c r="L552" s="71"/>
    </row>
    <row r="553" spans="2:12" x14ac:dyDescent="0.2">
      <c r="B553" s="77"/>
      <c r="L553" s="71"/>
    </row>
    <row r="554" spans="2:12" x14ac:dyDescent="0.2">
      <c r="B554" s="77"/>
      <c r="L554" s="71"/>
    </row>
    <row r="555" spans="2:12" x14ac:dyDescent="0.2">
      <c r="B555" s="77"/>
      <c r="L555" s="71"/>
    </row>
    <row r="556" spans="2:12" x14ac:dyDescent="0.2">
      <c r="B556" s="77"/>
      <c r="L556" s="71"/>
    </row>
    <row r="557" spans="2:12" x14ac:dyDescent="0.2">
      <c r="B557" s="77"/>
      <c r="L557" s="71"/>
    </row>
    <row r="558" spans="2:12" x14ac:dyDescent="0.2">
      <c r="B558" s="77"/>
      <c r="L558" s="71"/>
    </row>
    <row r="559" spans="2:12" x14ac:dyDescent="0.2">
      <c r="B559" s="77"/>
      <c r="L559" s="71"/>
    </row>
    <row r="560" spans="2:12" x14ac:dyDescent="0.2">
      <c r="B560" s="77"/>
      <c r="L560" s="71"/>
    </row>
    <row r="561" spans="2:12" x14ac:dyDescent="0.2">
      <c r="B561" s="77"/>
      <c r="L561" s="71"/>
    </row>
    <row r="562" spans="2:12" x14ac:dyDescent="0.2">
      <c r="B562" s="77"/>
      <c r="L562" s="71"/>
    </row>
    <row r="563" spans="2:12" x14ac:dyDescent="0.2">
      <c r="B563" s="77"/>
      <c r="L563" s="71"/>
    </row>
    <row r="564" spans="2:12" x14ac:dyDescent="0.2">
      <c r="B564" s="77"/>
      <c r="L564" s="71"/>
    </row>
    <row r="565" spans="2:12" x14ac:dyDescent="0.2">
      <c r="B565" s="77"/>
      <c r="L565" s="71"/>
    </row>
    <row r="566" spans="2:12" x14ac:dyDescent="0.2">
      <c r="B566" s="77"/>
      <c r="L566" s="71"/>
    </row>
    <row r="567" spans="2:12" x14ac:dyDescent="0.2">
      <c r="B567" s="77"/>
      <c r="L567" s="71"/>
    </row>
    <row r="568" spans="2:12" x14ac:dyDescent="0.2">
      <c r="B568" s="77"/>
      <c r="L568" s="71"/>
    </row>
    <row r="569" spans="2:12" x14ac:dyDescent="0.2">
      <c r="B569" s="77"/>
      <c r="L569" s="71"/>
    </row>
    <row r="570" spans="2:12" x14ac:dyDescent="0.2">
      <c r="B570" s="77"/>
      <c r="L570" s="71"/>
    </row>
    <row r="571" spans="2:12" x14ac:dyDescent="0.2">
      <c r="B571" s="77"/>
      <c r="L571" s="71"/>
    </row>
    <row r="572" spans="2:12" x14ac:dyDescent="0.2">
      <c r="B572" s="77"/>
      <c r="L572" s="71"/>
    </row>
    <row r="573" spans="2:12" x14ac:dyDescent="0.2">
      <c r="B573" s="77"/>
      <c r="L573" s="71"/>
    </row>
    <row r="574" spans="2:12" x14ac:dyDescent="0.2">
      <c r="B574" s="77"/>
      <c r="L574" s="71"/>
    </row>
    <row r="575" spans="2:12" x14ac:dyDescent="0.2">
      <c r="B575" s="77"/>
      <c r="L575" s="71"/>
    </row>
    <row r="576" spans="2:12" x14ac:dyDescent="0.2">
      <c r="B576" s="77"/>
      <c r="L576" s="71"/>
    </row>
    <row r="577" spans="2:12" x14ac:dyDescent="0.2">
      <c r="B577" s="77"/>
      <c r="L577" s="71"/>
    </row>
    <row r="578" spans="2:12" x14ac:dyDescent="0.2">
      <c r="B578" s="77"/>
      <c r="L578" s="71"/>
    </row>
    <row r="579" spans="2:12" x14ac:dyDescent="0.2">
      <c r="B579" s="77"/>
      <c r="L579" s="71"/>
    </row>
    <row r="580" spans="2:12" x14ac:dyDescent="0.2">
      <c r="B580" s="77"/>
      <c r="L580" s="71"/>
    </row>
    <row r="581" spans="2:12" x14ac:dyDescent="0.2">
      <c r="B581" s="77"/>
      <c r="L581" s="71"/>
    </row>
    <row r="582" spans="2:12" x14ac:dyDescent="0.2">
      <c r="B582" s="77"/>
      <c r="L582" s="71"/>
    </row>
    <row r="583" spans="2:12" x14ac:dyDescent="0.2">
      <c r="B583" s="77"/>
      <c r="L583" s="71"/>
    </row>
    <row r="584" spans="2:12" x14ac:dyDescent="0.2">
      <c r="B584" s="77"/>
      <c r="L584" s="71"/>
    </row>
    <row r="585" spans="2:12" x14ac:dyDescent="0.2">
      <c r="B585" s="77"/>
      <c r="L585" s="71"/>
    </row>
    <row r="586" spans="2:12" x14ac:dyDescent="0.2">
      <c r="B586" s="77"/>
      <c r="L586" s="71"/>
    </row>
    <row r="587" spans="2:12" x14ac:dyDescent="0.2">
      <c r="B587" s="77"/>
      <c r="L587" s="71"/>
    </row>
    <row r="588" spans="2:12" x14ac:dyDescent="0.2">
      <c r="B588" s="77"/>
      <c r="L588" s="71"/>
    </row>
    <row r="589" spans="2:12" x14ac:dyDescent="0.2">
      <c r="B589" s="77"/>
      <c r="L589" s="71"/>
    </row>
    <row r="590" spans="2:12" x14ac:dyDescent="0.2">
      <c r="B590" s="77"/>
      <c r="L590" s="71"/>
    </row>
    <row r="591" spans="2:12" x14ac:dyDescent="0.2">
      <c r="B591" s="77"/>
      <c r="L591" s="71"/>
    </row>
    <row r="592" spans="2:12" x14ac:dyDescent="0.2">
      <c r="B592" s="77"/>
      <c r="L592" s="71"/>
    </row>
    <row r="593" spans="2:12" x14ac:dyDescent="0.2">
      <c r="B593" s="77"/>
      <c r="L593" s="71"/>
    </row>
    <row r="594" spans="2:12" x14ac:dyDescent="0.2">
      <c r="B594" s="77"/>
      <c r="L594" s="71"/>
    </row>
    <row r="595" spans="2:12" x14ac:dyDescent="0.2">
      <c r="B595" s="77"/>
      <c r="L595" s="71"/>
    </row>
    <row r="596" spans="2:12" x14ac:dyDescent="0.2">
      <c r="B596" s="77"/>
      <c r="L596" s="71"/>
    </row>
    <row r="597" spans="2:12" x14ac:dyDescent="0.2">
      <c r="B597" s="77"/>
      <c r="L597" s="71"/>
    </row>
    <row r="598" spans="2:12" x14ac:dyDescent="0.2">
      <c r="B598" s="77"/>
      <c r="L598" s="71"/>
    </row>
    <row r="599" spans="2:12" x14ac:dyDescent="0.2">
      <c r="B599" s="77"/>
      <c r="L599" s="71"/>
    </row>
    <row r="600" spans="2:12" x14ac:dyDescent="0.2">
      <c r="B600" s="77"/>
      <c r="L600" s="71"/>
    </row>
    <row r="601" spans="2:12" x14ac:dyDescent="0.2">
      <c r="B601" s="77"/>
      <c r="L601" s="71"/>
    </row>
    <row r="602" spans="2:12" x14ac:dyDescent="0.2">
      <c r="B602" s="77"/>
      <c r="L602" s="71"/>
    </row>
    <row r="603" spans="2:12" x14ac:dyDescent="0.2">
      <c r="B603" s="77"/>
      <c r="L603" s="71"/>
    </row>
    <row r="604" spans="2:12" x14ac:dyDescent="0.2">
      <c r="B604" s="77"/>
      <c r="L604" s="71"/>
    </row>
    <row r="605" spans="2:12" x14ac:dyDescent="0.2">
      <c r="B605" s="77"/>
      <c r="L605" s="71"/>
    </row>
    <row r="606" spans="2:12" x14ac:dyDescent="0.2">
      <c r="B606" s="77"/>
      <c r="L606" s="71"/>
    </row>
    <row r="607" spans="2:12" x14ac:dyDescent="0.2">
      <c r="B607" s="77"/>
      <c r="L607" s="71"/>
    </row>
    <row r="608" spans="2:12" x14ac:dyDescent="0.2">
      <c r="B608" s="77"/>
      <c r="L608" s="71"/>
    </row>
    <row r="609" spans="2:12" x14ac:dyDescent="0.2">
      <c r="B609" s="77"/>
      <c r="L609" s="71"/>
    </row>
    <row r="610" spans="2:12" x14ac:dyDescent="0.2">
      <c r="B610" s="77"/>
      <c r="L610" s="71"/>
    </row>
    <row r="611" spans="2:12" x14ac:dyDescent="0.2">
      <c r="B611" s="77"/>
      <c r="L611" s="71"/>
    </row>
    <row r="612" spans="2:12" x14ac:dyDescent="0.2">
      <c r="B612" s="77"/>
      <c r="L612" s="71"/>
    </row>
    <row r="613" spans="2:12" x14ac:dyDescent="0.2">
      <c r="B613" s="77"/>
      <c r="L613" s="71"/>
    </row>
    <row r="614" spans="2:12" x14ac:dyDescent="0.2">
      <c r="B614" s="77"/>
      <c r="L614" s="71"/>
    </row>
    <row r="615" spans="2:12" x14ac:dyDescent="0.2">
      <c r="B615" s="77"/>
      <c r="L615" s="71"/>
    </row>
    <row r="616" spans="2:12" x14ac:dyDescent="0.2">
      <c r="B616" s="77"/>
      <c r="L616" s="71"/>
    </row>
    <row r="617" spans="2:12" x14ac:dyDescent="0.2">
      <c r="B617" s="77"/>
      <c r="L617" s="71"/>
    </row>
    <row r="618" spans="2:12" x14ac:dyDescent="0.2">
      <c r="B618" s="77"/>
      <c r="L618" s="71"/>
    </row>
    <row r="619" spans="2:12" x14ac:dyDescent="0.2">
      <c r="B619" s="77"/>
      <c r="L619" s="71"/>
    </row>
    <row r="620" spans="2:12" x14ac:dyDescent="0.2">
      <c r="B620" s="77"/>
      <c r="L620" s="71"/>
    </row>
    <row r="621" spans="2:12" x14ac:dyDescent="0.2">
      <c r="B621" s="77"/>
      <c r="L621" s="71"/>
    </row>
    <row r="622" spans="2:12" x14ac:dyDescent="0.2">
      <c r="B622" s="77"/>
      <c r="L622" s="71"/>
    </row>
    <row r="623" spans="2:12" x14ac:dyDescent="0.2">
      <c r="B623" s="77"/>
      <c r="L623" s="71"/>
    </row>
    <row r="624" spans="2:12" x14ac:dyDescent="0.2">
      <c r="B624" s="77"/>
      <c r="L624" s="71"/>
    </row>
    <row r="625" spans="2:12" x14ac:dyDescent="0.2">
      <c r="B625" s="77"/>
      <c r="L625" s="71"/>
    </row>
    <row r="626" spans="2:12" x14ac:dyDescent="0.2">
      <c r="B626" s="77"/>
      <c r="L626" s="71"/>
    </row>
    <row r="627" spans="2:12" x14ac:dyDescent="0.2">
      <c r="B627" s="77"/>
      <c r="L627" s="71"/>
    </row>
    <row r="628" spans="2:12" x14ac:dyDescent="0.2">
      <c r="B628" s="77"/>
      <c r="L628" s="71"/>
    </row>
    <row r="629" spans="2:12" x14ac:dyDescent="0.2">
      <c r="B629" s="77"/>
      <c r="L629" s="71"/>
    </row>
    <row r="630" spans="2:12" x14ac:dyDescent="0.2">
      <c r="B630" s="77"/>
      <c r="L630" s="71"/>
    </row>
    <row r="631" spans="2:12" x14ac:dyDescent="0.2">
      <c r="B631" s="77"/>
      <c r="L631" s="71"/>
    </row>
    <row r="632" spans="2:12" x14ac:dyDescent="0.2">
      <c r="B632" s="77"/>
      <c r="L632" s="71"/>
    </row>
    <row r="633" spans="2:12" x14ac:dyDescent="0.2">
      <c r="B633" s="77"/>
      <c r="L633" s="71"/>
    </row>
    <row r="634" spans="2:12" x14ac:dyDescent="0.2">
      <c r="B634" s="77"/>
      <c r="L634" s="71"/>
    </row>
    <row r="635" spans="2:12" x14ac:dyDescent="0.2">
      <c r="B635" s="77"/>
      <c r="L635" s="71"/>
    </row>
    <row r="636" spans="2:12" x14ac:dyDescent="0.2">
      <c r="B636" s="77"/>
      <c r="L636" s="71"/>
    </row>
    <row r="637" spans="2:12" x14ac:dyDescent="0.2">
      <c r="B637" s="77"/>
      <c r="L637" s="71"/>
    </row>
    <row r="638" spans="2:12" x14ac:dyDescent="0.2">
      <c r="B638" s="77"/>
      <c r="L638" s="71"/>
    </row>
    <row r="639" spans="2:12" x14ac:dyDescent="0.2">
      <c r="B639" s="77"/>
      <c r="L639" s="71"/>
    </row>
    <row r="640" spans="2:12" x14ac:dyDescent="0.2">
      <c r="B640" s="77"/>
      <c r="L640" s="71"/>
    </row>
    <row r="641" spans="2:12" x14ac:dyDescent="0.2">
      <c r="B641" s="77"/>
      <c r="L641" s="71"/>
    </row>
    <row r="642" spans="2:12" x14ac:dyDescent="0.2">
      <c r="B642" s="77"/>
      <c r="L642" s="71"/>
    </row>
    <row r="643" spans="2:12" x14ac:dyDescent="0.2">
      <c r="B643" s="77"/>
      <c r="L643" s="71"/>
    </row>
    <row r="644" spans="2:12" x14ac:dyDescent="0.2">
      <c r="B644" s="77"/>
      <c r="L644" s="71"/>
    </row>
    <row r="645" spans="2:12" x14ac:dyDescent="0.2">
      <c r="B645" s="77"/>
      <c r="L645" s="71"/>
    </row>
    <row r="646" spans="2:12" x14ac:dyDescent="0.2">
      <c r="B646" s="77"/>
      <c r="L646" s="71"/>
    </row>
    <row r="647" spans="2:12" x14ac:dyDescent="0.2">
      <c r="B647" s="77"/>
      <c r="L647" s="71"/>
    </row>
    <row r="648" spans="2:12" x14ac:dyDescent="0.2">
      <c r="B648" s="77"/>
      <c r="L648" s="71"/>
    </row>
    <row r="649" spans="2:12" x14ac:dyDescent="0.2">
      <c r="B649" s="77"/>
      <c r="L649" s="71"/>
    </row>
    <row r="650" spans="2:12" x14ac:dyDescent="0.2">
      <c r="B650" s="77"/>
      <c r="L650" s="71"/>
    </row>
    <row r="651" spans="2:12" x14ac:dyDescent="0.2">
      <c r="B651" s="77"/>
      <c r="L651" s="71"/>
    </row>
    <row r="652" spans="2:12" x14ac:dyDescent="0.2">
      <c r="B652" s="77"/>
      <c r="L652" s="71"/>
    </row>
    <row r="653" spans="2:12" x14ac:dyDescent="0.2">
      <c r="B653" s="77"/>
      <c r="L653" s="71"/>
    </row>
    <row r="654" spans="2:12" x14ac:dyDescent="0.2">
      <c r="B654" s="77"/>
      <c r="L654" s="71"/>
    </row>
    <row r="655" spans="2:12" x14ac:dyDescent="0.2">
      <c r="B655" s="77"/>
      <c r="L655" s="71"/>
    </row>
    <row r="656" spans="2:12" x14ac:dyDescent="0.2">
      <c r="B656" s="77"/>
      <c r="L656" s="71"/>
    </row>
    <row r="657" spans="2:12" x14ac:dyDescent="0.2">
      <c r="B657" s="77"/>
      <c r="L657" s="71"/>
    </row>
    <row r="658" spans="2:12" x14ac:dyDescent="0.2">
      <c r="B658" s="77"/>
      <c r="L658" s="71"/>
    </row>
    <row r="659" spans="2:12" x14ac:dyDescent="0.2">
      <c r="B659" s="77"/>
      <c r="L659" s="71"/>
    </row>
    <row r="660" spans="2:12" x14ac:dyDescent="0.2">
      <c r="B660" s="77"/>
      <c r="L660" s="71"/>
    </row>
    <row r="661" spans="2:12" x14ac:dyDescent="0.2">
      <c r="B661" s="77"/>
      <c r="L661" s="71"/>
    </row>
    <row r="662" spans="2:12" x14ac:dyDescent="0.2">
      <c r="B662" s="77"/>
      <c r="L662" s="71"/>
    </row>
    <row r="663" spans="2:12" x14ac:dyDescent="0.2">
      <c r="B663" s="77"/>
      <c r="L663" s="71"/>
    </row>
    <row r="664" spans="2:12" x14ac:dyDescent="0.2">
      <c r="B664" s="77"/>
      <c r="L664" s="71"/>
    </row>
    <row r="665" spans="2:12" x14ac:dyDescent="0.2">
      <c r="B665" s="77"/>
      <c r="L665" s="71"/>
    </row>
    <row r="666" spans="2:12" x14ac:dyDescent="0.2">
      <c r="B666" s="77"/>
      <c r="L666" s="71"/>
    </row>
    <row r="667" spans="2:12" x14ac:dyDescent="0.2">
      <c r="B667" s="77"/>
      <c r="L667" s="71"/>
    </row>
    <row r="668" spans="2:12" x14ac:dyDescent="0.2">
      <c r="B668" s="77"/>
      <c r="L668" s="71"/>
    </row>
    <row r="669" spans="2:12" x14ac:dyDescent="0.2">
      <c r="B669" s="77"/>
      <c r="L669" s="71"/>
    </row>
    <row r="670" spans="2:12" x14ac:dyDescent="0.2">
      <c r="B670" s="77"/>
      <c r="L670" s="71"/>
    </row>
    <row r="671" spans="2:12" x14ac:dyDescent="0.2">
      <c r="B671" s="77"/>
      <c r="L671" s="71"/>
    </row>
    <row r="672" spans="2:12" x14ac:dyDescent="0.2">
      <c r="B672" s="77"/>
      <c r="L672" s="71"/>
    </row>
    <row r="673" spans="2:12" x14ac:dyDescent="0.2">
      <c r="B673" s="77"/>
      <c r="L673" s="71"/>
    </row>
    <row r="674" spans="2:12" x14ac:dyDescent="0.2">
      <c r="B674" s="77"/>
      <c r="L674" s="71"/>
    </row>
    <row r="675" spans="2:12" x14ac:dyDescent="0.2">
      <c r="B675" s="77"/>
      <c r="L675" s="71"/>
    </row>
    <row r="676" spans="2:12" x14ac:dyDescent="0.2">
      <c r="B676" s="77"/>
      <c r="L676" s="71"/>
    </row>
    <row r="677" spans="2:12" x14ac:dyDescent="0.2">
      <c r="B677" s="77"/>
      <c r="L677" s="71"/>
    </row>
    <row r="678" spans="2:12" x14ac:dyDescent="0.2">
      <c r="B678" s="77"/>
      <c r="L678" s="71"/>
    </row>
    <row r="679" spans="2:12" x14ac:dyDescent="0.2">
      <c r="B679" s="77"/>
      <c r="L679" s="71"/>
    </row>
    <row r="680" spans="2:12" x14ac:dyDescent="0.2">
      <c r="B680" s="77"/>
      <c r="L680" s="71"/>
    </row>
    <row r="681" spans="2:12" x14ac:dyDescent="0.2">
      <c r="B681" s="77"/>
      <c r="L681" s="71"/>
    </row>
    <row r="682" spans="2:12" x14ac:dyDescent="0.2">
      <c r="B682" s="77"/>
      <c r="L682" s="71"/>
    </row>
    <row r="683" spans="2:12" x14ac:dyDescent="0.2">
      <c r="B683" s="77"/>
      <c r="L683" s="71"/>
    </row>
    <row r="684" spans="2:12" x14ac:dyDescent="0.2">
      <c r="B684" s="77"/>
      <c r="L684" s="71"/>
    </row>
    <row r="685" spans="2:12" x14ac:dyDescent="0.2">
      <c r="B685" s="77"/>
      <c r="L685" s="71"/>
    </row>
    <row r="686" spans="2:12" x14ac:dyDescent="0.2">
      <c r="B686" s="77"/>
      <c r="L686" s="71"/>
    </row>
    <row r="687" spans="2:12" x14ac:dyDescent="0.2">
      <c r="B687" s="77"/>
      <c r="L687" s="71"/>
    </row>
    <row r="688" spans="2:12" x14ac:dyDescent="0.2">
      <c r="B688" s="77"/>
      <c r="L688" s="71"/>
    </row>
    <row r="689" spans="2:12" x14ac:dyDescent="0.2">
      <c r="B689" s="77"/>
      <c r="L689" s="71"/>
    </row>
    <row r="690" spans="2:12" x14ac:dyDescent="0.2">
      <c r="B690" s="77"/>
      <c r="L690" s="71"/>
    </row>
    <row r="691" spans="2:12" x14ac:dyDescent="0.2">
      <c r="B691" s="77"/>
      <c r="L691" s="71"/>
    </row>
    <row r="692" spans="2:12" x14ac:dyDescent="0.2">
      <c r="B692" s="77"/>
      <c r="L692" s="71"/>
    </row>
    <row r="693" spans="2:12" x14ac:dyDescent="0.2">
      <c r="B693" s="77"/>
      <c r="L693" s="71"/>
    </row>
    <row r="694" spans="2:12" x14ac:dyDescent="0.2">
      <c r="B694" s="77"/>
      <c r="L694" s="71"/>
    </row>
    <row r="695" spans="2:12" x14ac:dyDescent="0.2">
      <c r="B695" s="77"/>
      <c r="L695" s="71"/>
    </row>
    <row r="696" spans="2:12" x14ac:dyDescent="0.2">
      <c r="B696" s="77"/>
      <c r="L696" s="71"/>
    </row>
    <row r="697" spans="2:12" x14ac:dyDescent="0.2">
      <c r="B697" s="77"/>
      <c r="L697" s="71"/>
    </row>
    <row r="698" spans="2:12" x14ac:dyDescent="0.2">
      <c r="B698" s="77"/>
      <c r="L698" s="71"/>
    </row>
    <row r="699" spans="2:12" x14ac:dyDescent="0.2">
      <c r="B699" s="77"/>
      <c r="L699" s="71"/>
    </row>
    <row r="700" spans="2:12" x14ac:dyDescent="0.2">
      <c r="B700" s="77"/>
      <c r="L700" s="71"/>
    </row>
    <row r="701" spans="2:12" x14ac:dyDescent="0.2">
      <c r="B701" s="77"/>
      <c r="L701" s="71"/>
    </row>
    <row r="702" spans="2:12" x14ac:dyDescent="0.2">
      <c r="B702" s="77"/>
      <c r="L702" s="71"/>
    </row>
    <row r="703" spans="2:12" x14ac:dyDescent="0.2">
      <c r="B703" s="77"/>
      <c r="L703" s="71"/>
    </row>
    <row r="704" spans="2:12" x14ac:dyDescent="0.2">
      <c r="B704" s="77"/>
      <c r="L704" s="71"/>
    </row>
    <row r="705" spans="2:12" x14ac:dyDescent="0.2">
      <c r="B705" s="77"/>
      <c r="L705" s="71"/>
    </row>
    <row r="706" spans="2:12" x14ac:dyDescent="0.2">
      <c r="B706" s="77"/>
      <c r="L706" s="71"/>
    </row>
    <row r="707" spans="2:12" x14ac:dyDescent="0.2">
      <c r="B707" s="77"/>
      <c r="L707" s="71"/>
    </row>
    <row r="708" spans="2:12" x14ac:dyDescent="0.2">
      <c r="B708" s="77"/>
      <c r="L708" s="71"/>
    </row>
    <row r="709" spans="2:12" x14ac:dyDescent="0.2">
      <c r="B709" s="77"/>
      <c r="L709" s="71"/>
    </row>
    <row r="710" spans="2:12" x14ac:dyDescent="0.2">
      <c r="B710" s="77"/>
      <c r="L710" s="71"/>
    </row>
    <row r="711" spans="2:12" x14ac:dyDescent="0.2">
      <c r="B711" s="77"/>
      <c r="L711" s="71"/>
    </row>
    <row r="712" spans="2:12" x14ac:dyDescent="0.2">
      <c r="B712" s="77"/>
      <c r="L712" s="71"/>
    </row>
    <row r="713" spans="2:12" x14ac:dyDescent="0.2">
      <c r="B713" s="77"/>
      <c r="L713" s="71"/>
    </row>
    <row r="714" spans="2:12" x14ac:dyDescent="0.2">
      <c r="B714" s="77"/>
      <c r="L714" s="71"/>
    </row>
    <row r="715" spans="2:12" x14ac:dyDescent="0.2">
      <c r="B715" s="77"/>
      <c r="L715" s="71"/>
    </row>
    <row r="716" spans="2:12" x14ac:dyDescent="0.2">
      <c r="B716" s="77"/>
      <c r="L716" s="71"/>
    </row>
    <row r="717" spans="2:12" x14ac:dyDescent="0.2">
      <c r="B717" s="77"/>
      <c r="L717" s="71"/>
    </row>
    <row r="718" spans="2:12" x14ac:dyDescent="0.2">
      <c r="B718" s="77"/>
      <c r="L718" s="71"/>
    </row>
    <row r="719" spans="2:12" x14ac:dyDescent="0.2">
      <c r="B719" s="77"/>
      <c r="L719" s="71"/>
    </row>
    <row r="720" spans="2:12" x14ac:dyDescent="0.2">
      <c r="B720" s="77"/>
      <c r="L720" s="71"/>
    </row>
    <row r="721" spans="2:12" x14ac:dyDescent="0.2">
      <c r="B721" s="77"/>
      <c r="L721" s="71"/>
    </row>
    <row r="722" spans="2:12" x14ac:dyDescent="0.2">
      <c r="B722" s="77"/>
      <c r="L722" s="71"/>
    </row>
    <row r="723" spans="2:12" x14ac:dyDescent="0.2">
      <c r="B723" s="77"/>
      <c r="L723" s="71"/>
    </row>
    <row r="724" spans="2:12" x14ac:dyDescent="0.2">
      <c r="B724" s="77"/>
      <c r="L724" s="71"/>
    </row>
    <row r="725" spans="2:12" x14ac:dyDescent="0.2">
      <c r="B725" s="77"/>
      <c r="L725" s="71"/>
    </row>
    <row r="726" spans="2:12" x14ac:dyDescent="0.2">
      <c r="B726" s="77"/>
      <c r="L726" s="71"/>
    </row>
    <row r="727" spans="2:12" x14ac:dyDescent="0.2">
      <c r="B727" s="77"/>
      <c r="L727" s="71"/>
    </row>
    <row r="728" spans="2:12" x14ac:dyDescent="0.2">
      <c r="B728" s="77"/>
      <c r="L728" s="71"/>
    </row>
    <row r="729" spans="2:12" x14ac:dyDescent="0.2">
      <c r="B729" s="77"/>
      <c r="L729" s="71"/>
    </row>
    <row r="730" spans="2:12" x14ac:dyDescent="0.2">
      <c r="B730" s="77"/>
      <c r="L730" s="71"/>
    </row>
    <row r="731" spans="2:12" x14ac:dyDescent="0.2">
      <c r="B731" s="77"/>
      <c r="L731" s="71"/>
    </row>
    <row r="732" spans="2:12" x14ac:dyDescent="0.2">
      <c r="B732" s="77"/>
      <c r="L732" s="71"/>
    </row>
    <row r="733" spans="2:12" x14ac:dyDescent="0.2">
      <c r="B733" s="77"/>
      <c r="L733" s="71"/>
    </row>
    <row r="734" spans="2:12" x14ac:dyDescent="0.2">
      <c r="B734" s="77"/>
      <c r="L734" s="71"/>
    </row>
    <row r="735" spans="2:12" x14ac:dyDescent="0.2">
      <c r="B735" s="77"/>
      <c r="L735" s="71"/>
    </row>
    <row r="736" spans="2:12" x14ac:dyDescent="0.2">
      <c r="B736" s="77"/>
      <c r="L736" s="71"/>
    </row>
    <row r="737" spans="2:12" x14ac:dyDescent="0.2">
      <c r="B737" s="77"/>
      <c r="L737" s="71"/>
    </row>
    <row r="738" spans="2:12" x14ac:dyDescent="0.2">
      <c r="B738" s="77"/>
      <c r="L738" s="71"/>
    </row>
    <row r="739" spans="2:12" x14ac:dyDescent="0.2">
      <c r="B739" s="77"/>
      <c r="L739" s="71"/>
    </row>
    <row r="740" spans="2:12" x14ac:dyDescent="0.2">
      <c r="B740" s="77"/>
      <c r="L740" s="71"/>
    </row>
    <row r="741" spans="2:12" x14ac:dyDescent="0.2">
      <c r="B741" s="77"/>
      <c r="L741" s="71"/>
    </row>
    <row r="742" spans="2:12" x14ac:dyDescent="0.2">
      <c r="B742" s="77"/>
      <c r="L742" s="71"/>
    </row>
    <row r="743" spans="2:12" x14ac:dyDescent="0.2">
      <c r="B743" s="77"/>
      <c r="L743" s="71"/>
    </row>
    <row r="744" spans="2:12" x14ac:dyDescent="0.2">
      <c r="B744" s="77"/>
      <c r="L744" s="71"/>
    </row>
    <row r="745" spans="2:12" x14ac:dyDescent="0.2">
      <c r="B745" s="77"/>
      <c r="L745" s="71"/>
    </row>
    <row r="746" spans="2:12" x14ac:dyDescent="0.2">
      <c r="B746" s="77"/>
      <c r="L746" s="71"/>
    </row>
    <row r="747" spans="2:12" x14ac:dyDescent="0.2">
      <c r="B747" s="77"/>
      <c r="L747" s="71"/>
    </row>
    <row r="748" spans="2:12" x14ac:dyDescent="0.2">
      <c r="B748" s="77"/>
      <c r="L748" s="71"/>
    </row>
    <row r="749" spans="2:12" x14ac:dyDescent="0.2">
      <c r="B749" s="77"/>
      <c r="L749" s="71"/>
    </row>
    <row r="750" spans="2:12" x14ac:dyDescent="0.2">
      <c r="B750" s="77"/>
      <c r="L750" s="71"/>
    </row>
    <row r="751" spans="2:12" x14ac:dyDescent="0.2">
      <c r="B751" s="77"/>
      <c r="L751" s="71"/>
    </row>
    <row r="752" spans="2:12" x14ac:dyDescent="0.2">
      <c r="B752" s="77"/>
      <c r="L752" s="71"/>
    </row>
    <row r="753" spans="2:12" x14ac:dyDescent="0.2">
      <c r="B753" s="77"/>
      <c r="L753" s="71"/>
    </row>
    <row r="754" spans="2:12" x14ac:dyDescent="0.2">
      <c r="B754" s="77"/>
      <c r="L754" s="71"/>
    </row>
    <row r="755" spans="2:12" x14ac:dyDescent="0.2">
      <c r="B755" s="77"/>
      <c r="L755" s="71"/>
    </row>
    <row r="756" spans="2:12" x14ac:dyDescent="0.2">
      <c r="B756" s="77"/>
      <c r="L756" s="71"/>
    </row>
    <row r="757" spans="2:12" x14ac:dyDescent="0.2">
      <c r="B757" s="77"/>
      <c r="L757" s="71"/>
    </row>
    <row r="758" spans="2:12" x14ac:dyDescent="0.2">
      <c r="B758" s="77"/>
      <c r="L758" s="71"/>
    </row>
    <row r="759" spans="2:12" x14ac:dyDescent="0.2">
      <c r="B759" s="77"/>
      <c r="L759" s="71"/>
    </row>
    <row r="760" spans="2:12" x14ac:dyDescent="0.2">
      <c r="B760" s="77"/>
      <c r="L760" s="71"/>
    </row>
    <row r="761" spans="2:12" x14ac:dyDescent="0.2">
      <c r="B761" s="77"/>
      <c r="L761" s="71"/>
    </row>
    <row r="762" spans="2:12" x14ac:dyDescent="0.2">
      <c r="B762" s="77"/>
      <c r="L762" s="71"/>
    </row>
    <row r="763" spans="2:12" x14ac:dyDescent="0.2">
      <c r="B763" s="77"/>
      <c r="L763" s="71"/>
    </row>
    <row r="764" spans="2:12" x14ac:dyDescent="0.2">
      <c r="B764" s="77"/>
      <c r="L764" s="71"/>
    </row>
    <row r="765" spans="2:12" x14ac:dyDescent="0.2">
      <c r="B765" s="77"/>
      <c r="L765" s="71"/>
    </row>
    <row r="766" spans="2:12" x14ac:dyDescent="0.2">
      <c r="B766" s="77"/>
      <c r="L766" s="71"/>
    </row>
    <row r="767" spans="2:12" x14ac:dyDescent="0.2">
      <c r="B767" s="77"/>
      <c r="L767" s="71"/>
    </row>
    <row r="768" spans="2:12" x14ac:dyDescent="0.2">
      <c r="B768" s="77"/>
      <c r="L768" s="71"/>
    </row>
    <row r="769" spans="2:12" x14ac:dyDescent="0.2">
      <c r="B769" s="77"/>
      <c r="L769" s="71"/>
    </row>
    <row r="770" spans="2:12" x14ac:dyDescent="0.2">
      <c r="B770" s="77"/>
      <c r="L770" s="71"/>
    </row>
    <row r="771" spans="2:12" x14ac:dyDescent="0.2">
      <c r="B771" s="77"/>
      <c r="L771" s="71"/>
    </row>
    <row r="772" spans="2:12" x14ac:dyDescent="0.2">
      <c r="B772" s="77"/>
      <c r="L772" s="71"/>
    </row>
    <row r="773" spans="2:12" x14ac:dyDescent="0.2">
      <c r="B773" s="77"/>
      <c r="L773" s="71"/>
    </row>
    <row r="774" spans="2:12" x14ac:dyDescent="0.2">
      <c r="B774" s="77"/>
      <c r="L774" s="71"/>
    </row>
    <row r="775" spans="2:12" x14ac:dyDescent="0.2">
      <c r="B775" s="77"/>
      <c r="L775" s="71"/>
    </row>
    <row r="776" spans="2:12" x14ac:dyDescent="0.2">
      <c r="B776" s="77"/>
      <c r="L776" s="71"/>
    </row>
    <row r="777" spans="2:12" x14ac:dyDescent="0.2">
      <c r="B777" s="77"/>
      <c r="L777" s="71"/>
    </row>
    <row r="778" spans="2:12" x14ac:dyDescent="0.2">
      <c r="B778" s="77"/>
      <c r="L778" s="71"/>
    </row>
    <row r="779" spans="2:12" x14ac:dyDescent="0.2">
      <c r="B779" s="77"/>
      <c r="L779" s="71"/>
    </row>
    <row r="780" spans="2:12" x14ac:dyDescent="0.2">
      <c r="B780" s="77"/>
      <c r="L780" s="71"/>
    </row>
    <row r="781" spans="2:12" x14ac:dyDescent="0.2">
      <c r="B781" s="77"/>
      <c r="L781" s="71"/>
    </row>
    <row r="782" spans="2:12" x14ac:dyDescent="0.2">
      <c r="B782" s="77"/>
      <c r="L782" s="71"/>
    </row>
    <row r="783" spans="2:12" x14ac:dyDescent="0.2">
      <c r="B783" s="77"/>
      <c r="L783" s="71"/>
    </row>
    <row r="784" spans="2:12" x14ac:dyDescent="0.2">
      <c r="B784" s="77"/>
      <c r="L784" s="71"/>
    </row>
    <row r="785" spans="2:12" x14ac:dyDescent="0.2">
      <c r="B785" s="77"/>
      <c r="L785" s="71"/>
    </row>
    <row r="786" spans="2:12" x14ac:dyDescent="0.2">
      <c r="B786" s="77"/>
      <c r="L786" s="71"/>
    </row>
    <row r="787" spans="2:12" x14ac:dyDescent="0.2">
      <c r="B787" s="77"/>
      <c r="L787" s="71"/>
    </row>
    <row r="788" spans="2:12" x14ac:dyDescent="0.2">
      <c r="B788" s="77"/>
      <c r="L788" s="71"/>
    </row>
    <row r="789" spans="2:12" x14ac:dyDescent="0.2">
      <c r="B789" s="77"/>
      <c r="L789" s="71"/>
    </row>
    <row r="790" spans="2:12" x14ac:dyDescent="0.2">
      <c r="B790" s="77"/>
      <c r="L790" s="71"/>
    </row>
    <row r="791" spans="2:12" x14ac:dyDescent="0.2">
      <c r="B791" s="77"/>
      <c r="L791" s="71"/>
    </row>
    <row r="792" spans="2:12" x14ac:dyDescent="0.2">
      <c r="B792" s="77"/>
      <c r="L792" s="71"/>
    </row>
    <row r="793" spans="2:12" x14ac:dyDescent="0.2">
      <c r="B793" s="77"/>
      <c r="L793" s="71"/>
    </row>
    <row r="794" spans="2:12" x14ac:dyDescent="0.2">
      <c r="B794" s="77"/>
      <c r="L794" s="71"/>
    </row>
    <row r="795" spans="2:12" x14ac:dyDescent="0.2">
      <c r="B795" s="77"/>
      <c r="L795" s="71"/>
    </row>
    <row r="796" spans="2:12" x14ac:dyDescent="0.2">
      <c r="B796" s="77"/>
      <c r="L796" s="71"/>
    </row>
    <row r="797" spans="2:12" x14ac:dyDescent="0.2">
      <c r="B797" s="77"/>
      <c r="L797" s="71"/>
    </row>
    <row r="798" spans="2:12" x14ac:dyDescent="0.2">
      <c r="B798" s="77"/>
      <c r="L798" s="71"/>
    </row>
    <row r="799" spans="2:12" x14ac:dyDescent="0.2">
      <c r="B799" s="77"/>
      <c r="L799" s="71"/>
    </row>
    <row r="800" spans="2:12" x14ac:dyDescent="0.2">
      <c r="B800" s="77"/>
      <c r="L800" s="71"/>
    </row>
    <row r="801" spans="2:12" x14ac:dyDescent="0.2">
      <c r="B801" s="77"/>
      <c r="L801" s="71"/>
    </row>
    <row r="802" spans="2:12" x14ac:dyDescent="0.2">
      <c r="B802" s="77"/>
      <c r="L802" s="71"/>
    </row>
    <row r="803" spans="2:12" x14ac:dyDescent="0.2">
      <c r="B803" s="77"/>
      <c r="L803" s="71"/>
    </row>
    <row r="804" spans="2:12" x14ac:dyDescent="0.2">
      <c r="B804" s="77"/>
      <c r="L804" s="71"/>
    </row>
    <row r="805" spans="2:12" x14ac:dyDescent="0.2">
      <c r="B805" s="77"/>
      <c r="L805" s="71"/>
    </row>
    <row r="806" spans="2:12" x14ac:dyDescent="0.2">
      <c r="B806" s="77"/>
      <c r="L806" s="71"/>
    </row>
    <row r="807" spans="2:12" x14ac:dyDescent="0.2">
      <c r="B807" s="77"/>
      <c r="L807" s="71"/>
    </row>
    <row r="808" spans="2:12" x14ac:dyDescent="0.2">
      <c r="B808" s="77"/>
      <c r="L808" s="71"/>
    </row>
    <row r="809" spans="2:12" x14ac:dyDescent="0.2">
      <c r="B809" s="77"/>
      <c r="L809" s="71"/>
    </row>
    <row r="810" spans="2:12" x14ac:dyDescent="0.2">
      <c r="B810" s="77"/>
      <c r="L810" s="71"/>
    </row>
    <row r="811" spans="2:12" x14ac:dyDescent="0.2">
      <c r="B811" s="77"/>
      <c r="L811" s="71"/>
    </row>
    <row r="812" spans="2:12" x14ac:dyDescent="0.2">
      <c r="B812" s="77"/>
      <c r="L812" s="71"/>
    </row>
    <row r="813" spans="2:12" x14ac:dyDescent="0.2">
      <c r="B813" s="77"/>
      <c r="L813" s="71"/>
    </row>
    <row r="814" spans="2:12" x14ac:dyDescent="0.2">
      <c r="B814" s="77"/>
      <c r="L814" s="71"/>
    </row>
    <row r="815" spans="2:12" x14ac:dyDescent="0.2">
      <c r="B815" s="77"/>
      <c r="L815" s="71"/>
    </row>
    <row r="816" spans="2:12" x14ac:dyDescent="0.2">
      <c r="B816" s="77"/>
      <c r="L816" s="71"/>
    </row>
    <row r="817" spans="2:12" x14ac:dyDescent="0.2">
      <c r="B817" s="77"/>
      <c r="L817" s="71"/>
    </row>
    <row r="818" spans="2:12" x14ac:dyDescent="0.2">
      <c r="B818" s="77"/>
      <c r="L818" s="71"/>
    </row>
    <row r="819" spans="2:12" x14ac:dyDescent="0.2">
      <c r="B819" s="77"/>
      <c r="L819" s="71"/>
    </row>
    <row r="820" spans="2:12" x14ac:dyDescent="0.2">
      <c r="B820" s="77"/>
      <c r="L820" s="71"/>
    </row>
    <row r="821" spans="2:12" x14ac:dyDescent="0.2">
      <c r="B821" s="77"/>
      <c r="L821" s="71"/>
    </row>
    <row r="822" spans="2:12" x14ac:dyDescent="0.2">
      <c r="B822" s="77"/>
      <c r="L822" s="71"/>
    </row>
    <row r="823" spans="2:12" x14ac:dyDescent="0.2">
      <c r="B823" s="77"/>
      <c r="L823" s="71"/>
    </row>
    <row r="824" spans="2:12" x14ac:dyDescent="0.2">
      <c r="B824" s="77"/>
      <c r="L824" s="71"/>
    </row>
    <row r="825" spans="2:12" x14ac:dyDescent="0.2">
      <c r="B825" s="77"/>
      <c r="L825" s="71"/>
    </row>
    <row r="826" spans="2:12" x14ac:dyDescent="0.2">
      <c r="B826" s="77"/>
      <c r="L826" s="71"/>
    </row>
    <row r="827" spans="2:12" x14ac:dyDescent="0.2">
      <c r="B827" s="77"/>
      <c r="L827" s="71"/>
    </row>
    <row r="828" spans="2:12" x14ac:dyDescent="0.2">
      <c r="B828" s="77"/>
      <c r="L828" s="71"/>
    </row>
    <row r="829" spans="2:12" x14ac:dyDescent="0.2">
      <c r="B829" s="77"/>
      <c r="L829" s="71"/>
    </row>
    <row r="830" spans="2:12" x14ac:dyDescent="0.2">
      <c r="B830" s="77"/>
      <c r="L830" s="71"/>
    </row>
    <row r="831" spans="2:12" x14ac:dyDescent="0.2">
      <c r="B831" s="77"/>
      <c r="L831" s="71"/>
    </row>
    <row r="832" spans="2:12" x14ac:dyDescent="0.2">
      <c r="B832" s="77"/>
      <c r="L832" s="71"/>
    </row>
    <row r="833" spans="2:12" x14ac:dyDescent="0.2">
      <c r="B833" s="77"/>
      <c r="L833" s="71"/>
    </row>
    <row r="834" spans="2:12" x14ac:dyDescent="0.2">
      <c r="B834" s="77"/>
      <c r="L834" s="71"/>
    </row>
    <row r="835" spans="2:12" x14ac:dyDescent="0.2">
      <c r="B835" s="77"/>
      <c r="L835" s="71"/>
    </row>
    <row r="836" spans="2:12" x14ac:dyDescent="0.2">
      <c r="B836" s="77"/>
      <c r="L836" s="71"/>
    </row>
    <row r="837" spans="2:12" x14ac:dyDescent="0.2">
      <c r="B837" s="77"/>
      <c r="L837" s="71"/>
    </row>
    <row r="838" spans="2:12" x14ac:dyDescent="0.2">
      <c r="B838" s="77"/>
      <c r="L838" s="71"/>
    </row>
    <row r="839" spans="2:12" x14ac:dyDescent="0.2">
      <c r="B839" s="77"/>
      <c r="L839" s="71"/>
    </row>
    <row r="840" spans="2:12" x14ac:dyDescent="0.2">
      <c r="B840" s="77"/>
      <c r="L840" s="71"/>
    </row>
    <row r="841" spans="2:12" x14ac:dyDescent="0.2">
      <c r="B841" s="77"/>
      <c r="L841" s="71"/>
    </row>
    <row r="842" spans="2:12" x14ac:dyDescent="0.2">
      <c r="B842" s="77"/>
      <c r="L842" s="71"/>
    </row>
    <row r="843" spans="2:12" x14ac:dyDescent="0.2">
      <c r="B843" s="77"/>
      <c r="L843" s="71"/>
    </row>
    <row r="844" spans="2:12" x14ac:dyDescent="0.2">
      <c r="B844" s="77"/>
      <c r="L844" s="71"/>
    </row>
    <row r="845" spans="2:12" x14ac:dyDescent="0.2">
      <c r="B845" s="77"/>
      <c r="L845" s="71"/>
    </row>
    <row r="846" spans="2:12" x14ac:dyDescent="0.2">
      <c r="B846" s="77"/>
      <c r="L846" s="71"/>
    </row>
    <row r="847" spans="2:12" x14ac:dyDescent="0.2">
      <c r="B847" s="77"/>
      <c r="L847" s="71"/>
    </row>
    <row r="848" spans="2:12" x14ac:dyDescent="0.2">
      <c r="B848" s="77"/>
      <c r="L848" s="71"/>
    </row>
    <row r="849" spans="2:12" x14ac:dyDescent="0.2">
      <c r="B849" s="77"/>
      <c r="L849" s="71"/>
    </row>
    <row r="850" spans="2:12" x14ac:dyDescent="0.2">
      <c r="B850" s="77"/>
      <c r="L850" s="71"/>
    </row>
    <row r="851" spans="2:12" x14ac:dyDescent="0.2">
      <c r="B851" s="77"/>
      <c r="L851" s="71"/>
    </row>
    <row r="852" spans="2:12" x14ac:dyDescent="0.2">
      <c r="B852" s="77"/>
      <c r="L852" s="71"/>
    </row>
    <row r="853" spans="2:12" x14ac:dyDescent="0.2">
      <c r="B853" s="77"/>
      <c r="L853" s="71"/>
    </row>
    <row r="854" spans="2:12" x14ac:dyDescent="0.2">
      <c r="B854" s="77"/>
      <c r="L854" s="71"/>
    </row>
    <row r="855" spans="2:12" x14ac:dyDescent="0.2">
      <c r="B855" s="77"/>
      <c r="L855" s="71"/>
    </row>
    <row r="856" spans="2:12" x14ac:dyDescent="0.2">
      <c r="B856" s="77"/>
      <c r="L856" s="71"/>
    </row>
    <row r="857" spans="2:12" x14ac:dyDescent="0.2">
      <c r="B857" s="77"/>
      <c r="L857" s="71"/>
    </row>
    <row r="858" spans="2:12" x14ac:dyDescent="0.2">
      <c r="B858" s="77"/>
      <c r="L858" s="71"/>
    </row>
    <row r="859" spans="2:12" x14ac:dyDescent="0.2">
      <c r="B859" s="77"/>
      <c r="L859" s="71"/>
    </row>
    <row r="860" spans="2:12" x14ac:dyDescent="0.2">
      <c r="B860" s="77"/>
      <c r="L860" s="71"/>
    </row>
    <row r="861" spans="2:12" x14ac:dyDescent="0.2">
      <c r="B861" s="77"/>
      <c r="L861" s="71"/>
    </row>
    <row r="862" spans="2:12" x14ac:dyDescent="0.2">
      <c r="B862" s="77"/>
      <c r="L862" s="71"/>
    </row>
    <row r="863" spans="2:12" x14ac:dyDescent="0.2">
      <c r="B863" s="77"/>
      <c r="L863" s="71"/>
    </row>
    <row r="864" spans="2:12" x14ac:dyDescent="0.2">
      <c r="B864" s="77"/>
      <c r="L864" s="71"/>
    </row>
    <row r="865" spans="2:12" x14ac:dyDescent="0.2">
      <c r="B865" s="77"/>
      <c r="L865" s="71"/>
    </row>
    <row r="866" spans="2:12" x14ac:dyDescent="0.2">
      <c r="B866" s="77"/>
      <c r="L866" s="71"/>
    </row>
    <row r="867" spans="2:12" x14ac:dyDescent="0.2">
      <c r="B867" s="77"/>
      <c r="L867" s="71"/>
    </row>
    <row r="868" spans="2:12" x14ac:dyDescent="0.2">
      <c r="B868" s="77"/>
      <c r="L868" s="71"/>
    </row>
    <row r="869" spans="2:12" x14ac:dyDescent="0.2">
      <c r="B869" s="77"/>
      <c r="L869" s="71"/>
    </row>
    <row r="870" spans="2:12" x14ac:dyDescent="0.2">
      <c r="B870" s="77"/>
      <c r="L870" s="71"/>
    </row>
    <row r="871" spans="2:12" x14ac:dyDescent="0.2">
      <c r="B871" s="77"/>
      <c r="L871" s="71"/>
    </row>
    <row r="872" spans="2:12" x14ac:dyDescent="0.2">
      <c r="B872" s="77"/>
      <c r="L872" s="71"/>
    </row>
    <row r="873" spans="2:12" x14ac:dyDescent="0.2">
      <c r="B873" s="77"/>
      <c r="L873" s="71"/>
    </row>
    <row r="874" spans="2:12" x14ac:dyDescent="0.2">
      <c r="B874" s="77"/>
      <c r="L874" s="71"/>
    </row>
    <row r="875" spans="2:12" x14ac:dyDescent="0.2">
      <c r="B875" s="77"/>
      <c r="L875" s="71"/>
    </row>
    <row r="876" spans="2:12" x14ac:dyDescent="0.2">
      <c r="B876" s="77"/>
      <c r="L876" s="71"/>
    </row>
    <row r="877" spans="2:12" x14ac:dyDescent="0.2">
      <c r="B877" s="77"/>
      <c r="L877" s="71"/>
    </row>
    <row r="878" spans="2:12" x14ac:dyDescent="0.2">
      <c r="B878" s="77"/>
      <c r="L878" s="71"/>
    </row>
    <row r="879" spans="2:12" x14ac:dyDescent="0.2">
      <c r="B879" s="77"/>
      <c r="L879" s="71"/>
    </row>
    <row r="880" spans="2:12" x14ac:dyDescent="0.2">
      <c r="B880" s="77"/>
      <c r="L880" s="71"/>
    </row>
    <row r="881" spans="2:12" x14ac:dyDescent="0.2">
      <c r="B881" s="77"/>
      <c r="L881" s="71"/>
    </row>
    <row r="882" spans="2:12" x14ac:dyDescent="0.2">
      <c r="B882" s="77"/>
      <c r="L882" s="71"/>
    </row>
    <row r="883" spans="2:12" x14ac:dyDescent="0.2">
      <c r="B883" s="77"/>
      <c r="L883" s="71"/>
    </row>
    <row r="884" spans="2:12" x14ac:dyDescent="0.2">
      <c r="B884" s="77"/>
      <c r="L884" s="71"/>
    </row>
    <row r="885" spans="2:12" x14ac:dyDescent="0.2">
      <c r="B885" s="77"/>
      <c r="L885" s="71"/>
    </row>
    <row r="886" spans="2:12" x14ac:dyDescent="0.2">
      <c r="B886" s="77"/>
      <c r="L886" s="71"/>
    </row>
    <row r="887" spans="2:12" x14ac:dyDescent="0.2">
      <c r="B887" s="77"/>
      <c r="L887" s="71"/>
    </row>
    <row r="888" spans="2:12" x14ac:dyDescent="0.2">
      <c r="B888" s="77"/>
      <c r="L888" s="71"/>
    </row>
    <row r="889" spans="2:12" x14ac:dyDescent="0.2">
      <c r="B889" s="77"/>
      <c r="L889" s="71"/>
    </row>
    <row r="890" spans="2:12" x14ac:dyDescent="0.2">
      <c r="B890" s="77"/>
      <c r="L890" s="71"/>
    </row>
    <row r="891" spans="2:12" x14ac:dyDescent="0.2">
      <c r="B891" s="77"/>
      <c r="L891" s="71"/>
    </row>
    <row r="892" spans="2:12" x14ac:dyDescent="0.2">
      <c r="B892" s="77"/>
      <c r="L892" s="71"/>
    </row>
    <row r="893" spans="2:12" x14ac:dyDescent="0.2">
      <c r="B893" s="77"/>
      <c r="L893" s="71"/>
    </row>
    <row r="894" spans="2:12" x14ac:dyDescent="0.2">
      <c r="B894" s="77"/>
      <c r="L894" s="71"/>
    </row>
    <row r="895" spans="2:12" x14ac:dyDescent="0.2">
      <c r="B895" s="77"/>
      <c r="L895" s="71"/>
    </row>
    <row r="896" spans="2:12" x14ac:dyDescent="0.2">
      <c r="B896" s="77"/>
      <c r="L896" s="71"/>
    </row>
    <row r="897" spans="2:12" x14ac:dyDescent="0.2">
      <c r="B897" s="77"/>
      <c r="L897" s="71"/>
    </row>
    <row r="898" spans="2:12" x14ac:dyDescent="0.2">
      <c r="B898" s="77"/>
      <c r="L898" s="71"/>
    </row>
    <row r="899" spans="2:12" x14ac:dyDescent="0.2">
      <c r="B899" s="77"/>
      <c r="L899" s="71"/>
    </row>
    <row r="900" spans="2:12" x14ac:dyDescent="0.2">
      <c r="B900" s="77"/>
      <c r="L900" s="71"/>
    </row>
    <row r="901" spans="2:12" x14ac:dyDescent="0.2">
      <c r="B901" s="77"/>
      <c r="L901" s="71"/>
    </row>
    <row r="902" spans="2:12" x14ac:dyDescent="0.2">
      <c r="B902" s="77"/>
      <c r="L902" s="71"/>
    </row>
    <row r="903" spans="2:12" x14ac:dyDescent="0.2">
      <c r="B903" s="77"/>
      <c r="L903" s="71"/>
    </row>
    <row r="904" spans="2:12" x14ac:dyDescent="0.2">
      <c r="B904" s="77"/>
      <c r="L904" s="71"/>
    </row>
    <row r="905" spans="2:12" x14ac:dyDescent="0.2">
      <c r="B905" s="77"/>
      <c r="L905" s="71"/>
    </row>
    <row r="906" spans="2:12" x14ac:dyDescent="0.2">
      <c r="B906" s="77"/>
      <c r="L906" s="71"/>
    </row>
    <row r="907" spans="2:12" x14ac:dyDescent="0.2">
      <c r="B907" s="77"/>
      <c r="L907" s="71"/>
    </row>
    <row r="908" spans="2:12" x14ac:dyDescent="0.2">
      <c r="B908" s="77"/>
      <c r="L908" s="71"/>
    </row>
    <row r="909" spans="2:12" x14ac:dyDescent="0.2">
      <c r="B909" s="77"/>
      <c r="L909" s="71"/>
    </row>
    <row r="910" spans="2:12" x14ac:dyDescent="0.2">
      <c r="B910" s="77"/>
      <c r="L910" s="71"/>
    </row>
    <row r="911" spans="2:12" x14ac:dyDescent="0.2">
      <c r="B911" s="77"/>
      <c r="L911" s="71"/>
    </row>
    <row r="912" spans="2:12" x14ac:dyDescent="0.2">
      <c r="B912" s="77"/>
      <c r="L912" s="71"/>
    </row>
    <row r="913" spans="2:12" x14ac:dyDescent="0.2">
      <c r="B913" s="77"/>
      <c r="L913" s="71"/>
    </row>
    <row r="914" spans="2:12" x14ac:dyDescent="0.2">
      <c r="B914" s="77"/>
      <c r="L914" s="71"/>
    </row>
    <row r="915" spans="2:12" x14ac:dyDescent="0.2">
      <c r="B915" s="77"/>
      <c r="L915" s="71"/>
    </row>
    <row r="916" spans="2:12" x14ac:dyDescent="0.2">
      <c r="B916" s="77"/>
      <c r="L916" s="71"/>
    </row>
    <row r="917" spans="2:12" x14ac:dyDescent="0.2">
      <c r="B917" s="77"/>
      <c r="L917" s="71"/>
    </row>
    <row r="918" spans="2:12" x14ac:dyDescent="0.2">
      <c r="B918" s="77"/>
      <c r="L918" s="71"/>
    </row>
    <row r="919" spans="2:12" x14ac:dyDescent="0.2">
      <c r="B919" s="77"/>
      <c r="L919" s="71"/>
    </row>
    <row r="920" spans="2:12" x14ac:dyDescent="0.2">
      <c r="B920" s="77"/>
      <c r="L920" s="71"/>
    </row>
    <row r="921" spans="2:12" x14ac:dyDescent="0.2">
      <c r="B921" s="77"/>
      <c r="L921" s="71"/>
    </row>
    <row r="922" spans="2:12" x14ac:dyDescent="0.2">
      <c r="B922" s="77"/>
      <c r="L922" s="71"/>
    </row>
    <row r="923" spans="2:12" x14ac:dyDescent="0.2">
      <c r="B923" s="77"/>
      <c r="L923" s="71"/>
    </row>
    <row r="924" spans="2:12" x14ac:dyDescent="0.2">
      <c r="B924" s="77"/>
      <c r="L924" s="71"/>
    </row>
    <row r="925" spans="2:12" x14ac:dyDescent="0.2">
      <c r="B925" s="77"/>
      <c r="L925" s="71"/>
    </row>
    <row r="926" spans="2:12" x14ac:dyDescent="0.2">
      <c r="B926" s="77"/>
      <c r="L926" s="71"/>
    </row>
    <row r="927" spans="2:12" x14ac:dyDescent="0.2">
      <c r="B927" s="77"/>
      <c r="L927" s="71"/>
    </row>
    <row r="928" spans="2:12" x14ac:dyDescent="0.2">
      <c r="B928" s="77"/>
      <c r="L928" s="71"/>
    </row>
    <row r="929" spans="2:12" x14ac:dyDescent="0.2">
      <c r="B929" s="77"/>
      <c r="L929" s="71"/>
    </row>
    <row r="930" spans="2:12" x14ac:dyDescent="0.2">
      <c r="B930" s="77"/>
      <c r="L930" s="71"/>
    </row>
    <row r="931" spans="2:12" x14ac:dyDescent="0.2">
      <c r="B931" s="77"/>
      <c r="L931" s="71"/>
    </row>
    <row r="932" spans="2:12" x14ac:dyDescent="0.2">
      <c r="B932" s="77"/>
      <c r="L932" s="71"/>
    </row>
    <row r="933" spans="2:12" x14ac:dyDescent="0.2">
      <c r="B933" s="77"/>
      <c r="L933" s="71"/>
    </row>
    <row r="934" spans="2:12" x14ac:dyDescent="0.2">
      <c r="B934" s="77"/>
      <c r="L934" s="71"/>
    </row>
    <row r="935" spans="2:12" x14ac:dyDescent="0.2">
      <c r="B935" s="77"/>
      <c r="L935" s="71"/>
    </row>
    <row r="936" spans="2:12" x14ac:dyDescent="0.2">
      <c r="B936" s="77"/>
      <c r="L936" s="71"/>
    </row>
    <row r="937" spans="2:12" x14ac:dyDescent="0.2">
      <c r="B937" s="77"/>
      <c r="L937" s="71"/>
    </row>
    <row r="938" spans="2:12" x14ac:dyDescent="0.2">
      <c r="B938" s="77"/>
      <c r="L938" s="71"/>
    </row>
    <row r="939" spans="2:12" x14ac:dyDescent="0.2">
      <c r="B939" s="77"/>
      <c r="L939" s="71"/>
    </row>
    <row r="940" spans="2:12" x14ac:dyDescent="0.2">
      <c r="B940" s="77"/>
      <c r="L940" s="71"/>
    </row>
    <row r="941" spans="2:12" x14ac:dyDescent="0.2">
      <c r="B941" s="77"/>
      <c r="L941" s="71"/>
    </row>
    <row r="942" spans="2:12" x14ac:dyDescent="0.2">
      <c r="B942" s="77"/>
      <c r="L942" s="71"/>
    </row>
    <row r="943" spans="2:12" x14ac:dyDescent="0.2">
      <c r="B943" s="77"/>
      <c r="L943" s="71"/>
    </row>
    <row r="944" spans="2:12" x14ac:dyDescent="0.2">
      <c r="B944" s="77"/>
      <c r="L944" s="71"/>
    </row>
    <row r="945" spans="2:12" x14ac:dyDescent="0.2">
      <c r="B945" s="77"/>
      <c r="L945" s="71"/>
    </row>
    <row r="946" spans="2:12" x14ac:dyDescent="0.2">
      <c r="B946" s="77"/>
      <c r="L946" s="71"/>
    </row>
    <row r="947" spans="2:12" x14ac:dyDescent="0.2">
      <c r="B947" s="77"/>
      <c r="L947" s="71"/>
    </row>
    <row r="948" spans="2:12" x14ac:dyDescent="0.2">
      <c r="B948" s="77"/>
      <c r="L948" s="71"/>
    </row>
    <row r="949" spans="2:12" x14ac:dyDescent="0.2">
      <c r="B949" s="77"/>
      <c r="L949" s="71"/>
    </row>
    <row r="950" spans="2:12" x14ac:dyDescent="0.2">
      <c r="B950" s="77"/>
      <c r="L950" s="71"/>
    </row>
    <row r="951" spans="2:12" x14ac:dyDescent="0.2">
      <c r="B951" s="77"/>
      <c r="L951" s="71"/>
    </row>
    <row r="952" spans="2:12" x14ac:dyDescent="0.2">
      <c r="B952" s="77"/>
      <c r="L952" s="71"/>
    </row>
    <row r="953" spans="2:12" x14ac:dyDescent="0.2">
      <c r="B953" s="77"/>
      <c r="L953" s="71"/>
    </row>
    <row r="954" spans="2:12" x14ac:dyDescent="0.2">
      <c r="B954" s="77"/>
      <c r="L954" s="71"/>
    </row>
    <row r="955" spans="2:12" x14ac:dyDescent="0.2">
      <c r="B955" s="77"/>
      <c r="L955" s="71"/>
    </row>
    <row r="956" spans="2:12" x14ac:dyDescent="0.2">
      <c r="B956" s="77"/>
      <c r="L956" s="71"/>
    </row>
    <row r="957" spans="2:12" x14ac:dyDescent="0.2">
      <c r="B957" s="77"/>
      <c r="L957" s="71"/>
    </row>
    <row r="958" spans="2:12" x14ac:dyDescent="0.2">
      <c r="B958" s="77"/>
      <c r="L958" s="71"/>
    </row>
    <row r="959" spans="2:12" x14ac:dyDescent="0.2">
      <c r="B959" s="77"/>
      <c r="L959" s="71"/>
    </row>
    <row r="960" spans="2:12" x14ac:dyDescent="0.2">
      <c r="B960" s="77"/>
      <c r="L960" s="71"/>
    </row>
    <row r="961" spans="2:12" x14ac:dyDescent="0.2">
      <c r="B961" s="77"/>
      <c r="L961" s="71"/>
    </row>
    <row r="962" spans="2:12" x14ac:dyDescent="0.2">
      <c r="B962" s="77"/>
      <c r="L962" s="71"/>
    </row>
    <row r="963" spans="2:12" x14ac:dyDescent="0.2">
      <c r="B963" s="77"/>
      <c r="L963" s="71"/>
    </row>
    <row r="964" spans="2:12" x14ac:dyDescent="0.2">
      <c r="B964" s="77"/>
      <c r="L964" s="71"/>
    </row>
    <row r="965" spans="2:12" x14ac:dyDescent="0.2">
      <c r="B965" s="77"/>
      <c r="L965" s="71"/>
    </row>
    <row r="966" spans="2:12" x14ac:dyDescent="0.2">
      <c r="B966" s="77"/>
      <c r="L966" s="71"/>
    </row>
    <row r="967" spans="2:12" x14ac:dyDescent="0.2">
      <c r="B967" s="77"/>
      <c r="L967" s="71"/>
    </row>
    <row r="968" spans="2:12" x14ac:dyDescent="0.2">
      <c r="B968" s="77"/>
      <c r="L968" s="71"/>
    </row>
    <row r="969" spans="2:12" x14ac:dyDescent="0.2">
      <c r="B969" s="77"/>
      <c r="L969" s="71"/>
    </row>
    <row r="970" spans="2:12" x14ac:dyDescent="0.2">
      <c r="B970" s="77"/>
      <c r="L970" s="71"/>
    </row>
    <row r="971" spans="2:12" x14ac:dyDescent="0.2">
      <c r="B971" s="77"/>
      <c r="L971" s="71"/>
    </row>
    <row r="972" spans="2:12" x14ac:dyDescent="0.2">
      <c r="B972" s="77"/>
      <c r="L972" s="71"/>
    </row>
    <row r="973" spans="2:12" x14ac:dyDescent="0.2">
      <c r="B973" s="77"/>
      <c r="L973" s="71"/>
    </row>
    <row r="974" spans="2:12" x14ac:dyDescent="0.2">
      <c r="B974" s="77"/>
      <c r="L974" s="71"/>
    </row>
    <row r="975" spans="2:12" x14ac:dyDescent="0.2">
      <c r="B975" s="77"/>
      <c r="L975" s="71"/>
    </row>
    <row r="976" spans="2:12" x14ac:dyDescent="0.2">
      <c r="B976" s="77"/>
      <c r="L976" s="71"/>
    </row>
    <row r="977" spans="2:12" x14ac:dyDescent="0.2">
      <c r="B977" s="77"/>
      <c r="L977" s="71"/>
    </row>
    <row r="978" spans="2:12" x14ac:dyDescent="0.2">
      <c r="B978" s="77"/>
      <c r="L978" s="71"/>
    </row>
    <row r="979" spans="2:12" x14ac:dyDescent="0.2">
      <c r="B979" s="77"/>
      <c r="L979" s="71"/>
    </row>
    <row r="980" spans="2:12" x14ac:dyDescent="0.2">
      <c r="B980" s="77"/>
      <c r="L980" s="71"/>
    </row>
    <row r="981" spans="2:12" x14ac:dyDescent="0.2">
      <c r="B981" s="77"/>
      <c r="L981" s="71"/>
    </row>
    <row r="982" spans="2:12" x14ac:dyDescent="0.2">
      <c r="B982" s="77"/>
      <c r="L982" s="71"/>
    </row>
    <row r="983" spans="2:12" x14ac:dyDescent="0.2">
      <c r="B983" s="77"/>
      <c r="L983" s="71"/>
    </row>
    <row r="984" spans="2:12" x14ac:dyDescent="0.2">
      <c r="B984" s="77"/>
      <c r="L984" s="71"/>
    </row>
    <row r="985" spans="2:12" x14ac:dyDescent="0.2">
      <c r="B985" s="77"/>
      <c r="L985" s="71"/>
    </row>
    <row r="986" spans="2:12" x14ac:dyDescent="0.2">
      <c r="B986" s="77"/>
      <c r="L986" s="71"/>
    </row>
    <row r="987" spans="2:12" x14ac:dyDescent="0.2">
      <c r="B987" s="77"/>
      <c r="L987" s="71"/>
    </row>
    <row r="988" spans="2:12" x14ac:dyDescent="0.2">
      <c r="B988" s="77"/>
      <c r="L988" s="71"/>
    </row>
    <row r="989" spans="2:12" x14ac:dyDescent="0.2">
      <c r="B989" s="77"/>
      <c r="L989" s="71"/>
    </row>
    <row r="990" spans="2:12" x14ac:dyDescent="0.2">
      <c r="B990" s="77"/>
      <c r="L990" s="71"/>
    </row>
    <row r="991" spans="2:12" x14ac:dyDescent="0.2">
      <c r="B991" s="77"/>
      <c r="L991" s="71"/>
    </row>
    <row r="992" spans="2:12" x14ac:dyDescent="0.2">
      <c r="B992" s="77"/>
      <c r="L992" s="71"/>
    </row>
    <row r="993" spans="2:12" x14ac:dyDescent="0.2">
      <c r="B993" s="77"/>
      <c r="L993" s="71"/>
    </row>
    <row r="994" spans="2:12" x14ac:dyDescent="0.2">
      <c r="B994" s="77"/>
      <c r="L994" s="71"/>
    </row>
    <row r="995" spans="2:12" x14ac:dyDescent="0.2">
      <c r="B995" s="77"/>
      <c r="L995" s="71"/>
    </row>
    <row r="996" spans="2:12" x14ac:dyDescent="0.2">
      <c r="B996" s="77"/>
      <c r="L996" s="71"/>
    </row>
    <row r="997" spans="2:12" x14ac:dyDescent="0.2">
      <c r="B997" s="77"/>
      <c r="L997" s="71"/>
    </row>
    <row r="998" spans="2:12" x14ac:dyDescent="0.2">
      <c r="B998" s="77"/>
      <c r="L998" s="71"/>
    </row>
    <row r="999" spans="2:12" x14ac:dyDescent="0.2">
      <c r="B999" s="77"/>
      <c r="L999" s="71"/>
    </row>
    <row r="1000" spans="2:12" x14ac:dyDescent="0.2">
      <c r="B1000" s="77"/>
      <c r="L1000" s="71"/>
    </row>
  </sheetData>
  <phoneticPr fontId="26" type="noConversion"/>
  <pageMargins left="0.2" right="0.2" top="0.5" bottom="0.2" header="0.19791666666666666" footer="0.3"/>
  <pageSetup orientation="portrait" r:id="rId1"/>
  <headerFooter>
    <oddHeader>&amp;L&amp;"-,Bold"&amp;14Dragalia Lost V3 Re;Works Mana Circle Revision</oddHeader>
  </headerFooter>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28E29E-1A12-4935-BD4D-DFEC27C6BB2C}">
  <sheetPr>
    <outlinePr summaryBelow="0" summaryRight="0"/>
  </sheetPr>
  <dimension ref="A1:AK952"/>
  <sheetViews>
    <sheetView zoomScaleNormal="100" workbookViewId="0">
      <selection activeCell="A2" sqref="A2"/>
    </sheetView>
  </sheetViews>
  <sheetFormatPr defaultColWidth="12.625" defaultRowHeight="14.25" x14ac:dyDescent="0.2"/>
  <cols>
    <col min="1" max="1" width="8" bestFit="1" customWidth="1"/>
    <col min="2" max="2" width="7.875" bestFit="1" customWidth="1"/>
    <col min="3" max="4" width="5.25" bestFit="1" customWidth="1"/>
    <col min="5" max="5" width="3.875" customWidth="1"/>
    <col min="6" max="6" width="8" bestFit="1" customWidth="1"/>
    <col min="7" max="7" width="7.875" bestFit="1" customWidth="1"/>
    <col min="8" max="9" width="3.875" customWidth="1"/>
    <col min="10" max="10" width="2.875" customWidth="1"/>
    <col min="11" max="11" width="12.375" bestFit="1" customWidth="1"/>
    <col min="12" max="12" width="3.875" customWidth="1"/>
    <col min="13" max="13" width="5.25" bestFit="1" customWidth="1"/>
    <col min="14" max="14" width="3.875" customWidth="1"/>
    <col min="15" max="15" width="8.875" customWidth="1"/>
    <col min="16" max="16" width="12.625" customWidth="1"/>
    <col min="17" max="17" width="14.125" bestFit="1" customWidth="1"/>
    <col min="18" max="18" width="20.625" bestFit="1" customWidth="1"/>
    <col min="19" max="19" width="14.875" bestFit="1" customWidth="1"/>
    <col min="20" max="20" width="25.125" customWidth="1"/>
    <col min="21" max="21" width="5.25" customWidth="1"/>
    <col min="22" max="22" width="14.875" bestFit="1" customWidth="1"/>
    <col min="23" max="23" width="11.625" customWidth="1"/>
    <col min="24" max="24" width="11.25" bestFit="1" customWidth="1"/>
    <col min="25" max="25" width="3.875" customWidth="1"/>
  </cols>
  <sheetData>
    <row r="1" spans="1:37" s="86" customFormat="1" x14ac:dyDescent="0.2">
      <c r="A1" s="192" t="s">
        <v>21831</v>
      </c>
      <c r="B1" s="211" t="s">
        <v>21854</v>
      </c>
      <c r="C1" s="211" t="s">
        <v>96</v>
      </c>
      <c r="D1" s="212" t="s">
        <v>97</v>
      </c>
      <c r="E1" s="107"/>
      <c r="F1" s="192" t="s">
        <v>21831</v>
      </c>
      <c r="G1" s="211" t="s">
        <v>21854</v>
      </c>
      <c r="H1" s="211" t="s">
        <v>96</v>
      </c>
      <c r="I1" s="212" t="s">
        <v>97</v>
      </c>
      <c r="J1" s="107"/>
      <c r="K1" s="192" t="s">
        <v>13714</v>
      </c>
      <c r="L1" s="211"/>
      <c r="M1" s="211" t="s">
        <v>96</v>
      </c>
      <c r="N1" s="212" t="s">
        <v>97</v>
      </c>
      <c r="O1" s="107"/>
      <c r="R1" s="213" t="s">
        <v>23</v>
      </c>
      <c r="S1" s="214" t="s">
        <v>21833</v>
      </c>
      <c r="Y1" s="107"/>
      <c r="AA1" s="106"/>
      <c r="AB1" s="106"/>
      <c r="AC1" s="106"/>
      <c r="AD1" s="106"/>
      <c r="AE1" s="106"/>
      <c r="AF1" s="106"/>
      <c r="AG1" s="106"/>
      <c r="AH1" s="106"/>
      <c r="AI1" s="106"/>
      <c r="AJ1" s="106"/>
      <c r="AK1" s="106"/>
    </row>
    <row r="2" spans="1:37" x14ac:dyDescent="0.2">
      <c r="A2" s="68">
        <v>1</v>
      </c>
      <c r="B2" s="77">
        <v>0</v>
      </c>
      <c r="C2" s="77">
        <v>100</v>
      </c>
      <c r="D2" s="77">
        <v>60</v>
      </c>
      <c r="E2" s="77"/>
      <c r="F2" s="68">
        <v>51</v>
      </c>
      <c r="G2" s="77">
        <v>5000</v>
      </c>
      <c r="H2" s="77">
        <v>403</v>
      </c>
      <c r="I2" s="77">
        <v>270</v>
      </c>
      <c r="J2" s="77"/>
      <c r="K2" t="s">
        <v>18</v>
      </c>
      <c r="L2" s="77"/>
      <c r="M2" s="77">
        <v>400</v>
      </c>
      <c r="N2" s="77">
        <v>250</v>
      </c>
      <c r="O2" s="77"/>
      <c r="R2" s="295" t="s">
        <v>122</v>
      </c>
      <c r="S2" s="68">
        <f>+COUNTIF(ADV!J:J,EXP!R2)</f>
        <v>59</v>
      </c>
      <c r="Y2" s="77"/>
    </row>
    <row r="3" spans="1:37" x14ac:dyDescent="0.2">
      <c r="A3" s="68">
        <v>2</v>
      </c>
      <c r="B3" s="77">
        <v>100</v>
      </c>
      <c r="C3" s="77">
        <v>106</v>
      </c>
      <c r="D3" s="77">
        <v>64</v>
      </c>
      <c r="E3" s="77"/>
      <c r="F3" s="68">
        <v>52</v>
      </c>
      <c r="G3" s="77">
        <v>5000</v>
      </c>
      <c r="H3" s="77">
        <v>409</v>
      </c>
      <c r="I3" s="77">
        <v>274</v>
      </c>
      <c r="J3" s="77"/>
      <c r="K3" t="s">
        <v>19</v>
      </c>
      <c r="M3">
        <v>700</v>
      </c>
      <c r="N3">
        <v>475</v>
      </c>
      <c r="O3" s="77"/>
      <c r="R3" s="295" t="s">
        <v>2837</v>
      </c>
      <c r="S3" s="68">
        <f>+COUNTIF(ADV!J:J,EXP!R3)</f>
        <v>66</v>
      </c>
      <c r="Y3" s="77"/>
    </row>
    <row r="4" spans="1:37" x14ac:dyDescent="0.2">
      <c r="A4" s="68">
        <v>3</v>
      </c>
      <c r="B4" s="77">
        <v>200</v>
      </c>
      <c r="C4" s="77">
        <v>112</v>
      </c>
      <c r="D4" s="77">
        <v>68</v>
      </c>
      <c r="E4" s="77"/>
      <c r="F4" s="68">
        <v>53</v>
      </c>
      <c r="G4" s="77">
        <v>5000</v>
      </c>
      <c r="H4" s="77">
        <v>415</v>
      </c>
      <c r="I4" s="77">
        <v>278</v>
      </c>
      <c r="J4" s="77"/>
      <c r="O4" s="77"/>
      <c r="R4" s="295" t="s">
        <v>3779</v>
      </c>
      <c r="S4" s="68">
        <f>+COUNTIF(ADV!J:J,EXP!R4)</f>
        <v>57</v>
      </c>
      <c r="Y4" s="77"/>
    </row>
    <row r="5" spans="1:37" x14ac:dyDescent="0.2">
      <c r="A5" s="68">
        <v>4</v>
      </c>
      <c r="B5" s="77">
        <v>300</v>
      </c>
      <c r="C5" s="77">
        <v>118</v>
      </c>
      <c r="D5" s="77">
        <v>73</v>
      </c>
      <c r="E5" s="77"/>
      <c r="F5" s="68">
        <v>54</v>
      </c>
      <c r="G5" s="77">
        <v>5000</v>
      </c>
      <c r="H5" s="77">
        <v>421</v>
      </c>
      <c r="I5" s="77">
        <v>282</v>
      </c>
      <c r="K5" s="67" t="s">
        <v>21855</v>
      </c>
      <c r="L5" s="165"/>
      <c r="M5" s="165">
        <f>SUM(M2:M4)</f>
        <v>1100</v>
      </c>
      <c r="N5" s="165">
        <f>SUM(N2:N4)</f>
        <v>725</v>
      </c>
      <c r="O5" s="77"/>
      <c r="R5" s="295" t="s">
        <v>1103</v>
      </c>
      <c r="S5" s="68">
        <f>+COUNTIF(ADV!J:J,EXP!R5)</f>
        <v>60</v>
      </c>
      <c r="Y5" s="77"/>
    </row>
    <row r="6" spans="1:37" x14ac:dyDescent="0.2">
      <c r="A6" s="68">
        <v>5</v>
      </c>
      <c r="B6" s="77">
        <v>400</v>
      </c>
      <c r="C6" s="77">
        <v>124</v>
      </c>
      <c r="D6" s="77">
        <v>77</v>
      </c>
      <c r="E6" s="77"/>
      <c r="F6" s="68">
        <v>55</v>
      </c>
      <c r="G6" s="77">
        <v>5000</v>
      </c>
      <c r="H6" s="77">
        <v>427</v>
      </c>
      <c r="I6" s="77">
        <v>286</v>
      </c>
      <c r="J6" s="77"/>
      <c r="K6" s="77"/>
      <c r="L6" s="77"/>
      <c r="M6" s="77"/>
      <c r="N6" s="77"/>
      <c r="O6" s="77"/>
      <c r="R6" s="295" t="s">
        <v>1947</v>
      </c>
      <c r="S6" s="68">
        <f>+COUNTIF(ADV!J:J,EXP!R6)</f>
        <v>63</v>
      </c>
      <c r="Y6" s="77"/>
    </row>
    <row r="7" spans="1:37" x14ac:dyDescent="0.2">
      <c r="A7" s="68">
        <v>6</v>
      </c>
      <c r="B7" s="77">
        <v>500</v>
      </c>
      <c r="C7" s="77">
        <v>130</v>
      </c>
      <c r="D7" s="77">
        <v>81</v>
      </c>
      <c r="E7" s="77"/>
      <c r="F7" s="68">
        <v>56</v>
      </c>
      <c r="G7" s="77">
        <v>5000</v>
      </c>
      <c r="H7" s="77">
        <v>433</v>
      </c>
      <c r="I7" s="77">
        <v>291</v>
      </c>
      <c r="J7" s="77"/>
      <c r="K7" s="77"/>
      <c r="L7" s="77"/>
      <c r="M7" s="77"/>
      <c r="N7" s="77"/>
      <c r="O7" s="77"/>
      <c r="V7" s="77"/>
      <c r="Y7" s="77"/>
    </row>
    <row r="8" spans="1:37" x14ac:dyDescent="0.2">
      <c r="A8" s="68">
        <v>7</v>
      </c>
      <c r="B8" s="77">
        <v>600</v>
      </c>
      <c r="C8" s="77">
        <v>136</v>
      </c>
      <c r="D8" s="77">
        <v>85</v>
      </c>
      <c r="E8" s="77"/>
      <c r="F8" s="68">
        <v>57</v>
      </c>
      <c r="G8" s="77">
        <v>5000</v>
      </c>
      <c r="H8" s="77">
        <v>439</v>
      </c>
      <c r="I8" s="77">
        <v>295</v>
      </c>
      <c r="J8" s="77"/>
      <c r="K8" s="77"/>
      <c r="L8" s="77"/>
      <c r="M8" s="77"/>
      <c r="N8" s="77"/>
      <c r="O8" s="77"/>
      <c r="Q8" s="292"/>
      <c r="R8" s="296" t="s">
        <v>21856</v>
      </c>
      <c r="S8" s="67">
        <f>SUM(S2:S7)</f>
        <v>305</v>
      </c>
      <c r="V8" s="77"/>
      <c r="Y8" s="77"/>
    </row>
    <row r="9" spans="1:37" x14ac:dyDescent="0.2">
      <c r="A9" s="68">
        <v>8</v>
      </c>
      <c r="B9" s="77">
        <v>700</v>
      </c>
      <c r="C9" s="77">
        <v>142</v>
      </c>
      <c r="D9" s="77">
        <v>89</v>
      </c>
      <c r="E9" s="77"/>
      <c r="F9" s="68">
        <v>58</v>
      </c>
      <c r="G9" s="77">
        <v>5000</v>
      </c>
      <c r="H9" s="77">
        <v>445</v>
      </c>
      <c r="I9" s="77">
        <v>299</v>
      </c>
      <c r="J9" s="77"/>
      <c r="K9" s="77"/>
      <c r="L9" s="77"/>
      <c r="M9" s="77"/>
      <c r="N9" s="77"/>
      <c r="O9" s="77"/>
      <c r="R9" s="77"/>
      <c r="S9" s="77"/>
      <c r="V9" s="77"/>
      <c r="Y9" s="77"/>
    </row>
    <row r="10" spans="1:37" x14ac:dyDescent="0.2">
      <c r="A10" s="68">
        <v>9</v>
      </c>
      <c r="B10" s="77">
        <v>800</v>
      </c>
      <c r="C10" s="77">
        <v>148</v>
      </c>
      <c r="D10" s="77">
        <v>94</v>
      </c>
      <c r="E10" s="77"/>
      <c r="F10" s="68">
        <v>59</v>
      </c>
      <c r="G10" s="77">
        <v>5000</v>
      </c>
      <c r="H10" s="77">
        <v>452</v>
      </c>
      <c r="I10" s="77">
        <v>303</v>
      </c>
      <c r="J10" s="77"/>
      <c r="K10" s="77"/>
      <c r="L10" s="77"/>
      <c r="M10" s="77"/>
      <c r="N10" s="77"/>
      <c r="O10" s="77"/>
      <c r="Q10" s="292"/>
      <c r="R10" s="294" t="s">
        <v>21857</v>
      </c>
      <c r="S10" s="165">
        <f>+S8*G53</f>
        <v>138622500</v>
      </c>
      <c r="V10" s="77"/>
      <c r="Y10" s="77"/>
    </row>
    <row r="11" spans="1:37" x14ac:dyDescent="0.2">
      <c r="A11" s="68">
        <v>10</v>
      </c>
      <c r="B11" s="77">
        <v>900</v>
      </c>
      <c r="C11" s="77">
        <v>155</v>
      </c>
      <c r="D11" s="77">
        <v>98</v>
      </c>
      <c r="E11" s="77"/>
      <c r="F11" s="68">
        <v>60</v>
      </c>
      <c r="G11" s="77">
        <v>5000</v>
      </c>
      <c r="H11" s="77">
        <v>458</v>
      </c>
      <c r="I11" s="77">
        <v>307</v>
      </c>
      <c r="J11" s="77"/>
      <c r="K11" s="77"/>
      <c r="L11" s="77"/>
      <c r="M11" s="77"/>
      <c r="N11" s="77"/>
      <c r="O11" s="77"/>
      <c r="V11" s="77"/>
      <c r="Y11" s="77"/>
    </row>
    <row r="12" spans="1:37" x14ac:dyDescent="0.2">
      <c r="A12" s="68">
        <v>11</v>
      </c>
      <c r="B12" s="77">
        <v>1000</v>
      </c>
      <c r="C12" s="77">
        <v>161</v>
      </c>
      <c r="D12" s="77">
        <v>102</v>
      </c>
      <c r="E12" s="77"/>
      <c r="F12" s="68">
        <v>61</v>
      </c>
      <c r="G12" s="77">
        <v>6000</v>
      </c>
      <c r="H12" s="77">
        <v>464</v>
      </c>
      <c r="I12" s="77">
        <v>312</v>
      </c>
      <c r="J12" s="77"/>
      <c r="K12" s="77"/>
      <c r="L12" s="77"/>
      <c r="M12" s="77"/>
      <c r="N12" s="77"/>
      <c r="O12" s="77"/>
      <c r="R12" s="77"/>
      <c r="Y12" s="77"/>
    </row>
    <row r="13" spans="1:37" x14ac:dyDescent="0.2">
      <c r="A13" s="68">
        <v>12</v>
      </c>
      <c r="B13" s="77">
        <v>1000</v>
      </c>
      <c r="C13" s="77">
        <v>167</v>
      </c>
      <c r="D13" s="77">
        <v>106</v>
      </c>
      <c r="E13" s="77"/>
      <c r="F13" s="68">
        <v>62</v>
      </c>
      <c r="G13" s="77">
        <v>6000</v>
      </c>
      <c r="H13" s="77">
        <v>470</v>
      </c>
      <c r="I13" s="77">
        <v>316</v>
      </c>
      <c r="J13" s="77"/>
      <c r="K13" s="77"/>
      <c r="L13" s="77"/>
      <c r="M13" s="77"/>
      <c r="N13" s="77"/>
      <c r="O13" s="77"/>
      <c r="P13" s="213" t="s">
        <v>21858</v>
      </c>
      <c r="Q13" s="215" t="s">
        <v>21859</v>
      </c>
      <c r="R13" s="215" t="s">
        <v>21860</v>
      </c>
      <c r="S13" s="214" t="s">
        <v>21861</v>
      </c>
      <c r="Y13" s="77"/>
    </row>
    <row r="14" spans="1:37" x14ac:dyDescent="0.2">
      <c r="A14" s="68">
        <v>13</v>
      </c>
      <c r="B14" s="77">
        <v>1000</v>
      </c>
      <c r="C14" s="77">
        <v>173</v>
      </c>
      <c r="D14" s="77">
        <v>110</v>
      </c>
      <c r="E14" s="77"/>
      <c r="F14" s="68">
        <v>63</v>
      </c>
      <c r="G14" s="77">
        <v>6000</v>
      </c>
      <c r="H14" s="77">
        <v>476</v>
      </c>
      <c r="I14" s="77">
        <v>320</v>
      </c>
      <c r="J14" s="77"/>
      <c r="K14" s="77"/>
      <c r="L14" s="77"/>
      <c r="M14" s="77"/>
      <c r="N14" s="77"/>
      <c r="O14" s="77"/>
      <c r="P14" t="s">
        <v>19616</v>
      </c>
      <c r="Q14" s="77">
        <v>150</v>
      </c>
      <c r="R14" s="77">
        <f>+Mats!L4</f>
        <v>6980</v>
      </c>
      <c r="S14" s="77">
        <f>+R14*Q14</f>
        <v>1047000</v>
      </c>
      <c r="Y14" s="77"/>
    </row>
    <row r="15" spans="1:37" x14ac:dyDescent="0.2">
      <c r="A15" s="68">
        <v>14</v>
      </c>
      <c r="B15" s="77">
        <v>1000</v>
      </c>
      <c r="C15" s="77">
        <v>179</v>
      </c>
      <c r="D15" s="77">
        <v>114</v>
      </c>
      <c r="E15" s="77"/>
      <c r="F15" s="68">
        <v>64</v>
      </c>
      <c r="G15" s="77">
        <v>6000</v>
      </c>
      <c r="H15" s="77">
        <v>482</v>
      </c>
      <c r="I15" s="77">
        <v>324</v>
      </c>
      <c r="J15" s="77"/>
      <c r="K15" s="77"/>
      <c r="L15" s="77"/>
      <c r="M15" s="77"/>
      <c r="N15" s="77"/>
      <c r="O15" s="77"/>
      <c r="P15" t="s">
        <v>19617</v>
      </c>
      <c r="Q15" s="77">
        <v>1000</v>
      </c>
      <c r="R15" s="77">
        <f>+Mats!L5</f>
        <v>23570</v>
      </c>
      <c r="S15" s="77">
        <f>+R15*Q15</f>
        <v>23570000</v>
      </c>
      <c r="Y15" s="77"/>
    </row>
    <row r="16" spans="1:37" x14ac:dyDescent="0.2">
      <c r="A16" s="68">
        <v>15</v>
      </c>
      <c r="B16" s="77">
        <v>1000</v>
      </c>
      <c r="C16" s="77">
        <v>185</v>
      </c>
      <c r="D16" s="77">
        <v>119</v>
      </c>
      <c r="E16" s="77"/>
      <c r="F16" s="68">
        <v>65</v>
      </c>
      <c r="G16" s="77">
        <v>6000</v>
      </c>
      <c r="H16" s="77">
        <v>488</v>
      </c>
      <c r="I16" s="77">
        <v>328</v>
      </c>
      <c r="J16" s="77"/>
      <c r="K16" s="77"/>
      <c r="L16" s="77"/>
      <c r="M16" s="77"/>
      <c r="N16" s="77"/>
      <c r="O16" s="77"/>
      <c r="P16" t="s">
        <v>19618</v>
      </c>
      <c r="Q16" s="77">
        <v>3500</v>
      </c>
      <c r="R16" s="77">
        <f>+Mats!L6</f>
        <v>42485</v>
      </c>
      <c r="S16" s="77">
        <f>+R16*Q16</f>
        <v>148697500</v>
      </c>
      <c r="Y16" s="77"/>
    </row>
    <row r="17" spans="1:25" x14ac:dyDescent="0.2">
      <c r="A17" s="68">
        <v>16</v>
      </c>
      <c r="B17" s="77">
        <v>1000</v>
      </c>
      <c r="C17" s="77">
        <v>191</v>
      </c>
      <c r="D17" s="77">
        <v>123</v>
      </c>
      <c r="E17" s="77"/>
      <c r="F17" s="68">
        <v>66</v>
      </c>
      <c r="G17" s="77">
        <v>6000</v>
      </c>
      <c r="H17" s="77">
        <v>494</v>
      </c>
      <c r="I17" s="77">
        <v>332</v>
      </c>
      <c r="J17" s="77"/>
      <c r="K17" s="77"/>
      <c r="L17" s="77"/>
      <c r="M17" s="77"/>
      <c r="N17" s="77"/>
      <c r="O17" s="77"/>
      <c r="Y17" s="77"/>
    </row>
    <row r="18" spans="1:25" x14ac:dyDescent="0.2">
      <c r="A18" s="68">
        <v>17</v>
      </c>
      <c r="B18" s="77">
        <v>1000</v>
      </c>
      <c r="C18" s="77">
        <v>197</v>
      </c>
      <c r="D18" s="77">
        <v>127</v>
      </c>
      <c r="E18" s="77"/>
      <c r="F18" s="68">
        <v>67</v>
      </c>
      <c r="G18" s="77">
        <v>6000</v>
      </c>
      <c r="H18" s="77">
        <v>500</v>
      </c>
      <c r="I18" s="77">
        <v>337</v>
      </c>
      <c r="J18" s="77"/>
      <c r="K18" s="77"/>
      <c r="L18" s="77"/>
      <c r="M18" s="77"/>
      <c r="N18" s="77"/>
      <c r="O18" s="77"/>
      <c r="Q18" s="292"/>
      <c r="R18" s="294" t="s">
        <v>21862</v>
      </c>
      <c r="S18" s="165">
        <f>SUM(S14:S17)</f>
        <v>173314500</v>
      </c>
      <c r="V18" s="77"/>
      <c r="Y18" s="77"/>
    </row>
    <row r="19" spans="1:25" x14ac:dyDescent="0.2">
      <c r="A19" s="68">
        <v>18</v>
      </c>
      <c r="B19" s="77">
        <v>1000</v>
      </c>
      <c r="C19" s="77">
        <v>203</v>
      </c>
      <c r="D19" s="77">
        <v>131</v>
      </c>
      <c r="E19" s="77"/>
      <c r="F19" s="68">
        <v>68</v>
      </c>
      <c r="G19" s="77">
        <v>6000</v>
      </c>
      <c r="H19" s="77">
        <v>506</v>
      </c>
      <c r="I19" s="77">
        <v>341</v>
      </c>
      <c r="J19" s="77"/>
      <c r="K19" s="77"/>
      <c r="L19" s="77"/>
      <c r="M19" s="77"/>
      <c r="N19" s="77"/>
      <c r="O19" s="77"/>
      <c r="R19" s="77"/>
      <c r="V19" s="77"/>
      <c r="Y19" s="77"/>
    </row>
    <row r="20" spans="1:25" x14ac:dyDescent="0.2">
      <c r="A20" s="68">
        <v>19</v>
      </c>
      <c r="B20" s="77">
        <v>1000</v>
      </c>
      <c r="C20" s="77">
        <v>209</v>
      </c>
      <c r="D20" s="77">
        <v>135</v>
      </c>
      <c r="E20" s="77"/>
      <c r="F20" s="68">
        <v>69</v>
      </c>
      <c r="G20" s="77">
        <v>6000</v>
      </c>
      <c r="H20" s="77">
        <v>512</v>
      </c>
      <c r="I20" s="77">
        <v>345</v>
      </c>
      <c r="J20" s="77"/>
      <c r="K20" s="77"/>
      <c r="L20" s="77"/>
      <c r="M20" s="77"/>
      <c r="N20" s="77"/>
      <c r="O20" s="77"/>
      <c r="R20" s="77"/>
      <c r="V20" s="77"/>
      <c r="Y20" s="77"/>
    </row>
    <row r="21" spans="1:25" x14ac:dyDescent="0.2">
      <c r="A21" s="68">
        <v>20</v>
      </c>
      <c r="B21" s="77">
        <v>1000</v>
      </c>
      <c r="C21" s="77">
        <v>215</v>
      </c>
      <c r="D21" s="77">
        <v>140</v>
      </c>
      <c r="E21" s="77"/>
      <c r="F21" s="68">
        <v>70</v>
      </c>
      <c r="G21" s="77">
        <v>6000</v>
      </c>
      <c r="H21" s="77">
        <v>518</v>
      </c>
      <c r="I21" s="77">
        <v>349</v>
      </c>
      <c r="J21" s="77"/>
      <c r="K21" s="77"/>
      <c r="L21" s="77"/>
      <c r="M21" s="77"/>
      <c r="N21" s="77"/>
      <c r="O21" s="77"/>
      <c r="P21" s="106" t="s">
        <v>21863</v>
      </c>
      <c r="R21" s="77"/>
      <c r="V21" s="77"/>
      <c r="Y21" s="77"/>
    </row>
    <row r="22" spans="1:25" x14ac:dyDescent="0.2">
      <c r="A22" s="68">
        <v>21</v>
      </c>
      <c r="B22" s="77">
        <v>2000</v>
      </c>
      <c r="C22" s="77">
        <v>221</v>
      </c>
      <c r="D22" s="77">
        <v>144</v>
      </c>
      <c r="E22" s="77"/>
      <c r="F22" s="68">
        <v>71</v>
      </c>
      <c r="G22" s="77">
        <v>7000</v>
      </c>
      <c r="H22" s="77">
        <v>524</v>
      </c>
      <c r="I22" s="77">
        <v>353</v>
      </c>
      <c r="J22" s="77"/>
      <c r="K22" s="77"/>
      <c r="L22" s="77"/>
      <c r="M22" s="77"/>
      <c r="N22" s="77"/>
      <c r="O22" s="77"/>
      <c r="P22" t="s">
        <v>21864</v>
      </c>
      <c r="R22" s="77"/>
      <c r="V22" s="77"/>
      <c r="Y22" s="77"/>
    </row>
    <row r="23" spans="1:25" x14ac:dyDescent="0.2">
      <c r="A23" s="68">
        <v>22</v>
      </c>
      <c r="B23" s="77">
        <v>2000</v>
      </c>
      <c r="C23" s="77">
        <v>227</v>
      </c>
      <c r="D23" s="77">
        <v>148</v>
      </c>
      <c r="E23" s="77"/>
      <c r="F23" s="68">
        <v>72</v>
      </c>
      <c r="G23" s="77">
        <v>7000</v>
      </c>
      <c r="H23" s="77">
        <v>530</v>
      </c>
      <c r="I23" s="77">
        <v>358</v>
      </c>
      <c r="J23" s="77"/>
      <c r="K23" s="77"/>
      <c r="L23" s="77"/>
      <c r="M23" s="77"/>
      <c r="N23" s="77"/>
      <c r="O23" s="77"/>
      <c r="P23" t="s">
        <v>21865</v>
      </c>
      <c r="R23" s="77"/>
      <c r="V23" s="77"/>
      <c r="Y23" s="77"/>
    </row>
    <row r="24" spans="1:25" x14ac:dyDescent="0.2">
      <c r="A24" s="68">
        <v>23</v>
      </c>
      <c r="B24" s="77">
        <v>2000</v>
      </c>
      <c r="C24" s="77">
        <v>233</v>
      </c>
      <c r="D24" s="77">
        <v>152</v>
      </c>
      <c r="E24" s="77"/>
      <c r="F24" s="68">
        <v>73</v>
      </c>
      <c r="G24" s="77">
        <v>7000</v>
      </c>
      <c r="H24" s="77">
        <v>536</v>
      </c>
      <c r="I24" s="77">
        <v>362</v>
      </c>
      <c r="J24" s="77"/>
      <c r="K24" s="77"/>
      <c r="L24" s="77"/>
      <c r="M24" s="77"/>
      <c r="N24" s="77"/>
      <c r="O24" s="77"/>
      <c r="R24" s="77"/>
      <c r="V24" s="77"/>
      <c r="Y24" s="77"/>
    </row>
    <row r="25" spans="1:25" x14ac:dyDescent="0.2">
      <c r="A25" s="68">
        <v>24</v>
      </c>
      <c r="B25" s="77">
        <v>2000</v>
      </c>
      <c r="C25" s="77">
        <v>239</v>
      </c>
      <c r="D25" s="77">
        <v>156</v>
      </c>
      <c r="E25" s="77"/>
      <c r="F25" s="68">
        <v>74</v>
      </c>
      <c r="G25" s="77">
        <v>7000</v>
      </c>
      <c r="H25" s="77">
        <v>542</v>
      </c>
      <c r="I25" s="77">
        <v>366</v>
      </c>
      <c r="J25" s="77"/>
      <c r="K25" s="77"/>
      <c r="L25" s="77"/>
      <c r="M25" s="77"/>
      <c r="N25" s="77"/>
      <c r="O25" s="77"/>
      <c r="P25" t="s">
        <v>21866</v>
      </c>
      <c r="R25" s="77"/>
      <c r="S25" s="77"/>
      <c r="T25" s="77"/>
      <c r="Y25" s="77"/>
    </row>
    <row r="26" spans="1:25" x14ac:dyDescent="0.2">
      <c r="A26" s="68">
        <v>25</v>
      </c>
      <c r="B26" s="77">
        <v>2000</v>
      </c>
      <c r="C26" s="77">
        <v>245</v>
      </c>
      <c r="D26" s="77">
        <v>161</v>
      </c>
      <c r="E26" s="77"/>
      <c r="F26" s="68">
        <v>75</v>
      </c>
      <c r="G26" s="77">
        <v>7000</v>
      </c>
      <c r="H26" s="77">
        <v>548</v>
      </c>
      <c r="I26" s="77">
        <v>370</v>
      </c>
      <c r="J26" s="77"/>
      <c r="K26" s="77"/>
      <c r="L26" s="77"/>
      <c r="M26" s="77"/>
      <c r="N26" s="77"/>
      <c r="O26" s="77"/>
      <c r="P26" t="s">
        <v>21867</v>
      </c>
      <c r="R26" s="77"/>
      <c r="S26" s="77"/>
      <c r="T26" s="77"/>
      <c r="Y26" s="77"/>
    </row>
    <row r="27" spans="1:25" x14ac:dyDescent="0.2">
      <c r="A27" s="68">
        <v>26</v>
      </c>
      <c r="B27" s="77">
        <v>2000</v>
      </c>
      <c r="C27" s="77">
        <v>252</v>
      </c>
      <c r="D27" s="77">
        <v>165</v>
      </c>
      <c r="E27" s="77"/>
      <c r="F27" s="68">
        <v>76</v>
      </c>
      <c r="G27" s="77">
        <v>7000</v>
      </c>
      <c r="H27" s="77">
        <v>555</v>
      </c>
      <c r="I27" s="77">
        <v>374</v>
      </c>
      <c r="J27" s="77"/>
      <c r="K27" s="77"/>
      <c r="L27" s="77"/>
      <c r="M27" s="77"/>
      <c r="N27" s="77"/>
      <c r="O27" s="77"/>
      <c r="P27" t="s">
        <v>21868</v>
      </c>
      <c r="R27" s="77"/>
      <c r="V27" s="77"/>
      <c r="Y27" s="77"/>
    </row>
    <row r="28" spans="1:25" x14ac:dyDescent="0.2">
      <c r="A28" s="68">
        <v>27</v>
      </c>
      <c r="B28" s="77">
        <v>2000</v>
      </c>
      <c r="C28" s="77">
        <v>258</v>
      </c>
      <c r="D28" s="77">
        <v>169</v>
      </c>
      <c r="E28" s="77"/>
      <c r="F28" s="68">
        <v>77</v>
      </c>
      <c r="G28" s="77">
        <v>7000</v>
      </c>
      <c r="H28" s="77">
        <v>561</v>
      </c>
      <c r="I28" s="77">
        <v>379</v>
      </c>
      <c r="J28" s="77"/>
      <c r="K28" s="77"/>
      <c r="L28" s="77"/>
      <c r="M28" s="77"/>
      <c r="N28" s="77"/>
      <c r="O28" s="77"/>
      <c r="P28" t="s">
        <v>21869</v>
      </c>
      <c r="R28" s="77"/>
      <c r="V28" s="77"/>
      <c r="Y28" s="77"/>
    </row>
    <row r="29" spans="1:25" x14ac:dyDescent="0.2">
      <c r="A29" s="68">
        <v>28</v>
      </c>
      <c r="B29" s="77">
        <v>2000</v>
      </c>
      <c r="C29" s="77">
        <v>264</v>
      </c>
      <c r="D29" s="77">
        <v>173</v>
      </c>
      <c r="E29" s="77"/>
      <c r="F29" s="68">
        <v>78</v>
      </c>
      <c r="G29" s="77">
        <v>7000</v>
      </c>
      <c r="H29" s="77">
        <v>567</v>
      </c>
      <c r="I29" s="77">
        <v>383</v>
      </c>
      <c r="J29" s="77"/>
      <c r="K29" s="77"/>
      <c r="L29" s="77"/>
      <c r="M29" s="77"/>
      <c r="N29" s="77"/>
      <c r="O29" s="77"/>
      <c r="P29" t="s">
        <v>21870</v>
      </c>
      <c r="R29" s="77"/>
      <c r="V29" s="77"/>
      <c r="Y29" s="77"/>
    </row>
    <row r="30" spans="1:25" x14ac:dyDescent="0.2">
      <c r="A30" s="68">
        <v>29</v>
      </c>
      <c r="B30" s="77">
        <v>2000</v>
      </c>
      <c r="C30" s="77">
        <v>270</v>
      </c>
      <c r="D30" s="77">
        <v>177</v>
      </c>
      <c r="E30" s="77"/>
      <c r="F30" s="68">
        <v>79</v>
      </c>
      <c r="G30" s="77">
        <v>7000</v>
      </c>
      <c r="H30" s="77">
        <v>573</v>
      </c>
      <c r="I30" s="77">
        <v>387</v>
      </c>
      <c r="J30" s="77"/>
      <c r="K30" s="77"/>
      <c r="L30" s="77"/>
      <c r="M30" s="77"/>
      <c r="N30" s="77"/>
      <c r="O30" s="77"/>
      <c r="P30" t="s">
        <v>21871</v>
      </c>
      <c r="R30" s="77"/>
      <c r="V30" s="77"/>
      <c r="Y30" s="77"/>
    </row>
    <row r="31" spans="1:25" x14ac:dyDescent="0.2">
      <c r="A31" s="68">
        <v>30</v>
      </c>
      <c r="B31" s="77">
        <v>2000</v>
      </c>
      <c r="C31" s="77">
        <v>276</v>
      </c>
      <c r="D31" s="77">
        <v>182</v>
      </c>
      <c r="E31" s="77"/>
      <c r="F31" s="68">
        <v>80</v>
      </c>
      <c r="G31" s="77">
        <v>7000</v>
      </c>
      <c r="H31" s="77">
        <v>579</v>
      </c>
      <c r="I31" s="77">
        <v>391</v>
      </c>
      <c r="J31" s="77"/>
      <c r="K31" s="77"/>
      <c r="L31" s="77"/>
      <c r="M31" s="77"/>
      <c r="N31" s="77"/>
      <c r="O31" s="77"/>
      <c r="P31" t="s">
        <v>21872</v>
      </c>
      <c r="R31" s="77"/>
      <c r="V31" s="77"/>
      <c r="Y31" s="77"/>
    </row>
    <row r="32" spans="1:25" x14ac:dyDescent="0.2">
      <c r="A32" s="68">
        <v>31</v>
      </c>
      <c r="B32" s="77">
        <v>3000</v>
      </c>
      <c r="C32" s="77">
        <v>282</v>
      </c>
      <c r="D32" s="77">
        <v>186</v>
      </c>
      <c r="E32" s="77"/>
      <c r="F32" s="68">
        <v>81</v>
      </c>
      <c r="G32" s="77">
        <v>8000</v>
      </c>
      <c r="H32" s="77">
        <v>585</v>
      </c>
      <c r="I32" s="77">
        <v>395</v>
      </c>
      <c r="J32" s="77"/>
      <c r="K32" s="77"/>
      <c r="L32" s="77"/>
      <c r="M32" s="77"/>
      <c r="N32" s="77"/>
      <c r="O32" s="77"/>
      <c r="P32" t="s">
        <v>21873</v>
      </c>
      <c r="R32" s="77"/>
      <c r="V32" s="77"/>
      <c r="Y32" s="77"/>
    </row>
    <row r="33" spans="1:25" x14ac:dyDescent="0.2">
      <c r="A33" s="68">
        <v>32</v>
      </c>
      <c r="B33" s="77">
        <v>3000</v>
      </c>
      <c r="C33" s="77">
        <v>288</v>
      </c>
      <c r="D33" s="77">
        <v>190</v>
      </c>
      <c r="E33" s="77"/>
      <c r="F33" s="68">
        <v>82</v>
      </c>
      <c r="G33" s="77">
        <v>8000</v>
      </c>
      <c r="H33" s="77">
        <v>591</v>
      </c>
      <c r="I33" s="77">
        <v>400</v>
      </c>
      <c r="J33" s="77"/>
      <c r="K33" s="77"/>
      <c r="L33" s="77"/>
      <c r="M33" s="77"/>
      <c r="N33" s="77"/>
      <c r="O33" s="77"/>
      <c r="P33" t="s">
        <v>21874</v>
      </c>
      <c r="R33" s="77"/>
      <c r="V33" s="77"/>
      <c r="Y33" s="77"/>
    </row>
    <row r="34" spans="1:25" x14ac:dyDescent="0.2">
      <c r="A34" s="68">
        <v>33</v>
      </c>
      <c r="B34" s="77">
        <v>3000</v>
      </c>
      <c r="C34" s="77">
        <v>294</v>
      </c>
      <c r="D34" s="77">
        <v>194</v>
      </c>
      <c r="E34" s="77"/>
      <c r="F34" s="68">
        <v>83</v>
      </c>
      <c r="G34" s="77">
        <v>8000</v>
      </c>
      <c r="H34" s="77">
        <v>597</v>
      </c>
      <c r="I34" s="77">
        <v>404</v>
      </c>
      <c r="J34" s="77"/>
      <c r="K34" s="77"/>
      <c r="L34" s="77"/>
      <c r="M34" s="77"/>
      <c r="N34" s="77"/>
      <c r="O34" s="77"/>
      <c r="R34" s="77"/>
      <c r="V34" s="77"/>
      <c r="Y34" s="77"/>
    </row>
    <row r="35" spans="1:25" x14ac:dyDescent="0.2">
      <c r="A35" s="68">
        <v>34</v>
      </c>
      <c r="B35" s="77">
        <v>3000</v>
      </c>
      <c r="C35" s="77">
        <v>300</v>
      </c>
      <c r="D35" s="77">
        <v>198</v>
      </c>
      <c r="E35" s="77"/>
      <c r="F35" s="68">
        <v>84</v>
      </c>
      <c r="G35" s="77">
        <v>8000</v>
      </c>
      <c r="H35" s="77">
        <v>603</v>
      </c>
      <c r="I35" s="77">
        <v>408</v>
      </c>
      <c r="J35" s="77"/>
      <c r="K35" s="77"/>
      <c r="L35" s="77"/>
      <c r="M35" s="77"/>
      <c r="N35" s="77"/>
      <c r="O35" s="77"/>
      <c r="R35" s="77"/>
      <c r="V35" s="77"/>
      <c r="Y35" s="77"/>
    </row>
    <row r="36" spans="1:25" x14ac:dyDescent="0.2">
      <c r="A36" s="68">
        <v>35</v>
      </c>
      <c r="B36" s="77">
        <v>3000</v>
      </c>
      <c r="C36" s="77">
        <v>306</v>
      </c>
      <c r="D36" s="77">
        <v>203</v>
      </c>
      <c r="E36" s="77"/>
      <c r="F36" s="68">
        <v>85</v>
      </c>
      <c r="G36" s="77">
        <v>8000</v>
      </c>
      <c r="H36" s="77">
        <v>609</v>
      </c>
      <c r="I36" s="77">
        <v>412</v>
      </c>
      <c r="J36" s="77"/>
      <c r="K36" s="77"/>
      <c r="L36" s="77"/>
      <c r="M36" s="77"/>
      <c r="N36" s="77"/>
      <c r="O36" s="77"/>
      <c r="R36" s="77"/>
      <c r="V36" s="77"/>
      <c r="Y36" s="77"/>
    </row>
    <row r="37" spans="1:25" x14ac:dyDescent="0.2">
      <c r="A37" s="68">
        <v>36</v>
      </c>
      <c r="B37" s="77">
        <v>3000</v>
      </c>
      <c r="C37" s="77">
        <v>312</v>
      </c>
      <c r="D37" s="77">
        <v>207</v>
      </c>
      <c r="E37" s="77"/>
      <c r="F37" s="68">
        <v>86</v>
      </c>
      <c r="G37" s="77">
        <v>8000</v>
      </c>
      <c r="H37" s="77">
        <v>615</v>
      </c>
      <c r="I37" s="77">
        <v>416</v>
      </c>
      <c r="J37" s="77"/>
      <c r="K37" s="77"/>
      <c r="L37" s="77"/>
      <c r="M37" s="77"/>
      <c r="N37" s="77"/>
      <c r="O37" s="77"/>
      <c r="R37" s="77"/>
      <c r="V37" s="77"/>
      <c r="Y37" s="77"/>
    </row>
    <row r="38" spans="1:25" x14ac:dyDescent="0.2">
      <c r="A38" s="68">
        <v>37</v>
      </c>
      <c r="B38" s="77">
        <v>3000</v>
      </c>
      <c r="C38" s="77">
        <v>318</v>
      </c>
      <c r="D38" s="77">
        <v>211</v>
      </c>
      <c r="E38" s="77"/>
      <c r="F38" s="68">
        <v>87</v>
      </c>
      <c r="G38" s="77">
        <v>8000</v>
      </c>
      <c r="H38" s="77">
        <v>621</v>
      </c>
      <c r="I38" s="77">
        <v>421</v>
      </c>
      <c r="J38" s="77"/>
      <c r="K38" s="77"/>
      <c r="L38" s="77"/>
      <c r="M38" s="77"/>
      <c r="N38" s="77"/>
      <c r="O38" s="77"/>
      <c r="R38" s="77"/>
      <c r="V38" s="77"/>
      <c r="Y38" s="77"/>
    </row>
    <row r="39" spans="1:25" x14ac:dyDescent="0.2">
      <c r="A39" s="68">
        <v>38</v>
      </c>
      <c r="B39" s="77">
        <v>3000</v>
      </c>
      <c r="C39" s="77">
        <v>324</v>
      </c>
      <c r="D39" s="77">
        <v>215</v>
      </c>
      <c r="E39" s="77"/>
      <c r="F39" s="68">
        <v>88</v>
      </c>
      <c r="G39" s="77">
        <v>8000</v>
      </c>
      <c r="H39" s="77">
        <v>627</v>
      </c>
      <c r="I39" s="77">
        <v>425</v>
      </c>
      <c r="J39" s="77"/>
      <c r="K39" s="77"/>
      <c r="L39" s="77"/>
      <c r="M39" s="77"/>
      <c r="N39" s="77"/>
      <c r="O39" s="77"/>
      <c r="R39" s="77"/>
      <c r="V39" s="77"/>
      <c r="Y39" s="77"/>
    </row>
    <row r="40" spans="1:25" x14ac:dyDescent="0.2">
      <c r="A40" s="68">
        <v>39</v>
      </c>
      <c r="B40" s="77">
        <v>3000</v>
      </c>
      <c r="C40" s="77">
        <v>330</v>
      </c>
      <c r="D40" s="77">
        <v>219</v>
      </c>
      <c r="E40" s="77"/>
      <c r="F40" s="68">
        <v>89</v>
      </c>
      <c r="G40" s="77">
        <v>8000</v>
      </c>
      <c r="H40" s="77">
        <v>633</v>
      </c>
      <c r="I40" s="77">
        <v>429</v>
      </c>
      <c r="J40" s="77"/>
      <c r="K40" s="77"/>
      <c r="L40" s="77"/>
      <c r="M40" s="77"/>
      <c r="N40" s="77"/>
      <c r="O40" s="77"/>
      <c r="R40" s="77"/>
      <c r="V40" s="77"/>
      <c r="Y40" s="77"/>
    </row>
    <row r="41" spans="1:25" x14ac:dyDescent="0.2">
      <c r="A41" s="68">
        <v>40</v>
      </c>
      <c r="B41" s="77">
        <v>3000</v>
      </c>
      <c r="C41" s="77">
        <v>336</v>
      </c>
      <c r="D41" s="77">
        <v>223</v>
      </c>
      <c r="E41" s="77"/>
      <c r="F41" s="68">
        <v>90</v>
      </c>
      <c r="G41" s="77">
        <v>8000</v>
      </c>
      <c r="H41" s="77">
        <v>639</v>
      </c>
      <c r="I41" s="77">
        <v>433</v>
      </c>
      <c r="J41" s="77"/>
      <c r="K41" s="77"/>
      <c r="L41" s="77"/>
      <c r="M41" s="77"/>
      <c r="N41" s="77"/>
      <c r="O41" s="77"/>
      <c r="R41" s="77"/>
      <c r="V41" s="77"/>
      <c r="Y41" s="77"/>
    </row>
    <row r="42" spans="1:25" x14ac:dyDescent="0.2">
      <c r="A42" s="68">
        <v>41</v>
      </c>
      <c r="B42" s="77">
        <v>4000</v>
      </c>
      <c r="C42" s="77">
        <v>342</v>
      </c>
      <c r="D42" s="77">
        <v>228</v>
      </c>
      <c r="E42" s="77"/>
      <c r="F42" s="68">
        <v>91</v>
      </c>
      <c r="G42" s="77">
        <v>9000</v>
      </c>
      <c r="H42" s="77">
        <v>645</v>
      </c>
      <c r="I42" s="77">
        <v>437</v>
      </c>
      <c r="J42" s="77"/>
      <c r="K42" s="77"/>
      <c r="L42" s="77"/>
      <c r="M42" s="77"/>
      <c r="N42" s="77"/>
      <c r="O42" s="77"/>
      <c r="R42" s="77"/>
      <c r="V42" s="77"/>
      <c r="Y42" s="77"/>
    </row>
    <row r="43" spans="1:25" x14ac:dyDescent="0.2">
      <c r="A43" s="68">
        <v>42</v>
      </c>
      <c r="B43" s="77">
        <v>4000</v>
      </c>
      <c r="C43" s="77">
        <v>348</v>
      </c>
      <c r="D43" s="77">
        <v>232</v>
      </c>
      <c r="E43" s="77"/>
      <c r="F43" s="68">
        <v>92</v>
      </c>
      <c r="G43" s="77">
        <v>9000</v>
      </c>
      <c r="H43" s="77">
        <v>652</v>
      </c>
      <c r="I43" s="77">
        <v>441</v>
      </c>
      <c r="J43" s="77"/>
      <c r="K43" s="77"/>
      <c r="L43" s="77"/>
      <c r="M43" s="77"/>
      <c r="N43" s="77"/>
      <c r="O43" s="77"/>
      <c r="R43" s="77"/>
      <c r="V43" s="77"/>
      <c r="Y43" s="77"/>
    </row>
    <row r="44" spans="1:25" x14ac:dyDescent="0.2">
      <c r="A44" s="68">
        <v>43</v>
      </c>
      <c r="B44" s="77">
        <v>4000</v>
      </c>
      <c r="C44" s="77">
        <v>355</v>
      </c>
      <c r="D44" s="77">
        <v>236</v>
      </c>
      <c r="E44" s="77"/>
      <c r="F44" s="68">
        <v>93</v>
      </c>
      <c r="G44" s="77">
        <v>9000</v>
      </c>
      <c r="H44" s="77">
        <v>658</v>
      </c>
      <c r="I44" s="77">
        <v>446</v>
      </c>
      <c r="J44" s="77"/>
      <c r="K44" s="77"/>
      <c r="L44" s="77"/>
      <c r="M44" s="77"/>
      <c r="N44" s="77"/>
      <c r="O44" s="77"/>
      <c r="R44" s="77"/>
      <c r="V44" s="77"/>
      <c r="Y44" s="77"/>
    </row>
    <row r="45" spans="1:25" x14ac:dyDescent="0.2">
      <c r="A45" s="68">
        <v>44</v>
      </c>
      <c r="B45" s="77">
        <v>4000</v>
      </c>
      <c r="C45" s="77">
        <v>361</v>
      </c>
      <c r="D45" s="77">
        <v>240</v>
      </c>
      <c r="E45" s="77"/>
      <c r="F45" s="68">
        <v>94</v>
      </c>
      <c r="G45" s="77">
        <v>9000</v>
      </c>
      <c r="H45" s="77">
        <v>664</v>
      </c>
      <c r="I45" s="77">
        <v>450</v>
      </c>
      <c r="J45" s="77"/>
      <c r="K45" s="77"/>
      <c r="L45" s="77"/>
      <c r="M45" s="77"/>
      <c r="N45" s="77"/>
      <c r="O45" s="77"/>
      <c r="R45" s="77"/>
      <c r="V45" s="77"/>
      <c r="Y45" s="77"/>
    </row>
    <row r="46" spans="1:25" x14ac:dyDescent="0.2">
      <c r="A46" s="68">
        <v>45</v>
      </c>
      <c r="B46" s="77">
        <v>4000</v>
      </c>
      <c r="C46" s="77">
        <v>367</v>
      </c>
      <c r="D46" s="77">
        <v>244</v>
      </c>
      <c r="E46" s="77"/>
      <c r="F46" s="68">
        <v>95</v>
      </c>
      <c r="G46" s="77">
        <v>9000</v>
      </c>
      <c r="H46" s="77">
        <v>670</v>
      </c>
      <c r="I46" s="77">
        <v>454</v>
      </c>
      <c r="J46" s="77"/>
      <c r="K46" s="77"/>
      <c r="L46" s="77"/>
      <c r="M46" s="77"/>
      <c r="N46" s="77"/>
      <c r="O46" s="77"/>
      <c r="R46" s="77"/>
      <c r="V46" s="77"/>
      <c r="Y46" s="77"/>
    </row>
    <row r="47" spans="1:25" x14ac:dyDescent="0.2">
      <c r="A47" s="68">
        <v>46</v>
      </c>
      <c r="B47" s="77">
        <v>4000</v>
      </c>
      <c r="C47" s="77">
        <v>373</v>
      </c>
      <c r="D47" s="77">
        <v>249</v>
      </c>
      <c r="E47" s="77"/>
      <c r="F47" s="68">
        <v>96</v>
      </c>
      <c r="G47" s="77">
        <v>9000</v>
      </c>
      <c r="H47" s="77">
        <v>676</v>
      </c>
      <c r="I47" s="77">
        <v>458</v>
      </c>
      <c r="J47" s="77"/>
      <c r="K47" s="77"/>
      <c r="L47" s="77"/>
      <c r="M47" s="77"/>
      <c r="N47" s="77"/>
      <c r="O47" s="77"/>
      <c r="R47" s="77"/>
      <c r="V47" s="77"/>
      <c r="Y47" s="77"/>
    </row>
    <row r="48" spans="1:25" x14ac:dyDescent="0.2">
      <c r="A48" s="68">
        <v>47</v>
      </c>
      <c r="B48" s="77">
        <v>4000</v>
      </c>
      <c r="C48" s="77">
        <v>379</v>
      </c>
      <c r="D48" s="77">
        <v>253</v>
      </c>
      <c r="E48" s="77"/>
      <c r="F48" s="68">
        <v>97</v>
      </c>
      <c r="G48" s="77">
        <v>9000</v>
      </c>
      <c r="H48" s="77">
        <v>682</v>
      </c>
      <c r="I48" s="77">
        <v>462</v>
      </c>
      <c r="J48" s="77"/>
      <c r="K48" s="77"/>
      <c r="L48" s="77"/>
      <c r="M48" s="77"/>
      <c r="N48" s="77"/>
      <c r="O48" s="77"/>
      <c r="R48" s="77"/>
      <c r="V48" s="77"/>
      <c r="Y48" s="77"/>
    </row>
    <row r="49" spans="1:25" x14ac:dyDescent="0.2">
      <c r="A49" s="68">
        <v>48</v>
      </c>
      <c r="B49" s="77">
        <v>4000</v>
      </c>
      <c r="C49" s="77">
        <v>385</v>
      </c>
      <c r="D49" s="77">
        <v>257</v>
      </c>
      <c r="E49" s="77"/>
      <c r="F49" s="68">
        <v>98</v>
      </c>
      <c r="G49" s="77">
        <v>9000</v>
      </c>
      <c r="H49" s="77">
        <v>688</v>
      </c>
      <c r="I49" s="77">
        <v>467</v>
      </c>
      <c r="J49" s="77"/>
      <c r="K49" s="77"/>
      <c r="L49" s="77"/>
      <c r="M49" s="77"/>
      <c r="N49" s="77"/>
      <c r="O49" s="77"/>
      <c r="R49" s="77"/>
      <c r="V49" s="77"/>
      <c r="Y49" s="77"/>
    </row>
    <row r="50" spans="1:25" x14ac:dyDescent="0.2">
      <c r="A50" s="68">
        <v>49</v>
      </c>
      <c r="B50" s="77">
        <v>4000</v>
      </c>
      <c r="C50" s="77">
        <v>391</v>
      </c>
      <c r="D50" s="77">
        <v>261</v>
      </c>
      <c r="E50" s="77"/>
      <c r="F50" s="68">
        <v>99</v>
      </c>
      <c r="G50" s="77">
        <v>9000</v>
      </c>
      <c r="H50" s="77">
        <v>694</v>
      </c>
      <c r="I50" s="77">
        <v>471</v>
      </c>
      <c r="J50" s="77"/>
      <c r="K50" s="77"/>
      <c r="L50" s="77"/>
      <c r="M50" s="77"/>
      <c r="N50" s="77"/>
      <c r="O50" s="77"/>
      <c r="R50" s="77"/>
      <c r="V50" s="77"/>
      <c r="Y50" s="77"/>
    </row>
    <row r="51" spans="1:25" x14ac:dyDescent="0.2">
      <c r="A51" s="68">
        <v>50</v>
      </c>
      <c r="B51" s="77">
        <v>4000</v>
      </c>
      <c r="C51" s="77">
        <v>397</v>
      </c>
      <c r="D51" s="77">
        <v>265</v>
      </c>
      <c r="E51" s="77"/>
      <c r="F51" s="68">
        <v>100</v>
      </c>
      <c r="G51" s="77">
        <v>9000</v>
      </c>
      <c r="H51" s="77">
        <v>700</v>
      </c>
      <c r="I51" s="77">
        <v>475</v>
      </c>
      <c r="J51" s="77"/>
      <c r="K51" s="77"/>
      <c r="L51" s="77"/>
      <c r="M51" s="77"/>
      <c r="N51" s="77"/>
      <c r="O51" s="77"/>
      <c r="R51" s="77"/>
      <c r="V51" s="77"/>
      <c r="Y51" s="77"/>
    </row>
    <row r="52" spans="1:25" x14ac:dyDescent="0.2">
      <c r="E52" s="77"/>
      <c r="F52" s="77"/>
      <c r="G52" s="77"/>
      <c r="H52" s="77"/>
      <c r="I52" s="77"/>
      <c r="J52" s="77"/>
      <c r="K52" s="77"/>
      <c r="L52" s="77"/>
      <c r="M52" s="77"/>
      <c r="N52" s="77"/>
      <c r="O52" s="77"/>
      <c r="R52" s="77"/>
      <c r="V52" s="77"/>
      <c r="Y52" s="77"/>
    </row>
    <row r="53" spans="1:25" x14ac:dyDescent="0.2">
      <c r="G53" s="165">
        <f>SUM(G2:G51)+SUM(B2:B51)</f>
        <v>454500</v>
      </c>
      <c r="H53" s="67" t="s">
        <v>21875</v>
      </c>
      <c r="I53" s="293"/>
      <c r="J53" s="293"/>
      <c r="K53" s="293"/>
      <c r="L53" s="293"/>
      <c r="M53" s="293"/>
      <c r="N53" s="293"/>
      <c r="O53" s="77"/>
      <c r="R53" s="77"/>
      <c r="V53" s="77"/>
      <c r="Y53" s="77"/>
    </row>
    <row r="54" spans="1:25" x14ac:dyDescent="0.2">
      <c r="E54" s="77"/>
      <c r="F54" s="77"/>
      <c r="G54" s="77"/>
      <c r="H54" s="77"/>
      <c r="I54" s="77"/>
      <c r="J54" s="77"/>
      <c r="K54" s="77"/>
      <c r="L54" s="77"/>
      <c r="M54" s="77"/>
      <c r="N54" s="77"/>
      <c r="O54" s="77"/>
      <c r="R54" s="77"/>
      <c r="V54" s="77"/>
      <c r="Y54" s="77"/>
    </row>
    <row r="55" spans="1:25" x14ac:dyDescent="0.2">
      <c r="B55" s="77"/>
      <c r="E55" s="77"/>
      <c r="F55" s="77"/>
      <c r="G55" s="77"/>
      <c r="H55" s="77"/>
      <c r="I55" s="77"/>
      <c r="J55" s="77"/>
      <c r="K55" s="77"/>
      <c r="L55" s="77"/>
      <c r="M55" s="77"/>
      <c r="N55" s="77"/>
      <c r="O55" s="77"/>
      <c r="R55" s="77"/>
      <c r="V55" s="77"/>
      <c r="Y55" s="77"/>
    </row>
    <row r="56" spans="1:25" x14ac:dyDescent="0.2">
      <c r="B56" s="77"/>
      <c r="C56" s="77"/>
      <c r="D56" s="77"/>
      <c r="E56" s="77"/>
      <c r="F56" s="77"/>
      <c r="G56" s="77"/>
      <c r="H56" s="77"/>
      <c r="I56" s="77"/>
      <c r="J56" s="77"/>
      <c r="K56" s="77"/>
      <c r="L56" s="77"/>
      <c r="M56" s="77"/>
      <c r="N56" s="77"/>
      <c r="O56" s="77"/>
      <c r="R56" s="77"/>
      <c r="V56" s="77"/>
      <c r="Y56" s="77"/>
    </row>
    <row r="57" spans="1:25" x14ac:dyDescent="0.2">
      <c r="B57" s="77"/>
      <c r="C57" s="77"/>
      <c r="D57" s="77"/>
      <c r="E57" s="77"/>
      <c r="F57" s="77"/>
      <c r="G57" s="77"/>
      <c r="H57" s="77"/>
      <c r="I57" s="77"/>
      <c r="J57" s="77"/>
      <c r="K57" s="77"/>
      <c r="L57" s="77"/>
      <c r="M57" s="77"/>
      <c r="N57" s="77"/>
      <c r="O57" s="77"/>
      <c r="R57" s="77"/>
      <c r="V57" s="77"/>
      <c r="Y57" s="77"/>
    </row>
    <row r="58" spans="1:25" x14ac:dyDescent="0.2">
      <c r="B58" s="77"/>
      <c r="C58" s="77"/>
      <c r="D58" s="77"/>
      <c r="E58" s="77"/>
      <c r="F58" s="77"/>
      <c r="G58" s="77"/>
      <c r="H58" s="77"/>
      <c r="I58" s="77"/>
      <c r="J58" s="77"/>
      <c r="K58" s="77"/>
      <c r="L58" s="77"/>
      <c r="M58" s="77"/>
      <c r="N58" s="77"/>
      <c r="O58" s="77"/>
      <c r="R58" s="77"/>
      <c r="V58" s="77"/>
      <c r="Y58" s="77"/>
    </row>
    <row r="59" spans="1:25" x14ac:dyDescent="0.2">
      <c r="B59" s="77"/>
      <c r="C59" s="77"/>
      <c r="D59" s="77"/>
      <c r="E59" s="77"/>
      <c r="F59" s="77"/>
      <c r="G59" s="77"/>
      <c r="H59" s="77"/>
      <c r="I59" s="77"/>
      <c r="J59" s="77"/>
      <c r="K59" s="77"/>
      <c r="L59" s="77"/>
      <c r="M59" s="77"/>
      <c r="N59" s="77"/>
      <c r="O59" s="77"/>
      <c r="R59" s="77"/>
      <c r="V59" s="77"/>
      <c r="Y59" s="77"/>
    </row>
    <row r="60" spans="1:25" x14ac:dyDescent="0.2">
      <c r="B60" s="77"/>
      <c r="C60" s="77"/>
      <c r="D60" s="77"/>
      <c r="E60" s="77"/>
      <c r="F60" s="77"/>
      <c r="G60" s="77"/>
      <c r="H60" s="77"/>
      <c r="I60" s="77"/>
      <c r="J60" s="77"/>
      <c r="K60" s="77"/>
      <c r="L60" s="77"/>
      <c r="M60" s="77"/>
      <c r="N60" s="77"/>
      <c r="O60" s="77"/>
      <c r="R60" s="77"/>
      <c r="V60" s="77"/>
      <c r="Y60" s="77"/>
    </row>
    <row r="61" spans="1:25" x14ac:dyDescent="0.2">
      <c r="B61" s="77"/>
      <c r="C61" s="77"/>
      <c r="D61" s="77"/>
      <c r="E61" s="77"/>
      <c r="F61" s="77"/>
      <c r="G61" s="77"/>
      <c r="H61" s="77"/>
      <c r="I61" s="77"/>
      <c r="J61" s="77"/>
      <c r="K61" s="77"/>
      <c r="L61" s="77"/>
      <c r="M61" s="77"/>
      <c r="N61" s="77"/>
      <c r="O61" s="77"/>
      <c r="R61" s="77"/>
      <c r="V61" s="77"/>
      <c r="Y61" s="77"/>
    </row>
    <row r="62" spans="1:25" x14ac:dyDescent="0.2">
      <c r="B62" s="77"/>
      <c r="C62" s="77"/>
      <c r="D62" s="77"/>
      <c r="E62" s="77"/>
      <c r="F62" s="77"/>
      <c r="G62" s="77"/>
      <c r="H62" s="77"/>
      <c r="I62" s="77"/>
      <c r="J62" s="77"/>
      <c r="K62" s="77"/>
      <c r="L62" s="77"/>
      <c r="M62" s="77"/>
      <c r="N62" s="77"/>
      <c r="O62" s="77"/>
      <c r="R62" s="77"/>
      <c r="V62" s="77"/>
      <c r="Y62" s="77"/>
    </row>
    <row r="63" spans="1:25" x14ac:dyDescent="0.2">
      <c r="B63" s="77"/>
      <c r="C63" s="77"/>
      <c r="D63" s="77"/>
      <c r="E63" s="77"/>
      <c r="F63" s="77"/>
      <c r="G63" s="77"/>
      <c r="H63" s="77"/>
      <c r="I63" s="77"/>
      <c r="J63" s="77"/>
      <c r="K63" s="77"/>
      <c r="L63" s="77"/>
      <c r="M63" s="77"/>
      <c r="N63" s="77"/>
      <c r="O63" s="77"/>
      <c r="R63" s="77"/>
      <c r="V63" s="77"/>
      <c r="Y63" s="77"/>
    </row>
    <row r="64" spans="1:25" x14ac:dyDescent="0.2">
      <c r="B64" s="77"/>
      <c r="C64" s="77"/>
      <c r="D64" s="77"/>
      <c r="E64" s="77"/>
      <c r="F64" s="77"/>
      <c r="G64" s="77"/>
      <c r="H64" s="77"/>
      <c r="I64" s="77"/>
      <c r="J64" s="77"/>
      <c r="K64" s="77"/>
      <c r="L64" s="77"/>
      <c r="M64" s="77"/>
      <c r="N64" s="77"/>
      <c r="O64" s="77"/>
      <c r="R64" s="77"/>
      <c r="V64" s="77"/>
      <c r="Y64" s="77"/>
    </row>
    <row r="65" spans="2:25" x14ac:dyDescent="0.2">
      <c r="B65" s="77"/>
      <c r="C65" s="77"/>
      <c r="D65" s="77"/>
      <c r="E65" s="77"/>
      <c r="F65" s="77"/>
      <c r="G65" s="77"/>
      <c r="H65" s="77"/>
      <c r="I65" s="77"/>
      <c r="J65" s="77"/>
      <c r="K65" s="77"/>
      <c r="L65" s="77"/>
      <c r="M65" s="77"/>
      <c r="N65" s="77"/>
      <c r="O65" s="77"/>
      <c r="R65" s="77"/>
      <c r="V65" s="77"/>
      <c r="Y65" s="77"/>
    </row>
    <row r="66" spans="2:25" x14ac:dyDescent="0.2">
      <c r="B66" s="77"/>
      <c r="C66" s="77"/>
      <c r="D66" s="77"/>
      <c r="E66" s="77"/>
      <c r="F66" s="77"/>
      <c r="G66" s="77"/>
      <c r="H66" s="77"/>
      <c r="I66" s="77"/>
      <c r="J66" s="77"/>
      <c r="K66" s="77"/>
      <c r="L66" s="77"/>
      <c r="M66" s="77"/>
      <c r="N66" s="77"/>
      <c r="O66" s="77"/>
      <c r="R66" s="77"/>
      <c r="V66" s="77"/>
      <c r="Y66" s="77"/>
    </row>
    <row r="67" spans="2:25" x14ac:dyDescent="0.2">
      <c r="B67" s="77"/>
      <c r="C67" s="77"/>
      <c r="D67" s="77"/>
      <c r="E67" s="77"/>
      <c r="F67" s="77"/>
      <c r="G67" s="77"/>
      <c r="H67" s="77"/>
      <c r="I67" s="77"/>
      <c r="J67" s="77"/>
      <c r="K67" s="77"/>
      <c r="L67" s="77"/>
      <c r="M67" s="77"/>
      <c r="N67" s="77"/>
      <c r="O67" s="77"/>
      <c r="R67" s="77"/>
      <c r="V67" s="77"/>
      <c r="Y67" s="77"/>
    </row>
    <row r="68" spans="2:25" x14ac:dyDescent="0.2">
      <c r="B68" s="77"/>
      <c r="C68" s="77"/>
      <c r="D68" s="77"/>
      <c r="E68" s="77"/>
      <c r="F68" s="77"/>
      <c r="G68" s="77"/>
      <c r="H68" s="77"/>
      <c r="I68" s="77"/>
      <c r="J68" s="77"/>
      <c r="K68" s="77"/>
      <c r="L68" s="77"/>
      <c r="M68" s="77"/>
      <c r="N68" s="77"/>
      <c r="O68" s="77"/>
      <c r="R68" s="77"/>
      <c r="V68" s="77"/>
      <c r="Y68" s="77"/>
    </row>
    <row r="69" spans="2:25" x14ac:dyDescent="0.2">
      <c r="B69" s="77"/>
      <c r="C69" s="77"/>
      <c r="D69" s="77"/>
      <c r="E69" s="77"/>
      <c r="F69" s="77"/>
      <c r="G69" s="77"/>
      <c r="H69" s="77"/>
      <c r="I69" s="77"/>
      <c r="J69" s="77"/>
      <c r="K69" s="77"/>
      <c r="L69" s="77"/>
      <c r="M69" s="77"/>
      <c r="N69" s="77"/>
      <c r="O69" s="77"/>
      <c r="R69" s="77"/>
      <c r="V69" s="77"/>
      <c r="Y69" s="77"/>
    </row>
    <row r="70" spans="2:25" x14ac:dyDescent="0.2">
      <c r="B70" s="77"/>
      <c r="C70" s="77"/>
      <c r="D70" s="77"/>
      <c r="E70" s="77"/>
      <c r="F70" s="77"/>
      <c r="G70" s="77"/>
      <c r="H70" s="77"/>
      <c r="I70" s="77"/>
      <c r="J70" s="77"/>
      <c r="K70" s="77"/>
      <c r="L70" s="77"/>
      <c r="M70" s="77"/>
      <c r="N70" s="77"/>
      <c r="O70" s="77"/>
      <c r="R70" s="77"/>
      <c r="V70" s="77"/>
      <c r="Y70" s="77"/>
    </row>
    <row r="71" spans="2:25" x14ac:dyDescent="0.2">
      <c r="B71" s="77"/>
      <c r="C71" s="77"/>
      <c r="D71" s="77"/>
      <c r="E71" s="77"/>
      <c r="F71" s="77"/>
      <c r="G71" s="77"/>
      <c r="H71" s="77"/>
      <c r="I71" s="77"/>
      <c r="J71" s="77"/>
      <c r="K71" s="77"/>
      <c r="L71" s="77"/>
      <c r="M71" s="77"/>
      <c r="N71" s="77"/>
      <c r="O71" s="77"/>
      <c r="R71" s="77"/>
      <c r="V71" s="77"/>
      <c r="Y71" s="77"/>
    </row>
    <row r="72" spans="2:25" x14ac:dyDescent="0.2">
      <c r="B72" s="77"/>
      <c r="C72" s="77"/>
      <c r="D72" s="77"/>
      <c r="E72" s="77"/>
      <c r="F72" s="77"/>
      <c r="G72" s="77"/>
      <c r="H72" s="77"/>
      <c r="I72" s="77"/>
      <c r="J72" s="77"/>
      <c r="K72" s="77"/>
      <c r="L72" s="77"/>
      <c r="M72" s="77"/>
      <c r="N72" s="77"/>
      <c r="O72" s="77"/>
      <c r="R72" s="77"/>
      <c r="V72" s="77"/>
      <c r="Y72" s="77"/>
    </row>
    <row r="73" spans="2:25" x14ac:dyDescent="0.2">
      <c r="B73" s="77"/>
      <c r="C73" s="77"/>
      <c r="D73" s="77"/>
      <c r="E73" s="77"/>
      <c r="F73" s="77"/>
      <c r="G73" s="77"/>
      <c r="H73" s="77"/>
      <c r="I73" s="77"/>
      <c r="J73" s="77"/>
      <c r="K73" s="77"/>
      <c r="L73" s="77"/>
      <c r="M73" s="77"/>
      <c r="N73" s="77"/>
      <c r="O73" s="77"/>
      <c r="R73" s="77"/>
      <c r="V73" s="77"/>
      <c r="Y73" s="77"/>
    </row>
    <row r="74" spans="2:25" x14ac:dyDescent="0.2">
      <c r="B74" s="77"/>
      <c r="C74" s="77"/>
      <c r="D74" s="77"/>
      <c r="E74" s="77"/>
      <c r="F74" s="77"/>
      <c r="G74" s="77"/>
      <c r="H74" s="77"/>
      <c r="I74" s="77"/>
      <c r="J74" s="77"/>
      <c r="K74" s="77"/>
      <c r="L74" s="77"/>
      <c r="M74" s="77"/>
      <c r="N74" s="77"/>
      <c r="O74" s="77"/>
      <c r="R74" s="77"/>
      <c r="V74" s="77"/>
      <c r="Y74" s="77"/>
    </row>
    <row r="75" spans="2:25" x14ac:dyDescent="0.2">
      <c r="B75" s="77"/>
      <c r="C75" s="77"/>
      <c r="D75" s="77"/>
      <c r="E75" s="77"/>
      <c r="F75" s="77"/>
      <c r="G75" s="77"/>
      <c r="H75" s="77"/>
      <c r="I75" s="77"/>
      <c r="J75" s="77"/>
      <c r="K75" s="77"/>
      <c r="L75" s="77"/>
      <c r="M75" s="77"/>
      <c r="N75" s="77"/>
      <c r="O75" s="77"/>
      <c r="R75" s="77"/>
      <c r="V75" s="77"/>
      <c r="Y75" s="77"/>
    </row>
    <row r="76" spans="2:25" x14ac:dyDescent="0.2">
      <c r="B76" s="77"/>
      <c r="C76" s="77"/>
      <c r="D76" s="77"/>
      <c r="E76" s="77"/>
      <c r="F76" s="77"/>
      <c r="G76" s="77"/>
      <c r="H76" s="77"/>
      <c r="I76" s="77"/>
      <c r="J76" s="77"/>
      <c r="K76" s="77"/>
      <c r="L76" s="77"/>
      <c r="M76" s="77"/>
      <c r="N76" s="77"/>
      <c r="O76" s="77"/>
      <c r="R76" s="77"/>
      <c r="V76" s="77"/>
      <c r="Y76" s="77"/>
    </row>
    <row r="77" spans="2:25" x14ac:dyDescent="0.2">
      <c r="B77" s="77"/>
      <c r="C77" s="77"/>
      <c r="D77" s="77"/>
      <c r="E77" s="77"/>
      <c r="F77" s="77"/>
      <c r="G77" s="77"/>
      <c r="H77" s="77"/>
      <c r="I77" s="77"/>
      <c r="J77" s="77"/>
      <c r="K77" s="77"/>
      <c r="L77" s="77"/>
      <c r="M77" s="77"/>
      <c r="N77" s="77"/>
      <c r="O77" s="77"/>
      <c r="R77" s="77"/>
      <c r="V77" s="77"/>
      <c r="Y77" s="77"/>
    </row>
    <row r="78" spans="2:25" x14ac:dyDescent="0.2">
      <c r="B78" s="77"/>
      <c r="C78" s="77"/>
      <c r="D78" s="77"/>
      <c r="E78" s="77"/>
      <c r="F78" s="77"/>
      <c r="G78" s="77"/>
      <c r="H78" s="77"/>
      <c r="I78" s="77"/>
      <c r="J78" s="77"/>
      <c r="K78" s="77"/>
      <c r="L78" s="77"/>
      <c r="M78" s="77"/>
      <c r="N78" s="77"/>
      <c r="O78" s="77"/>
      <c r="R78" s="77"/>
      <c r="V78" s="77"/>
      <c r="Y78" s="77"/>
    </row>
    <row r="79" spans="2:25" x14ac:dyDescent="0.2">
      <c r="B79" s="77"/>
      <c r="C79" s="77"/>
      <c r="D79" s="77"/>
      <c r="E79" s="77"/>
      <c r="F79" s="77"/>
      <c r="G79" s="77"/>
      <c r="H79" s="77"/>
      <c r="I79" s="77"/>
      <c r="J79" s="77"/>
      <c r="K79" s="77"/>
      <c r="L79" s="77"/>
      <c r="M79" s="77"/>
      <c r="N79" s="77"/>
      <c r="O79" s="77"/>
      <c r="R79" s="77"/>
      <c r="V79" s="77"/>
      <c r="Y79" s="77"/>
    </row>
    <row r="80" spans="2:25" x14ac:dyDescent="0.2">
      <c r="B80" s="77"/>
      <c r="C80" s="77"/>
      <c r="D80" s="77"/>
      <c r="E80" s="77"/>
      <c r="F80" s="77"/>
      <c r="G80" s="77"/>
      <c r="H80" s="77"/>
      <c r="I80" s="77"/>
      <c r="J80" s="77"/>
      <c r="K80" s="77"/>
      <c r="L80" s="77"/>
      <c r="M80" s="77"/>
      <c r="N80" s="77"/>
      <c r="O80" s="77"/>
      <c r="R80" s="77"/>
      <c r="V80" s="77"/>
      <c r="Y80" s="77"/>
    </row>
    <row r="81" spans="2:25" x14ac:dyDescent="0.2">
      <c r="B81" s="77"/>
      <c r="C81" s="77"/>
      <c r="D81" s="77"/>
      <c r="E81" s="77"/>
      <c r="F81" s="77"/>
      <c r="G81" s="77"/>
      <c r="H81" s="77"/>
      <c r="I81" s="77"/>
      <c r="J81" s="77"/>
      <c r="K81" s="77"/>
      <c r="L81" s="77"/>
      <c r="M81" s="77"/>
      <c r="N81" s="77"/>
      <c r="O81" s="77"/>
      <c r="R81" s="77"/>
      <c r="V81" s="77"/>
      <c r="Y81" s="77"/>
    </row>
    <row r="82" spans="2:25" x14ac:dyDescent="0.2">
      <c r="B82" s="77"/>
      <c r="C82" s="77"/>
      <c r="D82" s="77"/>
      <c r="E82" s="77"/>
      <c r="F82" s="77"/>
      <c r="G82" s="77"/>
      <c r="H82" s="77"/>
      <c r="I82" s="77"/>
      <c r="J82" s="77"/>
      <c r="K82" s="77"/>
      <c r="L82" s="77"/>
      <c r="M82" s="77"/>
      <c r="N82" s="77"/>
      <c r="O82" s="77"/>
      <c r="R82" s="77"/>
      <c r="V82" s="77"/>
      <c r="Y82" s="77"/>
    </row>
    <row r="83" spans="2:25" x14ac:dyDescent="0.2">
      <c r="B83" s="77"/>
      <c r="C83" s="77"/>
      <c r="D83" s="77"/>
      <c r="E83" s="77"/>
      <c r="F83" s="77"/>
      <c r="G83" s="77"/>
      <c r="H83" s="77"/>
      <c r="I83" s="77"/>
      <c r="J83" s="77"/>
      <c r="K83" s="77"/>
      <c r="L83" s="77"/>
      <c r="M83" s="77"/>
      <c r="N83" s="77"/>
      <c r="O83" s="77"/>
      <c r="R83" s="77"/>
      <c r="V83" s="77"/>
      <c r="Y83" s="77"/>
    </row>
    <row r="84" spans="2:25" x14ac:dyDescent="0.2">
      <c r="B84" s="77"/>
      <c r="C84" s="77"/>
      <c r="D84" s="77"/>
      <c r="E84" s="77"/>
      <c r="F84" s="77"/>
      <c r="G84" s="77"/>
      <c r="H84" s="77"/>
      <c r="I84" s="77"/>
      <c r="J84" s="77"/>
      <c r="K84" s="77"/>
      <c r="L84" s="77"/>
      <c r="M84" s="77"/>
      <c r="N84" s="77"/>
      <c r="O84" s="77"/>
      <c r="R84" s="77"/>
      <c r="V84" s="77"/>
      <c r="Y84" s="77"/>
    </row>
    <row r="85" spans="2:25" x14ac:dyDescent="0.2">
      <c r="B85" s="77"/>
      <c r="C85" s="77"/>
      <c r="D85" s="77"/>
      <c r="E85" s="77"/>
      <c r="F85" s="77"/>
      <c r="G85" s="77"/>
      <c r="H85" s="77"/>
      <c r="I85" s="77"/>
      <c r="J85" s="77"/>
      <c r="K85" s="77"/>
      <c r="L85" s="77"/>
      <c r="M85" s="77"/>
      <c r="N85" s="77"/>
      <c r="O85" s="77"/>
      <c r="R85" s="77"/>
      <c r="V85" s="77"/>
      <c r="Y85" s="77"/>
    </row>
    <row r="86" spans="2:25" x14ac:dyDescent="0.2">
      <c r="B86" s="77"/>
      <c r="C86" s="77"/>
      <c r="D86" s="77"/>
      <c r="E86" s="77"/>
      <c r="F86" s="77"/>
      <c r="G86" s="77"/>
      <c r="H86" s="77"/>
      <c r="I86" s="77"/>
      <c r="J86" s="77"/>
      <c r="K86" s="77"/>
      <c r="L86" s="77"/>
      <c r="M86" s="77"/>
      <c r="N86" s="77"/>
      <c r="O86" s="77"/>
      <c r="R86" s="77"/>
      <c r="V86" s="77"/>
      <c r="Y86" s="77"/>
    </row>
    <row r="87" spans="2:25" x14ac:dyDescent="0.2">
      <c r="B87" s="77"/>
      <c r="C87" s="77"/>
      <c r="D87" s="77"/>
      <c r="E87" s="77"/>
      <c r="F87" s="77"/>
      <c r="G87" s="77"/>
      <c r="H87" s="77"/>
      <c r="I87" s="77"/>
      <c r="J87" s="77"/>
      <c r="K87" s="77"/>
      <c r="L87" s="77"/>
      <c r="M87" s="77"/>
      <c r="N87" s="77"/>
      <c r="O87" s="77"/>
      <c r="R87" s="77"/>
      <c r="V87" s="77"/>
      <c r="Y87" s="77"/>
    </row>
    <row r="88" spans="2:25" x14ac:dyDescent="0.2">
      <c r="B88" s="77"/>
      <c r="C88" s="77"/>
      <c r="D88" s="77"/>
      <c r="E88" s="77"/>
      <c r="F88" s="77"/>
      <c r="G88" s="77"/>
      <c r="H88" s="77"/>
      <c r="I88" s="77"/>
      <c r="J88" s="77"/>
      <c r="K88" s="77"/>
      <c r="L88" s="77"/>
      <c r="M88" s="77"/>
      <c r="N88" s="77"/>
      <c r="O88" s="77"/>
      <c r="R88" s="77"/>
      <c r="V88" s="77"/>
      <c r="Y88" s="77"/>
    </row>
    <row r="89" spans="2:25" x14ac:dyDescent="0.2">
      <c r="B89" s="77"/>
      <c r="C89" s="77"/>
      <c r="D89" s="77"/>
      <c r="E89" s="77"/>
      <c r="F89" s="77"/>
      <c r="G89" s="77"/>
      <c r="H89" s="77"/>
      <c r="I89" s="77"/>
      <c r="J89" s="77"/>
      <c r="K89" s="77"/>
      <c r="L89" s="77"/>
      <c r="M89" s="77"/>
      <c r="N89" s="77"/>
      <c r="O89" s="77"/>
      <c r="R89" s="77"/>
      <c r="V89" s="77"/>
      <c r="Y89" s="77"/>
    </row>
    <row r="90" spans="2:25" x14ac:dyDescent="0.2">
      <c r="B90" s="77"/>
      <c r="C90" s="77"/>
      <c r="D90" s="77"/>
      <c r="E90" s="77"/>
      <c r="F90" s="77"/>
      <c r="G90" s="77"/>
      <c r="H90" s="77"/>
      <c r="I90" s="77"/>
      <c r="J90" s="77"/>
      <c r="K90" s="77"/>
      <c r="L90" s="77"/>
      <c r="M90" s="77"/>
      <c r="N90" s="77"/>
      <c r="O90" s="77"/>
      <c r="R90" s="77"/>
      <c r="V90" s="77"/>
      <c r="Y90" s="77"/>
    </row>
    <row r="91" spans="2:25" x14ac:dyDescent="0.2">
      <c r="B91" s="77"/>
      <c r="C91" s="77"/>
      <c r="D91" s="77"/>
      <c r="E91" s="77"/>
      <c r="F91" s="77"/>
      <c r="G91" s="77"/>
      <c r="H91" s="77"/>
      <c r="I91" s="77"/>
      <c r="J91" s="77"/>
      <c r="K91" s="77"/>
      <c r="L91" s="77"/>
      <c r="M91" s="77"/>
      <c r="N91" s="77"/>
      <c r="O91" s="77"/>
      <c r="R91" s="77"/>
      <c r="V91" s="77"/>
      <c r="Y91" s="77"/>
    </row>
    <row r="92" spans="2:25" x14ac:dyDescent="0.2">
      <c r="B92" s="77"/>
      <c r="C92" s="77"/>
      <c r="D92" s="77"/>
      <c r="E92" s="77"/>
      <c r="F92" s="77"/>
      <c r="G92" s="77"/>
      <c r="H92" s="77"/>
      <c r="I92" s="77"/>
      <c r="J92" s="77"/>
      <c r="K92" s="77"/>
      <c r="L92" s="77"/>
      <c r="M92" s="77"/>
      <c r="N92" s="77"/>
      <c r="O92" s="77"/>
      <c r="R92" s="77"/>
      <c r="V92" s="77"/>
      <c r="Y92" s="77"/>
    </row>
    <row r="93" spans="2:25" x14ac:dyDescent="0.2">
      <c r="B93" s="77"/>
      <c r="C93" s="77"/>
      <c r="D93" s="77"/>
      <c r="E93" s="77"/>
      <c r="F93" s="77"/>
      <c r="G93" s="77"/>
      <c r="H93" s="77"/>
      <c r="I93" s="77"/>
      <c r="J93" s="77"/>
      <c r="K93" s="77"/>
      <c r="L93" s="77"/>
      <c r="M93" s="77"/>
      <c r="N93" s="77"/>
      <c r="O93" s="77"/>
      <c r="R93" s="77"/>
      <c r="V93" s="77"/>
      <c r="Y93" s="77"/>
    </row>
    <row r="94" spans="2:25" x14ac:dyDescent="0.2">
      <c r="B94" s="77"/>
      <c r="C94" s="77"/>
      <c r="D94" s="77"/>
      <c r="E94" s="77"/>
      <c r="F94" s="77"/>
      <c r="G94" s="77"/>
      <c r="H94" s="77"/>
      <c r="I94" s="77"/>
      <c r="J94" s="77"/>
      <c r="K94" s="77"/>
      <c r="L94" s="77"/>
      <c r="M94" s="77"/>
      <c r="N94" s="77"/>
      <c r="O94" s="77"/>
      <c r="R94" s="77"/>
      <c r="V94" s="77"/>
      <c r="Y94" s="77"/>
    </row>
    <row r="95" spans="2:25" x14ac:dyDescent="0.2">
      <c r="B95" s="77"/>
      <c r="C95" s="77"/>
      <c r="D95" s="77"/>
      <c r="E95" s="77"/>
      <c r="F95" s="77"/>
      <c r="G95" s="77"/>
      <c r="H95" s="77"/>
      <c r="I95" s="77"/>
      <c r="J95" s="77"/>
      <c r="K95" s="77"/>
      <c r="L95" s="77"/>
      <c r="M95" s="77"/>
      <c r="N95" s="77"/>
      <c r="O95" s="77"/>
      <c r="R95" s="77"/>
      <c r="V95" s="77"/>
      <c r="Y95" s="77"/>
    </row>
    <row r="96" spans="2:25" x14ac:dyDescent="0.2">
      <c r="B96" s="77"/>
      <c r="C96" s="77"/>
      <c r="D96" s="77"/>
      <c r="E96" s="77"/>
      <c r="F96" s="77"/>
      <c r="G96" s="77"/>
      <c r="H96" s="77"/>
      <c r="I96" s="77"/>
      <c r="J96" s="77"/>
      <c r="K96" s="77"/>
      <c r="L96" s="77"/>
      <c r="M96" s="77"/>
      <c r="N96" s="77"/>
      <c r="O96" s="77"/>
      <c r="R96" s="77"/>
      <c r="V96" s="77"/>
      <c r="Y96" s="77"/>
    </row>
    <row r="97" spans="2:25" x14ac:dyDescent="0.2">
      <c r="B97" s="77"/>
      <c r="C97" s="77"/>
      <c r="D97" s="77"/>
      <c r="E97" s="77"/>
      <c r="F97" s="77"/>
      <c r="G97" s="77"/>
      <c r="H97" s="77"/>
      <c r="I97" s="77"/>
      <c r="J97" s="77"/>
      <c r="K97" s="77"/>
      <c r="L97" s="77"/>
      <c r="M97" s="77"/>
      <c r="N97" s="77"/>
      <c r="O97" s="77"/>
      <c r="R97" s="77"/>
      <c r="V97" s="77"/>
      <c r="Y97" s="77"/>
    </row>
    <row r="98" spans="2:25" x14ac:dyDescent="0.2">
      <c r="B98" s="77"/>
      <c r="C98" s="77"/>
      <c r="D98" s="77"/>
      <c r="E98" s="77"/>
      <c r="F98" s="77"/>
      <c r="G98" s="77"/>
      <c r="H98" s="77"/>
      <c r="I98" s="77"/>
      <c r="J98" s="77"/>
      <c r="K98" s="77"/>
      <c r="L98" s="77"/>
      <c r="M98" s="77"/>
      <c r="N98" s="77"/>
      <c r="O98" s="77"/>
      <c r="R98" s="77"/>
      <c r="V98" s="77"/>
      <c r="Y98" s="77"/>
    </row>
    <row r="99" spans="2:25" x14ac:dyDescent="0.2">
      <c r="B99" s="77"/>
      <c r="C99" s="77"/>
      <c r="D99" s="77"/>
      <c r="E99" s="77"/>
      <c r="F99" s="77"/>
      <c r="G99" s="77"/>
      <c r="H99" s="77"/>
      <c r="I99" s="77"/>
      <c r="J99" s="77"/>
      <c r="K99" s="77"/>
      <c r="L99" s="77"/>
      <c r="M99" s="77"/>
      <c r="N99" s="77"/>
      <c r="O99" s="77"/>
      <c r="R99" s="77"/>
      <c r="V99" s="77"/>
      <c r="Y99" s="77"/>
    </row>
    <row r="100" spans="2:25" x14ac:dyDescent="0.2">
      <c r="B100" s="77"/>
      <c r="C100" s="77"/>
      <c r="D100" s="77"/>
      <c r="E100" s="77"/>
      <c r="F100" s="77"/>
      <c r="G100" s="77"/>
      <c r="H100" s="77"/>
      <c r="I100" s="77"/>
      <c r="J100" s="77"/>
      <c r="K100" s="77"/>
      <c r="L100" s="77"/>
      <c r="M100" s="77"/>
      <c r="N100" s="77"/>
      <c r="O100" s="77"/>
      <c r="R100" s="77"/>
      <c r="V100" s="77"/>
      <c r="Y100" s="77"/>
    </row>
    <row r="101" spans="2:25" x14ac:dyDescent="0.2">
      <c r="B101" s="77"/>
      <c r="C101" s="77"/>
      <c r="D101" s="77"/>
      <c r="E101" s="77"/>
      <c r="F101" s="77"/>
      <c r="G101" s="77"/>
      <c r="H101" s="77"/>
      <c r="I101" s="77"/>
      <c r="J101" s="77"/>
      <c r="K101" s="77"/>
      <c r="L101" s="77"/>
      <c r="M101" s="77"/>
      <c r="N101" s="77"/>
      <c r="O101" s="77"/>
      <c r="R101" s="77"/>
      <c r="V101" s="77"/>
      <c r="Y101" s="77"/>
    </row>
    <row r="102" spans="2:25" x14ac:dyDescent="0.2">
      <c r="B102" s="77"/>
      <c r="C102" s="77"/>
      <c r="D102" s="77"/>
      <c r="E102" s="77"/>
      <c r="F102" s="77"/>
      <c r="G102" s="77"/>
      <c r="H102" s="77"/>
      <c r="I102" s="77"/>
      <c r="J102" s="77"/>
      <c r="K102" s="77"/>
      <c r="L102" s="77"/>
      <c r="M102" s="77"/>
      <c r="N102" s="77"/>
      <c r="O102" s="77"/>
      <c r="R102" s="77"/>
      <c r="V102" s="77"/>
      <c r="Y102" s="77"/>
    </row>
    <row r="103" spans="2:25" x14ac:dyDescent="0.2">
      <c r="B103" s="77"/>
      <c r="C103" s="77"/>
      <c r="D103" s="77"/>
      <c r="E103" s="77"/>
      <c r="F103" s="77"/>
      <c r="G103" s="77"/>
      <c r="H103" s="77"/>
      <c r="I103" s="77"/>
      <c r="J103" s="77"/>
      <c r="K103" s="77"/>
      <c r="L103" s="77"/>
      <c r="M103" s="77"/>
      <c r="N103" s="77"/>
      <c r="O103" s="77"/>
      <c r="R103" s="77"/>
      <c r="V103" s="77"/>
      <c r="Y103" s="77"/>
    </row>
    <row r="104" spans="2:25" x14ac:dyDescent="0.2">
      <c r="B104" s="77"/>
      <c r="C104" s="77"/>
      <c r="D104" s="77"/>
      <c r="E104" s="77"/>
      <c r="F104" s="77"/>
      <c r="G104" s="77"/>
      <c r="H104" s="77"/>
      <c r="I104" s="77"/>
      <c r="J104" s="77"/>
      <c r="K104" s="77"/>
      <c r="L104" s="77"/>
      <c r="M104" s="77"/>
      <c r="N104" s="77"/>
      <c r="O104" s="77"/>
      <c r="R104" s="77"/>
      <c r="V104" s="77"/>
      <c r="Y104" s="77"/>
    </row>
    <row r="105" spans="2:25" x14ac:dyDescent="0.2">
      <c r="B105" s="77"/>
      <c r="C105" s="77"/>
      <c r="D105" s="77"/>
      <c r="E105" s="77"/>
      <c r="F105" s="77"/>
      <c r="G105" s="77"/>
      <c r="H105" s="77"/>
      <c r="I105" s="77"/>
      <c r="J105" s="77"/>
      <c r="K105" s="77"/>
      <c r="L105" s="77"/>
      <c r="M105" s="77"/>
      <c r="N105" s="77"/>
      <c r="O105" s="77"/>
      <c r="R105" s="77"/>
      <c r="V105" s="77"/>
      <c r="Y105" s="77"/>
    </row>
    <row r="106" spans="2:25" x14ac:dyDescent="0.2">
      <c r="B106" s="77"/>
      <c r="C106" s="77"/>
      <c r="D106" s="77"/>
      <c r="E106" s="77"/>
      <c r="F106" s="77"/>
      <c r="G106" s="77"/>
      <c r="H106" s="77"/>
      <c r="I106" s="77"/>
      <c r="J106" s="77"/>
      <c r="K106" s="77"/>
      <c r="L106" s="77"/>
      <c r="M106" s="77"/>
      <c r="N106" s="77"/>
      <c r="O106" s="77"/>
      <c r="R106" s="77"/>
      <c r="V106" s="77"/>
      <c r="Y106" s="77"/>
    </row>
    <row r="107" spans="2:25" x14ac:dyDescent="0.2">
      <c r="B107" s="77"/>
      <c r="C107" s="77"/>
      <c r="D107" s="77"/>
      <c r="E107" s="77"/>
      <c r="F107" s="77"/>
      <c r="G107" s="77"/>
      <c r="H107" s="77"/>
      <c r="I107" s="77"/>
      <c r="J107" s="77"/>
      <c r="K107" s="77"/>
      <c r="L107" s="77"/>
      <c r="M107" s="77"/>
      <c r="N107" s="77"/>
      <c r="O107" s="77"/>
      <c r="R107" s="77"/>
      <c r="V107" s="77"/>
      <c r="Y107" s="77"/>
    </row>
    <row r="108" spans="2:25" x14ac:dyDescent="0.2">
      <c r="B108" s="77"/>
      <c r="C108" s="77"/>
      <c r="D108" s="77"/>
      <c r="E108" s="77"/>
      <c r="F108" s="77"/>
      <c r="G108" s="77"/>
      <c r="H108" s="77"/>
      <c r="I108" s="77"/>
      <c r="J108" s="77"/>
      <c r="K108" s="77"/>
      <c r="L108" s="77"/>
      <c r="M108" s="77"/>
      <c r="N108" s="77"/>
      <c r="O108" s="77"/>
      <c r="R108" s="77"/>
      <c r="V108" s="77"/>
      <c r="Y108" s="77"/>
    </row>
    <row r="109" spans="2:25" x14ac:dyDescent="0.2">
      <c r="B109" s="77"/>
      <c r="C109" s="77"/>
      <c r="D109" s="77"/>
      <c r="E109" s="77"/>
      <c r="F109" s="77"/>
      <c r="G109" s="77"/>
      <c r="H109" s="77"/>
      <c r="I109" s="77"/>
      <c r="J109" s="77"/>
      <c r="K109" s="77"/>
      <c r="L109" s="77"/>
      <c r="M109" s="77"/>
      <c r="N109" s="77"/>
      <c r="O109" s="77"/>
      <c r="R109" s="77"/>
      <c r="V109" s="77"/>
      <c r="Y109" s="77"/>
    </row>
    <row r="110" spans="2:25" x14ac:dyDescent="0.2">
      <c r="B110" s="77"/>
      <c r="C110" s="77"/>
      <c r="D110" s="77"/>
      <c r="E110" s="77"/>
      <c r="F110" s="77"/>
      <c r="G110" s="77"/>
      <c r="H110" s="77"/>
      <c r="I110" s="77"/>
      <c r="J110" s="77"/>
      <c r="K110" s="77"/>
      <c r="L110" s="77"/>
      <c r="M110" s="77"/>
      <c r="N110" s="77"/>
      <c r="O110" s="77"/>
      <c r="R110" s="77"/>
      <c r="V110" s="77"/>
      <c r="Y110" s="77"/>
    </row>
    <row r="111" spans="2:25" x14ac:dyDescent="0.2">
      <c r="B111" s="77"/>
      <c r="C111" s="77"/>
      <c r="D111" s="77"/>
      <c r="E111" s="77"/>
      <c r="F111" s="77"/>
      <c r="G111" s="77"/>
      <c r="H111" s="77"/>
      <c r="I111" s="77"/>
      <c r="J111" s="77"/>
      <c r="K111" s="77"/>
      <c r="L111" s="77"/>
      <c r="M111" s="77"/>
      <c r="N111" s="77"/>
      <c r="O111" s="77"/>
      <c r="R111" s="77"/>
      <c r="V111" s="77"/>
      <c r="Y111" s="77"/>
    </row>
    <row r="112" spans="2:25" x14ac:dyDescent="0.2">
      <c r="B112" s="77"/>
      <c r="C112" s="77"/>
      <c r="D112" s="77"/>
      <c r="E112" s="77"/>
      <c r="F112" s="77"/>
      <c r="G112" s="77"/>
      <c r="H112" s="77"/>
      <c r="I112" s="77"/>
      <c r="J112" s="77"/>
      <c r="K112" s="77"/>
      <c r="L112" s="77"/>
      <c r="M112" s="77"/>
      <c r="N112" s="77"/>
      <c r="O112" s="77"/>
      <c r="R112" s="77"/>
      <c r="V112" s="77"/>
      <c r="Y112" s="77"/>
    </row>
    <row r="113" spans="2:25" x14ac:dyDescent="0.2">
      <c r="B113" s="77"/>
      <c r="C113" s="77"/>
      <c r="D113" s="77"/>
      <c r="E113" s="77"/>
      <c r="F113" s="77"/>
      <c r="G113" s="77"/>
      <c r="H113" s="77"/>
      <c r="I113" s="77"/>
      <c r="J113" s="77"/>
      <c r="K113" s="77"/>
      <c r="L113" s="77"/>
      <c r="M113" s="77"/>
      <c r="N113" s="77"/>
      <c r="O113" s="77"/>
      <c r="R113" s="77"/>
      <c r="V113" s="77"/>
      <c r="Y113" s="77"/>
    </row>
    <row r="114" spans="2:25" x14ac:dyDescent="0.2">
      <c r="B114" s="77"/>
      <c r="C114" s="77"/>
      <c r="D114" s="77"/>
      <c r="E114" s="77"/>
      <c r="F114" s="77"/>
      <c r="G114" s="77"/>
      <c r="H114" s="77"/>
      <c r="I114" s="77"/>
      <c r="J114" s="77"/>
      <c r="K114" s="77"/>
      <c r="L114" s="77"/>
      <c r="M114" s="77"/>
      <c r="N114" s="77"/>
      <c r="O114" s="77"/>
      <c r="R114" s="77"/>
      <c r="V114" s="77"/>
      <c r="Y114" s="77"/>
    </row>
    <row r="115" spans="2:25" x14ac:dyDescent="0.2">
      <c r="B115" s="77"/>
      <c r="C115" s="77"/>
      <c r="D115" s="77"/>
      <c r="E115" s="77"/>
      <c r="F115" s="77"/>
      <c r="G115" s="77"/>
      <c r="H115" s="77"/>
      <c r="I115" s="77"/>
      <c r="J115" s="77"/>
      <c r="K115" s="77"/>
      <c r="L115" s="77"/>
      <c r="M115" s="77"/>
      <c r="N115" s="77"/>
      <c r="O115" s="77"/>
      <c r="R115" s="77"/>
      <c r="V115" s="77"/>
      <c r="Y115" s="77"/>
    </row>
    <row r="116" spans="2:25" x14ac:dyDescent="0.2">
      <c r="B116" s="77"/>
      <c r="C116" s="77"/>
      <c r="D116" s="77"/>
      <c r="E116" s="77"/>
      <c r="F116" s="77"/>
      <c r="G116" s="77"/>
      <c r="H116" s="77"/>
      <c r="I116" s="77"/>
      <c r="J116" s="77"/>
      <c r="K116" s="77"/>
      <c r="L116" s="77"/>
      <c r="M116" s="77"/>
      <c r="N116" s="77"/>
      <c r="O116" s="77"/>
      <c r="R116" s="77"/>
      <c r="V116" s="77"/>
      <c r="Y116" s="77"/>
    </row>
    <row r="117" spans="2:25" x14ac:dyDescent="0.2">
      <c r="B117" s="77"/>
      <c r="C117" s="77"/>
      <c r="D117" s="77"/>
      <c r="E117" s="77"/>
      <c r="F117" s="77"/>
      <c r="G117" s="77"/>
      <c r="H117" s="77"/>
      <c r="I117" s="77"/>
      <c r="J117" s="77"/>
      <c r="K117" s="77"/>
      <c r="L117" s="77"/>
      <c r="M117" s="77"/>
      <c r="N117" s="77"/>
      <c r="O117" s="77"/>
      <c r="R117" s="77"/>
      <c r="V117" s="77"/>
      <c r="Y117" s="77"/>
    </row>
    <row r="118" spans="2:25" x14ac:dyDescent="0.2">
      <c r="B118" s="77"/>
      <c r="C118" s="77"/>
      <c r="D118" s="77"/>
      <c r="E118" s="77"/>
      <c r="F118" s="77"/>
      <c r="G118" s="77"/>
      <c r="H118" s="77"/>
      <c r="I118" s="77"/>
      <c r="J118" s="77"/>
      <c r="K118" s="77"/>
      <c r="L118" s="77"/>
      <c r="M118" s="77"/>
      <c r="N118" s="77"/>
      <c r="O118" s="77"/>
      <c r="R118" s="77"/>
      <c r="V118" s="77"/>
      <c r="Y118" s="77"/>
    </row>
    <row r="119" spans="2:25" x14ac:dyDescent="0.2">
      <c r="B119" s="77"/>
      <c r="C119" s="77"/>
      <c r="D119" s="77"/>
      <c r="E119" s="77"/>
      <c r="F119" s="77"/>
      <c r="G119" s="77"/>
      <c r="H119" s="77"/>
      <c r="I119" s="77"/>
      <c r="J119" s="77"/>
      <c r="K119" s="77"/>
      <c r="L119" s="77"/>
      <c r="M119" s="77"/>
      <c r="N119" s="77"/>
      <c r="O119" s="77"/>
      <c r="R119" s="77"/>
      <c r="V119" s="77"/>
      <c r="Y119" s="77"/>
    </row>
    <row r="120" spans="2:25" x14ac:dyDescent="0.2">
      <c r="B120" s="77"/>
      <c r="C120" s="77"/>
      <c r="D120" s="77"/>
      <c r="E120" s="77"/>
      <c r="F120" s="77"/>
      <c r="G120" s="77"/>
      <c r="H120" s="77"/>
      <c r="I120" s="77"/>
      <c r="J120" s="77"/>
      <c r="K120" s="77"/>
      <c r="L120" s="77"/>
      <c r="M120" s="77"/>
      <c r="N120" s="77"/>
      <c r="O120" s="77"/>
      <c r="R120" s="77"/>
      <c r="V120" s="77"/>
      <c r="Y120" s="77"/>
    </row>
    <row r="121" spans="2:25" x14ac:dyDescent="0.2">
      <c r="B121" s="77"/>
      <c r="C121" s="77"/>
      <c r="D121" s="77"/>
      <c r="E121" s="77"/>
      <c r="F121" s="77"/>
      <c r="G121" s="77"/>
      <c r="H121" s="77"/>
      <c r="I121" s="77"/>
      <c r="J121" s="77"/>
      <c r="K121" s="77"/>
      <c r="L121" s="77"/>
      <c r="M121" s="77"/>
      <c r="N121" s="77"/>
      <c r="O121" s="77"/>
      <c r="R121" s="77"/>
      <c r="V121" s="77"/>
      <c r="Y121" s="77"/>
    </row>
    <row r="122" spans="2:25" x14ac:dyDescent="0.2">
      <c r="B122" s="77"/>
      <c r="C122" s="77"/>
      <c r="D122" s="77"/>
      <c r="E122" s="77"/>
      <c r="F122" s="77"/>
      <c r="G122" s="77"/>
      <c r="H122" s="77"/>
      <c r="I122" s="77"/>
      <c r="J122" s="77"/>
      <c r="K122" s="77"/>
      <c r="L122" s="77"/>
      <c r="M122" s="77"/>
      <c r="N122" s="77"/>
      <c r="O122" s="77"/>
      <c r="R122" s="77"/>
      <c r="V122" s="77"/>
      <c r="Y122" s="77"/>
    </row>
    <row r="123" spans="2:25" x14ac:dyDescent="0.2">
      <c r="B123" s="77"/>
      <c r="C123" s="77"/>
      <c r="D123" s="77"/>
      <c r="E123" s="77"/>
      <c r="F123" s="77"/>
      <c r="G123" s="77"/>
      <c r="H123" s="77"/>
      <c r="I123" s="77"/>
      <c r="J123" s="77"/>
      <c r="K123" s="77"/>
      <c r="L123" s="77"/>
      <c r="M123" s="77"/>
      <c r="N123" s="77"/>
      <c r="O123" s="77"/>
      <c r="R123" s="77"/>
      <c r="V123" s="77"/>
      <c r="Y123" s="77"/>
    </row>
    <row r="124" spans="2:25" x14ac:dyDescent="0.2">
      <c r="B124" s="77"/>
      <c r="C124" s="77"/>
      <c r="D124" s="77"/>
      <c r="E124" s="77"/>
      <c r="F124" s="77"/>
      <c r="G124" s="77"/>
      <c r="H124" s="77"/>
      <c r="I124" s="77"/>
      <c r="J124" s="77"/>
      <c r="K124" s="77"/>
      <c r="L124" s="77"/>
      <c r="M124" s="77"/>
      <c r="N124" s="77"/>
      <c r="O124" s="77"/>
      <c r="R124" s="77"/>
      <c r="V124" s="77"/>
      <c r="Y124" s="77"/>
    </row>
    <row r="125" spans="2:25" x14ac:dyDescent="0.2">
      <c r="B125" s="77"/>
      <c r="C125" s="77"/>
      <c r="D125" s="77"/>
      <c r="E125" s="77"/>
      <c r="F125" s="77"/>
      <c r="G125" s="77"/>
      <c r="H125" s="77"/>
      <c r="I125" s="77"/>
      <c r="J125" s="77"/>
      <c r="K125" s="77"/>
      <c r="L125" s="77"/>
      <c r="M125" s="77"/>
      <c r="N125" s="77"/>
      <c r="O125" s="77"/>
      <c r="R125" s="77"/>
      <c r="V125" s="77"/>
      <c r="Y125" s="77"/>
    </row>
    <row r="126" spans="2:25" x14ac:dyDescent="0.2">
      <c r="B126" s="77"/>
      <c r="C126" s="77"/>
      <c r="D126" s="77"/>
      <c r="E126" s="77"/>
      <c r="F126" s="77"/>
      <c r="G126" s="77"/>
      <c r="H126" s="77"/>
      <c r="I126" s="77"/>
      <c r="J126" s="77"/>
      <c r="K126" s="77"/>
      <c r="L126" s="77"/>
      <c r="M126" s="77"/>
      <c r="N126" s="77"/>
      <c r="O126" s="77"/>
      <c r="R126" s="77"/>
      <c r="V126" s="77"/>
      <c r="Y126" s="77"/>
    </row>
    <row r="127" spans="2:25" x14ac:dyDescent="0.2">
      <c r="B127" s="77"/>
      <c r="C127" s="77"/>
      <c r="D127" s="77"/>
      <c r="E127" s="77"/>
      <c r="F127" s="77"/>
      <c r="G127" s="77"/>
      <c r="H127" s="77"/>
      <c r="I127" s="77"/>
      <c r="J127" s="77"/>
      <c r="K127" s="77"/>
      <c r="L127" s="77"/>
      <c r="M127" s="77"/>
      <c r="N127" s="77"/>
      <c r="O127" s="77"/>
      <c r="R127" s="77"/>
      <c r="V127" s="77"/>
      <c r="Y127" s="77"/>
    </row>
    <row r="128" spans="2:25" x14ac:dyDescent="0.2">
      <c r="B128" s="77"/>
      <c r="C128" s="77"/>
      <c r="D128" s="77"/>
      <c r="E128" s="77"/>
      <c r="F128" s="77"/>
      <c r="G128" s="77"/>
      <c r="H128" s="77"/>
      <c r="I128" s="77"/>
      <c r="J128" s="77"/>
      <c r="K128" s="77"/>
      <c r="L128" s="77"/>
      <c r="M128" s="77"/>
      <c r="N128" s="77"/>
      <c r="O128" s="77"/>
      <c r="R128" s="77"/>
      <c r="V128" s="77"/>
      <c r="Y128" s="77"/>
    </row>
    <row r="129" spans="2:25" x14ac:dyDescent="0.2">
      <c r="B129" s="77"/>
      <c r="C129" s="77"/>
      <c r="D129" s="77"/>
      <c r="E129" s="77"/>
      <c r="F129" s="77"/>
      <c r="G129" s="77"/>
      <c r="H129" s="77"/>
      <c r="I129" s="77"/>
      <c r="J129" s="77"/>
      <c r="K129" s="77"/>
      <c r="L129" s="77"/>
      <c r="M129" s="77"/>
      <c r="N129" s="77"/>
      <c r="O129" s="77"/>
      <c r="R129" s="77"/>
      <c r="V129" s="77"/>
      <c r="Y129" s="77"/>
    </row>
    <row r="130" spans="2:25" x14ac:dyDescent="0.2">
      <c r="B130" s="77"/>
      <c r="C130" s="77"/>
      <c r="D130" s="77"/>
      <c r="E130" s="77"/>
      <c r="F130" s="77"/>
      <c r="G130" s="77"/>
      <c r="H130" s="77"/>
      <c r="I130" s="77"/>
      <c r="J130" s="77"/>
      <c r="K130" s="77"/>
      <c r="L130" s="77"/>
      <c r="M130" s="77"/>
      <c r="N130" s="77"/>
      <c r="O130" s="77"/>
      <c r="R130" s="77"/>
      <c r="V130" s="77"/>
      <c r="Y130" s="77"/>
    </row>
    <row r="131" spans="2:25" x14ac:dyDescent="0.2">
      <c r="B131" s="77"/>
      <c r="C131" s="77"/>
      <c r="D131" s="77"/>
      <c r="E131" s="77"/>
      <c r="F131" s="77"/>
      <c r="G131" s="77"/>
      <c r="H131" s="77"/>
      <c r="I131" s="77"/>
      <c r="J131" s="77"/>
      <c r="K131" s="77"/>
      <c r="L131" s="77"/>
      <c r="M131" s="77"/>
      <c r="N131" s="77"/>
      <c r="O131" s="77"/>
      <c r="R131" s="77"/>
      <c r="V131" s="77"/>
      <c r="Y131" s="77"/>
    </row>
    <row r="132" spans="2:25" x14ac:dyDescent="0.2">
      <c r="B132" s="77"/>
      <c r="C132" s="77"/>
      <c r="D132" s="77"/>
      <c r="E132" s="77"/>
      <c r="F132" s="77"/>
      <c r="G132" s="77"/>
      <c r="H132" s="77"/>
      <c r="I132" s="77"/>
      <c r="J132" s="77"/>
      <c r="K132" s="77"/>
      <c r="L132" s="77"/>
      <c r="M132" s="77"/>
      <c r="N132" s="77"/>
      <c r="O132" s="77"/>
      <c r="R132" s="77"/>
      <c r="V132" s="77"/>
      <c r="Y132" s="77"/>
    </row>
    <row r="133" spans="2:25" x14ac:dyDescent="0.2">
      <c r="B133" s="77"/>
      <c r="C133" s="77"/>
      <c r="D133" s="77"/>
      <c r="E133" s="77"/>
      <c r="F133" s="77"/>
      <c r="G133" s="77"/>
      <c r="H133" s="77"/>
      <c r="I133" s="77"/>
      <c r="J133" s="77"/>
      <c r="K133" s="77"/>
      <c r="L133" s="77"/>
      <c r="M133" s="77"/>
      <c r="N133" s="77"/>
      <c r="O133" s="77"/>
      <c r="R133" s="77"/>
      <c r="V133" s="77"/>
      <c r="Y133" s="77"/>
    </row>
    <row r="134" spans="2:25" x14ac:dyDescent="0.2">
      <c r="B134" s="77"/>
      <c r="C134" s="77"/>
      <c r="D134" s="77"/>
      <c r="E134" s="77"/>
      <c r="F134" s="77"/>
      <c r="G134" s="77"/>
      <c r="H134" s="77"/>
      <c r="I134" s="77"/>
      <c r="J134" s="77"/>
      <c r="K134" s="77"/>
      <c r="L134" s="77"/>
      <c r="M134" s="77"/>
      <c r="N134" s="77"/>
      <c r="O134" s="77"/>
      <c r="R134" s="77"/>
      <c r="V134" s="77"/>
      <c r="Y134" s="77"/>
    </row>
    <row r="135" spans="2:25" x14ac:dyDescent="0.2">
      <c r="B135" s="77"/>
      <c r="C135" s="77"/>
      <c r="D135" s="77"/>
      <c r="E135" s="77"/>
      <c r="F135" s="77"/>
      <c r="G135" s="77"/>
      <c r="H135" s="77"/>
      <c r="I135" s="77"/>
      <c r="J135" s="77"/>
      <c r="K135" s="77"/>
      <c r="L135" s="77"/>
      <c r="M135" s="77"/>
      <c r="N135" s="77"/>
      <c r="O135" s="77"/>
      <c r="R135" s="77"/>
      <c r="V135" s="77"/>
      <c r="Y135" s="77"/>
    </row>
    <row r="136" spans="2:25" x14ac:dyDescent="0.2">
      <c r="B136" s="77"/>
      <c r="C136" s="77"/>
      <c r="D136" s="77"/>
      <c r="E136" s="77"/>
      <c r="F136" s="77"/>
      <c r="G136" s="77"/>
      <c r="H136" s="77"/>
      <c r="I136" s="77"/>
      <c r="J136" s="77"/>
      <c r="K136" s="77"/>
      <c r="L136" s="77"/>
      <c r="M136" s="77"/>
      <c r="N136" s="77"/>
      <c r="O136" s="77"/>
      <c r="R136" s="77"/>
      <c r="V136" s="77"/>
      <c r="Y136" s="77"/>
    </row>
    <row r="137" spans="2:25" x14ac:dyDescent="0.2">
      <c r="B137" s="77"/>
      <c r="C137" s="77"/>
      <c r="D137" s="77"/>
      <c r="E137" s="77"/>
      <c r="F137" s="77"/>
      <c r="G137" s="77"/>
      <c r="H137" s="77"/>
      <c r="I137" s="77"/>
      <c r="J137" s="77"/>
      <c r="K137" s="77"/>
      <c r="L137" s="77"/>
      <c r="M137" s="77"/>
      <c r="N137" s="77"/>
      <c r="O137" s="77"/>
      <c r="R137" s="77"/>
      <c r="V137" s="77"/>
      <c r="Y137" s="77"/>
    </row>
    <row r="138" spans="2:25" x14ac:dyDescent="0.2">
      <c r="B138" s="77"/>
      <c r="C138" s="77"/>
      <c r="D138" s="77"/>
      <c r="E138" s="77"/>
      <c r="F138" s="77"/>
      <c r="G138" s="77"/>
      <c r="H138" s="77"/>
      <c r="I138" s="77"/>
      <c r="J138" s="77"/>
      <c r="K138" s="77"/>
      <c r="L138" s="77"/>
      <c r="M138" s="77"/>
      <c r="N138" s="77"/>
      <c r="O138" s="77"/>
      <c r="R138" s="77"/>
      <c r="V138" s="77"/>
      <c r="Y138" s="77"/>
    </row>
    <row r="139" spans="2:25" x14ac:dyDescent="0.2">
      <c r="B139" s="77"/>
      <c r="C139" s="77"/>
      <c r="D139" s="77"/>
      <c r="E139" s="77"/>
      <c r="F139" s="77"/>
      <c r="G139" s="77"/>
      <c r="H139" s="77"/>
      <c r="I139" s="77"/>
      <c r="J139" s="77"/>
      <c r="K139" s="77"/>
      <c r="L139" s="77"/>
      <c r="M139" s="77"/>
      <c r="N139" s="77"/>
      <c r="O139" s="77"/>
      <c r="R139" s="77"/>
      <c r="V139" s="77"/>
      <c r="Y139" s="77"/>
    </row>
    <row r="140" spans="2:25" x14ac:dyDescent="0.2">
      <c r="B140" s="77"/>
      <c r="C140" s="77"/>
      <c r="D140" s="77"/>
      <c r="E140" s="77"/>
      <c r="F140" s="77"/>
      <c r="G140" s="77"/>
      <c r="H140" s="77"/>
      <c r="I140" s="77"/>
      <c r="J140" s="77"/>
      <c r="K140" s="77"/>
      <c r="L140" s="77"/>
      <c r="M140" s="77"/>
      <c r="N140" s="77"/>
      <c r="O140" s="77"/>
      <c r="R140" s="77"/>
      <c r="V140" s="77"/>
      <c r="Y140" s="77"/>
    </row>
    <row r="141" spans="2:25" x14ac:dyDescent="0.2">
      <c r="B141" s="77"/>
      <c r="C141" s="77"/>
      <c r="D141" s="77"/>
      <c r="E141" s="77"/>
      <c r="F141" s="77"/>
      <c r="G141" s="77"/>
      <c r="H141" s="77"/>
      <c r="I141" s="77"/>
      <c r="J141" s="77"/>
      <c r="K141" s="77"/>
      <c r="L141" s="77"/>
      <c r="M141" s="77"/>
      <c r="N141" s="77"/>
      <c r="O141" s="77"/>
      <c r="R141" s="77"/>
      <c r="V141" s="77"/>
      <c r="Y141" s="77"/>
    </row>
    <row r="142" spans="2:25" x14ac:dyDescent="0.2">
      <c r="B142" s="77"/>
      <c r="C142" s="77"/>
      <c r="D142" s="77"/>
      <c r="E142" s="77"/>
      <c r="F142" s="77"/>
      <c r="G142" s="77"/>
      <c r="H142" s="77"/>
      <c r="I142" s="77"/>
      <c r="J142" s="77"/>
      <c r="K142" s="77"/>
      <c r="L142" s="77"/>
      <c r="M142" s="77"/>
      <c r="N142" s="77"/>
      <c r="O142" s="77"/>
      <c r="R142" s="77"/>
      <c r="V142" s="77"/>
      <c r="Y142" s="77"/>
    </row>
    <row r="143" spans="2:25" x14ac:dyDescent="0.2">
      <c r="B143" s="77"/>
      <c r="C143" s="77"/>
      <c r="D143" s="77"/>
      <c r="E143" s="77"/>
      <c r="F143" s="77"/>
      <c r="G143" s="77"/>
      <c r="H143" s="77"/>
      <c r="I143" s="77"/>
      <c r="J143" s="77"/>
      <c r="K143" s="77"/>
      <c r="L143" s="77"/>
      <c r="M143" s="77"/>
      <c r="N143" s="77"/>
      <c r="O143" s="77"/>
      <c r="R143" s="77"/>
      <c r="V143" s="77"/>
      <c r="Y143" s="77"/>
    </row>
    <row r="144" spans="2:25" x14ac:dyDescent="0.2">
      <c r="B144" s="77"/>
      <c r="C144" s="77"/>
      <c r="D144" s="77"/>
      <c r="E144" s="77"/>
      <c r="F144" s="77"/>
      <c r="G144" s="77"/>
      <c r="H144" s="77"/>
      <c r="I144" s="77"/>
      <c r="J144" s="77"/>
      <c r="K144" s="77"/>
      <c r="L144" s="77"/>
      <c r="M144" s="77"/>
      <c r="N144" s="77"/>
      <c r="O144" s="77"/>
      <c r="R144" s="77"/>
      <c r="V144" s="77"/>
      <c r="Y144" s="77"/>
    </row>
    <row r="145" spans="2:25" x14ac:dyDescent="0.2">
      <c r="B145" s="77"/>
      <c r="C145" s="77"/>
      <c r="D145" s="77"/>
      <c r="E145" s="77"/>
      <c r="F145" s="77"/>
      <c r="G145" s="77"/>
      <c r="H145" s="77"/>
      <c r="I145" s="77"/>
      <c r="J145" s="77"/>
      <c r="K145" s="77"/>
      <c r="L145" s="77"/>
      <c r="M145" s="77"/>
      <c r="N145" s="77"/>
      <c r="O145" s="77"/>
      <c r="R145" s="77"/>
      <c r="V145" s="77"/>
      <c r="Y145" s="77"/>
    </row>
    <row r="146" spans="2:25" x14ac:dyDescent="0.2">
      <c r="B146" s="77"/>
      <c r="C146" s="77"/>
      <c r="D146" s="77"/>
      <c r="E146" s="77"/>
      <c r="F146" s="77"/>
      <c r="G146" s="77"/>
      <c r="H146" s="77"/>
      <c r="I146" s="77"/>
      <c r="J146" s="77"/>
      <c r="K146" s="77"/>
      <c r="L146" s="77"/>
      <c r="M146" s="77"/>
      <c r="N146" s="77"/>
      <c r="O146" s="77"/>
      <c r="R146" s="77"/>
      <c r="V146" s="77"/>
      <c r="Y146" s="77"/>
    </row>
    <row r="147" spans="2:25" x14ac:dyDescent="0.2">
      <c r="B147" s="77"/>
      <c r="C147" s="77"/>
      <c r="D147" s="77"/>
      <c r="E147" s="77"/>
      <c r="F147" s="77"/>
      <c r="G147" s="77"/>
      <c r="H147" s="77"/>
      <c r="I147" s="77"/>
      <c r="J147" s="77"/>
      <c r="K147" s="77"/>
      <c r="L147" s="77"/>
      <c r="M147" s="77"/>
      <c r="N147" s="77"/>
      <c r="O147" s="77"/>
      <c r="R147" s="77"/>
      <c r="V147" s="77"/>
      <c r="Y147" s="77"/>
    </row>
    <row r="148" spans="2:25" x14ac:dyDescent="0.2">
      <c r="B148" s="77"/>
      <c r="C148" s="77"/>
      <c r="D148" s="77"/>
      <c r="E148" s="77"/>
      <c r="F148" s="77"/>
      <c r="G148" s="77"/>
      <c r="H148" s="77"/>
      <c r="I148" s="77"/>
      <c r="J148" s="77"/>
      <c r="K148" s="77"/>
      <c r="L148" s="77"/>
      <c r="M148" s="77"/>
      <c r="N148" s="77"/>
      <c r="O148" s="77"/>
      <c r="R148" s="77"/>
      <c r="V148" s="77"/>
      <c r="Y148" s="77"/>
    </row>
    <row r="149" spans="2:25" x14ac:dyDescent="0.2">
      <c r="B149" s="77"/>
      <c r="C149" s="77"/>
      <c r="D149" s="77"/>
      <c r="E149" s="77"/>
      <c r="F149" s="77"/>
      <c r="G149" s="77"/>
      <c r="H149" s="77"/>
      <c r="I149" s="77"/>
      <c r="J149" s="77"/>
      <c r="K149" s="77"/>
      <c r="L149" s="77"/>
      <c r="M149" s="77"/>
      <c r="N149" s="77"/>
      <c r="O149" s="77"/>
      <c r="R149" s="77"/>
      <c r="V149" s="77"/>
      <c r="Y149" s="77"/>
    </row>
    <row r="150" spans="2:25" x14ac:dyDescent="0.2">
      <c r="B150" s="77"/>
      <c r="C150" s="77"/>
      <c r="D150" s="77"/>
      <c r="E150" s="77"/>
      <c r="F150" s="77"/>
      <c r="G150" s="77"/>
      <c r="H150" s="77"/>
      <c r="I150" s="77"/>
      <c r="J150" s="77"/>
      <c r="K150" s="77"/>
      <c r="L150" s="77"/>
      <c r="M150" s="77"/>
      <c r="N150" s="77"/>
      <c r="O150" s="77"/>
      <c r="R150" s="77"/>
      <c r="V150" s="77"/>
      <c r="Y150" s="77"/>
    </row>
    <row r="151" spans="2:25" x14ac:dyDescent="0.2">
      <c r="B151" s="77"/>
      <c r="C151" s="77"/>
      <c r="D151" s="77"/>
      <c r="E151" s="77"/>
      <c r="F151" s="77"/>
      <c r="G151" s="77"/>
      <c r="H151" s="77"/>
      <c r="I151" s="77"/>
      <c r="J151" s="77"/>
      <c r="K151" s="77"/>
      <c r="L151" s="77"/>
      <c r="M151" s="77"/>
      <c r="N151" s="77"/>
      <c r="O151" s="77"/>
      <c r="R151" s="77"/>
      <c r="V151" s="77"/>
      <c r="Y151" s="77"/>
    </row>
    <row r="152" spans="2:25" x14ac:dyDescent="0.2">
      <c r="B152" s="77"/>
      <c r="C152" s="77"/>
      <c r="D152" s="77"/>
      <c r="E152" s="77"/>
      <c r="F152" s="77"/>
      <c r="G152" s="77"/>
      <c r="H152" s="77"/>
      <c r="I152" s="77"/>
      <c r="J152" s="77"/>
      <c r="K152" s="77"/>
      <c r="L152" s="77"/>
      <c r="M152" s="77"/>
      <c r="N152" s="77"/>
      <c r="O152" s="77"/>
      <c r="R152" s="77"/>
      <c r="V152" s="77"/>
      <c r="Y152" s="77"/>
    </row>
    <row r="153" spans="2:25" x14ac:dyDescent="0.2">
      <c r="B153" s="77"/>
      <c r="C153" s="77"/>
      <c r="D153" s="77"/>
      <c r="E153" s="77"/>
      <c r="F153" s="77"/>
      <c r="G153" s="77"/>
      <c r="H153" s="77"/>
      <c r="I153" s="77"/>
      <c r="J153" s="77"/>
      <c r="K153" s="77"/>
      <c r="L153" s="77"/>
      <c r="M153" s="77"/>
      <c r="N153" s="77"/>
      <c r="O153" s="77"/>
      <c r="R153" s="77"/>
      <c r="V153" s="77"/>
      <c r="Y153" s="77"/>
    </row>
    <row r="154" spans="2:25" x14ac:dyDescent="0.2">
      <c r="B154" s="77"/>
      <c r="C154" s="77"/>
      <c r="D154" s="77"/>
      <c r="E154" s="77"/>
      <c r="F154" s="77"/>
      <c r="G154" s="77"/>
      <c r="H154" s="77"/>
      <c r="I154" s="77"/>
      <c r="J154" s="77"/>
      <c r="K154" s="77"/>
      <c r="L154" s="77"/>
      <c r="M154" s="77"/>
      <c r="N154" s="77"/>
      <c r="O154" s="77"/>
      <c r="R154" s="77"/>
      <c r="V154" s="77"/>
      <c r="Y154" s="77"/>
    </row>
    <row r="155" spans="2:25" x14ac:dyDescent="0.2">
      <c r="B155" s="77"/>
      <c r="C155" s="77"/>
      <c r="D155" s="77"/>
      <c r="E155" s="77"/>
      <c r="F155" s="77"/>
      <c r="G155" s="77"/>
      <c r="H155" s="77"/>
      <c r="I155" s="77"/>
      <c r="J155" s="77"/>
      <c r="K155" s="77"/>
      <c r="L155" s="77"/>
      <c r="M155" s="77"/>
      <c r="N155" s="77"/>
      <c r="O155" s="77"/>
      <c r="R155" s="77"/>
      <c r="V155" s="77"/>
      <c r="Y155" s="77"/>
    </row>
    <row r="156" spans="2:25" x14ac:dyDescent="0.2">
      <c r="B156" s="77"/>
      <c r="C156" s="77"/>
      <c r="D156" s="77"/>
      <c r="E156" s="77"/>
      <c r="F156" s="77"/>
      <c r="G156" s="77"/>
      <c r="H156" s="77"/>
      <c r="I156" s="77"/>
      <c r="J156" s="77"/>
      <c r="K156" s="77"/>
      <c r="L156" s="77"/>
      <c r="M156" s="77"/>
      <c r="N156" s="77"/>
      <c r="O156" s="77"/>
      <c r="R156" s="77"/>
      <c r="V156" s="77"/>
      <c r="Y156" s="77"/>
    </row>
    <row r="157" spans="2:25" x14ac:dyDescent="0.2">
      <c r="B157" s="77"/>
      <c r="C157" s="77"/>
      <c r="D157" s="77"/>
      <c r="E157" s="77"/>
      <c r="F157" s="77"/>
      <c r="G157" s="77"/>
      <c r="H157" s="77"/>
      <c r="I157" s="77"/>
      <c r="J157" s="77"/>
      <c r="K157" s="77"/>
      <c r="L157" s="77"/>
      <c r="M157" s="77"/>
      <c r="N157" s="77"/>
      <c r="O157" s="77"/>
      <c r="R157" s="77"/>
      <c r="V157" s="77"/>
      <c r="Y157" s="77"/>
    </row>
    <row r="158" spans="2:25" x14ac:dyDescent="0.2">
      <c r="B158" s="77"/>
      <c r="C158" s="77"/>
      <c r="D158" s="77"/>
      <c r="E158" s="77"/>
      <c r="F158" s="77"/>
      <c r="G158" s="77"/>
      <c r="H158" s="77"/>
      <c r="I158" s="77"/>
      <c r="J158" s="77"/>
      <c r="K158" s="77"/>
      <c r="L158" s="77"/>
      <c r="M158" s="77"/>
      <c r="N158" s="77"/>
      <c r="O158" s="77"/>
      <c r="R158" s="77"/>
      <c r="V158" s="77"/>
      <c r="Y158" s="77"/>
    </row>
    <row r="159" spans="2:25" x14ac:dyDescent="0.2">
      <c r="B159" s="77"/>
      <c r="C159" s="77"/>
      <c r="D159" s="77"/>
      <c r="E159" s="77"/>
      <c r="F159" s="77"/>
      <c r="G159" s="77"/>
      <c r="H159" s="77"/>
      <c r="I159" s="77"/>
      <c r="J159" s="77"/>
      <c r="K159" s="77"/>
      <c r="L159" s="77"/>
      <c r="M159" s="77"/>
      <c r="N159" s="77"/>
      <c r="O159" s="77"/>
      <c r="R159" s="77"/>
      <c r="V159" s="77"/>
      <c r="Y159" s="77"/>
    </row>
    <row r="160" spans="2:25" x14ac:dyDescent="0.2">
      <c r="B160" s="77"/>
      <c r="C160" s="77"/>
      <c r="D160" s="77"/>
      <c r="E160" s="77"/>
      <c r="F160" s="77"/>
      <c r="G160" s="77"/>
      <c r="H160" s="77"/>
      <c r="I160" s="77"/>
      <c r="J160" s="77"/>
      <c r="K160" s="77"/>
      <c r="L160" s="77"/>
      <c r="M160" s="77"/>
      <c r="N160" s="77"/>
      <c r="O160" s="77"/>
      <c r="R160" s="77"/>
      <c r="V160" s="77"/>
      <c r="Y160" s="77"/>
    </row>
    <row r="161" spans="2:25" x14ac:dyDescent="0.2">
      <c r="B161" s="77"/>
      <c r="C161" s="77"/>
      <c r="D161" s="77"/>
      <c r="E161" s="77"/>
      <c r="F161" s="77"/>
      <c r="G161" s="77"/>
      <c r="H161" s="77"/>
      <c r="I161" s="77"/>
      <c r="J161" s="77"/>
      <c r="K161" s="77"/>
      <c r="L161" s="77"/>
      <c r="M161" s="77"/>
      <c r="N161" s="77"/>
      <c r="O161" s="77"/>
      <c r="R161" s="77"/>
      <c r="V161" s="77"/>
      <c r="Y161" s="77"/>
    </row>
    <row r="162" spans="2:25" x14ac:dyDescent="0.2">
      <c r="B162" s="77"/>
      <c r="C162" s="77"/>
      <c r="D162" s="77"/>
      <c r="E162" s="77"/>
      <c r="F162" s="77"/>
      <c r="G162" s="77"/>
      <c r="H162" s="77"/>
      <c r="I162" s="77"/>
      <c r="J162" s="77"/>
      <c r="K162" s="77"/>
      <c r="L162" s="77"/>
      <c r="M162" s="77"/>
      <c r="N162" s="77"/>
      <c r="O162" s="77"/>
      <c r="R162" s="77"/>
      <c r="V162" s="77"/>
      <c r="Y162" s="77"/>
    </row>
    <row r="163" spans="2:25" x14ac:dyDescent="0.2">
      <c r="B163" s="77"/>
      <c r="C163" s="77"/>
      <c r="D163" s="77"/>
      <c r="E163" s="77"/>
      <c r="F163" s="77"/>
      <c r="G163" s="77"/>
      <c r="H163" s="77"/>
      <c r="I163" s="77"/>
      <c r="J163" s="77"/>
      <c r="K163" s="77"/>
      <c r="L163" s="77"/>
      <c r="M163" s="77"/>
      <c r="N163" s="77"/>
      <c r="O163" s="77"/>
      <c r="R163" s="77"/>
      <c r="V163" s="77"/>
      <c r="Y163" s="77"/>
    </row>
    <row r="164" spans="2:25" x14ac:dyDescent="0.2">
      <c r="B164" s="77"/>
      <c r="C164" s="77"/>
      <c r="D164" s="77"/>
      <c r="E164" s="77"/>
      <c r="F164" s="77"/>
      <c r="G164" s="77"/>
      <c r="H164" s="77"/>
      <c r="I164" s="77"/>
      <c r="J164" s="77"/>
      <c r="K164" s="77"/>
      <c r="L164" s="77"/>
      <c r="M164" s="77"/>
      <c r="N164" s="77"/>
      <c r="O164" s="77"/>
      <c r="R164" s="77"/>
      <c r="V164" s="77"/>
      <c r="Y164" s="77"/>
    </row>
    <row r="165" spans="2:25" x14ac:dyDescent="0.2">
      <c r="B165" s="77"/>
      <c r="C165" s="77"/>
      <c r="D165" s="77"/>
      <c r="E165" s="77"/>
      <c r="F165" s="77"/>
      <c r="G165" s="77"/>
      <c r="H165" s="77"/>
      <c r="I165" s="77"/>
      <c r="J165" s="77"/>
      <c r="K165" s="77"/>
      <c r="L165" s="77"/>
      <c r="M165" s="77"/>
      <c r="N165" s="77"/>
      <c r="O165" s="77"/>
      <c r="R165" s="77"/>
      <c r="V165" s="77"/>
      <c r="Y165" s="77"/>
    </row>
    <row r="166" spans="2:25" x14ac:dyDescent="0.2">
      <c r="B166" s="77"/>
      <c r="C166" s="77"/>
      <c r="D166" s="77"/>
      <c r="E166" s="77"/>
      <c r="F166" s="77"/>
      <c r="G166" s="77"/>
      <c r="H166" s="77"/>
      <c r="I166" s="77"/>
      <c r="J166" s="77"/>
      <c r="K166" s="77"/>
      <c r="L166" s="77"/>
      <c r="M166" s="77"/>
      <c r="N166" s="77"/>
      <c r="O166" s="77"/>
      <c r="R166" s="77"/>
      <c r="V166" s="77"/>
      <c r="Y166" s="77"/>
    </row>
    <row r="167" spans="2:25" x14ac:dyDescent="0.2">
      <c r="B167" s="77"/>
      <c r="C167" s="77"/>
      <c r="D167" s="77"/>
      <c r="E167" s="77"/>
      <c r="F167" s="77"/>
      <c r="G167" s="77"/>
      <c r="H167" s="77"/>
      <c r="I167" s="77"/>
      <c r="J167" s="77"/>
      <c r="K167" s="77"/>
      <c r="L167" s="77"/>
      <c r="M167" s="77"/>
      <c r="N167" s="77"/>
      <c r="O167" s="77"/>
      <c r="R167" s="77"/>
      <c r="V167" s="77"/>
      <c r="Y167" s="77"/>
    </row>
    <row r="168" spans="2:25" x14ac:dyDescent="0.2">
      <c r="B168" s="77"/>
      <c r="C168" s="77"/>
      <c r="D168" s="77"/>
      <c r="E168" s="77"/>
      <c r="F168" s="77"/>
      <c r="G168" s="77"/>
      <c r="H168" s="77"/>
      <c r="I168" s="77"/>
      <c r="J168" s="77"/>
      <c r="K168" s="77"/>
      <c r="L168" s="77"/>
      <c r="M168" s="77"/>
      <c r="N168" s="77"/>
      <c r="O168" s="77"/>
      <c r="R168" s="77"/>
      <c r="V168" s="77"/>
      <c r="Y168" s="77"/>
    </row>
    <row r="169" spans="2:25" x14ac:dyDescent="0.2">
      <c r="B169" s="77"/>
      <c r="C169" s="77"/>
      <c r="D169" s="77"/>
      <c r="E169" s="77"/>
      <c r="F169" s="77"/>
      <c r="G169" s="77"/>
      <c r="H169" s="77"/>
      <c r="I169" s="77"/>
      <c r="J169" s="77"/>
      <c r="K169" s="77"/>
      <c r="L169" s="77"/>
      <c r="M169" s="77"/>
      <c r="N169" s="77"/>
      <c r="O169" s="77"/>
      <c r="R169" s="77"/>
      <c r="V169" s="77"/>
      <c r="Y169" s="77"/>
    </row>
    <row r="170" spans="2:25" x14ac:dyDescent="0.2">
      <c r="B170" s="77"/>
      <c r="C170" s="77"/>
      <c r="D170" s="77"/>
      <c r="E170" s="77"/>
      <c r="F170" s="77"/>
      <c r="G170" s="77"/>
      <c r="H170" s="77"/>
      <c r="I170" s="77"/>
      <c r="J170" s="77"/>
      <c r="K170" s="77"/>
      <c r="L170" s="77"/>
      <c r="M170" s="77"/>
      <c r="N170" s="77"/>
      <c r="O170" s="77"/>
      <c r="R170" s="77"/>
      <c r="V170" s="77"/>
      <c r="Y170" s="77"/>
    </row>
    <row r="171" spans="2:25" x14ac:dyDescent="0.2">
      <c r="B171" s="77"/>
      <c r="C171" s="77"/>
      <c r="D171" s="77"/>
      <c r="E171" s="77"/>
      <c r="F171" s="77"/>
      <c r="G171" s="77"/>
      <c r="H171" s="77"/>
      <c r="I171" s="77"/>
      <c r="J171" s="77"/>
      <c r="K171" s="77"/>
      <c r="L171" s="77"/>
      <c r="M171" s="77"/>
      <c r="N171" s="77"/>
      <c r="O171" s="77"/>
      <c r="R171" s="77"/>
      <c r="V171" s="77"/>
      <c r="Y171" s="77"/>
    </row>
    <row r="172" spans="2:25" x14ac:dyDescent="0.2">
      <c r="B172" s="77"/>
      <c r="C172" s="77"/>
      <c r="D172" s="77"/>
      <c r="E172" s="77"/>
      <c r="F172" s="77"/>
      <c r="G172" s="77"/>
      <c r="H172" s="77"/>
      <c r="I172" s="77"/>
      <c r="J172" s="77"/>
      <c r="K172" s="77"/>
      <c r="L172" s="77"/>
      <c r="M172" s="77"/>
      <c r="N172" s="77"/>
      <c r="O172" s="77"/>
      <c r="R172" s="77"/>
      <c r="V172" s="77"/>
      <c r="Y172" s="77"/>
    </row>
    <row r="173" spans="2:25" x14ac:dyDescent="0.2">
      <c r="B173" s="77"/>
      <c r="C173" s="77"/>
      <c r="D173" s="77"/>
      <c r="E173" s="77"/>
      <c r="F173" s="77"/>
      <c r="G173" s="77"/>
      <c r="H173" s="77"/>
      <c r="I173" s="77"/>
      <c r="J173" s="77"/>
      <c r="K173" s="77"/>
      <c r="L173" s="77"/>
      <c r="M173" s="77"/>
      <c r="N173" s="77"/>
      <c r="O173" s="77"/>
      <c r="R173" s="77"/>
      <c r="V173" s="77"/>
      <c r="Y173" s="77"/>
    </row>
    <row r="174" spans="2:25" x14ac:dyDescent="0.2">
      <c r="B174" s="77"/>
      <c r="C174" s="77"/>
      <c r="D174" s="77"/>
      <c r="E174" s="77"/>
      <c r="F174" s="77"/>
      <c r="G174" s="77"/>
      <c r="H174" s="77"/>
      <c r="I174" s="77"/>
      <c r="J174" s="77"/>
      <c r="K174" s="77"/>
      <c r="L174" s="77"/>
      <c r="M174" s="77"/>
      <c r="N174" s="77"/>
      <c r="O174" s="77"/>
      <c r="R174" s="77"/>
      <c r="V174" s="77"/>
      <c r="Y174" s="77"/>
    </row>
    <row r="175" spans="2:25" x14ac:dyDescent="0.2">
      <c r="B175" s="77"/>
      <c r="C175" s="77"/>
      <c r="D175" s="77"/>
      <c r="E175" s="77"/>
      <c r="F175" s="77"/>
      <c r="G175" s="77"/>
      <c r="H175" s="77"/>
      <c r="I175" s="77"/>
      <c r="J175" s="77"/>
      <c r="K175" s="77"/>
      <c r="L175" s="77"/>
      <c r="M175" s="77"/>
      <c r="N175" s="77"/>
      <c r="O175" s="77"/>
      <c r="R175" s="77"/>
      <c r="V175" s="77"/>
      <c r="Y175" s="77"/>
    </row>
    <row r="176" spans="2:25" x14ac:dyDescent="0.2">
      <c r="B176" s="77"/>
      <c r="C176" s="77"/>
      <c r="D176" s="77"/>
      <c r="E176" s="77"/>
      <c r="F176" s="77"/>
      <c r="G176" s="77"/>
      <c r="H176" s="77"/>
      <c r="I176" s="77"/>
      <c r="J176" s="77"/>
      <c r="K176" s="77"/>
      <c r="L176" s="77"/>
      <c r="M176" s="77"/>
      <c r="N176" s="77"/>
      <c r="O176" s="77"/>
      <c r="R176" s="77"/>
      <c r="V176" s="77"/>
      <c r="Y176" s="77"/>
    </row>
    <row r="177" spans="2:25" x14ac:dyDescent="0.2">
      <c r="B177" s="77"/>
      <c r="C177" s="77"/>
      <c r="D177" s="77"/>
      <c r="E177" s="77"/>
      <c r="F177" s="77"/>
      <c r="G177" s="77"/>
      <c r="H177" s="77"/>
      <c r="I177" s="77"/>
      <c r="J177" s="77"/>
      <c r="K177" s="77"/>
      <c r="L177" s="77"/>
      <c r="M177" s="77"/>
      <c r="N177" s="77"/>
      <c r="O177" s="77"/>
      <c r="R177" s="77"/>
      <c r="V177" s="77"/>
      <c r="Y177" s="77"/>
    </row>
    <row r="178" spans="2:25" x14ac:dyDescent="0.2">
      <c r="B178" s="77"/>
      <c r="C178" s="77"/>
      <c r="D178" s="77"/>
      <c r="E178" s="77"/>
      <c r="F178" s="77"/>
      <c r="G178" s="77"/>
      <c r="H178" s="77"/>
      <c r="I178" s="77"/>
      <c r="J178" s="77"/>
      <c r="K178" s="77"/>
      <c r="L178" s="77"/>
      <c r="M178" s="77"/>
      <c r="N178" s="77"/>
      <c r="O178" s="77"/>
      <c r="R178" s="77"/>
      <c r="V178" s="77"/>
      <c r="Y178" s="77"/>
    </row>
    <row r="179" spans="2:25" x14ac:dyDescent="0.2">
      <c r="B179" s="77"/>
      <c r="C179" s="77"/>
      <c r="D179" s="77"/>
      <c r="E179" s="77"/>
      <c r="F179" s="77"/>
      <c r="G179" s="77"/>
      <c r="H179" s="77"/>
      <c r="I179" s="77"/>
      <c r="J179" s="77"/>
      <c r="K179" s="77"/>
      <c r="L179" s="77"/>
      <c r="M179" s="77"/>
      <c r="N179" s="77"/>
      <c r="O179" s="77"/>
      <c r="R179" s="77"/>
      <c r="V179" s="77"/>
      <c r="Y179" s="77"/>
    </row>
    <row r="180" spans="2:25" x14ac:dyDescent="0.2">
      <c r="B180" s="77"/>
      <c r="C180" s="77"/>
      <c r="D180" s="77"/>
      <c r="E180" s="77"/>
      <c r="F180" s="77"/>
      <c r="G180" s="77"/>
      <c r="H180" s="77"/>
      <c r="I180" s="77"/>
      <c r="J180" s="77"/>
      <c r="K180" s="77"/>
      <c r="L180" s="77"/>
      <c r="M180" s="77"/>
      <c r="N180" s="77"/>
      <c r="O180" s="77"/>
      <c r="R180" s="77"/>
      <c r="V180" s="77"/>
      <c r="Y180" s="77"/>
    </row>
    <row r="181" spans="2:25" x14ac:dyDescent="0.2">
      <c r="B181" s="77"/>
      <c r="C181" s="77"/>
      <c r="D181" s="77"/>
      <c r="E181" s="77"/>
      <c r="F181" s="77"/>
      <c r="G181" s="77"/>
      <c r="H181" s="77"/>
      <c r="I181" s="77"/>
      <c r="J181" s="77"/>
      <c r="K181" s="77"/>
      <c r="L181" s="77"/>
      <c r="M181" s="77"/>
      <c r="N181" s="77"/>
      <c r="O181" s="77"/>
      <c r="R181" s="77"/>
      <c r="V181" s="77"/>
      <c r="Y181" s="77"/>
    </row>
    <row r="182" spans="2:25" x14ac:dyDescent="0.2">
      <c r="B182" s="77"/>
      <c r="C182" s="77"/>
      <c r="D182" s="77"/>
      <c r="E182" s="77"/>
      <c r="F182" s="77"/>
      <c r="G182" s="77"/>
      <c r="H182" s="77"/>
      <c r="I182" s="77"/>
      <c r="J182" s="77"/>
      <c r="K182" s="77"/>
      <c r="L182" s="77"/>
      <c r="M182" s="77"/>
      <c r="N182" s="77"/>
      <c r="O182" s="77"/>
      <c r="R182" s="77"/>
      <c r="V182" s="77"/>
      <c r="Y182" s="77"/>
    </row>
    <row r="183" spans="2:25" x14ac:dyDescent="0.2">
      <c r="B183" s="77"/>
      <c r="C183" s="77"/>
      <c r="D183" s="77"/>
      <c r="E183" s="77"/>
      <c r="F183" s="77"/>
      <c r="G183" s="77"/>
      <c r="H183" s="77"/>
      <c r="I183" s="77"/>
      <c r="J183" s="77"/>
      <c r="K183" s="77"/>
      <c r="L183" s="77"/>
      <c r="M183" s="77"/>
      <c r="N183" s="77"/>
      <c r="O183" s="77"/>
      <c r="R183" s="77"/>
      <c r="V183" s="77"/>
      <c r="Y183" s="77"/>
    </row>
    <row r="184" spans="2:25" x14ac:dyDescent="0.2">
      <c r="B184" s="77"/>
      <c r="C184" s="77"/>
      <c r="D184" s="77"/>
      <c r="E184" s="77"/>
      <c r="F184" s="77"/>
      <c r="G184" s="77"/>
      <c r="H184" s="77"/>
      <c r="I184" s="77"/>
      <c r="J184" s="77"/>
      <c r="K184" s="77"/>
      <c r="L184" s="77"/>
      <c r="M184" s="77"/>
      <c r="N184" s="77"/>
      <c r="O184" s="77"/>
      <c r="R184" s="77"/>
      <c r="V184" s="77"/>
      <c r="Y184" s="77"/>
    </row>
    <row r="185" spans="2:25" x14ac:dyDescent="0.2">
      <c r="B185" s="77"/>
      <c r="C185" s="77"/>
      <c r="D185" s="77"/>
      <c r="E185" s="77"/>
      <c r="F185" s="77"/>
      <c r="G185" s="77"/>
      <c r="H185" s="77"/>
      <c r="I185" s="77"/>
      <c r="J185" s="77"/>
      <c r="K185" s="77"/>
      <c r="L185" s="77"/>
      <c r="M185" s="77"/>
      <c r="N185" s="77"/>
      <c r="O185" s="77"/>
      <c r="R185" s="77"/>
      <c r="V185" s="77"/>
      <c r="Y185" s="77"/>
    </row>
    <row r="186" spans="2:25" x14ac:dyDescent="0.2">
      <c r="B186" s="77"/>
      <c r="C186" s="77"/>
      <c r="D186" s="77"/>
      <c r="E186" s="77"/>
      <c r="F186" s="77"/>
      <c r="G186" s="77"/>
      <c r="H186" s="77"/>
      <c r="I186" s="77"/>
      <c r="J186" s="77"/>
      <c r="K186" s="77"/>
      <c r="L186" s="77"/>
      <c r="M186" s="77"/>
      <c r="N186" s="77"/>
      <c r="O186" s="77"/>
      <c r="R186" s="77"/>
      <c r="V186" s="77"/>
      <c r="Y186" s="77"/>
    </row>
    <row r="187" spans="2:25" x14ac:dyDescent="0.2">
      <c r="B187" s="77"/>
      <c r="C187" s="77"/>
      <c r="D187" s="77"/>
      <c r="E187" s="77"/>
      <c r="F187" s="77"/>
      <c r="G187" s="77"/>
      <c r="H187" s="77"/>
      <c r="I187" s="77"/>
      <c r="J187" s="77"/>
      <c r="K187" s="77"/>
      <c r="L187" s="77"/>
      <c r="M187" s="77"/>
      <c r="N187" s="77"/>
      <c r="O187" s="77"/>
      <c r="R187" s="77"/>
      <c r="V187" s="77"/>
      <c r="Y187" s="77"/>
    </row>
    <row r="188" spans="2:25" x14ac:dyDescent="0.2">
      <c r="B188" s="77"/>
      <c r="C188" s="77"/>
      <c r="D188" s="77"/>
      <c r="E188" s="77"/>
      <c r="F188" s="77"/>
      <c r="G188" s="77"/>
      <c r="H188" s="77"/>
      <c r="I188" s="77"/>
      <c r="J188" s="77"/>
      <c r="K188" s="77"/>
      <c r="L188" s="77"/>
      <c r="M188" s="77"/>
      <c r="N188" s="77"/>
      <c r="O188" s="77"/>
      <c r="R188" s="77"/>
      <c r="V188" s="77"/>
      <c r="Y188" s="77"/>
    </row>
    <row r="189" spans="2:25" x14ac:dyDescent="0.2">
      <c r="B189" s="77"/>
      <c r="C189" s="77"/>
      <c r="D189" s="77"/>
      <c r="E189" s="77"/>
      <c r="F189" s="77"/>
      <c r="G189" s="77"/>
      <c r="H189" s="77"/>
      <c r="I189" s="77"/>
      <c r="J189" s="77"/>
      <c r="K189" s="77"/>
      <c r="L189" s="77"/>
      <c r="M189" s="77"/>
      <c r="N189" s="77"/>
      <c r="O189" s="77"/>
      <c r="R189" s="77"/>
      <c r="V189" s="77"/>
      <c r="Y189" s="77"/>
    </row>
    <row r="190" spans="2:25" x14ac:dyDescent="0.2">
      <c r="B190" s="77"/>
      <c r="C190" s="77"/>
      <c r="D190" s="77"/>
      <c r="E190" s="77"/>
      <c r="F190" s="77"/>
      <c r="G190" s="77"/>
      <c r="H190" s="77"/>
      <c r="I190" s="77"/>
      <c r="J190" s="77"/>
      <c r="K190" s="77"/>
      <c r="L190" s="77"/>
      <c r="M190" s="77"/>
      <c r="N190" s="77"/>
      <c r="O190" s="77"/>
      <c r="R190" s="77"/>
      <c r="V190" s="77"/>
      <c r="Y190" s="77"/>
    </row>
    <row r="191" spans="2:25" x14ac:dyDescent="0.2">
      <c r="B191" s="77"/>
      <c r="C191" s="77"/>
      <c r="D191" s="77"/>
      <c r="E191" s="77"/>
      <c r="F191" s="77"/>
      <c r="G191" s="77"/>
      <c r="H191" s="77"/>
      <c r="I191" s="77"/>
      <c r="J191" s="77"/>
      <c r="K191" s="77"/>
      <c r="L191" s="77"/>
      <c r="M191" s="77"/>
      <c r="N191" s="77"/>
      <c r="O191" s="77"/>
      <c r="R191" s="77"/>
      <c r="V191" s="77"/>
      <c r="Y191" s="77"/>
    </row>
    <row r="192" spans="2:25" x14ac:dyDescent="0.2">
      <c r="B192" s="77"/>
      <c r="C192" s="77"/>
      <c r="D192" s="77"/>
      <c r="E192" s="77"/>
      <c r="F192" s="77"/>
      <c r="G192" s="77"/>
      <c r="H192" s="77"/>
      <c r="I192" s="77"/>
      <c r="J192" s="77"/>
      <c r="K192" s="77"/>
      <c r="L192" s="77"/>
      <c r="M192" s="77"/>
      <c r="N192" s="77"/>
      <c r="O192" s="77"/>
      <c r="R192" s="77"/>
      <c r="V192" s="77"/>
      <c r="Y192" s="77"/>
    </row>
    <row r="193" spans="2:25" x14ac:dyDescent="0.2">
      <c r="B193" s="77"/>
      <c r="C193" s="77"/>
      <c r="D193" s="77"/>
      <c r="E193" s="77"/>
      <c r="F193" s="77"/>
      <c r="G193" s="77"/>
      <c r="H193" s="77"/>
      <c r="I193" s="77"/>
      <c r="J193" s="77"/>
      <c r="K193" s="77"/>
      <c r="L193" s="77"/>
      <c r="M193" s="77"/>
      <c r="N193" s="77"/>
      <c r="O193" s="77"/>
      <c r="R193" s="77"/>
      <c r="V193" s="77"/>
      <c r="Y193" s="77"/>
    </row>
    <row r="194" spans="2:25" x14ac:dyDescent="0.2">
      <c r="B194" s="77"/>
      <c r="C194" s="77"/>
      <c r="D194" s="77"/>
      <c r="E194" s="77"/>
      <c r="F194" s="77"/>
      <c r="G194" s="77"/>
      <c r="H194" s="77"/>
      <c r="I194" s="77"/>
      <c r="J194" s="77"/>
      <c r="K194" s="77"/>
      <c r="L194" s="77"/>
      <c r="M194" s="77"/>
      <c r="N194" s="77"/>
      <c r="O194" s="77"/>
      <c r="R194" s="77"/>
      <c r="V194" s="77"/>
      <c r="Y194" s="77"/>
    </row>
    <row r="195" spans="2:25" x14ac:dyDescent="0.2">
      <c r="B195" s="77"/>
      <c r="C195" s="77"/>
      <c r="D195" s="77"/>
      <c r="E195" s="77"/>
      <c r="F195" s="77"/>
      <c r="G195" s="77"/>
      <c r="H195" s="77"/>
      <c r="I195" s="77"/>
      <c r="J195" s="77"/>
      <c r="K195" s="77"/>
      <c r="L195" s="77"/>
      <c r="M195" s="77"/>
      <c r="N195" s="77"/>
      <c r="O195" s="77"/>
      <c r="R195" s="77"/>
      <c r="V195" s="77"/>
      <c r="Y195" s="77"/>
    </row>
    <row r="196" spans="2:25" x14ac:dyDescent="0.2">
      <c r="B196" s="77"/>
      <c r="C196" s="77"/>
      <c r="D196" s="77"/>
      <c r="E196" s="77"/>
      <c r="F196" s="77"/>
      <c r="G196" s="77"/>
      <c r="H196" s="77"/>
      <c r="I196" s="77"/>
      <c r="J196" s="77"/>
      <c r="K196" s="77"/>
      <c r="L196" s="77"/>
      <c r="M196" s="77"/>
      <c r="N196" s="77"/>
      <c r="O196" s="77"/>
      <c r="R196" s="77"/>
      <c r="V196" s="77"/>
      <c r="Y196" s="77"/>
    </row>
    <row r="197" spans="2:25" x14ac:dyDescent="0.2">
      <c r="B197" s="77"/>
      <c r="C197" s="77"/>
      <c r="D197" s="77"/>
      <c r="E197" s="77"/>
      <c r="F197" s="77"/>
      <c r="G197" s="77"/>
      <c r="H197" s="77"/>
      <c r="I197" s="77"/>
      <c r="J197" s="77"/>
      <c r="K197" s="77"/>
      <c r="L197" s="77"/>
      <c r="M197" s="77"/>
      <c r="N197" s="77"/>
      <c r="O197" s="77"/>
      <c r="R197" s="77"/>
      <c r="V197" s="77"/>
      <c r="Y197" s="77"/>
    </row>
    <row r="198" spans="2:25" x14ac:dyDescent="0.2">
      <c r="B198" s="77"/>
      <c r="C198" s="77"/>
      <c r="D198" s="77"/>
      <c r="E198" s="77"/>
      <c r="F198" s="77"/>
      <c r="G198" s="77"/>
      <c r="H198" s="77"/>
      <c r="I198" s="77"/>
      <c r="J198" s="77"/>
      <c r="K198" s="77"/>
      <c r="L198" s="77"/>
      <c r="M198" s="77"/>
      <c r="N198" s="77"/>
      <c r="O198" s="77"/>
      <c r="R198" s="77"/>
      <c r="V198" s="77"/>
      <c r="Y198" s="77"/>
    </row>
    <row r="199" spans="2:25" x14ac:dyDescent="0.2">
      <c r="B199" s="77"/>
      <c r="C199" s="77"/>
      <c r="D199" s="77"/>
      <c r="E199" s="77"/>
      <c r="F199" s="77"/>
      <c r="G199" s="77"/>
      <c r="H199" s="77"/>
      <c r="I199" s="77"/>
      <c r="J199" s="77"/>
      <c r="K199" s="77"/>
      <c r="L199" s="77"/>
      <c r="M199" s="77"/>
      <c r="N199" s="77"/>
      <c r="O199" s="77"/>
      <c r="R199" s="77"/>
      <c r="V199" s="77"/>
      <c r="Y199" s="77"/>
    </row>
    <row r="200" spans="2:25" x14ac:dyDescent="0.2">
      <c r="B200" s="77"/>
      <c r="C200" s="77"/>
      <c r="D200" s="77"/>
      <c r="E200" s="77"/>
      <c r="F200" s="77"/>
      <c r="G200" s="77"/>
      <c r="H200" s="77"/>
      <c r="I200" s="77"/>
      <c r="J200" s="77"/>
      <c r="K200" s="77"/>
      <c r="L200" s="77"/>
      <c r="M200" s="77"/>
      <c r="N200" s="77"/>
      <c r="O200" s="77"/>
      <c r="R200" s="77"/>
      <c r="V200" s="77"/>
      <c r="Y200" s="77"/>
    </row>
    <row r="201" spans="2:25" x14ac:dyDescent="0.2">
      <c r="B201" s="77"/>
      <c r="C201" s="77"/>
      <c r="D201" s="77"/>
      <c r="E201" s="77"/>
      <c r="F201" s="77"/>
      <c r="G201" s="77"/>
      <c r="H201" s="77"/>
      <c r="I201" s="77"/>
      <c r="J201" s="77"/>
      <c r="K201" s="77"/>
      <c r="L201" s="77"/>
      <c r="M201" s="77"/>
      <c r="N201" s="77"/>
      <c r="O201" s="77"/>
      <c r="R201" s="77"/>
      <c r="V201" s="77"/>
      <c r="Y201" s="77"/>
    </row>
    <row r="202" spans="2:25" x14ac:dyDescent="0.2">
      <c r="B202" s="77"/>
      <c r="C202" s="77"/>
      <c r="D202" s="77"/>
      <c r="E202" s="77"/>
      <c r="F202" s="77"/>
      <c r="G202" s="77"/>
      <c r="H202" s="77"/>
      <c r="I202" s="77"/>
      <c r="J202" s="77"/>
      <c r="K202" s="77"/>
      <c r="L202" s="77"/>
      <c r="M202" s="77"/>
      <c r="N202" s="77"/>
      <c r="O202" s="77"/>
      <c r="R202" s="77"/>
      <c r="V202" s="77"/>
      <c r="Y202" s="77"/>
    </row>
    <row r="203" spans="2:25" x14ac:dyDescent="0.2">
      <c r="B203" s="77"/>
      <c r="C203" s="77"/>
      <c r="D203" s="77"/>
      <c r="E203" s="77"/>
      <c r="F203" s="77"/>
      <c r="G203" s="77"/>
      <c r="H203" s="77"/>
      <c r="I203" s="77"/>
      <c r="J203" s="77"/>
      <c r="K203" s="77"/>
      <c r="L203" s="77"/>
      <c r="M203" s="77"/>
      <c r="N203" s="77"/>
      <c r="O203" s="77"/>
      <c r="R203" s="77"/>
      <c r="V203" s="77"/>
      <c r="Y203" s="77"/>
    </row>
    <row r="204" spans="2:25" x14ac:dyDescent="0.2">
      <c r="B204" s="77"/>
      <c r="C204" s="77"/>
      <c r="D204" s="77"/>
      <c r="E204" s="77"/>
      <c r="F204" s="77"/>
      <c r="G204" s="77"/>
      <c r="H204" s="77"/>
      <c r="I204" s="77"/>
      <c r="J204" s="77"/>
      <c r="K204" s="77"/>
      <c r="L204" s="77"/>
      <c r="M204" s="77"/>
      <c r="N204" s="77"/>
      <c r="O204" s="77"/>
      <c r="R204" s="77"/>
      <c r="V204" s="77"/>
      <c r="Y204" s="77"/>
    </row>
    <row r="205" spans="2:25" x14ac:dyDescent="0.2">
      <c r="B205" s="77"/>
      <c r="C205" s="77"/>
      <c r="D205" s="77"/>
      <c r="E205" s="77"/>
      <c r="F205" s="77"/>
      <c r="G205" s="77"/>
      <c r="H205" s="77"/>
      <c r="I205" s="77"/>
      <c r="J205" s="77"/>
      <c r="K205" s="77"/>
      <c r="L205" s="77"/>
      <c r="M205" s="77"/>
      <c r="N205" s="77"/>
      <c r="O205" s="77"/>
      <c r="R205" s="77"/>
      <c r="V205" s="77"/>
      <c r="Y205" s="77"/>
    </row>
    <row r="206" spans="2:25" x14ac:dyDescent="0.2">
      <c r="B206" s="77"/>
      <c r="C206" s="77"/>
      <c r="D206" s="77"/>
      <c r="E206" s="77"/>
      <c r="F206" s="77"/>
      <c r="G206" s="77"/>
      <c r="H206" s="77"/>
      <c r="I206" s="77"/>
      <c r="J206" s="77"/>
      <c r="K206" s="77"/>
      <c r="L206" s="77"/>
      <c r="M206" s="77"/>
      <c r="N206" s="77"/>
      <c r="O206" s="77"/>
      <c r="R206" s="77"/>
      <c r="V206" s="77"/>
      <c r="Y206" s="77"/>
    </row>
    <row r="207" spans="2:25" x14ac:dyDescent="0.2">
      <c r="B207" s="77"/>
      <c r="C207" s="77"/>
      <c r="D207" s="77"/>
      <c r="E207" s="77"/>
      <c r="F207" s="77"/>
      <c r="G207" s="77"/>
      <c r="H207" s="77"/>
      <c r="I207" s="77"/>
      <c r="J207" s="77"/>
      <c r="K207" s="77"/>
      <c r="L207" s="77"/>
      <c r="M207" s="77"/>
      <c r="N207" s="77"/>
      <c r="O207" s="77"/>
      <c r="R207" s="77"/>
      <c r="V207" s="77"/>
      <c r="Y207" s="77"/>
    </row>
    <row r="208" spans="2:25" x14ac:dyDescent="0.2">
      <c r="B208" s="77"/>
      <c r="C208" s="77"/>
      <c r="D208" s="77"/>
      <c r="E208" s="77"/>
      <c r="F208" s="77"/>
      <c r="G208" s="77"/>
      <c r="H208" s="77"/>
      <c r="I208" s="77"/>
      <c r="J208" s="77"/>
      <c r="K208" s="77"/>
      <c r="L208" s="77"/>
      <c r="M208" s="77"/>
      <c r="N208" s="77"/>
      <c r="O208" s="77"/>
      <c r="R208" s="77"/>
      <c r="V208" s="77"/>
      <c r="Y208" s="77"/>
    </row>
    <row r="209" spans="2:25" x14ac:dyDescent="0.2">
      <c r="B209" s="77"/>
      <c r="C209" s="77"/>
      <c r="D209" s="77"/>
      <c r="E209" s="77"/>
      <c r="F209" s="77"/>
      <c r="G209" s="77"/>
      <c r="H209" s="77"/>
      <c r="I209" s="77"/>
      <c r="J209" s="77"/>
      <c r="K209" s="77"/>
      <c r="L209" s="77"/>
      <c r="M209" s="77"/>
      <c r="N209" s="77"/>
      <c r="O209" s="77"/>
      <c r="R209" s="77"/>
      <c r="V209" s="77"/>
      <c r="Y209" s="77"/>
    </row>
    <row r="210" spans="2:25" x14ac:dyDescent="0.2">
      <c r="B210" s="77"/>
      <c r="C210" s="77"/>
      <c r="D210" s="77"/>
      <c r="E210" s="77"/>
      <c r="F210" s="77"/>
      <c r="G210" s="77"/>
      <c r="H210" s="77"/>
      <c r="I210" s="77"/>
      <c r="J210" s="77"/>
      <c r="K210" s="77"/>
      <c r="L210" s="77"/>
      <c r="M210" s="77"/>
      <c r="N210" s="77"/>
      <c r="O210" s="77"/>
      <c r="R210" s="77"/>
      <c r="V210" s="77"/>
      <c r="Y210" s="77"/>
    </row>
    <row r="211" spans="2:25" x14ac:dyDescent="0.2">
      <c r="B211" s="77"/>
      <c r="C211" s="77"/>
      <c r="D211" s="77"/>
      <c r="E211" s="77"/>
      <c r="F211" s="77"/>
      <c r="G211" s="77"/>
      <c r="H211" s="77"/>
      <c r="I211" s="77"/>
      <c r="J211" s="77"/>
      <c r="K211" s="77"/>
      <c r="L211" s="77"/>
      <c r="M211" s="77"/>
      <c r="N211" s="77"/>
      <c r="O211" s="77"/>
      <c r="R211" s="77"/>
      <c r="V211" s="77"/>
      <c r="Y211" s="77"/>
    </row>
    <row r="212" spans="2:25" x14ac:dyDescent="0.2">
      <c r="B212" s="77"/>
      <c r="C212" s="77"/>
      <c r="D212" s="77"/>
      <c r="E212" s="77"/>
      <c r="F212" s="77"/>
      <c r="G212" s="77"/>
      <c r="H212" s="77"/>
      <c r="I212" s="77"/>
      <c r="J212" s="77"/>
      <c r="K212" s="77"/>
      <c r="L212" s="77"/>
      <c r="M212" s="77"/>
      <c r="N212" s="77"/>
      <c r="O212" s="77"/>
      <c r="R212" s="77"/>
      <c r="V212" s="77"/>
      <c r="Y212" s="77"/>
    </row>
    <row r="213" spans="2:25" x14ac:dyDescent="0.2">
      <c r="B213" s="77"/>
      <c r="C213" s="77"/>
      <c r="D213" s="77"/>
      <c r="E213" s="77"/>
      <c r="F213" s="77"/>
      <c r="G213" s="77"/>
      <c r="H213" s="77"/>
      <c r="I213" s="77"/>
      <c r="J213" s="77"/>
      <c r="K213" s="77"/>
      <c r="L213" s="77"/>
      <c r="M213" s="77"/>
      <c r="N213" s="77"/>
      <c r="O213" s="77"/>
      <c r="R213" s="77"/>
      <c r="V213" s="77"/>
      <c r="Y213" s="77"/>
    </row>
    <row r="214" spans="2:25" x14ac:dyDescent="0.2">
      <c r="B214" s="77"/>
      <c r="C214" s="77"/>
      <c r="D214" s="77"/>
      <c r="E214" s="77"/>
      <c r="F214" s="77"/>
      <c r="G214" s="77"/>
      <c r="H214" s="77"/>
      <c r="I214" s="77"/>
      <c r="J214" s="77"/>
      <c r="K214" s="77"/>
      <c r="L214" s="77"/>
      <c r="M214" s="77"/>
      <c r="N214" s="77"/>
      <c r="O214" s="77"/>
      <c r="R214" s="77"/>
      <c r="V214" s="77"/>
      <c r="Y214" s="77"/>
    </row>
    <row r="215" spans="2:25" x14ac:dyDescent="0.2">
      <c r="B215" s="77"/>
      <c r="C215" s="77"/>
      <c r="D215" s="77"/>
      <c r="E215" s="77"/>
      <c r="F215" s="77"/>
      <c r="G215" s="77"/>
      <c r="H215" s="77"/>
      <c r="I215" s="77"/>
      <c r="J215" s="77"/>
      <c r="K215" s="77"/>
      <c r="L215" s="77"/>
      <c r="M215" s="77"/>
      <c r="N215" s="77"/>
      <c r="O215" s="77"/>
      <c r="R215" s="77"/>
      <c r="V215" s="77"/>
      <c r="Y215" s="77"/>
    </row>
    <row r="216" spans="2:25" x14ac:dyDescent="0.2">
      <c r="B216" s="77"/>
      <c r="C216" s="77"/>
      <c r="D216" s="77"/>
      <c r="E216" s="77"/>
      <c r="F216" s="77"/>
      <c r="G216" s="77"/>
      <c r="H216" s="77"/>
      <c r="I216" s="77"/>
      <c r="J216" s="77"/>
      <c r="K216" s="77"/>
      <c r="L216" s="77"/>
      <c r="M216" s="77"/>
      <c r="N216" s="77"/>
      <c r="O216" s="77"/>
      <c r="R216" s="77"/>
      <c r="V216" s="77"/>
      <c r="Y216" s="77"/>
    </row>
    <row r="217" spans="2:25" x14ac:dyDescent="0.2">
      <c r="B217" s="77"/>
      <c r="C217" s="77"/>
      <c r="D217" s="77"/>
      <c r="E217" s="77"/>
      <c r="F217" s="77"/>
      <c r="G217" s="77"/>
      <c r="H217" s="77"/>
      <c r="I217" s="77"/>
      <c r="J217" s="77"/>
      <c r="K217" s="77"/>
      <c r="L217" s="77"/>
      <c r="M217" s="77"/>
      <c r="N217" s="77"/>
      <c r="O217" s="77"/>
      <c r="R217" s="77"/>
      <c r="V217" s="77"/>
      <c r="Y217" s="77"/>
    </row>
    <row r="218" spans="2:25" x14ac:dyDescent="0.2">
      <c r="B218" s="77"/>
      <c r="C218" s="77"/>
      <c r="D218" s="77"/>
      <c r="E218" s="77"/>
      <c r="F218" s="77"/>
      <c r="G218" s="77"/>
      <c r="H218" s="77"/>
      <c r="I218" s="77"/>
      <c r="J218" s="77"/>
      <c r="K218" s="77"/>
      <c r="L218" s="77"/>
      <c r="M218" s="77"/>
      <c r="N218" s="77"/>
      <c r="O218" s="77"/>
      <c r="R218" s="77"/>
      <c r="V218" s="77"/>
      <c r="Y218" s="77"/>
    </row>
    <row r="219" spans="2:25" x14ac:dyDescent="0.2">
      <c r="B219" s="77"/>
      <c r="C219" s="77"/>
      <c r="D219" s="77"/>
      <c r="E219" s="77"/>
      <c r="F219" s="77"/>
      <c r="G219" s="77"/>
      <c r="H219" s="77"/>
      <c r="I219" s="77"/>
      <c r="J219" s="77"/>
      <c r="K219" s="77"/>
      <c r="L219" s="77"/>
      <c r="M219" s="77"/>
      <c r="N219" s="77"/>
      <c r="O219" s="77"/>
      <c r="R219" s="77"/>
      <c r="V219" s="77"/>
      <c r="Y219" s="77"/>
    </row>
    <row r="220" spans="2:25" x14ac:dyDescent="0.2">
      <c r="B220" s="77"/>
      <c r="C220" s="77"/>
      <c r="D220" s="77"/>
      <c r="E220" s="77"/>
      <c r="F220" s="77"/>
      <c r="G220" s="77"/>
      <c r="H220" s="77"/>
      <c r="I220" s="77"/>
      <c r="J220" s="77"/>
      <c r="K220" s="77"/>
      <c r="L220" s="77"/>
      <c r="M220" s="77"/>
      <c r="N220" s="77"/>
      <c r="O220" s="77"/>
      <c r="R220" s="77"/>
      <c r="V220" s="77"/>
      <c r="Y220" s="77"/>
    </row>
    <row r="221" spans="2:25" x14ac:dyDescent="0.2">
      <c r="B221" s="77"/>
      <c r="C221" s="77"/>
      <c r="D221" s="77"/>
      <c r="E221" s="77"/>
      <c r="F221" s="77"/>
      <c r="G221" s="77"/>
      <c r="H221" s="77"/>
      <c r="I221" s="77"/>
      <c r="J221" s="77"/>
      <c r="K221" s="77"/>
      <c r="L221" s="77"/>
      <c r="M221" s="77"/>
      <c r="N221" s="77"/>
      <c r="O221" s="77"/>
      <c r="R221" s="77"/>
      <c r="V221" s="77"/>
      <c r="Y221" s="77"/>
    </row>
    <row r="222" spans="2:25" x14ac:dyDescent="0.2">
      <c r="B222" s="77"/>
      <c r="C222" s="77"/>
      <c r="D222" s="77"/>
      <c r="E222" s="77"/>
      <c r="F222" s="77"/>
      <c r="G222" s="77"/>
      <c r="H222" s="77"/>
      <c r="I222" s="77"/>
      <c r="J222" s="77"/>
      <c r="K222" s="77"/>
      <c r="L222" s="77"/>
      <c r="M222" s="77"/>
      <c r="N222" s="77"/>
      <c r="O222" s="77"/>
      <c r="R222" s="77"/>
      <c r="V222" s="77"/>
      <c r="Y222" s="77"/>
    </row>
    <row r="223" spans="2:25" x14ac:dyDescent="0.2">
      <c r="B223" s="77"/>
      <c r="C223" s="77"/>
      <c r="D223" s="77"/>
      <c r="E223" s="77"/>
      <c r="F223" s="77"/>
      <c r="G223" s="77"/>
      <c r="H223" s="77"/>
      <c r="I223" s="77"/>
      <c r="J223" s="77"/>
      <c r="K223" s="77"/>
      <c r="L223" s="77"/>
      <c r="M223" s="77"/>
      <c r="N223" s="77"/>
      <c r="O223" s="77"/>
      <c r="R223" s="77"/>
      <c r="V223" s="77"/>
      <c r="Y223" s="77"/>
    </row>
    <row r="224" spans="2:25" x14ac:dyDescent="0.2">
      <c r="B224" s="77"/>
      <c r="C224" s="77"/>
      <c r="D224" s="77"/>
      <c r="E224" s="77"/>
      <c r="F224" s="77"/>
      <c r="G224" s="77"/>
      <c r="H224" s="77"/>
      <c r="I224" s="77"/>
      <c r="J224" s="77"/>
      <c r="K224" s="77"/>
      <c r="L224" s="77"/>
      <c r="M224" s="77"/>
      <c r="N224" s="77"/>
      <c r="O224" s="77"/>
      <c r="R224" s="77"/>
      <c r="V224" s="77"/>
      <c r="Y224" s="77"/>
    </row>
    <row r="225" spans="2:25" x14ac:dyDescent="0.2">
      <c r="B225" s="77"/>
      <c r="C225" s="77"/>
      <c r="D225" s="77"/>
      <c r="E225" s="77"/>
      <c r="F225" s="77"/>
      <c r="G225" s="77"/>
      <c r="H225" s="77"/>
      <c r="I225" s="77"/>
      <c r="J225" s="77"/>
      <c r="K225" s="77"/>
      <c r="L225" s="77"/>
      <c r="M225" s="77"/>
      <c r="N225" s="77"/>
      <c r="O225" s="77"/>
      <c r="R225" s="77"/>
      <c r="V225" s="77"/>
      <c r="Y225" s="77"/>
    </row>
    <row r="226" spans="2:25" x14ac:dyDescent="0.2">
      <c r="B226" s="77"/>
      <c r="C226" s="77"/>
      <c r="D226" s="77"/>
      <c r="E226" s="77"/>
      <c r="F226" s="77"/>
      <c r="G226" s="77"/>
      <c r="H226" s="77"/>
      <c r="I226" s="77"/>
      <c r="J226" s="77"/>
      <c r="K226" s="77"/>
      <c r="L226" s="77"/>
      <c r="M226" s="77"/>
      <c r="N226" s="77"/>
      <c r="O226" s="77"/>
      <c r="R226" s="77"/>
      <c r="V226" s="77"/>
      <c r="Y226" s="77"/>
    </row>
    <row r="227" spans="2:25" x14ac:dyDescent="0.2">
      <c r="B227" s="77"/>
      <c r="C227" s="77"/>
      <c r="D227" s="77"/>
      <c r="E227" s="77"/>
      <c r="F227" s="77"/>
      <c r="G227" s="77"/>
      <c r="H227" s="77"/>
      <c r="I227" s="77"/>
      <c r="J227" s="77"/>
      <c r="K227" s="77"/>
      <c r="L227" s="77"/>
      <c r="M227" s="77"/>
      <c r="N227" s="77"/>
      <c r="O227" s="77"/>
      <c r="R227" s="77"/>
      <c r="V227" s="77"/>
      <c r="Y227" s="77"/>
    </row>
    <row r="228" spans="2:25" x14ac:dyDescent="0.2">
      <c r="B228" s="77"/>
      <c r="C228" s="77"/>
      <c r="D228" s="77"/>
      <c r="E228" s="77"/>
      <c r="F228" s="77"/>
      <c r="G228" s="77"/>
      <c r="H228" s="77"/>
      <c r="I228" s="77"/>
      <c r="J228" s="77"/>
      <c r="K228" s="77"/>
      <c r="L228" s="77"/>
      <c r="M228" s="77"/>
      <c r="N228" s="77"/>
      <c r="O228" s="77"/>
      <c r="R228" s="77"/>
      <c r="V228" s="77"/>
      <c r="Y228" s="77"/>
    </row>
    <row r="229" spans="2:25" x14ac:dyDescent="0.2">
      <c r="B229" s="77"/>
      <c r="C229" s="77"/>
      <c r="D229" s="77"/>
      <c r="E229" s="77"/>
      <c r="F229" s="77"/>
      <c r="G229" s="77"/>
      <c r="H229" s="77"/>
      <c r="I229" s="77"/>
      <c r="J229" s="77"/>
      <c r="K229" s="77"/>
      <c r="L229" s="77"/>
      <c r="M229" s="77"/>
      <c r="N229" s="77"/>
      <c r="O229" s="77"/>
      <c r="R229" s="77"/>
      <c r="V229" s="77"/>
      <c r="Y229" s="77"/>
    </row>
    <row r="230" spans="2:25" x14ac:dyDescent="0.2">
      <c r="B230" s="77"/>
      <c r="C230" s="77"/>
      <c r="D230" s="77"/>
      <c r="E230" s="77"/>
      <c r="F230" s="77"/>
      <c r="G230" s="77"/>
      <c r="H230" s="77"/>
      <c r="I230" s="77"/>
      <c r="J230" s="77"/>
      <c r="K230" s="77"/>
      <c r="L230" s="77"/>
      <c r="M230" s="77"/>
      <c r="N230" s="77"/>
      <c r="O230" s="77"/>
      <c r="R230" s="77"/>
      <c r="V230" s="77"/>
      <c r="Y230" s="77"/>
    </row>
    <row r="231" spans="2:25" x14ac:dyDescent="0.2">
      <c r="B231" s="77"/>
      <c r="C231" s="77"/>
      <c r="D231" s="77"/>
      <c r="E231" s="77"/>
      <c r="F231" s="77"/>
      <c r="G231" s="77"/>
      <c r="H231" s="77"/>
      <c r="I231" s="77"/>
      <c r="J231" s="77"/>
      <c r="K231" s="77"/>
      <c r="L231" s="77"/>
      <c r="M231" s="77"/>
      <c r="N231" s="77"/>
      <c r="O231" s="77"/>
      <c r="R231" s="77"/>
      <c r="V231" s="77"/>
      <c r="Y231" s="77"/>
    </row>
    <row r="232" spans="2:25" x14ac:dyDescent="0.2">
      <c r="B232" s="77"/>
      <c r="C232" s="77"/>
      <c r="D232" s="77"/>
      <c r="E232" s="77"/>
      <c r="F232" s="77"/>
      <c r="G232" s="77"/>
      <c r="H232" s="77"/>
      <c r="I232" s="77"/>
      <c r="J232" s="77"/>
      <c r="K232" s="77"/>
      <c r="L232" s="77"/>
      <c r="M232" s="77"/>
      <c r="N232" s="77"/>
      <c r="O232" s="77"/>
      <c r="R232" s="77"/>
      <c r="V232" s="77"/>
      <c r="Y232" s="77"/>
    </row>
    <row r="233" spans="2:25" x14ac:dyDescent="0.2">
      <c r="B233" s="77"/>
      <c r="C233" s="77"/>
      <c r="D233" s="77"/>
      <c r="E233" s="77"/>
      <c r="F233" s="77"/>
      <c r="G233" s="77"/>
      <c r="H233" s="77"/>
      <c r="I233" s="77"/>
      <c r="J233" s="77"/>
      <c r="K233" s="77"/>
      <c r="L233" s="77"/>
      <c r="M233" s="77"/>
      <c r="N233" s="77"/>
      <c r="O233" s="77"/>
      <c r="R233" s="77"/>
      <c r="V233" s="77"/>
      <c r="Y233" s="77"/>
    </row>
    <row r="234" spans="2:25" x14ac:dyDescent="0.2">
      <c r="B234" s="77"/>
      <c r="C234" s="77"/>
      <c r="D234" s="77"/>
      <c r="E234" s="77"/>
      <c r="F234" s="77"/>
      <c r="G234" s="77"/>
      <c r="H234" s="77"/>
      <c r="I234" s="77"/>
      <c r="J234" s="77"/>
      <c r="K234" s="77"/>
      <c r="L234" s="77"/>
      <c r="M234" s="77"/>
      <c r="N234" s="77"/>
      <c r="O234" s="77"/>
      <c r="R234" s="77"/>
      <c r="V234" s="77"/>
      <c r="Y234" s="77"/>
    </row>
    <row r="235" spans="2:25" x14ac:dyDescent="0.2">
      <c r="B235" s="77"/>
      <c r="C235" s="77"/>
      <c r="D235" s="77"/>
      <c r="E235" s="77"/>
      <c r="F235" s="77"/>
      <c r="G235" s="77"/>
      <c r="H235" s="77"/>
      <c r="I235" s="77"/>
      <c r="J235" s="77"/>
      <c r="K235" s="77"/>
      <c r="L235" s="77"/>
      <c r="M235" s="77"/>
      <c r="N235" s="77"/>
      <c r="O235" s="77"/>
      <c r="R235" s="77"/>
      <c r="V235" s="77"/>
      <c r="Y235" s="77"/>
    </row>
    <row r="236" spans="2:25" x14ac:dyDescent="0.2">
      <c r="B236" s="77"/>
      <c r="C236" s="77"/>
      <c r="D236" s="77"/>
      <c r="E236" s="77"/>
      <c r="F236" s="77"/>
      <c r="G236" s="77"/>
      <c r="H236" s="77"/>
      <c r="I236" s="77"/>
      <c r="J236" s="77"/>
      <c r="K236" s="77"/>
      <c r="L236" s="77"/>
      <c r="M236" s="77"/>
      <c r="N236" s="77"/>
      <c r="O236" s="77"/>
      <c r="R236" s="77"/>
      <c r="V236" s="77"/>
      <c r="Y236" s="77"/>
    </row>
    <row r="237" spans="2:25" x14ac:dyDescent="0.2">
      <c r="B237" s="77"/>
      <c r="C237" s="77"/>
      <c r="D237" s="77"/>
      <c r="E237" s="77"/>
      <c r="F237" s="77"/>
      <c r="G237" s="77"/>
      <c r="H237" s="77"/>
      <c r="I237" s="77"/>
      <c r="J237" s="77"/>
      <c r="K237" s="77"/>
      <c r="L237" s="77"/>
      <c r="M237" s="77"/>
      <c r="N237" s="77"/>
      <c r="O237" s="77"/>
      <c r="R237" s="77"/>
      <c r="V237" s="77"/>
      <c r="Y237" s="77"/>
    </row>
    <row r="238" spans="2:25" x14ac:dyDescent="0.2">
      <c r="B238" s="77"/>
      <c r="C238" s="77"/>
      <c r="D238" s="77"/>
      <c r="E238" s="77"/>
      <c r="F238" s="77"/>
      <c r="G238" s="77"/>
      <c r="H238" s="77"/>
      <c r="I238" s="77"/>
      <c r="J238" s="77"/>
      <c r="K238" s="77"/>
      <c r="L238" s="77"/>
      <c r="M238" s="77"/>
      <c r="N238" s="77"/>
      <c r="O238" s="77"/>
      <c r="R238" s="77"/>
      <c r="V238" s="77"/>
      <c r="Y238" s="77"/>
    </row>
    <row r="239" spans="2:25" x14ac:dyDescent="0.2">
      <c r="B239" s="77"/>
      <c r="C239" s="77"/>
      <c r="D239" s="77"/>
      <c r="E239" s="77"/>
      <c r="F239" s="77"/>
      <c r="G239" s="77"/>
      <c r="H239" s="77"/>
      <c r="I239" s="77"/>
      <c r="J239" s="77"/>
      <c r="K239" s="77"/>
      <c r="L239" s="77"/>
      <c r="M239" s="77"/>
      <c r="N239" s="77"/>
      <c r="O239" s="77"/>
      <c r="R239" s="77"/>
      <c r="V239" s="77"/>
      <c r="Y239" s="77"/>
    </row>
    <row r="240" spans="2:25" x14ac:dyDescent="0.2">
      <c r="B240" s="77"/>
      <c r="C240" s="77"/>
      <c r="D240" s="77"/>
      <c r="E240" s="77"/>
      <c r="F240" s="77"/>
      <c r="G240" s="77"/>
      <c r="H240" s="77"/>
      <c r="I240" s="77"/>
      <c r="J240" s="77"/>
      <c r="K240" s="77"/>
      <c r="L240" s="77"/>
      <c r="M240" s="77"/>
      <c r="N240" s="77"/>
      <c r="O240" s="77"/>
      <c r="R240" s="77"/>
      <c r="V240" s="77"/>
      <c r="Y240" s="77"/>
    </row>
    <row r="241" spans="2:25" x14ac:dyDescent="0.2">
      <c r="B241" s="77"/>
      <c r="C241" s="77"/>
      <c r="D241" s="77"/>
      <c r="E241" s="77"/>
      <c r="F241" s="77"/>
      <c r="G241" s="77"/>
      <c r="H241" s="77"/>
      <c r="I241" s="77"/>
      <c r="J241" s="77"/>
      <c r="K241" s="77"/>
      <c r="L241" s="77"/>
      <c r="M241" s="77"/>
      <c r="N241" s="77"/>
      <c r="O241" s="77"/>
      <c r="R241" s="77"/>
      <c r="V241" s="77"/>
      <c r="Y241" s="77"/>
    </row>
    <row r="242" spans="2:25" x14ac:dyDescent="0.2">
      <c r="B242" s="77"/>
      <c r="C242" s="77"/>
      <c r="D242" s="77"/>
      <c r="E242" s="77"/>
      <c r="F242" s="77"/>
      <c r="G242" s="77"/>
      <c r="H242" s="77"/>
      <c r="I242" s="77"/>
      <c r="J242" s="77"/>
      <c r="K242" s="77"/>
      <c r="L242" s="77"/>
      <c r="M242" s="77"/>
      <c r="N242" s="77"/>
      <c r="O242" s="77"/>
      <c r="R242" s="77"/>
      <c r="V242" s="77"/>
      <c r="Y242" s="77"/>
    </row>
    <row r="243" spans="2:25" x14ac:dyDescent="0.2">
      <c r="B243" s="77"/>
      <c r="C243" s="77"/>
      <c r="D243" s="77"/>
      <c r="E243" s="77"/>
      <c r="F243" s="77"/>
      <c r="G243" s="77"/>
      <c r="H243" s="77"/>
      <c r="I243" s="77"/>
      <c r="J243" s="77"/>
      <c r="K243" s="77"/>
      <c r="L243" s="77"/>
      <c r="M243" s="77"/>
      <c r="N243" s="77"/>
      <c r="O243" s="77"/>
      <c r="R243" s="77"/>
      <c r="V243" s="77"/>
      <c r="Y243" s="77"/>
    </row>
    <row r="244" spans="2:25" x14ac:dyDescent="0.2">
      <c r="B244" s="77"/>
      <c r="C244" s="77"/>
      <c r="D244" s="77"/>
      <c r="E244" s="77"/>
      <c r="F244" s="77"/>
      <c r="G244" s="77"/>
      <c r="H244" s="77"/>
      <c r="I244" s="77"/>
      <c r="J244" s="77"/>
      <c r="K244" s="77"/>
      <c r="L244" s="77"/>
      <c r="M244" s="77"/>
      <c r="N244" s="77"/>
      <c r="O244" s="77"/>
      <c r="R244" s="77"/>
      <c r="V244" s="77"/>
      <c r="Y244" s="77"/>
    </row>
    <row r="245" spans="2:25" x14ac:dyDescent="0.2">
      <c r="B245" s="77"/>
      <c r="C245" s="77"/>
      <c r="D245" s="77"/>
      <c r="E245" s="77"/>
      <c r="F245" s="77"/>
      <c r="G245" s="77"/>
      <c r="H245" s="77"/>
      <c r="I245" s="77"/>
      <c r="J245" s="77"/>
      <c r="K245" s="77"/>
      <c r="L245" s="77"/>
      <c r="M245" s="77"/>
      <c r="N245" s="77"/>
      <c r="O245" s="77"/>
      <c r="R245" s="77"/>
      <c r="V245" s="77"/>
      <c r="Y245" s="77"/>
    </row>
    <row r="246" spans="2:25" x14ac:dyDescent="0.2">
      <c r="B246" s="77"/>
      <c r="C246" s="77"/>
      <c r="D246" s="77"/>
      <c r="E246" s="77"/>
      <c r="F246" s="77"/>
      <c r="G246" s="77"/>
      <c r="H246" s="77"/>
      <c r="I246" s="77"/>
      <c r="J246" s="77"/>
      <c r="K246" s="77"/>
      <c r="L246" s="77"/>
      <c r="M246" s="77"/>
      <c r="N246" s="77"/>
      <c r="O246" s="77"/>
      <c r="R246" s="77"/>
      <c r="V246" s="77"/>
      <c r="Y246" s="77"/>
    </row>
    <row r="247" spans="2:25" x14ac:dyDescent="0.2">
      <c r="B247" s="77"/>
      <c r="C247" s="77"/>
      <c r="D247" s="77"/>
      <c r="E247" s="77"/>
      <c r="F247" s="77"/>
      <c r="G247" s="77"/>
      <c r="H247" s="77"/>
      <c r="I247" s="77"/>
      <c r="J247" s="77"/>
      <c r="K247" s="77"/>
      <c r="L247" s="77"/>
      <c r="M247" s="77"/>
      <c r="N247" s="77"/>
      <c r="O247" s="77"/>
      <c r="R247" s="77"/>
      <c r="V247" s="77"/>
      <c r="Y247" s="77"/>
    </row>
    <row r="248" spans="2:25" x14ac:dyDescent="0.2">
      <c r="B248" s="77"/>
      <c r="C248" s="77"/>
      <c r="D248" s="77"/>
      <c r="E248" s="77"/>
      <c r="F248" s="77"/>
      <c r="G248" s="77"/>
      <c r="H248" s="77"/>
      <c r="I248" s="77"/>
      <c r="J248" s="77"/>
      <c r="K248" s="77"/>
      <c r="L248" s="77"/>
      <c r="M248" s="77"/>
      <c r="N248" s="77"/>
      <c r="O248" s="77"/>
      <c r="R248" s="77"/>
      <c r="V248" s="77"/>
      <c r="Y248" s="77"/>
    </row>
    <row r="249" spans="2:25" x14ac:dyDescent="0.2">
      <c r="B249" s="77"/>
      <c r="C249" s="77"/>
      <c r="D249" s="77"/>
      <c r="E249" s="77"/>
      <c r="F249" s="77"/>
      <c r="G249" s="77"/>
      <c r="H249" s="77"/>
      <c r="I249" s="77"/>
      <c r="J249" s="77"/>
      <c r="K249" s="77"/>
      <c r="L249" s="77"/>
      <c r="M249" s="77"/>
      <c r="N249" s="77"/>
      <c r="O249" s="77"/>
      <c r="R249" s="77"/>
      <c r="V249" s="77"/>
      <c r="Y249" s="77"/>
    </row>
    <row r="250" spans="2:25" x14ac:dyDescent="0.2">
      <c r="B250" s="77"/>
      <c r="C250" s="77"/>
      <c r="D250" s="77"/>
      <c r="E250" s="77"/>
      <c r="F250" s="77"/>
      <c r="G250" s="77"/>
      <c r="H250" s="77"/>
      <c r="I250" s="77"/>
      <c r="J250" s="77"/>
      <c r="K250" s="77"/>
      <c r="L250" s="77"/>
      <c r="M250" s="77"/>
      <c r="N250" s="77"/>
      <c r="O250" s="77"/>
      <c r="R250" s="77"/>
      <c r="V250" s="77"/>
      <c r="Y250" s="77"/>
    </row>
    <row r="251" spans="2:25" x14ac:dyDescent="0.2">
      <c r="B251" s="77"/>
      <c r="C251" s="77"/>
      <c r="D251" s="77"/>
      <c r="E251" s="77"/>
      <c r="F251" s="77"/>
      <c r="G251" s="77"/>
      <c r="H251" s="77"/>
      <c r="I251" s="77"/>
      <c r="J251" s="77"/>
      <c r="K251" s="77"/>
      <c r="L251" s="77"/>
      <c r="M251" s="77"/>
      <c r="N251" s="77"/>
      <c r="O251" s="77"/>
      <c r="R251" s="77"/>
      <c r="V251" s="77"/>
      <c r="Y251" s="77"/>
    </row>
    <row r="252" spans="2:25" x14ac:dyDescent="0.2">
      <c r="B252" s="77"/>
      <c r="C252" s="77"/>
      <c r="D252" s="77"/>
      <c r="E252" s="77"/>
      <c r="F252" s="77"/>
      <c r="G252" s="77"/>
      <c r="H252" s="77"/>
      <c r="I252" s="77"/>
      <c r="J252" s="77"/>
      <c r="K252" s="77"/>
      <c r="L252" s="77"/>
      <c r="M252" s="77"/>
      <c r="N252" s="77"/>
      <c r="O252" s="77"/>
      <c r="R252" s="77"/>
      <c r="V252" s="77"/>
      <c r="Y252" s="77"/>
    </row>
    <row r="253" spans="2:25" x14ac:dyDescent="0.2">
      <c r="B253" s="77"/>
      <c r="C253" s="77"/>
      <c r="D253" s="77"/>
      <c r="E253" s="77"/>
      <c r="F253" s="77"/>
      <c r="G253" s="77"/>
      <c r="H253" s="77"/>
      <c r="I253" s="77"/>
      <c r="J253" s="77"/>
      <c r="K253" s="77"/>
      <c r="L253" s="77"/>
      <c r="M253" s="77"/>
      <c r="N253" s="77"/>
      <c r="O253" s="77"/>
      <c r="R253" s="77"/>
      <c r="V253" s="77"/>
      <c r="Y253" s="77"/>
    </row>
    <row r="254" spans="2:25" x14ac:dyDescent="0.2">
      <c r="B254" s="77"/>
      <c r="C254" s="77"/>
      <c r="D254" s="77"/>
      <c r="E254" s="77"/>
      <c r="F254" s="77"/>
      <c r="G254" s="77"/>
      <c r="H254" s="77"/>
      <c r="I254" s="77"/>
      <c r="J254" s="77"/>
      <c r="K254" s="77"/>
      <c r="L254" s="77"/>
      <c r="M254" s="77"/>
      <c r="N254" s="77"/>
      <c r="O254" s="77"/>
      <c r="R254" s="77"/>
      <c r="V254" s="77"/>
      <c r="Y254" s="77"/>
    </row>
    <row r="255" spans="2:25" x14ac:dyDescent="0.2">
      <c r="B255" s="77"/>
      <c r="C255" s="77"/>
      <c r="D255" s="77"/>
      <c r="E255" s="77"/>
      <c r="F255" s="77"/>
      <c r="G255" s="77"/>
      <c r="H255" s="77"/>
      <c r="I255" s="77"/>
      <c r="J255" s="77"/>
      <c r="K255" s="77"/>
      <c r="L255" s="77"/>
      <c r="M255" s="77"/>
      <c r="N255" s="77"/>
      <c r="O255" s="77"/>
      <c r="R255" s="77"/>
      <c r="V255" s="77"/>
      <c r="Y255" s="77"/>
    </row>
    <row r="256" spans="2:25" x14ac:dyDescent="0.2">
      <c r="B256" s="77"/>
      <c r="C256" s="77"/>
      <c r="D256" s="77"/>
      <c r="E256" s="77"/>
      <c r="F256" s="77"/>
      <c r="G256" s="77"/>
      <c r="H256" s="77"/>
      <c r="I256" s="77"/>
      <c r="J256" s="77"/>
      <c r="K256" s="77"/>
      <c r="L256" s="77"/>
      <c r="M256" s="77"/>
      <c r="N256" s="77"/>
      <c r="O256" s="77"/>
      <c r="R256" s="77"/>
      <c r="V256" s="77"/>
      <c r="Y256" s="77"/>
    </row>
    <row r="257" spans="2:25" x14ac:dyDescent="0.2">
      <c r="B257" s="77"/>
      <c r="C257" s="77"/>
      <c r="D257" s="77"/>
      <c r="E257" s="77"/>
      <c r="F257" s="77"/>
      <c r="G257" s="77"/>
      <c r="H257" s="77"/>
      <c r="I257" s="77"/>
      <c r="J257" s="77"/>
      <c r="K257" s="77"/>
      <c r="L257" s="77"/>
      <c r="M257" s="77"/>
      <c r="N257" s="77"/>
      <c r="O257" s="77"/>
      <c r="R257" s="77"/>
      <c r="V257" s="77"/>
      <c r="Y257" s="77"/>
    </row>
    <row r="258" spans="2:25" x14ac:dyDescent="0.2">
      <c r="B258" s="77"/>
      <c r="C258" s="77"/>
      <c r="D258" s="77"/>
      <c r="E258" s="77"/>
      <c r="F258" s="77"/>
      <c r="G258" s="77"/>
      <c r="H258" s="77"/>
      <c r="I258" s="77"/>
      <c r="J258" s="77"/>
      <c r="K258" s="77"/>
      <c r="L258" s="77"/>
      <c r="M258" s="77"/>
      <c r="N258" s="77"/>
      <c r="O258" s="77"/>
      <c r="R258" s="77"/>
      <c r="V258" s="77"/>
      <c r="Y258" s="77"/>
    </row>
    <row r="259" spans="2:25" x14ac:dyDescent="0.2">
      <c r="B259" s="77"/>
      <c r="C259" s="77"/>
      <c r="D259" s="77"/>
      <c r="E259" s="77"/>
      <c r="F259" s="77"/>
      <c r="G259" s="77"/>
      <c r="H259" s="77"/>
      <c r="I259" s="77"/>
      <c r="J259" s="77"/>
      <c r="K259" s="77"/>
      <c r="L259" s="77"/>
      <c r="M259" s="77"/>
      <c r="N259" s="77"/>
      <c r="O259" s="77"/>
      <c r="R259" s="77"/>
      <c r="V259" s="77"/>
      <c r="Y259" s="77"/>
    </row>
    <row r="260" spans="2:25" x14ac:dyDescent="0.2">
      <c r="B260" s="77"/>
      <c r="C260" s="77"/>
      <c r="D260" s="77"/>
      <c r="E260" s="77"/>
      <c r="F260" s="77"/>
      <c r="G260" s="77"/>
      <c r="H260" s="77"/>
      <c r="I260" s="77"/>
      <c r="J260" s="77"/>
      <c r="K260" s="77"/>
      <c r="L260" s="77"/>
      <c r="M260" s="77"/>
      <c r="N260" s="77"/>
      <c r="O260" s="77"/>
      <c r="R260" s="77"/>
      <c r="V260" s="77"/>
      <c r="Y260" s="77"/>
    </row>
    <row r="261" spans="2:25" x14ac:dyDescent="0.2">
      <c r="B261" s="77"/>
      <c r="C261" s="77"/>
      <c r="D261" s="77"/>
      <c r="E261" s="77"/>
      <c r="F261" s="77"/>
      <c r="G261" s="77"/>
      <c r="H261" s="77"/>
      <c r="I261" s="77"/>
      <c r="J261" s="77"/>
      <c r="K261" s="77"/>
      <c r="L261" s="77"/>
      <c r="M261" s="77"/>
      <c r="N261" s="77"/>
      <c r="O261" s="77"/>
      <c r="R261" s="77"/>
      <c r="V261" s="77"/>
      <c r="Y261" s="77"/>
    </row>
    <row r="262" spans="2:25" x14ac:dyDescent="0.2">
      <c r="B262" s="77"/>
      <c r="C262" s="77"/>
      <c r="D262" s="77"/>
      <c r="E262" s="77"/>
      <c r="F262" s="77"/>
      <c r="G262" s="77"/>
      <c r="H262" s="77"/>
      <c r="I262" s="77"/>
      <c r="J262" s="77"/>
      <c r="K262" s="77"/>
      <c r="L262" s="77"/>
      <c r="M262" s="77"/>
      <c r="N262" s="77"/>
      <c r="O262" s="77"/>
      <c r="R262" s="77"/>
      <c r="V262" s="77"/>
      <c r="Y262" s="77"/>
    </row>
    <row r="263" spans="2:25" x14ac:dyDescent="0.2">
      <c r="B263" s="77"/>
      <c r="C263" s="77"/>
      <c r="D263" s="77"/>
      <c r="E263" s="77"/>
      <c r="F263" s="77"/>
      <c r="G263" s="77"/>
      <c r="H263" s="77"/>
      <c r="I263" s="77"/>
      <c r="J263" s="77"/>
      <c r="K263" s="77"/>
      <c r="L263" s="77"/>
      <c r="M263" s="77"/>
      <c r="N263" s="77"/>
      <c r="O263" s="77"/>
      <c r="R263" s="77"/>
      <c r="V263" s="77"/>
      <c r="Y263" s="77"/>
    </row>
    <row r="264" spans="2:25" x14ac:dyDescent="0.2">
      <c r="B264" s="77"/>
      <c r="C264" s="77"/>
      <c r="D264" s="77"/>
      <c r="E264" s="77"/>
      <c r="F264" s="77"/>
      <c r="G264" s="77"/>
      <c r="H264" s="77"/>
      <c r="I264" s="77"/>
      <c r="J264" s="77"/>
      <c r="K264" s="77"/>
      <c r="L264" s="77"/>
      <c r="M264" s="77"/>
      <c r="N264" s="77"/>
      <c r="O264" s="77"/>
      <c r="R264" s="77"/>
      <c r="V264" s="77"/>
      <c r="Y264" s="77"/>
    </row>
    <row r="265" spans="2:25" x14ac:dyDescent="0.2">
      <c r="B265" s="77"/>
      <c r="C265" s="77"/>
      <c r="D265" s="77"/>
      <c r="E265" s="77"/>
      <c r="F265" s="77"/>
      <c r="G265" s="77"/>
      <c r="H265" s="77"/>
      <c r="I265" s="77"/>
      <c r="J265" s="77"/>
      <c r="K265" s="77"/>
      <c r="L265" s="77"/>
      <c r="M265" s="77"/>
      <c r="N265" s="77"/>
      <c r="O265" s="77"/>
      <c r="R265" s="77"/>
      <c r="V265" s="77"/>
      <c r="Y265" s="77"/>
    </row>
    <row r="266" spans="2:25" x14ac:dyDescent="0.2">
      <c r="B266" s="77"/>
      <c r="C266" s="77"/>
      <c r="D266" s="77"/>
      <c r="E266" s="77"/>
      <c r="F266" s="77"/>
      <c r="G266" s="77"/>
      <c r="H266" s="77"/>
      <c r="I266" s="77"/>
      <c r="J266" s="77"/>
      <c r="K266" s="77"/>
      <c r="L266" s="77"/>
      <c r="M266" s="77"/>
      <c r="N266" s="77"/>
      <c r="O266" s="77"/>
      <c r="R266" s="77"/>
      <c r="V266" s="77"/>
      <c r="Y266" s="77"/>
    </row>
    <row r="267" spans="2:25" x14ac:dyDescent="0.2">
      <c r="B267" s="77"/>
      <c r="C267" s="77"/>
      <c r="D267" s="77"/>
      <c r="E267" s="77"/>
      <c r="F267" s="77"/>
      <c r="G267" s="77"/>
      <c r="H267" s="77"/>
      <c r="I267" s="77"/>
      <c r="J267" s="77"/>
      <c r="K267" s="77"/>
      <c r="L267" s="77"/>
      <c r="M267" s="77"/>
      <c r="N267" s="77"/>
      <c r="O267" s="77"/>
      <c r="R267" s="77"/>
      <c r="V267" s="77"/>
      <c r="Y267" s="77"/>
    </row>
    <row r="268" spans="2:25" x14ac:dyDescent="0.2">
      <c r="B268" s="77"/>
      <c r="C268" s="77"/>
      <c r="D268" s="77"/>
      <c r="E268" s="77"/>
      <c r="F268" s="77"/>
      <c r="G268" s="77"/>
      <c r="H268" s="77"/>
      <c r="I268" s="77"/>
      <c r="J268" s="77"/>
      <c r="K268" s="77"/>
      <c r="L268" s="77"/>
      <c r="M268" s="77"/>
      <c r="N268" s="77"/>
      <c r="O268" s="77"/>
      <c r="R268" s="77"/>
      <c r="V268" s="77"/>
      <c r="Y268" s="77"/>
    </row>
    <row r="269" spans="2:25" x14ac:dyDescent="0.2">
      <c r="B269" s="77"/>
      <c r="C269" s="77"/>
      <c r="D269" s="77"/>
      <c r="E269" s="77"/>
      <c r="F269" s="77"/>
      <c r="G269" s="77"/>
      <c r="H269" s="77"/>
      <c r="I269" s="77"/>
      <c r="J269" s="77"/>
      <c r="K269" s="77"/>
      <c r="L269" s="77"/>
      <c r="M269" s="77"/>
      <c r="N269" s="77"/>
      <c r="O269" s="77"/>
      <c r="R269" s="77"/>
      <c r="V269" s="77"/>
      <c r="Y269" s="77"/>
    </row>
    <row r="270" spans="2:25" x14ac:dyDescent="0.2">
      <c r="B270" s="77"/>
      <c r="C270" s="77"/>
      <c r="D270" s="77"/>
      <c r="E270" s="77"/>
      <c r="F270" s="77"/>
      <c r="G270" s="77"/>
      <c r="H270" s="77"/>
      <c r="I270" s="77"/>
      <c r="J270" s="77"/>
      <c r="K270" s="77"/>
      <c r="L270" s="77"/>
      <c r="M270" s="77"/>
      <c r="N270" s="77"/>
      <c r="O270" s="77"/>
      <c r="R270" s="77"/>
      <c r="V270" s="77"/>
      <c r="Y270" s="77"/>
    </row>
    <row r="271" spans="2:25" x14ac:dyDescent="0.2">
      <c r="B271" s="77"/>
      <c r="C271" s="77"/>
      <c r="D271" s="77"/>
      <c r="E271" s="77"/>
      <c r="F271" s="77"/>
      <c r="G271" s="77"/>
      <c r="H271" s="77"/>
      <c r="I271" s="77"/>
      <c r="J271" s="77"/>
      <c r="K271" s="77"/>
      <c r="L271" s="77"/>
      <c r="M271" s="77"/>
      <c r="N271" s="77"/>
      <c r="O271" s="77"/>
      <c r="R271" s="77"/>
      <c r="V271" s="77"/>
      <c r="Y271" s="77"/>
    </row>
    <row r="272" spans="2:25" x14ac:dyDescent="0.2">
      <c r="B272" s="77"/>
      <c r="C272" s="77"/>
      <c r="D272" s="77"/>
      <c r="E272" s="77"/>
      <c r="F272" s="77"/>
      <c r="G272" s="77"/>
      <c r="H272" s="77"/>
      <c r="I272" s="77"/>
      <c r="J272" s="77"/>
      <c r="K272" s="77"/>
      <c r="L272" s="77"/>
      <c r="M272" s="77"/>
      <c r="N272" s="77"/>
      <c r="O272" s="77"/>
      <c r="R272" s="77"/>
      <c r="V272" s="77"/>
      <c r="Y272" s="77"/>
    </row>
    <row r="273" spans="2:25" x14ac:dyDescent="0.2">
      <c r="B273" s="77"/>
      <c r="C273" s="77"/>
      <c r="D273" s="77"/>
      <c r="E273" s="77"/>
      <c r="F273" s="77"/>
      <c r="G273" s="77"/>
      <c r="H273" s="77"/>
      <c r="I273" s="77"/>
      <c r="J273" s="77"/>
      <c r="K273" s="77"/>
      <c r="L273" s="77"/>
      <c r="M273" s="77"/>
      <c r="N273" s="77"/>
      <c r="O273" s="77"/>
      <c r="R273" s="77"/>
      <c r="V273" s="77"/>
      <c r="Y273" s="77"/>
    </row>
    <row r="274" spans="2:25" x14ac:dyDescent="0.2">
      <c r="B274" s="77"/>
      <c r="C274" s="77"/>
      <c r="D274" s="77"/>
      <c r="E274" s="77"/>
      <c r="F274" s="77"/>
      <c r="G274" s="77"/>
      <c r="H274" s="77"/>
      <c r="I274" s="77"/>
      <c r="J274" s="77"/>
      <c r="K274" s="77"/>
      <c r="L274" s="77"/>
      <c r="M274" s="77"/>
      <c r="N274" s="77"/>
      <c r="O274" s="77"/>
      <c r="R274" s="77"/>
      <c r="V274" s="77"/>
      <c r="Y274" s="77"/>
    </row>
    <row r="275" spans="2:25" x14ac:dyDescent="0.2">
      <c r="B275" s="77"/>
      <c r="C275" s="77"/>
      <c r="D275" s="77"/>
      <c r="E275" s="77"/>
      <c r="F275" s="77"/>
      <c r="G275" s="77"/>
      <c r="H275" s="77"/>
      <c r="I275" s="77"/>
      <c r="J275" s="77"/>
      <c r="K275" s="77"/>
      <c r="L275" s="77"/>
      <c r="M275" s="77"/>
      <c r="N275" s="77"/>
      <c r="O275" s="77"/>
      <c r="R275" s="77"/>
      <c r="V275" s="77"/>
      <c r="Y275" s="77"/>
    </row>
    <row r="276" spans="2:25" x14ac:dyDescent="0.2">
      <c r="B276" s="77"/>
      <c r="C276" s="77"/>
      <c r="D276" s="77"/>
      <c r="E276" s="77"/>
      <c r="F276" s="77"/>
      <c r="G276" s="77"/>
      <c r="H276" s="77"/>
      <c r="I276" s="77"/>
      <c r="J276" s="77"/>
      <c r="K276" s="77"/>
      <c r="L276" s="77"/>
      <c r="M276" s="77"/>
      <c r="N276" s="77"/>
      <c r="O276" s="77"/>
      <c r="R276" s="77"/>
      <c r="V276" s="77"/>
      <c r="Y276" s="77"/>
    </row>
    <row r="277" spans="2:25" x14ac:dyDescent="0.2">
      <c r="B277" s="77"/>
      <c r="C277" s="77"/>
      <c r="D277" s="77"/>
      <c r="E277" s="77"/>
      <c r="F277" s="77"/>
      <c r="G277" s="77"/>
      <c r="H277" s="77"/>
      <c r="I277" s="77"/>
      <c r="J277" s="77"/>
      <c r="K277" s="77"/>
      <c r="L277" s="77"/>
      <c r="M277" s="77"/>
      <c r="N277" s="77"/>
      <c r="O277" s="77"/>
      <c r="R277" s="77"/>
      <c r="V277" s="77"/>
      <c r="Y277" s="77"/>
    </row>
    <row r="278" spans="2:25" x14ac:dyDescent="0.2">
      <c r="B278" s="77"/>
      <c r="C278" s="77"/>
      <c r="D278" s="77"/>
      <c r="E278" s="77"/>
      <c r="F278" s="77"/>
      <c r="G278" s="77"/>
      <c r="H278" s="77"/>
      <c r="I278" s="77"/>
      <c r="J278" s="77"/>
      <c r="K278" s="77"/>
      <c r="L278" s="77"/>
      <c r="M278" s="77"/>
      <c r="N278" s="77"/>
      <c r="O278" s="77"/>
      <c r="R278" s="77"/>
      <c r="V278" s="77"/>
      <c r="Y278" s="77"/>
    </row>
    <row r="279" spans="2:25" x14ac:dyDescent="0.2">
      <c r="B279" s="77"/>
      <c r="C279" s="77"/>
      <c r="D279" s="77"/>
      <c r="E279" s="77"/>
      <c r="F279" s="77"/>
      <c r="G279" s="77"/>
      <c r="H279" s="77"/>
      <c r="I279" s="77"/>
      <c r="J279" s="77"/>
      <c r="K279" s="77"/>
      <c r="L279" s="77"/>
      <c r="M279" s="77"/>
      <c r="N279" s="77"/>
      <c r="O279" s="77"/>
      <c r="R279" s="77"/>
      <c r="V279" s="77"/>
      <c r="Y279" s="77"/>
    </row>
    <row r="280" spans="2:25" x14ac:dyDescent="0.2">
      <c r="B280" s="77"/>
      <c r="C280" s="77"/>
      <c r="D280" s="77"/>
      <c r="E280" s="77"/>
      <c r="F280" s="77"/>
      <c r="G280" s="77"/>
      <c r="H280" s="77"/>
      <c r="I280" s="77"/>
      <c r="J280" s="77"/>
      <c r="K280" s="77"/>
      <c r="L280" s="77"/>
      <c r="M280" s="77"/>
      <c r="N280" s="77"/>
      <c r="O280" s="77"/>
      <c r="R280" s="77"/>
      <c r="V280" s="77"/>
      <c r="Y280" s="77"/>
    </row>
    <row r="281" spans="2:25" x14ac:dyDescent="0.2">
      <c r="B281" s="77"/>
      <c r="C281" s="77"/>
      <c r="D281" s="77"/>
      <c r="E281" s="77"/>
      <c r="F281" s="77"/>
      <c r="G281" s="77"/>
      <c r="H281" s="77"/>
      <c r="I281" s="77"/>
      <c r="J281" s="77"/>
      <c r="K281" s="77"/>
      <c r="L281" s="77"/>
      <c r="M281" s="77"/>
      <c r="N281" s="77"/>
      <c r="O281" s="77"/>
      <c r="R281" s="77"/>
      <c r="V281" s="77"/>
      <c r="Y281" s="77"/>
    </row>
    <row r="282" spans="2:25" x14ac:dyDescent="0.2">
      <c r="B282" s="77"/>
      <c r="C282" s="77"/>
      <c r="D282" s="77"/>
      <c r="E282" s="77"/>
      <c r="F282" s="77"/>
      <c r="G282" s="77"/>
      <c r="H282" s="77"/>
      <c r="I282" s="77"/>
      <c r="J282" s="77"/>
      <c r="K282" s="77"/>
      <c r="L282" s="77"/>
      <c r="M282" s="77"/>
      <c r="N282" s="77"/>
      <c r="O282" s="77"/>
      <c r="R282" s="77"/>
      <c r="V282" s="77"/>
      <c r="Y282" s="77"/>
    </row>
    <row r="283" spans="2:25" x14ac:dyDescent="0.2">
      <c r="B283" s="77"/>
      <c r="C283" s="77"/>
      <c r="D283" s="77"/>
      <c r="E283" s="77"/>
      <c r="F283" s="77"/>
      <c r="G283" s="77"/>
      <c r="H283" s="77"/>
      <c r="I283" s="77"/>
      <c r="J283" s="77"/>
      <c r="K283" s="77"/>
      <c r="L283" s="77"/>
      <c r="M283" s="77"/>
      <c r="N283" s="77"/>
      <c r="O283" s="77"/>
      <c r="R283" s="77"/>
      <c r="V283" s="77"/>
      <c r="Y283" s="77"/>
    </row>
    <row r="284" spans="2:25" x14ac:dyDescent="0.2">
      <c r="B284" s="77"/>
      <c r="C284" s="77"/>
      <c r="D284" s="77"/>
      <c r="E284" s="77"/>
      <c r="F284" s="77"/>
      <c r="G284" s="77"/>
      <c r="H284" s="77"/>
      <c r="I284" s="77"/>
      <c r="J284" s="77"/>
      <c r="K284" s="77"/>
      <c r="L284" s="77"/>
      <c r="M284" s="77"/>
      <c r="N284" s="77"/>
      <c r="O284" s="77"/>
      <c r="R284" s="77"/>
      <c r="V284" s="77"/>
      <c r="Y284" s="77"/>
    </row>
    <row r="285" spans="2:25" x14ac:dyDescent="0.2">
      <c r="B285" s="77"/>
      <c r="C285" s="77"/>
      <c r="D285" s="77"/>
      <c r="E285" s="77"/>
      <c r="F285" s="77"/>
      <c r="G285" s="77"/>
      <c r="H285" s="77"/>
      <c r="I285" s="77"/>
      <c r="J285" s="77"/>
      <c r="K285" s="77"/>
      <c r="L285" s="77"/>
      <c r="M285" s="77"/>
      <c r="N285" s="77"/>
      <c r="O285" s="77"/>
      <c r="R285" s="77"/>
      <c r="V285" s="77"/>
      <c r="Y285" s="77"/>
    </row>
    <row r="286" spans="2:25" x14ac:dyDescent="0.2">
      <c r="B286" s="77"/>
      <c r="C286" s="77"/>
      <c r="D286" s="77"/>
      <c r="E286" s="77"/>
      <c r="F286" s="77"/>
      <c r="G286" s="77"/>
      <c r="H286" s="77"/>
      <c r="I286" s="77"/>
      <c r="J286" s="77"/>
      <c r="K286" s="77"/>
      <c r="L286" s="77"/>
      <c r="M286" s="77"/>
      <c r="N286" s="77"/>
      <c r="O286" s="77"/>
      <c r="R286" s="77"/>
      <c r="V286" s="77"/>
      <c r="Y286" s="77"/>
    </row>
    <row r="287" spans="2:25" x14ac:dyDescent="0.2">
      <c r="B287" s="77"/>
      <c r="C287" s="77"/>
      <c r="D287" s="77"/>
      <c r="E287" s="77"/>
      <c r="F287" s="77"/>
      <c r="G287" s="77"/>
      <c r="H287" s="77"/>
      <c r="I287" s="77"/>
      <c r="J287" s="77"/>
      <c r="K287" s="77"/>
      <c r="L287" s="77"/>
      <c r="M287" s="77"/>
      <c r="N287" s="77"/>
      <c r="O287" s="77"/>
      <c r="R287" s="77"/>
      <c r="V287" s="77"/>
      <c r="Y287" s="77"/>
    </row>
    <row r="288" spans="2:25" x14ac:dyDescent="0.2">
      <c r="B288" s="77"/>
      <c r="C288" s="77"/>
      <c r="D288" s="77"/>
      <c r="E288" s="77"/>
      <c r="F288" s="77"/>
      <c r="G288" s="77"/>
      <c r="H288" s="77"/>
      <c r="I288" s="77"/>
      <c r="J288" s="77"/>
      <c r="K288" s="77"/>
      <c r="L288" s="77"/>
      <c r="M288" s="77"/>
      <c r="N288" s="77"/>
      <c r="O288" s="77"/>
      <c r="R288" s="77"/>
      <c r="V288" s="77"/>
      <c r="Y288" s="77"/>
    </row>
    <row r="289" spans="2:25" x14ac:dyDescent="0.2">
      <c r="B289" s="77"/>
      <c r="C289" s="77"/>
      <c r="D289" s="77"/>
      <c r="E289" s="77"/>
      <c r="F289" s="77"/>
      <c r="G289" s="77"/>
      <c r="H289" s="77"/>
      <c r="I289" s="77"/>
      <c r="J289" s="77"/>
      <c r="K289" s="77"/>
      <c r="L289" s="77"/>
      <c r="M289" s="77"/>
      <c r="N289" s="77"/>
      <c r="O289" s="77"/>
      <c r="R289" s="77"/>
      <c r="V289" s="77"/>
      <c r="Y289" s="77"/>
    </row>
    <row r="290" spans="2:25" x14ac:dyDescent="0.2">
      <c r="B290" s="77"/>
      <c r="C290" s="77"/>
      <c r="D290" s="77"/>
      <c r="E290" s="77"/>
      <c r="F290" s="77"/>
      <c r="G290" s="77"/>
      <c r="H290" s="77"/>
      <c r="I290" s="77"/>
      <c r="J290" s="77"/>
      <c r="K290" s="77"/>
      <c r="L290" s="77"/>
      <c r="M290" s="77"/>
      <c r="N290" s="77"/>
      <c r="O290" s="77"/>
      <c r="R290" s="77"/>
      <c r="V290" s="77"/>
      <c r="Y290" s="77"/>
    </row>
    <row r="291" spans="2:25" x14ac:dyDescent="0.2">
      <c r="B291" s="77"/>
      <c r="C291" s="77"/>
      <c r="D291" s="77"/>
      <c r="E291" s="77"/>
      <c r="F291" s="77"/>
      <c r="G291" s="77"/>
      <c r="H291" s="77"/>
      <c r="I291" s="77"/>
      <c r="J291" s="77"/>
      <c r="K291" s="77"/>
      <c r="L291" s="77"/>
      <c r="M291" s="77"/>
      <c r="N291" s="77"/>
      <c r="O291" s="77"/>
      <c r="R291" s="77"/>
      <c r="V291" s="77"/>
      <c r="Y291" s="77"/>
    </row>
    <row r="292" spans="2:25" x14ac:dyDescent="0.2">
      <c r="B292" s="77"/>
      <c r="C292" s="77"/>
      <c r="D292" s="77"/>
      <c r="E292" s="77"/>
      <c r="F292" s="77"/>
      <c r="G292" s="77"/>
      <c r="H292" s="77"/>
      <c r="I292" s="77"/>
      <c r="J292" s="77"/>
      <c r="K292" s="77"/>
      <c r="L292" s="77"/>
      <c r="M292" s="77"/>
      <c r="N292" s="77"/>
      <c r="O292" s="77"/>
      <c r="R292" s="77"/>
      <c r="V292" s="77"/>
      <c r="Y292" s="77"/>
    </row>
    <row r="293" spans="2:25" x14ac:dyDescent="0.2">
      <c r="B293" s="77"/>
      <c r="C293" s="77"/>
      <c r="D293" s="77"/>
      <c r="E293" s="77"/>
      <c r="F293" s="77"/>
      <c r="G293" s="77"/>
      <c r="H293" s="77"/>
      <c r="I293" s="77"/>
      <c r="J293" s="77"/>
      <c r="K293" s="77"/>
      <c r="L293" s="77"/>
      <c r="M293" s="77"/>
      <c r="N293" s="77"/>
      <c r="O293" s="77"/>
      <c r="R293" s="77"/>
      <c r="V293" s="77"/>
      <c r="Y293" s="77"/>
    </row>
    <row r="294" spans="2:25" x14ac:dyDescent="0.2">
      <c r="B294" s="77"/>
      <c r="C294" s="77"/>
      <c r="D294" s="77"/>
      <c r="E294" s="77"/>
      <c r="F294" s="77"/>
      <c r="G294" s="77"/>
      <c r="H294" s="77"/>
      <c r="I294" s="77"/>
      <c r="J294" s="77"/>
      <c r="K294" s="77"/>
      <c r="L294" s="77"/>
      <c r="M294" s="77"/>
      <c r="N294" s="77"/>
      <c r="O294" s="77"/>
      <c r="R294" s="77"/>
      <c r="V294" s="77"/>
      <c r="Y294" s="77"/>
    </row>
    <row r="295" spans="2:25" x14ac:dyDescent="0.2">
      <c r="B295" s="77"/>
      <c r="C295" s="77"/>
      <c r="D295" s="77"/>
      <c r="E295" s="77"/>
      <c r="F295" s="77"/>
      <c r="G295" s="77"/>
      <c r="H295" s="77"/>
      <c r="I295" s="77"/>
      <c r="J295" s="77"/>
      <c r="K295" s="77"/>
      <c r="L295" s="77"/>
      <c r="M295" s="77"/>
      <c r="N295" s="77"/>
      <c r="O295" s="77"/>
      <c r="R295" s="77"/>
      <c r="V295" s="77"/>
      <c r="Y295" s="77"/>
    </row>
    <row r="296" spans="2:25" x14ac:dyDescent="0.2">
      <c r="B296" s="77"/>
      <c r="C296" s="77"/>
      <c r="D296" s="77"/>
      <c r="E296" s="77"/>
      <c r="F296" s="77"/>
      <c r="G296" s="77"/>
      <c r="H296" s="77"/>
      <c r="I296" s="77"/>
      <c r="J296" s="77"/>
      <c r="K296" s="77"/>
      <c r="L296" s="77"/>
      <c r="M296" s="77"/>
      <c r="N296" s="77"/>
      <c r="O296" s="77"/>
      <c r="R296" s="77"/>
      <c r="V296" s="77"/>
      <c r="Y296" s="77"/>
    </row>
    <row r="297" spans="2:25" x14ac:dyDescent="0.2">
      <c r="B297" s="77"/>
      <c r="C297" s="77"/>
      <c r="D297" s="77"/>
      <c r="E297" s="77"/>
      <c r="F297" s="77"/>
      <c r="G297" s="77"/>
      <c r="H297" s="77"/>
      <c r="I297" s="77"/>
      <c r="J297" s="77"/>
      <c r="K297" s="77"/>
      <c r="L297" s="77"/>
      <c r="M297" s="77"/>
      <c r="N297" s="77"/>
      <c r="O297" s="77"/>
      <c r="R297" s="77"/>
      <c r="V297" s="77"/>
      <c r="Y297" s="77"/>
    </row>
    <row r="298" spans="2:25" x14ac:dyDescent="0.2">
      <c r="B298" s="77"/>
      <c r="C298" s="77"/>
      <c r="D298" s="77"/>
      <c r="E298" s="77"/>
      <c r="F298" s="77"/>
      <c r="G298" s="77"/>
      <c r="H298" s="77"/>
      <c r="I298" s="77"/>
      <c r="J298" s="77"/>
      <c r="K298" s="77"/>
      <c r="L298" s="77"/>
      <c r="M298" s="77"/>
      <c r="N298" s="77"/>
      <c r="O298" s="77"/>
      <c r="R298" s="77"/>
      <c r="V298" s="77"/>
      <c r="Y298" s="77"/>
    </row>
    <row r="299" spans="2:25" x14ac:dyDescent="0.2">
      <c r="B299" s="77"/>
      <c r="C299" s="77"/>
      <c r="D299" s="77"/>
      <c r="E299" s="77"/>
      <c r="F299" s="77"/>
      <c r="G299" s="77"/>
      <c r="H299" s="77"/>
      <c r="I299" s="77"/>
      <c r="J299" s="77"/>
      <c r="K299" s="77"/>
      <c r="L299" s="77"/>
      <c r="M299" s="77"/>
      <c r="N299" s="77"/>
      <c r="O299" s="77"/>
      <c r="R299" s="77"/>
      <c r="V299" s="77"/>
      <c r="Y299" s="77"/>
    </row>
    <row r="300" spans="2:25" x14ac:dyDescent="0.2">
      <c r="B300" s="77"/>
      <c r="C300" s="77"/>
      <c r="D300" s="77"/>
      <c r="E300" s="77"/>
      <c r="F300" s="77"/>
      <c r="G300" s="77"/>
      <c r="H300" s="77"/>
      <c r="I300" s="77"/>
      <c r="J300" s="77"/>
      <c r="K300" s="77"/>
      <c r="L300" s="77"/>
      <c r="M300" s="77"/>
      <c r="N300" s="77"/>
      <c r="O300" s="77"/>
      <c r="R300" s="77"/>
      <c r="V300" s="77"/>
      <c r="Y300" s="77"/>
    </row>
    <row r="301" spans="2:25" x14ac:dyDescent="0.2">
      <c r="B301" s="77"/>
      <c r="C301" s="77"/>
      <c r="D301" s="77"/>
      <c r="E301" s="77"/>
      <c r="F301" s="77"/>
      <c r="G301" s="77"/>
      <c r="H301" s="77"/>
      <c r="I301" s="77"/>
      <c r="J301" s="77"/>
      <c r="K301" s="77"/>
      <c r="L301" s="77"/>
      <c r="M301" s="77"/>
      <c r="N301" s="77"/>
      <c r="O301" s="77"/>
      <c r="R301" s="77"/>
      <c r="V301" s="77"/>
      <c r="Y301" s="77"/>
    </row>
    <row r="302" spans="2:25" x14ac:dyDescent="0.2">
      <c r="B302" s="77"/>
      <c r="C302" s="77"/>
      <c r="D302" s="77"/>
      <c r="E302" s="77"/>
      <c r="F302" s="77"/>
      <c r="G302" s="77"/>
      <c r="H302" s="77"/>
      <c r="I302" s="77"/>
      <c r="J302" s="77"/>
      <c r="K302" s="77"/>
      <c r="L302" s="77"/>
      <c r="M302" s="77"/>
      <c r="N302" s="77"/>
      <c r="O302" s="77"/>
      <c r="R302" s="77"/>
      <c r="V302" s="77"/>
      <c r="Y302" s="77"/>
    </row>
    <row r="303" spans="2:25" x14ac:dyDescent="0.2">
      <c r="B303" s="77"/>
      <c r="C303" s="77"/>
      <c r="D303" s="77"/>
      <c r="E303" s="77"/>
      <c r="F303" s="77"/>
      <c r="G303" s="77"/>
      <c r="H303" s="77"/>
      <c r="I303" s="77"/>
      <c r="J303" s="77"/>
      <c r="K303" s="77"/>
      <c r="L303" s="77"/>
      <c r="M303" s="77"/>
      <c r="N303" s="77"/>
      <c r="O303" s="77"/>
      <c r="R303" s="77"/>
      <c r="V303" s="77"/>
      <c r="Y303" s="77"/>
    </row>
    <row r="304" spans="2:25" x14ac:dyDescent="0.2">
      <c r="B304" s="77"/>
      <c r="C304" s="77"/>
      <c r="D304" s="77"/>
      <c r="E304" s="77"/>
      <c r="F304" s="77"/>
      <c r="G304" s="77"/>
      <c r="H304" s="77"/>
      <c r="I304" s="77"/>
      <c r="J304" s="77"/>
      <c r="K304" s="77"/>
      <c r="L304" s="77"/>
      <c r="M304" s="77"/>
      <c r="N304" s="77"/>
      <c r="O304" s="77"/>
      <c r="R304" s="77"/>
      <c r="V304" s="77"/>
      <c r="Y304" s="77"/>
    </row>
    <row r="305" spans="2:25" x14ac:dyDescent="0.2">
      <c r="B305" s="77"/>
      <c r="C305" s="77"/>
      <c r="D305" s="77"/>
      <c r="E305" s="77"/>
      <c r="F305" s="77"/>
      <c r="G305" s="77"/>
      <c r="H305" s="77"/>
      <c r="I305" s="77"/>
      <c r="J305" s="77"/>
      <c r="K305" s="77"/>
      <c r="L305" s="77"/>
      <c r="M305" s="77"/>
      <c r="N305" s="77"/>
      <c r="O305" s="77"/>
      <c r="R305" s="77"/>
      <c r="V305" s="77"/>
      <c r="Y305" s="77"/>
    </row>
    <row r="306" spans="2:25" x14ac:dyDescent="0.2">
      <c r="B306" s="77"/>
      <c r="C306" s="77"/>
      <c r="D306" s="77"/>
      <c r="E306" s="77"/>
      <c r="F306" s="77"/>
      <c r="G306" s="77"/>
      <c r="H306" s="77"/>
      <c r="I306" s="77"/>
      <c r="J306" s="77"/>
      <c r="K306" s="77"/>
      <c r="L306" s="77"/>
      <c r="M306" s="77"/>
      <c r="N306" s="77"/>
      <c r="O306" s="77"/>
      <c r="R306" s="77"/>
      <c r="V306" s="77"/>
      <c r="Y306" s="77"/>
    </row>
    <row r="307" spans="2:25" x14ac:dyDescent="0.2">
      <c r="B307" s="77"/>
      <c r="C307" s="77"/>
      <c r="D307" s="77"/>
      <c r="E307" s="77"/>
      <c r="F307" s="77"/>
      <c r="G307" s="77"/>
      <c r="H307" s="77"/>
      <c r="I307" s="77"/>
      <c r="J307" s="77"/>
      <c r="K307" s="77"/>
      <c r="L307" s="77"/>
      <c r="M307" s="77"/>
      <c r="N307" s="77"/>
      <c r="O307" s="77"/>
      <c r="R307" s="77"/>
      <c r="V307" s="77"/>
      <c r="Y307" s="77"/>
    </row>
    <row r="308" spans="2:25" x14ac:dyDescent="0.2">
      <c r="B308" s="77"/>
      <c r="C308" s="77"/>
      <c r="D308" s="77"/>
      <c r="E308" s="77"/>
      <c r="F308" s="77"/>
      <c r="G308" s="77"/>
      <c r="H308" s="77"/>
      <c r="I308" s="77"/>
      <c r="J308" s="77"/>
      <c r="K308" s="77"/>
      <c r="L308" s="77"/>
      <c r="M308" s="77"/>
      <c r="N308" s="77"/>
      <c r="O308" s="77"/>
      <c r="R308" s="77"/>
      <c r="V308" s="77"/>
      <c r="Y308" s="77"/>
    </row>
    <row r="309" spans="2:25" x14ac:dyDescent="0.2">
      <c r="B309" s="77"/>
      <c r="C309" s="77"/>
      <c r="D309" s="77"/>
      <c r="E309" s="77"/>
      <c r="F309" s="77"/>
      <c r="G309" s="77"/>
      <c r="H309" s="77"/>
      <c r="I309" s="77"/>
      <c r="J309" s="77"/>
      <c r="K309" s="77"/>
      <c r="L309" s="77"/>
      <c r="M309" s="77"/>
      <c r="N309" s="77"/>
      <c r="O309" s="77"/>
      <c r="R309" s="77"/>
      <c r="V309" s="77"/>
      <c r="Y309" s="77"/>
    </row>
    <row r="310" spans="2:25" x14ac:dyDescent="0.2">
      <c r="B310" s="77"/>
      <c r="C310" s="77"/>
      <c r="D310" s="77"/>
      <c r="E310" s="77"/>
      <c r="F310" s="77"/>
      <c r="G310" s="77"/>
      <c r="H310" s="77"/>
      <c r="I310" s="77"/>
      <c r="J310" s="77"/>
      <c r="K310" s="77"/>
      <c r="L310" s="77"/>
      <c r="M310" s="77"/>
      <c r="N310" s="77"/>
      <c r="O310" s="77"/>
      <c r="R310" s="77"/>
      <c r="V310" s="77"/>
      <c r="Y310" s="77"/>
    </row>
    <row r="311" spans="2:25" x14ac:dyDescent="0.2">
      <c r="B311" s="77"/>
      <c r="C311" s="77"/>
      <c r="D311" s="77"/>
      <c r="E311" s="77"/>
      <c r="F311" s="77"/>
      <c r="G311" s="77"/>
      <c r="H311" s="77"/>
      <c r="I311" s="77"/>
      <c r="J311" s="77"/>
      <c r="K311" s="77"/>
      <c r="L311" s="77"/>
      <c r="M311" s="77"/>
      <c r="N311" s="77"/>
      <c r="O311" s="77"/>
      <c r="R311" s="77"/>
      <c r="V311" s="77"/>
      <c r="Y311" s="77"/>
    </row>
    <row r="312" spans="2:25" x14ac:dyDescent="0.2">
      <c r="B312" s="77"/>
      <c r="C312" s="77"/>
      <c r="D312" s="77"/>
      <c r="E312" s="77"/>
      <c r="F312" s="77"/>
      <c r="G312" s="77"/>
      <c r="H312" s="77"/>
      <c r="I312" s="77"/>
      <c r="J312" s="77"/>
      <c r="K312" s="77"/>
      <c r="L312" s="77"/>
      <c r="M312" s="77"/>
      <c r="N312" s="77"/>
      <c r="O312" s="77"/>
      <c r="R312" s="77"/>
      <c r="V312" s="77"/>
      <c r="Y312" s="77"/>
    </row>
    <row r="313" spans="2:25" x14ac:dyDescent="0.2">
      <c r="B313" s="77"/>
      <c r="C313" s="77"/>
      <c r="D313" s="77"/>
      <c r="E313" s="77"/>
      <c r="F313" s="77"/>
      <c r="G313" s="77"/>
      <c r="H313" s="77"/>
      <c r="I313" s="77"/>
      <c r="J313" s="77"/>
      <c r="K313" s="77"/>
      <c r="L313" s="77"/>
      <c r="M313" s="77"/>
      <c r="N313" s="77"/>
      <c r="O313" s="77"/>
      <c r="R313" s="77"/>
      <c r="V313" s="77"/>
      <c r="Y313" s="77"/>
    </row>
    <row r="314" spans="2:25" x14ac:dyDescent="0.2">
      <c r="B314" s="77"/>
      <c r="C314" s="77"/>
      <c r="D314" s="77"/>
      <c r="E314" s="77"/>
      <c r="F314" s="77"/>
      <c r="G314" s="77"/>
      <c r="H314" s="77"/>
      <c r="I314" s="77"/>
      <c r="J314" s="77"/>
      <c r="K314" s="77"/>
      <c r="L314" s="77"/>
      <c r="M314" s="77"/>
      <c r="N314" s="77"/>
      <c r="O314" s="77"/>
      <c r="R314" s="77"/>
      <c r="V314" s="77"/>
      <c r="Y314" s="77"/>
    </row>
    <row r="315" spans="2:25" x14ac:dyDescent="0.2">
      <c r="B315" s="77"/>
      <c r="C315" s="77"/>
      <c r="D315" s="77"/>
      <c r="E315" s="77"/>
      <c r="F315" s="77"/>
      <c r="G315" s="77"/>
      <c r="H315" s="77"/>
      <c r="I315" s="77"/>
      <c r="J315" s="77"/>
      <c r="K315" s="77"/>
      <c r="L315" s="77"/>
      <c r="M315" s="77"/>
      <c r="N315" s="77"/>
      <c r="O315" s="77"/>
      <c r="R315" s="77"/>
      <c r="V315" s="77"/>
      <c r="Y315" s="77"/>
    </row>
    <row r="316" spans="2:25" x14ac:dyDescent="0.2">
      <c r="B316" s="77"/>
      <c r="C316" s="77"/>
      <c r="D316" s="77"/>
      <c r="E316" s="77"/>
      <c r="F316" s="77"/>
      <c r="G316" s="77"/>
      <c r="H316" s="77"/>
      <c r="I316" s="77"/>
      <c r="J316" s="77"/>
      <c r="K316" s="77"/>
      <c r="L316" s="77"/>
      <c r="M316" s="77"/>
      <c r="N316" s="77"/>
      <c r="O316" s="77"/>
      <c r="R316" s="77"/>
      <c r="V316" s="77"/>
      <c r="Y316" s="77"/>
    </row>
    <row r="317" spans="2:25" x14ac:dyDescent="0.2">
      <c r="B317" s="77"/>
      <c r="C317" s="77"/>
      <c r="D317" s="77"/>
      <c r="E317" s="77"/>
      <c r="F317" s="77"/>
      <c r="G317" s="77"/>
      <c r="H317" s="77"/>
      <c r="I317" s="77"/>
      <c r="J317" s="77"/>
      <c r="K317" s="77"/>
      <c r="L317" s="77"/>
      <c r="M317" s="77"/>
      <c r="N317" s="77"/>
      <c r="O317" s="77"/>
      <c r="R317" s="77"/>
      <c r="V317" s="77"/>
      <c r="Y317" s="77"/>
    </row>
    <row r="318" spans="2:25" x14ac:dyDescent="0.2">
      <c r="B318" s="77"/>
      <c r="C318" s="77"/>
      <c r="D318" s="77"/>
      <c r="E318" s="77"/>
      <c r="F318" s="77"/>
      <c r="G318" s="77"/>
      <c r="H318" s="77"/>
      <c r="I318" s="77"/>
      <c r="J318" s="77"/>
      <c r="K318" s="77"/>
      <c r="L318" s="77"/>
      <c r="M318" s="77"/>
      <c r="N318" s="77"/>
      <c r="O318" s="77"/>
      <c r="R318" s="77"/>
      <c r="V318" s="77"/>
      <c r="Y318" s="77"/>
    </row>
    <row r="319" spans="2:25" x14ac:dyDescent="0.2">
      <c r="B319" s="77"/>
      <c r="C319" s="77"/>
      <c r="D319" s="77"/>
      <c r="E319" s="77"/>
      <c r="F319" s="77"/>
      <c r="G319" s="77"/>
      <c r="H319" s="77"/>
      <c r="I319" s="77"/>
      <c r="J319" s="77"/>
      <c r="K319" s="77"/>
      <c r="L319" s="77"/>
      <c r="M319" s="77"/>
      <c r="N319" s="77"/>
      <c r="O319" s="77"/>
      <c r="R319" s="77"/>
      <c r="V319" s="77"/>
      <c r="Y319" s="77"/>
    </row>
    <row r="320" spans="2:25" x14ac:dyDescent="0.2">
      <c r="B320" s="77"/>
      <c r="C320" s="77"/>
      <c r="D320" s="77"/>
      <c r="E320" s="77"/>
      <c r="F320" s="77"/>
      <c r="G320" s="77"/>
      <c r="H320" s="77"/>
      <c r="I320" s="77"/>
      <c r="J320" s="77"/>
      <c r="K320" s="77"/>
      <c r="L320" s="77"/>
      <c r="M320" s="77"/>
      <c r="N320" s="77"/>
      <c r="O320" s="77"/>
      <c r="R320" s="77"/>
      <c r="V320" s="77"/>
      <c r="Y320" s="77"/>
    </row>
    <row r="321" spans="2:25" x14ac:dyDescent="0.2">
      <c r="B321" s="77"/>
      <c r="C321" s="77"/>
      <c r="D321" s="77"/>
      <c r="E321" s="77"/>
      <c r="F321" s="77"/>
      <c r="G321" s="77"/>
      <c r="H321" s="77"/>
      <c r="I321" s="77"/>
      <c r="J321" s="77"/>
      <c r="K321" s="77"/>
      <c r="L321" s="77"/>
      <c r="M321" s="77"/>
      <c r="N321" s="77"/>
      <c r="O321" s="77"/>
      <c r="R321" s="77"/>
      <c r="V321" s="77"/>
      <c r="Y321" s="77"/>
    </row>
    <row r="322" spans="2:25" x14ac:dyDescent="0.2">
      <c r="B322" s="77"/>
      <c r="C322" s="77"/>
      <c r="D322" s="77"/>
      <c r="E322" s="77"/>
      <c r="F322" s="77"/>
      <c r="G322" s="77"/>
      <c r="H322" s="77"/>
      <c r="I322" s="77"/>
      <c r="J322" s="77"/>
      <c r="K322" s="77"/>
      <c r="L322" s="77"/>
      <c r="M322" s="77"/>
      <c r="N322" s="77"/>
      <c r="O322" s="77"/>
      <c r="R322" s="77"/>
      <c r="V322" s="77"/>
      <c r="Y322" s="77"/>
    </row>
    <row r="323" spans="2:25" x14ac:dyDescent="0.2">
      <c r="B323" s="77"/>
      <c r="C323" s="77"/>
      <c r="D323" s="77"/>
      <c r="E323" s="77"/>
      <c r="F323" s="77"/>
      <c r="G323" s="77"/>
      <c r="H323" s="77"/>
      <c r="I323" s="77"/>
      <c r="J323" s="77"/>
      <c r="K323" s="77"/>
      <c r="L323" s="77"/>
      <c r="M323" s="77"/>
      <c r="N323" s="77"/>
      <c r="O323" s="77"/>
      <c r="R323" s="77"/>
      <c r="V323" s="77"/>
      <c r="Y323" s="77"/>
    </row>
    <row r="324" spans="2:25" x14ac:dyDescent="0.2">
      <c r="B324" s="77"/>
      <c r="C324" s="77"/>
      <c r="D324" s="77"/>
      <c r="E324" s="77"/>
      <c r="F324" s="77"/>
      <c r="G324" s="77"/>
      <c r="H324" s="77"/>
      <c r="I324" s="77"/>
      <c r="J324" s="77"/>
      <c r="K324" s="77"/>
      <c r="L324" s="77"/>
      <c r="M324" s="77"/>
      <c r="N324" s="77"/>
      <c r="O324" s="77"/>
      <c r="R324" s="77"/>
      <c r="V324" s="77"/>
      <c r="Y324" s="77"/>
    </row>
    <row r="325" spans="2:25" x14ac:dyDescent="0.2">
      <c r="B325" s="77"/>
      <c r="C325" s="77"/>
      <c r="D325" s="77"/>
      <c r="E325" s="77"/>
      <c r="F325" s="77"/>
      <c r="G325" s="77"/>
      <c r="H325" s="77"/>
      <c r="I325" s="77"/>
      <c r="J325" s="77"/>
      <c r="K325" s="77"/>
      <c r="L325" s="77"/>
      <c r="M325" s="77"/>
      <c r="N325" s="77"/>
      <c r="O325" s="77"/>
      <c r="R325" s="77"/>
      <c r="V325" s="77"/>
      <c r="Y325" s="77"/>
    </row>
    <row r="326" spans="2:25" x14ac:dyDescent="0.2">
      <c r="B326" s="77"/>
      <c r="C326" s="77"/>
      <c r="D326" s="77"/>
      <c r="E326" s="77"/>
      <c r="F326" s="77"/>
      <c r="G326" s="77"/>
      <c r="H326" s="77"/>
      <c r="I326" s="77"/>
      <c r="J326" s="77"/>
      <c r="K326" s="77"/>
      <c r="L326" s="77"/>
      <c r="M326" s="77"/>
      <c r="N326" s="77"/>
      <c r="O326" s="77"/>
      <c r="R326" s="77"/>
      <c r="V326" s="77"/>
      <c r="Y326" s="77"/>
    </row>
    <row r="327" spans="2:25" x14ac:dyDescent="0.2">
      <c r="B327" s="77"/>
      <c r="C327" s="77"/>
      <c r="D327" s="77"/>
      <c r="E327" s="77"/>
      <c r="F327" s="77"/>
      <c r="G327" s="77"/>
      <c r="H327" s="77"/>
      <c r="I327" s="77"/>
      <c r="J327" s="77"/>
      <c r="K327" s="77"/>
      <c r="L327" s="77"/>
      <c r="M327" s="77"/>
      <c r="N327" s="77"/>
      <c r="O327" s="77"/>
      <c r="R327" s="77"/>
      <c r="V327" s="77"/>
      <c r="Y327" s="77"/>
    </row>
    <row r="328" spans="2:25" x14ac:dyDescent="0.2">
      <c r="B328" s="77"/>
      <c r="C328" s="77"/>
      <c r="D328" s="77"/>
      <c r="E328" s="77"/>
      <c r="F328" s="77"/>
      <c r="G328" s="77"/>
      <c r="H328" s="77"/>
      <c r="I328" s="77"/>
      <c r="J328" s="77"/>
      <c r="K328" s="77"/>
      <c r="L328" s="77"/>
      <c r="M328" s="77"/>
      <c r="N328" s="77"/>
      <c r="O328" s="77"/>
      <c r="R328" s="77"/>
      <c r="V328" s="77"/>
      <c r="Y328" s="77"/>
    </row>
    <row r="329" spans="2:25" x14ac:dyDescent="0.2">
      <c r="B329" s="77"/>
      <c r="C329" s="77"/>
      <c r="D329" s="77"/>
      <c r="E329" s="77"/>
      <c r="F329" s="77"/>
      <c r="G329" s="77"/>
      <c r="H329" s="77"/>
      <c r="I329" s="77"/>
      <c r="J329" s="77"/>
      <c r="K329" s="77"/>
      <c r="L329" s="77"/>
      <c r="M329" s="77"/>
      <c r="N329" s="77"/>
      <c r="O329" s="77"/>
      <c r="R329" s="77"/>
      <c r="V329" s="77"/>
      <c r="Y329" s="77"/>
    </row>
    <row r="330" spans="2:25" x14ac:dyDescent="0.2">
      <c r="B330" s="77"/>
      <c r="C330" s="77"/>
      <c r="D330" s="77"/>
      <c r="E330" s="77"/>
      <c r="F330" s="77"/>
      <c r="G330" s="77"/>
      <c r="H330" s="77"/>
      <c r="I330" s="77"/>
      <c r="J330" s="77"/>
      <c r="K330" s="77"/>
      <c r="L330" s="77"/>
      <c r="M330" s="77"/>
      <c r="N330" s="77"/>
      <c r="O330" s="77"/>
      <c r="R330" s="77"/>
      <c r="V330" s="77"/>
      <c r="Y330" s="77"/>
    </row>
    <row r="331" spans="2:25" x14ac:dyDescent="0.2">
      <c r="B331" s="77"/>
      <c r="C331" s="77"/>
      <c r="D331" s="77"/>
      <c r="E331" s="77"/>
      <c r="F331" s="77"/>
      <c r="G331" s="77"/>
      <c r="H331" s="77"/>
      <c r="I331" s="77"/>
      <c r="J331" s="77"/>
      <c r="K331" s="77"/>
      <c r="L331" s="77"/>
      <c r="M331" s="77"/>
      <c r="N331" s="77"/>
      <c r="O331" s="77"/>
      <c r="R331" s="77"/>
      <c r="V331" s="77"/>
      <c r="Y331" s="77"/>
    </row>
    <row r="332" spans="2:25" x14ac:dyDescent="0.2">
      <c r="B332" s="77"/>
      <c r="C332" s="77"/>
      <c r="D332" s="77"/>
      <c r="E332" s="77"/>
      <c r="F332" s="77"/>
      <c r="G332" s="77"/>
      <c r="H332" s="77"/>
      <c r="I332" s="77"/>
      <c r="J332" s="77"/>
      <c r="K332" s="77"/>
      <c r="L332" s="77"/>
      <c r="M332" s="77"/>
      <c r="N332" s="77"/>
      <c r="O332" s="77"/>
      <c r="R332" s="77"/>
      <c r="V332" s="77"/>
      <c r="Y332" s="77"/>
    </row>
    <row r="333" spans="2:25" x14ac:dyDescent="0.2">
      <c r="B333" s="77"/>
      <c r="C333" s="77"/>
      <c r="D333" s="77"/>
      <c r="E333" s="77"/>
      <c r="F333" s="77"/>
      <c r="G333" s="77"/>
      <c r="H333" s="77"/>
      <c r="I333" s="77"/>
      <c r="J333" s="77"/>
      <c r="K333" s="77"/>
      <c r="L333" s="77"/>
      <c r="M333" s="77"/>
      <c r="N333" s="77"/>
      <c r="O333" s="77"/>
      <c r="R333" s="77"/>
      <c r="V333" s="77"/>
      <c r="Y333" s="77"/>
    </row>
    <row r="334" spans="2:25" x14ac:dyDescent="0.2">
      <c r="B334" s="77"/>
      <c r="C334" s="77"/>
      <c r="D334" s="77"/>
      <c r="E334" s="77"/>
      <c r="F334" s="77"/>
      <c r="G334" s="77"/>
      <c r="H334" s="77"/>
      <c r="I334" s="77"/>
      <c r="J334" s="77"/>
      <c r="K334" s="77"/>
      <c r="L334" s="77"/>
      <c r="M334" s="77"/>
      <c r="N334" s="77"/>
      <c r="O334" s="77"/>
      <c r="R334" s="77"/>
      <c r="V334" s="77"/>
      <c r="Y334" s="77"/>
    </row>
    <row r="335" spans="2:25" x14ac:dyDescent="0.2">
      <c r="B335" s="77"/>
      <c r="C335" s="77"/>
      <c r="D335" s="77"/>
      <c r="E335" s="77"/>
      <c r="F335" s="77"/>
      <c r="G335" s="77"/>
      <c r="H335" s="77"/>
      <c r="I335" s="77"/>
      <c r="J335" s="77"/>
      <c r="K335" s="77"/>
      <c r="L335" s="77"/>
      <c r="M335" s="77"/>
      <c r="N335" s="77"/>
      <c r="O335" s="77"/>
      <c r="R335" s="77"/>
      <c r="V335" s="77"/>
      <c r="Y335" s="77"/>
    </row>
    <row r="336" spans="2:25" x14ac:dyDescent="0.2">
      <c r="B336" s="77"/>
      <c r="C336" s="77"/>
      <c r="D336" s="77"/>
      <c r="E336" s="77"/>
      <c r="F336" s="77"/>
      <c r="G336" s="77"/>
      <c r="H336" s="77"/>
      <c r="I336" s="77"/>
      <c r="J336" s="77"/>
      <c r="K336" s="77"/>
      <c r="L336" s="77"/>
      <c r="M336" s="77"/>
      <c r="N336" s="77"/>
      <c r="O336" s="77"/>
      <c r="R336" s="77"/>
      <c r="V336" s="77"/>
      <c r="Y336" s="77"/>
    </row>
    <row r="337" spans="2:25" x14ac:dyDescent="0.2">
      <c r="B337" s="77"/>
      <c r="C337" s="77"/>
      <c r="D337" s="77"/>
      <c r="E337" s="77"/>
      <c r="F337" s="77"/>
      <c r="G337" s="77"/>
      <c r="H337" s="77"/>
      <c r="I337" s="77"/>
      <c r="J337" s="77"/>
      <c r="K337" s="77"/>
      <c r="L337" s="77"/>
      <c r="M337" s="77"/>
      <c r="N337" s="77"/>
      <c r="O337" s="77"/>
      <c r="R337" s="77"/>
      <c r="V337" s="77"/>
      <c r="Y337" s="77"/>
    </row>
    <row r="338" spans="2:25" x14ac:dyDescent="0.2">
      <c r="B338" s="77"/>
      <c r="C338" s="77"/>
      <c r="D338" s="77"/>
      <c r="E338" s="77"/>
      <c r="F338" s="77"/>
      <c r="G338" s="77"/>
      <c r="H338" s="77"/>
      <c r="I338" s="77"/>
      <c r="J338" s="77"/>
      <c r="K338" s="77"/>
      <c r="L338" s="77"/>
      <c r="M338" s="77"/>
      <c r="N338" s="77"/>
      <c r="O338" s="77"/>
      <c r="R338" s="77"/>
      <c r="V338" s="77"/>
      <c r="Y338" s="77"/>
    </row>
    <row r="339" spans="2:25" x14ac:dyDescent="0.2">
      <c r="B339" s="77"/>
      <c r="C339" s="77"/>
      <c r="D339" s="77"/>
      <c r="E339" s="77"/>
      <c r="F339" s="77"/>
      <c r="G339" s="77"/>
      <c r="H339" s="77"/>
      <c r="I339" s="77"/>
      <c r="J339" s="77"/>
      <c r="K339" s="77"/>
      <c r="L339" s="77"/>
      <c r="M339" s="77"/>
      <c r="N339" s="77"/>
      <c r="O339" s="77"/>
      <c r="R339" s="77"/>
      <c r="V339" s="77"/>
      <c r="Y339" s="77"/>
    </row>
    <row r="340" spans="2:25" x14ac:dyDescent="0.2">
      <c r="B340" s="77"/>
      <c r="C340" s="77"/>
      <c r="D340" s="77"/>
      <c r="E340" s="77"/>
      <c r="F340" s="77"/>
      <c r="G340" s="77"/>
      <c r="H340" s="77"/>
      <c r="I340" s="77"/>
      <c r="J340" s="77"/>
      <c r="K340" s="77"/>
      <c r="L340" s="77"/>
      <c r="M340" s="77"/>
      <c r="N340" s="77"/>
      <c r="O340" s="77"/>
      <c r="R340" s="77"/>
      <c r="V340" s="77"/>
      <c r="Y340" s="77"/>
    </row>
    <row r="341" spans="2:25" x14ac:dyDescent="0.2">
      <c r="B341" s="77"/>
      <c r="C341" s="77"/>
      <c r="D341" s="77"/>
      <c r="E341" s="77"/>
      <c r="F341" s="77"/>
      <c r="G341" s="77"/>
      <c r="H341" s="77"/>
      <c r="I341" s="77"/>
      <c r="J341" s="77"/>
      <c r="K341" s="77"/>
      <c r="L341" s="77"/>
      <c r="M341" s="77"/>
      <c r="N341" s="77"/>
      <c r="O341" s="77"/>
      <c r="R341" s="77"/>
      <c r="V341" s="77"/>
      <c r="Y341" s="77"/>
    </row>
    <row r="342" spans="2:25" x14ac:dyDescent="0.2">
      <c r="B342" s="77"/>
      <c r="C342" s="77"/>
      <c r="D342" s="77"/>
      <c r="E342" s="77"/>
      <c r="F342" s="77"/>
      <c r="G342" s="77"/>
      <c r="H342" s="77"/>
      <c r="I342" s="77"/>
      <c r="J342" s="77"/>
      <c r="K342" s="77"/>
      <c r="L342" s="77"/>
      <c r="M342" s="77"/>
      <c r="N342" s="77"/>
      <c r="O342" s="77"/>
      <c r="R342" s="77"/>
      <c r="V342" s="77"/>
      <c r="Y342" s="77"/>
    </row>
    <row r="343" spans="2:25" x14ac:dyDescent="0.2">
      <c r="B343" s="77"/>
      <c r="C343" s="77"/>
      <c r="D343" s="77"/>
      <c r="E343" s="77"/>
      <c r="F343" s="77"/>
      <c r="G343" s="77"/>
      <c r="H343" s="77"/>
      <c r="I343" s="77"/>
      <c r="J343" s="77"/>
      <c r="K343" s="77"/>
      <c r="L343" s="77"/>
      <c r="M343" s="77"/>
      <c r="N343" s="77"/>
      <c r="O343" s="77"/>
      <c r="R343" s="77"/>
      <c r="V343" s="77"/>
      <c r="Y343" s="77"/>
    </row>
    <row r="344" spans="2:25" x14ac:dyDescent="0.2">
      <c r="B344" s="77"/>
      <c r="C344" s="77"/>
      <c r="D344" s="77"/>
      <c r="E344" s="77"/>
      <c r="F344" s="77"/>
      <c r="G344" s="77"/>
      <c r="H344" s="77"/>
      <c r="I344" s="77"/>
      <c r="J344" s="77"/>
      <c r="K344" s="77"/>
      <c r="L344" s="77"/>
      <c r="M344" s="77"/>
      <c r="N344" s="77"/>
      <c r="O344" s="77"/>
      <c r="R344" s="77"/>
      <c r="V344" s="77"/>
      <c r="Y344" s="77"/>
    </row>
    <row r="345" spans="2:25" x14ac:dyDescent="0.2">
      <c r="B345" s="77"/>
      <c r="C345" s="77"/>
      <c r="D345" s="77"/>
      <c r="E345" s="77"/>
      <c r="F345" s="77"/>
      <c r="G345" s="77"/>
      <c r="H345" s="77"/>
      <c r="I345" s="77"/>
      <c r="J345" s="77"/>
      <c r="K345" s="77"/>
      <c r="L345" s="77"/>
      <c r="M345" s="77"/>
      <c r="N345" s="77"/>
      <c r="O345" s="77"/>
      <c r="R345" s="77"/>
      <c r="V345" s="77"/>
      <c r="Y345" s="77"/>
    </row>
    <row r="346" spans="2:25" x14ac:dyDescent="0.2">
      <c r="B346" s="77"/>
      <c r="C346" s="77"/>
      <c r="D346" s="77"/>
      <c r="E346" s="77"/>
      <c r="F346" s="77"/>
      <c r="G346" s="77"/>
      <c r="H346" s="77"/>
      <c r="I346" s="77"/>
      <c r="J346" s="77"/>
      <c r="K346" s="77"/>
      <c r="L346" s="77"/>
      <c r="M346" s="77"/>
      <c r="N346" s="77"/>
      <c r="O346" s="77"/>
      <c r="R346" s="77"/>
      <c r="V346" s="77"/>
      <c r="Y346" s="77"/>
    </row>
    <row r="347" spans="2:25" x14ac:dyDescent="0.2">
      <c r="B347" s="77"/>
      <c r="C347" s="77"/>
      <c r="D347" s="77"/>
      <c r="E347" s="77"/>
      <c r="F347" s="77"/>
      <c r="G347" s="77"/>
      <c r="H347" s="77"/>
      <c r="I347" s="77"/>
      <c r="J347" s="77"/>
      <c r="K347" s="77"/>
      <c r="L347" s="77"/>
      <c r="M347" s="77"/>
      <c r="N347" s="77"/>
      <c r="O347" s="77"/>
      <c r="R347" s="77"/>
      <c r="V347" s="77"/>
      <c r="Y347" s="77"/>
    </row>
    <row r="348" spans="2:25" x14ac:dyDescent="0.2">
      <c r="B348" s="77"/>
      <c r="C348" s="77"/>
      <c r="D348" s="77"/>
      <c r="E348" s="77"/>
      <c r="F348" s="77"/>
      <c r="G348" s="77"/>
      <c r="H348" s="77"/>
      <c r="I348" s="77"/>
      <c r="J348" s="77"/>
      <c r="K348" s="77"/>
      <c r="L348" s="77"/>
      <c r="M348" s="77"/>
      <c r="N348" s="77"/>
      <c r="O348" s="77"/>
      <c r="R348" s="77"/>
      <c r="V348" s="77"/>
      <c r="Y348" s="77"/>
    </row>
    <row r="349" spans="2:25" x14ac:dyDescent="0.2">
      <c r="B349" s="77"/>
      <c r="C349" s="77"/>
      <c r="D349" s="77"/>
      <c r="E349" s="77"/>
      <c r="F349" s="77"/>
      <c r="G349" s="77"/>
      <c r="H349" s="77"/>
      <c r="I349" s="77"/>
      <c r="J349" s="77"/>
      <c r="K349" s="77"/>
      <c r="L349" s="77"/>
      <c r="M349" s="77"/>
      <c r="N349" s="77"/>
      <c r="O349" s="77"/>
      <c r="R349" s="77"/>
      <c r="V349" s="77"/>
      <c r="Y349" s="77"/>
    </row>
    <row r="350" spans="2:25" x14ac:dyDescent="0.2">
      <c r="B350" s="77"/>
      <c r="C350" s="77"/>
      <c r="D350" s="77"/>
      <c r="E350" s="77"/>
      <c r="F350" s="77"/>
      <c r="G350" s="77"/>
      <c r="H350" s="77"/>
      <c r="I350" s="77"/>
      <c r="J350" s="77"/>
      <c r="K350" s="77"/>
      <c r="L350" s="77"/>
      <c r="M350" s="77"/>
      <c r="N350" s="77"/>
      <c r="O350" s="77"/>
      <c r="R350" s="77"/>
      <c r="V350" s="77"/>
      <c r="Y350" s="77"/>
    </row>
    <row r="351" spans="2:25" x14ac:dyDescent="0.2">
      <c r="B351" s="77"/>
      <c r="C351" s="77"/>
      <c r="D351" s="77"/>
      <c r="E351" s="77"/>
      <c r="F351" s="77"/>
      <c r="G351" s="77"/>
      <c r="H351" s="77"/>
      <c r="I351" s="77"/>
      <c r="J351" s="77"/>
      <c r="K351" s="77"/>
      <c r="L351" s="77"/>
      <c r="M351" s="77"/>
      <c r="N351" s="77"/>
      <c r="O351" s="77"/>
      <c r="R351" s="77"/>
      <c r="V351" s="77"/>
      <c r="Y351" s="77"/>
    </row>
    <row r="352" spans="2:25" x14ac:dyDescent="0.2">
      <c r="B352" s="77"/>
      <c r="C352" s="77"/>
      <c r="D352" s="77"/>
      <c r="E352" s="77"/>
      <c r="F352" s="77"/>
      <c r="G352" s="77"/>
      <c r="H352" s="77"/>
      <c r="I352" s="77"/>
      <c r="J352" s="77"/>
      <c r="K352" s="77"/>
      <c r="L352" s="77"/>
      <c r="M352" s="77"/>
      <c r="N352" s="77"/>
      <c r="O352" s="77"/>
      <c r="R352" s="77"/>
      <c r="V352" s="77"/>
      <c r="Y352" s="77"/>
    </row>
    <row r="353" spans="2:25" x14ac:dyDescent="0.2">
      <c r="B353" s="77"/>
      <c r="C353" s="77"/>
      <c r="D353" s="77"/>
      <c r="E353" s="77"/>
      <c r="F353" s="77"/>
      <c r="G353" s="77"/>
      <c r="H353" s="77"/>
      <c r="I353" s="77"/>
      <c r="J353" s="77"/>
      <c r="K353" s="77"/>
      <c r="L353" s="77"/>
      <c r="M353" s="77"/>
      <c r="N353" s="77"/>
      <c r="O353" s="77"/>
      <c r="R353" s="77"/>
      <c r="V353" s="77"/>
      <c r="Y353" s="77"/>
    </row>
    <row r="354" spans="2:25" x14ac:dyDescent="0.2">
      <c r="B354" s="77"/>
      <c r="C354" s="77"/>
      <c r="D354" s="77"/>
      <c r="E354" s="77"/>
      <c r="F354" s="77"/>
      <c r="G354" s="77"/>
      <c r="H354" s="77"/>
      <c r="I354" s="77"/>
      <c r="J354" s="77"/>
      <c r="K354" s="77"/>
      <c r="L354" s="77"/>
      <c r="M354" s="77"/>
      <c r="N354" s="77"/>
      <c r="O354" s="77"/>
      <c r="R354" s="77"/>
      <c r="V354" s="77"/>
      <c r="Y354" s="77"/>
    </row>
    <row r="355" spans="2:25" x14ac:dyDescent="0.2">
      <c r="B355" s="77"/>
      <c r="C355" s="77"/>
      <c r="D355" s="77"/>
      <c r="E355" s="77"/>
      <c r="F355" s="77"/>
      <c r="G355" s="77"/>
      <c r="H355" s="77"/>
      <c r="I355" s="77"/>
      <c r="J355" s="77"/>
      <c r="K355" s="77"/>
      <c r="L355" s="77"/>
      <c r="M355" s="77"/>
      <c r="N355" s="77"/>
      <c r="O355" s="77"/>
      <c r="R355" s="77"/>
      <c r="V355" s="77"/>
      <c r="Y355" s="77"/>
    </row>
    <row r="356" spans="2:25" x14ac:dyDescent="0.2">
      <c r="B356" s="77"/>
      <c r="C356" s="77"/>
      <c r="D356" s="77"/>
      <c r="E356" s="77"/>
      <c r="F356" s="77"/>
      <c r="G356" s="77"/>
      <c r="H356" s="77"/>
      <c r="I356" s="77"/>
      <c r="J356" s="77"/>
      <c r="K356" s="77"/>
      <c r="L356" s="77"/>
      <c r="M356" s="77"/>
      <c r="N356" s="77"/>
      <c r="O356" s="77"/>
      <c r="R356" s="77"/>
      <c r="V356" s="77"/>
      <c r="Y356" s="77"/>
    </row>
    <row r="357" spans="2:25" x14ac:dyDescent="0.2">
      <c r="B357" s="77"/>
      <c r="C357" s="77"/>
      <c r="D357" s="77"/>
      <c r="E357" s="77"/>
      <c r="F357" s="77"/>
      <c r="G357" s="77"/>
      <c r="H357" s="77"/>
      <c r="I357" s="77"/>
      <c r="J357" s="77"/>
      <c r="K357" s="77"/>
      <c r="L357" s="77"/>
      <c r="M357" s="77"/>
      <c r="N357" s="77"/>
      <c r="O357" s="77"/>
      <c r="R357" s="77"/>
      <c r="V357" s="77"/>
      <c r="Y357" s="77"/>
    </row>
    <row r="358" spans="2:25" x14ac:dyDescent="0.2">
      <c r="B358" s="77"/>
      <c r="C358" s="77"/>
      <c r="D358" s="77"/>
      <c r="E358" s="77"/>
      <c r="F358" s="77"/>
      <c r="G358" s="77"/>
      <c r="H358" s="77"/>
      <c r="I358" s="77"/>
      <c r="J358" s="77"/>
      <c r="K358" s="77"/>
      <c r="L358" s="77"/>
      <c r="M358" s="77"/>
      <c r="N358" s="77"/>
      <c r="O358" s="77"/>
      <c r="R358" s="77"/>
      <c r="V358" s="77"/>
      <c r="Y358" s="77"/>
    </row>
    <row r="359" spans="2:25" x14ac:dyDescent="0.2">
      <c r="B359" s="77"/>
      <c r="C359" s="77"/>
      <c r="D359" s="77"/>
      <c r="E359" s="77"/>
      <c r="F359" s="77"/>
      <c r="G359" s="77"/>
      <c r="H359" s="77"/>
      <c r="I359" s="77"/>
      <c r="J359" s="77"/>
      <c r="K359" s="77"/>
      <c r="L359" s="77"/>
      <c r="M359" s="77"/>
      <c r="N359" s="77"/>
      <c r="O359" s="77"/>
      <c r="R359" s="77"/>
      <c r="V359" s="77"/>
      <c r="Y359" s="77"/>
    </row>
    <row r="360" spans="2:25" x14ac:dyDescent="0.2">
      <c r="B360" s="77"/>
      <c r="C360" s="77"/>
      <c r="D360" s="77"/>
      <c r="E360" s="77"/>
      <c r="F360" s="77"/>
      <c r="G360" s="77"/>
      <c r="H360" s="77"/>
      <c r="I360" s="77"/>
      <c r="J360" s="77"/>
      <c r="K360" s="77"/>
      <c r="L360" s="77"/>
      <c r="M360" s="77"/>
      <c r="N360" s="77"/>
      <c r="O360" s="77"/>
      <c r="R360" s="77"/>
      <c r="V360" s="77"/>
      <c r="Y360" s="77"/>
    </row>
    <row r="361" spans="2:25" x14ac:dyDescent="0.2">
      <c r="B361" s="77"/>
      <c r="C361" s="77"/>
      <c r="D361" s="77"/>
      <c r="E361" s="77"/>
      <c r="F361" s="77"/>
      <c r="G361" s="77"/>
      <c r="H361" s="77"/>
      <c r="I361" s="77"/>
      <c r="J361" s="77"/>
      <c r="K361" s="77"/>
      <c r="L361" s="77"/>
      <c r="M361" s="77"/>
      <c r="N361" s="77"/>
      <c r="O361" s="77"/>
      <c r="R361" s="77"/>
      <c r="V361" s="77"/>
      <c r="Y361" s="77"/>
    </row>
    <row r="362" spans="2:25" x14ac:dyDescent="0.2">
      <c r="B362" s="77"/>
      <c r="C362" s="77"/>
      <c r="D362" s="77"/>
      <c r="E362" s="77"/>
      <c r="F362" s="77"/>
      <c r="G362" s="77"/>
      <c r="H362" s="77"/>
      <c r="I362" s="77"/>
      <c r="J362" s="77"/>
      <c r="K362" s="77"/>
      <c r="L362" s="77"/>
      <c r="M362" s="77"/>
      <c r="N362" s="77"/>
      <c r="O362" s="77"/>
      <c r="R362" s="77"/>
      <c r="V362" s="77"/>
      <c r="Y362" s="77"/>
    </row>
    <row r="363" spans="2:25" x14ac:dyDescent="0.2">
      <c r="B363" s="77"/>
      <c r="C363" s="77"/>
      <c r="D363" s="77"/>
      <c r="E363" s="77"/>
      <c r="F363" s="77"/>
      <c r="G363" s="77"/>
      <c r="H363" s="77"/>
      <c r="I363" s="77"/>
      <c r="J363" s="77"/>
      <c r="K363" s="77"/>
      <c r="L363" s="77"/>
      <c r="M363" s="77"/>
      <c r="N363" s="77"/>
      <c r="O363" s="77"/>
      <c r="R363" s="77"/>
      <c r="V363" s="77"/>
      <c r="Y363" s="77"/>
    </row>
    <row r="364" spans="2:25" x14ac:dyDescent="0.2">
      <c r="B364" s="77"/>
      <c r="C364" s="77"/>
      <c r="D364" s="77"/>
      <c r="E364" s="77"/>
      <c r="F364" s="77"/>
      <c r="G364" s="77"/>
      <c r="H364" s="77"/>
      <c r="I364" s="77"/>
      <c r="J364" s="77"/>
      <c r="K364" s="77"/>
      <c r="L364" s="77"/>
      <c r="M364" s="77"/>
      <c r="N364" s="77"/>
      <c r="O364" s="77"/>
      <c r="R364" s="77"/>
      <c r="V364" s="77"/>
      <c r="Y364" s="77"/>
    </row>
    <row r="365" spans="2:25" x14ac:dyDescent="0.2">
      <c r="B365" s="77"/>
      <c r="C365" s="77"/>
      <c r="D365" s="77"/>
      <c r="E365" s="77"/>
      <c r="F365" s="77"/>
      <c r="G365" s="77"/>
      <c r="H365" s="77"/>
      <c r="I365" s="77"/>
      <c r="J365" s="77"/>
      <c r="K365" s="77"/>
      <c r="L365" s="77"/>
      <c r="M365" s="77"/>
      <c r="N365" s="77"/>
      <c r="O365" s="77"/>
      <c r="R365" s="77"/>
      <c r="V365" s="77"/>
      <c r="Y365" s="77"/>
    </row>
    <row r="366" spans="2:25" x14ac:dyDescent="0.2">
      <c r="B366" s="77"/>
      <c r="C366" s="77"/>
      <c r="D366" s="77"/>
      <c r="E366" s="77"/>
      <c r="F366" s="77"/>
      <c r="G366" s="77"/>
      <c r="H366" s="77"/>
      <c r="I366" s="77"/>
      <c r="J366" s="77"/>
      <c r="K366" s="77"/>
      <c r="L366" s="77"/>
      <c r="M366" s="77"/>
      <c r="N366" s="77"/>
      <c r="O366" s="77"/>
      <c r="R366" s="77"/>
      <c r="V366" s="77"/>
      <c r="Y366" s="77"/>
    </row>
    <row r="367" spans="2:25" x14ac:dyDescent="0.2">
      <c r="B367" s="77"/>
      <c r="C367" s="77"/>
      <c r="D367" s="77"/>
      <c r="E367" s="77"/>
      <c r="F367" s="77"/>
      <c r="G367" s="77"/>
      <c r="H367" s="77"/>
      <c r="I367" s="77"/>
      <c r="J367" s="77"/>
      <c r="K367" s="77"/>
      <c r="L367" s="77"/>
      <c r="M367" s="77"/>
      <c r="N367" s="77"/>
      <c r="O367" s="77"/>
      <c r="R367" s="77"/>
      <c r="V367" s="77"/>
      <c r="Y367" s="77"/>
    </row>
    <row r="368" spans="2:25" x14ac:dyDescent="0.2">
      <c r="B368" s="77"/>
      <c r="C368" s="77"/>
      <c r="D368" s="77"/>
      <c r="E368" s="77"/>
      <c r="F368" s="77"/>
      <c r="G368" s="77"/>
      <c r="H368" s="77"/>
      <c r="I368" s="77"/>
      <c r="J368" s="77"/>
      <c r="K368" s="77"/>
      <c r="L368" s="77"/>
      <c r="M368" s="77"/>
      <c r="N368" s="77"/>
      <c r="O368" s="77"/>
      <c r="R368" s="77"/>
      <c r="V368" s="77"/>
      <c r="Y368" s="77"/>
    </row>
    <row r="369" spans="2:25" x14ac:dyDescent="0.2">
      <c r="B369" s="77"/>
      <c r="C369" s="77"/>
      <c r="D369" s="77"/>
      <c r="E369" s="77"/>
      <c r="F369" s="77"/>
      <c r="G369" s="77"/>
      <c r="H369" s="77"/>
      <c r="I369" s="77"/>
      <c r="J369" s="77"/>
      <c r="K369" s="77"/>
      <c r="L369" s="77"/>
      <c r="M369" s="77"/>
      <c r="N369" s="77"/>
      <c r="O369" s="77"/>
      <c r="R369" s="77"/>
      <c r="V369" s="77"/>
      <c r="Y369" s="77"/>
    </row>
    <row r="370" spans="2:25" x14ac:dyDescent="0.2">
      <c r="B370" s="77"/>
      <c r="C370" s="77"/>
      <c r="D370" s="77"/>
      <c r="E370" s="77"/>
      <c r="F370" s="77"/>
      <c r="G370" s="77"/>
      <c r="H370" s="77"/>
      <c r="I370" s="77"/>
      <c r="J370" s="77"/>
      <c r="K370" s="77"/>
      <c r="L370" s="77"/>
      <c r="M370" s="77"/>
      <c r="N370" s="77"/>
      <c r="O370" s="77"/>
      <c r="R370" s="77"/>
      <c r="V370" s="77"/>
      <c r="Y370" s="77"/>
    </row>
    <row r="371" spans="2:25" x14ac:dyDescent="0.2">
      <c r="B371" s="77"/>
      <c r="C371" s="77"/>
      <c r="D371" s="77"/>
      <c r="E371" s="77"/>
      <c r="F371" s="77"/>
      <c r="G371" s="77"/>
      <c r="H371" s="77"/>
      <c r="I371" s="77"/>
      <c r="J371" s="77"/>
      <c r="K371" s="77"/>
      <c r="L371" s="77"/>
      <c r="M371" s="77"/>
      <c r="N371" s="77"/>
      <c r="O371" s="77"/>
      <c r="R371" s="77"/>
      <c r="V371" s="77"/>
      <c r="Y371" s="77"/>
    </row>
    <row r="372" spans="2:25" x14ac:dyDescent="0.2">
      <c r="B372" s="77"/>
      <c r="C372" s="77"/>
      <c r="D372" s="77"/>
      <c r="E372" s="77"/>
      <c r="F372" s="77"/>
      <c r="G372" s="77"/>
      <c r="H372" s="77"/>
      <c r="I372" s="77"/>
      <c r="J372" s="77"/>
      <c r="K372" s="77"/>
      <c r="L372" s="77"/>
      <c r="M372" s="77"/>
      <c r="N372" s="77"/>
      <c r="O372" s="77"/>
      <c r="R372" s="77"/>
      <c r="V372" s="77"/>
      <c r="Y372" s="77"/>
    </row>
    <row r="373" spans="2:25" x14ac:dyDescent="0.2">
      <c r="B373" s="77"/>
      <c r="C373" s="77"/>
      <c r="D373" s="77"/>
      <c r="E373" s="77"/>
      <c r="F373" s="77"/>
      <c r="G373" s="77"/>
      <c r="H373" s="77"/>
      <c r="I373" s="77"/>
      <c r="J373" s="77"/>
      <c r="K373" s="77"/>
      <c r="L373" s="77"/>
      <c r="M373" s="77"/>
      <c r="N373" s="77"/>
      <c r="O373" s="77"/>
      <c r="R373" s="77"/>
      <c r="V373" s="77"/>
      <c r="Y373" s="77"/>
    </row>
    <row r="374" spans="2:25" x14ac:dyDescent="0.2">
      <c r="B374" s="77"/>
      <c r="C374" s="77"/>
      <c r="D374" s="77"/>
      <c r="E374" s="77"/>
      <c r="F374" s="77"/>
      <c r="G374" s="77"/>
      <c r="H374" s="77"/>
      <c r="I374" s="77"/>
      <c r="J374" s="77"/>
      <c r="K374" s="77"/>
      <c r="L374" s="77"/>
      <c r="M374" s="77"/>
      <c r="N374" s="77"/>
      <c r="O374" s="77"/>
      <c r="R374" s="77"/>
      <c r="V374" s="77"/>
      <c r="Y374" s="77"/>
    </row>
    <row r="375" spans="2:25" x14ac:dyDescent="0.2">
      <c r="B375" s="77"/>
      <c r="C375" s="77"/>
      <c r="D375" s="77"/>
      <c r="E375" s="77"/>
      <c r="F375" s="77"/>
      <c r="G375" s="77"/>
      <c r="H375" s="77"/>
      <c r="I375" s="77"/>
      <c r="J375" s="77"/>
      <c r="K375" s="77"/>
      <c r="L375" s="77"/>
      <c r="M375" s="77"/>
      <c r="N375" s="77"/>
      <c r="O375" s="77"/>
      <c r="R375" s="77"/>
      <c r="V375" s="77"/>
      <c r="Y375" s="77"/>
    </row>
    <row r="376" spans="2:25" x14ac:dyDescent="0.2">
      <c r="B376" s="77"/>
      <c r="C376" s="77"/>
      <c r="D376" s="77"/>
      <c r="E376" s="77"/>
      <c r="F376" s="77"/>
      <c r="G376" s="77"/>
      <c r="H376" s="77"/>
      <c r="I376" s="77"/>
      <c r="J376" s="77"/>
      <c r="K376" s="77"/>
      <c r="L376" s="77"/>
      <c r="M376" s="77"/>
      <c r="N376" s="77"/>
      <c r="O376" s="77"/>
      <c r="R376" s="77"/>
      <c r="V376" s="77"/>
      <c r="Y376" s="77"/>
    </row>
    <row r="377" spans="2:25" x14ac:dyDescent="0.2">
      <c r="B377" s="77"/>
      <c r="C377" s="77"/>
      <c r="D377" s="77"/>
      <c r="E377" s="77"/>
      <c r="F377" s="77"/>
      <c r="G377" s="77"/>
      <c r="H377" s="77"/>
      <c r="I377" s="77"/>
      <c r="J377" s="77"/>
      <c r="K377" s="77"/>
      <c r="L377" s="77"/>
      <c r="M377" s="77"/>
      <c r="N377" s="77"/>
      <c r="O377" s="77"/>
      <c r="R377" s="77"/>
      <c r="V377" s="77"/>
      <c r="Y377" s="77"/>
    </row>
    <row r="378" spans="2:25" x14ac:dyDescent="0.2">
      <c r="B378" s="77"/>
      <c r="C378" s="77"/>
      <c r="D378" s="77"/>
      <c r="E378" s="77"/>
      <c r="F378" s="77"/>
      <c r="G378" s="77"/>
      <c r="H378" s="77"/>
      <c r="I378" s="77"/>
      <c r="J378" s="77"/>
      <c r="K378" s="77"/>
      <c r="L378" s="77"/>
      <c r="M378" s="77"/>
      <c r="N378" s="77"/>
      <c r="O378" s="77"/>
      <c r="R378" s="77"/>
      <c r="V378" s="77"/>
      <c r="Y378" s="77"/>
    </row>
    <row r="379" spans="2:25" x14ac:dyDescent="0.2">
      <c r="B379" s="77"/>
      <c r="C379" s="77"/>
      <c r="D379" s="77"/>
      <c r="E379" s="77"/>
      <c r="F379" s="77"/>
      <c r="G379" s="77"/>
      <c r="H379" s="77"/>
      <c r="I379" s="77"/>
      <c r="J379" s="77"/>
      <c r="K379" s="77"/>
      <c r="L379" s="77"/>
      <c r="M379" s="77"/>
      <c r="N379" s="77"/>
      <c r="O379" s="77"/>
      <c r="R379" s="77"/>
      <c r="V379" s="77"/>
      <c r="Y379" s="77"/>
    </row>
    <row r="380" spans="2:25" x14ac:dyDescent="0.2">
      <c r="B380" s="77"/>
      <c r="C380" s="77"/>
      <c r="D380" s="77"/>
      <c r="E380" s="77"/>
      <c r="F380" s="77"/>
      <c r="G380" s="77"/>
      <c r="H380" s="77"/>
      <c r="I380" s="77"/>
      <c r="J380" s="77"/>
      <c r="K380" s="77"/>
      <c r="L380" s="77"/>
      <c r="M380" s="77"/>
      <c r="N380" s="77"/>
      <c r="O380" s="77"/>
      <c r="R380" s="77"/>
      <c r="V380" s="77"/>
      <c r="Y380" s="77"/>
    </row>
    <row r="381" spans="2:25" x14ac:dyDescent="0.2">
      <c r="B381" s="77"/>
      <c r="C381" s="77"/>
      <c r="D381" s="77"/>
      <c r="E381" s="77"/>
      <c r="F381" s="77"/>
      <c r="G381" s="77"/>
      <c r="H381" s="77"/>
      <c r="I381" s="77"/>
      <c r="J381" s="77"/>
      <c r="K381" s="77"/>
      <c r="L381" s="77"/>
      <c r="M381" s="77"/>
      <c r="N381" s="77"/>
      <c r="O381" s="77"/>
      <c r="R381" s="77"/>
      <c r="V381" s="77"/>
      <c r="Y381" s="77"/>
    </row>
    <row r="382" spans="2:25" x14ac:dyDescent="0.2">
      <c r="B382" s="77"/>
      <c r="C382" s="77"/>
      <c r="D382" s="77"/>
      <c r="E382" s="77"/>
      <c r="F382" s="77"/>
      <c r="G382" s="77"/>
      <c r="H382" s="77"/>
      <c r="I382" s="77"/>
      <c r="J382" s="77"/>
      <c r="K382" s="77"/>
      <c r="L382" s="77"/>
      <c r="M382" s="77"/>
      <c r="N382" s="77"/>
      <c r="O382" s="77"/>
      <c r="R382" s="77"/>
      <c r="V382" s="77"/>
      <c r="Y382" s="77"/>
    </row>
    <row r="383" spans="2:25" x14ac:dyDescent="0.2">
      <c r="B383" s="77"/>
      <c r="C383" s="77"/>
      <c r="D383" s="77"/>
      <c r="E383" s="77"/>
      <c r="F383" s="77"/>
      <c r="G383" s="77"/>
      <c r="H383" s="77"/>
      <c r="I383" s="77"/>
      <c r="J383" s="77"/>
      <c r="K383" s="77"/>
      <c r="L383" s="77"/>
      <c r="M383" s="77"/>
      <c r="N383" s="77"/>
      <c r="O383" s="77"/>
      <c r="R383" s="77"/>
      <c r="V383" s="77"/>
      <c r="Y383" s="77"/>
    </row>
    <row r="384" spans="2:25" x14ac:dyDescent="0.2">
      <c r="B384" s="77"/>
      <c r="C384" s="77"/>
      <c r="D384" s="77"/>
      <c r="E384" s="77"/>
      <c r="F384" s="77"/>
      <c r="G384" s="77"/>
      <c r="H384" s="77"/>
      <c r="I384" s="77"/>
      <c r="J384" s="77"/>
      <c r="K384" s="77"/>
      <c r="L384" s="77"/>
      <c r="M384" s="77"/>
      <c r="N384" s="77"/>
      <c r="O384" s="77"/>
      <c r="R384" s="77"/>
      <c r="V384" s="77"/>
      <c r="Y384" s="77"/>
    </row>
    <row r="385" spans="2:25" x14ac:dyDescent="0.2">
      <c r="B385" s="77"/>
      <c r="C385" s="77"/>
      <c r="D385" s="77"/>
      <c r="E385" s="77"/>
      <c r="F385" s="77"/>
      <c r="G385" s="77"/>
      <c r="H385" s="77"/>
      <c r="I385" s="77"/>
      <c r="J385" s="77"/>
      <c r="K385" s="77"/>
      <c r="L385" s="77"/>
      <c r="M385" s="77"/>
      <c r="N385" s="77"/>
      <c r="O385" s="77"/>
      <c r="R385" s="77"/>
      <c r="V385" s="77"/>
      <c r="Y385" s="77"/>
    </row>
    <row r="386" spans="2:25" x14ac:dyDescent="0.2">
      <c r="B386" s="77"/>
      <c r="C386" s="77"/>
      <c r="D386" s="77"/>
      <c r="E386" s="77"/>
      <c r="F386" s="77"/>
      <c r="G386" s="77"/>
      <c r="H386" s="77"/>
      <c r="I386" s="77"/>
      <c r="J386" s="77"/>
      <c r="K386" s="77"/>
      <c r="L386" s="77"/>
      <c r="M386" s="77"/>
      <c r="N386" s="77"/>
      <c r="O386" s="77"/>
      <c r="R386" s="77"/>
      <c r="V386" s="77"/>
      <c r="Y386" s="77"/>
    </row>
    <row r="387" spans="2:25" x14ac:dyDescent="0.2">
      <c r="B387" s="77"/>
      <c r="C387" s="77"/>
      <c r="D387" s="77"/>
      <c r="E387" s="77"/>
      <c r="F387" s="77"/>
      <c r="G387" s="77"/>
      <c r="H387" s="77"/>
      <c r="I387" s="77"/>
      <c r="J387" s="77"/>
      <c r="K387" s="77"/>
      <c r="L387" s="77"/>
      <c r="M387" s="77"/>
      <c r="N387" s="77"/>
      <c r="O387" s="77"/>
      <c r="R387" s="77"/>
      <c r="V387" s="77"/>
      <c r="Y387" s="77"/>
    </row>
    <row r="388" spans="2:25" x14ac:dyDescent="0.2">
      <c r="B388" s="77"/>
      <c r="C388" s="77"/>
      <c r="D388" s="77"/>
      <c r="E388" s="77"/>
      <c r="F388" s="77"/>
      <c r="G388" s="77"/>
      <c r="H388" s="77"/>
      <c r="I388" s="77"/>
      <c r="J388" s="77"/>
      <c r="K388" s="77"/>
      <c r="L388" s="77"/>
      <c r="M388" s="77"/>
      <c r="N388" s="77"/>
      <c r="O388" s="77"/>
      <c r="R388" s="77"/>
      <c r="V388" s="77"/>
      <c r="Y388" s="77"/>
    </row>
    <row r="389" spans="2:25" x14ac:dyDescent="0.2">
      <c r="B389" s="77"/>
      <c r="C389" s="77"/>
      <c r="D389" s="77"/>
      <c r="E389" s="77"/>
      <c r="F389" s="77"/>
      <c r="G389" s="77"/>
      <c r="H389" s="77"/>
      <c r="I389" s="77"/>
      <c r="J389" s="77"/>
      <c r="K389" s="77"/>
      <c r="L389" s="77"/>
      <c r="M389" s="77"/>
      <c r="N389" s="77"/>
      <c r="O389" s="77"/>
      <c r="R389" s="77"/>
      <c r="V389" s="77"/>
      <c r="Y389" s="77"/>
    </row>
    <row r="390" spans="2:25" x14ac:dyDescent="0.2">
      <c r="B390" s="77"/>
      <c r="C390" s="77"/>
      <c r="D390" s="77"/>
      <c r="E390" s="77"/>
      <c r="F390" s="77"/>
      <c r="G390" s="77"/>
      <c r="H390" s="77"/>
      <c r="I390" s="77"/>
      <c r="J390" s="77"/>
      <c r="K390" s="77"/>
      <c r="L390" s="77"/>
      <c r="M390" s="77"/>
      <c r="N390" s="77"/>
      <c r="O390" s="77"/>
      <c r="R390" s="77"/>
      <c r="V390" s="77"/>
      <c r="Y390" s="77"/>
    </row>
    <row r="391" spans="2:25" x14ac:dyDescent="0.2">
      <c r="B391" s="77"/>
      <c r="C391" s="77"/>
      <c r="D391" s="77"/>
      <c r="E391" s="77"/>
      <c r="F391" s="77"/>
      <c r="G391" s="77"/>
      <c r="H391" s="77"/>
      <c r="I391" s="77"/>
      <c r="J391" s="77"/>
      <c r="K391" s="77"/>
      <c r="L391" s="77"/>
      <c r="M391" s="77"/>
      <c r="N391" s="77"/>
      <c r="O391" s="77"/>
      <c r="R391" s="77"/>
      <c r="V391" s="77"/>
      <c r="Y391" s="77"/>
    </row>
    <row r="392" spans="2:25" x14ac:dyDescent="0.2">
      <c r="B392" s="77"/>
      <c r="C392" s="77"/>
      <c r="D392" s="77"/>
      <c r="E392" s="77"/>
      <c r="F392" s="77"/>
      <c r="G392" s="77"/>
      <c r="H392" s="77"/>
      <c r="I392" s="77"/>
      <c r="J392" s="77"/>
      <c r="K392" s="77"/>
      <c r="L392" s="77"/>
      <c r="M392" s="77"/>
      <c r="N392" s="77"/>
      <c r="O392" s="77"/>
      <c r="R392" s="77"/>
      <c r="V392" s="77"/>
      <c r="Y392" s="77"/>
    </row>
    <row r="393" spans="2:25" x14ac:dyDescent="0.2">
      <c r="B393" s="77"/>
      <c r="C393" s="77"/>
      <c r="D393" s="77"/>
      <c r="E393" s="77"/>
      <c r="F393" s="77"/>
      <c r="G393" s="77"/>
      <c r="H393" s="77"/>
      <c r="I393" s="77"/>
      <c r="J393" s="77"/>
      <c r="K393" s="77"/>
      <c r="L393" s="77"/>
      <c r="M393" s="77"/>
      <c r="N393" s="77"/>
      <c r="O393" s="77"/>
      <c r="R393" s="77"/>
      <c r="V393" s="77"/>
      <c r="Y393" s="77"/>
    </row>
    <row r="394" spans="2:25" x14ac:dyDescent="0.2">
      <c r="B394" s="77"/>
      <c r="C394" s="77"/>
      <c r="D394" s="77"/>
      <c r="E394" s="77"/>
      <c r="F394" s="77"/>
      <c r="G394" s="77"/>
      <c r="H394" s="77"/>
      <c r="I394" s="77"/>
      <c r="J394" s="77"/>
      <c r="K394" s="77"/>
      <c r="L394" s="77"/>
      <c r="M394" s="77"/>
      <c r="N394" s="77"/>
      <c r="O394" s="77"/>
      <c r="R394" s="77"/>
      <c r="V394" s="77"/>
      <c r="Y394" s="77"/>
    </row>
    <row r="395" spans="2:25" x14ac:dyDescent="0.2">
      <c r="B395" s="77"/>
      <c r="C395" s="77"/>
      <c r="D395" s="77"/>
      <c r="E395" s="77"/>
      <c r="F395" s="77"/>
      <c r="G395" s="77"/>
      <c r="H395" s="77"/>
      <c r="I395" s="77"/>
      <c r="J395" s="77"/>
      <c r="K395" s="77"/>
      <c r="L395" s="77"/>
      <c r="M395" s="77"/>
      <c r="N395" s="77"/>
      <c r="O395" s="77"/>
      <c r="R395" s="77"/>
      <c r="V395" s="77"/>
      <c r="Y395" s="77"/>
    </row>
    <row r="396" spans="2:25" x14ac:dyDescent="0.2">
      <c r="B396" s="77"/>
      <c r="C396" s="77"/>
      <c r="D396" s="77"/>
      <c r="E396" s="77"/>
      <c r="F396" s="77"/>
      <c r="G396" s="77"/>
      <c r="H396" s="77"/>
      <c r="I396" s="77"/>
      <c r="J396" s="77"/>
      <c r="K396" s="77"/>
      <c r="L396" s="77"/>
      <c r="M396" s="77"/>
      <c r="N396" s="77"/>
      <c r="O396" s="77"/>
      <c r="R396" s="77"/>
      <c r="V396" s="77"/>
      <c r="Y396" s="77"/>
    </row>
    <row r="397" spans="2:25" x14ac:dyDescent="0.2">
      <c r="B397" s="77"/>
      <c r="C397" s="77"/>
      <c r="D397" s="77"/>
      <c r="E397" s="77"/>
      <c r="F397" s="77"/>
      <c r="G397" s="77"/>
      <c r="H397" s="77"/>
      <c r="I397" s="77"/>
      <c r="J397" s="77"/>
      <c r="K397" s="77"/>
      <c r="L397" s="77"/>
      <c r="M397" s="77"/>
      <c r="N397" s="77"/>
      <c r="O397" s="77"/>
      <c r="R397" s="77"/>
      <c r="V397" s="77"/>
      <c r="Y397" s="77"/>
    </row>
    <row r="398" spans="2:25" x14ac:dyDescent="0.2">
      <c r="B398" s="77"/>
      <c r="C398" s="77"/>
      <c r="D398" s="77"/>
      <c r="E398" s="77"/>
      <c r="F398" s="77"/>
      <c r="G398" s="77"/>
      <c r="H398" s="77"/>
      <c r="I398" s="77"/>
      <c r="J398" s="77"/>
      <c r="K398" s="77"/>
      <c r="L398" s="77"/>
      <c r="M398" s="77"/>
      <c r="N398" s="77"/>
      <c r="O398" s="77"/>
      <c r="R398" s="77"/>
      <c r="V398" s="77"/>
      <c r="Y398" s="77"/>
    </row>
    <row r="399" spans="2:25" x14ac:dyDescent="0.2">
      <c r="B399" s="77"/>
      <c r="C399" s="77"/>
      <c r="D399" s="77"/>
      <c r="E399" s="77"/>
      <c r="F399" s="77"/>
      <c r="G399" s="77"/>
      <c r="H399" s="77"/>
      <c r="I399" s="77"/>
      <c r="J399" s="77"/>
      <c r="K399" s="77"/>
      <c r="L399" s="77"/>
      <c r="M399" s="77"/>
      <c r="N399" s="77"/>
      <c r="O399" s="77"/>
      <c r="R399" s="77"/>
      <c r="V399" s="77"/>
      <c r="Y399" s="77"/>
    </row>
    <row r="400" spans="2:25" x14ac:dyDescent="0.2">
      <c r="B400" s="77"/>
      <c r="C400" s="77"/>
      <c r="D400" s="77"/>
      <c r="E400" s="77"/>
      <c r="F400" s="77"/>
      <c r="G400" s="77"/>
      <c r="H400" s="77"/>
      <c r="I400" s="77"/>
      <c r="J400" s="77"/>
      <c r="K400" s="77"/>
      <c r="L400" s="77"/>
      <c r="M400" s="77"/>
      <c r="N400" s="77"/>
      <c r="O400" s="77"/>
      <c r="R400" s="77"/>
      <c r="V400" s="77"/>
      <c r="Y400" s="77"/>
    </row>
    <row r="401" spans="2:25" x14ac:dyDescent="0.2">
      <c r="B401" s="77"/>
      <c r="C401" s="77"/>
      <c r="D401" s="77"/>
      <c r="E401" s="77"/>
      <c r="F401" s="77"/>
      <c r="G401" s="77"/>
      <c r="H401" s="77"/>
      <c r="I401" s="77"/>
      <c r="J401" s="77"/>
      <c r="K401" s="77"/>
      <c r="L401" s="77"/>
      <c r="M401" s="77"/>
      <c r="N401" s="77"/>
      <c r="O401" s="77"/>
      <c r="R401" s="77"/>
      <c r="V401" s="77"/>
      <c r="Y401" s="77"/>
    </row>
    <row r="402" spans="2:25" x14ac:dyDescent="0.2">
      <c r="B402" s="77"/>
      <c r="C402" s="77"/>
      <c r="D402" s="77"/>
      <c r="E402" s="77"/>
      <c r="F402" s="77"/>
      <c r="G402" s="77"/>
      <c r="H402" s="77"/>
      <c r="I402" s="77"/>
      <c r="J402" s="77"/>
      <c r="K402" s="77"/>
      <c r="L402" s="77"/>
      <c r="M402" s="77"/>
      <c r="N402" s="77"/>
      <c r="O402" s="77"/>
      <c r="R402" s="77"/>
      <c r="V402" s="77"/>
      <c r="Y402" s="77"/>
    </row>
    <row r="403" spans="2:25" x14ac:dyDescent="0.2">
      <c r="B403" s="77"/>
      <c r="C403" s="77"/>
      <c r="D403" s="77"/>
      <c r="E403" s="77"/>
      <c r="F403" s="77"/>
      <c r="G403" s="77"/>
      <c r="H403" s="77"/>
      <c r="I403" s="77"/>
      <c r="J403" s="77"/>
      <c r="K403" s="77"/>
      <c r="L403" s="77"/>
      <c r="M403" s="77"/>
      <c r="N403" s="77"/>
      <c r="O403" s="77"/>
      <c r="R403" s="77"/>
      <c r="V403" s="77"/>
      <c r="Y403" s="77"/>
    </row>
    <row r="404" spans="2:25" x14ac:dyDescent="0.2">
      <c r="B404" s="77"/>
      <c r="C404" s="77"/>
      <c r="D404" s="77"/>
      <c r="E404" s="77"/>
      <c r="F404" s="77"/>
      <c r="G404" s="77"/>
      <c r="H404" s="77"/>
      <c r="I404" s="77"/>
      <c r="J404" s="77"/>
      <c r="K404" s="77"/>
      <c r="L404" s="77"/>
      <c r="M404" s="77"/>
      <c r="N404" s="77"/>
      <c r="O404" s="77"/>
      <c r="R404" s="77"/>
      <c r="V404" s="77"/>
      <c r="Y404" s="77"/>
    </row>
    <row r="405" spans="2:25" x14ac:dyDescent="0.2">
      <c r="B405" s="77"/>
      <c r="C405" s="77"/>
      <c r="D405" s="77"/>
      <c r="E405" s="77"/>
      <c r="F405" s="77"/>
      <c r="G405" s="77"/>
      <c r="H405" s="77"/>
      <c r="I405" s="77"/>
      <c r="J405" s="77"/>
      <c r="K405" s="77"/>
      <c r="L405" s="77"/>
      <c r="M405" s="77"/>
      <c r="N405" s="77"/>
      <c r="O405" s="77"/>
      <c r="R405" s="77"/>
      <c r="V405" s="77"/>
      <c r="Y405" s="77"/>
    </row>
    <row r="406" spans="2:25" x14ac:dyDescent="0.2">
      <c r="B406" s="77"/>
      <c r="C406" s="77"/>
      <c r="D406" s="77"/>
      <c r="E406" s="77"/>
      <c r="F406" s="77"/>
      <c r="G406" s="77"/>
      <c r="H406" s="77"/>
      <c r="I406" s="77"/>
      <c r="J406" s="77"/>
      <c r="K406" s="77"/>
      <c r="L406" s="77"/>
      <c r="M406" s="77"/>
      <c r="N406" s="77"/>
      <c r="O406" s="77"/>
      <c r="R406" s="77"/>
      <c r="V406" s="77"/>
      <c r="Y406" s="77"/>
    </row>
    <row r="407" spans="2:25" x14ac:dyDescent="0.2">
      <c r="B407" s="77"/>
      <c r="C407" s="77"/>
      <c r="D407" s="77"/>
      <c r="E407" s="77"/>
      <c r="F407" s="77"/>
      <c r="G407" s="77"/>
      <c r="H407" s="77"/>
      <c r="I407" s="77"/>
      <c r="J407" s="77"/>
      <c r="K407" s="77"/>
      <c r="L407" s="77"/>
      <c r="M407" s="77"/>
      <c r="N407" s="77"/>
      <c r="O407" s="77"/>
      <c r="R407" s="77"/>
      <c r="V407" s="77"/>
      <c r="Y407" s="77"/>
    </row>
    <row r="408" spans="2:25" x14ac:dyDescent="0.2">
      <c r="B408" s="77"/>
      <c r="C408" s="77"/>
      <c r="D408" s="77"/>
      <c r="E408" s="77"/>
      <c r="F408" s="77"/>
      <c r="G408" s="77"/>
      <c r="H408" s="77"/>
      <c r="I408" s="77"/>
      <c r="J408" s="77"/>
      <c r="K408" s="77"/>
      <c r="L408" s="77"/>
      <c r="M408" s="77"/>
      <c r="N408" s="77"/>
      <c r="O408" s="77"/>
      <c r="R408" s="77"/>
      <c r="V408" s="77"/>
      <c r="Y408" s="77"/>
    </row>
    <row r="409" spans="2:25" x14ac:dyDescent="0.2">
      <c r="B409" s="77"/>
      <c r="C409" s="77"/>
      <c r="D409" s="77"/>
      <c r="E409" s="77"/>
      <c r="F409" s="77"/>
      <c r="G409" s="77"/>
      <c r="H409" s="77"/>
      <c r="I409" s="77"/>
      <c r="J409" s="77"/>
      <c r="K409" s="77"/>
      <c r="L409" s="77"/>
      <c r="M409" s="77"/>
      <c r="N409" s="77"/>
      <c r="O409" s="77"/>
      <c r="R409" s="77"/>
      <c r="V409" s="77"/>
      <c r="Y409" s="77"/>
    </row>
    <row r="410" spans="2:25" x14ac:dyDescent="0.2">
      <c r="B410" s="77"/>
      <c r="C410" s="77"/>
      <c r="D410" s="77"/>
      <c r="E410" s="77"/>
      <c r="F410" s="77"/>
      <c r="G410" s="77"/>
      <c r="H410" s="77"/>
      <c r="I410" s="77"/>
      <c r="J410" s="77"/>
      <c r="K410" s="77"/>
      <c r="L410" s="77"/>
      <c r="M410" s="77"/>
      <c r="N410" s="77"/>
      <c r="O410" s="77"/>
      <c r="R410" s="77"/>
      <c r="V410" s="77"/>
      <c r="Y410" s="77"/>
    </row>
    <row r="411" spans="2:25" x14ac:dyDescent="0.2">
      <c r="B411" s="77"/>
      <c r="C411" s="77"/>
      <c r="D411" s="77"/>
      <c r="E411" s="77"/>
      <c r="F411" s="77"/>
      <c r="G411" s="77"/>
      <c r="H411" s="77"/>
      <c r="I411" s="77"/>
      <c r="J411" s="77"/>
      <c r="K411" s="77"/>
      <c r="L411" s="77"/>
      <c r="M411" s="77"/>
      <c r="N411" s="77"/>
      <c r="O411" s="77"/>
      <c r="R411" s="77"/>
      <c r="V411" s="77"/>
      <c r="Y411" s="77"/>
    </row>
    <row r="412" spans="2:25" x14ac:dyDescent="0.2">
      <c r="B412" s="77"/>
      <c r="C412" s="77"/>
      <c r="D412" s="77"/>
      <c r="E412" s="77"/>
      <c r="F412" s="77"/>
      <c r="G412" s="77"/>
      <c r="H412" s="77"/>
      <c r="I412" s="77"/>
      <c r="J412" s="77"/>
      <c r="K412" s="77"/>
      <c r="L412" s="77"/>
      <c r="M412" s="77"/>
      <c r="N412" s="77"/>
      <c r="O412" s="77"/>
      <c r="R412" s="77"/>
      <c r="V412" s="77"/>
      <c r="Y412" s="77"/>
    </row>
    <row r="413" spans="2:25" x14ac:dyDescent="0.2">
      <c r="B413" s="77"/>
      <c r="C413" s="77"/>
      <c r="D413" s="77"/>
      <c r="E413" s="77"/>
      <c r="F413" s="77"/>
      <c r="G413" s="77"/>
      <c r="H413" s="77"/>
      <c r="I413" s="77"/>
      <c r="J413" s="77"/>
      <c r="K413" s="77"/>
      <c r="L413" s="77"/>
      <c r="M413" s="77"/>
      <c r="N413" s="77"/>
      <c r="O413" s="77"/>
      <c r="R413" s="77"/>
      <c r="V413" s="77"/>
      <c r="Y413" s="77"/>
    </row>
    <row r="414" spans="2:25" x14ac:dyDescent="0.2">
      <c r="B414" s="77"/>
      <c r="C414" s="77"/>
      <c r="D414" s="77"/>
      <c r="E414" s="77"/>
      <c r="F414" s="77"/>
      <c r="G414" s="77"/>
      <c r="H414" s="77"/>
      <c r="I414" s="77"/>
      <c r="J414" s="77"/>
      <c r="K414" s="77"/>
      <c r="L414" s="77"/>
      <c r="M414" s="77"/>
      <c r="N414" s="77"/>
      <c r="O414" s="77"/>
      <c r="R414" s="77"/>
      <c r="V414" s="77"/>
      <c r="Y414" s="77"/>
    </row>
    <row r="415" spans="2:25" x14ac:dyDescent="0.2">
      <c r="B415" s="77"/>
      <c r="C415" s="77"/>
      <c r="D415" s="77"/>
      <c r="E415" s="77"/>
      <c r="F415" s="77"/>
      <c r="G415" s="77"/>
      <c r="H415" s="77"/>
      <c r="I415" s="77"/>
      <c r="J415" s="77"/>
      <c r="K415" s="77"/>
      <c r="L415" s="77"/>
      <c r="M415" s="77"/>
      <c r="N415" s="77"/>
      <c r="O415" s="77"/>
      <c r="R415" s="77"/>
      <c r="V415" s="77"/>
      <c r="Y415" s="77"/>
    </row>
    <row r="416" spans="2:25" x14ac:dyDescent="0.2">
      <c r="B416" s="77"/>
      <c r="C416" s="77"/>
      <c r="D416" s="77"/>
      <c r="E416" s="77"/>
      <c r="F416" s="77"/>
      <c r="G416" s="77"/>
      <c r="H416" s="77"/>
      <c r="I416" s="77"/>
      <c r="J416" s="77"/>
      <c r="K416" s="77"/>
      <c r="L416" s="77"/>
      <c r="M416" s="77"/>
      <c r="N416" s="77"/>
      <c r="O416" s="77"/>
      <c r="R416" s="77"/>
      <c r="V416" s="77"/>
      <c r="Y416" s="77"/>
    </row>
    <row r="417" spans="2:25" x14ac:dyDescent="0.2">
      <c r="B417" s="77"/>
      <c r="C417" s="77"/>
      <c r="D417" s="77"/>
      <c r="E417" s="77"/>
      <c r="F417" s="77"/>
      <c r="G417" s="77"/>
      <c r="H417" s="77"/>
      <c r="I417" s="77"/>
      <c r="J417" s="77"/>
      <c r="K417" s="77"/>
      <c r="L417" s="77"/>
      <c r="M417" s="77"/>
      <c r="N417" s="77"/>
      <c r="O417" s="77"/>
      <c r="R417" s="77"/>
      <c r="V417" s="77"/>
      <c r="Y417" s="77"/>
    </row>
    <row r="418" spans="2:25" x14ac:dyDescent="0.2">
      <c r="B418" s="77"/>
      <c r="C418" s="77"/>
      <c r="D418" s="77"/>
      <c r="E418" s="77"/>
      <c r="F418" s="77"/>
      <c r="G418" s="77"/>
      <c r="H418" s="77"/>
      <c r="I418" s="77"/>
      <c r="J418" s="77"/>
      <c r="K418" s="77"/>
      <c r="L418" s="77"/>
      <c r="M418" s="77"/>
      <c r="N418" s="77"/>
      <c r="O418" s="77"/>
      <c r="R418" s="77"/>
      <c r="V418" s="77"/>
      <c r="Y418" s="77"/>
    </row>
    <row r="419" spans="2:25" x14ac:dyDescent="0.2">
      <c r="B419" s="77"/>
      <c r="C419" s="77"/>
      <c r="D419" s="77"/>
      <c r="E419" s="77"/>
      <c r="F419" s="77"/>
      <c r="G419" s="77"/>
      <c r="H419" s="77"/>
      <c r="I419" s="77"/>
      <c r="J419" s="77"/>
      <c r="K419" s="77"/>
      <c r="L419" s="77"/>
      <c r="M419" s="77"/>
      <c r="N419" s="77"/>
      <c r="O419" s="77"/>
      <c r="R419" s="77"/>
      <c r="V419" s="77"/>
      <c r="Y419" s="77"/>
    </row>
    <row r="420" spans="2:25" x14ac:dyDescent="0.2">
      <c r="B420" s="77"/>
      <c r="C420" s="77"/>
      <c r="D420" s="77"/>
      <c r="E420" s="77"/>
      <c r="F420" s="77"/>
      <c r="G420" s="77"/>
      <c r="H420" s="77"/>
      <c r="I420" s="77"/>
      <c r="J420" s="77"/>
      <c r="K420" s="77"/>
      <c r="L420" s="77"/>
      <c r="M420" s="77"/>
      <c r="N420" s="77"/>
      <c r="O420" s="77"/>
      <c r="R420" s="77"/>
      <c r="V420" s="77"/>
      <c r="Y420" s="77"/>
    </row>
    <row r="421" spans="2:25" x14ac:dyDescent="0.2">
      <c r="B421" s="77"/>
      <c r="C421" s="77"/>
      <c r="D421" s="77"/>
      <c r="E421" s="77"/>
      <c r="F421" s="77"/>
      <c r="G421" s="77"/>
      <c r="H421" s="77"/>
      <c r="I421" s="77"/>
      <c r="J421" s="77"/>
      <c r="K421" s="77"/>
      <c r="L421" s="77"/>
      <c r="M421" s="77"/>
      <c r="N421" s="77"/>
      <c r="O421" s="77"/>
      <c r="R421" s="77"/>
      <c r="V421" s="77"/>
      <c r="Y421" s="77"/>
    </row>
    <row r="422" spans="2:25" x14ac:dyDescent="0.2">
      <c r="B422" s="77"/>
      <c r="C422" s="77"/>
      <c r="D422" s="77"/>
      <c r="E422" s="77"/>
      <c r="F422" s="77"/>
      <c r="G422" s="77"/>
      <c r="H422" s="77"/>
      <c r="I422" s="77"/>
      <c r="J422" s="77"/>
      <c r="K422" s="77"/>
      <c r="L422" s="77"/>
      <c r="M422" s="77"/>
      <c r="N422" s="77"/>
      <c r="O422" s="77"/>
      <c r="R422" s="77"/>
      <c r="V422" s="77"/>
      <c r="Y422" s="77"/>
    </row>
    <row r="423" spans="2:25" x14ac:dyDescent="0.2">
      <c r="B423" s="77"/>
      <c r="C423" s="77"/>
      <c r="D423" s="77"/>
      <c r="E423" s="77"/>
      <c r="F423" s="77"/>
      <c r="G423" s="77"/>
      <c r="H423" s="77"/>
      <c r="I423" s="77"/>
      <c r="J423" s="77"/>
      <c r="K423" s="77"/>
      <c r="L423" s="77"/>
      <c r="M423" s="77"/>
      <c r="N423" s="77"/>
      <c r="O423" s="77"/>
      <c r="R423" s="77"/>
      <c r="V423" s="77"/>
      <c r="Y423" s="77"/>
    </row>
    <row r="424" spans="2:25" x14ac:dyDescent="0.2">
      <c r="B424" s="77"/>
      <c r="C424" s="77"/>
      <c r="D424" s="77"/>
      <c r="E424" s="77"/>
      <c r="F424" s="77"/>
      <c r="G424" s="77"/>
      <c r="H424" s="77"/>
      <c r="I424" s="77"/>
      <c r="J424" s="77"/>
      <c r="K424" s="77"/>
      <c r="L424" s="77"/>
      <c r="M424" s="77"/>
      <c r="N424" s="77"/>
      <c r="O424" s="77"/>
      <c r="R424" s="77"/>
      <c r="V424" s="77"/>
      <c r="Y424" s="77"/>
    </row>
    <row r="425" spans="2:25" x14ac:dyDescent="0.2">
      <c r="B425" s="77"/>
      <c r="C425" s="77"/>
      <c r="D425" s="77"/>
      <c r="E425" s="77"/>
      <c r="F425" s="77"/>
      <c r="G425" s="77"/>
      <c r="H425" s="77"/>
      <c r="I425" s="77"/>
      <c r="J425" s="77"/>
      <c r="K425" s="77"/>
      <c r="L425" s="77"/>
      <c r="M425" s="77"/>
      <c r="N425" s="77"/>
      <c r="O425" s="77"/>
      <c r="R425" s="77"/>
      <c r="V425" s="77"/>
      <c r="Y425" s="77"/>
    </row>
    <row r="426" spans="2:25" x14ac:dyDescent="0.2">
      <c r="B426" s="77"/>
      <c r="C426" s="77"/>
      <c r="D426" s="77"/>
      <c r="E426" s="77"/>
      <c r="F426" s="77"/>
      <c r="G426" s="77"/>
      <c r="H426" s="77"/>
      <c r="I426" s="77"/>
      <c r="J426" s="77"/>
      <c r="K426" s="77"/>
      <c r="L426" s="77"/>
      <c r="M426" s="77"/>
      <c r="N426" s="77"/>
      <c r="O426" s="77"/>
      <c r="R426" s="77"/>
      <c r="V426" s="77"/>
      <c r="Y426" s="77"/>
    </row>
    <row r="427" spans="2:25" x14ac:dyDescent="0.2">
      <c r="B427" s="77"/>
      <c r="C427" s="77"/>
      <c r="D427" s="77"/>
      <c r="E427" s="77"/>
      <c r="F427" s="77"/>
      <c r="G427" s="77"/>
      <c r="H427" s="77"/>
      <c r="I427" s="77"/>
      <c r="J427" s="77"/>
      <c r="K427" s="77"/>
      <c r="L427" s="77"/>
      <c r="M427" s="77"/>
      <c r="N427" s="77"/>
      <c r="O427" s="77"/>
      <c r="R427" s="77"/>
      <c r="V427" s="77"/>
      <c r="Y427" s="77"/>
    </row>
    <row r="428" spans="2:25" x14ac:dyDescent="0.2">
      <c r="B428" s="77"/>
      <c r="C428" s="77"/>
      <c r="D428" s="77"/>
      <c r="E428" s="77"/>
      <c r="F428" s="77"/>
      <c r="G428" s="77"/>
      <c r="H428" s="77"/>
      <c r="I428" s="77"/>
      <c r="J428" s="77"/>
      <c r="K428" s="77"/>
      <c r="L428" s="77"/>
      <c r="M428" s="77"/>
      <c r="N428" s="77"/>
      <c r="O428" s="77"/>
      <c r="R428" s="77"/>
      <c r="V428" s="77"/>
      <c r="Y428" s="77"/>
    </row>
    <row r="429" spans="2:25" x14ac:dyDescent="0.2">
      <c r="B429" s="77"/>
      <c r="C429" s="77"/>
      <c r="D429" s="77"/>
      <c r="E429" s="77"/>
      <c r="F429" s="77"/>
      <c r="G429" s="77"/>
      <c r="H429" s="77"/>
      <c r="I429" s="77"/>
      <c r="J429" s="77"/>
      <c r="K429" s="77"/>
      <c r="L429" s="77"/>
      <c r="M429" s="77"/>
      <c r="N429" s="77"/>
      <c r="O429" s="77"/>
      <c r="R429" s="77"/>
      <c r="V429" s="77"/>
      <c r="Y429" s="77"/>
    </row>
    <row r="430" spans="2:25" x14ac:dyDescent="0.2">
      <c r="B430" s="77"/>
      <c r="C430" s="77"/>
      <c r="D430" s="77"/>
      <c r="E430" s="77"/>
      <c r="F430" s="77"/>
      <c r="G430" s="77"/>
      <c r="H430" s="77"/>
      <c r="I430" s="77"/>
      <c r="J430" s="77"/>
      <c r="K430" s="77"/>
      <c r="L430" s="77"/>
      <c r="M430" s="77"/>
      <c r="N430" s="77"/>
      <c r="O430" s="77"/>
      <c r="R430" s="77"/>
      <c r="V430" s="77"/>
      <c r="Y430" s="77"/>
    </row>
    <row r="431" spans="2:25" x14ac:dyDescent="0.2">
      <c r="B431" s="77"/>
      <c r="C431" s="77"/>
      <c r="D431" s="77"/>
      <c r="E431" s="77"/>
      <c r="F431" s="77"/>
      <c r="G431" s="77"/>
      <c r="H431" s="77"/>
      <c r="I431" s="77"/>
      <c r="J431" s="77"/>
      <c r="K431" s="77"/>
      <c r="L431" s="77"/>
      <c r="M431" s="77"/>
      <c r="N431" s="77"/>
      <c r="O431" s="77"/>
      <c r="R431" s="77"/>
      <c r="V431" s="77"/>
      <c r="Y431" s="77"/>
    </row>
    <row r="432" spans="2:25" x14ac:dyDescent="0.2">
      <c r="B432" s="77"/>
      <c r="C432" s="77"/>
      <c r="D432" s="77"/>
      <c r="E432" s="77"/>
      <c r="F432" s="77"/>
      <c r="G432" s="77"/>
      <c r="H432" s="77"/>
      <c r="I432" s="77"/>
      <c r="J432" s="77"/>
      <c r="K432" s="77"/>
      <c r="L432" s="77"/>
      <c r="M432" s="77"/>
      <c r="N432" s="77"/>
      <c r="O432" s="77"/>
      <c r="R432" s="77"/>
      <c r="V432" s="77"/>
      <c r="Y432" s="77"/>
    </row>
    <row r="433" spans="2:25" x14ac:dyDescent="0.2">
      <c r="B433" s="77"/>
      <c r="C433" s="77"/>
      <c r="D433" s="77"/>
      <c r="E433" s="77"/>
      <c r="F433" s="77"/>
      <c r="G433" s="77"/>
      <c r="H433" s="77"/>
      <c r="I433" s="77"/>
      <c r="J433" s="77"/>
      <c r="K433" s="77"/>
      <c r="L433" s="77"/>
      <c r="M433" s="77"/>
      <c r="N433" s="77"/>
      <c r="O433" s="77"/>
      <c r="R433" s="77"/>
      <c r="V433" s="77"/>
      <c r="Y433" s="77"/>
    </row>
    <row r="434" spans="2:25" x14ac:dyDescent="0.2">
      <c r="B434" s="77"/>
      <c r="C434" s="77"/>
      <c r="D434" s="77"/>
      <c r="E434" s="77"/>
      <c r="F434" s="77"/>
      <c r="G434" s="77"/>
      <c r="H434" s="77"/>
      <c r="I434" s="77"/>
      <c r="J434" s="77"/>
      <c r="K434" s="77"/>
      <c r="L434" s="77"/>
      <c r="M434" s="77"/>
      <c r="N434" s="77"/>
      <c r="O434" s="77"/>
      <c r="R434" s="77"/>
      <c r="V434" s="77"/>
      <c r="Y434" s="77"/>
    </row>
    <row r="435" spans="2:25" x14ac:dyDescent="0.2">
      <c r="B435" s="77"/>
      <c r="C435" s="77"/>
      <c r="D435" s="77"/>
      <c r="E435" s="77"/>
      <c r="F435" s="77"/>
      <c r="G435" s="77"/>
      <c r="H435" s="77"/>
      <c r="I435" s="77"/>
      <c r="J435" s="77"/>
      <c r="K435" s="77"/>
      <c r="L435" s="77"/>
      <c r="M435" s="77"/>
      <c r="N435" s="77"/>
      <c r="O435" s="77"/>
      <c r="R435" s="77"/>
      <c r="V435" s="77"/>
      <c r="Y435" s="77"/>
    </row>
    <row r="436" spans="2:25" x14ac:dyDescent="0.2">
      <c r="B436" s="77"/>
      <c r="C436" s="77"/>
      <c r="D436" s="77"/>
      <c r="E436" s="77"/>
      <c r="F436" s="77"/>
      <c r="G436" s="77"/>
      <c r="H436" s="77"/>
      <c r="I436" s="77"/>
      <c r="J436" s="77"/>
      <c r="K436" s="77"/>
      <c r="L436" s="77"/>
      <c r="M436" s="77"/>
      <c r="N436" s="77"/>
      <c r="O436" s="77"/>
      <c r="R436" s="77"/>
      <c r="V436" s="77"/>
      <c r="Y436" s="77"/>
    </row>
    <row r="437" spans="2:25" x14ac:dyDescent="0.2">
      <c r="B437" s="77"/>
      <c r="C437" s="77"/>
      <c r="D437" s="77"/>
      <c r="E437" s="77"/>
      <c r="F437" s="77"/>
      <c r="G437" s="77"/>
      <c r="H437" s="77"/>
      <c r="I437" s="77"/>
      <c r="J437" s="77"/>
      <c r="K437" s="77"/>
      <c r="L437" s="77"/>
      <c r="M437" s="77"/>
      <c r="N437" s="77"/>
      <c r="O437" s="77"/>
      <c r="R437" s="77"/>
      <c r="V437" s="77"/>
      <c r="Y437" s="77"/>
    </row>
    <row r="438" spans="2:25" x14ac:dyDescent="0.2">
      <c r="B438" s="77"/>
      <c r="C438" s="77"/>
      <c r="D438" s="77"/>
      <c r="E438" s="77"/>
      <c r="F438" s="77"/>
      <c r="G438" s="77"/>
      <c r="H438" s="77"/>
      <c r="I438" s="77"/>
      <c r="J438" s="77"/>
      <c r="K438" s="77"/>
      <c r="L438" s="77"/>
      <c r="M438" s="77"/>
      <c r="N438" s="77"/>
      <c r="O438" s="77"/>
      <c r="R438" s="77"/>
      <c r="V438" s="77"/>
      <c r="Y438" s="77"/>
    </row>
    <row r="439" spans="2:25" x14ac:dyDescent="0.2">
      <c r="B439" s="77"/>
      <c r="C439" s="77"/>
      <c r="D439" s="77"/>
      <c r="E439" s="77"/>
      <c r="F439" s="77"/>
      <c r="G439" s="77"/>
      <c r="H439" s="77"/>
      <c r="I439" s="77"/>
      <c r="J439" s="77"/>
      <c r="K439" s="77"/>
      <c r="L439" s="77"/>
      <c r="M439" s="77"/>
      <c r="N439" s="77"/>
      <c r="O439" s="77"/>
      <c r="R439" s="77"/>
      <c r="V439" s="77"/>
      <c r="Y439" s="77"/>
    </row>
    <row r="440" spans="2:25" x14ac:dyDescent="0.2">
      <c r="B440" s="77"/>
      <c r="C440" s="77"/>
      <c r="D440" s="77"/>
      <c r="E440" s="77"/>
      <c r="F440" s="77"/>
      <c r="G440" s="77"/>
      <c r="H440" s="77"/>
      <c r="I440" s="77"/>
      <c r="J440" s="77"/>
      <c r="K440" s="77"/>
      <c r="L440" s="77"/>
      <c r="M440" s="77"/>
      <c r="N440" s="77"/>
      <c r="O440" s="77"/>
      <c r="R440" s="77"/>
      <c r="V440" s="77"/>
      <c r="Y440" s="77"/>
    </row>
    <row r="441" spans="2:25" x14ac:dyDescent="0.2">
      <c r="B441" s="77"/>
      <c r="C441" s="77"/>
      <c r="D441" s="77"/>
      <c r="E441" s="77"/>
      <c r="F441" s="77"/>
      <c r="G441" s="77"/>
      <c r="H441" s="77"/>
      <c r="I441" s="77"/>
      <c r="J441" s="77"/>
      <c r="K441" s="77"/>
      <c r="L441" s="77"/>
      <c r="M441" s="77"/>
      <c r="N441" s="77"/>
      <c r="O441" s="77"/>
      <c r="R441" s="77"/>
      <c r="V441" s="77"/>
      <c r="Y441" s="77"/>
    </row>
    <row r="442" spans="2:25" x14ac:dyDescent="0.2">
      <c r="B442" s="77"/>
      <c r="C442" s="77"/>
      <c r="D442" s="77"/>
      <c r="E442" s="77"/>
      <c r="F442" s="77"/>
      <c r="G442" s="77"/>
      <c r="H442" s="77"/>
      <c r="I442" s="77"/>
      <c r="J442" s="77"/>
      <c r="K442" s="77"/>
      <c r="L442" s="77"/>
      <c r="M442" s="77"/>
      <c r="N442" s="77"/>
      <c r="O442" s="77"/>
      <c r="R442" s="77"/>
      <c r="V442" s="77"/>
      <c r="Y442" s="77"/>
    </row>
    <row r="443" spans="2:25" x14ac:dyDescent="0.2">
      <c r="B443" s="77"/>
      <c r="C443" s="77"/>
      <c r="D443" s="77"/>
      <c r="E443" s="77"/>
      <c r="F443" s="77"/>
      <c r="G443" s="77"/>
      <c r="H443" s="77"/>
      <c r="I443" s="77"/>
      <c r="J443" s="77"/>
      <c r="K443" s="77"/>
      <c r="L443" s="77"/>
      <c r="M443" s="77"/>
      <c r="N443" s="77"/>
      <c r="O443" s="77"/>
      <c r="R443" s="77"/>
      <c r="V443" s="77"/>
      <c r="Y443" s="77"/>
    </row>
    <row r="444" spans="2:25" x14ac:dyDescent="0.2">
      <c r="B444" s="77"/>
      <c r="C444" s="77"/>
      <c r="D444" s="77"/>
      <c r="E444" s="77"/>
      <c r="F444" s="77"/>
      <c r="G444" s="77"/>
      <c r="H444" s="77"/>
      <c r="I444" s="77"/>
      <c r="J444" s="77"/>
      <c r="K444" s="77"/>
      <c r="L444" s="77"/>
      <c r="M444" s="77"/>
      <c r="N444" s="77"/>
      <c r="O444" s="77"/>
      <c r="R444" s="77"/>
      <c r="V444" s="77"/>
      <c r="Y444" s="77"/>
    </row>
    <row r="445" spans="2:25" x14ac:dyDescent="0.2">
      <c r="B445" s="77"/>
      <c r="C445" s="77"/>
      <c r="D445" s="77"/>
      <c r="E445" s="77"/>
      <c r="F445" s="77"/>
      <c r="G445" s="77"/>
      <c r="H445" s="77"/>
      <c r="I445" s="77"/>
      <c r="J445" s="77"/>
      <c r="K445" s="77"/>
      <c r="L445" s="77"/>
      <c r="M445" s="77"/>
      <c r="N445" s="77"/>
      <c r="O445" s="77"/>
      <c r="R445" s="77"/>
      <c r="V445" s="77"/>
      <c r="Y445" s="77"/>
    </row>
    <row r="446" spans="2:25" x14ac:dyDescent="0.2">
      <c r="B446" s="77"/>
      <c r="C446" s="77"/>
      <c r="D446" s="77"/>
      <c r="E446" s="77"/>
      <c r="F446" s="77"/>
      <c r="G446" s="77"/>
      <c r="H446" s="77"/>
      <c r="I446" s="77"/>
      <c r="J446" s="77"/>
      <c r="K446" s="77"/>
      <c r="L446" s="77"/>
      <c r="M446" s="77"/>
      <c r="N446" s="77"/>
      <c r="O446" s="77"/>
      <c r="R446" s="77"/>
      <c r="V446" s="77"/>
      <c r="Y446" s="77"/>
    </row>
    <row r="447" spans="2:25" x14ac:dyDescent="0.2">
      <c r="B447" s="77"/>
      <c r="C447" s="77"/>
      <c r="D447" s="77"/>
      <c r="E447" s="77"/>
      <c r="F447" s="77"/>
      <c r="G447" s="77"/>
      <c r="H447" s="77"/>
      <c r="I447" s="77"/>
      <c r="J447" s="77"/>
      <c r="K447" s="77"/>
      <c r="L447" s="77"/>
      <c r="M447" s="77"/>
      <c r="N447" s="77"/>
      <c r="O447" s="77"/>
      <c r="R447" s="77"/>
      <c r="V447" s="77"/>
      <c r="Y447" s="77"/>
    </row>
    <row r="448" spans="2:25" x14ac:dyDescent="0.2">
      <c r="B448" s="77"/>
      <c r="C448" s="77"/>
      <c r="D448" s="77"/>
      <c r="E448" s="77"/>
      <c r="F448" s="77"/>
      <c r="G448" s="77"/>
      <c r="H448" s="77"/>
      <c r="I448" s="77"/>
      <c r="J448" s="77"/>
      <c r="K448" s="77"/>
      <c r="L448" s="77"/>
      <c r="M448" s="77"/>
      <c r="N448" s="77"/>
      <c r="O448" s="77"/>
      <c r="R448" s="77"/>
      <c r="V448" s="77"/>
      <c r="Y448" s="77"/>
    </row>
    <row r="449" spans="2:25" x14ac:dyDescent="0.2">
      <c r="B449" s="77"/>
      <c r="C449" s="77"/>
      <c r="D449" s="77"/>
      <c r="E449" s="77"/>
      <c r="F449" s="77"/>
      <c r="G449" s="77"/>
      <c r="H449" s="77"/>
      <c r="I449" s="77"/>
      <c r="J449" s="77"/>
      <c r="K449" s="77"/>
      <c r="L449" s="77"/>
      <c r="M449" s="77"/>
      <c r="N449" s="77"/>
      <c r="O449" s="77"/>
      <c r="R449" s="77"/>
      <c r="V449" s="77"/>
      <c r="Y449" s="77"/>
    </row>
    <row r="450" spans="2:25" x14ac:dyDescent="0.2">
      <c r="B450" s="77"/>
      <c r="C450" s="77"/>
      <c r="D450" s="77"/>
      <c r="E450" s="77"/>
      <c r="F450" s="77"/>
      <c r="G450" s="77"/>
      <c r="H450" s="77"/>
      <c r="I450" s="77"/>
      <c r="J450" s="77"/>
      <c r="K450" s="77"/>
      <c r="L450" s="77"/>
      <c r="M450" s="77"/>
      <c r="N450" s="77"/>
      <c r="O450" s="77"/>
      <c r="R450" s="77"/>
      <c r="V450" s="77"/>
      <c r="Y450" s="77"/>
    </row>
    <row r="451" spans="2:25" x14ac:dyDescent="0.2">
      <c r="B451" s="77"/>
      <c r="C451" s="77"/>
      <c r="D451" s="77"/>
      <c r="E451" s="77"/>
      <c r="F451" s="77"/>
      <c r="G451" s="77"/>
      <c r="H451" s="77"/>
      <c r="I451" s="77"/>
      <c r="J451" s="77"/>
      <c r="K451" s="77"/>
      <c r="L451" s="77"/>
      <c r="M451" s="77"/>
      <c r="N451" s="77"/>
      <c r="O451" s="77"/>
      <c r="R451" s="77"/>
      <c r="V451" s="77"/>
      <c r="Y451" s="77"/>
    </row>
    <row r="452" spans="2:25" x14ac:dyDescent="0.2">
      <c r="B452" s="77"/>
      <c r="C452" s="77"/>
      <c r="D452" s="77"/>
      <c r="E452" s="77"/>
      <c r="F452" s="77"/>
      <c r="G452" s="77"/>
      <c r="H452" s="77"/>
      <c r="I452" s="77"/>
      <c r="J452" s="77"/>
      <c r="K452" s="77"/>
      <c r="L452" s="77"/>
      <c r="M452" s="77"/>
      <c r="N452" s="77"/>
      <c r="O452" s="77"/>
      <c r="R452" s="77"/>
      <c r="V452" s="77"/>
      <c r="Y452" s="77"/>
    </row>
    <row r="453" spans="2:25" x14ac:dyDescent="0.2">
      <c r="B453" s="77"/>
      <c r="C453" s="77"/>
      <c r="D453" s="77"/>
      <c r="E453" s="77"/>
      <c r="F453" s="77"/>
      <c r="G453" s="77"/>
      <c r="H453" s="77"/>
      <c r="I453" s="77"/>
      <c r="J453" s="77"/>
      <c r="K453" s="77"/>
      <c r="L453" s="77"/>
      <c r="M453" s="77"/>
      <c r="N453" s="77"/>
      <c r="O453" s="77"/>
      <c r="R453" s="77"/>
      <c r="V453" s="77"/>
      <c r="Y453" s="77"/>
    </row>
    <row r="454" spans="2:25" x14ac:dyDescent="0.2">
      <c r="B454" s="77"/>
      <c r="C454" s="77"/>
      <c r="D454" s="77"/>
      <c r="E454" s="77"/>
      <c r="F454" s="77"/>
      <c r="G454" s="77"/>
      <c r="H454" s="77"/>
      <c r="I454" s="77"/>
      <c r="J454" s="77"/>
      <c r="K454" s="77"/>
      <c r="L454" s="77"/>
      <c r="M454" s="77"/>
      <c r="N454" s="77"/>
      <c r="O454" s="77"/>
      <c r="R454" s="77"/>
      <c r="V454" s="77"/>
      <c r="Y454" s="77"/>
    </row>
    <row r="455" spans="2:25" x14ac:dyDescent="0.2">
      <c r="B455" s="77"/>
      <c r="C455" s="77"/>
      <c r="D455" s="77"/>
      <c r="E455" s="77"/>
      <c r="F455" s="77"/>
      <c r="G455" s="77"/>
      <c r="H455" s="77"/>
      <c r="I455" s="77"/>
      <c r="J455" s="77"/>
      <c r="K455" s="77"/>
      <c r="L455" s="77"/>
      <c r="M455" s="77"/>
      <c r="N455" s="77"/>
      <c r="O455" s="77"/>
      <c r="R455" s="77"/>
      <c r="V455" s="77"/>
      <c r="Y455" s="77"/>
    </row>
    <row r="456" spans="2:25" x14ac:dyDescent="0.2">
      <c r="B456" s="77"/>
      <c r="C456" s="77"/>
      <c r="D456" s="77"/>
      <c r="E456" s="77"/>
      <c r="F456" s="77"/>
      <c r="G456" s="77"/>
      <c r="H456" s="77"/>
      <c r="I456" s="77"/>
      <c r="J456" s="77"/>
      <c r="K456" s="77"/>
      <c r="L456" s="77"/>
      <c r="M456" s="77"/>
      <c r="N456" s="77"/>
      <c r="O456" s="77"/>
      <c r="R456" s="77"/>
      <c r="V456" s="77"/>
      <c r="Y456" s="77"/>
    </row>
    <row r="457" spans="2:25" x14ac:dyDescent="0.2">
      <c r="B457" s="77"/>
      <c r="C457" s="77"/>
      <c r="D457" s="77"/>
      <c r="E457" s="77"/>
      <c r="F457" s="77"/>
      <c r="G457" s="77"/>
      <c r="H457" s="77"/>
      <c r="I457" s="77"/>
      <c r="J457" s="77"/>
      <c r="K457" s="77"/>
      <c r="L457" s="77"/>
      <c r="M457" s="77"/>
      <c r="N457" s="77"/>
      <c r="O457" s="77"/>
      <c r="R457" s="77"/>
      <c r="V457" s="77"/>
      <c r="Y457" s="77"/>
    </row>
    <row r="458" spans="2:25" x14ac:dyDescent="0.2">
      <c r="B458" s="77"/>
      <c r="C458" s="77"/>
      <c r="D458" s="77"/>
      <c r="E458" s="77"/>
      <c r="F458" s="77"/>
      <c r="G458" s="77"/>
      <c r="H458" s="77"/>
      <c r="I458" s="77"/>
      <c r="J458" s="77"/>
      <c r="K458" s="77"/>
      <c r="L458" s="77"/>
      <c r="M458" s="77"/>
      <c r="N458" s="77"/>
      <c r="O458" s="77"/>
      <c r="R458" s="77"/>
      <c r="V458" s="77"/>
      <c r="Y458" s="77"/>
    </row>
    <row r="459" spans="2:25" x14ac:dyDescent="0.2">
      <c r="B459" s="77"/>
      <c r="C459" s="77"/>
      <c r="D459" s="77"/>
      <c r="E459" s="77"/>
      <c r="F459" s="77"/>
      <c r="G459" s="77"/>
      <c r="H459" s="77"/>
      <c r="I459" s="77"/>
      <c r="J459" s="77"/>
      <c r="K459" s="77"/>
      <c r="L459" s="77"/>
      <c r="M459" s="77"/>
      <c r="N459" s="77"/>
      <c r="O459" s="77"/>
      <c r="R459" s="77"/>
      <c r="V459" s="77"/>
      <c r="Y459" s="77"/>
    </row>
    <row r="460" spans="2:25" x14ac:dyDescent="0.2">
      <c r="B460" s="77"/>
      <c r="C460" s="77"/>
      <c r="D460" s="77"/>
      <c r="E460" s="77"/>
      <c r="F460" s="77"/>
      <c r="G460" s="77"/>
      <c r="H460" s="77"/>
      <c r="I460" s="77"/>
      <c r="J460" s="77"/>
      <c r="K460" s="77"/>
      <c r="L460" s="77"/>
      <c r="M460" s="77"/>
      <c r="N460" s="77"/>
      <c r="O460" s="77"/>
      <c r="R460" s="77"/>
      <c r="V460" s="77"/>
      <c r="Y460" s="77"/>
    </row>
    <row r="461" spans="2:25" x14ac:dyDescent="0.2">
      <c r="B461" s="77"/>
      <c r="C461" s="77"/>
      <c r="D461" s="77"/>
      <c r="E461" s="77"/>
      <c r="F461" s="77"/>
      <c r="G461" s="77"/>
      <c r="H461" s="77"/>
      <c r="I461" s="77"/>
      <c r="J461" s="77"/>
      <c r="K461" s="77"/>
      <c r="L461" s="77"/>
      <c r="M461" s="77"/>
      <c r="N461" s="77"/>
      <c r="O461" s="77"/>
      <c r="R461" s="77"/>
      <c r="V461" s="77"/>
      <c r="Y461" s="77"/>
    </row>
    <row r="462" spans="2:25" x14ac:dyDescent="0.2">
      <c r="B462" s="77"/>
      <c r="C462" s="77"/>
      <c r="D462" s="77"/>
      <c r="E462" s="77"/>
      <c r="F462" s="77"/>
      <c r="G462" s="77"/>
      <c r="H462" s="77"/>
      <c r="I462" s="77"/>
      <c r="J462" s="77"/>
      <c r="K462" s="77"/>
      <c r="L462" s="77"/>
      <c r="M462" s="77"/>
      <c r="N462" s="77"/>
      <c r="O462" s="77"/>
      <c r="R462" s="77"/>
      <c r="V462" s="77"/>
      <c r="Y462" s="77"/>
    </row>
    <row r="463" spans="2:25" x14ac:dyDescent="0.2">
      <c r="B463" s="77"/>
      <c r="C463" s="77"/>
      <c r="D463" s="77"/>
      <c r="E463" s="77"/>
      <c r="F463" s="77"/>
      <c r="G463" s="77"/>
      <c r="H463" s="77"/>
      <c r="I463" s="77"/>
      <c r="J463" s="77"/>
      <c r="K463" s="77"/>
      <c r="L463" s="77"/>
      <c r="M463" s="77"/>
      <c r="N463" s="77"/>
      <c r="O463" s="77"/>
      <c r="R463" s="77"/>
      <c r="V463" s="77"/>
      <c r="Y463" s="77"/>
    </row>
    <row r="464" spans="2:25" x14ac:dyDescent="0.2">
      <c r="B464" s="77"/>
      <c r="C464" s="77"/>
      <c r="D464" s="77"/>
      <c r="E464" s="77"/>
      <c r="F464" s="77"/>
      <c r="G464" s="77"/>
      <c r="H464" s="77"/>
      <c r="I464" s="77"/>
      <c r="J464" s="77"/>
      <c r="K464" s="77"/>
      <c r="L464" s="77"/>
      <c r="M464" s="77"/>
      <c r="N464" s="77"/>
      <c r="O464" s="77"/>
      <c r="R464" s="77"/>
      <c r="V464" s="77"/>
      <c r="Y464" s="77"/>
    </row>
    <row r="465" spans="2:25" x14ac:dyDescent="0.2">
      <c r="B465" s="77"/>
      <c r="C465" s="77"/>
      <c r="D465" s="77"/>
      <c r="E465" s="77"/>
      <c r="F465" s="77"/>
      <c r="G465" s="77"/>
      <c r="H465" s="77"/>
      <c r="I465" s="77"/>
      <c r="J465" s="77"/>
      <c r="K465" s="77"/>
      <c r="L465" s="77"/>
      <c r="M465" s="77"/>
      <c r="N465" s="77"/>
      <c r="O465" s="77"/>
      <c r="R465" s="77"/>
      <c r="V465" s="77"/>
      <c r="Y465" s="77"/>
    </row>
    <row r="466" spans="2:25" x14ac:dyDescent="0.2">
      <c r="B466" s="77"/>
      <c r="C466" s="77"/>
      <c r="D466" s="77"/>
      <c r="E466" s="77"/>
      <c r="F466" s="77"/>
      <c r="G466" s="77"/>
      <c r="H466" s="77"/>
      <c r="I466" s="77"/>
      <c r="J466" s="77"/>
      <c r="K466" s="77"/>
      <c r="L466" s="77"/>
      <c r="M466" s="77"/>
      <c r="N466" s="77"/>
      <c r="O466" s="77"/>
      <c r="R466" s="77"/>
      <c r="V466" s="77"/>
      <c r="Y466" s="77"/>
    </row>
    <row r="467" spans="2:25" x14ac:dyDescent="0.2">
      <c r="B467" s="77"/>
      <c r="C467" s="77"/>
      <c r="D467" s="77"/>
      <c r="E467" s="77"/>
      <c r="F467" s="77"/>
      <c r="G467" s="77"/>
      <c r="H467" s="77"/>
      <c r="I467" s="77"/>
      <c r="J467" s="77"/>
      <c r="K467" s="77"/>
      <c r="L467" s="77"/>
      <c r="M467" s="77"/>
      <c r="N467" s="77"/>
      <c r="O467" s="77"/>
      <c r="R467" s="77"/>
      <c r="V467" s="77"/>
      <c r="Y467" s="77"/>
    </row>
    <row r="468" spans="2:25" x14ac:dyDescent="0.2">
      <c r="B468" s="77"/>
      <c r="C468" s="77"/>
      <c r="D468" s="77"/>
      <c r="E468" s="77"/>
      <c r="F468" s="77"/>
      <c r="G468" s="77"/>
      <c r="H468" s="77"/>
      <c r="I468" s="77"/>
      <c r="J468" s="77"/>
      <c r="K468" s="77"/>
      <c r="L468" s="77"/>
      <c r="M468" s="77"/>
      <c r="N468" s="77"/>
      <c r="O468" s="77"/>
      <c r="R468" s="77"/>
      <c r="V468" s="77"/>
      <c r="Y468" s="77"/>
    </row>
    <row r="469" spans="2:25" x14ac:dyDescent="0.2">
      <c r="B469" s="77"/>
      <c r="C469" s="77"/>
      <c r="D469" s="77"/>
      <c r="E469" s="77"/>
      <c r="F469" s="77"/>
      <c r="G469" s="77"/>
      <c r="H469" s="77"/>
      <c r="I469" s="77"/>
      <c r="J469" s="77"/>
      <c r="K469" s="77"/>
      <c r="L469" s="77"/>
      <c r="M469" s="77"/>
      <c r="N469" s="77"/>
      <c r="O469" s="77"/>
      <c r="R469" s="77"/>
      <c r="V469" s="77"/>
      <c r="Y469" s="77"/>
    </row>
    <row r="470" spans="2:25" x14ac:dyDescent="0.2">
      <c r="B470" s="77"/>
      <c r="C470" s="77"/>
      <c r="D470" s="77"/>
      <c r="E470" s="77"/>
      <c r="F470" s="77"/>
      <c r="G470" s="77"/>
      <c r="H470" s="77"/>
      <c r="I470" s="77"/>
      <c r="J470" s="77"/>
      <c r="K470" s="77"/>
      <c r="L470" s="77"/>
      <c r="M470" s="77"/>
      <c r="N470" s="77"/>
      <c r="O470" s="77"/>
      <c r="R470" s="77"/>
      <c r="V470" s="77"/>
      <c r="Y470" s="77"/>
    </row>
    <row r="471" spans="2:25" x14ac:dyDescent="0.2">
      <c r="B471" s="77"/>
      <c r="C471" s="77"/>
      <c r="D471" s="77"/>
      <c r="E471" s="77"/>
      <c r="F471" s="77"/>
      <c r="G471" s="77"/>
      <c r="H471" s="77"/>
      <c r="I471" s="77"/>
      <c r="J471" s="77"/>
      <c r="K471" s="77"/>
      <c r="L471" s="77"/>
      <c r="M471" s="77"/>
      <c r="N471" s="77"/>
      <c r="O471" s="77"/>
      <c r="R471" s="77"/>
      <c r="V471" s="77"/>
      <c r="Y471" s="77"/>
    </row>
    <row r="472" spans="2:25" x14ac:dyDescent="0.2">
      <c r="B472" s="77"/>
      <c r="C472" s="77"/>
      <c r="D472" s="77"/>
      <c r="E472" s="77"/>
      <c r="F472" s="77"/>
      <c r="G472" s="77"/>
      <c r="H472" s="77"/>
      <c r="I472" s="77"/>
      <c r="J472" s="77"/>
      <c r="K472" s="77"/>
      <c r="L472" s="77"/>
      <c r="M472" s="77"/>
      <c r="N472" s="77"/>
      <c r="O472" s="77"/>
      <c r="R472" s="77"/>
      <c r="V472" s="77"/>
      <c r="Y472" s="77"/>
    </row>
    <row r="473" spans="2:25" x14ac:dyDescent="0.2">
      <c r="B473" s="77"/>
      <c r="C473" s="77"/>
      <c r="D473" s="77"/>
      <c r="E473" s="77"/>
      <c r="F473" s="77"/>
      <c r="G473" s="77"/>
      <c r="H473" s="77"/>
      <c r="I473" s="77"/>
      <c r="J473" s="77"/>
      <c r="K473" s="77"/>
      <c r="L473" s="77"/>
      <c r="M473" s="77"/>
      <c r="N473" s="77"/>
      <c r="O473" s="77"/>
      <c r="R473" s="77"/>
      <c r="V473" s="77"/>
      <c r="Y473" s="77"/>
    </row>
    <row r="474" spans="2:25" x14ac:dyDescent="0.2">
      <c r="B474" s="77"/>
      <c r="C474" s="77"/>
      <c r="D474" s="77"/>
      <c r="E474" s="77"/>
      <c r="F474" s="77"/>
      <c r="G474" s="77"/>
      <c r="H474" s="77"/>
      <c r="I474" s="77"/>
      <c r="J474" s="77"/>
      <c r="K474" s="77"/>
      <c r="L474" s="77"/>
      <c r="M474" s="77"/>
      <c r="N474" s="77"/>
      <c r="O474" s="77"/>
      <c r="R474" s="77"/>
      <c r="V474" s="77"/>
      <c r="Y474" s="77"/>
    </row>
    <row r="475" spans="2:25" x14ac:dyDescent="0.2">
      <c r="B475" s="77"/>
      <c r="C475" s="77"/>
      <c r="D475" s="77"/>
      <c r="E475" s="77"/>
      <c r="F475" s="77"/>
      <c r="G475" s="77"/>
      <c r="H475" s="77"/>
      <c r="I475" s="77"/>
      <c r="J475" s="77"/>
      <c r="K475" s="77"/>
      <c r="L475" s="77"/>
      <c r="M475" s="77"/>
      <c r="N475" s="77"/>
      <c r="O475" s="77"/>
      <c r="R475" s="77"/>
      <c r="V475" s="77"/>
      <c r="Y475" s="77"/>
    </row>
    <row r="476" spans="2:25" x14ac:dyDescent="0.2">
      <c r="B476" s="77"/>
      <c r="C476" s="77"/>
      <c r="D476" s="77"/>
      <c r="E476" s="77"/>
      <c r="F476" s="77"/>
      <c r="G476" s="77"/>
      <c r="H476" s="77"/>
      <c r="I476" s="77"/>
      <c r="J476" s="77"/>
      <c r="K476" s="77"/>
      <c r="L476" s="77"/>
      <c r="M476" s="77"/>
      <c r="N476" s="77"/>
      <c r="O476" s="77"/>
      <c r="R476" s="77"/>
      <c r="V476" s="77"/>
      <c r="Y476" s="77"/>
    </row>
    <row r="477" spans="2:25" x14ac:dyDescent="0.2">
      <c r="B477" s="77"/>
      <c r="C477" s="77"/>
      <c r="D477" s="77"/>
      <c r="E477" s="77"/>
      <c r="F477" s="77"/>
      <c r="G477" s="77"/>
      <c r="H477" s="77"/>
      <c r="I477" s="77"/>
      <c r="J477" s="77"/>
      <c r="K477" s="77"/>
      <c r="L477" s="77"/>
      <c r="M477" s="77"/>
      <c r="N477" s="77"/>
      <c r="O477" s="77"/>
      <c r="R477" s="77"/>
      <c r="V477" s="77"/>
      <c r="Y477" s="77"/>
    </row>
    <row r="478" spans="2:25" x14ac:dyDescent="0.2">
      <c r="B478" s="77"/>
      <c r="C478" s="77"/>
      <c r="D478" s="77"/>
      <c r="E478" s="77"/>
      <c r="F478" s="77"/>
      <c r="G478" s="77"/>
      <c r="H478" s="77"/>
      <c r="I478" s="77"/>
      <c r="J478" s="77"/>
      <c r="K478" s="77"/>
      <c r="L478" s="77"/>
      <c r="M478" s="77"/>
      <c r="N478" s="77"/>
      <c r="O478" s="77"/>
      <c r="R478" s="77"/>
      <c r="V478" s="77"/>
      <c r="Y478" s="77"/>
    </row>
    <row r="479" spans="2:25" x14ac:dyDescent="0.2">
      <c r="B479" s="77"/>
      <c r="C479" s="77"/>
      <c r="D479" s="77"/>
      <c r="E479" s="77"/>
      <c r="F479" s="77"/>
      <c r="G479" s="77"/>
      <c r="H479" s="77"/>
      <c r="I479" s="77"/>
      <c r="J479" s="77"/>
      <c r="K479" s="77"/>
      <c r="L479" s="77"/>
      <c r="M479" s="77"/>
      <c r="N479" s="77"/>
      <c r="O479" s="77"/>
      <c r="R479" s="77"/>
      <c r="V479" s="77"/>
      <c r="Y479" s="77"/>
    </row>
    <row r="480" spans="2:25" x14ac:dyDescent="0.2">
      <c r="B480" s="77"/>
      <c r="C480" s="77"/>
      <c r="D480" s="77"/>
      <c r="E480" s="77"/>
      <c r="F480" s="77"/>
      <c r="G480" s="77"/>
      <c r="H480" s="77"/>
      <c r="I480" s="77"/>
      <c r="J480" s="77"/>
      <c r="K480" s="77"/>
      <c r="L480" s="77"/>
      <c r="M480" s="77"/>
      <c r="N480" s="77"/>
      <c r="O480" s="77"/>
      <c r="R480" s="77"/>
      <c r="V480" s="77"/>
      <c r="Y480" s="77"/>
    </row>
    <row r="481" spans="2:25" x14ac:dyDescent="0.2">
      <c r="B481" s="77"/>
      <c r="C481" s="77"/>
      <c r="D481" s="77"/>
      <c r="E481" s="77"/>
      <c r="F481" s="77"/>
      <c r="G481" s="77"/>
      <c r="H481" s="77"/>
      <c r="I481" s="77"/>
      <c r="J481" s="77"/>
      <c r="K481" s="77"/>
      <c r="L481" s="77"/>
      <c r="M481" s="77"/>
      <c r="N481" s="77"/>
      <c r="O481" s="77"/>
      <c r="R481" s="77"/>
      <c r="V481" s="77"/>
      <c r="Y481" s="77"/>
    </row>
    <row r="482" spans="2:25" x14ac:dyDescent="0.2">
      <c r="B482" s="77"/>
      <c r="C482" s="77"/>
      <c r="D482" s="77"/>
      <c r="E482" s="77"/>
      <c r="F482" s="77"/>
      <c r="G482" s="77"/>
      <c r="H482" s="77"/>
      <c r="I482" s="77"/>
      <c r="J482" s="77"/>
      <c r="K482" s="77"/>
      <c r="L482" s="77"/>
      <c r="M482" s="77"/>
      <c r="N482" s="77"/>
      <c r="O482" s="77"/>
      <c r="R482" s="77"/>
      <c r="V482" s="77"/>
      <c r="Y482" s="77"/>
    </row>
    <row r="483" spans="2:25" x14ac:dyDescent="0.2">
      <c r="B483" s="77"/>
      <c r="C483" s="77"/>
      <c r="D483" s="77"/>
      <c r="E483" s="77"/>
      <c r="F483" s="77"/>
      <c r="G483" s="77"/>
      <c r="H483" s="77"/>
      <c r="I483" s="77"/>
      <c r="J483" s="77"/>
      <c r="K483" s="77"/>
      <c r="L483" s="77"/>
      <c r="M483" s="77"/>
      <c r="N483" s="77"/>
      <c r="O483" s="77"/>
      <c r="R483" s="77"/>
      <c r="V483" s="77"/>
      <c r="Y483" s="77"/>
    </row>
    <row r="484" spans="2:25" x14ac:dyDescent="0.2">
      <c r="B484" s="77"/>
      <c r="C484" s="77"/>
      <c r="D484" s="77"/>
      <c r="E484" s="77"/>
      <c r="F484" s="77"/>
      <c r="G484" s="77"/>
      <c r="H484" s="77"/>
      <c r="I484" s="77"/>
      <c r="J484" s="77"/>
      <c r="K484" s="77"/>
      <c r="L484" s="77"/>
      <c r="M484" s="77"/>
      <c r="N484" s="77"/>
      <c r="O484" s="77"/>
      <c r="R484" s="77"/>
      <c r="V484" s="77"/>
      <c r="Y484" s="77"/>
    </row>
    <row r="485" spans="2:25" x14ac:dyDescent="0.2">
      <c r="B485" s="77"/>
      <c r="C485" s="77"/>
      <c r="D485" s="77"/>
      <c r="E485" s="77"/>
      <c r="F485" s="77"/>
      <c r="G485" s="77"/>
      <c r="H485" s="77"/>
      <c r="I485" s="77"/>
      <c r="J485" s="77"/>
      <c r="K485" s="77"/>
      <c r="L485" s="77"/>
      <c r="M485" s="77"/>
      <c r="N485" s="77"/>
      <c r="O485" s="77"/>
      <c r="R485" s="77"/>
      <c r="V485" s="77"/>
      <c r="Y485" s="77"/>
    </row>
    <row r="486" spans="2:25" x14ac:dyDescent="0.2">
      <c r="B486" s="77"/>
      <c r="C486" s="77"/>
      <c r="D486" s="77"/>
      <c r="E486" s="77"/>
      <c r="F486" s="77"/>
      <c r="G486" s="77"/>
      <c r="H486" s="77"/>
      <c r="I486" s="77"/>
      <c r="J486" s="77"/>
      <c r="K486" s="77"/>
      <c r="L486" s="77"/>
      <c r="M486" s="77"/>
      <c r="N486" s="77"/>
      <c r="O486" s="77"/>
      <c r="R486" s="77"/>
      <c r="V486" s="77"/>
      <c r="Y486" s="77"/>
    </row>
    <row r="487" spans="2:25" x14ac:dyDescent="0.2">
      <c r="B487" s="77"/>
      <c r="C487" s="77"/>
      <c r="D487" s="77"/>
      <c r="E487" s="77"/>
      <c r="F487" s="77"/>
      <c r="G487" s="77"/>
      <c r="H487" s="77"/>
      <c r="I487" s="77"/>
      <c r="J487" s="77"/>
      <c r="K487" s="77"/>
      <c r="L487" s="77"/>
      <c r="M487" s="77"/>
      <c r="N487" s="77"/>
      <c r="O487" s="77"/>
      <c r="R487" s="77"/>
      <c r="V487" s="77"/>
      <c r="Y487" s="77"/>
    </row>
    <row r="488" spans="2:25" x14ac:dyDescent="0.2">
      <c r="B488" s="77"/>
      <c r="C488" s="77"/>
      <c r="D488" s="77"/>
      <c r="E488" s="77"/>
      <c r="F488" s="77"/>
      <c r="G488" s="77"/>
      <c r="H488" s="77"/>
      <c r="I488" s="77"/>
      <c r="J488" s="77"/>
      <c r="K488" s="77"/>
      <c r="L488" s="77"/>
      <c r="M488" s="77"/>
      <c r="N488" s="77"/>
      <c r="O488" s="77"/>
      <c r="R488" s="77"/>
      <c r="V488" s="77"/>
      <c r="Y488" s="77"/>
    </row>
    <row r="489" spans="2:25" x14ac:dyDescent="0.2">
      <c r="B489" s="77"/>
      <c r="C489" s="77"/>
      <c r="D489" s="77"/>
      <c r="E489" s="77"/>
      <c r="F489" s="77"/>
      <c r="G489" s="77"/>
      <c r="H489" s="77"/>
      <c r="I489" s="77"/>
      <c r="J489" s="77"/>
      <c r="K489" s="77"/>
      <c r="L489" s="77"/>
      <c r="M489" s="77"/>
      <c r="N489" s="77"/>
      <c r="O489" s="77"/>
      <c r="R489" s="77"/>
      <c r="V489" s="77"/>
      <c r="Y489" s="77"/>
    </row>
    <row r="490" spans="2:25" x14ac:dyDescent="0.2">
      <c r="B490" s="77"/>
      <c r="C490" s="77"/>
      <c r="D490" s="77"/>
      <c r="E490" s="77"/>
      <c r="F490" s="77"/>
      <c r="G490" s="77"/>
      <c r="H490" s="77"/>
      <c r="I490" s="77"/>
      <c r="J490" s="77"/>
      <c r="K490" s="77"/>
      <c r="L490" s="77"/>
      <c r="M490" s="77"/>
      <c r="N490" s="77"/>
      <c r="O490" s="77"/>
      <c r="R490" s="77"/>
      <c r="V490" s="77"/>
      <c r="Y490" s="77"/>
    </row>
    <row r="491" spans="2:25" x14ac:dyDescent="0.2">
      <c r="B491" s="77"/>
      <c r="C491" s="77"/>
      <c r="D491" s="77"/>
      <c r="E491" s="77"/>
      <c r="F491" s="77"/>
      <c r="G491" s="77"/>
      <c r="H491" s="77"/>
      <c r="I491" s="77"/>
      <c r="J491" s="77"/>
      <c r="K491" s="77"/>
      <c r="L491" s="77"/>
      <c r="M491" s="77"/>
      <c r="N491" s="77"/>
      <c r="O491" s="77"/>
      <c r="R491" s="77"/>
      <c r="V491" s="77"/>
      <c r="Y491" s="77"/>
    </row>
    <row r="492" spans="2:25" x14ac:dyDescent="0.2">
      <c r="B492" s="77"/>
      <c r="C492" s="77"/>
      <c r="D492" s="77"/>
      <c r="E492" s="77"/>
      <c r="F492" s="77"/>
      <c r="G492" s="77"/>
      <c r="H492" s="77"/>
      <c r="I492" s="77"/>
      <c r="J492" s="77"/>
      <c r="K492" s="77"/>
      <c r="L492" s="77"/>
      <c r="M492" s="77"/>
      <c r="N492" s="77"/>
      <c r="O492" s="77"/>
      <c r="R492" s="77"/>
      <c r="V492" s="77"/>
      <c r="Y492" s="77"/>
    </row>
    <row r="493" spans="2:25" x14ac:dyDescent="0.2">
      <c r="B493" s="77"/>
      <c r="C493" s="77"/>
      <c r="D493" s="77"/>
      <c r="E493" s="77"/>
      <c r="F493" s="77"/>
      <c r="G493" s="77"/>
      <c r="H493" s="77"/>
      <c r="I493" s="77"/>
      <c r="J493" s="77"/>
      <c r="K493" s="77"/>
      <c r="L493" s="77"/>
      <c r="M493" s="77"/>
      <c r="N493" s="77"/>
      <c r="O493" s="77"/>
      <c r="R493" s="77"/>
      <c r="V493" s="77"/>
      <c r="Y493" s="77"/>
    </row>
    <row r="494" spans="2:25" x14ac:dyDescent="0.2">
      <c r="B494" s="77"/>
      <c r="C494" s="77"/>
      <c r="D494" s="77"/>
      <c r="E494" s="77"/>
      <c r="F494" s="77"/>
      <c r="G494" s="77"/>
      <c r="H494" s="77"/>
      <c r="I494" s="77"/>
      <c r="J494" s="77"/>
      <c r="K494" s="77"/>
      <c r="L494" s="77"/>
      <c r="M494" s="77"/>
      <c r="N494" s="77"/>
      <c r="O494" s="77"/>
      <c r="R494" s="77"/>
      <c r="V494" s="77"/>
      <c r="Y494" s="77"/>
    </row>
    <row r="495" spans="2:25" x14ac:dyDescent="0.2">
      <c r="B495" s="77"/>
      <c r="C495" s="77"/>
      <c r="D495" s="77"/>
      <c r="E495" s="77"/>
      <c r="F495" s="77"/>
      <c r="G495" s="77"/>
      <c r="H495" s="77"/>
      <c r="I495" s="77"/>
      <c r="J495" s="77"/>
      <c r="K495" s="77"/>
      <c r="L495" s="77"/>
      <c r="M495" s="77"/>
      <c r="N495" s="77"/>
      <c r="O495" s="77"/>
      <c r="R495" s="77"/>
      <c r="V495" s="77"/>
      <c r="Y495" s="77"/>
    </row>
    <row r="496" spans="2:25" x14ac:dyDescent="0.2">
      <c r="B496" s="77"/>
      <c r="C496" s="77"/>
      <c r="D496" s="77"/>
      <c r="E496" s="77"/>
      <c r="F496" s="77"/>
      <c r="G496" s="77"/>
      <c r="H496" s="77"/>
      <c r="I496" s="77"/>
      <c r="J496" s="77"/>
      <c r="K496" s="77"/>
      <c r="L496" s="77"/>
      <c r="M496" s="77"/>
      <c r="N496" s="77"/>
      <c r="O496" s="77"/>
      <c r="R496" s="77"/>
      <c r="V496" s="77"/>
      <c r="Y496" s="77"/>
    </row>
    <row r="497" spans="2:25" x14ac:dyDescent="0.2">
      <c r="B497" s="77"/>
      <c r="C497" s="77"/>
      <c r="D497" s="77"/>
      <c r="E497" s="77"/>
      <c r="F497" s="77"/>
      <c r="G497" s="77"/>
      <c r="H497" s="77"/>
      <c r="I497" s="77"/>
      <c r="J497" s="77"/>
      <c r="K497" s="77"/>
      <c r="L497" s="77"/>
      <c r="M497" s="77"/>
      <c r="N497" s="77"/>
      <c r="O497" s="77"/>
      <c r="R497" s="77"/>
      <c r="V497" s="77"/>
      <c r="Y497" s="77"/>
    </row>
    <row r="498" spans="2:25" x14ac:dyDescent="0.2">
      <c r="B498" s="77"/>
      <c r="C498" s="77"/>
      <c r="D498" s="77"/>
      <c r="E498" s="77"/>
      <c r="F498" s="77"/>
      <c r="G498" s="77"/>
      <c r="H498" s="77"/>
      <c r="I498" s="77"/>
      <c r="J498" s="77"/>
      <c r="K498" s="77"/>
      <c r="L498" s="77"/>
      <c r="M498" s="77"/>
      <c r="N498" s="77"/>
      <c r="O498" s="77"/>
      <c r="R498" s="77"/>
      <c r="V498" s="77"/>
      <c r="Y498" s="77"/>
    </row>
    <row r="499" spans="2:25" x14ac:dyDescent="0.2">
      <c r="B499" s="77"/>
      <c r="C499" s="77"/>
      <c r="D499" s="77"/>
      <c r="E499" s="77"/>
      <c r="F499" s="77"/>
      <c r="G499" s="77"/>
      <c r="H499" s="77"/>
      <c r="I499" s="77"/>
      <c r="J499" s="77"/>
      <c r="K499" s="77"/>
      <c r="L499" s="77"/>
      <c r="M499" s="77"/>
      <c r="N499" s="77"/>
      <c r="O499" s="77"/>
      <c r="R499" s="77"/>
      <c r="V499" s="77"/>
      <c r="Y499" s="77"/>
    </row>
    <row r="500" spans="2:25" x14ac:dyDescent="0.2">
      <c r="B500" s="77"/>
      <c r="C500" s="77"/>
      <c r="D500" s="77"/>
      <c r="E500" s="77"/>
      <c r="F500" s="77"/>
      <c r="G500" s="77"/>
      <c r="H500" s="77"/>
      <c r="I500" s="77"/>
      <c r="J500" s="77"/>
      <c r="K500" s="77"/>
      <c r="L500" s="77"/>
      <c r="M500" s="77"/>
      <c r="N500" s="77"/>
      <c r="O500" s="77"/>
      <c r="R500" s="77"/>
      <c r="V500" s="77"/>
      <c r="Y500" s="77"/>
    </row>
    <row r="501" spans="2:25" x14ac:dyDescent="0.2">
      <c r="B501" s="77"/>
      <c r="C501" s="77"/>
      <c r="D501" s="77"/>
      <c r="E501" s="77"/>
      <c r="F501" s="77"/>
      <c r="G501" s="77"/>
      <c r="H501" s="77"/>
      <c r="I501" s="77"/>
      <c r="J501" s="77"/>
      <c r="K501" s="77"/>
      <c r="L501" s="77"/>
      <c r="M501" s="77"/>
      <c r="N501" s="77"/>
      <c r="O501" s="77"/>
      <c r="R501" s="77"/>
      <c r="V501" s="77"/>
      <c r="Y501" s="77"/>
    </row>
    <row r="502" spans="2:25" x14ac:dyDescent="0.2">
      <c r="B502" s="77"/>
      <c r="C502" s="77"/>
      <c r="D502" s="77"/>
      <c r="E502" s="77"/>
      <c r="F502" s="77"/>
      <c r="G502" s="77"/>
      <c r="H502" s="77"/>
      <c r="I502" s="77"/>
      <c r="J502" s="77"/>
      <c r="K502" s="77"/>
      <c r="L502" s="77"/>
      <c r="M502" s="77"/>
      <c r="N502" s="77"/>
      <c r="O502" s="77"/>
      <c r="R502" s="77"/>
      <c r="V502" s="77"/>
      <c r="Y502" s="77"/>
    </row>
    <row r="503" spans="2:25" x14ac:dyDescent="0.2">
      <c r="B503" s="77"/>
      <c r="C503" s="77"/>
      <c r="D503" s="77"/>
      <c r="E503" s="77"/>
      <c r="F503" s="77"/>
      <c r="G503" s="77"/>
      <c r="H503" s="77"/>
      <c r="I503" s="77"/>
      <c r="J503" s="77"/>
      <c r="K503" s="77"/>
      <c r="L503" s="77"/>
      <c r="M503" s="77"/>
      <c r="N503" s="77"/>
      <c r="O503" s="77"/>
      <c r="R503" s="77"/>
      <c r="V503" s="77"/>
      <c r="Y503" s="77"/>
    </row>
    <row r="504" spans="2:25" x14ac:dyDescent="0.2">
      <c r="B504" s="77"/>
      <c r="C504" s="77"/>
      <c r="D504" s="77"/>
      <c r="E504" s="77"/>
      <c r="F504" s="77"/>
      <c r="G504" s="77"/>
      <c r="H504" s="77"/>
      <c r="I504" s="77"/>
      <c r="J504" s="77"/>
      <c r="K504" s="77"/>
      <c r="L504" s="77"/>
      <c r="M504" s="77"/>
      <c r="N504" s="77"/>
      <c r="O504" s="77"/>
      <c r="R504" s="77"/>
      <c r="V504" s="77"/>
      <c r="Y504" s="77"/>
    </row>
    <row r="505" spans="2:25" x14ac:dyDescent="0.2">
      <c r="B505" s="77"/>
      <c r="C505" s="77"/>
      <c r="D505" s="77"/>
      <c r="E505" s="77"/>
      <c r="F505" s="77"/>
      <c r="G505" s="77"/>
      <c r="H505" s="77"/>
      <c r="I505" s="77"/>
      <c r="J505" s="77"/>
      <c r="K505" s="77"/>
      <c r="L505" s="77"/>
      <c r="M505" s="77"/>
      <c r="N505" s="77"/>
      <c r="O505" s="77"/>
      <c r="R505" s="77"/>
      <c r="V505" s="77"/>
      <c r="Y505" s="77"/>
    </row>
    <row r="506" spans="2:25" x14ac:dyDescent="0.2">
      <c r="B506" s="77"/>
      <c r="C506" s="77"/>
      <c r="D506" s="77"/>
      <c r="E506" s="77"/>
      <c r="F506" s="77"/>
      <c r="G506" s="77"/>
      <c r="H506" s="77"/>
      <c r="I506" s="77"/>
      <c r="J506" s="77"/>
      <c r="K506" s="77"/>
      <c r="L506" s="77"/>
      <c r="M506" s="77"/>
      <c r="N506" s="77"/>
      <c r="O506" s="77"/>
      <c r="R506" s="77"/>
      <c r="V506" s="77"/>
      <c r="Y506" s="77"/>
    </row>
    <row r="507" spans="2:25" x14ac:dyDescent="0.2">
      <c r="B507" s="77"/>
      <c r="C507" s="77"/>
      <c r="D507" s="77"/>
      <c r="E507" s="77"/>
      <c r="F507" s="77"/>
      <c r="G507" s="77"/>
      <c r="H507" s="77"/>
      <c r="I507" s="77"/>
      <c r="J507" s="77"/>
      <c r="K507" s="77"/>
      <c r="L507" s="77"/>
      <c r="M507" s="77"/>
      <c r="N507" s="77"/>
      <c r="O507" s="77"/>
      <c r="R507" s="77"/>
      <c r="V507" s="77"/>
      <c r="Y507" s="77"/>
    </row>
    <row r="508" spans="2:25" x14ac:dyDescent="0.2">
      <c r="B508" s="77"/>
      <c r="C508" s="77"/>
      <c r="D508" s="77"/>
      <c r="E508" s="77"/>
      <c r="F508" s="77"/>
      <c r="G508" s="77"/>
      <c r="H508" s="77"/>
      <c r="I508" s="77"/>
      <c r="J508" s="77"/>
      <c r="K508" s="77"/>
      <c r="L508" s="77"/>
      <c r="M508" s="77"/>
      <c r="N508" s="77"/>
      <c r="O508" s="77"/>
      <c r="R508" s="77"/>
      <c r="V508" s="77"/>
      <c r="Y508" s="77"/>
    </row>
    <row r="509" spans="2:25" x14ac:dyDescent="0.2">
      <c r="B509" s="77"/>
      <c r="C509" s="77"/>
      <c r="D509" s="77"/>
      <c r="E509" s="77"/>
      <c r="F509" s="77"/>
      <c r="G509" s="77"/>
      <c r="H509" s="77"/>
      <c r="I509" s="77"/>
      <c r="J509" s="77"/>
      <c r="K509" s="77"/>
      <c r="L509" s="77"/>
      <c r="M509" s="77"/>
      <c r="N509" s="77"/>
      <c r="O509" s="77"/>
      <c r="R509" s="77"/>
      <c r="V509" s="77"/>
      <c r="Y509" s="77"/>
    </row>
    <row r="510" spans="2:25" x14ac:dyDescent="0.2">
      <c r="B510" s="77"/>
      <c r="C510" s="77"/>
      <c r="D510" s="77"/>
      <c r="E510" s="77"/>
      <c r="F510" s="77"/>
      <c r="G510" s="77"/>
      <c r="H510" s="77"/>
      <c r="I510" s="77"/>
      <c r="J510" s="77"/>
      <c r="K510" s="77"/>
      <c r="L510" s="77"/>
      <c r="M510" s="77"/>
      <c r="N510" s="77"/>
      <c r="O510" s="77"/>
      <c r="R510" s="77"/>
      <c r="V510" s="77"/>
      <c r="Y510" s="77"/>
    </row>
    <row r="511" spans="2:25" x14ac:dyDescent="0.2">
      <c r="B511" s="77"/>
      <c r="C511" s="77"/>
      <c r="D511" s="77"/>
      <c r="E511" s="77"/>
      <c r="F511" s="77"/>
      <c r="G511" s="77"/>
      <c r="H511" s="77"/>
      <c r="I511" s="77"/>
      <c r="J511" s="77"/>
      <c r="K511" s="77"/>
      <c r="L511" s="77"/>
      <c r="M511" s="77"/>
      <c r="N511" s="77"/>
      <c r="O511" s="77"/>
      <c r="R511" s="77"/>
      <c r="V511" s="77"/>
      <c r="Y511" s="77"/>
    </row>
    <row r="512" spans="2:25" x14ac:dyDescent="0.2">
      <c r="B512" s="77"/>
      <c r="C512" s="77"/>
      <c r="D512" s="77"/>
      <c r="E512" s="77"/>
      <c r="F512" s="77"/>
      <c r="G512" s="77"/>
      <c r="H512" s="77"/>
      <c r="I512" s="77"/>
      <c r="J512" s="77"/>
      <c r="K512" s="77"/>
      <c r="L512" s="77"/>
      <c r="M512" s="77"/>
      <c r="N512" s="77"/>
      <c r="O512" s="77"/>
      <c r="R512" s="77"/>
      <c r="V512" s="77"/>
      <c r="Y512" s="77"/>
    </row>
    <row r="513" spans="2:25" x14ac:dyDescent="0.2">
      <c r="B513" s="77"/>
      <c r="C513" s="77"/>
      <c r="D513" s="77"/>
      <c r="E513" s="77"/>
      <c r="F513" s="77"/>
      <c r="G513" s="77"/>
      <c r="H513" s="77"/>
      <c r="I513" s="77"/>
      <c r="J513" s="77"/>
      <c r="K513" s="77"/>
      <c r="L513" s="77"/>
      <c r="M513" s="77"/>
      <c r="N513" s="77"/>
      <c r="O513" s="77"/>
      <c r="R513" s="77"/>
      <c r="V513" s="77"/>
      <c r="Y513" s="77"/>
    </row>
    <row r="514" spans="2:25" x14ac:dyDescent="0.2">
      <c r="B514" s="77"/>
      <c r="C514" s="77"/>
      <c r="D514" s="77"/>
      <c r="E514" s="77"/>
      <c r="F514" s="77"/>
      <c r="G514" s="77"/>
      <c r="H514" s="77"/>
      <c r="I514" s="77"/>
      <c r="J514" s="77"/>
      <c r="K514" s="77"/>
      <c r="L514" s="77"/>
      <c r="M514" s="77"/>
      <c r="N514" s="77"/>
      <c r="O514" s="77"/>
      <c r="R514" s="77"/>
      <c r="V514" s="77"/>
      <c r="Y514" s="77"/>
    </row>
    <row r="515" spans="2:25" x14ac:dyDescent="0.2">
      <c r="B515" s="77"/>
      <c r="C515" s="77"/>
      <c r="D515" s="77"/>
      <c r="E515" s="77"/>
      <c r="F515" s="77"/>
      <c r="G515" s="77"/>
      <c r="H515" s="77"/>
      <c r="I515" s="77"/>
      <c r="J515" s="77"/>
      <c r="K515" s="77"/>
      <c r="L515" s="77"/>
      <c r="M515" s="77"/>
      <c r="N515" s="77"/>
      <c r="O515" s="77"/>
      <c r="R515" s="77"/>
      <c r="V515" s="77"/>
      <c r="Y515" s="77"/>
    </row>
    <row r="516" spans="2:25" x14ac:dyDescent="0.2">
      <c r="B516" s="77"/>
      <c r="C516" s="77"/>
      <c r="D516" s="77"/>
      <c r="E516" s="77"/>
      <c r="F516" s="77"/>
      <c r="G516" s="77"/>
      <c r="H516" s="77"/>
      <c r="I516" s="77"/>
      <c r="J516" s="77"/>
      <c r="K516" s="77"/>
      <c r="L516" s="77"/>
      <c r="M516" s="77"/>
      <c r="N516" s="77"/>
      <c r="O516" s="77"/>
      <c r="R516" s="77"/>
      <c r="V516" s="77"/>
      <c r="Y516" s="77"/>
    </row>
    <row r="517" spans="2:25" x14ac:dyDescent="0.2">
      <c r="B517" s="77"/>
      <c r="C517" s="77"/>
      <c r="D517" s="77"/>
      <c r="E517" s="77"/>
      <c r="F517" s="77"/>
      <c r="G517" s="77"/>
      <c r="H517" s="77"/>
      <c r="I517" s="77"/>
      <c r="J517" s="77"/>
      <c r="K517" s="77"/>
      <c r="L517" s="77"/>
      <c r="M517" s="77"/>
      <c r="N517" s="77"/>
      <c r="O517" s="77"/>
      <c r="R517" s="77"/>
      <c r="V517" s="77"/>
      <c r="Y517" s="77"/>
    </row>
    <row r="518" spans="2:25" x14ac:dyDescent="0.2">
      <c r="B518" s="77"/>
      <c r="C518" s="77"/>
      <c r="D518" s="77"/>
      <c r="E518" s="77"/>
      <c r="F518" s="77"/>
      <c r="G518" s="77"/>
      <c r="H518" s="77"/>
      <c r="I518" s="77"/>
      <c r="J518" s="77"/>
      <c r="K518" s="77"/>
      <c r="L518" s="77"/>
      <c r="M518" s="77"/>
      <c r="N518" s="77"/>
      <c r="O518" s="77"/>
      <c r="R518" s="77"/>
      <c r="V518" s="77"/>
      <c r="Y518" s="77"/>
    </row>
    <row r="519" spans="2:25" x14ac:dyDescent="0.2">
      <c r="B519" s="77"/>
      <c r="C519" s="77"/>
      <c r="D519" s="77"/>
      <c r="E519" s="77"/>
      <c r="F519" s="77"/>
      <c r="G519" s="77"/>
      <c r="H519" s="77"/>
      <c r="I519" s="77"/>
      <c r="J519" s="77"/>
      <c r="K519" s="77"/>
      <c r="L519" s="77"/>
      <c r="M519" s="77"/>
      <c r="N519" s="77"/>
      <c r="O519" s="77"/>
      <c r="R519" s="77"/>
      <c r="V519" s="77"/>
      <c r="Y519" s="77"/>
    </row>
    <row r="520" spans="2:25" x14ac:dyDescent="0.2">
      <c r="B520" s="77"/>
      <c r="C520" s="77"/>
      <c r="D520" s="77"/>
      <c r="E520" s="77"/>
      <c r="F520" s="77"/>
      <c r="G520" s="77"/>
      <c r="H520" s="77"/>
      <c r="I520" s="77"/>
      <c r="J520" s="77"/>
      <c r="K520" s="77"/>
      <c r="L520" s="77"/>
      <c r="M520" s="77"/>
      <c r="N520" s="77"/>
      <c r="O520" s="77"/>
      <c r="R520" s="77"/>
      <c r="V520" s="77"/>
      <c r="Y520" s="77"/>
    </row>
    <row r="521" spans="2:25" x14ac:dyDescent="0.2">
      <c r="B521" s="77"/>
      <c r="C521" s="77"/>
      <c r="D521" s="77"/>
      <c r="E521" s="77"/>
      <c r="F521" s="77"/>
      <c r="G521" s="77"/>
      <c r="H521" s="77"/>
      <c r="I521" s="77"/>
      <c r="J521" s="77"/>
      <c r="K521" s="77"/>
      <c r="L521" s="77"/>
      <c r="M521" s="77"/>
      <c r="N521" s="77"/>
      <c r="O521" s="77"/>
      <c r="R521" s="77"/>
      <c r="V521" s="77"/>
      <c r="Y521" s="77"/>
    </row>
    <row r="522" spans="2:25" x14ac:dyDescent="0.2">
      <c r="B522" s="77"/>
      <c r="C522" s="77"/>
      <c r="D522" s="77"/>
      <c r="E522" s="77"/>
      <c r="F522" s="77"/>
      <c r="G522" s="77"/>
      <c r="H522" s="77"/>
      <c r="I522" s="77"/>
      <c r="J522" s="77"/>
      <c r="K522" s="77"/>
      <c r="L522" s="77"/>
      <c r="M522" s="77"/>
      <c r="N522" s="77"/>
      <c r="O522" s="77"/>
      <c r="R522" s="77"/>
      <c r="V522" s="77"/>
      <c r="Y522" s="77"/>
    </row>
    <row r="523" spans="2:25" x14ac:dyDescent="0.2">
      <c r="B523" s="77"/>
      <c r="C523" s="77"/>
      <c r="D523" s="77"/>
      <c r="E523" s="77"/>
      <c r="F523" s="77"/>
      <c r="G523" s="77"/>
      <c r="H523" s="77"/>
      <c r="I523" s="77"/>
      <c r="J523" s="77"/>
      <c r="K523" s="77"/>
      <c r="L523" s="77"/>
      <c r="M523" s="77"/>
      <c r="N523" s="77"/>
      <c r="O523" s="77"/>
      <c r="R523" s="77"/>
      <c r="V523" s="77"/>
      <c r="Y523" s="77"/>
    </row>
    <row r="524" spans="2:25" x14ac:dyDescent="0.2">
      <c r="B524" s="77"/>
      <c r="C524" s="77"/>
      <c r="D524" s="77"/>
      <c r="E524" s="77"/>
      <c r="F524" s="77"/>
      <c r="G524" s="77"/>
      <c r="H524" s="77"/>
      <c r="I524" s="77"/>
      <c r="J524" s="77"/>
      <c r="K524" s="77"/>
      <c r="L524" s="77"/>
      <c r="M524" s="77"/>
      <c r="N524" s="77"/>
      <c r="O524" s="77"/>
      <c r="R524" s="77"/>
      <c r="V524" s="77"/>
      <c r="Y524" s="77"/>
    </row>
    <row r="525" spans="2:25" x14ac:dyDescent="0.2">
      <c r="B525" s="77"/>
      <c r="C525" s="77"/>
      <c r="D525" s="77"/>
      <c r="E525" s="77"/>
      <c r="F525" s="77"/>
      <c r="G525" s="77"/>
      <c r="H525" s="77"/>
      <c r="I525" s="77"/>
      <c r="J525" s="77"/>
      <c r="K525" s="77"/>
      <c r="L525" s="77"/>
      <c r="M525" s="77"/>
      <c r="N525" s="77"/>
      <c r="O525" s="77"/>
      <c r="R525" s="77"/>
      <c r="V525" s="77"/>
      <c r="Y525" s="77"/>
    </row>
    <row r="526" spans="2:25" x14ac:dyDescent="0.2">
      <c r="B526" s="77"/>
      <c r="C526" s="77"/>
      <c r="D526" s="77"/>
      <c r="E526" s="77"/>
      <c r="F526" s="77"/>
      <c r="G526" s="77"/>
      <c r="H526" s="77"/>
      <c r="I526" s="77"/>
      <c r="J526" s="77"/>
      <c r="K526" s="77"/>
      <c r="L526" s="77"/>
      <c r="M526" s="77"/>
      <c r="N526" s="77"/>
      <c r="O526" s="77"/>
      <c r="R526" s="77"/>
      <c r="V526" s="77"/>
      <c r="Y526" s="77"/>
    </row>
    <row r="527" spans="2:25" x14ac:dyDescent="0.2">
      <c r="B527" s="77"/>
      <c r="C527" s="77"/>
      <c r="D527" s="77"/>
      <c r="E527" s="77"/>
      <c r="F527" s="77"/>
      <c r="G527" s="77"/>
      <c r="H527" s="77"/>
      <c r="I527" s="77"/>
      <c r="J527" s="77"/>
      <c r="K527" s="77"/>
      <c r="L527" s="77"/>
      <c r="M527" s="77"/>
      <c r="N527" s="77"/>
      <c r="O527" s="77"/>
      <c r="R527" s="77"/>
      <c r="V527" s="77"/>
      <c r="Y527" s="77"/>
    </row>
    <row r="528" spans="2:25" x14ac:dyDescent="0.2">
      <c r="B528" s="77"/>
      <c r="C528" s="77"/>
      <c r="D528" s="77"/>
      <c r="E528" s="77"/>
      <c r="F528" s="77"/>
      <c r="G528" s="77"/>
      <c r="H528" s="77"/>
      <c r="I528" s="77"/>
      <c r="J528" s="77"/>
      <c r="K528" s="77"/>
      <c r="L528" s="77"/>
      <c r="M528" s="77"/>
      <c r="N528" s="77"/>
      <c r="O528" s="77"/>
      <c r="R528" s="77"/>
      <c r="V528" s="77"/>
      <c r="Y528" s="77"/>
    </row>
    <row r="529" spans="2:25" x14ac:dyDescent="0.2">
      <c r="B529" s="77"/>
      <c r="C529" s="77"/>
      <c r="D529" s="77"/>
      <c r="E529" s="77"/>
      <c r="F529" s="77"/>
      <c r="G529" s="77"/>
      <c r="H529" s="77"/>
      <c r="I529" s="77"/>
      <c r="J529" s="77"/>
      <c r="K529" s="77"/>
      <c r="L529" s="77"/>
      <c r="M529" s="77"/>
      <c r="N529" s="77"/>
      <c r="O529" s="77"/>
      <c r="R529" s="77"/>
      <c r="V529" s="77"/>
      <c r="Y529" s="77"/>
    </row>
    <row r="530" spans="2:25" x14ac:dyDescent="0.2">
      <c r="B530" s="77"/>
      <c r="C530" s="77"/>
      <c r="D530" s="77"/>
      <c r="E530" s="77"/>
      <c r="F530" s="77"/>
      <c r="G530" s="77"/>
      <c r="H530" s="77"/>
      <c r="I530" s="77"/>
      <c r="J530" s="77"/>
      <c r="K530" s="77"/>
      <c r="L530" s="77"/>
      <c r="M530" s="77"/>
      <c r="N530" s="77"/>
      <c r="O530" s="77"/>
      <c r="R530" s="77"/>
      <c r="V530" s="77"/>
      <c r="Y530" s="77"/>
    </row>
    <row r="531" spans="2:25" x14ac:dyDescent="0.2">
      <c r="B531" s="77"/>
      <c r="C531" s="77"/>
      <c r="D531" s="77"/>
      <c r="E531" s="77"/>
      <c r="F531" s="77"/>
      <c r="G531" s="77"/>
      <c r="H531" s="77"/>
      <c r="I531" s="77"/>
      <c r="J531" s="77"/>
      <c r="K531" s="77"/>
      <c r="L531" s="77"/>
      <c r="M531" s="77"/>
      <c r="N531" s="77"/>
      <c r="O531" s="77"/>
      <c r="R531" s="77"/>
      <c r="V531" s="77"/>
      <c r="Y531" s="77"/>
    </row>
    <row r="532" spans="2:25" x14ac:dyDescent="0.2">
      <c r="B532" s="77"/>
      <c r="C532" s="77"/>
      <c r="D532" s="77"/>
      <c r="E532" s="77"/>
      <c r="F532" s="77"/>
      <c r="G532" s="77"/>
      <c r="H532" s="77"/>
      <c r="I532" s="77"/>
      <c r="J532" s="77"/>
      <c r="K532" s="77"/>
      <c r="L532" s="77"/>
      <c r="M532" s="77"/>
      <c r="N532" s="77"/>
      <c r="O532" s="77"/>
      <c r="R532" s="77"/>
      <c r="V532" s="77"/>
      <c r="Y532" s="77"/>
    </row>
    <row r="533" spans="2:25" x14ac:dyDescent="0.2">
      <c r="B533" s="77"/>
      <c r="C533" s="77"/>
      <c r="D533" s="77"/>
      <c r="E533" s="77"/>
      <c r="F533" s="77"/>
      <c r="G533" s="77"/>
      <c r="H533" s="77"/>
      <c r="I533" s="77"/>
      <c r="J533" s="77"/>
      <c r="K533" s="77"/>
      <c r="L533" s="77"/>
      <c r="M533" s="77"/>
      <c r="N533" s="77"/>
      <c r="O533" s="77"/>
      <c r="R533" s="77"/>
      <c r="V533" s="77"/>
      <c r="Y533" s="77"/>
    </row>
    <row r="534" spans="2:25" x14ac:dyDescent="0.2">
      <c r="B534" s="77"/>
      <c r="C534" s="77"/>
      <c r="D534" s="77"/>
      <c r="E534" s="77"/>
      <c r="F534" s="77"/>
      <c r="G534" s="77"/>
      <c r="H534" s="77"/>
      <c r="I534" s="77"/>
      <c r="J534" s="77"/>
      <c r="K534" s="77"/>
      <c r="L534" s="77"/>
      <c r="M534" s="77"/>
      <c r="N534" s="77"/>
      <c r="O534" s="77"/>
      <c r="R534" s="77"/>
      <c r="V534" s="77"/>
      <c r="Y534" s="77"/>
    </row>
    <row r="535" spans="2:25" x14ac:dyDescent="0.2">
      <c r="B535" s="77"/>
      <c r="C535" s="77"/>
      <c r="D535" s="77"/>
      <c r="E535" s="77"/>
      <c r="F535" s="77"/>
      <c r="G535" s="77"/>
      <c r="H535" s="77"/>
      <c r="I535" s="77"/>
      <c r="J535" s="77"/>
      <c r="K535" s="77"/>
      <c r="L535" s="77"/>
      <c r="M535" s="77"/>
      <c r="N535" s="77"/>
      <c r="O535" s="77"/>
      <c r="R535" s="77"/>
      <c r="V535" s="77"/>
      <c r="Y535" s="77"/>
    </row>
    <row r="536" spans="2:25" x14ac:dyDescent="0.2">
      <c r="B536" s="77"/>
      <c r="C536" s="77"/>
      <c r="D536" s="77"/>
      <c r="E536" s="77"/>
      <c r="F536" s="77"/>
      <c r="G536" s="77"/>
      <c r="H536" s="77"/>
      <c r="I536" s="77"/>
      <c r="J536" s="77"/>
      <c r="K536" s="77"/>
      <c r="L536" s="77"/>
      <c r="M536" s="77"/>
      <c r="N536" s="77"/>
      <c r="O536" s="77"/>
      <c r="R536" s="77"/>
      <c r="V536" s="77"/>
      <c r="Y536" s="77"/>
    </row>
    <row r="537" spans="2:25" x14ac:dyDescent="0.2">
      <c r="B537" s="77"/>
      <c r="C537" s="77"/>
      <c r="D537" s="77"/>
      <c r="E537" s="77"/>
      <c r="F537" s="77"/>
      <c r="G537" s="77"/>
      <c r="H537" s="77"/>
      <c r="I537" s="77"/>
      <c r="J537" s="77"/>
      <c r="K537" s="77"/>
      <c r="L537" s="77"/>
      <c r="M537" s="77"/>
      <c r="N537" s="77"/>
      <c r="O537" s="77"/>
      <c r="R537" s="77"/>
      <c r="V537" s="77"/>
      <c r="Y537" s="77"/>
    </row>
    <row r="538" spans="2:25" x14ac:dyDescent="0.2">
      <c r="B538" s="77"/>
      <c r="C538" s="77"/>
      <c r="D538" s="77"/>
      <c r="E538" s="77"/>
      <c r="F538" s="77"/>
      <c r="G538" s="77"/>
      <c r="H538" s="77"/>
      <c r="I538" s="77"/>
      <c r="J538" s="77"/>
      <c r="K538" s="77"/>
      <c r="L538" s="77"/>
      <c r="M538" s="77"/>
      <c r="N538" s="77"/>
      <c r="O538" s="77"/>
      <c r="R538" s="77"/>
      <c r="V538" s="77"/>
      <c r="Y538" s="77"/>
    </row>
    <row r="539" spans="2:25" x14ac:dyDescent="0.2">
      <c r="B539" s="77"/>
      <c r="C539" s="77"/>
      <c r="D539" s="77"/>
      <c r="E539" s="77"/>
      <c r="F539" s="77"/>
      <c r="G539" s="77"/>
      <c r="H539" s="77"/>
      <c r="I539" s="77"/>
      <c r="J539" s="77"/>
      <c r="K539" s="77"/>
      <c r="L539" s="77"/>
      <c r="M539" s="77"/>
      <c r="N539" s="77"/>
      <c r="O539" s="77"/>
      <c r="R539" s="77"/>
      <c r="V539" s="77"/>
      <c r="Y539" s="77"/>
    </row>
    <row r="540" spans="2:25" x14ac:dyDescent="0.2">
      <c r="B540" s="77"/>
      <c r="C540" s="77"/>
      <c r="D540" s="77"/>
      <c r="E540" s="77"/>
      <c r="F540" s="77"/>
      <c r="G540" s="77"/>
      <c r="H540" s="77"/>
      <c r="I540" s="77"/>
      <c r="J540" s="77"/>
      <c r="K540" s="77"/>
      <c r="L540" s="77"/>
      <c r="M540" s="77"/>
      <c r="N540" s="77"/>
      <c r="O540" s="77"/>
      <c r="R540" s="77"/>
      <c r="V540" s="77"/>
      <c r="Y540" s="77"/>
    </row>
    <row r="541" spans="2:25" x14ac:dyDescent="0.2">
      <c r="B541" s="77"/>
      <c r="C541" s="77"/>
      <c r="D541" s="77"/>
      <c r="E541" s="77"/>
      <c r="F541" s="77"/>
      <c r="G541" s="77"/>
      <c r="H541" s="77"/>
      <c r="I541" s="77"/>
      <c r="J541" s="77"/>
      <c r="K541" s="77"/>
      <c r="L541" s="77"/>
      <c r="M541" s="77"/>
      <c r="N541" s="77"/>
      <c r="O541" s="77"/>
      <c r="R541" s="77"/>
      <c r="V541" s="77"/>
      <c r="Y541" s="77"/>
    </row>
    <row r="542" spans="2:25" x14ac:dyDescent="0.2">
      <c r="B542" s="77"/>
      <c r="C542" s="77"/>
      <c r="D542" s="77"/>
      <c r="E542" s="77"/>
      <c r="F542" s="77"/>
      <c r="G542" s="77"/>
      <c r="H542" s="77"/>
      <c r="I542" s="77"/>
      <c r="J542" s="77"/>
      <c r="K542" s="77"/>
      <c r="L542" s="77"/>
      <c r="M542" s="77"/>
      <c r="N542" s="77"/>
      <c r="O542" s="77"/>
      <c r="R542" s="77"/>
      <c r="V542" s="77"/>
      <c r="Y542" s="77"/>
    </row>
    <row r="543" spans="2:25" x14ac:dyDescent="0.2">
      <c r="B543" s="77"/>
      <c r="C543" s="77"/>
      <c r="D543" s="77"/>
      <c r="E543" s="77"/>
      <c r="F543" s="77"/>
      <c r="G543" s="77"/>
      <c r="H543" s="77"/>
      <c r="I543" s="77"/>
      <c r="J543" s="77"/>
      <c r="K543" s="77"/>
      <c r="L543" s="77"/>
      <c r="M543" s="77"/>
      <c r="N543" s="77"/>
      <c r="O543" s="77"/>
      <c r="R543" s="77"/>
      <c r="V543" s="77"/>
      <c r="Y543" s="77"/>
    </row>
    <row r="544" spans="2:25" x14ac:dyDescent="0.2">
      <c r="B544" s="77"/>
      <c r="C544" s="77"/>
      <c r="D544" s="77"/>
      <c r="E544" s="77"/>
      <c r="F544" s="77"/>
      <c r="G544" s="77"/>
      <c r="H544" s="77"/>
      <c r="I544" s="77"/>
      <c r="J544" s="77"/>
      <c r="K544" s="77"/>
      <c r="L544" s="77"/>
      <c r="M544" s="77"/>
      <c r="N544" s="77"/>
      <c r="O544" s="77"/>
      <c r="R544" s="77"/>
      <c r="V544" s="77"/>
      <c r="Y544" s="77"/>
    </row>
    <row r="545" spans="2:25" x14ac:dyDescent="0.2">
      <c r="B545" s="77"/>
      <c r="C545" s="77"/>
      <c r="D545" s="77"/>
      <c r="E545" s="77"/>
      <c r="F545" s="77"/>
      <c r="G545" s="77"/>
      <c r="H545" s="77"/>
      <c r="I545" s="77"/>
      <c r="J545" s="77"/>
      <c r="K545" s="77"/>
      <c r="L545" s="77"/>
      <c r="M545" s="77"/>
      <c r="N545" s="77"/>
      <c r="O545" s="77"/>
      <c r="R545" s="77"/>
      <c r="V545" s="77"/>
      <c r="Y545" s="77"/>
    </row>
    <row r="546" spans="2:25" x14ac:dyDescent="0.2">
      <c r="B546" s="77"/>
      <c r="C546" s="77"/>
      <c r="D546" s="77"/>
      <c r="E546" s="77"/>
      <c r="F546" s="77"/>
      <c r="G546" s="77"/>
      <c r="H546" s="77"/>
      <c r="I546" s="77"/>
      <c r="J546" s="77"/>
      <c r="K546" s="77"/>
      <c r="L546" s="77"/>
      <c r="M546" s="77"/>
      <c r="N546" s="77"/>
      <c r="O546" s="77"/>
      <c r="R546" s="77"/>
      <c r="V546" s="77"/>
      <c r="Y546" s="77"/>
    </row>
    <row r="547" spans="2:25" x14ac:dyDescent="0.2">
      <c r="B547" s="77"/>
      <c r="C547" s="77"/>
      <c r="D547" s="77"/>
      <c r="E547" s="77"/>
      <c r="F547" s="77"/>
      <c r="G547" s="77"/>
      <c r="H547" s="77"/>
      <c r="I547" s="77"/>
      <c r="J547" s="77"/>
      <c r="K547" s="77"/>
      <c r="L547" s="77"/>
      <c r="M547" s="77"/>
      <c r="N547" s="77"/>
      <c r="O547" s="77"/>
      <c r="R547" s="77"/>
      <c r="V547" s="77"/>
      <c r="Y547" s="77"/>
    </row>
    <row r="548" spans="2:25" x14ac:dyDescent="0.2">
      <c r="B548" s="77"/>
      <c r="C548" s="77"/>
      <c r="D548" s="77"/>
      <c r="E548" s="77"/>
      <c r="F548" s="77"/>
      <c r="G548" s="77"/>
      <c r="H548" s="77"/>
      <c r="I548" s="77"/>
      <c r="J548" s="77"/>
      <c r="K548" s="77"/>
      <c r="L548" s="77"/>
      <c r="M548" s="77"/>
      <c r="N548" s="77"/>
      <c r="O548" s="77"/>
      <c r="R548" s="77"/>
      <c r="V548" s="77"/>
      <c r="Y548" s="77"/>
    </row>
    <row r="549" spans="2:25" x14ac:dyDescent="0.2">
      <c r="B549" s="77"/>
      <c r="C549" s="77"/>
      <c r="D549" s="77"/>
      <c r="E549" s="77"/>
      <c r="F549" s="77"/>
      <c r="G549" s="77"/>
      <c r="H549" s="77"/>
      <c r="I549" s="77"/>
      <c r="J549" s="77"/>
      <c r="K549" s="77"/>
      <c r="L549" s="77"/>
      <c r="M549" s="77"/>
      <c r="N549" s="77"/>
      <c r="O549" s="77"/>
      <c r="R549" s="77"/>
      <c r="V549" s="77"/>
      <c r="Y549" s="77"/>
    </row>
    <row r="550" spans="2:25" x14ac:dyDescent="0.2">
      <c r="B550" s="77"/>
      <c r="C550" s="77"/>
      <c r="D550" s="77"/>
      <c r="E550" s="77"/>
      <c r="F550" s="77"/>
      <c r="G550" s="77"/>
      <c r="H550" s="77"/>
      <c r="I550" s="77"/>
      <c r="J550" s="77"/>
      <c r="K550" s="77"/>
      <c r="L550" s="77"/>
      <c r="M550" s="77"/>
      <c r="N550" s="77"/>
      <c r="O550" s="77"/>
      <c r="R550" s="77"/>
      <c r="V550" s="77"/>
      <c r="Y550" s="77"/>
    </row>
    <row r="551" spans="2:25" x14ac:dyDescent="0.2">
      <c r="B551" s="77"/>
      <c r="C551" s="77"/>
      <c r="D551" s="77"/>
      <c r="E551" s="77"/>
      <c r="F551" s="77"/>
      <c r="G551" s="77"/>
      <c r="H551" s="77"/>
      <c r="I551" s="77"/>
      <c r="J551" s="77"/>
      <c r="K551" s="77"/>
      <c r="L551" s="77"/>
      <c r="M551" s="77"/>
      <c r="N551" s="77"/>
      <c r="O551" s="77"/>
      <c r="R551" s="77"/>
      <c r="V551" s="77"/>
      <c r="Y551" s="77"/>
    </row>
    <row r="552" spans="2:25" x14ac:dyDescent="0.2">
      <c r="B552" s="77"/>
      <c r="C552" s="77"/>
      <c r="D552" s="77"/>
      <c r="E552" s="77"/>
      <c r="F552" s="77"/>
      <c r="G552" s="77"/>
      <c r="H552" s="77"/>
      <c r="I552" s="77"/>
      <c r="J552" s="77"/>
      <c r="K552" s="77"/>
      <c r="L552" s="77"/>
      <c r="M552" s="77"/>
      <c r="N552" s="77"/>
      <c r="O552" s="77"/>
      <c r="R552" s="77"/>
      <c r="V552" s="77"/>
      <c r="Y552" s="77"/>
    </row>
    <row r="553" spans="2:25" x14ac:dyDescent="0.2">
      <c r="B553" s="77"/>
      <c r="C553" s="77"/>
      <c r="D553" s="77"/>
      <c r="E553" s="77"/>
      <c r="F553" s="77"/>
      <c r="G553" s="77"/>
      <c r="H553" s="77"/>
      <c r="I553" s="77"/>
      <c r="J553" s="77"/>
      <c r="K553" s="77"/>
      <c r="L553" s="77"/>
      <c r="M553" s="77"/>
      <c r="N553" s="77"/>
      <c r="O553" s="77"/>
      <c r="R553" s="77"/>
      <c r="V553" s="77"/>
      <c r="Y553" s="77"/>
    </row>
    <row r="554" spans="2:25" x14ac:dyDescent="0.2">
      <c r="B554" s="77"/>
      <c r="C554" s="77"/>
      <c r="D554" s="77"/>
      <c r="E554" s="77"/>
      <c r="F554" s="77"/>
      <c r="G554" s="77"/>
      <c r="H554" s="77"/>
      <c r="I554" s="77"/>
      <c r="J554" s="77"/>
      <c r="K554" s="77"/>
      <c r="L554" s="77"/>
      <c r="M554" s="77"/>
      <c r="N554" s="77"/>
      <c r="O554" s="77"/>
      <c r="R554" s="77"/>
      <c r="V554" s="77"/>
      <c r="Y554" s="77"/>
    </row>
    <row r="555" spans="2:25" x14ac:dyDescent="0.2">
      <c r="B555" s="77"/>
      <c r="C555" s="77"/>
      <c r="D555" s="77"/>
      <c r="E555" s="77"/>
      <c r="F555" s="77"/>
      <c r="G555" s="77"/>
      <c r="H555" s="77"/>
      <c r="I555" s="77"/>
      <c r="J555" s="77"/>
      <c r="K555" s="77"/>
      <c r="L555" s="77"/>
      <c r="M555" s="77"/>
      <c r="N555" s="77"/>
      <c r="O555" s="77"/>
      <c r="R555" s="77"/>
      <c r="V555" s="77"/>
      <c r="Y555" s="77"/>
    </row>
    <row r="556" spans="2:25" x14ac:dyDescent="0.2">
      <c r="B556" s="77"/>
      <c r="C556" s="77"/>
      <c r="D556" s="77"/>
      <c r="E556" s="77"/>
      <c r="F556" s="77"/>
      <c r="G556" s="77"/>
      <c r="H556" s="77"/>
      <c r="I556" s="77"/>
      <c r="J556" s="77"/>
      <c r="K556" s="77"/>
      <c r="L556" s="77"/>
      <c r="M556" s="77"/>
      <c r="N556" s="77"/>
      <c r="O556" s="77"/>
      <c r="R556" s="77"/>
      <c r="V556" s="77"/>
      <c r="Y556" s="77"/>
    </row>
    <row r="557" spans="2:25" x14ac:dyDescent="0.2">
      <c r="B557" s="77"/>
      <c r="C557" s="77"/>
      <c r="D557" s="77"/>
      <c r="E557" s="77"/>
      <c r="F557" s="77"/>
      <c r="G557" s="77"/>
      <c r="H557" s="77"/>
      <c r="I557" s="77"/>
      <c r="J557" s="77"/>
      <c r="K557" s="77"/>
      <c r="L557" s="77"/>
      <c r="M557" s="77"/>
      <c r="N557" s="77"/>
      <c r="O557" s="77"/>
      <c r="R557" s="77"/>
      <c r="V557" s="77"/>
      <c r="Y557" s="77"/>
    </row>
    <row r="558" spans="2:25" x14ac:dyDescent="0.2">
      <c r="B558" s="77"/>
      <c r="C558" s="77"/>
      <c r="D558" s="77"/>
      <c r="E558" s="77"/>
      <c r="F558" s="77"/>
      <c r="G558" s="77"/>
      <c r="H558" s="77"/>
      <c r="I558" s="77"/>
      <c r="J558" s="77"/>
      <c r="K558" s="77"/>
      <c r="L558" s="77"/>
      <c r="M558" s="77"/>
      <c r="N558" s="77"/>
      <c r="O558" s="77"/>
      <c r="R558" s="77"/>
      <c r="V558" s="77"/>
      <c r="Y558" s="77"/>
    </row>
    <row r="559" spans="2:25" x14ac:dyDescent="0.2">
      <c r="B559" s="77"/>
      <c r="C559" s="77"/>
      <c r="D559" s="77"/>
      <c r="E559" s="77"/>
      <c r="F559" s="77"/>
      <c r="G559" s="77"/>
      <c r="H559" s="77"/>
      <c r="I559" s="77"/>
      <c r="J559" s="77"/>
      <c r="K559" s="77"/>
      <c r="L559" s="77"/>
      <c r="M559" s="77"/>
      <c r="N559" s="77"/>
      <c r="O559" s="77"/>
      <c r="R559" s="77"/>
      <c r="V559" s="77"/>
      <c r="Y559" s="77"/>
    </row>
    <row r="560" spans="2:25" x14ac:dyDescent="0.2">
      <c r="B560" s="77"/>
      <c r="C560" s="77"/>
      <c r="D560" s="77"/>
      <c r="E560" s="77"/>
      <c r="F560" s="77"/>
      <c r="G560" s="77"/>
      <c r="H560" s="77"/>
      <c r="I560" s="77"/>
      <c r="J560" s="77"/>
      <c r="K560" s="77"/>
      <c r="L560" s="77"/>
      <c r="M560" s="77"/>
      <c r="N560" s="77"/>
      <c r="O560" s="77"/>
      <c r="R560" s="77"/>
      <c r="V560" s="77"/>
      <c r="Y560" s="77"/>
    </row>
    <row r="561" spans="2:25" x14ac:dyDescent="0.2">
      <c r="B561" s="77"/>
      <c r="C561" s="77"/>
      <c r="D561" s="77"/>
      <c r="E561" s="77"/>
      <c r="F561" s="77"/>
      <c r="G561" s="77"/>
      <c r="H561" s="77"/>
      <c r="I561" s="77"/>
      <c r="J561" s="77"/>
      <c r="K561" s="77"/>
      <c r="L561" s="77"/>
      <c r="M561" s="77"/>
      <c r="N561" s="77"/>
      <c r="O561" s="77"/>
      <c r="R561" s="77"/>
      <c r="V561" s="77"/>
      <c r="Y561" s="77"/>
    </row>
    <row r="562" spans="2:25" x14ac:dyDescent="0.2">
      <c r="B562" s="77"/>
      <c r="C562" s="77"/>
      <c r="D562" s="77"/>
      <c r="E562" s="77"/>
      <c r="F562" s="77"/>
      <c r="G562" s="77"/>
      <c r="H562" s="77"/>
      <c r="I562" s="77"/>
      <c r="J562" s="77"/>
      <c r="K562" s="77"/>
      <c r="L562" s="77"/>
      <c r="M562" s="77"/>
      <c r="N562" s="77"/>
      <c r="O562" s="77"/>
      <c r="R562" s="77"/>
      <c r="V562" s="77"/>
      <c r="Y562" s="77"/>
    </row>
    <row r="563" spans="2:25" x14ac:dyDescent="0.2">
      <c r="B563" s="77"/>
      <c r="C563" s="77"/>
      <c r="D563" s="77"/>
      <c r="E563" s="77"/>
      <c r="F563" s="77"/>
      <c r="G563" s="77"/>
      <c r="H563" s="77"/>
      <c r="I563" s="77"/>
      <c r="J563" s="77"/>
      <c r="K563" s="77"/>
      <c r="L563" s="77"/>
      <c r="M563" s="77"/>
      <c r="N563" s="77"/>
      <c r="O563" s="77"/>
      <c r="R563" s="77"/>
      <c r="V563" s="77"/>
      <c r="Y563" s="77"/>
    </row>
    <row r="564" spans="2:25" x14ac:dyDescent="0.2">
      <c r="B564" s="77"/>
      <c r="C564" s="77"/>
      <c r="D564" s="77"/>
      <c r="E564" s="77"/>
      <c r="F564" s="77"/>
      <c r="G564" s="77"/>
      <c r="H564" s="77"/>
      <c r="I564" s="77"/>
      <c r="J564" s="77"/>
      <c r="K564" s="77"/>
      <c r="L564" s="77"/>
      <c r="M564" s="77"/>
      <c r="N564" s="77"/>
      <c r="O564" s="77"/>
      <c r="R564" s="77"/>
      <c r="V564" s="77"/>
      <c r="Y564" s="77"/>
    </row>
    <row r="565" spans="2:25" x14ac:dyDescent="0.2">
      <c r="B565" s="77"/>
      <c r="C565" s="77"/>
      <c r="D565" s="77"/>
      <c r="E565" s="77"/>
      <c r="F565" s="77"/>
      <c r="G565" s="77"/>
      <c r="H565" s="77"/>
      <c r="I565" s="77"/>
      <c r="J565" s="77"/>
      <c r="K565" s="77"/>
      <c r="L565" s="77"/>
      <c r="M565" s="77"/>
      <c r="N565" s="77"/>
      <c r="O565" s="77"/>
      <c r="R565" s="77"/>
      <c r="V565" s="77"/>
      <c r="Y565" s="77"/>
    </row>
    <row r="566" spans="2:25" x14ac:dyDescent="0.2">
      <c r="B566" s="77"/>
      <c r="C566" s="77"/>
      <c r="D566" s="77"/>
      <c r="E566" s="77"/>
      <c r="F566" s="77"/>
      <c r="G566" s="77"/>
      <c r="H566" s="77"/>
      <c r="I566" s="77"/>
      <c r="J566" s="77"/>
      <c r="K566" s="77"/>
      <c r="L566" s="77"/>
      <c r="M566" s="77"/>
      <c r="N566" s="77"/>
      <c r="O566" s="77"/>
      <c r="R566" s="77"/>
      <c r="V566" s="77"/>
      <c r="Y566" s="77"/>
    </row>
    <row r="567" spans="2:25" x14ac:dyDescent="0.2">
      <c r="B567" s="77"/>
      <c r="C567" s="77"/>
      <c r="D567" s="77"/>
      <c r="E567" s="77"/>
      <c r="F567" s="77"/>
      <c r="G567" s="77"/>
      <c r="H567" s="77"/>
      <c r="I567" s="77"/>
      <c r="J567" s="77"/>
      <c r="K567" s="77"/>
      <c r="L567" s="77"/>
      <c r="M567" s="77"/>
      <c r="N567" s="77"/>
      <c r="O567" s="77"/>
      <c r="R567" s="77"/>
      <c r="V567" s="77"/>
      <c r="Y567" s="77"/>
    </row>
    <row r="568" spans="2:25" x14ac:dyDescent="0.2">
      <c r="B568" s="77"/>
      <c r="C568" s="77"/>
      <c r="D568" s="77"/>
      <c r="E568" s="77"/>
      <c r="F568" s="77"/>
      <c r="G568" s="77"/>
      <c r="H568" s="77"/>
      <c r="I568" s="77"/>
      <c r="J568" s="77"/>
      <c r="K568" s="77"/>
      <c r="L568" s="77"/>
      <c r="M568" s="77"/>
      <c r="N568" s="77"/>
      <c r="O568" s="77"/>
      <c r="R568" s="77"/>
      <c r="V568" s="77"/>
      <c r="Y568" s="77"/>
    </row>
    <row r="569" spans="2:25" x14ac:dyDescent="0.2">
      <c r="B569" s="77"/>
      <c r="C569" s="77"/>
      <c r="D569" s="77"/>
      <c r="E569" s="77"/>
      <c r="F569" s="77"/>
      <c r="G569" s="77"/>
      <c r="H569" s="77"/>
      <c r="I569" s="77"/>
      <c r="J569" s="77"/>
      <c r="K569" s="77"/>
      <c r="L569" s="77"/>
      <c r="M569" s="77"/>
      <c r="N569" s="77"/>
      <c r="O569" s="77"/>
      <c r="R569" s="77"/>
      <c r="V569" s="77"/>
      <c r="Y569" s="77"/>
    </row>
    <row r="570" spans="2:25" x14ac:dyDescent="0.2">
      <c r="B570" s="77"/>
      <c r="C570" s="77"/>
      <c r="D570" s="77"/>
      <c r="E570" s="77"/>
      <c r="F570" s="77"/>
      <c r="G570" s="77"/>
      <c r="H570" s="77"/>
      <c r="I570" s="77"/>
      <c r="J570" s="77"/>
      <c r="K570" s="77"/>
      <c r="L570" s="77"/>
      <c r="M570" s="77"/>
      <c r="N570" s="77"/>
      <c r="O570" s="77"/>
      <c r="R570" s="77"/>
      <c r="V570" s="77"/>
      <c r="Y570" s="77"/>
    </row>
    <row r="571" spans="2:25" x14ac:dyDescent="0.2">
      <c r="B571" s="77"/>
      <c r="C571" s="77"/>
      <c r="D571" s="77"/>
      <c r="E571" s="77"/>
      <c r="F571" s="77"/>
      <c r="G571" s="77"/>
      <c r="H571" s="77"/>
      <c r="I571" s="77"/>
      <c r="J571" s="77"/>
      <c r="K571" s="77"/>
      <c r="L571" s="77"/>
      <c r="M571" s="77"/>
      <c r="N571" s="77"/>
      <c r="O571" s="77"/>
      <c r="R571" s="77"/>
      <c r="V571" s="77"/>
      <c r="Y571" s="77"/>
    </row>
    <row r="572" spans="2:25" x14ac:dyDescent="0.2">
      <c r="B572" s="77"/>
      <c r="C572" s="77"/>
      <c r="D572" s="77"/>
      <c r="E572" s="77"/>
      <c r="F572" s="77"/>
      <c r="G572" s="77"/>
      <c r="H572" s="77"/>
      <c r="I572" s="77"/>
      <c r="J572" s="77"/>
      <c r="K572" s="77"/>
      <c r="L572" s="77"/>
      <c r="M572" s="77"/>
      <c r="N572" s="77"/>
      <c r="O572" s="77"/>
      <c r="R572" s="77"/>
      <c r="V572" s="77"/>
      <c r="Y572" s="77"/>
    </row>
    <row r="573" spans="2:25" x14ac:dyDescent="0.2">
      <c r="B573" s="77"/>
      <c r="C573" s="77"/>
      <c r="D573" s="77"/>
      <c r="E573" s="77"/>
      <c r="F573" s="77"/>
      <c r="G573" s="77"/>
      <c r="H573" s="77"/>
      <c r="I573" s="77"/>
      <c r="J573" s="77"/>
      <c r="K573" s="77"/>
      <c r="L573" s="77"/>
      <c r="M573" s="77"/>
      <c r="N573" s="77"/>
      <c r="O573" s="77"/>
      <c r="R573" s="77"/>
      <c r="V573" s="77"/>
      <c r="Y573" s="77"/>
    </row>
    <row r="574" spans="2:25" x14ac:dyDescent="0.2">
      <c r="B574" s="77"/>
      <c r="C574" s="77"/>
      <c r="D574" s="77"/>
      <c r="E574" s="77"/>
      <c r="F574" s="77"/>
      <c r="G574" s="77"/>
      <c r="H574" s="77"/>
      <c r="I574" s="77"/>
      <c r="J574" s="77"/>
      <c r="K574" s="77"/>
      <c r="L574" s="77"/>
      <c r="M574" s="77"/>
      <c r="N574" s="77"/>
      <c r="O574" s="77"/>
      <c r="R574" s="77"/>
      <c r="V574" s="77"/>
      <c r="Y574" s="77"/>
    </row>
    <row r="575" spans="2:25" x14ac:dyDescent="0.2">
      <c r="B575" s="77"/>
      <c r="C575" s="77"/>
      <c r="D575" s="77"/>
      <c r="E575" s="77"/>
      <c r="F575" s="77"/>
      <c r="G575" s="77"/>
      <c r="H575" s="77"/>
      <c r="I575" s="77"/>
      <c r="J575" s="77"/>
      <c r="K575" s="77"/>
      <c r="L575" s="77"/>
      <c r="M575" s="77"/>
      <c r="N575" s="77"/>
      <c r="O575" s="77"/>
      <c r="R575" s="77"/>
      <c r="V575" s="77"/>
      <c r="Y575" s="77"/>
    </row>
    <row r="576" spans="2:25" x14ac:dyDescent="0.2">
      <c r="B576" s="77"/>
      <c r="C576" s="77"/>
      <c r="D576" s="77"/>
      <c r="E576" s="77"/>
      <c r="F576" s="77"/>
      <c r="G576" s="77"/>
      <c r="H576" s="77"/>
      <c r="I576" s="77"/>
      <c r="J576" s="77"/>
      <c r="K576" s="77"/>
      <c r="L576" s="77"/>
      <c r="M576" s="77"/>
      <c r="N576" s="77"/>
      <c r="O576" s="77"/>
      <c r="R576" s="77"/>
      <c r="V576" s="77"/>
      <c r="Y576" s="77"/>
    </row>
    <row r="577" spans="2:25" x14ac:dyDescent="0.2">
      <c r="B577" s="77"/>
      <c r="C577" s="77"/>
      <c r="D577" s="77"/>
      <c r="E577" s="77"/>
      <c r="F577" s="77"/>
      <c r="G577" s="77"/>
      <c r="H577" s="77"/>
      <c r="I577" s="77"/>
      <c r="J577" s="77"/>
      <c r="K577" s="77"/>
      <c r="L577" s="77"/>
      <c r="M577" s="77"/>
      <c r="N577" s="77"/>
      <c r="O577" s="77"/>
      <c r="R577" s="77"/>
      <c r="V577" s="77"/>
      <c r="Y577" s="77"/>
    </row>
    <row r="578" spans="2:25" x14ac:dyDescent="0.2">
      <c r="B578" s="77"/>
      <c r="C578" s="77"/>
      <c r="D578" s="77"/>
      <c r="E578" s="77"/>
      <c r="F578" s="77"/>
      <c r="G578" s="77"/>
      <c r="H578" s="77"/>
      <c r="I578" s="77"/>
      <c r="J578" s="77"/>
      <c r="K578" s="77"/>
      <c r="L578" s="77"/>
      <c r="M578" s="77"/>
      <c r="N578" s="77"/>
      <c r="O578" s="77"/>
      <c r="R578" s="77"/>
      <c r="V578" s="77"/>
      <c r="Y578" s="77"/>
    </row>
    <row r="579" spans="2:25" x14ac:dyDescent="0.2">
      <c r="B579" s="77"/>
      <c r="C579" s="77"/>
      <c r="D579" s="77"/>
      <c r="E579" s="77"/>
      <c r="F579" s="77"/>
      <c r="G579" s="77"/>
      <c r="H579" s="77"/>
      <c r="I579" s="77"/>
      <c r="J579" s="77"/>
      <c r="K579" s="77"/>
      <c r="L579" s="77"/>
      <c r="M579" s="77"/>
      <c r="N579" s="77"/>
      <c r="O579" s="77"/>
      <c r="R579" s="77"/>
      <c r="V579" s="77"/>
      <c r="Y579" s="77"/>
    </row>
    <row r="580" spans="2:25" x14ac:dyDescent="0.2">
      <c r="B580" s="77"/>
      <c r="C580" s="77"/>
      <c r="D580" s="77"/>
      <c r="E580" s="77"/>
      <c r="F580" s="77"/>
      <c r="G580" s="77"/>
      <c r="H580" s="77"/>
      <c r="I580" s="77"/>
      <c r="J580" s="77"/>
      <c r="K580" s="77"/>
      <c r="L580" s="77"/>
      <c r="M580" s="77"/>
      <c r="N580" s="77"/>
      <c r="O580" s="77"/>
      <c r="R580" s="77"/>
      <c r="V580" s="77"/>
      <c r="Y580" s="77"/>
    </row>
    <row r="581" spans="2:25" x14ac:dyDescent="0.2">
      <c r="B581" s="77"/>
      <c r="C581" s="77"/>
      <c r="D581" s="77"/>
      <c r="E581" s="77"/>
      <c r="F581" s="77"/>
      <c r="G581" s="77"/>
      <c r="H581" s="77"/>
      <c r="I581" s="77"/>
      <c r="J581" s="77"/>
      <c r="K581" s="77"/>
      <c r="L581" s="77"/>
      <c r="M581" s="77"/>
      <c r="N581" s="77"/>
      <c r="O581" s="77"/>
      <c r="R581" s="77"/>
      <c r="V581" s="77"/>
      <c r="Y581" s="77"/>
    </row>
    <row r="582" spans="2:25" x14ac:dyDescent="0.2">
      <c r="B582" s="77"/>
      <c r="C582" s="77"/>
      <c r="D582" s="77"/>
      <c r="E582" s="77"/>
      <c r="F582" s="77"/>
      <c r="G582" s="77"/>
      <c r="H582" s="77"/>
      <c r="I582" s="77"/>
      <c r="J582" s="77"/>
      <c r="K582" s="77"/>
      <c r="L582" s="77"/>
      <c r="M582" s="77"/>
      <c r="N582" s="77"/>
      <c r="O582" s="77"/>
      <c r="R582" s="77"/>
      <c r="V582" s="77"/>
      <c r="Y582" s="77"/>
    </row>
    <row r="583" spans="2:25" x14ac:dyDescent="0.2">
      <c r="B583" s="77"/>
      <c r="C583" s="77"/>
      <c r="D583" s="77"/>
      <c r="E583" s="77"/>
      <c r="F583" s="77"/>
      <c r="G583" s="77"/>
      <c r="H583" s="77"/>
      <c r="I583" s="77"/>
      <c r="J583" s="77"/>
      <c r="K583" s="77"/>
      <c r="L583" s="77"/>
      <c r="M583" s="77"/>
      <c r="N583" s="77"/>
      <c r="O583" s="77"/>
      <c r="R583" s="77"/>
      <c r="V583" s="77"/>
      <c r="Y583" s="77"/>
    </row>
    <row r="584" spans="2:25" x14ac:dyDescent="0.2">
      <c r="B584" s="77"/>
      <c r="C584" s="77"/>
      <c r="D584" s="77"/>
      <c r="E584" s="77"/>
      <c r="F584" s="77"/>
      <c r="G584" s="77"/>
      <c r="H584" s="77"/>
      <c r="I584" s="77"/>
      <c r="J584" s="77"/>
      <c r="K584" s="77"/>
      <c r="L584" s="77"/>
      <c r="M584" s="77"/>
      <c r="N584" s="77"/>
      <c r="O584" s="77"/>
      <c r="R584" s="77"/>
      <c r="V584" s="77"/>
      <c r="Y584" s="77"/>
    </row>
    <row r="585" spans="2:25" x14ac:dyDescent="0.2">
      <c r="B585" s="77"/>
      <c r="C585" s="77"/>
      <c r="D585" s="77"/>
      <c r="E585" s="77"/>
      <c r="F585" s="77"/>
      <c r="G585" s="77"/>
      <c r="H585" s="77"/>
      <c r="I585" s="77"/>
      <c r="J585" s="77"/>
      <c r="K585" s="77"/>
      <c r="L585" s="77"/>
      <c r="M585" s="77"/>
      <c r="N585" s="77"/>
      <c r="O585" s="77"/>
      <c r="R585" s="77"/>
      <c r="V585" s="77"/>
      <c r="Y585" s="77"/>
    </row>
    <row r="586" spans="2:25" x14ac:dyDescent="0.2">
      <c r="B586" s="77"/>
      <c r="C586" s="77"/>
      <c r="D586" s="77"/>
      <c r="E586" s="77"/>
      <c r="F586" s="77"/>
      <c r="G586" s="77"/>
      <c r="H586" s="77"/>
      <c r="I586" s="77"/>
      <c r="J586" s="77"/>
      <c r="K586" s="77"/>
      <c r="L586" s="77"/>
      <c r="M586" s="77"/>
      <c r="N586" s="77"/>
      <c r="O586" s="77"/>
      <c r="R586" s="77"/>
      <c r="V586" s="77"/>
      <c r="Y586" s="77"/>
    </row>
    <row r="587" spans="2:25" x14ac:dyDescent="0.2">
      <c r="B587" s="77"/>
      <c r="C587" s="77"/>
      <c r="D587" s="77"/>
      <c r="E587" s="77"/>
      <c r="F587" s="77"/>
      <c r="G587" s="77"/>
      <c r="H587" s="77"/>
      <c r="I587" s="77"/>
      <c r="J587" s="77"/>
      <c r="K587" s="77"/>
      <c r="L587" s="77"/>
      <c r="M587" s="77"/>
      <c r="N587" s="77"/>
      <c r="O587" s="77"/>
      <c r="R587" s="77"/>
      <c r="V587" s="77"/>
      <c r="Y587" s="77"/>
    </row>
    <row r="588" spans="2:25" x14ac:dyDescent="0.2">
      <c r="B588" s="77"/>
      <c r="C588" s="77"/>
      <c r="D588" s="77"/>
      <c r="E588" s="77"/>
      <c r="F588" s="77"/>
      <c r="G588" s="77"/>
      <c r="H588" s="77"/>
      <c r="I588" s="77"/>
      <c r="J588" s="77"/>
      <c r="K588" s="77"/>
      <c r="L588" s="77"/>
      <c r="M588" s="77"/>
      <c r="N588" s="77"/>
      <c r="O588" s="77"/>
      <c r="R588" s="77"/>
      <c r="V588" s="77"/>
      <c r="Y588" s="77"/>
    </row>
    <row r="589" spans="2:25" x14ac:dyDescent="0.2">
      <c r="B589" s="77"/>
      <c r="C589" s="77"/>
      <c r="D589" s="77"/>
      <c r="E589" s="77"/>
      <c r="F589" s="77"/>
      <c r="G589" s="77"/>
      <c r="H589" s="77"/>
      <c r="I589" s="77"/>
      <c r="J589" s="77"/>
      <c r="K589" s="77"/>
      <c r="L589" s="77"/>
      <c r="M589" s="77"/>
      <c r="N589" s="77"/>
      <c r="O589" s="77"/>
      <c r="R589" s="77"/>
      <c r="V589" s="77"/>
      <c r="Y589" s="77"/>
    </row>
    <row r="590" spans="2:25" x14ac:dyDescent="0.2">
      <c r="B590" s="77"/>
      <c r="C590" s="77"/>
      <c r="D590" s="77"/>
      <c r="E590" s="77"/>
      <c r="F590" s="77"/>
      <c r="G590" s="77"/>
      <c r="H590" s="77"/>
      <c r="I590" s="77"/>
      <c r="J590" s="77"/>
      <c r="K590" s="77"/>
      <c r="L590" s="77"/>
      <c r="M590" s="77"/>
      <c r="N590" s="77"/>
      <c r="O590" s="77"/>
      <c r="R590" s="77"/>
      <c r="V590" s="77"/>
      <c r="Y590" s="77"/>
    </row>
    <row r="591" spans="2:25" x14ac:dyDescent="0.2">
      <c r="B591" s="77"/>
      <c r="C591" s="77"/>
      <c r="D591" s="77"/>
      <c r="E591" s="77"/>
      <c r="F591" s="77"/>
      <c r="G591" s="77"/>
      <c r="H591" s="77"/>
      <c r="I591" s="77"/>
      <c r="J591" s="77"/>
      <c r="K591" s="77"/>
      <c r="L591" s="77"/>
      <c r="M591" s="77"/>
      <c r="N591" s="77"/>
      <c r="O591" s="77"/>
      <c r="R591" s="77"/>
      <c r="V591" s="77"/>
      <c r="Y591" s="77"/>
    </row>
    <row r="592" spans="2:25" x14ac:dyDescent="0.2">
      <c r="B592" s="77"/>
      <c r="C592" s="77"/>
      <c r="D592" s="77"/>
      <c r="E592" s="77"/>
      <c r="F592" s="77"/>
      <c r="G592" s="77"/>
      <c r="H592" s="77"/>
      <c r="I592" s="77"/>
      <c r="J592" s="77"/>
      <c r="K592" s="77"/>
      <c r="L592" s="77"/>
      <c r="M592" s="77"/>
      <c r="N592" s="77"/>
      <c r="O592" s="77"/>
      <c r="R592" s="77"/>
      <c r="V592" s="77"/>
      <c r="Y592" s="77"/>
    </row>
    <row r="593" spans="2:25" x14ac:dyDescent="0.2">
      <c r="B593" s="77"/>
      <c r="C593" s="77"/>
      <c r="D593" s="77"/>
      <c r="E593" s="77"/>
      <c r="F593" s="77"/>
      <c r="G593" s="77"/>
      <c r="H593" s="77"/>
      <c r="I593" s="77"/>
      <c r="J593" s="77"/>
      <c r="K593" s="77"/>
      <c r="L593" s="77"/>
      <c r="M593" s="77"/>
      <c r="N593" s="77"/>
      <c r="O593" s="77"/>
      <c r="R593" s="77"/>
      <c r="V593" s="77"/>
      <c r="Y593" s="77"/>
    </row>
    <row r="594" spans="2:25" x14ac:dyDescent="0.2">
      <c r="B594" s="77"/>
      <c r="C594" s="77"/>
      <c r="D594" s="77"/>
      <c r="E594" s="77"/>
      <c r="F594" s="77"/>
      <c r="G594" s="77"/>
      <c r="H594" s="77"/>
      <c r="I594" s="77"/>
      <c r="J594" s="77"/>
      <c r="K594" s="77"/>
      <c r="L594" s="77"/>
      <c r="M594" s="77"/>
      <c r="N594" s="77"/>
      <c r="O594" s="77"/>
      <c r="R594" s="77"/>
      <c r="V594" s="77"/>
      <c r="Y594" s="77"/>
    </row>
    <row r="595" spans="2:25" x14ac:dyDescent="0.2">
      <c r="B595" s="77"/>
      <c r="C595" s="77"/>
      <c r="D595" s="77"/>
      <c r="E595" s="77"/>
      <c r="F595" s="77"/>
      <c r="G595" s="77"/>
      <c r="H595" s="77"/>
      <c r="I595" s="77"/>
      <c r="J595" s="77"/>
      <c r="K595" s="77"/>
      <c r="L595" s="77"/>
      <c r="M595" s="77"/>
      <c r="N595" s="77"/>
      <c r="O595" s="77"/>
      <c r="R595" s="77"/>
      <c r="V595" s="77"/>
      <c r="Y595" s="77"/>
    </row>
    <row r="596" spans="2:25" x14ac:dyDescent="0.2">
      <c r="B596" s="77"/>
      <c r="C596" s="77"/>
      <c r="D596" s="77"/>
      <c r="E596" s="77"/>
      <c r="F596" s="77"/>
      <c r="G596" s="77"/>
      <c r="H596" s="77"/>
      <c r="I596" s="77"/>
      <c r="J596" s="77"/>
      <c r="K596" s="77"/>
      <c r="L596" s="77"/>
      <c r="M596" s="77"/>
      <c r="N596" s="77"/>
      <c r="O596" s="77"/>
      <c r="R596" s="77"/>
      <c r="V596" s="77"/>
      <c r="Y596" s="77"/>
    </row>
    <row r="597" spans="2:25" x14ac:dyDescent="0.2">
      <c r="B597" s="77"/>
      <c r="C597" s="77"/>
      <c r="D597" s="77"/>
      <c r="E597" s="77"/>
      <c r="F597" s="77"/>
      <c r="G597" s="77"/>
      <c r="H597" s="77"/>
      <c r="I597" s="77"/>
      <c r="J597" s="77"/>
      <c r="K597" s="77"/>
      <c r="L597" s="77"/>
      <c r="M597" s="77"/>
      <c r="N597" s="77"/>
      <c r="O597" s="77"/>
      <c r="R597" s="77"/>
      <c r="V597" s="77"/>
      <c r="Y597" s="77"/>
    </row>
    <row r="598" spans="2:25" x14ac:dyDescent="0.2">
      <c r="B598" s="77"/>
      <c r="C598" s="77"/>
      <c r="D598" s="77"/>
      <c r="E598" s="77"/>
      <c r="F598" s="77"/>
      <c r="G598" s="77"/>
      <c r="H598" s="77"/>
      <c r="I598" s="77"/>
      <c r="J598" s="77"/>
      <c r="K598" s="77"/>
      <c r="L598" s="77"/>
      <c r="M598" s="77"/>
      <c r="N598" s="77"/>
      <c r="O598" s="77"/>
      <c r="R598" s="77"/>
      <c r="V598" s="77"/>
      <c r="Y598" s="77"/>
    </row>
    <row r="599" spans="2:25" x14ac:dyDescent="0.2">
      <c r="B599" s="77"/>
      <c r="C599" s="77"/>
      <c r="D599" s="77"/>
      <c r="E599" s="77"/>
      <c r="F599" s="77"/>
      <c r="G599" s="77"/>
      <c r="H599" s="77"/>
      <c r="I599" s="77"/>
      <c r="J599" s="77"/>
      <c r="K599" s="77"/>
      <c r="L599" s="77"/>
      <c r="M599" s="77"/>
      <c r="N599" s="77"/>
      <c r="O599" s="77"/>
      <c r="R599" s="77"/>
      <c r="V599" s="77"/>
      <c r="Y599" s="77"/>
    </row>
    <row r="600" spans="2:25" x14ac:dyDescent="0.2">
      <c r="B600" s="77"/>
      <c r="C600" s="77"/>
      <c r="D600" s="77"/>
      <c r="E600" s="77"/>
      <c r="F600" s="77"/>
      <c r="G600" s="77"/>
      <c r="H600" s="77"/>
      <c r="I600" s="77"/>
      <c r="J600" s="77"/>
      <c r="K600" s="77"/>
      <c r="L600" s="77"/>
      <c r="M600" s="77"/>
      <c r="N600" s="77"/>
      <c r="O600" s="77"/>
      <c r="R600" s="77"/>
      <c r="V600" s="77"/>
      <c r="Y600" s="77"/>
    </row>
    <row r="601" spans="2:25" x14ac:dyDescent="0.2">
      <c r="B601" s="77"/>
      <c r="C601" s="77"/>
      <c r="D601" s="77"/>
      <c r="E601" s="77"/>
      <c r="F601" s="77"/>
      <c r="G601" s="77"/>
      <c r="H601" s="77"/>
      <c r="I601" s="77"/>
      <c r="J601" s="77"/>
      <c r="K601" s="77"/>
      <c r="L601" s="77"/>
      <c r="M601" s="77"/>
      <c r="N601" s="77"/>
      <c r="O601" s="77"/>
      <c r="R601" s="77"/>
      <c r="V601" s="77"/>
      <c r="Y601" s="77"/>
    </row>
    <row r="602" spans="2:25" x14ac:dyDescent="0.2">
      <c r="B602" s="77"/>
      <c r="C602" s="77"/>
      <c r="D602" s="77"/>
      <c r="E602" s="77"/>
      <c r="F602" s="77"/>
      <c r="G602" s="77"/>
      <c r="H602" s="77"/>
      <c r="I602" s="77"/>
      <c r="J602" s="77"/>
      <c r="K602" s="77"/>
      <c r="L602" s="77"/>
      <c r="M602" s="77"/>
      <c r="N602" s="77"/>
      <c r="O602" s="77"/>
      <c r="R602" s="77"/>
      <c r="V602" s="77"/>
      <c r="Y602" s="77"/>
    </row>
    <row r="603" spans="2:25" x14ac:dyDescent="0.2">
      <c r="B603" s="77"/>
      <c r="C603" s="77"/>
      <c r="D603" s="77"/>
      <c r="E603" s="77"/>
      <c r="F603" s="77"/>
      <c r="G603" s="77"/>
      <c r="H603" s="77"/>
      <c r="I603" s="77"/>
      <c r="J603" s="77"/>
      <c r="K603" s="77"/>
      <c r="L603" s="77"/>
      <c r="M603" s="77"/>
      <c r="N603" s="77"/>
      <c r="O603" s="77"/>
      <c r="R603" s="77"/>
      <c r="V603" s="77"/>
      <c r="Y603" s="77"/>
    </row>
    <row r="604" spans="2:25" x14ac:dyDescent="0.2">
      <c r="B604" s="77"/>
      <c r="C604" s="77"/>
      <c r="D604" s="77"/>
      <c r="E604" s="77"/>
      <c r="F604" s="77"/>
      <c r="G604" s="77"/>
      <c r="H604" s="77"/>
      <c r="I604" s="77"/>
      <c r="J604" s="77"/>
      <c r="K604" s="77"/>
      <c r="L604" s="77"/>
      <c r="M604" s="77"/>
      <c r="N604" s="77"/>
      <c r="O604" s="77"/>
      <c r="R604" s="77"/>
      <c r="V604" s="77"/>
      <c r="Y604" s="77"/>
    </row>
    <row r="605" spans="2:25" x14ac:dyDescent="0.2">
      <c r="B605" s="77"/>
      <c r="C605" s="77"/>
      <c r="D605" s="77"/>
      <c r="E605" s="77"/>
      <c r="F605" s="77"/>
      <c r="G605" s="77"/>
      <c r="H605" s="77"/>
      <c r="I605" s="77"/>
      <c r="J605" s="77"/>
      <c r="K605" s="77"/>
      <c r="L605" s="77"/>
      <c r="M605" s="77"/>
      <c r="N605" s="77"/>
      <c r="O605" s="77"/>
      <c r="R605" s="77"/>
      <c r="V605" s="77"/>
      <c r="Y605" s="77"/>
    </row>
    <row r="606" spans="2:25" x14ac:dyDescent="0.2">
      <c r="B606" s="77"/>
      <c r="C606" s="77"/>
      <c r="D606" s="77"/>
      <c r="E606" s="77"/>
      <c r="F606" s="77"/>
      <c r="G606" s="77"/>
      <c r="H606" s="77"/>
      <c r="I606" s="77"/>
      <c r="J606" s="77"/>
      <c r="K606" s="77"/>
      <c r="L606" s="77"/>
      <c r="M606" s="77"/>
      <c r="N606" s="77"/>
      <c r="O606" s="77"/>
      <c r="R606" s="77"/>
      <c r="V606" s="77"/>
      <c r="Y606" s="77"/>
    </row>
    <row r="607" spans="2:25" x14ac:dyDescent="0.2">
      <c r="B607" s="77"/>
      <c r="C607" s="77"/>
      <c r="D607" s="77"/>
      <c r="E607" s="77"/>
      <c r="F607" s="77"/>
      <c r="G607" s="77"/>
      <c r="H607" s="77"/>
      <c r="I607" s="77"/>
      <c r="J607" s="77"/>
      <c r="K607" s="77"/>
      <c r="L607" s="77"/>
      <c r="M607" s="77"/>
      <c r="N607" s="77"/>
      <c r="O607" s="77"/>
      <c r="R607" s="77"/>
      <c r="V607" s="77"/>
      <c r="Y607" s="77"/>
    </row>
    <row r="608" spans="2:25" x14ac:dyDescent="0.2">
      <c r="B608" s="77"/>
      <c r="C608" s="77"/>
      <c r="D608" s="77"/>
      <c r="E608" s="77"/>
      <c r="F608" s="77"/>
      <c r="G608" s="77"/>
      <c r="H608" s="77"/>
      <c r="I608" s="77"/>
      <c r="J608" s="77"/>
      <c r="K608" s="77"/>
      <c r="L608" s="77"/>
      <c r="M608" s="77"/>
      <c r="N608" s="77"/>
      <c r="O608" s="77"/>
      <c r="R608" s="77"/>
      <c r="V608" s="77"/>
      <c r="Y608" s="77"/>
    </row>
    <row r="609" spans="2:25" x14ac:dyDescent="0.2">
      <c r="B609" s="77"/>
      <c r="C609" s="77"/>
      <c r="D609" s="77"/>
      <c r="E609" s="77"/>
      <c r="F609" s="77"/>
      <c r="G609" s="77"/>
      <c r="H609" s="77"/>
      <c r="I609" s="77"/>
      <c r="J609" s="77"/>
      <c r="K609" s="77"/>
      <c r="L609" s="77"/>
      <c r="M609" s="77"/>
      <c r="N609" s="77"/>
      <c r="O609" s="77"/>
      <c r="R609" s="77"/>
      <c r="V609" s="77"/>
      <c r="Y609" s="77"/>
    </row>
    <row r="610" spans="2:25" x14ac:dyDescent="0.2">
      <c r="B610" s="77"/>
      <c r="C610" s="77"/>
      <c r="D610" s="77"/>
      <c r="E610" s="77"/>
      <c r="F610" s="77"/>
      <c r="G610" s="77"/>
      <c r="H610" s="77"/>
      <c r="I610" s="77"/>
      <c r="J610" s="77"/>
      <c r="K610" s="77"/>
      <c r="L610" s="77"/>
      <c r="M610" s="77"/>
      <c r="N610" s="77"/>
      <c r="O610" s="77"/>
      <c r="R610" s="77"/>
      <c r="V610" s="77"/>
      <c r="Y610" s="77"/>
    </row>
    <row r="611" spans="2:25" x14ac:dyDescent="0.2">
      <c r="B611" s="77"/>
      <c r="C611" s="77"/>
      <c r="D611" s="77"/>
      <c r="E611" s="77"/>
      <c r="F611" s="77"/>
      <c r="G611" s="77"/>
      <c r="H611" s="77"/>
      <c r="I611" s="77"/>
      <c r="J611" s="77"/>
      <c r="K611" s="77"/>
      <c r="L611" s="77"/>
      <c r="M611" s="77"/>
      <c r="N611" s="77"/>
      <c r="O611" s="77"/>
      <c r="R611" s="77"/>
      <c r="V611" s="77"/>
      <c r="Y611" s="77"/>
    </row>
    <row r="612" spans="2:25" x14ac:dyDescent="0.2">
      <c r="B612" s="77"/>
      <c r="C612" s="77"/>
      <c r="D612" s="77"/>
      <c r="E612" s="77"/>
      <c r="F612" s="77"/>
      <c r="G612" s="77"/>
      <c r="H612" s="77"/>
      <c r="I612" s="77"/>
      <c r="J612" s="77"/>
      <c r="K612" s="77"/>
      <c r="L612" s="77"/>
      <c r="M612" s="77"/>
      <c r="N612" s="77"/>
      <c r="O612" s="77"/>
      <c r="R612" s="77"/>
      <c r="V612" s="77"/>
      <c r="Y612" s="77"/>
    </row>
    <row r="613" spans="2:25" x14ac:dyDescent="0.2">
      <c r="B613" s="77"/>
      <c r="C613" s="77"/>
      <c r="D613" s="77"/>
      <c r="E613" s="77"/>
      <c r="F613" s="77"/>
      <c r="G613" s="77"/>
      <c r="H613" s="77"/>
      <c r="I613" s="77"/>
      <c r="J613" s="77"/>
      <c r="K613" s="77"/>
      <c r="L613" s="77"/>
      <c r="M613" s="77"/>
      <c r="N613" s="77"/>
      <c r="O613" s="77"/>
      <c r="R613" s="77"/>
      <c r="V613" s="77"/>
      <c r="Y613" s="77"/>
    </row>
    <row r="614" spans="2:25" x14ac:dyDescent="0.2">
      <c r="B614" s="77"/>
      <c r="C614" s="77"/>
      <c r="D614" s="77"/>
      <c r="E614" s="77"/>
      <c r="F614" s="77"/>
      <c r="G614" s="77"/>
      <c r="H614" s="77"/>
      <c r="I614" s="77"/>
      <c r="J614" s="77"/>
      <c r="K614" s="77"/>
      <c r="L614" s="77"/>
      <c r="M614" s="77"/>
      <c r="N614" s="77"/>
      <c r="O614" s="77"/>
      <c r="R614" s="77"/>
      <c r="V614" s="77"/>
      <c r="Y614" s="77"/>
    </row>
    <row r="615" spans="2:25" x14ac:dyDescent="0.2">
      <c r="B615" s="77"/>
      <c r="C615" s="77"/>
      <c r="D615" s="77"/>
      <c r="E615" s="77"/>
      <c r="F615" s="77"/>
      <c r="G615" s="77"/>
      <c r="H615" s="77"/>
      <c r="I615" s="77"/>
      <c r="J615" s="77"/>
      <c r="K615" s="77"/>
      <c r="L615" s="77"/>
      <c r="M615" s="77"/>
      <c r="N615" s="77"/>
      <c r="O615" s="77"/>
      <c r="R615" s="77"/>
      <c r="V615" s="77"/>
      <c r="Y615" s="77"/>
    </row>
    <row r="616" spans="2:25" x14ac:dyDescent="0.2">
      <c r="B616" s="77"/>
      <c r="C616" s="77"/>
      <c r="D616" s="77"/>
      <c r="E616" s="77"/>
      <c r="F616" s="77"/>
      <c r="G616" s="77"/>
      <c r="H616" s="77"/>
      <c r="I616" s="77"/>
      <c r="J616" s="77"/>
      <c r="K616" s="77"/>
      <c r="L616" s="77"/>
      <c r="M616" s="77"/>
      <c r="N616" s="77"/>
      <c r="O616" s="77"/>
      <c r="R616" s="77"/>
      <c r="V616" s="77"/>
      <c r="Y616" s="77"/>
    </row>
    <row r="617" spans="2:25" x14ac:dyDescent="0.2">
      <c r="B617" s="77"/>
      <c r="C617" s="77"/>
      <c r="D617" s="77"/>
      <c r="E617" s="77"/>
      <c r="F617" s="77"/>
      <c r="G617" s="77"/>
      <c r="H617" s="77"/>
      <c r="I617" s="77"/>
      <c r="J617" s="77"/>
      <c r="K617" s="77"/>
      <c r="L617" s="77"/>
      <c r="M617" s="77"/>
      <c r="N617" s="77"/>
      <c r="O617" s="77"/>
      <c r="R617" s="77"/>
      <c r="V617" s="77"/>
      <c r="Y617" s="77"/>
    </row>
    <row r="618" spans="2:25" x14ac:dyDescent="0.2">
      <c r="B618" s="77"/>
      <c r="C618" s="77"/>
      <c r="D618" s="77"/>
      <c r="E618" s="77"/>
      <c r="F618" s="77"/>
      <c r="G618" s="77"/>
      <c r="H618" s="77"/>
      <c r="I618" s="77"/>
      <c r="J618" s="77"/>
      <c r="K618" s="77"/>
      <c r="L618" s="77"/>
      <c r="M618" s="77"/>
      <c r="N618" s="77"/>
      <c r="O618" s="77"/>
      <c r="R618" s="77"/>
      <c r="V618" s="77"/>
      <c r="Y618" s="77"/>
    </row>
    <row r="619" spans="2:25" x14ac:dyDescent="0.2">
      <c r="B619" s="77"/>
      <c r="C619" s="77"/>
      <c r="D619" s="77"/>
      <c r="E619" s="77"/>
      <c r="F619" s="77"/>
      <c r="G619" s="77"/>
      <c r="H619" s="77"/>
      <c r="I619" s="77"/>
      <c r="J619" s="77"/>
      <c r="K619" s="77"/>
      <c r="L619" s="77"/>
      <c r="M619" s="77"/>
      <c r="N619" s="77"/>
      <c r="O619" s="77"/>
      <c r="R619" s="77"/>
      <c r="V619" s="77"/>
      <c r="Y619" s="77"/>
    </row>
    <row r="620" spans="2:25" x14ac:dyDescent="0.2">
      <c r="B620" s="77"/>
      <c r="C620" s="77"/>
      <c r="D620" s="77"/>
      <c r="E620" s="77"/>
      <c r="F620" s="77"/>
      <c r="G620" s="77"/>
      <c r="H620" s="77"/>
      <c r="I620" s="77"/>
      <c r="J620" s="77"/>
      <c r="K620" s="77"/>
      <c r="L620" s="77"/>
      <c r="M620" s="77"/>
      <c r="N620" s="77"/>
      <c r="O620" s="77"/>
      <c r="R620" s="77"/>
      <c r="V620" s="77"/>
      <c r="Y620" s="77"/>
    </row>
    <row r="621" spans="2:25" x14ac:dyDescent="0.2">
      <c r="B621" s="77"/>
      <c r="C621" s="77"/>
      <c r="D621" s="77"/>
      <c r="E621" s="77"/>
      <c r="F621" s="77"/>
      <c r="G621" s="77"/>
      <c r="H621" s="77"/>
      <c r="I621" s="77"/>
      <c r="J621" s="77"/>
      <c r="K621" s="77"/>
      <c r="L621" s="77"/>
      <c r="M621" s="77"/>
      <c r="N621" s="77"/>
      <c r="O621" s="77"/>
      <c r="R621" s="77"/>
      <c r="V621" s="77"/>
      <c r="Y621" s="77"/>
    </row>
    <row r="622" spans="2:25" x14ac:dyDescent="0.2">
      <c r="B622" s="77"/>
      <c r="C622" s="77"/>
      <c r="D622" s="77"/>
      <c r="E622" s="77"/>
      <c r="F622" s="77"/>
      <c r="G622" s="77"/>
      <c r="H622" s="77"/>
      <c r="I622" s="77"/>
      <c r="J622" s="77"/>
      <c r="K622" s="77"/>
      <c r="L622" s="77"/>
      <c r="M622" s="77"/>
      <c r="N622" s="77"/>
      <c r="O622" s="77"/>
      <c r="R622" s="77"/>
      <c r="V622" s="77"/>
      <c r="Y622" s="77"/>
    </row>
    <row r="623" spans="2:25" x14ac:dyDescent="0.2">
      <c r="B623" s="77"/>
      <c r="C623" s="77"/>
      <c r="D623" s="77"/>
      <c r="E623" s="77"/>
      <c r="F623" s="77"/>
      <c r="G623" s="77"/>
      <c r="H623" s="77"/>
      <c r="I623" s="77"/>
      <c r="J623" s="77"/>
      <c r="K623" s="77"/>
      <c r="L623" s="77"/>
      <c r="M623" s="77"/>
      <c r="N623" s="77"/>
      <c r="O623" s="77"/>
      <c r="R623" s="77"/>
      <c r="V623" s="77"/>
      <c r="Y623" s="77"/>
    </row>
    <row r="624" spans="2:25" x14ac:dyDescent="0.2">
      <c r="B624" s="77"/>
      <c r="C624" s="77"/>
      <c r="D624" s="77"/>
      <c r="E624" s="77"/>
      <c r="F624" s="77"/>
      <c r="G624" s="77"/>
      <c r="H624" s="77"/>
      <c r="I624" s="77"/>
      <c r="J624" s="77"/>
      <c r="K624" s="77"/>
      <c r="L624" s="77"/>
      <c r="M624" s="77"/>
      <c r="N624" s="77"/>
      <c r="O624" s="77"/>
      <c r="R624" s="77"/>
      <c r="V624" s="77"/>
      <c r="Y624" s="77"/>
    </row>
    <row r="625" spans="2:25" x14ac:dyDescent="0.2">
      <c r="B625" s="77"/>
      <c r="C625" s="77"/>
      <c r="D625" s="77"/>
      <c r="E625" s="77"/>
      <c r="F625" s="77"/>
      <c r="G625" s="77"/>
      <c r="H625" s="77"/>
      <c r="I625" s="77"/>
      <c r="J625" s="77"/>
      <c r="K625" s="77"/>
      <c r="L625" s="77"/>
      <c r="M625" s="77"/>
      <c r="N625" s="77"/>
      <c r="O625" s="77"/>
      <c r="R625" s="77"/>
      <c r="V625" s="77"/>
      <c r="Y625" s="77"/>
    </row>
    <row r="626" spans="2:25" x14ac:dyDescent="0.2">
      <c r="B626" s="77"/>
      <c r="C626" s="77"/>
      <c r="D626" s="77"/>
      <c r="E626" s="77"/>
      <c r="F626" s="77"/>
      <c r="G626" s="77"/>
      <c r="H626" s="77"/>
      <c r="I626" s="77"/>
      <c r="J626" s="77"/>
      <c r="K626" s="77"/>
      <c r="L626" s="77"/>
      <c r="M626" s="77"/>
      <c r="N626" s="77"/>
      <c r="O626" s="77"/>
      <c r="R626" s="77"/>
      <c r="V626" s="77"/>
      <c r="Y626" s="77"/>
    </row>
    <row r="627" spans="2:25" x14ac:dyDescent="0.2">
      <c r="B627" s="77"/>
      <c r="C627" s="77"/>
      <c r="D627" s="77"/>
      <c r="E627" s="77"/>
      <c r="F627" s="77"/>
      <c r="G627" s="77"/>
      <c r="H627" s="77"/>
      <c r="I627" s="77"/>
      <c r="J627" s="77"/>
      <c r="K627" s="77"/>
      <c r="L627" s="77"/>
      <c r="M627" s="77"/>
      <c r="N627" s="77"/>
      <c r="O627" s="77"/>
      <c r="R627" s="77"/>
      <c r="V627" s="77"/>
      <c r="Y627" s="77"/>
    </row>
    <row r="628" spans="2:25" x14ac:dyDescent="0.2">
      <c r="B628" s="77"/>
      <c r="C628" s="77"/>
      <c r="D628" s="77"/>
      <c r="E628" s="77"/>
      <c r="F628" s="77"/>
      <c r="G628" s="77"/>
      <c r="H628" s="77"/>
      <c r="I628" s="77"/>
      <c r="J628" s="77"/>
      <c r="K628" s="77"/>
      <c r="L628" s="77"/>
      <c r="M628" s="77"/>
      <c r="N628" s="77"/>
      <c r="O628" s="77"/>
      <c r="R628" s="77"/>
      <c r="V628" s="77"/>
      <c r="Y628" s="77"/>
    </row>
    <row r="629" spans="2:25" x14ac:dyDescent="0.2">
      <c r="B629" s="77"/>
      <c r="C629" s="77"/>
      <c r="D629" s="77"/>
      <c r="E629" s="77"/>
      <c r="F629" s="77"/>
      <c r="G629" s="77"/>
      <c r="H629" s="77"/>
      <c r="I629" s="77"/>
      <c r="J629" s="77"/>
      <c r="K629" s="77"/>
      <c r="L629" s="77"/>
      <c r="M629" s="77"/>
      <c r="N629" s="77"/>
      <c r="O629" s="77"/>
      <c r="R629" s="77"/>
      <c r="V629" s="77"/>
      <c r="Y629" s="77"/>
    </row>
    <row r="630" spans="2:25" x14ac:dyDescent="0.2">
      <c r="B630" s="77"/>
      <c r="C630" s="77"/>
      <c r="D630" s="77"/>
      <c r="E630" s="77"/>
      <c r="F630" s="77"/>
      <c r="G630" s="77"/>
      <c r="H630" s="77"/>
      <c r="I630" s="77"/>
      <c r="J630" s="77"/>
      <c r="K630" s="77"/>
      <c r="L630" s="77"/>
      <c r="M630" s="77"/>
      <c r="N630" s="77"/>
      <c r="O630" s="77"/>
      <c r="R630" s="77"/>
      <c r="V630" s="77"/>
      <c r="Y630" s="77"/>
    </row>
    <row r="631" spans="2:25" x14ac:dyDescent="0.2">
      <c r="B631" s="77"/>
      <c r="C631" s="77"/>
      <c r="D631" s="77"/>
      <c r="E631" s="77"/>
      <c r="F631" s="77"/>
      <c r="G631" s="77"/>
      <c r="H631" s="77"/>
      <c r="I631" s="77"/>
      <c r="J631" s="77"/>
      <c r="K631" s="77"/>
      <c r="L631" s="77"/>
      <c r="M631" s="77"/>
      <c r="N631" s="77"/>
      <c r="O631" s="77"/>
      <c r="R631" s="77"/>
      <c r="V631" s="77"/>
      <c r="Y631" s="77"/>
    </row>
    <row r="632" spans="2:25" x14ac:dyDescent="0.2">
      <c r="B632" s="77"/>
      <c r="C632" s="77"/>
      <c r="D632" s="77"/>
      <c r="E632" s="77"/>
      <c r="F632" s="77"/>
      <c r="G632" s="77"/>
      <c r="H632" s="77"/>
      <c r="I632" s="77"/>
      <c r="J632" s="77"/>
      <c r="K632" s="77"/>
      <c r="L632" s="77"/>
      <c r="M632" s="77"/>
      <c r="N632" s="77"/>
      <c r="O632" s="77"/>
      <c r="R632" s="77"/>
      <c r="V632" s="77"/>
      <c r="Y632" s="77"/>
    </row>
    <row r="633" spans="2:25" x14ac:dyDescent="0.2">
      <c r="B633" s="77"/>
      <c r="C633" s="77"/>
      <c r="D633" s="77"/>
      <c r="E633" s="77"/>
      <c r="F633" s="77"/>
      <c r="G633" s="77"/>
      <c r="H633" s="77"/>
      <c r="I633" s="77"/>
      <c r="J633" s="77"/>
      <c r="K633" s="77"/>
      <c r="L633" s="77"/>
      <c r="M633" s="77"/>
      <c r="N633" s="77"/>
      <c r="O633" s="77"/>
      <c r="R633" s="77"/>
      <c r="V633" s="77"/>
      <c r="Y633" s="77"/>
    </row>
    <row r="634" spans="2:25" x14ac:dyDescent="0.2">
      <c r="B634" s="77"/>
      <c r="C634" s="77"/>
      <c r="D634" s="77"/>
      <c r="E634" s="77"/>
      <c r="F634" s="77"/>
      <c r="G634" s="77"/>
      <c r="H634" s="77"/>
      <c r="I634" s="77"/>
      <c r="J634" s="77"/>
      <c r="K634" s="77"/>
      <c r="L634" s="77"/>
      <c r="M634" s="77"/>
      <c r="N634" s="77"/>
      <c r="O634" s="77"/>
      <c r="R634" s="77"/>
      <c r="V634" s="77"/>
      <c r="Y634" s="77"/>
    </row>
    <row r="635" spans="2:25" x14ac:dyDescent="0.2">
      <c r="B635" s="77"/>
      <c r="C635" s="77"/>
      <c r="D635" s="77"/>
      <c r="E635" s="77"/>
      <c r="F635" s="77"/>
      <c r="G635" s="77"/>
      <c r="H635" s="77"/>
      <c r="I635" s="77"/>
      <c r="J635" s="77"/>
      <c r="K635" s="77"/>
      <c r="L635" s="77"/>
      <c r="M635" s="77"/>
      <c r="N635" s="77"/>
      <c r="O635" s="77"/>
      <c r="R635" s="77"/>
      <c r="V635" s="77"/>
      <c r="Y635" s="77"/>
    </row>
    <row r="636" spans="2:25" x14ac:dyDescent="0.2">
      <c r="B636" s="77"/>
      <c r="C636" s="77"/>
      <c r="D636" s="77"/>
      <c r="E636" s="77"/>
      <c r="F636" s="77"/>
      <c r="G636" s="77"/>
      <c r="H636" s="77"/>
      <c r="I636" s="77"/>
      <c r="J636" s="77"/>
      <c r="K636" s="77"/>
      <c r="L636" s="77"/>
      <c r="M636" s="77"/>
      <c r="N636" s="77"/>
      <c r="O636" s="77"/>
      <c r="R636" s="77"/>
      <c r="V636" s="77"/>
      <c r="Y636" s="77"/>
    </row>
    <row r="637" spans="2:25" x14ac:dyDescent="0.2">
      <c r="B637" s="77"/>
      <c r="C637" s="77"/>
      <c r="D637" s="77"/>
      <c r="E637" s="77"/>
      <c r="F637" s="77"/>
      <c r="G637" s="77"/>
      <c r="H637" s="77"/>
      <c r="I637" s="77"/>
      <c r="J637" s="77"/>
      <c r="K637" s="77"/>
      <c r="L637" s="77"/>
      <c r="M637" s="77"/>
      <c r="N637" s="77"/>
      <c r="O637" s="77"/>
      <c r="R637" s="77"/>
      <c r="V637" s="77"/>
      <c r="Y637" s="77"/>
    </row>
    <row r="638" spans="2:25" x14ac:dyDescent="0.2">
      <c r="B638" s="77"/>
      <c r="C638" s="77"/>
      <c r="D638" s="77"/>
      <c r="E638" s="77"/>
      <c r="F638" s="77"/>
      <c r="G638" s="77"/>
      <c r="H638" s="77"/>
      <c r="I638" s="77"/>
      <c r="J638" s="77"/>
      <c r="K638" s="77"/>
      <c r="L638" s="77"/>
      <c r="M638" s="77"/>
      <c r="N638" s="77"/>
      <c r="O638" s="77"/>
      <c r="R638" s="77"/>
      <c r="V638" s="77"/>
      <c r="Y638" s="77"/>
    </row>
    <row r="639" spans="2:25" x14ac:dyDescent="0.2">
      <c r="B639" s="77"/>
      <c r="C639" s="77"/>
      <c r="D639" s="77"/>
      <c r="E639" s="77"/>
      <c r="F639" s="77"/>
      <c r="G639" s="77"/>
      <c r="H639" s="77"/>
      <c r="I639" s="77"/>
      <c r="J639" s="77"/>
      <c r="K639" s="77"/>
      <c r="L639" s="77"/>
      <c r="M639" s="77"/>
      <c r="N639" s="77"/>
      <c r="O639" s="77"/>
      <c r="R639" s="77"/>
      <c r="V639" s="77"/>
      <c r="Y639" s="77"/>
    </row>
    <row r="640" spans="2:25" x14ac:dyDescent="0.2">
      <c r="B640" s="77"/>
      <c r="C640" s="77"/>
      <c r="D640" s="77"/>
      <c r="E640" s="77"/>
      <c r="F640" s="77"/>
      <c r="G640" s="77"/>
      <c r="H640" s="77"/>
      <c r="I640" s="77"/>
      <c r="J640" s="77"/>
      <c r="K640" s="77"/>
      <c r="L640" s="77"/>
      <c r="M640" s="77"/>
      <c r="N640" s="77"/>
      <c r="O640" s="77"/>
      <c r="R640" s="77"/>
      <c r="V640" s="77"/>
      <c r="Y640" s="77"/>
    </row>
    <row r="641" spans="2:25" x14ac:dyDescent="0.2">
      <c r="B641" s="77"/>
      <c r="C641" s="77"/>
      <c r="D641" s="77"/>
      <c r="E641" s="77"/>
      <c r="F641" s="77"/>
      <c r="G641" s="77"/>
      <c r="H641" s="77"/>
      <c r="I641" s="77"/>
      <c r="J641" s="77"/>
      <c r="K641" s="77"/>
      <c r="L641" s="77"/>
      <c r="M641" s="77"/>
      <c r="N641" s="77"/>
      <c r="O641" s="77"/>
      <c r="R641" s="77"/>
      <c r="V641" s="77"/>
      <c r="Y641" s="77"/>
    </row>
    <row r="642" spans="2:25" x14ac:dyDescent="0.2">
      <c r="B642" s="77"/>
      <c r="C642" s="77"/>
      <c r="D642" s="77"/>
      <c r="E642" s="77"/>
      <c r="F642" s="77"/>
      <c r="G642" s="77"/>
      <c r="H642" s="77"/>
      <c r="I642" s="77"/>
      <c r="J642" s="77"/>
      <c r="K642" s="77"/>
      <c r="L642" s="77"/>
      <c r="M642" s="77"/>
      <c r="N642" s="77"/>
      <c r="O642" s="77"/>
      <c r="R642" s="77"/>
      <c r="V642" s="77"/>
      <c r="Y642" s="77"/>
    </row>
    <row r="643" spans="2:25" x14ac:dyDescent="0.2">
      <c r="B643" s="77"/>
      <c r="C643" s="77"/>
      <c r="D643" s="77"/>
      <c r="E643" s="77"/>
      <c r="F643" s="77"/>
      <c r="G643" s="77"/>
      <c r="H643" s="77"/>
      <c r="I643" s="77"/>
      <c r="J643" s="77"/>
      <c r="K643" s="77"/>
      <c r="L643" s="77"/>
      <c r="M643" s="77"/>
      <c r="N643" s="77"/>
      <c r="O643" s="77"/>
      <c r="R643" s="77"/>
      <c r="V643" s="77"/>
      <c r="Y643" s="77"/>
    </row>
    <row r="644" spans="2:25" x14ac:dyDescent="0.2">
      <c r="B644" s="77"/>
      <c r="C644" s="77"/>
      <c r="D644" s="77"/>
      <c r="E644" s="77"/>
      <c r="F644" s="77"/>
      <c r="G644" s="77"/>
      <c r="H644" s="77"/>
      <c r="I644" s="77"/>
      <c r="J644" s="77"/>
      <c r="K644" s="77"/>
      <c r="L644" s="77"/>
      <c r="M644" s="77"/>
      <c r="N644" s="77"/>
      <c r="O644" s="77"/>
      <c r="R644" s="77"/>
      <c r="V644" s="77"/>
      <c r="Y644" s="77"/>
    </row>
    <row r="645" spans="2:25" x14ac:dyDescent="0.2">
      <c r="B645" s="77"/>
      <c r="C645" s="77"/>
      <c r="D645" s="77"/>
      <c r="E645" s="77"/>
      <c r="F645" s="77"/>
      <c r="G645" s="77"/>
      <c r="H645" s="77"/>
      <c r="I645" s="77"/>
      <c r="J645" s="77"/>
      <c r="K645" s="77"/>
      <c r="L645" s="77"/>
      <c r="M645" s="77"/>
      <c r="N645" s="77"/>
      <c r="O645" s="77"/>
      <c r="R645" s="77"/>
      <c r="V645" s="77"/>
      <c r="Y645" s="77"/>
    </row>
    <row r="646" spans="2:25" x14ac:dyDescent="0.2">
      <c r="B646" s="77"/>
      <c r="C646" s="77"/>
      <c r="D646" s="77"/>
      <c r="E646" s="77"/>
      <c r="F646" s="77"/>
      <c r="G646" s="77"/>
      <c r="H646" s="77"/>
      <c r="I646" s="77"/>
      <c r="J646" s="77"/>
      <c r="K646" s="77"/>
      <c r="L646" s="77"/>
      <c r="M646" s="77"/>
      <c r="N646" s="77"/>
      <c r="O646" s="77"/>
      <c r="R646" s="77"/>
      <c r="V646" s="77"/>
      <c r="Y646" s="77"/>
    </row>
    <row r="647" spans="2:25" x14ac:dyDescent="0.2">
      <c r="B647" s="77"/>
      <c r="C647" s="77"/>
      <c r="D647" s="77"/>
      <c r="E647" s="77"/>
      <c r="F647" s="77"/>
      <c r="G647" s="77"/>
      <c r="H647" s="77"/>
      <c r="I647" s="77"/>
      <c r="J647" s="77"/>
      <c r="K647" s="77"/>
      <c r="L647" s="77"/>
      <c r="M647" s="77"/>
      <c r="N647" s="77"/>
      <c r="O647" s="77"/>
      <c r="R647" s="77"/>
      <c r="V647" s="77"/>
      <c r="Y647" s="77"/>
    </row>
    <row r="648" spans="2:25" x14ac:dyDescent="0.2">
      <c r="B648" s="77"/>
      <c r="C648" s="77"/>
      <c r="D648" s="77"/>
      <c r="E648" s="77"/>
      <c r="F648" s="77"/>
      <c r="G648" s="77"/>
      <c r="H648" s="77"/>
      <c r="I648" s="77"/>
      <c r="J648" s="77"/>
      <c r="K648" s="77"/>
      <c r="L648" s="77"/>
      <c r="M648" s="77"/>
      <c r="N648" s="77"/>
      <c r="O648" s="77"/>
      <c r="R648" s="77"/>
      <c r="V648" s="77"/>
      <c r="Y648" s="77"/>
    </row>
    <row r="649" spans="2:25" x14ac:dyDescent="0.2">
      <c r="B649" s="77"/>
      <c r="C649" s="77"/>
      <c r="D649" s="77"/>
      <c r="E649" s="77"/>
      <c r="F649" s="77"/>
      <c r="G649" s="77"/>
      <c r="H649" s="77"/>
      <c r="I649" s="77"/>
      <c r="J649" s="77"/>
      <c r="K649" s="77"/>
      <c r="L649" s="77"/>
      <c r="M649" s="77"/>
      <c r="N649" s="77"/>
      <c r="O649" s="77"/>
      <c r="R649" s="77"/>
      <c r="V649" s="77"/>
      <c r="Y649" s="77"/>
    </row>
    <row r="650" spans="2:25" x14ac:dyDescent="0.2">
      <c r="B650" s="77"/>
      <c r="C650" s="77"/>
      <c r="D650" s="77"/>
      <c r="E650" s="77"/>
      <c r="F650" s="77"/>
      <c r="G650" s="77"/>
      <c r="H650" s="77"/>
      <c r="I650" s="77"/>
      <c r="J650" s="77"/>
      <c r="K650" s="77"/>
      <c r="L650" s="77"/>
      <c r="M650" s="77"/>
      <c r="N650" s="77"/>
      <c r="O650" s="77"/>
      <c r="R650" s="77"/>
      <c r="V650" s="77"/>
      <c r="Y650" s="77"/>
    </row>
    <row r="651" spans="2:25" x14ac:dyDescent="0.2">
      <c r="B651" s="77"/>
      <c r="C651" s="77"/>
      <c r="D651" s="77"/>
      <c r="E651" s="77"/>
      <c r="F651" s="77"/>
      <c r="G651" s="77"/>
      <c r="H651" s="77"/>
      <c r="I651" s="77"/>
      <c r="J651" s="77"/>
      <c r="K651" s="77"/>
      <c r="L651" s="77"/>
      <c r="M651" s="77"/>
      <c r="N651" s="77"/>
      <c r="O651" s="77"/>
      <c r="R651" s="77"/>
      <c r="V651" s="77"/>
      <c r="Y651" s="77"/>
    </row>
    <row r="652" spans="2:25" x14ac:dyDescent="0.2">
      <c r="B652" s="77"/>
      <c r="C652" s="77"/>
      <c r="D652" s="77"/>
      <c r="E652" s="77"/>
      <c r="F652" s="77"/>
      <c r="G652" s="77"/>
      <c r="H652" s="77"/>
      <c r="I652" s="77"/>
      <c r="J652" s="77"/>
      <c r="K652" s="77"/>
      <c r="L652" s="77"/>
      <c r="M652" s="77"/>
      <c r="N652" s="77"/>
      <c r="O652" s="77"/>
      <c r="R652" s="77"/>
      <c r="V652" s="77"/>
      <c r="Y652" s="77"/>
    </row>
    <row r="653" spans="2:25" x14ac:dyDescent="0.2">
      <c r="B653" s="77"/>
      <c r="C653" s="77"/>
      <c r="D653" s="77"/>
      <c r="E653" s="77"/>
      <c r="F653" s="77"/>
      <c r="G653" s="77"/>
      <c r="H653" s="77"/>
      <c r="I653" s="77"/>
      <c r="J653" s="77"/>
      <c r="K653" s="77"/>
      <c r="L653" s="77"/>
      <c r="M653" s="77"/>
      <c r="N653" s="77"/>
      <c r="O653" s="77"/>
      <c r="R653" s="77"/>
      <c r="V653" s="77"/>
      <c r="Y653" s="77"/>
    </row>
    <row r="654" spans="2:25" x14ac:dyDescent="0.2">
      <c r="B654" s="77"/>
      <c r="C654" s="77"/>
      <c r="D654" s="77"/>
      <c r="E654" s="77"/>
      <c r="F654" s="77"/>
      <c r="G654" s="77"/>
      <c r="H654" s="77"/>
      <c r="I654" s="77"/>
      <c r="J654" s="77"/>
      <c r="K654" s="77"/>
      <c r="L654" s="77"/>
      <c r="M654" s="77"/>
      <c r="N654" s="77"/>
      <c r="O654" s="77"/>
      <c r="R654" s="77"/>
      <c r="V654" s="77"/>
      <c r="Y654" s="77"/>
    </row>
    <row r="655" spans="2:25" x14ac:dyDescent="0.2">
      <c r="B655" s="77"/>
      <c r="C655" s="77"/>
      <c r="D655" s="77"/>
      <c r="E655" s="77"/>
      <c r="F655" s="77"/>
      <c r="G655" s="77"/>
      <c r="H655" s="77"/>
      <c r="I655" s="77"/>
      <c r="J655" s="77"/>
      <c r="K655" s="77"/>
      <c r="L655" s="77"/>
      <c r="M655" s="77"/>
      <c r="N655" s="77"/>
      <c r="O655" s="77"/>
      <c r="R655" s="77"/>
      <c r="V655" s="77"/>
      <c r="Y655" s="77"/>
    </row>
    <row r="656" spans="2:25" x14ac:dyDescent="0.2">
      <c r="B656" s="77"/>
      <c r="C656" s="77"/>
      <c r="D656" s="77"/>
      <c r="E656" s="77"/>
      <c r="F656" s="77"/>
      <c r="G656" s="77"/>
      <c r="H656" s="77"/>
      <c r="I656" s="77"/>
      <c r="J656" s="77"/>
      <c r="K656" s="77"/>
      <c r="L656" s="77"/>
      <c r="M656" s="77"/>
      <c r="N656" s="77"/>
      <c r="O656" s="77"/>
      <c r="R656" s="77"/>
      <c r="V656" s="77"/>
      <c r="Y656" s="77"/>
    </row>
    <row r="657" spans="2:25" x14ac:dyDescent="0.2">
      <c r="B657" s="77"/>
      <c r="C657" s="77"/>
      <c r="D657" s="77"/>
      <c r="E657" s="77"/>
      <c r="F657" s="77"/>
      <c r="G657" s="77"/>
      <c r="H657" s="77"/>
      <c r="I657" s="77"/>
      <c r="J657" s="77"/>
      <c r="K657" s="77"/>
      <c r="L657" s="77"/>
      <c r="M657" s="77"/>
      <c r="N657" s="77"/>
      <c r="O657" s="77"/>
      <c r="R657" s="77"/>
      <c r="V657" s="77"/>
      <c r="Y657" s="77"/>
    </row>
    <row r="658" spans="2:25" x14ac:dyDescent="0.2">
      <c r="B658" s="77"/>
      <c r="C658" s="77"/>
      <c r="D658" s="77"/>
      <c r="E658" s="77"/>
      <c r="F658" s="77"/>
      <c r="G658" s="77"/>
      <c r="H658" s="77"/>
      <c r="I658" s="77"/>
      <c r="J658" s="77"/>
      <c r="K658" s="77"/>
      <c r="L658" s="77"/>
      <c r="M658" s="77"/>
      <c r="N658" s="77"/>
      <c r="O658" s="77"/>
      <c r="R658" s="77"/>
      <c r="V658" s="77"/>
      <c r="Y658" s="77"/>
    </row>
    <row r="659" spans="2:25" x14ac:dyDescent="0.2">
      <c r="B659" s="77"/>
      <c r="C659" s="77"/>
      <c r="D659" s="77"/>
      <c r="E659" s="77"/>
      <c r="F659" s="77"/>
      <c r="G659" s="77"/>
      <c r="H659" s="77"/>
      <c r="I659" s="77"/>
      <c r="J659" s="77"/>
      <c r="K659" s="77"/>
      <c r="L659" s="77"/>
      <c r="M659" s="77"/>
      <c r="N659" s="77"/>
      <c r="O659" s="77"/>
      <c r="R659" s="77"/>
      <c r="V659" s="77"/>
      <c r="Y659" s="77"/>
    </row>
    <row r="660" spans="2:25" x14ac:dyDescent="0.2">
      <c r="B660" s="77"/>
      <c r="C660" s="77"/>
      <c r="D660" s="77"/>
      <c r="E660" s="77"/>
      <c r="F660" s="77"/>
      <c r="G660" s="77"/>
      <c r="H660" s="77"/>
      <c r="I660" s="77"/>
      <c r="J660" s="77"/>
      <c r="K660" s="77"/>
      <c r="L660" s="77"/>
      <c r="M660" s="77"/>
      <c r="N660" s="77"/>
      <c r="O660" s="77"/>
      <c r="R660" s="77"/>
      <c r="V660" s="77"/>
      <c r="Y660" s="77"/>
    </row>
    <row r="661" spans="2:25" x14ac:dyDescent="0.2">
      <c r="B661" s="77"/>
      <c r="C661" s="77"/>
      <c r="D661" s="77"/>
      <c r="E661" s="77"/>
      <c r="F661" s="77"/>
      <c r="G661" s="77"/>
      <c r="H661" s="77"/>
      <c r="I661" s="77"/>
      <c r="J661" s="77"/>
      <c r="K661" s="77"/>
      <c r="L661" s="77"/>
      <c r="M661" s="77"/>
      <c r="N661" s="77"/>
      <c r="O661" s="77"/>
      <c r="R661" s="77"/>
      <c r="V661" s="77"/>
      <c r="Y661" s="77"/>
    </row>
    <row r="662" spans="2:25" x14ac:dyDescent="0.2">
      <c r="B662" s="77"/>
      <c r="C662" s="77"/>
      <c r="D662" s="77"/>
      <c r="E662" s="77"/>
      <c r="F662" s="77"/>
      <c r="G662" s="77"/>
      <c r="H662" s="77"/>
      <c r="I662" s="77"/>
      <c r="J662" s="77"/>
      <c r="K662" s="77"/>
      <c r="L662" s="77"/>
      <c r="M662" s="77"/>
      <c r="N662" s="77"/>
      <c r="O662" s="77"/>
      <c r="R662" s="77"/>
      <c r="V662" s="77"/>
      <c r="Y662" s="77"/>
    </row>
    <row r="663" spans="2:25" x14ac:dyDescent="0.2">
      <c r="B663" s="77"/>
      <c r="C663" s="77"/>
      <c r="D663" s="77"/>
      <c r="E663" s="77"/>
      <c r="F663" s="77"/>
      <c r="G663" s="77"/>
      <c r="H663" s="77"/>
      <c r="I663" s="77"/>
      <c r="J663" s="77"/>
      <c r="K663" s="77"/>
      <c r="L663" s="77"/>
      <c r="M663" s="77"/>
      <c r="N663" s="77"/>
      <c r="O663" s="77"/>
      <c r="R663" s="77"/>
      <c r="V663" s="77"/>
      <c r="Y663" s="77"/>
    </row>
    <row r="664" spans="2:25" x14ac:dyDescent="0.2">
      <c r="B664" s="77"/>
      <c r="C664" s="77"/>
      <c r="D664" s="77"/>
      <c r="E664" s="77"/>
      <c r="F664" s="77"/>
      <c r="G664" s="77"/>
      <c r="H664" s="77"/>
      <c r="I664" s="77"/>
      <c r="J664" s="77"/>
      <c r="K664" s="77"/>
      <c r="L664" s="77"/>
      <c r="M664" s="77"/>
      <c r="N664" s="77"/>
      <c r="O664" s="77"/>
      <c r="R664" s="77"/>
      <c r="V664" s="77"/>
      <c r="Y664" s="77"/>
    </row>
    <row r="665" spans="2:25" x14ac:dyDescent="0.2">
      <c r="B665" s="77"/>
      <c r="C665" s="77"/>
      <c r="D665" s="77"/>
      <c r="E665" s="77"/>
      <c r="F665" s="77"/>
      <c r="G665" s="77"/>
      <c r="H665" s="77"/>
      <c r="I665" s="77"/>
      <c r="J665" s="77"/>
      <c r="K665" s="77"/>
      <c r="L665" s="77"/>
      <c r="M665" s="77"/>
      <c r="N665" s="77"/>
      <c r="O665" s="77"/>
      <c r="R665" s="77"/>
      <c r="V665" s="77"/>
      <c r="Y665" s="77"/>
    </row>
    <row r="666" spans="2:25" x14ac:dyDescent="0.2">
      <c r="B666" s="77"/>
      <c r="C666" s="77"/>
      <c r="D666" s="77"/>
      <c r="E666" s="77"/>
      <c r="F666" s="77"/>
      <c r="G666" s="77"/>
      <c r="H666" s="77"/>
      <c r="I666" s="77"/>
      <c r="J666" s="77"/>
      <c r="K666" s="77"/>
      <c r="L666" s="77"/>
      <c r="M666" s="77"/>
      <c r="N666" s="77"/>
      <c r="O666" s="77"/>
      <c r="R666" s="77"/>
      <c r="V666" s="77"/>
      <c r="Y666" s="77"/>
    </row>
    <row r="667" spans="2:25" x14ac:dyDescent="0.2">
      <c r="B667" s="77"/>
      <c r="C667" s="77"/>
      <c r="D667" s="77"/>
      <c r="E667" s="77"/>
      <c r="F667" s="77"/>
      <c r="G667" s="77"/>
      <c r="H667" s="77"/>
      <c r="I667" s="77"/>
      <c r="J667" s="77"/>
      <c r="K667" s="77"/>
      <c r="L667" s="77"/>
      <c r="M667" s="77"/>
      <c r="N667" s="77"/>
      <c r="O667" s="77"/>
      <c r="R667" s="77"/>
      <c r="V667" s="77"/>
      <c r="Y667" s="77"/>
    </row>
    <row r="668" spans="2:25" x14ac:dyDescent="0.2">
      <c r="B668" s="77"/>
      <c r="C668" s="77"/>
      <c r="D668" s="77"/>
      <c r="E668" s="77"/>
      <c r="F668" s="77"/>
      <c r="G668" s="77"/>
      <c r="H668" s="77"/>
      <c r="I668" s="77"/>
      <c r="J668" s="77"/>
      <c r="K668" s="77"/>
      <c r="L668" s="77"/>
      <c r="M668" s="77"/>
      <c r="N668" s="77"/>
      <c r="O668" s="77"/>
      <c r="R668" s="77"/>
      <c r="V668" s="77"/>
      <c r="Y668" s="77"/>
    </row>
    <row r="669" spans="2:25" x14ac:dyDescent="0.2">
      <c r="B669" s="77"/>
      <c r="C669" s="77"/>
      <c r="D669" s="77"/>
      <c r="E669" s="77"/>
      <c r="F669" s="77"/>
      <c r="G669" s="77"/>
      <c r="H669" s="77"/>
      <c r="I669" s="77"/>
      <c r="J669" s="77"/>
      <c r="K669" s="77"/>
      <c r="L669" s="77"/>
      <c r="M669" s="77"/>
      <c r="N669" s="77"/>
      <c r="O669" s="77"/>
      <c r="R669" s="77"/>
      <c r="V669" s="77"/>
      <c r="Y669" s="77"/>
    </row>
    <row r="670" spans="2:25" x14ac:dyDescent="0.2">
      <c r="B670" s="77"/>
      <c r="C670" s="77"/>
      <c r="D670" s="77"/>
      <c r="E670" s="77"/>
      <c r="F670" s="77"/>
      <c r="G670" s="77"/>
      <c r="H670" s="77"/>
      <c r="I670" s="77"/>
      <c r="J670" s="77"/>
      <c r="K670" s="77"/>
      <c r="L670" s="77"/>
      <c r="M670" s="77"/>
      <c r="N670" s="77"/>
      <c r="O670" s="77"/>
      <c r="R670" s="77"/>
      <c r="V670" s="77"/>
      <c r="Y670" s="77"/>
    </row>
    <row r="671" spans="2:25" x14ac:dyDescent="0.2">
      <c r="B671" s="77"/>
      <c r="C671" s="77"/>
      <c r="D671" s="77"/>
      <c r="E671" s="77"/>
      <c r="F671" s="77"/>
      <c r="G671" s="77"/>
      <c r="H671" s="77"/>
      <c r="I671" s="77"/>
      <c r="J671" s="77"/>
      <c r="K671" s="77"/>
      <c r="L671" s="77"/>
      <c r="M671" s="77"/>
      <c r="N671" s="77"/>
      <c r="O671" s="77"/>
      <c r="R671" s="77"/>
      <c r="V671" s="77"/>
      <c r="Y671" s="77"/>
    </row>
    <row r="672" spans="2:25" x14ac:dyDescent="0.2">
      <c r="B672" s="77"/>
      <c r="C672" s="77"/>
      <c r="D672" s="77"/>
      <c r="E672" s="77"/>
      <c r="F672" s="77"/>
      <c r="G672" s="77"/>
      <c r="H672" s="77"/>
      <c r="I672" s="77"/>
      <c r="J672" s="77"/>
      <c r="K672" s="77"/>
      <c r="L672" s="77"/>
      <c r="M672" s="77"/>
      <c r="N672" s="77"/>
      <c r="O672" s="77"/>
      <c r="R672" s="77"/>
      <c r="V672" s="77"/>
      <c r="Y672" s="77"/>
    </row>
    <row r="673" spans="2:25" x14ac:dyDescent="0.2">
      <c r="B673" s="77"/>
      <c r="C673" s="77"/>
      <c r="D673" s="77"/>
      <c r="E673" s="77"/>
      <c r="F673" s="77"/>
      <c r="G673" s="77"/>
      <c r="H673" s="77"/>
      <c r="I673" s="77"/>
      <c r="J673" s="77"/>
      <c r="K673" s="77"/>
      <c r="L673" s="77"/>
      <c r="M673" s="77"/>
      <c r="N673" s="77"/>
      <c r="O673" s="77"/>
      <c r="R673" s="77"/>
      <c r="V673" s="77"/>
      <c r="Y673" s="77"/>
    </row>
    <row r="674" spans="2:25" x14ac:dyDescent="0.2">
      <c r="B674" s="77"/>
      <c r="C674" s="77"/>
      <c r="D674" s="77"/>
      <c r="E674" s="77"/>
      <c r="F674" s="77"/>
      <c r="G674" s="77"/>
      <c r="H674" s="77"/>
      <c r="I674" s="77"/>
      <c r="J674" s="77"/>
      <c r="K674" s="77"/>
      <c r="L674" s="77"/>
      <c r="M674" s="77"/>
      <c r="N674" s="77"/>
      <c r="O674" s="77"/>
      <c r="R674" s="77"/>
      <c r="V674" s="77"/>
      <c r="Y674" s="77"/>
    </row>
    <row r="675" spans="2:25" x14ac:dyDescent="0.2">
      <c r="B675" s="77"/>
      <c r="C675" s="77"/>
      <c r="D675" s="77"/>
      <c r="E675" s="77"/>
      <c r="F675" s="77"/>
      <c r="G675" s="77"/>
      <c r="H675" s="77"/>
      <c r="I675" s="77"/>
      <c r="J675" s="77"/>
      <c r="K675" s="77"/>
      <c r="L675" s="77"/>
      <c r="M675" s="77"/>
      <c r="N675" s="77"/>
      <c r="O675" s="77"/>
      <c r="R675" s="77"/>
      <c r="V675" s="77"/>
      <c r="Y675" s="77"/>
    </row>
    <row r="676" spans="2:25" x14ac:dyDescent="0.2">
      <c r="B676" s="77"/>
      <c r="C676" s="77"/>
      <c r="D676" s="77"/>
      <c r="E676" s="77"/>
      <c r="F676" s="77"/>
      <c r="G676" s="77"/>
      <c r="H676" s="77"/>
      <c r="I676" s="77"/>
      <c r="J676" s="77"/>
      <c r="K676" s="77"/>
      <c r="L676" s="77"/>
      <c r="M676" s="77"/>
      <c r="N676" s="77"/>
      <c r="O676" s="77"/>
      <c r="R676" s="77"/>
      <c r="V676" s="77"/>
      <c r="Y676" s="77"/>
    </row>
    <row r="677" spans="2:25" x14ac:dyDescent="0.2">
      <c r="B677" s="77"/>
      <c r="C677" s="77"/>
      <c r="D677" s="77"/>
      <c r="E677" s="77"/>
      <c r="F677" s="77"/>
      <c r="G677" s="77"/>
      <c r="H677" s="77"/>
      <c r="I677" s="77"/>
      <c r="J677" s="77"/>
      <c r="K677" s="77"/>
      <c r="L677" s="77"/>
      <c r="M677" s="77"/>
      <c r="N677" s="77"/>
      <c r="O677" s="77"/>
      <c r="R677" s="77"/>
      <c r="V677" s="77"/>
      <c r="Y677" s="77"/>
    </row>
    <row r="678" spans="2:25" x14ac:dyDescent="0.2">
      <c r="B678" s="77"/>
      <c r="C678" s="77"/>
      <c r="D678" s="77"/>
      <c r="E678" s="77"/>
      <c r="F678" s="77"/>
      <c r="G678" s="77"/>
      <c r="H678" s="77"/>
      <c r="I678" s="77"/>
      <c r="J678" s="77"/>
      <c r="K678" s="77"/>
      <c r="L678" s="77"/>
      <c r="M678" s="77"/>
      <c r="N678" s="77"/>
      <c r="O678" s="77"/>
      <c r="R678" s="77"/>
      <c r="V678" s="77"/>
      <c r="Y678" s="77"/>
    </row>
    <row r="679" spans="2:25" x14ac:dyDescent="0.2">
      <c r="B679" s="77"/>
      <c r="C679" s="77"/>
      <c r="D679" s="77"/>
      <c r="E679" s="77"/>
      <c r="F679" s="77"/>
      <c r="G679" s="77"/>
      <c r="H679" s="77"/>
      <c r="I679" s="77"/>
      <c r="J679" s="77"/>
      <c r="K679" s="77"/>
      <c r="L679" s="77"/>
      <c r="M679" s="77"/>
      <c r="N679" s="77"/>
      <c r="O679" s="77"/>
      <c r="R679" s="77"/>
      <c r="V679" s="77"/>
      <c r="Y679" s="77"/>
    </row>
    <row r="680" spans="2:25" x14ac:dyDescent="0.2">
      <c r="B680" s="77"/>
      <c r="C680" s="77"/>
      <c r="D680" s="77"/>
      <c r="E680" s="77"/>
      <c r="F680" s="77"/>
      <c r="G680" s="77"/>
      <c r="H680" s="77"/>
      <c r="I680" s="77"/>
      <c r="J680" s="77"/>
      <c r="K680" s="77"/>
      <c r="L680" s="77"/>
      <c r="M680" s="77"/>
      <c r="N680" s="77"/>
      <c r="O680" s="77"/>
      <c r="R680" s="77"/>
      <c r="V680" s="77"/>
      <c r="Y680" s="77"/>
    </row>
    <row r="681" spans="2:25" x14ac:dyDescent="0.2">
      <c r="B681" s="77"/>
      <c r="C681" s="77"/>
      <c r="D681" s="77"/>
      <c r="E681" s="77"/>
      <c r="F681" s="77"/>
      <c r="G681" s="77"/>
      <c r="H681" s="77"/>
      <c r="I681" s="77"/>
      <c r="J681" s="77"/>
      <c r="K681" s="77"/>
      <c r="L681" s="77"/>
      <c r="M681" s="77"/>
      <c r="N681" s="77"/>
      <c r="O681" s="77"/>
      <c r="R681" s="77"/>
      <c r="V681" s="77"/>
      <c r="Y681" s="77"/>
    </row>
    <row r="682" spans="2:25" x14ac:dyDescent="0.2">
      <c r="B682" s="77"/>
      <c r="C682" s="77"/>
      <c r="D682" s="77"/>
      <c r="E682" s="77"/>
      <c r="F682" s="77"/>
      <c r="G682" s="77"/>
      <c r="H682" s="77"/>
      <c r="I682" s="77"/>
      <c r="J682" s="77"/>
      <c r="K682" s="77"/>
      <c r="L682" s="77"/>
      <c r="M682" s="77"/>
      <c r="N682" s="77"/>
      <c r="O682" s="77"/>
      <c r="R682" s="77"/>
      <c r="V682" s="77"/>
      <c r="Y682" s="77"/>
    </row>
    <row r="683" spans="2:25" x14ac:dyDescent="0.2">
      <c r="B683" s="77"/>
      <c r="C683" s="77"/>
      <c r="D683" s="77"/>
      <c r="E683" s="77"/>
      <c r="F683" s="77"/>
      <c r="G683" s="77"/>
      <c r="H683" s="77"/>
      <c r="I683" s="77"/>
      <c r="J683" s="77"/>
      <c r="K683" s="77"/>
      <c r="L683" s="77"/>
      <c r="M683" s="77"/>
      <c r="N683" s="77"/>
      <c r="O683" s="77"/>
      <c r="R683" s="77"/>
      <c r="V683" s="77"/>
      <c r="Y683" s="77"/>
    </row>
    <row r="684" spans="2:25" x14ac:dyDescent="0.2">
      <c r="B684" s="77"/>
      <c r="C684" s="77"/>
      <c r="D684" s="77"/>
      <c r="E684" s="77"/>
      <c r="F684" s="77"/>
      <c r="G684" s="77"/>
      <c r="H684" s="77"/>
      <c r="I684" s="77"/>
      <c r="J684" s="77"/>
      <c r="K684" s="77"/>
      <c r="L684" s="77"/>
      <c r="M684" s="77"/>
      <c r="N684" s="77"/>
      <c r="O684" s="77"/>
      <c r="R684" s="77"/>
      <c r="V684" s="77"/>
      <c r="Y684" s="77"/>
    </row>
    <row r="685" spans="2:25" x14ac:dyDescent="0.2">
      <c r="B685" s="77"/>
      <c r="C685" s="77"/>
      <c r="D685" s="77"/>
      <c r="E685" s="77"/>
      <c r="F685" s="77"/>
      <c r="G685" s="77"/>
      <c r="H685" s="77"/>
      <c r="I685" s="77"/>
      <c r="J685" s="77"/>
      <c r="K685" s="77"/>
      <c r="L685" s="77"/>
      <c r="M685" s="77"/>
      <c r="N685" s="77"/>
      <c r="O685" s="77"/>
      <c r="R685" s="77"/>
      <c r="V685" s="77"/>
      <c r="Y685" s="77"/>
    </row>
    <row r="686" spans="2:25" x14ac:dyDescent="0.2">
      <c r="B686" s="77"/>
      <c r="C686" s="77"/>
      <c r="D686" s="77"/>
      <c r="E686" s="77"/>
      <c r="F686" s="77"/>
      <c r="G686" s="77"/>
      <c r="H686" s="77"/>
      <c r="I686" s="77"/>
      <c r="J686" s="77"/>
      <c r="K686" s="77"/>
      <c r="L686" s="77"/>
      <c r="M686" s="77"/>
      <c r="N686" s="77"/>
      <c r="O686" s="77"/>
      <c r="R686" s="77"/>
      <c r="V686" s="77"/>
      <c r="Y686" s="77"/>
    </row>
    <row r="687" spans="2:25" x14ac:dyDescent="0.2">
      <c r="B687" s="77"/>
      <c r="C687" s="77"/>
      <c r="D687" s="77"/>
      <c r="E687" s="77"/>
      <c r="F687" s="77"/>
      <c r="G687" s="77"/>
      <c r="H687" s="77"/>
      <c r="I687" s="77"/>
      <c r="J687" s="77"/>
      <c r="K687" s="77"/>
      <c r="L687" s="77"/>
      <c r="M687" s="77"/>
      <c r="N687" s="77"/>
      <c r="O687" s="77"/>
      <c r="R687" s="77"/>
      <c r="V687" s="77"/>
      <c r="Y687" s="77"/>
    </row>
    <row r="688" spans="2:25" x14ac:dyDescent="0.2">
      <c r="B688" s="77"/>
      <c r="C688" s="77"/>
      <c r="D688" s="77"/>
      <c r="E688" s="77"/>
      <c r="F688" s="77"/>
      <c r="G688" s="77"/>
      <c r="H688" s="77"/>
      <c r="I688" s="77"/>
      <c r="J688" s="77"/>
      <c r="K688" s="77"/>
      <c r="L688" s="77"/>
      <c r="M688" s="77"/>
      <c r="N688" s="77"/>
      <c r="O688" s="77"/>
      <c r="R688" s="77"/>
      <c r="V688" s="77"/>
      <c r="Y688" s="77"/>
    </row>
    <row r="689" spans="2:25" x14ac:dyDescent="0.2">
      <c r="B689" s="77"/>
      <c r="C689" s="77"/>
      <c r="D689" s="77"/>
      <c r="E689" s="77"/>
      <c r="F689" s="77"/>
      <c r="G689" s="77"/>
      <c r="H689" s="77"/>
      <c r="I689" s="77"/>
      <c r="J689" s="77"/>
      <c r="K689" s="77"/>
      <c r="L689" s="77"/>
      <c r="M689" s="77"/>
      <c r="N689" s="77"/>
      <c r="O689" s="77"/>
      <c r="R689" s="77"/>
      <c r="V689" s="77"/>
      <c r="Y689" s="77"/>
    </row>
    <row r="690" spans="2:25" x14ac:dyDescent="0.2">
      <c r="B690" s="77"/>
      <c r="C690" s="77"/>
      <c r="D690" s="77"/>
      <c r="E690" s="77"/>
      <c r="F690" s="77"/>
      <c r="G690" s="77"/>
      <c r="H690" s="77"/>
      <c r="I690" s="77"/>
      <c r="J690" s="77"/>
      <c r="K690" s="77"/>
      <c r="L690" s="77"/>
      <c r="M690" s="77"/>
      <c r="N690" s="77"/>
      <c r="O690" s="77"/>
      <c r="R690" s="77"/>
      <c r="V690" s="77"/>
      <c r="Y690" s="77"/>
    </row>
    <row r="691" spans="2:25" x14ac:dyDescent="0.2">
      <c r="B691" s="77"/>
      <c r="C691" s="77"/>
      <c r="D691" s="77"/>
      <c r="E691" s="77"/>
      <c r="F691" s="77"/>
      <c r="G691" s="77"/>
      <c r="H691" s="77"/>
      <c r="I691" s="77"/>
      <c r="J691" s="77"/>
      <c r="K691" s="77"/>
      <c r="L691" s="77"/>
      <c r="M691" s="77"/>
      <c r="N691" s="77"/>
      <c r="O691" s="77"/>
      <c r="R691" s="77"/>
      <c r="V691" s="77"/>
      <c r="Y691" s="77"/>
    </row>
    <row r="692" spans="2:25" x14ac:dyDescent="0.2">
      <c r="B692" s="77"/>
      <c r="C692" s="77"/>
      <c r="D692" s="77"/>
      <c r="E692" s="77"/>
      <c r="F692" s="77"/>
      <c r="G692" s="77"/>
      <c r="H692" s="77"/>
      <c r="I692" s="77"/>
      <c r="J692" s="77"/>
      <c r="K692" s="77"/>
      <c r="L692" s="77"/>
      <c r="M692" s="77"/>
      <c r="N692" s="77"/>
      <c r="O692" s="77"/>
      <c r="R692" s="77"/>
      <c r="V692" s="77"/>
      <c r="Y692" s="77"/>
    </row>
    <row r="693" spans="2:25" x14ac:dyDescent="0.2">
      <c r="B693" s="77"/>
      <c r="C693" s="77"/>
      <c r="D693" s="77"/>
      <c r="E693" s="77"/>
      <c r="F693" s="77"/>
      <c r="G693" s="77"/>
      <c r="H693" s="77"/>
      <c r="I693" s="77"/>
      <c r="J693" s="77"/>
      <c r="K693" s="77"/>
      <c r="L693" s="77"/>
      <c r="M693" s="77"/>
      <c r="N693" s="77"/>
      <c r="O693" s="77"/>
      <c r="R693" s="77"/>
      <c r="V693" s="77"/>
      <c r="Y693" s="77"/>
    </row>
    <row r="694" spans="2:25" x14ac:dyDescent="0.2">
      <c r="B694" s="77"/>
      <c r="C694" s="77"/>
      <c r="D694" s="77"/>
      <c r="E694" s="77"/>
      <c r="F694" s="77"/>
      <c r="G694" s="77"/>
      <c r="H694" s="77"/>
      <c r="I694" s="77"/>
      <c r="J694" s="77"/>
      <c r="K694" s="77"/>
      <c r="L694" s="77"/>
      <c r="M694" s="77"/>
      <c r="N694" s="77"/>
      <c r="O694" s="77"/>
      <c r="R694" s="77"/>
      <c r="V694" s="77"/>
      <c r="Y694" s="77"/>
    </row>
    <row r="695" spans="2:25" x14ac:dyDescent="0.2">
      <c r="B695" s="77"/>
      <c r="C695" s="77"/>
      <c r="D695" s="77"/>
      <c r="E695" s="77"/>
      <c r="F695" s="77"/>
      <c r="G695" s="77"/>
      <c r="H695" s="77"/>
      <c r="I695" s="77"/>
      <c r="J695" s="77"/>
      <c r="K695" s="77"/>
      <c r="L695" s="77"/>
      <c r="M695" s="77"/>
      <c r="N695" s="77"/>
      <c r="O695" s="77"/>
      <c r="R695" s="77"/>
      <c r="V695" s="77"/>
      <c r="Y695" s="77"/>
    </row>
    <row r="696" spans="2:25" x14ac:dyDescent="0.2">
      <c r="B696" s="77"/>
      <c r="C696" s="77"/>
      <c r="D696" s="77"/>
      <c r="E696" s="77"/>
      <c r="F696" s="77"/>
      <c r="G696" s="77"/>
      <c r="H696" s="77"/>
      <c r="I696" s="77"/>
      <c r="J696" s="77"/>
      <c r="K696" s="77"/>
      <c r="L696" s="77"/>
      <c r="M696" s="77"/>
      <c r="N696" s="77"/>
      <c r="O696" s="77"/>
      <c r="R696" s="77"/>
      <c r="V696" s="77"/>
      <c r="Y696" s="77"/>
    </row>
    <row r="697" spans="2:25" x14ac:dyDescent="0.2">
      <c r="B697" s="77"/>
      <c r="C697" s="77"/>
      <c r="D697" s="77"/>
      <c r="E697" s="77"/>
      <c r="F697" s="77"/>
      <c r="G697" s="77"/>
      <c r="H697" s="77"/>
      <c r="I697" s="77"/>
      <c r="J697" s="77"/>
      <c r="K697" s="77"/>
      <c r="L697" s="77"/>
      <c r="M697" s="77"/>
      <c r="N697" s="77"/>
      <c r="O697" s="77"/>
      <c r="R697" s="77"/>
      <c r="V697" s="77"/>
      <c r="Y697" s="77"/>
    </row>
    <row r="698" spans="2:25" x14ac:dyDescent="0.2">
      <c r="B698" s="77"/>
      <c r="C698" s="77"/>
      <c r="D698" s="77"/>
      <c r="E698" s="77"/>
      <c r="F698" s="77"/>
      <c r="G698" s="77"/>
      <c r="H698" s="77"/>
      <c r="I698" s="77"/>
      <c r="J698" s="77"/>
      <c r="K698" s="77"/>
      <c r="L698" s="77"/>
      <c r="M698" s="77"/>
      <c r="N698" s="77"/>
      <c r="O698" s="77"/>
      <c r="R698" s="77"/>
      <c r="V698" s="77"/>
      <c r="Y698" s="77"/>
    </row>
    <row r="699" spans="2:25" x14ac:dyDescent="0.2">
      <c r="B699" s="77"/>
      <c r="C699" s="77"/>
      <c r="D699" s="77"/>
      <c r="E699" s="77"/>
      <c r="F699" s="77"/>
      <c r="G699" s="77"/>
      <c r="H699" s="77"/>
      <c r="I699" s="77"/>
      <c r="J699" s="77"/>
      <c r="K699" s="77"/>
      <c r="L699" s="77"/>
      <c r="M699" s="77"/>
      <c r="N699" s="77"/>
      <c r="O699" s="77"/>
      <c r="R699" s="77"/>
      <c r="V699" s="77"/>
      <c r="Y699" s="77"/>
    </row>
    <row r="700" spans="2:25" x14ac:dyDescent="0.2">
      <c r="B700" s="77"/>
      <c r="C700" s="77"/>
      <c r="D700" s="77"/>
      <c r="E700" s="77"/>
      <c r="F700" s="77"/>
      <c r="G700" s="77"/>
      <c r="H700" s="77"/>
      <c r="I700" s="77"/>
      <c r="J700" s="77"/>
      <c r="K700" s="77"/>
      <c r="L700" s="77"/>
      <c r="M700" s="77"/>
      <c r="N700" s="77"/>
      <c r="O700" s="77"/>
      <c r="R700" s="77"/>
      <c r="V700" s="77"/>
      <c r="Y700" s="77"/>
    </row>
    <row r="701" spans="2:25" x14ac:dyDescent="0.2">
      <c r="B701" s="77"/>
      <c r="C701" s="77"/>
      <c r="D701" s="77"/>
      <c r="E701" s="77"/>
      <c r="F701" s="77"/>
      <c r="G701" s="77"/>
      <c r="H701" s="77"/>
      <c r="I701" s="77"/>
      <c r="J701" s="77"/>
      <c r="K701" s="77"/>
      <c r="L701" s="77"/>
      <c r="M701" s="77"/>
      <c r="N701" s="77"/>
      <c r="O701" s="77"/>
      <c r="R701" s="77"/>
      <c r="V701" s="77"/>
      <c r="Y701" s="77"/>
    </row>
    <row r="702" spans="2:25" x14ac:dyDescent="0.2">
      <c r="B702" s="77"/>
      <c r="C702" s="77"/>
      <c r="D702" s="77"/>
      <c r="E702" s="77"/>
      <c r="F702" s="77"/>
      <c r="G702" s="77"/>
      <c r="H702" s="77"/>
      <c r="I702" s="77"/>
      <c r="J702" s="77"/>
      <c r="K702" s="77"/>
      <c r="L702" s="77"/>
      <c r="M702" s="77"/>
      <c r="N702" s="77"/>
      <c r="O702" s="77"/>
      <c r="R702" s="77"/>
      <c r="V702" s="77"/>
      <c r="Y702" s="77"/>
    </row>
    <row r="703" spans="2:25" x14ac:dyDescent="0.2">
      <c r="B703" s="77"/>
      <c r="C703" s="77"/>
      <c r="D703" s="77"/>
      <c r="E703" s="77"/>
      <c r="F703" s="77"/>
      <c r="G703" s="77"/>
      <c r="H703" s="77"/>
      <c r="I703" s="77"/>
      <c r="J703" s="77"/>
      <c r="K703" s="77"/>
      <c r="L703" s="77"/>
      <c r="M703" s="77"/>
      <c r="N703" s="77"/>
      <c r="O703" s="77"/>
      <c r="R703" s="77"/>
      <c r="V703" s="77"/>
      <c r="Y703" s="77"/>
    </row>
    <row r="704" spans="2:25" x14ac:dyDescent="0.2">
      <c r="B704" s="77"/>
      <c r="C704" s="77"/>
      <c r="D704" s="77"/>
      <c r="E704" s="77"/>
      <c r="F704" s="77"/>
      <c r="G704" s="77"/>
      <c r="H704" s="77"/>
      <c r="I704" s="77"/>
      <c r="J704" s="77"/>
      <c r="K704" s="77"/>
      <c r="L704" s="77"/>
      <c r="M704" s="77"/>
      <c r="N704" s="77"/>
      <c r="O704" s="77"/>
      <c r="R704" s="77"/>
      <c r="V704" s="77"/>
      <c r="Y704" s="77"/>
    </row>
    <row r="705" spans="2:25" x14ac:dyDescent="0.2">
      <c r="B705" s="77"/>
      <c r="C705" s="77"/>
      <c r="D705" s="77"/>
      <c r="E705" s="77"/>
      <c r="F705" s="77"/>
      <c r="G705" s="77"/>
      <c r="H705" s="77"/>
      <c r="I705" s="77"/>
      <c r="J705" s="77"/>
      <c r="K705" s="77"/>
      <c r="L705" s="77"/>
      <c r="M705" s="77"/>
      <c r="N705" s="77"/>
      <c r="O705" s="77"/>
      <c r="R705" s="77"/>
      <c r="V705" s="77"/>
      <c r="Y705" s="77"/>
    </row>
    <row r="706" spans="2:25" x14ac:dyDescent="0.2">
      <c r="B706" s="77"/>
      <c r="C706" s="77"/>
      <c r="D706" s="77"/>
      <c r="E706" s="77"/>
      <c r="F706" s="77"/>
      <c r="G706" s="77"/>
      <c r="H706" s="77"/>
      <c r="I706" s="77"/>
      <c r="J706" s="77"/>
      <c r="K706" s="77"/>
      <c r="L706" s="77"/>
      <c r="M706" s="77"/>
      <c r="N706" s="77"/>
      <c r="O706" s="77"/>
      <c r="R706" s="77"/>
      <c r="V706" s="77"/>
      <c r="Y706" s="77"/>
    </row>
    <row r="707" spans="2:25" x14ac:dyDescent="0.2">
      <c r="B707" s="77"/>
      <c r="C707" s="77"/>
      <c r="D707" s="77"/>
      <c r="E707" s="77"/>
      <c r="F707" s="77"/>
      <c r="G707" s="77"/>
      <c r="H707" s="77"/>
      <c r="I707" s="77"/>
      <c r="J707" s="77"/>
      <c r="K707" s="77"/>
      <c r="L707" s="77"/>
      <c r="M707" s="77"/>
      <c r="N707" s="77"/>
      <c r="O707" s="77"/>
      <c r="R707" s="77"/>
      <c r="V707" s="77"/>
      <c r="Y707" s="77"/>
    </row>
    <row r="708" spans="2:25" x14ac:dyDescent="0.2">
      <c r="B708" s="77"/>
      <c r="C708" s="77"/>
      <c r="D708" s="77"/>
      <c r="E708" s="77"/>
      <c r="F708" s="77"/>
      <c r="G708" s="77"/>
      <c r="H708" s="77"/>
      <c r="I708" s="77"/>
      <c r="J708" s="77"/>
      <c r="K708" s="77"/>
      <c r="L708" s="77"/>
      <c r="M708" s="77"/>
      <c r="N708" s="77"/>
      <c r="O708" s="77"/>
      <c r="R708" s="77"/>
      <c r="V708" s="77"/>
      <c r="Y708" s="77"/>
    </row>
    <row r="709" spans="2:25" x14ac:dyDescent="0.2">
      <c r="B709" s="77"/>
      <c r="C709" s="77"/>
      <c r="D709" s="77"/>
      <c r="E709" s="77"/>
      <c r="F709" s="77"/>
      <c r="G709" s="77"/>
      <c r="H709" s="77"/>
      <c r="I709" s="77"/>
      <c r="J709" s="77"/>
      <c r="K709" s="77"/>
      <c r="L709" s="77"/>
      <c r="M709" s="77"/>
      <c r="N709" s="77"/>
      <c r="O709" s="77"/>
      <c r="R709" s="77"/>
      <c r="V709" s="77"/>
      <c r="Y709" s="77"/>
    </row>
    <row r="710" spans="2:25" x14ac:dyDescent="0.2">
      <c r="B710" s="77"/>
      <c r="C710" s="77"/>
      <c r="D710" s="77"/>
      <c r="E710" s="77"/>
      <c r="F710" s="77"/>
      <c r="G710" s="77"/>
      <c r="H710" s="77"/>
      <c r="I710" s="77"/>
      <c r="J710" s="77"/>
      <c r="K710" s="77"/>
      <c r="L710" s="77"/>
      <c r="M710" s="77"/>
      <c r="N710" s="77"/>
      <c r="O710" s="77"/>
      <c r="R710" s="77"/>
      <c r="V710" s="77"/>
      <c r="Y710" s="77"/>
    </row>
    <row r="711" spans="2:25" x14ac:dyDescent="0.2">
      <c r="B711" s="77"/>
      <c r="C711" s="77"/>
      <c r="D711" s="77"/>
      <c r="E711" s="77"/>
      <c r="F711" s="77"/>
      <c r="G711" s="77"/>
      <c r="H711" s="77"/>
      <c r="I711" s="77"/>
      <c r="J711" s="77"/>
      <c r="K711" s="77"/>
      <c r="L711" s="77"/>
      <c r="M711" s="77"/>
      <c r="N711" s="77"/>
      <c r="O711" s="77"/>
      <c r="R711" s="77"/>
      <c r="V711" s="77"/>
      <c r="Y711" s="77"/>
    </row>
    <row r="712" spans="2:25" x14ac:dyDescent="0.2">
      <c r="B712" s="77"/>
      <c r="C712" s="77"/>
      <c r="D712" s="77"/>
      <c r="E712" s="77"/>
      <c r="F712" s="77"/>
      <c r="G712" s="77"/>
      <c r="H712" s="77"/>
      <c r="I712" s="77"/>
      <c r="J712" s="77"/>
      <c r="K712" s="77"/>
      <c r="L712" s="77"/>
      <c r="M712" s="77"/>
      <c r="N712" s="77"/>
      <c r="O712" s="77"/>
      <c r="R712" s="77"/>
      <c r="V712" s="77"/>
      <c r="Y712" s="77"/>
    </row>
    <row r="713" spans="2:25" x14ac:dyDescent="0.2">
      <c r="B713" s="77"/>
      <c r="C713" s="77"/>
      <c r="D713" s="77"/>
      <c r="E713" s="77"/>
      <c r="F713" s="77"/>
      <c r="G713" s="77"/>
      <c r="H713" s="77"/>
      <c r="I713" s="77"/>
      <c r="J713" s="77"/>
      <c r="K713" s="77"/>
      <c r="L713" s="77"/>
      <c r="M713" s="77"/>
      <c r="N713" s="77"/>
      <c r="O713" s="77"/>
      <c r="R713" s="77"/>
      <c r="V713" s="77"/>
      <c r="Y713" s="77"/>
    </row>
    <row r="714" spans="2:25" x14ac:dyDescent="0.2">
      <c r="B714" s="77"/>
      <c r="C714" s="77"/>
      <c r="D714" s="77"/>
      <c r="E714" s="77"/>
      <c r="F714" s="77"/>
      <c r="G714" s="77"/>
      <c r="H714" s="77"/>
      <c r="I714" s="77"/>
      <c r="J714" s="77"/>
      <c r="K714" s="77"/>
      <c r="L714" s="77"/>
      <c r="M714" s="77"/>
      <c r="N714" s="77"/>
      <c r="O714" s="77"/>
      <c r="R714" s="77"/>
      <c r="V714" s="77"/>
      <c r="Y714" s="77"/>
    </row>
    <row r="715" spans="2:25" x14ac:dyDescent="0.2">
      <c r="B715" s="77"/>
      <c r="C715" s="77"/>
      <c r="D715" s="77"/>
      <c r="E715" s="77"/>
      <c r="F715" s="77"/>
      <c r="G715" s="77"/>
      <c r="H715" s="77"/>
      <c r="I715" s="77"/>
      <c r="J715" s="77"/>
      <c r="K715" s="77"/>
      <c r="L715" s="77"/>
      <c r="M715" s="77"/>
      <c r="N715" s="77"/>
      <c r="O715" s="77"/>
      <c r="R715" s="77"/>
      <c r="V715" s="77"/>
      <c r="Y715" s="77"/>
    </row>
    <row r="716" spans="2:25" x14ac:dyDescent="0.2">
      <c r="B716" s="77"/>
      <c r="C716" s="77"/>
      <c r="D716" s="77"/>
      <c r="E716" s="77"/>
      <c r="F716" s="77"/>
      <c r="G716" s="77"/>
      <c r="H716" s="77"/>
      <c r="I716" s="77"/>
      <c r="J716" s="77"/>
      <c r="K716" s="77"/>
      <c r="L716" s="77"/>
      <c r="M716" s="77"/>
      <c r="N716" s="77"/>
      <c r="O716" s="77"/>
      <c r="R716" s="77"/>
      <c r="V716" s="77"/>
      <c r="Y716" s="77"/>
    </row>
    <row r="717" spans="2:25" x14ac:dyDescent="0.2">
      <c r="B717" s="77"/>
      <c r="C717" s="77"/>
      <c r="D717" s="77"/>
      <c r="E717" s="77"/>
      <c r="F717" s="77"/>
      <c r="G717" s="77"/>
      <c r="H717" s="77"/>
      <c r="I717" s="77"/>
      <c r="J717" s="77"/>
      <c r="K717" s="77"/>
      <c r="L717" s="77"/>
      <c r="M717" s="77"/>
      <c r="N717" s="77"/>
      <c r="O717" s="77"/>
      <c r="R717" s="77"/>
      <c r="V717" s="77"/>
      <c r="Y717" s="77"/>
    </row>
    <row r="718" spans="2:25" x14ac:dyDescent="0.2">
      <c r="B718" s="77"/>
      <c r="C718" s="77"/>
      <c r="D718" s="77"/>
      <c r="E718" s="77"/>
      <c r="F718" s="77"/>
      <c r="G718" s="77"/>
      <c r="H718" s="77"/>
      <c r="I718" s="77"/>
      <c r="J718" s="77"/>
      <c r="K718" s="77"/>
      <c r="L718" s="77"/>
      <c r="M718" s="77"/>
      <c r="N718" s="77"/>
      <c r="O718" s="77"/>
      <c r="R718" s="77"/>
      <c r="V718" s="77"/>
      <c r="Y718" s="77"/>
    </row>
    <row r="719" spans="2:25" x14ac:dyDescent="0.2">
      <c r="B719" s="77"/>
      <c r="C719" s="77"/>
      <c r="D719" s="77"/>
      <c r="E719" s="77"/>
      <c r="F719" s="77"/>
      <c r="G719" s="77"/>
      <c r="H719" s="77"/>
      <c r="I719" s="77"/>
      <c r="J719" s="77"/>
      <c r="K719" s="77"/>
      <c r="L719" s="77"/>
      <c r="M719" s="77"/>
      <c r="N719" s="77"/>
      <c r="O719" s="77"/>
      <c r="R719" s="77"/>
      <c r="V719" s="77"/>
      <c r="Y719" s="77"/>
    </row>
    <row r="720" spans="2:25" x14ac:dyDescent="0.2">
      <c r="B720" s="77"/>
      <c r="C720" s="77"/>
      <c r="D720" s="77"/>
      <c r="E720" s="77"/>
      <c r="F720" s="77"/>
      <c r="G720" s="77"/>
      <c r="H720" s="77"/>
      <c r="I720" s="77"/>
      <c r="J720" s="77"/>
      <c r="K720" s="77"/>
      <c r="L720" s="77"/>
      <c r="M720" s="77"/>
      <c r="N720" s="77"/>
      <c r="O720" s="77"/>
      <c r="R720" s="77"/>
      <c r="V720" s="77"/>
      <c r="Y720" s="77"/>
    </row>
    <row r="721" spans="2:25" x14ac:dyDescent="0.2">
      <c r="B721" s="77"/>
      <c r="C721" s="77"/>
      <c r="D721" s="77"/>
      <c r="E721" s="77"/>
      <c r="F721" s="77"/>
      <c r="G721" s="77"/>
      <c r="H721" s="77"/>
      <c r="I721" s="77"/>
      <c r="J721" s="77"/>
      <c r="K721" s="77"/>
      <c r="L721" s="77"/>
      <c r="M721" s="77"/>
      <c r="N721" s="77"/>
      <c r="O721" s="77"/>
      <c r="R721" s="77"/>
      <c r="V721" s="77"/>
      <c r="Y721" s="77"/>
    </row>
    <row r="722" spans="2:25" x14ac:dyDescent="0.2">
      <c r="B722" s="77"/>
      <c r="C722" s="77"/>
      <c r="D722" s="77"/>
      <c r="E722" s="77"/>
      <c r="F722" s="77"/>
      <c r="G722" s="77"/>
      <c r="H722" s="77"/>
      <c r="I722" s="77"/>
      <c r="J722" s="77"/>
      <c r="K722" s="77"/>
      <c r="L722" s="77"/>
      <c r="M722" s="77"/>
      <c r="N722" s="77"/>
      <c r="O722" s="77"/>
      <c r="R722" s="77"/>
      <c r="V722" s="77"/>
      <c r="Y722" s="77"/>
    </row>
    <row r="723" spans="2:25" x14ac:dyDescent="0.2">
      <c r="B723" s="77"/>
      <c r="C723" s="77"/>
      <c r="D723" s="77"/>
      <c r="E723" s="77"/>
      <c r="F723" s="77"/>
      <c r="G723" s="77"/>
      <c r="H723" s="77"/>
      <c r="I723" s="77"/>
      <c r="J723" s="77"/>
      <c r="K723" s="77"/>
      <c r="L723" s="77"/>
      <c r="M723" s="77"/>
      <c r="N723" s="77"/>
      <c r="O723" s="77"/>
      <c r="R723" s="77"/>
      <c r="V723" s="77"/>
      <c r="Y723" s="77"/>
    </row>
    <row r="724" spans="2:25" x14ac:dyDescent="0.2">
      <c r="B724" s="77"/>
      <c r="C724" s="77"/>
      <c r="D724" s="77"/>
      <c r="E724" s="77"/>
      <c r="F724" s="77"/>
      <c r="G724" s="77"/>
      <c r="H724" s="77"/>
      <c r="I724" s="77"/>
      <c r="J724" s="77"/>
      <c r="K724" s="77"/>
      <c r="L724" s="77"/>
      <c r="M724" s="77"/>
      <c r="N724" s="77"/>
      <c r="O724" s="77"/>
      <c r="R724" s="77"/>
      <c r="V724" s="77"/>
      <c r="Y724" s="77"/>
    </row>
    <row r="725" spans="2:25" x14ac:dyDescent="0.2">
      <c r="B725" s="77"/>
      <c r="C725" s="77"/>
      <c r="D725" s="77"/>
      <c r="E725" s="77"/>
      <c r="F725" s="77"/>
      <c r="G725" s="77"/>
      <c r="H725" s="77"/>
      <c r="I725" s="77"/>
      <c r="J725" s="77"/>
      <c r="K725" s="77"/>
      <c r="L725" s="77"/>
      <c r="M725" s="77"/>
      <c r="N725" s="77"/>
      <c r="O725" s="77"/>
      <c r="R725" s="77"/>
      <c r="V725" s="77"/>
      <c r="Y725" s="77"/>
    </row>
    <row r="726" spans="2:25" x14ac:dyDescent="0.2">
      <c r="B726" s="77"/>
      <c r="C726" s="77"/>
      <c r="D726" s="77"/>
      <c r="E726" s="77"/>
      <c r="F726" s="77"/>
      <c r="G726" s="77"/>
      <c r="H726" s="77"/>
      <c r="I726" s="77"/>
      <c r="J726" s="77"/>
      <c r="K726" s="77"/>
      <c r="L726" s="77"/>
      <c r="M726" s="77"/>
      <c r="N726" s="77"/>
      <c r="O726" s="77"/>
      <c r="R726" s="77"/>
      <c r="V726" s="77"/>
      <c r="Y726" s="77"/>
    </row>
    <row r="727" spans="2:25" x14ac:dyDescent="0.2">
      <c r="B727" s="77"/>
      <c r="C727" s="77"/>
      <c r="D727" s="77"/>
      <c r="E727" s="77"/>
      <c r="F727" s="77"/>
      <c r="G727" s="77"/>
      <c r="H727" s="77"/>
      <c r="I727" s="77"/>
      <c r="J727" s="77"/>
      <c r="K727" s="77"/>
      <c r="L727" s="77"/>
      <c r="M727" s="77"/>
      <c r="N727" s="77"/>
      <c r="O727" s="77"/>
      <c r="R727" s="77"/>
      <c r="V727" s="77"/>
      <c r="Y727" s="77"/>
    </row>
    <row r="728" spans="2:25" x14ac:dyDescent="0.2">
      <c r="B728" s="77"/>
      <c r="C728" s="77"/>
      <c r="D728" s="77"/>
      <c r="E728" s="77"/>
      <c r="F728" s="77"/>
      <c r="G728" s="77"/>
      <c r="H728" s="77"/>
      <c r="I728" s="77"/>
      <c r="J728" s="77"/>
      <c r="K728" s="77"/>
      <c r="L728" s="77"/>
      <c r="M728" s="77"/>
      <c r="N728" s="77"/>
      <c r="O728" s="77"/>
      <c r="R728" s="77"/>
      <c r="V728" s="77"/>
      <c r="Y728" s="77"/>
    </row>
    <row r="729" spans="2:25" x14ac:dyDescent="0.2">
      <c r="B729" s="77"/>
      <c r="C729" s="77"/>
      <c r="D729" s="77"/>
      <c r="E729" s="77"/>
      <c r="F729" s="77"/>
      <c r="G729" s="77"/>
      <c r="H729" s="77"/>
      <c r="I729" s="77"/>
      <c r="J729" s="77"/>
      <c r="K729" s="77"/>
      <c r="L729" s="77"/>
      <c r="M729" s="77"/>
      <c r="N729" s="77"/>
      <c r="O729" s="77"/>
      <c r="R729" s="77"/>
      <c r="V729" s="77"/>
      <c r="Y729" s="77"/>
    </row>
    <row r="730" spans="2:25" x14ac:dyDescent="0.2">
      <c r="B730" s="77"/>
      <c r="C730" s="77"/>
      <c r="D730" s="77"/>
      <c r="E730" s="77"/>
      <c r="F730" s="77"/>
      <c r="G730" s="77"/>
      <c r="H730" s="77"/>
      <c r="I730" s="77"/>
      <c r="J730" s="77"/>
      <c r="K730" s="77"/>
      <c r="L730" s="77"/>
      <c r="M730" s="77"/>
      <c r="N730" s="77"/>
      <c r="O730" s="77"/>
      <c r="R730" s="77"/>
      <c r="V730" s="77"/>
      <c r="Y730" s="77"/>
    </row>
    <row r="731" spans="2:25" x14ac:dyDescent="0.2">
      <c r="B731" s="77"/>
      <c r="C731" s="77"/>
      <c r="D731" s="77"/>
      <c r="E731" s="77"/>
      <c r="F731" s="77"/>
      <c r="G731" s="77"/>
      <c r="H731" s="77"/>
      <c r="I731" s="77"/>
      <c r="J731" s="77"/>
      <c r="K731" s="77"/>
      <c r="L731" s="77"/>
      <c r="M731" s="77"/>
      <c r="N731" s="77"/>
      <c r="O731" s="77"/>
      <c r="R731" s="77"/>
      <c r="V731" s="77"/>
      <c r="Y731" s="77"/>
    </row>
    <row r="732" spans="2:25" x14ac:dyDescent="0.2">
      <c r="B732" s="77"/>
      <c r="C732" s="77"/>
      <c r="D732" s="77"/>
      <c r="E732" s="77"/>
      <c r="F732" s="77"/>
      <c r="G732" s="77"/>
      <c r="H732" s="77"/>
      <c r="I732" s="77"/>
      <c r="J732" s="77"/>
      <c r="K732" s="77"/>
      <c r="L732" s="77"/>
      <c r="M732" s="77"/>
      <c r="N732" s="77"/>
      <c r="O732" s="77"/>
      <c r="R732" s="77"/>
      <c r="V732" s="77"/>
      <c r="Y732" s="77"/>
    </row>
    <row r="733" spans="2:25" x14ac:dyDescent="0.2">
      <c r="B733" s="77"/>
      <c r="C733" s="77"/>
      <c r="D733" s="77"/>
      <c r="E733" s="77"/>
      <c r="F733" s="77"/>
      <c r="G733" s="77"/>
      <c r="H733" s="77"/>
      <c r="I733" s="77"/>
      <c r="J733" s="77"/>
      <c r="K733" s="77"/>
      <c r="L733" s="77"/>
      <c r="M733" s="77"/>
      <c r="N733" s="77"/>
      <c r="O733" s="77"/>
      <c r="R733" s="77"/>
      <c r="V733" s="77"/>
      <c r="Y733" s="77"/>
    </row>
    <row r="734" spans="2:25" x14ac:dyDescent="0.2">
      <c r="B734" s="77"/>
      <c r="C734" s="77"/>
      <c r="D734" s="77"/>
      <c r="E734" s="77"/>
      <c r="F734" s="77"/>
      <c r="G734" s="77"/>
      <c r="H734" s="77"/>
      <c r="I734" s="77"/>
      <c r="J734" s="77"/>
      <c r="K734" s="77"/>
      <c r="L734" s="77"/>
      <c r="M734" s="77"/>
      <c r="N734" s="77"/>
      <c r="O734" s="77"/>
      <c r="R734" s="77"/>
      <c r="V734" s="77"/>
      <c r="Y734" s="77"/>
    </row>
    <row r="735" spans="2:25" x14ac:dyDescent="0.2">
      <c r="B735" s="77"/>
      <c r="C735" s="77"/>
      <c r="D735" s="77"/>
      <c r="E735" s="77"/>
      <c r="F735" s="77"/>
      <c r="G735" s="77"/>
      <c r="H735" s="77"/>
      <c r="I735" s="77"/>
      <c r="J735" s="77"/>
      <c r="K735" s="77"/>
      <c r="L735" s="77"/>
      <c r="M735" s="77"/>
      <c r="N735" s="77"/>
      <c r="O735" s="77"/>
      <c r="R735" s="77"/>
      <c r="V735" s="77"/>
      <c r="Y735" s="77"/>
    </row>
    <row r="736" spans="2:25" x14ac:dyDescent="0.2">
      <c r="B736" s="77"/>
      <c r="C736" s="77"/>
      <c r="D736" s="77"/>
      <c r="E736" s="77"/>
      <c r="F736" s="77"/>
      <c r="G736" s="77"/>
      <c r="H736" s="77"/>
      <c r="I736" s="77"/>
      <c r="J736" s="77"/>
      <c r="K736" s="77"/>
      <c r="L736" s="77"/>
      <c r="M736" s="77"/>
      <c r="N736" s="77"/>
      <c r="O736" s="77"/>
      <c r="R736" s="77"/>
      <c r="V736" s="77"/>
      <c r="Y736" s="77"/>
    </row>
    <row r="737" spans="2:25" x14ac:dyDescent="0.2">
      <c r="B737" s="77"/>
      <c r="C737" s="77"/>
      <c r="D737" s="77"/>
      <c r="E737" s="77"/>
      <c r="F737" s="77"/>
      <c r="G737" s="77"/>
      <c r="H737" s="77"/>
      <c r="I737" s="77"/>
      <c r="J737" s="77"/>
      <c r="K737" s="77"/>
      <c r="L737" s="77"/>
      <c r="M737" s="77"/>
      <c r="N737" s="77"/>
      <c r="O737" s="77"/>
      <c r="R737" s="77"/>
      <c r="V737" s="77"/>
      <c r="Y737" s="77"/>
    </row>
    <row r="738" spans="2:25" x14ac:dyDescent="0.2">
      <c r="B738" s="77"/>
      <c r="C738" s="77"/>
      <c r="D738" s="77"/>
      <c r="E738" s="77"/>
      <c r="F738" s="77"/>
      <c r="G738" s="77"/>
      <c r="H738" s="77"/>
      <c r="I738" s="77"/>
      <c r="J738" s="77"/>
      <c r="K738" s="77"/>
      <c r="L738" s="77"/>
      <c r="M738" s="77"/>
      <c r="N738" s="77"/>
      <c r="O738" s="77"/>
      <c r="R738" s="77"/>
      <c r="V738" s="77"/>
      <c r="Y738" s="77"/>
    </row>
    <row r="739" spans="2:25" x14ac:dyDescent="0.2">
      <c r="B739" s="77"/>
      <c r="C739" s="77"/>
      <c r="D739" s="77"/>
      <c r="E739" s="77"/>
      <c r="F739" s="77"/>
      <c r="G739" s="77"/>
      <c r="H739" s="77"/>
      <c r="I739" s="77"/>
      <c r="J739" s="77"/>
      <c r="K739" s="77"/>
      <c r="L739" s="77"/>
      <c r="M739" s="77"/>
      <c r="N739" s="77"/>
      <c r="O739" s="77"/>
      <c r="R739" s="77"/>
      <c r="V739" s="77"/>
      <c r="Y739" s="77"/>
    </row>
    <row r="740" spans="2:25" x14ac:dyDescent="0.2">
      <c r="B740" s="77"/>
      <c r="C740" s="77"/>
      <c r="D740" s="77"/>
      <c r="E740" s="77"/>
      <c r="F740" s="77"/>
      <c r="G740" s="77"/>
      <c r="H740" s="77"/>
      <c r="I740" s="77"/>
      <c r="J740" s="77"/>
      <c r="K740" s="77"/>
      <c r="L740" s="77"/>
      <c r="M740" s="77"/>
      <c r="N740" s="77"/>
      <c r="O740" s="77"/>
      <c r="R740" s="77"/>
      <c r="V740" s="77"/>
      <c r="Y740" s="77"/>
    </row>
    <row r="741" spans="2:25" x14ac:dyDescent="0.2">
      <c r="B741" s="77"/>
      <c r="C741" s="77"/>
      <c r="D741" s="77"/>
      <c r="E741" s="77"/>
      <c r="F741" s="77"/>
      <c r="G741" s="77"/>
      <c r="H741" s="77"/>
      <c r="I741" s="77"/>
      <c r="J741" s="77"/>
      <c r="K741" s="77"/>
      <c r="L741" s="77"/>
      <c r="M741" s="77"/>
      <c r="N741" s="77"/>
      <c r="O741" s="77"/>
      <c r="R741" s="77"/>
      <c r="V741" s="77"/>
      <c r="Y741" s="77"/>
    </row>
    <row r="742" spans="2:25" x14ac:dyDescent="0.2">
      <c r="B742" s="77"/>
      <c r="C742" s="77"/>
      <c r="D742" s="77"/>
      <c r="E742" s="77"/>
      <c r="F742" s="77"/>
      <c r="G742" s="77"/>
      <c r="H742" s="77"/>
      <c r="I742" s="77"/>
      <c r="J742" s="77"/>
      <c r="K742" s="77"/>
      <c r="L742" s="77"/>
      <c r="M742" s="77"/>
      <c r="N742" s="77"/>
      <c r="O742" s="77"/>
      <c r="R742" s="77"/>
      <c r="V742" s="77"/>
      <c r="Y742" s="77"/>
    </row>
    <row r="743" spans="2:25" x14ac:dyDescent="0.2">
      <c r="B743" s="77"/>
      <c r="C743" s="77"/>
      <c r="D743" s="77"/>
      <c r="E743" s="77"/>
      <c r="F743" s="77"/>
      <c r="G743" s="77"/>
      <c r="H743" s="77"/>
      <c r="I743" s="77"/>
      <c r="J743" s="77"/>
      <c r="K743" s="77"/>
      <c r="L743" s="77"/>
      <c r="M743" s="77"/>
      <c r="N743" s="77"/>
      <c r="O743" s="77"/>
      <c r="R743" s="77"/>
      <c r="V743" s="77"/>
      <c r="Y743" s="77"/>
    </row>
    <row r="744" spans="2:25" x14ac:dyDescent="0.2">
      <c r="B744" s="77"/>
      <c r="C744" s="77"/>
      <c r="D744" s="77"/>
      <c r="E744" s="77"/>
      <c r="F744" s="77"/>
      <c r="G744" s="77"/>
      <c r="H744" s="77"/>
      <c r="I744" s="77"/>
      <c r="J744" s="77"/>
      <c r="K744" s="77"/>
      <c r="L744" s="77"/>
      <c r="M744" s="77"/>
      <c r="N744" s="77"/>
      <c r="O744" s="77"/>
      <c r="R744" s="77"/>
      <c r="V744" s="77"/>
      <c r="Y744" s="77"/>
    </row>
    <row r="745" spans="2:25" x14ac:dyDescent="0.2">
      <c r="B745" s="77"/>
      <c r="C745" s="77"/>
      <c r="D745" s="77"/>
      <c r="E745" s="77"/>
      <c r="F745" s="77"/>
      <c r="G745" s="77"/>
      <c r="H745" s="77"/>
      <c r="I745" s="77"/>
      <c r="J745" s="77"/>
      <c r="K745" s="77"/>
      <c r="L745" s="77"/>
      <c r="M745" s="77"/>
      <c r="N745" s="77"/>
      <c r="O745" s="77"/>
      <c r="R745" s="77"/>
      <c r="V745" s="77"/>
      <c r="Y745" s="77"/>
    </row>
    <row r="746" spans="2:25" x14ac:dyDescent="0.2">
      <c r="B746" s="77"/>
      <c r="C746" s="77"/>
      <c r="D746" s="77"/>
      <c r="E746" s="77"/>
      <c r="F746" s="77"/>
      <c r="G746" s="77"/>
      <c r="H746" s="77"/>
      <c r="I746" s="77"/>
      <c r="J746" s="77"/>
      <c r="K746" s="77"/>
      <c r="L746" s="77"/>
      <c r="M746" s="77"/>
      <c r="N746" s="77"/>
      <c r="O746" s="77"/>
      <c r="R746" s="77"/>
      <c r="V746" s="77"/>
      <c r="Y746" s="77"/>
    </row>
    <row r="747" spans="2:25" x14ac:dyDescent="0.2">
      <c r="B747" s="77"/>
      <c r="C747" s="77"/>
      <c r="D747" s="77"/>
      <c r="E747" s="77"/>
      <c r="F747" s="77"/>
      <c r="G747" s="77"/>
      <c r="H747" s="77"/>
      <c r="I747" s="77"/>
      <c r="J747" s="77"/>
      <c r="K747" s="77"/>
      <c r="L747" s="77"/>
      <c r="M747" s="77"/>
      <c r="N747" s="77"/>
      <c r="O747" s="77"/>
      <c r="R747" s="77"/>
      <c r="V747" s="77"/>
      <c r="Y747" s="77"/>
    </row>
    <row r="748" spans="2:25" x14ac:dyDescent="0.2">
      <c r="B748" s="77"/>
      <c r="C748" s="77"/>
      <c r="D748" s="77"/>
      <c r="E748" s="77"/>
      <c r="F748" s="77"/>
      <c r="G748" s="77"/>
      <c r="H748" s="77"/>
      <c r="I748" s="77"/>
      <c r="J748" s="77"/>
      <c r="K748" s="77"/>
      <c r="L748" s="77"/>
      <c r="M748" s="77"/>
      <c r="N748" s="77"/>
      <c r="O748" s="77"/>
      <c r="R748" s="77"/>
      <c r="V748" s="77"/>
      <c r="Y748" s="77"/>
    </row>
    <row r="749" spans="2:25" x14ac:dyDescent="0.2">
      <c r="B749" s="77"/>
      <c r="C749" s="77"/>
      <c r="D749" s="77"/>
      <c r="E749" s="77"/>
      <c r="F749" s="77"/>
      <c r="G749" s="77"/>
      <c r="H749" s="77"/>
      <c r="I749" s="77"/>
      <c r="J749" s="77"/>
      <c r="K749" s="77"/>
      <c r="L749" s="77"/>
      <c r="M749" s="77"/>
      <c r="N749" s="77"/>
      <c r="O749" s="77"/>
      <c r="R749" s="77"/>
      <c r="V749" s="77"/>
      <c r="Y749" s="77"/>
    </row>
    <row r="750" spans="2:25" x14ac:dyDescent="0.2">
      <c r="B750" s="77"/>
      <c r="C750" s="77"/>
      <c r="D750" s="77"/>
      <c r="E750" s="77"/>
      <c r="F750" s="77"/>
      <c r="G750" s="77"/>
      <c r="H750" s="77"/>
      <c r="I750" s="77"/>
      <c r="J750" s="77"/>
      <c r="K750" s="77"/>
      <c r="L750" s="77"/>
      <c r="M750" s="77"/>
      <c r="N750" s="77"/>
      <c r="O750" s="77"/>
      <c r="R750" s="77"/>
      <c r="V750" s="77"/>
      <c r="Y750" s="77"/>
    </row>
    <row r="751" spans="2:25" x14ac:dyDescent="0.2">
      <c r="B751" s="77"/>
      <c r="C751" s="77"/>
      <c r="D751" s="77"/>
      <c r="E751" s="77"/>
      <c r="F751" s="77"/>
      <c r="G751" s="77"/>
      <c r="H751" s="77"/>
      <c r="I751" s="77"/>
      <c r="J751" s="77"/>
      <c r="K751" s="77"/>
      <c r="L751" s="77"/>
      <c r="M751" s="77"/>
      <c r="N751" s="77"/>
      <c r="O751" s="77"/>
      <c r="R751" s="77"/>
      <c r="V751" s="77"/>
      <c r="Y751" s="77"/>
    </row>
    <row r="752" spans="2:25" x14ac:dyDescent="0.2">
      <c r="B752" s="77"/>
      <c r="C752" s="77"/>
      <c r="D752" s="77"/>
      <c r="E752" s="77"/>
      <c r="F752" s="77"/>
      <c r="G752" s="77"/>
      <c r="H752" s="77"/>
      <c r="I752" s="77"/>
      <c r="J752" s="77"/>
      <c r="K752" s="77"/>
      <c r="L752" s="77"/>
      <c r="M752" s="77"/>
      <c r="N752" s="77"/>
      <c r="O752" s="77"/>
      <c r="R752" s="77"/>
      <c r="V752" s="77"/>
      <c r="Y752" s="77"/>
    </row>
    <row r="753" spans="2:25" x14ac:dyDescent="0.2">
      <c r="B753" s="77"/>
      <c r="C753" s="77"/>
      <c r="D753" s="77"/>
      <c r="E753" s="77"/>
      <c r="F753" s="77"/>
      <c r="G753" s="77"/>
      <c r="H753" s="77"/>
      <c r="I753" s="77"/>
      <c r="J753" s="77"/>
      <c r="K753" s="77"/>
      <c r="L753" s="77"/>
      <c r="M753" s="77"/>
      <c r="N753" s="77"/>
      <c r="O753" s="77"/>
      <c r="R753" s="77"/>
      <c r="V753" s="77"/>
      <c r="Y753" s="77"/>
    </row>
    <row r="754" spans="2:25" x14ac:dyDescent="0.2">
      <c r="B754" s="77"/>
      <c r="C754" s="77"/>
      <c r="D754" s="77"/>
      <c r="E754" s="77"/>
      <c r="F754" s="77"/>
      <c r="G754" s="77"/>
      <c r="H754" s="77"/>
      <c r="I754" s="77"/>
      <c r="J754" s="77"/>
      <c r="K754" s="77"/>
      <c r="L754" s="77"/>
      <c r="M754" s="77"/>
      <c r="N754" s="77"/>
      <c r="O754" s="77"/>
      <c r="R754" s="77"/>
      <c r="V754" s="77"/>
      <c r="Y754" s="77"/>
    </row>
    <row r="755" spans="2:25" x14ac:dyDescent="0.2">
      <c r="B755" s="77"/>
      <c r="C755" s="77"/>
      <c r="D755" s="77"/>
      <c r="E755" s="77"/>
      <c r="F755" s="77"/>
      <c r="G755" s="77"/>
      <c r="H755" s="77"/>
      <c r="I755" s="77"/>
      <c r="J755" s="77"/>
      <c r="K755" s="77"/>
      <c r="L755" s="77"/>
      <c r="M755" s="77"/>
      <c r="N755" s="77"/>
      <c r="O755" s="77"/>
      <c r="R755" s="77"/>
      <c r="V755" s="77"/>
      <c r="Y755" s="77"/>
    </row>
    <row r="756" spans="2:25" x14ac:dyDescent="0.2">
      <c r="B756" s="77"/>
      <c r="C756" s="77"/>
      <c r="D756" s="77"/>
      <c r="E756" s="77"/>
      <c r="F756" s="77"/>
      <c r="G756" s="77"/>
      <c r="H756" s="77"/>
      <c r="I756" s="77"/>
      <c r="J756" s="77"/>
      <c r="K756" s="77"/>
      <c r="L756" s="77"/>
      <c r="M756" s="77"/>
      <c r="N756" s="77"/>
      <c r="O756" s="77"/>
      <c r="R756" s="77"/>
      <c r="V756" s="77"/>
      <c r="Y756" s="77"/>
    </row>
    <row r="757" spans="2:25" x14ac:dyDescent="0.2">
      <c r="B757" s="77"/>
      <c r="C757" s="77"/>
      <c r="D757" s="77"/>
      <c r="E757" s="77"/>
      <c r="F757" s="77"/>
      <c r="G757" s="77"/>
      <c r="H757" s="77"/>
      <c r="I757" s="77"/>
      <c r="J757" s="77"/>
      <c r="K757" s="77"/>
      <c r="L757" s="77"/>
      <c r="M757" s="77"/>
      <c r="N757" s="77"/>
      <c r="O757" s="77"/>
      <c r="R757" s="77"/>
      <c r="V757" s="77"/>
      <c r="Y757" s="77"/>
    </row>
    <row r="758" spans="2:25" x14ac:dyDescent="0.2">
      <c r="B758" s="77"/>
      <c r="C758" s="77"/>
      <c r="D758" s="77"/>
      <c r="E758" s="77"/>
      <c r="F758" s="77"/>
      <c r="G758" s="77"/>
      <c r="H758" s="77"/>
      <c r="I758" s="77"/>
      <c r="J758" s="77"/>
      <c r="K758" s="77"/>
      <c r="L758" s="77"/>
      <c r="M758" s="77"/>
      <c r="N758" s="77"/>
      <c r="O758" s="77"/>
      <c r="R758" s="77"/>
      <c r="V758" s="77"/>
      <c r="Y758" s="77"/>
    </row>
    <row r="759" spans="2:25" x14ac:dyDescent="0.2">
      <c r="B759" s="77"/>
      <c r="C759" s="77"/>
      <c r="D759" s="77"/>
      <c r="E759" s="77"/>
      <c r="F759" s="77"/>
      <c r="G759" s="77"/>
      <c r="H759" s="77"/>
      <c r="I759" s="77"/>
      <c r="J759" s="77"/>
      <c r="K759" s="77"/>
      <c r="L759" s="77"/>
      <c r="M759" s="77"/>
      <c r="N759" s="77"/>
      <c r="O759" s="77"/>
      <c r="R759" s="77"/>
      <c r="V759" s="77"/>
      <c r="Y759" s="77"/>
    </row>
    <row r="760" spans="2:25" x14ac:dyDescent="0.2">
      <c r="B760" s="77"/>
      <c r="C760" s="77"/>
      <c r="D760" s="77"/>
      <c r="E760" s="77"/>
      <c r="F760" s="77"/>
      <c r="G760" s="77"/>
      <c r="H760" s="77"/>
      <c r="I760" s="77"/>
      <c r="J760" s="77"/>
      <c r="K760" s="77"/>
      <c r="L760" s="77"/>
      <c r="M760" s="77"/>
      <c r="N760" s="77"/>
      <c r="O760" s="77"/>
      <c r="R760" s="77"/>
      <c r="V760" s="77"/>
      <c r="Y760" s="77"/>
    </row>
    <row r="761" spans="2:25" x14ac:dyDescent="0.2">
      <c r="B761" s="77"/>
      <c r="C761" s="77"/>
      <c r="D761" s="77"/>
      <c r="E761" s="77"/>
      <c r="F761" s="77"/>
      <c r="G761" s="77"/>
      <c r="H761" s="77"/>
      <c r="I761" s="77"/>
      <c r="J761" s="77"/>
      <c r="K761" s="77"/>
      <c r="L761" s="77"/>
      <c r="M761" s="77"/>
      <c r="N761" s="77"/>
      <c r="O761" s="77"/>
      <c r="R761" s="77"/>
      <c r="V761" s="77"/>
      <c r="Y761" s="77"/>
    </row>
    <row r="762" spans="2:25" x14ac:dyDescent="0.2">
      <c r="B762" s="77"/>
      <c r="C762" s="77"/>
      <c r="D762" s="77"/>
      <c r="E762" s="77"/>
      <c r="F762" s="77"/>
      <c r="G762" s="77"/>
      <c r="H762" s="77"/>
      <c r="I762" s="77"/>
      <c r="J762" s="77"/>
      <c r="K762" s="77"/>
      <c r="L762" s="77"/>
      <c r="M762" s="77"/>
      <c r="N762" s="77"/>
      <c r="O762" s="77"/>
      <c r="R762" s="77"/>
      <c r="V762" s="77"/>
      <c r="Y762" s="77"/>
    </row>
    <row r="763" spans="2:25" x14ac:dyDescent="0.2">
      <c r="B763" s="77"/>
      <c r="C763" s="77"/>
      <c r="D763" s="77"/>
      <c r="E763" s="77"/>
      <c r="F763" s="77"/>
      <c r="G763" s="77"/>
      <c r="H763" s="77"/>
      <c r="I763" s="77"/>
      <c r="J763" s="77"/>
      <c r="K763" s="77"/>
      <c r="L763" s="77"/>
      <c r="M763" s="77"/>
      <c r="N763" s="77"/>
      <c r="O763" s="77"/>
      <c r="R763" s="77"/>
      <c r="V763" s="77"/>
      <c r="Y763" s="77"/>
    </row>
    <row r="764" spans="2:25" x14ac:dyDescent="0.2">
      <c r="B764" s="77"/>
      <c r="C764" s="77"/>
      <c r="D764" s="77"/>
      <c r="E764" s="77"/>
      <c r="F764" s="77"/>
      <c r="G764" s="77"/>
      <c r="H764" s="77"/>
      <c r="I764" s="77"/>
      <c r="J764" s="77"/>
      <c r="K764" s="77"/>
      <c r="L764" s="77"/>
      <c r="M764" s="77"/>
      <c r="N764" s="77"/>
      <c r="O764" s="77"/>
      <c r="R764" s="77"/>
      <c r="V764" s="77"/>
      <c r="Y764" s="77"/>
    </row>
    <row r="765" spans="2:25" x14ac:dyDescent="0.2">
      <c r="B765" s="77"/>
      <c r="C765" s="77"/>
      <c r="D765" s="77"/>
      <c r="E765" s="77"/>
      <c r="F765" s="77"/>
      <c r="G765" s="77"/>
      <c r="H765" s="77"/>
      <c r="I765" s="77"/>
      <c r="J765" s="77"/>
      <c r="K765" s="77"/>
      <c r="L765" s="77"/>
      <c r="M765" s="77"/>
      <c r="N765" s="77"/>
      <c r="O765" s="77"/>
      <c r="R765" s="77"/>
      <c r="V765" s="77"/>
      <c r="Y765" s="77"/>
    </row>
    <row r="766" spans="2:25" x14ac:dyDescent="0.2">
      <c r="B766" s="77"/>
      <c r="C766" s="77"/>
      <c r="D766" s="77"/>
      <c r="E766" s="77"/>
      <c r="F766" s="77"/>
      <c r="G766" s="77"/>
      <c r="H766" s="77"/>
      <c r="I766" s="77"/>
      <c r="J766" s="77"/>
      <c r="K766" s="77"/>
      <c r="L766" s="77"/>
      <c r="M766" s="77"/>
      <c r="N766" s="77"/>
      <c r="O766" s="77"/>
      <c r="R766" s="77"/>
      <c r="V766" s="77"/>
      <c r="Y766" s="77"/>
    </row>
    <row r="767" spans="2:25" x14ac:dyDescent="0.2">
      <c r="B767" s="77"/>
      <c r="C767" s="77"/>
      <c r="D767" s="77"/>
      <c r="E767" s="77"/>
      <c r="F767" s="77"/>
      <c r="G767" s="77"/>
      <c r="H767" s="77"/>
      <c r="I767" s="77"/>
      <c r="J767" s="77"/>
      <c r="K767" s="77"/>
      <c r="L767" s="77"/>
      <c r="M767" s="77"/>
      <c r="N767" s="77"/>
      <c r="O767" s="77"/>
      <c r="R767" s="77"/>
      <c r="V767" s="77"/>
      <c r="Y767" s="77"/>
    </row>
    <row r="768" spans="2:25" x14ac:dyDescent="0.2">
      <c r="B768" s="77"/>
      <c r="C768" s="77"/>
      <c r="D768" s="77"/>
      <c r="E768" s="77"/>
      <c r="F768" s="77"/>
      <c r="G768" s="77"/>
      <c r="H768" s="77"/>
      <c r="I768" s="77"/>
      <c r="J768" s="77"/>
      <c r="K768" s="77"/>
      <c r="L768" s="77"/>
      <c r="M768" s="77"/>
      <c r="N768" s="77"/>
      <c r="O768" s="77"/>
      <c r="R768" s="77"/>
      <c r="V768" s="77"/>
      <c r="Y768" s="77"/>
    </row>
    <row r="769" spans="2:25" x14ac:dyDescent="0.2">
      <c r="B769" s="77"/>
      <c r="C769" s="77"/>
      <c r="D769" s="77"/>
      <c r="E769" s="77"/>
      <c r="F769" s="77"/>
      <c r="G769" s="77"/>
      <c r="H769" s="77"/>
      <c r="I769" s="77"/>
      <c r="J769" s="77"/>
      <c r="K769" s="77"/>
      <c r="L769" s="77"/>
      <c r="M769" s="77"/>
      <c r="N769" s="77"/>
      <c r="O769" s="77"/>
      <c r="R769" s="77"/>
      <c r="V769" s="77"/>
      <c r="Y769" s="77"/>
    </row>
    <row r="770" spans="2:25" x14ac:dyDescent="0.2">
      <c r="B770" s="77"/>
      <c r="C770" s="77"/>
      <c r="D770" s="77"/>
      <c r="E770" s="77"/>
      <c r="F770" s="77"/>
      <c r="G770" s="77"/>
      <c r="H770" s="77"/>
      <c r="I770" s="77"/>
      <c r="J770" s="77"/>
      <c r="K770" s="77"/>
      <c r="L770" s="77"/>
      <c r="M770" s="77"/>
      <c r="N770" s="77"/>
      <c r="O770" s="77"/>
      <c r="R770" s="77"/>
      <c r="V770" s="77"/>
      <c r="Y770" s="77"/>
    </row>
    <row r="771" spans="2:25" x14ac:dyDescent="0.2">
      <c r="B771" s="77"/>
      <c r="C771" s="77"/>
      <c r="D771" s="77"/>
      <c r="E771" s="77"/>
      <c r="F771" s="77"/>
      <c r="G771" s="77"/>
      <c r="H771" s="77"/>
      <c r="I771" s="77"/>
      <c r="J771" s="77"/>
      <c r="K771" s="77"/>
      <c r="L771" s="77"/>
      <c r="M771" s="77"/>
      <c r="N771" s="77"/>
      <c r="O771" s="77"/>
      <c r="R771" s="77"/>
      <c r="V771" s="77"/>
      <c r="Y771" s="77"/>
    </row>
    <row r="772" spans="2:25" x14ac:dyDescent="0.2">
      <c r="B772" s="77"/>
      <c r="C772" s="77"/>
      <c r="D772" s="77"/>
      <c r="E772" s="77"/>
      <c r="F772" s="77"/>
      <c r="G772" s="77"/>
      <c r="H772" s="77"/>
      <c r="I772" s="77"/>
      <c r="J772" s="77"/>
      <c r="K772" s="77"/>
      <c r="L772" s="77"/>
      <c r="M772" s="77"/>
      <c r="N772" s="77"/>
      <c r="O772" s="77"/>
      <c r="R772" s="77"/>
      <c r="V772" s="77"/>
      <c r="Y772" s="77"/>
    </row>
    <row r="773" spans="2:25" x14ac:dyDescent="0.2">
      <c r="B773" s="77"/>
      <c r="C773" s="77"/>
      <c r="D773" s="77"/>
      <c r="E773" s="77"/>
      <c r="F773" s="77"/>
      <c r="G773" s="77"/>
      <c r="H773" s="77"/>
      <c r="I773" s="77"/>
      <c r="J773" s="77"/>
      <c r="K773" s="77"/>
      <c r="L773" s="77"/>
      <c r="M773" s="77"/>
      <c r="N773" s="77"/>
      <c r="O773" s="77"/>
      <c r="R773" s="77"/>
      <c r="V773" s="77"/>
      <c r="Y773" s="77"/>
    </row>
    <row r="774" spans="2:25" x14ac:dyDescent="0.2">
      <c r="B774" s="77"/>
      <c r="C774" s="77"/>
      <c r="D774" s="77"/>
      <c r="E774" s="77"/>
      <c r="F774" s="77"/>
      <c r="G774" s="77"/>
      <c r="H774" s="77"/>
      <c r="I774" s="77"/>
      <c r="J774" s="77"/>
      <c r="K774" s="77"/>
      <c r="L774" s="77"/>
      <c r="M774" s="77"/>
      <c r="N774" s="77"/>
      <c r="O774" s="77"/>
      <c r="R774" s="77"/>
      <c r="V774" s="77"/>
      <c r="Y774" s="77"/>
    </row>
    <row r="775" spans="2:25" x14ac:dyDescent="0.2">
      <c r="B775" s="77"/>
      <c r="C775" s="77"/>
      <c r="D775" s="77"/>
      <c r="E775" s="77"/>
      <c r="F775" s="77"/>
      <c r="G775" s="77"/>
      <c r="H775" s="77"/>
      <c r="I775" s="77"/>
      <c r="J775" s="77"/>
      <c r="K775" s="77"/>
      <c r="L775" s="77"/>
      <c r="M775" s="77"/>
      <c r="N775" s="77"/>
      <c r="O775" s="77"/>
      <c r="R775" s="77"/>
      <c r="V775" s="77"/>
      <c r="Y775" s="77"/>
    </row>
    <row r="776" spans="2:25" x14ac:dyDescent="0.2">
      <c r="B776" s="77"/>
      <c r="C776" s="77"/>
      <c r="D776" s="77"/>
      <c r="E776" s="77"/>
      <c r="F776" s="77"/>
      <c r="G776" s="77"/>
      <c r="H776" s="77"/>
      <c r="I776" s="77"/>
      <c r="J776" s="77"/>
      <c r="K776" s="77"/>
      <c r="L776" s="77"/>
      <c r="M776" s="77"/>
      <c r="N776" s="77"/>
      <c r="O776" s="77"/>
      <c r="R776" s="77"/>
      <c r="V776" s="77"/>
      <c r="Y776" s="77"/>
    </row>
    <row r="777" spans="2:25" x14ac:dyDescent="0.2">
      <c r="B777" s="77"/>
      <c r="C777" s="77"/>
      <c r="D777" s="77"/>
      <c r="E777" s="77"/>
      <c r="F777" s="77"/>
      <c r="G777" s="77"/>
      <c r="H777" s="77"/>
      <c r="I777" s="77"/>
      <c r="J777" s="77"/>
      <c r="K777" s="77"/>
      <c r="L777" s="77"/>
      <c r="M777" s="77"/>
      <c r="N777" s="77"/>
      <c r="O777" s="77"/>
      <c r="R777" s="77"/>
      <c r="V777" s="77"/>
      <c r="Y777" s="77"/>
    </row>
    <row r="778" spans="2:25" x14ac:dyDescent="0.2">
      <c r="B778" s="77"/>
      <c r="C778" s="77"/>
      <c r="D778" s="77"/>
      <c r="E778" s="77"/>
      <c r="F778" s="77"/>
      <c r="G778" s="77"/>
      <c r="H778" s="77"/>
      <c r="I778" s="77"/>
      <c r="J778" s="77"/>
      <c r="K778" s="77"/>
      <c r="L778" s="77"/>
      <c r="M778" s="77"/>
      <c r="N778" s="77"/>
      <c r="O778" s="77"/>
      <c r="R778" s="77"/>
      <c r="V778" s="77"/>
      <c r="Y778" s="77"/>
    </row>
    <row r="779" spans="2:25" x14ac:dyDescent="0.2">
      <c r="B779" s="77"/>
      <c r="C779" s="77"/>
      <c r="D779" s="77"/>
      <c r="E779" s="77"/>
      <c r="F779" s="77"/>
      <c r="G779" s="77"/>
      <c r="H779" s="77"/>
      <c r="I779" s="77"/>
      <c r="J779" s="77"/>
      <c r="K779" s="77"/>
      <c r="L779" s="77"/>
      <c r="M779" s="77"/>
      <c r="N779" s="77"/>
      <c r="O779" s="77"/>
      <c r="R779" s="77"/>
      <c r="V779" s="77"/>
      <c r="Y779" s="77"/>
    </row>
    <row r="780" spans="2:25" x14ac:dyDescent="0.2">
      <c r="B780" s="77"/>
      <c r="C780" s="77"/>
      <c r="D780" s="77"/>
      <c r="E780" s="77"/>
      <c r="F780" s="77"/>
      <c r="G780" s="77"/>
      <c r="H780" s="77"/>
      <c r="I780" s="77"/>
      <c r="J780" s="77"/>
      <c r="K780" s="77"/>
      <c r="L780" s="77"/>
      <c r="M780" s="77"/>
      <c r="N780" s="77"/>
      <c r="O780" s="77"/>
      <c r="R780" s="77"/>
      <c r="V780" s="77"/>
      <c r="Y780" s="77"/>
    </row>
    <row r="781" spans="2:25" x14ac:dyDescent="0.2">
      <c r="B781" s="77"/>
      <c r="C781" s="77"/>
      <c r="D781" s="77"/>
      <c r="E781" s="77"/>
      <c r="F781" s="77"/>
      <c r="G781" s="77"/>
      <c r="H781" s="77"/>
      <c r="I781" s="77"/>
      <c r="J781" s="77"/>
      <c r="K781" s="77"/>
      <c r="L781" s="77"/>
      <c r="M781" s="77"/>
      <c r="N781" s="77"/>
      <c r="O781" s="77"/>
      <c r="R781" s="77"/>
      <c r="V781" s="77"/>
      <c r="Y781" s="77"/>
    </row>
    <row r="782" spans="2:25" x14ac:dyDescent="0.2">
      <c r="B782" s="77"/>
      <c r="C782" s="77"/>
      <c r="D782" s="77"/>
      <c r="E782" s="77"/>
      <c r="F782" s="77"/>
      <c r="G782" s="77"/>
      <c r="H782" s="77"/>
      <c r="I782" s="77"/>
      <c r="J782" s="77"/>
      <c r="K782" s="77"/>
      <c r="L782" s="77"/>
      <c r="M782" s="77"/>
      <c r="N782" s="77"/>
      <c r="O782" s="77"/>
      <c r="R782" s="77"/>
      <c r="V782" s="77"/>
      <c r="Y782" s="77"/>
    </row>
    <row r="783" spans="2:25" x14ac:dyDescent="0.2">
      <c r="B783" s="77"/>
      <c r="C783" s="77"/>
      <c r="D783" s="77"/>
      <c r="E783" s="77"/>
      <c r="F783" s="77"/>
      <c r="G783" s="77"/>
      <c r="H783" s="77"/>
      <c r="I783" s="77"/>
      <c r="J783" s="77"/>
      <c r="K783" s="77"/>
      <c r="L783" s="77"/>
      <c r="M783" s="77"/>
      <c r="N783" s="77"/>
      <c r="O783" s="77"/>
      <c r="R783" s="77"/>
      <c r="V783" s="77"/>
      <c r="Y783" s="77"/>
    </row>
    <row r="784" spans="2:25" x14ac:dyDescent="0.2">
      <c r="B784" s="77"/>
      <c r="C784" s="77"/>
      <c r="D784" s="77"/>
      <c r="E784" s="77"/>
      <c r="F784" s="77"/>
      <c r="G784" s="77"/>
      <c r="H784" s="77"/>
      <c r="I784" s="77"/>
      <c r="J784" s="77"/>
      <c r="K784" s="77"/>
      <c r="L784" s="77"/>
      <c r="M784" s="77"/>
      <c r="N784" s="77"/>
      <c r="O784" s="77"/>
      <c r="R784" s="77"/>
      <c r="V784" s="77"/>
      <c r="Y784" s="77"/>
    </row>
    <row r="785" spans="2:25" x14ac:dyDescent="0.2">
      <c r="B785" s="77"/>
      <c r="C785" s="77"/>
      <c r="D785" s="77"/>
      <c r="E785" s="77"/>
      <c r="F785" s="77"/>
      <c r="G785" s="77"/>
      <c r="H785" s="77"/>
      <c r="I785" s="77"/>
      <c r="J785" s="77"/>
      <c r="K785" s="77"/>
      <c r="L785" s="77"/>
      <c r="M785" s="77"/>
      <c r="N785" s="77"/>
      <c r="O785" s="77"/>
      <c r="R785" s="77"/>
      <c r="V785" s="77"/>
      <c r="Y785" s="77"/>
    </row>
    <row r="786" spans="2:25" x14ac:dyDescent="0.2">
      <c r="B786" s="77"/>
      <c r="C786" s="77"/>
      <c r="D786" s="77"/>
      <c r="E786" s="77"/>
      <c r="F786" s="77"/>
      <c r="G786" s="77"/>
      <c r="H786" s="77"/>
      <c r="I786" s="77"/>
      <c r="J786" s="77"/>
      <c r="K786" s="77"/>
      <c r="L786" s="77"/>
      <c r="M786" s="77"/>
      <c r="N786" s="77"/>
      <c r="O786" s="77"/>
      <c r="R786" s="77"/>
      <c r="V786" s="77"/>
      <c r="Y786" s="77"/>
    </row>
    <row r="787" spans="2:25" x14ac:dyDescent="0.2">
      <c r="B787" s="77"/>
      <c r="C787" s="77"/>
      <c r="D787" s="77"/>
      <c r="E787" s="77"/>
      <c r="F787" s="77"/>
      <c r="G787" s="77"/>
      <c r="H787" s="77"/>
      <c r="I787" s="77"/>
      <c r="J787" s="77"/>
      <c r="K787" s="77"/>
      <c r="L787" s="77"/>
      <c r="M787" s="77"/>
      <c r="N787" s="77"/>
      <c r="O787" s="77"/>
      <c r="R787" s="77"/>
      <c r="V787" s="77"/>
      <c r="Y787" s="77"/>
    </row>
    <row r="788" spans="2:25" x14ac:dyDescent="0.2">
      <c r="B788" s="77"/>
      <c r="C788" s="77"/>
      <c r="D788" s="77"/>
      <c r="E788" s="77"/>
      <c r="F788" s="77"/>
      <c r="G788" s="77"/>
      <c r="H788" s="77"/>
      <c r="I788" s="77"/>
      <c r="J788" s="77"/>
      <c r="K788" s="77"/>
      <c r="L788" s="77"/>
      <c r="M788" s="77"/>
      <c r="N788" s="77"/>
      <c r="O788" s="77"/>
      <c r="R788" s="77"/>
      <c r="V788" s="77"/>
      <c r="Y788" s="77"/>
    </row>
    <row r="789" spans="2:25" x14ac:dyDescent="0.2">
      <c r="B789" s="77"/>
      <c r="C789" s="77"/>
      <c r="D789" s="77"/>
      <c r="E789" s="77"/>
      <c r="F789" s="77"/>
      <c r="G789" s="77"/>
      <c r="H789" s="77"/>
      <c r="I789" s="77"/>
      <c r="J789" s="77"/>
      <c r="K789" s="77"/>
      <c r="L789" s="77"/>
      <c r="M789" s="77"/>
      <c r="N789" s="77"/>
      <c r="O789" s="77"/>
      <c r="R789" s="77"/>
      <c r="V789" s="77"/>
      <c r="Y789" s="77"/>
    </row>
    <row r="790" spans="2:25" x14ac:dyDescent="0.2">
      <c r="B790" s="77"/>
      <c r="C790" s="77"/>
      <c r="D790" s="77"/>
      <c r="E790" s="77"/>
      <c r="F790" s="77"/>
      <c r="G790" s="77"/>
      <c r="H790" s="77"/>
      <c r="I790" s="77"/>
      <c r="J790" s="77"/>
      <c r="K790" s="77"/>
      <c r="L790" s="77"/>
      <c r="M790" s="77"/>
      <c r="N790" s="77"/>
      <c r="O790" s="77"/>
      <c r="R790" s="77"/>
      <c r="V790" s="77"/>
      <c r="Y790" s="77"/>
    </row>
    <row r="791" spans="2:25" x14ac:dyDescent="0.2">
      <c r="B791" s="77"/>
      <c r="C791" s="77"/>
      <c r="D791" s="77"/>
      <c r="E791" s="77"/>
      <c r="F791" s="77"/>
      <c r="G791" s="77"/>
      <c r="H791" s="77"/>
      <c r="I791" s="77"/>
      <c r="J791" s="77"/>
      <c r="K791" s="77"/>
      <c r="L791" s="77"/>
      <c r="M791" s="77"/>
      <c r="N791" s="77"/>
      <c r="O791" s="77"/>
      <c r="R791" s="77"/>
      <c r="V791" s="77"/>
      <c r="Y791" s="77"/>
    </row>
    <row r="792" spans="2:25" x14ac:dyDescent="0.2">
      <c r="B792" s="77"/>
      <c r="C792" s="77"/>
      <c r="D792" s="77"/>
      <c r="E792" s="77"/>
      <c r="F792" s="77"/>
      <c r="G792" s="77"/>
      <c r="H792" s="77"/>
      <c r="I792" s="77"/>
      <c r="J792" s="77"/>
      <c r="K792" s="77"/>
      <c r="L792" s="77"/>
      <c r="M792" s="77"/>
      <c r="N792" s="77"/>
      <c r="O792" s="77"/>
      <c r="R792" s="77"/>
      <c r="V792" s="77"/>
      <c r="Y792" s="77"/>
    </row>
    <row r="793" spans="2:25" x14ac:dyDescent="0.2">
      <c r="B793" s="77"/>
      <c r="C793" s="77"/>
      <c r="D793" s="77"/>
      <c r="E793" s="77"/>
      <c r="F793" s="77"/>
      <c r="G793" s="77"/>
      <c r="H793" s="77"/>
      <c r="I793" s="77"/>
      <c r="J793" s="77"/>
      <c r="K793" s="77"/>
      <c r="L793" s="77"/>
      <c r="M793" s="77"/>
      <c r="N793" s="77"/>
      <c r="O793" s="77"/>
      <c r="R793" s="77"/>
      <c r="V793" s="77"/>
      <c r="Y793" s="77"/>
    </row>
    <row r="794" spans="2:25" x14ac:dyDescent="0.2">
      <c r="B794" s="77"/>
      <c r="C794" s="77"/>
      <c r="D794" s="77"/>
      <c r="E794" s="77"/>
      <c r="F794" s="77"/>
      <c r="G794" s="77"/>
      <c r="H794" s="77"/>
      <c r="I794" s="77"/>
      <c r="J794" s="77"/>
      <c r="K794" s="77"/>
      <c r="L794" s="77"/>
      <c r="M794" s="77"/>
      <c r="N794" s="77"/>
      <c r="O794" s="77"/>
      <c r="R794" s="77"/>
      <c r="V794" s="77"/>
      <c r="Y794" s="77"/>
    </row>
    <row r="795" spans="2:25" x14ac:dyDescent="0.2">
      <c r="B795" s="77"/>
      <c r="C795" s="77"/>
      <c r="D795" s="77"/>
      <c r="E795" s="77"/>
      <c r="F795" s="77"/>
      <c r="G795" s="77"/>
      <c r="H795" s="77"/>
      <c r="I795" s="77"/>
      <c r="J795" s="77"/>
      <c r="K795" s="77"/>
      <c r="L795" s="77"/>
      <c r="M795" s="77"/>
      <c r="N795" s="77"/>
      <c r="O795" s="77"/>
      <c r="R795" s="77"/>
      <c r="V795" s="77"/>
      <c r="Y795" s="77"/>
    </row>
    <row r="796" spans="2:25" x14ac:dyDescent="0.2">
      <c r="B796" s="77"/>
      <c r="C796" s="77"/>
      <c r="D796" s="77"/>
      <c r="E796" s="77"/>
      <c r="F796" s="77"/>
      <c r="G796" s="77"/>
      <c r="H796" s="77"/>
      <c r="I796" s="77"/>
      <c r="J796" s="77"/>
      <c r="K796" s="77"/>
      <c r="L796" s="77"/>
      <c r="M796" s="77"/>
      <c r="N796" s="77"/>
      <c r="O796" s="77"/>
      <c r="R796" s="77"/>
      <c r="V796" s="77"/>
      <c r="Y796" s="77"/>
    </row>
    <row r="797" spans="2:25" x14ac:dyDescent="0.2">
      <c r="B797" s="77"/>
      <c r="C797" s="77"/>
      <c r="D797" s="77"/>
      <c r="E797" s="77"/>
      <c r="F797" s="77"/>
      <c r="G797" s="77"/>
      <c r="H797" s="77"/>
      <c r="I797" s="77"/>
      <c r="J797" s="77"/>
      <c r="K797" s="77"/>
      <c r="L797" s="77"/>
      <c r="M797" s="77"/>
      <c r="N797" s="77"/>
      <c r="O797" s="77"/>
      <c r="R797" s="77"/>
      <c r="V797" s="77"/>
      <c r="Y797" s="77"/>
    </row>
    <row r="798" spans="2:25" x14ac:dyDescent="0.2">
      <c r="B798" s="77"/>
      <c r="C798" s="77"/>
      <c r="D798" s="77"/>
      <c r="E798" s="77"/>
      <c r="F798" s="77"/>
      <c r="G798" s="77"/>
      <c r="H798" s="77"/>
      <c r="I798" s="77"/>
      <c r="J798" s="77"/>
      <c r="K798" s="77"/>
      <c r="L798" s="77"/>
      <c r="M798" s="77"/>
      <c r="N798" s="77"/>
      <c r="O798" s="77"/>
      <c r="R798" s="77"/>
      <c r="V798" s="77"/>
      <c r="Y798" s="77"/>
    </row>
    <row r="799" spans="2:25" x14ac:dyDescent="0.2">
      <c r="B799" s="77"/>
      <c r="C799" s="77"/>
      <c r="D799" s="77"/>
      <c r="E799" s="77"/>
      <c r="F799" s="77"/>
      <c r="G799" s="77"/>
      <c r="H799" s="77"/>
      <c r="I799" s="77"/>
      <c r="J799" s="77"/>
      <c r="K799" s="77"/>
      <c r="L799" s="77"/>
      <c r="M799" s="77"/>
      <c r="N799" s="77"/>
      <c r="O799" s="77"/>
      <c r="R799" s="77"/>
      <c r="V799" s="77"/>
      <c r="Y799" s="77"/>
    </row>
    <row r="800" spans="2:25" x14ac:dyDescent="0.2">
      <c r="B800" s="77"/>
      <c r="C800" s="77"/>
      <c r="D800" s="77"/>
      <c r="E800" s="77"/>
      <c r="F800" s="77"/>
      <c r="G800" s="77"/>
      <c r="H800" s="77"/>
      <c r="I800" s="77"/>
      <c r="J800" s="77"/>
      <c r="K800" s="77"/>
      <c r="L800" s="77"/>
      <c r="M800" s="77"/>
      <c r="N800" s="77"/>
      <c r="O800" s="77"/>
      <c r="R800" s="77"/>
      <c r="V800" s="77"/>
      <c r="Y800" s="77"/>
    </row>
    <row r="801" spans="2:25" x14ac:dyDescent="0.2">
      <c r="B801" s="77"/>
      <c r="C801" s="77"/>
      <c r="D801" s="77"/>
      <c r="E801" s="77"/>
      <c r="F801" s="77"/>
      <c r="G801" s="77"/>
      <c r="H801" s="77"/>
      <c r="I801" s="77"/>
      <c r="J801" s="77"/>
      <c r="K801" s="77"/>
      <c r="L801" s="77"/>
      <c r="M801" s="77"/>
      <c r="N801" s="77"/>
      <c r="O801" s="77"/>
      <c r="R801" s="77"/>
      <c r="V801" s="77"/>
      <c r="Y801" s="77"/>
    </row>
    <row r="802" spans="2:25" x14ac:dyDescent="0.2">
      <c r="B802" s="77"/>
      <c r="C802" s="77"/>
      <c r="D802" s="77"/>
      <c r="E802" s="77"/>
      <c r="F802" s="77"/>
      <c r="G802" s="77"/>
      <c r="H802" s="77"/>
      <c r="I802" s="77"/>
      <c r="J802" s="77"/>
      <c r="K802" s="77"/>
      <c r="L802" s="77"/>
      <c r="M802" s="77"/>
      <c r="N802" s="77"/>
      <c r="O802" s="77"/>
      <c r="R802" s="77"/>
      <c r="V802" s="77"/>
      <c r="Y802" s="77"/>
    </row>
    <row r="803" spans="2:25" x14ac:dyDescent="0.2">
      <c r="B803" s="77"/>
      <c r="C803" s="77"/>
      <c r="D803" s="77"/>
      <c r="E803" s="77"/>
      <c r="F803" s="77"/>
      <c r="G803" s="77"/>
      <c r="H803" s="77"/>
      <c r="I803" s="77"/>
      <c r="J803" s="77"/>
      <c r="K803" s="77"/>
      <c r="L803" s="77"/>
      <c r="M803" s="77"/>
      <c r="N803" s="77"/>
      <c r="O803" s="77"/>
      <c r="R803" s="77"/>
      <c r="V803" s="77"/>
      <c r="Y803" s="77"/>
    </row>
    <row r="804" spans="2:25" x14ac:dyDescent="0.2">
      <c r="B804" s="77"/>
      <c r="C804" s="77"/>
      <c r="D804" s="77"/>
      <c r="E804" s="77"/>
      <c r="F804" s="77"/>
      <c r="G804" s="77"/>
      <c r="H804" s="77"/>
      <c r="I804" s="77"/>
      <c r="J804" s="77"/>
      <c r="K804" s="77"/>
      <c r="L804" s="77"/>
      <c r="M804" s="77"/>
      <c r="N804" s="77"/>
      <c r="O804" s="77"/>
      <c r="R804" s="77"/>
      <c r="V804" s="77"/>
      <c r="Y804" s="77"/>
    </row>
    <row r="805" spans="2:25" x14ac:dyDescent="0.2">
      <c r="B805" s="77"/>
      <c r="C805" s="77"/>
      <c r="D805" s="77"/>
      <c r="E805" s="77"/>
      <c r="F805" s="77"/>
      <c r="G805" s="77"/>
      <c r="H805" s="77"/>
      <c r="I805" s="77"/>
      <c r="J805" s="77"/>
      <c r="K805" s="77"/>
      <c r="L805" s="77"/>
      <c r="M805" s="77"/>
      <c r="N805" s="77"/>
      <c r="O805" s="77"/>
      <c r="R805" s="77"/>
      <c r="V805" s="77"/>
      <c r="Y805" s="77"/>
    </row>
    <row r="806" spans="2:25" x14ac:dyDescent="0.2">
      <c r="B806" s="77"/>
      <c r="C806" s="77"/>
      <c r="D806" s="77"/>
      <c r="E806" s="77"/>
      <c r="F806" s="77"/>
      <c r="G806" s="77"/>
      <c r="H806" s="77"/>
      <c r="I806" s="77"/>
      <c r="J806" s="77"/>
      <c r="K806" s="77"/>
      <c r="L806" s="77"/>
      <c r="M806" s="77"/>
      <c r="N806" s="77"/>
      <c r="O806" s="77"/>
      <c r="R806" s="77"/>
      <c r="V806" s="77"/>
      <c r="Y806" s="77"/>
    </row>
    <row r="807" spans="2:25" x14ac:dyDescent="0.2">
      <c r="B807" s="77"/>
      <c r="C807" s="77"/>
      <c r="D807" s="77"/>
      <c r="E807" s="77"/>
      <c r="F807" s="77"/>
      <c r="G807" s="77"/>
      <c r="H807" s="77"/>
      <c r="I807" s="77"/>
      <c r="J807" s="77"/>
      <c r="K807" s="77"/>
      <c r="L807" s="77"/>
      <c r="M807" s="77"/>
      <c r="N807" s="77"/>
      <c r="O807" s="77"/>
      <c r="R807" s="77"/>
      <c r="V807" s="77"/>
      <c r="Y807" s="77"/>
    </row>
    <row r="808" spans="2:25" x14ac:dyDescent="0.2">
      <c r="B808" s="77"/>
      <c r="C808" s="77"/>
      <c r="D808" s="77"/>
      <c r="E808" s="77"/>
      <c r="F808" s="77"/>
      <c r="G808" s="77"/>
      <c r="H808" s="77"/>
      <c r="I808" s="77"/>
      <c r="J808" s="77"/>
      <c r="K808" s="77"/>
      <c r="L808" s="77"/>
      <c r="M808" s="77"/>
      <c r="N808" s="77"/>
      <c r="O808" s="77"/>
      <c r="R808" s="77"/>
      <c r="V808" s="77"/>
      <c r="Y808" s="77"/>
    </row>
    <row r="809" spans="2:25" x14ac:dyDescent="0.2">
      <c r="B809" s="77"/>
      <c r="C809" s="77"/>
      <c r="D809" s="77"/>
      <c r="E809" s="77"/>
      <c r="F809" s="77"/>
      <c r="G809" s="77"/>
      <c r="H809" s="77"/>
      <c r="I809" s="77"/>
      <c r="J809" s="77"/>
      <c r="K809" s="77"/>
      <c r="L809" s="77"/>
      <c r="M809" s="77"/>
      <c r="N809" s="77"/>
      <c r="O809" s="77"/>
      <c r="R809" s="77"/>
      <c r="V809" s="77"/>
      <c r="Y809" s="77"/>
    </row>
    <row r="810" spans="2:25" x14ac:dyDescent="0.2">
      <c r="B810" s="77"/>
      <c r="C810" s="77"/>
      <c r="D810" s="77"/>
      <c r="E810" s="77"/>
      <c r="F810" s="77"/>
      <c r="G810" s="77"/>
      <c r="H810" s="77"/>
      <c r="I810" s="77"/>
      <c r="J810" s="77"/>
      <c r="K810" s="77"/>
      <c r="L810" s="77"/>
      <c r="M810" s="77"/>
      <c r="N810" s="77"/>
      <c r="O810" s="77"/>
      <c r="R810" s="77"/>
      <c r="V810" s="77"/>
      <c r="Y810" s="77"/>
    </row>
    <row r="811" spans="2:25" x14ac:dyDescent="0.2">
      <c r="B811" s="77"/>
      <c r="C811" s="77"/>
      <c r="D811" s="77"/>
      <c r="E811" s="77"/>
      <c r="F811" s="77"/>
      <c r="G811" s="77"/>
      <c r="H811" s="77"/>
      <c r="I811" s="77"/>
      <c r="J811" s="77"/>
      <c r="K811" s="77"/>
      <c r="L811" s="77"/>
      <c r="M811" s="77"/>
      <c r="N811" s="77"/>
      <c r="O811" s="77"/>
      <c r="R811" s="77"/>
      <c r="V811" s="77"/>
      <c r="Y811" s="77"/>
    </row>
    <row r="812" spans="2:25" x14ac:dyDescent="0.2">
      <c r="B812" s="77"/>
      <c r="C812" s="77"/>
      <c r="D812" s="77"/>
      <c r="E812" s="77"/>
      <c r="F812" s="77"/>
      <c r="G812" s="77"/>
      <c r="H812" s="77"/>
      <c r="I812" s="77"/>
      <c r="J812" s="77"/>
      <c r="K812" s="77"/>
      <c r="L812" s="77"/>
      <c r="M812" s="77"/>
      <c r="N812" s="77"/>
      <c r="O812" s="77"/>
      <c r="R812" s="77"/>
      <c r="V812" s="77"/>
      <c r="Y812" s="77"/>
    </row>
    <row r="813" spans="2:25" x14ac:dyDescent="0.2">
      <c r="B813" s="77"/>
      <c r="C813" s="77"/>
      <c r="D813" s="77"/>
      <c r="E813" s="77"/>
      <c r="F813" s="77"/>
      <c r="G813" s="77"/>
      <c r="H813" s="77"/>
      <c r="I813" s="77"/>
      <c r="J813" s="77"/>
      <c r="K813" s="77"/>
      <c r="L813" s="77"/>
      <c r="M813" s="77"/>
      <c r="N813" s="77"/>
      <c r="O813" s="77"/>
      <c r="R813" s="77"/>
      <c r="V813" s="77"/>
      <c r="Y813" s="77"/>
    </row>
    <row r="814" spans="2:25" x14ac:dyDescent="0.2">
      <c r="B814" s="77"/>
      <c r="C814" s="77"/>
      <c r="D814" s="77"/>
      <c r="E814" s="77"/>
      <c r="F814" s="77"/>
      <c r="G814" s="77"/>
      <c r="H814" s="77"/>
      <c r="I814" s="77"/>
      <c r="J814" s="77"/>
      <c r="K814" s="77"/>
      <c r="L814" s="77"/>
      <c r="M814" s="77"/>
      <c r="N814" s="77"/>
      <c r="O814" s="77"/>
      <c r="R814" s="77"/>
      <c r="V814" s="77"/>
      <c r="Y814" s="77"/>
    </row>
    <row r="815" spans="2:25" x14ac:dyDescent="0.2">
      <c r="B815" s="77"/>
      <c r="C815" s="77"/>
      <c r="D815" s="77"/>
      <c r="E815" s="77"/>
      <c r="F815" s="77"/>
      <c r="G815" s="77"/>
      <c r="H815" s="77"/>
      <c r="I815" s="77"/>
      <c r="J815" s="77"/>
      <c r="K815" s="77"/>
      <c r="L815" s="77"/>
      <c r="M815" s="77"/>
      <c r="N815" s="77"/>
      <c r="O815" s="77"/>
      <c r="R815" s="77"/>
      <c r="V815" s="77"/>
      <c r="Y815" s="77"/>
    </row>
    <row r="816" spans="2:25" x14ac:dyDescent="0.2">
      <c r="B816" s="77"/>
      <c r="C816" s="77"/>
      <c r="D816" s="77"/>
      <c r="E816" s="77"/>
      <c r="F816" s="77"/>
      <c r="G816" s="77"/>
      <c r="H816" s="77"/>
      <c r="I816" s="77"/>
      <c r="J816" s="77"/>
      <c r="K816" s="77"/>
      <c r="L816" s="77"/>
      <c r="M816" s="77"/>
      <c r="N816" s="77"/>
      <c r="O816" s="77"/>
      <c r="R816" s="77"/>
      <c r="V816" s="77"/>
      <c r="Y816" s="77"/>
    </row>
    <row r="817" spans="2:25" x14ac:dyDescent="0.2">
      <c r="B817" s="77"/>
      <c r="C817" s="77"/>
      <c r="D817" s="77"/>
      <c r="E817" s="77"/>
      <c r="F817" s="77"/>
      <c r="G817" s="77"/>
      <c r="H817" s="77"/>
      <c r="I817" s="77"/>
      <c r="J817" s="77"/>
      <c r="K817" s="77"/>
      <c r="L817" s="77"/>
      <c r="M817" s="77"/>
      <c r="N817" s="77"/>
      <c r="O817" s="77"/>
      <c r="R817" s="77"/>
      <c r="V817" s="77"/>
      <c r="Y817" s="77"/>
    </row>
    <row r="818" spans="2:25" x14ac:dyDescent="0.2">
      <c r="B818" s="77"/>
      <c r="C818" s="77"/>
      <c r="D818" s="77"/>
      <c r="E818" s="77"/>
      <c r="F818" s="77"/>
      <c r="G818" s="77"/>
      <c r="H818" s="77"/>
      <c r="I818" s="77"/>
      <c r="J818" s="77"/>
      <c r="K818" s="77"/>
      <c r="L818" s="77"/>
      <c r="M818" s="77"/>
      <c r="N818" s="77"/>
      <c r="O818" s="77"/>
      <c r="R818" s="77"/>
      <c r="V818" s="77"/>
      <c r="Y818" s="77"/>
    </row>
    <row r="819" spans="2:25" x14ac:dyDescent="0.2">
      <c r="B819" s="77"/>
      <c r="C819" s="77"/>
      <c r="D819" s="77"/>
      <c r="E819" s="77"/>
      <c r="F819" s="77"/>
      <c r="G819" s="77"/>
      <c r="H819" s="77"/>
      <c r="I819" s="77"/>
      <c r="J819" s="77"/>
      <c r="K819" s="77"/>
      <c r="L819" s="77"/>
      <c r="M819" s="77"/>
      <c r="N819" s="77"/>
      <c r="O819" s="77"/>
      <c r="R819" s="77"/>
      <c r="V819" s="77"/>
      <c r="Y819" s="77"/>
    </row>
    <row r="820" spans="2:25" x14ac:dyDescent="0.2">
      <c r="B820" s="77"/>
      <c r="C820" s="77"/>
      <c r="D820" s="77"/>
      <c r="E820" s="77"/>
      <c r="F820" s="77"/>
      <c r="G820" s="77"/>
      <c r="H820" s="77"/>
      <c r="I820" s="77"/>
      <c r="J820" s="77"/>
      <c r="K820" s="77"/>
      <c r="L820" s="77"/>
      <c r="M820" s="77"/>
      <c r="N820" s="77"/>
      <c r="O820" s="77"/>
      <c r="R820" s="77"/>
      <c r="V820" s="77"/>
      <c r="Y820" s="77"/>
    </row>
    <row r="821" spans="2:25" x14ac:dyDescent="0.2">
      <c r="B821" s="77"/>
      <c r="C821" s="77"/>
      <c r="D821" s="77"/>
      <c r="E821" s="77"/>
      <c r="F821" s="77"/>
      <c r="G821" s="77"/>
      <c r="H821" s="77"/>
      <c r="I821" s="77"/>
      <c r="J821" s="77"/>
      <c r="K821" s="77"/>
      <c r="L821" s="77"/>
      <c r="M821" s="77"/>
      <c r="N821" s="77"/>
      <c r="O821" s="77"/>
      <c r="R821" s="77"/>
      <c r="V821" s="77"/>
      <c r="Y821" s="77"/>
    </row>
    <row r="822" spans="2:25" x14ac:dyDescent="0.2">
      <c r="B822" s="77"/>
      <c r="C822" s="77"/>
      <c r="D822" s="77"/>
      <c r="E822" s="77"/>
      <c r="F822" s="77"/>
      <c r="G822" s="77"/>
      <c r="H822" s="77"/>
      <c r="I822" s="77"/>
      <c r="J822" s="77"/>
      <c r="K822" s="77"/>
      <c r="L822" s="77"/>
      <c r="M822" s="77"/>
      <c r="N822" s="77"/>
      <c r="O822" s="77"/>
      <c r="R822" s="77"/>
      <c r="V822" s="77"/>
      <c r="Y822" s="77"/>
    </row>
    <row r="823" spans="2:25" x14ac:dyDescent="0.2">
      <c r="B823" s="77"/>
      <c r="C823" s="77"/>
      <c r="D823" s="77"/>
      <c r="E823" s="77"/>
      <c r="F823" s="77"/>
      <c r="G823" s="77"/>
      <c r="H823" s="77"/>
      <c r="I823" s="77"/>
      <c r="J823" s="77"/>
      <c r="K823" s="77"/>
      <c r="L823" s="77"/>
      <c r="M823" s="77"/>
      <c r="N823" s="77"/>
      <c r="O823" s="77"/>
      <c r="R823" s="77"/>
      <c r="V823" s="77"/>
      <c r="Y823" s="77"/>
    </row>
    <row r="824" spans="2:25" x14ac:dyDescent="0.2">
      <c r="B824" s="77"/>
      <c r="C824" s="77"/>
      <c r="D824" s="77"/>
      <c r="E824" s="77"/>
      <c r="F824" s="77"/>
      <c r="G824" s="77"/>
      <c r="H824" s="77"/>
      <c r="I824" s="77"/>
      <c r="J824" s="77"/>
      <c r="K824" s="77"/>
      <c r="L824" s="77"/>
      <c r="M824" s="77"/>
      <c r="N824" s="77"/>
      <c r="O824" s="77"/>
      <c r="R824" s="77"/>
      <c r="V824" s="77"/>
      <c r="Y824" s="77"/>
    </row>
    <row r="825" spans="2:25" x14ac:dyDescent="0.2">
      <c r="B825" s="77"/>
      <c r="C825" s="77"/>
      <c r="D825" s="77"/>
      <c r="E825" s="77"/>
      <c r="F825" s="77"/>
      <c r="G825" s="77"/>
      <c r="H825" s="77"/>
      <c r="I825" s="77"/>
      <c r="J825" s="77"/>
      <c r="K825" s="77"/>
      <c r="L825" s="77"/>
      <c r="M825" s="77"/>
      <c r="N825" s="77"/>
      <c r="O825" s="77"/>
      <c r="R825" s="77"/>
      <c r="V825" s="77"/>
      <c r="Y825" s="77"/>
    </row>
    <row r="826" spans="2:25" x14ac:dyDescent="0.2">
      <c r="B826" s="77"/>
      <c r="C826" s="77"/>
      <c r="D826" s="77"/>
      <c r="E826" s="77"/>
      <c r="F826" s="77"/>
      <c r="G826" s="77"/>
      <c r="H826" s="77"/>
      <c r="I826" s="77"/>
      <c r="J826" s="77"/>
      <c r="K826" s="77"/>
      <c r="L826" s="77"/>
      <c r="M826" s="77"/>
      <c r="N826" s="77"/>
      <c r="O826" s="77"/>
      <c r="R826" s="77"/>
      <c r="V826" s="77"/>
      <c r="Y826" s="77"/>
    </row>
    <row r="827" spans="2:25" x14ac:dyDescent="0.2">
      <c r="B827" s="77"/>
      <c r="C827" s="77"/>
      <c r="D827" s="77"/>
      <c r="E827" s="77"/>
      <c r="F827" s="77"/>
      <c r="G827" s="77"/>
      <c r="H827" s="77"/>
      <c r="I827" s="77"/>
      <c r="J827" s="77"/>
      <c r="K827" s="77"/>
      <c r="L827" s="77"/>
      <c r="M827" s="77"/>
      <c r="N827" s="77"/>
      <c r="O827" s="77"/>
      <c r="R827" s="77"/>
      <c r="V827" s="77"/>
      <c r="Y827" s="77"/>
    </row>
    <row r="828" spans="2:25" x14ac:dyDescent="0.2">
      <c r="B828" s="77"/>
      <c r="C828" s="77"/>
      <c r="D828" s="77"/>
      <c r="E828" s="77"/>
      <c r="F828" s="77"/>
      <c r="G828" s="77"/>
      <c r="H828" s="77"/>
      <c r="I828" s="77"/>
      <c r="J828" s="77"/>
      <c r="K828" s="77"/>
      <c r="L828" s="77"/>
      <c r="M828" s="77"/>
      <c r="N828" s="77"/>
      <c r="O828" s="77"/>
      <c r="R828" s="77"/>
      <c r="V828" s="77"/>
      <c r="Y828" s="77"/>
    </row>
    <row r="829" spans="2:25" x14ac:dyDescent="0.2">
      <c r="B829" s="77"/>
      <c r="C829" s="77"/>
      <c r="D829" s="77"/>
      <c r="E829" s="77"/>
      <c r="F829" s="77"/>
      <c r="G829" s="77"/>
      <c r="H829" s="77"/>
      <c r="I829" s="77"/>
      <c r="J829" s="77"/>
      <c r="K829" s="77"/>
      <c r="L829" s="77"/>
      <c r="M829" s="77"/>
      <c r="N829" s="77"/>
      <c r="O829" s="77"/>
      <c r="R829" s="77"/>
      <c r="V829" s="77"/>
      <c r="Y829" s="77"/>
    </row>
    <row r="830" spans="2:25" x14ac:dyDescent="0.2">
      <c r="B830" s="77"/>
      <c r="C830" s="77"/>
      <c r="D830" s="77"/>
      <c r="E830" s="77"/>
      <c r="F830" s="77"/>
      <c r="G830" s="77"/>
      <c r="H830" s="77"/>
      <c r="I830" s="77"/>
      <c r="J830" s="77"/>
      <c r="K830" s="77"/>
      <c r="L830" s="77"/>
      <c r="M830" s="77"/>
      <c r="N830" s="77"/>
      <c r="O830" s="77"/>
      <c r="R830" s="77"/>
      <c r="V830" s="77"/>
      <c r="Y830" s="77"/>
    </row>
    <row r="831" spans="2:25" x14ac:dyDescent="0.2">
      <c r="B831" s="77"/>
      <c r="C831" s="77"/>
      <c r="D831" s="77"/>
      <c r="E831" s="77"/>
      <c r="F831" s="77"/>
      <c r="G831" s="77"/>
      <c r="H831" s="77"/>
      <c r="I831" s="77"/>
      <c r="J831" s="77"/>
      <c r="K831" s="77"/>
      <c r="L831" s="77"/>
      <c r="M831" s="77"/>
      <c r="N831" s="77"/>
      <c r="O831" s="77"/>
      <c r="R831" s="77"/>
      <c r="V831" s="77"/>
      <c r="Y831" s="77"/>
    </row>
    <row r="832" spans="2:25" x14ac:dyDescent="0.2">
      <c r="B832" s="77"/>
      <c r="C832" s="77"/>
      <c r="D832" s="77"/>
      <c r="E832" s="77"/>
      <c r="F832" s="77"/>
      <c r="G832" s="77"/>
      <c r="H832" s="77"/>
      <c r="I832" s="77"/>
      <c r="J832" s="77"/>
      <c r="K832" s="77"/>
      <c r="L832" s="77"/>
      <c r="M832" s="77"/>
      <c r="N832" s="77"/>
      <c r="O832" s="77"/>
      <c r="R832" s="77"/>
      <c r="V832" s="77"/>
      <c r="Y832" s="77"/>
    </row>
    <row r="833" spans="2:25" x14ac:dyDescent="0.2">
      <c r="B833" s="77"/>
      <c r="C833" s="77"/>
      <c r="D833" s="77"/>
      <c r="E833" s="77"/>
      <c r="F833" s="77"/>
      <c r="G833" s="77"/>
      <c r="H833" s="77"/>
      <c r="I833" s="77"/>
      <c r="J833" s="77"/>
      <c r="K833" s="77"/>
      <c r="L833" s="77"/>
      <c r="M833" s="77"/>
      <c r="N833" s="77"/>
      <c r="O833" s="77"/>
      <c r="R833" s="77"/>
      <c r="V833" s="77"/>
      <c r="Y833" s="77"/>
    </row>
    <row r="834" spans="2:25" x14ac:dyDescent="0.2">
      <c r="B834" s="77"/>
      <c r="C834" s="77"/>
      <c r="D834" s="77"/>
      <c r="E834" s="77"/>
      <c r="F834" s="77"/>
      <c r="G834" s="77"/>
      <c r="H834" s="77"/>
      <c r="I834" s="77"/>
      <c r="J834" s="77"/>
      <c r="K834" s="77"/>
      <c r="L834" s="77"/>
      <c r="M834" s="77"/>
      <c r="N834" s="77"/>
      <c r="O834" s="77"/>
      <c r="R834" s="77"/>
      <c r="V834" s="77"/>
      <c r="Y834" s="77"/>
    </row>
    <row r="835" spans="2:25" x14ac:dyDescent="0.2">
      <c r="B835" s="77"/>
      <c r="C835" s="77"/>
      <c r="D835" s="77"/>
      <c r="E835" s="77"/>
      <c r="F835" s="77"/>
      <c r="G835" s="77"/>
      <c r="H835" s="77"/>
      <c r="I835" s="77"/>
      <c r="J835" s="77"/>
      <c r="K835" s="77"/>
      <c r="L835" s="77"/>
      <c r="M835" s="77"/>
      <c r="N835" s="77"/>
      <c r="O835" s="77"/>
      <c r="R835" s="77"/>
      <c r="V835" s="77"/>
      <c r="Y835" s="77"/>
    </row>
    <row r="836" spans="2:25" x14ac:dyDescent="0.2">
      <c r="B836" s="77"/>
      <c r="C836" s="77"/>
      <c r="D836" s="77"/>
      <c r="E836" s="77"/>
      <c r="F836" s="77"/>
      <c r="G836" s="77"/>
      <c r="H836" s="77"/>
      <c r="I836" s="77"/>
      <c r="J836" s="77"/>
      <c r="K836" s="77"/>
      <c r="L836" s="77"/>
      <c r="M836" s="77"/>
      <c r="N836" s="77"/>
      <c r="O836" s="77"/>
      <c r="R836" s="77"/>
      <c r="V836" s="77"/>
      <c r="Y836" s="77"/>
    </row>
    <row r="837" spans="2:25" x14ac:dyDescent="0.2">
      <c r="B837" s="77"/>
      <c r="C837" s="77"/>
      <c r="D837" s="77"/>
      <c r="E837" s="77"/>
      <c r="F837" s="77"/>
      <c r="G837" s="77"/>
      <c r="H837" s="77"/>
      <c r="I837" s="77"/>
      <c r="J837" s="77"/>
      <c r="K837" s="77"/>
      <c r="L837" s="77"/>
      <c r="M837" s="77"/>
      <c r="N837" s="77"/>
      <c r="O837" s="77"/>
      <c r="R837" s="77"/>
      <c r="V837" s="77"/>
      <c r="Y837" s="77"/>
    </row>
    <row r="838" spans="2:25" x14ac:dyDescent="0.2">
      <c r="B838" s="77"/>
      <c r="C838" s="77"/>
      <c r="D838" s="77"/>
      <c r="E838" s="77"/>
      <c r="F838" s="77"/>
      <c r="G838" s="77"/>
      <c r="H838" s="77"/>
      <c r="I838" s="77"/>
      <c r="J838" s="77"/>
      <c r="K838" s="77"/>
      <c r="L838" s="77"/>
      <c r="M838" s="77"/>
      <c r="N838" s="77"/>
      <c r="O838" s="77"/>
      <c r="R838" s="77"/>
      <c r="V838" s="77"/>
      <c r="Y838" s="77"/>
    </row>
    <row r="839" spans="2:25" x14ac:dyDescent="0.2">
      <c r="B839" s="77"/>
      <c r="C839" s="77"/>
      <c r="D839" s="77"/>
      <c r="E839" s="77"/>
      <c r="F839" s="77"/>
      <c r="G839" s="77"/>
      <c r="H839" s="77"/>
      <c r="I839" s="77"/>
      <c r="J839" s="77"/>
      <c r="K839" s="77"/>
      <c r="L839" s="77"/>
      <c r="M839" s="77"/>
      <c r="N839" s="77"/>
      <c r="O839" s="77"/>
      <c r="R839" s="77"/>
      <c r="V839" s="77"/>
      <c r="Y839" s="77"/>
    </row>
    <row r="840" spans="2:25" x14ac:dyDescent="0.2">
      <c r="B840" s="77"/>
      <c r="C840" s="77"/>
      <c r="D840" s="77"/>
      <c r="E840" s="77"/>
      <c r="F840" s="77"/>
      <c r="G840" s="77"/>
      <c r="H840" s="77"/>
      <c r="I840" s="77"/>
      <c r="J840" s="77"/>
      <c r="K840" s="77"/>
      <c r="L840" s="77"/>
      <c r="M840" s="77"/>
      <c r="N840" s="77"/>
      <c r="O840" s="77"/>
      <c r="R840" s="77"/>
      <c r="V840" s="77"/>
      <c r="Y840" s="77"/>
    </row>
    <row r="841" spans="2:25" x14ac:dyDescent="0.2">
      <c r="B841" s="77"/>
      <c r="C841" s="77"/>
      <c r="D841" s="77"/>
      <c r="E841" s="77"/>
      <c r="F841" s="77"/>
      <c r="G841" s="77"/>
      <c r="H841" s="77"/>
      <c r="I841" s="77"/>
      <c r="J841" s="77"/>
      <c r="K841" s="77"/>
      <c r="L841" s="77"/>
      <c r="M841" s="77"/>
      <c r="N841" s="77"/>
      <c r="O841" s="77"/>
      <c r="R841" s="77"/>
      <c r="V841" s="77"/>
      <c r="Y841" s="77"/>
    </row>
    <row r="842" spans="2:25" x14ac:dyDescent="0.2">
      <c r="B842" s="77"/>
      <c r="C842" s="77"/>
      <c r="D842" s="77"/>
      <c r="E842" s="77"/>
      <c r="F842" s="77"/>
      <c r="G842" s="77"/>
      <c r="H842" s="77"/>
      <c r="I842" s="77"/>
      <c r="J842" s="77"/>
      <c r="K842" s="77"/>
      <c r="L842" s="77"/>
      <c r="M842" s="77"/>
      <c r="N842" s="77"/>
      <c r="O842" s="77"/>
      <c r="R842" s="77"/>
      <c r="V842" s="77"/>
      <c r="Y842" s="77"/>
    </row>
    <row r="843" spans="2:25" x14ac:dyDescent="0.2">
      <c r="B843" s="77"/>
      <c r="C843" s="77"/>
      <c r="D843" s="77"/>
      <c r="E843" s="77"/>
      <c r="F843" s="77"/>
      <c r="G843" s="77"/>
      <c r="H843" s="77"/>
      <c r="I843" s="77"/>
      <c r="J843" s="77"/>
      <c r="K843" s="77"/>
      <c r="L843" s="77"/>
      <c r="M843" s="77"/>
      <c r="N843" s="77"/>
      <c r="O843" s="77"/>
      <c r="R843" s="77"/>
      <c r="V843" s="77"/>
      <c r="Y843" s="77"/>
    </row>
    <row r="844" spans="2:25" x14ac:dyDescent="0.2">
      <c r="B844" s="77"/>
      <c r="C844" s="77"/>
      <c r="D844" s="77"/>
      <c r="E844" s="77"/>
      <c r="F844" s="77"/>
      <c r="G844" s="77"/>
      <c r="H844" s="77"/>
      <c r="I844" s="77"/>
      <c r="J844" s="77"/>
      <c r="K844" s="77"/>
      <c r="L844" s="77"/>
      <c r="M844" s="77"/>
      <c r="N844" s="77"/>
      <c r="O844" s="77"/>
      <c r="R844" s="77"/>
      <c r="V844" s="77"/>
      <c r="Y844" s="77"/>
    </row>
    <row r="845" spans="2:25" x14ac:dyDescent="0.2">
      <c r="B845" s="77"/>
      <c r="C845" s="77"/>
      <c r="D845" s="77"/>
      <c r="E845" s="77"/>
      <c r="F845" s="77"/>
      <c r="G845" s="77"/>
      <c r="H845" s="77"/>
      <c r="I845" s="77"/>
      <c r="J845" s="77"/>
      <c r="K845" s="77"/>
      <c r="L845" s="77"/>
      <c r="M845" s="77"/>
      <c r="N845" s="77"/>
      <c r="O845" s="77"/>
      <c r="R845" s="77"/>
      <c r="V845" s="77"/>
      <c r="Y845" s="77"/>
    </row>
    <row r="846" spans="2:25" x14ac:dyDescent="0.2">
      <c r="B846" s="77"/>
      <c r="C846" s="77"/>
      <c r="D846" s="77"/>
      <c r="E846" s="77"/>
      <c r="F846" s="77"/>
      <c r="G846" s="77"/>
      <c r="H846" s="77"/>
      <c r="I846" s="77"/>
      <c r="J846" s="77"/>
      <c r="K846" s="77"/>
      <c r="L846" s="77"/>
      <c r="M846" s="77"/>
      <c r="N846" s="77"/>
      <c r="O846" s="77"/>
      <c r="R846" s="77"/>
      <c r="V846" s="77"/>
      <c r="Y846" s="77"/>
    </row>
    <row r="847" spans="2:25" x14ac:dyDescent="0.2">
      <c r="B847" s="77"/>
      <c r="C847" s="77"/>
      <c r="D847" s="77"/>
      <c r="E847" s="77"/>
      <c r="F847" s="77"/>
      <c r="G847" s="77"/>
      <c r="H847" s="77"/>
      <c r="I847" s="77"/>
      <c r="J847" s="77"/>
      <c r="K847" s="77"/>
      <c r="L847" s="77"/>
      <c r="M847" s="77"/>
      <c r="N847" s="77"/>
      <c r="O847" s="77"/>
      <c r="R847" s="77"/>
      <c r="V847" s="77"/>
      <c r="Y847" s="77"/>
    </row>
    <row r="848" spans="2:25" x14ac:dyDescent="0.2">
      <c r="B848" s="77"/>
      <c r="C848" s="77"/>
      <c r="D848" s="77"/>
      <c r="E848" s="77"/>
      <c r="F848" s="77"/>
      <c r="G848" s="77"/>
      <c r="H848" s="77"/>
      <c r="I848" s="77"/>
      <c r="J848" s="77"/>
      <c r="K848" s="77"/>
      <c r="L848" s="77"/>
      <c r="M848" s="77"/>
      <c r="N848" s="77"/>
      <c r="O848" s="77"/>
      <c r="R848" s="77"/>
      <c r="V848" s="77"/>
      <c r="Y848" s="77"/>
    </row>
    <row r="849" spans="2:25" x14ac:dyDescent="0.2">
      <c r="B849" s="77"/>
      <c r="C849" s="77"/>
      <c r="D849" s="77"/>
      <c r="E849" s="77"/>
      <c r="F849" s="77"/>
      <c r="G849" s="77"/>
      <c r="H849" s="77"/>
      <c r="I849" s="77"/>
      <c r="J849" s="77"/>
      <c r="K849" s="77"/>
      <c r="L849" s="77"/>
      <c r="M849" s="77"/>
      <c r="N849" s="77"/>
      <c r="O849" s="77"/>
      <c r="R849" s="77"/>
      <c r="V849" s="77"/>
      <c r="Y849" s="77"/>
    </row>
    <row r="850" spans="2:25" x14ac:dyDescent="0.2">
      <c r="B850" s="77"/>
      <c r="C850" s="77"/>
      <c r="D850" s="77"/>
      <c r="E850" s="77"/>
      <c r="F850" s="77"/>
      <c r="G850" s="77"/>
      <c r="H850" s="77"/>
      <c r="I850" s="77"/>
      <c r="J850" s="77"/>
      <c r="K850" s="77"/>
      <c r="L850" s="77"/>
      <c r="M850" s="77"/>
      <c r="N850" s="77"/>
      <c r="O850" s="77"/>
      <c r="R850" s="77"/>
      <c r="V850" s="77"/>
      <c r="Y850" s="77"/>
    </row>
    <row r="851" spans="2:25" x14ac:dyDescent="0.2">
      <c r="B851" s="77"/>
      <c r="C851" s="77"/>
      <c r="D851" s="77"/>
      <c r="E851" s="77"/>
      <c r="F851" s="77"/>
      <c r="G851" s="77"/>
      <c r="H851" s="77"/>
      <c r="I851" s="77"/>
      <c r="J851" s="77"/>
      <c r="K851" s="77"/>
      <c r="L851" s="77"/>
      <c r="M851" s="77"/>
      <c r="N851" s="77"/>
      <c r="O851" s="77"/>
      <c r="R851" s="77"/>
      <c r="V851" s="77"/>
      <c r="Y851" s="77"/>
    </row>
    <row r="852" spans="2:25" x14ac:dyDescent="0.2">
      <c r="B852" s="77"/>
      <c r="C852" s="77"/>
      <c r="D852" s="77"/>
      <c r="E852" s="77"/>
      <c r="F852" s="77"/>
      <c r="G852" s="77"/>
      <c r="H852" s="77"/>
      <c r="I852" s="77"/>
      <c r="J852" s="77"/>
      <c r="K852" s="77"/>
      <c r="L852" s="77"/>
      <c r="M852" s="77"/>
      <c r="N852" s="77"/>
      <c r="O852" s="77"/>
      <c r="R852" s="77"/>
      <c r="V852" s="77"/>
      <c r="Y852" s="77"/>
    </row>
    <row r="853" spans="2:25" x14ac:dyDescent="0.2">
      <c r="B853" s="77"/>
      <c r="C853" s="77"/>
      <c r="D853" s="77"/>
      <c r="E853" s="77"/>
      <c r="F853" s="77"/>
      <c r="G853" s="77"/>
      <c r="H853" s="77"/>
      <c r="I853" s="77"/>
      <c r="J853" s="77"/>
      <c r="K853" s="77"/>
      <c r="L853" s="77"/>
      <c r="M853" s="77"/>
      <c r="N853" s="77"/>
      <c r="O853" s="77"/>
      <c r="R853" s="77"/>
      <c r="V853" s="77"/>
      <c r="Y853" s="77"/>
    </row>
    <row r="854" spans="2:25" x14ac:dyDescent="0.2">
      <c r="B854" s="77"/>
      <c r="C854" s="77"/>
      <c r="D854" s="77"/>
      <c r="E854" s="77"/>
      <c r="F854" s="77"/>
      <c r="G854" s="77"/>
      <c r="H854" s="77"/>
      <c r="I854" s="77"/>
      <c r="J854" s="77"/>
      <c r="K854" s="77"/>
      <c r="L854" s="77"/>
      <c r="M854" s="77"/>
      <c r="N854" s="77"/>
      <c r="O854" s="77"/>
      <c r="R854" s="77"/>
      <c r="V854" s="77"/>
      <c r="Y854" s="77"/>
    </row>
    <row r="855" spans="2:25" x14ac:dyDescent="0.2">
      <c r="B855" s="77"/>
      <c r="C855" s="77"/>
      <c r="D855" s="77"/>
      <c r="E855" s="77"/>
      <c r="F855" s="77"/>
      <c r="G855" s="77"/>
      <c r="H855" s="77"/>
      <c r="I855" s="77"/>
      <c r="J855" s="77"/>
      <c r="K855" s="77"/>
      <c r="L855" s="77"/>
      <c r="M855" s="77"/>
      <c r="N855" s="77"/>
      <c r="O855" s="77"/>
      <c r="R855" s="77"/>
      <c r="V855" s="77"/>
      <c r="Y855" s="77"/>
    </row>
    <row r="856" spans="2:25" x14ac:dyDescent="0.2">
      <c r="B856" s="77"/>
      <c r="C856" s="77"/>
      <c r="D856" s="77"/>
      <c r="E856" s="77"/>
      <c r="F856" s="77"/>
      <c r="G856" s="77"/>
      <c r="H856" s="77"/>
      <c r="I856" s="77"/>
      <c r="J856" s="77"/>
      <c r="K856" s="77"/>
      <c r="L856" s="77"/>
      <c r="M856" s="77"/>
      <c r="N856" s="77"/>
      <c r="O856" s="77"/>
      <c r="R856" s="77"/>
      <c r="V856" s="77"/>
      <c r="Y856" s="77"/>
    </row>
    <row r="857" spans="2:25" x14ac:dyDescent="0.2">
      <c r="B857" s="77"/>
      <c r="C857" s="77"/>
      <c r="D857" s="77"/>
      <c r="E857" s="77"/>
      <c r="F857" s="77"/>
      <c r="G857" s="77"/>
      <c r="H857" s="77"/>
      <c r="I857" s="77"/>
      <c r="J857" s="77"/>
      <c r="K857" s="77"/>
      <c r="L857" s="77"/>
      <c r="M857" s="77"/>
      <c r="N857" s="77"/>
      <c r="O857" s="77"/>
      <c r="R857" s="77"/>
      <c r="V857" s="77"/>
      <c r="Y857" s="77"/>
    </row>
    <row r="858" spans="2:25" x14ac:dyDescent="0.2">
      <c r="B858" s="77"/>
      <c r="C858" s="77"/>
      <c r="D858" s="77"/>
      <c r="E858" s="77"/>
      <c r="F858" s="77"/>
      <c r="G858" s="77"/>
      <c r="H858" s="77"/>
      <c r="I858" s="77"/>
      <c r="J858" s="77"/>
      <c r="K858" s="77"/>
      <c r="L858" s="77"/>
      <c r="M858" s="77"/>
      <c r="N858" s="77"/>
      <c r="O858" s="77"/>
      <c r="R858" s="77"/>
      <c r="V858" s="77"/>
      <c r="Y858" s="77"/>
    </row>
    <row r="859" spans="2:25" x14ac:dyDescent="0.2">
      <c r="B859" s="77"/>
      <c r="C859" s="77"/>
      <c r="D859" s="77"/>
      <c r="E859" s="77"/>
      <c r="F859" s="77"/>
      <c r="G859" s="77"/>
      <c r="H859" s="77"/>
      <c r="I859" s="77"/>
      <c r="J859" s="77"/>
      <c r="K859" s="77"/>
      <c r="L859" s="77"/>
      <c r="M859" s="77"/>
      <c r="N859" s="77"/>
      <c r="O859" s="77"/>
      <c r="R859" s="77"/>
      <c r="V859" s="77"/>
      <c r="Y859" s="77"/>
    </row>
    <row r="860" spans="2:25" x14ac:dyDescent="0.2">
      <c r="B860" s="77"/>
      <c r="C860" s="77"/>
      <c r="D860" s="77"/>
      <c r="E860" s="77"/>
      <c r="F860" s="77"/>
      <c r="G860" s="77"/>
      <c r="H860" s="77"/>
      <c r="I860" s="77"/>
      <c r="J860" s="77"/>
      <c r="K860" s="77"/>
      <c r="L860" s="77"/>
      <c r="M860" s="77"/>
      <c r="N860" s="77"/>
      <c r="O860" s="77"/>
      <c r="R860" s="77"/>
      <c r="V860" s="77"/>
      <c r="Y860" s="77"/>
    </row>
    <row r="861" spans="2:25" x14ac:dyDescent="0.2">
      <c r="B861" s="77"/>
      <c r="C861" s="77"/>
      <c r="D861" s="77"/>
      <c r="E861" s="77"/>
      <c r="F861" s="77"/>
      <c r="G861" s="77"/>
      <c r="H861" s="77"/>
      <c r="I861" s="77"/>
      <c r="J861" s="77"/>
      <c r="K861" s="77"/>
      <c r="L861" s="77"/>
      <c r="M861" s="77"/>
      <c r="N861" s="77"/>
      <c r="O861" s="77"/>
      <c r="R861" s="77"/>
      <c r="V861" s="77"/>
      <c r="Y861" s="77"/>
    </row>
    <row r="862" spans="2:25" x14ac:dyDescent="0.2">
      <c r="B862" s="77"/>
      <c r="C862" s="77"/>
      <c r="D862" s="77"/>
      <c r="E862" s="77"/>
      <c r="F862" s="77"/>
      <c r="G862" s="77"/>
      <c r="H862" s="77"/>
      <c r="I862" s="77"/>
      <c r="J862" s="77"/>
      <c r="K862" s="77"/>
      <c r="L862" s="77"/>
      <c r="M862" s="77"/>
      <c r="N862" s="77"/>
      <c r="O862" s="77"/>
      <c r="R862" s="77"/>
      <c r="V862" s="77"/>
      <c r="Y862" s="77"/>
    </row>
    <row r="863" spans="2:25" x14ac:dyDescent="0.2">
      <c r="B863" s="77"/>
      <c r="C863" s="77"/>
      <c r="D863" s="77"/>
      <c r="E863" s="77"/>
      <c r="F863" s="77"/>
      <c r="G863" s="77"/>
      <c r="H863" s="77"/>
      <c r="I863" s="77"/>
      <c r="J863" s="77"/>
      <c r="K863" s="77"/>
      <c r="L863" s="77"/>
      <c r="M863" s="77"/>
      <c r="N863" s="77"/>
      <c r="O863" s="77"/>
      <c r="R863" s="77"/>
      <c r="V863" s="77"/>
      <c r="Y863" s="77"/>
    </row>
    <row r="864" spans="2:25" x14ac:dyDescent="0.2">
      <c r="B864" s="77"/>
      <c r="C864" s="77"/>
      <c r="D864" s="77"/>
      <c r="E864" s="77"/>
      <c r="F864" s="77"/>
      <c r="G864" s="77"/>
      <c r="H864" s="77"/>
      <c r="I864" s="77"/>
      <c r="J864" s="77"/>
      <c r="K864" s="77"/>
      <c r="L864" s="77"/>
      <c r="M864" s="77"/>
      <c r="N864" s="77"/>
      <c r="O864" s="77"/>
      <c r="R864" s="77"/>
      <c r="V864" s="77"/>
      <c r="Y864" s="77"/>
    </row>
    <row r="865" spans="2:25" x14ac:dyDescent="0.2">
      <c r="B865" s="77"/>
      <c r="C865" s="77"/>
      <c r="D865" s="77"/>
      <c r="E865" s="77"/>
      <c r="F865" s="77"/>
      <c r="G865" s="77"/>
      <c r="H865" s="77"/>
      <c r="I865" s="77"/>
      <c r="J865" s="77"/>
      <c r="K865" s="77"/>
      <c r="L865" s="77"/>
      <c r="M865" s="77"/>
      <c r="N865" s="77"/>
      <c r="O865" s="77"/>
      <c r="R865" s="77"/>
      <c r="V865" s="77"/>
      <c r="Y865" s="77"/>
    </row>
    <row r="866" spans="2:25" x14ac:dyDescent="0.2">
      <c r="B866" s="77"/>
      <c r="C866" s="77"/>
      <c r="D866" s="77"/>
      <c r="E866" s="77"/>
      <c r="F866" s="77"/>
      <c r="G866" s="77"/>
      <c r="H866" s="77"/>
      <c r="I866" s="77"/>
      <c r="J866" s="77"/>
      <c r="K866" s="77"/>
      <c r="L866" s="77"/>
      <c r="M866" s="77"/>
      <c r="N866" s="77"/>
      <c r="O866" s="77"/>
      <c r="R866" s="77"/>
      <c r="V866" s="77"/>
      <c r="Y866" s="77"/>
    </row>
    <row r="867" spans="2:25" x14ac:dyDescent="0.2">
      <c r="B867" s="77"/>
      <c r="C867" s="77"/>
      <c r="D867" s="77"/>
      <c r="E867" s="77"/>
      <c r="F867" s="77"/>
      <c r="G867" s="77"/>
      <c r="H867" s="77"/>
      <c r="I867" s="77"/>
      <c r="J867" s="77"/>
      <c r="K867" s="77"/>
      <c r="L867" s="77"/>
      <c r="M867" s="77"/>
      <c r="N867" s="77"/>
      <c r="O867" s="77"/>
      <c r="R867" s="77"/>
      <c r="V867" s="77"/>
      <c r="Y867" s="77"/>
    </row>
    <row r="868" spans="2:25" x14ac:dyDescent="0.2">
      <c r="B868" s="77"/>
      <c r="C868" s="77"/>
      <c r="D868" s="77"/>
      <c r="E868" s="77"/>
      <c r="F868" s="77"/>
      <c r="G868" s="77"/>
      <c r="H868" s="77"/>
      <c r="I868" s="77"/>
      <c r="J868" s="77"/>
      <c r="K868" s="77"/>
      <c r="L868" s="77"/>
      <c r="M868" s="77"/>
      <c r="N868" s="77"/>
      <c r="O868" s="77"/>
      <c r="R868" s="77"/>
      <c r="V868" s="77"/>
      <c r="Y868" s="77"/>
    </row>
    <row r="869" spans="2:25" x14ac:dyDescent="0.2">
      <c r="B869" s="77"/>
      <c r="C869" s="77"/>
      <c r="D869" s="77"/>
      <c r="E869" s="77"/>
      <c r="F869" s="77"/>
      <c r="G869" s="77"/>
      <c r="H869" s="77"/>
      <c r="I869" s="77"/>
      <c r="J869" s="77"/>
      <c r="K869" s="77"/>
      <c r="L869" s="77"/>
      <c r="M869" s="77"/>
      <c r="N869" s="77"/>
      <c r="O869" s="77"/>
      <c r="R869" s="77"/>
      <c r="V869" s="77"/>
      <c r="Y869" s="77"/>
    </row>
    <row r="870" spans="2:25" x14ac:dyDescent="0.2">
      <c r="B870" s="77"/>
      <c r="C870" s="77"/>
      <c r="D870" s="77"/>
      <c r="E870" s="77"/>
      <c r="F870" s="77"/>
      <c r="G870" s="77"/>
      <c r="H870" s="77"/>
      <c r="I870" s="77"/>
      <c r="J870" s="77"/>
      <c r="K870" s="77"/>
      <c r="L870" s="77"/>
      <c r="M870" s="77"/>
      <c r="N870" s="77"/>
      <c r="O870" s="77"/>
      <c r="R870" s="77"/>
      <c r="V870" s="77"/>
      <c r="Y870" s="77"/>
    </row>
    <row r="871" spans="2:25" x14ac:dyDescent="0.2">
      <c r="B871" s="77"/>
      <c r="C871" s="77"/>
      <c r="D871" s="77"/>
      <c r="E871" s="77"/>
      <c r="F871" s="77"/>
      <c r="G871" s="77"/>
      <c r="H871" s="77"/>
      <c r="I871" s="77"/>
      <c r="J871" s="77"/>
      <c r="K871" s="77"/>
      <c r="L871" s="77"/>
      <c r="M871" s="77"/>
      <c r="N871" s="77"/>
      <c r="O871" s="77"/>
      <c r="R871" s="77"/>
      <c r="V871" s="77"/>
      <c r="Y871" s="77"/>
    </row>
    <row r="872" spans="2:25" x14ac:dyDescent="0.2">
      <c r="B872" s="77"/>
      <c r="C872" s="77"/>
      <c r="D872" s="77"/>
      <c r="E872" s="77"/>
      <c r="F872" s="77"/>
      <c r="G872" s="77"/>
      <c r="H872" s="77"/>
      <c r="I872" s="77"/>
      <c r="J872" s="77"/>
      <c r="K872" s="77"/>
      <c r="L872" s="77"/>
      <c r="M872" s="77"/>
      <c r="N872" s="77"/>
      <c r="O872" s="77"/>
      <c r="R872" s="77"/>
      <c r="V872" s="77"/>
      <c r="Y872" s="77"/>
    </row>
    <row r="873" spans="2:25" x14ac:dyDescent="0.2">
      <c r="B873" s="77"/>
      <c r="C873" s="77"/>
      <c r="D873" s="77"/>
      <c r="E873" s="77"/>
      <c r="F873" s="77"/>
      <c r="G873" s="77"/>
      <c r="H873" s="77"/>
      <c r="I873" s="77"/>
      <c r="J873" s="77"/>
      <c r="K873" s="77"/>
      <c r="L873" s="77"/>
      <c r="M873" s="77"/>
      <c r="N873" s="77"/>
      <c r="O873" s="77"/>
      <c r="R873" s="77"/>
      <c r="V873" s="77"/>
      <c r="Y873" s="77"/>
    </row>
    <row r="874" spans="2:25" x14ac:dyDescent="0.2">
      <c r="B874" s="77"/>
      <c r="C874" s="77"/>
      <c r="D874" s="77"/>
      <c r="E874" s="77"/>
      <c r="F874" s="77"/>
      <c r="G874" s="77"/>
      <c r="H874" s="77"/>
      <c r="I874" s="77"/>
      <c r="J874" s="77"/>
      <c r="K874" s="77"/>
      <c r="L874" s="77"/>
      <c r="M874" s="77"/>
      <c r="N874" s="77"/>
      <c r="O874" s="77"/>
      <c r="R874" s="77"/>
      <c r="V874" s="77"/>
      <c r="Y874" s="77"/>
    </row>
    <row r="875" spans="2:25" x14ac:dyDescent="0.2">
      <c r="B875" s="77"/>
      <c r="C875" s="77"/>
      <c r="D875" s="77"/>
      <c r="E875" s="77"/>
      <c r="F875" s="77"/>
      <c r="G875" s="77"/>
      <c r="H875" s="77"/>
      <c r="I875" s="77"/>
      <c r="J875" s="77"/>
      <c r="K875" s="77"/>
      <c r="L875" s="77"/>
      <c r="M875" s="77"/>
      <c r="N875" s="77"/>
      <c r="O875" s="77"/>
      <c r="R875" s="77"/>
      <c r="V875" s="77"/>
      <c r="Y875" s="77"/>
    </row>
    <row r="876" spans="2:25" x14ac:dyDescent="0.2">
      <c r="B876" s="77"/>
      <c r="C876" s="77"/>
      <c r="D876" s="77"/>
      <c r="E876" s="77"/>
      <c r="F876" s="77"/>
      <c r="G876" s="77"/>
      <c r="H876" s="77"/>
      <c r="I876" s="77"/>
      <c r="J876" s="77"/>
      <c r="K876" s="77"/>
      <c r="L876" s="77"/>
      <c r="M876" s="77"/>
      <c r="N876" s="77"/>
      <c r="O876" s="77"/>
      <c r="R876" s="77"/>
      <c r="V876" s="77"/>
      <c r="Y876" s="77"/>
    </row>
    <row r="877" spans="2:25" x14ac:dyDescent="0.2">
      <c r="B877" s="77"/>
      <c r="C877" s="77"/>
      <c r="D877" s="77"/>
      <c r="E877" s="77"/>
      <c r="F877" s="77"/>
      <c r="G877" s="77"/>
      <c r="H877" s="77"/>
      <c r="I877" s="77"/>
      <c r="J877" s="77"/>
      <c r="K877" s="77"/>
      <c r="L877" s="77"/>
      <c r="M877" s="77"/>
      <c r="N877" s="77"/>
      <c r="O877" s="77"/>
      <c r="R877" s="77"/>
      <c r="V877" s="77"/>
      <c r="Y877" s="77"/>
    </row>
    <row r="878" spans="2:25" x14ac:dyDescent="0.2">
      <c r="B878" s="77"/>
      <c r="C878" s="77"/>
      <c r="D878" s="77"/>
      <c r="E878" s="77"/>
      <c r="F878" s="77"/>
      <c r="G878" s="77"/>
      <c r="H878" s="77"/>
      <c r="I878" s="77"/>
      <c r="J878" s="77"/>
      <c r="K878" s="77"/>
      <c r="L878" s="77"/>
      <c r="M878" s="77"/>
      <c r="N878" s="77"/>
      <c r="O878" s="77"/>
      <c r="R878" s="77"/>
      <c r="V878" s="77"/>
      <c r="Y878" s="77"/>
    </row>
    <row r="879" spans="2:25" x14ac:dyDescent="0.2">
      <c r="B879" s="77"/>
      <c r="C879" s="77"/>
      <c r="D879" s="77"/>
      <c r="E879" s="77"/>
      <c r="F879" s="77"/>
      <c r="G879" s="77"/>
      <c r="H879" s="77"/>
      <c r="I879" s="77"/>
      <c r="J879" s="77"/>
      <c r="K879" s="77"/>
      <c r="L879" s="77"/>
      <c r="M879" s="77"/>
      <c r="N879" s="77"/>
      <c r="O879" s="77"/>
      <c r="R879" s="77"/>
      <c r="V879" s="77"/>
      <c r="Y879" s="77"/>
    </row>
    <row r="880" spans="2:25" x14ac:dyDescent="0.2">
      <c r="B880" s="77"/>
      <c r="C880" s="77"/>
      <c r="D880" s="77"/>
      <c r="E880" s="77"/>
      <c r="F880" s="77"/>
      <c r="G880" s="77"/>
      <c r="H880" s="77"/>
      <c r="I880" s="77"/>
      <c r="J880" s="77"/>
      <c r="K880" s="77"/>
      <c r="L880" s="77"/>
      <c r="M880" s="77"/>
      <c r="N880" s="77"/>
      <c r="O880" s="77"/>
      <c r="R880" s="77"/>
      <c r="V880" s="77"/>
      <c r="Y880" s="77"/>
    </row>
    <row r="881" spans="2:25" x14ac:dyDescent="0.2">
      <c r="B881" s="77"/>
      <c r="C881" s="77"/>
      <c r="D881" s="77"/>
      <c r="E881" s="77"/>
      <c r="F881" s="77"/>
      <c r="G881" s="77"/>
      <c r="H881" s="77"/>
      <c r="I881" s="77"/>
      <c r="J881" s="77"/>
      <c r="K881" s="77"/>
      <c r="L881" s="77"/>
      <c r="M881" s="77"/>
      <c r="N881" s="77"/>
      <c r="O881" s="77"/>
      <c r="R881" s="77"/>
      <c r="V881" s="77"/>
      <c r="Y881" s="77"/>
    </row>
    <row r="882" spans="2:25" x14ac:dyDescent="0.2">
      <c r="B882" s="77"/>
      <c r="C882" s="77"/>
      <c r="D882" s="77"/>
      <c r="E882" s="77"/>
      <c r="F882" s="77"/>
      <c r="G882" s="77"/>
      <c r="H882" s="77"/>
      <c r="I882" s="77"/>
      <c r="J882" s="77"/>
      <c r="K882" s="77"/>
      <c r="L882" s="77"/>
      <c r="M882" s="77"/>
      <c r="N882" s="77"/>
      <c r="O882" s="77"/>
      <c r="R882" s="77"/>
      <c r="V882" s="77"/>
      <c r="Y882" s="77"/>
    </row>
    <row r="883" spans="2:25" x14ac:dyDescent="0.2">
      <c r="B883" s="77"/>
      <c r="C883" s="77"/>
      <c r="D883" s="77"/>
      <c r="E883" s="77"/>
      <c r="F883" s="77"/>
      <c r="G883" s="77"/>
      <c r="H883" s="77"/>
      <c r="I883" s="77"/>
      <c r="J883" s="77"/>
      <c r="K883" s="77"/>
      <c r="L883" s="77"/>
      <c r="M883" s="77"/>
      <c r="N883" s="77"/>
      <c r="O883" s="77"/>
      <c r="R883" s="77"/>
      <c r="V883" s="77"/>
      <c r="Y883" s="77"/>
    </row>
    <row r="884" spans="2:25" x14ac:dyDescent="0.2">
      <c r="B884" s="77"/>
      <c r="C884" s="77"/>
      <c r="D884" s="77"/>
      <c r="E884" s="77"/>
      <c r="F884" s="77"/>
      <c r="G884" s="77"/>
      <c r="H884" s="77"/>
      <c r="I884" s="77"/>
      <c r="J884" s="77"/>
      <c r="K884" s="77"/>
      <c r="L884" s="77"/>
      <c r="M884" s="77"/>
      <c r="N884" s="77"/>
      <c r="O884" s="77"/>
      <c r="R884" s="77"/>
      <c r="V884" s="77"/>
      <c r="Y884" s="77"/>
    </row>
    <row r="885" spans="2:25" x14ac:dyDescent="0.2">
      <c r="B885" s="77"/>
      <c r="C885" s="77"/>
      <c r="D885" s="77"/>
      <c r="E885" s="77"/>
      <c r="F885" s="77"/>
      <c r="G885" s="77"/>
      <c r="H885" s="77"/>
      <c r="I885" s="77"/>
      <c r="J885" s="77"/>
      <c r="K885" s="77"/>
      <c r="L885" s="77"/>
      <c r="M885" s="77"/>
      <c r="N885" s="77"/>
      <c r="O885" s="77"/>
      <c r="R885" s="77"/>
      <c r="V885" s="77"/>
      <c r="Y885" s="77"/>
    </row>
    <row r="886" spans="2:25" x14ac:dyDescent="0.2">
      <c r="B886" s="77"/>
      <c r="C886" s="77"/>
      <c r="D886" s="77"/>
      <c r="E886" s="77"/>
      <c r="F886" s="77"/>
      <c r="G886" s="77"/>
      <c r="H886" s="77"/>
      <c r="I886" s="77"/>
      <c r="J886" s="77"/>
      <c r="K886" s="77"/>
      <c r="L886" s="77"/>
      <c r="M886" s="77"/>
      <c r="N886" s="77"/>
      <c r="O886" s="77"/>
      <c r="R886" s="77"/>
      <c r="V886" s="77"/>
      <c r="Y886" s="77"/>
    </row>
    <row r="887" spans="2:25" x14ac:dyDescent="0.2">
      <c r="B887" s="77"/>
      <c r="C887" s="77"/>
      <c r="D887" s="77"/>
      <c r="E887" s="77"/>
      <c r="F887" s="77"/>
      <c r="G887" s="77"/>
      <c r="H887" s="77"/>
      <c r="I887" s="77"/>
      <c r="J887" s="77"/>
      <c r="K887" s="77"/>
      <c r="L887" s="77"/>
      <c r="M887" s="77"/>
      <c r="N887" s="77"/>
      <c r="O887" s="77"/>
      <c r="R887" s="77"/>
      <c r="V887" s="77"/>
      <c r="Y887" s="77"/>
    </row>
    <row r="888" spans="2:25" x14ac:dyDescent="0.2">
      <c r="B888" s="77"/>
      <c r="C888" s="77"/>
      <c r="D888" s="77"/>
      <c r="E888" s="77"/>
      <c r="F888" s="77"/>
      <c r="G888" s="77"/>
      <c r="H888" s="77"/>
      <c r="I888" s="77"/>
      <c r="J888" s="77"/>
      <c r="K888" s="77"/>
      <c r="L888" s="77"/>
      <c r="M888" s="77"/>
      <c r="N888" s="77"/>
      <c r="O888" s="77"/>
      <c r="R888" s="77"/>
      <c r="V888" s="77"/>
      <c r="Y888" s="77"/>
    </row>
    <row r="889" spans="2:25" x14ac:dyDescent="0.2">
      <c r="B889" s="77"/>
      <c r="C889" s="77"/>
      <c r="D889" s="77"/>
      <c r="E889" s="77"/>
      <c r="F889" s="77"/>
      <c r="G889" s="77"/>
      <c r="H889" s="77"/>
      <c r="I889" s="77"/>
      <c r="J889" s="77"/>
      <c r="K889" s="77"/>
      <c r="L889" s="77"/>
      <c r="M889" s="77"/>
      <c r="N889" s="77"/>
      <c r="O889" s="77"/>
      <c r="R889" s="77"/>
      <c r="V889" s="77"/>
      <c r="Y889" s="77"/>
    </row>
    <row r="890" spans="2:25" x14ac:dyDescent="0.2">
      <c r="B890" s="77"/>
      <c r="C890" s="77"/>
      <c r="D890" s="77"/>
      <c r="E890" s="77"/>
      <c r="F890" s="77"/>
      <c r="G890" s="77"/>
      <c r="H890" s="77"/>
      <c r="I890" s="77"/>
      <c r="J890" s="77"/>
      <c r="K890" s="77"/>
      <c r="L890" s="77"/>
      <c r="M890" s="77"/>
      <c r="N890" s="77"/>
      <c r="O890" s="77"/>
      <c r="R890" s="77"/>
      <c r="V890" s="77"/>
      <c r="Y890" s="77"/>
    </row>
    <row r="891" spans="2:25" x14ac:dyDescent="0.2">
      <c r="B891" s="77"/>
      <c r="C891" s="77"/>
      <c r="D891" s="77"/>
      <c r="E891" s="77"/>
      <c r="F891" s="77"/>
      <c r="G891" s="77"/>
      <c r="H891" s="77"/>
      <c r="I891" s="77"/>
      <c r="J891" s="77"/>
      <c r="K891" s="77"/>
      <c r="L891" s="77"/>
      <c r="M891" s="77"/>
      <c r="N891" s="77"/>
      <c r="O891" s="77"/>
      <c r="R891" s="77"/>
      <c r="V891" s="77"/>
      <c r="Y891" s="77"/>
    </row>
    <row r="892" spans="2:25" x14ac:dyDescent="0.2">
      <c r="B892" s="77"/>
      <c r="C892" s="77"/>
      <c r="D892" s="77"/>
      <c r="E892" s="77"/>
      <c r="F892" s="77"/>
      <c r="G892" s="77"/>
      <c r="H892" s="77"/>
      <c r="I892" s="77"/>
      <c r="J892" s="77"/>
      <c r="K892" s="77"/>
      <c r="L892" s="77"/>
      <c r="M892" s="77"/>
      <c r="N892" s="77"/>
      <c r="O892" s="77"/>
      <c r="R892" s="77"/>
      <c r="V892" s="77"/>
      <c r="Y892" s="77"/>
    </row>
    <row r="893" spans="2:25" x14ac:dyDescent="0.2">
      <c r="B893" s="77"/>
      <c r="C893" s="77"/>
      <c r="D893" s="77"/>
      <c r="E893" s="77"/>
      <c r="F893" s="77"/>
      <c r="G893" s="77"/>
      <c r="H893" s="77"/>
      <c r="I893" s="77"/>
      <c r="J893" s="77"/>
      <c r="K893" s="77"/>
      <c r="L893" s="77"/>
      <c r="M893" s="77"/>
      <c r="N893" s="77"/>
      <c r="O893" s="77"/>
      <c r="R893" s="77"/>
      <c r="V893" s="77"/>
      <c r="Y893" s="77"/>
    </row>
    <row r="894" spans="2:25" x14ac:dyDescent="0.2">
      <c r="B894" s="77"/>
      <c r="C894" s="77"/>
      <c r="D894" s="77"/>
      <c r="E894" s="77"/>
      <c r="F894" s="77"/>
      <c r="G894" s="77"/>
      <c r="H894" s="77"/>
      <c r="I894" s="77"/>
      <c r="J894" s="77"/>
      <c r="K894" s="77"/>
      <c r="L894" s="77"/>
      <c r="M894" s="77"/>
      <c r="N894" s="77"/>
      <c r="O894" s="77"/>
      <c r="R894" s="77"/>
      <c r="V894" s="77"/>
      <c r="Y894" s="77"/>
    </row>
    <row r="895" spans="2:25" x14ac:dyDescent="0.2">
      <c r="B895" s="77"/>
      <c r="C895" s="77"/>
      <c r="D895" s="77"/>
      <c r="E895" s="77"/>
      <c r="F895" s="77"/>
      <c r="G895" s="77"/>
      <c r="H895" s="77"/>
      <c r="I895" s="77"/>
      <c r="J895" s="77"/>
      <c r="K895" s="77"/>
      <c r="L895" s="77"/>
      <c r="M895" s="77"/>
      <c r="N895" s="77"/>
      <c r="O895" s="77"/>
      <c r="R895" s="77"/>
      <c r="V895" s="77"/>
      <c r="Y895" s="77"/>
    </row>
    <row r="896" spans="2:25" x14ac:dyDescent="0.2">
      <c r="B896" s="77"/>
      <c r="C896" s="77"/>
      <c r="D896" s="77"/>
      <c r="E896" s="77"/>
      <c r="F896" s="77"/>
      <c r="G896" s="77"/>
      <c r="H896" s="77"/>
      <c r="I896" s="77"/>
      <c r="J896" s="77"/>
      <c r="K896" s="77"/>
      <c r="L896" s="77"/>
      <c r="M896" s="77"/>
      <c r="N896" s="77"/>
      <c r="O896" s="77"/>
      <c r="R896" s="77"/>
      <c r="V896" s="77"/>
      <c r="Y896" s="77"/>
    </row>
    <row r="897" spans="2:25" x14ac:dyDescent="0.2">
      <c r="B897" s="77"/>
      <c r="C897" s="77"/>
      <c r="D897" s="77"/>
      <c r="E897" s="77"/>
      <c r="F897" s="77"/>
      <c r="G897" s="77"/>
      <c r="H897" s="77"/>
      <c r="I897" s="77"/>
      <c r="J897" s="77"/>
      <c r="K897" s="77"/>
      <c r="L897" s="77"/>
      <c r="M897" s="77"/>
      <c r="N897" s="77"/>
      <c r="O897" s="77"/>
      <c r="R897" s="77"/>
      <c r="V897" s="77"/>
      <c r="Y897" s="77"/>
    </row>
    <row r="898" spans="2:25" x14ac:dyDescent="0.2">
      <c r="B898" s="77"/>
      <c r="C898" s="77"/>
      <c r="D898" s="77"/>
      <c r="E898" s="77"/>
      <c r="F898" s="77"/>
      <c r="G898" s="77"/>
      <c r="H898" s="77"/>
      <c r="I898" s="77"/>
      <c r="J898" s="77"/>
      <c r="K898" s="77"/>
      <c r="L898" s="77"/>
      <c r="M898" s="77"/>
      <c r="N898" s="77"/>
      <c r="O898" s="77"/>
      <c r="R898" s="77"/>
      <c r="V898" s="77"/>
      <c r="Y898" s="77"/>
    </row>
    <row r="899" spans="2:25" x14ac:dyDescent="0.2">
      <c r="B899" s="77"/>
      <c r="C899" s="77"/>
      <c r="D899" s="77"/>
      <c r="E899" s="77"/>
      <c r="F899" s="77"/>
      <c r="G899" s="77"/>
      <c r="H899" s="77"/>
      <c r="I899" s="77"/>
      <c r="J899" s="77"/>
      <c r="K899" s="77"/>
      <c r="L899" s="77"/>
      <c r="M899" s="77"/>
      <c r="N899" s="77"/>
      <c r="O899" s="77"/>
      <c r="R899" s="77"/>
      <c r="V899" s="77"/>
      <c r="Y899" s="77"/>
    </row>
    <row r="900" spans="2:25" x14ac:dyDescent="0.2">
      <c r="B900" s="77"/>
      <c r="C900" s="77"/>
      <c r="D900" s="77"/>
      <c r="E900" s="77"/>
      <c r="F900" s="77"/>
      <c r="G900" s="77"/>
      <c r="H900" s="77"/>
      <c r="I900" s="77"/>
      <c r="J900" s="77"/>
      <c r="K900" s="77"/>
      <c r="L900" s="77"/>
      <c r="M900" s="77"/>
      <c r="N900" s="77"/>
      <c r="O900" s="77"/>
      <c r="R900" s="77"/>
      <c r="V900" s="77"/>
      <c r="Y900" s="77"/>
    </row>
    <row r="901" spans="2:25" x14ac:dyDescent="0.2">
      <c r="B901" s="77"/>
      <c r="C901" s="77"/>
      <c r="D901" s="77"/>
      <c r="E901" s="77"/>
      <c r="F901" s="77"/>
      <c r="G901" s="77"/>
      <c r="H901" s="77"/>
      <c r="I901" s="77"/>
      <c r="J901" s="77"/>
      <c r="K901" s="77"/>
      <c r="L901" s="77"/>
      <c r="M901" s="77"/>
      <c r="N901" s="77"/>
      <c r="O901" s="77"/>
      <c r="R901" s="77"/>
      <c r="V901" s="77"/>
      <c r="Y901" s="77"/>
    </row>
    <row r="902" spans="2:25" x14ac:dyDescent="0.2">
      <c r="B902" s="77"/>
      <c r="C902" s="77"/>
      <c r="D902" s="77"/>
      <c r="E902" s="77"/>
      <c r="F902" s="77"/>
      <c r="G902" s="77"/>
      <c r="H902" s="77"/>
      <c r="I902" s="77"/>
      <c r="J902" s="77"/>
      <c r="K902" s="77"/>
      <c r="L902" s="77"/>
      <c r="M902" s="77"/>
      <c r="N902" s="77"/>
      <c r="O902" s="77"/>
      <c r="R902" s="77"/>
      <c r="V902" s="77"/>
      <c r="Y902" s="77"/>
    </row>
    <row r="903" spans="2:25" x14ac:dyDescent="0.2">
      <c r="B903" s="77"/>
      <c r="C903" s="77"/>
      <c r="D903" s="77"/>
      <c r="E903" s="77"/>
      <c r="F903" s="77"/>
      <c r="G903" s="77"/>
      <c r="H903" s="77"/>
      <c r="I903" s="77"/>
      <c r="J903" s="77"/>
      <c r="K903" s="77"/>
      <c r="L903" s="77"/>
      <c r="M903" s="77"/>
      <c r="N903" s="77"/>
      <c r="O903" s="77"/>
      <c r="R903" s="77"/>
      <c r="V903" s="77"/>
      <c r="Y903" s="77"/>
    </row>
    <row r="904" spans="2:25" x14ac:dyDescent="0.2">
      <c r="B904" s="77"/>
      <c r="C904" s="77"/>
      <c r="D904" s="77"/>
      <c r="E904" s="77"/>
      <c r="F904" s="77"/>
      <c r="G904" s="77"/>
      <c r="H904" s="77"/>
      <c r="I904" s="77"/>
      <c r="J904" s="77"/>
      <c r="K904" s="77"/>
      <c r="L904" s="77"/>
      <c r="M904" s="77"/>
      <c r="N904" s="77"/>
      <c r="O904" s="77"/>
      <c r="R904" s="77"/>
      <c r="V904" s="77"/>
      <c r="Y904" s="77"/>
    </row>
    <row r="905" spans="2:25" x14ac:dyDescent="0.2">
      <c r="B905" s="77"/>
      <c r="C905" s="77"/>
      <c r="D905" s="77"/>
      <c r="E905" s="77"/>
      <c r="F905" s="77"/>
      <c r="G905" s="77"/>
      <c r="H905" s="77"/>
      <c r="I905" s="77"/>
      <c r="J905" s="77"/>
      <c r="K905" s="77"/>
      <c r="L905" s="77"/>
      <c r="M905" s="77"/>
      <c r="N905" s="77"/>
      <c r="O905" s="77"/>
      <c r="R905" s="77"/>
      <c r="V905" s="77"/>
      <c r="Y905" s="77"/>
    </row>
    <row r="906" spans="2:25" x14ac:dyDescent="0.2">
      <c r="B906" s="77"/>
      <c r="C906" s="77"/>
      <c r="D906" s="77"/>
      <c r="E906" s="77"/>
      <c r="F906" s="77"/>
      <c r="G906" s="77"/>
      <c r="H906" s="77"/>
      <c r="I906" s="77"/>
      <c r="J906" s="77"/>
      <c r="K906" s="77"/>
      <c r="L906" s="77"/>
      <c r="M906" s="77"/>
      <c r="N906" s="77"/>
      <c r="O906" s="77"/>
      <c r="R906" s="77"/>
      <c r="V906" s="77"/>
      <c r="Y906" s="77"/>
    </row>
    <row r="907" spans="2:25" x14ac:dyDescent="0.2">
      <c r="B907" s="77"/>
      <c r="C907" s="77"/>
      <c r="D907" s="77"/>
      <c r="E907" s="77"/>
      <c r="F907" s="77"/>
      <c r="G907" s="77"/>
      <c r="H907" s="77"/>
      <c r="I907" s="77"/>
      <c r="J907" s="77"/>
      <c r="K907" s="77"/>
      <c r="L907" s="77"/>
      <c r="M907" s="77"/>
      <c r="N907" s="77"/>
      <c r="O907" s="77"/>
      <c r="R907" s="77"/>
      <c r="V907" s="77"/>
      <c r="Y907" s="77"/>
    </row>
    <row r="908" spans="2:25" x14ac:dyDescent="0.2">
      <c r="B908" s="77"/>
      <c r="C908" s="77"/>
      <c r="D908" s="77"/>
      <c r="E908" s="77"/>
      <c r="F908" s="77"/>
      <c r="G908" s="77"/>
      <c r="H908" s="77"/>
      <c r="I908" s="77"/>
      <c r="J908" s="77"/>
      <c r="K908" s="77"/>
      <c r="L908" s="77"/>
      <c r="M908" s="77"/>
      <c r="N908" s="77"/>
      <c r="O908" s="77"/>
      <c r="R908" s="77"/>
      <c r="V908" s="77"/>
      <c r="Y908" s="77"/>
    </row>
    <row r="909" spans="2:25" x14ac:dyDescent="0.2">
      <c r="B909" s="77"/>
      <c r="C909" s="77"/>
      <c r="D909" s="77"/>
      <c r="E909" s="77"/>
      <c r="F909" s="77"/>
      <c r="G909" s="77"/>
      <c r="H909" s="77"/>
      <c r="I909" s="77"/>
      <c r="J909" s="77"/>
      <c r="K909" s="77"/>
      <c r="L909" s="77"/>
      <c r="M909" s="77"/>
      <c r="N909" s="77"/>
      <c r="O909" s="77"/>
      <c r="R909" s="77"/>
      <c r="V909" s="77"/>
      <c r="Y909" s="77"/>
    </row>
    <row r="910" spans="2:25" x14ac:dyDescent="0.2">
      <c r="B910" s="77"/>
      <c r="C910" s="77"/>
      <c r="D910" s="77"/>
      <c r="E910" s="77"/>
      <c r="F910" s="77"/>
      <c r="G910" s="77"/>
      <c r="H910" s="77"/>
      <c r="I910" s="77"/>
      <c r="J910" s="77"/>
      <c r="K910" s="77"/>
      <c r="L910" s="77"/>
      <c r="M910" s="77"/>
      <c r="N910" s="77"/>
      <c r="O910" s="77"/>
      <c r="R910" s="77"/>
      <c r="V910" s="77"/>
      <c r="Y910" s="77"/>
    </row>
    <row r="911" spans="2:25" x14ac:dyDescent="0.2">
      <c r="B911" s="77"/>
      <c r="C911" s="77"/>
      <c r="D911" s="77"/>
      <c r="E911" s="77"/>
      <c r="F911" s="77"/>
      <c r="G911" s="77"/>
      <c r="H911" s="77"/>
      <c r="I911" s="77"/>
      <c r="J911" s="77"/>
      <c r="K911" s="77"/>
      <c r="L911" s="77"/>
      <c r="M911" s="77"/>
      <c r="N911" s="77"/>
      <c r="O911" s="77"/>
      <c r="R911" s="77"/>
      <c r="V911" s="77"/>
      <c r="Y911" s="77"/>
    </row>
    <row r="912" spans="2:25" x14ac:dyDescent="0.2">
      <c r="B912" s="77"/>
      <c r="C912" s="77"/>
      <c r="D912" s="77"/>
      <c r="E912" s="77"/>
      <c r="F912" s="77"/>
      <c r="G912" s="77"/>
      <c r="H912" s="77"/>
      <c r="I912" s="77"/>
      <c r="J912" s="77"/>
      <c r="K912" s="77"/>
      <c r="L912" s="77"/>
      <c r="M912" s="77"/>
      <c r="N912" s="77"/>
      <c r="O912" s="77"/>
      <c r="R912" s="77"/>
      <c r="V912" s="77"/>
      <c r="Y912" s="77"/>
    </row>
    <row r="913" spans="2:25" x14ac:dyDescent="0.2">
      <c r="B913" s="77"/>
      <c r="C913" s="77"/>
      <c r="D913" s="77"/>
      <c r="E913" s="77"/>
      <c r="F913" s="77"/>
      <c r="G913" s="77"/>
      <c r="H913" s="77"/>
      <c r="I913" s="77"/>
      <c r="J913" s="77"/>
      <c r="K913" s="77"/>
      <c r="L913" s="77"/>
      <c r="M913" s="77"/>
      <c r="N913" s="77"/>
      <c r="O913" s="77"/>
      <c r="R913" s="77"/>
      <c r="V913" s="77"/>
      <c r="Y913" s="77"/>
    </row>
    <row r="914" spans="2:25" x14ac:dyDescent="0.2">
      <c r="B914" s="77"/>
      <c r="C914" s="77"/>
      <c r="D914" s="77"/>
      <c r="E914" s="77"/>
      <c r="F914" s="77"/>
      <c r="G914" s="77"/>
      <c r="H914" s="77"/>
      <c r="I914" s="77"/>
      <c r="J914" s="77"/>
      <c r="K914" s="77"/>
      <c r="L914" s="77"/>
      <c r="M914" s="77"/>
      <c r="N914" s="77"/>
      <c r="O914" s="77"/>
      <c r="R914" s="77"/>
      <c r="V914" s="77"/>
      <c r="Y914" s="77"/>
    </row>
    <row r="915" spans="2:25" x14ac:dyDescent="0.2">
      <c r="B915" s="77"/>
      <c r="C915" s="77"/>
      <c r="D915" s="77"/>
      <c r="E915" s="77"/>
      <c r="F915" s="77"/>
      <c r="G915" s="77"/>
      <c r="H915" s="77"/>
      <c r="I915" s="77"/>
      <c r="J915" s="77"/>
      <c r="K915" s="77"/>
      <c r="L915" s="77"/>
      <c r="M915" s="77"/>
      <c r="N915" s="77"/>
      <c r="O915" s="77"/>
      <c r="R915" s="77"/>
      <c r="V915" s="77"/>
      <c r="Y915" s="77"/>
    </row>
    <row r="916" spans="2:25" x14ac:dyDescent="0.2">
      <c r="B916" s="77"/>
      <c r="C916" s="77"/>
      <c r="D916" s="77"/>
      <c r="E916" s="77"/>
      <c r="F916" s="77"/>
      <c r="G916" s="77"/>
      <c r="H916" s="77"/>
      <c r="I916" s="77"/>
      <c r="J916" s="77"/>
      <c r="K916" s="77"/>
      <c r="L916" s="77"/>
      <c r="M916" s="77"/>
      <c r="N916" s="77"/>
      <c r="O916" s="77"/>
      <c r="R916" s="77"/>
      <c r="V916" s="77"/>
      <c r="Y916" s="77"/>
    </row>
    <row r="917" spans="2:25" x14ac:dyDescent="0.2">
      <c r="B917" s="77"/>
      <c r="C917" s="77"/>
      <c r="D917" s="77"/>
      <c r="E917" s="77"/>
      <c r="F917" s="77"/>
      <c r="G917" s="77"/>
      <c r="H917" s="77"/>
      <c r="I917" s="77"/>
      <c r="J917" s="77"/>
      <c r="K917" s="77"/>
      <c r="L917" s="77"/>
      <c r="M917" s="77"/>
      <c r="N917" s="77"/>
      <c r="O917" s="77"/>
      <c r="R917" s="77"/>
      <c r="V917" s="77"/>
      <c r="Y917" s="77"/>
    </row>
    <row r="918" spans="2:25" x14ac:dyDescent="0.2">
      <c r="B918" s="77"/>
      <c r="C918" s="77"/>
      <c r="D918" s="77"/>
      <c r="E918" s="77"/>
      <c r="F918" s="77"/>
      <c r="G918" s="77"/>
      <c r="H918" s="77"/>
      <c r="I918" s="77"/>
      <c r="J918" s="77"/>
      <c r="K918" s="77"/>
      <c r="L918" s="77"/>
      <c r="M918" s="77"/>
      <c r="N918" s="77"/>
      <c r="O918" s="77"/>
      <c r="R918" s="77"/>
      <c r="V918" s="77"/>
      <c r="Y918" s="77"/>
    </row>
    <row r="919" spans="2:25" x14ac:dyDescent="0.2">
      <c r="B919" s="77"/>
      <c r="C919" s="77"/>
      <c r="D919" s="77"/>
      <c r="E919" s="77"/>
      <c r="F919" s="77"/>
      <c r="G919" s="77"/>
      <c r="H919" s="77"/>
      <c r="I919" s="77"/>
      <c r="J919" s="77"/>
      <c r="K919" s="77"/>
      <c r="L919" s="77"/>
      <c r="M919" s="77"/>
      <c r="N919" s="77"/>
      <c r="O919" s="77"/>
      <c r="R919" s="77"/>
      <c r="V919" s="77"/>
      <c r="Y919" s="77"/>
    </row>
    <row r="920" spans="2:25" x14ac:dyDescent="0.2">
      <c r="B920" s="77"/>
      <c r="C920" s="77"/>
      <c r="D920" s="77"/>
      <c r="E920" s="77"/>
      <c r="F920" s="77"/>
      <c r="G920" s="77"/>
      <c r="H920" s="77"/>
      <c r="I920" s="77"/>
      <c r="J920" s="77"/>
      <c r="K920" s="77"/>
      <c r="L920" s="77"/>
      <c r="M920" s="77"/>
      <c r="N920" s="77"/>
      <c r="O920" s="77"/>
      <c r="R920" s="77"/>
      <c r="V920" s="77"/>
      <c r="Y920" s="77"/>
    </row>
    <row r="921" spans="2:25" x14ac:dyDescent="0.2">
      <c r="B921" s="77"/>
      <c r="C921" s="77"/>
      <c r="D921" s="77"/>
      <c r="E921" s="77"/>
      <c r="F921" s="77"/>
      <c r="G921" s="77"/>
      <c r="H921" s="77"/>
      <c r="I921" s="77"/>
      <c r="J921" s="77"/>
      <c r="K921" s="77"/>
      <c r="L921" s="77"/>
      <c r="M921" s="77"/>
      <c r="N921" s="77"/>
      <c r="O921" s="77"/>
      <c r="R921" s="77"/>
      <c r="V921" s="77"/>
      <c r="Y921" s="77"/>
    </row>
    <row r="922" spans="2:25" x14ac:dyDescent="0.2">
      <c r="B922" s="77"/>
      <c r="C922" s="77"/>
      <c r="D922" s="77"/>
      <c r="E922" s="77"/>
      <c r="F922" s="77"/>
      <c r="G922" s="77"/>
      <c r="H922" s="77"/>
      <c r="I922" s="77"/>
      <c r="J922" s="77"/>
      <c r="K922" s="77"/>
      <c r="L922" s="77"/>
      <c r="M922" s="77"/>
      <c r="N922" s="77"/>
      <c r="O922" s="77"/>
      <c r="R922" s="77"/>
      <c r="V922" s="77"/>
      <c r="Y922" s="77"/>
    </row>
    <row r="923" spans="2:25" x14ac:dyDescent="0.2">
      <c r="B923" s="77"/>
      <c r="C923" s="77"/>
      <c r="D923" s="77"/>
      <c r="E923" s="77"/>
      <c r="F923" s="77"/>
      <c r="G923" s="77"/>
      <c r="H923" s="77"/>
      <c r="I923" s="77"/>
      <c r="J923" s="77"/>
      <c r="K923" s="77"/>
      <c r="L923" s="77"/>
      <c r="M923" s="77"/>
      <c r="N923" s="77"/>
      <c r="O923" s="77"/>
      <c r="R923" s="77"/>
      <c r="V923" s="77"/>
      <c r="Y923" s="77"/>
    </row>
    <row r="924" spans="2:25" x14ac:dyDescent="0.2">
      <c r="B924" s="77"/>
      <c r="C924" s="77"/>
      <c r="D924" s="77"/>
      <c r="E924" s="77"/>
      <c r="F924" s="77"/>
      <c r="G924" s="77"/>
      <c r="H924" s="77"/>
      <c r="I924" s="77"/>
      <c r="J924" s="77"/>
      <c r="K924" s="77"/>
      <c r="L924" s="77"/>
      <c r="M924" s="77"/>
      <c r="N924" s="77"/>
      <c r="O924" s="77"/>
      <c r="R924" s="77"/>
      <c r="V924" s="77"/>
      <c r="Y924" s="77"/>
    </row>
    <row r="925" spans="2:25" x14ac:dyDescent="0.2">
      <c r="B925" s="77"/>
      <c r="C925" s="77"/>
      <c r="D925" s="77"/>
      <c r="E925" s="77"/>
      <c r="F925" s="77"/>
      <c r="G925" s="77"/>
      <c r="H925" s="77"/>
      <c r="I925" s="77"/>
      <c r="J925" s="77"/>
      <c r="K925" s="77"/>
      <c r="L925" s="77"/>
      <c r="M925" s="77"/>
      <c r="N925" s="77"/>
      <c r="O925" s="77"/>
      <c r="R925" s="77"/>
      <c r="V925" s="77"/>
      <c r="Y925" s="77"/>
    </row>
    <row r="926" spans="2:25" x14ac:dyDescent="0.2">
      <c r="B926" s="77"/>
      <c r="C926" s="77"/>
      <c r="D926" s="77"/>
      <c r="E926" s="77"/>
      <c r="F926" s="77"/>
      <c r="G926" s="77"/>
      <c r="H926" s="77"/>
      <c r="I926" s="77"/>
      <c r="J926" s="77"/>
      <c r="K926" s="77"/>
      <c r="L926" s="77"/>
      <c r="M926" s="77"/>
      <c r="N926" s="77"/>
      <c r="O926" s="77"/>
      <c r="R926" s="77"/>
      <c r="V926" s="77"/>
      <c r="Y926" s="77"/>
    </row>
    <row r="927" spans="2:25" x14ac:dyDescent="0.2">
      <c r="B927" s="77"/>
      <c r="C927" s="77"/>
      <c r="D927" s="77"/>
      <c r="E927" s="77"/>
      <c r="F927" s="77"/>
      <c r="G927" s="77"/>
      <c r="H927" s="77"/>
      <c r="I927" s="77"/>
      <c r="J927" s="77"/>
      <c r="K927" s="77"/>
      <c r="L927" s="77"/>
      <c r="M927" s="77"/>
      <c r="N927" s="77"/>
      <c r="O927" s="77"/>
      <c r="R927" s="77"/>
      <c r="V927" s="77"/>
      <c r="Y927" s="77"/>
    </row>
    <row r="928" spans="2:25" x14ac:dyDescent="0.2">
      <c r="B928" s="77"/>
      <c r="C928" s="77"/>
      <c r="D928" s="77"/>
      <c r="E928" s="77"/>
      <c r="F928" s="77"/>
      <c r="G928" s="77"/>
      <c r="H928" s="77"/>
      <c r="I928" s="77"/>
      <c r="J928" s="77"/>
      <c r="K928" s="77"/>
      <c r="L928" s="77"/>
      <c r="M928" s="77"/>
      <c r="N928" s="77"/>
      <c r="O928" s="77"/>
      <c r="R928" s="77"/>
      <c r="V928" s="77"/>
      <c r="Y928" s="77"/>
    </row>
    <row r="929" spans="2:25" x14ac:dyDescent="0.2">
      <c r="B929" s="77"/>
      <c r="C929" s="77"/>
      <c r="D929" s="77"/>
      <c r="E929" s="77"/>
      <c r="F929" s="77"/>
      <c r="G929" s="77"/>
      <c r="H929" s="77"/>
      <c r="I929" s="77"/>
      <c r="J929" s="77"/>
      <c r="K929" s="77"/>
      <c r="L929" s="77"/>
      <c r="M929" s="77"/>
      <c r="N929" s="77"/>
      <c r="O929" s="77"/>
      <c r="R929" s="77"/>
      <c r="V929" s="77"/>
      <c r="Y929" s="77"/>
    </row>
    <row r="930" spans="2:25" x14ac:dyDescent="0.2">
      <c r="B930" s="77"/>
      <c r="C930" s="77"/>
      <c r="D930" s="77"/>
      <c r="E930" s="77"/>
      <c r="F930" s="77"/>
      <c r="G930" s="77"/>
      <c r="H930" s="77"/>
      <c r="I930" s="77"/>
      <c r="J930" s="77"/>
      <c r="K930" s="77"/>
      <c r="L930" s="77"/>
      <c r="M930" s="77"/>
      <c r="N930" s="77"/>
      <c r="O930" s="77"/>
      <c r="R930" s="77"/>
      <c r="V930" s="77"/>
      <c r="Y930" s="77"/>
    </row>
    <row r="931" spans="2:25" x14ac:dyDescent="0.2">
      <c r="B931" s="77"/>
      <c r="C931" s="77"/>
      <c r="D931" s="77"/>
      <c r="E931" s="77"/>
      <c r="F931" s="77"/>
      <c r="G931" s="77"/>
      <c r="H931" s="77"/>
      <c r="I931" s="77"/>
      <c r="J931" s="77"/>
      <c r="K931" s="77"/>
      <c r="L931" s="77"/>
      <c r="M931" s="77"/>
      <c r="N931" s="77"/>
      <c r="O931" s="77"/>
      <c r="R931" s="77"/>
      <c r="V931" s="77"/>
      <c r="Y931" s="77"/>
    </row>
    <row r="932" spans="2:25" x14ac:dyDescent="0.2">
      <c r="B932" s="77"/>
      <c r="C932" s="77"/>
      <c r="D932" s="77"/>
      <c r="E932" s="77"/>
      <c r="F932" s="77"/>
      <c r="G932" s="77"/>
      <c r="H932" s="77"/>
      <c r="I932" s="77"/>
      <c r="J932" s="77"/>
      <c r="K932" s="77"/>
      <c r="L932" s="77"/>
      <c r="M932" s="77"/>
      <c r="N932" s="77"/>
      <c r="O932" s="77"/>
      <c r="R932" s="77"/>
      <c r="V932" s="77"/>
      <c r="Y932" s="77"/>
    </row>
    <row r="933" spans="2:25" x14ac:dyDescent="0.2">
      <c r="B933" s="77"/>
      <c r="C933" s="77"/>
      <c r="D933" s="77"/>
      <c r="E933" s="77"/>
      <c r="F933" s="77"/>
      <c r="G933" s="77"/>
      <c r="H933" s="77"/>
      <c r="I933" s="77"/>
      <c r="J933" s="77"/>
      <c r="K933" s="77"/>
      <c r="L933" s="77"/>
      <c r="M933" s="77"/>
      <c r="N933" s="77"/>
      <c r="O933" s="77"/>
      <c r="R933" s="77"/>
      <c r="V933" s="77"/>
      <c r="Y933" s="77"/>
    </row>
    <row r="934" spans="2:25" x14ac:dyDescent="0.2">
      <c r="B934" s="77"/>
      <c r="C934" s="77"/>
      <c r="D934" s="77"/>
      <c r="E934" s="77"/>
      <c r="F934" s="77"/>
      <c r="G934" s="77"/>
      <c r="H934" s="77"/>
      <c r="I934" s="77"/>
      <c r="J934" s="77"/>
      <c r="K934" s="77"/>
      <c r="L934" s="77"/>
      <c r="M934" s="77"/>
      <c r="N934" s="77"/>
      <c r="O934" s="77"/>
      <c r="R934" s="77"/>
      <c r="V934" s="77"/>
      <c r="Y934" s="77"/>
    </row>
    <row r="935" spans="2:25" x14ac:dyDescent="0.2">
      <c r="B935" s="77"/>
      <c r="C935" s="77"/>
      <c r="D935" s="77"/>
      <c r="E935" s="77"/>
      <c r="F935" s="77"/>
      <c r="G935" s="77"/>
      <c r="H935" s="77"/>
      <c r="I935" s="77"/>
      <c r="J935" s="77"/>
      <c r="K935" s="77"/>
      <c r="L935" s="77"/>
      <c r="M935" s="77"/>
      <c r="N935" s="77"/>
      <c r="O935" s="77"/>
      <c r="R935" s="77"/>
      <c r="V935" s="77"/>
      <c r="Y935" s="77"/>
    </row>
    <row r="936" spans="2:25" x14ac:dyDescent="0.2">
      <c r="B936" s="77"/>
      <c r="C936" s="77"/>
      <c r="D936" s="77"/>
      <c r="E936" s="77"/>
      <c r="F936" s="77"/>
      <c r="G936" s="77"/>
      <c r="H936" s="77"/>
      <c r="I936" s="77"/>
      <c r="J936" s="77"/>
      <c r="K936" s="77"/>
      <c r="L936" s="77"/>
      <c r="M936" s="77"/>
      <c r="N936" s="77"/>
      <c r="O936" s="77"/>
      <c r="R936" s="77"/>
      <c r="V936" s="77"/>
      <c r="Y936" s="77"/>
    </row>
    <row r="937" spans="2:25" x14ac:dyDescent="0.2">
      <c r="B937" s="77"/>
      <c r="C937" s="77"/>
      <c r="D937" s="77"/>
      <c r="E937" s="77"/>
      <c r="F937" s="77"/>
      <c r="G937" s="77"/>
      <c r="H937" s="77"/>
      <c r="I937" s="77"/>
      <c r="J937" s="77"/>
      <c r="K937" s="77"/>
      <c r="L937" s="77"/>
      <c r="M937" s="77"/>
      <c r="N937" s="77"/>
      <c r="O937" s="77"/>
      <c r="R937" s="77"/>
      <c r="V937" s="77"/>
      <c r="Y937" s="77"/>
    </row>
    <row r="938" spans="2:25" x14ac:dyDescent="0.2">
      <c r="B938" s="77"/>
      <c r="C938" s="77"/>
      <c r="D938" s="77"/>
      <c r="E938" s="77"/>
      <c r="F938" s="77"/>
      <c r="G938" s="77"/>
      <c r="H938" s="77"/>
      <c r="I938" s="77"/>
      <c r="J938" s="77"/>
      <c r="K938" s="77"/>
      <c r="L938" s="77"/>
      <c r="M938" s="77"/>
      <c r="N938" s="77"/>
      <c r="O938" s="77"/>
      <c r="R938" s="77"/>
      <c r="V938" s="77"/>
      <c r="Y938" s="77"/>
    </row>
    <row r="939" spans="2:25" x14ac:dyDescent="0.2">
      <c r="B939" s="77"/>
      <c r="C939" s="77"/>
      <c r="D939" s="77"/>
      <c r="E939" s="77"/>
      <c r="F939" s="77"/>
      <c r="G939" s="77"/>
      <c r="H939" s="77"/>
      <c r="I939" s="77"/>
      <c r="J939" s="77"/>
      <c r="K939" s="77"/>
      <c r="L939" s="77"/>
      <c r="M939" s="77"/>
      <c r="N939" s="77"/>
      <c r="O939" s="77"/>
      <c r="R939" s="77"/>
      <c r="V939" s="77"/>
      <c r="Y939" s="77"/>
    </row>
    <row r="940" spans="2:25" x14ac:dyDescent="0.2">
      <c r="B940" s="77"/>
      <c r="C940" s="77"/>
      <c r="D940" s="77"/>
      <c r="E940" s="77"/>
      <c r="F940" s="77"/>
      <c r="G940" s="77"/>
      <c r="H940" s="77"/>
      <c r="I940" s="77"/>
      <c r="J940" s="77"/>
      <c r="K940" s="77"/>
      <c r="L940" s="77"/>
      <c r="M940" s="77"/>
      <c r="N940" s="77"/>
      <c r="O940" s="77"/>
      <c r="R940" s="77"/>
      <c r="V940" s="77"/>
      <c r="Y940" s="77"/>
    </row>
    <row r="941" spans="2:25" x14ac:dyDescent="0.2">
      <c r="B941" s="77"/>
      <c r="C941" s="77"/>
      <c r="D941" s="77"/>
      <c r="E941" s="77"/>
      <c r="F941" s="77"/>
      <c r="G941" s="77"/>
      <c r="H941" s="77"/>
      <c r="I941" s="77"/>
      <c r="J941" s="77"/>
      <c r="K941" s="77"/>
      <c r="L941" s="77"/>
      <c r="M941" s="77"/>
      <c r="N941" s="77"/>
      <c r="O941" s="77"/>
      <c r="R941" s="77"/>
      <c r="V941" s="77"/>
      <c r="Y941" s="77"/>
    </row>
    <row r="942" spans="2:25" x14ac:dyDescent="0.2">
      <c r="B942" s="77"/>
      <c r="C942" s="77"/>
      <c r="D942" s="77"/>
      <c r="E942" s="77"/>
      <c r="F942" s="77"/>
      <c r="G942" s="77"/>
      <c r="H942" s="77"/>
      <c r="I942" s="77"/>
      <c r="J942" s="77"/>
      <c r="K942" s="77"/>
      <c r="L942" s="77"/>
      <c r="M942" s="77"/>
      <c r="N942" s="77"/>
      <c r="O942" s="77"/>
      <c r="R942" s="77"/>
      <c r="V942" s="77"/>
      <c r="Y942" s="77"/>
    </row>
    <row r="943" spans="2:25" x14ac:dyDescent="0.2">
      <c r="B943" s="77"/>
      <c r="C943" s="77"/>
      <c r="D943" s="77"/>
      <c r="E943" s="77"/>
      <c r="F943" s="77"/>
      <c r="G943" s="77"/>
      <c r="H943" s="77"/>
      <c r="I943" s="77"/>
      <c r="J943" s="77"/>
      <c r="K943" s="77"/>
      <c r="L943" s="77"/>
      <c r="M943" s="77"/>
      <c r="N943" s="77"/>
      <c r="O943" s="77"/>
      <c r="R943" s="77"/>
      <c r="V943" s="77"/>
      <c r="Y943" s="77"/>
    </row>
    <row r="944" spans="2:25" x14ac:dyDescent="0.2">
      <c r="B944" s="77"/>
      <c r="C944" s="77"/>
      <c r="D944" s="77"/>
      <c r="E944" s="77"/>
      <c r="F944" s="77"/>
      <c r="G944" s="77"/>
      <c r="H944" s="77"/>
      <c r="I944" s="77"/>
      <c r="J944" s="77"/>
      <c r="K944" s="77"/>
      <c r="L944" s="77"/>
      <c r="M944" s="77"/>
      <c r="N944" s="77"/>
      <c r="O944" s="77"/>
      <c r="R944" s="77"/>
      <c r="V944" s="77"/>
      <c r="Y944" s="77"/>
    </row>
    <row r="945" spans="2:25" x14ac:dyDescent="0.2">
      <c r="B945" s="77"/>
      <c r="C945" s="77"/>
      <c r="D945" s="77"/>
      <c r="E945" s="77"/>
      <c r="F945" s="77"/>
      <c r="G945" s="77"/>
      <c r="H945" s="77"/>
      <c r="I945" s="77"/>
      <c r="J945" s="77"/>
      <c r="K945" s="77"/>
      <c r="L945" s="77"/>
      <c r="M945" s="77"/>
      <c r="N945" s="77"/>
      <c r="O945" s="77"/>
      <c r="R945" s="77"/>
      <c r="V945" s="77"/>
      <c r="Y945" s="77"/>
    </row>
    <row r="946" spans="2:25" x14ac:dyDescent="0.2">
      <c r="B946" s="77"/>
      <c r="C946" s="77"/>
      <c r="D946" s="77"/>
      <c r="E946" s="77"/>
      <c r="F946" s="77"/>
      <c r="G946" s="77"/>
      <c r="H946" s="77"/>
      <c r="I946" s="77"/>
      <c r="J946" s="77"/>
      <c r="K946" s="77"/>
      <c r="L946" s="77"/>
      <c r="M946" s="77"/>
      <c r="N946" s="77"/>
      <c r="O946" s="77"/>
      <c r="R946" s="77"/>
      <c r="V946" s="77"/>
      <c r="Y946" s="77"/>
    </row>
    <row r="947" spans="2:25" x14ac:dyDescent="0.2">
      <c r="B947" s="77"/>
      <c r="C947" s="77"/>
      <c r="D947" s="77"/>
      <c r="E947" s="77"/>
      <c r="F947" s="77"/>
      <c r="G947" s="77"/>
      <c r="H947" s="77"/>
      <c r="I947" s="77"/>
      <c r="J947" s="77"/>
      <c r="K947" s="77"/>
      <c r="L947" s="77"/>
      <c r="M947" s="77"/>
      <c r="N947" s="77"/>
      <c r="O947" s="77"/>
      <c r="R947" s="77"/>
      <c r="V947" s="77"/>
      <c r="Y947" s="77"/>
    </row>
    <row r="948" spans="2:25" x14ac:dyDescent="0.2">
      <c r="B948" s="77"/>
      <c r="C948" s="77"/>
      <c r="D948" s="77"/>
      <c r="E948" s="77"/>
      <c r="F948" s="77"/>
      <c r="G948" s="77"/>
      <c r="H948" s="77"/>
      <c r="I948" s="77"/>
      <c r="J948" s="77"/>
      <c r="K948" s="77"/>
      <c r="L948" s="77"/>
      <c r="M948" s="77"/>
      <c r="N948" s="77"/>
      <c r="O948" s="77"/>
      <c r="R948" s="77"/>
      <c r="V948" s="77"/>
      <c r="Y948" s="77"/>
    </row>
    <row r="949" spans="2:25" x14ac:dyDescent="0.2">
      <c r="B949" s="77"/>
      <c r="C949" s="77"/>
      <c r="D949" s="77"/>
      <c r="E949" s="77"/>
      <c r="F949" s="77"/>
      <c r="G949" s="77"/>
      <c r="H949" s="77"/>
      <c r="I949" s="77"/>
      <c r="J949" s="77"/>
      <c r="K949" s="77"/>
      <c r="L949" s="77"/>
      <c r="M949" s="77"/>
      <c r="N949" s="77"/>
      <c r="O949" s="77"/>
      <c r="R949" s="77"/>
      <c r="V949" s="77"/>
      <c r="Y949" s="77"/>
    </row>
    <row r="950" spans="2:25" x14ac:dyDescent="0.2">
      <c r="B950" s="77"/>
      <c r="C950" s="77"/>
      <c r="D950" s="77"/>
      <c r="E950" s="77"/>
      <c r="F950" s="77"/>
      <c r="G950" s="77"/>
      <c r="H950" s="77"/>
      <c r="I950" s="77"/>
      <c r="J950" s="77"/>
      <c r="K950" s="77"/>
      <c r="L950" s="77"/>
      <c r="M950" s="77"/>
      <c r="N950" s="77"/>
      <c r="O950" s="77"/>
      <c r="R950" s="77"/>
      <c r="V950" s="77"/>
      <c r="Y950" s="77"/>
    </row>
    <row r="951" spans="2:25" x14ac:dyDescent="0.2">
      <c r="B951" s="77"/>
      <c r="C951" s="77"/>
      <c r="D951" s="77"/>
      <c r="E951" s="77"/>
      <c r="F951" s="77"/>
      <c r="G951" s="77"/>
      <c r="H951" s="77"/>
      <c r="I951" s="77"/>
      <c r="J951" s="77"/>
      <c r="K951" s="77"/>
      <c r="L951" s="77"/>
      <c r="M951" s="77"/>
      <c r="N951" s="77"/>
      <c r="O951" s="77"/>
      <c r="R951" s="77"/>
      <c r="V951" s="77"/>
      <c r="Y951" s="77"/>
    </row>
    <row r="952" spans="2:25" x14ac:dyDescent="0.2">
      <c r="B952" s="77"/>
      <c r="C952" s="77"/>
      <c r="D952" s="77"/>
      <c r="E952" s="77"/>
      <c r="F952" s="77"/>
      <c r="G952" s="77"/>
      <c r="H952" s="77"/>
      <c r="I952" s="77"/>
      <c r="J952" s="77"/>
      <c r="K952" s="77"/>
      <c r="L952" s="77"/>
      <c r="M952" s="77"/>
      <c r="N952" s="77"/>
      <c r="O952" s="77"/>
      <c r="R952" s="77"/>
      <c r="V952" s="77"/>
      <c r="Y952" s="77"/>
    </row>
  </sheetData>
  <pageMargins left="0.25" right="0.25" top="0.5" bottom="0.19791666666666666" header="0.19791666666666666" footer="0.3"/>
  <pageSetup orientation="portrait" r:id="rId1"/>
  <headerFooter>
    <oddHeader>&amp;L&amp;"-,Bold"&amp;14Dragalia Lost V3 Re;Works Adventurer EXP Revision</oddHeader>
  </headerFooter>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7F52AC-97C1-4395-B6CC-F41F6DFE0201}">
  <sheetPr>
    <outlinePr summaryBelow="0" summaryRight="0"/>
  </sheetPr>
  <dimension ref="A1:M41"/>
  <sheetViews>
    <sheetView zoomScaleNormal="100" workbookViewId="0"/>
  </sheetViews>
  <sheetFormatPr defaultColWidth="12.625" defaultRowHeight="14.25" x14ac:dyDescent="0.2"/>
  <cols>
    <col min="1" max="1" width="24.625" bestFit="1" customWidth="1"/>
    <col min="2" max="2" width="3.125" bestFit="1" customWidth="1"/>
    <col min="3" max="3" width="8.625" bestFit="1" customWidth="1"/>
    <col min="4" max="4" width="7.25" bestFit="1" customWidth="1"/>
    <col min="5" max="5" width="2.25" customWidth="1"/>
    <col min="6" max="6" width="3.125" bestFit="1" customWidth="1"/>
    <col min="7" max="7" width="7.25" bestFit="1" customWidth="1"/>
    <col min="8" max="8" width="6.25" bestFit="1" customWidth="1"/>
    <col min="9" max="9" width="2.25" customWidth="1"/>
    <col min="10" max="10" width="3.125" bestFit="1" customWidth="1"/>
    <col min="11" max="11" width="7.25" bestFit="1" customWidth="1"/>
    <col min="12" max="12" width="6.25" bestFit="1" customWidth="1"/>
    <col min="13" max="13" width="3.625" customWidth="1"/>
  </cols>
  <sheetData>
    <row r="1" spans="1:13" x14ac:dyDescent="0.2">
      <c r="A1" s="76"/>
      <c r="B1" s="755" t="s">
        <v>21876</v>
      </c>
      <c r="C1" s="756"/>
      <c r="D1" s="757"/>
      <c r="E1" s="1"/>
      <c r="F1" s="755" t="s">
        <v>21877</v>
      </c>
      <c r="G1" s="756"/>
      <c r="H1" s="757"/>
      <c r="I1" s="1"/>
      <c r="J1" s="755" t="s">
        <v>21878</v>
      </c>
      <c r="K1" s="756"/>
      <c r="L1" s="757"/>
      <c r="M1" s="1"/>
    </row>
    <row r="2" spans="1:13" x14ac:dyDescent="0.2">
      <c r="A2" s="1"/>
      <c r="B2" s="119" t="s">
        <v>13706</v>
      </c>
      <c r="C2" s="2" t="s">
        <v>21879</v>
      </c>
      <c r="D2" s="120" t="s">
        <v>21880</v>
      </c>
      <c r="E2" s="1"/>
      <c r="F2" s="119" t="s">
        <v>13706</v>
      </c>
      <c r="G2" s="2" t="s">
        <v>21879</v>
      </c>
      <c r="H2" s="120" t="s">
        <v>21880</v>
      </c>
      <c r="I2" s="1"/>
      <c r="J2" s="119" t="s">
        <v>13706</v>
      </c>
      <c r="K2" s="2" t="s">
        <v>21879</v>
      </c>
      <c r="L2" s="120" t="s">
        <v>21880</v>
      </c>
      <c r="M2" s="1"/>
    </row>
    <row r="3" spans="1:13" x14ac:dyDescent="0.2">
      <c r="B3" s="93">
        <v>1</v>
      </c>
      <c r="C3">
        <v>100</v>
      </c>
      <c r="D3" s="130">
        <v>0</v>
      </c>
      <c r="F3" s="93">
        <v>1</v>
      </c>
      <c r="G3" s="89">
        <v>50</v>
      </c>
      <c r="H3" s="131">
        <v>0</v>
      </c>
      <c r="J3" s="93">
        <v>1</v>
      </c>
      <c r="K3" s="89">
        <f>C3*0.5</f>
        <v>50</v>
      </c>
      <c r="L3" s="131">
        <f>D3*0.5</f>
        <v>0</v>
      </c>
      <c r="M3" s="92"/>
    </row>
    <row r="4" spans="1:13" x14ac:dyDescent="0.2">
      <c r="B4" s="93">
        <v>2</v>
      </c>
      <c r="C4">
        <v>250</v>
      </c>
      <c r="D4" s="130">
        <v>0</v>
      </c>
      <c r="F4" s="93">
        <v>2</v>
      </c>
      <c r="G4" s="89">
        <v>125</v>
      </c>
      <c r="H4" s="131">
        <v>0</v>
      </c>
      <c r="J4" s="93">
        <v>2</v>
      </c>
      <c r="K4" s="89">
        <f t="shared" ref="K4:K22" si="0">C4*0.5</f>
        <v>125</v>
      </c>
      <c r="L4" s="131">
        <f t="shared" ref="L4:L22" si="1">D4*0.5</f>
        <v>0</v>
      </c>
      <c r="M4" s="92"/>
    </row>
    <row r="5" spans="1:13" x14ac:dyDescent="0.2">
      <c r="B5" s="93">
        <v>3</v>
      </c>
      <c r="C5">
        <v>500</v>
      </c>
      <c r="D5" s="130">
        <v>0</v>
      </c>
      <c r="F5" s="93">
        <v>3</v>
      </c>
      <c r="G5" s="89">
        <v>250</v>
      </c>
      <c r="H5" s="131">
        <v>0</v>
      </c>
      <c r="J5" s="93">
        <v>3</v>
      </c>
      <c r="K5" s="89">
        <f t="shared" si="0"/>
        <v>250</v>
      </c>
      <c r="L5" s="131">
        <f t="shared" si="1"/>
        <v>0</v>
      </c>
      <c r="M5" s="92"/>
    </row>
    <row r="6" spans="1:13" x14ac:dyDescent="0.2">
      <c r="B6" s="93">
        <v>4</v>
      </c>
      <c r="C6">
        <v>750</v>
      </c>
      <c r="D6" s="130">
        <v>0</v>
      </c>
      <c r="F6" s="93">
        <v>4</v>
      </c>
      <c r="G6" s="89">
        <v>375</v>
      </c>
      <c r="H6" s="131">
        <v>0</v>
      </c>
      <c r="J6" s="93">
        <v>4</v>
      </c>
      <c r="K6" s="89">
        <f t="shared" si="0"/>
        <v>375</v>
      </c>
      <c r="L6" s="131">
        <f t="shared" si="1"/>
        <v>0</v>
      </c>
    </row>
    <row r="7" spans="1:13" x14ac:dyDescent="0.2">
      <c r="B7" s="93">
        <v>5</v>
      </c>
      <c r="C7" s="89">
        <v>1000</v>
      </c>
      <c r="D7" s="130">
        <v>0</v>
      </c>
      <c r="F7" s="93">
        <v>5</v>
      </c>
      <c r="G7" s="89">
        <v>500</v>
      </c>
      <c r="H7" s="131">
        <v>0</v>
      </c>
      <c r="J7" s="93">
        <v>5</v>
      </c>
      <c r="K7" s="89">
        <f t="shared" si="0"/>
        <v>500</v>
      </c>
      <c r="L7" s="131">
        <f t="shared" si="1"/>
        <v>0</v>
      </c>
    </row>
    <row r="8" spans="1:13" x14ac:dyDescent="0.2">
      <c r="B8" s="93">
        <v>6</v>
      </c>
      <c r="C8" s="89">
        <v>1250</v>
      </c>
      <c r="D8" s="130">
        <v>0</v>
      </c>
      <c r="F8" s="93">
        <v>6</v>
      </c>
      <c r="G8" s="89">
        <v>625</v>
      </c>
      <c r="H8" s="131">
        <v>0</v>
      </c>
      <c r="J8" s="93">
        <v>6</v>
      </c>
      <c r="K8" s="89">
        <f t="shared" si="0"/>
        <v>625</v>
      </c>
      <c r="L8" s="131">
        <f t="shared" si="1"/>
        <v>0</v>
      </c>
    </row>
    <row r="9" spans="1:13" x14ac:dyDescent="0.2">
      <c r="B9" s="93">
        <v>7</v>
      </c>
      <c r="C9" s="89">
        <v>1500</v>
      </c>
      <c r="D9" s="130">
        <v>0</v>
      </c>
      <c r="F9" s="93">
        <v>7</v>
      </c>
      <c r="G9" s="89">
        <v>750</v>
      </c>
      <c r="H9" s="131">
        <v>0</v>
      </c>
      <c r="J9" s="93">
        <v>7</v>
      </c>
      <c r="K9" s="89">
        <f t="shared" si="0"/>
        <v>750</v>
      </c>
      <c r="L9" s="131">
        <f t="shared" si="1"/>
        <v>0</v>
      </c>
      <c r="M9" s="92"/>
    </row>
    <row r="10" spans="1:13" x14ac:dyDescent="0.2">
      <c r="B10" s="93">
        <v>8</v>
      </c>
      <c r="C10" s="89">
        <v>1750</v>
      </c>
      <c r="D10" s="130">
        <v>0</v>
      </c>
      <c r="F10" s="93">
        <v>8</v>
      </c>
      <c r="G10" s="89">
        <v>875</v>
      </c>
      <c r="H10" s="131">
        <v>0</v>
      </c>
      <c r="J10" s="93">
        <v>8</v>
      </c>
      <c r="K10" s="89">
        <f t="shared" si="0"/>
        <v>875</v>
      </c>
      <c r="L10" s="131">
        <f t="shared" si="1"/>
        <v>0</v>
      </c>
      <c r="M10" s="92"/>
    </row>
    <row r="11" spans="1:13" x14ac:dyDescent="0.2">
      <c r="B11" s="93">
        <v>9</v>
      </c>
      <c r="C11" s="89">
        <v>2000</v>
      </c>
      <c r="D11" s="130">
        <v>0</v>
      </c>
      <c r="F11" s="93">
        <v>9</v>
      </c>
      <c r="G11" s="89">
        <v>1000</v>
      </c>
      <c r="H11" s="131">
        <v>0</v>
      </c>
      <c r="J11" s="93">
        <v>9</v>
      </c>
      <c r="K11" s="89">
        <f t="shared" si="0"/>
        <v>1000</v>
      </c>
      <c r="L11" s="131">
        <f t="shared" si="1"/>
        <v>0</v>
      </c>
      <c r="M11" s="92"/>
    </row>
    <row r="12" spans="1:13" x14ac:dyDescent="0.2">
      <c r="B12" s="93">
        <v>10</v>
      </c>
      <c r="C12" s="89">
        <v>2250</v>
      </c>
      <c r="D12" s="130">
        <v>0</v>
      </c>
      <c r="F12" s="93">
        <v>10</v>
      </c>
      <c r="G12" s="89">
        <v>1125</v>
      </c>
      <c r="H12" s="131">
        <v>0</v>
      </c>
      <c r="J12" s="93">
        <v>10</v>
      </c>
      <c r="K12" s="89">
        <f t="shared" si="0"/>
        <v>1125</v>
      </c>
      <c r="L12" s="131">
        <f t="shared" si="1"/>
        <v>0</v>
      </c>
      <c r="M12" s="92"/>
    </row>
    <row r="13" spans="1:13" x14ac:dyDescent="0.2">
      <c r="B13" s="93">
        <v>11</v>
      </c>
      <c r="C13" s="89">
        <v>2800</v>
      </c>
      <c r="D13" s="130">
        <v>200</v>
      </c>
      <c r="F13" s="93">
        <v>11</v>
      </c>
      <c r="G13" s="89">
        <v>1400</v>
      </c>
      <c r="H13" s="131">
        <v>100</v>
      </c>
      <c r="J13" s="93">
        <v>11</v>
      </c>
      <c r="K13" s="89">
        <f t="shared" si="0"/>
        <v>1400</v>
      </c>
      <c r="L13" s="131">
        <f t="shared" si="1"/>
        <v>100</v>
      </c>
      <c r="M13" s="92"/>
    </row>
    <row r="14" spans="1:13" x14ac:dyDescent="0.2">
      <c r="B14" s="93">
        <v>12</v>
      </c>
      <c r="C14" s="89">
        <v>3350</v>
      </c>
      <c r="D14" s="130">
        <v>300</v>
      </c>
      <c r="F14" s="93">
        <v>12</v>
      </c>
      <c r="G14" s="89">
        <v>1675</v>
      </c>
      <c r="H14" s="131">
        <v>150</v>
      </c>
      <c r="J14" s="93">
        <v>12</v>
      </c>
      <c r="K14" s="89">
        <f t="shared" si="0"/>
        <v>1675</v>
      </c>
      <c r="L14" s="131">
        <f t="shared" si="1"/>
        <v>150</v>
      </c>
    </row>
    <row r="15" spans="1:13" x14ac:dyDescent="0.2">
      <c r="B15" s="93">
        <v>13</v>
      </c>
      <c r="C15" s="89">
        <v>3900</v>
      </c>
      <c r="D15" s="130">
        <v>500</v>
      </c>
      <c r="F15" s="93">
        <v>13</v>
      </c>
      <c r="G15" s="89">
        <v>1950</v>
      </c>
      <c r="H15" s="131">
        <v>250</v>
      </c>
      <c r="J15" s="93">
        <v>13</v>
      </c>
      <c r="K15" s="89">
        <f t="shared" si="0"/>
        <v>1950</v>
      </c>
      <c r="L15" s="131">
        <f t="shared" si="1"/>
        <v>250</v>
      </c>
    </row>
    <row r="16" spans="1:13" x14ac:dyDescent="0.2">
      <c r="B16" s="93">
        <v>14</v>
      </c>
      <c r="C16" s="89">
        <v>4450</v>
      </c>
      <c r="D16" s="130">
        <v>700</v>
      </c>
      <c r="F16" s="93">
        <v>14</v>
      </c>
      <c r="G16" s="89">
        <v>2225</v>
      </c>
      <c r="H16" s="131">
        <v>350</v>
      </c>
      <c r="J16" s="93">
        <v>14</v>
      </c>
      <c r="K16" s="89">
        <f t="shared" si="0"/>
        <v>2225</v>
      </c>
      <c r="L16" s="131">
        <f t="shared" si="1"/>
        <v>350</v>
      </c>
    </row>
    <row r="17" spans="1:13" x14ac:dyDescent="0.2">
      <c r="B17" s="93">
        <v>15</v>
      </c>
      <c r="C17" s="89">
        <v>5000</v>
      </c>
      <c r="D17" s="130">
        <v>900</v>
      </c>
      <c r="F17" s="93">
        <v>15</v>
      </c>
      <c r="G17" s="89">
        <v>2500</v>
      </c>
      <c r="H17" s="131">
        <v>450</v>
      </c>
      <c r="J17" s="93">
        <v>15</v>
      </c>
      <c r="K17" s="89">
        <f t="shared" si="0"/>
        <v>2500</v>
      </c>
      <c r="L17" s="131">
        <f t="shared" si="1"/>
        <v>450</v>
      </c>
      <c r="M17" s="92"/>
    </row>
    <row r="18" spans="1:13" x14ac:dyDescent="0.2">
      <c r="B18" s="93">
        <v>16</v>
      </c>
      <c r="C18" s="89">
        <v>6000</v>
      </c>
      <c r="D18" s="131">
        <v>1100</v>
      </c>
      <c r="F18" s="93">
        <v>16</v>
      </c>
      <c r="G18" s="89">
        <v>3000</v>
      </c>
      <c r="H18" s="131">
        <v>550</v>
      </c>
      <c r="J18" s="93">
        <v>16</v>
      </c>
      <c r="K18" s="89">
        <f t="shared" si="0"/>
        <v>3000</v>
      </c>
      <c r="L18" s="131">
        <f t="shared" si="1"/>
        <v>550</v>
      </c>
      <c r="M18" s="92"/>
    </row>
    <row r="19" spans="1:13" x14ac:dyDescent="0.2">
      <c r="B19" s="93">
        <v>17</v>
      </c>
      <c r="C19" s="89">
        <v>7000</v>
      </c>
      <c r="D19" s="131">
        <v>1300</v>
      </c>
      <c r="F19" s="93">
        <v>17</v>
      </c>
      <c r="G19" s="89">
        <v>3500</v>
      </c>
      <c r="H19" s="131">
        <v>650</v>
      </c>
      <c r="J19" s="93">
        <v>17</v>
      </c>
      <c r="K19" s="89">
        <f t="shared" si="0"/>
        <v>3500</v>
      </c>
      <c r="L19" s="131">
        <f t="shared" si="1"/>
        <v>650</v>
      </c>
      <c r="M19" s="92"/>
    </row>
    <row r="20" spans="1:13" x14ac:dyDescent="0.2">
      <c r="B20" s="93">
        <v>18</v>
      </c>
      <c r="C20" s="89">
        <v>8000</v>
      </c>
      <c r="D20" s="131">
        <v>1500</v>
      </c>
      <c r="F20" s="93">
        <v>18</v>
      </c>
      <c r="G20" s="89">
        <v>4000</v>
      </c>
      <c r="H20" s="131">
        <v>750</v>
      </c>
      <c r="J20" s="93">
        <v>18</v>
      </c>
      <c r="K20" s="89">
        <f t="shared" si="0"/>
        <v>4000</v>
      </c>
      <c r="L20" s="131">
        <f t="shared" si="1"/>
        <v>750</v>
      </c>
      <c r="M20" s="92"/>
    </row>
    <row r="21" spans="1:13" x14ac:dyDescent="0.2">
      <c r="B21" s="93">
        <v>19</v>
      </c>
      <c r="C21" s="89">
        <v>9000</v>
      </c>
      <c r="D21" s="131">
        <v>1700</v>
      </c>
      <c r="F21" s="93">
        <v>19</v>
      </c>
      <c r="G21" s="89">
        <v>4500</v>
      </c>
      <c r="H21" s="131">
        <v>850</v>
      </c>
      <c r="J21" s="93">
        <v>19</v>
      </c>
      <c r="K21" s="89">
        <f t="shared" si="0"/>
        <v>4500</v>
      </c>
      <c r="L21" s="131">
        <f t="shared" si="1"/>
        <v>850</v>
      </c>
      <c r="M21" s="92"/>
    </row>
    <row r="22" spans="1:13" x14ac:dyDescent="0.2">
      <c r="B22" s="93">
        <v>20</v>
      </c>
      <c r="C22" s="89">
        <v>10000</v>
      </c>
      <c r="D22" s="131">
        <v>2000</v>
      </c>
      <c r="F22" s="93">
        <v>20</v>
      </c>
      <c r="G22" s="89">
        <v>5000</v>
      </c>
      <c r="H22" s="131">
        <v>1000</v>
      </c>
      <c r="J22" s="93">
        <v>20</v>
      </c>
      <c r="K22" s="89">
        <f t="shared" si="0"/>
        <v>5000</v>
      </c>
      <c r="L22" s="131">
        <f t="shared" si="1"/>
        <v>1000</v>
      </c>
    </row>
    <row r="23" spans="1:13" x14ac:dyDescent="0.2">
      <c r="B23" s="93"/>
      <c r="D23" s="130"/>
      <c r="F23" s="93"/>
      <c r="H23" s="130"/>
      <c r="J23" s="93"/>
      <c r="L23" s="130"/>
    </row>
    <row r="24" spans="1:13" x14ac:dyDescent="0.2">
      <c r="A24" s="67" t="s">
        <v>21881</v>
      </c>
      <c r="B24" s="297"/>
      <c r="C24" s="298">
        <f>SUM(C3:C22)</f>
        <v>70850</v>
      </c>
      <c r="D24" s="299">
        <f>SUM(D3:D22)</f>
        <v>10200</v>
      </c>
      <c r="F24" s="297"/>
      <c r="G24" s="298">
        <f>SUM(G3:G22)</f>
        <v>35425</v>
      </c>
      <c r="H24" s="299">
        <f>SUM(H3:H22)</f>
        <v>5100</v>
      </c>
      <c r="J24" s="297"/>
      <c r="K24" s="298">
        <f>SUM(K3:K22)</f>
        <v>35425</v>
      </c>
      <c r="L24" s="299">
        <f>SUM(L3:L22)</f>
        <v>5100</v>
      </c>
    </row>
    <row r="25" spans="1:13" x14ac:dyDescent="0.2">
      <c r="A25" s="1"/>
      <c r="B25" s="93"/>
      <c r="D25" s="130"/>
      <c r="F25" s="93"/>
      <c r="H25" s="130"/>
      <c r="J25" s="93"/>
      <c r="L25" s="130"/>
    </row>
    <row r="26" spans="1:13" x14ac:dyDescent="0.2">
      <c r="A26" s="95" t="s">
        <v>21882</v>
      </c>
      <c r="B26" s="301"/>
      <c r="C26" s="298">
        <f>C24*17</f>
        <v>1204450</v>
      </c>
      <c r="D26" s="302">
        <f>D24*17</f>
        <v>173400</v>
      </c>
      <c r="F26" s="301"/>
      <c r="G26" s="298">
        <f>G24*17</f>
        <v>602225</v>
      </c>
      <c r="H26" s="302">
        <f>H24*17</f>
        <v>86700</v>
      </c>
      <c r="J26" s="301"/>
      <c r="K26" s="298">
        <f>K24*15</f>
        <v>531375</v>
      </c>
      <c r="L26" s="302">
        <f>L24*15</f>
        <v>76500</v>
      </c>
    </row>
    <row r="27" spans="1:13" x14ac:dyDescent="0.2">
      <c r="A27" s="1"/>
      <c r="B27" s="93"/>
      <c r="C27" s="89"/>
      <c r="D27" s="131"/>
      <c r="F27" s="93"/>
      <c r="G27" s="89"/>
      <c r="H27" s="131"/>
      <c r="J27" s="93"/>
      <c r="K27" s="89"/>
      <c r="L27" s="131"/>
    </row>
    <row r="28" spans="1:13" x14ac:dyDescent="0.2">
      <c r="A28" s="95" t="s">
        <v>21883</v>
      </c>
      <c r="B28" s="301"/>
      <c r="C28" s="298">
        <v>67100</v>
      </c>
      <c r="D28" s="302">
        <v>17600</v>
      </c>
      <c r="F28" s="301"/>
      <c r="G28" s="298">
        <v>67100</v>
      </c>
      <c r="H28" s="302">
        <v>17600</v>
      </c>
      <c r="J28" s="301"/>
      <c r="K28" s="298">
        <v>67100</v>
      </c>
      <c r="L28" s="302">
        <v>17600</v>
      </c>
    </row>
    <row r="29" spans="1:13" x14ac:dyDescent="0.2">
      <c r="A29" s="1"/>
      <c r="B29" s="93"/>
      <c r="D29" s="130"/>
      <c r="F29" s="93"/>
      <c r="H29" s="130"/>
      <c r="J29" s="93"/>
      <c r="L29" s="130"/>
    </row>
    <row r="30" spans="1:13" x14ac:dyDescent="0.2">
      <c r="A30" s="95" t="s">
        <v>21834</v>
      </c>
      <c r="B30" s="301"/>
      <c r="C30" s="298">
        <f>C26-C28</f>
        <v>1137350</v>
      </c>
      <c r="D30" s="302">
        <f>D26-D28</f>
        <v>155800</v>
      </c>
      <c r="F30" s="301"/>
      <c r="G30" s="298">
        <f>G26-G28</f>
        <v>535125</v>
      </c>
      <c r="H30" s="302">
        <f>H26-H28</f>
        <v>69100</v>
      </c>
      <c r="J30" s="301"/>
      <c r="K30" s="298">
        <f>K26-K28</f>
        <v>464275</v>
      </c>
      <c r="L30" s="302">
        <f>L26-L28</f>
        <v>58900</v>
      </c>
    </row>
    <row r="31" spans="1:13" x14ac:dyDescent="0.2">
      <c r="A31" s="1"/>
      <c r="B31" s="93"/>
      <c r="D31" s="130"/>
      <c r="F31" s="93"/>
      <c r="H31" s="130"/>
      <c r="J31" s="93"/>
      <c r="L31" s="130"/>
    </row>
    <row r="32" spans="1:13" x14ac:dyDescent="0.2">
      <c r="A32" s="1"/>
      <c r="B32" s="93"/>
      <c r="D32" s="130"/>
      <c r="F32" s="93"/>
      <c r="H32" s="130"/>
      <c r="J32" s="93"/>
      <c r="L32" s="130"/>
    </row>
    <row r="33" spans="1:12" x14ac:dyDescent="0.2">
      <c r="A33" s="95" t="s">
        <v>21884</v>
      </c>
      <c r="B33" s="301"/>
      <c r="C33" s="298">
        <v>4000</v>
      </c>
      <c r="D33" s="302">
        <v>500</v>
      </c>
      <c r="F33" s="301"/>
      <c r="G33" s="298">
        <v>4000</v>
      </c>
      <c r="H33" s="302">
        <v>500</v>
      </c>
      <c r="J33" s="301"/>
      <c r="K33" s="298">
        <v>4000</v>
      </c>
      <c r="L33" s="302">
        <v>500</v>
      </c>
    </row>
    <row r="34" spans="1:12" x14ac:dyDescent="0.2">
      <c r="A34" s="95" t="s">
        <v>21885</v>
      </c>
      <c r="B34" s="301"/>
      <c r="C34" s="298">
        <v>7000</v>
      </c>
      <c r="D34" s="302">
        <v>1000</v>
      </c>
      <c r="F34" s="93"/>
      <c r="G34" s="89">
        <v>7000</v>
      </c>
      <c r="H34" s="131">
        <v>1000</v>
      </c>
      <c r="J34" s="93"/>
      <c r="K34" s="89">
        <v>7000</v>
      </c>
      <c r="L34" s="131">
        <v>1000</v>
      </c>
    </row>
    <row r="35" spans="1:12" x14ac:dyDescent="0.2">
      <c r="A35" s="95" t="s">
        <v>21886</v>
      </c>
      <c r="B35" s="301"/>
      <c r="C35" s="298">
        <v>8000</v>
      </c>
      <c r="D35" s="302">
        <v>1200</v>
      </c>
      <c r="F35" s="301"/>
      <c r="G35" s="298">
        <v>8000</v>
      </c>
      <c r="H35" s="302">
        <v>1200</v>
      </c>
      <c r="J35" s="301"/>
      <c r="K35" s="298">
        <v>8000</v>
      </c>
      <c r="L35" s="302">
        <v>1200</v>
      </c>
    </row>
    <row r="36" spans="1:12" x14ac:dyDescent="0.2">
      <c r="A36" s="1"/>
      <c r="B36" s="93"/>
      <c r="D36" s="130"/>
      <c r="F36" s="93"/>
      <c r="H36" s="130"/>
      <c r="J36" s="93"/>
      <c r="L36" s="130"/>
    </row>
    <row r="37" spans="1:12" x14ac:dyDescent="0.2">
      <c r="A37" s="95" t="s">
        <v>21887</v>
      </c>
      <c r="B37" s="301"/>
      <c r="C37" s="298">
        <v>5500</v>
      </c>
      <c r="D37" s="302">
        <v>0</v>
      </c>
      <c r="F37" s="301"/>
      <c r="G37" s="298">
        <v>5500</v>
      </c>
      <c r="H37" s="302">
        <v>0</v>
      </c>
      <c r="J37" s="301"/>
      <c r="K37" s="298">
        <v>5500</v>
      </c>
      <c r="L37" s="302">
        <v>0</v>
      </c>
    </row>
    <row r="38" spans="1:12" x14ac:dyDescent="0.2">
      <c r="A38" s="1"/>
      <c r="B38" s="93"/>
      <c r="C38" s="132"/>
      <c r="D38" s="133"/>
      <c r="F38" s="93"/>
      <c r="G38" s="132"/>
      <c r="H38" s="133"/>
      <c r="J38" s="93"/>
      <c r="K38" s="132"/>
      <c r="L38" s="133"/>
    </row>
    <row r="39" spans="1:12" x14ac:dyDescent="0.2">
      <c r="A39" s="95" t="s">
        <v>21884</v>
      </c>
      <c r="B39" s="301"/>
      <c r="C39" s="303">
        <v>285</v>
      </c>
      <c r="D39" s="304">
        <v>312</v>
      </c>
      <c r="F39" s="301"/>
      <c r="G39" s="303">
        <f t="shared" ref="G39" si="2">+ROUNDUP(G$30/G33,0)</f>
        <v>134</v>
      </c>
      <c r="H39" s="304">
        <f>+ROUNDUP(H$30/H33,0)</f>
        <v>139</v>
      </c>
      <c r="J39" s="301"/>
      <c r="K39" s="303">
        <f t="shared" ref="K39:L41" si="3">+ROUNDUP(K$30/K33,0)</f>
        <v>117</v>
      </c>
      <c r="L39" s="304">
        <f>+ROUNDUP(L$30/L33,0)</f>
        <v>118</v>
      </c>
    </row>
    <row r="40" spans="1:12" x14ac:dyDescent="0.2">
      <c r="A40" s="95" t="s">
        <v>21885</v>
      </c>
      <c r="B40" s="301"/>
      <c r="C40" s="303">
        <v>163</v>
      </c>
      <c r="D40" s="304">
        <v>156</v>
      </c>
      <c r="F40" s="301"/>
      <c r="G40" s="303">
        <f t="shared" ref="G40:H40" si="4">+ROUNDUP(G$30/G34,0)</f>
        <v>77</v>
      </c>
      <c r="H40" s="304">
        <f t="shared" si="4"/>
        <v>70</v>
      </c>
      <c r="J40" s="301"/>
      <c r="K40" s="303">
        <f t="shared" si="3"/>
        <v>67</v>
      </c>
      <c r="L40" s="304">
        <f t="shared" si="3"/>
        <v>59</v>
      </c>
    </row>
    <row r="41" spans="1:12" x14ac:dyDescent="0.2">
      <c r="A41" s="195" t="s">
        <v>21886</v>
      </c>
      <c r="B41" s="300"/>
      <c r="C41" s="135">
        <v>143</v>
      </c>
      <c r="D41" s="136">
        <v>130</v>
      </c>
      <c r="F41" s="134"/>
      <c r="G41" s="135">
        <f t="shared" ref="G41:H41" si="5">+ROUNDUP(G$30/G35,0)</f>
        <v>67</v>
      </c>
      <c r="H41" s="136">
        <f t="shared" si="5"/>
        <v>58</v>
      </c>
      <c r="J41" s="134"/>
      <c r="K41" s="135">
        <f t="shared" si="3"/>
        <v>59</v>
      </c>
      <c r="L41" s="136">
        <f t="shared" si="3"/>
        <v>50</v>
      </c>
    </row>
  </sheetData>
  <mergeCells count="3">
    <mergeCell ref="B1:D1"/>
    <mergeCell ref="J1:L1"/>
    <mergeCell ref="F1:H1"/>
  </mergeCells>
  <pageMargins left="0.7" right="0.7" top="0.5" bottom="0.75" header="0.19791666666666666" footer="0.3"/>
  <pageSetup orientation="portrait" r:id="rId1"/>
  <headerFooter>
    <oddHeader>&amp;L&amp;"-,Bold"&amp;14Dragalia Lost V3 Re;Works Enter the Kaleidoscape Amber Costs</oddHeader>
  </headerFooter>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267883-5FD8-4454-9E67-6654719B6D2D}">
  <sheetPr>
    <outlinePr summaryBelow="0" summaryRight="0"/>
    <pageSetUpPr fitToPage="1"/>
  </sheetPr>
  <dimension ref="A1:F239"/>
  <sheetViews>
    <sheetView zoomScaleNormal="100" workbookViewId="0"/>
  </sheetViews>
  <sheetFormatPr defaultColWidth="12.625" defaultRowHeight="14.25" x14ac:dyDescent="0.2"/>
  <cols>
    <col min="1" max="1" width="16.375" bestFit="1" customWidth="1"/>
    <col min="2" max="2" width="3.125" style="84" bestFit="1" customWidth="1"/>
    <col min="3" max="3" width="60.625" customWidth="1"/>
    <col min="4" max="4" width="7.375" bestFit="1" customWidth="1"/>
    <col min="5" max="5" width="7.375" customWidth="1"/>
    <col min="6" max="6" width="27.5" customWidth="1"/>
  </cols>
  <sheetData>
    <row r="1" spans="1:6" ht="31.5" x14ac:dyDescent="0.25">
      <c r="A1" s="311" t="s">
        <v>21888</v>
      </c>
      <c r="B1" s="312" t="s">
        <v>13706</v>
      </c>
      <c r="C1" s="186" t="s">
        <v>80</v>
      </c>
      <c r="D1" s="313" t="s">
        <v>21485</v>
      </c>
      <c r="E1" s="313" t="s">
        <v>21501</v>
      </c>
      <c r="F1" s="188" t="s">
        <v>13718</v>
      </c>
    </row>
    <row r="2" spans="1:6" x14ac:dyDescent="0.2">
      <c r="A2" s="267" t="s">
        <v>96</v>
      </c>
      <c r="B2" s="308">
        <v>1</v>
      </c>
      <c r="C2" s="269" t="s">
        <v>21889</v>
      </c>
      <c r="D2" s="268">
        <v>50</v>
      </c>
      <c r="E2" s="268">
        <v>0</v>
      </c>
      <c r="F2" s="173" t="s">
        <v>21890</v>
      </c>
    </row>
    <row r="3" spans="1:6" x14ac:dyDescent="0.2">
      <c r="A3" s="306" t="s">
        <v>96</v>
      </c>
      <c r="B3" s="309">
        <v>2</v>
      </c>
      <c r="C3" s="305" t="s">
        <v>21891</v>
      </c>
      <c r="D3" s="261">
        <v>125</v>
      </c>
      <c r="E3" s="261">
        <v>0</v>
      </c>
      <c r="F3" s="174" t="s">
        <v>21890</v>
      </c>
    </row>
    <row r="4" spans="1:6" x14ac:dyDescent="0.2">
      <c r="A4" s="306" t="s">
        <v>96</v>
      </c>
      <c r="B4" s="309">
        <v>3</v>
      </c>
      <c r="C4" s="305" t="s">
        <v>21892</v>
      </c>
      <c r="D4" s="261">
        <v>250</v>
      </c>
      <c r="E4" s="261">
        <v>0</v>
      </c>
      <c r="F4" s="174" t="s">
        <v>21890</v>
      </c>
    </row>
    <row r="5" spans="1:6" x14ac:dyDescent="0.2">
      <c r="A5" s="306" t="s">
        <v>96</v>
      </c>
      <c r="B5" s="309">
        <v>4</v>
      </c>
      <c r="C5" s="305" t="s">
        <v>21893</v>
      </c>
      <c r="D5" s="261">
        <v>375</v>
      </c>
      <c r="E5" s="261">
        <v>0</v>
      </c>
      <c r="F5" s="174" t="s">
        <v>21890</v>
      </c>
    </row>
    <row r="6" spans="1:6" x14ac:dyDescent="0.2">
      <c r="A6" s="306" t="s">
        <v>96</v>
      </c>
      <c r="B6" s="309">
        <v>5</v>
      </c>
      <c r="C6" s="305" t="s">
        <v>21894</v>
      </c>
      <c r="D6" s="261">
        <v>500</v>
      </c>
      <c r="E6" s="261">
        <v>0</v>
      </c>
      <c r="F6" s="174" t="s">
        <v>21890</v>
      </c>
    </row>
    <row r="7" spans="1:6" x14ac:dyDescent="0.2">
      <c r="A7" s="306" t="s">
        <v>96</v>
      </c>
      <c r="B7" s="309">
        <v>6</v>
      </c>
      <c r="C7" s="305" t="s">
        <v>21895</v>
      </c>
      <c r="D7" s="261">
        <v>625</v>
      </c>
      <c r="E7" s="261">
        <v>0</v>
      </c>
      <c r="F7" s="174" t="s">
        <v>21890</v>
      </c>
    </row>
    <row r="8" spans="1:6" x14ac:dyDescent="0.2">
      <c r="A8" s="306" t="s">
        <v>96</v>
      </c>
      <c r="B8" s="309">
        <v>7</v>
      </c>
      <c r="C8" s="305" t="s">
        <v>21896</v>
      </c>
      <c r="D8" s="261">
        <v>750</v>
      </c>
      <c r="E8" s="261">
        <v>0</v>
      </c>
      <c r="F8" s="174" t="s">
        <v>21890</v>
      </c>
    </row>
    <row r="9" spans="1:6" x14ac:dyDescent="0.2">
      <c r="A9" s="306" t="s">
        <v>96</v>
      </c>
      <c r="B9" s="309">
        <v>8</v>
      </c>
      <c r="C9" s="305" t="s">
        <v>21897</v>
      </c>
      <c r="D9" s="261">
        <v>875</v>
      </c>
      <c r="E9" s="261">
        <v>0</v>
      </c>
      <c r="F9" s="174" t="s">
        <v>21890</v>
      </c>
    </row>
    <row r="10" spans="1:6" x14ac:dyDescent="0.2">
      <c r="A10" s="306" t="s">
        <v>96</v>
      </c>
      <c r="B10" s="309">
        <v>9</v>
      </c>
      <c r="C10" s="305" t="s">
        <v>21898</v>
      </c>
      <c r="D10" s="261">
        <v>1000</v>
      </c>
      <c r="E10" s="261">
        <v>0</v>
      </c>
      <c r="F10" s="174" t="s">
        <v>21890</v>
      </c>
    </row>
    <row r="11" spans="1:6" x14ac:dyDescent="0.2">
      <c r="A11" s="306" t="s">
        <v>96</v>
      </c>
      <c r="B11" s="309">
        <v>10</v>
      </c>
      <c r="C11" s="305" t="s">
        <v>21899</v>
      </c>
      <c r="D11" s="261">
        <v>1125</v>
      </c>
      <c r="E11" s="261">
        <v>0</v>
      </c>
      <c r="F11" s="174" t="s">
        <v>21890</v>
      </c>
    </row>
    <row r="12" spans="1:6" x14ac:dyDescent="0.2">
      <c r="A12" s="306" t="s">
        <v>96</v>
      </c>
      <c r="B12" s="309">
        <v>11</v>
      </c>
      <c r="C12" s="305" t="s">
        <v>21900</v>
      </c>
      <c r="D12" s="261">
        <v>1400</v>
      </c>
      <c r="E12" s="261">
        <v>100</v>
      </c>
      <c r="F12" s="174" t="s">
        <v>21890</v>
      </c>
    </row>
    <row r="13" spans="1:6" x14ac:dyDescent="0.2">
      <c r="A13" s="306" t="s">
        <v>96</v>
      </c>
      <c r="B13" s="309">
        <v>12</v>
      </c>
      <c r="C13" s="305" t="s">
        <v>21901</v>
      </c>
      <c r="D13" s="261">
        <v>1675</v>
      </c>
      <c r="E13" s="261">
        <v>150</v>
      </c>
      <c r="F13" s="174" t="s">
        <v>21890</v>
      </c>
    </row>
    <row r="14" spans="1:6" x14ac:dyDescent="0.2">
      <c r="A14" s="306" t="s">
        <v>96</v>
      </c>
      <c r="B14" s="309">
        <v>13</v>
      </c>
      <c r="C14" s="305" t="s">
        <v>21902</v>
      </c>
      <c r="D14" s="261">
        <v>1950</v>
      </c>
      <c r="E14" s="261">
        <v>250</v>
      </c>
      <c r="F14" s="174" t="s">
        <v>21890</v>
      </c>
    </row>
    <row r="15" spans="1:6" x14ac:dyDescent="0.2">
      <c r="A15" s="306" t="s">
        <v>96</v>
      </c>
      <c r="B15" s="309">
        <v>14</v>
      </c>
      <c r="C15" s="305" t="s">
        <v>21903</v>
      </c>
      <c r="D15" s="261">
        <v>2225</v>
      </c>
      <c r="E15" s="261">
        <v>350</v>
      </c>
      <c r="F15" s="174" t="s">
        <v>21890</v>
      </c>
    </row>
    <row r="16" spans="1:6" x14ac:dyDescent="0.2">
      <c r="A16" s="306" t="s">
        <v>96</v>
      </c>
      <c r="B16" s="309">
        <v>15</v>
      </c>
      <c r="C16" s="305" t="s">
        <v>21904</v>
      </c>
      <c r="D16" s="261">
        <v>2500</v>
      </c>
      <c r="E16" s="261">
        <v>450</v>
      </c>
      <c r="F16" s="174" t="s">
        <v>21890</v>
      </c>
    </row>
    <row r="17" spans="1:6" x14ac:dyDescent="0.2">
      <c r="A17" s="306" t="s">
        <v>96</v>
      </c>
      <c r="B17" s="309">
        <v>16</v>
      </c>
      <c r="C17" s="305" t="s">
        <v>21905</v>
      </c>
      <c r="D17" s="261">
        <v>3000</v>
      </c>
      <c r="E17" s="261">
        <v>550</v>
      </c>
      <c r="F17" s="174" t="s">
        <v>21890</v>
      </c>
    </row>
    <row r="18" spans="1:6" x14ac:dyDescent="0.2">
      <c r="A18" s="306" t="s">
        <v>96</v>
      </c>
      <c r="B18" s="309">
        <v>17</v>
      </c>
      <c r="C18" s="305" t="s">
        <v>21906</v>
      </c>
      <c r="D18" s="261">
        <v>3500</v>
      </c>
      <c r="E18" s="261">
        <v>650</v>
      </c>
      <c r="F18" s="174" t="s">
        <v>21890</v>
      </c>
    </row>
    <row r="19" spans="1:6" x14ac:dyDescent="0.2">
      <c r="A19" s="306" t="s">
        <v>96</v>
      </c>
      <c r="B19" s="309">
        <v>18</v>
      </c>
      <c r="C19" s="305" t="s">
        <v>21907</v>
      </c>
      <c r="D19" s="261">
        <v>4000</v>
      </c>
      <c r="E19" s="261">
        <v>750</v>
      </c>
      <c r="F19" s="174" t="s">
        <v>21890</v>
      </c>
    </row>
    <row r="20" spans="1:6" x14ac:dyDescent="0.2">
      <c r="A20" s="306" t="s">
        <v>96</v>
      </c>
      <c r="B20" s="309">
        <v>19</v>
      </c>
      <c r="C20" s="305" t="s">
        <v>21908</v>
      </c>
      <c r="D20" s="261">
        <v>4500</v>
      </c>
      <c r="E20" s="261">
        <v>850</v>
      </c>
      <c r="F20" s="174" t="s">
        <v>21890</v>
      </c>
    </row>
    <row r="21" spans="1:6" x14ac:dyDescent="0.2">
      <c r="A21" s="306" t="s">
        <v>96</v>
      </c>
      <c r="B21" s="309">
        <v>20</v>
      </c>
      <c r="C21" s="305" t="s">
        <v>21909</v>
      </c>
      <c r="D21" s="261">
        <v>5000</v>
      </c>
      <c r="E21" s="261">
        <v>1000</v>
      </c>
      <c r="F21" s="174" t="s">
        <v>21890</v>
      </c>
    </row>
    <row r="22" spans="1:6" x14ac:dyDescent="0.2">
      <c r="A22" s="306" t="s">
        <v>9839</v>
      </c>
      <c r="B22" s="309">
        <v>1</v>
      </c>
      <c r="C22" s="305" t="s">
        <v>21910</v>
      </c>
      <c r="D22" s="261">
        <v>50</v>
      </c>
      <c r="E22" s="261">
        <v>0</v>
      </c>
      <c r="F22" s="174" t="s">
        <v>21890</v>
      </c>
    </row>
    <row r="23" spans="1:6" x14ac:dyDescent="0.2">
      <c r="A23" s="306" t="s">
        <v>9839</v>
      </c>
      <c r="B23" s="309">
        <v>2</v>
      </c>
      <c r="C23" s="305" t="s">
        <v>21911</v>
      </c>
      <c r="D23" s="261">
        <v>125</v>
      </c>
      <c r="E23" s="261">
        <v>0</v>
      </c>
      <c r="F23" s="174" t="s">
        <v>21890</v>
      </c>
    </row>
    <row r="24" spans="1:6" x14ac:dyDescent="0.2">
      <c r="A24" s="306" t="s">
        <v>9839</v>
      </c>
      <c r="B24" s="309">
        <v>3</v>
      </c>
      <c r="C24" s="305" t="s">
        <v>21912</v>
      </c>
      <c r="D24" s="261">
        <v>250</v>
      </c>
      <c r="E24" s="261">
        <v>0</v>
      </c>
      <c r="F24" s="174" t="s">
        <v>21890</v>
      </c>
    </row>
    <row r="25" spans="1:6" x14ac:dyDescent="0.2">
      <c r="A25" s="306" t="s">
        <v>9839</v>
      </c>
      <c r="B25" s="309">
        <v>4</v>
      </c>
      <c r="C25" s="305" t="s">
        <v>21913</v>
      </c>
      <c r="D25" s="261">
        <v>375</v>
      </c>
      <c r="E25" s="261">
        <v>0</v>
      </c>
      <c r="F25" s="174" t="s">
        <v>21890</v>
      </c>
    </row>
    <row r="26" spans="1:6" x14ac:dyDescent="0.2">
      <c r="A26" s="306" t="s">
        <v>9839</v>
      </c>
      <c r="B26" s="309">
        <v>5</v>
      </c>
      <c r="C26" s="305" t="s">
        <v>21914</v>
      </c>
      <c r="D26" s="261">
        <v>500</v>
      </c>
      <c r="E26" s="261">
        <v>0</v>
      </c>
      <c r="F26" s="174" t="s">
        <v>21890</v>
      </c>
    </row>
    <row r="27" spans="1:6" x14ac:dyDescent="0.2">
      <c r="A27" s="306" t="s">
        <v>9839</v>
      </c>
      <c r="B27" s="309">
        <v>6</v>
      </c>
      <c r="C27" s="305" t="s">
        <v>21915</v>
      </c>
      <c r="D27" s="261">
        <v>625</v>
      </c>
      <c r="E27" s="261">
        <v>0</v>
      </c>
      <c r="F27" s="174" t="s">
        <v>21890</v>
      </c>
    </row>
    <row r="28" spans="1:6" x14ac:dyDescent="0.2">
      <c r="A28" s="306" t="s">
        <v>9839</v>
      </c>
      <c r="B28" s="309">
        <v>7</v>
      </c>
      <c r="C28" s="305" t="s">
        <v>21916</v>
      </c>
      <c r="D28" s="261">
        <v>750</v>
      </c>
      <c r="E28" s="261">
        <v>0</v>
      </c>
      <c r="F28" s="174" t="s">
        <v>21890</v>
      </c>
    </row>
    <row r="29" spans="1:6" x14ac:dyDescent="0.2">
      <c r="A29" s="306" t="s">
        <v>9839</v>
      </c>
      <c r="B29" s="309">
        <v>8</v>
      </c>
      <c r="C29" s="305" t="s">
        <v>21917</v>
      </c>
      <c r="D29" s="261">
        <v>875</v>
      </c>
      <c r="E29" s="261">
        <v>0</v>
      </c>
      <c r="F29" s="174" t="s">
        <v>21890</v>
      </c>
    </row>
    <row r="30" spans="1:6" x14ac:dyDescent="0.2">
      <c r="A30" s="306" t="s">
        <v>9839</v>
      </c>
      <c r="B30" s="309">
        <v>9</v>
      </c>
      <c r="C30" s="305" t="s">
        <v>21918</v>
      </c>
      <c r="D30" s="261">
        <v>1000</v>
      </c>
      <c r="E30" s="261">
        <v>0</v>
      </c>
      <c r="F30" s="174" t="s">
        <v>21890</v>
      </c>
    </row>
    <row r="31" spans="1:6" x14ac:dyDescent="0.2">
      <c r="A31" s="306" t="s">
        <v>9839</v>
      </c>
      <c r="B31" s="309">
        <v>10</v>
      </c>
      <c r="C31" s="305" t="s">
        <v>21919</v>
      </c>
      <c r="D31" s="261">
        <v>1125</v>
      </c>
      <c r="E31" s="261">
        <v>0</v>
      </c>
      <c r="F31" s="174" t="s">
        <v>21890</v>
      </c>
    </row>
    <row r="32" spans="1:6" x14ac:dyDescent="0.2">
      <c r="A32" s="306" t="s">
        <v>9839</v>
      </c>
      <c r="B32" s="309">
        <v>11</v>
      </c>
      <c r="C32" s="305" t="s">
        <v>21920</v>
      </c>
      <c r="D32" s="261">
        <v>1400</v>
      </c>
      <c r="E32" s="261">
        <v>100</v>
      </c>
      <c r="F32" s="174" t="s">
        <v>21890</v>
      </c>
    </row>
    <row r="33" spans="1:6" x14ac:dyDescent="0.2">
      <c r="A33" s="306" t="s">
        <v>9839</v>
      </c>
      <c r="B33" s="309">
        <v>13</v>
      </c>
      <c r="C33" s="305" t="s">
        <v>21921</v>
      </c>
      <c r="D33" s="261">
        <v>1950</v>
      </c>
      <c r="E33" s="261">
        <v>250</v>
      </c>
      <c r="F33" s="174" t="s">
        <v>21890</v>
      </c>
    </row>
    <row r="34" spans="1:6" x14ac:dyDescent="0.2">
      <c r="A34" s="306" t="s">
        <v>9839</v>
      </c>
      <c r="B34" s="309">
        <v>12</v>
      </c>
      <c r="C34" s="305" t="s">
        <v>21922</v>
      </c>
      <c r="D34" s="261">
        <v>1675</v>
      </c>
      <c r="E34" s="261">
        <v>150</v>
      </c>
      <c r="F34" s="174" t="s">
        <v>21890</v>
      </c>
    </row>
    <row r="35" spans="1:6" x14ac:dyDescent="0.2">
      <c r="A35" s="306" t="s">
        <v>9839</v>
      </c>
      <c r="B35" s="309">
        <v>14</v>
      </c>
      <c r="C35" s="305" t="s">
        <v>21923</v>
      </c>
      <c r="D35" s="261">
        <v>2225</v>
      </c>
      <c r="E35" s="261">
        <v>350</v>
      </c>
      <c r="F35" s="174" t="s">
        <v>21890</v>
      </c>
    </row>
    <row r="36" spans="1:6" x14ac:dyDescent="0.2">
      <c r="A36" s="306" t="s">
        <v>9839</v>
      </c>
      <c r="B36" s="309">
        <v>15</v>
      </c>
      <c r="C36" s="305" t="s">
        <v>21924</v>
      </c>
      <c r="D36" s="261">
        <v>2500</v>
      </c>
      <c r="E36" s="261">
        <v>450</v>
      </c>
      <c r="F36" s="174" t="s">
        <v>21890</v>
      </c>
    </row>
    <row r="37" spans="1:6" x14ac:dyDescent="0.2">
      <c r="A37" s="306" t="s">
        <v>9839</v>
      </c>
      <c r="B37" s="309">
        <v>16</v>
      </c>
      <c r="C37" s="305" t="s">
        <v>21925</v>
      </c>
      <c r="D37" s="261">
        <v>3000</v>
      </c>
      <c r="E37" s="261">
        <v>550</v>
      </c>
      <c r="F37" s="174" t="s">
        <v>21890</v>
      </c>
    </row>
    <row r="38" spans="1:6" x14ac:dyDescent="0.2">
      <c r="A38" s="306" t="s">
        <v>9839</v>
      </c>
      <c r="B38" s="309">
        <v>17</v>
      </c>
      <c r="C38" s="305" t="s">
        <v>21926</v>
      </c>
      <c r="D38" s="261">
        <v>3500</v>
      </c>
      <c r="E38" s="261">
        <v>650</v>
      </c>
      <c r="F38" s="174" t="s">
        <v>21890</v>
      </c>
    </row>
    <row r="39" spans="1:6" x14ac:dyDescent="0.2">
      <c r="A39" s="306" t="s">
        <v>9839</v>
      </c>
      <c r="B39" s="309">
        <v>19</v>
      </c>
      <c r="C39" s="305" t="s">
        <v>21927</v>
      </c>
      <c r="D39" s="261">
        <v>4500</v>
      </c>
      <c r="E39" s="261">
        <v>850</v>
      </c>
      <c r="F39" s="174" t="s">
        <v>21890</v>
      </c>
    </row>
    <row r="40" spans="1:6" x14ac:dyDescent="0.2">
      <c r="A40" s="306" t="s">
        <v>9839</v>
      </c>
      <c r="B40" s="309">
        <v>18</v>
      </c>
      <c r="C40" s="305" t="s">
        <v>21928</v>
      </c>
      <c r="D40" s="261">
        <v>4000</v>
      </c>
      <c r="E40" s="261">
        <v>750</v>
      </c>
      <c r="F40" s="174" t="s">
        <v>21890</v>
      </c>
    </row>
    <row r="41" spans="1:6" x14ac:dyDescent="0.2">
      <c r="A41" s="306" t="s">
        <v>9839</v>
      </c>
      <c r="B41" s="309">
        <v>20</v>
      </c>
      <c r="C41" s="305" t="s">
        <v>21929</v>
      </c>
      <c r="D41" s="261">
        <v>5000</v>
      </c>
      <c r="E41" s="261">
        <v>1000</v>
      </c>
      <c r="F41" s="174" t="s">
        <v>21890</v>
      </c>
    </row>
    <row r="42" spans="1:6" x14ac:dyDescent="0.2">
      <c r="A42" s="306" t="s">
        <v>9612</v>
      </c>
      <c r="B42" s="309">
        <v>1</v>
      </c>
      <c r="C42" s="305" t="s">
        <v>21930</v>
      </c>
      <c r="D42" s="261">
        <v>50</v>
      </c>
      <c r="E42" s="261">
        <v>0</v>
      </c>
      <c r="F42" s="174" t="s">
        <v>21890</v>
      </c>
    </row>
    <row r="43" spans="1:6" x14ac:dyDescent="0.2">
      <c r="A43" s="306" t="s">
        <v>9612</v>
      </c>
      <c r="B43" s="309">
        <v>2</v>
      </c>
      <c r="C43" s="305" t="s">
        <v>21931</v>
      </c>
      <c r="D43" s="261">
        <v>125</v>
      </c>
      <c r="E43" s="261">
        <v>0</v>
      </c>
      <c r="F43" s="174" t="s">
        <v>21890</v>
      </c>
    </row>
    <row r="44" spans="1:6" x14ac:dyDescent="0.2">
      <c r="A44" s="306" t="s">
        <v>9612</v>
      </c>
      <c r="B44" s="309">
        <v>3</v>
      </c>
      <c r="C44" s="305" t="s">
        <v>21932</v>
      </c>
      <c r="D44" s="261">
        <v>250</v>
      </c>
      <c r="E44" s="261">
        <v>0</v>
      </c>
      <c r="F44" s="174" t="s">
        <v>21890</v>
      </c>
    </row>
    <row r="45" spans="1:6" x14ac:dyDescent="0.2">
      <c r="A45" s="306" t="s">
        <v>9612</v>
      </c>
      <c r="B45" s="309">
        <v>4</v>
      </c>
      <c r="C45" s="305" t="s">
        <v>21933</v>
      </c>
      <c r="D45" s="261">
        <v>375</v>
      </c>
      <c r="E45" s="261">
        <v>0</v>
      </c>
      <c r="F45" s="174" t="s">
        <v>21890</v>
      </c>
    </row>
    <row r="46" spans="1:6" x14ac:dyDescent="0.2">
      <c r="A46" s="306" t="s">
        <v>9612</v>
      </c>
      <c r="B46" s="309">
        <v>5</v>
      </c>
      <c r="C46" s="305" t="s">
        <v>21934</v>
      </c>
      <c r="D46" s="261">
        <v>500</v>
      </c>
      <c r="E46" s="261">
        <v>0</v>
      </c>
      <c r="F46" s="174" t="s">
        <v>21890</v>
      </c>
    </row>
    <row r="47" spans="1:6" x14ac:dyDescent="0.2">
      <c r="A47" s="306" t="s">
        <v>9612</v>
      </c>
      <c r="B47" s="309">
        <v>6</v>
      </c>
      <c r="C47" s="305" t="s">
        <v>21935</v>
      </c>
      <c r="D47" s="261">
        <v>625</v>
      </c>
      <c r="E47" s="261">
        <v>0</v>
      </c>
      <c r="F47" s="174" t="s">
        <v>21890</v>
      </c>
    </row>
    <row r="48" spans="1:6" x14ac:dyDescent="0.2">
      <c r="A48" s="306" t="s">
        <v>9612</v>
      </c>
      <c r="B48" s="309">
        <v>7</v>
      </c>
      <c r="C48" s="305" t="s">
        <v>21936</v>
      </c>
      <c r="D48" s="261">
        <v>750</v>
      </c>
      <c r="E48" s="261">
        <v>0</v>
      </c>
      <c r="F48" s="174" t="s">
        <v>21890</v>
      </c>
    </row>
    <row r="49" spans="1:6" x14ac:dyDescent="0.2">
      <c r="A49" s="306" t="s">
        <v>9612</v>
      </c>
      <c r="B49" s="309">
        <v>8</v>
      </c>
      <c r="C49" s="305" t="s">
        <v>21937</v>
      </c>
      <c r="D49" s="261">
        <v>875</v>
      </c>
      <c r="E49" s="261">
        <v>0</v>
      </c>
      <c r="F49" s="174" t="s">
        <v>21890</v>
      </c>
    </row>
    <row r="50" spans="1:6" x14ac:dyDescent="0.2">
      <c r="A50" s="306" t="s">
        <v>9612</v>
      </c>
      <c r="B50" s="309">
        <v>9</v>
      </c>
      <c r="C50" s="305" t="s">
        <v>21938</v>
      </c>
      <c r="D50" s="261">
        <v>1000</v>
      </c>
      <c r="E50" s="261">
        <v>0</v>
      </c>
      <c r="F50" s="174" t="s">
        <v>21890</v>
      </c>
    </row>
    <row r="51" spans="1:6" x14ac:dyDescent="0.2">
      <c r="A51" s="306" t="s">
        <v>9612</v>
      </c>
      <c r="B51" s="309">
        <v>10</v>
      </c>
      <c r="C51" s="305" t="s">
        <v>21939</v>
      </c>
      <c r="D51" s="261">
        <v>1125</v>
      </c>
      <c r="E51" s="261">
        <v>0</v>
      </c>
      <c r="F51" s="174" t="s">
        <v>21890</v>
      </c>
    </row>
    <row r="52" spans="1:6" x14ac:dyDescent="0.2">
      <c r="A52" s="306" t="s">
        <v>9612</v>
      </c>
      <c r="B52" s="309">
        <v>11</v>
      </c>
      <c r="C52" s="305" t="s">
        <v>21940</v>
      </c>
      <c r="D52" s="261">
        <v>1400</v>
      </c>
      <c r="E52" s="261">
        <v>100</v>
      </c>
      <c r="F52" s="174" t="s">
        <v>21890</v>
      </c>
    </row>
    <row r="53" spans="1:6" x14ac:dyDescent="0.2">
      <c r="A53" s="306" t="s">
        <v>9612</v>
      </c>
      <c r="B53" s="309">
        <v>12</v>
      </c>
      <c r="C53" s="305" t="s">
        <v>21941</v>
      </c>
      <c r="D53" s="261">
        <v>1675</v>
      </c>
      <c r="E53" s="261">
        <v>150</v>
      </c>
      <c r="F53" s="174" t="s">
        <v>21890</v>
      </c>
    </row>
    <row r="54" spans="1:6" x14ac:dyDescent="0.2">
      <c r="A54" s="306" t="s">
        <v>9612</v>
      </c>
      <c r="B54" s="309">
        <v>13</v>
      </c>
      <c r="C54" s="305" t="s">
        <v>21942</v>
      </c>
      <c r="D54" s="261">
        <v>1950</v>
      </c>
      <c r="E54" s="261">
        <v>250</v>
      </c>
      <c r="F54" s="174" t="s">
        <v>21890</v>
      </c>
    </row>
    <row r="55" spans="1:6" x14ac:dyDescent="0.2">
      <c r="A55" s="306" t="s">
        <v>9612</v>
      </c>
      <c r="B55" s="309">
        <v>14</v>
      </c>
      <c r="C55" s="305" t="s">
        <v>21943</v>
      </c>
      <c r="D55" s="261">
        <v>2225</v>
      </c>
      <c r="E55" s="261">
        <v>350</v>
      </c>
      <c r="F55" s="174" t="s">
        <v>21890</v>
      </c>
    </row>
    <row r="56" spans="1:6" x14ac:dyDescent="0.2">
      <c r="A56" s="306" t="s">
        <v>9612</v>
      </c>
      <c r="B56" s="309">
        <v>15</v>
      </c>
      <c r="C56" s="305" t="s">
        <v>21944</v>
      </c>
      <c r="D56" s="261">
        <v>2500</v>
      </c>
      <c r="E56" s="261">
        <v>450</v>
      </c>
      <c r="F56" s="174" t="s">
        <v>21890</v>
      </c>
    </row>
    <row r="57" spans="1:6" x14ac:dyDescent="0.2">
      <c r="A57" s="306" t="s">
        <v>9612</v>
      </c>
      <c r="B57" s="309">
        <v>16</v>
      </c>
      <c r="C57" s="305" t="s">
        <v>21945</v>
      </c>
      <c r="D57" s="261">
        <v>3000</v>
      </c>
      <c r="E57" s="261">
        <v>550</v>
      </c>
      <c r="F57" s="174" t="s">
        <v>21890</v>
      </c>
    </row>
    <row r="58" spans="1:6" x14ac:dyDescent="0.2">
      <c r="A58" s="306" t="s">
        <v>9612</v>
      </c>
      <c r="B58" s="309">
        <v>17</v>
      </c>
      <c r="C58" s="305" t="s">
        <v>21946</v>
      </c>
      <c r="D58" s="261">
        <v>3500</v>
      </c>
      <c r="E58" s="261">
        <v>650</v>
      </c>
      <c r="F58" s="174" t="s">
        <v>21890</v>
      </c>
    </row>
    <row r="59" spans="1:6" x14ac:dyDescent="0.2">
      <c r="A59" s="306" t="s">
        <v>9612</v>
      </c>
      <c r="B59" s="309">
        <v>18</v>
      </c>
      <c r="C59" s="305" t="s">
        <v>21947</v>
      </c>
      <c r="D59" s="261">
        <v>4000</v>
      </c>
      <c r="E59" s="261">
        <v>750</v>
      </c>
      <c r="F59" s="174" t="s">
        <v>21890</v>
      </c>
    </row>
    <row r="60" spans="1:6" x14ac:dyDescent="0.2">
      <c r="A60" s="306" t="s">
        <v>9612</v>
      </c>
      <c r="B60" s="309">
        <v>19</v>
      </c>
      <c r="C60" s="305" t="s">
        <v>21948</v>
      </c>
      <c r="D60" s="261">
        <v>4500</v>
      </c>
      <c r="E60" s="261">
        <v>850</v>
      </c>
      <c r="F60" s="174" t="s">
        <v>21890</v>
      </c>
    </row>
    <row r="61" spans="1:6" x14ac:dyDescent="0.2">
      <c r="A61" s="306" t="s">
        <v>9612</v>
      </c>
      <c r="B61" s="309">
        <v>20</v>
      </c>
      <c r="C61" s="305" t="s">
        <v>21949</v>
      </c>
      <c r="D61" s="261">
        <v>5000</v>
      </c>
      <c r="E61" s="261">
        <v>1000</v>
      </c>
      <c r="F61" s="174" t="s">
        <v>21890</v>
      </c>
    </row>
    <row r="62" spans="1:6" x14ac:dyDescent="0.2">
      <c r="A62" s="306" t="s">
        <v>13852</v>
      </c>
      <c r="B62" s="309">
        <v>1</v>
      </c>
      <c r="C62" s="305" t="s">
        <v>21950</v>
      </c>
      <c r="D62" s="261">
        <v>50</v>
      </c>
      <c r="E62" s="261">
        <v>0</v>
      </c>
      <c r="F62" s="174" t="s">
        <v>21951</v>
      </c>
    </row>
    <row r="63" spans="1:6" x14ac:dyDescent="0.2">
      <c r="A63" s="306" t="s">
        <v>13852</v>
      </c>
      <c r="B63" s="309">
        <v>2</v>
      </c>
      <c r="C63" s="305" t="s">
        <v>21952</v>
      </c>
      <c r="D63" s="261">
        <v>125</v>
      </c>
      <c r="E63" s="261">
        <v>0</v>
      </c>
      <c r="F63" s="174" t="s">
        <v>21951</v>
      </c>
    </row>
    <row r="64" spans="1:6" x14ac:dyDescent="0.2">
      <c r="A64" s="306" t="s">
        <v>13852</v>
      </c>
      <c r="B64" s="309">
        <v>3</v>
      </c>
      <c r="C64" s="305" t="s">
        <v>21953</v>
      </c>
      <c r="D64" s="261">
        <v>250</v>
      </c>
      <c r="E64" s="261">
        <v>0</v>
      </c>
      <c r="F64" s="174" t="s">
        <v>21951</v>
      </c>
    </row>
    <row r="65" spans="1:6" x14ac:dyDescent="0.2">
      <c r="A65" s="306" t="s">
        <v>13852</v>
      </c>
      <c r="B65" s="309">
        <v>4</v>
      </c>
      <c r="C65" s="305" t="s">
        <v>21954</v>
      </c>
      <c r="D65" s="261">
        <v>375</v>
      </c>
      <c r="E65" s="261">
        <v>0</v>
      </c>
      <c r="F65" s="174" t="s">
        <v>21951</v>
      </c>
    </row>
    <row r="66" spans="1:6" x14ac:dyDescent="0.2">
      <c r="A66" s="306" t="s">
        <v>13852</v>
      </c>
      <c r="B66" s="309">
        <v>5</v>
      </c>
      <c r="C66" s="305" t="s">
        <v>21955</v>
      </c>
      <c r="D66" s="261">
        <v>500</v>
      </c>
      <c r="E66" s="261">
        <v>0</v>
      </c>
      <c r="F66" s="174" t="s">
        <v>21951</v>
      </c>
    </row>
    <row r="67" spans="1:6" x14ac:dyDescent="0.2">
      <c r="A67" s="306" t="s">
        <v>13852</v>
      </c>
      <c r="B67" s="309">
        <v>6</v>
      </c>
      <c r="C67" s="305" t="s">
        <v>21956</v>
      </c>
      <c r="D67" s="261">
        <v>625</v>
      </c>
      <c r="E67" s="261">
        <v>0</v>
      </c>
      <c r="F67" s="174" t="s">
        <v>21951</v>
      </c>
    </row>
    <row r="68" spans="1:6" x14ac:dyDescent="0.2">
      <c r="A68" s="306" t="s">
        <v>13852</v>
      </c>
      <c r="B68" s="309">
        <v>7</v>
      </c>
      <c r="C68" s="305" t="s">
        <v>21957</v>
      </c>
      <c r="D68" s="261">
        <v>750</v>
      </c>
      <c r="E68" s="261">
        <v>0</v>
      </c>
      <c r="F68" s="174" t="s">
        <v>21951</v>
      </c>
    </row>
    <row r="69" spans="1:6" x14ac:dyDescent="0.2">
      <c r="A69" s="306" t="s">
        <v>13852</v>
      </c>
      <c r="B69" s="309">
        <v>8</v>
      </c>
      <c r="C69" s="305" t="s">
        <v>21958</v>
      </c>
      <c r="D69" s="261">
        <v>875</v>
      </c>
      <c r="E69" s="261">
        <v>0</v>
      </c>
      <c r="F69" s="174" t="s">
        <v>21951</v>
      </c>
    </row>
    <row r="70" spans="1:6" x14ac:dyDescent="0.2">
      <c r="A70" s="306" t="s">
        <v>13852</v>
      </c>
      <c r="B70" s="309">
        <v>9</v>
      </c>
      <c r="C70" s="305" t="s">
        <v>21959</v>
      </c>
      <c r="D70" s="261">
        <v>1000</v>
      </c>
      <c r="E70" s="261">
        <v>0</v>
      </c>
      <c r="F70" s="174" t="s">
        <v>21951</v>
      </c>
    </row>
    <row r="71" spans="1:6" x14ac:dyDescent="0.2">
      <c r="A71" s="306" t="s">
        <v>13852</v>
      </c>
      <c r="B71" s="309">
        <v>10</v>
      </c>
      <c r="C71" s="305" t="s">
        <v>21960</v>
      </c>
      <c r="D71" s="261">
        <v>1125</v>
      </c>
      <c r="E71" s="261">
        <v>0</v>
      </c>
      <c r="F71" s="174" t="s">
        <v>21951</v>
      </c>
    </row>
    <row r="72" spans="1:6" x14ac:dyDescent="0.2">
      <c r="A72" s="306" t="s">
        <v>13852</v>
      </c>
      <c r="B72" s="309">
        <v>11</v>
      </c>
      <c r="C72" s="305" t="s">
        <v>21961</v>
      </c>
      <c r="D72" s="261">
        <v>1400</v>
      </c>
      <c r="E72" s="261">
        <v>100</v>
      </c>
      <c r="F72" s="174" t="s">
        <v>21951</v>
      </c>
    </row>
    <row r="73" spans="1:6" x14ac:dyDescent="0.2">
      <c r="A73" s="306" t="s">
        <v>13852</v>
      </c>
      <c r="B73" s="309">
        <v>12</v>
      </c>
      <c r="C73" s="305" t="s">
        <v>21962</v>
      </c>
      <c r="D73" s="261">
        <v>1675</v>
      </c>
      <c r="E73" s="261">
        <v>150</v>
      </c>
      <c r="F73" s="174" t="s">
        <v>21951</v>
      </c>
    </row>
    <row r="74" spans="1:6" x14ac:dyDescent="0.2">
      <c r="A74" s="306" t="s">
        <v>13852</v>
      </c>
      <c r="B74" s="309">
        <v>13</v>
      </c>
      <c r="C74" s="305" t="s">
        <v>21963</v>
      </c>
      <c r="D74" s="261">
        <v>1950</v>
      </c>
      <c r="E74" s="261">
        <v>250</v>
      </c>
      <c r="F74" s="174" t="s">
        <v>21951</v>
      </c>
    </row>
    <row r="75" spans="1:6" x14ac:dyDescent="0.2">
      <c r="A75" s="306" t="s">
        <v>13852</v>
      </c>
      <c r="B75" s="309">
        <v>14</v>
      </c>
      <c r="C75" s="305" t="s">
        <v>21964</v>
      </c>
      <c r="D75" s="261">
        <v>2225</v>
      </c>
      <c r="E75" s="261">
        <v>350</v>
      </c>
      <c r="F75" s="174" t="s">
        <v>21951</v>
      </c>
    </row>
    <row r="76" spans="1:6" x14ac:dyDescent="0.2">
      <c r="A76" s="306" t="s">
        <v>13852</v>
      </c>
      <c r="B76" s="309">
        <v>15</v>
      </c>
      <c r="C76" s="305" t="s">
        <v>21965</v>
      </c>
      <c r="D76" s="261">
        <v>2500</v>
      </c>
      <c r="E76" s="261">
        <v>450</v>
      </c>
      <c r="F76" s="174" t="s">
        <v>21951</v>
      </c>
    </row>
    <row r="77" spans="1:6" x14ac:dyDescent="0.2">
      <c r="A77" s="306" t="s">
        <v>13852</v>
      </c>
      <c r="B77" s="309">
        <v>16</v>
      </c>
      <c r="C77" s="305" t="s">
        <v>21966</v>
      </c>
      <c r="D77" s="261">
        <v>3000</v>
      </c>
      <c r="E77" s="261">
        <v>550</v>
      </c>
      <c r="F77" s="174" t="s">
        <v>21951</v>
      </c>
    </row>
    <row r="78" spans="1:6" x14ac:dyDescent="0.2">
      <c r="A78" s="306" t="s">
        <v>13852</v>
      </c>
      <c r="B78" s="309">
        <v>17</v>
      </c>
      <c r="C78" s="305" t="s">
        <v>21967</v>
      </c>
      <c r="D78" s="261">
        <v>3500</v>
      </c>
      <c r="E78" s="261">
        <v>650</v>
      </c>
      <c r="F78" s="174" t="s">
        <v>21951</v>
      </c>
    </row>
    <row r="79" spans="1:6" x14ac:dyDescent="0.2">
      <c r="A79" s="306" t="s">
        <v>13852</v>
      </c>
      <c r="B79" s="309">
        <v>18</v>
      </c>
      <c r="C79" s="305" t="s">
        <v>21968</v>
      </c>
      <c r="D79" s="261">
        <v>4000</v>
      </c>
      <c r="E79" s="261">
        <v>750</v>
      </c>
      <c r="F79" s="174" t="s">
        <v>21951</v>
      </c>
    </row>
    <row r="80" spans="1:6" x14ac:dyDescent="0.2">
      <c r="A80" s="306" t="s">
        <v>13852</v>
      </c>
      <c r="B80" s="309">
        <v>19</v>
      </c>
      <c r="C80" s="305" t="s">
        <v>21969</v>
      </c>
      <c r="D80" s="261">
        <v>4500</v>
      </c>
      <c r="E80" s="261">
        <v>850</v>
      </c>
      <c r="F80" s="174" t="s">
        <v>21951</v>
      </c>
    </row>
    <row r="81" spans="1:6" x14ac:dyDescent="0.2">
      <c r="A81" s="306" t="s">
        <v>13852</v>
      </c>
      <c r="B81" s="309">
        <v>20</v>
      </c>
      <c r="C81" s="305" t="s">
        <v>21970</v>
      </c>
      <c r="D81" s="261">
        <v>5000</v>
      </c>
      <c r="E81" s="261">
        <v>1000</v>
      </c>
      <c r="F81" s="174" t="s">
        <v>21951</v>
      </c>
    </row>
    <row r="82" spans="1:6" x14ac:dyDescent="0.2">
      <c r="A82" s="306" t="s">
        <v>8958</v>
      </c>
      <c r="B82" s="309">
        <v>1</v>
      </c>
      <c r="C82" s="305" t="s">
        <v>21971</v>
      </c>
      <c r="D82" s="261">
        <v>50</v>
      </c>
      <c r="E82" s="261">
        <v>0</v>
      </c>
      <c r="F82" s="174" t="s">
        <v>21951</v>
      </c>
    </row>
    <row r="83" spans="1:6" x14ac:dyDescent="0.2">
      <c r="A83" s="306" t="s">
        <v>8958</v>
      </c>
      <c r="B83" s="309">
        <v>2</v>
      </c>
      <c r="C83" s="305" t="s">
        <v>21972</v>
      </c>
      <c r="D83" s="261">
        <v>125</v>
      </c>
      <c r="E83" s="261">
        <v>0</v>
      </c>
      <c r="F83" s="174" t="s">
        <v>21951</v>
      </c>
    </row>
    <row r="84" spans="1:6" x14ac:dyDescent="0.2">
      <c r="A84" s="306" t="s">
        <v>8958</v>
      </c>
      <c r="B84" s="309">
        <v>3</v>
      </c>
      <c r="C84" s="305" t="s">
        <v>21973</v>
      </c>
      <c r="D84" s="261">
        <v>250</v>
      </c>
      <c r="E84" s="261">
        <v>0</v>
      </c>
      <c r="F84" s="174" t="s">
        <v>21951</v>
      </c>
    </row>
    <row r="85" spans="1:6" x14ac:dyDescent="0.2">
      <c r="A85" s="306" t="s">
        <v>8958</v>
      </c>
      <c r="B85" s="309">
        <v>4</v>
      </c>
      <c r="C85" s="305" t="s">
        <v>21974</v>
      </c>
      <c r="D85" s="261">
        <v>375</v>
      </c>
      <c r="E85" s="261">
        <v>0</v>
      </c>
      <c r="F85" s="174" t="s">
        <v>21951</v>
      </c>
    </row>
    <row r="86" spans="1:6" x14ac:dyDescent="0.2">
      <c r="A86" s="306" t="s">
        <v>8958</v>
      </c>
      <c r="B86" s="309">
        <v>5</v>
      </c>
      <c r="C86" s="305" t="s">
        <v>21975</v>
      </c>
      <c r="D86" s="261">
        <v>500</v>
      </c>
      <c r="E86" s="261">
        <v>0</v>
      </c>
      <c r="F86" s="174" t="s">
        <v>21951</v>
      </c>
    </row>
    <row r="87" spans="1:6" x14ac:dyDescent="0.2">
      <c r="A87" s="306" t="s">
        <v>8958</v>
      </c>
      <c r="B87" s="309">
        <v>6</v>
      </c>
      <c r="C87" s="305" t="s">
        <v>21976</v>
      </c>
      <c r="D87" s="261">
        <v>625</v>
      </c>
      <c r="E87" s="261">
        <v>0</v>
      </c>
      <c r="F87" s="174" t="s">
        <v>21951</v>
      </c>
    </row>
    <row r="88" spans="1:6" x14ac:dyDescent="0.2">
      <c r="A88" s="306" t="s">
        <v>8958</v>
      </c>
      <c r="B88" s="309">
        <v>7</v>
      </c>
      <c r="C88" s="305" t="s">
        <v>21977</v>
      </c>
      <c r="D88" s="261">
        <v>750</v>
      </c>
      <c r="E88" s="261">
        <v>0</v>
      </c>
      <c r="F88" s="174" t="s">
        <v>21951</v>
      </c>
    </row>
    <row r="89" spans="1:6" x14ac:dyDescent="0.2">
      <c r="A89" s="306" t="s">
        <v>8958</v>
      </c>
      <c r="B89" s="309">
        <v>8</v>
      </c>
      <c r="C89" s="305" t="s">
        <v>21978</v>
      </c>
      <c r="D89" s="261">
        <v>875</v>
      </c>
      <c r="E89" s="261">
        <v>0</v>
      </c>
      <c r="F89" s="174" t="s">
        <v>21951</v>
      </c>
    </row>
    <row r="90" spans="1:6" x14ac:dyDescent="0.2">
      <c r="A90" s="306" t="s">
        <v>8958</v>
      </c>
      <c r="B90" s="309">
        <v>9</v>
      </c>
      <c r="C90" s="305" t="s">
        <v>21979</v>
      </c>
      <c r="D90" s="261">
        <v>1000</v>
      </c>
      <c r="E90" s="261">
        <v>0</v>
      </c>
      <c r="F90" s="174" t="s">
        <v>21951</v>
      </c>
    </row>
    <row r="91" spans="1:6" x14ac:dyDescent="0.2">
      <c r="A91" s="306" t="s">
        <v>8958</v>
      </c>
      <c r="B91" s="309">
        <v>10</v>
      </c>
      <c r="C91" s="305" t="s">
        <v>21980</v>
      </c>
      <c r="D91" s="261">
        <v>1125</v>
      </c>
      <c r="E91" s="261">
        <v>0</v>
      </c>
      <c r="F91" s="174" t="s">
        <v>21951</v>
      </c>
    </row>
    <row r="92" spans="1:6" x14ac:dyDescent="0.2">
      <c r="A92" s="306" t="s">
        <v>8958</v>
      </c>
      <c r="B92" s="309">
        <v>11</v>
      </c>
      <c r="C92" s="305" t="s">
        <v>21981</v>
      </c>
      <c r="D92" s="261">
        <v>1400</v>
      </c>
      <c r="E92" s="261">
        <v>100</v>
      </c>
      <c r="F92" s="174" t="s">
        <v>21951</v>
      </c>
    </row>
    <row r="93" spans="1:6" x14ac:dyDescent="0.2">
      <c r="A93" s="306" t="s">
        <v>8958</v>
      </c>
      <c r="B93" s="309">
        <v>12</v>
      </c>
      <c r="C93" s="305" t="s">
        <v>21982</v>
      </c>
      <c r="D93" s="261">
        <v>1675</v>
      </c>
      <c r="E93" s="261">
        <v>150</v>
      </c>
      <c r="F93" s="174" t="s">
        <v>21951</v>
      </c>
    </row>
    <row r="94" spans="1:6" x14ac:dyDescent="0.2">
      <c r="A94" s="306" t="s">
        <v>8958</v>
      </c>
      <c r="B94" s="309">
        <v>13</v>
      </c>
      <c r="C94" s="305" t="s">
        <v>21983</v>
      </c>
      <c r="D94" s="261">
        <v>1950</v>
      </c>
      <c r="E94" s="261">
        <v>250</v>
      </c>
      <c r="F94" s="174" t="s">
        <v>21951</v>
      </c>
    </row>
    <row r="95" spans="1:6" x14ac:dyDescent="0.2">
      <c r="A95" s="306" t="s">
        <v>8958</v>
      </c>
      <c r="B95" s="309">
        <v>14</v>
      </c>
      <c r="C95" s="305" t="s">
        <v>21984</v>
      </c>
      <c r="D95" s="261">
        <v>2225</v>
      </c>
      <c r="E95" s="261">
        <v>350</v>
      </c>
      <c r="F95" s="174" t="s">
        <v>21951</v>
      </c>
    </row>
    <row r="96" spans="1:6" x14ac:dyDescent="0.2">
      <c r="A96" s="306" t="s">
        <v>8958</v>
      </c>
      <c r="B96" s="309">
        <v>15</v>
      </c>
      <c r="C96" s="305" t="s">
        <v>21985</v>
      </c>
      <c r="D96" s="261">
        <v>2500</v>
      </c>
      <c r="E96" s="261">
        <v>450</v>
      </c>
      <c r="F96" s="174" t="s">
        <v>21951</v>
      </c>
    </row>
    <row r="97" spans="1:6" x14ac:dyDescent="0.2">
      <c r="A97" s="306" t="s">
        <v>8958</v>
      </c>
      <c r="B97" s="309">
        <v>16</v>
      </c>
      <c r="C97" s="305" t="s">
        <v>21986</v>
      </c>
      <c r="D97" s="261">
        <v>3000</v>
      </c>
      <c r="E97" s="261">
        <v>550</v>
      </c>
      <c r="F97" s="174" t="s">
        <v>21951</v>
      </c>
    </row>
    <row r="98" spans="1:6" x14ac:dyDescent="0.2">
      <c r="A98" s="306" t="s">
        <v>8958</v>
      </c>
      <c r="B98" s="309">
        <v>17</v>
      </c>
      <c r="C98" s="305" t="s">
        <v>21987</v>
      </c>
      <c r="D98" s="261">
        <v>3500</v>
      </c>
      <c r="E98" s="261">
        <v>650</v>
      </c>
      <c r="F98" s="174" t="s">
        <v>21951</v>
      </c>
    </row>
    <row r="99" spans="1:6" x14ac:dyDescent="0.2">
      <c r="A99" s="306" t="s">
        <v>8958</v>
      </c>
      <c r="B99" s="309">
        <v>18</v>
      </c>
      <c r="C99" s="305" t="s">
        <v>21988</v>
      </c>
      <c r="D99" s="261">
        <v>4000</v>
      </c>
      <c r="E99" s="261">
        <v>750</v>
      </c>
      <c r="F99" s="174" t="s">
        <v>21951</v>
      </c>
    </row>
    <row r="100" spans="1:6" x14ac:dyDescent="0.2">
      <c r="A100" s="306" t="s">
        <v>8958</v>
      </c>
      <c r="B100" s="309">
        <v>19</v>
      </c>
      <c r="C100" s="305" t="s">
        <v>21989</v>
      </c>
      <c r="D100" s="261">
        <v>4500</v>
      </c>
      <c r="E100" s="261">
        <v>850</v>
      </c>
      <c r="F100" s="174" t="s">
        <v>21951</v>
      </c>
    </row>
    <row r="101" spans="1:6" x14ac:dyDescent="0.2">
      <c r="A101" s="306" t="s">
        <v>8958</v>
      </c>
      <c r="B101" s="309">
        <v>20</v>
      </c>
      <c r="C101" s="305" t="s">
        <v>21990</v>
      </c>
      <c r="D101" s="261">
        <v>5000</v>
      </c>
      <c r="E101" s="261">
        <v>1000</v>
      </c>
      <c r="F101" s="174" t="s">
        <v>21951</v>
      </c>
    </row>
    <row r="102" spans="1:6" x14ac:dyDescent="0.2">
      <c r="A102" s="306" t="s">
        <v>13950</v>
      </c>
      <c r="B102" s="309">
        <v>1</v>
      </c>
      <c r="C102" s="305" t="s">
        <v>21991</v>
      </c>
      <c r="D102" s="261">
        <v>50</v>
      </c>
      <c r="E102" s="261">
        <v>0</v>
      </c>
      <c r="F102" s="174" t="s">
        <v>21890</v>
      </c>
    </row>
    <row r="103" spans="1:6" x14ac:dyDescent="0.2">
      <c r="A103" s="306" t="s">
        <v>13950</v>
      </c>
      <c r="B103" s="309">
        <v>2</v>
      </c>
      <c r="C103" s="305" t="s">
        <v>21992</v>
      </c>
      <c r="D103" s="261">
        <v>125</v>
      </c>
      <c r="E103" s="261">
        <v>0</v>
      </c>
      <c r="F103" s="174" t="s">
        <v>21890</v>
      </c>
    </row>
    <row r="104" spans="1:6" x14ac:dyDescent="0.2">
      <c r="A104" s="306" t="s">
        <v>13950</v>
      </c>
      <c r="B104" s="309">
        <v>3</v>
      </c>
      <c r="C104" s="305" t="s">
        <v>21993</v>
      </c>
      <c r="D104" s="261">
        <v>250</v>
      </c>
      <c r="E104" s="261">
        <v>0</v>
      </c>
      <c r="F104" s="174" t="s">
        <v>21890</v>
      </c>
    </row>
    <row r="105" spans="1:6" x14ac:dyDescent="0.2">
      <c r="A105" s="306" t="s">
        <v>13950</v>
      </c>
      <c r="B105" s="309">
        <v>4</v>
      </c>
      <c r="C105" s="305" t="s">
        <v>21994</v>
      </c>
      <c r="D105" s="261">
        <v>375</v>
      </c>
      <c r="E105" s="261">
        <v>0</v>
      </c>
      <c r="F105" s="174" t="s">
        <v>21890</v>
      </c>
    </row>
    <row r="106" spans="1:6" x14ac:dyDescent="0.2">
      <c r="A106" s="306" t="s">
        <v>13950</v>
      </c>
      <c r="B106" s="309">
        <v>5</v>
      </c>
      <c r="C106" s="305" t="s">
        <v>21995</v>
      </c>
      <c r="D106" s="261">
        <v>500</v>
      </c>
      <c r="E106" s="261">
        <v>0</v>
      </c>
      <c r="F106" s="174" t="s">
        <v>21890</v>
      </c>
    </row>
    <row r="107" spans="1:6" x14ac:dyDescent="0.2">
      <c r="A107" s="306" t="s">
        <v>13950</v>
      </c>
      <c r="B107" s="309">
        <v>6</v>
      </c>
      <c r="C107" s="305" t="s">
        <v>21996</v>
      </c>
      <c r="D107" s="261">
        <v>625</v>
      </c>
      <c r="E107" s="261">
        <v>0</v>
      </c>
      <c r="F107" s="174" t="s">
        <v>21890</v>
      </c>
    </row>
    <row r="108" spans="1:6" x14ac:dyDescent="0.2">
      <c r="A108" s="306" t="s">
        <v>13950</v>
      </c>
      <c r="B108" s="309">
        <v>7</v>
      </c>
      <c r="C108" s="305" t="s">
        <v>21997</v>
      </c>
      <c r="D108" s="261">
        <v>750</v>
      </c>
      <c r="E108" s="261">
        <v>0</v>
      </c>
      <c r="F108" s="174" t="s">
        <v>21890</v>
      </c>
    </row>
    <row r="109" spans="1:6" x14ac:dyDescent="0.2">
      <c r="A109" s="306" t="s">
        <v>13950</v>
      </c>
      <c r="B109" s="309">
        <v>8</v>
      </c>
      <c r="C109" s="305" t="s">
        <v>21998</v>
      </c>
      <c r="D109" s="261">
        <v>875</v>
      </c>
      <c r="E109" s="261">
        <v>0</v>
      </c>
      <c r="F109" s="174" t="s">
        <v>21890</v>
      </c>
    </row>
    <row r="110" spans="1:6" x14ac:dyDescent="0.2">
      <c r="A110" s="306" t="s">
        <v>13950</v>
      </c>
      <c r="B110" s="309">
        <v>9</v>
      </c>
      <c r="C110" s="305" t="s">
        <v>21999</v>
      </c>
      <c r="D110" s="261">
        <v>1000</v>
      </c>
      <c r="E110" s="261">
        <v>0</v>
      </c>
      <c r="F110" s="174" t="s">
        <v>21890</v>
      </c>
    </row>
    <row r="111" spans="1:6" x14ac:dyDescent="0.2">
      <c r="A111" s="306" t="s">
        <v>13950</v>
      </c>
      <c r="B111" s="309">
        <v>10</v>
      </c>
      <c r="C111" s="305" t="s">
        <v>22000</v>
      </c>
      <c r="D111" s="261">
        <v>1125</v>
      </c>
      <c r="E111" s="261">
        <v>0</v>
      </c>
      <c r="F111" s="174" t="s">
        <v>21890</v>
      </c>
    </row>
    <row r="112" spans="1:6" x14ac:dyDescent="0.2">
      <c r="A112" s="306" t="s">
        <v>13950</v>
      </c>
      <c r="B112" s="309">
        <v>11</v>
      </c>
      <c r="C112" s="305" t="s">
        <v>22001</v>
      </c>
      <c r="D112" s="261">
        <v>1400</v>
      </c>
      <c r="E112" s="261">
        <v>100</v>
      </c>
      <c r="F112" s="174" t="s">
        <v>21890</v>
      </c>
    </row>
    <row r="113" spans="1:6" x14ac:dyDescent="0.2">
      <c r="A113" s="306" t="s">
        <v>13950</v>
      </c>
      <c r="B113" s="309">
        <v>12</v>
      </c>
      <c r="C113" s="305" t="s">
        <v>22002</v>
      </c>
      <c r="D113" s="261">
        <v>1675</v>
      </c>
      <c r="E113" s="261">
        <v>150</v>
      </c>
      <c r="F113" s="174" t="s">
        <v>21890</v>
      </c>
    </row>
    <row r="114" spans="1:6" x14ac:dyDescent="0.2">
      <c r="A114" s="306" t="s">
        <v>13950</v>
      </c>
      <c r="B114" s="309">
        <v>13</v>
      </c>
      <c r="C114" s="305" t="s">
        <v>22003</v>
      </c>
      <c r="D114" s="261">
        <v>1950</v>
      </c>
      <c r="E114" s="261">
        <v>250</v>
      </c>
      <c r="F114" s="174" t="s">
        <v>21890</v>
      </c>
    </row>
    <row r="115" spans="1:6" x14ac:dyDescent="0.2">
      <c r="A115" s="306" t="s">
        <v>13950</v>
      </c>
      <c r="B115" s="309">
        <v>14</v>
      </c>
      <c r="C115" s="305" t="s">
        <v>22004</v>
      </c>
      <c r="D115" s="261">
        <v>2225</v>
      </c>
      <c r="E115" s="261">
        <v>350</v>
      </c>
      <c r="F115" s="174" t="s">
        <v>21890</v>
      </c>
    </row>
    <row r="116" spans="1:6" x14ac:dyDescent="0.2">
      <c r="A116" s="306" t="s">
        <v>13950</v>
      </c>
      <c r="B116" s="309">
        <v>15</v>
      </c>
      <c r="C116" s="305" t="s">
        <v>22005</v>
      </c>
      <c r="D116" s="261">
        <v>2500</v>
      </c>
      <c r="E116" s="261">
        <v>450</v>
      </c>
      <c r="F116" s="174" t="s">
        <v>21890</v>
      </c>
    </row>
    <row r="117" spans="1:6" x14ac:dyDescent="0.2">
      <c r="A117" s="306" t="s">
        <v>13950</v>
      </c>
      <c r="B117" s="309">
        <v>16</v>
      </c>
      <c r="C117" s="305" t="s">
        <v>22006</v>
      </c>
      <c r="D117" s="261">
        <v>3000</v>
      </c>
      <c r="E117" s="261">
        <v>550</v>
      </c>
      <c r="F117" s="174" t="s">
        <v>21890</v>
      </c>
    </row>
    <row r="118" spans="1:6" x14ac:dyDescent="0.2">
      <c r="A118" s="306" t="s">
        <v>13950</v>
      </c>
      <c r="B118" s="309">
        <v>17</v>
      </c>
      <c r="C118" s="305" t="s">
        <v>22007</v>
      </c>
      <c r="D118" s="261">
        <v>3500</v>
      </c>
      <c r="E118" s="261">
        <v>650</v>
      </c>
      <c r="F118" s="174" t="s">
        <v>21890</v>
      </c>
    </row>
    <row r="119" spans="1:6" x14ac:dyDescent="0.2">
      <c r="A119" s="306" t="s">
        <v>13950</v>
      </c>
      <c r="B119" s="309">
        <v>18</v>
      </c>
      <c r="C119" s="305" t="s">
        <v>22008</v>
      </c>
      <c r="D119" s="261">
        <v>4000</v>
      </c>
      <c r="E119" s="261">
        <v>750</v>
      </c>
      <c r="F119" s="174" t="s">
        <v>21890</v>
      </c>
    </row>
    <row r="120" spans="1:6" x14ac:dyDescent="0.2">
      <c r="A120" s="306" t="s">
        <v>13950</v>
      </c>
      <c r="B120" s="309">
        <v>19</v>
      </c>
      <c r="C120" s="305" t="s">
        <v>22009</v>
      </c>
      <c r="D120" s="261">
        <v>4500</v>
      </c>
      <c r="E120" s="261">
        <v>850</v>
      </c>
      <c r="F120" s="174" t="s">
        <v>21890</v>
      </c>
    </row>
    <row r="121" spans="1:6" x14ac:dyDescent="0.2">
      <c r="A121" s="306" t="s">
        <v>13950</v>
      </c>
      <c r="B121" s="309">
        <v>20</v>
      </c>
      <c r="C121" s="305" t="s">
        <v>22010</v>
      </c>
      <c r="D121" s="261">
        <v>5000</v>
      </c>
      <c r="E121" s="261">
        <v>1000</v>
      </c>
      <c r="F121" s="174" t="s">
        <v>21890</v>
      </c>
    </row>
    <row r="122" spans="1:6" x14ac:dyDescent="0.2">
      <c r="A122" s="306" t="s">
        <v>13882</v>
      </c>
      <c r="B122" s="309">
        <v>1</v>
      </c>
      <c r="C122" s="305" t="s">
        <v>22011</v>
      </c>
      <c r="D122" s="261">
        <v>50</v>
      </c>
      <c r="E122" s="261">
        <v>0</v>
      </c>
      <c r="F122" s="174" t="s">
        <v>21890</v>
      </c>
    </row>
    <row r="123" spans="1:6" x14ac:dyDescent="0.2">
      <c r="A123" s="306" t="s">
        <v>13882</v>
      </c>
      <c r="B123" s="309">
        <v>2</v>
      </c>
      <c r="C123" s="305" t="s">
        <v>22012</v>
      </c>
      <c r="D123" s="261">
        <v>125</v>
      </c>
      <c r="E123" s="261">
        <v>0</v>
      </c>
      <c r="F123" s="174" t="s">
        <v>21890</v>
      </c>
    </row>
    <row r="124" spans="1:6" x14ac:dyDescent="0.2">
      <c r="A124" s="306" t="s">
        <v>13882</v>
      </c>
      <c r="B124" s="309">
        <v>3</v>
      </c>
      <c r="C124" s="305" t="s">
        <v>22013</v>
      </c>
      <c r="D124" s="261">
        <v>250</v>
      </c>
      <c r="E124" s="261">
        <v>0</v>
      </c>
      <c r="F124" s="174" t="s">
        <v>21890</v>
      </c>
    </row>
    <row r="125" spans="1:6" x14ac:dyDescent="0.2">
      <c r="A125" s="306" t="s">
        <v>13882</v>
      </c>
      <c r="B125" s="309">
        <v>4</v>
      </c>
      <c r="C125" s="305" t="s">
        <v>22014</v>
      </c>
      <c r="D125" s="261">
        <v>375</v>
      </c>
      <c r="E125" s="261">
        <v>0</v>
      </c>
      <c r="F125" s="174" t="s">
        <v>21890</v>
      </c>
    </row>
    <row r="126" spans="1:6" x14ac:dyDescent="0.2">
      <c r="A126" s="306" t="s">
        <v>13882</v>
      </c>
      <c r="B126" s="309">
        <v>5</v>
      </c>
      <c r="C126" s="305" t="s">
        <v>22015</v>
      </c>
      <c r="D126" s="261">
        <v>500</v>
      </c>
      <c r="E126" s="261">
        <v>0</v>
      </c>
      <c r="F126" s="174" t="s">
        <v>21890</v>
      </c>
    </row>
    <row r="127" spans="1:6" x14ac:dyDescent="0.2">
      <c r="A127" s="306" t="s">
        <v>13882</v>
      </c>
      <c r="B127" s="309">
        <v>6</v>
      </c>
      <c r="C127" s="305" t="s">
        <v>22016</v>
      </c>
      <c r="D127" s="261">
        <v>625</v>
      </c>
      <c r="E127" s="261">
        <v>0</v>
      </c>
      <c r="F127" s="174" t="s">
        <v>21890</v>
      </c>
    </row>
    <row r="128" spans="1:6" x14ac:dyDescent="0.2">
      <c r="A128" s="306" t="s">
        <v>13882</v>
      </c>
      <c r="B128" s="309">
        <v>7</v>
      </c>
      <c r="C128" s="305" t="s">
        <v>22017</v>
      </c>
      <c r="D128" s="261">
        <v>750</v>
      </c>
      <c r="E128" s="261">
        <v>0</v>
      </c>
      <c r="F128" s="174" t="s">
        <v>21890</v>
      </c>
    </row>
    <row r="129" spans="1:6" x14ac:dyDescent="0.2">
      <c r="A129" s="306" t="s">
        <v>13882</v>
      </c>
      <c r="B129" s="309">
        <v>8</v>
      </c>
      <c r="C129" s="305" t="s">
        <v>22018</v>
      </c>
      <c r="D129" s="261">
        <v>875</v>
      </c>
      <c r="E129" s="261">
        <v>0</v>
      </c>
      <c r="F129" s="174" t="s">
        <v>21890</v>
      </c>
    </row>
    <row r="130" spans="1:6" x14ac:dyDescent="0.2">
      <c r="A130" s="306" t="s">
        <v>13882</v>
      </c>
      <c r="B130" s="309">
        <v>9</v>
      </c>
      <c r="C130" s="305" t="s">
        <v>22019</v>
      </c>
      <c r="D130" s="261">
        <v>1000</v>
      </c>
      <c r="E130" s="261">
        <v>0</v>
      </c>
      <c r="F130" s="174" t="s">
        <v>21890</v>
      </c>
    </row>
    <row r="131" spans="1:6" x14ac:dyDescent="0.2">
      <c r="A131" s="306" t="s">
        <v>13882</v>
      </c>
      <c r="B131" s="309">
        <v>10</v>
      </c>
      <c r="C131" s="305" t="s">
        <v>22020</v>
      </c>
      <c r="D131" s="261">
        <v>1125</v>
      </c>
      <c r="E131" s="261">
        <v>0</v>
      </c>
      <c r="F131" s="174" t="s">
        <v>21890</v>
      </c>
    </row>
    <row r="132" spans="1:6" x14ac:dyDescent="0.2">
      <c r="A132" s="306" t="s">
        <v>13882</v>
      </c>
      <c r="B132" s="309">
        <v>11</v>
      </c>
      <c r="C132" s="305" t="s">
        <v>22021</v>
      </c>
      <c r="D132" s="261">
        <v>1400</v>
      </c>
      <c r="E132" s="261">
        <v>100</v>
      </c>
      <c r="F132" s="174" t="s">
        <v>21890</v>
      </c>
    </row>
    <row r="133" spans="1:6" x14ac:dyDescent="0.2">
      <c r="A133" s="306" t="s">
        <v>13882</v>
      </c>
      <c r="B133" s="309">
        <v>12</v>
      </c>
      <c r="C133" s="305" t="s">
        <v>22022</v>
      </c>
      <c r="D133" s="261">
        <v>1675</v>
      </c>
      <c r="E133" s="261">
        <v>150</v>
      </c>
      <c r="F133" s="174" t="s">
        <v>21890</v>
      </c>
    </row>
    <row r="134" spans="1:6" x14ac:dyDescent="0.2">
      <c r="A134" s="306" t="s">
        <v>13882</v>
      </c>
      <c r="B134" s="309">
        <v>13</v>
      </c>
      <c r="C134" s="305" t="s">
        <v>22023</v>
      </c>
      <c r="D134" s="261">
        <v>1950</v>
      </c>
      <c r="E134" s="261">
        <v>250</v>
      </c>
      <c r="F134" s="174" t="s">
        <v>21890</v>
      </c>
    </row>
    <row r="135" spans="1:6" x14ac:dyDescent="0.2">
      <c r="A135" s="306" t="s">
        <v>13882</v>
      </c>
      <c r="B135" s="309">
        <v>14</v>
      </c>
      <c r="C135" s="305" t="s">
        <v>22024</v>
      </c>
      <c r="D135" s="261">
        <v>2225</v>
      </c>
      <c r="E135" s="261">
        <v>350</v>
      </c>
      <c r="F135" s="174" t="s">
        <v>21890</v>
      </c>
    </row>
    <row r="136" spans="1:6" x14ac:dyDescent="0.2">
      <c r="A136" s="306" t="s">
        <v>13882</v>
      </c>
      <c r="B136" s="309">
        <v>15</v>
      </c>
      <c r="C136" s="305" t="s">
        <v>22025</v>
      </c>
      <c r="D136" s="261">
        <v>2500</v>
      </c>
      <c r="E136" s="261">
        <v>450</v>
      </c>
      <c r="F136" s="174" t="s">
        <v>21890</v>
      </c>
    </row>
    <row r="137" spans="1:6" x14ac:dyDescent="0.2">
      <c r="A137" s="306" t="s">
        <v>13882</v>
      </c>
      <c r="B137" s="309">
        <v>16</v>
      </c>
      <c r="C137" s="305" t="s">
        <v>22026</v>
      </c>
      <c r="D137" s="261">
        <v>3000</v>
      </c>
      <c r="E137" s="261">
        <v>550</v>
      </c>
      <c r="F137" s="174" t="s">
        <v>21890</v>
      </c>
    </row>
    <row r="138" spans="1:6" x14ac:dyDescent="0.2">
      <c r="A138" s="306" t="s">
        <v>13882</v>
      </c>
      <c r="B138" s="309">
        <v>17</v>
      </c>
      <c r="C138" s="305" t="s">
        <v>22027</v>
      </c>
      <c r="D138" s="261">
        <v>3500</v>
      </c>
      <c r="E138" s="261">
        <v>650</v>
      </c>
      <c r="F138" s="174" t="s">
        <v>21890</v>
      </c>
    </row>
    <row r="139" spans="1:6" x14ac:dyDescent="0.2">
      <c r="A139" s="306" t="s">
        <v>13882</v>
      </c>
      <c r="B139" s="309">
        <v>18</v>
      </c>
      <c r="C139" s="305" t="s">
        <v>22028</v>
      </c>
      <c r="D139" s="261">
        <v>4000</v>
      </c>
      <c r="E139" s="261">
        <v>750</v>
      </c>
      <c r="F139" s="174" t="s">
        <v>21890</v>
      </c>
    </row>
    <row r="140" spans="1:6" x14ac:dyDescent="0.2">
      <c r="A140" s="306" t="s">
        <v>13882</v>
      </c>
      <c r="B140" s="309">
        <v>19</v>
      </c>
      <c r="C140" s="305" t="s">
        <v>22029</v>
      </c>
      <c r="D140" s="261">
        <v>4500</v>
      </c>
      <c r="E140" s="261">
        <v>850</v>
      </c>
      <c r="F140" s="174" t="s">
        <v>21890</v>
      </c>
    </row>
    <row r="141" spans="1:6" x14ac:dyDescent="0.2">
      <c r="A141" s="306" t="s">
        <v>13882</v>
      </c>
      <c r="B141" s="309">
        <v>20</v>
      </c>
      <c r="C141" s="305" t="s">
        <v>22030</v>
      </c>
      <c r="D141" s="261">
        <v>5000</v>
      </c>
      <c r="E141" s="261">
        <v>1000</v>
      </c>
      <c r="F141" s="174" t="s">
        <v>21890</v>
      </c>
    </row>
    <row r="142" spans="1:6" x14ac:dyDescent="0.2">
      <c r="A142" s="306" t="s">
        <v>241</v>
      </c>
      <c r="B142" s="309">
        <v>1</v>
      </c>
      <c r="C142" s="305" t="s">
        <v>22031</v>
      </c>
      <c r="D142" s="261">
        <v>50</v>
      </c>
      <c r="E142" s="261">
        <v>0</v>
      </c>
      <c r="F142" s="174" t="s">
        <v>24548</v>
      </c>
    </row>
    <row r="143" spans="1:6" x14ac:dyDescent="0.2">
      <c r="A143" s="306" t="s">
        <v>241</v>
      </c>
      <c r="B143" s="309">
        <v>2</v>
      </c>
      <c r="C143" s="305" t="s">
        <v>22032</v>
      </c>
      <c r="D143" s="261">
        <v>125</v>
      </c>
      <c r="E143" s="261">
        <v>0</v>
      </c>
      <c r="F143" s="174" t="s">
        <v>24548</v>
      </c>
    </row>
    <row r="144" spans="1:6" x14ac:dyDescent="0.2">
      <c r="A144" s="306" t="s">
        <v>241</v>
      </c>
      <c r="B144" s="309">
        <v>3</v>
      </c>
      <c r="C144" s="305" t="s">
        <v>22033</v>
      </c>
      <c r="D144" s="261">
        <v>250</v>
      </c>
      <c r="E144" s="261">
        <v>0</v>
      </c>
      <c r="F144" s="174" t="s">
        <v>24548</v>
      </c>
    </row>
    <row r="145" spans="1:6" x14ac:dyDescent="0.2">
      <c r="A145" s="306" t="s">
        <v>241</v>
      </c>
      <c r="B145" s="309">
        <v>4</v>
      </c>
      <c r="C145" s="305" t="s">
        <v>22034</v>
      </c>
      <c r="D145" s="261">
        <v>375</v>
      </c>
      <c r="E145" s="261">
        <v>0</v>
      </c>
      <c r="F145" s="174" t="s">
        <v>24548</v>
      </c>
    </row>
    <row r="146" spans="1:6" x14ac:dyDescent="0.2">
      <c r="A146" s="306" t="s">
        <v>241</v>
      </c>
      <c r="B146" s="309">
        <v>5</v>
      </c>
      <c r="C146" s="305" t="s">
        <v>22035</v>
      </c>
      <c r="D146" s="261">
        <v>500</v>
      </c>
      <c r="E146" s="261">
        <v>0</v>
      </c>
      <c r="F146" s="174" t="s">
        <v>24548</v>
      </c>
    </row>
    <row r="147" spans="1:6" x14ac:dyDescent="0.2">
      <c r="A147" s="306" t="s">
        <v>241</v>
      </c>
      <c r="B147" s="309">
        <v>6</v>
      </c>
      <c r="C147" s="305" t="s">
        <v>22036</v>
      </c>
      <c r="D147" s="261">
        <v>625</v>
      </c>
      <c r="E147" s="261">
        <v>0</v>
      </c>
      <c r="F147" s="174" t="s">
        <v>24548</v>
      </c>
    </row>
    <row r="148" spans="1:6" x14ac:dyDescent="0.2">
      <c r="A148" s="306" t="s">
        <v>241</v>
      </c>
      <c r="B148" s="309">
        <v>7</v>
      </c>
      <c r="C148" s="305" t="s">
        <v>22037</v>
      </c>
      <c r="D148" s="261">
        <v>750</v>
      </c>
      <c r="E148" s="261">
        <v>0</v>
      </c>
      <c r="F148" s="174" t="s">
        <v>24548</v>
      </c>
    </row>
    <row r="149" spans="1:6" x14ac:dyDescent="0.2">
      <c r="A149" s="306" t="s">
        <v>241</v>
      </c>
      <c r="B149" s="309">
        <v>8</v>
      </c>
      <c r="C149" s="305" t="s">
        <v>22038</v>
      </c>
      <c r="D149" s="261">
        <v>875</v>
      </c>
      <c r="E149" s="261">
        <v>0</v>
      </c>
      <c r="F149" s="174" t="s">
        <v>24548</v>
      </c>
    </row>
    <row r="150" spans="1:6" x14ac:dyDescent="0.2">
      <c r="A150" s="306" t="s">
        <v>241</v>
      </c>
      <c r="B150" s="309">
        <v>9</v>
      </c>
      <c r="C150" s="305" t="s">
        <v>22039</v>
      </c>
      <c r="D150" s="261">
        <v>1000</v>
      </c>
      <c r="E150" s="261">
        <v>0</v>
      </c>
      <c r="F150" s="174" t="s">
        <v>24548</v>
      </c>
    </row>
    <row r="151" spans="1:6" x14ac:dyDescent="0.2">
      <c r="A151" s="306" t="s">
        <v>241</v>
      </c>
      <c r="B151" s="309">
        <v>10</v>
      </c>
      <c r="C151" s="305" t="s">
        <v>22040</v>
      </c>
      <c r="D151" s="261">
        <v>1125</v>
      </c>
      <c r="E151" s="261">
        <v>0</v>
      </c>
      <c r="F151" s="174" t="s">
        <v>24548</v>
      </c>
    </row>
    <row r="152" spans="1:6" x14ac:dyDescent="0.2">
      <c r="A152" s="306" t="s">
        <v>241</v>
      </c>
      <c r="B152" s="309">
        <v>11</v>
      </c>
      <c r="C152" s="305" t="s">
        <v>22041</v>
      </c>
      <c r="D152" s="261">
        <v>1400</v>
      </c>
      <c r="E152" s="261">
        <v>100</v>
      </c>
      <c r="F152" s="174" t="s">
        <v>24548</v>
      </c>
    </row>
    <row r="153" spans="1:6" x14ac:dyDescent="0.2">
      <c r="A153" s="306" t="s">
        <v>241</v>
      </c>
      <c r="B153" s="309">
        <v>12</v>
      </c>
      <c r="C153" s="305" t="s">
        <v>22042</v>
      </c>
      <c r="D153" s="261">
        <v>1675</v>
      </c>
      <c r="E153" s="261">
        <v>150</v>
      </c>
      <c r="F153" s="174" t="s">
        <v>24548</v>
      </c>
    </row>
    <row r="154" spans="1:6" x14ac:dyDescent="0.2">
      <c r="A154" s="306" t="s">
        <v>241</v>
      </c>
      <c r="B154" s="309">
        <v>13</v>
      </c>
      <c r="C154" s="305" t="s">
        <v>22043</v>
      </c>
      <c r="D154" s="261">
        <v>1950</v>
      </c>
      <c r="E154" s="261">
        <v>250</v>
      </c>
      <c r="F154" s="174" t="s">
        <v>24548</v>
      </c>
    </row>
    <row r="155" spans="1:6" x14ac:dyDescent="0.2">
      <c r="A155" s="306" t="s">
        <v>241</v>
      </c>
      <c r="B155" s="309">
        <v>14</v>
      </c>
      <c r="C155" s="305" t="s">
        <v>22044</v>
      </c>
      <c r="D155" s="261">
        <v>2225</v>
      </c>
      <c r="E155" s="261">
        <v>350</v>
      </c>
      <c r="F155" s="174" t="s">
        <v>24548</v>
      </c>
    </row>
    <row r="156" spans="1:6" x14ac:dyDescent="0.2">
      <c r="A156" s="306" t="s">
        <v>241</v>
      </c>
      <c r="B156" s="309">
        <v>15</v>
      </c>
      <c r="C156" s="305" t="s">
        <v>22045</v>
      </c>
      <c r="D156" s="261">
        <v>2500</v>
      </c>
      <c r="E156" s="261">
        <v>450</v>
      </c>
      <c r="F156" s="174" t="s">
        <v>24548</v>
      </c>
    </row>
    <row r="157" spans="1:6" x14ac:dyDescent="0.2">
      <c r="A157" s="306" t="s">
        <v>241</v>
      </c>
      <c r="B157" s="309">
        <v>16</v>
      </c>
      <c r="C157" s="305" t="s">
        <v>22046</v>
      </c>
      <c r="D157" s="261">
        <v>3000</v>
      </c>
      <c r="E157" s="261">
        <v>550</v>
      </c>
      <c r="F157" s="174" t="s">
        <v>24548</v>
      </c>
    </row>
    <row r="158" spans="1:6" x14ac:dyDescent="0.2">
      <c r="A158" s="306" t="s">
        <v>241</v>
      </c>
      <c r="B158" s="309">
        <v>17</v>
      </c>
      <c r="C158" s="305" t="s">
        <v>22047</v>
      </c>
      <c r="D158" s="261">
        <v>3500</v>
      </c>
      <c r="E158" s="261">
        <v>650</v>
      </c>
      <c r="F158" s="174" t="s">
        <v>24548</v>
      </c>
    </row>
    <row r="159" spans="1:6" x14ac:dyDescent="0.2">
      <c r="A159" s="306" t="s">
        <v>241</v>
      </c>
      <c r="B159" s="309">
        <v>18</v>
      </c>
      <c r="C159" s="305" t="s">
        <v>22048</v>
      </c>
      <c r="D159" s="261">
        <v>4000</v>
      </c>
      <c r="E159" s="261">
        <v>750</v>
      </c>
      <c r="F159" s="174" t="s">
        <v>24548</v>
      </c>
    </row>
    <row r="160" spans="1:6" x14ac:dyDescent="0.2">
      <c r="A160" s="306" t="s">
        <v>241</v>
      </c>
      <c r="B160" s="309">
        <v>19</v>
      </c>
      <c r="C160" s="305" t="s">
        <v>22049</v>
      </c>
      <c r="D160" s="261">
        <v>4500</v>
      </c>
      <c r="E160" s="261">
        <v>850</v>
      </c>
      <c r="F160" s="174" t="s">
        <v>24548</v>
      </c>
    </row>
    <row r="161" spans="1:6" x14ac:dyDescent="0.2">
      <c r="A161" s="306" t="s">
        <v>241</v>
      </c>
      <c r="B161" s="309">
        <v>20</v>
      </c>
      <c r="C161" s="305" t="s">
        <v>22050</v>
      </c>
      <c r="D161" s="261">
        <v>5000</v>
      </c>
      <c r="E161" s="261">
        <v>1000</v>
      </c>
      <c r="F161" s="174" t="s">
        <v>24548</v>
      </c>
    </row>
    <row r="162" spans="1:6" ht="57" x14ac:dyDescent="0.2">
      <c r="A162" s="306" t="s">
        <v>22051</v>
      </c>
      <c r="B162" s="309">
        <v>1</v>
      </c>
      <c r="C162" s="305" t="s">
        <v>22052</v>
      </c>
      <c r="D162" s="261">
        <v>5675</v>
      </c>
      <c r="E162" s="261">
        <v>0</v>
      </c>
      <c r="F162" s="174" t="s">
        <v>22053</v>
      </c>
    </row>
    <row r="163" spans="1:6" ht="57" x14ac:dyDescent="0.2">
      <c r="A163" s="306" t="s">
        <v>22051</v>
      </c>
      <c r="B163" s="309">
        <v>2</v>
      </c>
      <c r="C163" s="305" t="s">
        <v>22054</v>
      </c>
      <c r="D163" s="261">
        <v>9750</v>
      </c>
      <c r="E163" s="261">
        <v>1300</v>
      </c>
      <c r="F163" s="174" t="s">
        <v>22055</v>
      </c>
    </row>
    <row r="164" spans="1:6" ht="57" x14ac:dyDescent="0.2">
      <c r="A164" s="306" t="s">
        <v>22051</v>
      </c>
      <c r="B164" s="309">
        <v>3</v>
      </c>
      <c r="C164" s="305" t="s">
        <v>8588</v>
      </c>
      <c r="D164" s="261">
        <v>20000</v>
      </c>
      <c r="E164" s="261">
        <v>3800</v>
      </c>
      <c r="F164" s="174" t="s">
        <v>22056</v>
      </c>
    </row>
    <row r="165" spans="1:6" ht="57" x14ac:dyDescent="0.2">
      <c r="A165" s="306" t="s">
        <v>22057</v>
      </c>
      <c r="B165" s="309">
        <v>1</v>
      </c>
      <c r="C165" s="305" t="s">
        <v>22058</v>
      </c>
      <c r="D165" s="261">
        <v>5675</v>
      </c>
      <c r="E165" s="261">
        <v>0</v>
      </c>
      <c r="F165" s="174" t="s">
        <v>22053</v>
      </c>
    </row>
    <row r="166" spans="1:6" ht="57" x14ac:dyDescent="0.2">
      <c r="A166" s="306" t="s">
        <v>22057</v>
      </c>
      <c r="B166" s="309">
        <v>2</v>
      </c>
      <c r="C166" s="305" t="s">
        <v>22059</v>
      </c>
      <c r="D166" s="261">
        <v>9750</v>
      </c>
      <c r="E166" s="261">
        <v>1300</v>
      </c>
      <c r="F166" s="174" t="s">
        <v>22055</v>
      </c>
    </row>
    <row r="167" spans="1:6" ht="57" x14ac:dyDescent="0.2">
      <c r="A167" s="306" t="s">
        <v>22057</v>
      </c>
      <c r="B167" s="309">
        <v>3</v>
      </c>
      <c r="C167" s="305" t="s">
        <v>22060</v>
      </c>
      <c r="D167" s="261">
        <v>20000</v>
      </c>
      <c r="E167" s="261">
        <v>3800</v>
      </c>
      <c r="F167" s="174" t="s">
        <v>22056</v>
      </c>
    </row>
    <row r="168" spans="1:6" ht="42.75" x14ac:dyDescent="0.2">
      <c r="A168" s="306" t="s">
        <v>14209</v>
      </c>
      <c r="B168" s="309">
        <v>1</v>
      </c>
      <c r="C168" s="305" t="s">
        <v>22061</v>
      </c>
      <c r="D168" s="261">
        <v>800</v>
      </c>
      <c r="E168" s="261">
        <v>0</v>
      </c>
      <c r="F168" s="174" t="s">
        <v>22062</v>
      </c>
    </row>
    <row r="169" spans="1:6" ht="42.75" x14ac:dyDescent="0.2">
      <c r="A169" s="306" t="s">
        <v>14209</v>
      </c>
      <c r="B169" s="309">
        <v>2</v>
      </c>
      <c r="C169" s="305" t="s">
        <v>22063</v>
      </c>
      <c r="D169" s="261">
        <v>2750</v>
      </c>
      <c r="E169" s="261">
        <v>0</v>
      </c>
      <c r="F169" s="174" t="s">
        <v>22064</v>
      </c>
    </row>
    <row r="170" spans="1:6" ht="42.75" x14ac:dyDescent="0.2">
      <c r="A170" s="306" t="s">
        <v>14209</v>
      </c>
      <c r="B170" s="309">
        <v>3</v>
      </c>
      <c r="C170" s="305" t="s">
        <v>22065</v>
      </c>
      <c r="D170" s="261">
        <v>5200</v>
      </c>
      <c r="E170" s="261">
        <v>250</v>
      </c>
      <c r="F170" s="174" t="s">
        <v>22066</v>
      </c>
    </row>
    <row r="171" spans="1:6" ht="42.75" x14ac:dyDescent="0.2">
      <c r="A171" s="306" t="s">
        <v>14209</v>
      </c>
      <c r="B171" s="309">
        <v>4</v>
      </c>
      <c r="C171" s="305" t="s">
        <v>22067</v>
      </c>
      <c r="D171" s="261">
        <v>9675</v>
      </c>
      <c r="E171" s="261">
        <v>1600</v>
      </c>
      <c r="F171" s="174" t="s">
        <v>22068</v>
      </c>
    </row>
    <row r="172" spans="1:6" ht="42.75" x14ac:dyDescent="0.2">
      <c r="A172" s="306" t="s">
        <v>14209</v>
      </c>
      <c r="B172" s="309">
        <v>5</v>
      </c>
      <c r="C172" s="305" t="s">
        <v>22069</v>
      </c>
      <c r="D172" s="261">
        <v>17000</v>
      </c>
      <c r="E172" s="261">
        <v>3250</v>
      </c>
      <c r="F172" s="174" t="s">
        <v>22070</v>
      </c>
    </row>
    <row r="173" spans="1:6" ht="42.75" x14ac:dyDescent="0.2">
      <c r="A173" s="306" t="s">
        <v>14074</v>
      </c>
      <c r="B173" s="309">
        <v>1</v>
      </c>
      <c r="C173" s="305" t="s">
        <v>22071</v>
      </c>
      <c r="D173" s="261">
        <v>800</v>
      </c>
      <c r="E173" s="261">
        <v>0</v>
      </c>
      <c r="F173" s="174" t="s">
        <v>22062</v>
      </c>
    </row>
    <row r="174" spans="1:6" ht="42.75" x14ac:dyDescent="0.2">
      <c r="A174" s="306" t="s">
        <v>14074</v>
      </c>
      <c r="B174" s="309">
        <v>2</v>
      </c>
      <c r="C174" s="305" t="s">
        <v>22072</v>
      </c>
      <c r="D174" s="261">
        <v>2750</v>
      </c>
      <c r="E174" s="261">
        <v>0</v>
      </c>
      <c r="F174" s="174" t="s">
        <v>22064</v>
      </c>
    </row>
    <row r="175" spans="1:6" ht="42.75" x14ac:dyDescent="0.2">
      <c r="A175" s="306" t="s">
        <v>14074</v>
      </c>
      <c r="B175" s="309">
        <v>3</v>
      </c>
      <c r="C175" s="305" t="s">
        <v>22073</v>
      </c>
      <c r="D175" s="261">
        <v>5200</v>
      </c>
      <c r="E175" s="261">
        <v>250</v>
      </c>
      <c r="F175" s="174" t="s">
        <v>22066</v>
      </c>
    </row>
    <row r="176" spans="1:6" ht="42.75" x14ac:dyDescent="0.2">
      <c r="A176" s="306" t="s">
        <v>14074</v>
      </c>
      <c r="B176" s="309">
        <v>4</v>
      </c>
      <c r="C176" s="305" t="s">
        <v>22074</v>
      </c>
      <c r="D176" s="261">
        <v>9675</v>
      </c>
      <c r="E176" s="261">
        <v>1600</v>
      </c>
      <c r="F176" s="174" t="s">
        <v>22068</v>
      </c>
    </row>
    <row r="177" spans="1:6" ht="42.75" x14ac:dyDescent="0.2">
      <c r="A177" s="306" t="s">
        <v>14074</v>
      </c>
      <c r="B177" s="309">
        <v>5</v>
      </c>
      <c r="C177" s="305" t="s">
        <v>22075</v>
      </c>
      <c r="D177" s="261">
        <v>17000</v>
      </c>
      <c r="E177" s="261">
        <v>3250</v>
      </c>
      <c r="F177" s="174" t="s">
        <v>22070</v>
      </c>
    </row>
    <row r="178" spans="1:6" x14ac:dyDescent="0.2">
      <c r="A178" s="306" t="s">
        <v>22076</v>
      </c>
      <c r="B178" s="309">
        <v>1</v>
      </c>
      <c r="C178" s="305" t="s">
        <v>22077</v>
      </c>
      <c r="D178" s="261">
        <v>50</v>
      </c>
      <c r="E178" s="261">
        <v>0</v>
      </c>
      <c r="F178" s="174" t="s">
        <v>21890</v>
      </c>
    </row>
    <row r="179" spans="1:6" x14ac:dyDescent="0.2">
      <c r="A179" s="306" t="s">
        <v>22076</v>
      </c>
      <c r="B179" s="309">
        <v>2</v>
      </c>
      <c r="C179" s="305" t="s">
        <v>22078</v>
      </c>
      <c r="D179" s="261">
        <v>125</v>
      </c>
      <c r="E179" s="261">
        <v>0</v>
      </c>
      <c r="F179" s="174" t="s">
        <v>21890</v>
      </c>
    </row>
    <row r="180" spans="1:6" x14ac:dyDescent="0.2">
      <c r="A180" s="306" t="s">
        <v>22076</v>
      </c>
      <c r="B180" s="309">
        <v>3</v>
      </c>
      <c r="C180" s="305" t="s">
        <v>22079</v>
      </c>
      <c r="D180" s="261">
        <v>250</v>
      </c>
      <c r="E180" s="261">
        <v>0</v>
      </c>
      <c r="F180" s="174" t="s">
        <v>21890</v>
      </c>
    </row>
    <row r="181" spans="1:6" x14ac:dyDescent="0.2">
      <c r="A181" s="306" t="s">
        <v>22076</v>
      </c>
      <c r="B181" s="309">
        <v>4</v>
      </c>
      <c r="C181" s="305" t="s">
        <v>22080</v>
      </c>
      <c r="D181" s="261">
        <v>375</v>
      </c>
      <c r="E181" s="261">
        <v>0</v>
      </c>
      <c r="F181" s="174" t="s">
        <v>21890</v>
      </c>
    </row>
    <row r="182" spans="1:6" x14ac:dyDescent="0.2">
      <c r="A182" s="306" t="s">
        <v>22076</v>
      </c>
      <c r="B182" s="309">
        <v>5</v>
      </c>
      <c r="C182" s="305" t="s">
        <v>22081</v>
      </c>
      <c r="D182" s="261">
        <v>500</v>
      </c>
      <c r="E182" s="261">
        <v>0</v>
      </c>
      <c r="F182" s="174" t="s">
        <v>21890</v>
      </c>
    </row>
    <row r="183" spans="1:6" x14ac:dyDescent="0.2">
      <c r="A183" s="306" t="s">
        <v>22076</v>
      </c>
      <c r="B183" s="309">
        <v>6</v>
      </c>
      <c r="C183" s="305" t="s">
        <v>22082</v>
      </c>
      <c r="D183" s="261">
        <v>625</v>
      </c>
      <c r="E183" s="261">
        <v>0</v>
      </c>
      <c r="F183" s="174" t="s">
        <v>21890</v>
      </c>
    </row>
    <row r="184" spans="1:6" x14ac:dyDescent="0.2">
      <c r="A184" s="306" t="s">
        <v>22076</v>
      </c>
      <c r="B184" s="309">
        <v>7</v>
      </c>
      <c r="C184" s="305" t="s">
        <v>22083</v>
      </c>
      <c r="D184" s="261">
        <v>750</v>
      </c>
      <c r="E184" s="261">
        <v>0</v>
      </c>
      <c r="F184" s="174" t="s">
        <v>21890</v>
      </c>
    </row>
    <row r="185" spans="1:6" x14ac:dyDescent="0.2">
      <c r="A185" s="306" t="s">
        <v>22076</v>
      </c>
      <c r="B185" s="309">
        <v>8</v>
      </c>
      <c r="C185" s="305" t="s">
        <v>22084</v>
      </c>
      <c r="D185" s="261">
        <v>875</v>
      </c>
      <c r="E185" s="261">
        <v>0</v>
      </c>
      <c r="F185" s="174" t="s">
        <v>21890</v>
      </c>
    </row>
    <row r="186" spans="1:6" x14ac:dyDescent="0.2">
      <c r="A186" s="306" t="s">
        <v>22076</v>
      </c>
      <c r="B186" s="309">
        <v>9</v>
      </c>
      <c r="C186" s="305" t="s">
        <v>22085</v>
      </c>
      <c r="D186" s="261">
        <v>1000</v>
      </c>
      <c r="E186" s="261">
        <v>0</v>
      </c>
      <c r="F186" s="174" t="s">
        <v>21890</v>
      </c>
    </row>
    <row r="187" spans="1:6" x14ac:dyDescent="0.2">
      <c r="A187" s="306" t="s">
        <v>22076</v>
      </c>
      <c r="B187" s="309">
        <v>10</v>
      </c>
      <c r="C187" s="305" t="s">
        <v>22086</v>
      </c>
      <c r="D187" s="261">
        <v>1125</v>
      </c>
      <c r="E187" s="261">
        <v>0</v>
      </c>
      <c r="F187" s="174" t="s">
        <v>21890</v>
      </c>
    </row>
    <row r="188" spans="1:6" x14ac:dyDescent="0.2">
      <c r="A188" s="306" t="s">
        <v>22076</v>
      </c>
      <c r="B188" s="309">
        <v>11</v>
      </c>
      <c r="C188" s="305" t="s">
        <v>22087</v>
      </c>
      <c r="D188" s="261">
        <v>1400</v>
      </c>
      <c r="E188" s="261">
        <v>100</v>
      </c>
      <c r="F188" s="174" t="s">
        <v>21890</v>
      </c>
    </row>
    <row r="189" spans="1:6" x14ac:dyDescent="0.2">
      <c r="A189" s="306" t="s">
        <v>22076</v>
      </c>
      <c r="B189" s="309">
        <v>12</v>
      </c>
      <c r="C189" s="305" t="s">
        <v>22088</v>
      </c>
      <c r="D189" s="261">
        <v>1675</v>
      </c>
      <c r="E189" s="261">
        <v>150</v>
      </c>
      <c r="F189" s="174" t="s">
        <v>21890</v>
      </c>
    </row>
    <row r="190" spans="1:6" x14ac:dyDescent="0.2">
      <c r="A190" s="306" t="s">
        <v>22076</v>
      </c>
      <c r="B190" s="309">
        <v>13</v>
      </c>
      <c r="C190" s="305" t="s">
        <v>22089</v>
      </c>
      <c r="D190" s="261">
        <v>1950</v>
      </c>
      <c r="E190" s="261">
        <v>250</v>
      </c>
      <c r="F190" s="174" t="s">
        <v>21890</v>
      </c>
    </row>
    <row r="191" spans="1:6" x14ac:dyDescent="0.2">
      <c r="A191" s="306" t="s">
        <v>22076</v>
      </c>
      <c r="B191" s="309">
        <v>14</v>
      </c>
      <c r="C191" s="305" t="s">
        <v>22090</v>
      </c>
      <c r="D191" s="261">
        <v>2225</v>
      </c>
      <c r="E191" s="261">
        <v>350</v>
      </c>
      <c r="F191" s="174" t="s">
        <v>21890</v>
      </c>
    </row>
    <row r="192" spans="1:6" x14ac:dyDescent="0.2">
      <c r="A192" s="306" t="s">
        <v>22076</v>
      </c>
      <c r="B192" s="309">
        <v>15</v>
      </c>
      <c r="C192" s="305" t="s">
        <v>22091</v>
      </c>
      <c r="D192" s="261">
        <v>2500</v>
      </c>
      <c r="E192" s="261">
        <v>450</v>
      </c>
      <c r="F192" s="174" t="s">
        <v>21890</v>
      </c>
    </row>
    <row r="193" spans="1:6" x14ac:dyDescent="0.2">
      <c r="A193" s="306" t="s">
        <v>22076</v>
      </c>
      <c r="B193" s="309">
        <v>16</v>
      </c>
      <c r="C193" s="305" t="s">
        <v>22092</v>
      </c>
      <c r="D193" s="261">
        <v>3000</v>
      </c>
      <c r="E193" s="261">
        <v>550</v>
      </c>
      <c r="F193" s="174" t="s">
        <v>21890</v>
      </c>
    </row>
    <row r="194" spans="1:6" x14ac:dyDescent="0.2">
      <c r="A194" s="306" t="s">
        <v>22076</v>
      </c>
      <c r="B194" s="309">
        <v>17</v>
      </c>
      <c r="C194" s="305" t="s">
        <v>22093</v>
      </c>
      <c r="D194" s="261">
        <v>3500</v>
      </c>
      <c r="E194" s="261">
        <v>650</v>
      </c>
      <c r="F194" s="174" t="s">
        <v>21890</v>
      </c>
    </row>
    <row r="195" spans="1:6" x14ac:dyDescent="0.2">
      <c r="A195" s="306" t="s">
        <v>22076</v>
      </c>
      <c r="B195" s="309">
        <v>18</v>
      </c>
      <c r="C195" s="305" t="s">
        <v>22094</v>
      </c>
      <c r="D195" s="261">
        <v>4000</v>
      </c>
      <c r="E195" s="261">
        <v>750</v>
      </c>
      <c r="F195" s="174" t="s">
        <v>21890</v>
      </c>
    </row>
    <row r="196" spans="1:6" x14ac:dyDescent="0.2">
      <c r="A196" s="306" t="s">
        <v>22076</v>
      </c>
      <c r="B196" s="309">
        <v>19</v>
      </c>
      <c r="C196" s="305" t="s">
        <v>22095</v>
      </c>
      <c r="D196" s="261">
        <v>4500</v>
      </c>
      <c r="E196" s="261">
        <v>850</v>
      </c>
      <c r="F196" s="174" t="s">
        <v>21890</v>
      </c>
    </row>
    <row r="197" spans="1:6" x14ac:dyDescent="0.2">
      <c r="A197" s="306" t="s">
        <v>22076</v>
      </c>
      <c r="B197" s="309">
        <v>20</v>
      </c>
      <c r="C197" s="305" t="s">
        <v>22096</v>
      </c>
      <c r="D197" s="261">
        <v>5000</v>
      </c>
      <c r="E197" s="261">
        <v>1000</v>
      </c>
      <c r="F197" s="174" t="s">
        <v>21890</v>
      </c>
    </row>
    <row r="198" spans="1:6" x14ac:dyDescent="0.2">
      <c r="A198" s="306" t="s">
        <v>22097</v>
      </c>
      <c r="B198" s="309">
        <v>1</v>
      </c>
      <c r="C198" s="305" t="s">
        <v>22098</v>
      </c>
      <c r="D198" s="261">
        <v>50</v>
      </c>
      <c r="E198" s="261">
        <v>0</v>
      </c>
      <c r="F198" s="174" t="s">
        <v>21890</v>
      </c>
    </row>
    <row r="199" spans="1:6" x14ac:dyDescent="0.2">
      <c r="A199" s="306" t="s">
        <v>22097</v>
      </c>
      <c r="B199" s="309">
        <v>2</v>
      </c>
      <c r="C199" s="305" t="s">
        <v>22099</v>
      </c>
      <c r="D199" s="261">
        <v>125</v>
      </c>
      <c r="E199" s="261">
        <v>0</v>
      </c>
      <c r="F199" s="174" t="s">
        <v>21890</v>
      </c>
    </row>
    <row r="200" spans="1:6" x14ac:dyDescent="0.2">
      <c r="A200" s="306" t="s">
        <v>22097</v>
      </c>
      <c r="B200" s="309">
        <v>3</v>
      </c>
      <c r="C200" s="305" t="s">
        <v>22100</v>
      </c>
      <c r="D200" s="261">
        <v>250</v>
      </c>
      <c r="E200" s="261">
        <v>0</v>
      </c>
      <c r="F200" s="174" t="s">
        <v>21890</v>
      </c>
    </row>
    <row r="201" spans="1:6" x14ac:dyDescent="0.2">
      <c r="A201" s="306" t="s">
        <v>22097</v>
      </c>
      <c r="B201" s="309">
        <v>4</v>
      </c>
      <c r="C201" s="305" t="s">
        <v>22101</v>
      </c>
      <c r="D201" s="261">
        <v>375</v>
      </c>
      <c r="E201" s="261">
        <v>0</v>
      </c>
      <c r="F201" s="174" t="s">
        <v>21890</v>
      </c>
    </row>
    <row r="202" spans="1:6" x14ac:dyDescent="0.2">
      <c r="A202" s="306" t="s">
        <v>22097</v>
      </c>
      <c r="B202" s="309">
        <v>5</v>
      </c>
      <c r="C202" s="305" t="s">
        <v>22102</v>
      </c>
      <c r="D202" s="261">
        <v>500</v>
      </c>
      <c r="E202" s="261">
        <v>0</v>
      </c>
      <c r="F202" s="174" t="s">
        <v>21890</v>
      </c>
    </row>
    <row r="203" spans="1:6" x14ac:dyDescent="0.2">
      <c r="A203" s="306" t="s">
        <v>22097</v>
      </c>
      <c r="B203" s="309">
        <v>6</v>
      </c>
      <c r="C203" s="305" t="s">
        <v>22103</v>
      </c>
      <c r="D203" s="261">
        <v>625</v>
      </c>
      <c r="E203" s="261">
        <v>0</v>
      </c>
      <c r="F203" s="174" t="s">
        <v>21890</v>
      </c>
    </row>
    <row r="204" spans="1:6" x14ac:dyDescent="0.2">
      <c r="A204" s="306" t="s">
        <v>22097</v>
      </c>
      <c r="B204" s="309">
        <v>7</v>
      </c>
      <c r="C204" s="305" t="s">
        <v>22104</v>
      </c>
      <c r="D204" s="261">
        <v>750</v>
      </c>
      <c r="E204" s="261">
        <v>0</v>
      </c>
      <c r="F204" s="174" t="s">
        <v>21890</v>
      </c>
    </row>
    <row r="205" spans="1:6" x14ac:dyDescent="0.2">
      <c r="A205" s="306" t="s">
        <v>22097</v>
      </c>
      <c r="B205" s="309">
        <v>8</v>
      </c>
      <c r="C205" s="305" t="s">
        <v>22105</v>
      </c>
      <c r="D205" s="261">
        <v>875</v>
      </c>
      <c r="E205" s="261">
        <v>0</v>
      </c>
      <c r="F205" s="174" t="s">
        <v>21890</v>
      </c>
    </row>
    <row r="206" spans="1:6" x14ac:dyDescent="0.2">
      <c r="A206" s="306" t="s">
        <v>22097</v>
      </c>
      <c r="B206" s="309">
        <v>9</v>
      </c>
      <c r="C206" s="305" t="s">
        <v>22106</v>
      </c>
      <c r="D206" s="261">
        <v>1000</v>
      </c>
      <c r="E206" s="261">
        <v>0</v>
      </c>
      <c r="F206" s="174" t="s">
        <v>21890</v>
      </c>
    </row>
    <row r="207" spans="1:6" x14ac:dyDescent="0.2">
      <c r="A207" s="306" t="s">
        <v>22097</v>
      </c>
      <c r="B207" s="309">
        <v>10</v>
      </c>
      <c r="C207" s="305" t="s">
        <v>22107</v>
      </c>
      <c r="D207" s="261">
        <v>1125</v>
      </c>
      <c r="E207" s="261">
        <v>0</v>
      </c>
      <c r="F207" s="174" t="s">
        <v>21890</v>
      </c>
    </row>
    <row r="208" spans="1:6" x14ac:dyDescent="0.2">
      <c r="A208" s="306" t="s">
        <v>22097</v>
      </c>
      <c r="B208" s="309">
        <v>11</v>
      </c>
      <c r="C208" s="305" t="s">
        <v>22108</v>
      </c>
      <c r="D208" s="261">
        <v>1400</v>
      </c>
      <c r="E208" s="261">
        <v>100</v>
      </c>
      <c r="F208" s="174" t="s">
        <v>21890</v>
      </c>
    </row>
    <row r="209" spans="1:6" x14ac:dyDescent="0.2">
      <c r="A209" s="306" t="s">
        <v>22097</v>
      </c>
      <c r="B209" s="309">
        <v>12</v>
      </c>
      <c r="C209" s="305" t="s">
        <v>22109</v>
      </c>
      <c r="D209" s="261">
        <v>1675</v>
      </c>
      <c r="E209" s="261">
        <v>150</v>
      </c>
      <c r="F209" s="174" t="s">
        <v>21890</v>
      </c>
    </row>
    <row r="210" spans="1:6" x14ac:dyDescent="0.2">
      <c r="A210" s="306" t="s">
        <v>22097</v>
      </c>
      <c r="B210" s="309">
        <v>13</v>
      </c>
      <c r="C210" s="305" t="s">
        <v>22110</v>
      </c>
      <c r="D210" s="261">
        <v>1950</v>
      </c>
      <c r="E210" s="261">
        <v>250</v>
      </c>
      <c r="F210" s="174" t="s">
        <v>21890</v>
      </c>
    </row>
    <row r="211" spans="1:6" x14ac:dyDescent="0.2">
      <c r="A211" s="306" t="s">
        <v>22097</v>
      </c>
      <c r="B211" s="309">
        <v>14</v>
      </c>
      <c r="C211" s="305" t="s">
        <v>22111</v>
      </c>
      <c r="D211" s="261">
        <v>2225</v>
      </c>
      <c r="E211" s="261">
        <v>350</v>
      </c>
      <c r="F211" s="174" t="s">
        <v>21890</v>
      </c>
    </row>
    <row r="212" spans="1:6" x14ac:dyDescent="0.2">
      <c r="A212" s="306" t="s">
        <v>22097</v>
      </c>
      <c r="B212" s="309">
        <v>15</v>
      </c>
      <c r="C212" s="305" t="s">
        <v>22112</v>
      </c>
      <c r="D212" s="261">
        <v>2500</v>
      </c>
      <c r="E212" s="261">
        <v>450</v>
      </c>
      <c r="F212" s="174" t="s">
        <v>21890</v>
      </c>
    </row>
    <row r="213" spans="1:6" x14ac:dyDescent="0.2">
      <c r="A213" s="306" t="s">
        <v>22097</v>
      </c>
      <c r="B213" s="309">
        <v>16</v>
      </c>
      <c r="C213" s="305" t="s">
        <v>22113</v>
      </c>
      <c r="D213" s="261">
        <v>3000</v>
      </c>
      <c r="E213" s="261">
        <v>550</v>
      </c>
      <c r="F213" s="174" t="s">
        <v>21890</v>
      </c>
    </row>
    <row r="214" spans="1:6" x14ac:dyDescent="0.2">
      <c r="A214" s="306" t="s">
        <v>22097</v>
      </c>
      <c r="B214" s="309">
        <v>17</v>
      </c>
      <c r="C214" s="305" t="s">
        <v>22114</v>
      </c>
      <c r="D214" s="261">
        <v>3500</v>
      </c>
      <c r="E214" s="261">
        <v>650</v>
      </c>
      <c r="F214" s="174" t="s">
        <v>21890</v>
      </c>
    </row>
    <row r="215" spans="1:6" x14ac:dyDescent="0.2">
      <c r="A215" s="306" t="s">
        <v>22097</v>
      </c>
      <c r="B215" s="309">
        <v>18</v>
      </c>
      <c r="C215" s="305" t="s">
        <v>22115</v>
      </c>
      <c r="D215" s="261">
        <v>4000</v>
      </c>
      <c r="E215" s="261">
        <v>750</v>
      </c>
      <c r="F215" s="174" t="s">
        <v>21890</v>
      </c>
    </row>
    <row r="216" spans="1:6" x14ac:dyDescent="0.2">
      <c r="A216" s="306" t="s">
        <v>22097</v>
      </c>
      <c r="B216" s="309">
        <v>19</v>
      </c>
      <c r="C216" s="305" t="s">
        <v>22116</v>
      </c>
      <c r="D216" s="261">
        <v>4500</v>
      </c>
      <c r="E216" s="261">
        <v>850</v>
      </c>
      <c r="F216" s="174" t="s">
        <v>21890</v>
      </c>
    </row>
    <row r="217" spans="1:6" x14ac:dyDescent="0.2">
      <c r="A217" s="306" t="s">
        <v>22097</v>
      </c>
      <c r="B217" s="309">
        <v>20</v>
      </c>
      <c r="C217" s="305" t="s">
        <v>22117</v>
      </c>
      <c r="D217" s="261">
        <v>5000</v>
      </c>
      <c r="E217" s="261">
        <v>1000</v>
      </c>
      <c r="F217" s="174" t="s">
        <v>21890</v>
      </c>
    </row>
    <row r="218" spans="1:6" x14ac:dyDescent="0.2">
      <c r="A218" s="306" t="s">
        <v>19</v>
      </c>
      <c r="B218" s="309">
        <v>1</v>
      </c>
      <c r="C218" s="305" t="s">
        <v>22118</v>
      </c>
      <c r="D218" s="261">
        <v>50</v>
      </c>
      <c r="E218" s="261">
        <v>0</v>
      </c>
      <c r="F218" s="174" t="s">
        <v>21890</v>
      </c>
    </row>
    <row r="219" spans="1:6" x14ac:dyDescent="0.2">
      <c r="A219" s="306" t="s">
        <v>19</v>
      </c>
      <c r="B219" s="309">
        <v>2</v>
      </c>
      <c r="C219" s="305" t="s">
        <v>22119</v>
      </c>
      <c r="D219" s="261">
        <v>125</v>
      </c>
      <c r="E219" s="261">
        <v>0</v>
      </c>
      <c r="F219" s="174" t="s">
        <v>21890</v>
      </c>
    </row>
    <row r="220" spans="1:6" x14ac:dyDescent="0.2">
      <c r="A220" s="306" t="s">
        <v>19</v>
      </c>
      <c r="B220" s="309">
        <v>3</v>
      </c>
      <c r="C220" s="305" t="s">
        <v>22120</v>
      </c>
      <c r="D220" s="261">
        <v>250</v>
      </c>
      <c r="E220" s="261">
        <v>0</v>
      </c>
      <c r="F220" s="174" t="s">
        <v>21890</v>
      </c>
    </row>
    <row r="221" spans="1:6" x14ac:dyDescent="0.2">
      <c r="A221" s="306" t="s">
        <v>19</v>
      </c>
      <c r="B221" s="309">
        <v>4</v>
      </c>
      <c r="C221" s="305" t="s">
        <v>22121</v>
      </c>
      <c r="D221" s="261">
        <v>375</v>
      </c>
      <c r="E221" s="261">
        <v>0</v>
      </c>
      <c r="F221" s="174" t="s">
        <v>21890</v>
      </c>
    </row>
    <row r="222" spans="1:6" x14ac:dyDescent="0.2">
      <c r="A222" s="306" t="s">
        <v>19</v>
      </c>
      <c r="B222" s="309">
        <v>5</v>
      </c>
      <c r="C222" s="305" t="s">
        <v>22122</v>
      </c>
      <c r="D222" s="261">
        <v>500</v>
      </c>
      <c r="E222" s="261">
        <v>0</v>
      </c>
      <c r="F222" s="174" t="s">
        <v>21890</v>
      </c>
    </row>
    <row r="223" spans="1:6" x14ac:dyDescent="0.2">
      <c r="A223" s="306" t="s">
        <v>19</v>
      </c>
      <c r="B223" s="309">
        <v>6</v>
      </c>
      <c r="C223" s="305" t="s">
        <v>22123</v>
      </c>
      <c r="D223" s="261">
        <v>625</v>
      </c>
      <c r="E223" s="261">
        <v>0</v>
      </c>
      <c r="F223" s="174" t="s">
        <v>21890</v>
      </c>
    </row>
    <row r="224" spans="1:6" x14ac:dyDescent="0.2">
      <c r="A224" s="306" t="s">
        <v>19</v>
      </c>
      <c r="B224" s="309">
        <v>7</v>
      </c>
      <c r="C224" s="305" t="s">
        <v>22124</v>
      </c>
      <c r="D224" s="261">
        <v>750</v>
      </c>
      <c r="E224" s="261">
        <v>0</v>
      </c>
      <c r="F224" s="174" t="s">
        <v>21890</v>
      </c>
    </row>
    <row r="225" spans="1:6" x14ac:dyDescent="0.2">
      <c r="A225" s="306" t="s">
        <v>19</v>
      </c>
      <c r="B225" s="309">
        <v>8</v>
      </c>
      <c r="C225" s="305" t="s">
        <v>22125</v>
      </c>
      <c r="D225" s="261">
        <v>875</v>
      </c>
      <c r="E225" s="261">
        <v>0</v>
      </c>
      <c r="F225" s="174" t="s">
        <v>21890</v>
      </c>
    </row>
    <row r="226" spans="1:6" x14ac:dyDescent="0.2">
      <c r="A226" s="306" t="s">
        <v>19</v>
      </c>
      <c r="B226" s="309">
        <v>9</v>
      </c>
      <c r="C226" s="305" t="s">
        <v>22126</v>
      </c>
      <c r="D226" s="261">
        <v>1000</v>
      </c>
      <c r="E226" s="261">
        <v>0</v>
      </c>
      <c r="F226" s="174" t="s">
        <v>21890</v>
      </c>
    </row>
    <row r="227" spans="1:6" x14ac:dyDescent="0.2">
      <c r="A227" s="306" t="s">
        <v>19</v>
      </c>
      <c r="B227" s="309">
        <v>10</v>
      </c>
      <c r="C227" s="305" t="s">
        <v>22127</v>
      </c>
      <c r="D227" s="261">
        <v>1125</v>
      </c>
      <c r="E227" s="261">
        <v>0</v>
      </c>
      <c r="F227" s="174" t="s">
        <v>21890</v>
      </c>
    </row>
    <row r="228" spans="1:6" x14ac:dyDescent="0.2">
      <c r="A228" s="306" t="s">
        <v>19</v>
      </c>
      <c r="B228" s="309">
        <v>11</v>
      </c>
      <c r="C228" s="305" t="s">
        <v>22128</v>
      </c>
      <c r="D228" s="261">
        <v>1400</v>
      </c>
      <c r="E228" s="261">
        <v>100</v>
      </c>
      <c r="F228" s="174" t="s">
        <v>21890</v>
      </c>
    </row>
    <row r="229" spans="1:6" x14ac:dyDescent="0.2">
      <c r="A229" s="306" t="s">
        <v>19</v>
      </c>
      <c r="B229" s="309">
        <v>12</v>
      </c>
      <c r="C229" s="305" t="s">
        <v>22129</v>
      </c>
      <c r="D229" s="261">
        <v>1675</v>
      </c>
      <c r="E229" s="261">
        <v>150</v>
      </c>
      <c r="F229" s="174" t="s">
        <v>21890</v>
      </c>
    </row>
    <row r="230" spans="1:6" x14ac:dyDescent="0.2">
      <c r="A230" s="306" t="s">
        <v>19</v>
      </c>
      <c r="B230" s="309">
        <v>13</v>
      </c>
      <c r="C230" s="305" t="s">
        <v>22130</v>
      </c>
      <c r="D230" s="261">
        <v>1950</v>
      </c>
      <c r="E230" s="261">
        <v>250</v>
      </c>
      <c r="F230" s="174" t="s">
        <v>21890</v>
      </c>
    </row>
    <row r="231" spans="1:6" x14ac:dyDescent="0.2">
      <c r="A231" s="306" t="s">
        <v>19</v>
      </c>
      <c r="B231" s="309">
        <v>14</v>
      </c>
      <c r="C231" s="305" t="s">
        <v>22131</v>
      </c>
      <c r="D231" s="261">
        <v>2225</v>
      </c>
      <c r="E231" s="261">
        <v>350</v>
      </c>
      <c r="F231" s="174" t="s">
        <v>21890</v>
      </c>
    </row>
    <row r="232" spans="1:6" x14ac:dyDescent="0.2">
      <c r="A232" s="306" t="s">
        <v>19</v>
      </c>
      <c r="B232" s="309">
        <v>15</v>
      </c>
      <c r="C232" s="305" t="s">
        <v>22132</v>
      </c>
      <c r="D232" s="261">
        <v>2500</v>
      </c>
      <c r="E232" s="261">
        <v>450</v>
      </c>
      <c r="F232" s="174" t="s">
        <v>21890</v>
      </c>
    </row>
    <row r="233" spans="1:6" x14ac:dyDescent="0.2">
      <c r="A233" s="306" t="s">
        <v>19</v>
      </c>
      <c r="B233" s="309">
        <v>16</v>
      </c>
      <c r="C233" s="305" t="s">
        <v>22133</v>
      </c>
      <c r="D233" s="261">
        <v>3000</v>
      </c>
      <c r="E233" s="261">
        <v>550</v>
      </c>
      <c r="F233" s="174" t="s">
        <v>21890</v>
      </c>
    </row>
    <row r="234" spans="1:6" x14ac:dyDescent="0.2">
      <c r="A234" s="306" t="s">
        <v>19</v>
      </c>
      <c r="B234" s="309">
        <v>17</v>
      </c>
      <c r="C234" s="305" t="s">
        <v>22134</v>
      </c>
      <c r="D234" s="261">
        <v>3500</v>
      </c>
      <c r="E234" s="261">
        <v>650</v>
      </c>
      <c r="F234" s="174" t="s">
        <v>21890</v>
      </c>
    </row>
    <row r="235" spans="1:6" x14ac:dyDescent="0.2">
      <c r="A235" s="306" t="s">
        <v>19</v>
      </c>
      <c r="B235" s="309">
        <v>18</v>
      </c>
      <c r="C235" s="305" t="s">
        <v>22135</v>
      </c>
      <c r="D235" s="261">
        <v>4000</v>
      </c>
      <c r="E235" s="261">
        <v>750</v>
      </c>
      <c r="F235" s="174" t="s">
        <v>21890</v>
      </c>
    </row>
    <row r="236" spans="1:6" x14ac:dyDescent="0.2">
      <c r="A236" s="306" t="s">
        <v>19</v>
      </c>
      <c r="B236" s="309">
        <v>19</v>
      </c>
      <c r="C236" s="305" t="s">
        <v>22136</v>
      </c>
      <c r="D236" s="261">
        <v>4500</v>
      </c>
      <c r="E236" s="261">
        <v>850</v>
      </c>
      <c r="F236" s="174" t="s">
        <v>21890</v>
      </c>
    </row>
    <row r="237" spans="1:6" x14ac:dyDescent="0.2">
      <c r="A237" s="272" t="s">
        <v>19</v>
      </c>
      <c r="B237" s="310">
        <v>20</v>
      </c>
      <c r="C237" s="265" t="s">
        <v>22137</v>
      </c>
      <c r="D237" s="264">
        <v>5000</v>
      </c>
      <c r="E237" s="264">
        <v>1000</v>
      </c>
      <c r="F237" s="307" t="s">
        <v>21890</v>
      </c>
    </row>
    <row r="239" spans="1:6" x14ac:dyDescent="0.2">
      <c r="A239" s="67" t="s">
        <v>22138</v>
      </c>
      <c r="B239" s="51"/>
      <c r="C239" s="67"/>
      <c r="D239" s="165">
        <f>SUM(D2:D238)</f>
        <v>531375</v>
      </c>
      <c r="E239" s="165">
        <f>SUM(E2:E238)</f>
        <v>76500</v>
      </c>
    </row>
  </sheetData>
  <printOptions horizontalCentered="1"/>
  <pageMargins left="0.2" right="0.2" top="0.5" bottom="0.2" header="0.2" footer="0.3"/>
  <pageSetup fitToHeight="0" orientation="landscape" r:id="rId1"/>
  <headerFooter>
    <oddHeader>&amp;L&amp;"-,Bold"&amp;14  Dragalia Lost V3 Re;Works Fafnir Ability Costs and Details</oddHeader>
  </headerFooter>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822F9E-B2E8-48FB-BF44-D4B50D47A878}">
  <dimension ref="A1:F29"/>
  <sheetViews>
    <sheetView zoomScaleNormal="100" workbookViewId="0"/>
  </sheetViews>
  <sheetFormatPr defaultRowHeight="14.25" x14ac:dyDescent="0.2"/>
  <cols>
    <col min="1" max="1" width="8" bestFit="1" customWidth="1"/>
    <col min="2" max="2" width="4.125" hidden="1" customWidth="1"/>
    <col min="3" max="3" width="4.125" customWidth="1"/>
    <col min="4" max="4" width="18.625" bestFit="1" customWidth="1"/>
    <col min="5" max="6" width="46.625" customWidth="1"/>
  </cols>
  <sheetData>
    <row r="1" spans="1:6" ht="15.75" x14ac:dyDescent="0.25">
      <c r="A1" s="311" t="s">
        <v>22139</v>
      </c>
      <c r="B1" s="186" t="s">
        <v>4597</v>
      </c>
      <c r="C1" s="186" t="s">
        <v>4597</v>
      </c>
      <c r="D1" s="186" t="s">
        <v>89</v>
      </c>
      <c r="E1" s="186" t="s">
        <v>80</v>
      </c>
      <c r="F1" s="188" t="s">
        <v>4601</v>
      </c>
    </row>
    <row r="2" spans="1:6" ht="99.75" x14ac:dyDescent="0.2">
      <c r="A2" s="267" t="s">
        <v>22140</v>
      </c>
      <c r="B2" s="325" t="str">
        <f>+INDEX('A-S'!$A:$N,MATCH(D2,'A-S'!$G:$G,0),MATCH("Icon",'A-S'!$1:$1,0))</f>
        <v>029</v>
      </c>
      <c r="C2" s="325" t="e" vm="1534">
        <f t="shared" ref="C2:C20" si="0">_xlfn.IMAGE("https://natalie.tf/wp-content/uploads/2023/10/DLV3_Icon_Skill_"&amp;B2&amp;".png")</f>
        <v>#VALUE!</v>
      </c>
      <c r="D2" s="268" t="s">
        <v>2743</v>
      </c>
      <c r="E2" s="269" t="str">
        <f>+INDEX('A-S'!$A:$N,MATCH(D2,'A-S'!$G:$G,0),MATCH("Description",'A-S'!$1:$1,0))</f>
        <v>Restores HP to all allies with 44% Recovery Potency, continues healing over the next 15 seconds with 35% Recovery Potency every 2.9 seconds, increases the entire team's strength by 15% for 60 seconds and grants them overdamage based on 50% of the user's strength for 30 seconds. This strength increase and overdamage will not stack.</v>
      </c>
      <c r="F2" s="173" t="str">
        <f>+INDEX('A-S'!$A:$N,MATCH(D2,'A-S'!$G:$G,0),MATCH("Description V3",'A-S'!$1:$1,0))</f>
        <v>Restores HP to all allies with 60% Recovery Potency, continues healing over the next 15 seconds with 35% Recovery Potency every 2.9 seconds, increases the entire team's strength by 15% for 60 seconds and grants them overdamage based on 50% of the user's strength for 30 seconds. This strength increase and overdamage will not stack.</v>
      </c>
    </row>
    <row r="3" spans="1:6" ht="85.5" x14ac:dyDescent="0.2">
      <c r="A3" s="306" t="s">
        <v>22140</v>
      </c>
      <c r="B3" s="323" t="str">
        <f>+INDEX('A-S'!$A:$N,MATCH(D3,'A-S'!$G:$G,0),MATCH("Icon",'A-S'!$1:$1,0))</f>
        <v>180</v>
      </c>
      <c r="C3" s="323" t="e" vm="1535">
        <f t="shared" si="0"/>
        <v>#VALUE!</v>
      </c>
      <c r="D3" s="261" t="s">
        <v>4292</v>
      </c>
      <c r="E3" s="305" t="str">
        <f>+INDEX('A-S'!$A:$N,MATCH(D3,'A-S'!$G:$G,0),MATCH("Description",'A-S'!$1:$1,0))</f>
        <v>Deals 13 hits of 295.4% shadow damage to surrounding enemies, and inflicts shadowblight - dealing 50% shadow damage every 2.9 seconds for 21 seconds - with 120% chance. This skill can be cancelled early by rolling, approximately after the first 6 possible hits would have been dealt.</v>
      </c>
      <c r="F3" s="174" t="str">
        <f>+INDEX('A-S'!$A:$N,MATCH(D3,'A-S'!$G:$G,0),MATCH("Description V3",'A-S'!$1:$1,0))</f>
        <v>Deals 13 hits of 350% shadow damage to surrounding enemies, dispels one buff from each target, and inflicts shadowblight - dealing 50% shadow damage every 2.9 seconds for 21 seconds - with 120% chance. This skill can be cancelled early by rolling, approximately after the first 6 possible hits would have been dealt.</v>
      </c>
    </row>
    <row r="4" spans="1:6" ht="71.25" x14ac:dyDescent="0.2">
      <c r="A4" s="306" t="s">
        <v>22140</v>
      </c>
      <c r="B4" s="323" t="str">
        <f>+INDEX('A-S'!$A:$N,MATCH(D4,'A-S'!$G:$G,0),MATCH("Icon",'A-S'!$1:$1,0))</f>
        <v>217</v>
      </c>
      <c r="C4" s="323" t="e" vm="1536">
        <f t="shared" si="0"/>
        <v>#VALUE!</v>
      </c>
      <c r="D4" s="261" t="s">
        <v>3737</v>
      </c>
      <c r="E4" s="305" t="s">
        <v>22141</v>
      </c>
      <c r="F4" s="174" t="s">
        <v>22142</v>
      </c>
    </row>
    <row r="5" spans="1:6" ht="42.75" x14ac:dyDescent="0.2">
      <c r="A5" s="271" t="s">
        <v>22140</v>
      </c>
      <c r="B5" s="324" t="str">
        <f>+INDEX('A-S'!$A:$N,MATCH(D5,'A-S'!$G:$G,0),MATCH("Icon",'A-S'!$1:$1,0))</f>
        <v>009</v>
      </c>
      <c r="C5" s="324" t="e" vm="1537">
        <f t="shared" si="0"/>
        <v>#VALUE!</v>
      </c>
      <c r="D5" s="259" t="s">
        <v>3035</v>
      </c>
      <c r="E5" s="260" t="str">
        <f>+INDEX('A-S'!$A:$N,MATCH(D5,'A-S'!$G:$G,0),MATCH("Description",'A-S'!$1:$1,0))</f>
        <v>Deals 2 hits of 648% light damage to enemies in a line, and inflicts paralysis for 13 seconds - dealing 66% light damage every 3.9 seconds - with 100% base chance.</v>
      </c>
      <c r="F5" s="172" t="str">
        <f>+INDEX('A-S'!$A:$N,MATCH(D5,'A-S'!$G:$G,0),MATCH("Description V3",'A-S'!$1:$1,0))</f>
        <v>Deals 2 hits of 1000% light damage to enemies in a line, and inflicts paralysis for 21 seconds - dealing 50% light damage every 2.9 seconds - with 120% base chance.</v>
      </c>
    </row>
    <row r="6" spans="1:6" ht="57" x14ac:dyDescent="0.2">
      <c r="A6" s="306" t="s">
        <v>22140</v>
      </c>
      <c r="B6" s="323" t="str">
        <f>+INDEX('A-S'!$A:$N,MATCH(D6,'A-S'!$G:$G,0),MATCH("Icon",'A-S'!$1:$1,0))</f>
        <v>118</v>
      </c>
      <c r="C6" s="323" t="e" vm="1538">
        <f t="shared" si="0"/>
        <v>#VALUE!</v>
      </c>
      <c r="D6" s="261" t="s">
        <v>3215</v>
      </c>
      <c r="E6" s="305" t="str">
        <f>+INDEX('A-S'!$A:$N,MATCH(D6,'A-S'!$G:$G,0),MATCH("Description",'A-S'!$1:$1,0))</f>
        <v>Deals 1 hit of 1107.6% light damage to enemies directly ahead, and inflicts stun for 6-7 seconds with 110% chance. As HP decreases, damage increases, up to 1 hit of 2492.1% light damage.</v>
      </c>
      <c r="F6" s="174" t="str">
        <f>+INDEX('A-S'!$A:$N,MATCH(D6,'A-S'!$G:$G,0),MATCH("Description V3",'A-S'!$1:$1,0))</f>
        <v>Deals 1 hit of 2500% light damage to enemies directly ahead, inflicts paralysis for 21 seconds - dealing 50% light damage every 2.9 seconds - with 120% base chance and stun for 6-7 seconds with 120% chance.</v>
      </c>
    </row>
    <row r="7" spans="1:6" ht="28.5" x14ac:dyDescent="0.2">
      <c r="A7" s="306" t="s">
        <v>22140</v>
      </c>
      <c r="B7" s="323" t="str">
        <f>+INDEX('A-S'!$A:$N,MATCH(D7,'A-S'!$G:$G,0),MATCH("Icon",'A-S'!$1:$1,0))</f>
        <v>189</v>
      </c>
      <c r="C7" s="323" t="e" vm="1539">
        <f t="shared" si="0"/>
        <v>#VALUE!</v>
      </c>
      <c r="D7" s="261" t="s">
        <v>4105</v>
      </c>
      <c r="E7" s="305" t="str">
        <f>+INDEX('A-S'!$A:$N,MATCH(D7,'A-S'!$G:$G,0),MATCH("Description",'A-S'!$1:$1,0))</f>
        <v>Deals 5 hits of 400% shadow damage to the target and nearby enemies, and dispels one buff from each of them.</v>
      </c>
      <c r="F7" s="174" t="str">
        <f>+INDEX('A-S'!$A:$N,MATCH(D7,'A-S'!$G:$G,0),MATCH("Description V3",'A-S'!$1:$1,0))</f>
        <v>Deals 5 hits of 500% shadow damage to the target and nearby enemies, and dispels one buff from each of them.</v>
      </c>
    </row>
    <row r="8" spans="1:6" ht="171" x14ac:dyDescent="0.2">
      <c r="A8" s="271" t="s">
        <v>22140</v>
      </c>
      <c r="B8" s="324" t="str">
        <f>+INDEX('A-S'!$A:$N,MATCH(D8,'A-S'!$G:$G,0),MATCH("Icon",'A-S'!$1:$1,0))</f>
        <v>157</v>
      </c>
      <c r="C8" s="324" t="e" vm="1540">
        <f t="shared" si="0"/>
        <v>#VALUE!</v>
      </c>
      <c r="D8" s="259" t="s">
        <v>2810</v>
      </c>
      <c r="E8" s="260" t="str">
        <f>+INDEX('A-S'!$A:$N,MATCH(D8,'A-S'!$G:$G,0),MATCH("Description",'A-S'!$1:$1,0))</f>
        <v>Deals 5 hits of 225% wind damage to enemies directly ahead, inflicts stormlash for 21 seconds - dealing 41% wind damage every 2.9 seconds - with 120% chance, and, when used directly next to foes, grants the user the "Enemy Insight" effect. Enemy Insight has three levels. When Enemy Insight Lv. 3 is active, a more powerful version of this skill will be used. This variant consumes Enemy Insight Lv. 3, deals 5 hits of 400% wind damage to enemies directly ahead, and inflicts stormlash for 21 seconds - dealing 41% wind damage every 2.9 seconds - with 120% chance. Stormlashed foes take 5 hits of 480% wind damage instead.</v>
      </c>
      <c r="F8" s="172" t="str">
        <f>+INDEX('A-S'!$A:$N,MATCH(D8,'A-S'!$G:$G,0),MATCH("Description V3",'A-S'!$1:$1,0))</f>
        <v>Deals 5 hits of 550% wind damage to enemies directly ahead, inflicts stormlash for 21 seconds - dealing 50% wind damage every 2.9 seconds - with 120% chance.</v>
      </c>
    </row>
    <row r="9" spans="1:6" ht="57" x14ac:dyDescent="0.2">
      <c r="A9" s="306" t="s">
        <v>22140</v>
      </c>
      <c r="B9" s="323" t="str">
        <f>+INDEX('A-S'!$A:$N,MATCH(D9,'A-S'!$G:$G,0),MATCH("Icon",'A-S'!$1:$1,0))</f>
        <v>029</v>
      </c>
      <c r="C9" s="323" t="e" vm="1534">
        <f t="shared" si="0"/>
        <v>#VALUE!</v>
      </c>
      <c r="D9" s="261" t="s">
        <v>4508</v>
      </c>
      <c r="E9" s="305" t="str">
        <f>+INDEX('A-S'!$A:$N,MATCH(D9,'A-S'!$G:$G,0),MATCH("Description",'A-S'!$1:$1,0))</f>
        <v>Restores HP to all allies with 108% Recovery Potency, and increases the entire team's strength by 15% for 60 seconds. This strength increase will not stack.</v>
      </c>
      <c r="F9" s="174" t="str">
        <f>+INDEX('A-S'!$A:$N,MATCH(D9,'A-S'!$G:$G,0),MATCH("Description V3",'A-S'!$1:$1,0))</f>
        <v>Restores HP to all allies with 130% Recovery Potency, removes all afflictions, and increases the entire team's strength by 15% for 60 seconds. This strength increase will not stack.</v>
      </c>
    </row>
    <row r="10" spans="1:6" ht="71.25" x14ac:dyDescent="0.2">
      <c r="A10" s="306" t="s">
        <v>22140</v>
      </c>
      <c r="B10" s="323" t="str">
        <f>+INDEX('A-S'!$A:$N,MATCH(D10,'A-S'!$G:$G,0),MATCH("Icon",'A-S'!$1:$1,0))</f>
        <v>046</v>
      </c>
      <c r="C10" s="323" t="e" vm="1541">
        <f t="shared" si="0"/>
        <v>#VALUE!</v>
      </c>
      <c r="D10" s="261" t="s">
        <v>2246</v>
      </c>
      <c r="E10" s="305" t="str">
        <f>+INDEX('A-S'!$A:$N,MATCH(D10,'A-S'!$G:$G,0),MATCH("Description",'A-S'!$1:$1,0))</f>
        <v>Deals 4 hits of 324% and 1 hit of 1290% wind damage to enemies directly ahead, draws them together, inflicts sleep for 6-7 seconds with 110% base chance, and stormlash for 21 seconds - dealing 41% wind damage every 2.9 seconds - with 120% chance.</v>
      </c>
      <c r="F10" s="174" t="str">
        <f>+INDEX('A-S'!$A:$N,MATCH(D10,'A-S'!$G:$G,0),MATCH("Description V3",'A-S'!$1:$1,0))</f>
        <v>Deals 4 hits of 350% and 1 hit of 1300% wind damage to enemies directly ahead, draws them together, dispels one buff from each target, inflicts sleep for 6-7 seconds with 120% base chance, and stormlash for 21 seconds - dealing 50% wind damage every 2.9 seconds - with 120% chance.</v>
      </c>
    </row>
    <row r="11" spans="1:6" ht="28.5" x14ac:dyDescent="0.2">
      <c r="A11" s="271" t="s">
        <v>22140</v>
      </c>
      <c r="B11" s="324" t="str">
        <f>+INDEX('A-S'!$A:$N,MATCH(D11,'A-S'!$G:$G,0),MATCH("Icon",'A-S'!$1:$1,0))</f>
        <v>132</v>
      </c>
      <c r="C11" s="324" t="e" vm="1542">
        <f t="shared" si="0"/>
        <v>#VALUE!</v>
      </c>
      <c r="D11" s="259" t="s">
        <v>1523</v>
      </c>
      <c r="E11" s="260" t="s">
        <v>22143</v>
      </c>
      <c r="F11" s="172" t="s">
        <v>22143</v>
      </c>
    </row>
    <row r="12" spans="1:6" ht="28.5" x14ac:dyDescent="0.2">
      <c r="A12" s="306" t="s">
        <v>22140</v>
      </c>
      <c r="B12" s="323" t="str">
        <f>+INDEX('A-S'!$A:$N,MATCH(D12,'A-S'!$G:$G,0),MATCH("Icon",'A-S'!$1:$1,0))</f>
        <v>030</v>
      </c>
      <c r="C12" s="323" t="e" vm="1543">
        <f t="shared" si="0"/>
        <v>#VALUE!</v>
      </c>
      <c r="D12" s="261" t="s">
        <v>3383</v>
      </c>
      <c r="E12" s="305" t="str">
        <f>+INDEX('A-S'!$A:$N,MATCH(D12,'A-S'!$G:$G,0),MATCH("Description",'A-S'!$1:$1,0))</f>
        <v>Increases the entire team's strength by 15% for 15 seconds.</v>
      </c>
      <c r="F12" s="174" t="s">
        <v>5372</v>
      </c>
    </row>
    <row r="13" spans="1:6" ht="71.25" x14ac:dyDescent="0.2">
      <c r="A13" s="306" t="s">
        <v>22140</v>
      </c>
      <c r="B13" s="323" t="str">
        <f>+INDEX('A-S'!$A:$N,MATCH(D13,'A-S'!$G:$G,0),MATCH("Icon",'A-S'!$1:$1,0))</f>
        <v>011</v>
      </c>
      <c r="C13" s="323" t="e" vm="1544">
        <f t="shared" si="0"/>
        <v>#VALUE!</v>
      </c>
      <c r="D13" s="261" t="s">
        <v>187</v>
      </c>
      <c r="E13" s="305" t="str">
        <f>+INDEX('A-S'!$A:$N,MATCH(D13,'A-S'!$G:$G,0),MATCH("Description",'A-S'!$1:$1,0))</f>
        <v>Deals 5 hits of 330% flame damage to enemies directly ahead, dispels one buff from each target, and inflicts burn for 12 seconds - dealing 97% flame damage every 3.9 seconds - with 120% base chance. Burning foes take 5 hits of 495% flame damage instead.</v>
      </c>
      <c r="F13" s="174" t="str">
        <f>+INDEX('A-S'!$A:$N,MATCH(D13,'A-S'!$G:$G,0),MATCH("Description V3",'A-S'!$1:$1,0))</f>
        <v>Deals 5 hits of 500% flame damage to enemies directly ahead, dispels one buff from each target, and inflicts burn for 21 seconds - dealing 50% flame damage every 2.9 seconds - with 120% base chance.</v>
      </c>
    </row>
    <row r="14" spans="1:6" ht="28.5" x14ac:dyDescent="0.2">
      <c r="A14" s="271" t="s">
        <v>22140</v>
      </c>
      <c r="B14" s="324" t="str">
        <f>+INDEX('A-S'!$A:$N,MATCH(D14,'A-S'!$G:$G,0),MATCH("Icon",'A-S'!$1:$1,0))</f>
        <v>031</v>
      </c>
      <c r="C14" s="324" t="e" vm="1545">
        <f t="shared" si="0"/>
        <v>#VALUE!</v>
      </c>
      <c r="D14" s="259" t="s">
        <v>598</v>
      </c>
      <c r="E14" s="260" t="str">
        <f>+INDEX('A-S'!$A:$N,MATCH(D14,'A-S'!$G:$G,0),MATCH("Description",'A-S'!$1:$1,0))</f>
        <v>Increases the entire team's defense by 25% for 15 seconds.</v>
      </c>
      <c r="F14" s="172" t="str">
        <f>+INDEX('A-S'!$A:$N,MATCH(D14,'A-S'!$G:$G,0),MATCH("Description V3",'A-S'!$1:$1,0))</f>
        <v>Increases the entire team's strength by 15% and defense by 25% for 15 seconds.</v>
      </c>
    </row>
    <row r="15" spans="1:6" ht="57" x14ac:dyDescent="0.2">
      <c r="A15" s="306" t="s">
        <v>22140</v>
      </c>
      <c r="B15" s="323" t="str">
        <f>+INDEX('A-S'!$A:$N,MATCH(D15,'A-S'!$G:$G,0),MATCH("Icon",'A-S'!$1:$1,0))</f>
        <v>158</v>
      </c>
      <c r="C15" s="323" t="e" vm="1">
        <f t="shared" si="0"/>
        <v>#VALUE!</v>
      </c>
      <c r="D15" s="261" t="s">
        <v>1085</v>
      </c>
      <c r="E15" s="305" t="str">
        <f>+INDEX('A-S'!$A:$N,MATCH(D15,'A-S'!$G:$G,0),MATCH("Description",'A-S'!$1:$1,0))</f>
        <v>Deals 18 hits of 100% flame damage to enemies directly ahead, and inflicts scorchrend for 21 seconds - dealing 41.6% flame damage every 2.9 seconds - with 120% chance.</v>
      </c>
      <c r="F15" s="174" t="str">
        <f>+INDEX('A-S'!$A:$N,MATCH(D15,'A-S'!$G:$G,0),MATCH("Description V3",'A-S'!$1:$1,0))</f>
        <v>Deals 18 hits of 110% flame damage to enemies directly ahead, and inflicts scorchrend for 21 seconds - dealing 50% flame damage every 2.9 seconds - with 120% chance.</v>
      </c>
    </row>
    <row r="16" spans="1:6" ht="85.5" x14ac:dyDescent="0.2">
      <c r="A16" s="306" t="s">
        <v>22140</v>
      </c>
      <c r="B16" s="323" t="str">
        <f>+INDEX('A-S'!$A:$N,MATCH(D16,'A-S'!$G:$G,0),MATCH("Icon",'A-S'!$1:$1,0))</f>
        <v>201</v>
      </c>
      <c r="C16" s="323" t="e" vm="1546">
        <f t="shared" si="0"/>
        <v>#VALUE!</v>
      </c>
      <c r="D16" s="261" t="s">
        <v>2304</v>
      </c>
      <c r="E16" s="305" t="str">
        <f>+INDEX('A-S'!$A:$N,MATCH(D16,'A-S'!$G:$G,0),MATCH("Description",'A-S'!$1:$1,0))</f>
        <v>Deals 3-9 hits of 522% wind damage to surrounding enemies, and dispels one buff from each of them. Continually tapping the screen during the attack will unleash additional blows, with up to a maximum of 6.</v>
      </c>
      <c r="F16" s="174" t="str">
        <f>+INDEX('A-S'!$A:$N,MATCH(D16,'A-S'!$G:$G,0),MATCH("Description V3",'A-S'!$1:$1,0))</f>
        <v>Deals 3-9 hits of 600% wind damage to surrounding enemies, dispels one buff from each of them, and lowers defense by 10% for 10 seconds. Continually tapping the screen during the attack will unleash additional blows, with up to a maximum of 6. This defense reduction effect will not stack.</v>
      </c>
    </row>
    <row r="17" spans="1:6" ht="71.25" x14ac:dyDescent="0.2">
      <c r="A17" s="271" t="s">
        <v>22140</v>
      </c>
      <c r="B17" s="324" t="str">
        <f>+INDEX('A-S'!$A:$N,MATCH(D17,'A-S'!$G:$G,0),MATCH("Icon",'A-S'!$1:$1,0))</f>
        <v>020</v>
      </c>
      <c r="C17" s="324" t="e" vm="16">
        <f t="shared" si="0"/>
        <v>#VALUE!</v>
      </c>
      <c r="D17" s="259" t="s">
        <v>1801</v>
      </c>
      <c r="E17" s="260" t="str">
        <f>+INDEX('A-S'!$A:$N,MATCH(D17,'A-S'!$G:$G,0),MATCH("Description",'A-S'!$1:$1,0))</f>
        <v>Deals 2 hits of 878% water damage to the target and nearby enemies, and inflicts freeze for 3-6 seconds with 100% base chance.</v>
      </c>
      <c r="F17" s="172" t="str">
        <f>+INDEX('A-S'!$A:$N,MATCH(D17,'A-S'!$G:$G,0),MATCH("Description V3",'A-S'!$1:$1,0))</f>
        <v>Deals 2 hits of 1200% water damage to the target and nearby enemies, dispels one buff from each target, inflicts frostbite for 21 seconds - dealing 50% water damage every 2.9 seconds - with 120% base chance, inflicts freeze for 3-6 seconds with 200% chance.</v>
      </c>
    </row>
    <row r="18" spans="1:6" ht="57" x14ac:dyDescent="0.2">
      <c r="A18" s="306" t="s">
        <v>22140</v>
      </c>
      <c r="B18" s="323" t="str">
        <f>+INDEX('A-S'!$A:$N,MATCH(D18,'A-S'!$G:$G,0),MATCH("Icon",'A-S'!$1:$1,0))</f>
        <v>014</v>
      </c>
      <c r="C18" s="323" t="e" vm="1547">
        <f t="shared" si="0"/>
        <v>#VALUE!</v>
      </c>
      <c r="D18" s="261" t="s">
        <v>906</v>
      </c>
      <c r="E18" s="305" t="str">
        <f>+INDEX('A-S'!$A:$N,MATCH(D18,'A-S'!$G:$G,0),MATCH("Description",'A-S'!$1:$1,0))</f>
        <v>Deals 12 hits of 128% flame damage to enemies directly ahead, and reduces their defense by 5% for 10 seconds. This defense reduction effect will not stack.</v>
      </c>
      <c r="F18" s="174" t="str">
        <f>+INDEX('A-S'!$A:$N,MATCH(D18,'A-S'!$G:$G,0),MATCH("Description V3",'A-S'!$1:$1,0))</f>
        <v>Deals 12 hits of 160% flame damage to enemies directly ahead, reduces their defense by 10% for 10 seconds, and dispels one buff from each target. This defense reduction effect will not stack.</v>
      </c>
    </row>
    <row r="19" spans="1:6" ht="42.75" x14ac:dyDescent="0.2">
      <c r="A19" s="306" t="s">
        <v>22140</v>
      </c>
      <c r="B19" s="323" t="str">
        <f>+INDEX('A-S'!$A:$N,MATCH(D19,'A-S'!$G:$G,0),MATCH("Icon",'A-S'!$1:$1,0))</f>
        <v>016</v>
      </c>
      <c r="C19" s="323" t="e" vm="1548">
        <f t="shared" si="0"/>
        <v>#VALUE!</v>
      </c>
      <c r="D19" s="261" t="s">
        <v>1661</v>
      </c>
      <c r="E19" s="305" t="str">
        <f>+INDEX('A-S'!$A:$N,MATCH(D19,'A-S'!$G:$G,0),MATCH("Description",'A-S'!$1:$1,0))</f>
        <v>Deals 14 hits of 141% water damage to enemies in a line, and inflicts frostbite for 21 seconds - dealing 41% water damage every 2.9 seconds - with 120% chance.</v>
      </c>
      <c r="F19" s="174" t="str">
        <f>+INDEX('A-S'!$A:$N,MATCH(D19,'A-S'!$G:$G,0),MATCH("Description V3",'A-S'!$1:$1,0))</f>
        <v>Deals 14 hits of 180% water damage to enemies in a line, and inflicts frostbite for 21 seconds - dealing 50% water damage every 2.9 seconds - with 120% chance.</v>
      </c>
    </row>
    <row r="20" spans="1:6" ht="99.75" x14ac:dyDescent="0.2">
      <c r="A20" s="46" t="s">
        <v>22140</v>
      </c>
      <c r="B20" s="326" t="str">
        <f>+INDEX('A-S'!$A:$N,MATCH(D20,'A-S'!$G:$G,0),MATCH("Icon",'A-S'!$1:$1,0))</f>
        <v>013</v>
      </c>
      <c r="C20" s="326" t="e" vm="11">
        <f t="shared" si="0"/>
        <v>#VALUE!</v>
      </c>
      <c r="D20" s="47" t="s">
        <v>2460</v>
      </c>
      <c r="E20" s="327" t="str">
        <f>+INDEX('A-S'!$A:$N,MATCH(D20,'A-S'!$G:$G,0),MATCH("Description",'A-S'!$1:$1,0))</f>
        <v>Deals 2 hits of 593% wind damage to enemies directly ahead, reduces their strength by 30% for 10 seconds with 50% base chance, and inflicts poison for 15 seconds - dealing 58.2% wind damage every 2.9 seconds - with 120% base chance. This strength reduction effect will not stack. Poisoned foes take 2 hits of 889.5% wind damage instead.</v>
      </c>
      <c r="F20" s="171" t="str">
        <f>+INDEX('A-S'!$A:$N,MATCH(D20,'A-S'!$G:$G,0),MATCH("Description V3",'A-S'!$1:$1,0))</f>
        <v>Deals 2 hits of 1000% wind damage to enemies directly ahead, reduces their strength by 30% for 10 seconds, and inflicts poison for 21 seconds - dealing 50% wind damage every 2.9 seconds - with 120% base chance. This strength reduction effect will not stack.</v>
      </c>
    </row>
    <row r="21" spans="1:6" x14ac:dyDescent="0.2">
      <c r="B21" s="6"/>
      <c r="C21" s="6"/>
      <c r="E21" s="181"/>
      <c r="F21" s="181"/>
    </row>
    <row r="22" spans="1:6" x14ac:dyDescent="0.2">
      <c r="A22" s="169" t="s">
        <v>22144</v>
      </c>
      <c r="B22" s="169"/>
      <c r="C22" s="169"/>
      <c r="D22" s="169"/>
      <c r="E22" s="169"/>
    </row>
    <row r="23" spans="1:6" x14ac:dyDescent="0.2">
      <c r="A23" s="168" t="s">
        <v>22145</v>
      </c>
      <c r="B23" s="168"/>
      <c r="C23" s="168"/>
      <c r="D23" s="168"/>
      <c r="E23" s="168"/>
    </row>
    <row r="25" spans="1:6" ht="85.5" x14ac:dyDescent="0.2">
      <c r="A25" s="319" t="s">
        <v>6064</v>
      </c>
      <c r="B25" s="320" t="str">
        <f>+INDEX('A-S'!$A:$N,MATCH(D25,'A-S'!$G:$G,0),MATCH("Icon",'A-S'!$1:$1,0))</f>
        <v>064</v>
      </c>
      <c r="C25" s="865" t="e" vm="1549">
        <f>_xlfn.IMAGE("https://natalie.tf/wp-content/uploads/2023/10/DLV3_Icon_Skill_"&amp;B25&amp;".png")</f>
        <v>#VALUE!</v>
      </c>
      <c r="D25" s="865" t="s">
        <v>4394</v>
      </c>
      <c r="E25" s="317" t="str">
        <f>+INDEX('A-S'!$A:$N,MATCH(D25,'A-S'!$G:$G,0),MATCH("Description",'A-S'!$1:$1,0))</f>
        <v>Deals 2 hits of 866% shadow damage to enemies directly ahead, inflicts poison for 15 seconds - dealing 58.2% shadow damage every 2.9 seconds - with 120% chance, and increases the user's max HP by 5% for the remainder of the quest. Once HP buffs reach the limit of 30%, an HP recovery effect is granted instead.</v>
      </c>
      <c r="F25" s="318" t="str">
        <f>+INDEX('A-S'!$A:$N,MATCH(D25,'A-S'!$G:$G,0),MATCH("Description V3",'A-S'!$1:$1,0))</f>
        <v>Deals 2 hits of 1000% shadow damage to enemies directly ahead, inflicts poison for 21 seconds - dealing 50% shadow damage every 2.9 seconds - with 120% chance, and increases the entire team's HP by 5% for the remainder of the quest. Once HP buffs reach the limit of 30%, an HP recovery effect is granted instead.</v>
      </c>
    </row>
    <row r="26" spans="1:6" ht="57" x14ac:dyDescent="0.2">
      <c r="A26" s="319" t="s">
        <v>22146</v>
      </c>
      <c r="B26" s="320" t="str">
        <f>+INDEX('A-S'!$A:$N,MATCH(D26,'A-S'!$G:$G,0),MATCH("Icon",'A-S'!$1:$1,0))</f>
        <v>025</v>
      </c>
      <c r="C26" s="865" t="e" vm="1550">
        <f>_xlfn.IMAGE("https://natalie.tf/wp-content/uploads/2023/10/DLV3_Icon_Skill_"&amp;B26&amp;".png")</f>
        <v>#VALUE!</v>
      </c>
      <c r="D26" s="865" t="s">
        <v>2333</v>
      </c>
      <c r="E26" s="317" t="str">
        <f>+INDEX('A-S'!$A:$N,MATCH(D26,'A-S'!$G:$G,0),MATCH("Description",'A-S'!$1:$1,0))</f>
        <v>Deals 1 hit of 864% wind damage to enemies directly ahead, and inflicts poison - dealing 58.2% wind damage every 2.9 seconds for 15 seconds - with 120% base chance.</v>
      </c>
      <c r="F26" s="318" t="s">
        <v>22147</v>
      </c>
    </row>
    <row r="27" spans="1:6" x14ac:dyDescent="0.2">
      <c r="A27" s="92"/>
      <c r="B27" s="92"/>
      <c r="C27" s="866"/>
      <c r="D27" s="866"/>
      <c r="E27" s="181"/>
      <c r="F27" s="181"/>
    </row>
    <row r="28" spans="1:6" ht="99.75" x14ac:dyDescent="0.2">
      <c r="A28" s="321" t="s">
        <v>6064</v>
      </c>
      <c r="B28" s="322" t="str">
        <f>+INDEX('A-S'!$A:$N,MATCH(D28,'A-S'!$G:$G,0),MATCH("Icon",'A-S'!$1:$1,0))</f>
        <v>803</v>
      </c>
      <c r="C28" s="867" t="e" vm="1551">
        <f>_xlfn.IMAGE("https://natalie.tf/wp-content/uploads/2023/10/DLV3_Icon_Skill_"&amp;B28&amp;".png")</f>
        <v>#VALUE!</v>
      </c>
      <c r="D28" s="867" t="s">
        <v>3925</v>
      </c>
      <c r="E28" s="315" t="str">
        <f>+INDEX('A-S'!$A:$N,MATCH(D28,'A-S'!$G:$G,0),MATCH("Description",'A-S'!$1:$1,0))</f>
        <v>Deals 7 hits and 1 delayed hit of 155% shadow damage to enemies directly ahead, and inflicts bleeding for 30 seconds - dealing 146% shadow damage every 4.9 seconds - with 100% base chance. Poisoned foes instead take 7 hits and 1 delayed hit of 186% shadow damage, and 175.2% shadow damage every 4.9 seconds from bleeding.</v>
      </c>
      <c r="F28" s="316" t="str">
        <f>+INDEX('A-S'!$A:$N,MATCH(D28,'A-S'!$G:$G,0),MATCH("Description V3",'A-S'!$1:$1,0))</f>
        <v>Deals 7 hits and 1 delayed hit of 220% shadow damage to enemies directly ahead, dispels one buff from each target, and inflicts bleeding for 30 seconds - dealing 150% shadow damage every 4.9 seconds - with 100% base chance.</v>
      </c>
    </row>
    <row r="29" spans="1:6" ht="42.75" x14ac:dyDescent="0.2">
      <c r="A29" s="321" t="s">
        <v>22146</v>
      </c>
      <c r="B29" s="322" t="str">
        <f>+INDEX('A-S'!$A:$N,MATCH(D29,'A-S'!$G:$G,0),MATCH("Icon",'A-S'!$1:$1,0))</f>
        <v>198</v>
      </c>
      <c r="C29" s="867" t="e" vm="1552">
        <f>_xlfn.IMAGE("https://natalie.tf/wp-content/uploads/2023/10/DLV3_Icon_Skill_"&amp;B29&amp;".png")</f>
        <v>#VALUE!</v>
      </c>
      <c r="D29" s="867" t="s">
        <v>1917</v>
      </c>
      <c r="E29" s="315" t="str">
        <f>+INDEX('A-S'!$A:$N,MATCH(D29,'A-S'!$G:$G,0),MATCH("Description",'A-S'!$1:$1,0))</f>
        <v>Deals 8 hits of 167% and 5 hits of 88% water damage to the target and nearby enemies.</v>
      </c>
      <c r="F29" s="316" t="str">
        <f>+INDEX('A-S'!$A:$N,MATCH(D29,'A-S'!$G:$G,0),MATCH("Description V3",'A-S'!$1:$1,0))</f>
        <v>Deals 8 hits of 200% and 5 hits of 100% water damage to the target and nearby enemies and dispels one buff from each target.</v>
      </c>
    </row>
  </sheetData>
  <pageMargins left="0.2" right="0.2" top="0.5" bottom="0.2" header="0.2" footer="0.3"/>
  <pageSetup orientation="landscape" r:id="rId1"/>
  <headerFooter>
    <oddHeader>&amp;L&amp;"-,Bold"&amp;14Dragalia Lost V3 Re;Works Enter the Kaleidoscape Shared Skills</oddHeader>
  </headerFooter>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D53FDB-D666-4140-AFF3-287F742E451C}">
  <dimension ref="A1:N100"/>
  <sheetViews>
    <sheetView zoomScaleNormal="100" workbookViewId="0">
      <selection activeCell="L98" sqref="L98"/>
    </sheetView>
  </sheetViews>
  <sheetFormatPr defaultRowHeight="14.25" x14ac:dyDescent="0.2"/>
  <cols>
    <col min="1" max="1" width="2.875" bestFit="1" customWidth="1"/>
    <col min="2" max="2" width="20.375" bestFit="1" customWidth="1"/>
    <col min="3" max="3" width="20.375" customWidth="1"/>
    <col min="5" max="6" width="20.375" bestFit="1" customWidth="1"/>
    <col min="7" max="7" width="4.375" customWidth="1"/>
    <col min="8" max="8" width="22.125" customWidth="1"/>
    <col min="9" max="9" width="21.125" customWidth="1"/>
    <col min="11" max="11" width="15.125" bestFit="1" customWidth="1"/>
    <col min="12" max="12" width="35.875" bestFit="1" customWidth="1"/>
  </cols>
  <sheetData>
    <row r="1" spans="1:14" x14ac:dyDescent="0.2">
      <c r="A1" s="2" t="s">
        <v>24</v>
      </c>
      <c r="B1" s="2" t="s">
        <v>14982</v>
      </c>
      <c r="C1" s="1"/>
      <c r="E1" s="2" t="s">
        <v>104</v>
      </c>
      <c r="F1" s="2" t="s">
        <v>105</v>
      </c>
      <c r="G1" s="1"/>
      <c r="H1" s="1"/>
      <c r="I1" s="1"/>
    </row>
    <row r="2" spans="1:14" x14ac:dyDescent="0.2">
      <c r="A2">
        <f t="shared" ref="A2:A16" si="0">+COUNTIF(E:F,B2)</f>
        <v>14</v>
      </c>
      <c r="B2" t="s">
        <v>6911</v>
      </c>
      <c r="E2" t="s">
        <v>6911</v>
      </c>
      <c r="F2" t="s">
        <v>6893</v>
      </c>
      <c r="K2" t="s">
        <v>22148</v>
      </c>
      <c r="L2" t="s">
        <v>3998</v>
      </c>
      <c r="M2">
        <v>1020014</v>
      </c>
      <c r="N2" t="s">
        <v>8589</v>
      </c>
    </row>
    <row r="3" spans="1:14" x14ac:dyDescent="0.2">
      <c r="A3">
        <f t="shared" si="0"/>
        <v>14</v>
      </c>
      <c r="B3" t="s">
        <v>6893</v>
      </c>
      <c r="E3" t="s">
        <v>6911</v>
      </c>
      <c r="F3" t="s">
        <v>6601</v>
      </c>
      <c r="K3" t="s">
        <v>22149</v>
      </c>
      <c r="L3" t="s">
        <v>2124</v>
      </c>
      <c r="M3">
        <v>1010006</v>
      </c>
      <c r="N3" t="s">
        <v>6115</v>
      </c>
    </row>
    <row r="4" spans="1:14" x14ac:dyDescent="0.2">
      <c r="A4">
        <f t="shared" si="0"/>
        <v>14</v>
      </c>
      <c r="B4" t="s">
        <v>6601</v>
      </c>
      <c r="E4" t="s">
        <v>6911</v>
      </c>
      <c r="F4" t="s">
        <v>336</v>
      </c>
      <c r="K4" t="s">
        <v>14997</v>
      </c>
      <c r="L4" t="s">
        <v>581</v>
      </c>
      <c r="M4">
        <v>1020011</v>
      </c>
      <c r="N4" t="s">
        <v>8590</v>
      </c>
    </row>
    <row r="5" spans="1:14" x14ac:dyDescent="0.2">
      <c r="A5">
        <f t="shared" si="0"/>
        <v>14</v>
      </c>
      <c r="B5" t="s">
        <v>336</v>
      </c>
      <c r="E5" t="s">
        <v>6911</v>
      </c>
      <c r="F5" t="s">
        <v>682</v>
      </c>
      <c r="K5" t="s">
        <v>6601</v>
      </c>
      <c r="L5" t="s">
        <v>385</v>
      </c>
      <c r="M5">
        <v>1020010</v>
      </c>
      <c r="N5" t="s">
        <v>8591</v>
      </c>
    </row>
    <row r="6" spans="1:14" x14ac:dyDescent="0.2">
      <c r="A6">
        <f t="shared" si="0"/>
        <v>14</v>
      </c>
      <c r="B6" t="s">
        <v>682</v>
      </c>
      <c r="E6" t="s">
        <v>6911</v>
      </c>
      <c r="F6" t="s">
        <v>7254</v>
      </c>
      <c r="K6" t="s">
        <v>618</v>
      </c>
      <c r="L6" t="s">
        <v>563</v>
      </c>
      <c r="M6">
        <v>1020003</v>
      </c>
      <c r="N6" t="s">
        <v>8592</v>
      </c>
    </row>
    <row r="7" spans="1:14" x14ac:dyDescent="0.2">
      <c r="A7">
        <f t="shared" si="0"/>
        <v>14</v>
      </c>
      <c r="B7" t="s">
        <v>7254</v>
      </c>
      <c r="C7" t="s">
        <v>12094</v>
      </c>
      <c r="E7" t="s">
        <v>6911</v>
      </c>
      <c r="F7" t="s">
        <v>126</v>
      </c>
      <c r="K7" t="s">
        <v>682</v>
      </c>
      <c r="L7" t="s">
        <v>682</v>
      </c>
      <c r="M7">
        <v>1020001</v>
      </c>
      <c r="N7" t="s">
        <v>8598</v>
      </c>
    </row>
    <row r="8" spans="1:14" x14ac:dyDescent="0.2">
      <c r="A8">
        <f t="shared" si="0"/>
        <v>14</v>
      </c>
      <c r="B8" t="s">
        <v>126</v>
      </c>
      <c r="C8" t="s">
        <v>14354</v>
      </c>
      <c r="E8" t="s">
        <v>6911</v>
      </c>
      <c r="F8" t="s">
        <v>316</v>
      </c>
      <c r="K8" t="s">
        <v>22150</v>
      </c>
      <c r="L8" t="s">
        <v>170</v>
      </c>
      <c r="M8">
        <v>1010001</v>
      </c>
      <c r="N8" t="s">
        <v>8595</v>
      </c>
    </row>
    <row r="9" spans="1:14" x14ac:dyDescent="0.2">
      <c r="A9">
        <f t="shared" si="0"/>
        <v>13</v>
      </c>
      <c r="B9" t="s">
        <v>316</v>
      </c>
      <c r="E9" t="s">
        <v>6911</v>
      </c>
      <c r="F9" t="s">
        <v>1591</v>
      </c>
      <c r="K9" t="s">
        <v>22150</v>
      </c>
      <c r="L9" t="s">
        <v>1057</v>
      </c>
      <c r="M9">
        <v>1020013</v>
      </c>
      <c r="N9" t="s">
        <v>8596</v>
      </c>
    </row>
    <row r="10" spans="1:14" x14ac:dyDescent="0.2">
      <c r="A10">
        <f t="shared" si="0"/>
        <v>13</v>
      </c>
      <c r="B10" t="s">
        <v>1591</v>
      </c>
      <c r="E10" t="s">
        <v>6911</v>
      </c>
      <c r="F10" t="s">
        <v>618</v>
      </c>
      <c r="K10" t="s">
        <v>22150</v>
      </c>
      <c r="L10" t="s">
        <v>148</v>
      </c>
      <c r="M10">
        <v>1010041</v>
      </c>
      <c r="N10" t="s">
        <v>8597</v>
      </c>
    </row>
    <row r="11" spans="1:14" x14ac:dyDescent="0.2">
      <c r="A11">
        <f t="shared" si="0"/>
        <v>13</v>
      </c>
      <c r="B11" t="s">
        <v>618</v>
      </c>
      <c r="E11" t="s">
        <v>6911</v>
      </c>
      <c r="F11" t="s">
        <v>14997</v>
      </c>
      <c r="K11" t="s">
        <v>22150</v>
      </c>
      <c r="L11" t="s">
        <v>665</v>
      </c>
      <c r="M11">
        <v>1010078</v>
      </c>
      <c r="N11" t="s">
        <v>8599</v>
      </c>
    </row>
    <row r="12" spans="1:14" x14ac:dyDescent="0.2">
      <c r="A12">
        <f t="shared" si="0"/>
        <v>14</v>
      </c>
      <c r="B12" t="s">
        <v>14997</v>
      </c>
      <c r="E12" t="s">
        <v>6911</v>
      </c>
      <c r="F12" t="s">
        <v>970</v>
      </c>
      <c r="K12" t="s">
        <v>22150</v>
      </c>
      <c r="L12" t="s">
        <v>3200</v>
      </c>
      <c r="M12">
        <v>1090004</v>
      </c>
      <c r="N12" t="s">
        <v>8600</v>
      </c>
    </row>
    <row r="13" spans="1:14" x14ac:dyDescent="0.2">
      <c r="A13">
        <f t="shared" si="0"/>
        <v>13</v>
      </c>
      <c r="B13" t="s">
        <v>970</v>
      </c>
      <c r="E13" t="s">
        <v>6911</v>
      </c>
      <c r="F13" t="s">
        <v>650</v>
      </c>
      <c r="K13" t="s">
        <v>22150</v>
      </c>
      <c r="L13" t="s">
        <v>3550</v>
      </c>
      <c r="M13">
        <v>1090004</v>
      </c>
      <c r="N13" t="s">
        <v>8601</v>
      </c>
    </row>
    <row r="14" spans="1:14" x14ac:dyDescent="0.2">
      <c r="A14">
        <f t="shared" si="0"/>
        <v>13</v>
      </c>
      <c r="B14" t="s">
        <v>650</v>
      </c>
      <c r="E14" t="s">
        <v>6893</v>
      </c>
      <c r="F14" t="s">
        <v>6601</v>
      </c>
      <c r="K14" t="s">
        <v>22150</v>
      </c>
      <c r="L14" t="s">
        <v>3302</v>
      </c>
      <c r="M14">
        <v>1070004</v>
      </c>
      <c r="N14" t="s">
        <v>8603</v>
      </c>
    </row>
    <row r="15" spans="1:14" x14ac:dyDescent="0.2">
      <c r="A15">
        <f t="shared" si="0"/>
        <v>13</v>
      </c>
      <c r="B15" t="s">
        <v>417</v>
      </c>
      <c r="E15" t="s">
        <v>6893</v>
      </c>
      <c r="F15" t="s">
        <v>336</v>
      </c>
      <c r="K15" t="s">
        <v>22150</v>
      </c>
      <c r="L15" t="s">
        <v>2001</v>
      </c>
      <c r="M15">
        <v>1070016</v>
      </c>
      <c r="N15" t="s">
        <v>8605</v>
      </c>
    </row>
    <row r="16" spans="1:14" x14ac:dyDescent="0.2">
      <c r="A16">
        <f t="shared" si="0"/>
        <v>8</v>
      </c>
      <c r="B16" t="s">
        <v>909</v>
      </c>
      <c r="E16" t="s">
        <v>6893</v>
      </c>
      <c r="F16" t="s">
        <v>682</v>
      </c>
      <c r="K16" t="s">
        <v>22150</v>
      </c>
      <c r="L16" t="s">
        <v>648</v>
      </c>
      <c r="M16">
        <v>1010094</v>
      </c>
      <c r="N16" t="s">
        <v>8606</v>
      </c>
    </row>
    <row r="17" spans="2:14" x14ac:dyDescent="0.2">
      <c r="E17" t="s">
        <v>6893</v>
      </c>
      <c r="F17" t="s">
        <v>7254</v>
      </c>
      <c r="K17" t="s">
        <v>22150</v>
      </c>
      <c r="L17" t="s">
        <v>1985</v>
      </c>
      <c r="M17">
        <v>1090003</v>
      </c>
      <c r="N17" t="s">
        <v>8612</v>
      </c>
    </row>
    <row r="18" spans="2:14" x14ac:dyDescent="0.2">
      <c r="B18" t="s">
        <v>6911</v>
      </c>
      <c r="C18">
        <v>1020002</v>
      </c>
      <c r="E18" t="s">
        <v>6893</v>
      </c>
      <c r="F18" t="s">
        <v>126</v>
      </c>
      <c r="K18" t="s">
        <v>22151</v>
      </c>
      <c r="L18" t="s">
        <v>466</v>
      </c>
      <c r="M18">
        <v>1010045</v>
      </c>
      <c r="N18" t="s">
        <v>8610</v>
      </c>
    </row>
    <row r="19" spans="2:14" x14ac:dyDescent="0.2">
      <c r="B19" t="s">
        <v>6893</v>
      </c>
      <c r="C19">
        <v>1010002</v>
      </c>
      <c r="E19" t="s">
        <v>6893</v>
      </c>
      <c r="F19" t="s">
        <v>316</v>
      </c>
      <c r="K19" t="s">
        <v>417</v>
      </c>
      <c r="L19" t="s">
        <v>860</v>
      </c>
      <c r="M19">
        <v>1010016</v>
      </c>
      <c r="N19" t="s">
        <v>8602</v>
      </c>
    </row>
    <row r="20" spans="2:14" x14ac:dyDescent="0.2">
      <c r="B20" t="s">
        <v>6601</v>
      </c>
      <c r="C20">
        <v>1020010</v>
      </c>
      <c r="E20" t="s">
        <v>6893</v>
      </c>
      <c r="F20" t="s">
        <v>1591</v>
      </c>
      <c r="K20" t="s">
        <v>970</v>
      </c>
      <c r="L20" t="s">
        <v>970</v>
      </c>
      <c r="M20">
        <v>1020009</v>
      </c>
      <c r="N20" t="s">
        <v>8604</v>
      </c>
    </row>
    <row r="21" spans="2:14" x14ac:dyDescent="0.2">
      <c r="B21" t="s">
        <v>14997</v>
      </c>
      <c r="C21">
        <v>1020011</v>
      </c>
      <c r="E21" t="s">
        <v>6893</v>
      </c>
      <c r="F21" t="s">
        <v>618</v>
      </c>
      <c r="K21" t="s">
        <v>6893</v>
      </c>
      <c r="L21" t="s">
        <v>842</v>
      </c>
      <c r="M21">
        <v>1020002</v>
      </c>
      <c r="N21" t="s">
        <v>8608</v>
      </c>
    </row>
    <row r="22" spans="2:14" x14ac:dyDescent="0.2">
      <c r="B22" t="s">
        <v>417</v>
      </c>
      <c r="C22">
        <v>1010010</v>
      </c>
      <c r="E22" t="s">
        <v>6893</v>
      </c>
      <c r="F22" t="s">
        <v>14997</v>
      </c>
      <c r="K22" t="s">
        <v>316</v>
      </c>
      <c r="L22" t="s">
        <v>762</v>
      </c>
      <c r="M22">
        <v>1020004</v>
      </c>
      <c r="N22" t="s">
        <v>8609</v>
      </c>
    </row>
    <row r="23" spans="2:14" x14ac:dyDescent="0.2">
      <c r="B23" t="s">
        <v>336</v>
      </c>
      <c r="C23">
        <v>1010001</v>
      </c>
      <c r="E23" t="s">
        <v>6893</v>
      </c>
      <c r="F23" t="s">
        <v>970</v>
      </c>
      <c r="K23" t="s">
        <v>6911</v>
      </c>
      <c r="L23" t="s">
        <v>333</v>
      </c>
      <c r="M23">
        <v>1020002</v>
      </c>
      <c r="N23" t="s">
        <v>8611</v>
      </c>
    </row>
    <row r="24" spans="2:14" x14ac:dyDescent="0.2">
      <c r="B24" t="s">
        <v>316</v>
      </c>
      <c r="C24">
        <v>1020004</v>
      </c>
      <c r="E24" t="s">
        <v>6893</v>
      </c>
      <c r="F24" t="s">
        <v>650</v>
      </c>
      <c r="K24" t="s">
        <v>1950</v>
      </c>
      <c r="L24" t="s">
        <v>1950</v>
      </c>
      <c r="M24">
        <v>1020032</v>
      </c>
      <c r="N24" t="s">
        <v>8607</v>
      </c>
    </row>
    <row r="25" spans="2:14" x14ac:dyDescent="0.2">
      <c r="B25" t="s">
        <v>1591</v>
      </c>
      <c r="C25">
        <v>1010007</v>
      </c>
      <c r="E25" t="s">
        <v>6601</v>
      </c>
      <c r="F25" t="s">
        <v>336</v>
      </c>
      <c r="K25" t="s">
        <v>22152</v>
      </c>
      <c r="L25" t="s">
        <v>952</v>
      </c>
      <c r="M25">
        <v>1020002</v>
      </c>
      <c r="N25" t="s">
        <v>8593</v>
      </c>
    </row>
    <row r="26" spans="2:14" x14ac:dyDescent="0.2">
      <c r="B26" t="s">
        <v>618</v>
      </c>
      <c r="C26">
        <v>1020003</v>
      </c>
      <c r="E26" t="s">
        <v>6601</v>
      </c>
      <c r="F26" t="s">
        <v>682</v>
      </c>
      <c r="K26" t="s">
        <v>22152</v>
      </c>
      <c r="L26" t="s">
        <v>126</v>
      </c>
      <c r="M26">
        <v>1010008</v>
      </c>
      <c r="N26" t="s">
        <v>8594</v>
      </c>
    </row>
    <row r="27" spans="2:14" x14ac:dyDescent="0.2">
      <c r="B27" t="s">
        <v>2974</v>
      </c>
      <c r="C27">
        <v>1010075</v>
      </c>
      <c r="E27" t="s">
        <v>6601</v>
      </c>
      <c r="F27" t="s">
        <v>7254</v>
      </c>
      <c r="K27" t="s">
        <v>22152</v>
      </c>
      <c r="L27" t="s">
        <v>650</v>
      </c>
      <c r="M27">
        <v>1010003</v>
      </c>
    </row>
    <row r="28" spans="2:14" x14ac:dyDescent="0.2">
      <c r="B28" t="s">
        <v>682</v>
      </c>
      <c r="C28">
        <v>1020001</v>
      </c>
      <c r="E28" t="s">
        <v>6601</v>
      </c>
      <c r="F28" t="s">
        <v>126</v>
      </c>
    </row>
    <row r="29" spans="2:14" x14ac:dyDescent="0.2">
      <c r="B29" t="s">
        <v>970</v>
      </c>
      <c r="C29">
        <v>1020009</v>
      </c>
      <c r="E29" t="s">
        <v>6601</v>
      </c>
      <c r="F29" t="s">
        <v>316</v>
      </c>
    </row>
    <row r="30" spans="2:14" x14ac:dyDescent="0.2">
      <c r="E30" t="s">
        <v>6601</v>
      </c>
      <c r="F30" t="s">
        <v>1591</v>
      </c>
    </row>
    <row r="31" spans="2:14" x14ac:dyDescent="0.2">
      <c r="B31" t="s">
        <v>952</v>
      </c>
      <c r="C31">
        <v>1020002</v>
      </c>
      <c r="E31" t="s">
        <v>6601</v>
      </c>
      <c r="F31" t="s">
        <v>618</v>
      </c>
    </row>
    <row r="32" spans="2:14" x14ac:dyDescent="0.2">
      <c r="B32" t="s">
        <v>126</v>
      </c>
      <c r="C32">
        <v>1010008</v>
      </c>
      <c r="E32" t="s">
        <v>6601</v>
      </c>
      <c r="F32" t="s">
        <v>14997</v>
      </c>
    </row>
    <row r="33" spans="2:9" x14ac:dyDescent="0.2">
      <c r="B33" t="s">
        <v>650</v>
      </c>
      <c r="C33">
        <v>1010003</v>
      </c>
      <c r="E33" t="s">
        <v>6601</v>
      </c>
      <c r="F33" t="s">
        <v>970</v>
      </c>
    </row>
    <row r="34" spans="2:9" x14ac:dyDescent="0.2">
      <c r="E34" t="s">
        <v>6601</v>
      </c>
      <c r="F34" t="s">
        <v>650</v>
      </c>
    </row>
    <row r="35" spans="2:9" x14ac:dyDescent="0.2">
      <c r="B35" t="s">
        <v>14997</v>
      </c>
      <c r="C35">
        <v>1020011</v>
      </c>
      <c r="E35" t="s">
        <v>336</v>
      </c>
      <c r="F35" t="s">
        <v>682</v>
      </c>
    </row>
    <row r="36" spans="2:9" x14ac:dyDescent="0.2">
      <c r="B36" t="s">
        <v>6601</v>
      </c>
      <c r="C36">
        <v>1020010</v>
      </c>
      <c r="E36" t="s">
        <v>336</v>
      </c>
      <c r="F36" t="s">
        <v>7254</v>
      </c>
    </row>
    <row r="37" spans="2:9" x14ac:dyDescent="0.2">
      <c r="B37" t="s">
        <v>618</v>
      </c>
      <c r="C37">
        <v>1020003</v>
      </c>
      <c r="E37" t="s">
        <v>336</v>
      </c>
      <c r="F37" t="s">
        <v>126</v>
      </c>
    </row>
    <row r="38" spans="2:9" x14ac:dyDescent="0.2">
      <c r="B38" t="s">
        <v>2974</v>
      </c>
      <c r="C38">
        <v>1010075</v>
      </c>
      <c r="E38" t="s">
        <v>336</v>
      </c>
      <c r="F38" t="s">
        <v>316</v>
      </c>
      <c r="I38" t="s">
        <v>336</v>
      </c>
    </row>
    <row r="39" spans="2:9" x14ac:dyDescent="0.2">
      <c r="B39" t="s">
        <v>336</v>
      </c>
      <c r="C39">
        <v>1010001</v>
      </c>
      <c r="E39" t="s">
        <v>336</v>
      </c>
      <c r="F39" t="s">
        <v>1591</v>
      </c>
      <c r="H39" t="s">
        <v>6601</v>
      </c>
      <c r="I39" t="s">
        <v>1591</v>
      </c>
    </row>
    <row r="40" spans="2:9" x14ac:dyDescent="0.2">
      <c r="B40" t="s">
        <v>682</v>
      </c>
      <c r="C40">
        <v>1020001</v>
      </c>
      <c r="E40" t="s">
        <v>336</v>
      </c>
      <c r="F40" t="s">
        <v>618</v>
      </c>
      <c r="H40" t="s">
        <v>316</v>
      </c>
      <c r="I40" t="s">
        <v>1591</v>
      </c>
    </row>
    <row r="41" spans="2:9" x14ac:dyDescent="0.2">
      <c r="B41" t="s">
        <v>417</v>
      </c>
      <c r="C41">
        <v>1010010</v>
      </c>
      <c r="E41" t="s">
        <v>336</v>
      </c>
      <c r="F41" t="s">
        <v>14997</v>
      </c>
      <c r="H41" t="s">
        <v>6911</v>
      </c>
      <c r="I41" t="s">
        <v>1591</v>
      </c>
    </row>
    <row r="42" spans="2:9" x14ac:dyDescent="0.2">
      <c r="B42" t="s">
        <v>970</v>
      </c>
      <c r="C42">
        <v>1020009</v>
      </c>
      <c r="E42" t="s">
        <v>336</v>
      </c>
      <c r="F42" t="s">
        <v>970</v>
      </c>
      <c r="H42" t="s">
        <v>6601</v>
      </c>
      <c r="I42" t="s">
        <v>336</v>
      </c>
    </row>
    <row r="43" spans="2:9" x14ac:dyDescent="0.2">
      <c r="B43" t="s">
        <v>6893</v>
      </c>
      <c r="C43">
        <v>1010002</v>
      </c>
      <c r="E43" t="s">
        <v>336</v>
      </c>
      <c r="F43" t="s">
        <v>650</v>
      </c>
      <c r="H43" t="s">
        <v>14997</v>
      </c>
      <c r="I43" t="s">
        <v>1591</v>
      </c>
    </row>
    <row r="44" spans="2:9" x14ac:dyDescent="0.2">
      <c r="B44" t="s">
        <v>316</v>
      </c>
      <c r="C44">
        <v>1020004</v>
      </c>
      <c r="E44" t="s">
        <v>682</v>
      </c>
      <c r="F44" t="s">
        <v>7254</v>
      </c>
    </row>
    <row r="45" spans="2:9" x14ac:dyDescent="0.2">
      <c r="B45" t="s">
        <v>1591</v>
      </c>
      <c r="C45">
        <v>1010007</v>
      </c>
      <c r="E45" t="s">
        <v>682</v>
      </c>
      <c r="F45" t="s">
        <v>126</v>
      </c>
    </row>
    <row r="46" spans="2:9" x14ac:dyDescent="0.2">
      <c r="B46" t="s">
        <v>6911</v>
      </c>
      <c r="C46">
        <v>1020002</v>
      </c>
      <c r="E46" t="s">
        <v>682</v>
      </c>
      <c r="F46" t="s">
        <v>316</v>
      </c>
      <c r="H46" t="s">
        <v>1591</v>
      </c>
      <c r="I46" t="s">
        <v>618</v>
      </c>
    </row>
    <row r="47" spans="2:9" x14ac:dyDescent="0.2">
      <c r="E47" t="s">
        <v>682</v>
      </c>
      <c r="F47" t="s">
        <v>1591</v>
      </c>
      <c r="H47" t="s">
        <v>1591</v>
      </c>
      <c r="I47" t="s">
        <v>2974</v>
      </c>
    </row>
    <row r="48" spans="2:9" x14ac:dyDescent="0.2">
      <c r="E48" t="s">
        <v>682</v>
      </c>
      <c r="F48" t="s">
        <v>618</v>
      </c>
      <c r="H48" t="s">
        <v>1591</v>
      </c>
      <c r="I48" t="s">
        <v>682</v>
      </c>
    </row>
    <row r="49" spans="5:9" x14ac:dyDescent="0.2">
      <c r="E49" t="s">
        <v>682</v>
      </c>
      <c r="F49" t="s">
        <v>14997</v>
      </c>
      <c r="H49" t="s">
        <v>417</v>
      </c>
      <c r="I49" t="s">
        <v>1591</v>
      </c>
    </row>
    <row r="50" spans="5:9" x14ac:dyDescent="0.2">
      <c r="E50" t="s">
        <v>682</v>
      </c>
      <c r="F50" t="s">
        <v>970</v>
      </c>
      <c r="H50" t="s">
        <v>417</v>
      </c>
      <c r="I50" t="s">
        <v>970</v>
      </c>
    </row>
    <row r="51" spans="5:9" x14ac:dyDescent="0.2">
      <c r="E51" t="s">
        <v>682</v>
      </c>
      <c r="F51" t="s">
        <v>650</v>
      </c>
      <c r="H51" t="s">
        <v>6601</v>
      </c>
      <c r="I51" t="s">
        <v>970</v>
      </c>
    </row>
    <row r="52" spans="5:9" x14ac:dyDescent="0.2">
      <c r="E52" t="s">
        <v>7254</v>
      </c>
      <c r="F52" t="s">
        <v>126</v>
      </c>
      <c r="H52" t="s">
        <v>6893</v>
      </c>
      <c r="I52" t="s">
        <v>970</v>
      </c>
    </row>
    <row r="53" spans="5:9" x14ac:dyDescent="0.2">
      <c r="E53" t="s">
        <v>7254</v>
      </c>
      <c r="F53" t="s">
        <v>316</v>
      </c>
      <c r="H53" t="s">
        <v>336</v>
      </c>
      <c r="I53" t="s">
        <v>970</v>
      </c>
    </row>
    <row r="54" spans="5:9" x14ac:dyDescent="0.2">
      <c r="E54" t="s">
        <v>7254</v>
      </c>
      <c r="F54" t="s">
        <v>1591</v>
      </c>
      <c r="H54" t="s">
        <v>1591</v>
      </c>
      <c r="I54" t="s">
        <v>970</v>
      </c>
    </row>
    <row r="55" spans="5:9" x14ac:dyDescent="0.2">
      <c r="E55" t="s">
        <v>7254</v>
      </c>
      <c r="F55" t="s">
        <v>618</v>
      </c>
      <c r="H55" t="s">
        <v>14997</v>
      </c>
      <c r="I55" t="s">
        <v>970</v>
      </c>
    </row>
    <row r="56" spans="5:9" x14ac:dyDescent="0.2">
      <c r="E56" t="s">
        <v>7254</v>
      </c>
      <c r="F56" t="s">
        <v>14997</v>
      </c>
      <c r="H56" t="s">
        <v>2974</v>
      </c>
      <c r="I56" t="s">
        <v>970</v>
      </c>
    </row>
    <row r="57" spans="5:9" x14ac:dyDescent="0.2">
      <c r="E57" t="s">
        <v>7254</v>
      </c>
      <c r="F57" t="s">
        <v>970</v>
      </c>
      <c r="H57" t="s">
        <v>336</v>
      </c>
      <c r="I57" t="s">
        <v>316</v>
      </c>
    </row>
    <row r="58" spans="5:9" x14ac:dyDescent="0.2">
      <c r="E58" t="s">
        <v>7254</v>
      </c>
      <c r="F58" t="s">
        <v>650</v>
      </c>
      <c r="H58" t="s">
        <v>336</v>
      </c>
      <c r="I58" t="s">
        <v>1591</v>
      </c>
    </row>
    <row r="59" spans="5:9" x14ac:dyDescent="0.2">
      <c r="E59" t="s">
        <v>126</v>
      </c>
      <c r="F59" t="s">
        <v>316</v>
      </c>
      <c r="H59" t="s">
        <v>336</v>
      </c>
      <c r="I59" t="s">
        <v>618</v>
      </c>
    </row>
    <row r="60" spans="5:9" x14ac:dyDescent="0.2">
      <c r="E60" t="s">
        <v>126</v>
      </c>
      <c r="F60" t="s">
        <v>1591</v>
      </c>
      <c r="H60" t="s">
        <v>336</v>
      </c>
      <c r="I60" t="s">
        <v>2974</v>
      </c>
    </row>
    <row r="61" spans="5:9" x14ac:dyDescent="0.2">
      <c r="E61" t="s">
        <v>126</v>
      </c>
      <c r="F61" t="s">
        <v>618</v>
      </c>
      <c r="H61" t="s">
        <v>336</v>
      </c>
      <c r="I61" t="s">
        <v>682</v>
      </c>
    </row>
    <row r="62" spans="5:9" x14ac:dyDescent="0.2">
      <c r="E62" t="s">
        <v>126</v>
      </c>
      <c r="F62" t="s">
        <v>14997</v>
      </c>
    </row>
    <row r="63" spans="5:9" x14ac:dyDescent="0.2">
      <c r="E63" t="s">
        <v>126</v>
      </c>
      <c r="F63" t="s">
        <v>970</v>
      </c>
    </row>
    <row r="64" spans="5:9" x14ac:dyDescent="0.2">
      <c r="E64" t="s">
        <v>126</v>
      </c>
      <c r="F64" t="s">
        <v>650</v>
      </c>
    </row>
    <row r="65" spans="5:6" x14ac:dyDescent="0.2">
      <c r="E65" t="s">
        <v>316</v>
      </c>
      <c r="F65" t="s">
        <v>1591</v>
      </c>
    </row>
    <row r="66" spans="5:6" x14ac:dyDescent="0.2">
      <c r="E66" t="s">
        <v>316</v>
      </c>
      <c r="F66" t="s">
        <v>618</v>
      </c>
    </row>
    <row r="67" spans="5:6" x14ac:dyDescent="0.2">
      <c r="E67" t="s">
        <v>316</v>
      </c>
      <c r="F67" t="s">
        <v>14997</v>
      </c>
    </row>
    <row r="68" spans="5:6" x14ac:dyDescent="0.2">
      <c r="E68" t="s">
        <v>316</v>
      </c>
      <c r="F68" t="s">
        <v>970</v>
      </c>
    </row>
    <row r="69" spans="5:6" x14ac:dyDescent="0.2">
      <c r="E69" t="s">
        <v>316</v>
      </c>
      <c r="F69" t="s">
        <v>650</v>
      </c>
    </row>
    <row r="70" spans="5:6" x14ac:dyDescent="0.2">
      <c r="E70" t="s">
        <v>1591</v>
      </c>
      <c r="F70" t="s">
        <v>618</v>
      </c>
    </row>
    <row r="71" spans="5:6" x14ac:dyDescent="0.2">
      <c r="E71" t="s">
        <v>1591</v>
      </c>
      <c r="F71" t="s">
        <v>14997</v>
      </c>
    </row>
    <row r="72" spans="5:6" x14ac:dyDescent="0.2">
      <c r="E72" t="s">
        <v>1591</v>
      </c>
      <c r="F72" t="s">
        <v>970</v>
      </c>
    </row>
    <row r="73" spans="5:6" x14ac:dyDescent="0.2">
      <c r="E73" t="s">
        <v>1591</v>
      </c>
      <c r="F73" t="s">
        <v>650</v>
      </c>
    </row>
    <row r="74" spans="5:6" x14ac:dyDescent="0.2">
      <c r="E74" t="s">
        <v>618</v>
      </c>
      <c r="F74" t="s">
        <v>14997</v>
      </c>
    </row>
    <row r="75" spans="5:6" x14ac:dyDescent="0.2">
      <c r="E75" t="s">
        <v>618</v>
      </c>
      <c r="F75" t="s">
        <v>970</v>
      </c>
    </row>
    <row r="76" spans="5:6" x14ac:dyDescent="0.2">
      <c r="E76" t="s">
        <v>618</v>
      </c>
      <c r="F76" t="s">
        <v>650</v>
      </c>
    </row>
    <row r="77" spans="5:6" x14ac:dyDescent="0.2">
      <c r="E77" t="s">
        <v>14997</v>
      </c>
      <c r="F77" t="s">
        <v>970</v>
      </c>
    </row>
    <row r="78" spans="5:6" x14ac:dyDescent="0.2">
      <c r="E78" t="s">
        <v>14997</v>
      </c>
      <c r="F78" t="s">
        <v>650</v>
      </c>
    </row>
    <row r="79" spans="5:6" x14ac:dyDescent="0.2">
      <c r="E79" t="s">
        <v>970</v>
      </c>
      <c r="F79" t="s">
        <v>650</v>
      </c>
    </row>
    <row r="80" spans="5:6" x14ac:dyDescent="0.2">
      <c r="E80" t="s">
        <v>6911</v>
      </c>
      <c r="F80" t="s">
        <v>417</v>
      </c>
    </row>
    <row r="81" spans="5:6" x14ac:dyDescent="0.2">
      <c r="E81" t="s">
        <v>6893</v>
      </c>
      <c r="F81" t="s">
        <v>417</v>
      </c>
    </row>
    <row r="82" spans="5:6" x14ac:dyDescent="0.2">
      <c r="E82" t="s">
        <v>6601</v>
      </c>
      <c r="F82" t="s">
        <v>417</v>
      </c>
    </row>
    <row r="83" spans="5:6" x14ac:dyDescent="0.2">
      <c r="E83" t="s">
        <v>336</v>
      </c>
      <c r="F83" t="s">
        <v>417</v>
      </c>
    </row>
    <row r="84" spans="5:6" x14ac:dyDescent="0.2">
      <c r="E84" t="s">
        <v>682</v>
      </c>
      <c r="F84" t="s">
        <v>417</v>
      </c>
    </row>
    <row r="85" spans="5:6" x14ac:dyDescent="0.2">
      <c r="E85" t="s">
        <v>7254</v>
      </c>
      <c r="F85" t="s">
        <v>417</v>
      </c>
    </row>
    <row r="86" spans="5:6" x14ac:dyDescent="0.2">
      <c r="E86" t="s">
        <v>126</v>
      </c>
      <c r="F86" t="s">
        <v>417</v>
      </c>
    </row>
    <row r="87" spans="5:6" x14ac:dyDescent="0.2">
      <c r="E87" t="s">
        <v>316</v>
      </c>
      <c r="F87" t="s">
        <v>417</v>
      </c>
    </row>
    <row r="88" spans="5:6" x14ac:dyDescent="0.2">
      <c r="E88" t="s">
        <v>1591</v>
      </c>
      <c r="F88" t="s">
        <v>417</v>
      </c>
    </row>
    <row r="89" spans="5:6" x14ac:dyDescent="0.2">
      <c r="E89" t="s">
        <v>618</v>
      </c>
      <c r="F89" t="s">
        <v>417</v>
      </c>
    </row>
    <row r="90" spans="5:6" x14ac:dyDescent="0.2">
      <c r="E90" t="s">
        <v>14997</v>
      </c>
      <c r="F90" t="s">
        <v>417</v>
      </c>
    </row>
    <row r="91" spans="5:6" x14ac:dyDescent="0.2">
      <c r="E91" t="s">
        <v>970</v>
      </c>
      <c r="F91" t="s">
        <v>417</v>
      </c>
    </row>
    <row r="92" spans="5:6" x14ac:dyDescent="0.2">
      <c r="E92" t="s">
        <v>650</v>
      </c>
      <c r="F92" t="s">
        <v>417</v>
      </c>
    </row>
    <row r="93" spans="5:6" x14ac:dyDescent="0.2">
      <c r="E93" t="s">
        <v>6911</v>
      </c>
      <c r="F93" t="s">
        <v>909</v>
      </c>
    </row>
    <row r="94" spans="5:6" x14ac:dyDescent="0.2">
      <c r="E94" t="s">
        <v>6893</v>
      </c>
      <c r="F94" t="s">
        <v>909</v>
      </c>
    </row>
    <row r="95" spans="5:6" x14ac:dyDescent="0.2">
      <c r="E95" t="s">
        <v>6601</v>
      </c>
      <c r="F95" t="s">
        <v>909</v>
      </c>
    </row>
    <row r="96" spans="5:6" x14ac:dyDescent="0.2">
      <c r="E96" t="s">
        <v>336</v>
      </c>
      <c r="F96" t="s">
        <v>909</v>
      </c>
    </row>
    <row r="97" spans="5:6" x14ac:dyDescent="0.2">
      <c r="E97" t="s">
        <v>682</v>
      </c>
      <c r="F97" t="s">
        <v>909</v>
      </c>
    </row>
    <row r="98" spans="5:6" x14ac:dyDescent="0.2">
      <c r="E98" t="s">
        <v>7254</v>
      </c>
      <c r="F98" t="s">
        <v>909</v>
      </c>
    </row>
    <row r="99" spans="5:6" x14ac:dyDescent="0.2">
      <c r="E99" t="s">
        <v>126</v>
      </c>
      <c r="F99" t="s">
        <v>909</v>
      </c>
    </row>
    <row r="100" spans="5:6" x14ac:dyDescent="0.2">
      <c r="E100" t="s">
        <v>14997</v>
      </c>
      <c r="F100" t="s">
        <v>909</v>
      </c>
    </row>
  </sheetData>
  <sortState xmlns:xlrd2="http://schemas.microsoft.com/office/spreadsheetml/2017/richdata2" ref="B35:C46">
    <sortCondition ref="B35:B46"/>
  </sortState>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A84ABA-081C-4C8F-9E6D-AB0F5A7E5252}">
  <sheetPr>
    <pageSetUpPr fitToPage="1"/>
  </sheetPr>
  <dimension ref="A1:J62"/>
  <sheetViews>
    <sheetView zoomScaleNormal="100" workbookViewId="0"/>
  </sheetViews>
  <sheetFormatPr defaultRowHeight="14.25" x14ac:dyDescent="0.2"/>
  <cols>
    <col min="1" max="1" width="20.75" bestFit="1" customWidth="1"/>
    <col min="2" max="2" width="25.875" bestFit="1" customWidth="1"/>
    <col min="3" max="4" width="9.375" bestFit="1" customWidth="1"/>
    <col min="5" max="5" width="7.125" bestFit="1" customWidth="1"/>
    <col min="6" max="6" width="3.5" bestFit="1" customWidth="1"/>
    <col min="7" max="7" width="5.75" bestFit="1" customWidth="1"/>
    <col min="8" max="9" width="12.125" bestFit="1" customWidth="1"/>
    <col min="10" max="10" width="9.75" bestFit="1" customWidth="1"/>
  </cols>
  <sheetData>
    <row r="1" spans="1:10" x14ac:dyDescent="0.2">
      <c r="A1" s="95" t="s">
        <v>95</v>
      </c>
      <c r="B1" s="67" t="s">
        <v>121</v>
      </c>
      <c r="C1" s="67" t="s">
        <v>22193</v>
      </c>
      <c r="D1" s="67" t="s">
        <v>22194</v>
      </c>
      <c r="E1" s="67" t="s">
        <v>22195</v>
      </c>
      <c r="F1" s="67" t="s">
        <v>22196</v>
      </c>
      <c r="G1" s="67" t="s">
        <v>22197</v>
      </c>
      <c r="H1" s="67" t="s">
        <v>22198</v>
      </c>
      <c r="I1" s="67" t="s">
        <v>22199</v>
      </c>
      <c r="J1" s="97" t="s">
        <v>22200</v>
      </c>
    </row>
    <row r="2" spans="1:10" x14ac:dyDescent="0.2">
      <c r="A2" s="64" t="s">
        <v>123</v>
      </c>
      <c r="B2" s="65" t="s">
        <v>22201</v>
      </c>
      <c r="C2" s="329">
        <v>0.9</v>
      </c>
      <c r="D2" s="329">
        <v>1.05</v>
      </c>
      <c r="E2" s="65">
        <v>150</v>
      </c>
      <c r="F2" s="65">
        <v>1</v>
      </c>
      <c r="G2" s="65">
        <v>2</v>
      </c>
      <c r="H2" s="329">
        <v>0.9</v>
      </c>
      <c r="I2" s="329">
        <v>1.05</v>
      </c>
      <c r="J2" s="66">
        <v>150</v>
      </c>
    </row>
    <row r="3" spans="1:10" x14ac:dyDescent="0.2">
      <c r="A3" s="306" t="s">
        <v>123</v>
      </c>
      <c r="B3" s="261" t="s">
        <v>22202</v>
      </c>
      <c r="C3" s="328">
        <v>0.96</v>
      </c>
      <c r="D3" s="328">
        <v>1.1499999999999999</v>
      </c>
      <c r="E3" s="261">
        <v>150</v>
      </c>
      <c r="F3" s="261">
        <v>1</v>
      </c>
      <c r="G3" s="261">
        <v>2</v>
      </c>
      <c r="H3" s="328">
        <v>1</v>
      </c>
      <c r="I3" s="328">
        <v>1.1499999999999999</v>
      </c>
      <c r="J3" s="330">
        <v>150</v>
      </c>
    </row>
    <row r="4" spans="1:10" x14ac:dyDescent="0.2">
      <c r="A4" s="306" t="s">
        <v>123</v>
      </c>
      <c r="B4" s="261" t="s">
        <v>22203</v>
      </c>
      <c r="C4" s="328">
        <v>1.1399999999999999</v>
      </c>
      <c r="D4" s="328">
        <v>1.37</v>
      </c>
      <c r="E4" s="261">
        <v>196</v>
      </c>
      <c r="F4" s="261">
        <v>1</v>
      </c>
      <c r="G4" s="261">
        <v>2</v>
      </c>
      <c r="H4" s="328">
        <v>1.1499999999999999</v>
      </c>
      <c r="I4" s="328">
        <v>1.4</v>
      </c>
      <c r="J4" s="330">
        <v>200</v>
      </c>
    </row>
    <row r="5" spans="1:10" x14ac:dyDescent="0.2">
      <c r="A5" s="306" t="s">
        <v>123</v>
      </c>
      <c r="B5" s="261" t="s">
        <v>22204</v>
      </c>
      <c r="C5" s="328">
        <v>1.2</v>
      </c>
      <c r="D5" s="328">
        <v>1.44</v>
      </c>
      <c r="E5" s="261">
        <v>265</v>
      </c>
      <c r="F5" s="261">
        <v>1</v>
      </c>
      <c r="G5" s="261">
        <v>2</v>
      </c>
      <c r="H5" s="328">
        <v>1.2</v>
      </c>
      <c r="I5" s="328">
        <v>1.45</v>
      </c>
      <c r="J5" s="330">
        <v>265</v>
      </c>
    </row>
    <row r="6" spans="1:10" x14ac:dyDescent="0.2">
      <c r="A6" s="306" t="s">
        <v>123</v>
      </c>
      <c r="B6" s="261" t="s">
        <v>22205</v>
      </c>
      <c r="C6" s="328">
        <v>1.8</v>
      </c>
      <c r="D6" s="328">
        <v>2.16</v>
      </c>
      <c r="E6" s="261">
        <v>391</v>
      </c>
      <c r="F6" s="261">
        <v>1</v>
      </c>
      <c r="G6" s="261">
        <v>2</v>
      </c>
      <c r="H6" s="328">
        <v>1.8</v>
      </c>
      <c r="I6" s="328">
        <v>2.2000000000000002</v>
      </c>
      <c r="J6" s="330">
        <v>395</v>
      </c>
    </row>
    <row r="7" spans="1:10" x14ac:dyDescent="0.2">
      <c r="A7" s="306" t="s">
        <v>123</v>
      </c>
      <c r="B7" s="261" t="s">
        <v>22206</v>
      </c>
      <c r="C7" s="328">
        <v>1.8</v>
      </c>
      <c r="D7" s="328">
        <v>2.16</v>
      </c>
      <c r="E7" s="261">
        <v>391</v>
      </c>
      <c r="F7" s="261">
        <v>1</v>
      </c>
      <c r="G7" s="261">
        <v>2</v>
      </c>
      <c r="H7" s="328">
        <v>1.8</v>
      </c>
      <c r="I7" s="328">
        <v>2.2000000000000002</v>
      </c>
      <c r="J7" s="330">
        <v>395</v>
      </c>
    </row>
    <row r="8" spans="1:10" x14ac:dyDescent="0.2">
      <c r="A8" s="306" t="s">
        <v>123</v>
      </c>
      <c r="B8" s="261" t="s">
        <v>22207</v>
      </c>
      <c r="C8" s="328">
        <v>0.95</v>
      </c>
      <c r="D8" s="328">
        <v>0.95</v>
      </c>
      <c r="E8" s="261">
        <v>143</v>
      </c>
      <c r="F8" s="261">
        <v>1</v>
      </c>
      <c r="G8" s="261">
        <v>2</v>
      </c>
      <c r="H8" s="328">
        <v>0.95</v>
      </c>
      <c r="I8" s="328">
        <v>1</v>
      </c>
      <c r="J8" s="330">
        <v>145</v>
      </c>
    </row>
    <row r="9" spans="1:10" x14ac:dyDescent="0.2">
      <c r="A9" s="306" t="s">
        <v>330</v>
      </c>
      <c r="B9" s="261" t="s">
        <v>22201</v>
      </c>
      <c r="C9" s="328">
        <v>1.1599999999999999</v>
      </c>
      <c r="D9" s="328">
        <v>1.28</v>
      </c>
      <c r="E9" s="261">
        <v>130</v>
      </c>
      <c r="F9" s="261">
        <v>1</v>
      </c>
      <c r="G9" s="261">
        <v>1.5</v>
      </c>
      <c r="H9" s="328">
        <v>1.2</v>
      </c>
      <c r="I9" s="328">
        <v>1.3</v>
      </c>
      <c r="J9" s="330">
        <v>130</v>
      </c>
    </row>
    <row r="10" spans="1:10" x14ac:dyDescent="0.2">
      <c r="A10" s="306" t="s">
        <v>330</v>
      </c>
      <c r="B10" s="261" t="s">
        <v>22202</v>
      </c>
      <c r="C10" s="328">
        <v>1.1599999999999999</v>
      </c>
      <c r="D10" s="328">
        <v>1.28</v>
      </c>
      <c r="E10" s="261">
        <v>130</v>
      </c>
      <c r="F10" s="261">
        <v>1</v>
      </c>
      <c r="G10" s="261">
        <v>2</v>
      </c>
      <c r="H10" s="328">
        <v>1.2</v>
      </c>
      <c r="I10" s="328">
        <v>1.3</v>
      </c>
      <c r="J10" s="330">
        <v>130</v>
      </c>
    </row>
    <row r="11" spans="1:10" x14ac:dyDescent="0.2">
      <c r="A11" s="306" t="s">
        <v>330</v>
      </c>
      <c r="B11" s="261" t="s">
        <v>22203</v>
      </c>
      <c r="C11" s="328">
        <v>0.76</v>
      </c>
      <c r="D11" s="328">
        <v>0.84</v>
      </c>
      <c r="E11" s="261">
        <v>220</v>
      </c>
      <c r="F11" s="261">
        <v>2</v>
      </c>
      <c r="G11" s="261">
        <v>2</v>
      </c>
      <c r="H11" s="328">
        <v>0.8</v>
      </c>
      <c r="I11" s="328">
        <v>0.85</v>
      </c>
      <c r="J11" s="330">
        <v>220</v>
      </c>
    </row>
    <row r="12" spans="1:10" x14ac:dyDescent="0.2">
      <c r="A12" s="306" t="s">
        <v>330</v>
      </c>
      <c r="B12" s="261" t="s">
        <v>22204</v>
      </c>
      <c r="C12" s="328">
        <v>1.55</v>
      </c>
      <c r="D12" s="328">
        <v>1.71</v>
      </c>
      <c r="E12" s="261">
        <v>360</v>
      </c>
      <c r="F12" s="261">
        <v>1</v>
      </c>
      <c r="G12" s="261">
        <v>2</v>
      </c>
      <c r="H12" s="328">
        <v>1.55</v>
      </c>
      <c r="I12" s="328">
        <v>1.75</v>
      </c>
      <c r="J12" s="330">
        <v>360</v>
      </c>
    </row>
    <row r="13" spans="1:10" x14ac:dyDescent="0.2">
      <c r="A13" s="306" t="s">
        <v>330</v>
      </c>
      <c r="B13" s="261" t="s">
        <v>22208</v>
      </c>
      <c r="C13" s="328">
        <v>1.72</v>
      </c>
      <c r="D13" s="328">
        <v>1.89</v>
      </c>
      <c r="E13" s="261">
        <v>900</v>
      </c>
      <c r="F13" s="261">
        <v>1</v>
      </c>
      <c r="G13" s="261">
        <v>4</v>
      </c>
      <c r="H13" s="328">
        <v>1.75</v>
      </c>
      <c r="I13" s="328">
        <v>1.9</v>
      </c>
      <c r="J13" s="330">
        <v>900</v>
      </c>
    </row>
    <row r="14" spans="1:10" x14ac:dyDescent="0.2">
      <c r="A14" s="306" t="s">
        <v>330</v>
      </c>
      <c r="B14" s="261" t="s">
        <v>22209</v>
      </c>
      <c r="C14" s="328">
        <v>1.72</v>
      </c>
      <c r="D14" s="328">
        <v>1.89</v>
      </c>
      <c r="E14" s="261">
        <v>900</v>
      </c>
      <c r="F14" s="261">
        <v>1</v>
      </c>
      <c r="G14" s="261">
        <v>4</v>
      </c>
      <c r="H14" s="328">
        <v>1.75</v>
      </c>
      <c r="I14" s="328">
        <v>1.9</v>
      </c>
      <c r="J14" s="330">
        <v>900</v>
      </c>
    </row>
    <row r="15" spans="1:10" x14ac:dyDescent="0.2">
      <c r="A15" s="306" t="s">
        <v>330</v>
      </c>
      <c r="B15" s="261" t="s">
        <v>22207</v>
      </c>
      <c r="C15" s="328">
        <v>0.94</v>
      </c>
      <c r="D15" s="328">
        <v>0.94</v>
      </c>
      <c r="E15" s="261">
        <v>104</v>
      </c>
      <c r="F15" s="261">
        <v>1</v>
      </c>
      <c r="G15" s="261">
        <v>2</v>
      </c>
      <c r="H15" s="328">
        <v>0.95</v>
      </c>
      <c r="I15" s="328">
        <v>1</v>
      </c>
      <c r="J15" s="330">
        <v>105</v>
      </c>
    </row>
    <row r="16" spans="1:10" x14ac:dyDescent="0.2">
      <c r="A16" s="306" t="s">
        <v>429</v>
      </c>
      <c r="B16" s="261" t="s">
        <v>22201</v>
      </c>
      <c r="C16" s="328">
        <v>0.9</v>
      </c>
      <c r="D16" s="328">
        <v>1.08</v>
      </c>
      <c r="E16" s="261">
        <v>144</v>
      </c>
      <c r="F16" s="261">
        <v>1</v>
      </c>
      <c r="G16" s="261">
        <v>2.5</v>
      </c>
      <c r="H16" s="328">
        <v>0.9</v>
      </c>
      <c r="I16" s="328">
        <v>1.1000000000000001</v>
      </c>
      <c r="J16" s="330">
        <v>145</v>
      </c>
    </row>
    <row r="17" spans="1:10" x14ac:dyDescent="0.2">
      <c r="A17" s="306" t="s">
        <v>429</v>
      </c>
      <c r="B17" s="261" t="s">
        <v>22202</v>
      </c>
      <c r="C17" s="328">
        <v>0.46</v>
      </c>
      <c r="D17" s="328">
        <v>0.55000000000000004</v>
      </c>
      <c r="E17" s="261">
        <v>144</v>
      </c>
      <c r="F17" s="261">
        <v>2</v>
      </c>
      <c r="G17" s="261">
        <v>2.5</v>
      </c>
      <c r="H17" s="328">
        <v>0.5</v>
      </c>
      <c r="I17" s="328">
        <v>0.55000000000000004</v>
      </c>
      <c r="J17" s="330">
        <v>145</v>
      </c>
    </row>
    <row r="18" spans="1:10" x14ac:dyDescent="0.2">
      <c r="A18" s="306" t="s">
        <v>429</v>
      </c>
      <c r="B18" s="261" t="s">
        <v>22203</v>
      </c>
      <c r="C18" s="328">
        <v>0.65</v>
      </c>
      <c r="D18" s="328">
        <v>0.78</v>
      </c>
      <c r="E18" s="261">
        <v>264</v>
      </c>
      <c r="F18" s="261">
        <v>2</v>
      </c>
      <c r="G18" s="261">
        <v>2.5</v>
      </c>
      <c r="H18" s="328">
        <v>0.65</v>
      </c>
      <c r="I18" s="328">
        <v>0.8</v>
      </c>
      <c r="J18" s="330">
        <v>265</v>
      </c>
    </row>
    <row r="19" spans="1:10" x14ac:dyDescent="0.2">
      <c r="A19" s="306" t="s">
        <v>429</v>
      </c>
      <c r="B19" s="261" t="s">
        <v>22204</v>
      </c>
      <c r="C19" s="328">
        <v>1.43</v>
      </c>
      <c r="D19" s="328">
        <v>1.71</v>
      </c>
      <c r="E19" s="261">
        <v>288</v>
      </c>
      <c r="F19" s="261">
        <v>1</v>
      </c>
      <c r="G19" s="261">
        <v>2.5</v>
      </c>
      <c r="H19" s="328">
        <v>1.45</v>
      </c>
      <c r="I19" s="328">
        <v>1.75</v>
      </c>
      <c r="J19" s="330">
        <v>290</v>
      </c>
    </row>
    <row r="20" spans="1:10" x14ac:dyDescent="0.2">
      <c r="A20" s="306" t="s">
        <v>429</v>
      </c>
      <c r="B20" s="261" t="s">
        <v>22210</v>
      </c>
      <c r="C20" s="328">
        <v>1.8</v>
      </c>
      <c r="D20" s="328">
        <v>2.16</v>
      </c>
      <c r="E20" s="261">
        <v>480</v>
      </c>
      <c r="F20" s="261">
        <v>1</v>
      </c>
      <c r="G20" s="261">
        <v>2.5</v>
      </c>
      <c r="H20" s="328">
        <v>1.8</v>
      </c>
      <c r="I20" s="328">
        <v>2.2000000000000002</v>
      </c>
      <c r="J20" s="330">
        <v>480</v>
      </c>
    </row>
    <row r="21" spans="1:10" x14ac:dyDescent="0.2">
      <c r="A21" s="306" t="s">
        <v>429</v>
      </c>
      <c r="B21" s="261" t="s">
        <v>22207</v>
      </c>
      <c r="C21" s="328">
        <v>0.85</v>
      </c>
      <c r="D21" s="328">
        <v>0.85</v>
      </c>
      <c r="E21" s="261">
        <v>132</v>
      </c>
      <c r="F21" s="261">
        <v>1</v>
      </c>
      <c r="G21" s="261">
        <v>2.5</v>
      </c>
      <c r="H21" s="328">
        <v>0.85</v>
      </c>
      <c r="I21" s="328">
        <v>0.85</v>
      </c>
      <c r="J21" s="330">
        <v>135</v>
      </c>
    </row>
    <row r="22" spans="1:10" x14ac:dyDescent="0.2">
      <c r="A22" s="306" t="s">
        <v>543</v>
      </c>
      <c r="B22" s="261" t="s">
        <v>22201</v>
      </c>
      <c r="C22" s="328">
        <v>1.37</v>
      </c>
      <c r="D22" s="328">
        <v>1.51</v>
      </c>
      <c r="E22" s="261">
        <v>200</v>
      </c>
      <c r="F22" s="261">
        <v>1</v>
      </c>
      <c r="G22" s="261">
        <v>2</v>
      </c>
      <c r="H22" s="328">
        <v>1.4</v>
      </c>
      <c r="I22" s="328">
        <v>1.55</v>
      </c>
      <c r="J22" s="330">
        <v>200</v>
      </c>
    </row>
    <row r="23" spans="1:10" x14ac:dyDescent="0.2">
      <c r="A23" s="306" t="s">
        <v>543</v>
      </c>
      <c r="B23" s="261" t="s">
        <v>22202</v>
      </c>
      <c r="C23" s="328">
        <v>1.46</v>
      </c>
      <c r="D23" s="328">
        <v>1.61</v>
      </c>
      <c r="E23" s="261">
        <v>240</v>
      </c>
      <c r="F23" s="261">
        <v>1</v>
      </c>
      <c r="G23" s="261">
        <v>2.5</v>
      </c>
      <c r="H23" s="328">
        <v>1.5</v>
      </c>
      <c r="I23" s="328">
        <v>1.65</v>
      </c>
      <c r="J23" s="330">
        <v>240</v>
      </c>
    </row>
    <row r="24" spans="1:10" x14ac:dyDescent="0.2">
      <c r="A24" s="306" t="s">
        <v>543</v>
      </c>
      <c r="B24" s="261" t="s">
        <v>22203</v>
      </c>
      <c r="C24" s="328">
        <v>2.4500000000000002</v>
      </c>
      <c r="D24" s="328">
        <v>2.7</v>
      </c>
      <c r="E24" s="261">
        <v>360</v>
      </c>
      <c r="F24" s="261">
        <v>1</v>
      </c>
      <c r="G24" s="261">
        <v>2.5</v>
      </c>
      <c r="H24" s="328">
        <v>2.4500000000000002</v>
      </c>
      <c r="I24" s="328">
        <v>2.7</v>
      </c>
      <c r="J24" s="330">
        <v>360</v>
      </c>
    </row>
    <row r="25" spans="1:10" x14ac:dyDescent="0.2">
      <c r="A25" s="306" t="s">
        <v>543</v>
      </c>
      <c r="B25" s="261" t="s">
        <v>22211</v>
      </c>
      <c r="C25" s="328">
        <v>2.59</v>
      </c>
      <c r="D25" s="328">
        <v>2.85</v>
      </c>
      <c r="E25" s="261">
        <v>380</v>
      </c>
      <c r="F25" s="261">
        <v>1</v>
      </c>
      <c r="G25" s="261">
        <v>2.5</v>
      </c>
      <c r="H25" s="328">
        <v>2.6</v>
      </c>
      <c r="I25" s="328">
        <v>2.85</v>
      </c>
      <c r="J25" s="330">
        <v>380</v>
      </c>
    </row>
    <row r="26" spans="1:10" x14ac:dyDescent="0.2">
      <c r="A26" s="306" t="s">
        <v>543</v>
      </c>
      <c r="B26" s="261" t="s">
        <v>22210</v>
      </c>
      <c r="C26" s="328">
        <v>2.74</v>
      </c>
      <c r="D26" s="328">
        <v>3.01</v>
      </c>
      <c r="E26" s="261">
        <v>420</v>
      </c>
      <c r="F26" s="261">
        <v>1</v>
      </c>
      <c r="G26" s="261">
        <v>2.5</v>
      </c>
      <c r="H26" s="328">
        <v>2.75</v>
      </c>
      <c r="I26" s="328">
        <v>3.05</v>
      </c>
      <c r="J26" s="330">
        <v>420</v>
      </c>
    </row>
    <row r="27" spans="1:10" x14ac:dyDescent="0.2">
      <c r="A27" s="306" t="s">
        <v>543</v>
      </c>
      <c r="B27" s="261" t="s">
        <v>22207</v>
      </c>
      <c r="C27" s="328">
        <v>0.73</v>
      </c>
      <c r="D27" s="328">
        <v>0.73</v>
      </c>
      <c r="E27" s="261">
        <v>160</v>
      </c>
      <c r="F27" s="261">
        <v>1</v>
      </c>
      <c r="G27" s="261">
        <v>2</v>
      </c>
      <c r="H27" s="328">
        <v>0.75</v>
      </c>
      <c r="I27" s="328">
        <v>0.75</v>
      </c>
      <c r="J27" s="330">
        <v>160</v>
      </c>
    </row>
    <row r="28" spans="1:10" x14ac:dyDescent="0.2">
      <c r="A28" s="306" t="s">
        <v>645</v>
      </c>
      <c r="B28" s="261" t="s">
        <v>22201</v>
      </c>
      <c r="C28" s="328">
        <v>1.01</v>
      </c>
      <c r="D28" s="328">
        <v>1.1100000000000001</v>
      </c>
      <c r="E28" s="261">
        <v>120</v>
      </c>
      <c r="F28" s="261">
        <v>1</v>
      </c>
      <c r="G28" s="261">
        <v>2.5</v>
      </c>
      <c r="H28" s="328">
        <v>1.05</v>
      </c>
      <c r="I28" s="328">
        <v>1.1499999999999999</v>
      </c>
      <c r="J28" s="330">
        <v>120</v>
      </c>
    </row>
    <row r="29" spans="1:10" x14ac:dyDescent="0.2">
      <c r="A29" s="306" t="s">
        <v>645</v>
      </c>
      <c r="B29" s="261" t="s">
        <v>22202</v>
      </c>
      <c r="C29" s="328">
        <v>0.54</v>
      </c>
      <c r="D29" s="328">
        <v>0.59</v>
      </c>
      <c r="E29" s="261">
        <v>240</v>
      </c>
      <c r="F29" s="261">
        <v>2</v>
      </c>
      <c r="G29" s="261">
        <v>3</v>
      </c>
      <c r="H29" s="328">
        <v>0.55000000000000004</v>
      </c>
      <c r="I29" s="328">
        <v>0.6</v>
      </c>
      <c r="J29" s="330">
        <v>240</v>
      </c>
    </row>
    <row r="30" spans="1:10" x14ac:dyDescent="0.2">
      <c r="A30" s="306" t="s">
        <v>645</v>
      </c>
      <c r="B30" s="261" t="s">
        <v>22203</v>
      </c>
      <c r="C30" s="328">
        <v>1.3</v>
      </c>
      <c r="D30" s="328">
        <v>1.43</v>
      </c>
      <c r="E30" s="261">
        <v>120</v>
      </c>
      <c r="F30" s="261">
        <v>1</v>
      </c>
      <c r="G30" s="261">
        <v>3</v>
      </c>
      <c r="H30" s="328">
        <v>1.3</v>
      </c>
      <c r="I30" s="328">
        <v>1.45</v>
      </c>
      <c r="J30" s="330">
        <v>120</v>
      </c>
    </row>
    <row r="31" spans="1:10" x14ac:dyDescent="0.2">
      <c r="A31" s="306" t="s">
        <v>645</v>
      </c>
      <c r="B31" s="261" t="s">
        <v>22204</v>
      </c>
      <c r="C31" s="328">
        <v>1.8</v>
      </c>
      <c r="D31" s="328">
        <v>1.98</v>
      </c>
      <c r="E31" s="261">
        <v>480</v>
      </c>
      <c r="F31" s="261">
        <v>1</v>
      </c>
      <c r="G31" s="261">
        <v>3</v>
      </c>
      <c r="H31" s="328">
        <v>1.8</v>
      </c>
      <c r="I31" s="328">
        <v>2</v>
      </c>
      <c r="J31" s="330">
        <v>480</v>
      </c>
    </row>
    <row r="32" spans="1:10" x14ac:dyDescent="0.2">
      <c r="A32" s="306" t="s">
        <v>645</v>
      </c>
      <c r="B32" s="261" t="s">
        <v>22210</v>
      </c>
      <c r="C32" s="328">
        <v>1.34</v>
      </c>
      <c r="D32" s="328">
        <v>1.47</v>
      </c>
      <c r="E32" s="261">
        <v>600</v>
      </c>
      <c r="F32" s="261">
        <v>1</v>
      </c>
      <c r="G32" s="261">
        <v>3</v>
      </c>
      <c r="H32" s="328">
        <v>1.34</v>
      </c>
      <c r="I32" s="328">
        <v>1.5</v>
      </c>
      <c r="J32" s="330">
        <v>600</v>
      </c>
    </row>
    <row r="33" spans="1:10" x14ac:dyDescent="0.2">
      <c r="A33" s="306" t="s">
        <v>645</v>
      </c>
      <c r="B33" s="261" t="s">
        <v>22207</v>
      </c>
      <c r="C33" s="328">
        <v>0.89</v>
      </c>
      <c r="D33" s="328">
        <v>0.89</v>
      </c>
      <c r="E33" s="261">
        <v>111</v>
      </c>
      <c r="F33" s="261">
        <v>1</v>
      </c>
      <c r="G33" s="261">
        <v>2</v>
      </c>
      <c r="H33" s="328">
        <v>0.9</v>
      </c>
      <c r="I33" s="328">
        <v>0.95</v>
      </c>
      <c r="J33" s="330">
        <v>115</v>
      </c>
    </row>
    <row r="34" spans="1:10" x14ac:dyDescent="0.2">
      <c r="A34" s="306" t="s">
        <v>759</v>
      </c>
      <c r="B34" s="261" t="s">
        <v>22201</v>
      </c>
      <c r="C34" s="328">
        <v>0.35</v>
      </c>
      <c r="D34" s="328">
        <v>0.44</v>
      </c>
      <c r="E34" s="261">
        <v>184</v>
      </c>
      <c r="F34" s="261">
        <v>3</v>
      </c>
      <c r="G34" s="261">
        <v>5</v>
      </c>
      <c r="H34" s="328">
        <v>0.35</v>
      </c>
      <c r="I34" s="328">
        <v>0.45</v>
      </c>
      <c r="J34" s="330">
        <v>185</v>
      </c>
    </row>
    <row r="35" spans="1:10" x14ac:dyDescent="0.2">
      <c r="A35" s="306" t="s">
        <v>759</v>
      </c>
      <c r="B35" s="261" t="s">
        <v>22202</v>
      </c>
      <c r="C35" s="328">
        <v>0.44</v>
      </c>
      <c r="D35" s="328">
        <v>0.55000000000000004</v>
      </c>
      <c r="E35" s="261">
        <v>92</v>
      </c>
      <c r="F35" s="261">
        <v>2</v>
      </c>
      <c r="G35" s="261">
        <v>5.5</v>
      </c>
      <c r="H35" s="328">
        <v>0.45</v>
      </c>
      <c r="I35" s="328">
        <v>0.55000000000000004</v>
      </c>
      <c r="J35" s="330">
        <v>95</v>
      </c>
    </row>
    <row r="36" spans="1:10" x14ac:dyDescent="0.2">
      <c r="A36" s="306" t="s">
        <v>759</v>
      </c>
      <c r="B36" s="261" t="s">
        <v>22203</v>
      </c>
      <c r="C36" s="328">
        <v>0.5</v>
      </c>
      <c r="D36" s="328">
        <v>0.63</v>
      </c>
      <c r="E36" s="261">
        <v>276</v>
      </c>
      <c r="F36" s="261">
        <v>3</v>
      </c>
      <c r="G36" s="261">
        <v>5.5</v>
      </c>
      <c r="H36" s="328">
        <v>0.5</v>
      </c>
      <c r="I36" s="328">
        <v>0.65</v>
      </c>
      <c r="J36" s="330">
        <v>280</v>
      </c>
    </row>
    <row r="37" spans="1:10" x14ac:dyDescent="0.2">
      <c r="A37" s="306" t="s">
        <v>759</v>
      </c>
      <c r="B37" s="261" t="s">
        <v>22204</v>
      </c>
      <c r="C37" s="328">
        <v>0.76</v>
      </c>
      <c r="D37" s="328">
        <v>0.95</v>
      </c>
      <c r="E37" s="261">
        <v>414</v>
      </c>
      <c r="F37" s="261">
        <v>2</v>
      </c>
      <c r="G37" s="261">
        <v>5.5</v>
      </c>
      <c r="H37" s="328">
        <v>0.8</v>
      </c>
      <c r="I37" s="328">
        <v>0.95</v>
      </c>
      <c r="J37" s="330">
        <v>415</v>
      </c>
    </row>
    <row r="38" spans="1:10" x14ac:dyDescent="0.2">
      <c r="A38" s="306" t="s">
        <v>759</v>
      </c>
      <c r="B38" s="261" t="s">
        <v>22210</v>
      </c>
      <c r="C38" s="328">
        <v>0.42</v>
      </c>
      <c r="D38" s="328">
        <v>0.53</v>
      </c>
      <c r="E38" s="261">
        <v>529</v>
      </c>
      <c r="F38" s="261">
        <v>5</v>
      </c>
      <c r="G38" s="261">
        <v>5.5</v>
      </c>
      <c r="H38" s="328">
        <v>0.45</v>
      </c>
      <c r="I38" s="328">
        <v>0.55000000000000004</v>
      </c>
      <c r="J38" s="330">
        <v>530</v>
      </c>
    </row>
    <row r="39" spans="1:10" x14ac:dyDescent="0.2">
      <c r="A39" s="306" t="s">
        <v>759</v>
      </c>
      <c r="B39" s="261" t="s">
        <v>22207</v>
      </c>
      <c r="C39" s="328">
        <v>0.3</v>
      </c>
      <c r="D39" s="328">
        <v>0.3</v>
      </c>
      <c r="E39" s="261">
        <v>208</v>
      </c>
      <c r="F39" s="261">
        <v>3</v>
      </c>
      <c r="G39" s="261">
        <v>2</v>
      </c>
      <c r="H39" s="328">
        <v>0.3</v>
      </c>
      <c r="I39" s="328">
        <v>0.35</v>
      </c>
      <c r="J39" s="330">
        <v>210</v>
      </c>
    </row>
    <row r="40" spans="1:10" x14ac:dyDescent="0.2">
      <c r="A40" s="306" t="s">
        <v>839</v>
      </c>
      <c r="B40" s="261" t="s">
        <v>22201</v>
      </c>
      <c r="C40" s="328">
        <v>1.18</v>
      </c>
      <c r="D40" s="328">
        <v>1.36</v>
      </c>
      <c r="E40" s="261">
        <v>130</v>
      </c>
      <c r="F40" s="261">
        <v>1</v>
      </c>
      <c r="G40" s="261">
        <v>6</v>
      </c>
      <c r="H40" s="328">
        <v>1.2</v>
      </c>
      <c r="I40" s="328">
        <v>1.4</v>
      </c>
      <c r="J40" s="330">
        <v>130</v>
      </c>
    </row>
    <row r="41" spans="1:10" x14ac:dyDescent="0.2">
      <c r="A41" s="306" t="s">
        <v>839</v>
      </c>
      <c r="B41" s="261" t="s">
        <v>22202</v>
      </c>
      <c r="C41" s="328">
        <v>0.64</v>
      </c>
      <c r="D41" s="328">
        <v>0.74</v>
      </c>
      <c r="E41" s="261">
        <v>200</v>
      </c>
      <c r="F41" s="261">
        <v>2</v>
      </c>
      <c r="G41" s="261">
        <v>6.5</v>
      </c>
      <c r="H41" s="328">
        <v>0.65</v>
      </c>
      <c r="I41" s="328">
        <v>0.75</v>
      </c>
      <c r="J41" s="330">
        <v>200</v>
      </c>
    </row>
    <row r="42" spans="1:10" x14ac:dyDescent="0.2">
      <c r="A42" s="306" t="s">
        <v>839</v>
      </c>
      <c r="B42" s="261" t="s">
        <v>22203</v>
      </c>
      <c r="C42" s="328">
        <v>0.43</v>
      </c>
      <c r="D42" s="328">
        <v>0.49</v>
      </c>
      <c r="E42" s="261">
        <v>240</v>
      </c>
      <c r="F42" s="261">
        <v>3</v>
      </c>
      <c r="G42" s="261">
        <v>6.5</v>
      </c>
      <c r="H42" s="328">
        <v>0.45</v>
      </c>
      <c r="I42" s="328">
        <v>0.5</v>
      </c>
      <c r="J42" s="330">
        <v>240</v>
      </c>
    </row>
    <row r="43" spans="1:10" x14ac:dyDescent="0.2">
      <c r="A43" s="306" t="s">
        <v>839</v>
      </c>
      <c r="B43" s="261" t="s">
        <v>22204</v>
      </c>
      <c r="C43" s="328">
        <v>0.94</v>
      </c>
      <c r="D43" s="328">
        <v>1.08</v>
      </c>
      <c r="E43" s="261">
        <v>430</v>
      </c>
      <c r="F43" s="261">
        <v>2</v>
      </c>
      <c r="G43" s="261">
        <v>6.5</v>
      </c>
      <c r="H43" s="328">
        <v>0.95</v>
      </c>
      <c r="I43" s="328">
        <v>1.1000000000000001</v>
      </c>
      <c r="J43" s="330">
        <v>430</v>
      </c>
    </row>
    <row r="44" spans="1:10" x14ac:dyDescent="0.2">
      <c r="A44" s="306" t="s">
        <v>839</v>
      </c>
      <c r="B44" s="261" t="s">
        <v>22212</v>
      </c>
      <c r="C44" s="328">
        <v>0.74</v>
      </c>
      <c r="D44" s="328">
        <v>0.85</v>
      </c>
      <c r="E44" s="261">
        <v>600</v>
      </c>
      <c r="F44" s="261">
        <v>1</v>
      </c>
      <c r="G44" s="261">
        <v>6.5</v>
      </c>
      <c r="H44" s="328">
        <v>0.75</v>
      </c>
      <c r="I44" s="328">
        <v>0.85</v>
      </c>
      <c r="J44" s="330">
        <v>600</v>
      </c>
    </row>
    <row r="45" spans="1:10" x14ac:dyDescent="0.2">
      <c r="A45" s="306" t="s">
        <v>839</v>
      </c>
      <c r="B45" s="261" t="s">
        <v>22213</v>
      </c>
      <c r="C45" s="328">
        <v>0.43</v>
      </c>
      <c r="D45" s="328">
        <v>0.49</v>
      </c>
      <c r="E45" s="261">
        <v>600</v>
      </c>
      <c r="F45" s="261">
        <v>4</v>
      </c>
      <c r="G45" s="261">
        <v>6.5</v>
      </c>
      <c r="H45" s="328">
        <v>0.45</v>
      </c>
      <c r="I45" s="328">
        <v>0.5</v>
      </c>
      <c r="J45" s="330">
        <v>600</v>
      </c>
    </row>
    <row r="46" spans="1:10" x14ac:dyDescent="0.2">
      <c r="A46" s="306" t="s">
        <v>839</v>
      </c>
      <c r="B46" s="261" t="s">
        <v>22207</v>
      </c>
      <c r="C46" s="328">
        <v>1</v>
      </c>
      <c r="D46" s="328">
        <v>1</v>
      </c>
      <c r="E46" s="261">
        <v>156</v>
      </c>
      <c r="F46" s="261">
        <v>1</v>
      </c>
      <c r="G46" s="261">
        <v>2</v>
      </c>
      <c r="H46" s="328">
        <v>1</v>
      </c>
      <c r="I46" s="328">
        <v>1.05</v>
      </c>
      <c r="J46" s="330">
        <v>160</v>
      </c>
    </row>
    <row r="47" spans="1:10" x14ac:dyDescent="0.2">
      <c r="A47" s="306" t="s">
        <v>949</v>
      </c>
      <c r="B47" s="261" t="s">
        <v>22201</v>
      </c>
      <c r="C47" s="328">
        <v>1.1399999999999999</v>
      </c>
      <c r="D47" s="328">
        <v>1.24</v>
      </c>
      <c r="E47" s="261">
        <v>232</v>
      </c>
      <c r="F47" s="261">
        <v>1</v>
      </c>
      <c r="G47" s="261">
        <v>5.5</v>
      </c>
      <c r="H47" s="328">
        <v>1.1499999999999999</v>
      </c>
      <c r="I47" s="328">
        <v>1.25</v>
      </c>
      <c r="J47" s="330">
        <v>235</v>
      </c>
    </row>
    <row r="48" spans="1:10" x14ac:dyDescent="0.2">
      <c r="A48" s="306" t="s">
        <v>949</v>
      </c>
      <c r="B48" s="261" t="s">
        <v>22202</v>
      </c>
      <c r="C48" s="328">
        <v>1.32</v>
      </c>
      <c r="D48" s="328">
        <v>1.44</v>
      </c>
      <c r="E48" s="261">
        <v>232</v>
      </c>
      <c r="F48" s="261">
        <v>1</v>
      </c>
      <c r="G48" s="261">
        <v>6</v>
      </c>
      <c r="H48" s="328">
        <v>1.35</v>
      </c>
      <c r="I48" s="328">
        <v>1.45</v>
      </c>
      <c r="J48" s="330">
        <v>235</v>
      </c>
    </row>
    <row r="49" spans="1:10" x14ac:dyDescent="0.2">
      <c r="A49" s="306" t="s">
        <v>949</v>
      </c>
      <c r="B49" s="261" t="s">
        <v>22203</v>
      </c>
      <c r="C49" s="328">
        <v>0.74</v>
      </c>
      <c r="D49" s="328">
        <v>0.81</v>
      </c>
      <c r="E49" s="261">
        <v>348</v>
      </c>
      <c r="F49" s="261">
        <v>2</v>
      </c>
      <c r="G49" s="261">
        <v>6</v>
      </c>
      <c r="H49" s="328">
        <v>0.75</v>
      </c>
      <c r="I49" s="328">
        <v>0.85</v>
      </c>
      <c r="J49" s="330">
        <v>350</v>
      </c>
    </row>
    <row r="50" spans="1:10" x14ac:dyDescent="0.2">
      <c r="A50" s="306" t="s">
        <v>949</v>
      </c>
      <c r="B50" s="261" t="s">
        <v>22204</v>
      </c>
      <c r="C50" s="328">
        <v>2.48</v>
      </c>
      <c r="D50" s="328">
        <v>2.7</v>
      </c>
      <c r="E50" s="261">
        <v>464</v>
      </c>
      <c r="F50" s="261">
        <v>1</v>
      </c>
      <c r="G50" s="261">
        <v>6</v>
      </c>
      <c r="H50" s="328">
        <v>2.5</v>
      </c>
      <c r="I50" s="328">
        <v>2.7</v>
      </c>
      <c r="J50" s="330">
        <v>465</v>
      </c>
    </row>
    <row r="51" spans="1:10" x14ac:dyDescent="0.2">
      <c r="A51" s="306" t="s">
        <v>949</v>
      </c>
      <c r="B51" s="261" t="s">
        <v>22210</v>
      </c>
      <c r="C51" s="328">
        <v>3.23</v>
      </c>
      <c r="D51" s="328">
        <v>3.53</v>
      </c>
      <c r="E51" s="261">
        <v>696</v>
      </c>
      <c r="F51" s="261">
        <v>1</v>
      </c>
      <c r="G51" s="261">
        <v>6</v>
      </c>
      <c r="H51" s="328">
        <v>3.25</v>
      </c>
      <c r="I51" s="328">
        <v>3.55</v>
      </c>
      <c r="J51" s="330">
        <v>700</v>
      </c>
    </row>
    <row r="52" spans="1:10" x14ac:dyDescent="0.2">
      <c r="A52" s="306" t="s">
        <v>949</v>
      </c>
      <c r="B52" s="261" t="s">
        <v>22207</v>
      </c>
      <c r="C52" s="328">
        <v>0.8</v>
      </c>
      <c r="D52" s="328">
        <v>0.8</v>
      </c>
      <c r="E52" s="261">
        <v>300</v>
      </c>
      <c r="F52" s="261">
        <v>1</v>
      </c>
      <c r="G52" s="261">
        <v>2</v>
      </c>
      <c r="H52" s="328">
        <v>0.8</v>
      </c>
      <c r="I52" s="328">
        <v>0.85</v>
      </c>
      <c r="J52" s="330">
        <v>300</v>
      </c>
    </row>
    <row r="53" spans="1:10" x14ac:dyDescent="0.2">
      <c r="A53" s="306" t="s">
        <v>22214</v>
      </c>
      <c r="B53" s="261" t="s">
        <v>22201</v>
      </c>
      <c r="C53" s="328">
        <v>0.67</v>
      </c>
      <c r="D53" s="333" t="s">
        <v>137</v>
      </c>
      <c r="E53" s="261">
        <v>545</v>
      </c>
      <c r="F53" s="261">
        <v>5</v>
      </c>
      <c r="G53" s="261">
        <v>9</v>
      </c>
      <c r="H53" s="328">
        <v>0.7</v>
      </c>
      <c r="I53" s="328">
        <v>0.75</v>
      </c>
      <c r="J53" s="330">
        <v>545</v>
      </c>
    </row>
    <row r="54" spans="1:10" x14ac:dyDescent="0.2">
      <c r="A54" s="306" t="s">
        <v>22214</v>
      </c>
      <c r="B54" s="261" t="s">
        <v>22202</v>
      </c>
      <c r="C54" s="328">
        <v>0.67</v>
      </c>
      <c r="D54" s="333" t="s">
        <v>137</v>
      </c>
      <c r="E54" s="261">
        <v>545</v>
      </c>
      <c r="F54" s="261">
        <v>5</v>
      </c>
      <c r="G54" s="261">
        <v>9</v>
      </c>
      <c r="H54" s="328">
        <v>0.7</v>
      </c>
      <c r="I54" s="328">
        <v>0.75</v>
      </c>
      <c r="J54" s="330">
        <v>545</v>
      </c>
    </row>
    <row r="55" spans="1:10" x14ac:dyDescent="0.2">
      <c r="A55" s="306" t="s">
        <v>22214</v>
      </c>
      <c r="B55" s="261" t="s">
        <v>22207</v>
      </c>
      <c r="C55" s="328">
        <v>0.8</v>
      </c>
      <c r="D55" s="333" t="s">
        <v>137</v>
      </c>
      <c r="E55" s="261">
        <v>300</v>
      </c>
      <c r="F55" s="261">
        <v>1</v>
      </c>
      <c r="G55" s="261">
        <v>9</v>
      </c>
      <c r="H55" s="328">
        <v>0.8</v>
      </c>
      <c r="I55" s="328">
        <v>0.85</v>
      </c>
      <c r="J55" s="330">
        <v>300</v>
      </c>
    </row>
    <row r="56" spans="1:10" x14ac:dyDescent="0.2">
      <c r="A56" s="306" t="s">
        <v>22215</v>
      </c>
      <c r="B56" s="261" t="s">
        <v>22201</v>
      </c>
      <c r="C56" s="328">
        <v>0.48</v>
      </c>
      <c r="D56" s="333" t="s">
        <v>137</v>
      </c>
      <c r="E56" s="261">
        <v>340</v>
      </c>
      <c r="F56" s="261">
        <v>8</v>
      </c>
      <c r="G56" s="261">
        <v>5</v>
      </c>
      <c r="H56" s="328">
        <v>0.5</v>
      </c>
      <c r="I56" s="328">
        <v>0.55000000000000004</v>
      </c>
      <c r="J56" s="330">
        <v>340</v>
      </c>
    </row>
    <row r="57" spans="1:10" x14ac:dyDescent="0.2">
      <c r="A57" s="306" t="s">
        <v>22215</v>
      </c>
      <c r="B57" s="261" t="s">
        <v>22202</v>
      </c>
      <c r="C57" s="328">
        <v>0.48</v>
      </c>
      <c r="D57" s="333" t="s">
        <v>137</v>
      </c>
      <c r="E57" s="261">
        <v>340</v>
      </c>
      <c r="F57" s="261">
        <v>8</v>
      </c>
      <c r="G57" s="261">
        <v>5</v>
      </c>
      <c r="H57" s="328">
        <v>0.5</v>
      </c>
      <c r="I57" s="328">
        <v>0.55000000000000004</v>
      </c>
      <c r="J57" s="330">
        <v>340</v>
      </c>
    </row>
    <row r="58" spans="1:10" x14ac:dyDescent="0.2">
      <c r="A58" s="306" t="s">
        <v>22215</v>
      </c>
      <c r="B58" s="261" t="s">
        <v>22207</v>
      </c>
      <c r="C58" s="328">
        <v>0.4</v>
      </c>
      <c r="D58" s="333" t="s">
        <v>137</v>
      </c>
      <c r="E58" s="261">
        <v>300</v>
      </c>
      <c r="F58" s="261">
        <v>8</v>
      </c>
      <c r="G58" s="261">
        <v>5</v>
      </c>
      <c r="H58" s="328">
        <v>0.4</v>
      </c>
      <c r="I58" s="328">
        <v>0.45</v>
      </c>
      <c r="J58" s="330">
        <v>300</v>
      </c>
    </row>
    <row r="59" spans="1:10" x14ac:dyDescent="0.2">
      <c r="A59" s="306" t="s">
        <v>22216</v>
      </c>
      <c r="B59" s="261" t="s">
        <v>22201</v>
      </c>
      <c r="C59" s="328">
        <v>0.45</v>
      </c>
      <c r="D59" s="333" t="s">
        <v>137</v>
      </c>
      <c r="E59" s="261">
        <v>200</v>
      </c>
      <c r="F59" s="261">
        <v>3</v>
      </c>
      <c r="G59" s="261">
        <v>5</v>
      </c>
      <c r="H59" s="328">
        <v>0.45</v>
      </c>
      <c r="I59" s="328">
        <v>0.5</v>
      </c>
      <c r="J59" s="330">
        <v>200</v>
      </c>
    </row>
    <row r="60" spans="1:10" x14ac:dyDescent="0.2">
      <c r="A60" s="306" t="s">
        <v>22216</v>
      </c>
      <c r="B60" s="261" t="s">
        <v>22202</v>
      </c>
      <c r="C60" s="328">
        <v>0.6</v>
      </c>
      <c r="D60" s="333" t="s">
        <v>137</v>
      </c>
      <c r="E60" s="261">
        <v>200</v>
      </c>
      <c r="F60" s="261">
        <v>3</v>
      </c>
      <c r="G60" s="261">
        <v>5</v>
      </c>
      <c r="H60" s="328">
        <v>0.6</v>
      </c>
      <c r="I60" s="328">
        <v>0.65</v>
      </c>
      <c r="J60" s="330">
        <v>200</v>
      </c>
    </row>
    <row r="61" spans="1:10" x14ac:dyDescent="0.2">
      <c r="A61" s="306" t="s">
        <v>22216</v>
      </c>
      <c r="B61" s="261" t="s">
        <v>22203</v>
      </c>
      <c r="C61" s="328">
        <v>0.6</v>
      </c>
      <c r="D61" s="333" t="s">
        <v>137</v>
      </c>
      <c r="E61" s="261">
        <v>200</v>
      </c>
      <c r="F61" s="261">
        <v>5</v>
      </c>
      <c r="G61" s="261">
        <v>5</v>
      </c>
      <c r="H61" s="328">
        <v>0.6</v>
      </c>
      <c r="I61" s="328">
        <v>0.65</v>
      </c>
      <c r="J61" s="330">
        <v>200</v>
      </c>
    </row>
    <row r="62" spans="1:10" x14ac:dyDescent="0.2">
      <c r="A62" s="272" t="s">
        <v>22216</v>
      </c>
      <c r="B62" s="264" t="s">
        <v>22207</v>
      </c>
      <c r="C62" s="331">
        <v>0.8</v>
      </c>
      <c r="D62" s="334" t="s">
        <v>137</v>
      </c>
      <c r="E62" s="264">
        <v>300</v>
      </c>
      <c r="F62" s="264">
        <v>3</v>
      </c>
      <c r="G62" s="264">
        <v>5</v>
      </c>
      <c r="H62" s="331">
        <v>0.8</v>
      </c>
      <c r="I62" s="331">
        <v>0.85</v>
      </c>
      <c r="J62" s="332">
        <v>300</v>
      </c>
    </row>
  </sheetData>
  <pageMargins left="0.2" right="0.2" top="0.5" bottom="0.2" header="0.19791666666666699" footer="0.3"/>
  <pageSetup fitToHeight="0" orientation="landscape" r:id="rId1"/>
  <headerFooter>
    <oddHeader xml:space="preserve">&amp;L&amp;"-,Bold"&amp;14Dragalia Lost V3 Re;Works Attack Combo Revisions
</oddHeader>
  </headerFooter>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E1A0B6-FDBA-4AB7-A281-846882E2787D}">
  <dimension ref="A1:R163"/>
  <sheetViews>
    <sheetView zoomScaleNormal="100" workbookViewId="0">
      <selection activeCell="I15" sqref="I15"/>
    </sheetView>
  </sheetViews>
  <sheetFormatPr defaultRowHeight="14.25" x14ac:dyDescent="0.2"/>
  <cols>
    <col min="1" max="1" width="5.625" bestFit="1" customWidth="1"/>
    <col min="2" max="2" width="13.25" bestFit="1" customWidth="1"/>
    <col min="3" max="3" width="7.875" bestFit="1" customWidth="1"/>
    <col min="4" max="4" width="7.25" style="89" bestFit="1" customWidth="1"/>
    <col min="5" max="5" width="8.875" bestFit="1" customWidth="1"/>
    <col min="6" max="6" width="7.875" bestFit="1" customWidth="1"/>
    <col min="7" max="7" width="8.625" style="89" bestFit="1" customWidth="1"/>
    <col min="8" max="8" width="23.25" style="89" bestFit="1" customWidth="1"/>
    <col min="9" max="9" width="1.25" customWidth="1"/>
    <col min="10" max="10" width="25.375" style="89" bestFit="1" customWidth="1"/>
    <col min="11" max="11" width="7.875" bestFit="1" customWidth="1"/>
    <col min="12" max="12" width="5.75" bestFit="1" customWidth="1"/>
    <col min="13" max="13" width="10.625" bestFit="1" customWidth="1"/>
    <col min="14" max="14" width="7.875" bestFit="1" customWidth="1"/>
    <col min="15" max="15" width="6.25" bestFit="1" customWidth="1"/>
    <col min="16" max="16" width="10.5" bestFit="1" customWidth="1"/>
    <col min="17" max="17" width="7.875" bestFit="1" customWidth="1"/>
    <col min="18" max="18" width="5.75" bestFit="1" customWidth="1"/>
  </cols>
  <sheetData>
    <row r="1" spans="1:18" s="184" customFormat="1" ht="15.75" x14ac:dyDescent="0.25">
      <c r="A1" s="311" t="s">
        <v>88</v>
      </c>
      <c r="B1" s="186" t="s">
        <v>22217</v>
      </c>
      <c r="C1" s="340" t="s">
        <v>23</v>
      </c>
      <c r="D1" s="340" t="s">
        <v>22218</v>
      </c>
      <c r="E1" s="311" t="s">
        <v>22219</v>
      </c>
      <c r="F1" s="340" t="s">
        <v>23</v>
      </c>
      <c r="G1" s="341" t="s">
        <v>22218</v>
      </c>
      <c r="H1" s="341" t="s">
        <v>13718</v>
      </c>
      <c r="J1" s="311" t="s">
        <v>22217</v>
      </c>
      <c r="K1" s="340" t="s">
        <v>23</v>
      </c>
      <c r="L1" s="340" t="s">
        <v>22218</v>
      </c>
      <c r="M1" s="311" t="s">
        <v>22220</v>
      </c>
      <c r="N1" s="340" t="s">
        <v>23</v>
      </c>
      <c r="O1" s="341" t="s">
        <v>22218</v>
      </c>
      <c r="P1" s="311" t="s">
        <v>22221</v>
      </c>
      <c r="Q1" s="340" t="s">
        <v>23</v>
      </c>
      <c r="R1" s="341" t="s">
        <v>22218</v>
      </c>
    </row>
    <row r="2" spans="1:18" x14ac:dyDescent="0.2">
      <c r="A2" s="44"/>
      <c r="B2" t="s">
        <v>19602</v>
      </c>
      <c r="C2" t="s">
        <v>122</v>
      </c>
      <c r="D2" s="89">
        <v>1</v>
      </c>
      <c r="E2" s="44" t="s">
        <v>19601</v>
      </c>
      <c r="F2" t="s">
        <v>122</v>
      </c>
      <c r="G2" s="335">
        <v>5</v>
      </c>
      <c r="H2" s="335"/>
      <c r="J2" s="44" t="s">
        <v>21232</v>
      </c>
      <c r="K2" t="s">
        <v>10772</v>
      </c>
      <c r="L2">
        <v>1</v>
      </c>
      <c r="M2" s="337" t="s">
        <v>21485</v>
      </c>
      <c r="N2" t="s">
        <v>10772</v>
      </c>
      <c r="O2" s="262">
        <v>10000</v>
      </c>
      <c r="P2" t="s">
        <v>21501</v>
      </c>
      <c r="Q2" t="s">
        <v>10772</v>
      </c>
      <c r="R2" s="262">
        <v>1000</v>
      </c>
    </row>
    <row r="3" spans="1:18" x14ac:dyDescent="0.2">
      <c r="A3" s="306"/>
      <c r="B3" s="261" t="s">
        <v>19601</v>
      </c>
      <c r="C3" s="261" t="s">
        <v>122</v>
      </c>
      <c r="D3" s="279">
        <v>1</v>
      </c>
      <c r="E3" s="306" t="s">
        <v>19600</v>
      </c>
      <c r="F3" s="261" t="s">
        <v>122</v>
      </c>
      <c r="G3" s="262">
        <v>5</v>
      </c>
      <c r="H3" s="262"/>
      <c r="J3" s="306" t="s">
        <v>10756</v>
      </c>
      <c r="K3" s="261" t="s">
        <v>10772</v>
      </c>
      <c r="L3" s="262">
        <v>1000</v>
      </c>
      <c r="M3" s="338" t="s">
        <v>21485</v>
      </c>
      <c r="N3" s="261" t="s">
        <v>10772</v>
      </c>
      <c r="O3" s="262">
        <v>20</v>
      </c>
      <c r="P3" s="261"/>
      <c r="Q3" s="261"/>
      <c r="R3" s="330"/>
    </row>
    <row r="4" spans="1:18" x14ac:dyDescent="0.2">
      <c r="A4" s="306"/>
      <c r="B4" s="261" t="s">
        <v>19600</v>
      </c>
      <c r="C4" s="261" t="s">
        <v>122</v>
      </c>
      <c r="D4" s="279">
        <v>1</v>
      </c>
      <c r="E4" s="306" t="s">
        <v>19599</v>
      </c>
      <c r="F4" s="261" t="s">
        <v>122</v>
      </c>
      <c r="G4" s="262">
        <v>8</v>
      </c>
      <c r="H4" s="262"/>
      <c r="J4" s="306" t="s">
        <v>17507</v>
      </c>
      <c r="K4" s="261" t="s">
        <v>10772</v>
      </c>
      <c r="L4" s="262">
        <v>1000</v>
      </c>
      <c r="M4" s="338" t="s">
        <v>21485</v>
      </c>
      <c r="N4" s="261" t="s">
        <v>10772</v>
      </c>
      <c r="O4" s="262">
        <v>20</v>
      </c>
      <c r="P4" s="261"/>
      <c r="Q4" s="261"/>
      <c r="R4" s="330"/>
    </row>
    <row r="5" spans="1:18" x14ac:dyDescent="0.2">
      <c r="A5" s="306"/>
      <c r="B5" s="261" t="s">
        <v>19600</v>
      </c>
      <c r="C5" s="261" t="s">
        <v>122</v>
      </c>
      <c r="D5" s="279">
        <v>3</v>
      </c>
      <c r="E5" s="306" t="s">
        <v>19601</v>
      </c>
      <c r="F5" s="261" t="s">
        <v>122</v>
      </c>
      <c r="G5" s="262">
        <v>1</v>
      </c>
      <c r="H5" s="262"/>
      <c r="J5" s="306" t="s">
        <v>19618</v>
      </c>
      <c r="K5" s="261" t="s">
        <v>10772</v>
      </c>
      <c r="L5" s="262">
        <v>1</v>
      </c>
      <c r="M5" s="338" t="s">
        <v>21485</v>
      </c>
      <c r="N5" s="261" t="s">
        <v>10772</v>
      </c>
      <c r="O5" s="262">
        <v>20</v>
      </c>
      <c r="P5" s="261"/>
      <c r="Q5" s="261"/>
      <c r="R5" s="330"/>
    </row>
    <row r="6" spans="1:18" x14ac:dyDescent="0.2">
      <c r="A6" s="306"/>
      <c r="B6" s="261" t="s">
        <v>19599</v>
      </c>
      <c r="C6" s="261" t="s">
        <v>1103</v>
      </c>
      <c r="D6" s="279">
        <v>4</v>
      </c>
      <c r="E6" s="306" t="s">
        <v>19600</v>
      </c>
      <c r="F6" s="261" t="s">
        <v>1103</v>
      </c>
      <c r="G6" s="262">
        <v>1</v>
      </c>
      <c r="H6" s="262"/>
      <c r="J6" s="306" t="s">
        <v>19599</v>
      </c>
      <c r="K6" s="261" t="s">
        <v>122</v>
      </c>
      <c r="L6" s="262">
        <v>1</v>
      </c>
      <c r="M6" s="338" t="s">
        <v>21485</v>
      </c>
      <c r="N6" s="261" t="s">
        <v>10772</v>
      </c>
      <c r="O6" s="262">
        <v>10</v>
      </c>
      <c r="P6" s="261"/>
      <c r="Q6" s="261"/>
      <c r="R6" s="330"/>
    </row>
    <row r="7" spans="1:18" x14ac:dyDescent="0.2">
      <c r="A7" s="306"/>
      <c r="B7" s="261" t="s">
        <v>19602</v>
      </c>
      <c r="C7" s="261" t="s">
        <v>1103</v>
      </c>
      <c r="D7" s="279">
        <v>1</v>
      </c>
      <c r="E7" s="306" t="s">
        <v>19601</v>
      </c>
      <c r="F7" s="261" t="s">
        <v>1103</v>
      </c>
      <c r="G7" s="262">
        <v>5</v>
      </c>
      <c r="H7" s="262"/>
      <c r="J7" s="306" t="s">
        <v>19600</v>
      </c>
      <c r="K7" s="261" t="s">
        <v>122</v>
      </c>
      <c r="L7" s="262">
        <v>1</v>
      </c>
      <c r="M7" s="338" t="s">
        <v>21485</v>
      </c>
      <c r="N7" s="261" t="s">
        <v>10772</v>
      </c>
      <c r="O7" s="262">
        <v>20</v>
      </c>
      <c r="P7" s="261"/>
      <c r="Q7" s="261"/>
      <c r="R7" s="330"/>
    </row>
    <row r="8" spans="1:18" x14ac:dyDescent="0.2">
      <c r="A8" s="306"/>
      <c r="B8" s="261" t="s">
        <v>19601</v>
      </c>
      <c r="C8" s="261" t="s">
        <v>1103</v>
      </c>
      <c r="D8" s="279">
        <v>1</v>
      </c>
      <c r="E8" s="306" t="s">
        <v>19600</v>
      </c>
      <c r="F8" s="261" t="s">
        <v>1103</v>
      </c>
      <c r="G8" s="262">
        <v>5</v>
      </c>
      <c r="H8" s="262"/>
      <c r="J8" s="306" t="s">
        <v>19601</v>
      </c>
      <c r="K8" s="261" t="s">
        <v>122</v>
      </c>
      <c r="L8" s="262">
        <v>1</v>
      </c>
      <c r="M8" s="338" t="s">
        <v>21485</v>
      </c>
      <c r="N8" s="261" t="s">
        <v>10772</v>
      </c>
      <c r="O8" s="262">
        <v>30</v>
      </c>
      <c r="P8" s="261"/>
      <c r="Q8" s="261"/>
      <c r="R8" s="330"/>
    </row>
    <row r="9" spans="1:18" x14ac:dyDescent="0.2">
      <c r="A9" s="306"/>
      <c r="B9" s="261" t="s">
        <v>19600</v>
      </c>
      <c r="C9" s="261" t="s">
        <v>1103</v>
      </c>
      <c r="D9" s="279">
        <v>1</v>
      </c>
      <c r="E9" s="306" t="s">
        <v>19599</v>
      </c>
      <c r="F9" s="261" t="s">
        <v>1103</v>
      </c>
      <c r="G9" s="262">
        <v>8</v>
      </c>
      <c r="H9" s="262"/>
      <c r="J9" s="306" t="s">
        <v>19602</v>
      </c>
      <c r="K9" s="261" t="s">
        <v>122</v>
      </c>
      <c r="L9" s="262">
        <v>1</v>
      </c>
      <c r="M9" s="338" t="s">
        <v>21485</v>
      </c>
      <c r="N9" s="261" t="s">
        <v>10772</v>
      </c>
      <c r="O9" s="262">
        <v>40</v>
      </c>
      <c r="P9" s="261"/>
      <c r="Q9" s="261"/>
      <c r="R9" s="330"/>
    </row>
    <row r="10" spans="1:18" x14ac:dyDescent="0.2">
      <c r="A10" s="306"/>
      <c r="B10" s="261" t="s">
        <v>19600</v>
      </c>
      <c r="C10" s="261" t="s">
        <v>1103</v>
      </c>
      <c r="D10" s="279">
        <v>3</v>
      </c>
      <c r="E10" s="306" t="s">
        <v>19601</v>
      </c>
      <c r="F10" s="261" t="s">
        <v>1103</v>
      </c>
      <c r="G10" s="262">
        <v>1</v>
      </c>
      <c r="H10" s="262"/>
      <c r="J10" s="306" t="s">
        <v>19599</v>
      </c>
      <c r="K10" s="261" t="s">
        <v>1103</v>
      </c>
      <c r="L10" s="262">
        <v>1</v>
      </c>
      <c r="M10" s="338" t="s">
        <v>21485</v>
      </c>
      <c r="N10" s="261" t="s">
        <v>10772</v>
      </c>
      <c r="O10" s="262">
        <v>10</v>
      </c>
      <c r="P10" s="261"/>
      <c r="Q10" s="261"/>
      <c r="R10" s="330"/>
    </row>
    <row r="11" spans="1:18" x14ac:dyDescent="0.2">
      <c r="A11" s="306"/>
      <c r="B11" s="261" t="s">
        <v>19599</v>
      </c>
      <c r="C11" s="261" t="s">
        <v>1103</v>
      </c>
      <c r="D11" s="279">
        <v>4</v>
      </c>
      <c r="E11" s="306" t="s">
        <v>19600</v>
      </c>
      <c r="F11" s="261" t="s">
        <v>1103</v>
      </c>
      <c r="G11" s="262">
        <v>1</v>
      </c>
      <c r="H11" s="262"/>
      <c r="J11" s="306" t="s">
        <v>19600</v>
      </c>
      <c r="K11" s="261" t="s">
        <v>1103</v>
      </c>
      <c r="L11" s="262">
        <v>1</v>
      </c>
      <c r="M11" s="338" t="s">
        <v>21485</v>
      </c>
      <c r="N11" s="261" t="s">
        <v>10772</v>
      </c>
      <c r="O11" s="262">
        <v>20</v>
      </c>
      <c r="P11" s="261"/>
      <c r="Q11" s="261"/>
      <c r="R11" s="330"/>
    </row>
    <row r="12" spans="1:18" x14ac:dyDescent="0.2">
      <c r="A12" s="306"/>
      <c r="B12" s="261" t="s">
        <v>19602</v>
      </c>
      <c r="C12" s="261" t="s">
        <v>1947</v>
      </c>
      <c r="D12" s="279">
        <v>1</v>
      </c>
      <c r="E12" s="306" t="s">
        <v>19601</v>
      </c>
      <c r="F12" s="261" t="s">
        <v>1947</v>
      </c>
      <c r="G12" s="262">
        <v>5</v>
      </c>
      <c r="H12" s="262"/>
      <c r="J12" s="306" t="s">
        <v>19601</v>
      </c>
      <c r="K12" s="261" t="s">
        <v>1103</v>
      </c>
      <c r="L12" s="262">
        <v>1</v>
      </c>
      <c r="M12" s="338" t="s">
        <v>21485</v>
      </c>
      <c r="N12" s="261" t="s">
        <v>10772</v>
      </c>
      <c r="O12" s="262">
        <v>30</v>
      </c>
      <c r="P12" s="261"/>
      <c r="Q12" s="261"/>
      <c r="R12" s="330"/>
    </row>
    <row r="13" spans="1:18" x14ac:dyDescent="0.2">
      <c r="A13" s="306"/>
      <c r="B13" s="261" t="s">
        <v>19601</v>
      </c>
      <c r="C13" s="261" t="s">
        <v>1947</v>
      </c>
      <c r="D13" s="279">
        <v>1</v>
      </c>
      <c r="E13" s="306" t="s">
        <v>19600</v>
      </c>
      <c r="F13" s="261" t="s">
        <v>1947</v>
      </c>
      <c r="G13" s="262">
        <v>5</v>
      </c>
      <c r="H13" s="262"/>
      <c r="J13" s="306" t="s">
        <v>19602</v>
      </c>
      <c r="K13" s="261" t="s">
        <v>1103</v>
      </c>
      <c r="L13" s="262">
        <v>1</v>
      </c>
      <c r="M13" s="338" t="s">
        <v>21485</v>
      </c>
      <c r="N13" s="261" t="s">
        <v>10772</v>
      </c>
      <c r="O13" s="262">
        <v>40</v>
      </c>
      <c r="P13" s="261"/>
      <c r="Q13" s="261"/>
      <c r="R13" s="330"/>
    </row>
    <row r="14" spans="1:18" x14ac:dyDescent="0.2">
      <c r="A14" s="306"/>
      <c r="B14" s="261" t="s">
        <v>19600</v>
      </c>
      <c r="C14" s="261" t="s">
        <v>1947</v>
      </c>
      <c r="D14" s="279">
        <v>1</v>
      </c>
      <c r="E14" s="306" t="s">
        <v>19599</v>
      </c>
      <c r="F14" s="261" t="s">
        <v>1947</v>
      </c>
      <c r="G14" s="262">
        <v>8</v>
      </c>
      <c r="H14" s="262"/>
      <c r="J14" s="306" t="s">
        <v>19599</v>
      </c>
      <c r="K14" s="261" t="s">
        <v>1947</v>
      </c>
      <c r="L14" s="262">
        <v>1</v>
      </c>
      <c r="M14" s="338" t="s">
        <v>21485</v>
      </c>
      <c r="N14" s="261" t="s">
        <v>10772</v>
      </c>
      <c r="O14" s="262">
        <v>10</v>
      </c>
      <c r="P14" s="261"/>
      <c r="Q14" s="261"/>
      <c r="R14" s="330"/>
    </row>
    <row r="15" spans="1:18" x14ac:dyDescent="0.2">
      <c r="A15" s="306"/>
      <c r="B15" s="261" t="s">
        <v>19600</v>
      </c>
      <c r="C15" s="261" t="s">
        <v>1947</v>
      </c>
      <c r="D15" s="279">
        <v>3</v>
      </c>
      <c r="E15" s="306" t="s">
        <v>19601</v>
      </c>
      <c r="F15" s="261" t="s">
        <v>1947</v>
      </c>
      <c r="G15" s="262">
        <v>1</v>
      </c>
      <c r="H15" s="262"/>
      <c r="J15" s="306" t="s">
        <v>19600</v>
      </c>
      <c r="K15" s="261" t="s">
        <v>1947</v>
      </c>
      <c r="L15" s="262">
        <v>1</v>
      </c>
      <c r="M15" s="338" t="s">
        <v>21485</v>
      </c>
      <c r="N15" s="261" t="s">
        <v>10772</v>
      </c>
      <c r="O15" s="262">
        <v>20</v>
      </c>
      <c r="P15" s="261"/>
      <c r="Q15" s="261"/>
      <c r="R15" s="330"/>
    </row>
    <row r="16" spans="1:18" x14ac:dyDescent="0.2">
      <c r="A16" s="306"/>
      <c r="B16" s="261" t="s">
        <v>19599</v>
      </c>
      <c r="C16" s="261" t="s">
        <v>1947</v>
      </c>
      <c r="D16" s="279">
        <v>4</v>
      </c>
      <c r="E16" s="306" t="s">
        <v>19600</v>
      </c>
      <c r="F16" s="261" t="s">
        <v>1947</v>
      </c>
      <c r="G16" s="262">
        <v>1</v>
      </c>
      <c r="H16" s="262"/>
      <c r="J16" s="306" t="s">
        <v>19601</v>
      </c>
      <c r="K16" s="261" t="s">
        <v>1947</v>
      </c>
      <c r="L16" s="262">
        <v>1</v>
      </c>
      <c r="M16" s="338" t="s">
        <v>21485</v>
      </c>
      <c r="N16" s="261" t="s">
        <v>10772</v>
      </c>
      <c r="O16" s="262">
        <v>30</v>
      </c>
      <c r="P16" s="261"/>
      <c r="Q16" s="261"/>
      <c r="R16" s="330"/>
    </row>
    <row r="17" spans="1:18" x14ac:dyDescent="0.2">
      <c r="A17" s="306"/>
      <c r="B17" s="261" t="s">
        <v>19602</v>
      </c>
      <c r="C17" s="261" t="s">
        <v>2837</v>
      </c>
      <c r="D17" s="279">
        <v>1</v>
      </c>
      <c r="E17" s="306" t="s">
        <v>19601</v>
      </c>
      <c r="F17" s="261" t="s">
        <v>2837</v>
      </c>
      <c r="G17" s="262">
        <v>5</v>
      </c>
      <c r="H17" s="262"/>
      <c r="J17" s="306" t="s">
        <v>19602</v>
      </c>
      <c r="K17" s="261" t="s">
        <v>1947</v>
      </c>
      <c r="L17" s="262">
        <v>1</v>
      </c>
      <c r="M17" s="338" t="s">
        <v>21485</v>
      </c>
      <c r="N17" s="261" t="s">
        <v>10772</v>
      </c>
      <c r="O17" s="262">
        <v>40</v>
      </c>
      <c r="P17" s="261"/>
      <c r="Q17" s="261"/>
      <c r="R17" s="330"/>
    </row>
    <row r="18" spans="1:18" x14ac:dyDescent="0.2">
      <c r="A18" s="306"/>
      <c r="B18" s="261" t="s">
        <v>19601</v>
      </c>
      <c r="C18" s="261" t="s">
        <v>2837</v>
      </c>
      <c r="D18" s="279">
        <v>1</v>
      </c>
      <c r="E18" s="306" t="s">
        <v>19600</v>
      </c>
      <c r="F18" s="261" t="s">
        <v>2837</v>
      </c>
      <c r="G18" s="262">
        <v>5</v>
      </c>
      <c r="H18" s="262"/>
      <c r="J18" s="306" t="s">
        <v>19599</v>
      </c>
      <c r="K18" s="261" t="s">
        <v>2837</v>
      </c>
      <c r="L18" s="262">
        <v>1</v>
      </c>
      <c r="M18" s="338" t="s">
        <v>21485</v>
      </c>
      <c r="N18" s="261" t="s">
        <v>10772</v>
      </c>
      <c r="O18" s="262">
        <v>10</v>
      </c>
      <c r="P18" s="261"/>
      <c r="Q18" s="261"/>
      <c r="R18" s="330"/>
    </row>
    <row r="19" spans="1:18" x14ac:dyDescent="0.2">
      <c r="A19" s="306"/>
      <c r="B19" s="261" t="s">
        <v>19600</v>
      </c>
      <c r="C19" s="261" t="s">
        <v>2837</v>
      </c>
      <c r="D19" s="279">
        <v>1</v>
      </c>
      <c r="E19" s="306" t="s">
        <v>19599</v>
      </c>
      <c r="F19" s="261" t="s">
        <v>2837</v>
      </c>
      <c r="G19" s="262">
        <v>8</v>
      </c>
      <c r="H19" s="262"/>
      <c r="J19" s="306" t="s">
        <v>19600</v>
      </c>
      <c r="K19" s="261" t="s">
        <v>2837</v>
      </c>
      <c r="L19" s="262">
        <v>1</v>
      </c>
      <c r="M19" s="338" t="s">
        <v>21485</v>
      </c>
      <c r="N19" s="261" t="s">
        <v>10772</v>
      </c>
      <c r="O19" s="262">
        <v>20</v>
      </c>
      <c r="P19" s="261"/>
      <c r="Q19" s="261"/>
      <c r="R19" s="330"/>
    </row>
    <row r="20" spans="1:18" x14ac:dyDescent="0.2">
      <c r="A20" s="306"/>
      <c r="B20" s="261" t="s">
        <v>19600</v>
      </c>
      <c r="C20" s="261" t="s">
        <v>2837</v>
      </c>
      <c r="D20" s="279">
        <v>3</v>
      </c>
      <c r="E20" s="306" t="s">
        <v>19601</v>
      </c>
      <c r="F20" s="261" t="s">
        <v>2837</v>
      </c>
      <c r="G20" s="262">
        <v>1</v>
      </c>
      <c r="H20" s="262"/>
      <c r="J20" s="306" t="s">
        <v>19601</v>
      </c>
      <c r="K20" s="261" t="s">
        <v>2837</v>
      </c>
      <c r="L20" s="262">
        <v>1</v>
      </c>
      <c r="M20" s="338" t="s">
        <v>21485</v>
      </c>
      <c r="N20" s="261" t="s">
        <v>10772</v>
      </c>
      <c r="O20" s="262">
        <v>30</v>
      </c>
      <c r="P20" s="261"/>
      <c r="Q20" s="261"/>
      <c r="R20" s="330"/>
    </row>
    <row r="21" spans="1:18" x14ac:dyDescent="0.2">
      <c r="A21" s="306"/>
      <c r="B21" s="261" t="s">
        <v>19599</v>
      </c>
      <c r="C21" s="261" t="s">
        <v>2837</v>
      </c>
      <c r="D21" s="279">
        <v>4</v>
      </c>
      <c r="E21" s="306" t="s">
        <v>19600</v>
      </c>
      <c r="F21" s="261" t="s">
        <v>2837</v>
      </c>
      <c r="G21" s="262">
        <v>1</v>
      </c>
      <c r="H21" s="262"/>
      <c r="J21" s="306" t="s">
        <v>19602</v>
      </c>
      <c r="K21" s="261" t="s">
        <v>2837</v>
      </c>
      <c r="L21" s="262">
        <v>1</v>
      </c>
      <c r="M21" s="338" t="s">
        <v>21485</v>
      </c>
      <c r="N21" s="261" t="s">
        <v>10772</v>
      </c>
      <c r="O21" s="262">
        <v>40</v>
      </c>
      <c r="P21" s="261"/>
      <c r="Q21" s="261"/>
      <c r="R21" s="330"/>
    </row>
    <row r="22" spans="1:18" x14ac:dyDescent="0.2">
      <c r="A22" s="306"/>
      <c r="B22" s="261" t="s">
        <v>19602</v>
      </c>
      <c r="C22" s="261" t="s">
        <v>3779</v>
      </c>
      <c r="D22" s="279">
        <v>1</v>
      </c>
      <c r="E22" s="306" t="s">
        <v>19601</v>
      </c>
      <c r="F22" s="261" t="s">
        <v>3779</v>
      </c>
      <c r="G22" s="262">
        <v>5</v>
      </c>
      <c r="H22" s="262"/>
      <c r="J22" s="306" t="s">
        <v>19599</v>
      </c>
      <c r="K22" s="261" t="s">
        <v>3779</v>
      </c>
      <c r="L22" s="262">
        <v>1</v>
      </c>
      <c r="M22" s="338" t="s">
        <v>21485</v>
      </c>
      <c r="N22" s="261" t="s">
        <v>10772</v>
      </c>
      <c r="O22" s="262">
        <v>10</v>
      </c>
      <c r="P22" s="261"/>
      <c r="Q22" s="261"/>
      <c r="R22" s="330"/>
    </row>
    <row r="23" spans="1:18" x14ac:dyDescent="0.2">
      <c r="A23" s="306"/>
      <c r="B23" s="261" t="s">
        <v>19601</v>
      </c>
      <c r="C23" s="261" t="s">
        <v>3779</v>
      </c>
      <c r="D23" s="279">
        <v>1</v>
      </c>
      <c r="E23" s="306" t="s">
        <v>19600</v>
      </c>
      <c r="F23" s="261" t="s">
        <v>3779</v>
      </c>
      <c r="G23" s="262">
        <v>5</v>
      </c>
      <c r="H23" s="262"/>
      <c r="J23" s="306" t="s">
        <v>19600</v>
      </c>
      <c r="K23" s="261" t="s">
        <v>3779</v>
      </c>
      <c r="L23" s="262">
        <v>1</v>
      </c>
      <c r="M23" s="338" t="s">
        <v>21485</v>
      </c>
      <c r="N23" s="261" t="s">
        <v>10772</v>
      </c>
      <c r="O23" s="262">
        <v>20</v>
      </c>
      <c r="P23" s="261"/>
      <c r="Q23" s="261"/>
      <c r="R23" s="330"/>
    </row>
    <row r="24" spans="1:18" x14ac:dyDescent="0.2">
      <c r="A24" s="306"/>
      <c r="B24" s="261" t="s">
        <v>19600</v>
      </c>
      <c r="C24" s="261" t="s">
        <v>3779</v>
      </c>
      <c r="D24" s="279">
        <v>1</v>
      </c>
      <c r="E24" s="306" t="s">
        <v>19599</v>
      </c>
      <c r="F24" s="261" t="s">
        <v>3779</v>
      </c>
      <c r="G24" s="262">
        <v>8</v>
      </c>
      <c r="H24" s="262"/>
      <c r="J24" s="306" t="s">
        <v>19601</v>
      </c>
      <c r="K24" s="261" t="s">
        <v>3779</v>
      </c>
      <c r="L24" s="262">
        <v>1</v>
      </c>
      <c r="M24" s="338" t="s">
        <v>21485</v>
      </c>
      <c r="N24" s="261" t="s">
        <v>10772</v>
      </c>
      <c r="O24" s="262">
        <v>30</v>
      </c>
      <c r="P24" s="261"/>
      <c r="Q24" s="261"/>
      <c r="R24" s="330"/>
    </row>
    <row r="25" spans="1:18" x14ac:dyDescent="0.2">
      <c r="A25" s="306"/>
      <c r="B25" s="261" t="s">
        <v>19600</v>
      </c>
      <c r="C25" s="261" t="s">
        <v>3779</v>
      </c>
      <c r="D25" s="279">
        <v>3</v>
      </c>
      <c r="E25" s="306" t="s">
        <v>19601</v>
      </c>
      <c r="F25" s="261" t="s">
        <v>3779</v>
      </c>
      <c r="G25" s="262">
        <v>1</v>
      </c>
      <c r="H25" s="262"/>
      <c r="J25" s="306" t="s">
        <v>19602</v>
      </c>
      <c r="K25" s="261" t="s">
        <v>3779</v>
      </c>
      <c r="L25" s="262">
        <v>1</v>
      </c>
      <c r="M25" s="338" t="s">
        <v>21485</v>
      </c>
      <c r="N25" s="261" t="s">
        <v>10772</v>
      </c>
      <c r="O25" s="262">
        <v>40</v>
      </c>
      <c r="P25" s="261"/>
      <c r="Q25" s="261"/>
      <c r="R25" s="330"/>
    </row>
    <row r="26" spans="1:18" x14ac:dyDescent="0.2">
      <c r="A26" s="306"/>
      <c r="B26" s="261" t="s">
        <v>19599</v>
      </c>
      <c r="C26" s="261" t="s">
        <v>3779</v>
      </c>
      <c r="D26" s="279">
        <v>4</v>
      </c>
      <c r="E26" s="306" t="s">
        <v>19600</v>
      </c>
      <c r="F26" s="261" t="s">
        <v>3779</v>
      </c>
      <c r="G26" s="262">
        <v>1</v>
      </c>
      <c r="H26" s="262"/>
      <c r="J26" s="306" t="s">
        <v>19603</v>
      </c>
      <c r="K26" s="261" t="s">
        <v>122</v>
      </c>
      <c r="L26" s="262">
        <v>1</v>
      </c>
      <c r="M26" s="338" t="s">
        <v>21485</v>
      </c>
      <c r="N26" s="261" t="s">
        <v>10772</v>
      </c>
      <c r="O26" s="262">
        <v>25</v>
      </c>
      <c r="P26" s="261"/>
      <c r="Q26" s="261"/>
      <c r="R26" s="330"/>
    </row>
    <row r="27" spans="1:18" x14ac:dyDescent="0.2">
      <c r="A27" s="306"/>
      <c r="B27" s="261" t="s">
        <v>19603</v>
      </c>
      <c r="C27" s="261" t="s">
        <v>122</v>
      </c>
      <c r="D27" s="279">
        <v>2</v>
      </c>
      <c r="E27" s="306" t="s">
        <v>19604</v>
      </c>
      <c r="F27" s="261" t="s">
        <v>122</v>
      </c>
      <c r="G27" s="262">
        <v>1</v>
      </c>
      <c r="H27" s="262"/>
      <c r="J27" s="306" t="s">
        <v>19603</v>
      </c>
      <c r="K27" s="261" t="s">
        <v>2837</v>
      </c>
      <c r="L27" s="262">
        <v>1</v>
      </c>
      <c r="M27" s="338" t="s">
        <v>21485</v>
      </c>
      <c r="N27" s="261" t="s">
        <v>10772</v>
      </c>
      <c r="O27" s="262">
        <v>25</v>
      </c>
      <c r="P27" s="261"/>
      <c r="Q27" s="261"/>
      <c r="R27" s="330"/>
    </row>
    <row r="28" spans="1:18" x14ac:dyDescent="0.2">
      <c r="A28" s="306"/>
      <c r="B28" s="261" t="s">
        <v>19603</v>
      </c>
      <c r="C28" s="261" t="s">
        <v>2837</v>
      </c>
      <c r="D28" s="279">
        <v>2</v>
      </c>
      <c r="E28" s="306" t="s">
        <v>19604</v>
      </c>
      <c r="F28" s="261" t="s">
        <v>2837</v>
      </c>
      <c r="G28" s="262">
        <v>1</v>
      </c>
      <c r="H28" s="262"/>
      <c r="J28" s="306" t="s">
        <v>19603</v>
      </c>
      <c r="K28" s="261" t="s">
        <v>3779</v>
      </c>
      <c r="L28" s="262">
        <v>1</v>
      </c>
      <c r="M28" s="338" t="s">
        <v>21485</v>
      </c>
      <c r="N28" s="261" t="s">
        <v>10772</v>
      </c>
      <c r="O28" s="262">
        <v>25</v>
      </c>
      <c r="P28" s="261"/>
      <c r="Q28" s="261"/>
      <c r="R28" s="330"/>
    </row>
    <row r="29" spans="1:18" x14ac:dyDescent="0.2">
      <c r="A29" s="306"/>
      <c r="B29" s="261" t="s">
        <v>19603</v>
      </c>
      <c r="C29" s="261" t="s">
        <v>3779</v>
      </c>
      <c r="D29" s="279">
        <v>2</v>
      </c>
      <c r="E29" s="306" t="s">
        <v>19604</v>
      </c>
      <c r="F29" s="261" t="s">
        <v>3779</v>
      </c>
      <c r="G29" s="262">
        <v>1</v>
      </c>
      <c r="H29" s="262"/>
      <c r="J29" s="306" t="s">
        <v>19603</v>
      </c>
      <c r="K29" s="261" t="s">
        <v>1103</v>
      </c>
      <c r="L29" s="262">
        <v>1</v>
      </c>
      <c r="M29" s="338" t="s">
        <v>21485</v>
      </c>
      <c r="N29" s="261" t="s">
        <v>10772</v>
      </c>
      <c r="O29" s="262">
        <v>25</v>
      </c>
      <c r="P29" s="261"/>
      <c r="Q29" s="261"/>
      <c r="R29" s="330"/>
    </row>
    <row r="30" spans="1:18" x14ac:dyDescent="0.2">
      <c r="A30" s="306"/>
      <c r="B30" s="261" t="s">
        <v>19603</v>
      </c>
      <c r="C30" s="261" t="s">
        <v>1103</v>
      </c>
      <c r="D30" s="279">
        <v>2</v>
      </c>
      <c r="E30" s="306" t="s">
        <v>19604</v>
      </c>
      <c r="F30" s="261" t="s">
        <v>1103</v>
      </c>
      <c r="G30" s="262">
        <v>1</v>
      </c>
      <c r="H30" s="262"/>
      <c r="J30" s="306" t="s">
        <v>19603</v>
      </c>
      <c r="K30" s="261" t="s">
        <v>1947</v>
      </c>
      <c r="L30" s="262">
        <v>1</v>
      </c>
      <c r="M30" s="338" t="s">
        <v>21485</v>
      </c>
      <c r="N30" s="261" t="s">
        <v>10772</v>
      </c>
      <c r="O30" s="262">
        <v>25</v>
      </c>
      <c r="P30" s="261"/>
      <c r="Q30" s="261"/>
      <c r="R30" s="330"/>
    </row>
    <row r="31" spans="1:18" x14ac:dyDescent="0.2">
      <c r="A31" s="306"/>
      <c r="B31" s="261" t="s">
        <v>19603</v>
      </c>
      <c r="C31" s="261" t="s">
        <v>1947</v>
      </c>
      <c r="D31" s="279">
        <v>2</v>
      </c>
      <c r="E31" s="306" t="s">
        <v>19604</v>
      </c>
      <c r="F31" s="261" t="s">
        <v>1947</v>
      </c>
      <c r="G31" s="262">
        <v>1</v>
      </c>
      <c r="H31" s="262"/>
      <c r="J31" s="306" t="s">
        <v>19604</v>
      </c>
      <c r="K31" s="261" t="s">
        <v>122</v>
      </c>
      <c r="L31" s="262">
        <v>1</v>
      </c>
      <c r="M31" s="338" t="s">
        <v>21485</v>
      </c>
      <c r="N31" s="261" t="s">
        <v>10772</v>
      </c>
      <c r="O31" s="262">
        <v>35</v>
      </c>
      <c r="P31" s="261"/>
      <c r="Q31" s="261"/>
      <c r="R31" s="330"/>
    </row>
    <row r="32" spans="1:18" x14ac:dyDescent="0.2">
      <c r="A32" s="306"/>
      <c r="B32" s="261" t="s">
        <v>19604</v>
      </c>
      <c r="C32" s="261" t="s">
        <v>122</v>
      </c>
      <c r="D32" s="279">
        <v>1</v>
      </c>
      <c r="E32" s="306" t="s">
        <v>19603</v>
      </c>
      <c r="F32" s="261" t="s">
        <v>122</v>
      </c>
      <c r="G32" s="262">
        <v>5</v>
      </c>
      <c r="H32" s="262"/>
      <c r="J32" s="306" t="s">
        <v>19604</v>
      </c>
      <c r="K32" s="261" t="s">
        <v>2837</v>
      </c>
      <c r="L32" s="262">
        <v>1</v>
      </c>
      <c r="M32" s="338" t="s">
        <v>21485</v>
      </c>
      <c r="N32" s="261" t="s">
        <v>10772</v>
      </c>
      <c r="O32" s="262">
        <v>35</v>
      </c>
      <c r="P32" s="261"/>
      <c r="Q32" s="261"/>
      <c r="R32" s="330"/>
    </row>
    <row r="33" spans="1:18" x14ac:dyDescent="0.2">
      <c r="A33" s="306"/>
      <c r="B33" s="261" t="s">
        <v>19604</v>
      </c>
      <c r="C33" s="261" t="s">
        <v>2837</v>
      </c>
      <c r="D33" s="279">
        <v>1</v>
      </c>
      <c r="E33" s="306" t="s">
        <v>19603</v>
      </c>
      <c r="F33" s="261" t="s">
        <v>2837</v>
      </c>
      <c r="G33" s="262">
        <v>5</v>
      </c>
      <c r="H33" s="262"/>
      <c r="J33" s="306" t="s">
        <v>19604</v>
      </c>
      <c r="K33" s="261" t="s">
        <v>3779</v>
      </c>
      <c r="L33" s="262">
        <v>1</v>
      </c>
      <c r="M33" s="338" t="s">
        <v>21485</v>
      </c>
      <c r="N33" s="261" t="s">
        <v>10772</v>
      </c>
      <c r="O33" s="262">
        <v>35</v>
      </c>
      <c r="P33" s="261"/>
      <c r="Q33" s="261"/>
      <c r="R33" s="330"/>
    </row>
    <row r="34" spans="1:18" x14ac:dyDescent="0.2">
      <c r="A34" s="306"/>
      <c r="B34" s="261" t="s">
        <v>19604</v>
      </c>
      <c r="C34" s="261" t="s">
        <v>3779</v>
      </c>
      <c r="D34" s="279">
        <v>1</v>
      </c>
      <c r="E34" s="306" t="s">
        <v>19603</v>
      </c>
      <c r="F34" s="261" t="s">
        <v>3779</v>
      </c>
      <c r="G34" s="262">
        <v>5</v>
      </c>
      <c r="H34" s="262"/>
      <c r="J34" s="306" t="s">
        <v>19604</v>
      </c>
      <c r="K34" s="261" t="s">
        <v>1103</v>
      </c>
      <c r="L34" s="262">
        <v>1</v>
      </c>
      <c r="M34" s="338" t="s">
        <v>21485</v>
      </c>
      <c r="N34" s="261" t="s">
        <v>10772</v>
      </c>
      <c r="O34" s="262">
        <v>35</v>
      </c>
      <c r="P34" s="261"/>
      <c r="Q34" s="261"/>
      <c r="R34" s="330"/>
    </row>
    <row r="35" spans="1:18" x14ac:dyDescent="0.2">
      <c r="A35" s="306"/>
      <c r="B35" s="261" t="s">
        <v>19604</v>
      </c>
      <c r="C35" s="261" t="s">
        <v>1103</v>
      </c>
      <c r="D35" s="279">
        <v>1</v>
      </c>
      <c r="E35" s="306" t="s">
        <v>19603</v>
      </c>
      <c r="F35" s="261" t="s">
        <v>1103</v>
      </c>
      <c r="G35" s="262">
        <v>5</v>
      </c>
      <c r="H35" s="262"/>
      <c r="J35" s="306" t="s">
        <v>19604</v>
      </c>
      <c r="K35" s="261" t="s">
        <v>1947</v>
      </c>
      <c r="L35" s="262">
        <v>1</v>
      </c>
      <c r="M35" s="338" t="s">
        <v>21485</v>
      </c>
      <c r="N35" s="261" t="s">
        <v>10772</v>
      </c>
      <c r="O35" s="262">
        <v>35</v>
      </c>
      <c r="P35" s="261"/>
      <c r="Q35" s="261"/>
      <c r="R35" s="330"/>
    </row>
    <row r="36" spans="1:18" x14ac:dyDescent="0.2">
      <c r="A36" s="306"/>
      <c r="B36" s="261" t="s">
        <v>19604</v>
      </c>
      <c r="C36" s="261" t="s">
        <v>1947</v>
      </c>
      <c r="D36" s="279">
        <v>1</v>
      </c>
      <c r="E36" s="306" t="s">
        <v>19603</v>
      </c>
      <c r="F36" s="261" t="s">
        <v>1947</v>
      </c>
      <c r="G36" s="262">
        <v>5</v>
      </c>
      <c r="H36" s="262"/>
      <c r="J36" s="306" t="s">
        <v>10913</v>
      </c>
      <c r="K36" s="261" t="s">
        <v>122</v>
      </c>
      <c r="L36" s="262">
        <v>1</v>
      </c>
      <c r="M36" s="338" t="s">
        <v>21485</v>
      </c>
      <c r="N36" s="261" t="s">
        <v>10772</v>
      </c>
      <c r="O36" s="262">
        <v>50</v>
      </c>
      <c r="P36" s="261"/>
      <c r="Q36" s="261"/>
      <c r="R36" s="330"/>
    </row>
    <row r="37" spans="1:18" x14ac:dyDescent="0.2">
      <c r="A37" s="306"/>
      <c r="B37" s="261" t="s">
        <v>17507</v>
      </c>
      <c r="C37" s="261" t="s">
        <v>10772</v>
      </c>
      <c r="D37" s="279">
        <v>30000</v>
      </c>
      <c r="E37" s="306" t="s">
        <v>19619</v>
      </c>
      <c r="F37" s="261" t="s">
        <v>10772</v>
      </c>
      <c r="G37" s="262">
        <v>1</v>
      </c>
      <c r="H37" s="262"/>
      <c r="J37" s="306" t="s">
        <v>12647</v>
      </c>
      <c r="K37" s="261" t="s">
        <v>122</v>
      </c>
      <c r="L37" s="262">
        <v>1</v>
      </c>
      <c r="M37" s="338" t="s">
        <v>21485</v>
      </c>
      <c r="N37" s="261" t="s">
        <v>10772</v>
      </c>
      <c r="O37" s="262">
        <v>75</v>
      </c>
      <c r="P37" s="261"/>
      <c r="Q37" s="261"/>
      <c r="R37" s="330"/>
    </row>
    <row r="38" spans="1:18" x14ac:dyDescent="0.2">
      <c r="A38" s="306"/>
      <c r="B38" s="261" t="s">
        <v>10756</v>
      </c>
      <c r="C38" s="261" t="s">
        <v>10772</v>
      </c>
      <c r="D38" s="279">
        <v>30000</v>
      </c>
      <c r="E38" s="306" t="s">
        <v>19619</v>
      </c>
      <c r="F38" s="261" t="s">
        <v>10772</v>
      </c>
      <c r="G38" s="262">
        <v>1</v>
      </c>
      <c r="H38" s="262"/>
      <c r="J38" s="306" t="s">
        <v>10913</v>
      </c>
      <c r="K38" s="261" t="s">
        <v>1103</v>
      </c>
      <c r="L38" s="262">
        <v>1</v>
      </c>
      <c r="M38" s="338" t="s">
        <v>21485</v>
      </c>
      <c r="N38" s="261" t="s">
        <v>10772</v>
      </c>
      <c r="O38" s="262">
        <v>50</v>
      </c>
      <c r="P38" s="261"/>
      <c r="Q38" s="261"/>
      <c r="R38" s="330"/>
    </row>
    <row r="39" spans="1:18" x14ac:dyDescent="0.2">
      <c r="A39" s="306"/>
      <c r="B39" s="261" t="s">
        <v>22222</v>
      </c>
      <c r="C39" s="261" t="s">
        <v>10772</v>
      </c>
      <c r="D39" s="279">
        <v>30</v>
      </c>
      <c r="E39" s="306" t="s">
        <v>19619</v>
      </c>
      <c r="F39" s="261" t="s">
        <v>10772</v>
      </c>
      <c r="G39" s="262">
        <v>1</v>
      </c>
      <c r="H39" s="262"/>
      <c r="J39" s="306" t="s">
        <v>12647</v>
      </c>
      <c r="K39" s="261" t="s">
        <v>1103</v>
      </c>
      <c r="L39" s="262">
        <v>1</v>
      </c>
      <c r="M39" s="338" t="s">
        <v>21485</v>
      </c>
      <c r="N39" s="261" t="s">
        <v>10772</v>
      </c>
      <c r="O39" s="262">
        <v>75</v>
      </c>
      <c r="P39" s="261"/>
      <c r="Q39" s="261"/>
      <c r="R39" s="330"/>
    </row>
    <row r="40" spans="1:18" x14ac:dyDescent="0.2">
      <c r="A40" s="306" t="s">
        <v>9422</v>
      </c>
      <c r="B40" s="261" t="s">
        <v>9423</v>
      </c>
      <c r="C40" s="261"/>
      <c r="D40" s="279">
        <v>1</v>
      </c>
      <c r="E40" s="306" t="s">
        <v>10756</v>
      </c>
      <c r="F40" s="261" t="s">
        <v>10772</v>
      </c>
      <c r="G40" s="262">
        <v>5000</v>
      </c>
      <c r="H40" s="262" t="s">
        <v>22223</v>
      </c>
      <c r="J40" s="306" t="s">
        <v>10913</v>
      </c>
      <c r="K40" s="261" t="s">
        <v>1947</v>
      </c>
      <c r="L40" s="262">
        <v>1</v>
      </c>
      <c r="M40" s="338" t="s">
        <v>21485</v>
      </c>
      <c r="N40" s="261" t="s">
        <v>10772</v>
      </c>
      <c r="O40" s="262">
        <v>50</v>
      </c>
      <c r="P40" s="261"/>
      <c r="Q40" s="261"/>
      <c r="R40" s="330"/>
    </row>
    <row r="41" spans="1:18" x14ac:dyDescent="0.2">
      <c r="A41" s="306" t="s">
        <v>9440</v>
      </c>
      <c r="B41" s="261" t="s">
        <v>9441</v>
      </c>
      <c r="C41" s="261"/>
      <c r="D41" s="279">
        <v>1</v>
      </c>
      <c r="E41" s="306" t="s">
        <v>10756</v>
      </c>
      <c r="F41" s="261" t="s">
        <v>10772</v>
      </c>
      <c r="G41" s="262">
        <v>5000</v>
      </c>
      <c r="H41" s="262" t="s">
        <v>22223</v>
      </c>
      <c r="J41" s="306" t="s">
        <v>12647</v>
      </c>
      <c r="K41" s="261" t="s">
        <v>1947</v>
      </c>
      <c r="L41" s="262">
        <v>1</v>
      </c>
      <c r="M41" s="338" t="s">
        <v>21485</v>
      </c>
      <c r="N41" s="261" t="s">
        <v>10772</v>
      </c>
      <c r="O41" s="262">
        <v>75</v>
      </c>
      <c r="P41" s="261"/>
      <c r="Q41" s="261"/>
      <c r="R41" s="330"/>
    </row>
    <row r="42" spans="1:18" x14ac:dyDescent="0.2">
      <c r="A42" s="306" t="s">
        <v>9402</v>
      </c>
      <c r="B42" s="261" t="s">
        <v>9403</v>
      </c>
      <c r="C42" s="261"/>
      <c r="D42" s="279">
        <v>1</v>
      </c>
      <c r="E42" s="306" t="s">
        <v>10756</v>
      </c>
      <c r="F42" s="261" t="s">
        <v>10772</v>
      </c>
      <c r="G42" s="262">
        <v>5000</v>
      </c>
      <c r="H42" s="262" t="s">
        <v>22223</v>
      </c>
      <c r="J42" s="306" t="s">
        <v>10913</v>
      </c>
      <c r="K42" s="261" t="s">
        <v>2837</v>
      </c>
      <c r="L42" s="262">
        <v>1</v>
      </c>
      <c r="M42" s="338" t="s">
        <v>21485</v>
      </c>
      <c r="N42" s="261" t="s">
        <v>10772</v>
      </c>
      <c r="O42" s="262">
        <v>50</v>
      </c>
      <c r="P42" s="261"/>
      <c r="Q42" s="261"/>
      <c r="R42" s="330"/>
    </row>
    <row r="43" spans="1:18" x14ac:dyDescent="0.2">
      <c r="A43" s="306" t="s">
        <v>9413</v>
      </c>
      <c r="B43" s="261" t="s">
        <v>9414</v>
      </c>
      <c r="C43" s="261"/>
      <c r="D43" s="279">
        <v>1</v>
      </c>
      <c r="E43" s="306" t="s">
        <v>10756</v>
      </c>
      <c r="F43" s="261" t="s">
        <v>10772</v>
      </c>
      <c r="G43" s="262">
        <v>5000</v>
      </c>
      <c r="H43" s="262" t="s">
        <v>22223</v>
      </c>
      <c r="J43" s="306" t="s">
        <v>12647</v>
      </c>
      <c r="K43" s="261" t="s">
        <v>2837</v>
      </c>
      <c r="L43" s="262">
        <v>1</v>
      </c>
      <c r="M43" s="338" t="s">
        <v>21485</v>
      </c>
      <c r="N43" s="261" t="s">
        <v>10772</v>
      </c>
      <c r="O43" s="262">
        <v>75</v>
      </c>
      <c r="P43" s="261"/>
      <c r="Q43" s="261"/>
      <c r="R43" s="330"/>
    </row>
    <row r="44" spans="1:18" x14ac:dyDescent="0.2">
      <c r="A44" s="306" t="s">
        <v>9431</v>
      </c>
      <c r="B44" s="261" t="s">
        <v>9432</v>
      </c>
      <c r="C44" s="261"/>
      <c r="D44" s="279">
        <v>1</v>
      </c>
      <c r="E44" s="306" t="s">
        <v>10756</v>
      </c>
      <c r="F44" s="261" t="s">
        <v>10772</v>
      </c>
      <c r="G44" s="262">
        <v>5000</v>
      </c>
      <c r="H44" s="262" t="s">
        <v>22223</v>
      </c>
      <c r="J44" s="306" t="s">
        <v>10913</v>
      </c>
      <c r="K44" s="261" t="s">
        <v>3779</v>
      </c>
      <c r="L44" s="262">
        <v>1</v>
      </c>
      <c r="M44" s="338" t="s">
        <v>21485</v>
      </c>
      <c r="N44" s="261" t="s">
        <v>10772</v>
      </c>
      <c r="O44" s="262">
        <v>50</v>
      </c>
      <c r="P44" s="261"/>
      <c r="Q44" s="261"/>
      <c r="R44" s="330"/>
    </row>
    <row r="45" spans="1:18" x14ac:dyDescent="0.2">
      <c r="A45" s="306" t="s">
        <v>9084</v>
      </c>
      <c r="B45" s="261" t="s">
        <v>9085</v>
      </c>
      <c r="C45" s="261"/>
      <c r="D45" s="279">
        <v>1</v>
      </c>
      <c r="E45" s="306" t="s">
        <v>19619</v>
      </c>
      <c r="F45" s="261" t="s">
        <v>10772</v>
      </c>
      <c r="G45" s="262">
        <v>5</v>
      </c>
      <c r="H45" s="262" t="s">
        <v>22223</v>
      </c>
      <c r="J45" s="306" t="s">
        <v>12647</v>
      </c>
      <c r="K45" s="261" t="s">
        <v>3779</v>
      </c>
      <c r="L45" s="262">
        <v>1</v>
      </c>
      <c r="M45" s="338" t="s">
        <v>21485</v>
      </c>
      <c r="N45" s="261" t="s">
        <v>10772</v>
      </c>
      <c r="O45" s="262">
        <v>75</v>
      </c>
      <c r="P45" s="261"/>
      <c r="Q45" s="261"/>
      <c r="R45" s="330"/>
    </row>
    <row r="46" spans="1:18" x14ac:dyDescent="0.2">
      <c r="A46" s="306" t="s">
        <v>9074</v>
      </c>
      <c r="B46" s="261" t="s">
        <v>9075</v>
      </c>
      <c r="C46" s="261"/>
      <c r="D46" s="279">
        <v>1</v>
      </c>
      <c r="E46" s="306" t="s">
        <v>19619</v>
      </c>
      <c r="F46" s="261" t="s">
        <v>10772</v>
      </c>
      <c r="G46" s="262">
        <v>10</v>
      </c>
      <c r="H46" s="262" t="s">
        <v>22223</v>
      </c>
      <c r="J46" s="306" t="s">
        <v>12645</v>
      </c>
      <c r="K46" s="261" t="s">
        <v>122</v>
      </c>
      <c r="L46" s="262">
        <v>1</v>
      </c>
      <c r="M46" s="338" t="s">
        <v>21485</v>
      </c>
      <c r="N46" s="261" t="s">
        <v>10772</v>
      </c>
      <c r="O46" s="262">
        <v>100</v>
      </c>
      <c r="P46" s="261"/>
      <c r="Q46" s="261"/>
      <c r="R46" s="330"/>
    </row>
    <row r="47" spans="1:18" x14ac:dyDescent="0.2">
      <c r="A47" s="306" t="s">
        <v>9063</v>
      </c>
      <c r="B47" s="261" t="s">
        <v>9064</v>
      </c>
      <c r="C47" s="261"/>
      <c r="D47" s="279">
        <v>1</v>
      </c>
      <c r="E47" s="306" t="s">
        <v>19619</v>
      </c>
      <c r="F47" s="261" t="s">
        <v>10772</v>
      </c>
      <c r="G47" s="262">
        <v>20</v>
      </c>
      <c r="H47" s="262" t="s">
        <v>22223</v>
      </c>
      <c r="J47" s="306" t="s">
        <v>12651</v>
      </c>
      <c r="K47" s="261" t="s">
        <v>122</v>
      </c>
      <c r="L47" s="262">
        <v>1</v>
      </c>
      <c r="M47" s="338" t="s">
        <v>21485</v>
      </c>
      <c r="N47" s="261" t="s">
        <v>10772</v>
      </c>
      <c r="O47" s="262">
        <v>100</v>
      </c>
      <c r="P47" s="261"/>
      <c r="Q47" s="261"/>
      <c r="R47" s="330"/>
    </row>
    <row r="48" spans="1:18" x14ac:dyDescent="0.2">
      <c r="A48" s="306" t="s">
        <v>2708</v>
      </c>
      <c r="B48" s="261" t="s">
        <v>2709</v>
      </c>
      <c r="C48" s="261"/>
      <c r="D48" s="279">
        <v>1</v>
      </c>
      <c r="E48" s="306" t="s">
        <v>10756</v>
      </c>
      <c r="F48" s="261" t="s">
        <v>10772</v>
      </c>
      <c r="G48" s="262">
        <v>1000000</v>
      </c>
      <c r="H48" s="262" t="s">
        <v>22223</v>
      </c>
      <c r="J48" s="306" t="s">
        <v>12657</v>
      </c>
      <c r="K48" s="261" t="s">
        <v>122</v>
      </c>
      <c r="L48" s="262">
        <v>1</v>
      </c>
      <c r="M48" s="338" t="s">
        <v>21485</v>
      </c>
      <c r="N48" s="261" t="s">
        <v>10772</v>
      </c>
      <c r="O48" s="262">
        <v>100</v>
      </c>
      <c r="P48" s="261"/>
      <c r="Q48" s="261"/>
      <c r="R48" s="330"/>
    </row>
    <row r="49" spans="1:18" x14ac:dyDescent="0.2">
      <c r="A49" s="306"/>
      <c r="B49" s="261" t="s">
        <v>10756</v>
      </c>
      <c r="C49" s="261">
        <v>1</v>
      </c>
      <c r="D49" s="279"/>
      <c r="E49" s="306" t="s">
        <v>17507</v>
      </c>
      <c r="F49" s="261">
        <v>2</v>
      </c>
      <c r="G49" s="262"/>
      <c r="H49" s="262"/>
      <c r="J49" s="306" t="s">
        <v>12673</v>
      </c>
      <c r="K49" s="261" t="s">
        <v>122</v>
      </c>
      <c r="L49" s="262">
        <v>1</v>
      </c>
      <c r="M49" s="338" t="s">
        <v>21485</v>
      </c>
      <c r="N49" s="261" t="s">
        <v>10772</v>
      </c>
      <c r="O49" s="262">
        <v>100</v>
      </c>
      <c r="P49" s="261"/>
      <c r="Q49" s="261"/>
      <c r="R49" s="330"/>
    </row>
    <row r="50" spans="1:18" x14ac:dyDescent="0.2">
      <c r="A50" s="272"/>
      <c r="B50" s="264" t="s">
        <v>17507</v>
      </c>
      <c r="C50" s="264">
        <v>1</v>
      </c>
      <c r="D50" s="336"/>
      <c r="E50" s="272" t="s">
        <v>10756</v>
      </c>
      <c r="F50" s="264">
        <v>2</v>
      </c>
      <c r="G50" s="266"/>
      <c r="H50" s="266"/>
      <c r="J50" s="306" t="s">
        <v>12670</v>
      </c>
      <c r="K50" s="261" t="s">
        <v>122</v>
      </c>
      <c r="L50" s="262">
        <v>1</v>
      </c>
      <c r="M50" s="338" t="s">
        <v>21485</v>
      </c>
      <c r="N50" s="261" t="s">
        <v>10772</v>
      </c>
      <c r="O50" s="262">
        <v>150</v>
      </c>
      <c r="P50" s="261"/>
      <c r="Q50" s="261"/>
      <c r="R50" s="330"/>
    </row>
    <row r="51" spans="1:18" x14ac:dyDescent="0.2">
      <c r="J51" s="306" t="s">
        <v>12676</v>
      </c>
      <c r="K51" s="261" t="s">
        <v>122</v>
      </c>
      <c r="L51" s="262">
        <v>1</v>
      </c>
      <c r="M51" s="338" t="s">
        <v>21485</v>
      </c>
      <c r="N51" s="261" t="s">
        <v>10772</v>
      </c>
      <c r="O51" s="262">
        <v>150</v>
      </c>
      <c r="P51" s="261"/>
      <c r="Q51" s="261"/>
      <c r="R51" s="330"/>
    </row>
    <row r="52" spans="1:18" x14ac:dyDescent="0.2">
      <c r="J52" s="306" t="s">
        <v>12681</v>
      </c>
      <c r="K52" s="261" t="s">
        <v>122</v>
      </c>
      <c r="L52" s="262">
        <v>1</v>
      </c>
      <c r="M52" s="338" t="s">
        <v>21485</v>
      </c>
      <c r="N52" s="261" t="s">
        <v>10772</v>
      </c>
      <c r="O52" s="262">
        <v>150</v>
      </c>
      <c r="P52" s="261"/>
      <c r="Q52" s="261"/>
      <c r="R52" s="330"/>
    </row>
    <row r="53" spans="1:18" x14ac:dyDescent="0.2">
      <c r="J53" s="306" t="s">
        <v>12684</v>
      </c>
      <c r="K53" s="261" t="s">
        <v>122</v>
      </c>
      <c r="L53" s="262">
        <v>1</v>
      </c>
      <c r="M53" s="338" t="s">
        <v>21485</v>
      </c>
      <c r="N53" s="261" t="s">
        <v>10772</v>
      </c>
      <c r="O53" s="262">
        <v>200</v>
      </c>
      <c r="P53" s="261"/>
      <c r="Q53" s="261"/>
      <c r="R53" s="330"/>
    </row>
    <row r="54" spans="1:18" x14ac:dyDescent="0.2">
      <c r="J54" s="306" t="s">
        <v>12653</v>
      </c>
      <c r="K54" s="261" t="s">
        <v>122</v>
      </c>
      <c r="L54" s="262">
        <v>1</v>
      </c>
      <c r="M54" s="338" t="s">
        <v>21485</v>
      </c>
      <c r="N54" s="261" t="s">
        <v>10772</v>
      </c>
      <c r="O54" s="262">
        <v>250</v>
      </c>
      <c r="P54" s="261"/>
      <c r="Q54" s="261"/>
      <c r="R54" s="330"/>
    </row>
    <row r="55" spans="1:18" x14ac:dyDescent="0.2">
      <c r="J55" s="306" t="s">
        <v>12645</v>
      </c>
      <c r="K55" s="261" t="s">
        <v>2837</v>
      </c>
      <c r="L55" s="262">
        <v>1</v>
      </c>
      <c r="M55" s="338" t="s">
        <v>21485</v>
      </c>
      <c r="N55" s="261" t="s">
        <v>10772</v>
      </c>
      <c r="O55" s="262">
        <v>100</v>
      </c>
      <c r="P55" s="261"/>
      <c r="Q55" s="261"/>
      <c r="R55" s="330"/>
    </row>
    <row r="56" spans="1:18" x14ac:dyDescent="0.2">
      <c r="J56" s="306" t="s">
        <v>12651</v>
      </c>
      <c r="K56" s="261" t="s">
        <v>2837</v>
      </c>
      <c r="L56" s="262">
        <v>1</v>
      </c>
      <c r="M56" s="338" t="s">
        <v>21485</v>
      </c>
      <c r="N56" s="261" t="s">
        <v>10772</v>
      </c>
      <c r="O56" s="262">
        <v>100</v>
      </c>
      <c r="P56" s="261"/>
      <c r="Q56" s="261"/>
      <c r="R56" s="330"/>
    </row>
    <row r="57" spans="1:18" x14ac:dyDescent="0.2">
      <c r="J57" s="306" t="s">
        <v>12657</v>
      </c>
      <c r="K57" s="261" t="s">
        <v>2837</v>
      </c>
      <c r="L57" s="262">
        <v>1</v>
      </c>
      <c r="M57" s="338" t="s">
        <v>21485</v>
      </c>
      <c r="N57" s="261" t="s">
        <v>10772</v>
      </c>
      <c r="O57" s="262">
        <v>100</v>
      </c>
      <c r="P57" s="261"/>
      <c r="Q57" s="261"/>
      <c r="R57" s="330"/>
    </row>
    <row r="58" spans="1:18" x14ac:dyDescent="0.2">
      <c r="J58" s="306" t="s">
        <v>12673</v>
      </c>
      <c r="K58" s="261" t="s">
        <v>2837</v>
      </c>
      <c r="L58" s="262">
        <v>1</v>
      </c>
      <c r="M58" s="338" t="s">
        <v>21485</v>
      </c>
      <c r="N58" s="261" t="s">
        <v>10772</v>
      </c>
      <c r="O58" s="262">
        <v>100</v>
      </c>
      <c r="P58" s="261"/>
      <c r="Q58" s="261"/>
      <c r="R58" s="330"/>
    </row>
    <row r="59" spans="1:18" x14ac:dyDescent="0.2">
      <c r="J59" s="306" t="s">
        <v>12670</v>
      </c>
      <c r="K59" s="261" t="s">
        <v>2837</v>
      </c>
      <c r="L59" s="262">
        <v>1</v>
      </c>
      <c r="M59" s="338" t="s">
        <v>21485</v>
      </c>
      <c r="N59" s="261" t="s">
        <v>10772</v>
      </c>
      <c r="O59" s="262">
        <v>150</v>
      </c>
      <c r="P59" s="261"/>
      <c r="Q59" s="261"/>
      <c r="R59" s="330"/>
    </row>
    <row r="60" spans="1:18" x14ac:dyDescent="0.2">
      <c r="J60" s="306" t="s">
        <v>12676</v>
      </c>
      <c r="K60" s="261" t="s">
        <v>2837</v>
      </c>
      <c r="L60" s="262">
        <v>1</v>
      </c>
      <c r="M60" s="338" t="s">
        <v>21485</v>
      </c>
      <c r="N60" s="261" t="s">
        <v>10772</v>
      </c>
      <c r="O60" s="262">
        <v>150</v>
      </c>
      <c r="P60" s="261"/>
      <c r="Q60" s="261"/>
      <c r="R60" s="330"/>
    </row>
    <row r="61" spans="1:18" x14ac:dyDescent="0.2">
      <c r="J61" s="306" t="s">
        <v>12681</v>
      </c>
      <c r="K61" s="261" t="s">
        <v>2837</v>
      </c>
      <c r="L61" s="262">
        <v>1</v>
      </c>
      <c r="M61" s="338" t="s">
        <v>21485</v>
      </c>
      <c r="N61" s="261" t="s">
        <v>10772</v>
      </c>
      <c r="O61" s="262">
        <v>150</v>
      </c>
      <c r="P61" s="261"/>
      <c r="Q61" s="261"/>
      <c r="R61" s="330"/>
    </row>
    <row r="62" spans="1:18" x14ac:dyDescent="0.2">
      <c r="J62" s="306" t="s">
        <v>12684</v>
      </c>
      <c r="K62" s="261" t="s">
        <v>2837</v>
      </c>
      <c r="L62" s="262">
        <v>1</v>
      </c>
      <c r="M62" s="338" t="s">
        <v>21485</v>
      </c>
      <c r="N62" s="261" t="s">
        <v>10772</v>
      </c>
      <c r="O62" s="262">
        <v>200</v>
      </c>
      <c r="P62" s="261"/>
      <c r="Q62" s="261"/>
      <c r="R62" s="330"/>
    </row>
    <row r="63" spans="1:18" x14ac:dyDescent="0.2">
      <c r="J63" s="306" t="s">
        <v>12653</v>
      </c>
      <c r="K63" s="261" t="s">
        <v>2837</v>
      </c>
      <c r="L63" s="262">
        <v>1</v>
      </c>
      <c r="M63" s="338" t="s">
        <v>21485</v>
      </c>
      <c r="N63" s="261" t="s">
        <v>10772</v>
      </c>
      <c r="O63" s="262">
        <v>250</v>
      </c>
      <c r="P63" s="261"/>
      <c r="Q63" s="261"/>
      <c r="R63" s="330"/>
    </row>
    <row r="64" spans="1:18" x14ac:dyDescent="0.2">
      <c r="J64" s="306" t="s">
        <v>12645</v>
      </c>
      <c r="K64" s="261" t="s">
        <v>3779</v>
      </c>
      <c r="L64" s="262">
        <v>1</v>
      </c>
      <c r="M64" s="338" t="s">
        <v>21485</v>
      </c>
      <c r="N64" s="261" t="s">
        <v>10772</v>
      </c>
      <c r="O64" s="262">
        <v>100</v>
      </c>
      <c r="P64" s="261"/>
      <c r="Q64" s="261"/>
      <c r="R64" s="330"/>
    </row>
    <row r="65" spans="10:18" x14ac:dyDescent="0.2">
      <c r="J65" s="306" t="s">
        <v>12651</v>
      </c>
      <c r="K65" s="261" t="s">
        <v>3779</v>
      </c>
      <c r="L65" s="262">
        <v>1</v>
      </c>
      <c r="M65" s="338" t="s">
        <v>21485</v>
      </c>
      <c r="N65" s="261" t="s">
        <v>10772</v>
      </c>
      <c r="O65" s="262">
        <v>100</v>
      </c>
      <c r="P65" s="261"/>
      <c r="Q65" s="261"/>
      <c r="R65" s="330"/>
    </row>
    <row r="66" spans="10:18" x14ac:dyDescent="0.2">
      <c r="J66" s="306" t="s">
        <v>12657</v>
      </c>
      <c r="K66" s="261" t="s">
        <v>3779</v>
      </c>
      <c r="L66" s="262">
        <v>1</v>
      </c>
      <c r="M66" s="338" t="s">
        <v>21485</v>
      </c>
      <c r="N66" s="261" t="s">
        <v>10772</v>
      </c>
      <c r="O66" s="262">
        <v>100</v>
      </c>
      <c r="P66" s="261"/>
      <c r="Q66" s="261"/>
      <c r="R66" s="330"/>
    </row>
    <row r="67" spans="10:18" x14ac:dyDescent="0.2">
      <c r="J67" s="306" t="s">
        <v>12673</v>
      </c>
      <c r="K67" s="261" t="s">
        <v>3779</v>
      </c>
      <c r="L67" s="262">
        <v>1</v>
      </c>
      <c r="M67" s="338" t="s">
        <v>21485</v>
      </c>
      <c r="N67" s="261" t="s">
        <v>10772</v>
      </c>
      <c r="O67" s="262">
        <v>100</v>
      </c>
      <c r="P67" s="261"/>
      <c r="Q67" s="261"/>
      <c r="R67" s="330"/>
    </row>
    <row r="68" spans="10:18" x14ac:dyDescent="0.2">
      <c r="J68" s="306" t="s">
        <v>12670</v>
      </c>
      <c r="K68" s="261" t="s">
        <v>3779</v>
      </c>
      <c r="L68" s="262">
        <v>1</v>
      </c>
      <c r="M68" s="338" t="s">
        <v>21485</v>
      </c>
      <c r="N68" s="261" t="s">
        <v>10772</v>
      </c>
      <c r="O68" s="262">
        <v>150</v>
      </c>
      <c r="P68" s="261"/>
      <c r="Q68" s="261"/>
      <c r="R68" s="330"/>
    </row>
    <row r="69" spans="10:18" x14ac:dyDescent="0.2">
      <c r="J69" s="306" t="s">
        <v>12676</v>
      </c>
      <c r="K69" s="261" t="s">
        <v>3779</v>
      </c>
      <c r="L69" s="262">
        <v>1</v>
      </c>
      <c r="M69" s="338" t="s">
        <v>21485</v>
      </c>
      <c r="N69" s="261" t="s">
        <v>10772</v>
      </c>
      <c r="O69" s="262">
        <v>150</v>
      </c>
      <c r="P69" s="261"/>
      <c r="Q69" s="261"/>
      <c r="R69" s="330"/>
    </row>
    <row r="70" spans="10:18" x14ac:dyDescent="0.2">
      <c r="J70" s="306" t="s">
        <v>12681</v>
      </c>
      <c r="K70" s="261" t="s">
        <v>3779</v>
      </c>
      <c r="L70" s="262">
        <v>1</v>
      </c>
      <c r="M70" s="338" t="s">
        <v>21485</v>
      </c>
      <c r="N70" s="261" t="s">
        <v>10772</v>
      </c>
      <c r="O70" s="262">
        <v>150</v>
      </c>
      <c r="P70" s="261"/>
      <c r="Q70" s="261"/>
      <c r="R70" s="330"/>
    </row>
    <row r="71" spans="10:18" x14ac:dyDescent="0.2">
      <c r="J71" s="306" t="s">
        <v>12684</v>
      </c>
      <c r="K71" s="261" t="s">
        <v>3779</v>
      </c>
      <c r="L71" s="262">
        <v>1</v>
      </c>
      <c r="M71" s="338" t="s">
        <v>21485</v>
      </c>
      <c r="N71" s="261" t="s">
        <v>10772</v>
      </c>
      <c r="O71" s="262">
        <v>200</v>
      </c>
      <c r="P71" s="261"/>
      <c r="Q71" s="261"/>
      <c r="R71" s="330"/>
    </row>
    <row r="72" spans="10:18" x14ac:dyDescent="0.2">
      <c r="J72" s="306" t="s">
        <v>12653</v>
      </c>
      <c r="K72" s="261" t="s">
        <v>3779</v>
      </c>
      <c r="L72" s="262">
        <v>1</v>
      </c>
      <c r="M72" s="338" t="s">
        <v>21485</v>
      </c>
      <c r="N72" s="261" t="s">
        <v>10772</v>
      </c>
      <c r="O72" s="262">
        <v>250</v>
      </c>
      <c r="P72" s="261"/>
      <c r="Q72" s="261"/>
      <c r="R72" s="330"/>
    </row>
    <row r="73" spans="10:18" x14ac:dyDescent="0.2">
      <c r="J73" s="306" t="s">
        <v>12645</v>
      </c>
      <c r="K73" s="261" t="s">
        <v>1947</v>
      </c>
      <c r="L73" s="262">
        <v>1</v>
      </c>
      <c r="M73" s="338" t="s">
        <v>21485</v>
      </c>
      <c r="N73" s="261" t="s">
        <v>10772</v>
      </c>
      <c r="O73" s="262">
        <v>100</v>
      </c>
      <c r="P73" s="261"/>
      <c r="Q73" s="261"/>
      <c r="R73" s="330"/>
    </row>
    <row r="74" spans="10:18" x14ac:dyDescent="0.2">
      <c r="J74" s="306" t="s">
        <v>12651</v>
      </c>
      <c r="K74" s="261" t="s">
        <v>1947</v>
      </c>
      <c r="L74" s="262">
        <v>1</v>
      </c>
      <c r="M74" s="338" t="s">
        <v>21485</v>
      </c>
      <c r="N74" s="261" t="s">
        <v>10772</v>
      </c>
      <c r="O74" s="262">
        <v>100</v>
      </c>
      <c r="P74" s="261"/>
      <c r="Q74" s="261"/>
      <c r="R74" s="330"/>
    </row>
    <row r="75" spans="10:18" x14ac:dyDescent="0.2">
      <c r="J75" s="306" t="s">
        <v>12657</v>
      </c>
      <c r="K75" s="261" t="s">
        <v>1947</v>
      </c>
      <c r="L75" s="262">
        <v>1</v>
      </c>
      <c r="M75" s="338" t="s">
        <v>21485</v>
      </c>
      <c r="N75" s="261" t="s">
        <v>10772</v>
      </c>
      <c r="O75" s="262">
        <v>100</v>
      </c>
      <c r="P75" s="261"/>
      <c r="Q75" s="261"/>
      <c r="R75" s="330"/>
    </row>
    <row r="76" spans="10:18" x14ac:dyDescent="0.2">
      <c r="J76" s="306" t="s">
        <v>12673</v>
      </c>
      <c r="K76" s="261" t="s">
        <v>1947</v>
      </c>
      <c r="L76" s="262">
        <v>1</v>
      </c>
      <c r="M76" s="338" t="s">
        <v>21485</v>
      </c>
      <c r="N76" s="261" t="s">
        <v>10772</v>
      </c>
      <c r="O76" s="262">
        <v>100</v>
      </c>
      <c r="P76" s="261"/>
      <c r="Q76" s="261"/>
      <c r="R76" s="330"/>
    </row>
    <row r="77" spans="10:18" x14ac:dyDescent="0.2">
      <c r="J77" s="306" t="s">
        <v>12670</v>
      </c>
      <c r="K77" s="261" t="s">
        <v>1947</v>
      </c>
      <c r="L77" s="262">
        <v>1</v>
      </c>
      <c r="M77" s="338" t="s">
        <v>21485</v>
      </c>
      <c r="N77" s="261" t="s">
        <v>10772</v>
      </c>
      <c r="O77" s="262">
        <v>150</v>
      </c>
      <c r="P77" s="261"/>
      <c r="Q77" s="261"/>
      <c r="R77" s="330"/>
    </row>
    <row r="78" spans="10:18" x14ac:dyDescent="0.2">
      <c r="J78" s="306" t="s">
        <v>12676</v>
      </c>
      <c r="K78" s="261" t="s">
        <v>1947</v>
      </c>
      <c r="L78" s="262">
        <v>1</v>
      </c>
      <c r="M78" s="338" t="s">
        <v>21485</v>
      </c>
      <c r="N78" s="261" t="s">
        <v>10772</v>
      </c>
      <c r="O78" s="262">
        <v>150</v>
      </c>
      <c r="P78" s="261"/>
      <c r="Q78" s="261"/>
      <c r="R78" s="330"/>
    </row>
    <row r="79" spans="10:18" x14ac:dyDescent="0.2">
      <c r="J79" s="306" t="s">
        <v>12681</v>
      </c>
      <c r="K79" s="261" t="s">
        <v>1947</v>
      </c>
      <c r="L79" s="262">
        <v>1</v>
      </c>
      <c r="M79" s="338" t="s">
        <v>21485</v>
      </c>
      <c r="N79" s="261" t="s">
        <v>10772</v>
      </c>
      <c r="O79" s="262">
        <v>150</v>
      </c>
      <c r="P79" s="261"/>
      <c r="Q79" s="261"/>
      <c r="R79" s="330"/>
    </row>
    <row r="80" spans="10:18" x14ac:dyDescent="0.2">
      <c r="J80" s="306" t="s">
        <v>12684</v>
      </c>
      <c r="K80" s="261" t="s">
        <v>1947</v>
      </c>
      <c r="L80" s="262">
        <v>1</v>
      </c>
      <c r="M80" s="338" t="s">
        <v>21485</v>
      </c>
      <c r="N80" s="261" t="s">
        <v>10772</v>
      </c>
      <c r="O80" s="262">
        <v>200</v>
      </c>
      <c r="P80" s="261"/>
      <c r="Q80" s="261"/>
      <c r="R80" s="330"/>
    </row>
    <row r="81" spans="10:18" x14ac:dyDescent="0.2">
      <c r="J81" s="306" t="s">
        <v>12653</v>
      </c>
      <c r="K81" s="261" t="s">
        <v>1947</v>
      </c>
      <c r="L81" s="262">
        <v>1</v>
      </c>
      <c r="M81" s="338" t="s">
        <v>21485</v>
      </c>
      <c r="N81" s="261" t="s">
        <v>10772</v>
      </c>
      <c r="O81" s="262">
        <v>250</v>
      </c>
      <c r="P81" s="261"/>
      <c r="Q81" s="261"/>
      <c r="R81" s="330"/>
    </row>
    <row r="82" spans="10:18" x14ac:dyDescent="0.2">
      <c r="J82" s="306" t="s">
        <v>12645</v>
      </c>
      <c r="K82" s="261" t="s">
        <v>1103</v>
      </c>
      <c r="L82" s="262">
        <v>1</v>
      </c>
      <c r="M82" s="338" t="s">
        <v>21485</v>
      </c>
      <c r="N82" s="261" t="s">
        <v>10772</v>
      </c>
      <c r="O82" s="262">
        <v>100</v>
      </c>
      <c r="P82" s="261"/>
      <c r="Q82" s="261"/>
      <c r="R82" s="330"/>
    </row>
    <row r="83" spans="10:18" x14ac:dyDescent="0.2">
      <c r="J83" s="306" t="s">
        <v>12651</v>
      </c>
      <c r="K83" s="261" t="s">
        <v>1103</v>
      </c>
      <c r="L83" s="262">
        <v>1</v>
      </c>
      <c r="M83" s="338" t="s">
        <v>21485</v>
      </c>
      <c r="N83" s="261" t="s">
        <v>10772</v>
      </c>
      <c r="O83" s="262">
        <v>100</v>
      </c>
      <c r="P83" s="261"/>
      <c r="Q83" s="261"/>
      <c r="R83" s="330"/>
    </row>
    <row r="84" spans="10:18" x14ac:dyDescent="0.2">
      <c r="J84" s="306" t="s">
        <v>12657</v>
      </c>
      <c r="K84" s="261" t="s">
        <v>1103</v>
      </c>
      <c r="L84" s="262">
        <v>1</v>
      </c>
      <c r="M84" s="338" t="s">
        <v>21485</v>
      </c>
      <c r="N84" s="261" t="s">
        <v>10772</v>
      </c>
      <c r="O84" s="262">
        <v>100</v>
      </c>
      <c r="P84" s="261"/>
      <c r="Q84" s="261"/>
      <c r="R84" s="330"/>
    </row>
    <row r="85" spans="10:18" x14ac:dyDescent="0.2">
      <c r="J85" s="306" t="s">
        <v>12673</v>
      </c>
      <c r="K85" s="261" t="s">
        <v>1103</v>
      </c>
      <c r="L85" s="262">
        <v>1</v>
      </c>
      <c r="M85" s="338" t="s">
        <v>21485</v>
      </c>
      <c r="N85" s="261" t="s">
        <v>10772</v>
      </c>
      <c r="O85" s="262">
        <v>100</v>
      </c>
      <c r="P85" s="261"/>
      <c r="Q85" s="261"/>
      <c r="R85" s="330"/>
    </row>
    <row r="86" spans="10:18" x14ac:dyDescent="0.2">
      <c r="J86" s="306" t="s">
        <v>12670</v>
      </c>
      <c r="K86" s="261" t="s">
        <v>1103</v>
      </c>
      <c r="L86" s="262">
        <v>1</v>
      </c>
      <c r="M86" s="338" t="s">
        <v>21485</v>
      </c>
      <c r="N86" s="261" t="s">
        <v>10772</v>
      </c>
      <c r="O86" s="262">
        <v>150</v>
      </c>
      <c r="P86" s="261"/>
      <c r="Q86" s="261"/>
      <c r="R86" s="330"/>
    </row>
    <row r="87" spans="10:18" x14ac:dyDescent="0.2">
      <c r="J87" s="306" t="s">
        <v>12676</v>
      </c>
      <c r="K87" s="261" t="s">
        <v>1103</v>
      </c>
      <c r="L87" s="262">
        <v>1</v>
      </c>
      <c r="M87" s="338" t="s">
        <v>21485</v>
      </c>
      <c r="N87" s="261" t="s">
        <v>10772</v>
      </c>
      <c r="O87" s="262">
        <v>150</v>
      </c>
      <c r="P87" s="261"/>
      <c r="Q87" s="261"/>
      <c r="R87" s="330"/>
    </row>
    <row r="88" spans="10:18" x14ac:dyDescent="0.2">
      <c r="J88" s="306" t="s">
        <v>12681</v>
      </c>
      <c r="K88" s="261" t="s">
        <v>1103</v>
      </c>
      <c r="L88" s="262">
        <v>1</v>
      </c>
      <c r="M88" s="338" t="s">
        <v>21485</v>
      </c>
      <c r="N88" s="261" t="s">
        <v>10772</v>
      </c>
      <c r="O88" s="262">
        <v>150</v>
      </c>
      <c r="P88" s="261"/>
      <c r="Q88" s="261"/>
      <c r="R88" s="330"/>
    </row>
    <row r="89" spans="10:18" x14ac:dyDescent="0.2">
      <c r="J89" s="306" t="s">
        <v>12684</v>
      </c>
      <c r="K89" s="261" t="s">
        <v>1103</v>
      </c>
      <c r="L89" s="262">
        <v>1</v>
      </c>
      <c r="M89" s="338" t="s">
        <v>21485</v>
      </c>
      <c r="N89" s="261" t="s">
        <v>10772</v>
      </c>
      <c r="O89" s="262">
        <v>200</v>
      </c>
      <c r="P89" s="261"/>
      <c r="Q89" s="261"/>
      <c r="R89" s="330"/>
    </row>
    <row r="90" spans="10:18" x14ac:dyDescent="0.2">
      <c r="J90" s="306" t="s">
        <v>12653</v>
      </c>
      <c r="K90" s="261" t="s">
        <v>1103</v>
      </c>
      <c r="L90" s="262">
        <v>1</v>
      </c>
      <c r="M90" s="338" t="s">
        <v>21485</v>
      </c>
      <c r="N90" s="261" t="s">
        <v>10772</v>
      </c>
      <c r="O90" s="262">
        <v>250</v>
      </c>
      <c r="P90" s="261"/>
      <c r="Q90" s="261"/>
      <c r="R90" s="330"/>
    </row>
    <row r="91" spans="10:18" x14ac:dyDescent="0.2">
      <c r="J91" s="306" t="s">
        <v>11231</v>
      </c>
      <c r="K91" s="261" t="s">
        <v>122</v>
      </c>
      <c r="L91" s="262">
        <v>1</v>
      </c>
      <c r="M91" s="338" t="s">
        <v>21485</v>
      </c>
      <c r="N91" s="261" t="s">
        <v>10772</v>
      </c>
      <c r="O91" s="262">
        <v>250</v>
      </c>
      <c r="P91" s="261"/>
      <c r="Q91" s="261"/>
      <c r="R91" s="330"/>
    </row>
    <row r="92" spans="10:18" x14ac:dyDescent="0.2">
      <c r="J92" s="306" t="s">
        <v>12659</v>
      </c>
      <c r="K92" s="261" t="s">
        <v>122</v>
      </c>
      <c r="L92" s="262">
        <v>1</v>
      </c>
      <c r="M92" s="338" t="s">
        <v>21485</v>
      </c>
      <c r="N92" s="261" t="s">
        <v>10772</v>
      </c>
      <c r="O92" s="262">
        <v>350</v>
      </c>
      <c r="P92" s="261"/>
      <c r="Q92" s="261"/>
      <c r="R92" s="330"/>
    </row>
    <row r="93" spans="10:18" x14ac:dyDescent="0.2">
      <c r="J93" s="306" t="s">
        <v>11231</v>
      </c>
      <c r="K93" s="261" t="s">
        <v>1103</v>
      </c>
      <c r="L93" s="262">
        <v>1</v>
      </c>
      <c r="M93" s="338" t="s">
        <v>21485</v>
      </c>
      <c r="N93" s="261" t="s">
        <v>10772</v>
      </c>
      <c r="O93" s="262">
        <v>250</v>
      </c>
      <c r="P93" s="261"/>
      <c r="Q93" s="261"/>
      <c r="R93" s="330"/>
    </row>
    <row r="94" spans="10:18" x14ac:dyDescent="0.2">
      <c r="J94" s="306" t="s">
        <v>12659</v>
      </c>
      <c r="K94" s="261" t="s">
        <v>1103</v>
      </c>
      <c r="L94" s="262">
        <v>1</v>
      </c>
      <c r="M94" s="338" t="s">
        <v>21485</v>
      </c>
      <c r="N94" s="261" t="s">
        <v>10772</v>
      </c>
      <c r="O94" s="262">
        <v>350</v>
      </c>
      <c r="P94" s="261"/>
      <c r="Q94" s="261"/>
      <c r="R94" s="330"/>
    </row>
    <row r="95" spans="10:18" x14ac:dyDescent="0.2">
      <c r="J95" s="306" t="s">
        <v>11231</v>
      </c>
      <c r="K95" s="261" t="s">
        <v>1947</v>
      </c>
      <c r="L95" s="262">
        <v>1</v>
      </c>
      <c r="M95" s="338" t="s">
        <v>21485</v>
      </c>
      <c r="N95" s="261" t="s">
        <v>10772</v>
      </c>
      <c r="O95" s="262">
        <v>250</v>
      </c>
      <c r="P95" s="261"/>
      <c r="Q95" s="261"/>
      <c r="R95" s="330"/>
    </row>
    <row r="96" spans="10:18" x14ac:dyDescent="0.2">
      <c r="J96" s="306" t="s">
        <v>12659</v>
      </c>
      <c r="K96" s="261" t="s">
        <v>1947</v>
      </c>
      <c r="L96" s="262">
        <v>1</v>
      </c>
      <c r="M96" s="338" t="s">
        <v>21485</v>
      </c>
      <c r="N96" s="261" t="s">
        <v>10772</v>
      </c>
      <c r="O96" s="262">
        <v>350</v>
      </c>
      <c r="P96" s="261"/>
      <c r="Q96" s="261"/>
      <c r="R96" s="330"/>
    </row>
    <row r="97" spans="10:18" x14ac:dyDescent="0.2">
      <c r="J97" s="306" t="s">
        <v>11231</v>
      </c>
      <c r="K97" s="261" t="s">
        <v>2837</v>
      </c>
      <c r="L97" s="262">
        <v>1</v>
      </c>
      <c r="M97" s="338" t="s">
        <v>21485</v>
      </c>
      <c r="N97" s="261" t="s">
        <v>10772</v>
      </c>
      <c r="O97" s="262">
        <v>250</v>
      </c>
      <c r="P97" s="261"/>
      <c r="Q97" s="261"/>
      <c r="R97" s="330"/>
    </row>
    <row r="98" spans="10:18" x14ac:dyDescent="0.2">
      <c r="J98" s="306" t="s">
        <v>12659</v>
      </c>
      <c r="K98" s="261" t="s">
        <v>2837</v>
      </c>
      <c r="L98" s="262">
        <v>1</v>
      </c>
      <c r="M98" s="338" t="s">
        <v>21485</v>
      </c>
      <c r="N98" s="261" t="s">
        <v>10772</v>
      </c>
      <c r="O98" s="262">
        <v>350</v>
      </c>
      <c r="P98" s="261"/>
      <c r="Q98" s="261"/>
      <c r="R98" s="330"/>
    </row>
    <row r="99" spans="10:18" x14ac:dyDescent="0.2">
      <c r="J99" s="306" t="s">
        <v>11231</v>
      </c>
      <c r="K99" s="261" t="s">
        <v>3779</v>
      </c>
      <c r="L99" s="262">
        <v>1</v>
      </c>
      <c r="M99" s="338" t="s">
        <v>21485</v>
      </c>
      <c r="N99" s="261" t="s">
        <v>10772</v>
      </c>
      <c r="O99" s="262">
        <v>250</v>
      </c>
      <c r="P99" s="261"/>
      <c r="Q99" s="261"/>
      <c r="R99" s="330"/>
    </row>
    <row r="100" spans="10:18" x14ac:dyDescent="0.2">
      <c r="J100" s="306" t="s">
        <v>12659</v>
      </c>
      <c r="K100" s="261" t="s">
        <v>3779</v>
      </c>
      <c r="L100" s="262">
        <v>1</v>
      </c>
      <c r="M100" s="338" t="s">
        <v>21485</v>
      </c>
      <c r="N100" s="261" t="s">
        <v>10772</v>
      </c>
      <c r="O100" s="262">
        <v>350</v>
      </c>
      <c r="P100" s="261"/>
      <c r="Q100" s="261"/>
      <c r="R100" s="330"/>
    </row>
    <row r="101" spans="10:18" x14ac:dyDescent="0.2">
      <c r="J101" s="306" t="s">
        <v>19605</v>
      </c>
      <c r="K101" s="261" t="s">
        <v>122</v>
      </c>
      <c r="L101" s="262">
        <v>1</v>
      </c>
      <c r="M101" s="338" t="s">
        <v>21485</v>
      </c>
      <c r="N101" s="261" t="s">
        <v>10772</v>
      </c>
      <c r="O101" s="262">
        <v>350</v>
      </c>
      <c r="P101" s="261"/>
      <c r="Q101" s="261"/>
      <c r="R101" s="330"/>
    </row>
    <row r="102" spans="10:18" x14ac:dyDescent="0.2">
      <c r="J102" s="306" t="s">
        <v>11373</v>
      </c>
      <c r="K102" s="261" t="s">
        <v>122</v>
      </c>
      <c r="L102" s="262">
        <v>1</v>
      </c>
      <c r="M102" s="338" t="s">
        <v>21485</v>
      </c>
      <c r="N102" s="261" t="s">
        <v>10772</v>
      </c>
      <c r="O102" s="262">
        <v>500</v>
      </c>
      <c r="P102" s="261"/>
      <c r="Q102" s="261"/>
      <c r="R102" s="330"/>
    </row>
    <row r="103" spans="10:18" x14ac:dyDescent="0.2">
      <c r="J103" s="306" t="s">
        <v>12662</v>
      </c>
      <c r="K103" s="261" t="s">
        <v>122</v>
      </c>
      <c r="L103" s="262">
        <v>1</v>
      </c>
      <c r="M103" s="338" t="s">
        <v>21485</v>
      </c>
      <c r="N103" s="261" t="s">
        <v>10772</v>
      </c>
      <c r="O103" s="262">
        <v>750</v>
      </c>
      <c r="P103" s="261"/>
      <c r="Q103" s="261"/>
      <c r="R103" s="330"/>
    </row>
    <row r="104" spans="10:18" x14ac:dyDescent="0.2">
      <c r="J104" s="306" t="s">
        <v>19605</v>
      </c>
      <c r="K104" s="261" t="s">
        <v>1103</v>
      </c>
      <c r="L104" s="262">
        <v>1</v>
      </c>
      <c r="M104" s="338" t="s">
        <v>21485</v>
      </c>
      <c r="N104" s="261" t="s">
        <v>10772</v>
      </c>
      <c r="O104" s="262">
        <v>350</v>
      </c>
      <c r="P104" s="261"/>
      <c r="Q104" s="261"/>
      <c r="R104" s="330"/>
    </row>
    <row r="105" spans="10:18" x14ac:dyDescent="0.2">
      <c r="J105" s="306" t="s">
        <v>11373</v>
      </c>
      <c r="K105" s="261" t="s">
        <v>1103</v>
      </c>
      <c r="L105" s="262">
        <v>1</v>
      </c>
      <c r="M105" s="338" t="s">
        <v>21485</v>
      </c>
      <c r="N105" s="261" t="s">
        <v>10772</v>
      </c>
      <c r="O105" s="262">
        <v>500</v>
      </c>
      <c r="P105" s="261"/>
      <c r="Q105" s="261"/>
      <c r="R105" s="330"/>
    </row>
    <row r="106" spans="10:18" x14ac:dyDescent="0.2">
      <c r="J106" s="306" t="s">
        <v>12662</v>
      </c>
      <c r="K106" s="261" t="s">
        <v>1103</v>
      </c>
      <c r="L106" s="262">
        <v>1</v>
      </c>
      <c r="M106" s="338" t="s">
        <v>21485</v>
      </c>
      <c r="N106" s="261" t="s">
        <v>10772</v>
      </c>
      <c r="O106" s="262">
        <v>750</v>
      </c>
      <c r="P106" s="261"/>
      <c r="Q106" s="261"/>
      <c r="R106" s="330"/>
    </row>
    <row r="107" spans="10:18" x14ac:dyDescent="0.2">
      <c r="J107" s="306" t="s">
        <v>19605</v>
      </c>
      <c r="K107" s="261" t="s">
        <v>1947</v>
      </c>
      <c r="L107" s="262">
        <v>1</v>
      </c>
      <c r="M107" s="338" t="s">
        <v>21485</v>
      </c>
      <c r="N107" s="261" t="s">
        <v>10772</v>
      </c>
      <c r="O107" s="262">
        <v>350</v>
      </c>
      <c r="P107" s="261"/>
      <c r="Q107" s="261"/>
      <c r="R107" s="330"/>
    </row>
    <row r="108" spans="10:18" x14ac:dyDescent="0.2">
      <c r="J108" s="306" t="s">
        <v>11373</v>
      </c>
      <c r="K108" s="261" t="s">
        <v>1947</v>
      </c>
      <c r="L108" s="262">
        <v>1</v>
      </c>
      <c r="M108" s="338" t="s">
        <v>21485</v>
      </c>
      <c r="N108" s="261" t="s">
        <v>10772</v>
      </c>
      <c r="O108" s="262">
        <v>500</v>
      </c>
      <c r="P108" s="261"/>
      <c r="Q108" s="261"/>
      <c r="R108" s="330"/>
    </row>
    <row r="109" spans="10:18" x14ac:dyDescent="0.2">
      <c r="J109" s="306" t="s">
        <v>12662</v>
      </c>
      <c r="K109" s="261" t="s">
        <v>1947</v>
      </c>
      <c r="L109" s="262">
        <v>1</v>
      </c>
      <c r="M109" s="338" t="s">
        <v>21485</v>
      </c>
      <c r="N109" s="261" t="s">
        <v>10772</v>
      </c>
      <c r="O109" s="262">
        <v>750</v>
      </c>
      <c r="P109" s="261"/>
      <c r="Q109" s="261"/>
      <c r="R109" s="330"/>
    </row>
    <row r="110" spans="10:18" x14ac:dyDescent="0.2">
      <c r="J110" s="306" t="s">
        <v>19605</v>
      </c>
      <c r="K110" s="261" t="s">
        <v>2837</v>
      </c>
      <c r="L110" s="262">
        <v>1</v>
      </c>
      <c r="M110" s="338" t="s">
        <v>21485</v>
      </c>
      <c r="N110" s="261" t="s">
        <v>10772</v>
      </c>
      <c r="O110" s="262">
        <v>350</v>
      </c>
      <c r="P110" s="261"/>
      <c r="Q110" s="261"/>
      <c r="R110" s="330"/>
    </row>
    <row r="111" spans="10:18" x14ac:dyDescent="0.2">
      <c r="J111" s="306" t="s">
        <v>11373</v>
      </c>
      <c r="K111" s="261" t="s">
        <v>2837</v>
      </c>
      <c r="L111" s="262">
        <v>1</v>
      </c>
      <c r="M111" s="338" t="s">
        <v>21485</v>
      </c>
      <c r="N111" s="261" t="s">
        <v>10772</v>
      </c>
      <c r="O111" s="262">
        <v>500</v>
      </c>
      <c r="P111" s="261"/>
      <c r="Q111" s="261"/>
      <c r="R111" s="330"/>
    </row>
    <row r="112" spans="10:18" x14ac:dyDescent="0.2">
      <c r="J112" s="306" t="s">
        <v>12662</v>
      </c>
      <c r="K112" s="261" t="s">
        <v>2837</v>
      </c>
      <c r="L112" s="262">
        <v>1</v>
      </c>
      <c r="M112" s="338" t="s">
        <v>21485</v>
      </c>
      <c r="N112" s="261" t="s">
        <v>10772</v>
      </c>
      <c r="O112" s="262">
        <v>750</v>
      </c>
      <c r="P112" s="261"/>
      <c r="Q112" s="261"/>
      <c r="R112" s="330"/>
    </row>
    <row r="113" spans="10:18" x14ac:dyDescent="0.2">
      <c r="J113" s="306" t="s">
        <v>19605</v>
      </c>
      <c r="K113" s="261" t="s">
        <v>3779</v>
      </c>
      <c r="L113" s="262">
        <v>1</v>
      </c>
      <c r="M113" s="338" t="s">
        <v>21485</v>
      </c>
      <c r="N113" s="261" t="s">
        <v>10772</v>
      </c>
      <c r="O113" s="262">
        <v>350</v>
      </c>
      <c r="P113" s="261"/>
      <c r="Q113" s="261"/>
      <c r="R113" s="330"/>
    </row>
    <row r="114" spans="10:18" x14ac:dyDescent="0.2">
      <c r="J114" s="306" t="s">
        <v>11373</v>
      </c>
      <c r="K114" s="261" t="s">
        <v>3779</v>
      </c>
      <c r="L114" s="262">
        <v>1</v>
      </c>
      <c r="M114" s="338" t="s">
        <v>21485</v>
      </c>
      <c r="N114" s="261" t="s">
        <v>10772</v>
      </c>
      <c r="O114" s="262">
        <v>500</v>
      </c>
      <c r="P114" s="261"/>
      <c r="Q114" s="261"/>
      <c r="R114" s="330"/>
    </row>
    <row r="115" spans="10:18" x14ac:dyDescent="0.2">
      <c r="J115" s="306" t="s">
        <v>12662</v>
      </c>
      <c r="K115" s="261" t="s">
        <v>3779</v>
      </c>
      <c r="L115" s="262">
        <v>1</v>
      </c>
      <c r="M115" s="338" t="s">
        <v>21485</v>
      </c>
      <c r="N115" s="261" t="s">
        <v>10772</v>
      </c>
      <c r="O115" s="262">
        <v>750</v>
      </c>
      <c r="P115" s="261"/>
      <c r="Q115" s="261"/>
      <c r="R115" s="330"/>
    </row>
    <row r="116" spans="10:18" x14ac:dyDescent="0.2">
      <c r="J116" s="306" t="s">
        <v>19598</v>
      </c>
      <c r="K116" s="261" t="s">
        <v>122</v>
      </c>
      <c r="L116" s="262">
        <v>1</v>
      </c>
      <c r="M116" s="338" t="s">
        <v>21485</v>
      </c>
      <c r="N116" s="261" t="s">
        <v>10772</v>
      </c>
      <c r="O116" s="262">
        <v>600</v>
      </c>
      <c r="P116" s="261"/>
      <c r="Q116" s="261"/>
      <c r="R116" s="330"/>
    </row>
    <row r="117" spans="10:18" x14ac:dyDescent="0.2">
      <c r="J117" s="306" t="s">
        <v>11597</v>
      </c>
      <c r="K117" s="261" t="s">
        <v>122</v>
      </c>
      <c r="L117" s="262">
        <v>1</v>
      </c>
      <c r="M117" s="338" t="s">
        <v>21485</v>
      </c>
      <c r="N117" s="261" t="s">
        <v>10772</v>
      </c>
      <c r="O117" s="262">
        <v>800</v>
      </c>
      <c r="P117" s="261"/>
      <c r="Q117" s="261"/>
      <c r="R117" s="330"/>
    </row>
    <row r="118" spans="10:18" x14ac:dyDescent="0.2">
      <c r="J118" s="306" t="s">
        <v>12693</v>
      </c>
      <c r="K118" s="261" t="s">
        <v>122</v>
      </c>
      <c r="L118" s="262">
        <v>1</v>
      </c>
      <c r="M118" s="338" t="s">
        <v>21485</v>
      </c>
      <c r="N118" s="261" t="s">
        <v>10772</v>
      </c>
      <c r="O118" s="262">
        <v>1000</v>
      </c>
      <c r="P118" s="261" t="s">
        <v>21501</v>
      </c>
      <c r="Q118" s="261" t="s">
        <v>10772</v>
      </c>
      <c r="R118" s="330">
        <v>200</v>
      </c>
    </row>
    <row r="119" spans="10:18" x14ac:dyDescent="0.2">
      <c r="J119" s="306" t="s">
        <v>12665</v>
      </c>
      <c r="K119" s="261" t="s">
        <v>122</v>
      </c>
      <c r="L119" s="262">
        <v>1</v>
      </c>
      <c r="M119" s="338" t="s">
        <v>21485</v>
      </c>
      <c r="N119" s="261" t="s">
        <v>10772</v>
      </c>
      <c r="O119" s="262">
        <v>2000</v>
      </c>
      <c r="P119" s="261" t="s">
        <v>21501</v>
      </c>
      <c r="Q119" s="261" t="s">
        <v>10772</v>
      </c>
      <c r="R119" s="330">
        <v>400</v>
      </c>
    </row>
    <row r="120" spans="10:18" x14ac:dyDescent="0.2">
      <c r="J120" s="306" t="s">
        <v>19598</v>
      </c>
      <c r="K120" s="261" t="s">
        <v>1103</v>
      </c>
      <c r="L120" s="262">
        <v>1</v>
      </c>
      <c r="M120" s="338" t="s">
        <v>21485</v>
      </c>
      <c r="N120" s="261" t="s">
        <v>10772</v>
      </c>
      <c r="O120" s="262">
        <v>600</v>
      </c>
      <c r="P120" s="261"/>
      <c r="Q120" s="261"/>
      <c r="R120" s="330"/>
    </row>
    <row r="121" spans="10:18" x14ac:dyDescent="0.2">
      <c r="J121" s="306" t="s">
        <v>11597</v>
      </c>
      <c r="K121" s="261" t="s">
        <v>1103</v>
      </c>
      <c r="L121" s="262">
        <v>1</v>
      </c>
      <c r="M121" s="338" t="s">
        <v>21485</v>
      </c>
      <c r="N121" s="261" t="s">
        <v>10772</v>
      </c>
      <c r="O121" s="262">
        <v>800</v>
      </c>
      <c r="P121" s="261"/>
      <c r="Q121" s="261"/>
      <c r="R121" s="330"/>
    </row>
    <row r="122" spans="10:18" x14ac:dyDescent="0.2">
      <c r="J122" s="306" t="s">
        <v>12693</v>
      </c>
      <c r="K122" s="261" t="s">
        <v>1103</v>
      </c>
      <c r="L122" s="262">
        <v>1</v>
      </c>
      <c r="M122" s="338" t="s">
        <v>21485</v>
      </c>
      <c r="N122" s="261" t="s">
        <v>10772</v>
      </c>
      <c r="O122" s="262">
        <v>1000</v>
      </c>
      <c r="P122" s="261" t="s">
        <v>21501</v>
      </c>
      <c r="Q122" s="261" t="s">
        <v>10772</v>
      </c>
      <c r="R122" s="330">
        <v>200</v>
      </c>
    </row>
    <row r="123" spans="10:18" x14ac:dyDescent="0.2">
      <c r="J123" s="306" t="s">
        <v>12665</v>
      </c>
      <c r="K123" s="261" t="s">
        <v>1103</v>
      </c>
      <c r="L123" s="262">
        <v>1</v>
      </c>
      <c r="M123" s="338" t="s">
        <v>21485</v>
      </c>
      <c r="N123" s="261" t="s">
        <v>10772</v>
      </c>
      <c r="O123" s="262">
        <v>2000</v>
      </c>
      <c r="P123" s="261" t="s">
        <v>21501</v>
      </c>
      <c r="Q123" s="261" t="s">
        <v>10772</v>
      </c>
      <c r="R123" s="330">
        <v>400</v>
      </c>
    </row>
    <row r="124" spans="10:18" x14ac:dyDescent="0.2">
      <c r="J124" s="306" t="s">
        <v>19598</v>
      </c>
      <c r="K124" s="261" t="s">
        <v>1947</v>
      </c>
      <c r="L124" s="262">
        <v>1</v>
      </c>
      <c r="M124" s="338" t="s">
        <v>21485</v>
      </c>
      <c r="N124" s="261" t="s">
        <v>10772</v>
      </c>
      <c r="O124" s="262">
        <v>600</v>
      </c>
      <c r="P124" s="261"/>
      <c r="Q124" s="261"/>
      <c r="R124" s="330"/>
    </row>
    <row r="125" spans="10:18" x14ac:dyDescent="0.2">
      <c r="J125" s="306" t="s">
        <v>11597</v>
      </c>
      <c r="K125" s="261" t="s">
        <v>1947</v>
      </c>
      <c r="L125" s="262">
        <v>1</v>
      </c>
      <c r="M125" s="338" t="s">
        <v>21485</v>
      </c>
      <c r="N125" s="261" t="s">
        <v>10772</v>
      </c>
      <c r="O125" s="262">
        <v>800</v>
      </c>
      <c r="P125" s="261"/>
      <c r="Q125" s="261"/>
      <c r="R125" s="330"/>
    </row>
    <row r="126" spans="10:18" x14ac:dyDescent="0.2">
      <c r="J126" s="306" t="s">
        <v>12693</v>
      </c>
      <c r="K126" s="261" t="s">
        <v>1947</v>
      </c>
      <c r="L126" s="262">
        <v>1</v>
      </c>
      <c r="M126" s="338" t="s">
        <v>21485</v>
      </c>
      <c r="N126" s="261" t="s">
        <v>10772</v>
      </c>
      <c r="O126" s="262">
        <v>1000</v>
      </c>
      <c r="P126" s="261" t="s">
        <v>21501</v>
      </c>
      <c r="Q126" s="261" t="s">
        <v>10772</v>
      </c>
      <c r="R126" s="330">
        <v>200</v>
      </c>
    </row>
    <row r="127" spans="10:18" x14ac:dyDescent="0.2">
      <c r="J127" s="306" t="s">
        <v>12665</v>
      </c>
      <c r="K127" s="261" t="s">
        <v>1947</v>
      </c>
      <c r="L127" s="262">
        <v>1</v>
      </c>
      <c r="M127" s="338" t="s">
        <v>21485</v>
      </c>
      <c r="N127" s="261" t="s">
        <v>10772</v>
      </c>
      <c r="O127" s="262">
        <v>2000</v>
      </c>
      <c r="P127" s="261" t="s">
        <v>21501</v>
      </c>
      <c r="Q127" s="261" t="s">
        <v>10772</v>
      </c>
      <c r="R127" s="330">
        <v>400</v>
      </c>
    </row>
    <row r="128" spans="10:18" x14ac:dyDescent="0.2">
      <c r="J128" s="306" t="s">
        <v>19598</v>
      </c>
      <c r="K128" s="261" t="s">
        <v>2837</v>
      </c>
      <c r="L128" s="262">
        <v>1</v>
      </c>
      <c r="M128" s="338" t="s">
        <v>21485</v>
      </c>
      <c r="N128" s="261" t="s">
        <v>10772</v>
      </c>
      <c r="O128" s="262">
        <v>600</v>
      </c>
      <c r="P128" s="261"/>
      <c r="Q128" s="261"/>
      <c r="R128" s="330"/>
    </row>
    <row r="129" spans="10:18" x14ac:dyDescent="0.2">
      <c r="J129" s="306" t="s">
        <v>11597</v>
      </c>
      <c r="K129" s="261" t="s">
        <v>2837</v>
      </c>
      <c r="L129" s="262">
        <v>1</v>
      </c>
      <c r="M129" s="338" t="s">
        <v>21485</v>
      </c>
      <c r="N129" s="261" t="s">
        <v>10772</v>
      </c>
      <c r="O129" s="262">
        <v>800</v>
      </c>
      <c r="P129" s="261"/>
      <c r="Q129" s="261"/>
      <c r="R129" s="330"/>
    </row>
    <row r="130" spans="10:18" x14ac:dyDescent="0.2">
      <c r="J130" s="306" t="s">
        <v>12693</v>
      </c>
      <c r="K130" s="261" t="s">
        <v>2837</v>
      </c>
      <c r="L130" s="262">
        <v>1</v>
      </c>
      <c r="M130" s="338" t="s">
        <v>21485</v>
      </c>
      <c r="N130" s="261" t="s">
        <v>10772</v>
      </c>
      <c r="O130" s="262">
        <v>1000</v>
      </c>
      <c r="P130" s="261" t="s">
        <v>21501</v>
      </c>
      <c r="Q130" s="261" t="s">
        <v>10772</v>
      </c>
      <c r="R130" s="330">
        <v>200</v>
      </c>
    </row>
    <row r="131" spans="10:18" x14ac:dyDescent="0.2">
      <c r="J131" s="306" t="s">
        <v>12665</v>
      </c>
      <c r="K131" s="261" t="s">
        <v>2837</v>
      </c>
      <c r="L131" s="262">
        <v>1</v>
      </c>
      <c r="M131" s="338" t="s">
        <v>21485</v>
      </c>
      <c r="N131" s="261" t="s">
        <v>10772</v>
      </c>
      <c r="O131" s="262">
        <v>2000</v>
      </c>
      <c r="P131" s="261" t="s">
        <v>21501</v>
      </c>
      <c r="Q131" s="261" t="s">
        <v>10772</v>
      </c>
      <c r="R131" s="330">
        <v>400</v>
      </c>
    </row>
    <row r="132" spans="10:18" x14ac:dyDescent="0.2">
      <c r="J132" s="306" t="s">
        <v>19598</v>
      </c>
      <c r="K132" s="261" t="s">
        <v>3779</v>
      </c>
      <c r="L132" s="262">
        <v>1</v>
      </c>
      <c r="M132" s="338" t="s">
        <v>21485</v>
      </c>
      <c r="N132" s="261" t="s">
        <v>10772</v>
      </c>
      <c r="O132" s="262">
        <v>600</v>
      </c>
      <c r="P132" s="261"/>
      <c r="Q132" s="261"/>
      <c r="R132" s="330"/>
    </row>
    <row r="133" spans="10:18" x14ac:dyDescent="0.2">
      <c r="J133" s="306" t="s">
        <v>11597</v>
      </c>
      <c r="K133" s="261" t="s">
        <v>3779</v>
      </c>
      <c r="L133" s="262">
        <v>1</v>
      </c>
      <c r="M133" s="338" t="s">
        <v>21485</v>
      </c>
      <c r="N133" s="261" t="s">
        <v>10772</v>
      </c>
      <c r="O133" s="262">
        <v>800</v>
      </c>
      <c r="P133" s="261"/>
      <c r="Q133" s="261"/>
      <c r="R133" s="330"/>
    </row>
    <row r="134" spans="10:18" x14ac:dyDescent="0.2">
      <c r="J134" s="306" t="s">
        <v>12693</v>
      </c>
      <c r="K134" s="261" t="s">
        <v>3779</v>
      </c>
      <c r="L134" s="262">
        <v>1</v>
      </c>
      <c r="M134" s="338" t="s">
        <v>21485</v>
      </c>
      <c r="N134" s="261" t="s">
        <v>10772</v>
      </c>
      <c r="O134" s="262">
        <v>1000</v>
      </c>
      <c r="P134" s="261" t="s">
        <v>21501</v>
      </c>
      <c r="Q134" s="261" t="s">
        <v>10772</v>
      </c>
      <c r="R134" s="330">
        <v>200</v>
      </c>
    </row>
    <row r="135" spans="10:18" x14ac:dyDescent="0.2">
      <c r="J135" s="306" t="s">
        <v>12665</v>
      </c>
      <c r="K135" s="261" t="s">
        <v>3779</v>
      </c>
      <c r="L135" s="262">
        <v>1</v>
      </c>
      <c r="M135" s="338" t="s">
        <v>21485</v>
      </c>
      <c r="N135" s="261" t="s">
        <v>10772</v>
      </c>
      <c r="O135" s="262">
        <v>2000</v>
      </c>
      <c r="P135" s="261" t="s">
        <v>21501</v>
      </c>
      <c r="Q135" s="261" t="s">
        <v>10772</v>
      </c>
      <c r="R135" s="330">
        <v>400</v>
      </c>
    </row>
    <row r="136" spans="10:18" x14ac:dyDescent="0.2">
      <c r="J136" s="306" t="s">
        <v>12649</v>
      </c>
      <c r="K136" s="261" t="s">
        <v>122</v>
      </c>
      <c r="L136" s="262">
        <v>1</v>
      </c>
      <c r="M136" s="338" t="s">
        <v>21485</v>
      </c>
      <c r="N136" s="261" t="s">
        <v>10772</v>
      </c>
      <c r="O136" s="262">
        <v>700</v>
      </c>
      <c r="P136" s="261"/>
      <c r="Q136" s="261"/>
      <c r="R136" s="330"/>
    </row>
    <row r="137" spans="10:18" x14ac:dyDescent="0.2">
      <c r="J137" s="306" t="s">
        <v>12655</v>
      </c>
      <c r="K137" s="261" t="s">
        <v>122</v>
      </c>
      <c r="L137" s="262">
        <v>1</v>
      </c>
      <c r="M137" s="338" t="s">
        <v>21485</v>
      </c>
      <c r="N137" s="261" t="s">
        <v>10772</v>
      </c>
      <c r="O137" s="262">
        <v>1000</v>
      </c>
      <c r="P137" s="261" t="s">
        <v>21501</v>
      </c>
      <c r="Q137" s="261" t="s">
        <v>10772</v>
      </c>
      <c r="R137" s="330">
        <v>200</v>
      </c>
    </row>
    <row r="138" spans="10:18" x14ac:dyDescent="0.2">
      <c r="J138" s="306" t="s">
        <v>12649</v>
      </c>
      <c r="K138" s="261" t="s">
        <v>1103</v>
      </c>
      <c r="L138" s="262">
        <v>1</v>
      </c>
      <c r="M138" s="338" t="s">
        <v>21485</v>
      </c>
      <c r="N138" s="261" t="s">
        <v>10772</v>
      </c>
      <c r="O138" s="262">
        <v>700</v>
      </c>
      <c r="P138" s="261"/>
      <c r="Q138" s="261"/>
      <c r="R138" s="330"/>
    </row>
    <row r="139" spans="10:18" x14ac:dyDescent="0.2">
      <c r="J139" s="306" t="s">
        <v>12655</v>
      </c>
      <c r="K139" s="261" t="s">
        <v>1103</v>
      </c>
      <c r="L139" s="262">
        <v>1</v>
      </c>
      <c r="M139" s="338" t="s">
        <v>21485</v>
      </c>
      <c r="N139" s="261" t="s">
        <v>10772</v>
      </c>
      <c r="O139" s="262">
        <v>1000</v>
      </c>
      <c r="P139" s="261" t="s">
        <v>21501</v>
      </c>
      <c r="Q139" s="261" t="s">
        <v>10772</v>
      </c>
      <c r="R139" s="330">
        <v>200</v>
      </c>
    </row>
    <row r="140" spans="10:18" x14ac:dyDescent="0.2">
      <c r="J140" s="306" t="s">
        <v>12649</v>
      </c>
      <c r="K140" s="261" t="s">
        <v>1947</v>
      </c>
      <c r="L140" s="262">
        <v>1</v>
      </c>
      <c r="M140" s="338" t="s">
        <v>21485</v>
      </c>
      <c r="N140" s="261" t="s">
        <v>10772</v>
      </c>
      <c r="O140" s="262">
        <v>700</v>
      </c>
      <c r="P140" s="261"/>
      <c r="Q140" s="261"/>
      <c r="R140" s="330"/>
    </row>
    <row r="141" spans="10:18" x14ac:dyDescent="0.2">
      <c r="J141" s="306" t="s">
        <v>12655</v>
      </c>
      <c r="K141" s="261" t="s">
        <v>1947</v>
      </c>
      <c r="L141" s="262">
        <v>1</v>
      </c>
      <c r="M141" s="338" t="s">
        <v>21485</v>
      </c>
      <c r="N141" s="261" t="s">
        <v>10772</v>
      </c>
      <c r="O141" s="262">
        <v>1000</v>
      </c>
      <c r="P141" s="261" t="s">
        <v>21501</v>
      </c>
      <c r="Q141" s="261" t="s">
        <v>10772</v>
      </c>
      <c r="R141" s="330">
        <v>200</v>
      </c>
    </row>
    <row r="142" spans="10:18" x14ac:dyDescent="0.2">
      <c r="J142" s="306" t="s">
        <v>12649</v>
      </c>
      <c r="K142" s="261" t="s">
        <v>2837</v>
      </c>
      <c r="L142" s="262">
        <v>1</v>
      </c>
      <c r="M142" s="338" t="s">
        <v>21485</v>
      </c>
      <c r="N142" s="261" t="s">
        <v>10772</v>
      </c>
      <c r="O142" s="262">
        <v>700</v>
      </c>
      <c r="P142" s="261"/>
      <c r="Q142" s="261"/>
      <c r="R142" s="330"/>
    </row>
    <row r="143" spans="10:18" x14ac:dyDescent="0.2">
      <c r="J143" s="306" t="s">
        <v>12655</v>
      </c>
      <c r="K143" s="261" t="s">
        <v>2837</v>
      </c>
      <c r="L143" s="262">
        <v>1</v>
      </c>
      <c r="M143" s="338" t="s">
        <v>21485</v>
      </c>
      <c r="N143" s="261" t="s">
        <v>10772</v>
      </c>
      <c r="O143" s="262">
        <v>1000</v>
      </c>
      <c r="P143" s="261" t="s">
        <v>21501</v>
      </c>
      <c r="Q143" s="261" t="s">
        <v>10772</v>
      </c>
      <c r="R143" s="330">
        <v>200</v>
      </c>
    </row>
    <row r="144" spans="10:18" x14ac:dyDescent="0.2">
      <c r="J144" s="306" t="s">
        <v>12649</v>
      </c>
      <c r="K144" s="261" t="s">
        <v>3779</v>
      </c>
      <c r="L144" s="262">
        <v>1</v>
      </c>
      <c r="M144" s="338" t="s">
        <v>21485</v>
      </c>
      <c r="N144" s="261" t="s">
        <v>10772</v>
      </c>
      <c r="O144" s="262">
        <v>700</v>
      </c>
      <c r="P144" s="261"/>
      <c r="Q144" s="261"/>
      <c r="R144" s="330"/>
    </row>
    <row r="145" spans="10:18" x14ac:dyDescent="0.2">
      <c r="J145" s="306" t="s">
        <v>12655</v>
      </c>
      <c r="K145" s="261" t="s">
        <v>3779</v>
      </c>
      <c r="L145" s="262">
        <v>1</v>
      </c>
      <c r="M145" s="338" t="s">
        <v>21485</v>
      </c>
      <c r="N145" s="261" t="s">
        <v>10772</v>
      </c>
      <c r="O145" s="262">
        <v>1000</v>
      </c>
      <c r="P145" s="261" t="s">
        <v>21501</v>
      </c>
      <c r="Q145" s="261" t="s">
        <v>10772</v>
      </c>
      <c r="R145" s="330">
        <v>200</v>
      </c>
    </row>
    <row r="146" spans="10:18" x14ac:dyDescent="0.2">
      <c r="J146" s="306" t="s">
        <v>19613</v>
      </c>
      <c r="K146" s="261" t="s">
        <v>122</v>
      </c>
      <c r="L146" s="262">
        <v>1</v>
      </c>
      <c r="M146" s="338" t="s">
        <v>21485</v>
      </c>
      <c r="N146" s="261" t="s">
        <v>10772</v>
      </c>
      <c r="O146" s="262">
        <v>1500</v>
      </c>
      <c r="P146" s="261"/>
      <c r="Q146" s="261"/>
      <c r="R146" s="330"/>
    </row>
    <row r="147" spans="10:18" x14ac:dyDescent="0.2">
      <c r="J147" s="306" t="s">
        <v>11793</v>
      </c>
      <c r="K147" s="261" t="s">
        <v>122</v>
      </c>
      <c r="L147" s="262">
        <v>1</v>
      </c>
      <c r="M147" s="338" t="s">
        <v>21485</v>
      </c>
      <c r="N147" s="261" t="s">
        <v>10772</v>
      </c>
      <c r="O147" s="262">
        <v>2000</v>
      </c>
      <c r="P147" s="261" t="s">
        <v>21501</v>
      </c>
      <c r="Q147" s="261" t="s">
        <v>10772</v>
      </c>
      <c r="R147" s="330">
        <v>300</v>
      </c>
    </row>
    <row r="148" spans="10:18" x14ac:dyDescent="0.2">
      <c r="J148" s="306" t="s">
        <v>12668</v>
      </c>
      <c r="K148" s="261" t="s">
        <v>122</v>
      </c>
      <c r="L148" s="262">
        <v>1</v>
      </c>
      <c r="M148" s="338" t="s">
        <v>21485</v>
      </c>
      <c r="N148" s="261" t="s">
        <v>10772</v>
      </c>
      <c r="O148" s="262">
        <v>3000</v>
      </c>
      <c r="P148" s="261" t="s">
        <v>21501</v>
      </c>
      <c r="Q148" s="261" t="s">
        <v>10772</v>
      </c>
      <c r="R148" s="330">
        <v>400</v>
      </c>
    </row>
    <row r="149" spans="10:18" x14ac:dyDescent="0.2">
      <c r="J149" s="306" t="s">
        <v>19613</v>
      </c>
      <c r="K149" s="261" t="s">
        <v>1103</v>
      </c>
      <c r="L149" s="262">
        <v>1</v>
      </c>
      <c r="M149" s="338" t="s">
        <v>21485</v>
      </c>
      <c r="N149" s="261" t="s">
        <v>10772</v>
      </c>
      <c r="O149" s="262">
        <v>1500</v>
      </c>
      <c r="P149" s="261"/>
      <c r="Q149" s="261"/>
      <c r="R149" s="330"/>
    </row>
    <row r="150" spans="10:18" x14ac:dyDescent="0.2">
      <c r="J150" s="306" t="s">
        <v>11793</v>
      </c>
      <c r="K150" s="261" t="s">
        <v>1103</v>
      </c>
      <c r="L150" s="262">
        <v>1</v>
      </c>
      <c r="M150" s="338" t="s">
        <v>21485</v>
      </c>
      <c r="N150" s="261" t="s">
        <v>10772</v>
      </c>
      <c r="O150" s="262">
        <v>2000</v>
      </c>
      <c r="P150" s="261" t="s">
        <v>21501</v>
      </c>
      <c r="Q150" s="261" t="s">
        <v>10772</v>
      </c>
      <c r="R150" s="330">
        <v>300</v>
      </c>
    </row>
    <row r="151" spans="10:18" x14ac:dyDescent="0.2">
      <c r="J151" s="306" t="s">
        <v>12668</v>
      </c>
      <c r="K151" s="261" t="s">
        <v>1103</v>
      </c>
      <c r="L151" s="262">
        <v>1</v>
      </c>
      <c r="M151" s="338" t="s">
        <v>21485</v>
      </c>
      <c r="N151" s="261" t="s">
        <v>10772</v>
      </c>
      <c r="O151" s="262">
        <v>3000</v>
      </c>
      <c r="P151" s="261" t="s">
        <v>21501</v>
      </c>
      <c r="Q151" s="261" t="s">
        <v>10772</v>
      </c>
      <c r="R151" s="330">
        <v>400</v>
      </c>
    </row>
    <row r="152" spans="10:18" x14ac:dyDescent="0.2">
      <c r="J152" s="306" t="s">
        <v>19613</v>
      </c>
      <c r="K152" s="261" t="s">
        <v>1947</v>
      </c>
      <c r="L152" s="262">
        <v>1</v>
      </c>
      <c r="M152" s="338" t="s">
        <v>21485</v>
      </c>
      <c r="N152" s="261" t="s">
        <v>10772</v>
      </c>
      <c r="O152" s="262">
        <v>1500</v>
      </c>
      <c r="P152" s="261"/>
      <c r="Q152" s="261"/>
      <c r="R152" s="330"/>
    </row>
    <row r="153" spans="10:18" x14ac:dyDescent="0.2">
      <c r="J153" s="306" t="s">
        <v>11793</v>
      </c>
      <c r="K153" s="261" t="s">
        <v>1947</v>
      </c>
      <c r="L153" s="262">
        <v>1</v>
      </c>
      <c r="M153" s="338" t="s">
        <v>21485</v>
      </c>
      <c r="N153" s="261" t="s">
        <v>10772</v>
      </c>
      <c r="O153" s="262">
        <v>2000</v>
      </c>
      <c r="P153" s="261" t="s">
        <v>21501</v>
      </c>
      <c r="Q153" s="261" t="s">
        <v>10772</v>
      </c>
      <c r="R153" s="330">
        <v>300</v>
      </c>
    </row>
    <row r="154" spans="10:18" x14ac:dyDescent="0.2">
      <c r="J154" s="306" t="s">
        <v>12668</v>
      </c>
      <c r="K154" s="261" t="s">
        <v>1947</v>
      </c>
      <c r="L154" s="262">
        <v>1</v>
      </c>
      <c r="M154" s="338" t="s">
        <v>21485</v>
      </c>
      <c r="N154" s="261" t="s">
        <v>10772</v>
      </c>
      <c r="O154" s="262">
        <v>3000</v>
      </c>
      <c r="P154" s="261" t="s">
        <v>21501</v>
      </c>
      <c r="Q154" s="261" t="s">
        <v>10772</v>
      </c>
      <c r="R154" s="330">
        <v>400</v>
      </c>
    </row>
    <row r="155" spans="10:18" x14ac:dyDescent="0.2">
      <c r="J155" s="306" t="s">
        <v>19613</v>
      </c>
      <c r="K155" s="261" t="s">
        <v>2837</v>
      </c>
      <c r="L155" s="262">
        <v>1</v>
      </c>
      <c r="M155" s="338" t="s">
        <v>21485</v>
      </c>
      <c r="N155" s="261" t="s">
        <v>10772</v>
      </c>
      <c r="O155" s="262">
        <v>1500</v>
      </c>
      <c r="P155" s="261"/>
      <c r="Q155" s="261"/>
      <c r="R155" s="330"/>
    </row>
    <row r="156" spans="10:18" x14ac:dyDescent="0.2">
      <c r="J156" s="306" t="s">
        <v>11793</v>
      </c>
      <c r="K156" s="261" t="s">
        <v>2837</v>
      </c>
      <c r="L156" s="262">
        <v>1</v>
      </c>
      <c r="M156" s="338" t="s">
        <v>21485</v>
      </c>
      <c r="N156" s="261" t="s">
        <v>10772</v>
      </c>
      <c r="O156" s="262">
        <v>2000</v>
      </c>
      <c r="P156" s="261" t="s">
        <v>21501</v>
      </c>
      <c r="Q156" s="261" t="s">
        <v>10772</v>
      </c>
      <c r="R156" s="330">
        <v>300</v>
      </c>
    </row>
    <row r="157" spans="10:18" x14ac:dyDescent="0.2">
      <c r="J157" s="306" t="s">
        <v>12668</v>
      </c>
      <c r="K157" s="261" t="s">
        <v>2837</v>
      </c>
      <c r="L157" s="262">
        <v>1</v>
      </c>
      <c r="M157" s="338" t="s">
        <v>21485</v>
      </c>
      <c r="N157" s="261" t="s">
        <v>10772</v>
      </c>
      <c r="O157" s="262">
        <v>3000</v>
      </c>
      <c r="P157" s="261" t="s">
        <v>21501</v>
      </c>
      <c r="Q157" s="261" t="s">
        <v>10772</v>
      </c>
      <c r="R157" s="330">
        <v>400</v>
      </c>
    </row>
    <row r="158" spans="10:18" x14ac:dyDescent="0.2">
      <c r="J158" s="306" t="s">
        <v>19613</v>
      </c>
      <c r="K158" s="261" t="s">
        <v>3779</v>
      </c>
      <c r="L158" s="262">
        <v>1</v>
      </c>
      <c r="M158" s="338" t="s">
        <v>21485</v>
      </c>
      <c r="N158" s="261" t="s">
        <v>10772</v>
      </c>
      <c r="O158" s="262">
        <v>1500</v>
      </c>
      <c r="P158" s="261"/>
      <c r="Q158" s="261"/>
      <c r="R158" s="330"/>
    </row>
    <row r="159" spans="10:18" x14ac:dyDescent="0.2">
      <c r="J159" s="306" t="s">
        <v>11793</v>
      </c>
      <c r="K159" s="261" t="s">
        <v>3779</v>
      </c>
      <c r="L159" s="262">
        <v>1</v>
      </c>
      <c r="M159" s="338" t="s">
        <v>21485</v>
      </c>
      <c r="N159" s="261" t="s">
        <v>10772</v>
      </c>
      <c r="O159" s="262">
        <v>2000</v>
      </c>
      <c r="P159" s="261" t="s">
        <v>21501</v>
      </c>
      <c r="Q159" s="261" t="s">
        <v>10772</v>
      </c>
      <c r="R159" s="330">
        <v>300</v>
      </c>
    </row>
    <row r="160" spans="10:18" x14ac:dyDescent="0.2">
      <c r="J160" s="306" t="s">
        <v>12668</v>
      </c>
      <c r="K160" s="261" t="s">
        <v>3779</v>
      </c>
      <c r="L160" s="261">
        <v>1</v>
      </c>
      <c r="M160" s="338" t="s">
        <v>21485</v>
      </c>
      <c r="N160" s="261" t="s">
        <v>10772</v>
      </c>
      <c r="O160" s="262">
        <v>3000</v>
      </c>
      <c r="P160" s="261" t="s">
        <v>21501</v>
      </c>
      <c r="Q160" s="261" t="s">
        <v>10772</v>
      </c>
      <c r="R160" s="330">
        <v>400</v>
      </c>
    </row>
    <row r="161" spans="10:18" x14ac:dyDescent="0.2">
      <c r="J161" s="272" t="s">
        <v>22224</v>
      </c>
      <c r="K161" s="264"/>
      <c r="L161" s="264">
        <v>1</v>
      </c>
      <c r="M161" s="339" t="s">
        <v>21485</v>
      </c>
      <c r="N161" s="264" t="s">
        <v>10772</v>
      </c>
      <c r="O161" s="332">
        <v>500</v>
      </c>
      <c r="P161" s="264"/>
      <c r="Q161" s="264"/>
      <c r="R161" s="332"/>
    </row>
    <row r="162" spans="10:18" x14ac:dyDescent="0.2">
      <c r="J162"/>
      <c r="L162" s="89"/>
      <c r="O162" s="89"/>
      <c r="R162" s="89"/>
    </row>
    <row r="163" spans="10:18" x14ac:dyDescent="0.2">
      <c r="J163" s="89" t="s">
        <v>22225</v>
      </c>
    </row>
  </sheetData>
  <sortState xmlns:xlrd2="http://schemas.microsoft.com/office/spreadsheetml/2017/richdata2" ref="J91:K96">
    <sortCondition ref="K91:K96"/>
  </sortState>
  <printOptions horizontalCentered="1"/>
  <pageMargins left="0.2" right="0.2" top="0.5" bottom="0.2" header="0.19791666666666699" footer="0.3"/>
  <pageSetup orientation="portrait" r:id="rId1"/>
  <headerFooter>
    <oddHeader>&amp;L&amp;"-,Bold"&amp;16      Dragalia Lost V3 Re;Works Kaleidoscape Treasure Trade</oddHeader>
  </headerFooter>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B7D2F4-5CAD-490B-B802-F3BDCE98A993}">
  <sheetPr codeName="Sheet7"/>
  <dimension ref="A1:B28"/>
  <sheetViews>
    <sheetView workbookViewId="0">
      <selection activeCell="B19" sqref="B19"/>
    </sheetView>
  </sheetViews>
  <sheetFormatPr defaultRowHeight="14.25" x14ac:dyDescent="0.2"/>
  <cols>
    <col min="1" max="1" width="16.875" bestFit="1" customWidth="1"/>
    <col min="2" max="2" width="99.25" bestFit="1" customWidth="1"/>
    <col min="5" max="5" width="2.875" bestFit="1" customWidth="1"/>
  </cols>
  <sheetData>
    <row r="1" spans="1:2" x14ac:dyDescent="0.2">
      <c r="A1" t="s">
        <v>36</v>
      </c>
      <c r="B1" t="s">
        <v>22153</v>
      </c>
    </row>
    <row r="2" spans="1:2" x14ac:dyDescent="0.2">
      <c r="A2" t="s">
        <v>110</v>
      </c>
      <c r="B2" t="s">
        <v>22153</v>
      </c>
    </row>
    <row r="3" spans="1:2" x14ac:dyDescent="0.2">
      <c r="A3" t="s">
        <v>22154</v>
      </c>
      <c r="B3" t="s">
        <v>22155</v>
      </c>
    </row>
    <row r="4" spans="1:2" x14ac:dyDescent="0.2">
      <c r="A4" t="s">
        <v>22156</v>
      </c>
      <c r="B4" t="s">
        <v>22155</v>
      </c>
    </row>
    <row r="5" spans="1:2" x14ac:dyDescent="0.2">
      <c r="A5" t="s">
        <v>22157</v>
      </c>
      <c r="B5" t="s">
        <v>22155</v>
      </c>
    </row>
    <row r="6" spans="1:2" x14ac:dyDescent="0.2">
      <c r="A6" t="s">
        <v>22158</v>
      </c>
      <c r="B6" t="s">
        <v>22159</v>
      </c>
    </row>
    <row r="7" spans="1:2" x14ac:dyDescent="0.2">
      <c r="A7" t="s">
        <v>22160</v>
      </c>
      <c r="B7" t="s">
        <v>22161</v>
      </c>
    </row>
    <row r="8" spans="1:2" x14ac:dyDescent="0.2">
      <c r="A8" t="s">
        <v>28</v>
      </c>
      <c r="B8" t="s">
        <v>22162</v>
      </c>
    </row>
    <row r="9" spans="1:2" x14ac:dyDescent="0.2">
      <c r="A9" t="s">
        <v>12176</v>
      </c>
      <c r="B9" t="s">
        <v>22163</v>
      </c>
    </row>
    <row r="10" spans="1:2" x14ac:dyDescent="0.2">
      <c r="A10" t="s">
        <v>29</v>
      </c>
      <c r="B10" t="s">
        <v>22164</v>
      </c>
    </row>
    <row r="11" spans="1:2" x14ac:dyDescent="0.2">
      <c r="A11" t="s">
        <v>178</v>
      </c>
      <c r="B11" t="s">
        <v>22165</v>
      </c>
    </row>
    <row r="12" spans="1:2" x14ac:dyDescent="0.2">
      <c r="A12" t="s">
        <v>22166</v>
      </c>
      <c r="B12" t="s">
        <v>22167</v>
      </c>
    </row>
    <row r="13" spans="1:2" x14ac:dyDescent="0.2">
      <c r="A13" t="s">
        <v>22168</v>
      </c>
      <c r="B13" t="s">
        <v>22169</v>
      </c>
    </row>
    <row r="14" spans="1:2" x14ac:dyDescent="0.2">
      <c r="A14" t="s">
        <v>22170</v>
      </c>
      <c r="B14" t="s">
        <v>22171</v>
      </c>
    </row>
    <row r="15" spans="1:2" x14ac:dyDescent="0.2">
      <c r="A15" t="s">
        <v>22172</v>
      </c>
      <c r="B15" t="s">
        <v>22173</v>
      </c>
    </row>
    <row r="16" spans="1:2" x14ac:dyDescent="0.2">
      <c r="A16" t="s">
        <v>22174</v>
      </c>
      <c r="B16" t="s">
        <v>22175</v>
      </c>
    </row>
    <row r="17" spans="1:2" x14ac:dyDescent="0.2">
      <c r="A17" t="s">
        <v>110</v>
      </c>
      <c r="B17" t="s">
        <v>22176</v>
      </c>
    </row>
    <row r="18" spans="1:2" x14ac:dyDescent="0.2">
      <c r="A18" t="s">
        <v>22177</v>
      </c>
      <c r="B18" t="s">
        <v>22178</v>
      </c>
    </row>
    <row r="19" spans="1:2" x14ac:dyDescent="0.2">
      <c r="A19" t="s">
        <v>22179</v>
      </c>
      <c r="B19" t="s">
        <v>22180</v>
      </c>
    </row>
    <row r="20" spans="1:2" x14ac:dyDescent="0.2">
      <c r="A20" t="s">
        <v>22179</v>
      </c>
      <c r="B20" t="s">
        <v>22181</v>
      </c>
    </row>
    <row r="21" spans="1:2" x14ac:dyDescent="0.2">
      <c r="A21" t="s">
        <v>22179</v>
      </c>
      <c r="B21" t="s">
        <v>22182</v>
      </c>
    </row>
    <row r="22" spans="1:2" x14ac:dyDescent="0.2">
      <c r="A22" t="s">
        <v>22183</v>
      </c>
      <c r="B22" t="s">
        <v>22184</v>
      </c>
    </row>
    <row r="23" spans="1:2" x14ac:dyDescent="0.2">
      <c r="A23" t="s">
        <v>22185</v>
      </c>
      <c r="B23" t="s">
        <v>22186</v>
      </c>
    </row>
    <row r="24" spans="1:2" x14ac:dyDescent="0.2">
      <c r="A24" t="s">
        <v>22187</v>
      </c>
      <c r="B24" t="s">
        <v>22188</v>
      </c>
    </row>
    <row r="25" spans="1:2" x14ac:dyDescent="0.2">
      <c r="A25" t="s">
        <v>178</v>
      </c>
      <c r="B25" t="s">
        <v>22189</v>
      </c>
    </row>
    <row r="27" spans="1:2" x14ac:dyDescent="0.2">
      <c r="A27" t="s">
        <v>22190</v>
      </c>
      <c r="B27" t="s">
        <v>22191</v>
      </c>
    </row>
    <row r="28" spans="1:2" x14ac:dyDescent="0.2">
      <c r="B28" t="s">
        <v>22192</v>
      </c>
    </row>
  </sheetData>
  <sortState xmlns:xlrd2="http://schemas.microsoft.com/office/spreadsheetml/2017/richdata2" ref="B19:B21">
    <sortCondition ref="B19:B21"/>
  </sortState>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0F937E-66E6-4B6A-AE48-B0B740963F52}">
  <sheetPr>
    <outlinePr summaryBelow="0" summaryRight="0"/>
  </sheetPr>
  <dimension ref="A1:R849"/>
  <sheetViews>
    <sheetView workbookViewId="0">
      <selection activeCell="A3" sqref="A3"/>
    </sheetView>
  </sheetViews>
  <sheetFormatPr defaultColWidth="12.625" defaultRowHeight="14.25" outlineLevelCol="1" x14ac:dyDescent="0.2"/>
  <cols>
    <col min="1" max="1" width="8.625" style="84" bestFit="1" customWidth="1"/>
    <col min="2" max="2" width="9.375" bestFit="1" customWidth="1"/>
    <col min="3" max="3" width="22.375" bestFit="1" customWidth="1"/>
    <col min="4" max="4" width="8.5" customWidth="1" collapsed="1"/>
    <col min="5" max="5" width="9.375" style="84" hidden="1" customWidth="1" outlineLevel="1"/>
    <col min="6" max="6" width="7.375" hidden="1" customWidth="1" outlineLevel="1"/>
    <col min="7" max="7" width="66.75" hidden="1" customWidth="1" outlineLevel="1"/>
    <col min="8" max="8" width="9" style="86" hidden="1" customWidth="1" outlineLevel="1"/>
    <col min="9" max="9" width="9.75" hidden="1" customWidth="1" outlineLevel="1"/>
    <col min="10" max="10" width="2.5" style="84" hidden="1" customWidth="1" outlineLevel="1"/>
    <col min="11" max="11" width="8.875" style="86" hidden="1" customWidth="1" outlineLevel="1"/>
    <col min="12" max="12" width="8.5" bestFit="1" customWidth="1"/>
    <col min="13" max="13" width="23.875" customWidth="1"/>
    <col min="14" max="14" width="27" customWidth="1"/>
    <col min="15" max="15" width="11" bestFit="1" customWidth="1"/>
    <col min="16" max="16" width="5.375" bestFit="1" customWidth="1"/>
    <col min="17" max="17" width="6.75" bestFit="1" customWidth="1"/>
    <col min="18" max="18" width="11.25" bestFit="1" customWidth="1"/>
  </cols>
  <sheetData>
    <row r="1" spans="1:18" ht="23.25" x14ac:dyDescent="0.35">
      <c r="A1" s="347" t="s">
        <v>23980</v>
      </c>
    </row>
    <row r="2" spans="1:18" x14ac:dyDescent="0.2">
      <c r="A2" s="82" t="s">
        <v>19625</v>
      </c>
      <c r="B2" s="112" t="s">
        <v>10266</v>
      </c>
      <c r="C2" s="112" t="s">
        <v>89</v>
      </c>
      <c r="D2" s="112" t="s">
        <v>91</v>
      </c>
      <c r="E2" s="112" t="s">
        <v>87</v>
      </c>
      <c r="F2" s="112" t="s">
        <v>90</v>
      </c>
      <c r="G2" s="112" t="s">
        <v>80</v>
      </c>
      <c r="H2" s="113" t="s">
        <v>23</v>
      </c>
      <c r="I2" s="112" t="s">
        <v>95</v>
      </c>
      <c r="J2" s="83" t="s">
        <v>10764</v>
      </c>
      <c r="K2" s="113" t="s">
        <v>13831</v>
      </c>
      <c r="L2" s="112" t="s">
        <v>10266</v>
      </c>
      <c r="M2" s="112" t="s">
        <v>13838</v>
      </c>
      <c r="N2" s="112" t="s">
        <v>13837</v>
      </c>
      <c r="O2" s="112" t="s">
        <v>13839</v>
      </c>
      <c r="P2" s="112" t="s">
        <v>17503</v>
      </c>
      <c r="Q2" s="112" t="s">
        <v>19625</v>
      </c>
      <c r="R2" s="112" t="s">
        <v>19626</v>
      </c>
    </row>
    <row r="3" spans="1:18" x14ac:dyDescent="0.2">
      <c r="A3" s="84" t="s">
        <v>115</v>
      </c>
      <c r="B3" t="s">
        <v>4596</v>
      </c>
      <c r="C3" t="s">
        <v>116</v>
      </c>
      <c r="D3" s="114" t="s">
        <v>118</v>
      </c>
      <c r="E3" s="84" t="s">
        <v>19627</v>
      </c>
      <c r="F3" t="s">
        <v>117</v>
      </c>
      <c r="G3" t="str">
        <f t="shared" ref="G3:G10" si="0">IF(O3="","Clear "&amp;N3&amp;" ("&amp;M3&amp;")","Clear "&amp;N3&amp;": "&amp;O3&amp;" ("&amp;M3&amp;")")</f>
        <v>Clear Defensive Battle: Master (Shackles of the Syndicate)</v>
      </c>
      <c r="H3" s="86" t="s">
        <v>122</v>
      </c>
      <c r="I3" t="s">
        <v>123</v>
      </c>
      <c r="J3" s="84">
        <v>5</v>
      </c>
      <c r="K3" s="118">
        <v>44452</v>
      </c>
      <c r="L3" t="s">
        <v>18588</v>
      </c>
      <c r="M3" t="s">
        <v>19026</v>
      </c>
      <c r="N3" t="s">
        <v>19628</v>
      </c>
      <c r="O3" t="s">
        <v>18061</v>
      </c>
      <c r="P3">
        <v>4</v>
      </c>
      <c r="Q3" t="s">
        <v>19040</v>
      </c>
    </row>
    <row r="4" spans="1:18" x14ac:dyDescent="0.2">
      <c r="A4" s="84" t="s">
        <v>140</v>
      </c>
      <c r="B4" t="s">
        <v>4596</v>
      </c>
      <c r="C4" t="s">
        <v>141</v>
      </c>
      <c r="D4" s="114" t="s">
        <v>143</v>
      </c>
      <c r="E4" s="84" t="s">
        <v>19629</v>
      </c>
      <c r="F4" t="s">
        <v>142</v>
      </c>
      <c r="G4" t="str">
        <f t="shared" si="0"/>
        <v>Clear Battle with Chrom: Hard (Fire Emblem: Kindred Ties)</v>
      </c>
      <c r="H4" s="86" t="s">
        <v>122</v>
      </c>
      <c r="I4" t="s">
        <v>123</v>
      </c>
      <c r="J4" s="84">
        <v>5</v>
      </c>
      <c r="K4" s="118">
        <v>43951</v>
      </c>
      <c r="L4" t="s">
        <v>18241</v>
      </c>
      <c r="M4" t="s">
        <v>14206</v>
      </c>
      <c r="N4" t="s">
        <v>18507</v>
      </c>
      <c r="O4" t="s">
        <v>15732</v>
      </c>
      <c r="P4">
        <v>2</v>
      </c>
      <c r="Q4" t="s">
        <v>18508</v>
      </c>
    </row>
    <row r="5" spans="1:18" x14ac:dyDescent="0.2">
      <c r="A5" s="84" t="s">
        <v>161</v>
      </c>
      <c r="B5" t="s">
        <v>4596</v>
      </c>
      <c r="C5" t="s">
        <v>162</v>
      </c>
      <c r="D5" s="114" t="s">
        <v>164</v>
      </c>
      <c r="E5" s="84" t="s">
        <v>19630</v>
      </c>
      <c r="F5" t="s">
        <v>163</v>
      </c>
      <c r="G5" t="str">
        <f t="shared" si="0"/>
        <v>Clear The King's Descent (Monster Hunter Primal Crisis)</v>
      </c>
      <c r="H5" s="86" t="s">
        <v>122</v>
      </c>
      <c r="I5" t="s">
        <v>123</v>
      </c>
      <c r="J5" s="84">
        <v>5</v>
      </c>
      <c r="K5" s="118">
        <v>43859</v>
      </c>
      <c r="L5" t="s">
        <v>18241</v>
      </c>
      <c r="M5" t="s">
        <v>19631</v>
      </c>
      <c r="N5" t="s">
        <v>18431</v>
      </c>
      <c r="P5">
        <v>1</v>
      </c>
      <c r="Q5" t="s">
        <v>18430</v>
      </c>
    </row>
    <row r="6" spans="1:18" x14ac:dyDescent="0.2">
      <c r="A6" s="84" t="s">
        <v>181</v>
      </c>
      <c r="B6" t="s">
        <v>4596</v>
      </c>
      <c r="C6" t="s">
        <v>182</v>
      </c>
      <c r="D6" s="114" t="s">
        <v>184</v>
      </c>
      <c r="E6" s="84" t="s">
        <v>19632</v>
      </c>
      <c r="F6" t="s">
        <v>183</v>
      </c>
      <c r="G6" t="str">
        <f t="shared" si="0"/>
        <v>Clear Flame Legion's Trial: Standard (Trials of the Mighty)</v>
      </c>
      <c r="H6" s="86" t="s">
        <v>122</v>
      </c>
      <c r="I6" t="s">
        <v>123</v>
      </c>
      <c r="J6" s="84">
        <v>5</v>
      </c>
      <c r="K6" s="118">
        <v>43720</v>
      </c>
      <c r="L6" t="s">
        <v>18054</v>
      </c>
      <c r="M6" t="s">
        <v>19456</v>
      </c>
      <c r="N6" s="86" t="s">
        <v>19473</v>
      </c>
      <c r="O6" t="s">
        <v>18054</v>
      </c>
      <c r="P6">
        <v>1</v>
      </c>
      <c r="Q6" t="s">
        <v>19472</v>
      </c>
    </row>
    <row r="7" spans="1:18" x14ac:dyDescent="0.2">
      <c r="A7" s="84" t="s">
        <v>200</v>
      </c>
      <c r="B7" t="s">
        <v>4596</v>
      </c>
      <c r="C7" t="s">
        <v>201</v>
      </c>
      <c r="D7" s="114" t="s">
        <v>203</v>
      </c>
      <c r="E7" s="84" t="s">
        <v>19633</v>
      </c>
      <c r="F7" t="s">
        <v>202</v>
      </c>
      <c r="G7" t="str">
        <f t="shared" si="0"/>
        <v>Clear Repel the Empire: Hard (Fire Emblem: Lost Heroes)</v>
      </c>
      <c r="H7" s="86" t="s">
        <v>122</v>
      </c>
      <c r="I7" t="s">
        <v>123</v>
      </c>
      <c r="J7" s="84">
        <v>5</v>
      </c>
      <c r="K7" s="118">
        <v>43581</v>
      </c>
      <c r="L7" t="s">
        <v>18241</v>
      </c>
      <c r="M7" t="s">
        <v>18242</v>
      </c>
      <c r="N7" t="s">
        <v>18250</v>
      </c>
      <c r="O7" t="s">
        <v>15732</v>
      </c>
      <c r="P7">
        <v>2</v>
      </c>
      <c r="Q7" t="s">
        <v>18251</v>
      </c>
    </row>
    <row r="8" spans="1:18" x14ac:dyDescent="0.2">
      <c r="A8" s="84" t="s">
        <v>218</v>
      </c>
      <c r="B8" t="s">
        <v>4596</v>
      </c>
      <c r="C8" t="s">
        <v>219</v>
      </c>
      <c r="D8" s="114" t="s">
        <v>221</v>
      </c>
      <c r="E8" s="84" t="s">
        <v>19634</v>
      </c>
      <c r="F8" t="s">
        <v>220</v>
      </c>
      <c r="G8" t="str">
        <f t="shared" si="0"/>
        <v>Clear Volcanic Chimera Strike: Standard (Void Battles)</v>
      </c>
      <c r="H8" s="86" t="s">
        <v>122</v>
      </c>
      <c r="I8" t="s">
        <v>123</v>
      </c>
      <c r="J8" s="84">
        <v>5</v>
      </c>
      <c r="K8" s="118">
        <v>43404</v>
      </c>
      <c r="L8" t="s">
        <v>18054</v>
      </c>
      <c r="M8" t="s">
        <v>19374</v>
      </c>
      <c r="N8" t="s">
        <v>19441</v>
      </c>
      <c r="O8" t="s">
        <v>18054</v>
      </c>
      <c r="P8">
        <v>1</v>
      </c>
      <c r="Q8" t="s">
        <v>19440</v>
      </c>
    </row>
    <row r="9" spans="1:18" x14ac:dyDescent="0.2">
      <c r="A9" s="84" t="s">
        <v>235</v>
      </c>
      <c r="B9" t="s">
        <v>4596</v>
      </c>
      <c r="C9" t="s">
        <v>236</v>
      </c>
      <c r="D9" s="114" t="s">
        <v>238</v>
      </c>
      <c r="E9" s="84" t="s">
        <v>19635</v>
      </c>
      <c r="F9" t="s">
        <v>237</v>
      </c>
      <c r="G9" t="str">
        <f t="shared" si="0"/>
        <v>Clear Lv. 20 of The Mercurial Gauntlet in All Elements (The Mercurial Gauntlet)</v>
      </c>
      <c r="H9" s="86" t="s">
        <v>122</v>
      </c>
      <c r="I9" t="s">
        <v>123</v>
      </c>
      <c r="J9" s="84">
        <v>4</v>
      </c>
      <c r="K9" s="118">
        <v>43616</v>
      </c>
      <c r="L9" t="s">
        <v>18054</v>
      </c>
      <c r="M9" t="s">
        <v>19636</v>
      </c>
      <c r="N9" t="s">
        <v>19637</v>
      </c>
      <c r="Q9" t="s">
        <v>137</v>
      </c>
    </row>
    <row r="10" spans="1:18" x14ac:dyDescent="0.2">
      <c r="A10" s="84" t="s">
        <v>254</v>
      </c>
      <c r="B10" t="s">
        <v>4596</v>
      </c>
      <c r="C10" t="s">
        <v>255</v>
      </c>
      <c r="D10" s="114" t="s">
        <v>257</v>
      </c>
      <c r="E10" s="84" t="s">
        <v>19638</v>
      </c>
      <c r="F10" t="s">
        <v>256</v>
      </c>
      <c r="G10" t="str">
        <f t="shared" si="0"/>
        <v>Clear The Mercurial Gauntlet (Flame): Lv. 30 (The Mercurial Gauntlet)</v>
      </c>
      <c r="H10" s="86" t="s">
        <v>122</v>
      </c>
      <c r="I10" t="s">
        <v>123</v>
      </c>
      <c r="J10" s="84">
        <v>4</v>
      </c>
      <c r="K10" s="118">
        <v>43370</v>
      </c>
      <c r="L10" t="s">
        <v>18054</v>
      </c>
      <c r="M10" t="s">
        <v>19636</v>
      </c>
      <c r="N10" s="86" t="s">
        <v>19639</v>
      </c>
      <c r="O10" t="s">
        <v>19640</v>
      </c>
      <c r="Q10" t="s">
        <v>137</v>
      </c>
    </row>
    <row r="11" spans="1:18" x14ac:dyDescent="0.2">
      <c r="A11" s="84" t="s">
        <v>271</v>
      </c>
      <c r="B11" t="s">
        <v>4596</v>
      </c>
      <c r="C11" t="s">
        <v>272</v>
      </c>
      <c r="D11" s="114" t="s">
        <v>274</v>
      </c>
      <c r="E11" s="84" t="s">
        <v>19641</v>
      </c>
      <c r="F11" t="s">
        <v>273</v>
      </c>
      <c r="G11" t="str">
        <f>+N11</f>
        <v>Complete Tutorial</v>
      </c>
      <c r="H11" s="86" t="s">
        <v>122</v>
      </c>
      <c r="I11" t="s">
        <v>123</v>
      </c>
      <c r="J11" s="84">
        <v>4</v>
      </c>
      <c r="K11" s="118">
        <v>43370</v>
      </c>
      <c r="L11" t="s">
        <v>18054</v>
      </c>
      <c r="M11" t="s">
        <v>13720</v>
      </c>
      <c r="N11" t="s">
        <v>276</v>
      </c>
      <c r="Q11" t="s">
        <v>137</v>
      </c>
    </row>
    <row r="12" spans="1:18" x14ac:dyDescent="0.2">
      <c r="A12" s="84" t="s">
        <v>289</v>
      </c>
      <c r="B12" t="s">
        <v>4596</v>
      </c>
      <c r="C12" t="s">
        <v>290</v>
      </c>
      <c r="D12" s="115" t="s">
        <v>292</v>
      </c>
      <c r="E12" s="84" t="s">
        <v>19642</v>
      </c>
      <c r="F12" t="s">
        <v>291</v>
      </c>
      <c r="G12" t="str">
        <f t="shared" ref="G12:G17" si="1">IF(O12="","Clear "&amp;N12&amp;" ("&amp;M12&amp;")","Clear "&amp;N12&amp;": "&amp;O12&amp;" ("&amp;M12&amp;")")</f>
        <v>Clear All-Out Assault: Standard (Valentine's Confections)</v>
      </c>
      <c r="H12" s="86" t="s">
        <v>122</v>
      </c>
      <c r="I12" t="s">
        <v>123</v>
      </c>
      <c r="J12" s="84">
        <v>3</v>
      </c>
      <c r="K12" s="118">
        <v>43510</v>
      </c>
      <c r="L12" t="s">
        <v>18175</v>
      </c>
      <c r="M12" t="s">
        <v>14038</v>
      </c>
      <c r="N12" t="s">
        <v>19643</v>
      </c>
      <c r="O12" t="s">
        <v>18054</v>
      </c>
      <c r="P12">
        <v>2</v>
      </c>
      <c r="Q12" t="s">
        <v>18183</v>
      </c>
    </row>
    <row r="13" spans="1:18" x14ac:dyDescent="0.2">
      <c r="A13" s="84" t="s">
        <v>306</v>
      </c>
      <c r="B13" t="s">
        <v>4596</v>
      </c>
      <c r="C13" t="s">
        <v>307</v>
      </c>
      <c r="D13" s="114" t="s">
        <v>309</v>
      </c>
      <c r="E13" s="84" t="s">
        <v>19644</v>
      </c>
      <c r="F13" t="s">
        <v>308</v>
      </c>
      <c r="G13" t="str">
        <f t="shared" si="1"/>
        <v>Clear Battle at Mount Adolla: Standard (The Imperial Onslaught)</v>
      </c>
      <c r="H13" s="86" t="s">
        <v>122</v>
      </c>
      <c r="I13" t="s">
        <v>123</v>
      </c>
      <c r="J13" s="84">
        <v>3</v>
      </c>
      <c r="K13" s="118">
        <v>43480</v>
      </c>
      <c r="L13" t="s">
        <v>18054</v>
      </c>
      <c r="M13" t="s">
        <v>13954</v>
      </c>
      <c r="N13" t="s">
        <v>19219</v>
      </c>
      <c r="O13" t="s">
        <v>18054</v>
      </c>
      <c r="P13">
        <v>2</v>
      </c>
      <c r="Q13" t="s">
        <v>19220</v>
      </c>
    </row>
    <row r="14" spans="1:18" x14ac:dyDescent="0.2">
      <c r="A14" s="84" t="s">
        <v>324</v>
      </c>
      <c r="B14" t="s">
        <v>4596</v>
      </c>
      <c r="C14" t="s">
        <v>325</v>
      </c>
      <c r="D14" s="114" t="s">
        <v>327</v>
      </c>
      <c r="E14" s="84" t="s">
        <v>19645</v>
      </c>
      <c r="F14" t="s">
        <v>326</v>
      </c>
      <c r="G14" t="str">
        <f t="shared" si="1"/>
        <v>Clear Defensive Battle: Master (Shadow of the Mukuroshu)</v>
      </c>
      <c r="H14" s="86" t="s">
        <v>122</v>
      </c>
      <c r="I14" t="s">
        <v>330</v>
      </c>
      <c r="J14" s="84">
        <v>5</v>
      </c>
      <c r="K14" s="118">
        <v>44329</v>
      </c>
      <c r="L14" t="s">
        <v>18588</v>
      </c>
      <c r="M14" t="s">
        <v>18915</v>
      </c>
      <c r="N14" t="s">
        <v>19628</v>
      </c>
      <c r="O14" t="s">
        <v>18061</v>
      </c>
      <c r="P14">
        <v>4</v>
      </c>
      <c r="Q14" t="s">
        <v>18929</v>
      </c>
    </row>
    <row r="15" spans="1:18" x14ac:dyDescent="0.2">
      <c r="A15" s="84" t="s">
        <v>344</v>
      </c>
      <c r="B15" t="s">
        <v>4596</v>
      </c>
      <c r="C15" t="s">
        <v>345</v>
      </c>
      <c r="D15" s="114" t="s">
        <v>347</v>
      </c>
      <c r="E15" s="84" t="s">
        <v>19646</v>
      </c>
      <c r="F15" t="s">
        <v>346</v>
      </c>
      <c r="G15" t="str">
        <f t="shared" si="1"/>
        <v>Clear Ebisu Showdown: Nightmare (A Clawful Caper)</v>
      </c>
      <c r="H15" s="86" t="s">
        <v>122</v>
      </c>
      <c r="I15" t="s">
        <v>330</v>
      </c>
      <c r="J15" s="84">
        <v>5</v>
      </c>
      <c r="K15" s="118">
        <v>43830</v>
      </c>
      <c r="L15" t="s">
        <v>18017</v>
      </c>
      <c r="M15" t="s">
        <v>14158</v>
      </c>
      <c r="N15" t="s">
        <v>18420</v>
      </c>
      <c r="O15" t="s">
        <v>18041</v>
      </c>
      <c r="P15">
        <v>4</v>
      </c>
      <c r="Q15" t="s">
        <v>18423</v>
      </c>
    </row>
    <row r="16" spans="1:18" x14ac:dyDescent="0.2">
      <c r="A16" s="84" t="s">
        <v>360</v>
      </c>
      <c r="B16" t="s">
        <v>4596</v>
      </c>
      <c r="C16" t="s">
        <v>361</v>
      </c>
      <c r="D16" s="114" t="s">
        <v>363</v>
      </c>
      <c r="E16" s="84" t="s">
        <v>19647</v>
      </c>
      <c r="F16" t="s">
        <v>362</v>
      </c>
      <c r="G16" t="str">
        <f t="shared" si="1"/>
        <v>Clear The Path to Mastery: Master (Flames of Reflection)</v>
      </c>
      <c r="H16" s="86" t="s">
        <v>122</v>
      </c>
      <c r="I16" t="s">
        <v>330</v>
      </c>
      <c r="J16" s="84">
        <v>5</v>
      </c>
      <c r="K16" s="118">
        <v>43657</v>
      </c>
      <c r="L16" t="s">
        <v>18046</v>
      </c>
      <c r="M16" t="s">
        <v>14095</v>
      </c>
      <c r="N16" t="s">
        <v>18292</v>
      </c>
      <c r="O16" t="s">
        <v>18061</v>
      </c>
      <c r="P16">
        <v>2</v>
      </c>
      <c r="Q16" t="s">
        <v>18293</v>
      </c>
    </row>
    <row r="17" spans="1:18" x14ac:dyDescent="0.2">
      <c r="A17" s="84" t="s">
        <v>376</v>
      </c>
      <c r="B17" t="s">
        <v>4596</v>
      </c>
      <c r="C17" t="s">
        <v>377</v>
      </c>
      <c r="D17" s="114" t="s">
        <v>379</v>
      </c>
      <c r="E17" s="84" t="s">
        <v>19648</v>
      </c>
      <c r="F17" t="s">
        <v>378</v>
      </c>
      <c r="G17" t="str">
        <f t="shared" si="1"/>
        <v>Clear Battle at Mount Adolla: Expert (The Imperial Onslaught)</v>
      </c>
      <c r="H17" s="86" t="s">
        <v>122</v>
      </c>
      <c r="I17" t="s">
        <v>330</v>
      </c>
      <c r="J17" s="84">
        <v>5</v>
      </c>
      <c r="K17" s="118">
        <v>43370</v>
      </c>
      <c r="L17" t="s">
        <v>18054</v>
      </c>
      <c r="M17" t="s">
        <v>13954</v>
      </c>
      <c r="N17" t="s">
        <v>19219</v>
      </c>
      <c r="O17" t="s">
        <v>18033</v>
      </c>
      <c r="P17">
        <v>3</v>
      </c>
      <c r="Q17" t="s">
        <v>19222</v>
      </c>
    </row>
    <row r="18" spans="1:18" x14ac:dyDescent="0.2">
      <c r="A18" s="84" t="s">
        <v>392</v>
      </c>
      <c r="B18" t="s">
        <v>4596</v>
      </c>
      <c r="C18" t="s">
        <v>393</v>
      </c>
      <c r="D18" s="114" t="s">
        <v>395</v>
      </c>
      <c r="E18" s="84" t="s">
        <v>19649</v>
      </c>
      <c r="F18" t="s">
        <v>394</v>
      </c>
      <c r="G18" t="str">
        <f>+"Clear "&amp;N18&amp;" of the Main Campaign ("&amp;O18&amp;")"</f>
        <v>Clear Ch. 11 6-3 of the Main Campaign (Normal)</v>
      </c>
      <c r="H18" s="86" t="s">
        <v>122</v>
      </c>
      <c r="I18" t="s">
        <v>330</v>
      </c>
      <c r="J18" s="84">
        <v>4</v>
      </c>
      <c r="K18" s="118">
        <v>43815</v>
      </c>
      <c r="L18" t="s">
        <v>18054</v>
      </c>
      <c r="M18" t="s">
        <v>17513</v>
      </c>
      <c r="N18" t="s">
        <v>19650</v>
      </c>
      <c r="O18" t="s">
        <v>15731</v>
      </c>
      <c r="P18">
        <v>1</v>
      </c>
      <c r="Q18" t="s">
        <v>16458</v>
      </c>
    </row>
    <row r="19" spans="1:18" x14ac:dyDescent="0.2">
      <c r="A19" s="84" t="s">
        <v>409</v>
      </c>
      <c r="B19" t="s">
        <v>4596</v>
      </c>
      <c r="C19" t="s">
        <v>410</v>
      </c>
      <c r="D19" s="114" t="s">
        <v>412</v>
      </c>
      <c r="E19" s="84" t="s">
        <v>19651</v>
      </c>
      <c r="F19" t="s">
        <v>411</v>
      </c>
      <c r="G19" t="str">
        <f>+N19</f>
        <v>Complete Tutorial</v>
      </c>
      <c r="H19" s="86" t="s">
        <v>122</v>
      </c>
      <c r="I19" t="s">
        <v>330</v>
      </c>
      <c r="J19" s="84">
        <v>3</v>
      </c>
      <c r="K19" s="118">
        <v>43370</v>
      </c>
      <c r="L19" t="s">
        <v>18054</v>
      </c>
      <c r="M19" t="s">
        <v>13720</v>
      </c>
      <c r="N19" t="s">
        <v>276</v>
      </c>
      <c r="Q19" t="s">
        <v>137</v>
      </c>
    </row>
    <row r="20" spans="1:18" x14ac:dyDescent="0.2">
      <c r="A20" s="84" t="s">
        <v>423</v>
      </c>
      <c r="B20" t="s">
        <v>4596</v>
      </c>
      <c r="C20" t="s">
        <v>424</v>
      </c>
      <c r="D20" s="114" t="s">
        <v>426</v>
      </c>
      <c r="E20" s="84" t="s">
        <v>19652</v>
      </c>
      <c r="F20" t="s">
        <v>425</v>
      </c>
      <c r="G20" t="str">
        <f>+"Clear "&amp;N20&amp;" of the Main Campaign ("&amp;O20&amp;")"</f>
        <v>Clear Ch. 24 5-6 of the Main Campaign (Normal)</v>
      </c>
      <c r="H20" s="86" t="s">
        <v>122</v>
      </c>
      <c r="I20" t="s">
        <v>429</v>
      </c>
      <c r="J20" s="84">
        <v>5</v>
      </c>
      <c r="K20" s="118">
        <v>44634</v>
      </c>
      <c r="L20" t="s">
        <v>18054</v>
      </c>
      <c r="M20" t="s">
        <v>17513</v>
      </c>
      <c r="N20" t="s">
        <v>19653</v>
      </c>
      <c r="O20" t="s">
        <v>15731</v>
      </c>
      <c r="P20">
        <v>1</v>
      </c>
      <c r="Q20" t="s">
        <v>17360</v>
      </c>
    </row>
    <row r="21" spans="1:18" x14ac:dyDescent="0.2">
      <c r="A21" s="84" t="s">
        <v>442</v>
      </c>
      <c r="B21" t="s">
        <v>4596</v>
      </c>
      <c r="C21" t="s">
        <v>443</v>
      </c>
      <c r="D21" s="114" t="s">
        <v>445</v>
      </c>
      <c r="E21" s="84" t="s">
        <v>19654</v>
      </c>
      <c r="F21" t="s">
        <v>444</v>
      </c>
      <c r="G21" t="str">
        <f>IF(O21="","Clear "&amp;N21&amp;" ("&amp;M21&amp;")","Clear "&amp;N21&amp;": "&amp;O21&amp;" ("&amp;M21&amp;")")</f>
        <v>Clear Defensive Battle: EX (The Fabled Fortune)</v>
      </c>
      <c r="H21" s="86" t="s">
        <v>122</v>
      </c>
      <c r="I21" t="s">
        <v>429</v>
      </c>
      <c r="J21" s="84">
        <v>5</v>
      </c>
      <c r="K21" s="118">
        <v>44392</v>
      </c>
      <c r="L21" t="s">
        <v>18588</v>
      </c>
      <c r="M21" t="s">
        <v>18970</v>
      </c>
      <c r="N21" t="s">
        <v>19628</v>
      </c>
      <c r="O21" t="s">
        <v>18039</v>
      </c>
      <c r="P21">
        <v>5</v>
      </c>
      <c r="Q21" t="s">
        <v>18985</v>
      </c>
    </row>
    <row r="22" spans="1:18" x14ac:dyDescent="0.2">
      <c r="A22" s="84" t="s">
        <v>458</v>
      </c>
      <c r="B22" t="s">
        <v>4596</v>
      </c>
      <c r="C22" t="s">
        <v>459</v>
      </c>
      <c r="D22" s="114" t="s">
        <v>461</v>
      </c>
      <c r="E22" s="84" t="s">
        <v>19655</v>
      </c>
      <c r="F22" t="s">
        <v>460</v>
      </c>
      <c r="G22" t="str">
        <f>+"Clear "&amp;N22&amp;" of the Main Campaign ("&amp;O22&amp;")"</f>
        <v>Clear Ch. 14 4-8 of the Main Campaign (Hard)</v>
      </c>
      <c r="H22" s="86" t="s">
        <v>122</v>
      </c>
      <c r="I22" t="s">
        <v>429</v>
      </c>
      <c r="J22" s="84">
        <v>5</v>
      </c>
      <c r="K22" s="118">
        <v>44042</v>
      </c>
      <c r="L22" t="s">
        <v>18054</v>
      </c>
      <c r="M22" t="s">
        <v>17513</v>
      </c>
      <c r="N22" t="s">
        <v>19656</v>
      </c>
      <c r="O22" t="s">
        <v>15732</v>
      </c>
      <c r="P22">
        <v>1</v>
      </c>
      <c r="Q22" t="s">
        <v>17814</v>
      </c>
    </row>
    <row r="23" spans="1:18" x14ac:dyDescent="0.2">
      <c r="A23" s="70" t="s">
        <v>476</v>
      </c>
      <c r="B23" t="s">
        <v>4596</v>
      </c>
      <c r="C23" t="s">
        <v>477</v>
      </c>
      <c r="D23" s="114" t="s">
        <v>479</v>
      </c>
      <c r="E23" s="84" t="s">
        <v>19657</v>
      </c>
      <c r="F23" t="s">
        <v>478</v>
      </c>
      <c r="G23" t="str">
        <f>"Clear "&amp;N23&amp;": "&amp;O23</f>
        <v>Clear Flamehowl Ruins: Expert</v>
      </c>
      <c r="H23" s="86" t="s">
        <v>122</v>
      </c>
      <c r="I23" t="s">
        <v>429</v>
      </c>
      <c r="J23" s="84">
        <v>5</v>
      </c>
      <c r="K23" s="118">
        <v>43370</v>
      </c>
      <c r="L23" t="s">
        <v>18054</v>
      </c>
      <c r="M23" t="s">
        <v>14035</v>
      </c>
      <c r="N23" t="s">
        <v>19167</v>
      </c>
      <c r="O23" t="s">
        <v>18033</v>
      </c>
      <c r="P23">
        <v>3</v>
      </c>
      <c r="Q23" t="s">
        <v>19171</v>
      </c>
    </row>
    <row r="24" spans="1:18" x14ac:dyDescent="0.2">
      <c r="A24" s="70" t="s">
        <v>490</v>
      </c>
      <c r="B24" t="s">
        <v>4596</v>
      </c>
      <c r="C24" t="s">
        <v>491</v>
      </c>
      <c r="D24" s="114" t="s">
        <v>493</v>
      </c>
      <c r="E24" s="84" t="s">
        <v>19658</v>
      </c>
      <c r="F24" t="s">
        <v>492</v>
      </c>
      <c r="G24" t="str">
        <f>IF(O24="","Clear "&amp;N24&amp;" ("&amp;M24&amp;")","Clear "&amp;N24&amp;": "&amp;O24&amp;" ("&amp;M24&amp;")")</f>
        <v>Clear Lv. 30 of The Mercurial Gauntlet in All Elements (The Mercurial Gauntlet)</v>
      </c>
      <c r="H24" s="86" t="s">
        <v>122</v>
      </c>
      <c r="I24" t="s">
        <v>429</v>
      </c>
      <c r="J24" s="84">
        <v>4</v>
      </c>
      <c r="K24" s="118">
        <v>43782</v>
      </c>
      <c r="L24" t="s">
        <v>18054</v>
      </c>
      <c r="M24" t="s">
        <v>19636</v>
      </c>
      <c r="N24" t="s">
        <v>19659</v>
      </c>
      <c r="Q24" t="s">
        <v>137</v>
      </c>
    </row>
    <row r="25" spans="1:18" x14ac:dyDescent="0.2">
      <c r="A25" s="70" t="s">
        <v>507</v>
      </c>
      <c r="B25" t="s">
        <v>4596</v>
      </c>
      <c r="C25" t="s">
        <v>508</v>
      </c>
      <c r="D25" s="114" t="s">
        <v>510</v>
      </c>
      <c r="E25" s="84" t="s">
        <v>19660</v>
      </c>
      <c r="F25" t="s">
        <v>492</v>
      </c>
      <c r="G25" t="str">
        <f>IF(O25="","Clear "&amp;N25&amp;" ("&amp;M25&amp;")","Clear "&amp;N25&amp;": "&amp;O25&amp;" ("&amp;M25&amp;")")</f>
        <v>Clear Melsa's Inkling (Kindness and Captivity)</v>
      </c>
      <c r="H25" s="86" t="s">
        <v>122</v>
      </c>
      <c r="I25" t="s">
        <v>429</v>
      </c>
      <c r="J25" s="84">
        <v>4</v>
      </c>
      <c r="K25" s="118">
        <v>43404</v>
      </c>
      <c r="L25" t="s">
        <v>18017</v>
      </c>
      <c r="M25" t="s">
        <v>13976</v>
      </c>
      <c r="N25" t="s">
        <v>18070</v>
      </c>
      <c r="P25">
        <v>1</v>
      </c>
      <c r="Q25" t="s">
        <v>18069</v>
      </c>
    </row>
    <row r="26" spans="1:18" x14ac:dyDescent="0.2">
      <c r="A26" s="70" t="s">
        <v>524</v>
      </c>
      <c r="B26" t="s">
        <v>4596</v>
      </c>
      <c r="C26" t="s">
        <v>525</v>
      </c>
      <c r="D26" s="114" t="s">
        <v>527</v>
      </c>
      <c r="E26" s="84" t="s">
        <v>19661</v>
      </c>
      <c r="F26" t="s">
        <v>526</v>
      </c>
      <c r="G26" t="str">
        <f>IF(O26="","Clear "&amp;N26&amp;" ("&amp;M26&amp;")","Clear "&amp;N26&amp;": "&amp;O26&amp;" ("&amp;M26&amp;")")</f>
        <v>Clear Battle at Mount Adolla: Beginner (The Imperial Onslaught)</v>
      </c>
      <c r="H26" s="86" t="s">
        <v>122</v>
      </c>
      <c r="I26" t="s">
        <v>429</v>
      </c>
      <c r="J26" s="84">
        <v>3</v>
      </c>
      <c r="K26" s="118">
        <v>43370</v>
      </c>
      <c r="L26" t="s">
        <v>18054</v>
      </c>
      <c r="M26" t="s">
        <v>13954</v>
      </c>
      <c r="N26" t="s">
        <v>19219</v>
      </c>
      <c r="O26" t="s">
        <v>18031</v>
      </c>
      <c r="P26">
        <v>1</v>
      </c>
      <c r="Q26" t="s">
        <v>19218</v>
      </c>
    </row>
    <row r="27" spans="1:18" x14ac:dyDescent="0.2">
      <c r="A27" s="70" t="s">
        <v>537</v>
      </c>
      <c r="B27" t="s">
        <v>4596</v>
      </c>
      <c r="C27" t="s">
        <v>538</v>
      </c>
      <c r="D27" s="114" t="s">
        <v>540</v>
      </c>
      <c r="E27" s="84" t="s">
        <v>19662</v>
      </c>
      <c r="F27" t="s">
        <v>539</v>
      </c>
      <c r="G27" t="str">
        <f>+"Clear "&amp;N27&amp;" of the Main Campaign ("&amp;O27&amp;")"</f>
        <v>Clear Ch. 22 5-2 of the Main Campaign (Hard)</v>
      </c>
      <c r="H27" s="86" t="s">
        <v>122</v>
      </c>
      <c r="I27" t="s">
        <v>543</v>
      </c>
      <c r="J27" s="84">
        <v>5</v>
      </c>
      <c r="K27" s="118">
        <v>44529</v>
      </c>
      <c r="L27" t="s">
        <v>18054</v>
      </c>
      <c r="M27" t="s">
        <v>17513</v>
      </c>
      <c r="N27" t="s">
        <v>19663</v>
      </c>
      <c r="O27" t="s">
        <v>15732</v>
      </c>
      <c r="P27">
        <v>1</v>
      </c>
      <c r="Q27" t="s">
        <v>17954</v>
      </c>
    </row>
    <row r="28" spans="1:18" x14ac:dyDescent="0.2">
      <c r="A28" s="70" t="s">
        <v>555</v>
      </c>
      <c r="B28" t="s">
        <v>4596</v>
      </c>
      <c r="C28" t="s">
        <v>556</v>
      </c>
      <c r="D28" s="114" t="s">
        <v>558</v>
      </c>
      <c r="E28" s="84" t="s">
        <v>19664</v>
      </c>
      <c r="F28" t="s">
        <v>557</v>
      </c>
      <c r="G28" t="str">
        <f t="shared" ref="G28:G35" si="2">IF(O28="","Clear "&amp;N28&amp;" ("&amp;M28&amp;")","Clear "&amp;N28&amp;": "&amp;O28&amp;" ("&amp;M28&amp;")")</f>
        <v>Clear All-Out Assault: EX (Elementary Escapades)</v>
      </c>
      <c r="H28" s="86" t="s">
        <v>122</v>
      </c>
      <c r="I28" t="s">
        <v>543</v>
      </c>
      <c r="J28" s="84">
        <v>5</v>
      </c>
      <c r="K28" s="118">
        <v>44301</v>
      </c>
      <c r="L28" t="s">
        <v>18560</v>
      </c>
      <c r="M28" t="s">
        <v>18884</v>
      </c>
      <c r="N28" t="s">
        <v>19643</v>
      </c>
      <c r="O28" t="s">
        <v>18039</v>
      </c>
      <c r="P28">
        <v>5</v>
      </c>
      <c r="Q28" t="s">
        <v>18899</v>
      </c>
    </row>
    <row r="29" spans="1:18" x14ac:dyDescent="0.2">
      <c r="A29" s="70" t="s">
        <v>573</v>
      </c>
      <c r="B29" t="s">
        <v>4596</v>
      </c>
      <c r="C29" t="s">
        <v>574</v>
      </c>
      <c r="D29" s="114" t="s">
        <v>576</v>
      </c>
      <c r="E29" s="84" t="s">
        <v>19665</v>
      </c>
      <c r="F29" t="s">
        <v>575</v>
      </c>
      <c r="G29" t="str">
        <f t="shared" si="2"/>
        <v>Clear Halloween Horrors: Expert (Trick or Treasure!)</v>
      </c>
      <c r="H29" s="86" t="s">
        <v>122</v>
      </c>
      <c r="I29" t="s">
        <v>543</v>
      </c>
      <c r="J29" s="84">
        <v>5</v>
      </c>
      <c r="K29" s="118">
        <v>43756</v>
      </c>
      <c r="L29" t="s">
        <v>18046</v>
      </c>
      <c r="M29" t="s">
        <v>13967</v>
      </c>
      <c r="N29" t="s">
        <v>18059</v>
      </c>
      <c r="O29" t="s">
        <v>18033</v>
      </c>
      <c r="P29">
        <v>1</v>
      </c>
      <c r="Q29" t="s">
        <v>18058</v>
      </c>
    </row>
    <row r="30" spans="1:18" x14ac:dyDescent="0.2">
      <c r="A30" s="70" t="s">
        <v>591</v>
      </c>
      <c r="B30" t="s">
        <v>4596</v>
      </c>
      <c r="C30" t="s">
        <v>592</v>
      </c>
      <c r="D30" s="114" t="s">
        <v>594</v>
      </c>
      <c r="E30" s="84" t="s">
        <v>19666</v>
      </c>
      <c r="F30" t="s">
        <v>593</v>
      </c>
      <c r="G30" t="str">
        <f t="shared" si="2"/>
        <v>Clear Arctos's Trial: Expert (Flames of Reflection)</v>
      </c>
      <c r="H30" s="86" t="s">
        <v>122</v>
      </c>
      <c r="I30" t="s">
        <v>543</v>
      </c>
      <c r="J30" s="84">
        <v>5</v>
      </c>
      <c r="K30" s="118">
        <v>43657</v>
      </c>
      <c r="L30" t="s">
        <v>18046</v>
      </c>
      <c r="M30" t="s">
        <v>14095</v>
      </c>
      <c r="N30" t="s">
        <v>18288</v>
      </c>
      <c r="O30" t="s">
        <v>18033</v>
      </c>
      <c r="P30">
        <v>3</v>
      </c>
      <c r="Q30" t="s">
        <v>18290</v>
      </c>
    </row>
    <row r="31" spans="1:18" x14ac:dyDescent="0.2">
      <c r="A31" s="70" t="s">
        <v>607</v>
      </c>
      <c r="B31" t="s">
        <v>4596</v>
      </c>
      <c r="C31" t="s">
        <v>608</v>
      </c>
      <c r="D31" s="114" t="s">
        <v>610</v>
      </c>
      <c r="E31" s="84" t="s">
        <v>19667</v>
      </c>
      <c r="F31" t="s">
        <v>609</v>
      </c>
      <c r="G31" t="str">
        <f t="shared" si="2"/>
        <v>Clear Golem Strikes (all elements) (Void Battles)</v>
      </c>
      <c r="H31" s="86" t="s">
        <v>122</v>
      </c>
      <c r="I31" t="s">
        <v>543</v>
      </c>
      <c r="J31" s="84">
        <v>4</v>
      </c>
      <c r="K31" s="118">
        <v>43573</v>
      </c>
      <c r="L31" t="s">
        <v>18054</v>
      </c>
      <c r="M31" t="s">
        <v>19374</v>
      </c>
      <c r="N31" t="s">
        <v>19668</v>
      </c>
      <c r="Q31" t="s">
        <v>137</v>
      </c>
      <c r="R31" t="s">
        <v>19669</v>
      </c>
    </row>
    <row r="32" spans="1:18" x14ac:dyDescent="0.2">
      <c r="A32" s="70" t="s">
        <v>624</v>
      </c>
      <c r="B32" t="s">
        <v>4596</v>
      </c>
      <c r="C32" t="s">
        <v>625</v>
      </c>
      <c r="D32" s="114" t="s">
        <v>627</v>
      </c>
      <c r="E32" s="84" t="s">
        <v>19670</v>
      </c>
      <c r="F32" t="s">
        <v>626</v>
      </c>
      <c r="G32" t="str">
        <f t="shared" si="2"/>
        <v>Clear The Mercurial Gauntlet (Flame): Lv. 20 (The Mercurial Gauntlet)</v>
      </c>
      <c r="H32" s="86" t="s">
        <v>122</v>
      </c>
      <c r="I32" t="s">
        <v>543</v>
      </c>
      <c r="J32" s="84">
        <v>4</v>
      </c>
      <c r="K32" s="118">
        <v>43370</v>
      </c>
      <c r="L32" t="s">
        <v>18054</v>
      </c>
      <c r="M32" t="s">
        <v>19636</v>
      </c>
      <c r="N32" s="86" t="s">
        <v>19639</v>
      </c>
      <c r="O32" t="s">
        <v>19671</v>
      </c>
      <c r="Q32" t="s">
        <v>137</v>
      </c>
    </row>
    <row r="33" spans="1:18" x14ac:dyDescent="0.2">
      <c r="A33" s="70" t="s">
        <v>639</v>
      </c>
      <c r="B33" t="s">
        <v>4596</v>
      </c>
      <c r="C33" t="s">
        <v>640</v>
      </c>
      <c r="D33" s="114" t="s">
        <v>642</v>
      </c>
      <c r="E33" s="84" t="s">
        <v>19672</v>
      </c>
      <c r="F33" t="s">
        <v>641</v>
      </c>
      <c r="G33" t="str">
        <f t="shared" si="2"/>
        <v>Clear Monarch Emile Clash: Nightmare (Persona 5 Strikers Caged Desire)</v>
      </c>
      <c r="H33" s="86" t="s">
        <v>122</v>
      </c>
      <c r="I33" t="s">
        <v>645</v>
      </c>
      <c r="J33" s="84">
        <v>5</v>
      </c>
      <c r="K33" s="118">
        <v>44233</v>
      </c>
      <c r="L33" t="s">
        <v>18241</v>
      </c>
      <c r="M33" t="s">
        <v>19673</v>
      </c>
      <c r="N33" t="s">
        <v>18808</v>
      </c>
      <c r="O33" t="s">
        <v>18041</v>
      </c>
      <c r="P33">
        <v>4</v>
      </c>
      <c r="Q33" t="s">
        <v>18811</v>
      </c>
    </row>
    <row r="34" spans="1:18" x14ac:dyDescent="0.2">
      <c r="A34" s="70" t="s">
        <v>657</v>
      </c>
      <c r="B34" t="s">
        <v>4596</v>
      </c>
      <c r="C34" t="s">
        <v>658</v>
      </c>
      <c r="D34" s="114" t="s">
        <v>660</v>
      </c>
      <c r="E34" s="84" t="s">
        <v>19674</v>
      </c>
      <c r="F34" t="s">
        <v>659</v>
      </c>
      <c r="G34" t="str">
        <f t="shared" si="2"/>
        <v>Clear Exhibition Match: EX (Fortune's Fray)</v>
      </c>
      <c r="H34" s="86" t="s">
        <v>122</v>
      </c>
      <c r="I34" t="s">
        <v>645</v>
      </c>
      <c r="J34" s="84">
        <v>5</v>
      </c>
      <c r="K34" s="118">
        <v>44210</v>
      </c>
      <c r="L34" t="s">
        <v>18773</v>
      </c>
      <c r="M34" t="s">
        <v>18774</v>
      </c>
      <c r="N34" t="s">
        <v>19675</v>
      </c>
      <c r="O34" t="s">
        <v>18039</v>
      </c>
      <c r="P34">
        <v>1</v>
      </c>
      <c r="Q34" t="s">
        <v>18793</v>
      </c>
    </row>
    <row r="35" spans="1:18" x14ac:dyDescent="0.2">
      <c r="A35" s="70" t="s">
        <v>674</v>
      </c>
      <c r="B35" t="s">
        <v>4596</v>
      </c>
      <c r="C35" t="s">
        <v>675</v>
      </c>
      <c r="D35" s="114" t="s">
        <v>677</v>
      </c>
      <c r="E35" s="84" t="s">
        <v>19676</v>
      </c>
      <c r="F35" t="s">
        <v>676</v>
      </c>
      <c r="G35" t="str">
        <f t="shared" si="2"/>
        <v>Clear All-Out Assault: Master (Nadine and Linnea's United Front)</v>
      </c>
      <c r="H35" s="86" t="s">
        <v>122</v>
      </c>
      <c r="I35" t="s">
        <v>645</v>
      </c>
      <c r="J35" s="84">
        <v>5</v>
      </c>
      <c r="K35" s="118">
        <v>43994</v>
      </c>
      <c r="L35" t="s">
        <v>18560</v>
      </c>
      <c r="M35" t="s">
        <v>14217</v>
      </c>
      <c r="N35" t="s">
        <v>19643</v>
      </c>
      <c r="O35" t="s">
        <v>18061</v>
      </c>
      <c r="P35">
        <v>4</v>
      </c>
      <c r="Q35" t="s">
        <v>18574</v>
      </c>
    </row>
    <row r="36" spans="1:18" x14ac:dyDescent="0.2">
      <c r="A36" s="70" t="s">
        <v>692</v>
      </c>
      <c r="B36" t="s">
        <v>4596</v>
      </c>
      <c r="C36" t="s">
        <v>693</v>
      </c>
      <c r="D36" s="114" t="s">
        <v>695</v>
      </c>
      <c r="E36" s="84" t="s">
        <v>19677</v>
      </c>
      <c r="F36" t="s">
        <v>694</v>
      </c>
      <c r="G36" t="str">
        <f>+"Clear "&amp;N36&amp;" of the Main Campaign ("&amp;O36&amp;")"</f>
        <v>Clear Ch. 08 5-3 of the Main Campaign (Hard)</v>
      </c>
      <c r="H36" s="86" t="s">
        <v>122</v>
      </c>
      <c r="I36" t="s">
        <v>645</v>
      </c>
      <c r="J36" s="84">
        <v>5</v>
      </c>
      <c r="K36" s="118">
        <v>43612</v>
      </c>
      <c r="L36" t="s">
        <v>18054</v>
      </c>
      <c r="M36" t="s">
        <v>17513</v>
      </c>
      <c r="N36" t="s">
        <v>19678</v>
      </c>
      <c r="O36" t="s">
        <v>15732</v>
      </c>
      <c r="P36">
        <v>1</v>
      </c>
      <c r="Q36" t="s">
        <v>17704</v>
      </c>
    </row>
    <row r="37" spans="1:18" x14ac:dyDescent="0.2">
      <c r="A37" s="70" t="s">
        <v>710</v>
      </c>
      <c r="B37" t="s">
        <v>4596</v>
      </c>
      <c r="C37" t="s">
        <v>711</v>
      </c>
      <c r="D37" s="114" t="s">
        <v>713</v>
      </c>
      <c r="E37" s="84" t="s">
        <v>19679</v>
      </c>
      <c r="F37" t="s">
        <v>712</v>
      </c>
      <c r="G37" t="str">
        <f>IF(O37="","Clear "&amp;N37&amp;" ("&amp;M37&amp;")","Clear "&amp;N37&amp;": "&amp;O37&amp;" ("&amp;M37&amp;")")</f>
        <v>Clear Smoldering Manticore Strike (Void Battles)</v>
      </c>
      <c r="H37" s="86" t="s">
        <v>122</v>
      </c>
      <c r="I37" t="s">
        <v>645</v>
      </c>
      <c r="J37" s="84">
        <v>4</v>
      </c>
      <c r="K37" s="118">
        <v>43720</v>
      </c>
      <c r="L37" t="s">
        <v>18054</v>
      </c>
      <c r="M37" t="s">
        <v>19374</v>
      </c>
      <c r="N37" t="s">
        <v>19417</v>
      </c>
      <c r="P37">
        <v>1</v>
      </c>
      <c r="Q37" t="s">
        <v>19416</v>
      </c>
    </row>
    <row r="38" spans="1:18" x14ac:dyDescent="0.2">
      <c r="A38" s="70" t="s">
        <v>725</v>
      </c>
      <c r="B38" t="s">
        <v>4596</v>
      </c>
      <c r="C38" t="s">
        <v>726</v>
      </c>
      <c r="D38" s="114" t="s">
        <v>728</v>
      </c>
      <c r="E38" s="84" t="s">
        <v>19680</v>
      </c>
      <c r="F38" t="s">
        <v>727</v>
      </c>
      <c r="G38" t="str">
        <f>IF(O38="","Clear "&amp;N38&amp;" ("&amp;M38&amp;")","Clear "&amp;N38&amp;": "&amp;O38&amp;" ("&amp;M38&amp;")")</f>
        <v>Clear Cyclops Assault: Expert (Echoes of Antiquity)</v>
      </c>
      <c r="H38" s="86" t="s">
        <v>122</v>
      </c>
      <c r="I38" t="s">
        <v>645</v>
      </c>
      <c r="J38" s="84">
        <v>4</v>
      </c>
      <c r="K38" s="118">
        <v>43616</v>
      </c>
      <c r="L38" t="s">
        <v>18017</v>
      </c>
      <c r="M38" t="s">
        <v>14476</v>
      </c>
      <c r="N38" t="s">
        <v>18273</v>
      </c>
      <c r="O38" t="s">
        <v>18033</v>
      </c>
      <c r="P38">
        <v>2</v>
      </c>
      <c r="Q38" t="s">
        <v>18274</v>
      </c>
    </row>
    <row r="39" spans="1:18" x14ac:dyDescent="0.2">
      <c r="A39" s="70" t="s">
        <v>739</v>
      </c>
      <c r="B39" t="s">
        <v>4596</v>
      </c>
      <c r="C39" t="s">
        <v>740</v>
      </c>
      <c r="D39" s="114" t="s">
        <v>742</v>
      </c>
      <c r="E39" s="84" t="s">
        <v>19681</v>
      </c>
      <c r="F39" t="s">
        <v>741</v>
      </c>
      <c r="G39" t="str">
        <f>"Clear "&amp;N39&amp;": "&amp;O39</f>
        <v>Clear Flamehowl Ruins: Standard</v>
      </c>
      <c r="H39" s="86" t="s">
        <v>122</v>
      </c>
      <c r="I39" t="s">
        <v>645</v>
      </c>
      <c r="J39" s="84">
        <v>3</v>
      </c>
      <c r="K39" s="118">
        <v>43370</v>
      </c>
      <c r="L39" t="s">
        <v>18054</v>
      </c>
      <c r="M39" t="s">
        <v>14035</v>
      </c>
      <c r="N39" t="s">
        <v>19167</v>
      </c>
      <c r="O39" t="s">
        <v>18054</v>
      </c>
      <c r="P39">
        <v>2</v>
      </c>
      <c r="Q39" t="s">
        <v>19169</v>
      </c>
    </row>
    <row r="40" spans="1:18" x14ac:dyDescent="0.2">
      <c r="A40" s="70" t="s">
        <v>753</v>
      </c>
      <c r="B40" t="s">
        <v>4596</v>
      </c>
      <c r="C40" t="s">
        <v>754</v>
      </c>
      <c r="D40" s="114" t="s">
        <v>756</v>
      </c>
      <c r="E40" s="84" t="s">
        <v>19682</v>
      </c>
      <c r="F40" t="s">
        <v>755</v>
      </c>
      <c r="G40" t="str">
        <f>IF(O40="","Clear "&amp;N40&amp;" ("&amp;M40&amp;")","Clear "&amp;N40&amp;": "&amp;O40&amp;" ("&amp;M40&amp;")")</f>
        <v>Clear The Stirring Abyss: Expert (Toll of the Deep)</v>
      </c>
      <c r="H40" s="86" t="s">
        <v>122</v>
      </c>
      <c r="I40" t="s">
        <v>759</v>
      </c>
      <c r="J40" s="84">
        <v>5</v>
      </c>
      <c r="K40" s="118">
        <v>44377</v>
      </c>
      <c r="L40" t="s">
        <v>18046</v>
      </c>
      <c r="M40" t="s">
        <v>14308</v>
      </c>
      <c r="N40" t="s">
        <v>18961</v>
      </c>
      <c r="O40" t="s">
        <v>18033</v>
      </c>
      <c r="P40">
        <v>3</v>
      </c>
      <c r="Q40" t="s">
        <v>18963</v>
      </c>
    </row>
    <row r="41" spans="1:18" x14ac:dyDescent="0.2">
      <c r="A41" s="70" t="s">
        <v>770</v>
      </c>
      <c r="B41" t="s">
        <v>4596</v>
      </c>
      <c r="C41" t="s">
        <v>771</v>
      </c>
      <c r="D41" s="114" t="s">
        <v>773</v>
      </c>
      <c r="E41" s="84" t="s">
        <v>19683</v>
      </c>
      <c r="F41" t="s">
        <v>772</v>
      </c>
      <c r="G41" t="str">
        <f>IF(O41="","Clear "&amp;N41&amp;" ("&amp;M41&amp;")","Clear "&amp;N41&amp;": "&amp;O41&amp;" ("&amp;M41&amp;")")</f>
        <v>Clear Ghost Strikes (all elements) (Void Battles)</v>
      </c>
      <c r="H41" s="86" t="s">
        <v>122</v>
      </c>
      <c r="I41" t="s">
        <v>759</v>
      </c>
      <c r="J41" s="84">
        <v>5</v>
      </c>
      <c r="K41" s="118">
        <v>43782</v>
      </c>
      <c r="L41" t="s">
        <v>18054</v>
      </c>
      <c r="M41" t="s">
        <v>19374</v>
      </c>
      <c r="N41" t="s">
        <v>19684</v>
      </c>
      <c r="Q41" t="s">
        <v>137</v>
      </c>
      <c r="R41" t="s">
        <v>19669</v>
      </c>
    </row>
    <row r="42" spans="1:18" x14ac:dyDescent="0.2">
      <c r="A42" s="70" t="s">
        <v>786</v>
      </c>
      <c r="B42" t="s">
        <v>4596</v>
      </c>
      <c r="C42" t="s">
        <v>787</v>
      </c>
      <c r="D42" s="114" t="s">
        <v>789</v>
      </c>
      <c r="E42" s="84" t="s">
        <v>19685</v>
      </c>
      <c r="F42" t="s">
        <v>788</v>
      </c>
      <c r="G42" t="str">
        <f>+"Clear "&amp;N42&amp;" of the Main Campaign ("&amp;O42&amp;")"</f>
        <v>Clear Ch. 06 4-3 of the Main Campaign (Hard)</v>
      </c>
      <c r="H42" s="86" t="s">
        <v>122</v>
      </c>
      <c r="I42" t="s">
        <v>759</v>
      </c>
      <c r="J42" s="84">
        <v>5</v>
      </c>
      <c r="K42" s="118">
        <v>43475</v>
      </c>
      <c r="L42" t="s">
        <v>18054</v>
      </c>
      <c r="M42" t="s">
        <v>17513</v>
      </c>
      <c r="N42" t="s">
        <v>19686</v>
      </c>
      <c r="O42" t="s">
        <v>15732</v>
      </c>
      <c r="P42">
        <v>1</v>
      </c>
      <c r="Q42" t="s">
        <v>17648</v>
      </c>
    </row>
    <row r="43" spans="1:18" x14ac:dyDescent="0.2">
      <c r="A43" s="70" t="s">
        <v>803</v>
      </c>
      <c r="B43" t="s">
        <v>4596</v>
      </c>
      <c r="C43" t="s">
        <v>804</v>
      </c>
      <c r="D43" s="115" t="s">
        <v>806</v>
      </c>
      <c r="E43" s="84" t="s">
        <v>19687</v>
      </c>
      <c r="F43" t="s">
        <v>805</v>
      </c>
      <c r="G43" t="str">
        <f>IF(O43="",N43&amp;" ("&amp;M43&amp;")",N43&amp;": "&amp;O43&amp;" ("&amp;M43&amp;")")</f>
        <v>Participate in the Event (Valentine's Confections)</v>
      </c>
      <c r="H43" s="86" t="s">
        <v>122</v>
      </c>
      <c r="I43" t="s">
        <v>759</v>
      </c>
      <c r="J43" s="84">
        <v>4</v>
      </c>
      <c r="K43" s="118">
        <v>43510</v>
      </c>
      <c r="L43" t="s">
        <v>18175</v>
      </c>
      <c r="M43" t="s">
        <v>14038</v>
      </c>
      <c r="N43" t="s">
        <v>19688</v>
      </c>
      <c r="Q43" t="s">
        <v>19689</v>
      </c>
    </row>
    <row r="44" spans="1:18" x14ac:dyDescent="0.2">
      <c r="A44" s="70" t="s">
        <v>818</v>
      </c>
      <c r="B44" t="s">
        <v>4596</v>
      </c>
      <c r="C44" t="s">
        <v>819</v>
      </c>
      <c r="D44" s="114" t="s">
        <v>821</v>
      </c>
      <c r="E44" s="84" t="s">
        <v>19690</v>
      </c>
      <c r="F44" t="s">
        <v>820</v>
      </c>
      <c r="G44" t="str">
        <f>+N44</f>
        <v>Complete Tutorial</v>
      </c>
      <c r="H44" s="86" t="s">
        <v>122</v>
      </c>
      <c r="I44" t="s">
        <v>759</v>
      </c>
      <c r="J44" s="84">
        <v>3</v>
      </c>
      <c r="K44" s="118">
        <v>43370</v>
      </c>
      <c r="L44" t="s">
        <v>18054</v>
      </c>
      <c r="M44" t="s">
        <v>13720</v>
      </c>
      <c r="N44" t="s">
        <v>276</v>
      </c>
      <c r="Q44" t="s">
        <v>137</v>
      </c>
    </row>
    <row r="45" spans="1:18" x14ac:dyDescent="0.2">
      <c r="A45" s="70" t="s">
        <v>833</v>
      </c>
      <c r="B45" t="s">
        <v>4596</v>
      </c>
      <c r="C45" t="s">
        <v>834</v>
      </c>
      <c r="D45" s="114" t="s">
        <v>836</v>
      </c>
      <c r="E45" s="84" t="s">
        <v>19691</v>
      </c>
      <c r="F45" t="s">
        <v>835</v>
      </c>
      <c r="G45" t="str">
        <f>IF(O45="","Clear "&amp;N45&amp;" ("&amp;M45&amp;")","Clear "&amp;N45&amp;": "&amp;O45&amp;" ("&amp;M45&amp;")")</f>
        <v>Clear All-Out Assault: Master (Drifting Sorrows)</v>
      </c>
      <c r="H45" s="86" t="s">
        <v>122</v>
      </c>
      <c r="I45" t="s">
        <v>839</v>
      </c>
      <c r="J45" s="84">
        <v>5</v>
      </c>
      <c r="K45" s="118">
        <v>44421</v>
      </c>
      <c r="L45" t="s">
        <v>18560</v>
      </c>
      <c r="M45" t="s">
        <v>19001</v>
      </c>
      <c r="N45" t="s">
        <v>19643</v>
      </c>
      <c r="O45" t="s">
        <v>18061</v>
      </c>
      <c r="P45">
        <v>4</v>
      </c>
      <c r="Q45" t="s">
        <v>19015</v>
      </c>
    </row>
    <row r="46" spans="1:18" x14ac:dyDescent="0.2">
      <c r="A46" s="70" t="s">
        <v>852</v>
      </c>
      <c r="B46" t="s">
        <v>4596</v>
      </c>
      <c r="C46" t="s">
        <v>853</v>
      </c>
      <c r="D46" s="114" t="s">
        <v>855</v>
      </c>
      <c r="E46" s="84" t="s">
        <v>19692</v>
      </c>
      <c r="F46" t="s">
        <v>854</v>
      </c>
      <c r="G46" t="str">
        <f>IF(O46="","Clear "&amp;N46&amp;" ("&amp;M46&amp;")","Clear "&amp;N46&amp;": "&amp;O46&amp;" ("&amp;M46&amp;")")</f>
        <v>Clear Shikigami Clash: Expert (Cursed Connections)</v>
      </c>
      <c r="H46" s="86" t="s">
        <v>122</v>
      </c>
      <c r="I46" t="s">
        <v>839</v>
      </c>
      <c r="J46" s="84">
        <v>5</v>
      </c>
      <c r="K46" s="118">
        <v>44196</v>
      </c>
      <c r="L46" t="s">
        <v>18017</v>
      </c>
      <c r="M46" t="s">
        <v>14275</v>
      </c>
      <c r="N46" t="s">
        <v>18763</v>
      </c>
      <c r="O46" t="s">
        <v>18033</v>
      </c>
      <c r="P46">
        <v>2</v>
      </c>
      <c r="Q46" t="s">
        <v>18764</v>
      </c>
    </row>
    <row r="47" spans="1:18" x14ac:dyDescent="0.2">
      <c r="A47" s="70" t="s">
        <v>869</v>
      </c>
      <c r="B47" t="s">
        <v>4596</v>
      </c>
      <c r="C47" t="s">
        <v>870</v>
      </c>
      <c r="D47" s="114" t="s">
        <v>872</v>
      </c>
      <c r="E47" s="84" t="s">
        <v>19693</v>
      </c>
      <c r="F47" t="s">
        <v>871</v>
      </c>
      <c r="G47" t="str">
        <f>IF(O47="","Clear "&amp;N47&amp;" ("&amp;M47&amp;")","Clear "&amp;N47&amp;": "&amp;O47&amp;" ("&amp;M47&amp;")")</f>
        <v>Clear Defensive Battle: Master (Sands of Revelation)</v>
      </c>
      <c r="H47" s="86" t="s">
        <v>122</v>
      </c>
      <c r="I47" t="s">
        <v>839</v>
      </c>
      <c r="J47" s="84">
        <v>5</v>
      </c>
      <c r="K47" s="118">
        <v>44086</v>
      </c>
      <c r="L47" t="s">
        <v>18588</v>
      </c>
      <c r="M47" t="s">
        <v>14242</v>
      </c>
      <c r="N47" t="s">
        <v>19628</v>
      </c>
      <c r="O47" t="s">
        <v>18061</v>
      </c>
      <c r="P47">
        <v>4</v>
      </c>
      <c r="Q47" t="s">
        <v>18657</v>
      </c>
    </row>
    <row r="48" spans="1:18" x14ac:dyDescent="0.2">
      <c r="A48" s="70" t="s">
        <v>885</v>
      </c>
      <c r="B48" t="s">
        <v>4596</v>
      </c>
      <c r="C48" t="s">
        <v>886</v>
      </c>
      <c r="D48" s="114" t="s">
        <v>888</v>
      </c>
      <c r="E48" s="84" t="s">
        <v>19694</v>
      </c>
      <c r="F48" t="s">
        <v>887</v>
      </c>
      <c r="G48" t="str">
        <f>IF(O48="",N48&amp;" ("&amp;M48&amp;")",N48&amp;": "&amp;O48&amp;" ("&amp;M48&amp;")")</f>
        <v>Participate in the Event (Mega Man Chaos Protocol)</v>
      </c>
      <c r="H48" s="86" t="s">
        <v>122</v>
      </c>
      <c r="I48" t="s">
        <v>839</v>
      </c>
      <c r="J48" s="84">
        <v>5</v>
      </c>
      <c r="K48" s="118">
        <v>43798</v>
      </c>
      <c r="L48" t="s">
        <v>18241</v>
      </c>
      <c r="M48" t="s">
        <v>19695</v>
      </c>
      <c r="N48" t="s">
        <v>19688</v>
      </c>
      <c r="Q48" t="s">
        <v>19696</v>
      </c>
    </row>
    <row r="49" spans="1:18" x14ac:dyDescent="0.2">
      <c r="A49" s="70" t="s">
        <v>900</v>
      </c>
      <c r="B49" t="s">
        <v>4596</v>
      </c>
      <c r="C49" t="s">
        <v>901</v>
      </c>
      <c r="D49" s="114" t="s">
        <v>903</v>
      </c>
      <c r="E49" s="84" t="s">
        <v>19697</v>
      </c>
      <c r="F49" t="s">
        <v>902</v>
      </c>
      <c r="G49" t="str">
        <f>IF(O49="","Clear "&amp;N49&amp;" ("&amp;M49&amp;")","Clear "&amp;N49&amp;": "&amp;O49&amp;" ("&amp;M49&amp;")")</f>
        <v>Clear Hermit Strikes (all elements) (Void Battles)</v>
      </c>
      <c r="H49" s="86" t="s">
        <v>122</v>
      </c>
      <c r="I49" t="s">
        <v>839</v>
      </c>
      <c r="J49" s="84">
        <v>5</v>
      </c>
      <c r="K49" s="118">
        <v>43616</v>
      </c>
      <c r="L49" t="s">
        <v>18054</v>
      </c>
      <c r="M49" t="s">
        <v>19374</v>
      </c>
      <c r="N49" t="s">
        <v>19698</v>
      </c>
      <c r="Q49" t="s">
        <v>137</v>
      </c>
      <c r="R49" t="s">
        <v>19669</v>
      </c>
    </row>
    <row r="50" spans="1:18" x14ac:dyDescent="0.2">
      <c r="A50" s="70" t="s">
        <v>86</v>
      </c>
      <c r="B50" t="s">
        <v>4596</v>
      </c>
      <c r="C50" t="s">
        <v>915</v>
      </c>
      <c r="D50" s="114" t="s">
        <v>917</v>
      </c>
      <c r="E50" s="84" t="s">
        <v>19699</v>
      </c>
      <c r="F50" t="s">
        <v>916</v>
      </c>
      <c r="G50" t="str">
        <f>IF(O50="","Clear "&amp;N50&amp;" ("&amp;M50&amp;")","Clear "&amp;N50&amp;": "&amp;O50&amp;" ("&amp;M50&amp;")")</f>
        <v>Clear The Mercurial Gauntlet (Flame): Lv. 40 (The Mercurial Gauntlet)</v>
      </c>
      <c r="H50" s="86" t="s">
        <v>122</v>
      </c>
      <c r="I50" t="s">
        <v>839</v>
      </c>
      <c r="J50" s="84">
        <v>4</v>
      </c>
      <c r="K50" s="118">
        <v>43404</v>
      </c>
      <c r="L50" t="s">
        <v>18054</v>
      </c>
      <c r="M50" t="s">
        <v>19636</v>
      </c>
      <c r="N50" s="86" t="s">
        <v>19639</v>
      </c>
      <c r="O50" t="s">
        <v>19700</v>
      </c>
      <c r="Q50" t="s">
        <v>137</v>
      </c>
    </row>
    <row r="51" spans="1:18" x14ac:dyDescent="0.2">
      <c r="A51" s="70" t="s">
        <v>930</v>
      </c>
      <c r="B51" t="s">
        <v>4596</v>
      </c>
      <c r="C51" t="s">
        <v>931</v>
      </c>
      <c r="D51" s="114" t="s">
        <v>933</v>
      </c>
      <c r="E51" s="84" t="s">
        <v>19701</v>
      </c>
      <c r="F51" t="s">
        <v>932</v>
      </c>
      <c r="G51" t="str">
        <f>"Clear "&amp;N51&amp;": "&amp;O51</f>
        <v>Clear Flamehowl Ruins: Beginner</v>
      </c>
      <c r="H51" s="86" t="s">
        <v>122</v>
      </c>
      <c r="I51" t="s">
        <v>839</v>
      </c>
      <c r="J51" s="84">
        <v>3</v>
      </c>
      <c r="K51" s="118">
        <v>43370</v>
      </c>
      <c r="L51" t="s">
        <v>18054</v>
      </c>
      <c r="M51" t="s">
        <v>14035</v>
      </c>
      <c r="N51" t="s">
        <v>19167</v>
      </c>
      <c r="O51" t="s">
        <v>18031</v>
      </c>
      <c r="P51">
        <v>1</v>
      </c>
      <c r="Q51" t="s">
        <v>19166</v>
      </c>
    </row>
    <row r="52" spans="1:18" x14ac:dyDescent="0.2">
      <c r="A52" s="70" t="s">
        <v>943</v>
      </c>
      <c r="B52" t="s">
        <v>4596</v>
      </c>
      <c r="C52" t="s">
        <v>944</v>
      </c>
      <c r="D52" s="114" t="s">
        <v>946</v>
      </c>
      <c r="E52" s="84" t="s">
        <v>19702</v>
      </c>
      <c r="F52" t="s">
        <v>945</v>
      </c>
      <c r="G52" t="str">
        <f t="shared" ref="G52:G57" si="3">IF(O52="","Clear "&amp;N52&amp;" ("&amp;M52&amp;")","Clear "&amp;N52&amp;": "&amp;O52&amp;" ("&amp;M52&amp;")")</f>
        <v>Clear Ayaha &amp; Otoha's Wrath: Master (The Agito Uprising)</v>
      </c>
      <c r="H52" s="86" t="s">
        <v>122</v>
      </c>
      <c r="I52" t="s">
        <v>949</v>
      </c>
      <c r="J52" s="84">
        <v>5</v>
      </c>
      <c r="K52" s="118">
        <v>44545</v>
      </c>
      <c r="L52" t="s">
        <v>18054</v>
      </c>
      <c r="M52" t="s">
        <v>19287</v>
      </c>
      <c r="N52" t="s">
        <v>19296</v>
      </c>
      <c r="O52" t="s">
        <v>18061</v>
      </c>
      <c r="P52">
        <v>3</v>
      </c>
      <c r="Q52" t="s">
        <v>19298</v>
      </c>
    </row>
    <row r="53" spans="1:18" x14ac:dyDescent="0.2">
      <c r="A53" s="70" t="s">
        <v>961</v>
      </c>
      <c r="B53" t="s">
        <v>4596</v>
      </c>
      <c r="C53" t="s">
        <v>962</v>
      </c>
      <c r="D53" s="114" t="s">
        <v>964</v>
      </c>
      <c r="E53" s="84" t="s">
        <v>19703</v>
      </c>
      <c r="F53" t="s">
        <v>963</v>
      </c>
      <c r="G53" t="str">
        <f t="shared" si="3"/>
        <v>Clear Through the Barrier (Cursed Connections)</v>
      </c>
      <c r="H53" s="86" t="s">
        <v>122</v>
      </c>
      <c r="I53" t="s">
        <v>949</v>
      </c>
      <c r="J53" s="84">
        <v>5</v>
      </c>
      <c r="K53" s="118">
        <v>44196</v>
      </c>
      <c r="L53" t="s">
        <v>18017</v>
      </c>
      <c r="M53" t="s">
        <v>14275</v>
      </c>
      <c r="N53" t="s">
        <v>18756</v>
      </c>
      <c r="P53">
        <v>1</v>
      </c>
      <c r="Q53" t="s">
        <v>18755</v>
      </c>
    </row>
    <row r="54" spans="1:18" x14ac:dyDescent="0.2">
      <c r="A54" s="70" t="s">
        <v>978</v>
      </c>
      <c r="B54" t="s">
        <v>4596</v>
      </c>
      <c r="C54" t="s">
        <v>979</v>
      </c>
      <c r="D54" s="114" t="s">
        <v>981</v>
      </c>
      <c r="E54" s="84" t="s">
        <v>19704</v>
      </c>
      <c r="F54" t="s">
        <v>980</v>
      </c>
      <c r="G54" t="str">
        <f t="shared" si="3"/>
        <v>Clear All-Out Assault: Master (Twinkling Twilight)</v>
      </c>
      <c r="H54" s="86" t="s">
        <v>122</v>
      </c>
      <c r="I54" t="s">
        <v>949</v>
      </c>
      <c r="J54" s="84">
        <v>5</v>
      </c>
      <c r="K54" s="118">
        <v>44057</v>
      </c>
      <c r="L54" t="s">
        <v>18560</v>
      </c>
      <c r="M54" t="s">
        <v>14233</v>
      </c>
      <c r="N54" t="s">
        <v>19643</v>
      </c>
      <c r="O54" t="s">
        <v>18061</v>
      </c>
      <c r="P54">
        <v>4</v>
      </c>
      <c r="Q54" t="s">
        <v>18629</v>
      </c>
    </row>
    <row r="55" spans="1:18" x14ac:dyDescent="0.2">
      <c r="A55" s="70" t="s">
        <v>992</v>
      </c>
      <c r="B55" t="s">
        <v>4596</v>
      </c>
      <c r="C55" t="s">
        <v>993</v>
      </c>
      <c r="D55" s="115" t="s">
        <v>995</v>
      </c>
      <c r="E55" s="84" t="s">
        <v>19705</v>
      </c>
      <c r="F55" t="s">
        <v>994</v>
      </c>
      <c r="G55" t="str">
        <f t="shared" si="3"/>
        <v>Clear All-Out Assault: Expert (Valentine's Confections)</v>
      </c>
      <c r="H55" s="86" t="s">
        <v>122</v>
      </c>
      <c r="I55" t="s">
        <v>949</v>
      </c>
      <c r="J55" s="84">
        <v>5</v>
      </c>
      <c r="K55" s="118">
        <v>43510</v>
      </c>
      <c r="L55" t="s">
        <v>18175</v>
      </c>
      <c r="M55" t="s">
        <v>14038</v>
      </c>
      <c r="N55" t="s">
        <v>19643</v>
      </c>
      <c r="O55" t="s">
        <v>18033</v>
      </c>
      <c r="P55">
        <v>3</v>
      </c>
      <c r="Q55" t="s">
        <v>18186</v>
      </c>
    </row>
    <row r="56" spans="1:18" x14ac:dyDescent="0.2">
      <c r="A56" s="70" t="s">
        <v>1005</v>
      </c>
      <c r="B56" t="s">
        <v>4596</v>
      </c>
      <c r="C56" t="s">
        <v>1006</v>
      </c>
      <c r="D56" s="114" t="s">
        <v>1008</v>
      </c>
      <c r="E56" s="84" t="s">
        <v>19706</v>
      </c>
      <c r="F56" t="s">
        <v>1007</v>
      </c>
      <c r="G56" t="str">
        <f t="shared" si="3"/>
        <v>Clear Squash the Pumpking: Expert (Trick or Treasure!)</v>
      </c>
      <c r="H56" s="86" t="s">
        <v>122</v>
      </c>
      <c r="I56" t="s">
        <v>949</v>
      </c>
      <c r="J56" s="84">
        <v>4</v>
      </c>
      <c r="K56" s="118">
        <v>43756</v>
      </c>
      <c r="L56" t="s">
        <v>18046</v>
      </c>
      <c r="M56" t="s">
        <v>13967</v>
      </c>
      <c r="N56" t="s">
        <v>18052</v>
      </c>
      <c r="O56" t="s">
        <v>18033</v>
      </c>
      <c r="P56">
        <v>3</v>
      </c>
      <c r="Q56" t="s">
        <v>18056</v>
      </c>
    </row>
    <row r="57" spans="1:18" x14ac:dyDescent="0.2">
      <c r="A57" s="70" t="s">
        <v>1020</v>
      </c>
      <c r="B57" t="s">
        <v>4596</v>
      </c>
      <c r="C57" t="s">
        <v>1021</v>
      </c>
      <c r="D57" s="114" t="s">
        <v>1023</v>
      </c>
      <c r="E57" s="84" t="s">
        <v>19707</v>
      </c>
      <c r="F57" t="s">
        <v>1022</v>
      </c>
      <c r="G57" t="str">
        <f t="shared" si="3"/>
        <v>Clear The Mercurial Gauntlet (Flame): Lv. 10 (The Mercurial Gauntlet)</v>
      </c>
      <c r="H57" s="86" t="s">
        <v>122</v>
      </c>
      <c r="I57" t="s">
        <v>949</v>
      </c>
      <c r="J57" s="84">
        <v>4</v>
      </c>
      <c r="K57" s="118">
        <v>43370</v>
      </c>
      <c r="L57" t="s">
        <v>18054</v>
      </c>
      <c r="M57" t="s">
        <v>19636</v>
      </c>
      <c r="N57" s="86" t="s">
        <v>19639</v>
      </c>
      <c r="O57" t="s">
        <v>19708</v>
      </c>
      <c r="Q57" t="s">
        <v>137</v>
      </c>
    </row>
    <row r="58" spans="1:18" x14ac:dyDescent="0.2">
      <c r="A58" s="70" t="s">
        <v>1036</v>
      </c>
      <c r="B58" t="s">
        <v>4596</v>
      </c>
      <c r="C58" t="s">
        <v>1037</v>
      </c>
      <c r="D58" s="114" t="s">
        <v>1039</v>
      </c>
      <c r="E58" s="84" t="s">
        <v>19709</v>
      </c>
      <c r="F58" t="s">
        <v>1038</v>
      </c>
      <c r="G58" t="str">
        <f>+N58</f>
        <v>Complete Tutorial</v>
      </c>
      <c r="H58" s="86" t="s">
        <v>122</v>
      </c>
      <c r="I58" t="s">
        <v>949</v>
      </c>
      <c r="J58" s="84">
        <v>3</v>
      </c>
      <c r="K58" s="118">
        <v>43370</v>
      </c>
      <c r="L58" t="s">
        <v>18054</v>
      </c>
      <c r="M58" t="s">
        <v>13720</v>
      </c>
      <c r="N58" t="s">
        <v>276</v>
      </c>
      <c r="Q58" t="s">
        <v>137</v>
      </c>
    </row>
    <row r="59" spans="1:18" x14ac:dyDescent="0.2">
      <c r="A59" s="70" t="s">
        <v>1048</v>
      </c>
      <c r="B59" t="s">
        <v>4596</v>
      </c>
      <c r="C59" t="s">
        <v>1049</v>
      </c>
      <c r="D59" s="114" t="s">
        <v>1051</v>
      </c>
      <c r="E59" s="84" t="s">
        <v>19710</v>
      </c>
      <c r="F59" t="s">
        <v>1050</v>
      </c>
      <c r="G59" t="str">
        <f>IF(O59="","Clear "&amp;N59&amp;" ("&amp;M59&amp;")","Clear "&amp;N59&amp;": "&amp;O59&amp;" ("&amp;M59&amp;")")</f>
        <v>Clear Repelling the Frosty Fiends: Expert (One Starry Dragonyule)</v>
      </c>
      <c r="H59" s="86" t="s">
        <v>122</v>
      </c>
      <c r="I59" t="s">
        <v>1054</v>
      </c>
      <c r="J59" s="84">
        <v>5</v>
      </c>
      <c r="K59" s="118">
        <v>44533</v>
      </c>
      <c r="L59" t="s">
        <v>18933</v>
      </c>
      <c r="M59" t="s">
        <v>14333</v>
      </c>
      <c r="N59" t="s">
        <v>19107</v>
      </c>
      <c r="O59" t="s">
        <v>18033</v>
      </c>
      <c r="P59">
        <v>2</v>
      </c>
      <c r="Q59" t="s">
        <v>19108</v>
      </c>
    </row>
    <row r="60" spans="1:18" x14ac:dyDescent="0.2">
      <c r="A60" s="70" t="s">
        <v>1064</v>
      </c>
      <c r="B60" t="s">
        <v>4596</v>
      </c>
      <c r="C60" t="s">
        <v>1065</v>
      </c>
      <c r="D60" s="115" t="s">
        <v>1067</v>
      </c>
      <c r="E60" s="84" t="s">
        <v>19711</v>
      </c>
      <c r="F60" t="s">
        <v>1503</v>
      </c>
      <c r="G60" t="str">
        <f>IF(O60="","Clear "&amp;N60&amp;" ("&amp;M60&amp;")","Clear "&amp;N60&amp;": "&amp;O60&amp;" ("&amp;M60&amp;")")</f>
        <v>Clear Active Investigation: Expert (Divine Deception)</v>
      </c>
      <c r="H60" s="86" t="s">
        <v>122</v>
      </c>
      <c r="I60" t="s">
        <v>1054</v>
      </c>
      <c r="J60" s="84">
        <v>5</v>
      </c>
      <c r="K60" s="118">
        <v>44258</v>
      </c>
      <c r="L60" t="s">
        <v>18046</v>
      </c>
      <c r="M60" t="s">
        <v>14286</v>
      </c>
      <c r="N60" t="s">
        <v>18842</v>
      </c>
      <c r="O60" t="s">
        <v>18033</v>
      </c>
      <c r="P60">
        <v>3</v>
      </c>
      <c r="Q60" t="s">
        <v>18844</v>
      </c>
    </row>
    <row r="61" spans="1:18" x14ac:dyDescent="0.2">
      <c r="A61" s="70" t="s">
        <v>1079</v>
      </c>
      <c r="B61" t="s">
        <v>4596</v>
      </c>
      <c r="C61" t="s">
        <v>1080</v>
      </c>
      <c r="D61" s="114" t="s">
        <v>1082</v>
      </c>
      <c r="E61" s="84" t="s">
        <v>19712</v>
      </c>
      <c r="F61" t="s">
        <v>1081</v>
      </c>
      <c r="G61" t="str">
        <f>+"Clear "&amp;N61&amp;" of the Main Campaign ("&amp;O61&amp;")"</f>
        <v>Clear Ch. 16 4-4 of the Main Campaign (Very Hard)</v>
      </c>
      <c r="H61" s="86" t="s">
        <v>122</v>
      </c>
      <c r="I61" t="s">
        <v>1054</v>
      </c>
      <c r="J61" s="84">
        <v>5</v>
      </c>
      <c r="K61" s="118">
        <v>44162</v>
      </c>
      <c r="L61" t="s">
        <v>18054</v>
      </c>
      <c r="M61" t="s">
        <v>17513</v>
      </c>
      <c r="N61" t="s">
        <v>19713</v>
      </c>
      <c r="O61" t="s">
        <v>15733</v>
      </c>
      <c r="P61">
        <v>1</v>
      </c>
      <c r="Q61" t="s">
        <v>17846</v>
      </c>
    </row>
    <row r="62" spans="1:18" x14ac:dyDescent="0.2">
      <c r="A62" s="70" t="s">
        <v>1097</v>
      </c>
      <c r="B62" t="s">
        <v>4596</v>
      </c>
      <c r="C62" t="s">
        <v>1098</v>
      </c>
      <c r="D62" s="114" t="s">
        <v>1100</v>
      </c>
      <c r="E62" s="84" t="s">
        <v>19714</v>
      </c>
      <c r="F62" t="s">
        <v>1099</v>
      </c>
      <c r="G62" t="str">
        <f>IF(O62="","Clear "&amp;N62&amp;" ("&amp;M62&amp;")","Clear "&amp;N62&amp;": "&amp;O62&amp;" ("&amp;M62&amp;")")</f>
        <v>Clear Defensive Battle: Master (The Fabled Fortune)</v>
      </c>
      <c r="H62" s="86" t="s">
        <v>1103</v>
      </c>
      <c r="I62" t="s">
        <v>123</v>
      </c>
      <c r="J62" s="84">
        <v>5</v>
      </c>
      <c r="K62" s="118">
        <v>44392</v>
      </c>
      <c r="L62" t="s">
        <v>18588</v>
      </c>
      <c r="M62" t="s">
        <v>18970</v>
      </c>
      <c r="N62" t="s">
        <v>19628</v>
      </c>
      <c r="O62" t="s">
        <v>18061</v>
      </c>
      <c r="P62">
        <v>4</v>
      </c>
      <c r="Q62" t="s">
        <v>18984</v>
      </c>
    </row>
    <row r="63" spans="1:18" x14ac:dyDescent="0.2">
      <c r="A63" s="70" t="s">
        <v>1114</v>
      </c>
      <c r="B63" t="s">
        <v>4596</v>
      </c>
      <c r="C63" t="s">
        <v>1115</v>
      </c>
      <c r="D63" s="114" t="s">
        <v>1117</v>
      </c>
      <c r="E63" s="84" t="s">
        <v>19715</v>
      </c>
      <c r="F63" t="s">
        <v>1116</v>
      </c>
      <c r="G63" t="str">
        <f>IF(O63="","Clear "&amp;N63&amp;" ("&amp;M63&amp;")","Clear "&amp;N63&amp;": "&amp;O63&amp;" ("&amp;M63&amp;")")</f>
        <v>Clear Frenetic Fiend Festival: Expert (Rhythmic Resolutions)</v>
      </c>
      <c r="H63" s="86" t="s">
        <v>1103</v>
      </c>
      <c r="I63" t="s">
        <v>123</v>
      </c>
      <c r="J63" s="84">
        <v>5</v>
      </c>
      <c r="K63" s="118">
        <v>44011</v>
      </c>
      <c r="L63" t="s">
        <v>18046</v>
      </c>
      <c r="M63" t="s">
        <v>14220</v>
      </c>
      <c r="N63" t="s">
        <v>18581</v>
      </c>
      <c r="O63" t="s">
        <v>18033</v>
      </c>
      <c r="P63">
        <v>3</v>
      </c>
      <c r="Q63" t="s">
        <v>18583</v>
      </c>
    </row>
    <row r="64" spans="1:18" x14ac:dyDescent="0.2">
      <c r="A64" s="70" t="s">
        <v>1131</v>
      </c>
      <c r="B64" t="s">
        <v>4596</v>
      </c>
      <c r="C64" t="s">
        <v>1132</v>
      </c>
      <c r="D64" s="114" t="s">
        <v>1134</v>
      </c>
      <c r="E64" s="84" t="s">
        <v>19716</v>
      </c>
      <c r="F64" t="s">
        <v>1133</v>
      </c>
      <c r="G64" t="str">
        <f>IF(O64="","Clear "&amp;N64&amp;" ("&amp;M64&amp;")","Clear "&amp;N64&amp;": "&amp;O64&amp;" ("&amp;M64&amp;")")</f>
        <v>Clear Barbary Clash: Nightmare (A Splash of Adventure)</v>
      </c>
      <c r="H64" s="86" t="s">
        <v>1103</v>
      </c>
      <c r="I64" t="s">
        <v>123</v>
      </c>
      <c r="J64" s="84">
        <v>5</v>
      </c>
      <c r="K64" s="118">
        <v>43677</v>
      </c>
      <c r="L64" t="s">
        <v>18017</v>
      </c>
      <c r="M64" t="s">
        <v>14102</v>
      </c>
      <c r="N64" t="s">
        <v>18303</v>
      </c>
      <c r="O64" t="s">
        <v>18041</v>
      </c>
      <c r="P64">
        <v>5</v>
      </c>
      <c r="Q64" t="s">
        <v>18307</v>
      </c>
    </row>
    <row r="65" spans="1:17" x14ac:dyDescent="0.2">
      <c r="A65" s="70" t="s">
        <v>1145</v>
      </c>
      <c r="B65" t="s">
        <v>4596</v>
      </c>
      <c r="C65" t="s">
        <v>1146</v>
      </c>
      <c r="D65" s="115" t="s">
        <v>1148</v>
      </c>
      <c r="E65" s="84" t="s">
        <v>19717</v>
      </c>
      <c r="F65" t="s">
        <v>1147</v>
      </c>
      <c r="G65" t="str">
        <f>"Clear "&amp;N65&amp;": "&amp;O65</f>
        <v>Clear Waterscour Ruins: Expert</v>
      </c>
      <c r="H65" s="86" t="s">
        <v>1103</v>
      </c>
      <c r="I65" t="s">
        <v>123</v>
      </c>
      <c r="J65" s="84">
        <v>5</v>
      </c>
      <c r="K65" s="118">
        <v>43370</v>
      </c>
      <c r="L65" t="s">
        <v>18054</v>
      </c>
      <c r="M65" t="s">
        <v>14035</v>
      </c>
      <c r="N65" t="s">
        <v>19174</v>
      </c>
      <c r="O65" t="s">
        <v>18033</v>
      </c>
      <c r="P65">
        <v>3</v>
      </c>
      <c r="Q65" t="s">
        <v>19176</v>
      </c>
    </row>
    <row r="66" spans="1:17" x14ac:dyDescent="0.2">
      <c r="A66" s="70" t="s">
        <v>1159</v>
      </c>
      <c r="B66" t="s">
        <v>4596</v>
      </c>
      <c r="C66" t="s">
        <v>1160</v>
      </c>
      <c r="D66" s="114" t="s">
        <v>1162</v>
      </c>
      <c r="E66" s="84" t="s">
        <v>19718</v>
      </c>
      <c r="F66" t="s">
        <v>1161</v>
      </c>
      <c r="G66" t="str">
        <f>IF(O66="",N66&amp;" ("&amp;M66&amp;")",N66&amp;": "&amp;O66&amp;" ("&amp;M66&amp;")")</f>
        <v>Upgrade the Sweet Retreat to Lv. 30 (Trick or Treasure!)</v>
      </c>
      <c r="H66" s="86" t="s">
        <v>1103</v>
      </c>
      <c r="I66" t="s">
        <v>123</v>
      </c>
      <c r="J66" s="84">
        <v>4</v>
      </c>
      <c r="K66" s="118">
        <v>43756</v>
      </c>
      <c r="L66" t="s">
        <v>18046</v>
      </c>
      <c r="M66" t="s">
        <v>13967</v>
      </c>
      <c r="N66" s="87" t="s">
        <v>19719</v>
      </c>
      <c r="Q66" t="s">
        <v>19720</v>
      </c>
    </row>
    <row r="67" spans="1:17" x14ac:dyDescent="0.2">
      <c r="A67" s="70" t="s">
        <v>1171</v>
      </c>
      <c r="B67" t="s">
        <v>4596</v>
      </c>
      <c r="C67" t="s">
        <v>1172</v>
      </c>
      <c r="D67" s="114" t="s">
        <v>1174</v>
      </c>
      <c r="E67" s="84" t="s">
        <v>19721</v>
      </c>
      <c r="F67" t="s">
        <v>1173</v>
      </c>
      <c r="G67" t="str">
        <f>+N67</f>
        <v>Complete Tutorial</v>
      </c>
      <c r="H67" s="86" t="s">
        <v>1103</v>
      </c>
      <c r="I67" t="s">
        <v>123</v>
      </c>
      <c r="J67" s="84">
        <v>3</v>
      </c>
      <c r="K67" s="118">
        <v>43370</v>
      </c>
      <c r="L67" t="s">
        <v>18054</v>
      </c>
      <c r="M67" t="s">
        <v>13720</v>
      </c>
      <c r="N67" t="s">
        <v>276</v>
      </c>
      <c r="Q67" t="s">
        <v>137</v>
      </c>
    </row>
    <row r="68" spans="1:17" x14ac:dyDescent="0.2">
      <c r="A68" s="70" t="s">
        <v>1185</v>
      </c>
      <c r="B68" t="s">
        <v>4596</v>
      </c>
      <c r="C68" t="s">
        <v>1186</v>
      </c>
      <c r="D68" s="114" t="s">
        <v>1188</v>
      </c>
      <c r="E68" s="84" t="s">
        <v>19722</v>
      </c>
      <c r="F68" t="s">
        <v>1187</v>
      </c>
      <c r="G68" t="str">
        <f>IF(O68="","Clear "&amp;N68&amp;" ("&amp;M68&amp;")","Clear "&amp;N68&amp;": "&amp;O68&amp;" ("&amp;M68&amp;")")</f>
        <v>Clear Asura Clash: Expert (Faith Forsaken (Part One))</v>
      </c>
      <c r="H68" s="86" t="s">
        <v>1103</v>
      </c>
      <c r="I68" t="s">
        <v>330</v>
      </c>
      <c r="J68" s="84">
        <v>5</v>
      </c>
      <c r="K68" s="118">
        <v>44474</v>
      </c>
      <c r="L68" t="s">
        <v>18017</v>
      </c>
      <c r="M68" t="s">
        <v>14320</v>
      </c>
      <c r="N68" t="s">
        <v>19051</v>
      </c>
      <c r="O68" t="s">
        <v>18033</v>
      </c>
      <c r="P68">
        <v>2</v>
      </c>
      <c r="Q68" t="s">
        <v>19052</v>
      </c>
    </row>
    <row r="69" spans="1:17" x14ac:dyDescent="0.2">
      <c r="A69" s="70" t="s">
        <v>1203</v>
      </c>
      <c r="B69" t="s">
        <v>4596</v>
      </c>
      <c r="C69" t="s">
        <v>1204</v>
      </c>
      <c r="D69" s="114" t="s">
        <v>1206</v>
      </c>
      <c r="E69" s="84" t="s">
        <v>19723</v>
      </c>
      <c r="F69" t="s">
        <v>1205</v>
      </c>
      <c r="G69" t="str">
        <f>+"Clear "&amp;N69&amp;" of the Main Campaign ("&amp;O69&amp;")"</f>
        <v>Clear Ch. 19 5-4 of the Main Campaign (Normal)</v>
      </c>
      <c r="H69" s="86" t="s">
        <v>1103</v>
      </c>
      <c r="I69" t="s">
        <v>330</v>
      </c>
      <c r="J69" s="84">
        <v>5</v>
      </c>
      <c r="K69" s="118">
        <v>44344</v>
      </c>
      <c r="L69" t="s">
        <v>18054</v>
      </c>
      <c r="M69" t="s">
        <v>17513</v>
      </c>
      <c r="N69" t="s">
        <v>19724</v>
      </c>
      <c r="O69" t="s">
        <v>15731</v>
      </c>
      <c r="P69">
        <v>1</v>
      </c>
      <c r="Q69" t="s">
        <v>17018</v>
      </c>
    </row>
    <row r="70" spans="1:17" x14ac:dyDescent="0.2">
      <c r="A70" s="70" t="s">
        <v>1221</v>
      </c>
      <c r="B70" t="s">
        <v>4596</v>
      </c>
      <c r="C70" t="s">
        <v>1222</v>
      </c>
      <c r="D70" s="114" t="s">
        <v>1224</v>
      </c>
      <c r="E70" s="84" t="s">
        <v>19725</v>
      </c>
      <c r="F70" t="s">
        <v>1223</v>
      </c>
      <c r="G70" t="str">
        <f>IF(O70="","Clear "&amp;N70&amp;" ("&amp;M70&amp;")","Clear "&amp;N70&amp;": "&amp;O70&amp;" ("&amp;M70&amp;")")</f>
        <v>Clear All-Out Assault: Master (Postmortem Panic)</v>
      </c>
      <c r="H70" s="86" t="s">
        <v>1103</v>
      </c>
      <c r="I70" t="s">
        <v>330</v>
      </c>
      <c r="J70" s="84">
        <v>5</v>
      </c>
      <c r="K70" s="118">
        <v>44120</v>
      </c>
      <c r="L70" t="s">
        <v>18560</v>
      </c>
      <c r="M70" t="s">
        <v>14252</v>
      </c>
      <c r="N70" t="s">
        <v>19643</v>
      </c>
      <c r="O70" t="s">
        <v>18061</v>
      </c>
      <c r="P70">
        <v>4</v>
      </c>
      <c r="Q70" t="s">
        <v>18690</v>
      </c>
    </row>
    <row r="71" spans="1:17" x14ac:dyDescent="0.2">
      <c r="A71" s="70" t="s">
        <v>1237</v>
      </c>
      <c r="B71" t="s">
        <v>4596</v>
      </c>
      <c r="C71" t="s">
        <v>1238</v>
      </c>
      <c r="D71" s="115" t="s">
        <v>1240</v>
      </c>
      <c r="E71" s="84" t="s">
        <v>19726</v>
      </c>
      <c r="F71" t="s">
        <v>1239</v>
      </c>
      <c r="G71" t="str">
        <f>IF(O71="","Clear "&amp;N71&amp;" ("&amp;M71&amp;")","Clear "&amp;N71&amp;": "&amp;O71&amp;" ("&amp;M71&amp;")")</f>
        <v>Clear Survival of the Hungriest: Master (A Dash of Disaster)</v>
      </c>
      <c r="H71" s="86" t="s">
        <v>1103</v>
      </c>
      <c r="I71" t="s">
        <v>330</v>
      </c>
      <c r="J71" s="84">
        <v>5</v>
      </c>
      <c r="K71" s="118">
        <v>43889</v>
      </c>
      <c r="L71" t="s">
        <v>18046</v>
      </c>
      <c r="M71" t="s">
        <v>14181</v>
      </c>
      <c r="N71" t="s">
        <v>18471</v>
      </c>
      <c r="O71" t="s">
        <v>18061</v>
      </c>
      <c r="P71">
        <v>2</v>
      </c>
      <c r="Q71" t="s">
        <v>18472</v>
      </c>
    </row>
    <row r="72" spans="1:17" x14ac:dyDescent="0.2">
      <c r="A72" s="70" t="s">
        <v>1251</v>
      </c>
      <c r="B72" t="s">
        <v>4596</v>
      </c>
      <c r="C72" t="s">
        <v>1252</v>
      </c>
      <c r="D72" s="114" t="s">
        <v>1254</v>
      </c>
      <c r="E72" s="84" t="s">
        <v>19727</v>
      </c>
      <c r="F72" t="s">
        <v>1253</v>
      </c>
      <c r="G72" t="str">
        <f>IF(O72="","Clear "&amp;N72&amp;" ("&amp;M72&amp;")","Clear "&amp;N72&amp;": "&amp;O72&amp;" ("&amp;M72&amp;")")</f>
        <v>Clear The Counteroffensive (A Splash of Adventure)</v>
      </c>
      <c r="H72" s="86" t="s">
        <v>1103</v>
      </c>
      <c r="I72" t="s">
        <v>330</v>
      </c>
      <c r="J72" s="84">
        <v>4</v>
      </c>
      <c r="K72" s="118">
        <v>43677</v>
      </c>
      <c r="L72" t="s">
        <v>18017</v>
      </c>
      <c r="M72" t="s">
        <v>14102</v>
      </c>
      <c r="N72" t="s">
        <v>18297</v>
      </c>
      <c r="P72">
        <v>1</v>
      </c>
      <c r="Q72" t="s">
        <v>18296</v>
      </c>
    </row>
    <row r="73" spans="1:17" x14ac:dyDescent="0.2">
      <c r="A73" s="70" t="s">
        <v>1266</v>
      </c>
      <c r="B73" t="s">
        <v>4596</v>
      </c>
      <c r="C73" t="s">
        <v>1267</v>
      </c>
      <c r="D73" s="114" t="s">
        <v>1269</v>
      </c>
      <c r="E73" s="84" t="s">
        <v>19728</v>
      </c>
      <c r="F73" t="s">
        <v>1268</v>
      </c>
      <c r="G73" t="str">
        <f>IF(O73="","Clear "&amp;N73&amp;" ("&amp;M73&amp;")","Clear "&amp;N73&amp;": "&amp;O73&amp;" ("&amp;M73&amp;")")</f>
        <v>Clear Magma Onslaught (Loyalty's Requiem)</v>
      </c>
      <c r="H73" s="86" t="s">
        <v>1103</v>
      </c>
      <c r="I73" t="s">
        <v>330</v>
      </c>
      <c r="J73" s="84">
        <v>4</v>
      </c>
      <c r="K73" s="118">
        <v>43377</v>
      </c>
      <c r="L73" t="s">
        <v>18017</v>
      </c>
      <c r="M73" t="s">
        <v>13959</v>
      </c>
      <c r="N73" t="s">
        <v>18024</v>
      </c>
      <c r="P73">
        <v>1</v>
      </c>
      <c r="Q73" t="s">
        <v>18023</v>
      </c>
    </row>
    <row r="74" spans="1:17" x14ac:dyDescent="0.2">
      <c r="A74" s="70" t="s">
        <v>1279</v>
      </c>
      <c r="B74" t="s">
        <v>4596</v>
      </c>
      <c r="C74" t="s">
        <v>1280</v>
      </c>
      <c r="D74" s="114" t="s">
        <v>1282</v>
      </c>
      <c r="E74" s="84" t="s">
        <v>19729</v>
      </c>
      <c r="F74" t="s">
        <v>1281</v>
      </c>
      <c r="G74" t="str">
        <f>+N74</f>
        <v>Complete Tutorial</v>
      </c>
      <c r="H74" s="86" t="s">
        <v>1103</v>
      </c>
      <c r="I74" t="s">
        <v>330</v>
      </c>
      <c r="J74" s="84">
        <v>3</v>
      </c>
      <c r="K74" s="118">
        <v>43370</v>
      </c>
      <c r="L74" t="s">
        <v>18054</v>
      </c>
      <c r="M74" t="s">
        <v>13720</v>
      </c>
      <c r="N74" t="s">
        <v>276</v>
      </c>
      <c r="Q74" t="s">
        <v>137</v>
      </c>
    </row>
    <row r="75" spans="1:17" x14ac:dyDescent="0.2">
      <c r="A75" s="70" t="s">
        <v>1292</v>
      </c>
      <c r="B75" t="s">
        <v>4596</v>
      </c>
      <c r="C75" t="s">
        <v>1293</v>
      </c>
      <c r="D75" s="114" t="s">
        <v>1295</v>
      </c>
      <c r="E75" s="84" t="s">
        <v>19730</v>
      </c>
      <c r="F75" t="s">
        <v>1294</v>
      </c>
      <c r="G75" t="str">
        <f>IF(O75="","Clear "&amp;N75&amp;" ("&amp;M75&amp;")","Clear "&amp;N75&amp;": "&amp;O75&amp;" ("&amp;M75&amp;")")</f>
        <v>Clear All-Out Assault: Master (Elementary Escapades)</v>
      </c>
      <c r="H75" s="86" t="s">
        <v>1103</v>
      </c>
      <c r="I75" t="s">
        <v>429</v>
      </c>
      <c r="J75" s="84">
        <v>5</v>
      </c>
      <c r="K75" s="118">
        <v>44301</v>
      </c>
      <c r="L75" t="s">
        <v>18560</v>
      </c>
      <c r="M75" t="s">
        <v>18884</v>
      </c>
      <c r="N75" t="s">
        <v>19643</v>
      </c>
      <c r="O75" t="s">
        <v>18061</v>
      </c>
      <c r="P75">
        <v>4</v>
      </c>
      <c r="Q75" t="s">
        <v>18898</v>
      </c>
    </row>
    <row r="76" spans="1:17" x14ac:dyDescent="0.2">
      <c r="A76" s="70" t="s">
        <v>1310</v>
      </c>
      <c r="B76" t="s">
        <v>4596</v>
      </c>
      <c r="C76" t="s">
        <v>1311</v>
      </c>
      <c r="D76" s="114" t="s">
        <v>1313</v>
      </c>
      <c r="E76" s="84" t="s">
        <v>19731</v>
      </c>
      <c r="F76" t="s">
        <v>1312</v>
      </c>
      <c r="G76" t="str">
        <f>IF(O76="","Clear "&amp;N76&amp;" ("&amp;M76&amp;")","Clear "&amp;N76&amp;": "&amp;O76&amp;" ("&amp;M76&amp;")")</f>
        <v>Clear Battle with Tiki: Hard (Fire Emblem: Kindred Ties)</v>
      </c>
      <c r="H76" s="86" t="s">
        <v>1103</v>
      </c>
      <c r="I76" t="s">
        <v>429</v>
      </c>
      <c r="J76" s="84">
        <v>5</v>
      </c>
      <c r="K76" s="118">
        <v>43955</v>
      </c>
      <c r="L76" t="s">
        <v>18241</v>
      </c>
      <c r="M76" t="s">
        <v>14206</v>
      </c>
      <c r="N76" t="s">
        <v>18503</v>
      </c>
      <c r="O76" t="s">
        <v>15732</v>
      </c>
      <c r="P76">
        <v>2</v>
      </c>
      <c r="Q76" t="s">
        <v>18504</v>
      </c>
    </row>
    <row r="77" spans="1:17" x14ac:dyDescent="0.2">
      <c r="A77" s="70" t="s">
        <v>1326</v>
      </c>
      <c r="B77" t="s">
        <v>4596</v>
      </c>
      <c r="C77" t="s">
        <v>1327</v>
      </c>
      <c r="D77" s="115" t="s">
        <v>1329</v>
      </c>
      <c r="E77" s="84" t="s">
        <v>19732</v>
      </c>
      <c r="F77" t="s">
        <v>1328</v>
      </c>
      <c r="G77" t="str">
        <f>IF(O77="","Clear "&amp;N77&amp;" ("&amp;M77&amp;")","Clear "&amp;N77&amp;": "&amp;O77&amp;" ("&amp;M77&amp;")")</f>
        <v>Clear Survival of the Hungriest: Expert (A Dash of Disaster)</v>
      </c>
      <c r="H77" s="86" t="s">
        <v>1103</v>
      </c>
      <c r="I77" t="s">
        <v>429</v>
      </c>
      <c r="J77" s="84">
        <v>5</v>
      </c>
      <c r="K77" s="118">
        <v>43893</v>
      </c>
      <c r="L77" t="s">
        <v>18046</v>
      </c>
      <c r="M77" t="s">
        <v>14181</v>
      </c>
      <c r="N77" t="s">
        <v>18471</v>
      </c>
      <c r="O77" t="s">
        <v>18033</v>
      </c>
      <c r="P77">
        <v>1</v>
      </c>
      <c r="Q77" t="s">
        <v>18470</v>
      </c>
    </row>
    <row r="78" spans="1:17" x14ac:dyDescent="0.2">
      <c r="A78" s="70" t="s">
        <v>1340</v>
      </c>
      <c r="B78" t="s">
        <v>4596</v>
      </c>
      <c r="C78" t="s">
        <v>1341</v>
      </c>
      <c r="D78" s="114" t="s">
        <v>1343</v>
      </c>
      <c r="E78" s="84" t="s">
        <v>19733</v>
      </c>
      <c r="F78" t="s">
        <v>1342</v>
      </c>
      <c r="G78" t="str">
        <f>IF(O78="","Clear "&amp;N78&amp;" ("&amp;M78&amp;")","Clear "&amp;N78&amp;": "&amp;O78&amp;" ("&amp;M78&amp;")")</f>
        <v>Clear Season's Beatings: Master (The Miracle of Dragonyule)</v>
      </c>
      <c r="H78" s="86" t="s">
        <v>1103</v>
      </c>
      <c r="I78" t="s">
        <v>429</v>
      </c>
      <c r="J78" s="84">
        <v>5</v>
      </c>
      <c r="K78" s="118">
        <v>43451</v>
      </c>
      <c r="L78" t="s">
        <v>18046</v>
      </c>
      <c r="M78" t="s">
        <v>14001</v>
      </c>
      <c r="N78" t="s">
        <v>18121</v>
      </c>
      <c r="O78" t="s">
        <v>18061</v>
      </c>
      <c r="P78">
        <v>2</v>
      </c>
      <c r="Q78" t="s">
        <v>18122</v>
      </c>
    </row>
    <row r="79" spans="1:17" x14ac:dyDescent="0.2">
      <c r="A79" s="70" t="s">
        <v>1356</v>
      </c>
      <c r="B79" t="s">
        <v>4596</v>
      </c>
      <c r="C79" t="s">
        <v>1357</v>
      </c>
      <c r="D79" s="114" t="s">
        <v>1359</v>
      </c>
      <c r="E79" s="84" t="s">
        <v>19734</v>
      </c>
      <c r="F79" t="s">
        <v>1358</v>
      </c>
      <c r="G79" t="str">
        <f>IF(O79="","Clear "&amp;N79&amp;" ("&amp;M79&amp;")","Clear "&amp;N79&amp;": "&amp;O79&amp;" ("&amp;M79&amp;")")</f>
        <v>Clear A Deadly Drill (Flames of Reflection)</v>
      </c>
      <c r="H79" s="86" t="s">
        <v>1103</v>
      </c>
      <c r="I79" t="s">
        <v>429</v>
      </c>
      <c r="J79" s="84">
        <v>4</v>
      </c>
      <c r="K79" s="118">
        <v>43657</v>
      </c>
      <c r="L79" t="s">
        <v>18046</v>
      </c>
      <c r="M79" t="s">
        <v>14095</v>
      </c>
      <c r="N79" t="s">
        <v>18286</v>
      </c>
      <c r="P79">
        <v>1</v>
      </c>
      <c r="Q79" t="s">
        <v>18285</v>
      </c>
    </row>
    <row r="80" spans="1:17" x14ac:dyDescent="0.2">
      <c r="A80" s="70" t="s">
        <v>1371</v>
      </c>
      <c r="B80" t="s">
        <v>4596</v>
      </c>
      <c r="C80" t="s">
        <v>1372</v>
      </c>
      <c r="D80" s="115" t="s">
        <v>1374</v>
      </c>
      <c r="E80" s="84" t="s">
        <v>19735</v>
      </c>
      <c r="F80" t="s">
        <v>1373</v>
      </c>
      <c r="G80" t="str">
        <f>"Clear "&amp;N80&amp;": "&amp;O80</f>
        <v>Clear Waterscour Ruins: Beginner</v>
      </c>
      <c r="H80" s="86" t="s">
        <v>1103</v>
      </c>
      <c r="I80" t="s">
        <v>429</v>
      </c>
      <c r="J80" s="84">
        <v>4</v>
      </c>
      <c r="K80" s="118">
        <v>43377</v>
      </c>
      <c r="L80" t="s">
        <v>18054</v>
      </c>
      <c r="M80" t="s">
        <v>14035</v>
      </c>
      <c r="N80" t="s">
        <v>19174</v>
      </c>
      <c r="O80" t="s">
        <v>18031</v>
      </c>
      <c r="P80">
        <v>1</v>
      </c>
      <c r="Q80" t="s">
        <v>19173</v>
      </c>
    </row>
    <row r="81" spans="1:18" x14ac:dyDescent="0.2">
      <c r="A81" s="70" t="s">
        <v>1385</v>
      </c>
      <c r="B81" t="s">
        <v>4596</v>
      </c>
      <c r="C81" t="s">
        <v>1386</v>
      </c>
      <c r="D81" s="114" t="s">
        <v>1388</v>
      </c>
      <c r="E81" s="84" t="s">
        <v>19736</v>
      </c>
      <c r="F81" t="s">
        <v>1387</v>
      </c>
      <c r="G81" t="str">
        <f>IF(O81="","Clear "&amp;N81&amp;" ("&amp;M81&amp;")","Clear "&amp;N81&amp;": "&amp;O81&amp;" ("&amp;M81&amp;")")</f>
        <v>Clear The Mercurial Gauntlet (Water): Lv. 40 (The Mercurial Gauntlet)</v>
      </c>
      <c r="H81" s="86" t="s">
        <v>1103</v>
      </c>
      <c r="I81" t="s">
        <v>429</v>
      </c>
      <c r="J81" s="84">
        <v>4</v>
      </c>
      <c r="K81" s="118">
        <v>43370</v>
      </c>
      <c r="L81" t="s">
        <v>18054</v>
      </c>
      <c r="M81" t="s">
        <v>19636</v>
      </c>
      <c r="N81" s="86" t="s">
        <v>19737</v>
      </c>
      <c r="O81" t="s">
        <v>19700</v>
      </c>
      <c r="Q81" t="s">
        <v>137</v>
      </c>
    </row>
    <row r="82" spans="1:18" x14ac:dyDescent="0.2">
      <c r="A82" s="70" t="s">
        <v>1397</v>
      </c>
      <c r="B82" t="s">
        <v>4596</v>
      </c>
      <c r="C82" t="s">
        <v>1398</v>
      </c>
      <c r="D82" s="115" t="s">
        <v>1400</v>
      </c>
      <c r="E82" s="84" t="s">
        <v>19738</v>
      </c>
      <c r="F82" t="s">
        <v>1399</v>
      </c>
      <c r="G82" t="str">
        <f>IF(O82="","Clear "&amp;N82&amp;" ("&amp;M82&amp;")","Clear "&amp;N82&amp;": "&amp;O82&amp;" ("&amp;M82&amp;")")</f>
        <v>Clear Defensive Battle: EX (Ageless Artifice)</v>
      </c>
      <c r="H82" s="86" t="s">
        <v>1103</v>
      </c>
      <c r="I82" t="s">
        <v>543</v>
      </c>
      <c r="J82" s="84">
        <v>5</v>
      </c>
      <c r="K82" s="118">
        <v>44267</v>
      </c>
      <c r="L82" t="s">
        <v>18588</v>
      </c>
      <c r="M82" t="s">
        <v>18852</v>
      </c>
      <c r="N82" t="s">
        <v>19628</v>
      </c>
      <c r="O82" t="s">
        <v>18039</v>
      </c>
      <c r="P82">
        <v>5</v>
      </c>
      <c r="Q82" t="s">
        <v>18867</v>
      </c>
    </row>
    <row r="83" spans="1:18" x14ac:dyDescent="0.2">
      <c r="A83" s="70" t="s">
        <v>85</v>
      </c>
      <c r="B83" t="s">
        <v>4596</v>
      </c>
      <c r="C83" t="s">
        <v>1414</v>
      </c>
      <c r="D83" s="114" t="s">
        <v>1416</v>
      </c>
      <c r="E83" s="84" t="s">
        <v>19739</v>
      </c>
      <c r="F83" t="s">
        <v>1415</v>
      </c>
      <c r="G83" t="str">
        <f>IF(O83="","Clear "&amp;N83&amp;" ("&amp;M83&amp;")","Clear "&amp;N83&amp;": "&amp;O83&amp;" ("&amp;M83&amp;")")</f>
        <v>Clear The Mercurial Gauntlet (Water): Lv. 40 (The Mercurial Gauntlet)</v>
      </c>
      <c r="H83" s="86" t="s">
        <v>1103</v>
      </c>
      <c r="I83" t="s">
        <v>543</v>
      </c>
      <c r="J83" s="84">
        <v>5</v>
      </c>
      <c r="K83" s="118">
        <v>43934</v>
      </c>
      <c r="L83" t="s">
        <v>18054</v>
      </c>
      <c r="M83" t="s">
        <v>19636</v>
      </c>
      <c r="N83" s="86" t="s">
        <v>19737</v>
      </c>
      <c r="O83" t="s">
        <v>19700</v>
      </c>
      <c r="Q83" t="s">
        <v>137</v>
      </c>
    </row>
    <row r="84" spans="1:18" x14ac:dyDescent="0.2">
      <c r="A84" s="70" t="s">
        <v>1426</v>
      </c>
      <c r="B84" t="s">
        <v>4596</v>
      </c>
      <c r="C84" t="s">
        <v>1427</v>
      </c>
      <c r="D84" s="114" t="s">
        <v>1429</v>
      </c>
      <c r="E84" s="84" t="s">
        <v>19740</v>
      </c>
      <c r="F84" t="s">
        <v>1428</v>
      </c>
      <c r="G84" t="str">
        <f>+"Clear "&amp;N84&amp;" of the Main Campaign ("&amp;O84&amp;")"</f>
        <v>Clear Ch. 09 5-4 of the Main Campaign (Hard)</v>
      </c>
      <c r="H84" s="86" t="s">
        <v>1103</v>
      </c>
      <c r="I84" t="s">
        <v>543</v>
      </c>
      <c r="J84" s="84">
        <v>5</v>
      </c>
      <c r="K84" s="118">
        <v>43797</v>
      </c>
      <c r="L84" t="s">
        <v>18054</v>
      </c>
      <c r="M84" t="s">
        <v>17513</v>
      </c>
      <c r="N84" t="s">
        <v>19741</v>
      </c>
      <c r="O84" t="s">
        <v>15732</v>
      </c>
      <c r="P84">
        <v>1</v>
      </c>
      <c r="Q84" t="s">
        <v>17720</v>
      </c>
    </row>
    <row r="85" spans="1:18" x14ac:dyDescent="0.2">
      <c r="A85" s="70" t="s">
        <v>1442</v>
      </c>
      <c r="B85" t="s">
        <v>4596</v>
      </c>
      <c r="C85" t="s">
        <v>1443</v>
      </c>
      <c r="D85" s="114" t="s">
        <v>1445</v>
      </c>
      <c r="E85" s="84" t="s">
        <v>19742</v>
      </c>
      <c r="F85" t="s">
        <v>1444</v>
      </c>
      <c r="G85" t="str">
        <f t="shared" ref="G85:G93" si="4">IF(O85="","Clear "&amp;N85&amp;" ("&amp;M85&amp;")","Clear "&amp;N85&amp;": "&amp;O85&amp;" ("&amp;M85&amp;")")</f>
        <v>Clear Giant Ember Toad Assault: Expert (A Splash of Adventure)</v>
      </c>
      <c r="H85" s="86" t="s">
        <v>1103</v>
      </c>
      <c r="I85" t="s">
        <v>543</v>
      </c>
      <c r="J85" s="84">
        <v>5</v>
      </c>
      <c r="K85" s="118">
        <v>43677</v>
      </c>
      <c r="L85" t="s">
        <v>18017</v>
      </c>
      <c r="M85" t="s">
        <v>14102</v>
      </c>
      <c r="N85" t="s">
        <v>18299</v>
      </c>
      <c r="O85" t="s">
        <v>18033</v>
      </c>
      <c r="P85">
        <v>3</v>
      </c>
      <c r="Q85" t="s">
        <v>18301</v>
      </c>
    </row>
    <row r="86" spans="1:18" x14ac:dyDescent="0.2">
      <c r="A86" s="70" t="s">
        <v>1456</v>
      </c>
      <c r="B86" t="s">
        <v>4596</v>
      </c>
      <c r="C86" t="s">
        <v>1457</v>
      </c>
      <c r="D86" s="114" t="s">
        <v>1459</v>
      </c>
      <c r="E86" s="84" t="s">
        <v>19743</v>
      </c>
      <c r="F86" t="s">
        <v>1458</v>
      </c>
      <c r="G86" t="str">
        <f t="shared" si="4"/>
        <v>Clear The Mercurial Gauntlet (Water): Lv. 10 (The Mercurial Gauntlet)</v>
      </c>
      <c r="H86" s="86" t="s">
        <v>1103</v>
      </c>
      <c r="I86" t="s">
        <v>543</v>
      </c>
      <c r="J86" s="84">
        <v>4</v>
      </c>
      <c r="K86" s="118">
        <v>43370</v>
      </c>
      <c r="L86" t="s">
        <v>18054</v>
      </c>
      <c r="M86" t="s">
        <v>19636</v>
      </c>
      <c r="N86" s="86" t="s">
        <v>19737</v>
      </c>
      <c r="O86" t="s">
        <v>19708</v>
      </c>
      <c r="Q86" t="s">
        <v>137</v>
      </c>
    </row>
    <row r="87" spans="1:18" x14ac:dyDescent="0.2">
      <c r="A87" s="70" t="s">
        <v>1471</v>
      </c>
      <c r="B87" t="s">
        <v>4596</v>
      </c>
      <c r="C87" t="s">
        <v>1472</v>
      </c>
      <c r="D87" s="114" t="s">
        <v>1474</v>
      </c>
      <c r="E87" s="84" t="s">
        <v>19744</v>
      </c>
      <c r="F87" t="s">
        <v>1473</v>
      </c>
      <c r="G87" t="str">
        <f t="shared" si="4"/>
        <v>Clear The Mercurial Gauntlet (Water): Lv. 30 (The Mercurial Gauntlet)</v>
      </c>
      <c r="H87" s="86" t="s">
        <v>1103</v>
      </c>
      <c r="I87" t="s">
        <v>543</v>
      </c>
      <c r="J87" s="84">
        <v>3</v>
      </c>
      <c r="K87" s="118">
        <v>43419</v>
      </c>
      <c r="L87" t="s">
        <v>18054</v>
      </c>
      <c r="M87" t="s">
        <v>19636</v>
      </c>
      <c r="N87" s="86" t="s">
        <v>19737</v>
      </c>
      <c r="O87" t="s">
        <v>19640</v>
      </c>
      <c r="Q87" t="s">
        <v>137</v>
      </c>
    </row>
    <row r="88" spans="1:18" x14ac:dyDescent="0.2">
      <c r="A88" s="70" t="s">
        <v>1487</v>
      </c>
      <c r="B88" t="s">
        <v>4596</v>
      </c>
      <c r="C88" t="s">
        <v>1488</v>
      </c>
      <c r="D88" s="114" t="s">
        <v>1490</v>
      </c>
      <c r="E88" s="84" t="s">
        <v>19745</v>
      </c>
      <c r="F88" t="s">
        <v>1489</v>
      </c>
      <c r="G88" t="str">
        <f t="shared" si="4"/>
        <v>Clear Battle at Myriage Lake: Beginner (The Imperial Onslaught)</v>
      </c>
      <c r="H88" s="86" t="s">
        <v>1103</v>
      </c>
      <c r="I88" t="s">
        <v>543</v>
      </c>
      <c r="J88" s="84">
        <v>3</v>
      </c>
      <c r="K88" s="118">
        <v>43370</v>
      </c>
      <c r="L88" t="s">
        <v>18054</v>
      </c>
      <c r="M88" t="s">
        <v>13954</v>
      </c>
      <c r="N88" t="s">
        <v>19227</v>
      </c>
      <c r="O88" t="s">
        <v>18031</v>
      </c>
      <c r="P88">
        <v>1</v>
      </c>
      <c r="Q88" t="s">
        <v>19226</v>
      </c>
    </row>
    <row r="89" spans="1:18" x14ac:dyDescent="0.2">
      <c r="A89" s="70" t="s">
        <v>1501</v>
      </c>
      <c r="B89" t="s">
        <v>4596</v>
      </c>
      <c r="C89" t="s">
        <v>1502</v>
      </c>
      <c r="D89" s="115" t="s">
        <v>1504</v>
      </c>
      <c r="E89" s="84" t="s">
        <v>19746</v>
      </c>
      <c r="F89" t="s">
        <v>3060</v>
      </c>
      <c r="G89" t="str">
        <f t="shared" si="4"/>
        <v>Clear All-Out Assault: Master (Blessed Bloodline)</v>
      </c>
      <c r="H89" s="86" t="s">
        <v>1103</v>
      </c>
      <c r="I89" t="s">
        <v>645</v>
      </c>
      <c r="J89" s="84">
        <v>5</v>
      </c>
      <c r="K89" s="118">
        <v>44362</v>
      </c>
      <c r="L89" t="s">
        <v>18560</v>
      </c>
      <c r="M89" t="s">
        <v>18942</v>
      </c>
      <c r="N89" t="s">
        <v>19643</v>
      </c>
      <c r="O89" t="s">
        <v>18061</v>
      </c>
      <c r="P89">
        <v>4</v>
      </c>
      <c r="Q89" t="s">
        <v>18956</v>
      </c>
    </row>
    <row r="90" spans="1:18" x14ac:dyDescent="0.2">
      <c r="A90" s="70" t="s">
        <v>1516</v>
      </c>
      <c r="B90" t="s">
        <v>4596</v>
      </c>
      <c r="C90" t="s">
        <v>1517</v>
      </c>
      <c r="D90" s="114" t="s">
        <v>1519</v>
      </c>
      <c r="E90" s="84" t="s">
        <v>19747</v>
      </c>
      <c r="F90" t="s">
        <v>1518</v>
      </c>
      <c r="G90" t="str">
        <f t="shared" si="4"/>
        <v>Clear Raging Festivities: Master (Rhythmic Resolutions)</v>
      </c>
      <c r="H90" s="86" t="s">
        <v>1103</v>
      </c>
      <c r="I90" t="s">
        <v>645</v>
      </c>
      <c r="J90" s="84">
        <v>5</v>
      </c>
      <c r="K90" s="118">
        <v>44011</v>
      </c>
      <c r="L90" t="s">
        <v>18046</v>
      </c>
      <c r="M90" t="s">
        <v>14220</v>
      </c>
      <c r="N90" t="s">
        <v>18585</v>
      </c>
      <c r="O90" t="s">
        <v>18061</v>
      </c>
      <c r="P90">
        <v>2</v>
      </c>
      <c r="Q90" t="s">
        <v>18586</v>
      </c>
    </row>
    <row r="91" spans="1:18" x14ac:dyDescent="0.2">
      <c r="A91" s="70" t="s">
        <v>1530</v>
      </c>
      <c r="B91" t="s">
        <v>4596</v>
      </c>
      <c r="C91" t="s">
        <v>1531</v>
      </c>
      <c r="D91" s="114" t="s">
        <v>1533</v>
      </c>
      <c r="E91" s="84" t="s">
        <v>19748</v>
      </c>
      <c r="F91" t="s">
        <v>1532</v>
      </c>
      <c r="G91" t="str">
        <f t="shared" si="4"/>
        <v>Clear The Alberian Front: Normal (Fire Emblem: Lost Heroes)</v>
      </c>
      <c r="H91" s="86" t="s">
        <v>1103</v>
      </c>
      <c r="I91" t="s">
        <v>645</v>
      </c>
      <c r="J91" s="84">
        <v>5</v>
      </c>
      <c r="K91" s="118">
        <v>43581</v>
      </c>
      <c r="L91" t="s">
        <v>18241</v>
      </c>
      <c r="M91" t="s">
        <v>18242</v>
      </c>
      <c r="N91" t="s">
        <v>18257</v>
      </c>
      <c r="O91" t="s">
        <v>15731</v>
      </c>
      <c r="P91">
        <v>1</v>
      </c>
      <c r="Q91" t="s">
        <v>18256</v>
      </c>
    </row>
    <row r="92" spans="1:18" x14ac:dyDescent="0.2">
      <c r="A92" s="70" t="s">
        <v>1543</v>
      </c>
      <c r="B92" t="s">
        <v>4596</v>
      </c>
      <c r="C92" t="s">
        <v>1544</v>
      </c>
      <c r="D92" s="114" t="s">
        <v>1546</v>
      </c>
      <c r="E92" s="84" t="s">
        <v>19749</v>
      </c>
      <c r="F92" t="s">
        <v>1545</v>
      </c>
      <c r="G92" t="str">
        <f t="shared" si="4"/>
        <v>Clear Battle at Myriage Lake: Expert (The Imperial Onslaught)</v>
      </c>
      <c r="H92" s="86" t="s">
        <v>1103</v>
      </c>
      <c r="I92" t="s">
        <v>645</v>
      </c>
      <c r="J92" s="84">
        <v>5</v>
      </c>
      <c r="K92" s="118">
        <v>43370</v>
      </c>
      <c r="L92" t="s">
        <v>18054</v>
      </c>
      <c r="M92" t="s">
        <v>13954</v>
      </c>
      <c r="N92" t="s">
        <v>19227</v>
      </c>
      <c r="O92" t="s">
        <v>18033</v>
      </c>
      <c r="P92">
        <v>3</v>
      </c>
      <c r="Q92" t="s">
        <v>19230</v>
      </c>
    </row>
    <row r="93" spans="1:18" x14ac:dyDescent="0.2">
      <c r="A93" s="70" t="s">
        <v>1555</v>
      </c>
      <c r="B93" t="s">
        <v>4596</v>
      </c>
      <c r="C93" t="s">
        <v>1556</v>
      </c>
      <c r="D93" s="114" t="s">
        <v>1558</v>
      </c>
      <c r="E93" s="84" t="s">
        <v>19750</v>
      </c>
      <c r="F93" t="s">
        <v>1557</v>
      </c>
      <c r="G93" t="str">
        <f t="shared" si="4"/>
        <v>Clear Catoblepas Strikes (all elements) (Void Battles)</v>
      </c>
      <c r="H93" s="86" t="s">
        <v>1103</v>
      </c>
      <c r="I93" t="s">
        <v>645</v>
      </c>
      <c r="J93" s="84">
        <v>4</v>
      </c>
      <c r="K93" s="118">
        <v>43934</v>
      </c>
      <c r="L93" t="s">
        <v>18054</v>
      </c>
      <c r="M93" t="s">
        <v>19374</v>
      </c>
      <c r="N93" t="s">
        <v>19751</v>
      </c>
      <c r="Q93" t="s">
        <v>137</v>
      </c>
      <c r="R93" t="s">
        <v>19669</v>
      </c>
    </row>
    <row r="94" spans="1:18" x14ac:dyDescent="0.2">
      <c r="A94" s="70" t="s">
        <v>1569</v>
      </c>
      <c r="B94" t="s">
        <v>4596</v>
      </c>
      <c r="C94" t="s">
        <v>1570</v>
      </c>
      <c r="D94" s="114" t="s">
        <v>1572</v>
      </c>
      <c r="E94" s="84" t="s">
        <v>19752</v>
      </c>
      <c r="F94" t="s">
        <v>1571</v>
      </c>
      <c r="G94" t="str">
        <f>+"Clear "&amp;N94&amp;" of the Main Campaign ("&amp;O94&amp;")"</f>
        <v>Clear Ch. 01 1-3 of the Main Campaign (Normal)</v>
      </c>
      <c r="H94" s="86" t="s">
        <v>1103</v>
      </c>
      <c r="I94" t="s">
        <v>645</v>
      </c>
      <c r="J94" s="84">
        <v>4</v>
      </c>
      <c r="K94" s="118">
        <v>43370</v>
      </c>
      <c r="L94" t="s">
        <v>18054</v>
      </c>
      <c r="M94" t="s">
        <v>17513</v>
      </c>
      <c r="N94" t="s">
        <v>19753</v>
      </c>
      <c r="O94" t="s">
        <v>15731</v>
      </c>
      <c r="P94">
        <v>1</v>
      </c>
      <c r="Q94" t="s">
        <v>15755</v>
      </c>
    </row>
    <row r="95" spans="1:18" x14ac:dyDescent="0.2">
      <c r="A95" s="70" t="s">
        <v>1582</v>
      </c>
      <c r="B95" t="s">
        <v>4596</v>
      </c>
      <c r="C95" t="s">
        <v>1583</v>
      </c>
      <c r="D95" s="114" t="s">
        <v>1585</v>
      </c>
      <c r="E95" s="84" t="s">
        <v>19754</v>
      </c>
      <c r="F95" t="s">
        <v>1584</v>
      </c>
      <c r="G95" t="str">
        <f>IF(O95="","Clear "&amp;N95&amp;" ("&amp;M95&amp;")","Clear "&amp;N95&amp;": "&amp;O95&amp;" ("&amp;M95&amp;")")</f>
        <v>Clear Battle at Myriage Lake: Standard (The Imperial Onslaught)</v>
      </c>
      <c r="H95" s="86" t="s">
        <v>1103</v>
      </c>
      <c r="I95" t="s">
        <v>645</v>
      </c>
      <c r="J95" s="84">
        <v>3</v>
      </c>
      <c r="K95" s="118">
        <v>43524</v>
      </c>
      <c r="L95" t="s">
        <v>18054</v>
      </c>
      <c r="M95" t="s">
        <v>13954</v>
      </c>
      <c r="N95" t="s">
        <v>19227</v>
      </c>
      <c r="O95" t="s">
        <v>18054</v>
      </c>
      <c r="P95">
        <v>2</v>
      </c>
      <c r="Q95" t="s">
        <v>19228</v>
      </c>
    </row>
    <row r="96" spans="1:18" x14ac:dyDescent="0.2">
      <c r="A96" s="70" t="s">
        <v>1595</v>
      </c>
      <c r="B96" t="s">
        <v>4596</v>
      </c>
      <c r="C96" t="s">
        <v>1596</v>
      </c>
      <c r="D96" s="115" t="s">
        <v>1598</v>
      </c>
      <c r="E96" s="84" t="s">
        <v>19755</v>
      </c>
      <c r="F96" t="s">
        <v>1597</v>
      </c>
      <c r="G96" t="str">
        <f>"Clear "&amp;N96&amp;": "&amp;O96</f>
        <v>Clear Waterscour Ruins: Standard</v>
      </c>
      <c r="H96" s="86" t="s">
        <v>1103</v>
      </c>
      <c r="I96" t="s">
        <v>645</v>
      </c>
      <c r="J96" s="84">
        <v>3</v>
      </c>
      <c r="K96" s="118">
        <v>43370</v>
      </c>
      <c r="L96" t="s">
        <v>18054</v>
      </c>
      <c r="M96" t="s">
        <v>14035</v>
      </c>
      <c r="N96" t="s">
        <v>19174</v>
      </c>
      <c r="O96" t="s">
        <v>18054</v>
      </c>
      <c r="P96">
        <v>2</v>
      </c>
      <c r="Q96" t="s">
        <v>19175</v>
      </c>
    </row>
    <row r="97" spans="1:17" x14ac:dyDescent="0.2">
      <c r="A97" s="70" t="s">
        <v>1610</v>
      </c>
      <c r="B97" t="s">
        <v>4596</v>
      </c>
      <c r="C97" t="s">
        <v>1611</v>
      </c>
      <c r="D97" s="114" t="s">
        <v>1613</v>
      </c>
      <c r="E97" s="84" t="s">
        <v>19756</v>
      </c>
      <c r="F97" t="s">
        <v>1612</v>
      </c>
      <c r="G97" t="str">
        <f>IF(O97="","Clear "&amp;N97&amp;" ("&amp;M97&amp;")","Clear "&amp;N97&amp;": "&amp;O97&amp;" ("&amp;M97&amp;")")</f>
        <v>Clear Emile's Trial: Standard (Operation: At Your Service)</v>
      </c>
      <c r="H97" s="86" t="s">
        <v>1103</v>
      </c>
      <c r="I97" t="s">
        <v>759</v>
      </c>
      <c r="J97" s="84">
        <v>5</v>
      </c>
      <c r="K97" s="118">
        <v>44624</v>
      </c>
      <c r="L97" t="s">
        <v>18933</v>
      </c>
      <c r="M97" t="s">
        <v>14349</v>
      </c>
      <c r="N97" t="s">
        <v>19140</v>
      </c>
      <c r="O97" t="s">
        <v>18054</v>
      </c>
      <c r="P97">
        <v>1</v>
      </c>
      <c r="Q97" t="s">
        <v>19139</v>
      </c>
    </row>
    <row r="98" spans="1:17" x14ac:dyDescent="0.2">
      <c r="A98" s="70" t="s">
        <v>1625</v>
      </c>
      <c r="B98" t="s">
        <v>4596</v>
      </c>
      <c r="C98" t="s">
        <v>1626</v>
      </c>
      <c r="D98" s="114" t="s">
        <v>1628</v>
      </c>
      <c r="E98" s="84" t="s">
        <v>19757</v>
      </c>
      <c r="F98" t="s">
        <v>1627</v>
      </c>
      <c r="G98" t="str">
        <f>IF(O98="","Clear "&amp;N98&amp;" ("&amp;M98&amp;")","Clear "&amp;N98&amp;": "&amp;O98&amp;" ("&amp;M98&amp;")")</f>
        <v>Clear The Goddess's Will: Expert (Agents of the Goddess)</v>
      </c>
      <c r="H98" s="86" t="s">
        <v>1103</v>
      </c>
      <c r="I98" t="s">
        <v>759</v>
      </c>
      <c r="J98" s="84">
        <v>5</v>
      </c>
      <c r="K98" s="118">
        <v>44072</v>
      </c>
      <c r="L98" t="s">
        <v>18046</v>
      </c>
      <c r="M98" t="s">
        <v>14236</v>
      </c>
      <c r="N98" t="s">
        <v>18634</v>
      </c>
      <c r="O98" t="s">
        <v>18033</v>
      </c>
      <c r="P98">
        <v>3</v>
      </c>
      <c r="Q98" t="s">
        <v>18636</v>
      </c>
    </row>
    <row r="99" spans="1:17" x14ac:dyDescent="0.2">
      <c r="A99" s="70" t="s">
        <v>1640</v>
      </c>
      <c r="B99" t="s">
        <v>4596</v>
      </c>
      <c r="C99" t="s">
        <v>1641</v>
      </c>
      <c r="D99" s="114" t="s">
        <v>1643</v>
      </c>
      <c r="E99" s="84" t="s">
        <v>19758</v>
      </c>
      <c r="F99" t="s">
        <v>1642</v>
      </c>
      <c r="G99" t="str">
        <f>IF(O99="","Clear "&amp;N99&amp;" ("&amp;M99&amp;")","Clear "&amp;N99&amp;": "&amp;O99&amp;" ("&amp;M99&amp;")")</f>
        <v>Clear Encounter with a Legend (Monster Hunter Primal Crisis)</v>
      </c>
      <c r="H99" s="86" t="s">
        <v>1103</v>
      </c>
      <c r="I99" t="s">
        <v>759</v>
      </c>
      <c r="J99" s="84">
        <v>5</v>
      </c>
      <c r="K99" s="118">
        <v>43865</v>
      </c>
      <c r="L99" t="s">
        <v>18241</v>
      </c>
      <c r="M99" t="s">
        <v>19631</v>
      </c>
      <c r="N99" t="s">
        <v>18437</v>
      </c>
      <c r="P99">
        <v>1</v>
      </c>
      <c r="Q99" t="s">
        <v>18436</v>
      </c>
    </row>
    <row r="100" spans="1:17" x14ac:dyDescent="0.2">
      <c r="A100" s="70" t="s">
        <v>79</v>
      </c>
      <c r="B100" t="s">
        <v>4596</v>
      </c>
      <c r="C100" t="s">
        <v>1656</v>
      </c>
      <c r="D100" s="114" t="s">
        <v>1658</v>
      </c>
      <c r="E100" s="84" t="s">
        <v>19759</v>
      </c>
      <c r="F100" t="s">
        <v>1657</v>
      </c>
      <c r="G100" t="str">
        <f>IF(O100="","Clear "&amp;N100&amp;" ("&amp;M100&amp;")","Clear "&amp;N100&amp;": "&amp;O100&amp;" ("&amp;M100&amp;")")</f>
        <v>Clear Full-Bloom Festivities: Expert (The Hunt for Harmony)</v>
      </c>
      <c r="H100" s="86" t="s">
        <v>1103</v>
      </c>
      <c r="I100" t="s">
        <v>759</v>
      </c>
      <c r="J100" s="84">
        <v>5</v>
      </c>
      <c r="K100" s="118">
        <v>43555</v>
      </c>
      <c r="L100" t="s">
        <v>18046</v>
      </c>
      <c r="M100" t="s">
        <v>14065</v>
      </c>
      <c r="N100" t="s">
        <v>18238</v>
      </c>
      <c r="O100" t="s">
        <v>18033</v>
      </c>
      <c r="P100">
        <v>1</v>
      </c>
      <c r="Q100" t="s">
        <v>18237</v>
      </c>
    </row>
    <row r="101" spans="1:17" x14ac:dyDescent="0.2">
      <c r="A101" s="70" t="s">
        <v>1668</v>
      </c>
      <c r="B101" t="s">
        <v>4596</v>
      </c>
      <c r="C101" t="s">
        <v>1669</v>
      </c>
      <c r="D101" s="114" t="s">
        <v>1671</v>
      </c>
      <c r="E101" s="84" t="s">
        <v>19760</v>
      </c>
      <c r="F101" t="s">
        <v>1670</v>
      </c>
      <c r="G101" t="str">
        <f>IF(O101="","Clear "&amp;N101&amp;" ("&amp;M101&amp;")","Clear "&amp;N101&amp;": "&amp;O101&amp;" ("&amp;M101&amp;")")</f>
        <v>Clear Dazzling Delusions: Expert (The Miracle of Dragonyule)</v>
      </c>
      <c r="H101" s="86" t="s">
        <v>1103</v>
      </c>
      <c r="I101" t="s">
        <v>759</v>
      </c>
      <c r="J101" s="84">
        <v>4</v>
      </c>
      <c r="K101" s="118">
        <v>43451</v>
      </c>
      <c r="L101" t="s">
        <v>18046</v>
      </c>
      <c r="M101" t="s">
        <v>14001</v>
      </c>
      <c r="N101" t="s">
        <v>18117</v>
      </c>
      <c r="O101" t="s">
        <v>18033</v>
      </c>
      <c r="P101">
        <v>3</v>
      </c>
      <c r="Q101" t="s">
        <v>18119</v>
      </c>
    </row>
    <row r="102" spans="1:17" x14ac:dyDescent="0.2">
      <c r="A102" s="70" t="s">
        <v>1681</v>
      </c>
      <c r="B102" t="s">
        <v>4596</v>
      </c>
      <c r="C102" t="s">
        <v>1682</v>
      </c>
      <c r="D102" s="114" t="s">
        <v>1684</v>
      </c>
      <c r="E102" s="84" t="s">
        <v>19761</v>
      </c>
      <c r="F102" t="s">
        <v>1683</v>
      </c>
      <c r="G102" t="str">
        <f>+N102</f>
        <v>Complete Tutorial</v>
      </c>
      <c r="H102" s="86" t="s">
        <v>1103</v>
      </c>
      <c r="I102" t="s">
        <v>759</v>
      </c>
      <c r="J102" s="84">
        <v>3</v>
      </c>
      <c r="K102" s="118">
        <v>43370</v>
      </c>
      <c r="L102" t="s">
        <v>18054</v>
      </c>
      <c r="M102" t="s">
        <v>13720</v>
      </c>
      <c r="N102" t="s">
        <v>276</v>
      </c>
      <c r="Q102" t="s">
        <v>137</v>
      </c>
    </row>
    <row r="103" spans="1:17" x14ac:dyDescent="0.2">
      <c r="A103" s="70" t="s">
        <v>1695</v>
      </c>
      <c r="B103" t="s">
        <v>4596</v>
      </c>
      <c r="C103" t="s">
        <v>1696</v>
      </c>
      <c r="D103" s="114" t="s">
        <v>1698</v>
      </c>
      <c r="E103" s="84" t="s">
        <v>19762</v>
      </c>
      <c r="F103" t="s">
        <v>1697</v>
      </c>
      <c r="G103" t="str">
        <f>IF(O103="","Clear "&amp;N103&amp;" ("&amp;M103&amp;")","Clear "&amp;N103&amp;": "&amp;O103&amp;" ("&amp;M103&amp;")")</f>
        <v>Clear The Second Coming of Satan (Advent of the Origin)</v>
      </c>
      <c r="H103" s="86" t="s">
        <v>1103</v>
      </c>
      <c r="I103" t="s">
        <v>839</v>
      </c>
      <c r="J103" s="84">
        <v>5</v>
      </c>
      <c r="K103" s="118">
        <v>44649</v>
      </c>
      <c r="L103" t="s">
        <v>18017</v>
      </c>
      <c r="M103" t="s">
        <v>14355</v>
      </c>
      <c r="N103" t="s">
        <v>19144</v>
      </c>
      <c r="P103">
        <v>1</v>
      </c>
      <c r="Q103" t="s">
        <v>19143</v>
      </c>
    </row>
    <row r="104" spans="1:17" x14ac:dyDescent="0.2">
      <c r="A104" s="70" t="s">
        <v>1709</v>
      </c>
      <c r="B104" t="s">
        <v>4596</v>
      </c>
      <c r="C104" t="s">
        <v>1710</v>
      </c>
      <c r="D104" s="114" t="s">
        <v>1712</v>
      </c>
      <c r="E104" s="84" t="s">
        <v>19763</v>
      </c>
      <c r="F104" t="s">
        <v>1711</v>
      </c>
      <c r="G104" t="str">
        <f>+"Clear "&amp;N104&amp;" of the Main Campaign ("&amp;O104&amp;")"</f>
        <v>Clear Ch. 23 5-3 of the Main Campaign (Normal)</v>
      </c>
      <c r="H104" s="86" t="s">
        <v>1103</v>
      </c>
      <c r="I104" t="s">
        <v>839</v>
      </c>
      <c r="J104" s="84">
        <v>5</v>
      </c>
      <c r="K104" s="118">
        <v>44592</v>
      </c>
      <c r="L104" t="s">
        <v>18054</v>
      </c>
      <c r="M104" t="s">
        <v>17513</v>
      </c>
      <c r="N104" t="s">
        <v>19764</v>
      </c>
      <c r="O104" t="s">
        <v>15731</v>
      </c>
      <c r="P104">
        <v>1</v>
      </c>
      <c r="Q104" t="s">
        <v>17295</v>
      </c>
    </row>
    <row r="105" spans="1:17" x14ac:dyDescent="0.2">
      <c r="A105" s="70" t="s">
        <v>1726</v>
      </c>
      <c r="B105" t="s">
        <v>4596</v>
      </c>
      <c r="C105" t="s">
        <v>1727</v>
      </c>
      <c r="D105" s="114" t="s">
        <v>1729</v>
      </c>
      <c r="E105" s="84" t="s">
        <v>19765</v>
      </c>
      <c r="F105" t="s">
        <v>1728</v>
      </c>
      <c r="G105" t="str">
        <f>IF(O105="","Clear "&amp;N105&amp;" ("&amp;M105&amp;")","Clear "&amp;N105&amp;": "&amp;O105&amp;" ("&amp;M105&amp;")")</f>
        <v>Clear A Pre-adventure Meal (Princess Connect! Re Dive A Voracious Visitor)</v>
      </c>
      <c r="H105" s="86" t="s">
        <v>1103</v>
      </c>
      <c r="I105" t="s">
        <v>839</v>
      </c>
      <c r="J105" s="84">
        <v>5</v>
      </c>
      <c r="K105" s="118">
        <v>44165</v>
      </c>
      <c r="L105" t="s">
        <v>18017</v>
      </c>
      <c r="M105" t="s">
        <v>19766</v>
      </c>
      <c r="N105" t="s">
        <v>18723</v>
      </c>
      <c r="P105">
        <v>1</v>
      </c>
      <c r="Q105" t="s">
        <v>18722</v>
      </c>
    </row>
    <row r="106" spans="1:17" x14ac:dyDescent="0.2">
      <c r="A106" s="70" t="s">
        <v>1741</v>
      </c>
      <c r="B106" t="s">
        <v>4596</v>
      </c>
      <c r="C106" t="s">
        <v>1742</v>
      </c>
      <c r="D106" s="114" t="s">
        <v>1744</v>
      </c>
      <c r="E106" s="84" t="s">
        <v>19767</v>
      </c>
      <c r="F106" t="s">
        <v>1743</v>
      </c>
      <c r="G106" t="str">
        <f>IF(O106="","Clear "&amp;N106&amp;" ("&amp;M106&amp;")","Clear "&amp;N106&amp;": "&amp;O106&amp;" ("&amp;M106&amp;")")</f>
        <v>Clear Water Legion's Trial: Standard (Trials of the Mighty)</v>
      </c>
      <c r="H106" s="86" t="s">
        <v>1103</v>
      </c>
      <c r="I106" t="s">
        <v>839</v>
      </c>
      <c r="J106" s="84">
        <v>5</v>
      </c>
      <c r="K106" s="118">
        <v>43963</v>
      </c>
      <c r="L106" t="s">
        <v>18054</v>
      </c>
      <c r="M106" t="s">
        <v>19456</v>
      </c>
      <c r="N106" t="s">
        <v>19549</v>
      </c>
      <c r="O106" t="s">
        <v>18054</v>
      </c>
      <c r="P106">
        <v>1</v>
      </c>
      <c r="Q106" t="s">
        <v>19548</v>
      </c>
    </row>
    <row r="107" spans="1:17" x14ac:dyDescent="0.2">
      <c r="A107" s="70" t="s">
        <v>1754</v>
      </c>
      <c r="B107" t="s">
        <v>4596</v>
      </c>
      <c r="C107" t="s">
        <v>1755</v>
      </c>
      <c r="D107" s="114" t="s">
        <v>1757</v>
      </c>
      <c r="E107" s="84" t="s">
        <v>19768</v>
      </c>
      <c r="F107" t="s">
        <v>1756</v>
      </c>
      <c r="G107" t="str">
        <f>IF(O107="","Clear "&amp;N107&amp;" ("&amp;M107&amp;")","Clear "&amp;N107&amp;": "&amp;O107&amp;" ("&amp;M107&amp;")")</f>
        <v>Clear Greedy Manticore Strike (Void Battles)</v>
      </c>
      <c r="H107" s="86" t="s">
        <v>1103</v>
      </c>
      <c r="I107" t="s">
        <v>839</v>
      </c>
      <c r="J107" s="84">
        <v>5</v>
      </c>
      <c r="K107" s="118">
        <v>43377</v>
      </c>
      <c r="L107" t="s">
        <v>18054</v>
      </c>
      <c r="M107" t="s">
        <v>19374</v>
      </c>
      <c r="N107" t="s">
        <v>19420</v>
      </c>
      <c r="P107">
        <v>1</v>
      </c>
      <c r="Q107" t="s">
        <v>19419</v>
      </c>
    </row>
    <row r="108" spans="1:17" x14ac:dyDescent="0.2">
      <c r="A108" s="70" t="s">
        <v>1767</v>
      </c>
      <c r="B108" t="s">
        <v>4596</v>
      </c>
      <c r="C108" t="s">
        <v>1768</v>
      </c>
      <c r="D108" s="115" t="s">
        <v>1770</v>
      </c>
      <c r="E108" s="84" t="s">
        <v>19769</v>
      </c>
      <c r="F108" t="s">
        <v>1769</v>
      </c>
      <c r="G108" t="str">
        <f>IF(O108="","Clear "&amp;N108&amp;" ("&amp;M108&amp;")","Clear "&amp;N108&amp;": "&amp;O108&amp;" ("&amp;M108&amp;")")</f>
        <v>Clear Nature's Bounty - À La Carte: Expert (A Dash of Disaster)</v>
      </c>
      <c r="H108" s="86" t="s">
        <v>1103</v>
      </c>
      <c r="I108" t="s">
        <v>839</v>
      </c>
      <c r="J108" s="84">
        <v>4</v>
      </c>
      <c r="K108" s="118">
        <v>43889</v>
      </c>
      <c r="L108" t="s">
        <v>18046</v>
      </c>
      <c r="M108" t="s">
        <v>14181</v>
      </c>
      <c r="N108" t="s">
        <v>18467</v>
      </c>
      <c r="O108" t="s">
        <v>18033</v>
      </c>
      <c r="P108">
        <v>3</v>
      </c>
      <c r="Q108" t="s">
        <v>18469</v>
      </c>
    </row>
    <row r="109" spans="1:17" x14ac:dyDescent="0.2">
      <c r="A109" s="70" t="s">
        <v>1783</v>
      </c>
      <c r="B109" t="s">
        <v>4596</v>
      </c>
      <c r="C109" t="s">
        <v>1784</v>
      </c>
      <c r="D109" s="114" t="s">
        <v>1786</v>
      </c>
      <c r="E109" s="84" t="s">
        <v>19770</v>
      </c>
      <c r="F109" t="s">
        <v>1785</v>
      </c>
      <c r="G109" t="str">
        <f>IF(O109="","Clear "&amp;N109&amp;" ("&amp;M109&amp;")","Clear "&amp;N109&amp;": "&amp;O109&amp;" ("&amp;M109&amp;")")</f>
        <v>Clear Tangled in Traps (A Splash of Adventure)</v>
      </c>
      <c r="H109" s="86" t="s">
        <v>1103</v>
      </c>
      <c r="I109" t="s">
        <v>839</v>
      </c>
      <c r="J109" s="84">
        <v>4</v>
      </c>
      <c r="K109" s="118">
        <v>43677</v>
      </c>
      <c r="L109" t="s">
        <v>18017</v>
      </c>
      <c r="M109" t="s">
        <v>14102</v>
      </c>
      <c r="N109" t="s">
        <v>18295</v>
      </c>
      <c r="P109">
        <v>1</v>
      </c>
      <c r="Q109" t="s">
        <v>18294</v>
      </c>
    </row>
    <row r="110" spans="1:17" x14ac:dyDescent="0.2">
      <c r="A110" s="70" t="s">
        <v>1795</v>
      </c>
      <c r="B110" t="s">
        <v>4596</v>
      </c>
      <c r="C110" t="s">
        <v>1796</v>
      </c>
      <c r="D110" s="114" t="s">
        <v>1798</v>
      </c>
      <c r="E110" s="84" t="s">
        <v>19771</v>
      </c>
      <c r="F110" t="s">
        <v>1797</v>
      </c>
      <c r="G110" t="str">
        <f>IF(O110="",N110&amp;" ("&amp;M110&amp;")",N110&amp;": "&amp;O110&amp;" ("&amp;M110&amp;")")</f>
        <v>Upgrade the Yuletree to Lv. 10 (The Miracle of Dragonyule)</v>
      </c>
      <c r="H110" s="86" t="s">
        <v>1103</v>
      </c>
      <c r="I110" t="s">
        <v>839</v>
      </c>
      <c r="J110" s="84">
        <v>4</v>
      </c>
      <c r="K110" s="118">
        <v>43451</v>
      </c>
      <c r="L110" t="s">
        <v>18046</v>
      </c>
      <c r="M110" t="s">
        <v>14001</v>
      </c>
      <c r="N110" t="s">
        <v>19772</v>
      </c>
      <c r="Q110" t="s">
        <v>19773</v>
      </c>
    </row>
    <row r="111" spans="1:17" x14ac:dyDescent="0.2">
      <c r="A111" s="70" t="s">
        <v>1810</v>
      </c>
      <c r="B111" t="s">
        <v>4596</v>
      </c>
      <c r="C111" t="s">
        <v>1811</v>
      </c>
      <c r="D111" s="114" t="s">
        <v>1813</v>
      </c>
      <c r="E111" s="84" t="s">
        <v>19774</v>
      </c>
      <c r="F111" t="s">
        <v>1812</v>
      </c>
      <c r="G111" t="str">
        <f>IF(O111="","Clear "&amp;N111&amp;" ("&amp;M111&amp;")","Clear "&amp;N111&amp;": "&amp;O111&amp;" ("&amp;M111&amp;")")</f>
        <v>Clear Assault on Lilith: Expert (Faith Forsaken (Part Two))</v>
      </c>
      <c r="H111" s="86" t="s">
        <v>1103</v>
      </c>
      <c r="I111" t="s">
        <v>949</v>
      </c>
      <c r="J111" s="84">
        <v>5</v>
      </c>
      <c r="K111" s="118">
        <v>44484</v>
      </c>
      <c r="L111" t="s">
        <v>18017</v>
      </c>
      <c r="M111" t="s">
        <v>14583</v>
      </c>
      <c r="N111" t="s">
        <v>19065</v>
      </c>
      <c r="O111" t="s">
        <v>18033</v>
      </c>
      <c r="P111">
        <v>2</v>
      </c>
      <c r="Q111" t="s">
        <v>19066</v>
      </c>
    </row>
    <row r="112" spans="1:17" x14ac:dyDescent="0.2">
      <c r="A112" s="70" t="s">
        <v>1826</v>
      </c>
      <c r="B112" t="s">
        <v>4596</v>
      </c>
      <c r="C112" t="s">
        <v>1827</v>
      </c>
      <c r="D112" s="114" t="s">
        <v>1829</v>
      </c>
      <c r="E112" s="84" t="s">
        <v>19775</v>
      </c>
      <c r="F112" t="s">
        <v>1828</v>
      </c>
      <c r="G112" t="str">
        <f>IF(O112="","Clear "&amp;N112&amp;" ("&amp;M112&amp;")","Clear "&amp;N112&amp;": "&amp;O112&amp;" ("&amp;M112&amp;")")</f>
        <v>Clear All-Out Assault: Master (The Great Dragonyule Offensive)</v>
      </c>
      <c r="H112" s="86" t="s">
        <v>1103</v>
      </c>
      <c r="I112" t="s">
        <v>949</v>
      </c>
      <c r="J112" s="84">
        <v>5</v>
      </c>
      <c r="K112" s="118">
        <v>44180</v>
      </c>
      <c r="L112" t="s">
        <v>18560</v>
      </c>
      <c r="M112" t="s">
        <v>14271</v>
      </c>
      <c r="N112" t="s">
        <v>19643</v>
      </c>
      <c r="O112" t="s">
        <v>18061</v>
      </c>
      <c r="P112">
        <v>4</v>
      </c>
      <c r="Q112" t="s">
        <v>18753</v>
      </c>
    </row>
    <row r="113" spans="1:18" x14ac:dyDescent="0.2">
      <c r="A113" s="70" t="s">
        <v>1841</v>
      </c>
      <c r="B113" t="s">
        <v>4596</v>
      </c>
      <c r="C113" t="s">
        <v>1842</v>
      </c>
      <c r="D113" s="114" t="s">
        <v>1844</v>
      </c>
      <c r="E113" s="84" t="s">
        <v>19776</v>
      </c>
      <c r="F113" t="s">
        <v>1843</v>
      </c>
      <c r="G113" t="str">
        <f>IF(O113="","Clear "&amp;N113&amp;" ("&amp;M113&amp;")","Clear "&amp;N113&amp;": "&amp;O113&amp;" ("&amp;M113&amp;")")</f>
        <v>Clear Tidal Chimera Strike: Standard (Void Battles)</v>
      </c>
      <c r="H113" s="86" t="s">
        <v>1103</v>
      </c>
      <c r="I113" t="s">
        <v>949</v>
      </c>
      <c r="J113" s="84">
        <v>5</v>
      </c>
      <c r="K113" s="118">
        <v>43801</v>
      </c>
      <c r="L113" t="s">
        <v>18054</v>
      </c>
      <c r="M113" t="s">
        <v>19374</v>
      </c>
      <c r="N113" t="s">
        <v>19443</v>
      </c>
      <c r="O113" t="s">
        <v>18054</v>
      </c>
      <c r="P113">
        <v>1</v>
      </c>
      <c r="Q113" t="s">
        <v>19442</v>
      </c>
    </row>
    <row r="114" spans="1:18" x14ac:dyDescent="0.2">
      <c r="A114" s="70" t="s">
        <v>1855</v>
      </c>
      <c r="B114" t="s">
        <v>4596</v>
      </c>
      <c r="C114" t="s">
        <v>1856</v>
      </c>
      <c r="D114" s="114" t="s">
        <v>1858</v>
      </c>
      <c r="E114" s="84" t="s">
        <v>19777</v>
      </c>
      <c r="F114" t="s">
        <v>1857</v>
      </c>
      <c r="G114" t="str">
        <f>IF(O114="","Clear "&amp;N114&amp;" ("&amp;M114&amp;")","Clear "&amp;N114&amp;": "&amp;O114&amp;" ("&amp;M114&amp;")")</f>
        <v>Clear The Mercurial Gauntlet (Water): Lv. 20 (The Mercurial Gauntlet)</v>
      </c>
      <c r="H114" s="86" t="s">
        <v>1103</v>
      </c>
      <c r="I114" t="s">
        <v>949</v>
      </c>
      <c r="J114" s="84">
        <v>4</v>
      </c>
      <c r="K114" s="118">
        <v>43616</v>
      </c>
      <c r="L114" t="s">
        <v>18054</v>
      </c>
      <c r="M114" t="s">
        <v>19636</v>
      </c>
      <c r="N114" s="86" t="s">
        <v>19737</v>
      </c>
      <c r="O114" t="s">
        <v>19671</v>
      </c>
      <c r="Q114" t="s">
        <v>137</v>
      </c>
    </row>
    <row r="115" spans="1:18" x14ac:dyDescent="0.2">
      <c r="A115" s="70" t="s">
        <v>1868</v>
      </c>
      <c r="B115" t="s">
        <v>4596</v>
      </c>
      <c r="C115" t="s">
        <v>1869</v>
      </c>
      <c r="D115" s="114" t="s">
        <v>1871</v>
      </c>
      <c r="E115" s="84" t="s">
        <v>19778</v>
      </c>
      <c r="F115" t="s">
        <v>1870</v>
      </c>
      <c r="G115" t="str">
        <f>IF(O115="","Clear "&amp;N115&amp;" ("&amp;M115&amp;")","Clear "&amp;N115&amp;": "&amp;O115&amp;" ("&amp;M115&amp;")")</f>
        <v>Clear Lv. 10 of The Mercurial Gauntlet in All Elements (The Mercurial Gauntlet)</v>
      </c>
      <c r="H115" s="86" t="s">
        <v>1103</v>
      </c>
      <c r="I115" t="s">
        <v>949</v>
      </c>
      <c r="J115" s="84">
        <v>4</v>
      </c>
      <c r="K115" s="118">
        <v>43370</v>
      </c>
      <c r="L115" t="s">
        <v>18054</v>
      </c>
      <c r="M115" t="s">
        <v>19636</v>
      </c>
      <c r="N115" t="s">
        <v>19779</v>
      </c>
      <c r="Q115" t="s">
        <v>137</v>
      </c>
    </row>
    <row r="116" spans="1:18" x14ac:dyDescent="0.2">
      <c r="A116" s="70" t="s">
        <v>1881</v>
      </c>
      <c r="B116" t="s">
        <v>4596</v>
      </c>
      <c r="C116" t="s">
        <v>1882</v>
      </c>
      <c r="D116" s="114" t="s">
        <v>1884</v>
      </c>
      <c r="E116" s="84" t="s">
        <v>19780</v>
      </c>
      <c r="F116" t="s">
        <v>1883</v>
      </c>
      <c r="G116" t="str">
        <f>+N116</f>
        <v>Complete Tutorial</v>
      </c>
      <c r="H116" s="86" t="s">
        <v>1103</v>
      </c>
      <c r="I116" t="s">
        <v>949</v>
      </c>
      <c r="J116" s="84">
        <v>3</v>
      </c>
      <c r="K116" s="118">
        <v>43370</v>
      </c>
      <c r="L116" t="s">
        <v>18054</v>
      </c>
      <c r="M116" t="s">
        <v>13720</v>
      </c>
      <c r="N116" t="s">
        <v>276</v>
      </c>
      <c r="Q116" t="s">
        <v>137</v>
      </c>
    </row>
    <row r="117" spans="1:18" x14ac:dyDescent="0.2">
      <c r="A117" s="70" t="s">
        <v>1895</v>
      </c>
      <c r="B117" t="s">
        <v>4596</v>
      </c>
      <c r="C117" t="s">
        <v>1896</v>
      </c>
      <c r="D117" s="114" t="s">
        <v>1898</v>
      </c>
      <c r="E117" s="84" t="s">
        <v>19781</v>
      </c>
      <c r="F117" t="s">
        <v>1897</v>
      </c>
      <c r="G117" t="str">
        <f t="shared" ref="G117:G122" si="5">IF(O117="","Clear "&amp;N117&amp;" ("&amp;M117&amp;")","Clear "&amp;N117&amp;": "&amp;O117&amp;" ("&amp;M117&amp;")")</f>
        <v>Clear Guardians of the Wood: Standard (The Children of Yggdrasil)</v>
      </c>
      <c r="H117" s="86" t="s">
        <v>1103</v>
      </c>
      <c r="I117" t="s">
        <v>1054</v>
      </c>
      <c r="J117" s="84">
        <v>5</v>
      </c>
      <c r="K117" s="118">
        <v>44344</v>
      </c>
      <c r="L117" t="s">
        <v>18933</v>
      </c>
      <c r="M117" t="s">
        <v>14303</v>
      </c>
      <c r="N117" t="s">
        <v>18938</v>
      </c>
      <c r="O117" t="s">
        <v>18054</v>
      </c>
      <c r="P117">
        <v>1</v>
      </c>
      <c r="Q117" t="s">
        <v>18937</v>
      </c>
    </row>
    <row r="118" spans="1:18" x14ac:dyDescent="0.2">
      <c r="A118" s="70" t="s">
        <v>1910</v>
      </c>
      <c r="B118" t="s">
        <v>4596</v>
      </c>
      <c r="C118" t="s">
        <v>1911</v>
      </c>
      <c r="D118" s="114" t="s">
        <v>1913</v>
      </c>
      <c r="E118" s="84" t="s">
        <v>19782</v>
      </c>
      <c r="F118" t="s">
        <v>1912</v>
      </c>
      <c r="G118" t="str">
        <f t="shared" si="5"/>
        <v>Clear Shikigami Clash: Omega 1 (Cursed Connections)</v>
      </c>
      <c r="H118" s="86" t="s">
        <v>1103</v>
      </c>
      <c r="I118" t="s">
        <v>1054</v>
      </c>
      <c r="J118" s="84">
        <v>5</v>
      </c>
      <c r="K118" s="118">
        <v>44203</v>
      </c>
      <c r="L118" t="s">
        <v>18017</v>
      </c>
      <c r="M118" t="s">
        <v>14275</v>
      </c>
      <c r="N118" t="s">
        <v>18763</v>
      </c>
      <c r="O118" t="s">
        <v>18212</v>
      </c>
      <c r="P118">
        <v>5</v>
      </c>
      <c r="Q118" t="s">
        <v>18767</v>
      </c>
    </row>
    <row r="119" spans="1:18" x14ac:dyDescent="0.2">
      <c r="A119" s="70" t="s">
        <v>1925</v>
      </c>
      <c r="B119" t="s">
        <v>4596</v>
      </c>
      <c r="C119" t="s">
        <v>1926</v>
      </c>
      <c r="D119" s="114" t="s">
        <v>1928</v>
      </c>
      <c r="E119" s="84" t="s">
        <v>19783</v>
      </c>
      <c r="F119" t="s">
        <v>1927</v>
      </c>
      <c r="G119" t="str">
        <f t="shared" si="5"/>
        <v>Clear A Duel with the Phantom Thief: Standard (The Phantom's Ransom)</v>
      </c>
      <c r="H119" s="86" t="s">
        <v>1103</v>
      </c>
      <c r="I119" t="s">
        <v>1054</v>
      </c>
      <c r="J119" s="84">
        <v>5</v>
      </c>
      <c r="K119" s="118">
        <v>44134</v>
      </c>
      <c r="L119" t="s">
        <v>18046</v>
      </c>
      <c r="M119" t="s">
        <v>14255</v>
      </c>
      <c r="N119" t="s">
        <v>18702</v>
      </c>
      <c r="O119" t="s">
        <v>18054</v>
      </c>
      <c r="P119">
        <v>1</v>
      </c>
      <c r="Q119" t="s">
        <v>18701</v>
      </c>
    </row>
    <row r="120" spans="1:18" x14ac:dyDescent="0.2">
      <c r="A120" s="70" t="s">
        <v>1941</v>
      </c>
      <c r="B120" t="s">
        <v>4596</v>
      </c>
      <c r="C120" t="s">
        <v>1942</v>
      </c>
      <c r="D120" s="114" t="s">
        <v>1944</v>
      </c>
      <c r="E120" s="84" t="s">
        <v>19784</v>
      </c>
      <c r="F120" t="s">
        <v>1943</v>
      </c>
      <c r="G120" t="str">
        <f t="shared" si="5"/>
        <v>Clear True Bahamut Clash: Nightmare (Advent of the Origin)</v>
      </c>
      <c r="H120" s="86" t="s">
        <v>1947</v>
      </c>
      <c r="I120" t="s">
        <v>123</v>
      </c>
      <c r="J120" s="84">
        <v>5</v>
      </c>
      <c r="K120" s="118">
        <v>44651</v>
      </c>
      <c r="L120" t="s">
        <v>18017</v>
      </c>
      <c r="M120" t="s">
        <v>14355</v>
      </c>
      <c r="N120" t="s">
        <v>19149</v>
      </c>
      <c r="O120" t="s">
        <v>18041</v>
      </c>
      <c r="P120">
        <v>4</v>
      </c>
      <c r="Q120" t="s">
        <v>19152</v>
      </c>
    </row>
    <row r="121" spans="1:18" x14ac:dyDescent="0.2">
      <c r="A121" s="70" t="s">
        <v>1960</v>
      </c>
      <c r="B121" t="s">
        <v>4596</v>
      </c>
      <c r="C121" t="s">
        <v>1961</v>
      </c>
      <c r="D121" s="114" t="s">
        <v>1963</v>
      </c>
      <c r="E121" s="84" t="s">
        <v>19785</v>
      </c>
      <c r="F121" t="s">
        <v>1962</v>
      </c>
      <c r="G121" t="str">
        <f t="shared" si="5"/>
        <v>Clear All-Out Assault: EX (Blessed Bloodline)</v>
      </c>
      <c r="H121" s="86" t="s">
        <v>1947</v>
      </c>
      <c r="I121" t="s">
        <v>123</v>
      </c>
      <c r="J121" s="84">
        <v>5</v>
      </c>
      <c r="K121" s="118">
        <v>44362</v>
      </c>
      <c r="L121" t="s">
        <v>18560</v>
      </c>
      <c r="M121" t="s">
        <v>18942</v>
      </c>
      <c r="N121" t="s">
        <v>19643</v>
      </c>
      <c r="O121" t="s">
        <v>18039</v>
      </c>
      <c r="P121">
        <v>5</v>
      </c>
      <c r="Q121" t="s">
        <v>18957</v>
      </c>
    </row>
    <row r="122" spans="1:18" x14ac:dyDescent="0.2">
      <c r="A122" s="70" t="s">
        <v>1977</v>
      </c>
      <c r="B122" t="s">
        <v>4596</v>
      </c>
      <c r="C122" t="s">
        <v>1978</v>
      </c>
      <c r="D122" s="114" t="s">
        <v>1980</v>
      </c>
      <c r="E122" s="84" t="s">
        <v>19786</v>
      </c>
      <c r="F122" t="s">
        <v>1979</v>
      </c>
      <c r="G122" t="str">
        <f t="shared" si="5"/>
        <v>Clear Monarch Emile Clash: EX (Persona 5 Strikers Caged Desire)</v>
      </c>
      <c r="H122" s="86" t="s">
        <v>1947</v>
      </c>
      <c r="I122" t="s">
        <v>123</v>
      </c>
      <c r="J122" s="84">
        <v>5</v>
      </c>
      <c r="K122" s="118">
        <v>44227</v>
      </c>
      <c r="L122" t="s">
        <v>18241</v>
      </c>
      <c r="M122" t="s">
        <v>19673</v>
      </c>
      <c r="N122" t="s">
        <v>18808</v>
      </c>
      <c r="O122" t="s">
        <v>18039</v>
      </c>
      <c r="P122">
        <v>3</v>
      </c>
      <c r="Q122" t="s">
        <v>18810</v>
      </c>
    </row>
    <row r="123" spans="1:18" x14ac:dyDescent="0.2">
      <c r="A123" s="70" t="s">
        <v>1993</v>
      </c>
      <c r="B123" t="s">
        <v>4596</v>
      </c>
      <c r="C123" t="s">
        <v>1994</v>
      </c>
      <c r="D123" s="114" t="s">
        <v>1996</v>
      </c>
      <c r="E123" s="84" t="s">
        <v>19787</v>
      </c>
      <c r="F123" t="s">
        <v>1995</v>
      </c>
      <c r="G123" t="str">
        <f>+"Clear "&amp;N123&amp;" of the Main Campaign ("&amp;O123&amp;")"</f>
        <v>Clear Ch. 13 5-4 of the Main Campaign (Hard)</v>
      </c>
      <c r="H123" s="86" t="s">
        <v>1947</v>
      </c>
      <c r="I123" t="s">
        <v>123</v>
      </c>
      <c r="J123" s="84">
        <v>5</v>
      </c>
      <c r="K123" s="118">
        <v>43980</v>
      </c>
      <c r="L123" t="s">
        <v>18054</v>
      </c>
      <c r="M123" t="s">
        <v>17513</v>
      </c>
      <c r="N123" t="s">
        <v>19788</v>
      </c>
      <c r="O123" t="s">
        <v>15732</v>
      </c>
      <c r="P123">
        <v>1</v>
      </c>
      <c r="Q123" t="s">
        <v>16587</v>
      </c>
    </row>
    <row r="124" spans="1:18" x14ac:dyDescent="0.2">
      <c r="A124" s="70" t="s">
        <v>2010</v>
      </c>
      <c r="B124" t="s">
        <v>4596</v>
      </c>
      <c r="C124" t="s">
        <v>2011</v>
      </c>
      <c r="D124" s="114" t="s">
        <v>2013</v>
      </c>
      <c r="E124" s="84" t="s">
        <v>19789</v>
      </c>
      <c r="F124" t="s">
        <v>2012</v>
      </c>
      <c r="G124" t="str">
        <f>IF(O124="","Clear "&amp;N124&amp;" ("&amp;M124&amp;")","Clear "&amp;N124&amp;": "&amp;O124&amp;" ("&amp;M124&amp;")")</f>
        <v>Clear *WIND* Manticore Strike (Void Battles)</v>
      </c>
      <c r="H124" s="86" t="s">
        <v>1947</v>
      </c>
      <c r="I124" t="s">
        <v>123</v>
      </c>
      <c r="J124" s="84">
        <v>5</v>
      </c>
      <c r="K124" s="118">
        <v>43636</v>
      </c>
      <c r="L124" t="s">
        <v>18054</v>
      </c>
      <c r="M124" t="s">
        <v>19374</v>
      </c>
      <c r="N124" t="s">
        <v>19586</v>
      </c>
      <c r="P124">
        <v>1</v>
      </c>
      <c r="Q124" t="s">
        <v>19585</v>
      </c>
      <c r="R124" t="s">
        <v>19669</v>
      </c>
    </row>
    <row r="125" spans="1:18" x14ac:dyDescent="0.2">
      <c r="A125" s="70" t="s">
        <v>2027</v>
      </c>
      <c r="B125" t="s">
        <v>4596</v>
      </c>
      <c r="C125" t="s">
        <v>2028</v>
      </c>
      <c r="D125" s="114" t="s">
        <v>2030</v>
      </c>
      <c r="E125" s="84" t="s">
        <v>19790</v>
      </c>
      <c r="F125" t="s">
        <v>2029</v>
      </c>
      <c r="G125" t="str">
        <f>+"Clear "&amp;N125&amp;" of the Main Campaign ("&amp;O125&amp;")"</f>
        <v>Clear Ch. 07 5-5 of the Main Campaign (Hard)</v>
      </c>
      <c r="H125" s="86" t="s">
        <v>1947</v>
      </c>
      <c r="I125" t="s">
        <v>123</v>
      </c>
      <c r="J125" s="84">
        <v>5</v>
      </c>
      <c r="K125" s="118">
        <v>43551</v>
      </c>
      <c r="L125" t="s">
        <v>18054</v>
      </c>
      <c r="M125" t="s">
        <v>17513</v>
      </c>
      <c r="N125" t="s">
        <v>19791</v>
      </c>
      <c r="O125" t="s">
        <v>15732</v>
      </c>
      <c r="P125">
        <v>1</v>
      </c>
      <c r="Q125" t="s">
        <v>17676</v>
      </c>
    </row>
    <row r="126" spans="1:18" x14ac:dyDescent="0.2">
      <c r="A126" s="70" t="s">
        <v>2044</v>
      </c>
      <c r="B126" t="s">
        <v>4596</v>
      </c>
      <c r="C126" t="s">
        <v>2045</v>
      </c>
      <c r="D126" s="114" t="s">
        <v>2047</v>
      </c>
      <c r="E126" s="84" t="s">
        <v>19792</v>
      </c>
      <c r="F126" t="s">
        <v>2046</v>
      </c>
      <c r="G126" t="str">
        <f t="shared" ref="G126:G134" si="6">IF(O126="","Clear "&amp;N126&amp;" ("&amp;M126&amp;")","Clear "&amp;N126&amp;": "&amp;O126&amp;" ("&amp;M126&amp;")")</f>
        <v>Clear The Mercurial Gauntlet (Wind): Lv. 10 (The Mercurial Gauntlet)</v>
      </c>
      <c r="H126" s="86" t="s">
        <v>1947</v>
      </c>
      <c r="I126" t="s">
        <v>123</v>
      </c>
      <c r="J126" s="84">
        <v>4</v>
      </c>
      <c r="K126" s="118">
        <v>43902</v>
      </c>
      <c r="L126" t="s">
        <v>18054</v>
      </c>
      <c r="M126" t="s">
        <v>19636</v>
      </c>
      <c r="N126" s="86" t="s">
        <v>19793</v>
      </c>
      <c r="O126" t="s">
        <v>19708</v>
      </c>
      <c r="Q126" t="s">
        <v>137</v>
      </c>
    </row>
    <row r="127" spans="1:18" x14ac:dyDescent="0.2">
      <c r="A127" s="70" t="s">
        <v>2058</v>
      </c>
      <c r="B127" t="s">
        <v>4596</v>
      </c>
      <c r="C127" t="s">
        <v>2059</v>
      </c>
      <c r="D127" s="114" t="s">
        <v>2061</v>
      </c>
      <c r="E127" s="84" t="s">
        <v>19794</v>
      </c>
      <c r="F127" t="s">
        <v>2060</v>
      </c>
      <c r="G127" t="str">
        <f t="shared" si="6"/>
        <v>Clear Valfarre Clash: Expert (Skyborne Spectacle)</v>
      </c>
      <c r="H127" s="86" t="s">
        <v>1947</v>
      </c>
      <c r="I127" t="s">
        <v>123</v>
      </c>
      <c r="J127" s="84">
        <v>4</v>
      </c>
      <c r="K127" s="118">
        <v>43496</v>
      </c>
      <c r="L127" t="s">
        <v>18017</v>
      </c>
      <c r="M127" t="s">
        <v>14028</v>
      </c>
      <c r="N127" t="s">
        <v>18169</v>
      </c>
      <c r="O127" t="s">
        <v>18033</v>
      </c>
      <c r="P127">
        <v>2</v>
      </c>
      <c r="Q127" t="s">
        <v>18170</v>
      </c>
    </row>
    <row r="128" spans="1:18" x14ac:dyDescent="0.2">
      <c r="A128" s="70" t="s">
        <v>2073</v>
      </c>
      <c r="B128" t="s">
        <v>4596</v>
      </c>
      <c r="C128" t="s">
        <v>2074</v>
      </c>
      <c r="D128" s="114" t="s">
        <v>2076</v>
      </c>
      <c r="E128" s="84" t="s">
        <v>19795</v>
      </c>
      <c r="F128" t="s">
        <v>2075</v>
      </c>
      <c r="G128" t="str">
        <f t="shared" si="6"/>
        <v>Clear The Might of Heaven (Faith Forsaken (Part One))</v>
      </c>
      <c r="H128" s="86" t="s">
        <v>1947</v>
      </c>
      <c r="I128" t="s">
        <v>330</v>
      </c>
      <c r="J128" s="84">
        <v>5</v>
      </c>
      <c r="K128" s="118">
        <v>44469</v>
      </c>
      <c r="L128" t="s">
        <v>18017</v>
      </c>
      <c r="M128" t="s">
        <v>14320</v>
      </c>
      <c r="N128" t="s">
        <v>19046</v>
      </c>
      <c r="P128">
        <v>1</v>
      </c>
      <c r="Q128" t="s">
        <v>19045</v>
      </c>
    </row>
    <row r="129" spans="1:18" x14ac:dyDescent="0.2">
      <c r="A129" s="70" t="s">
        <v>2088</v>
      </c>
      <c r="B129" t="s">
        <v>4596</v>
      </c>
      <c r="C129" t="s">
        <v>2089</v>
      </c>
      <c r="D129" s="114" t="s">
        <v>2091</v>
      </c>
      <c r="E129" s="84" t="s">
        <v>19796</v>
      </c>
      <c r="F129" t="s">
        <v>2090</v>
      </c>
      <c r="G129" t="str">
        <f t="shared" si="6"/>
        <v>Clear All-Out Assault: EX (Drifting Sorrows)</v>
      </c>
      <c r="H129" s="86" t="s">
        <v>1947</v>
      </c>
      <c r="I129" t="s">
        <v>330</v>
      </c>
      <c r="J129" s="84">
        <v>5</v>
      </c>
      <c r="K129" s="118">
        <v>44421</v>
      </c>
      <c r="L129" t="s">
        <v>18560</v>
      </c>
      <c r="M129" t="s">
        <v>19001</v>
      </c>
      <c r="N129" t="s">
        <v>19643</v>
      </c>
      <c r="O129" t="s">
        <v>18039</v>
      </c>
      <c r="P129">
        <v>5</v>
      </c>
      <c r="Q129" t="s">
        <v>19016</v>
      </c>
    </row>
    <row r="130" spans="1:18" x14ac:dyDescent="0.2">
      <c r="A130" s="70" t="s">
        <v>2102</v>
      </c>
      <c r="B130" t="s">
        <v>4596</v>
      </c>
      <c r="C130" t="s">
        <v>2103</v>
      </c>
      <c r="D130" s="114" t="s">
        <v>2105</v>
      </c>
      <c r="E130" s="84" t="s">
        <v>19797</v>
      </c>
      <c r="F130" t="s">
        <v>2104</v>
      </c>
      <c r="G130" t="str">
        <f t="shared" si="6"/>
        <v>Clear Flame Manticore Assault: Expert (Princess Connect! Re Dive A Voracious Visitor)</v>
      </c>
      <c r="H130" s="86" t="s">
        <v>1947</v>
      </c>
      <c r="I130" t="s">
        <v>330</v>
      </c>
      <c r="J130" s="84">
        <v>5</v>
      </c>
      <c r="K130" s="118">
        <v>44165</v>
      </c>
      <c r="L130" t="s">
        <v>18017</v>
      </c>
      <c r="M130" t="s">
        <v>19766</v>
      </c>
      <c r="N130" t="s">
        <v>18727</v>
      </c>
      <c r="O130" t="s">
        <v>18033</v>
      </c>
      <c r="P130">
        <v>2</v>
      </c>
      <c r="Q130" t="s">
        <v>18728</v>
      </c>
    </row>
    <row r="131" spans="1:18" x14ac:dyDescent="0.2">
      <c r="A131" s="70" t="s">
        <v>2116</v>
      </c>
      <c r="B131" t="s">
        <v>4596</v>
      </c>
      <c r="C131" t="s">
        <v>2117</v>
      </c>
      <c r="D131" s="114" t="s">
        <v>2119</v>
      </c>
      <c r="E131" s="84" t="s">
        <v>19798</v>
      </c>
      <c r="F131" t="s">
        <v>2118</v>
      </c>
      <c r="G131" t="str">
        <f t="shared" si="6"/>
        <v>Clear Phantom Strikes (all elements) (Void Battles)</v>
      </c>
      <c r="H131" s="86" t="s">
        <v>1947</v>
      </c>
      <c r="I131" t="s">
        <v>330</v>
      </c>
      <c r="J131" s="84">
        <v>5</v>
      </c>
      <c r="K131" s="118">
        <v>43902</v>
      </c>
      <c r="L131" t="s">
        <v>18054</v>
      </c>
      <c r="M131" t="s">
        <v>19374</v>
      </c>
      <c r="N131" t="s">
        <v>19799</v>
      </c>
      <c r="Q131" t="s">
        <v>137</v>
      </c>
      <c r="R131" t="s">
        <v>19669</v>
      </c>
    </row>
    <row r="132" spans="1:18" x14ac:dyDescent="0.2">
      <c r="A132" s="70" t="s">
        <v>2131</v>
      </c>
      <c r="B132" t="s">
        <v>4596</v>
      </c>
      <c r="C132" t="s">
        <v>2132</v>
      </c>
      <c r="D132" s="114" t="s">
        <v>2134</v>
      </c>
      <c r="E132" s="84" t="s">
        <v>19800</v>
      </c>
      <c r="F132" t="s">
        <v>2133</v>
      </c>
      <c r="G132" t="str">
        <f t="shared" si="6"/>
        <v>Clear Harle's Trial: Standard (Trials of the Mighty)</v>
      </c>
      <c r="H132" s="86" t="s">
        <v>1947</v>
      </c>
      <c r="I132" t="s">
        <v>330</v>
      </c>
      <c r="J132" s="84">
        <v>5</v>
      </c>
      <c r="K132" s="118">
        <v>43708</v>
      </c>
      <c r="L132" t="s">
        <v>18054</v>
      </c>
      <c r="M132" t="s">
        <v>19456</v>
      </c>
      <c r="N132" s="86" t="s">
        <v>19481</v>
      </c>
      <c r="O132" t="s">
        <v>18054</v>
      </c>
      <c r="P132">
        <v>1</v>
      </c>
      <c r="Q132" t="s">
        <v>19480</v>
      </c>
    </row>
    <row r="133" spans="1:18" x14ac:dyDescent="0.2">
      <c r="A133" s="70" t="s">
        <v>2147</v>
      </c>
      <c r="B133" t="s">
        <v>4596</v>
      </c>
      <c r="C133" t="s">
        <v>2148</v>
      </c>
      <c r="D133" s="114" t="s">
        <v>2150</v>
      </c>
      <c r="E133" s="84" t="s">
        <v>19801</v>
      </c>
      <c r="F133" t="s">
        <v>2149</v>
      </c>
      <c r="G133" t="str">
        <f t="shared" si="6"/>
        <v>Clear Moonlight March (Fortune from Afar)</v>
      </c>
      <c r="H133" s="86" t="s">
        <v>1947</v>
      </c>
      <c r="I133" t="s">
        <v>330</v>
      </c>
      <c r="J133" s="84">
        <v>4</v>
      </c>
      <c r="K133" s="118">
        <v>43465</v>
      </c>
      <c r="L133" t="s">
        <v>18017</v>
      </c>
      <c r="M133" t="s">
        <v>18124</v>
      </c>
      <c r="N133" t="s">
        <v>19802</v>
      </c>
      <c r="P133">
        <v>1</v>
      </c>
      <c r="Q133" t="s">
        <v>18132</v>
      </c>
    </row>
    <row r="134" spans="1:18" x14ac:dyDescent="0.2">
      <c r="A134" s="70" t="s">
        <v>2161</v>
      </c>
      <c r="B134" t="s">
        <v>4596</v>
      </c>
      <c r="C134" t="s">
        <v>2162</v>
      </c>
      <c r="D134" s="114" t="s">
        <v>2164</v>
      </c>
      <c r="E134" s="84" t="s">
        <v>19803</v>
      </c>
      <c r="F134" t="s">
        <v>2163</v>
      </c>
      <c r="G134" t="str">
        <f t="shared" si="6"/>
        <v>Clear Battle in Rovetelle Forest: Beginner (The Imperial Onslaught)</v>
      </c>
      <c r="H134" s="86" t="s">
        <v>1947</v>
      </c>
      <c r="I134" t="s">
        <v>330</v>
      </c>
      <c r="J134" s="84">
        <v>4</v>
      </c>
      <c r="K134" s="118">
        <v>43370</v>
      </c>
      <c r="L134" t="s">
        <v>18054</v>
      </c>
      <c r="M134" t="s">
        <v>13954</v>
      </c>
      <c r="N134" t="s">
        <v>19235</v>
      </c>
      <c r="O134" t="s">
        <v>18031</v>
      </c>
      <c r="P134">
        <v>1</v>
      </c>
      <c r="Q134" t="s">
        <v>19234</v>
      </c>
    </row>
    <row r="135" spans="1:18" x14ac:dyDescent="0.2">
      <c r="A135" s="70" t="s">
        <v>2175</v>
      </c>
      <c r="B135" t="s">
        <v>4596</v>
      </c>
      <c r="C135" t="s">
        <v>2176</v>
      </c>
      <c r="D135" s="114" t="s">
        <v>2178</v>
      </c>
      <c r="E135" s="84" t="s">
        <v>19804</v>
      </c>
      <c r="F135" t="s">
        <v>2177</v>
      </c>
      <c r="G135" t="str">
        <f>+N135</f>
        <v>Complete Tutorial</v>
      </c>
      <c r="H135" s="86" t="s">
        <v>1947</v>
      </c>
      <c r="I135" t="s">
        <v>330</v>
      </c>
      <c r="J135" s="84">
        <v>3</v>
      </c>
      <c r="K135" s="118">
        <v>43370</v>
      </c>
      <c r="L135" t="s">
        <v>18054</v>
      </c>
      <c r="M135" t="s">
        <v>13720</v>
      </c>
      <c r="N135" t="s">
        <v>276</v>
      </c>
      <c r="Q135" t="s">
        <v>137</v>
      </c>
    </row>
    <row r="136" spans="1:18" x14ac:dyDescent="0.2">
      <c r="A136" s="70" t="s">
        <v>2191</v>
      </c>
      <c r="B136" t="s">
        <v>4596</v>
      </c>
      <c r="C136" t="s">
        <v>2192</v>
      </c>
      <c r="D136" s="114" t="s">
        <v>2194</v>
      </c>
      <c r="E136" s="84" t="s">
        <v>19805</v>
      </c>
      <c r="F136" t="s">
        <v>2193</v>
      </c>
      <c r="G136" t="str">
        <f>IF(O136="","Clear "&amp;N136&amp;" ("&amp;M136&amp;")","Clear "&amp;N136&amp;": "&amp;O136&amp;" ("&amp;M136&amp;")")</f>
        <v>Clear The Angelic Herald: Standard (One Starry Dragonyule)</v>
      </c>
      <c r="H136" s="86" t="s">
        <v>1947</v>
      </c>
      <c r="I136" t="s">
        <v>429</v>
      </c>
      <c r="J136" s="84">
        <v>5</v>
      </c>
      <c r="K136" s="118">
        <v>44529</v>
      </c>
      <c r="L136" t="s">
        <v>18933</v>
      </c>
      <c r="M136" t="s">
        <v>14333</v>
      </c>
      <c r="N136" t="s">
        <v>19111</v>
      </c>
      <c r="O136" t="s">
        <v>18054</v>
      </c>
      <c r="P136">
        <v>1</v>
      </c>
      <c r="Q136" t="s">
        <v>19110</v>
      </c>
    </row>
    <row r="137" spans="1:18" x14ac:dyDescent="0.2">
      <c r="A137" s="70" t="s">
        <v>2208</v>
      </c>
      <c r="B137" t="s">
        <v>4596</v>
      </c>
      <c r="C137" t="s">
        <v>2209</v>
      </c>
      <c r="D137" s="114" t="s">
        <v>2211</v>
      </c>
      <c r="E137" s="84" t="s">
        <v>19806</v>
      </c>
      <c r="F137" t="s">
        <v>2210</v>
      </c>
      <c r="G137" t="str">
        <f>+"Clear "&amp;N137&amp;" of the Main Campaign ("&amp;O137&amp;")"</f>
        <v>Clear Ch. 18 5-3 of the Main Campaign (Normal)</v>
      </c>
      <c r="H137" s="86" t="s">
        <v>1947</v>
      </c>
      <c r="I137" t="s">
        <v>429</v>
      </c>
      <c r="J137" s="84">
        <v>5</v>
      </c>
      <c r="K137" s="118">
        <v>44282</v>
      </c>
      <c r="L137" t="s">
        <v>18054</v>
      </c>
      <c r="M137" t="s">
        <v>17513</v>
      </c>
      <c r="N137" t="s">
        <v>19807</v>
      </c>
      <c r="O137" t="s">
        <v>15731</v>
      </c>
      <c r="P137">
        <v>1</v>
      </c>
      <c r="Q137" t="s">
        <v>16946</v>
      </c>
    </row>
    <row r="138" spans="1:18" x14ac:dyDescent="0.2">
      <c r="A138" s="70" t="s">
        <v>2224</v>
      </c>
      <c r="B138" t="s">
        <v>4596</v>
      </c>
      <c r="C138" t="s">
        <v>2225</v>
      </c>
      <c r="D138" s="115" t="s">
        <v>2227</v>
      </c>
      <c r="E138" s="84" t="s">
        <v>19808</v>
      </c>
      <c r="F138" t="s">
        <v>2226</v>
      </c>
      <c r="G138" t="str">
        <f>IF(O138="","Clear "&amp;N138&amp;" ("&amp;M138&amp;")","Clear "&amp;N138&amp;": "&amp;O138&amp;" ("&amp;M138&amp;")")</f>
        <v>Clear Scylla Clash: Expert (Doomsday Getaway)</v>
      </c>
      <c r="H138" s="86" t="s">
        <v>1947</v>
      </c>
      <c r="I138" t="s">
        <v>429</v>
      </c>
      <c r="J138" s="84">
        <v>5</v>
      </c>
      <c r="K138" s="118">
        <v>44042</v>
      </c>
      <c r="L138" t="s">
        <v>18017</v>
      </c>
      <c r="M138" t="s">
        <v>14229</v>
      </c>
      <c r="N138" t="s">
        <v>18608</v>
      </c>
      <c r="O138" t="s">
        <v>18033</v>
      </c>
      <c r="P138">
        <v>2</v>
      </c>
      <c r="Q138" t="s">
        <v>18609</v>
      </c>
    </row>
    <row r="139" spans="1:18" x14ac:dyDescent="0.2">
      <c r="A139" s="70" t="s">
        <v>2240</v>
      </c>
      <c r="B139" t="s">
        <v>4596</v>
      </c>
      <c r="C139" t="s">
        <v>2241</v>
      </c>
      <c r="D139" s="114" t="s">
        <v>2243</v>
      </c>
      <c r="E139" s="84" t="s">
        <v>19809</v>
      </c>
      <c r="F139" t="s">
        <v>2242</v>
      </c>
      <c r="G139" t="str">
        <f>IF(O139="","Clear "&amp;N139&amp;" ("&amp;M139&amp;")","Clear "&amp;N139&amp;": "&amp;O139&amp;" ("&amp;M139&amp;")")</f>
        <v>Clear Tempest Chimera Strike: Standard (Void Battles)</v>
      </c>
      <c r="H139" s="86" t="s">
        <v>1947</v>
      </c>
      <c r="I139" t="s">
        <v>429</v>
      </c>
      <c r="J139" s="84">
        <v>5</v>
      </c>
      <c r="K139" s="118">
        <v>43636</v>
      </c>
      <c r="L139" t="s">
        <v>18054</v>
      </c>
      <c r="M139" t="s">
        <v>19374</v>
      </c>
      <c r="N139" t="s">
        <v>19445</v>
      </c>
      <c r="O139" t="s">
        <v>18054</v>
      </c>
      <c r="P139">
        <v>1</v>
      </c>
      <c r="Q139" t="s">
        <v>19444</v>
      </c>
    </row>
    <row r="140" spans="1:18" x14ac:dyDescent="0.2">
      <c r="A140" s="70" t="s">
        <v>2253</v>
      </c>
      <c r="B140" t="s">
        <v>4596</v>
      </c>
      <c r="C140" t="s">
        <v>2254</v>
      </c>
      <c r="D140" s="114" t="s">
        <v>2256</v>
      </c>
      <c r="E140" s="84" t="s">
        <v>19810</v>
      </c>
      <c r="F140" t="s">
        <v>2255</v>
      </c>
      <c r="G140" t="str">
        <f>IF(O140="","Clear "&amp;N140&amp;" ("&amp;M140&amp;")","Clear "&amp;N140&amp;": "&amp;O140&amp;" ("&amp;M140&amp;")")</f>
        <v>Clear Return to the Spring (Skyborne Spectacle)</v>
      </c>
      <c r="H140" s="86" t="s">
        <v>1947</v>
      </c>
      <c r="I140" t="s">
        <v>429</v>
      </c>
      <c r="J140" s="84">
        <v>4</v>
      </c>
      <c r="K140" s="118">
        <v>43496</v>
      </c>
      <c r="L140" t="s">
        <v>18017</v>
      </c>
      <c r="M140" t="s">
        <v>14028</v>
      </c>
      <c r="N140" t="s">
        <v>18162</v>
      </c>
      <c r="P140">
        <v>1</v>
      </c>
      <c r="Q140" t="s">
        <v>18161</v>
      </c>
    </row>
    <row r="141" spans="1:18" x14ac:dyDescent="0.2">
      <c r="A141" s="70" t="s">
        <v>2266</v>
      </c>
      <c r="B141" t="s">
        <v>4596</v>
      </c>
      <c r="C141" t="s">
        <v>2267</v>
      </c>
      <c r="D141" s="114" t="s">
        <v>2269</v>
      </c>
      <c r="E141" s="84" t="s">
        <v>19811</v>
      </c>
      <c r="F141" t="s">
        <v>2268</v>
      </c>
      <c r="G141" t="str">
        <f>+N141</f>
        <v>Complete Tutorial</v>
      </c>
      <c r="H141" s="86" t="s">
        <v>1947</v>
      </c>
      <c r="I141" t="s">
        <v>429</v>
      </c>
      <c r="J141" s="84">
        <v>3</v>
      </c>
      <c r="K141" s="118">
        <v>43370</v>
      </c>
      <c r="L141" t="s">
        <v>18054</v>
      </c>
      <c r="M141" t="s">
        <v>13720</v>
      </c>
      <c r="N141" t="s">
        <v>276</v>
      </c>
      <c r="Q141" t="s">
        <v>137</v>
      </c>
    </row>
    <row r="142" spans="1:18" x14ac:dyDescent="0.2">
      <c r="A142" s="70" t="s">
        <v>2282</v>
      </c>
      <c r="B142" t="s">
        <v>4596</v>
      </c>
      <c r="C142" t="s">
        <v>2283</v>
      </c>
      <c r="D142" s="114" t="s">
        <v>2285</v>
      </c>
      <c r="E142" s="84" t="s">
        <v>19812</v>
      </c>
      <c r="F142" t="s">
        <v>2284</v>
      </c>
      <c r="G142" t="str">
        <f>IF(O142="","Clear "&amp;N142&amp;" ("&amp;M142&amp;")","Clear "&amp;N142&amp;": "&amp;O142&amp;" ("&amp;M142&amp;")")</f>
        <v>Clear Tsukuyomi Clash: Nightmare (Celestial Showdown)</v>
      </c>
      <c r="H142" s="86" t="s">
        <v>1947</v>
      </c>
      <c r="I142" t="s">
        <v>543</v>
      </c>
      <c r="J142" s="84">
        <v>5</v>
      </c>
      <c r="K142" s="118">
        <v>44561</v>
      </c>
      <c r="L142" t="s">
        <v>18017</v>
      </c>
      <c r="M142" t="s">
        <v>14339</v>
      </c>
      <c r="N142" t="s">
        <v>19120</v>
      </c>
      <c r="O142" t="s">
        <v>18041</v>
      </c>
      <c r="P142">
        <v>4</v>
      </c>
      <c r="Q142" t="s">
        <v>19123</v>
      </c>
    </row>
    <row r="143" spans="1:18" x14ac:dyDescent="0.2">
      <c r="A143" s="70" t="s">
        <v>2298</v>
      </c>
      <c r="B143" t="s">
        <v>4596</v>
      </c>
      <c r="C143" t="s">
        <v>2299</v>
      </c>
      <c r="D143" s="114" t="s">
        <v>2301</v>
      </c>
      <c r="E143" s="84" t="s">
        <v>19813</v>
      </c>
      <c r="F143" t="s">
        <v>2300</v>
      </c>
      <c r="G143" t="str">
        <f>IF(O143="","Clear "&amp;N143&amp;" ("&amp;M143&amp;")","Clear "&amp;N143&amp;": "&amp;O143&amp;" ("&amp;M143&amp;")")</f>
        <v>Clear Tournament Finals (Fortune's Fray)</v>
      </c>
      <c r="H143" s="86" t="s">
        <v>1947</v>
      </c>
      <c r="I143" t="s">
        <v>543</v>
      </c>
      <c r="J143" s="84">
        <v>5</v>
      </c>
      <c r="K143" s="118">
        <v>44210</v>
      </c>
      <c r="L143" t="s">
        <v>18773</v>
      </c>
      <c r="M143" t="s">
        <v>18774</v>
      </c>
      <c r="N143" t="s">
        <v>19814</v>
      </c>
      <c r="P143">
        <v>4</v>
      </c>
      <c r="Q143" t="s">
        <v>18791</v>
      </c>
    </row>
    <row r="144" spans="1:18" x14ac:dyDescent="0.2">
      <c r="A144" s="70" t="s">
        <v>2314</v>
      </c>
      <c r="B144" t="s">
        <v>4596</v>
      </c>
      <c r="C144" t="s">
        <v>2315</v>
      </c>
      <c r="D144" s="115" t="s">
        <v>2317</v>
      </c>
      <c r="E144" s="84" t="s">
        <v>19815</v>
      </c>
      <c r="F144" t="s">
        <v>2316</v>
      </c>
      <c r="G144" t="str">
        <f>IF(O144="","Clear "&amp;N144&amp;" ("&amp;M144&amp;")","Clear "&amp;N144&amp;": "&amp;O144&amp;" ("&amp;M144&amp;")")</f>
        <v>Clear Assault on Admiral Pincers: Expert (Doomsday Getaway)</v>
      </c>
      <c r="H144" s="86" t="s">
        <v>1947</v>
      </c>
      <c r="I144" t="s">
        <v>543</v>
      </c>
      <c r="J144" s="84">
        <v>5</v>
      </c>
      <c r="K144" s="118">
        <v>44040</v>
      </c>
      <c r="L144" t="s">
        <v>18017</v>
      </c>
      <c r="M144" t="s">
        <v>14229</v>
      </c>
      <c r="N144" t="s">
        <v>18605</v>
      </c>
      <c r="O144" t="s">
        <v>18033</v>
      </c>
      <c r="P144">
        <v>2</v>
      </c>
      <c r="Q144" t="s">
        <v>18606</v>
      </c>
    </row>
    <row r="145" spans="1:17" x14ac:dyDescent="0.2">
      <c r="A145" s="70" t="s">
        <v>2326</v>
      </c>
      <c r="B145" t="s">
        <v>4596</v>
      </c>
      <c r="C145" t="s">
        <v>2327</v>
      </c>
      <c r="D145" s="115" t="s">
        <v>2329</v>
      </c>
      <c r="E145" s="84" t="s">
        <v>19816</v>
      </c>
      <c r="F145" t="s">
        <v>2328</v>
      </c>
      <c r="G145" t="str">
        <f>IF(O145="","Clear "&amp;N145&amp;" ("&amp;M145&amp;")","Clear "&amp;N145&amp;": "&amp;O145&amp;" ("&amp;M145&amp;")")</f>
        <v>Clear All-Out Assault: Beginner (Valentine's Confections)</v>
      </c>
      <c r="H145" s="86" t="s">
        <v>1947</v>
      </c>
      <c r="I145" t="s">
        <v>543</v>
      </c>
      <c r="J145" s="84">
        <v>5</v>
      </c>
      <c r="K145" s="118">
        <v>43875</v>
      </c>
      <c r="L145" t="s">
        <v>18175</v>
      </c>
      <c r="M145" t="s">
        <v>14038</v>
      </c>
      <c r="N145" t="s">
        <v>19643</v>
      </c>
      <c r="O145" t="s">
        <v>18031</v>
      </c>
      <c r="P145">
        <v>1</v>
      </c>
      <c r="Q145" t="s">
        <v>18179</v>
      </c>
    </row>
    <row r="146" spans="1:17" x14ac:dyDescent="0.2">
      <c r="A146" s="70" t="s">
        <v>2339</v>
      </c>
      <c r="B146" t="s">
        <v>4596</v>
      </c>
      <c r="C146" t="s">
        <v>2340</v>
      </c>
      <c r="D146" s="114" t="s">
        <v>2342</v>
      </c>
      <c r="E146" s="84" t="s">
        <v>19817</v>
      </c>
      <c r="F146" t="s">
        <v>2341</v>
      </c>
      <c r="G146" t="str">
        <f>IF(O146="","Clear "&amp;N146&amp;" ("&amp;M146&amp;")","Clear "&amp;N146&amp;": "&amp;O146&amp;" ("&amp;M146&amp;")")</f>
        <v>Clear Valfarre Clash: Nightmare (Skyborne Spectacle)</v>
      </c>
      <c r="H146" s="86" t="s">
        <v>1947</v>
      </c>
      <c r="I146" t="s">
        <v>543</v>
      </c>
      <c r="J146" s="84">
        <v>5</v>
      </c>
      <c r="K146" s="118">
        <v>43496</v>
      </c>
      <c r="L146" t="s">
        <v>18017</v>
      </c>
      <c r="M146" t="s">
        <v>14028</v>
      </c>
      <c r="N146" t="s">
        <v>18169</v>
      </c>
      <c r="O146" t="s">
        <v>18041</v>
      </c>
      <c r="P146">
        <v>4</v>
      </c>
      <c r="Q146" t="s">
        <v>18172</v>
      </c>
    </row>
    <row r="147" spans="1:17" x14ac:dyDescent="0.2">
      <c r="A147" s="70" t="s">
        <v>2353</v>
      </c>
      <c r="B147" t="s">
        <v>4596</v>
      </c>
      <c r="C147" t="s">
        <v>2354</v>
      </c>
      <c r="D147" s="114" t="s">
        <v>2356</v>
      </c>
      <c r="E147" s="84" t="s">
        <v>19818</v>
      </c>
      <c r="F147" t="s">
        <v>2355</v>
      </c>
      <c r="G147" t="str">
        <f>+"Clear "&amp;N147&amp;" of the Main Campaign ("&amp;O147&amp;")"</f>
        <v>Clear Ch. 01 2-3 of the Main Campaign (Normal)</v>
      </c>
      <c r="H147" s="86" t="s">
        <v>1947</v>
      </c>
      <c r="I147" t="s">
        <v>543</v>
      </c>
      <c r="J147" s="84">
        <v>4</v>
      </c>
      <c r="K147" s="118">
        <v>43370</v>
      </c>
      <c r="L147" t="s">
        <v>18054</v>
      </c>
      <c r="M147" t="s">
        <v>17513</v>
      </c>
      <c r="N147" t="s">
        <v>19819</v>
      </c>
      <c r="O147" t="s">
        <v>15731</v>
      </c>
      <c r="P147">
        <v>1</v>
      </c>
      <c r="Q147" t="s">
        <v>15765</v>
      </c>
    </row>
    <row r="148" spans="1:17" x14ac:dyDescent="0.2">
      <c r="A148" s="70" t="s">
        <v>2367</v>
      </c>
      <c r="B148" t="s">
        <v>4596</v>
      </c>
      <c r="C148" t="s">
        <v>2368</v>
      </c>
      <c r="D148" s="115" t="s">
        <v>2370</v>
      </c>
      <c r="E148" s="84" t="s">
        <v>19820</v>
      </c>
      <c r="F148" t="s">
        <v>2369</v>
      </c>
      <c r="G148" t="str">
        <f>"Clear "&amp;N148&amp;": "&amp;O148</f>
        <v>Clear Windmaul Ruins: Standard</v>
      </c>
      <c r="H148" s="86" t="s">
        <v>1947</v>
      </c>
      <c r="I148" t="s">
        <v>543</v>
      </c>
      <c r="J148" s="84">
        <v>3</v>
      </c>
      <c r="K148" s="118">
        <v>43370</v>
      </c>
      <c r="L148" t="s">
        <v>18054</v>
      </c>
      <c r="M148" t="s">
        <v>14035</v>
      </c>
      <c r="N148" t="s">
        <v>19178</v>
      </c>
      <c r="O148" t="s">
        <v>18054</v>
      </c>
      <c r="P148">
        <v>3</v>
      </c>
      <c r="Q148" t="s">
        <v>19180</v>
      </c>
    </row>
    <row r="149" spans="1:17" x14ac:dyDescent="0.2">
      <c r="A149" s="70" t="s">
        <v>2382</v>
      </c>
      <c r="B149" t="s">
        <v>4596</v>
      </c>
      <c r="C149" t="s">
        <v>2383</v>
      </c>
      <c r="D149" s="114" t="s">
        <v>2385</v>
      </c>
      <c r="E149" s="84" t="s">
        <v>19821</v>
      </c>
      <c r="F149" t="s">
        <v>2384</v>
      </c>
      <c r="G149" t="str">
        <f t="shared" ref="G149:G163" si="7">IF(O149="","Clear "&amp;N149&amp;" ("&amp;M149&amp;")","Clear "&amp;N149&amp;": "&amp;O149&amp;" ("&amp;M149&amp;")")</f>
        <v>Clear A Twisted Hero: Standard (The Blood That Binds)</v>
      </c>
      <c r="H149" s="86" t="s">
        <v>1947</v>
      </c>
      <c r="I149" t="s">
        <v>645</v>
      </c>
      <c r="J149" s="84">
        <v>5</v>
      </c>
      <c r="K149" s="118">
        <v>44596</v>
      </c>
      <c r="L149" t="s">
        <v>18933</v>
      </c>
      <c r="M149" t="s">
        <v>14343</v>
      </c>
      <c r="N149" t="s">
        <v>19132</v>
      </c>
      <c r="O149" t="s">
        <v>18054</v>
      </c>
      <c r="P149">
        <v>1</v>
      </c>
      <c r="Q149" t="s">
        <v>19131</v>
      </c>
    </row>
    <row r="150" spans="1:17" x14ac:dyDescent="0.2">
      <c r="A150" s="70" t="s">
        <v>2398</v>
      </c>
      <c r="B150" t="s">
        <v>4596</v>
      </c>
      <c r="C150" t="s">
        <v>2399</v>
      </c>
      <c r="D150" s="114" t="s">
        <v>2401</v>
      </c>
      <c r="E150" s="84" t="s">
        <v>19822</v>
      </c>
      <c r="F150" t="s">
        <v>2400</v>
      </c>
      <c r="G150" t="str">
        <f t="shared" si="7"/>
        <v>Clear The Underworld's Offensive (Celestial Showdown)</v>
      </c>
      <c r="H150" s="86" t="s">
        <v>1947</v>
      </c>
      <c r="I150" t="s">
        <v>645</v>
      </c>
      <c r="J150" s="84">
        <v>5</v>
      </c>
      <c r="K150" s="118">
        <v>44561</v>
      </c>
      <c r="L150" t="s">
        <v>18017</v>
      </c>
      <c r="M150" t="s">
        <v>14339</v>
      </c>
      <c r="N150" t="s">
        <v>19115</v>
      </c>
      <c r="P150">
        <v>1</v>
      </c>
      <c r="Q150" t="s">
        <v>19114</v>
      </c>
    </row>
    <row r="151" spans="1:17" x14ac:dyDescent="0.2">
      <c r="A151" s="70" t="s">
        <v>2411</v>
      </c>
      <c r="B151" t="s">
        <v>4596</v>
      </c>
      <c r="C151" t="s">
        <v>2412</v>
      </c>
      <c r="D151" s="114" t="s">
        <v>2414</v>
      </c>
      <c r="E151" s="84" t="s">
        <v>19823</v>
      </c>
      <c r="F151" t="s">
        <v>2413</v>
      </c>
      <c r="G151" t="str">
        <f t="shared" si="7"/>
        <v>Clear Roar of the Mad Cyclone (Rage of Chronos)</v>
      </c>
      <c r="H151" s="86" t="s">
        <v>1947</v>
      </c>
      <c r="I151" t="s">
        <v>645</v>
      </c>
      <c r="J151" s="84">
        <v>5</v>
      </c>
      <c r="K151" s="118">
        <v>44319</v>
      </c>
      <c r="L151" t="s">
        <v>18017</v>
      </c>
      <c r="M151" t="s">
        <v>14298</v>
      </c>
      <c r="N151" t="s">
        <v>18913</v>
      </c>
      <c r="P151">
        <v>1</v>
      </c>
      <c r="Q151" t="s">
        <v>18912</v>
      </c>
    </row>
    <row r="152" spans="1:17" x14ac:dyDescent="0.2">
      <c r="A152" s="70" t="s">
        <v>2426</v>
      </c>
      <c r="B152" t="s">
        <v>4596</v>
      </c>
      <c r="C152" t="s">
        <v>2427</v>
      </c>
      <c r="D152" s="114" t="s">
        <v>2429</v>
      </c>
      <c r="E152" s="84" t="s">
        <v>19824</v>
      </c>
      <c r="F152" t="s">
        <v>2428</v>
      </c>
      <c r="G152" t="str">
        <f t="shared" si="7"/>
        <v>Clear All-Out Assault: EX (Postmortem Panic)</v>
      </c>
      <c r="H152" s="86" t="s">
        <v>1947</v>
      </c>
      <c r="I152" t="s">
        <v>645</v>
      </c>
      <c r="J152" s="84">
        <v>5</v>
      </c>
      <c r="K152" s="118">
        <v>44120</v>
      </c>
      <c r="L152" t="s">
        <v>18560</v>
      </c>
      <c r="M152" t="s">
        <v>14252</v>
      </c>
      <c r="N152" t="s">
        <v>19643</v>
      </c>
      <c r="O152" t="s">
        <v>18039</v>
      </c>
      <c r="P152">
        <v>5</v>
      </c>
      <c r="Q152" t="s">
        <v>18691</v>
      </c>
    </row>
    <row r="153" spans="1:17" x14ac:dyDescent="0.2">
      <c r="A153" s="70" t="s">
        <v>2439</v>
      </c>
      <c r="B153" t="s">
        <v>4596</v>
      </c>
      <c r="C153" t="s">
        <v>2440</v>
      </c>
      <c r="D153" s="114" t="s">
        <v>2442</v>
      </c>
      <c r="E153" s="84" t="s">
        <v>19825</v>
      </c>
      <c r="F153" t="s">
        <v>2441</v>
      </c>
      <c r="G153" t="str">
        <f t="shared" si="7"/>
        <v>Clear Wind Legion's Trial: Standard (Trials of the Mighty)</v>
      </c>
      <c r="H153" s="86" t="s">
        <v>1947</v>
      </c>
      <c r="I153" t="s">
        <v>645</v>
      </c>
      <c r="J153" s="84">
        <v>5</v>
      </c>
      <c r="K153" s="118">
        <v>43844</v>
      </c>
      <c r="L153" t="s">
        <v>18054</v>
      </c>
      <c r="M153" t="s">
        <v>19456</v>
      </c>
      <c r="N153" s="86" t="s">
        <v>19553</v>
      </c>
      <c r="O153" t="s">
        <v>18054</v>
      </c>
      <c r="P153">
        <v>1</v>
      </c>
      <c r="Q153" t="s">
        <v>19552</v>
      </c>
    </row>
    <row r="154" spans="1:17" x14ac:dyDescent="0.2">
      <c r="A154" s="70" t="s">
        <v>2454</v>
      </c>
      <c r="B154" t="s">
        <v>4596</v>
      </c>
      <c r="C154" t="s">
        <v>2455</v>
      </c>
      <c r="D154" s="114" t="s">
        <v>2457</v>
      </c>
      <c r="E154" s="84" t="s">
        <v>19826</v>
      </c>
      <c r="F154" t="s">
        <v>2456</v>
      </c>
      <c r="G154" t="str">
        <f t="shared" si="7"/>
        <v>Clear Full-Bloom Festivities: Master (The Hunt for Harmony)</v>
      </c>
      <c r="H154" s="86" t="s">
        <v>1947</v>
      </c>
      <c r="I154" t="s">
        <v>645</v>
      </c>
      <c r="J154" s="84">
        <v>5</v>
      </c>
      <c r="K154" s="118">
        <v>43573</v>
      </c>
      <c r="L154" t="s">
        <v>18046</v>
      </c>
      <c r="M154" t="s">
        <v>14065</v>
      </c>
      <c r="N154" t="s">
        <v>18238</v>
      </c>
      <c r="O154" t="s">
        <v>18061</v>
      </c>
      <c r="P154">
        <v>2</v>
      </c>
      <c r="Q154" t="s">
        <v>18239</v>
      </c>
    </row>
    <row r="155" spans="1:17" x14ac:dyDescent="0.2">
      <c r="A155" s="70" t="s">
        <v>2466</v>
      </c>
      <c r="B155" t="s">
        <v>4596</v>
      </c>
      <c r="C155" t="s">
        <v>2467</v>
      </c>
      <c r="D155" s="114" t="s">
        <v>2469</v>
      </c>
      <c r="E155" s="84" t="s">
        <v>19827</v>
      </c>
      <c r="F155" t="s">
        <v>2468</v>
      </c>
      <c r="G155" t="str">
        <f t="shared" si="7"/>
        <v>Clear Banishing the Darkness Within (Resplendent Refrain)</v>
      </c>
      <c r="H155" s="86" t="s">
        <v>1947</v>
      </c>
      <c r="I155" t="s">
        <v>645</v>
      </c>
      <c r="J155" s="84">
        <v>4</v>
      </c>
      <c r="K155" s="118">
        <v>43434</v>
      </c>
      <c r="L155" t="s">
        <v>18017</v>
      </c>
      <c r="M155" t="s">
        <v>13990</v>
      </c>
      <c r="N155" t="s">
        <v>18103</v>
      </c>
      <c r="P155">
        <v>1</v>
      </c>
      <c r="Q155" t="s">
        <v>18102</v>
      </c>
    </row>
    <row r="156" spans="1:17" x14ac:dyDescent="0.2">
      <c r="A156" s="70" t="s">
        <v>2482</v>
      </c>
      <c r="B156" t="s">
        <v>4596</v>
      </c>
      <c r="C156" t="s">
        <v>2483</v>
      </c>
      <c r="D156" s="114" t="s">
        <v>2485</v>
      </c>
      <c r="E156" s="84" t="s">
        <v>19828</v>
      </c>
      <c r="F156" t="s">
        <v>2484</v>
      </c>
      <c r="G156" t="str">
        <f t="shared" si="7"/>
        <v>Clear The Mercurial Gauntlet (Wind): Lv. 30 (The Mercurial Gauntlet)</v>
      </c>
      <c r="H156" s="86" t="s">
        <v>1947</v>
      </c>
      <c r="I156" t="s">
        <v>645</v>
      </c>
      <c r="J156" s="84">
        <v>4</v>
      </c>
      <c r="K156" s="118">
        <v>43370</v>
      </c>
      <c r="L156" t="s">
        <v>18054</v>
      </c>
      <c r="M156" t="s">
        <v>19636</v>
      </c>
      <c r="N156" s="86" t="s">
        <v>19793</v>
      </c>
      <c r="O156" t="s">
        <v>19640</v>
      </c>
      <c r="Q156" t="s">
        <v>137</v>
      </c>
    </row>
    <row r="157" spans="1:17" x14ac:dyDescent="0.2">
      <c r="A157" s="70" t="s">
        <v>2494</v>
      </c>
      <c r="B157" t="s">
        <v>4596</v>
      </c>
      <c r="C157" t="s">
        <v>2495</v>
      </c>
      <c r="D157" s="114" t="s">
        <v>2497</v>
      </c>
      <c r="E157" s="84" t="s">
        <v>19829</v>
      </c>
      <c r="F157" t="s">
        <v>2496</v>
      </c>
      <c r="G157" t="str">
        <f t="shared" si="7"/>
        <v>Clear Elysium Clash (Dawn of Dragalia)</v>
      </c>
      <c r="H157" s="86" t="s">
        <v>1947</v>
      </c>
      <c r="I157" t="s">
        <v>759</v>
      </c>
      <c r="J157" s="84">
        <v>5</v>
      </c>
      <c r="K157" s="118">
        <v>44282</v>
      </c>
      <c r="L157" t="s">
        <v>18017</v>
      </c>
      <c r="M157" t="s">
        <v>14293</v>
      </c>
      <c r="N157" t="s">
        <v>18872</v>
      </c>
      <c r="P157">
        <v>1</v>
      </c>
      <c r="Q157" t="s">
        <v>18871</v>
      </c>
    </row>
    <row r="158" spans="1:17" x14ac:dyDescent="0.2">
      <c r="A158" s="70" t="s">
        <v>2509</v>
      </c>
      <c r="B158" t="s">
        <v>4596</v>
      </c>
      <c r="C158" t="s">
        <v>2510</v>
      </c>
      <c r="D158" s="86" t="s">
        <v>2512</v>
      </c>
      <c r="E158" s="84" t="s">
        <v>19830</v>
      </c>
      <c r="F158" t="s">
        <v>2511</v>
      </c>
      <c r="G158" t="str">
        <f t="shared" si="7"/>
        <v>Clear All-Out Assault: Master (Romance Under Siege)</v>
      </c>
      <c r="H158" s="86" t="s">
        <v>1947</v>
      </c>
      <c r="I158" t="s">
        <v>759</v>
      </c>
      <c r="J158" s="84">
        <v>5</v>
      </c>
      <c r="K158" s="118">
        <v>44239</v>
      </c>
      <c r="L158" t="s">
        <v>18560</v>
      </c>
      <c r="M158" t="s">
        <v>14283</v>
      </c>
      <c r="N158" t="s">
        <v>19643</v>
      </c>
      <c r="O158" t="s">
        <v>18061</v>
      </c>
      <c r="P158">
        <v>4</v>
      </c>
      <c r="Q158" t="s">
        <v>18837</v>
      </c>
    </row>
    <row r="159" spans="1:17" x14ac:dyDescent="0.2">
      <c r="A159" s="70" t="s">
        <v>2525</v>
      </c>
      <c r="B159" t="s">
        <v>4596</v>
      </c>
      <c r="C159" t="s">
        <v>2526</v>
      </c>
      <c r="D159" s="114" t="s">
        <v>2528</v>
      </c>
      <c r="E159" s="84" t="s">
        <v>19831</v>
      </c>
      <c r="F159" t="s">
        <v>2527</v>
      </c>
      <c r="G159" t="str">
        <f t="shared" si="7"/>
        <v>Clear Morsayati Clash: Expert (Forgotten Truths)</v>
      </c>
      <c r="H159" s="86" t="s">
        <v>1947</v>
      </c>
      <c r="I159" t="s">
        <v>759</v>
      </c>
      <c r="J159" s="84">
        <v>5</v>
      </c>
      <c r="K159" s="118">
        <v>44104</v>
      </c>
      <c r="L159" t="s">
        <v>18017</v>
      </c>
      <c r="M159" t="s">
        <v>14245</v>
      </c>
      <c r="N159" t="s">
        <v>18669</v>
      </c>
      <c r="O159" t="s">
        <v>18033</v>
      </c>
      <c r="P159">
        <v>2</v>
      </c>
      <c r="Q159" t="s">
        <v>18670</v>
      </c>
    </row>
    <row r="160" spans="1:17" x14ac:dyDescent="0.2">
      <c r="A160" s="70" t="s">
        <v>2539</v>
      </c>
      <c r="B160" t="s">
        <v>4596</v>
      </c>
      <c r="C160" t="s">
        <v>2540</v>
      </c>
      <c r="D160" s="114" t="s">
        <v>2542</v>
      </c>
      <c r="E160" s="84" t="s">
        <v>19832</v>
      </c>
      <c r="F160" t="s">
        <v>2541</v>
      </c>
      <c r="G160" t="str">
        <f t="shared" si="7"/>
        <v>Clear Battle in Rovetelle Forest: Expert (The Imperial Onslaught)</v>
      </c>
      <c r="H160" s="86" t="s">
        <v>1947</v>
      </c>
      <c r="I160" t="s">
        <v>759</v>
      </c>
      <c r="J160" s="84">
        <v>5</v>
      </c>
      <c r="K160" s="118">
        <v>43370</v>
      </c>
      <c r="L160" t="s">
        <v>18054</v>
      </c>
      <c r="M160" t="s">
        <v>13954</v>
      </c>
      <c r="N160" t="s">
        <v>19235</v>
      </c>
      <c r="O160" t="s">
        <v>18033</v>
      </c>
      <c r="P160">
        <v>3</v>
      </c>
      <c r="Q160" t="s">
        <v>19238</v>
      </c>
    </row>
    <row r="161" spans="1:18" x14ac:dyDescent="0.2">
      <c r="A161" s="70" t="s">
        <v>2552</v>
      </c>
      <c r="B161" t="s">
        <v>4596</v>
      </c>
      <c r="C161" t="s">
        <v>2553</v>
      </c>
      <c r="D161" s="115" t="s">
        <v>2555</v>
      </c>
      <c r="E161" s="84" t="s">
        <v>19833</v>
      </c>
      <c r="F161" t="s">
        <v>2554</v>
      </c>
      <c r="G161" t="str">
        <f t="shared" si="7"/>
        <v>Clear Ruler of the Shore: Master (A Wish to the Winds)</v>
      </c>
      <c r="H161" s="86" t="s">
        <v>1947</v>
      </c>
      <c r="I161" t="s">
        <v>759</v>
      </c>
      <c r="J161" s="84">
        <v>5</v>
      </c>
      <c r="K161" s="118">
        <v>43419</v>
      </c>
      <c r="L161" t="s">
        <v>18046</v>
      </c>
      <c r="M161" t="s">
        <v>13983</v>
      </c>
      <c r="N161" t="s">
        <v>18092</v>
      </c>
      <c r="O161" t="s">
        <v>18061</v>
      </c>
      <c r="P161">
        <v>2</v>
      </c>
      <c r="Q161" t="s">
        <v>18093</v>
      </c>
    </row>
    <row r="162" spans="1:18" x14ac:dyDescent="0.2">
      <c r="A162" s="70" t="s">
        <v>2565</v>
      </c>
      <c r="B162" t="s">
        <v>4596</v>
      </c>
      <c r="C162" t="s">
        <v>2566</v>
      </c>
      <c r="D162" s="114" t="s">
        <v>2568</v>
      </c>
      <c r="E162" s="84" t="s">
        <v>19834</v>
      </c>
      <c r="F162" t="s">
        <v>2567</v>
      </c>
      <c r="G162" t="str">
        <f t="shared" si="7"/>
        <v>Clear Shroom Strikes (all elements) (Void Battles)</v>
      </c>
      <c r="H162" s="86" t="s">
        <v>1947</v>
      </c>
      <c r="I162" t="s">
        <v>759</v>
      </c>
      <c r="J162" s="84">
        <v>4</v>
      </c>
      <c r="K162" s="118">
        <v>43844</v>
      </c>
      <c r="L162" t="s">
        <v>18054</v>
      </c>
      <c r="M162" t="s">
        <v>19374</v>
      </c>
      <c r="N162" t="s">
        <v>19835</v>
      </c>
      <c r="Q162" t="s">
        <v>137</v>
      </c>
      <c r="R162" t="s">
        <v>19669</v>
      </c>
    </row>
    <row r="163" spans="1:18" x14ac:dyDescent="0.2">
      <c r="A163" s="70" t="s">
        <v>2578</v>
      </c>
      <c r="B163" t="s">
        <v>4596</v>
      </c>
      <c r="C163" t="s">
        <v>2579</v>
      </c>
      <c r="D163" s="114" t="s">
        <v>2581</v>
      </c>
      <c r="E163" s="84" t="s">
        <v>19836</v>
      </c>
      <c r="F163" t="s">
        <v>2580</v>
      </c>
      <c r="G163" t="str">
        <f t="shared" si="7"/>
        <v>Clear Battle in Rovetelle Forest: Standard (The Imperial Onslaught)</v>
      </c>
      <c r="H163" s="86" t="s">
        <v>1947</v>
      </c>
      <c r="I163" t="s">
        <v>759</v>
      </c>
      <c r="J163" s="84">
        <v>4</v>
      </c>
      <c r="K163" s="118">
        <v>43370</v>
      </c>
      <c r="L163" t="s">
        <v>18054</v>
      </c>
      <c r="M163" t="s">
        <v>13954</v>
      </c>
      <c r="N163" t="s">
        <v>19235</v>
      </c>
      <c r="O163" t="s">
        <v>18054</v>
      </c>
      <c r="P163">
        <v>2</v>
      </c>
      <c r="Q163" t="s">
        <v>19236</v>
      </c>
    </row>
    <row r="164" spans="1:18" x14ac:dyDescent="0.2">
      <c r="A164" s="70" t="s">
        <v>2593</v>
      </c>
      <c r="B164" t="s">
        <v>4596</v>
      </c>
      <c r="C164" t="s">
        <v>2594</v>
      </c>
      <c r="D164" s="114" t="s">
        <v>2596</v>
      </c>
      <c r="E164" s="84" t="s">
        <v>19837</v>
      </c>
      <c r="F164" t="s">
        <v>2595</v>
      </c>
      <c r="G164" t="str">
        <f>"Clear "&amp;N164&amp;": "&amp;O164</f>
        <v>Clear Windmaul Ruins: Beginner</v>
      </c>
      <c r="H164" s="86" t="s">
        <v>1947</v>
      </c>
      <c r="I164" t="s">
        <v>759</v>
      </c>
      <c r="J164" s="84">
        <v>3</v>
      </c>
      <c r="K164" s="118">
        <v>43370</v>
      </c>
      <c r="L164" t="s">
        <v>18054</v>
      </c>
      <c r="M164" t="s">
        <v>14035</v>
      </c>
      <c r="N164" t="s">
        <v>19178</v>
      </c>
      <c r="O164" t="s">
        <v>18031</v>
      </c>
      <c r="P164">
        <v>1</v>
      </c>
      <c r="Q164" t="s">
        <v>19177</v>
      </c>
    </row>
    <row r="165" spans="1:18" x14ac:dyDescent="0.2">
      <c r="A165" s="70" t="s">
        <v>2611</v>
      </c>
      <c r="B165" t="s">
        <v>4596</v>
      </c>
      <c r="C165" t="s">
        <v>2612</v>
      </c>
      <c r="D165" s="114" t="s">
        <v>2614</v>
      </c>
      <c r="E165" s="84" t="s">
        <v>19838</v>
      </c>
      <c r="F165" t="s">
        <v>2613</v>
      </c>
      <c r="G165" t="str">
        <f>IF(O165="","Clear "&amp;N165&amp;" ("&amp;M165&amp;")","Clear "&amp;N165&amp;": "&amp;O165&amp;" ("&amp;M165&amp;")")</f>
        <v>Clear Basileus's Trial: Standard (Faith Forsaken (Part Two))</v>
      </c>
      <c r="H165" s="86" t="s">
        <v>1947</v>
      </c>
      <c r="I165" t="s">
        <v>839</v>
      </c>
      <c r="J165" s="84">
        <v>5</v>
      </c>
      <c r="K165" s="118">
        <v>44484</v>
      </c>
      <c r="L165" t="s">
        <v>18017</v>
      </c>
      <c r="M165" t="s">
        <v>14583</v>
      </c>
      <c r="N165" t="s">
        <v>19075</v>
      </c>
      <c r="O165" t="s">
        <v>18054</v>
      </c>
      <c r="P165">
        <v>1</v>
      </c>
      <c r="Q165" t="s">
        <v>19074</v>
      </c>
    </row>
    <row r="166" spans="1:18" x14ac:dyDescent="0.2">
      <c r="A166" s="70" t="s">
        <v>2627</v>
      </c>
      <c r="B166" t="s">
        <v>4596</v>
      </c>
      <c r="C166" t="s">
        <v>2628</v>
      </c>
      <c r="D166" s="114" t="s">
        <v>2630</v>
      </c>
      <c r="E166" s="84" t="s">
        <v>19839</v>
      </c>
      <c r="F166" t="s">
        <v>2629</v>
      </c>
      <c r="G166" t="str">
        <f>IF(O166="","Clear "&amp;N166&amp;" ("&amp;M166&amp;")","Clear "&amp;N166&amp;": "&amp;O166&amp;" ("&amp;M166&amp;")")</f>
        <v>Clear Repelling Imperial Forces: Expert (Dawn of Dragalia)</v>
      </c>
      <c r="H166" s="86" t="s">
        <v>1947</v>
      </c>
      <c r="I166" t="s">
        <v>839</v>
      </c>
      <c r="J166" s="84">
        <v>5</v>
      </c>
      <c r="K166" s="118">
        <v>44282</v>
      </c>
      <c r="L166" t="s">
        <v>18017</v>
      </c>
      <c r="M166" t="s">
        <v>14293</v>
      </c>
      <c r="N166" t="s">
        <v>18874</v>
      </c>
      <c r="O166" t="s">
        <v>18033</v>
      </c>
      <c r="P166">
        <v>2</v>
      </c>
      <c r="Q166" t="s">
        <v>18875</v>
      </c>
    </row>
    <row r="167" spans="1:18" x14ac:dyDescent="0.2">
      <c r="A167" s="70" t="s">
        <v>2643</v>
      </c>
      <c r="B167" t="s">
        <v>4596</v>
      </c>
      <c r="C167" t="s">
        <v>2644</v>
      </c>
      <c r="D167" s="115" t="s">
        <v>2646</v>
      </c>
      <c r="E167" s="84" t="s">
        <v>19840</v>
      </c>
      <c r="F167" t="s">
        <v>2645</v>
      </c>
      <c r="G167" t="str">
        <f>IF(O167="","Clear "&amp;N167&amp;" ("&amp;M167&amp;")","Clear "&amp;N167&amp;": "&amp;O167&amp;" ("&amp;M167&amp;")")</f>
        <v>Clear Scylla Clash: Nightmare (Doomsday Getaway)</v>
      </c>
      <c r="H167" s="86" t="s">
        <v>1947</v>
      </c>
      <c r="I167" t="s">
        <v>839</v>
      </c>
      <c r="J167" s="84">
        <v>5</v>
      </c>
      <c r="K167" s="118">
        <v>44042</v>
      </c>
      <c r="L167" t="s">
        <v>18017</v>
      </c>
      <c r="M167" t="s">
        <v>14229</v>
      </c>
      <c r="N167" t="s">
        <v>18608</v>
      </c>
      <c r="O167" t="s">
        <v>18041</v>
      </c>
      <c r="P167">
        <v>4</v>
      </c>
      <c r="Q167" t="s">
        <v>18611</v>
      </c>
    </row>
    <row r="168" spans="1:18" x14ac:dyDescent="0.2">
      <c r="A168" s="70" t="s">
        <v>2656</v>
      </c>
      <c r="B168" t="s">
        <v>4596</v>
      </c>
      <c r="C168" t="s">
        <v>2657</v>
      </c>
      <c r="D168" s="114" t="s">
        <v>2659</v>
      </c>
      <c r="E168" s="84" t="s">
        <v>19841</v>
      </c>
      <c r="F168" t="s">
        <v>2658</v>
      </c>
      <c r="G168" t="str">
        <f>"Clear "&amp;N168&amp;": "&amp;O168</f>
        <v>Clear Windmaul Ruins: Expert</v>
      </c>
      <c r="H168" s="86" t="s">
        <v>1947</v>
      </c>
      <c r="I168" t="s">
        <v>839</v>
      </c>
      <c r="J168" s="84">
        <v>5</v>
      </c>
      <c r="K168" s="118">
        <v>43370</v>
      </c>
      <c r="L168" t="s">
        <v>18054</v>
      </c>
      <c r="M168" t="s">
        <v>14035</v>
      </c>
      <c r="N168" t="s">
        <v>19178</v>
      </c>
      <c r="O168" t="s">
        <v>18033</v>
      </c>
      <c r="P168">
        <v>2</v>
      </c>
      <c r="Q168" t="s">
        <v>19179</v>
      </c>
    </row>
    <row r="169" spans="1:18" x14ac:dyDescent="0.2">
      <c r="A169" s="70" t="s">
        <v>2669</v>
      </c>
      <c r="B169" t="s">
        <v>4596</v>
      </c>
      <c r="C169" t="s">
        <v>2670</v>
      </c>
      <c r="D169" s="114" t="s">
        <v>2672</v>
      </c>
      <c r="E169" s="84" t="s">
        <v>19842</v>
      </c>
      <c r="F169" t="s">
        <v>2671</v>
      </c>
      <c r="G169" t="str">
        <f>IF(O169="",N169&amp;" ("&amp;M169&amp;")",N169&amp;": "&amp;O169&amp;" ("&amp;M169&amp;")")</f>
        <v>Upgrade the Yuletree to Lv. 20 (The Miracle of Dragonyule)</v>
      </c>
      <c r="H169" s="86" t="s">
        <v>1947</v>
      </c>
      <c r="I169" t="s">
        <v>839</v>
      </c>
      <c r="J169" s="84">
        <v>4</v>
      </c>
      <c r="K169" s="118">
        <v>43811</v>
      </c>
      <c r="L169" t="s">
        <v>18046</v>
      </c>
      <c r="M169" t="s">
        <v>14001</v>
      </c>
      <c r="N169" t="s">
        <v>19843</v>
      </c>
      <c r="Q169" t="s">
        <v>19773</v>
      </c>
    </row>
    <row r="170" spans="1:18" x14ac:dyDescent="0.2">
      <c r="A170" s="70" t="s">
        <v>2682</v>
      </c>
      <c r="B170" t="s">
        <v>4596</v>
      </c>
      <c r="C170" t="s">
        <v>2683</v>
      </c>
      <c r="D170" s="114" t="s">
        <v>2685</v>
      </c>
      <c r="E170" s="84" t="s">
        <v>19844</v>
      </c>
      <c r="F170" t="s">
        <v>2684</v>
      </c>
      <c r="G170" t="str">
        <f>IF(O170="","Clear "&amp;N170&amp;" ("&amp;M170&amp;")","Clear "&amp;N170&amp;": "&amp;O170&amp;" ("&amp;M170&amp;")")</f>
        <v>Clear The Mercurial Gauntlet (Wind): Lv. 40 (The Mercurial Gauntlet)</v>
      </c>
      <c r="H170" s="86" t="s">
        <v>1947</v>
      </c>
      <c r="I170" t="s">
        <v>839</v>
      </c>
      <c r="J170" s="84">
        <v>4</v>
      </c>
      <c r="K170" s="118">
        <v>43708</v>
      </c>
      <c r="L170" t="s">
        <v>18054</v>
      </c>
      <c r="M170" t="s">
        <v>19636</v>
      </c>
      <c r="N170" s="86" t="s">
        <v>19793</v>
      </c>
      <c r="O170" t="s">
        <v>19700</v>
      </c>
      <c r="Q170" t="s">
        <v>137</v>
      </c>
    </row>
    <row r="171" spans="1:18" x14ac:dyDescent="0.2">
      <c r="A171" s="70" t="s">
        <v>2695</v>
      </c>
      <c r="B171" t="s">
        <v>4596</v>
      </c>
      <c r="C171" t="s">
        <v>2696</v>
      </c>
      <c r="D171" s="114" t="s">
        <v>2698</v>
      </c>
      <c r="E171" s="84" t="s">
        <v>19845</v>
      </c>
      <c r="F171" t="s">
        <v>2697</v>
      </c>
      <c r="G171" t="str">
        <f>+N171</f>
        <v>Complete Tutorial</v>
      </c>
      <c r="H171" s="86" t="s">
        <v>1947</v>
      </c>
      <c r="I171" t="s">
        <v>839</v>
      </c>
      <c r="J171" s="84">
        <v>3</v>
      </c>
      <c r="K171" s="118">
        <v>43370</v>
      </c>
      <c r="L171" t="s">
        <v>18054</v>
      </c>
      <c r="M171" t="s">
        <v>13720</v>
      </c>
      <c r="N171" t="s">
        <v>276</v>
      </c>
      <c r="Q171" t="s">
        <v>137</v>
      </c>
    </row>
    <row r="172" spans="1:18" x14ac:dyDescent="0.2">
      <c r="A172" s="70" t="s">
        <v>2708</v>
      </c>
      <c r="B172" t="s">
        <v>4596</v>
      </c>
      <c r="C172" t="s">
        <v>2709</v>
      </c>
      <c r="D172" s="114" t="s">
        <v>2711</v>
      </c>
      <c r="E172" s="84" t="s">
        <v>19846</v>
      </c>
      <c r="F172" t="s">
        <v>2710</v>
      </c>
      <c r="G172" t="str">
        <f>N172</f>
        <v>Exchange for 1,000,000 Rupies from Treasure Trade</v>
      </c>
      <c r="H172" s="86" t="s">
        <v>1947</v>
      </c>
      <c r="I172" t="s">
        <v>949</v>
      </c>
      <c r="J172" s="84">
        <v>5</v>
      </c>
      <c r="K172" s="118">
        <v>44606</v>
      </c>
      <c r="M172" t="s">
        <v>19847</v>
      </c>
      <c r="N172" t="s">
        <v>2713</v>
      </c>
      <c r="Q172" t="s">
        <v>137</v>
      </c>
    </row>
    <row r="173" spans="1:18" x14ac:dyDescent="0.2">
      <c r="A173" s="70" t="s">
        <v>2723</v>
      </c>
      <c r="B173" t="s">
        <v>4596</v>
      </c>
      <c r="C173" t="s">
        <v>2724</v>
      </c>
      <c r="D173" s="114" t="s">
        <v>2726</v>
      </c>
      <c r="E173" s="84" t="s">
        <v>19848</v>
      </c>
      <c r="F173" t="s">
        <v>2725</v>
      </c>
      <c r="G173" t="str">
        <f>IF(O173="","Clear "&amp;N173&amp;" ("&amp;M173&amp;")","Clear "&amp;N173&amp;": "&amp;O173&amp;" ("&amp;M173&amp;")")</f>
        <v>Clear Defensive Battle: EX (Northern Negotiators)</v>
      </c>
      <c r="H173" s="86" t="s">
        <v>1947</v>
      </c>
      <c r="I173" t="s">
        <v>949</v>
      </c>
      <c r="J173" s="84">
        <v>5</v>
      </c>
      <c r="K173" s="118">
        <v>44148</v>
      </c>
      <c r="L173" t="s">
        <v>18588</v>
      </c>
      <c r="M173" t="s">
        <v>14262</v>
      </c>
      <c r="N173" t="s">
        <v>19628</v>
      </c>
      <c r="O173" t="s">
        <v>18039</v>
      </c>
      <c r="P173">
        <v>5</v>
      </c>
      <c r="Q173" t="s">
        <v>18719</v>
      </c>
    </row>
    <row r="174" spans="1:18" x14ac:dyDescent="0.2">
      <c r="A174" s="70" t="s">
        <v>2737</v>
      </c>
      <c r="B174" t="s">
        <v>4596</v>
      </c>
      <c r="C174" t="s">
        <v>2738</v>
      </c>
      <c r="D174" s="114" t="s">
        <v>2740</v>
      </c>
      <c r="E174" s="84" t="s">
        <v>19849</v>
      </c>
      <c r="F174" t="s">
        <v>2739</v>
      </c>
      <c r="G174" t="str">
        <f>IF(O174="","Clear "&amp;N174&amp;" ("&amp;M174&amp;")","Clear "&amp;N174&amp;": "&amp;O174&amp;" ("&amp;M174&amp;")")</f>
        <v>Clear All-Out Assault: Master (Stirring Shadows)</v>
      </c>
      <c r="H174" s="86" t="s">
        <v>1947</v>
      </c>
      <c r="I174" t="s">
        <v>949</v>
      </c>
      <c r="J174" s="84">
        <v>5</v>
      </c>
      <c r="K174" s="118">
        <v>43773</v>
      </c>
      <c r="L174" t="s">
        <v>18175</v>
      </c>
      <c r="M174" t="s">
        <v>14130</v>
      </c>
      <c r="N174" t="s">
        <v>19643</v>
      </c>
      <c r="O174" t="s">
        <v>18061</v>
      </c>
      <c r="P174">
        <v>4</v>
      </c>
      <c r="Q174" t="s">
        <v>18355</v>
      </c>
    </row>
    <row r="175" spans="1:18" x14ac:dyDescent="0.2">
      <c r="A175" s="70" t="s">
        <v>2751</v>
      </c>
      <c r="B175" t="s">
        <v>4596</v>
      </c>
      <c r="C175" t="s">
        <v>2752</v>
      </c>
      <c r="D175" s="114" t="s">
        <v>2754</v>
      </c>
      <c r="E175" s="84" t="s">
        <v>19850</v>
      </c>
      <c r="F175" t="s">
        <v>2753</v>
      </c>
      <c r="G175" t="str">
        <f>IF(O175="","Clear "&amp;N175&amp;" ("&amp;M175&amp;")","Clear "&amp;N175&amp;": "&amp;O175&amp;" ("&amp;M175&amp;")")</f>
        <v>Clear The Mercurial Gauntlet (Wind): Lv. 20 (The Mercurial Gauntlet)</v>
      </c>
      <c r="H175" s="86" t="s">
        <v>1947</v>
      </c>
      <c r="I175" t="s">
        <v>949</v>
      </c>
      <c r="J175" s="84">
        <v>4</v>
      </c>
      <c r="K175" s="118">
        <v>43636</v>
      </c>
      <c r="L175" t="s">
        <v>18054</v>
      </c>
      <c r="M175" t="s">
        <v>19636</v>
      </c>
      <c r="N175" s="86" t="s">
        <v>19793</v>
      </c>
      <c r="O175" t="s">
        <v>19671</v>
      </c>
      <c r="Q175" t="s">
        <v>137</v>
      </c>
    </row>
    <row r="176" spans="1:18" x14ac:dyDescent="0.2">
      <c r="A176" s="70" t="s">
        <v>2763</v>
      </c>
      <c r="B176" t="s">
        <v>4596</v>
      </c>
      <c r="C176" t="s">
        <v>2764</v>
      </c>
      <c r="D176" s="115" t="s">
        <v>2766</v>
      </c>
      <c r="E176" s="84" t="s">
        <v>19851</v>
      </c>
      <c r="F176" t="s">
        <v>2765</v>
      </c>
      <c r="G176" t="str">
        <f>IF(O176="","Clear "&amp;N176&amp;" ("&amp;M176&amp;")","Clear "&amp;N176&amp;": "&amp;O176&amp;" ("&amp;M176&amp;")")</f>
        <v>Clear Fiend Alert!: Expert (A Wish to the Winds)</v>
      </c>
      <c r="H176" s="86" t="s">
        <v>1947</v>
      </c>
      <c r="I176" t="s">
        <v>949</v>
      </c>
      <c r="J176" s="84">
        <v>4</v>
      </c>
      <c r="K176" s="118">
        <v>43419</v>
      </c>
      <c r="L176" t="s">
        <v>18046</v>
      </c>
      <c r="M176" t="s">
        <v>13983</v>
      </c>
      <c r="N176" t="s">
        <v>18088</v>
      </c>
      <c r="O176" t="s">
        <v>18033</v>
      </c>
      <c r="P176">
        <v>3</v>
      </c>
      <c r="Q176" t="s">
        <v>18090</v>
      </c>
    </row>
    <row r="177" spans="1:17" x14ac:dyDescent="0.2">
      <c r="A177" s="70" t="s">
        <v>2777</v>
      </c>
      <c r="B177" t="s">
        <v>4596</v>
      </c>
      <c r="C177" t="s">
        <v>2778</v>
      </c>
      <c r="D177" s="114" t="s">
        <v>2780</v>
      </c>
      <c r="E177" s="84" t="s">
        <v>19852</v>
      </c>
      <c r="F177" t="s">
        <v>2779</v>
      </c>
      <c r="G177" t="str">
        <f>+N177</f>
        <v>Complete Tutorial</v>
      </c>
      <c r="H177" s="86" t="s">
        <v>1947</v>
      </c>
      <c r="I177" t="s">
        <v>949</v>
      </c>
      <c r="J177" s="84">
        <v>3</v>
      </c>
      <c r="K177" s="118">
        <v>43370</v>
      </c>
      <c r="L177" t="s">
        <v>18054</v>
      </c>
      <c r="M177" t="s">
        <v>13720</v>
      </c>
      <c r="N177" t="s">
        <v>276</v>
      </c>
      <c r="Q177" t="s">
        <v>137</v>
      </c>
    </row>
    <row r="178" spans="1:17" x14ac:dyDescent="0.2">
      <c r="A178" s="70" t="s">
        <v>2788</v>
      </c>
      <c r="B178" t="s">
        <v>4596</v>
      </c>
      <c r="C178" t="s">
        <v>2789</v>
      </c>
      <c r="D178" s="114" t="s">
        <v>2791</v>
      </c>
      <c r="E178" s="84" t="s">
        <v>19853</v>
      </c>
      <c r="F178" t="s">
        <v>2790</v>
      </c>
      <c r="G178" t="str">
        <f>IF(O178="","Clear "&amp;N178&amp;" ("&amp;M178&amp;")","Clear "&amp;N178&amp;": "&amp;O178&amp;" ("&amp;M178&amp;")")</f>
        <v>Clear A Duel with the Black Raven: Standard (Knights of Alberia)</v>
      </c>
      <c r="H178" s="86" t="s">
        <v>1947</v>
      </c>
      <c r="I178" t="s">
        <v>1054</v>
      </c>
      <c r="J178" s="84">
        <v>5</v>
      </c>
      <c r="K178" s="118">
        <v>44442</v>
      </c>
      <c r="L178" t="s">
        <v>18933</v>
      </c>
      <c r="M178" t="s">
        <v>14316</v>
      </c>
      <c r="N178" t="s">
        <v>19022</v>
      </c>
      <c r="O178" t="s">
        <v>18054</v>
      </c>
      <c r="P178">
        <v>1</v>
      </c>
      <c r="Q178" t="s">
        <v>19021</v>
      </c>
    </row>
    <row r="179" spans="1:17" x14ac:dyDescent="0.2">
      <c r="A179" s="70" t="s">
        <v>2804</v>
      </c>
      <c r="B179" t="s">
        <v>4596</v>
      </c>
      <c r="C179" t="s">
        <v>2805</v>
      </c>
      <c r="D179" s="114" t="s">
        <v>2807</v>
      </c>
      <c r="E179" s="84" t="s">
        <v>19854</v>
      </c>
      <c r="F179" t="s">
        <v>2806</v>
      </c>
      <c r="G179" t="str">
        <f>IF(O179="","Clear "&amp;N179&amp;" ("&amp;M179&amp;")","Clear "&amp;N179&amp;": "&amp;O179&amp;" ("&amp;M179&amp;")")</f>
        <v>Clear Defensive Battle: EX (Shadow of the Mukuroshu)</v>
      </c>
      <c r="H179" s="86" t="s">
        <v>1947</v>
      </c>
      <c r="I179" t="s">
        <v>1054</v>
      </c>
      <c r="J179" s="84">
        <v>5</v>
      </c>
      <c r="K179" s="118">
        <v>44329</v>
      </c>
      <c r="L179" t="s">
        <v>18588</v>
      </c>
      <c r="M179" t="s">
        <v>18915</v>
      </c>
      <c r="N179" t="s">
        <v>19628</v>
      </c>
      <c r="O179" t="s">
        <v>18039</v>
      </c>
      <c r="P179">
        <v>5</v>
      </c>
      <c r="Q179" t="s">
        <v>18930</v>
      </c>
    </row>
    <row r="180" spans="1:17" x14ac:dyDescent="0.2">
      <c r="A180" s="70" t="s">
        <v>2819</v>
      </c>
      <c r="B180" t="s">
        <v>4596</v>
      </c>
      <c r="C180" t="s">
        <v>2820</v>
      </c>
      <c r="D180" s="114" t="s">
        <v>2822</v>
      </c>
      <c r="E180" s="84" t="s">
        <v>19855</v>
      </c>
      <c r="F180" t="s">
        <v>2821</v>
      </c>
      <c r="G180" t="str">
        <f>IF(O180="","Clear "&amp;N180&amp;" ("&amp;M180&amp;")","Clear "&amp;N180&amp;": "&amp;O180&amp;" ("&amp;M180&amp;")")</f>
        <v>Clear Defensive Battle: Master (Northern Negotiators)</v>
      </c>
      <c r="H180" s="86" t="s">
        <v>1947</v>
      </c>
      <c r="I180" t="s">
        <v>1054</v>
      </c>
      <c r="J180" s="84">
        <v>5</v>
      </c>
      <c r="K180" s="118">
        <v>44148</v>
      </c>
      <c r="L180" t="s">
        <v>18588</v>
      </c>
      <c r="M180" t="s">
        <v>14262</v>
      </c>
      <c r="N180" t="s">
        <v>19628</v>
      </c>
      <c r="O180" t="s">
        <v>18061</v>
      </c>
      <c r="P180">
        <v>4</v>
      </c>
      <c r="Q180" t="s">
        <v>18718</v>
      </c>
    </row>
    <row r="181" spans="1:17" x14ac:dyDescent="0.2">
      <c r="A181" s="70" t="s">
        <v>2831</v>
      </c>
      <c r="B181" t="s">
        <v>4596</v>
      </c>
      <c r="C181" t="s">
        <v>2832</v>
      </c>
      <c r="D181" s="114" t="s">
        <v>2834</v>
      </c>
      <c r="E181" s="84" t="s">
        <v>19856</v>
      </c>
      <c r="F181" t="s">
        <v>2833</v>
      </c>
      <c r="G181" t="str">
        <f>IF(O181="","Clear "&amp;N181&amp;" ("&amp;M181&amp;")","Clear "&amp;N181&amp;": "&amp;O181&amp;" ("&amp;M181&amp;")")</f>
        <v>Clear Repelling the Forces of Grams: Expert (Knights of Alberia)</v>
      </c>
      <c r="H181" s="86" t="s">
        <v>2837</v>
      </c>
      <c r="I181" t="s">
        <v>123</v>
      </c>
      <c r="J181" s="84">
        <v>5</v>
      </c>
      <c r="K181" s="118">
        <v>44442</v>
      </c>
      <c r="L181" t="s">
        <v>18933</v>
      </c>
      <c r="M181" t="s">
        <v>14316</v>
      </c>
      <c r="N181" t="s">
        <v>19018</v>
      </c>
      <c r="O181" t="s">
        <v>18033</v>
      </c>
      <c r="P181">
        <v>2</v>
      </c>
      <c r="Q181" t="s">
        <v>19019</v>
      </c>
    </row>
    <row r="182" spans="1:17" x14ac:dyDescent="0.2">
      <c r="A182" s="70" t="s">
        <v>2850</v>
      </c>
      <c r="B182" t="s">
        <v>4596</v>
      </c>
      <c r="C182" t="s">
        <v>2851</v>
      </c>
      <c r="D182" s="114" t="s">
        <v>2853</v>
      </c>
      <c r="E182" s="84" t="s">
        <v>19857</v>
      </c>
      <c r="F182" t="s">
        <v>2852</v>
      </c>
      <c r="G182" t="str">
        <f>IF(O182="","Clear "&amp;N182&amp;" ("&amp;M182&amp;")","Clear "&amp;N182&amp;": "&amp;O182&amp;" ("&amp;M182&amp;")")</f>
        <v>Clear Pecorine's Trial (Princess Connect! Re Dive A Voracious Visitor)</v>
      </c>
      <c r="H182" s="86" t="s">
        <v>2837</v>
      </c>
      <c r="I182" t="s">
        <v>123</v>
      </c>
      <c r="J182" s="84">
        <v>5</v>
      </c>
      <c r="K182" s="118">
        <v>44165</v>
      </c>
      <c r="L182" t="s">
        <v>18017</v>
      </c>
      <c r="M182" t="s">
        <v>19766</v>
      </c>
      <c r="N182" t="s">
        <v>18738</v>
      </c>
      <c r="P182">
        <v>1</v>
      </c>
      <c r="Q182" t="s">
        <v>18737</v>
      </c>
    </row>
    <row r="183" spans="1:17" x14ac:dyDescent="0.2">
      <c r="A183" s="70" t="s">
        <v>2867</v>
      </c>
      <c r="B183" t="s">
        <v>4596</v>
      </c>
      <c r="C183" t="s">
        <v>2868</v>
      </c>
      <c r="D183" s="114" t="s">
        <v>2870</v>
      </c>
      <c r="E183" s="84" t="s">
        <v>19858</v>
      </c>
      <c r="F183" t="s">
        <v>2869</v>
      </c>
      <c r="G183" t="str">
        <f>+"Clear "&amp;N183&amp;" of the Main Campaign ("&amp;O183&amp;")"</f>
        <v>Clear Ch. 10 6-3 of the Main Campaign (Normal)</v>
      </c>
      <c r="H183" s="86" t="s">
        <v>2837</v>
      </c>
      <c r="I183" t="s">
        <v>123</v>
      </c>
      <c r="J183" s="84">
        <v>5</v>
      </c>
      <c r="K183" s="118">
        <v>43735</v>
      </c>
      <c r="L183" t="s">
        <v>18054</v>
      </c>
      <c r="M183" t="s">
        <v>17513</v>
      </c>
      <c r="N183" t="s">
        <v>19859</v>
      </c>
      <c r="O183" t="s">
        <v>15731</v>
      </c>
      <c r="P183">
        <v>1</v>
      </c>
      <c r="Q183" t="s">
        <v>16400</v>
      </c>
    </row>
    <row r="184" spans="1:17" x14ac:dyDescent="0.2">
      <c r="A184" s="70" t="s">
        <v>2887</v>
      </c>
      <c r="B184" t="s">
        <v>4596</v>
      </c>
      <c r="C184" t="s">
        <v>2888</v>
      </c>
      <c r="D184" s="114" t="s">
        <v>2890</v>
      </c>
      <c r="E184" s="84" t="s">
        <v>19860</v>
      </c>
      <c r="F184" t="s">
        <v>2889</v>
      </c>
      <c r="G184" t="str">
        <f>IF(O184="","Clear "&amp;N184&amp;" ("&amp;M184&amp;")","Clear "&amp;N184&amp;": "&amp;O184&amp;" ("&amp;M184&amp;")")</f>
        <v>Clear Repel the Empire! (Fire Emblem: Lost Heroes)</v>
      </c>
      <c r="H184" s="86" t="s">
        <v>2837</v>
      </c>
      <c r="I184" t="s">
        <v>123</v>
      </c>
      <c r="J184" s="84">
        <v>5</v>
      </c>
      <c r="K184" s="118">
        <v>43581</v>
      </c>
      <c r="L184" t="s">
        <v>18241</v>
      </c>
      <c r="M184" t="s">
        <v>18242</v>
      </c>
      <c r="N184" t="s">
        <v>18243</v>
      </c>
      <c r="P184">
        <v>1</v>
      </c>
      <c r="Q184" t="s">
        <v>18240</v>
      </c>
    </row>
    <row r="185" spans="1:17" x14ac:dyDescent="0.2">
      <c r="A185" s="70" t="s">
        <v>2900</v>
      </c>
      <c r="B185" t="s">
        <v>4596</v>
      </c>
      <c r="C185" t="s">
        <v>2901</v>
      </c>
      <c r="D185" s="114" t="s">
        <v>2903</v>
      </c>
      <c r="E185" s="84" t="s">
        <v>19861</v>
      </c>
      <c r="F185" t="s">
        <v>2902</v>
      </c>
      <c r="G185" t="str">
        <f>IF(O185="","Clear "&amp;N185&amp;" ("&amp;M185&amp;")","Clear "&amp;N185&amp;": "&amp;O185&amp;" ("&amp;M185&amp;")")</f>
        <v>Clear Proud Manticore Strike (Void Battles)</v>
      </c>
      <c r="H185" s="86" t="s">
        <v>2837</v>
      </c>
      <c r="I185" t="s">
        <v>123</v>
      </c>
      <c r="J185" s="84">
        <v>5</v>
      </c>
      <c r="K185" s="118">
        <v>43524</v>
      </c>
      <c r="L185" t="s">
        <v>18054</v>
      </c>
      <c r="M185" t="s">
        <v>19374</v>
      </c>
      <c r="N185" t="s">
        <v>19422</v>
      </c>
      <c r="P185">
        <v>1</v>
      </c>
      <c r="Q185" t="s">
        <v>19421</v>
      </c>
    </row>
    <row r="186" spans="1:17" x14ac:dyDescent="0.2">
      <c r="A186" s="70" t="s">
        <v>2916</v>
      </c>
      <c r="B186" t="s">
        <v>4596</v>
      </c>
      <c r="C186" t="s">
        <v>2917</v>
      </c>
      <c r="D186" s="114" t="s">
        <v>2919</v>
      </c>
      <c r="E186" s="84" t="s">
        <v>19862</v>
      </c>
      <c r="F186" t="s">
        <v>2918</v>
      </c>
      <c r="G186" t="str">
        <f>IF(O186="","Clear "&amp;N186&amp;" ("&amp;M186&amp;")","Clear "&amp;N186&amp;": "&amp;O186&amp;" ("&amp;M186&amp;")")</f>
        <v>Clear The Mercurial Gauntlet (Light): Lv. 20 (The Mercurial Gauntlet)</v>
      </c>
      <c r="H186" s="86" t="s">
        <v>2837</v>
      </c>
      <c r="I186" t="s">
        <v>123</v>
      </c>
      <c r="J186" s="84">
        <v>4</v>
      </c>
      <c r="K186" s="118">
        <v>43524</v>
      </c>
      <c r="L186" t="s">
        <v>18054</v>
      </c>
      <c r="M186" t="s">
        <v>19636</v>
      </c>
      <c r="N186" s="86" t="s">
        <v>19863</v>
      </c>
      <c r="O186" t="s">
        <v>19671</v>
      </c>
      <c r="Q186" t="s">
        <v>137</v>
      </c>
    </row>
    <row r="187" spans="1:17" x14ac:dyDescent="0.2">
      <c r="A187" s="70" t="s">
        <v>2930</v>
      </c>
      <c r="B187" t="s">
        <v>4596</v>
      </c>
      <c r="C187" t="s">
        <v>2931</v>
      </c>
      <c r="D187" s="114" t="s">
        <v>2933</v>
      </c>
      <c r="E187" s="84" t="s">
        <v>19864</v>
      </c>
      <c r="F187" t="s">
        <v>2932</v>
      </c>
      <c r="G187" t="str">
        <f>"Clear "&amp;N187&amp;": "&amp;O187</f>
        <v>Clear Lightsunder Ruins: Standard</v>
      </c>
      <c r="H187" s="86" t="s">
        <v>2837</v>
      </c>
      <c r="I187" t="s">
        <v>123</v>
      </c>
      <c r="J187" s="84">
        <v>3</v>
      </c>
      <c r="K187" s="118">
        <v>43370</v>
      </c>
      <c r="L187" t="s">
        <v>18054</v>
      </c>
      <c r="M187" t="s">
        <v>14035</v>
      </c>
      <c r="N187" t="s">
        <v>19182</v>
      </c>
      <c r="O187" t="s">
        <v>18054</v>
      </c>
      <c r="P187">
        <v>2</v>
      </c>
      <c r="Q187" t="s">
        <v>19183</v>
      </c>
    </row>
    <row r="188" spans="1:17" x14ac:dyDescent="0.2">
      <c r="A188" s="70" t="s">
        <v>2946</v>
      </c>
      <c r="B188" t="s">
        <v>4596</v>
      </c>
      <c r="C188" t="s">
        <v>2947</v>
      </c>
      <c r="D188" s="115" t="s">
        <v>2949</v>
      </c>
      <c r="E188" s="84" t="s">
        <v>19865</v>
      </c>
      <c r="F188" t="s">
        <v>2948</v>
      </c>
      <c r="G188" t="str">
        <f>IF(O188="","Clear "&amp;N188&amp;" ("&amp;M188&amp;")","Clear "&amp;N188&amp;": "&amp;O188&amp;" ("&amp;M188&amp;")")</f>
        <v>Clear Defensive Battle: Master (A Dazzling Defense)</v>
      </c>
      <c r="H188" s="86" t="s">
        <v>2837</v>
      </c>
      <c r="I188" t="s">
        <v>330</v>
      </c>
      <c r="J188" s="84">
        <v>5</v>
      </c>
      <c r="K188" s="118">
        <v>44512</v>
      </c>
      <c r="L188" t="s">
        <v>18560</v>
      </c>
      <c r="M188" t="s">
        <v>19090</v>
      </c>
      <c r="N188" t="s">
        <v>19628</v>
      </c>
      <c r="O188" t="s">
        <v>18061</v>
      </c>
      <c r="P188">
        <v>4</v>
      </c>
      <c r="Q188" t="s">
        <v>19104</v>
      </c>
    </row>
    <row r="189" spans="1:17" x14ac:dyDescent="0.2">
      <c r="A189" s="70" t="s">
        <v>2964</v>
      </c>
      <c r="B189" t="s">
        <v>4596</v>
      </c>
      <c r="C189" t="s">
        <v>2965</v>
      </c>
      <c r="D189" s="114" t="s">
        <v>2967</v>
      </c>
      <c r="E189" s="84" t="s">
        <v>19866</v>
      </c>
      <c r="F189" t="s">
        <v>2966</v>
      </c>
      <c r="G189" t="str">
        <f>IF(O189="","Clear "&amp;N189&amp;" ("&amp;M189&amp;")","Clear "&amp;N189&amp;": "&amp;O189&amp;" ("&amp;M189&amp;")")</f>
        <v>Clear Android Attack (Forgotten Truths)</v>
      </c>
      <c r="H189" s="86" t="s">
        <v>2837</v>
      </c>
      <c r="I189" t="s">
        <v>330</v>
      </c>
      <c r="J189" s="84">
        <v>5</v>
      </c>
      <c r="K189" s="118">
        <v>44104</v>
      </c>
      <c r="L189" t="s">
        <v>18017</v>
      </c>
      <c r="M189" t="s">
        <v>14245</v>
      </c>
      <c r="N189" t="s">
        <v>18662</v>
      </c>
      <c r="P189">
        <v>1</v>
      </c>
      <c r="Q189" t="s">
        <v>18661</v>
      </c>
    </row>
    <row r="190" spans="1:17" x14ac:dyDescent="0.2">
      <c r="A190" s="70" t="s">
        <v>2982</v>
      </c>
      <c r="B190" t="s">
        <v>4596</v>
      </c>
      <c r="C190" t="s">
        <v>2983</v>
      </c>
      <c r="D190" s="114" t="s">
        <v>2985</v>
      </c>
      <c r="E190" s="84" t="s">
        <v>19867</v>
      </c>
      <c r="F190" t="s">
        <v>2984</v>
      </c>
      <c r="G190" t="str">
        <f>+"Clear "&amp;N190&amp;" of the Main Campaign ("&amp;O190&amp;")"</f>
        <v>Clear Ch. 11 6-2 of the Main Campaign (Hard)</v>
      </c>
      <c r="H190" s="86" t="s">
        <v>2837</v>
      </c>
      <c r="I190" t="s">
        <v>330</v>
      </c>
      <c r="J190" s="84">
        <v>5</v>
      </c>
      <c r="K190" s="118">
        <v>43853</v>
      </c>
      <c r="L190" t="s">
        <v>18054</v>
      </c>
      <c r="M190" t="s">
        <v>17513</v>
      </c>
      <c r="N190" t="s">
        <v>19868</v>
      </c>
      <c r="O190" t="s">
        <v>15732</v>
      </c>
      <c r="P190">
        <v>1</v>
      </c>
      <c r="Q190" t="s">
        <v>17756</v>
      </c>
    </row>
    <row r="191" spans="1:17" x14ac:dyDescent="0.2">
      <c r="A191" s="70" t="s">
        <v>2997</v>
      </c>
      <c r="B191" t="s">
        <v>4596</v>
      </c>
      <c r="C191" t="s">
        <v>2998</v>
      </c>
      <c r="D191" s="114" t="s">
        <v>3000</v>
      </c>
      <c r="E191" s="84" t="s">
        <v>19869</v>
      </c>
      <c r="F191" t="s">
        <v>2999</v>
      </c>
      <c r="G191" t="str">
        <f>IF(O191="","Clear "&amp;N191&amp;" ("&amp;M191&amp;")","Clear "&amp;N191&amp;": "&amp;O191&amp;" ("&amp;M191&amp;")")</f>
        <v>Clear Luminous Chimera Strike: Standard (Void Battles)</v>
      </c>
      <c r="H191" s="86" t="s">
        <v>2837</v>
      </c>
      <c r="I191" t="s">
        <v>330</v>
      </c>
      <c r="J191" s="84">
        <v>5</v>
      </c>
      <c r="K191" s="118">
        <v>43599</v>
      </c>
      <c r="L191" t="s">
        <v>18054</v>
      </c>
      <c r="M191" t="s">
        <v>19374</v>
      </c>
      <c r="N191" t="s">
        <v>19447</v>
      </c>
      <c r="O191" t="s">
        <v>18054</v>
      </c>
      <c r="P191">
        <v>1</v>
      </c>
      <c r="Q191" t="s">
        <v>19446</v>
      </c>
    </row>
    <row r="192" spans="1:17" x14ac:dyDescent="0.2">
      <c r="A192" s="70" t="s">
        <v>3013</v>
      </c>
      <c r="B192" t="s">
        <v>4596</v>
      </c>
      <c r="C192" t="s">
        <v>3014</v>
      </c>
      <c r="D192" s="114" t="s">
        <v>3016</v>
      </c>
      <c r="E192" s="84" t="s">
        <v>19870</v>
      </c>
      <c r="F192" t="s">
        <v>3015</v>
      </c>
      <c r="G192" t="str">
        <f>IF(O192="","Clear "&amp;N192&amp;" ("&amp;M192&amp;")","Clear "&amp;N192&amp;": "&amp;O192&amp;" ("&amp;M192&amp;")")</f>
        <v>Clear Wild Cat Chase (A Clawful Caper)</v>
      </c>
      <c r="H192" s="86" t="s">
        <v>2837</v>
      </c>
      <c r="I192" t="s">
        <v>330</v>
      </c>
      <c r="J192" s="84">
        <v>4</v>
      </c>
      <c r="K192" s="118">
        <v>43830</v>
      </c>
      <c r="L192" t="s">
        <v>18017</v>
      </c>
      <c r="M192" t="s">
        <v>14158</v>
      </c>
      <c r="N192" t="s">
        <v>18415</v>
      </c>
      <c r="P192">
        <v>1</v>
      </c>
      <c r="Q192" t="s">
        <v>18414</v>
      </c>
    </row>
    <row r="193" spans="1:17" x14ac:dyDescent="0.2">
      <c r="A193" s="70" t="s">
        <v>3029</v>
      </c>
      <c r="B193" t="s">
        <v>4596</v>
      </c>
      <c r="C193" t="s">
        <v>3030</v>
      </c>
      <c r="D193" s="114" t="s">
        <v>3032</v>
      </c>
      <c r="E193" s="84" t="s">
        <v>19871</v>
      </c>
      <c r="F193" t="s">
        <v>3031</v>
      </c>
      <c r="G193" t="str">
        <f>IF(O193="","Clear "&amp;N193&amp;" ("&amp;M193&amp;")","Clear "&amp;N193&amp;": "&amp;O193&amp;" ("&amp;M193&amp;")")</f>
        <v>Clear The Mercurial Gauntlet (Light): Lv. 30 (The Mercurial Gauntlet)</v>
      </c>
      <c r="H193" s="86" t="s">
        <v>2837</v>
      </c>
      <c r="I193" t="s">
        <v>330</v>
      </c>
      <c r="J193" s="84">
        <v>4</v>
      </c>
      <c r="K193" s="118">
        <v>43599</v>
      </c>
      <c r="L193" t="s">
        <v>18054</v>
      </c>
      <c r="M193" t="s">
        <v>19636</v>
      </c>
      <c r="N193" s="86" t="s">
        <v>19863</v>
      </c>
      <c r="O193" t="s">
        <v>19640</v>
      </c>
      <c r="Q193" t="s">
        <v>137</v>
      </c>
    </row>
    <row r="194" spans="1:17" x14ac:dyDescent="0.2">
      <c r="A194" s="70" t="s">
        <v>3044</v>
      </c>
      <c r="B194" t="s">
        <v>4596</v>
      </c>
      <c r="C194" t="s">
        <v>3045</v>
      </c>
      <c r="D194" s="114" t="s">
        <v>3047</v>
      </c>
      <c r="E194" s="84" t="s">
        <v>19872</v>
      </c>
      <c r="F194" t="s">
        <v>3046</v>
      </c>
      <c r="G194" t="str">
        <f>IF(O194="",N194&amp;" ("&amp;M194&amp;")",N194&amp;": "&amp;O194&amp;" ("&amp;M194&amp;")")</f>
        <v>Upgrade the Sweet Retreat to Lv. 20 (Trick or Treasure!)</v>
      </c>
      <c r="H194" s="86" t="s">
        <v>2837</v>
      </c>
      <c r="I194" t="s">
        <v>330</v>
      </c>
      <c r="J194" s="84">
        <v>3</v>
      </c>
      <c r="K194" s="118">
        <v>43390</v>
      </c>
      <c r="L194" t="s">
        <v>18046</v>
      </c>
      <c r="M194" t="s">
        <v>13967</v>
      </c>
      <c r="N194" t="s">
        <v>19873</v>
      </c>
      <c r="Q194" t="s">
        <v>19720</v>
      </c>
    </row>
    <row r="195" spans="1:17" x14ac:dyDescent="0.2">
      <c r="A195" s="70" t="s">
        <v>3058</v>
      </c>
      <c r="B195" t="s">
        <v>4596</v>
      </c>
      <c r="C195" t="s">
        <v>3059</v>
      </c>
      <c r="D195" s="114" t="s">
        <v>3061</v>
      </c>
      <c r="E195" s="84" t="s">
        <v>19874</v>
      </c>
      <c r="F195" t="s">
        <v>1066</v>
      </c>
      <c r="G195" t="str">
        <f t="shared" ref="G195:G202" si="8">IF(O195="","Clear "&amp;N195&amp;" ("&amp;M195&amp;")","Clear "&amp;N195&amp;": "&amp;O195&amp;" ("&amp;M195&amp;")")</f>
        <v>Clear Defensive Battle: EX (Shackles of the Syndicate)</v>
      </c>
      <c r="H195" s="86" t="s">
        <v>2837</v>
      </c>
      <c r="I195" t="s">
        <v>429</v>
      </c>
      <c r="J195" s="84">
        <v>5</v>
      </c>
      <c r="K195" s="118">
        <v>44452</v>
      </c>
      <c r="L195" t="s">
        <v>18588</v>
      </c>
      <c r="M195" t="s">
        <v>19026</v>
      </c>
      <c r="N195" t="s">
        <v>19628</v>
      </c>
      <c r="O195" t="s">
        <v>18039</v>
      </c>
      <c r="P195">
        <v>5</v>
      </c>
      <c r="Q195" t="s">
        <v>19041</v>
      </c>
    </row>
    <row r="196" spans="1:17" x14ac:dyDescent="0.2">
      <c r="A196" s="70" t="s">
        <v>3075</v>
      </c>
      <c r="B196" t="s">
        <v>4596</v>
      </c>
      <c r="C196" t="s">
        <v>3076</v>
      </c>
      <c r="D196" s="114" t="s">
        <v>3078</v>
      </c>
      <c r="E196" s="84" t="s">
        <v>19875</v>
      </c>
      <c r="F196" t="s">
        <v>3077</v>
      </c>
      <c r="G196" t="str">
        <f t="shared" si="8"/>
        <v>Clear All-Out Assault: EX (Twinkling Twilight)</v>
      </c>
      <c r="H196" s="86" t="s">
        <v>2837</v>
      </c>
      <c r="I196" t="s">
        <v>429</v>
      </c>
      <c r="J196" s="84">
        <v>5</v>
      </c>
      <c r="K196" s="118">
        <v>44057</v>
      </c>
      <c r="L196" t="s">
        <v>18560</v>
      </c>
      <c r="M196" t="s">
        <v>14233</v>
      </c>
      <c r="N196" t="s">
        <v>19643</v>
      </c>
      <c r="O196" t="s">
        <v>18039</v>
      </c>
      <c r="P196">
        <v>5</v>
      </c>
      <c r="Q196" t="s">
        <v>18630</v>
      </c>
    </row>
    <row r="197" spans="1:17" x14ac:dyDescent="0.2">
      <c r="A197" s="70" t="s">
        <v>3090</v>
      </c>
      <c r="B197" t="s">
        <v>4596</v>
      </c>
      <c r="C197" t="s">
        <v>3091</v>
      </c>
      <c r="D197" s="114" t="s">
        <v>3093</v>
      </c>
      <c r="E197" s="84" t="s">
        <v>19876</v>
      </c>
      <c r="F197" t="s">
        <v>3092</v>
      </c>
      <c r="G197" t="str">
        <f t="shared" si="8"/>
        <v>Clear Fighting for a Chance (Timeworn Torment)</v>
      </c>
      <c r="H197" s="86" t="s">
        <v>2837</v>
      </c>
      <c r="I197" t="s">
        <v>429</v>
      </c>
      <c r="J197" s="84">
        <v>5</v>
      </c>
      <c r="K197" s="118">
        <v>43978</v>
      </c>
      <c r="L197" t="s">
        <v>18017</v>
      </c>
      <c r="M197" t="s">
        <v>14214</v>
      </c>
      <c r="N197" t="s">
        <v>18547</v>
      </c>
      <c r="P197">
        <v>1</v>
      </c>
      <c r="Q197" t="s">
        <v>18546</v>
      </c>
    </row>
    <row r="198" spans="1:17" x14ac:dyDescent="0.2">
      <c r="A198" s="70" t="s">
        <v>3102</v>
      </c>
      <c r="B198" t="s">
        <v>4596</v>
      </c>
      <c r="C198" t="s">
        <v>3103</v>
      </c>
      <c r="D198" s="114" t="s">
        <v>3105</v>
      </c>
      <c r="E198" s="84" t="s">
        <v>19877</v>
      </c>
      <c r="F198" t="s">
        <v>3104</v>
      </c>
      <c r="G198" t="str">
        <f t="shared" si="8"/>
        <v>Clear Subdue the Snapper: Beginner (A Clawful Caper)</v>
      </c>
      <c r="H198" s="86" t="s">
        <v>2837</v>
      </c>
      <c r="I198" t="s">
        <v>429</v>
      </c>
      <c r="J198" s="84">
        <v>5</v>
      </c>
      <c r="K198" s="118">
        <v>43830</v>
      </c>
      <c r="L198" t="s">
        <v>18017</v>
      </c>
      <c r="M198" t="s">
        <v>14158</v>
      </c>
      <c r="N198" t="s">
        <v>19878</v>
      </c>
      <c r="O198" t="s">
        <v>18031</v>
      </c>
      <c r="P198">
        <v>1</v>
      </c>
      <c r="Q198" t="s">
        <v>18416</v>
      </c>
    </row>
    <row r="199" spans="1:17" x14ac:dyDescent="0.2">
      <c r="A199" s="70" t="s">
        <v>3115</v>
      </c>
      <c r="B199" t="s">
        <v>4596</v>
      </c>
      <c r="C199" t="s">
        <v>3116</v>
      </c>
      <c r="D199" s="114" t="s">
        <v>3118</v>
      </c>
      <c r="E199" s="84" t="s">
        <v>19879</v>
      </c>
      <c r="F199" t="s">
        <v>3117</v>
      </c>
      <c r="G199" t="str">
        <f t="shared" si="8"/>
        <v>Clear The Vernal Games Warm-Ups: Expert (The Hunt for Harmony)</v>
      </c>
      <c r="H199" s="86" t="s">
        <v>2837</v>
      </c>
      <c r="I199" t="s">
        <v>429</v>
      </c>
      <c r="J199" s="84">
        <v>4</v>
      </c>
      <c r="K199" s="118">
        <v>43555</v>
      </c>
      <c r="L199" t="s">
        <v>18046</v>
      </c>
      <c r="M199" t="s">
        <v>14065</v>
      </c>
      <c r="N199" t="s">
        <v>18234</v>
      </c>
      <c r="O199" t="s">
        <v>18033</v>
      </c>
      <c r="P199">
        <v>3</v>
      </c>
      <c r="Q199" t="s">
        <v>18236</v>
      </c>
    </row>
    <row r="200" spans="1:17" x14ac:dyDescent="0.2">
      <c r="A200" s="70" t="s">
        <v>3128</v>
      </c>
      <c r="B200" t="s">
        <v>4596</v>
      </c>
      <c r="C200" t="s">
        <v>3129</v>
      </c>
      <c r="D200" s="114" t="s">
        <v>3131</v>
      </c>
      <c r="E200" s="84" t="s">
        <v>19880</v>
      </c>
      <c r="F200" t="s">
        <v>3130</v>
      </c>
      <c r="G200" t="str">
        <f t="shared" si="8"/>
        <v>Clear Welcome to the Fiend Circus: Expert (Dream Big Under the Big Top)</v>
      </c>
      <c r="H200" s="86" t="s">
        <v>2837</v>
      </c>
      <c r="I200" t="s">
        <v>429</v>
      </c>
      <c r="J200" s="84">
        <v>4</v>
      </c>
      <c r="K200" s="118">
        <v>43480</v>
      </c>
      <c r="L200" t="s">
        <v>18046</v>
      </c>
      <c r="M200" t="s">
        <v>14017</v>
      </c>
      <c r="N200" t="s">
        <v>18149</v>
      </c>
      <c r="O200" t="s">
        <v>18033</v>
      </c>
      <c r="P200">
        <v>3</v>
      </c>
      <c r="Q200" t="s">
        <v>18151</v>
      </c>
    </row>
    <row r="201" spans="1:17" x14ac:dyDescent="0.2">
      <c r="A201" s="70" t="s">
        <v>3144</v>
      </c>
      <c r="B201" t="s">
        <v>4596</v>
      </c>
      <c r="C201" t="s">
        <v>3145</v>
      </c>
      <c r="D201" s="114" t="s">
        <v>3147</v>
      </c>
      <c r="E201" s="84" t="s">
        <v>19881</v>
      </c>
      <c r="F201" t="s">
        <v>3146</v>
      </c>
      <c r="G201" t="str">
        <f t="shared" si="8"/>
        <v>Clear Battle in the Dornith Mountains: Standard (The Imperial Onslaught)</v>
      </c>
      <c r="H201" s="86" t="s">
        <v>2837</v>
      </c>
      <c r="I201" t="s">
        <v>429</v>
      </c>
      <c r="J201" s="84">
        <v>3</v>
      </c>
      <c r="K201" s="118">
        <v>43370</v>
      </c>
      <c r="L201" t="s">
        <v>18054</v>
      </c>
      <c r="M201" t="s">
        <v>13954</v>
      </c>
      <c r="N201" t="s">
        <v>19243</v>
      </c>
      <c r="O201" t="s">
        <v>18054</v>
      </c>
      <c r="P201">
        <v>2</v>
      </c>
      <c r="Q201" t="s">
        <v>19244</v>
      </c>
    </row>
    <row r="202" spans="1:17" x14ac:dyDescent="0.2">
      <c r="A202" s="70" t="s">
        <v>3158</v>
      </c>
      <c r="B202" t="s">
        <v>4596</v>
      </c>
      <c r="C202" t="s">
        <v>3159</v>
      </c>
      <c r="D202" s="114" t="s">
        <v>3161</v>
      </c>
      <c r="E202" s="84" t="s">
        <v>19882</v>
      </c>
      <c r="F202" t="s">
        <v>3160</v>
      </c>
      <c r="G202" t="str">
        <f t="shared" si="8"/>
        <v>Clear Repelling the Black Mana Forces: Expert (The Blood That Binds)</v>
      </c>
      <c r="H202" s="86" t="s">
        <v>2837</v>
      </c>
      <c r="I202" t="s">
        <v>543</v>
      </c>
      <c r="J202" s="84">
        <v>5</v>
      </c>
      <c r="K202" s="118">
        <v>44596</v>
      </c>
      <c r="L202" t="s">
        <v>18933</v>
      </c>
      <c r="M202" t="s">
        <v>14343</v>
      </c>
      <c r="N202" t="s">
        <v>19128</v>
      </c>
      <c r="O202" t="s">
        <v>18033</v>
      </c>
      <c r="P202">
        <v>2</v>
      </c>
      <c r="Q202" t="s">
        <v>19129</v>
      </c>
    </row>
    <row r="203" spans="1:17" x14ac:dyDescent="0.2">
      <c r="A203" s="70" t="s">
        <v>3177</v>
      </c>
      <c r="B203" t="s">
        <v>4596</v>
      </c>
      <c r="C203" t="s">
        <v>3178</v>
      </c>
      <c r="D203" s="114" t="s">
        <v>3180</v>
      </c>
      <c r="E203" s="84" t="s">
        <v>19883</v>
      </c>
      <c r="F203" t="s">
        <v>3179</v>
      </c>
      <c r="G203" t="str">
        <f>+"Clear "&amp;N203&amp;" of the Main Campaign ("&amp;O203&amp;")"</f>
        <v>Clear Ch. 20 7-5 of the Main Campaign (Normal)</v>
      </c>
      <c r="H203" s="86" t="s">
        <v>2837</v>
      </c>
      <c r="I203" t="s">
        <v>543</v>
      </c>
      <c r="J203" s="84">
        <v>5</v>
      </c>
      <c r="K203" s="118">
        <v>44407</v>
      </c>
      <c r="L203" t="s">
        <v>18054</v>
      </c>
      <c r="M203" t="s">
        <v>17513</v>
      </c>
      <c r="N203" t="s">
        <v>19884</v>
      </c>
      <c r="O203" t="s">
        <v>15731</v>
      </c>
      <c r="P203">
        <v>1</v>
      </c>
      <c r="Q203" t="s">
        <v>17098</v>
      </c>
    </row>
    <row r="204" spans="1:17" x14ac:dyDescent="0.2">
      <c r="A204" s="70" t="s">
        <v>3192</v>
      </c>
      <c r="B204" t="s">
        <v>4596</v>
      </c>
      <c r="C204" t="s">
        <v>3193</v>
      </c>
      <c r="D204" s="114" t="s">
        <v>3195</v>
      </c>
      <c r="E204" s="84" t="s">
        <v>19885</v>
      </c>
      <c r="F204" t="s">
        <v>3194</v>
      </c>
      <c r="G204" t="str">
        <f>IF(O204="","Clear "&amp;N204&amp;" ("&amp;M204&amp;")","Clear "&amp;N204&amp;": "&amp;O204&amp;" ("&amp;M204&amp;")")</f>
        <v>Clear Take Your Heart (Persona 5 Strikers Caged Desire)</v>
      </c>
      <c r="H204" s="86" t="s">
        <v>2837</v>
      </c>
      <c r="I204" t="s">
        <v>543</v>
      </c>
      <c r="J204" s="84">
        <v>5</v>
      </c>
      <c r="K204" s="118">
        <v>44227</v>
      </c>
      <c r="L204" t="s">
        <v>18241</v>
      </c>
      <c r="M204" t="s">
        <v>19673</v>
      </c>
      <c r="N204" t="s">
        <v>18803</v>
      </c>
      <c r="P204">
        <v>1</v>
      </c>
      <c r="Q204" t="s">
        <v>18802</v>
      </c>
    </row>
    <row r="205" spans="1:17" x14ac:dyDescent="0.2">
      <c r="A205" s="70" t="s">
        <v>3209</v>
      </c>
      <c r="B205" t="s">
        <v>4596</v>
      </c>
      <c r="C205" t="s">
        <v>3210</v>
      </c>
      <c r="D205" s="114" t="s">
        <v>3212</v>
      </c>
      <c r="E205" s="84" t="s">
        <v>19886</v>
      </c>
      <c r="F205" t="s">
        <v>3211</v>
      </c>
      <c r="G205" t="str">
        <f>IF(O205="","Clear "&amp;N205&amp;" ("&amp;M205&amp;")","Clear "&amp;N205&amp;": "&amp;O205&amp;" ("&amp;M205&amp;")")</f>
        <v>Clear Mei Hou Wang Clash: Expert (Timeworn Torment)</v>
      </c>
      <c r="H205" s="86" t="s">
        <v>2837</v>
      </c>
      <c r="I205" t="s">
        <v>543</v>
      </c>
      <c r="J205" s="84">
        <v>5</v>
      </c>
      <c r="K205" s="118">
        <v>43980</v>
      </c>
      <c r="L205" t="s">
        <v>18017</v>
      </c>
      <c r="M205" t="s">
        <v>14214</v>
      </c>
      <c r="N205" t="s">
        <v>18552</v>
      </c>
      <c r="O205" t="s">
        <v>18033</v>
      </c>
      <c r="P205">
        <v>2</v>
      </c>
      <c r="Q205" t="s">
        <v>18553</v>
      </c>
    </row>
    <row r="206" spans="1:17" x14ac:dyDescent="0.2">
      <c r="A206" s="70" t="s">
        <v>3223</v>
      </c>
      <c r="B206" t="s">
        <v>4596</v>
      </c>
      <c r="C206" t="s">
        <v>3224</v>
      </c>
      <c r="D206" s="114" t="s">
        <v>3226</v>
      </c>
      <c r="E206" s="84" t="s">
        <v>19887</v>
      </c>
      <c r="F206" t="s">
        <v>3225</v>
      </c>
      <c r="G206" t="str">
        <f>IF(O206="","Clear "&amp;N206&amp;" ("&amp;M206&amp;")","Clear "&amp;N206&amp;": "&amp;O206&amp;" ("&amp;M206&amp;")")</f>
        <v>Clear Season's Beatings: Expert (The Miracle of Dragonyule)</v>
      </c>
      <c r="H206" s="86" t="s">
        <v>2837</v>
      </c>
      <c r="I206" t="s">
        <v>543</v>
      </c>
      <c r="J206" s="84">
        <v>5</v>
      </c>
      <c r="K206" s="118">
        <v>43811</v>
      </c>
      <c r="L206" t="s">
        <v>18046</v>
      </c>
      <c r="M206" t="s">
        <v>14001</v>
      </c>
      <c r="N206" t="s">
        <v>18121</v>
      </c>
      <c r="O206" t="s">
        <v>18033</v>
      </c>
      <c r="P206">
        <v>1</v>
      </c>
      <c r="Q206" t="s">
        <v>18120</v>
      </c>
    </row>
    <row r="207" spans="1:17" x14ac:dyDescent="0.2">
      <c r="A207" s="70" t="s">
        <v>3237</v>
      </c>
      <c r="B207" t="s">
        <v>4596</v>
      </c>
      <c r="C207" t="s">
        <v>3238</v>
      </c>
      <c r="D207" s="114" t="s">
        <v>3240</v>
      </c>
      <c r="E207" s="84" t="s">
        <v>19888</v>
      </c>
      <c r="F207" t="s">
        <v>3239</v>
      </c>
      <c r="G207" t="str">
        <f>"Clear "&amp;N207&amp;": "&amp;O207</f>
        <v>Clear Lightsunder Ruins: Expert</v>
      </c>
      <c r="H207" s="86" t="s">
        <v>2837</v>
      </c>
      <c r="I207" t="s">
        <v>543</v>
      </c>
      <c r="J207" s="84">
        <v>5</v>
      </c>
      <c r="K207" s="118">
        <v>43370</v>
      </c>
      <c r="L207" t="s">
        <v>18054</v>
      </c>
      <c r="M207" t="s">
        <v>14035</v>
      </c>
      <c r="N207" t="s">
        <v>19182</v>
      </c>
      <c r="O207" t="s">
        <v>18033</v>
      </c>
      <c r="P207">
        <v>3</v>
      </c>
      <c r="Q207" t="s">
        <v>19184</v>
      </c>
    </row>
    <row r="208" spans="1:17" x14ac:dyDescent="0.2">
      <c r="A208" s="70" t="s">
        <v>3250</v>
      </c>
      <c r="B208" t="s">
        <v>4596</v>
      </c>
      <c r="C208" t="s">
        <v>3251</v>
      </c>
      <c r="D208" s="115" t="s">
        <v>3253</v>
      </c>
      <c r="E208" s="84" t="s">
        <v>19889</v>
      </c>
      <c r="F208" t="s">
        <v>3252</v>
      </c>
      <c r="G208" t="str">
        <f>IF(O208="","Clear "&amp;N208&amp;" ("&amp;M208&amp;")","Clear "&amp;N208&amp;": "&amp;O208&amp;" ("&amp;M208&amp;")")</f>
        <v>Clear A Fiendish Performance: Expert (A Crescendo of Courage)</v>
      </c>
      <c r="H208" s="86" t="s">
        <v>2837</v>
      </c>
      <c r="I208" t="s">
        <v>543</v>
      </c>
      <c r="J208" s="84">
        <v>4</v>
      </c>
      <c r="K208" s="118">
        <v>43690</v>
      </c>
      <c r="L208" t="s">
        <v>18046</v>
      </c>
      <c r="M208" t="s">
        <v>14105</v>
      </c>
      <c r="N208" t="s">
        <v>18314</v>
      </c>
      <c r="O208" t="s">
        <v>18033</v>
      </c>
      <c r="P208">
        <v>3</v>
      </c>
      <c r="Q208" t="s">
        <v>18316</v>
      </c>
    </row>
    <row r="209" spans="1:17" x14ac:dyDescent="0.2">
      <c r="A209" s="70" t="s">
        <v>3264</v>
      </c>
      <c r="B209" t="s">
        <v>4596</v>
      </c>
      <c r="C209" t="s">
        <v>3265</v>
      </c>
      <c r="D209" s="114" t="s">
        <v>3267</v>
      </c>
      <c r="E209" s="84" t="s">
        <v>19890</v>
      </c>
      <c r="F209" t="s">
        <v>3266</v>
      </c>
      <c r="G209" t="str">
        <f>+N209</f>
        <v>Complete Tutorial</v>
      </c>
      <c r="H209" s="86" t="s">
        <v>2837</v>
      </c>
      <c r="I209" t="s">
        <v>543</v>
      </c>
      <c r="J209" s="84">
        <v>3</v>
      </c>
      <c r="K209" s="118">
        <v>43370</v>
      </c>
      <c r="L209" t="s">
        <v>18054</v>
      </c>
      <c r="M209" t="s">
        <v>13720</v>
      </c>
      <c r="N209" t="s">
        <v>276</v>
      </c>
      <c r="Q209" t="s">
        <v>137</v>
      </c>
    </row>
    <row r="210" spans="1:17" x14ac:dyDescent="0.2">
      <c r="A210" s="70" t="s">
        <v>3278</v>
      </c>
      <c r="B210" t="s">
        <v>4596</v>
      </c>
      <c r="C210" t="s">
        <v>3279</v>
      </c>
      <c r="D210" s="115" t="s">
        <v>3281</v>
      </c>
      <c r="E210" s="84" t="s">
        <v>19891</v>
      </c>
      <c r="F210" t="s">
        <v>3280</v>
      </c>
      <c r="G210" t="str">
        <f t="shared" ref="G210:G216" si="9">IF(O210="","Clear "&amp;N210&amp;" ("&amp;M210&amp;")","Clear "&amp;N210&amp;": "&amp;O210&amp;" ("&amp;M210&amp;")")</f>
        <v>Clear In Pursuit of Truth: Master (Divine Deception)</v>
      </c>
      <c r="H210" s="86" t="s">
        <v>2837</v>
      </c>
      <c r="I210" t="s">
        <v>645</v>
      </c>
      <c r="J210" s="84">
        <v>5</v>
      </c>
      <c r="K210" s="118">
        <v>44253</v>
      </c>
      <c r="L210" t="s">
        <v>18046</v>
      </c>
      <c r="M210" t="s">
        <v>14286</v>
      </c>
      <c r="N210" t="s">
        <v>18846</v>
      </c>
      <c r="O210" t="s">
        <v>18061</v>
      </c>
      <c r="P210">
        <v>2</v>
      </c>
      <c r="Q210" t="s">
        <v>18847</v>
      </c>
    </row>
    <row r="211" spans="1:17" x14ac:dyDescent="0.2">
      <c r="A211" s="70" t="s">
        <v>3294</v>
      </c>
      <c r="B211" t="s">
        <v>4596</v>
      </c>
      <c r="C211" t="s">
        <v>3295</v>
      </c>
      <c r="D211" s="114" t="s">
        <v>3297</v>
      </c>
      <c r="E211" s="84" t="s">
        <v>19892</v>
      </c>
      <c r="F211" t="s">
        <v>3296</v>
      </c>
      <c r="G211" t="str">
        <f t="shared" si="9"/>
        <v>Clear Thórr's Hammer (Fire Emblem: Kindred Ties)</v>
      </c>
      <c r="H211" s="86" t="s">
        <v>2837</v>
      </c>
      <c r="I211" t="s">
        <v>645</v>
      </c>
      <c r="J211" s="84">
        <v>5</v>
      </c>
      <c r="K211" s="118">
        <v>43951</v>
      </c>
      <c r="L211" t="s">
        <v>18241</v>
      </c>
      <c r="M211" t="s">
        <v>14206</v>
      </c>
      <c r="N211" t="s">
        <v>18497</v>
      </c>
      <c r="P211">
        <v>1</v>
      </c>
      <c r="Q211" t="s">
        <v>18496</v>
      </c>
    </row>
    <row r="212" spans="1:17" x14ac:dyDescent="0.2">
      <c r="A212" s="70" t="s">
        <v>3308</v>
      </c>
      <c r="B212" t="s">
        <v>4596</v>
      </c>
      <c r="C212" t="s">
        <v>3309</v>
      </c>
      <c r="D212" s="114" t="s">
        <v>3311</v>
      </c>
      <c r="E212" s="84" t="s">
        <v>19893</v>
      </c>
      <c r="F212" t="s">
        <v>3310</v>
      </c>
      <c r="G212" t="str">
        <f t="shared" si="9"/>
        <v>Clear The Dreadking's Domain (Monster Hunter Primal Crisis)</v>
      </c>
      <c r="H212" s="86" t="s">
        <v>2837</v>
      </c>
      <c r="I212" t="s">
        <v>645</v>
      </c>
      <c r="J212" s="84">
        <v>5</v>
      </c>
      <c r="K212" s="118">
        <v>43859</v>
      </c>
      <c r="L212" t="s">
        <v>18241</v>
      </c>
      <c r="M212" t="s">
        <v>19631</v>
      </c>
      <c r="N212" t="s">
        <v>18435</v>
      </c>
      <c r="P212">
        <v>1</v>
      </c>
      <c r="Q212" t="s">
        <v>18434</v>
      </c>
    </row>
    <row r="213" spans="1:17" x14ac:dyDescent="0.2">
      <c r="A213" s="70" t="s">
        <v>3321</v>
      </c>
      <c r="B213" t="s">
        <v>4596</v>
      </c>
      <c r="C213" t="s">
        <v>3322</v>
      </c>
      <c r="D213" s="114" t="s">
        <v>3324</v>
      </c>
      <c r="E213" s="84" t="s">
        <v>19894</v>
      </c>
      <c r="F213" t="s">
        <v>3323</v>
      </c>
      <c r="G213" t="str">
        <f t="shared" si="9"/>
        <v>Clear Halloween Horrors: Master (Trick or Treasure!)</v>
      </c>
      <c r="H213" s="86" t="s">
        <v>2837</v>
      </c>
      <c r="I213" t="s">
        <v>645</v>
      </c>
      <c r="J213" s="84">
        <v>5</v>
      </c>
      <c r="K213" s="118">
        <v>43390</v>
      </c>
      <c r="L213" t="s">
        <v>18046</v>
      </c>
      <c r="M213" t="s">
        <v>13967</v>
      </c>
      <c r="N213" t="s">
        <v>18059</v>
      </c>
      <c r="O213" t="s">
        <v>18061</v>
      </c>
      <c r="P213">
        <v>2</v>
      </c>
      <c r="Q213" t="s">
        <v>18060</v>
      </c>
    </row>
    <row r="214" spans="1:17" x14ac:dyDescent="0.2">
      <c r="A214" s="70" t="s">
        <v>3334</v>
      </c>
      <c r="B214" t="s">
        <v>4596</v>
      </c>
      <c r="C214" t="s">
        <v>3335</v>
      </c>
      <c r="D214" s="114" t="s">
        <v>3337</v>
      </c>
      <c r="E214" s="84" t="s">
        <v>19895</v>
      </c>
      <c r="F214" t="s">
        <v>3336</v>
      </c>
      <c r="G214" t="str">
        <f t="shared" si="9"/>
        <v>Clear Top Star Trial: Master (Dream Big Under the Big Top)</v>
      </c>
      <c r="H214" s="86" t="s">
        <v>2837</v>
      </c>
      <c r="I214" t="s">
        <v>645</v>
      </c>
      <c r="J214" s="84">
        <v>5</v>
      </c>
      <c r="K214" s="118">
        <v>43480</v>
      </c>
      <c r="L214" t="s">
        <v>18046</v>
      </c>
      <c r="M214" t="s">
        <v>14017</v>
      </c>
      <c r="N214" t="s">
        <v>18153</v>
      </c>
      <c r="O214" t="s">
        <v>18061</v>
      </c>
      <c r="P214">
        <v>2</v>
      </c>
      <c r="Q214" t="s">
        <v>18154</v>
      </c>
    </row>
    <row r="215" spans="1:17" x14ac:dyDescent="0.2">
      <c r="A215" s="70" t="s">
        <v>3349</v>
      </c>
      <c r="B215" t="s">
        <v>4596</v>
      </c>
      <c r="C215" t="s">
        <v>3350</v>
      </c>
      <c r="D215" s="114" t="s">
        <v>3352</v>
      </c>
      <c r="E215" s="84" t="s">
        <v>19896</v>
      </c>
      <c r="F215" t="s">
        <v>3351</v>
      </c>
      <c r="G215" t="str">
        <f t="shared" si="9"/>
        <v>Clear Mei Hou Wang Clash: Nightmare (Timeworn Torment)</v>
      </c>
      <c r="H215" s="86" t="s">
        <v>2837</v>
      </c>
      <c r="I215" t="s">
        <v>645</v>
      </c>
      <c r="J215" s="84">
        <v>4</v>
      </c>
      <c r="K215" s="118">
        <v>43980</v>
      </c>
      <c r="L215" t="s">
        <v>18017</v>
      </c>
      <c r="M215" t="s">
        <v>14214</v>
      </c>
      <c r="N215" t="s">
        <v>18552</v>
      </c>
      <c r="O215" t="s">
        <v>18041</v>
      </c>
      <c r="P215">
        <v>4</v>
      </c>
      <c r="Q215" t="s">
        <v>18555</v>
      </c>
    </row>
    <row r="216" spans="1:17" x14ac:dyDescent="0.2">
      <c r="A216" s="70" t="s">
        <v>3364</v>
      </c>
      <c r="B216" t="s">
        <v>4596</v>
      </c>
      <c r="C216" t="s">
        <v>3365</v>
      </c>
      <c r="D216" s="114" t="s">
        <v>3367</v>
      </c>
      <c r="E216" s="84" t="s">
        <v>19897</v>
      </c>
      <c r="F216" t="s">
        <v>3366</v>
      </c>
      <c r="G216" t="str">
        <f t="shared" si="9"/>
        <v>Clear Light Legion's Trial: Standard (Trials of the Mighty)</v>
      </c>
      <c r="H216" s="86" t="s">
        <v>2837</v>
      </c>
      <c r="I216" t="s">
        <v>645</v>
      </c>
      <c r="J216" s="84">
        <v>4</v>
      </c>
      <c r="K216" s="118">
        <v>43370</v>
      </c>
      <c r="L216" t="s">
        <v>18054</v>
      </c>
      <c r="M216" t="s">
        <v>19456</v>
      </c>
      <c r="N216" t="s">
        <v>19509</v>
      </c>
      <c r="O216" t="s">
        <v>18054</v>
      </c>
      <c r="P216">
        <v>1</v>
      </c>
      <c r="Q216" t="s">
        <v>19508</v>
      </c>
    </row>
    <row r="217" spans="1:17" x14ac:dyDescent="0.2">
      <c r="A217" s="70" t="s">
        <v>3377</v>
      </c>
      <c r="B217" t="s">
        <v>4596</v>
      </c>
      <c r="C217" t="s">
        <v>3378</v>
      </c>
      <c r="D217" s="114" t="s">
        <v>3380</v>
      </c>
      <c r="E217" s="84" t="s">
        <v>19898</v>
      </c>
      <c r="F217" t="s">
        <v>3379</v>
      </c>
      <c r="G217" t="str">
        <f>+N217</f>
        <v>Complete Tutorial</v>
      </c>
      <c r="H217" s="86" t="s">
        <v>2837</v>
      </c>
      <c r="I217" t="s">
        <v>645</v>
      </c>
      <c r="J217" s="84">
        <v>3</v>
      </c>
      <c r="K217" s="118">
        <v>43370</v>
      </c>
      <c r="L217" t="s">
        <v>18054</v>
      </c>
      <c r="M217" t="s">
        <v>13720</v>
      </c>
      <c r="N217" t="s">
        <v>276</v>
      </c>
      <c r="Q217" t="s">
        <v>137</v>
      </c>
    </row>
    <row r="218" spans="1:17" x14ac:dyDescent="0.2">
      <c r="A218" s="70" t="s">
        <v>3390</v>
      </c>
      <c r="B218" t="s">
        <v>4596</v>
      </c>
      <c r="C218" t="s">
        <v>3391</v>
      </c>
      <c r="D218" s="114" t="s">
        <v>3393</v>
      </c>
      <c r="E218" s="84" t="s">
        <v>19899</v>
      </c>
      <c r="F218" t="s">
        <v>3392</v>
      </c>
      <c r="G218" t="str">
        <f>IF(O218="","Clear "&amp;N218&amp;" ("&amp;M218&amp;")","Clear "&amp;N218&amp;": "&amp;O218&amp;" ("&amp;M218&amp;")")</f>
        <v>Clear Repelling the Forest's Aggressors: Expert (The Children of Yggdrasil)</v>
      </c>
      <c r="H218" s="86" t="s">
        <v>2837</v>
      </c>
      <c r="I218" t="s">
        <v>759</v>
      </c>
      <c r="J218" s="84">
        <v>5</v>
      </c>
      <c r="K218" s="118">
        <v>44350</v>
      </c>
      <c r="L218" t="s">
        <v>18933</v>
      </c>
      <c r="M218" t="s">
        <v>14303</v>
      </c>
      <c r="N218" t="s">
        <v>18934</v>
      </c>
      <c r="O218" t="s">
        <v>18033</v>
      </c>
      <c r="P218">
        <v>3</v>
      </c>
      <c r="Q218" t="s">
        <v>18935</v>
      </c>
    </row>
    <row r="219" spans="1:17" x14ac:dyDescent="0.2">
      <c r="A219" s="70" t="s">
        <v>3406</v>
      </c>
      <c r="B219" t="s">
        <v>4596</v>
      </c>
      <c r="C219" t="s">
        <v>3407</v>
      </c>
      <c r="D219" s="114" t="s">
        <v>3409</v>
      </c>
      <c r="E219" s="84" t="s">
        <v>19900</v>
      </c>
      <c r="F219" t="s">
        <v>3408</v>
      </c>
      <c r="G219" t="str">
        <f>IF(O219="","Clear "&amp;N219&amp;" ("&amp;M219&amp;")","Clear "&amp;N219&amp;": "&amp;O219&amp;" ("&amp;M219&amp;")")</f>
        <v>Clear Defensive Battle: EX (Summertime Saviors)</v>
      </c>
      <c r="H219" s="86" t="s">
        <v>2837</v>
      </c>
      <c r="I219" t="s">
        <v>759</v>
      </c>
      <c r="J219" s="84">
        <v>5</v>
      </c>
      <c r="K219" s="118">
        <v>44027</v>
      </c>
      <c r="L219" t="s">
        <v>18588</v>
      </c>
      <c r="M219" t="s">
        <v>14225</v>
      </c>
      <c r="N219" t="s">
        <v>19628</v>
      </c>
      <c r="O219" t="s">
        <v>18039</v>
      </c>
      <c r="P219">
        <v>5</v>
      </c>
      <c r="Q219" t="s">
        <v>18603</v>
      </c>
    </row>
    <row r="220" spans="1:17" x14ac:dyDescent="0.2">
      <c r="A220" s="70" t="s">
        <v>3422</v>
      </c>
      <c r="B220" t="s">
        <v>4596</v>
      </c>
      <c r="C220" t="s">
        <v>3423</v>
      </c>
      <c r="D220" s="115" t="s">
        <v>3425</v>
      </c>
      <c r="E220" s="84" t="s">
        <v>19901</v>
      </c>
      <c r="F220" t="s">
        <v>3424</v>
      </c>
      <c r="G220" t="str">
        <f>IF(O220="","Clear "&amp;N220&amp;" ("&amp;M220&amp;")","Clear "&amp;N220&amp;": "&amp;O220&amp;" ("&amp;M220&amp;")")</f>
        <v>Clear Can't Stop the Beatdown!: Master (A Crescendo of Courage)</v>
      </c>
      <c r="H220" s="86" t="s">
        <v>2837</v>
      </c>
      <c r="I220" t="s">
        <v>759</v>
      </c>
      <c r="J220" s="84">
        <v>5</v>
      </c>
      <c r="K220" s="118">
        <v>43690</v>
      </c>
      <c r="L220" t="s">
        <v>18046</v>
      </c>
      <c r="M220" t="s">
        <v>14105</v>
      </c>
      <c r="N220" t="s">
        <v>18318</v>
      </c>
      <c r="O220" t="s">
        <v>18061</v>
      </c>
      <c r="P220">
        <v>2</v>
      </c>
      <c r="Q220" t="s">
        <v>18319</v>
      </c>
    </row>
    <row r="221" spans="1:17" x14ac:dyDescent="0.2">
      <c r="A221" s="70" t="s">
        <v>3437</v>
      </c>
      <c r="B221" t="s">
        <v>4596</v>
      </c>
      <c r="C221" t="s">
        <v>3438</v>
      </c>
      <c r="D221" s="114" t="s">
        <v>3440</v>
      </c>
      <c r="E221" s="84" t="s">
        <v>19902</v>
      </c>
      <c r="F221" t="s">
        <v>3439</v>
      </c>
      <c r="G221" t="str">
        <f>IF(O221="","Clear "&amp;N221&amp;" ("&amp;M221&amp;")","Clear "&amp;N221&amp;": "&amp;O221&amp;" ("&amp;M221&amp;")")</f>
        <v>Clear Forward Without Hesitation (Resplendent Refrain)</v>
      </c>
      <c r="H221" s="86" t="s">
        <v>2837</v>
      </c>
      <c r="I221" t="s">
        <v>759</v>
      </c>
      <c r="J221" s="84">
        <v>4</v>
      </c>
      <c r="K221" s="118">
        <v>43434</v>
      </c>
      <c r="L221" t="s">
        <v>18017</v>
      </c>
      <c r="M221" t="s">
        <v>13990</v>
      </c>
      <c r="N221" t="s">
        <v>18101</v>
      </c>
      <c r="P221">
        <v>1</v>
      </c>
      <c r="Q221" t="s">
        <v>18100</v>
      </c>
    </row>
    <row r="222" spans="1:17" x14ac:dyDescent="0.2">
      <c r="A222" s="70" t="s">
        <v>3452</v>
      </c>
      <c r="B222" t="s">
        <v>4596</v>
      </c>
      <c r="C222" t="s">
        <v>3453</v>
      </c>
      <c r="D222" s="114" t="s">
        <v>3455</v>
      </c>
      <c r="E222" s="84" t="s">
        <v>19903</v>
      </c>
      <c r="F222" t="s">
        <v>3454</v>
      </c>
      <c r="G222" t="str">
        <f>IF(O222="","Clear "&amp;N222&amp;" ("&amp;M222&amp;")","Clear "&amp;N222&amp;": "&amp;O222&amp;" ("&amp;M222&amp;")")</f>
        <v>Clear The Mercurial Gauntlet (Light): Lv. 40 (The Mercurial Gauntlet)</v>
      </c>
      <c r="H222" s="86" t="s">
        <v>2837</v>
      </c>
      <c r="I222" t="s">
        <v>759</v>
      </c>
      <c r="J222" s="84">
        <v>4</v>
      </c>
      <c r="K222" s="118">
        <v>43370</v>
      </c>
      <c r="L222" t="s">
        <v>18054</v>
      </c>
      <c r="M222" t="s">
        <v>19636</v>
      </c>
      <c r="N222" s="86" t="s">
        <v>19863</v>
      </c>
      <c r="O222" t="s">
        <v>19700</v>
      </c>
      <c r="Q222" t="s">
        <v>137</v>
      </c>
    </row>
    <row r="223" spans="1:17" x14ac:dyDescent="0.2">
      <c r="A223" s="70" t="s">
        <v>3468</v>
      </c>
      <c r="B223" t="s">
        <v>4596</v>
      </c>
      <c r="C223" t="s">
        <v>3469</v>
      </c>
      <c r="D223" s="114" t="s">
        <v>3471</v>
      </c>
      <c r="E223" s="84" t="s">
        <v>19904</v>
      </c>
      <c r="F223" t="s">
        <v>3470</v>
      </c>
      <c r="G223" t="str">
        <f>+"Clear "&amp;N223&amp;" of the Main Campaign ("&amp;O223&amp;")"</f>
        <v>Clear Ch. 02 2-1 of the Main Campaign (Normal)</v>
      </c>
      <c r="H223" s="86" t="s">
        <v>2837</v>
      </c>
      <c r="I223" t="s">
        <v>759</v>
      </c>
      <c r="J223" s="84">
        <v>4</v>
      </c>
      <c r="K223" s="118">
        <v>43370</v>
      </c>
      <c r="L223" t="s">
        <v>18054</v>
      </c>
      <c r="M223" t="s">
        <v>17513</v>
      </c>
      <c r="N223" t="s">
        <v>19905</v>
      </c>
      <c r="O223" t="s">
        <v>15731</v>
      </c>
      <c r="P223">
        <v>1</v>
      </c>
      <c r="Q223" t="s">
        <v>15813</v>
      </c>
    </row>
    <row r="224" spans="1:17" x14ac:dyDescent="0.2">
      <c r="A224" s="70" t="s">
        <v>3482</v>
      </c>
      <c r="B224" t="s">
        <v>4596</v>
      </c>
      <c r="C224" t="s">
        <v>3483</v>
      </c>
      <c r="D224" s="114" t="s">
        <v>3485</v>
      </c>
      <c r="E224" s="84" t="s">
        <v>19906</v>
      </c>
      <c r="F224" t="s">
        <v>3484</v>
      </c>
      <c r="G224" t="str">
        <f t="shared" ref="G224:G233" si="10">IF(O224="","Clear "&amp;N224&amp;" ("&amp;M224&amp;")","Clear "&amp;N224&amp;": "&amp;O224&amp;" ("&amp;M224&amp;")")</f>
        <v>Clear Battle in the Dornith Mountains: Beginner (The Imperial Onslaught)</v>
      </c>
      <c r="H224" s="86" t="s">
        <v>2837</v>
      </c>
      <c r="I224" t="s">
        <v>759</v>
      </c>
      <c r="J224" s="84">
        <v>3</v>
      </c>
      <c r="K224" s="118">
        <v>43370</v>
      </c>
      <c r="L224" t="s">
        <v>18054</v>
      </c>
      <c r="M224" t="s">
        <v>13954</v>
      </c>
      <c r="N224" t="s">
        <v>19243</v>
      </c>
      <c r="O224" t="s">
        <v>18031</v>
      </c>
      <c r="P224">
        <v>1</v>
      </c>
      <c r="Q224" t="s">
        <v>19242</v>
      </c>
    </row>
    <row r="225" spans="1:17" x14ac:dyDescent="0.2">
      <c r="A225" s="70" t="s">
        <v>3496</v>
      </c>
      <c r="B225" t="s">
        <v>4596</v>
      </c>
      <c r="C225" t="s">
        <v>3497</v>
      </c>
      <c r="D225" s="114" t="s">
        <v>3499</v>
      </c>
      <c r="E225" s="84" t="s">
        <v>19907</v>
      </c>
      <c r="F225" t="s">
        <v>3498</v>
      </c>
      <c r="G225" t="str">
        <f t="shared" si="10"/>
        <v>Clear True Bahamut Clash: Expert (Advent of the Origin)</v>
      </c>
      <c r="H225" s="86" t="s">
        <v>2837</v>
      </c>
      <c r="I225" t="s">
        <v>839</v>
      </c>
      <c r="J225" s="84">
        <v>5</v>
      </c>
      <c r="K225" s="118">
        <v>44651</v>
      </c>
      <c r="L225" t="s">
        <v>18017</v>
      </c>
      <c r="M225" t="s">
        <v>14355</v>
      </c>
      <c r="N225" t="s">
        <v>19149</v>
      </c>
      <c r="O225" t="s">
        <v>18033</v>
      </c>
      <c r="P225">
        <v>2</v>
      </c>
      <c r="Q225" t="s">
        <v>19150</v>
      </c>
    </row>
    <row r="226" spans="1:17" x14ac:dyDescent="0.2">
      <c r="A226" s="70" t="s">
        <v>3512</v>
      </c>
      <c r="B226" t="s">
        <v>4596</v>
      </c>
      <c r="C226" t="s">
        <v>3513</v>
      </c>
      <c r="D226" s="114" t="s">
        <v>3515</v>
      </c>
      <c r="E226" s="84" t="s">
        <v>19908</v>
      </c>
      <c r="F226" t="s">
        <v>3514</v>
      </c>
      <c r="G226" t="str">
        <f t="shared" si="10"/>
        <v>Clear Kanaloa Clash: Expert (Stranded Scions)</v>
      </c>
      <c r="H226" s="86" t="s">
        <v>2837</v>
      </c>
      <c r="I226" t="s">
        <v>839</v>
      </c>
      <c r="J226" s="84">
        <v>5</v>
      </c>
      <c r="K226" s="118">
        <v>44412</v>
      </c>
      <c r="L226" t="s">
        <v>18017</v>
      </c>
      <c r="M226" t="s">
        <v>14311</v>
      </c>
      <c r="N226" t="s">
        <v>18993</v>
      </c>
      <c r="O226" t="s">
        <v>18033</v>
      </c>
      <c r="P226">
        <v>2</v>
      </c>
      <c r="Q226" t="s">
        <v>18994</v>
      </c>
    </row>
    <row r="227" spans="1:17" x14ac:dyDescent="0.2">
      <c r="A227" s="70" t="s">
        <v>3528</v>
      </c>
      <c r="B227" t="s">
        <v>4596</v>
      </c>
      <c r="C227" t="s">
        <v>3529</v>
      </c>
      <c r="D227" s="114" t="s">
        <v>3531</v>
      </c>
      <c r="E227" s="84" t="s">
        <v>19909</v>
      </c>
      <c r="F227" t="s">
        <v>3530</v>
      </c>
      <c r="G227" t="str">
        <f t="shared" si="10"/>
        <v>Clear Defying Xuan Zang: Expert (Timeworn Torment)</v>
      </c>
      <c r="H227" s="86" t="s">
        <v>2837</v>
      </c>
      <c r="I227" t="s">
        <v>839</v>
      </c>
      <c r="J227" s="84">
        <v>5</v>
      </c>
      <c r="K227" s="118">
        <v>43980</v>
      </c>
      <c r="L227" t="s">
        <v>18017</v>
      </c>
      <c r="M227" t="s">
        <v>14214</v>
      </c>
      <c r="N227" t="s">
        <v>18549</v>
      </c>
      <c r="O227" t="s">
        <v>18033</v>
      </c>
      <c r="P227">
        <v>2</v>
      </c>
      <c r="Q227" t="s">
        <v>18550</v>
      </c>
    </row>
    <row r="228" spans="1:17" x14ac:dyDescent="0.2">
      <c r="A228" s="70" t="s">
        <v>3542</v>
      </c>
      <c r="B228" t="s">
        <v>4596</v>
      </c>
      <c r="C228" t="s">
        <v>3543</v>
      </c>
      <c r="D228" s="114" t="s">
        <v>3545</v>
      </c>
      <c r="E228" s="84" t="s">
        <v>19910</v>
      </c>
      <c r="F228" t="s">
        <v>3544</v>
      </c>
      <c r="G228" t="str">
        <f t="shared" si="10"/>
        <v>Clear Battle with Peony: Hard (Fire Emblem: Kindred Ties)</v>
      </c>
      <c r="H228" s="86" t="s">
        <v>2837</v>
      </c>
      <c r="I228" t="s">
        <v>839</v>
      </c>
      <c r="J228" s="84">
        <v>5</v>
      </c>
      <c r="K228" s="118">
        <v>43951</v>
      </c>
      <c r="L228" t="s">
        <v>18241</v>
      </c>
      <c r="M228" t="s">
        <v>14206</v>
      </c>
      <c r="N228" t="s">
        <v>18499</v>
      </c>
      <c r="O228" t="s">
        <v>15732</v>
      </c>
      <c r="P228">
        <v>2</v>
      </c>
      <c r="Q228" t="s">
        <v>18500</v>
      </c>
    </row>
    <row r="229" spans="1:17" x14ac:dyDescent="0.2">
      <c r="A229" s="70" t="s">
        <v>3557</v>
      </c>
      <c r="B229" t="s">
        <v>4596</v>
      </c>
      <c r="C229" t="s">
        <v>3558</v>
      </c>
      <c r="D229" s="114" t="s">
        <v>3560</v>
      </c>
      <c r="E229" s="84" t="s">
        <v>19911</v>
      </c>
      <c r="F229" t="s">
        <v>3559</v>
      </c>
      <c r="G229" t="str">
        <f t="shared" si="10"/>
        <v>Clear Sabnock Clash: Nightmare (Resplendent Refrain)</v>
      </c>
      <c r="H229" s="86" t="s">
        <v>2837</v>
      </c>
      <c r="I229" t="s">
        <v>839</v>
      </c>
      <c r="J229" s="84">
        <v>5</v>
      </c>
      <c r="K229" s="118">
        <v>43434</v>
      </c>
      <c r="L229" t="s">
        <v>18017</v>
      </c>
      <c r="M229" t="s">
        <v>13990</v>
      </c>
      <c r="N229" t="s">
        <v>18108</v>
      </c>
      <c r="O229" t="s">
        <v>18041</v>
      </c>
      <c r="P229">
        <v>5</v>
      </c>
      <c r="Q229" t="s">
        <v>18111</v>
      </c>
    </row>
    <row r="230" spans="1:17" x14ac:dyDescent="0.2">
      <c r="A230" s="70" t="s">
        <v>3571</v>
      </c>
      <c r="B230" t="s">
        <v>4596</v>
      </c>
      <c r="C230" t="s">
        <v>3572</v>
      </c>
      <c r="D230" s="114" t="s">
        <v>3574</v>
      </c>
      <c r="E230" s="84" t="s">
        <v>19912</v>
      </c>
      <c r="F230" t="s">
        <v>3573</v>
      </c>
      <c r="G230" t="str">
        <f t="shared" si="10"/>
        <v>Clear Into the Woods (A Clawful Caper)</v>
      </c>
      <c r="H230" s="86" t="s">
        <v>2837</v>
      </c>
      <c r="I230" t="s">
        <v>839</v>
      </c>
      <c r="J230" s="84">
        <v>4</v>
      </c>
      <c r="K230" s="118">
        <v>43830</v>
      </c>
      <c r="L230" t="s">
        <v>18017</v>
      </c>
      <c r="M230" t="s">
        <v>14158</v>
      </c>
      <c r="N230" t="s">
        <v>18413</v>
      </c>
      <c r="P230">
        <v>1</v>
      </c>
      <c r="Q230" t="s">
        <v>18412</v>
      </c>
    </row>
    <row r="231" spans="1:17" x14ac:dyDescent="0.2">
      <c r="A231" s="70" t="s">
        <v>3584</v>
      </c>
      <c r="B231" t="s">
        <v>4596</v>
      </c>
      <c r="C231" t="s">
        <v>3585</v>
      </c>
      <c r="D231" s="114" t="s">
        <v>3587</v>
      </c>
      <c r="E231" s="84" t="s">
        <v>19913</v>
      </c>
      <c r="F231" t="s">
        <v>3586</v>
      </c>
      <c r="G231" t="str">
        <f t="shared" si="10"/>
        <v>Clear The Mercurial Gauntlet (Light): Lv. 10 (The Mercurial Gauntlet)</v>
      </c>
      <c r="H231" s="86" t="s">
        <v>2837</v>
      </c>
      <c r="I231" t="s">
        <v>839</v>
      </c>
      <c r="J231" s="84">
        <v>4</v>
      </c>
      <c r="K231" s="118">
        <v>43370</v>
      </c>
      <c r="L231" t="s">
        <v>18054</v>
      </c>
      <c r="M231" t="s">
        <v>19636</v>
      </c>
      <c r="N231" s="86" t="s">
        <v>19863</v>
      </c>
      <c r="O231" t="s">
        <v>19708</v>
      </c>
      <c r="Q231" t="s">
        <v>137</v>
      </c>
    </row>
    <row r="232" spans="1:17" x14ac:dyDescent="0.2">
      <c r="A232" s="70" t="s">
        <v>3597</v>
      </c>
      <c r="B232" t="s">
        <v>4596</v>
      </c>
      <c r="C232" t="s">
        <v>3598</v>
      </c>
      <c r="D232" s="114" t="s">
        <v>3600</v>
      </c>
      <c r="E232" s="84" t="s">
        <v>19914</v>
      </c>
      <c r="F232" t="s">
        <v>3599</v>
      </c>
      <c r="G232" t="str">
        <f t="shared" si="10"/>
        <v>Clear Aquatic Cyclops Assault: Expert (Skyborne Spectacle)</v>
      </c>
      <c r="H232" s="86" t="s">
        <v>2837</v>
      </c>
      <c r="I232" t="s">
        <v>839</v>
      </c>
      <c r="J232" s="84">
        <v>3</v>
      </c>
      <c r="K232" s="118">
        <v>43496</v>
      </c>
      <c r="L232" t="s">
        <v>18017</v>
      </c>
      <c r="M232" t="s">
        <v>14028</v>
      </c>
      <c r="N232" t="s">
        <v>18166</v>
      </c>
      <c r="O232" t="s">
        <v>18033</v>
      </c>
      <c r="P232">
        <v>3</v>
      </c>
      <c r="Q232" t="s">
        <v>18167</v>
      </c>
    </row>
    <row r="233" spans="1:17" x14ac:dyDescent="0.2">
      <c r="A233" s="70" t="s">
        <v>3610</v>
      </c>
      <c r="B233" t="s">
        <v>4596</v>
      </c>
      <c r="C233" t="s">
        <v>3611</v>
      </c>
      <c r="D233" s="114" t="s">
        <v>3613</v>
      </c>
      <c r="E233" s="84" t="s">
        <v>19915</v>
      </c>
      <c r="F233" t="s">
        <v>19916</v>
      </c>
      <c r="G233" t="str">
        <f t="shared" si="10"/>
        <v>Clear Exhibition Match: Encore EX (Fortune's Fray)</v>
      </c>
      <c r="H233" s="86" t="s">
        <v>2837</v>
      </c>
      <c r="I233" t="s">
        <v>949</v>
      </c>
      <c r="J233" s="84">
        <v>5</v>
      </c>
      <c r="K233" s="118">
        <v>44574</v>
      </c>
      <c r="L233" t="s">
        <v>18773</v>
      </c>
      <c r="M233" t="s">
        <v>18774</v>
      </c>
      <c r="N233" t="s">
        <v>19675</v>
      </c>
      <c r="O233" t="s">
        <v>18796</v>
      </c>
      <c r="P233">
        <v>2</v>
      </c>
      <c r="Q233" t="s">
        <v>18795</v>
      </c>
    </row>
    <row r="234" spans="1:17" x14ac:dyDescent="0.2">
      <c r="A234" s="70" t="s">
        <v>3625</v>
      </c>
      <c r="B234" t="s">
        <v>4596</v>
      </c>
      <c r="C234" t="s">
        <v>3626</v>
      </c>
      <c r="D234" s="114" t="s">
        <v>3628</v>
      </c>
      <c r="E234" s="84" t="s">
        <v>19917</v>
      </c>
      <c r="F234" t="s">
        <v>3627</v>
      </c>
      <c r="G234" t="str">
        <f>+"Clear "&amp;N234&amp;" of the Main Campaign ("&amp;O234&amp;")"</f>
        <v>Clear Ch. 15 4-5 of the Main Campaign (Hard)</v>
      </c>
      <c r="H234" s="86" t="s">
        <v>2837</v>
      </c>
      <c r="I234" t="s">
        <v>949</v>
      </c>
      <c r="J234" s="84">
        <v>5</v>
      </c>
      <c r="K234" s="118">
        <v>44104</v>
      </c>
      <c r="L234" t="s">
        <v>18054</v>
      </c>
      <c r="M234" t="s">
        <v>17513</v>
      </c>
      <c r="N234" t="s">
        <v>19918</v>
      </c>
      <c r="O234" t="s">
        <v>15732</v>
      </c>
      <c r="P234">
        <v>1</v>
      </c>
      <c r="Q234" t="s">
        <v>17831</v>
      </c>
    </row>
    <row r="235" spans="1:17" x14ac:dyDescent="0.2">
      <c r="A235" s="70" t="s">
        <v>3640</v>
      </c>
      <c r="B235" t="s">
        <v>4596</v>
      </c>
      <c r="C235" t="s">
        <v>3641</v>
      </c>
      <c r="D235" s="114" t="s">
        <v>3643</v>
      </c>
      <c r="E235" s="84" t="s">
        <v>19919</v>
      </c>
      <c r="F235" t="s">
        <v>3642</v>
      </c>
      <c r="G235" t="str">
        <f>IF(O235="","Clear "&amp;N235&amp;" ("&amp;M235&amp;")","Clear "&amp;N235&amp;": "&amp;O235&amp;" ("&amp;M235&amp;")")</f>
        <v>Clear Battle in the Dornith Mountains: Expert (The Imperial Onslaught)</v>
      </c>
      <c r="H235" s="86" t="s">
        <v>2837</v>
      </c>
      <c r="I235" t="s">
        <v>949</v>
      </c>
      <c r="J235" s="84">
        <v>5</v>
      </c>
      <c r="K235" s="118">
        <v>43370</v>
      </c>
      <c r="L235" t="s">
        <v>18054</v>
      </c>
      <c r="M235" t="s">
        <v>13954</v>
      </c>
      <c r="N235" t="s">
        <v>19243</v>
      </c>
      <c r="O235" t="s">
        <v>18033</v>
      </c>
      <c r="P235">
        <v>3</v>
      </c>
      <c r="Q235" t="s">
        <v>19246</v>
      </c>
    </row>
    <row r="236" spans="1:17" x14ac:dyDescent="0.2">
      <c r="A236" s="70" t="s">
        <v>3651</v>
      </c>
      <c r="B236" t="s">
        <v>4596</v>
      </c>
      <c r="C236" t="s">
        <v>3652</v>
      </c>
      <c r="D236" s="115" t="s">
        <v>3654</v>
      </c>
      <c r="E236" s="84" t="s">
        <v>19920</v>
      </c>
      <c r="F236" t="s">
        <v>3653</v>
      </c>
      <c r="G236" t="str">
        <f>IF(O236="","Clear "&amp;N236&amp;" ("&amp;M236&amp;")","Clear "&amp;N236&amp;": "&amp;O236&amp;" ("&amp;M236&amp;")")</f>
        <v>Clear Save Phantom! (A Waltz with Fate)</v>
      </c>
      <c r="H236" s="86" t="s">
        <v>2837</v>
      </c>
      <c r="I236" t="s">
        <v>949</v>
      </c>
      <c r="J236" s="84">
        <v>4</v>
      </c>
      <c r="K236" s="118">
        <v>43524</v>
      </c>
      <c r="L236" t="s">
        <v>18017</v>
      </c>
      <c r="M236" t="s">
        <v>14057</v>
      </c>
      <c r="N236" t="s">
        <v>18194</v>
      </c>
      <c r="P236">
        <v>1</v>
      </c>
      <c r="Q236" t="s">
        <v>18193</v>
      </c>
    </row>
    <row r="237" spans="1:17" x14ac:dyDescent="0.2">
      <c r="A237" s="70" t="s">
        <v>3662</v>
      </c>
      <c r="B237" t="s">
        <v>4596</v>
      </c>
      <c r="C237" t="s">
        <v>3663</v>
      </c>
      <c r="D237" s="114" t="s">
        <v>3665</v>
      </c>
      <c r="E237" s="84" t="s">
        <v>19921</v>
      </c>
      <c r="F237" t="s">
        <v>3664</v>
      </c>
      <c r="G237" t="str">
        <f>IF(O237="","Clear "&amp;N237&amp;" ("&amp;M237&amp;")","Clear "&amp;N237&amp;": "&amp;O237&amp;" ("&amp;M237&amp;")")</f>
        <v>Clear Manticore Assault: Expert (Resplendent Refrain)</v>
      </c>
      <c r="H237" s="86" t="s">
        <v>2837</v>
      </c>
      <c r="I237" t="s">
        <v>949</v>
      </c>
      <c r="J237" s="84">
        <v>4</v>
      </c>
      <c r="K237" s="118">
        <v>43434</v>
      </c>
      <c r="L237" t="s">
        <v>18017</v>
      </c>
      <c r="M237" t="s">
        <v>13990</v>
      </c>
      <c r="N237" t="s">
        <v>18105</v>
      </c>
      <c r="O237" t="s">
        <v>18033</v>
      </c>
      <c r="P237">
        <v>3</v>
      </c>
      <c r="Q237" t="s">
        <v>18106</v>
      </c>
    </row>
    <row r="238" spans="1:17" x14ac:dyDescent="0.2">
      <c r="A238" s="70" t="s">
        <v>3676</v>
      </c>
      <c r="B238" t="s">
        <v>4596</v>
      </c>
      <c r="C238" t="s">
        <v>3677</v>
      </c>
      <c r="D238" s="114" t="s">
        <v>3679</v>
      </c>
      <c r="E238" s="84" t="s">
        <v>19922</v>
      </c>
      <c r="F238" t="s">
        <v>3678</v>
      </c>
      <c r="G238" t="str">
        <f>IF(O238="",N238&amp;" ("&amp;M238&amp;")",N238&amp;": "&amp;O238&amp;" ("&amp;M238&amp;")")</f>
        <v>Upgrade the Sweet Retreat to Lv. 10 (Trick or Treasure!)</v>
      </c>
      <c r="H238" s="86" t="s">
        <v>2837</v>
      </c>
      <c r="I238" t="s">
        <v>949</v>
      </c>
      <c r="J238" s="84">
        <v>4</v>
      </c>
      <c r="K238" s="118">
        <v>43390</v>
      </c>
      <c r="L238" t="s">
        <v>18046</v>
      </c>
      <c r="M238" t="s">
        <v>13967</v>
      </c>
      <c r="N238" s="87" t="s">
        <v>19923</v>
      </c>
      <c r="Q238" t="s">
        <v>19720</v>
      </c>
    </row>
    <row r="239" spans="1:17" x14ac:dyDescent="0.2">
      <c r="A239" s="70" t="s">
        <v>3688</v>
      </c>
      <c r="B239" t="s">
        <v>4596</v>
      </c>
      <c r="C239" t="s">
        <v>3689</v>
      </c>
      <c r="D239" s="114" t="s">
        <v>3691</v>
      </c>
      <c r="E239" s="84" t="s">
        <v>19924</v>
      </c>
      <c r="F239" t="s">
        <v>3690</v>
      </c>
      <c r="G239" t="str">
        <f>"Clear "&amp;N239&amp;": "&amp;O239</f>
        <v>Clear Lightsunder Ruins: Beginner</v>
      </c>
      <c r="H239" s="86" t="s">
        <v>2837</v>
      </c>
      <c r="I239" t="s">
        <v>949</v>
      </c>
      <c r="J239" s="84">
        <v>3</v>
      </c>
      <c r="K239" s="118">
        <v>43370</v>
      </c>
      <c r="L239" t="s">
        <v>18054</v>
      </c>
      <c r="M239" t="s">
        <v>14035</v>
      </c>
      <c r="N239" t="s">
        <v>19182</v>
      </c>
      <c r="O239" t="s">
        <v>18031</v>
      </c>
      <c r="P239">
        <v>1</v>
      </c>
      <c r="Q239" t="s">
        <v>19181</v>
      </c>
    </row>
    <row r="240" spans="1:17" x14ac:dyDescent="0.2">
      <c r="A240" s="70" t="s">
        <v>3702</v>
      </c>
      <c r="B240" t="s">
        <v>4596</v>
      </c>
      <c r="C240" t="s">
        <v>3703</v>
      </c>
      <c r="D240" s="114" t="s">
        <v>3705</v>
      </c>
      <c r="E240" s="84" t="s">
        <v>19925</v>
      </c>
      <c r="F240" t="s">
        <v>3704</v>
      </c>
      <c r="G240" t="str">
        <f>+N240</f>
        <v>Complete Tutorial</v>
      </c>
      <c r="H240" s="86" t="s">
        <v>2837</v>
      </c>
      <c r="I240" t="s">
        <v>949</v>
      </c>
      <c r="J240" s="84">
        <v>3</v>
      </c>
      <c r="K240" s="118">
        <v>43370</v>
      </c>
      <c r="L240" t="s">
        <v>18054</v>
      </c>
      <c r="M240" t="s">
        <v>13720</v>
      </c>
      <c r="N240" t="s">
        <v>276</v>
      </c>
      <c r="Q240" t="s">
        <v>137</v>
      </c>
    </row>
    <row r="241" spans="1:17" x14ac:dyDescent="0.2">
      <c r="A241" s="70" t="s">
        <v>3714</v>
      </c>
      <c r="B241" t="s">
        <v>4596</v>
      </c>
      <c r="C241" t="s">
        <v>3715</v>
      </c>
      <c r="D241" s="114" t="s">
        <v>3717</v>
      </c>
      <c r="E241" s="84" t="s">
        <v>19926</v>
      </c>
      <c r="F241" t="s">
        <v>3716</v>
      </c>
      <c r="G241" t="str">
        <f>IF(O241="","Clear "&amp;N241&amp;" ("&amp;M241&amp;")","Clear "&amp;N241&amp;": "&amp;O241&amp;" ("&amp;M241&amp;")")</f>
        <v>Clear Theatrical Throwdown: Master (The Clockwork Heart)</v>
      </c>
      <c r="H241" s="86" t="s">
        <v>2837</v>
      </c>
      <c r="I241" t="s">
        <v>1054</v>
      </c>
      <c r="J241" s="84">
        <v>5</v>
      </c>
      <c r="K241" s="118">
        <v>44498</v>
      </c>
      <c r="L241" t="s">
        <v>18046</v>
      </c>
      <c r="M241" t="s">
        <v>14328</v>
      </c>
      <c r="N241" t="s">
        <v>19084</v>
      </c>
      <c r="O241" t="s">
        <v>18061</v>
      </c>
      <c r="P241">
        <v>2</v>
      </c>
      <c r="Q241" t="s">
        <v>19085</v>
      </c>
    </row>
    <row r="242" spans="1:17" x14ac:dyDescent="0.2">
      <c r="A242" s="70" t="s">
        <v>3731</v>
      </c>
      <c r="B242" t="s">
        <v>4596</v>
      </c>
      <c r="C242" t="s">
        <v>3732</v>
      </c>
      <c r="D242" s="114" t="s">
        <v>3734</v>
      </c>
      <c r="E242" s="84" t="s">
        <v>19927</v>
      </c>
      <c r="F242" t="s">
        <v>3733</v>
      </c>
      <c r="G242" t="str">
        <f>IF(O242="","Clear "&amp;N242&amp;" ("&amp;M242&amp;")","Clear "&amp;N242&amp;": "&amp;O242&amp;" ("&amp;M242&amp;")")</f>
        <v>Clear Defensive Battle: Master (Ageless Artifice)</v>
      </c>
      <c r="H242" s="86" t="s">
        <v>2837</v>
      </c>
      <c r="I242" t="s">
        <v>1054</v>
      </c>
      <c r="J242" s="84">
        <v>5</v>
      </c>
      <c r="K242" s="118">
        <v>44267</v>
      </c>
      <c r="L242" t="s">
        <v>18588</v>
      </c>
      <c r="M242" t="s">
        <v>18852</v>
      </c>
      <c r="N242" t="s">
        <v>19628</v>
      </c>
      <c r="O242" t="s">
        <v>18061</v>
      </c>
      <c r="P242">
        <v>4</v>
      </c>
      <c r="Q242" t="s">
        <v>18866</v>
      </c>
    </row>
    <row r="243" spans="1:17" x14ac:dyDescent="0.2">
      <c r="A243" s="70" t="s">
        <v>3746</v>
      </c>
      <c r="B243" t="s">
        <v>4596</v>
      </c>
      <c r="C243" t="s">
        <v>3747</v>
      </c>
      <c r="D243" s="114" t="s">
        <v>3749</v>
      </c>
      <c r="E243" s="84" t="s">
        <v>19928</v>
      </c>
      <c r="F243" t="s">
        <v>3748</v>
      </c>
      <c r="G243" t="str">
        <f>IF(O243="","Clear "&amp;N243&amp;" ("&amp;M243&amp;")","Clear "&amp;N243&amp;": "&amp;O243&amp;" ("&amp;M243&amp;")")</f>
        <v>Clear Morsayati Clash: Nightmare (Forgotten Truths)</v>
      </c>
      <c r="H243" s="86" t="s">
        <v>2837</v>
      </c>
      <c r="I243" t="s">
        <v>1054</v>
      </c>
      <c r="J243" s="84">
        <v>5</v>
      </c>
      <c r="K243" s="118">
        <v>44109</v>
      </c>
      <c r="L243" t="s">
        <v>18017</v>
      </c>
      <c r="M243" t="s">
        <v>14245</v>
      </c>
      <c r="N243" t="s">
        <v>18669</v>
      </c>
      <c r="O243" t="s">
        <v>18041</v>
      </c>
      <c r="P243">
        <v>4</v>
      </c>
      <c r="Q243" t="s">
        <v>18672</v>
      </c>
    </row>
    <row r="244" spans="1:17" x14ac:dyDescent="0.2">
      <c r="A244" s="70" t="s">
        <v>3761</v>
      </c>
      <c r="B244" t="s">
        <v>4596</v>
      </c>
      <c r="C244" t="s">
        <v>3762</v>
      </c>
      <c r="D244" s="114" t="s">
        <v>3764</v>
      </c>
      <c r="E244" s="84" t="s">
        <v>19929</v>
      </c>
      <c r="F244" t="s">
        <v>3763</v>
      </c>
      <c r="G244" t="str">
        <f>+N244</f>
        <v>Complete Tutorial</v>
      </c>
      <c r="H244" s="86" t="s">
        <v>2837</v>
      </c>
      <c r="I244" t="s">
        <v>1054</v>
      </c>
      <c r="J244" s="84">
        <v>3</v>
      </c>
      <c r="K244" s="118">
        <v>44099</v>
      </c>
      <c r="L244" t="s">
        <v>18054</v>
      </c>
      <c r="M244" t="s">
        <v>13720</v>
      </c>
      <c r="N244" t="s">
        <v>276</v>
      </c>
      <c r="Q244" t="s">
        <v>137</v>
      </c>
    </row>
    <row r="245" spans="1:17" x14ac:dyDescent="0.2">
      <c r="A245" s="70" t="s">
        <v>3773</v>
      </c>
      <c r="B245" t="s">
        <v>4596</v>
      </c>
      <c r="C245" t="s">
        <v>3774</v>
      </c>
      <c r="D245" s="114" t="s">
        <v>3776</v>
      </c>
      <c r="E245" s="84" t="s">
        <v>19930</v>
      </c>
      <c r="F245" t="s">
        <v>3775</v>
      </c>
      <c r="G245" t="str">
        <f>+"Clear "&amp;N245&amp;" of the Main Campaign ("&amp;O245&amp;")"</f>
        <v>Clear Ch. 23 5-2 of the Main Campaign (Hard)</v>
      </c>
      <c r="H245" s="86" t="s">
        <v>3779</v>
      </c>
      <c r="I245" t="s">
        <v>123</v>
      </c>
      <c r="J245" s="84">
        <v>5</v>
      </c>
      <c r="K245" s="118">
        <v>44647</v>
      </c>
      <c r="L245" t="s">
        <v>18054</v>
      </c>
      <c r="M245" t="s">
        <v>17513</v>
      </c>
      <c r="N245" t="s">
        <v>19931</v>
      </c>
      <c r="O245" t="s">
        <v>15732</v>
      </c>
      <c r="P245">
        <v>1</v>
      </c>
      <c r="Q245" t="s">
        <v>17291</v>
      </c>
    </row>
    <row r="246" spans="1:17" x14ac:dyDescent="0.2">
      <c r="A246" s="70" t="s">
        <v>3792</v>
      </c>
      <c r="B246" t="s">
        <v>4596</v>
      </c>
      <c r="C246" t="s">
        <v>3793</v>
      </c>
      <c r="D246" s="114" t="s">
        <v>3795</v>
      </c>
      <c r="E246" s="84" t="s">
        <v>19932</v>
      </c>
      <c r="F246" t="s">
        <v>3794</v>
      </c>
      <c r="G246" t="str">
        <f>IF(O246="","Clear "&amp;N246&amp;" ("&amp;M246&amp;")","Clear "&amp;N246&amp;": "&amp;O246&amp;" ("&amp;M246&amp;")")</f>
        <v>Clear Elysium Clash: Expert (Dawn of Dragalia)</v>
      </c>
      <c r="H246" s="86" t="s">
        <v>3779</v>
      </c>
      <c r="I246" t="s">
        <v>123</v>
      </c>
      <c r="J246" s="84">
        <v>5</v>
      </c>
      <c r="K246" s="118">
        <v>44288</v>
      </c>
      <c r="L246" t="s">
        <v>18017</v>
      </c>
      <c r="M246" t="s">
        <v>14293</v>
      </c>
      <c r="N246" t="s">
        <v>18872</v>
      </c>
      <c r="O246" t="s">
        <v>18033</v>
      </c>
      <c r="P246">
        <v>2</v>
      </c>
      <c r="Q246" t="s">
        <v>18877</v>
      </c>
    </row>
    <row r="247" spans="1:17" x14ac:dyDescent="0.2">
      <c r="A247" s="70" t="s">
        <v>3805</v>
      </c>
      <c r="B247" t="s">
        <v>4596</v>
      </c>
      <c r="C247" t="s">
        <v>3806</v>
      </c>
      <c r="D247" s="114" t="s">
        <v>3808</v>
      </c>
      <c r="E247" s="84" t="s">
        <v>19933</v>
      </c>
      <c r="F247" t="s">
        <v>3807</v>
      </c>
      <c r="G247" t="str">
        <f>+"Clear "&amp;N247&amp;" of the Main Campaign ("&amp;O247&amp;")"</f>
        <v>Clear Ch. 12 4-3 of the Main Campaign (Hard)</v>
      </c>
      <c r="H247" s="86" t="s">
        <v>3779</v>
      </c>
      <c r="I247" t="s">
        <v>123</v>
      </c>
      <c r="J247" s="84">
        <v>5</v>
      </c>
      <c r="K247" s="118">
        <v>43917</v>
      </c>
      <c r="L247" t="s">
        <v>18054</v>
      </c>
      <c r="M247" t="s">
        <v>17513</v>
      </c>
      <c r="N247" t="s">
        <v>19934</v>
      </c>
      <c r="O247" t="s">
        <v>15732</v>
      </c>
      <c r="P247">
        <v>1</v>
      </c>
      <c r="Q247" t="s">
        <v>17774</v>
      </c>
    </row>
    <row r="248" spans="1:17" x14ac:dyDescent="0.2">
      <c r="A248" s="70" t="s">
        <v>3819</v>
      </c>
      <c r="B248" t="s">
        <v>4596</v>
      </c>
      <c r="C248" t="s">
        <v>3820</v>
      </c>
      <c r="D248" s="114" t="s">
        <v>3822</v>
      </c>
      <c r="E248" s="84" t="s">
        <v>19935</v>
      </c>
      <c r="F248" t="s">
        <v>3821</v>
      </c>
      <c r="G248" t="str">
        <f>IF(O248="","Clear "&amp;N248&amp;" ("&amp;M248&amp;")","Clear "&amp;N248&amp;": "&amp;O248&amp;" ("&amp;M248&amp;")")</f>
        <v>Clear Ebon Chimera Strike: Standard (Void Battles)</v>
      </c>
      <c r="H248" s="86" t="s">
        <v>3779</v>
      </c>
      <c r="I248" t="s">
        <v>123</v>
      </c>
      <c r="J248" s="84">
        <v>5</v>
      </c>
      <c r="K248" s="118">
        <v>43646</v>
      </c>
      <c r="L248" t="s">
        <v>18054</v>
      </c>
      <c r="M248" t="s">
        <v>19374</v>
      </c>
      <c r="N248" t="s">
        <v>19449</v>
      </c>
      <c r="O248" t="s">
        <v>18054</v>
      </c>
      <c r="P248">
        <v>1</v>
      </c>
      <c r="Q248" t="s">
        <v>19448</v>
      </c>
    </row>
    <row r="249" spans="1:17" x14ac:dyDescent="0.2">
      <c r="A249" s="70" t="s">
        <v>3834</v>
      </c>
      <c r="B249" t="s">
        <v>4596</v>
      </c>
      <c r="C249" t="s">
        <v>3835</v>
      </c>
      <c r="D249" s="114" t="s">
        <v>3837</v>
      </c>
      <c r="E249" s="84" t="s">
        <v>19936</v>
      </c>
      <c r="F249" t="s">
        <v>3836</v>
      </c>
      <c r="G249" t="str">
        <f>IF(O249="","Clear "&amp;N249&amp;" ("&amp;M249&amp;")","Clear "&amp;N249&amp;": "&amp;O249&amp;" ("&amp;M249&amp;")")</f>
        <v>Clear A Light in the Darkness (Fractured Futures)</v>
      </c>
      <c r="H249" s="86" t="s">
        <v>3779</v>
      </c>
      <c r="I249" t="s">
        <v>123</v>
      </c>
      <c r="J249" s="84">
        <v>4</v>
      </c>
      <c r="K249" s="118">
        <v>43738</v>
      </c>
      <c r="L249" t="s">
        <v>18017</v>
      </c>
      <c r="M249" t="s">
        <v>14119</v>
      </c>
      <c r="N249" t="s">
        <v>18323</v>
      </c>
      <c r="P249">
        <v>1</v>
      </c>
      <c r="Q249" t="s">
        <v>18322</v>
      </c>
    </row>
    <row r="250" spans="1:17" x14ac:dyDescent="0.2">
      <c r="A250" s="70" t="s">
        <v>3847</v>
      </c>
      <c r="B250" t="s">
        <v>4596</v>
      </c>
      <c r="C250" t="s">
        <v>3848</v>
      </c>
      <c r="D250" s="114" t="s">
        <v>3850</v>
      </c>
      <c r="E250" s="84" t="s">
        <v>19937</v>
      </c>
      <c r="F250" t="s">
        <v>3849</v>
      </c>
      <c r="G250" t="str">
        <f>IF(O250="","Clear "&amp;N250&amp;" ("&amp;M250&amp;")","Clear "&amp;N250&amp;": "&amp;O250&amp;" ("&amp;M250&amp;")")</f>
        <v>Clear The Mercurial Gauntlet (Shadow): Lv. 20 (The Mercurial Gauntlet)</v>
      </c>
      <c r="H250" s="86" t="s">
        <v>3779</v>
      </c>
      <c r="I250" t="s">
        <v>123</v>
      </c>
      <c r="J250" s="84">
        <v>4</v>
      </c>
      <c r="K250" s="118">
        <v>43370</v>
      </c>
      <c r="L250" t="s">
        <v>18054</v>
      </c>
      <c r="M250" t="s">
        <v>19636</v>
      </c>
      <c r="N250" s="86" t="s">
        <v>19938</v>
      </c>
      <c r="O250" t="s">
        <v>19671</v>
      </c>
      <c r="Q250" t="s">
        <v>137</v>
      </c>
    </row>
    <row r="251" spans="1:17" x14ac:dyDescent="0.2">
      <c r="A251" s="70" t="s">
        <v>3861</v>
      </c>
      <c r="B251" t="s">
        <v>4596</v>
      </c>
      <c r="C251" t="s">
        <v>3862</v>
      </c>
      <c r="D251" s="114" t="s">
        <v>3864</v>
      </c>
      <c r="E251" s="84" t="s">
        <v>19939</v>
      </c>
      <c r="F251" t="s">
        <v>3863</v>
      </c>
      <c r="G251" t="str">
        <f>IF(O251="","Clear "&amp;N251&amp;" ("&amp;M251&amp;")","Clear "&amp;N251&amp;": "&amp;O251&amp;" ("&amp;M251&amp;")")</f>
        <v>Clear Battle at the Wartarch Ruins: Standard (The Imperial Onslaught)</v>
      </c>
      <c r="H251" s="86" t="s">
        <v>3779</v>
      </c>
      <c r="I251" t="s">
        <v>123</v>
      </c>
      <c r="J251" s="84">
        <v>3</v>
      </c>
      <c r="K251" s="118">
        <v>43370</v>
      </c>
      <c r="L251" t="s">
        <v>18054</v>
      </c>
      <c r="M251" t="s">
        <v>13954</v>
      </c>
      <c r="N251" t="s">
        <v>19251</v>
      </c>
      <c r="O251" t="s">
        <v>18054</v>
      </c>
      <c r="P251">
        <v>2</v>
      </c>
      <c r="Q251" t="s">
        <v>19252</v>
      </c>
    </row>
    <row r="252" spans="1:17" x14ac:dyDescent="0.2">
      <c r="A252" s="70" t="s">
        <v>3875</v>
      </c>
      <c r="B252" t="s">
        <v>4596</v>
      </c>
      <c r="C252" t="s">
        <v>3876</v>
      </c>
      <c r="D252" s="114" t="s">
        <v>3878</v>
      </c>
      <c r="E252" s="84" t="s">
        <v>19940</v>
      </c>
      <c r="F252" t="s">
        <v>3877</v>
      </c>
      <c r="G252" t="str">
        <f>+"Clear "&amp;N252&amp;" of the Main Campaign ("&amp;O252&amp;")"</f>
        <v>Clear Ch. 21 6-3 of the Main Campaign (Normal)</v>
      </c>
      <c r="H252" s="86" t="s">
        <v>3779</v>
      </c>
      <c r="I252" t="s">
        <v>330</v>
      </c>
      <c r="J252" s="84">
        <v>5</v>
      </c>
      <c r="K252" s="118">
        <v>44468</v>
      </c>
      <c r="L252" t="s">
        <v>18054</v>
      </c>
      <c r="M252" t="s">
        <v>17513</v>
      </c>
      <c r="N252" t="s">
        <v>19941</v>
      </c>
      <c r="O252" t="s">
        <v>15731</v>
      </c>
      <c r="P252">
        <v>1</v>
      </c>
      <c r="Q252" t="s">
        <v>17172</v>
      </c>
    </row>
    <row r="253" spans="1:17" x14ac:dyDescent="0.2">
      <c r="A253" s="70" t="s">
        <v>3891</v>
      </c>
      <c r="B253" t="s">
        <v>4596</v>
      </c>
      <c r="C253" t="s">
        <v>3892</v>
      </c>
      <c r="D253" s="114" t="s">
        <v>3894</v>
      </c>
      <c r="E253" s="84" t="s">
        <v>19942</v>
      </c>
      <c r="F253" t="s">
        <v>3893</v>
      </c>
      <c r="G253" t="str">
        <f t="shared" ref="G253:G263" si="11">IF(O253="","Clear "&amp;N253&amp;" ("&amp;M253&amp;")","Clear "&amp;N253&amp;": "&amp;O253&amp;" ("&amp;M253&amp;")")</f>
        <v>Clear All-Out Assault: EX (Nadine and Linnea's United Front)</v>
      </c>
      <c r="H253" s="86" t="s">
        <v>3779</v>
      </c>
      <c r="I253" t="s">
        <v>330</v>
      </c>
      <c r="J253" s="84">
        <v>5</v>
      </c>
      <c r="K253" s="118">
        <v>43994</v>
      </c>
      <c r="L253" t="s">
        <v>18560</v>
      </c>
      <c r="M253" t="s">
        <v>14217</v>
      </c>
      <c r="N253" t="s">
        <v>19643</v>
      </c>
      <c r="O253" t="s">
        <v>18039</v>
      </c>
      <c r="P253">
        <v>5</v>
      </c>
      <c r="Q253" t="s">
        <v>18575</v>
      </c>
    </row>
    <row r="254" spans="1:17" x14ac:dyDescent="0.2">
      <c r="A254" s="70" t="s">
        <v>3905</v>
      </c>
      <c r="B254" t="s">
        <v>4596</v>
      </c>
      <c r="C254" t="s">
        <v>3906</v>
      </c>
      <c r="D254" s="114" t="s">
        <v>3908</v>
      </c>
      <c r="E254" s="84" t="s">
        <v>19943</v>
      </c>
      <c r="F254" t="s">
        <v>3907</v>
      </c>
      <c r="G254" t="str">
        <f t="shared" si="11"/>
        <v>Clear Raging Manticore Strike (Void Battles)</v>
      </c>
      <c r="H254" s="86" t="s">
        <v>3779</v>
      </c>
      <c r="I254" t="s">
        <v>330</v>
      </c>
      <c r="J254" s="84">
        <v>5</v>
      </c>
      <c r="K254" s="118">
        <v>43646</v>
      </c>
      <c r="L254" t="s">
        <v>18054</v>
      </c>
      <c r="M254" t="s">
        <v>19374</v>
      </c>
      <c r="N254" t="s">
        <v>19424</v>
      </c>
      <c r="P254">
        <v>1</v>
      </c>
      <c r="Q254" t="s">
        <v>19423</v>
      </c>
    </row>
    <row r="255" spans="1:17" x14ac:dyDescent="0.2">
      <c r="A255" s="70" t="s">
        <v>3919</v>
      </c>
      <c r="B255" t="s">
        <v>4596</v>
      </c>
      <c r="C255" t="s">
        <v>3920</v>
      </c>
      <c r="D255" s="114" t="s">
        <v>3922</v>
      </c>
      <c r="E255" s="84" t="s">
        <v>19944</v>
      </c>
      <c r="F255" t="s">
        <v>3921</v>
      </c>
      <c r="G255" t="str">
        <f t="shared" si="11"/>
        <v>Clear Ieyasu's Crucible: Expert (Fortune from Afar)</v>
      </c>
      <c r="H255" s="86" t="s">
        <v>3779</v>
      </c>
      <c r="I255" t="s">
        <v>330</v>
      </c>
      <c r="J255" s="84">
        <v>5</v>
      </c>
      <c r="K255" s="118">
        <v>43465</v>
      </c>
      <c r="L255" t="s">
        <v>18017</v>
      </c>
      <c r="M255" t="s">
        <v>18124</v>
      </c>
      <c r="N255" t="s">
        <v>18135</v>
      </c>
      <c r="O255" t="s">
        <v>18033</v>
      </c>
      <c r="P255">
        <v>3</v>
      </c>
      <c r="Q255" t="s">
        <v>18137</v>
      </c>
    </row>
    <row r="256" spans="1:17" x14ac:dyDescent="0.2">
      <c r="A256" s="70" t="s">
        <v>3933</v>
      </c>
      <c r="B256" t="s">
        <v>4596</v>
      </c>
      <c r="C256" t="s">
        <v>3934</v>
      </c>
      <c r="D256" s="114" t="s">
        <v>3936</v>
      </c>
      <c r="E256" s="84" t="s">
        <v>19945</v>
      </c>
      <c r="F256" t="s">
        <v>3935</v>
      </c>
      <c r="G256" t="str">
        <f t="shared" si="11"/>
        <v>Clear Hour of Retribution (Scars of the Syndicate)</v>
      </c>
      <c r="H256" s="86" t="s">
        <v>3779</v>
      </c>
      <c r="I256" t="s">
        <v>330</v>
      </c>
      <c r="J256" s="84">
        <v>4</v>
      </c>
      <c r="K256" s="118">
        <v>43921</v>
      </c>
      <c r="L256" t="s">
        <v>18017</v>
      </c>
      <c r="M256" t="s">
        <v>14201</v>
      </c>
      <c r="N256" t="s">
        <v>18476</v>
      </c>
      <c r="P256">
        <v>1</v>
      </c>
      <c r="Q256" t="s">
        <v>18475</v>
      </c>
    </row>
    <row r="257" spans="1:17" x14ac:dyDescent="0.2">
      <c r="A257" s="70" t="s">
        <v>3950</v>
      </c>
      <c r="B257" t="s">
        <v>4596</v>
      </c>
      <c r="C257" t="s">
        <v>3951</v>
      </c>
      <c r="D257" s="114" t="s">
        <v>3953</v>
      </c>
      <c r="E257" s="84" t="s">
        <v>19946</v>
      </c>
      <c r="F257" t="s">
        <v>3952</v>
      </c>
      <c r="G257" t="str">
        <f t="shared" si="11"/>
        <v>Clear Nidhogg's Trial: Standard (Trials of the Mighty)</v>
      </c>
      <c r="H257" s="86" t="s">
        <v>3779</v>
      </c>
      <c r="I257" t="s">
        <v>330</v>
      </c>
      <c r="J257" s="84">
        <v>4</v>
      </c>
      <c r="K257" s="118">
        <v>43801</v>
      </c>
      <c r="L257" t="s">
        <v>18054</v>
      </c>
      <c r="M257" t="s">
        <v>19456</v>
      </c>
      <c r="N257" t="s">
        <v>19525</v>
      </c>
      <c r="O257" t="s">
        <v>18054</v>
      </c>
      <c r="P257">
        <v>1</v>
      </c>
      <c r="Q257" t="s">
        <v>19524</v>
      </c>
    </row>
    <row r="258" spans="1:17" x14ac:dyDescent="0.2">
      <c r="A258" s="70" t="s">
        <v>3964</v>
      </c>
      <c r="B258" t="s">
        <v>4596</v>
      </c>
      <c r="C258" t="s">
        <v>3965</v>
      </c>
      <c r="D258" s="114" t="s">
        <v>3967</v>
      </c>
      <c r="E258" s="84" t="s">
        <v>19947</v>
      </c>
      <c r="F258" t="s">
        <v>3966</v>
      </c>
      <c r="G258" t="str">
        <f t="shared" si="11"/>
        <v>Clear Battle at the Wartarch Ruins: Beginner (The Imperial Onslaught)</v>
      </c>
      <c r="H258" s="86" t="s">
        <v>3779</v>
      </c>
      <c r="I258" t="s">
        <v>330</v>
      </c>
      <c r="J258" s="84">
        <v>3</v>
      </c>
      <c r="K258" s="118">
        <v>43370</v>
      </c>
      <c r="L258" t="s">
        <v>18054</v>
      </c>
      <c r="M258" t="s">
        <v>13954</v>
      </c>
      <c r="N258" t="s">
        <v>19251</v>
      </c>
      <c r="O258" t="s">
        <v>18031</v>
      </c>
      <c r="P258">
        <v>1</v>
      </c>
      <c r="Q258" t="s">
        <v>19250</v>
      </c>
    </row>
    <row r="259" spans="1:17" x14ac:dyDescent="0.2">
      <c r="A259" s="70" t="s">
        <v>3978</v>
      </c>
      <c r="B259" t="s">
        <v>4596</v>
      </c>
      <c r="C259" t="s">
        <v>3979</v>
      </c>
      <c r="D259" s="114" t="s">
        <v>3981</v>
      </c>
      <c r="E259" s="84" t="s">
        <v>19948</v>
      </c>
      <c r="F259" t="s">
        <v>3980</v>
      </c>
      <c r="G259" t="str">
        <f t="shared" si="11"/>
        <v>Clear Survival Island (Stranded Scions)</v>
      </c>
      <c r="H259" s="86" t="s">
        <v>3779</v>
      </c>
      <c r="I259" t="s">
        <v>429</v>
      </c>
      <c r="J259" s="84">
        <v>5</v>
      </c>
      <c r="K259" s="118">
        <v>44406</v>
      </c>
      <c r="L259" t="s">
        <v>18017</v>
      </c>
      <c r="M259" t="s">
        <v>14311</v>
      </c>
      <c r="N259" t="s">
        <v>18988</v>
      </c>
      <c r="P259">
        <v>1</v>
      </c>
      <c r="Q259" t="s">
        <v>18987</v>
      </c>
    </row>
    <row r="260" spans="1:17" x14ac:dyDescent="0.2">
      <c r="A260" s="70" t="s">
        <v>3990</v>
      </c>
      <c r="B260" t="s">
        <v>4596</v>
      </c>
      <c r="C260" t="s">
        <v>3991</v>
      </c>
      <c r="D260" s="114" t="s">
        <v>3993</v>
      </c>
      <c r="E260" s="84" t="s">
        <v>19949</v>
      </c>
      <c r="F260" t="s">
        <v>3992</v>
      </c>
      <c r="G260" t="str">
        <f t="shared" si="11"/>
        <v>Clear Joker's Trial: Standard (Persona 5 Strikers Caged Desire)</v>
      </c>
      <c r="H260" s="86" t="s">
        <v>3779</v>
      </c>
      <c r="I260" t="s">
        <v>429</v>
      </c>
      <c r="J260" s="84">
        <v>5</v>
      </c>
      <c r="K260" s="118">
        <v>44227</v>
      </c>
      <c r="L260" t="s">
        <v>18241</v>
      </c>
      <c r="M260" t="s">
        <v>19673</v>
      </c>
      <c r="N260" t="s">
        <v>18816</v>
      </c>
      <c r="O260" t="s">
        <v>18054</v>
      </c>
      <c r="P260">
        <v>1</v>
      </c>
      <c r="Q260" t="s">
        <v>18815</v>
      </c>
    </row>
    <row r="261" spans="1:17" x14ac:dyDescent="0.2">
      <c r="A261" s="70" t="s">
        <v>4006</v>
      </c>
      <c r="B261" t="s">
        <v>4596</v>
      </c>
      <c r="C261" t="s">
        <v>4007</v>
      </c>
      <c r="D261" s="114" t="s">
        <v>4009</v>
      </c>
      <c r="E261" s="84" t="s">
        <v>19950</v>
      </c>
      <c r="F261" t="s">
        <v>4008</v>
      </c>
      <c r="G261" t="str">
        <f t="shared" si="11"/>
        <v>Clear Divine Deliverance: Master (Agents of the Goddess)</v>
      </c>
      <c r="H261" s="86" t="s">
        <v>3779</v>
      </c>
      <c r="I261" t="s">
        <v>429</v>
      </c>
      <c r="J261" s="84">
        <v>5</v>
      </c>
      <c r="K261" s="118">
        <v>44072</v>
      </c>
      <c r="L261" t="s">
        <v>18046</v>
      </c>
      <c r="M261" t="s">
        <v>14236</v>
      </c>
      <c r="N261" t="s">
        <v>18638</v>
      </c>
      <c r="O261" t="s">
        <v>18061</v>
      </c>
      <c r="P261">
        <v>2</v>
      </c>
      <c r="Q261" t="s">
        <v>18639</v>
      </c>
    </row>
    <row r="262" spans="1:17" x14ac:dyDescent="0.2">
      <c r="A262" s="70" t="s">
        <v>4020</v>
      </c>
      <c r="B262" t="s">
        <v>4596</v>
      </c>
      <c r="C262" t="s">
        <v>4021</v>
      </c>
      <c r="D262" s="114" t="s">
        <v>4023</v>
      </c>
      <c r="E262" s="84" t="s">
        <v>19951</v>
      </c>
      <c r="F262" t="s">
        <v>4022</v>
      </c>
      <c r="G262" t="str">
        <f t="shared" si="11"/>
        <v>Clear Aspidochelone Clash: Nightmare (Scars of the Syndicate)</v>
      </c>
      <c r="H262" s="86" t="s">
        <v>3779</v>
      </c>
      <c r="I262" t="s">
        <v>429</v>
      </c>
      <c r="J262" s="84">
        <v>5</v>
      </c>
      <c r="K262" s="118">
        <v>43923</v>
      </c>
      <c r="L262" t="s">
        <v>18017</v>
      </c>
      <c r="M262" t="s">
        <v>14201</v>
      </c>
      <c r="N262" t="s">
        <v>18481</v>
      </c>
      <c r="O262" t="s">
        <v>18041</v>
      </c>
      <c r="P262">
        <v>4</v>
      </c>
      <c r="Q262" t="s">
        <v>18484</v>
      </c>
    </row>
    <row r="263" spans="1:17" x14ac:dyDescent="0.2">
      <c r="A263" s="70" t="s">
        <v>4033</v>
      </c>
      <c r="B263" t="s">
        <v>4596</v>
      </c>
      <c r="C263" t="s">
        <v>4034</v>
      </c>
      <c r="D263" s="114" t="s">
        <v>4036</v>
      </c>
      <c r="E263" s="84" t="s">
        <v>19952</v>
      </c>
      <c r="F263" t="s">
        <v>4035</v>
      </c>
      <c r="G263" t="str">
        <f t="shared" si="11"/>
        <v>Clear Shining Cyclops Assault: Expert (Fractured Futures)</v>
      </c>
      <c r="H263" s="86" t="s">
        <v>3779</v>
      </c>
      <c r="I263" t="s">
        <v>429</v>
      </c>
      <c r="J263" s="84">
        <v>5</v>
      </c>
      <c r="K263" s="118">
        <v>43742</v>
      </c>
      <c r="L263" t="s">
        <v>18017</v>
      </c>
      <c r="M263" t="s">
        <v>14119</v>
      </c>
      <c r="N263" t="s">
        <v>18328</v>
      </c>
      <c r="O263" t="s">
        <v>18033</v>
      </c>
      <c r="P263">
        <v>3</v>
      </c>
      <c r="Q263" t="s">
        <v>18330</v>
      </c>
    </row>
    <row r="264" spans="1:17" x14ac:dyDescent="0.2">
      <c r="A264" s="70" t="s">
        <v>4048</v>
      </c>
      <c r="B264" t="s">
        <v>4596</v>
      </c>
      <c r="C264" t="s">
        <v>4049</v>
      </c>
      <c r="D264" s="114" t="s">
        <v>4051</v>
      </c>
      <c r="E264" s="84" t="s">
        <v>19953</v>
      </c>
      <c r="F264" t="s">
        <v>4050</v>
      </c>
      <c r="G264" t="str">
        <f>+"Clear "&amp;N264&amp;" of the Main Campaign ("&amp;O264&amp;")"</f>
        <v>Clear Ch. 08 5-4 of the Main Campaign (Normal)</v>
      </c>
      <c r="H264" s="86" t="s">
        <v>3779</v>
      </c>
      <c r="I264" t="s">
        <v>429</v>
      </c>
      <c r="J264" s="84">
        <v>4</v>
      </c>
      <c r="K264" s="118">
        <v>43573</v>
      </c>
      <c r="L264" t="s">
        <v>18054</v>
      </c>
      <c r="M264" t="s">
        <v>17513</v>
      </c>
      <c r="N264" t="s">
        <v>19954</v>
      </c>
      <c r="O264" t="s">
        <v>15731</v>
      </c>
      <c r="P264">
        <v>1</v>
      </c>
      <c r="Q264" t="s">
        <v>16283</v>
      </c>
    </row>
    <row r="265" spans="1:17" x14ac:dyDescent="0.2">
      <c r="A265" s="70" t="s">
        <v>4062</v>
      </c>
      <c r="B265" t="s">
        <v>4596</v>
      </c>
      <c r="C265" t="s">
        <v>4063</v>
      </c>
      <c r="D265" s="114" t="s">
        <v>4065</v>
      </c>
      <c r="E265" s="84" t="s">
        <v>19955</v>
      </c>
      <c r="F265" t="s">
        <v>4064</v>
      </c>
      <c r="G265" t="str">
        <f>IF(O265="","Clear "&amp;N265&amp;" ("&amp;M265&amp;")","Clear "&amp;N265&amp;": "&amp;O265&amp;" ("&amp;M265&amp;")")</f>
        <v>Clear The Mercurial Gauntlet (Shadow): Lv. 30 (The Mercurial Gauntlet)</v>
      </c>
      <c r="H265" s="86" t="s">
        <v>3779</v>
      </c>
      <c r="I265" t="s">
        <v>429</v>
      </c>
      <c r="J265" s="84">
        <v>4</v>
      </c>
      <c r="K265" s="118">
        <v>43370</v>
      </c>
      <c r="L265" t="s">
        <v>18054</v>
      </c>
      <c r="M265" t="s">
        <v>19636</v>
      </c>
      <c r="N265" s="86" t="s">
        <v>19938</v>
      </c>
      <c r="O265" t="s">
        <v>19640</v>
      </c>
      <c r="Q265" t="s">
        <v>137</v>
      </c>
    </row>
    <row r="266" spans="1:17" x14ac:dyDescent="0.2">
      <c r="A266" s="70" t="s">
        <v>4075</v>
      </c>
      <c r="B266" t="s">
        <v>4596</v>
      </c>
      <c r="C266" t="s">
        <v>4076</v>
      </c>
      <c r="D266" s="114" t="s">
        <v>4078</v>
      </c>
      <c r="E266" s="84" t="s">
        <v>19956</v>
      </c>
      <c r="F266" t="s">
        <v>4077</v>
      </c>
      <c r="G266" t="str">
        <f>+N266</f>
        <v>Complete Tutorial</v>
      </c>
      <c r="H266" s="86" t="s">
        <v>3779</v>
      </c>
      <c r="I266" t="s">
        <v>429</v>
      </c>
      <c r="J266" s="84">
        <v>3</v>
      </c>
      <c r="K266" s="118">
        <v>43404</v>
      </c>
      <c r="L266" t="s">
        <v>18054</v>
      </c>
      <c r="M266" t="s">
        <v>13720</v>
      </c>
      <c r="N266" t="s">
        <v>276</v>
      </c>
      <c r="Q266" t="s">
        <v>137</v>
      </c>
    </row>
    <row r="267" spans="1:17" x14ac:dyDescent="0.2">
      <c r="A267" s="70" t="s">
        <v>4086</v>
      </c>
      <c r="B267" t="s">
        <v>4596</v>
      </c>
      <c r="C267" t="s">
        <v>4087</v>
      </c>
      <c r="D267" s="115" t="s">
        <v>4089</v>
      </c>
      <c r="E267" s="84" t="s">
        <v>19957</v>
      </c>
      <c r="F267" t="s">
        <v>4088</v>
      </c>
      <c r="G267" t="str">
        <f>"Clear "&amp;N267&amp;": "&amp;O267</f>
        <v>Clear Shadowsteep Ruins: Standard</v>
      </c>
      <c r="H267" s="86" t="s">
        <v>3779</v>
      </c>
      <c r="I267" t="s">
        <v>429</v>
      </c>
      <c r="J267" s="84">
        <v>3</v>
      </c>
      <c r="K267" s="118">
        <v>43370</v>
      </c>
      <c r="L267" t="s">
        <v>18054</v>
      </c>
      <c r="M267" t="s">
        <v>14035</v>
      </c>
      <c r="N267" t="s">
        <v>19186</v>
      </c>
      <c r="O267" t="s">
        <v>18054</v>
      </c>
      <c r="P267">
        <v>2</v>
      </c>
      <c r="Q267" t="s">
        <v>19187</v>
      </c>
    </row>
    <row r="268" spans="1:17" x14ac:dyDescent="0.2">
      <c r="A268" s="70" t="s">
        <v>4099</v>
      </c>
      <c r="B268" t="s">
        <v>4596</v>
      </c>
      <c r="C268" t="s">
        <v>4100</v>
      </c>
      <c r="D268" s="114" t="s">
        <v>4102</v>
      </c>
      <c r="E268" s="84" t="s">
        <v>19958</v>
      </c>
      <c r="F268" t="s">
        <v>4101</v>
      </c>
      <c r="G268" t="str">
        <f>IF(O268="","Clear "&amp;N268&amp;" ("&amp;M268&amp;")","Clear "&amp;N268&amp;": "&amp;O268&amp;" ("&amp;M268&amp;")")</f>
        <v>Clear All-Out Assault: EX (The Great Dragonyule Offensive)</v>
      </c>
      <c r="H268" s="86" t="s">
        <v>3779</v>
      </c>
      <c r="I268" t="s">
        <v>543</v>
      </c>
      <c r="J268" s="84">
        <v>5</v>
      </c>
      <c r="K268" s="118">
        <v>44180</v>
      </c>
      <c r="L268" t="s">
        <v>18560</v>
      </c>
      <c r="M268" t="s">
        <v>14271</v>
      </c>
      <c r="N268" t="s">
        <v>19643</v>
      </c>
      <c r="O268" t="s">
        <v>18039</v>
      </c>
      <c r="P268">
        <v>5</v>
      </c>
      <c r="Q268" t="s">
        <v>18754</v>
      </c>
    </row>
    <row r="269" spans="1:17" x14ac:dyDescent="0.2">
      <c r="A269" s="70" t="s">
        <v>4116</v>
      </c>
      <c r="B269" t="s">
        <v>4596</v>
      </c>
      <c r="C269" t="s">
        <v>4117</v>
      </c>
      <c r="D269" s="114" t="s">
        <v>4119</v>
      </c>
      <c r="E269" s="84" t="s">
        <v>19959</v>
      </c>
      <c r="F269" t="s">
        <v>4118</v>
      </c>
      <c r="G269" t="str">
        <f>IF(O269="","Clear "&amp;N269&amp;" ("&amp;M269&amp;")","Clear "&amp;N269&amp;": "&amp;O269&amp;" ("&amp;M269&amp;")")</f>
        <v>Clear Defensive Battle: Master (Summertime Saviors)</v>
      </c>
      <c r="H269" s="86" t="s">
        <v>3779</v>
      </c>
      <c r="I269" t="s">
        <v>543</v>
      </c>
      <c r="J269" s="84">
        <v>5</v>
      </c>
      <c r="K269" s="118">
        <v>44027</v>
      </c>
      <c r="L269" t="s">
        <v>18588</v>
      </c>
      <c r="M269" t="s">
        <v>14225</v>
      </c>
      <c r="N269" t="s">
        <v>19628</v>
      </c>
      <c r="O269" t="s">
        <v>18061</v>
      </c>
      <c r="P269">
        <v>4</v>
      </c>
      <c r="Q269" t="s">
        <v>18602</v>
      </c>
    </row>
    <row r="270" spans="1:17" x14ac:dyDescent="0.2">
      <c r="A270" s="70" t="s">
        <v>4132</v>
      </c>
      <c r="B270" t="s">
        <v>4596</v>
      </c>
      <c r="C270" t="s">
        <v>4133</v>
      </c>
      <c r="D270" s="114" t="s">
        <v>4135</v>
      </c>
      <c r="E270" s="84" t="s">
        <v>19960</v>
      </c>
      <c r="F270" t="s">
        <v>4134</v>
      </c>
      <c r="G270" t="str">
        <f>IF(O270="","Clear "&amp;N270&amp;" ("&amp;M270&amp;")","Clear "&amp;N270&amp;": "&amp;O270&amp;" ("&amp;M270&amp;")")</f>
        <v>Clear The Crawling Nightmare: Expert (The Accursed Archives)</v>
      </c>
      <c r="H270" s="86" t="s">
        <v>3779</v>
      </c>
      <c r="I270" t="s">
        <v>543</v>
      </c>
      <c r="J270" s="84">
        <v>5</v>
      </c>
      <c r="K270" s="118">
        <v>43536</v>
      </c>
      <c r="L270" t="s">
        <v>18046</v>
      </c>
      <c r="M270" t="s">
        <v>14060</v>
      </c>
      <c r="N270" t="s">
        <v>18223</v>
      </c>
      <c r="O270" t="s">
        <v>18033</v>
      </c>
      <c r="P270">
        <v>3</v>
      </c>
      <c r="Q270" t="s">
        <v>18225</v>
      </c>
    </row>
    <row r="271" spans="1:17" x14ac:dyDescent="0.2">
      <c r="A271" s="70" t="s">
        <v>4144</v>
      </c>
      <c r="B271" t="s">
        <v>4596</v>
      </c>
      <c r="C271" t="s">
        <v>4145</v>
      </c>
      <c r="D271" s="114" t="s">
        <v>4147</v>
      </c>
      <c r="E271" s="84" t="s">
        <v>19961</v>
      </c>
      <c r="F271" t="s">
        <v>4146</v>
      </c>
      <c r="G271" t="str">
        <f>IF(O271="","Clear "&amp;N271&amp;" ("&amp;M271&amp;")","Clear "&amp;N271&amp;": "&amp;O271&amp;" ("&amp;M271&amp;")")</f>
        <v>Clear Rescue Botan! (Fortune from Afar)</v>
      </c>
      <c r="H271" s="86" t="s">
        <v>3779</v>
      </c>
      <c r="I271" t="s">
        <v>543</v>
      </c>
      <c r="J271" s="84">
        <v>4</v>
      </c>
      <c r="K271" s="118">
        <v>43465</v>
      </c>
      <c r="L271" t="s">
        <v>18017</v>
      </c>
      <c r="M271" t="s">
        <v>18124</v>
      </c>
      <c r="N271" t="s">
        <v>18131</v>
      </c>
      <c r="P271">
        <v>1</v>
      </c>
      <c r="Q271" t="s">
        <v>18130</v>
      </c>
    </row>
    <row r="272" spans="1:17" x14ac:dyDescent="0.2">
      <c r="A272" s="70" t="s">
        <v>4159</v>
      </c>
      <c r="B272" t="s">
        <v>4596</v>
      </c>
      <c r="C272" t="s">
        <v>4160</v>
      </c>
      <c r="D272" s="114" t="s">
        <v>4162</v>
      </c>
      <c r="E272" s="84" t="s">
        <v>19962</v>
      </c>
      <c r="F272" t="s">
        <v>4161</v>
      </c>
      <c r="G272" t="str">
        <f>+N272</f>
        <v>Complete Tutorial</v>
      </c>
      <c r="H272" s="86" t="s">
        <v>3779</v>
      </c>
      <c r="I272" t="s">
        <v>543</v>
      </c>
      <c r="J272" s="84">
        <v>3</v>
      </c>
      <c r="K272" s="118">
        <v>43370</v>
      </c>
      <c r="L272" t="s">
        <v>18054</v>
      </c>
      <c r="M272" t="s">
        <v>13720</v>
      </c>
      <c r="N272" t="s">
        <v>276</v>
      </c>
      <c r="Q272" t="s">
        <v>137</v>
      </c>
    </row>
    <row r="273" spans="1:17" x14ac:dyDescent="0.2">
      <c r="A273" s="70" t="s">
        <v>4171</v>
      </c>
      <c r="B273" t="s">
        <v>4596</v>
      </c>
      <c r="C273" t="s">
        <v>4172</v>
      </c>
      <c r="D273" s="114" t="s">
        <v>4174</v>
      </c>
      <c r="E273" s="84" t="s">
        <v>19963</v>
      </c>
      <c r="F273" t="s">
        <v>4173</v>
      </c>
      <c r="G273" t="str">
        <f t="shared" ref="G273:G278" si="12">IF(O273="","Clear "&amp;N273&amp;" ("&amp;M273&amp;")","Clear "&amp;N273&amp;": "&amp;O273&amp;" ("&amp;M273&amp;")")</f>
        <v>Clear Tsukuyomi Clash: Expert (Celestial Showdown)</v>
      </c>
      <c r="H273" s="86" t="s">
        <v>3779</v>
      </c>
      <c r="I273" t="s">
        <v>645</v>
      </c>
      <c r="J273" s="84">
        <v>5</v>
      </c>
      <c r="K273" s="118">
        <v>44561</v>
      </c>
      <c r="L273" t="s">
        <v>18017</v>
      </c>
      <c r="M273" t="s">
        <v>14339</v>
      </c>
      <c r="N273" t="s">
        <v>19120</v>
      </c>
      <c r="O273" t="s">
        <v>18033</v>
      </c>
      <c r="P273">
        <v>2</v>
      </c>
      <c r="Q273" t="s">
        <v>19121</v>
      </c>
    </row>
    <row r="274" spans="1:17" x14ac:dyDescent="0.2">
      <c r="A274" s="70" t="s">
        <v>4185</v>
      </c>
      <c r="B274" t="s">
        <v>4596</v>
      </c>
      <c r="C274" t="s">
        <v>4186</v>
      </c>
      <c r="D274" s="114" t="s">
        <v>4188</v>
      </c>
      <c r="E274" s="84" t="s">
        <v>19964</v>
      </c>
      <c r="F274" t="s">
        <v>4187</v>
      </c>
      <c r="G274" t="str">
        <f t="shared" si="12"/>
        <v>Clear Assault on Commodore Pincers: Expert (Stranded Scions)</v>
      </c>
      <c r="H274" s="86" t="s">
        <v>3779</v>
      </c>
      <c r="I274" t="s">
        <v>645</v>
      </c>
      <c r="J274" s="84">
        <v>5</v>
      </c>
      <c r="K274" s="118">
        <v>44406</v>
      </c>
      <c r="L274" t="s">
        <v>18017</v>
      </c>
      <c r="M274" t="s">
        <v>14311</v>
      </c>
      <c r="N274" t="s">
        <v>18990</v>
      </c>
      <c r="O274" t="s">
        <v>18033</v>
      </c>
      <c r="P274">
        <v>2</v>
      </c>
      <c r="Q274" t="s">
        <v>18991</v>
      </c>
    </row>
    <row r="275" spans="1:17" x14ac:dyDescent="0.2">
      <c r="A275" s="70" t="s">
        <v>4201</v>
      </c>
      <c r="B275" t="s">
        <v>4596</v>
      </c>
      <c r="C275" t="s">
        <v>4202</v>
      </c>
      <c r="D275" s="114" t="s">
        <v>4204</v>
      </c>
      <c r="E275" s="84" t="s">
        <v>19965</v>
      </c>
      <c r="F275" t="s">
        <v>4203</v>
      </c>
      <c r="G275" t="str">
        <f t="shared" si="12"/>
        <v>Clear All-Out Assault: Expert (Stirring Shadows)</v>
      </c>
      <c r="H275" s="86" t="s">
        <v>3779</v>
      </c>
      <c r="I275" t="s">
        <v>645</v>
      </c>
      <c r="J275" s="84">
        <v>5</v>
      </c>
      <c r="K275" s="118">
        <v>43769</v>
      </c>
      <c r="L275" t="s">
        <v>18175</v>
      </c>
      <c r="M275" t="s">
        <v>14130</v>
      </c>
      <c r="N275" t="s">
        <v>19643</v>
      </c>
      <c r="O275" t="s">
        <v>18033</v>
      </c>
      <c r="P275">
        <v>3</v>
      </c>
      <c r="Q275" t="s">
        <v>18352</v>
      </c>
    </row>
    <row r="276" spans="1:17" x14ac:dyDescent="0.2">
      <c r="A276" s="70" t="s">
        <v>4214</v>
      </c>
      <c r="B276" t="s">
        <v>4596</v>
      </c>
      <c r="C276" t="s">
        <v>4215</v>
      </c>
      <c r="D276" s="114" t="s">
        <v>4217</v>
      </c>
      <c r="E276" s="84" t="s">
        <v>19966</v>
      </c>
      <c r="F276" t="s">
        <v>4216</v>
      </c>
      <c r="G276" t="str">
        <f t="shared" si="12"/>
        <v>Clear Shadow Legion's Trial: Standard (Trials of the Mighty)</v>
      </c>
      <c r="H276" s="86" t="s">
        <v>3779</v>
      </c>
      <c r="I276" t="s">
        <v>645</v>
      </c>
      <c r="J276" s="84">
        <v>5</v>
      </c>
      <c r="K276" s="118">
        <v>43963</v>
      </c>
      <c r="L276" t="s">
        <v>18054</v>
      </c>
      <c r="M276" t="s">
        <v>19456</v>
      </c>
      <c r="N276" s="86" t="s">
        <v>19533</v>
      </c>
      <c r="O276" t="s">
        <v>18054</v>
      </c>
      <c r="P276">
        <v>1</v>
      </c>
      <c r="Q276" t="s">
        <v>19532</v>
      </c>
    </row>
    <row r="277" spans="1:17" x14ac:dyDescent="0.2">
      <c r="A277" s="70" t="s">
        <v>4229</v>
      </c>
      <c r="B277" t="s">
        <v>4596</v>
      </c>
      <c r="C277" t="s">
        <v>4230</v>
      </c>
      <c r="D277" s="114" t="s">
        <v>4232</v>
      </c>
      <c r="E277" s="84" t="s">
        <v>19967</v>
      </c>
      <c r="F277" t="s">
        <v>4231</v>
      </c>
      <c r="G277" t="str">
        <f t="shared" si="12"/>
        <v>Clear The Mercurial Gauntlet (Shadow): Lv. 10 (The Mercurial Gauntlet)</v>
      </c>
      <c r="H277" s="86" t="s">
        <v>3779</v>
      </c>
      <c r="I277" t="s">
        <v>645</v>
      </c>
      <c r="J277" s="84">
        <v>4</v>
      </c>
      <c r="K277" s="118">
        <v>43742</v>
      </c>
      <c r="L277" t="s">
        <v>18054</v>
      </c>
      <c r="M277" t="s">
        <v>19636</v>
      </c>
      <c r="N277" s="86" t="s">
        <v>19938</v>
      </c>
      <c r="O277" t="s">
        <v>19708</v>
      </c>
      <c r="Q277" t="s">
        <v>137</v>
      </c>
    </row>
    <row r="278" spans="1:17" x14ac:dyDescent="0.2">
      <c r="A278" s="70" t="s">
        <v>4244</v>
      </c>
      <c r="B278" t="s">
        <v>4596</v>
      </c>
      <c r="C278" t="s">
        <v>4245</v>
      </c>
      <c r="D278" s="114" t="s">
        <v>4247</v>
      </c>
      <c r="E278" s="84" t="s">
        <v>19968</v>
      </c>
      <c r="F278" t="s">
        <v>4246</v>
      </c>
      <c r="G278" t="str">
        <f t="shared" si="12"/>
        <v>Clear Field Trip into Town (Fortune from Afar)</v>
      </c>
      <c r="H278" s="86" t="s">
        <v>3779</v>
      </c>
      <c r="I278" t="s">
        <v>645</v>
      </c>
      <c r="J278" s="84">
        <v>4</v>
      </c>
      <c r="K278" s="118">
        <v>43465</v>
      </c>
      <c r="L278" t="s">
        <v>18017</v>
      </c>
      <c r="M278" t="s">
        <v>18124</v>
      </c>
      <c r="N278" t="s">
        <v>18127</v>
      </c>
      <c r="P278">
        <v>1</v>
      </c>
      <c r="Q278" t="s">
        <v>18126</v>
      </c>
    </row>
    <row r="279" spans="1:17" x14ac:dyDescent="0.2">
      <c r="A279" s="70" t="s">
        <v>4257</v>
      </c>
      <c r="B279" t="s">
        <v>4596</v>
      </c>
      <c r="C279" t="s">
        <v>4258</v>
      </c>
      <c r="D279" s="114" t="s">
        <v>4260</v>
      </c>
      <c r="E279" s="84" t="s">
        <v>19969</v>
      </c>
      <c r="F279" t="s">
        <v>4259</v>
      </c>
      <c r="G279" t="str">
        <f>+N279</f>
        <v>Complete Tutorial</v>
      </c>
      <c r="H279" s="86" t="s">
        <v>3779</v>
      </c>
      <c r="I279" t="s">
        <v>645</v>
      </c>
      <c r="J279" s="84">
        <v>3</v>
      </c>
      <c r="K279" s="118">
        <v>43377</v>
      </c>
      <c r="L279" t="s">
        <v>18054</v>
      </c>
      <c r="M279" t="s">
        <v>13720</v>
      </c>
      <c r="N279" t="s">
        <v>276</v>
      </c>
      <c r="Q279" t="s">
        <v>137</v>
      </c>
    </row>
    <row r="280" spans="1:17" x14ac:dyDescent="0.2">
      <c r="A280" s="70" t="s">
        <v>4268</v>
      </c>
      <c r="B280" t="s">
        <v>4596</v>
      </c>
      <c r="C280" t="s">
        <v>4269</v>
      </c>
      <c r="D280" s="114" t="s">
        <v>4271</v>
      </c>
      <c r="E280" s="84" t="s">
        <v>19970</v>
      </c>
      <c r="F280" t="s">
        <v>4270</v>
      </c>
      <c r="G280" t="str">
        <f>IF(O280="","Clear "&amp;N280&amp;" ("&amp;M280&amp;")","Clear "&amp;N280&amp;": "&amp;O280&amp;" ("&amp;M280&amp;")")</f>
        <v>Clear Choreography Class: Expert (The Clockwork Heart)</v>
      </c>
      <c r="H280" s="86" t="s">
        <v>3779</v>
      </c>
      <c r="I280" t="s">
        <v>759</v>
      </c>
      <c r="J280" s="84">
        <v>5</v>
      </c>
      <c r="K280" s="118">
        <v>44498</v>
      </c>
      <c r="L280" t="s">
        <v>18046</v>
      </c>
      <c r="M280" t="s">
        <v>14328</v>
      </c>
      <c r="N280" t="s">
        <v>19080</v>
      </c>
      <c r="O280" t="s">
        <v>18033</v>
      </c>
      <c r="P280">
        <v>3</v>
      </c>
      <c r="Q280" t="s">
        <v>19082</v>
      </c>
    </row>
    <row r="281" spans="1:17" x14ac:dyDescent="0.2">
      <c r="A281" s="70" t="s">
        <v>4286</v>
      </c>
      <c r="B281" t="s">
        <v>4596</v>
      </c>
      <c r="C281" t="s">
        <v>4287</v>
      </c>
      <c r="D281" s="114" t="s">
        <v>4289</v>
      </c>
      <c r="E281" s="84" t="s">
        <v>19971</v>
      </c>
      <c r="F281" t="s">
        <v>4288</v>
      </c>
      <c r="G281" t="str">
        <f>IF(O281="","Clear "&amp;N281&amp;" ("&amp;M281&amp;")","Clear "&amp;N281&amp;": "&amp;O281&amp;" ("&amp;M281&amp;")")</f>
        <v>Clear Fiend Opera Overture: Expert (The Phantom's Ransom)</v>
      </c>
      <c r="H281" s="86" t="s">
        <v>3779</v>
      </c>
      <c r="I281" t="s">
        <v>759</v>
      </c>
      <c r="J281" s="84">
        <v>5</v>
      </c>
      <c r="K281" s="118">
        <v>44139</v>
      </c>
      <c r="L281" t="s">
        <v>18046</v>
      </c>
      <c r="M281" t="s">
        <v>14255</v>
      </c>
      <c r="N281" t="s">
        <v>18695</v>
      </c>
      <c r="O281" t="s">
        <v>18033</v>
      </c>
      <c r="P281">
        <v>3</v>
      </c>
      <c r="Q281" t="s">
        <v>18697</v>
      </c>
    </row>
    <row r="282" spans="1:17" x14ac:dyDescent="0.2">
      <c r="A282" s="70" t="s">
        <v>4301</v>
      </c>
      <c r="B282" t="s">
        <v>4596</v>
      </c>
      <c r="C282" t="s">
        <v>4302</v>
      </c>
      <c r="D282" s="114" t="s">
        <v>4304</v>
      </c>
      <c r="E282" s="84" t="s">
        <v>19972</v>
      </c>
      <c r="F282" t="s">
        <v>4303</v>
      </c>
      <c r="G282" t="str">
        <f>+"Clear "&amp;N282&amp;" of the Main Campaign ("&amp;O282&amp;")"</f>
        <v>Clear Ch. 16 4-6 of the Main Campaign (Normal)</v>
      </c>
      <c r="H282" s="86" t="s">
        <v>3779</v>
      </c>
      <c r="I282" t="s">
        <v>759</v>
      </c>
      <c r="J282" s="84">
        <v>5</v>
      </c>
      <c r="K282" s="118">
        <v>44126</v>
      </c>
      <c r="L282" t="s">
        <v>18054</v>
      </c>
      <c r="M282" t="s">
        <v>17513</v>
      </c>
      <c r="N282" t="s">
        <v>19973</v>
      </c>
      <c r="O282" t="s">
        <v>15731</v>
      </c>
      <c r="P282">
        <v>1</v>
      </c>
      <c r="Q282" t="s">
        <v>16807</v>
      </c>
    </row>
    <row r="283" spans="1:17" x14ac:dyDescent="0.2">
      <c r="A283" s="70" t="s">
        <v>4316</v>
      </c>
      <c r="B283" t="s">
        <v>4596</v>
      </c>
      <c r="C283" t="s">
        <v>4317</v>
      </c>
      <c r="D283" s="115" t="s">
        <v>4319</v>
      </c>
      <c r="E283" s="84" t="s">
        <v>19974</v>
      </c>
      <c r="F283" t="s">
        <v>4318</v>
      </c>
      <c r="G283" t="str">
        <f>IF(O283="","Clear "&amp;N283&amp;" ("&amp;M283&amp;")","Clear "&amp;N283&amp;": "&amp;O283&amp;" ("&amp;M283&amp;")")</f>
        <v>Clear All-Out Assault: Master (Valentine's Confections)</v>
      </c>
      <c r="H283" s="86" t="s">
        <v>3779</v>
      </c>
      <c r="I283" t="s">
        <v>759</v>
      </c>
      <c r="J283" s="84">
        <v>5</v>
      </c>
      <c r="K283" s="118">
        <v>43875</v>
      </c>
      <c r="L283" t="s">
        <v>18175</v>
      </c>
      <c r="M283" t="s">
        <v>14038</v>
      </c>
      <c r="N283" t="s">
        <v>19643</v>
      </c>
      <c r="O283" t="s">
        <v>18061</v>
      </c>
      <c r="P283">
        <v>4</v>
      </c>
      <c r="Q283" t="s">
        <v>18190</v>
      </c>
    </row>
    <row r="284" spans="1:17" x14ac:dyDescent="0.2">
      <c r="A284" s="70" t="s">
        <v>4328</v>
      </c>
      <c r="B284" t="s">
        <v>4596</v>
      </c>
      <c r="C284" t="s">
        <v>4329</v>
      </c>
      <c r="D284" s="115" t="s">
        <v>4331</v>
      </c>
      <c r="E284" s="84" t="s">
        <v>19975</v>
      </c>
      <c r="F284" t="s">
        <v>4330</v>
      </c>
      <c r="G284" t="str">
        <f>"Clear "&amp;N284&amp;": "&amp;O284</f>
        <v>Clear Shadowsteep Ruins: Expert</v>
      </c>
      <c r="H284" s="86" t="s">
        <v>3779</v>
      </c>
      <c r="I284" t="s">
        <v>759</v>
      </c>
      <c r="J284" s="84">
        <v>5</v>
      </c>
      <c r="K284" s="118">
        <v>43370</v>
      </c>
      <c r="L284" t="s">
        <v>18054</v>
      </c>
      <c r="M284" t="s">
        <v>14035</v>
      </c>
      <c r="N284" t="s">
        <v>19186</v>
      </c>
      <c r="O284" t="s">
        <v>18033</v>
      </c>
      <c r="P284">
        <v>3</v>
      </c>
      <c r="Q284" t="s">
        <v>19188</v>
      </c>
    </row>
    <row r="285" spans="1:17" x14ac:dyDescent="0.2">
      <c r="A285" s="70" t="s">
        <v>4344</v>
      </c>
      <c r="B285" t="s">
        <v>4596</v>
      </c>
      <c r="C285" t="s">
        <v>4345</v>
      </c>
      <c r="D285" s="114" t="s">
        <v>4347</v>
      </c>
      <c r="E285" s="84" t="s">
        <v>19976</v>
      </c>
      <c r="F285" t="s">
        <v>4346</v>
      </c>
      <c r="G285" t="str">
        <f>IF(O285="","Clear "&amp;N285&amp;" ("&amp;M285&amp;")","Clear "&amp;N285&amp;": "&amp;O285&amp;" ("&amp;M285&amp;")")</f>
        <v>Clear The Mercurial Gauntlet (Shadow): Lv. 40 (The Mercurial Gauntlet)</v>
      </c>
      <c r="H285" s="86" t="s">
        <v>3779</v>
      </c>
      <c r="I285" t="s">
        <v>759</v>
      </c>
      <c r="J285" s="84">
        <v>4</v>
      </c>
      <c r="K285" s="118">
        <v>43599</v>
      </c>
      <c r="L285" t="s">
        <v>18054</v>
      </c>
      <c r="M285" t="s">
        <v>19636</v>
      </c>
      <c r="N285" s="86" t="s">
        <v>19938</v>
      </c>
      <c r="O285" t="s">
        <v>19700</v>
      </c>
      <c r="Q285" t="s">
        <v>137</v>
      </c>
    </row>
    <row r="286" spans="1:17" x14ac:dyDescent="0.2">
      <c r="A286" s="70" t="s">
        <v>4359</v>
      </c>
      <c r="B286" t="s">
        <v>4596</v>
      </c>
      <c r="C286" t="s">
        <v>4360</v>
      </c>
      <c r="D286" s="114" t="s">
        <v>4362</v>
      </c>
      <c r="E286" s="84" t="s">
        <v>19977</v>
      </c>
      <c r="F286" t="s">
        <v>4361</v>
      </c>
      <c r="G286" t="str">
        <f>IF(O286="","Clear "&amp;N286&amp;" ("&amp;M286&amp;")","Clear "&amp;N286&amp;": "&amp;O286&amp;" ("&amp;M286&amp;")")</f>
        <v>Clear Aquatic Cyclops Assaul: Expert (Rage of Chronos)</v>
      </c>
      <c r="H286" s="86" t="s">
        <v>3779</v>
      </c>
      <c r="I286" t="s">
        <v>839</v>
      </c>
      <c r="J286" s="84">
        <v>5</v>
      </c>
      <c r="K286" s="118">
        <v>44314</v>
      </c>
      <c r="L286" t="s">
        <v>18017</v>
      </c>
      <c r="M286" t="s">
        <v>14298</v>
      </c>
      <c r="N286" t="s">
        <v>19978</v>
      </c>
      <c r="O286" t="s">
        <v>18033</v>
      </c>
      <c r="P286">
        <v>2</v>
      </c>
      <c r="Q286" t="s">
        <v>18904</v>
      </c>
    </row>
    <row r="287" spans="1:17" x14ac:dyDescent="0.2">
      <c r="A287" s="70" t="s">
        <v>4374</v>
      </c>
      <c r="B287" t="s">
        <v>4596</v>
      </c>
      <c r="C287" t="s">
        <v>4375</v>
      </c>
      <c r="D287" s="114" t="s">
        <v>4377</v>
      </c>
      <c r="E287" s="84" t="s">
        <v>19979</v>
      </c>
      <c r="F287" t="s">
        <v>4376</v>
      </c>
      <c r="G287" t="str">
        <f>+"Clear "&amp;N287&amp;" of the Main Campaign ("&amp;O287&amp;")"</f>
        <v>Clear Ch. 14 4-9 of the Main Campaign (Normal)</v>
      </c>
      <c r="H287" s="86" t="s">
        <v>3779</v>
      </c>
      <c r="I287" t="s">
        <v>839</v>
      </c>
      <c r="J287" s="84">
        <v>5</v>
      </c>
      <c r="K287" s="118">
        <v>44004</v>
      </c>
      <c r="L287" t="s">
        <v>18054</v>
      </c>
      <c r="M287" t="s">
        <v>17513</v>
      </c>
      <c r="N287" t="s">
        <v>19980</v>
      </c>
      <c r="O287" t="s">
        <v>15731</v>
      </c>
      <c r="P287">
        <v>1</v>
      </c>
      <c r="Q287" t="s">
        <v>16672</v>
      </c>
    </row>
    <row r="288" spans="1:17" x14ac:dyDescent="0.2">
      <c r="A288" s="70" t="s">
        <v>4388</v>
      </c>
      <c r="B288" t="s">
        <v>4596</v>
      </c>
      <c r="C288" t="s">
        <v>4389</v>
      </c>
      <c r="D288" s="114" t="s">
        <v>4391</v>
      </c>
      <c r="E288" s="84" t="s">
        <v>19981</v>
      </c>
      <c r="F288" t="s">
        <v>4390</v>
      </c>
      <c r="G288" t="str">
        <f>IF(O288="","Clear "&amp;N288&amp;" ("&amp;M288&amp;")","Clear "&amp;N288&amp;": "&amp;O288&amp;" ("&amp;M288&amp;")")</f>
        <v>Clear Chronos Nyx Clash: Nightmare (Fractured Futures)</v>
      </c>
      <c r="H288" s="86" t="s">
        <v>3779</v>
      </c>
      <c r="I288" t="s">
        <v>839</v>
      </c>
      <c r="J288" s="84">
        <v>5</v>
      </c>
      <c r="K288" s="118">
        <v>43742</v>
      </c>
      <c r="L288" t="s">
        <v>18017</v>
      </c>
      <c r="M288" t="s">
        <v>14119</v>
      </c>
      <c r="N288" t="s">
        <v>18336</v>
      </c>
      <c r="O288" t="s">
        <v>18041</v>
      </c>
      <c r="P288">
        <v>5</v>
      </c>
      <c r="Q288" t="s">
        <v>18337</v>
      </c>
    </row>
    <row r="289" spans="1:18" x14ac:dyDescent="0.2">
      <c r="A289" s="70" t="s">
        <v>4401</v>
      </c>
      <c r="B289" t="s">
        <v>4596</v>
      </c>
      <c r="C289" t="s">
        <v>4402</v>
      </c>
      <c r="D289" s="114" t="s">
        <v>4404</v>
      </c>
      <c r="E289" s="84" t="s">
        <v>19982</v>
      </c>
      <c r="F289" t="s">
        <v>4403</v>
      </c>
      <c r="G289" t="str">
        <f>+"Clear "&amp;N289&amp;" of the Main Campaign ("&amp;O289&amp;")"</f>
        <v>Clear Ch. 10 6-1 of the Main Campaign (Hard)</v>
      </c>
      <c r="H289" s="86" t="s">
        <v>3779</v>
      </c>
      <c r="I289" t="s">
        <v>839</v>
      </c>
      <c r="J289" s="84">
        <v>5</v>
      </c>
      <c r="K289" s="118">
        <v>43672</v>
      </c>
      <c r="L289" t="s">
        <v>18054</v>
      </c>
      <c r="M289" t="s">
        <v>17513</v>
      </c>
      <c r="N289" t="s">
        <v>19983</v>
      </c>
      <c r="O289" t="s">
        <v>15732</v>
      </c>
      <c r="P289">
        <v>1</v>
      </c>
      <c r="Q289" t="s">
        <v>19984</v>
      </c>
    </row>
    <row r="290" spans="1:18" x14ac:dyDescent="0.2">
      <c r="A290" s="70" t="s">
        <v>4417</v>
      </c>
      <c r="B290" t="s">
        <v>4596</v>
      </c>
      <c r="C290" t="s">
        <v>4418</v>
      </c>
      <c r="D290" s="114" t="s">
        <v>4420</v>
      </c>
      <c r="E290" s="84" t="s">
        <v>19985</v>
      </c>
      <c r="F290" t="s">
        <v>4419</v>
      </c>
      <c r="G290" t="str">
        <f>IF(O290="","Clear "&amp;N290&amp;" ("&amp;M290&amp;")","Clear "&amp;N290&amp;": "&amp;O290&amp;" ("&amp;M290&amp;")")</f>
        <v>Clear Veronica's Trial (Fire Emblem: Lost Heroes)</v>
      </c>
      <c r="H290" s="86" t="s">
        <v>3779</v>
      </c>
      <c r="I290" t="s">
        <v>839</v>
      </c>
      <c r="J290" s="84">
        <v>5</v>
      </c>
      <c r="K290" s="118">
        <v>43581</v>
      </c>
      <c r="L290" t="s">
        <v>18241</v>
      </c>
      <c r="M290" t="s">
        <v>18242</v>
      </c>
      <c r="N290" t="s">
        <v>18267</v>
      </c>
      <c r="P290">
        <v>1</v>
      </c>
      <c r="Q290" t="s">
        <v>18266</v>
      </c>
    </row>
    <row r="291" spans="1:18" x14ac:dyDescent="0.2">
      <c r="A291" s="70" t="s">
        <v>4430</v>
      </c>
      <c r="B291" t="s">
        <v>4596</v>
      </c>
      <c r="C291" t="s">
        <v>4431</v>
      </c>
      <c r="D291" s="114" t="s">
        <v>4433</v>
      </c>
      <c r="E291" s="84" t="s">
        <v>19986</v>
      </c>
      <c r="F291" t="s">
        <v>4432</v>
      </c>
      <c r="G291" t="str">
        <f>IF(O291="","Clear "&amp;N291&amp;" ("&amp;M291&amp;")","Clear "&amp;N291&amp;": "&amp;O291&amp;" ("&amp;M291&amp;")")</f>
        <v>Clear Battle at the Wartarch Ruins: Expert (The Imperial Onslaught)</v>
      </c>
      <c r="H291" s="86" t="s">
        <v>3779</v>
      </c>
      <c r="I291" t="s">
        <v>839</v>
      </c>
      <c r="J291" s="84">
        <v>4</v>
      </c>
      <c r="K291" s="118">
        <v>43370</v>
      </c>
      <c r="L291" t="s">
        <v>18054</v>
      </c>
      <c r="M291" t="s">
        <v>13954</v>
      </c>
      <c r="N291" t="s">
        <v>19251</v>
      </c>
      <c r="O291" t="s">
        <v>18033</v>
      </c>
      <c r="P291">
        <v>3</v>
      </c>
      <c r="Q291" t="s">
        <v>19254</v>
      </c>
    </row>
    <row r="292" spans="1:18" x14ac:dyDescent="0.2">
      <c r="A292" s="70" t="s">
        <v>4442</v>
      </c>
      <c r="B292" t="s">
        <v>4596</v>
      </c>
      <c r="C292" t="s">
        <v>4443</v>
      </c>
      <c r="D292" s="115" t="s">
        <v>4445</v>
      </c>
      <c r="E292" s="84" t="s">
        <v>19987</v>
      </c>
      <c r="F292" t="s">
        <v>4444</v>
      </c>
      <c r="G292" t="str">
        <f>"Clear "&amp;N292&amp;": "&amp;O292</f>
        <v>Clear Shadowsteep Ruins: Beginner</v>
      </c>
      <c r="H292" s="86" t="s">
        <v>3779</v>
      </c>
      <c r="I292" t="s">
        <v>839</v>
      </c>
      <c r="J292" s="84">
        <v>3</v>
      </c>
      <c r="K292" s="118">
        <v>43370</v>
      </c>
      <c r="L292" t="s">
        <v>18054</v>
      </c>
      <c r="M292" t="s">
        <v>14035</v>
      </c>
      <c r="N292" t="s">
        <v>19186</v>
      </c>
      <c r="O292" t="s">
        <v>18031</v>
      </c>
      <c r="P292">
        <v>1</v>
      </c>
      <c r="Q292" t="s">
        <v>19185</v>
      </c>
    </row>
    <row r="293" spans="1:18" x14ac:dyDescent="0.2">
      <c r="A293" s="70" t="s">
        <v>71</v>
      </c>
      <c r="B293" t="s">
        <v>4596</v>
      </c>
      <c r="C293" t="s">
        <v>4455</v>
      </c>
      <c r="D293" s="114" t="s">
        <v>4457</v>
      </c>
      <c r="E293" s="84" t="s">
        <v>19988</v>
      </c>
      <c r="F293" t="s">
        <v>4456</v>
      </c>
      <c r="G293" t="str">
        <f>IF(O293="","Clear "&amp;N293&amp;" ("&amp;M293&amp;")","Clear "&amp;N293&amp;": "&amp;O293&amp;" ("&amp;M293&amp;")")</f>
        <v>Clear Light Manticore Assault: Expert (Scars of the Syndicate)</v>
      </c>
      <c r="H293" s="86" t="s">
        <v>3779</v>
      </c>
      <c r="I293" t="s">
        <v>949</v>
      </c>
      <c r="J293" s="84">
        <v>5</v>
      </c>
      <c r="K293" s="118">
        <v>43927</v>
      </c>
      <c r="L293" t="s">
        <v>18017</v>
      </c>
      <c r="M293" t="s">
        <v>14201</v>
      </c>
      <c r="N293" t="s">
        <v>18478</v>
      </c>
      <c r="O293" t="s">
        <v>18033</v>
      </c>
      <c r="P293">
        <v>2</v>
      </c>
      <c r="Q293" t="s">
        <v>18479</v>
      </c>
    </row>
    <row r="294" spans="1:18" x14ac:dyDescent="0.2">
      <c r="A294" s="70" t="s">
        <v>4469</v>
      </c>
      <c r="B294" t="s">
        <v>4596</v>
      </c>
      <c r="C294" t="s">
        <v>4470</v>
      </c>
      <c r="D294" s="114" t="s">
        <v>4472</v>
      </c>
      <c r="E294" s="84" t="s">
        <v>19989</v>
      </c>
      <c r="F294" t="s">
        <v>4471</v>
      </c>
      <c r="G294" t="str">
        <f>IF(O294="","Clear "&amp;N294&amp;" ("&amp;M294&amp;")","Clear "&amp;N294&amp;": "&amp;O294&amp;" ("&amp;M294&amp;")")</f>
        <v>Clear Can't Stop the Beatdown!: Expert (A Crescendo of Courage)</v>
      </c>
      <c r="H294" s="86" t="s">
        <v>3779</v>
      </c>
      <c r="I294" t="s">
        <v>949</v>
      </c>
      <c r="J294" s="84">
        <v>5</v>
      </c>
      <c r="K294" s="118">
        <v>43690</v>
      </c>
      <c r="L294" t="s">
        <v>18046</v>
      </c>
      <c r="M294" t="s">
        <v>14105</v>
      </c>
      <c r="N294" t="s">
        <v>18318</v>
      </c>
      <c r="O294" t="s">
        <v>18033</v>
      </c>
      <c r="P294">
        <v>1</v>
      </c>
      <c r="Q294" t="s">
        <v>18317</v>
      </c>
    </row>
    <row r="295" spans="1:18" x14ac:dyDescent="0.2">
      <c r="A295" s="70" t="s">
        <v>4480</v>
      </c>
      <c r="B295" t="s">
        <v>4596</v>
      </c>
      <c r="C295" t="s">
        <v>4481</v>
      </c>
      <c r="D295" s="114" t="s">
        <v>4482</v>
      </c>
      <c r="E295" s="84" t="s">
        <v>19990</v>
      </c>
      <c r="F295" t="s">
        <v>1748</v>
      </c>
      <c r="G295" t="str">
        <f>IF(O295="","Clear "&amp;N295&amp;" ("&amp;M295&amp;")","Clear "&amp;N295&amp;": "&amp;O295&amp;" ("&amp;M295&amp;")")</f>
        <v>Clear Chaos's Calling: Master (The Accursed Archives)</v>
      </c>
      <c r="H295" s="86" t="s">
        <v>3779</v>
      </c>
      <c r="I295" t="s">
        <v>949</v>
      </c>
      <c r="J295" s="84">
        <v>5</v>
      </c>
      <c r="K295" s="118">
        <v>43536</v>
      </c>
      <c r="L295" t="s">
        <v>18046</v>
      </c>
      <c r="M295" t="s">
        <v>14060</v>
      </c>
      <c r="N295" t="s">
        <v>18227</v>
      </c>
      <c r="O295" t="s">
        <v>18061</v>
      </c>
      <c r="P295">
        <v>2</v>
      </c>
      <c r="Q295" t="s">
        <v>18228</v>
      </c>
    </row>
    <row r="296" spans="1:18" x14ac:dyDescent="0.2">
      <c r="A296" s="70" t="s">
        <v>4490</v>
      </c>
      <c r="B296" t="s">
        <v>4596</v>
      </c>
      <c r="C296" t="s">
        <v>4491</v>
      </c>
      <c r="D296" s="114" t="s">
        <v>4493</v>
      </c>
      <c r="E296" s="84" t="s">
        <v>19991</v>
      </c>
      <c r="F296" t="s">
        <v>4492</v>
      </c>
      <c r="G296" t="str">
        <f>+"Clear "&amp;N296&amp;" of the Main Campaign ("&amp;O296&amp;")"</f>
        <v>Clear Ch. 01 3-4 of the Main Campaign (Normal)</v>
      </c>
      <c r="H296" s="86" t="s">
        <v>3779</v>
      </c>
      <c r="I296" t="s">
        <v>949</v>
      </c>
      <c r="J296" s="84">
        <v>4</v>
      </c>
      <c r="K296" s="118">
        <v>43370</v>
      </c>
      <c r="L296" t="s">
        <v>18054</v>
      </c>
      <c r="M296" t="s">
        <v>17513</v>
      </c>
      <c r="N296" t="s">
        <v>19992</v>
      </c>
      <c r="O296" t="s">
        <v>15731</v>
      </c>
      <c r="P296">
        <v>1</v>
      </c>
      <c r="Q296" t="s">
        <v>15779</v>
      </c>
    </row>
    <row r="297" spans="1:18" x14ac:dyDescent="0.2">
      <c r="A297" s="70" t="s">
        <v>4503</v>
      </c>
      <c r="B297" t="s">
        <v>4596</v>
      </c>
      <c r="C297" t="s">
        <v>4504</v>
      </c>
      <c r="D297" s="114" t="s">
        <v>4506</v>
      </c>
      <c r="E297" s="84" t="s">
        <v>19993</v>
      </c>
      <c r="F297" t="s">
        <v>4505</v>
      </c>
      <c r="G297" t="str">
        <f>+N297</f>
        <v>Complete Tutorial</v>
      </c>
      <c r="H297" s="86" t="s">
        <v>3779</v>
      </c>
      <c r="I297" t="s">
        <v>949</v>
      </c>
      <c r="J297" s="84">
        <v>3</v>
      </c>
      <c r="K297" s="118">
        <v>43370</v>
      </c>
      <c r="L297" t="s">
        <v>18054</v>
      </c>
      <c r="M297" t="s">
        <v>13720</v>
      </c>
      <c r="N297" t="s">
        <v>276</v>
      </c>
      <c r="Q297" t="s">
        <v>137</v>
      </c>
    </row>
    <row r="298" spans="1:18" x14ac:dyDescent="0.2">
      <c r="A298" s="70" t="s">
        <v>4514</v>
      </c>
      <c r="B298" t="s">
        <v>4596</v>
      </c>
      <c r="C298" t="s">
        <v>4515</v>
      </c>
      <c r="D298" s="114" t="s">
        <v>4517</v>
      </c>
      <c r="E298" s="84" t="s">
        <v>19994</v>
      </c>
      <c r="F298" t="s">
        <v>4516</v>
      </c>
      <c r="G298" t="str">
        <f>IF(O298="","Clear "&amp;N298&amp;" ("&amp;M298&amp;")","Clear "&amp;N298&amp;": "&amp;O298&amp;" ("&amp;M298&amp;")")</f>
        <v>Clear Repelling the Imperial Forces: Expert (Operation: At Your Service)</v>
      </c>
      <c r="H298" s="86" t="s">
        <v>3779</v>
      </c>
      <c r="I298" t="s">
        <v>1054</v>
      </c>
      <c r="J298" s="84">
        <v>5</v>
      </c>
      <c r="K298" s="118">
        <v>44620</v>
      </c>
      <c r="L298" t="s">
        <v>18933</v>
      </c>
      <c r="M298" t="s">
        <v>14349</v>
      </c>
      <c r="N298" t="s">
        <v>19136</v>
      </c>
      <c r="O298" t="s">
        <v>18033</v>
      </c>
      <c r="P298">
        <v>2</v>
      </c>
      <c r="Q298" t="s">
        <v>19137</v>
      </c>
    </row>
    <row r="299" spans="1:18" x14ac:dyDescent="0.2">
      <c r="A299" s="70" t="s">
        <v>4530</v>
      </c>
      <c r="B299" t="s">
        <v>4596</v>
      </c>
      <c r="C299" t="s">
        <v>4531</v>
      </c>
      <c r="D299" s="114" t="s">
        <v>4533</v>
      </c>
      <c r="E299" s="84" t="s">
        <v>19995</v>
      </c>
      <c r="F299" t="s">
        <v>4532</v>
      </c>
      <c r="G299" t="str">
        <f>IF(O299="","Clear "&amp;N299&amp;" ("&amp;M299&amp;")","Clear "&amp;N299&amp;": "&amp;O299&amp;" ("&amp;M299&amp;")")</f>
        <v>Clear Tempestuous Assault: Master (Toll of the Deep)</v>
      </c>
      <c r="H299" s="86" t="s">
        <v>3779</v>
      </c>
      <c r="I299" t="s">
        <v>1054</v>
      </c>
      <c r="J299" s="84">
        <v>5</v>
      </c>
      <c r="K299" s="118">
        <v>44382</v>
      </c>
      <c r="L299" t="s">
        <v>18046</v>
      </c>
      <c r="M299" t="s">
        <v>14308</v>
      </c>
      <c r="N299" t="s">
        <v>18965</v>
      </c>
      <c r="O299" t="s">
        <v>18061</v>
      </c>
      <c r="P299">
        <v>2</v>
      </c>
      <c r="Q299" t="s">
        <v>18966</v>
      </c>
    </row>
    <row r="300" spans="1:18" x14ac:dyDescent="0.2">
      <c r="A300" s="70" t="s">
        <v>4543</v>
      </c>
      <c r="B300" t="s">
        <v>4596</v>
      </c>
      <c r="C300" t="s">
        <v>4544</v>
      </c>
      <c r="D300" s="114" t="s">
        <v>4546</v>
      </c>
      <c r="E300" s="84" t="s">
        <v>19996</v>
      </c>
      <c r="F300" t="s">
        <v>4545</v>
      </c>
      <c r="G300" t="str">
        <f>+"Clear "&amp;N300&amp;" of the Main Campaign ("&amp;O300&amp;")"</f>
        <v>Clear Ch. 17 5-4 of the Main Campaign (Normal)</v>
      </c>
      <c r="H300" s="86" t="s">
        <v>3779</v>
      </c>
      <c r="I300" t="s">
        <v>1054</v>
      </c>
      <c r="J300" s="84">
        <v>5</v>
      </c>
      <c r="K300" s="118">
        <v>44223</v>
      </c>
      <c r="L300" t="s">
        <v>18054</v>
      </c>
      <c r="M300" t="s">
        <v>17513</v>
      </c>
      <c r="N300" t="s">
        <v>19997</v>
      </c>
      <c r="O300" t="s">
        <v>15731</v>
      </c>
      <c r="P300">
        <v>1</v>
      </c>
      <c r="Q300" t="s">
        <v>16880</v>
      </c>
    </row>
    <row r="301" spans="1:18" x14ac:dyDescent="0.2">
      <c r="A301" s="70" t="s">
        <v>4562</v>
      </c>
      <c r="B301" t="s">
        <v>4596</v>
      </c>
      <c r="C301" t="s">
        <v>4563</v>
      </c>
      <c r="D301" s="114" t="s">
        <v>16046</v>
      </c>
      <c r="E301" s="84" t="s">
        <v>19998</v>
      </c>
      <c r="F301" t="s">
        <v>4564</v>
      </c>
      <c r="G301" t="str">
        <f>+"Clear "&amp;N301&amp;" of the Main Campaign ("&amp;O301&amp;")"</f>
        <v>Clear Ch. 22 5-4 of the Main Campaign (Normal)</v>
      </c>
      <c r="H301" s="86" t="s">
        <v>2837</v>
      </c>
      <c r="I301" t="s">
        <v>949</v>
      </c>
      <c r="J301" s="84">
        <v>5</v>
      </c>
      <c r="K301" s="86" t="s">
        <v>137</v>
      </c>
      <c r="L301" t="s">
        <v>18054</v>
      </c>
      <c r="M301" t="s">
        <v>17513</v>
      </c>
      <c r="N301" t="s">
        <v>19999</v>
      </c>
      <c r="O301" t="s">
        <v>15731</v>
      </c>
      <c r="P301">
        <v>1</v>
      </c>
      <c r="Q301" t="s">
        <v>17236</v>
      </c>
      <c r="R301" t="s">
        <v>20000</v>
      </c>
    </row>
    <row r="302" spans="1:18" x14ac:dyDescent="0.2">
      <c r="A302" s="70" t="s">
        <v>4567</v>
      </c>
      <c r="B302" t="s">
        <v>4596</v>
      </c>
      <c r="C302" t="s">
        <v>4568</v>
      </c>
      <c r="D302" s="115" t="s">
        <v>20001</v>
      </c>
      <c r="E302" s="84" t="s">
        <v>20002</v>
      </c>
      <c r="F302" t="s">
        <v>4569</v>
      </c>
      <c r="G302" t="str">
        <f t="shared" ref="G302:G309" si="13">IF(O302="","Clear "&amp;N302&amp;" ("&amp;M302&amp;")","Clear "&amp;N302&amp;": "&amp;O302&amp;" ("&amp;M302&amp;")")</f>
        <v>Clear Scylla Clash: Omega 2 (Doomsday Getaway)</v>
      </c>
      <c r="H302" s="86" t="s">
        <v>1103</v>
      </c>
      <c r="I302" t="s">
        <v>1054</v>
      </c>
      <c r="J302" s="84">
        <v>5</v>
      </c>
      <c r="K302" s="86" t="s">
        <v>137</v>
      </c>
      <c r="L302" t="s">
        <v>18017</v>
      </c>
      <c r="M302" t="s">
        <v>14229</v>
      </c>
      <c r="N302" t="s">
        <v>18608</v>
      </c>
      <c r="O302" t="s">
        <v>18214</v>
      </c>
      <c r="P302">
        <v>6</v>
      </c>
      <c r="Q302" t="s">
        <v>18613</v>
      </c>
      <c r="R302" t="s">
        <v>20000</v>
      </c>
    </row>
    <row r="303" spans="1:18" x14ac:dyDescent="0.2">
      <c r="A303" s="70" t="s">
        <v>4572</v>
      </c>
      <c r="B303" t="s">
        <v>4596</v>
      </c>
      <c r="C303" t="s">
        <v>4573</v>
      </c>
      <c r="D303" s="114" t="s">
        <v>20003</v>
      </c>
      <c r="E303" s="84" t="s">
        <v>20004</v>
      </c>
      <c r="F303" t="s">
        <v>4574</v>
      </c>
      <c r="G303" t="str">
        <f t="shared" si="13"/>
        <v>Clear Hypnos Clash: Nightmare (Kindness and Captivity)</v>
      </c>
      <c r="H303" s="86" t="s">
        <v>1947</v>
      </c>
      <c r="I303" t="s">
        <v>759</v>
      </c>
      <c r="J303" s="84">
        <v>5</v>
      </c>
      <c r="K303" s="86" t="s">
        <v>137</v>
      </c>
      <c r="L303" t="s">
        <v>18017</v>
      </c>
      <c r="M303" t="s">
        <v>13976</v>
      </c>
      <c r="N303" t="s">
        <v>18078</v>
      </c>
      <c r="O303" t="s">
        <v>18041</v>
      </c>
      <c r="P303">
        <v>4</v>
      </c>
      <c r="Q303" t="s">
        <v>18081</v>
      </c>
      <c r="R303" t="s">
        <v>20000</v>
      </c>
    </row>
    <row r="304" spans="1:18" x14ac:dyDescent="0.2">
      <c r="A304" s="70" t="s">
        <v>4577</v>
      </c>
      <c r="B304" t="s">
        <v>4596</v>
      </c>
      <c r="C304" t="s">
        <v>4578</v>
      </c>
      <c r="D304" s="114" t="s">
        <v>20005</v>
      </c>
      <c r="E304" s="84" t="s">
        <v>20006</v>
      </c>
      <c r="F304" t="s">
        <v>4579</v>
      </c>
      <c r="G304" t="str">
        <f t="shared" si="13"/>
        <v>Clear Volk's Wrath: Master (The Agito Uprising)</v>
      </c>
      <c r="H304" s="86" t="s">
        <v>1947</v>
      </c>
      <c r="I304" t="s">
        <v>645</v>
      </c>
      <c r="J304" s="84">
        <v>5</v>
      </c>
      <c r="K304" s="86" t="s">
        <v>137</v>
      </c>
      <c r="L304" t="s">
        <v>18054</v>
      </c>
      <c r="M304" t="s">
        <v>19287</v>
      </c>
      <c r="N304" t="s">
        <v>19288</v>
      </c>
      <c r="O304" t="s">
        <v>18061</v>
      </c>
      <c r="P304">
        <v>3</v>
      </c>
      <c r="Q304" t="s">
        <v>19290</v>
      </c>
      <c r="R304" t="s">
        <v>20000</v>
      </c>
    </row>
    <row r="305" spans="1:18" x14ac:dyDescent="0.2">
      <c r="A305" s="70" t="s">
        <v>4582</v>
      </c>
      <c r="B305" t="s">
        <v>4596</v>
      </c>
      <c r="C305" t="s">
        <v>4583</v>
      </c>
      <c r="D305" s="114" t="s">
        <v>20007</v>
      </c>
      <c r="E305" s="84" t="s">
        <v>20008</v>
      </c>
      <c r="F305" t="s">
        <v>4584</v>
      </c>
      <c r="G305" t="str">
        <f t="shared" si="13"/>
        <v>Clear Kai Yan's Wrath: Master (The Agito Uprising)</v>
      </c>
      <c r="H305" s="86" t="s">
        <v>2837</v>
      </c>
      <c r="I305" t="s">
        <v>543</v>
      </c>
      <c r="J305" s="84">
        <v>5</v>
      </c>
      <c r="K305" s="86" t="s">
        <v>137</v>
      </c>
      <c r="L305" t="s">
        <v>18054</v>
      </c>
      <c r="M305" t="s">
        <v>19287</v>
      </c>
      <c r="N305" t="s">
        <v>19300</v>
      </c>
      <c r="O305" t="s">
        <v>18061</v>
      </c>
      <c r="P305">
        <v>3</v>
      </c>
      <c r="Q305" t="s">
        <v>19302</v>
      </c>
      <c r="R305" t="s">
        <v>20000</v>
      </c>
    </row>
    <row r="306" spans="1:18" x14ac:dyDescent="0.2">
      <c r="A306" s="70" t="s">
        <v>4587</v>
      </c>
      <c r="B306" t="s">
        <v>4596</v>
      </c>
      <c r="C306" t="s">
        <v>4588</v>
      </c>
      <c r="D306" s="114" t="s">
        <v>20009</v>
      </c>
      <c r="E306" s="84" t="s">
        <v>20010</v>
      </c>
      <c r="F306" t="s">
        <v>4589</v>
      </c>
      <c r="G306" t="str">
        <f t="shared" si="13"/>
        <v>Clear Ciella's Wrath: Master (The Agito Uprising)</v>
      </c>
      <c r="H306" s="86" t="s">
        <v>1103</v>
      </c>
      <c r="I306" t="s">
        <v>759</v>
      </c>
      <c r="J306" s="84">
        <v>5</v>
      </c>
      <c r="K306" s="86" t="s">
        <v>137</v>
      </c>
      <c r="L306" t="s">
        <v>18054</v>
      </c>
      <c r="M306" t="s">
        <v>19287</v>
      </c>
      <c r="N306" t="s">
        <v>19292</v>
      </c>
      <c r="O306" t="s">
        <v>18061</v>
      </c>
      <c r="P306">
        <v>3</v>
      </c>
      <c r="Q306" t="s">
        <v>19294</v>
      </c>
      <c r="R306" t="s">
        <v>20000</v>
      </c>
    </row>
    <row r="307" spans="1:18" x14ac:dyDescent="0.2">
      <c r="A307" s="70" t="s">
        <v>4592</v>
      </c>
      <c r="B307" t="s">
        <v>4596</v>
      </c>
      <c r="C307" t="s">
        <v>4593</v>
      </c>
      <c r="D307" s="114" t="s">
        <v>20011</v>
      </c>
      <c r="E307" s="84" t="s">
        <v>20012</v>
      </c>
      <c r="F307" t="s">
        <v>4594</v>
      </c>
      <c r="G307" t="str">
        <f t="shared" si="13"/>
        <v>Clear Tartarus's Wrath: Master (The Agito Uprising)</v>
      </c>
      <c r="H307" s="86" t="s">
        <v>3779</v>
      </c>
      <c r="I307" t="s">
        <v>330</v>
      </c>
      <c r="J307" s="84">
        <v>5</v>
      </c>
      <c r="K307" s="86" t="s">
        <v>137</v>
      </c>
      <c r="L307" t="s">
        <v>18054</v>
      </c>
      <c r="M307" t="s">
        <v>19287</v>
      </c>
      <c r="N307" t="s">
        <v>19304</v>
      </c>
      <c r="O307" t="s">
        <v>18061</v>
      </c>
      <c r="P307">
        <v>3</v>
      </c>
      <c r="Q307" t="s">
        <v>19306</v>
      </c>
      <c r="R307" t="s">
        <v>20000</v>
      </c>
    </row>
    <row r="308" spans="1:18" x14ac:dyDescent="0.2">
      <c r="A308" s="70" t="s">
        <v>9449</v>
      </c>
      <c r="B308" t="s">
        <v>13936</v>
      </c>
      <c r="C308" t="s">
        <v>9450</v>
      </c>
      <c r="D308" s="114" t="s">
        <v>9453</v>
      </c>
      <c r="E308" s="84">
        <v>210177</v>
      </c>
      <c r="F308" t="s">
        <v>9451</v>
      </c>
      <c r="G308" t="str">
        <f t="shared" si="13"/>
        <v>Clear Primal Brunhilda's Trial: Expert (Primal Dragon Trials)</v>
      </c>
      <c r="H308" s="86" t="s">
        <v>122</v>
      </c>
      <c r="I308" t="s">
        <v>137</v>
      </c>
      <c r="J308" s="84">
        <v>5</v>
      </c>
      <c r="K308" s="118">
        <v>44647</v>
      </c>
      <c r="L308" t="s">
        <v>18054</v>
      </c>
      <c r="M308" t="s">
        <v>19328</v>
      </c>
      <c r="N308" t="s">
        <v>19333</v>
      </c>
      <c r="O308" t="s">
        <v>18033</v>
      </c>
      <c r="P308">
        <v>2</v>
      </c>
      <c r="Q308" t="s">
        <v>19334</v>
      </c>
    </row>
    <row r="309" spans="1:18" x14ac:dyDescent="0.2">
      <c r="A309" s="70" t="s">
        <v>8823</v>
      </c>
      <c r="B309" t="s">
        <v>13936</v>
      </c>
      <c r="C309" t="s">
        <v>8824</v>
      </c>
      <c r="D309" s="114" t="s">
        <v>8827</v>
      </c>
      <c r="E309" s="84">
        <v>210163</v>
      </c>
      <c r="F309" t="s">
        <v>8825</v>
      </c>
      <c r="G309" t="str">
        <f t="shared" si="13"/>
        <v>Clear Iblis's Surging Cascade: Standard (Rise of the Sinister Dominion)</v>
      </c>
      <c r="H309" s="86" t="s">
        <v>122</v>
      </c>
      <c r="I309" t="s">
        <v>137</v>
      </c>
      <c r="J309" s="84">
        <v>5</v>
      </c>
      <c r="K309" s="118">
        <v>44512</v>
      </c>
      <c r="L309" t="s">
        <v>18054</v>
      </c>
      <c r="M309" t="s">
        <v>13844</v>
      </c>
      <c r="N309" t="s">
        <v>19312</v>
      </c>
      <c r="O309" t="s">
        <v>18054</v>
      </c>
      <c r="P309">
        <v>1</v>
      </c>
      <c r="Q309" t="s">
        <v>19311</v>
      </c>
    </row>
    <row r="310" spans="1:18" x14ac:dyDescent="0.2">
      <c r="A310" s="70" t="s">
        <v>9127</v>
      </c>
      <c r="B310" t="s">
        <v>13936</v>
      </c>
      <c r="C310" t="s">
        <v>9128</v>
      </c>
      <c r="D310" s="114" t="s">
        <v>9131</v>
      </c>
      <c r="E310" s="84">
        <v>210147</v>
      </c>
      <c r="F310" t="s">
        <v>9129</v>
      </c>
      <c r="G310" t="str">
        <f>+"Clear "&amp;N310&amp;" of the Main Campaign ("&amp;O310&amp;")"</f>
        <v>Clear Ch. 19 5-3 of the Main Campaign (Hard)</v>
      </c>
      <c r="H310" s="86" t="s">
        <v>122</v>
      </c>
      <c r="I310" t="s">
        <v>137</v>
      </c>
      <c r="J310" s="84">
        <v>5</v>
      </c>
      <c r="K310" s="118">
        <v>44314</v>
      </c>
      <c r="L310" t="s">
        <v>18054</v>
      </c>
      <c r="M310" t="s">
        <v>17513</v>
      </c>
      <c r="N310" t="s">
        <v>20013</v>
      </c>
      <c r="O310" t="s">
        <v>15732</v>
      </c>
      <c r="P310">
        <v>1</v>
      </c>
      <c r="Q310" t="s">
        <v>17893</v>
      </c>
    </row>
    <row r="311" spans="1:18" x14ac:dyDescent="0.2">
      <c r="A311" s="70" t="s">
        <v>9003</v>
      </c>
      <c r="B311" t="s">
        <v>13936</v>
      </c>
      <c r="C311" t="s">
        <v>9004</v>
      </c>
      <c r="D311" s="114" t="s">
        <v>9007</v>
      </c>
      <c r="E311" s="84">
        <v>210136</v>
      </c>
      <c r="F311" t="s">
        <v>9005</v>
      </c>
      <c r="G311" t="str">
        <f>IF(O311="","Clear "&amp;N311&amp;" ("&amp;M311&amp;")","Clear "&amp;N311&amp;": "&amp;O311&amp;" ("&amp;M311&amp;")")</f>
        <v>Clear Shikigami Clash: Nightmare (Cursed Connections)</v>
      </c>
      <c r="H311" s="86" t="s">
        <v>122</v>
      </c>
      <c r="I311" t="s">
        <v>137</v>
      </c>
      <c r="J311" s="84">
        <v>5</v>
      </c>
      <c r="K311" s="118">
        <v>44196</v>
      </c>
      <c r="L311" t="s">
        <v>18017</v>
      </c>
      <c r="M311" t="s">
        <v>14275</v>
      </c>
      <c r="N311" t="s">
        <v>18763</v>
      </c>
      <c r="O311" t="s">
        <v>18041</v>
      </c>
      <c r="P311">
        <v>4</v>
      </c>
      <c r="Q311" t="s">
        <v>18766</v>
      </c>
    </row>
    <row r="312" spans="1:18" x14ac:dyDescent="0.2">
      <c r="A312" s="70" t="s">
        <v>9402</v>
      </c>
      <c r="B312" t="s">
        <v>13936</v>
      </c>
      <c r="C312" t="s">
        <v>9403</v>
      </c>
      <c r="D312" s="114" t="s">
        <v>9406</v>
      </c>
      <c r="E312" s="84">
        <v>210133</v>
      </c>
      <c r="F312" t="s">
        <v>9404</v>
      </c>
      <c r="G312" t="str">
        <f>N312</f>
        <v>Exchange for 5,000 Rupies from Treasure Trade</v>
      </c>
      <c r="H312" s="86" t="s">
        <v>122</v>
      </c>
      <c r="I312" t="s">
        <v>137</v>
      </c>
      <c r="J312" s="84">
        <v>5</v>
      </c>
      <c r="K312" s="118">
        <v>44102</v>
      </c>
      <c r="L312" t="s">
        <v>18054</v>
      </c>
      <c r="M312" t="s">
        <v>19847</v>
      </c>
      <c r="N312" t="s">
        <v>9407</v>
      </c>
      <c r="Q312" t="s">
        <v>137</v>
      </c>
    </row>
    <row r="313" spans="1:18" x14ac:dyDescent="0.2">
      <c r="A313" s="70" t="s">
        <v>8888</v>
      </c>
      <c r="B313" t="s">
        <v>13936</v>
      </c>
      <c r="C313" t="s">
        <v>8889</v>
      </c>
      <c r="D313" s="114" t="s">
        <v>8892</v>
      </c>
      <c r="E313" s="84">
        <v>210124</v>
      </c>
      <c r="F313" t="s">
        <v>8890</v>
      </c>
      <c r="G313" t="str">
        <f t="shared" ref="G313:G318" si="14">IF(O313="","Clear "&amp;N313&amp;" ("&amp;M313&amp;")","Clear "&amp;N313&amp;": "&amp;O313&amp;" ("&amp;M313&amp;")")</f>
        <v>Clear Defensive Battle: EX (Sands of Revelation)</v>
      </c>
      <c r="H313" s="86" t="s">
        <v>122</v>
      </c>
      <c r="I313" t="s">
        <v>137</v>
      </c>
      <c r="J313" s="84">
        <v>5</v>
      </c>
      <c r="K313" s="118">
        <v>44086</v>
      </c>
      <c r="L313" t="s">
        <v>18588</v>
      </c>
      <c r="M313" t="s">
        <v>14242</v>
      </c>
      <c r="N313" t="s">
        <v>19628</v>
      </c>
      <c r="O313" t="s">
        <v>18039</v>
      </c>
      <c r="P313">
        <v>5</v>
      </c>
      <c r="Q313" t="s">
        <v>18658</v>
      </c>
    </row>
    <row r="314" spans="1:18" x14ac:dyDescent="0.2">
      <c r="A314" s="70" t="s">
        <v>10118</v>
      </c>
      <c r="B314" t="s">
        <v>13936</v>
      </c>
      <c r="C314" t="s">
        <v>10119</v>
      </c>
      <c r="D314" s="114" t="s">
        <v>10122</v>
      </c>
      <c r="E314" s="84">
        <v>200009</v>
      </c>
      <c r="F314" t="s">
        <v>10120</v>
      </c>
      <c r="G314" t="str">
        <f t="shared" si="14"/>
        <v>Clear Mars's Trial: Standard (Trials of the Mighty)</v>
      </c>
      <c r="H314" s="86" t="s">
        <v>122</v>
      </c>
      <c r="I314" t="s">
        <v>137</v>
      </c>
      <c r="J314" s="84">
        <v>5</v>
      </c>
      <c r="K314" s="118">
        <v>43945</v>
      </c>
      <c r="L314" t="s">
        <v>18054</v>
      </c>
      <c r="M314" t="s">
        <v>19456</v>
      </c>
      <c r="N314" t="s">
        <v>19521</v>
      </c>
      <c r="O314" t="s">
        <v>18054</v>
      </c>
      <c r="P314">
        <v>1</v>
      </c>
      <c r="Q314" t="s">
        <v>19520</v>
      </c>
    </row>
    <row r="315" spans="1:18" x14ac:dyDescent="0.2">
      <c r="A315" s="70" t="s">
        <v>10155</v>
      </c>
      <c r="B315" t="s">
        <v>13936</v>
      </c>
      <c r="C315" t="s">
        <v>10156</v>
      </c>
      <c r="D315" s="115" t="s">
        <v>10159</v>
      </c>
      <c r="E315" s="84">
        <v>210122</v>
      </c>
      <c r="F315" t="s">
        <v>10157</v>
      </c>
      <c r="G315" t="str">
        <f t="shared" si="14"/>
        <v>Clear Trials: Dreadking's Trial (Monster Hunter Primal Crisis)</v>
      </c>
      <c r="H315" s="86" t="s">
        <v>122</v>
      </c>
      <c r="I315" t="s">
        <v>137</v>
      </c>
      <c r="J315" s="84">
        <v>5</v>
      </c>
      <c r="K315" s="118">
        <v>43865</v>
      </c>
      <c r="L315" t="s">
        <v>18241</v>
      </c>
      <c r="M315" t="s">
        <v>19631</v>
      </c>
      <c r="N315" t="s">
        <v>20014</v>
      </c>
      <c r="O315" t="s">
        <v>18459</v>
      </c>
      <c r="P315">
        <v>3</v>
      </c>
      <c r="Q315" t="s">
        <v>18458</v>
      </c>
    </row>
    <row r="316" spans="1:18" x14ac:dyDescent="0.2">
      <c r="A316" s="70" t="s">
        <v>8664</v>
      </c>
      <c r="B316" t="s">
        <v>13936</v>
      </c>
      <c r="C316" t="s">
        <v>8665</v>
      </c>
      <c r="D316" s="115" t="s">
        <v>8668</v>
      </c>
      <c r="E316" s="84">
        <v>210121</v>
      </c>
      <c r="F316" t="s">
        <v>8666</v>
      </c>
      <c r="G316" t="str">
        <f t="shared" si="14"/>
        <v>Clear Rathalos Assault: High Rank (Monster Hunter Primal Crisis)</v>
      </c>
      <c r="H316" s="86" t="s">
        <v>122</v>
      </c>
      <c r="I316" t="s">
        <v>137</v>
      </c>
      <c r="J316" s="84">
        <v>5</v>
      </c>
      <c r="K316" s="118">
        <v>43859</v>
      </c>
      <c r="L316" t="s">
        <v>18241</v>
      </c>
      <c r="M316" t="s">
        <v>19631</v>
      </c>
      <c r="N316" t="s">
        <v>18439</v>
      </c>
      <c r="O316" t="s">
        <v>18442</v>
      </c>
      <c r="P316">
        <v>2</v>
      </c>
      <c r="Q316" t="s">
        <v>18441</v>
      </c>
    </row>
    <row r="317" spans="1:18" x14ac:dyDescent="0.2">
      <c r="A317" s="70" t="s">
        <v>9488</v>
      </c>
      <c r="B317" t="s">
        <v>13936</v>
      </c>
      <c r="C317" t="s">
        <v>9489</v>
      </c>
      <c r="D317" s="114" t="s">
        <v>9492</v>
      </c>
      <c r="E317" s="84">
        <v>210107</v>
      </c>
      <c r="F317" t="s">
        <v>9490</v>
      </c>
      <c r="G317" t="str">
        <f t="shared" si="14"/>
        <v>Clear Agni's Trial: Standard (Trials of the Mighty)</v>
      </c>
      <c r="H317" s="86" t="s">
        <v>122</v>
      </c>
      <c r="I317" t="s">
        <v>137</v>
      </c>
      <c r="J317" s="84">
        <v>5</v>
      </c>
      <c r="K317" s="118">
        <v>43782</v>
      </c>
      <c r="L317" t="s">
        <v>18054</v>
      </c>
      <c r="M317" t="s">
        <v>19456</v>
      </c>
      <c r="N317" t="s">
        <v>19457</v>
      </c>
      <c r="O317" t="s">
        <v>18054</v>
      </c>
      <c r="P317">
        <v>1</v>
      </c>
      <c r="Q317" t="s">
        <v>19455</v>
      </c>
    </row>
    <row r="318" spans="1:18" x14ac:dyDescent="0.2">
      <c r="A318" s="70" t="s">
        <v>8677</v>
      </c>
      <c r="B318" t="s">
        <v>13936</v>
      </c>
      <c r="C318" t="s">
        <v>8678</v>
      </c>
      <c r="D318" s="114" t="s">
        <v>8681</v>
      </c>
      <c r="E318" s="84">
        <v>210103</v>
      </c>
      <c r="F318" t="s">
        <v>8679</v>
      </c>
      <c r="G318" t="str">
        <f t="shared" si="14"/>
        <v>Clear Battle at Mount Adolla: Master (The Imperial Onslaught)</v>
      </c>
      <c r="H318" s="86" t="s">
        <v>122</v>
      </c>
      <c r="I318" t="s">
        <v>137</v>
      </c>
      <c r="J318" s="84">
        <v>5</v>
      </c>
      <c r="K318" s="118">
        <v>43720</v>
      </c>
      <c r="L318" t="s">
        <v>18054</v>
      </c>
      <c r="M318" t="s">
        <v>13954</v>
      </c>
      <c r="N318" t="s">
        <v>19219</v>
      </c>
      <c r="O318" t="s">
        <v>18061</v>
      </c>
      <c r="P318">
        <v>4</v>
      </c>
      <c r="Q318" t="s">
        <v>19224</v>
      </c>
    </row>
    <row r="319" spans="1:18" x14ac:dyDescent="0.2">
      <c r="A319" s="70" t="s">
        <v>8945</v>
      </c>
      <c r="B319" t="s">
        <v>13936</v>
      </c>
      <c r="C319" t="s">
        <v>8946</v>
      </c>
      <c r="D319" s="114" t="s">
        <v>8949</v>
      </c>
      <c r="E319" s="84">
        <v>210030</v>
      </c>
      <c r="F319" t="s">
        <v>8947</v>
      </c>
      <c r="G319" t="str">
        <f>IF(O319="",N319&amp;" ("&amp;M319&amp;")",N319&amp;": "&amp;O319&amp;" ("&amp;M319&amp;")")</f>
        <v>Upgrade the Arctos Monument to Lv. 35 (Flames of Reflection)</v>
      </c>
      <c r="H319" s="86" t="s">
        <v>122</v>
      </c>
      <c r="I319" t="s">
        <v>137</v>
      </c>
      <c r="J319" s="84">
        <v>5</v>
      </c>
      <c r="K319" s="118">
        <v>43657</v>
      </c>
      <c r="L319" t="s">
        <v>18046</v>
      </c>
      <c r="M319" t="s">
        <v>14095</v>
      </c>
      <c r="N319" t="s">
        <v>20015</v>
      </c>
      <c r="Q319" t="s">
        <v>20016</v>
      </c>
    </row>
    <row r="320" spans="1:18" x14ac:dyDescent="0.2">
      <c r="A320" s="70" t="s">
        <v>9599</v>
      </c>
      <c r="B320" t="s">
        <v>13936</v>
      </c>
      <c r="C320" t="s">
        <v>9600</v>
      </c>
      <c r="D320" s="115" t="s">
        <v>9603</v>
      </c>
      <c r="E320" s="84">
        <v>210082</v>
      </c>
      <c r="F320" t="s">
        <v>9601</v>
      </c>
      <c r="G320" t="str">
        <f>IF(O320="","Clear "&amp;N320&amp;" ("&amp;M320&amp;")","Clear "&amp;N320&amp;": "&amp;O320&amp;" ("&amp;M320&amp;")")</f>
        <v>Clear High Brunhilda's Trial: Prelude (Advanced Dragon Trials)</v>
      </c>
      <c r="H320" s="86" t="s">
        <v>122</v>
      </c>
      <c r="I320" t="s">
        <v>137</v>
      </c>
      <c r="J320" s="84">
        <v>5</v>
      </c>
      <c r="K320" s="118">
        <v>43616</v>
      </c>
      <c r="L320" t="s">
        <v>18054</v>
      </c>
      <c r="M320" t="s">
        <v>19259</v>
      </c>
      <c r="N320" t="s">
        <v>19272</v>
      </c>
      <c r="O320" t="s">
        <v>19261</v>
      </c>
      <c r="P320">
        <v>1</v>
      </c>
      <c r="Q320" t="s">
        <v>19271</v>
      </c>
    </row>
    <row r="321" spans="1:17" x14ac:dyDescent="0.2">
      <c r="A321" s="70" t="s">
        <v>9547</v>
      </c>
      <c r="B321" t="s">
        <v>13936</v>
      </c>
      <c r="C321" t="s">
        <v>9548</v>
      </c>
      <c r="D321" s="115" t="s">
        <v>9551</v>
      </c>
      <c r="E321" s="84">
        <v>210052</v>
      </c>
      <c r="F321" t="s">
        <v>9549</v>
      </c>
      <c r="G321" t="str">
        <f>IF(O321="","Clear "&amp;N321&amp;" ("&amp;M321&amp;")","Clear "&amp;N321&amp;": "&amp;O321&amp;" ("&amp;M321&amp;")")</f>
        <v>Clear All-Out Assault: EX (Valentine's Confections)</v>
      </c>
      <c r="H321" s="86" t="s">
        <v>122</v>
      </c>
      <c r="I321" t="s">
        <v>137</v>
      </c>
      <c r="J321" s="84">
        <v>5</v>
      </c>
      <c r="K321" s="118">
        <v>43510</v>
      </c>
      <c r="L321" t="s">
        <v>18175</v>
      </c>
      <c r="M321" t="s">
        <v>14038</v>
      </c>
      <c r="N321" t="s">
        <v>19643</v>
      </c>
      <c r="O321" t="s">
        <v>18039</v>
      </c>
      <c r="P321">
        <v>5</v>
      </c>
      <c r="Q321" t="s">
        <v>18191</v>
      </c>
    </row>
    <row r="322" spans="1:17" x14ac:dyDescent="0.2">
      <c r="A322" s="70" t="s">
        <v>9657</v>
      </c>
      <c r="B322" t="s">
        <v>13936</v>
      </c>
      <c r="C322" t="s">
        <v>9658</v>
      </c>
      <c r="D322" s="114" t="s">
        <v>9661</v>
      </c>
      <c r="E322" s="84">
        <v>210055</v>
      </c>
      <c r="F322" t="s">
        <v>9659</v>
      </c>
      <c r="G322" t="str">
        <f>IF(O322="","Clear "&amp;N322&amp;" ("&amp;M322&amp;")","Clear "&amp;N322&amp;": "&amp;O322&amp;" ("&amp;M322&amp;")")</f>
        <v>Clear Barbary Clash: Expert (A Splash of Adventure)</v>
      </c>
      <c r="H322" s="86" t="s">
        <v>122</v>
      </c>
      <c r="I322" t="s">
        <v>137</v>
      </c>
      <c r="J322" s="84">
        <v>5</v>
      </c>
      <c r="K322" s="118">
        <v>43677</v>
      </c>
      <c r="L322" t="s">
        <v>18017</v>
      </c>
      <c r="M322" t="s">
        <v>14102</v>
      </c>
      <c r="N322" t="s">
        <v>18303</v>
      </c>
      <c r="O322" t="s">
        <v>18033</v>
      </c>
      <c r="P322">
        <v>3</v>
      </c>
      <c r="Q322" t="s">
        <v>18305</v>
      </c>
    </row>
    <row r="323" spans="1:17" x14ac:dyDescent="0.2">
      <c r="A323" s="70" t="s">
        <v>9771</v>
      </c>
      <c r="B323" t="s">
        <v>13936</v>
      </c>
      <c r="C323" t="s">
        <v>9772</v>
      </c>
      <c r="D323" s="115" t="s">
        <v>9775</v>
      </c>
      <c r="E323" s="84">
        <v>210024</v>
      </c>
      <c r="F323" t="s">
        <v>9773</v>
      </c>
      <c r="G323" t="str">
        <f>"Clear "&amp;N323&amp;": "&amp;O323</f>
        <v>Clear Brunhilda's Trial: Master</v>
      </c>
      <c r="H323" s="86" t="s">
        <v>122</v>
      </c>
      <c r="I323" t="s">
        <v>137</v>
      </c>
      <c r="J323" s="84">
        <v>5</v>
      </c>
      <c r="K323" s="118">
        <v>43404</v>
      </c>
      <c r="L323" t="s">
        <v>18054</v>
      </c>
      <c r="M323" t="s">
        <v>13994</v>
      </c>
      <c r="N323" t="s">
        <v>19204</v>
      </c>
      <c r="O323" t="s">
        <v>18061</v>
      </c>
      <c r="P323">
        <v>4</v>
      </c>
      <c r="Q323" t="s">
        <v>19207</v>
      </c>
    </row>
    <row r="324" spans="1:17" x14ac:dyDescent="0.2">
      <c r="A324" s="70" t="s">
        <v>9714</v>
      </c>
      <c r="B324" t="s">
        <v>13936</v>
      </c>
      <c r="C324" t="s">
        <v>9715</v>
      </c>
      <c r="D324" s="114" t="s">
        <v>9718</v>
      </c>
      <c r="E324" s="84">
        <v>210057</v>
      </c>
      <c r="F324" t="s">
        <v>9716</v>
      </c>
      <c r="G324" t="str">
        <f>IF(O324="","Clear "&amp;N324&amp;" ("&amp;M324&amp;")","Clear "&amp;N324&amp;": "&amp;O324&amp;" ("&amp;M324&amp;")")</f>
        <v>Clear Phraeganoth Clash: Expert (Loyalty's Requiem)</v>
      </c>
      <c r="H324" s="86" t="s">
        <v>122</v>
      </c>
      <c r="I324" t="s">
        <v>137</v>
      </c>
      <c r="J324" s="84">
        <v>5</v>
      </c>
      <c r="K324" s="118">
        <v>43377</v>
      </c>
      <c r="L324" t="s">
        <v>18017</v>
      </c>
      <c r="M324" t="s">
        <v>13959</v>
      </c>
      <c r="N324" t="s">
        <v>18035</v>
      </c>
      <c r="O324" t="s">
        <v>18033</v>
      </c>
      <c r="P324">
        <v>2</v>
      </c>
      <c r="Q324" t="s">
        <v>18036</v>
      </c>
    </row>
    <row r="325" spans="1:17" x14ac:dyDescent="0.2">
      <c r="A325" s="70" t="s">
        <v>9244</v>
      </c>
      <c r="B325" t="s">
        <v>13936</v>
      </c>
      <c r="C325" t="s">
        <v>9245</v>
      </c>
      <c r="D325" s="115" t="s">
        <v>9248</v>
      </c>
      <c r="E325" s="84">
        <v>210039</v>
      </c>
      <c r="F325" t="s">
        <v>9246</v>
      </c>
      <c r="G325" t="str">
        <f>IF(O325="","Clear "&amp;N325&amp;" ("&amp;M325&amp;")","Clear "&amp;N325&amp;": "&amp;O325&amp;" ("&amp;M325&amp;")")</f>
        <v>Clear High Brunhilda's Trial: Standard (Advanced Dragon Trials)</v>
      </c>
      <c r="H325" s="86" t="s">
        <v>122</v>
      </c>
      <c r="I325" t="s">
        <v>137</v>
      </c>
      <c r="J325" s="84">
        <v>5</v>
      </c>
      <c r="K325" s="118">
        <v>43451</v>
      </c>
      <c r="L325" t="s">
        <v>18054</v>
      </c>
      <c r="M325" t="s">
        <v>19259</v>
      </c>
      <c r="N325" t="s">
        <v>19272</v>
      </c>
      <c r="O325" t="s">
        <v>18054</v>
      </c>
      <c r="P325">
        <v>2</v>
      </c>
      <c r="Q325" t="s">
        <v>19273</v>
      </c>
    </row>
    <row r="326" spans="1:17" x14ac:dyDescent="0.2">
      <c r="A326" s="70" t="s">
        <v>9830</v>
      </c>
      <c r="B326" t="s">
        <v>13936</v>
      </c>
      <c r="C326" t="s">
        <v>9831</v>
      </c>
      <c r="D326" s="114" t="s">
        <v>9834</v>
      </c>
      <c r="E326" s="84">
        <v>210016</v>
      </c>
      <c r="F326" t="s">
        <v>9832</v>
      </c>
      <c r="G326" t="str">
        <f>IF(O326="","Clear "&amp;N326&amp;" ("&amp;M326&amp;")","Clear "&amp;N326&amp;": "&amp;O326&amp;" ("&amp;M326&amp;")")</f>
        <v>Clear Void Agni Strike: Standard (Void Battles)</v>
      </c>
      <c r="H326" s="86" t="s">
        <v>122</v>
      </c>
      <c r="I326" t="s">
        <v>137</v>
      </c>
      <c r="J326" s="84">
        <v>5</v>
      </c>
      <c r="K326" s="118">
        <v>43370</v>
      </c>
      <c r="L326" t="s">
        <v>18054</v>
      </c>
      <c r="M326" t="s">
        <v>19374</v>
      </c>
      <c r="N326" t="s">
        <v>19430</v>
      </c>
      <c r="O326" t="s">
        <v>18054</v>
      </c>
      <c r="P326">
        <v>1</v>
      </c>
      <c r="Q326" t="s">
        <v>19429</v>
      </c>
    </row>
    <row r="327" spans="1:17" x14ac:dyDescent="0.2">
      <c r="A327" s="70" t="s">
        <v>9355</v>
      </c>
      <c r="B327" t="s">
        <v>13936</v>
      </c>
      <c r="C327" t="s">
        <v>9356</v>
      </c>
      <c r="D327" s="115" t="s">
        <v>9359</v>
      </c>
      <c r="E327" s="84">
        <v>210007</v>
      </c>
      <c r="F327" t="s">
        <v>9357</v>
      </c>
      <c r="G327" t="str">
        <f>"Clear "&amp;N327&amp;": "&amp;O327</f>
        <v>Clear Brunhilda's Trial: Standard</v>
      </c>
      <c r="H327" s="86" t="s">
        <v>122</v>
      </c>
      <c r="I327" t="s">
        <v>137</v>
      </c>
      <c r="J327" s="84">
        <v>4</v>
      </c>
      <c r="K327" s="118">
        <v>43370</v>
      </c>
      <c r="L327" t="s">
        <v>18054</v>
      </c>
      <c r="M327" t="s">
        <v>13994</v>
      </c>
      <c r="N327" t="s">
        <v>19204</v>
      </c>
      <c r="O327" t="s">
        <v>18054</v>
      </c>
      <c r="P327">
        <v>2</v>
      </c>
      <c r="Q327" t="s">
        <v>19205</v>
      </c>
    </row>
    <row r="328" spans="1:17" x14ac:dyDescent="0.2">
      <c r="A328" s="70" t="s">
        <v>9297</v>
      </c>
      <c r="B328" t="s">
        <v>13936</v>
      </c>
      <c r="C328" t="s">
        <v>9298</v>
      </c>
      <c r="D328" s="115" t="s">
        <v>9301</v>
      </c>
      <c r="E328" s="84">
        <v>210006</v>
      </c>
      <c r="F328" t="s">
        <v>9299</v>
      </c>
      <c r="G328" t="str">
        <f>"Clear "&amp;N328&amp;": "&amp;O328</f>
        <v>Clear Brunhilda's Trial: Expert</v>
      </c>
      <c r="H328" s="86" t="s">
        <v>122</v>
      </c>
      <c r="I328" t="s">
        <v>137</v>
      </c>
      <c r="J328" s="84">
        <v>4</v>
      </c>
      <c r="K328" s="118">
        <v>43370</v>
      </c>
      <c r="L328" t="s">
        <v>18054</v>
      </c>
      <c r="M328" t="s">
        <v>13994</v>
      </c>
      <c r="N328" t="s">
        <v>19204</v>
      </c>
      <c r="O328" t="s">
        <v>18033</v>
      </c>
      <c r="P328">
        <v>3</v>
      </c>
      <c r="Q328" t="s">
        <v>19206</v>
      </c>
    </row>
    <row r="329" spans="1:17" x14ac:dyDescent="0.2">
      <c r="A329" s="70" t="s">
        <v>9187</v>
      </c>
      <c r="B329" t="s">
        <v>13936</v>
      </c>
      <c r="C329" t="s">
        <v>9188</v>
      </c>
      <c r="D329" s="114" t="s">
        <v>9191</v>
      </c>
      <c r="E329" s="84">
        <v>210002</v>
      </c>
      <c r="F329" t="s">
        <v>9189</v>
      </c>
      <c r="G329" t="str">
        <f>+"Clear "&amp;N329&amp;" of the Main Campaign ("&amp;O329&amp;")"</f>
        <v>Clear Ch. 03 4-4 of the Main Campaign (Normal)</v>
      </c>
      <c r="H329" s="86" t="s">
        <v>122</v>
      </c>
      <c r="I329" t="s">
        <v>137</v>
      </c>
      <c r="J329" s="84">
        <v>4</v>
      </c>
      <c r="K329" s="118">
        <v>43370</v>
      </c>
      <c r="L329" t="s">
        <v>18054</v>
      </c>
      <c r="M329" t="s">
        <v>17513</v>
      </c>
      <c r="N329" t="s">
        <v>20017</v>
      </c>
      <c r="O329" t="s">
        <v>15731</v>
      </c>
      <c r="P329">
        <v>1</v>
      </c>
      <c r="Q329" t="s">
        <v>15921</v>
      </c>
    </row>
    <row r="330" spans="1:17" x14ac:dyDescent="0.2">
      <c r="A330" s="70" t="s">
        <v>9926</v>
      </c>
      <c r="B330" t="s">
        <v>13936</v>
      </c>
      <c r="C330" t="s">
        <v>9927</v>
      </c>
      <c r="D330" s="114" t="s">
        <v>9929</v>
      </c>
      <c r="E330" s="84">
        <v>210023</v>
      </c>
      <c r="F330" t="s">
        <v>137</v>
      </c>
      <c r="G330" t="str">
        <f>+N330</f>
        <v>Complete Tutorial</v>
      </c>
      <c r="H330" s="86" t="s">
        <v>122</v>
      </c>
      <c r="I330" t="s">
        <v>137</v>
      </c>
      <c r="J330" s="84">
        <v>3</v>
      </c>
      <c r="K330" s="118">
        <v>43370</v>
      </c>
      <c r="L330" t="s">
        <v>18054</v>
      </c>
      <c r="M330" t="s">
        <v>13720</v>
      </c>
      <c r="N330" t="s">
        <v>276</v>
      </c>
      <c r="Q330" t="s">
        <v>137</v>
      </c>
    </row>
    <row r="331" spans="1:17" x14ac:dyDescent="0.2">
      <c r="A331" s="70" t="s">
        <v>9885</v>
      </c>
      <c r="B331" t="s">
        <v>13936</v>
      </c>
      <c r="C331" t="s">
        <v>9886</v>
      </c>
      <c r="D331" s="114" t="s">
        <v>9888</v>
      </c>
      <c r="E331" s="84">
        <v>210022</v>
      </c>
      <c r="F331" t="s">
        <v>137</v>
      </c>
      <c r="G331" t="str">
        <f>+N331</f>
        <v>Complete Tutorial</v>
      </c>
      <c r="H331" s="86" t="s">
        <v>122</v>
      </c>
      <c r="I331" t="s">
        <v>137</v>
      </c>
      <c r="J331" s="84">
        <v>3</v>
      </c>
      <c r="K331" s="118">
        <v>43370</v>
      </c>
      <c r="L331" t="s">
        <v>18054</v>
      </c>
      <c r="M331" t="s">
        <v>13720</v>
      </c>
      <c r="N331" t="s">
        <v>276</v>
      </c>
      <c r="Q331" t="s">
        <v>137</v>
      </c>
    </row>
    <row r="332" spans="1:17" x14ac:dyDescent="0.2">
      <c r="A332" s="70" t="s">
        <v>9964</v>
      </c>
      <c r="B332" t="s">
        <v>13936</v>
      </c>
      <c r="C332" t="s">
        <v>9965</v>
      </c>
      <c r="D332" s="114" t="s">
        <v>9967</v>
      </c>
      <c r="E332" s="84">
        <v>210021</v>
      </c>
      <c r="F332" t="s">
        <v>137</v>
      </c>
      <c r="G332" t="str">
        <f>+N332</f>
        <v>Complete Tutorial</v>
      </c>
      <c r="H332" s="86" t="s">
        <v>122</v>
      </c>
      <c r="I332" t="s">
        <v>137</v>
      </c>
      <c r="J332" s="84">
        <v>3</v>
      </c>
      <c r="K332" s="118">
        <v>43370</v>
      </c>
      <c r="L332" t="s">
        <v>18054</v>
      </c>
      <c r="M332" t="s">
        <v>13720</v>
      </c>
      <c r="N332" t="s">
        <v>276</v>
      </c>
      <c r="Q332" t="s">
        <v>137</v>
      </c>
    </row>
    <row r="333" spans="1:17" x14ac:dyDescent="0.2">
      <c r="A333" s="70" t="s">
        <v>8773</v>
      </c>
      <c r="B333" t="s">
        <v>13936</v>
      </c>
      <c r="C333" t="s">
        <v>8774</v>
      </c>
      <c r="D333" s="114" t="s">
        <v>8777</v>
      </c>
      <c r="E333" s="84">
        <v>210167</v>
      </c>
      <c r="F333" t="s">
        <v>8775</v>
      </c>
      <c r="G333" t="str">
        <f>IF(O333="","Clear "&amp;N333&amp;" ("&amp;M333&amp;")","Clear "&amp;N333&amp;": "&amp;O333&amp;" ("&amp;M333&amp;")")</f>
        <v>Clear Ciella's Wrath: Expert (The Agito Uprising)</v>
      </c>
      <c r="H333" s="86" t="s">
        <v>1103</v>
      </c>
      <c r="I333" t="s">
        <v>137</v>
      </c>
      <c r="J333" s="84">
        <v>5</v>
      </c>
      <c r="K333" s="118">
        <v>44561</v>
      </c>
      <c r="L333" t="s">
        <v>18054</v>
      </c>
      <c r="M333" t="s">
        <v>19287</v>
      </c>
      <c r="N333" t="s">
        <v>19292</v>
      </c>
      <c r="O333" t="s">
        <v>18033</v>
      </c>
      <c r="P333">
        <v>2</v>
      </c>
      <c r="Q333" t="s">
        <v>19293</v>
      </c>
    </row>
    <row r="334" spans="1:17" x14ac:dyDescent="0.2">
      <c r="A334" s="70" t="s">
        <v>9784</v>
      </c>
      <c r="B334" t="s">
        <v>13936</v>
      </c>
      <c r="C334" t="s">
        <v>9785</v>
      </c>
      <c r="D334" s="114" t="s">
        <v>9788</v>
      </c>
      <c r="E334" s="84">
        <v>210156</v>
      </c>
      <c r="F334" t="s">
        <v>9786</v>
      </c>
      <c r="G334" t="str">
        <f>IF(O334="","Clear "&amp;N334&amp;" ("&amp;M334&amp;")","Clear "&amp;N334&amp;": "&amp;O334&amp;" ("&amp;M334&amp;")")</f>
        <v>Clear Defensive Battle: Field Training (The Fabled Fortune)</v>
      </c>
      <c r="H334" s="86" t="s">
        <v>1103</v>
      </c>
      <c r="I334" t="s">
        <v>137</v>
      </c>
      <c r="J334" s="84">
        <v>5</v>
      </c>
      <c r="K334" s="118">
        <v>44392</v>
      </c>
      <c r="L334" t="s">
        <v>18588</v>
      </c>
      <c r="M334" t="s">
        <v>18970</v>
      </c>
      <c r="N334" t="s">
        <v>19628</v>
      </c>
      <c r="O334" t="s">
        <v>18721</v>
      </c>
      <c r="P334">
        <v>6</v>
      </c>
      <c r="Q334" t="s">
        <v>18986</v>
      </c>
    </row>
    <row r="335" spans="1:17" x14ac:dyDescent="0.2">
      <c r="A335" s="70" t="s">
        <v>9413</v>
      </c>
      <c r="B335" t="s">
        <v>13936</v>
      </c>
      <c r="C335" t="s">
        <v>9414</v>
      </c>
      <c r="D335" s="114" t="s">
        <v>9417</v>
      </c>
      <c r="E335" s="84">
        <v>210146</v>
      </c>
      <c r="F335" t="s">
        <v>9415</v>
      </c>
      <c r="G335" t="str">
        <f>N335</f>
        <v>Exchange for 5,000 Rupies from Treasure Trade</v>
      </c>
      <c r="H335" s="86" t="s">
        <v>1103</v>
      </c>
      <c r="I335" t="s">
        <v>137</v>
      </c>
      <c r="J335" s="84">
        <v>5</v>
      </c>
      <c r="K335" s="118">
        <v>44282</v>
      </c>
      <c r="L335" t="s">
        <v>18054</v>
      </c>
      <c r="M335" t="s">
        <v>19847</v>
      </c>
      <c r="N335" t="s">
        <v>9407</v>
      </c>
      <c r="Q335" t="s">
        <v>137</v>
      </c>
    </row>
    <row r="336" spans="1:17" x14ac:dyDescent="0.2">
      <c r="A336" s="70" t="s">
        <v>8837</v>
      </c>
      <c r="B336" t="s">
        <v>13936</v>
      </c>
      <c r="C336" t="s">
        <v>8838</v>
      </c>
      <c r="D336" s="114" t="s">
        <v>8841</v>
      </c>
      <c r="E336" s="84">
        <v>210145</v>
      </c>
      <c r="F336" t="s">
        <v>8839</v>
      </c>
      <c r="G336" t="str">
        <f>IF(O336="","Clear "&amp;N336&amp;" ("&amp;M336&amp;")","Clear "&amp;N336&amp;": "&amp;O336&amp;" ("&amp;M336&amp;")")</f>
        <v>Clear Jaldabaoth's Piercing Gale: Standard (Rise of the Sinister Dominion)</v>
      </c>
      <c r="H336" s="86" t="s">
        <v>1103</v>
      </c>
      <c r="I336" t="s">
        <v>137</v>
      </c>
      <c r="J336" s="84">
        <v>5</v>
      </c>
      <c r="K336" s="118">
        <v>44258</v>
      </c>
      <c r="L336" t="s">
        <v>18054</v>
      </c>
      <c r="M336" t="s">
        <v>13844</v>
      </c>
      <c r="N336" t="s">
        <v>19308</v>
      </c>
      <c r="O336" t="s">
        <v>18054</v>
      </c>
      <c r="P336">
        <v>1</v>
      </c>
      <c r="Q336" t="s">
        <v>19307</v>
      </c>
    </row>
    <row r="337" spans="1:17" x14ac:dyDescent="0.2">
      <c r="A337" s="70" t="s">
        <v>9140</v>
      </c>
      <c r="B337" t="s">
        <v>13936</v>
      </c>
      <c r="C337" t="s">
        <v>9141</v>
      </c>
      <c r="D337" s="114" t="s">
        <v>9144</v>
      </c>
      <c r="E337" s="84">
        <v>210134</v>
      </c>
      <c r="F337" t="s">
        <v>9142</v>
      </c>
      <c r="G337" t="str">
        <f>+"Clear "&amp;N337&amp;" of the Main Campaign ("&amp;O337&amp;")"</f>
        <v>Clear Ch. 16 4-4 of the Main Campaign (Hard)</v>
      </c>
      <c r="H337" s="86" t="s">
        <v>1103</v>
      </c>
      <c r="I337" t="s">
        <v>137</v>
      </c>
      <c r="J337" s="84">
        <v>5</v>
      </c>
      <c r="K337" s="118">
        <v>44134</v>
      </c>
      <c r="L337" t="s">
        <v>18054</v>
      </c>
      <c r="M337" t="s">
        <v>17513</v>
      </c>
      <c r="N337" t="s">
        <v>19713</v>
      </c>
      <c r="O337" t="s">
        <v>15732</v>
      </c>
      <c r="P337">
        <v>1</v>
      </c>
      <c r="Q337" t="s">
        <v>17845</v>
      </c>
    </row>
    <row r="338" spans="1:17" x14ac:dyDescent="0.2">
      <c r="A338" s="70" t="s">
        <v>9016</v>
      </c>
      <c r="B338" t="s">
        <v>13936</v>
      </c>
      <c r="C338" t="s">
        <v>9017</v>
      </c>
      <c r="D338" s="114" t="s">
        <v>9020</v>
      </c>
      <c r="E338" s="84">
        <v>210130</v>
      </c>
      <c r="F338" t="s">
        <v>9018</v>
      </c>
      <c r="G338" t="str">
        <f>IF(O338="",N338&amp;" ("&amp;M338&amp;")",N338&amp;": "&amp;O338&amp;" ("&amp;M338&amp;")")</f>
        <v>Upgrade the Festival Stage to Lv. 35 (Rhythmic Resolutions)</v>
      </c>
      <c r="H338" s="86" t="s">
        <v>1103</v>
      </c>
      <c r="I338" t="s">
        <v>137</v>
      </c>
      <c r="J338" s="84">
        <v>5</v>
      </c>
      <c r="K338" s="118">
        <v>44011</v>
      </c>
      <c r="L338" t="s">
        <v>18046</v>
      </c>
      <c r="M338" t="s">
        <v>14220</v>
      </c>
      <c r="N338" t="s">
        <v>20018</v>
      </c>
      <c r="Q338" t="s">
        <v>20019</v>
      </c>
    </row>
    <row r="339" spans="1:17" x14ac:dyDescent="0.2">
      <c r="A339" s="70" t="s">
        <v>9726</v>
      </c>
      <c r="B339" t="s">
        <v>13936</v>
      </c>
      <c r="C339" t="s">
        <v>9727</v>
      </c>
      <c r="D339" s="115" t="s">
        <v>9730</v>
      </c>
      <c r="E339" s="84">
        <v>210120</v>
      </c>
      <c r="F339" t="s">
        <v>9728</v>
      </c>
      <c r="G339" t="str">
        <f>IF(O339="","Clear "&amp;N339&amp;" ("&amp;M339&amp;")","Clear "&amp;N339&amp;": "&amp;O339&amp;" ("&amp;M339&amp;")")</f>
        <v>Clear High Mercury's Trial: Prelude (Advanced Dragon Trials)</v>
      </c>
      <c r="H339" s="86" t="s">
        <v>1103</v>
      </c>
      <c r="I339" t="s">
        <v>137</v>
      </c>
      <c r="J339" s="84">
        <v>5</v>
      </c>
      <c r="K339" s="118">
        <v>43934</v>
      </c>
      <c r="L339" t="s">
        <v>18054</v>
      </c>
      <c r="M339" t="s">
        <v>19259</v>
      </c>
      <c r="N339" t="s">
        <v>19267</v>
      </c>
      <c r="O339" t="s">
        <v>19261</v>
      </c>
      <c r="P339">
        <v>1</v>
      </c>
      <c r="Q339" t="s">
        <v>19266</v>
      </c>
    </row>
    <row r="340" spans="1:17" x14ac:dyDescent="0.2">
      <c r="A340" s="70" t="s">
        <v>8960</v>
      </c>
      <c r="B340" t="s">
        <v>13936</v>
      </c>
      <c r="C340" t="s">
        <v>8961</v>
      </c>
      <c r="D340" s="115" t="s">
        <v>8964</v>
      </c>
      <c r="E340" s="84">
        <v>210053</v>
      </c>
      <c r="F340" t="s">
        <v>8962</v>
      </c>
      <c r="G340" t="str">
        <f>IF(O340="","Clear "&amp;N340&amp;" ("&amp;M340&amp;")","Clear "&amp;N340&amp;": "&amp;O340&amp;" ("&amp;M340&amp;")")</f>
        <v>Clear Upgrade The Hungerdome to Lv. 35 (A Dash of Disaster)</v>
      </c>
      <c r="H340" s="86" t="s">
        <v>1103</v>
      </c>
      <c r="I340" t="s">
        <v>137</v>
      </c>
      <c r="J340" s="84">
        <v>5</v>
      </c>
      <c r="K340" s="118">
        <v>43889</v>
      </c>
      <c r="L340" t="s">
        <v>18046</v>
      </c>
      <c r="M340" t="s">
        <v>14181</v>
      </c>
      <c r="N340" t="s">
        <v>20020</v>
      </c>
      <c r="Q340" t="s">
        <v>20021</v>
      </c>
    </row>
    <row r="341" spans="1:17" x14ac:dyDescent="0.2">
      <c r="A341" s="70" t="s">
        <v>9503</v>
      </c>
      <c r="B341" t="s">
        <v>13936</v>
      </c>
      <c r="C341" t="s">
        <v>9504</v>
      </c>
      <c r="D341" s="114" t="s">
        <v>9507</v>
      </c>
      <c r="E341" s="84">
        <v>210109</v>
      </c>
      <c r="F341" t="s">
        <v>9505</v>
      </c>
      <c r="G341" t="str">
        <f>IF(O341="","Clear "&amp;N341&amp;" ("&amp;M341&amp;")","Clear "&amp;N341&amp;": "&amp;O341&amp;" ("&amp;M341&amp;")")</f>
        <v>Clear Kamuy's Trial: Standard (Trials of the Mighty)</v>
      </c>
      <c r="H341" s="86" t="s">
        <v>1103</v>
      </c>
      <c r="I341" t="s">
        <v>137</v>
      </c>
      <c r="J341" s="84">
        <v>5</v>
      </c>
      <c r="K341" s="118">
        <v>43801</v>
      </c>
      <c r="L341" t="s">
        <v>18054</v>
      </c>
      <c r="M341" t="s">
        <v>19456</v>
      </c>
      <c r="N341" t="s">
        <v>19505</v>
      </c>
      <c r="O341" t="s">
        <v>18054</v>
      </c>
      <c r="P341">
        <v>1</v>
      </c>
      <c r="Q341" t="s">
        <v>19504</v>
      </c>
    </row>
    <row r="342" spans="1:17" x14ac:dyDescent="0.2">
      <c r="A342" s="70" t="s">
        <v>9670</v>
      </c>
      <c r="B342" t="s">
        <v>13936</v>
      </c>
      <c r="C342" t="s">
        <v>9671</v>
      </c>
      <c r="D342" s="114" t="s">
        <v>9674</v>
      </c>
      <c r="E342" s="84">
        <v>210097</v>
      </c>
      <c r="F342" t="s">
        <v>9672</v>
      </c>
      <c r="G342" t="str">
        <f>IF(O342="","Clear "&amp;N342&amp;" ("&amp;M342&amp;")","Clear "&amp;N342&amp;": "&amp;O342&amp;" ("&amp;M342&amp;")")</f>
        <v>Clear Poseidon's Trial: Standard (Trials of the Mighty)</v>
      </c>
      <c r="H342" s="86" t="s">
        <v>1103</v>
      </c>
      <c r="I342" t="s">
        <v>137</v>
      </c>
      <c r="J342" s="84">
        <v>5</v>
      </c>
      <c r="K342" s="118">
        <v>43756</v>
      </c>
      <c r="L342" t="s">
        <v>18054</v>
      </c>
      <c r="M342" t="s">
        <v>19456</v>
      </c>
      <c r="N342" t="s">
        <v>19529</v>
      </c>
      <c r="O342" t="s">
        <v>18054</v>
      </c>
      <c r="P342">
        <v>1</v>
      </c>
      <c r="Q342" t="s">
        <v>19528</v>
      </c>
    </row>
    <row r="343" spans="1:17" x14ac:dyDescent="0.2">
      <c r="A343" s="70" t="s">
        <v>9311</v>
      </c>
      <c r="B343" t="s">
        <v>13936</v>
      </c>
      <c r="C343" t="s">
        <v>9312</v>
      </c>
      <c r="D343" s="114" t="s">
        <v>9315</v>
      </c>
      <c r="E343" s="84">
        <v>210081</v>
      </c>
      <c r="F343" t="s">
        <v>9313</v>
      </c>
      <c r="G343" t="str">
        <f>IF(O343="",N343&amp;" ("&amp;M343&amp;")",N343&amp;": "&amp;O343&amp;" ("&amp;M343&amp;")")</f>
        <v>Upgrade the Dragoñata to Lv. 35 (The Hunt for Harmony)</v>
      </c>
      <c r="H343" s="86" t="s">
        <v>1103</v>
      </c>
      <c r="I343" t="s">
        <v>137</v>
      </c>
      <c r="J343" s="84">
        <v>5</v>
      </c>
      <c r="K343" s="118">
        <v>43555</v>
      </c>
      <c r="L343" t="s">
        <v>18046</v>
      </c>
      <c r="M343" t="s">
        <v>14065</v>
      </c>
      <c r="N343" t="s">
        <v>20022</v>
      </c>
      <c r="Q343" t="s">
        <v>20023</v>
      </c>
    </row>
    <row r="344" spans="1:17" x14ac:dyDescent="0.2">
      <c r="A344" s="70" t="s">
        <v>10041</v>
      </c>
      <c r="B344" t="s">
        <v>13936</v>
      </c>
      <c r="C344" t="s">
        <v>10042</v>
      </c>
      <c r="D344" s="114" t="s">
        <v>10045</v>
      </c>
      <c r="E344" s="84">
        <v>210079</v>
      </c>
      <c r="F344" t="s">
        <v>10043</v>
      </c>
      <c r="G344" t="str">
        <f>IF(O344="","Clear "&amp;N344&amp;" ("&amp;M344&amp;")","Clear "&amp;N344&amp;": "&amp;O344&amp;" ("&amp;M344&amp;")")</f>
        <v>Clear Gaggles of Geysers (Skyborne Spectacle)</v>
      </c>
      <c r="H344" s="86" t="s">
        <v>1103</v>
      </c>
      <c r="I344" t="s">
        <v>137</v>
      </c>
      <c r="J344" s="84">
        <v>5</v>
      </c>
      <c r="K344" s="118">
        <v>43496</v>
      </c>
      <c r="L344" t="s">
        <v>18017</v>
      </c>
      <c r="M344" t="s">
        <v>14028</v>
      </c>
      <c r="N344" t="s">
        <v>18164</v>
      </c>
      <c r="P344">
        <v>1</v>
      </c>
      <c r="Q344" t="s">
        <v>18163</v>
      </c>
    </row>
    <row r="345" spans="1:17" x14ac:dyDescent="0.2">
      <c r="A345" s="70" t="s">
        <v>8902</v>
      </c>
      <c r="B345" t="s">
        <v>13936</v>
      </c>
      <c r="C345" t="s">
        <v>8903</v>
      </c>
      <c r="D345" s="114" t="s">
        <v>8906</v>
      </c>
      <c r="E345" s="84">
        <v>210076</v>
      </c>
      <c r="F345" t="s">
        <v>8904</v>
      </c>
      <c r="G345" t="str">
        <f>IF(O345="",N345&amp;" ("&amp;M345&amp;")",N345&amp;": "&amp;O345&amp;" ("&amp;M345&amp;")")</f>
        <v>Upgrade the Yuletree to Lv. 35 (The Miracle of Dragonyule)</v>
      </c>
      <c r="H345" s="86" t="s">
        <v>1103</v>
      </c>
      <c r="I345" t="s">
        <v>137</v>
      </c>
      <c r="J345" s="84">
        <v>5</v>
      </c>
      <c r="K345" s="118">
        <v>43451</v>
      </c>
      <c r="L345" t="s">
        <v>18046</v>
      </c>
      <c r="M345" t="s">
        <v>14001</v>
      </c>
      <c r="N345" t="s">
        <v>20024</v>
      </c>
      <c r="Q345" t="s">
        <v>19773</v>
      </c>
    </row>
    <row r="346" spans="1:17" x14ac:dyDescent="0.2">
      <c r="A346" s="70" t="s">
        <v>9614</v>
      </c>
      <c r="B346" t="s">
        <v>13936</v>
      </c>
      <c r="C346" t="s">
        <v>9615</v>
      </c>
      <c r="D346" s="114" t="s">
        <v>9618</v>
      </c>
      <c r="E346" s="84">
        <v>210054</v>
      </c>
      <c r="F346" t="s">
        <v>9616</v>
      </c>
      <c r="G346" t="str">
        <f>IF(O346="","Clear "&amp;N346&amp;" ("&amp;M346&amp;")","Clear "&amp;N346&amp;": "&amp;O346&amp;" ("&amp;M346&amp;")")</f>
        <v>Clear Barbary Clash: Omega (A Splash of Adventure)</v>
      </c>
      <c r="H346" s="86" t="s">
        <v>1103</v>
      </c>
      <c r="I346" t="s">
        <v>137</v>
      </c>
      <c r="J346" s="84">
        <v>5</v>
      </c>
      <c r="K346" s="118">
        <v>43677</v>
      </c>
      <c r="L346" t="s">
        <v>18017</v>
      </c>
      <c r="M346" t="s">
        <v>14102</v>
      </c>
      <c r="N346" t="s">
        <v>18303</v>
      </c>
      <c r="O346" t="s">
        <v>18044</v>
      </c>
      <c r="P346">
        <v>6</v>
      </c>
      <c r="Q346" t="s">
        <v>18308</v>
      </c>
    </row>
    <row r="347" spans="1:17" x14ac:dyDescent="0.2">
      <c r="A347" s="70" t="s">
        <v>9841</v>
      </c>
      <c r="B347" t="s">
        <v>13936</v>
      </c>
      <c r="C347" t="s">
        <v>9842</v>
      </c>
      <c r="D347" s="115" t="s">
        <v>9845</v>
      </c>
      <c r="E347" s="84">
        <v>210017</v>
      </c>
      <c r="F347" t="s">
        <v>9843</v>
      </c>
      <c r="G347" t="str">
        <f>"Clear "&amp;N347&amp;": "&amp;O347</f>
        <v>Clear Mercury's Trial: Master</v>
      </c>
      <c r="H347" s="86" t="s">
        <v>1103</v>
      </c>
      <c r="I347" t="s">
        <v>137</v>
      </c>
      <c r="J347" s="84">
        <v>5</v>
      </c>
      <c r="K347" s="118">
        <v>43377</v>
      </c>
      <c r="L347" t="s">
        <v>18054</v>
      </c>
      <c r="M347" t="s">
        <v>13994</v>
      </c>
      <c r="N347" t="s">
        <v>19199</v>
      </c>
      <c r="O347" t="s">
        <v>18061</v>
      </c>
      <c r="P347">
        <v>4</v>
      </c>
      <c r="Q347" t="s">
        <v>19202</v>
      </c>
    </row>
    <row r="348" spans="1:17" x14ac:dyDescent="0.2">
      <c r="A348" s="70" t="s">
        <v>9257</v>
      </c>
      <c r="B348" t="s">
        <v>13936</v>
      </c>
      <c r="C348" t="s">
        <v>9258</v>
      </c>
      <c r="D348" s="114" t="s">
        <v>9261</v>
      </c>
      <c r="E348" s="84">
        <v>210040</v>
      </c>
      <c r="F348" t="s">
        <v>9259</v>
      </c>
      <c r="G348" t="str">
        <f>IF(O348="","Clear "&amp;N348&amp;" ("&amp;M348&amp;")","Clear "&amp;N348&amp;": "&amp;O348&amp;" ("&amp;M348&amp;")")</f>
        <v>Clear High Mercury's Trial: Standard (Advanced Dragon Trials)</v>
      </c>
      <c r="H348" s="86" t="s">
        <v>1103</v>
      </c>
      <c r="I348" t="s">
        <v>137</v>
      </c>
      <c r="J348" s="84">
        <v>5</v>
      </c>
      <c r="K348" s="118">
        <v>43573</v>
      </c>
      <c r="L348" t="s">
        <v>18054</v>
      </c>
      <c r="M348" t="s">
        <v>19259</v>
      </c>
      <c r="N348" t="s">
        <v>19267</v>
      </c>
      <c r="O348" t="s">
        <v>18054</v>
      </c>
      <c r="P348">
        <v>2</v>
      </c>
      <c r="Q348" t="s">
        <v>19268</v>
      </c>
    </row>
    <row r="349" spans="1:17" x14ac:dyDescent="0.2">
      <c r="A349" s="70" t="s">
        <v>9367</v>
      </c>
      <c r="B349" t="s">
        <v>13936</v>
      </c>
      <c r="C349" t="s">
        <v>9368</v>
      </c>
      <c r="D349" s="114" t="s">
        <v>9371</v>
      </c>
      <c r="E349" s="84">
        <v>210025</v>
      </c>
      <c r="F349" t="s">
        <v>9369</v>
      </c>
      <c r="G349" t="str">
        <f>IF(O349="","Clear "&amp;N349&amp;" ("&amp;M349&amp;")","Clear "&amp;N349&amp;": "&amp;O349&amp;" ("&amp;M349&amp;")")</f>
        <v>Clear Void Poseidon Strike: Standard (Void Battles)</v>
      </c>
      <c r="H349" s="86" t="s">
        <v>1103</v>
      </c>
      <c r="I349" t="s">
        <v>137</v>
      </c>
      <c r="J349" s="84">
        <v>5</v>
      </c>
      <c r="K349" s="118">
        <v>43370</v>
      </c>
      <c r="L349" t="s">
        <v>18054</v>
      </c>
      <c r="M349" t="s">
        <v>19374</v>
      </c>
      <c r="N349" t="s">
        <v>19428</v>
      </c>
      <c r="O349" t="s">
        <v>18054</v>
      </c>
      <c r="P349">
        <v>1</v>
      </c>
      <c r="Q349" t="s">
        <v>19427</v>
      </c>
    </row>
    <row r="350" spans="1:17" x14ac:dyDescent="0.2">
      <c r="A350" s="70" t="s">
        <v>8690</v>
      </c>
      <c r="B350" t="s">
        <v>13936</v>
      </c>
      <c r="C350" t="s">
        <v>8691</v>
      </c>
      <c r="D350" s="115" t="s">
        <v>8694</v>
      </c>
      <c r="E350" s="84">
        <v>210058</v>
      </c>
      <c r="F350" t="s">
        <v>8692</v>
      </c>
      <c r="G350" t="str">
        <f>"Clear "&amp;N350&amp;": "&amp;O350</f>
        <v>Clear Mercury's Trial: Standard</v>
      </c>
      <c r="H350" s="86" t="s">
        <v>1103</v>
      </c>
      <c r="I350" t="s">
        <v>137</v>
      </c>
      <c r="J350" s="84">
        <v>4</v>
      </c>
      <c r="K350" s="118">
        <v>43370</v>
      </c>
      <c r="L350" t="s">
        <v>18054</v>
      </c>
      <c r="M350" t="s">
        <v>13994</v>
      </c>
      <c r="N350" t="s">
        <v>19199</v>
      </c>
      <c r="O350" t="s">
        <v>18054</v>
      </c>
      <c r="P350">
        <v>2</v>
      </c>
      <c r="Q350" t="s">
        <v>19200</v>
      </c>
    </row>
    <row r="351" spans="1:17" x14ac:dyDescent="0.2">
      <c r="A351" s="70" t="s">
        <v>10084</v>
      </c>
      <c r="B351" t="s">
        <v>13936</v>
      </c>
      <c r="C351" t="s">
        <v>10085</v>
      </c>
      <c r="D351" s="115" t="s">
        <v>10088</v>
      </c>
      <c r="E351" s="84">
        <v>210008</v>
      </c>
      <c r="F351" t="s">
        <v>10086</v>
      </c>
      <c r="G351" t="str">
        <f>"Clear "&amp;N351&amp;": "&amp;O351</f>
        <v>Clear Mercury's Trial: Expert</v>
      </c>
      <c r="H351" s="86" t="s">
        <v>1103</v>
      </c>
      <c r="I351" t="s">
        <v>137</v>
      </c>
      <c r="J351" s="84">
        <v>4</v>
      </c>
      <c r="K351" s="118">
        <v>43370</v>
      </c>
      <c r="L351" t="s">
        <v>18054</v>
      </c>
      <c r="M351" t="s">
        <v>13994</v>
      </c>
      <c r="N351" t="s">
        <v>19199</v>
      </c>
      <c r="O351" t="s">
        <v>18033</v>
      </c>
      <c r="P351">
        <v>3</v>
      </c>
      <c r="Q351" t="s">
        <v>19201</v>
      </c>
    </row>
    <row r="352" spans="1:17" x14ac:dyDescent="0.2">
      <c r="A352" s="70" t="s">
        <v>9200</v>
      </c>
      <c r="B352" t="s">
        <v>13936</v>
      </c>
      <c r="C352" t="s">
        <v>9201</v>
      </c>
      <c r="D352" s="114" t="s">
        <v>9204</v>
      </c>
      <c r="E352" s="84">
        <v>210003</v>
      </c>
      <c r="F352" t="s">
        <v>9202</v>
      </c>
      <c r="G352" t="str">
        <f>+"Clear "&amp;N352&amp;" of the Main Campaign ("&amp;O352&amp;")"</f>
        <v>Clear Ch. 02 6-1 of the Main Campaign (Normal)</v>
      </c>
      <c r="H352" s="86" t="s">
        <v>1103</v>
      </c>
      <c r="I352" t="s">
        <v>137</v>
      </c>
      <c r="J352" s="84">
        <v>4</v>
      </c>
      <c r="K352" s="118">
        <v>43370</v>
      </c>
      <c r="L352" t="s">
        <v>18054</v>
      </c>
      <c r="M352" t="s">
        <v>17513</v>
      </c>
      <c r="N352" t="s">
        <v>20025</v>
      </c>
      <c r="O352" t="s">
        <v>15731</v>
      </c>
      <c r="P352">
        <v>1</v>
      </c>
      <c r="Q352" t="s">
        <v>15863</v>
      </c>
    </row>
    <row r="353" spans="1:17" x14ac:dyDescent="0.2">
      <c r="A353" s="70" t="s">
        <v>9936</v>
      </c>
      <c r="B353" t="s">
        <v>13936</v>
      </c>
      <c r="C353" t="s">
        <v>9937</v>
      </c>
      <c r="D353" s="114" t="s">
        <v>9939</v>
      </c>
      <c r="E353" s="84">
        <v>210067</v>
      </c>
      <c r="F353" t="s">
        <v>137</v>
      </c>
      <c r="G353" t="str">
        <f>+N353</f>
        <v>Complete Tutorial</v>
      </c>
      <c r="H353" s="86" t="s">
        <v>1103</v>
      </c>
      <c r="I353" t="s">
        <v>137</v>
      </c>
      <c r="J353" s="84">
        <v>3</v>
      </c>
      <c r="K353" s="118">
        <v>43370</v>
      </c>
      <c r="L353" t="s">
        <v>18054</v>
      </c>
      <c r="M353" t="s">
        <v>13720</v>
      </c>
      <c r="N353" t="s">
        <v>276</v>
      </c>
      <c r="Q353" t="s">
        <v>137</v>
      </c>
    </row>
    <row r="354" spans="1:17" x14ac:dyDescent="0.2">
      <c r="A354" s="70" t="s">
        <v>9897</v>
      </c>
      <c r="B354" t="s">
        <v>13936</v>
      </c>
      <c r="C354" t="s">
        <v>9898</v>
      </c>
      <c r="D354" s="114" t="s">
        <v>9900</v>
      </c>
      <c r="E354" s="84">
        <v>210063</v>
      </c>
      <c r="F354" t="s">
        <v>137</v>
      </c>
      <c r="G354" t="str">
        <f>+N354</f>
        <v>Complete Tutorial</v>
      </c>
      <c r="H354" s="86" t="s">
        <v>1103</v>
      </c>
      <c r="I354" t="s">
        <v>137</v>
      </c>
      <c r="J354" s="84">
        <v>3</v>
      </c>
      <c r="K354" s="118">
        <v>43370</v>
      </c>
      <c r="L354" t="s">
        <v>18054</v>
      </c>
      <c r="M354" t="s">
        <v>13720</v>
      </c>
      <c r="N354" t="s">
        <v>276</v>
      </c>
      <c r="Q354" t="s">
        <v>137</v>
      </c>
    </row>
    <row r="355" spans="1:17" x14ac:dyDescent="0.2">
      <c r="A355" s="70" t="s">
        <v>9975</v>
      </c>
      <c r="B355" t="s">
        <v>13936</v>
      </c>
      <c r="C355" t="s">
        <v>9976</v>
      </c>
      <c r="D355" s="114" t="s">
        <v>9978</v>
      </c>
      <c r="E355" s="84">
        <v>210059</v>
      </c>
      <c r="F355" t="s">
        <v>137</v>
      </c>
      <c r="G355" t="str">
        <f>+N355</f>
        <v>Complete Tutorial</v>
      </c>
      <c r="H355" s="86" t="s">
        <v>1103</v>
      </c>
      <c r="I355" t="s">
        <v>137</v>
      </c>
      <c r="J355" s="84">
        <v>3</v>
      </c>
      <c r="K355" s="118">
        <v>43370</v>
      </c>
      <c r="L355" t="s">
        <v>18054</v>
      </c>
      <c r="M355" t="s">
        <v>13720</v>
      </c>
      <c r="N355" t="s">
        <v>276</v>
      </c>
      <c r="Q355" t="s">
        <v>137</v>
      </c>
    </row>
    <row r="356" spans="1:17" x14ac:dyDescent="0.2">
      <c r="A356" s="70" t="s">
        <v>8850</v>
      </c>
      <c r="B356" t="s">
        <v>13936</v>
      </c>
      <c r="C356" t="s">
        <v>8851</v>
      </c>
      <c r="D356" s="114" t="s">
        <v>8854</v>
      </c>
      <c r="E356" s="84">
        <v>210168</v>
      </c>
      <c r="F356" t="s">
        <v>8852</v>
      </c>
      <c r="G356" t="str">
        <f>IF(O356="","Clear "&amp;N356&amp;" ("&amp;M356&amp;")","Clear "&amp;N356&amp;": "&amp;O356&amp;" ("&amp;M356&amp;")")</f>
        <v>Clear Surtr's Devouring Flame: Standard (Rise of the Sinister Dominion)</v>
      </c>
      <c r="H356" s="86" t="s">
        <v>1947</v>
      </c>
      <c r="I356" t="s">
        <v>137</v>
      </c>
      <c r="J356" s="84">
        <v>5</v>
      </c>
      <c r="K356" s="118">
        <v>44596</v>
      </c>
      <c r="L356" t="s">
        <v>18054</v>
      </c>
      <c r="M356" t="s">
        <v>13844</v>
      </c>
      <c r="N356" t="s">
        <v>19316</v>
      </c>
      <c r="O356" t="s">
        <v>18054</v>
      </c>
      <c r="P356">
        <v>1</v>
      </c>
      <c r="Q356" t="s">
        <v>19315</v>
      </c>
    </row>
    <row r="357" spans="1:17" x14ac:dyDescent="0.2">
      <c r="A357" s="70" t="s">
        <v>9028</v>
      </c>
      <c r="B357" t="s">
        <v>13936</v>
      </c>
      <c r="C357" t="s">
        <v>9029</v>
      </c>
      <c r="D357" s="114" t="s">
        <v>9032</v>
      </c>
      <c r="E357" s="84">
        <v>210169</v>
      </c>
      <c r="F357" t="s">
        <v>9030</v>
      </c>
      <c r="G357" t="str">
        <f>IF(O357="","Clear "&amp;N357&amp;" ("&amp;M357&amp;")","Clear "&amp;N357&amp;": "&amp;O357&amp;" ("&amp;M357&amp;")")</f>
        <v>Clear Tsukuyomi Clash: Omega 1 (Celestial Showdown)</v>
      </c>
      <c r="H357" s="86" t="s">
        <v>1947</v>
      </c>
      <c r="I357" t="s">
        <v>137</v>
      </c>
      <c r="J357" s="84">
        <v>5</v>
      </c>
      <c r="K357" s="118">
        <v>44561</v>
      </c>
      <c r="L357" t="s">
        <v>18017</v>
      </c>
      <c r="M357" t="s">
        <v>14339</v>
      </c>
      <c r="N357" t="s">
        <v>19120</v>
      </c>
      <c r="O357" t="s">
        <v>18212</v>
      </c>
      <c r="P357">
        <v>5</v>
      </c>
      <c r="Q357" t="s">
        <v>19124</v>
      </c>
    </row>
    <row r="358" spans="1:17" x14ac:dyDescent="0.2">
      <c r="A358" s="70" t="s">
        <v>8788</v>
      </c>
      <c r="B358" t="s">
        <v>13936</v>
      </c>
      <c r="C358" t="s">
        <v>8789</v>
      </c>
      <c r="D358" s="114" t="s">
        <v>8792</v>
      </c>
      <c r="E358" s="84">
        <v>210161</v>
      </c>
      <c r="F358" t="s">
        <v>8790</v>
      </c>
      <c r="G358" t="str">
        <f>IF(O358="","Clear "&amp;N358&amp;" ("&amp;M358&amp;")","Clear "&amp;N358&amp;": "&amp;O358&amp;" ("&amp;M358&amp;")")</f>
        <v>Clear Volk's Wrath: Expert (The Agito Uprising)</v>
      </c>
      <c r="H358" s="86" t="s">
        <v>1947</v>
      </c>
      <c r="I358" t="s">
        <v>137</v>
      </c>
      <c r="J358" s="84">
        <v>5</v>
      </c>
      <c r="K358" s="118">
        <v>44438</v>
      </c>
      <c r="L358" t="s">
        <v>18054</v>
      </c>
      <c r="M358" t="s">
        <v>19287</v>
      </c>
      <c r="N358" t="s">
        <v>19288</v>
      </c>
      <c r="O358" t="s">
        <v>18033</v>
      </c>
      <c r="P358">
        <v>2</v>
      </c>
      <c r="Q358" t="s">
        <v>19289</v>
      </c>
    </row>
    <row r="359" spans="1:17" x14ac:dyDescent="0.2">
      <c r="A359" s="70" t="s">
        <v>10133</v>
      </c>
      <c r="B359" t="s">
        <v>13936</v>
      </c>
      <c r="C359" t="s">
        <v>10134</v>
      </c>
      <c r="D359" s="114" t="s">
        <v>10137</v>
      </c>
      <c r="E359" s="84">
        <v>210152</v>
      </c>
      <c r="F359" t="s">
        <v>10135</v>
      </c>
      <c r="G359" t="str">
        <f>IF(O359="","Clear "&amp;N359&amp;" ("&amp;M359&amp;")","Clear "&amp;N359&amp;": "&amp;O359&amp;" ("&amp;M359&amp;")")</f>
        <v>Clear Chronos Nyx Clash: Expert (Rage of Chronos)</v>
      </c>
      <c r="H359" s="86" t="s">
        <v>1947</v>
      </c>
      <c r="I359" t="s">
        <v>137</v>
      </c>
      <c r="J359" s="84">
        <v>5</v>
      </c>
      <c r="K359" s="118">
        <v>44319</v>
      </c>
      <c r="L359" t="s">
        <v>18017</v>
      </c>
      <c r="M359" t="s">
        <v>14298</v>
      </c>
      <c r="N359" t="s">
        <v>18336</v>
      </c>
      <c r="O359" t="s">
        <v>18033</v>
      </c>
      <c r="P359">
        <v>2</v>
      </c>
      <c r="Q359" t="s">
        <v>18906</v>
      </c>
    </row>
    <row r="360" spans="1:17" x14ac:dyDescent="0.2">
      <c r="A360" s="70" t="s">
        <v>9561</v>
      </c>
      <c r="B360" t="s">
        <v>13936</v>
      </c>
      <c r="C360" t="s">
        <v>9562</v>
      </c>
      <c r="D360" s="114" t="s">
        <v>9565</v>
      </c>
      <c r="E360" s="84">
        <v>210137</v>
      </c>
      <c r="F360" t="s">
        <v>9563</v>
      </c>
      <c r="G360" t="str">
        <f>IF(O360="","Clear "&amp;N360&amp;" ("&amp;M360&amp;")","Clear "&amp;N360&amp;": "&amp;O360&amp;" ("&amp;M360&amp;")")</f>
        <v>Clear All-Out Assault: EX (Romance Under Siege)</v>
      </c>
      <c r="H360" s="86" t="s">
        <v>1947</v>
      </c>
      <c r="I360" t="s">
        <v>137</v>
      </c>
      <c r="J360" s="84">
        <v>5</v>
      </c>
      <c r="K360" s="118">
        <v>44239</v>
      </c>
      <c r="L360" t="s">
        <v>18560</v>
      </c>
      <c r="M360" t="s">
        <v>14283</v>
      </c>
      <c r="N360" t="s">
        <v>19643</v>
      </c>
      <c r="O360" t="s">
        <v>18039</v>
      </c>
      <c r="P360">
        <v>5</v>
      </c>
      <c r="Q360" t="s">
        <v>18838</v>
      </c>
    </row>
    <row r="361" spans="1:17" x14ac:dyDescent="0.2">
      <c r="A361" s="70" t="s">
        <v>9152</v>
      </c>
      <c r="B361" t="s">
        <v>13936</v>
      </c>
      <c r="C361" t="s">
        <v>9153</v>
      </c>
      <c r="D361" s="114" t="s">
        <v>9156</v>
      </c>
      <c r="E361" s="84">
        <v>210143</v>
      </c>
      <c r="F361" t="s">
        <v>9154</v>
      </c>
      <c r="G361" t="str">
        <f>+"Clear "&amp;N361&amp;" of the Main Campaign ("&amp;O361&amp;")"</f>
        <v>Clear Ch. 17 5-2 of the Main Campaign (Hard)</v>
      </c>
      <c r="H361" s="86" t="s">
        <v>1947</v>
      </c>
      <c r="I361" t="s">
        <v>137</v>
      </c>
      <c r="J361" s="84">
        <v>5</v>
      </c>
      <c r="K361" s="118">
        <v>44193</v>
      </c>
      <c r="L361" t="s">
        <v>18054</v>
      </c>
      <c r="M361" t="s">
        <v>17513</v>
      </c>
      <c r="N361" t="s">
        <v>20026</v>
      </c>
      <c r="O361" t="s">
        <v>15732</v>
      </c>
      <c r="P361">
        <v>1</v>
      </c>
      <c r="Q361" t="s">
        <v>17859</v>
      </c>
    </row>
    <row r="362" spans="1:17" x14ac:dyDescent="0.2">
      <c r="A362" s="70" t="s">
        <v>10169</v>
      </c>
      <c r="B362" t="s">
        <v>13936</v>
      </c>
      <c r="C362" t="s">
        <v>10170</v>
      </c>
      <c r="D362" s="114" t="s">
        <v>10173</v>
      </c>
      <c r="E362" s="84">
        <v>210131</v>
      </c>
      <c r="F362" t="s">
        <v>10171</v>
      </c>
      <c r="G362" t="str">
        <f>IF(O362="","Clear "&amp;N362&amp;" ("&amp;M362&amp;")","Clear "&amp;N362&amp;": "&amp;O362&amp;" ("&amp;M362&amp;")")</f>
        <v>Clear Morsayati Clash: Omega 1 (Forgotten Truths)</v>
      </c>
      <c r="H362" s="86" t="s">
        <v>1947</v>
      </c>
      <c r="I362" t="s">
        <v>137</v>
      </c>
      <c r="J362" s="84">
        <v>5</v>
      </c>
      <c r="K362" s="118">
        <v>44104</v>
      </c>
      <c r="L362" t="s">
        <v>18017</v>
      </c>
      <c r="M362" t="s">
        <v>14245</v>
      </c>
      <c r="N362" t="s">
        <v>18669</v>
      </c>
      <c r="O362" t="s">
        <v>18212</v>
      </c>
      <c r="P362">
        <v>5</v>
      </c>
      <c r="Q362" t="s">
        <v>18673</v>
      </c>
    </row>
    <row r="363" spans="1:17" x14ac:dyDescent="0.2">
      <c r="A363" s="70" t="s">
        <v>9795</v>
      </c>
      <c r="B363" t="s">
        <v>13936</v>
      </c>
      <c r="C363" t="s">
        <v>9796</v>
      </c>
      <c r="D363" s="115" t="s">
        <v>9799</v>
      </c>
      <c r="E363" s="84">
        <v>210125</v>
      </c>
      <c r="F363" t="s">
        <v>9797</v>
      </c>
      <c r="G363" t="str">
        <f>IF(O363="","Clear "&amp;N363&amp;" ("&amp;M363&amp;")","Clear "&amp;N363&amp;": "&amp;O363&amp;" ("&amp;M363&amp;")")</f>
        <v>Clear Scylla Clash: Omega 1 (Doomsday Getaway)</v>
      </c>
      <c r="H363" s="86" t="s">
        <v>1947</v>
      </c>
      <c r="I363" t="s">
        <v>137</v>
      </c>
      <c r="J363" s="84">
        <v>5</v>
      </c>
      <c r="K363" s="118">
        <v>44042</v>
      </c>
      <c r="L363" t="s">
        <v>18017</v>
      </c>
      <c r="M363" t="s">
        <v>14229</v>
      </c>
      <c r="N363" t="s">
        <v>18608</v>
      </c>
      <c r="O363" t="s">
        <v>18212</v>
      </c>
      <c r="P363">
        <v>5</v>
      </c>
      <c r="Q363" t="s">
        <v>18612</v>
      </c>
    </row>
    <row r="364" spans="1:17" x14ac:dyDescent="0.2">
      <c r="A364" s="70" t="s">
        <v>9737</v>
      </c>
      <c r="B364" t="s">
        <v>13936</v>
      </c>
      <c r="C364" t="s">
        <v>9738</v>
      </c>
      <c r="D364" s="114" t="s">
        <v>9741</v>
      </c>
      <c r="E364" s="84">
        <v>210116</v>
      </c>
      <c r="F364" t="s">
        <v>9739</v>
      </c>
      <c r="G364" t="str">
        <f>IF(O364="","Clear "&amp;N364&amp;" ("&amp;M364&amp;")","Clear "&amp;N364&amp;": "&amp;O364&amp;" ("&amp;M364&amp;")")</f>
        <v>Clear Zephyr's Trial: Standard (Trials of the Mighty)</v>
      </c>
      <c r="H364" s="86" t="s">
        <v>1947</v>
      </c>
      <c r="I364" t="s">
        <v>137</v>
      </c>
      <c r="J364" s="84">
        <v>5</v>
      </c>
      <c r="K364" s="118">
        <v>43902</v>
      </c>
      <c r="L364" t="s">
        <v>18054</v>
      </c>
      <c r="M364" t="s">
        <v>19456</v>
      </c>
      <c r="N364" t="s">
        <v>19557</v>
      </c>
      <c r="O364" t="s">
        <v>18054</v>
      </c>
      <c r="P364">
        <v>1</v>
      </c>
      <c r="Q364" t="s">
        <v>19556</v>
      </c>
    </row>
    <row r="365" spans="1:17" x14ac:dyDescent="0.2">
      <c r="A365" s="70" t="s">
        <v>10096</v>
      </c>
      <c r="B365" t="s">
        <v>13936</v>
      </c>
      <c r="C365" t="s">
        <v>10097</v>
      </c>
      <c r="D365" s="114" t="s">
        <v>10100</v>
      </c>
      <c r="E365" s="84">
        <v>210117</v>
      </c>
      <c r="F365" t="s">
        <v>10098</v>
      </c>
      <c r="G365" t="str">
        <f>IF(O365="","Clear "&amp;N365&amp;" ("&amp;M365&amp;")","Clear "&amp;N365&amp;": "&amp;O365&amp;" ("&amp;M365&amp;")")</f>
        <v>Clear Grimnir's Trial: Standard (Trials of the Mighty)</v>
      </c>
      <c r="H365" s="86" t="s">
        <v>1947</v>
      </c>
      <c r="I365" t="s">
        <v>137</v>
      </c>
      <c r="J365" s="84">
        <v>5</v>
      </c>
      <c r="K365" s="118">
        <v>43844</v>
      </c>
      <c r="L365" t="s">
        <v>18054</v>
      </c>
      <c r="M365" t="s">
        <v>19456</v>
      </c>
      <c r="N365" t="s">
        <v>19477</v>
      </c>
      <c r="O365" t="s">
        <v>18054</v>
      </c>
      <c r="P365">
        <v>1</v>
      </c>
      <c r="Q365" t="s">
        <v>19476</v>
      </c>
    </row>
    <row r="366" spans="1:17" x14ac:dyDescent="0.2">
      <c r="A366" s="70" t="s">
        <v>9514</v>
      </c>
      <c r="B366" t="s">
        <v>13936</v>
      </c>
      <c r="C366" t="s">
        <v>9515</v>
      </c>
      <c r="D366" s="114" t="s">
        <v>9518</v>
      </c>
      <c r="E366" s="84">
        <v>210105</v>
      </c>
      <c r="F366" t="s">
        <v>9516</v>
      </c>
      <c r="G366" t="str">
        <f>IF(O366="","Clear "&amp;N366&amp;" ("&amp;M366&amp;")","Clear "&amp;N366&amp;": "&amp;O366&amp;" ("&amp;M366&amp;")")</f>
        <v>Clear All-Out Assault: EX (Stirring Shadows)</v>
      </c>
      <c r="H366" s="86" t="s">
        <v>1947</v>
      </c>
      <c r="I366" t="s">
        <v>137</v>
      </c>
      <c r="J366" s="84">
        <v>5</v>
      </c>
      <c r="K366" s="118">
        <v>43773</v>
      </c>
      <c r="L366" t="s">
        <v>18175</v>
      </c>
      <c r="M366" t="s">
        <v>14130</v>
      </c>
      <c r="N366" t="s">
        <v>19643</v>
      </c>
      <c r="O366" t="s">
        <v>18039</v>
      </c>
      <c r="P366">
        <v>5</v>
      </c>
      <c r="Q366" t="s">
        <v>18356</v>
      </c>
    </row>
    <row r="367" spans="1:17" x14ac:dyDescent="0.2">
      <c r="A367" s="70" t="s">
        <v>9422</v>
      </c>
      <c r="B367" t="s">
        <v>13936</v>
      </c>
      <c r="C367" t="s">
        <v>9423</v>
      </c>
      <c r="D367" s="114" t="s">
        <v>9426</v>
      </c>
      <c r="E367" s="84">
        <v>210111</v>
      </c>
      <c r="F367" t="s">
        <v>9424</v>
      </c>
      <c r="G367" t="str">
        <f>N367</f>
        <v>Exchange for 5,000 Rupies from Treasure Trade</v>
      </c>
      <c r="H367" s="86" t="s">
        <v>1947</v>
      </c>
      <c r="I367" t="s">
        <v>137</v>
      </c>
      <c r="J367" s="84">
        <v>5</v>
      </c>
      <c r="K367" s="118">
        <v>43736</v>
      </c>
      <c r="L367" t="s">
        <v>18054</v>
      </c>
      <c r="M367" t="s">
        <v>19847</v>
      </c>
      <c r="N367" t="s">
        <v>9407</v>
      </c>
      <c r="Q367" t="s">
        <v>137</v>
      </c>
    </row>
    <row r="368" spans="1:17" x14ac:dyDescent="0.2">
      <c r="A368" s="70" t="s">
        <v>9625</v>
      </c>
      <c r="B368" t="s">
        <v>13936</v>
      </c>
      <c r="C368" t="s">
        <v>9626</v>
      </c>
      <c r="D368" s="114" t="s">
        <v>9629</v>
      </c>
      <c r="E368" s="84">
        <v>210098</v>
      </c>
      <c r="F368" t="s">
        <v>9627</v>
      </c>
      <c r="G368" t="str">
        <f>IF(O368="","Clear "&amp;N368&amp;" ("&amp;M368&amp;")","Clear "&amp;N368&amp;": "&amp;O368&amp;" ("&amp;M368&amp;")")</f>
        <v>Clear Battle in Rovetelle Forest: Master (The Imperial Onslaught)</v>
      </c>
      <c r="H368" s="86" t="s">
        <v>1947</v>
      </c>
      <c r="I368" t="s">
        <v>137</v>
      </c>
      <c r="J368" s="84">
        <v>5</v>
      </c>
      <c r="K368" s="118">
        <v>43708</v>
      </c>
      <c r="L368" t="s">
        <v>18054</v>
      </c>
      <c r="M368" t="s">
        <v>13954</v>
      </c>
      <c r="N368" t="s">
        <v>19235</v>
      </c>
      <c r="O368" t="s">
        <v>18061</v>
      </c>
      <c r="P368">
        <v>4</v>
      </c>
      <c r="Q368" t="s">
        <v>19240</v>
      </c>
    </row>
    <row r="369" spans="1:17" x14ac:dyDescent="0.2">
      <c r="A369" s="70" t="s">
        <v>9682</v>
      </c>
      <c r="B369" t="s">
        <v>13936</v>
      </c>
      <c r="C369" t="s">
        <v>9683</v>
      </c>
      <c r="D369" s="114" t="s">
        <v>9686</v>
      </c>
      <c r="E369" s="84">
        <v>210084</v>
      </c>
      <c r="F369" t="s">
        <v>9684</v>
      </c>
      <c r="G369" t="str">
        <f>IF(O369="","Clear "&amp;N369&amp;" ("&amp;M369&amp;")","Clear "&amp;N369&amp;": "&amp;O369&amp;" ("&amp;M369&amp;")")</f>
        <v>Clear High Midgardsormr's Trial: Prelude (Advanced Dragon Trials)</v>
      </c>
      <c r="H369" s="86" t="s">
        <v>1947</v>
      </c>
      <c r="I369" t="s">
        <v>137</v>
      </c>
      <c r="J369" s="84">
        <v>5</v>
      </c>
      <c r="K369" s="118">
        <v>43636</v>
      </c>
      <c r="L369" t="s">
        <v>18054</v>
      </c>
      <c r="M369" t="s">
        <v>19259</v>
      </c>
      <c r="N369" t="s">
        <v>19260</v>
      </c>
      <c r="O369" t="s">
        <v>19261</v>
      </c>
      <c r="P369">
        <v>1</v>
      </c>
      <c r="Q369" t="s">
        <v>19258</v>
      </c>
    </row>
    <row r="370" spans="1:17" x14ac:dyDescent="0.2">
      <c r="A370" s="70" t="s">
        <v>8912</v>
      </c>
      <c r="B370" t="s">
        <v>13936</v>
      </c>
      <c r="C370" t="s">
        <v>8913</v>
      </c>
      <c r="D370" s="114" t="s">
        <v>8916</v>
      </c>
      <c r="E370" s="84">
        <v>210074</v>
      </c>
      <c r="F370" t="s">
        <v>8914</v>
      </c>
      <c r="G370" t="str">
        <f>IF(O370="","Clear "&amp;N370&amp;" ("&amp;M370&amp;")","Clear "&amp;N370&amp;": "&amp;O370&amp;" ("&amp;M370&amp;")")</f>
        <v>Clear Qitian Dasheng Clash: Expert (Echoes of Antiquity)</v>
      </c>
      <c r="H370" s="86" t="s">
        <v>1947</v>
      </c>
      <c r="I370" t="s">
        <v>137</v>
      </c>
      <c r="J370" s="84">
        <v>5</v>
      </c>
      <c r="K370" s="118">
        <v>43616</v>
      </c>
      <c r="L370" t="s">
        <v>18017</v>
      </c>
      <c r="M370" t="s">
        <v>14476</v>
      </c>
      <c r="N370" t="s">
        <v>18276</v>
      </c>
      <c r="O370" t="s">
        <v>18033</v>
      </c>
      <c r="P370">
        <v>2</v>
      </c>
      <c r="Q370" t="s">
        <v>18277</v>
      </c>
    </row>
    <row r="371" spans="1:17" x14ac:dyDescent="0.2">
      <c r="A371" s="70" t="s">
        <v>8702</v>
      </c>
      <c r="B371" t="s">
        <v>13936</v>
      </c>
      <c r="C371" t="s">
        <v>8703</v>
      </c>
      <c r="D371" s="115" t="s">
        <v>8706</v>
      </c>
      <c r="E371" s="84">
        <v>210026</v>
      </c>
      <c r="F371" t="s">
        <v>8704</v>
      </c>
      <c r="G371" t="str">
        <f>"Clear "&amp;N371&amp;": "&amp;O371</f>
        <v>Clear Midgardsormr's Trial: Master</v>
      </c>
      <c r="H371" s="86" t="s">
        <v>1947</v>
      </c>
      <c r="I371" t="s">
        <v>137</v>
      </c>
      <c r="J371" s="84">
        <v>5</v>
      </c>
      <c r="K371" s="118">
        <v>43573</v>
      </c>
      <c r="L371" t="s">
        <v>18054</v>
      </c>
      <c r="M371" t="s">
        <v>13994</v>
      </c>
      <c r="N371" t="s">
        <v>19190</v>
      </c>
      <c r="O371" t="s">
        <v>18061</v>
      </c>
      <c r="P371">
        <v>4</v>
      </c>
      <c r="Q371" t="s">
        <v>19196</v>
      </c>
    </row>
    <row r="372" spans="1:17" x14ac:dyDescent="0.2">
      <c r="A372" s="70" t="s">
        <v>8970</v>
      </c>
      <c r="B372" t="s">
        <v>13936</v>
      </c>
      <c r="C372" t="s">
        <v>8971</v>
      </c>
      <c r="D372" s="114" t="s">
        <v>8974</v>
      </c>
      <c r="E372" s="84">
        <v>210080</v>
      </c>
      <c r="F372" t="s">
        <v>8972</v>
      </c>
      <c r="G372" t="str">
        <f>IF(O372="","Clear "&amp;N372&amp;" ("&amp;M372&amp;")","Clear "&amp;N372&amp;": "&amp;O372&amp;" ("&amp;M372&amp;")")</f>
        <v>Clear Valfarre Clash: Omega (Skyborne Spectacle)</v>
      </c>
      <c r="H372" s="86" t="s">
        <v>1947</v>
      </c>
      <c r="I372" t="s">
        <v>137</v>
      </c>
      <c r="J372" s="84">
        <v>5</v>
      </c>
      <c r="K372" s="118">
        <v>43496</v>
      </c>
      <c r="L372" t="s">
        <v>18017</v>
      </c>
      <c r="M372" t="s">
        <v>14028</v>
      </c>
      <c r="N372" t="s">
        <v>18169</v>
      </c>
      <c r="O372" t="s">
        <v>18044</v>
      </c>
      <c r="P372">
        <v>5</v>
      </c>
      <c r="Q372" t="s">
        <v>18173</v>
      </c>
    </row>
    <row r="373" spans="1:17" x14ac:dyDescent="0.2">
      <c r="A373" s="70" t="s">
        <v>9323</v>
      </c>
      <c r="B373" t="s">
        <v>13936</v>
      </c>
      <c r="C373" t="s">
        <v>9324</v>
      </c>
      <c r="D373" s="115" t="s">
        <v>9327</v>
      </c>
      <c r="E373" s="84">
        <v>210036</v>
      </c>
      <c r="F373" t="s">
        <v>9325</v>
      </c>
      <c r="G373" t="str">
        <f>IF(O373="",N373&amp;" ("&amp;M373&amp;")",N373&amp;": "&amp;O373&amp;" ("&amp;M373&amp;")")</f>
        <v>Upgrade the Wind Shrine to Lv. 35 (A Wish to the Winds)</v>
      </c>
      <c r="H373" s="86" t="s">
        <v>1947</v>
      </c>
      <c r="I373" t="s">
        <v>137</v>
      </c>
      <c r="J373" s="84">
        <v>5</v>
      </c>
      <c r="K373" s="118">
        <v>43419</v>
      </c>
      <c r="L373" t="s">
        <v>18046</v>
      </c>
      <c r="M373" t="s">
        <v>13983</v>
      </c>
      <c r="N373" t="s">
        <v>20027</v>
      </c>
      <c r="Q373" t="s">
        <v>20028</v>
      </c>
    </row>
    <row r="374" spans="1:17" x14ac:dyDescent="0.2">
      <c r="A374" s="70" t="s">
        <v>10054</v>
      </c>
      <c r="B374" t="s">
        <v>13936</v>
      </c>
      <c r="C374" t="s">
        <v>10055</v>
      </c>
      <c r="D374" s="114" t="s">
        <v>10058</v>
      </c>
      <c r="E374" s="84">
        <v>210010</v>
      </c>
      <c r="F374" t="s">
        <v>10056</v>
      </c>
      <c r="G374" t="str">
        <f>IF(O374="","Clear "&amp;N374&amp;" ("&amp;M374&amp;")","Clear "&amp;N374&amp;": "&amp;O374&amp;" ("&amp;M374&amp;")")</f>
        <v>Clear Hypnos Clash: Expert (Kindness and Captivity)</v>
      </c>
      <c r="H374" s="86" t="s">
        <v>1947</v>
      </c>
      <c r="I374" t="s">
        <v>137</v>
      </c>
      <c r="J374" s="84">
        <v>5</v>
      </c>
      <c r="K374" s="118">
        <v>43404</v>
      </c>
      <c r="L374" t="s">
        <v>18017</v>
      </c>
      <c r="M374" t="s">
        <v>13976</v>
      </c>
      <c r="N374" t="s">
        <v>18078</v>
      </c>
      <c r="O374" t="s">
        <v>18033</v>
      </c>
      <c r="P374">
        <v>2</v>
      </c>
      <c r="Q374" t="s">
        <v>18079</v>
      </c>
    </row>
    <row r="375" spans="1:17" x14ac:dyDescent="0.2">
      <c r="A375" s="70" t="s">
        <v>9267</v>
      </c>
      <c r="B375" t="s">
        <v>13936</v>
      </c>
      <c r="C375" t="s">
        <v>9268</v>
      </c>
      <c r="D375" s="114" t="s">
        <v>9271</v>
      </c>
      <c r="E375" s="84">
        <v>210038</v>
      </c>
      <c r="F375" t="s">
        <v>9269</v>
      </c>
      <c r="G375" t="str">
        <f>IF(O375="","Clear "&amp;N375&amp;" ("&amp;M375&amp;")","Clear "&amp;N375&amp;": "&amp;O375&amp;" ("&amp;M375&amp;")")</f>
        <v>Clear High Midgardsormr's Trial: Standard (Advanced Dragon Trials)</v>
      </c>
      <c r="H375" s="86" t="s">
        <v>1947</v>
      </c>
      <c r="I375" t="s">
        <v>137</v>
      </c>
      <c r="J375" s="84">
        <v>5</v>
      </c>
      <c r="K375" s="118">
        <v>43370</v>
      </c>
      <c r="L375" t="s">
        <v>18054</v>
      </c>
      <c r="M375" t="s">
        <v>19259</v>
      </c>
      <c r="N375" t="s">
        <v>19260</v>
      </c>
      <c r="O375" t="s">
        <v>18054</v>
      </c>
      <c r="P375">
        <v>2</v>
      </c>
      <c r="Q375" t="s">
        <v>19263</v>
      </c>
    </row>
    <row r="376" spans="1:17" x14ac:dyDescent="0.2">
      <c r="A376" s="70" t="s">
        <v>9852</v>
      </c>
      <c r="B376" t="s">
        <v>13936</v>
      </c>
      <c r="C376" t="s">
        <v>9853</v>
      </c>
      <c r="D376" s="114" t="s">
        <v>9856</v>
      </c>
      <c r="E376" s="84">
        <v>210018</v>
      </c>
      <c r="F376" t="s">
        <v>9854</v>
      </c>
      <c r="G376" t="str">
        <f>IF(O376="","Clear "&amp;N376&amp;" ("&amp;M376&amp;")","Clear "&amp;N376&amp;": "&amp;O376&amp;" ("&amp;M376&amp;")")</f>
        <v>Clear Void Zephyr Strike: Standard (Void Battles)</v>
      </c>
      <c r="H376" s="86" t="s">
        <v>1947</v>
      </c>
      <c r="I376" t="s">
        <v>137</v>
      </c>
      <c r="J376" s="84">
        <v>5</v>
      </c>
      <c r="K376" s="118">
        <v>43370</v>
      </c>
      <c r="L376" t="s">
        <v>18054</v>
      </c>
      <c r="M376" t="s">
        <v>19374</v>
      </c>
      <c r="N376" t="s">
        <v>19426</v>
      </c>
      <c r="O376" t="s">
        <v>18054</v>
      </c>
      <c r="P376">
        <v>1</v>
      </c>
      <c r="Q376" t="s">
        <v>19425</v>
      </c>
    </row>
    <row r="377" spans="1:17" x14ac:dyDescent="0.2">
      <c r="A377" s="70" t="s">
        <v>8714</v>
      </c>
      <c r="B377" t="s">
        <v>13936</v>
      </c>
      <c r="C377" t="s">
        <v>8715</v>
      </c>
      <c r="D377" s="115" t="s">
        <v>8718</v>
      </c>
      <c r="E377" s="84">
        <v>210011</v>
      </c>
      <c r="F377" t="s">
        <v>8716</v>
      </c>
      <c r="G377" t="str">
        <f>"Clear "&amp;N377&amp;": "&amp;O377</f>
        <v>Clear Midgardsormr's Trial: Standard</v>
      </c>
      <c r="H377" s="86" t="s">
        <v>1947</v>
      </c>
      <c r="I377" t="s">
        <v>137</v>
      </c>
      <c r="J377" s="84">
        <v>4</v>
      </c>
      <c r="K377" s="118">
        <v>43370</v>
      </c>
      <c r="L377" t="s">
        <v>18054</v>
      </c>
      <c r="M377" t="s">
        <v>13994</v>
      </c>
      <c r="N377" t="s">
        <v>19190</v>
      </c>
      <c r="O377" t="s">
        <v>18054</v>
      </c>
      <c r="P377">
        <v>2</v>
      </c>
      <c r="Q377" t="s">
        <v>19192</v>
      </c>
    </row>
    <row r="378" spans="1:17" x14ac:dyDescent="0.2">
      <c r="A378" s="70" t="s">
        <v>9377</v>
      </c>
      <c r="B378" t="s">
        <v>13936</v>
      </c>
      <c r="C378" t="s">
        <v>9378</v>
      </c>
      <c r="D378" s="115" t="s">
        <v>9381</v>
      </c>
      <c r="E378" s="84">
        <v>210050</v>
      </c>
      <c r="F378" t="s">
        <v>9379</v>
      </c>
      <c r="G378" t="str">
        <f>"Clear "&amp;N378&amp;": "&amp;O378</f>
        <v>Clear Midgardsormr's Trial: Expert</v>
      </c>
      <c r="H378" s="86" t="s">
        <v>1947</v>
      </c>
      <c r="I378" t="s">
        <v>137</v>
      </c>
      <c r="J378" s="84">
        <v>4</v>
      </c>
      <c r="K378" s="118">
        <v>43370</v>
      </c>
      <c r="L378" t="s">
        <v>18054</v>
      </c>
      <c r="M378" t="s">
        <v>13994</v>
      </c>
      <c r="N378" t="s">
        <v>19190</v>
      </c>
      <c r="O378" t="s">
        <v>18033</v>
      </c>
      <c r="P378">
        <v>3</v>
      </c>
      <c r="Q378" t="s">
        <v>19194</v>
      </c>
    </row>
    <row r="379" spans="1:17" x14ac:dyDescent="0.2">
      <c r="A379" s="70" t="s">
        <v>9211</v>
      </c>
      <c r="B379" t="s">
        <v>13936</v>
      </c>
      <c r="C379" t="s">
        <v>9212</v>
      </c>
      <c r="D379" s="114" t="s">
        <v>9215</v>
      </c>
      <c r="E379" s="84">
        <v>210001</v>
      </c>
      <c r="F379" t="s">
        <v>9213</v>
      </c>
      <c r="G379" t="str">
        <f>+"Clear "&amp;N379&amp;" of the Main Campaign ("&amp;O379&amp;")"</f>
        <v>Clear Ch. 01 3-3 of the Main Campaign (Normal)</v>
      </c>
      <c r="H379" s="86" t="s">
        <v>1947</v>
      </c>
      <c r="I379" t="s">
        <v>137</v>
      </c>
      <c r="J379" s="84">
        <v>4</v>
      </c>
      <c r="K379" s="118">
        <v>43370</v>
      </c>
      <c r="L379" t="s">
        <v>18054</v>
      </c>
      <c r="M379" t="s">
        <v>17513</v>
      </c>
      <c r="N379" t="s">
        <v>20029</v>
      </c>
      <c r="O379" t="s">
        <v>15731</v>
      </c>
      <c r="P379">
        <v>1</v>
      </c>
      <c r="Q379" t="s">
        <v>15776</v>
      </c>
    </row>
    <row r="380" spans="1:17" x14ac:dyDescent="0.2">
      <c r="A380" s="70" t="s">
        <v>9943</v>
      </c>
      <c r="B380" t="s">
        <v>13936</v>
      </c>
      <c r="C380" t="s">
        <v>9944</v>
      </c>
      <c r="D380" s="114" t="s">
        <v>9946</v>
      </c>
      <c r="E380" s="84">
        <v>210068</v>
      </c>
      <c r="F380" t="s">
        <v>137</v>
      </c>
      <c r="G380" t="str">
        <f>+N380</f>
        <v>Complete Tutorial</v>
      </c>
      <c r="H380" s="86" t="s">
        <v>1947</v>
      </c>
      <c r="I380" t="s">
        <v>137</v>
      </c>
      <c r="J380" s="84">
        <v>3</v>
      </c>
      <c r="K380" s="118">
        <v>43370</v>
      </c>
      <c r="L380" t="s">
        <v>18054</v>
      </c>
      <c r="M380" t="s">
        <v>13720</v>
      </c>
      <c r="N380" t="s">
        <v>276</v>
      </c>
      <c r="Q380" t="s">
        <v>137</v>
      </c>
    </row>
    <row r="381" spans="1:17" x14ac:dyDescent="0.2">
      <c r="A381" s="70" t="s">
        <v>9904</v>
      </c>
      <c r="B381" t="s">
        <v>13936</v>
      </c>
      <c r="C381" t="s">
        <v>9905</v>
      </c>
      <c r="D381" s="114" t="s">
        <v>9907</v>
      </c>
      <c r="E381" s="84">
        <v>210064</v>
      </c>
      <c r="F381" t="s">
        <v>137</v>
      </c>
      <c r="G381" t="str">
        <f>+N381</f>
        <v>Complete Tutorial</v>
      </c>
      <c r="H381" s="86" t="s">
        <v>1947</v>
      </c>
      <c r="I381" t="s">
        <v>137</v>
      </c>
      <c r="J381" s="84">
        <v>3</v>
      </c>
      <c r="K381" s="118">
        <v>43370</v>
      </c>
      <c r="L381" t="s">
        <v>18054</v>
      </c>
      <c r="M381" t="s">
        <v>13720</v>
      </c>
      <c r="N381" t="s">
        <v>276</v>
      </c>
      <c r="Q381" t="s">
        <v>137</v>
      </c>
    </row>
    <row r="382" spans="1:17" x14ac:dyDescent="0.2">
      <c r="A382" s="70" t="s">
        <v>9982</v>
      </c>
      <c r="B382" t="s">
        <v>13936</v>
      </c>
      <c r="C382" t="s">
        <v>9983</v>
      </c>
      <c r="D382" s="114" t="s">
        <v>9985</v>
      </c>
      <c r="E382" s="84">
        <v>210060</v>
      </c>
      <c r="F382" t="s">
        <v>137</v>
      </c>
      <c r="G382" t="str">
        <f>+N382</f>
        <v>Complete Tutorial</v>
      </c>
      <c r="H382" s="86" t="s">
        <v>1947</v>
      </c>
      <c r="I382" t="s">
        <v>137</v>
      </c>
      <c r="J382" s="84">
        <v>3</v>
      </c>
      <c r="K382" s="118">
        <v>43370</v>
      </c>
      <c r="L382" t="s">
        <v>18054</v>
      </c>
      <c r="M382" t="s">
        <v>13720</v>
      </c>
      <c r="N382" t="s">
        <v>276</v>
      </c>
      <c r="Q382" t="s">
        <v>137</v>
      </c>
    </row>
    <row r="383" spans="1:17" x14ac:dyDescent="0.2">
      <c r="A383" s="70" t="s">
        <v>10181</v>
      </c>
      <c r="B383" t="s">
        <v>13936</v>
      </c>
      <c r="C383" t="s">
        <v>10182</v>
      </c>
      <c r="D383" s="114" t="s">
        <v>10185</v>
      </c>
      <c r="E383" s="84">
        <v>210173</v>
      </c>
      <c r="F383" t="s">
        <v>10183</v>
      </c>
      <c r="G383" t="str">
        <f>IF(O383="","Clear "&amp;N383&amp;" ("&amp;M383&amp;")","Clear "&amp;N383&amp;": "&amp;O383&amp;" ("&amp;M383&amp;")")</f>
        <v>Clear Elysium Clash: Omega 1 (Dawn of Dragalia)</v>
      </c>
      <c r="H383" s="86" t="s">
        <v>2837</v>
      </c>
      <c r="I383" t="s">
        <v>137</v>
      </c>
      <c r="J383" s="84">
        <v>5</v>
      </c>
      <c r="K383" s="118">
        <v>44620</v>
      </c>
      <c r="L383" t="s">
        <v>18017</v>
      </c>
      <c r="M383" t="s">
        <v>14293</v>
      </c>
      <c r="N383" t="s">
        <v>18872</v>
      </c>
      <c r="O383" t="s">
        <v>18212</v>
      </c>
      <c r="P383">
        <v>5</v>
      </c>
      <c r="Q383" t="s">
        <v>18880</v>
      </c>
    </row>
    <row r="384" spans="1:17" x14ac:dyDescent="0.2">
      <c r="A384" s="70" t="s">
        <v>10194</v>
      </c>
      <c r="B384" t="s">
        <v>13936</v>
      </c>
      <c r="C384" t="s">
        <v>10195</v>
      </c>
      <c r="D384" s="114" t="s">
        <v>10198</v>
      </c>
      <c r="E384" s="84">
        <v>210164</v>
      </c>
      <c r="F384" t="s">
        <v>10196</v>
      </c>
      <c r="G384" t="str">
        <f>IF(O384="","Clear "&amp;N384&amp;" ("&amp;M384&amp;")","Clear "&amp;N384&amp;": "&amp;O384&amp;" ("&amp;M384&amp;")")</f>
        <v>Clear Chronos Nyx Clash: Omega (Fractured Futures)</v>
      </c>
      <c r="H384" s="86" t="s">
        <v>2837</v>
      </c>
      <c r="I384" t="s">
        <v>137</v>
      </c>
      <c r="J384" s="84">
        <v>5</v>
      </c>
      <c r="K384" s="118">
        <v>44498</v>
      </c>
      <c r="L384" t="s">
        <v>18017</v>
      </c>
      <c r="M384" t="s">
        <v>14119</v>
      </c>
      <c r="N384" t="s">
        <v>18336</v>
      </c>
      <c r="O384" t="s">
        <v>18044</v>
      </c>
      <c r="P384">
        <v>7</v>
      </c>
      <c r="Q384" t="s">
        <v>18339</v>
      </c>
    </row>
    <row r="385" spans="1:17" x14ac:dyDescent="0.2">
      <c r="A385" s="70" t="s">
        <v>9431</v>
      </c>
      <c r="B385" t="s">
        <v>13936</v>
      </c>
      <c r="C385" t="s">
        <v>9432</v>
      </c>
      <c r="D385" s="114" t="s">
        <v>9435</v>
      </c>
      <c r="E385" s="84">
        <v>210166</v>
      </c>
      <c r="F385" t="s">
        <v>9433</v>
      </c>
      <c r="G385" t="str">
        <f>N385</f>
        <v>Exchange for 5,000 Rupies from Treasure Trade</v>
      </c>
      <c r="H385" s="86" t="s">
        <v>2837</v>
      </c>
      <c r="I385" t="s">
        <v>137</v>
      </c>
      <c r="J385" s="84">
        <v>5</v>
      </c>
      <c r="K385" s="118">
        <v>44468</v>
      </c>
      <c r="L385" t="s">
        <v>18054</v>
      </c>
      <c r="M385" t="s">
        <v>19847</v>
      </c>
      <c r="N385" t="s">
        <v>9407</v>
      </c>
      <c r="Q385" t="s">
        <v>137</v>
      </c>
    </row>
    <row r="386" spans="1:17" x14ac:dyDescent="0.2">
      <c r="A386" s="70" t="s">
        <v>9806</v>
      </c>
      <c r="B386" t="s">
        <v>13936</v>
      </c>
      <c r="C386" t="s">
        <v>9807</v>
      </c>
      <c r="D386" s="115" t="s">
        <v>9810</v>
      </c>
      <c r="E386" s="84">
        <v>210158</v>
      </c>
      <c r="F386" t="s">
        <v>9808</v>
      </c>
      <c r="G386" t="str">
        <f>IF(O386="","Clear "&amp;N386&amp;" ("&amp;M386&amp;")","Clear "&amp;N386&amp;": "&amp;O386&amp;" ("&amp;M386&amp;")")</f>
        <v>Clear Kanaloa Clash: Nightmare (Stranded Scions)</v>
      </c>
      <c r="H386" s="86" t="s">
        <v>2837</v>
      </c>
      <c r="I386" t="s">
        <v>137</v>
      </c>
      <c r="J386" s="84">
        <v>5</v>
      </c>
      <c r="K386" s="118">
        <v>44412</v>
      </c>
      <c r="L386" t="s">
        <v>18017</v>
      </c>
      <c r="M386" t="s">
        <v>14311</v>
      </c>
      <c r="N386" t="s">
        <v>18993</v>
      </c>
      <c r="O386" t="s">
        <v>18041</v>
      </c>
      <c r="P386">
        <v>4</v>
      </c>
      <c r="Q386" t="s">
        <v>18996</v>
      </c>
    </row>
    <row r="387" spans="1:17" x14ac:dyDescent="0.2">
      <c r="A387" s="70" t="s">
        <v>8862</v>
      </c>
      <c r="B387" t="s">
        <v>13936</v>
      </c>
      <c r="C387" t="s">
        <v>8863</v>
      </c>
      <c r="D387" s="114" t="s">
        <v>8866</v>
      </c>
      <c r="E387" s="84">
        <v>210154</v>
      </c>
      <c r="F387" t="s">
        <v>8864</v>
      </c>
      <c r="G387" t="str">
        <f>IF(O387="","Clear "&amp;N387&amp;" ("&amp;M387&amp;")","Clear "&amp;N387&amp;": "&amp;O387&amp;" ("&amp;M387&amp;")")</f>
        <v>Clear Asura's Blinding Light: Standard (Rise of the Sinister Dominion)</v>
      </c>
      <c r="H387" s="86" t="s">
        <v>2837</v>
      </c>
      <c r="I387" t="s">
        <v>137</v>
      </c>
      <c r="J387" s="84">
        <v>5</v>
      </c>
      <c r="K387" s="118">
        <v>44350</v>
      </c>
      <c r="L387" t="s">
        <v>18054</v>
      </c>
      <c r="M387" t="s">
        <v>13844</v>
      </c>
      <c r="N387" t="s">
        <v>19320</v>
      </c>
      <c r="O387" t="s">
        <v>18054</v>
      </c>
      <c r="P387">
        <v>1</v>
      </c>
      <c r="Q387" t="s">
        <v>19319</v>
      </c>
    </row>
    <row r="388" spans="1:17" x14ac:dyDescent="0.2">
      <c r="A388" s="70" t="s">
        <v>9163</v>
      </c>
      <c r="B388" t="s">
        <v>13936</v>
      </c>
      <c r="C388" t="s">
        <v>9164</v>
      </c>
      <c r="D388" s="114" t="s">
        <v>9167</v>
      </c>
      <c r="E388" s="84">
        <v>210144</v>
      </c>
      <c r="F388" t="s">
        <v>9165</v>
      </c>
      <c r="G388" t="str">
        <f>+"Clear "&amp;N388&amp;" of the Main Campaign ("&amp;O388&amp;")"</f>
        <v>Clear Ch. 18 5-1 of the Main Campaign (Hard)</v>
      </c>
      <c r="H388" s="86" t="s">
        <v>2837</v>
      </c>
      <c r="I388" t="s">
        <v>137</v>
      </c>
      <c r="J388" s="84">
        <v>5</v>
      </c>
      <c r="K388" s="118">
        <v>44253</v>
      </c>
      <c r="L388" t="s">
        <v>18054</v>
      </c>
      <c r="M388" t="s">
        <v>17513</v>
      </c>
      <c r="N388" t="s">
        <v>20030</v>
      </c>
      <c r="O388" t="s">
        <v>15732</v>
      </c>
      <c r="P388">
        <v>1</v>
      </c>
      <c r="Q388" t="s">
        <v>17875</v>
      </c>
    </row>
    <row r="389" spans="1:17" x14ac:dyDescent="0.2">
      <c r="A389" s="70" t="s">
        <v>8923</v>
      </c>
      <c r="B389" t="s">
        <v>13936</v>
      </c>
      <c r="C389" t="s">
        <v>8924</v>
      </c>
      <c r="D389" s="115" t="s">
        <v>8927</v>
      </c>
      <c r="E389" s="84">
        <v>210142</v>
      </c>
      <c r="F389" t="s">
        <v>8925</v>
      </c>
      <c r="G389" t="str">
        <f>IF(O389="","Clear "&amp;N389&amp;" ("&amp;M389&amp;")","Clear "&amp;N389&amp;": "&amp;O389&amp;" ("&amp;M389&amp;")")</f>
        <v>Clear Aether Clash: Nightmare (Princess Connect! Re Dive A Voracious Visitor)</v>
      </c>
      <c r="H389" s="86" t="s">
        <v>2837</v>
      </c>
      <c r="I389" t="s">
        <v>137</v>
      </c>
      <c r="J389" s="84">
        <v>5</v>
      </c>
      <c r="K389" s="118">
        <v>44165</v>
      </c>
      <c r="L389" t="s">
        <v>18017</v>
      </c>
      <c r="M389" t="s">
        <v>19766</v>
      </c>
      <c r="N389" t="s">
        <v>18730</v>
      </c>
      <c r="O389" t="s">
        <v>18041</v>
      </c>
      <c r="P389">
        <v>4</v>
      </c>
      <c r="Q389" t="s">
        <v>18733</v>
      </c>
    </row>
    <row r="390" spans="1:17" x14ac:dyDescent="0.2">
      <c r="A390" s="70" t="s">
        <v>10203</v>
      </c>
      <c r="B390" t="s">
        <v>13936</v>
      </c>
      <c r="C390" t="s">
        <v>10204</v>
      </c>
      <c r="D390" s="114" t="s">
        <v>10207</v>
      </c>
      <c r="E390" s="84">
        <v>200018</v>
      </c>
      <c r="F390" t="s">
        <v>10205</v>
      </c>
      <c r="G390" t="str">
        <f>IF(O390="","Clear "&amp;N390&amp;" ("&amp;M390&amp;")","Clear "&amp;N390&amp;": "&amp;O390&amp;" ("&amp;M390&amp;")")</f>
        <v>Clear Thor's Trial: Standard (Trials of the Mighty)</v>
      </c>
      <c r="H390" s="86" t="s">
        <v>2837</v>
      </c>
      <c r="I390" t="s">
        <v>137</v>
      </c>
      <c r="J390" s="84">
        <v>5</v>
      </c>
      <c r="K390" s="118">
        <v>44072</v>
      </c>
      <c r="L390" t="s">
        <v>18054</v>
      </c>
      <c r="M390" t="s">
        <v>19456</v>
      </c>
      <c r="N390" t="s">
        <v>19545</v>
      </c>
      <c r="O390" t="s">
        <v>18054</v>
      </c>
      <c r="P390">
        <v>1</v>
      </c>
      <c r="Q390" t="s">
        <v>19544</v>
      </c>
    </row>
    <row r="391" spans="1:17" x14ac:dyDescent="0.2">
      <c r="A391" s="70" t="s">
        <v>9694</v>
      </c>
      <c r="B391" t="s">
        <v>13936</v>
      </c>
      <c r="C391" t="s">
        <v>9695</v>
      </c>
      <c r="D391" s="114" t="s">
        <v>9698</v>
      </c>
      <c r="E391" s="84">
        <v>210085</v>
      </c>
      <c r="F391" t="s">
        <v>9696</v>
      </c>
      <c r="G391" t="str">
        <f>IF(O391="","Clear "&amp;N391&amp;" ("&amp;M391&amp;")","Clear "&amp;N391&amp;": "&amp;O391&amp;" ("&amp;M391&amp;")")</f>
        <v>Clear Mei Hou Wang Clash: Omega 1 (Timeworn Torment)</v>
      </c>
      <c r="H391" s="86" t="s">
        <v>2837</v>
      </c>
      <c r="I391" t="s">
        <v>137</v>
      </c>
      <c r="J391" s="84">
        <v>5</v>
      </c>
      <c r="K391" s="118">
        <v>43980</v>
      </c>
      <c r="L391" t="s">
        <v>18017</v>
      </c>
      <c r="M391" t="s">
        <v>14214</v>
      </c>
      <c r="N391" t="s">
        <v>18552</v>
      </c>
      <c r="O391" t="s">
        <v>18212</v>
      </c>
      <c r="P391">
        <v>5</v>
      </c>
      <c r="Q391" t="s">
        <v>18556</v>
      </c>
    </row>
    <row r="392" spans="1:17" x14ac:dyDescent="0.2">
      <c r="A392" s="70" t="s">
        <v>9040</v>
      </c>
      <c r="B392" t="s">
        <v>13936</v>
      </c>
      <c r="C392" t="s">
        <v>9041</v>
      </c>
      <c r="D392" s="114" t="s">
        <v>9044</v>
      </c>
      <c r="E392" s="84">
        <v>210110</v>
      </c>
      <c r="F392" t="s">
        <v>9042</v>
      </c>
      <c r="G392" t="str">
        <f>IF(O392="","Clear "&amp;N392&amp;" ("&amp;M392&amp;")","Clear "&amp;N392&amp;": "&amp;O392&amp;" ("&amp;M392&amp;")")</f>
        <v>Clear Ebisu Showdown: Omega 1 (A Clawful Caper)</v>
      </c>
      <c r="H392" s="86" t="s">
        <v>2837</v>
      </c>
      <c r="I392" t="s">
        <v>137</v>
      </c>
      <c r="J392" s="84">
        <v>5</v>
      </c>
      <c r="K392" s="118">
        <v>43830</v>
      </c>
      <c r="L392" t="s">
        <v>18017</v>
      </c>
      <c r="M392" t="s">
        <v>14158</v>
      </c>
      <c r="N392" t="s">
        <v>18420</v>
      </c>
      <c r="O392" t="s">
        <v>18212</v>
      </c>
      <c r="P392">
        <v>5</v>
      </c>
      <c r="Q392" t="s">
        <v>18424</v>
      </c>
    </row>
    <row r="393" spans="1:17" x14ac:dyDescent="0.2">
      <c r="A393" s="70" t="s">
        <v>9749</v>
      </c>
      <c r="B393" t="s">
        <v>13936</v>
      </c>
      <c r="C393" t="s">
        <v>9750</v>
      </c>
      <c r="D393" s="114" t="s">
        <v>9753</v>
      </c>
      <c r="E393" s="84">
        <v>210094</v>
      </c>
      <c r="F393" t="s">
        <v>9751</v>
      </c>
      <c r="G393" t="str">
        <f>IF(O393="",N393&amp;" ("&amp;M393&amp;")",N393&amp;": "&amp;O393&amp;" ("&amp;M393&amp;")")</f>
        <v>Upgrade the Seabed Stage to Lv. 35 (A Crescendo of Courage)</v>
      </c>
      <c r="H393" s="86" t="s">
        <v>2837</v>
      </c>
      <c r="I393" t="s">
        <v>137</v>
      </c>
      <c r="J393" s="84">
        <v>5</v>
      </c>
      <c r="K393" s="118">
        <v>43690</v>
      </c>
      <c r="L393" t="s">
        <v>18046</v>
      </c>
      <c r="M393" t="s">
        <v>14105</v>
      </c>
      <c r="N393" t="s">
        <v>20031</v>
      </c>
      <c r="Q393" t="s">
        <v>20032</v>
      </c>
    </row>
    <row r="394" spans="1:17" x14ac:dyDescent="0.2">
      <c r="A394" s="70" t="s">
        <v>9525</v>
      </c>
      <c r="B394" t="s">
        <v>13936</v>
      </c>
      <c r="C394" t="s">
        <v>9526</v>
      </c>
      <c r="D394" s="114" t="s">
        <v>9529</v>
      </c>
      <c r="E394" s="84">
        <v>210051</v>
      </c>
      <c r="F394" t="s">
        <v>9527</v>
      </c>
      <c r="G394" t="str">
        <f>IF(O394="","Clear "&amp;N394&amp;" ("&amp;M394&amp;")","Clear "&amp;N394&amp;": "&amp;O394&amp;" ("&amp;M394&amp;")")</f>
        <v>Clear Battle in the Dornith Mountains: Master (The Imperial Onslaught)</v>
      </c>
      <c r="H394" s="86" t="s">
        <v>2837</v>
      </c>
      <c r="I394" t="s">
        <v>137</v>
      </c>
      <c r="J394" s="84">
        <v>5</v>
      </c>
      <c r="K394" s="118">
        <v>43599</v>
      </c>
      <c r="L394" t="s">
        <v>18054</v>
      </c>
      <c r="M394" t="s">
        <v>13954</v>
      </c>
      <c r="N394" t="s">
        <v>19243</v>
      </c>
      <c r="O394" t="s">
        <v>18061</v>
      </c>
      <c r="P394">
        <v>4</v>
      </c>
      <c r="Q394" t="s">
        <v>19248</v>
      </c>
    </row>
    <row r="395" spans="1:17" x14ac:dyDescent="0.2">
      <c r="A395" s="70" t="s">
        <v>9386</v>
      </c>
      <c r="B395" t="s">
        <v>13936</v>
      </c>
      <c r="C395" t="s">
        <v>9387</v>
      </c>
      <c r="D395" s="114" t="s">
        <v>9390</v>
      </c>
      <c r="E395" s="84">
        <v>210043</v>
      </c>
      <c r="F395" t="s">
        <v>9388</v>
      </c>
      <c r="G395" t="str">
        <f>IF(O395="",N395&amp;" ("&amp;M395&amp;")",N395&amp;": "&amp;O395&amp;" ("&amp;M395&amp;")")</f>
        <v>Upgrade the Circus Tent to Lv. 35 (Dream Big Under the Big Top)</v>
      </c>
      <c r="H395" s="86" t="s">
        <v>2837</v>
      </c>
      <c r="I395" t="s">
        <v>137</v>
      </c>
      <c r="J395" s="84">
        <v>5</v>
      </c>
      <c r="K395" s="118">
        <v>43480</v>
      </c>
      <c r="L395" t="s">
        <v>18046</v>
      </c>
      <c r="M395" t="s">
        <v>14017</v>
      </c>
      <c r="N395" t="s">
        <v>20033</v>
      </c>
      <c r="Q395" t="s">
        <v>20034</v>
      </c>
    </row>
    <row r="396" spans="1:17" x14ac:dyDescent="0.2">
      <c r="A396" s="70" t="s">
        <v>8980</v>
      </c>
      <c r="B396" t="s">
        <v>13936</v>
      </c>
      <c r="C396" t="s">
        <v>8981</v>
      </c>
      <c r="D396" s="114" t="s">
        <v>20035</v>
      </c>
      <c r="E396" s="84">
        <v>210078</v>
      </c>
      <c r="F396" t="s">
        <v>8982</v>
      </c>
      <c r="G396" t="str">
        <f>IF(O396="","Clear "&amp;N396&amp;" ("&amp;M396&amp;")","Clear "&amp;N396&amp;": "&amp;O396&amp;" ("&amp;M396&amp;")")</f>
        <v>Clear Shishimai Showdown: Expert (Fortune from Afar)</v>
      </c>
      <c r="H396" s="86" t="s">
        <v>2837</v>
      </c>
      <c r="I396" t="s">
        <v>137</v>
      </c>
      <c r="J396" s="84">
        <v>5</v>
      </c>
      <c r="K396" s="118">
        <v>43465</v>
      </c>
      <c r="L396" t="s">
        <v>18017</v>
      </c>
      <c r="M396" t="s">
        <v>18124</v>
      </c>
      <c r="N396" t="s">
        <v>18139</v>
      </c>
      <c r="O396" t="s">
        <v>18033</v>
      </c>
      <c r="P396">
        <v>3</v>
      </c>
      <c r="Q396" t="s">
        <v>18141</v>
      </c>
    </row>
    <row r="397" spans="1:17" x14ac:dyDescent="0.2">
      <c r="A397" s="70" t="s">
        <v>9863</v>
      </c>
      <c r="B397" t="s">
        <v>13936</v>
      </c>
      <c r="C397" t="s">
        <v>9864</v>
      </c>
      <c r="D397" s="115" t="s">
        <v>9867</v>
      </c>
      <c r="E397" s="84">
        <v>210049</v>
      </c>
      <c r="F397" t="s">
        <v>9865</v>
      </c>
      <c r="G397" t="str">
        <f>"Clear "&amp;N397&amp;": "&amp;O397</f>
        <v>Clear Jupiter's Trial: Master</v>
      </c>
      <c r="H397" s="86" t="s">
        <v>2837</v>
      </c>
      <c r="I397" t="s">
        <v>137</v>
      </c>
      <c r="J397" s="84">
        <v>5</v>
      </c>
      <c r="K397" s="118">
        <v>43434</v>
      </c>
      <c r="L397" t="s">
        <v>18054</v>
      </c>
      <c r="M397" t="s">
        <v>13994</v>
      </c>
      <c r="N397" t="s">
        <v>19209</v>
      </c>
      <c r="O397" t="s">
        <v>18061</v>
      </c>
      <c r="P397">
        <v>4</v>
      </c>
      <c r="Q397" t="s">
        <v>19212</v>
      </c>
    </row>
    <row r="398" spans="1:17" x14ac:dyDescent="0.2">
      <c r="A398" s="70" t="s">
        <v>9573</v>
      </c>
      <c r="B398" t="s">
        <v>13936</v>
      </c>
      <c r="C398" t="s">
        <v>9574</v>
      </c>
      <c r="D398" s="114" t="s">
        <v>9577</v>
      </c>
      <c r="E398" s="84">
        <v>210048</v>
      </c>
      <c r="F398" t="s">
        <v>9575</v>
      </c>
      <c r="G398" t="str">
        <f>IF(O398="","Clear "&amp;N398&amp;" ("&amp;M398&amp;")","Clear "&amp;N398&amp;": "&amp;O398&amp;" ("&amp;M398&amp;")")</f>
        <v>Clear High Jupiter's Trial: Prelude (Advanced Dragon Trials)</v>
      </c>
      <c r="H398" s="86" t="s">
        <v>2837</v>
      </c>
      <c r="I398" t="s">
        <v>137</v>
      </c>
      <c r="J398" s="84">
        <v>5</v>
      </c>
      <c r="K398" s="118">
        <v>43524</v>
      </c>
      <c r="L398" t="s">
        <v>18054</v>
      </c>
      <c r="M398" t="s">
        <v>19259</v>
      </c>
      <c r="N398" t="s">
        <v>19277</v>
      </c>
      <c r="O398" t="s">
        <v>19261</v>
      </c>
      <c r="P398">
        <v>1</v>
      </c>
      <c r="Q398" t="s">
        <v>19276</v>
      </c>
    </row>
    <row r="399" spans="1:17" x14ac:dyDescent="0.2">
      <c r="A399" s="70" t="s">
        <v>8726</v>
      </c>
      <c r="B399" t="s">
        <v>13936</v>
      </c>
      <c r="C399" t="s">
        <v>8727</v>
      </c>
      <c r="D399" s="114" t="s">
        <v>8730</v>
      </c>
      <c r="E399" s="84">
        <v>210056</v>
      </c>
      <c r="F399" t="s">
        <v>8728</v>
      </c>
      <c r="G399" t="str">
        <f>IF(O399="","Clear "&amp;N399&amp;" ("&amp;M399&amp;")","Clear "&amp;N399&amp;": "&amp;O399&amp;" ("&amp;M399&amp;")")</f>
        <v>Clear Jeanne d'Arc's Trial: Standard (Trials of the Mighty)</v>
      </c>
      <c r="H399" s="86" t="s">
        <v>2837</v>
      </c>
      <c r="I399" t="s">
        <v>137</v>
      </c>
      <c r="J399" s="84">
        <v>5</v>
      </c>
      <c r="K399" s="118">
        <v>43811</v>
      </c>
      <c r="L399" t="s">
        <v>18054</v>
      </c>
      <c r="M399" t="s">
        <v>19456</v>
      </c>
      <c r="N399" t="s">
        <v>19501</v>
      </c>
      <c r="O399" t="s">
        <v>18054</v>
      </c>
      <c r="P399">
        <v>1</v>
      </c>
      <c r="Q399" t="s">
        <v>19500</v>
      </c>
    </row>
    <row r="400" spans="1:17" x14ac:dyDescent="0.2">
      <c r="A400" s="70" t="s">
        <v>9277</v>
      </c>
      <c r="B400" t="s">
        <v>13936</v>
      </c>
      <c r="C400" t="s">
        <v>9278</v>
      </c>
      <c r="D400" s="114" t="s">
        <v>9281</v>
      </c>
      <c r="E400" s="84">
        <v>210041</v>
      </c>
      <c r="F400" t="s">
        <v>9279</v>
      </c>
      <c r="G400" t="str">
        <f>IF(O400="","Clear "&amp;N400&amp;" ("&amp;M400&amp;")","Clear "&amp;N400&amp;": "&amp;O400&amp;" ("&amp;M400&amp;")")</f>
        <v>Clear High Jupiter's Trial: Standard (Advanced Dragon Trials)</v>
      </c>
      <c r="H400" s="86" t="s">
        <v>2837</v>
      </c>
      <c r="I400" t="s">
        <v>137</v>
      </c>
      <c r="J400" s="84">
        <v>5</v>
      </c>
      <c r="K400" s="118">
        <v>43672</v>
      </c>
      <c r="L400" t="s">
        <v>18054</v>
      </c>
      <c r="M400" t="s">
        <v>19259</v>
      </c>
      <c r="N400" t="s">
        <v>19277</v>
      </c>
      <c r="O400" t="s">
        <v>18054</v>
      </c>
      <c r="P400">
        <v>2</v>
      </c>
      <c r="Q400" t="s">
        <v>19278</v>
      </c>
    </row>
    <row r="401" spans="1:17" x14ac:dyDescent="0.2">
      <c r="A401" s="70" t="s">
        <v>9335</v>
      </c>
      <c r="B401" t="s">
        <v>13936</v>
      </c>
      <c r="C401" t="s">
        <v>9336</v>
      </c>
      <c r="D401" s="116" t="s">
        <v>20036</v>
      </c>
      <c r="E401" s="84">
        <v>210020</v>
      </c>
      <c r="F401" t="s">
        <v>9337</v>
      </c>
      <c r="G401" t="str">
        <f>IF(O401="","Clear "&amp;N401&amp;" ("&amp;M401&amp;")","Clear "&amp;N401&amp;": "&amp;O401&amp;" ("&amp;M401&amp;")")</f>
        <v>Clear Void Jeanne d'Arc Strike: Standard (Void Battles)</v>
      </c>
      <c r="H401" s="86" t="s">
        <v>2837</v>
      </c>
      <c r="I401" t="s">
        <v>137</v>
      </c>
      <c r="J401" s="84">
        <v>5</v>
      </c>
      <c r="K401" s="118">
        <v>43370</v>
      </c>
      <c r="L401" t="s">
        <v>18054</v>
      </c>
      <c r="M401" t="s">
        <v>19374</v>
      </c>
      <c r="N401" t="s">
        <v>19432</v>
      </c>
      <c r="O401" t="s">
        <v>18054</v>
      </c>
      <c r="P401">
        <v>1</v>
      </c>
      <c r="Q401" t="s">
        <v>19431</v>
      </c>
    </row>
    <row r="402" spans="1:17" x14ac:dyDescent="0.2">
      <c r="A402" s="70" t="s">
        <v>9636</v>
      </c>
      <c r="B402" t="s">
        <v>13936</v>
      </c>
      <c r="C402" t="s">
        <v>9637</v>
      </c>
      <c r="D402" s="114" t="s">
        <v>9640</v>
      </c>
      <c r="E402" s="84">
        <v>210075</v>
      </c>
      <c r="F402" t="s">
        <v>9638</v>
      </c>
      <c r="G402" t="str">
        <f>IF(O402="",N402&amp;" ("&amp;M402&amp;")",N402&amp;": "&amp;O402&amp;" ("&amp;M402&amp;")")</f>
        <v>Upgrade the Sweet Retreat to Lv. 35 (Trick or Treasure!)</v>
      </c>
      <c r="H402" s="86" t="s">
        <v>2837</v>
      </c>
      <c r="I402" t="s">
        <v>137</v>
      </c>
      <c r="J402" s="84">
        <v>4</v>
      </c>
      <c r="K402" s="118">
        <v>43390</v>
      </c>
      <c r="L402" t="s">
        <v>18046</v>
      </c>
      <c r="M402" t="s">
        <v>13967</v>
      </c>
      <c r="N402" s="87" t="s">
        <v>20037</v>
      </c>
      <c r="Q402" t="s">
        <v>19720</v>
      </c>
    </row>
    <row r="403" spans="1:17" x14ac:dyDescent="0.2">
      <c r="A403" s="70" t="s">
        <v>8738</v>
      </c>
      <c r="B403" t="s">
        <v>13936</v>
      </c>
      <c r="C403" t="s">
        <v>8739</v>
      </c>
      <c r="D403" s="115" t="s">
        <v>8742</v>
      </c>
      <c r="E403" s="84">
        <v>210013</v>
      </c>
      <c r="F403" t="s">
        <v>8740</v>
      </c>
      <c r="G403" t="str">
        <f>"Clear "&amp;N403&amp;": "&amp;O403</f>
        <v>Clear Jupiter's Trial: Standard</v>
      </c>
      <c r="H403" s="86" t="s">
        <v>2837</v>
      </c>
      <c r="I403" t="s">
        <v>137</v>
      </c>
      <c r="J403" s="84">
        <v>4</v>
      </c>
      <c r="K403" s="118">
        <v>43370</v>
      </c>
      <c r="L403" t="s">
        <v>18054</v>
      </c>
      <c r="M403" t="s">
        <v>13994</v>
      </c>
      <c r="N403" t="s">
        <v>19209</v>
      </c>
      <c r="O403" t="s">
        <v>18054</v>
      </c>
      <c r="P403">
        <v>2</v>
      </c>
      <c r="Q403" t="s">
        <v>19210</v>
      </c>
    </row>
    <row r="404" spans="1:17" x14ac:dyDescent="0.2">
      <c r="A404" s="70" t="s">
        <v>10065</v>
      </c>
      <c r="B404" t="s">
        <v>13936</v>
      </c>
      <c r="C404" t="s">
        <v>10066</v>
      </c>
      <c r="D404" s="115" t="s">
        <v>10069</v>
      </c>
      <c r="E404" s="84">
        <v>210012</v>
      </c>
      <c r="F404" t="s">
        <v>10067</v>
      </c>
      <c r="G404" t="str">
        <f>"Clear "&amp;N404&amp;": "&amp;O404</f>
        <v>Clear Jupiter's Trial: Expert</v>
      </c>
      <c r="H404" s="86" t="s">
        <v>2837</v>
      </c>
      <c r="I404" t="s">
        <v>137</v>
      </c>
      <c r="J404" s="84">
        <v>4</v>
      </c>
      <c r="K404" s="118">
        <v>43370</v>
      </c>
      <c r="L404" t="s">
        <v>18054</v>
      </c>
      <c r="M404" t="s">
        <v>13994</v>
      </c>
      <c r="N404" t="s">
        <v>19209</v>
      </c>
      <c r="O404" t="s">
        <v>18033</v>
      </c>
      <c r="P404">
        <v>3</v>
      </c>
      <c r="Q404" t="s">
        <v>19211</v>
      </c>
    </row>
    <row r="405" spans="1:17" x14ac:dyDescent="0.2">
      <c r="A405" s="70" t="s">
        <v>9222</v>
      </c>
      <c r="B405" t="s">
        <v>13936</v>
      </c>
      <c r="C405" t="s">
        <v>9223</v>
      </c>
      <c r="D405" s="114" t="s">
        <v>9226</v>
      </c>
      <c r="E405" s="84">
        <v>210004</v>
      </c>
      <c r="F405" t="s">
        <v>9224</v>
      </c>
      <c r="G405" t="str">
        <f>+"Clear "&amp;N405&amp;" of the Main Campaign ("&amp;O405&amp;")"</f>
        <v>Clear Ch. 04 5-4 of the Main Campaign (Normal)</v>
      </c>
      <c r="H405" s="86" t="s">
        <v>2837</v>
      </c>
      <c r="I405" t="s">
        <v>137</v>
      </c>
      <c r="J405" s="84">
        <v>4</v>
      </c>
      <c r="K405" s="118">
        <v>43370</v>
      </c>
      <c r="L405" t="s">
        <v>18054</v>
      </c>
      <c r="M405" t="s">
        <v>17513</v>
      </c>
      <c r="N405" t="s">
        <v>20038</v>
      </c>
      <c r="O405" t="s">
        <v>15731</v>
      </c>
      <c r="P405">
        <v>1</v>
      </c>
      <c r="Q405" t="s">
        <v>16003</v>
      </c>
    </row>
    <row r="406" spans="1:17" x14ac:dyDescent="0.2">
      <c r="A406" s="70" t="s">
        <v>9950</v>
      </c>
      <c r="B406" t="s">
        <v>13936</v>
      </c>
      <c r="C406" t="s">
        <v>9951</v>
      </c>
      <c r="D406" s="114" t="s">
        <v>9953</v>
      </c>
      <c r="E406" s="84">
        <v>210069</v>
      </c>
      <c r="F406" t="s">
        <v>137</v>
      </c>
      <c r="G406" t="str">
        <f>+N406</f>
        <v>Complete Tutorial</v>
      </c>
      <c r="H406" s="86" t="s">
        <v>2837</v>
      </c>
      <c r="I406" t="s">
        <v>137</v>
      </c>
      <c r="J406" s="84">
        <v>3</v>
      </c>
      <c r="K406" s="118">
        <v>43370</v>
      </c>
      <c r="L406" t="s">
        <v>18054</v>
      </c>
      <c r="M406" t="s">
        <v>13720</v>
      </c>
      <c r="N406" t="s">
        <v>276</v>
      </c>
      <c r="Q406" t="s">
        <v>137</v>
      </c>
    </row>
    <row r="407" spans="1:17" x14ac:dyDescent="0.2">
      <c r="A407" s="70" t="s">
        <v>9912</v>
      </c>
      <c r="B407" t="s">
        <v>13936</v>
      </c>
      <c r="C407" t="s">
        <v>9913</v>
      </c>
      <c r="D407" s="114" t="s">
        <v>9915</v>
      </c>
      <c r="E407" s="84">
        <v>210065</v>
      </c>
      <c r="F407" t="s">
        <v>137</v>
      </c>
      <c r="G407" t="str">
        <f>+N407</f>
        <v>Complete Tutorial</v>
      </c>
      <c r="H407" s="86" t="s">
        <v>2837</v>
      </c>
      <c r="I407" t="s">
        <v>137</v>
      </c>
      <c r="J407" s="84">
        <v>3</v>
      </c>
      <c r="K407" s="118">
        <v>43370</v>
      </c>
      <c r="L407" t="s">
        <v>18054</v>
      </c>
      <c r="M407" t="s">
        <v>13720</v>
      </c>
      <c r="N407" t="s">
        <v>276</v>
      </c>
      <c r="Q407" t="s">
        <v>137</v>
      </c>
    </row>
    <row r="408" spans="1:17" x14ac:dyDescent="0.2">
      <c r="A408" s="70" t="s">
        <v>9989</v>
      </c>
      <c r="B408" t="s">
        <v>13936</v>
      </c>
      <c r="C408" t="s">
        <v>9990</v>
      </c>
      <c r="D408" s="114" t="s">
        <v>9992</v>
      </c>
      <c r="E408" s="84">
        <v>210061</v>
      </c>
      <c r="F408" t="s">
        <v>137</v>
      </c>
      <c r="G408" t="str">
        <f>+N408</f>
        <v>Complete Tutorial</v>
      </c>
      <c r="H408" s="86" t="s">
        <v>2837</v>
      </c>
      <c r="I408" t="s">
        <v>137</v>
      </c>
      <c r="J408" s="84">
        <v>3</v>
      </c>
      <c r="K408" s="118">
        <v>43370</v>
      </c>
      <c r="L408" t="s">
        <v>18054</v>
      </c>
      <c r="M408" t="s">
        <v>13720</v>
      </c>
      <c r="N408" t="s">
        <v>276</v>
      </c>
      <c r="Q408" t="s">
        <v>137</v>
      </c>
    </row>
    <row r="409" spans="1:17" x14ac:dyDescent="0.2">
      <c r="A409" s="70" t="s">
        <v>10216</v>
      </c>
      <c r="B409" t="s">
        <v>13936</v>
      </c>
      <c r="C409" t="s">
        <v>10217</v>
      </c>
      <c r="D409" s="114" t="s">
        <v>10220</v>
      </c>
      <c r="E409" s="84">
        <v>210162</v>
      </c>
      <c r="F409" t="s">
        <v>10218</v>
      </c>
      <c r="G409" t="str">
        <f>+"Clear "&amp;N409&amp;" of the Main Campaign ("&amp;O409&amp;")"</f>
        <v>Clear Ch. 21 6-2 of the Main Campaign (Hard)</v>
      </c>
      <c r="H409" s="86" t="s">
        <v>3779</v>
      </c>
      <c r="I409" t="s">
        <v>137</v>
      </c>
      <c r="J409" s="84">
        <v>5</v>
      </c>
      <c r="K409" s="118">
        <v>44468</v>
      </c>
      <c r="L409" t="s">
        <v>18054</v>
      </c>
      <c r="M409" t="s">
        <v>17513</v>
      </c>
      <c r="N409" t="s">
        <v>20039</v>
      </c>
      <c r="O409" t="s">
        <v>15732</v>
      </c>
      <c r="P409">
        <v>1</v>
      </c>
      <c r="Q409" t="s">
        <v>17938</v>
      </c>
    </row>
    <row r="410" spans="1:17" x14ac:dyDescent="0.2">
      <c r="A410" s="70" t="s">
        <v>9175</v>
      </c>
      <c r="B410" t="s">
        <v>13936</v>
      </c>
      <c r="C410" t="s">
        <v>9176</v>
      </c>
      <c r="D410" s="114" t="s">
        <v>9179</v>
      </c>
      <c r="E410" s="84">
        <v>210155</v>
      </c>
      <c r="F410" t="s">
        <v>9177</v>
      </c>
      <c r="G410" t="str">
        <f>+"Clear "&amp;N410&amp;" of the Main Campaign ("&amp;O410&amp;")"</f>
        <v>Clear Ch. 20 7-2 of the Main Campaign (Hard)</v>
      </c>
      <c r="H410" s="86" t="s">
        <v>3779</v>
      </c>
      <c r="I410" t="s">
        <v>137</v>
      </c>
      <c r="J410" s="84">
        <v>5</v>
      </c>
      <c r="K410" s="118">
        <v>44377</v>
      </c>
      <c r="L410" t="s">
        <v>18054</v>
      </c>
      <c r="M410" t="s">
        <v>17513</v>
      </c>
      <c r="N410" t="s">
        <v>20040</v>
      </c>
      <c r="O410" t="s">
        <v>15732</v>
      </c>
      <c r="P410">
        <v>1</v>
      </c>
      <c r="Q410" t="s">
        <v>17913</v>
      </c>
    </row>
    <row r="411" spans="1:17" x14ac:dyDescent="0.2">
      <c r="A411" s="70" t="s">
        <v>10228</v>
      </c>
      <c r="B411" t="s">
        <v>13936</v>
      </c>
      <c r="C411" t="s">
        <v>10229</v>
      </c>
      <c r="D411" s="114" t="s">
        <v>10232</v>
      </c>
      <c r="E411" s="84">
        <v>210148</v>
      </c>
      <c r="F411" t="s">
        <v>10230</v>
      </c>
      <c r="G411" t="str">
        <f>IF(O411="","Clear "&amp;N411&amp;" ("&amp;M411&amp;")","Clear "&amp;N411&amp;": "&amp;O411&amp;" ("&amp;M411&amp;")")</f>
        <v>Clear Elysium Clash: Nightmare (Dawn of Dragalia)</v>
      </c>
      <c r="H411" s="86" t="s">
        <v>3779</v>
      </c>
      <c r="I411" t="s">
        <v>137</v>
      </c>
      <c r="J411" s="84">
        <v>5</v>
      </c>
      <c r="K411" s="118">
        <v>44288</v>
      </c>
      <c r="L411" t="s">
        <v>18017</v>
      </c>
      <c r="M411" t="s">
        <v>14293</v>
      </c>
      <c r="N411" t="s">
        <v>18872</v>
      </c>
      <c r="O411" t="s">
        <v>18041</v>
      </c>
      <c r="P411">
        <v>4</v>
      </c>
      <c r="Q411" t="s">
        <v>18879</v>
      </c>
    </row>
    <row r="412" spans="1:17" x14ac:dyDescent="0.2">
      <c r="A412" s="70" t="s">
        <v>10242</v>
      </c>
      <c r="B412" t="s">
        <v>13936</v>
      </c>
      <c r="C412" t="s">
        <v>10243</v>
      </c>
      <c r="D412" s="115" t="s">
        <v>20041</v>
      </c>
      <c r="E412" s="84">
        <v>210138</v>
      </c>
      <c r="F412" t="s">
        <v>10244</v>
      </c>
      <c r="G412" t="str">
        <f>IF(O412="","Clear "&amp;N412&amp;" ("&amp;M412&amp;")","Clear "&amp;N412&amp;": "&amp;O412&amp;" ("&amp;M412&amp;")")</f>
        <v>Clear Monarch Emile Clash: Expert (Persona 5 Strikers Caged Desire)</v>
      </c>
      <c r="H412" s="86" t="s">
        <v>3779</v>
      </c>
      <c r="I412" t="s">
        <v>137</v>
      </c>
      <c r="J412" s="84">
        <v>5</v>
      </c>
      <c r="K412" s="118">
        <v>44227</v>
      </c>
      <c r="L412" t="s">
        <v>18241</v>
      </c>
      <c r="M412" t="s">
        <v>19673</v>
      </c>
      <c r="N412" t="s">
        <v>18808</v>
      </c>
      <c r="O412" t="s">
        <v>18033</v>
      </c>
      <c r="P412">
        <v>2</v>
      </c>
      <c r="Q412" t="s">
        <v>18809</v>
      </c>
    </row>
    <row r="413" spans="1:17" x14ac:dyDescent="0.2">
      <c r="A413" s="70" t="s">
        <v>8934</v>
      </c>
      <c r="B413" t="s">
        <v>13936</v>
      </c>
      <c r="C413" t="s">
        <v>8935</v>
      </c>
      <c r="D413" s="114" t="s">
        <v>8938</v>
      </c>
      <c r="E413" s="84">
        <v>210135</v>
      </c>
      <c r="F413" t="s">
        <v>8936</v>
      </c>
      <c r="G413" t="str">
        <f>IF(O413="",N413&amp;" ("&amp;M413&amp;")",N413&amp;": "&amp;O413&amp;" ("&amp;M413&amp;")")</f>
        <v>Upgrade the Opera House to Lv. 35 (The Phantom's Ransom)</v>
      </c>
      <c r="H413" s="86" t="s">
        <v>3779</v>
      </c>
      <c r="I413" t="s">
        <v>137</v>
      </c>
      <c r="J413" s="84">
        <v>5</v>
      </c>
      <c r="K413" s="118">
        <v>44139</v>
      </c>
      <c r="L413" t="s">
        <v>18046</v>
      </c>
      <c r="M413" t="s">
        <v>14255</v>
      </c>
      <c r="N413" t="s">
        <v>20042</v>
      </c>
      <c r="Q413" t="s">
        <v>20043</v>
      </c>
    </row>
    <row r="414" spans="1:17" x14ac:dyDescent="0.2">
      <c r="A414" s="70" t="s">
        <v>8875</v>
      </c>
      <c r="B414" t="s">
        <v>13936</v>
      </c>
      <c r="C414" t="s">
        <v>8876</v>
      </c>
      <c r="D414" s="114" t="s">
        <v>8879</v>
      </c>
      <c r="E414" s="84">
        <v>210132</v>
      </c>
      <c r="F414" t="s">
        <v>8877</v>
      </c>
      <c r="G414" t="str">
        <f>IF(O414="","Clear "&amp;N414&amp;" ("&amp;M414&amp;")","Clear "&amp;N414&amp;": "&amp;O414&amp;" ("&amp;M414&amp;")")</f>
        <v>Clear Lilith's Encroaching Shadow: Standard (Rise of the Sinister Dominion)</v>
      </c>
      <c r="H414" s="86" t="s">
        <v>3779</v>
      </c>
      <c r="I414" t="s">
        <v>137</v>
      </c>
      <c r="J414" s="84">
        <v>5</v>
      </c>
      <c r="K414" s="118">
        <v>44072</v>
      </c>
      <c r="L414" t="s">
        <v>18054</v>
      </c>
      <c r="M414" t="s">
        <v>13844</v>
      </c>
      <c r="N414" t="s">
        <v>19324</v>
      </c>
      <c r="O414" t="s">
        <v>18054</v>
      </c>
      <c r="P414">
        <v>1</v>
      </c>
      <c r="Q414" t="s">
        <v>19323</v>
      </c>
    </row>
    <row r="415" spans="1:17" x14ac:dyDescent="0.2">
      <c r="A415" s="70" t="s">
        <v>10254</v>
      </c>
      <c r="B415" t="s">
        <v>13936</v>
      </c>
      <c r="C415" t="s">
        <v>10255</v>
      </c>
      <c r="D415" s="116" t="s">
        <v>20044</v>
      </c>
      <c r="E415" s="84">
        <v>200017</v>
      </c>
      <c r="F415" t="s">
        <v>10256</v>
      </c>
      <c r="G415" t="str">
        <f>+"Clear "&amp;N415&amp;" of the Main Campaign ("&amp;O415&amp;")"</f>
        <v>Clear Ch. 17 5-2 of the Main Campaign (Very Hard)</v>
      </c>
      <c r="H415" s="86" t="s">
        <v>3779</v>
      </c>
      <c r="I415" t="s">
        <v>137</v>
      </c>
      <c r="J415" s="84">
        <v>5</v>
      </c>
      <c r="K415" s="118">
        <v>44011</v>
      </c>
      <c r="L415" t="s">
        <v>18054</v>
      </c>
      <c r="M415" t="s">
        <v>17513</v>
      </c>
      <c r="N415" t="s">
        <v>20026</v>
      </c>
      <c r="O415" t="s">
        <v>15733</v>
      </c>
      <c r="P415">
        <v>1</v>
      </c>
      <c r="Q415" t="s">
        <v>17860</v>
      </c>
    </row>
    <row r="416" spans="1:17" x14ac:dyDescent="0.2">
      <c r="A416" s="70" t="s">
        <v>9704</v>
      </c>
      <c r="B416" t="s">
        <v>13936</v>
      </c>
      <c r="C416" t="s">
        <v>9705</v>
      </c>
      <c r="D416" s="114" t="s">
        <v>9708</v>
      </c>
      <c r="E416" s="84">
        <v>210126</v>
      </c>
      <c r="F416" t="s">
        <v>9706</v>
      </c>
      <c r="G416" t="str">
        <f>IF(O416="","Clear "&amp;N416&amp;" ("&amp;M416&amp;")","Clear "&amp;N416&amp;": "&amp;O416&amp;" ("&amp;M416&amp;")")</f>
        <v>Clear Battle at the Wartarch Ruins: Master (The Imperial Onslaught)</v>
      </c>
      <c r="H416" s="86" t="s">
        <v>3779</v>
      </c>
      <c r="I416" t="s">
        <v>137</v>
      </c>
      <c r="J416" s="84">
        <v>5</v>
      </c>
      <c r="K416" s="118">
        <v>43963</v>
      </c>
      <c r="L416" t="s">
        <v>18054</v>
      </c>
      <c r="M416" t="s">
        <v>13954</v>
      </c>
      <c r="N416" t="s">
        <v>19251</v>
      </c>
      <c r="O416" t="s">
        <v>18061</v>
      </c>
      <c r="P416">
        <v>4</v>
      </c>
      <c r="Q416" t="s">
        <v>19256</v>
      </c>
    </row>
    <row r="417" spans="1:17" x14ac:dyDescent="0.2">
      <c r="A417" s="70" t="s">
        <v>9536</v>
      </c>
      <c r="B417" t="s">
        <v>13936</v>
      </c>
      <c r="C417" t="s">
        <v>9537</v>
      </c>
      <c r="D417" s="114" t="s">
        <v>9540</v>
      </c>
      <c r="E417" s="84">
        <v>210083</v>
      </c>
      <c r="F417" t="s">
        <v>9538</v>
      </c>
      <c r="G417" t="str">
        <f>IF(O417="","Clear "&amp;N417&amp;" ("&amp;M417&amp;")","Clear "&amp;N417&amp;": "&amp;O417&amp;" ("&amp;M417&amp;")")</f>
        <v>Clear Aspidochelone Clash: Expert (Scars of the Syndicate)</v>
      </c>
      <c r="H417" s="86" t="s">
        <v>3779</v>
      </c>
      <c r="I417" t="s">
        <v>137</v>
      </c>
      <c r="J417" s="84">
        <v>5</v>
      </c>
      <c r="K417" s="118">
        <v>43921</v>
      </c>
      <c r="L417" t="s">
        <v>18017</v>
      </c>
      <c r="M417" t="s">
        <v>14201</v>
      </c>
      <c r="N417" t="s">
        <v>18481</v>
      </c>
      <c r="O417" t="s">
        <v>18033</v>
      </c>
      <c r="P417">
        <v>2</v>
      </c>
      <c r="Q417" t="s">
        <v>18482</v>
      </c>
    </row>
    <row r="418" spans="1:17" x14ac:dyDescent="0.2">
      <c r="A418" s="70" t="s">
        <v>9818</v>
      </c>
      <c r="B418" t="s">
        <v>13936</v>
      </c>
      <c r="C418" t="s">
        <v>9819</v>
      </c>
      <c r="D418" s="114" t="s">
        <v>9822</v>
      </c>
      <c r="E418" s="84">
        <v>210115</v>
      </c>
      <c r="F418" t="s">
        <v>9820</v>
      </c>
      <c r="G418" t="str">
        <f>IF(O418="","Clear "&amp;N418&amp;" ("&amp;M418&amp;")","Clear "&amp;N418&amp;": "&amp;O418&amp;" ("&amp;M418&amp;")")</f>
        <v>Clear Aspidochelone Clash: Omega 1 (Scars of the Syndicate)</v>
      </c>
      <c r="H418" s="86" t="s">
        <v>3779</v>
      </c>
      <c r="I418" t="s">
        <v>137</v>
      </c>
      <c r="J418" s="84">
        <v>5</v>
      </c>
      <c r="K418" s="118">
        <v>43923</v>
      </c>
      <c r="L418" t="s">
        <v>18017</v>
      </c>
      <c r="M418" t="s">
        <v>14201</v>
      </c>
      <c r="N418" t="s">
        <v>18481</v>
      </c>
      <c r="O418" t="s">
        <v>18212</v>
      </c>
      <c r="P418">
        <v>5</v>
      </c>
      <c r="Q418" t="s">
        <v>18485</v>
      </c>
    </row>
    <row r="419" spans="1:17" x14ac:dyDescent="0.2">
      <c r="A419" s="70" t="s">
        <v>9440</v>
      </c>
      <c r="B419" t="s">
        <v>13936</v>
      </c>
      <c r="C419" t="s">
        <v>9441</v>
      </c>
      <c r="D419" s="114" t="s">
        <v>9444</v>
      </c>
      <c r="E419" s="84">
        <v>210127</v>
      </c>
      <c r="F419" t="s">
        <v>9442</v>
      </c>
      <c r="G419" t="str">
        <f>N419</f>
        <v>Exchange for 5,000 Rupies from Treasure Trade</v>
      </c>
      <c r="H419" s="86" t="s">
        <v>3779</v>
      </c>
      <c r="I419" t="s">
        <v>137</v>
      </c>
      <c r="J419" s="84">
        <v>5</v>
      </c>
      <c r="K419" s="118">
        <v>43918</v>
      </c>
      <c r="L419" t="s">
        <v>18054</v>
      </c>
      <c r="M419" t="s">
        <v>19847</v>
      </c>
      <c r="N419" t="s">
        <v>9407</v>
      </c>
      <c r="Q419" t="s">
        <v>137</v>
      </c>
    </row>
    <row r="420" spans="1:17" x14ac:dyDescent="0.2">
      <c r="A420" s="70" t="s">
        <v>9584</v>
      </c>
      <c r="B420" t="s">
        <v>13936</v>
      </c>
      <c r="C420" t="s">
        <v>9585</v>
      </c>
      <c r="D420" s="114" t="s">
        <v>9588</v>
      </c>
      <c r="E420" s="84">
        <v>210112</v>
      </c>
      <c r="F420" t="s">
        <v>9586</v>
      </c>
      <c r="G420" t="str">
        <f>IF(O420="","Clear "&amp;N420&amp;" ("&amp;M420&amp;")","Clear "&amp;N420&amp;": "&amp;O420&amp;" ("&amp;M420&amp;")")</f>
        <v>Clear High Zodiark's Trial: Prelude (Advanced Dragon Trials)</v>
      </c>
      <c r="H420" s="86" t="s">
        <v>3779</v>
      </c>
      <c r="I420" t="s">
        <v>137</v>
      </c>
      <c r="J420" s="84">
        <v>5</v>
      </c>
      <c r="K420" s="118">
        <v>43875</v>
      </c>
      <c r="L420" t="s">
        <v>18054</v>
      </c>
      <c r="M420" t="s">
        <v>19259</v>
      </c>
      <c r="N420" t="s">
        <v>19282</v>
      </c>
      <c r="O420" t="s">
        <v>19261</v>
      </c>
      <c r="P420">
        <v>1</v>
      </c>
      <c r="Q420" t="s">
        <v>19281</v>
      </c>
    </row>
    <row r="421" spans="1:17" x14ac:dyDescent="0.2">
      <c r="A421" s="70" t="s">
        <v>10144</v>
      </c>
      <c r="B421" t="s">
        <v>13936</v>
      </c>
      <c r="C421" t="s">
        <v>10145</v>
      </c>
      <c r="D421" s="115" t="s">
        <v>20045</v>
      </c>
      <c r="E421" s="84">
        <v>210123</v>
      </c>
      <c r="F421" t="s">
        <v>10146</v>
      </c>
      <c r="G421" t="str">
        <f>IF(O421="","Clear "&amp;N421&amp;" ("&amp;M421&amp;")","Clear "&amp;N421&amp;": "&amp;O421&amp;" ("&amp;M421&amp;")")</f>
        <v>Clear Fatalis Clash: G★★★ (Monster Hunter Primal Crisis)</v>
      </c>
      <c r="H421" s="86" t="s">
        <v>3779</v>
      </c>
      <c r="I421" t="s">
        <v>137</v>
      </c>
      <c r="J421" s="84">
        <v>5</v>
      </c>
      <c r="K421" s="118">
        <v>43859</v>
      </c>
      <c r="L421" t="s">
        <v>18241</v>
      </c>
      <c r="M421" t="s">
        <v>19631</v>
      </c>
      <c r="N421" t="s">
        <v>18444</v>
      </c>
      <c r="O421" t="s">
        <v>18450</v>
      </c>
      <c r="P421">
        <v>4</v>
      </c>
      <c r="Q421" t="s">
        <v>18449</v>
      </c>
    </row>
    <row r="422" spans="1:17" x14ac:dyDescent="0.2">
      <c r="A422" s="70" t="s">
        <v>10074</v>
      </c>
      <c r="B422" t="s">
        <v>13936</v>
      </c>
      <c r="C422" t="s">
        <v>10075</v>
      </c>
      <c r="D422" s="114" t="s">
        <v>20046</v>
      </c>
      <c r="E422" s="84">
        <v>210114</v>
      </c>
      <c r="F422" t="s">
        <v>8993</v>
      </c>
      <c r="G422" t="str">
        <f>IF(O422="","Clear "&amp;N422&amp;" ("&amp;M422&amp;")","Clear "&amp;N422&amp;": "&amp;O422&amp;" ("&amp;M422&amp;")")</f>
        <v>Clear Ebisu Showdown: Expert (A Clawful Caper)</v>
      </c>
      <c r="H422" s="86" t="s">
        <v>3779</v>
      </c>
      <c r="I422" t="s">
        <v>137</v>
      </c>
      <c r="J422" s="84">
        <v>5</v>
      </c>
      <c r="K422" s="118">
        <v>43830</v>
      </c>
      <c r="L422" t="s">
        <v>18017</v>
      </c>
      <c r="M422" t="s">
        <v>14158</v>
      </c>
      <c r="N422" t="s">
        <v>18420</v>
      </c>
      <c r="O422" t="s">
        <v>18033</v>
      </c>
      <c r="P422">
        <v>2</v>
      </c>
      <c r="Q422" t="s">
        <v>18421</v>
      </c>
    </row>
    <row r="423" spans="1:17" x14ac:dyDescent="0.2">
      <c r="A423" s="70" t="s">
        <v>8991</v>
      </c>
      <c r="B423" t="s">
        <v>13936</v>
      </c>
      <c r="C423" t="s">
        <v>8992</v>
      </c>
      <c r="D423" s="114" t="s">
        <v>8995</v>
      </c>
      <c r="E423" s="84">
        <v>210095</v>
      </c>
      <c r="F423" t="s">
        <v>20047</v>
      </c>
      <c r="G423" t="str">
        <f>IF(O423="","Clear "&amp;N423&amp;" ("&amp;M423&amp;")","Clear "&amp;N423&amp;": "&amp;O423&amp;" ("&amp;M423&amp;")")</f>
        <v>Clear The Decisive Battle (Fractured Futures)</v>
      </c>
      <c r="H423" s="86" t="s">
        <v>3779</v>
      </c>
      <c r="I423" t="s">
        <v>137</v>
      </c>
      <c r="J423" s="84">
        <v>5</v>
      </c>
      <c r="K423" s="118">
        <v>43738</v>
      </c>
      <c r="L423" t="s">
        <v>18017</v>
      </c>
      <c r="M423" t="s">
        <v>14119</v>
      </c>
      <c r="N423" t="s">
        <v>16514</v>
      </c>
      <c r="P423">
        <v>1</v>
      </c>
      <c r="Q423" t="s">
        <v>18324</v>
      </c>
    </row>
    <row r="424" spans="1:17" x14ac:dyDescent="0.2">
      <c r="A424" s="70" t="s">
        <v>9874</v>
      </c>
      <c r="B424" t="s">
        <v>13936</v>
      </c>
      <c r="C424" t="s">
        <v>9875</v>
      </c>
      <c r="D424" s="114" t="s">
        <v>9878</v>
      </c>
      <c r="E424" s="84">
        <v>200010</v>
      </c>
      <c r="F424" t="s">
        <v>9876</v>
      </c>
      <c r="G424" t="str">
        <f>IF(O424="","Clear "&amp;N424&amp;" ("&amp;M424&amp;")","Clear "&amp;N424&amp;": "&amp;O424&amp;" ("&amp;M424&amp;")")</f>
        <v>Clear Chthonius's Trial: Standard (Trials of the Mighty)</v>
      </c>
      <c r="H424" s="86" t="s">
        <v>3779</v>
      </c>
      <c r="I424" t="s">
        <v>137</v>
      </c>
      <c r="J424" s="84">
        <v>5</v>
      </c>
      <c r="K424" s="118">
        <v>43742</v>
      </c>
      <c r="L424" t="s">
        <v>18054</v>
      </c>
      <c r="M424" t="s">
        <v>19456</v>
      </c>
      <c r="N424" t="s">
        <v>19469</v>
      </c>
      <c r="O424" t="s">
        <v>18054</v>
      </c>
      <c r="P424">
        <v>1</v>
      </c>
      <c r="Q424" t="s">
        <v>19468</v>
      </c>
    </row>
    <row r="425" spans="1:17" x14ac:dyDescent="0.2">
      <c r="A425" s="70" t="s">
        <v>9647</v>
      </c>
      <c r="B425" t="s">
        <v>13936</v>
      </c>
      <c r="C425" t="s">
        <v>9648</v>
      </c>
      <c r="D425" s="115" t="s">
        <v>9651</v>
      </c>
      <c r="E425" s="84">
        <v>210087</v>
      </c>
      <c r="F425" t="s">
        <v>9649</v>
      </c>
      <c r="G425" t="str">
        <f>"Clear "&amp;N425&amp;": "&amp;O425</f>
        <v>Clear Zodiark's Trial: Master</v>
      </c>
      <c r="H425" s="86" t="s">
        <v>3779</v>
      </c>
      <c r="I425" t="s">
        <v>137</v>
      </c>
      <c r="J425" s="84">
        <v>5</v>
      </c>
      <c r="K425" s="118">
        <v>43646</v>
      </c>
      <c r="L425" t="s">
        <v>18054</v>
      </c>
      <c r="M425" t="s">
        <v>13994</v>
      </c>
      <c r="N425" t="s">
        <v>19214</v>
      </c>
      <c r="O425" t="s">
        <v>18061</v>
      </c>
      <c r="P425">
        <v>4</v>
      </c>
      <c r="Q425" t="s">
        <v>19217</v>
      </c>
    </row>
    <row r="426" spans="1:17" x14ac:dyDescent="0.2">
      <c r="A426" s="70" t="s">
        <v>10107</v>
      </c>
      <c r="B426" t="s">
        <v>13936</v>
      </c>
      <c r="C426" t="s">
        <v>10108</v>
      </c>
      <c r="D426" s="114" t="s">
        <v>10111</v>
      </c>
      <c r="E426" s="84">
        <v>210046</v>
      </c>
      <c r="F426" t="s">
        <v>10109</v>
      </c>
      <c r="G426" t="str">
        <f>IF(O426="",N426&amp;" ("&amp;M426&amp;")",N426&amp;": "&amp;O426&amp;" ("&amp;M426&amp;")")</f>
        <v>Upgrade the Library Obscura to Lv. 35 (The Accursed Archives)</v>
      </c>
      <c r="H426" s="86" t="s">
        <v>3779</v>
      </c>
      <c r="I426" t="s">
        <v>137</v>
      </c>
      <c r="J426" s="84">
        <v>5</v>
      </c>
      <c r="K426" s="118">
        <v>43536</v>
      </c>
      <c r="L426" t="s">
        <v>18046</v>
      </c>
      <c r="M426" t="s">
        <v>14060</v>
      </c>
      <c r="N426" t="s">
        <v>20048</v>
      </c>
      <c r="Q426" t="s">
        <v>20049</v>
      </c>
    </row>
    <row r="427" spans="1:17" x14ac:dyDescent="0.2">
      <c r="A427" s="70" t="s">
        <v>9063</v>
      </c>
      <c r="B427" t="s">
        <v>13936</v>
      </c>
      <c r="C427" t="s">
        <v>9064</v>
      </c>
      <c r="D427" s="114" t="s">
        <v>20050</v>
      </c>
      <c r="E427" s="84">
        <v>210091</v>
      </c>
      <c r="F427" t="s">
        <v>9065</v>
      </c>
      <c r="G427" t="str">
        <f>N427</f>
        <v>Exchange for Void Leaf x20 from Treasure Trade</v>
      </c>
      <c r="H427" s="86" t="s">
        <v>3779</v>
      </c>
      <c r="I427" t="s">
        <v>137</v>
      </c>
      <c r="J427" s="84">
        <v>5</v>
      </c>
      <c r="K427" s="118">
        <v>43567</v>
      </c>
      <c r="L427" t="s">
        <v>18054</v>
      </c>
      <c r="M427" t="s">
        <v>19847</v>
      </c>
      <c r="N427" t="s">
        <v>20051</v>
      </c>
      <c r="Q427" t="s">
        <v>137</v>
      </c>
    </row>
    <row r="428" spans="1:17" x14ac:dyDescent="0.2">
      <c r="A428" s="70" t="s">
        <v>9052</v>
      </c>
      <c r="B428" t="s">
        <v>13936</v>
      </c>
      <c r="C428" t="s">
        <v>9053</v>
      </c>
      <c r="D428" s="114" t="s">
        <v>9056</v>
      </c>
      <c r="E428" s="84">
        <v>210077</v>
      </c>
      <c r="F428" t="s">
        <v>9054</v>
      </c>
      <c r="G428" t="str">
        <f>IF(O428="","Clear "&amp;N428&amp;" ("&amp;M428&amp;")","Clear "&amp;N428&amp;": "&amp;O428&amp;" ("&amp;M428&amp;")")</f>
        <v>Clear Shishimai Showdown: Nightmare (Fortune from Afar)</v>
      </c>
      <c r="H428" s="86" t="s">
        <v>3779</v>
      </c>
      <c r="I428" t="s">
        <v>137</v>
      </c>
      <c r="J428" s="84">
        <v>5</v>
      </c>
      <c r="K428" s="118">
        <v>43465</v>
      </c>
      <c r="L428" t="s">
        <v>18017</v>
      </c>
      <c r="M428" t="s">
        <v>18124</v>
      </c>
      <c r="N428" t="s">
        <v>18139</v>
      </c>
      <c r="O428" t="s">
        <v>18041</v>
      </c>
      <c r="P428">
        <v>5</v>
      </c>
      <c r="Q428" t="s">
        <v>18143</v>
      </c>
    </row>
    <row r="429" spans="1:17" x14ac:dyDescent="0.2">
      <c r="A429" s="70" t="s">
        <v>9760</v>
      </c>
      <c r="B429" t="s">
        <v>13936</v>
      </c>
      <c r="C429" t="s">
        <v>9761</v>
      </c>
      <c r="D429" s="114" t="s">
        <v>9764</v>
      </c>
      <c r="E429" s="84">
        <v>210072</v>
      </c>
      <c r="F429" t="s">
        <v>9762</v>
      </c>
      <c r="G429" t="str">
        <f>IF(O429="","Clear "&amp;N429&amp;" ("&amp;M429&amp;")","Clear "&amp;N429&amp;": "&amp;O429&amp;" ("&amp;M429&amp;")")</f>
        <v>Clear Sabnock Clash: Expert (Resplendent Refrain)</v>
      </c>
      <c r="H429" s="86" t="s">
        <v>3779</v>
      </c>
      <c r="I429" t="s">
        <v>137</v>
      </c>
      <c r="J429" s="84">
        <v>5</v>
      </c>
      <c r="K429" s="118">
        <v>43434</v>
      </c>
      <c r="L429" t="s">
        <v>18017</v>
      </c>
      <c r="M429" t="s">
        <v>13990</v>
      </c>
      <c r="N429" t="s">
        <v>18108</v>
      </c>
      <c r="O429" t="s">
        <v>18033</v>
      </c>
      <c r="P429">
        <v>3</v>
      </c>
      <c r="Q429" t="s">
        <v>18109</v>
      </c>
    </row>
    <row r="430" spans="1:17" x14ac:dyDescent="0.2">
      <c r="A430" s="70" t="s">
        <v>8750</v>
      </c>
      <c r="B430" t="s">
        <v>13936</v>
      </c>
      <c r="C430" t="s">
        <v>8751</v>
      </c>
      <c r="D430" s="115" t="s">
        <v>8754</v>
      </c>
      <c r="E430" s="84">
        <v>210045</v>
      </c>
      <c r="F430" t="s">
        <v>8752</v>
      </c>
      <c r="G430" t="str">
        <f>IF(O430="","Clear "&amp;N430&amp;" ("&amp;M430&amp;")","Clear "&amp;N430&amp;": "&amp;O430&amp;" ("&amp;M430&amp;")")</f>
        <v>Clear Guardian Sentinel Assault: Expert (A Waltz with Fate)</v>
      </c>
      <c r="H430" s="86" t="s">
        <v>3779</v>
      </c>
      <c r="I430" t="s">
        <v>137</v>
      </c>
      <c r="J430" s="84">
        <v>5</v>
      </c>
      <c r="K430" s="118">
        <v>43524</v>
      </c>
      <c r="L430" t="s">
        <v>18017</v>
      </c>
      <c r="M430" t="s">
        <v>14057</v>
      </c>
      <c r="N430" t="s">
        <v>18204</v>
      </c>
      <c r="O430" t="s">
        <v>18033</v>
      </c>
      <c r="P430">
        <v>2</v>
      </c>
      <c r="Q430" t="s">
        <v>18205</v>
      </c>
    </row>
    <row r="431" spans="1:17" x14ac:dyDescent="0.2">
      <c r="A431" s="70" t="s">
        <v>9287</v>
      </c>
      <c r="B431" t="s">
        <v>13936</v>
      </c>
      <c r="C431" t="s">
        <v>9288</v>
      </c>
      <c r="D431" s="114" t="s">
        <v>9291</v>
      </c>
      <c r="E431" s="84">
        <v>210042</v>
      </c>
      <c r="F431" t="s">
        <v>9289</v>
      </c>
      <c r="G431" t="str">
        <f>IF(O431="","Clear "&amp;N431&amp;" ("&amp;M431&amp;")","Clear "&amp;N431&amp;": "&amp;O431&amp;" ("&amp;M431&amp;")")</f>
        <v>Clear High Zodiark's Trial: Standard (Advanced Dragon Trials)</v>
      </c>
      <c r="H431" s="86" t="s">
        <v>3779</v>
      </c>
      <c r="I431" t="s">
        <v>137</v>
      </c>
      <c r="J431" s="84">
        <v>5</v>
      </c>
      <c r="K431" s="118">
        <v>43727</v>
      </c>
      <c r="L431" t="s">
        <v>18054</v>
      </c>
      <c r="M431" t="s">
        <v>19259</v>
      </c>
      <c r="N431" t="s">
        <v>19282</v>
      </c>
      <c r="O431" t="s">
        <v>18054</v>
      </c>
      <c r="P431">
        <v>2</v>
      </c>
      <c r="Q431" t="s">
        <v>19283</v>
      </c>
    </row>
    <row r="432" spans="1:17" x14ac:dyDescent="0.2">
      <c r="A432" s="70" t="s">
        <v>9394</v>
      </c>
      <c r="B432" t="s">
        <v>13936</v>
      </c>
      <c r="C432" t="s">
        <v>9395</v>
      </c>
      <c r="D432" s="114" t="s">
        <v>9398</v>
      </c>
      <c r="E432" s="84">
        <v>210019</v>
      </c>
      <c r="F432" t="s">
        <v>9396</v>
      </c>
      <c r="G432" t="str">
        <f>IF(O432="","Clear "&amp;N432&amp;" ("&amp;M432&amp;")","Clear "&amp;N432&amp;": "&amp;O432&amp;" ("&amp;M432&amp;")")</f>
        <v>Clear Void Nidhogg Strike: Standard (Void Battles)</v>
      </c>
      <c r="H432" s="86" t="s">
        <v>3779</v>
      </c>
      <c r="I432" t="s">
        <v>137</v>
      </c>
      <c r="J432" s="84">
        <v>5</v>
      </c>
      <c r="K432" s="118">
        <v>43370</v>
      </c>
      <c r="L432" t="s">
        <v>18054</v>
      </c>
      <c r="M432" t="s">
        <v>19374</v>
      </c>
      <c r="N432" t="s">
        <v>19434</v>
      </c>
      <c r="O432" t="s">
        <v>18054</v>
      </c>
      <c r="P432">
        <v>1</v>
      </c>
      <c r="Q432" t="s">
        <v>19433</v>
      </c>
    </row>
    <row r="433" spans="1:18" x14ac:dyDescent="0.2">
      <c r="A433" s="70" t="s">
        <v>9074</v>
      </c>
      <c r="B433" t="s">
        <v>13936</v>
      </c>
      <c r="C433" t="s">
        <v>9075</v>
      </c>
      <c r="D433" s="114" t="s">
        <v>20052</v>
      </c>
      <c r="E433" s="84">
        <v>210090</v>
      </c>
      <c r="F433" t="s">
        <v>9076</v>
      </c>
      <c r="G433" t="str">
        <f>N433</f>
        <v>Exchange for Void Leaf x10 from Treasure Trade</v>
      </c>
      <c r="H433" s="86" t="s">
        <v>3779</v>
      </c>
      <c r="I433" t="s">
        <v>137</v>
      </c>
      <c r="J433" s="84">
        <v>4</v>
      </c>
      <c r="K433" s="118">
        <v>43544</v>
      </c>
      <c r="L433" t="s">
        <v>18054</v>
      </c>
      <c r="M433" t="s">
        <v>19847</v>
      </c>
      <c r="N433" t="s">
        <v>20053</v>
      </c>
      <c r="Q433" t="s">
        <v>137</v>
      </c>
    </row>
    <row r="434" spans="1:18" x14ac:dyDescent="0.2">
      <c r="A434" s="70" t="s">
        <v>9084</v>
      </c>
      <c r="B434" t="s">
        <v>13936</v>
      </c>
      <c r="C434" t="s">
        <v>9085</v>
      </c>
      <c r="D434" s="114" t="s">
        <v>20054</v>
      </c>
      <c r="E434" s="84">
        <v>210089</v>
      </c>
      <c r="F434" t="s">
        <v>9086</v>
      </c>
      <c r="G434" t="str">
        <f>N434</f>
        <v>Exchange for Void Leaf x5 from Treasure Trade</v>
      </c>
      <c r="H434" s="86" t="s">
        <v>3779</v>
      </c>
      <c r="I434" t="s">
        <v>137</v>
      </c>
      <c r="J434" s="84">
        <v>4</v>
      </c>
      <c r="K434" s="118">
        <v>43518</v>
      </c>
      <c r="L434" t="s">
        <v>18054</v>
      </c>
      <c r="M434" t="s">
        <v>19847</v>
      </c>
      <c r="N434" t="s">
        <v>20055</v>
      </c>
      <c r="Q434" t="s">
        <v>137</v>
      </c>
    </row>
    <row r="435" spans="1:18" x14ac:dyDescent="0.2">
      <c r="A435" s="70" t="s">
        <v>9344</v>
      </c>
      <c r="B435" t="s">
        <v>13936</v>
      </c>
      <c r="C435" t="s">
        <v>9345</v>
      </c>
      <c r="D435" s="114" t="s">
        <v>9348</v>
      </c>
      <c r="E435" s="84">
        <v>210015</v>
      </c>
      <c r="F435" t="s">
        <v>9346</v>
      </c>
      <c r="G435" t="str">
        <f>"Clear "&amp;N435&amp;": "&amp;O435</f>
        <v>Clear Zodiark's Trial: Standard</v>
      </c>
      <c r="H435" s="86" t="s">
        <v>3779</v>
      </c>
      <c r="I435" t="s">
        <v>137</v>
      </c>
      <c r="J435" s="84">
        <v>4</v>
      </c>
      <c r="K435" s="118">
        <v>43370</v>
      </c>
      <c r="L435" t="s">
        <v>18054</v>
      </c>
      <c r="M435" t="s">
        <v>13994</v>
      </c>
      <c r="N435" t="s">
        <v>19214</v>
      </c>
      <c r="O435" t="s">
        <v>18054</v>
      </c>
      <c r="P435">
        <v>2</v>
      </c>
      <c r="Q435" t="s">
        <v>19215</v>
      </c>
    </row>
    <row r="436" spans="1:18" x14ac:dyDescent="0.2">
      <c r="A436" s="70" t="s">
        <v>8761</v>
      </c>
      <c r="B436" t="s">
        <v>13936</v>
      </c>
      <c r="C436" t="s">
        <v>8762</v>
      </c>
      <c r="D436" s="114" t="s">
        <v>20056</v>
      </c>
      <c r="E436" s="84">
        <v>210014</v>
      </c>
      <c r="F436" t="s">
        <v>8763</v>
      </c>
      <c r="G436" t="str">
        <f>"Clear "&amp;N436&amp;": "&amp;O436</f>
        <v>Clear Zodiark's Trial: Expert</v>
      </c>
      <c r="H436" s="86" t="s">
        <v>3779</v>
      </c>
      <c r="I436" t="s">
        <v>137</v>
      </c>
      <c r="J436" s="84">
        <v>4</v>
      </c>
      <c r="K436" s="118">
        <v>43370</v>
      </c>
      <c r="L436" t="s">
        <v>18054</v>
      </c>
      <c r="M436" t="s">
        <v>13994</v>
      </c>
      <c r="N436" t="s">
        <v>19214</v>
      </c>
      <c r="O436" t="s">
        <v>18033</v>
      </c>
      <c r="P436">
        <v>3</v>
      </c>
      <c r="Q436" t="s">
        <v>19216</v>
      </c>
    </row>
    <row r="437" spans="1:18" x14ac:dyDescent="0.2">
      <c r="A437" s="70" t="s">
        <v>9233</v>
      </c>
      <c r="B437" t="s">
        <v>13936</v>
      </c>
      <c r="C437" t="s">
        <v>9234</v>
      </c>
      <c r="D437" s="114" t="s">
        <v>9237</v>
      </c>
      <c r="E437" s="84">
        <v>210005</v>
      </c>
      <c r="F437" t="s">
        <v>9235</v>
      </c>
      <c r="G437" t="str">
        <f>+"Clear "&amp;N437&amp;" of the Main Campaign ("&amp;O437&amp;")"</f>
        <v>Clear Ch. 05 4-4 of the Main Campaign (Normal)</v>
      </c>
      <c r="H437" s="86" t="s">
        <v>3779</v>
      </c>
      <c r="I437" t="s">
        <v>137</v>
      </c>
      <c r="J437" s="84">
        <v>4</v>
      </c>
      <c r="K437" s="118">
        <v>43370</v>
      </c>
      <c r="L437" t="s">
        <v>18054</v>
      </c>
      <c r="M437" t="s">
        <v>17513</v>
      </c>
      <c r="N437" t="s">
        <v>20057</v>
      </c>
      <c r="O437" t="s">
        <v>15731</v>
      </c>
      <c r="P437">
        <v>1</v>
      </c>
      <c r="Q437" t="s">
        <v>16053</v>
      </c>
    </row>
    <row r="438" spans="1:18" x14ac:dyDescent="0.2">
      <c r="A438" s="70" t="s">
        <v>9957</v>
      </c>
      <c r="B438" t="s">
        <v>13936</v>
      </c>
      <c r="C438" t="s">
        <v>9958</v>
      </c>
      <c r="D438" s="114" t="s">
        <v>9960</v>
      </c>
      <c r="E438" s="84">
        <v>210070</v>
      </c>
      <c r="F438" t="s">
        <v>137</v>
      </c>
      <c r="G438" t="str">
        <f>+N438</f>
        <v>Complete Tutorial</v>
      </c>
      <c r="H438" s="86" t="s">
        <v>3779</v>
      </c>
      <c r="I438" t="s">
        <v>137</v>
      </c>
      <c r="J438" s="84">
        <v>3</v>
      </c>
      <c r="K438" s="118">
        <v>43370</v>
      </c>
      <c r="L438" t="s">
        <v>18054</v>
      </c>
      <c r="M438" t="s">
        <v>13720</v>
      </c>
      <c r="N438" t="s">
        <v>276</v>
      </c>
      <c r="Q438" t="s">
        <v>137</v>
      </c>
    </row>
    <row r="439" spans="1:18" x14ac:dyDescent="0.2">
      <c r="A439" s="70" t="s">
        <v>9919</v>
      </c>
      <c r="B439" t="s">
        <v>13936</v>
      </c>
      <c r="C439" t="s">
        <v>9920</v>
      </c>
      <c r="D439" s="114" t="s">
        <v>9922</v>
      </c>
      <c r="E439" s="84">
        <v>210066</v>
      </c>
      <c r="F439" t="s">
        <v>137</v>
      </c>
      <c r="G439" t="str">
        <f>+N439</f>
        <v>Complete Tutorial</v>
      </c>
      <c r="H439" s="86" t="s">
        <v>3779</v>
      </c>
      <c r="I439" t="s">
        <v>137</v>
      </c>
      <c r="J439" s="84">
        <v>3</v>
      </c>
      <c r="K439" s="118">
        <v>43370</v>
      </c>
      <c r="L439" t="s">
        <v>18054</v>
      </c>
      <c r="M439" t="s">
        <v>13720</v>
      </c>
      <c r="N439" t="s">
        <v>276</v>
      </c>
      <c r="Q439" t="s">
        <v>137</v>
      </c>
    </row>
    <row r="440" spans="1:18" x14ac:dyDescent="0.2">
      <c r="A440" s="70" t="s">
        <v>8652</v>
      </c>
      <c r="B440" t="s">
        <v>13936</v>
      </c>
      <c r="C440" t="s">
        <v>9997</v>
      </c>
      <c r="D440" s="114" t="s">
        <v>9999</v>
      </c>
      <c r="E440" s="84">
        <v>210062</v>
      </c>
      <c r="F440" t="s">
        <v>137</v>
      </c>
      <c r="G440" t="str">
        <f>+N440</f>
        <v>Complete Tutorial</v>
      </c>
      <c r="H440" s="86" t="s">
        <v>3779</v>
      </c>
      <c r="I440" t="s">
        <v>137</v>
      </c>
      <c r="J440" s="84">
        <v>3</v>
      </c>
      <c r="K440" s="118">
        <v>43370</v>
      </c>
      <c r="L440" t="s">
        <v>18054</v>
      </c>
      <c r="M440" t="s">
        <v>13720</v>
      </c>
      <c r="N440" t="s">
        <v>276</v>
      </c>
      <c r="Q440" t="s">
        <v>137</v>
      </c>
    </row>
    <row r="441" spans="1:18" x14ac:dyDescent="0.2">
      <c r="A441" s="70" t="s">
        <v>8802</v>
      </c>
      <c r="B441" t="s">
        <v>13936</v>
      </c>
      <c r="C441" t="s">
        <v>8803</v>
      </c>
      <c r="D441" s="114" t="s">
        <v>20058</v>
      </c>
      <c r="E441" s="84" t="s">
        <v>6064</v>
      </c>
      <c r="F441" t="s">
        <v>945</v>
      </c>
      <c r="G441" t="str">
        <f t="shared" ref="G441:G448" si="15">IF(O441="","Clear "&amp;N441&amp;" ("&amp;M441&amp;")","Clear "&amp;N441&amp;": "&amp;O441&amp;" ("&amp;M441&amp;")")</f>
        <v>Clear Ayaha &amp; Otoha's Wrath: Expert (The Agito Uprising)</v>
      </c>
      <c r="H441" s="86" t="s">
        <v>122</v>
      </c>
      <c r="I441" t="s">
        <v>137</v>
      </c>
      <c r="J441" s="84">
        <v>5</v>
      </c>
      <c r="K441" s="118" t="s">
        <v>137</v>
      </c>
      <c r="L441" t="s">
        <v>18054</v>
      </c>
      <c r="M441" t="s">
        <v>19287</v>
      </c>
      <c r="N441" t="s">
        <v>19296</v>
      </c>
      <c r="O441" t="s">
        <v>18033</v>
      </c>
      <c r="P441">
        <v>2</v>
      </c>
      <c r="Q441" t="s">
        <v>19297</v>
      </c>
      <c r="R441" t="s">
        <v>20059</v>
      </c>
    </row>
    <row r="442" spans="1:18" x14ac:dyDescent="0.2">
      <c r="A442" s="70" t="s">
        <v>8808</v>
      </c>
      <c r="B442" t="s">
        <v>13936</v>
      </c>
      <c r="C442" t="s">
        <v>8809</v>
      </c>
      <c r="D442" s="114" t="s">
        <v>20060</v>
      </c>
      <c r="E442" s="84" t="s">
        <v>6064</v>
      </c>
      <c r="F442" t="s">
        <v>8810</v>
      </c>
      <c r="G442" t="str">
        <f t="shared" si="15"/>
        <v>Clear Kai Yan's Wrath: Expert (The Agito Uprising)</v>
      </c>
      <c r="H442" s="86" t="s">
        <v>2837</v>
      </c>
      <c r="I442" t="s">
        <v>137</v>
      </c>
      <c r="J442" s="84">
        <v>5</v>
      </c>
      <c r="K442" s="118" t="s">
        <v>137</v>
      </c>
      <c r="L442" t="s">
        <v>18054</v>
      </c>
      <c r="M442" t="s">
        <v>19287</v>
      </c>
      <c r="N442" t="s">
        <v>19300</v>
      </c>
      <c r="O442" t="s">
        <v>18033</v>
      </c>
      <c r="P442">
        <v>2</v>
      </c>
      <c r="Q442" t="s">
        <v>19301</v>
      </c>
      <c r="R442" t="s">
        <v>20059</v>
      </c>
    </row>
    <row r="443" spans="1:18" x14ac:dyDescent="0.2">
      <c r="A443" s="70" t="s">
        <v>8815</v>
      </c>
      <c r="B443" t="s">
        <v>13936</v>
      </c>
      <c r="C443" t="s">
        <v>8816</v>
      </c>
      <c r="D443" s="114" t="s">
        <v>20061</v>
      </c>
      <c r="E443" s="84" t="s">
        <v>6064</v>
      </c>
      <c r="F443" t="s">
        <v>8817</v>
      </c>
      <c r="G443" t="str">
        <f t="shared" si="15"/>
        <v>Clear Tartarus's Wrath: Expert (The Agito Uprising)</v>
      </c>
      <c r="H443" s="86" t="s">
        <v>3779</v>
      </c>
      <c r="I443" t="s">
        <v>137</v>
      </c>
      <c r="J443" s="84">
        <v>5</v>
      </c>
      <c r="K443" s="118" t="s">
        <v>137</v>
      </c>
      <c r="L443" t="s">
        <v>18054</v>
      </c>
      <c r="M443" t="s">
        <v>19287</v>
      </c>
      <c r="N443" t="s">
        <v>19304</v>
      </c>
      <c r="O443" t="s">
        <v>18033</v>
      </c>
      <c r="P443">
        <v>2</v>
      </c>
      <c r="Q443" t="s">
        <v>19305</v>
      </c>
      <c r="R443" t="s">
        <v>20059</v>
      </c>
    </row>
    <row r="444" spans="1:18" x14ac:dyDescent="0.2">
      <c r="A444" s="70" t="s">
        <v>9463</v>
      </c>
      <c r="B444" t="s">
        <v>13936</v>
      </c>
      <c r="C444" t="s">
        <v>9464</v>
      </c>
      <c r="D444" s="114" t="s">
        <v>9466</v>
      </c>
      <c r="E444" s="84" t="s">
        <v>6064</v>
      </c>
      <c r="F444" t="s">
        <v>9465</v>
      </c>
      <c r="G444" t="str">
        <f t="shared" si="15"/>
        <v>Clear Primal Midgardsormr's Trial: Expert (Primal Dragon Trials)</v>
      </c>
      <c r="H444" s="86" t="s">
        <v>1947</v>
      </c>
      <c r="I444" t="s">
        <v>137</v>
      </c>
      <c r="J444" s="84">
        <v>5</v>
      </c>
      <c r="K444" s="118" t="s">
        <v>137</v>
      </c>
      <c r="L444" t="s">
        <v>18054</v>
      </c>
      <c r="M444" t="s">
        <v>19328</v>
      </c>
      <c r="N444" t="s">
        <v>19329</v>
      </c>
      <c r="O444" t="s">
        <v>18033</v>
      </c>
      <c r="P444">
        <v>2</v>
      </c>
      <c r="Q444" t="s">
        <v>19330</v>
      </c>
      <c r="R444" t="s">
        <v>20059</v>
      </c>
    </row>
    <row r="445" spans="1:18" x14ac:dyDescent="0.2">
      <c r="A445" s="70" t="s">
        <v>9470</v>
      </c>
      <c r="B445" t="s">
        <v>13936</v>
      </c>
      <c r="C445" t="s">
        <v>9471</v>
      </c>
      <c r="D445" s="114" t="s">
        <v>9473</v>
      </c>
      <c r="E445" s="84" t="s">
        <v>6064</v>
      </c>
      <c r="F445" t="s">
        <v>9472</v>
      </c>
      <c r="G445" t="str">
        <f t="shared" si="15"/>
        <v>Clear Primal Mercury's Trial: Expert (Primal Dragon Trials)</v>
      </c>
      <c r="H445" s="86" t="s">
        <v>1103</v>
      </c>
      <c r="I445" t="s">
        <v>137</v>
      </c>
      <c r="J445" s="84">
        <v>5</v>
      </c>
      <c r="K445" s="118" t="s">
        <v>137</v>
      </c>
      <c r="L445" t="s">
        <v>18054</v>
      </c>
      <c r="M445" t="s">
        <v>19328</v>
      </c>
      <c r="N445" t="s">
        <v>19337</v>
      </c>
      <c r="O445" t="s">
        <v>18033</v>
      </c>
      <c r="P445">
        <v>2</v>
      </c>
      <c r="Q445" t="s">
        <v>19338</v>
      </c>
      <c r="R445" t="s">
        <v>20059</v>
      </c>
    </row>
    <row r="446" spans="1:18" x14ac:dyDescent="0.2">
      <c r="A446" s="70" t="s">
        <v>9476</v>
      </c>
      <c r="B446" t="s">
        <v>13936</v>
      </c>
      <c r="C446" t="s">
        <v>9477</v>
      </c>
      <c r="D446" s="114" t="s">
        <v>9479</v>
      </c>
      <c r="E446" s="84" t="s">
        <v>6064</v>
      </c>
      <c r="F446" t="s">
        <v>9478</v>
      </c>
      <c r="G446" t="str">
        <f t="shared" si="15"/>
        <v>Clear Primal Jupiter's Trial: Expert (Primal Dragon Trials)</v>
      </c>
      <c r="H446" s="86" t="s">
        <v>2837</v>
      </c>
      <c r="I446" t="s">
        <v>137</v>
      </c>
      <c r="J446" s="84">
        <v>5</v>
      </c>
      <c r="K446" s="118" t="s">
        <v>137</v>
      </c>
      <c r="L446" t="s">
        <v>18054</v>
      </c>
      <c r="M446" t="s">
        <v>19328</v>
      </c>
      <c r="N446" t="s">
        <v>19341</v>
      </c>
      <c r="O446" t="s">
        <v>18033</v>
      </c>
      <c r="P446">
        <v>2</v>
      </c>
      <c r="Q446" t="s">
        <v>19342</v>
      </c>
      <c r="R446" t="s">
        <v>20059</v>
      </c>
    </row>
    <row r="447" spans="1:18" x14ac:dyDescent="0.2">
      <c r="A447" s="70" t="s">
        <v>9482</v>
      </c>
      <c r="B447" t="s">
        <v>13936</v>
      </c>
      <c r="C447" t="s">
        <v>9483</v>
      </c>
      <c r="D447" s="114" t="s">
        <v>9485</v>
      </c>
      <c r="E447" s="84" t="s">
        <v>6064</v>
      </c>
      <c r="F447" t="s">
        <v>9484</v>
      </c>
      <c r="G447" t="str">
        <f t="shared" si="15"/>
        <v>Clear Primal Zodiark's Trial: Expert (Primal Dragon Trials)</v>
      </c>
      <c r="H447" s="86" t="s">
        <v>3779</v>
      </c>
      <c r="I447" t="s">
        <v>137</v>
      </c>
      <c r="J447" s="84">
        <v>5</v>
      </c>
      <c r="K447" s="118" t="s">
        <v>137</v>
      </c>
      <c r="L447" t="s">
        <v>18054</v>
      </c>
      <c r="M447" t="s">
        <v>19328</v>
      </c>
      <c r="N447" t="s">
        <v>19345</v>
      </c>
      <c r="O447" t="s">
        <v>18033</v>
      </c>
      <c r="P447">
        <v>2</v>
      </c>
      <c r="Q447" t="s">
        <v>19346</v>
      </c>
      <c r="R447" t="s">
        <v>20059</v>
      </c>
    </row>
    <row r="448" spans="1:18" x14ac:dyDescent="0.2">
      <c r="A448" s="70" t="s">
        <v>9593</v>
      </c>
      <c r="B448" t="s">
        <v>13936</v>
      </c>
      <c r="C448" t="s">
        <v>9594</v>
      </c>
      <c r="D448" s="115" t="s">
        <v>9596</v>
      </c>
      <c r="E448" s="84" t="s">
        <v>6064</v>
      </c>
      <c r="F448" t="s">
        <v>9595</v>
      </c>
      <c r="G448" t="str">
        <f t="shared" si="15"/>
        <v>Clear Battle at Myriage Lake: Master (The Imperial Onslaught)</v>
      </c>
      <c r="H448" s="86" t="s">
        <v>1103</v>
      </c>
      <c r="I448" t="s">
        <v>137</v>
      </c>
      <c r="J448" s="84">
        <v>5</v>
      </c>
      <c r="K448" s="85" t="s">
        <v>6064</v>
      </c>
      <c r="L448" t="s">
        <v>18054</v>
      </c>
      <c r="M448" t="s">
        <v>13954</v>
      </c>
      <c r="N448" t="s">
        <v>19227</v>
      </c>
      <c r="O448" t="s">
        <v>18061</v>
      </c>
      <c r="P448">
        <v>4</v>
      </c>
      <c r="Q448" t="s">
        <v>19232</v>
      </c>
      <c r="R448" t="s">
        <v>20059</v>
      </c>
    </row>
    <row r="449" spans="1:17" x14ac:dyDescent="0.2">
      <c r="A449" t="s">
        <v>20062</v>
      </c>
      <c r="B449" t="s">
        <v>18046</v>
      </c>
      <c r="C449" t="s">
        <v>20063</v>
      </c>
      <c r="G449" t="str">
        <f t="shared" ref="G449:G462" si="16">+"Clear "&amp;N449&amp;" of the Main Campaign ("&amp;O449&amp;")"</f>
        <v>Clear Ch. 02 2-1 of the Main Campaign (Normal)</v>
      </c>
      <c r="H449" s="79" t="s">
        <v>137</v>
      </c>
      <c r="I449" t="s">
        <v>137</v>
      </c>
      <c r="L449" t="s">
        <v>18054</v>
      </c>
      <c r="M449" t="s">
        <v>17513</v>
      </c>
      <c r="N449" t="s">
        <v>19905</v>
      </c>
      <c r="O449" t="s">
        <v>15731</v>
      </c>
      <c r="Q449" t="s">
        <v>15813</v>
      </c>
    </row>
    <row r="450" spans="1:17" x14ac:dyDescent="0.2">
      <c r="A450" t="s">
        <v>20064</v>
      </c>
      <c r="B450" t="s">
        <v>18046</v>
      </c>
      <c r="C450" t="s">
        <v>20065</v>
      </c>
      <c r="G450" t="str">
        <f t="shared" si="16"/>
        <v>Clear Ch. 02 2-1 of the Main Campaign (Normal)</v>
      </c>
      <c r="H450" s="79" t="s">
        <v>137</v>
      </c>
      <c r="I450" t="s">
        <v>137</v>
      </c>
      <c r="L450" t="s">
        <v>18054</v>
      </c>
      <c r="M450" t="s">
        <v>17513</v>
      </c>
      <c r="N450" t="s">
        <v>19905</v>
      </c>
      <c r="O450" t="s">
        <v>15731</v>
      </c>
      <c r="Q450" t="s">
        <v>15813</v>
      </c>
    </row>
    <row r="451" spans="1:17" x14ac:dyDescent="0.2">
      <c r="A451" t="s">
        <v>20066</v>
      </c>
      <c r="B451" t="s">
        <v>18046</v>
      </c>
      <c r="C451" t="s">
        <v>20067</v>
      </c>
      <c r="G451" t="str">
        <f t="shared" si="16"/>
        <v>Clear Ch. 02 2-1 of the Main Campaign (Normal)</v>
      </c>
      <c r="H451" s="79" t="s">
        <v>137</v>
      </c>
      <c r="I451" t="s">
        <v>137</v>
      </c>
      <c r="L451" t="s">
        <v>18054</v>
      </c>
      <c r="M451" t="s">
        <v>17513</v>
      </c>
      <c r="N451" t="s">
        <v>19905</v>
      </c>
      <c r="O451" t="s">
        <v>15731</v>
      </c>
      <c r="Q451" t="s">
        <v>15813</v>
      </c>
    </row>
    <row r="452" spans="1:17" x14ac:dyDescent="0.2">
      <c r="A452" t="s">
        <v>20068</v>
      </c>
      <c r="B452" t="s">
        <v>18046</v>
      </c>
      <c r="C452" t="s">
        <v>20069</v>
      </c>
      <c r="G452" t="str">
        <f t="shared" si="16"/>
        <v>Clear Ch. 02 2-1 of the Main Campaign (Normal)</v>
      </c>
      <c r="H452" s="79" t="s">
        <v>137</v>
      </c>
      <c r="I452" t="s">
        <v>137</v>
      </c>
      <c r="L452" t="s">
        <v>18054</v>
      </c>
      <c r="M452" t="s">
        <v>17513</v>
      </c>
      <c r="N452" t="s">
        <v>19905</v>
      </c>
      <c r="O452" t="s">
        <v>15731</v>
      </c>
      <c r="Q452" t="s">
        <v>15813</v>
      </c>
    </row>
    <row r="453" spans="1:17" x14ac:dyDescent="0.2">
      <c r="A453" t="s">
        <v>20070</v>
      </c>
      <c r="B453" t="s">
        <v>18046</v>
      </c>
      <c r="C453" t="s">
        <v>20071</v>
      </c>
      <c r="G453" t="str">
        <f t="shared" si="16"/>
        <v>Clear Ch. 02 2-1 of the Main Campaign (Normal)</v>
      </c>
      <c r="H453" s="79" t="s">
        <v>137</v>
      </c>
      <c r="I453" t="s">
        <v>137</v>
      </c>
      <c r="L453" t="s">
        <v>18054</v>
      </c>
      <c r="M453" t="s">
        <v>17513</v>
      </c>
      <c r="N453" t="s">
        <v>19905</v>
      </c>
      <c r="O453" t="s">
        <v>15731</v>
      </c>
      <c r="Q453" t="s">
        <v>15813</v>
      </c>
    </row>
    <row r="454" spans="1:17" x14ac:dyDescent="0.2">
      <c r="A454" t="s">
        <v>20072</v>
      </c>
      <c r="B454" t="s">
        <v>18046</v>
      </c>
      <c r="C454" t="s">
        <v>20073</v>
      </c>
      <c r="G454" t="str">
        <f t="shared" si="16"/>
        <v>Clear Ch. 06 4-4 of the Main Campaign (Normal)</v>
      </c>
      <c r="H454" s="79" t="s">
        <v>137</v>
      </c>
      <c r="I454" t="s">
        <v>137</v>
      </c>
      <c r="L454" t="s">
        <v>18054</v>
      </c>
      <c r="M454" t="s">
        <v>17513</v>
      </c>
      <c r="N454" t="s">
        <v>20074</v>
      </c>
      <c r="O454" t="s">
        <v>15731</v>
      </c>
      <c r="Q454" t="s">
        <v>16129</v>
      </c>
    </row>
    <row r="455" spans="1:17" x14ac:dyDescent="0.2">
      <c r="A455" t="s">
        <v>20075</v>
      </c>
      <c r="B455" t="s">
        <v>18046</v>
      </c>
      <c r="C455" t="s">
        <v>20076</v>
      </c>
      <c r="G455" t="str">
        <f t="shared" si="16"/>
        <v>Clear Ch. 06 4-4 of the Main Campaign (Normal)</v>
      </c>
      <c r="H455" s="79" t="s">
        <v>137</v>
      </c>
      <c r="I455" t="s">
        <v>137</v>
      </c>
      <c r="L455" t="s">
        <v>18054</v>
      </c>
      <c r="M455" t="s">
        <v>17513</v>
      </c>
      <c r="N455" t="s">
        <v>20074</v>
      </c>
      <c r="O455" t="s">
        <v>15731</v>
      </c>
      <c r="Q455" t="s">
        <v>16129</v>
      </c>
    </row>
    <row r="456" spans="1:17" x14ac:dyDescent="0.2">
      <c r="A456" t="s">
        <v>20077</v>
      </c>
      <c r="B456" t="s">
        <v>18046</v>
      </c>
      <c r="C456" t="s">
        <v>20078</v>
      </c>
      <c r="G456" t="str">
        <f t="shared" si="16"/>
        <v>Clear Ch. 06 4-4 of the Main Campaign (Normal)</v>
      </c>
      <c r="H456" s="79" t="s">
        <v>137</v>
      </c>
      <c r="I456" t="s">
        <v>137</v>
      </c>
      <c r="L456" t="s">
        <v>18054</v>
      </c>
      <c r="M456" t="s">
        <v>17513</v>
      </c>
      <c r="N456" t="s">
        <v>20074</v>
      </c>
      <c r="O456" t="s">
        <v>15731</v>
      </c>
      <c r="Q456" t="s">
        <v>16129</v>
      </c>
    </row>
    <row r="457" spans="1:17" x14ac:dyDescent="0.2">
      <c r="A457" t="s">
        <v>20079</v>
      </c>
      <c r="B457" t="s">
        <v>18046</v>
      </c>
      <c r="C457" t="s">
        <v>20080</v>
      </c>
      <c r="G457" t="str">
        <f t="shared" si="16"/>
        <v>Clear Ch. 06 4-4 of the Main Campaign (Normal)</v>
      </c>
      <c r="H457" s="79" t="s">
        <v>137</v>
      </c>
      <c r="I457" t="s">
        <v>137</v>
      </c>
      <c r="L457" t="s">
        <v>18054</v>
      </c>
      <c r="M457" t="s">
        <v>17513</v>
      </c>
      <c r="N457" t="s">
        <v>20074</v>
      </c>
      <c r="O457" t="s">
        <v>15731</v>
      </c>
      <c r="Q457" t="s">
        <v>16129</v>
      </c>
    </row>
    <row r="458" spans="1:17" x14ac:dyDescent="0.2">
      <c r="A458" t="s">
        <v>20081</v>
      </c>
      <c r="B458" t="s">
        <v>18046</v>
      </c>
      <c r="C458" t="s">
        <v>20082</v>
      </c>
      <c r="G458" t="str">
        <f t="shared" si="16"/>
        <v>Clear Ch. 06 4-4 of the Main Campaign (Normal)</v>
      </c>
      <c r="H458" s="79" t="s">
        <v>137</v>
      </c>
      <c r="I458" t="s">
        <v>137</v>
      </c>
      <c r="L458" t="s">
        <v>18054</v>
      </c>
      <c r="M458" t="s">
        <v>17513</v>
      </c>
      <c r="N458" t="s">
        <v>20074</v>
      </c>
      <c r="O458" t="s">
        <v>15731</v>
      </c>
      <c r="Q458" t="s">
        <v>16129</v>
      </c>
    </row>
    <row r="459" spans="1:17" x14ac:dyDescent="0.2">
      <c r="A459" t="s">
        <v>20083</v>
      </c>
      <c r="B459" t="s">
        <v>18046</v>
      </c>
      <c r="C459" t="s">
        <v>20084</v>
      </c>
      <c r="G459" t="str">
        <f t="shared" si="16"/>
        <v>Clear Ch. 06 4-4 of the Main Campaign (Normal)</v>
      </c>
      <c r="H459" s="79" t="s">
        <v>137</v>
      </c>
      <c r="I459" t="s">
        <v>137</v>
      </c>
      <c r="L459" t="s">
        <v>18054</v>
      </c>
      <c r="M459" t="s">
        <v>17513</v>
      </c>
      <c r="N459" t="s">
        <v>20074</v>
      </c>
      <c r="O459" t="s">
        <v>15731</v>
      </c>
      <c r="Q459" t="s">
        <v>16129</v>
      </c>
    </row>
    <row r="460" spans="1:17" x14ac:dyDescent="0.2">
      <c r="A460" t="s">
        <v>20085</v>
      </c>
      <c r="B460" t="s">
        <v>18046</v>
      </c>
      <c r="C460" t="s">
        <v>20086</v>
      </c>
      <c r="G460" t="str">
        <f t="shared" si="16"/>
        <v>Clear Ch. 06 4-4 of the Main Campaign (Normal)</v>
      </c>
      <c r="H460" s="79" t="s">
        <v>137</v>
      </c>
      <c r="I460" t="s">
        <v>137</v>
      </c>
      <c r="L460" t="s">
        <v>18054</v>
      </c>
      <c r="M460" t="s">
        <v>17513</v>
      </c>
      <c r="N460" t="s">
        <v>20074</v>
      </c>
      <c r="O460" t="s">
        <v>15731</v>
      </c>
      <c r="Q460" t="s">
        <v>16129</v>
      </c>
    </row>
    <row r="461" spans="1:17" x14ac:dyDescent="0.2">
      <c r="A461" t="s">
        <v>20087</v>
      </c>
      <c r="B461" t="s">
        <v>18046</v>
      </c>
      <c r="C461" t="s">
        <v>20088</v>
      </c>
      <c r="G461" t="str">
        <f t="shared" si="16"/>
        <v>Clear Ch. 06 4-4 of the Main Campaign (Normal)</v>
      </c>
      <c r="H461" s="79" t="s">
        <v>137</v>
      </c>
      <c r="I461" t="s">
        <v>137</v>
      </c>
      <c r="L461" t="s">
        <v>18054</v>
      </c>
      <c r="M461" t="s">
        <v>17513</v>
      </c>
      <c r="N461" t="s">
        <v>20074</v>
      </c>
      <c r="O461" t="s">
        <v>15731</v>
      </c>
      <c r="Q461" t="s">
        <v>16129</v>
      </c>
    </row>
    <row r="462" spans="1:17" x14ac:dyDescent="0.2">
      <c r="A462" t="s">
        <v>20089</v>
      </c>
      <c r="B462" t="s">
        <v>18046</v>
      </c>
      <c r="C462" t="s">
        <v>20090</v>
      </c>
      <c r="G462" t="str">
        <f t="shared" si="16"/>
        <v>Clear Ch. 06 4-4 of the Main Campaign (Normal)</v>
      </c>
      <c r="H462" s="79" t="s">
        <v>137</v>
      </c>
      <c r="I462" t="s">
        <v>137</v>
      </c>
      <c r="L462" t="s">
        <v>18054</v>
      </c>
      <c r="M462" t="s">
        <v>17513</v>
      </c>
      <c r="N462" t="s">
        <v>20074</v>
      </c>
      <c r="O462" t="s">
        <v>15731</v>
      </c>
      <c r="Q462" t="s">
        <v>16129</v>
      </c>
    </row>
    <row r="463" spans="1:17" x14ac:dyDescent="0.2">
      <c r="A463" t="s">
        <v>20091</v>
      </c>
      <c r="B463" t="s">
        <v>18046</v>
      </c>
      <c r="C463" t="s">
        <v>20092</v>
      </c>
      <c r="G463" t="str">
        <f>IF(O463="","Clear "&amp;N463&amp;" ("&amp;M463&amp;")","Clear "&amp;N463&amp;": "&amp;O463&amp;" ("&amp;M463&amp;")")</f>
        <v>Clear Scalding Shroom Strike (Void Battles)</v>
      </c>
      <c r="H463" s="79" t="s">
        <v>137</v>
      </c>
      <c r="I463" t="s">
        <v>137</v>
      </c>
      <c r="L463" t="s">
        <v>18054</v>
      </c>
      <c r="M463" t="s">
        <v>19374</v>
      </c>
      <c r="N463" t="s">
        <v>19384</v>
      </c>
    </row>
    <row r="464" spans="1:17" x14ac:dyDescent="0.2">
      <c r="A464" t="s">
        <v>20093</v>
      </c>
      <c r="B464" t="s">
        <v>18046</v>
      </c>
      <c r="C464" t="s">
        <v>20094</v>
      </c>
      <c r="G464" t="str">
        <f>IF(O464="","Clear "&amp;N464&amp;" ("&amp;M464&amp;")","Clear "&amp;N464&amp;": "&amp;O464&amp;" ("&amp;M464&amp;")")</f>
        <v>Clear *WATER* Shroom Strike (Void Battles)</v>
      </c>
      <c r="H464" s="79" t="s">
        <v>137</v>
      </c>
      <c r="I464" t="s">
        <v>137</v>
      </c>
      <c r="L464" t="s">
        <v>18054</v>
      </c>
      <c r="M464" t="s">
        <v>19374</v>
      </c>
      <c r="N464" t="s">
        <v>19562</v>
      </c>
    </row>
    <row r="465" spans="1:17" x14ac:dyDescent="0.2">
      <c r="A465" t="s">
        <v>20095</v>
      </c>
      <c r="B465" t="s">
        <v>18046</v>
      </c>
      <c r="C465" t="s">
        <v>20096</v>
      </c>
      <c r="G465" t="str">
        <f>IF(O465="","Clear "&amp;N465&amp;" ("&amp;M465&amp;")","Clear "&amp;N465&amp;": "&amp;O465&amp;" ("&amp;M465&amp;")")</f>
        <v>Clear Gust Shroom Strike (Void Battles)</v>
      </c>
      <c r="H465" s="79" t="s">
        <v>137</v>
      </c>
      <c r="I465" t="s">
        <v>137</v>
      </c>
      <c r="L465" t="s">
        <v>18054</v>
      </c>
      <c r="M465" t="s">
        <v>19374</v>
      </c>
      <c r="N465" t="s">
        <v>19387</v>
      </c>
    </row>
    <row r="466" spans="1:17" x14ac:dyDescent="0.2">
      <c r="A466" t="s">
        <v>20097</v>
      </c>
      <c r="B466" t="s">
        <v>18046</v>
      </c>
      <c r="C466" t="s">
        <v>20098</v>
      </c>
      <c r="G466" t="str">
        <f>IF(O466="","Clear "&amp;N466&amp;" ("&amp;M466&amp;")","Clear "&amp;N466&amp;": "&amp;O466&amp;" ("&amp;M466&amp;")")</f>
        <v>Clear Wandering Shroom Strike (Void Battles)</v>
      </c>
      <c r="H466" s="79" t="s">
        <v>137</v>
      </c>
      <c r="I466" t="s">
        <v>137</v>
      </c>
      <c r="L466" t="s">
        <v>18054</v>
      </c>
      <c r="M466" t="s">
        <v>19374</v>
      </c>
      <c r="N466" t="s">
        <v>19389</v>
      </c>
    </row>
    <row r="467" spans="1:17" x14ac:dyDescent="0.2">
      <c r="A467" t="s">
        <v>20099</v>
      </c>
      <c r="B467" t="s">
        <v>18046</v>
      </c>
      <c r="C467" t="s">
        <v>20100</v>
      </c>
      <c r="G467" t="str">
        <f>IF(O467="","Clear "&amp;N467&amp;" ("&amp;M467&amp;")","Clear "&amp;N467&amp;": "&amp;O467&amp;" ("&amp;M467&amp;")")</f>
        <v>Clear *SHADOW* Shroom Strike (Void Battles)</v>
      </c>
      <c r="H467" s="79" t="s">
        <v>137</v>
      </c>
      <c r="I467" t="s">
        <v>137</v>
      </c>
      <c r="L467" t="s">
        <v>18054</v>
      </c>
      <c r="M467" t="s">
        <v>19374</v>
      </c>
      <c r="N467" t="s">
        <v>19564</v>
      </c>
    </row>
    <row r="468" spans="1:17" x14ac:dyDescent="0.2">
      <c r="A468" t="s">
        <v>20101</v>
      </c>
      <c r="B468" t="s">
        <v>18046</v>
      </c>
      <c r="C468" t="s">
        <v>20102</v>
      </c>
      <c r="G468" t="str">
        <f>+"Clear "&amp;N468&amp;" of the Main Campaign ("&amp;O468&amp;")"</f>
        <v>Clear Ch. 06 4-4 of the Main Campaign (Normal)</v>
      </c>
      <c r="H468" s="79" t="s">
        <v>137</v>
      </c>
      <c r="I468" t="s">
        <v>137</v>
      </c>
      <c r="L468" t="s">
        <v>18054</v>
      </c>
      <c r="M468" t="s">
        <v>17513</v>
      </c>
      <c r="N468" t="s">
        <v>20074</v>
      </c>
      <c r="O468" t="s">
        <v>15731</v>
      </c>
      <c r="Q468" t="s">
        <v>16129</v>
      </c>
    </row>
    <row r="469" spans="1:17" x14ac:dyDescent="0.2">
      <c r="A469" t="s">
        <v>20103</v>
      </c>
      <c r="B469" t="s">
        <v>18046</v>
      </c>
      <c r="C469" t="s">
        <v>20104</v>
      </c>
      <c r="G469" t="str">
        <f>+"Clear "&amp;N469&amp;" of the Main Campaign ("&amp;O469&amp;")"</f>
        <v>Clear Ch. 07 5-5 of the Main Campaign (Normal)</v>
      </c>
      <c r="H469" s="79" t="s">
        <v>137</v>
      </c>
      <c r="I469" t="s">
        <v>137</v>
      </c>
      <c r="L469" t="s">
        <v>18054</v>
      </c>
      <c r="M469" t="s">
        <v>17513</v>
      </c>
      <c r="N469" t="s">
        <v>19791</v>
      </c>
      <c r="O469" t="s">
        <v>15731</v>
      </c>
      <c r="Q469" t="s">
        <v>16209</v>
      </c>
    </row>
    <row r="470" spans="1:17" x14ac:dyDescent="0.2">
      <c r="A470" t="s">
        <v>20105</v>
      </c>
      <c r="B470" t="s">
        <v>18046</v>
      </c>
      <c r="C470" t="s">
        <v>20106</v>
      </c>
      <c r="G470" t="str">
        <f>+"Clear "&amp;N470&amp;" of the Main Campaign ("&amp;O470&amp;")"</f>
        <v>Clear Ch. 08 5-4 of the Main Campaign (Normal)</v>
      </c>
      <c r="H470" s="79" t="s">
        <v>137</v>
      </c>
      <c r="I470" t="s">
        <v>137</v>
      </c>
      <c r="L470" t="s">
        <v>18054</v>
      </c>
      <c r="M470" t="s">
        <v>17513</v>
      </c>
      <c r="N470" t="s">
        <v>19954</v>
      </c>
      <c r="O470" t="s">
        <v>15731</v>
      </c>
      <c r="Q470" t="s">
        <v>16283</v>
      </c>
    </row>
    <row r="471" spans="1:17" x14ac:dyDescent="0.2">
      <c r="A471" t="s">
        <v>20107</v>
      </c>
      <c r="B471" t="s">
        <v>18046</v>
      </c>
      <c r="C471" t="s">
        <v>20108</v>
      </c>
      <c r="G471" t="str">
        <f>+"Clear "&amp;N471&amp;" of the Main Campaign ("&amp;O471&amp;")"</f>
        <v>Clear Ch. 09 5-5 of the Main Campaign (Normal)</v>
      </c>
      <c r="H471" s="79" t="s">
        <v>137</v>
      </c>
      <c r="I471" t="s">
        <v>137</v>
      </c>
      <c r="L471" t="s">
        <v>18054</v>
      </c>
      <c r="M471" t="s">
        <v>17513</v>
      </c>
      <c r="N471" t="s">
        <v>20109</v>
      </c>
      <c r="O471" t="s">
        <v>15731</v>
      </c>
      <c r="Q471" t="s">
        <v>16342</v>
      </c>
    </row>
    <row r="472" spans="1:17" x14ac:dyDescent="0.2">
      <c r="A472" t="s">
        <v>20110</v>
      </c>
      <c r="B472" t="s">
        <v>18046</v>
      </c>
      <c r="C472" t="s">
        <v>20111</v>
      </c>
      <c r="G472" t="str">
        <f>+"Clear "&amp;N472&amp;" of the Main Campaign ("&amp;O472&amp;")"</f>
        <v>Clear Ch. 10 6-3 of the Main Campaign (Normal)</v>
      </c>
      <c r="H472" s="79" t="s">
        <v>137</v>
      </c>
      <c r="I472" t="s">
        <v>137</v>
      </c>
      <c r="L472" t="s">
        <v>18054</v>
      </c>
      <c r="M472" t="s">
        <v>17513</v>
      </c>
      <c r="N472" t="s">
        <v>19859</v>
      </c>
      <c r="O472" t="s">
        <v>15731</v>
      </c>
      <c r="Q472" t="s">
        <v>16400</v>
      </c>
    </row>
    <row r="473" spans="1:17" x14ac:dyDescent="0.2">
      <c r="A473" t="s">
        <v>20112</v>
      </c>
      <c r="B473" t="s">
        <v>18046</v>
      </c>
      <c r="C473" t="s">
        <v>20113</v>
      </c>
      <c r="G473" t="str">
        <f t="shared" ref="G473:G482" si="17">IF(O473="","Clear "&amp;N473&amp;" ("&amp;M473&amp;")","Clear "&amp;N473&amp;": "&amp;O473&amp;" ("&amp;M473&amp;")")</f>
        <v>Clear High Midgardsormr's Trial: Standard (Advanced Dragon Trials)</v>
      </c>
      <c r="H473" s="79" t="s">
        <v>137</v>
      </c>
      <c r="I473" t="s">
        <v>137</v>
      </c>
      <c r="L473" t="s">
        <v>18054</v>
      </c>
      <c r="M473" t="s">
        <v>19259</v>
      </c>
      <c r="N473" t="s">
        <v>19260</v>
      </c>
      <c r="O473" t="s">
        <v>18054</v>
      </c>
    </row>
    <row r="474" spans="1:17" x14ac:dyDescent="0.2">
      <c r="A474" t="s">
        <v>20114</v>
      </c>
      <c r="B474" t="s">
        <v>18046</v>
      </c>
      <c r="C474" t="s">
        <v>20115</v>
      </c>
      <c r="G474" t="str">
        <f t="shared" si="17"/>
        <v>Clear High Mercury's Trial: Standard (Advanced Dragon Trials)</v>
      </c>
      <c r="H474" s="79" t="s">
        <v>137</v>
      </c>
      <c r="I474" t="s">
        <v>137</v>
      </c>
      <c r="L474" t="s">
        <v>18054</v>
      </c>
      <c r="M474" t="s">
        <v>19259</v>
      </c>
      <c r="N474" t="s">
        <v>19267</v>
      </c>
      <c r="O474" t="s">
        <v>18054</v>
      </c>
    </row>
    <row r="475" spans="1:17" x14ac:dyDescent="0.2">
      <c r="A475" t="s">
        <v>20116</v>
      </c>
      <c r="B475" t="s">
        <v>18046</v>
      </c>
      <c r="C475" t="s">
        <v>20117</v>
      </c>
      <c r="G475" t="str">
        <f t="shared" si="17"/>
        <v>Clear High Brunhilda's Trial: Standard (Advanced Dragon Trials)</v>
      </c>
      <c r="H475" s="79" t="s">
        <v>137</v>
      </c>
      <c r="I475" t="s">
        <v>137</v>
      </c>
      <c r="L475" t="s">
        <v>18054</v>
      </c>
      <c r="M475" t="s">
        <v>19259</v>
      </c>
      <c r="N475" t="s">
        <v>19272</v>
      </c>
      <c r="O475" t="s">
        <v>18054</v>
      </c>
    </row>
    <row r="476" spans="1:17" x14ac:dyDescent="0.2">
      <c r="A476" t="s">
        <v>20118</v>
      </c>
      <c r="B476" t="s">
        <v>18046</v>
      </c>
      <c r="C476" t="s">
        <v>20119</v>
      </c>
      <c r="G476" t="str">
        <f t="shared" si="17"/>
        <v>Clear High Jupiter's Trial: Standard (Advanced Dragon Trials)</v>
      </c>
      <c r="H476" s="79" t="s">
        <v>137</v>
      </c>
      <c r="I476" t="s">
        <v>137</v>
      </c>
      <c r="L476" t="s">
        <v>18054</v>
      </c>
      <c r="M476" t="s">
        <v>19259</v>
      </c>
      <c r="N476" t="s">
        <v>19277</v>
      </c>
      <c r="O476" t="s">
        <v>18054</v>
      </c>
    </row>
    <row r="477" spans="1:17" x14ac:dyDescent="0.2">
      <c r="A477" t="s">
        <v>20120</v>
      </c>
      <c r="B477" t="s">
        <v>18046</v>
      </c>
      <c r="C477" t="s">
        <v>20121</v>
      </c>
      <c r="G477" t="str">
        <f t="shared" si="17"/>
        <v>Clear High Zodiark's Trial: Standard (Advanced Dragon Trials)</v>
      </c>
      <c r="H477" s="79" t="s">
        <v>137</v>
      </c>
      <c r="I477" t="s">
        <v>137</v>
      </c>
      <c r="L477" t="s">
        <v>18054</v>
      </c>
      <c r="M477" t="s">
        <v>19259</v>
      </c>
      <c r="N477" t="s">
        <v>19282</v>
      </c>
      <c r="O477" t="s">
        <v>18054</v>
      </c>
    </row>
    <row r="478" spans="1:17" x14ac:dyDescent="0.2">
      <c r="A478" t="s">
        <v>20122</v>
      </c>
      <c r="B478" t="s">
        <v>18046</v>
      </c>
      <c r="C478" t="s">
        <v>20123</v>
      </c>
      <c r="G478" t="str">
        <f t="shared" si="17"/>
        <v>Clear Volk's Wrath: Standard (The Agito Uprising)</v>
      </c>
      <c r="H478" s="79" t="s">
        <v>137</v>
      </c>
      <c r="I478" t="s">
        <v>137</v>
      </c>
      <c r="L478" t="s">
        <v>18054</v>
      </c>
      <c r="M478" t="s">
        <v>19287</v>
      </c>
      <c r="N478" t="s">
        <v>19288</v>
      </c>
      <c r="O478" t="s">
        <v>18054</v>
      </c>
      <c r="Q478" t="s">
        <v>19286</v>
      </c>
    </row>
    <row r="479" spans="1:17" x14ac:dyDescent="0.2">
      <c r="A479" t="s">
        <v>20124</v>
      </c>
      <c r="B479" t="s">
        <v>18046</v>
      </c>
      <c r="C479" t="s">
        <v>20125</v>
      </c>
      <c r="G479" t="str">
        <f t="shared" si="17"/>
        <v>Clear Ayaha &amp; Otoha's Wrath: Standard (The Agito Uprising)</v>
      </c>
      <c r="H479" s="79" t="s">
        <v>137</v>
      </c>
      <c r="I479" t="s">
        <v>137</v>
      </c>
      <c r="L479" t="s">
        <v>18054</v>
      </c>
      <c r="M479" t="s">
        <v>19287</v>
      </c>
      <c r="N479" t="s">
        <v>19296</v>
      </c>
      <c r="O479" t="s">
        <v>18054</v>
      </c>
      <c r="Q479" t="s">
        <v>19291</v>
      </c>
    </row>
    <row r="480" spans="1:17" x14ac:dyDescent="0.2">
      <c r="A480" t="s">
        <v>20126</v>
      </c>
      <c r="B480" t="s">
        <v>18046</v>
      </c>
      <c r="C480" t="s">
        <v>20127</v>
      </c>
      <c r="G480" t="str">
        <f t="shared" si="17"/>
        <v>Clear Ciella's Wrath: Standard (The Agito Uprising)</v>
      </c>
      <c r="H480" s="79" t="s">
        <v>137</v>
      </c>
      <c r="I480" t="s">
        <v>137</v>
      </c>
      <c r="L480" t="s">
        <v>18054</v>
      </c>
      <c r="M480" t="s">
        <v>19287</v>
      </c>
      <c r="N480" t="s">
        <v>19292</v>
      </c>
      <c r="O480" t="s">
        <v>18054</v>
      </c>
      <c r="Q480" t="s">
        <v>19295</v>
      </c>
    </row>
    <row r="481" spans="1:17" x14ac:dyDescent="0.2">
      <c r="A481" t="s">
        <v>20128</v>
      </c>
      <c r="B481" t="s">
        <v>18046</v>
      </c>
      <c r="C481" t="s">
        <v>20129</v>
      </c>
      <c r="G481" t="str">
        <f t="shared" si="17"/>
        <v>Clear Kai Yan's Wrath: Standard (The Agito Uprising)</v>
      </c>
      <c r="H481" s="79" t="s">
        <v>137</v>
      </c>
      <c r="I481" t="s">
        <v>137</v>
      </c>
      <c r="L481" t="s">
        <v>18054</v>
      </c>
      <c r="M481" t="s">
        <v>19287</v>
      </c>
      <c r="N481" t="s">
        <v>19300</v>
      </c>
      <c r="O481" t="s">
        <v>18054</v>
      </c>
      <c r="Q481" t="s">
        <v>19299</v>
      </c>
    </row>
    <row r="482" spans="1:17" x14ac:dyDescent="0.2">
      <c r="A482" t="s">
        <v>20130</v>
      </c>
      <c r="B482" t="s">
        <v>18046</v>
      </c>
      <c r="C482" t="s">
        <v>20131</v>
      </c>
      <c r="G482" t="str">
        <f t="shared" si="17"/>
        <v>Clear Tartarus's Wrath: Standard (The Agito Uprising)</v>
      </c>
      <c r="H482" s="79" t="s">
        <v>137</v>
      </c>
      <c r="I482" t="s">
        <v>137</v>
      </c>
      <c r="L482" t="s">
        <v>18054</v>
      </c>
      <c r="M482" t="s">
        <v>19287</v>
      </c>
      <c r="N482" t="s">
        <v>19304</v>
      </c>
      <c r="O482" t="s">
        <v>18054</v>
      </c>
      <c r="Q482" t="s">
        <v>19303</v>
      </c>
    </row>
    <row r="483" spans="1:17" x14ac:dyDescent="0.2">
      <c r="A483" t="s">
        <v>20132</v>
      </c>
      <c r="B483" t="s">
        <v>18046</v>
      </c>
      <c r="C483" t="s">
        <v>20133</v>
      </c>
      <c r="G483" t="str">
        <f t="shared" ref="G483:G497" si="18">IF(O483="",N483&amp;" ("&amp;M483&amp;")",N483&amp;": "&amp;O483&amp;" ("&amp;M483&amp;")")</f>
        <v>Participate in the Event (Trick or Treasure!)</v>
      </c>
      <c r="H483" s="79" t="s">
        <v>137</v>
      </c>
      <c r="I483" t="s">
        <v>137</v>
      </c>
      <c r="L483" t="s">
        <v>18054</v>
      </c>
      <c r="M483" t="s">
        <v>13967</v>
      </c>
      <c r="N483" t="s">
        <v>19688</v>
      </c>
      <c r="Q483" t="s">
        <v>19720</v>
      </c>
    </row>
    <row r="484" spans="1:17" x14ac:dyDescent="0.2">
      <c r="A484" t="s">
        <v>20134</v>
      </c>
      <c r="B484" t="s">
        <v>18046</v>
      </c>
      <c r="C484" t="s">
        <v>20135</v>
      </c>
      <c r="G484" t="str">
        <f t="shared" si="18"/>
        <v>Participate in the Event (A Wish to the Winds)</v>
      </c>
      <c r="H484" s="79" t="s">
        <v>137</v>
      </c>
      <c r="I484" t="s">
        <v>137</v>
      </c>
      <c r="L484" t="s">
        <v>18046</v>
      </c>
      <c r="M484" t="s">
        <v>13983</v>
      </c>
      <c r="N484" t="s">
        <v>19688</v>
      </c>
    </row>
    <row r="485" spans="1:17" x14ac:dyDescent="0.2">
      <c r="A485" t="s">
        <v>20136</v>
      </c>
      <c r="B485" t="s">
        <v>18046</v>
      </c>
      <c r="C485" t="s">
        <v>20137</v>
      </c>
      <c r="G485" t="str">
        <f t="shared" si="18"/>
        <v>Participate in the Event (The Miracle of Dragonyule)</v>
      </c>
      <c r="H485" s="79" t="s">
        <v>137</v>
      </c>
      <c r="I485" t="s">
        <v>137</v>
      </c>
      <c r="L485" t="s">
        <v>18046</v>
      </c>
      <c r="M485" t="s">
        <v>14001</v>
      </c>
      <c r="N485" t="s">
        <v>19688</v>
      </c>
    </row>
    <row r="486" spans="1:17" x14ac:dyDescent="0.2">
      <c r="A486" t="s">
        <v>20138</v>
      </c>
      <c r="B486" t="s">
        <v>18046</v>
      </c>
      <c r="C486" t="s">
        <v>20139</v>
      </c>
      <c r="G486" t="str">
        <f t="shared" si="18"/>
        <v>Participate in the Event (Dream Big Under the Big Top)</v>
      </c>
      <c r="H486" s="79" t="s">
        <v>137</v>
      </c>
      <c r="I486" t="s">
        <v>137</v>
      </c>
      <c r="L486" t="s">
        <v>18046</v>
      </c>
      <c r="M486" t="s">
        <v>14017</v>
      </c>
      <c r="N486" t="s">
        <v>19688</v>
      </c>
    </row>
    <row r="487" spans="1:17" x14ac:dyDescent="0.2">
      <c r="A487" t="s">
        <v>20140</v>
      </c>
      <c r="B487" t="s">
        <v>18046</v>
      </c>
      <c r="C487" t="s">
        <v>20141</v>
      </c>
      <c r="G487" t="str">
        <f t="shared" si="18"/>
        <v>Participate in the Event (The Accursed Archives)</v>
      </c>
      <c r="H487" s="79" t="s">
        <v>137</v>
      </c>
      <c r="I487" t="s">
        <v>137</v>
      </c>
      <c r="L487" t="s">
        <v>18046</v>
      </c>
      <c r="M487" t="s">
        <v>14060</v>
      </c>
      <c r="N487" t="s">
        <v>19688</v>
      </c>
    </row>
    <row r="488" spans="1:17" x14ac:dyDescent="0.2">
      <c r="A488" t="s">
        <v>20142</v>
      </c>
      <c r="B488" t="s">
        <v>18046</v>
      </c>
      <c r="C488" t="s">
        <v>20143</v>
      </c>
      <c r="G488" t="str">
        <f t="shared" si="18"/>
        <v>Participate in the Event (The Hunt for Harmony)</v>
      </c>
      <c r="H488" s="79" t="s">
        <v>137</v>
      </c>
      <c r="I488" t="s">
        <v>137</v>
      </c>
      <c r="L488" t="s">
        <v>18046</v>
      </c>
      <c r="M488" t="s">
        <v>14065</v>
      </c>
      <c r="N488" t="s">
        <v>19688</v>
      </c>
    </row>
    <row r="489" spans="1:17" x14ac:dyDescent="0.2">
      <c r="A489" t="s">
        <v>20144</v>
      </c>
      <c r="B489" t="s">
        <v>18046</v>
      </c>
      <c r="C489" t="s">
        <v>20145</v>
      </c>
      <c r="G489" t="str">
        <f t="shared" si="18"/>
        <v>Participate in the Event (Flames of Reflection)</v>
      </c>
      <c r="H489" s="79" t="s">
        <v>137</v>
      </c>
      <c r="I489" t="s">
        <v>137</v>
      </c>
      <c r="L489" t="s">
        <v>18046</v>
      </c>
      <c r="M489" t="s">
        <v>14095</v>
      </c>
      <c r="N489" t="s">
        <v>19688</v>
      </c>
    </row>
    <row r="490" spans="1:17" x14ac:dyDescent="0.2">
      <c r="A490" t="s">
        <v>20146</v>
      </c>
      <c r="B490" t="s">
        <v>18046</v>
      </c>
      <c r="C490" t="s">
        <v>20147</v>
      </c>
      <c r="G490" t="str">
        <f t="shared" si="18"/>
        <v>Participate in the Event (A Crescendo of Courage)</v>
      </c>
      <c r="H490" s="79" t="s">
        <v>137</v>
      </c>
      <c r="I490" t="s">
        <v>137</v>
      </c>
      <c r="L490" t="s">
        <v>18046</v>
      </c>
      <c r="M490" t="s">
        <v>14105</v>
      </c>
      <c r="N490" t="s">
        <v>19688</v>
      </c>
    </row>
    <row r="491" spans="1:17" x14ac:dyDescent="0.2">
      <c r="A491" t="s">
        <v>20148</v>
      </c>
      <c r="B491" t="s">
        <v>18046</v>
      </c>
      <c r="C491" t="s">
        <v>20149</v>
      </c>
      <c r="G491" t="str">
        <f t="shared" si="18"/>
        <v>Participate in the Event (A Dash of Disaster)</v>
      </c>
      <c r="H491" s="79" t="s">
        <v>137</v>
      </c>
      <c r="I491" t="s">
        <v>137</v>
      </c>
      <c r="L491" t="s">
        <v>18046</v>
      </c>
      <c r="M491" t="s">
        <v>14181</v>
      </c>
      <c r="N491" t="s">
        <v>19688</v>
      </c>
    </row>
    <row r="492" spans="1:17" x14ac:dyDescent="0.2">
      <c r="A492" t="s">
        <v>20150</v>
      </c>
      <c r="B492" t="s">
        <v>18046</v>
      </c>
      <c r="C492" t="s">
        <v>20151</v>
      </c>
      <c r="G492" t="str">
        <f t="shared" si="18"/>
        <v>Participate in the Event (Rhythmic Resolutions)</v>
      </c>
      <c r="H492" s="79" t="s">
        <v>137</v>
      </c>
      <c r="I492" t="s">
        <v>137</v>
      </c>
      <c r="L492" t="s">
        <v>18046</v>
      </c>
      <c r="M492" t="s">
        <v>14220</v>
      </c>
      <c r="N492" t="s">
        <v>19688</v>
      </c>
    </row>
    <row r="493" spans="1:17" x14ac:dyDescent="0.2">
      <c r="A493" t="s">
        <v>20152</v>
      </c>
      <c r="B493" t="s">
        <v>18046</v>
      </c>
      <c r="C493" t="s">
        <v>20153</v>
      </c>
      <c r="G493" t="str">
        <f t="shared" si="18"/>
        <v>Participate in the Event (Agents of the Goddess)</v>
      </c>
      <c r="H493" s="79" t="s">
        <v>137</v>
      </c>
      <c r="I493" t="s">
        <v>137</v>
      </c>
      <c r="L493" t="s">
        <v>18046</v>
      </c>
      <c r="M493" t="s">
        <v>14236</v>
      </c>
      <c r="N493" t="s">
        <v>19688</v>
      </c>
    </row>
    <row r="494" spans="1:17" x14ac:dyDescent="0.2">
      <c r="A494" t="s">
        <v>20154</v>
      </c>
      <c r="B494" t="s">
        <v>18046</v>
      </c>
      <c r="C494" t="s">
        <v>20155</v>
      </c>
      <c r="G494" t="str">
        <f t="shared" si="18"/>
        <v>Participate in the Event (The Phantom's Ransom)</v>
      </c>
      <c r="H494" s="79" t="s">
        <v>137</v>
      </c>
      <c r="I494" t="s">
        <v>137</v>
      </c>
      <c r="L494" t="s">
        <v>18046</v>
      </c>
      <c r="M494" t="s">
        <v>14255</v>
      </c>
      <c r="N494" t="s">
        <v>19688</v>
      </c>
    </row>
    <row r="495" spans="1:17" x14ac:dyDescent="0.2">
      <c r="A495" t="s">
        <v>20156</v>
      </c>
      <c r="B495" t="s">
        <v>18046</v>
      </c>
      <c r="C495" t="s">
        <v>20157</v>
      </c>
      <c r="G495" t="str">
        <f t="shared" si="18"/>
        <v>Participate in the Event (Divine Deception)</v>
      </c>
      <c r="H495" s="79" t="s">
        <v>137</v>
      </c>
      <c r="I495" t="s">
        <v>137</v>
      </c>
      <c r="L495" t="s">
        <v>18046</v>
      </c>
      <c r="M495" t="s">
        <v>14286</v>
      </c>
      <c r="N495" t="s">
        <v>19688</v>
      </c>
    </row>
    <row r="496" spans="1:17" x14ac:dyDescent="0.2">
      <c r="A496" t="s">
        <v>20158</v>
      </c>
      <c r="B496" t="s">
        <v>18046</v>
      </c>
      <c r="C496" t="s">
        <v>20159</v>
      </c>
      <c r="G496" t="str">
        <f t="shared" si="18"/>
        <v>Participate in the Event (Toll of the Deep)</v>
      </c>
      <c r="H496" s="79" t="s">
        <v>137</v>
      </c>
      <c r="I496" t="s">
        <v>137</v>
      </c>
      <c r="L496" t="s">
        <v>18046</v>
      </c>
      <c r="M496" t="s">
        <v>14308</v>
      </c>
      <c r="N496" t="s">
        <v>19688</v>
      </c>
      <c r="Q496" t="s">
        <v>20160</v>
      </c>
    </row>
    <row r="497" spans="1:17" x14ac:dyDescent="0.2">
      <c r="A497" t="s">
        <v>20161</v>
      </c>
      <c r="B497" t="s">
        <v>18046</v>
      </c>
      <c r="C497" t="s">
        <v>20162</v>
      </c>
      <c r="G497" t="str">
        <f t="shared" si="18"/>
        <v>Participate in the Event (The Clockwork Heart)</v>
      </c>
      <c r="H497" s="79" t="s">
        <v>137</v>
      </c>
      <c r="I497" t="s">
        <v>137</v>
      </c>
      <c r="L497" t="s">
        <v>18046</v>
      </c>
      <c r="M497" t="s">
        <v>14328</v>
      </c>
      <c r="N497" t="s">
        <v>19688</v>
      </c>
    </row>
    <row r="498" spans="1:17" x14ac:dyDescent="0.2">
      <c r="A498" s="70" t="s">
        <v>13840</v>
      </c>
      <c r="B498" s="92" t="s">
        <v>20163</v>
      </c>
      <c r="C498" s="92" t="s">
        <v>13841</v>
      </c>
      <c r="D498" s="117" t="s">
        <v>20164</v>
      </c>
      <c r="E498" s="70">
        <v>400177</v>
      </c>
      <c r="F498" s="79" t="s">
        <v>137</v>
      </c>
      <c r="G498" t="str">
        <f t="shared" ref="G498:G527" si="19">IF(O498="","Clear "&amp;N498&amp;" ("&amp;M498&amp;")","Clear "&amp;N498&amp;": "&amp;O498&amp;" ("&amp;M498&amp;")")</f>
        <v>Clear Lilith's Encroaching Shadow: Standard (Rise of the Sinister Dominion)</v>
      </c>
      <c r="H498" s="79" t="s">
        <v>137</v>
      </c>
      <c r="I498" t="s">
        <v>137</v>
      </c>
      <c r="J498" s="70">
        <v>9</v>
      </c>
      <c r="K498" s="118">
        <v>44267</v>
      </c>
      <c r="L498" t="s">
        <v>18054</v>
      </c>
      <c r="M498" t="s">
        <v>13844</v>
      </c>
      <c r="N498" t="s">
        <v>19324</v>
      </c>
      <c r="O498" t="s">
        <v>18054</v>
      </c>
      <c r="P498">
        <v>1</v>
      </c>
      <c r="Q498" t="s">
        <v>19323</v>
      </c>
    </row>
    <row r="499" spans="1:17" x14ac:dyDescent="0.2">
      <c r="A499" s="70" t="s">
        <v>13845</v>
      </c>
      <c r="B499" s="92" t="s">
        <v>20163</v>
      </c>
      <c r="C499" s="92" t="s">
        <v>13846</v>
      </c>
      <c r="D499" s="117" t="s">
        <v>20165</v>
      </c>
      <c r="E499" s="70">
        <v>400359</v>
      </c>
      <c r="F499" s="79" t="s">
        <v>137</v>
      </c>
      <c r="G499" t="str">
        <f t="shared" si="19"/>
        <v>Clear Lilith's Encroaching Shadow: Standard (Rise of the Sinister Dominion)</v>
      </c>
      <c r="H499" s="79" t="s">
        <v>137</v>
      </c>
      <c r="I499" t="s">
        <v>137</v>
      </c>
      <c r="J499" s="70">
        <v>9</v>
      </c>
      <c r="K499" s="118">
        <v>44267</v>
      </c>
      <c r="L499" t="s">
        <v>18054</v>
      </c>
      <c r="M499" t="s">
        <v>13844</v>
      </c>
      <c r="N499" t="s">
        <v>19324</v>
      </c>
      <c r="O499" t="s">
        <v>18054</v>
      </c>
      <c r="P499">
        <v>1</v>
      </c>
      <c r="Q499" t="s">
        <v>19323</v>
      </c>
    </row>
    <row r="500" spans="1:17" x14ac:dyDescent="0.2">
      <c r="A500" s="70" t="s">
        <v>13848</v>
      </c>
      <c r="B500" s="92" t="s">
        <v>20163</v>
      </c>
      <c r="C500" s="92" t="s">
        <v>13849</v>
      </c>
      <c r="D500" s="117" t="s">
        <v>20166</v>
      </c>
      <c r="E500" s="70">
        <v>400236</v>
      </c>
      <c r="F500" s="79" t="s">
        <v>137</v>
      </c>
      <c r="G500" t="str">
        <f t="shared" si="19"/>
        <v>Clear Lilith's Encroaching Shadow: Expert (Rise of the Sinister Dominion)</v>
      </c>
      <c r="H500" s="79" t="s">
        <v>137</v>
      </c>
      <c r="I500" t="s">
        <v>137</v>
      </c>
      <c r="J500" s="70">
        <v>9</v>
      </c>
      <c r="K500" s="118">
        <v>44267</v>
      </c>
      <c r="L500" t="s">
        <v>18054</v>
      </c>
      <c r="M500" t="s">
        <v>13844</v>
      </c>
      <c r="N500" t="s">
        <v>19324</v>
      </c>
      <c r="O500" t="s">
        <v>18033</v>
      </c>
      <c r="P500">
        <v>2</v>
      </c>
      <c r="Q500" t="s">
        <v>19325</v>
      </c>
    </row>
    <row r="501" spans="1:17" x14ac:dyDescent="0.2">
      <c r="A501" s="70" t="s">
        <v>13850</v>
      </c>
      <c r="B501" s="92" t="s">
        <v>20163</v>
      </c>
      <c r="C501" s="92" t="s">
        <v>13851</v>
      </c>
      <c r="D501" s="117" t="s">
        <v>20167</v>
      </c>
      <c r="E501" s="70">
        <v>400362</v>
      </c>
      <c r="F501" s="79" t="s">
        <v>137</v>
      </c>
      <c r="G501" t="str">
        <f t="shared" si="19"/>
        <v>Clear Lilith's Encroaching Shadow: Expert (Rise of the Sinister Dominion)</v>
      </c>
      <c r="H501" s="79" t="s">
        <v>137</v>
      </c>
      <c r="I501" t="s">
        <v>137</v>
      </c>
      <c r="J501" s="70">
        <v>9</v>
      </c>
      <c r="K501" s="118">
        <v>44267</v>
      </c>
      <c r="L501" t="s">
        <v>18054</v>
      </c>
      <c r="M501" t="s">
        <v>13844</v>
      </c>
      <c r="N501" t="s">
        <v>19324</v>
      </c>
      <c r="O501" t="s">
        <v>18033</v>
      </c>
      <c r="P501">
        <v>2</v>
      </c>
      <c r="Q501" t="s">
        <v>19325</v>
      </c>
    </row>
    <row r="502" spans="1:17" x14ac:dyDescent="0.2">
      <c r="A502" s="70" t="s">
        <v>13853</v>
      </c>
      <c r="B502" s="92" t="s">
        <v>20163</v>
      </c>
      <c r="C502" s="92" t="s">
        <v>13854</v>
      </c>
      <c r="D502" s="117" t="s">
        <v>20168</v>
      </c>
      <c r="E502" s="70">
        <v>400236</v>
      </c>
      <c r="F502" s="79" t="s">
        <v>137</v>
      </c>
      <c r="G502" t="str">
        <f t="shared" si="19"/>
        <v>Clear Lilith's Encroaching Shadow: Master (Rise of the Sinister Dominion)</v>
      </c>
      <c r="H502" s="79" t="s">
        <v>137</v>
      </c>
      <c r="I502" t="s">
        <v>137</v>
      </c>
      <c r="J502" s="70">
        <v>9</v>
      </c>
      <c r="K502" s="118">
        <v>44267</v>
      </c>
      <c r="L502" t="s">
        <v>18054</v>
      </c>
      <c r="M502" t="s">
        <v>13844</v>
      </c>
      <c r="N502" t="s">
        <v>19324</v>
      </c>
      <c r="O502" t="s">
        <v>18061</v>
      </c>
      <c r="P502">
        <v>3</v>
      </c>
      <c r="Q502" t="s">
        <v>19326</v>
      </c>
    </row>
    <row r="503" spans="1:17" x14ac:dyDescent="0.2">
      <c r="A503" s="70" t="s">
        <v>13856</v>
      </c>
      <c r="B503" s="92" t="s">
        <v>20163</v>
      </c>
      <c r="C503" s="92" t="s">
        <v>13857</v>
      </c>
      <c r="D503" s="117" t="s">
        <v>20169</v>
      </c>
      <c r="E503" s="70">
        <v>400362</v>
      </c>
      <c r="F503" s="79" t="s">
        <v>137</v>
      </c>
      <c r="G503" t="str">
        <f t="shared" si="19"/>
        <v>Clear Lilith's Encroaching Shadow: Master (Rise of the Sinister Dominion)</v>
      </c>
      <c r="H503" s="79" t="s">
        <v>137</v>
      </c>
      <c r="I503" t="s">
        <v>137</v>
      </c>
      <c r="J503" s="70">
        <v>9</v>
      </c>
      <c r="K503" s="118">
        <v>44267</v>
      </c>
      <c r="L503" t="s">
        <v>18054</v>
      </c>
      <c r="M503" t="s">
        <v>13844</v>
      </c>
      <c r="N503" t="s">
        <v>19324</v>
      </c>
      <c r="O503" t="s">
        <v>18061</v>
      </c>
      <c r="P503">
        <v>3</v>
      </c>
      <c r="Q503" t="s">
        <v>19326</v>
      </c>
    </row>
    <row r="504" spans="1:17" x14ac:dyDescent="0.2">
      <c r="A504" s="70" t="s">
        <v>13858</v>
      </c>
      <c r="B504" s="92" t="s">
        <v>20163</v>
      </c>
      <c r="C504" s="92" t="s">
        <v>13859</v>
      </c>
      <c r="D504" s="117" t="s">
        <v>20170</v>
      </c>
      <c r="E504" s="70">
        <v>400178</v>
      </c>
      <c r="F504" s="79" t="s">
        <v>137</v>
      </c>
      <c r="G504" t="str">
        <f t="shared" si="19"/>
        <v>Clear Jaldabaoth's Piercing Gale: Standard (Rise of the Sinister Dominion)</v>
      </c>
      <c r="H504" s="79" t="s">
        <v>137</v>
      </c>
      <c r="I504" t="s">
        <v>137</v>
      </c>
      <c r="J504" s="70">
        <v>9</v>
      </c>
      <c r="K504" s="118">
        <v>44316</v>
      </c>
      <c r="L504" t="s">
        <v>18054</v>
      </c>
      <c r="M504" t="s">
        <v>13844</v>
      </c>
      <c r="N504" t="s">
        <v>19308</v>
      </c>
      <c r="O504" t="s">
        <v>18054</v>
      </c>
      <c r="P504">
        <v>1</v>
      </c>
      <c r="Q504" t="s">
        <v>19307</v>
      </c>
    </row>
    <row r="505" spans="1:17" x14ac:dyDescent="0.2">
      <c r="A505" s="70" t="s">
        <v>13860</v>
      </c>
      <c r="B505" s="92" t="s">
        <v>20163</v>
      </c>
      <c r="C505" s="92" t="s">
        <v>13861</v>
      </c>
      <c r="D505" s="117" t="s">
        <v>20171</v>
      </c>
      <c r="E505" s="70">
        <v>400258</v>
      </c>
      <c r="F505" s="79" t="s">
        <v>137</v>
      </c>
      <c r="G505" t="str">
        <f t="shared" si="19"/>
        <v>Clear Jaldabaoth's Piercing Gale: Standard (Rise of the Sinister Dominion)</v>
      </c>
      <c r="H505" s="79" t="s">
        <v>137</v>
      </c>
      <c r="I505" t="s">
        <v>137</v>
      </c>
      <c r="J505" s="70">
        <v>9</v>
      </c>
      <c r="K505" s="118">
        <v>44316</v>
      </c>
      <c r="L505" t="s">
        <v>18054</v>
      </c>
      <c r="M505" t="s">
        <v>13844</v>
      </c>
      <c r="N505" t="s">
        <v>19308</v>
      </c>
      <c r="O505" t="s">
        <v>18054</v>
      </c>
      <c r="P505">
        <v>1</v>
      </c>
      <c r="Q505" t="s">
        <v>19307</v>
      </c>
    </row>
    <row r="506" spans="1:17" x14ac:dyDescent="0.2">
      <c r="A506" s="70" t="s">
        <v>13864</v>
      </c>
      <c r="B506" s="92" t="s">
        <v>20163</v>
      </c>
      <c r="C506" s="92" t="s">
        <v>13865</v>
      </c>
      <c r="D506" s="117" t="s">
        <v>20172</v>
      </c>
      <c r="E506" s="70">
        <v>400325</v>
      </c>
      <c r="F506" s="79" t="s">
        <v>137</v>
      </c>
      <c r="G506" t="str">
        <f t="shared" si="19"/>
        <v>Clear Jaldabaoth's Piercing Gale: Expert (Rise of the Sinister Dominion)</v>
      </c>
      <c r="H506" s="79" t="s">
        <v>137</v>
      </c>
      <c r="I506" t="s">
        <v>137</v>
      </c>
      <c r="J506" s="70">
        <v>9</v>
      </c>
      <c r="K506" s="118">
        <v>44316</v>
      </c>
      <c r="L506" t="s">
        <v>18054</v>
      </c>
      <c r="M506" t="s">
        <v>13844</v>
      </c>
      <c r="N506" t="s">
        <v>19308</v>
      </c>
      <c r="O506" t="s">
        <v>18033</v>
      </c>
      <c r="P506">
        <v>2</v>
      </c>
      <c r="Q506" t="s">
        <v>19309</v>
      </c>
    </row>
    <row r="507" spans="1:17" x14ac:dyDescent="0.2">
      <c r="A507" s="70" t="s">
        <v>13866</v>
      </c>
      <c r="B507" s="92" t="s">
        <v>20163</v>
      </c>
      <c r="C507" s="92" t="s">
        <v>13867</v>
      </c>
      <c r="D507" s="117" t="s">
        <v>20173</v>
      </c>
      <c r="E507" s="70">
        <v>400214</v>
      </c>
      <c r="F507" s="79" t="s">
        <v>137</v>
      </c>
      <c r="G507" t="str">
        <f t="shared" si="19"/>
        <v>Clear Jaldabaoth's Piercing Gale: Expert (Rise of the Sinister Dominion)</v>
      </c>
      <c r="H507" s="79" t="s">
        <v>137</v>
      </c>
      <c r="I507" t="s">
        <v>137</v>
      </c>
      <c r="J507" s="70">
        <v>9</v>
      </c>
      <c r="K507" s="118">
        <v>44316</v>
      </c>
      <c r="L507" t="s">
        <v>18054</v>
      </c>
      <c r="M507" t="s">
        <v>13844</v>
      </c>
      <c r="N507" t="s">
        <v>19308</v>
      </c>
      <c r="O507" t="s">
        <v>18033</v>
      </c>
      <c r="P507">
        <v>2</v>
      </c>
      <c r="Q507" t="s">
        <v>19309</v>
      </c>
    </row>
    <row r="508" spans="1:17" x14ac:dyDescent="0.2">
      <c r="A508" s="70" t="s">
        <v>13869</v>
      </c>
      <c r="B508" s="92" t="s">
        <v>20163</v>
      </c>
      <c r="C508" s="92" t="s">
        <v>13870</v>
      </c>
      <c r="D508" s="117" t="s">
        <v>20174</v>
      </c>
      <c r="E508" s="70">
        <v>400325</v>
      </c>
      <c r="F508" s="79" t="s">
        <v>137</v>
      </c>
      <c r="G508" t="str">
        <f t="shared" si="19"/>
        <v>Clear Jaldabaoth's Piercing Gale: Master (Rise of the Sinister Dominion)</v>
      </c>
      <c r="H508" s="79" t="s">
        <v>137</v>
      </c>
      <c r="I508" t="s">
        <v>137</v>
      </c>
      <c r="J508" s="70">
        <v>9</v>
      </c>
      <c r="K508" s="118">
        <v>44316</v>
      </c>
      <c r="L508" t="s">
        <v>18054</v>
      </c>
      <c r="M508" t="s">
        <v>13844</v>
      </c>
      <c r="N508" t="s">
        <v>19308</v>
      </c>
      <c r="O508" t="s">
        <v>18061</v>
      </c>
      <c r="P508">
        <v>3</v>
      </c>
      <c r="Q508" t="s">
        <v>19310</v>
      </c>
    </row>
    <row r="509" spans="1:17" x14ac:dyDescent="0.2">
      <c r="A509" s="70" t="s">
        <v>13871</v>
      </c>
      <c r="B509" s="92" t="s">
        <v>20163</v>
      </c>
      <c r="C509" s="92" t="s">
        <v>13872</v>
      </c>
      <c r="D509" s="117" t="s">
        <v>20175</v>
      </c>
      <c r="E509" s="70">
        <v>400214</v>
      </c>
      <c r="F509" s="79" t="s">
        <v>137</v>
      </c>
      <c r="G509" t="str">
        <f t="shared" si="19"/>
        <v>Clear Jaldabaoth's Piercing Gale: Master (Rise of the Sinister Dominion)</v>
      </c>
      <c r="H509" s="79" t="s">
        <v>137</v>
      </c>
      <c r="I509" t="s">
        <v>137</v>
      </c>
      <c r="J509" s="70">
        <v>9</v>
      </c>
      <c r="K509" s="118">
        <v>44316</v>
      </c>
      <c r="L509" t="s">
        <v>18054</v>
      </c>
      <c r="M509" t="s">
        <v>13844</v>
      </c>
      <c r="N509" t="s">
        <v>19308</v>
      </c>
      <c r="O509" t="s">
        <v>18061</v>
      </c>
      <c r="P509">
        <v>3</v>
      </c>
      <c r="Q509" t="s">
        <v>19310</v>
      </c>
    </row>
    <row r="510" spans="1:17" x14ac:dyDescent="0.2">
      <c r="A510" s="70" t="s">
        <v>13873</v>
      </c>
      <c r="B510" s="92" t="s">
        <v>20163</v>
      </c>
      <c r="C510" s="92" t="s">
        <v>13874</v>
      </c>
      <c r="D510" s="117" t="s">
        <v>20176</v>
      </c>
      <c r="E510" s="70">
        <v>400179</v>
      </c>
      <c r="F510" s="79" t="s">
        <v>137</v>
      </c>
      <c r="G510" t="str">
        <f t="shared" si="19"/>
        <v>Clear Asura's Blinding Light: Standard (Rise of the Sinister Dominion)</v>
      </c>
      <c r="H510" s="79" t="s">
        <v>137</v>
      </c>
      <c r="I510" t="s">
        <v>137</v>
      </c>
      <c r="J510" s="70">
        <v>9</v>
      </c>
      <c r="K510" s="118">
        <v>44379</v>
      </c>
      <c r="L510" t="s">
        <v>18054</v>
      </c>
      <c r="M510" t="s">
        <v>13844</v>
      </c>
      <c r="N510" t="s">
        <v>19320</v>
      </c>
      <c r="O510" t="s">
        <v>18054</v>
      </c>
      <c r="P510">
        <v>1</v>
      </c>
      <c r="Q510" t="s">
        <v>19319</v>
      </c>
    </row>
    <row r="511" spans="1:17" x14ac:dyDescent="0.2">
      <c r="A511" s="70" t="s">
        <v>13875</v>
      </c>
      <c r="B511" s="92" t="s">
        <v>20163</v>
      </c>
      <c r="C511" s="92" t="s">
        <v>13876</v>
      </c>
      <c r="D511" s="117" t="s">
        <v>20177</v>
      </c>
      <c r="E511" s="70">
        <v>400261</v>
      </c>
      <c r="F511" s="79" t="s">
        <v>137</v>
      </c>
      <c r="G511" t="str">
        <f t="shared" si="19"/>
        <v>Clear Asura's Blinding Light: Standard (Rise of the Sinister Dominion)</v>
      </c>
      <c r="H511" s="79" t="s">
        <v>137</v>
      </c>
      <c r="I511" t="s">
        <v>137</v>
      </c>
      <c r="J511" s="70">
        <v>9</v>
      </c>
      <c r="K511" s="118">
        <v>44379</v>
      </c>
      <c r="L511" t="s">
        <v>18054</v>
      </c>
      <c r="M511" t="s">
        <v>13844</v>
      </c>
      <c r="N511" t="s">
        <v>19320</v>
      </c>
      <c r="O511" t="s">
        <v>18054</v>
      </c>
      <c r="P511">
        <v>1</v>
      </c>
      <c r="Q511" t="s">
        <v>19319</v>
      </c>
    </row>
    <row r="512" spans="1:17" x14ac:dyDescent="0.2">
      <c r="A512" s="70" t="s">
        <v>13878</v>
      </c>
      <c r="B512" s="92" t="s">
        <v>20163</v>
      </c>
      <c r="C512" s="92" t="s">
        <v>13879</v>
      </c>
      <c r="D512" s="117" t="s">
        <v>20178</v>
      </c>
      <c r="E512" s="70">
        <v>400301</v>
      </c>
      <c r="F512" s="79" t="s">
        <v>137</v>
      </c>
      <c r="G512" t="str">
        <f t="shared" si="19"/>
        <v>Clear Asura's Blinding Light: Expert (Rise of the Sinister Dominion)</v>
      </c>
      <c r="H512" s="79" t="s">
        <v>137</v>
      </c>
      <c r="I512" t="s">
        <v>137</v>
      </c>
      <c r="J512" s="70">
        <v>9</v>
      </c>
      <c r="K512" s="118">
        <v>44379</v>
      </c>
      <c r="L512" t="s">
        <v>18054</v>
      </c>
      <c r="M512" t="s">
        <v>13844</v>
      </c>
      <c r="N512" t="s">
        <v>19320</v>
      </c>
      <c r="O512" t="s">
        <v>18033</v>
      </c>
      <c r="P512">
        <v>2</v>
      </c>
      <c r="Q512" t="s">
        <v>19321</v>
      </c>
    </row>
    <row r="513" spans="1:17" x14ac:dyDescent="0.2">
      <c r="A513" s="70" t="s">
        <v>13880</v>
      </c>
      <c r="B513" s="92" t="s">
        <v>20163</v>
      </c>
      <c r="C513" s="92" t="s">
        <v>13881</v>
      </c>
      <c r="D513" s="117" t="s">
        <v>20179</v>
      </c>
      <c r="E513" s="70">
        <v>400226</v>
      </c>
      <c r="F513" s="79" t="s">
        <v>137</v>
      </c>
      <c r="G513" t="str">
        <f t="shared" si="19"/>
        <v>Clear Asura's Blinding Light: Expert (Rise of the Sinister Dominion)</v>
      </c>
      <c r="H513" s="79" t="s">
        <v>137</v>
      </c>
      <c r="I513" t="s">
        <v>137</v>
      </c>
      <c r="J513" s="70">
        <v>9</v>
      </c>
      <c r="K513" s="118">
        <v>44379</v>
      </c>
      <c r="L513" t="s">
        <v>18054</v>
      </c>
      <c r="M513" t="s">
        <v>13844</v>
      </c>
      <c r="N513" t="s">
        <v>19320</v>
      </c>
      <c r="O513" t="s">
        <v>18033</v>
      </c>
      <c r="P513">
        <v>2</v>
      </c>
      <c r="Q513" t="s">
        <v>19321</v>
      </c>
    </row>
    <row r="514" spans="1:17" x14ac:dyDescent="0.2">
      <c r="A514" s="70" t="s">
        <v>13883</v>
      </c>
      <c r="B514" s="92" t="s">
        <v>20163</v>
      </c>
      <c r="C514" s="92" t="s">
        <v>13884</v>
      </c>
      <c r="D514" s="117" t="s">
        <v>20180</v>
      </c>
      <c r="E514" s="70">
        <v>400301</v>
      </c>
      <c r="F514" s="79" t="s">
        <v>137</v>
      </c>
      <c r="G514" t="str">
        <f t="shared" si="19"/>
        <v>Clear Asura's Blinding Light: Master (Rise of the Sinister Dominion)</v>
      </c>
      <c r="H514" s="79" t="s">
        <v>137</v>
      </c>
      <c r="I514" t="s">
        <v>137</v>
      </c>
      <c r="J514" s="70">
        <v>9</v>
      </c>
      <c r="K514" s="118">
        <v>44379</v>
      </c>
      <c r="L514" t="s">
        <v>18054</v>
      </c>
      <c r="M514" t="s">
        <v>13844</v>
      </c>
      <c r="N514" t="s">
        <v>19320</v>
      </c>
      <c r="O514" t="s">
        <v>18061</v>
      </c>
      <c r="P514">
        <v>3</v>
      </c>
      <c r="Q514" t="s">
        <v>19322</v>
      </c>
    </row>
    <row r="515" spans="1:17" x14ac:dyDescent="0.2">
      <c r="A515" s="70" t="s">
        <v>13885</v>
      </c>
      <c r="B515" s="92" t="s">
        <v>20163</v>
      </c>
      <c r="C515" s="92" t="s">
        <v>13886</v>
      </c>
      <c r="D515" s="117" t="s">
        <v>20181</v>
      </c>
      <c r="E515" s="70">
        <v>400226</v>
      </c>
      <c r="F515" s="79" t="s">
        <v>137</v>
      </c>
      <c r="G515" t="str">
        <f t="shared" si="19"/>
        <v>Clear Asura's Blinding Light: Master (Rise of the Sinister Dominion)</v>
      </c>
      <c r="H515" s="79" t="s">
        <v>137</v>
      </c>
      <c r="I515" t="s">
        <v>137</v>
      </c>
      <c r="J515" s="70">
        <v>9</v>
      </c>
      <c r="K515" s="118">
        <v>44379</v>
      </c>
      <c r="L515" t="s">
        <v>18054</v>
      </c>
      <c r="M515" t="s">
        <v>13844</v>
      </c>
      <c r="N515" t="s">
        <v>19320</v>
      </c>
      <c r="O515" t="s">
        <v>18061</v>
      </c>
      <c r="P515">
        <v>3</v>
      </c>
      <c r="Q515" t="s">
        <v>19322</v>
      </c>
    </row>
    <row r="516" spans="1:17" x14ac:dyDescent="0.2">
      <c r="A516" s="70" t="s">
        <v>13887</v>
      </c>
      <c r="B516" s="92" t="s">
        <v>20163</v>
      </c>
      <c r="C516" s="92" t="s">
        <v>13888</v>
      </c>
      <c r="D516" s="117" t="s">
        <v>20182</v>
      </c>
      <c r="E516" s="70">
        <v>400180</v>
      </c>
      <c r="F516" s="79" t="s">
        <v>137</v>
      </c>
      <c r="G516" t="str">
        <f t="shared" si="19"/>
        <v>Clear Iblis's Surging Cascade: Standard (Rise of the Sinister Dominion)</v>
      </c>
      <c r="H516" s="79" t="s">
        <v>137</v>
      </c>
      <c r="I516" t="s">
        <v>137</v>
      </c>
      <c r="J516" s="70">
        <v>9</v>
      </c>
      <c r="K516" s="118">
        <v>44442</v>
      </c>
      <c r="L516" t="s">
        <v>18054</v>
      </c>
      <c r="M516" t="s">
        <v>13844</v>
      </c>
      <c r="N516" t="s">
        <v>19312</v>
      </c>
      <c r="O516" t="s">
        <v>18054</v>
      </c>
      <c r="P516">
        <v>1</v>
      </c>
      <c r="Q516" t="s">
        <v>19311</v>
      </c>
    </row>
    <row r="517" spans="1:17" x14ac:dyDescent="0.2">
      <c r="A517" s="70" t="s">
        <v>13890</v>
      </c>
      <c r="B517" s="92" t="s">
        <v>20163</v>
      </c>
      <c r="C517" s="92" t="s">
        <v>13891</v>
      </c>
      <c r="D517" s="117" t="s">
        <v>20183</v>
      </c>
      <c r="E517" s="70">
        <v>400199</v>
      </c>
      <c r="F517" s="79" t="s">
        <v>137</v>
      </c>
      <c r="G517" t="str">
        <f t="shared" si="19"/>
        <v>Clear Iblis's Surging Cascade: Standard (Rise of the Sinister Dominion)</v>
      </c>
      <c r="H517" s="79" t="s">
        <v>137</v>
      </c>
      <c r="I517" t="s">
        <v>137</v>
      </c>
      <c r="J517" s="70">
        <v>9</v>
      </c>
      <c r="K517" s="118">
        <v>44442</v>
      </c>
      <c r="L517" t="s">
        <v>18054</v>
      </c>
      <c r="M517" t="s">
        <v>13844</v>
      </c>
      <c r="N517" t="s">
        <v>19312</v>
      </c>
      <c r="O517" t="s">
        <v>18054</v>
      </c>
      <c r="P517">
        <v>1</v>
      </c>
      <c r="Q517" t="s">
        <v>19311</v>
      </c>
    </row>
    <row r="518" spans="1:17" x14ac:dyDescent="0.2">
      <c r="A518" s="70" t="s">
        <v>13893</v>
      </c>
      <c r="B518" s="92" t="s">
        <v>20163</v>
      </c>
      <c r="C518" s="92" t="s">
        <v>13894</v>
      </c>
      <c r="D518" s="117" t="s">
        <v>20184</v>
      </c>
      <c r="E518" s="70">
        <v>400247</v>
      </c>
      <c r="F518" s="79" t="s">
        <v>137</v>
      </c>
      <c r="G518" t="str">
        <f t="shared" si="19"/>
        <v>Clear Iblis's Surging Cascade: Expert (Rise of the Sinister Dominion)</v>
      </c>
      <c r="H518" s="79" t="s">
        <v>137</v>
      </c>
      <c r="I518" t="s">
        <v>137</v>
      </c>
      <c r="J518" s="70">
        <v>9</v>
      </c>
      <c r="K518" s="118">
        <v>44442</v>
      </c>
      <c r="L518" t="s">
        <v>18054</v>
      </c>
      <c r="M518" t="s">
        <v>13844</v>
      </c>
      <c r="N518" t="s">
        <v>19312</v>
      </c>
      <c r="O518" t="s">
        <v>18033</v>
      </c>
      <c r="P518">
        <v>2</v>
      </c>
      <c r="Q518" t="s">
        <v>19313</v>
      </c>
    </row>
    <row r="519" spans="1:17" x14ac:dyDescent="0.2">
      <c r="A519" s="70" t="s">
        <v>13896</v>
      </c>
      <c r="B519" s="92" t="s">
        <v>20163</v>
      </c>
      <c r="C519" s="92" t="s">
        <v>13897</v>
      </c>
      <c r="D519" s="117" t="s">
        <v>20185</v>
      </c>
      <c r="E519" s="70">
        <v>400203</v>
      </c>
      <c r="F519" s="79" t="s">
        <v>137</v>
      </c>
      <c r="G519" t="str">
        <f t="shared" si="19"/>
        <v>Clear Iblis's Surging Cascade: Expert (Rise of the Sinister Dominion)</v>
      </c>
      <c r="H519" s="79" t="s">
        <v>137</v>
      </c>
      <c r="I519" t="s">
        <v>137</v>
      </c>
      <c r="J519" s="70">
        <v>9</v>
      </c>
      <c r="K519" s="118">
        <v>44442</v>
      </c>
      <c r="L519" t="s">
        <v>18054</v>
      </c>
      <c r="M519" t="s">
        <v>13844</v>
      </c>
      <c r="N519" t="s">
        <v>19312</v>
      </c>
      <c r="O519" t="s">
        <v>18033</v>
      </c>
      <c r="P519">
        <v>2</v>
      </c>
      <c r="Q519" t="s">
        <v>19313</v>
      </c>
    </row>
    <row r="520" spans="1:17" x14ac:dyDescent="0.2">
      <c r="A520" s="70" t="s">
        <v>13898</v>
      </c>
      <c r="B520" s="92" t="s">
        <v>20163</v>
      </c>
      <c r="C520" s="92" t="s">
        <v>20186</v>
      </c>
      <c r="D520" s="117" t="s">
        <v>20187</v>
      </c>
      <c r="E520" s="70">
        <v>400247</v>
      </c>
      <c r="F520" s="79" t="s">
        <v>137</v>
      </c>
      <c r="G520" t="str">
        <f t="shared" si="19"/>
        <v>Clear Iblis's Surging Cascade: Master (Rise of the Sinister Dominion)</v>
      </c>
      <c r="H520" s="79" t="s">
        <v>137</v>
      </c>
      <c r="I520" t="s">
        <v>137</v>
      </c>
      <c r="J520" s="70">
        <v>9</v>
      </c>
      <c r="K520" s="118">
        <v>44442</v>
      </c>
      <c r="L520" t="s">
        <v>18054</v>
      </c>
      <c r="M520" t="s">
        <v>13844</v>
      </c>
      <c r="N520" t="s">
        <v>19312</v>
      </c>
      <c r="O520" t="s">
        <v>18061</v>
      </c>
      <c r="P520">
        <v>3</v>
      </c>
      <c r="Q520" t="s">
        <v>19314</v>
      </c>
    </row>
    <row r="521" spans="1:17" x14ac:dyDescent="0.2">
      <c r="A521" s="70" t="s">
        <v>13900</v>
      </c>
      <c r="B521" s="92" t="s">
        <v>20163</v>
      </c>
      <c r="C521" s="92" t="s">
        <v>13901</v>
      </c>
      <c r="D521" s="117" t="s">
        <v>20188</v>
      </c>
      <c r="E521" s="70">
        <v>400203</v>
      </c>
      <c r="F521" s="79" t="s">
        <v>137</v>
      </c>
      <c r="G521" t="str">
        <f t="shared" si="19"/>
        <v>Clear Iblis's Surging Cascade: Master (Rise of the Sinister Dominion)</v>
      </c>
      <c r="H521" s="79" t="s">
        <v>137</v>
      </c>
      <c r="I521" t="s">
        <v>137</v>
      </c>
      <c r="J521" s="70">
        <v>9</v>
      </c>
      <c r="K521" s="118">
        <v>44442</v>
      </c>
      <c r="L521" t="s">
        <v>18054</v>
      </c>
      <c r="M521" t="s">
        <v>13844</v>
      </c>
      <c r="N521" t="s">
        <v>19312</v>
      </c>
      <c r="O521" t="s">
        <v>18061</v>
      </c>
      <c r="P521">
        <v>3</v>
      </c>
      <c r="Q521" t="s">
        <v>19314</v>
      </c>
    </row>
    <row r="522" spans="1:17" x14ac:dyDescent="0.2">
      <c r="A522" s="70" t="s">
        <v>13902</v>
      </c>
      <c r="B522" s="92" t="s">
        <v>20163</v>
      </c>
      <c r="C522" s="92" t="s">
        <v>13903</v>
      </c>
      <c r="D522" s="117" t="s">
        <v>20189</v>
      </c>
      <c r="E522" s="70">
        <v>400181</v>
      </c>
      <c r="F522" s="79" t="s">
        <v>137</v>
      </c>
      <c r="G522" t="str">
        <f t="shared" si="19"/>
        <v>Clear Surtr's Devouring Flame: Standard (Rise of the Sinister Dominion)</v>
      </c>
      <c r="H522" s="79" t="s">
        <v>137</v>
      </c>
      <c r="I522" t="s">
        <v>137</v>
      </c>
      <c r="J522" s="70">
        <v>9</v>
      </c>
      <c r="K522" s="118">
        <v>44498</v>
      </c>
      <c r="L522" t="s">
        <v>18054</v>
      </c>
      <c r="M522" t="s">
        <v>13844</v>
      </c>
      <c r="N522" t="s">
        <v>19316</v>
      </c>
      <c r="O522" t="s">
        <v>18054</v>
      </c>
      <c r="P522">
        <v>1</v>
      </c>
      <c r="Q522" t="s">
        <v>19315</v>
      </c>
    </row>
    <row r="523" spans="1:17" x14ac:dyDescent="0.2">
      <c r="A523" s="70" t="s">
        <v>13904</v>
      </c>
      <c r="B523" s="92" t="s">
        <v>20163</v>
      </c>
      <c r="C523" s="92" t="s">
        <v>13905</v>
      </c>
      <c r="D523" s="117" t="s">
        <v>20190</v>
      </c>
      <c r="E523" s="70">
        <v>400254</v>
      </c>
      <c r="F523" s="79" t="s">
        <v>137</v>
      </c>
      <c r="G523" t="str">
        <f t="shared" si="19"/>
        <v>Clear Surtr's Devouring Flame: Standard (Rise of the Sinister Dominion)</v>
      </c>
      <c r="H523" s="79" t="s">
        <v>137</v>
      </c>
      <c r="I523" t="s">
        <v>137</v>
      </c>
      <c r="J523" s="70">
        <v>9</v>
      </c>
      <c r="K523" s="118">
        <v>44498</v>
      </c>
      <c r="L523" t="s">
        <v>18054</v>
      </c>
      <c r="M523" t="s">
        <v>13844</v>
      </c>
      <c r="N523" t="s">
        <v>19316</v>
      </c>
      <c r="O523" t="s">
        <v>18054</v>
      </c>
      <c r="P523">
        <v>1</v>
      </c>
      <c r="Q523" t="s">
        <v>19315</v>
      </c>
    </row>
    <row r="524" spans="1:17" x14ac:dyDescent="0.2">
      <c r="A524" s="70" t="s">
        <v>13907</v>
      </c>
      <c r="B524" s="92" t="s">
        <v>20163</v>
      </c>
      <c r="C524" s="92" t="s">
        <v>13908</v>
      </c>
      <c r="D524" s="117" t="s">
        <v>20191</v>
      </c>
      <c r="E524" s="70">
        <v>400191</v>
      </c>
      <c r="F524" s="79" t="s">
        <v>137</v>
      </c>
      <c r="G524" t="str">
        <f t="shared" si="19"/>
        <v>Clear Surtr's Devouring Flame: Expert (Rise of the Sinister Dominion)</v>
      </c>
      <c r="H524" s="79" t="s">
        <v>137</v>
      </c>
      <c r="I524" t="s">
        <v>137</v>
      </c>
      <c r="J524" s="70">
        <v>9</v>
      </c>
      <c r="K524" s="118">
        <v>44498</v>
      </c>
      <c r="L524" t="s">
        <v>18054</v>
      </c>
      <c r="M524" t="s">
        <v>13844</v>
      </c>
      <c r="N524" t="s">
        <v>19316</v>
      </c>
      <c r="O524" t="s">
        <v>18033</v>
      </c>
      <c r="P524">
        <v>2</v>
      </c>
      <c r="Q524" t="s">
        <v>19317</v>
      </c>
    </row>
    <row r="525" spans="1:17" x14ac:dyDescent="0.2">
      <c r="A525" s="70" t="s">
        <v>13909</v>
      </c>
      <c r="B525" s="92" t="s">
        <v>20163</v>
      </c>
      <c r="C525" s="92" t="s">
        <v>13910</v>
      </c>
      <c r="D525" s="117" t="s">
        <v>20192</v>
      </c>
      <c r="E525" s="70">
        <v>400192</v>
      </c>
      <c r="F525" s="79" t="s">
        <v>137</v>
      </c>
      <c r="G525" t="str">
        <f t="shared" si="19"/>
        <v>Clear Surtr's Devouring Flame: Expert (Rise of the Sinister Dominion)</v>
      </c>
      <c r="H525" s="79" t="s">
        <v>137</v>
      </c>
      <c r="I525" t="s">
        <v>137</v>
      </c>
      <c r="J525" s="70">
        <v>9</v>
      </c>
      <c r="K525" s="118">
        <v>44498</v>
      </c>
      <c r="L525" t="s">
        <v>18054</v>
      </c>
      <c r="M525" t="s">
        <v>13844</v>
      </c>
      <c r="N525" t="s">
        <v>19316</v>
      </c>
      <c r="O525" t="s">
        <v>18033</v>
      </c>
      <c r="P525">
        <v>2</v>
      </c>
      <c r="Q525" t="s">
        <v>19317</v>
      </c>
    </row>
    <row r="526" spans="1:17" x14ac:dyDescent="0.2">
      <c r="A526" s="70" t="s">
        <v>13911</v>
      </c>
      <c r="B526" s="92" t="s">
        <v>20163</v>
      </c>
      <c r="C526" s="92" t="s">
        <v>13912</v>
      </c>
      <c r="D526" s="117" t="s">
        <v>20193</v>
      </c>
      <c r="E526" s="70">
        <v>400191</v>
      </c>
      <c r="F526" s="79" t="s">
        <v>137</v>
      </c>
      <c r="G526" t="str">
        <f t="shared" si="19"/>
        <v>Clear Surtr's Devouring Flame: Master (Rise of the Sinister Dominion)</v>
      </c>
      <c r="H526" s="79" t="s">
        <v>137</v>
      </c>
      <c r="I526" t="s">
        <v>137</v>
      </c>
      <c r="J526" s="70">
        <v>9</v>
      </c>
      <c r="K526" s="118">
        <v>44498</v>
      </c>
      <c r="L526" t="s">
        <v>18054</v>
      </c>
      <c r="M526" t="s">
        <v>13844</v>
      </c>
      <c r="N526" t="s">
        <v>19316</v>
      </c>
      <c r="O526" t="s">
        <v>18061</v>
      </c>
      <c r="P526">
        <v>3</v>
      </c>
      <c r="Q526" t="s">
        <v>19318</v>
      </c>
    </row>
    <row r="527" spans="1:17" x14ac:dyDescent="0.2">
      <c r="A527" s="70" t="s">
        <v>13913</v>
      </c>
      <c r="B527" s="92" t="s">
        <v>20163</v>
      </c>
      <c r="C527" s="92" t="s">
        <v>13914</v>
      </c>
      <c r="D527" s="117" t="s">
        <v>20194</v>
      </c>
      <c r="E527" s="70">
        <v>400192</v>
      </c>
      <c r="F527" s="79" t="s">
        <v>137</v>
      </c>
      <c r="G527" t="str">
        <f t="shared" si="19"/>
        <v>Clear Surtr's Devouring Flame: Master (Rise of the Sinister Dominion)</v>
      </c>
      <c r="H527" s="79" t="s">
        <v>137</v>
      </c>
      <c r="I527" t="s">
        <v>137</v>
      </c>
      <c r="J527" s="70">
        <v>9</v>
      </c>
      <c r="K527" s="118">
        <v>44498</v>
      </c>
      <c r="L527" t="s">
        <v>18054</v>
      </c>
      <c r="M527" t="s">
        <v>13844</v>
      </c>
      <c r="N527" t="s">
        <v>19316</v>
      </c>
      <c r="O527" t="s">
        <v>18061</v>
      </c>
      <c r="P527">
        <v>3</v>
      </c>
      <c r="Q527" t="s">
        <v>19318</v>
      </c>
    </row>
    <row r="528" spans="1:17" x14ac:dyDescent="0.2">
      <c r="A528" s="70" t="s">
        <v>13916</v>
      </c>
      <c r="B528" s="92" t="s">
        <v>20163</v>
      </c>
      <c r="C528" s="92" t="s">
        <v>13917</v>
      </c>
      <c r="D528" s="117" t="s">
        <v>20195</v>
      </c>
      <c r="E528" s="70">
        <v>400062</v>
      </c>
      <c r="F528" s="79" t="s">
        <v>137</v>
      </c>
      <c r="G528" t="str">
        <f>N528&amp;" ("&amp;O528&amp;")"</f>
        <v>Obtain From Ch. 02 EX 2 Chest (Normal)</v>
      </c>
      <c r="H528" s="79" t="s">
        <v>137</v>
      </c>
      <c r="I528" t="s">
        <v>137</v>
      </c>
      <c r="J528" s="70">
        <v>5</v>
      </c>
      <c r="K528" s="118">
        <v>43370</v>
      </c>
      <c r="L528" t="s">
        <v>18054</v>
      </c>
      <c r="M528" t="s">
        <v>17513</v>
      </c>
      <c r="N528" t="s">
        <v>20196</v>
      </c>
      <c r="O528" t="s">
        <v>15731</v>
      </c>
      <c r="P528">
        <v>1</v>
      </c>
      <c r="Q528" t="s">
        <v>15860</v>
      </c>
    </row>
    <row r="529" spans="1:17" x14ac:dyDescent="0.2">
      <c r="A529" s="70" t="s">
        <v>13920</v>
      </c>
      <c r="B529" s="92" t="s">
        <v>20163</v>
      </c>
      <c r="C529" s="92" t="s">
        <v>484</v>
      </c>
      <c r="D529" s="117" t="s">
        <v>20197</v>
      </c>
      <c r="E529" s="70">
        <v>400063</v>
      </c>
      <c r="F529" s="79" t="s">
        <v>137</v>
      </c>
      <c r="G529" t="str">
        <f>+"Clear "&amp;N529&amp;" of the Main Campaign ("&amp;O529&amp;")"</f>
        <v>Clear Ch. 01 4-5 of the Main Campaign (Hard)</v>
      </c>
      <c r="H529" s="79" t="s">
        <v>137</v>
      </c>
      <c r="I529" t="s">
        <v>137</v>
      </c>
      <c r="J529" s="70">
        <v>5</v>
      </c>
      <c r="K529" s="118">
        <v>43370</v>
      </c>
      <c r="L529" t="s">
        <v>18054</v>
      </c>
      <c r="M529" t="s">
        <v>17513</v>
      </c>
      <c r="N529" t="s">
        <v>20198</v>
      </c>
      <c r="O529" t="s">
        <v>15732</v>
      </c>
      <c r="P529">
        <v>1</v>
      </c>
      <c r="Q529" t="s">
        <v>17528</v>
      </c>
    </row>
    <row r="530" spans="1:17" x14ac:dyDescent="0.2">
      <c r="A530" s="70" t="s">
        <v>13923</v>
      </c>
      <c r="B530" s="92" t="s">
        <v>20163</v>
      </c>
      <c r="C530" s="92" t="s">
        <v>13924</v>
      </c>
      <c r="D530" s="117" t="s">
        <v>20199</v>
      </c>
      <c r="E530" s="70">
        <v>400064</v>
      </c>
      <c r="F530" s="79" t="s">
        <v>137</v>
      </c>
      <c r="G530" t="str">
        <f>N530&amp;" ("&amp;O530&amp;")"</f>
        <v>Obtain From Ch. 09 EX 1 Chest (Hard)</v>
      </c>
      <c r="H530" s="79" t="s">
        <v>137</v>
      </c>
      <c r="I530" t="s">
        <v>137</v>
      </c>
      <c r="J530" s="70">
        <v>5</v>
      </c>
      <c r="K530" s="118">
        <v>43370</v>
      </c>
      <c r="L530" t="s">
        <v>18054</v>
      </c>
      <c r="M530" t="s">
        <v>17513</v>
      </c>
      <c r="N530" t="s">
        <v>20200</v>
      </c>
      <c r="O530" t="s">
        <v>15732</v>
      </c>
      <c r="P530">
        <v>1</v>
      </c>
      <c r="Q530" t="s">
        <v>17710</v>
      </c>
    </row>
    <row r="531" spans="1:17" x14ac:dyDescent="0.2">
      <c r="A531" s="70" t="s">
        <v>13927</v>
      </c>
      <c r="B531" s="92" t="s">
        <v>20163</v>
      </c>
      <c r="C531" s="92" t="s">
        <v>13928</v>
      </c>
      <c r="D531" s="117" t="s">
        <v>20201</v>
      </c>
      <c r="E531" s="70">
        <v>400065</v>
      </c>
      <c r="F531" s="79" t="s">
        <v>137</v>
      </c>
      <c r="G531" t="str">
        <f>N531&amp;" ("&amp;O531&amp;")"</f>
        <v>Obtain From Ch. 06 EX 1 Chest (Very Hard)</v>
      </c>
      <c r="H531" s="79" t="s">
        <v>137</v>
      </c>
      <c r="I531" t="s">
        <v>137</v>
      </c>
      <c r="J531" s="70">
        <v>5</v>
      </c>
      <c r="K531" s="118">
        <v>43370</v>
      </c>
      <c r="L531" t="s">
        <v>18054</v>
      </c>
      <c r="M531" t="s">
        <v>17513</v>
      </c>
      <c r="N531" t="s">
        <v>20202</v>
      </c>
      <c r="O531" t="s">
        <v>15733</v>
      </c>
      <c r="P531">
        <v>1</v>
      </c>
      <c r="Q531" t="s">
        <v>17637</v>
      </c>
    </row>
    <row r="532" spans="1:17" x14ac:dyDescent="0.2">
      <c r="A532" s="70" t="s">
        <v>13931</v>
      </c>
      <c r="B532" s="92" t="s">
        <v>20163</v>
      </c>
      <c r="C532" s="92" t="s">
        <v>13932</v>
      </c>
      <c r="D532" s="117" t="s">
        <v>20203</v>
      </c>
      <c r="E532" s="70">
        <v>400066</v>
      </c>
      <c r="F532" s="79" t="s">
        <v>137</v>
      </c>
      <c r="G532" t="str">
        <f>N532&amp;" ("&amp;O532&amp;")"</f>
        <v>Obtain From Ch. 06 EX 1 Chest (Hard)</v>
      </c>
      <c r="H532" s="79" t="s">
        <v>137</v>
      </c>
      <c r="I532" t="s">
        <v>137</v>
      </c>
      <c r="J532" s="70">
        <v>5</v>
      </c>
      <c r="K532" s="118">
        <v>43370</v>
      </c>
      <c r="L532" t="s">
        <v>18054</v>
      </c>
      <c r="M532" t="s">
        <v>17513</v>
      </c>
      <c r="N532" t="s">
        <v>20202</v>
      </c>
      <c r="O532" t="s">
        <v>15732</v>
      </c>
      <c r="P532">
        <v>1</v>
      </c>
      <c r="Q532" t="s">
        <v>17636</v>
      </c>
    </row>
    <row r="533" spans="1:17" x14ac:dyDescent="0.2">
      <c r="A533" s="70" t="s">
        <v>13934</v>
      </c>
      <c r="B533" s="92" t="s">
        <v>20163</v>
      </c>
      <c r="C533" s="92" t="s">
        <v>13935</v>
      </c>
      <c r="D533" s="117" t="s">
        <v>20204</v>
      </c>
      <c r="E533" s="70">
        <v>400067</v>
      </c>
      <c r="F533" s="79" t="s">
        <v>137</v>
      </c>
      <c r="G533" t="str">
        <f>N533&amp;" ("&amp;O533&amp;")"</f>
        <v>Obtain From Ch. 08 EX 2 Chest (Hard)</v>
      </c>
      <c r="H533" s="79" t="s">
        <v>137</v>
      </c>
      <c r="I533" t="s">
        <v>137</v>
      </c>
      <c r="J533" s="70">
        <v>5</v>
      </c>
      <c r="K533" s="118">
        <v>43370</v>
      </c>
      <c r="L533" t="s">
        <v>18054</v>
      </c>
      <c r="M533" t="s">
        <v>17513</v>
      </c>
      <c r="N533" t="s">
        <v>20205</v>
      </c>
      <c r="O533" t="s">
        <v>15732</v>
      </c>
      <c r="P533">
        <v>1</v>
      </c>
      <c r="Q533" t="s">
        <v>17700</v>
      </c>
    </row>
    <row r="534" spans="1:17" x14ac:dyDescent="0.2">
      <c r="A534" s="70" t="s">
        <v>13939</v>
      </c>
      <c r="B534" s="92" t="s">
        <v>20163</v>
      </c>
      <c r="C534" s="92" t="s">
        <v>13940</v>
      </c>
      <c r="D534" s="117" t="s">
        <v>20206</v>
      </c>
      <c r="E534" s="70">
        <v>400068</v>
      </c>
      <c r="F534" s="79" t="s">
        <v>137</v>
      </c>
      <c r="G534" t="str">
        <f>N534&amp;" ("&amp;O534&amp;")"</f>
        <v>Obtain From Ch. 02 EX 2 Chest (Hard)</v>
      </c>
      <c r="H534" s="79" t="s">
        <v>137</v>
      </c>
      <c r="I534" t="s">
        <v>137</v>
      </c>
      <c r="J534" s="70">
        <v>5</v>
      </c>
      <c r="K534" s="118">
        <v>43370</v>
      </c>
      <c r="L534" t="s">
        <v>18054</v>
      </c>
      <c r="M534" t="s">
        <v>17513</v>
      </c>
      <c r="N534" t="s">
        <v>20196</v>
      </c>
      <c r="O534" t="s">
        <v>15732</v>
      </c>
      <c r="P534">
        <v>1</v>
      </c>
      <c r="Q534" t="s">
        <v>17546</v>
      </c>
    </row>
    <row r="535" spans="1:17" x14ac:dyDescent="0.2">
      <c r="A535" s="70" t="s">
        <v>13941</v>
      </c>
      <c r="B535" s="92" t="s">
        <v>20163</v>
      </c>
      <c r="C535" s="92" t="s">
        <v>13942</v>
      </c>
      <c r="D535" s="117" t="s">
        <v>20207</v>
      </c>
      <c r="E535" s="70">
        <v>400052</v>
      </c>
      <c r="F535" s="79" t="s">
        <v>137</v>
      </c>
      <c r="G535" t="str">
        <f>"Clear "&amp;N535&amp;": "&amp;O535</f>
        <v>Clear Avenue to Power: Master</v>
      </c>
      <c r="H535" s="79" t="s">
        <v>137</v>
      </c>
      <c r="I535" t="s">
        <v>137</v>
      </c>
      <c r="J535" s="84">
        <v>5</v>
      </c>
      <c r="K535" s="118">
        <v>43370</v>
      </c>
      <c r="L535" t="s">
        <v>18054</v>
      </c>
      <c r="M535" t="s">
        <v>14970</v>
      </c>
      <c r="N535" t="s">
        <v>19157</v>
      </c>
      <c r="O535" t="s">
        <v>18061</v>
      </c>
      <c r="P535">
        <v>4</v>
      </c>
      <c r="Q535" t="s">
        <v>19160</v>
      </c>
    </row>
    <row r="536" spans="1:17" x14ac:dyDescent="0.2">
      <c r="A536" s="70" t="s">
        <v>13944</v>
      </c>
      <c r="B536" s="92" t="s">
        <v>20163</v>
      </c>
      <c r="C536" s="92" t="s">
        <v>13945</v>
      </c>
      <c r="D536" s="117" t="s">
        <v>20208</v>
      </c>
      <c r="E536" s="70">
        <v>400070</v>
      </c>
      <c r="F536" s="79" t="s">
        <v>137</v>
      </c>
      <c r="G536" t="str">
        <f>+"Clear "&amp;N536&amp;" of the Main Campaign ("&amp;O536&amp;")"</f>
        <v>Clear Ch. 03 4-3 of the Main Campaign (Very Hard)</v>
      </c>
      <c r="H536" s="79" t="s">
        <v>137</v>
      </c>
      <c r="I536" t="s">
        <v>137</v>
      </c>
      <c r="J536" s="70">
        <v>5</v>
      </c>
      <c r="K536" s="118">
        <v>43370</v>
      </c>
      <c r="L536" t="s">
        <v>18054</v>
      </c>
      <c r="M536" t="s">
        <v>17513</v>
      </c>
      <c r="N536" t="s">
        <v>20209</v>
      </c>
      <c r="O536" t="s">
        <v>15733</v>
      </c>
      <c r="P536">
        <v>1</v>
      </c>
      <c r="Q536" t="s">
        <v>17569</v>
      </c>
    </row>
    <row r="537" spans="1:17" x14ac:dyDescent="0.2">
      <c r="A537" s="70" t="s">
        <v>13948</v>
      </c>
      <c r="B537" s="92" t="s">
        <v>20163</v>
      </c>
      <c r="C537" s="92" t="s">
        <v>13949</v>
      </c>
      <c r="D537" s="117" t="s">
        <v>20210</v>
      </c>
      <c r="E537" s="70">
        <v>400071</v>
      </c>
      <c r="F537" s="79" t="s">
        <v>137</v>
      </c>
      <c r="G537" t="str">
        <f>+"Clear "&amp;N537&amp;" of the Main Campaign ("&amp;O537&amp;")"</f>
        <v>Clear Ch. 01 4-5 of the Main Campaign (Very Hard)</v>
      </c>
      <c r="H537" s="79" t="s">
        <v>137</v>
      </c>
      <c r="I537" t="s">
        <v>137</v>
      </c>
      <c r="J537" s="70">
        <v>5</v>
      </c>
      <c r="K537" s="118">
        <v>43370</v>
      </c>
      <c r="L537" t="s">
        <v>18054</v>
      </c>
      <c r="M537" t="s">
        <v>17513</v>
      </c>
      <c r="N537" t="s">
        <v>20198</v>
      </c>
      <c r="O537" t="s">
        <v>15733</v>
      </c>
      <c r="P537">
        <v>1</v>
      </c>
      <c r="Q537" t="s">
        <v>17529</v>
      </c>
    </row>
    <row r="538" spans="1:17" x14ac:dyDescent="0.2">
      <c r="A538" s="70" t="s">
        <v>13951</v>
      </c>
      <c r="B538" s="92" t="s">
        <v>20163</v>
      </c>
      <c r="C538" s="92" t="s">
        <v>13952</v>
      </c>
      <c r="D538" s="117" t="s">
        <v>20211</v>
      </c>
      <c r="E538" s="70">
        <v>400072</v>
      </c>
      <c r="F538" s="79" t="s">
        <v>137</v>
      </c>
      <c r="G538" t="str">
        <f>IF(O538="","Clear "&amp;N538&amp;" ("&amp;M538&amp;")","Clear "&amp;N538&amp;": "&amp;O538&amp;" ("&amp;M538&amp;")")</f>
        <v>Clear Battle at Mount Adolla: Master (The Imperial Onslaught)</v>
      </c>
      <c r="H538" s="79" t="s">
        <v>137</v>
      </c>
      <c r="I538" t="s">
        <v>137</v>
      </c>
      <c r="J538" s="70">
        <v>5</v>
      </c>
      <c r="K538" s="118">
        <v>43370</v>
      </c>
      <c r="L538" t="s">
        <v>18054</v>
      </c>
      <c r="M538" t="s">
        <v>13954</v>
      </c>
      <c r="N538" t="s">
        <v>19219</v>
      </c>
      <c r="O538" t="s">
        <v>18061</v>
      </c>
      <c r="P538">
        <v>4</v>
      </c>
      <c r="Q538" t="s">
        <v>19224</v>
      </c>
    </row>
    <row r="539" spans="1:17" x14ac:dyDescent="0.2">
      <c r="A539" s="70" t="s">
        <v>13955</v>
      </c>
      <c r="B539" s="92" t="s">
        <v>20163</v>
      </c>
      <c r="C539" s="92" t="s">
        <v>13956</v>
      </c>
      <c r="D539" s="117" t="s">
        <v>20212</v>
      </c>
      <c r="E539" s="70">
        <v>400075</v>
      </c>
      <c r="F539" s="79" t="s">
        <v>137</v>
      </c>
      <c r="G539" t="str">
        <f>IF(O539="","Clear "&amp;N539&amp;" ("&amp;M539&amp;")","Clear "&amp;N539&amp;": "&amp;O539&amp;" ("&amp;M539&amp;")")</f>
        <v>Clear Assault on Archeole: Expert (Loyalty's Requiem)</v>
      </c>
      <c r="H539" s="79" t="s">
        <v>137</v>
      </c>
      <c r="I539" t="s">
        <v>137</v>
      </c>
      <c r="J539" s="70">
        <v>5</v>
      </c>
      <c r="K539" s="118">
        <v>43377</v>
      </c>
      <c r="L539" t="s">
        <v>18017</v>
      </c>
      <c r="M539" t="s">
        <v>13959</v>
      </c>
      <c r="N539" t="s">
        <v>18030</v>
      </c>
      <c r="O539" t="s">
        <v>18033</v>
      </c>
      <c r="P539">
        <v>2</v>
      </c>
      <c r="Q539" t="s">
        <v>18032</v>
      </c>
    </row>
    <row r="540" spans="1:17" x14ac:dyDescent="0.2">
      <c r="A540" s="70" t="s">
        <v>13960</v>
      </c>
      <c r="B540" s="92" t="s">
        <v>20163</v>
      </c>
      <c r="C540" s="92" t="s">
        <v>13961</v>
      </c>
      <c r="D540" s="117" t="s">
        <v>20213</v>
      </c>
      <c r="E540" s="70">
        <v>400076</v>
      </c>
      <c r="F540" s="79" t="s">
        <v>137</v>
      </c>
      <c r="G540" t="str">
        <f>N540&amp;" ("&amp;O540&amp;")"</f>
        <v>Obtain From Ch. 02 EX 2 Chest (Very hard)</v>
      </c>
      <c r="H540" s="79" t="s">
        <v>137</v>
      </c>
      <c r="I540" t="s">
        <v>137</v>
      </c>
      <c r="J540" s="70">
        <v>5</v>
      </c>
      <c r="K540" s="118">
        <v>43377</v>
      </c>
      <c r="L540" t="s">
        <v>18054</v>
      </c>
      <c r="M540" t="s">
        <v>17513</v>
      </c>
      <c r="N540" t="s">
        <v>20196</v>
      </c>
      <c r="O540" t="s">
        <v>20214</v>
      </c>
      <c r="P540">
        <v>1</v>
      </c>
      <c r="Q540" t="s">
        <v>17547</v>
      </c>
    </row>
    <row r="541" spans="1:17" x14ac:dyDescent="0.2">
      <c r="A541" s="70" t="s">
        <v>13963</v>
      </c>
      <c r="B541" s="92" t="s">
        <v>20163</v>
      </c>
      <c r="C541" s="92" t="s">
        <v>13964</v>
      </c>
      <c r="D541" s="117" t="s">
        <v>20215</v>
      </c>
      <c r="E541" s="70">
        <v>400077</v>
      </c>
      <c r="F541" s="79" t="s">
        <v>137</v>
      </c>
      <c r="G541" t="str">
        <f>IF(O541="","Clear "&amp;N541&amp;" ("&amp;M541&amp;")","Clear "&amp;N541&amp;": "&amp;O541&amp;" ("&amp;M541&amp;")")</f>
        <v>Clear Squash the Pumpking: Beginner (Trick or Treasure!)</v>
      </c>
      <c r="H541" s="79" t="s">
        <v>137</v>
      </c>
      <c r="I541" t="s">
        <v>137</v>
      </c>
      <c r="J541" s="70">
        <v>5</v>
      </c>
      <c r="K541" s="118">
        <v>43390</v>
      </c>
      <c r="L541" t="s">
        <v>18046</v>
      </c>
      <c r="M541" t="s">
        <v>13967</v>
      </c>
      <c r="N541" t="s">
        <v>18052</v>
      </c>
      <c r="O541" t="s">
        <v>18031</v>
      </c>
      <c r="P541">
        <v>1</v>
      </c>
      <c r="Q541" t="s">
        <v>18051</v>
      </c>
    </row>
    <row r="542" spans="1:17" x14ac:dyDescent="0.2">
      <c r="A542" s="70" t="s">
        <v>13968</v>
      </c>
      <c r="B542" s="92" t="s">
        <v>20163</v>
      </c>
      <c r="C542" s="92" t="s">
        <v>13969</v>
      </c>
      <c r="D542" s="117" t="s">
        <v>20216</v>
      </c>
      <c r="E542" s="70">
        <v>400078</v>
      </c>
      <c r="F542" s="79" t="s">
        <v>137</v>
      </c>
      <c r="G542" t="str">
        <f>IF(O542="","Clear "&amp;N542&amp;" ("&amp;M542&amp;")","Clear "&amp;N542&amp;": "&amp;O542&amp;" ("&amp;M542&amp;")")</f>
        <v>Clear Squash the Pumpking: Standard (Trick or Treasure!)</v>
      </c>
      <c r="H542" s="79" t="s">
        <v>137</v>
      </c>
      <c r="I542" t="s">
        <v>137</v>
      </c>
      <c r="J542" s="70">
        <v>5</v>
      </c>
      <c r="K542" s="118">
        <v>43390</v>
      </c>
      <c r="L542" t="s">
        <v>18046</v>
      </c>
      <c r="M542" t="s">
        <v>13967</v>
      </c>
      <c r="N542" t="s">
        <v>18052</v>
      </c>
      <c r="O542" t="s">
        <v>18054</v>
      </c>
      <c r="P542">
        <v>2</v>
      </c>
      <c r="Q542" t="s">
        <v>18053</v>
      </c>
    </row>
    <row r="543" spans="1:17" x14ac:dyDescent="0.2">
      <c r="A543" s="70" t="s">
        <v>13971</v>
      </c>
      <c r="B543" s="92" t="s">
        <v>20163</v>
      </c>
      <c r="C543" s="92" t="s">
        <v>13972</v>
      </c>
      <c r="D543" s="117" t="s">
        <v>20217</v>
      </c>
      <c r="E543" s="70">
        <v>400087</v>
      </c>
      <c r="F543" s="79" t="s">
        <v>137</v>
      </c>
      <c r="G543" t="str">
        <f>IF(O543="",N543&amp;" ("&amp;M543&amp;")",N543&amp;": "&amp;O543&amp;" ("&amp;M543&amp;")")</f>
        <v>Participate in the Event (Trick or Treasure!)</v>
      </c>
      <c r="H543" s="79" t="s">
        <v>137</v>
      </c>
      <c r="I543" t="s">
        <v>137</v>
      </c>
      <c r="J543" s="70">
        <v>5</v>
      </c>
      <c r="K543" s="118">
        <v>43390</v>
      </c>
      <c r="L543" t="s">
        <v>18046</v>
      </c>
      <c r="M543" t="s">
        <v>13967</v>
      </c>
      <c r="N543" t="s">
        <v>19688</v>
      </c>
      <c r="Q543" t="s">
        <v>19720</v>
      </c>
    </row>
    <row r="544" spans="1:17" x14ac:dyDescent="0.2">
      <c r="A544" s="70" t="s">
        <v>13973</v>
      </c>
      <c r="B544" s="92" t="s">
        <v>20163</v>
      </c>
      <c r="C544" s="92" t="s">
        <v>13974</v>
      </c>
      <c r="D544" s="117" t="s">
        <v>20218</v>
      </c>
      <c r="E544" s="70">
        <v>400074</v>
      </c>
      <c r="F544" s="79" t="s">
        <v>137</v>
      </c>
      <c r="G544" t="str">
        <f>IF(O544="","Clear "&amp;N544&amp;" ("&amp;M544&amp;")","Clear "&amp;N544&amp;": "&amp;O544&amp;" ("&amp;M544&amp;")")</f>
        <v>Clear Storm Sentinel Clash: Expert (Kindness and Captivity)</v>
      </c>
      <c r="H544" s="79" t="s">
        <v>137</v>
      </c>
      <c r="I544" t="s">
        <v>137</v>
      </c>
      <c r="J544" s="70">
        <v>5</v>
      </c>
      <c r="K544" s="118">
        <v>43404</v>
      </c>
      <c r="L544" t="s">
        <v>18017</v>
      </c>
      <c r="M544" t="s">
        <v>13976</v>
      </c>
      <c r="N544" t="s">
        <v>18074</v>
      </c>
      <c r="O544" t="s">
        <v>18033</v>
      </c>
      <c r="P544">
        <v>3</v>
      </c>
      <c r="Q544" t="s">
        <v>18076</v>
      </c>
    </row>
    <row r="545" spans="1:17" x14ac:dyDescent="0.2">
      <c r="A545" s="70" t="s">
        <v>13977</v>
      </c>
      <c r="B545" s="92" t="s">
        <v>20163</v>
      </c>
      <c r="C545" s="92" t="s">
        <v>13978</v>
      </c>
      <c r="D545" s="117" t="s">
        <v>20219</v>
      </c>
      <c r="E545" s="70">
        <v>400099</v>
      </c>
      <c r="F545" s="79" t="s">
        <v>137</v>
      </c>
      <c r="G545" t="str">
        <f>N545&amp;" ("&amp;O545&amp;")"</f>
        <v>Obtain From Ch. 11 EX 1 Chest (Very Hard)</v>
      </c>
      <c r="H545" s="79" t="s">
        <v>137</v>
      </c>
      <c r="I545" t="s">
        <v>137</v>
      </c>
      <c r="J545" s="70">
        <v>5</v>
      </c>
      <c r="K545" s="118">
        <v>43404</v>
      </c>
      <c r="L545" t="s">
        <v>18054</v>
      </c>
      <c r="M545" t="s">
        <v>17513</v>
      </c>
      <c r="N545" t="s">
        <v>20220</v>
      </c>
      <c r="O545" t="s">
        <v>15733</v>
      </c>
      <c r="P545">
        <v>1</v>
      </c>
      <c r="Q545" t="s">
        <v>17751</v>
      </c>
    </row>
    <row r="546" spans="1:17" x14ac:dyDescent="0.2">
      <c r="A546" s="70" t="s">
        <v>13980</v>
      </c>
      <c r="B546" s="92" t="s">
        <v>20163</v>
      </c>
      <c r="C546" s="92" t="s">
        <v>13981</v>
      </c>
      <c r="D546" s="117" t="s">
        <v>20221</v>
      </c>
      <c r="E546" s="70">
        <v>400103</v>
      </c>
      <c r="F546" s="79" t="s">
        <v>137</v>
      </c>
      <c r="G546" t="str">
        <f>IF(O546="","Clear "&amp;N546&amp;" ("&amp;M546&amp;")","Clear "&amp;N546&amp;": "&amp;O546&amp;" ("&amp;M546&amp;")")</f>
        <v>Clear Fiend Alert!: Standard (A Wish to the Winds)</v>
      </c>
      <c r="H546" s="79" t="s">
        <v>137</v>
      </c>
      <c r="I546" t="s">
        <v>137</v>
      </c>
      <c r="J546" s="84">
        <v>5</v>
      </c>
      <c r="K546" s="118">
        <v>43419</v>
      </c>
      <c r="L546" t="s">
        <v>18046</v>
      </c>
      <c r="M546" t="s">
        <v>13983</v>
      </c>
      <c r="N546" t="s">
        <v>18088</v>
      </c>
      <c r="O546" t="s">
        <v>18054</v>
      </c>
      <c r="P546">
        <v>2</v>
      </c>
      <c r="Q546" t="s">
        <v>18089</v>
      </c>
    </row>
    <row r="547" spans="1:17" x14ac:dyDescent="0.2">
      <c r="A547" s="70" t="s">
        <v>13984</v>
      </c>
      <c r="B547" s="92" t="s">
        <v>20163</v>
      </c>
      <c r="C547" s="92" t="s">
        <v>13985</v>
      </c>
      <c r="D547" s="117" t="s">
        <v>20222</v>
      </c>
      <c r="E547" s="70">
        <v>400104</v>
      </c>
      <c r="F547" s="79" t="s">
        <v>137</v>
      </c>
      <c r="G547" t="str">
        <f>IF(O547="","Clear "&amp;N547&amp;" ("&amp;M547&amp;")","Clear "&amp;N547&amp;": "&amp;O547&amp;" ("&amp;M547&amp;")")</f>
        <v>Clear Ruler of the Shore: Expert (A Wish to the Winds)</v>
      </c>
      <c r="H547" s="79" t="s">
        <v>137</v>
      </c>
      <c r="I547" t="s">
        <v>137</v>
      </c>
      <c r="J547" s="84">
        <v>5</v>
      </c>
      <c r="K547" s="118">
        <v>43419</v>
      </c>
      <c r="L547" t="s">
        <v>18046</v>
      </c>
      <c r="M547" t="s">
        <v>13983</v>
      </c>
      <c r="N547" t="s">
        <v>18092</v>
      </c>
      <c r="O547" t="s">
        <v>18033</v>
      </c>
      <c r="P547">
        <v>1</v>
      </c>
      <c r="Q547" t="s">
        <v>18091</v>
      </c>
    </row>
    <row r="548" spans="1:17" x14ac:dyDescent="0.2">
      <c r="A548" s="70" t="s">
        <v>13986</v>
      </c>
      <c r="B548" s="92" t="s">
        <v>20163</v>
      </c>
      <c r="C548" s="92" t="s">
        <v>13987</v>
      </c>
      <c r="D548" s="117" t="s">
        <v>20223</v>
      </c>
      <c r="E548" s="70">
        <v>400107</v>
      </c>
      <c r="F548" s="79" t="s">
        <v>137</v>
      </c>
      <c r="G548" t="str">
        <f>IF(O548="",N548&amp;" ("&amp;M548&amp;")",N548&amp;": "&amp;O548&amp;" ("&amp;M548&amp;")")</f>
        <v>Participate in the Event (A Wish to the Winds)</v>
      </c>
      <c r="H548" s="79" t="s">
        <v>137</v>
      </c>
      <c r="I548" t="s">
        <v>137</v>
      </c>
      <c r="J548" s="84">
        <v>5</v>
      </c>
      <c r="K548" s="118">
        <v>43419</v>
      </c>
      <c r="L548" t="s">
        <v>18046</v>
      </c>
      <c r="M548" t="s">
        <v>13983</v>
      </c>
      <c r="N548" t="s">
        <v>19688</v>
      </c>
      <c r="Q548" t="s">
        <v>20028</v>
      </c>
    </row>
    <row r="549" spans="1:17" x14ac:dyDescent="0.2">
      <c r="A549" s="70" t="s">
        <v>13988</v>
      </c>
      <c r="B549" s="92" t="s">
        <v>20163</v>
      </c>
      <c r="C549" s="92" t="s">
        <v>13989</v>
      </c>
      <c r="D549" s="117" t="s">
        <v>20224</v>
      </c>
      <c r="E549" s="70">
        <v>400110</v>
      </c>
      <c r="F549" s="79" t="s">
        <v>137</v>
      </c>
      <c r="G549" t="str">
        <f>IF(O549="","Clear "&amp;N549&amp;" ("&amp;M549&amp;")","Clear "&amp;N549&amp;": "&amp;O549&amp;" ("&amp;M549&amp;")")</f>
        <v>Clear Sabnock Clash: EX (Resplendent Refrain)</v>
      </c>
      <c r="H549" s="79" t="s">
        <v>137</v>
      </c>
      <c r="I549" t="s">
        <v>137</v>
      </c>
      <c r="J549" s="70">
        <v>5</v>
      </c>
      <c r="K549" s="118">
        <v>43434</v>
      </c>
      <c r="L549" t="s">
        <v>18017</v>
      </c>
      <c r="M549" t="s">
        <v>13990</v>
      </c>
      <c r="N549" t="s">
        <v>18108</v>
      </c>
      <c r="O549" t="s">
        <v>18039</v>
      </c>
      <c r="P549">
        <v>4</v>
      </c>
      <c r="Q549" t="s">
        <v>18110</v>
      </c>
    </row>
    <row r="550" spans="1:17" x14ac:dyDescent="0.2">
      <c r="A550" s="70" t="s">
        <v>13991</v>
      </c>
      <c r="B550" s="92" t="s">
        <v>20163</v>
      </c>
      <c r="C550" s="92" t="s">
        <v>13992</v>
      </c>
      <c r="D550" s="117" t="s">
        <v>20225</v>
      </c>
      <c r="E550" s="70">
        <v>400111</v>
      </c>
      <c r="F550" s="79" t="s">
        <v>137</v>
      </c>
      <c r="G550" t="str">
        <f>"Clear "&amp;N550&amp;": "&amp;O550</f>
        <v>Clear Jupiter's Trial: Master</v>
      </c>
      <c r="H550" s="79" t="s">
        <v>137</v>
      </c>
      <c r="I550" t="s">
        <v>137</v>
      </c>
      <c r="J550" s="84">
        <v>5</v>
      </c>
      <c r="K550" s="118">
        <v>43434</v>
      </c>
      <c r="L550" t="s">
        <v>18054</v>
      </c>
      <c r="M550" t="s">
        <v>13994</v>
      </c>
      <c r="N550" t="s">
        <v>19209</v>
      </c>
      <c r="O550" t="s">
        <v>18061</v>
      </c>
      <c r="P550">
        <v>4</v>
      </c>
      <c r="Q550" t="s">
        <v>19212</v>
      </c>
    </row>
    <row r="551" spans="1:17" x14ac:dyDescent="0.2">
      <c r="A551" s="70" t="s">
        <v>13995</v>
      </c>
      <c r="B551" s="92" t="s">
        <v>20163</v>
      </c>
      <c r="C551" s="92" t="s">
        <v>13996</v>
      </c>
      <c r="D551" s="117" t="s">
        <v>20226</v>
      </c>
      <c r="E551" s="70">
        <v>400121</v>
      </c>
      <c r="F551" s="79" t="s">
        <v>137</v>
      </c>
      <c r="G551" t="str">
        <f>IF(O551="","Clear "&amp;N551&amp;" ("&amp;M551&amp;")","Clear "&amp;N551&amp;": "&amp;O551&amp;" ("&amp;M551&amp;")")</f>
        <v>Clear Battle in Rovetelle Forest: Master (The Imperial Onslaught)</v>
      </c>
      <c r="H551" s="79" t="s">
        <v>137</v>
      </c>
      <c r="I551" t="s">
        <v>137</v>
      </c>
      <c r="J551" s="70">
        <v>5</v>
      </c>
      <c r="K551" s="118">
        <v>43451</v>
      </c>
      <c r="L551" t="s">
        <v>18054</v>
      </c>
      <c r="M551" t="s">
        <v>13954</v>
      </c>
      <c r="N551" t="s">
        <v>19235</v>
      </c>
      <c r="O551" t="s">
        <v>18061</v>
      </c>
      <c r="P551">
        <v>4</v>
      </c>
      <c r="Q551" t="s">
        <v>19240</v>
      </c>
    </row>
    <row r="552" spans="1:17" x14ac:dyDescent="0.2">
      <c r="A552" s="70" t="s">
        <v>13998</v>
      </c>
      <c r="B552" s="92" t="s">
        <v>20163</v>
      </c>
      <c r="C552" s="92" t="s">
        <v>13999</v>
      </c>
      <c r="D552" s="117" t="s">
        <v>20227</v>
      </c>
      <c r="E552" s="70">
        <v>400091</v>
      </c>
      <c r="F552" s="79" t="s">
        <v>137</v>
      </c>
      <c r="G552" t="str">
        <f>IF(O552="",N552&amp;" ("&amp;M552&amp;")",N552&amp;": "&amp;O552&amp;" ("&amp;M552&amp;")")</f>
        <v>Read Episode 5 of the Event Story	 (The Miracle of Dragonyule)</v>
      </c>
      <c r="H552" s="79" t="s">
        <v>137</v>
      </c>
      <c r="I552" t="s">
        <v>137</v>
      </c>
      <c r="J552" s="70">
        <v>5</v>
      </c>
      <c r="K552" s="118">
        <v>43451</v>
      </c>
      <c r="L552" t="s">
        <v>18046</v>
      </c>
      <c r="M552" t="s">
        <v>14001</v>
      </c>
      <c r="N552" t="s">
        <v>20228</v>
      </c>
      <c r="Q552" t="s">
        <v>19773</v>
      </c>
    </row>
    <row r="553" spans="1:17" x14ac:dyDescent="0.2">
      <c r="A553" s="70" t="s">
        <v>14002</v>
      </c>
      <c r="B553" s="92" t="s">
        <v>20163</v>
      </c>
      <c r="C553" s="92" t="s">
        <v>14003</v>
      </c>
      <c r="D553" s="117" t="s">
        <v>20229</v>
      </c>
      <c r="E553" s="70">
        <v>400115</v>
      </c>
      <c r="F553" s="79" t="s">
        <v>137</v>
      </c>
      <c r="G553" t="str">
        <f>IF(O553="",N553&amp;" ("&amp;M553&amp;")",N553&amp;": "&amp;O553&amp;" ("&amp;M553&amp;")")</f>
        <v>Read Episode 5 of the Event Story	 (The Miracle of Dragonyule)</v>
      </c>
      <c r="H553" s="79" t="s">
        <v>137</v>
      </c>
      <c r="I553" t="s">
        <v>137</v>
      </c>
      <c r="J553" s="70">
        <v>5</v>
      </c>
      <c r="K553" s="118">
        <v>43451</v>
      </c>
      <c r="L553" t="s">
        <v>18046</v>
      </c>
      <c r="M553" t="s">
        <v>14001</v>
      </c>
      <c r="N553" t="s">
        <v>20228</v>
      </c>
      <c r="Q553" t="s">
        <v>19773</v>
      </c>
    </row>
    <row r="554" spans="1:17" x14ac:dyDescent="0.2">
      <c r="A554" s="70" t="s">
        <v>14004</v>
      </c>
      <c r="B554" s="92" t="s">
        <v>20163</v>
      </c>
      <c r="C554" s="92" t="s">
        <v>14005</v>
      </c>
      <c r="D554" s="117" t="s">
        <v>20230</v>
      </c>
      <c r="E554" s="70">
        <v>400118</v>
      </c>
      <c r="F554" s="79" t="s">
        <v>137</v>
      </c>
      <c r="G554" t="str">
        <f>IF(O554="",N554&amp;" ("&amp;M554&amp;")",N554&amp;": "&amp;O554&amp;" ("&amp;M554&amp;")")</f>
        <v>Participate in the Event (The Miracle of Dragonyule)</v>
      </c>
      <c r="H554" s="79" t="s">
        <v>137</v>
      </c>
      <c r="I554" t="s">
        <v>137</v>
      </c>
      <c r="J554" s="70">
        <v>5</v>
      </c>
      <c r="K554" s="118">
        <v>43451</v>
      </c>
      <c r="L554" t="s">
        <v>18046</v>
      </c>
      <c r="M554" t="s">
        <v>14001</v>
      </c>
      <c r="N554" t="s">
        <v>19688</v>
      </c>
      <c r="Q554" t="s">
        <v>19773</v>
      </c>
    </row>
    <row r="555" spans="1:17" x14ac:dyDescent="0.2">
      <c r="A555" s="70" t="s">
        <v>14006</v>
      </c>
      <c r="B555" s="92" t="s">
        <v>20163</v>
      </c>
      <c r="C555" s="92" t="s">
        <v>14007</v>
      </c>
      <c r="D555" s="117" t="s">
        <v>20231</v>
      </c>
      <c r="E555" s="70">
        <v>400123</v>
      </c>
      <c r="F555" s="79" t="s">
        <v>137</v>
      </c>
      <c r="G555" t="str">
        <f>IF(O555="",N555&amp;" ("&amp;M555&amp;")",N555&amp;": "&amp;O555&amp;" ("&amp;M555&amp;")")</f>
        <v>Read Episode 5 of the Event Story	 (The Miracle of Dragonyule)</v>
      </c>
      <c r="H555" s="79" t="s">
        <v>137</v>
      </c>
      <c r="I555" t="s">
        <v>137</v>
      </c>
      <c r="J555" s="70">
        <v>5</v>
      </c>
      <c r="K555" s="118">
        <v>43451</v>
      </c>
      <c r="L555" t="s">
        <v>18046</v>
      </c>
      <c r="M555" t="s">
        <v>14001</v>
      </c>
      <c r="N555" t="s">
        <v>20228</v>
      </c>
      <c r="Q555" t="s">
        <v>19773</v>
      </c>
    </row>
    <row r="556" spans="1:17" x14ac:dyDescent="0.2">
      <c r="A556" s="70" t="s">
        <v>14009</v>
      </c>
      <c r="B556" s="92" t="s">
        <v>20163</v>
      </c>
      <c r="C556" s="92" t="s">
        <v>14010</v>
      </c>
      <c r="D556" s="117" t="s">
        <v>20232</v>
      </c>
      <c r="E556" s="70">
        <v>400124</v>
      </c>
      <c r="F556" s="79" t="s">
        <v>137</v>
      </c>
      <c r="G556" t="str">
        <f>IF(O556="","Clear "&amp;N556&amp;" ("&amp;M556&amp;")","Clear "&amp;N556&amp;": "&amp;O556&amp;" ("&amp;M556&amp;")")</f>
        <v>Clear Shishimai Showdown: EX (Fortune from Afar)</v>
      </c>
      <c r="H556" s="79" t="s">
        <v>137</v>
      </c>
      <c r="I556" t="s">
        <v>137</v>
      </c>
      <c r="J556" s="70">
        <v>5</v>
      </c>
      <c r="K556" s="118">
        <v>43465</v>
      </c>
      <c r="L556" t="s">
        <v>18017</v>
      </c>
      <c r="M556" t="s">
        <v>18124</v>
      </c>
      <c r="N556" t="s">
        <v>18139</v>
      </c>
      <c r="O556" t="s">
        <v>18039</v>
      </c>
      <c r="P556">
        <v>4</v>
      </c>
      <c r="Q556" t="s">
        <v>18142</v>
      </c>
    </row>
    <row r="557" spans="1:17" x14ac:dyDescent="0.2">
      <c r="A557" s="70" t="s">
        <v>14013</v>
      </c>
      <c r="B557" s="92" t="s">
        <v>20163</v>
      </c>
      <c r="C557" s="92" t="s">
        <v>14014</v>
      </c>
      <c r="D557" s="117" t="s">
        <v>20233</v>
      </c>
      <c r="E557" s="70">
        <v>400125</v>
      </c>
      <c r="F557" s="79" t="s">
        <v>137</v>
      </c>
      <c r="G557" t="str">
        <f>IF(O557="","Clear "&amp;N557&amp;" ("&amp;M557&amp;")","Clear "&amp;N557&amp;": "&amp;O557&amp;" ("&amp;M557&amp;")")</f>
        <v>Clear Ieyasu's Crucible: Standard (Fortune from Afar)</v>
      </c>
      <c r="H557" s="79" t="s">
        <v>137</v>
      </c>
      <c r="I557" t="s">
        <v>137</v>
      </c>
      <c r="J557" s="70">
        <v>5</v>
      </c>
      <c r="K557" s="118">
        <v>43465</v>
      </c>
      <c r="L557" t="s">
        <v>18017</v>
      </c>
      <c r="M557" t="s">
        <v>18124</v>
      </c>
      <c r="N557" t="s">
        <v>18135</v>
      </c>
      <c r="O557" t="s">
        <v>18054</v>
      </c>
      <c r="P557">
        <v>2</v>
      </c>
      <c r="Q557" t="s">
        <v>18136</v>
      </c>
    </row>
    <row r="558" spans="1:17" x14ac:dyDescent="0.2">
      <c r="A558" s="70" t="s">
        <v>14015</v>
      </c>
      <c r="B558" s="92" t="s">
        <v>20163</v>
      </c>
      <c r="C558" s="92" t="s">
        <v>14016</v>
      </c>
      <c r="D558" s="117" t="s">
        <v>20234</v>
      </c>
      <c r="E558" s="70">
        <v>400128</v>
      </c>
      <c r="F558" s="79" t="s">
        <v>137</v>
      </c>
      <c r="G558" t="str">
        <f>IF(O558="","Clear "&amp;N558&amp;" ("&amp;M558&amp;")","Clear "&amp;N558&amp;": "&amp;O558&amp;" ("&amp;M558&amp;")")</f>
        <v>Clear Top Star Trial: Expert (Dream Big Under the Big Top)</v>
      </c>
      <c r="H558" s="79" t="s">
        <v>137</v>
      </c>
      <c r="I558" t="s">
        <v>137</v>
      </c>
      <c r="J558" s="70">
        <v>5</v>
      </c>
      <c r="K558" s="118">
        <v>43480</v>
      </c>
      <c r="L558" t="s">
        <v>18046</v>
      </c>
      <c r="M558" t="s">
        <v>14017</v>
      </c>
      <c r="N558" t="s">
        <v>18153</v>
      </c>
      <c r="O558" t="s">
        <v>18033</v>
      </c>
      <c r="P558">
        <v>1</v>
      </c>
      <c r="Q558" t="s">
        <v>18152</v>
      </c>
    </row>
    <row r="559" spans="1:17" x14ac:dyDescent="0.2">
      <c r="A559" s="70" t="s">
        <v>14018</v>
      </c>
      <c r="B559" s="92" t="s">
        <v>20163</v>
      </c>
      <c r="C559" s="92" t="s">
        <v>14019</v>
      </c>
      <c r="D559" s="117" t="s">
        <v>20235</v>
      </c>
      <c r="E559" s="70">
        <v>400129</v>
      </c>
      <c r="F559" s="79" t="s">
        <v>137</v>
      </c>
      <c r="G559" t="str">
        <f>IF(O559="","Clear "&amp;N559&amp;" ("&amp;M559&amp;")","Clear "&amp;N559&amp;": "&amp;O559&amp;" ("&amp;M559&amp;")")</f>
        <v>Clear Welcome to the Fiend Circus: Standard (Dream Big Under the Big Top)</v>
      </c>
      <c r="H559" s="79" t="s">
        <v>137</v>
      </c>
      <c r="I559" t="s">
        <v>137</v>
      </c>
      <c r="J559" s="70">
        <v>5</v>
      </c>
      <c r="K559" s="118">
        <v>43480</v>
      </c>
      <c r="L559" t="s">
        <v>18046</v>
      </c>
      <c r="M559" t="s">
        <v>14017</v>
      </c>
      <c r="N559" t="s">
        <v>18149</v>
      </c>
      <c r="O559" t="s">
        <v>18054</v>
      </c>
      <c r="P559">
        <v>2</v>
      </c>
      <c r="Q559" t="s">
        <v>18150</v>
      </c>
    </row>
    <row r="560" spans="1:17" x14ac:dyDescent="0.2">
      <c r="A560" s="70" t="s">
        <v>14020</v>
      </c>
      <c r="B560" s="92" t="s">
        <v>20163</v>
      </c>
      <c r="C560" s="92" t="s">
        <v>14021</v>
      </c>
      <c r="D560" s="117" t="s">
        <v>20236</v>
      </c>
      <c r="E560" s="70">
        <v>400131</v>
      </c>
      <c r="F560" s="79" t="s">
        <v>137</v>
      </c>
      <c r="G560" t="str">
        <f>IF(O560="",N560&amp;" ("&amp;M560&amp;")",N560&amp;": "&amp;O560&amp;" ("&amp;M560&amp;")")</f>
        <v>Participate in the Event (Dream Big Under the Big Top)</v>
      </c>
      <c r="H560" s="79" t="s">
        <v>137</v>
      </c>
      <c r="I560" t="s">
        <v>137</v>
      </c>
      <c r="J560" s="70">
        <v>5</v>
      </c>
      <c r="K560" s="118">
        <v>43480</v>
      </c>
      <c r="L560" t="s">
        <v>18046</v>
      </c>
      <c r="M560" t="s">
        <v>14017</v>
      </c>
      <c r="N560" t="s">
        <v>19688</v>
      </c>
      <c r="Q560" t="s">
        <v>20034</v>
      </c>
    </row>
    <row r="561" spans="1:17" x14ac:dyDescent="0.2">
      <c r="A561" s="70" t="s">
        <v>14023</v>
      </c>
      <c r="B561" s="92" t="s">
        <v>20163</v>
      </c>
      <c r="C561" s="92" t="s">
        <v>14024</v>
      </c>
      <c r="D561" s="117" t="s">
        <v>20237</v>
      </c>
      <c r="E561" s="70">
        <v>400080</v>
      </c>
      <c r="F561" s="79" t="s">
        <v>137</v>
      </c>
      <c r="G561" t="str">
        <f>N561&amp;" ("&amp;O561&amp;")"</f>
        <v>Obtain From Ch. 04 EX 2 Chest (Hard)</v>
      </c>
      <c r="H561" s="79" t="s">
        <v>137</v>
      </c>
      <c r="I561" t="s">
        <v>137</v>
      </c>
      <c r="J561" s="70">
        <v>5</v>
      </c>
      <c r="K561" s="118">
        <v>43496</v>
      </c>
      <c r="L561" t="s">
        <v>18054</v>
      </c>
      <c r="M561" t="s">
        <v>17513</v>
      </c>
      <c r="N561" t="s">
        <v>20238</v>
      </c>
      <c r="O561" t="s">
        <v>15732</v>
      </c>
      <c r="P561">
        <v>1</v>
      </c>
      <c r="Q561" t="s">
        <v>17594</v>
      </c>
    </row>
    <row r="562" spans="1:17" x14ac:dyDescent="0.2">
      <c r="A562" s="70" t="s">
        <v>14026</v>
      </c>
      <c r="B562" s="92" t="s">
        <v>20163</v>
      </c>
      <c r="C562" s="92" t="s">
        <v>14027</v>
      </c>
      <c r="D562" s="117" t="s">
        <v>20239</v>
      </c>
      <c r="E562" s="70">
        <v>400163</v>
      </c>
      <c r="F562" s="79" t="s">
        <v>137</v>
      </c>
      <c r="G562" t="str">
        <f>IF(O562="","Clear "&amp;N562&amp;" ("&amp;M562&amp;")","Clear "&amp;N562&amp;": "&amp;O562&amp;" ("&amp;M562&amp;")")</f>
        <v>Clear Valfarre Clash: EX (Skyborne Spectacle)</v>
      </c>
      <c r="H562" s="79" t="s">
        <v>137</v>
      </c>
      <c r="I562" t="s">
        <v>137</v>
      </c>
      <c r="J562" s="70">
        <v>5</v>
      </c>
      <c r="K562" s="118">
        <v>43496</v>
      </c>
      <c r="L562" t="s">
        <v>18017</v>
      </c>
      <c r="M562" t="s">
        <v>14028</v>
      </c>
      <c r="N562" t="s">
        <v>18169</v>
      </c>
      <c r="O562" t="s">
        <v>18039</v>
      </c>
      <c r="P562">
        <v>3</v>
      </c>
      <c r="Q562" t="s">
        <v>18171</v>
      </c>
    </row>
    <row r="563" spans="1:17" x14ac:dyDescent="0.2">
      <c r="A563" s="70" t="s">
        <v>14029</v>
      </c>
      <c r="B563" s="92" t="s">
        <v>20163</v>
      </c>
      <c r="C563" s="92" t="s">
        <v>14030</v>
      </c>
      <c r="D563" s="117" t="s">
        <v>20240</v>
      </c>
      <c r="E563" s="70">
        <v>400092</v>
      </c>
      <c r="F563" s="79" t="s">
        <v>137</v>
      </c>
      <c r="G563" t="str">
        <f>"Clear "&amp;N563&amp;": "&amp;O563</f>
        <v>Clear Midgardsormr's Trial: Master</v>
      </c>
      <c r="H563" s="79" t="s">
        <v>137</v>
      </c>
      <c r="I563" t="s">
        <v>137</v>
      </c>
      <c r="J563" s="84">
        <v>5</v>
      </c>
      <c r="K563" s="118">
        <v>43510</v>
      </c>
      <c r="L563" t="s">
        <v>18054</v>
      </c>
      <c r="M563" t="s">
        <v>13994</v>
      </c>
      <c r="N563" t="s">
        <v>19190</v>
      </c>
      <c r="O563" t="s">
        <v>18061</v>
      </c>
      <c r="P563">
        <v>4</v>
      </c>
      <c r="Q563" t="s">
        <v>19196</v>
      </c>
    </row>
    <row r="564" spans="1:17" x14ac:dyDescent="0.2">
      <c r="A564" s="70" t="s">
        <v>14031</v>
      </c>
      <c r="B564" s="92" t="s">
        <v>20163</v>
      </c>
      <c r="C564" s="92" t="s">
        <v>14032</v>
      </c>
      <c r="D564" s="117" t="s">
        <v>20241</v>
      </c>
      <c r="E564" s="70">
        <v>400139</v>
      </c>
      <c r="F564" s="79" t="s">
        <v>137</v>
      </c>
      <c r="G564" t="str">
        <f>"Clear "&amp;N564&amp;": "&amp;O564</f>
        <v>Clear Flamehowl Ruins: Expert</v>
      </c>
      <c r="H564" s="79" t="s">
        <v>137</v>
      </c>
      <c r="I564" t="s">
        <v>137</v>
      </c>
      <c r="J564" s="70">
        <v>5</v>
      </c>
      <c r="K564" s="118">
        <v>43510</v>
      </c>
      <c r="L564" t="s">
        <v>18054</v>
      </c>
      <c r="M564" t="s">
        <v>14035</v>
      </c>
      <c r="N564" t="s">
        <v>19167</v>
      </c>
      <c r="O564" t="s">
        <v>18033</v>
      </c>
      <c r="P564">
        <v>3</v>
      </c>
      <c r="Q564" t="s">
        <v>19171</v>
      </c>
    </row>
    <row r="565" spans="1:17" x14ac:dyDescent="0.2">
      <c r="A565" s="70" t="s">
        <v>14036</v>
      </c>
      <c r="B565" s="92" t="s">
        <v>20163</v>
      </c>
      <c r="C565" s="92" t="s">
        <v>14037</v>
      </c>
      <c r="D565" s="117" t="s">
        <v>20242</v>
      </c>
      <c r="E565" s="70">
        <v>400142</v>
      </c>
      <c r="F565" s="79" t="s">
        <v>137</v>
      </c>
      <c r="G565" t="str">
        <f t="shared" ref="G565:G571" si="20">IF(O565="",N565&amp;" ("&amp;M565&amp;")",N565&amp;": "&amp;O565&amp;" ("&amp;M565&amp;")")</f>
        <v>Read the Epilogue (Valentine's Confections)</v>
      </c>
      <c r="H565" s="79" t="s">
        <v>137</v>
      </c>
      <c r="I565" t="s">
        <v>137</v>
      </c>
      <c r="J565" s="70">
        <v>5</v>
      </c>
      <c r="K565" s="118">
        <v>43510</v>
      </c>
      <c r="L565" t="s">
        <v>18175</v>
      </c>
      <c r="M565" t="s">
        <v>14038</v>
      </c>
      <c r="N565" t="s">
        <v>20243</v>
      </c>
      <c r="Q565" t="s">
        <v>19689</v>
      </c>
    </row>
    <row r="566" spans="1:17" x14ac:dyDescent="0.2">
      <c r="A566" s="70" t="s">
        <v>14039</v>
      </c>
      <c r="B566" s="92" t="s">
        <v>20163</v>
      </c>
      <c r="C566" s="92" t="s">
        <v>14040</v>
      </c>
      <c r="D566" s="117" t="s">
        <v>20244</v>
      </c>
      <c r="E566" s="70">
        <v>400143</v>
      </c>
      <c r="F566" s="79" t="s">
        <v>137</v>
      </c>
      <c r="G566" t="str">
        <f t="shared" si="20"/>
        <v>Read the Epilogue (Valentine's Confections)</v>
      </c>
      <c r="H566" s="79" t="s">
        <v>137</v>
      </c>
      <c r="I566" t="s">
        <v>137</v>
      </c>
      <c r="J566" s="70">
        <v>5</v>
      </c>
      <c r="K566" s="118">
        <v>43510</v>
      </c>
      <c r="L566" t="s">
        <v>18175</v>
      </c>
      <c r="M566" t="s">
        <v>14038</v>
      </c>
      <c r="N566" t="s">
        <v>20243</v>
      </c>
      <c r="Q566" t="s">
        <v>19689</v>
      </c>
    </row>
    <row r="567" spans="1:17" x14ac:dyDescent="0.2">
      <c r="A567" s="70" t="s">
        <v>14041</v>
      </c>
      <c r="B567" s="92" t="s">
        <v>20163</v>
      </c>
      <c r="C567" s="92" t="s">
        <v>14042</v>
      </c>
      <c r="D567" s="117" t="s">
        <v>20245</v>
      </c>
      <c r="E567" s="70">
        <v>400144</v>
      </c>
      <c r="F567" s="79" t="s">
        <v>137</v>
      </c>
      <c r="G567" t="str">
        <f t="shared" si="20"/>
        <v>Read the Epilogue (Valentine's Confections)</v>
      </c>
      <c r="H567" s="79" t="s">
        <v>137</v>
      </c>
      <c r="I567" t="s">
        <v>137</v>
      </c>
      <c r="J567" s="70">
        <v>5</v>
      </c>
      <c r="K567" s="118">
        <v>43510</v>
      </c>
      <c r="L567" t="s">
        <v>18175</v>
      </c>
      <c r="M567" t="s">
        <v>14038</v>
      </c>
      <c r="N567" t="s">
        <v>20243</v>
      </c>
      <c r="Q567" t="s">
        <v>19689</v>
      </c>
    </row>
    <row r="568" spans="1:17" x14ac:dyDescent="0.2">
      <c r="A568" s="70" t="s">
        <v>14043</v>
      </c>
      <c r="B568" s="92" t="s">
        <v>20163</v>
      </c>
      <c r="C568" s="92" t="s">
        <v>14044</v>
      </c>
      <c r="D568" s="117" t="s">
        <v>20246</v>
      </c>
      <c r="E568" s="70">
        <v>400145</v>
      </c>
      <c r="F568" s="79" t="s">
        <v>137</v>
      </c>
      <c r="G568" t="str">
        <f t="shared" si="20"/>
        <v>Read the Epilogue (Valentine's Confections)</v>
      </c>
      <c r="H568" s="79" t="s">
        <v>137</v>
      </c>
      <c r="I568" t="s">
        <v>137</v>
      </c>
      <c r="J568" s="70">
        <v>5</v>
      </c>
      <c r="K568" s="118">
        <v>43510</v>
      </c>
      <c r="L568" t="s">
        <v>18175</v>
      </c>
      <c r="M568" t="s">
        <v>14038</v>
      </c>
      <c r="N568" t="s">
        <v>20243</v>
      </c>
      <c r="Q568" t="s">
        <v>19689</v>
      </c>
    </row>
    <row r="569" spans="1:17" x14ac:dyDescent="0.2">
      <c r="A569" s="70" t="s">
        <v>14045</v>
      </c>
      <c r="B569" s="92" t="s">
        <v>20163</v>
      </c>
      <c r="C569" s="92" t="s">
        <v>14046</v>
      </c>
      <c r="D569" s="117" t="s">
        <v>20247</v>
      </c>
      <c r="E569" s="70">
        <v>400146</v>
      </c>
      <c r="F569" s="79" t="s">
        <v>137</v>
      </c>
      <c r="G569" t="str">
        <f t="shared" si="20"/>
        <v>Read the Epilogue (Valentine's Confections)</v>
      </c>
      <c r="H569" s="79" t="s">
        <v>137</v>
      </c>
      <c r="I569" t="s">
        <v>137</v>
      </c>
      <c r="J569" s="70">
        <v>4</v>
      </c>
      <c r="K569" s="118">
        <v>43510</v>
      </c>
      <c r="L569" t="s">
        <v>18175</v>
      </c>
      <c r="M569" t="s">
        <v>14038</v>
      </c>
      <c r="N569" t="s">
        <v>20243</v>
      </c>
      <c r="Q569" t="s">
        <v>19689</v>
      </c>
    </row>
    <row r="570" spans="1:17" x14ac:dyDescent="0.2">
      <c r="A570" s="70" t="s">
        <v>14048</v>
      </c>
      <c r="B570" s="92" t="s">
        <v>20163</v>
      </c>
      <c r="C570" s="92" t="s">
        <v>14049</v>
      </c>
      <c r="D570" s="117" t="s">
        <v>20248</v>
      </c>
      <c r="E570" s="70">
        <v>400147</v>
      </c>
      <c r="F570" s="79" t="s">
        <v>137</v>
      </c>
      <c r="G570" t="str">
        <f t="shared" si="20"/>
        <v>Read the Epilogue (Valentine's Confections)</v>
      </c>
      <c r="H570" s="79" t="s">
        <v>137</v>
      </c>
      <c r="I570" t="s">
        <v>137</v>
      </c>
      <c r="J570" s="70">
        <v>5</v>
      </c>
      <c r="K570" s="118">
        <v>43510</v>
      </c>
      <c r="L570" t="s">
        <v>18175</v>
      </c>
      <c r="M570" t="s">
        <v>14038</v>
      </c>
      <c r="N570" t="s">
        <v>20243</v>
      </c>
      <c r="Q570" t="s">
        <v>19689</v>
      </c>
    </row>
    <row r="571" spans="1:17" x14ac:dyDescent="0.2">
      <c r="A571" s="70" t="s">
        <v>14050</v>
      </c>
      <c r="B571" s="92" t="s">
        <v>20163</v>
      </c>
      <c r="C571" s="92" t="s">
        <v>14051</v>
      </c>
      <c r="D571" s="117" t="s">
        <v>20249</v>
      </c>
      <c r="E571" s="70">
        <v>400148</v>
      </c>
      <c r="F571" s="79" t="s">
        <v>137</v>
      </c>
      <c r="G571" t="str">
        <f t="shared" si="20"/>
        <v>Read the Epilogue (Valentine's Confections)</v>
      </c>
      <c r="H571" s="79" t="s">
        <v>137</v>
      </c>
      <c r="I571" t="s">
        <v>137</v>
      </c>
      <c r="J571" s="70">
        <v>5</v>
      </c>
      <c r="K571" s="118">
        <v>43510</v>
      </c>
      <c r="L571" t="s">
        <v>18175</v>
      </c>
      <c r="M571" t="s">
        <v>14038</v>
      </c>
      <c r="N571" t="s">
        <v>20243</v>
      </c>
      <c r="Q571" t="s">
        <v>19689</v>
      </c>
    </row>
    <row r="572" spans="1:17" x14ac:dyDescent="0.2">
      <c r="A572" s="70" t="s">
        <v>14052</v>
      </c>
      <c r="B572" s="92" t="s">
        <v>20163</v>
      </c>
      <c r="C572" s="92" t="s">
        <v>14053</v>
      </c>
      <c r="D572" s="117" t="s">
        <v>20250</v>
      </c>
      <c r="E572" s="70">
        <v>400167</v>
      </c>
      <c r="F572" s="79" t="s">
        <v>137</v>
      </c>
      <c r="G572" t="str">
        <f>+"Clear "&amp;N572&amp;" of the Main Campaign ("&amp;O572&amp;")"</f>
        <v>Clear Ch. 05 4-3 of the Main Campaign (Hard)</v>
      </c>
      <c r="H572" s="79" t="s">
        <v>137</v>
      </c>
      <c r="I572" t="s">
        <v>137</v>
      </c>
      <c r="J572" s="70">
        <v>5</v>
      </c>
      <c r="K572" s="118">
        <v>43524</v>
      </c>
      <c r="L572" t="s">
        <v>18054</v>
      </c>
      <c r="M572" t="s">
        <v>17513</v>
      </c>
      <c r="N572" t="s">
        <v>20251</v>
      </c>
      <c r="O572" t="s">
        <v>15732</v>
      </c>
      <c r="P572">
        <v>1</v>
      </c>
      <c r="Q572" t="s">
        <v>17616</v>
      </c>
    </row>
    <row r="573" spans="1:17" x14ac:dyDescent="0.2">
      <c r="A573" s="70" t="s">
        <v>14055</v>
      </c>
      <c r="B573" s="92" t="s">
        <v>20163</v>
      </c>
      <c r="C573" s="92" t="s">
        <v>14056</v>
      </c>
      <c r="D573" s="117" t="s">
        <v>20252</v>
      </c>
      <c r="E573" s="70">
        <v>400150</v>
      </c>
      <c r="F573" s="79" t="s">
        <v>137</v>
      </c>
      <c r="G573" t="str">
        <f>IF(O573="","Clear "&amp;N573&amp;" ("&amp;M573&amp;")","Clear "&amp;N573&amp;": "&amp;O573&amp;" ("&amp;M573&amp;")")</f>
        <v>Clear Thanatos Clash: Nightmare (A Waltz with Fate)</v>
      </c>
      <c r="H573" s="79" t="s">
        <v>137</v>
      </c>
      <c r="I573" t="s">
        <v>137</v>
      </c>
      <c r="J573" s="84">
        <v>5</v>
      </c>
      <c r="K573" s="118">
        <v>43524</v>
      </c>
      <c r="L573" t="s">
        <v>18017</v>
      </c>
      <c r="M573" t="s">
        <v>14057</v>
      </c>
      <c r="N573" t="s">
        <v>18207</v>
      </c>
      <c r="O573" t="s">
        <v>18041</v>
      </c>
      <c r="P573">
        <v>4</v>
      </c>
      <c r="Q573" t="s">
        <v>18210</v>
      </c>
    </row>
    <row r="574" spans="1:17" x14ac:dyDescent="0.2">
      <c r="A574" s="70" t="s">
        <v>14058</v>
      </c>
      <c r="B574" s="92" t="s">
        <v>20163</v>
      </c>
      <c r="C574" s="92" t="s">
        <v>14059</v>
      </c>
      <c r="D574" s="117" t="s">
        <v>20253</v>
      </c>
      <c r="E574" s="70">
        <v>400154</v>
      </c>
      <c r="F574" s="79" t="s">
        <v>137</v>
      </c>
      <c r="G574" t="str">
        <f>IF(O574="","Clear "&amp;N574&amp;" ("&amp;M574&amp;")","Clear "&amp;N574&amp;": "&amp;O574&amp;" ("&amp;M574&amp;")")</f>
        <v>Clear Chaos's Calling: Expert (The Accursed Archives)</v>
      </c>
      <c r="H574" s="79" t="s">
        <v>137</v>
      </c>
      <c r="I574" t="s">
        <v>137</v>
      </c>
      <c r="J574" s="70">
        <v>5</v>
      </c>
      <c r="K574" s="118">
        <v>43536</v>
      </c>
      <c r="L574" t="s">
        <v>18046</v>
      </c>
      <c r="M574" t="s">
        <v>14060</v>
      </c>
      <c r="N574" t="s">
        <v>18227</v>
      </c>
      <c r="O574" t="s">
        <v>18033</v>
      </c>
      <c r="P574">
        <v>1</v>
      </c>
      <c r="Q574" t="s">
        <v>18226</v>
      </c>
    </row>
    <row r="575" spans="1:17" x14ac:dyDescent="0.2">
      <c r="A575" s="70" t="s">
        <v>14061</v>
      </c>
      <c r="B575" s="92" t="s">
        <v>20163</v>
      </c>
      <c r="C575" s="92" t="s">
        <v>14062</v>
      </c>
      <c r="D575" s="117" t="s">
        <v>20254</v>
      </c>
      <c r="E575" s="70">
        <v>400157</v>
      </c>
      <c r="F575" s="79" t="s">
        <v>137</v>
      </c>
      <c r="G575" t="str">
        <f>IF(O575="",N575&amp;" ("&amp;M575&amp;")",N575&amp;": "&amp;O575&amp;" ("&amp;M575&amp;")")</f>
        <v>Participate in the Event (The Accursed Archives)</v>
      </c>
      <c r="H575" s="79" t="s">
        <v>137</v>
      </c>
      <c r="I575" t="s">
        <v>137</v>
      </c>
      <c r="J575" s="70">
        <v>5</v>
      </c>
      <c r="K575" s="118">
        <v>43536</v>
      </c>
      <c r="L575" t="s">
        <v>18046</v>
      </c>
      <c r="M575" t="s">
        <v>14060</v>
      </c>
      <c r="N575" t="s">
        <v>19688</v>
      </c>
      <c r="Q575" t="s">
        <v>20049</v>
      </c>
    </row>
    <row r="576" spans="1:17" x14ac:dyDescent="0.2">
      <c r="A576" s="70" t="s">
        <v>14063</v>
      </c>
      <c r="B576" s="92" t="s">
        <v>20163</v>
      </c>
      <c r="C576" s="92" t="s">
        <v>14064</v>
      </c>
      <c r="D576" s="117" t="s">
        <v>20255</v>
      </c>
      <c r="E576" s="70">
        <v>400172</v>
      </c>
      <c r="F576" s="79" t="s">
        <v>137</v>
      </c>
      <c r="G576" t="str">
        <f>IF(O576="","Clear "&amp;N576&amp;" ("&amp;M576&amp;")","Clear "&amp;N576&amp;": "&amp;O576&amp;" ("&amp;M576&amp;")")</f>
        <v>Clear The Search for the Egg (The Hunt for Harmony)</v>
      </c>
      <c r="H576" s="79" t="s">
        <v>137</v>
      </c>
      <c r="I576" t="s">
        <v>137</v>
      </c>
      <c r="J576" s="70">
        <v>5</v>
      </c>
      <c r="K576" s="118">
        <v>43555</v>
      </c>
      <c r="L576" t="s">
        <v>18046</v>
      </c>
      <c r="M576" t="s">
        <v>14065</v>
      </c>
      <c r="N576" t="s">
        <v>18232</v>
      </c>
      <c r="P576">
        <v>1</v>
      </c>
      <c r="Q576" t="s">
        <v>18231</v>
      </c>
    </row>
    <row r="577" spans="1:17" x14ac:dyDescent="0.2">
      <c r="A577" s="70" t="s">
        <v>14066</v>
      </c>
      <c r="B577" s="92" t="s">
        <v>20163</v>
      </c>
      <c r="C577" s="92" t="s">
        <v>14067</v>
      </c>
      <c r="D577" s="117" t="s">
        <v>20256</v>
      </c>
      <c r="E577" s="70">
        <v>400176</v>
      </c>
      <c r="F577" s="79" t="s">
        <v>137</v>
      </c>
      <c r="G577" t="str">
        <f>IF(O577="",N577&amp;" ("&amp;M577&amp;")",N577&amp;": "&amp;O577&amp;" ("&amp;M577&amp;")")</f>
        <v>Participate in the Event (The Hunt for Harmony)</v>
      </c>
      <c r="H577" s="79" t="s">
        <v>137</v>
      </c>
      <c r="I577" t="s">
        <v>137</v>
      </c>
      <c r="J577" s="70">
        <v>5</v>
      </c>
      <c r="K577" s="118">
        <v>43555</v>
      </c>
      <c r="L577" t="s">
        <v>18046</v>
      </c>
      <c r="M577" t="s">
        <v>14065</v>
      </c>
      <c r="N577" t="s">
        <v>19688</v>
      </c>
      <c r="Q577" t="s">
        <v>20023</v>
      </c>
    </row>
    <row r="578" spans="1:17" x14ac:dyDescent="0.2">
      <c r="A578" s="70" t="s">
        <v>14069</v>
      </c>
      <c r="B578" s="92" t="s">
        <v>20163</v>
      </c>
      <c r="C578" s="92" t="s">
        <v>14070</v>
      </c>
      <c r="D578" s="117" t="s">
        <v>20257</v>
      </c>
      <c r="E578" s="70">
        <v>400108</v>
      </c>
      <c r="F578" s="79" t="s">
        <v>137</v>
      </c>
      <c r="G578" t="str">
        <f>IF(O578="","Clear "&amp;N578&amp;" ("&amp;M578&amp;")","Clear "&amp;N578&amp;": "&amp;O578&amp;" ("&amp;M578&amp;")")</f>
        <v>Clear Battle in the Dornith Mountains: Master (The Imperial Onslaught)</v>
      </c>
      <c r="H578" s="79" t="s">
        <v>137</v>
      </c>
      <c r="I578" t="s">
        <v>137</v>
      </c>
      <c r="J578" s="70">
        <v>5</v>
      </c>
      <c r="K578" s="118">
        <v>43573</v>
      </c>
      <c r="L578" t="s">
        <v>18054</v>
      </c>
      <c r="M578" t="s">
        <v>13954</v>
      </c>
      <c r="N578" t="s">
        <v>19243</v>
      </c>
      <c r="O578" t="s">
        <v>18061</v>
      </c>
      <c r="P578">
        <v>4</v>
      </c>
      <c r="Q578" t="s">
        <v>19248</v>
      </c>
    </row>
    <row r="579" spans="1:17" x14ac:dyDescent="0.2">
      <c r="A579" s="70" t="s">
        <v>14072</v>
      </c>
      <c r="B579" s="92" t="s">
        <v>20163</v>
      </c>
      <c r="C579" s="92" t="s">
        <v>14073</v>
      </c>
      <c r="D579" s="117" t="s">
        <v>20258</v>
      </c>
      <c r="E579" s="70">
        <v>400277</v>
      </c>
      <c r="F579" s="79" t="s">
        <v>137</v>
      </c>
      <c r="G579" t="str">
        <f>IF(O579="",N579&amp;" ("&amp;M579&amp;")",N579&amp;": "&amp;O579&amp;" ("&amp;M579&amp;")")</f>
        <v>Participate in the Event (Fire Emblem: Lost Heroes)</v>
      </c>
      <c r="H579" s="79" t="s">
        <v>137</v>
      </c>
      <c r="I579" t="s">
        <v>137</v>
      </c>
      <c r="J579" s="70">
        <v>5</v>
      </c>
      <c r="K579" s="118">
        <v>43581</v>
      </c>
      <c r="L579" t="s">
        <v>18241</v>
      </c>
      <c r="M579" t="s">
        <v>18242</v>
      </c>
      <c r="N579" t="s">
        <v>19688</v>
      </c>
      <c r="Q579" t="s">
        <v>20259</v>
      </c>
    </row>
    <row r="580" spans="1:17" x14ac:dyDescent="0.2">
      <c r="A580" s="70" t="s">
        <v>14077</v>
      </c>
      <c r="B580" s="92" t="s">
        <v>20163</v>
      </c>
      <c r="C580" s="92" t="s">
        <v>14078</v>
      </c>
      <c r="D580" s="117" t="s">
        <v>20260</v>
      </c>
      <c r="E580" s="70">
        <v>400280</v>
      </c>
      <c r="F580" s="79" t="s">
        <v>137</v>
      </c>
      <c r="G580" t="str">
        <f>IF(O580="","Clear "&amp;N580&amp;" ("&amp;M580&amp;")","Clear "&amp;N580&amp;": "&amp;O580&amp;" ("&amp;M580&amp;")")</f>
        <v>Clear The Alberian Front: Lunatic (Fire Emblem: Lost Heroes)</v>
      </c>
      <c r="H580" s="79" t="s">
        <v>137</v>
      </c>
      <c r="I580" t="s">
        <v>137</v>
      </c>
      <c r="J580" s="70">
        <v>5</v>
      </c>
      <c r="K580" s="118">
        <v>43588</v>
      </c>
      <c r="L580" t="s">
        <v>18241</v>
      </c>
      <c r="M580" t="s">
        <v>18242</v>
      </c>
      <c r="N580" t="s">
        <v>18257</v>
      </c>
      <c r="O580" t="s">
        <v>18253</v>
      </c>
      <c r="P580">
        <v>3</v>
      </c>
      <c r="Q580" t="s">
        <v>18261</v>
      </c>
    </row>
    <row r="581" spans="1:17" x14ac:dyDescent="0.2">
      <c r="A581" s="70" t="s">
        <v>14079</v>
      </c>
      <c r="B581" s="92" t="s">
        <v>20163</v>
      </c>
      <c r="C581" s="92" t="s">
        <v>14080</v>
      </c>
      <c r="D581" s="117" t="s">
        <v>20261</v>
      </c>
      <c r="E581" s="70">
        <v>400153</v>
      </c>
      <c r="F581" s="79" t="s">
        <v>137</v>
      </c>
      <c r="G581" t="str">
        <f>N581&amp;" ("&amp;O581&amp;")"</f>
        <v>Obtain From Ch. 07 EX 2 Chest (Normal)</v>
      </c>
      <c r="H581" s="79" t="s">
        <v>137</v>
      </c>
      <c r="I581" t="s">
        <v>137</v>
      </c>
      <c r="J581" s="70">
        <v>5</v>
      </c>
      <c r="K581" s="118">
        <v>43599</v>
      </c>
      <c r="L581" t="s">
        <v>18054</v>
      </c>
      <c r="M581" t="s">
        <v>17513</v>
      </c>
      <c r="N581" t="s">
        <v>20262</v>
      </c>
      <c r="O581" t="s">
        <v>15731</v>
      </c>
      <c r="P581">
        <v>1</v>
      </c>
      <c r="Q581" t="s">
        <v>16270</v>
      </c>
    </row>
    <row r="582" spans="1:17" x14ac:dyDescent="0.2">
      <c r="A582" s="70" t="s">
        <v>14083</v>
      </c>
      <c r="B582" s="92" t="s">
        <v>20163</v>
      </c>
      <c r="C582" s="92" t="s">
        <v>14084</v>
      </c>
      <c r="D582" s="117" t="s">
        <v>20263</v>
      </c>
      <c r="E582" s="70">
        <v>400083</v>
      </c>
      <c r="F582" s="79" t="s">
        <v>137</v>
      </c>
      <c r="G582" t="str">
        <f>"Clear "&amp;N582&amp;": "&amp;O582</f>
        <v>Clear Shadowsteep Ruins: Expert</v>
      </c>
      <c r="H582" s="79" t="s">
        <v>137</v>
      </c>
      <c r="I582" t="s">
        <v>137</v>
      </c>
      <c r="J582" s="70">
        <v>5</v>
      </c>
      <c r="K582" s="118">
        <v>43599</v>
      </c>
      <c r="L582" t="s">
        <v>18054</v>
      </c>
      <c r="M582" t="s">
        <v>14035</v>
      </c>
      <c r="N582" t="s">
        <v>19186</v>
      </c>
      <c r="O582" t="s">
        <v>18033</v>
      </c>
      <c r="P582">
        <v>3</v>
      </c>
      <c r="Q582" t="s">
        <v>19188</v>
      </c>
    </row>
    <row r="583" spans="1:17" x14ac:dyDescent="0.2">
      <c r="A583" s="70" t="s">
        <v>14085</v>
      </c>
      <c r="B583" s="92" t="s">
        <v>20163</v>
      </c>
      <c r="C583" s="92" t="s">
        <v>14086</v>
      </c>
      <c r="D583" s="117" t="s">
        <v>20264</v>
      </c>
      <c r="E583" s="70">
        <v>400168</v>
      </c>
      <c r="F583" s="79" t="s">
        <v>137</v>
      </c>
      <c r="G583" t="str">
        <f>+N583</f>
        <v>Clear all Dragon Trials on Expert</v>
      </c>
      <c r="H583" s="79" t="s">
        <v>137</v>
      </c>
      <c r="I583" t="s">
        <v>137</v>
      </c>
      <c r="J583" s="70">
        <v>5</v>
      </c>
      <c r="K583" s="118">
        <v>43616</v>
      </c>
      <c r="L583" t="s">
        <v>18054</v>
      </c>
      <c r="N583" t="s">
        <v>14087</v>
      </c>
      <c r="Q583" t="s">
        <v>137</v>
      </c>
    </row>
    <row r="584" spans="1:17" x14ac:dyDescent="0.2">
      <c r="A584" s="70" t="s">
        <v>14088</v>
      </c>
      <c r="B584" s="92" t="s">
        <v>20163</v>
      </c>
      <c r="C584" s="92" t="s">
        <v>14089</v>
      </c>
      <c r="D584" s="117" t="s">
        <v>20265</v>
      </c>
      <c r="E584" s="70">
        <v>400096</v>
      </c>
      <c r="F584" s="79" t="s">
        <v>137</v>
      </c>
      <c r="G584" t="str">
        <f>N584&amp;" ("&amp;O584&amp;")"</f>
        <v>Obtain From Ch. 04 EX 2 Chest (Very Hard)</v>
      </c>
      <c r="H584" s="79" t="s">
        <v>137</v>
      </c>
      <c r="I584" t="s">
        <v>137</v>
      </c>
      <c r="J584" s="70">
        <v>5</v>
      </c>
      <c r="K584" s="118">
        <v>43636</v>
      </c>
      <c r="L584" t="s">
        <v>18054</v>
      </c>
      <c r="M584" t="s">
        <v>17513</v>
      </c>
      <c r="N584" t="s">
        <v>20238</v>
      </c>
      <c r="O584" t="s">
        <v>15733</v>
      </c>
      <c r="P584">
        <v>1</v>
      </c>
      <c r="Q584" t="s">
        <v>17595</v>
      </c>
    </row>
    <row r="585" spans="1:17" x14ac:dyDescent="0.2">
      <c r="A585" s="70" t="s">
        <v>14091</v>
      </c>
      <c r="B585" s="92" t="s">
        <v>20163</v>
      </c>
      <c r="C585" s="92" t="s">
        <v>14092</v>
      </c>
      <c r="D585" s="117" t="s">
        <v>20266</v>
      </c>
      <c r="E585" s="70">
        <v>400334</v>
      </c>
      <c r="F585" s="79" t="s">
        <v>137</v>
      </c>
      <c r="G585" t="str">
        <f>"Clear "&amp;N585&amp;": "&amp;O585</f>
        <v>Clear Waterscour Ruins: Expert</v>
      </c>
      <c r="H585" s="79" t="s">
        <v>137</v>
      </c>
      <c r="I585" t="s">
        <v>137</v>
      </c>
      <c r="J585" s="70">
        <v>5</v>
      </c>
      <c r="K585" s="118">
        <v>43646</v>
      </c>
      <c r="L585" t="s">
        <v>18054</v>
      </c>
      <c r="M585" t="s">
        <v>14035</v>
      </c>
      <c r="N585" t="s">
        <v>19174</v>
      </c>
      <c r="O585" t="s">
        <v>18033</v>
      </c>
      <c r="P585">
        <v>3</v>
      </c>
      <c r="Q585" t="s">
        <v>19176</v>
      </c>
    </row>
    <row r="586" spans="1:17" x14ac:dyDescent="0.2">
      <c r="A586" s="70" t="s">
        <v>14093</v>
      </c>
      <c r="B586" s="92" t="s">
        <v>20163</v>
      </c>
      <c r="C586" s="92" t="s">
        <v>14094</v>
      </c>
      <c r="D586" s="117" t="s">
        <v>20267</v>
      </c>
      <c r="E586" s="70">
        <v>400243</v>
      </c>
      <c r="F586" s="79" t="s">
        <v>137</v>
      </c>
      <c r="G586" t="str">
        <f>IF(O586="","Clear "&amp;N586&amp;" ("&amp;M586&amp;")","Clear "&amp;N586&amp;": "&amp;O586&amp;" ("&amp;M586&amp;")")</f>
        <v>Clear The Path to Mastery: Expert (Flames of Reflection)</v>
      </c>
      <c r="H586" s="79" t="s">
        <v>137</v>
      </c>
      <c r="I586" t="s">
        <v>137</v>
      </c>
      <c r="J586" s="70">
        <v>5</v>
      </c>
      <c r="K586" s="118">
        <v>43657</v>
      </c>
      <c r="L586" t="s">
        <v>18046</v>
      </c>
      <c r="M586" t="s">
        <v>14095</v>
      </c>
      <c r="N586" t="s">
        <v>18292</v>
      </c>
      <c r="O586" t="s">
        <v>18033</v>
      </c>
      <c r="P586">
        <v>1</v>
      </c>
      <c r="Q586" t="s">
        <v>18291</v>
      </c>
    </row>
    <row r="587" spans="1:17" x14ac:dyDescent="0.2">
      <c r="A587" s="70" t="s">
        <v>14096</v>
      </c>
      <c r="B587" s="92" t="s">
        <v>20163</v>
      </c>
      <c r="C587" s="92" t="s">
        <v>14097</v>
      </c>
      <c r="D587" s="117" t="s">
        <v>20268</v>
      </c>
      <c r="E587" s="70">
        <v>400245</v>
      </c>
      <c r="F587" s="79" t="s">
        <v>137</v>
      </c>
      <c r="G587" t="str">
        <f>IF(O587="",N587&amp;" ("&amp;M587&amp;")",N587&amp;": "&amp;O587&amp;" ("&amp;M587&amp;")")</f>
        <v>Participate in the Event (Flames of Reflection)</v>
      </c>
      <c r="H587" s="79" t="s">
        <v>137</v>
      </c>
      <c r="I587" t="s">
        <v>137</v>
      </c>
      <c r="J587" s="70">
        <v>5</v>
      </c>
      <c r="K587" s="118">
        <v>43657</v>
      </c>
      <c r="L587" t="s">
        <v>18046</v>
      </c>
      <c r="M587" t="s">
        <v>14095</v>
      </c>
      <c r="N587" t="s">
        <v>19688</v>
      </c>
      <c r="Q587" t="s">
        <v>20016</v>
      </c>
    </row>
    <row r="588" spans="1:17" x14ac:dyDescent="0.2">
      <c r="A588" s="70" t="s">
        <v>14098</v>
      </c>
      <c r="B588" s="92" t="s">
        <v>20163</v>
      </c>
      <c r="C588" s="92" t="s">
        <v>8666</v>
      </c>
      <c r="D588" s="117" t="s">
        <v>20269</v>
      </c>
      <c r="E588" s="70">
        <v>400158</v>
      </c>
      <c r="F588" s="79" t="s">
        <v>137</v>
      </c>
      <c r="G588" t="str">
        <f>IF(O588="","Clear "&amp;N588&amp;" ("&amp;M588&amp;")","Clear "&amp;N588&amp;": "&amp;O588&amp;" ("&amp;M588&amp;")")</f>
        <v>Clear Battle at the Wartarch Ruins: Master (The Imperial Onslaught)</v>
      </c>
      <c r="H588" s="79" t="s">
        <v>137</v>
      </c>
      <c r="I588" t="s">
        <v>137</v>
      </c>
      <c r="J588" s="70">
        <v>5</v>
      </c>
      <c r="K588" s="118">
        <v>43672</v>
      </c>
      <c r="L588" t="s">
        <v>18054</v>
      </c>
      <c r="M588" t="s">
        <v>13954</v>
      </c>
      <c r="N588" t="s">
        <v>19251</v>
      </c>
      <c r="O588" t="s">
        <v>18061</v>
      </c>
      <c r="P588">
        <v>4</v>
      </c>
      <c r="Q588" t="s">
        <v>19256</v>
      </c>
    </row>
    <row r="589" spans="1:17" x14ac:dyDescent="0.2">
      <c r="A589" s="70" t="s">
        <v>14100</v>
      </c>
      <c r="B589" s="92" t="s">
        <v>20163</v>
      </c>
      <c r="C589" s="92" t="s">
        <v>14101</v>
      </c>
      <c r="D589" s="117" t="s">
        <v>20270</v>
      </c>
      <c r="E589" s="70">
        <v>400098</v>
      </c>
      <c r="F589" s="79" t="s">
        <v>137</v>
      </c>
      <c r="G589" t="str">
        <f>IF(O589="","Clear "&amp;N589&amp;" ("&amp;M589&amp;")","Clear "&amp;N589&amp;": "&amp;O589&amp;" ("&amp;M589&amp;")")</f>
        <v>Clear Barbary Clash: EX (A Splash of Adventure)</v>
      </c>
      <c r="H589" s="79" t="s">
        <v>137</v>
      </c>
      <c r="I589" t="s">
        <v>137</v>
      </c>
      <c r="J589" s="84">
        <v>5</v>
      </c>
      <c r="K589" s="118">
        <v>43677</v>
      </c>
      <c r="L589" t="s">
        <v>18017</v>
      </c>
      <c r="M589" t="s">
        <v>14102</v>
      </c>
      <c r="N589" t="s">
        <v>18303</v>
      </c>
      <c r="O589" t="s">
        <v>18039</v>
      </c>
      <c r="P589">
        <v>4</v>
      </c>
      <c r="Q589" t="s">
        <v>18306</v>
      </c>
    </row>
    <row r="590" spans="1:17" x14ac:dyDescent="0.2">
      <c r="A590" s="70" t="s">
        <v>14103</v>
      </c>
      <c r="B590" s="92" t="s">
        <v>20163</v>
      </c>
      <c r="C590" s="92" t="s">
        <v>14104</v>
      </c>
      <c r="D590" s="117" t="s">
        <v>20271</v>
      </c>
      <c r="E590" s="70">
        <v>400338</v>
      </c>
      <c r="F590" s="79" t="s">
        <v>137</v>
      </c>
      <c r="G590" t="str">
        <f>IF(O590="","Clear "&amp;N590&amp;" ("&amp;M590&amp;")","Clear "&amp;N590&amp;": "&amp;O590&amp;" ("&amp;M590&amp;")")</f>
        <v>Clear A Fiendish Performance: Standard (A Crescendo of Courage)</v>
      </c>
      <c r="H590" s="79" t="s">
        <v>137</v>
      </c>
      <c r="I590" t="s">
        <v>137</v>
      </c>
      <c r="J590" s="84">
        <v>5</v>
      </c>
      <c r="K590" s="118">
        <v>43690</v>
      </c>
      <c r="L590" t="s">
        <v>18046</v>
      </c>
      <c r="M590" t="s">
        <v>14105</v>
      </c>
      <c r="N590" t="s">
        <v>18314</v>
      </c>
      <c r="O590" t="s">
        <v>18054</v>
      </c>
      <c r="P590">
        <v>2</v>
      </c>
      <c r="Q590" t="s">
        <v>18315</v>
      </c>
    </row>
    <row r="591" spans="1:17" x14ac:dyDescent="0.2">
      <c r="A591" s="70" t="s">
        <v>14106</v>
      </c>
      <c r="B591" s="92" t="s">
        <v>20163</v>
      </c>
      <c r="C591" s="92" t="s">
        <v>14107</v>
      </c>
      <c r="D591" s="117" t="s">
        <v>20272</v>
      </c>
      <c r="E591" s="70">
        <v>400340</v>
      </c>
      <c r="F591" s="79" t="s">
        <v>137</v>
      </c>
      <c r="G591" t="str">
        <f>IF(O591="",N591&amp;" ("&amp;M591&amp;")",N591&amp;": "&amp;O591&amp;" ("&amp;M591&amp;")")</f>
        <v>Participate in the Event (A Crescendo of Courage)</v>
      </c>
      <c r="H591" s="79" t="s">
        <v>137</v>
      </c>
      <c r="I591" t="s">
        <v>137</v>
      </c>
      <c r="J591" s="84">
        <v>5</v>
      </c>
      <c r="K591" s="118">
        <v>43690</v>
      </c>
      <c r="L591" t="s">
        <v>18046</v>
      </c>
      <c r="M591" t="s">
        <v>14105</v>
      </c>
      <c r="N591" t="s">
        <v>19688</v>
      </c>
      <c r="Q591" t="s">
        <v>20032</v>
      </c>
    </row>
    <row r="592" spans="1:17" x14ac:dyDescent="0.2">
      <c r="A592" s="70" t="s">
        <v>14109</v>
      </c>
      <c r="B592" s="92" t="s">
        <v>20163</v>
      </c>
      <c r="C592" s="92" t="s">
        <v>14110</v>
      </c>
      <c r="D592" s="117" t="s">
        <v>20273</v>
      </c>
      <c r="E592" s="70">
        <v>400097</v>
      </c>
      <c r="F592" s="79" t="s">
        <v>137</v>
      </c>
      <c r="G592" t="str">
        <f>N592&amp;" ("&amp;O592&amp;")"</f>
        <v>Obtain From Ch. 08 EX 2 Chest (Normal)</v>
      </c>
      <c r="H592" s="79" t="s">
        <v>137</v>
      </c>
      <c r="I592" t="s">
        <v>137</v>
      </c>
      <c r="J592" s="70">
        <v>5</v>
      </c>
      <c r="K592" s="118">
        <v>43708</v>
      </c>
      <c r="L592" t="s">
        <v>18054</v>
      </c>
      <c r="M592" t="s">
        <v>17513</v>
      </c>
      <c r="N592" t="s">
        <v>20205</v>
      </c>
      <c r="O592" t="s">
        <v>15731</v>
      </c>
      <c r="P592">
        <v>1</v>
      </c>
      <c r="Q592" t="s">
        <v>16270</v>
      </c>
    </row>
    <row r="593" spans="1:17" x14ac:dyDescent="0.2">
      <c r="A593" s="70" t="s">
        <v>14111</v>
      </c>
      <c r="B593" s="92" t="s">
        <v>20163</v>
      </c>
      <c r="C593" s="92" t="s">
        <v>14112</v>
      </c>
      <c r="D593" s="117" t="s">
        <v>20274</v>
      </c>
      <c r="E593" s="70">
        <v>400380</v>
      </c>
      <c r="F593" s="79" t="s">
        <v>137</v>
      </c>
      <c r="G593" t="str">
        <f>"Clear "&amp;N593&amp;": "&amp;O593</f>
        <v>Clear Avenue to Fortune: Master</v>
      </c>
      <c r="H593" s="79" t="s">
        <v>137</v>
      </c>
      <c r="I593" t="s">
        <v>137</v>
      </c>
      <c r="J593" s="84">
        <v>5</v>
      </c>
      <c r="K593" s="118">
        <v>43720</v>
      </c>
      <c r="L593" t="s">
        <v>18054</v>
      </c>
      <c r="M593" t="s">
        <v>14970</v>
      </c>
      <c r="N593" t="s">
        <v>19162</v>
      </c>
      <c r="O593" t="s">
        <v>18061</v>
      </c>
      <c r="P593">
        <v>4</v>
      </c>
      <c r="Q593" t="s">
        <v>19165</v>
      </c>
    </row>
    <row r="594" spans="1:17" x14ac:dyDescent="0.2">
      <c r="A594" s="70" t="s">
        <v>14113</v>
      </c>
      <c r="B594" s="92" t="s">
        <v>20163</v>
      </c>
      <c r="C594" s="92" t="s">
        <v>14114</v>
      </c>
      <c r="D594" s="117" t="s">
        <v>20275</v>
      </c>
      <c r="E594" s="70">
        <v>400382</v>
      </c>
      <c r="F594" s="79" t="s">
        <v>137</v>
      </c>
      <c r="G594" t="str">
        <f>IF(O594="","Clear "&amp;N594&amp;" ("&amp;M594&amp;")","Clear "&amp;N594&amp;": "&amp;O594&amp;" ("&amp;M594&amp;")")</f>
        <v>Clear Battle at Myriage Lake: Master (The Imperial Onslaught)</v>
      </c>
      <c r="H594" s="79" t="s">
        <v>137</v>
      </c>
      <c r="I594" t="s">
        <v>137</v>
      </c>
      <c r="J594" s="70">
        <v>5</v>
      </c>
      <c r="K594" s="118">
        <v>43727</v>
      </c>
      <c r="L594" t="s">
        <v>18054</v>
      </c>
      <c r="M594" t="s">
        <v>13954</v>
      </c>
      <c r="N594" t="s">
        <v>19227</v>
      </c>
      <c r="O594" t="s">
        <v>18061</v>
      </c>
      <c r="P594">
        <v>4</v>
      </c>
      <c r="Q594" t="s">
        <v>19232</v>
      </c>
    </row>
    <row r="595" spans="1:17" x14ac:dyDescent="0.2">
      <c r="A595" s="70" t="s">
        <v>14116</v>
      </c>
      <c r="B595" s="92" t="s">
        <v>20163</v>
      </c>
      <c r="C595" s="92" t="s">
        <v>14117</v>
      </c>
      <c r="D595" s="117" t="s">
        <v>20276</v>
      </c>
      <c r="E595" s="70">
        <v>400073</v>
      </c>
      <c r="F595" s="79" t="s">
        <v>137</v>
      </c>
      <c r="G595" t="str">
        <f>IF(O595="","Clear "&amp;N595&amp;" ("&amp;M595&amp;")","Clear "&amp;N595&amp;": "&amp;O595&amp;" ("&amp;M595&amp;")")</f>
        <v>Clear Time's End (Fractured Futures)</v>
      </c>
      <c r="H595" s="79" t="s">
        <v>137</v>
      </c>
      <c r="I595" t="s">
        <v>137</v>
      </c>
      <c r="J595" s="70">
        <v>5</v>
      </c>
      <c r="K595" s="118">
        <v>43738</v>
      </c>
      <c r="L595" t="s">
        <v>18017</v>
      </c>
      <c r="M595" t="s">
        <v>14119</v>
      </c>
      <c r="N595" t="s">
        <v>18326</v>
      </c>
      <c r="P595">
        <v>1</v>
      </c>
      <c r="Q595" t="s">
        <v>18325</v>
      </c>
    </row>
    <row r="596" spans="1:17" x14ac:dyDescent="0.2">
      <c r="A596" s="70" t="s">
        <v>14120</v>
      </c>
      <c r="B596" s="92" t="s">
        <v>20163</v>
      </c>
      <c r="C596" s="92" t="s">
        <v>14121</v>
      </c>
      <c r="D596" s="117" t="s">
        <v>20277</v>
      </c>
      <c r="E596" s="70">
        <v>400384</v>
      </c>
      <c r="F596" s="79" t="s">
        <v>137</v>
      </c>
      <c r="G596" t="str">
        <f>N596&amp;" ("&amp;O596&amp;")"</f>
        <v>Obtain From Ch. 10 EX 1 Chest (Normal)</v>
      </c>
      <c r="H596" s="79" t="s">
        <v>137</v>
      </c>
      <c r="I596" t="s">
        <v>137</v>
      </c>
      <c r="J596" s="70">
        <v>5</v>
      </c>
      <c r="K596" s="118">
        <v>43742</v>
      </c>
      <c r="L596" t="s">
        <v>18054</v>
      </c>
      <c r="M596" t="s">
        <v>17513</v>
      </c>
      <c r="N596" t="s">
        <v>20278</v>
      </c>
      <c r="O596" t="s">
        <v>15731</v>
      </c>
      <c r="P596">
        <v>1</v>
      </c>
      <c r="Q596" t="s">
        <v>16374</v>
      </c>
    </row>
    <row r="597" spans="1:17" x14ac:dyDescent="0.2">
      <c r="A597" s="70" t="s">
        <v>14123</v>
      </c>
      <c r="B597" s="92" t="s">
        <v>20163</v>
      </c>
      <c r="C597" s="92" t="s">
        <v>14124</v>
      </c>
      <c r="D597" s="117" t="s">
        <v>20279</v>
      </c>
      <c r="E597" s="70">
        <v>400084</v>
      </c>
      <c r="F597" s="79" t="s">
        <v>137</v>
      </c>
      <c r="G597" t="str">
        <f>N597&amp;" ("&amp;O597&amp;")"</f>
        <v>Obtain From Ch. 10 EX 1 Chest (Hard)</v>
      </c>
      <c r="H597" s="79" t="s">
        <v>137</v>
      </c>
      <c r="I597" t="s">
        <v>137</v>
      </c>
      <c r="J597" s="70">
        <v>5</v>
      </c>
      <c r="K597" s="118">
        <v>43742</v>
      </c>
      <c r="L597" t="s">
        <v>18054</v>
      </c>
      <c r="M597" t="s">
        <v>17513</v>
      </c>
      <c r="N597" t="s">
        <v>20278</v>
      </c>
      <c r="O597" t="s">
        <v>15732</v>
      </c>
      <c r="P597">
        <v>1</v>
      </c>
      <c r="Q597" t="s">
        <v>17730</v>
      </c>
    </row>
    <row r="598" spans="1:17" x14ac:dyDescent="0.2">
      <c r="A598" s="70" t="s">
        <v>14125</v>
      </c>
      <c r="B598" s="92" t="s">
        <v>20163</v>
      </c>
      <c r="C598" s="92" t="s">
        <v>14126</v>
      </c>
      <c r="D598" s="117" t="s">
        <v>20280</v>
      </c>
      <c r="E598" s="70">
        <v>400135</v>
      </c>
      <c r="F598" s="79" t="s">
        <v>137</v>
      </c>
      <c r="G598" t="str">
        <f>N598&amp;" ("&amp;O598&amp;")"</f>
        <v>Obtain From Ch. 14 EX 1 Chest (Very Hard)</v>
      </c>
      <c r="H598" s="79" t="s">
        <v>137</v>
      </c>
      <c r="I598" t="s">
        <v>137</v>
      </c>
      <c r="J598" s="70">
        <v>5</v>
      </c>
      <c r="K598" s="118">
        <v>43756</v>
      </c>
      <c r="L598" t="s">
        <v>18054</v>
      </c>
      <c r="M598" t="s">
        <v>17513</v>
      </c>
      <c r="N598" t="s">
        <v>20281</v>
      </c>
      <c r="O598" t="s">
        <v>15733</v>
      </c>
      <c r="P598">
        <v>1</v>
      </c>
      <c r="Q598" t="s">
        <v>17807</v>
      </c>
    </row>
    <row r="599" spans="1:17" x14ac:dyDescent="0.2">
      <c r="A599" s="70" t="s">
        <v>14128</v>
      </c>
      <c r="B599" s="92" t="s">
        <v>20163</v>
      </c>
      <c r="C599" s="92" t="s">
        <v>14129</v>
      </c>
      <c r="D599" s="117" t="s">
        <v>20282</v>
      </c>
      <c r="E599" s="70">
        <v>400389</v>
      </c>
      <c r="F599" s="79" t="s">
        <v>137</v>
      </c>
      <c r="G599" t="str">
        <f>IF(O599="","Clear "&amp;N599&amp;" ("&amp;M599&amp;")","Clear "&amp;N599&amp;": "&amp;O599&amp;" ("&amp;M599&amp;")")</f>
        <v>Clear All-Out Assault: Standard (Stirring Shadows)</v>
      </c>
      <c r="H599" s="79" t="s">
        <v>137</v>
      </c>
      <c r="I599" t="s">
        <v>137</v>
      </c>
      <c r="J599" s="70">
        <v>5</v>
      </c>
      <c r="K599" s="118">
        <v>43769</v>
      </c>
      <c r="L599" t="s">
        <v>18175</v>
      </c>
      <c r="M599" t="s">
        <v>14130</v>
      </c>
      <c r="N599" t="s">
        <v>19643</v>
      </c>
      <c r="O599" t="s">
        <v>18054</v>
      </c>
      <c r="P599">
        <v>2</v>
      </c>
      <c r="Q599" t="s">
        <v>18349</v>
      </c>
    </row>
    <row r="600" spans="1:17" x14ac:dyDescent="0.2">
      <c r="A600" s="70" t="s">
        <v>14131</v>
      </c>
      <c r="B600" s="92" t="s">
        <v>20163</v>
      </c>
      <c r="C600" s="92" t="s">
        <v>14132</v>
      </c>
      <c r="D600" s="117" t="s">
        <v>20283</v>
      </c>
      <c r="E600" s="70">
        <v>400411</v>
      </c>
      <c r="F600" s="79" t="s">
        <v>137</v>
      </c>
      <c r="G600" t="str">
        <f>N600&amp;" ("&amp;O600&amp;")"</f>
        <v>Obtain From Ch. 15 EX 1 Chest (Very Hard)</v>
      </c>
      <c r="H600" s="79" t="s">
        <v>137</v>
      </c>
      <c r="I600" t="s">
        <v>137</v>
      </c>
      <c r="J600" s="70">
        <v>5</v>
      </c>
      <c r="K600" s="118">
        <v>43782</v>
      </c>
      <c r="L600" t="s">
        <v>18054</v>
      </c>
      <c r="M600" t="s">
        <v>17513</v>
      </c>
      <c r="N600" t="s">
        <v>20284</v>
      </c>
      <c r="O600" t="s">
        <v>15733</v>
      </c>
      <c r="P600">
        <v>1</v>
      </c>
      <c r="Q600" t="s">
        <v>17826</v>
      </c>
    </row>
    <row r="601" spans="1:17" x14ac:dyDescent="0.2">
      <c r="A601" s="70" t="s">
        <v>14134</v>
      </c>
      <c r="B601" s="92" t="s">
        <v>20163</v>
      </c>
      <c r="C601" s="92" t="s">
        <v>14135</v>
      </c>
      <c r="D601" s="117" t="s">
        <v>20285</v>
      </c>
      <c r="E601" s="70">
        <v>400391</v>
      </c>
      <c r="F601" s="79" t="s">
        <v>137</v>
      </c>
      <c r="G601" t="str">
        <f>N601&amp;" ("&amp;O601&amp;")"</f>
        <v>Obtain From Ch. 16 EX 1 Chest (Very Hard)</v>
      </c>
      <c r="H601" s="79" t="s">
        <v>137</v>
      </c>
      <c r="I601" t="s">
        <v>137</v>
      </c>
      <c r="J601" s="70">
        <v>5</v>
      </c>
      <c r="K601" s="118">
        <v>43782</v>
      </c>
      <c r="L601" t="s">
        <v>18054</v>
      </c>
      <c r="M601" t="s">
        <v>17513</v>
      </c>
      <c r="N601" t="s">
        <v>20286</v>
      </c>
      <c r="O601" t="s">
        <v>15733</v>
      </c>
      <c r="P601">
        <v>1</v>
      </c>
      <c r="Q601" t="s">
        <v>17840</v>
      </c>
    </row>
    <row r="602" spans="1:17" x14ac:dyDescent="0.2">
      <c r="A602" s="70" t="s">
        <v>14137</v>
      </c>
      <c r="B602" s="92" t="s">
        <v>20163</v>
      </c>
      <c r="C602" s="92" t="s">
        <v>14138</v>
      </c>
      <c r="D602" s="117" t="s">
        <v>20287</v>
      </c>
      <c r="E602" s="70">
        <v>400398</v>
      </c>
      <c r="F602" s="79" t="s">
        <v>137</v>
      </c>
      <c r="G602" t="str">
        <f t="shared" ref="G602:G607" si="21">IF(O602="","Clear "&amp;N602&amp;" ("&amp;M602&amp;")","Clear "&amp;N602&amp;": "&amp;O602&amp;" ("&amp;M602&amp;")")</f>
        <v>Clear Brainwashed Mercury: Beginner (Mega Man Chaos Protocol)</v>
      </c>
      <c r="H602" s="79" t="s">
        <v>137</v>
      </c>
      <c r="I602" t="s">
        <v>137</v>
      </c>
      <c r="J602" s="70">
        <v>5</v>
      </c>
      <c r="K602" s="118">
        <v>43798</v>
      </c>
      <c r="L602" t="s">
        <v>18241</v>
      </c>
      <c r="M602" t="s">
        <v>19695</v>
      </c>
      <c r="N602" t="s">
        <v>18371</v>
      </c>
      <c r="O602" t="s">
        <v>18031</v>
      </c>
      <c r="P602">
        <v>1</v>
      </c>
      <c r="Q602" t="s">
        <v>18370</v>
      </c>
    </row>
    <row r="603" spans="1:17" x14ac:dyDescent="0.2">
      <c r="A603" s="70" t="s">
        <v>14140</v>
      </c>
      <c r="B603" s="92" t="s">
        <v>20163</v>
      </c>
      <c r="C603" s="92" t="s">
        <v>14141</v>
      </c>
      <c r="D603" s="117" t="s">
        <v>20288</v>
      </c>
      <c r="E603" s="70">
        <v>400399</v>
      </c>
      <c r="F603" s="79" t="s">
        <v>137</v>
      </c>
      <c r="G603" t="str">
        <f t="shared" si="21"/>
        <v>Clear Brainwashed Midgardsormr: Beginner (Mega Man Chaos Protocol)</v>
      </c>
      <c r="H603" s="79" t="s">
        <v>137</v>
      </c>
      <c r="I603" t="s">
        <v>137</v>
      </c>
      <c r="J603" s="70">
        <v>5</v>
      </c>
      <c r="K603" s="118">
        <v>43798</v>
      </c>
      <c r="L603" t="s">
        <v>18241</v>
      </c>
      <c r="M603" t="s">
        <v>19695</v>
      </c>
      <c r="N603" t="s">
        <v>18359</v>
      </c>
      <c r="O603" t="s">
        <v>18031</v>
      </c>
      <c r="P603">
        <v>1</v>
      </c>
      <c r="Q603" t="s">
        <v>18357</v>
      </c>
    </row>
    <row r="604" spans="1:17" x14ac:dyDescent="0.2">
      <c r="A604" s="70" t="s">
        <v>14142</v>
      </c>
      <c r="B604" s="92" t="s">
        <v>20163</v>
      </c>
      <c r="C604" s="92" t="s">
        <v>14143</v>
      </c>
      <c r="D604" s="117" t="s">
        <v>20289</v>
      </c>
      <c r="E604" s="70">
        <v>400400</v>
      </c>
      <c r="F604" s="79" t="s">
        <v>137</v>
      </c>
      <c r="G604" t="str">
        <f t="shared" si="21"/>
        <v>Clear Brainwashed Jupiter: Beginner (Mega Man Chaos Protocol)</v>
      </c>
      <c r="H604" s="79" t="s">
        <v>137</v>
      </c>
      <c r="I604" t="s">
        <v>137</v>
      </c>
      <c r="J604" s="70">
        <v>5</v>
      </c>
      <c r="K604" s="118">
        <v>43798</v>
      </c>
      <c r="L604" t="s">
        <v>18241</v>
      </c>
      <c r="M604" t="s">
        <v>19695</v>
      </c>
      <c r="N604" t="s">
        <v>18383</v>
      </c>
      <c r="O604" t="s">
        <v>18031</v>
      </c>
      <c r="P604">
        <v>1</v>
      </c>
      <c r="Q604" t="s">
        <v>18382</v>
      </c>
    </row>
    <row r="605" spans="1:17" x14ac:dyDescent="0.2">
      <c r="A605" s="70" t="s">
        <v>14145</v>
      </c>
      <c r="B605" s="92" t="s">
        <v>20163</v>
      </c>
      <c r="C605" s="92" t="s">
        <v>14146</v>
      </c>
      <c r="D605" s="117" t="s">
        <v>20290</v>
      </c>
      <c r="E605" s="70">
        <v>400401</v>
      </c>
      <c r="F605" s="79" t="s">
        <v>137</v>
      </c>
      <c r="G605" t="str">
        <f t="shared" si="21"/>
        <v>Clear Brainwashed Brunhilda: Beginner (Mega Man Chaos Protocol)</v>
      </c>
      <c r="H605" s="79" t="s">
        <v>137</v>
      </c>
      <c r="I605" t="s">
        <v>137</v>
      </c>
      <c r="J605" s="70">
        <v>5</v>
      </c>
      <c r="K605" s="118">
        <v>43798</v>
      </c>
      <c r="L605" t="s">
        <v>18241</v>
      </c>
      <c r="M605" t="s">
        <v>19695</v>
      </c>
      <c r="N605" t="s">
        <v>18377</v>
      </c>
      <c r="O605" t="s">
        <v>18031</v>
      </c>
      <c r="P605">
        <v>1</v>
      </c>
      <c r="Q605" t="s">
        <v>18376</v>
      </c>
    </row>
    <row r="606" spans="1:17" x14ac:dyDescent="0.2">
      <c r="A606" s="70" t="s">
        <v>14147</v>
      </c>
      <c r="B606" s="92" t="s">
        <v>20163</v>
      </c>
      <c r="C606" s="92" t="s">
        <v>14148</v>
      </c>
      <c r="D606" s="117" t="s">
        <v>20291</v>
      </c>
      <c r="E606" s="70">
        <v>400412</v>
      </c>
      <c r="F606" s="79" t="s">
        <v>137</v>
      </c>
      <c r="G606" t="str">
        <f t="shared" si="21"/>
        <v>Clear Brainwashed Zodiark: Beginner (Mega Man Chaos Protocol)</v>
      </c>
      <c r="H606" s="79" t="s">
        <v>137</v>
      </c>
      <c r="I606" t="s">
        <v>137</v>
      </c>
      <c r="J606" s="70">
        <v>5</v>
      </c>
      <c r="K606" s="118">
        <v>43798</v>
      </c>
      <c r="L606" t="s">
        <v>18241</v>
      </c>
      <c r="M606" t="s">
        <v>19695</v>
      </c>
      <c r="N606" t="s">
        <v>18389</v>
      </c>
      <c r="O606" t="s">
        <v>18031</v>
      </c>
      <c r="P606">
        <v>1</v>
      </c>
      <c r="Q606" t="s">
        <v>18388</v>
      </c>
    </row>
    <row r="607" spans="1:17" x14ac:dyDescent="0.2">
      <c r="A607" s="70" t="s">
        <v>14149</v>
      </c>
      <c r="B607" s="92" t="s">
        <v>20163</v>
      </c>
      <c r="C607" s="92" t="s">
        <v>14150</v>
      </c>
      <c r="D607" s="117" t="s">
        <v>20292</v>
      </c>
      <c r="E607" s="70">
        <v>400397</v>
      </c>
      <c r="F607" s="79" t="s">
        <v>137</v>
      </c>
      <c r="G607" t="str">
        <f t="shared" si="21"/>
        <v>Clear Wily Machine 2: Beginner (Mega Man Chaos Protocol)</v>
      </c>
      <c r="H607" s="79" t="s">
        <v>137</v>
      </c>
      <c r="I607" t="s">
        <v>137</v>
      </c>
      <c r="J607" s="70">
        <v>5</v>
      </c>
      <c r="K607" s="118">
        <v>43798</v>
      </c>
      <c r="L607" t="s">
        <v>18241</v>
      </c>
      <c r="M607" t="s">
        <v>19695</v>
      </c>
      <c r="N607" t="s">
        <v>18395</v>
      </c>
      <c r="O607" t="s">
        <v>18031</v>
      </c>
      <c r="P607">
        <v>1</v>
      </c>
      <c r="Q607" t="s">
        <v>18394</v>
      </c>
    </row>
    <row r="608" spans="1:17" x14ac:dyDescent="0.2">
      <c r="A608" s="70" t="s">
        <v>14151</v>
      </c>
      <c r="B608" s="92" t="s">
        <v>20163</v>
      </c>
      <c r="C608" s="92" t="s">
        <v>14152</v>
      </c>
      <c r="D608" s="117" t="s">
        <v>20293</v>
      </c>
      <c r="E608" s="70">
        <v>400395</v>
      </c>
      <c r="F608" s="79" t="s">
        <v>137</v>
      </c>
      <c r="G608" t="str">
        <f>"Clear "&amp;N608&amp;": "&amp;O608</f>
        <v>Clear Shadowsteep Ruins: Standard</v>
      </c>
      <c r="H608" s="79" t="s">
        <v>137</v>
      </c>
      <c r="I608" t="s">
        <v>137</v>
      </c>
      <c r="J608" s="70">
        <v>5</v>
      </c>
      <c r="K608" s="118">
        <v>43801</v>
      </c>
      <c r="L608" t="s">
        <v>18054</v>
      </c>
      <c r="M608" t="s">
        <v>14035</v>
      </c>
      <c r="N608" t="s">
        <v>19186</v>
      </c>
      <c r="O608" t="s">
        <v>18054</v>
      </c>
      <c r="P608">
        <v>2</v>
      </c>
      <c r="Q608" t="s">
        <v>19187</v>
      </c>
    </row>
    <row r="609" spans="1:17" x14ac:dyDescent="0.2">
      <c r="A609" s="70" t="s">
        <v>14153</v>
      </c>
      <c r="B609" s="92" t="s">
        <v>20163</v>
      </c>
      <c r="C609" s="92" t="s">
        <v>14154</v>
      </c>
      <c r="D609" s="117" t="s">
        <v>20294</v>
      </c>
      <c r="E609" s="70">
        <v>400393</v>
      </c>
      <c r="F609" s="79" t="s">
        <v>137</v>
      </c>
      <c r="G609" t="str">
        <f>IF(O609="",N609&amp;" ("&amp;M609&amp;")",N609&amp;": "&amp;O609&amp;" ("&amp;M609&amp;")")</f>
        <v>Read Episode 5 of the Event Story	 (The Miracle of Dragonyule)</v>
      </c>
      <c r="H609" s="79" t="s">
        <v>137</v>
      </c>
      <c r="I609" t="s">
        <v>137</v>
      </c>
      <c r="J609" s="70">
        <v>5</v>
      </c>
      <c r="K609" s="118">
        <v>43811</v>
      </c>
      <c r="L609" t="s">
        <v>18046</v>
      </c>
      <c r="M609" t="s">
        <v>14001</v>
      </c>
      <c r="N609" t="s">
        <v>20228</v>
      </c>
      <c r="Q609" t="s">
        <v>19773</v>
      </c>
    </row>
    <row r="610" spans="1:17" x14ac:dyDescent="0.2">
      <c r="A610" s="70" t="s">
        <v>14156</v>
      </c>
      <c r="B610" s="92" t="s">
        <v>20163</v>
      </c>
      <c r="C610" s="92" t="s">
        <v>14157</v>
      </c>
      <c r="D610" s="117" t="s">
        <v>20295</v>
      </c>
      <c r="E610" s="70">
        <v>400407</v>
      </c>
      <c r="F610" s="79" t="s">
        <v>137</v>
      </c>
      <c r="G610" t="str">
        <f>IF(O610="","Clear "&amp;N610&amp;" ("&amp;M610&amp;")","Clear "&amp;N610&amp;": "&amp;O610&amp;" ("&amp;M610&amp;")")</f>
        <v>Clear Ebisu Showdown: EX (A Clawful Caper)</v>
      </c>
      <c r="H610" s="79" t="s">
        <v>137</v>
      </c>
      <c r="I610" t="s">
        <v>137</v>
      </c>
      <c r="J610" s="84">
        <v>5</v>
      </c>
      <c r="K610" s="118">
        <v>43830</v>
      </c>
      <c r="L610" t="s">
        <v>18017</v>
      </c>
      <c r="M610" t="s">
        <v>14158</v>
      </c>
      <c r="N610" t="s">
        <v>18420</v>
      </c>
      <c r="O610" t="s">
        <v>18039</v>
      </c>
      <c r="P610">
        <v>3</v>
      </c>
      <c r="Q610" t="s">
        <v>18422</v>
      </c>
    </row>
    <row r="611" spans="1:17" x14ac:dyDescent="0.2">
      <c r="A611" s="70" t="s">
        <v>14159</v>
      </c>
      <c r="B611" s="92" t="s">
        <v>20163</v>
      </c>
      <c r="C611" s="92" t="s">
        <v>14160</v>
      </c>
      <c r="D611" s="117" t="s">
        <v>20296</v>
      </c>
      <c r="E611" s="70">
        <v>400409</v>
      </c>
      <c r="F611" s="79" t="s">
        <v>137</v>
      </c>
      <c r="G611" t="str">
        <f>N611&amp;" ("&amp;O611&amp;")"</f>
        <v>Obtain From Ch. 07 EX 2 Chest (Very Hard)</v>
      </c>
      <c r="H611" s="79" t="s">
        <v>137</v>
      </c>
      <c r="I611" t="s">
        <v>137</v>
      </c>
      <c r="J611" s="70">
        <v>5</v>
      </c>
      <c r="K611" s="118">
        <v>43844</v>
      </c>
      <c r="L611" t="s">
        <v>18054</v>
      </c>
      <c r="M611" t="s">
        <v>17513</v>
      </c>
      <c r="N611" t="s">
        <v>20262</v>
      </c>
      <c r="O611" t="s">
        <v>15733</v>
      </c>
      <c r="P611">
        <v>1</v>
      </c>
      <c r="Q611" t="s">
        <v>17701</v>
      </c>
    </row>
    <row r="612" spans="1:17" x14ac:dyDescent="0.2">
      <c r="A612" s="70" t="s">
        <v>14161</v>
      </c>
      <c r="B612" s="92" t="s">
        <v>20163</v>
      </c>
      <c r="C612" s="92" t="s">
        <v>14162</v>
      </c>
      <c r="D612" s="117" t="s">
        <v>20297</v>
      </c>
      <c r="E612" s="70">
        <v>400431</v>
      </c>
      <c r="F612" s="79" t="s">
        <v>137</v>
      </c>
      <c r="G612" t="str">
        <f t="shared" ref="G612:G617" si="22">IF(O612="","Clear "&amp;N612&amp;" ("&amp;M612&amp;")","Clear "&amp;N612&amp;": "&amp;O612&amp;" ("&amp;M612&amp;")")</f>
        <v>Clear Bounties for the Brave (Skyborne Spectacle)</v>
      </c>
      <c r="H612" s="79" t="s">
        <v>137</v>
      </c>
      <c r="I612" t="s">
        <v>137</v>
      </c>
      <c r="J612" s="84">
        <v>5</v>
      </c>
      <c r="K612" s="118">
        <v>43853</v>
      </c>
      <c r="L612" t="s">
        <v>18017</v>
      </c>
      <c r="M612" t="s">
        <v>14028</v>
      </c>
      <c r="N612" t="s">
        <v>18160</v>
      </c>
      <c r="P612">
        <v>1</v>
      </c>
      <c r="Q612" t="s">
        <v>18159</v>
      </c>
    </row>
    <row r="613" spans="1:17" x14ac:dyDescent="0.2">
      <c r="A613" s="70" t="s">
        <v>14163</v>
      </c>
      <c r="B613" s="92" t="s">
        <v>20163</v>
      </c>
      <c r="C613" s="92" t="s">
        <v>14164</v>
      </c>
      <c r="D613" s="117" t="s">
        <v>20298</v>
      </c>
      <c r="E613" s="70">
        <v>400417</v>
      </c>
      <c r="F613" s="79" t="s">
        <v>137</v>
      </c>
      <c r="G613" t="str">
        <f t="shared" si="22"/>
        <v>Clear Trials: Rathalos's Trial (Monster Hunter Primal Crisis)</v>
      </c>
      <c r="H613" s="79" t="s">
        <v>137</v>
      </c>
      <c r="I613" t="s">
        <v>137</v>
      </c>
      <c r="J613" s="70">
        <v>5</v>
      </c>
      <c r="K613" s="118">
        <v>43859</v>
      </c>
      <c r="L613" t="s">
        <v>18241</v>
      </c>
      <c r="M613" t="s">
        <v>19631</v>
      </c>
      <c r="N613" t="s">
        <v>20014</v>
      </c>
      <c r="O613" t="s">
        <v>18455</v>
      </c>
      <c r="P613">
        <v>1</v>
      </c>
      <c r="Q613" t="s">
        <v>18453</v>
      </c>
    </row>
    <row r="614" spans="1:17" x14ac:dyDescent="0.2">
      <c r="A614" s="70" t="s">
        <v>14167</v>
      </c>
      <c r="B614" s="92" t="s">
        <v>20163</v>
      </c>
      <c r="C614" s="92" t="s">
        <v>14168</v>
      </c>
      <c r="D614" s="117" t="s">
        <v>20299</v>
      </c>
      <c r="E614" s="70">
        <v>400416</v>
      </c>
      <c r="F614" s="79" t="s">
        <v>137</v>
      </c>
      <c r="G614" t="str">
        <f t="shared" si="22"/>
        <v>Clear Trials: Advanced Trial (Monster Hunter Primal Crisis)</v>
      </c>
      <c r="H614" s="79" t="s">
        <v>137</v>
      </c>
      <c r="I614" t="s">
        <v>137</v>
      </c>
      <c r="J614" s="70">
        <v>5</v>
      </c>
      <c r="K614" s="118">
        <v>43859</v>
      </c>
      <c r="L614" t="s">
        <v>18241</v>
      </c>
      <c r="M614" t="s">
        <v>19631</v>
      </c>
      <c r="N614" t="s">
        <v>20014</v>
      </c>
      <c r="O614" t="s">
        <v>18457</v>
      </c>
      <c r="P614">
        <v>2</v>
      </c>
      <c r="Q614" t="s">
        <v>18456</v>
      </c>
    </row>
    <row r="615" spans="1:17" x14ac:dyDescent="0.2">
      <c r="A615" s="70" t="s">
        <v>14169</v>
      </c>
      <c r="B615" s="92" t="s">
        <v>20163</v>
      </c>
      <c r="C615" s="92" t="s">
        <v>14170</v>
      </c>
      <c r="D615" s="117" t="s">
        <v>20300</v>
      </c>
      <c r="E615" s="70">
        <v>400419</v>
      </c>
      <c r="F615" s="79" t="s">
        <v>137</v>
      </c>
      <c r="G615" t="str">
        <f t="shared" si="22"/>
        <v>Clear Fatalis Clash: EX (Monster Hunter Primal Crisis)</v>
      </c>
      <c r="H615" s="79" t="s">
        <v>137</v>
      </c>
      <c r="I615" t="s">
        <v>137</v>
      </c>
      <c r="J615" s="70">
        <v>5</v>
      </c>
      <c r="K615" s="118">
        <v>43865</v>
      </c>
      <c r="L615" t="s">
        <v>18241</v>
      </c>
      <c r="M615" t="s">
        <v>19631</v>
      </c>
      <c r="N615" t="s">
        <v>18444</v>
      </c>
      <c r="O615" t="s">
        <v>18039</v>
      </c>
      <c r="P615">
        <v>3</v>
      </c>
      <c r="Q615" t="s">
        <v>18448</v>
      </c>
    </row>
    <row r="616" spans="1:17" x14ac:dyDescent="0.2">
      <c r="A616" s="70" t="s">
        <v>14172</v>
      </c>
      <c r="B616" s="92" t="s">
        <v>20163</v>
      </c>
      <c r="C616" s="92" t="s">
        <v>14173</v>
      </c>
      <c r="D616" s="117" t="s">
        <v>20301</v>
      </c>
      <c r="E616" s="70">
        <v>400424</v>
      </c>
      <c r="F616" s="79" t="s">
        <v>137</v>
      </c>
      <c r="G616" t="str">
        <f t="shared" si="22"/>
        <v>Clear Fatalis Clash: G★★ (Monster Hunter Primal Crisis)</v>
      </c>
      <c r="H616" s="79" t="s">
        <v>137</v>
      </c>
      <c r="I616" t="s">
        <v>137</v>
      </c>
      <c r="J616" s="70">
        <v>5</v>
      </c>
      <c r="K616" s="118">
        <v>43865</v>
      </c>
      <c r="L616" t="s">
        <v>18241</v>
      </c>
      <c r="M616" t="s">
        <v>19631</v>
      </c>
      <c r="N616" t="s">
        <v>18444</v>
      </c>
      <c r="O616" t="s">
        <v>18447</v>
      </c>
      <c r="P616">
        <v>2</v>
      </c>
      <c r="Q616" t="s">
        <v>18446</v>
      </c>
    </row>
    <row r="617" spans="1:17" x14ac:dyDescent="0.2">
      <c r="A617" s="70" t="s">
        <v>14174</v>
      </c>
      <c r="B617" s="92" t="s">
        <v>20163</v>
      </c>
      <c r="C617" s="92" t="s">
        <v>14175</v>
      </c>
      <c r="D617" s="117" t="s">
        <v>20302</v>
      </c>
      <c r="E617" s="70">
        <v>400418</v>
      </c>
      <c r="F617" s="79" t="s">
        <v>137</v>
      </c>
      <c r="G617" t="str">
        <f t="shared" si="22"/>
        <v>Clear Fatalis Clash: G★★★★ (Monster Hunter Primal Crisis)</v>
      </c>
      <c r="H617" s="79" t="s">
        <v>137</v>
      </c>
      <c r="I617" t="s">
        <v>137</v>
      </c>
      <c r="J617" s="70">
        <v>5</v>
      </c>
      <c r="K617" s="118">
        <v>43865</v>
      </c>
      <c r="L617" t="s">
        <v>18241</v>
      </c>
      <c r="M617" t="s">
        <v>19631</v>
      </c>
      <c r="N617" t="s">
        <v>18444</v>
      </c>
      <c r="O617" t="s">
        <v>18452</v>
      </c>
      <c r="P617">
        <v>5</v>
      </c>
      <c r="Q617" t="s">
        <v>18451</v>
      </c>
    </row>
    <row r="618" spans="1:17" x14ac:dyDescent="0.2">
      <c r="A618" s="70" t="s">
        <v>14176</v>
      </c>
      <c r="B618" s="92" t="s">
        <v>20163</v>
      </c>
      <c r="C618" s="92" t="s">
        <v>14177</v>
      </c>
      <c r="D618" s="117" t="s">
        <v>20303</v>
      </c>
      <c r="E618" s="70">
        <v>400413</v>
      </c>
      <c r="F618" s="79" t="s">
        <v>137</v>
      </c>
      <c r="G618" t="str">
        <f>N618&amp;" ("&amp;O618&amp;")"</f>
        <v>Obtain From Ch. 13 EX 1 Chest (Very Hard)</v>
      </c>
      <c r="H618" s="79" t="s">
        <v>137</v>
      </c>
      <c r="I618" t="s">
        <v>137</v>
      </c>
      <c r="J618" s="70">
        <v>5</v>
      </c>
      <c r="K618" s="118">
        <v>43875</v>
      </c>
      <c r="L618" t="s">
        <v>18054</v>
      </c>
      <c r="M618" t="s">
        <v>17513</v>
      </c>
      <c r="N618" t="s">
        <v>20304</v>
      </c>
      <c r="O618" t="s">
        <v>15733</v>
      </c>
      <c r="P618">
        <v>1</v>
      </c>
      <c r="Q618" t="s">
        <v>17787</v>
      </c>
    </row>
    <row r="619" spans="1:17" x14ac:dyDescent="0.2">
      <c r="A619" s="70" t="s">
        <v>14179</v>
      </c>
      <c r="B619" s="92" t="s">
        <v>20163</v>
      </c>
      <c r="C619" s="92" t="s">
        <v>14180</v>
      </c>
      <c r="D619" s="117" t="s">
        <v>20305</v>
      </c>
      <c r="E619" s="70">
        <v>400288</v>
      </c>
      <c r="F619" s="79" t="s">
        <v>137</v>
      </c>
      <c r="G619" t="str">
        <f>IF(O619="",N619&amp;" ("&amp;M619&amp;")",N619&amp;": "&amp;O619&amp;" ("&amp;M619&amp;")")</f>
        <v>Participate in the Event (A Dash of Disaster)</v>
      </c>
      <c r="H619" s="79" t="s">
        <v>137</v>
      </c>
      <c r="I619" t="s">
        <v>137</v>
      </c>
      <c r="J619" s="84">
        <v>5</v>
      </c>
      <c r="K619" s="118">
        <v>43889</v>
      </c>
      <c r="L619" t="s">
        <v>18046</v>
      </c>
      <c r="M619" t="s">
        <v>14181</v>
      </c>
      <c r="N619" t="s">
        <v>19688</v>
      </c>
      <c r="Q619" t="s">
        <v>20021</v>
      </c>
    </row>
    <row r="620" spans="1:17" x14ac:dyDescent="0.2">
      <c r="A620" s="70" t="s">
        <v>14182</v>
      </c>
      <c r="B620" s="92" t="s">
        <v>20163</v>
      </c>
      <c r="C620" s="92" t="s">
        <v>14183</v>
      </c>
      <c r="D620" s="117" t="s">
        <v>20306</v>
      </c>
      <c r="E620" s="70">
        <v>400285</v>
      </c>
      <c r="F620" s="79" t="s">
        <v>137</v>
      </c>
      <c r="G620" t="str">
        <f>IF(O620="","Clear "&amp;N620&amp;" ("&amp;M620&amp;")","Clear "&amp;N620&amp;": "&amp;O620&amp;" ("&amp;M620&amp;")")</f>
        <v>Clear Nature's Bounty - À La Carte: Standard (A Dash of Disaster)</v>
      </c>
      <c r="H620" s="79" t="s">
        <v>137</v>
      </c>
      <c r="I620" t="s">
        <v>137</v>
      </c>
      <c r="J620" s="84">
        <v>5</v>
      </c>
      <c r="K620" s="118">
        <v>43889</v>
      </c>
      <c r="L620" t="s">
        <v>18046</v>
      </c>
      <c r="M620" t="s">
        <v>14181</v>
      </c>
      <c r="N620" t="s">
        <v>18467</v>
      </c>
      <c r="O620" t="s">
        <v>18054</v>
      </c>
      <c r="P620">
        <v>2</v>
      </c>
      <c r="Q620" t="s">
        <v>18468</v>
      </c>
    </row>
    <row r="621" spans="1:17" x14ac:dyDescent="0.2">
      <c r="A621" s="70" t="s">
        <v>14184</v>
      </c>
      <c r="B621" s="92" t="s">
        <v>20163</v>
      </c>
      <c r="C621" s="92" t="s">
        <v>14185</v>
      </c>
      <c r="D621" s="117" t="s">
        <v>20307</v>
      </c>
      <c r="E621" s="70">
        <v>400420</v>
      </c>
      <c r="F621" s="79" t="s">
        <v>137</v>
      </c>
      <c r="G621" t="str">
        <f>"Clear "&amp;N621&amp;": "&amp;O621</f>
        <v>Clear Windmaul Ruins: Expert</v>
      </c>
      <c r="H621" s="79" t="s">
        <v>137</v>
      </c>
      <c r="I621" t="s">
        <v>137</v>
      </c>
      <c r="J621" s="70">
        <v>5</v>
      </c>
      <c r="K621" s="118">
        <v>43902</v>
      </c>
      <c r="L621" t="s">
        <v>18054</v>
      </c>
      <c r="M621" t="s">
        <v>14035</v>
      </c>
      <c r="N621" t="s">
        <v>19178</v>
      </c>
      <c r="O621" t="s">
        <v>18033</v>
      </c>
      <c r="P621">
        <v>2</v>
      </c>
      <c r="Q621" t="s">
        <v>19179</v>
      </c>
    </row>
    <row r="622" spans="1:17" x14ac:dyDescent="0.2">
      <c r="A622" s="70" t="s">
        <v>14186</v>
      </c>
      <c r="B622" s="92" t="s">
        <v>20163</v>
      </c>
      <c r="C622" s="92" t="s">
        <v>14187</v>
      </c>
      <c r="D622" s="117" t="s">
        <v>20308</v>
      </c>
      <c r="E622" s="70">
        <v>400342</v>
      </c>
      <c r="F622" s="79" t="s">
        <v>137</v>
      </c>
      <c r="G622" t="str">
        <f>+"Clear "&amp;N622&amp;" of the Main Campaign ("&amp;O622&amp;")"</f>
        <v>Clear Ch. 03 4-3 of the Main Campaign (Hard)</v>
      </c>
      <c r="H622" s="79" t="s">
        <v>137</v>
      </c>
      <c r="I622" t="s">
        <v>137</v>
      </c>
      <c r="J622" s="70">
        <v>5</v>
      </c>
      <c r="K622" s="118">
        <v>43902</v>
      </c>
      <c r="L622" t="s">
        <v>18054</v>
      </c>
      <c r="M622" t="s">
        <v>17513</v>
      </c>
      <c r="N622" t="s">
        <v>20209</v>
      </c>
      <c r="O622" t="s">
        <v>15732</v>
      </c>
      <c r="P622">
        <v>1</v>
      </c>
      <c r="Q622" t="s">
        <v>17568</v>
      </c>
    </row>
    <row r="623" spans="1:17" x14ac:dyDescent="0.2">
      <c r="A623" s="70" t="s">
        <v>14189</v>
      </c>
      <c r="B623" s="92" t="s">
        <v>20163</v>
      </c>
      <c r="C623" s="92" t="s">
        <v>14190</v>
      </c>
      <c r="D623" s="117" t="s">
        <v>20309</v>
      </c>
      <c r="E623" s="70">
        <v>400402</v>
      </c>
      <c r="F623" s="79" t="s">
        <v>137</v>
      </c>
      <c r="G623" t="str">
        <f>+"Clear "&amp;N623&amp;" of the Main Campaign ("&amp;O623&amp;")"</f>
        <v>Clear Ch. 05 4-3 of the Main Campaign (Very Hard)</v>
      </c>
      <c r="H623" s="79" t="s">
        <v>137</v>
      </c>
      <c r="I623" t="s">
        <v>137</v>
      </c>
      <c r="J623" s="70">
        <v>5</v>
      </c>
      <c r="K623" s="118">
        <v>43902</v>
      </c>
      <c r="L623" t="s">
        <v>18054</v>
      </c>
      <c r="M623" t="s">
        <v>17513</v>
      </c>
      <c r="N623" t="s">
        <v>20251</v>
      </c>
      <c r="O623" t="s">
        <v>15733</v>
      </c>
      <c r="P623">
        <v>1</v>
      </c>
      <c r="Q623" t="s">
        <v>17617</v>
      </c>
    </row>
    <row r="624" spans="1:17" x14ac:dyDescent="0.2">
      <c r="A624" s="70" t="s">
        <v>14192</v>
      </c>
      <c r="B624" s="92" t="s">
        <v>20163</v>
      </c>
      <c r="C624" s="92" t="s">
        <v>14193</v>
      </c>
      <c r="D624" s="117" t="s">
        <v>20310</v>
      </c>
      <c r="E624" s="70">
        <v>400088</v>
      </c>
      <c r="F624" s="79" t="s">
        <v>137</v>
      </c>
      <c r="G624" t="str">
        <f>N624&amp;" ("&amp;O624&amp;")"</f>
        <v>Obtain From Ch. 04 EX 2 Chest (Normal)</v>
      </c>
      <c r="H624" s="79" t="s">
        <v>137</v>
      </c>
      <c r="I624" t="s">
        <v>137</v>
      </c>
      <c r="J624" s="70">
        <v>5</v>
      </c>
      <c r="K624" s="118">
        <v>43917</v>
      </c>
      <c r="L624" t="s">
        <v>18054</v>
      </c>
      <c r="M624" t="s">
        <v>17513</v>
      </c>
      <c r="N624" t="s">
        <v>20238</v>
      </c>
      <c r="O624" t="s">
        <v>15731</v>
      </c>
      <c r="P624">
        <v>1</v>
      </c>
      <c r="Q624" t="s">
        <v>15990</v>
      </c>
    </row>
    <row r="625" spans="1:17" x14ac:dyDescent="0.2">
      <c r="A625" s="70" t="s">
        <v>14194</v>
      </c>
      <c r="B625" s="92" t="s">
        <v>20163</v>
      </c>
      <c r="C625" s="92" t="s">
        <v>14195</v>
      </c>
      <c r="D625" s="117" t="s">
        <v>20311</v>
      </c>
      <c r="E625" s="70">
        <v>400237</v>
      </c>
      <c r="F625" s="79" t="s">
        <v>137</v>
      </c>
      <c r="G625" t="str">
        <f>N625&amp;" ("&amp;O625&amp;")"</f>
        <v>Obtain From Ch. 12 EX 1 Chest (Very Hard)</v>
      </c>
      <c r="H625" s="79" t="s">
        <v>137</v>
      </c>
      <c r="I625" t="s">
        <v>137</v>
      </c>
      <c r="J625" s="70">
        <v>5</v>
      </c>
      <c r="K625" s="118">
        <v>43917</v>
      </c>
      <c r="L625" t="s">
        <v>18054</v>
      </c>
      <c r="M625" t="s">
        <v>17513</v>
      </c>
      <c r="N625" t="s">
        <v>20312</v>
      </c>
      <c r="O625" t="s">
        <v>15733</v>
      </c>
      <c r="P625">
        <v>1</v>
      </c>
      <c r="Q625" t="s">
        <v>17771</v>
      </c>
    </row>
    <row r="626" spans="1:17" x14ac:dyDescent="0.2">
      <c r="A626" s="70" t="s">
        <v>14198</v>
      </c>
      <c r="B626" s="92" t="s">
        <v>20163</v>
      </c>
      <c r="C626" s="92" t="s">
        <v>14199</v>
      </c>
      <c r="D626" s="117" t="s">
        <v>20313</v>
      </c>
      <c r="E626" s="70">
        <v>400239</v>
      </c>
      <c r="F626" s="79" t="s">
        <v>137</v>
      </c>
      <c r="G626" t="str">
        <f>IF(O626="","Clear "&amp;N626&amp;" ("&amp;M626&amp;")","Clear "&amp;N626&amp;": "&amp;O626&amp;" ("&amp;M626&amp;")")</f>
        <v>Clear Aspidochelone Clash: EX (Scars of the Syndicate)</v>
      </c>
      <c r="H626" s="79" t="s">
        <v>137</v>
      </c>
      <c r="I626" t="s">
        <v>137</v>
      </c>
      <c r="J626" s="70">
        <v>5</v>
      </c>
      <c r="K626" s="118">
        <v>43921</v>
      </c>
      <c r="L626" t="s">
        <v>18017</v>
      </c>
      <c r="M626" t="s">
        <v>14201</v>
      </c>
      <c r="N626" t="s">
        <v>18481</v>
      </c>
      <c r="O626" t="s">
        <v>18039</v>
      </c>
      <c r="P626">
        <v>3</v>
      </c>
      <c r="Q626" t="s">
        <v>18483</v>
      </c>
    </row>
    <row r="627" spans="1:17" x14ac:dyDescent="0.2">
      <c r="A627" s="70" t="s">
        <v>14202</v>
      </c>
      <c r="B627" s="92" t="s">
        <v>20163</v>
      </c>
      <c r="C627" s="92" t="s">
        <v>14203</v>
      </c>
      <c r="D627" s="117" t="s">
        <v>20314</v>
      </c>
      <c r="E627" s="70">
        <v>400423</v>
      </c>
      <c r="F627" s="79" t="s">
        <v>137</v>
      </c>
      <c r="G627" t="str">
        <f>N627&amp;" ("&amp;O627&amp;")"</f>
        <v>Obtain From Ch. 11 EX 1 Chest (Hard)</v>
      </c>
      <c r="H627" s="79" t="s">
        <v>137</v>
      </c>
      <c r="I627" t="s">
        <v>137</v>
      </c>
      <c r="J627" s="70">
        <v>5</v>
      </c>
      <c r="K627" s="118">
        <v>43934</v>
      </c>
      <c r="L627" t="s">
        <v>18054</v>
      </c>
      <c r="M627" t="s">
        <v>17513</v>
      </c>
      <c r="N627" t="s">
        <v>20220</v>
      </c>
      <c r="O627" t="s">
        <v>15732</v>
      </c>
      <c r="P627">
        <v>1</v>
      </c>
      <c r="Q627" t="s">
        <v>17750</v>
      </c>
    </row>
    <row r="628" spans="1:17" x14ac:dyDescent="0.2">
      <c r="A628" s="70" t="s">
        <v>14204</v>
      </c>
      <c r="B628" s="92" t="s">
        <v>20163</v>
      </c>
      <c r="C628" s="92" t="s">
        <v>14205</v>
      </c>
      <c r="D628" s="117" t="s">
        <v>20315</v>
      </c>
      <c r="E628" s="70">
        <v>400425</v>
      </c>
      <c r="F628" s="79" t="s">
        <v>137</v>
      </c>
      <c r="G628" t="str">
        <f>IF(O628="",N628&amp;" ("&amp;M628&amp;")",N628&amp;": "&amp;O628&amp;" ("&amp;M628&amp;")")</f>
        <v>Participate in the Event (Fire Emblem: Kindred Ties)</v>
      </c>
      <c r="H628" s="79" t="s">
        <v>137</v>
      </c>
      <c r="I628" t="s">
        <v>137</v>
      </c>
      <c r="J628" s="70">
        <v>5</v>
      </c>
      <c r="K628" s="118">
        <v>43951</v>
      </c>
      <c r="L628" t="s">
        <v>18241</v>
      </c>
      <c r="M628" t="s">
        <v>14206</v>
      </c>
      <c r="N628" t="s">
        <v>19688</v>
      </c>
      <c r="Q628" t="s">
        <v>20316</v>
      </c>
    </row>
    <row r="629" spans="1:17" x14ac:dyDescent="0.2">
      <c r="A629" s="70" t="s">
        <v>14207</v>
      </c>
      <c r="B629" s="92" t="s">
        <v>20163</v>
      </c>
      <c r="C629" s="92" t="s">
        <v>14208</v>
      </c>
      <c r="D629" s="117" t="s">
        <v>20317</v>
      </c>
      <c r="E629" s="70">
        <v>400441</v>
      </c>
      <c r="F629" s="79" t="s">
        <v>137</v>
      </c>
      <c r="G629" t="str">
        <f>IF(O629="","Clear "&amp;N629&amp;" ("&amp;M629&amp;")","Clear "&amp;N629&amp;": "&amp;O629&amp;" ("&amp;M629&amp;")")</f>
        <v>Clear Thórr's Descent: Normal (Fire Emblem: Kindred Ties)</v>
      </c>
      <c r="H629" s="79" t="s">
        <v>137</v>
      </c>
      <c r="I629" t="s">
        <v>137</v>
      </c>
      <c r="J629" s="70">
        <v>5</v>
      </c>
      <c r="K629" s="118">
        <v>43951</v>
      </c>
      <c r="L629" t="s">
        <v>18241</v>
      </c>
      <c r="M629" t="s">
        <v>14206</v>
      </c>
      <c r="N629" t="s">
        <v>18511</v>
      </c>
      <c r="O629" t="s">
        <v>15731</v>
      </c>
      <c r="P629">
        <v>1</v>
      </c>
      <c r="Q629" t="s">
        <v>18510</v>
      </c>
    </row>
    <row r="630" spans="1:17" x14ac:dyDescent="0.2">
      <c r="A630" s="70" t="s">
        <v>14210</v>
      </c>
      <c r="B630" s="92" t="s">
        <v>20163</v>
      </c>
      <c r="C630" s="92" t="s">
        <v>14211</v>
      </c>
      <c r="D630" s="117" t="s">
        <v>20318</v>
      </c>
      <c r="E630" s="70">
        <v>400429</v>
      </c>
      <c r="F630" s="79" t="s">
        <v>137</v>
      </c>
      <c r="G630" t="str">
        <f>N630&amp;" ("&amp;O630&amp;")"</f>
        <v>Obtain From Ch. 08 EX 2 Chest (Very Hard)</v>
      </c>
      <c r="H630" s="79" t="s">
        <v>137</v>
      </c>
      <c r="I630" t="s">
        <v>137</v>
      </c>
      <c r="J630" s="70">
        <v>5</v>
      </c>
      <c r="K630" s="118">
        <v>43963</v>
      </c>
      <c r="L630" t="s">
        <v>18054</v>
      </c>
      <c r="M630" t="s">
        <v>17513</v>
      </c>
      <c r="N630" t="s">
        <v>20205</v>
      </c>
      <c r="O630" t="s">
        <v>15733</v>
      </c>
      <c r="P630">
        <v>1</v>
      </c>
      <c r="Q630" t="s">
        <v>17701</v>
      </c>
    </row>
    <row r="631" spans="1:17" x14ac:dyDescent="0.2">
      <c r="A631" s="70" t="s">
        <v>14212</v>
      </c>
      <c r="B631" s="92" t="s">
        <v>20163</v>
      </c>
      <c r="C631" s="92" t="s">
        <v>14213</v>
      </c>
      <c r="D631" s="117" t="s">
        <v>20319</v>
      </c>
      <c r="E631" s="70">
        <v>400433</v>
      </c>
      <c r="F631" s="79" t="s">
        <v>137</v>
      </c>
      <c r="G631" t="str">
        <f>IF(O631="","Clear "&amp;N631&amp;" ("&amp;M631&amp;")","Clear "&amp;N631&amp;": "&amp;O631&amp;" ("&amp;M631&amp;")")</f>
        <v>Clear Mei Hou Wang Clash: EX (Timeworn Torment)</v>
      </c>
      <c r="H631" s="79" t="s">
        <v>137</v>
      </c>
      <c r="I631" t="s">
        <v>137</v>
      </c>
      <c r="J631" s="70">
        <v>5</v>
      </c>
      <c r="K631" s="118">
        <v>43978</v>
      </c>
      <c r="L631" t="s">
        <v>18017</v>
      </c>
      <c r="M631" t="s">
        <v>14214</v>
      </c>
      <c r="N631" t="s">
        <v>18552</v>
      </c>
      <c r="O631" t="s">
        <v>18039</v>
      </c>
      <c r="P631">
        <v>3</v>
      </c>
      <c r="Q631" t="s">
        <v>18554</v>
      </c>
    </row>
    <row r="632" spans="1:17" x14ac:dyDescent="0.2">
      <c r="A632" s="70" t="s">
        <v>14215</v>
      </c>
      <c r="B632" s="92" t="s">
        <v>20163</v>
      </c>
      <c r="C632" s="92" t="s">
        <v>14216</v>
      </c>
      <c r="D632" s="117" t="s">
        <v>20320</v>
      </c>
      <c r="E632" s="70">
        <v>400435</v>
      </c>
      <c r="F632" s="79" t="s">
        <v>137</v>
      </c>
      <c r="G632" t="str">
        <f>IF(O632="",N632&amp;" ("&amp;M632&amp;")",N632&amp;": "&amp;O632&amp;" ("&amp;M632&amp;")")</f>
        <v>Participate in the Event (Nadine and Linnea's United Front)</v>
      </c>
      <c r="H632" s="79" t="s">
        <v>137</v>
      </c>
      <c r="I632" t="s">
        <v>137</v>
      </c>
      <c r="J632" s="70">
        <v>5</v>
      </c>
      <c r="K632" s="118">
        <v>43994</v>
      </c>
      <c r="L632" t="s">
        <v>18560</v>
      </c>
      <c r="M632" t="s">
        <v>14217</v>
      </c>
      <c r="N632" t="s">
        <v>19688</v>
      </c>
      <c r="Q632" t="s">
        <v>20321</v>
      </c>
    </row>
    <row r="633" spans="1:17" x14ac:dyDescent="0.2">
      <c r="A633" s="70" t="s">
        <v>14218</v>
      </c>
      <c r="B633" s="92" t="s">
        <v>20163</v>
      </c>
      <c r="C633" s="92" t="s">
        <v>14219</v>
      </c>
      <c r="D633" s="117" t="s">
        <v>20322</v>
      </c>
      <c r="E633" s="70">
        <v>400436</v>
      </c>
      <c r="F633" s="79" t="s">
        <v>137</v>
      </c>
      <c r="G633" t="str">
        <f>IF(O633="",N633&amp;" ("&amp;M633&amp;")",N633&amp;": "&amp;O633&amp;" ("&amp;M633&amp;")")</f>
        <v>Participate in the Event (Rhythmic Resolutions)</v>
      </c>
      <c r="H633" s="79" t="s">
        <v>137</v>
      </c>
      <c r="I633" t="s">
        <v>137</v>
      </c>
      <c r="J633" s="70">
        <v>5</v>
      </c>
      <c r="K633" s="118">
        <v>44008</v>
      </c>
      <c r="L633" t="s">
        <v>18046</v>
      </c>
      <c r="M633" t="s">
        <v>14220</v>
      </c>
      <c r="N633" t="s">
        <v>19688</v>
      </c>
      <c r="Q633" t="s">
        <v>20019</v>
      </c>
    </row>
    <row r="634" spans="1:17" x14ac:dyDescent="0.2">
      <c r="A634" s="70" t="s">
        <v>14221</v>
      </c>
      <c r="B634" s="92" t="s">
        <v>20163</v>
      </c>
      <c r="C634" s="92" t="s">
        <v>14222</v>
      </c>
      <c r="D634" s="117" t="s">
        <v>20323</v>
      </c>
      <c r="E634" s="70">
        <v>400437</v>
      </c>
      <c r="F634" s="79" t="s">
        <v>137</v>
      </c>
      <c r="G634" t="str">
        <f>IF(O634="","Clear "&amp;N634&amp;" ("&amp;M634&amp;")","Clear "&amp;N634&amp;": "&amp;O634&amp;" ("&amp;M634&amp;")")</f>
        <v>Clear Raging Festivities: Expert (Rhythmic Resolutions)</v>
      </c>
      <c r="H634" s="79" t="s">
        <v>137</v>
      </c>
      <c r="I634" t="s">
        <v>137</v>
      </c>
      <c r="J634" s="70">
        <v>5</v>
      </c>
      <c r="K634" s="118">
        <v>44008</v>
      </c>
      <c r="L634" t="s">
        <v>18046</v>
      </c>
      <c r="M634" t="s">
        <v>14220</v>
      </c>
      <c r="N634" t="s">
        <v>18585</v>
      </c>
      <c r="O634" t="s">
        <v>18033</v>
      </c>
      <c r="P634">
        <v>1</v>
      </c>
      <c r="Q634" t="s">
        <v>18584</v>
      </c>
    </row>
    <row r="635" spans="1:17" x14ac:dyDescent="0.2">
      <c r="A635" s="70" t="s">
        <v>14223</v>
      </c>
      <c r="B635" s="92" t="s">
        <v>20163</v>
      </c>
      <c r="C635" s="92" t="s">
        <v>14224</v>
      </c>
      <c r="D635" s="117" t="s">
        <v>20324</v>
      </c>
      <c r="E635" s="70">
        <v>400442</v>
      </c>
      <c r="F635" s="79" t="s">
        <v>137</v>
      </c>
      <c r="G635" t="str">
        <f>IF(O635="",N635&amp;" ("&amp;M635&amp;")",N635&amp;": "&amp;O635&amp;" ("&amp;M635&amp;")")</f>
        <v>Participate in the Event (Summertime Saviors)</v>
      </c>
      <c r="H635" s="79" t="s">
        <v>137</v>
      </c>
      <c r="I635" t="s">
        <v>137</v>
      </c>
      <c r="J635" s="70">
        <v>5</v>
      </c>
      <c r="K635" s="118">
        <v>44025</v>
      </c>
      <c r="L635" t="s">
        <v>18588</v>
      </c>
      <c r="M635" t="s">
        <v>14225</v>
      </c>
      <c r="N635" t="s">
        <v>19688</v>
      </c>
      <c r="Q635" t="s">
        <v>20325</v>
      </c>
    </row>
    <row r="636" spans="1:17" x14ac:dyDescent="0.2">
      <c r="A636" s="70" t="s">
        <v>14226</v>
      </c>
      <c r="B636" s="92" t="s">
        <v>20163</v>
      </c>
      <c r="C636" s="92" t="s">
        <v>14227</v>
      </c>
      <c r="D636" s="117" t="s">
        <v>20326</v>
      </c>
      <c r="E636" s="70">
        <v>400439</v>
      </c>
      <c r="F636" s="79" t="s">
        <v>137</v>
      </c>
      <c r="G636" t="str">
        <f>IF(O636="","Clear "&amp;N636&amp;" ("&amp;M636&amp;")","Clear "&amp;N636&amp;": "&amp;O636&amp;" ("&amp;M636&amp;")")</f>
        <v>Clear Scylla Clash: EX (Doomsday Getaway)</v>
      </c>
      <c r="H636" s="79" t="s">
        <v>137</v>
      </c>
      <c r="I636" t="s">
        <v>137</v>
      </c>
      <c r="J636" s="84">
        <v>5</v>
      </c>
      <c r="K636" s="118">
        <v>44040</v>
      </c>
      <c r="L636" t="s">
        <v>18017</v>
      </c>
      <c r="M636" t="s">
        <v>14229</v>
      </c>
      <c r="N636" t="s">
        <v>18608</v>
      </c>
      <c r="O636" t="s">
        <v>18039</v>
      </c>
      <c r="P636">
        <v>3</v>
      </c>
      <c r="Q636" t="s">
        <v>18610</v>
      </c>
    </row>
    <row r="637" spans="1:17" x14ac:dyDescent="0.2">
      <c r="A637" s="70" t="s">
        <v>14230</v>
      </c>
      <c r="B637" s="92" t="s">
        <v>20163</v>
      </c>
      <c r="C637" s="92" t="s">
        <v>14231</v>
      </c>
      <c r="D637" s="117" t="s">
        <v>20327</v>
      </c>
      <c r="E637" s="70">
        <v>400445</v>
      </c>
      <c r="F637" s="79" t="s">
        <v>137</v>
      </c>
      <c r="G637" t="str">
        <f>IF(O637="",N637&amp;" ("&amp;M637&amp;")",N637&amp;": "&amp;O637&amp;" ("&amp;M637&amp;")")</f>
        <v>Participate in the Event (Twinkling Twilight)</v>
      </c>
      <c r="H637" s="79" t="s">
        <v>137</v>
      </c>
      <c r="I637" t="s">
        <v>137</v>
      </c>
      <c r="J637" s="70">
        <v>5</v>
      </c>
      <c r="K637" s="118">
        <v>44054</v>
      </c>
      <c r="L637" t="s">
        <v>18560</v>
      </c>
      <c r="M637" t="s">
        <v>14233</v>
      </c>
      <c r="N637" t="s">
        <v>19688</v>
      </c>
      <c r="Q637" t="s">
        <v>20328</v>
      </c>
    </row>
    <row r="638" spans="1:17" x14ac:dyDescent="0.2">
      <c r="A638" s="70" t="s">
        <v>14234</v>
      </c>
      <c r="B638" s="92" t="s">
        <v>20163</v>
      </c>
      <c r="C638" s="92" t="s">
        <v>14235</v>
      </c>
      <c r="D638" s="117" t="s">
        <v>20329</v>
      </c>
      <c r="E638" s="70">
        <v>400447</v>
      </c>
      <c r="F638" s="79" t="s">
        <v>137</v>
      </c>
      <c r="G638" t="str">
        <f>IF(O638="",N638&amp;" ("&amp;M638&amp;")",N638&amp;": "&amp;O638&amp;" ("&amp;M638&amp;")")</f>
        <v>Participate in the Event (Agents of the Goddess)</v>
      </c>
      <c r="H638" s="79" t="s">
        <v>137</v>
      </c>
      <c r="I638" t="s">
        <v>137</v>
      </c>
      <c r="J638" s="84">
        <v>5</v>
      </c>
      <c r="K638" s="118">
        <v>44071</v>
      </c>
      <c r="L638" t="s">
        <v>18046</v>
      </c>
      <c r="M638" t="s">
        <v>14236</v>
      </c>
      <c r="N638" t="s">
        <v>19688</v>
      </c>
      <c r="Q638" t="s">
        <v>20330</v>
      </c>
    </row>
    <row r="639" spans="1:17" x14ac:dyDescent="0.2">
      <c r="A639" s="70" t="s">
        <v>14237</v>
      </c>
      <c r="B639" s="92" t="s">
        <v>20163</v>
      </c>
      <c r="C639" s="92" t="s">
        <v>14238</v>
      </c>
      <c r="D639" s="117" t="s">
        <v>20331</v>
      </c>
      <c r="E639" s="70">
        <v>400166</v>
      </c>
      <c r="F639" s="79" t="s">
        <v>137</v>
      </c>
      <c r="G639" t="str">
        <f>IF(O639="","Clear "&amp;N639&amp;" ("&amp;M639&amp;")","Clear "&amp;N639&amp;": "&amp;O639&amp;" ("&amp;M639&amp;")")</f>
        <v>Clear Divine Deliverance: Expert (Agents of the Goddess)</v>
      </c>
      <c r="H639" s="79" t="s">
        <v>137</v>
      </c>
      <c r="I639" t="s">
        <v>137</v>
      </c>
      <c r="J639" s="84">
        <v>5</v>
      </c>
      <c r="K639" s="118">
        <v>44071</v>
      </c>
      <c r="L639" t="s">
        <v>18046</v>
      </c>
      <c r="M639" t="s">
        <v>14236</v>
      </c>
      <c r="N639" t="s">
        <v>18638</v>
      </c>
      <c r="O639" t="s">
        <v>18033</v>
      </c>
      <c r="P639">
        <v>1</v>
      </c>
      <c r="Q639" t="s">
        <v>18637</v>
      </c>
    </row>
    <row r="640" spans="1:17" x14ac:dyDescent="0.2">
      <c r="A640" s="70" t="s">
        <v>14240</v>
      </c>
      <c r="B640" s="92" t="s">
        <v>20163</v>
      </c>
      <c r="C640" s="92" t="s">
        <v>14241</v>
      </c>
      <c r="D640" s="117" t="s">
        <v>20332</v>
      </c>
      <c r="E640" s="70">
        <v>400448</v>
      </c>
      <c r="F640" s="79" t="s">
        <v>137</v>
      </c>
      <c r="G640" t="str">
        <f>IF(O640="",N640&amp;" ("&amp;M640&amp;")",N640&amp;": "&amp;O640&amp;" ("&amp;M640&amp;")")</f>
        <v>Participate in the Event (Sands of Revelation)</v>
      </c>
      <c r="H640" s="79" t="s">
        <v>137</v>
      </c>
      <c r="I640" t="s">
        <v>137</v>
      </c>
      <c r="J640" s="70">
        <v>5</v>
      </c>
      <c r="K640" s="118">
        <v>44085</v>
      </c>
      <c r="L640" t="s">
        <v>18588</v>
      </c>
      <c r="M640" t="s">
        <v>14242</v>
      </c>
      <c r="N640" t="s">
        <v>19688</v>
      </c>
      <c r="Q640" t="s">
        <v>20333</v>
      </c>
    </row>
    <row r="641" spans="1:17" x14ac:dyDescent="0.2">
      <c r="A641" s="70" t="s">
        <v>14243</v>
      </c>
      <c r="B641" s="92" t="s">
        <v>20163</v>
      </c>
      <c r="C641" s="92" t="s">
        <v>14244</v>
      </c>
      <c r="D641" s="117" t="s">
        <v>20334</v>
      </c>
      <c r="E641" s="70">
        <v>400452</v>
      </c>
      <c r="F641" s="79" t="s">
        <v>137</v>
      </c>
      <c r="G641" t="str">
        <f>IF(O641="","Clear "&amp;N641&amp;" ("&amp;M641&amp;")","Clear "&amp;N641&amp;": "&amp;O641&amp;" ("&amp;M641&amp;")")</f>
        <v>Clear Assault on Zephyr: Expert (Forgotten Truths)</v>
      </c>
      <c r="H641" s="79" t="s">
        <v>137</v>
      </c>
      <c r="I641" t="s">
        <v>137</v>
      </c>
      <c r="J641" s="70">
        <v>5</v>
      </c>
      <c r="K641" s="118">
        <v>44104</v>
      </c>
      <c r="L641" t="s">
        <v>18017</v>
      </c>
      <c r="M641" t="s">
        <v>14245</v>
      </c>
      <c r="N641" t="s">
        <v>18666</v>
      </c>
      <c r="O641" t="s">
        <v>18033</v>
      </c>
      <c r="P641">
        <v>2</v>
      </c>
      <c r="Q641" t="s">
        <v>18667</v>
      </c>
    </row>
    <row r="642" spans="1:17" x14ac:dyDescent="0.2">
      <c r="A642" s="70" t="s">
        <v>14246</v>
      </c>
      <c r="B642" s="92" t="s">
        <v>20163</v>
      </c>
      <c r="C642" s="92" t="s">
        <v>14247</v>
      </c>
      <c r="D642" s="117" t="s">
        <v>20335</v>
      </c>
      <c r="E642" s="70">
        <v>400450</v>
      </c>
      <c r="F642" s="79" t="s">
        <v>137</v>
      </c>
      <c r="G642" t="str">
        <f>IF(O642="","Clear "&amp;N642&amp;" ("&amp;M642&amp;")","Clear "&amp;N642&amp;": "&amp;O642&amp;" ("&amp;M642&amp;")")</f>
        <v>Clear The War of Binding's Climax (Forgotten Truths)</v>
      </c>
      <c r="H642" s="79" t="s">
        <v>137</v>
      </c>
      <c r="I642" t="s">
        <v>137</v>
      </c>
      <c r="J642" s="70">
        <v>5</v>
      </c>
      <c r="K642" s="118">
        <v>44106</v>
      </c>
      <c r="L642" t="s">
        <v>18017</v>
      </c>
      <c r="M642" t="s">
        <v>14245</v>
      </c>
      <c r="N642" t="s">
        <v>18664</v>
      </c>
      <c r="P642">
        <v>1</v>
      </c>
      <c r="Q642" t="s">
        <v>18663</v>
      </c>
    </row>
    <row r="643" spans="1:17" x14ac:dyDescent="0.2">
      <c r="A643" s="70" t="s">
        <v>14249</v>
      </c>
      <c r="B643" s="92" t="s">
        <v>20163</v>
      </c>
      <c r="C643" s="92" t="s">
        <v>14250</v>
      </c>
      <c r="D643" s="117" t="s">
        <v>20336</v>
      </c>
      <c r="E643" s="70">
        <v>400454</v>
      </c>
      <c r="F643" s="79" t="s">
        <v>137</v>
      </c>
      <c r="G643" t="str">
        <f>IF(O643="",N643&amp;" ("&amp;M643&amp;")",N643&amp;": "&amp;O643&amp;" ("&amp;M643&amp;")")</f>
        <v>Participate in the Event (Postmortem Panic)</v>
      </c>
      <c r="H643" s="79" t="s">
        <v>137</v>
      </c>
      <c r="I643" t="s">
        <v>137</v>
      </c>
      <c r="J643" s="70">
        <v>5</v>
      </c>
      <c r="K643" s="118">
        <v>44120</v>
      </c>
      <c r="L643" t="s">
        <v>18560</v>
      </c>
      <c r="M643" t="s">
        <v>14252</v>
      </c>
      <c r="N643" t="s">
        <v>19688</v>
      </c>
      <c r="Q643" t="s">
        <v>20337</v>
      </c>
    </row>
    <row r="644" spans="1:17" x14ac:dyDescent="0.2">
      <c r="A644" s="70" t="s">
        <v>14253</v>
      </c>
      <c r="B644" s="92" t="s">
        <v>20163</v>
      </c>
      <c r="C644" s="92" t="s">
        <v>14254</v>
      </c>
      <c r="D644" s="117" t="s">
        <v>20338</v>
      </c>
      <c r="E644" s="70">
        <v>400456</v>
      </c>
      <c r="F644" s="79" t="s">
        <v>137</v>
      </c>
      <c r="G644" t="str">
        <f>IF(O644="","Clear "&amp;N644&amp;" ("&amp;M644&amp;")","Clear "&amp;N644&amp;": "&amp;O644&amp;" ("&amp;M644&amp;")")</f>
        <v>Clear Fiend Opera Gala: Expert (The Phantom's Ransom)</v>
      </c>
      <c r="H644" s="79" t="s">
        <v>137</v>
      </c>
      <c r="I644" t="s">
        <v>137</v>
      </c>
      <c r="J644" s="70">
        <v>5</v>
      </c>
      <c r="K644" s="118">
        <v>44131</v>
      </c>
      <c r="L644" t="s">
        <v>18046</v>
      </c>
      <c r="M644" t="s">
        <v>14255</v>
      </c>
      <c r="N644" t="s">
        <v>18699</v>
      </c>
      <c r="O644" t="s">
        <v>18033</v>
      </c>
      <c r="P644">
        <v>1</v>
      </c>
      <c r="Q644" t="s">
        <v>18698</v>
      </c>
    </row>
    <row r="645" spans="1:17" x14ac:dyDescent="0.2">
      <c r="A645" s="70" t="s">
        <v>14256</v>
      </c>
      <c r="B645" s="92" t="s">
        <v>20163</v>
      </c>
      <c r="C645" s="92" t="s">
        <v>14257</v>
      </c>
      <c r="D645" s="117" t="s">
        <v>20339</v>
      </c>
      <c r="E645" s="70">
        <v>400457</v>
      </c>
      <c r="F645" s="79" t="s">
        <v>137</v>
      </c>
      <c r="G645" t="str">
        <f>IF(O645="","Clear "&amp;N645&amp;" ("&amp;M645&amp;")","Clear "&amp;N645&amp;": "&amp;O645&amp;" ("&amp;M645&amp;")")</f>
        <v>Clear Fiend Opera Gala: Master (The Phantom's Ransom)</v>
      </c>
      <c r="H645" s="79" t="s">
        <v>137</v>
      </c>
      <c r="I645" t="s">
        <v>137</v>
      </c>
      <c r="J645" s="70">
        <v>5</v>
      </c>
      <c r="K645" s="118">
        <v>44131</v>
      </c>
      <c r="L645" t="s">
        <v>18046</v>
      </c>
      <c r="M645" t="s">
        <v>14255</v>
      </c>
      <c r="N645" t="s">
        <v>18699</v>
      </c>
      <c r="O645" t="s">
        <v>18061</v>
      </c>
      <c r="P645">
        <v>2</v>
      </c>
      <c r="Q645" t="s">
        <v>18700</v>
      </c>
    </row>
    <row r="646" spans="1:17" x14ac:dyDescent="0.2">
      <c r="A646" s="70" t="s">
        <v>14259</v>
      </c>
      <c r="B646" s="92" t="s">
        <v>20163</v>
      </c>
      <c r="C646" s="92" t="s">
        <v>14260</v>
      </c>
      <c r="D646" s="117" t="s">
        <v>20340</v>
      </c>
      <c r="E646" s="70">
        <v>400459</v>
      </c>
      <c r="F646" s="79" t="s">
        <v>137</v>
      </c>
      <c r="G646" t="str">
        <f>IF(O646="","Clear "&amp;N646&amp;" ("&amp;M646&amp;")","Clear "&amp;N646&amp;": "&amp;O646&amp;" ("&amp;M646&amp;")")</f>
        <v>Clear Defensive Battle: Field Training (Northern Negotiators)</v>
      </c>
      <c r="H646" s="79" t="s">
        <v>137</v>
      </c>
      <c r="I646" t="s">
        <v>137</v>
      </c>
      <c r="J646" s="70">
        <v>5</v>
      </c>
      <c r="K646" s="118">
        <v>44148</v>
      </c>
      <c r="L646" t="s">
        <v>18588</v>
      </c>
      <c r="M646" t="s">
        <v>14262</v>
      </c>
      <c r="N646" t="s">
        <v>19628</v>
      </c>
      <c r="O646" t="s">
        <v>18721</v>
      </c>
      <c r="P646">
        <v>6</v>
      </c>
      <c r="Q646" t="s">
        <v>18720</v>
      </c>
    </row>
    <row r="647" spans="1:17" x14ac:dyDescent="0.2">
      <c r="A647" s="70" t="s">
        <v>14263</v>
      </c>
      <c r="B647" s="92" t="s">
        <v>20163</v>
      </c>
      <c r="C647" s="92" t="s">
        <v>14264</v>
      </c>
      <c r="D647" s="117" t="s">
        <v>20341</v>
      </c>
      <c r="E647" s="70">
        <v>400462</v>
      </c>
      <c r="F647" s="79" t="s">
        <v>137</v>
      </c>
      <c r="G647" t="str">
        <f>IF(O647="",N647&amp;" ("&amp;M647&amp;")",N647&amp;": "&amp;O647&amp;" ("&amp;M647&amp;")")</f>
        <v>Participate in the Event (Princess Connect! Re:Dive: A Voracious Visitor)</v>
      </c>
      <c r="H647" s="79" t="s">
        <v>137</v>
      </c>
      <c r="I647" t="s">
        <v>137</v>
      </c>
      <c r="J647" s="70">
        <v>5</v>
      </c>
      <c r="K647" s="118">
        <v>44165</v>
      </c>
      <c r="L647" t="s">
        <v>18017</v>
      </c>
      <c r="M647" t="s">
        <v>14265</v>
      </c>
      <c r="N647" t="s">
        <v>19688</v>
      </c>
      <c r="Q647" t="s">
        <v>20342</v>
      </c>
    </row>
    <row r="648" spans="1:17" x14ac:dyDescent="0.2">
      <c r="A648" s="70" t="s">
        <v>14266</v>
      </c>
      <c r="B648" s="92" t="s">
        <v>20163</v>
      </c>
      <c r="C648" s="92" t="s">
        <v>14267</v>
      </c>
      <c r="D648" s="117" t="s">
        <v>20343</v>
      </c>
      <c r="E648" s="70">
        <v>400463</v>
      </c>
      <c r="F648" s="79" t="s">
        <v>137</v>
      </c>
      <c r="G648" t="str">
        <f>IF(O648="","Clear "&amp;N648&amp;" ("&amp;M648&amp;")","Clear "&amp;N648&amp;": "&amp;O648&amp;" ("&amp;M648&amp;")")</f>
        <v>Clear Aether Clash: Expert (Princess Connect! Re:Dive: A Voracious Visitor)</v>
      </c>
      <c r="H648" s="79" t="s">
        <v>137</v>
      </c>
      <c r="I648" t="s">
        <v>137</v>
      </c>
      <c r="J648" s="70">
        <v>5</v>
      </c>
      <c r="K648" s="118">
        <v>44165</v>
      </c>
      <c r="L648" t="s">
        <v>18017</v>
      </c>
      <c r="M648" t="s">
        <v>14265</v>
      </c>
      <c r="N648" t="s">
        <v>18730</v>
      </c>
      <c r="O648" t="s">
        <v>18033</v>
      </c>
      <c r="P648">
        <v>2</v>
      </c>
      <c r="Q648" t="s">
        <v>18731</v>
      </c>
    </row>
    <row r="649" spans="1:17" x14ac:dyDescent="0.2">
      <c r="A649" s="70" t="s">
        <v>14268</v>
      </c>
      <c r="B649" s="92" t="s">
        <v>20163</v>
      </c>
      <c r="C649" s="92" t="s">
        <v>14269</v>
      </c>
      <c r="D649" s="117" t="s">
        <v>20344</v>
      </c>
      <c r="E649" s="70">
        <v>400461</v>
      </c>
      <c r="F649" s="79" t="s">
        <v>137</v>
      </c>
      <c r="G649" t="str">
        <f>IF(O649="",N649&amp;" ("&amp;M649&amp;")",N649&amp;": "&amp;O649&amp;" ("&amp;M649&amp;")")</f>
        <v>Participate in the Event (The Great Dragonyule Offensive)</v>
      </c>
      <c r="H649" s="79" t="s">
        <v>137</v>
      </c>
      <c r="I649" t="s">
        <v>137</v>
      </c>
      <c r="J649" s="70">
        <v>5</v>
      </c>
      <c r="K649" s="118">
        <v>44180</v>
      </c>
      <c r="L649" t="s">
        <v>18560</v>
      </c>
      <c r="M649" t="s">
        <v>14271</v>
      </c>
      <c r="N649" t="s">
        <v>19688</v>
      </c>
      <c r="Q649" t="s">
        <v>20345</v>
      </c>
    </row>
    <row r="650" spans="1:17" x14ac:dyDescent="0.2">
      <c r="A650" s="70" t="s">
        <v>14272</v>
      </c>
      <c r="B650" s="92" t="s">
        <v>20163</v>
      </c>
      <c r="C650" s="92" t="s">
        <v>14273</v>
      </c>
      <c r="D650" s="117" t="s">
        <v>20346</v>
      </c>
      <c r="E650" s="70">
        <v>400465</v>
      </c>
      <c r="F650" s="79" t="s">
        <v>137</v>
      </c>
      <c r="G650" t="str">
        <f>IF(O650="","Clear "&amp;N650&amp;" ("&amp;M650&amp;")","Clear "&amp;N650&amp;": "&amp;O650&amp;" ("&amp;M650&amp;")")</f>
        <v>Clear Repelling Yoshitsune: Expert (Cursed Connections)</v>
      </c>
      <c r="H650" s="79" t="s">
        <v>137</v>
      </c>
      <c r="I650" t="s">
        <v>137</v>
      </c>
      <c r="J650" s="84">
        <v>5</v>
      </c>
      <c r="K650" s="118">
        <v>44196</v>
      </c>
      <c r="L650" t="s">
        <v>18017</v>
      </c>
      <c r="M650" t="s">
        <v>14275</v>
      </c>
      <c r="N650" t="s">
        <v>18760</v>
      </c>
      <c r="O650" t="s">
        <v>18033</v>
      </c>
      <c r="P650">
        <v>2</v>
      </c>
      <c r="Q650" t="s">
        <v>18761</v>
      </c>
    </row>
    <row r="651" spans="1:17" x14ac:dyDescent="0.2">
      <c r="A651" s="70" t="s">
        <v>14276</v>
      </c>
      <c r="B651" s="92" t="s">
        <v>20163</v>
      </c>
      <c r="C651" s="92" t="s">
        <v>14277</v>
      </c>
      <c r="D651" s="117" t="s">
        <v>20347</v>
      </c>
      <c r="E651" s="70">
        <v>400476</v>
      </c>
      <c r="F651" s="79" t="s">
        <v>137</v>
      </c>
      <c r="G651" t="str">
        <f>IF(O651="","Clear "&amp;N651&amp;" ("&amp;M651&amp;")","Clear "&amp;N651&amp;": "&amp;O651&amp;" ("&amp;M651&amp;")")</f>
        <v>Clear Sophie's Trial: Standard (Persona 5 Strikers Caged Desire)</v>
      </c>
      <c r="H651" s="79" t="s">
        <v>137</v>
      </c>
      <c r="I651" t="s">
        <v>137</v>
      </c>
      <c r="J651" s="70">
        <v>5</v>
      </c>
      <c r="K651" s="118">
        <v>44227</v>
      </c>
      <c r="L651" t="s">
        <v>18241</v>
      </c>
      <c r="M651" t="s">
        <v>19673</v>
      </c>
      <c r="N651" t="s">
        <v>18820</v>
      </c>
      <c r="O651" t="s">
        <v>18054</v>
      </c>
      <c r="P651">
        <v>1</v>
      </c>
      <c r="Q651" t="s">
        <v>18819</v>
      </c>
    </row>
    <row r="652" spans="1:17" x14ac:dyDescent="0.2">
      <c r="A652" s="70" t="s">
        <v>14279</v>
      </c>
      <c r="B652" s="92" t="s">
        <v>20163</v>
      </c>
      <c r="C652" s="92" t="s">
        <v>14280</v>
      </c>
      <c r="D652" s="117" t="s">
        <v>20348</v>
      </c>
      <c r="E652" s="70">
        <v>400469</v>
      </c>
      <c r="F652" s="79" t="s">
        <v>137</v>
      </c>
      <c r="G652" t="str">
        <f>IF(O652="","Clear "&amp;N652&amp;" ("&amp;M652&amp;")","Clear "&amp;N652&amp;": "&amp;O652&amp;" ("&amp;M652&amp;")")</f>
        <v>Clear Warden Assault: Expert (Persona 5 Strikers Caged Desire)</v>
      </c>
      <c r="H652" s="79" t="s">
        <v>137</v>
      </c>
      <c r="I652" t="s">
        <v>137</v>
      </c>
      <c r="J652" s="70">
        <v>5</v>
      </c>
      <c r="K652" s="118">
        <v>44227</v>
      </c>
      <c r="L652" t="s">
        <v>18241</v>
      </c>
      <c r="M652" t="s">
        <v>19673</v>
      </c>
      <c r="N652" t="s">
        <v>18805</v>
      </c>
      <c r="O652" t="s">
        <v>18033</v>
      </c>
      <c r="P652">
        <v>2</v>
      </c>
      <c r="Q652" t="s">
        <v>18806</v>
      </c>
    </row>
    <row r="653" spans="1:17" x14ac:dyDescent="0.2">
      <c r="A653" s="70" t="s">
        <v>14281</v>
      </c>
      <c r="B653" s="92" t="s">
        <v>20163</v>
      </c>
      <c r="C653" s="92" t="s">
        <v>14282</v>
      </c>
      <c r="D653" s="117" t="s">
        <v>20349</v>
      </c>
      <c r="E653" s="70">
        <v>400466</v>
      </c>
      <c r="F653" s="79" t="s">
        <v>137</v>
      </c>
      <c r="G653" t="str">
        <f>IF(O653="",N653&amp;" ("&amp;M653&amp;")",N653&amp;": "&amp;O653&amp;" ("&amp;M653&amp;")")</f>
        <v>Participate in the Event (Romance Under Siege)</v>
      </c>
      <c r="H653" s="79" t="s">
        <v>137</v>
      </c>
      <c r="I653" t="s">
        <v>137</v>
      </c>
      <c r="J653" s="70">
        <v>5</v>
      </c>
      <c r="K653" s="118">
        <v>44239</v>
      </c>
      <c r="L653" t="s">
        <v>18560</v>
      </c>
      <c r="M653" t="s">
        <v>14283</v>
      </c>
      <c r="N653" t="s">
        <v>19688</v>
      </c>
      <c r="Q653" t="s">
        <v>20350</v>
      </c>
    </row>
    <row r="654" spans="1:17" x14ac:dyDescent="0.2">
      <c r="A654" s="70" t="s">
        <v>14284</v>
      </c>
      <c r="B654" s="92" t="s">
        <v>20163</v>
      </c>
      <c r="C654" s="92" t="s">
        <v>14285</v>
      </c>
      <c r="D654" s="117" t="s">
        <v>20351</v>
      </c>
      <c r="E654" s="70">
        <v>400403</v>
      </c>
      <c r="F654" s="79" t="s">
        <v>137</v>
      </c>
      <c r="G654" t="str">
        <f>IF(O654="","Clear "&amp;N654&amp;" ("&amp;M654&amp;")","Clear "&amp;N654&amp;": "&amp;O654&amp;" ("&amp;M654&amp;")")</f>
        <v>Clear The False Demon's Revenge (Divine Deception)</v>
      </c>
      <c r="H654" s="79" t="s">
        <v>137</v>
      </c>
      <c r="I654" t="s">
        <v>137</v>
      </c>
      <c r="J654" s="84">
        <v>5</v>
      </c>
      <c r="K654" s="118">
        <v>44253</v>
      </c>
      <c r="L654" t="s">
        <v>18046</v>
      </c>
      <c r="M654" t="s">
        <v>14286</v>
      </c>
      <c r="N654" t="s">
        <v>18840</v>
      </c>
      <c r="P654">
        <v>1</v>
      </c>
      <c r="Q654" t="s">
        <v>18839</v>
      </c>
    </row>
    <row r="655" spans="1:17" x14ac:dyDescent="0.2">
      <c r="A655" s="70" t="s">
        <v>14287</v>
      </c>
      <c r="B655" s="92" t="s">
        <v>20163</v>
      </c>
      <c r="C655" s="92" t="s">
        <v>14288</v>
      </c>
      <c r="D655" s="117" t="s">
        <v>20352</v>
      </c>
      <c r="E655" s="70">
        <v>400467</v>
      </c>
      <c r="F655" s="79" t="s">
        <v>137</v>
      </c>
      <c r="G655" t="str">
        <f>IF(O655="",N655&amp;" ("&amp;M655&amp;")",N655&amp;": "&amp;O655&amp;" ("&amp;M655&amp;")")</f>
        <v>Participate in the Event (Divine Deception)</v>
      </c>
      <c r="H655" s="79" t="s">
        <v>137</v>
      </c>
      <c r="I655" t="s">
        <v>137</v>
      </c>
      <c r="J655" s="84">
        <v>5</v>
      </c>
      <c r="K655" s="118">
        <v>44253</v>
      </c>
      <c r="L655" t="s">
        <v>18046</v>
      </c>
      <c r="M655" t="s">
        <v>14286</v>
      </c>
      <c r="N655" t="s">
        <v>19688</v>
      </c>
      <c r="Q655" t="s">
        <v>20353</v>
      </c>
    </row>
    <row r="656" spans="1:17" x14ac:dyDescent="0.2">
      <c r="A656" s="70" t="s">
        <v>14290</v>
      </c>
      <c r="B656" s="92" t="s">
        <v>20163</v>
      </c>
      <c r="C656" s="92" t="s">
        <v>14291</v>
      </c>
      <c r="D656" s="117" t="s">
        <v>20354</v>
      </c>
      <c r="E656" s="70">
        <v>400079</v>
      </c>
      <c r="F656" s="79" t="s">
        <v>137</v>
      </c>
      <c r="G656" t="str">
        <f>IF(O656="",N656&amp;" ("&amp;M656&amp;")",N656&amp;": "&amp;O656&amp;" ("&amp;M656&amp;")")</f>
        <v>Participate in the Event (Dawn of Dragalia)</v>
      </c>
      <c r="H656" s="79" t="s">
        <v>137</v>
      </c>
      <c r="I656" t="s">
        <v>137</v>
      </c>
      <c r="J656" s="84">
        <v>5</v>
      </c>
      <c r="K656" s="118">
        <v>44287</v>
      </c>
      <c r="L656" t="s">
        <v>18017</v>
      </c>
      <c r="M656" t="s">
        <v>14293</v>
      </c>
      <c r="N656" t="s">
        <v>19688</v>
      </c>
      <c r="Q656" t="s">
        <v>20355</v>
      </c>
    </row>
    <row r="657" spans="1:17" x14ac:dyDescent="0.2">
      <c r="A657" s="70" t="s">
        <v>14294</v>
      </c>
      <c r="B657" s="92" t="s">
        <v>20163</v>
      </c>
      <c r="C657" s="92" t="s">
        <v>14295</v>
      </c>
      <c r="D657" s="117" t="s">
        <v>20356</v>
      </c>
      <c r="E657" s="70">
        <v>400468</v>
      </c>
      <c r="F657" s="79" t="s">
        <v>137</v>
      </c>
      <c r="G657" t="str">
        <f>IF(O657="","Clear "&amp;N657&amp;" ("&amp;M657&amp;")","Clear "&amp;N657&amp;": "&amp;O657&amp;" ("&amp;M657&amp;")")</f>
        <v>Clear Elysium Clash: EX (Dawn of Dragalia)</v>
      </c>
      <c r="H657" s="79" t="s">
        <v>137</v>
      </c>
      <c r="I657" t="s">
        <v>137</v>
      </c>
      <c r="J657" s="84">
        <v>5</v>
      </c>
      <c r="K657" s="118">
        <v>44288</v>
      </c>
      <c r="L657" t="s">
        <v>18017</v>
      </c>
      <c r="M657" t="s">
        <v>14293</v>
      </c>
      <c r="N657" t="s">
        <v>18872</v>
      </c>
      <c r="O657" t="s">
        <v>18039</v>
      </c>
      <c r="P657">
        <v>3</v>
      </c>
      <c r="Q657" t="s">
        <v>18878</v>
      </c>
    </row>
    <row r="658" spans="1:17" x14ac:dyDescent="0.2">
      <c r="A658" s="70" t="s">
        <v>14296</v>
      </c>
      <c r="B658" s="92" t="s">
        <v>20163</v>
      </c>
      <c r="C658" s="92" t="s">
        <v>14297</v>
      </c>
      <c r="D658" s="117" t="s">
        <v>20357</v>
      </c>
      <c r="E658" s="70">
        <v>400472</v>
      </c>
      <c r="F658" s="79" t="s">
        <v>137</v>
      </c>
      <c r="G658" t="str">
        <f>IF(O658="","Clear "&amp;N658&amp;" ("&amp;M658&amp;")","Clear "&amp;N658&amp;": "&amp;O658&amp;" ("&amp;M658&amp;")")</f>
        <v>Clear Chronos Nyx Clash: EX (Rage of Chronos)</v>
      </c>
      <c r="H658" s="79" t="s">
        <v>137</v>
      </c>
      <c r="I658" t="s">
        <v>137</v>
      </c>
      <c r="J658" s="70">
        <v>5</v>
      </c>
      <c r="K658" s="118">
        <v>44314</v>
      </c>
      <c r="L658" t="s">
        <v>18017</v>
      </c>
      <c r="M658" t="s">
        <v>14298</v>
      </c>
      <c r="N658" t="s">
        <v>18336</v>
      </c>
      <c r="O658" t="s">
        <v>18039</v>
      </c>
      <c r="P658">
        <v>3</v>
      </c>
      <c r="Q658" t="s">
        <v>18907</v>
      </c>
    </row>
    <row r="659" spans="1:17" x14ac:dyDescent="0.2">
      <c r="A659" s="70" t="s">
        <v>14299</v>
      </c>
      <c r="B659" s="92" t="s">
        <v>20163</v>
      </c>
      <c r="C659" s="92" t="s">
        <v>14300</v>
      </c>
      <c r="D659" s="117" t="s">
        <v>20358</v>
      </c>
      <c r="E659" s="70">
        <v>400473</v>
      </c>
      <c r="F659" s="79" t="s">
        <v>137</v>
      </c>
      <c r="G659" t="str">
        <f>IF(O659="","Clear "&amp;N659&amp;" ("&amp;M659&amp;")","Clear "&amp;N659&amp;": "&amp;O659&amp;" ("&amp;M659&amp;")")</f>
        <v>Clear Chronos Nyx Clash: Nightmare (Rage of Chronos)</v>
      </c>
      <c r="H659" s="79" t="s">
        <v>137</v>
      </c>
      <c r="I659" t="s">
        <v>137</v>
      </c>
      <c r="J659" s="70">
        <v>5</v>
      </c>
      <c r="K659" s="118">
        <v>44314</v>
      </c>
      <c r="L659" t="s">
        <v>18017</v>
      </c>
      <c r="M659" t="s">
        <v>14298</v>
      </c>
      <c r="N659" t="s">
        <v>18336</v>
      </c>
      <c r="O659" t="s">
        <v>18041</v>
      </c>
      <c r="P659">
        <v>4</v>
      </c>
      <c r="Q659" t="s">
        <v>18908</v>
      </c>
    </row>
    <row r="660" spans="1:17" x14ac:dyDescent="0.2">
      <c r="A660" s="70" t="s">
        <v>14301</v>
      </c>
      <c r="B660" s="92" t="s">
        <v>20163</v>
      </c>
      <c r="C660" s="92" t="s">
        <v>14302</v>
      </c>
      <c r="D660" s="117" t="s">
        <v>20359</v>
      </c>
      <c r="E660" s="70">
        <v>400474</v>
      </c>
      <c r="F660" s="79" t="s">
        <v>137</v>
      </c>
      <c r="G660" t="str">
        <f>IF(O660="","Clear "&amp;N660&amp;" ("&amp;M660&amp;")","Clear "&amp;N660&amp;": "&amp;O660&amp;" ("&amp;M660&amp;")")</f>
        <v>Clear Guardians of the Wood: Expert (The Children of Yggdrasil)</v>
      </c>
      <c r="H660" s="79" t="s">
        <v>137</v>
      </c>
      <c r="I660" t="s">
        <v>137</v>
      </c>
      <c r="J660" s="70">
        <v>5</v>
      </c>
      <c r="K660" s="118">
        <v>44344</v>
      </c>
      <c r="L660" t="s">
        <v>18933</v>
      </c>
      <c r="M660" t="s">
        <v>14303</v>
      </c>
      <c r="N660" t="s">
        <v>18938</v>
      </c>
      <c r="O660" t="s">
        <v>18033</v>
      </c>
      <c r="P660">
        <v>2</v>
      </c>
      <c r="Q660" t="s">
        <v>18939</v>
      </c>
    </row>
    <row r="661" spans="1:17" x14ac:dyDescent="0.2">
      <c r="A661" s="70" t="s">
        <v>14304</v>
      </c>
      <c r="B661" s="92" t="s">
        <v>20163</v>
      </c>
      <c r="C661" s="92" t="s">
        <v>14305</v>
      </c>
      <c r="D661" s="117" t="s">
        <v>20360</v>
      </c>
      <c r="E661" s="70">
        <v>400475</v>
      </c>
      <c r="F661" s="79" t="s">
        <v>137</v>
      </c>
      <c r="G661" t="str">
        <f>N661&amp;" ("&amp;O661&amp;")"</f>
        <v>Obtain From Ch. 07 EX 2 Chest (Hard)</v>
      </c>
      <c r="H661" s="79" t="s">
        <v>137</v>
      </c>
      <c r="I661" t="s">
        <v>137</v>
      </c>
      <c r="J661" s="70">
        <v>5</v>
      </c>
      <c r="K661" s="118">
        <v>44350</v>
      </c>
      <c r="L661" t="s">
        <v>18054</v>
      </c>
      <c r="M661" t="s">
        <v>17513</v>
      </c>
      <c r="N661" t="s">
        <v>20262</v>
      </c>
      <c r="O661" t="s">
        <v>15732</v>
      </c>
      <c r="P661">
        <v>1</v>
      </c>
      <c r="Q661" t="s">
        <v>17700</v>
      </c>
    </row>
    <row r="662" spans="1:17" x14ac:dyDescent="0.2">
      <c r="A662" s="70" t="s">
        <v>14306</v>
      </c>
      <c r="B662" s="92" t="s">
        <v>20163</v>
      </c>
      <c r="C662" s="92" t="s">
        <v>14307</v>
      </c>
      <c r="D662" s="117" t="s">
        <v>20361</v>
      </c>
      <c r="E662" s="70">
        <v>400478</v>
      </c>
      <c r="F662" s="79" t="s">
        <v>137</v>
      </c>
      <c r="G662" t="str">
        <f>IF(O662="","Clear "&amp;N662&amp;" ("&amp;M662&amp;")","Clear "&amp;N662&amp;": "&amp;O662&amp;" ("&amp;M662&amp;")")</f>
        <v>Clear Wrath of Leviathan: Standard (Toll of the Deep)</v>
      </c>
      <c r="H662" s="79" t="s">
        <v>137</v>
      </c>
      <c r="I662" t="s">
        <v>137</v>
      </c>
      <c r="J662" s="70">
        <v>5</v>
      </c>
      <c r="K662" s="118">
        <v>44376</v>
      </c>
      <c r="L662" t="s">
        <v>18046</v>
      </c>
      <c r="M662" t="s">
        <v>14308</v>
      </c>
      <c r="N662" t="s">
        <v>18959</v>
      </c>
      <c r="O662" t="s">
        <v>18054</v>
      </c>
      <c r="P662">
        <v>1</v>
      </c>
      <c r="Q662" t="s">
        <v>18967</v>
      </c>
    </row>
    <row r="663" spans="1:17" x14ac:dyDescent="0.2">
      <c r="A663" s="70" t="s">
        <v>14309</v>
      </c>
      <c r="B663" s="92" t="s">
        <v>20163</v>
      </c>
      <c r="C663" s="92" t="s">
        <v>14310</v>
      </c>
      <c r="D663" s="117" t="s">
        <v>20362</v>
      </c>
      <c r="E663" s="70">
        <v>400479</v>
      </c>
      <c r="F663" s="79" t="s">
        <v>137</v>
      </c>
      <c r="G663" t="str">
        <f>IF(O663="",N663&amp;" ("&amp;M663&amp;")",N663&amp;": "&amp;O663&amp;" ("&amp;M663&amp;")")</f>
        <v>Participate in the Event (Stranded Scions)</v>
      </c>
      <c r="H663" s="79" t="s">
        <v>137</v>
      </c>
      <c r="I663" t="s">
        <v>137</v>
      </c>
      <c r="J663" s="70">
        <v>5</v>
      </c>
      <c r="K663" s="118">
        <v>44406</v>
      </c>
      <c r="L663" t="s">
        <v>18017</v>
      </c>
      <c r="M663" t="s">
        <v>14311</v>
      </c>
      <c r="N663" t="s">
        <v>19688</v>
      </c>
      <c r="Q663" t="s">
        <v>20363</v>
      </c>
    </row>
    <row r="664" spans="1:17" x14ac:dyDescent="0.2">
      <c r="A664" s="70" t="s">
        <v>14312</v>
      </c>
      <c r="B664" s="92" t="s">
        <v>20163</v>
      </c>
      <c r="C664" s="92" t="s">
        <v>14313</v>
      </c>
      <c r="D664" s="117" t="s">
        <v>20364</v>
      </c>
      <c r="E664" s="70">
        <v>400405</v>
      </c>
      <c r="F664" s="79" t="s">
        <v>137</v>
      </c>
      <c r="G664" t="str">
        <f>IF(O664="","Clear "&amp;N664&amp;" ("&amp;M664&amp;")","Clear "&amp;N664&amp;": "&amp;O664&amp;" ("&amp;M664&amp;")")</f>
        <v>Clear Kanaloa Clash: EX (Stranded Scions)</v>
      </c>
      <c r="H664" s="79" t="s">
        <v>137</v>
      </c>
      <c r="I664" t="s">
        <v>137</v>
      </c>
      <c r="J664" s="70">
        <v>5</v>
      </c>
      <c r="K664" s="118">
        <v>44406</v>
      </c>
      <c r="L664" t="s">
        <v>18017</v>
      </c>
      <c r="M664" t="s">
        <v>14311</v>
      </c>
      <c r="N664" t="s">
        <v>18993</v>
      </c>
      <c r="O664" t="s">
        <v>18039</v>
      </c>
      <c r="P664">
        <v>3</v>
      </c>
      <c r="Q664" t="s">
        <v>18995</v>
      </c>
    </row>
    <row r="665" spans="1:17" x14ac:dyDescent="0.2">
      <c r="A665" s="70" t="s">
        <v>14314</v>
      </c>
      <c r="B665" s="92" t="s">
        <v>20163</v>
      </c>
      <c r="C665" s="92" t="s">
        <v>14315</v>
      </c>
      <c r="D665" s="117" t="s">
        <v>20365</v>
      </c>
      <c r="E665" s="70">
        <v>400481</v>
      </c>
      <c r="F665" s="79" t="s">
        <v>137</v>
      </c>
      <c r="G665" t="str">
        <f>IF(O665="","Clear "&amp;N665&amp;" ("&amp;M665&amp;")","Clear "&amp;N665&amp;": "&amp;O665&amp;" ("&amp;M665&amp;")")</f>
        <v>Clear A Duel with the Black Raven: Expert (Knights of Alberia)</v>
      </c>
      <c r="H665" s="79" t="s">
        <v>137</v>
      </c>
      <c r="I665" t="s">
        <v>137</v>
      </c>
      <c r="J665" s="70">
        <v>5</v>
      </c>
      <c r="K665" s="118">
        <v>44435</v>
      </c>
      <c r="L665" t="s">
        <v>18933</v>
      </c>
      <c r="M665" t="s">
        <v>14316</v>
      </c>
      <c r="N665" t="s">
        <v>19022</v>
      </c>
      <c r="O665" t="s">
        <v>18033</v>
      </c>
      <c r="P665">
        <v>2</v>
      </c>
      <c r="Q665" t="s">
        <v>19023</v>
      </c>
    </row>
    <row r="666" spans="1:17" x14ac:dyDescent="0.2">
      <c r="A666" s="70" t="s">
        <v>14317</v>
      </c>
      <c r="B666" s="92" t="s">
        <v>20163</v>
      </c>
      <c r="C666" s="92" t="s">
        <v>14318</v>
      </c>
      <c r="D666" s="117" t="s">
        <v>20366</v>
      </c>
      <c r="E666" s="70">
        <v>400491</v>
      </c>
      <c r="F666" s="79" t="s">
        <v>137</v>
      </c>
      <c r="G666" t="str">
        <f>IF(O666="","Clear "&amp;N666&amp;" ("&amp;M666&amp;")","Clear "&amp;N666&amp;": "&amp;O666&amp;" ("&amp;M666&amp;")")</f>
        <v>Clear Asura Clash: Nightmare (Faith Forsaken (Part One))</v>
      </c>
      <c r="H666" s="79" t="s">
        <v>137</v>
      </c>
      <c r="I666" t="s">
        <v>137</v>
      </c>
      <c r="J666" s="70">
        <v>5</v>
      </c>
      <c r="K666" s="118">
        <v>44466</v>
      </c>
      <c r="L666" t="s">
        <v>18017</v>
      </c>
      <c r="M666" t="s">
        <v>14320</v>
      </c>
      <c r="N666" t="s">
        <v>19051</v>
      </c>
      <c r="O666" t="s">
        <v>18041</v>
      </c>
      <c r="P666">
        <v>4</v>
      </c>
      <c r="Q666" t="s">
        <v>19054</v>
      </c>
    </row>
    <row r="667" spans="1:17" x14ac:dyDescent="0.2">
      <c r="A667" s="70" t="s">
        <v>14321</v>
      </c>
      <c r="B667" s="92" t="s">
        <v>20163</v>
      </c>
      <c r="C667" s="92" t="s">
        <v>14322</v>
      </c>
      <c r="D667" s="117" t="s">
        <v>20367</v>
      </c>
      <c r="E667" s="70">
        <v>400484</v>
      </c>
      <c r="F667" s="79" t="s">
        <v>137</v>
      </c>
      <c r="G667" t="str">
        <f>IF(O667="",N667&amp;" ("&amp;M667&amp;")",N667&amp;": "&amp;O667&amp;" ("&amp;M667&amp;")")</f>
        <v>Participate in the Event (Faith Forsaken (Part One))</v>
      </c>
      <c r="H667" s="79" t="s">
        <v>137</v>
      </c>
      <c r="I667" t="s">
        <v>137</v>
      </c>
      <c r="J667" s="70">
        <v>5</v>
      </c>
      <c r="K667" s="118">
        <v>44469</v>
      </c>
      <c r="L667" t="s">
        <v>18017</v>
      </c>
      <c r="M667" t="s">
        <v>14320</v>
      </c>
      <c r="N667" t="s">
        <v>19688</v>
      </c>
      <c r="Q667" t="s">
        <v>20368</v>
      </c>
    </row>
    <row r="668" spans="1:17" x14ac:dyDescent="0.2">
      <c r="A668" s="70" t="s">
        <v>14324</v>
      </c>
      <c r="B668" s="92" t="s">
        <v>20163</v>
      </c>
      <c r="C668" s="92" t="s">
        <v>14325</v>
      </c>
      <c r="D668" s="117" t="s">
        <v>20369</v>
      </c>
      <c r="E668" s="70">
        <v>400483</v>
      </c>
      <c r="F668" s="79" t="s">
        <v>137</v>
      </c>
      <c r="G668" t="str">
        <f>IF(O668="","Clear "&amp;N668&amp;" ("&amp;M668&amp;")","Clear "&amp;N668&amp;": "&amp;O668&amp;" ("&amp;M668&amp;")")</f>
        <v>Clear Assault on Michael: Expert (Faith Forsaken (Part One))</v>
      </c>
      <c r="H668" s="79" t="s">
        <v>137</v>
      </c>
      <c r="I668" t="s">
        <v>137</v>
      </c>
      <c r="J668" s="70">
        <v>5</v>
      </c>
      <c r="K668" s="118">
        <v>44469</v>
      </c>
      <c r="L668" t="s">
        <v>18017</v>
      </c>
      <c r="M668" t="s">
        <v>14320</v>
      </c>
      <c r="N668" t="s">
        <v>19048</v>
      </c>
      <c r="O668" t="s">
        <v>18033</v>
      </c>
      <c r="P668">
        <v>2</v>
      </c>
      <c r="Q668" t="s">
        <v>19049</v>
      </c>
    </row>
    <row r="669" spans="1:17" x14ac:dyDescent="0.2">
      <c r="A669" s="70" t="s">
        <v>14326</v>
      </c>
      <c r="B669" s="92" t="s">
        <v>20163</v>
      </c>
      <c r="C669" s="92" t="s">
        <v>14327</v>
      </c>
      <c r="D669" s="117" t="s">
        <v>20370</v>
      </c>
      <c r="E669" s="70">
        <v>400485</v>
      </c>
      <c r="F669" s="79" t="s">
        <v>137</v>
      </c>
      <c r="G669" t="str">
        <f>IF(O669="",N669&amp;" ("&amp;M669&amp;")",N669&amp;": "&amp;O669&amp;" ("&amp;M669&amp;")")</f>
        <v>Participate in the Event (The Clockwork Heart)</v>
      </c>
      <c r="H669" s="79" t="s">
        <v>137</v>
      </c>
      <c r="I669" t="s">
        <v>137</v>
      </c>
      <c r="J669" s="70">
        <v>5</v>
      </c>
      <c r="K669" s="118">
        <v>44497</v>
      </c>
      <c r="L669" t="s">
        <v>18046</v>
      </c>
      <c r="M669" t="s">
        <v>14328</v>
      </c>
      <c r="N669" t="s">
        <v>19688</v>
      </c>
      <c r="Q669" t="s">
        <v>20371</v>
      </c>
    </row>
    <row r="670" spans="1:17" x14ac:dyDescent="0.2">
      <c r="A670" s="70" t="s">
        <v>14329</v>
      </c>
      <c r="B670" s="92" t="s">
        <v>20163</v>
      </c>
      <c r="C670" s="92" t="s">
        <v>14330</v>
      </c>
      <c r="D670" s="117" t="s">
        <v>20372</v>
      </c>
      <c r="E670" s="70">
        <v>400486</v>
      </c>
      <c r="F670" s="79" t="s">
        <v>137</v>
      </c>
      <c r="G670" t="str">
        <f t="shared" ref="G670:G678" si="23">IF(O670="","Clear "&amp;N670&amp;" ("&amp;M670&amp;")","Clear "&amp;N670&amp;": "&amp;O670&amp;" ("&amp;M670&amp;")")</f>
        <v>Clear The Creature's Curtain Call: Standard (The Clockwork Heart)</v>
      </c>
      <c r="H670" s="79" t="s">
        <v>137</v>
      </c>
      <c r="I670" t="s">
        <v>137</v>
      </c>
      <c r="J670" s="70">
        <v>5</v>
      </c>
      <c r="K670" s="118">
        <v>44497</v>
      </c>
      <c r="L670" t="s">
        <v>18046</v>
      </c>
      <c r="M670" t="s">
        <v>14328</v>
      </c>
      <c r="N670" t="s">
        <v>19087</v>
      </c>
      <c r="O670" t="s">
        <v>18054</v>
      </c>
      <c r="P670">
        <v>1</v>
      </c>
      <c r="Q670" t="s">
        <v>19086</v>
      </c>
    </row>
    <row r="671" spans="1:17" x14ac:dyDescent="0.2">
      <c r="A671" s="70" t="s">
        <v>14331</v>
      </c>
      <c r="B671" s="92" t="s">
        <v>20163</v>
      </c>
      <c r="C671" s="92" t="s">
        <v>14332</v>
      </c>
      <c r="D671" s="117" t="s">
        <v>20373</v>
      </c>
      <c r="E671" s="70">
        <v>400490</v>
      </c>
      <c r="F671" s="79" t="s">
        <v>137</v>
      </c>
      <c r="G671" t="str">
        <f t="shared" si="23"/>
        <v>Clear The Angelic Herald: Expert (One Starry Dragonyule)</v>
      </c>
      <c r="H671" s="79" t="s">
        <v>137</v>
      </c>
      <c r="I671" t="s">
        <v>137</v>
      </c>
      <c r="J671" s="70">
        <v>5</v>
      </c>
      <c r="K671" s="118">
        <v>44529</v>
      </c>
      <c r="L671" t="s">
        <v>18933</v>
      </c>
      <c r="M671" t="s">
        <v>14333</v>
      </c>
      <c r="N671" t="s">
        <v>19111</v>
      </c>
      <c r="O671" t="s">
        <v>18033</v>
      </c>
      <c r="P671">
        <v>2</v>
      </c>
      <c r="Q671" t="s">
        <v>19112</v>
      </c>
    </row>
    <row r="672" spans="1:17" x14ac:dyDescent="0.2">
      <c r="A672" s="70" t="s">
        <v>14334</v>
      </c>
      <c r="B672" s="92" t="s">
        <v>20163</v>
      </c>
      <c r="C672" s="92" t="s">
        <v>14335</v>
      </c>
      <c r="D672" s="117" t="s">
        <v>20374</v>
      </c>
      <c r="E672" s="70">
        <v>400487</v>
      </c>
      <c r="F672" s="79" t="s">
        <v>137</v>
      </c>
      <c r="G672" t="str">
        <f t="shared" si="23"/>
        <v>Clear The Angelic Herald: Master (One Starry Dragonyule)</v>
      </c>
      <c r="H672" s="79" t="s">
        <v>137</v>
      </c>
      <c r="I672" t="s">
        <v>137</v>
      </c>
      <c r="J672" s="70">
        <v>5</v>
      </c>
      <c r="K672" s="118">
        <v>44529</v>
      </c>
      <c r="L672" t="s">
        <v>18933</v>
      </c>
      <c r="M672" t="s">
        <v>14333</v>
      </c>
      <c r="N672" t="s">
        <v>19111</v>
      </c>
      <c r="O672" t="s">
        <v>18061</v>
      </c>
      <c r="P672">
        <v>3</v>
      </c>
      <c r="Q672" t="s">
        <v>19113</v>
      </c>
    </row>
    <row r="673" spans="1:17" x14ac:dyDescent="0.2">
      <c r="A673" s="70" t="s">
        <v>14336</v>
      </c>
      <c r="B673" s="92" t="s">
        <v>20163</v>
      </c>
      <c r="C673" s="92" t="s">
        <v>14337</v>
      </c>
      <c r="D673" s="117" t="s">
        <v>20375</v>
      </c>
      <c r="E673" s="70">
        <v>400493</v>
      </c>
      <c r="F673" s="79" t="s">
        <v>137</v>
      </c>
      <c r="G673" t="str">
        <f t="shared" si="23"/>
        <v>Clear Water Manticore Assault: Expert (Celestial Showdown)</v>
      </c>
      <c r="H673" s="79" t="s">
        <v>137</v>
      </c>
      <c r="I673" t="s">
        <v>137</v>
      </c>
      <c r="J673" s="84">
        <v>5</v>
      </c>
      <c r="K673" s="118">
        <v>44561</v>
      </c>
      <c r="L673" t="s">
        <v>18017</v>
      </c>
      <c r="M673" t="s">
        <v>14339</v>
      </c>
      <c r="N673" t="s">
        <v>19117</v>
      </c>
      <c r="O673" t="s">
        <v>18033</v>
      </c>
      <c r="P673">
        <v>2</v>
      </c>
      <c r="Q673" t="s">
        <v>19118</v>
      </c>
    </row>
    <row r="674" spans="1:17" x14ac:dyDescent="0.2">
      <c r="A674" s="70" t="s">
        <v>14340</v>
      </c>
      <c r="B674" s="92" t="s">
        <v>20163</v>
      </c>
      <c r="C674" s="92" t="s">
        <v>14341</v>
      </c>
      <c r="D674" s="117" t="s">
        <v>20376</v>
      </c>
      <c r="E674" s="70">
        <v>400494</v>
      </c>
      <c r="F674" s="79" t="s">
        <v>137</v>
      </c>
      <c r="G674" t="str">
        <f t="shared" si="23"/>
        <v>Clear A Twisted Hero: Expert (The Blood That Binds)</v>
      </c>
      <c r="H674" s="79" t="s">
        <v>137</v>
      </c>
      <c r="I674" t="s">
        <v>137</v>
      </c>
      <c r="J674" s="70">
        <v>5</v>
      </c>
      <c r="K674" s="118">
        <v>44592</v>
      </c>
      <c r="L674" t="s">
        <v>18933</v>
      </c>
      <c r="M674" t="s">
        <v>14343</v>
      </c>
      <c r="N674" t="s">
        <v>19132</v>
      </c>
      <c r="O674" t="s">
        <v>18033</v>
      </c>
      <c r="P674">
        <v>2</v>
      </c>
      <c r="Q674" t="s">
        <v>19133</v>
      </c>
    </row>
    <row r="675" spans="1:17" x14ac:dyDescent="0.2">
      <c r="A675" s="70" t="s">
        <v>14344</v>
      </c>
      <c r="B675" s="92" t="s">
        <v>20163</v>
      </c>
      <c r="C675" s="92" t="s">
        <v>14345</v>
      </c>
      <c r="D675" s="117" t="s">
        <v>20377</v>
      </c>
      <c r="E675" s="70">
        <v>400496</v>
      </c>
      <c r="F675" s="79" t="s">
        <v>137</v>
      </c>
      <c r="G675" t="str">
        <f t="shared" si="23"/>
        <v>Clear A Twisted Hero: Master (The Blood That Binds)</v>
      </c>
      <c r="H675" s="79" t="s">
        <v>137</v>
      </c>
      <c r="I675" t="s">
        <v>137</v>
      </c>
      <c r="J675" s="70">
        <v>5</v>
      </c>
      <c r="K675" s="118">
        <v>44592</v>
      </c>
      <c r="L675" t="s">
        <v>18933</v>
      </c>
      <c r="M675" t="s">
        <v>14343</v>
      </c>
      <c r="N675" t="s">
        <v>19132</v>
      </c>
      <c r="O675" t="s">
        <v>18061</v>
      </c>
      <c r="P675">
        <v>3</v>
      </c>
      <c r="Q675" t="s">
        <v>19134</v>
      </c>
    </row>
    <row r="676" spans="1:17" x14ac:dyDescent="0.2">
      <c r="A676" s="70" t="s">
        <v>14347</v>
      </c>
      <c r="B676" s="92" t="s">
        <v>20163</v>
      </c>
      <c r="C676" s="92" t="s">
        <v>14348</v>
      </c>
      <c r="D676" s="117" t="s">
        <v>20378</v>
      </c>
      <c r="E676" s="70">
        <v>400497</v>
      </c>
      <c r="F676" s="79" t="s">
        <v>137</v>
      </c>
      <c r="G676" t="str">
        <f t="shared" si="23"/>
        <v>Clear Emile's Trial: Expert (Operation: At Your Service)</v>
      </c>
      <c r="H676" s="79" t="s">
        <v>137</v>
      </c>
      <c r="I676" t="s">
        <v>137</v>
      </c>
      <c r="J676" s="70">
        <v>5</v>
      </c>
      <c r="K676" s="118">
        <v>44620</v>
      </c>
      <c r="L676" t="s">
        <v>18933</v>
      </c>
      <c r="M676" t="s">
        <v>14349</v>
      </c>
      <c r="N676" t="s">
        <v>19140</v>
      </c>
      <c r="O676" t="s">
        <v>18033</v>
      </c>
      <c r="P676">
        <v>2</v>
      </c>
      <c r="Q676" t="s">
        <v>19141</v>
      </c>
    </row>
    <row r="677" spans="1:17" x14ac:dyDescent="0.2">
      <c r="A677" s="70" t="s">
        <v>14350</v>
      </c>
      <c r="B677" s="92" t="s">
        <v>20163</v>
      </c>
      <c r="C677" s="92" t="s">
        <v>14351</v>
      </c>
      <c r="D677" s="117" t="s">
        <v>20379</v>
      </c>
      <c r="E677" s="70">
        <v>400500</v>
      </c>
      <c r="F677" s="79" t="s">
        <v>137</v>
      </c>
      <c r="G677" t="str">
        <f t="shared" si="23"/>
        <v>Clear Emile's Trial: Master (Operation: At Your Service)</v>
      </c>
      <c r="H677" s="79" t="s">
        <v>137</v>
      </c>
      <c r="I677" t="s">
        <v>137</v>
      </c>
      <c r="J677" s="70">
        <v>5</v>
      </c>
      <c r="K677" s="118">
        <v>44620</v>
      </c>
      <c r="L677" t="s">
        <v>18933</v>
      </c>
      <c r="M677" t="s">
        <v>14349</v>
      </c>
      <c r="N677" t="s">
        <v>19140</v>
      </c>
      <c r="O677" t="s">
        <v>18061</v>
      </c>
      <c r="P677">
        <v>3</v>
      </c>
      <c r="Q677" t="s">
        <v>19142</v>
      </c>
    </row>
    <row r="678" spans="1:17" x14ac:dyDescent="0.2">
      <c r="A678" s="70" t="s">
        <v>14352</v>
      </c>
      <c r="B678" s="92" t="s">
        <v>20163</v>
      </c>
      <c r="C678" s="92" t="s">
        <v>14353</v>
      </c>
      <c r="D678" s="117" t="s">
        <v>20380</v>
      </c>
      <c r="E678" s="70">
        <v>400502</v>
      </c>
      <c r="F678" s="79" t="s">
        <v>137</v>
      </c>
      <c r="G678" t="str">
        <f t="shared" si="23"/>
        <v>Clear Volcanic Cyclops Assault: Expert (Advent of the Origin)</v>
      </c>
      <c r="H678" s="79" t="s">
        <v>137</v>
      </c>
      <c r="I678" t="s">
        <v>137</v>
      </c>
      <c r="J678" s="84">
        <v>5</v>
      </c>
      <c r="K678" s="118">
        <v>44647</v>
      </c>
      <c r="L678" t="s">
        <v>18017</v>
      </c>
      <c r="M678" t="s">
        <v>14355</v>
      </c>
      <c r="N678" t="s">
        <v>19146</v>
      </c>
      <c r="O678" t="s">
        <v>18033</v>
      </c>
      <c r="P678">
        <v>2</v>
      </c>
      <c r="Q678" t="s">
        <v>19147</v>
      </c>
    </row>
    <row r="679" spans="1:17" x14ac:dyDescent="0.2">
      <c r="A679" s="70" t="s">
        <v>14356</v>
      </c>
      <c r="B679" s="92" t="s">
        <v>20163</v>
      </c>
      <c r="C679" s="92" t="s">
        <v>14357</v>
      </c>
      <c r="D679" s="117" t="s">
        <v>20381</v>
      </c>
      <c r="E679" s="70">
        <v>400501</v>
      </c>
      <c r="F679" s="79" t="s">
        <v>137</v>
      </c>
      <c r="G679" t="str">
        <f>IF(O679="",N679&amp;" ("&amp;M679&amp;")",N679&amp;": "&amp;O679&amp;" ("&amp;M679&amp;")")</f>
        <v>Read the Epilogue (Advent of the Origin)</v>
      </c>
      <c r="H679" s="79" t="s">
        <v>137</v>
      </c>
      <c r="I679" t="s">
        <v>137</v>
      </c>
      <c r="J679" s="84">
        <v>5</v>
      </c>
      <c r="K679" s="118">
        <v>44649</v>
      </c>
      <c r="L679" t="s">
        <v>18017</v>
      </c>
      <c r="M679" t="s">
        <v>14355</v>
      </c>
      <c r="N679" t="s">
        <v>20243</v>
      </c>
      <c r="Q679" t="s">
        <v>20382</v>
      </c>
    </row>
    <row r="680" spans="1:17" x14ac:dyDescent="0.2">
      <c r="A680" s="70" t="s">
        <v>14358</v>
      </c>
      <c r="B680" s="92" t="s">
        <v>20163</v>
      </c>
      <c r="C680" s="92" t="s">
        <v>14359</v>
      </c>
      <c r="D680" s="117" t="s">
        <v>20383</v>
      </c>
      <c r="E680" s="70">
        <v>400122</v>
      </c>
      <c r="F680" s="79" t="s">
        <v>137</v>
      </c>
      <c r="G680" t="str">
        <f>IF(O680="",N680&amp;" ("&amp;M680&amp;")",N680&amp;": "&amp;O680&amp;" ("&amp;M680&amp;")")</f>
        <v>Read the Epilogue (Advent of the Origin)</v>
      </c>
      <c r="H680" s="79" t="s">
        <v>137</v>
      </c>
      <c r="I680" t="s">
        <v>137</v>
      </c>
      <c r="J680" s="84">
        <v>5</v>
      </c>
      <c r="K680" s="118">
        <v>44649</v>
      </c>
      <c r="L680" t="s">
        <v>18017</v>
      </c>
      <c r="M680" t="s">
        <v>14355</v>
      </c>
      <c r="N680" t="s">
        <v>20243</v>
      </c>
      <c r="Q680" t="s">
        <v>20382</v>
      </c>
    </row>
    <row r="681" spans="1:17" x14ac:dyDescent="0.2">
      <c r="A681" s="70" t="s">
        <v>14360</v>
      </c>
      <c r="B681" s="92" t="s">
        <v>20163</v>
      </c>
      <c r="C681" s="92" t="s">
        <v>14361</v>
      </c>
      <c r="D681" s="117" t="s">
        <v>20384</v>
      </c>
      <c r="E681" s="70">
        <v>400134</v>
      </c>
      <c r="F681" s="79" t="s">
        <v>137</v>
      </c>
      <c r="G681" t="str">
        <f>IF(O681="",N681&amp;" ("&amp;M681&amp;")",N681&amp;": "&amp;O681&amp;" ("&amp;M681&amp;")")</f>
        <v>Read the Epilogue (Advent of the Origin)</v>
      </c>
      <c r="H681" s="79" t="s">
        <v>137</v>
      </c>
      <c r="I681" t="s">
        <v>137</v>
      </c>
      <c r="J681" s="84">
        <v>5</v>
      </c>
      <c r="K681" s="118">
        <v>44649</v>
      </c>
      <c r="L681" t="s">
        <v>18017</v>
      </c>
      <c r="M681" t="s">
        <v>14355</v>
      </c>
      <c r="N681" t="s">
        <v>20243</v>
      </c>
      <c r="Q681" t="s">
        <v>20382</v>
      </c>
    </row>
    <row r="682" spans="1:17" x14ac:dyDescent="0.2">
      <c r="A682" s="70" t="s">
        <v>14362</v>
      </c>
      <c r="B682" s="92" t="s">
        <v>20163</v>
      </c>
      <c r="C682" s="92" t="s">
        <v>14363</v>
      </c>
      <c r="D682" s="117" t="s">
        <v>20385</v>
      </c>
      <c r="E682" s="70">
        <v>400159</v>
      </c>
      <c r="F682" s="79" t="s">
        <v>137</v>
      </c>
      <c r="G682" t="str">
        <f>IF(O682="",N682&amp;" ("&amp;M682&amp;")",N682&amp;": "&amp;O682&amp;" ("&amp;M682&amp;")")</f>
        <v>Read the Epilogue (Advent of the Origin)</v>
      </c>
      <c r="H682" s="79" t="s">
        <v>137</v>
      </c>
      <c r="I682" t="s">
        <v>137</v>
      </c>
      <c r="J682" s="84">
        <v>5</v>
      </c>
      <c r="K682" s="118">
        <v>44649</v>
      </c>
      <c r="L682" t="s">
        <v>18017</v>
      </c>
      <c r="M682" t="s">
        <v>14355</v>
      </c>
      <c r="N682" t="s">
        <v>20243</v>
      </c>
      <c r="Q682" t="s">
        <v>20382</v>
      </c>
    </row>
    <row r="683" spans="1:17" x14ac:dyDescent="0.2">
      <c r="A683" s="70" t="s">
        <v>14364</v>
      </c>
      <c r="B683" s="92" t="s">
        <v>20163</v>
      </c>
      <c r="C683" s="92" t="s">
        <v>14365</v>
      </c>
      <c r="D683" s="117" t="s">
        <v>20386</v>
      </c>
      <c r="E683" s="70">
        <v>400383</v>
      </c>
      <c r="F683" s="79" t="s">
        <v>137</v>
      </c>
      <c r="G683" t="str">
        <f>IF(O683="",N683&amp;" ("&amp;M683&amp;")",N683&amp;": "&amp;O683&amp;" ("&amp;M683&amp;")")</f>
        <v>Read the Epilogue (Advent of the Origin)</v>
      </c>
      <c r="H683" s="79" t="s">
        <v>137</v>
      </c>
      <c r="I683" t="s">
        <v>137</v>
      </c>
      <c r="J683" s="84">
        <v>5</v>
      </c>
      <c r="K683" s="118">
        <v>44649</v>
      </c>
      <c r="L683" t="s">
        <v>18017</v>
      </c>
      <c r="M683" t="s">
        <v>14355</v>
      </c>
      <c r="N683" t="s">
        <v>20243</v>
      </c>
      <c r="Q683" t="s">
        <v>20382</v>
      </c>
    </row>
    <row r="684" spans="1:17" x14ac:dyDescent="0.2">
      <c r="A684" s="70" t="s">
        <v>14366</v>
      </c>
      <c r="B684" s="92" t="s">
        <v>20163</v>
      </c>
      <c r="C684" s="92" t="s">
        <v>14367</v>
      </c>
      <c r="D684" s="117" t="s">
        <v>20387</v>
      </c>
      <c r="E684" s="70">
        <v>400033</v>
      </c>
      <c r="F684" s="79" t="s">
        <v>137</v>
      </c>
      <c r="G684" t="str">
        <f>N684&amp;" ("&amp;O684&amp;")"</f>
        <v>Obtain From Ch. 02 EX 1 Chest (Very Hard)</v>
      </c>
      <c r="H684" s="79" t="s">
        <v>137</v>
      </c>
      <c r="I684" t="s">
        <v>137</v>
      </c>
      <c r="J684" s="70">
        <v>4</v>
      </c>
      <c r="K684" s="118">
        <v>43370</v>
      </c>
      <c r="L684" t="s">
        <v>18054</v>
      </c>
      <c r="M684" t="s">
        <v>17513</v>
      </c>
      <c r="N684" t="s">
        <v>20388</v>
      </c>
      <c r="O684" t="s">
        <v>15733</v>
      </c>
      <c r="P684">
        <v>1</v>
      </c>
      <c r="Q684" t="s">
        <v>17537</v>
      </c>
    </row>
    <row r="685" spans="1:17" x14ac:dyDescent="0.2">
      <c r="A685" s="70" t="s">
        <v>14369</v>
      </c>
      <c r="B685" s="92" t="s">
        <v>20163</v>
      </c>
      <c r="C685" s="92" t="s">
        <v>14370</v>
      </c>
      <c r="D685" s="117" t="s">
        <v>20389</v>
      </c>
      <c r="E685" s="70">
        <v>400034</v>
      </c>
      <c r="F685" s="79" t="s">
        <v>137</v>
      </c>
      <c r="G685" t="str">
        <f>"Clear "&amp;N685&amp;": "&amp;O685</f>
        <v>Clear Zodiark's Trial: Beginner</v>
      </c>
      <c r="H685" s="79" t="s">
        <v>137</v>
      </c>
      <c r="I685" t="s">
        <v>137</v>
      </c>
      <c r="J685" s="84">
        <v>4</v>
      </c>
      <c r="K685" s="118">
        <v>43370</v>
      </c>
      <c r="L685" t="s">
        <v>18054</v>
      </c>
      <c r="M685" t="s">
        <v>13994</v>
      </c>
      <c r="N685" t="s">
        <v>19214</v>
      </c>
      <c r="O685" t="s">
        <v>18031</v>
      </c>
      <c r="P685">
        <v>1</v>
      </c>
      <c r="Q685" t="s">
        <v>19213</v>
      </c>
    </row>
    <row r="686" spans="1:17" x14ac:dyDescent="0.2">
      <c r="A686" s="70" t="s">
        <v>14371</v>
      </c>
      <c r="B686" s="92" t="s">
        <v>20163</v>
      </c>
      <c r="C686" s="92" t="s">
        <v>14372</v>
      </c>
      <c r="D686" s="117" t="s">
        <v>20390</v>
      </c>
      <c r="E686" s="70">
        <v>400035</v>
      </c>
      <c r="F686" s="79" t="s">
        <v>137</v>
      </c>
      <c r="G686" t="str">
        <f>"Clear "&amp;N686&amp;": "&amp;O686</f>
        <v>Clear Avenue to Fortune: Expert</v>
      </c>
      <c r="H686" s="79" t="s">
        <v>137</v>
      </c>
      <c r="I686" t="s">
        <v>137</v>
      </c>
      <c r="J686" s="84">
        <v>4</v>
      </c>
      <c r="K686" s="118">
        <v>43370</v>
      </c>
      <c r="L686" t="s">
        <v>18054</v>
      </c>
      <c r="M686" t="s">
        <v>14970</v>
      </c>
      <c r="N686" t="s">
        <v>19162</v>
      </c>
      <c r="O686" t="s">
        <v>18033</v>
      </c>
      <c r="P686">
        <v>3</v>
      </c>
      <c r="Q686" t="s">
        <v>19164</v>
      </c>
    </row>
    <row r="687" spans="1:17" x14ac:dyDescent="0.2">
      <c r="A687" s="70" t="s">
        <v>14373</v>
      </c>
      <c r="B687" s="92" t="s">
        <v>20163</v>
      </c>
      <c r="C687" s="92" t="s">
        <v>14374</v>
      </c>
      <c r="D687" s="117" t="s">
        <v>20391</v>
      </c>
      <c r="E687" s="70">
        <v>400036</v>
      </c>
      <c r="F687" s="79" t="s">
        <v>137</v>
      </c>
      <c r="G687" t="str">
        <f>N687&amp;" ("&amp;O687&amp;")"</f>
        <v>Obtain From Ch. 07 EX 1 Chest (Hard)</v>
      </c>
      <c r="H687" s="79" t="s">
        <v>137</v>
      </c>
      <c r="I687" t="s">
        <v>137</v>
      </c>
      <c r="J687" s="70">
        <v>4</v>
      </c>
      <c r="K687" s="118">
        <v>43370</v>
      </c>
      <c r="L687" t="s">
        <v>18054</v>
      </c>
      <c r="M687" t="s">
        <v>17513</v>
      </c>
      <c r="N687" t="s">
        <v>20392</v>
      </c>
      <c r="O687" t="s">
        <v>15732</v>
      </c>
      <c r="P687">
        <v>1</v>
      </c>
      <c r="Q687" t="s">
        <v>17688</v>
      </c>
    </row>
    <row r="688" spans="1:17" x14ac:dyDescent="0.2">
      <c r="A688" s="70" t="s">
        <v>14375</v>
      </c>
      <c r="B688" s="92" t="s">
        <v>20163</v>
      </c>
      <c r="C688" s="92" t="s">
        <v>14376</v>
      </c>
      <c r="D688" s="117" t="s">
        <v>20393</v>
      </c>
      <c r="E688" s="70">
        <v>400037</v>
      </c>
      <c r="F688" s="79" t="s">
        <v>137</v>
      </c>
      <c r="G688" t="str">
        <f>"Clear "&amp;N688&amp;": "&amp;O688</f>
        <v>Clear Waterscour Ruins: Beginner</v>
      </c>
      <c r="H688" s="79" t="s">
        <v>137</v>
      </c>
      <c r="I688" t="s">
        <v>137</v>
      </c>
      <c r="J688" s="70">
        <v>4</v>
      </c>
      <c r="K688" s="118">
        <v>43370</v>
      </c>
      <c r="L688" t="s">
        <v>18054</v>
      </c>
      <c r="M688" t="s">
        <v>14035</v>
      </c>
      <c r="N688" t="s">
        <v>19174</v>
      </c>
      <c r="O688" t="s">
        <v>18031</v>
      </c>
      <c r="P688">
        <v>1</v>
      </c>
      <c r="Q688" t="s">
        <v>19173</v>
      </c>
    </row>
    <row r="689" spans="1:17" x14ac:dyDescent="0.2">
      <c r="A689" s="70" t="s">
        <v>14378</v>
      </c>
      <c r="B689" s="92" t="s">
        <v>20163</v>
      </c>
      <c r="C689" s="92" t="s">
        <v>14379</v>
      </c>
      <c r="D689" s="117" t="s">
        <v>20394</v>
      </c>
      <c r="E689" s="70">
        <v>400038</v>
      </c>
      <c r="F689" s="79" t="s">
        <v>137</v>
      </c>
      <c r="G689" t="str">
        <f>"Clear "&amp;N689&amp;": "&amp;O689</f>
        <v>Clear Brunhilda's Trial: Standard</v>
      </c>
      <c r="H689" s="79" t="s">
        <v>137</v>
      </c>
      <c r="I689" t="s">
        <v>137</v>
      </c>
      <c r="J689" s="84">
        <v>4</v>
      </c>
      <c r="K689" s="118">
        <v>43370</v>
      </c>
      <c r="L689" t="s">
        <v>18054</v>
      </c>
      <c r="M689" t="s">
        <v>13994</v>
      </c>
      <c r="N689" t="s">
        <v>19204</v>
      </c>
      <c r="O689" t="s">
        <v>18054</v>
      </c>
      <c r="P689">
        <v>2</v>
      </c>
      <c r="Q689" t="s">
        <v>19205</v>
      </c>
    </row>
    <row r="690" spans="1:17" x14ac:dyDescent="0.2">
      <c r="A690" s="70" t="s">
        <v>14381</v>
      </c>
      <c r="B690" s="92" t="s">
        <v>20163</v>
      </c>
      <c r="C690" s="92" t="s">
        <v>14382</v>
      </c>
      <c r="D690" s="117" t="s">
        <v>20395</v>
      </c>
      <c r="E690" s="70">
        <v>400039</v>
      </c>
      <c r="F690" s="79" t="s">
        <v>137</v>
      </c>
      <c r="G690" t="str">
        <f>"Clear "&amp;N690&amp;": "&amp;O690</f>
        <v>Clear Shadowsteep Ruins: Beginner</v>
      </c>
      <c r="H690" s="79" t="s">
        <v>137</v>
      </c>
      <c r="I690" t="s">
        <v>137</v>
      </c>
      <c r="J690" s="70">
        <v>4</v>
      </c>
      <c r="K690" s="118">
        <v>43370</v>
      </c>
      <c r="L690" t="s">
        <v>18054</v>
      </c>
      <c r="M690" t="s">
        <v>14035</v>
      </c>
      <c r="N690" t="s">
        <v>19186</v>
      </c>
      <c r="O690" t="s">
        <v>18031</v>
      </c>
      <c r="P690">
        <v>1</v>
      </c>
      <c r="Q690" t="s">
        <v>19185</v>
      </c>
    </row>
    <row r="691" spans="1:17" x14ac:dyDescent="0.2">
      <c r="A691" s="70" t="s">
        <v>14383</v>
      </c>
      <c r="B691" s="92" t="s">
        <v>20163</v>
      </c>
      <c r="C691" s="92" t="s">
        <v>4216</v>
      </c>
      <c r="D691" s="117" t="s">
        <v>20396</v>
      </c>
      <c r="E691" s="70">
        <v>400040</v>
      </c>
      <c r="F691" s="79" t="s">
        <v>137</v>
      </c>
      <c r="G691" t="str">
        <f>N691&amp;" ("&amp;O691&amp;")"</f>
        <v>Obtain From Ch. 11 EX 1 Chest (Normal)</v>
      </c>
      <c r="H691" s="79" t="s">
        <v>137</v>
      </c>
      <c r="I691" t="s">
        <v>137</v>
      </c>
      <c r="J691" s="70">
        <v>4</v>
      </c>
      <c r="K691" s="118">
        <v>43370</v>
      </c>
      <c r="L691" t="s">
        <v>18054</v>
      </c>
      <c r="M691" t="s">
        <v>17513</v>
      </c>
      <c r="N691" t="s">
        <v>20220</v>
      </c>
      <c r="O691" t="s">
        <v>15731</v>
      </c>
      <c r="P691">
        <v>1</v>
      </c>
      <c r="Q691" t="s">
        <v>16441</v>
      </c>
    </row>
    <row r="692" spans="1:17" x14ac:dyDescent="0.2">
      <c r="A692" s="70" t="s">
        <v>14384</v>
      </c>
      <c r="B692" s="92" t="s">
        <v>20163</v>
      </c>
      <c r="C692" s="92" t="s">
        <v>14385</v>
      </c>
      <c r="D692" s="117" t="s">
        <v>20397</v>
      </c>
      <c r="E692" s="70">
        <v>400041</v>
      </c>
      <c r="F692" s="79" t="s">
        <v>137</v>
      </c>
      <c r="G692" t="str">
        <f>"Clear "&amp;N692&amp;": "&amp;O692</f>
        <v>Clear Jupiter's Trial: Beginner</v>
      </c>
      <c r="H692" s="79" t="s">
        <v>137</v>
      </c>
      <c r="I692" t="s">
        <v>137</v>
      </c>
      <c r="J692" s="84">
        <v>4</v>
      </c>
      <c r="K692" s="118">
        <v>43370</v>
      </c>
      <c r="L692" t="s">
        <v>18054</v>
      </c>
      <c r="M692" t="s">
        <v>13994</v>
      </c>
      <c r="N692" t="s">
        <v>19209</v>
      </c>
      <c r="O692" t="s">
        <v>18031</v>
      </c>
      <c r="P692">
        <v>1</v>
      </c>
      <c r="Q692" t="s">
        <v>19208</v>
      </c>
    </row>
    <row r="693" spans="1:17" x14ac:dyDescent="0.2">
      <c r="A693" s="70" t="s">
        <v>14386</v>
      </c>
      <c r="B693" s="92" t="s">
        <v>20163</v>
      </c>
      <c r="C693" s="92" t="s">
        <v>14387</v>
      </c>
      <c r="D693" s="117" t="s">
        <v>20398</v>
      </c>
      <c r="E693" s="70">
        <v>400042</v>
      </c>
      <c r="F693" s="79" t="s">
        <v>137</v>
      </c>
      <c r="G693" t="str">
        <f>"Clear "&amp;N693&amp;": "&amp;O693</f>
        <v>Clear Lightsunder Ruins: Beginner</v>
      </c>
      <c r="H693" s="79" t="s">
        <v>137</v>
      </c>
      <c r="I693" t="s">
        <v>137</v>
      </c>
      <c r="J693" s="70">
        <v>4</v>
      </c>
      <c r="K693" s="118">
        <v>43370</v>
      </c>
      <c r="L693" t="s">
        <v>18054</v>
      </c>
      <c r="M693" t="s">
        <v>14035</v>
      </c>
      <c r="N693" t="s">
        <v>19182</v>
      </c>
      <c r="O693" t="s">
        <v>18031</v>
      </c>
      <c r="P693">
        <v>1</v>
      </c>
      <c r="Q693" t="s">
        <v>19181</v>
      </c>
    </row>
    <row r="694" spans="1:17" x14ac:dyDescent="0.2">
      <c r="A694" s="70" t="s">
        <v>14389</v>
      </c>
      <c r="B694" s="92" t="s">
        <v>20163</v>
      </c>
      <c r="C694" s="92" t="s">
        <v>14390</v>
      </c>
      <c r="D694" s="117" t="s">
        <v>20399</v>
      </c>
      <c r="E694" s="70">
        <v>400043</v>
      </c>
      <c r="F694" s="79" t="s">
        <v>137</v>
      </c>
      <c r="G694" t="str">
        <f>IF(O694="",N694&amp;" ("&amp;M694&amp;")",N694&amp;": "&amp;O694&amp;" ("&amp;M694&amp;")")</f>
        <v>Unlock 50 Mana Nodes for a Wind-Attuned Adventurer (SPECIAL)</v>
      </c>
      <c r="H694" s="79" t="s">
        <v>137</v>
      </c>
      <c r="I694" t="s">
        <v>137</v>
      </c>
      <c r="J694" s="70">
        <v>4</v>
      </c>
      <c r="K694" s="118">
        <v>43370</v>
      </c>
      <c r="M694" t="s">
        <v>20400</v>
      </c>
      <c r="N694" t="s">
        <v>20401</v>
      </c>
      <c r="Q694" t="s">
        <v>137</v>
      </c>
    </row>
    <row r="695" spans="1:17" x14ac:dyDescent="0.2">
      <c r="A695" s="70" t="s">
        <v>14392</v>
      </c>
      <c r="B695" s="92" t="s">
        <v>20163</v>
      </c>
      <c r="C695" s="92" t="s">
        <v>14393</v>
      </c>
      <c r="D695" s="117" t="s">
        <v>20402</v>
      </c>
      <c r="E695" s="70">
        <v>400044</v>
      </c>
      <c r="F695" s="79" t="s">
        <v>137</v>
      </c>
      <c r="G695" t="str">
        <f>"Clear "&amp;N695&amp;": "&amp;O695</f>
        <v>Clear Brunhilda's Trial: Beginner</v>
      </c>
      <c r="H695" s="79" t="s">
        <v>137</v>
      </c>
      <c r="I695" t="s">
        <v>137</v>
      </c>
      <c r="J695" s="84">
        <v>4</v>
      </c>
      <c r="K695" s="118">
        <v>43370</v>
      </c>
      <c r="L695" t="s">
        <v>18054</v>
      </c>
      <c r="M695" t="s">
        <v>13994</v>
      </c>
      <c r="N695" t="s">
        <v>19204</v>
      </c>
      <c r="O695" t="s">
        <v>18031</v>
      </c>
      <c r="P695">
        <v>1</v>
      </c>
      <c r="Q695" t="s">
        <v>19203</v>
      </c>
    </row>
    <row r="696" spans="1:17" x14ac:dyDescent="0.2">
      <c r="A696" s="70" t="s">
        <v>14395</v>
      </c>
      <c r="B696" s="92" t="s">
        <v>20163</v>
      </c>
      <c r="C696" s="92" t="s">
        <v>14396</v>
      </c>
      <c r="D696" s="117" t="s">
        <v>20403</v>
      </c>
      <c r="E696" s="70">
        <v>400045</v>
      </c>
      <c r="F696" s="79" t="s">
        <v>137</v>
      </c>
      <c r="G696" t="str">
        <f>"Clear "&amp;N696&amp;": "&amp;O696</f>
        <v>Clear Waterscour Ruins: Standard</v>
      </c>
      <c r="H696" s="79" t="s">
        <v>137</v>
      </c>
      <c r="I696" t="s">
        <v>137</v>
      </c>
      <c r="J696" s="70">
        <v>4</v>
      </c>
      <c r="K696" s="118">
        <v>43370</v>
      </c>
      <c r="L696" t="s">
        <v>18054</v>
      </c>
      <c r="M696" t="s">
        <v>14035</v>
      </c>
      <c r="N696" t="s">
        <v>19174</v>
      </c>
      <c r="O696" t="s">
        <v>18054</v>
      </c>
      <c r="P696">
        <v>2</v>
      </c>
      <c r="Q696" t="s">
        <v>19175</v>
      </c>
    </row>
    <row r="697" spans="1:17" x14ac:dyDescent="0.2">
      <c r="A697" s="70" t="s">
        <v>14397</v>
      </c>
      <c r="B697" s="92" t="s">
        <v>20163</v>
      </c>
      <c r="C697" s="92" t="s">
        <v>14398</v>
      </c>
      <c r="D697" s="117" t="s">
        <v>20404</v>
      </c>
      <c r="E697" s="70">
        <v>400046</v>
      </c>
      <c r="F697" s="79" t="s">
        <v>137</v>
      </c>
      <c r="G697" t="str">
        <f>N697&amp;" ("&amp;O697&amp;")"</f>
        <v>Obtain From Ch. 04 EX 1 Chest (Very Hard)</v>
      </c>
      <c r="H697" s="79" t="s">
        <v>137</v>
      </c>
      <c r="I697" t="s">
        <v>137</v>
      </c>
      <c r="J697" s="70">
        <v>4</v>
      </c>
      <c r="K697" s="118">
        <v>43370</v>
      </c>
      <c r="L697" t="s">
        <v>18054</v>
      </c>
      <c r="M697" t="s">
        <v>17513</v>
      </c>
      <c r="N697" t="s">
        <v>20405</v>
      </c>
      <c r="O697" t="s">
        <v>15733</v>
      </c>
      <c r="P697">
        <v>1</v>
      </c>
      <c r="Q697" t="s">
        <v>17583</v>
      </c>
    </row>
    <row r="698" spans="1:17" x14ac:dyDescent="0.2">
      <c r="A698" s="70" t="s">
        <v>14399</v>
      </c>
      <c r="B698" s="92" t="s">
        <v>20163</v>
      </c>
      <c r="C698" s="92" t="s">
        <v>14400</v>
      </c>
      <c r="D698" s="117" t="s">
        <v>20406</v>
      </c>
      <c r="E698" s="70">
        <v>400047</v>
      </c>
      <c r="F698" s="79" t="s">
        <v>137</v>
      </c>
      <c r="G698" t="str">
        <f>IF(O698="",N698&amp;" ("&amp;M698&amp;")",N698&amp;": "&amp;O698&amp;" ("&amp;M698&amp;")")</f>
        <v>Unlock 50 Mana Nodes for a Light-Attuned Adventurer (SPECIAL)</v>
      </c>
      <c r="H698" s="79" t="s">
        <v>137</v>
      </c>
      <c r="I698" t="s">
        <v>137</v>
      </c>
      <c r="J698" s="70">
        <v>4</v>
      </c>
      <c r="K698" s="118">
        <v>43370</v>
      </c>
      <c r="M698" t="s">
        <v>20400</v>
      </c>
      <c r="N698" t="s">
        <v>20407</v>
      </c>
      <c r="Q698" t="s">
        <v>137</v>
      </c>
    </row>
    <row r="699" spans="1:17" x14ac:dyDescent="0.2">
      <c r="A699" s="70" t="s">
        <v>14402</v>
      </c>
      <c r="B699" s="92" t="s">
        <v>20163</v>
      </c>
      <c r="C699" s="92" t="s">
        <v>14403</v>
      </c>
      <c r="D699" s="117" t="s">
        <v>20408</v>
      </c>
      <c r="E699" s="70">
        <v>400048</v>
      </c>
      <c r="F699" s="79" t="s">
        <v>137</v>
      </c>
      <c r="G699" t="str">
        <f>"Clear "&amp;N699&amp;": "&amp;O699</f>
        <v>Clear Zodiark's Trial: Standard</v>
      </c>
      <c r="H699" s="79" t="s">
        <v>137</v>
      </c>
      <c r="I699" t="s">
        <v>137</v>
      </c>
      <c r="J699" s="84">
        <v>4</v>
      </c>
      <c r="K699" s="118">
        <v>43370</v>
      </c>
      <c r="L699" t="s">
        <v>18054</v>
      </c>
      <c r="M699" t="s">
        <v>13994</v>
      </c>
      <c r="N699" t="s">
        <v>19214</v>
      </c>
      <c r="O699" t="s">
        <v>18054</v>
      </c>
      <c r="P699">
        <v>2</v>
      </c>
      <c r="Q699" t="s">
        <v>19215</v>
      </c>
    </row>
    <row r="700" spans="1:17" x14ac:dyDescent="0.2">
      <c r="A700" s="70" t="s">
        <v>14404</v>
      </c>
      <c r="B700" s="92" t="s">
        <v>20163</v>
      </c>
      <c r="C700" s="92" t="s">
        <v>14405</v>
      </c>
      <c r="D700" s="117" t="s">
        <v>20409</v>
      </c>
      <c r="E700" s="70">
        <v>400049</v>
      </c>
      <c r="F700" s="79" t="s">
        <v>137</v>
      </c>
      <c r="G700" t="str">
        <f>N700&amp;" ("&amp;O700&amp;")"</f>
        <v>Obtain From Ch. 04 EX 1 Chest (Hard)</v>
      </c>
      <c r="H700" s="79" t="s">
        <v>137</v>
      </c>
      <c r="I700" t="s">
        <v>137</v>
      </c>
      <c r="J700" s="70">
        <v>4</v>
      </c>
      <c r="K700" s="118">
        <v>43370</v>
      </c>
      <c r="L700" t="s">
        <v>18054</v>
      </c>
      <c r="M700" t="s">
        <v>17513</v>
      </c>
      <c r="N700" t="s">
        <v>20405</v>
      </c>
      <c r="O700" t="s">
        <v>15732</v>
      </c>
      <c r="P700">
        <v>1</v>
      </c>
      <c r="Q700" t="s">
        <v>17582</v>
      </c>
    </row>
    <row r="701" spans="1:17" x14ac:dyDescent="0.2">
      <c r="A701" s="70" t="s">
        <v>14406</v>
      </c>
      <c r="B701" s="92" t="s">
        <v>20163</v>
      </c>
      <c r="C701" s="92" t="s">
        <v>14407</v>
      </c>
      <c r="D701" s="117" t="s">
        <v>20410</v>
      </c>
      <c r="E701" s="70">
        <v>400050</v>
      </c>
      <c r="F701" s="79" t="s">
        <v>137</v>
      </c>
      <c r="G701" t="str">
        <f>IF(O701="","Clear "&amp;N701&amp;" ("&amp;M701&amp;")","Clear "&amp;N701&amp;": "&amp;O701&amp;" ("&amp;M701&amp;")")</f>
        <v>Clear Battle in Rovetelle Forest: Expert (The Imperial Onslaught)</v>
      </c>
      <c r="H701" s="79" t="s">
        <v>137</v>
      </c>
      <c r="I701" t="s">
        <v>137</v>
      </c>
      <c r="J701" s="70">
        <v>4</v>
      </c>
      <c r="K701" s="118">
        <v>43370</v>
      </c>
      <c r="L701" t="s">
        <v>18054</v>
      </c>
      <c r="M701" t="s">
        <v>13954</v>
      </c>
      <c r="N701" t="s">
        <v>19235</v>
      </c>
      <c r="O701" t="s">
        <v>18033</v>
      </c>
      <c r="P701">
        <v>3</v>
      </c>
      <c r="Q701" t="s">
        <v>19238</v>
      </c>
    </row>
    <row r="702" spans="1:17" x14ac:dyDescent="0.2">
      <c r="A702" s="70" t="s">
        <v>14408</v>
      </c>
      <c r="B702" s="92" t="s">
        <v>20163</v>
      </c>
      <c r="C702" s="92" t="s">
        <v>14409</v>
      </c>
      <c r="D702" s="117" t="s">
        <v>20411</v>
      </c>
      <c r="E702" s="70">
        <v>400051</v>
      </c>
      <c r="F702" s="79" t="s">
        <v>137</v>
      </c>
      <c r="G702" t="str">
        <f>"Clear "&amp;N702&amp;": "&amp;O702</f>
        <v>Clear Avenue to Power: Expert</v>
      </c>
      <c r="H702" s="79" t="s">
        <v>137</v>
      </c>
      <c r="I702" t="s">
        <v>137</v>
      </c>
      <c r="J702" s="84">
        <v>4</v>
      </c>
      <c r="K702" s="118">
        <v>43370</v>
      </c>
      <c r="L702" t="s">
        <v>18054</v>
      </c>
      <c r="M702" t="s">
        <v>14970</v>
      </c>
      <c r="N702" t="s">
        <v>19157</v>
      </c>
      <c r="O702" t="s">
        <v>18033</v>
      </c>
      <c r="P702">
        <v>3</v>
      </c>
      <c r="Q702" t="s">
        <v>19159</v>
      </c>
    </row>
    <row r="703" spans="1:17" x14ac:dyDescent="0.2">
      <c r="A703" s="70" t="s">
        <v>14410</v>
      </c>
      <c r="B703" s="92" t="s">
        <v>20163</v>
      </c>
      <c r="C703" s="92" t="s">
        <v>14411</v>
      </c>
      <c r="D703" s="117" t="s">
        <v>20412</v>
      </c>
      <c r="E703" s="70">
        <v>400069</v>
      </c>
      <c r="F703" s="79" t="s">
        <v>137</v>
      </c>
      <c r="G703" t="str">
        <f>N703&amp;" ("&amp;O703&amp;")"</f>
        <v>Obtain From Ch. 02 EX 1 Chest (Normal)</v>
      </c>
      <c r="H703" s="79" t="s">
        <v>137</v>
      </c>
      <c r="I703" t="s">
        <v>137</v>
      </c>
      <c r="J703" s="70">
        <v>4</v>
      </c>
      <c r="K703" s="118">
        <v>43370</v>
      </c>
      <c r="L703" t="s">
        <v>18054</v>
      </c>
      <c r="M703" t="s">
        <v>17513</v>
      </c>
      <c r="N703" t="s">
        <v>20388</v>
      </c>
      <c r="O703" t="s">
        <v>15731</v>
      </c>
      <c r="P703">
        <v>1</v>
      </c>
      <c r="Q703" t="s">
        <v>15825</v>
      </c>
    </row>
    <row r="704" spans="1:17" x14ac:dyDescent="0.2">
      <c r="A704" s="70" t="s">
        <v>14412</v>
      </c>
      <c r="B704" s="92" t="s">
        <v>20163</v>
      </c>
      <c r="C704" s="92" t="s">
        <v>14413</v>
      </c>
      <c r="D704" s="117" t="s">
        <v>20413</v>
      </c>
      <c r="E704" s="70">
        <v>400055</v>
      </c>
      <c r="F704" s="79" t="s">
        <v>137</v>
      </c>
      <c r="G704" t="str">
        <f>IF(O704="","Clear "&amp;N704&amp;" ("&amp;M704&amp;")","Clear "&amp;N704&amp;": "&amp;O704&amp;" ("&amp;M704&amp;")")</f>
        <v>Clear Battle at Mount Adolla: Standard (The Imperial Onslaught)</v>
      </c>
      <c r="H704" s="79" t="s">
        <v>137</v>
      </c>
      <c r="I704" t="s">
        <v>137</v>
      </c>
      <c r="J704" s="70">
        <v>4</v>
      </c>
      <c r="K704" s="118">
        <v>43370</v>
      </c>
      <c r="L704" t="s">
        <v>18054</v>
      </c>
      <c r="M704" t="s">
        <v>13954</v>
      </c>
      <c r="N704" t="s">
        <v>19219</v>
      </c>
      <c r="O704" t="s">
        <v>18054</v>
      </c>
      <c r="P704">
        <v>2</v>
      </c>
      <c r="Q704" t="s">
        <v>19220</v>
      </c>
    </row>
    <row r="705" spans="1:17" x14ac:dyDescent="0.2">
      <c r="A705" s="70" t="s">
        <v>14415</v>
      </c>
      <c r="B705" s="92" t="s">
        <v>20163</v>
      </c>
      <c r="C705" s="92" t="s">
        <v>14416</v>
      </c>
      <c r="D705" s="117" t="s">
        <v>20414</v>
      </c>
      <c r="E705" s="70">
        <v>400056</v>
      </c>
      <c r="F705" s="79" t="s">
        <v>137</v>
      </c>
      <c r="G705" t="str">
        <f>IF(O705="","Clear "&amp;N705&amp;" ("&amp;M705&amp;")","Clear "&amp;N705&amp;": "&amp;O705&amp;" ("&amp;M705&amp;")")</f>
        <v>Clear Battle in the Dornith Mountains: Standard (The Imperial Onslaught)</v>
      </c>
      <c r="H705" s="79" t="s">
        <v>137</v>
      </c>
      <c r="I705" t="s">
        <v>137</v>
      </c>
      <c r="J705" s="70">
        <v>4</v>
      </c>
      <c r="K705" s="118">
        <v>43370</v>
      </c>
      <c r="L705" t="s">
        <v>18054</v>
      </c>
      <c r="M705" t="s">
        <v>13954</v>
      </c>
      <c r="N705" t="s">
        <v>19243</v>
      </c>
      <c r="O705" t="s">
        <v>18054</v>
      </c>
      <c r="P705">
        <v>2</v>
      </c>
      <c r="Q705" t="s">
        <v>19244</v>
      </c>
    </row>
    <row r="706" spans="1:17" x14ac:dyDescent="0.2">
      <c r="A706" s="70" t="s">
        <v>14418</v>
      </c>
      <c r="B706" s="92" t="s">
        <v>20163</v>
      </c>
      <c r="C706" s="92" t="s">
        <v>14419</v>
      </c>
      <c r="D706" s="117" t="s">
        <v>20415</v>
      </c>
      <c r="E706" s="70">
        <v>400057</v>
      </c>
      <c r="F706" s="79" t="s">
        <v>137</v>
      </c>
      <c r="G706" t="str">
        <f>IF(O706="","Clear "&amp;N706&amp;" ("&amp;M706&amp;")","Clear "&amp;N706&amp;": "&amp;O706&amp;" ("&amp;M706&amp;")")</f>
        <v>Clear Battle in Rovetelle Forest: Standard (The Imperial Onslaught)</v>
      </c>
      <c r="H706" s="79" t="s">
        <v>137</v>
      </c>
      <c r="I706" t="s">
        <v>137</v>
      </c>
      <c r="J706" s="70">
        <v>4</v>
      </c>
      <c r="K706" s="118">
        <v>43370</v>
      </c>
      <c r="L706" t="s">
        <v>18054</v>
      </c>
      <c r="M706" t="s">
        <v>13954</v>
      </c>
      <c r="N706" t="s">
        <v>19235</v>
      </c>
      <c r="O706" t="s">
        <v>18054</v>
      </c>
      <c r="P706">
        <v>2</v>
      </c>
      <c r="Q706" t="s">
        <v>19236</v>
      </c>
    </row>
    <row r="707" spans="1:17" x14ac:dyDescent="0.2">
      <c r="A707" s="70" t="s">
        <v>14421</v>
      </c>
      <c r="B707" s="92" t="s">
        <v>20163</v>
      </c>
      <c r="C707" s="92" t="s">
        <v>14422</v>
      </c>
      <c r="D707" s="117" t="s">
        <v>20416</v>
      </c>
      <c r="E707" s="70">
        <v>400058</v>
      </c>
      <c r="F707" s="79" t="s">
        <v>137</v>
      </c>
      <c r="G707" t="str">
        <f>IF(O707="","Clear "&amp;N707&amp;" ("&amp;M707&amp;")","Clear "&amp;N707&amp;": "&amp;O707&amp;" ("&amp;M707&amp;")")</f>
        <v>Clear Battle at the Wartarch Ruins: Standard (The Imperial Onslaught)</v>
      </c>
      <c r="H707" s="79" t="s">
        <v>137</v>
      </c>
      <c r="I707" t="s">
        <v>137</v>
      </c>
      <c r="J707" s="70">
        <v>4</v>
      </c>
      <c r="K707" s="118">
        <v>43370</v>
      </c>
      <c r="L707" t="s">
        <v>18054</v>
      </c>
      <c r="M707" t="s">
        <v>13954</v>
      </c>
      <c r="N707" t="s">
        <v>19251</v>
      </c>
      <c r="O707" t="s">
        <v>18054</v>
      </c>
      <c r="P707">
        <v>2</v>
      </c>
      <c r="Q707" t="s">
        <v>19252</v>
      </c>
    </row>
    <row r="708" spans="1:17" x14ac:dyDescent="0.2">
      <c r="A708" s="70" t="s">
        <v>14424</v>
      </c>
      <c r="B708" s="92" t="s">
        <v>20163</v>
      </c>
      <c r="C708" s="92" t="s">
        <v>14425</v>
      </c>
      <c r="D708" s="117" t="s">
        <v>20417</v>
      </c>
      <c r="E708" s="70">
        <v>400059</v>
      </c>
      <c r="F708" s="79" t="s">
        <v>137</v>
      </c>
      <c r="G708" t="str">
        <f>IF(O708="","Clear "&amp;N708&amp;" ("&amp;M708&amp;")","Clear "&amp;N708&amp;": "&amp;O708&amp;" ("&amp;M708&amp;")")</f>
        <v>Clear Battle at Myriage Lake: Standard (The Imperial Onslaught)</v>
      </c>
      <c r="H708" s="79" t="s">
        <v>137</v>
      </c>
      <c r="I708" t="s">
        <v>137</v>
      </c>
      <c r="J708" s="70">
        <v>4</v>
      </c>
      <c r="K708" s="118">
        <v>43370</v>
      </c>
      <c r="L708" t="s">
        <v>18054</v>
      </c>
      <c r="M708" t="s">
        <v>13954</v>
      </c>
      <c r="N708" t="s">
        <v>19227</v>
      </c>
      <c r="O708" t="s">
        <v>18054</v>
      </c>
      <c r="P708">
        <v>2</v>
      </c>
      <c r="Q708" t="s">
        <v>19228</v>
      </c>
    </row>
    <row r="709" spans="1:17" x14ac:dyDescent="0.2">
      <c r="A709" s="70" t="s">
        <v>14427</v>
      </c>
      <c r="B709" s="92" t="s">
        <v>20163</v>
      </c>
      <c r="C709" s="92" t="s">
        <v>14428</v>
      </c>
      <c r="D709" s="117" t="s">
        <v>20418</v>
      </c>
      <c r="E709" s="70">
        <v>400053</v>
      </c>
      <c r="F709" s="79" t="s">
        <v>137</v>
      </c>
      <c r="G709" t="str">
        <f>IF(O709="",N709&amp;" ("&amp;M709&amp;")",N709&amp;": "&amp;O709&amp;" ("&amp;M709&amp;")")</f>
        <v>Participate in the Event (Loyalty's Requiem)</v>
      </c>
      <c r="H709" s="79" t="s">
        <v>137</v>
      </c>
      <c r="I709" t="s">
        <v>137</v>
      </c>
      <c r="J709" s="70">
        <v>4</v>
      </c>
      <c r="K709" s="118">
        <v>43377</v>
      </c>
      <c r="L709" t="s">
        <v>18017</v>
      </c>
      <c r="M709" t="s">
        <v>13959</v>
      </c>
      <c r="N709" t="s">
        <v>19688</v>
      </c>
      <c r="Q709" t="s">
        <v>20419</v>
      </c>
    </row>
    <row r="710" spans="1:17" x14ac:dyDescent="0.2">
      <c r="A710" s="70" t="s">
        <v>14429</v>
      </c>
      <c r="B710" s="92" t="s">
        <v>20163</v>
      </c>
      <c r="C710" s="92" t="s">
        <v>14430</v>
      </c>
      <c r="D710" s="117" t="s">
        <v>20420</v>
      </c>
      <c r="E710" s="70">
        <v>400060</v>
      </c>
      <c r="F710" s="79" t="s">
        <v>137</v>
      </c>
      <c r="G710" t="str">
        <f>"Clear "&amp;N710&amp;": "&amp;O710</f>
        <v>Clear Brunhilda's Trial: Expert</v>
      </c>
      <c r="H710" s="79" t="s">
        <v>137</v>
      </c>
      <c r="I710" t="s">
        <v>137</v>
      </c>
      <c r="J710" s="84">
        <v>4</v>
      </c>
      <c r="K710" s="118">
        <v>43377</v>
      </c>
      <c r="L710" t="s">
        <v>18054</v>
      </c>
      <c r="M710" t="s">
        <v>13994</v>
      </c>
      <c r="N710" t="s">
        <v>19204</v>
      </c>
      <c r="O710" t="s">
        <v>18033</v>
      </c>
      <c r="P710">
        <v>3</v>
      </c>
      <c r="Q710" t="s">
        <v>19206</v>
      </c>
    </row>
    <row r="711" spans="1:17" x14ac:dyDescent="0.2">
      <c r="A711" s="70" t="s">
        <v>14431</v>
      </c>
      <c r="B711" s="92" t="s">
        <v>20163</v>
      </c>
      <c r="C711" s="92" t="s">
        <v>14432</v>
      </c>
      <c r="D711" s="117" t="s">
        <v>20421</v>
      </c>
      <c r="E711" s="70">
        <v>400061</v>
      </c>
      <c r="F711" s="79" t="s">
        <v>137</v>
      </c>
      <c r="G711" t="str">
        <f>IF(O711="","Clear "&amp;N711&amp;" ("&amp;M711&amp;")","Clear "&amp;N711&amp;": "&amp;O711&amp;" ("&amp;M711&amp;")")</f>
        <v>Clear Lantern o' Laughs (Trick or Treasure!)</v>
      </c>
      <c r="H711" s="79" t="s">
        <v>137</v>
      </c>
      <c r="I711" t="s">
        <v>137</v>
      </c>
      <c r="J711" s="70">
        <v>4</v>
      </c>
      <c r="K711" s="118">
        <v>43390</v>
      </c>
      <c r="L711" t="s">
        <v>18046</v>
      </c>
      <c r="M711" t="s">
        <v>13967</v>
      </c>
      <c r="N711" t="s">
        <v>18050</v>
      </c>
      <c r="P711">
        <v>1</v>
      </c>
      <c r="Q711" t="s">
        <v>18049</v>
      </c>
    </row>
    <row r="712" spans="1:17" x14ac:dyDescent="0.2">
      <c r="A712" s="70" t="s">
        <v>14434</v>
      </c>
      <c r="B712" s="92" t="s">
        <v>20163</v>
      </c>
      <c r="C712" s="92" t="s">
        <v>14435</v>
      </c>
      <c r="D712" s="117" t="s">
        <v>20422</v>
      </c>
      <c r="E712" s="70">
        <v>400100</v>
      </c>
      <c r="F712" s="79" t="s">
        <v>137</v>
      </c>
      <c r="G712" t="str">
        <f>"Clear "&amp;N712&amp;": "&amp;O712</f>
        <v>Clear Zodiark's Trial: Expert</v>
      </c>
      <c r="H712" s="79" t="s">
        <v>137</v>
      </c>
      <c r="I712" t="s">
        <v>137</v>
      </c>
      <c r="J712" s="84">
        <v>4</v>
      </c>
      <c r="K712" s="118">
        <v>43404</v>
      </c>
      <c r="L712" t="s">
        <v>18054</v>
      </c>
      <c r="M712" t="s">
        <v>13994</v>
      </c>
      <c r="N712" t="s">
        <v>19214</v>
      </c>
      <c r="O712" t="s">
        <v>18033</v>
      </c>
      <c r="P712">
        <v>3</v>
      </c>
      <c r="Q712" t="s">
        <v>19216</v>
      </c>
    </row>
    <row r="713" spans="1:17" x14ac:dyDescent="0.2">
      <c r="A713" s="70" t="s">
        <v>14437</v>
      </c>
      <c r="B713" s="92" t="s">
        <v>20163</v>
      </c>
      <c r="C713" s="92" t="s">
        <v>14438</v>
      </c>
      <c r="D713" s="117" t="s">
        <v>20423</v>
      </c>
      <c r="E713" s="70">
        <v>400102</v>
      </c>
      <c r="F713" s="79" t="s">
        <v>137</v>
      </c>
      <c r="G713" t="str">
        <f>IF(O713="",N713&amp;" ("&amp;M713&amp;")",N713&amp;": "&amp;O713&amp;" ("&amp;M713&amp;")")</f>
        <v>Participate in the Event (Kindness and Captivity)</v>
      </c>
      <c r="H713" s="79" t="s">
        <v>137</v>
      </c>
      <c r="I713" t="s">
        <v>137</v>
      </c>
      <c r="J713" s="70">
        <v>4</v>
      </c>
      <c r="K713" s="118">
        <v>43404</v>
      </c>
      <c r="L713" t="s">
        <v>18017</v>
      </c>
      <c r="M713" t="s">
        <v>13976</v>
      </c>
      <c r="N713" t="s">
        <v>19688</v>
      </c>
      <c r="Q713" t="s">
        <v>20424</v>
      </c>
    </row>
    <row r="714" spans="1:17" x14ac:dyDescent="0.2">
      <c r="A714" s="70" t="s">
        <v>14439</v>
      </c>
      <c r="B714" s="92" t="s">
        <v>20163</v>
      </c>
      <c r="C714" s="92" t="s">
        <v>14440</v>
      </c>
      <c r="D714" s="117" t="s">
        <v>20425</v>
      </c>
      <c r="E714" s="70">
        <v>400105</v>
      </c>
      <c r="F714" s="79" t="s">
        <v>137</v>
      </c>
      <c r="G714" t="str">
        <f>IF(O714="","Clear "&amp;N714&amp;" ("&amp;M714&amp;")","Clear "&amp;N714&amp;": "&amp;O714&amp;" ("&amp;M714&amp;")")</f>
        <v>Clear Fiend Alert!: Beginner (A Wish to the Winds)</v>
      </c>
      <c r="H714" s="79" t="s">
        <v>137</v>
      </c>
      <c r="I714" t="s">
        <v>137</v>
      </c>
      <c r="J714" s="84">
        <v>4</v>
      </c>
      <c r="K714" s="118">
        <v>43419</v>
      </c>
      <c r="L714" t="s">
        <v>18046</v>
      </c>
      <c r="M714" t="s">
        <v>13983</v>
      </c>
      <c r="N714" t="s">
        <v>18088</v>
      </c>
      <c r="O714" t="s">
        <v>18031</v>
      </c>
      <c r="P714">
        <v>1</v>
      </c>
      <c r="Q714" t="s">
        <v>18087</v>
      </c>
    </row>
    <row r="715" spans="1:17" x14ac:dyDescent="0.2">
      <c r="A715" s="70" t="s">
        <v>14441</v>
      </c>
      <c r="B715" s="92" t="s">
        <v>20163</v>
      </c>
      <c r="C715" s="92" t="s">
        <v>14442</v>
      </c>
      <c r="D715" s="117" t="s">
        <v>20426</v>
      </c>
      <c r="E715" s="70">
        <v>400112</v>
      </c>
      <c r="F715" s="79" t="s">
        <v>137</v>
      </c>
      <c r="G715" t="str">
        <f>"Clear "&amp;N715&amp;": "&amp;O715</f>
        <v>Clear Lightsunder Ruins: Standard</v>
      </c>
      <c r="H715" s="79" t="s">
        <v>137</v>
      </c>
      <c r="I715" t="s">
        <v>137</v>
      </c>
      <c r="J715" s="70">
        <v>4</v>
      </c>
      <c r="K715" s="118">
        <v>43434</v>
      </c>
      <c r="L715" t="s">
        <v>18054</v>
      </c>
      <c r="M715" t="s">
        <v>14035</v>
      </c>
      <c r="N715" t="s">
        <v>19182</v>
      </c>
      <c r="O715" t="s">
        <v>18054</v>
      </c>
      <c r="P715">
        <v>2</v>
      </c>
      <c r="Q715" t="s">
        <v>19183</v>
      </c>
    </row>
    <row r="716" spans="1:17" x14ac:dyDescent="0.2">
      <c r="A716" s="70" t="s">
        <v>14443</v>
      </c>
      <c r="B716" s="92" t="s">
        <v>20163</v>
      </c>
      <c r="C716" s="92" t="s">
        <v>14444</v>
      </c>
      <c r="D716" s="117" t="s">
        <v>20427</v>
      </c>
      <c r="E716" s="70">
        <v>400114</v>
      </c>
      <c r="F716" s="79" t="s">
        <v>137</v>
      </c>
      <c r="G716" t="str">
        <f>IF(O716="",N716&amp;" ("&amp;M716&amp;")",N716&amp;": "&amp;O716&amp;" ("&amp;M716&amp;")")</f>
        <v>Participate in the Event (Resplendent Refrain)</v>
      </c>
      <c r="H716" s="79" t="s">
        <v>137</v>
      </c>
      <c r="I716" t="s">
        <v>137</v>
      </c>
      <c r="J716" s="70">
        <v>4</v>
      </c>
      <c r="K716" s="118">
        <v>43434</v>
      </c>
      <c r="L716" t="s">
        <v>18017</v>
      </c>
      <c r="M716" t="s">
        <v>13990</v>
      </c>
      <c r="N716" t="s">
        <v>19688</v>
      </c>
      <c r="Q716" t="s">
        <v>20428</v>
      </c>
    </row>
    <row r="717" spans="1:17" x14ac:dyDescent="0.2">
      <c r="A717" s="70" t="s">
        <v>14445</v>
      </c>
      <c r="B717" s="92" t="s">
        <v>20163</v>
      </c>
      <c r="C717" s="92" t="s">
        <v>14446</v>
      </c>
      <c r="D717" s="117" t="s">
        <v>20429</v>
      </c>
      <c r="E717" s="70">
        <v>400116</v>
      </c>
      <c r="F717" s="79" t="s">
        <v>137</v>
      </c>
      <c r="G717" t="str">
        <f>IF(O717="",N717&amp;" ("&amp;M717&amp;")",N717&amp;": "&amp;O717&amp;" ("&amp;M717&amp;")")</f>
        <v>Read Episode 5 of the Event Story	 (The Miracle of Dragonyule)</v>
      </c>
      <c r="H717" s="79" t="s">
        <v>137</v>
      </c>
      <c r="I717" t="s">
        <v>137</v>
      </c>
      <c r="J717" s="70">
        <v>4</v>
      </c>
      <c r="K717" s="118">
        <v>43451</v>
      </c>
      <c r="L717" t="s">
        <v>18046</v>
      </c>
      <c r="M717" t="s">
        <v>14001</v>
      </c>
      <c r="N717" t="s">
        <v>20228</v>
      </c>
      <c r="Q717" t="s">
        <v>19773</v>
      </c>
    </row>
    <row r="718" spans="1:17" x14ac:dyDescent="0.2">
      <c r="A718" s="70" t="s">
        <v>14447</v>
      </c>
      <c r="B718" s="92" t="s">
        <v>20163</v>
      </c>
      <c r="C718" s="92" t="s">
        <v>14448</v>
      </c>
      <c r="D718" s="117" t="s">
        <v>20430</v>
      </c>
      <c r="E718" s="70">
        <v>400126</v>
      </c>
      <c r="F718" s="79" t="s">
        <v>137</v>
      </c>
      <c r="G718" t="str">
        <f>IF(O718="","Clear "&amp;N718&amp;" ("&amp;M718&amp;")","Clear "&amp;N718&amp;": "&amp;O718&amp;" ("&amp;M718&amp;")")</f>
        <v>Clear Shishimai Showdown: Beginner (Fortune from Afar)</v>
      </c>
      <c r="H718" s="79" t="s">
        <v>137</v>
      </c>
      <c r="I718" t="s">
        <v>137</v>
      </c>
      <c r="J718" s="70">
        <v>4</v>
      </c>
      <c r="K718" s="118">
        <v>43465</v>
      </c>
      <c r="L718" t="s">
        <v>18017</v>
      </c>
      <c r="M718" t="s">
        <v>18124</v>
      </c>
      <c r="N718" t="s">
        <v>18139</v>
      </c>
      <c r="O718" t="s">
        <v>18031</v>
      </c>
      <c r="P718">
        <v>1</v>
      </c>
      <c r="Q718" t="s">
        <v>18138</v>
      </c>
    </row>
    <row r="719" spans="1:17" x14ac:dyDescent="0.2">
      <c r="A719" s="70" t="s">
        <v>14449</v>
      </c>
      <c r="B719" s="92" t="s">
        <v>20163</v>
      </c>
      <c r="C719" s="92" t="s">
        <v>14450</v>
      </c>
      <c r="D719" s="117" t="s">
        <v>20431</v>
      </c>
      <c r="E719" s="70">
        <v>400127</v>
      </c>
      <c r="F719" s="79" t="s">
        <v>137</v>
      </c>
      <c r="G719" t="str">
        <f>IF(O719="",N719&amp;" ("&amp;M719&amp;")",N719&amp;": "&amp;O719&amp;" ("&amp;M719&amp;")")</f>
        <v>Participate in the Event (Fortune from Afar)</v>
      </c>
      <c r="H719" s="79" t="s">
        <v>137</v>
      </c>
      <c r="I719" t="s">
        <v>137</v>
      </c>
      <c r="J719" s="70">
        <v>4</v>
      </c>
      <c r="K719" s="118">
        <v>43465</v>
      </c>
      <c r="L719" t="s">
        <v>18017</v>
      </c>
      <c r="M719" t="s">
        <v>18124</v>
      </c>
      <c r="N719" t="s">
        <v>19688</v>
      </c>
      <c r="Q719" t="s">
        <v>20432</v>
      </c>
    </row>
    <row r="720" spans="1:17" x14ac:dyDescent="0.2">
      <c r="A720" s="70" t="s">
        <v>14451</v>
      </c>
      <c r="B720" s="92" t="s">
        <v>20163</v>
      </c>
      <c r="C720" s="92" t="s">
        <v>14452</v>
      </c>
      <c r="D720" s="117" t="s">
        <v>20433</v>
      </c>
      <c r="E720" s="70">
        <v>400090</v>
      </c>
      <c r="F720" s="79" t="s">
        <v>137</v>
      </c>
      <c r="G720" t="str">
        <f>IF(O720="","Clear "&amp;N720&amp;" ("&amp;M720&amp;")","Clear "&amp;N720&amp;": "&amp;O720&amp;" ("&amp;M720&amp;")")</f>
        <v>Clear Welcome to the Fiend Circus: Beginner (Dream Big Under the Big Top)</v>
      </c>
      <c r="H720" s="79" t="s">
        <v>137</v>
      </c>
      <c r="I720" t="s">
        <v>137</v>
      </c>
      <c r="J720" s="70">
        <v>4</v>
      </c>
      <c r="K720" s="118">
        <v>43480</v>
      </c>
      <c r="L720" t="s">
        <v>18046</v>
      </c>
      <c r="M720" t="s">
        <v>14017</v>
      </c>
      <c r="N720" t="s">
        <v>18149</v>
      </c>
      <c r="O720" t="s">
        <v>18031</v>
      </c>
      <c r="P720">
        <v>1</v>
      </c>
      <c r="Q720" t="s">
        <v>18148</v>
      </c>
    </row>
    <row r="721" spans="1:17" x14ac:dyDescent="0.2">
      <c r="A721" s="70" t="s">
        <v>14453</v>
      </c>
      <c r="B721" s="92" t="s">
        <v>20163</v>
      </c>
      <c r="C721" s="92" t="s">
        <v>14454</v>
      </c>
      <c r="D721" s="117" t="s">
        <v>20434</v>
      </c>
      <c r="E721" s="70">
        <v>400136</v>
      </c>
      <c r="F721" s="79" t="s">
        <v>137</v>
      </c>
      <c r="G721" t="str">
        <f>IF(O721="","Clear "&amp;N721&amp;" ("&amp;M721&amp;")","Clear "&amp;N721&amp;": "&amp;O721&amp;" ("&amp;M721&amp;")")</f>
        <v>Clear Bogged Down (Skyborne Spectacle)</v>
      </c>
      <c r="H721" s="79" t="s">
        <v>137</v>
      </c>
      <c r="I721" t="s">
        <v>137</v>
      </c>
      <c r="J721" s="70">
        <v>4</v>
      </c>
      <c r="K721" s="118">
        <v>43496</v>
      </c>
      <c r="L721" t="s">
        <v>18017</v>
      </c>
      <c r="M721" t="s">
        <v>14028</v>
      </c>
      <c r="N721" t="s">
        <v>18158</v>
      </c>
      <c r="P721">
        <v>1</v>
      </c>
      <c r="Q721" t="s">
        <v>18157</v>
      </c>
    </row>
    <row r="722" spans="1:17" x14ac:dyDescent="0.2">
      <c r="A722" s="70" t="s">
        <v>14455</v>
      </c>
      <c r="B722" s="92" t="s">
        <v>20163</v>
      </c>
      <c r="C722" s="92" t="s">
        <v>14456</v>
      </c>
      <c r="D722" s="117" t="s">
        <v>20435</v>
      </c>
      <c r="E722" s="70">
        <v>400138</v>
      </c>
      <c r="F722" s="79" t="s">
        <v>137</v>
      </c>
      <c r="G722" t="str">
        <f>IF(O722="",N722&amp;" ("&amp;M722&amp;")",N722&amp;": "&amp;O722&amp;" ("&amp;M722&amp;")")</f>
        <v>Participate in the Event (Skyborne Spectacle)</v>
      </c>
      <c r="H722" s="79" t="s">
        <v>137</v>
      </c>
      <c r="I722" t="s">
        <v>137</v>
      </c>
      <c r="J722" s="70">
        <v>4</v>
      </c>
      <c r="K722" s="118">
        <v>43496</v>
      </c>
      <c r="L722" t="s">
        <v>18017</v>
      </c>
      <c r="M722" t="s">
        <v>14028</v>
      </c>
      <c r="N722" t="s">
        <v>19688</v>
      </c>
      <c r="Q722" t="s">
        <v>20436</v>
      </c>
    </row>
    <row r="723" spans="1:17" x14ac:dyDescent="0.2">
      <c r="A723" s="70" t="s">
        <v>14457</v>
      </c>
      <c r="B723" s="92" t="s">
        <v>20163</v>
      </c>
      <c r="C723" s="92" t="s">
        <v>14458</v>
      </c>
      <c r="D723" s="117" t="s">
        <v>20437</v>
      </c>
      <c r="E723" s="70">
        <v>400140</v>
      </c>
      <c r="F723" s="79" t="s">
        <v>137</v>
      </c>
      <c r="G723" t="str">
        <f>N723&amp;" ("&amp;O723&amp;")"</f>
        <v>Obtain From Ch. 16 EX 1 Chest (Hard)</v>
      </c>
      <c r="H723" s="79" t="s">
        <v>137</v>
      </c>
      <c r="I723" t="s">
        <v>137</v>
      </c>
      <c r="J723" s="70">
        <v>4</v>
      </c>
      <c r="K723" s="118">
        <v>43510</v>
      </c>
      <c r="L723" t="s">
        <v>18054</v>
      </c>
      <c r="M723" t="s">
        <v>17513</v>
      </c>
      <c r="N723" t="s">
        <v>20286</v>
      </c>
      <c r="O723" t="s">
        <v>15732</v>
      </c>
      <c r="P723">
        <v>1</v>
      </c>
      <c r="Q723" t="s">
        <v>17839</v>
      </c>
    </row>
    <row r="724" spans="1:17" x14ac:dyDescent="0.2">
      <c r="A724" s="70" t="s">
        <v>14459</v>
      </c>
      <c r="B724" s="92" t="s">
        <v>20163</v>
      </c>
      <c r="C724" s="92" t="s">
        <v>14460</v>
      </c>
      <c r="D724" s="117" t="s">
        <v>20438</v>
      </c>
      <c r="E724" s="70">
        <v>400093</v>
      </c>
      <c r="F724" s="79" t="s">
        <v>137</v>
      </c>
      <c r="G724" t="str">
        <f>IF(O724="","Clear "&amp;N724&amp;" ("&amp;M724&amp;")","Clear "&amp;N724&amp;": "&amp;O724&amp;" ("&amp;M724&amp;")")</f>
        <v>Clear Battle at Myriage Lake: Beginner (The Imperial Onslaught)</v>
      </c>
      <c r="H724" s="79" t="s">
        <v>137</v>
      </c>
      <c r="I724" t="s">
        <v>137</v>
      </c>
      <c r="J724" s="70">
        <v>4</v>
      </c>
      <c r="K724" s="118">
        <v>43524</v>
      </c>
      <c r="L724" t="s">
        <v>18054</v>
      </c>
      <c r="M724" t="s">
        <v>13954</v>
      </c>
      <c r="N724" t="s">
        <v>19227</v>
      </c>
      <c r="O724" t="s">
        <v>18031</v>
      </c>
      <c r="P724">
        <v>1</v>
      </c>
      <c r="Q724" t="s">
        <v>19226</v>
      </c>
    </row>
    <row r="725" spans="1:17" x14ac:dyDescent="0.2">
      <c r="A725" s="70" t="s">
        <v>14461</v>
      </c>
      <c r="B725" s="92" t="s">
        <v>20163</v>
      </c>
      <c r="C725" s="92" t="s">
        <v>14462</v>
      </c>
      <c r="D725" s="117" t="s">
        <v>20439</v>
      </c>
      <c r="E725" s="70">
        <v>400152</v>
      </c>
      <c r="F725" s="79" t="s">
        <v>137</v>
      </c>
      <c r="G725" t="str">
        <f>IF(O725="",N725&amp;" ("&amp;M725&amp;")",N725&amp;": "&amp;O725&amp;" ("&amp;M725&amp;")")</f>
        <v>Participate in the Event (A Waltz with Fate)</v>
      </c>
      <c r="H725" s="79" t="s">
        <v>137</v>
      </c>
      <c r="I725" t="s">
        <v>137</v>
      </c>
      <c r="J725" s="84">
        <v>4</v>
      </c>
      <c r="K725" s="118">
        <v>43524</v>
      </c>
      <c r="L725" t="s">
        <v>18017</v>
      </c>
      <c r="M725" t="s">
        <v>14057</v>
      </c>
      <c r="N725" t="s">
        <v>19688</v>
      </c>
      <c r="Q725" t="s">
        <v>20440</v>
      </c>
    </row>
    <row r="726" spans="1:17" x14ac:dyDescent="0.2">
      <c r="A726" s="70" t="s">
        <v>14463</v>
      </c>
      <c r="B726" s="92" t="s">
        <v>20163</v>
      </c>
      <c r="C726" s="92" t="s">
        <v>14464</v>
      </c>
      <c r="D726" s="117" t="s">
        <v>20441</v>
      </c>
      <c r="E726" s="70">
        <v>400119</v>
      </c>
      <c r="F726" s="79" t="s">
        <v>137</v>
      </c>
      <c r="G726" t="str">
        <f>IF(O726="","Clear "&amp;N726&amp;" ("&amp;M726&amp;")","Clear "&amp;N726&amp;": "&amp;O726&amp;" ("&amp;M726&amp;")")</f>
        <v>Clear The Crawling Nightmare: Standard (The Accursed Archives)</v>
      </c>
      <c r="H726" s="79" t="s">
        <v>137</v>
      </c>
      <c r="I726" t="s">
        <v>137</v>
      </c>
      <c r="J726" s="70">
        <v>4</v>
      </c>
      <c r="K726" s="118">
        <v>43536</v>
      </c>
      <c r="L726" t="s">
        <v>18046</v>
      </c>
      <c r="M726" t="s">
        <v>14060</v>
      </c>
      <c r="N726" t="s">
        <v>18223</v>
      </c>
      <c r="O726" t="s">
        <v>18054</v>
      </c>
      <c r="P726">
        <v>2</v>
      </c>
      <c r="Q726" t="s">
        <v>18224</v>
      </c>
    </row>
    <row r="727" spans="1:17" x14ac:dyDescent="0.2">
      <c r="A727" s="70" t="s">
        <v>14465</v>
      </c>
      <c r="B727" s="92" t="s">
        <v>20163</v>
      </c>
      <c r="C727" s="92" t="s">
        <v>14466</v>
      </c>
      <c r="D727" s="117" t="s">
        <v>20442</v>
      </c>
      <c r="E727" s="70">
        <v>400174</v>
      </c>
      <c r="F727" s="79" t="s">
        <v>137</v>
      </c>
      <c r="G727" t="str">
        <f>IF(O727="","Clear "&amp;N727&amp;" ("&amp;M727&amp;")","Clear "&amp;N727&amp;": "&amp;O727&amp;" ("&amp;M727&amp;")")</f>
        <v>Clear The Vernal Games Warm-Ups: Standard (The Hunt for Harmony)</v>
      </c>
      <c r="H727" s="79" t="s">
        <v>137</v>
      </c>
      <c r="I727" t="s">
        <v>137</v>
      </c>
      <c r="J727" s="70">
        <v>4</v>
      </c>
      <c r="K727" s="118">
        <v>43555</v>
      </c>
      <c r="L727" t="s">
        <v>18046</v>
      </c>
      <c r="M727" t="s">
        <v>14065</v>
      </c>
      <c r="N727" t="s">
        <v>18234</v>
      </c>
      <c r="O727" t="s">
        <v>18054</v>
      </c>
      <c r="P727">
        <v>2</v>
      </c>
      <c r="Q727" t="s">
        <v>18235</v>
      </c>
    </row>
    <row r="728" spans="1:17" x14ac:dyDescent="0.2">
      <c r="A728" s="70" t="s">
        <v>14467</v>
      </c>
      <c r="B728" s="92" t="s">
        <v>20163</v>
      </c>
      <c r="C728" s="92" t="s">
        <v>14468</v>
      </c>
      <c r="D728" s="117" t="s">
        <v>20443</v>
      </c>
      <c r="E728" s="70">
        <v>400293</v>
      </c>
      <c r="F728" s="79" t="s">
        <v>137</v>
      </c>
      <c r="G728" t="str">
        <f>IF(O728="","Clear "&amp;N728&amp;" ("&amp;M728&amp;")","Clear "&amp;N728&amp;": "&amp;O728&amp;" ("&amp;M728&amp;")")</f>
        <v>Clear Repel the Empire: Lunatic (Fire Emblem: Lost Heroes)</v>
      </c>
      <c r="H728" s="79" t="s">
        <v>137</v>
      </c>
      <c r="I728" t="s">
        <v>137</v>
      </c>
      <c r="J728" s="70">
        <v>4</v>
      </c>
      <c r="K728" s="118">
        <v>43581</v>
      </c>
      <c r="L728" t="s">
        <v>18241</v>
      </c>
      <c r="M728" t="s">
        <v>18242</v>
      </c>
      <c r="N728" t="s">
        <v>18250</v>
      </c>
      <c r="O728" t="s">
        <v>18253</v>
      </c>
      <c r="P728">
        <v>3</v>
      </c>
      <c r="Q728" t="s">
        <v>18252</v>
      </c>
    </row>
    <row r="729" spans="1:17" x14ac:dyDescent="0.2">
      <c r="A729" s="70" t="s">
        <v>14469</v>
      </c>
      <c r="B729" s="92" t="s">
        <v>20163</v>
      </c>
      <c r="C729" s="92" t="s">
        <v>14470</v>
      </c>
      <c r="D729" s="117" t="s">
        <v>20444</v>
      </c>
      <c r="E729" s="70">
        <v>400054</v>
      </c>
      <c r="F729" s="79" t="s">
        <v>137</v>
      </c>
      <c r="G729" t="str">
        <f>N729&amp;" ("&amp;O729&amp;")"</f>
        <v>Obtain From Ch. 08 EX 1 Chest (Very Hard)</v>
      </c>
      <c r="H729" s="79" t="s">
        <v>137</v>
      </c>
      <c r="I729" t="s">
        <v>137</v>
      </c>
      <c r="J729" s="70">
        <v>4</v>
      </c>
      <c r="K729" s="118">
        <v>43599</v>
      </c>
      <c r="L729" t="s">
        <v>18054</v>
      </c>
      <c r="M729" t="s">
        <v>17513</v>
      </c>
      <c r="N729" t="s">
        <v>20445</v>
      </c>
      <c r="O729" t="s">
        <v>15733</v>
      </c>
      <c r="P729">
        <v>1</v>
      </c>
      <c r="Q729" t="s">
        <v>17689</v>
      </c>
    </row>
    <row r="730" spans="1:17" x14ac:dyDescent="0.2">
      <c r="A730" s="70" t="s">
        <v>14471</v>
      </c>
      <c r="B730" s="92" t="s">
        <v>20163</v>
      </c>
      <c r="C730" s="92" t="s">
        <v>14472</v>
      </c>
      <c r="D730" s="117" t="s">
        <v>20446</v>
      </c>
      <c r="E730" s="70">
        <v>400085</v>
      </c>
      <c r="F730" s="79" t="s">
        <v>137</v>
      </c>
      <c r="G730" t="str">
        <f>"Clear "&amp;N730&amp;": "&amp;O730</f>
        <v>Clear Avenue to Fortune: Standard</v>
      </c>
      <c r="H730" s="79" t="s">
        <v>137</v>
      </c>
      <c r="I730" t="s">
        <v>137</v>
      </c>
      <c r="J730" s="84">
        <v>4</v>
      </c>
      <c r="K730" s="118">
        <v>43616</v>
      </c>
      <c r="L730" t="s">
        <v>18054</v>
      </c>
      <c r="M730" t="s">
        <v>14970</v>
      </c>
      <c r="N730" t="s">
        <v>19162</v>
      </c>
      <c r="O730" t="s">
        <v>18054</v>
      </c>
      <c r="P730">
        <v>2</v>
      </c>
      <c r="Q730" t="s">
        <v>19163</v>
      </c>
    </row>
    <row r="731" spans="1:17" x14ac:dyDescent="0.2">
      <c r="A731" s="70" t="s">
        <v>14473</v>
      </c>
      <c r="B731" s="92" t="s">
        <v>20163</v>
      </c>
      <c r="C731" s="92" t="s">
        <v>14474</v>
      </c>
      <c r="D731" s="117" t="s">
        <v>20447</v>
      </c>
      <c r="E731" s="70">
        <v>400171</v>
      </c>
      <c r="F731" s="79" t="s">
        <v>137</v>
      </c>
      <c r="G731" t="str">
        <f>IF(O731="",N731&amp;" ("&amp;M731&amp;")",N731&amp;": "&amp;O731&amp;" ("&amp;M731&amp;")")</f>
        <v>Participate in the Event (Echoes of Antiquity)</v>
      </c>
      <c r="H731" s="79" t="s">
        <v>137</v>
      </c>
      <c r="I731" t="s">
        <v>137</v>
      </c>
      <c r="J731" s="70">
        <v>4</v>
      </c>
      <c r="K731" s="118">
        <v>43616</v>
      </c>
      <c r="L731" t="s">
        <v>18017</v>
      </c>
      <c r="M731" t="s">
        <v>14476</v>
      </c>
      <c r="N731" t="s">
        <v>19688</v>
      </c>
      <c r="Q731" t="s">
        <v>20448</v>
      </c>
    </row>
    <row r="732" spans="1:17" x14ac:dyDescent="0.2">
      <c r="A732" s="70" t="s">
        <v>14477</v>
      </c>
      <c r="B732" s="92" t="s">
        <v>20163</v>
      </c>
      <c r="C732" s="92" t="s">
        <v>14478</v>
      </c>
      <c r="D732" s="117" t="s">
        <v>20449</v>
      </c>
      <c r="E732" s="70">
        <v>400282</v>
      </c>
      <c r="F732" s="79" t="s">
        <v>137</v>
      </c>
      <c r="G732" t="str">
        <f>IF(O732="",N732&amp;" ("&amp;M732&amp;")",N732&amp;": "&amp;O732&amp;" ("&amp;M732&amp;")")</f>
        <v>Unlock 50 Mana Nodes for a Flame-Attuned Adventurer (SPECIAL)</v>
      </c>
      <c r="H732" s="79" t="s">
        <v>137</v>
      </c>
      <c r="I732" t="s">
        <v>137</v>
      </c>
      <c r="J732" s="70">
        <v>4</v>
      </c>
      <c r="K732" s="118">
        <v>43636</v>
      </c>
      <c r="M732" t="s">
        <v>20400</v>
      </c>
      <c r="N732" t="s">
        <v>20450</v>
      </c>
      <c r="Q732" t="s">
        <v>137</v>
      </c>
    </row>
    <row r="733" spans="1:17" x14ac:dyDescent="0.2">
      <c r="A733" s="70" t="s">
        <v>14479</v>
      </c>
      <c r="B733" s="92" t="s">
        <v>20163</v>
      </c>
      <c r="C733" s="92" t="s">
        <v>14480</v>
      </c>
      <c r="D733" s="117" t="s">
        <v>20451</v>
      </c>
      <c r="E733" s="70">
        <v>400335</v>
      </c>
      <c r="F733" s="79" t="s">
        <v>137</v>
      </c>
      <c r="G733" t="str">
        <f>N733&amp;" ("&amp;O733&amp;")"</f>
        <v>Obtain From Ch. 12 EX 1 Chest (Hard)</v>
      </c>
      <c r="H733" s="79" t="s">
        <v>137</v>
      </c>
      <c r="I733" t="s">
        <v>137</v>
      </c>
      <c r="J733" s="70">
        <v>4</v>
      </c>
      <c r="K733" s="118">
        <v>43646</v>
      </c>
      <c r="L733" t="s">
        <v>18054</v>
      </c>
      <c r="M733" t="s">
        <v>17513</v>
      </c>
      <c r="N733" t="s">
        <v>20312</v>
      </c>
      <c r="O733" t="s">
        <v>15732</v>
      </c>
      <c r="P733">
        <v>1</v>
      </c>
      <c r="Q733" t="s">
        <v>17770</v>
      </c>
    </row>
    <row r="734" spans="1:17" x14ac:dyDescent="0.2">
      <c r="A734" s="70" t="s">
        <v>14481</v>
      </c>
      <c r="B734" s="92" t="s">
        <v>20163</v>
      </c>
      <c r="C734" s="92" t="s">
        <v>14482</v>
      </c>
      <c r="D734" s="117" t="s">
        <v>20452</v>
      </c>
      <c r="E734" s="70">
        <v>400095</v>
      </c>
      <c r="F734" s="79" t="s">
        <v>137</v>
      </c>
      <c r="G734" t="str">
        <f>IF(O734="","Clear "&amp;N734&amp;" ("&amp;M734&amp;")","Clear "&amp;N734&amp;": "&amp;O734&amp;" ("&amp;M734&amp;")")</f>
        <v>Clear Arctos's Trial: Standard (Flames of Reflection)</v>
      </c>
      <c r="H734" s="79" t="s">
        <v>137</v>
      </c>
      <c r="I734" t="s">
        <v>137</v>
      </c>
      <c r="J734" s="70">
        <v>4</v>
      </c>
      <c r="K734" s="118">
        <v>43657</v>
      </c>
      <c r="L734" t="s">
        <v>18046</v>
      </c>
      <c r="M734" t="s">
        <v>14095</v>
      </c>
      <c r="N734" t="s">
        <v>18288</v>
      </c>
      <c r="O734" t="s">
        <v>18054</v>
      </c>
      <c r="P734">
        <v>2</v>
      </c>
      <c r="Q734" t="s">
        <v>18289</v>
      </c>
    </row>
    <row r="735" spans="1:17" x14ac:dyDescent="0.2">
      <c r="A735" s="70" t="s">
        <v>14483</v>
      </c>
      <c r="B735" s="92" t="s">
        <v>20163</v>
      </c>
      <c r="C735" s="92" t="s">
        <v>14484</v>
      </c>
      <c r="D735" s="117" t="s">
        <v>20453</v>
      </c>
      <c r="E735" s="70">
        <v>400337</v>
      </c>
      <c r="F735" s="79" t="s">
        <v>137</v>
      </c>
      <c r="G735" t="str">
        <f>IF(O735="","Clear "&amp;N735&amp;" ("&amp;M735&amp;")","Clear "&amp;N735&amp;": "&amp;O735&amp;" ("&amp;M735&amp;")")</f>
        <v>Clear Giant Ember Toad Assault: Beginner (A Splash of Adventure)</v>
      </c>
      <c r="H735" s="79" t="s">
        <v>137</v>
      </c>
      <c r="I735" t="s">
        <v>137</v>
      </c>
      <c r="J735" s="84">
        <v>4</v>
      </c>
      <c r="K735" s="118">
        <v>43677</v>
      </c>
      <c r="L735" t="s">
        <v>18017</v>
      </c>
      <c r="M735" t="s">
        <v>14102</v>
      </c>
      <c r="N735" t="s">
        <v>18299</v>
      </c>
      <c r="O735" t="s">
        <v>18031</v>
      </c>
      <c r="P735">
        <v>1</v>
      </c>
      <c r="Q735" t="s">
        <v>18298</v>
      </c>
    </row>
    <row r="736" spans="1:17" x14ac:dyDescent="0.2">
      <c r="A736" s="70" t="s">
        <v>14485</v>
      </c>
      <c r="B736" s="92" t="s">
        <v>20163</v>
      </c>
      <c r="C736" s="92" t="s">
        <v>14486</v>
      </c>
      <c r="D736" s="117" t="s">
        <v>20454</v>
      </c>
      <c r="E736" s="70">
        <v>400336</v>
      </c>
      <c r="F736" s="79" t="s">
        <v>137</v>
      </c>
      <c r="G736" t="str">
        <f>IF(O736="",N736&amp;" ("&amp;M736&amp;")",N736&amp;": "&amp;O736&amp;" ("&amp;M736&amp;")")</f>
        <v>Participate in the Event (A Splash of Adventure)</v>
      </c>
      <c r="H736" s="79" t="s">
        <v>137</v>
      </c>
      <c r="I736" t="s">
        <v>137</v>
      </c>
      <c r="J736" s="84">
        <v>4</v>
      </c>
      <c r="K736" s="118">
        <v>43677</v>
      </c>
      <c r="L736" t="s">
        <v>18017</v>
      </c>
      <c r="M736" t="s">
        <v>14102</v>
      </c>
      <c r="N736" t="s">
        <v>19688</v>
      </c>
      <c r="Q736" t="s">
        <v>20455</v>
      </c>
    </row>
    <row r="737" spans="1:17" x14ac:dyDescent="0.2">
      <c r="A737" s="70" t="s">
        <v>14488</v>
      </c>
      <c r="B737" s="92" t="s">
        <v>20163</v>
      </c>
      <c r="C737" s="92" t="s">
        <v>14489</v>
      </c>
      <c r="D737" s="117" t="s">
        <v>20456</v>
      </c>
      <c r="E737" s="70">
        <v>400339</v>
      </c>
      <c r="F737" s="79" t="s">
        <v>137</v>
      </c>
      <c r="G737" t="str">
        <f>IF(O737="","Clear "&amp;N737&amp;" ("&amp;M737&amp;")","Clear "&amp;N737&amp;": "&amp;O737&amp;" ("&amp;M737&amp;")")</f>
        <v>Clear A Fiendish Performance: Beginner (A Crescendo of Courage)</v>
      </c>
      <c r="H737" s="79" t="s">
        <v>137</v>
      </c>
      <c r="I737" t="s">
        <v>137</v>
      </c>
      <c r="J737" s="84">
        <v>4</v>
      </c>
      <c r="K737" s="118">
        <v>43690</v>
      </c>
      <c r="L737" t="s">
        <v>18046</v>
      </c>
      <c r="M737" t="s">
        <v>14105</v>
      </c>
      <c r="N737" t="s">
        <v>18314</v>
      </c>
      <c r="O737" t="s">
        <v>18031</v>
      </c>
      <c r="P737">
        <v>1</v>
      </c>
      <c r="Q737" t="s">
        <v>18313</v>
      </c>
    </row>
    <row r="738" spans="1:17" x14ac:dyDescent="0.2">
      <c r="A738" s="70" t="s">
        <v>14490</v>
      </c>
      <c r="B738" s="92" t="s">
        <v>20163</v>
      </c>
      <c r="C738" s="92" t="s">
        <v>14491</v>
      </c>
      <c r="D738" s="117" t="s">
        <v>20457</v>
      </c>
      <c r="E738" s="70">
        <v>400379</v>
      </c>
      <c r="F738" s="79" t="s">
        <v>137</v>
      </c>
      <c r="G738" t="str">
        <f>"Clear "&amp;N738&amp;": "&amp;O738</f>
        <v>Clear Windmaul Ruins: Standard</v>
      </c>
      <c r="H738" s="79" t="s">
        <v>137</v>
      </c>
      <c r="I738" t="s">
        <v>137</v>
      </c>
      <c r="J738" s="70">
        <v>4</v>
      </c>
      <c r="K738" s="118">
        <v>43708</v>
      </c>
      <c r="L738" t="s">
        <v>18054</v>
      </c>
      <c r="M738" t="s">
        <v>14035</v>
      </c>
      <c r="N738" t="s">
        <v>19178</v>
      </c>
      <c r="O738" t="s">
        <v>18054</v>
      </c>
      <c r="P738">
        <v>3</v>
      </c>
      <c r="Q738" t="s">
        <v>19180</v>
      </c>
    </row>
    <row r="739" spans="1:17" x14ac:dyDescent="0.2">
      <c r="A739" s="70" t="s">
        <v>14492</v>
      </c>
      <c r="B739" s="92" t="s">
        <v>20163</v>
      </c>
      <c r="C739" s="92" t="s">
        <v>14493</v>
      </c>
      <c r="D739" s="117" t="s">
        <v>20458</v>
      </c>
      <c r="E739" s="70">
        <v>400381</v>
      </c>
      <c r="F739" s="79" t="s">
        <v>137</v>
      </c>
      <c r="G739" t="str">
        <f>N739&amp;" ("&amp;O739&amp;")"</f>
        <v>Obtain From Ch. 15 EX 1 Chest (Hard)</v>
      </c>
      <c r="H739" s="79" t="s">
        <v>137</v>
      </c>
      <c r="I739" t="s">
        <v>137</v>
      </c>
      <c r="J739" s="70">
        <v>4</v>
      </c>
      <c r="K739" s="118">
        <v>43720</v>
      </c>
      <c r="L739" t="s">
        <v>18054</v>
      </c>
      <c r="M739" t="s">
        <v>17513</v>
      </c>
      <c r="N739" t="s">
        <v>20284</v>
      </c>
      <c r="O739" t="s">
        <v>15732</v>
      </c>
      <c r="P739">
        <v>1</v>
      </c>
      <c r="Q739" t="s">
        <v>17825</v>
      </c>
    </row>
    <row r="740" spans="1:17" x14ac:dyDescent="0.2">
      <c r="A740" s="70" t="s">
        <v>14494</v>
      </c>
      <c r="B740" s="92" t="s">
        <v>20163</v>
      </c>
      <c r="C740" s="92" t="s">
        <v>14495</v>
      </c>
      <c r="D740" s="117" t="s">
        <v>20459</v>
      </c>
      <c r="E740" s="70">
        <v>400387</v>
      </c>
      <c r="F740" s="79" t="s">
        <v>137</v>
      </c>
      <c r="G740" t="str">
        <f>IF(O740="",N740&amp;" ("&amp;M740&amp;")",N740&amp;": "&amp;O740&amp;" ("&amp;M740&amp;")")</f>
        <v>Participate in the Event (Fractured Futures)</v>
      </c>
      <c r="H740" s="79" t="s">
        <v>137</v>
      </c>
      <c r="I740" t="s">
        <v>137</v>
      </c>
      <c r="J740" s="70">
        <v>4</v>
      </c>
      <c r="K740" s="118">
        <v>43738</v>
      </c>
      <c r="L740" t="s">
        <v>18017</v>
      </c>
      <c r="M740" t="s">
        <v>14119</v>
      </c>
      <c r="N740" t="s">
        <v>19688</v>
      </c>
      <c r="Q740" t="s">
        <v>20460</v>
      </c>
    </row>
    <row r="741" spans="1:17" x14ac:dyDescent="0.2">
      <c r="A741" s="70" t="s">
        <v>14496</v>
      </c>
      <c r="B741" s="92" t="s">
        <v>20163</v>
      </c>
      <c r="C741" s="92" t="s">
        <v>14497</v>
      </c>
      <c r="D741" s="117" t="s">
        <v>20461</v>
      </c>
      <c r="E741" s="70">
        <v>400385</v>
      </c>
      <c r="F741" s="79" t="s">
        <v>137</v>
      </c>
      <c r="G741" t="str">
        <f>N741&amp;" ("&amp;O741&amp;")"</f>
        <v>Obtain From Ch. 09 EX 1 Chest (Normal)</v>
      </c>
      <c r="H741" s="79" t="s">
        <v>137</v>
      </c>
      <c r="I741" t="s">
        <v>137</v>
      </c>
      <c r="J741" s="70">
        <v>4</v>
      </c>
      <c r="K741" s="118">
        <v>43742</v>
      </c>
      <c r="L741" t="s">
        <v>18054</v>
      </c>
      <c r="M741" t="s">
        <v>17513</v>
      </c>
      <c r="N741" t="s">
        <v>20200</v>
      </c>
      <c r="O741" t="s">
        <v>15731</v>
      </c>
      <c r="P741">
        <v>1</v>
      </c>
      <c r="Q741" t="s">
        <v>16306</v>
      </c>
    </row>
    <row r="742" spans="1:17" x14ac:dyDescent="0.2">
      <c r="A742" s="70" t="s">
        <v>14498</v>
      </c>
      <c r="B742" s="92" t="s">
        <v>20163</v>
      </c>
      <c r="C742" s="92" t="s">
        <v>14499</v>
      </c>
      <c r="D742" s="117" t="s">
        <v>20462</v>
      </c>
      <c r="E742" s="70">
        <v>400388</v>
      </c>
      <c r="F742" s="79" t="s">
        <v>137</v>
      </c>
      <c r="G742" t="str">
        <f>N742&amp;" ("&amp;O742&amp;")"</f>
        <v>Obtain From Ch. 09 EX 1 Chest (Very Hard)</v>
      </c>
      <c r="H742" s="79" t="s">
        <v>137</v>
      </c>
      <c r="I742" t="s">
        <v>137</v>
      </c>
      <c r="J742" s="70">
        <v>4</v>
      </c>
      <c r="K742" s="118">
        <v>43756</v>
      </c>
      <c r="L742" t="s">
        <v>18054</v>
      </c>
      <c r="M742" t="s">
        <v>17513</v>
      </c>
      <c r="N742" t="s">
        <v>20200</v>
      </c>
      <c r="O742" t="s">
        <v>15733</v>
      </c>
      <c r="P742">
        <v>1</v>
      </c>
      <c r="Q742" t="s">
        <v>17711</v>
      </c>
    </row>
    <row r="743" spans="1:17" x14ac:dyDescent="0.2">
      <c r="A743" s="70" t="s">
        <v>14500</v>
      </c>
      <c r="B743" s="92" t="s">
        <v>20163</v>
      </c>
      <c r="C743" s="92" t="s">
        <v>14501</v>
      </c>
      <c r="D743" s="117" t="s">
        <v>20463</v>
      </c>
      <c r="E743" s="70">
        <v>400390</v>
      </c>
      <c r="F743" s="79" t="s">
        <v>137</v>
      </c>
      <c r="G743" t="str">
        <f>IF(O743="",N743&amp;" ("&amp;M743&amp;")",N743&amp;": "&amp;O743&amp;" ("&amp;M743&amp;")")</f>
        <v>Participate in the Event (Stirring Shadows)</v>
      </c>
      <c r="H743" s="79" t="s">
        <v>137</v>
      </c>
      <c r="I743" t="s">
        <v>137</v>
      </c>
      <c r="J743" s="70">
        <v>4</v>
      </c>
      <c r="K743" s="118">
        <v>43769</v>
      </c>
      <c r="L743" t="s">
        <v>18175</v>
      </c>
      <c r="M743" t="s">
        <v>14130</v>
      </c>
      <c r="N743" t="s">
        <v>19688</v>
      </c>
      <c r="Q743" t="s">
        <v>20464</v>
      </c>
    </row>
    <row r="744" spans="1:17" x14ac:dyDescent="0.2">
      <c r="A744" s="70" t="s">
        <v>14502</v>
      </c>
      <c r="B744" s="92" t="s">
        <v>20163</v>
      </c>
      <c r="C744" s="92" t="s">
        <v>14503</v>
      </c>
      <c r="D744" s="117" t="s">
        <v>20465</v>
      </c>
      <c r="E744" s="70">
        <v>400392</v>
      </c>
      <c r="F744" s="79" t="s">
        <v>137</v>
      </c>
      <c r="G744" t="str">
        <f>IF(O744="","Clear "&amp;N744&amp;" ("&amp;M744&amp;")","Clear "&amp;N744&amp;": "&amp;O744&amp;" ("&amp;M744&amp;")")</f>
        <v>Clear Battle at Mount Adolla: Expert (The Imperial Onslaught)</v>
      </c>
      <c r="H744" s="79" t="s">
        <v>137</v>
      </c>
      <c r="I744" t="s">
        <v>137</v>
      </c>
      <c r="J744" s="70">
        <v>4</v>
      </c>
      <c r="K744" s="118">
        <v>43782</v>
      </c>
      <c r="L744" t="s">
        <v>18054</v>
      </c>
      <c r="M744" t="s">
        <v>13954</v>
      </c>
      <c r="N744" t="s">
        <v>19219</v>
      </c>
      <c r="O744" t="s">
        <v>18033</v>
      </c>
      <c r="P744">
        <v>3</v>
      </c>
      <c r="Q744" t="s">
        <v>19222</v>
      </c>
    </row>
    <row r="745" spans="1:17" x14ac:dyDescent="0.2">
      <c r="A745" s="70" t="s">
        <v>14504</v>
      </c>
      <c r="B745" s="92" t="s">
        <v>20163</v>
      </c>
      <c r="C745" s="92" t="s">
        <v>14505</v>
      </c>
      <c r="D745" s="117" t="s">
        <v>20466</v>
      </c>
      <c r="E745" s="70">
        <v>400396</v>
      </c>
      <c r="F745" s="79" t="s">
        <v>137</v>
      </c>
      <c r="G745" t="str">
        <f>"Clear "&amp;N745&amp;": "&amp;O745</f>
        <v>Clear Midgardsormr's Trial: Expert</v>
      </c>
      <c r="H745" s="79" t="s">
        <v>137</v>
      </c>
      <c r="I745" t="s">
        <v>137</v>
      </c>
      <c r="J745" s="84">
        <v>4</v>
      </c>
      <c r="K745" s="118">
        <v>43801</v>
      </c>
      <c r="L745" t="s">
        <v>18054</v>
      </c>
      <c r="M745" t="s">
        <v>13994</v>
      </c>
      <c r="N745" t="s">
        <v>19190</v>
      </c>
      <c r="O745" t="s">
        <v>18033</v>
      </c>
      <c r="P745">
        <v>3</v>
      </c>
      <c r="Q745" t="s">
        <v>19194</v>
      </c>
    </row>
    <row r="746" spans="1:17" x14ac:dyDescent="0.2">
      <c r="A746" s="70" t="s">
        <v>14507</v>
      </c>
      <c r="B746" s="92" t="s">
        <v>20163</v>
      </c>
      <c r="C746" s="92" t="s">
        <v>14508</v>
      </c>
      <c r="D746" s="117" t="s">
        <v>20467</v>
      </c>
      <c r="E746" s="70">
        <v>400394</v>
      </c>
      <c r="F746" s="79" t="s">
        <v>137</v>
      </c>
      <c r="G746" t="str">
        <f>IF(O746="",N746&amp;" ("&amp;M746&amp;")",N746&amp;": "&amp;O746&amp;" ("&amp;M746&amp;")")</f>
        <v>Read Episode 5 of the Event Story	 (The Miracle of Dragonyule)</v>
      </c>
      <c r="H746" s="79" t="s">
        <v>137</v>
      </c>
      <c r="I746" t="s">
        <v>137</v>
      </c>
      <c r="J746" s="70">
        <v>4</v>
      </c>
      <c r="K746" s="118">
        <v>43811</v>
      </c>
      <c r="L746" t="s">
        <v>18046</v>
      </c>
      <c r="M746" t="s">
        <v>14001</v>
      </c>
      <c r="N746" t="s">
        <v>20228</v>
      </c>
      <c r="Q746" t="s">
        <v>19773</v>
      </c>
    </row>
    <row r="747" spans="1:17" x14ac:dyDescent="0.2">
      <c r="A747" s="70" t="s">
        <v>14509</v>
      </c>
      <c r="B747" s="92" t="s">
        <v>20163</v>
      </c>
      <c r="C747" s="92" t="s">
        <v>14510</v>
      </c>
      <c r="D747" s="117" t="s">
        <v>20468</v>
      </c>
      <c r="E747" s="70">
        <v>400408</v>
      </c>
      <c r="F747" s="79" t="s">
        <v>137</v>
      </c>
      <c r="G747" t="str">
        <f>IF(O747="","Clear "&amp;N747&amp;" ("&amp;M747&amp;")","Clear "&amp;N747&amp;": "&amp;O747&amp;" ("&amp;M747&amp;")")</f>
        <v>Clear Subdue the Snapper!: Expert (A Clawful Caper)</v>
      </c>
      <c r="H747" s="79" t="s">
        <v>137</v>
      </c>
      <c r="I747" t="s">
        <v>137</v>
      </c>
      <c r="J747" s="84">
        <v>4</v>
      </c>
      <c r="K747" s="118">
        <v>43830</v>
      </c>
      <c r="L747" t="s">
        <v>18017</v>
      </c>
      <c r="M747" t="s">
        <v>14158</v>
      </c>
      <c r="N747" t="s">
        <v>18417</v>
      </c>
      <c r="O747" t="s">
        <v>18033</v>
      </c>
      <c r="P747">
        <v>2</v>
      </c>
      <c r="Q747" t="s">
        <v>18418</v>
      </c>
    </row>
    <row r="748" spans="1:17" x14ac:dyDescent="0.2">
      <c r="A748" s="70" t="s">
        <v>14511</v>
      </c>
      <c r="B748" s="92" t="s">
        <v>20163</v>
      </c>
      <c r="C748" s="92" t="s">
        <v>14512</v>
      </c>
      <c r="D748" s="117" t="s">
        <v>20469</v>
      </c>
      <c r="E748" s="70">
        <v>400406</v>
      </c>
      <c r="F748" s="79" t="s">
        <v>137</v>
      </c>
      <c r="G748" t="str">
        <f>IF(O748="",N748&amp;" ("&amp;M748&amp;")",N748&amp;": "&amp;O748&amp;" ("&amp;M748&amp;")")</f>
        <v>Participate in the Event (A Clawful Caper)</v>
      </c>
      <c r="H748" s="79" t="s">
        <v>137</v>
      </c>
      <c r="I748" t="s">
        <v>137</v>
      </c>
      <c r="J748" s="84">
        <v>4</v>
      </c>
      <c r="K748" s="118">
        <v>43830</v>
      </c>
      <c r="L748" t="s">
        <v>18017</v>
      </c>
      <c r="M748" t="s">
        <v>14158</v>
      </c>
      <c r="N748" t="s">
        <v>19688</v>
      </c>
      <c r="Q748" t="s">
        <v>20470</v>
      </c>
    </row>
    <row r="749" spans="1:17" x14ac:dyDescent="0.2">
      <c r="A749" s="70" t="s">
        <v>14513</v>
      </c>
      <c r="B749" s="92" t="s">
        <v>20163</v>
      </c>
      <c r="C749" s="92" t="s">
        <v>14514</v>
      </c>
      <c r="D749" s="117" t="s">
        <v>20471</v>
      </c>
      <c r="E749" s="70">
        <v>400410</v>
      </c>
      <c r="F749" s="79" t="s">
        <v>137</v>
      </c>
      <c r="G749" t="str">
        <f>N749&amp;" ("&amp;O749&amp;")"</f>
        <v>Obtain From Ch. 14 EX 1 Chest (Hard)</v>
      </c>
      <c r="H749" s="79" t="s">
        <v>137</v>
      </c>
      <c r="I749" t="s">
        <v>137</v>
      </c>
      <c r="J749" s="70">
        <v>4</v>
      </c>
      <c r="K749" s="118">
        <v>43844</v>
      </c>
      <c r="L749" t="s">
        <v>18054</v>
      </c>
      <c r="M749" t="s">
        <v>17513</v>
      </c>
      <c r="N749" t="s">
        <v>20281</v>
      </c>
      <c r="O749" t="s">
        <v>15732</v>
      </c>
      <c r="P749">
        <v>1</v>
      </c>
      <c r="Q749" t="s">
        <v>17806</v>
      </c>
    </row>
    <row r="750" spans="1:17" x14ac:dyDescent="0.2">
      <c r="A750" s="70" t="s">
        <v>14515</v>
      </c>
      <c r="B750" s="92" t="s">
        <v>20163</v>
      </c>
      <c r="C750" s="92" t="s">
        <v>14516</v>
      </c>
      <c r="D750" s="117" t="s">
        <v>20472</v>
      </c>
      <c r="E750" s="70">
        <v>400415</v>
      </c>
      <c r="F750" s="79" t="s">
        <v>137</v>
      </c>
      <c r="G750" t="str">
        <f>IF(O750="",N750&amp;" ("&amp;M750&amp;")",N750&amp;": "&amp;O750&amp;" ("&amp;M750&amp;")")</f>
        <v>Participate in the Event (Monster Hunter Primal Crisis)</v>
      </c>
      <c r="H750" s="79" t="s">
        <v>137</v>
      </c>
      <c r="I750" t="s">
        <v>137</v>
      </c>
      <c r="J750" s="70">
        <v>4</v>
      </c>
      <c r="K750" s="118">
        <v>43859</v>
      </c>
      <c r="L750" t="s">
        <v>18241</v>
      </c>
      <c r="M750" t="s">
        <v>19631</v>
      </c>
      <c r="N750" t="s">
        <v>19688</v>
      </c>
      <c r="Q750" t="s">
        <v>20473</v>
      </c>
    </row>
    <row r="751" spans="1:17" x14ac:dyDescent="0.2">
      <c r="A751" s="70" t="s">
        <v>14517</v>
      </c>
      <c r="B751" s="92" t="s">
        <v>20163</v>
      </c>
      <c r="C751" s="92" t="s">
        <v>14518</v>
      </c>
      <c r="D751" s="117" t="s">
        <v>20474</v>
      </c>
      <c r="E751" s="70">
        <v>400414</v>
      </c>
      <c r="F751" s="79" t="s">
        <v>137</v>
      </c>
      <c r="G751" t="str">
        <f>"Clear "&amp;N751&amp;": "&amp;O751</f>
        <v>Clear Mercury's Trial: Expert</v>
      </c>
      <c r="H751" s="79" t="s">
        <v>137</v>
      </c>
      <c r="I751" t="s">
        <v>137</v>
      </c>
      <c r="J751" s="84">
        <v>4</v>
      </c>
      <c r="K751" s="118">
        <v>43875</v>
      </c>
      <c r="L751" t="s">
        <v>18054</v>
      </c>
      <c r="M751" t="s">
        <v>13994</v>
      </c>
      <c r="N751" t="s">
        <v>19199</v>
      </c>
      <c r="O751" t="s">
        <v>18033</v>
      </c>
      <c r="P751">
        <v>3</v>
      </c>
      <c r="Q751" t="s">
        <v>19201</v>
      </c>
    </row>
    <row r="752" spans="1:17" x14ac:dyDescent="0.2">
      <c r="A752" s="70" t="s">
        <v>14519</v>
      </c>
      <c r="B752" s="92" t="s">
        <v>20163</v>
      </c>
      <c r="C752" s="92" t="s">
        <v>14520</v>
      </c>
      <c r="D752" s="117" t="s">
        <v>20475</v>
      </c>
      <c r="E752" s="70">
        <v>400286</v>
      </c>
      <c r="F752" s="79" t="s">
        <v>137</v>
      </c>
      <c r="G752" t="str">
        <f>IF(O752="","Clear "&amp;N752&amp;" ("&amp;M752&amp;")","Clear "&amp;N752&amp;": "&amp;O752&amp;" ("&amp;M752&amp;")")</f>
        <v>Clear Nature's Bounty - À La Carte: Beginner (A Dash of Disaster)</v>
      </c>
      <c r="H752" s="79" t="s">
        <v>137</v>
      </c>
      <c r="I752" t="s">
        <v>137</v>
      </c>
      <c r="J752" s="84">
        <v>4</v>
      </c>
      <c r="K752" s="118">
        <v>43889</v>
      </c>
      <c r="L752" t="s">
        <v>18046</v>
      </c>
      <c r="M752" t="s">
        <v>14181</v>
      </c>
      <c r="N752" t="s">
        <v>18467</v>
      </c>
      <c r="O752" t="s">
        <v>18031</v>
      </c>
      <c r="P752">
        <v>1</v>
      </c>
      <c r="Q752" t="s">
        <v>18466</v>
      </c>
    </row>
    <row r="753" spans="1:17" x14ac:dyDescent="0.2">
      <c r="A753" s="70" t="s">
        <v>14521</v>
      </c>
      <c r="B753" s="92" t="s">
        <v>20163</v>
      </c>
      <c r="C753" s="92" t="s">
        <v>14522</v>
      </c>
      <c r="D753" s="117" t="s">
        <v>20476</v>
      </c>
      <c r="E753" s="70">
        <v>400421</v>
      </c>
      <c r="F753" s="79" t="s">
        <v>137</v>
      </c>
      <c r="G753" t="str">
        <f>"Clear "&amp;N753&amp;": "&amp;O753</f>
        <v>Clear Avenue to Power: Standard</v>
      </c>
      <c r="H753" s="79" t="s">
        <v>137</v>
      </c>
      <c r="I753" t="s">
        <v>137</v>
      </c>
      <c r="J753" s="84">
        <v>4</v>
      </c>
      <c r="K753" s="118">
        <v>43902</v>
      </c>
      <c r="L753" t="s">
        <v>18054</v>
      </c>
      <c r="M753" t="s">
        <v>14970</v>
      </c>
      <c r="N753" t="s">
        <v>19157</v>
      </c>
      <c r="O753" t="s">
        <v>18054</v>
      </c>
      <c r="P753">
        <v>2</v>
      </c>
      <c r="Q753" t="s">
        <v>19158</v>
      </c>
    </row>
    <row r="754" spans="1:17" x14ac:dyDescent="0.2">
      <c r="A754" s="70" t="s">
        <v>14523</v>
      </c>
      <c r="B754" s="92" t="s">
        <v>20163</v>
      </c>
      <c r="C754" s="92" t="s">
        <v>14524</v>
      </c>
      <c r="D754" s="117" t="s">
        <v>20477</v>
      </c>
      <c r="E754" s="70">
        <v>400386</v>
      </c>
      <c r="F754" s="79" t="s">
        <v>137</v>
      </c>
      <c r="G754" t="str">
        <f>IF(O754="","Clear "&amp;N754&amp;" ("&amp;M754&amp;")","Clear "&amp;N754&amp;": "&amp;O754&amp;" ("&amp;M754&amp;")")</f>
        <v>Clear Light Manticore Assault: Standard (Scars of the Syndicate)</v>
      </c>
      <c r="H754" s="79" t="s">
        <v>137</v>
      </c>
      <c r="I754" t="s">
        <v>137</v>
      </c>
      <c r="J754" s="70">
        <v>4</v>
      </c>
      <c r="K754" s="118">
        <v>43921</v>
      </c>
      <c r="L754" t="s">
        <v>18017</v>
      </c>
      <c r="M754" t="s">
        <v>14201</v>
      </c>
      <c r="N754" t="s">
        <v>18478</v>
      </c>
      <c r="O754" t="s">
        <v>18054</v>
      </c>
      <c r="P754">
        <v>1</v>
      </c>
      <c r="Q754" t="s">
        <v>18477</v>
      </c>
    </row>
    <row r="755" spans="1:17" x14ac:dyDescent="0.2">
      <c r="A755" s="70" t="s">
        <v>14525</v>
      </c>
      <c r="B755" s="92" t="s">
        <v>20163</v>
      </c>
      <c r="C755" s="92" t="s">
        <v>14526</v>
      </c>
      <c r="D755" s="117" t="s">
        <v>20478</v>
      </c>
      <c r="E755" s="70">
        <v>400422</v>
      </c>
      <c r="F755" s="79" t="s">
        <v>137</v>
      </c>
      <c r="G755" t="str">
        <f>IF(O755="",N755&amp;" ("&amp;M755&amp;")",N755&amp;": "&amp;O755&amp;" ("&amp;M755&amp;")")</f>
        <v>Participate in the Event (Scars of the Syndicate)</v>
      </c>
      <c r="H755" s="79" t="s">
        <v>137</v>
      </c>
      <c r="I755" t="s">
        <v>137</v>
      </c>
      <c r="J755" s="70">
        <v>4</v>
      </c>
      <c r="K755" s="118">
        <v>43921</v>
      </c>
      <c r="L755" t="s">
        <v>18017</v>
      </c>
      <c r="M755" t="s">
        <v>14201</v>
      </c>
      <c r="N755" t="s">
        <v>19688</v>
      </c>
      <c r="Q755" t="s">
        <v>20479</v>
      </c>
    </row>
    <row r="756" spans="1:17" x14ac:dyDescent="0.2">
      <c r="A756" s="70" t="s">
        <v>14527</v>
      </c>
      <c r="B756" s="92" t="s">
        <v>20163</v>
      </c>
      <c r="C756" s="92" t="s">
        <v>14528</v>
      </c>
      <c r="D756" s="117" t="s">
        <v>20480</v>
      </c>
      <c r="E756" s="70">
        <v>400169</v>
      </c>
      <c r="F756" s="79" t="s">
        <v>137</v>
      </c>
      <c r="G756" t="str">
        <f>N756&amp;" ("&amp;O756&amp;")"</f>
        <v>Obtain From Ch. 08 EX 1 Chest (Normal)</v>
      </c>
      <c r="H756" s="79" t="s">
        <v>137</v>
      </c>
      <c r="I756" t="s">
        <v>137</v>
      </c>
      <c r="J756" s="70">
        <v>4</v>
      </c>
      <c r="K756" s="118">
        <v>43934</v>
      </c>
      <c r="L756" t="s">
        <v>18054</v>
      </c>
      <c r="M756" t="s">
        <v>17513</v>
      </c>
      <c r="N756" t="s">
        <v>20445</v>
      </c>
      <c r="O756" t="s">
        <v>15731</v>
      </c>
      <c r="P756">
        <v>1</v>
      </c>
      <c r="Q756" t="s">
        <v>16240</v>
      </c>
    </row>
    <row r="757" spans="1:17" x14ac:dyDescent="0.2">
      <c r="A757" s="70" t="s">
        <v>14529</v>
      </c>
      <c r="B757" s="92" t="s">
        <v>20163</v>
      </c>
      <c r="C757" s="92" t="s">
        <v>14530</v>
      </c>
      <c r="D757" s="117" t="s">
        <v>20481</v>
      </c>
      <c r="E757" s="70">
        <v>400430</v>
      </c>
      <c r="F757" s="79" t="s">
        <v>137</v>
      </c>
      <c r="G757" t="str">
        <f>"Clear "&amp;N757&amp;": "&amp;O757</f>
        <v>Clear Zodiark's Trial: Master</v>
      </c>
      <c r="H757" s="79" t="s">
        <v>137</v>
      </c>
      <c r="I757" t="s">
        <v>137</v>
      </c>
      <c r="J757" s="84">
        <v>4</v>
      </c>
      <c r="K757" s="118">
        <v>43963</v>
      </c>
      <c r="L757" t="s">
        <v>18054</v>
      </c>
      <c r="M757" t="s">
        <v>13994</v>
      </c>
      <c r="N757" t="s">
        <v>19214</v>
      </c>
      <c r="O757" t="s">
        <v>18061</v>
      </c>
      <c r="P757">
        <v>4</v>
      </c>
      <c r="Q757" t="s">
        <v>19217</v>
      </c>
    </row>
    <row r="758" spans="1:17" x14ac:dyDescent="0.2">
      <c r="A758" s="70" t="s">
        <v>14531</v>
      </c>
      <c r="B758" s="92" t="s">
        <v>20163</v>
      </c>
      <c r="C758" s="92" t="s">
        <v>14532</v>
      </c>
      <c r="D758" s="117" t="s">
        <v>20482</v>
      </c>
      <c r="E758" s="70">
        <v>400432</v>
      </c>
      <c r="F758" s="79" t="s">
        <v>137</v>
      </c>
      <c r="G758" t="str">
        <f>IF(O758="",N758&amp;" ("&amp;M758&amp;")",N758&amp;": "&amp;O758&amp;" ("&amp;M758&amp;")")</f>
        <v>Participate in the Event (Timeworn Torment)</v>
      </c>
      <c r="H758" s="79" t="s">
        <v>137</v>
      </c>
      <c r="I758" t="s">
        <v>137</v>
      </c>
      <c r="J758" s="70">
        <v>4</v>
      </c>
      <c r="K758" s="118">
        <v>43978</v>
      </c>
      <c r="L758" t="s">
        <v>18017</v>
      </c>
      <c r="M758" t="s">
        <v>14214</v>
      </c>
      <c r="N758" t="s">
        <v>19688</v>
      </c>
      <c r="Q758" t="s">
        <v>20483</v>
      </c>
    </row>
    <row r="759" spans="1:17" x14ac:dyDescent="0.2">
      <c r="A759" s="70" t="s">
        <v>14533</v>
      </c>
      <c r="B759" s="92" t="s">
        <v>20163</v>
      </c>
      <c r="C759" s="92" t="s">
        <v>14534</v>
      </c>
      <c r="D759" s="117" t="s">
        <v>20484</v>
      </c>
      <c r="E759" s="70">
        <v>400434</v>
      </c>
      <c r="F759" s="79" t="s">
        <v>137</v>
      </c>
      <c r="G759" t="str">
        <f>IF(O759="","Clear "&amp;N759&amp;" ("&amp;M759&amp;")","Clear "&amp;N759&amp;": "&amp;O759&amp;" ("&amp;M759&amp;")")</f>
        <v>Clear Escaping the Cave (Timeworn Torment)</v>
      </c>
      <c r="H759" s="79" t="s">
        <v>137</v>
      </c>
      <c r="I759" t="s">
        <v>137</v>
      </c>
      <c r="J759" s="70">
        <v>4</v>
      </c>
      <c r="K759" s="118">
        <v>43978</v>
      </c>
      <c r="L759" t="s">
        <v>18017</v>
      </c>
      <c r="M759" t="s">
        <v>14214</v>
      </c>
      <c r="N759" t="s">
        <v>18545</v>
      </c>
      <c r="P759">
        <v>1</v>
      </c>
      <c r="Q759" t="s">
        <v>18544</v>
      </c>
    </row>
    <row r="760" spans="1:17" x14ac:dyDescent="0.2">
      <c r="A760" s="70" t="s">
        <v>14535</v>
      </c>
      <c r="B760" s="92" t="s">
        <v>20163</v>
      </c>
      <c r="C760" s="92" t="s">
        <v>14536</v>
      </c>
      <c r="D760" s="117" t="s">
        <v>20485</v>
      </c>
      <c r="E760" s="70">
        <v>400284</v>
      </c>
      <c r="F760" s="79" t="s">
        <v>137</v>
      </c>
      <c r="G760" t="str">
        <f>IF(O760="","Clear "&amp;N760&amp;" ("&amp;M760&amp;")","Clear "&amp;N760&amp;": "&amp;O760&amp;" ("&amp;M760&amp;")")</f>
        <v>Clear Battle at the Wartarch Ruins: Beginner (The Imperial Onslaught)</v>
      </c>
      <c r="H760" s="79" t="s">
        <v>137</v>
      </c>
      <c r="I760" t="s">
        <v>137</v>
      </c>
      <c r="J760" s="70">
        <v>4</v>
      </c>
      <c r="K760" s="118">
        <v>43994</v>
      </c>
      <c r="L760" t="s">
        <v>18054</v>
      </c>
      <c r="M760" t="s">
        <v>13954</v>
      </c>
      <c r="N760" t="s">
        <v>19251</v>
      </c>
      <c r="O760" t="s">
        <v>18031</v>
      </c>
      <c r="P760">
        <v>1</v>
      </c>
      <c r="Q760" t="s">
        <v>19250</v>
      </c>
    </row>
    <row r="761" spans="1:17" x14ac:dyDescent="0.2">
      <c r="A761" s="70" t="s">
        <v>14537</v>
      </c>
      <c r="B761" s="92" t="s">
        <v>20163</v>
      </c>
      <c r="C761" s="92" t="s">
        <v>14538</v>
      </c>
      <c r="D761" s="117" t="s">
        <v>20486</v>
      </c>
      <c r="E761" s="70">
        <v>400438</v>
      </c>
      <c r="F761" s="79" t="s">
        <v>137</v>
      </c>
      <c r="G761" t="str">
        <f>IF(O761="","Clear "&amp;N761&amp;" ("&amp;M761&amp;")","Clear "&amp;N761&amp;": "&amp;O761&amp;" ("&amp;M761&amp;")")</f>
        <v>Clear Frenetic Fiend Festival: Standard (Rhythmic Resolutions)</v>
      </c>
      <c r="H761" s="79" t="s">
        <v>137</v>
      </c>
      <c r="I761" t="s">
        <v>137</v>
      </c>
      <c r="J761" s="70">
        <v>4</v>
      </c>
      <c r="K761" s="118">
        <v>44008</v>
      </c>
      <c r="L761" t="s">
        <v>18046</v>
      </c>
      <c r="M761" t="s">
        <v>14220</v>
      </c>
      <c r="N761" t="s">
        <v>18581</v>
      </c>
      <c r="O761" t="s">
        <v>18054</v>
      </c>
      <c r="P761">
        <v>2</v>
      </c>
      <c r="Q761" t="s">
        <v>18582</v>
      </c>
    </row>
    <row r="762" spans="1:17" x14ac:dyDescent="0.2">
      <c r="A762" s="70" t="s">
        <v>14539</v>
      </c>
      <c r="B762" s="92" t="s">
        <v>20163</v>
      </c>
      <c r="C762" s="92" t="s">
        <v>14540</v>
      </c>
      <c r="D762" s="117" t="s">
        <v>20487</v>
      </c>
      <c r="E762" s="70">
        <v>400440</v>
      </c>
      <c r="F762" s="79" t="s">
        <v>137</v>
      </c>
      <c r="G762" t="str">
        <f>N762&amp;" ("&amp;O762&amp;")"</f>
        <v>Obtain From Ch. 07 EX 1 Chest (Very Hard)</v>
      </c>
      <c r="H762" s="79" t="s">
        <v>137</v>
      </c>
      <c r="I762" t="s">
        <v>137</v>
      </c>
      <c r="J762" s="70">
        <v>4</v>
      </c>
      <c r="K762" s="118">
        <v>44025</v>
      </c>
      <c r="L762" t="s">
        <v>18054</v>
      </c>
      <c r="M762" t="s">
        <v>17513</v>
      </c>
      <c r="N762" t="s">
        <v>20392</v>
      </c>
      <c r="O762" t="s">
        <v>15733</v>
      </c>
      <c r="P762">
        <v>1</v>
      </c>
      <c r="Q762" t="s">
        <v>17689</v>
      </c>
    </row>
    <row r="763" spans="1:17" x14ac:dyDescent="0.2">
      <c r="A763" s="70" t="s">
        <v>14541</v>
      </c>
      <c r="B763" s="92" t="s">
        <v>20163</v>
      </c>
      <c r="C763" s="92" t="s">
        <v>14542</v>
      </c>
      <c r="D763" s="117" t="s">
        <v>20488</v>
      </c>
      <c r="E763" s="70">
        <v>400443</v>
      </c>
      <c r="F763" s="79" t="s">
        <v>137</v>
      </c>
      <c r="G763" t="str">
        <f>IF(O763="",N763&amp;" ("&amp;M763&amp;")",N763&amp;": "&amp;O763&amp;" ("&amp;M763&amp;")")</f>
        <v>Participate in the Event (Doomsday Getaway)</v>
      </c>
      <c r="H763" s="79" t="s">
        <v>137</v>
      </c>
      <c r="I763" t="s">
        <v>137</v>
      </c>
      <c r="J763" s="84">
        <v>4</v>
      </c>
      <c r="K763" s="118">
        <v>44040</v>
      </c>
      <c r="L763" t="s">
        <v>18017</v>
      </c>
      <c r="M763" t="s">
        <v>14229</v>
      </c>
      <c r="N763" t="s">
        <v>19688</v>
      </c>
      <c r="Q763" t="s">
        <v>20489</v>
      </c>
    </row>
    <row r="764" spans="1:17" x14ac:dyDescent="0.2">
      <c r="A764" s="70" t="s">
        <v>14544</v>
      </c>
      <c r="B764" s="92" t="s">
        <v>20163</v>
      </c>
      <c r="C764" s="92" t="s">
        <v>14545</v>
      </c>
      <c r="D764" s="117" t="s">
        <v>20490</v>
      </c>
      <c r="E764" s="70">
        <v>400444</v>
      </c>
      <c r="F764" s="79" t="s">
        <v>137</v>
      </c>
      <c r="G764" t="str">
        <f>IF(O764="","Clear "&amp;N764&amp;" ("&amp;M764&amp;")","Clear "&amp;N764&amp;": "&amp;O764&amp;" ("&amp;M764&amp;")")</f>
        <v>Clear Assault on Admiral Pincers: Beginner (Doomsday Getaway)</v>
      </c>
      <c r="H764" s="79" t="s">
        <v>137</v>
      </c>
      <c r="I764" t="s">
        <v>137</v>
      </c>
      <c r="J764" s="84">
        <v>4</v>
      </c>
      <c r="K764" s="118">
        <v>44040</v>
      </c>
      <c r="L764" t="s">
        <v>18017</v>
      </c>
      <c r="M764" t="s">
        <v>14229</v>
      </c>
      <c r="N764" t="s">
        <v>18605</v>
      </c>
      <c r="O764" t="s">
        <v>18031</v>
      </c>
      <c r="P764">
        <v>1</v>
      </c>
      <c r="Q764" t="s">
        <v>18604</v>
      </c>
    </row>
    <row r="765" spans="1:17" x14ac:dyDescent="0.2">
      <c r="A765" s="70" t="s">
        <v>14546</v>
      </c>
      <c r="B765" s="92" t="s">
        <v>20163</v>
      </c>
      <c r="C765" s="92" t="s">
        <v>14547</v>
      </c>
      <c r="D765" s="117" t="s">
        <v>20491</v>
      </c>
      <c r="E765" s="70">
        <v>400446</v>
      </c>
      <c r="F765" s="79" t="s">
        <v>137</v>
      </c>
      <c r="G765" t="str">
        <f>N765&amp;" ("&amp;O765&amp;")"</f>
        <v>Obtain From Ch. 13 EX 1 Chest (Normal)</v>
      </c>
      <c r="H765" s="79" t="s">
        <v>137</v>
      </c>
      <c r="I765" t="s">
        <v>137</v>
      </c>
      <c r="J765" s="70">
        <v>4</v>
      </c>
      <c r="K765" s="118">
        <v>44054</v>
      </c>
      <c r="L765" t="s">
        <v>18054</v>
      </c>
      <c r="M765" t="s">
        <v>17513</v>
      </c>
      <c r="N765" t="s">
        <v>20304</v>
      </c>
      <c r="O765" t="s">
        <v>15731</v>
      </c>
      <c r="P765">
        <v>1</v>
      </c>
      <c r="Q765" t="s">
        <v>16566</v>
      </c>
    </row>
    <row r="766" spans="1:17" x14ac:dyDescent="0.2">
      <c r="A766" s="70" t="s">
        <v>14548</v>
      </c>
      <c r="B766" s="92" t="s">
        <v>20163</v>
      </c>
      <c r="C766" s="92" t="s">
        <v>14549</v>
      </c>
      <c r="D766" s="117" t="s">
        <v>20492</v>
      </c>
      <c r="E766" s="70">
        <v>400155</v>
      </c>
      <c r="F766" s="79" t="s">
        <v>137</v>
      </c>
      <c r="G766" t="str">
        <f>IF(O766="","Clear "&amp;N766&amp;" ("&amp;M766&amp;")","Clear "&amp;N766&amp;": "&amp;O766&amp;" ("&amp;M766&amp;")")</f>
        <v>Clear The Goddess's Will: Beginner (Agents of the Goddess)</v>
      </c>
      <c r="H766" s="79" t="s">
        <v>137</v>
      </c>
      <c r="I766" t="s">
        <v>137</v>
      </c>
      <c r="J766" s="84">
        <v>4</v>
      </c>
      <c r="K766" s="118">
        <v>44071</v>
      </c>
      <c r="L766" t="s">
        <v>18046</v>
      </c>
      <c r="M766" t="s">
        <v>14236</v>
      </c>
      <c r="N766" t="s">
        <v>18634</v>
      </c>
      <c r="O766" t="s">
        <v>18031</v>
      </c>
      <c r="P766">
        <v>1</v>
      </c>
      <c r="Q766" t="s">
        <v>18633</v>
      </c>
    </row>
    <row r="767" spans="1:17" x14ac:dyDescent="0.2">
      <c r="A767" s="70" t="s">
        <v>14551</v>
      </c>
      <c r="B767" s="92" t="s">
        <v>20163</v>
      </c>
      <c r="C767" s="92" t="s">
        <v>14552</v>
      </c>
      <c r="D767" s="117" t="s">
        <v>20493</v>
      </c>
      <c r="E767" s="70">
        <v>400449</v>
      </c>
      <c r="F767" s="79" t="s">
        <v>137</v>
      </c>
      <c r="G767" t="str">
        <f>IF(O767="","Clear "&amp;N767&amp;" ("&amp;M767&amp;")","Clear "&amp;N767&amp;": "&amp;O767&amp;" ("&amp;M767&amp;")")</f>
        <v>Clear Battle at Myriage Lake: Expert (The Imperial Onslaught)</v>
      </c>
      <c r="H767" s="79" t="s">
        <v>137</v>
      </c>
      <c r="I767" t="s">
        <v>137</v>
      </c>
      <c r="J767" s="70">
        <v>4</v>
      </c>
      <c r="K767" s="118">
        <v>44085</v>
      </c>
      <c r="L767" t="s">
        <v>18054</v>
      </c>
      <c r="M767" t="s">
        <v>13954</v>
      </c>
      <c r="N767" t="s">
        <v>19227</v>
      </c>
      <c r="O767" t="s">
        <v>18033</v>
      </c>
      <c r="P767">
        <v>3</v>
      </c>
      <c r="Q767" t="s">
        <v>19230</v>
      </c>
    </row>
    <row r="768" spans="1:17" x14ac:dyDescent="0.2">
      <c r="A768" s="70" t="s">
        <v>14553</v>
      </c>
      <c r="B768" s="92" t="s">
        <v>20163</v>
      </c>
      <c r="C768" s="92" t="s">
        <v>14554</v>
      </c>
      <c r="D768" s="117" t="s">
        <v>20494</v>
      </c>
      <c r="E768" s="70">
        <v>400132</v>
      </c>
      <c r="F768" s="79" t="s">
        <v>137</v>
      </c>
      <c r="G768" t="str">
        <f>N768&amp;" ("&amp;O768&amp;")"</f>
        <v>Obtain From Ch. 07 EX 1 Chest (Normal)</v>
      </c>
      <c r="H768" s="79" t="s">
        <v>137</v>
      </c>
      <c r="I768" t="s">
        <v>137</v>
      </c>
      <c r="J768" s="70">
        <v>4</v>
      </c>
      <c r="K768" s="118">
        <v>44098</v>
      </c>
      <c r="L768" t="s">
        <v>18054</v>
      </c>
      <c r="M768" t="s">
        <v>17513</v>
      </c>
      <c r="N768" t="s">
        <v>20392</v>
      </c>
      <c r="O768" t="s">
        <v>15731</v>
      </c>
      <c r="P768">
        <v>1</v>
      </c>
      <c r="Q768" t="s">
        <v>16240</v>
      </c>
    </row>
    <row r="769" spans="1:17" x14ac:dyDescent="0.2">
      <c r="A769" s="70" t="s">
        <v>14555</v>
      </c>
      <c r="B769" s="92" t="s">
        <v>20163</v>
      </c>
      <c r="C769" s="92" t="s">
        <v>14556</v>
      </c>
      <c r="D769" s="117" t="s">
        <v>20495</v>
      </c>
      <c r="E769" s="70">
        <v>400453</v>
      </c>
      <c r="F769" s="79" t="s">
        <v>137</v>
      </c>
      <c r="G769" t="str">
        <f>IF(O769="","Clear "&amp;N769&amp;" ("&amp;M769&amp;")","Clear "&amp;N769&amp;": "&amp;O769&amp;" ("&amp;M769&amp;")")</f>
        <v>Clear Morsayati Clash: EX (Forgotten Truths)</v>
      </c>
      <c r="H769" s="79" t="s">
        <v>137</v>
      </c>
      <c r="I769" t="s">
        <v>137</v>
      </c>
      <c r="J769" s="70">
        <v>4</v>
      </c>
      <c r="K769" s="118">
        <v>44104</v>
      </c>
      <c r="L769" t="s">
        <v>18017</v>
      </c>
      <c r="M769" t="s">
        <v>14245</v>
      </c>
      <c r="N769" t="s">
        <v>18669</v>
      </c>
      <c r="O769" t="s">
        <v>18039</v>
      </c>
      <c r="P769">
        <v>3</v>
      </c>
      <c r="Q769" t="s">
        <v>18671</v>
      </c>
    </row>
    <row r="770" spans="1:17" x14ac:dyDescent="0.2">
      <c r="A770" s="70" t="s">
        <v>14557</v>
      </c>
      <c r="B770" s="92" t="s">
        <v>20163</v>
      </c>
      <c r="C770" s="92" t="s">
        <v>14558</v>
      </c>
      <c r="D770" s="117" t="s">
        <v>20496</v>
      </c>
      <c r="E770" s="70">
        <v>400451</v>
      </c>
      <c r="F770" s="79" t="s">
        <v>137</v>
      </c>
      <c r="G770" t="str">
        <f>IF(O770="",N770&amp;" ("&amp;M770&amp;")",N770&amp;": "&amp;O770&amp;" ("&amp;M770&amp;")")</f>
        <v>Participate in the Event (Forgotten Truths)</v>
      </c>
      <c r="H770" s="79" t="s">
        <v>137</v>
      </c>
      <c r="I770" t="s">
        <v>137</v>
      </c>
      <c r="J770" s="70">
        <v>4</v>
      </c>
      <c r="K770" s="118">
        <v>44104</v>
      </c>
      <c r="L770" t="s">
        <v>18017</v>
      </c>
      <c r="M770" t="s">
        <v>14245</v>
      </c>
      <c r="N770" t="s">
        <v>19688</v>
      </c>
      <c r="Q770" t="s">
        <v>20497</v>
      </c>
    </row>
    <row r="771" spans="1:17" x14ac:dyDescent="0.2">
      <c r="A771" s="70" t="s">
        <v>14559</v>
      </c>
      <c r="B771" s="92" t="s">
        <v>20163</v>
      </c>
      <c r="C771" s="92" t="s">
        <v>14560</v>
      </c>
      <c r="D771" s="117" t="s">
        <v>20498</v>
      </c>
      <c r="E771" s="70">
        <v>400455</v>
      </c>
      <c r="F771" s="79" t="s">
        <v>137</v>
      </c>
      <c r="G771" t="str">
        <f>"Clear "&amp;N771&amp;": "&amp;O771</f>
        <v>Clear Brunhilda's Trial: Master</v>
      </c>
      <c r="H771" s="79" t="s">
        <v>137</v>
      </c>
      <c r="I771" t="s">
        <v>137</v>
      </c>
      <c r="J771" s="84">
        <v>4</v>
      </c>
      <c r="K771" s="118">
        <v>44120</v>
      </c>
      <c r="L771" t="s">
        <v>18054</v>
      </c>
      <c r="M771" t="s">
        <v>13994</v>
      </c>
      <c r="N771" t="s">
        <v>19204</v>
      </c>
      <c r="O771" t="s">
        <v>18061</v>
      </c>
      <c r="P771">
        <v>4</v>
      </c>
      <c r="Q771" t="s">
        <v>19207</v>
      </c>
    </row>
    <row r="772" spans="1:17" x14ac:dyDescent="0.2">
      <c r="A772" s="70" t="s">
        <v>14561</v>
      </c>
      <c r="B772" s="92" t="s">
        <v>20163</v>
      </c>
      <c r="C772" s="92" t="s">
        <v>14562</v>
      </c>
      <c r="D772" s="117" t="s">
        <v>20499</v>
      </c>
      <c r="E772" s="70">
        <v>400458</v>
      </c>
      <c r="F772" s="79" t="s">
        <v>137</v>
      </c>
      <c r="G772" t="str">
        <f>IF(O772="",N772&amp;" ("&amp;M772&amp;")",N772&amp;": "&amp;O772&amp;" ("&amp;M772&amp;")")</f>
        <v>Participate in the Event (The Phantom's Ransom)</v>
      </c>
      <c r="H772" s="79" t="s">
        <v>137</v>
      </c>
      <c r="I772" t="s">
        <v>137</v>
      </c>
      <c r="J772" s="70">
        <v>4</v>
      </c>
      <c r="K772" s="118">
        <v>44131</v>
      </c>
      <c r="L772" t="s">
        <v>18046</v>
      </c>
      <c r="M772" t="s">
        <v>14255</v>
      </c>
      <c r="N772" t="s">
        <v>19688</v>
      </c>
      <c r="Q772" t="s">
        <v>20043</v>
      </c>
    </row>
    <row r="773" spans="1:17" x14ac:dyDescent="0.2">
      <c r="A773" s="70" t="s">
        <v>14563</v>
      </c>
      <c r="B773" s="92" t="s">
        <v>20163</v>
      </c>
      <c r="C773" s="92" t="s">
        <v>14564</v>
      </c>
      <c r="D773" s="117" t="s">
        <v>20500</v>
      </c>
      <c r="E773" s="70">
        <v>400460</v>
      </c>
      <c r="F773" s="79" t="s">
        <v>137</v>
      </c>
      <c r="G773" t="str">
        <f>N773&amp;" ("&amp;O773&amp;")"</f>
        <v>Obtain From Ch. 15 EX 1 Chest (Normal)</v>
      </c>
      <c r="H773" s="79" t="s">
        <v>137</v>
      </c>
      <c r="I773" t="s">
        <v>137</v>
      </c>
      <c r="J773" s="70">
        <v>4</v>
      </c>
      <c r="K773" s="118">
        <v>44148</v>
      </c>
      <c r="L773" t="s">
        <v>18054</v>
      </c>
      <c r="M773" t="s">
        <v>17513</v>
      </c>
      <c r="N773" t="s">
        <v>20284</v>
      </c>
      <c r="O773" t="s">
        <v>15731</v>
      </c>
      <c r="P773">
        <v>1</v>
      </c>
      <c r="Q773" t="s">
        <v>16714</v>
      </c>
    </row>
    <row r="774" spans="1:17" x14ac:dyDescent="0.2">
      <c r="A774" s="70" t="s">
        <v>14565</v>
      </c>
      <c r="B774" s="92" t="s">
        <v>20163</v>
      </c>
      <c r="C774" s="92" t="s">
        <v>14566</v>
      </c>
      <c r="D774" s="117" t="s">
        <v>20501</v>
      </c>
      <c r="E774" s="70">
        <v>400464</v>
      </c>
      <c r="F774" s="79" t="s">
        <v>137</v>
      </c>
      <c r="G774" t="str">
        <f>IF(O774="",N774&amp;" ("&amp;M774&amp;")",N774&amp;": "&amp;O774&amp;" ("&amp;M774&amp;")")</f>
        <v>Participate in the Event (Cursed Connections)</v>
      </c>
      <c r="H774" s="79" t="s">
        <v>137</v>
      </c>
      <c r="I774" t="s">
        <v>137</v>
      </c>
      <c r="J774" s="84">
        <v>4</v>
      </c>
      <c r="K774" s="118">
        <v>44196</v>
      </c>
      <c r="L774" t="s">
        <v>18017</v>
      </c>
      <c r="M774" t="s">
        <v>14275</v>
      </c>
      <c r="N774" t="s">
        <v>19688</v>
      </c>
      <c r="Q774" t="s">
        <v>20502</v>
      </c>
    </row>
    <row r="775" spans="1:17" x14ac:dyDescent="0.2">
      <c r="A775" s="70" t="s">
        <v>14567</v>
      </c>
      <c r="B775" s="92" t="s">
        <v>20163</v>
      </c>
      <c r="C775" s="92" t="s">
        <v>14568</v>
      </c>
      <c r="D775" s="117" t="s">
        <v>20503</v>
      </c>
      <c r="E775" s="70">
        <v>400470</v>
      </c>
      <c r="F775" s="79" t="s">
        <v>137</v>
      </c>
      <c r="G775" t="str">
        <f>IF(O775="",N775&amp;" ("&amp;M775&amp;")",N775&amp;": "&amp;O775&amp;" ("&amp;M775&amp;")")</f>
        <v>Participate in the Event (Persona 5 Strikers Caged Desire)</v>
      </c>
      <c r="H775" s="79" t="s">
        <v>137</v>
      </c>
      <c r="I775" t="s">
        <v>137</v>
      </c>
      <c r="J775" s="70">
        <v>4</v>
      </c>
      <c r="K775" s="118">
        <v>44227</v>
      </c>
      <c r="L775" t="s">
        <v>18241</v>
      </c>
      <c r="M775" t="s">
        <v>19673</v>
      </c>
      <c r="N775" t="s">
        <v>19688</v>
      </c>
      <c r="Q775" t="s">
        <v>20504</v>
      </c>
    </row>
    <row r="776" spans="1:17" x14ac:dyDescent="0.2">
      <c r="A776" s="70" t="s">
        <v>14569</v>
      </c>
      <c r="B776" s="92" t="s">
        <v>20163</v>
      </c>
      <c r="C776" s="92" t="s">
        <v>14570</v>
      </c>
      <c r="D776" s="117" t="s">
        <v>20505</v>
      </c>
      <c r="E776" s="70">
        <v>400471</v>
      </c>
      <c r="F776" s="79" t="s">
        <v>137</v>
      </c>
      <c r="G776" t="str">
        <f>IF(O776="","Clear "&amp;N776&amp;" ("&amp;M776&amp;")","Clear "&amp;N776&amp;": "&amp;O776&amp;" ("&amp;M776&amp;")")</f>
        <v>Clear Repelling Imperial Forces: Beginner (Dawn of Dragalia)</v>
      </c>
      <c r="H776" s="79" t="s">
        <v>137</v>
      </c>
      <c r="I776" t="s">
        <v>137</v>
      </c>
      <c r="J776" s="84">
        <v>4</v>
      </c>
      <c r="K776" s="118">
        <v>44288</v>
      </c>
      <c r="L776" t="s">
        <v>18017</v>
      </c>
      <c r="M776" t="s">
        <v>14293</v>
      </c>
      <c r="N776" t="s">
        <v>18874</v>
      </c>
      <c r="O776" t="s">
        <v>18031</v>
      </c>
      <c r="P776">
        <v>1</v>
      </c>
      <c r="Q776" t="s">
        <v>18873</v>
      </c>
    </row>
    <row r="777" spans="1:17" x14ac:dyDescent="0.2">
      <c r="A777" s="70" t="s">
        <v>14571</v>
      </c>
      <c r="B777" s="92" t="s">
        <v>20163</v>
      </c>
      <c r="C777" s="92" t="s">
        <v>14572</v>
      </c>
      <c r="D777" s="117" t="s">
        <v>20506</v>
      </c>
      <c r="E777" s="70">
        <v>400161</v>
      </c>
      <c r="F777" s="79" t="s">
        <v>137</v>
      </c>
      <c r="G777" t="str">
        <f>IF(O777="","Clear "&amp;N777&amp;" ("&amp;M777&amp;")","Clear "&amp;N777&amp;": "&amp;O777&amp;" ("&amp;M777&amp;")")</f>
        <v>Clear Repelling the Forest's Aggressors: Master (The Children of Yggdrasil)</v>
      </c>
      <c r="H777" s="79" t="s">
        <v>137</v>
      </c>
      <c r="I777" t="s">
        <v>137</v>
      </c>
      <c r="J777" s="70">
        <v>4</v>
      </c>
      <c r="K777" s="118">
        <v>44344</v>
      </c>
      <c r="L777" t="s">
        <v>18933</v>
      </c>
      <c r="M777" t="s">
        <v>14303</v>
      </c>
      <c r="N777" t="s">
        <v>18934</v>
      </c>
      <c r="O777" t="s">
        <v>18061</v>
      </c>
      <c r="P777">
        <v>3</v>
      </c>
      <c r="Q777" t="s">
        <v>18936</v>
      </c>
    </row>
    <row r="778" spans="1:17" x14ac:dyDescent="0.2">
      <c r="A778" s="70" t="s">
        <v>14573</v>
      </c>
      <c r="B778" s="92" t="s">
        <v>20163</v>
      </c>
      <c r="C778" s="92" t="s">
        <v>14574</v>
      </c>
      <c r="D778" s="117" t="s">
        <v>20507</v>
      </c>
      <c r="E778" s="70">
        <v>400164</v>
      </c>
      <c r="F778" s="79" t="s">
        <v>137</v>
      </c>
      <c r="G778" t="str">
        <f>IF(O778="",N778&amp;" ("&amp;M778&amp;")",N778&amp;": "&amp;O778&amp;" ("&amp;M778&amp;")")</f>
        <v>Participate in the Event (The Children of Yggdrasil)</v>
      </c>
      <c r="H778" s="79" t="s">
        <v>137</v>
      </c>
      <c r="I778" t="s">
        <v>137</v>
      </c>
      <c r="J778" s="70">
        <v>4</v>
      </c>
      <c r="K778" s="118">
        <v>44344</v>
      </c>
      <c r="L778" t="s">
        <v>18933</v>
      </c>
      <c r="M778" t="s">
        <v>14303</v>
      </c>
      <c r="N778" t="s">
        <v>19688</v>
      </c>
      <c r="Q778" t="s">
        <v>20508</v>
      </c>
    </row>
    <row r="779" spans="1:17" x14ac:dyDescent="0.2">
      <c r="A779" s="70" t="s">
        <v>14575</v>
      </c>
      <c r="B779" s="92" t="s">
        <v>20163</v>
      </c>
      <c r="C779" s="92" t="s">
        <v>14576</v>
      </c>
      <c r="D779" s="117" t="s">
        <v>20509</v>
      </c>
      <c r="E779" s="70">
        <v>400477</v>
      </c>
      <c r="F779" s="79" t="s">
        <v>137</v>
      </c>
      <c r="G779" t="str">
        <f>IF(O779="",N779&amp;" ("&amp;M779&amp;")",N779&amp;": "&amp;O779&amp;" ("&amp;M779&amp;")")</f>
        <v>Participate in the Event (Toll of the Deep)</v>
      </c>
      <c r="H779" s="79" t="s">
        <v>137</v>
      </c>
      <c r="I779" t="s">
        <v>137</v>
      </c>
      <c r="J779" s="70">
        <v>4</v>
      </c>
      <c r="K779" s="118">
        <v>44376</v>
      </c>
      <c r="L779" t="s">
        <v>18046</v>
      </c>
      <c r="M779" t="s">
        <v>14308</v>
      </c>
      <c r="N779" t="s">
        <v>19688</v>
      </c>
      <c r="Q779" t="s">
        <v>20160</v>
      </c>
    </row>
    <row r="780" spans="1:17" x14ac:dyDescent="0.2">
      <c r="A780" s="70" t="s">
        <v>14577</v>
      </c>
      <c r="B780" s="92" t="s">
        <v>20163</v>
      </c>
      <c r="C780" s="92" t="s">
        <v>14578</v>
      </c>
      <c r="D780" s="117" t="s">
        <v>20510</v>
      </c>
      <c r="E780" s="70">
        <v>400480</v>
      </c>
      <c r="F780" s="79" t="s">
        <v>137</v>
      </c>
      <c r="G780" t="str">
        <f>IF(O780="","Clear "&amp;N780&amp;" ("&amp;M780&amp;")","Clear "&amp;N780&amp;": "&amp;O780&amp;" ("&amp;M780&amp;")")</f>
        <v>Clear Repelling the Forces of Grams: Master (Knights of Alberia)</v>
      </c>
      <c r="H780" s="79" t="s">
        <v>137</v>
      </c>
      <c r="I780" t="s">
        <v>137</v>
      </c>
      <c r="J780" s="70">
        <v>4</v>
      </c>
      <c r="K780" s="118">
        <v>44435</v>
      </c>
      <c r="L780" t="s">
        <v>18933</v>
      </c>
      <c r="M780" t="s">
        <v>14316</v>
      </c>
      <c r="N780" t="s">
        <v>19018</v>
      </c>
      <c r="O780" t="s">
        <v>18061</v>
      </c>
      <c r="P780">
        <v>3</v>
      </c>
      <c r="Q780" t="s">
        <v>19020</v>
      </c>
    </row>
    <row r="781" spans="1:17" x14ac:dyDescent="0.2">
      <c r="A781" s="70" t="s">
        <v>14579</v>
      </c>
      <c r="B781" s="92" t="s">
        <v>20163</v>
      </c>
      <c r="C781" s="92" t="s">
        <v>14580</v>
      </c>
      <c r="D781" s="117" t="s">
        <v>20511</v>
      </c>
      <c r="E781" s="70">
        <v>400291</v>
      </c>
      <c r="F781" s="79" t="s">
        <v>137</v>
      </c>
      <c r="G781" t="str">
        <f>IF(O781="",N781&amp;" ("&amp;M781&amp;")",N781&amp;": "&amp;O781&amp;" ("&amp;M781&amp;")")</f>
        <v>Participate in the Event (Knights of Alberia)</v>
      </c>
      <c r="H781" s="79" t="s">
        <v>137</v>
      </c>
      <c r="I781" t="s">
        <v>137</v>
      </c>
      <c r="J781" s="70">
        <v>4</v>
      </c>
      <c r="K781" s="118">
        <v>44435</v>
      </c>
      <c r="L781" t="s">
        <v>18933</v>
      </c>
      <c r="M781" t="s">
        <v>14316</v>
      </c>
      <c r="N781" t="s">
        <v>19688</v>
      </c>
      <c r="Q781" t="s">
        <v>20512</v>
      </c>
    </row>
    <row r="782" spans="1:17" x14ac:dyDescent="0.2">
      <c r="A782" s="70" t="s">
        <v>14581</v>
      </c>
      <c r="B782" s="92" t="s">
        <v>20163</v>
      </c>
      <c r="C782" s="92" t="s">
        <v>14582</v>
      </c>
      <c r="D782" s="117" t="s">
        <v>20513</v>
      </c>
      <c r="E782" s="70">
        <v>400482</v>
      </c>
      <c r="F782" s="79" t="s">
        <v>137</v>
      </c>
      <c r="G782" t="str">
        <f>IF(O782="",N782&amp;" ("&amp;M782&amp;")",N782&amp;": "&amp;O782&amp;" ("&amp;M782&amp;")")</f>
        <v>Participate in the Event (Faith Forsaken (Part Two))</v>
      </c>
      <c r="H782" s="79" t="s">
        <v>137</v>
      </c>
      <c r="I782" t="s">
        <v>137</v>
      </c>
      <c r="J782" s="70">
        <v>4</v>
      </c>
      <c r="K782" s="118">
        <v>44482</v>
      </c>
      <c r="L782" t="s">
        <v>18017</v>
      </c>
      <c r="M782" t="s">
        <v>14583</v>
      </c>
      <c r="N782" t="s">
        <v>19688</v>
      </c>
      <c r="Q782" t="s">
        <v>20514</v>
      </c>
    </row>
    <row r="783" spans="1:17" x14ac:dyDescent="0.2">
      <c r="A783" s="70" t="s">
        <v>14584</v>
      </c>
      <c r="B783" s="92" t="s">
        <v>20163</v>
      </c>
      <c r="C783" s="92" t="s">
        <v>14585</v>
      </c>
      <c r="D783" s="117" t="s">
        <v>20515</v>
      </c>
      <c r="E783" s="70">
        <v>400488</v>
      </c>
      <c r="F783" s="79" t="s">
        <v>137</v>
      </c>
      <c r="G783" t="str">
        <f>IF(O783="","Clear "&amp;N783&amp;" ("&amp;M783&amp;")","Clear "&amp;N783&amp;": "&amp;O783&amp;" ("&amp;M783&amp;")")</f>
        <v>Clear Repelling the Frosty Fiends: Master (One Starry Dragonyule)</v>
      </c>
      <c r="H783" s="79" t="s">
        <v>137</v>
      </c>
      <c r="I783" t="s">
        <v>137</v>
      </c>
      <c r="J783" s="70">
        <v>4</v>
      </c>
      <c r="K783" s="118">
        <v>44529</v>
      </c>
      <c r="L783" t="s">
        <v>18933</v>
      </c>
      <c r="M783" t="s">
        <v>14333</v>
      </c>
      <c r="N783" t="s">
        <v>19107</v>
      </c>
      <c r="O783" t="s">
        <v>18061</v>
      </c>
      <c r="P783">
        <v>3</v>
      </c>
      <c r="Q783" t="s">
        <v>19109</v>
      </c>
    </row>
    <row r="784" spans="1:17" x14ac:dyDescent="0.2">
      <c r="A784" s="70" t="s">
        <v>14586</v>
      </c>
      <c r="B784" s="92" t="s">
        <v>20163</v>
      </c>
      <c r="C784" s="92" t="s">
        <v>14587</v>
      </c>
      <c r="D784" s="117" t="s">
        <v>20516</v>
      </c>
      <c r="E784" s="70">
        <v>400489</v>
      </c>
      <c r="F784" s="79" t="s">
        <v>137</v>
      </c>
      <c r="G784" t="str">
        <f>IF(O784="",N784&amp;" ("&amp;M784&amp;")",N784&amp;": "&amp;O784&amp;" ("&amp;M784&amp;")")</f>
        <v>Participate in the Event (One Starry Dragonyule)</v>
      </c>
      <c r="H784" s="79" t="s">
        <v>137</v>
      </c>
      <c r="I784" t="s">
        <v>137</v>
      </c>
      <c r="J784" s="70">
        <v>4</v>
      </c>
      <c r="K784" s="118">
        <v>44529</v>
      </c>
      <c r="L784" t="s">
        <v>18933</v>
      </c>
      <c r="M784" t="s">
        <v>14333</v>
      </c>
      <c r="N784" t="s">
        <v>19688</v>
      </c>
      <c r="Q784" t="s">
        <v>20517</v>
      </c>
    </row>
    <row r="785" spans="1:17" x14ac:dyDescent="0.2">
      <c r="A785" s="70" t="s">
        <v>14588</v>
      </c>
      <c r="B785" s="92" t="s">
        <v>20163</v>
      </c>
      <c r="C785" s="92" t="s">
        <v>14589</v>
      </c>
      <c r="D785" s="117" t="s">
        <v>20518</v>
      </c>
      <c r="E785" s="70">
        <v>400492</v>
      </c>
      <c r="F785" s="79" t="s">
        <v>137</v>
      </c>
      <c r="G785" t="str">
        <f>IF(O785="",N785&amp;" ("&amp;M785&amp;")",N785&amp;": "&amp;O785&amp;" ("&amp;M785&amp;")")</f>
        <v>Participate in the Event (Celestial Showdown)</v>
      </c>
      <c r="H785" s="79" t="s">
        <v>137</v>
      </c>
      <c r="I785" t="s">
        <v>137</v>
      </c>
      <c r="J785" s="84">
        <v>4</v>
      </c>
      <c r="K785" s="118">
        <v>44561</v>
      </c>
      <c r="L785" t="s">
        <v>18017</v>
      </c>
      <c r="M785" t="s">
        <v>14339</v>
      </c>
      <c r="N785" t="s">
        <v>19688</v>
      </c>
      <c r="Q785" t="s">
        <v>20519</v>
      </c>
    </row>
    <row r="786" spans="1:17" x14ac:dyDescent="0.2">
      <c r="A786" s="70" t="s">
        <v>14590</v>
      </c>
      <c r="B786" s="92" t="s">
        <v>20163</v>
      </c>
      <c r="C786" s="92" t="s">
        <v>14591</v>
      </c>
      <c r="D786" s="117" t="s">
        <v>20520</v>
      </c>
      <c r="E786" s="70">
        <v>400495</v>
      </c>
      <c r="F786" s="79" t="s">
        <v>137</v>
      </c>
      <c r="G786" t="str">
        <f>IF(O786="","Clear "&amp;N786&amp;" ("&amp;M786&amp;")","Clear "&amp;N786&amp;": "&amp;O786&amp;" ("&amp;M786&amp;")")</f>
        <v>Clear Repelling the Black Mana Forces: Master (The Blood That Binds)</v>
      </c>
      <c r="H786" s="79" t="s">
        <v>137</v>
      </c>
      <c r="I786" t="s">
        <v>137</v>
      </c>
      <c r="J786" s="70">
        <v>4</v>
      </c>
      <c r="K786" s="118">
        <v>44592</v>
      </c>
      <c r="L786" t="s">
        <v>18933</v>
      </c>
      <c r="M786" t="s">
        <v>14343</v>
      </c>
      <c r="N786" t="s">
        <v>19128</v>
      </c>
      <c r="O786" t="s">
        <v>18061</v>
      </c>
      <c r="P786">
        <v>3</v>
      </c>
      <c r="Q786" t="s">
        <v>19130</v>
      </c>
    </row>
    <row r="787" spans="1:17" x14ac:dyDescent="0.2">
      <c r="A787" s="70" t="s">
        <v>14592</v>
      </c>
      <c r="B787" s="92" t="s">
        <v>20163</v>
      </c>
      <c r="C787" s="92" t="s">
        <v>14593</v>
      </c>
      <c r="D787" s="117" t="s">
        <v>20521</v>
      </c>
      <c r="E787" s="70">
        <v>400246</v>
      </c>
      <c r="F787" s="79" t="s">
        <v>137</v>
      </c>
      <c r="G787" t="str">
        <f>IF(O787="",N787&amp;" ("&amp;M787&amp;")",N787&amp;": "&amp;O787&amp;" ("&amp;M787&amp;")")</f>
        <v>Participate in the Event (The Blood That Binds)</v>
      </c>
      <c r="H787" s="79" t="s">
        <v>137</v>
      </c>
      <c r="I787" t="s">
        <v>137</v>
      </c>
      <c r="J787" s="70">
        <v>4</v>
      </c>
      <c r="K787" s="118">
        <v>44592</v>
      </c>
      <c r="L787" t="s">
        <v>18933</v>
      </c>
      <c r="M787" t="s">
        <v>14343</v>
      </c>
      <c r="N787" t="s">
        <v>19688</v>
      </c>
      <c r="Q787" t="s">
        <v>20522</v>
      </c>
    </row>
    <row r="788" spans="1:17" x14ac:dyDescent="0.2">
      <c r="A788" s="70" t="s">
        <v>14594</v>
      </c>
      <c r="B788" s="92" t="s">
        <v>20163</v>
      </c>
      <c r="C788" s="92" t="s">
        <v>14595</v>
      </c>
      <c r="D788" s="117" t="s">
        <v>20523</v>
      </c>
      <c r="E788" s="70">
        <v>400499</v>
      </c>
      <c r="F788" s="79" t="s">
        <v>137</v>
      </c>
      <c r="G788" t="str">
        <f>IF(O788="","Clear "&amp;N788&amp;" ("&amp;M788&amp;")","Clear "&amp;N788&amp;": "&amp;O788&amp;" ("&amp;M788&amp;")")</f>
        <v>Clear Repelling the Imperial Forces: Master (Operation: At Your Service)</v>
      </c>
      <c r="H788" s="79" t="s">
        <v>137</v>
      </c>
      <c r="I788" t="s">
        <v>137</v>
      </c>
      <c r="J788" s="70">
        <v>4</v>
      </c>
      <c r="K788" s="118">
        <v>44620</v>
      </c>
      <c r="L788" t="s">
        <v>18933</v>
      </c>
      <c r="M788" t="s">
        <v>14349</v>
      </c>
      <c r="N788" t="s">
        <v>19136</v>
      </c>
      <c r="O788" t="s">
        <v>18061</v>
      </c>
      <c r="P788">
        <v>3</v>
      </c>
      <c r="Q788" t="s">
        <v>19138</v>
      </c>
    </row>
    <row r="789" spans="1:17" x14ac:dyDescent="0.2">
      <c r="A789" s="70" t="s">
        <v>14596</v>
      </c>
      <c r="B789" s="92" t="s">
        <v>20163</v>
      </c>
      <c r="C789" s="92" t="s">
        <v>14597</v>
      </c>
      <c r="D789" s="117" t="s">
        <v>20524</v>
      </c>
      <c r="E789" s="70">
        <v>400498</v>
      </c>
      <c r="F789" s="79" t="s">
        <v>137</v>
      </c>
      <c r="G789" t="str">
        <f>IF(O789="",N789&amp;" ("&amp;M789&amp;")",N789&amp;": "&amp;O789&amp;" ("&amp;M789&amp;")")</f>
        <v>Participate in the Event (Operation: At Your Service)</v>
      </c>
      <c r="H789" s="79" t="s">
        <v>137</v>
      </c>
      <c r="I789" t="s">
        <v>137</v>
      </c>
      <c r="J789" s="70">
        <v>4</v>
      </c>
      <c r="K789" s="118">
        <v>44620</v>
      </c>
      <c r="L789" t="s">
        <v>18933</v>
      </c>
      <c r="M789" t="s">
        <v>14349</v>
      </c>
      <c r="N789" t="s">
        <v>19688</v>
      </c>
      <c r="Q789" t="s">
        <v>20525</v>
      </c>
    </row>
    <row r="790" spans="1:17" x14ac:dyDescent="0.2">
      <c r="A790" s="70" t="s">
        <v>14598</v>
      </c>
      <c r="B790" s="92" t="s">
        <v>20163</v>
      </c>
      <c r="C790" s="92" t="s">
        <v>14599</v>
      </c>
      <c r="D790" s="117" t="s">
        <v>20526</v>
      </c>
      <c r="E790" s="70">
        <v>400006</v>
      </c>
      <c r="F790" s="79" t="s">
        <v>137</v>
      </c>
      <c r="G790" t="str">
        <f>N790&amp;" ("&amp;O790&amp;")"</f>
        <v>Obtain From Ch. 14 EX 1 Chest (Normal)</v>
      </c>
      <c r="H790" s="79" t="s">
        <v>137</v>
      </c>
      <c r="I790" t="s">
        <v>137</v>
      </c>
      <c r="J790" s="70">
        <v>4</v>
      </c>
      <c r="K790" s="118">
        <v>43370</v>
      </c>
      <c r="L790" t="s">
        <v>18054</v>
      </c>
      <c r="M790" t="s">
        <v>17513</v>
      </c>
      <c r="N790" t="s">
        <v>20281</v>
      </c>
      <c r="O790" t="s">
        <v>15731</v>
      </c>
      <c r="P790">
        <v>1</v>
      </c>
      <c r="Q790" t="s">
        <v>16643</v>
      </c>
    </row>
    <row r="791" spans="1:17" x14ac:dyDescent="0.2">
      <c r="A791" s="70" t="s">
        <v>14600</v>
      </c>
      <c r="B791" s="92" t="s">
        <v>20163</v>
      </c>
      <c r="C791" s="92" t="s">
        <v>14601</v>
      </c>
      <c r="D791" s="117" t="s">
        <v>20527</v>
      </c>
      <c r="E791" s="70">
        <v>400007</v>
      </c>
      <c r="F791" s="79" t="s">
        <v>137</v>
      </c>
      <c r="G791" t="str">
        <f>N791&amp;" ("&amp;O791&amp;")"</f>
        <v>Obtain From Ch. 10 EX 1 Chest (Very Hard)</v>
      </c>
      <c r="H791" s="79" t="s">
        <v>137</v>
      </c>
      <c r="I791" t="s">
        <v>137</v>
      </c>
      <c r="J791" s="70">
        <v>4</v>
      </c>
      <c r="K791" s="118">
        <v>43370</v>
      </c>
      <c r="L791" t="s">
        <v>18054</v>
      </c>
      <c r="M791" t="s">
        <v>17513</v>
      </c>
      <c r="N791" t="s">
        <v>20278</v>
      </c>
      <c r="O791" t="s">
        <v>15733</v>
      </c>
      <c r="P791">
        <v>1</v>
      </c>
      <c r="Q791" t="s">
        <v>17731</v>
      </c>
    </row>
    <row r="792" spans="1:17" x14ac:dyDescent="0.2">
      <c r="A792" s="70" t="s">
        <v>14602</v>
      </c>
      <c r="B792" s="92" t="s">
        <v>20163</v>
      </c>
      <c r="C792" s="92" t="s">
        <v>14603</v>
      </c>
      <c r="D792" s="117" t="s">
        <v>20528</v>
      </c>
      <c r="E792" s="70">
        <v>400008</v>
      </c>
      <c r="F792" s="79" t="s">
        <v>137</v>
      </c>
      <c r="G792" t="str">
        <f>"Clear "&amp;N792&amp;": "&amp;O792</f>
        <v>Clear Avenue to Fortune: Beginner</v>
      </c>
      <c r="H792" s="79" t="s">
        <v>137</v>
      </c>
      <c r="I792" t="s">
        <v>137</v>
      </c>
      <c r="J792" s="84">
        <v>4</v>
      </c>
      <c r="K792" s="118">
        <v>43370</v>
      </c>
      <c r="L792" t="s">
        <v>18054</v>
      </c>
      <c r="M792" t="s">
        <v>14970</v>
      </c>
      <c r="N792" t="s">
        <v>19162</v>
      </c>
      <c r="O792" t="s">
        <v>18031</v>
      </c>
      <c r="P792">
        <v>1</v>
      </c>
      <c r="Q792" t="s">
        <v>19161</v>
      </c>
    </row>
    <row r="793" spans="1:17" x14ac:dyDescent="0.2">
      <c r="A793" s="70" t="s">
        <v>14604</v>
      </c>
      <c r="B793" s="92" t="s">
        <v>20163</v>
      </c>
      <c r="C793" s="92" t="s">
        <v>14605</v>
      </c>
      <c r="D793" s="117" t="s">
        <v>20529</v>
      </c>
      <c r="E793" s="70">
        <v>400009</v>
      </c>
      <c r="F793" s="79" t="s">
        <v>137</v>
      </c>
      <c r="G793" t="str">
        <f>"Clear "&amp;N793&amp;": "&amp;O793</f>
        <v>Clear Midgardsormr's Trial: Beginner</v>
      </c>
      <c r="H793" s="79" t="s">
        <v>137</v>
      </c>
      <c r="I793" t="s">
        <v>137</v>
      </c>
      <c r="J793" s="84">
        <v>4</v>
      </c>
      <c r="K793" s="118">
        <v>43370</v>
      </c>
      <c r="L793" t="s">
        <v>18054</v>
      </c>
      <c r="M793" t="s">
        <v>13994</v>
      </c>
      <c r="N793" t="s">
        <v>19190</v>
      </c>
      <c r="O793" t="s">
        <v>18031</v>
      </c>
      <c r="P793">
        <v>1</v>
      </c>
      <c r="Q793" t="s">
        <v>19189</v>
      </c>
    </row>
    <row r="794" spans="1:17" x14ac:dyDescent="0.2">
      <c r="A794" s="70" t="s">
        <v>14606</v>
      </c>
      <c r="B794" s="92" t="s">
        <v>20163</v>
      </c>
      <c r="C794" s="92" t="s">
        <v>14607</v>
      </c>
      <c r="D794" s="117" t="s">
        <v>20530</v>
      </c>
      <c r="E794" s="70">
        <v>400010</v>
      </c>
      <c r="F794" s="79" t="s">
        <v>137</v>
      </c>
      <c r="G794" t="str">
        <f>N794&amp;" ("&amp;O794&amp;")"</f>
        <v>Obtain From Ch. 06 EX 1 Chest (Normal)</v>
      </c>
      <c r="H794" s="79" t="s">
        <v>137</v>
      </c>
      <c r="I794" t="s">
        <v>137</v>
      </c>
      <c r="J794" s="70">
        <v>4</v>
      </c>
      <c r="K794" s="118">
        <v>43370</v>
      </c>
      <c r="L794" t="s">
        <v>18054</v>
      </c>
      <c r="M794" t="s">
        <v>17513</v>
      </c>
      <c r="N794" t="s">
        <v>20202</v>
      </c>
      <c r="O794" t="s">
        <v>15731</v>
      </c>
      <c r="P794">
        <v>1</v>
      </c>
      <c r="Q794" t="s">
        <v>16100</v>
      </c>
    </row>
    <row r="795" spans="1:17" x14ac:dyDescent="0.2">
      <c r="A795" s="70" t="s">
        <v>14608</v>
      </c>
      <c r="B795" s="92" t="s">
        <v>20163</v>
      </c>
      <c r="C795" t="s">
        <v>14609</v>
      </c>
      <c r="D795" s="117" t="s">
        <v>20531</v>
      </c>
      <c r="E795" s="70">
        <v>400011</v>
      </c>
      <c r="F795" s="79" t="s">
        <v>137</v>
      </c>
      <c r="G795" t="str">
        <f>N795&amp;" ("&amp;O795&amp;")"</f>
        <v>Obtain From Ch. 16 EX 1 Chest (Normal)</v>
      </c>
      <c r="H795" s="79" t="s">
        <v>137</v>
      </c>
      <c r="I795" t="s">
        <v>137</v>
      </c>
      <c r="J795" s="70">
        <v>4</v>
      </c>
      <c r="K795" s="118">
        <v>43370</v>
      </c>
      <c r="L795" t="s">
        <v>18054</v>
      </c>
      <c r="M795" t="s">
        <v>17513</v>
      </c>
      <c r="N795" t="s">
        <v>20286</v>
      </c>
      <c r="O795" t="s">
        <v>15731</v>
      </c>
      <c r="P795">
        <v>1</v>
      </c>
      <c r="Q795" t="s">
        <v>16783</v>
      </c>
    </row>
    <row r="796" spans="1:17" x14ac:dyDescent="0.2">
      <c r="A796" s="70" t="s">
        <v>14610</v>
      </c>
      <c r="B796" s="92" t="s">
        <v>20163</v>
      </c>
      <c r="C796" t="s">
        <v>14611</v>
      </c>
      <c r="D796" s="117" t="s">
        <v>20532</v>
      </c>
      <c r="E796" s="70">
        <v>400012</v>
      </c>
      <c r="F796" s="79" t="s">
        <v>137</v>
      </c>
      <c r="G796" t="str">
        <f>"Clear "&amp;N796&amp;": "&amp;O796</f>
        <v>Clear Flamehowl Ruins: Beginner</v>
      </c>
      <c r="H796" s="79" t="s">
        <v>137</v>
      </c>
      <c r="I796" t="s">
        <v>137</v>
      </c>
      <c r="J796" s="84">
        <v>4</v>
      </c>
      <c r="K796" s="118">
        <v>43370</v>
      </c>
      <c r="L796" t="s">
        <v>18054</v>
      </c>
      <c r="M796" t="s">
        <v>14035</v>
      </c>
      <c r="N796" t="s">
        <v>19167</v>
      </c>
      <c r="O796" t="s">
        <v>18031</v>
      </c>
      <c r="P796">
        <v>1</v>
      </c>
      <c r="Q796" t="s">
        <v>19166</v>
      </c>
    </row>
    <row r="797" spans="1:17" x14ac:dyDescent="0.2">
      <c r="A797" s="70" t="s">
        <v>14612</v>
      </c>
      <c r="B797" s="92" t="s">
        <v>20163</v>
      </c>
      <c r="C797" t="s">
        <v>14613</v>
      </c>
      <c r="D797" s="117" t="s">
        <v>20533</v>
      </c>
      <c r="E797" s="70">
        <v>400013</v>
      </c>
      <c r="F797" s="79" t="s">
        <v>137</v>
      </c>
      <c r="G797" t="str">
        <f>"Clear "&amp;N797&amp;": "&amp;O797</f>
        <v>Clear Jupiter's Trial: Standard</v>
      </c>
      <c r="H797" s="79" t="s">
        <v>137</v>
      </c>
      <c r="I797" t="s">
        <v>137</v>
      </c>
      <c r="J797" s="84">
        <v>4</v>
      </c>
      <c r="K797" s="118">
        <v>43370</v>
      </c>
      <c r="L797" t="s">
        <v>18054</v>
      </c>
      <c r="M797" t="s">
        <v>13994</v>
      </c>
      <c r="N797" t="s">
        <v>19209</v>
      </c>
      <c r="O797" t="s">
        <v>18054</v>
      </c>
      <c r="P797">
        <v>2</v>
      </c>
      <c r="Q797" t="s">
        <v>19210</v>
      </c>
    </row>
    <row r="798" spans="1:17" x14ac:dyDescent="0.2">
      <c r="A798" s="70" t="s">
        <v>14614</v>
      </c>
      <c r="B798" s="92" t="s">
        <v>20163</v>
      </c>
      <c r="C798" t="s">
        <v>14615</v>
      </c>
      <c r="D798" s="117" t="s">
        <v>20534</v>
      </c>
      <c r="E798" s="70">
        <v>400014</v>
      </c>
      <c r="F798" s="79" t="s">
        <v>137</v>
      </c>
      <c r="G798" t="str">
        <f>N798&amp;" ("&amp;O798&amp;")"</f>
        <v>Obtain From Ch. 04 EX 1 Chest (Normal)</v>
      </c>
      <c r="H798" s="79" t="s">
        <v>137</v>
      </c>
      <c r="I798" t="s">
        <v>137</v>
      </c>
      <c r="J798" s="70">
        <v>4</v>
      </c>
      <c r="K798" s="118">
        <v>43370</v>
      </c>
      <c r="L798" t="s">
        <v>18054</v>
      </c>
      <c r="M798" t="s">
        <v>17513</v>
      </c>
      <c r="N798" t="s">
        <v>20405</v>
      </c>
      <c r="O798" t="s">
        <v>15731</v>
      </c>
      <c r="P798">
        <v>1</v>
      </c>
      <c r="Q798" t="s">
        <v>15956</v>
      </c>
    </row>
    <row r="799" spans="1:17" x14ac:dyDescent="0.2">
      <c r="A799" s="70" t="s">
        <v>14616</v>
      </c>
      <c r="B799" s="92" t="s">
        <v>20163</v>
      </c>
      <c r="C799" t="s">
        <v>14617</v>
      </c>
      <c r="D799" s="117" t="s">
        <v>20535</v>
      </c>
      <c r="E799" s="70">
        <v>400015</v>
      </c>
      <c r="F799" s="79" t="s">
        <v>137</v>
      </c>
      <c r="G799" t="str">
        <f>"Clear "&amp;N799&amp;": "&amp;O799</f>
        <v>Clear Windmaul Ruins: Beginner</v>
      </c>
      <c r="H799" s="79" t="s">
        <v>137</v>
      </c>
      <c r="I799" t="s">
        <v>137</v>
      </c>
      <c r="J799" s="84">
        <v>4</v>
      </c>
      <c r="K799" s="118">
        <v>43370</v>
      </c>
      <c r="L799" t="s">
        <v>18054</v>
      </c>
      <c r="M799" t="s">
        <v>14035</v>
      </c>
      <c r="N799" t="s">
        <v>19178</v>
      </c>
      <c r="O799" t="s">
        <v>18031</v>
      </c>
      <c r="P799">
        <v>1</v>
      </c>
      <c r="Q799" t="s">
        <v>19177</v>
      </c>
    </row>
    <row r="800" spans="1:17" x14ac:dyDescent="0.2">
      <c r="A800" s="84" t="s">
        <v>14618</v>
      </c>
      <c r="B800" s="92" t="s">
        <v>20163</v>
      </c>
      <c r="C800" t="s">
        <v>14619</v>
      </c>
      <c r="D800" s="117" t="s">
        <v>20536</v>
      </c>
      <c r="E800" s="70">
        <v>400016</v>
      </c>
      <c r="F800" s="79" t="s">
        <v>137</v>
      </c>
      <c r="G800" t="str">
        <f>IF(O800="","Clear "&amp;N800&amp;" ("&amp;M800&amp;")","Clear "&amp;N800&amp;": "&amp;O800&amp;" ("&amp;M800&amp;")")</f>
        <v>Clear Battle in Rovetelle Forest: Beginner (The Imperial Onslaught)</v>
      </c>
      <c r="H800" s="79" t="s">
        <v>137</v>
      </c>
      <c r="I800" t="s">
        <v>137</v>
      </c>
      <c r="J800" s="84">
        <v>4</v>
      </c>
      <c r="K800" s="118">
        <v>43370</v>
      </c>
      <c r="L800" t="s">
        <v>18054</v>
      </c>
      <c r="M800" t="s">
        <v>13954</v>
      </c>
      <c r="N800" t="s">
        <v>19235</v>
      </c>
      <c r="O800" t="s">
        <v>18031</v>
      </c>
      <c r="P800">
        <v>1</v>
      </c>
      <c r="Q800" t="s">
        <v>19234</v>
      </c>
    </row>
    <row r="801" spans="1:17" x14ac:dyDescent="0.2">
      <c r="A801" s="70" t="s">
        <v>14621</v>
      </c>
      <c r="B801" s="92" t="s">
        <v>20163</v>
      </c>
      <c r="C801" t="s">
        <v>14622</v>
      </c>
      <c r="D801" s="117" t="s">
        <v>20537</v>
      </c>
      <c r="E801" s="70">
        <v>400017</v>
      </c>
      <c r="F801" s="79" t="s">
        <v>137</v>
      </c>
      <c r="G801" t="str">
        <f>N801&amp;" ("&amp;O801&amp;")"</f>
        <v>Obtain From Ch. 12 EX 1 Chest (Normal)</v>
      </c>
      <c r="H801" s="79" t="s">
        <v>137</v>
      </c>
      <c r="I801" t="s">
        <v>137</v>
      </c>
      <c r="J801" s="70">
        <v>4</v>
      </c>
      <c r="K801" s="118">
        <v>43370</v>
      </c>
      <c r="L801" t="s">
        <v>18054</v>
      </c>
      <c r="M801" t="s">
        <v>17513</v>
      </c>
      <c r="N801" t="s">
        <v>20312</v>
      </c>
      <c r="O801" t="s">
        <v>15731</v>
      </c>
      <c r="P801">
        <v>1</v>
      </c>
      <c r="Q801" t="s">
        <v>16506</v>
      </c>
    </row>
    <row r="802" spans="1:17" x14ac:dyDescent="0.2">
      <c r="A802" s="84" t="s">
        <v>14623</v>
      </c>
      <c r="B802" s="92" t="s">
        <v>20163</v>
      </c>
      <c r="C802" t="s">
        <v>14624</v>
      </c>
      <c r="D802" s="117" t="s">
        <v>20538</v>
      </c>
      <c r="E802" s="70">
        <v>400018</v>
      </c>
      <c r="F802" s="79" t="s">
        <v>137</v>
      </c>
      <c r="G802" t="str">
        <f>IF(O802="",N802&amp;" ("&amp;M802&amp;")",N802&amp;": "&amp;O802&amp;" ("&amp;M802&amp;")")</f>
        <v>Unlock 50 Mana Nodes for a Water-Attuned Adventurer (SPECIAL)</v>
      </c>
      <c r="H802" s="79" t="s">
        <v>137</v>
      </c>
      <c r="I802" t="s">
        <v>137</v>
      </c>
      <c r="J802" s="84">
        <v>4</v>
      </c>
      <c r="K802" s="118">
        <v>43370</v>
      </c>
      <c r="M802" t="s">
        <v>20400</v>
      </c>
      <c r="N802" t="s">
        <v>20539</v>
      </c>
      <c r="Q802" t="s">
        <v>137</v>
      </c>
    </row>
    <row r="803" spans="1:17" x14ac:dyDescent="0.2">
      <c r="A803" s="84" t="s">
        <v>14625</v>
      </c>
      <c r="B803" s="92" t="s">
        <v>20163</v>
      </c>
      <c r="C803" t="s">
        <v>14626</v>
      </c>
      <c r="D803" s="117" t="s">
        <v>20540</v>
      </c>
      <c r="E803" s="70">
        <v>400019</v>
      </c>
      <c r="F803" s="79" t="s">
        <v>137</v>
      </c>
      <c r="G803" t="str">
        <f>IF(O803="","Clear "&amp;N803&amp;" ("&amp;M803&amp;")","Clear "&amp;N803&amp;": "&amp;O803&amp;" ("&amp;M803&amp;")")</f>
        <v>Clear Battle in the Dornith Mountains: Expert (The Imperial Onslaught)</v>
      </c>
      <c r="H803" s="79" t="s">
        <v>137</v>
      </c>
      <c r="I803" t="s">
        <v>137</v>
      </c>
      <c r="J803" s="84">
        <v>4</v>
      </c>
      <c r="K803" s="118">
        <v>43370</v>
      </c>
      <c r="L803" t="s">
        <v>18054</v>
      </c>
      <c r="M803" t="s">
        <v>13954</v>
      </c>
      <c r="N803" t="s">
        <v>19243</v>
      </c>
      <c r="O803" t="s">
        <v>18033</v>
      </c>
      <c r="P803">
        <v>3</v>
      </c>
      <c r="Q803" t="s">
        <v>19246</v>
      </c>
    </row>
    <row r="804" spans="1:17" x14ac:dyDescent="0.2">
      <c r="A804" s="70" t="s">
        <v>14627</v>
      </c>
      <c r="B804" s="92" t="s">
        <v>20163</v>
      </c>
      <c r="C804" t="s">
        <v>14628</v>
      </c>
      <c r="D804" s="117" t="s">
        <v>20541</v>
      </c>
      <c r="E804" s="70">
        <v>400020</v>
      </c>
      <c r="F804" s="79" t="s">
        <v>137</v>
      </c>
      <c r="G804" t="str">
        <f>N804&amp;" ("&amp;O804&amp;")"</f>
        <v>Obtain From Ch. 08 EX 1 Chest (Hard)</v>
      </c>
      <c r="H804" s="79" t="s">
        <v>137</v>
      </c>
      <c r="I804" t="s">
        <v>137</v>
      </c>
      <c r="J804" s="70">
        <v>4</v>
      </c>
      <c r="K804" s="118">
        <v>43370</v>
      </c>
      <c r="L804" t="s">
        <v>18054</v>
      </c>
      <c r="M804" t="s">
        <v>17513</v>
      </c>
      <c r="N804" t="s">
        <v>20445</v>
      </c>
      <c r="O804" t="s">
        <v>15732</v>
      </c>
      <c r="P804">
        <v>1</v>
      </c>
      <c r="Q804" t="s">
        <v>17688</v>
      </c>
    </row>
    <row r="805" spans="1:17" x14ac:dyDescent="0.2">
      <c r="A805" s="70" t="s">
        <v>14629</v>
      </c>
      <c r="B805" s="92" t="s">
        <v>20163</v>
      </c>
      <c r="C805" t="s">
        <v>14630</v>
      </c>
      <c r="D805" s="117" t="s">
        <v>20542</v>
      </c>
      <c r="E805" s="70">
        <v>400021</v>
      </c>
      <c r="F805" s="79" t="s">
        <v>137</v>
      </c>
      <c r="G805" t="str">
        <f>N805&amp;" ("&amp;O805&amp;")"</f>
        <v>Obtain From Ch. 13 EX 1 Chest (Hard)</v>
      </c>
      <c r="H805" s="79" t="s">
        <v>137</v>
      </c>
      <c r="I805" t="s">
        <v>137</v>
      </c>
      <c r="J805" s="70">
        <v>4</v>
      </c>
      <c r="K805" s="118">
        <v>43370</v>
      </c>
      <c r="L805" t="s">
        <v>18054</v>
      </c>
      <c r="M805" t="s">
        <v>17513</v>
      </c>
      <c r="N805" t="s">
        <v>20304</v>
      </c>
      <c r="O805" t="s">
        <v>15732</v>
      </c>
      <c r="P805">
        <v>1</v>
      </c>
      <c r="Q805" t="s">
        <v>17786</v>
      </c>
    </row>
    <row r="806" spans="1:17" x14ac:dyDescent="0.2">
      <c r="A806" s="84" t="s">
        <v>14631</v>
      </c>
      <c r="B806" s="92" t="s">
        <v>20163</v>
      </c>
      <c r="C806" t="s">
        <v>14632</v>
      </c>
      <c r="D806" s="117" t="s">
        <v>20543</v>
      </c>
      <c r="E806" s="70">
        <v>400022</v>
      </c>
      <c r="F806" s="79" t="s">
        <v>137</v>
      </c>
      <c r="G806" t="str">
        <f>IF(O806="","Clear "&amp;N806&amp;" ("&amp;M806&amp;")","Clear "&amp;N806&amp;": "&amp;O806&amp;" ("&amp;M806&amp;")")</f>
        <v>Clear Battle at Mount Adolla: Beginner (The Imperial Onslaught)</v>
      </c>
      <c r="H806" s="79" t="s">
        <v>137</v>
      </c>
      <c r="I806" t="s">
        <v>137</v>
      </c>
      <c r="J806" s="84">
        <v>4</v>
      </c>
      <c r="K806" s="118">
        <v>43370</v>
      </c>
      <c r="L806" t="s">
        <v>18054</v>
      </c>
      <c r="M806" t="s">
        <v>13954</v>
      </c>
      <c r="N806" t="s">
        <v>19219</v>
      </c>
      <c r="O806" t="s">
        <v>18031</v>
      </c>
      <c r="P806">
        <v>1</v>
      </c>
      <c r="Q806" t="s">
        <v>19218</v>
      </c>
    </row>
    <row r="807" spans="1:17" x14ac:dyDescent="0.2">
      <c r="A807" s="70" t="s">
        <v>14634</v>
      </c>
      <c r="B807" s="92" t="s">
        <v>20163</v>
      </c>
      <c r="C807" t="s">
        <v>14635</v>
      </c>
      <c r="D807" s="117" t="s">
        <v>20544</v>
      </c>
      <c r="E807" s="70">
        <v>400023</v>
      </c>
      <c r="F807" s="79" t="s">
        <v>137</v>
      </c>
      <c r="G807" t="str">
        <f>"Clear "&amp;N807&amp;": "&amp;O807</f>
        <v>Clear Mercury's Trial: Standard</v>
      </c>
      <c r="H807" s="79" t="s">
        <v>137</v>
      </c>
      <c r="I807" t="s">
        <v>137</v>
      </c>
      <c r="J807" s="84">
        <v>4</v>
      </c>
      <c r="K807" s="118">
        <v>43370</v>
      </c>
      <c r="L807" t="s">
        <v>18054</v>
      </c>
      <c r="M807" t="s">
        <v>13994</v>
      </c>
      <c r="N807" t="s">
        <v>19199</v>
      </c>
      <c r="O807" t="s">
        <v>18054</v>
      </c>
      <c r="P807">
        <v>2</v>
      </c>
      <c r="Q807" t="s">
        <v>19200</v>
      </c>
    </row>
    <row r="808" spans="1:17" x14ac:dyDescent="0.2">
      <c r="A808" s="84" t="s">
        <v>14636</v>
      </c>
      <c r="B808" s="92" t="s">
        <v>20163</v>
      </c>
      <c r="C808" t="s">
        <v>14637</v>
      </c>
      <c r="D808" s="117" t="s">
        <v>20545</v>
      </c>
      <c r="E808" s="70">
        <v>400024</v>
      </c>
      <c r="F808" s="79" t="s">
        <v>137</v>
      </c>
      <c r="G808" t="str">
        <f>IF(O808="","Clear "&amp;N808&amp;" ("&amp;M808&amp;")","Clear "&amp;N808&amp;": "&amp;O808&amp;" ("&amp;M808&amp;")")</f>
        <v>Clear Battle at the Wartarch Ruins: Expert (The Imperial Onslaught)</v>
      </c>
      <c r="H808" s="79" t="s">
        <v>137</v>
      </c>
      <c r="I808" t="s">
        <v>137</v>
      </c>
      <c r="J808" s="84">
        <v>4</v>
      </c>
      <c r="K808" s="118">
        <v>43370</v>
      </c>
      <c r="L808" t="s">
        <v>18054</v>
      </c>
      <c r="M808" t="s">
        <v>13954</v>
      </c>
      <c r="N808" t="s">
        <v>19251</v>
      </c>
      <c r="O808" t="s">
        <v>18033</v>
      </c>
      <c r="P808">
        <v>3</v>
      </c>
      <c r="Q808" t="s">
        <v>19254</v>
      </c>
    </row>
    <row r="809" spans="1:17" x14ac:dyDescent="0.2">
      <c r="A809" s="84" t="s">
        <v>14638</v>
      </c>
      <c r="B809" s="92" t="s">
        <v>20163</v>
      </c>
      <c r="C809" t="s">
        <v>14639</v>
      </c>
      <c r="D809" s="117" t="s">
        <v>20546</v>
      </c>
      <c r="E809" s="70">
        <v>400025</v>
      </c>
      <c r="F809" s="79" t="s">
        <v>137</v>
      </c>
      <c r="G809" t="str">
        <f>IF(O809="",N809&amp;" ("&amp;M809&amp;")",N809&amp;": "&amp;O809&amp;" ("&amp;M809&amp;")")</f>
        <v>Unlock 50 Mana Nodes for a Shadow-Attuned Adventurer (SPECIAL)</v>
      </c>
      <c r="H809" s="79" t="s">
        <v>137</v>
      </c>
      <c r="I809" t="s">
        <v>137</v>
      </c>
      <c r="J809" s="84">
        <v>4</v>
      </c>
      <c r="K809" s="118">
        <v>43370</v>
      </c>
      <c r="M809" t="s">
        <v>20400</v>
      </c>
      <c r="N809" t="s">
        <v>20547</v>
      </c>
      <c r="Q809" t="s">
        <v>137</v>
      </c>
    </row>
    <row r="810" spans="1:17" x14ac:dyDescent="0.2">
      <c r="A810" s="70" t="s">
        <v>14640</v>
      </c>
      <c r="B810" s="92" t="s">
        <v>20163</v>
      </c>
      <c r="C810" t="s">
        <v>14641</v>
      </c>
      <c r="D810" s="117" t="s">
        <v>20548</v>
      </c>
      <c r="E810" s="70">
        <v>400026</v>
      </c>
      <c r="F810" s="79" t="s">
        <v>137</v>
      </c>
      <c r="G810" t="str">
        <f>"Clear "&amp;N810&amp;": "&amp;O810</f>
        <v>Clear Mercury's Trial: Beginner</v>
      </c>
      <c r="H810" s="79" t="s">
        <v>137</v>
      </c>
      <c r="I810" t="s">
        <v>137</v>
      </c>
      <c r="J810" s="84">
        <v>4</v>
      </c>
      <c r="K810" s="118">
        <v>43370</v>
      </c>
      <c r="L810" t="s">
        <v>18054</v>
      </c>
      <c r="M810" t="s">
        <v>13994</v>
      </c>
      <c r="N810" t="s">
        <v>19199</v>
      </c>
      <c r="O810" t="s">
        <v>18031</v>
      </c>
      <c r="P810">
        <v>1</v>
      </c>
      <c r="Q810" t="s">
        <v>19198</v>
      </c>
    </row>
    <row r="811" spans="1:17" x14ac:dyDescent="0.2">
      <c r="A811" s="70" t="s">
        <v>14642</v>
      </c>
      <c r="B811" s="92" t="s">
        <v>20163</v>
      </c>
      <c r="C811" t="s">
        <v>14643</v>
      </c>
      <c r="D811" s="117" t="s">
        <v>20549</v>
      </c>
      <c r="E811" s="70">
        <v>400028</v>
      </c>
      <c r="F811" s="79" t="s">
        <v>137</v>
      </c>
      <c r="G811" t="str">
        <f>"Clear "&amp;N811&amp;": "&amp;O811</f>
        <v>Clear Jupiter's Trial: Expert</v>
      </c>
      <c r="H811" s="79" t="s">
        <v>137</v>
      </c>
      <c r="I811" t="s">
        <v>137</v>
      </c>
      <c r="J811" s="84">
        <v>4</v>
      </c>
      <c r="K811" s="118">
        <v>43370</v>
      </c>
      <c r="L811" t="s">
        <v>18054</v>
      </c>
      <c r="M811" t="s">
        <v>13994</v>
      </c>
      <c r="N811" t="s">
        <v>19209</v>
      </c>
      <c r="O811" t="s">
        <v>18033</v>
      </c>
      <c r="P811">
        <v>3</v>
      </c>
      <c r="Q811" t="s">
        <v>19211</v>
      </c>
    </row>
    <row r="812" spans="1:17" x14ac:dyDescent="0.2">
      <c r="A812" s="84" t="s">
        <v>14644</v>
      </c>
      <c r="B812" s="92" t="s">
        <v>20163</v>
      </c>
      <c r="C812" t="s">
        <v>14645</v>
      </c>
      <c r="D812" s="117" t="s">
        <v>20550</v>
      </c>
      <c r="E812" s="70">
        <v>400031</v>
      </c>
      <c r="F812" s="79" t="s">
        <v>137</v>
      </c>
      <c r="G812" t="str">
        <f>IF(O812="","Clear "&amp;N812&amp;" ("&amp;M812&amp;")","Clear "&amp;N812&amp;": "&amp;O812&amp;" ("&amp;M812&amp;")")</f>
        <v>Clear Battle in the Dornith Mountains: Beginner (The Imperial Onslaught)</v>
      </c>
      <c r="H812" s="79" t="s">
        <v>137</v>
      </c>
      <c r="I812" t="s">
        <v>137</v>
      </c>
      <c r="J812" s="84">
        <v>4</v>
      </c>
      <c r="K812" s="118">
        <v>43370</v>
      </c>
      <c r="L812" t="s">
        <v>18054</v>
      </c>
      <c r="M812" t="s">
        <v>13954</v>
      </c>
      <c r="N812" t="s">
        <v>19243</v>
      </c>
      <c r="O812" t="s">
        <v>18031</v>
      </c>
      <c r="P812">
        <v>1</v>
      </c>
      <c r="Q812" t="s">
        <v>19242</v>
      </c>
    </row>
    <row r="813" spans="1:17" x14ac:dyDescent="0.2">
      <c r="A813" s="84" t="s">
        <v>14646</v>
      </c>
      <c r="B813" s="92" t="s">
        <v>20163</v>
      </c>
      <c r="C813" t="s">
        <v>14647</v>
      </c>
      <c r="D813" s="117" t="s">
        <v>20551</v>
      </c>
      <c r="E813" s="70">
        <v>400029</v>
      </c>
      <c r="F813" s="79" t="s">
        <v>137</v>
      </c>
      <c r="G813" t="str">
        <f>N813&amp;" ("&amp;O813&amp;")"</f>
        <v>Obtain From Ch. 02 EX 1 Chest (Hard)</v>
      </c>
      <c r="H813" s="79" t="s">
        <v>137</v>
      </c>
      <c r="I813" t="s">
        <v>137</v>
      </c>
      <c r="J813" s="70">
        <v>4</v>
      </c>
      <c r="K813" s="118">
        <v>43377</v>
      </c>
      <c r="L813" t="s">
        <v>18054</v>
      </c>
      <c r="M813" t="s">
        <v>17513</v>
      </c>
      <c r="N813" t="s">
        <v>20388</v>
      </c>
      <c r="O813" t="s">
        <v>15732</v>
      </c>
      <c r="P813">
        <v>1</v>
      </c>
      <c r="Q813" t="s">
        <v>17536</v>
      </c>
    </row>
    <row r="814" spans="1:17" x14ac:dyDescent="0.2">
      <c r="A814" s="84" t="s">
        <v>14648</v>
      </c>
      <c r="B814" s="92" t="s">
        <v>20163</v>
      </c>
      <c r="C814" t="s">
        <v>14649</v>
      </c>
      <c r="D814" s="117" t="s">
        <v>20552</v>
      </c>
      <c r="E814" s="70">
        <v>400032</v>
      </c>
      <c r="F814" s="79" t="s">
        <v>137</v>
      </c>
      <c r="G814" t="str">
        <f>IF(O814="","Clear "&amp;N814&amp;" ("&amp;M814&amp;")","Clear "&amp;N814&amp;": "&amp;O814&amp;" ("&amp;M814&amp;")")</f>
        <v>Clear Trees in the Twilight (Trick or Treasure!)</v>
      </c>
      <c r="H814" s="79" t="s">
        <v>137</v>
      </c>
      <c r="I814" t="s">
        <v>137</v>
      </c>
      <c r="J814" s="84">
        <v>4</v>
      </c>
      <c r="K814" s="118">
        <v>43390</v>
      </c>
      <c r="L814" t="s">
        <v>18046</v>
      </c>
      <c r="M814" t="s">
        <v>13967</v>
      </c>
      <c r="N814" t="s">
        <v>18047</v>
      </c>
      <c r="P814">
        <v>1</v>
      </c>
      <c r="Q814" t="s">
        <v>18045</v>
      </c>
    </row>
    <row r="815" spans="1:17" x14ac:dyDescent="0.2">
      <c r="A815" s="70" t="s">
        <v>14650</v>
      </c>
      <c r="B815" s="92" t="s">
        <v>20163</v>
      </c>
      <c r="C815" t="s">
        <v>14651</v>
      </c>
      <c r="D815" s="117" t="s">
        <v>20553</v>
      </c>
      <c r="E815" s="70">
        <v>400101</v>
      </c>
      <c r="F815" s="79" t="s">
        <v>137</v>
      </c>
      <c r="G815" t="str">
        <f>"Clear "&amp;N815&amp;": "&amp;O815</f>
        <v>Clear Flamehowl Ruins: Standard</v>
      </c>
      <c r="H815" s="79" t="s">
        <v>137</v>
      </c>
      <c r="I815" t="s">
        <v>137</v>
      </c>
      <c r="J815" s="84">
        <v>4</v>
      </c>
      <c r="K815" s="118">
        <v>43404</v>
      </c>
      <c r="L815" t="s">
        <v>18054</v>
      </c>
      <c r="M815" t="s">
        <v>14035</v>
      </c>
      <c r="N815" t="s">
        <v>19167</v>
      </c>
      <c r="O815" t="s">
        <v>18054</v>
      </c>
      <c r="P815">
        <v>2</v>
      </c>
      <c r="Q815" t="s">
        <v>19169</v>
      </c>
    </row>
    <row r="816" spans="1:17" x14ac:dyDescent="0.2">
      <c r="A816" s="70" t="s">
        <v>14652</v>
      </c>
      <c r="B816" s="92" t="s">
        <v>20163</v>
      </c>
      <c r="C816" t="s">
        <v>14653</v>
      </c>
      <c r="D816" s="117" t="s">
        <v>20554</v>
      </c>
      <c r="E816" s="70">
        <v>400106</v>
      </c>
      <c r="F816" s="79" t="s">
        <v>137</v>
      </c>
      <c r="G816" t="str">
        <f>IF(O816="","Clear "&amp;N816&amp;" ("&amp;M816&amp;")","Clear "&amp;N816&amp;": "&amp;O816&amp;" ("&amp;M816&amp;")")</f>
        <v>Clear Defending the Village (A Wish to the Winds)</v>
      </c>
      <c r="H816" s="79" t="s">
        <v>137</v>
      </c>
      <c r="I816" t="s">
        <v>137</v>
      </c>
      <c r="J816" s="84">
        <v>4</v>
      </c>
      <c r="K816" s="118">
        <v>43419</v>
      </c>
      <c r="L816" t="s">
        <v>18046</v>
      </c>
      <c r="M816" t="s">
        <v>13983</v>
      </c>
      <c r="N816" t="s">
        <v>18086</v>
      </c>
      <c r="P816">
        <v>1</v>
      </c>
      <c r="Q816" t="s">
        <v>18085</v>
      </c>
    </row>
    <row r="817" spans="1:18" x14ac:dyDescent="0.2">
      <c r="A817" s="70" t="s">
        <v>14654</v>
      </c>
      <c r="B817" s="92" t="s">
        <v>20163</v>
      </c>
      <c r="C817" t="s">
        <v>14655</v>
      </c>
      <c r="D817" s="117" t="s">
        <v>20555</v>
      </c>
      <c r="E817" s="70">
        <v>400113</v>
      </c>
      <c r="F817" s="79" t="s">
        <v>137</v>
      </c>
      <c r="G817" t="str">
        <f>"Clear "&amp;N817&amp;": "&amp;O817</f>
        <v>Clear Lightsunder Ruins: Expert</v>
      </c>
      <c r="H817" s="79" t="s">
        <v>137</v>
      </c>
      <c r="I817" t="s">
        <v>137</v>
      </c>
      <c r="J817" s="84">
        <v>4</v>
      </c>
      <c r="K817" s="118">
        <v>43434</v>
      </c>
      <c r="L817" t="s">
        <v>18054</v>
      </c>
      <c r="M817" t="s">
        <v>14035</v>
      </c>
      <c r="N817" t="s">
        <v>19182</v>
      </c>
      <c r="O817" t="s">
        <v>18033</v>
      </c>
      <c r="P817">
        <v>3</v>
      </c>
      <c r="Q817" t="s">
        <v>19184</v>
      </c>
    </row>
    <row r="818" spans="1:18" x14ac:dyDescent="0.2">
      <c r="A818" s="84" t="s">
        <v>14656</v>
      </c>
      <c r="B818" s="92" t="s">
        <v>20163</v>
      </c>
      <c r="C818" t="s">
        <v>14657</v>
      </c>
      <c r="D818" s="117" t="s">
        <v>20556</v>
      </c>
      <c r="E818" s="70">
        <v>400117</v>
      </c>
      <c r="F818" s="79" t="s">
        <v>137</v>
      </c>
      <c r="G818" t="str">
        <f>IF(O818="",N818&amp;" ("&amp;M818&amp;")",N818&amp;": "&amp;O818&amp;" ("&amp;M818&amp;")")</f>
        <v>Read Episode 5 of the Event Story	 (The Miracle of Dragonyule)</v>
      </c>
      <c r="H818" s="79" t="s">
        <v>137</v>
      </c>
      <c r="I818" t="s">
        <v>137</v>
      </c>
      <c r="J818" s="84">
        <v>4</v>
      </c>
      <c r="K818" s="118">
        <v>43451</v>
      </c>
      <c r="L818" t="s">
        <v>18046</v>
      </c>
      <c r="M818" t="s">
        <v>14001</v>
      </c>
      <c r="N818" t="s">
        <v>20228</v>
      </c>
      <c r="Q818" t="s">
        <v>19773</v>
      </c>
    </row>
    <row r="819" spans="1:18" x14ac:dyDescent="0.2">
      <c r="A819" s="70" t="s">
        <v>14658</v>
      </c>
      <c r="B819" s="92" t="s">
        <v>20163</v>
      </c>
      <c r="C819" t="s">
        <v>14659</v>
      </c>
      <c r="D819" s="117" t="s">
        <v>20557</v>
      </c>
      <c r="E819" s="70">
        <v>400027</v>
      </c>
      <c r="F819" s="79" t="s">
        <v>137</v>
      </c>
      <c r="G819" t="str">
        <f>"Clear "&amp;N819&amp;": "&amp;O819</f>
        <v>Clear Avenue to Power: Beginner</v>
      </c>
      <c r="H819" s="79" t="s">
        <v>137</v>
      </c>
      <c r="I819" t="s">
        <v>137</v>
      </c>
      <c r="J819" s="84">
        <v>4</v>
      </c>
      <c r="K819" s="118">
        <v>43465</v>
      </c>
      <c r="L819" t="s">
        <v>18054</v>
      </c>
      <c r="M819" t="s">
        <v>14970</v>
      </c>
      <c r="N819" t="s">
        <v>19157</v>
      </c>
      <c r="O819" t="s">
        <v>18031</v>
      </c>
      <c r="P819">
        <v>1</v>
      </c>
      <c r="Q819" t="s">
        <v>19156</v>
      </c>
    </row>
    <row r="820" spans="1:18" x14ac:dyDescent="0.2">
      <c r="A820" s="70" t="s">
        <v>14660</v>
      </c>
      <c r="B820" s="92" t="s">
        <v>20163</v>
      </c>
      <c r="C820" t="s">
        <v>14661</v>
      </c>
      <c r="D820" s="117" t="s">
        <v>20558</v>
      </c>
      <c r="E820" s="70">
        <v>400130</v>
      </c>
      <c r="F820" s="79" t="s">
        <v>137</v>
      </c>
      <c r="G820" t="str">
        <f>IF(O820="","Clear "&amp;N820&amp;" ("&amp;M820&amp;")","Clear "&amp;N820&amp;": "&amp;O820&amp;" ("&amp;M820&amp;")")</f>
        <v>Clear Practice in the Poison Swamp (Dream Big Under the Big Top)</v>
      </c>
      <c r="H820" s="79" t="s">
        <v>137</v>
      </c>
      <c r="I820" t="s">
        <v>137</v>
      </c>
      <c r="J820" s="84">
        <v>4</v>
      </c>
      <c r="K820" s="118">
        <v>43480</v>
      </c>
      <c r="L820" t="s">
        <v>18046</v>
      </c>
      <c r="M820" t="s">
        <v>14017</v>
      </c>
      <c r="N820" t="s">
        <v>18145</v>
      </c>
      <c r="P820">
        <v>1</v>
      </c>
      <c r="Q820" t="s">
        <v>18144</v>
      </c>
    </row>
    <row r="821" spans="1:18" x14ac:dyDescent="0.2">
      <c r="A821" s="84" t="s">
        <v>14662</v>
      </c>
      <c r="B821" s="92" t="s">
        <v>20163</v>
      </c>
      <c r="C821" t="s">
        <v>14663</v>
      </c>
      <c r="D821" s="117" t="s">
        <v>20559</v>
      </c>
      <c r="E821" s="70">
        <v>400137</v>
      </c>
      <c r="F821" s="79" t="s">
        <v>137</v>
      </c>
      <c r="G821" t="str">
        <f>IF(O821="","Clear "&amp;N821&amp;" ("&amp;M821&amp;")","Clear "&amp;N821&amp;": "&amp;O821&amp;" ("&amp;M821&amp;")")</f>
        <v>Clear To the Dragon-Vein Spring (Skyborne Spectacle)</v>
      </c>
      <c r="H821" s="79" t="s">
        <v>137</v>
      </c>
      <c r="I821" t="s">
        <v>137</v>
      </c>
      <c r="J821" s="84">
        <v>4</v>
      </c>
      <c r="K821" s="118">
        <v>43496</v>
      </c>
      <c r="L821" t="s">
        <v>18017</v>
      </c>
      <c r="M821" t="s">
        <v>14028</v>
      </c>
      <c r="N821" t="s">
        <v>18156</v>
      </c>
      <c r="P821">
        <v>1</v>
      </c>
      <c r="Q821" t="s">
        <v>18155</v>
      </c>
    </row>
    <row r="822" spans="1:18" x14ac:dyDescent="0.2">
      <c r="A822" s="70" t="s">
        <v>14664</v>
      </c>
      <c r="B822" s="92" t="s">
        <v>20163</v>
      </c>
      <c r="C822" t="s">
        <v>14665</v>
      </c>
      <c r="D822" s="117" t="s">
        <v>20560</v>
      </c>
      <c r="E822" s="70">
        <v>400141</v>
      </c>
      <c r="F822" s="79" t="s">
        <v>137</v>
      </c>
      <c r="G822" t="str">
        <f>"Clear "&amp;N822&amp;": "&amp;O822</f>
        <v>Clear Mercury's Trial: Master</v>
      </c>
      <c r="H822" s="79" t="s">
        <v>137</v>
      </c>
      <c r="I822" t="s">
        <v>137</v>
      </c>
      <c r="J822" s="84">
        <v>4</v>
      </c>
      <c r="K822" s="118">
        <v>43510</v>
      </c>
      <c r="L822" t="s">
        <v>18054</v>
      </c>
      <c r="M822" t="s">
        <v>13994</v>
      </c>
      <c r="N822" t="s">
        <v>19199</v>
      </c>
      <c r="O822" t="s">
        <v>18061</v>
      </c>
      <c r="P822">
        <v>4</v>
      </c>
      <c r="Q822" t="s">
        <v>19202</v>
      </c>
    </row>
    <row r="823" spans="1:18" x14ac:dyDescent="0.2">
      <c r="A823" s="70" t="s">
        <v>14666</v>
      </c>
      <c r="B823" s="92" t="s">
        <v>20163</v>
      </c>
      <c r="C823" t="s">
        <v>14667</v>
      </c>
      <c r="D823" s="117" t="s">
        <v>20561</v>
      </c>
      <c r="E823" s="70">
        <v>400151</v>
      </c>
      <c r="F823" s="79" t="s">
        <v>137</v>
      </c>
      <c r="G823" t="str">
        <f>"Clear "&amp;N823&amp;": "&amp;O823</f>
        <v>Clear Midgardsormr's Trial: Standard</v>
      </c>
      <c r="H823" s="79" t="s">
        <v>137</v>
      </c>
      <c r="I823" t="s">
        <v>137</v>
      </c>
      <c r="J823" s="84">
        <v>4</v>
      </c>
      <c r="K823" s="118">
        <v>43524</v>
      </c>
      <c r="L823" t="s">
        <v>18054</v>
      </c>
      <c r="M823" t="s">
        <v>13994</v>
      </c>
      <c r="N823" t="s">
        <v>19190</v>
      </c>
      <c r="O823" t="s">
        <v>18054</v>
      </c>
      <c r="P823">
        <v>2</v>
      </c>
      <c r="Q823" t="s">
        <v>19192</v>
      </c>
    </row>
    <row r="824" spans="1:18" x14ac:dyDescent="0.2">
      <c r="A824" s="84" t="s">
        <v>14668</v>
      </c>
      <c r="B824" s="92" t="s">
        <v>20163</v>
      </c>
      <c r="C824" t="s">
        <v>14669</v>
      </c>
      <c r="D824" s="117" t="s">
        <v>20562</v>
      </c>
      <c r="E824" s="70">
        <v>400156</v>
      </c>
      <c r="F824" s="79" t="s">
        <v>137</v>
      </c>
      <c r="G824" t="str">
        <f>IF(O824="","Clear "&amp;N824&amp;" ("&amp;M824&amp;")","Clear "&amp;N824&amp;": "&amp;O824&amp;" ("&amp;M824&amp;")")</f>
        <v>Clear The Crawling Nightmare: Beginner (The Accursed Archives)</v>
      </c>
      <c r="H824" s="79" t="s">
        <v>137</v>
      </c>
      <c r="I824" t="s">
        <v>137</v>
      </c>
      <c r="J824" s="84">
        <v>4</v>
      </c>
      <c r="K824" s="118">
        <v>43536</v>
      </c>
      <c r="L824" t="s">
        <v>18046</v>
      </c>
      <c r="M824" t="s">
        <v>14060</v>
      </c>
      <c r="N824" t="s">
        <v>18223</v>
      </c>
      <c r="O824" t="s">
        <v>18031</v>
      </c>
      <c r="P824">
        <v>1</v>
      </c>
      <c r="Q824" t="s">
        <v>18222</v>
      </c>
    </row>
    <row r="825" spans="1:18" x14ac:dyDescent="0.2">
      <c r="A825" s="84" t="s">
        <v>14670</v>
      </c>
      <c r="B825" s="92" t="s">
        <v>20163</v>
      </c>
      <c r="C825" t="s">
        <v>14671</v>
      </c>
      <c r="D825" s="117" t="s">
        <v>20563</v>
      </c>
      <c r="E825" s="70">
        <v>400175</v>
      </c>
      <c r="F825" s="79" t="s">
        <v>137</v>
      </c>
      <c r="G825" t="str">
        <f>IF(O825="","Clear "&amp;N825&amp;" ("&amp;M825&amp;")","Clear "&amp;N825&amp;": "&amp;O825&amp;" ("&amp;M825&amp;")")</f>
        <v>Clear The Vernal Games Warm-Ups: Beginner (The Hunt for Harmony)</v>
      </c>
      <c r="H825" s="79" t="s">
        <v>137</v>
      </c>
      <c r="I825" t="s">
        <v>137</v>
      </c>
      <c r="J825" s="84">
        <v>4</v>
      </c>
      <c r="K825" s="118">
        <v>43555</v>
      </c>
      <c r="L825" t="s">
        <v>18046</v>
      </c>
      <c r="M825" t="s">
        <v>14065</v>
      </c>
      <c r="N825" t="s">
        <v>18234</v>
      </c>
      <c r="O825" t="s">
        <v>18031</v>
      </c>
      <c r="P825">
        <v>1</v>
      </c>
      <c r="Q825" t="s">
        <v>18233</v>
      </c>
    </row>
    <row r="826" spans="1:18" x14ac:dyDescent="0.2">
      <c r="A826" s="84" t="s">
        <v>14672</v>
      </c>
      <c r="B826" s="92" t="s">
        <v>20163</v>
      </c>
      <c r="C826" t="s">
        <v>14673</v>
      </c>
      <c r="D826" s="117" t="s">
        <v>20564</v>
      </c>
      <c r="E826" s="70">
        <v>400279</v>
      </c>
      <c r="F826" s="79" t="s">
        <v>137</v>
      </c>
      <c r="G826" t="str">
        <f>IF(O826="","Clear "&amp;N826&amp;" ("&amp;M826&amp;")","Clear "&amp;N826&amp;": "&amp;O826&amp;" ("&amp;M826&amp;")")</f>
        <v>Clear Repel the Empire: Normal (Fire Emblem: Lost Heroes)</v>
      </c>
      <c r="H826" s="79" t="s">
        <v>137</v>
      </c>
      <c r="I826" t="s">
        <v>137</v>
      </c>
      <c r="J826" s="84">
        <v>4</v>
      </c>
      <c r="K826" s="118">
        <v>43581</v>
      </c>
      <c r="L826" t="s">
        <v>18241</v>
      </c>
      <c r="M826" t="s">
        <v>18242</v>
      </c>
      <c r="N826" t="s">
        <v>18250</v>
      </c>
      <c r="O826" t="s">
        <v>15731</v>
      </c>
      <c r="P826">
        <v>1</v>
      </c>
      <c r="Q826" t="s">
        <v>18249</v>
      </c>
    </row>
    <row r="827" spans="1:18" x14ac:dyDescent="0.2">
      <c r="A827" s="84" t="s">
        <v>14674</v>
      </c>
      <c r="B827" s="92" t="s">
        <v>20163</v>
      </c>
      <c r="C827" t="s">
        <v>14675</v>
      </c>
      <c r="D827" s="117" t="s">
        <v>20565</v>
      </c>
      <c r="E827" s="70">
        <v>400001</v>
      </c>
      <c r="F827" s="79" t="s">
        <v>137</v>
      </c>
      <c r="G827" t="str">
        <f>+N827</f>
        <v>Complete Tutorial</v>
      </c>
      <c r="H827" s="79" t="s">
        <v>137</v>
      </c>
      <c r="I827" t="s">
        <v>137</v>
      </c>
      <c r="J827" s="84">
        <v>4</v>
      </c>
      <c r="K827" s="118">
        <v>43370</v>
      </c>
      <c r="L827" t="s">
        <v>18054</v>
      </c>
      <c r="M827" t="s">
        <v>13720</v>
      </c>
      <c r="N827" t="s">
        <v>276</v>
      </c>
      <c r="Q827" t="s">
        <v>137</v>
      </c>
    </row>
    <row r="828" spans="1:18" x14ac:dyDescent="0.2">
      <c r="A828" s="84" t="s">
        <v>14676</v>
      </c>
      <c r="B828" s="92" t="s">
        <v>20163</v>
      </c>
      <c r="C828" t="s">
        <v>14677</v>
      </c>
      <c r="D828" s="117" t="s">
        <v>20566</v>
      </c>
      <c r="E828" s="70">
        <v>400002</v>
      </c>
      <c r="F828" s="79" t="s">
        <v>137</v>
      </c>
      <c r="G828" t="str">
        <f>+N828</f>
        <v>Complete Tutorial</v>
      </c>
      <c r="H828" s="79" t="s">
        <v>137</v>
      </c>
      <c r="I828" t="s">
        <v>137</v>
      </c>
      <c r="J828" s="84">
        <v>4</v>
      </c>
      <c r="K828" s="118">
        <v>43370</v>
      </c>
      <c r="L828" t="s">
        <v>18054</v>
      </c>
      <c r="M828" t="s">
        <v>13720</v>
      </c>
      <c r="N828" t="s">
        <v>276</v>
      </c>
      <c r="Q828" t="s">
        <v>137</v>
      </c>
    </row>
    <row r="829" spans="1:18" x14ac:dyDescent="0.2">
      <c r="A829" s="84" t="s">
        <v>14678</v>
      </c>
      <c r="B829" s="92" t="s">
        <v>20163</v>
      </c>
      <c r="C829" t="s">
        <v>14679</v>
      </c>
      <c r="D829" s="117" t="s">
        <v>20567</v>
      </c>
      <c r="E829" s="70">
        <v>400003</v>
      </c>
      <c r="F829" s="79" t="s">
        <v>137</v>
      </c>
      <c r="G829" t="str">
        <f>+N829</f>
        <v>Complete Tutorial</v>
      </c>
      <c r="H829" s="79" t="s">
        <v>137</v>
      </c>
      <c r="I829" t="s">
        <v>137</v>
      </c>
      <c r="J829" s="84">
        <v>4</v>
      </c>
      <c r="K829" s="118">
        <v>43370</v>
      </c>
      <c r="L829" t="s">
        <v>18054</v>
      </c>
      <c r="M829" t="s">
        <v>13720</v>
      </c>
      <c r="N829" t="s">
        <v>276</v>
      </c>
      <c r="Q829" t="s">
        <v>137</v>
      </c>
    </row>
    <row r="830" spans="1:18" x14ac:dyDescent="0.2">
      <c r="A830" s="84" t="s">
        <v>14680</v>
      </c>
      <c r="B830" s="92" t="s">
        <v>20163</v>
      </c>
      <c r="C830" t="s">
        <v>14681</v>
      </c>
      <c r="D830" s="117" t="s">
        <v>20568</v>
      </c>
      <c r="E830" s="70">
        <v>400004</v>
      </c>
      <c r="F830" s="79" t="s">
        <v>137</v>
      </c>
      <c r="G830" t="str">
        <f>+N830</f>
        <v>Complete Tutorial</v>
      </c>
      <c r="H830" s="79" t="s">
        <v>137</v>
      </c>
      <c r="I830" t="s">
        <v>137</v>
      </c>
      <c r="J830" s="84">
        <v>4</v>
      </c>
      <c r="K830" s="118">
        <v>43370</v>
      </c>
      <c r="L830" t="s">
        <v>18054</v>
      </c>
      <c r="M830" t="s">
        <v>13720</v>
      </c>
      <c r="N830" t="s">
        <v>276</v>
      </c>
      <c r="Q830" t="s">
        <v>137</v>
      </c>
    </row>
    <row r="831" spans="1:18" x14ac:dyDescent="0.2">
      <c r="A831" s="84" t="s">
        <v>14682</v>
      </c>
      <c r="B831" s="92" t="s">
        <v>20163</v>
      </c>
      <c r="C831" t="s">
        <v>14683</v>
      </c>
      <c r="D831" s="117" t="s">
        <v>20569</v>
      </c>
      <c r="E831" s="70">
        <v>400005</v>
      </c>
      <c r="F831" s="79" t="s">
        <v>137</v>
      </c>
      <c r="G831" t="str">
        <f>+N831</f>
        <v>Complete Tutorial</v>
      </c>
      <c r="H831" s="79" t="s">
        <v>137</v>
      </c>
      <c r="I831" t="s">
        <v>137</v>
      </c>
      <c r="J831" s="84">
        <v>4</v>
      </c>
      <c r="K831" s="118">
        <v>43370</v>
      </c>
      <c r="L831" t="s">
        <v>18054</v>
      </c>
      <c r="M831" t="s">
        <v>13720</v>
      </c>
      <c r="N831" t="s">
        <v>276</v>
      </c>
      <c r="Q831" t="s">
        <v>137</v>
      </c>
    </row>
    <row r="832" spans="1:18" x14ac:dyDescent="0.2">
      <c r="A832" s="84" t="s">
        <v>14684</v>
      </c>
      <c r="B832" s="92" t="s">
        <v>20163</v>
      </c>
      <c r="C832" t="s">
        <v>14685</v>
      </c>
      <c r="D832" s="117"/>
      <c r="E832" s="70" t="s">
        <v>6064</v>
      </c>
      <c r="F832" s="79" t="s">
        <v>137</v>
      </c>
      <c r="G832" t="str">
        <f t="shared" ref="G832:G846" si="24">IF(O832="","Clear "&amp;N832&amp;" ("&amp;M832&amp;")","Clear "&amp;N832&amp;": "&amp;O832&amp;" ("&amp;M832&amp;")")</f>
        <v>Clear Lilith's Trial (Shadow): Standard (Trials of the Mighty)</v>
      </c>
      <c r="H832" s="79" t="s">
        <v>137</v>
      </c>
      <c r="I832" t="s">
        <v>137</v>
      </c>
      <c r="J832" s="84">
        <v>9</v>
      </c>
      <c r="K832" s="118">
        <v>44267</v>
      </c>
      <c r="L832" t="s">
        <v>18054</v>
      </c>
      <c r="M832" t="s">
        <v>19456</v>
      </c>
      <c r="N832" t="s">
        <v>19517</v>
      </c>
      <c r="O832" t="s">
        <v>18054</v>
      </c>
      <c r="P832">
        <v>1</v>
      </c>
      <c r="Q832" t="s">
        <v>19516</v>
      </c>
      <c r="R832" t="s">
        <v>20163</v>
      </c>
    </row>
    <row r="833" spans="1:18" x14ac:dyDescent="0.2">
      <c r="A833" s="84" t="s">
        <v>14687</v>
      </c>
      <c r="B833" s="92" t="s">
        <v>20163</v>
      </c>
      <c r="C833" t="s">
        <v>14688</v>
      </c>
      <c r="D833" s="117"/>
      <c r="E833" s="70" t="s">
        <v>6064</v>
      </c>
      <c r="F833" s="79" t="s">
        <v>137</v>
      </c>
      <c r="G833" t="str">
        <f t="shared" si="24"/>
        <v>Clear Lilith's Trial (Flame): Standard (Trials of the Mighty)</v>
      </c>
      <c r="H833" s="79" t="s">
        <v>137</v>
      </c>
      <c r="I833" t="s">
        <v>137</v>
      </c>
      <c r="J833" s="84">
        <v>9</v>
      </c>
      <c r="K833" s="118">
        <v>44267</v>
      </c>
      <c r="L833" t="s">
        <v>18054</v>
      </c>
      <c r="M833" t="s">
        <v>19456</v>
      </c>
      <c r="N833" t="s">
        <v>19513</v>
      </c>
      <c r="O833" t="s">
        <v>18054</v>
      </c>
      <c r="P833">
        <v>1</v>
      </c>
      <c r="Q833" t="s">
        <v>19512</v>
      </c>
      <c r="R833" t="s">
        <v>20163</v>
      </c>
    </row>
    <row r="834" spans="1:18" x14ac:dyDescent="0.2">
      <c r="A834" s="84" t="s">
        <v>14689</v>
      </c>
      <c r="B834" s="92" t="s">
        <v>20163</v>
      </c>
      <c r="C834" t="s">
        <v>14690</v>
      </c>
      <c r="D834" s="117"/>
      <c r="E834" s="70" t="s">
        <v>6064</v>
      </c>
      <c r="F834" s="79" t="s">
        <v>137</v>
      </c>
      <c r="G834" t="str">
        <f t="shared" si="24"/>
        <v>Clear Jaldabaoth's Trial (Wind): Standard (Trials of the Mighty)</v>
      </c>
      <c r="H834" s="79" t="s">
        <v>137</v>
      </c>
      <c r="I834" t="s">
        <v>137</v>
      </c>
      <c r="J834" s="84">
        <v>9</v>
      </c>
      <c r="K834" s="118">
        <v>44316</v>
      </c>
      <c r="L834" t="s">
        <v>18054</v>
      </c>
      <c r="M834" t="s">
        <v>19456</v>
      </c>
      <c r="N834" t="s">
        <v>19497</v>
      </c>
      <c r="O834" t="s">
        <v>18054</v>
      </c>
      <c r="P834">
        <v>1</v>
      </c>
      <c r="Q834" t="s">
        <v>19496</v>
      </c>
      <c r="R834" t="s">
        <v>20163</v>
      </c>
    </row>
    <row r="835" spans="1:18" x14ac:dyDescent="0.2">
      <c r="A835" s="84" t="s">
        <v>14691</v>
      </c>
      <c r="B835" s="92" t="s">
        <v>20163</v>
      </c>
      <c r="C835" t="s">
        <v>14692</v>
      </c>
      <c r="D835" s="117"/>
      <c r="E835" s="70" t="s">
        <v>6064</v>
      </c>
      <c r="F835" s="79" t="s">
        <v>137</v>
      </c>
      <c r="G835" t="str">
        <f t="shared" si="24"/>
        <v>Clear Jaldabaoth's Trial (Water): Standard (Trials of the Mighty)</v>
      </c>
      <c r="H835" s="79" t="s">
        <v>137</v>
      </c>
      <c r="I835" t="s">
        <v>137</v>
      </c>
      <c r="J835" s="84">
        <v>9</v>
      </c>
      <c r="K835" s="118">
        <v>44316</v>
      </c>
      <c r="L835" t="s">
        <v>18054</v>
      </c>
      <c r="M835" t="s">
        <v>19456</v>
      </c>
      <c r="N835" t="s">
        <v>19493</v>
      </c>
      <c r="O835" t="s">
        <v>18054</v>
      </c>
      <c r="P835">
        <v>1</v>
      </c>
      <c r="Q835" t="s">
        <v>19492</v>
      </c>
      <c r="R835" t="s">
        <v>20163</v>
      </c>
    </row>
    <row r="836" spans="1:18" x14ac:dyDescent="0.2">
      <c r="A836" s="84" t="s">
        <v>14693</v>
      </c>
      <c r="B836" s="92" t="s">
        <v>20163</v>
      </c>
      <c r="C836" t="s">
        <v>14694</v>
      </c>
      <c r="D836" s="117"/>
      <c r="E836" s="70" t="s">
        <v>6064</v>
      </c>
      <c r="F836" s="79" t="s">
        <v>137</v>
      </c>
      <c r="G836" t="str">
        <f t="shared" si="24"/>
        <v>Clear Asura's Trial (Light): Standard (Trials of the Mighty)</v>
      </c>
      <c r="H836" s="79" t="s">
        <v>137</v>
      </c>
      <c r="I836" t="s">
        <v>137</v>
      </c>
      <c r="J836" s="84">
        <v>9</v>
      </c>
      <c r="K836" s="118">
        <v>44379</v>
      </c>
      <c r="L836" t="s">
        <v>18054</v>
      </c>
      <c r="M836" t="s">
        <v>19456</v>
      </c>
      <c r="N836" t="s">
        <v>19461</v>
      </c>
      <c r="O836" t="s">
        <v>18054</v>
      </c>
      <c r="P836">
        <v>1</v>
      </c>
      <c r="Q836" t="s">
        <v>19460</v>
      </c>
      <c r="R836" t="s">
        <v>20163</v>
      </c>
    </row>
    <row r="837" spans="1:18" x14ac:dyDescent="0.2">
      <c r="A837" s="84" t="s">
        <v>14696</v>
      </c>
      <c r="B837" s="92" t="s">
        <v>20163</v>
      </c>
      <c r="C837" t="s">
        <v>13876</v>
      </c>
      <c r="D837" s="117"/>
      <c r="E837" s="70" t="s">
        <v>6064</v>
      </c>
      <c r="F837" s="79" t="s">
        <v>137</v>
      </c>
      <c r="G837" t="str">
        <f t="shared" si="24"/>
        <v>Clear Asura's Trial (Wind): Standard (Trials of the Mighty)</v>
      </c>
      <c r="H837" s="79" t="s">
        <v>137</v>
      </c>
      <c r="I837" t="s">
        <v>137</v>
      </c>
      <c r="J837" s="84">
        <v>9</v>
      </c>
      <c r="K837" s="118">
        <v>44379</v>
      </c>
      <c r="L837" t="s">
        <v>18054</v>
      </c>
      <c r="M837" t="s">
        <v>19456</v>
      </c>
      <c r="N837" t="s">
        <v>19465</v>
      </c>
      <c r="O837" t="s">
        <v>18054</v>
      </c>
      <c r="P837">
        <v>1</v>
      </c>
      <c r="Q837" t="s">
        <v>19464</v>
      </c>
      <c r="R837" t="s">
        <v>20163</v>
      </c>
    </row>
    <row r="838" spans="1:18" x14ac:dyDescent="0.2">
      <c r="A838" s="84" t="s">
        <v>14697</v>
      </c>
      <c r="B838" s="92" t="s">
        <v>20163</v>
      </c>
      <c r="C838" t="s">
        <v>14698</v>
      </c>
      <c r="D838" s="117"/>
      <c r="E838" s="70" t="s">
        <v>6064</v>
      </c>
      <c r="F838" s="79" t="s">
        <v>137</v>
      </c>
      <c r="G838" t="str">
        <f t="shared" si="24"/>
        <v>Clear Iblis's Trial (Shadow): Standard (Trials of the Mighty)</v>
      </c>
      <c r="H838" s="79" t="s">
        <v>137</v>
      </c>
      <c r="I838" t="s">
        <v>137</v>
      </c>
      <c r="J838" s="84">
        <v>9</v>
      </c>
      <c r="K838" s="118">
        <v>44442</v>
      </c>
      <c r="L838" t="s">
        <v>18054</v>
      </c>
      <c r="M838" t="s">
        <v>19456</v>
      </c>
      <c r="N838" t="s">
        <v>19485</v>
      </c>
      <c r="O838" t="s">
        <v>18054</v>
      </c>
      <c r="P838">
        <v>1</v>
      </c>
      <c r="Q838" t="s">
        <v>19484</v>
      </c>
      <c r="R838" t="s">
        <v>20163</v>
      </c>
    </row>
    <row r="839" spans="1:18" x14ac:dyDescent="0.2">
      <c r="A839" s="84" t="s">
        <v>14699</v>
      </c>
      <c r="B839" s="92" t="s">
        <v>20163</v>
      </c>
      <c r="C839" t="s">
        <v>14700</v>
      </c>
      <c r="D839" s="117"/>
      <c r="E839" s="70" t="s">
        <v>6064</v>
      </c>
      <c r="F839" s="79" t="s">
        <v>137</v>
      </c>
      <c r="G839" t="str">
        <f t="shared" si="24"/>
        <v>Clear Iblis's Trial (Water): Standard (Trials of the Mighty)</v>
      </c>
      <c r="H839" s="79" t="s">
        <v>137</v>
      </c>
      <c r="I839" t="s">
        <v>137</v>
      </c>
      <c r="J839" s="84">
        <v>9</v>
      </c>
      <c r="K839" s="118">
        <v>44442</v>
      </c>
      <c r="L839" t="s">
        <v>18054</v>
      </c>
      <c r="M839" t="s">
        <v>19456</v>
      </c>
      <c r="N839" t="s">
        <v>19489</v>
      </c>
      <c r="O839" t="s">
        <v>18054</v>
      </c>
      <c r="P839">
        <v>1</v>
      </c>
      <c r="Q839" t="s">
        <v>19488</v>
      </c>
      <c r="R839" t="s">
        <v>20163</v>
      </c>
    </row>
    <row r="840" spans="1:18" x14ac:dyDescent="0.2">
      <c r="A840" s="84" t="s">
        <v>14701</v>
      </c>
      <c r="B840" s="92" t="s">
        <v>20163</v>
      </c>
      <c r="C840" t="s">
        <v>14702</v>
      </c>
      <c r="D840" s="117"/>
      <c r="E840" s="70" t="s">
        <v>6064</v>
      </c>
      <c r="F840" s="79" t="s">
        <v>137</v>
      </c>
      <c r="G840" t="str">
        <f t="shared" si="24"/>
        <v>Clear Surtr's Trial (Flame): Standard (Trials of the Mighty)</v>
      </c>
      <c r="H840" s="79" t="s">
        <v>137</v>
      </c>
      <c r="I840" t="s">
        <v>137</v>
      </c>
      <c r="J840" s="84">
        <v>9</v>
      </c>
      <c r="K840" s="118">
        <v>44498</v>
      </c>
      <c r="L840" t="s">
        <v>18054</v>
      </c>
      <c r="M840" t="s">
        <v>19456</v>
      </c>
      <c r="N840" t="s">
        <v>19537</v>
      </c>
      <c r="O840" t="s">
        <v>18054</v>
      </c>
      <c r="P840">
        <v>1</v>
      </c>
      <c r="Q840" t="s">
        <v>19536</v>
      </c>
      <c r="R840" t="s">
        <v>20163</v>
      </c>
    </row>
    <row r="841" spans="1:18" x14ac:dyDescent="0.2">
      <c r="A841" s="84" t="s">
        <v>14704</v>
      </c>
      <c r="B841" s="92" t="s">
        <v>20163</v>
      </c>
      <c r="C841" t="s">
        <v>13905</v>
      </c>
      <c r="D841" s="117"/>
      <c r="E841" s="70" t="s">
        <v>6064</v>
      </c>
      <c r="F841" s="79" t="s">
        <v>137</v>
      </c>
      <c r="G841" t="str">
        <f t="shared" si="24"/>
        <v>Clear Surtr's Trial (Light): Standard (Trials of the Mighty)</v>
      </c>
      <c r="H841" s="79" t="s">
        <v>137</v>
      </c>
      <c r="I841" t="s">
        <v>137</v>
      </c>
      <c r="J841" s="84">
        <v>9</v>
      </c>
      <c r="K841" s="118">
        <v>44498</v>
      </c>
      <c r="L841" t="s">
        <v>18054</v>
      </c>
      <c r="M841" t="s">
        <v>19456</v>
      </c>
      <c r="N841" t="s">
        <v>19541</v>
      </c>
      <c r="O841" t="s">
        <v>18054</v>
      </c>
      <c r="P841">
        <v>1</v>
      </c>
      <c r="Q841" t="s">
        <v>19540</v>
      </c>
      <c r="R841" t="s">
        <v>20163</v>
      </c>
    </row>
    <row r="842" spans="1:18" x14ac:dyDescent="0.2">
      <c r="A842" s="84" t="s">
        <v>14705</v>
      </c>
      <c r="B842" s="92" t="s">
        <v>20163</v>
      </c>
      <c r="C842" t="s">
        <v>14706</v>
      </c>
      <c r="D842" s="117"/>
      <c r="E842" s="70" t="s">
        <v>6064</v>
      </c>
      <c r="F842" s="79" t="s">
        <v>137</v>
      </c>
      <c r="G842" t="str">
        <f t="shared" si="24"/>
        <v>Clear Lilith's Encroaching Shadow: Legend (Rise of the Sinister Dominion)</v>
      </c>
      <c r="H842" s="79" t="s">
        <v>137</v>
      </c>
      <c r="I842" t="s">
        <v>137</v>
      </c>
      <c r="J842" s="84">
        <v>9</v>
      </c>
      <c r="K842" s="118" t="s">
        <v>6064</v>
      </c>
      <c r="L842" t="s">
        <v>18054</v>
      </c>
      <c r="M842" t="s">
        <v>13844</v>
      </c>
      <c r="N842" t="s">
        <v>19324</v>
      </c>
      <c r="O842" t="s">
        <v>19350</v>
      </c>
      <c r="P842">
        <v>1</v>
      </c>
      <c r="Q842" t="s">
        <v>19371</v>
      </c>
      <c r="R842" t="s">
        <v>20163</v>
      </c>
    </row>
    <row r="843" spans="1:18" x14ac:dyDescent="0.2">
      <c r="A843" s="84" t="s">
        <v>14708</v>
      </c>
      <c r="B843" s="92" t="s">
        <v>20163</v>
      </c>
      <c r="C843" t="s">
        <v>14709</v>
      </c>
      <c r="D843" s="117"/>
      <c r="E843" s="70" t="s">
        <v>6064</v>
      </c>
      <c r="F843" s="79" t="s">
        <v>137</v>
      </c>
      <c r="G843" t="str">
        <f t="shared" si="24"/>
        <v>Clear Jaldabaoth's Piercing Gale: Legend (Rise of the Sinister Dominion)</v>
      </c>
      <c r="H843" s="79" t="s">
        <v>137</v>
      </c>
      <c r="I843" t="s">
        <v>137</v>
      </c>
      <c r="J843" s="84">
        <v>9</v>
      </c>
      <c r="K843" s="118" t="s">
        <v>6064</v>
      </c>
      <c r="L843" t="s">
        <v>18054</v>
      </c>
      <c r="M843" t="s">
        <v>13844</v>
      </c>
      <c r="N843" t="s">
        <v>19308</v>
      </c>
      <c r="O843" t="s">
        <v>19350</v>
      </c>
      <c r="P843">
        <v>1</v>
      </c>
      <c r="Q843" t="s">
        <v>19363</v>
      </c>
      <c r="R843" t="s">
        <v>20163</v>
      </c>
    </row>
    <row r="844" spans="1:18" x14ac:dyDescent="0.2">
      <c r="A844" s="84" t="s">
        <v>14710</v>
      </c>
      <c r="B844" s="92" t="s">
        <v>20163</v>
      </c>
      <c r="C844" t="s">
        <v>20570</v>
      </c>
      <c r="D844" s="117"/>
      <c r="E844" s="70" t="s">
        <v>6064</v>
      </c>
      <c r="F844" s="79" t="s">
        <v>137</v>
      </c>
      <c r="G844" t="str">
        <f t="shared" si="24"/>
        <v>Clear Asura's Blinding Light: Legend (Rise of the Sinister Dominion)</v>
      </c>
      <c r="H844" s="79" t="s">
        <v>137</v>
      </c>
      <c r="I844" t="s">
        <v>137</v>
      </c>
      <c r="J844" s="84">
        <v>9</v>
      </c>
      <c r="K844" s="118" t="s">
        <v>6064</v>
      </c>
      <c r="L844" t="s">
        <v>18054</v>
      </c>
      <c r="M844" t="s">
        <v>13844</v>
      </c>
      <c r="N844" t="s">
        <v>19320</v>
      </c>
      <c r="O844" t="s">
        <v>19350</v>
      </c>
      <c r="P844">
        <v>1</v>
      </c>
      <c r="Q844" t="s">
        <v>19369</v>
      </c>
      <c r="R844" t="s">
        <v>20163</v>
      </c>
    </row>
    <row r="845" spans="1:18" x14ac:dyDescent="0.2">
      <c r="A845" s="84" t="s">
        <v>14712</v>
      </c>
      <c r="B845" s="92" t="s">
        <v>20163</v>
      </c>
      <c r="C845" t="s">
        <v>14713</v>
      </c>
      <c r="D845" s="117"/>
      <c r="E845" s="70" t="s">
        <v>6064</v>
      </c>
      <c r="F845" s="79" t="s">
        <v>137</v>
      </c>
      <c r="G845" t="str">
        <f t="shared" si="24"/>
        <v>Clear Iblis's Surging Cascade: Legend (Rise of the Sinister Dominion)</v>
      </c>
      <c r="H845" s="79" t="s">
        <v>137</v>
      </c>
      <c r="I845" t="s">
        <v>137</v>
      </c>
      <c r="J845" s="84">
        <v>9</v>
      </c>
      <c r="K845" s="118" t="s">
        <v>6064</v>
      </c>
      <c r="L845" t="s">
        <v>18054</v>
      </c>
      <c r="M845" t="s">
        <v>13844</v>
      </c>
      <c r="N845" t="s">
        <v>19312</v>
      </c>
      <c r="O845" t="s">
        <v>19350</v>
      </c>
      <c r="P845">
        <v>1</v>
      </c>
      <c r="Q845" t="s">
        <v>19365</v>
      </c>
      <c r="R845" t="s">
        <v>20163</v>
      </c>
    </row>
    <row r="846" spans="1:18" x14ac:dyDescent="0.2">
      <c r="A846" s="84" t="s">
        <v>14714</v>
      </c>
      <c r="B846" s="92" t="s">
        <v>20163</v>
      </c>
      <c r="C846" t="s">
        <v>14715</v>
      </c>
      <c r="D846" s="117"/>
      <c r="E846" s="70" t="s">
        <v>6064</v>
      </c>
      <c r="F846" s="79" t="s">
        <v>137</v>
      </c>
      <c r="G846" t="str">
        <f t="shared" si="24"/>
        <v>Clear Surtr's Devouring Flame: Legend (Rise of the Sinister Dominion)</v>
      </c>
      <c r="H846" s="79" t="s">
        <v>137</v>
      </c>
      <c r="I846" t="s">
        <v>137</v>
      </c>
      <c r="J846" s="84">
        <v>9</v>
      </c>
      <c r="K846" s="118" t="s">
        <v>6064</v>
      </c>
      <c r="L846" t="s">
        <v>18054</v>
      </c>
      <c r="M846" t="s">
        <v>13844</v>
      </c>
      <c r="N846" t="s">
        <v>19316</v>
      </c>
      <c r="O846" t="s">
        <v>19350</v>
      </c>
      <c r="P846">
        <v>1</v>
      </c>
      <c r="Q846" t="s">
        <v>19367</v>
      </c>
      <c r="R846" t="s">
        <v>20163</v>
      </c>
    </row>
    <row r="847" spans="1:18" x14ac:dyDescent="0.2">
      <c r="A847" t="s">
        <v>14718</v>
      </c>
      <c r="B847" s="92" t="s">
        <v>20163</v>
      </c>
      <c r="C847" t="s">
        <v>14719</v>
      </c>
      <c r="E847" s="70" t="s">
        <v>6064</v>
      </c>
      <c r="F847" s="79" t="s">
        <v>137</v>
      </c>
      <c r="G847" t="str">
        <f>+N847</f>
        <v>Complete all Rise of the Sinister Dominion Quests on Legend Difficulty</v>
      </c>
      <c r="H847" s="79" t="s">
        <v>137</v>
      </c>
      <c r="I847" t="s">
        <v>137</v>
      </c>
      <c r="J847" s="84">
        <v>5</v>
      </c>
      <c r="K847" s="118" t="s">
        <v>6064</v>
      </c>
      <c r="L847" t="s">
        <v>18054</v>
      </c>
      <c r="M847" t="s">
        <v>13844</v>
      </c>
      <c r="N847" t="s">
        <v>20571</v>
      </c>
    </row>
    <row r="849" spans="1:1" ht="20.25" x14ac:dyDescent="0.3">
      <c r="A849" s="314" t="s">
        <v>20572</v>
      </c>
    </row>
  </sheetData>
  <autoFilter ref="A2:S797" xr:uid="{900F937E-66E6-4B6A-AE48-B0B740963F52}">
    <sortState xmlns:xlrd2="http://schemas.microsoft.com/office/spreadsheetml/2017/richdata2" ref="A3:R847">
      <sortCondition ref="A2:A797"/>
    </sortState>
  </autoFilter>
  <sortState xmlns:xlrd2="http://schemas.microsoft.com/office/spreadsheetml/2017/richdata2" ref="A481:Q484">
    <sortCondition ref="C481:C484"/>
  </sortState>
  <phoneticPr fontId="26" type="noConversion"/>
  <hyperlinks>
    <hyperlink ref="D3" r:id="rId1" xr:uid="{3261F2F2-BFAC-4DE9-89F1-9FF27AE38655}"/>
    <hyperlink ref="D4" r:id="rId2" xr:uid="{15B03E9E-AC04-4891-A199-4043A19A279D}"/>
    <hyperlink ref="D5" r:id="rId3" xr:uid="{A348FEE0-5888-4321-B607-2C5D4A2BC789}"/>
    <hyperlink ref="D6" r:id="rId4" xr:uid="{E93B988B-9B60-4B23-8106-138A0A432A4F}"/>
    <hyperlink ref="D7" r:id="rId5" xr:uid="{D9156647-CA95-4EC7-B258-AB5A89F7567B}"/>
    <hyperlink ref="D8" r:id="rId6" xr:uid="{94E7478F-CEAB-4B88-AF0D-6C808141E59E}"/>
    <hyperlink ref="D9" r:id="rId7" xr:uid="{B25D5D3E-B8F4-45F8-A31F-E615DEC65AB6}"/>
    <hyperlink ref="D10" r:id="rId8" xr:uid="{F7E263C3-B1C4-4A08-966D-8C374C68AEBA}"/>
    <hyperlink ref="D11" r:id="rId9" xr:uid="{DFD7B026-48B3-4136-B487-96C697CC813B}"/>
    <hyperlink ref="D13" r:id="rId10" xr:uid="{3A12CF81-3A61-4865-8197-147C181ACE78}"/>
    <hyperlink ref="D14" r:id="rId11" xr:uid="{43694876-140F-406C-A88A-2FDB7E9D97FA}"/>
    <hyperlink ref="D15" r:id="rId12" xr:uid="{A064D79A-74BA-4FDA-9E0B-4B44345E9FC1}"/>
    <hyperlink ref="D16" r:id="rId13" xr:uid="{CBAE393F-E51D-4DB5-9518-ECAB684BB41C}"/>
    <hyperlink ref="D17" r:id="rId14" xr:uid="{F1B77C31-CA95-4366-A426-79684DD71EDA}"/>
    <hyperlink ref="D18" r:id="rId15" xr:uid="{C468C54D-3469-4330-B6EB-F78C472FD109}"/>
    <hyperlink ref="D19" r:id="rId16" xr:uid="{18B004EE-D21C-43DF-8B00-91803359E9BD}"/>
    <hyperlink ref="D20" r:id="rId17" xr:uid="{BCF28797-1B21-417E-BD62-34E9CFAC9D5A}"/>
    <hyperlink ref="D21" r:id="rId18" xr:uid="{DDB2AE53-6031-4B86-A455-3CF07ACF733D}"/>
    <hyperlink ref="D22" r:id="rId19" xr:uid="{4BD1DF4B-0CAE-4B30-8ADD-1E8232AC38E6}"/>
    <hyperlink ref="D23" r:id="rId20" xr:uid="{36C06D30-6B33-47A3-9C4A-84F92EF224C7}"/>
    <hyperlink ref="D24" r:id="rId21" xr:uid="{CB9A5025-5442-4230-8863-E99B54CC9682}"/>
    <hyperlink ref="D25" r:id="rId22" xr:uid="{22EBBFF0-76B9-4A19-AB6D-7D6EAF37B633}"/>
    <hyperlink ref="D26" r:id="rId23" xr:uid="{83A5505C-C4D2-44E9-8FF8-F87AE69953AE}"/>
    <hyperlink ref="D27" r:id="rId24" xr:uid="{5FA60B1F-B255-4302-B9E9-B19369BCF5EA}"/>
    <hyperlink ref="D28" r:id="rId25" xr:uid="{6CE2E008-3642-44BD-91BA-F155AC000B33}"/>
    <hyperlink ref="D29" r:id="rId26" xr:uid="{43078A7A-D87B-422C-B245-C13FD1CEF68F}"/>
    <hyperlink ref="D30" r:id="rId27" xr:uid="{2D8E570B-44CC-44A3-8287-95FE43BB0DB8}"/>
    <hyperlink ref="D31" r:id="rId28" xr:uid="{B595DC85-E7ED-4542-8196-5413E7E5920F}"/>
    <hyperlink ref="D32" r:id="rId29" xr:uid="{E19625FB-1CCC-49C1-AD7F-A9F72801F286}"/>
    <hyperlink ref="D33" r:id="rId30" xr:uid="{349C4DEF-D8A1-4862-8D10-B03AD170BDD1}"/>
    <hyperlink ref="D34" r:id="rId31" xr:uid="{8507C2AD-BEE1-4663-ABB7-F02373D7C76B}"/>
    <hyperlink ref="D35" r:id="rId32" xr:uid="{EED30E37-E74D-4A13-9DF1-7A1162D08A2A}"/>
    <hyperlink ref="D36" r:id="rId33" xr:uid="{53220B6D-463D-45C3-B3EB-E2192F4B8B4E}"/>
    <hyperlink ref="D37" r:id="rId34" xr:uid="{C18648D6-7D02-4063-A407-2538DB2D333D}"/>
    <hyperlink ref="D38" r:id="rId35" xr:uid="{C8D7F8D4-CA8F-49F8-A77E-0E0E56E9AC2F}"/>
    <hyperlink ref="D39" r:id="rId36" xr:uid="{3CCBA7C1-9272-45A8-B4C0-765D1D3F9BC9}"/>
    <hyperlink ref="D40" r:id="rId37" xr:uid="{F935248D-D7DD-4D21-A16A-7009E70B43ED}"/>
    <hyperlink ref="D41" r:id="rId38" xr:uid="{AEBC1B1E-4902-4982-9D53-E7087707CEB7}"/>
    <hyperlink ref="D42" r:id="rId39" xr:uid="{2FE2C845-D117-4A2D-ACCF-561CEA854887}"/>
    <hyperlink ref="D44" r:id="rId40" xr:uid="{DD5C423E-B253-4092-8372-7E3F8C3BE75D}"/>
    <hyperlink ref="D45" r:id="rId41" xr:uid="{9961C4B3-C188-487C-A31D-DD9EA403072D}"/>
    <hyperlink ref="D46" r:id="rId42" xr:uid="{29ACDDDD-72BD-4FE9-AD66-223D17231527}"/>
    <hyperlink ref="D47" r:id="rId43" xr:uid="{85502FF1-BD69-4AB2-800D-ED9439971E5E}"/>
    <hyperlink ref="D48" r:id="rId44" xr:uid="{6EFDB38D-3E84-42AF-A117-D2015E7F2485}"/>
    <hyperlink ref="D49" r:id="rId45" xr:uid="{29795BFE-6B63-4900-A889-BB5D59B5D9BB}"/>
    <hyperlink ref="D50" r:id="rId46" xr:uid="{2D4E5009-3F73-44D5-B714-E0F31D9103B2}"/>
    <hyperlink ref="D51" r:id="rId47" xr:uid="{8C384497-FBA6-456B-ADAE-31784B5806C7}"/>
    <hyperlink ref="D52" r:id="rId48" xr:uid="{5D0FEB6B-6E64-4564-8791-9C53FF99E9E7}"/>
    <hyperlink ref="D53" r:id="rId49" xr:uid="{2E9DA4B3-CD80-4A63-A507-72667A8BE8CF}"/>
    <hyperlink ref="D54" r:id="rId50" xr:uid="{D05CFF59-8B65-4C4B-B69B-01CF167B0E4F}"/>
    <hyperlink ref="D56" r:id="rId51" xr:uid="{3A525FD1-78CB-4541-B4B9-2394BE144F65}"/>
    <hyperlink ref="D57" r:id="rId52" xr:uid="{67ADE493-F7DC-4BEE-BBC9-25382BDE7FD4}"/>
    <hyperlink ref="D58" r:id="rId53" xr:uid="{04AE8FEE-D37F-4E91-9085-662AA9F16729}"/>
    <hyperlink ref="D59" r:id="rId54" xr:uid="{689DC707-A79E-45D7-B583-D3CAEB99E5C5}"/>
    <hyperlink ref="D60" r:id="rId55" xr:uid="{BE2D4A30-C896-424A-8FD6-73A5B0ABB041}"/>
    <hyperlink ref="D61" r:id="rId56" xr:uid="{51342F3F-F517-49A3-8132-E6ED96BAE1F9}"/>
    <hyperlink ref="D62" r:id="rId57" xr:uid="{CDB2F6BB-E5B4-4654-818C-59ACECD27987}"/>
    <hyperlink ref="D63" r:id="rId58" xr:uid="{A2DA94D2-E88C-4545-B0B6-8B1D642B5C88}"/>
    <hyperlink ref="D64" r:id="rId59" xr:uid="{9248AEF1-78A0-41C9-AAA6-FEEADEC62F2C}"/>
    <hyperlink ref="D65" r:id="rId60" xr:uid="{5B9A5F97-9CF1-48FA-82FB-27C898EE661D}"/>
    <hyperlink ref="D66" r:id="rId61" xr:uid="{A462DDEF-728B-4993-A850-E62A19078D5B}"/>
    <hyperlink ref="D67" r:id="rId62" xr:uid="{F4689246-006B-48B5-8A76-1481FEB0EFF7}"/>
    <hyperlink ref="D68" r:id="rId63" xr:uid="{8835A548-0B31-4389-8259-468213BEDD38}"/>
    <hyperlink ref="D69" r:id="rId64" xr:uid="{1F0B4130-4EE5-456D-8CE8-C6461E1D2A33}"/>
    <hyperlink ref="D70" r:id="rId65" xr:uid="{2FA9D87D-39CA-4473-8966-1C17B84E4E42}"/>
    <hyperlink ref="D71" r:id="rId66" xr:uid="{B260FF52-D514-47E3-AE31-ED7D67747DE1}"/>
    <hyperlink ref="D72" r:id="rId67" xr:uid="{97A2C864-166C-43DF-A709-8395C6D64DD8}"/>
    <hyperlink ref="D73" r:id="rId68" xr:uid="{93446E79-BC7D-4BA8-9596-A5A2D5742BDE}"/>
    <hyperlink ref="D74" r:id="rId69" xr:uid="{95D02E7F-DE7C-4C25-8198-69709D96DA52}"/>
    <hyperlink ref="D75" r:id="rId70" xr:uid="{D2DEE926-8F50-4E81-BB9E-C3F64303C9D8}"/>
    <hyperlink ref="D76" r:id="rId71" xr:uid="{E03F3B0E-66E6-4B0E-A139-87F69B121010}"/>
    <hyperlink ref="D77" r:id="rId72" xr:uid="{33A7FE21-3BAE-4EFF-9341-39CB6216A0E6}"/>
    <hyperlink ref="D78" r:id="rId73" xr:uid="{FB3980B0-619D-4B2B-9B16-379C176E0320}"/>
    <hyperlink ref="D79" r:id="rId74" xr:uid="{9B24F0D9-656C-42C5-8C40-45CDF5D5246D}"/>
    <hyperlink ref="D80" r:id="rId75" xr:uid="{6766BBF6-B223-4AF6-8C9F-1E7399E03593}"/>
    <hyperlink ref="D81" r:id="rId76" xr:uid="{9B0BEF53-6328-4003-B33C-1305B21CF6D3}"/>
    <hyperlink ref="D82" r:id="rId77" xr:uid="{F314C9A6-7DFB-4395-9253-6533104C42EA}"/>
    <hyperlink ref="D83" r:id="rId78" xr:uid="{D88B03F0-74BD-4977-B2E2-9EF7D94AB376}"/>
    <hyperlink ref="D84" r:id="rId79" xr:uid="{EBC702D2-AA82-4ACD-AAE8-14E25133F0C1}"/>
    <hyperlink ref="D85" r:id="rId80" xr:uid="{63A1DD5A-A936-49FA-B612-FD8262318BDB}"/>
    <hyperlink ref="D86" r:id="rId81" xr:uid="{76DCD025-FE8B-4E4A-B243-55BC22F899B5}"/>
    <hyperlink ref="D87" r:id="rId82" xr:uid="{DB52AEE4-9ABA-4172-8132-7CBB7EC22F9F}"/>
    <hyperlink ref="D88" r:id="rId83" xr:uid="{2D7F05F0-5ABB-49A2-B06C-91ABDBFAA69C}"/>
    <hyperlink ref="D89" r:id="rId84" xr:uid="{983ADB63-DADA-40A9-B382-08CD39BE045A}"/>
    <hyperlink ref="D90" r:id="rId85" xr:uid="{37C5F469-283D-4F32-86FC-576208D680D3}"/>
    <hyperlink ref="D91" r:id="rId86" xr:uid="{C4E58D9E-489B-4F4E-88F1-4D71AC82026B}"/>
    <hyperlink ref="D92" r:id="rId87" xr:uid="{7F455022-1900-46DF-9794-C818802EAC98}"/>
    <hyperlink ref="D93" r:id="rId88" xr:uid="{5B760ED9-0E7F-4FBD-986E-4B16FAF1F1D1}"/>
    <hyperlink ref="D94" r:id="rId89" xr:uid="{F6A6CE43-0192-4193-B122-441047ABFFF7}"/>
    <hyperlink ref="D95" r:id="rId90" xr:uid="{A16E4738-543C-4D5E-B50A-DEF1C7253092}"/>
    <hyperlink ref="D96" r:id="rId91" xr:uid="{075FE69F-FEF1-4820-9A5C-F8F6DF73968D}"/>
    <hyperlink ref="D97" r:id="rId92" xr:uid="{639004D6-52CF-483A-91C4-4CBB822EB0F8}"/>
    <hyperlink ref="D98" r:id="rId93" xr:uid="{B6B9BBE1-C3A8-47F0-B482-9039E1F67776}"/>
    <hyperlink ref="D99" r:id="rId94" xr:uid="{32DD7A0F-CE18-477C-9CF1-F24F0AC6DDC4}"/>
    <hyperlink ref="D100" r:id="rId95" xr:uid="{1ED50D26-73B3-461E-A7AC-CA9B6F97AF45}"/>
    <hyperlink ref="D101" r:id="rId96" xr:uid="{E9A000B7-51F4-4117-8482-A99654599D43}"/>
    <hyperlink ref="D102" r:id="rId97" xr:uid="{F6C00911-DF10-4039-A46C-70BCF5543841}"/>
    <hyperlink ref="D103" r:id="rId98" xr:uid="{3623E844-95F6-4702-9DD0-0BAD365C194E}"/>
    <hyperlink ref="D104" r:id="rId99" xr:uid="{3F285D50-4543-4E80-A329-556F6861C8EE}"/>
    <hyperlink ref="D105" r:id="rId100" xr:uid="{CAD19500-8777-416A-B53B-517756DFEB2C}"/>
    <hyperlink ref="D106" r:id="rId101" xr:uid="{34DB70CA-9193-4BB7-B795-42FCFC880810}"/>
    <hyperlink ref="D107" r:id="rId102" xr:uid="{FBFB9CE8-FE19-415F-B9CF-22FBA2F6CF23}"/>
    <hyperlink ref="D108" r:id="rId103" xr:uid="{CE35E2D6-C21D-4F7B-9C34-1290A3A76373}"/>
    <hyperlink ref="D109" r:id="rId104" xr:uid="{5B2AFED0-9C03-43E2-8380-31539BAC74FF}"/>
    <hyperlink ref="D110" r:id="rId105" xr:uid="{B1F1B87C-5E77-4EB1-914C-377608EFF6FA}"/>
    <hyperlink ref="D111" r:id="rId106" xr:uid="{8DE64E5F-8EEC-4C7F-B043-3B6DB57715FB}"/>
    <hyperlink ref="D112" r:id="rId107" xr:uid="{32887FD6-B442-4CD0-A371-5BDC6440AA5E}"/>
    <hyperlink ref="D113" r:id="rId108" xr:uid="{3B06F39F-EEC9-4A4B-BF27-E2635EAC95BE}"/>
    <hyperlink ref="D114" r:id="rId109" xr:uid="{0D9916FE-686A-4EDD-8113-5C6D3699C3D2}"/>
    <hyperlink ref="D115" r:id="rId110" xr:uid="{C33EF406-F854-4A7E-9EC8-44C4E2ABEDC7}"/>
    <hyperlink ref="D116" r:id="rId111" xr:uid="{84EAB160-0FD4-4AAC-A8E5-0DBC16EC1C12}"/>
    <hyperlink ref="D117" r:id="rId112" xr:uid="{65FFB49E-7FF1-4BE9-862A-76876968798F}"/>
    <hyperlink ref="D118" r:id="rId113" xr:uid="{D8B166E3-0821-4C4E-8654-39E0D3078E1A}"/>
    <hyperlink ref="D119" r:id="rId114" xr:uid="{2F7CB227-5890-4FEF-ADF9-9AFBFEADCCC5}"/>
    <hyperlink ref="D120" r:id="rId115" xr:uid="{7ADCADDA-01A4-4A34-9C5A-0118D5158232}"/>
    <hyperlink ref="D121" r:id="rId116" xr:uid="{F141ACBD-1260-443B-95D5-CD8FDBE7CE35}"/>
    <hyperlink ref="D122" r:id="rId117" xr:uid="{0946C56E-7111-4FFF-9686-18EBE33B62B0}"/>
    <hyperlink ref="D123" r:id="rId118" xr:uid="{B5BE31B1-4F6F-4BD2-B4EC-86055BDC3BAC}"/>
    <hyperlink ref="D124" r:id="rId119" xr:uid="{F8BC2D70-F6D0-4F6C-AA9C-AA3329E687BD}"/>
    <hyperlink ref="D125" r:id="rId120" xr:uid="{30C02D0E-DDB3-40FB-83C2-8C76C0360B0A}"/>
    <hyperlink ref="D126" r:id="rId121" xr:uid="{94241B22-C388-4B93-972F-89BAC02A926D}"/>
    <hyperlink ref="D127" r:id="rId122" xr:uid="{FF17BB2D-4B65-446A-AAC9-A33526785AD6}"/>
    <hyperlink ref="D128" r:id="rId123" xr:uid="{F96ED009-9BD4-443F-9908-BD5834248036}"/>
    <hyperlink ref="D129" r:id="rId124" xr:uid="{FAC5C123-3CE6-41E6-8610-B5E9F50FDAFB}"/>
    <hyperlink ref="D130" r:id="rId125" xr:uid="{15DAC1DB-EA0E-4588-8F2E-6F9F8218A6E7}"/>
    <hyperlink ref="D131" r:id="rId126" xr:uid="{D766C547-8AB1-49C8-8440-493DE0CACE46}"/>
    <hyperlink ref="D132" r:id="rId127" xr:uid="{D3C4C3A2-41AA-45BA-AEFB-9F016CDE6399}"/>
    <hyperlink ref="D133" r:id="rId128" xr:uid="{E95FF5BD-392C-41AE-B5B7-00762506479D}"/>
    <hyperlink ref="D134" r:id="rId129" xr:uid="{551E255D-FB4E-4B21-A1B1-133E7564BD9F}"/>
    <hyperlink ref="D135" r:id="rId130" xr:uid="{CFB1C772-4184-4A58-B757-199C64FBB242}"/>
    <hyperlink ref="D136" r:id="rId131" xr:uid="{9C017001-24CC-4DDE-A750-33891E73C72E}"/>
    <hyperlink ref="D137" r:id="rId132" xr:uid="{DC16DB6F-32C1-4476-B17C-B0224AF843F2}"/>
    <hyperlink ref="D138" r:id="rId133" xr:uid="{A16AC460-4480-4760-8AF8-AB18BFF6D6A4}"/>
    <hyperlink ref="D139" r:id="rId134" xr:uid="{F96D2CBA-E5CE-4AC2-94E2-3F892405F1C1}"/>
    <hyperlink ref="D140" r:id="rId135" xr:uid="{2EECFE31-044B-4B3A-929B-CB37DA290888}"/>
    <hyperlink ref="D141" r:id="rId136" xr:uid="{D330BA60-CCB0-4902-AF2F-EAB158B0F37F}"/>
    <hyperlink ref="D142" r:id="rId137" xr:uid="{3B0E4A45-460F-4031-9F7B-A401B8634E5A}"/>
    <hyperlink ref="D143" r:id="rId138" xr:uid="{BD811DBA-F6F3-49CD-BA2C-25F7B2FB8CED}"/>
    <hyperlink ref="D144" r:id="rId139" xr:uid="{B58BE879-1D40-4D36-9E92-C3B139303DD5}"/>
    <hyperlink ref="D146" r:id="rId140" xr:uid="{C8569354-58C0-4BCB-8FD1-0595273D91E4}"/>
    <hyperlink ref="D147" r:id="rId141" xr:uid="{A8B5BA70-7FEB-4C69-8AE4-34CCC3D40471}"/>
    <hyperlink ref="D148" r:id="rId142" xr:uid="{B92A0EA4-61E7-4BC2-B676-D060B3684783}"/>
    <hyperlink ref="D149" r:id="rId143" xr:uid="{A2AB51CC-3F24-4875-866D-812E54B1AEC8}"/>
    <hyperlink ref="D150" r:id="rId144" xr:uid="{8DFB89C0-056D-492B-B316-FEA2FC374104}"/>
    <hyperlink ref="D151" r:id="rId145" xr:uid="{30228DAD-F7D0-45EE-A013-739C9BD9D168}"/>
    <hyperlink ref="D152" r:id="rId146" xr:uid="{BEDD321E-FF51-4033-A3AC-87AE2C502F91}"/>
    <hyperlink ref="D153" r:id="rId147" xr:uid="{15BF961B-FC74-460D-9B07-4E5F04403D2C}"/>
    <hyperlink ref="D154" r:id="rId148" xr:uid="{35FA2B34-0BEF-41A1-9812-E2960424159B}"/>
    <hyperlink ref="D155" r:id="rId149" xr:uid="{178E55C3-14AF-48B2-9AAB-CCBDB521AAE6}"/>
    <hyperlink ref="D156" r:id="rId150" xr:uid="{8E4D910B-7C14-4E0E-8F52-442325595531}"/>
    <hyperlink ref="D157" r:id="rId151" xr:uid="{6E58C30B-CAD8-4B59-86A2-7E9DB5D08D70}"/>
    <hyperlink ref="D159" r:id="rId152" xr:uid="{44B07B78-7DC2-41F6-B2CD-F94B6F3672FF}"/>
    <hyperlink ref="D160" r:id="rId153" xr:uid="{DC759F8D-A6A2-46C2-B9FC-80D6391EB9A3}"/>
    <hyperlink ref="D161" r:id="rId154" xr:uid="{214A50AD-1009-489E-9D16-C9405431E249}"/>
    <hyperlink ref="D162" r:id="rId155" xr:uid="{60A96480-577F-4DE5-B50D-D14670DD8B13}"/>
    <hyperlink ref="D163" r:id="rId156" xr:uid="{3197F05F-78BB-40CC-B1B8-707F5CB2ED36}"/>
    <hyperlink ref="D164" r:id="rId157" xr:uid="{3AD93E5C-AA03-4134-8412-3146D541B808}"/>
    <hyperlink ref="D165" r:id="rId158" xr:uid="{DC5052C8-4C13-44DE-AC0B-1E871BC70F4F}"/>
    <hyperlink ref="D166" r:id="rId159" xr:uid="{649A8DF8-9320-4DB1-AD4B-6AD2BB3E727A}"/>
    <hyperlink ref="D167" r:id="rId160" xr:uid="{2CF19317-EB36-41FA-8B3A-A60514467038}"/>
    <hyperlink ref="D168" r:id="rId161" xr:uid="{137684E5-742C-4D6C-A92D-AD7FDE716A1D}"/>
    <hyperlink ref="D169" r:id="rId162" xr:uid="{521C5E9A-C45F-4303-83C9-2E512223FC89}"/>
    <hyperlink ref="D170" r:id="rId163" xr:uid="{88E8D0B7-C7F6-44D2-B92A-A07885848A7D}"/>
    <hyperlink ref="D171" r:id="rId164" xr:uid="{AB5CF41C-9582-4392-84D7-51D0B15E8344}"/>
    <hyperlink ref="D172" r:id="rId165" xr:uid="{D9C7C2BA-2D1D-44DB-90D5-49B52A7B27C7}"/>
    <hyperlink ref="D173" r:id="rId166" xr:uid="{50BCEFF8-43D7-4F8C-9631-073F6DAD52C9}"/>
    <hyperlink ref="D174" r:id="rId167" xr:uid="{829101E6-3BF5-4D51-AD89-50AAF9557600}"/>
    <hyperlink ref="D175" r:id="rId168" xr:uid="{5044D2F1-6B19-46B9-8710-C8C0C4157A72}"/>
    <hyperlink ref="D176" r:id="rId169" xr:uid="{DBE21A57-0401-4CDF-A99D-A13B9D0785DA}"/>
    <hyperlink ref="D177" r:id="rId170" xr:uid="{1F57390F-8B7C-41F2-AA26-5678B9D24C8A}"/>
    <hyperlink ref="D178" r:id="rId171" xr:uid="{D3798D5E-B10A-43BF-AC9E-EF00F6908CAF}"/>
    <hyperlink ref="D179" r:id="rId172" xr:uid="{E8D0503C-8ABD-434A-8440-20FD6B5C9F73}"/>
    <hyperlink ref="D180" r:id="rId173" xr:uid="{C1D3F7AA-2355-4B3F-A5A0-98E32E540D98}"/>
    <hyperlink ref="D181" r:id="rId174" xr:uid="{B2FEEA69-13C8-4342-B3FC-4BC0F0E21AAB}"/>
    <hyperlink ref="D182" r:id="rId175" xr:uid="{1ECFEAE6-C0EE-4ABC-BBC1-36723D07C000}"/>
    <hyperlink ref="D183" r:id="rId176" xr:uid="{067031DF-6A09-4E7D-8DAD-889933C05509}"/>
    <hyperlink ref="D184" r:id="rId177" xr:uid="{8C039526-C651-4D88-BF19-EC74D2EFFA73}"/>
    <hyperlink ref="D185" r:id="rId178" xr:uid="{A7ABBF2E-F78C-47EC-B619-E4D831CAB881}"/>
    <hyperlink ref="D186" r:id="rId179" xr:uid="{4F438569-380A-4C96-9087-8ACFF60BFE37}"/>
    <hyperlink ref="D187" r:id="rId180" xr:uid="{D1E6EE74-19B3-43B6-9FFF-8FB968441289}"/>
    <hyperlink ref="D188" r:id="rId181" xr:uid="{4C2EE503-C7F5-463F-AA0F-60B2D23A8CFA}"/>
    <hyperlink ref="D189" r:id="rId182" xr:uid="{FCFB18AB-BE3E-47BC-8978-ED209C0F6028}"/>
    <hyperlink ref="D190" r:id="rId183" xr:uid="{D1A98977-7CAF-4388-B64A-292E155CBB7A}"/>
    <hyperlink ref="D191" r:id="rId184" xr:uid="{C24B204A-0B24-47E2-BB99-C02798A40AB0}"/>
    <hyperlink ref="D192" r:id="rId185" xr:uid="{C10852C1-99FB-4FAB-AA3A-625DFF5C2DF2}"/>
    <hyperlink ref="D193" r:id="rId186" xr:uid="{A9C84DD7-9E7A-40C9-B9FE-AED145F27BCA}"/>
    <hyperlink ref="D194" r:id="rId187" xr:uid="{8CB79A28-4635-4ED1-B191-70ED5E3D6910}"/>
    <hyperlink ref="D195" r:id="rId188" xr:uid="{AD4EE7B7-83B8-4510-8735-D7C5A2769BC8}"/>
    <hyperlink ref="D196" r:id="rId189" xr:uid="{527D1735-5C24-4F2D-8A7E-6E7811F40B2F}"/>
    <hyperlink ref="D197" r:id="rId190" xr:uid="{45FFA908-9FCB-4541-8140-16C8D53D0D17}"/>
    <hyperlink ref="D198" r:id="rId191" xr:uid="{6820933C-8CCE-4B8C-841A-561E1E829287}"/>
    <hyperlink ref="D199" r:id="rId192" xr:uid="{7B1A82C4-7C06-49C7-B169-3C510A246A8F}"/>
    <hyperlink ref="D200" r:id="rId193" xr:uid="{AC5BEC3E-8198-45EE-9253-1B455A4D0B5A}"/>
    <hyperlink ref="D201" r:id="rId194" xr:uid="{0E1FF966-DF47-4483-B4A9-E4EE3D7C70A8}"/>
    <hyperlink ref="D202" r:id="rId195" xr:uid="{EECE99C9-4ACF-45EA-B766-BCA1324945D2}"/>
    <hyperlink ref="D203" r:id="rId196" xr:uid="{3B352A14-814A-4666-BC2B-4B7B4162972F}"/>
    <hyperlink ref="D204" r:id="rId197" xr:uid="{37314BF7-52E7-440E-83F2-1C0B9F493A95}"/>
    <hyperlink ref="D205" r:id="rId198" xr:uid="{965A7D50-952A-43AD-AC92-FBC73836A182}"/>
    <hyperlink ref="D206" r:id="rId199" xr:uid="{306524F7-A949-406F-BC34-41C145E9E2F9}"/>
    <hyperlink ref="D207" r:id="rId200" xr:uid="{8D813CC2-5E60-48EE-AE2A-A57291A4DA1D}"/>
    <hyperlink ref="D208" r:id="rId201" xr:uid="{3036FCD6-4BD3-4B91-B6BA-07F5F20200A2}"/>
    <hyperlink ref="D209" r:id="rId202" xr:uid="{29DEFC48-DE79-4024-968F-3A48872900F4}"/>
    <hyperlink ref="D210" r:id="rId203" xr:uid="{C8E766C9-303E-475F-8725-2B69BA472DB8}"/>
    <hyperlink ref="D211" r:id="rId204" xr:uid="{3A0B80B1-CFF2-4FA5-B957-FBC1179A89D9}"/>
    <hyperlink ref="D212" r:id="rId205" xr:uid="{B010FC82-9EFE-4691-ACE5-A43CAD6E88F2}"/>
    <hyperlink ref="D213" r:id="rId206" xr:uid="{20C523F4-068D-4F05-8ECD-CA1679A4C4FB}"/>
    <hyperlink ref="D214" r:id="rId207" xr:uid="{1F1AF864-5752-4BA5-BAF2-18316FCE8535}"/>
    <hyperlink ref="D215" r:id="rId208" xr:uid="{AA1DCCBC-BFCD-411F-B647-AA38AFFF36DA}"/>
    <hyperlink ref="D216" r:id="rId209" xr:uid="{8CF4A2E4-60E3-4D0E-96F7-9930FDFC4293}"/>
    <hyperlink ref="D217" r:id="rId210" xr:uid="{50661D20-829A-4A0C-8447-DEC964923C67}"/>
    <hyperlink ref="D218" r:id="rId211" xr:uid="{5CFD5D97-649E-46E8-B427-4D5D3E1E67EA}"/>
    <hyperlink ref="D219" r:id="rId212" xr:uid="{A3FBCEB9-F5F6-461D-B7CE-EC35F98FB057}"/>
    <hyperlink ref="D220" r:id="rId213" xr:uid="{50A30944-BB42-4C66-856C-6C031BF2317E}"/>
    <hyperlink ref="D221" r:id="rId214" xr:uid="{EFC22028-C518-45FB-9A74-CA49D5C75CE4}"/>
    <hyperlink ref="D222" r:id="rId215" xr:uid="{7D9FFCDB-FC59-4599-A32B-B891639D1899}"/>
    <hyperlink ref="D223" r:id="rId216" xr:uid="{292E9D54-567D-46BC-9CAC-9C2881D8FF66}"/>
    <hyperlink ref="D224" r:id="rId217" xr:uid="{B985F46D-93B2-4736-9CFF-CEB7C1CB65E9}"/>
    <hyperlink ref="D225" r:id="rId218" xr:uid="{0712C9EC-F0D5-40DE-906D-A044D5776E3B}"/>
    <hyperlink ref="D226" r:id="rId219" xr:uid="{3D7B8221-FFE8-4D14-9B66-5314FBC7A983}"/>
    <hyperlink ref="D227" r:id="rId220" xr:uid="{B502AF63-D2AB-4C31-8E3C-53FD2CC1F3F0}"/>
    <hyperlink ref="D228" r:id="rId221" xr:uid="{12A9D777-EA6A-4719-AEB5-1A050F97801F}"/>
    <hyperlink ref="D229" r:id="rId222" xr:uid="{B0B966EC-9BDA-4595-9C95-41CCBB0B62AE}"/>
    <hyperlink ref="D230" r:id="rId223" xr:uid="{1F7B5E1F-1EF0-4FC5-A4C0-6382429E9E93}"/>
    <hyperlink ref="D231" r:id="rId224" xr:uid="{C4E051A5-A23B-40A6-AA89-8D6E1D410B44}"/>
    <hyperlink ref="D232" r:id="rId225" xr:uid="{EF8F2523-1CB7-4F70-BFD9-2A9E452DA249}"/>
    <hyperlink ref="D233" r:id="rId226" xr:uid="{512EA406-C7BC-43A0-9228-5248AA77302E}"/>
    <hyperlink ref="D234" r:id="rId227" xr:uid="{FE22080E-9342-4262-A987-93F7D02EC612}"/>
    <hyperlink ref="D235" r:id="rId228" xr:uid="{6184BC87-89EE-4EAC-8A95-A92CF8679501}"/>
    <hyperlink ref="D236" r:id="rId229" xr:uid="{ADCA0F8D-C9B9-4462-BBA3-B09AD98EED83}"/>
    <hyperlink ref="D237" r:id="rId230" xr:uid="{978E16B4-DFB8-4F77-A322-1D68D4FC87BD}"/>
    <hyperlink ref="D238" r:id="rId231" xr:uid="{87A7E542-0736-4B76-9727-75F1D420060A}"/>
    <hyperlink ref="D239" r:id="rId232" xr:uid="{470E4D91-EDB4-4FED-A626-41FA721C74C2}"/>
    <hyperlink ref="D240" r:id="rId233" xr:uid="{8A7EF435-9B67-4F49-B5F2-C2C99F2D8F91}"/>
    <hyperlink ref="D241" r:id="rId234" xr:uid="{3E4E75DA-C282-47D9-B0C5-1D4ABAAB41E6}"/>
    <hyperlink ref="D242" r:id="rId235" xr:uid="{F430A898-8E0F-4DA5-B4CA-9DC555911378}"/>
    <hyperlink ref="D243" r:id="rId236" xr:uid="{8C3818AA-8088-4297-90B6-2F603DD0CB99}"/>
    <hyperlink ref="D244" r:id="rId237" xr:uid="{9424A818-EBE9-4426-98D6-414A1D514C4D}"/>
    <hyperlink ref="D245" r:id="rId238" xr:uid="{24F0012E-53ED-4E1B-9412-15996DBE749F}"/>
    <hyperlink ref="D246" r:id="rId239" xr:uid="{34B9A7C7-ADAA-497A-B5A9-A142BF2749E0}"/>
    <hyperlink ref="D247" r:id="rId240" xr:uid="{E9BC14FA-FF8E-4AE1-BC63-F516D10991C1}"/>
    <hyperlink ref="D248" r:id="rId241" xr:uid="{BE11D169-CE4C-429A-9510-7C672AD888B3}"/>
    <hyperlink ref="D249" r:id="rId242" xr:uid="{69A5CFFF-E27A-4989-9EC0-C716BB89E0C2}"/>
    <hyperlink ref="D250" r:id="rId243" xr:uid="{B53FC030-7734-47A7-8F2D-AA7485F38FB3}"/>
    <hyperlink ref="D251" r:id="rId244" xr:uid="{87D33400-6D36-4218-B38F-6E45B9417A71}"/>
    <hyperlink ref="D252" r:id="rId245" xr:uid="{5FD8D496-852F-4FFB-8737-20909CA8F124}"/>
    <hyperlink ref="D253" r:id="rId246" xr:uid="{79AD16E6-6F54-4725-A631-42FFF6746B7D}"/>
    <hyperlink ref="D254" r:id="rId247" xr:uid="{CB0869F3-0BFD-4621-8662-A9CC100C81F7}"/>
    <hyperlink ref="D255" r:id="rId248" xr:uid="{33B63CAE-A288-4708-ADA8-52409C31C26F}"/>
    <hyperlink ref="D256" r:id="rId249" xr:uid="{D3B1BD51-A7B5-4635-BD5A-061513C26E4D}"/>
    <hyperlink ref="D257" r:id="rId250" xr:uid="{C76671C4-153C-4CF7-9FBE-3C17210373A7}"/>
    <hyperlink ref="D258" r:id="rId251" xr:uid="{F05270FB-9C15-4DBE-B8CE-01D233B85218}"/>
    <hyperlink ref="D259" r:id="rId252" xr:uid="{D0BCCC5D-3F7E-4AAD-B0BA-760A62CAD052}"/>
    <hyperlink ref="D260" r:id="rId253" xr:uid="{35AE734E-83B4-4083-8422-75BF8F96E049}"/>
    <hyperlink ref="D261" r:id="rId254" xr:uid="{D48FB77B-BBD1-4712-99A0-865E8F059578}"/>
    <hyperlink ref="D262" r:id="rId255" xr:uid="{8168F089-3177-478A-B9FF-A6BA2790166F}"/>
    <hyperlink ref="D263" r:id="rId256" xr:uid="{7933EEEB-6F31-43A6-B141-7D60F8D40BFC}"/>
    <hyperlink ref="D264" r:id="rId257" xr:uid="{717DF837-6B93-4208-9C9C-0D56928CFC6F}"/>
    <hyperlink ref="D265" r:id="rId258" xr:uid="{BC0D68B4-3962-4A32-8FB6-787BAEF5C413}"/>
    <hyperlink ref="D266" r:id="rId259" xr:uid="{626627C3-95EE-4EAA-8AE1-614FFEDF129E}"/>
    <hyperlink ref="D267" r:id="rId260" xr:uid="{C0EAD40F-07F7-46E0-A3C2-E00A659277A2}"/>
    <hyperlink ref="D268" r:id="rId261" xr:uid="{43C000AF-060B-42AC-AE68-14187F486629}"/>
    <hyperlink ref="D269" r:id="rId262" xr:uid="{3C1B9649-43EF-45E5-85D9-B0CCC84FFF4D}"/>
    <hyperlink ref="D270" r:id="rId263" xr:uid="{5673A3F4-D12C-4DCA-8F27-C6C3B0541922}"/>
    <hyperlink ref="D271" r:id="rId264" xr:uid="{4016ABDA-B384-4E2C-83E6-702CC4CA42E1}"/>
    <hyperlink ref="D272" r:id="rId265" xr:uid="{0A553409-AAB3-4002-B483-03DA824CA06F}"/>
    <hyperlink ref="D273" r:id="rId266" xr:uid="{196EB2CD-E0D4-43E2-B80C-751F00609575}"/>
    <hyperlink ref="D274" r:id="rId267" xr:uid="{058AAF09-37F6-4494-9589-5C02D648A978}"/>
    <hyperlink ref="D275" r:id="rId268" xr:uid="{97ED5D39-BF2F-4530-A005-641B4EBAF191}"/>
    <hyperlink ref="D276" r:id="rId269" xr:uid="{D217FA74-90A2-409D-AC42-1359D9B32260}"/>
    <hyperlink ref="D277" r:id="rId270" xr:uid="{A441C74B-5F97-4FE1-BC27-DCC00BC92C08}"/>
    <hyperlink ref="D278" r:id="rId271" xr:uid="{647EA93C-9378-4390-AB12-4B78388E4D80}"/>
    <hyperlink ref="D279" r:id="rId272" xr:uid="{460B8E82-4505-4B27-BDB4-4B78BD149CEC}"/>
    <hyperlink ref="D280" r:id="rId273" xr:uid="{FCEF2897-F6A6-45A6-AD16-31108F242110}"/>
    <hyperlink ref="D281" r:id="rId274" xr:uid="{A801E40C-913D-4549-9661-1AD35B596DCF}"/>
    <hyperlink ref="D282" r:id="rId275" xr:uid="{8E5B85B9-CA3D-4A88-86B1-047DB9868ADD}"/>
    <hyperlink ref="D284" r:id="rId276" xr:uid="{66BEA3F1-299E-44B6-829B-4A524C7209E2}"/>
    <hyperlink ref="D285" r:id="rId277" xr:uid="{820BE577-1ED9-4900-8D18-E10887E23949}"/>
    <hyperlink ref="D286" r:id="rId278" xr:uid="{C5C33215-EE56-4E14-97BF-ED8F2AA6C4A5}"/>
    <hyperlink ref="D287" r:id="rId279" xr:uid="{8FA41AAB-47E4-4BCE-B5F2-AB6D89B95F33}"/>
    <hyperlink ref="D288" r:id="rId280" xr:uid="{D1B7E0F9-931C-4A1B-BCE5-233E6AE65707}"/>
    <hyperlink ref="D289" r:id="rId281" xr:uid="{86822066-F498-44A6-BD06-1821DF29095F}"/>
    <hyperlink ref="D290" r:id="rId282" xr:uid="{81BAE895-842A-4952-8B5A-6DA49D3EA49F}"/>
    <hyperlink ref="D291" r:id="rId283" xr:uid="{75135750-2C91-4D85-A0A7-4C3087D7C757}"/>
    <hyperlink ref="D292" r:id="rId284" xr:uid="{A07BC019-9D1A-4C78-BB3B-B4874A7429FA}"/>
    <hyperlink ref="D293" r:id="rId285" xr:uid="{8132BE78-1E9E-431F-8EC1-6DE93896D038}"/>
    <hyperlink ref="D294" r:id="rId286" xr:uid="{56C763CC-65F7-42CA-A1D3-A5FC80F3AB82}"/>
    <hyperlink ref="D295" r:id="rId287" xr:uid="{8D2B84DD-2225-4712-949D-B99D3FE990E9}"/>
    <hyperlink ref="D296" r:id="rId288" xr:uid="{ECCA5606-DEC2-4333-9A9B-A613B38C861C}"/>
    <hyperlink ref="D297" r:id="rId289" xr:uid="{1D9FC8E0-FE71-48AB-B2A0-FEE131A93447}"/>
    <hyperlink ref="D298" r:id="rId290" xr:uid="{93686F95-221C-4E00-9177-0F2293538BA7}"/>
    <hyperlink ref="D299" r:id="rId291" xr:uid="{1C5AD0EB-315A-4404-83E0-93A6CD4CAF4F}"/>
    <hyperlink ref="D300" r:id="rId292" xr:uid="{487F293C-E214-43E5-968C-8FC370E16CB2}"/>
    <hyperlink ref="D302" r:id="rId293" xr:uid="{B8D5D55D-E402-43FF-B341-2562362F8EA3}"/>
    <hyperlink ref="D303" r:id="rId294" xr:uid="{32B94FDD-4C2D-4E1E-8B54-747E607C67AD}"/>
    <hyperlink ref="D301" r:id="rId295" xr:uid="{89FBDC20-1433-44CE-9089-3519D4767419}"/>
    <hyperlink ref="D305" r:id="rId296" xr:uid="{E94474C8-13C6-4C17-8D44-591FAE51B39D}"/>
    <hyperlink ref="D307" r:id="rId297" xr:uid="{B629B073-0AEF-4409-9C66-3D473B598246}"/>
    <hyperlink ref="D306" r:id="rId298" xr:uid="{FE131D7A-00B8-4C57-AF44-88E7F33CAD1C}"/>
    <hyperlink ref="D304" r:id="rId299" xr:uid="{0A1558A3-0715-4F08-8E0A-354CACD873C5}"/>
    <hyperlink ref="D308" r:id="rId300" xr:uid="{2308EEAF-18A5-45D9-A028-3F1D6393ADB4}"/>
    <hyperlink ref="D309" r:id="rId301" xr:uid="{D1BC8233-DF8C-4924-9971-94896CB96218}"/>
    <hyperlink ref="D310" r:id="rId302" xr:uid="{6B35EC7E-063F-41BE-946F-F59C6A72FB5E}"/>
    <hyperlink ref="D311" r:id="rId303" xr:uid="{6F87A4B9-3F64-4614-84A6-6FA3633D7B19}"/>
    <hyperlink ref="D312" r:id="rId304" xr:uid="{7AB6E3A8-ED52-4303-BBAA-BFE4F6AAB2D3}"/>
    <hyperlink ref="D313" r:id="rId305" xr:uid="{AECDCB4C-D0C7-44EE-9E16-EE37378C1B25}"/>
    <hyperlink ref="D314" r:id="rId306" xr:uid="{1CE82292-6635-4C9F-88C1-99213B4A8B36}"/>
    <hyperlink ref="D317" r:id="rId307" xr:uid="{DABD05D0-0EB9-463D-9CF8-01E3DF138604}"/>
    <hyperlink ref="D318" r:id="rId308" xr:uid="{274BE3D0-3039-4B9D-A88F-A5AF4942CF90}"/>
    <hyperlink ref="D319" r:id="rId309" xr:uid="{16121CFF-8DA5-45F0-9FEE-047DC438A3A8}"/>
    <hyperlink ref="D320" r:id="rId310" xr:uid="{741FED6F-A1D8-43C4-A0D9-F2DD5F13BD82}"/>
    <hyperlink ref="D321" r:id="rId311" xr:uid="{E68C6763-6027-4462-970A-C3E913EEF954}"/>
    <hyperlink ref="D322" r:id="rId312" xr:uid="{6DCBE628-13B7-4E42-B5F1-9C5AC0F64C8F}"/>
    <hyperlink ref="D323" r:id="rId313" xr:uid="{847FF9BD-F079-4A26-9222-01D26D283CAB}"/>
    <hyperlink ref="D324" r:id="rId314" xr:uid="{D4DC64C6-5460-4DA4-BEDD-B867FE72EFB4}"/>
    <hyperlink ref="D325" r:id="rId315" xr:uid="{91B13858-2113-4D33-8A4F-3F26173DE28F}"/>
    <hyperlink ref="D326" r:id="rId316" xr:uid="{D137283B-B3A2-4A02-B618-532D9930FCDD}"/>
    <hyperlink ref="D327" r:id="rId317" xr:uid="{2CF1BAC8-F5DC-4D83-9AF2-EFE76D66B1B1}"/>
    <hyperlink ref="D328" r:id="rId318" xr:uid="{4374F871-65C7-4BDD-9D80-16E7191E013B}"/>
    <hyperlink ref="D329" r:id="rId319" xr:uid="{11E742A4-607D-40EE-9D28-26FB6231B17D}"/>
    <hyperlink ref="D330" r:id="rId320" xr:uid="{413F9750-A73F-4526-8559-98593CA88EFA}"/>
    <hyperlink ref="D331" r:id="rId321" xr:uid="{EEB722DD-FC62-4449-BF62-A29B3704B8E1}"/>
    <hyperlink ref="D332" r:id="rId322" xr:uid="{9E6536D2-7E79-4995-8C54-B574BA2653EC}"/>
    <hyperlink ref="D333" r:id="rId323" xr:uid="{F9CB552D-B333-4AF5-B560-6EB160FE89D6}"/>
    <hyperlink ref="D334" r:id="rId324" xr:uid="{F70519D1-AB84-45DE-BDC9-B56F9C27807F}"/>
    <hyperlink ref="D335" r:id="rId325" xr:uid="{F094BD07-5C7C-482F-B801-93D869713A68}"/>
    <hyperlink ref="D336" r:id="rId326" xr:uid="{3E5B1706-CF50-4BFE-90FB-18D088E79294}"/>
    <hyperlink ref="D337" r:id="rId327" xr:uid="{0916359C-EEB3-49C5-ABD6-18A61FC0678D}"/>
    <hyperlink ref="D338" r:id="rId328" xr:uid="{17C230F4-40BF-4CCE-8E38-D643C6288720}"/>
    <hyperlink ref="D339" r:id="rId329" xr:uid="{82264813-B221-45B8-BE8C-5477B7ED0BA9}"/>
    <hyperlink ref="D340" r:id="rId330" xr:uid="{39A8BC97-B502-400E-A2D1-AEA3A927E67D}"/>
    <hyperlink ref="D341" r:id="rId331" xr:uid="{566CAD90-9C09-4B4F-8799-9CDF554F9BF3}"/>
    <hyperlink ref="D342" r:id="rId332" xr:uid="{8C217499-2CEB-4C17-89C0-27EF3398BBC0}"/>
    <hyperlink ref="D343" r:id="rId333" xr:uid="{A169D454-9EEB-4460-80F4-00816A6A19FF}"/>
    <hyperlink ref="D344" r:id="rId334" xr:uid="{47565EA6-5DD8-4F6B-8C7F-EF5F6DE07CF1}"/>
    <hyperlink ref="D345" r:id="rId335" xr:uid="{D4F89A44-96E8-4CC5-A4CB-B60D9A1766FD}"/>
    <hyperlink ref="D346" r:id="rId336" xr:uid="{E1968472-0D71-4A1E-AEB3-E9A6A1B8D2C8}"/>
    <hyperlink ref="D347" r:id="rId337" xr:uid="{5327850F-19CD-4C97-92DE-A847E7D96ED7}"/>
    <hyperlink ref="D348" r:id="rId338" xr:uid="{CFFCC827-7C3C-40B9-BCC6-CC960EB75EDB}"/>
    <hyperlink ref="D349" r:id="rId339" xr:uid="{9C8DD9BE-1041-4882-9A71-31D5FB6232B9}"/>
    <hyperlink ref="D350" r:id="rId340" xr:uid="{09BEC2BC-4386-4991-86ED-96A0E07F75DF}"/>
    <hyperlink ref="D352" r:id="rId341" xr:uid="{F76FEB67-E74F-4379-B067-57CC756B4C42}"/>
    <hyperlink ref="D353" r:id="rId342" xr:uid="{C5F858B4-07D9-438C-AB96-AC0E20C6B452}"/>
    <hyperlink ref="D354" r:id="rId343" xr:uid="{091877A9-D2C5-44B3-B03D-9912B2C699BD}"/>
    <hyperlink ref="D355" r:id="rId344" xr:uid="{0FCBD364-9CF9-40B5-8BDF-19493B2A3C77}"/>
    <hyperlink ref="D356" r:id="rId345" xr:uid="{ED4D2C89-EA8F-4B20-817C-49BD653FC243}"/>
    <hyperlink ref="D357" r:id="rId346" xr:uid="{EC588010-39A0-4528-9027-D3192B2CEC96}"/>
    <hyperlink ref="D358" r:id="rId347" xr:uid="{19FD055D-CDD2-41D8-B6E4-C48B91474825}"/>
    <hyperlink ref="D359" r:id="rId348" xr:uid="{FD52659B-531A-4B5E-BE5D-0ADFE448C14F}"/>
    <hyperlink ref="D360" r:id="rId349" xr:uid="{E36650EB-4E61-4B93-A0AD-38FC418AB61F}"/>
    <hyperlink ref="D361" r:id="rId350" xr:uid="{F5FC606F-6B3B-4E5F-ADDE-8254089C90F2}"/>
    <hyperlink ref="D362" r:id="rId351" xr:uid="{A8CC4F76-C713-4F57-914A-F113ED83F256}"/>
    <hyperlink ref="D363" r:id="rId352" xr:uid="{DFFABE57-6324-43EE-B5F3-FCAAF4058E3D}"/>
    <hyperlink ref="D364" r:id="rId353" xr:uid="{CACC0BE7-8B98-4A1B-AD88-0D7E5B1464D5}"/>
    <hyperlink ref="D365" r:id="rId354" xr:uid="{E19B8B62-D172-4265-8812-C06DB0CCC93D}"/>
    <hyperlink ref="D366" r:id="rId355" xr:uid="{370F5B7F-8092-49E2-8121-DF828CE11DEB}"/>
    <hyperlink ref="D367" r:id="rId356" xr:uid="{0AB806D5-B299-47DC-8417-243CC1CD1E81}"/>
    <hyperlink ref="D368" r:id="rId357" xr:uid="{759B6AD7-F224-4929-8234-BCB1A78DC90C}"/>
    <hyperlink ref="D369" r:id="rId358" xr:uid="{A1801F59-91A9-4446-922A-569E8A132CEE}"/>
    <hyperlink ref="D370" r:id="rId359" xr:uid="{EFBFAC84-5084-4537-A43B-F584361AF4BF}"/>
    <hyperlink ref="D371" r:id="rId360" xr:uid="{0604EB56-4E1F-4A38-8EC8-F1C7055F81F6}"/>
    <hyperlink ref="D372" r:id="rId361" xr:uid="{7DE7053A-4069-4D6C-AC30-BFDCCEF21CDF}"/>
    <hyperlink ref="D373" r:id="rId362" xr:uid="{6BB22026-800D-46C6-ABB0-B75D061C85C6}"/>
    <hyperlink ref="D374" r:id="rId363" xr:uid="{8585CCBE-9BA7-4C00-A2CC-D28337BB656C}"/>
    <hyperlink ref="D375" r:id="rId364" xr:uid="{8E808286-342E-486D-8F38-5B9EFF068C9E}"/>
    <hyperlink ref="D376" r:id="rId365" xr:uid="{F506502A-6ED7-44A4-8F94-2D5D212FE9BA}"/>
    <hyperlink ref="D377" r:id="rId366" xr:uid="{B875890A-87AC-4CA2-BCF7-377883ED7B7B}"/>
    <hyperlink ref="D378" r:id="rId367" xr:uid="{2911E4F2-6580-41D8-9B0A-4B307772DE00}"/>
    <hyperlink ref="D379" r:id="rId368" xr:uid="{E20BE0BB-F888-409D-A0F3-395A9C764709}"/>
    <hyperlink ref="D380" r:id="rId369" xr:uid="{32800B83-0785-436A-87F0-BD6563E98620}"/>
    <hyperlink ref="D381" r:id="rId370" xr:uid="{475B9665-3EAE-46C9-BB1A-9612B392F438}"/>
    <hyperlink ref="D382" r:id="rId371" xr:uid="{B2C61BFF-5886-4413-9B93-5781766B8226}"/>
    <hyperlink ref="D383" r:id="rId372" xr:uid="{F7E5E402-AB4E-45CD-BABB-85355845413E}"/>
    <hyperlink ref="D384" r:id="rId373" xr:uid="{A79D2269-C2BF-41C1-9C7C-5E9ACCD65B38}"/>
    <hyperlink ref="D385" r:id="rId374" xr:uid="{3DAEBCD3-4949-46EA-BFA7-AAB4A8CFEF27}"/>
    <hyperlink ref="D387" r:id="rId375" xr:uid="{D581376F-7529-4DBA-A19A-9A64D265A505}"/>
    <hyperlink ref="D388" r:id="rId376" xr:uid="{B9B29141-4F1A-4142-9112-005F203860A6}"/>
    <hyperlink ref="D390" r:id="rId377" xr:uid="{707DC8F2-FAB8-409E-9E66-16E52C800C56}"/>
    <hyperlink ref="D391" r:id="rId378" xr:uid="{16A3D008-26BE-486F-BC79-A10A0778594C}"/>
    <hyperlink ref="D392" r:id="rId379" xr:uid="{4A0C3344-350B-44E9-B810-5EE4F3D263C4}"/>
    <hyperlink ref="D393" r:id="rId380" xr:uid="{66C99C08-0E77-40AD-A63E-30307FABAAFB}"/>
    <hyperlink ref="D394" r:id="rId381" xr:uid="{FFACB9F5-9067-48D0-B8DA-7AFC46174785}"/>
    <hyperlink ref="D395" r:id="rId382" xr:uid="{F5377707-5273-4B66-A341-6E67CF4A3E56}"/>
    <hyperlink ref="D396" r:id="rId383" xr:uid="{C3AF23D5-9D97-4903-A5FF-B238E1CE2BA2}"/>
    <hyperlink ref="D397" r:id="rId384" xr:uid="{C30FC9FC-8488-44CA-89D0-F8A6D12359D2}"/>
    <hyperlink ref="D398" r:id="rId385" xr:uid="{4ADE3126-655A-4034-9F4B-742091D5A65D}"/>
    <hyperlink ref="D399" r:id="rId386" xr:uid="{131FCAC3-5A1A-4C7C-97B0-4CB8CB6BDE1C}"/>
    <hyperlink ref="D400" r:id="rId387" xr:uid="{1523077E-45A2-4D84-A5B0-DE031380266B}"/>
    <hyperlink ref="D401" r:id="rId388" xr:uid="{90B7B171-F1D7-40BD-AB50-636D984E0E45}"/>
    <hyperlink ref="D402" r:id="rId389" xr:uid="{C0A2BF97-48F5-4345-8692-ED88CBC86138}"/>
    <hyperlink ref="D403" r:id="rId390" xr:uid="{04CA17C1-A881-407D-A3D2-EBFBDA7A7F40}"/>
    <hyperlink ref="D404" r:id="rId391" xr:uid="{4AE7C82B-E49F-4BE0-9285-876ACF29495F}"/>
    <hyperlink ref="D405" r:id="rId392" xr:uid="{FC9E301E-BAE5-4CD2-A10D-047D2EA1511B}"/>
    <hyperlink ref="D406" r:id="rId393" xr:uid="{E3F78927-9144-42C0-9E2C-721332C928B1}"/>
    <hyperlink ref="D407" r:id="rId394" xr:uid="{228F0114-2AD5-4022-AA7A-98362582251E}"/>
    <hyperlink ref="D408" r:id="rId395" xr:uid="{952F5510-98AE-45F8-AC6F-D81958A2A10F}"/>
    <hyperlink ref="D409" r:id="rId396" xr:uid="{95CD1C70-12CB-4EC3-B0C0-A62C6F2F1231}"/>
    <hyperlink ref="D410" r:id="rId397" xr:uid="{78C77F24-919A-470C-B3C3-F9CF180E393F}"/>
    <hyperlink ref="D411" r:id="rId398" xr:uid="{9CCE228F-01D2-4E6B-9B5D-29F71BD7688D}"/>
    <hyperlink ref="D413" r:id="rId399" xr:uid="{38D7C35C-B44B-4FCB-8E10-4E7C07D9DDAF}"/>
    <hyperlink ref="D414" r:id="rId400" xr:uid="{2124D19D-045E-44CE-94BC-E0891B8DF7C2}"/>
    <hyperlink ref="D415" r:id="rId401" xr:uid="{A394B529-9043-4B98-ACD7-B19D312A9701}"/>
    <hyperlink ref="D416" r:id="rId402" xr:uid="{4E57947C-CAFF-40A5-AF8B-63FBA57C93C1}"/>
    <hyperlink ref="D417" r:id="rId403" xr:uid="{1748EF3B-981F-43EB-AE86-3782D18EE2FA}"/>
    <hyperlink ref="D418" r:id="rId404" xr:uid="{A8BE3651-3066-4D55-9DC6-370BE4ACA98E}"/>
    <hyperlink ref="D419" r:id="rId405" xr:uid="{482FFDE9-AF12-4857-8DE2-3D13EA99A8A2}"/>
    <hyperlink ref="D420" r:id="rId406" xr:uid="{0B888A67-EE59-42DE-95BE-60BE56E71216}"/>
    <hyperlink ref="D422" r:id="rId407" xr:uid="{32BDBD2F-B9AE-4022-90EE-CC88F58D5E7B}"/>
    <hyperlink ref="D423" r:id="rId408" xr:uid="{049864AA-1D12-4A92-9CA7-885DDF34C5CB}"/>
    <hyperlink ref="D424" r:id="rId409" xr:uid="{FBFDA951-2D88-456C-BF0B-69D38476F4B0}"/>
    <hyperlink ref="D425" r:id="rId410" xr:uid="{8726CFD1-B44C-4E20-A401-215326ACC396}"/>
    <hyperlink ref="D426" r:id="rId411" xr:uid="{A64E63E5-04F8-46BE-B5D5-AB5C202CAEA3}"/>
    <hyperlink ref="D427" r:id="rId412" xr:uid="{F0EBF499-A9F4-4210-BF3B-D27099C5CC24}"/>
    <hyperlink ref="D428" r:id="rId413" xr:uid="{9E4DCA1C-2ADF-4821-AF1F-7D5498FA6AC9}"/>
    <hyperlink ref="D429" r:id="rId414" xr:uid="{CD247200-99C9-444B-A165-090E7847331C}"/>
    <hyperlink ref="D430" r:id="rId415" xr:uid="{AC3B2EA4-73C1-475F-AE10-C91B2C33A780}"/>
    <hyperlink ref="D431" r:id="rId416" xr:uid="{8D410D40-CB5F-404C-B2E8-D8237A7F25DE}"/>
    <hyperlink ref="D432" r:id="rId417" xr:uid="{C69386A4-5C98-4565-BC9F-628B76BF8D6B}"/>
    <hyperlink ref="D433" r:id="rId418" xr:uid="{D57DCB45-066B-4BEF-916D-12E113F52FB7}"/>
    <hyperlink ref="D434" r:id="rId419" xr:uid="{8CE001DE-9D22-420D-A9B5-91F7175A14DD}"/>
    <hyperlink ref="D435" r:id="rId420" xr:uid="{497E298F-93AD-46F4-A7A5-932EFA8CA08A}"/>
    <hyperlink ref="D436" r:id="rId421" xr:uid="{0F706E17-9A68-416F-B0D4-ACFE32E1FD3C}"/>
    <hyperlink ref="D437" r:id="rId422" xr:uid="{458D7493-CACB-4765-9A94-2CDF4B1C0359}"/>
    <hyperlink ref="D438" r:id="rId423" xr:uid="{5D2DE028-2B7E-481A-A704-123967C0F82C}"/>
    <hyperlink ref="D439" r:id="rId424" xr:uid="{2D0831EB-6B71-41DB-AF7B-129C35026743}"/>
    <hyperlink ref="D440" r:id="rId425" xr:uid="{6EDE7D69-10F1-42FF-88A1-4D875012A45A}"/>
    <hyperlink ref="D446" r:id="rId426" xr:uid="{B85419B8-F932-45CC-A7C7-622FF5BC176F}"/>
    <hyperlink ref="D447" r:id="rId427" xr:uid="{7C27EFEE-5E30-4EEA-86D6-1259ED6B47F0}"/>
    <hyperlink ref="D445" r:id="rId428" xr:uid="{74896D95-F054-43C0-9856-E92A80A47F2E}"/>
    <hyperlink ref="D444" r:id="rId429" xr:uid="{76AA5734-41F4-4B72-9088-0A6FCB7173CC}"/>
    <hyperlink ref="D441" r:id="rId430" xr:uid="{3C0DBD44-B5B9-4461-BECD-8FB98E9CC4C5}"/>
    <hyperlink ref="D442" r:id="rId431" xr:uid="{71B6D1BC-55C1-40FF-9F99-AF71652258AE}"/>
    <hyperlink ref="D443" r:id="rId432" xr:uid="{5FEBC926-580A-4B4E-8E7F-9BAC3CC01943}"/>
    <hyperlink ref="D448" r:id="rId433" xr:uid="{549BF4FC-CD00-4C22-BF7E-B414A0447815}"/>
    <hyperlink ref="D421" r:id="rId434" xr:uid="{5D295DC5-2F1D-45D6-8390-6EB554D2A061}"/>
    <hyperlink ref="D412" r:id="rId435" xr:uid="{17CF3ED2-2A38-4BC2-B0B6-4CBCF338C091}"/>
    <hyperlink ref="D315" r:id="rId436" xr:uid="{E4994370-013A-4A98-8D2D-66DFF37DD51A}"/>
    <hyperlink ref="D316" r:id="rId437" xr:uid="{8D488C2C-AA79-4A22-B8CF-034D335F4F68}"/>
    <hyperlink ref="D498" r:id="rId438" xr:uid="{3B2D4175-A89F-45C9-9A84-064FB05E41B7}"/>
    <hyperlink ref="D499" r:id="rId439" xr:uid="{362DE7A3-8426-407A-980F-C945687C67F3}"/>
    <hyperlink ref="D500" r:id="rId440" xr:uid="{1628040F-0DC5-46E7-9354-BFF039E07BE3}"/>
    <hyperlink ref="D501" r:id="rId441" xr:uid="{D5180237-4788-4BD0-9774-5C4309B7968A}"/>
    <hyperlink ref="D502" r:id="rId442" xr:uid="{40EF2A85-4573-44E7-A19B-663B6E7BDC4B}"/>
    <hyperlink ref="D503" r:id="rId443" xr:uid="{FF03C3F5-A0F0-4594-B544-7A73C0AFE440}"/>
    <hyperlink ref="D504" r:id="rId444" xr:uid="{C178676B-4B36-48E7-87FC-7C8B4B2C7544}"/>
    <hyperlink ref="D505" r:id="rId445" xr:uid="{D3E26EF7-0AC7-4385-8925-9D50117405D3}"/>
    <hyperlink ref="D506" r:id="rId446" xr:uid="{1D3A6F32-9317-4A35-93F0-CEB84B412412}"/>
    <hyperlink ref="D507" r:id="rId447" xr:uid="{1B5FE6CD-2563-4DE7-99FB-4C8605E90BAE}"/>
    <hyperlink ref="D508" r:id="rId448" xr:uid="{31F85752-B428-4F09-B23A-F170096EA4D5}"/>
    <hyperlink ref="D509" r:id="rId449" xr:uid="{DD37B065-CB2B-418B-BF50-D769E3043E36}"/>
    <hyperlink ref="D510" r:id="rId450" xr:uid="{BD5B76D1-9D35-4324-89B3-68F253AF69DA}"/>
    <hyperlink ref="D511" r:id="rId451" xr:uid="{6BF55E87-827C-4C94-87F1-745F09E0DEAF}"/>
    <hyperlink ref="D512" r:id="rId452" xr:uid="{F48D218E-07B0-4566-BBA4-3F4EC09AFE8D}"/>
    <hyperlink ref="D513" r:id="rId453" xr:uid="{D086F88D-FB24-44DD-87C9-91355B150394}"/>
    <hyperlink ref="D514" r:id="rId454" xr:uid="{D51BE62C-BB50-46A3-A11C-D09E0011B0FC}"/>
    <hyperlink ref="D515" r:id="rId455" xr:uid="{803680D3-E800-48CE-A62A-7DD8BF956F3A}"/>
    <hyperlink ref="D516" r:id="rId456" xr:uid="{1A45A237-9E52-4024-81A0-5C9A813BCEC1}"/>
    <hyperlink ref="D517" r:id="rId457" xr:uid="{04027C9B-BE56-4B97-9856-E7CCDF2B13F5}"/>
    <hyperlink ref="D518" r:id="rId458" xr:uid="{FDA10262-F806-44B9-9253-E5BF8A19EB10}"/>
    <hyperlink ref="D519" r:id="rId459" xr:uid="{5B759D48-3093-413B-B0FA-7120DE8F2677}"/>
    <hyperlink ref="D520" r:id="rId460" xr:uid="{15AEC274-97CC-4EA9-A233-19B5175C2018}"/>
    <hyperlink ref="D521" r:id="rId461" xr:uid="{141CCB4F-E8E1-42B1-8BDE-6558DBB1AAB8}"/>
    <hyperlink ref="D522" r:id="rId462" xr:uid="{213A09D2-0466-4E7C-ACD8-F9ACF2E8BB6D}"/>
    <hyperlink ref="D523" r:id="rId463" xr:uid="{2B1B27C6-4CAC-4719-B92C-54744B5516E1}"/>
    <hyperlink ref="D524" r:id="rId464" xr:uid="{E1E69050-1BE4-470B-8280-B9A09BC75263}"/>
    <hyperlink ref="D525" r:id="rId465" xr:uid="{16873C7F-160E-4BB1-AA51-E37ABC149693}"/>
    <hyperlink ref="D526" r:id="rId466" xr:uid="{7931AC23-C8C1-42B0-9F36-F3D506F4AF86}"/>
    <hyperlink ref="D527" r:id="rId467" xr:uid="{1D8D7CF6-8083-47E6-B278-0B73898CADDD}"/>
    <hyperlink ref="D528" r:id="rId468" xr:uid="{4EA8B378-758E-4D7B-9BD5-8936AC9BAF6A}"/>
    <hyperlink ref="D529" r:id="rId469" xr:uid="{6907E5F6-A3D0-497C-A9C8-44D668D81DC2}"/>
    <hyperlink ref="D530" r:id="rId470" xr:uid="{8542112C-7857-4395-82E9-2C03C82AB38A}"/>
    <hyperlink ref="D531" r:id="rId471" xr:uid="{E41F81C1-EC28-4052-85C2-3FFD41B05E7C}"/>
    <hyperlink ref="D532" r:id="rId472" xr:uid="{8B6CEC14-1535-42CA-BED2-BE84B7BDA5A1}"/>
    <hyperlink ref="D533" r:id="rId473" xr:uid="{4785A0D8-458C-476B-9CE5-C50055DEEA40}"/>
    <hyperlink ref="D537" r:id="rId474" xr:uid="{C57A7123-07D8-4A72-A008-4CB07D72AA8D}"/>
    <hyperlink ref="D813" r:id="rId475" xr:uid="{9756EC48-7345-4934-9777-616C3706F6A3}"/>
    <hyperlink ref="D534" r:id="rId476" xr:uid="{2F2A973F-D6A6-4D64-B31B-835EFA46BC24}"/>
    <hyperlink ref="D540" r:id="rId477" xr:uid="{013A0233-8C66-4FFE-B809-57C4403319B8}"/>
    <hyperlink ref="D684" r:id="rId478" xr:uid="{F1A22404-F347-41D9-88AB-4CAA8B4EF153}"/>
    <hyperlink ref="D703" r:id="rId479" xr:uid="{D810FC6D-E5DC-4305-8119-C34CB48B5820}"/>
    <hyperlink ref="D697" r:id="rId480" xr:uid="{6890E7A0-ED10-4CDA-8122-053C2ABB5B50}"/>
    <hyperlink ref="D561" r:id="rId481" xr:uid="{707F630D-B3A2-4A90-947F-BCBE9F274A99}"/>
    <hyperlink ref="D584" r:id="rId482" xr:uid="{D36B6FDE-A923-4480-B6A6-9B861C73F125}"/>
    <hyperlink ref="D624" r:id="rId483" xr:uid="{E0689643-F146-45EB-992D-CCAF994F0DF7}"/>
    <hyperlink ref="D572" r:id="rId484" xr:uid="{E18B6AFE-E321-467A-BCAC-6A35DEFB5697}"/>
    <hyperlink ref="D623" r:id="rId485" xr:uid="{E838A94B-2A0D-4C74-9EAE-83CD2C7B2A53}"/>
    <hyperlink ref="D794" r:id="rId486" xr:uid="{B212984A-5089-47E5-85B4-0EA07812111B}"/>
    <hyperlink ref="D622" r:id="rId487" xr:uid="{DEF8B2BB-4A1F-40B6-92A1-240B8B6F8305}"/>
    <hyperlink ref="D700" r:id="rId488" xr:uid="{ED7194E0-86FC-4ECF-8586-CFA54A2A71DC}"/>
    <hyperlink ref="D798" r:id="rId489" xr:uid="{DA73889B-2062-4F5B-B571-F8924C7BD347}"/>
    <hyperlink ref="D536" r:id="rId490" xr:uid="{7CE3BA56-04D3-4268-A85E-DBCD554585D0}"/>
    <hyperlink ref="D687" r:id="rId491" xr:uid="{0AB606CF-3FEF-4E4C-86B3-BC662B85FBAB}"/>
    <hyperlink ref="D762" r:id="rId492" xr:uid="{7EA6EB4C-546C-4299-A94B-996026BF3AA7}"/>
    <hyperlink ref="D768" r:id="rId493" xr:uid="{BB353E4E-83F0-45E5-BC26-E6E71E5B7394}"/>
    <hyperlink ref="D581" r:id="rId494" xr:uid="{89C7EF42-42A5-4F5B-8956-9CBB9EC2CDEC}"/>
    <hyperlink ref="D611" r:id="rId495" xr:uid="{4B259D26-206A-428F-B809-FAAF9B4E5DCC}"/>
    <hyperlink ref="D661" r:id="rId496" xr:uid="{C89FFAAA-1A65-4D86-9184-293A095A057C}"/>
    <hyperlink ref="D729" r:id="rId497" xr:uid="{B0FF3F6A-5124-4B1A-B996-118C496F8F9F}"/>
    <hyperlink ref="D756" r:id="rId498" xr:uid="{E7C972BA-B684-4A84-A3CA-132FEA5503D5}"/>
    <hyperlink ref="D804" r:id="rId499" xr:uid="{8E56CA89-5507-446E-AF68-6DCFC8107BB9}"/>
    <hyperlink ref="D592" r:id="rId500" xr:uid="{4E0DF221-80C4-40BD-98B1-135B35BF028C}"/>
    <hyperlink ref="D630" r:id="rId501" xr:uid="{9CF9450A-8AE5-4680-88B2-8B5C22A194AF}"/>
    <hyperlink ref="D741" r:id="rId502" xr:uid="{85CD9AF2-2FA1-4998-9854-46E98117A0AA}"/>
    <hyperlink ref="D742" r:id="rId503" xr:uid="{F8798B24-1DCE-4676-929F-ECBE6E51C55C}"/>
    <hyperlink ref="D791" r:id="rId504" xr:uid="{0B168A7F-7FBE-4AA6-A3F7-53414FC52FDF}"/>
    <hyperlink ref="D596" r:id="rId505" xr:uid="{8F8DD5CA-4D8A-47F2-B0E0-4671B9BD6CF1}"/>
    <hyperlink ref="D597" r:id="rId506" xr:uid="{25C3F296-8CCC-49A1-95E6-2F33ACE28D5B}"/>
    <hyperlink ref="D691" r:id="rId507" xr:uid="{52AB4022-FEE3-4AF7-9106-C5AFC2176D9F}"/>
    <hyperlink ref="D545" r:id="rId508" xr:uid="{E0211A69-C791-4C7D-9A51-F8CDF30A702F}"/>
    <hyperlink ref="D627" r:id="rId509" xr:uid="{F19A896A-39BC-4C7E-A615-D407E1469B5B}"/>
    <hyperlink ref="D733" r:id="rId510" xr:uid="{8D1C3439-6191-4537-9B27-66A19BFEA28C}"/>
    <hyperlink ref="D801" r:id="rId511" xr:uid="{4D1D14BA-CD44-4F15-AB02-30F2DCA2B2FE}"/>
    <hyperlink ref="D625" r:id="rId512" xr:uid="{AC23842D-AA90-4232-8FAA-30D0D43BD71A}"/>
    <hyperlink ref="D765" r:id="rId513" xr:uid="{9C0E4221-26A9-46F7-A2C9-0DEE31E921BB}"/>
    <hyperlink ref="D805" r:id="rId514" xr:uid="{4F7F3D24-1358-440C-B08A-5C4C5BCA6F3F}"/>
    <hyperlink ref="D618" r:id="rId515" xr:uid="{EA1C21A3-0DBC-4869-A465-F7E2ADF798DC}"/>
    <hyperlink ref="D790" r:id="rId516" xr:uid="{D0F17ABA-E1F1-450E-904D-E541EFF02BB3}"/>
    <hyperlink ref="D598" r:id="rId517" xr:uid="{9FFDF8C4-CBBE-4EA4-B37D-F9A04A660DDB}"/>
    <hyperlink ref="D739" r:id="rId518" xr:uid="{9E8C3274-1001-48E6-818E-DF4415404987}"/>
    <hyperlink ref="D773" r:id="rId519" xr:uid="{AD47DDE6-6286-4285-A7BB-AE6C47CE8A5F}"/>
    <hyperlink ref="D600" r:id="rId520" xr:uid="{B5C1EA5C-6BED-4C74-AA49-14F2E8F4C06D}"/>
    <hyperlink ref="D723" r:id="rId521" xr:uid="{FFF6B4D8-D254-4D6D-83E3-71E0C2B946A1}"/>
    <hyperlink ref="D795" r:id="rId522" xr:uid="{A5782D53-3B93-4A77-BC8D-4707CE233D52}"/>
    <hyperlink ref="D601" r:id="rId523" xr:uid="{FB0B3CBC-C38E-44D1-A920-972F4C0A921C}"/>
    <hyperlink ref="D749" r:id="rId524" xr:uid="{C803E880-E994-4D15-B13D-97A54C88073B}"/>
    <hyperlink ref="D715" r:id="rId525" xr:uid="{DD527D62-A636-407C-8245-32B05FFA4F34}"/>
    <hyperlink ref="D817" r:id="rId526" xr:uid="{8155111F-A118-4260-BBD2-8BF711781F7C}"/>
    <hyperlink ref="D690" r:id="rId527" xr:uid="{4178E854-24FE-454B-B65D-21A7C7AD6F16}"/>
    <hyperlink ref="D582" r:id="rId528" xr:uid="{E9326D54-0C6D-441D-B0CE-B494E834714B}"/>
    <hyperlink ref="D608" r:id="rId529" xr:uid="{6AF0C48F-344E-465E-904D-EB50FAA60CBE}"/>
    <hyperlink ref="D688" r:id="rId530" xr:uid="{6FDDFC07-F6DC-4472-8D34-034B72B0121B}"/>
    <hyperlink ref="D696" r:id="rId531" xr:uid="{6D5AC219-A6DC-4D8C-86D5-6D4E5BD636CE}"/>
    <hyperlink ref="D585" r:id="rId532" xr:uid="{D5D37B0E-31EE-49AA-B8BD-43BAD779F30B}"/>
    <hyperlink ref="D738" r:id="rId533" xr:uid="{8C672267-8ABA-4BA6-A5FB-62FF0D428185}"/>
    <hyperlink ref="D799" r:id="rId534" xr:uid="{82F32CBA-10E1-4B9C-BE1B-7099306B3340}"/>
    <hyperlink ref="D621" r:id="rId535" xr:uid="{4ACAE860-98E5-4FDA-93E3-16D69EC9F617}"/>
    <hyperlink ref="D693" r:id="rId536" xr:uid="{666C3EB4-8ADB-464A-BE9A-2283B1B43C74}"/>
    <hyperlink ref="D796" r:id="rId537" xr:uid="{CDD336FB-250E-4CB8-8EF0-6DF65E4346EE}"/>
    <hyperlink ref="D815" r:id="rId538" xr:uid="{643F721F-07B8-4ED7-8015-8FB195859FCE}"/>
    <hyperlink ref="D564" r:id="rId539" xr:uid="{57FE7ED1-ACB0-48F4-9A03-EE06DEA8A1D8}"/>
    <hyperlink ref="D689" r:id="rId540" xr:uid="{3D7BCAE4-235F-4360-9751-CBC75F73BE1D}"/>
    <hyperlink ref="D695" r:id="rId541" xr:uid="{4866D641-9D63-4C81-BA0C-232E2BE803C9}"/>
    <hyperlink ref="D710" r:id="rId542" xr:uid="{39BAB486-A56D-4769-9C88-61ED410B8A86}"/>
    <hyperlink ref="D771" r:id="rId543" xr:uid="{E24D4278-B350-46DF-8AAF-A28DBB3A441C}"/>
    <hyperlink ref="D692" r:id="rId544" xr:uid="{F08CD426-7804-4C19-9578-3FE6F89125D8}"/>
    <hyperlink ref="D797" r:id="rId545" xr:uid="{7132CCBB-857C-4F27-81CF-B2BB25F041CA}"/>
    <hyperlink ref="D811" r:id="rId546" xr:uid="{8472299D-15CE-407D-9B81-D09B715823D0}"/>
    <hyperlink ref="D550" r:id="rId547" xr:uid="{A4B0FBD5-D84C-498E-9902-74721FC2DA17}"/>
    <hyperlink ref="D351" r:id="rId548" xr:uid="{4FF80BCA-A4C9-46E0-8874-A0FEED9649C2}"/>
    <hyperlink ref="D751" r:id="rId549" xr:uid="{4C0FBF39-044A-40F3-9D80-3484C4BAFF20}"/>
    <hyperlink ref="D807" r:id="rId550" xr:uid="{9EC71072-4BE8-4C8F-8B36-5DF1FC5DBEE2}"/>
    <hyperlink ref="D810" r:id="rId551" xr:uid="{535DB543-EE18-4055-8E30-7D09E9679343}"/>
    <hyperlink ref="D822" r:id="rId552" xr:uid="{9259B8A4-D7FD-40BE-96D4-F6054F08A81B}"/>
    <hyperlink ref="D745" r:id="rId553" xr:uid="{1F22B351-D9EC-40C8-8616-2651128412F3}"/>
    <hyperlink ref="D793" r:id="rId554" xr:uid="{C8D4C069-9875-4AA5-B37D-3BDAE7192279}"/>
    <hyperlink ref="D823" r:id="rId555" xr:uid="{3E512E9A-C677-421F-BF88-E9317B6EF2E7}"/>
    <hyperlink ref="D563" r:id="rId556" xr:uid="{30668120-E57B-49CF-B78B-0D51EAF1396D}"/>
    <hyperlink ref="D685" r:id="rId557" xr:uid="{A25A5F17-A5E1-4A6C-BB4C-D5A34F29DE09}"/>
    <hyperlink ref="D699" r:id="rId558" xr:uid="{287E1407-FB88-4B7B-806E-2A5B437898A8}"/>
    <hyperlink ref="D712" r:id="rId559" xr:uid="{4293AB34-0F7D-4A3C-827F-6681206FE2E7}"/>
    <hyperlink ref="D757" r:id="rId560" xr:uid="{F21D22BA-3579-49D2-B953-C77C362AEB2E}"/>
    <hyperlink ref="D653" r:id="rId561" xr:uid="{B4BE4D8F-F5E7-4E4B-9720-C578F924AD7B}"/>
    <hyperlink ref="D640" r:id="rId562" xr:uid="{D49F6DAE-D3E2-4BC0-B0C3-1B50A24FCF8D}"/>
    <hyperlink ref="D754" r:id="rId563" xr:uid="{9623A72B-9581-4285-B643-66B1C4189D81}"/>
    <hyperlink ref="D755" r:id="rId564" xr:uid="{A0A8AAED-0B5B-43AF-BB60-9DF3AD32865D}"/>
    <hyperlink ref="D626" r:id="rId565" xr:uid="{636BFA01-DDE4-4FC5-AAC4-247D2AE415FF}"/>
    <hyperlink ref="D721" r:id="rId566" xr:uid="{39652205-2095-44A2-A0EF-119AF22EEF24}"/>
    <hyperlink ref="D722" r:id="rId567" xr:uid="{8825A441-378F-456C-BD14-093374124C88}"/>
    <hyperlink ref="D821" r:id="rId568" xr:uid="{411B4401-CBBB-4D06-B9A7-A02E9C2A931D}"/>
    <hyperlink ref="D562" r:id="rId569" xr:uid="{F0DBADDD-7FA4-44AE-9DED-C0749E8363DC}"/>
    <hyperlink ref="D743" r:id="rId570" xr:uid="{0BD092B1-9280-411E-85A1-B0FCA4CDA927}"/>
    <hyperlink ref="D599" r:id="rId571" xr:uid="{D675F481-3D8E-472B-ACDE-E9A3D702F100}"/>
    <hyperlink ref="D663" r:id="rId572" xr:uid="{4777BFFB-3A95-4012-8EEC-7E144302A9F8}"/>
    <hyperlink ref="D664" r:id="rId573" xr:uid="{9DB9F5DC-B6F1-4706-895C-8FF74AC091A8}"/>
    <hyperlink ref="D635" r:id="rId574" xr:uid="{6BE28CED-F79A-408B-8846-A3AB52CC1CAE}"/>
    <hyperlink ref="D694" r:id="rId575" xr:uid="{74B0CBD2-0B2D-4A75-8E9E-6FDF85B1C4C0}"/>
    <hyperlink ref="D698" r:id="rId576" xr:uid="{44A7D9B1-BFCB-4564-B976-C8810624CBEB}"/>
    <hyperlink ref="D732" r:id="rId577" xr:uid="{D1CA8FC7-D924-4DAA-9375-3F7989925977}"/>
    <hyperlink ref="D802" r:id="rId578" xr:uid="{EF947B01-3F9B-4DAB-9F78-721C7D87BA95}"/>
    <hyperlink ref="D809" r:id="rId579" xr:uid="{3EC1EC18-AAA4-4A29-A712-20C897B06DA6}"/>
    <hyperlink ref="D726" r:id="rId580" xr:uid="{D86C2B51-BB3F-4B54-A125-CB478987D0C0}"/>
    <hyperlink ref="D824" r:id="rId581" xr:uid="{0355AAC4-7FE0-493D-BA6C-36411426A5CF}"/>
    <hyperlink ref="D574" r:id="rId582" xr:uid="{8F2CCEB6-3E79-4DFB-BD74-AD93536F12F7}"/>
    <hyperlink ref="D575" r:id="rId583" xr:uid="{BA7CDA5D-EA57-4F45-8C87-4FC40D807B5A}"/>
    <hyperlink ref="D786" r:id="rId584" xr:uid="{45A25086-5A82-4E76-BA3D-D6494A31B220}"/>
    <hyperlink ref="D787" r:id="rId585" xr:uid="{45711F12-C895-4B40-A24A-DE527F451389}"/>
    <hyperlink ref="D674" r:id="rId586" xr:uid="{E127D21F-9923-41A0-98DD-4357E70033F9}"/>
    <hyperlink ref="D675" r:id="rId587" xr:uid="{B186C2D8-988A-4AE6-B6EB-EFD5B3D8AA9E}"/>
    <hyperlink ref="D777" r:id="rId588" xr:uid="{C70EC70F-8C44-4FCD-8B02-6233B852F16D}"/>
    <hyperlink ref="D778" r:id="rId589" xr:uid="{C7ED74BF-0091-4610-9A54-EEDE9B0C90F8}"/>
    <hyperlink ref="D660" r:id="rId590" xr:uid="{AF05B78F-407C-4450-AC6B-E27533E5914A}"/>
    <hyperlink ref="D669" r:id="rId591" xr:uid="{9800A217-7339-47AC-9D0B-6CC88A782C61}"/>
    <hyperlink ref="D670" r:id="rId592" xr:uid="{135A716A-47B0-4C26-B520-AADD04D59D90}"/>
    <hyperlink ref="D649" r:id="rId593" xr:uid="{ECD86D1A-7948-4E79-8088-912A2EBC55CD}"/>
    <hyperlink ref="D727" r:id="rId594" xr:uid="{4CC13B1E-C16E-4254-B860-96694FE355AE}"/>
    <hyperlink ref="D825" r:id="rId595" xr:uid="{FE878574-A5E8-4B7D-BA4C-4E787FC43FF2}"/>
    <hyperlink ref="D576" r:id="rId596" xr:uid="{9BF93302-4D34-48BF-A7EB-CFA2B5F0AB59}"/>
    <hyperlink ref="D577" r:id="rId597" xr:uid="{CF560C31-BA06-449B-BE40-CB4FC99EB986}"/>
    <hyperlink ref="D701" r:id="rId598" xr:uid="{838DC59F-6245-4352-9484-F4C8924C36FD}"/>
    <hyperlink ref="D704" r:id="rId599" xr:uid="{3C6B46F0-04A3-4CF8-96E7-1FEEA1BF37C0}"/>
    <hyperlink ref="D705" r:id="rId600" xr:uid="{5E7AB675-B937-4E01-9C25-15C5901B893D}"/>
    <hyperlink ref="D706" r:id="rId601" xr:uid="{E235C41E-F04D-43AB-8617-C3150C9B382D}"/>
    <hyperlink ref="D707" r:id="rId602" xr:uid="{EA432D45-FF5B-412B-8E5C-0199D04EE0EF}"/>
    <hyperlink ref="D708" r:id="rId603" xr:uid="{AC671157-416E-4D4F-9CC6-ABFC87337128}"/>
    <hyperlink ref="D724" r:id="rId604" xr:uid="{CA783A8D-81FC-4C2A-BC10-0BA0FE8B7EC6}"/>
    <hyperlink ref="D744" r:id="rId605" xr:uid="{21914149-A222-422F-99E4-05769B6DDE90}"/>
    <hyperlink ref="D760" r:id="rId606" xr:uid="{C8E283D7-F0B1-41FE-92DC-7E89F80897F8}"/>
    <hyperlink ref="D767" r:id="rId607" xr:uid="{136CDF8F-DB4A-4E70-92B9-793BBA0C1FD3}"/>
    <hyperlink ref="D800" r:id="rId608" xr:uid="{705B4B52-D560-4D97-B2D6-2D93AAD5B049}"/>
    <hyperlink ref="D803" r:id="rId609" xr:uid="{062AA7D0-AE09-422B-B67A-6EF51A1E9B9A}"/>
    <hyperlink ref="D806" r:id="rId610" xr:uid="{38C4A36D-BFC1-4ED9-927C-D82A716CA90A}"/>
    <hyperlink ref="D808" r:id="rId611" xr:uid="{5C1E59E1-D888-44DE-B43F-107EEF63097E}"/>
    <hyperlink ref="D812" r:id="rId612" xr:uid="{E61A3338-18CC-403F-B919-032491ED5CB9}"/>
    <hyperlink ref="D538" r:id="rId613" xr:uid="{44098B9F-FD22-4953-92F8-D7A2E83E1448}"/>
    <hyperlink ref="D551" r:id="rId614" xr:uid="{2838623B-B1C5-41AE-887D-5F66229A7982}"/>
    <hyperlink ref="D578" r:id="rId615" xr:uid="{C9C43FDB-BB73-47AE-A7C2-AFD8E6590DFC}"/>
    <hyperlink ref="D588" r:id="rId616" xr:uid="{23EEAEFC-F11F-4A9B-A3E7-71F4D2CAAFE3}"/>
    <hyperlink ref="D594" r:id="rId617" xr:uid="{B6C41AF8-EC33-4074-8B22-685052E2111F}"/>
    <hyperlink ref="D717" r:id="rId618" xr:uid="{BFFD99C7-194B-4DEE-AB84-7A71EBE2A154}"/>
    <hyperlink ref="D746" r:id="rId619" xr:uid="{0EC9AFA5-AE78-4E71-B641-B6F2846E0287}"/>
    <hyperlink ref="D818" r:id="rId620" xr:uid="{AD92F59E-BF24-470A-B0D1-0BEEE21F365D}"/>
    <hyperlink ref="D552" r:id="rId621" xr:uid="{BE5DB9BE-3274-4184-A258-933CFCDF503D}"/>
    <hyperlink ref="D553" r:id="rId622" xr:uid="{1967DD16-C78D-49D3-877A-1D03AC039389}"/>
    <hyperlink ref="D554" r:id="rId623" xr:uid="{F69F7918-381B-4F00-8C37-5D9D20D0FB15}"/>
    <hyperlink ref="D555" r:id="rId624" xr:uid="{A2631AE8-FE7C-46A0-B253-C1CE5DF0D6BB}"/>
    <hyperlink ref="D609" r:id="rId625" xr:uid="{363AA6A2-D6EA-4025-A7C3-FAC7A5CBF0B7}"/>
    <hyperlink ref="D772" r:id="rId626" xr:uid="{EE987FE3-2884-4A58-A41C-AB55FC390565}"/>
    <hyperlink ref="D644" r:id="rId627" xr:uid="{E4710576-9E36-414C-89BA-4155A468A568}"/>
    <hyperlink ref="D645" r:id="rId628" xr:uid="{E05E5844-1C2C-41A3-9F2B-B668AB56180A}"/>
    <hyperlink ref="D758" r:id="rId629" xr:uid="{11A3DC78-EB7E-4D84-A903-50F5DB1CE2CD}"/>
    <hyperlink ref="D759" r:id="rId630" xr:uid="{844E0473-0A22-4AEE-AB96-6BFEC7313D59}"/>
    <hyperlink ref="D631" r:id="rId631" xr:uid="{C20CB65B-5946-4774-9F41-86B5283ED10D}"/>
    <hyperlink ref="D779" r:id="rId632" xr:uid="{8871796A-8819-48CF-AF94-069F88FA49E1}"/>
    <hyperlink ref="D662" r:id="rId633" xr:uid="{CA8F4075-84D6-41BF-9F2D-72EBF2B9ECD5}"/>
    <hyperlink ref="D711" r:id="rId634" xr:uid="{0576BA45-0F9E-4AF9-9963-3C9F56664636}"/>
    <hyperlink ref="D814" r:id="rId635" xr:uid="{BA8A718E-816D-478B-B68F-3AF48A450181}"/>
    <hyperlink ref="D541" r:id="rId636" xr:uid="{BF9B2B91-8738-4DA8-96D7-C4B9515F09DC}"/>
    <hyperlink ref="D542" r:id="rId637" xr:uid="{F51E4619-2D80-4F46-9620-98105B9576CF}"/>
    <hyperlink ref="D543" r:id="rId638" xr:uid="{253F2F3A-CBF8-4D21-8B5B-8B4D4C158B22}"/>
    <hyperlink ref="D827" r:id="rId639" xr:uid="{8BD6A757-D801-4EA8-9B33-298BE6EB78E9}"/>
    <hyperlink ref="D828" r:id="rId640" xr:uid="{3ABB4CE2-6E94-468C-91D5-F9429783C872}"/>
    <hyperlink ref="D829" r:id="rId641" xr:uid="{5BB52A4A-86A6-47EE-AEC9-6D98BBCD6D52}"/>
    <hyperlink ref="D830" r:id="rId642" xr:uid="{7381E72A-2D65-4A8D-9F33-553C4E5D7B6C}"/>
    <hyperlink ref="D831" r:id="rId643" xr:uid="{10D9F163-E6FB-41FC-ADD8-CD71D444F200}"/>
    <hyperlink ref="D637" r:id="rId644" xr:uid="{8C636CDD-17AD-4840-8B11-F23A1743F1A8}"/>
    <hyperlink ref="D569" r:id="rId645" xr:uid="{7007DBBB-5009-430C-977F-B9CA7D3A16A1}"/>
    <hyperlink ref="D565" r:id="rId646" xr:uid="{953607D1-B6FB-4074-9FA5-01FA1D061B3B}"/>
    <hyperlink ref="D566" r:id="rId647" xr:uid="{DD6C3B11-752C-42A0-B8F1-72593ADB11E1}"/>
    <hyperlink ref="D567" r:id="rId648" xr:uid="{3FA7EDBA-2B8C-465E-8E97-93956BFBD8BB}"/>
    <hyperlink ref="D568" r:id="rId649" xr:uid="{78DFB7B8-FD64-451B-9BE2-0925C7B390CF}"/>
    <hyperlink ref="D570" r:id="rId650" xr:uid="{4A396D14-1C10-40BB-AA89-0D94CBFCEF6C}"/>
    <hyperlink ref="D571" r:id="rId651" xr:uid="{C0A9570C-430D-457C-95B3-920ED0091927}"/>
    <hyperlink ref="D602" r:id="rId652" xr:uid="{AA6BE92A-6239-4D75-B023-FDC77F3E50CC}"/>
    <hyperlink ref="D603" r:id="rId653" xr:uid="{4894A7CC-B432-4625-BE84-46166446FF91}"/>
    <hyperlink ref="D604" r:id="rId654" xr:uid="{31A1DD09-0907-425B-8321-62982CD3A79F}"/>
    <hyperlink ref="D605" r:id="rId655" xr:uid="{33FFA283-AF75-425A-950B-F6BD1881FFEE}"/>
    <hyperlink ref="D606" r:id="rId656" xr:uid="{B8806F9A-8521-4063-9AFC-AB9919CA396B}"/>
    <hyperlink ref="D607" r:id="rId657" xr:uid="{A65C768A-1A11-4B69-9536-0A55EB3D606D}"/>
    <hyperlink ref="D750" r:id="rId658" xr:uid="{08C476EB-CF75-4815-AF44-1A11984DD9F8}"/>
    <hyperlink ref="D613" r:id="rId659" xr:uid="{E7BA70B3-572F-4556-A87E-5C5BDEB402D6}"/>
    <hyperlink ref="D614" r:id="rId660" xr:uid="{F5A247DD-8885-42C3-A78A-16C1589F8BE6}"/>
    <hyperlink ref="D615" r:id="rId661" xr:uid="{51B88932-7C08-410D-A41D-5F2F5D4EF6C0}"/>
    <hyperlink ref="D616" r:id="rId662" xr:uid="{47DEBCA4-1F01-4F63-928C-61A509DEAAD9}"/>
    <hyperlink ref="D617" r:id="rId663" xr:uid="{112B9EE3-8E42-4B4A-91B3-E89D757EFC7B}"/>
    <hyperlink ref="D632" r:id="rId664" xr:uid="{97C7E5A0-0CA8-4D1F-9774-527B0DF980C1}"/>
    <hyperlink ref="D646" r:id="rId665" xr:uid="{2CD7CA9E-D603-4EB0-8389-30C820F96AE2}"/>
    <hyperlink ref="D783" r:id="rId666" xr:uid="{E839DE89-F557-4913-A978-DE0A17232F73}"/>
    <hyperlink ref="D784" r:id="rId667" xr:uid="{157F430C-B6D8-4655-A4BA-983D1C29046E}"/>
    <hyperlink ref="D671" r:id="rId668" xr:uid="{74F140B6-DF77-40DA-B7C8-5E92348A56C9}"/>
    <hyperlink ref="D672" r:id="rId669" xr:uid="{C56E6E69-F581-4404-908A-5C67049E3FC0}"/>
    <hyperlink ref="D788" r:id="rId670" xr:uid="{1ABC3699-A790-4E98-A398-8E530372DE80}"/>
    <hyperlink ref="D789" r:id="rId671" xr:uid="{0F61EA72-14DF-4725-A273-28D04D74BCC1}"/>
    <hyperlink ref="D676" r:id="rId672" xr:uid="{2BE316AE-E9B9-4067-8962-FD530C6E99EC}"/>
    <hyperlink ref="D677" r:id="rId673" xr:uid="{47BE99E5-0A98-436E-B53F-F8444C5D7C86}"/>
    <hyperlink ref="D775" r:id="rId674" xr:uid="{D65AECC1-F675-4D09-8643-4035868F17A4}"/>
    <hyperlink ref="D651" r:id="rId675" xr:uid="{435F964D-421D-4113-85E6-D7256A64F4BE}"/>
    <hyperlink ref="D652" r:id="rId676" xr:uid="{B41699A9-1F7C-4051-B84F-A75CA0654B99}"/>
    <hyperlink ref="D643" r:id="rId677" xr:uid="{3030FEE8-C907-46B8-B6F6-1E5C6FB5A0E5}"/>
    <hyperlink ref="D647" r:id="rId678" xr:uid="{B2C445BC-9A1D-4FAE-8258-7B441D9517D2}"/>
    <hyperlink ref="D648" r:id="rId679" xr:uid="{6A13D1E2-EBF5-4607-8ED9-697FBC2DA1BA}"/>
    <hyperlink ref="D658" r:id="rId680" xr:uid="{7F474B01-4F8F-41F8-A889-B56D56E37BF5}"/>
    <hyperlink ref="D659" r:id="rId681" xr:uid="{A7F9ED49-B93A-4349-BECF-BFF30DA5F832}"/>
    <hyperlink ref="D716" r:id="rId682" xr:uid="{2AAB392A-657C-4BCD-BF3C-7A69FAEE47F0}"/>
    <hyperlink ref="D549" r:id="rId683" xr:uid="{EBF19D27-3500-4B00-BA3E-BDCB08CDDE9A}"/>
    <hyperlink ref="D761" r:id="rId684" xr:uid="{A36ED6D7-8ED2-4AC2-9F40-578A8E674D9C}"/>
    <hyperlink ref="D633" r:id="rId685" xr:uid="{08D0A9D4-7AFB-47E8-886D-FD1A5A974058}"/>
    <hyperlink ref="D634" r:id="rId686" xr:uid="{06ED233D-E1D0-433E-AC59-05FAA56A2EBA}"/>
    <hyperlink ref="D610" r:id="rId687" xr:uid="{040C6F8B-02A5-4AB9-BC59-AA28B6A09E5D}"/>
    <hyperlink ref="D612" r:id="rId688" xr:uid="{467C26B1-A6F2-4C70-A04A-17363C4AAB13}"/>
    <hyperlink ref="D747" r:id="rId689" xr:uid="{453DBF75-E297-4ABA-90F0-5EA8392245E0}"/>
    <hyperlink ref="D748" r:id="rId690" xr:uid="{2C5E2E1F-3FFF-4FB0-B043-83094DFBA38F}"/>
    <hyperlink ref="D590" r:id="rId691" xr:uid="{9A20E3D6-B9BC-455E-AB2B-1B78295911A1}"/>
    <hyperlink ref="D591" r:id="rId692" xr:uid="{3D607D62-8D8F-4795-9C99-98F53DEF77B9}"/>
    <hyperlink ref="D737" r:id="rId693" xr:uid="{BFF97377-A8A4-4FD9-AF11-D31FE22D1783}"/>
    <hyperlink ref="D619" r:id="rId694" xr:uid="{DCC4F979-A920-458F-8D90-D41BAB1DCE85}"/>
    <hyperlink ref="D620" r:id="rId695" xr:uid="{11B41C37-2DB5-491C-8099-6E2E6CC1FBBD}"/>
    <hyperlink ref="D752" r:id="rId696" xr:uid="{BC653B79-1098-4B7B-B3D4-F6A004A160EC}"/>
    <hyperlink ref="D589" r:id="rId697" xr:uid="{874097B1-9EAD-4574-8E85-CF509103CC0F}"/>
    <hyperlink ref="D735" r:id="rId698" xr:uid="{7D6455B5-938A-4894-B5D4-D8B6F78DD92C}"/>
    <hyperlink ref="D736" r:id="rId699" xr:uid="{52B5ED37-5C3F-4C0F-B41C-EF6F2191C0FF}"/>
    <hyperlink ref="D573" r:id="rId700" xr:uid="{D6F3E37B-59D1-4554-870A-181645E93372}"/>
    <hyperlink ref="D725" r:id="rId701" xr:uid="{11CB8760-299F-41AC-B128-77235DFCA05A}"/>
    <hyperlink ref="D546" r:id="rId702" xr:uid="{68A55E2E-59C6-4319-AD47-54D232ABF779}"/>
    <hyperlink ref="D547" r:id="rId703" xr:uid="{2B121046-546F-4F19-8A1C-0215545BD9BB}"/>
    <hyperlink ref="D548" r:id="rId704" xr:uid="{380FBF65-6955-4C73-8E0F-60EA5CC441E5}"/>
    <hyperlink ref="D714" r:id="rId705" xr:uid="{AE2C76C1-936B-414B-82CE-41825EFD22D0}"/>
    <hyperlink ref="D816" r:id="rId706" xr:uid="{7DFBBCED-012C-4A5E-900E-4A62D59D5112}"/>
    <hyperlink ref="D678" r:id="rId707" xr:uid="{42CDDBD1-4FAA-4901-AB5C-3073ED627276}"/>
    <hyperlink ref="D679" r:id="rId708" xr:uid="{D9355211-90B1-4CB9-8171-A42F2BDF5435}"/>
    <hyperlink ref="D680" r:id="rId709" xr:uid="{753D3797-BE0B-4C7B-8C81-89090AEDB327}"/>
    <hyperlink ref="D681" r:id="rId710" xr:uid="{2A0147C6-9D65-4655-95FE-E67FEAF753E2}"/>
    <hyperlink ref="D682" r:id="rId711" xr:uid="{602D2BD9-3013-4587-8B5B-3B72C95A0478}"/>
    <hyperlink ref="D683" r:id="rId712" xr:uid="{89CE02B0-5E9D-400D-93FB-28C4D003693F}"/>
    <hyperlink ref="D638" r:id="rId713" xr:uid="{43CA47DC-23E8-47EF-9327-CE1B90849E5A}"/>
    <hyperlink ref="D639" r:id="rId714" xr:uid="{0E258C05-60F1-488A-9E1B-14E26208AEF4}"/>
    <hyperlink ref="D766" r:id="rId715" xr:uid="{9EB69E6F-F7A1-4CCC-B7D4-F17FD58ACE3B}"/>
    <hyperlink ref="D535" r:id="rId716" xr:uid="{004F1D17-593E-4CFA-93F7-C3232CB9C443}"/>
    <hyperlink ref="D593" r:id="rId717" xr:uid="{783BB6FF-00B9-48B8-82C6-A7907B12788B}"/>
    <hyperlink ref="D686" r:id="rId718" xr:uid="{4DF01843-96C6-4407-B579-85F0AB78352E}"/>
    <hyperlink ref="D702" r:id="rId719" xr:uid="{80D93F86-1DA2-4755-A4E9-62379FC5A416}"/>
    <hyperlink ref="D730" r:id="rId720" xr:uid="{EA43F97F-8D14-453D-A7C8-91E0335433D5}"/>
    <hyperlink ref="D753" r:id="rId721" xr:uid="{B1EE5757-80EA-4D48-83A0-69C8B044A0FE}"/>
    <hyperlink ref="D792" r:id="rId722" xr:uid="{0100C6AE-2613-4347-8736-94AD4CFDBDA0}"/>
    <hyperlink ref="D819" r:id="rId723" xr:uid="{12FAE740-ED15-49DC-A623-9D9D77E384CC}"/>
    <hyperlink ref="D673" r:id="rId724" xr:uid="{6D6FE311-C447-4E49-A1E5-5DA4E9ACE626}"/>
    <hyperlink ref="D785" r:id="rId725" xr:uid="{8A42DB83-A2CD-402E-AFA7-319981E66F00}"/>
    <hyperlink ref="D650" r:id="rId726" xr:uid="{F3914C35-CE61-4B20-9AC2-827623009031}"/>
    <hyperlink ref="D774" r:id="rId727" xr:uid="{31F15553-1256-4B0D-9C55-0FE2B57D1A90}"/>
    <hyperlink ref="D656" r:id="rId728" xr:uid="{6E5C7E18-92DF-4C06-BB35-FA6ADA8AC766}"/>
    <hyperlink ref="D657" r:id="rId729" xr:uid="{5268EE42-AAA2-44C3-803B-F5847A3DB07E}"/>
    <hyperlink ref="D776" r:id="rId730" xr:uid="{40A1B3CB-6A6E-41D5-9AEA-F8F51B6C4C68}"/>
    <hyperlink ref="D654" r:id="rId731" xr:uid="{52BD585A-43DD-442F-945F-4D118CB70832}"/>
    <hyperlink ref="D655" r:id="rId732" xr:uid="{B14C0BC8-F601-4EEA-9392-8306BA4E8416}"/>
    <hyperlink ref="D636" r:id="rId733" xr:uid="{3A1CD02E-0703-4D4F-8E0F-799B0E080914}"/>
    <hyperlink ref="D763" r:id="rId734" xr:uid="{706DD7D7-B332-4B03-887A-4702D5BD8280}"/>
    <hyperlink ref="D764" r:id="rId735" xr:uid="{5FD69032-3CCB-476E-84B6-3E3A9B1501EC}"/>
    <hyperlink ref="D12" r:id="rId736" xr:uid="{CE0F2E07-FC93-45F3-A519-2666D9530328}"/>
    <hyperlink ref="D826" r:id="rId737" xr:uid="{C137AF4D-F413-4745-BDA4-DFB867DFC450}"/>
    <hyperlink ref="D820" r:id="rId738" xr:uid="{47387778-1B01-40EF-AFF6-81DD6153F0F0}"/>
    <hyperlink ref="D780" r:id="rId739" xr:uid="{1C044D0E-3E91-4E4C-9040-6DA13EC8912C}"/>
    <hyperlink ref="D781" r:id="rId740" xr:uid="{84237B0E-E68A-4EB0-98C8-1D7819C185B8}"/>
    <hyperlink ref="D782" r:id="rId741" xr:uid="{2DAB9906-8856-4930-B965-5A29BFADC670}"/>
    <hyperlink ref="D740" r:id="rId742" xr:uid="{EBB99E0C-6875-4FFF-BCD1-39CA171535DC}"/>
    <hyperlink ref="D769" r:id="rId743" xr:uid="{CCEAC937-594B-4EB7-AE23-E041EA5370B2}"/>
    <hyperlink ref="D770" r:id="rId744" xr:uid="{7ACBB08B-F42F-4D10-ABA3-04400FCABF97}"/>
    <hyperlink ref="D709" r:id="rId745" xr:uid="{9589671E-862B-47F6-8210-760BC82BFD4A}"/>
    <hyperlink ref="D713" r:id="rId746" xr:uid="{BE629CC2-F02E-4E14-B9DC-28A408D9B44A}"/>
    <hyperlink ref="D718" r:id="rId747" xr:uid="{2854DEC5-2279-4F9D-B8F5-6BCD4DC59706}"/>
    <hyperlink ref="D719" r:id="rId748" xr:uid="{5B770D67-A4EC-4F21-BAD4-4F3E821834A4}"/>
    <hyperlink ref="D720" r:id="rId749" xr:uid="{B6CBADCB-662B-467E-A5E9-3EFE383AEE29}"/>
    <hyperlink ref="D728" r:id="rId750" xr:uid="{29CA248E-2A46-4B42-81EE-98B1EC7E4EAB}"/>
    <hyperlink ref="D731" r:id="rId751" xr:uid="{0C4F8E96-AA98-40A0-AED5-AEBF530808C1}"/>
    <hyperlink ref="D734" r:id="rId752" xr:uid="{721CC28F-48B9-4B9D-99CC-90A1236CC29C}"/>
    <hyperlink ref="D665" r:id="rId753" xr:uid="{AFB0B1F6-630F-418A-9E22-02D68001F06C}"/>
    <hyperlink ref="D666" r:id="rId754" xr:uid="{A87B0E55-315B-433A-B8A7-F0416C285866}"/>
    <hyperlink ref="D667" r:id="rId755" xr:uid="{394716F6-8878-4DD3-A4E6-7BF027C6A4EB}"/>
    <hyperlink ref="D668" r:id="rId756" xr:uid="{D64EC692-8E65-439C-A584-D07FB223D3F3}"/>
    <hyperlink ref="D628" r:id="rId757" xr:uid="{B6A2BF91-9057-44D1-8D9D-6B0049CC9A56}"/>
    <hyperlink ref="D629" r:id="rId758" xr:uid="{DF032CAC-A471-4DCD-8722-F976F70F530B}"/>
    <hyperlink ref="D641" r:id="rId759" xr:uid="{B80DAD17-C8DB-459D-B64C-DBCD9006DF0E}"/>
    <hyperlink ref="D642" r:id="rId760" xr:uid="{C574027A-334A-4257-97CF-6CE4CB9BF1F1}"/>
    <hyperlink ref="D579" r:id="rId761" xr:uid="{FA73A9A0-8EF4-4D3E-B5F8-9F76214B350C}"/>
    <hyperlink ref="D580" r:id="rId762" xr:uid="{59925751-40C5-4D93-9DEF-57806E8B720F}"/>
    <hyperlink ref="D583" r:id="rId763" xr:uid="{0D574F50-9AEF-48A7-8F11-9A671A98EC3D}"/>
    <hyperlink ref="D586" r:id="rId764" xr:uid="{1F40929F-E21A-4F55-A00C-7A88DCE8979C}"/>
    <hyperlink ref="D587" r:id="rId765" xr:uid="{A6C53E52-CCD3-4501-A090-FE6E7EBD1648}"/>
    <hyperlink ref="D595" r:id="rId766" xr:uid="{80E45A65-9511-4F6C-AD2C-9DEA1C8F1188}"/>
    <hyperlink ref="D556" r:id="rId767" xr:uid="{27DBD680-9563-433F-807A-D0231E8229E8}"/>
    <hyperlink ref="D557" r:id="rId768" xr:uid="{148931D1-B391-44C8-AF20-10315E7CA8DA}"/>
    <hyperlink ref="D558" r:id="rId769" xr:uid="{FDCD9F78-4A6F-4CF1-B2C7-B61054BB9A71}"/>
    <hyperlink ref="D559" r:id="rId770" xr:uid="{C2A2F8A7-8EB2-4998-992C-78A5001140D9}"/>
    <hyperlink ref="D560" r:id="rId771" xr:uid="{1CC8F8FD-2C66-49F5-A5B3-5D7F7A4B498C}"/>
    <hyperlink ref="D539" r:id="rId772" xr:uid="{2E09513A-25D9-4D9B-864C-986FAB7ACDD7}"/>
    <hyperlink ref="D544" r:id="rId773" xr:uid="{76FBAA4C-CCD1-4FAB-A7EE-07CF62191C80}"/>
    <hyperlink ref="D386" r:id="rId774" xr:uid="{2788904C-7C02-47F4-9573-619DE7B72A21}"/>
    <hyperlink ref="D43" r:id="rId775" xr:uid="{C3436147-39BC-4B1C-8A4C-730667DA3AF7}"/>
    <hyperlink ref="D55" r:id="rId776" xr:uid="{7CEEB1E7-F50D-47FD-AE95-710186619ED0}"/>
    <hyperlink ref="D145" r:id="rId777" xr:uid="{E08DAEAC-5188-45AB-8EF1-C6383EC1F9B7}"/>
    <hyperlink ref="D283" r:id="rId778" xr:uid="{1331EFAC-7F33-4CAF-A0B4-FB6C914E41B9}"/>
    <hyperlink ref="D389" r:id="rId779" xr:uid="{D1D4EED2-047E-4975-B6CA-08EE8EE539DE}"/>
  </hyperlinks>
  <pageMargins left="0.7" right="0.7" top="0.75" bottom="0.75" header="0.3" footer="0.3"/>
  <pageSetup orientation="portrait" r:id="rId780"/>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D3E458-6FA8-4AB7-8AEF-4B7C4F513042}">
  <sheetPr>
    <pageSetUpPr fitToPage="1"/>
  </sheetPr>
  <dimension ref="A1:P25"/>
  <sheetViews>
    <sheetView topLeftCell="B1" zoomScale="70" zoomScaleNormal="70" workbookViewId="0">
      <selection activeCell="B1" sqref="B1:B3"/>
    </sheetView>
  </sheetViews>
  <sheetFormatPr defaultRowHeight="18.75" x14ac:dyDescent="0.2"/>
  <cols>
    <col min="1" max="1" width="1.25" style="8" hidden="1" customWidth="1"/>
    <col min="2" max="2" width="6.25" style="8" customWidth="1"/>
    <col min="3" max="3" width="51.25" style="8" customWidth="1"/>
    <col min="4" max="4" width="10" style="8" customWidth="1"/>
    <col min="5" max="5" width="1.25" style="8" customWidth="1"/>
    <col min="6" max="6" width="6.25" style="8" customWidth="1"/>
    <col min="7" max="7" width="51.25" style="8" customWidth="1"/>
    <col min="8" max="8" width="10" style="8" customWidth="1"/>
    <col min="9" max="9" width="1.25" style="8" customWidth="1"/>
    <col min="10" max="10" width="6.25" style="8" customWidth="1"/>
    <col min="11" max="11" width="51.25" style="8" customWidth="1"/>
    <col min="12" max="12" width="10" style="8" customWidth="1"/>
    <col min="13" max="13" width="1.25" style="8" customWidth="1"/>
    <col min="14" max="14" width="6.25" style="8" customWidth="1"/>
    <col min="15" max="15" width="51.25" style="8" customWidth="1"/>
    <col min="16" max="16" width="10" style="8" customWidth="1"/>
    <col min="17" max="16384" width="9" style="8"/>
  </cols>
  <sheetData>
    <row r="1" spans="1:16" ht="22.5" customHeight="1" x14ac:dyDescent="0.2">
      <c r="B1" s="768" t="s">
        <v>71</v>
      </c>
      <c r="C1" s="25" t="str">
        <f>+INDEX(ADV!$A:$Z,MATCH(B1,ADV!$B:$B,0),MATCH("ID",ADV!$A$1:$AR$1,0))</f>
        <v>110059_01</v>
      </c>
    </row>
    <row r="2" spans="1:16" ht="21.75" customHeight="1" x14ac:dyDescent="0.2">
      <c r="B2" s="769"/>
      <c r="C2" s="25" t="str">
        <f>+INDEX(ADV!$A:$Z,MATCH(C1,ADV!$A:$A,0),MATCH("Name",ADV!$A$1:$AR$1,0))</f>
        <v>Grace</v>
      </c>
    </row>
    <row r="3" spans="1:16" ht="21.75" customHeight="1" x14ac:dyDescent="0.2">
      <c r="B3" s="770"/>
      <c r="C3" s="26" t="str">
        <f>+INDEX(ADV!$A:$Z,MATCH(C1,ADV!$A:$A,0),MATCH("Title",ADV!$A$1:$AR$1,0))</f>
        <v>Wistful Widow</v>
      </c>
    </row>
    <row r="4" spans="1:16" ht="6.75" customHeight="1" x14ac:dyDescent="0.2"/>
    <row r="5" spans="1:16" ht="22.5" customHeight="1" x14ac:dyDescent="0.2">
      <c r="B5" s="765" t="s">
        <v>72</v>
      </c>
      <c r="C5" s="736"/>
      <c r="D5" s="736"/>
      <c r="F5" s="765" t="s">
        <v>73</v>
      </c>
      <c r="G5" s="736"/>
      <c r="H5" s="736"/>
      <c r="J5" s="765" t="s">
        <v>74</v>
      </c>
      <c r="K5" s="736"/>
      <c r="L5" s="736"/>
      <c r="N5" s="765" t="s">
        <v>75</v>
      </c>
      <c r="O5" s="736"/>
      <c r="P5" s="736"/>
    </row>
    <row r="6" spans="1:16" ht="7.5" customHeight="1" x14ac:dyDescent="0.2">
      <c r="B6" s="11"/>
      <c r="C6" s="12"/>
      <c r="D6" s="13"/>
      <c r="E6" s="10"/>
      <c r="F6" s="11"/>
      <c r="G6" s="12"/>
      <c r="H6" s="13"/>
    </row>
    <row r="7" spans="1:16" ht="22.5" customHeight="1" x14ac:dyDescent="0.2">
      <c r="B7" s="472" t="str">
        <f>+INDEX('A-S'!$A:$N,MATCH('A-Comp'!C7,'A-S'!$G:$G,0),MATCH("Icon",'A-S'!$1:$1,0))</f>
        <v>097</v>
      </c>
      <c r="C7" s="27" t="str">
        <f>+INDEX(ADV!$A:$Z,MATCH(C1,ADV!$A:$A,0),MATCH("Skill 1",ADV!$A$1:$AR$1,0))</f>
        <v>Sorrow's Requiem</v>
      </c>
      <c r="D7" s="15">
        <f>+INDEX('A-S'!$A:$N,MATCH('A-Comp'!C7,'A-S'!$G:$G,0),MATCH("SP Cost",'A-S'!$1:$1,0))</f>
        <v>5916</v>
      </c>
      <c r="E7" s="28"/>
      <c r="F7" s="778" t="str">
        <f>+B7</f>
        <v>097</v>
      </c>
      <c r="G7" s="27" t="str">
        <f>+C7</f>
        <v>Sorrow's Requiem</v>
      </c>
      <c r="H7" s="15">
        <f>+D7</f>
        <v>5916</v>
      </c>
      <c r="J7" s="534">
        <f>+INDEX('A-A'!$A$1:$D$2286,MATCH('A-Comp'!K7,'A-A'!$A:$A,0),MATCH("Icon",'A-A'!$A$1:$D$1,0))</f>
        <v>1010038</v>
      </c>
      <c r="K7" s="761" t="str">
        <f>+INDEX(ADV!$A:$Z,MATCH(C1,ADV!$A:$A,0),MATCH("Ability 1",ADV!$A$1:$AR$1,0))</f>
        <v>Mournful Heart II</v>
      </c>
      <c r="L7" s="762"/>
      <c r="N7" s="534">
        <f>+INDEX('A-A'!$A$1:$D$2286,MATCH('A-Comp'!O7,'A-A'!$A:$A,0),MATCH("Icon",'A-A'!$A$1:$D$1,0))</f>
        <v>1010038</v>
      </c>
      <c r="O7" s="761" t="str">
        <f>+INDEX(ADV!$A:$Z,MATCH(C1,ADV!$A:$A,0),MATCH("Ability 1 V3",ADV!$A$1:$AR$1,0))</f>
        <v>Mournful Heart (V3)</v>
      </c>
      <c r="P7" s="762"/>
    </row>
    <row r="8" spans="1:16" ht="15" customHeight="1" x14ac:dyDescent="0.2">
      <c r="B8" s="472"/>
      <c r="C8" s="30" t="str">
        <f>+IF(INDEX('A-S'!$A$1:$N$701,MATCH('A-Comp'!C7,'A-S'!$G$1:$G$701,0),MATCH("Shareable",'A-S'!$1:$1,0))="Y","Share Cost - "&amp;INDEX('A-S'!$A$1:$N$701,MATCH('A-Comp'!C7,'A-S'!$G$1:$G$701,0),MATCH("Share Cost",'A-S'!$1:$1,0)),"Not Shareable")</f>
        <v>Not Shareable</v>
      </c>
      <c r="D8" s="16" t="str">
        <f>+INDEX('A-S'!$A:$N,MATCH('A-Comp'!C7,'A-S'!$G:$G,0),MATCH("Share SP",'A-S'!$1:$1,0))</f>
        <v>N/A</v>
      </c>
      <c r="E8" s="31"/>
      <c r="F8" s="779"/>
      <c r="G8" s="32" t="str">
        <f>+C8</f>
        <v>Not Shareable</v>
      </c>
      <c r="H8" s="16" t="str">
        <f>+D8</f>
        <v>N/A</v>
      </c>
      <c r="J8" s="534"/>
      <c r="K8" s="763"/>
      <c r="L8" s="764"/>
      <c r="N8" s="534"/>
      <c r="O8" s="763"/>
      <c r="P8" s="764"/>
    </row>
    <row r="9" spans="1:16" ht="180" customHeight="1" x14ac:dyDescent="0.2">
      <c r="B9" s="775" t="str">
        <f>+INDEX('A-S'!$A:$N,MATCH('A-Comp'!C7,'A-S'!$G:$G,0),MATCH("Description",'A-S'!$1:$1,0))</f>
        <v>If the user's HP is below 40% of max HP when using this skill, increases the entire team's defense by 30% for 15 seconds. If the user's HP is above or equal to 40% of max HP, reduces their HP to 30% of max HP and grants the entire team a "Life Shield" that nullifies damage equal to the amount of HP lost by the user when using this skill. This shield can stack with ordinary shields. This Life Shield caps at 70% of the user's max HP.</v>
      </c>
      <c r="C9" s="776"/>
      <c r="D9" s="777"/>
      <c r="F9" s="775" t="str">
        <f>+INDEX('A-S'!$A:$N,MATCH('A-Comp'!G7,'A-S'!$G:$G,0),MATCH("Description V3",'A-S'!$1:$1,0))</f>
        <v>Increases the entire team's defense by 30% for 15 seconds, reduces the user's HP to 40% of max HP, and grants the entire team a "Life Shield" that nullifies damage equal to the amount of HP lost by the user when using this skill. This shield can stack with ordinary shields. This Life Shield caps at 70% of the user's max HP. Also, grants the user a defense amp (Team Amp MAX Lv. = 3).</v>
      </c>
      <c r="G9" s="776"/>
      <c r="H9" s="777"/>
      <c r="J9" s="775" t="str">
        <f>+INDEX('A-A'!$A$1:$Z$2286,MATCH('A-Comp'!K7,'A-A'!$A:$A,0),MATCH("Description",'A-A'!$A$1:$Z$1,0))</f>
        <v>Grants the user a unique force strike, and increases force strike damage by 30%. Their force strike dispels one buff from an enemy, and restores 10% of the damage inflicted as HP to the user. This recovery caps at 5% of their maximum HP.</v>
      </c>
      <c r="K9" s="776"/>
      <c r="L9" s="777"/>
      <c r="N9" s="775" t="str">
        <f>+INDEX('A-A'!$A$1:$Z$2286,MATCH('A-Comp'!O7,'A-A'!$A:$A,0),MATCH("Description",'A-A'!$A$1:$Z$1,0))</f>
        <v>Grants the user a unique force strike, and increases force strike damage by 50%. Their force strike dispels one buff from an enemy, and restores 10% of the damage inflicted as HP to the entire team. This recovery caps at 10% of the user's maximum HP.</v>
      </c>
      <c r="O9" s="776"/>
      <c r="P9" s="777"/>
    </row>
    <row r="10" spans="1:16" ht="7.5" customHeight="1" x14ac:dyDescent="0.2"/>
    <row r="11" spans="1:16" ht="22.5" customHeight="1" x14ac:dyDescent="0.2">
      <c r="A11" s="9"/>
      <c r="B11" s="472" t="str">
        <f>+INDEX('A-S'!$A:$N,MATCH('A-Comp'!C11,'A-S'!$G:$G,0),MATCH("Icon",'A-S'!$1:$1,0))</f>
        <v>031</v>
      </c>
      <c r="C11" s="33" t="str">
        <f>+INDEX(ADV!$A:$Z,MATCH(C1,ADV!$A:$A,0),MATCH("Skill 2",ADV!$A$1:$AR$1,0))</f>
        <v>Earnest Prayer</v>
      </c>
      <c r="D11" s="15">
        <f>+INDEX('A-S'!$A:$N,MATCH('A-Comp'!C11,'A-S'!$G:$G,0),MATCH("SP Cost",'A-S'!$1:$1,0))</f>
        <v>8534</v>
      </c>
      <c r="F11" s="778" t="str">
        <f>+B11</f>
        <v>031</v>
      </c>
      <c r="G11" s="29" t="str">
        <f>+C11</f>
        <v>Earnest Prayer</v>
      </c>
      <c r="H11" s="34">
        <f>+D11</f>
        <v>8534</v>
      </c>
      <c r="J11" s="773">
        <f>+INDEX('A-A'!$A$1:$D$2286,MATCH('A-Comp'!K11,'A-A'!$A:$A,0),MATCH("Icon",'A-A'!$A$1:$D$1,0))</f>
        <v>1010011</v>
      </c>
      <c r="K11" s="761" t="str">
        <f>+INDEX(ADV!$A:$Z,MATCH(C1,ADV!$A:$A,0),MATCH("Ability 3",ADV!$A$1:$AR$1,0))</f>
        <v>Healing Doublebuff IV</v>
      </c>
      <c r="L11" s="762"/>
      <c r="N11" s="773">
        <f>+INDEX('A-A'!$A$1:$D$2286,MATCH('A-Comp'!O11,'A-A'!$A:$A,0),MATCH("Icon",'A-A'!$A$1:$D$1,0))</f>
        <v>1010011</v>
      </c>
      <c r="O11" s="761" t="str">
        <f>+INDEX(ADV!$A:$Z,MATCH(C1,ADV!$A:$A,0),MATCH("Ability 3 V3",ADV!$A$1:$AR$1,0))</f>
        <v>Doublebuff &amp; Team Defense Amp = HP Regen (Team) (V3)</v>
      </c>
      <c r="P11" s="762"/>
    </row>
    <row r="12" spans="1:16" ht="15" customHeight="1" x14ac:dyDescent="0.2">
      <c r="B12" s="472"/>
      <c r="C12" s="30" t="str">
        <f>+IF(INDEX('A-S'!$A$1:$N$701,MATCH('A-Comp'!C11,'A-S'!$G$1:$G$701,0),MATCH("Shareable",'A-S'!$1:$1,0))="Y","Share Cost - "&amp;INDEX('A-S'!$A$1:$N$701,MATCH('A-Comp'!C11,'A-S'!$G$1:$G$701,0),MATCH("Share Cost",'A-S'!$1:$1,0)),"Not Shareable")</f>
        <v>Not Shareable</v>
      </c>
      <c r="D12" s="16" t="str">
        <f>+INDEX('A-S'!$A:$N,MATCH('A-Comp'!C11,'A-S'!$G:$G,0),MATCH("Share SP",'A-S'!$1:$1,0))</f>
        <v>N/A</v>
      </c>
      <c r="F12" s="779"/>
      <c r="G12" s="32" t="str">
        <f>+C12</f>
        <v>Not Shareable</v>
      </c>
      <c r="H12" s="16" t="str">
        <f>+D12</f>
        <v>N/A</v>
      </c>
      <c r="J12" s="774"/>
      <c r="K12" s="763"/>
      <c r="L12" s="764"/>
      <c r="N12" s="774"/>
      <c r="O12" s="763"/>
      <c r="P12" s="764"/>
    </row>
    <row r="13" spans="1:16" ht="180" customHeight="1" x14ac:dyDescent="0.2">
      <c r="B13" s="775" t="str">
        <f>+INDEX('A-S'!$A:$N,MATCH('A-Comp'!C11,'A-S'!$G:$G,0),MATCH("Description",'A-S'!$1:$1,0))</f>
        <v>Increases the entire team's defense by 100% for 5 seconds.</v>
      </c>
      <c r="C13" s="776"/>
      <c r="D13" s="777"/>
      <c r="F13" s="775" t="str">
        <f>+INDEX('A-S'!$A:$N,MATCH('A-Comp'!G11,'A-S'!$G:$G,0),MATCH("Description V3",'A-S'!$1:$1,0))</f>
        <v>Increases the entire team's defense by 100% for 5 seconds and grants the user a team defense amp (Team Amp MAX Lv. = 1).</v>
      </c>
      <c r="G13" s="776"/>
      <c r="H13" s="777"/>
      <c r="J13" s="775" t="str">
        <f>+INDEX('A-A'!$A$1:$Z$2286,MATCH('A-Comp'!K11,'A-A'!$A:$A,0),MATCH("Description",'A-A'!$A$1:$Z$1,0))</f>
        <v>Grants an HP regen buff healing you for 4% Max HP every 3.9 seconds for 20 seconds each time a defense up buff is received.</v>
      </c>
      <c r="K13" s="776"/>
      <c r="L13" s="777"/>
      <c r="N13" s="775" t="str">
        <f>+INDEX('A-A'!$A$1:$Z$2286,MATCH('A-Comp'!O11,'A-A'!$A:$A,0),MATCH("Description",'A-A'!$A$1:$Z$1,0))</f>
        <v>Grants an HP regen buff to the entire team healing for 2% Max HP every 3.9 seconds for 20 seconds each time a defense up buff is received. In addition, gradually recovers the team's HP with 3% Recovery Potency every 2.9 seconds when they have a team defense amp.</v>
      </c>
      <c r="O13" s="776"/>
      <c r="P13" s="777"/>
    </row>
    <row r="14" spans="1:16" ht="7.5" customHeight="1" x14ac:dyDescent="0.2"/>
    <row r="15" spans="1:16" ht="22.5" customHeight="1" x14ac:dyDescent="0.2">
      <c r="B15" s="765" t="s">
        <v>76</v>
      </c>
      <c r="C15" s="736"/>
      <c r="D15" s="736"/>
      <c r="J15" s="534">
        <f>+INDEX('A-A'!$A$1:$D$2286,MATCH('A-Comp'!K15,'A-A'!$A:$A,0),MATCH("Icon",'A-A'!$A$1:$D$1,0))</f>
        <v>1030005</v>
      </c>
      <c r="K15" s="761" t="str">
        <f>+INDEX(ADV!$A:$Z,MATCH(C1,ADV!$A:$A,0),MATCH("Ability 2",ADV!$A$1:$AR$1,0))</f>
        <v>Blindness Res +100%</v>
      </c>
      <c r="L15" s="762"/>
      <c r="N15" s="534">
        <f>+INDEX('A-A'!$A$1:$D$2286,MATCH('A-Comp'!O15,'A-A'!$A:$A,0),MATCH("Icon",'A-A'!$A$1:$D$1,0))</f>
        <v>1030035</v>
      </c>
      <c r="O15" s="761" t="str">
        <f>+INDEX(ADV!$A:$Z,MATCH(C1,ADV!$A:$A,0),MATCH("Ability 2 V3",ADV!$A$1:$AR$1,0))</f>
        <v>Potent Blindness Res +100%</v>
      </c>
      <c r="P15" s="762"/>
    </row>
    <row r="16" spans="1:16" ht="7.5" customHeight="1" x14ac:dyDescent="0.2">
      <c r="B16" s="22"/>
      <c r="C16" s="22"/>
      <c r="D16" s="22"/>
      <c r="J16" s="534"/>
      <c r="K16" s="771"/>
      <c r="L16" s="772"/>
      <c r="N16" s="534"/>
      <c r="O16" s="771"/>
      <c r="P16" s="772"/>
    </row>
    <row r="17" spans="2:16" ht="7.5" customHeight="1" x14ac:dyDescent="0.2">
      <c r="B17" s="780" t="str">
        <f>"Affliction: "&amp;INDEX(ADV!$A:$AR,MATCH(C1,ADV!$A:$A,0),MATCH("Affliction",ADV!$A$1:$AR$1,0))&amp;CHAR(10)&amp;"Amps: "&amp;INDEX(ADV!$A:$AR,MATCH(C1,ADV!$A:$A,0),MATCH("Amp",ADV!$A$1:$AR$1,0))&amp;CHAR(10)&amp;"Dispel: "&amp;INDEX(ADV!$A:$AR,MATCH(C1,ADV!$A:$A,0),MATCH("Dispel",ADV!$A$1:$AR$1,0))&amp;CHAR(10)&amp;"Extra: "&amp;INDEX(ADV!$A:$AR,MATCH(C1,ADV!$A:$A,0),MATCH("Extra",ADV!$A$1:$AR$1,0))&amp;CHAR(10)&amp;"Notes: "&amp;INDEX(ADV!$A:$AR,MATCH(C1,ADV!$A:$A,0),MATCH("Notes",ADV!$A$1:$AR$1,0))</f>
        <v>Affliction: None (Healer)
Amps: Added Defense Amp (Max Lv. = 3) granted by Sorrow's Requiem &amp; Team Defense Amp (Max Lv. = 1) granted by Earnest Prayer
Dispel: Already on force strike
Extra: Life Shield &amp; Team Doublebuff Regen
Notes: Grace broke Dragalia Lost with her life shields, and the game remained dominated by a doublebuff meta for almost a year afterwards. But when Nihility happened, Grace was left virtually worthless as an adventurer. This revision turns her into a defense amp generator with access to a HP regen doublebuff for the entire team. This basically turns her into a Nihility proof defense amp tank, and the only adventurer capable of reaching a level 3 team amp all on their own.</v>
      </c>
      <c r="C17" s="781"/>
      <c r="D17" s="782"/>
      <c r="J17" s="670"/>
      <c r="K17" s="763"/>
      <c r="L17" s="764"/>
      <c r="N17" s="670"/>
      <c r="O17" s="763"/>
      <c r="P17" s="764"/>
    </row>
    <row r="18" spans="2:16" ht="83.25" customHeight="1" x14ac:dyDescent="0.2">
      <c r="B18" s="783"/>
      <c r="C18" s="784"/>
      <c r="D18" s="785"/>
      <c r="J18" s="775" t="str">
        <f>+INDEX('A-A'!$A$1:$Z$2286,MATCH('A-Comp'!K15,'A-A'!$A:$A,0),MATCH("Description",'A-A'!$A$1:$Z$1,0))</f>
        <v>Reduces susceptibility to blindness by 100%.</v>
      </c>
      <c r="K18" s="776"/>
      <c r="L18" s="777"/>
      <c r="N18" s="775" t="str">
        <f>+INDEX('A-A'!$A$1:$Z$2286,MATCH('A-Comp'!O15,'A-A'!$A:$A,0),MATCH("Description",'A-A'!$A$1:$Z$1,0))</f>
        <v>Reduces susceptibility to blindness by 100%. When the user is hit by an attack that would have blinded them, their strength is increased by 15% for 10 seconds. After activating, this buff will not activate again for 15 seconds.</v>
      </c>
      <c r="O18" s="776"/>
      <c r="P18" s="777"/>
    </row>
    <row r="19" spans="2:16" ht="7.5" customHeight="1" x14ac:dyDescent="0.2">
      <c r="B19" s="783"/>
      <c r="C19" s="784"/>
      <c r="D19" s="785"/>
    </row>
    <row r="20" spans="2:16" ht="23.25" x14ac:dyDescent="0.2">
      <c r="B20" s="783"/>
      <c r="C20" s="784"/>
      <c r="D20" s="785"/>
      <c r="J20" s="765" t="s">
        <v>77</v>
      </c>
      <c r="K20" s="736"/>
      <c r="L20" s="736"/>
      <c r="N20" s="765" t="s">
        <v>78</v>
      </c>
      <c r="O20" s="736"/>
      <c r="P20" s="736"/>
    </row>
    <row r="21" spans="2:16" ht="6.75" customHeight="1" x14ac:dyDescent="0.2">
      <c r="B21" s="783"/>
      <c r="C21" s="784"/>
      <c r="D21" s="785"/>
    </row>
    <row r="22" spans="2:16" ht="23.25" x14ac:dyDescent="0.2">
      <c r="B22" s="783"/>
      <c r="C22" s="784"/>
      <c r="D22" s="785"/>
      <c r="J22" s="35">
        <f>+INDEX('A-CA'!$A$1:$C$2906,MATCH('A-Comp'!K22,'A-CA'!$A:$A,0),MATCH("Icon",'A-CA'!$A$1:$C$1,0))</f>
        <v>1010001</v>
      </c>
      <c r="K22" s="766" t="str">
        <f>+INDEX(ADV!$A:$Z,MATCH(C1,ADV!$A:$A,0),MATCH("Co-Ability",ADV!$A$1:$AR$1,0))</f>
        <v>Force Strike +20%</v>
      </c>
      <c r="L22" s="767"/>
      <c r="N22" s="35">
        <f>+INDEX('A-CA'!$A$1:$C$2906,MATCH('A-Comp'!O22,'A-CA'!$A:$A,0),MATCH("Icon",'A-CA'!$A$1:$C$1,0))</f>
        <v>1020022</v>
      </c>
      <c r="O22" s="766" t="str">
        <f>+INDEX(ADV!$A:$Z,MATCH(C1,ADV!$A:$A,0),MATCH("Chain Co-Ability V3",ADV!$A$1:$AR$1,0))</f>
        <v>HP Below 40% = Shield VI</v>
      </c>
      <c r="P22" s="767"/>
    </row>
    <row r="23" spans="2:16" ht="83.25" customHeight="1" x14ac:dyDescent="0.2">
      <c r="B23" s="786"/>
      <c r="C23" s="787"/>
      <c r="D23" s="788"/>
      <c r="J23" s="758" t="str">
        <f>+INDEX('A-CA'!$A$1:$Z$2906,MATCH('A-Comp'!K22,'A-CA'!$A:$A,0),MATCH("Description",'A-CA'!$A$1:$Z$1,0))</f>
        <v>Increases force strike damage by 20%. Benefits your whole team.</v>
      </c>
      <c r="K23" s="759"/>
      <c r="L23" s="760"/>
      <c r="N23" s="758" t="str">
        <f>+INDEX('A-CA'!$A$1:$Z$2906,MATCH('A-Comp'!O22,'A-CA'!$A:$A,0),MATCH("Description",'A-CA'!$A$1:$Z$1,0))</f>
        <v>Grants a one-use shield that nullifies damage up to 50% of their maximum HP when their HP drops to 40%. This does not stack with any other shields of the same type. Benefits your whole team.</v>
      </c>
      <c r="O23" s="759"/>
      <c r="P23" s="760"/>
    </row>
    <row r="25" spans="2:16" ht="30" x14ac:dyDescent="0.2">
      <c r="B25" s="348" t="s">
        <v>23981</v>
      </c>
    </row>
  </sheetData>
  <mergeCells count="39">
    <mergeCell ref="B7:B8"/>
    <mergeCell ref="F7:F8"/>
    <mergeCell ref="N23:P23"/>
    <mergeCell ref="J18:L18"/>
    <mergeCell ref="N18:P18"/>
    <mergeCell ref="J13:L13"/>
    <mergeCell ref="N13:P13"/>
    <mergeCell ref="B17:D23"/>
    <mergeCell ref="N15:N17"/>
    <mergeCell ref="J9:L9"/>
    <mergeCell ref="N9:P9"/>
    <mergeCell ref="K7:L8"/>
    <mergeCell ref="J7:J8"/>
    <mergeCell ref="O7:P8"/>
    <mergeCell ref="N7:N8"/>
    <mergeCell ref="N11:N12"/>
    <mergeCell ref="B1:B3"/>
    <mergeCell ref="K11:L12"/>
    <mergeCell ref="K15:L17"/>
    <mergeCell ref="O15:P17"/>
    <mergeCell ref="J15:J17"/>
    <mergeCell ref="N5:P5"/>
    <mergeCell ref="J11:J12"/>
    <mergeCell ref="B9:D9"/>
    <mergeCell ref="F9:H9"/>
    <mergeCell ref="B11:B12"/>
    <mergeCell ref="F11:F12"/>
    <mergeCell ref="B13:D13"/>
    <mergeCell ref="F13:H13"/>
    <mergeCell ref="J5:L5"/>
    <mergeCell ref="B5:D5"/>
    <mergeCell ref="F5:H5"/>
    <mergeCell ref="J23:L23"/>
    <mergeCell ref="O11:P12"/>
    <mergeCell ref="B15:D15"/>
    <mergeCell ref="J20:L20"/>
    <mergeCell ref="N20:P20"/>
    <mergeCell ref="K22:L22"/>
    <mergeCell ref="O22:P22"/>
  </mergeCells>
  <pageMargins left="0.25" right="0.25" top="0.3" bottom="0.3" header="0" footer="0"/>
  <pageSetup paperSize="5" scale="57" fitToHeight="0" orientation="landscape"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3792F7-EEFB-45B9-9C78-2EF30368B186}">
  <dimension ref="A1:E337"/>
  <sheetViews>
    <sheetView workbookViewId="0"/>
  </sheetViews>
  <sheetFormatPr defaultRowHeight="14.25" x14ac:dyDescent="0.2"/>
  <cols>
    <col min="1" max="1" width="42.875" bestFit="1" customWidth="1"/>
    <col min="3" max="3" width="41.75" customWidth="1"/>
    <col min="4" max="4" width="6.375" bestFit="1" customWidth="1"/>
  </cols>
  <sheetData>
    <row r="1" spans="1:4" x14ac:dyDescent="0.2">
      <c r="A1" s="2" t="s">
        <v>89</v>
      </c>
      <c r="B1" s="2" t="s">
        <v>4597</v>
      </c>
      <c r="C1" s="2" t="s">
        <v>80</v>
      </c>
      <c r="D1" s="2" t="s">
        <v>6974</v>
      </c>
    </row>
    <row r="2" spans="1:4" x14ac:dyDescent="0.2">
      <c r="A2" t="s">
        <v>244</v>
      </c>
      <c r="B2">
        <v>1020010</v>
      </c>
      <c r="C2" t="s">
        <v>8382</v>
      </c>
    </row>
    <row r="3" spans="1:4" x14ac:dyDescent="0.2">
      <c r="A3" t="s">
        <v>22226</v>
      </c>
      <c r="B3">
        <v>1020010</v>
      </c>
      <c r="C3" t="s">
        <v>22227</v>
      </c>
      <c r="D3" t="s">
        <v>6064</v>
      </c>
    </row>
    <row r="4" spans="1:4" x14ac:dyDescent="0.2">
      <c r="A4" t="s">
        <v>263</v>
      </c>
      <c r="B4">
        <v>1020002</v>
      </c>
      <c r="C4" t="s">
        <v>8383</v>
      </c>
    </row>
    <row r="5" spans="1:4" x14ac:dyDescent="0.2">
      <c r="A5" t="s">
        <v>208</v>
      </c>
      <c r="B5">
        <v>1020002</v>
      </c>
      <c r="C5" t="s">
        <v>8384</v>
      </c>
    </row>
    <row r="6" spans="1:4" x14ac:dyDescent="0.2">
      <c r="A6" t="s">
        <v>450</v>
      </c>
      <c r="B6">
        <v>1080003</v>
      </c>
      <c r="C6" t="s">
        <v>8385</v>
      </c>
    </row>
    <row r="7" spans="1:4" x14ac:dyDescent="0.2">
      <c r="A7" t="s">
        <v>532</v>
      </c>
      <c r="B7">
        <v>1080003</v>
      </c>
      <c r="C7" t="s">
        <v>8386</v>
      </c>
    </row>
    <row r="8" spans="1:4" x14ac:dyDescent="0.2">
      <c r="A8" t="s">
        <v>515</v>
      </c>
      <c r="B8">
        <v>1080003</v>
      </c>
      <c r="C8" t="s">
        <v>8387</v>
      </c>
    </row>
    <row r="9" spans="1:4" x14ac:dyDescent="0.2">
      <c r="A9" t="s">
        <v>432</v>
      </c>
      <c r="B9">
        <v>1010008</v>
      </c>
      <c r="C9" t="s">
        <v>8388</v>
      </c>
    </row>
    <row r="10" spans="1:4" x14ac:dyDescent="0.2">
      <c r="A10" t="s">
        <v>1043</v>
      </c>
      <c r="B10">
        <v>1020010</v>
      </c>
      <c r="C10" t="s">
        <v>8389</v>
      </c>
    </row>
    <row r="11" spans="1:4" x14ac:dyDescent="0.2">
      <c r="A11" t="s">
        <v>22228</v>
      </c>
      <c r="B11">
        <v>1020010</v>
      </c>
      <c r="C11" t="s">
        <v>22229</v>
      </c>
      <c r="D11" t="s">
        <v>6064</v>
      </c>
    </row>
    <row r="12" spans="1:4" x14ac:dyDescent="0.2">
      <c r="A12" t="s">
        <v>683</v>
      </c>
      <c r="B12">
        <v>1020002</v>
      </c>
      <c r="C12" t="s">
        <v>8390</v>
      </c>
    </row>
    <row r="13" spans="1:4" x14ac:dyDescent="0.2">
      <c r="A13" t="s">
        <v>297</v>
      </c>
      <c r="B13">
        <v>1020002</v>
      </c>
      <c r="C13" t="s">
        <v>8391</v>
      </c>
    </row>
    <row r="14" spans="1:4" x14ac:dyDescent="0.2">
      <c r="A14" t="s">
        <v>416</v>
      </c>
      <c r="B14">
        <v>1080003</v>
      </c>
      <c r="C14" t="s">
        <v>8392</v>
      </c>
    </row>
    <row r="15" spans="1:4" x14ac:dyDescent="0.2">
      <c r="A15" t="s">
        <v>811</v>
      </c>
      <c r="B15">
        <v>1080003</v>
      </c>
      <c r="C15" t="s">
        <v>8393</v>
      </c>
    </row>
    <row r="16" spans="1:4" x14ac:dyDescent="0.2">
      <c r="A16" t="s">
        <v>149</v>
      </c>
      <c r="B16">
        <v>1080003</v>
      </c>
      <c r="C16" t="s">
        <v>8394</v>
      </c>
    </row>
    <row r="17" spans="1:4" x14ac:dyDescent="0.2">
      <c r="A17" t="s">
        <v>825</v>
      </c>
      <c r="B17">
        <v>1040002</v>
      </c>
      <c r="C17" t="s">
        <v>8395</v>
      </c>
    </row>
    <row r="18" spans="1:4" x14ac:dyDescent="0.2">
      <c r="A18" t="s">
        <v>8396</v>
      </c>
      <c r="B18">
        <v>1040002</v>
      </c>
      <c r="C18" t="s">
        <v>8397</v>
      </c>
    </row>
    <row r="19" spans="1:4" x14ac:dyDescent="0.2">
      <c r="A19" t="s">
        <v>861</v>
      </c>
      <c r="B19">
        <v>1010006</v>
      </c>
      <c r="C19" t="s">
        <v>8398</v>
      </c>
    </row>
    <row r="20" spans="1:4" x14ac:dyDescent="0.2">
      <c r="A20" t="s">
        <v>666</v>
      </c>
      <c r="B20">
        <v>1020010</v>
      </c>
      <c r="C20" t="s">
        <v>8399</v>
      </c>
    </row>
    <row r="21" spans="1:4" x14ac:dyDescent="0.2">
      <c r="A21" t="s">
        <v>794</v>
      </c>
      <c r="B21">
        <v>1010012</v>
      </c>
      <c r="C21" t="s">
        <v>8400</v>
      </c>
    </row>
    <row r="22" spans="1:4" x14ac:dyDescent="0.2">
      <c r="A22" t="s">
        <v>1087</v>
      </c>
      <c r="B22">
        <v>1010008</v>
      </c>
      <c r="C22" t="s">
        <v>8401</v>
      </c>
    </row>
    <row r="23" spans="1:4" x14ac:dyDescent="0.2">
      <c r="A23" t="s">
        <v>352</v>
      </c>
      <c r="B23">
        <v>1020036</v>
      </c>
      <c r="C23" t="s">
        <v>8402</v>
      </c>
    </row>
    <row r="24" spans="1:4" x14ac:dyDescent="0.2">
      <c r="A24" t="s">
        <v>169</v>
      </c>
      <c r="B24">
        <v>1010001</v>
      </c>
      <c r="C24" t="s">
        <v>8403</v>
      </c>
    </row>
    <row r="25" spans="1:4" x14ac:dyDescent="0.2">
      <c r="A25" t="s">
        <v>22230</v>
      </c>
      <c r="B25">
        <v>1010001</v>
      </c>
      <c r="C25" t="s">
        <v>22231</v>
      </c>
      <c r="D25" t="s">
        <v>6064</v>
      </c>
    </row>
    <row r="26" spans="1:4" x14ac:dyDescent="0.2">
      <c r="A26" t="s">
        <v>546</v>
      </c>
      <c r="B26">
        <v>1020002</v>
      </c>
      <c r="C26" t="s">
        <v>8404</v>
      </c>
    </row>
    <row r="27" spans="1:4" x14ac:dyDescent="0.2">
      <c r="A27" t="s">
        <v>498</v>
      </c>
      <c r="B27">
        <v>1020005</v>
      </c>
      <c r="C27" t="s">
        <v>8405</v>
      </c>
    </row>
    <row r="28" spans="1:4" x14ac:dyDescent="0.2">
      <c r="A28" t="s">
        <v>582</v>
      </c>
      <c r="B28">
        <v>1020005</v>
      </c>
      <c r="C28" t="s">
        <v>8406</v>
      </c>
    </row>
    <row r="29" spans="1:4" x14ac:dyDescent="0.2">
      <c r="A29" t="s">
        <v>1028</v>
      </c>
      <c r="B29">
        <v>1020002</v>
      </c>
      <c r="C29" t="s">
        <v>8407</v>
      </c>
    </row>
    <row r="30" spans="1:4" x14ac:dyDescent="0.2">
      <c r="A30" t="s">
        <v>700</v>
      </c>
      <c r="B30">
        <v>1020002</v>
      </c>
      <c r="C30" t="s">
        <v>8408</v>
      </c>
    </row>
    <row r="31" spans="1:4" x14ac:dyDescent="0.2">
      <c r="A31" t="s">
        <v>649</v>
      </c>
      <c r="B31">
        <v>1010095</v>
      </c>
      <c r="C31" t="s">
        <v>8409</v>
      </c>
    </row>
    <row r="32" spans="1:4" x14ac:dyDescent="0.2">
      <c r="A32" t="s">
        <v>22232</v>
      </c>
      <c r="B32">
        <v>1020001</v>
      </c>
      <c r="C32" t="s">
        <v>22233</v>
      </c>
      <c r="D32" t="s">
        <v>6064</v>
      </c>
    </row>
    <row r="33" spans="1:3" x14ac:dyDescent="0.2">
      <c r="A33" t="s">
        <v>314</v>
      </c>
      <c r="B33">
        <v>1020001</v>
      </c>
      <c r="C33" t="s">
        <v>8410</v>
      </c>
    </row>
    <row r="34" spans="1:3" x14ac:dyDescent="0.2">
      <c r="A34" t="s">
        <v>632</v>
      </c>
      <c r="B34">
        <v>1020002</v>
      </c>
      <c r="C34" t="s">
        <v>8411</v>
      </c>
    </row>
    <row r="35" spans="1:3" x14ac:dyDescent="0.2">
      <c r="A35" t="s">
        <v>226</v>
      </c>
      <c r="B35">
        <v>1020002</v>
      </c>
      <c r="C35" t="s">
        <v>8412</v>
      </c>
    </row>
    <row r="36" spans="1:3" x14ac:dyDescent="0.2">
      <c r="A36" t="s">
        <v>922</v>
      </c>
      <c r="B36">
        <v>1080003</v>
      </c>
      <c r="C36" t="s">
        <v>8413</v>
      </c>
    </row>
    <row r="37" spans="1:3" x14ac:dyDescent="0.2">
      <c r="A37" t="s">
        <v>384</v>
      </c>
      <c r="B37">
        <v>1080003</v>
      </c>
      <c r="C37" t="s">
        <v>8414</v>
      </c>
    </row>
    <row r="38" spans="1:3" x14ac:dyDescent="0.2">
      <c r="A38" t="s">
        <v>778</v>
      </c>
      <c r="B38">
        <v>1020022</v>
      </c>
      <c r="C38" t="s">
        <v>8415</v>
      </c>
    </row>
    <row r="39" spans="1:3" x14ac:dyDescent="0.2">
      <c r="A39" t="s">
        <v>747</v>
      </c>
      <c r="B39">
        <v>1020002</v>
      </c>
      <c r="C39" t="s">
        <v>8416</v>
      </c>
    </row>
    <row r="40" spans="1:3" x14ac:dyDescent="0.2">
      <c r="A40" t="s">
        <v>615</v>
      </c>
      <c r="B40">
        <v>1020002</v>
      </c>
      <c r="C40" t="s">
        <v>8417</v>
      </c>
    </row>
    <row r="41" spans="1:3" x14ac:dyDescent="0.2">
      <c r="A41" t="s">
        <v>127</v>
      </c>
      <c r="B41">
        <v>1020002</v>
      </c>
      <c r="C41" t="s">
        <v>8418</v>
      </c>
    </row>
    <row r="42" spans="1:3" x14ac:dyDescent="0.2">
      <c r="A42" t="s">
        <v>400</v>
      </c>
      <c r="B42">
        <v>1080003</v>
      </c>
      <c r="C42" t="s">
        <v>8419</v>
      </c>
    </row>
    <row r="43" spans="1:3" x14ac:dyDescent="0.2">
      <c r="A43" t="s">
        <v>189</v>
      </c>
      <c r="B43">
        <v>1010011</v>
      </c>
      <c r="C43" t="s">
        <v>8420</v>
      </c>
    </row>
    <row r="44" spans="1:3" x14ac:dyDescent="0.2">
      <c r="A44" t="s">
        <v>971</v>
      </c>
      <c r="B44">
        <v>1020036</v>
      </c>
      <c r="C44" t="s">
        <v>8421</v>
      </c>
    </row>
    <row r="45" spans="1:3" x14ac:dyDescent="0.2">
      <c r="A45" t="s">
        <v>334</v>
      </c>
      <c r="B45">
        <v>1080003</v>
      </c>
      <c r="C45" t="s">
        <v>8422</v>
      </c>
    </row>
    <row r="46" spans="1:3" x14ac:dyDescent="0.2">
      <c r="A46" t="s">
        <v>986</v>
      </c>
      <c r="B46">
        <v>1020002</v>
      </c>
      <c r="C46" t="s">
        <v>8423</v>
      </c>
    </row>
    <row r="47" spans="1:3" x14ac:dyDescent="0.2">
      <c r="A47" t="s">
        <v>564</v>
      </c>
      <c r="B47">
        <v>1020002</v>
      </c>
      <c r="C47" t="s">
        <v>8424</v>
      </c>
    </row>
    <row r="48" spans="1:3" x14ac:dyDescent="0.2">
      <c r="A48" t="s">
        <v>3633</v>
      </c>
      <c r="B48">
        <v>1020010</v>
      </c>
      <c r="C48" t="s">
        <v>8425</v>
      </c>
    </row>
    <row r="49" spans="1:3" x14ac:dyDescent="0.2">
      <c r="A49" t="s">
        <v>3709</v>
      </c>
      <c r="B49">
        <v>1020010</v>
      </c>
      <c r="C49" t="s">
        <v>8426</v>
      </c>
    </row>
    <row r="50" spans="1:3" x14ac:dyDescent="0.2">
      <c r="A50" t="s">
        <v>2990</v>
      </c>
      <c r="B50">
        <v>1080005</v>
      </c>
      <c r="C50" t="s">
        <v>8427</v>
      </c>
    </row>
    <row r="51" spans="1:3" x14ac:dyDescent="0.2">
      <c r="A51" t="s">
        <v>3152</v>
      </c>
      <c r="B51">
        <v>1080005</v>
      </c>
      <c r="C51" t="s">
        <v>8428</v>
      </c>
    </row>
    <row r="52" spans="1:3" x14ac:dyDescent="0.2">
      <c r="A52" t="s">
        <v>3460</v>
      </c>
      <c r="B52">
        <v>1080005</v>
      </c>
      <c r="C52" t="s">
        <v>8429</v>
      </c>
    </row>
    <row r="53" spans="1:3" x14ac:dyDescent="0.2">
      <c r="A53" t="s">
        <v>3329</v>
      </c>
      <c r="B53">
        <v>1020002</v>
      </c>
      <c r="C53" t="s">
        <v>8430</v>
      </c>
    </row>
    <row r="54" spans="1:3" x14ac:dyDescent="0.2">
      <c r="A54" t="s">
        <v>2938</v>
      </c>
      <c r="B54">
        <v>1020002</v>
      </c>
      <c r="C54" t="s">
        <v>8431</v>
      </c>
    </row>
    <row r="55" spans="1:3" x14ac:dyDescent="0.2">
      <c r="A55" t="s">
        <v>3722</v>
      </c>
      <c r="B55">
        <v>1020010</v>
      </c>
      <c r="C55" t="s">
        <v>8432</v>
      </c>
    </row>
    <row r="56" spans="1:3" x14ac:dyDescent="0.2">
      <c r="A56" t="s">
        <v>3618</v>
      </c>
      <c r="B56">
        <v>1010008</v>
      </c>
      <c r="C56" t="s">
        <v>8433</v>
      </c>
    </row>
    <row r="57" spans="1:3" x14ac:dyDescent="0.2">
      <c r="A57" t="s">
        <v>3136</v>
      </c>
      <c r="B57">
        <v>1020036</v>
      </c>
      <c r="C57" t="s">
        <v>8434</v>
      </c>
    </row>
    <row r="58" spans="1:3" x14ac:dyDescent="0.2">
      <c r="A58" t="s">
        <v>3110</v>
      </c>
      <c r="B58">
        <v>1020036</v>
      </c>
      <c r="C58" t="s">
        <v>8435</v>
      </c>
    </row>
    <row r="59" spans="1:3" x14ac:dyDescent="0.2">
      <c r="A59" t="s">
        <v>3384</v>
      </c>
      <c r="B59">
        <v>1020003</v>
      </c>
      <c r="C59" t="s">
        <v>8436</v>
      </c>
    </row>
    <row r="60" spans="1:3" x14ac:dyDescent="0.2">
      <c r="A60" t="s">
        <v>3021</v>
      </c>
      <c r="B60">
        <v>1020003</v>
      </c>
      <c r="C60" t="s">
        <v>8437</v>
      </c>
    </row>
    <row r="61" spans="1:3" x14ac:dyDescent="0.2">
      <c r="A61" t="s">
        <v>3185</v>
      </c>
      <c r="B61">
        <v>1020003</v>
      </c>
      <c r="C61" t="s">
        <v>8438</v>
      </c>
    </row>
    <row r="62" spans="1:3" x14ac:dyDescent="0.2">
      <c r="A62" t="s">
        <v>3201</v>
      </c>
      <c r="B62">
        <v>1020009</v>
      </c>
      <c r="C62" t="s">
        <v>8439</v>
      </c>
    </row>
    <row r="63" spans="1:3" x14ac:dyDescent="0.2">
      <c r="A63" t="s">
        <v>3565</v>
      </c>
      <c r="B63">
        <v>1020010</v>
      </c>
      <c r="C63" t="s">
        <v>8440</v>
      </c>
    </row>
    <row r="64" spans="1:3" x14ac:dyDescent="0.2">
      <c r="A64" t="s">
        <v>3445</v>
      </c>
      <c r="B64">
        <v>1080005</v>
      </c>
      <c r="C64" t="s">
        <v>8441</v>
      </c>
    </row>
    <row r="65" spans="1:4" x14ac:dyDescent="0.2">
      <c r="A65" t="s">
        <v>3005</v>
      </c>
      <c r="B65">
        <v>1080005</v>
      </c>
      <c r="C65" t="s">
        <v>8442</v>
      </c>
    </row>
    <row r="66" spans="1:4" x14ac:dyDescent="0.2">
      <c r="A66" t="s">
        <v>3342</v>
      </c>
      <c r="B66">
        <v>1020002</v>
      </c>
      <c r="C66" t="s">
        <v>8443</v>
      </c>
    </row>
    <row r="67" spans="1:4" x14ac:dyDescent="0.2">
      <c r="A67" t="s">
        <v>3258</v>
      </c>
      <c r="B67">
        <v>1020002</v>
      </c>
      <c r="C67" t="s">
        <v>8444</v>
      </c>
    </row>
    <row r="68" spans="1:4" x14ac:dyDescent="0.2">
      <c r="A68" t="s">
        <v>3520</v>
      </c>
      <c r="B68">
        <v>1080005</v>
      </c>
      <c r="C68" t="s">
        <v>8445</v>
      </c>
    </row>
    <row r="69" spans="1:4" x14ac:dyDescent="0.2">
      <c r="A69" t="s">
        <v>22234</v>
      </c>
      <c r="B69">
        <v>1020001</v>
      </c>
      <c r="C69" t="s">
        <v>22235</v>
      </c>
      <c r="D69" t="s">
        <v>6064</v>
      </c>
    </row>
    <row r="70" spans="1:4" x14ac:dyDescent="0.2">
      <c r="A70" t="s">
        <v>3696</v>
      </c>
      <c r="B70">
        <v>1020001</v>
      </c>
      <c r="C70" t="s">
        <v>8446</v>
      </c>
    </row>
    <row r="71" spans="1:4" x14ac:dyDescent="0.2">
      <c r="A71" t="s">
        <v>3357</v>
      </c>
      <c r="B71">
        <v>1020001</v>
      </c>
      <c r="C71" t="s">
        <v>8447</v>
      </c>
    </row>
    <row r="72" spans="1:4" x14ac:dyDescent="0.2">
      <c r="A72" t="s">
        <v>3271</v>
      </c>
      <c r="B72">
        <v>1020002</v>
      </c>
      <c r="C72" t="s">
        <v>8448</v>
      </c>
    </row>
    <row r="73" spans="1:4" x14ac:dyDescent="0.2">
      <c r="A73" t="s">
        <v>2924</v>
      </c>
      <c r="B73">
        <v>1020002</v>
      </c>
      <c r="C73" t="s">
        <v>8449</v>
      </c>
    </row>
    <row r="74" spans="1:4" x14ac:dyDescent="0.2">
      <c r="A74" t="s">
        <v>2858</v>
      </c>
      <c r="B74">
        <v>1020002</v>
      </c>
      <c r="C74" t="s">
        <v>8450</v>
      </c>
    </row>
    <row r="75" spans="1:4" x14ac:dyDescent="0.2">
      <c r="A75" t="s">
        <v>3592</v>
      </c>
      <c r="B75">
        <v>1080005</v>
      </c>
      <c r="C75" t="s">
        <v>8451</v>
      </c>
    </row>
    <row r="76" spans="1:4" x14ac:dyDescent="0.2">
      <c r="A76" t="s">
        <v>2972</v>
      </c>
      <c r="B76">
        <v>1080005</v>
      </c>
      <c r="C76" t="s">
        <v>8452</v>
      </c>
    </row>
    <row r="77" spans="1:4" x14ac:dyDescent="0.2">
      <c r="A77" t="s">
        <v>2840</v>
      </c>
      <c r="B77">
        <v>1020022</v>
      </c>
      <c r="C77" t="s">
        <v>8453</v>
      </c>
    </row>
    <row r="78" spans="1:4" x14ac:dyDescent="0.2">
      <c r="A78" t="s">
        <v>3052</v>
      </c>
      <c r="B78">
        <v>1010011</v>
      </c>
      <c r="C78" t="s">
        <v>8454</v>
      </c>
    </row>
    <row r="79" spans="1:4" x14ac:dyDescent="0.2">
      <c r="A79" t="s">
        <v>3286</v>
      </c>
      <c r="B79">
        <v>1020002</v>
      </c>
      <c r="C79" t="s">
        <v>8455</v>
      </c>
    </row>
    <row r="80" spans="1:4" x14ac:dyDescent="0.2">
      <c r="A80" t="s">
        <v>3684</v>
      </c>
      <c r="B80">
        <v>1020010</v>
      </c>
      <c r="C80" t="s">
        <v>8456</v>
      </c>
    </row>
    <row r="81" spans="1:4" x14ac:dyDescent="0.2">
      <c r="A81" t="s">
        <v>2908</v>
      </c>
      <c r="B81">
        <v>1020010</v>
      </c>
      <c r="C81" t="s">
        <v>8457</v>
      </c>
    </row>
    <row r="82" spans="1:4" x14ac:dyDescent="0.2">
      <c r="A82" t="s">
        <v>3037</v>
      </c>
      <c r="B82">
        <v>1080005</v>
      </c>
      <c r="C82" t="s">
        <v>8458</v>
      </c>
    </row>
    <row r="83" spans="1:4" x14ac:dyDescent="0.2">
      <c r="A83" t="s">
        <v>3414</v>
      </c>
      <c r="B83">
        <v>1080005</v>
      </c>
      <c r="C83" t="s">
        <v>8459</v>
      </c>
    </row>
    <row r="84" spans="1:4" x14ac:dyDescent="0.2">
      <c r="A84" t="s">
        <v>3231</v>
      </c>
      <c r="B84">
        <v>1020002</v>
      </c>
      <c r="C84" t="s">
        <v>8460</v>
      </c>
    </row>
    <row r="85" spans="1:4" x14ac:dyDescent="0.2">
      <c r="A85" t="s">
        <v>3490</v>
      </c>
      <c r="B85">
        <v>1040004</v>
      </c>
      <c r="C85" t="s">
        <v>8461</v>
      </c>
    </row>
    <row r="86" spans="1:4" x14ac:dyDescent="0.2">
      <c r="A86" t="s">
        <v>22236</v>
      </c>
      <c r="B86">
        <v>1040004</v>
      </c>
      <c r="C86" t="s">
        <v>22237</v>
      </c>
      <c r="D86" t="s">
        <v>6064</v>
      </c>
    </row>
    <row r="87" spans="1:4" x14ac:dyDescent="0.2">
      <c r="A87" t="s">
        <v>3398</v>
      </c>
      <c r="B87">
        <v>1080005</v>
      </c>
      <c r="C87" t="s">
        <v>8462</v>
      </c>
    </row>
    <row r="88" spans="1:4" x14ac:dyDescent="0.2">
      <c r="A88" t="s">
        <v>2875</v>
      </c>
      <c r="B88">
        <v>1010011</v>
      </c>
      <c r="C88" t="s">
        <v>8463</v>
      </c>
    </row>
    <row r="89" spans="1:4" x14ac:dyDescent="0.2">
      <c r="A89" t="s">
        <v>3166</v>
      </c>
      <c r="B89">
        <v>1010011</v>
      </c>
      <c r="C89" t="s">
        <v>8464</v>
      </c>
    </row>
    <row r="90" spans="1:4" x14ac:dyDescent="0.2">
      <c r="A90" t="s">
        <v>2954</v>
      </c>
      <c r="B90">
        <v>1030007</v>
      </c>
      <c r="C90" t="s">
        <v>8465</v>
      </c>
    </row>
    <row r="91" spans="1:4" x14ac:dyDescent="0.2">
      <c r="A91" t="s">
        <v>3999</v>
      </c>
      <c r="B91">
        <v>1080004</v>
      </c>
      <c r="C91" t="s">
        <v>8466</v>
      </c>
    </row>
    <row r="92" spans="1:4" x14ac:dyDescent="0.2">
      <c r="A92" t="s">
        <v>4070</v>
      </c>
      <c r="B92">
        <v>1080004</v>
      </c>
      <c r="C92" t="s">
        <v>8467</v>
      </c>
    </row>
    <row r="93" spans="1:4" x14ac:dyDescent="0.2">
      <c r="A93" t="s">
        <v>4179</v>
      </c>
      <c r="B93">
        <v>1020036</v>
      </c>
      <c r="C93" t="s">
        <v>8468</v>
      </c>
    </row>
    <row r="94" spans="1:4" x14ac:dyDescent="0.2">
      <c r="A94" t="s">
        <v>4252</v>
      </c>
      <c r="B94">
        <v>1020003</v>
      </c>
      <c r="C94" t="s">
        <v>8469</v>
      </c>
    </row>
    <row r="95" spans="1:4" x14ac:dyDescent="0.2">
      <c r="A95" t="s">
        <v>3782</v>
      </c>
      <c r="B95">
        <v>1020002</v>
      </c>
      <c r="C95" t="s">
        <v>8470</v>
      </c>
    </row>
    <row r="96" spans="1:4" x14ac:dyDescent="0.2">
      <c r="A96" t="s">
        <v>3842</v>
      </c>
      <c r="B96">
        <v>1020005</v>
      </c>
      <c r="C96" t="s">
        <v>8471</v>
      </c>
    </row>
    <row r="97" spans="1:4" x14ac:dyDescent="0.2">
      <c r="A97" t="s">
        <v>3927</v>
      </c>
      <c r="B97">
        <v>1020005</v>
      </c>
      <c r="C97" t="s">
        <v>8472</v>
      </c>
    </row>
    <row r="98" spans="1:4" x14ac:dyDescent="0.2">
      <c r="A98" t="s">
        <v>4222</v>
      </c>
      <c r="B98">
        <v>1020002</v>
      </c>
      <c r="C98" t="s">
        <v>8473</v>
      </c>
    </row>
    <row r="99" spans="1:4" x14ac:dyDescent="0.2">
      <c r="A99" t="s">
        <v>22238</v>
      </c>
      <c r="B99">
        <v>1020001</v>
      </c>
      <c r="C99" t="s">
        <v>22239</v>
      </c>
      <c r="D99" t="s">
        <v>6064</v>
      </c>
    </row>
    <row r="100" spans="1:4" x14ac:dyDescent="0.2">
      <c r="A100" t="s">
        <v>3972</v>
      </c>
      <c r="B100">
        <v>1020001</v>
      </c>
      <c r="C100" t="s">
        <v>8474</v>
      </c>
    </row>
    <row r="101" spans="1:4" x14ac:dyDescent="0.2">
      <c r="A101" t="s">
        <v>4152</v>
      </c>
      <c r="B101">
        <v>1020001</v>
      </c>
      <c r="C101" t="s">
        <v>8475</v>
      </c>
    </row>
    <row r="102" spans="1:4" x14ac:dyDescent="0.2">
      <c r="A102" t="s">
        <v>4367</v>
      </c>
      <c r="B102">
        <v>1020010</v>
      </c>
      <c r="C102" t="s">
        <v>8476</v>
      </c>
    </row>
    <row r="103" spans="1:4" x14ac:dyDescent="0.2">
      <c r="A103" t="s">
        <v>3869</v>
      </c>
      <c r="B103">
        <v>1020002</v>
      </c>
      <c r="C103" t="s">
        <v>8477</v>
      </c>
    </row>
    <row r="104" spans="1:4" x14ac:dyDescent="0.2">
      <c r="A104" t="s">
        <v>4237</v>
      </c>
      <c r="B104">
        <v>1020002</v>
      </c>
      <c r="C104" t="s">
        <v>8478</v>
      </c>
    </row>
    <row r="105" spans="1:4" x14ac:dyDescent="0.2">
      <c r="A105" t="s">
        <v>3827</v>
      </c>
      <c r="B105">
        <v>1020002</v>
      </c>
      <c r="C105" t="s">
        <v>8479</v>
      </c>
    </row>
    <row r="106" spans="1:4" x14ac:dyDescent="0.2">
      <c r="A106" t="s">
        <v>4450</v>
      </c>
      <c r="B106">
        <v>1080004</v>
      </c>
      <c r="C106" t="s">
        <v>8480</v>
      </c>
    </row>
    <row r="107" spans="1:4" x14ac:dyDescent="0.2">
      <c r="A107" t="s">
        <v>3958</v>
      </c>
      <c r="B107">
        <v>1080004</v>
      </c>
      <c r="C107" t="s">
        <v>8481</v>
      </c>
    </row>
    <row r="108" spans="1:4" x14ac:dyDescent="0.2">
      <c r="A108" t="s">
        <v>3899</v>
      </c>
      <c r="B108">
        <v>1080004</v>
      </c>
      <c r="C108" t="s">
        <v>8482</v>
      </c>
    </row>
    <row r="109" spans="1:4" x14ac:dyDescent="0.2">
      <c r="A109" t="s">
        <v>3913</v>
      </c>
      <c r="B109">
        <v>1080004</v>
      </c>
      <c r="C109" t="s">
        <v>8483</v>
      </c>
    </row>
    <row r="110" spans="1:4" x14ac:dyDescent="0.2">
      <c r="A110" t="s">
        <v>3941</v>
      </c>
      <c r="B110">
        <v>1080004</v>
      </c>
      <c r="C110" t="s">
        <v>8484</v>
      </c>
    </row>
    <row r="111" spans="1:4" x14ac:dyDescent="0.2">
      <c r="A111" t="s">
        <v>4462</v>
      </c>
      <c r="B111">
        <v>1020022</v>
      </c>
      <c r="C111" t="s">
        <v>8485</v>
      </c>
    </row>
    <row r="112" spans="1:4" x14ac:dyDescent="0.2">
      <c r="A112" t="s">
        <v>3855</v>
      </c>
      <c r="B112">
        <v>1020002</v>
      </c>
      <c r="C112" t="s">
        <v>8486</v>
      </c>
    </row>
    <row r="113" spans="1:3" x14ac:dyDescent="0.2">
      <c r="A113" t="s">
        <v>4124</v>
      </c>
      <c r="B113">
        <v>1020002</v>
      </c>
      <c r="C113" t="s">
        <v>8487</v>
      </c>
    </row>
    <row r="114" spans="1:3" x14ac:dyDescent="0.2">
      <c r="A114" t="s">
        <v>4276</v>
      </c>
      <c r="B114">
        <v>1010011</v>
      </c>
      <c r="C114" t="s">
        <v>8488</v>
      </c>
    </row>
    <row r="115" spans="1:3" x14ac:dyDescent="0.2">
      <c r="A115" t="s">
        <v>4294</v>
      </c>
      <c r="B115">
        <v>1080004</v>
      </c>
      <c r="C115" t="s">
        <v>8489</v>
      </c>
    </row>
    <row r="116" spans="1:3" x14ac:dyDescent="0.2">
      <c r="A116" t="s">
        <v>4551</v>
      </c>
      <c r="B116">
        <v>1070017</v>
      </c>
      <c r="C116" t="s">
        <v>8490</v>
      </c>
    </row>
    <row r="117" spans="1:3" x14ac:dyDescent="0.2">
      <c r="A117" t="s">
        <v>4107</v>
      </c>
      <c r="B117">
        <v>1020002</v>
      </c>
      <c r="C117" t="s">
        <v>8491</v>
      </c>
    </row>
    <row r="118" spans="1:3" x14ac:dyDescent="0.2">
      <c r="A118" t="s">
        <v>4082</v>
      </c>
      <c r="B118">
        <v>1080004</v>
      </c>
      <c r="C118" t="s">
        <v>8492</v>
      </c>
    </row>
    <row r="119" spans="1:3" x14ac:dyDescent="0.2">
      <c r="A119" t="s">
        <v>4056</v>
      </c>
      <c r="B119">
        <v>1080004</v>
      </c>
      <c r="C119" t="s">
        <v>8493</v>
      </c>
    </row>
    <row r="120" spans="1:3" x14ac:dyDescent="0.2">
      <c r="A120" t="s">
        <v>4336</v>
      </c>
      <c r="B120">
        <v>1080004</v>
      </c>
      <c r="C120" t="s">
        <v>8494</v>
      </c>
    </row>
    <row r="121" spans="1:3" x14ac:dyDescent="0.2">
      <c r="A121" t="s">
        <v>3813</v>
      </c>
      <c r="B121">
        <v>1020002</v>
      </c>
      <c r="C121" t="s">
        <v>8495</v>
      </c>
    </row>
    <row r="122" spans="1:3" x14ac:dyDescent="0.2">
      <c r="A122" t="s">
        <v>4166</v>
      </c>
      <c r="B122">
        <v>1020002</v>
      </c>
      <c r="C122" t="s">
        <v>8496</v>
      </c>
    </row>
    <row r="123" spans="1:3" x14ac:dyDescent="0.2">
      <c r="A123" t="s">
        <v>4041</v>
      </c>
      <c r="B123">
        <v>1040001</v>
      </c>
      <c r="C123" t="s">
        <v>8497</v>
      </c>
    </row>
    <row r="124" spans="1:3" x14ac:dyDescent="0.2">
      <c r="A124" t="s">
        <v>4193</v>
      </c>
      <c r="B124">
        <v>1020002</v>
      </c>
      <c r="C124" t="s">
        <v>8498</v>
      </c>
    </row>
    <row r="125" spans="1:3" x14ac:dyDescent="0.2">
      <c r="A125" t="s">
        <v>3882</v>
      </c>
      <c r="B125">
        <v>1080004</v>
      </c>
      <c r="C125" t="s">
        <v>8499</v>
      </c>
    </row>
    <row r="126" spans="1:3" x14ac:dyDescent="0.2">
      <c r="A126" t="s">
        <v>4522</v>
      </c>
      <c r="B126">
        <v>1030005</v>
      </c>
      <c r="C126" t="s">
        <v>8500</v>
      </c>
    </row>
    <row r="127" spans="1:3" x14ac:dyDescent="0.2">
      <c r="A127" t="s">
        <v>1509</v>
      </c>
      <c r="B127">
        <v>1020010</v>
      </c>
      <c r="C127" t="s">
        <v>8501</v>
      </c>
    </row>
    <row r="128" spans="1:3" x14ac:dyDescent="0.2">
      <c r="A128" t="s">
        <v>1245</v>
      </c>
      <c r="B128">
        <v>1080001</v>
      </c>
      <c r="C128" t="s">
        <v>8502</v>
      </c>
    </row>
    <row r="129" spans="1:4" x14ac:dyDescent="0.2">
      <c r="A129" t="s">
        <v>1688</v>
      </c>
      <c r="B129">
        <v>1080001</v>
      </c>
      <c r="C129" t="s">
        <v>8503</v>
      </c>
    </row>
    <row r="130" spans="1:4" x14ac:dyDescent="0.2">
      <c r="A130" t="s">
        <v>1379</v>
      </c>
      <c r="B130">
        <v>1080001</v>
      </c>
      <c r="C130" t="s">
        <v>8504</v>
      </c>
    </row>
    <row r="131" spans="1:4" x14ac:dyDescent="0.2">
      <c r="A131" t="s">
        <v>1876</v>
      </c>
      <c r="B131">
        <v>1020002</v>
      </c>
      <c r="C131" t="s">
        <v>8505</v>
      </c>
    </row>
    <row r="132" spans="1:4" x14ac:dyDescent="0.2">
      <c r="A132" t="s">
        <v>1153</v>
      </c>
      <c r="B132">
        <v>1020002</v>
      </c>
      <c r="C132" t="s">
        <v>8506</v>
      </c>
    </row>
    <row r="133" spans="1:4" x14ac:dyDescent="0.2">
      <c r="A133" t="s">
        <v>22240</v>
      </c>
      <c r="B133">
        <v>1010006</v>
      </c>
      <c r="C133" t="s">
        <v>22241</v>
      </c>
      <c r="D133" t="s">
        <v>6974</v>
      </c>
    </row>
    <row r="134" spans="1:4" x14ac:dyDescent="0.2">
      <c r="A134" t="s">
        <v>1603</v>
      </c>
      <c r="B134">
        <v>1010006</v>
      </c>
      <c r="C134" t="s">
        <v>8507</v>
      </c>
    </row>
    <row r="135" spans="1:4" x14ac:dyDescent="0.2">
      <c r="A135" t="s">
        <v>1364</v>
      </c>
      <c r="B135">
        <v>1010006</v>
      </c>
      <c r="C135" t="s">
        <v>8508</v>
      </c>
    </row>
    <row r="136" spans="1:4" x14ac:dyDescent="0.2">
      <c r="A136" t="s">
        <v>1211</v>
      </c>
      <c r="B136">
        <v>1010006</v>
      </c>
      <c r="C136" t="s">
        <v>8509</v>
      </c>
    </row>
    <row r="137" spans="1:4" x14ac:dyDescent="0.2">
      <c r="A137" t="s">
        <v>1648</v>
      </c>
      <c r="B137">
        <v>1010012</v>
      </c>
      <c r="C137" t="s">
        <v>8510</v>
      </c>
    </row>
    <row r="138" spans="1:4" x14ac:dyDescent="0.2">
      <c r="A138" t="s">
        <v>1348</v>
      </c>
      <c r="B138">
        <v>1020036</v>
      </c>
      <c r="C138" t="s">
        <v>8511</v>
      </c>
    </row>
    <row r="139" spans="1:4" x14ac:dyDescent="0.2">
      <c r="A139" t="s">
        <v>1918</v>
      </c>
      <c r="B139">
        <v>1020002</v>
      </c>
      <c r="C139" t="s">
        <v>8512</v>
      </c>
    </row>
    <row r="140" spans="1:4" x14ac:dyDescent="0.2">
      <c r="A140" t="s">
        <v>1479</v>
      </c>
      <c r="B140">
        <v>1020005</v>
      </c>
      <c r="C140" t="s">
        <v>8513</v>
      </c>
    </row>
    <row r="141" spans="1:4" x14ac:dyDescent="0.2">
      <c r="A141" t="s">
        <v>1775</v>
      </c>
      <c r="B141">
        <v>1020005</v>
      </c>
      <c r="C141" t="s">
        <v>8514</v>
      </c>
    </row>
    <row r="142" spans="1:4" x14ac:dyDescent="0.2">
      <c r="A142" t="s">
        <v>1318</v>
      </c>
      <c r="B142">
        <v>1020005</v>
      </c>
      <c r="C142" t="s">
        <v>8515</v>
      </c>
    </row>
    <row r="143" spans="1:4" x14ac:dyDescent="0.2">
      <c r="A143" t="s">
        <v>1122</v>
      </c>
      <c r="B143">
        <v>1020002</v>
      </c>
      <c r="C143" t="s">
        <v>8516</v>
      </c>
    </row>
    <row r="144" spans="1:4" x14ac:dyDescent="0.2">
      <c r="A144" t="s">
        <v>1286</v>
      </c>
      <c r="B144">
        <v>1080001</v>
      </c>
      <c r="C144" t="s">
        <v>8517</v>
      </c>
    </row>
    <row r="145" spans="1:4" x14ac:dyDescent="0.2">
      <c r="A145" t="s">
        <v>1676</v>
      </c>
      <c r="B145">
        <v>1080001</v>
      </c>
      <c r="C145" t="s">
        <v>8518</v>
      </c>
    </row>
    <row r="146" spans="1:4" x14ac:dyDescent="0.2">
      <c r="A146" t="s">
        <v>1167</v>
      </c>
      <c r="B146">
        <v>1020002</v>
      </c>
      <c r="C146" t="s">
        <v>8519</v>
      </c>
    </row>
    <row r="147" spans="1:4" x14ac:dyDescent="0.2">
      <c r="A147" t="s">
        <v>1106</v>
      </c>
      <c r="B147">
        <v>1020002</v>
      </c>
      <c r="C147" t="s">
        <v>8520</v>
      </c>
    </row>
    <row r="148" spans="1:4" x14ac:dyDescent="0.2">
      <c r="A148" t="s">
        <v>1590</v>
      </c>
      <c r="B148">
        <v>1020002</v>
      </c>
      <c r="C148" t="s">
        <v>8521</v>
      </c>
    </row>
    <row r="149" spans="1:4" x14ac:dyDescent="0.2">
      <c r="A149" t="s">
        <v>22242</v>
      </c>
      <c r="B149">
        <v>1020001</v>
      </c>
      <c r="C149" t="s">
        <v>22243</v>
      </c>
      <c r="D149" t="s">
        <v>6064</v>
      </c>
    </row>
    <row r="150" spans="1:4" x14ac:dyDescent="0.2">
      <c r="A150" t="s">
        <v>1888</v>
      </c>
      <c r="B150">
        <v>1020001</v>
      </c>
      <c r="C150" t="s">
        <v>8522</v>
      </c>
    </row>
    <row r="151" spans="1:4" x14ac:dyDescent="0.2">
      <c r="A151" t="s">
        <v>1259</v>
      </c>
      <c r="B151">
        <v>1020001</v>
      </c>
      <c r="C151" t="s">
        <v>8523</v>
      </c>
    </row>
    <row r="152" spans="1:4" x14ac:dyDescent="0.2">
      <c r="A152" t="s">
        <v>8524</v>
      </c>
      <c r="B152">
        <v>1080001</v>
      </c>
      <c r="C152" t="s">
        <v>8525</v>
      </c>
    </row>
    <row r="153" spans="1:4" x14ac:dyDescent="0.2">
      <c r="A153" t="s">
        <v>8526</v>
      </c>
      <c r="B153">
        <v>1080001</v>
      </c>
      <c r="C153" t="s">
        <v>8527</v>
      </c>
    </row>
    <row r="154" spans="1:4" x14ac:dyDescent="0.2">
      <c r="A154" t="s">
        <v>8528</v>
      </c>
      <c r="B154">
        <v>1080001</v>
      </c>
      <c r="C154" t="s">
        <v>8529</v>
      </c>
    </row>
    <row r="155" spans="1:4" x14ac:dyDescent="0.2">
      <c r="A155" t="s">
        <v>8530</v>
      </c>
      <c r="B155">
        <v>1080001</v>
      </c>
      <c r="C155" t="s">
        <v>8531</v>
      </c>
    </row>
    <row r="156" spans="1:4" x14ac:dyDescent="0.2">
      <c r="A156" t="s">
        <v>8532</v>
      </c>
      <c r="B156">
        <v>1080001</v>
      </c>
      <c r="C156" t="s">
        <v>8533</v>
      </c>
    </row>
    <row r="157" spans="1:4" x14ac:dyDescent="0.2">
      <c r="A157" t="s">
        <v>8534</v>
      </c>
      <c r="B157">
        <v>1080001</v>
      </c>
      <c r="C157" t="s">
        <v>8535</v>
      </c>
    </row>
    <row r="158" spans="1:4" x14ac:dyDescent="0.2">
      <c r="A158" t="s">
        <v>1178</v>
      </c>
      <c r="B158">
        <v>1020002</v>
      </c>
      <c r="C158" t="s">
        <v>8536</v>
      </c>
    </row>
    <row r="159" spans="1:4" x14ac:dyDescent="0.2">
      <c r="A159" t="s">
        <v>1464</v>
      </c>
      <c r="B159">
        <v>1020002</v>
      </c>
      <c r="C159" t="s">
        <v>8537</v>
      </c>
    </row>
    <row r="160" spans="1:4" x14ac:dyDescent="0.2">
      <c r="A160" t="s">
        <v>1405</v>
      </c>
      <c r="B160">
        <v>1020002</v>
      </c>
      <c r="C160" t="s">
        <v>8538</v>
      </c>
    </row>
    <row r="161" spans="1:3" x14ac:dyDescent="0.2">
      <c r="A161" t="s">
        <v>1193</v>
      </c>
      <c r="B161">
        <v>1080001</v>
      </c>
      <c r="C161" t="s">
        <v>8539</v>
      </c>
    </row>
    <row r="162" spans="1:3" x14ac:dyDescent="0.2">
      <c r="A162" t="s">
        <v>1334</v>
      </c>
      <c r="B162">
        <v>1080001</v>
      </c>
      <c r="C162" t="s">
        <v>8540</v>
      </c>
    </row>
    <row r="163" spans="1:3" x14ac:dyDescent="0.2">
      <c r="A163" t="s">
        <v>1274</v>
      </c>
      <c r="B163">
        <v>1080001</v>
      </c>
      <c r="C163" t="s">
        <v>8541</v>
      </c>
    </row>
    <row r="164" spans="1:3" x14ac:dyDescent="0.2">
      <c r="A164" t="s">
        <v>1849</v>
      </c>
      <c r="B164">
        <v>1010011</v>
      </c>
      <c r="C164" t="s">
        <v>8542</v>
      </c>
    </row>
    <row r="165" spans="1:3" x14ac:dyDescent="0.2">
      <c r="A165" t="s">
        <v>1834</v>
      </c>
      <c r="B165">
        <v>1020002</v>
      </c>
      <c r="C165" t="s">
        <v>8543</v>
      </c>
    </row>
    <row r="166" spans="1:3" x14ac:dyDescent="0.2">
      <c r="A166" t="s">
        <v>1618</v>
      </c>
      <c r="B166">
        <v>1080001</v>
      </c>
      <c r="C166" t="s">
        <v>8544</v>
      </c>
    </row>
    <row r="167" spans="1:3" x14ac:dyDescent="0.2">
      <c r="A167" t="s">
        <v>1300</v>
      </c>
      <c r="B167">
        <v>1030002</v>
      </c>
      <c r="C167" t="s">
        <v>8545</v>
      </c>
    </row>
    <row r="168" spans="1:3" x14ac:dyDescent="0.2">
      <c r="A168" t="s">
        <v>1717</v>
      </c>
      <c r="B168">
        <v>1020004</v>
      </c>
      <c r="C168" t="s">
        <v>8546</v>
      </c>
    </row>
    <row r="169" spans="1:3" x14ac:dyDescent="0.2">
      <c r="A169" t="s">
        <v>1818</v>
      </c>
      <c r="B169">
        <v>1020022</v>
      </c>
      <c r="C169" t="s">
        <v>8547</v>
      </c>
    </row>
    <row r="170" spans="1:3" x14ac:dyDescent="0.2">
      <c r="A170" t="s">
        <v>2745</v>
      </c>
      <c r="B170">
        <v>1020010</v>
      </c>
      <c r="C170" t="s">
        <v>8548</v>
      </c>
    </row>
    <row r="171" spans="1:3" x14ac:dyDescent="0.2">
      <c r="A171" t="s">
        <v>2232</v>
      </c>
      <c r="B171">
        <v>1010011</v>
      </c>
      <c r="C171" t="s">
        <v>8549</v>
      </c>
    </row>
    <row r="172" spans="1:3" x14ac:dyDescent="0.2">
      <c r="A172" t="s">
        <v>2066</v>
      </c>
      <c r="B172">
        <v>1020002</v>
      </c>
      <c r="C172" t="s">
        <v>8550</v>
      </c>
    </row>
    <row r="173" spans="1:3" x14ac:dyDescent="0.2">
      <c r="A173" t="s">
        <v>2347</v>
      </c>
      <c r="B173">
        <v>1020002</v>
      </c>
      <c r="C173" t="s">
        <v>8551</v>
      </c>
    </row>
    <row r="174" spans="1:3" x14ac:dyDescent="0.2">
      <c r="A174" t="s">
        <v>2125</v>
      </c>
      <c r="B174">
        <v>1080002</v>
      </c>
      <c r="C174" t="s">
        <v>8552</v>
      </c>
    </row>
    <row r="175" spans="1:3" x14ac:dyDescent="0.2">
      <c r="A175" t="s">
        <v>2182</v>
      </c>
      <c r="B175">
        <v>1080002</v>
      </c>
      <c r="C175" t="s">
        <v>8553</v>
      </c>
    </row>
    <row r="176" spans="1:3" x14ac:dyDescent="0.2">
      <c r="A176" t="s">
        <v>1968</v>
      </c>
      <c r="B176">
        <v>1020010</v>
      </c>
      <c r="C176" t="s">
        <v>8554</v>
      </c>
    </row>
    <row r="177" spans="1:4" x14ac:dyDescent="0.2">
      <c r="A177" t="s">
        <v>2216</v>
      </c>
      <c r="B177">
        <v>1010008</v>
      </c>
      <c r="C177" t="s">
        <v>8555</v>
      </c>
    </row>
    <row r="178" spans="1:4" x14ac:dyDescent="0.2">
      <c r="A178" t="s">
        <v>2419</v>
      </c>
      <c r="B178">
        <v>1020036</v>
      </c>
      <c r="C178" t="s">
        <v>8556</v>
      </c>
    </row>
    <row r="179" spans="1:4" x14ac:dyDescent="0.2">
      <c r="A179" t="s">
        <v>2035</v>
      </c>
      <c r="B179">
        <v>1020010</v>
      </c>
      <c r="C179" t="s">
        <v>8557</v>
      </c>
    </row>
    <row r="180" spans="1:4" x14ac:dyDescent="0.2">
      <c r="A180" t="s">
        <v>2771</v>
      </c>
      <c r="B180">
        <v>1020010</v>
      </c>
      <c r="C180" t="s">
        <v>8558</v>
      </c>
    </row>
    <row r="181" spans="1:4" x14ac:dyDescent="0.2">
      <c r="A181" t="s">
        <v>2139</v>
      </c>
      <c r="B181">
        <v>1020003</v>
      </c>
      <c r="C181" t="s">
        <v>8559</v>
      </c>
    </row>
    <row r="182" spans="1:4" x14ac:dyDescent="0.2">
      <c r="A182" t="s">
        <v>1951</v>
      </c>
      <c r="B182">
        <v>1020005</v>
      </c>
      <c r="C182" t="s">
        <v>8560</v>
      </c>
    </row>
    <row r="183" spans="1:4" x14ac:dyDescent="0.2">
      <c r="A183" t="s">
        <v>2677</v>
      </c>
      <c r="B183">
        <v>1020002</v>
      </c>
      <c r="C183" t="s">
        <v>8561</v>
      </c>
    </row>
    <row r="184" spans="1:4" x14ac:dyDescent="0.2">
      <c r="A184" t="s">
        <v>1986</v>
      </c>
      <c r="B184">
        <v>1080002</v>
      </c>
      <c r="C184" t="s">
        <v>8552</v>
      </c>
    </row>
    <row r="185" spans="1:4" x14ac:dyDescent="0.2">
      <c r="A185" t="s">
        <v>22244</v>
      </c>
      <c r="B185">
        <v>1020001</v>
      </c>
      <c r="C185" t="s">
        <v>22245</v>
      </c>
      <c r="D185" t="s">
        <v>6064</v>
      </c>
    </row>
    <row r="186" spans="1:4" x14ac:dyDescent="0.2">
      <c r="A186" t="s">
        <v>2759</v>
      </c>
      <c r="B186">
        <v>1020010</v>
      </c>
      <c r="C186" t="s">
        <v>8562</v>
      </c>
    </row>
    <row r="187" spans="1:4" x14ac:dyDescent="0.2">
      <c r="A187" t="s">
        <v>2447</v>
      </c>
      <c r="B187">
        <v>1020010</v>
      </c>
      <c r="C187" t="s">
        <v>8563</v>
      </c>
    </row>
    <row r="188" spans="1:4" x14ac:dyDescent="0.2">
      <c r="A188" t="s">
        <v>2052</v>
      </c>
      <c r="B188">
        <v>1020002</v>
      </c>
      <c r="C188" t="s">
        <v>8564</v>
      </c>
    </row>
    <row r="189" spans="1:4" x14ac:dyDescent="0.2">
      <c r="A189" t="s">
        <v>2018</v>
      </c>
      <c r="B189">
        <v>1020002</v>
      </c>
      <c r="C189" t="s">
        <v>8565</v>
      </c>
    </row>
    <row r="190" spans="1:4" x14ac:dyDescent="0.2">
      <c r="A190" t="s">
        <v>2155</v>
      </c>
      <c r="B190">
        <v>1080002</v>
      </c>
      <c r="C190" t="s">
        <v>8566</v>
      </c>
    </row>
    <row r="191" spans="1:4" x14ac:dyDescent="0.2">
      <c r="A191" t="s">
        <v>2081</v>
      </c>
      <c r="B191">
        <v>1080002</v>
      </c>
      <c r="C191" t="s">
        <v>8567</v>
      </c>
    </row>
    <row r="192" spans="1:4" x14ac:dyDescent="0.2">
      <c r="A192" t="s">
        <v>2390</v>
      </c>
      <c r="B192">
        <v>1020002</v>
      </c>
      <c r="C192" t="s">
        <v>8568</v>
      </c>
    </row>
    <row r="193" spans="1:4" x14ac:dyDescent="0.2">
      <c r="A193" t="s">
        <v>2784</v>
      </c>
      <c r="B193">
        <v>1020010</v>
      </c>
      <c r="C193" t="s">
        <v>8569</v>
      </c>
    </row>
    <row r="194" spans="1:4" x14ac:dyDescent="0.2">
      <c r="A194" t="s">
        <v>2406</v>
      </c>
      <c r="B194">
        <v>1020002</v>
      </c>
      <c r="C194" t="s">
        <v>8570</v>
      </c>
    </row>
    <row r="195" spans="1:4" x14ac:dyDescent="0.2">
      <c r="A195" t="s">
        <v>2375</v>
      </c>
      <c r="B195">
        <v>1020002</v>
      </c>
      <c r="C195" t="s">
        <v>8571</v>
      </c>
    </row>
    <row r="196" spans="1:4" x14ac:dyDescent="0.2">
      <c r="A196" t="s">
        <v>2273</v>
      </c>
      <c r="B196">
        <v>1080002</v>
      </c>
      <c r="C196" t="s">
        <v>8572</v>
      </c>
    </row>
    <row r="197" spans="1:4" x14ac:dyDescent="0.2">
      <c r="A197" t="s">
        <v>2169</v>
      </c>
      <c r="B197">
        <v>1080002</v>
      </c>
      <c r="C197" t="s">
        <v>8573</v>
      </c>
    </row>
    <row r="198" spans="1:4" x14ac:dyDescent="0.2">
      <c r="A198" t="s">
        <v>2560</v>
      </c>
      <c r="B198">
        <v>1080002</v>
      </c>
      <c r="C198" t="s">
        <v>8574</v>
      </c>
    </row>
    <row r="199" spans="1:4" x14ac:dyDescent="0.2">
      <c r="A199" t="s">
        <v>2586</v>
      </c>
      <c r="B199">
        <v>1040001</v>
      </c>
      <c r="C199" t="s">
        <v>8575</v>
      </c>
    </row>
    <row r="200" spans="1:4" x14ac:dyDescent="0.2">
      <c r="A200" t="s">
        <v>22246</v>
      </c>
      <c r="B200">
        <v>1040001</v>
      </c>
      <c r="C200" t="s">
        <v>22247</v>
      </c>
      <c r="D200" t="s">
        <v>6064</v>
      </c>
    </row>
    <row r="201" spans="1:4" x14ac:dyDescent="0.2">
      <c r="A201" t="s">
        <v>2199</v>
      </c>
      <c r="B201">
        <v>1080002</v>
      </c>
      <c r="C201" t="s">
        <v>8576</v>
      </c>
    </row>
    <row r="202" spans="1:4" x14ac:dyDescent="0.2">
      <c r="A202" t="s">
        <v>2002</v>
      </c>
      <c r="B202">
        <v>1020002</v>
      </c>
      <c r="C202" t="s">
        <v>8577</v>
      </c>
    </row>
    <row r="203" spans="1:4" x14ac:dyDescent="0.2">
      <c r="A203" t="s">
        <v>2474</v>
      </c>
      <c r="B203">
        <v>1020002</v>
      </c>
      <c r="C203" t="s">
        <v>8578</v>
      </c>
    </row>
    <row r="204" spans="1:4" x14ac:dyDescent="0.2">
      <c r="A204" t="s">
        <v>2290</v>
      </c>
      <c r="B204">
        <v>1030009</v>
      </c>
      <c r="C204" t="s">
        <v>8579</v>
      </c>
    </row>
    <row r="205" spans="1:4" x14ac:dyDescent="0.2">
      <c r="A205" t="s">
        <v>2716</v>
      </c>
      <c r="B205">
        <v>1010011</v>
      </c>
      <c r="C205" t="s">
        <v>8580</v>
      </c>
    </row>
    <row r="206" spans="1:4" x14ac:dyDescent="0.2">
      <c r="A206" t="s">
        <v>2635</v>
      </c>
      <c r="B206">
        <v>1080002</v>
      </c>
      <c r="C206" t="s">
        <v>8581</v>
      </c>
    </row>
    <row r="207" spans="1:4" x14ac:dyDescent="0.2">
      <c r="A207" t="s">
        <v>2517</v>
      </c>
      <c r="B207">
        <v>1020022</v>
      </c>
      <c r="C207" t="s">
        <v>8582</v>
      </c>
    </row>
    <row r="208" spans="1:4" x14ac:dyDescent="0.2">
      <c r="A208" t="s">
        <v>2702</v>
      </c>
      <c r="B208">
        <v>1080002</v>
      </c>
      <c r="C208" t="s">
        <v>8583</v>
      </c>
    </row>
    <row r="209" spans="1:5" x14ac:dyDescent="0.2">
      <c r="A209" t="s">
        <v>2690</v>
      </c>
      <c r="B209">
        <v>1080002</v>
      </c>
      <c r="C209" t="s">
        <v>8584</v>
      </c>
    </row>
    <row r="211" spans="1:5" x14ac:dyDescent="0.2">
      <c r="A211" t="s">
        <v>862</v>
      </c>
      <c r="B211">
        <v>1010006</v>
      </c>
      <c r="C211" t="s">
        <v>8616</v>
      </c>
      <c r="D211" t="s">
        <v>6064</v>
      </c>
    </row>
    <row r="212" spans="1:5" x14ac:dyDescent="0.2">
      <c r="A212" t="s">
        <v>245</v>
      </c>
      <c r="B212">
        <v>1020010</v>
      </c>
      <c r="C212" t="s">
        <v>8621</v>
      </c>
      <c r="D212" t="s">
        <v>6064</v>
      </c>
    </row>
    <row r="213" spans="1:5" x14ac:dyDescent="0.2">
      <c r="A213" t="s">
        <v>650</v>
      </c>
      <c r="B213">
        <v>1010095</v>
      </c>
      <c r="C213" t="s">
        <v>8626</v>
      </c>
      <c r="D213" t="s">
        <v>6064</v>
      </c>
    </row>
    <row r="214" spans="1:5" x14ac:dyDescent="0.2">
      <c r="A214" t="s">
        <v>6634</v>
      </c>
      <c r="B214">
        <v>1020002</v>
      </c>
      <c r="C214" t="s">
        <v>6635</v>
      </c>
      <c r="D214" t="s">
        <v>6064</v>
      </c>
    </row>
    <row r="215" spans="1:5" x14ac:dyDescent="0.2">
      <c r="A215" t="s">
        <v>1194</v>
      </c>
      <c r="B215">
        <v>1080001</v>
      </c>
      <c r="C215" t="s">
        <v>8629</v>
      </c>
      <c r="D215" t="s">
        <v>6064</v>
      </c>
    </row>
    <row r="216" spans="1:5" x14ac:dyDescent="0.2">
      <c r="A216" t="s">
        <v>170</v>
      </c>
      <c r="B216">
        <v>1010001</v>
      </c>
      <c r="C216" t="s">
        <v>8595</v>
      </c>
      <c r="D216" t="s">
        <v>6064</v>
      </c>
    </row>
    <row r="217" spans="1:5" x14ac:dyDescent="0.2">
      <c r="A217" t="s">
        <v>970</v>
      </c>
      <c r="B217">
        <v>1020009</v>
      </c>
      <c r="C217" t="s">
        <v>8636</v>
      </c>
      <c r="D217" t="s">
        <v>6064</v>
      </c>
    </row>
    <row r="218" spans="1:5" x14ac:dyDescent="0.2">
      <c r="A218" t="s">
        <v>3883</v>
      </c>
      <c r="B218">
        <v>1080004</v>
      </c>
      <c r="C218" t="s">
        <v>8633</v>
      </c>
      <c r="D218" t="s">
        <v>6064</v>
      </c>
    </row>
    <row r="219" spans="1:5" x14ac:dyDescent="0.2">
      <c r="A219" t="s">
        <v>2973</v>
      </c>
      <c r="B219">
        <v>1080005</v>
      </c>
      <c r="C219" t="s">
        <v>8637</v>
      </c>
      <c r="D219" t="s">
        <v>6064</v>
      </c>
    </row>
    <row r="220" spans="1:5" x14ac:dyDescent="0.2">
      <c r="A220" t="s">
        <v>22248</v>
      </c>
      <c r="B220">
        <v>1070017</v>
      </c>
      <c r="C220" t="s">
        <v>8638</v>
      </c>
      <c r="D220" t="s">
        <v>6064</v>
      </c>
    </row>
    <row r="221" spans="1:5" x14ac:dyDescent="0.2">
      <c r="A221" t="s">
        <v>128</v>
      </c>
      <c r="B221">
        <v>1020002</v>
      </c>
      <c r="C221" t="s">
        <v>8640</v>
      </c>
      <c r="D221" t="s">
        <v>6064</v>
      </c>
    </row>
    <row r="222" spans="1:5" x14ac:dyDescent="0.2">
      <c r="A222" t="s">
        <v>1987</v>
      </c>
      <c r="B222">
        <v>1080002</v>
      </c>
      <c r="C222" t="s">
        <v>8649</v>
      </c>
      <c r="D222" t="s">
        <v>6064</v>
      </c>
    </row>
    <row r="223" spans="1:5" x14ac:dyDescent="0.2">
      <c r="A223" t="s">
        <v>150</v>
      </c>
      <c r="B223">
        <v>1080003</v>
      </c>
      <c r="C223" t="s">
        <v>8650</v>
      </c>
      <c r="D223" t="s">
        <v>6064</v>
      </c>
    </row>
    <row r="224" spans="1:5" x14ac:dyDescent="0.2">
      <c r="A224" t="s">
        <v>22249</v>
      </c>
      <c r="B224">
        <v>1010006</v>
      </c>
      <c r="C224" t="s">
        <v>22250</v>
      </c>
      <c r="D224" t="s">
        <v>22251</v>
      </c>
      <c r="E224" t="s">
        <v>862</v>
      </c>
    </row>
    <row r="225" spans="1:5" x14ac:dyDescent="0.2">
      <c r="A225" t="s">
        <v>22252</v>
      </c>
      <c r="B225">
        <v>1020010</v>
      </c>
      <c r="C225" t="s">
        <v>22253</v>
      </c>
      <c r="D225" t="s">
        <v>22251</v>
      </c>
      <c r="E225" t="s">
        <v>385</v>
      </c>
    </row>
    <row r="226" spans="1:5" x14ac:dyDescent="0.2">
      <c r="A226" t="s">
        <v>22254</v>
      </c>
      <c r="B226">
        <v>1020010</v>
      </c>
      <c r="C226" t="s">
        <v>22255</v>
      </c>
      <c r="D226" t="s">
        <v>22251</v>
      </c>
      <c r="E226" t="s">
        <v>385</v>
      </c>
    </row>
    <row r="227" spans="1:5" x14ac:dyDescent="0.2">
      <c r="A227" t="s">
        <v>22256</v>
      </c>
      <c r="B227">
        <v>1020010</v>
      </c>
      <c r="C227" t="s">
        <v>22257</v>
      </c>
      <c r="D227" t="s">
        <v>22251</v>
      </c>
      <c r="E227" t="s">
        <v>385</v>
      </c>
    </row>
    <row r="228" spans="1:5" x14ac:dyDescent="0.2">
      <c r="A228" t="s">
        <v>22258</v>
      </c>
      <c r="B228">
        <v>1020010</v>
      </c>
      <c r="C228" t="s">
        <v>22259</v>
      </c>
      <c r="D228" t="s">
        <v>22251</v>
      </c>
      <c r="E228" t="s">
        <v>385</v>
      </c>
    </row>
    <row r="229" spans="1:5" x14ac:dyDescent="0.2">
      <c r="A229" t="s">
        <v>22260</v>
      </c>
      <c r="B229">
        <v>1020010</v>
      </c>
      <c r="C229" t="s">
        <v>22261</v>
      </c>
      <c r="D229" t="s">
        <v>22251</v>
      </c>
      <c r="E229" t="s">
        <v>385</v>
      </c>
    </row>
    <row r="230" spans="1:5" x14ac:dyDescent="0.2">
      <c r="A230" t="s">
        <v>22262</v>
      </c>
      <c r="B230">
        <v>1020010</v>
      </c>
      <c r="C230" t="s">
        <v>22263</v>
      </c>
      <c r="D230" t="s">
        <v>22251</v>
      </c>
      <c r="E230" t="s">
        <v>385</v>
      </c>
    </row>
    <row r="231" spans="1:5" x14ac:dyDescent="0.2">
      <c r="A231" t="s">
        <v>22264</v>
      </c>
      <c r="B231">
        <v>1020010</v>
      </c>
      <c r="C231" t="s">
        <v>22265</v>
      </c>
      <c r="D231" t="s">
        <v>22251</v>
      </c>
      <c r="E231" t="s">
        <v>385</v>
      </c>
    </row>
    <row r="232" spans="1:5" x14ac:dyDescent="0.2">
      <c r="A232" t="s">
        <v>22266</v>
      </c>
      <c r="B232">
        <v>1010095</v>
      </c>
      <c r="C232" t="s">
        <v>8626</v>
      </c>
      <c r="D232" t="s">
        <v>22251</v>
      </c>
      <c r="E232" t="s">
        <v>650</v>
      </c>
    </row>
    <row r="233" spans="1:5" x14ac:dyDescent="0.2">
      <c r="A233" t="s">
        <v>22267</v>
      </c>
      <c r="B233">
        <v>1020002</v>
      </c>
      <c r="C233" t="s">
        <v>22268</v>
      </c>
      <c r="D233" t="s">
        <v>22251</v>
      </c>
      <c r="E233" t="s">
        <v>22269</v>
      </c>
    </row>
    <row r="234" spans="1:5" x14ac:dyDescent="0.2">
      <c r="A234" t="s">
        <v>22270</v>
      </c>
      <c r="B234">
        <v>1080001</v>
      </c>
      <c r="C234" t="s">
        <v>22271</v>
      </c>
      <c r="D234" t="s">
        <v>22251</v>
      </c>
      <c r="E234" t="s">
        <v>1194</v>
      </c>
    </row>
    <row r="235" spans="1:5" x14ac:dyDescent="0.2">
      <c r="A235" t="s">
        <v>22272</v>
      </c>
      <c r="B235">
        <v>1080001</v>
      </c>
      <c r="C235" t="s">
        <v>22273</v>
      </c>
      <c r="D235" t="s">
        <v>22251</v>
      </c>
      <c r="E235" t="s">
        <v>1194</v>
      </c>
    </row>
    <row r="236" spans="1:5" x14ac:dyDescent="0.2">
      <c r="A236" t="s">
        <v>22274</v>
      </c>
      <c r="B236">
        <v>1080001</v>
      </c>
      <c r="C236" t="s">
        <v>22275</v>
      </c>
      <c r="D236" t="s">
        <v>22251</v>
      </c>
      <c r="E236" t="s">
        <v>1194</v>
      </c>
    </row>
    <row r="237" spans="1:5" x14ac:dyDescent="0.2">
      <c r="A237" t="s">
        <v>22276</v>
      </c>
      <c r="B237">
        <v>1080001</v>
      </c>
      <c r="C237" t="s">
        <v>22277</v>
      </c>
      <c r="D237" t="s">
        <v>22251</v>
      </c>
      <c r="E237" t="s">
        <v>1194</v>
      </c>
    </row>
    <row r="238" spans="1:5" x14ac:dyDescent="0.2">
      <c r="A238" t="s">
        <v>22278</v>
      </c>
      <c r="B238">
        <v>1080001</v>
      </c>
      <c r="C238" t="s">
        <v>22279</v>
      </c>
      <c r="D238" t="s">
        <v>22251</v>
      </c>
      <c r="E238" t="s">
        <v>1194</v>
      </c>
    </row>
    <row r="239" spans="1:5" x14ac:dyDescent="0.2">
      <c r="A239" t="s">
        <v>22280</v>
      </c>
      <c r="B239">
        <v>1080001</v>
      </c>
      <c r="C239" t="s">
        <v>22281</v>
      </c>
      <c r="D239" t="s">
        <v>22251</v>
      </c>
      <c r="E239" t="s">
        <v>1194</v>
      </c>
    </row>
    <row r="240" spans="1:5" x14ac:dyDescent="0.2">
      <c r="A240" t="s">
        <v>22282</v>
      </c>
      <c r="B240">
        <v>1010001</v>
      </c>
      <c r="C240" t="s">
        <v>22283</v>
      </c>
      <c r="D240" t="s">
        <v>22251</v>
      </c>
      <c r="E240" t="s">
        <v>170</v>
      </c>
    </row>
    <row r="241" spans="1:5" x14ac:dyDescent="0.2">
      <c r="A241" t="s">
        <v>22284</v>
      </c>
      <c r="B241">
        <v>1020009</v>
      </c>
      <c r="C241" t="s">
        <v>22285</v>
      </c>
      <c r="D241" t="s">
        <v>22251</v>
      </c>
      <c r="E241" t="s">
        <v>6851</v>
      </c>
    </row>
    <row r="242" spans="1:5" x14ac:dyDescent="0.2">
      <c r="A242" t="s">
        <v>22286</v>
      </c>
      <c r="B242">
        <v>1080004</v>
      </c>
      <c r="C242" t="s">
        <v>22287</v>
      </c>
      <c r="D242" t="s">
        <v>22251</v>
      </c>
      <c r="E242" t="s">
        <v>3883</v>
      </c>
    </row>
    <row r="243" spans="1:5" x14ac:dyDescent="0.2">
      <c r="A243" t="s">
        <v>22288</v>
      </c>
      <c r="B243">
        <v>1080004</v>
      </c>
      <c r="C243" t="s">
        <v>22289</v>
      </c>
      <c r="D243" t="s">
        <v>22251</v>
      </c>
      <c r="E243" t="s">
        <v>3883</v>
      </c>
    </row>
    <row r="244" spans="1:5" x14ac:dyDescent="0.2">
      <c r="A244" t="s">
        <v>22290</v>
      </c>
      <c r="B244">
        <v>1080005</v>
      </c>
      <c r="C244" t="s">
        <v>22289</v>
      </c>
      <c r="D244" t="s">
        <v>22251</v>
      </c>
      <c r="E244" t="s">
        <v>3883</v>
      </c>
    </row>
    <row r="245" spans="1:5" x14ac:dyDescent="0.2">
      <c r="A245" t="s">
        <v>22291</v>
      </c>
      <c r="B245">
        <v>1080004</v>
      </c>
      <c r="C245" t="s">
        <v>22292</v>
      </c>
      <c r="D245" t="s">
        <v>22251</v>
      </c>
      <c r="E245" t="s">
        <v>3883</v>
      </c>
    </row>
    <row r="246" spans="1:5" x14ac:dyDescent="0.2">
      <c r="A246" t="s">
        <v>22293</v>
      </c>
      <c r="B246">
        <v>1080004</v>
      </c>
      <c r="C246" t="s">
        <v>22294</v>
      </c>
      <c r="D246" t="s">
        <v>22251</v>
      </c>
      <c r="E246" t="s">
        <v>3883</v>
      </c>
    </row>
    <row r="247" spans="1:5" x14ac:dyDescent="0.2">
      <c r="A247" t="s">
        <v>22295</v>
      </c>
      <c r="B247">
        <v>1080004</v>
      </c>
      <c r="C247" t="s">
        <v>22296</v>
      </c>
      <c r="D247" t="s">
        <v>22251</v>
      </c>
      <c r="E247" t="s">
        <v>3883</v>
      </c>
    </row>
    <row r="248" spans="1:5" x14ac:dyDescent="0.2">
      <c r="A248" t="s">
        <v>22297</v>
      </c>
      <c r="B248">
        <v>1080004</v>
      </c>
      <c r="C248" t="s">
        <v>22298</v>
      </c>
      <c r="D248" t="s">
        <v>22251</v>
      </c>
      <c r="E248" t="s">
        <v>3883</v>
      </c>
    </row>
    <row r="249" spans="1:5" x14ac:dyDescent="0.2">
      <c r="A249" t="s">
        <v>22299</v>
      </c>
      <c r="B249">
        <v>1080005</v>
      </c>
      <c r="C249" t="s">
        <v>22300</v>
      </c>
      <c r="D249" t="s">
        <v>22251</v>
      </c>
      <c r="E249" t="s">
        <v>2973</v>
      </c>
    </row>
    <row r="250" spans="1:5" x14ac:dyDescent="0.2">
      <c r="A250" t="s">
        <v>22301</v>
      </c>
      <c r="B250">
        <v>1080005</v>
      </c>
      <c r="C250" t="s">
        <v>22302</v>
      </c>
      <c r="D250" t="s">
        <v>22251</v>
      </c>
      <c r="E250" t="s">
        <v>2973</v>
      </c>
    </row>
    <row r="251" spans="1:5" x14ac:dyDescent="0.2">
      <c r="A251" t="s">
        <v>22303</v>
      </c>
      <c r="B251">
        <v>1080005</v>
      </c>
      <c r="C251" t="s">
        <v>22304</v>
      </c>
      <c r="D251" t="s">
        <v>22251</v>
      </c>
      <c r="E251" t="s">
        <v>2973</v>
      </c>
    </row>
    <row r="252" spans="1:5" x14ac:dyDescent="0.2">
      <c r="A252" t="s">
        <v>22305</v>
      </c>
      <c r="B252">
        <v>1080005</v>
      </c>
      <c r="C252" t="s">
        <v>22306</v>
      </c>
      <c r="D252" t="s">
        <v>22251</v>
      </c>
      <c r="E252" t="s">
        <v>2973</v>
      </c>
    </row>
    <row r="253" spans="1:5" x14ac:dyDescent="0.2">
      <c r="A253" t="s">
        <v>22307</v>
      </c>
      <c r="B253">
        <v>1080005</v>
      </c>
      <c r="C253" t="s">
        <v>22308</v>
      </c>
      <c r="D253" t="s">
        <v>22251</v>
      </c>
      <c r="E253" t="s">
        <v>2973</v>
      </c>
    </row>
    <row r="254" spans="1:5" x14ac:dyDescent="0.2">
      <c r="A254" t="s">
        <v>22309</v>
      </c>
      <c r="B254">
        <v>1070017</v>
      </c>
      <c r="C254" t="s">
        <v>22310</v>
      </c>
      <c r="D254" t="s">
        <v>22251</v>
      </c>
      <c r="E254" t="s">
        <v>22248</v>
      </c>
    </row>
    <row r="255" spans="1:5" x14ac:dyDescent="0.2">
      <c r="A255" t="s">
        <v>22311</v>
      </c>
      <c r="B255">
        <v>1020002</v>
      </c>
      <c r="C255" t="s">
        <v>22312</v>
      </c>
      <c r="D255" t="s">
        <v>22251</v>
      </c>
      <c r="E255" t="s">
        <v>333</v>
      </c>
    </row>
    <row r="256" spans="1:5" x14ac:dyDescent="0.2">
      <c r="A256" t="s">
        <v>8165</v>
      </c>
      <c r="B256">
        <v>1020002</v>
      </c>
      <c r="C256" t="s">
        <v>22313</v>
      </c>
      <c r="D256" t="s">
        <v>22251</v>
      </c>
      <c r="E256" t="s">
        <v>333</v>
      </c>
    </row>
    <row r="257" spans="1:5" x14ac:dyDescent="0.2">
      <c r="A257" t="s">
        <v>22314</v>
      </c>
      <c r="B257">
        <v>1020002</v>
      </c>
      <c r="C257" t="s">
        <v>22315</v>
      </c>
      <c r="D257" t="s">
        <v>22251</v>
      </c>
      <c r="E257" t="s">
        <v>333</v>
      </c>
    </row>
    <row r="258" spans="1:5" x14ac:dyDescent="0.2">
      <c r="A258" t="s">
        <v>22316</v>
      </c>
      <c r="B258">
        <v>1020002</v>
      </c>
      <c r="C258" t="s">
        <v>22317</v>
      </c>
      <c r="D258" t="s">
        <v>22251</v>
      </c>
      <c r="E258" t="s">
        <v>333</v>
      </c>
    </row>
    <row r="259" spans="1:5" x14ac:dyDescent="0.2">
      <c r="A259" t="s">
        <v>22318</v>
      </c>
      <c r="B259">
        <v>1020002</v>
      </c>
      <c r="C259" t="s">
        <v>22319</v>
      </c>
      <c r="D259" t="s">
        <v>22251</v>
      </c>
      <c r="E259" t="s">
        <v>333</v>
      </c>
    </row>
    <row r="260" spans="1:5" x14ac:dyDescent="0.2">
      <c r="A260" t="s">
        <v>22320</v>
      </c>
      <c r="B260">
        <v>1020002</v>
      </c>
      <c r="C260" t="s">
        <v>22321</v>
      </c>
      <c r="D260" t="s">
        <v>22251</v>
      </c>
      <c r="E260" t="s">
        <v>333</v>
      </c>
    </row>
    <row r="261" spans="1:5" x14ac:dyDescent="0.2">
      <c r="A261" t="s">
        <v>22322</v>
      </c>
      <c r="B261">
        <v>1020002</v>
      </c>
      <c r="C261" t="s">
        <v>22323</v>
      </c>
      <c r="D261" t="s">
        <v>22251</v>
      </c>
      <c r="E261" t="s">
        <v>333</v>
      </c>
    </row>
    <row r="262" spans="1:5" x14ac:dyDescent="0.2">
      <c r="A262" t="s">
        <v>22324</v>
      </c>
      <c r="B262">
        <v>1020002</v>
      </c>
      <c r="C262" t="s">
        <v>22325</v>
      </c>
      <c r="D262" t="s">
        <v>22251</v>
      </c>
      <c r="E262" t="s">
        <v>333</v>
      </c>
    </row>
    <row r="263" spans="1:5" x14ac:dyDescent="0.2">
      <c r="A263" t="s">
        <v>22326</v>
      </c>
      <c r="B263">
        <v>1020002</v>
      </c>
      <c r="C263" t="s">
        <v>22327</v>
      </c>
      <c r="D263" t="s">
        <v>22251</v>
      </c>
      <c r="E263" t="s">
        <v>333</v>
      </c>
    </row>
    <row r="264" spans="1:5" x14ac:dyDescent="0.2">
      <c r="A264" t="s">
        <v>22328</v>
      </c>
      <c r="B264">
        <v>1020002</v>
      </c>
      <c r="C264" t="s">
        <v>22329</v>
      </c>
      <c r="D264" t="s">
        <v>22251</v>
      </c>
      <c r="E264" t="s">
        <v>333</v>
      </c>
    </row>
    <row r="265" spans="1:5" x14ac:dyDescent="0.2">
      <c r="A265" t="s">
        <v>22330</v>
      </c>
      <c r="B265">
        <v>1020002</v>
      </c>
      <c r="C265" t="s">
        <v>22331</v>
      </c>
      <c r="D265" t="s">
        <v>22251</v>
      </c>
      <c r="E265" t="s">
        <v>333</v>
      </c>
    </row>
    <row r="266" spans="1:5" x14ac:dyDescent="0.2">
      <c r="A266" t="s">
        <v>22332</v>
      </c>
      <c r="B266">
        <v>1020002</v>
      </c>
      <c r="C266" t="s">
        <v>22333</v>
      </c>
      <c r="D266" t="s">
        <v>22251</v>
      </c>
      <c r="E266" t="s">
        <v>333</v>
      </c>
    </row>
    <row r="267" spans="1:5" x14ac:dyDescent="0.2">
      <c r="A267" t="s">
        <v>22334</v>
      </c>
      <c r="B267">
        <v>1020002</v>
      </c>
      <c r="C267" t="s">
        <v>22335</v>
      </c>
      <c r="D267" t="s">
        <v>22251</v>
      </c>
      <c r="E267" t="s">
        <v>333</v>
      </c>
    </row>
    <row r="268" spans="1:5" x14ac:dyDescent="0.2">
      <c r="A268" t="s">
        <v>22336</v>
      </c>
      <c r="B268">
        <v>1020002</v>
      </c>
      <c r="C268" t="s">
        <v>22337</v>
      </c>
      <c r="D268" t="s">
        <v>22251</v>
      </c>
      <c r="E268" t="s">
        <v>333</v>
      </c>
    </row>
    <row r="269" spans="1:5" x14ac:dyDescent="0.2">
      <c r="A269" t="s">
        <v>22338</v>
      </c>
      <c r="B269">
        <v>1020002</v>
      </c>
      <c r="C269" t="s">
        <v>22337</v>
      </c>
      <c r="D269" t="s">
        <v>22251</v>
      </c>
      <c r="E269" t="s">
        <v>333</v>
      </c>
    </row>
    <row r="270" spans="1:5" x14ac:dyDescent="0.2">
      <c r="A270" t="s">
        <v>22339</v>
      </c>
      <c r="B270">
        <v>1020002</v>
      </c>
      <c r="C270" t="s">
        <v>22340</v>
      </c>
      <c r="D270" t="s">
        <v>22251</v>
      </c>
      <c r="E270" t="s">
        <v>333</v>
      </c>
    </row>
    <row r="271" spans="1:5" x14ac:dyDescent="0.2">
      <c r="A271" t="s">
        <v>22341</v>
      </c>
      <c r="B271">
        <v>1080002</v>
      </c>
      <c r="C271" t="s">
        <v>22342</v>
      </c>
      <c r="D271" t="s">
        <v>22251</v>
      </c>
      <c r="E271" t="s">
        <v>1987</v>
      </c>
    </row>
    <row r="272" spans="1:5" x14ac:dyDescent="0.2">
      <c r="A272" t="s">
        <v>22343</v>
      </c>
      <c r="B272">
        <v>1080002</v>
      </c>
      <c r="C272" t="s">
        <v>22344</v>
      </c>
      <c r="D272" t="s">
        <v>22251</v>
      </c>
      <c r="E272" t="s">
        <v>1987</v>
      </c>
    </row>
    <row r="273" spans="1:5" x14ac:dyDescent="0.2">
      <c r="A273" s="3" t="s">
        <v>22345</v>
      </c>
      <c r="B273">
        <v>1080002</v>
      </c>
      <c r="C273" t="s">
        <v>22344</v>
      </c>
      <c r="D273" t="s">
        <v>22251</v>
      </c>
      <c r="E273" t="s">
        <v>1987</v>
      </c>
    </row>
    <row r="274" spans="1:5" x14ac:dyDescent="0.2">
      <c r="A274" t="s">
        <v>22346</v>
      </c>
      <c r="B274">
        <v>1080002</v>
      </c>
      <c r="C274" t="s">
        <v>22347</v>
      </c>
      <c r="D274" t="s">
        <v>22251</v>
      </c>
      <c r="E274" t="s">
        <v>1987</v>
      </c>
    </row>
    <row r="275" spans="1:5" x14ac:dyDescent="0.2">
      <c r="A275" t="s">
        <v>22348</v>
      </c>
      <c r="B275">
        <v>1080002</v>
      </c>
      <c r="C275" t="s">
        <v>22349</v>
      </c>
      <c r="D275" t="s">
        <v>22251</v>
      </c>
      <c r="E275" t="s">
        <v>1987</v>
      </c>
    </row>
    <row r="276" spans="1:5" x14ac:dyDescent="0.2">
      <c r="A276" t="s">
        <v>22350</v>
      </c>
      <c r="B276">
        <v>1080002</v>
      </c>
      <c r="C276" t="s">
        <v>22351</v>
      </c>
      <c r="D276" t="s">
        <v>22251</v>
      </c>
      <c r="E276" t="s">
        <v>1987</v>
      </c>
    </row>
    <row r="277" spans="1:5" x14ac:dyDescent="0.2">
      <c r="A277" t="s">
        <v>22352</v>
      </c>
      <c r="B277">
        <v>1080002</v>
      </c>
      <c r="C277" t="s">
        <v>22353</v>
      </c>
      <c r="D277" t="s">
        <v>22251</v>
      </c>
      <c r="E277" t="s">
        <v>1987</v>
      </c>
    </row>
    <row r="278" spans="1:5" x14ac:dyDescent="0.2">
      <c r="A278" t="s">
        <v>22354</v>
      </c>
      <c r="B278">
        <v>1080003</v>
      </c>
      <c r="C278" t="s">
        <v>22355</v>
      </c>
      <c r="D278" t="s">
        <v>22251</v>
      </c>
      <c r="E278" t="s">
        <v>150</v>
      </c>
    </row>
    <row r="279" spans="1:5" x14ac:dyDescent="0.2">
      <c r="A279" t="s">
        <v>22356</v>
      </c>
      <c r="B279">
        <v>1080003</v>
      </c>
      <c r="C279" t="s">
        <v>22357</v>
      </c>
      <c r="D279" t="s">
        <v>22251</v>
      </c>
      <c r="E279" t="s">
        <v>150</v>
      </c>
    </row>
    <row r="280" spans="1:5" x14ac:dyDescent="0.2">
      <c r="A280" t="s">
        <v>22358</v>
      </c>
      <c r="B280">
        <v>1080003</v>
      </c>
      <c r="C280" t="s">
        <v>22359</v>
      </c>
      <c r="D280" t="s">
        <v>22251</v>
      </c>
      <c r="E280" t="s">
        <v>150</v>
      </c>
    </row>
    <row r="281" spans="1:5" x14ac:dyDescent="0.2">
      <c r="A281" t="s">
        <v>22360</v>
      </c>
      <c r="B281">
        <v>1080003</v>
      </c>
      <c r="C281" t="s">
        <v>22361</v>
      </c>
      <c r="D281" t="s">
        <v>22251</v>
      </c>
      <c r="E281" t="s">
        <v>150</v>
      </c>
    </row>
    <row r="282" spans="1:5" x14ac:dyDescent="0.2">
      <c r="A282" t="s">
        <v>22362</v>
      </c>
      <c r="B282">
        <v>1080003</v>
      </c>
      <c r="C282" t="s">
        <v>22363</v>
      </c>
      <c r="D282" t="s">
        <v>22251</v>
      </c>
      <c r="E282" t="s">
        <v>150</v>
      </c>
    </row>
    <row r="283" spans="1:5" x14ac:dyDescent="0.2">
      <c r="A283" t="s">
        <v>8623</v>
      </c>
      <c r="B283">
        <v>1020002</v>
      </c>
      <c r="C283" t="s">
        <v>8624</v>
      </c>
      <c r="D283" t="s">
        <v>6064</v>
      </c>
    </row>
    <row r="284" spans="1:5" x14ac:dyDescent="0.2">
      <c r="A284" t="s">
        <v>2876</v>
      </c>
      <c r="B284">
        <v>1010011</v>
      </c>
      <c r="C284" t="s">
        <v>8639</v>
      </c>
      <c r="D284" t="s">
        <v>6064</v>
      </c>
    </row>
    <row r="285" spans="1:5" x14ac:dyDescent="0.2">
      <c r="A285" t="s">
        <v>353</v>
      </c>
      <c r="B285">
        <v>1020036</v>
      </c>
      <c r="C285" t="s">
        <v>8620</v>
      </c>
      <c r="D285" t="s">
        <v>6064</v>
      </c>
    </row>
    <row r="286" spans="1:5" x14ac:dyDescent="0.2">
      <c r="A286" t="s">
        <v>433</v>
      </c>
      <c r="B286">
        <v>1010008</v>
      </c>
      <c r="C286" t="s">
        <v>8615</v>
      </c>
      <c r="D286" t="s">
        <v>6064</v>
      </c>
    </row>
    <row r="287" spans="1:5" x14ac:dyDescent="0.2">
      <c r="A287" t="s">
        <v>1088</v>
      </c>
      <c r="B287">
        <v>1010008</v>
      </c>
      <c r="C287" t="s">
        <v>8619</v>
      </c>
      <c r="D287" t="s">
        <v>6064</v>
      </c>
    </row>
    <row r="288" spans="1:5" x14ac:dyDescent="0.2">
      <c r="A288" t="s">
        <v>2233</v>
      </c>
      <c r="B288">
        <v>1010011</v>
      </c>
      <c r="C288" t="s">
        <v>8614</v>
      </c>
      <c r="D288" t="s">
        <v>6064</v>
      </c>
    </row>
    <row r="289" spans="1:4" x14ac:dyDescent="0.2">
      <c r="A289" t="s">
        <v>3167</v>
      </c>
      <c r="B289">
        <v>1010011</v>
      </c>
      <c r="C289" t="s">
        <v>8642</v>
      </c>
      <c r="D289" t="s">
        <v>6064</v>
      </c>
    </row>
    <row r="290" spans="1:4" x14ac:dyDescent="0.2">
      <c r="A290" t="s">
        <v>2717</v>
      </c>
      <c r="B290">
        <v>1010011</v>
      </c>
      <c r="C290" t="s">
        <v>8646</v>
      </c>
      <c r="D290" t="s">
        <v>6064</v>
      </c>
    </row>
    <row r="291" spans="1:4" x14ac:dyDescent="0.2">
      <c r="A291" t="s">
        <v>1819</v>
      </c>
      <c r="B291">
        <v>1020022</v>
      </c>
      <c r="C291" t="s">
        <v>22364</v>
      </c>
      <c r="D291" t="s">
        <v>6064</v>
      </c>
    </row>
    <row r="292" spans="1:4" x14ac:dyDescent="0.2">
      <c r="A292" t="s">
        <v>779</v>
      </c>
      <c r="B292">
        <v>1020022</v>
      </c>
      <c r="C292" t="s">
        <v>22365</v>
      </c>
      <c r="D292" t="s">
        <v>6064</v>
      </c>
    </row>
    <row r="293" spans="1:4" x14ac:dyDescent="0.2">
      <c r="A293" t="s">
        <v>190</v>
      </c>
      <c r="B293">
        <v>1010011</v>
      </c>
      <c r="C293" t="s">
        <v>22366</v>
      </c>
      <c r="D293" t="s">
        <v>6064</v>
      </c>
    </row>
    <row r="294" spans="1:4" x14ac:dyDescent="0.2">
      <c r="A294" t="s">
        <v>3566</v>
      </c>
      <c r="B294">
        <v>1020010</v>
      </c>
      <c r="C294" t="s">
        <v>8628</v>
      </c>
      <c r="D294" t="s">
        <v>6064</v>
      </c>
    </row>
    <row r="295" spans="1:4" x14ac:dyDescent="0.2">
      <c r="A295" t="s">
        <v>826</v>
      </c>
      <c r="B295">
        <v>1040002</v>
      </c>
      <c r="C295" t="s">
        <v>8617</v>
      </c>
      <c r="D295" t="s">
        <v>6064</v>
      </c>
    </row>
    <row r="296" spans="1:4" x14ac:dyDescent="0.2">
      <c r="A296" t="s">
        <v>3491</v>
      </c>
      <c r="B296">
        <v>1040004</v>
      </c>
      <c r="C296" t="s">
        <v>8634</v>
      </c>
      <c r="D296" t="s">
        <v>6064</v>
      </c>
    </row>
    <row r="297" spans="1:4" x14ac:dyDescent="0.2">
      <c r="A297" t="s">
        <v>2587</v>
      </c>
      <c r="B297">
        <v>1040001</v>
      </c>
      <c r="C297" t="s">
        <v>8635</v>
      </c>
      <c r="D297" t="s">
        <v>6064</v>
      </c>
    </row>
    <row r="298" spans="1:4" x14ac:dyDescent="0.2">
      <c r="A298" t="s">
        <v>2140</v>
      </c>
      <c r="B298">
        <v>1020003</v>
      </c>
      <c r="C298" t="s">
        <v>8622</v>
      </c>
      <c r="D298" t="s">
        <v>6064</v>
      </c>
    </row>
    <row r="299" spans="1:4" x14ac:dyDescent="0.2">
      <c r="A299" t="s">
        <v>280</v>
      </c>
      <c r="B299">
        <v>1020005</v>
      </c>
      <c r="C299" t="s">
        <v>8625</v>
      </c>
      <c r="D299" t="s">
        <v>6064</v>
      </c>
    </row>
    <row r="300" spans="1:4" x14ac:dyDescent="0.2">
      <c r="A300" t="s">
        <v>862</v>
      </c>
      <c r="B300">
        <v>1010006</v>
      </c>
      <c r="C300" t="s">
        <v>8616</v>
      </c>
      <c r="D300" t="s">
        <v>6064</v>
      </c>
    </row>
    <row r="301" spans="1:4" x14ac:dyDescent="0.2">
      <c r="A301" t="s">
        <v>795</v>
      </c>
      <c r="B301">
        <v>1010012</v>
      </c>
      <c r="C301" t="s">
        <v>8618</v>
      </c>
      <c r="D301" t="s">
        <v>6064</v>
      </c>
    </row>
    <row r="302" spans="1:4" x14ac:dyDescent="0.2">
      <c r="A302" t="s">
        <v>315</v>
      </c>
      <c r="B302">
        <v>1020001</v>
      </c>
      <c r="C302" t="s">
        <v>8630</v>
      </c>
      <c r="D302" t="s">
        <v>6064</v>
      </c>
    </row>
    <row r="303" spans="1:4" x14ac:dyDescent="0.2">
      <c r="A303" t="s">
        <v>1718</v>
      </c>
      <c r="B303">
        <v>1020004</v>
      </c>
      <c r="C303" t="s">
        <v>8647</v>
      </c>
      <c r="D303" t="s">
        <v>6064</v>
      </c>
    </row>
    <row r="304" spans="1:4" x14ac:dyDescent="0.2">
      <c r="A304" t="s">
        <v>4523</v>
      </c>
      <c r="B304">
        <v>1030005</v>
      </c>
      <c r="C304" t="s">
        <v>8643</v>
      </c>
      <c r="D304" t="s">
        <v>6064</v>
      </c>
    </row>
    <row r="305" spans="1:4" x14ac:dyDescent="0.2">
      <c r="A305" t="s">
        <v>2291</v>
      </c>
      <c r="B305">
        <v>1030009</v>
      </c>
      <c r="C305" t="s">
        <v>8641</v>
      </c>
      <c r="D305" t="s">
        <v>6064</v>
      </c>
    </row>
    <row r="306" spans="1:4" x14ac:dyDescent="0.2">
      <c r="A306" t="s">
        <v>1301</v>
      </c>
      <c r="B306">
        <v>1030002</v>
      </c>
      <c r="C306" t="s">
        <v>8644</v>
      </c>
      <c r="D306" t="s">
        <v>6064</v>
      </c>
    </row>
    <row r="307" spans="1:4" x14ac:dyDescent="0.2">
      <c r="A307" t="s">
        <v>2955</v>
      </c>
      <c r="B307">
        <v>1030007</v>
      </c>
      <c r="C307" t="s">
        <v>8645</v>
      </c>
      <c r="D307" t="s">
        <v>6064</v>
      </c>
    </row>
    <row r="309" spans="1:4" x14ac:dyDescent="0.2">
      <c r="A309" t="s">
        <v>3998</v>
      </c>
      <c r="B309">
        <v>1020014</v>
      </c>
      <c r="C309" t="s">
        <v>8589</v>
      </c>
      <c r="D309" t="s">
        <v>6068</v>
      </c>
    </row>
    <row r="310" spans="1:4" x14ac:dyDescent="0.2">
      <c r="A310" t="s">
        <v>2124</v>
      </c>
      <c r="B310">
        <v>1010006</v>
      </c>
      <c r="C310" t="s">
        <v>6115</v>
      </c>
      <c r="D310" t="s">
        <v>6068</v>
      </c>
    </row>
    <row r="311" spans="1:4" x14ac:dyDescent="0.2">
      <c r="A311" t="s">
        <v>581</v>
      </c>
      <c r="B311">
        <v>1020011</v>
      </c>
      <c r="C311" t="s">
        <v>8590</v>
      </c>
      <c r="D311" t="s">
        <v>6068</v>
      </c>
    </row>
    <row r="312" spans="1:4" x14ac:dyDescent="0.2">
      <c r="A312" t="s">
        <v>385</v>
      </c>
      <c r="B312">
        <v>1020010</v>
      </c>
      <c r="C312" t="s">
        <v>8591</v>
      </c>
      <c r="D312" t="s">
        <v>6068</v>
      </c>
    </row>
    <row r="313" spans="1:4" x14ac:dyDescent="0.2">
      <c r="A313" t="s">
        <v>563</v>
      </c>
      <c r="B313">
        <v>1020003</v>
      </c>
      <c r="C313" t="s">
        <v>8592</v>
      </c>
      <c r="D313" t="s">
        <v>6068</v>
      </c>
    </row>
    <row r="314" spans="1:4" x14ac:dyDescent="0.2">
      <c r="A314" t="s">
        <v>3476</v>
      </c>
      <c r="B314">
        <v>1020003</v>
      </c>
      <c r="C314" t="s">
        <v>8586</v>
      </c>
      <c r="D314" t="s">
        <v>6068</v>
      </c>
    </row>
    <row r="315" spans="1:4" x14ac:dyDescent="0.2">
      <c r="A315" t="s">
        <v>952</v>
      </c>
      <c r="B315">
        <v>1020002</v>
      </c>
      <c r="C315" t="s">
        <v>8593</v>
      </c>
      <c r="D315" t="s">
        <v>6068</v>
      </c>
    </row>
    <row r="316" spans="1:4" x14ac:dyDescent="0.2">
      <c r="A316" t="s">
        <v>279</v>
      </c>
      <c r="B316">
        <v>1020005</v>
      </c>
      <c r="C316" t="s">
        <v>8587</v>
      </c>
      <c r="D316" t="s">
        <v>6068</v>
      </c>
    </row>
    <row r="317" spans="1:4" x14ac:dyDescent="0.2">
      <c r="A317" t="s">
        <v>126</v>
      </c>
      <c r="B317">
        <v>1020005</v>
      </c>
      <c r="C317" t="s">
        <v>8594</v>
      </c>
      <c r="D317" t="s">
        <v>6068</v>
      </c>
    </row>
    <row r="318" spans="1:4" x14ac:dyDescent="0.2">
      <c r="A318" t="s">
        <v>3986</v>
      </c>
      <c r="B318">
        <v>1020002</v>
      </c>
      <c r="C318" t="s">
        <v>8588</v>
      </c>
      <c r="D318" t="s">
        <v>6068</v>
      </c>
    </row>
    <row r="319" spans="1:4" x14ac:dyDescent="0.2">
      <c r="A319" t="s">
        <v>170</v>
      </c>
      <c r="B319">
        <v>1010001</v>
      </c>
      <c r="C319" t="s">
        <v>8595</v>
      </c>
      <c r="D319" t="s">
        <v>6068</v>
      </c>
    </row>
    <row r="320" spans="1:4" x14ac:dyDescent="0.2">
      <c r="A320" t="s">
        <v>1057</v>
      </c>
      <c r="B320">
        <v>1020013</v>
      </c>
      <c r="C320" t="s">
        <v>8596</v>
      </c>
      <c r="D320" t="s">
        <v>6068</v>
      </c>
    </row>
    <row r="321" spans="1:4" x14ac:dyDescent="0.2">
      <c r="A321" t="s">
        <v>148</v>
      </c>
      <c r="B321">
        <v>1010041</v>
      </c>
      <c r="C321" t="s">
        <v>8597</v>
      </c>
      <c r="D321" t="s">
        <v>6068</v>
      </c>
    </row>
    <row r="322" spans="1:4" x14ac:dyDescent="0.2">
      <c r="A322" t="s">
        <v>682</v>
      </c>
      <c r="B322">
        <v>1020001</v>
      </c>
      <c r="C322" t="s">
        <v>8598</v>
      </c>
      <c r="D322" t="s">
        <v>6068</v>
      </c>
    </row>
    <row r="323" spans="1:4" x14ac:dyDescent="0.2">
      <c r="A323" t="s">
        <v>1577</v>
      </c>
      <c r="B323">
        <v>1020002</v>
      </c>
      <c r="C323" t="s">
        <v>8585</v>
      </c>
      <c r="D323" t="s">
        <v>6068</v>
      </c>
    </row>
    <row r="324" spans="1:4" x14ac:dyDescent="0.2">
      <c r="A324" t="s">
        <v>665</v>
      </c>
      <c r="B324">
        <v>1010078</v>
      </c>
      <c r="C324" t="s">
        <v>8599</v>
      </c>
      <c r="D324" t="s">
        <v>6068</v>
      </c>
    </row>
    <row r="325" spans="1:4" x14ac:dyDescent="0.2">
      <c r="A325" t="s">
        <v>3200</v>
      </c>
      <c r="B325">
        <v>1090004</v>
      </c>
      <c r="C325" t="s">
        <v>8600</v>
      </c>
      <c r="D325" t="s">
        <v>6068</v>
      </c>
    </row>
    <row r="326" spans="1:4" x14ac:dyDescent="0.2">
      <c r="A326" t="s">
        <v>3550</v>
      </c>
      <c r="B326">
        <v>1090004</v>
      </c>
      <c r="C326" t="s">
        <v>8601</v>
      </c>
      <c r="D326" t="s">
        <v>6068</v>
      </c>
    </row>
    <row r="327" spans="1:4" x14ac:dyDescent="0.2">
      <c r="A327" t="s">
        <v>860</v>
      </c>
      <c r="B327">
        <v>1010016</v>
      </c>
      <c r="C327" t="s">
        <v>8602</v>
      </c>
      <c r="D327" t="s">
        <v>6068</v>
      </c>
    </row>
    <row r="328" spans="1:4" x14ac:dyDescent="0.2">
      <c r="A328" t="s">
        <v>3302</v>
      </c>
      <c r="B328">
        <v>1070004</v>
      </c>
      <c r="C328" t="s">
        <v>8603</v>
      </c>
      <c r="D328" t="s">
        <v>6068</v>
      </c>
    </row>
    <row r="329" spans="1:4" x14ac:dyDescent="0.2">
      <c r="A329" t="s">
        <v>970</v>
      </c>
      <c r="B329">
        <v>1020009</v>
      </c>
      <c r="C329" t="s">
        <v>8604</v>
      </c>
      <c r="D329" t="s">
        <v>6068</v>
      </c>
    </row>
    <row r="330" spans="1:4" x14ac:dyDescent="0.2">
      <c r="A330" t="s">
        <v>2001</v>
      </c>
      <c r="B330">
        <v>1070016</v>
      </c>
      <c r="C330" t="s">
        <v>8605</v>
      </c>
      <c r="D330" t="s">
        <v>6068</v>
      </c>
    </row>
    <row r="331" spans="1:4" x14ac:dyDescent="0.2">
      <c r="A331" t="s">
        <v>648</v>
      </c>
      <c r="B331">
        <v>1010094</v>
      </c>
      <c r="C331" t="s">
        <v>8606</v>
      </c>
      <c r="D331" t="s">
        <v>6068</v>
      </c>
    </row>
    <row r="332" spans="1:4" x14ac:dyDescent="0.2">
      <c r="A332" t="s">
        <v>1950</v>
      </c>
      <c r="B332">
        <v>1020032</v>
      </c>
      <c r="C332" t="s">
        <v>8607</v>
      </c>
      <c r="D332" t="s">
        <v>6068</v>
      </c>
    </row>
    <row r="333" spans="1:4" x14ac:dyDescent="0.2">
      <c r="A333" t="s">
        <v>842</v>
      </c>
      <c r="B333">
        <v>1020002</v>
      </c>
      <c r="C333" t="s">
        <v>8608</v>
      </c>
      <c r="D333" t="s">
        <v>6068</v>
      </c>
    </row>
    <row r="334" spans="1:4" x14ac:dyDescent="0.2">
      <c r="A334" t="s">
        <v>762</v>
      </c>
      <c r="B334">
        <v>1020004</v>
      </c>
      <c r="C334" t="s">
        <v>8609</v>
      </c>
      <c r="D334" t="s">
        <v>6068</v>
      </c>
    </row>
    <row r="335" spans="1:4" x14ac:dyDescent="0.2">
      <c r="A335" t="s">
        <v>466</v>
      </c>
      <c r="B335">
        <v>1010045</v>
      </c>
      <c r="C335" t="s">
        <v>8610</v>
      </c>
      <c r="D335" t="s">
        <v>6068</v>
      </c>
    </row>
    <row r="336" spans="1:4" x14ac:dyDescent="0.2">
      <c r="A336" t="s">
        <v>333</v>
      </c>
      <c r="B336">
        <v>1020002</v>
      </c>
      <c r="C336" t="s">
        <v>8611</v>
      </c>
      <c r="D336" t="s">
        <v>6068</v>
      </c>
    </row>
    <row r="337" spans="1:4" x14ac:dyDescent="0.2">
      <c r="A337" t="s">
        <v>1985</v>
      </c>
      <c r="B337">
        <v>1090003</v>
      </c>
      <c r="C337" t="s">
        <v>8612</v>
      </c>
      <c r="D337" t="s">
        <v>6068</v>
      </c>
    </row>
  </sheetData>
  <pageMargins left="0.7" right="0.7" top="0.75" bottom="0.75" header="0.3" footer="0.3"/>
  <pageSetup orientation="portrait"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48A5B0-2B93-4C06-8035-E99C056DAFC8}">
  <dimension ref="A1:E993"/>
  <sheetViews>
    <sheetView workbookViewId="0"/>
  </sheetViews>
  <sheetFormatPr defaultRowHeight="14.25" x14ac:dyDescent="0.2"/>
  <cols>
    <col min="1" max="1" width="42" bestFit="1" customWidth="1"/>
  </cols>
  <sheetData>
    <row r="1" spans="1:5" x14ac:dyDescent="0.2">
      <c r="A1" s="2" t="s">
        <v>89</v>
      </c>
      <c r="B1" s="2" t="s">
        <v>4597</v>
      </c>
      <c r="C1" s="2" t="s">
        <v>80</v>
      </c>
      <c r="D1" s="2" t="s">
        <v>6974</v>
      </c>
      <c r="E1" s="1" t="s">
        <v>6065</v>
      </c>
    </row>
    <row r="2" spans="1:5" x14ac:dyDescent="0.2">
      <c r="A2" t="s">
        <v>22367</v>
      </c>
      <c r="B2" t="s">
        <v>22368</v>
      </c>
      <c r="C2" t="s">
        <v>22369</v>
      </c>
      <c r="D2" t="s">
        <v>6068</v>
      </c>
      <c r="E2">
        <f t="shared" ref="E2:E11" si="0">+LEN(C2)</f>
        <v>58</v>
      </c>
    </row>
    <row r="3" spans="1:5" x14ac:dyDescent="0.2">
      <c r="A3" t="s">
        <v>22370</v>
      </c>
      <c r="B3" t="s">
        <v>22368</v>
      </c>
      <c r="C3" t="s">
        <v>22371</v>
      </c>
      <c r="D3" t="s">
        <v>6068</v>
      </c>
      <c r="E3">
        <f t="shared" si="0"/>
        <v>58</v>
      </c>
    </row>
    <row r="4" spans="1:5" x14ac:dyDescent="0.2">
      <c r="A4" t="s">
        <v>14721</v>
      </c>
      <c r="B4" t="s">
        <v>22368</v>
      </c>
      <c r="C4" t="s">
        <v>14722</v>
      </c>
      <c r="D4" t="s">
        <v>6068</v>
      </c>
      <c r="E4">
        <f t="shared" si="0"/>
        <v>58</v>
      </c>
    </row>
    <row r="5" spans="1:5" x14ac:dyDescent="0.2">
      <c r="A5" t="s">
        <v>22372</v>
      </c>
      <c r="B5" t="s">
        <v>22368</v>
      </c>
      <c r="C5" t="s">
        <v>22373</v>
      </c>
      <c r="D5" t="s">
        <v>6068</v>
      </c>
      <c r="E5">
        <f t="shared" si="0"/>
        <v>64</v>
      </c>
    </row>
    <row r="6" spans="1:5" x14ac:dyDescent="0.2">
      <c r="A6" t="s">
        <v>22374</v>
      </c>
      <c r="B6" t="s">
        <v>22368</v>
      </c>
      <c r="C6" t="s">
        <v>22375</v>
      </c>
      <c r="D6" t="s">
        <v>6068</v>
      </c>
      <c r="E6">
        <f t="shared" si="0"/>
        <v>64</v>
      </c>
    </row>
    <row r="7" spans="1:5" x14ac:dyDescent="0.2">
      <c r="A7" t="s">
        <v>14771</v>
      </c>
      <c r="B7" t="s">
        <v>22368</v>
      </c>
      <c r="C7" t="s">
        <v>14772</v>
      </c>
      <c r="D7" t="s">
        <v>6068</v>
      </c>
      <c r="E7">
        <f t="shared" si="0"/>
        <v>64</v>
      </c>
    </row>
    <row r="8" spans="1:5" x14ac:dyDescent="0.2">
      <c r="A8" t="s">
        <v>22376</v>
      </c>
      <c r="B8" t="s">
        <v>22368</v>
      </c>
      <c r="C8" t="s">
        <v>22377</v>
      </c>
      <c r="D8" t="s">
        <v>6068</v>
      </c>
      <c r="E8">
        <f t="shared" si="0"/>
        <v>59</v>
      </c>
    </row>
    <row r="9" spans="1:5" x14ac:dyDescent="0.2">
      <c r="A9" t="s">
        <v>14773</v>
      </c>
      <c r="B9" t="s">
        <v>22368</v>
      </c>
      <c r="C9" t="s">
        <v>14774</v>
      </c>
      <c r="D9" t="s">
        <v>6068</v>
      </c>
      <c r="E9">
        <f t="shared" si="0"/>
        <v>59</v>
      </c>
    </row>
    <row r="10" spans="1:5" x14ac:dyDescent="0.2">
      <c r="A10" t="s">
        <v>22378</v>
      </c>
      <c r="B10" t="s">
        <v>22368</v>
      </c>
      <c r="C10" t="s">
        <v>22379</v>
      </c>
      <c r="D10" t="s">
        <v>6068</v>
      </c>
      <c r="E10">
        <f t="shared" si="0"/>
        <v>58</v>
      </c>
    </row>
    <row r="11" spans="1:5" x14ac:dyDescent="0.2">
      <c r="A11" t="s">
        <v>22380</v>
      </c>
      <c r="B11" t="s">
        <v>22368</v>
      </c>
      <c r="C11" t="s">
        <v>22381</v>
      </c>
      <c r="D11" t="s">
        <v>6068</v>
      </c>
      <c r="E11">
        <f t="shared" si="0"/>
        <v>65</v>
      </c>
    </row>
    <row r="12" spans="1:5" x14ac:dyDescent="0.2">
      <c r="A12" t="s">
        <v>22382</v>
      </c>
      <c r="B12" t="s">
        <v>22368</v>
      </c>
      <c r="C12" t="s">
        <v>22383</v>
      </c>
      <c r="D12" t="s">
        <v>6068</v>
      </c>
      <c r="E12">
        <f t="shared" ref="E12:E75" si="1">+LEN(C12)</f>
        <v>65</v>
      </c>
    </row>
    <row r="13" spans="1:5" x14ac:dyDescent="0.2">
      <c r="A13" t="s">
        <v>14775</v>
      </c>
      <c r="B13" t="s">
        <v>22368</v>
      </c>
      <c r="C13" t="s">
        <v>14776</v>
      </c>
      <c r="D13" t="s">
        <v>6068</v>
      </c>
      <c r="E13">
        <f t="shared" si="1"/>
        <v>65</v>
      </c>
    </row>
    <row r="14" spans="1:5" x14ac:dyDescent="0.2">
      <c r="A14" t="s">
        <v>22384</v>
      </c>
      <c r="B14" t="s">
        <v>22368</v>
      </c>
      <c r="C14" t="s">
        <v>22385</v>
      </c>
      <c r="D14" t="s">
        <v>6068</v>
      </c>
      <c r="E14">
        <f t="shared" si="1"/>
        <v>78</v>
      </c>
    </row>
    <row r="15" spans="1:5" x14ac:dyDescent="0.2">
      <c r="A15" t="s">
        <v>22386</v>
      </c>
      <c r="B15" t="s">
        <v>22368</v>
      </c>
      <c r="C15" t="s">
        <v>22387</v>
      </c>
      <c r="D15" t="s">
        <v>6068</v>
      </c>
      <c r="E15">
        <f t="shared" si="1"/>
        <v>78</v>
      </c>
    </row>
    <row r="16" spans="1:5" x14ac:dyDescent="0.2">
      <c r="A16" t="s">
        <v>14777</v>
      </c>
      <c r="B16" t="s">
        <v>22368</v>
      </c>
      <c r="C16" t="s">
        <v>14778</v>
      </c>
      <c r="D16" t="s">
        <v>6068</v>
      </c>
      <c r="E16">
        <f t="shared" si="1"/>
        <v>78</v>
      </c>
    </row>
    <row r="17" spans="1:5" x14ac:dyDescent="0.2">
      <c r="A17" t="s">
        <v>22388</v>
      </c>
      <c r="B17" t="s">
        <v>22368</v>
      </c>
      <c r="C17" t="s">
        <v>22389</v>
      </c>
      <c r="D17" t="s">
        <v>6068</v>
      </c>
      <c r="E17">
        <f t="shared" si="1"/>
        <v>57</v>
      </c>
    </row>
    <row r="18" spans="1:5" x14ac:dyDescent="0.2">
      <c r="A18" t="s">
        <v>22390</v>
      </c>
      <c r="B18" t="s">
        <v>22368</v>
      </c>
      <c r="C18" t="s">
        <v>22391</v>
      </c>
      <c r="D18" t="s">
        <v>6068</v>
      </c>
      <c r="E18">
        <f t="shared" si="1"/>
        <v>57</v>
      </c>
    </row>
    <row r="19" spans="1:5" x14ac:dyDescent="0.2">
      <c r="A19" t="s">
        <v>14723</v>
      </c>
      <c r="B19" t="s">
        <v>22368</v>
      </c>
      <c r="C19" t="s">
        <v>14724</v>
      </c>
      <c r="D19" t="s">
        <v>6068</v>
      </c>
      <c r="E19">
        <f t="shared" si="1"/>
        <v>57</v>
      </c>
    </row>
    <row r="20" spans="1:5" x14ac:dyDescent="0.2">
      <c r="A20" t="s">
        <v>22392</v>
      </c>
      <c r="B20" t="s">
        <v>22368</v>
      </c>
      <c r="C20" t="s">
        <v>22393</v>
      </c>
      <c r="D20" t="s">
        <v>6068</v>
      </c>
      <c r="E20">
        <f t="shared" si="1"/>
        <v>63</v>
      </c>
    </row>
    <row r="21" spans="1:5" x14ac:dyDescent="0.2">
      <c r="A21" t="s">
        <v>22394</v>
      </c>
      <c r="B21" t="s">
        <v>22368</v>
      </c>
      <c r="C21" t="s">
        <v>22395</v>
      </c>
      <c r="D21" t="s">
        <v>6068</v>
      </c>
      <c r="E21">
        <f t="shared" si="1"/>
        <v>63</v>
      </c>
    </row>
    <row r="22" spans="1:5" x14ac:dyDescent="0.2">
      <c r="A22" t="s">
        <v>14779</v>
      </c>
      <c r="B22" t="s">
        <v>22368</v>
      </c>
      <c r="C22" t="s">
        <v>14780</v>
      </c>
      <c r="D22" t="s">
        <v>6068</v>
      </c>
      <c r="E22">
        <f t="shared" si="1"/>
        <v>63</v>
      </c>
    </row>
    <row r="23" spans="1:5" x14ac:dyDescent="0.2">
      <c r="A23" t="s">
        <v>22396</v>
      </c>
      <c r="B23" t="s">
        <v>22368</v>
      </c>
      <c r="C23" t="s">
        <v>22397</v>
      </c>
      <c r="D23" t="s">
        <v>6068</v>
      </c>
      <c r="E23">
        <f t="shared" si="1"/>
        <v>83</v>
      </c>
    </row>
    <row r="24" spans="1:5" x14ac:dyDescent="0.2">
      <c r="A24" t="s">
        <v>22398</v>
      </c>
      <c r="B24" t="s">
        <v>22368</v>
      </c>
      <c r="C24" t="s">
        <v>22399</v>
      </c>
      <c r="D24" t="s">
        <v>6068</v>
      </c>
      <c r="E24">
        <f t="shared" si="1"/>
        <v>81</v>
      </c>
    </row>
    <row r="25" spans="1:5" x14ac:dyDescent="0.2">
      <c r="A25" t="s">
        <v>14725</v>
      </c>
      <c r="B25" t="s">
        <v>22368</v>
      </c>
      <c r="C25" t="s">
        <v>14726</v>
      </c>
      <c r="D25" t="s">
        <v>6068</v>
      </c>
      <c r="E25">
        <f t="shared" si="1"/>
        <v>81</v>
      </c>
    </row>
    <row r="26" spans="1:5" x14ac:dyDescent="0.2">
      <c r="A26" t="s">
        <v>22400</v>
      </c>
      <c r="B26" t="s">
        <v>22368</v>
      </c>
      <c r="C26" t="s">
        <v>22401</v>
      </c>
      <c r="D26" t="s">
        <v>6068</v>
      </c>
      <c r="E26">
        <f t="shared" si="1"/>
        <v>60</v>
      </c>
    </row>
    <row r="27" spans="1:5" x14ac:dyDescent="0.2">
      <c r="A27" t="s">
        <v>14781</v>
      </c>
      <c r="B27" t="s">
        <v>22368</v>
      </c>
      <c r="C27" t="s">
        <v>14782</v>
      </c>
      <c r="D27" t="s">
        <v>6068</v>
      </c>
      <c r="E27">
        <f t="shared" si="1"/>
        <v>60</v>
      </c>
    </row>
    <row r="28" spans="1:5" x14ac:dyDescent="0.2">
      <c r="A28" t="s">
        <v>22402</v>
      </c>
      <c r="B28" t="s">
        <v>22368</v>
      </c>
      <c r="C28" t="s">
        <v>22403</v>
      </c>
      <c r="D28" t="s">
        <v>6068</v>
      </c>
      <c r="E28">
        <f t="shared" si="1"/>
        <v>59</v>
      </c>
    </row>
    <row r="29" spans="1:5" x14ac:dyDescent="0.2">
      <c r="A29" t="s">
        <v>22404</v>
      </c>
      <c r="B29" t="s">
        <v>22368</v>
      </c>
      <c r="C29" t="s">
        <v>22405</v>
      </c>
      <c r="D29" t="s">
        <v>6068</v>
      </c>
      <c r="E29">
        <f t="shared" si="1"/>
        <v>66</v>
      </c>
    </row>
    <row r="30" spans="1:5" x14ac:dyDescent="0.2">
      <c r="A30" t="s">
        <v>22406</v>
      </c>
      <c r="B30" t="s">
        <v>22368</v>
      </c>
      <c r="C30" t="s">
        <v>22407</v>
      </c>
      <c r="D30" t="s">
        <v>6068</v>
      </c>
      <c r="E30">
        <f t="shared" si="1"/>
        <v>66</v>
      </c>
    </row>
    <row r="31" spans="1:5" x14ac:dyDescent="0.2">
      <c r="A31" t="s">
        <v>14783</v>
      </c>
      <c r="B31" t="s">
        <v>22368</v>
      </c>
      <c r="C31" t="s">
        <v>14784</v>
      </c>
      <c r="D31" t="s">
        <v>6068</v>
      </c>
      <c r="E31">
        <f t="shared" si="1"/>
        <v>66</v>
      </c>
    </row>
    <row r="32" spans="1:5" x14ac:dyDescent="0.2">
      <c r="A32" t="s">
        <v>9253</v>
      </c>
      <c r="B32" t="s">
        <v>22368</v>
      </c>
      <c r="C32" t="s">
        <v>10560</v>
      </c>
      <c r="D32" t="s">
        <v>6068</v>
      </c>
      <c r="E32">
        <f t="shared" si="1"/>
        <v>96</v>
      </c>
    </row>
    <row r="33" spans="1:5" x14ac:dyDescent="0.2">
      <c r="A33" t="s">
        <v>9332</v>
      </c>
      <c r="B33" t="s">
        <v>22368</v>
      </c>
      <c r="C33" t="s">
        <v>10558</v>
      </c>
      <c r="D33" t="s">
        <v>6068</v>
      </c>
      <c r="E33">
        <f t="shared" si="1"/>
        <v>83</v>
      </c>
    </row>
    <row r="34" spans="1:5" x14ac:dyDescent="0.2">
      <c r="A34" t="s">
        <v>9026</v>
      </c>
      <c r="B34" t="s">
        <v>22368</v>
      </c>
      <c r="C34" t="s">
        <v>10550</v>
      </c>
      <c r="D34" t="s">
        <v>6068</v>
      </c>
      <c r="E34">
        <f t="shared" si="1"/>
        <v>216</v>
      </c>
    </row>
    <row r="35" spans="1:5" x14ac:dyDescent="0.2">
      <c r="A35" t="s">
        <v>9375</v>
      </c>
      <c r="B35" t="s">
        <v>22368</v>
      </c>
      <c r="C35" t="s">
        <v>10551</v>
      </c>
      <c r="D35" t="s">
        <v>6068</v>
      </c>
      <c r="E35">
        <f t="shared" si="1"/>
        <v>216</v>
      </c>
    </row>
    <row r="36" spans="1:5" x14ac:dyDescent="0.2">
      <c r="A36" t="s">
        <v>9333</v>
      </c>
      <c r="B36" t="s">
        <v>22368</v>
      </c>
      <c r="C36" t="s">
        <v>10552</v>
      </c>
      <c r="D36" t="s">
        <v>6068</v>
      </c>
      <c r="E36">
        <f t="shared" si="1"/>
        <v>216</v>
      </c>
    </row>
    <row r="37" spans="1:5" x14ac:dyDescent="0.2">
      <c r="A37" t="s">
        <v>22408</v>
      </c>
      <c r="B37" t="s">
        <v>22368</v>
      </c>
      <c r="C37" t="s">
        <v>22409</v>
      </c>
      <c r="D37" t="s">
        <v>6068</v>
      </c>
      <c r="E37">
        <f t="shared" si="1"/>
        <v>68</v>
      </c>
    </row>
    <row r="38" spans="1:5" x14ac:dyDescent="0.2">
      <c r="A38" t="s">
        <v>22410</v>
      </c>
      <c r="B38" t="s">
        <v>22368</v>
      </c>
      <c r="C38" t="s">
        <v>22411</v>
      </c>
      <c r="D38" t="s">
        <v>6068</v>
      </c>
      <c r="E38">
        <f t="shared" si="1"/>
        <v>79</v>
      </c>
    </row>
    <row r="39" spans="1:5" x14ac:dyDescent="0.2">
      <c r="A39" t="s">
        <v>14727</v>
      </c>
      <c r="B39" t="s">
        <v>22368</v>
      </c>
      <c r="C39" t="s">
        <v>14728</v>
      </c>
      <c r="D39" t="s">
        <v>6068</v>
      </c>
      <c r="E39">
        <f t="shared" si="1"/>
        <v>81</v>
      </c>
    </row>
    <row r="40" spans="1:5" x14ac:dyDescent="0.2">
      <c r="A40" t="s">
        <v>22412</v>
      </c>
      <c r="B40" t="s">
        <v>22368</v>
      </c>
      <c r="C40" t="s">
        <v>22413</v>
      </c>
      <c r="D40" t="s">
        <v>6068</v>
      </c>
      <c r="E40">
        <f t="shared" si="1"/>
        <v>87</v>
      </c>
    </row>
    <row r="41" spans="1:5" x14ac:dyDescent="0.2">
      <c r="A41" t="s">
        <v>22414</v>
      </c>
      <c r="B41" t="s">
        <v>22368</v>
      </c>
      <c r="C41" t="s">
        <v>22415</v>
      </c>
      <c r="D41" t="s">
        <v>6068</v>
      </c>
      <c r="E41">
        <f t="shared" si="1"/>
        <v>87</v>
      </c>
    </row>
    <row r="42" spans="1:5" x14ac:dyDescent="0.2">
      <c r="A42" t="s">
        <v>22416</v>
      </c>
      <c r="B42" t="s">
        <v>22368</v>
      </c>
      <c r="C42" t="s">
        <v>22417</v>
      </c>
      <c r="D42" t="s">
        <v>6068</v>
      </c>
      <c r="E42">
        <f t="shared" si="1"/>
        <v>87</v>
      </c>
    </row>
    <row r="43" spans="1:5" x14ac:dyDescent="0.2">
      <c r="A43" t="s">
        <v>22418</v>
      </c>
      <c r="B43" t="s">
        <v>22368</v>
      </c>
      <c r="C43" t="s">
        <v>22419</v>
      </c>
      <c r="D43" t="s">
        <v>6068</v>
      </c>
      <c r="E43">
        <f t="shared" si="1"/>
        <v>87</v>
      </c>
    </row>
    <row r="44" spans="1:5" x14ac:dyDescent="0.2">
      <c r="A44" t="s">
        <v>8897</v>
      </c>
      <c r="B44" t="s">
        <v>22368</v>
      </c>
      <c r="C44" t="s">
        <v>10569</v>
      </c>
      <c r="D44" t="s">
        <v>6068</v>
      </c>
      <c r="E44">
        <f t="shared" si="1"/>
        <v>87</v>
      </c>
    </row>
    <row r="45" spans="1:5" x14ac:dyDescent="0.2">
      <c r="A45" t="s">
        <v>22420</v>
      </c>
      <c r="B45" t="s">
        <v>22368</v>
      </c>
      <c r="C45" t="s">
        <v>22421</v>
      </c>
      <c r="D45" t="s">
        <v>6068</v>
      </c>
      <c r="E45">
        <f t="shared" si="1"/>
        <v>76</v>
      </c>
    </row>
    <row r="46" spans="1:5" x14ac:dyDescent="0.2">
      <c r="A46" t="s">
        <v>22422</v>
      </c>
      <c r="B46" t="s">
        <v>22368</v>
      </c>
      <c r="C46" t="s">
        <v>22423</v>
      </c>
      <c r="D46" t="s">
        <v>6068</v>
      </c>
      <c r="E46">
        <f t="shared" si="1"/>
        <v>76</v>
      </c>
    </row>
    <row r="47" spans="1:5" x14ac:dyDescent="0.2">
      <c r="A47" t="s">
        <v>22424</v>
      </c>
      <c r="B47" t="s">
        <v>22368</v>
      </c>
      <c r="C47" t="s">
        <v>22425</v>
      </c>
      <c r="D47" t="s">
        <v>6068</v>
      </c>
      <c r="E47">
        <f t="shared" si="1"/>
        <v>74</v>
      </c>
    </row>
    <row r="48" spans="1:5" x14ac:dyDescent="0.2">
      <c r="A48" t="s">
        <v>22426</v>
      </c>
      <c r="B48" t="s">
        <v>22368</v>
      </c>
      <c r="C48" t="s">
        <v>22427</v>
      </c>
      <c r="D48" t="s">
        <v>6068</v>
      </c>
      <c r="E48">
        <f t="shared" si="1"/>
        <v>74</v>
      </c>
    </row>
    <row r="49" spans="1:5" x14ac:dyDescent="0.2">
      <c r="A49" t="s">
        <v>14785</v>
      </c>
      <c r="B49" t="s">
        <v>22368</v>
      </c>
      <c r="C49" t="s">
        <v>14786</v>
      </c>
      <c r="D49" t="s">
        <v>6068</v>
      </c>
      <c r="E49">
        <f t="shared" si="1"/>
        <v>74</v>
      </c>
    </row>
    <row r="50" spans="1:5" x14ac:dyDescent="0.2">
      <c r="A50" t="s">
        <v>22428</v>
      </c>
      <c r="B50" t="s">
        <v>22368</v>
      </c>
      <c r="C50" t="s">
        <v>22429</v>
      </c>
      <c r="D50" t="s">
        <v>6068</v>
      </c>
      <c r="E50">
        <f t="shared" si="1"/>
        <v>76</v>
      </c>
    </row>
    <row r="51" spans="1:5" x14ac:dyDescent="0.2">
      <c r="A51" t="s">
        <v>8687</v>
      </c>
      <c r="B51" t="s">
        <v>22368</v>
      </c>
      <c r="C51" t="s">
        <v>10570</v>
      </c>
      <c r="D51" t="s">
        <v>6068</v>
      </c>
      <c r="E51">
        <f t="shared" si="1"/>
        <v>76</v>
      </c>
    </row>
    <row r="52" spans="1:5" x14ac:dyDescent="0.2">
      <c r="A52" t="s">
        <v>22430</v>
      </c>
      <c r="B52" t="s">
        <v>22368</v>
      </c>
      <c r="C52" t="s">
        <v>22431</v>
      </c>
      <c r="D52" t="s">
        <v>6068</v>
      </c>
      <c r="E52">
        <f t="shared" si="1"/>
        <v>110</v>
      </c>
    </row>
    <row r="53" spans="1:5" x14ac:dyDescent="0.2">
      <c r="A53" t="s">
        <v>22432</v>
      </c>
      <c r="B53" t="s">
        <v>22368</v>
      </c>
      <c r="C53" t="s">
        <v>22433</v>
      </c>
      <c r="D53" t="s">
        <v>6068</v>
      </c>
      <c r="E53">
        <f t="shared" si="1"/>
        <v>102</v>
      </c>
    </row>
    <row r="54" spans="1:5" x14ac:dyDescent="0.2">
      <c r="A54" t="s">
        <v>10128</v>
      </c>
      <c r="B54" t="s">
        <v>22368</v>
      </c>
      <c r="C54" t="s">
        <v>10567</v>
      </c>
      <c r="D54" t="s">
        <v>6068</v>
      </c>
      <c r="E54">
        <f t="shared" si="1"/>
        <v>97</v>
      </c>
    </row>
    <row r="55" spans="1:5" x14ac:dyDescent="0.2">
      <c r="A55" t="s">
        <v>22434</v>
      </c>
      <c r="B55" t="s">
        <v>22368</v>
      </c>
      <c r="C55" t="s">
        <v>22435</v>
      </c>
      <c r="D55" t="s">
        <v>6068</v>
      </c>
      <c r="E55">
        <f t="shared" si="1"/>
        <v>96</v>
      </c>
    </row>
    <row r="56" spans="1:5" x14ac:dyDescent="0.2">
      <c r="A56" t="s">
        <v>22436</v>
      </c>
      <c r="B56" t="s">
        <v>22368</v>
      </c>
      <c r="C56" t="s">
        <v>22437</v>
      </c>
      <c r="D56" t="s">
        <v>6068</v>
      </c>
      <c r="E56">
        <f t="shared" si="1"/>
        <v>300</v>
      </c>
    </row>
    <row r="57" spans="1:5" x14ac:dyDescent="0.2">
      <c r="A57" t="s">
        <v>9136</v>
      </c>
      <c r="B57" t="s">
        <v>22368</v>
      </c>
      <c r="C57" t="s">
        <v>10566</v>
      </c>
      <c r="D57" t="s">
        <v>6068</v>
      </c>
      <c r="E57">
        <f t="shared" si="1"/>
        <v>300</v>
      </c>
    </row>
    <row r="58" spans="1:5" x14ac:dyDescent="0.2">
      <c r="A58" t="s">
        <v>22438</v>
      </c>
      <c r="B58" t="s">
        <v>22368</v>
      </c>
      <c r="C58" t="s">
        <v>22439</v>
      </c>
      <c r="D58" t="s">
        <v>6068</v>
      </c>
      <c r="E58">
        <f t="shared" si="1"/>
        <v>101</v>
      </c>
    </row>
    <row r="59" spans="1:5" x14ac:dyDescent="0.2">
      <c r="A59" t="s">
        <v>14789</v>
      </c>
      <c r="B59" t="s">
        <v>22368</v>
      </c>
      <c r="C59" t="s">
        <v>14790</v>
      </c>
      <c r="D59" t="s">
        <v>6068</v>
      </c>
      <c r="E59">
        <f t="shared" si="1"/>
        <v>101</v>
      </c>
    </row>
    <row r="60" spans="1:5" x14ac:dyDescent="0.2">
      <c r="A60" t="s">
        <v>22440</v>
      </c>
      <c r="B60" t="s">
        <v>22368</v>
      </c>
      <c r="C60" t="s">
        <v>22441</v>
      </c>
      <c r="D60" t="s">
        <v>6068</v>
      </c>
      <c r="E60">
        <f t="shared" si="1"/>
        <v>100</v>
      </c>
    </row>
    <row r="61" spans="1:5" x14ac:dyDescent="0.2">
      <c r="A61" t="s">
        <v>22442</v>
      </c>
      <c r="B61" t="s">
        <v>22368</v>
      </c>
      <c r="C61" t="s">
        <v>22443</v>
      </c>
      <c r="D61" t="s">
        <v>6068</v>
      </c>
      <c r="E61">
        <f t="shared" si="1"/>
        <v>150</v>
      </c>
    </row>
    <row r="62" spans="1:5" x14ac:dyDescent="0.2">
      <c r="A62" t="s">
        <v>22444</v>
      </c>
      <c r="B62" t="s">
        <v>22368</v>
      </c>
      <c r="C62" t="s">
        <v>22445</v>
      </c>
      <c r="D62" t="s">
        <v>6068</v>
      </c>
      <c r="E62">
        <f t="shared" si="1"/>
        <v>74</v>
      </c>
    </row>
    <row r="63" spans="1:5" x14ac:dyDescent="0.2">
      <c r="A63" t="s">
        <v>22446</v>
      </c>
      <c r="B63" t="s">
        <v>22368</v>
      </c>
      <c r="C63" t="s">
        <v>22447</v>
      </c>
      <c r="D63" t="s">
        <v>6068</v>
      </c>
      <c r="E63">
        <f t="shared" si="1"/>
        <v>74</v>
      </c>
    </row>
    <row r="64" spans="1:5" x14ac:dyDescent="0.2">
      <c r="A64" t="s">
        <v>22448</v>
      </c>
      <c r="B64" t="s">
        <v>22368</v>
      </c>
      <c r="C64" t="s">
        <v>22449</v>
      </c>
      <c r="D64" t="s">
        <v>6068</v>
      </c>
      <c r="E64">
        <f t="shared" si="1"/>
        <v>74</v>
      </c>
    </row>
    <row r="65" spans="1:5" x14ac:dyDescent="0.2">
      <c r="A65" t="s">
        <v>9933</v>
      </c>
      <c r="B65" t="s">
        <v>22368</v>
      </c>
      <c r="C65" t="s">
        <v>10574</v>
      </c>
      <c r="D65" t="s">
        <v>6068</v>
      </c>
      <c r="E65">
        <f t="shared" si="1"/>
        <v>66</v>
      </c>
    </row>
    <row r="66" spans="1:5" x14ac:dyDescent="0.2">
      <c r="A66" t="s">
        <v>22450</v>
      </c>
      <c r="B66" t="s">
        <v>22368</v>
      </c>
      <c r="C66" t="s">
        <v>22451</v>
      </c>
      <c r="D66" t="s">
        <v>6068</v>
      </c>
      <c r="E66">
        <f t="shared" si="1"/>
        <v>66</v>
      </c>
    </row>
    <row r="67" spans="1:5" x14ac:dyDescent="0.2">
      <c r="A67" t="s">
        <v>9608</v>
      </c>
      <c r="B67" t="s">
        <v>22368</v>
      </c>
      <c r="C67" t="s">
        <v>10575</v>
      </c>
      <c r="D67" t="s">
        <v>6068</v>
      </c>
      <c r="E67">
        <f t="shared" si="1"/>
        <v>66</v>
      </c>
    </row>
    <row r="68" spans="1:5" x14ac:dyDescent="0.2">
      <c r="A68" t="s">
        <v>22452</v>
      </c>
      <c r="B68" t="s">
        <v>22368</v>
      </c>
      <c r="C68" t="s">
        <v>22453</v>
      </c>
      <c r="D68" t="s">
        <v>6068</v>
      </c>
      <c r="E68">
        <f t="shared" si="1"/>
        <v>66</v>
      </c>
    </row>
    <row r="69" spans="1:5" x14ac:dyDescent="0.2">
      <c r="A69" t="s">
        <v>22454</v>
      </c>
      <c r="B69" t="s">
        <v>22368</v>
      </c>
      <c r="C69" t="s">
        <v>22455</v>
      </c>
      <c r="D69" t="s">
        <v>6068</v>
      </c>
      <c r="E69">
        <f t="shared" si="1"/>
        <v>66</v>
      </c>
    </row>
    <row r="70" spans="1:5" x14ac:dyDescent="0.2">
      <c r="A70" t="s">
        <v>22456</v>
      </c>
      <c r="B70" t="s">
        <v>22368</v>
      </c>
      <c r="C70" t="s">
        <v>22457</v>
      </c>
      <c r="D70" t="s">
        <v>6068</v>
      </c>
      <c r="E70">
        <f t="shared" si="1"/>
        <v>66</v>
      </c>
    </row>
    <row r="71" spans="1:5" x14ac:dyDescent="0.2">
      <c r="A71" t="s">
        <v>8672</v>
      </c>
      <c r="B71" t="s">
        <v>22368</v>
      </c>
      <c r="C71" t="s">
        <v>10576</v>
      </c>
      <c r="D71" t="s">
        <v>6068</v>
      </c>
      <c r="E71">
        <f t="shared" si="1"/>
        <v>66</v>
      </c>
    </row>
    <row r="72" spans="1:5" x14ac:dyDescent="0.2">
      <c r="A72" t="s">
        <v>22458</v>
      </c>
      <c r="B72" t="s">
        <v>22368</v>
      </c>
      <c r="C72" t="s">
        <v>22459</v>
      </c>
      <c r="D72" t="s">
        <v>6068</v>
      </c>
      <c r="E72">
        <f t="shared" si="1"/>
        <v>65</v>
      </c>
    </row>
    <row r="73" spans="1:5" x14ac:dyDescent="0.2">
      <c r="A73" t="s">
        <v>22460</v>
      </c>
      <c r="B73" t="s">
        <v>22368</v>
      </c>
      <c r="C73" t="s">
        <v>22461</v>
      </c>
      <c r="D73" t="s">
        <v>6068</v>
      </c>
      <c r="E73">
        <f t="shared" si="1"/>
        <v>65</v>
      </c>
    </row>
    <row r="74" spans="1:5" x14ac:dyDescent="0.2">
      <c r="A74" t="s">
        <v>22462</v>
      </c>
      <c r="B74" t="s">
        <v>22368</v>
      </c>
      <c r="C74" t="s">
        <v>22463</v>
      </c>
      <c r="D74" t="s">
        <v>6068</v>
      </c>
      <c r="E74">
        <f t="shared" si="1"/>
        <v>65</v>
      </c>
    </row>
    <row r="75" spans="1:5" x14ac:dyDescent="0.2">
      <c r="A75" t="s">
        <v>22464</v>
      </c>
      <c r="B75" t="s">
        <v>22368</v>
      </c>
      <c r="C75" t="s">
        <v>22465</v>
      </c>
      <c r="D75" t="s">
        <v>6068</v>
      </c>
      <c r="E75">
        <f t="shared" si="1"/>
        <v>65</v>
      </c>
    </row>
    <row r="76" spans="1:5" x14ac:dyDescent="0.2">
      <c r="A76" t="s">
        <v>22232</v>
      </c>
      <c r="B76" t="s">
        <v>22368</v>
      </c>
      <c r="C76" t="s">
        <v>22466</v>
      </c>
      <c r="D76" t="s">
        <v>6068</v>
      </c>
      <c r="E76">
        <f t="shared" ref="E76:E139" si="2">+LEN(C76)</f>
        <v>53</v>
      </c>
    </row>
    <row r="77" spans="1:5" x14ac:dyDescent="0.2">
      <c r="A77" t="s">
        <v>22467</v>
      </c>
      <c r="B77" t="s">
        <v>22368</v>
      </c>
      <c r="C77" t="s">
        <v>22468</v>
      </c>
      <c r="D77" t="s">
        <v>6068</v>
      </c>
      <c r="E77">
        <f t="shared" si="2"/>
        <v>53</v>
      </c>
    </row>
    <row r="78" spans="1:5" x14ac:dyDescent="0.2">
      <c r="A78" t="s">
        <v>22469</v>
      </c>
      <c r="B78" t="s">
        <v>22368</v>
      </c>
      <c r="C78" t="s">
        <v>22470</v>
      </c>
      <c r="D78" t="s">
        <v>6068</v>
      </c>
      <c r="E78">
        <f t="shared" si="2"/>
        <v>53</v>
      </c>
    </row>
    <row r="79" spans="1:5" x14ac:dyDescent="0.2">
      <c r="A79" t="s">
        <v>22471</v>
      </c>
      <c r="B79" t="s">
        <v>22368</v>
      </c>
      <c r="C79" t="s">
        <v>22472</v>
      </c>
      <c r="D79" t="s">
        <v>6068</v>
      </c>
      <c r="E79">
        <f t="shared" si="2"/>
        <v>53</v>
      </c>
    </row>
    <row r="80" spans="1:5" x14ac:dyDescent="0.2">
      <c r="A80" t="s">
        <v>9893</v>
      </c>
      <c r="B80" t="s">
        <v>22368</v>
      </c>
      <c r="C80" t="s">
        <v>10571</v>
      </c>
      <c r="D80" t="s">
        <v>6068</v>
      </c>
      <c r="E80">
        <f t="shared" si="2"/>
        <v>53</v>
      </c>
    </row>
    <row r="81" spans="1:5" x14ac:dyDescent="0.2">
      <c r="A81" t="s">
        <v>22473</v>
      </c>
      <c r="B81" t="s">
        <v>22368</v>
      </c>
      <c r="C81" t="s">
        <v>22474</v>
      </c>
      <c r="D81" t="s">
        <v>6068</v>
      </c>
      <c r="E81">
        <f t="shared" si="2"/>
        <v>53</v>
      </c>
    </row>
    <row r="82" spans="1:5" x14ac:dyDescent="0.2">
      <c r="A82" t="s">
        <v>22475</v>
      </c>
      <c r="B82" t="s">
        <v>22368</v>
      </c>
      <c r="C82" t="s">
        <v>22476</v>
      </c>
      <c r="D82" t="s">
        <v>6068</v>
      </c>
      <c r="E82">
        <f t="shared" si="2"/>
        <v>53</v>
      </c>
    </row>
    <row r="83" spans="1:5" x14ac:dyDescent="0.2">
      <c r="A83" t="s">
        <v>22477</v>
      </c>
      <c r="B83" t="s">
        <v>22368</v>
      </c>
      <c r="C83" t="s">
        <v>22478</v>
      </c>
      <c r="D83" t="s">
        <v>6068</v>
      </c>
      <c r="E83">
        <f t="shared" si="2"/>
        <v>53</v>
      </c>
    </row>
    <row r="84" spans="1:5" x14ac:dyDescent="0.2">
      <c r="A84" t="s">
        <v>22479</v>
      </c>
      <c r="B84" t="s">
        <v>22368</v>
      </c>
      <c r="C84" t="s">
        <v>22480</v>
      </c>
      <c r="D84" t="s">
        <v>6068</v>
      </c>
      <c r="E84">
        <f t="shared" si="2"/>
        <v>53</v>
      </c>
    </row>
    <row r="85" spans="1:5" x14ac:dyDescent="0.2">
      <c r="A85" t="s">
        <v>22481</v>
      </c>
      <c r="B85" t="s">
        <v>22368</v>
      </c>
      <c r="C85" t="s">
        <v>22482</v>
      </c>
      <c r="D85" t="s">
        <v>6068</v>
      </c>
      <c r="E85">
        <f t="shared" si="2"/>
        <v>53</v>
      </c>
    </row>
    <row r="86" spans="1:5" x14ac:dyDescent="0.2">
      <c r="A86" t="s">
        <v>22483</v>
      </c>
      <c r="B86" t="s">
        <v>22368</v>
      </c>
      <c r="C86" t="s">
        <v>22484</v>
      </c>
      <c r="D86" t="s">
        <v>6068</v>
      </c>
      <c r="E86">
        <f t="shared" si="2"/>
        <v>53</v>
      </c>
    </row>
    <row r="87" spans="1:5" x14ac:dyDescent="0.2">
      <c r="A87" t="s">
        <v>9306</v>
      </c>
      <c r="B87" t="s">
        <v>22368</v>
      </c>
      <c r="C87" t="s">
        <v>10572</v>
      </c>
      <c r="D87" t="s">
        <v>6068</v>
      </c>
      <c r="E87">
        <f t="shared" si="2"/>
        <v>53</v>
      </c>
    </row>
    <row r="88" spans="1:5" x14ac:dyDescent="0.2">
      <c r="A88" t="s">
        <v>22485</v>
      </c>
      <c r="B88" t="s">
        <v>22368</v>
      </c>
      <c r="C88" t="s">
        <v>22486</v>
      </c>
      <c r="D88" t="s">
        <v>6068</v>
      </c>
      <c r="E88">
        <f t="shared" si="2"/>
        <v>53</v>
      </c>
    </row>
    <row r="89" spans="1:5" x14ac:dyDescent="0.2">
      <c r="A89" t="s">
        <v>22487</v>
      </c>
      <c r="B89" t="s">
        <v>22368</v>
      </c>
      <c r="C89" t="s">
        <v>22488</v>
      </c>
      <c r="D89" t="s">
        <v>6068</v>
      </c>
      <c r="E89">
        <f t="shared" si="2"/>
        <v>87</v>
      </c>
    </row>
    <row r="90" spans="1:5" x14ac:dyDescent="0.2">
      <c r="A90" t="s">
        <v>22489</v>
      </c>
      <c r="B90" t="s">
        <v>22368</v>
      </c>
      <c r="C90" t="s">
        <v>22490</v>
      </c>
      <c r="D90" t="s">
        <v>6068</v>
      </c>
      <c r="E90">
        <f t="shared" si="2"/>
        <v>81</v>
      </c>
    </row>
    <row r="91" spans="1:5" x14ac:dyDescent="0.2">
      <c r="A91" t="s">
        <v>22491</v>
      </c>
      <c r="B91" t="s">
        <v>22368</v>
      </c>
      <c r="C91" t="s">
        <v>22492</v>
      </c>
      <c r="D91" t="s">
        <v>6068</v>
      </c>
      <c r="E91">
        <f t="shared" si="2"/>
        <v>81</v>
      </c>
    </row>
    <row r="92" spans="1:5" x14ac:dyDescent="0.2">
      <c r="A92" t="s">
        <v>22493</v>
      </c>
      <c r="B92" t="s">
        <v>22368</v>
      </c>
      <c r="C92" t="s">
        <v>22494</v>
      </c>
      <c r="D92" t="s">
        <v>6068</v>
      </c>
      <c r="E92">
        <f t="shared" si="2"/>
        <v>82</v>
      </c>
    </row>
    <row r="93" spans="1:5" x14ac:dyDescent="0.2">
      <c r="A93" t="s">
        <v>22495</v>
      </c>
      <c r="B93" t="s">
        <v>22368</v>
      </c>
      <c r="C93" t="s">
        <v>22496</v>
      </c>
      <c r="D93" t="s">
        <v>6068</v>
      </c>
      <c r="E93">
        <f t="shared" si="2"/>
        <v>82</v>
      </c>
    </row>
    <row r="94" spans="1:5" x14ac:dyDescent="0.2">
      <c r="A94" t="s">
        <v>11595</v>
      </c>
      <c r="B94" t="s">
        <v>22368</v>
      </c>
      <c r="C94" t="s">
        <v>12585</v>
      </c>
      <c r="D94" t="s">
        <v>6068</v>
      </c>
      <c r="E94">
        <f t="shared" si="2"/>
        <v>204</v>
      </c>
    </row>
    <row r="95" spans="1:5" x14ac:dyDescent="0.2">
      <c r="A95" t="s">
        <v>22497</v>
      </c>
      <c r="B95" t="s">
        <v>22368</v>
      </c>
      <c r="C95" t="s">
        <v>22498</v>
      </c>
      <c r="D95" t="s">
        <v>6068</v>
      </c>
      <c r="E95">
        <f t="shared" si="2"/>
        <v>108</v>
      </c>
    </row>
    <row r="96" spans="1:5" x14ac:dyDescent="0.2">
      <c r="A96" t="s">
        <v>22499</v>
      </c>
      <c r="B96" t="s">
        <v>22368</v>
      </c>
      <c r="C96" t="s">
        <v>22500</v>
      </c>
      <c r="D96" t="s">
        <v>6068</v>
      </c>
      <c r="E96">
        <f t="shared" si="2"/>
        <v>69</v>
      </c>
    </row>
    <row r="97" spans="1:5" x14ac:dyDescent="0.2">
      <c r="A97" t="s">
        <v>22501</v>
      </c>
      <c r="B97" t="s">
        <v>22368</v>
      </c>
      <c r="C97" t="s">
        <v>22502</v>
      </c>
      <c r="D97" t="s">
        <v>6068</v>
      </c>
      <c r="E97">
        <f t="shared" si="2"/>
        <v>69</v>
      </c>
    </row>
    <row r="98" spans="1:5" x14ac:dyDescent="0.2">
      <c r="A98" t="s">
        <v>22503</v>
      </c>
      <c r="B98" t="s">
        <v>22368</v>
      </c>
      <c r="C98" t="s">
        <v>22504</v>
      </c>
      <c r="D98" t="s">
        <v>6068</v>
      </c>
      <c r="E98">
        <f t="shared" si="2"/>
        <v>298</v>
      </c>
    </row>
    <row r="99" spans="1:5" x14ac:dyDescent="0.2">
      <c r="A99" t="s">
        <v>9498</v>
      </c>
      <c r="B99" t="s">
        <v>22368</v>
      </c>
      <c r="C99" t="s">
        <v>10688</v>
      </c>
      <c r="D99" t="s">
        <v>6068</v>
      </c>
      <c r="E99">
        <f t="shared" si="2"/>
        <v>298</v>
      </c>
    </row>
    <row r="100" spans="1:5" x14ac:dyDescent="0.2">
      <c r="A100" t="s">
        <v>22505</v>
      </c>
      <c r="B100" t="s">
        <v>22368</v>
      </c>
      <c r="C100" t="s">
        <v>22506</v>
      </c>
      <c r="D100" t="s">
        <v>6068</v>
      </c>
      <c r="E100">
        <f t="shared" si="2"/>
        <v>70</v>
      </c>
    </row>
    <row r="101" spans="1:5" x14ac:dyDescent="0.2">
      <c r="A101" t="s">
        <v>22507</v>
      </c>
      <c r="B101" t="s">
        <v>22368</v>
      </c>
      <c r="C101" t="s">
        <v>22508</v>
      </c>
      <c r="D101" t="s">
        <v>6068</v>
      </c>
      <c r="E101">
        <f t="shared" si="2"/>
        <v>70</v>
      </c>
    </row>
    <row r="102" spans="1:5" x14ac:dyDescent="0.2">
      <c r="A102" t="s">
        <v>22509</v>
      </c>
      <c r="B102" t="s">
        <v>22368</v>
      </c>
      <c r="C102" t="s">
        <v>22510</v>
      </c>
      <c r="D102" t="s">
        <v>6068</v>
      </c>
      <c r="E102">
        <f t="shared" si="2"/>
        <v>70</v>
      </c>
    </row>
    <row r="103" spans="1:5" x14ac:dyDescent="0.2">
      <c r="A103" t="s">
        <v>14791</v>
      </c>
      <c r="B103" t="s">
        <v>22368</v>
      </c>
      <c r="C103" t="s">
        <v>14792</v>
      </c>
      <c r="D103" t="s">
        <v>6068</v>
      </c>
      <c r="E103">
        <f t="shared" si="2"/>
        <v>72</v>
      </c>
    </row>
    <row r="104" spans="1:5" x14ac:dyDescent="0.2">
      <c r="A104" t="s">
        <v>22511</v>
      </c>
      <c r="B104" t="s">
        <v>22368</v>
      </c>
      <c r="C104" t="s">
        <v>22512</v>
      </c>
      <c r="D104" t="s">
        <v>6068</v>
      </c>
      <c r="E104">
        <f t="shared" si="2"/>
        <v>71</v>
      </c>
    </row>
    <row r="105" spans="1:5" x14ac:dyDescent="0.2">
      <c r="A105" t="s">
        <v>22513</v>
      </c>
      <c r="B105" t="s">
        <v>22368</v>
      </c>
      <c r="C105" t="s">
        <v>22514</v>
      </c>
      <c r="D105" t="s">
        <v>6068</v>
      </c>
      <c r="E105">
        <f t="shared" si="2"/>
        <v>71</v>
      </c>
    </row>
    <row r="106" spans="1:5" x14ac:dyDescent="0.2">
      <c r="A106" t="s">
        <v>22515</v>
      </c>
      <c r="B106" t="s">
        <v>22368</v>
      </c>
      <c r="C106" t="s">
        <v>22516</v>
      </c>
      <c r="D106" t="s">
        <v>6068</v>
      </c>
      <c r="E106">
        <f t="shared" si="2"/>
        <v>82</v>
      </c>
    </row>
    <row r="107" spans="1:5" x14ac:dyDescent="0.2">
      <c r="A107" t="s">
        <v>11102</v>
      </c>
      <c r="B107" t="s">
        <v>22368</v>
      </c>
      <c r="C107" t="s">
        <v>12572</v>
      </c>
      <c r="D107" t="s">
        <v>6068</v>
      </c>
      <c r="E107">
        <f t="shared" si="2"/>
        <v>82</v>
      </c>
    </row>
    <row r="108" spans="1:5" x14ac:dyDescent="0.2">
      <c r="A108" t="s">
        <v>22517</v>
      </c>
      <c r="B108" t="s">
        <v>22368</v>
      </c>
      <c r="C108" t="s">
        <v>22518</v>
      </c>
      <c r="D108" t="s">
        <v>6068</v>
      </c>
      <c r="E108">
        <f t="shared" si="2"/>
        <v>119</v>
      </c>
    </row>
    <row r="109" spans="1:5" x14ac:dyDescent="0.2">
      <c r="A109" t="s">
        <v>22519</v>
      </c>
      <c r="B109" t="s">
        <v>22368</v>
      </c>
      <c r="C109" t="s">
        <v>22520</v>
      </c>
      <c r="D109" t="s">
        <v>6068</v>
      </c>
      <c r="E109">
        <f t="shared" si="2"/>
        <v>119</v>
      </c>
    </row>
    <row r="110" spans="1:5" x14ac:dyDescent="0.2">
      <c r="A110" t="s">
        <v>22521</v>
      </c>
      <c r="B110" t="s">
        <v>22368</v>
      </c>
      <c r="C110" t="s">
        <v>22522</v>
      </c>
      <c r="D110" t="s">
        <v>6068</v>
      </c>
      <c r="E110">
        <f t="shared" si="2"/>
        <v>104</v>
      </c>
    </row>
    <row r="111" spans="1:5" x14ac:dyDescent="0.2">
      <c r="A111" t="s">
        <v>22523</v>
      </c>
      <c r="B111" t="s">
        <v>22368</v>
      </c>
      <c r="C111" t="s">
        <v>22524</v>
      </c>
      <c r="D111" t="s">
        <v>6068</v>
      </c>
      <c r="E111">
        <f t="shared" si="2"/>
        <v>136</v>
      </c>
    </row>
    <row r="112" spans="1:5" x14ac:dyDescent="0.2">
      <c r="A112" t="s">
        <v>22525</v>
      </c>
      <c r="B112" t="s">
        <v>22368</v>
      </c>
      <c r="C112" t="s">
        <v>22526</v>
      </c>
      <c r="D112" t="s">
        <v>6068</v>
      </c>
      <c r="E112">
        <f t="shared" si="2"/>
        <v>115</v>
      </c>
    </row>
    <row r="113" spans="1:5" x14ac:dyDescent="0.2">
      <c r="A113" t="s">
        <v>22527</v>
      </c>
      <c r="B113" t="s">
        <v>22368</v>
      </c>
      <c r="C113" t="s">
        <v>22528</v>
      </c>
      <c r="D113" t="s">
        <v>6068</v>
      </c>
      <c r="E113">
        <f t="shared" si="2"/>
        <v>115</v>
      </c>
    </row>
    <row r="114" spans="1:5" x14ac:dyDescent="0.2">
      <c r="A114" t="s">
        <v>22527</v>
      </c>
      <c r="B114" t="s">
        <v>22368</v>
      </c>
      <c r="C114" t="s">
        <v>22529</v>
      </c>
      <c r="D114" t="s">
        <v>6068</v>
      </c>
      <c r="E114">
        <f t="shared" si="2"/>
        <v>115</v>
      </c>
    </row>
    <row r="115" spans="1:5" x14ac:dyDescent="0.2">
      <c r="A115" t="s">
        <v>22530</v>
      </c>
      <c r="B115" t="s">
        <v>22368</v>
      </c>
      <c r="C115" t="s">
        <v>22531</v>
      </c>
      <c r="D115" t="s">
        <v>6068</v>
      </c>
      <c r="E115">
        <f t="shared" si="2"/>
        <v>115</v>
      </c>
    </row>
    <row r="116" spans="1:5" x14ac:dyDescent="0.2">
      <c r="A116" t="s">
        <v>22532</v>
      </c>
      <c r="B116" t="s">
        <v>22368</v>
      </c>
      <c r="C116" t="s">
        <v>22533</v>
      </c>
      <c r="D116" t="s">
        <v>6068</v>
      </c>
      <c r="E116">
        <f t="shared" si="2"/>
        <v>115</v>
      </c>
    </row>
    <row r="117" spans="1:5" x14ac:dyDescent="0.2">
      <c r="A117" t="s">
        <v>22534</v>
      </c>
      <c r="B117" t="s">
        <v>22368</v>
      </c>
      <c r="C117" t="s">
        <v>22528</v>
      </c>
      <c r="D117" t="s">
        <v>6068</v>
      </c>
      <c r="E117">
        <f t="shared" si="2"/>
        <v>115</v>
      </c>
    </row>
    <row r="118" spans="1:5" x14ac:dyDescent="0.2">
      <c r="A118" t="s">
        <v>22535</v>
      </c>
      <c r="B118" t="s">
        <v>22368</v>
      </c>
      <c r="C118" t="s">
        <v>22536</v>
      </c>
      <c r="D118" t="s">
        <v>6068</v>
      </c>
      <c r="E118">
        <f t="shared" si="2"/>
        <v>90</v>
      </c>
    </row>
    <row r="119" spans="1:5" x14ac:dyDescent="0.2">
      <c r="A119" t="s">
        <v>22537</v>
      </c>
      <c r="B119" t="s">
        <v>22368</v>
      </c>
      <c r="C119" t="s">
        <v>22538</v>
      </c>
      <c r="D119" t="s">
        <v>6068</v>
      </c>
      <c r="E119">
        <f t="shared" si="2"/>
        <v>90</v>
      </c>
    </row>
    <row r="120" spans="1:5" x14ac:dyDescent="0.2">
      <c r="A120" t="s">
        <v>22537</v>
      </c>
      <c r="B120" t="s">
        <v>22368</v>
      </c>
      <c r="C120" t="s">
        <v>10583</v>
      </c>
      <c r="D120" t="s">
        <v>6068</v>
      </c>
      <c r="E120">
        <f t="shared" si="2"/>
        <v>90</v>
      </c>
    </row>
    <row r="121" spans="1:5" x14ac:dyDescent="0.2">
      <c r="A121" t="s">
        <v>22539</v>
      </c>
      <c r="B121" t="s">
        <v>22368</v>
      </c>
      <c r="C121" t="s">
        <v>22540</v>
      </c>
      <c r="D121" t="s">
        <v>6068</v>
      </c>
      <c r="E121">
        <f t="shared" si="2"/>
        <v>90</v>
      </c>
    </row>
    <row r="122" spans="1:5" x14ac:dyDescent="0.2">
      <c r="A122" t="s">
        <v>22541</v>
      </c>
      <c r="B122" t="s">
        <v>22368</v>
      </c>
      <c r="C122" t="s">
        <v>22542</v>
      </c>
      <c r="D122" t="s">
        <v>6068</v>
      </c>
      <c r="E122">
        <f t="shared" si="2"/>
        <v>90</v>
      </c>
    </row>
    <row r="123" spans="1:5" x14ac:dyDescent="0.2">
      <c r="A123" t="s">
        <v>10164</v>
      </c>
      <c r="B123" t="s">
        <v>22368</v>
      </c>
      <c r="C123" t="s">
        <v>10583</v>
      </c>
      <c r="D123" t="s">
        <v>6068</v>
      </c>
      <c r="E123">
        <f t="shared" si="2"/>
        <v>90</v>
      </c>
    </row>
    <row r="124" spans="1:5" x14ac:dyDescent="0.2">
      <c r="A124" t="s">
        <v>22543</v>
      </c>
      <c r="B124" t="s">
        <v>22368</v>
      </c>
      <c r="C124" t="s">
        <v>22544</v>
      </c>
      <c r="D124" t="s">
        <v>6068</v>
      </c>
      <c r="E124">
        <f t="shared" si="2"/>
        <v>91</v>
      </c>
    </row>
    <row r="125" spans="1:5" x14ac:dyDescent="0.2">
      <c r="A125" t="s">
        <v>22543</v>
      </c>
      <c r="B125" t="s">
        <v>22368</v>
      </c>
      <c r="C125" t="s">
        <v>22545</v>
      </c>
      <c r="D125" t="s">
        <v>6068</v>
      </c>
      <c r="E125">
        <f t="shared" si="2"/>
        <v>92</v>
      </c>
    </row>
    <row r="126" spans="1:5" x14ac:dyDescent="0.2">
      <c r="A126" t="s">
        <v>22546</v>
      </c>
      <c r="B126" t="s">
        <v>22368</v>
      </c>
      <c r="C126" t="s">
        <v>22547</v>
      </c>
      <c r="D126" t="s">
        <v>6068</v>
      </c>
      <c r="E126">
        <f t="shared" si="2"/>
        <v>91</v>
      </c>
    </row>
    <row r="127" spans="1:5" x14ac:dyDescent="0.2">
      <c r="A127" t="s">
        <v>22546</v>
      </c>
      <c r="B127" t="s">
        <v>22368</v>
      </c>
      <c r="C127" t="s">
        <v>22548</v>
      </c>
      <c r="D127" t="s">
        <v>6068</v>
      </c>
      <c r="E127">
        <f t="shared" si="2"/>
        <v>92</v>
      </c>
    </row>
    <row r="128" spans="1:5" x14ac:dyDescent="0.2">
      <c r="A128" t="s">
        <v>22549</v>
      </c>
      <c r="B128" t="s">
        <v>22368</v>
      </c>
      <c r="C128" t="s">
        <v>22550</v>
      </c>
      <c r="D128" t="s">
        <v>6068</v>
      </c>
      <c r="E128">
        <f t="shared" si="2"/>
        <v>92</v>
      </c>
    </row>
    <row r="129" spans="1:5" x14ac:dyDescent="0.2">
      <c r="A129" t="s">
        <v>22551</v>
      </c>
      <c r="B129" t="s">
        <v>22368</v>
      </c>
      <c r="C129" t="s">
        <v>22552</v>
      </c>
      <c r="D129" t="s">
        <v>6068</v>
      </c>
      <c r="E129">
        <f t="shared" si="2"/>
        <v>92</v>
      </c>
    </row>
    <row r="130" spans="1:5" x14ac:dyDescent="0.2">
      <c r="A130" t="s">
        <v>22553</v>
      </c>
      <c r="B130" t="s">
        <v>22368</v>
      </c>
      <c r="C130" t="s">
        <v>22554</v>
      </c>
      <c r="D130" t="s">
        <v>6068</v>
      </c>
      <c r="E130">
        <f t="shared" si="2"/>
        <v>92</v>
      </c>
    </row>
    <row r="131" spans="1:5" x14ac:dyDescent="0.2">
      <c r="A131" t="s">
        <v>22555</v>
      </c>
      <c r="B131" t="s">
        <v>22368</v>
      </c>
      <c r="C131" t="s">
        <v>22556</v>
      </c>
      <c r="D131" t="s">
        <v>6068</v>
      </c>
      <c r="E131">
        <f t="shared" si="2"/>
        <v>59</v>
      </c>
    </row>
    <row r="132" spans="1:5" x14ac:dyDescent="0.2">
      <c r="A132" t="s">
        <v>22557</v>
      </c>
      <c r="B132" t="s">
        <v>22368</v>
      </c>
      <c r="C132" t="s">
        <v>22558</v>
      </c>
      <c r="D132" t="s">
        <v>6068</v>
      </c>
      <c r="E132">
        <f t="shared" si="2"/>
        <v>59</v>
      </c>
    </row>
    <row r="133" spans="1:5" x14ac:dyDescent="0.2">
      <c r="A133" t="s">
        <v>22559</v>
      </c>
      <c r="B133" t="s">
        <v>22368</v>
      </c>
      <c r="C133" t="s">
        <v>22560</v>
      </c>
      <c r="D133" t="s">
        <v>6068</v>
      </c>
      <c r="E133">
        <f t="shared" si="2"/>
        <v>59</v>
      </c>
    </row>
    <row r="134" spans="1:5" x14ac:dyDescent="0.2">
      <c r="A134" t="s">
        <v>22561</v>
      </c>
      <c r="B134" t="s">
        <v>22368</v>
      </c>
      <c r="C134" t="s">
        <v>22562</v>
      </c>
      <c r="D134" t="s">
        <v>6068</v>
      </c>
      <c r="E134">
        <f t="shared" si="2"/>
        <v>59</v>
      </c>
    </row>
    <row r="135" spans="1:5" x14ac:dyDescent="0.2">
      <c r="A135" t="s">
        <v>22563</v>
      </c>
      <c r="B135" t="s">
        <v>22368</v>
      </c>
      <c r="C135" t="s">
        <v>22564</v>
      </c>
      <c r="D135" t="s">
        <v>6068</v>
      </c>
      <c r="E135">
        <f t="shared" si="2"/>
        <v>59</v>
      </c>
    </row>
    <row r="136" spans="1:5" x14ac:dyDescent="0.2">
      <c r="A136" t="s">
        <v>9971</v>
      </c>
      <c r="B136" t="s">
        <v>22368</v>
      </c>
      <c r="C136" t="s">
        <v>10578</v>
      </c>
      <c r="D136" t="s">
        <v>6068</v>
      </c>
      <c r="E136">
        <f t="shared" si="2"/>
        <v>59</v>
      </c>
    </row>
    <row r="137" spans="1:5" x14ac:dyDescent="0.2">
      <c r="A137" t="s">
        <v>22565</v>
      </c>
      <c r="B137" t="s">
        <v>22368</v>
      </c>
      <c r="C137" t="s">
        <v>22566</v>
      </c>
      <c r="D137" t="s">
        <v>6068</v>
      </c>
      <c r="E137">
        <f t="shared" si="2"/>
        <v>59</v>
      </c>
    </row>
    <row r="138" spans="1:5" x14ac:dyDescent="0.2">
      <c r="A138" t="s">
        <v>22567</v>
      </c>
      <c r="B138" t="s">
        <v>22368</v>
      </c>
      <c r="C138" t="s">
        <v>22568</v>
      </c>
      <c r="D138" t="s">
        <v>6068</v>
      </c>
      <c r="E138">
        <f t="shared" si="2"/>
        <v>59</v>
      </c>
    </row>
    <row r="139" spans="1:5" x14ac:dyDescent="0.2">
      <c r="A139" t="s">
        <v>22569</v>
      </c>
      <c r="B139" t="s">
        <v>22368</v>
      </c>
      <c r="C139" t="s">
        <v>22570</v>
      </c>
      <c r="D139" t="s">
        <v>6068</v>
      </c>
      <c r="E139">
        <f t="shared" si="2"/>
        <v>59</v>
      </c>
    </row>
    <row r="140" spans="1:5" x14ac:dyDescent="0.2">
      <c r="A140" t="s">
        <v>9196</v>
      </c>
      <c r="B140" t="s">
        <v>22368</v>
      </c>
      <c r="C140" t="s">
        <v>10579</v>
      </c>
      <c r="D140" t="s">
        <v>6068</v>
      </c>
      <c r="E140">
        <f t="shared" ref="E140:E203" si="3">+LEN(C140)</f>
        <v>59</v>
      </c>
    </row>
    <row r="141" spans="1:5" x14ac:dyDescent="0.2">
      <c r="A141" t="s">
        <v>22571</v>
      </c>
      <c r="B141" t="s">
        <v>22368</v>
      </c>
      <c r="C141" t="s">
        <v>22572</v>
      </c>
      <c r="D141" t="s">
        <v>6068</v>
      </c>
      <c r="E141">
        <f t="shared" si="3"/>
        <v>59</v>
      </c>
    </row>
    <row r="142" spans="1:5" x14ac:dyDescent="0.2">
      <c r="A142" t="s">
        <v>22573</v>
      </c>
      <c r="B142" t="s">
        <v>22368</v>
      </c>
      <c r="C142" t="s">
        <v>22574</v>
      </c>
      <c r="D142" t="s">
        <v>6068</v>
      </c>
      <c r="E142">
        <f t="shared" si="3"/>
        <v>59</v>
      </c>
    </row>
    <row r="143" spans="1:5" x14ac:dyDescent="0.2">
      <c r="A143" t="s">
        <v>22575</v>
      </c>
      <c r="B143" t="s">
        <v>22368</v>
      </c>
      <c r="C143" t="s">
        <v>22576</v>
      </c>
      <c r="D143" t="s">
        <v>6068</v>
      </c>
      <c r="E143">
        <f t="shared" si="3"/>
        <v>59</v>
      </c>
    </row>
    <row r="144" spans="1:5" x14ac:dyDescent="0.2">
      <c r="A144" t="s">
        <v>22577</v>
      </c>
      <c r="B144" t="s">
        <v>22368</v>
      </c>
      <c r="C144" t="s">
        <v>22578</v>
      </c>
      <c r="D144" t="s">
        <v>6068</v>
      </c>
      <c r="E144">
        <f t="shared" si="3"/>
        <v>59</v>
      </c>
    </row>
    <row r="145" spans="1:5" x14ac:dyDescent="0.2">
      <c r="A145" t="s">
        <v>22579</v>
      </c>
      <c r="B145" t="s">
        <v>22368</v>
      </c>
      <c r="C145" t="s">
        <v>22580</v>
      </c>
      <c r="D145" t="s">
        <v>6068</v>
      </c>
      <c r="E145">
        <f t="shared" si="3"/>
        <v>59</v>
      </c>
    </row>
    <row r="146" spans="1:5" x14ac:dyDescent="0.2">
      <c r="A146" t="s">
        <v>22581</v>
      </c>
      <c r="B146" t="s">
        <v>22368</v>
      </c>
      <c r="C146" t="s">
        <v>22582</v>
      </c>
      <c r="D146" t="s">
        <v>6068</v>
      </c>
      <c r="E146">
        <f t="shared" si="3"/>
        <v>59</v>
      </c>
    </row>
    <row r="147" spans="1:5" x14ac:dyDescent="0.2">
      <c r="A147" t="s">
        <v>22583</v>
      </c>
      <c r="B147" t="s">
        <v>22368</v>
      </c>
      <c r="C147" t="s">
        <v>22584</v>
      </c>
      <c r="D147" t="s">
        <v>6068</v>
      </c>
      <c r="E147">
        <f t="shared" si="3"/>
        <v>59</v>
      </c>
    </row>
    <row r="148" spans="1:5" x14ac:dyDescent="0.2">
      <c r="A148" t="s">
        <v>22585</v>
      </c>
      <c r="B148" t="s">
        <v>22368</v>
      </c>
      <c r="C148" t="s">
        <v>22586</v>
      </c>
      <c r="D148" t="s">
        <v>6068</v>
      </c>
      <c r="E148">
        <f t="shared" si="3"/>
        <v>59</v>
      </c>
    </row>
    <row r="149" spans="1:5" x14ac:dyDescent="0.2">
      <c r="A149" t="s">
        <v>9666</v>
      </c>
      <c r="B149" t="s">
        <v>22368</v>
      </c>
      <c r="C149" t="s">
        <v>10580</v>
      </c>
      <c r="D149" t="s">
        <v>6068</v>
      </c>
      <c r="E149">
        <f t="shared" si="3"/>
        <v>59</v>
      </c>
    </row>
    <row r="150" spans="1:5" x14ac:dyDescent="0.2">
      <c r="A150" t="s">
        <v>22587</v>
      </c>
      <c r="B150" t="s">
        <v>22368</v>
      </c>
      <c r="C150" t="s">
        <v>22588</v>
      </c>
      <c r="D150" t="s">
        <v>6068</v>
      </c>
      <c r="E150">
        <f t="shared" si="3"/>
        <v>59</v>
      </c>
    </row>
    <row r="151" spans="1:5" x14ac:dyDescent="0.2">
      <c r="A151" t="s">
        <v>22589</v>
      </c>
      <c r="B151" t="s">
        <v>22368</v>
      </c>
      <c r="C151" t="s">
        <v>22590</v>
      </c>
      <c r="D151" t="s">
        <v>6068</v>
      </c>
      <c r="E151">
        <f t="shared" si="3"/>
        <v>59</v>
      </c>
    </row>
    <row r="152" spans="1:5" x14ac:dyDescent="0.2">
      <c r="A152" t="s">
        <v>9364</v>
      </c>
      <c r="B152" t="s">
        <v>22368</v>
      </c>
      <c r="C152" t="s">
        <v>10581</v>
      </c>
      <c r="D152" t="s">
        <v>6068</v>
      </c>
      <c r="E152">
        <f t="shared" si="3"/>
        <v>59</v>
      </c>
    </row>
    <row r="153" spans="1:5" x14ac:dyDescent="0.2">
      <c r="A153" t="s">
        <v>22591</v>
      </c>
      <c r="B153" t="s">
        <v>22368</v>
      </c>
      <c r="C153" t="s">
        <v>22592</v>
      </c>
      <c r="D153" t="s">
        <v>6068</v>
      </c>
      <c r="E153">
        <f t="shared" si="3"/>
        <v>59</v>
      </c>
    </row>
    <row r="154" spans="1:5" x14ac:dyDescent="0.2">
      <c r="A154" t="s">
        <v>22593</v>
      </c>
      <c r="B154" t="s">
        <v>22368</v>
      </c>
      <c r="C154" t="s">
        <v>22594</v>
      </c>
      <c r="D154" t="s">
        <v>6068</v>
      </c>
      <c r="E154">
        <f t="shared" si="3"/>
        <v>59</v>
      </c>
    </row>
    <row r="155" spans="1:5" x14ac:dyDescent="0.2">
      <c r="A155" t="s">
        <v>8831</v>
      </c>
      <c r="B155" t="s">
        <v>22368</v>
      </c>
      <c r="C155" t="s">
        <v>10584</v>
      </c>
      <c r="D155" t="s">
        <v>6068</v>
      </c>
      <c r="E155">
        <f t="shared" si="3"/>
        <v>59</v>
      </c>
    </row>
    <row r="156" spans="1:5" x14ac:dyDescent="0.2">
      <c r="A156" t="s">
        <v>9780</v>
      </c>
      <c r="B156" t="s">
        <v>22368</v>
      </c>
      <c r="C156" t="s">
        <v>10585</v>
      </c>
      <c r="D156" t="s">
        <v>6068</v>
      </c>
      <c r="E156">
        <f t="shared" si="3"/>
        <v>59</v>
      </c>
    </row>
    <row r="157" spans="1:5" x14ac:dyDescent="0.2">
      <c r="A157" t="s">
        <v>9011</v>
      </c>
      <c r="B157" t="s">
        <v>22368</v>
      </c>
      <c r="C157" t="s">
        <v>10587</v>
      </c>
      <c r="D157" t="s">
        <v>6068</v>
      </c>
      <c r="E157">
        <f t="shared" si="3"/>
        <v>59</v>
      </c>
    </row>
    <row r="158" spans="1:5" x14ac:dyDescent="0.2">
      <c r="A158" t="s">
        <v>22595</v>
      </c>
      <c r="B158" t="s">
        <v>22368</v>
      </c>
      <c r="C158" t="s">
        <v>22596</v>
      </c>
      <c r="D158" t="s">
        <v>6068</v>
      </c>
      <c r="E158">
        <f t="shared" si="3"/>
        <v>128</v>
      </c>
    </row>
    <row r="159" spans="1:5" x14ac:dyDescent="0.2">
      <c r="A159" t="s">
        <v>22597</v>
      </c>
      <c r="B159" t="s">
        <v>22368</v>
      </c>
      <c r="C159" t="s">
        <v>22598</v>
      </c>
      <c r="D159" t="s">
        <v>6068</v>
      </c>
      <c r="E159">
        <f t="shared" si="3"/>
        <v>128</v>
      </c>
    </row>
    <row r="160" spans="1:5" x14ac:dyDescent="0.2">
      <c r="A160" t="s">
        <v>22599</v>
      </c>
      <c r="B160" t="s">
        <v>22368</v>
      </c>
      <c r="C160" t="s">
        <v>22600</v>
      </c>
      <c r="D160" t="s">
        <v>6068</v>
      </c>
      <c r="E160">
        <f t="shared" si="3"/>
        <v>128</v>
      </c>
    </row>
    <row r="161" spans="1:5" x14ac:dyDescent="0.2">
      <c r="A161" t="s">
        <v>22601</v>
      </c>
      <c r="B161" t="s">
        <v>22368</v>
      </c>
      <c r="C161" t="s">
        <v>22602</v>
      </c>
      <c r="D161" t="s">
        <v>6068</v>
      </c>
      <c r="E161">
        <f t="shared" si="3"/>
        <v>128</v>
      </c>
    </row>
    <row r="162" spans="1:5" x14ac:dyDescent="0.2">
      <c r="A162" t="s">
        <v>10127</v>
      </c>
      <c r="B162" t="s">
        <v>22368</v>
      </c>
      <c r="C162" t="s">
        <v>10586</v>
      </c>
      <c r="D162" t="s">
        <v>6068</v>
      </c>
      <c r="E162">
        <f t="shared" si="3"/>
        <v>128</v>
      </c>
    </row>
    <row r="163" spans="1:5" x14ac:dyDescent="0.2">
      <c r="A163" t="s">
        <v>22603</v>
      </c>
      <c r="B163" t="s">
        <v>22368</v>
      </c>
      <c r="C163" t="s">
        <v>22604</v>
      </c>
      <c r="D163" t="s">
        <v>6068</v>
      </c>
      <c r="E163">
        <f t="shared" si="3"/>
        <v>162</v>
      </c>
    </row>
    <row r="164" spans="1:5" x14ac:dyDescent="0.2">
      <c r="A164" t="s">
        <v>10165</v>
      </c>
      <c r="B164" t="s">
        <v>22368</v>
      </c>
      <c r="C164" t="s">
        <v>10573</v>
      </c>
      <c r="D164" t="s">
        <v>6068</v>
      </c>
      <c r="E164">
        <f t="shared" si="3"/>
        <v>162</v>
      </c>
    </row>
    <row r="165" spans="1:5" x14ac:dyDescent="0.2">
      <c r="A165" t="s">
        <v>11596</v>
      </c>
      <c r="B165" t="s">
        <v>22368</v>
      </c>
      <c r="C165" t="s">
        <v>12590</v>
      </c>
      <c r="D165" t="s">
        <v>6068</v>
      </c>
      <c r="E165">
        <f t="shared" si="3"/>
        <v>143</v>
      </c>
    </row>
    <row r="166" spans="1:5" x14ac:dyDescent="0.2">
      <c r="A166" t="s">
        <v>22605</v>
      </c>
      <c r="B166" t="s">
        <v>22368</v>
      </c>
      <c r="C166" t="s">
        <v>22606</v>
      </c>
      <c r="D166" t="s">
        <v>6068</v>
      </c>
      <c r="E166">
        <f t="shared" si="3"/>
        <v>70</v>
      </c>
    </row>
    <row r="167" spans="1:5" x14ac:dyDescent="0.2">
      <c r="A167" t="s">
        <v>22607</v>
      </c>
      <c r="B167" t="s">
        <v>22368</v>
      </c>
      <c r="C167" t="s">
        <v>22608</v>
      </c>
      <c r="D167" t="s">
        <v>6068</v>
      </c>
      <c r="E167">
        <f t="shared" si="3"/>
        <v>70</v>
      </c>
    </row>
    <row r="168" spans="1:5" x14ac:dyDescent="0.2">
      <c r="A168" t="s">
        <v>22609</v>
      </c>
      <c r="B168" t="s">
        <v>22368</v>
      </c>
      <c r="C168" t="s">
        <v>22610</v>
      </c>
      <c r="D168" t="s">
        <v>6068</v>
      </c>
      <c r="E168">
        <f t="shared" si="3"/>
        <v>67</v>
      </c>
    </row>
    <row r="169" spans="1:5" x14ac:dyDescent="0.2">
      <c r="A169" t="s">
        <v>22611</v>
      </c>
      <c r="B169" t="s">
        <v>22368</v>
      </c>
      <c r="C169" t="s">
        <v>22612</v>
      </c>
      <c r="D169" t="s">
        <v>6068</v>
      </c>
      <c r="E169">
        <f t="shared" si="3"/>
        <v>67</v>
      </c>
    </row>
    <row r="170" spans="1:5" x14ac:dyDescent="0.2">
      <c r="A170" t="s">
        <v>22613</v>
      </c>
      <c r="B170" t="s">
        <v>22368</v>
      </c>
      <c r="C170" t="s">
        <v>22614</v>
      </c>
      <c r="D170" t="s">
        <v>6068</v>
      </c>
      <c r="E170">
        <f t="shared" si="3"/>
        <v>144</v>
      </c>
    </row>
    <row r="171" spans="1:5" x14ac:dyDescent="0.2">
      <c r="A171" t="s">
        <v>11230</v>
      </c>
      <c r="B171" t="s">
        <v>22368</v>
      </c>
      <c r="C171" t="s">
        <v>12574</v>
      </c>
      <c r="D171" t="s">
        <v>6068</v>
      </c>
      <c r="E171">
        <f t="shared" si="3"/>
        <v>144</v>
      </c>
    </row>
    <row r="172" spans="1:5" x14ac:dyDescent="0.2">
      <c r="A172" t="s">
        <v>22615</v>
      </c>
      <c r="B172" t="s">
        <v>22368</v>
      </c>
      <c r="C172" t="s">
        <v>22616</v>
      </c>
      <c r="D172" t="s">
        <v>6068</v>
      </c>
      <c r="E172">
        <f t="shared" si="3"/>
        <v>65</v>
      </c>
    </row>
    <row r="173" spans="1:5" x14ac:dyDescent="0.2">
      <c r="A173" t="s">
        <v>22617</v>
      </c>
      <c r="B173" t="s">
        <v>22368</v>
      </c>
      <c r="C173" t="s">
        <v>22618</v>
      </c>
      <c r="D173" t="s">
        <v>6068</v>
      </c>
      <c r="E173">
        <f t="shared" si="3"/>
        <v>65</v>
      </c>
    </row>
    <row r="174" spans="1:5" x14ac:dyDescent="0.2">
      <c r="A174" t="s">
        <v>14795</v>
      </c>
      <c r="B174" t="s">
        <v>22368</v>
      </c>
      <c r="C174" t="s">
        <v>14796</v>
      </c>
      <c r="D174" t="s">
        <v>6068</v>
      </c>
      <c r="E174">
        <f t="shared" si="3"/>
        <v>65</v>
      </c>
    </row>
    <row r="175" spans="1:5" x14ac:dyDescent="0.2">
      <c r="A175" t="s">
        <v>22619</v>
      </c>
      <c r="B175" t="s">
        <v>22368</v>
      </c>
      <c r="C175" t="s">
        <v>22620</v>
      </c>
      <c r="D175" t="s">
        <v>6068</v>
      </c>
      <c r="E175">
        <f t="shared" si="3"/>
        <v>68</v>
      </c>
    </row>
    <row r="176" spans="1:5" x14ac:dyDescent="0.2">
      <c r="A176" t="s">
        <v>22621</v>
      </c>
      <c r="B176" t="s">
        <v>22368</v>
      </c>
      <c r="C176" t="s">
        <v>22622</v>
      </c>
      <c r="D176" t="s">
        <v>6068</v>
      </c>
      <c r="E176">
        <f t="shared" si="3"/>
        <v>79</v>
      </c>
    </row>
    <row r="177" spans="1:5" x14ac:dyDescent="0.2">
      <c r="A177" t="s">
        <v>14729</v>
      </c>
      <c r="B177" t="s">
        <v>22368</v>
      </c>
      <c r="C177" t="s">
        <v>14730</v>
      </c>
      <c r="D177" t="s">
        <v>6068</v>
      </c>
      <c r="E177">
        <f t="shared" si="3"/>
        <v>81</v>
      </c>
    </row>
    <row r="178" spans="1:5" x14ac:dyDescent="0.2">
      <c r="A178" t="s">
        <v>22623</v>
      </c>
      <c r="B178" t="s">
        <v>22368</v>
      </c>
      <c r="C178" t="s">
        <v>22624</v>
      </c>
      <c r="D178" t="s">
        <v>6068</v>
      </c>
      <c r="E178">
        <f t="shared" si="3"/>
        <v>74</v>
      </c>
    </row>
    <row r="179" spans="1:5" x14ac:dyDescent="0.2">
      <c r="A179" t="s">
        <v>22625</v>
      </c>
      <c r="B179" t="s">
        <v>22368</v>
      </c>
      <c r="C179" t="s">
        <v>22626</v>
      </c>
      <c r="D179" t="s">
        <v>6068</v>
      </c>
      <c r="E179">
        <f t="shared" si="3"/>
        <v>74</v>
      </c>
    </row>
    <row r="180" spans="1:5" x14ac:dyDescent="0.2">
      <c r="A180" t="s">
        <v>14797</v>
      </c>
      <c r="B180" t="s">
        <v>22368</v>
      </c>
      <c r="C180" t="s">
        <v>14798</v>
      </c>
      <c r="D180" t="s">
        <v>6068</v>
      </c>
      <c r="E180">
        <f t="shared" si="3"/>
        <v>74</v>
      </c>
    </row>
    <row r="181" spans="1:5" x14ac:dyDescent="0.2">
      <c r="A181" t="s">
        <v>22627</v>
      </c>
      <c r="B181" t="s">
        <v>22368</v>
      </c>
      <c r="C181" t="s">
        <v>22628</v>
      </c>
      <c r="D181" t="s">
        <v>6068</v>
      </c>
      <c r="E181">
        <f t="shared" si="3"/>
        <v>313</v>
      </c>
    </row>
    <row r="182" spans="1:5" x14ac:dyDescent="0.2">
      <c r="A182" t="s">
        <v>22629</v>
      </c>
      <c r="B182" t="s">
        <v>22368</v>
      </c>
      <c r="C182" t="s">
        <v>22630</v>
      </c>
      <c r="D182" t="s">
        <v>6068</v>
      </c>
      <c r="E182">
        <f t="shared" si="3"/>
        <v>313</v>
      </c>
    </row>
    <row r="183" spans="1:5" x14ac:dyDescent="0.2">
      <c r="A183" t="s">
        <v>22631</v>
      </c>
      <c r="B183" t="s">
        <v>22368</v>
      </c>
      <c r="C183" t="s">
        <v>22632</v>
      </c>
      <c r="D183" t="s">
        <v>6068</v>
      </c>
      <c r="E183">
        <f t="shared" si="3"/>
        <v>313</v>
      </c>
    </row>
    <row r="184" spans="1:5" x14ac:dyDescent="0.2">
      <c r="A184" t="s">
        <v>22633</v>
      </c>
      <c r="B184" t="s">
        <v>22368</v>
      </c>
      <c r="C184" t="s">
        <v>22634</v>
      </c>
      <c r="D184" t="s">
        <v>6068</v>
      </c>
      <c r="E184">
        <f t="shared" si="3"/>
        <v>313</v>
      </c>
    </row>
    <row r="185" spans="1:5" x14ac:dyDescent="0.2">
      <c r="A185" t="s">
        <v>10212</v>
      </c>
      <c r="B185" t="s">
        <v>22368</v>
      </c>
      <c r="C185" t="s">
        <v>10604</v>
      </c>
      <c r="D185" t="s">
        <v>6068</v>
      </c>
      <c r="E185">
        <f t="shared" si="3"/>
        <v>313</v>
      </c>
    </row>
    <row r="186" spans="1:5" x14ac:dyDescent="0.2">
      <c r="A186" t="s">
        <v>22635</v>
      </c>
      <c r="B186" t="s">
        <v>22368</v>
      </c>
      <c r="C186" t="s">
        <v>22636</v>
      </c>
      <c r="D186" t="s">
        <v>6068</v>
      </c>
      <c r="E186">
        <f t="shared" si="3"/>
        <v>133</v>
      </c>
    </row>
    <row r="187" spans="1:5" x14ac:dyDescent="0.2">
      <c r="A187" t="s">
        <v>22637</v>
      </c>
      <c r="B187" t="s">
        <v>22368</v>
      </c>
      <c r="C187" t="s">
        <v>22638</v>
      </c>
      <c r="D187" t="s">
        <v>6068</v>
      </c>
      <c r="E187">
        <f t="shared" si="3"/>
        <v>85</v>
      </c>
    </row>
    <row r="188" spans="1:5" x14ac:dyDescent="0.2">
      <c r="A188" t="s">
        <v>22639</v>
      </c>
      <c r="B188" t="s">
        <v>22368</v>
      </c>
      <c r="C188" t="s">
        <v>22640</v>
      </c>
      <c r="D188" t="s">
        <v>6068</v>
      </c>
      <c r="E188">
        <f t="shared" si="3"/>
        <v>85</v>
      </c>
    </row>
    <row r="189" spans="1:5" x14ac:dyDescent="0.2">
      <c r="A189" t="s">
        <v>22641</v>
      </c>
      <c r="B189" t="s">
        <v>22368</v>
      </c>
      <c r="C189" t="s">
        <v>22642</v>
      </c>
      <c r="D189" t="s">
        <v>6068</v>
      </c>
      <c r="E189">
        <f t="shared" si="3"/>
        <v>85</v>
      </c>
    </row>
    <row r="190" spans="1:5" x14ac:dyDescent="0.2">
      <c r="A190" t="s">
        <v>22643</v>
      </c>
      <c r="B190" t="s">
        <v>22368</v>
      </c>
      <c r="C190" t="s">
        <v>22644</v>
      </c>
      <c r="D190" t="s">
        <v>6068</v>
      </c>
      <c r="E190">
        <f t="shared" si="3"/>
        <v>85</v>
      </c>
    </row>
    <row r="191" spans="1:5" x14ac:dyDescent="0.2">
      <c r="A191" t="s">
        <v>8989</v>
      </c>
      <c r="B191" t="s">
        <v>22368</v>
      </c>
      <c r="C191" t="s">
        <v>10590</v>
      </c>
      <c r="D191" t="s">
        <v>6068</v>
      </c>
      <c r="E191">
        <f t="shared" si="3"/>
        <v>85</v>
      </c>
    </row>
    <row r="192" spans="1:5" x14ac:dyDescent="0.2">
      <c r="A192" t="s">
        <v>22645</v>
      </c>
      <c r="B192" t="s">
        <v>22368</v>
      </c>
      <c r="C192" t="s">
        <v>22646</v>
      </c>
      <c r="D192" t="s">
        <v>6068</v>
      </c>
      <c r="E192">
        <f t="shared" si="3"/>
        <v>63</v>
      </c>
    </row>
    <row r="193" spans="1:5" x14ac:dyDescent="0.2">
      <c r="A193" t="s">
        <v>22647</v>
      </c>
      <c r="B193" t="s">
        <v>22368</v>
      </c>
      <c r="C193" t="s">
        <v>22648</v>
      </c>
      <c r="D193" t="s">
        <v>6068</v>
      </c>
      <c r="E193">
        <f t="shared" si="3"/>
        <v>63</v>
      </c>
    </row>
    <row r="194" spans="1:5" x14ac:dyDescent="0.2">
      <c r="A194" t="s">
        <v>14731</v>
      </c>
      <c r="B194" t="s">
        <v>22368</v>
      </c>
      <c r="C194" t="s">
        <v>14732</v>
      </c>
      <c r="D194" t="s">
        <v>6068</v>
      </c>
      <c r="E194">
        <f t="shared" si="3"/>
        <v>63</v>
      </c>
    </row>
    <row r="195" spans="1:5" x14ac:dyDescent="0.2">
      <c r="A195" t="s">
        <v>22649</v>
      </c>
      <c r="B195" t="s">
        <v>22368</v>
      </c>
      <c r="C195" t="s">
        <v>22650</v>
      </c>
      <c r="D195" t="s">
        <v>6068</v>
      </c>
      <c r="E195">
        <f t="shared" si="3"/>
        <v>73</v>
      </c>
    </row>
    <row r="196" spans="1:5" x14ac:dyDescent="0.2">
      <c r="A196" t="s">
        <v>22651</v>
      </c>
      <c r="B196" t="s">
        <v>22368</v>
      </c>
      <c r="C196" t="s">
        <v>22652</v>
      </c>
      <c r="D196" t="s">
        <v>6068</v>
      </c>
      <c r="E196">
        <f t="shared" si="3"/>
        <v>73</v>
      </c>
    </row>
    <row r="197" spans="1:5" x14ac:dyDescent="0.2">
      <c r="A197" t="s">
        <v>22653</v>
      </c>
      <c r="B197" t="s">
        <v>22368</v>
      </c>
      <c r="C197" t="s">
        <v>22654</v>
      </c>
      <c r="D197" t="s">
        <v>6068</v>
      </c>
      <c r="E197">
        <f t="shared" si="3"/>
        <v>73</v>
      </c>
    </row>
    <row r="198" spans="1:5" x14ac:dyDescent="0.2">
      <c r="A198" t="s">
        <v>22655</v>
      </c>
      <c r="B198" t="s">
        <v>22368</v>
      </c>
      <c r="C198" t="s">
        <v>22656</v>
      </c>
      <c r="D198" t="s">
        <v>6068</v>
      </c>
      <c r="E198">
        <f t="shared" si="3"/>
        <v>102</v>
      </c>
    </row>
    <row r="199" spans="1:5" x14ac:dyDescent="0.2">
      <c r="A199" t="s">
        <v>22657</v>
      </c>
      <c r="B199" t="s">
        <v>22368</v>
      </c>
      <c r="C199" t="s">
        <v>22658</v>
      </c>
      <c r="D199" t="s">
        <v>6068</v>
      </c>
      <c r="E199">
        <f t="shared" si="3"/>
        <v>520</v>
      </c>
    </row>
    <row r="200" spans="1:5" x14ac:dyDescent="0.2">
      <c r="A200" t="s">
        <v>22659</v>
      </c>
      <c r="B200" t="s">
        <v>22368</v>
      </c>
      <c r="C200" t="s">
        <v>22660</v>
      </c>
      <c r="D200" t="s">
        <v>6068</v>
      </c>
      <c r="E200">
        <f t="shared" si="3"/>
        <v>520</v>
      </c>
    </row>
    <row r="201" spans="1:5" x14ac:dyDescent="0.2">
      <c r="A201" t="s">
        <v>22661</v>
      </c>
      <c r="B201" t="s">
        <v>22368</v>
      </c>
      <c r="C201" t="s">
        <v>22662</v>
      </c>
      <c r="D201" t="s">
        <v>6068</v>
      </c>
      <c r="E201">
        <f t="shared" si="3"/>
        <v>520</v>
      </c>
    </row>
    <row r="202" spans="1:5" x14ac:dyDescent="0.2">
      <c r="A202" t="s">
        <v>22663</v>
      </c>
      <c r="B202" t="s">
        <v>22368</v>
      </c>
      <c r="C202" t="s">
        <v>22664</v>
      </c>
      <c r="D202" t="s">
        <v>6068</v>
      </c>
      <c r="E202">
        <f t="shared" si="3"/>
        <v>520</v>
      </c>
    </row>
    <row r="203" spans="1:5" x14ac:dyDescent="0.2">
      <c r="A203" t="s">
        <v>8932</v>
      </c>
      <c r="B203" t="s">
        <v>22368</v>
      </c>
      <c r="C203" t="s">
        <v>10600</v>
      </c>
      <c r="D203" t="s">
        <v>6068</v>
      </c>
      <c r="E203">
        <f t="shared" si="3"/>
        <v>520</v>
      </c>
    </row>
    <row r="204" spans="1:5" x14ac:dyDescent="0.2">
      <c r="A204" t="s">
        <v>22665</v>
      </c>
      <c r="B204" t="s">
        <v>22368</v>
      </c>
      <c r="C204" t="s">
        <v>22666</v>
      </c>
      <c r="D204" t="s">
        <v>6068</v>
      </c>
      <c r="E204">
        <f t="shared" ref="E204:E267" si="4">+LEN(C204)</f>
        <v>105</v>
      </c>
    </row>
    <row r="205" spans="1:5" x14ac:dyDescent="0.2">
      <c r="A205" t="s">
        <v>11713</v>
      </c>
      <c r="B205" t="s">
        <v>22368</v>
      </c>
      <c r="C205" t="s">
        <v>12588</v>
      </c>
      <c r="D205" t="s">
        <v>6068</v>
      </c>
      <c r="E205">
        <f t="shared" si="4"/>
        <v>199</v>
      </c>
    </row>
    <row r="206" spans="1:5" x14ac:dyDescent="0.2">
      <c r="A206" t="s">
        <v>22667</v>
      </c>
      <c r="B206" t="s">
        <v>22368</v>
      </c>
      <c r="C206" t="s">
        <v>22668</v>
      </c>
      <c r="D206" t="s">
        <v>6068</v>
      </c>
      <c r="E206">
        <f t="shared" si="4"/>
        <v>96</v>
      </c>
    </row>
    <row r="207" spans="1:5" x14ac:dyDescent="0.2">
      <c r="A207" t="s">
        <v>9050</v>
      </c>
      <c r="B207" t="s">
        <v>22368</v>
      </c>
      <c r="C207" t="s">
        <v>10601</v>
      </c>
      <c r="D207" t="s">
        <v>6068</v>
      </c>
      <c r="E207">
        <f t="shared" si="4"/>
        <v>96</v>
      </c>
    </row>
    <row r="208" spans="1:5" x14ac:dyDescent="0.2">
      <c r="A208" t="s">
        <v>22669</v>
      </c>
      <c r="B208" t="s">
        <v>22368</v>
      </c>
      <c r="C208" t="s">
        <v>22670</v>
      </c>
      <c r="D208" t="s">
        <v>6068</v>
      </c>
      <c r="E208">
        <f t="shared" si="4"/>
        <v>150</v>
      </c>
    </row>
    <row r="209" spans="1:5" x14ac:dyDescent="0.2">
      <c r="A209" t="s">
        <v>22671</v>
      </c>
      <c r="B209" t="s">
        <v>22368</v>
      </c>
      <c r="C209" t="s">
        <v>22672</v>
      </c>
      <c r="D209" t="s">
        <v>6068</v>
      </c>
      <c r="E209">
        <f t="shared" si="4"/>
        <v>125</v>
      </c>
    </row>
    <row r="210" spans="1:5" x14ac:dyDescent="0.2">
      <c r="A210" t="s">
        <v>9955</v>
      </c>
      <c r="B210" t="s">
        <v>22368</v>
      </c>
      <c r="C210" t="s">
        <v>10595</v>
      </c>
      <c r="D210" t="s">
        <v>6068</v>
      </c>
      <c r="E210">
        <f t="shared" si="4"/>
        <v>66</v>
      </c>
    </row>
    <row r="211" spans="1:5" x14ac:dyDescent="0.2">
      <c r="A211" t="s">
        <v>22673</v>
      </c>
      <c r="B211" t="s">
        <v>22368</v>
      </c>
      <c r="C211" t="s">
        <v>22674</v>
      </c>
      <c r="D211" t="s">
        <v>6068</v>
      </c>
      <c r="E211">
        <f t="shared" si="4"/>
        <v>66</v>
      </c>
    </row>
    <row r="212" spans="1:5" x14ac:dyDescent="0.2">
      <c r="A212" t="s">
        <v>9231</v>
      </c>
      <c r="B212" t="s">
        <v>22368</v>
      </c>
      <c r="C212" t="s">
        <v>10596</v>
      </c>
      <c r="D212" t="s">
        <v>6068</v>
      </c>
      <c r="E212">
        <f t="shared" si="4"/>
        <v>66</v>
      </c>
    </row>
    <row r="213" spans="1:5" x14ac:dyDescent="0.2">
      <c r="A213" t="s">
        <v>22675</v>
      </c>
      <c r="B213" t="s">
        <v>22368</v>
      </c>
      <c r="C213" t="s">
        <v>22676</v>
      </c>
      <c r="D213" t="s">
        <v>6068</v>
      </c>
      <c r="E213">
        <f t="shared" si="4"/>
        <v>66</v>
      </c>
    </row>
    <row r="214" spans="1:5" x14ac:dyDescent="0.2">
      <c r="A214" t="s">
        <v>22677</v>
      </c>
      <c r="B214" t="s">
        <v>22368</v>
      </c>
      <c r="C214" t="s">
        <v>22678</v>
      </c>
      <c r="D214" t="s">
        <v>6068</v>
      </c>
      <c r="E214">
        <f t="shared" si="4"/>
        <v>66</v>
      </c>
    </row>
    <row r="215" spans="1:5" x14ac:dyDescent="0.2">
      <c r="A215" t="s">
        <v>22679</v>
      </c>
      <c r="B215" t="s">
        <v>22368</v>
      </c>
      <c r="C215" t="s">
        <v>22680</v>
      </c>
      <c r="D215" t="s">
        <v>6068</v>
      </c>
      <c r="E215">
        <f t="shared" si="4"/>
        <v>66</v>
      </c>
    </row>
    <row r="216" spans="1:5" x14ac:dyDescent="0.2">
      <c r="A216" t="s">
        <v>9645</v>
      </c>
      <c r="B216" t="s">
        <v>22368</v>
      </c>
      <c r="C216" t="s">
        <v>10597</v>
      </c>
      <c r="D216" t="s">
        <v>6068</v>
      </c>
      <c r="E216">
        <f t="shared" si="4"/>
        <v>66</v>
      </c>
    </row>
    <row r="217" spans="1:5" x14ac:dyDescent="0.2">
      <c r="A217" t="s">
        <v>22681</v>
      </c>
      <c r="B217" t="s">
        <v>22368</v>
      </c>
      <c r="C217" t="s">
        <v>22682</v>
      </c>
      <c r="D217" t="s">
        <v>6068</v>
      </c>
      <c r="E217">
        <f t="shared" si="4"/>
        <v>66</v>
      </c>
    </row>
    <row r="218" spans="1:5" x14ac:dyDescent="0.2">
      <c r="A218" t="s">
        <v>22683</v>
      </c>
      <c r="B218" t="s">
        <v>22368</v>
      </c>
      <c r="C218" t="s">
        <v>22684</v>
      </c>
      <c r="D218" t="s">
        <v>6068</v>
      </c>
      <c r="E218">
        <f t="shared" si="4"/>
        <v>66</v>
      </c>
    </row>
    <row r="219" spans="1:5" x14ac:dyDescent="0.2">
      <c r="A219" t="s">
        <v>22685</v>
      </c>
      <c r="B219" t="s">
        <v>22368</v>
      </c>
      <c r="C219" t="s">
        <v>22686</v>
      </c>
      <c r="D219" t="s">
        <v>6068</v>
      </c>
      <c r="E219">
        <f t="shared" si="4"/>
        <v>66</v>
      </c>
    </row>
    <row r="220" spans="1:5" x14ac:dyDescent="0.2">
      <c r="A220" t="s">
        <v>22687</v>
      </c>
      <c r="B220" t="s">
        <v>22368</v>
      </c>
      <c r="C220" t="s">
        <v>22688</v>
      </c>
      <c r="D220" t="s">
        <v>6068</v>
      </c>
      <c r="E220">
        <f t="shared" si="4"/>
        <v>66</v>
      </c>
    </row>
    <row r="221" spans="1:5" x14ac:dyDescent="0.2">
      <c r="A221" t="s">
        <v>22689</v>
      </c>
      <c r="B221" t="s">
        <v>22368</v>
      </c>
      <c r="C221" t="s">
        <v>22690</v>
      </c>
      <c r="D221" t="s">
        <v>6068</v>
      </c>
      <c r="E221">
        <f t="shared" si="4"/>
        <v>65</v>
      </c>
    </row>
    <row r="222" spans="1:5" x14ac:dyDescent="0.2">
      <c r="A222" t="s">
        <v>22691</v>
      </c>
      <c r="B222" t="s">
        <v>22368</v>
      </c>
      <c r="C222" t="s">
        <v>22692</v>
      </c>
      <c r="D222" t="s">
        <v>6068</v>
      </c>
      <c r="E222">
        <f t="shared" si="4"/>
        <v>65</v>
      </c>
    </row>
    <row r="223" spans="1:5" x14ac:dyDescent="0.2">
      <c r="A223" t="s">
        <v>22693</v>
      </c>
      <c r="B223" t="s">
        <v>22368</v>
      </c>
      <c r="C223" t="s">
        <v>22694</v>
      </c>
      <c r="D223" t="s">
        <v>6068</v>
      </c>
      <c r="E223">
        <f t="shared" si="4"/>
        <v>65</v>
      </c>
    </row>
    <row r="224" spans="1:5" x14ac:dyDescent="0.2">
      <c r="A224" t="s">
        <v>22695</v>
      </c>
      <c r="B224" t="s">
        <v>22368</v>
      </c>
      <c r="C224" t="s">
        <v>22696</v>
      </c>
      <c r="D224" t="s">
        <v>6068</v>
      </c>
      <c r="E224">
        <f t="shared" si="4"/>
        <v>65</v>
      </c>
    </row>
    <row r="225" spans="1:5" x14ac:dyDescent="0.2">
      <c r="A225" t="s">
        <v>22697</v>
      </c>
      <c r="B225" t="s">
        <v>22368</v>
      </c>
      <c r="C225" t="s">
        <v>22698</v>
      </c>
      <c r="D225" t="s">
        <v>6068</v>
      </c>
      <c r="E225">
        <f t="shared" si="4"/>
        <v>65</v>
      </c>
    </row>
    <row r="226" spans="1:5" x14ac:dyDescent="0.2">
      <c r="A226" t="s">
        <v>22234</v>
      </c>
      <c r="B226" t="s">
        <v>22368</v>
      </c>
      <c r="C226" t="s">
        <v>22699</v>
      </c>
      <c r="D226" t="s">
        <v>6068</v>
      </c>
      <c r="E226">
        <f t="shared" si="4"/>
        <v>53</v>
      </c>
    </row>
    <row r="227" spans="1:5" x14ac:dyDescent="0.2">
      <c r="A227" t="s">
        <v>22700</v>
      </c>
      <c r="B227" t="s">
        <v>22368</v>
      </c>
      <c r="C227" t="s">
        <v>22701</v>
      </c>
      <c r="D227" t="s">
        <v>6068</v>
      </c>
      <c r="E227">
        <f t="shared" si="4"/>
        <v>53</v>
      </c>
    </row>
    <row r="228" spans="1:5" x14ac:dyDescent="0.2">
      <c r="A228" t="s">
        <v>22702</v>
      </c>
      <c r="B228" t="s">
        <v>22368</v>
      </c>
      <c r="C228" t="s">
        <v>22703</v>
      </c>
      <c r="D228" t="s">
        <v>6068</v>
      </c>
      <c r="E228">
        <f t="shared" si="4"/>
        <v>53</v>
      </c>
    </row>
    <row r="229" spans="1:5" x14ac:dyDescent="0.2">
      <c r="A229" t="s">
        <v>22704</v>
      </c>
      <c r="B229" t="s">
        <v>22368</v>
      </c>
      <c r="C229" t="s">
        <v>22705</v>
      </c>
      <c r="D229" t="s">
        <v>6068</v>
      </c>
      <c r="E229">
        <f t="shared" si="4"/>
        <v>53</v>
      </c>
    </row>
    <row r="230" spans="1:5" x14ac:dyDescent="0.2">
      <c r="A230" t="s">
        <v>9917</v>
      </c>
      <c r="B230" t="s">
        <v>22368</v>
      </c>
      <c r="C230" t="s">
        <v>10593</v>
      </c>
      <c r="D230" t="s">
        <v>6068</v>
      </c>
      <c r="E230">
        <f t="shared" si="4"/>
        <v>53</v>
      </c>
    </row>
    <row r="231" spans="1:5" x14ac:dyDescent="0.2">
      <c r="A231" t="s">
        <v>22706</v>
      </c>
      <c r="B231" t="s">
        <v>22368</v>
      </c>
      <c r="C231" t="s">
        <v>22707</v>
      </c>
      <c r="D231" t="s">
        <v>6068</v>
      </c>
      <c r="E231">
        <f t="shared" si="4"/>
        <v>53</v>
      </c>
    </row>
    <row r="232" spans="1:5" x14ac:dyDescent="0.2">
      <c r="A232" t="s">
        <v>22708</v>
      </c>
      <c r="B232" t="s">
        <v>22368</v>
      </c>
      <c r="C232" t="s">
        <v>22709</v>
      </c>
      <c r="D232" t="s">
        <v>6068</v>
      </c>
      <c r="E232">
        <f t="shared" si="4"/>
        <v>53</v>
      </c>
    </row>
    <row r="233" spans="1:5" x14ac:dyDescent="0.2">
      <c r="A233" t="s">
        <v>22710</v>
      </c>
      <c r="B233" t="s">
        <v>22368</v>
      </c>
      <c r="C233" t="s">
        <v>22711</v>
      </c>
      <c r="D233" t="s">
        <v>6068</v>
      </c>
      <c r="E233">
        <f t="shared" si="4"/>
        <v>53</v>
      </c>
    </row>
    <row r="234" spans="1:5" x14ac:dyDescent="0.2">
      <c r="A234" t="s">
        <v>22712</v>
      </c>
      <c r="B234" t="s">
        <v>22368</v>
      </c>
      <c r="C234" t="s">
        <v>22713</v>
      </c>
      <c r="D234" t="s">
        <v>6068</v>
      </c>
      <c r="E234">
        <f t="shared" si="4"/>
        <v>53</v>
      </c>
    </row>
    <row r="235" spans="1:5" x14ac:dyDescent="0.2">
      <c r="A235" t="s">
        <v>22714</v>
      </c>
      <c r="B235" t="s">
        <v>22368</v>
      </c>
      <c r="C235" t="s">
        <v>22715</v>
      </c>
      <c r="D235" t="s">
        <v>6068</v>
      </c>
      <c r="E235">
        <f t="shared" si="4"/>
        <v>53</v>
      </c>
    </row>
    <row r="236" spans="1:5" x14ac:dyDescent="0.2">
      <c r="A236" t="s">
        <v>22716</v>
      </c>
      <c r="B236" t="s">
        <v>22368</v>
      </c>
      <c r="C236" t="s">
        <v>22717</v>
      </c>
      <c r="D236" t="s">
        <v>6068</v>
      </c>
      <c r="E236">
        <f t="shared" si="4"/>
        <v>53</v>
      </c>
    </row>
    <row r="237" spans="1:5" x14ac:dyDescent="0.2">
      <c r="A237" t="s">
        <v>22718</v>
      </c>
      <c r="B237" t="s">
        <v>22368</v>
      </c>
      <c r="C237" t="s">
        <v>22719</v>
      </c>
      <c r="D237" t="s">
        <v>6068</v>
      </c>
      <c r="E237">
        <f t="shared" si="4"/>
        <v>53</v>
      </c>
    </row>
    <row r="238" spans="1:5" x14ac:dyDescent="0.2">
      <c r="A238" t="s">
        <v>22720</v>
      </c>
      <c r="B238" t="s">
        <v>22368</v>
      </c>
      <c r="C238" t="s">
        <v>22721</v>
      </c>
      <c r="D238" t="s">
        <v>6068</v>
      </c>
      <c r="E238">
        <f t="shared" si="4"/>
        <v>53</v>
      </c>
    </row>
    <row r="239" spans="1:5" x14ac:dyDescent="0.2">
      <c r="A239" t="s">
        <v>22722</v>
      </c>
      <c r="B239" t="s">
        <v>22368</v>
      </c>
      <c r="C239" t="s">
        <v>22723</v>
      </c>
      <c r="D239" t="s">
        <v>6068</v>
      </c>
      <c r="E239">
        <f t="shared" si="4"/>
        <v>53</v>
      </c>
    </row>
    <row r="240" spans="1:5" x14ac:dyDescent="0.2">
      <c r="A240" t="s">
        <v>10072</v>
      </c>
      <c r="B240" t="s">
        <v>22368</v>
      </c>
      <c r="C240" t="s">
        <v>10594</v>
      </c>
      <c r="D240" t="s">
        <v>6068</v>
      </c>
      <c r="E240">
        <f t="shared" si="4"/>
        <v>53</v>
      </c>
    </row>
    <row r="241" spans="1:5" x14ac:dyDescent="0.2">
      <c r="A241" t="s">
        <v>22724</v>
      </c>
      <c r="B241" t="s">
        <v>22368</v>
      </c>
      <c r="C241" t="s">
        <v>22725</v>
      </c>
      <c r="D241" t="s">
        <v>6068</v>
      </c>
      <c r="E241">
        <f t="shared" si="4"/>
        <v>53</v>
      </c>
    </row>
    <row r="242" spans="1:5" x14ac:dyDescent="0.2">
      <c r="A242" t="s">
        <v>22726</v>
      </c>
      <c r="B242" t="s">
        <v>22368</v>
      </c>
      <c r="C242" t="s">
        <v>22727</v>
      </c>
      <c r="D242" t="s">
        <v>6068</v>
      </c>
      <c r="E242">
        <f t="shared" si="4"/>
        <v>53</v>
      </c>
    </row>
    <row r="243" spans="1:5" x14ac:dyDescent="0.2">
      <c r="A243" t="s">
        <v>22728</v>
      </c>
      <c r="B243" t="s">
        <v>22368</v>
      </c>
      <c r="C243" t="s">
        <v>22729</v>
      </c>
      <c r="D243" t="s">
        <v>6068</v>
      </c>
      <c r="E243">
        <f t="shared" si="4"/>
        <v>53</v>
      </c>
    </row>
    <row r="244" spans="1:5" x14ac:dyDescent="0.2">
      <c r="A244" t="s">
        <v>22730</v>
      </c>
      <c r="B244" t="s">
        <v>22368</v>
      </c>
      <c r="C244" t="s">
        <v>22731</v>
      </c>
      <c r="D244" t="s">
        <v>6068</v>
      </c>
      <c r="E244">
        <f t="shared" si="4"/>
        <v>81</v>
      </c>
    </row>
    <row r="245" spans="1:5" x14ac:dyDescent="0.2">
      <c r="A245" t="s">
        <v>22732</v>
      </c>
      <c r="B245" t="s">
        <v>22368</v>
      </c>
      <c r="C245" t="s">
        <v>22733</v>
      </c>
      <c r="D245" t="s">
        <v>6068</v>
      </c>
      <c r="E245">
        <f t="shared" si="4"/>
        <v>81</v>
      </c>
    </row>
    <row r="246" spans="1:5" x14ac:dyDescent="0.2">
      <c r="A246" t="s">
        <v>22734</v>
      </c>
      <c r="B246" t="s">
        <v>22368</v>
      </c>
      <c r="C246" t="s">
        <v>22735</v>
      </c>
      <c r="D246" t="s">
        <v>6068</v>
      </c>
      <c r="E246">
        <f t="shared" si="4"/>
        <v>105</v>
      </c>
    </row>
    <row r="247" spans="1:5" x14ac:dyDescent="0.2">
      <c r="A247" t="s">
        <v>22736</v>
      </c>
      <c r="B247" t="s">
        <v>22368</v>
      </c>
      <c r="C247" t="s">
        <v>22737</v>
      </c>
      <c r="D247" t="s">
        <v>6068</v>
      </c>
      <c r="E247">
        <f t="shared" si="4"/>
        <v>104</v>
      </c>
    </row>
    <row r="248" spans="1:5" x14ac:dyDescent="0.2">
      <c r="A248" t="s">
        <v>22738</v>
      </c>
      <c r="B248" t="s">
        <v>22368</v>
      </c>
      <c r="C248" t="s">
        <v>22739</v>
      </c>
      <c r="D248" t="s">
        <v>6068</v>
      </c>
      <c r="E248">
        <f t="shared" si="4"/>
        <v>82</v>
      </c>
    </row>
    <row r="249" spans="1:5" x14ac:dyDescent="0.2">
      <c r="A249" t="s">
        <v>22740</v>
      </c>
      <c r="B249" t="s">
        <v>22368</v>
      </c>
      <c r="C249" t="s">
        <v>22741</v>
      </c>
      <c r="D249" t="s">
        <v>6068</v>
      </c>
      <c r="E249">
        <f t="shared" si="4"/>
        <v>81</v>
      </c>
    </row>
    <row r="250" spans="1:5" x14ac:dyDescent="0.2">
      <c r="A250" t="s">
        <v>22742</v>
      </c>
      <c r="B250" t="s">
        <v>22368</v>
      </c>
      <c r="C250" t="s">
        <v>22743</v>
      </c>
      <c r="D250" t="s">
        <v>6068</v>
      </c>
      <c r="E250">
        <f t="shared" si="4"/>
        <v>81</v>
      </c>
    </row>
    <row r="251" spans="1:5" x14ac:dyDescent="0.2">
      <c r="A251" t="s">
        <v>11177</v>
      </c>
      <c r="B251" t="s">
        <v>22368</v>
      </c>
      <c r="C251" t="s">
        <v>12580</v>
      </c>
      <c r="D251" t="s">
        <v>6068</v>
      </c>
      <c r="E251">
        <f t="shared" si="4"/>
        <v>81</v>
      </c>
    </row>
    <row r="252" spans="1:5" x14ac:dyDescent="0.2">
      <c r="A252" t="s">
        <v>22744</v>
      </c>
      <c r="B252" t="s">
        <v>22368</v>
      </c>
      <c r="C252" t="s">
        <v>22745</v>
      </c>
      <c r="D252" t="s">
        <v>6068</v>
      </c>
      <c r="E252">
        <f t="shared" si="4"/>
        <v>82</v>
      </c>
    </row>
    <row r="253" spans="1:5" x14ac:dyDescent="0.2">
      <c r="A253" t="s">
        <v>22746</v>
      </c>
      <c r="B253" t="s">
        <v>22368</v>
      </c>
      <c r="C253" t="s">
        <v>22747</v>
      </c>
      <c r="D253" t="s">
        <v>6068</v>
      </c>
      <c r="E253">
        <f t="shared" si="4"/>
        <v>82</v>
      </c>
    </row>
    <row r="254" spans="1:5" x14ac:dyDescent="0.2">
      <c r="A254" t="s">
        <v>22748</v>
      </c>
      <c r="B254" t="s">
        <v>22368</v>
      </c>
      <c r="C254" t="s">
        <v>22749</v>
      </c>
      <c r="D254" t="s">
        <v>6068</v>
      </c>
      <c r="E254">
        <f t="shared" si="4"/>
        <v>87</v>
      </c>
    </row>
    <row r="255" spans="1:5" x14ac:dyDescent="0.2">
      <c r="A255" t="s">
        <v>22750</v>
      </c>
      <c r="B255" t="s">
        <v>22368</v>
      </c>
      <c r="C255" t="s">
        <v>22751</v>
      </c>
      <c r="D255" t="s">
        <v>6068</v>
      </c>
      <c r="E255">
        <f t="shared" si="4"/>
        <v>87</v>
      </c>
    </row>
    <row r="256" spans="1:5" x14ac:dyDescent="0.2">
      <c r="A256" t="s">
        <v>22752</v>
      </c>
      <c r="B256" t="s">
        <v>22368</v>
      </c>
      <c r="C256" t="s">
        <v>22753</v>
      </c>
      <c r="D256" t="s">
        <v>6068</v>
      </c>
      <c r="E256">
        <f t="shared" si="4"/>
        <v>78</v>
      </c>
    </row>
    <row r="257" spans="1:5" x14ac:dyDescent="0.2">
      <c r="A257" t="s">
        <v>22754</v>
      </c>
      <c r="B257" t="s">
        <v>22368</v>
      </c>
      <c r="C257" t="s">
        <v>22755</v>
      </c>
      <c r="D257" t="s">
        <v>6068</v>
      </c>
      <c r="E257">
        <f t="shared" si="4"/>
        <v>78</v>
      </c>
    </row>
    <row r="258" spans="1:5" x14ac:dyDescent="0.2">
      <c r="A258" t="s">
        <v>8735</v>
      </c>
      <c r="B258" t="s">
        <v>22368</v>
      </c>
      <c r="C258" t="s">
        <v>10592</v>
      </c>
      <c r="D258" t="s">
        <v>6068</v>
      </c>
      <c r="E258">
        <f t="shared" si="4"/>
        <v>78</v>
      </c>
    </row>
    <row r="259" spans="1:5" x14ac:dyDescent="0.2">
      <c r="A259" t="s">
        <v>22756</v>
      </c>
      <c r="B259" t="s">
        <v>22368</v>
      </c>
      <c r="C259" t="s">
        <v>22757</v>
      </c>
      <c r="D259" t="s">
        <v>6068</v>
      </c>
      <c r="E259">
        <f t="shared" si="4"/>
        <v>108</v>
      </c>
    </row>
    <row r="260" spans="1:5" x14ac:dyDescent="0.2">
      <c r="A260" t="s">
        <v>22758</v>
      </c>
      <c r="B260" t="s">
        <v>22368</v>
      </c>
      <c r="C260" t="s">
        <v>22759</v>
      </c>
      <c r="D260" t="s">
        <v>6068</v>
      </c>
      <c r="E260">
        <f t="shared" si="4"/>
        <v>69</v>
      </c>
    </row>
    <row r="261" spans="1:5" x14ac:dyDescent="0.2">
      <c r="A261" t="s">
        <v>22760</v>
      </c>
      <c r="B261" t="s">
        <v>22368</v>
      </c>
      <c r="C261" t="s">
        <v>22761</v>
      </c>
      <c r="D261" t="s">
        <v>6068</v>
      </c>
      <c r="E261">
        <f t="shared" si="4"/>
        <v>69</v>
      </c>
    </row>
    <row r="262" spans="1:5" x14ac:dyDescent="0.2">
      <c r="A262" t="s">
        <v>22762</v>
      </c>
      <c r="B262" t="s">
        <v>22368</v>
      </c>
      <c r="C262" t="s">
        <v>22763</v>
      </c>
      <c r="D262" t="s">
        <v>6068</v>
      </c>
      <c r="E262">
        <f t="shared" si="4"/>
        <v>298</v>
      </c>
    </row>
    <row r="263" spans="1:5" x14ac:dyDescent="0.2">
      <c r="A263" t="s">
        <v>8872</v>
      </c>
      <c r="B263" t="s">
        <v>22368</v>
      </c>
      <c r="C263" t="s">
        <v>10612</v>
      </c>
      <c r="D263" t="s">
        <v>6068</v>
      </c>
      <c r="E263">
        <f t="shared" si="4"/>
        <v>298</v>
      </c>
    </row>
    <row r="264" spans="1:5" x14ac:dyDescent="0.2">
      <c r="A264" t="s">
        <v>22764</v>
      </c>
      <c r="B264" t="s">
        <v>22368</v>
      </c>
      <c r="C264" t="s">
        <v>22765</v>
      </c>
      <c r="D264" t="s">
        <v>6068</v>
      </c>
      <c r="E264">
        <f t="shared" si="4"/>
        <v>80</v>
      </c>
    </row>
    <row r="265" spans="1:5" x14ac:dyDescent="0.2">
      <c r="A265" t="s">
        <v>11199</v>
      </c>
      <c r="B265" t="s">
        <v>22368</v>
      </c>
      <c r="C265" t="s">
        <v>12582</v>
      </c>
      <c r="D265" t="s">
        <v>6068</v>
      </c>
      <c r="E265">
        <f t="shared" si="4"/>
        <v>80</v>
      </c>
    </row>
    <row r="266" spans="1:5" x14ac:dyDescent="0.2">
      <c r="A266" t="s">
        <v>11714</v>
      </c>
      <c r="B266" t="s">
        <v>22368</v>
      </c>
      <c r="C266" t="s">
        <v>12593</v>
      </c>
      <c r="D266" t="s">
        <v>6068</v>
      </c>
      <c r="E266">
        <f t="shared" si="4"/>
        <v>178</v>
      </c>
    </row>
    <row r="267" spans="1:5" x14ac:dyDescent="0.2">
      <c r="A267" t="s">
        <v>22766</v>
      </c>
      <c r="B267" t="s">
        <v>22368</v>
      </c>
      <c r="C267" t="s">
        <v>22767</v>
      </c>
      <c r="D267" t="s">
        <v>6068</v>
      </c>
      <c r="E267">
        <f t="shared" si="4"/>
        <v>72</v>
      </c>
    </row>
    <row r="268" spans="1:5" x14ac:dyDescent="0.2">
      <c r="A268" t="s">
        <v>22768</v>
      </c>
      <c r="B268" t="s">
        <v>22368</v>
      </c>
      <c r="C268" t="s">
        <v>22769</v>
      </c>
      <c r="D268" t="s">
        <v>6068</v>
      </c>
      <c r="E268">
        <f t="shared" ref="E268:E331" si="5">+LEN(C268)</f>
        <v>72</v>
      </c>
    </row>
    <row r="269" spans="1:5" x14ac:dyDescent="0.2">
      <c r="A269" t="s">
        <v>22770</v>
      </c>
      <c r="B269" t="s">
        <v>22368</v>
      </c>
      <c r="C269" t="s">
        <v>22771</v>
      </c>
      <c r="D269" t="s">
        <v>6068</v>
      </c>
      <c r="E269">
        <f t="shared" si="5"/>
        <v>71</v>
      </c>
    </row>
    <row r="270" spans="1:5" x14ac:dyDescent="0.2">
      <c r="A270" t="s">
        <v>22772</v>
      </c>
      <c r="B270" t="s">
        <v>22368</v>
      </c>
      <c r="C270" t="s">
        <v>22773</v>
      </c>
      <c r="D270" t="s">
        <v>6068</v>
      </c>
      <c r="E270">
        <f t="shared" si="5"/>
        <v>71</v>
      </c>
    </row>
    <row r="271" spans="1:5" x14ac:dyDescent="0.2">
      <c r="A271" t="s">
        <v>14733</v>
      </c>
      <c r="B271" t="s">
        <v>22368</v>
      </c>
      <c r="C271" t="s">
        <v>14734</v>
      </c>
      <c r="D271" t="s">
        <v>6068</v>
      </c>
      <c r="E271">
        <f t="shared" si="5"/>
        <v>71</v>
      </c>
    </row>
    <row r="272" spans="1:5" x14ac:dyDescent="0.2">
      <c r="A272" t="s">
        <v>14843</v>
      </c>
      <c r="B272" t="s">
        <v>22368</v>
      </c>
      <c r="C272" t="s">
        <v>14844</v>
      </c>
      <c r="D272" t="s">
        <v>6068</v>
      </c>
      <c r="E272">
        <f t="shared" si="5"/>
        <v>71</v>
      </c>
    </row>
    <row r="273" spans="1:5" x14ac:dyDescent="0.2">
      <c r="A273" t="s">
        <v>22774</v>
      </c>
      <c r="B273" t="s">
        <v>22368</v>
      </c>
      <c r="C273" t="s">
        <v>22775</v>
      </c>
      <c r="D273" t="s">
        <v>6068</v>
      </c>
      <c r="E273">
        <f t="shared" si="5"/>
        <v>82</v>
      </c>
    </row>
    <row r="274" spans="1:5" x14ac:dyDescent="0.2">
      <c r="A274" t="s">
        <v>22776</v>
      </c>
      <c r="B274" t="s">
        <v>22368</v>
      </c>
      <c r="C274" t="s">
        <v>22777</v>
      </c>
      <c r="D274" t="s">
        <v>6068</v>
      </c>
      <c r="E274">
        <f t="shared" si="5"/>
        <v>82</v>
      </c>
    </row>
    <row r="275" spans="1:5" x14ac:dyDescent="0.2">
      <c r="A275" t="s">
        <v>22778</v>
      </c>
      <c r="B275" t="s">
        <v>22368</v>
      </c>
      <c r="C275" t="s">
        <v>22779</v>
      </c>
      <c r="D275" t="s">
        <v>6068</v>
      </c>
      <c r="E275">
        <f t="shared" si="5"/>
        <v>119</v>
      </c>
    </row>
    <row r="276" spans="1:5" x14ac:dyDescent="0.2">
      <c r="A276" t="s">
        <v>22780</v>
      </c>
      <c r="B276" t="s">
        <v>22368</v>
      </c>
      <c r="C276" t="s">
        <v>22781</v>
      </c>
      <c r="D276" t="s">
        <v>6068</v>
      </c>
      <c r="E276">
        <f t="shared" si="5"/>
        <v>119</v>
      </c>
    </row>
    <row r="277" spans="1:5" x14ac:dyDescent="0.2">
      <c r="A277" t="s">
        <v>22782</v>
      </c>
      <c r="B277" t="s">
        <v>22368</v>
      </c>
      <c r="C277" t="s">
        <v>22783</v>
      </c>
      <c r="D277" t="s">
        <v>6068</v>
      </c>
      <c r="E277">
        <f t="shared" si="5"/>
        <v>94</v>
      </c>
    </row>
    <row r="278" spans="1:5" x14ac:dyDescent="0.2">
      <c r="A278" t="s">
        <v>22782</v>
      </c>
      <c r="B278" t="s">
        <v>22368</v>
      </c>
      <c r="C278" t="s">
        <v>22784</v>
      </c>
      <c r="D278" t="s">
        <v>6068</v>
      </c>
      <c r="E278">
        <f t="shared" si="5"/>
        <v>93</v>
      </c>
    </row>
    <row r="279" spans="1:5" x14ac:dyDescent="0.2">
      <c r="A279" t="s">
        <v>22785</v>
      </c>
      <c r="B279" t="s">
        <v>22368</v>
      </c>
      <c r="C279" t="s">
        <v>22786</v>
      </c>
      <c r="D279" t="s">
        <v>6068</v>
      </c>
      <c r="E279">
        <f t="shared" si="5"/>
        <v>94</v>
      </c>
    </row>
    <row r="280" spans="1:5" x14ac:dyDescent="0.2">
      <c r="A280" t="s">
        <v>22785</v>
      </c>
      <c r="B280" t="s">
        <v>22368</v>
      </c>
      <c r="C280" t="s">
        <v>22787</v>
      </c>
      <c r="D280" t="s">
        <v>6068</v>
      </c>
      <c r="E280">
        <f t="shared" si="5"/>
        <v>93</v>
      </c>
    </row>
    <row r="281" spans="1:5" x14ac:dyDescent="0.2">
      <c r="A281" t="s">
        <v>22788</v>
      </c>
      <c r="B281" t="s">
        <v>22368</v>
      </c>
      <c r="C281" t="s">
        <v>22789</v>
      </c>
      <c r="D281" t="s">
        <v>6068</v>
      </c>
      <c r="E281">
        <f t="shared" si="5"/>
        <v>94</v>
      </c>
    </row>
    <row r="282" spans="1:5" x14ac:dyDescent="0.2">
      <c r="A282" t="s">
        <v>22790</v>
      </c>
      <c r="B282" t="s">
        <v>22368</v>
      </c>
      <c r="C282" t="s">
        <v>22791</v>
      </c>
      <c r="D282" t="s">
        <v>6068</v>
      </c>
      <c r="E282">
        <f t="shared" si="5"/>
        <v>94</v>
      </c>
    </row>
    <row r="283" spans="1:5" x14ac:dyDescent="0.2">
      <c r="A283" t="s">
        <v>22792</v>
      </c>
      <c r="B283" t="s">
        <v>22368</v>
      </c>
      <c r="C283" t="s">
        <v>22793</v>
      </c>
      <c r="D283" t="s">
        <v>6068</v>
      </c>
      <c r="E283">
        <f t="shared" si="5"/>
        <v>94</v>
      </c>
    </row>
    <row r="284" spans="1:5" x14ac:dyDescent="0.2">
      <c r="A284" t="s">
        <v>22794</v>
      </c>
      <c r="B284" t="s">
        <v>22368</v>
      </c>
      <c r="C284" t="s">
        <v>22795</v>
      </c>
      <c r="D284" t="s">
        <v>6068</v>
      </c>
      <c r="E284">
        <f t="shared" si="5"/>
        <v>59</v>
      </c>
    </row>
    <row r="285" spans="1:5" x14ac:dyDescent="0.2">
      <c r="A285" t="s">
        <v>10201</v>
      </c>
      <c r="B285" t="s">
        <v>22368</v>
      </c>
      <c r="C285" t="s">
        <v>10598</v>
      </c>
      <c r="D285" t="s">
        <v>6068</v>
      </c>
      <c r="E285">
        <f t="shared" si="5"/>
        <v>60</v>
      </c>
    </row>
    <row r="286" spans="1:5" x14ac:dyDescent="0.2">
      <c r="A286" t="s">
        <v>22796</v>
      </c>
      <c r="B286" t="s">
        <v>22368</v>
      </c>
      <c r="C286" t="s">
        <v>22797</v>
      </c>
      <c r="D286" t="s">
        <v>6068</v>
      </c>
      <c r="E286">
        <f t="shared" si="5"/>
        <v>59</v>
      </c>
    </row>
    <row r="287" spans="1:5" x14ac:dyDescent="0.2">
      <c r="A287" t="s">
        <v>22798</v>
      </c>
      <c r="B287" t="s">
        <v>22368</v>
      </c>
      <c r="C287" t="s">
        <v>22799</v>
      </c>
      <c r="D287" t="s">
        <v>6068</v>
      </c>
      <c r="E287">
        <f t="shared" si="5"/>
        <v>59</v>
      </c>
    </row>
    <row r="288" spans="1:5" x14ac:dyDescent="0.2">
      <c r="A288" t="s">
        <v>22800</v>
      </c>
      <c r="B288" t="s">
        <v>22368</v>
      </c>
      <c r="C288" t="s">
        <v>22801</v>
      </c>
      <c r="D288" t="s">
        <v>6068</v>
      </c>
      <c r="E288">
        <f t="shared" si="5"/>
        <v>59</v>
      </c>
    </row>
    <row r="289" spans="1:5" x14ac:dyDescent="0.2">
      <c r="A289" t="s">
        <v>9995</v>
      </c>
      <c r="B289" t="s">
        <v>22368</v>
      </c>
      <c r="C289" t="s">
        <v>10599</v>
      </c>
      <c r="D289" t="s">
        <v>6068</v>
      </c>
      <c r="E289">
        <f t="shared" si="5"/>
        <v>59</v>
      </c>
    </row>
    <row r="290" spans="1:5" x14ac:dyDescent="0.2">
      <c r="A290" t="s">
        <v>22802</v>
      </c>
      <c r="B290" t="s">
        <v>22368</v>
      </c>
      <c r="C290" t="s">
        <v>22803</v>
      </c>
      <c r="D290" t="s">
        <v>6068</v>
      </c>
      <c r="E290">
        <f t="shared" si="5"/>
        <v>59</v>
      </c>
    </row>
    <row r="291" spans="1:5" x14ac:dyDescent="0.2">
      <c r="A291" t="s">
        <v>22804</v>
      </c>
      <c r="B291" t="s">
        <v>22368</v>
      </c>
      <c r="C291" t="s">
        <v>22805</v>
      </c>
      <c r="D291" t="s">
        <v>6068</v>
      </c>
      <c r="E291">
        <f t="shared" si="5"/>
        <v>59</v>
      </c>
    </row>
    <row r="292" spans="1:5" x14ac:dyDescent="0.2">
      <c r="A292" t="s">
        <v>22806</v>
      </c>
      <c r="B292" t="s">
        <v>22368</v>
      </c>
      <c r="C292" t="s">
        <v>22807</v>
      </c>
      <c r="D292" t="s">
        <v>6068</v>
      </c>
      <c r="E292">
        <f t="shared" si="5"/>
        <v>59</v>
      </c>
    </row>
    <row r="293" spans="1:5" x14ac:dyDescent="0.2">
      <c r="A293" t="s">
        <v>22808</v>
      </c>
      <c r="B293" t="s">
        <v>22368</v>
      </c>
      <c r="C293" t="s">
        <v>22809</v>
      </c>
      <c r="D293" t="s">
        <v>6068</v>
      </c>
      <c r="E293">
        <f t="shared" si="5"/>
        <v>59</v>
      </c>
    </row>
    <row r="294" spans="1:5" x14ac:dyDescent="0.2">
      <c r="A294" t="s">
        <v>22810</v>
      </c>
      <c r="B294" t="s">
        <v>22368</v>
      </c>
      <c r="C294" t="s">
        <v>22811</v>
      </c>
      <c r="D294" t="s">
        <v>6068</v>
      </c>
      <c r="E294">
        <f t="shared" si="5"/>
        <v>59</v>
      </c>
    </row>
    <row r="295" spans="1:5" x14ac:dyDescent="0.2">
      <c r="A295" t="s">
        <v>22812</v>
      </c>
      <c r="B295" t="s">
        <v>22368</v>
      </c>
      <c r="C295" t="s">
        <v>22813</v>
      </c>
      <c r="D295" t="s">
        <v>6068</v>
      </c>
      <c r="E295">
        <f t="shared" si="5"/>
        <v>59</v>
      </c>
    </row>
    <row r="296" spans="1:5" x14ac:dyDescent="0.2">
      <c r="A296" t="s">
        <v>22814</v>
      </c>
      <c r="B296" t="s">
        <v>22368</v>
      </c>
      <c r="C296" t="s">
        <v>22815</v>
      </c>
      <c r="D296" t="s">
        <v>6068</v>
      </c>
      <c r="E296">
        <f t="shared" si="5"/>
        <v>59</v>
      </c>
    </row>
    <row r="297" spans="1:5" x14ac:dyDescent="0.2">
      <c r="A297" t="s">
        <v>22816</v>
      </c>
      <c r="B297" t="s">
        <v>22368</v>
      </c>
      <c r="C297" t="s">
        <v>22817</v>
      </c>
      <c r="D297" t="s">
        <v>6068</v>
      </c>
      <c r="E297">
        <f t="shared" si="5"/>
        <v>59</v>
      </c>
    </row>
    <row r="298" spans="1:5" x14ac:dyDescent="0.2">
      <c r="A298" t="s">
        <v>22818</v>
      </c>
      <c r="B298" t="s">
        <v>22368</v>
      </c>
      <c r="C298" t="s">
        <v>22819</v>
      </c>
      <c r="D298" t="s">
        <v>6068</v>
      </c>
      <c r="E298">
        <f t="shared" si="5"/>
        <v>59</v>
      </c>
    </row>
    <row r="299" spans="1:5" x14ac:dyDescent="0.2">
      <c r="A299" t="s">
        <v>22820</v>
      </c>
      <c r="B299" t="s">
        <v>22368</v>
      </c>
      <c r="C299" t="s">
        <v>22821</v>
      </c>
      <c r="D299" t="s">
        <v>6068</v>
      </c>
      <c r="E299">
        <f t="shared" si="5"/>
        <v>59</v>
      </c>
    </row>
    <row r="300" spans="1:5" x14ac:dyDescent="0.2">
      <c r="A300" t="s">
        <v>9758</v>
      </c>
      <c r="B300" t="s">
        <v>22368</v>
      </c>
      <c r="C300" t="s">
        <v>10602</v>
      </c>
      <c r="D300" t="s">
        <v>6068</v>
      </c>
      <c r="E300">
        <f t="shared" si="5"/>
        <v>59</v>
      </c>
    </row>
    <row r="301" spans="1:5" x14ac:dyDescent="0.2">
      <c r="A301" t="s">
        <v>22822</v>
      </c>
      <c r="B301" t="s">
        <v>22368</v>
      </c>
      <c r="C301" t="s">
        <v>22823</v>
      </c>
      <c r="D301" t="s">
        <v>6068</v>
      </c>
      <c r="E301">
        <f t="shared" si="5"/>
        <v>59</v>
      </c>
    </row>
    <row r="302" spans="1:5" x14ac:dyDescent="0.2">
      <c r="A302" t="s">
        <v>8747</v>
      </c>
      <c r="B302" t="s">
        <v>22368</v>
      </c>
      <c r="C302" t="s">
        <v>10603</v>
      </c>
      <c r="D302" t="s">
        <v>6068</v>
      </c>
      <c r="E302">
        <f t="shared" si="5"/>
        <v>59</v>
      </c>
    </row>
    <row r="303" spans="1:5" x14ac:dyDescent="0.2">
      <c r="A303" t="s">
        <v>22824</v>
      </c>
      <c r="B303" t="s">
        <v>22368</v>
      </c>
      <c r="C303" t="s">
        <v>22825</v>
      </c>
      <c r="D303" t="s">
        <v>6068</v>
      </c>
      <c r="E303">
        <f t="shared" si="5"/>
        <v>59</v>
      </c>
    </row>
    <row r="304" spans="1:5" x14ac:dyDescent="0.2">
      <c r="A304" t="s">
        <v>22826</v>
      </c>
      <c r="B304" t="s">
        <v>22368</v>
      </c>
      <c r="C304" t="s">
        <v>22827</v>
      </c>
      <c r="D304" t="s">
        <v>6068</v>
      </c>
      <c r="E304">
        <f t="shared" si="5"/>
        <v>59</v>
      </c>
    </row>
    <row r="305" spans="1:5" x14ac:dyDescent="0.2">
      <c r="A305" t="s">
        <v>9815</v>
      </c>
      <c r="B305" t="s">
        <v>22368</v>
      </c>
      <c r="C305" t="s">
        <v>10605</v>
      </c>
      <c r="D305" t="s">
        <v>6068</v>
      </c>
      <c r="E305">
        <f t="shared" si="5"/>
        <v>59</v>
      </c>
    </row>
    <row r="306" spans="1:5" x14ac:dyDescent="0.2">
      <c r="A306" t="s">
        <v>22828</v>
      </c>
      <c r="B306" t="s">
        <v>22368</v>
      </c>
      <c r="C306" t="s">
        <v>22829</v>
      </c>
      <c r="D306" t="s">
        <v>6068</v>
      </c>
      <c r="E306">
        <f t="shared" si="5"/>
        <v>59</v>
      </c>
    </row>
    <row r="307" spans="1:5" x14ac:dyDescent="0.2">
      <c r="A307" t="s">
        <v>9049</v>
      </c>
      <c r="B307" t="s">
        <v>22368</v>
      </c>
      <c r="C307" t="s">
        <v>10607</v>
      </c>
      <c r="D307" t="s">
        <v>6068</v>
      </c>
      <c r="E307">
        <f t="shared" si="5"/>
        <v>59</v>
      </c>
    </row>
    <row r="308" spans="1:5" x14ac:dyDescent="0.2">
      <c r="A308" t="s">
        <v>8871</v>
      </c>
      <c r="B308" t="s">
        <v>22368</v>
      </c>
      <c r="C308" t="s">
        <v>10609</v>
      </c>
      <c r="D308" t="s">
        <v>6068</v>
      </c>
      <c r="E308">
        <f t="shared" si="5"/>
        <v>59</v>
      </c>
    </row>
    <row r="309" spans="1:5" x14ac:dyDescent="0.2">
      <c r="A309" t="s">
        <v>9872</v>
      </c>
      <c r="B309" t="s">
        <v>22368</v>
      </c>
      <c r="C309" t="s">
        <v>10610</v>
      </c>
      <c r="D309" t="s">
        <v>6068</v>
      </c>
      <c r="E309">
        <f t="shared" si="5"/>
        <v>59</v>
      </c>
    </row>
    <row r="310" spans="1:5" x14ac:dyDescent="0.2">
      <c r="A310" t="s">
        <v>9172</v>
      </c>
      <c r="B310" t="s">
        <v>22368</v>
      </c>
      <c r="C310" t="s">
        <v>10611</v>
      </c>
      <c r="D310" t="s">
        <v>6068</v>
      </c>
      <c r="E310">
        <f t="shared" si="5"/>
        <v>59</v>
      </c>
    </row>
    <row r="311" spans="1:5" x14ac:dyDescent="0.2">
      <c r="A311" t="s">
        <v>22830</v>
      </c>
      <c r="B311" t="s">
        <v>22368</v>
      </c>
      <c r="C311" t="s">
        <v>22831</v>
      </c>
      <c r="D311" t="s">
        <v>6068</v>
      </c>
      <c r="E311">
        <f t="shared" si="5"/>
        <v>59</v>
      </c>
    </row>
    <row r="312" spans="1:5" x14ac:dyDescent="0.2">
      <c r="A312" t="s">
        <v>22832</v>
      </c>
      <c r="B312" t="s">
        <v>22368</v>
      </c>
      <c r="C312" t="s">
        <v>22833</v>
      </c>
      <c r="D312" t="s">
        <v>6068</v>
      </c>
      <c r="E312">
        <f t="shared" si="5"/>
        <v>59</v>
      </c>
    </row>
    <row r="313" spans="1:5" x14ac:dyDescent="0.2">
      <c r="A313" t="s">
        <v>22834</v>
      </c>
      <c r="B313" t="s">
        <v>22368</v>
      </c>
      <c r="C313" t="s">
        <v>22835</v>
      </c>
      <c r="D313" t="s">
        <v>6068</v>
      </c>
      <c r="E313">
        <f t="shared" si="5"/>
        <v>59</v>
      </c>
    </row>
    <row r="314" spans="1:5" x14ac:dyDescent="0.2">
      <c r="A314" t="s">
        <v>22836</v>
      </c>
      <c r="B314" t="s">
        <v>22368</v>
      </c>
      <c r="C314" t="s">
        <v>22837</v>
      </c>
      <c r="D314" t="s">
        <v>6068</v>
      </c>
      <c r="E314">
        <f t="shared" si="5"/>
        <v>59</v>
      </c>
    </row>
    <row r="315" spans="1:5" x14ac:dyDescent="0.2">
      <c r="A315" t="s">
        <v>22838</v>
      </c>
      <c r="B315" t="s">
        <v>22368</v>
      </c>
      <c r="C315" t="s">
        <v>22839</v>
      </c>
      <c r="D315" t="s">
        <v>6068</v>
      </c>
      <c r="E315">
        <f t="shared" si="5"/>
        <v>76</v>
      </c>
    </row>
    <row r="316" spans="1:5" x14ac:dyDescent="0.2">
      <c r="A316" t="s">
        <v>22840</v>
      </c>
      <c r="B316" t="s">
        <v>22368</v>
      </c>
      <c r="C316" t="s">
        <v>22841</v>
      </c>
      <c r="D316" t="s">
        <v>6068</v>
      </c>
      <c r="E316">
        <f t="shared" si="5"/>
        <v>69</v>
      </c>
    </row>
    <row r="317" spans="1:5" x14ac:dyDescent="0.2">
      <c r="A317" t="s">
        <v>22842</v>
      </c>
      <c r="B317" t="s">
        <v>22368</v>
      </c>
      <c r="C317" t="s">
        <v>22843</v>
      </c>
      <c r="D317" t="s">
        <v>6068</v>
      </c>
      <c r="E317">
        <f t="shared" si="5"/>
        <v>70</v>
      </c>
    </row>
    <row r="318" spans="1:5" x14ac:dyDescent="0.2">
      <c r="A318" t="s">
        <v>22844</v>
      </c>
      <c r="B318" t="s">
        <v>22368</v>
      </c>
      <c r="C318" t="s">
        <v>22845</v>
      </c>
      <c r="D318" t="s">
        <v>6068</v>
      </c>
      <c r="E318">
        <f t="shared" si="5"/>
        <v>145</v>
      </c>
    </row>
    <row r="319" spans="1:5" x14ac:dyDescent="0.2">
      <c r="A319" t="s">
        <v>10213</v>
      </c>
      <c r="B319" t="s">
        <v>22368</v>
      </c>
      <c r="C319" t="s">
        <v>10613</v>
      </c>
      <c r="D319" t="s">
        <v>6068</v>
      </c>
      <c r="E319">
        <f t="shared" si="5"/>
        <v>97</v>
      </c>
    </row>
    <row r="320" spans="1:5" x14ac:dyDescent="0.2">
      <c r="A320" t="s">
        <v>22846</v>
      </c>
      <c r="B320" t="s">
        <v>22368</v>
      </c>
      <c r="C320" t="s">
        <v>22847</v>
      </c>
      <c r="D320" t="s">
        <v>6068</v>
      </c>
      <c r="E320">
        <f t="shared" si="5"/>
        <v>170</v>
      </c>
    </row>
    <row r="321" spans="1:5" x14ac:dyDescent="0.2">
      <c r="A321" t="s">
        <v>9816</v>
      </c>
      <c r="B321" t="s">
        <v>22368</v>
      </c>
      <c r="C321" t="s">
        <v>10591</v>
      </c>
      <c r="D321" t="s">
        <v>6068</v>
      </c>
      <c r="E321">
        <f t="shared" si="5"/>
        <v>171</v>
      </c>
    </row>
    <row r="322" spans="1:5" x14ac:dyDescent="0.2">
      <c r="A322" t="s">
        <v>22848</v>
      </c>
      <c r="B322" t="s">
        <v>22368</v>
      </c>
      <c r="C322" t="s">
        <v>22849</v>
      </c>
      <c r="D322" t="s">
        <v>6068</v>
      </c>
      <c r="E322">
        <f t="shared" si="5"/>
        <v>67</v>
      </c>
    </row>
    <row r="323" spans="1:5" x14ac:dyDescent="0.2">
      <c r="A323" t="s">
        <v>22850</v>
      </c>
      <c r="B323" t="s">
        <v>22368</v>
      </c>
      <c r="C323" t="s">
        <v>22851</v>
      </c>
      <c r="D323" t="s">
        <v>6068</v>
      </c>
      <c r="E323">
        <f t="shared" si="5"/>
        <v>67</v>
      </c>
    </row>
    <row r="324" spans="1:5" x14ac:dyDescent="0.2">
      <c r="A324" t="s">
        <v>22852</v>
      </c>
      <c r="B324" t="s">
        <v>22368</v>
      </c>
      <c r="C324" t="s">
        <v>22853</v>
      </c>
      <c r="D324" t="s">
        <v>6068</v>
      </c>
      <c r="E324">
        <f t="shared" si="5"/>
        <v>144</v>
      </c>
    </row>
    <row r="325" spans="1:5" x14ac:dyDescent="0.2">
      <c r="A325" t="s">
        <v>11315</v>
      </c>
      <c r="B325" t="s">
        <v>22368</v>
      </c>
      <c r="C325" t="s">
        <v>12577</v>
      </c>
      <c r="D325" t="s">
        <v>6068</v>
      </c>
      <c r="E325">
        <f t="shared" si="5"/>
        <v>144</v>
      </c>
    </row>
    <row r="326" spans="1:5" x14ac:dyDescent="0.2">
      <c r="A326" t="s">
        <v>22854</v>
      </c>
      <c r="B326" t="s">
        <v>22368</v>
      </c>
      <c r="C326" t="s">
        <v>22668</v>
      </c>
      <c r="D326" t="s">
        <v>6068</v>
      </c>
      <c r="E326">
        <f t="shared" si="5"/>
        <v>96</v>
      </c>
    </row>
    <row r="327" spans="1:5" x14ac:dyDescent="0.2">
      <c r="A327" t="s">
        <v>22855</v>
      </c>
      <c r="B327" t="s">
        <v>22368</v>
      </c>
      <c r="C327" t="s">
        <v>10601</v>
      </c>
      <c r="D327" t="s">
        <v>6068</v>
      </c>
      <c r="E327">
        <f t="shared" si="5"/>
        <v>96</v>
      </c>
    </row>
    <row r="328" spans="1:5" x14ac:dyDescent="0.2">
      <c r="A328" t="s">
        <v>22856</v>
      </c>
      <c r="B328" t="s">
        <v>22368</v>
      </c>
      <c r="C328" t="s">
        <v>22857</v>
      </c>
      <c r="D328" t="s">
        <v>6068</v>
      </c>
      <c r="E328">
        <f t="shared" si="5"/>
        <v>96</v>
      </c>
    </row>
    <row r="329" spans="1:5" x14ac:dyDescent="0.2">
      <c r="A329" t="s">
        <v>22858</v>
      </c>
      <c r="B329" t="s">
        <v>22368</v>
      </c>
      <c r="C329" t="s">
        <v>22859</v>
      </c>
      <c r="D329" t="s">
        <v>6068</v>
      </c>
      <c r="E329">
        <f t="shared" si="5"/>
        <v>96</v>
      </c>
    </row>
    <row r="330" spans="1:5" x14ac:dyDescent="0.2">
      <c r="A330" t="s">
        <v>22860</v>
      </c>
      <c r="B330" t="s">
        <v>22368</v>
      </c>
      <c r="C330" t="s">
        <v>22861</v>
      </c>
      <c r="D330" t="s">
        <v>6068</v>
      </c>
      <c r="E330">
        <f t="shared" si="5"/>
        <v>85</v>
      </c>
    </row>
    <row r="331" spans="1:5" x14ac:dyDescent="0.2">
      <c r="A331" t="s">
        <v>22862</v>
      </c>
      <c r="B331" t="s">
        <v>22368</v>
      </c>
      <c r="C331" t="s">
        <v>22863</v>
      </c>
      <c r="D331" t="s">
        <v>6068</v>
      </c>
      <c r="E331">
        <f t="shared" si="5"/>
        <v>85</v>
      </c>
    </row>
    <row r="332" spans="1:5" x14ac:dyDescent="0.2">
      <c r="A332" t="s">
        <v>14735</v>
      </c>
      <c r="B332" t="s">
        <v>22368</v>
      </c>
      <c r="C332" t="s">
        <v>14736</v>
      </c>
      <c r="D332" t="s">
        <v>6068</v>
      </c>
      <c r="E332">
        <f t="shared" ref="E332:E395" si="6">+LEN(C332)</f>
        <v>85</v>
      </c>
    </row>
    <row r="333" spans="1:5" x14ac:dyDescent="0.2">
      <c r="A333" t="s">
        <v>22864</v>
      </c>
      <c r="B333" t="s">
        <v>22368</v>
      </c>
      <c r="C333" t="s">
        <v>22865</v>
      </c>
      <c r="D333" t="s">
        <v>6068</v>
      </c>
      <c r="E333">
        <f t="shared" si="6"/>
        <v>64</v>
      </c>
    </row>
    <row r="334" spans="1:5" x14ac:dyDescent="0.2">
      <c r="A334" t="s">
        <v>14803</v>
      </c>
      <c r="B334" t="s">
        <v>22368</v>
      </c>
      <c r="C334" t="s">
        <v>14804</v>
      </c>
      <c r="D334" t="s">
        <v>6068</v>
      </c>
      <c r="E334">
        <f t="shared" si="6"/>
        <v>64</v>
      </c>
    </row>
    <row r="335" spans="1:5" x14ac:dyDescent="0.2">
      <c r="A335" t="s">
        <v>22866</v>
      </c>
      <c r="B335" t="s">
        <v>22368</v>
      </c>
      <c r="C335" t="s">
        <v>22867</v>
      </c>
      <c r="D335" t="s">
        <v>6068</v>
      </c>
      <c r="E335">
        <f t="shared" si="6"/>
        <v>63</v>
      </c>
    </row>
    <row r="336" spans="1:5" x14ac:dyDescent="0.2">
      <c r="A336" t="s">
        <v>22868</v>
      </c>
      <c r="B336" t="s">
        <v>22368</v>
      </c>
      <c r="C336" t="s">
        <v>22869</v>
      </c>
      <c r="D336" t="s">
        <v>6068</v>
      </c>
      <c r="E336">
        <f t="shared" si="6"/>
        <v>70</v>
      </c>
    </row>
    <row r="337" spans="1:5" x14ac:dyDescent="0.2">
      <c r="A337" t="s">
        <v>22870</v>
      </c>
      <c r="B337" t="s">
        <v>22368</v>
      </c>
      <c r="C337" t="s">
        <v>22871</v>
      </c>
      <c r="D337" t="s">
        <v>6068</v>
      </c>
      <c r="E337">
        <f t="shared" si="6"/>
        <v>70</v>
      </c>
    </row>
    <row r="338" spans="1:5" x14ac:dyDescent="0.2">
      <c r="A338" t="s">
        <v>14805</v>
      </c>
      <c r="B338" t="s">
        <v>22368</v>
      </c>
      <c r="C338" t="s">
        <v>14806</v>
      </c>
      <c r="D338" t="s">
        <v>6068</v>
      </c>
      <c r="E338">
        <f t="shared" si="6"/>
        <v>70</v>
      </c>
    </row>
    <row r="339" spans="1:5" x14ac:dyDescent="0.2">
      <c r="A339" t="s">
        <v>22872</v>
      </c>
      <c r="B339" t="s">
        <v>22368</v>
      </c>
      <c r="C339" t="s">
        <v>22873</v>
      </c>
      <c r="D339" t="s">
        <v>6068</v>
      </c>
      <c r="E339">
        <f t="shared" si="6"/>
        <v>69</v>
      </c>
    </row>
    <row r="340" spans="1:5" x14ac:dyDescent="0.2">
      <c r="A340" t="s">
        <v>22874</v>
      </c>
      <c r="B340" t="s">
        <v>22368</v>
      </c>
      <c r="C340" t="s">
        <v>22875</v>
      </c>
      <c r="D340" t="s">
        <v>6068</v>
      </c>
      <c r="E340">
        <f t="shared" si="6"/>
        <v>80</v>
      </c>
    </row>
    <row r="341" spans="1:5" x14ac:dyDescent="0.2">
      <c r="A341" t="s">
        <v>14841</v>
      </c>
      <c r="B341" t="s">
        <v>22368</v>
      </c>
      <c r="C341" t="s">
        <v>14842</v>
      </c>
      <c r="D341" t="s">
        <v>6068</v>
      </c>
      <c r="E341">
        <f t="shared" si="6"/>
        <v>82</v>
      </c>
    </row>
    <row r="342" spans="1:5" x14ac:dyDescent="0.2">
      <c r="A342" t="s">
        <v>11752</v>
      </c>
      <c r="B342" t="s">
        <v>22368</v>
      </c>
      <c r="C342" t="s">
        <v>12584</v>
      </c>
      <c r="D342" t="s">
        <v>6068</v>
      </c>
      <c r="E342">
        <f t="shared" si="6"/>
        <v>150</v>
      </c>
    </row>
    <row r="343" spans="1:5" x14ac:dyDescent="0.2">
      <c r="A343" t="s">
        <v>22876</v>
      </c>
      <c r="B343" t="s">
        <v>22368</v>
      </c>
      <c r="C343" t="s">
        <v>22877</v>
      </c>
      <c r="D343" t="s">
        <v>6068</v>
      </c>
      <c r="E343">
        <f t="shared" si="6"/>
        <v>77</v>
      </c>
    </row>
    <row r="344" spans="1:5" x14ac:dyDescent="0.2">
      <c r="A344" t="s">
        <v>22878</v>
      </c>
      <c r="B344" t="s">
        <v>22368</v>
      </c>
      <c r="C344" t="s">
        <v>22879</v>
      </c>
      <c r="D344" t="s">
        <v>6068</v>
      </c>
      <c r="E344">
        <f t="shared" si="6"/>
        <v>77</v>
      </c>
    </row>
    <row r="345" spans="1:5" x14ac:dyDescent="0.2">
      <c r="A345" t="s">
        <v>22880</v>
      </c>
      <c r="B345" t="s">
        <v>22368</v>
      </c>
      <c r="C345" t="s">
        <v>22881</v>
      </c>
      <c r="D345" t="s">
        <v>6068</v>
      </c>
      <c r="E345">
        <f t="shared" si="6"/>
        <v>75</v>
      </c>
    </row>
    <row r="346" spans="1:5" x14ac:dyDescent="0.2">
      <c r="A346" t="s">
        <v>22882</v>
      </c>
      <c r="B346" t="s">
        <v>22368</v>
      </c>
      <c r="C346" t="s">
        <v>22883</v>
      </c>
      <c r="D346" t="s">
        <v>6068</v>
      </c>
      <c r="E346">
        <f t="shared" si="6"/>
        <v>75</v>
      </c>
    </row>
    <row r="347" spans="1:5" x14ac:dyDescent="0.2">
      <c r="A347" t="s">
        <v>14807</v>
      </c>
      <c r="B347" t="s">
        <v>22368</v>
      </c>
      <c r="C347" t="s">
        <v>14808</v>
      </c>
      <c r="D347" t="s">
        <v>6068</v>
      </c>
      <c r="E347">
        <f t="shared" si="6"/>
        <v>75</v>
      </c>
    </row>
    <row r="348" spans="1:5" x14ac:dyDescent="0.2">
      <c r="A348" t="s">
        <v>22884</v>
      </c>
      <c r="B348" t="s">
        <v>22368</v>
      </c>
      <c r="C348" t="s">
        <v>22885</v>
      </c>
      <c r="D348" t="s">
        <v>6068</v>
      </c>
      <c r="E348">
        <f t="shared" si="6"/>
        <v>86</v>
      </c>
    </row>
    <row r="349" spans="1:5" x14ac:dyDescent="0.2">
      <c r="A349" t="s">
        <v>22886</v>
      </c>
      <c r="B349" t="s">
        <v>22368</v>
      </c>
      <c r="C349" t="s">
        <v>22887</v>
      </c>
      <c r="D349" t="s">
        <v>6068</v>
      </c>
      <c r="E349">
        <f t="shared" si="6"/>
        <v>86</v>
      </c>
    </row>
    <row r="350" spans="1:5" x14ac:dyDescent="0.2">
      <c r="A350" t="s">
        <v>22888</v>
      </c>
      <c r="B350" t="s">
        <v>22368</v>
      </c>
      <c r="C350" t="s">
        <v>22889</v>
      </c>
      <c r="D350" t="s">
        <v>6068</v>
      </c>
      <c r="E350">
        <f t="shared" si="6"/>
        <v>86</v>
      </c>
    </row>
    <row r="351" spans="1:5" x14ac:dyDescent="0.2">
      <c r="A351" t="s">
        <v>22890</v>
      </c>
      <c r="B351" t="s">
        <v>22368</v>
      </c>
      <c r="C351" t="s">
        <v>22891</v>
      </c>
      <c r="D351" t="s">
        <v>6068</v>
      </c>
      <c r="E351">
        <f t="shared" si="6"/>
        <v>86</v>
      </c>
    </row>
    <row r="352" spans="1:5" x14ac:dyDescent="0.2">
      <c r="A352" t="s">
        <v>9000</v>
      </c>
      <c r="B352" t="s">
        <v>22368</v>
      </c>
      <c r="C352" t="s">
        <v>10615</v>
      </c>
      <c r="D352" t="s">
        <v>6068</v>
      </c>
      <c r="E352">
        <f t="shared" si="6"/>
        <v>86</v>
      </c>
    </row>
    <row r="353" spans="1:5" x14ac:dyDescent="0.2">
      <c r="A353" t="s">
        <v>22892</v>
      </c>
      <c r="B353" t="s">
        <v>22368</v>
      </c>
      <c r="C353" t="s">
        <v>22893</v>
      </c>
      <c r="D353" t="s">
        <v>6068</v>
      </c>
      <c r="E353">
        <f t="shared" si="6"/>
        <v>139</v>
      </c>
    </row>
    <row r="354" spans="1:5" x14ac:dyDescent="0.2">
      <c r="A354" t="s">
        <v>22894</v>
      </c>
      <c r="B354" t="s">
        <v>22368</v>
      </c>
      <c r="C354" t="s">
        <v>22895</v>
      </c>
      <c r="D354" t="s">
        <v>6068</v>
      </c>
      <c r="E354">
        <f t="shared" si="6"/>
        <v>111</v>
      </c>
    </row>
    <row r="355" spans="1:5" x14ac:dyDescent="0.2">
      <c r="A355" t="s">
        <v>22896</v>
      </c>
      <c r="B355" t="s">
        <v>22368</v>
      </c>
      <c r="C355" t="s">
        <v>22897</v>
      </c>
      <c r="D355" t="s">
        <v>6068</v>
      </c>
      <c r="E355">
        <f t="shared" si="6"/>
        <v>103</v>
      </c>
    </row>
    <row r="356" spans="1:5" x14ac:dyDescent="0.2">
      <c r="A356" t="s">
        <v>22898</v>
      </c>
      <c r="B356" t="s">
        <v>22368</v>
      </c>
      <c r="C356" t="s">
        <v>22899</v>
      </c>
      <c r="D356" t="s">
        <v>6068</v>
      </c>
      <c r="E356">
        <f t="shared" si="6"/>
        <v>137</v>
      </c>
    </row>
    <row r="357" spans="1:5" x14ac:dyDescent="0.2">
      <c r="A357" t="s">
        <v>22898</v>
      </c>
      <c r="B357" t="s">
        <v>22368</v>
      </c>
      <c r="C357" t="s">
        <v>22900</v>
      </c>
      <c r="D357" t="s">
        <v>6068</v>
      </c>
      <c r="E357">
        <f t="shared" si="6"/>
        <v>113</v>
      </c>
    </row>
    <row r="358" spans="1:5" x14ac:dyDescent="0.2">
      <c r="A358" t="s">
        <v>22901</v>
      </c>
      <c r="B358" t="s">
        <v>22368</v>
      </c>
      <c r="C358" t="s">
        <v>22902</v>
      </c>
      <c r="D358" t="s">
        <v>6068</v>
      </c>
      <c r="E358">
        <f t="shared" si="6"/>
        <v>138</v>
      </c>
    </row>
    <row r="359" spans="1:5" x14ac:dyDescent="0.2">
      <c r="A359" t="s">
        <v>22901</v>
      </c>
      <c r="B359" t="s">
        <v>22368</v>
      </c>
      <c r="C359" t="s">
        <v>22900</v>
      </c>
      <c r="D359" t="s">
        <v>6068</v>
      </c>
      <c r="E359">
        <f t="shared" si="6"/>
        <v>113</v>
      </c>
    </row>
    <row r="360" spans="1:5" x14ac:dyDescent="0.2">
      <c r="A360" t="s">
        <v>22903</v>
      </c>
      <c r="B360" t="s">
        <v>22368</v>
      </c>
      <c r="C360" t="s">
        <v>22900</v>
      </c>
      <c r="D360" t="s">
        <v>6068</v>
      </c>
      <c r="E360">
        <f t="shared" si="6"/>
        <v>113</v>
      </c>
    </row>
    <row r="361" spans="1:5" x14ac:dyDescent="0.2">
      <c r="A361" t="s">
        <v>22904</v>
      </c>
      <c r="B361" t="s">
        <v>22368</v>
      </c>
      <c r="C361" t="s">
        <v>22900</v>
      </c>
      <c r="D361" t="s">
        <v>6068</v>
      </c>
      <c r="E361">
        <f t="shared" si="6"/>
        <v>113</v>
      </c>
    </row>
    <row r="362" spans="1:5" x14ac:dyDescent="0.2">
      <c r="A362" t="s">
        <v>10264</v>
      </c>
      <c r="B362" t="s">
        <v>22368</v>
      </c>
      <c r="C362" t="s">
        <v>10640</v>
      </c>
      <c r="D362" t="s">
        <v>6068</v>
      </c>
      <c r="E362">
        <f t="shared" si="6"/>
        <v>113</v>
      </c>
    </row>
    <row r="363" spans="1:5" x14ac:dyDescent="0.2">
      <c r="A363" t="s">
        <v>22905</v>
      </c>
      <c r="B363" t="s">
        <v>22368</v>
      </c>
      <c r="C363" t="s">
        <v>22906</v>
      </c>
      <c r="D363" t="s">
        <v>6068</v>
      </c>
      <c r="E363">
        <f t="shared" si="6"/>
        <v>102</v>
      </c>
    </row>
    <row r="364" spans="1:5" x14ac:dyDescent="0.2">
      <c r="A364" t="s">
        <v>14739</v>
      </c>
      <c r="B364" t="s">
        <v>22368</v>
      </c>
      <c r="C364" t="s">
        <v>14740</v>
      </c>
      <c r="D364" t="s">
        <v>6068</v>
      </c>
      <c r="E364">
        <f t="shared" si="6"/>
        <v>102</v>
      </c>
    </row>
    <row r="365" spans="1:5" x14ac:dyDescent="0.2">
      <c r="A365" t="s">
        <v>22907</v>
      </c>
      <c r="B365" t="s">
        <v>22368</v>
      </c>
      <c r="C365" t="s">
        <v>22908</v>
      </c>
      <c r="D365" t="s">
        <v>6068</v>
      </c>
      <c r="E365">
        <f t="shared" si="6"/>
        <v>101</v>
      </c>
    </row>
    <row r="366" spans="1:5" x14ac:dyDescent="0.2">
      <c r="A366" t="s">
        <v>22909</v>
      </c>
      <c r="B366" t="s">
        <v>22368</v>
      </c>
      <c r="C366" t="s">
        <v>22910</v>
      </c>
      <c r="D366" t="s">
        <v>6068</v>
      </c>
      <c r="E366">
        <f t="shared" si="6"/>
        <v>151</v>
      </c>
    </row>
    <row r="367" spans="1:5" x14ac:dyDescent="0.2">
      <c r="A367" t="s">
        <v>22911</v>
      </c>
      <c r="B367" t="s">
        <v>22368</v>
      </c>
      <c r="C367" t="s">
        <v>22912</v>
      </c>
      <c r="D367" t="s">
        <v>6068</v>
      </c>
      <c r="E367">
        <f t="shared" si="6"/>
        <v>126</v>
      </c>
    </row>
    <row r="368" spans="1:5" x14ac:dyDescent="0.2">
      <c r="A368" t="s">
        <v>9962</v>
      </c>
      <c r="B368" t="s">
        <v>22368</v>
      </c>
      <c r="C368" t="s">
        <v>10622</v>
      </c>
      <c r="D368" t="s">
        <v>6068</v>
      </c>
      <c r="E368">
        <f t="shared" si="6"/>
        <v>67</v>
      </c>
    </row>
    <row r="369" spans="1:5" x14ac:dyDescent="0.2">
      <c r="A369" t="s">
        <v>22913</v>
      </c>
      <c r="B369" t="s">
        <v>22368</v>
      </c>
      <c r="C369" t="s">
        <v>22914</v>
      </c>
      <c r="D369" t="s">
        <v>6068</v>
      </c>
      <c r="E369">
        <f t="shared" si="6"/>
        <v>67</v>
      </c>
    </row>
    <row r="370" spans="1:5" x14ac:dyDescent="0.2">
      <c r="A370" t="s">
        <v>22915</v>
      </c>
      <c r="B370" t="s">
        <v>22368</v>
      </c>
      <c r="C370" t="s">
        <v>22916</v>
      </c>
      <c r="D370" t="s">
        <v>6068</v>
      </c>
      <c r="E370">
        <f t="shared" si="6"/>
        <v>67</v>
      </c>
    </row>
    <row r="371" spans="1:5" x14ac:dyDescent="0.2">
      <c r="A371" t="s">
        <v>22917</v>
      </c>
      <c r="B371" t="s">
        <v>22368</v>
      </c>
      <c r="C371" t="s">
        <v>22918</v>
      </c>
      <c r="D371" t="s">
        <v>6068</v>
      </c>
      <c r="E371">
        <f t="shared" si="6"/>
        <v>67</v>
      </c>
    </row>
    <row r="372" spans="1:5" x14ac:dyDescent="0.2">
      <c r="A372" t="s">
        <v>22919</v>
      </c>
      <c r="B372" t="s">
        <v>22368</v>
      </c>
      <c r="C372" t="s">
        <v>22920</v>
      </c>
      <c r="D372" t="s">
        <v>6068</v>
      </c>
      <c r="E372">
        <f t="shared" si="6"/>
        <v>67</v>
      </c>
    </row>
    <row r="373" spans="1:5" x14ac:dyDescent="0.2">
      <c r="A373" t="s">
        <v>22921</v>
      </c>
      <c r="B373" t="s">
        <v>22368</v>
      </c>
      <c r="C373" t="s">
        <v>22922</v>
      </c>
      <c r="D373" t="s">
        <v>6068</v>
      </c>
      <c r="E373">
        <f t="shared" si="6"/>
        <v>67</v>
      </c>
    </row>
    <row r="374" spans="1:5" x14ac:dyDescent="0.2">
      <c r="A374" t="s">
        <v>9353</v>
      </c>
      <c r="B374" t="s">
        <v>22368</v>
      </c>
      <c r="C374" t="s">
        <v>10623</v>
      </c>
      <c r="D374" t="s">
        <v>6068</v>
      </c>
      <c r="E374">
        <f t="shared" si="6"/>
        <v>67</v>
      </c>
    </row>
    <row r="375" spans="1:5" x14ac:dyDescent="0.2">
      <c r="A375" t="s">
        <v>22923</v>
      </c>
      <c r="B375" t="s">
        <v>22368</v>
      </c>
      <c r="C375" t="s">
        <v>22924</v>
      </c>
      <c r="D375" t="s">
        <v>6068</v>
      </c>
      <c r="E375">
        <f t="shared" si="6"/>
        <v>67</v>
      </c>
    </row>
    <row r="376" spans="1:5" x14ac:dyDescent="0.2">
      <c r="A376" t="s">
        <v>9769</v>
      </c>
      <c r="B376" t="s">
        <v>22368</v>
      </c>
      <c r="C376" t="s">
        <v>10624</v>
      </c>
      <c r="D376" t="s">
        <v>6068</v>
      </c>
      <c r="E376">
        <f t="shared" si="6"/>
        <v>67</v>
      </c>
    </row>
    <row r="377" spans="1:5" x14ac:dyDescent="0.2">
      <c r="A377" t="s">
        <v>22925</v>
      </c>
      <c r="B377" t="s">
        <v>22368</v>
      </c>
      <c r="C377" t="s">
        <v>22926</v>
      </c>
      <c r="D377" t="s">
        <v>6068</v>
      </c>
      <c r="E377">
        <f t="shared" si="6"/>
        <v>67</v>
      </c>
    </row>
    <row r="378" spans="1:5" x14ac:dyDescent="0.2">
      <c r="A378" t="s">
        <v>22927</v>
      </c>
      <c r="B378" t="s">
        <v>22368</v>
      </c>
      <c r="C378" t="s">
        <v>22928</v>
      </c>
      <c r="D378" t="s">
        <v>6068</v>
      </c>
      <c r="E378">
        <f t="shared" si="6"/>
        <v>67</v>
      </c>
    </row>
    <row r="379" spans="1:5" x14ac:dyDescent="0.2">
      <c r="A379" t="s">
        <v>22929</v>
      </c>
      <c r="B379" t="s">
        <v>22368</v>
      </c>
      <c r="C379" t="s">
        <v>22930</v>
      </c>
      <c r="D379" t="s">
        <v>6068</v>
      </c>
      <c r="E379">
        <f t="shared" si="6"/>
        <v>67</v>
      </c>
    </row>
    <row r="380" spans="1:5" x14ac:dyDescent="0.2">
      <c r="A380" t="s">
        <v>22931</v>
      </c>
      <c r="B380" t="s">
        <v>22368</v>
      </c>
      <c r="C380" t="s">
        <v>22932</v>
      </c>
      <c r="D380" t="s">
        <v>6068</v>
      </c>
      <c r="E380">
        <f t="shared" si="6"/>
        <v>66</v>
      </c>
    </row>
    <row r="381" spans="1:5" x14ac:dyDescent="0.2">
      <c r="A381" t="s">
        <v>22933</v>
      </c>
      <c r="B381" t="s">
        <v>22368</v>
      </c>
      <c r="C381" t="s">
        <v>22934</v>
      </c>
      <c r="D381" t="s">
        <v>6068</v>
      </c>
      <c r="E381">
        <f t="shared" si="6"/>
        <v>66</v>
      </c>
    </row>
    <row r="382" spans="1:5" x14ac:dyDescent="0.2">
      <c r="A382" t="s">
        <v>22935</v>
      </c>
      <c r="B382" t="s">
        <v>22368</v>
      </c>
      <c r="C382" t="s">
        <v>22936</v>
      </c>
      <c r="D382" t="s">
        <v>6068</v>
      </c>
      <c r="E382">
        <f t="shared" si="6"/>
        <v>66</v>
      </c>
    </row>
    <row r="383" spans="1:5" x14ac:dyDescent="0.2">
      <c r="A383" t="s">
        <v>22937</v>
      </c>
      <c r="B383" t="s">
        <v>22368</v>
      </c>
      <c r="C383" t="s">
        <v>22938</v>
      </c>
      <c r="D383" t="s">
        <v>6068</v>
      </c>
      <c r="E383">
        <f t="shared" si="6"/>
        <v>66</v>
      </c>
    </row>
    <row r="384" spans="1:5" x14ac:dyDescent="0.2">
      <c r="A384" t="s">
        <v>22939</v>
      </c>
      <c r="B384" t="s">
        <v>22368</v>
      </c>
      <c r="C384" t="s">
        <v>22940</v>
      </c>
      <c r="D384" t="s">
        <v>6068</v>
      </c>
      <c r="E384">
        <f t="shared" si="6"/>
        <v>66</v>
      </c>
    </row>
    <row r="385" spans="1:5" x14ac:dyDescent="0.2">
      <c r="A385" t="s">
        <v>22238</v>
      </c>
      <c r="B385" t="s">
        <v>22368</v>
      </c>
      <c r="C385" t="s">
        <v>22941</v>
      </c>
      <c r="D385" t="s">
        <v>6068</v>
      </c>
      <c r="E385">
        <f t="shared" si="6"/>
        <v>54</v>
      </c>
    </row>
    <row r="386" spans="1:5" x14ac:dyDescent="0.2">
      <c r="A386" t="s">
        <v>22942</v>
      </c>
      <c r="B386" t="s">
        <v>22368</v>
      </c>
      <c r="C386" t="s">
        <v>22943</v>
      </c>
      <c r="D386" t="s">
        <v>6068</v>
      </c>
      <c r="E386">
        <f t="shared" si="6"/>
        <v>54</v>
      </c>
    </row>
    <row r="387" spans="1:5" x14ac:dyDescent="0.2">
      <c r="A387" t="s">
        <v>22944</v>
      </c>
      <c r="B387" t="s">
        <v>22368</v>
      </c>
      <c r="C387" t="s">
        <v>22945</v>
      </c>
      <c r="D387" t="s">
        <v>6068</v>
      </c>
      <c r="E387">
        <f t="shared" si="6"/>
        <v>54</v>
      </c>
    </row>
    <row r="388" spans="1:5" x14ac:dyDescent="0.2">
      <c r="A388" t="s">
        <v>22946</v>
      </c>
      <c r="B388" t="s">
        <v>22368</v>
      </c>
      <c r="C388" t="s">
        <v>22947</v>
      </c>
      <c r="D388" t="s">
        <v>6068</v>
      </c>
      <c r="E388">
        <f t="shared" si="6"/>
        <v>54</v>
      </c>
    </row>
    <row r="389" spans="1:5" x14ac:dyDescent="0.2">
      <c r="A389" t="s">
        <v>9924</v>
      </c>
      <c r="B389" t="s">
        <v>22368</v>
      </c>
      <c r="C389" t="s">
        <v>10618</v>
      </c>
      <c r="D389" t="s">
        <v>6068</v>
      </c>
      <c r="E389">
        <f t="shared" si="6"/>
        <v>54</v>
      </c>
    </row>
    <row r="390" spans="1:5" x14ac:dyDescent="0.2">
      <c r="A390" t="s">
        <v>22948</v>
      </c>
      <c r="B390" t="s">
        <v>22368</v>
      </c>
      <c r="C390" t="s">
        <v>22949</v>
      </c>
      <c r="D390" t="s">
        <v>6068</v>
      </c>
      <c r="E390">
        <f t="shared" si="6"/>
        <v>54</v>
      </c>
    </row>
    <row r="391" spans="1:5" x14ac:dyDescent="0.2">
      <c r="A391" t="s">
        <v>22950</v>
      </c>
      <c r="B391" t="s">
        <v>22368</v>
      </c>
      <c r="C391" t="s">
        <v>22951</v>
      </c>
      <c r="D391" t="s">
        <v>6068</v>
      </c>
      <c r="E391">
        <f t="shared" si="6"/>
        <v>54</v>
      </c>
    </row>
    <row r="392" spans="1:5" x14ac:dyDescent="0.2">
      <c r="A392" t="s">
        <v>22952</v>
      </c>
      <c r="B392" t="s">
        <v>22368</v>
      </c>
      <c r="C392" t="s">
        <v>22953</v>
      </c>
      <c r="D392" t="s">
        <v>6068</v>
      </c>
      <c r="E392">
        <f t="shared" si="6"/>
        <v>54</v>
      </c>
    </row>
    <row r="393" spans="1:5" x14ac:dyDescent="0.2">
      <c r="A393" t="s">
        <v>22954</v>
      </c>
      <c r="B393" t="s">
        <v>22368</v>
      </c>
      <c r="C393" t="s">
        <v>22955</v>
      </c>
      <c r="D393" t="s">
        <v>6068</v>
      </c>
      <c r="E393">
        <f t="shared" si="6"/>
        <v>54</v>
      </c>
    </row>
    <row r="394" spans="1:5" x14ac:dyDescent="0.2">
      <c r="A394" t="s">
        <v>8885</v>
      </c>
      <c r="B394" t="s">
        <v>22368</v>
      </c>
      <c r="C394" t="s">
        <v>10619</v>
      </c>
      <c r="D394" t="s">
        <v>6068</v>
      </c>
      <c r="E394">
        <f t="shared" si="6"/>
        <v>54</v>
      </c>
    </row>
    <row r="395" spans="1:5" x14ac:dyDescent="0.2">
      <c r="A395" t="s">
        <v>22956</v>
      </c>
      <c r="B395" t="s">
        <v>22368</v>
      </c>
      <c r="C395" t="s">
        <v>22957</v>
      </c>
      <c r="D395" t="s">
        <v>6068</v>
      </c>
      <c r="E395">
        <f t="shared" si="6"/>
        <v>54</v>
      </c>
    </row>
    <row r="396" spans="1:5" x14ac:dyDescent="0.2">
      <c r="A396" t="s">
        <v>22958</v>
      </c>
      <c r="B396" t="s">
        <v>22368</v>
      </c>
      <c r="C396" t="s">
        <v>22959</v>
      </c>
      <c r="D396" t="s">
        <v>6068</v>
      </c>
      <c r="E396">
        <f t="shared" ref="E396:E459" si="7">+LEN(C396)</f>
        <v>54</v>
      </c>
    </row>
    <row r="397" spans="1:5" x14ac:dyDescent="0.2">
      <c r="A397" t="s">
        <v>22960</v>
      </c>
      <c r="B397" t="s">
        <v>22368</v>
      </c>
      <c r="C397" t="s">
        <v>22961</v>
      </c>
      <c r="D397" t="s">
        <v>6068</v>
      </c>
      <c r="E397">
        <f t="shared" si="7"/>
        <v>54</v>
      </c>
    </row>
    <row r="398" spans="1:5" x14ac:dyDescent="0.2">
      <c r="A398" t="s">
        <v>22962</v>
      </c>
      <c r="B398" t="s">
        <v>22368</v>
      </c>
      <c r="C398" t="s">
        <v>22963</v>
      </c>
      <c r="D398" t="s">
        <v>6068</v>
      </c>
      <c r="E398">
        <f t="shared" si="7"/>
        <v>54</v>
      </c>
    </row>
    <row r="399" spans="1:5" x14ac:dyDescent="0.2">
      <c r="A399" t="s">
        <v>10082</v>
      </c>
      <c r="B399" t="s">
        <v>22368</v>
      </c>
      <c r="C399" t="s">
        <v>10620</v>
      </c>
      <c r="D399" t="s">
        <v>6068</v>
      </c>
      <c r="E399">
        <f t="shared" si="7"/>
        <v>54</v>
      </c>
    </row>
    <row r="400" spans="1:5" x14ac:dyDescent="0.2">
      <c r="A400" t="s">
        <v>22964</v>
      </c>
      <c r="B400" t="s">
        <v>22368</v>
      </c>
      <c r="C400" t="s">
        <v>22965</v>
      </c>
      <c r="D400" t="s">
        <v>6068</v>
      </c>
      <c r="E400">
        <f t="shared" si="7"/>
        <v>54</v>
      </c>
    </row>
    <row r="401" spans="1:5" x14ac:dyDescent="0.2">
      <c r="A401" t="s">
        <v>22966</v>
      </c>
      <c r="B401" t="s">
        <v>22368</v>
      </c>
      <c r="C401" t="s">
        <v>22967</v>
      </c>
      <c r="D401" t="s">
        <v>6068</v>
      </c>
      <c r="E401">
        <f t="shared" si="7"/>
        <v>54</v>
      </c>
    </row>
    <row r="402" spans="1:5" x14ac:dyDescent="0.2">
      <c r="A402" t="s">
        <v>22968</v>
      </c>
      <c r="B402" t="s">
        <v>22368</v>
      </c>
      <c r="C402" t="s">
        <v>22969</v>
      </c>
      <c r="D402" t="s">
        <v>6068</v>
      </c>
      <c r="E402">
        <f t="shared" si="7"/>
        <v>54</v>
      </c>
    </row>
    <row r="403" spans="1:5" x14ac:dyDescent="0.2">
      <c r="A403" t="s">
        <v>22970</v>
      </c>
      <c r="B403" t="s">
        <v>22368</v>
      </c>
      <c r="C403" t="s">
        <v>22971</v>
      </c>
      <c r="D403" t="s">
        <v>6068</v>
      </c>
      <c r="E403">
        <f t="shared" si="7"/>
        <v>54</v>
      </c>
    </row>
    <row r="404" spans="1:5" x14ac:dyDescent="0.2">
      <c r="A404" t="s">
        <v>22972</v>
      </c>
      <c r="B404" t="s">
        <v>22368</v>
      </c>
      <c r="C404" t="s">
        <v>22973</v>
      </c>
      <c r="D404" t="s">
        <v>6068</v>
      </c>
      <c r="E404">
        <f t="shared" si="7"/>
        <v>84</v>
      </c>
    </row>
    <row r="405" spans="1:5" x14ac:dyDescent="0.2">
      <c r="A405" t="s">
        <v>22974</v>
      </c>
      <c r="B405" t="s">
        <v>22368</v>
      </c>
      <c r="C405" t="s">
        <v>22975</v>
      </c>
      <c r="D405" t="s">
        <v>6068</v>
      </c>
      <c r="E405">
        <f t="shared" si="7"/>
        <v>84</v>
      </c>
    </row>
    <row r="406" spans="1:5" x14ac:dyDescent="0.2">
      <c r="A406" t="s">
        <v>22976</v>
      </c>
      <c r="B406" t="s">
        <v>22368</v>
      </c>
      <c r="C406" t="s">
        <v>22977</v>
      </c>
      <c r="D406" t="s">
        <v>6068</v>
      </c>
      <c r="E406">
        <f t="shared" si="7"/>
        <v>84</v>
      </c>
    </row>
    <row r="407" spans="1:5" x14ac:dyDescent="0.2">
      <c r="A407" t="s">
        <v>22978</v>
      </c>
      <c r="B407" t="s">
        <v>22368</v>
      </c>
      <c r="C407" t="s">
        <v>22979</v>
      </c>
      <c r="D407" t="s">
        <v>6068</v>
      </c>
      <c r="E407">
        <f t="shared" si="7"/>
        <v>84</v>
      </c>
    </row>
    <row r="408" spans="1:5" x14ac:dyDescent="0.2">
      <c r="A408" t="s">
        <v>22980</v>
      </c>
      <c r="B408" t="s">
        <v>22368</v>
      </c>
      <c r="C408" t="s">
        <v>22981</v>
      </c>
      <c r="D408" t="s">
        <v>6068</v>
      </c>
      <c r="E408">
        <f t="shared" si="7"/>
        <v>84</v>
      </c>
    </row>
    <row r="409" spans="1:5" x14ac:dyDescent="0.2">
      <c r="A409" t="s">
        <v>22982</v>
      </c>
      <c r="B409" t="s">
        <v>22368</v>
      </c>
      <c r="C409" t="s">
        <v>22983</v>
      </c>
      <c r="D409" t="s">
        <v>6068</v>
      </c>
      <c r="E409">
        <f t="shared" si="7"/>
        <v>82</v>
      </c>
    </row>
    <row r="410" spans="1:5" x14ac:dyDescent="0.2">
      <c r="A410" t="s">
        <v>11203</v>
      </c>
      <c r="B410" t="s">
        <v>22368</v>
      </c>
      <c r="C410" t="s">
        <v>12581</v>
      </c>
      <c r="D410" t="s">
        <v>6068</v>
      </c>
      <c r="E410">
        <f t="shared" si="7"/>
        <v>82</v>
      </c>
    </row>
    <row r="411" spans="1:5" x14ac:dyDescent="0.2">
      <c r="A411" t="s">
        <v>11225</v>
      </c>
      <c r="B411" t="s">
        <v>22368</v>
      </c>
      <c r="C411" t="s">
        <v>12583</v>
      </c>
      <c r="D411" t="s">
        <v>6068</v>
      </c>
      <c r="E411">
        <f t="shared" si="7"/>
        <v>106</v>
      </c>
    </row>
    <row r="412" spans="1:5" x14ac:dyDescent="0.2">
      <c r="A412" t="s">
        <v>22984</v>
      </c>
      <c r="B412" t="s">
        <v>22368</v>
      </c>
      <c r="C412" t="s">
        <v>22985</v>
      </c>
      <c r="D412" t="s">
        <v>6068</v>
      </c>
      <c r="E412">
        <f t="shared" si="7"/>
        <v>105</v>
      </c>
    </row>
    <row r="413" spans="1:5" x14ac:dyDescent="0.2">
      <c r="A413" t="s">
        <v>22986</v>
      </c>
      <c r="B413" t="s">
        <v>22368</v>
      </c>
      <c r="C413" t="s">
        <v>22987</v>
      </c>
      <c r="D413" t="s">
        <v>6068</v>
      </c>
      <c r="E413">
        <f t="shared" si="7"/>
        <v>82</v>
      </c>
    </row>
    <row r="414" spans="1:5" x14ac:dyDescent="0.2">
      <c r="A414" t="s">
        <v>22988</v>
      </c>
      <c r="B414" t="s">
        <v>22368</v>
      </c>
      <c r="C414" t="s">
        <v>22989</v>
      </c>
      <c r="D414" t="s">
        <v>6068</v>
      </c>
      <c r="E414">
        <f t="shared" si="7"/>
        <v>82</v>
      </c>
    </row>
    <row r="415" spans="1:5" x14ac:dyDescent="0.2">
      <c r="A415" t="s">
        <v>22990</v>
      </c>
      <c r="B415" t="s">
        <v>22368</v>
      </c>
      <c r="C415" t="s">
        <v>22991</v>
      </c>
      <c r="D415" t="s">
        <v>6068</v>
      </c>
      <c r="E415">
        <f t="shared" si="7"/>
        <v>82</v>
      </c>
    </row>
    <row r="416" spans="1:5" x14ac:dyDescent="0.2">
      <c r="A416" t="s">
        <v>22992</v>
      </c>
      <c r="B416" t="s">
        <v>22368</v>
      </c>
      <c r="C416" t="s">
        <v>22993</v>
      </c>
      <c r="D416" t="s">
        <v>6068</v>
      </c>
      <c r="E416">
        <f t="shared" si="7"/>
        <v>96</v>
      </c>
    </row>
    <row r="417" spans="1:5" x14ac:dyDescent="0.2">
      <c r="A417" t="s">
        <v>22994</v>
      </c>
      <c r="B417" t="s">
        <v>22368</v>
      </c>
      <c r="C417" t="s">
        <v>22995</v>
      </c>
      <c r="D417" t="s">
        <v>6068</v>
      </c>
      <c r="E417">
        <f t="shared" si="7"/>
        <v>103</v>
      </c>
    </row>
    <row r="418" spans="1:5" x14ac:dyDescent="0.2">
      <c r="A418" t="s">
        <v>9828</v>
      </c>
      <c r="B418" t="s">
        <v>22368</v>
      </c>
      <c r="C418" t="s">
        <v>10630</v>
      </c>
      <c r="D418" t="s">
        <v>6068</v>
      </c>
      <c r="E418">
        <f t="shared" si="7"/>
        <v>104</v>
      </c>
    </row>
    <row r="419" spans="1:5" x14ac:dyDescent="0.2">
      <c r="A419" t="s">
        <v>22996</v>
      </c>
      <c r="B419" t="s">
        <v>22368</v>
      </c>
      <c r="C419" t="s">
        <v>22997</v>
      </c>
      <c r="D419" t="s">
        <v>6068</v>
      </c>
      <c r="E419">
        <f t="shared" si="7"/>
        <v>84</v>
      </c>
    </row>
    <row r="420" spans="1:5" x14ac:dyDescent="0.2">
      <c r="A420" t="s">
        <v>22998</v>
      </c>
      <c r="B420" t="s">
        <v>22368</v>
      </c>
      <c r="C420" t="s">
        <v>22999</v>
      </c>
      <c r="D420" t="s">
        <v>6068</v>
      </c>
      <c r="E420">
        <f t="shared" si="7"/>
        <v>84</v>
      </c>
    </row>
    <row r="421" spans="1:5" x14ac:dyDescent="0.2">
      <c r="A421" t="s">
        <v>23000</v>
      </c>
      <c r="B421" t="s">
        <v>22368</v>
      </c>
      <c r="C421" t="s">
        <v>23001</v>
      </c>
      <c r="D421" t="s">
        <v>6068</v>
      </c>
      <c r="E421">
        <f t="shared" si="7"/>
        <v>84</v>
      </c>
    </row>
    <row r="422" spans="1:5" x14ac:dyDescent="0.2">
      <c r="A422" t="s">
        <v>23002</v>
      </c>
      <c r="B422" t="s">
        <v>22368</v>
      </c>
      <c r="C422" t="s">
        <v>23003</v>
      </c>
      <c r="D422" t="s">
        <v>6068</v>
      </c>
      <c r="E422">
        <f t="shared" si="7"/>
        <v>84</v>
      </c>
    </row>
    <row r="423" spans="1:5" x14ac:dyDescent="0.2">
      <c r="A423" t="s">
        <v>9545</v>
      </c>
      <c r="B423" t="s">
        <v>22368</v>
      </c>
      <c r="C423" t="s">
        <v>10631</v>
      </c>
      <c r="D423" t="s">
        <v>6068</v>
      </c>
      <c r="E423">
        <f t="shared" si="7"/>
        <v>84</v>
      </c>
    </row>
    <row r="424" spans="1:5" x14ac:dyDescent="0.2">
      <c r="A424" t="s">
        <v>23004</v>
      </c>
      <c r="B424" t="s">
        <v>22368</v>
      </c>
      <c r="C424" t="s">
        <v>23005</v>
      </c>
      <c r="D424" t="s">
        <v>6068</v>
      </c>
      <c r="E424">
        <f t="shared" si="7"/>
        <v>77</v>
      </c>
    </row>
    <row r="425" spans="1:5" x14ac:dyDescent="0.2">
      <c r="A425" t="s">
        <v>23006</v>
      </c>
      <c r="B425" t="s">
        <v>22368</v>
      </c>
      <c r="C425" t="s">
        <v>23007</v>
      </c>
      <c r="D425" t="s">
        <v>6068</v>
      </c>
      <c r="E425">
        <f t="shared" si="7"/>
        <v>77</v>
      </c>
    </row>
    <row r="426" spans="1:5" x14ac:dyDescent="0.2">
      <c r="A426" t="s">
        <v>23008</v>
      </c>
      <c r="B426" t="s">
        <v>22368</v>
      </c>
      <c r="C426" t="s">
        <v>23009</v>
      </c>
      <c r="D426" t="s">
        <v>6068</v>
      </c>
      <c r="E426">
        <f t="shared" si="7"/>
        <v>77</v>
      </c>
    </row>
    <row r="427" spans="1:5" x14ac:dyDescent="0.2">
      <c r="A427" t="s">
        <v>23010</v>
      </c>
      <c r="B427" t="s">
        <v>22368</v>
      </c>
      <c r="C427" t="s">
        <v>23011</v>
      </c>
      <c r="D427" t="s">
        <v>6068</v>
      </c>
      <c r="E427">
        <f t="shared" si="7"/>
        <v>77</v>
      </c>
    </row>
    <row r="428" spans="1:5" x14ac:dyDescent="0.2">
      <c r="A428" t="s">
        <v>14741</v>
      </c>
      <c r="B428" t="s">
        <v>22368</v>
      </c>
      <c r="C428" t="s">
        <v>14742</v>
      </c>
      <c r="D428" t="s">
        <v>6068</v>
      </c>
      <c r="E428">
        <f t="shared" si="7"/>
        <v>77</v>
      </c>
    </row>
    <row r="429" spans="1:5" x14ac:dyDescent="0.2">
      <c r="A429" t="s">
        <v>23012</v>
      </c>
      <c r="B429" t="s">
        <v>22368</v>
      </c>
      <c r="C429" t="s">
        <v>23013</v>
      </c>
      <c r="D429" t="s">
        <v>6068</v>
      </c>
      <c r="E429">
        <f t="shared" si="7"/>
        <v>70</v>
      </c>
    </row>
    <row r="430" spans="1:5" x14ac:dyDescent="0.2">
      <c r="A430" t="s">
        <v>23014</v>
      </c>
      <c r="B430" t="s">
        <v>22368</v>
      </c>
      <c r="C430" t="s">
        <v>23015</v>
      </c>
      <c r="D430" t="s">
        <v>6068</v>
      </c>
      <c r="E430">
        <f t="shared" si="7"/>
        <v>70</v>
      </c>
    </row>
    <row r="431" spans="1:5" x14ac:dyDescent="0.2">
      <c r="A431" t="s">
        <v>23016</v>
      </c>
      <c r="B431" t="s">
        <v>22368</v>
      </c>
      <c r="C431" t="s">
        <v>23017</v>
      </c>
      <c r="D431" t="s">
        <v>6068</v>
      </c>
      <c r="E431">
        <f t="shared" si="7"/>
        <v>78</v>
      </c>
    </row>
    <row r="432" spans="1:5" x14ac:dyDescent="0.2">
      <c r="A432" t="s">
        <v>9592</v>
      </c>
      <c r="B432" t="s">
        <v>22368</v>
      </c>
      <c r="C432" t="s">
        <v>10617</v>
      </c>
      <c r="D432" t="s">
        <v>6068</v>
      </c>
      <c r="E432">
        <f t="shared" si="7"/>
        <v>78</v>
      </c>
    </row>
    <row r="433" spans="1:5" x14ac:dyDescent="0.2">
      <c r="A433" t="s">
        <v>23018</v>
      </c>
      <c r="B433" t="s">
        <v>22368</v>
      </c>
      <c r="C433" t="s">
        <v>23019</v>
      </c>
      <c r="D433" t="s">
        <v>6068</v>
      </c>
      <c r="E433">
        <f t="shared" si="7"/>
        <v>81</v>
      </c>
    </row>
    <row r="434" spans="1:5" x14ac:dyDescent="0.2">
      <c r="A434" t="s">
        <v>23020</v>
      </c>
      <c r="B434" t="s">
        <v>22368</v>
      </c>
      <c r="C434" t="s">
        <v>23021</v>
      </c>
      <c r="D434" t="s">
        <v>6068</v>
      </c>
      <c r="E434">
        <f t="shared" si="7"/>
        <v>81</v>
      </c>
    </row>
    <row r="435" spans="1:5" x14ac:dyDescent="0.2">
      <c r="A435" t="s">
        <v>23022</v>
      </c>
      <c r="B435" t="s">
        <v>22368</v>
      </c>
      <c r="C435" t="s">
        <v>23023</v>
      </c>
      <c r="D435" t="s">
        <v>6068</v>
      </c>
      <c r="E435">
        <f t="shared" si="7"/>
        <v>71</v>
      </c>
    </row>
    <row r="436" spans="1:5" x14ac:dyDescent="0.2">
      <c r="A436" t="s">
        <v>23024</v>
      </c>
      <c r="B436" t="s">
        <v>22368</v>
      </c>
      <c r="C436" t="s">
        <v>23025</v>
      </c>
      <c r="D436" t="s">
        <v>6068</v>
      </c>
      <c r="E436">
        <f t="shared" si="7"/>
        <v>71</v>
      </c>
    </row>
    <row r="437" spans="1:5" x14ac:dyDescent="0.2">
      <c r="A437" t="s">
        <v>23026</v>
      </c>
      <c r="B437" t="s">
        <v>22368</v>
      </c>
      <c r="C437" t="s">
        <v>23027</v>
      </c>
      <c r="D437" t="s">
        <v>6068</v>
      </c>
      <c r="E437">
        <f t="shared" si="7"/>
        <v>71</v>
      </c>
    </row>
    <row r="438" spans="1:5" x14ac:dyDescent="0.2">
      <c r="A438" t="s">
        <v>14811</v>
      </c>
      <c r="B438" t="s">
        <v>22368</v>
      </c>
      <c r="C438" t="s">
        <v>14812</v>
      </c>
      <c r="D438" t="s">
        <v>6068</v>
      </c>
      <c r="E438">
        <f t="shared" si="7"/>
        <v>73</v>
      </c>
    </row>
    <row r="439" spans="1:5" x14ac:dyDescent="0.2">
      <c r="A439" t="s">
        <v>23028</v>
      </c>
      <c r="B439" t="s">
        <v>22368</v>
      </c>
      <c r="C439" t="s">
        <v>23029</v>
      </c>
      <c r="D439" t="s">
        <v>6068</v>
      </c>
      <c r="E439">
        <f t="shared" si="7"/>
        <v>73</v>
      </c>
    </row>
    <row r="440" spans="1:5" x14ac:dyDescent="0.2">
      <c r="A440" t="s">
        <v>23030</v>
      </c>
      <c r="B440" t="s">
        <v>22368</v>
      </c>
      <c r="C440" t="s">
        <v>23031</v>
      </c>
      <c r="D440" t="s">
        <v>6068</v>
      </c>
      <c r="E440">
        <f t="shared" si="7"/>
        <v>73</v>
      </c>
    </row>
    <row r="441" spans="1:5" x14ac:dyDescent="0.2">
      <c r="A441" t="s">
        <v>23032</v>
      </c>
      <c r="B441" t="s">
        <v>22368</v>
      </c>
      <c r="C441" t="s">
        <v>23033</v>
      </c>
      <c r="D441" t="s">
        <v>6068</v>
      </c>
      <c r="E441">
        <f t="shared" si="7"/>
        <v>72</v>
      </c>
    </row>
    <row r="442" spans="1:5" x14ac:dyDescent="0.2">
      <c r="A442" t="s">
        <v>23034</v>
      </c>
      <c r="B442" t="s">
        <v>22368</v>
      </c>
      <c r="C442" t="s">
        <v>23035</v>
      </c>
      <c r="D442" t="s">
        <v>6068</v>
      </c>
      <c r="E442">
        <f t="shared" si="7"/>
        <v>72</v>
      </c>
    </row>
    <row r="443" spans="1:5" x14ac:dyDescent="0.2">
      <c r="A443" t="s">
        <v>14743</v>
      </c>
      <c r="B443" t="s">
        <v>22368</v>
      </c>
      <c r="C443" t="s">
        <v>14744</v>
      </c>
      <c r="D443" t="s">
        <v>6068</v>
      </c>
      <c r="E443">
        <f t="shared" si="7"/>
        <v>72</v>
      </c>
    </row>
    <row r="444" spans="1:5" x14ac:dyDescent="0.2">
      <c r="A444" t="s">
        <v>23036</v>
      </c>
      <c r="B444" t="s">
        <v>22368</v>
      </c>
      <c r="C444" t="s">
        <v>23037</v>
      </c>
      <c r="D444" t="s">
        <v>6068</v>
      </c>
      <c r="E444">
        <f t="shared" si="7"/>
        <v>72</v>
      </c>
    </row>
    <row r="445" spans="1:5" x14ac:dyDescent="0.2">
      <c r="A445" t="s">
        <v>23038</v>
      </c>
      <c r="B445" t="s">
        <v>22368</v>
      </c>
      <c r="C445" t="s">
        <v>23039</v>
      </c>
      <c r="D445" t="s">
        <v>6068</v>
      </c>
      <c r="E445">
        <f t="shared" si="7"/>
        <v>72</v>
      </c>
    </row>
    <row r="446" spans="1:5" x14ac:dyDescent="0.2">
      <c r="A446" t="s">
        <v>23040</v>
      </c>
      <c r="B446" t="s">
        <v>22368</v>
      </c>
      <c r="C446" t="s">
        <v>23041</v>
      </c>
      <c r="D446" t="s">
        <v>6068</v>
      </c>
      <c r="E446">
        <f t="shared" si="7"/>
        <v>83</v>
      </c>
    </row>
    <row r="447" spans="1:5" x14ac:dyDescent="0.2">
      <c r="A447" t="s">
        <v>23042</v>
      </c>
      <c r="B447" t="s">
        <v>22368</v>
      </c>
      <c r="C447" t="s">
        <v>23043</v>
      </c>
      <c r="D447" t="s">
        <v>6068</v>
      </c>
      <c r="E447">
        <f t="shared" si="7"/>
        <v>315</v>
      </c>
    </row>
    <row r="448" spans="1:5" x14ac:dyDescent="0.2">
      <c r="A448" t="s">
        <v>23042</v>
      </c>
      <c r="B448" t="s">
        <v>22368</v>
      </c>
      <c r="C448" t="s">
        <v>23044</v>
      </c>
      <c r="D448" t="s">
        <v>6068</v>
      </c>
      <c r="E448">
        <f t="shared" si="7"/>
        <v>375</v>
      </c>
    </row>
    <row r="449" spans="1:5" x14ac:dyDescent="0.2">
      <c r="A449" t="s">
        <v>23045</v>
      </c>
      <c r="B449" t="s">
        <v>22368</v>
      </c>
      <c r="C449" t="s">
        <v>23046</v>
      </c>
      <c r="D449" t="s">
        <v>6068</v>
      </c>
      <c r="E449">
        <f t="shared" si="7"/>
        <v>315</v>
      </c>
    </row>
    <row r="450" spans="1:5" x14ac:dyDescent="0.2">
      <c r="A450" t="s">
        <v>23045</v>
      </c>
      <c r="B450" t="s">
        <v>22368</v>
      </c>
      <c r="C450" t="s">
        <v>23047</v>
      </c>
      <c r="D450" t="s">
        <v>6068</v>
      </c>
      <c r="E450">
        <f t="shared" si="7"/>
        <v>375</v>
      </c>
    </row>
    <row r="451" spans="1:5" x14ac:dyDescent="0.2">
      <c r="A451" t="s">
        <v>23048</v>
      </c>
      <c r="B451" t="s">
        <v>22368</v>
      </c>
      <c r="C451" t="s">
        <v>23049</v>
      </c>
      <c r="D451" t="s">
        <v>6068</v>
      </c>
      <c r="E451">
        <f t="shared" si="7"/>
        <v>375</v>
      </c>
    </row>
    <row r="452" spans="1:5" x14ac:dyDescent="0.2">
      <c r="A452" t="s">
        <v>23050</v>
      </c>
      <c r="B452" t="s">
        <v>22368</v>
      </c>
      <c r="C452" t="s">
        <v>23051</v>
      </c>
      <c r="D452" t="s">
        <v>6068</v>
      </c>
      <c r="E452">
        <f t="shared" si="7"/>
        <v>375</v>
      </c>
    </row>
    <row r="453" spans="1:5" x14ac:dyDescent="0.2">
      <c r="A453" t="s">
        <v>10263</v>
      </c>
      <c r="B453" t="s">
        <v>22368</v>
      </c>
      <c r="C453" t="s">
        <v>10616</v>
      </c>
      <c r="D453" t="s">
        <v>6068</v>
      </c>
      <c r="E453">
        <f t="shared" si="7"/>
        <v>375</v>
      </c>
    </row>
    <row r="454" spans="1:5" x14ac:dyDescent="0.2">
      <c r="A454" t="s">
        <v>23052</v>
      </c>
      <c r="B454" t="s">
        <v>22368</v>
      </c>
      <c r="C454" t="s">
        <v>23053</v>
      </c>
      <c r="D454" t="s">
        <v>6068</v>
      </c>
      <c r="E454">
        <f t="shared" si="7"/>
        <v>120</v>
      </c>
    </row>
    <row r="455" spans="1:5" x14ac:dyDescent="0.2">
      <c r="A455" t="s">
        <v>23054</v>
      </c>
      <c r="B455" t="s">
        <v>22368</v>
      </c>
      <c r="C455" t="s">
        <v>23055</v>
      </c>
      <c r="D455" t="s">
        <v>6068</v>
      </c>
      <c r="E455">
        <f t="shared" si="7"/>
        <v>120</v>
      </c>
    </row>
    <row r="456" spans="1:5" x14ac:dyDescent="0.2">
      <c r="A456" t="s">
        <v>23056</v>
      </c>
      <c r="B456" t="s">
        <v>22368</v>
      </c>
      <c r="C456" t="s">
        <v>23057</v>
      </c>
      <c r="D456" t="s">
        <v>6068</v>
      </c>
      <c r="E456">
        <f t="shared" si="7"/>
        <v>128</v>
      </c>
    </row>
    <row r="457" spans="1:5" x14ac:dyDescent="0.2">
      <c r="A457" t="s">
        <v>10238</v>
      </c>
      <c r="B457" t="s">
        <v>22368</v>
      </c>
      <c r="C457" t="s">
        <v>10621</v>
      </c>
      <c r="D457" t="s">
        <v>6068</v>
      </c>
      <c r="E457">
        <f t="shared" si="7"/>
        <v>128</v>
      </c>
    </row>
    <row r="458" spans="1:5" x14ac:dyDescent="0.2">
      <c r="A458" t="s">
        <v>23058</v>
      </c>
      <c r="B458" t="s">
        <v>22368</v>
      </c>
      <c r="C458" t="s">
        <v>23059</v>
      </c>
      <c r="D458" t="s">
        <v>6068</v>
      </c>
      <c r="E458">
        <f t="shared" si="7"/>
        <v>85</v>
      </c>
    </row>
    <row r="459" spans="1:5" x14ac:dyDescent="0.2">
      <c r="A459" t="s">
        <v>23060</v>
      </c>
      <c r="B459" t="s">
        <v>22368</v>
      </c>
      <c r="C459" t="s">
        <v>23061</v>
      </c>
      <c r="D459" t="s">
        <v>6068</v>
      </c>
      <c r="E459">
        <f t="shared" si="7"/>
        <v>85</v>
      </c>
    </row>
    <row r="460" spans="1:5" x14ac:dyDescent="0.2">
      <c r="A460" t="s">
        <v>23062</v>
      </c>
      <c r="B460" t="s">
        <v>22368</v>
      </c>
      <c r="C460" t="s">
        <v>23063</v>
      </c>
      <c r="D460" t="s">
        <v>6068</v>
      </c>
      <c r="E460">
        <f t="shared" ref="E460:E523" si="8">+LEN(C460)</f>
        <v>85</v>
      </c>
    </row>
    <row r="461" spans="1:5" x14ac:dyDescent="0.2">
      <c r="A461" t="s">
        <v>23064</v>
      </c>
      <c r="B461" t="s">
        <v>22368</v>
      </c>
      <c r="C461" t="s">
        <v>23065</v>
      </c>
      <c r="D461" t="s">
        <v>6068</v>
      </c>
      <c r="E461">
        <f t="shared" si="8"/>
        <v>85</v>
      </c>
    </row>
    <row r="462" spans="1:5" x14ac:dyDescent="0.2">
      <c r="A462" t="s">
        <v>8943</v>
      </c>
      <c r="B462" t="s">
        <v>22368</v>
      </c>
      <c r="C462" t="s">
        <v>10633</v>
      </c>
      <c r="D462" t="s">
        <v>6068</v>
      </c>
      <c r="E462">
        <f t="shared" si="8"/>
        <v>85</v>
      </c>
    </row>
    <row r="463" spans="1:5" x14ac:dyDescent="0.2">
      <c r="A463" t="s">
        <v>23066</v>
      </c>
      <c r="B463" t="s">
        <v>22368</v>
      </c>
      <c r="C463" t="s">
        <v>23067</v>
      </c>
      <c r="D463" t="s">
        <v>6068</v>
      </c>
      <c r="E463">
        <f t="shared" si="8"/>
        <v>174</v>
      </c>
    </row>
    <row r="464" spans="1:5" x14ac:dyDescent="0.2">
      <c r="A464" t="s">
        <v>23068</v>
      </c>
      <c r="B464" t="s">
        <v>22368</v>
      </c>
      <c r="C464" t="s">
        <v>23069</v>
      </c>
      <c r="D464" t="s">
        <v>6068</v>
      </c>
      <c r="E464">
        <f t="shared" si="8"/>
        <v>174</v>
      </c>
    </row>
    <row r="465" spans="1:5" x14ac:dyDescent="0.2">
      <c r="A465" t="s">
        <v>23068</v>
      </c>
      <c r="B465" t="s">
        <v>22368</v>
      </c>
      <c r="C465" t="s">
        <v>23070</v>
      </c>
      <c r="D465" t="s">
        <v>6068</v>
      </c>
      <c r="E465">
        <f t="shared" si="8"/>
        <v>174</v>
      </c>
    </row>
    <row r="466" spans="1:5" x14ac:dyDescent="0.2">
      <c r="A466" t="s">
        <v>23071</v>
      </c>
      <c r="B466" t="s">
        <v>22368</v>
      </c>
      <c r="C466" t="s">
        <v>23072</v>
      </c>
      <c r="D466" t="s">
        <v>6068</v>
      </c>
      <c r="E466">
        <f t="shared" si="8"/>
        <v>174</v>
      </c>
    </row>
    <row r="467" spans="1:5" x14ac:dyDescent="0.2">
      <c r="A467" t="s">
        <v>23073</v>
      </c>
      <c r="B467" t="s">
        <v>22368</v>
      </c>
      <c r="C467" t="s">
        <v>23074</v>
      </c>
      <c r="D467" t="s">
        <v>6068</v>
      </c>
      <c r="E467">
        <f t="shared" si="8"/>
        <v>174</v>
      </c>
    </row>
    <row r="468" spans="1:5" x14ac:dyDescent="0.2">
      <c r="A468" t="s">
        <v>23075</v>
      </c>
      <c r="B468" t="s">
        <v>22368</v>
      </c>
      <c r="C468" t="s">
        <v>23070</v>
      </c>
      <c r="D468" t="s">
        <v>6068</v>
      </c>
      <c r="E468">
        <f t="shared" si="8"/>
        <v>174</v>
      </c>
    </row>
    <row r="469" spans="1:5" x14ac:dyDescent="0.2">
      <c r="A469" t="s">
        <v>9883</v>
      </c>
      <c r="B469" t="s">
        <v>22368</v>
      </c>
      <c r="C469" t="s">
        <v>10635</v>
      </c>
      <c r="D469" t="s">
        <v>6068</v>
      </c>
      <c r="E469">
        <f t="shared" si="8"/>
        <v>174</v>
      </c>
    </row>
    <row r="470" spans="1:5" x14ac:dyDescent="0.2">
      <c r="A470" t="s">
        <v>23076</v>
      </c>
      <c r="B470" t="s">
        <v>22368</v>
      </c>
      <c r="C470" t="s">
        <v>23077</v>
      </c>
      <c r="D470" t="s">
        <v>6068</v>
      </c>
      <c r="E470">
        <f t="shared" si="8"/>
        <v>174</v>
      </c>
    </row>
    <row r="471" spans="1:5" x14ac:dyDescent="0.2">
      <c r="A471" t="s">
        <v>23078</v>
      </c>
      <c r="B471" t="s">
        <v>22368</v>
      </c>
      <c r="C471" t="s">
        <v>23079</v>
      </c>
      <c r="D471" t="s">
        <v>6068</v>
      </c>
      <c r="E471">
        <f t="shared" si="8"/>
        <v>174</v>
      </c>
    </row>
    <row r="472" spans="1:5" x14ac:dyDescent="0.2">
      <c r="A472" t="s">
        <v>23080</v>
      </c>
      <c r="B472" t="s">
        <v>22368</v>
      </c>
      <c r="C472" t="s">
        <v>23081</v>
      </c>
      <c r="D472" t="s">
        <v>6068</v>
      </c>
      <c r="E472">
        <f t="shared" si="8"/>
        <v>174</v>
      </c>
    </row>
    <row r="473" spans="1:5" x14ac:dyDescent="0.2">
      <c r="A473" t="s">
        <v>23082</v>
      </c>
      <c r="B473" t="s">
        <v>22368</v>
      </c>
      <c r="C473" t="s">
        <v>23083</v>
      </c>
      <c r="D473" t="s">
        <v>6068</v>
      </c>
      <c r="E473">
        <f t="shared" si="8"/>
        <v>174</v>
      </c>
    </row>
    <row r="474" spans="1:5" x14ac:dyDescent="0.2">
      <c r="A474" t="s">
        <v>10237</v>
      </c>
      <c r="B474" t="s">
        <v>22368</v>
      </c>
      <c r="C474" t="s">
        <v>10637</v>
      </c>
      <c r="D474" t="s">
        <v>6068</v>
      </c>
      <c r="E474">
        <f t="shared" si="8"/>
        <v>174</v>
      </c>
    </row>
    <row r="475" spans="1:5" x14ac:dyDescent="0.2">
      <c r="A475" t="s">
        <v>23084</v>
      </c>
      <c r="B475" t="s">
        <v>22368</v>
      </c>
      <c r="C475" t="s">
        <v>23085</v>
      </c>
      <c r="D475" t="s">
        <v>6068</v>
      </c>
      <c r="E475">
        <f t="shared" si="8"/>
        <v>117</v>
      </c>
    </row>
    <row r="476" spans="1:5" x14ac:dyDescent="0.2">
      <c r="A476" t="s">
        <v>23086</v>
      </c>
      <c r="B476" t="s">
        <v>22368</v>
      </c>
      <c r="C476" t="s">
        <v>23087</v>
      </c>
      <c r="D476" t="s">
        <v>6068</v>
      </c>
      <c r="E476">
        <f t="shared" si="8"/>
        <v>117</v>
      </c>
    </row>
    <row r="477" spans="1:5" x14ac:dyDescent="0.2">
      <c r="A477" t="s">
        <v>23088</v>
      </c>
      <c r="B477" t="s">
        <v>22368</v>
      </c>
      <c r="C477" t="s">
        <v>23089</v>
      </c>
      <c r="D477" t="s">
        <v>6068</v>
      </c>
      <c r="E477">
        <f t="shared" si="8"/>
        <v>117</v>
      </c>
    </row>
    <row r="478" spans="1:5" x14ac:dyDescent="0.2">
      <c r="A478" t="s">
        <v>23090</v>
      </c>
      <c r="B478" t="s">
        <v>22368</v>
      </c>
      <c r="C478" t="s">
        <v>23091</v>
      </c>
      <c r="D478" t="s">
        <v>6068</v>
      </c>
      <c r="E478">
        <f t="shared" si="8"/>
        <v>117</v>
      </c>
    </row>
    <row r="479" spans="1:5" x14ac:dyDescent="0.2">
      <c r="A479" t="s">
        <v>23092</v>
      </c>
      <c r="B479" t="s">
        <v>22368</v>
      </c>
      <c r="C479" t="s">
        <v>23093</v>
      </c>
      <c r="D479" t="s">
        <v>6068</v>
      </c>
      <c r="E479">
        <f t="shared" si="8"/>
        <v>117</v>
      </c>
    </row>
    <row r="480" spans="1:5" x14ac:dyDescent="0.2">
      <c r="A480" t="s">
        <v>23094</v>
      </c>
      <c r="B480" t="s">
        <v>22368</v>
      </c>
      <c r="C480" t="s">
        <v>23095</v>
      </c>
      <c r="D480" t="s">
        <v>6068</v>
      </c>
      <c r="E480">
        <f t="shared" si="8"/>
        <v>60</v>
      </c>
    </row>
    <row r="481" spans="1:5" x14ac:dyDescent="0.2">
      <c r="A481" t="s">
        <v>23096</v>
      </c>
      <c r="B481" t="s">
        <v>22368</v>
      </c>
      <c r="C481" t="s">
        <v>23097</v>
      </c>
      <c r="D481" t="s">
        <v>6068</v>
      </c>
      <c r="E481">
        <f t="shared" si="8"/>
        <v>61</v>
      </c>
    </row>
    <row r="482" spans="1:5" x14ac:dyDescent="0.2">
      <c r="A482" t="s">
        <v>23098</v>
      </c>
      <c r="B482" t="s">
        <v>22368</v>
      </c>
      <c r="C482" t="s">
        <v>23099</v>
      </c>
      <c r="D482" t="s">
        <v>6068</v>
      </c>
      <c r="E482">
        <f t="shared" si="8"/>
        <v>61</v>
      </c>
    </row>
    <row r="483" spans="1:5" x14ac:dyDescent="0.2">
      <c r="A483" t="s">
        <v>23100</v>
      </c>
      <c r="B483" t="s">
        <v>22368</v>
      </c>
      <c r="C483" t="s">
        <v>23101</v>
      </c>
      <c r="D483" t="s">
        <v>6068</v>
      </c>
      <c r="E483">
        <f t="shared" si="8"/>
        <v>60</v>
      </c>
    </row>
    <row r="484" spans="1:5" x14ac:dyDescent="0.2">
      <c r="A484" t="s">
        <v>23102</v>
      </c>
      <c r="B484" t="s">
        <v>22368</v>
      </c>
      <c r="C484" t="s">
        <v>23103</v>
      </c>
      <c r="D484" t="s">
        <v>6068</v>
      </c>
      <c r="E484">
        <f t="shared" si="8"/>
        <v>61</v>
      </c>
    </row>
    <row r="485" spans="1:5" x14ac:dyDescent="0.2">
      <c r="A485" t="s">
        <v>23104</v>
      </c>
      <c r="B485" t="s">
        <v>22368</v>
      </c>
      <c r="C485" t="s">
        <v>23105</v>
      </c>
      <c r="D485" t="s">
        <v>6068</v>
      </c>
      <c r="E485">
        <f t="shared" si="8"/>
        <v>61</v>
      </c>
    </row>
    <row r="486" spans="1:5" x14ac:dyDescent="0.2">
      <c r="A486" t="s">
        <v>23106</v>
      </c>
      <c r="B486" t="s">
        <v>22368</v>
      </c>
      <c r="C486" t="s">
        <v>23107</v>
      </c>
      <c r="D486" t="s">
        <v>6068</v>
      </c>
      <c r="E486">
        <f t="shared" si="8"/>
        <v>60</v>
      </c>
    </row>
    <row r="487" spans="1:5" x14ac:dyDescent="0.2">
      <c r="A487" t="s">
        <v>10225</v>
      </c>
      <c r="B487" t="s">
        <v>22368</v>
      </c>
      <c r="C487" t="s">
        <v>10625</v>
      </c>
      <c r="D487" t="s">
        <v>6068</v>
      </c>
      <c r="E487">
        <f t="shared" si="8"/>
        <v>61</v>
      </c>
    </row>
    <row r="488" spans="1:5" x14ac:dyDescent="0.2">
      <c r="A488" t="s">
        <v>23108</v>
      </c>
      <c r="B488" t="s">
        <v>22368</v>
      </c>
      <c r="C488" t="s">
        <v>23109</v>
      </c>
      <c r="D488" t="s">
        <v>6068</v>
      </c>
      <c r="E488">
        <f t="shared" si="8"/>
        <v>60</v>
      </c>
    </row>
    <row r="489" spans="1:5" x14ac:dyDescent="0.2">
      <c r="A489" t="s">
        <v>23110</v>
      </c>
      <c r="B489" t="s">
        <v>22368</v>
      </c>
      <c r="C489" t="s">
        <v>23111</v>
      </c>
      <c r="D489" t="s">
        <v>6068</v>
      </c>
      <c r="E489">
        <f t="shared" si="8"/>
        <v>60</v>
      </c>
    </row>
    <row r="490" spans="1:5" x14ac:dyDescent="0.2">
      <c r="A490" t="s">
        <v>10001</v>
      </c>
      <c r="B490" t="s">
        <v>22368</v>
      </c>
      <c r="C490" t="s">
        <v>10626</v>
      </c>
      <c r="D490" t="s">
        <v>6068</v>
      </c>
      <c r="E490">
        <f t="shared" si="8"/>
        <v>60</v>
      </c>
    </row>
    <row r="491" spans="1:5" x14ac:dyDescent="0.2">
      <c r="A491" t="s">
        <v>23112</v>
      </c>
      <c r="B491" t="s">
        <v>22368</v>
      </c>
      <c r="C491" t="s">
        <v>23113</v>
      </c>
      <c r="D491" t="s">
        <v>6068</v>
      </c>
      <c r="E491">
        <f t="shared" si="8"/>
        <v>60</v>
      </c>
    </row>
    <row r="492" spans="1:5" x14ac:dyDescent="0.2">
      <c r="A492" t="s">
        <v>23114</v>
      </c>
      <c r="B492" t="s">
        <v>22368</v>
      </c>
      <c r="C492" t="s">
        <v>23115</v>
      </c>
      <c r="D492" t="s">
        <v>6068</v>
      </c>
      <c r="E492">
        <f t="shared" si="8"/>
        <v>60</v>
      </c>
    </row>
    <row r="493" spans="1:5" x14ac:dyDescent="0.2">
      <c r="A493" t="s">
        <v>23116</v>
      </c>
      <c r="B493" t="s">
        <v>22368</v>
      </c>
      <c r="C493" t="s">
        <v>23117</v>
      </c>
      <c r="D493" t="s">
        <v>6068</v>
      </c>
      <c r="E493">
        <f t="shared" si="8"/>
        <v>60</v>
      </c>
    </row>
    <row r="494" spans="1:5" x14ac:dyDescent="0.2">
      <c r="A494" t="s">
        <v>9242</v>
      </c>
      <c r="B494" t="s">
        <v>22368</v>
      </c>
      <c r="C494" t="s">
        <v>10627</v>
      </c>
      <c r="D494" t="s">
        <v>6068</v>
      </c>
      <c r="E494">
        <f t="shared" si="8"/>
        <v>60</v>
      </c>
    </row>
    <row r="495" spans="1:5" x14ac:dyDescent="0.2">
      <c r="A495" t="s">
        <v>9001</v>
      </c>
      <c r="B495" t="s">
        <v>22368</v>
      </c>
      <c r="C495" t="s">
        <v>10628</v>
      </c>
      <c r="D495" t="s">
        <v>6068</v>
      </c>
      <c r="E495">
        <f t="shared" si="8"/>
        <v>60</v>
      </c>
    </row>
    <row r="496" spans="1:5" x14ac:dyDescent="0.2">
      <c r="A496" t="s">
        <v>10153</v>
      </c>
      <c r="B496" t="s">
        <v>22368</v>
      </c>
      <c r="C496" t="s">
        <v>10629</v>
      </c>
      <c r="D496" t="s">
        <v>6068</v>
      </c>
      <c r="E496">
        <f t="shared" si="8"/>
        <v>60</v>
      </c>
    </row>
    <row r="497" spans="1:5" x14ac:dyDescent="0.2">
      <c r="A497" t="s">
        <v>23118</v>
      </c>
      <c r="B497" t="s">
        <v>22368</v>
      </c>
      <c r="C497" t="s">
        <v>23119</v>
      </c>
      <c r="D497" t="s">
        <v>6068</v>
      </c>
      <c r="E497">
        <f t="shared" si="8"/>
        <v>60</v>
      </c>
    </row>
    <row r="498" spans="1:5" x14ac:dyDescent="0.2">
      <c r="A498" t="s">
        <v>23120</v>
      </c>
      <c r="B498" t="s">
        <v>22368</v>
      </c>
      <c r="C498" t="s">
        <v>23121</v>
      </c>
      <c r="D498" t="s">
        <v>6068</v>
      </c>
      <c r="E498">
        <f t="shared" si="8"/>
        <v>60</v>
      </c>
    </row>
    <row r="499" spans="1:5" x14ac:dyDescent="0.2">
      <c r="A499" t="s">
        <v>23122</v>
      </c>
      <c r="B499" t="s">
        <v>22368</v>
      </c>
      <c r="C499" t="s">
        <v>23123</v>
      </c>
      <c r="D499" t="s">
        <v>6068</v>
      </c>
      <c r="E499">
        <f t="shared" si="8"/>
        <v>60</v>
      </c>
    </row>
    <row r="500" spans="1:5" x14ac:dyDescent="0.2">
      <c r="A500" t="s">
        <v>23124</v>
      </c>
      <c r="B500" t="s">
        <v>22368</v>
      </c>
      <c r="C500" t="s">
        <v>23125</v>
      </c>
      <c r="D500" t="s">
        <v>6068</v>
      </c>
      <c r="E500">
        <f t="shared" si="8"/>
        <v>60</v>
      </c>
    </row>
    <row r="501" spans="1:5" x14ac:dyDescent="0.2">
      <c r="A501" t="s">
        <v>23126</v>
      </c>
      <c r="B501" t="s">
        <v>22368</v>
      </c>
      <c r="C501" t="s">
        <v>23127</v>
      </c>
      <c r="D501" t="s">
        <v>6068</v>
      </c>
      <c r="E501">
        <f t="shared" si="8"/>
        <v>60</v>
      </c>
    </row>
    <row r="502" spans="1:5" x14ac:dyDescent="0.2">
      <c r="A502" t="s">
        <v>23128</v>
      </c>
      <c r="B502" t="s">
        <v>22368</v>
      </c>
      <c r="C502" t="s">
        <v>23129</v>
      </c>
      <c r="D502" t="s">
        <v>6068</v>
      </c>
      <c r="E502">
        <f t="shared" si="8"/>
        <v>60</v>
      </c>
    </row>
    <row r="503" spans="1:5" x14ac:dyDescent="0.2">
      <c r="A503" t="s">
        <v>23130</v>
      </c>
      <c r="B503" t="s">
        <v>22368</v>
      </c>
      <c r="C503" t="s">
        <v>23131</v>
      </c>
      <c r="D503" t="s">
        <v>6068</v>
      </c>
      <c r="E503">
        <f t="shared" si="8"/>
        <v>60</v>
      </c>
    </row>
    <row r="504" spans="1:5" x14ac:dyDescent="0.2">
      <c r="A504" t="s">
        <v>23132</v>
      </c>
      <c r="B504" t="s">
        <v>22368</v>
      </c>
      <c r="C504" t="s">
        <v>23133</v>
      </c>
      <c r="D504" t="s">
        <v>6068</v>
      </c>
      <c r="E504">
        <f t="shared" si="8"/>
        <v>60</v>
      </c>
    </row>
    <row r="505" spans="1:5" x14ac:dyDescent="0.2">
      <c r="A505" t="s">
        <v>8759</v>
      </c>
      <c r="B505" t="s">
        <v>22368</v>
      </c>
      <c r="C505" t="s">
        <v>10632</v>
      </c>
      <c r="D505" t="s">
        <v>6068</v>
      </c>
      <c r="E505">
        <f t="shared" si="8"/>
        <v>60</v>
      </c>
    </row>
    <row r="506" spans="1:5" x14ac:dyDescent="0.2">
      <c r="A506" t="s">
        <v>23134</v>
      </c>
      <c r="B506" t="s">
        <v>22368</v>
      </c>
      <c r="C506" t="s">
        <v>23135</v>
      </c>
      <c r="D506" t="s">
        <v>6068</v>
      </c>
      <c r="E506">
        <f t="shared" si="8"/>
        <v>60</v>
      </c>
    </row>
    <row r="507" spans="1:5" x14ac:dyDescent="0.2">
      <c r="A507" t="s">
        <v>8770</v>
      </c>
      <c r="B507" t="s">
        <v>22368</v>
      </c>
      <c r="C507" t="s">
        <v>10634</v>
      </c>
      <c r="D507" t="s">
        <v>6068</v>
      </c>
      <c r="E507">
        <f t="shared" si="8"/>
        <v>60</v>
      </c>
    </row>
    <row r="508" spans="1:5" x14ac:dyDescent="0.2">
      <c r="A508" t="s">
        <v>23136</v>
      </c>
      <c r="B508" t="s">
        <v>22368</v>
      </c>
      <c r="C508" t="s">
        <v>23137</v>
      </c>
      <c r="D508" t="s">
        <v>6068</v>
      </c>
      <c r="E508">
        <f t="shared" si="8"/>
        <v>60</v>
      </c>
    </row>
    <row r="509" spans="1:5" x14ac:dyDescent="0.2">
      <c r="A509" t="s">
        <v>23138</v>
      </c>
      <c r="B509" t="s">
        <v>22368</v>
      </c>
      <c r="C509" t="s">
        <v>23139</v>
      </c>
      <c r="D509" t="s">
        <v>6068</v>
      </c>
      <c r="E509">
        <f t="shared" si="8"/>
        <v>60</v>
      </c>
    </row>
    <row r="510" spans="1:5" x14ac:dyDescent="0.2">
      <c r="A510" t="s">
        <v>23140</v>
      </c>
      <c r="B510" t="s">
        <v>22368</v>
      </c>
      <c r="C510" t="s">
        <v>23141</v>
      </c>
      <c r="D510" t="s">
        <v>6068</v>
      </c>
      <c r="E510">
        <f t="shared" si="8"/>
        <v>60</v>
      </c>
    </row>
    <row r="511" spans="1:5" x14ac:dyDescent="0.2">
      <c r="A511" t="s">
        <v>23142</v>
      </c>
      <c r="B511" t="s">
        <v>22368</v>
      </c>
      <c r="C511" t="s">
        <v>23143</v>
      </c>
      <c r="D511" t="s">
        <v>6068</v>
      </c>
      <c r="E511">
        <f t="shared" si="8"/>
        <v>60</v>
      </c>
    </row>
    <row r="512" spans="1:5" x14ac:dyDescent="0.2">
      <c r="A512" t="s">
        <v>23144</v>
      </c>
      <c r="B512" t="s">
        <v>22368</v>
      </c>
      <c r="C512" t="s">
        <v>23145</v>
      </c>
      <c r="D512" t="s">
        <v>6068</v>
      </c>
      <c r="E512">
        <f t="shared" si="8"/>
        <v>60</v>
      </c>
    </row>
    <row r="513" spans="1:5" x14ac:dyDescent="0.2">
      <c r="A513" t="s">
        <v>9061</v>
      </c>
      <c r="B513" t="s">
        <v>22368</v>
      </c>
      <c r="C513" t="s">
        <v>10636</v>
      </c>
      <c r="D513" t="s">
        <v>6068</v>
      </c>
      <c r="E513">
        <f t="shared" si="8"/>
        <v>60</v>
      </c>
    </row>
    <row r="514" spans="1:5" x14ac:dyDescent="0.2">
      <c r="A514" t="s">
        <v>23146</v>
      </c>
      <c r="B514" t="s">
        <v>22368</v>
      </c>
      <c r="C514" t="s">
        <v>23147</v>
      </c>
      <c r="D514" t="s">
        <v>6068</v>
      </c>
      <c r="E514">
        <f t="shared" si="8"/>
        <v>60</v>
      </c>
    </row>
    <row r="515" spans="1:5" x14ac:dyDescent="0.2">
      <c r="A515" t="s">
        <v>9184</v>
      </c>
      <c r="B515" t="s">
        <v>22368</v>
      </c>
      <c r="C515" t="s">
        <v>10639</v>
      </c>
      <c r="D515" t="s">
        <v>6068</v>
      </c>
      <c r="E515">
        <f t="shared" si="8"/>
        <v>60</v>
      </c>
    </row>
    <row r="516" spans="1:5" x14ac:dyDescent="0.2">
      <c r="A516" t="s">
        <v>11753</v>
      </c>
      <c r="B516" t="s">
        <v>22368</v>
      </c>
      <c r="C516" t="s">
        <v>12589</v>
      </c>
      <c r="D516" t="s">
        <v>6068</v>
      </c>
      <c r="E516">
        <f t="shared" si="8"/>
        <v>185</v>
      </c>
    </row>
    <row r="517" spans="1:5" x14ac:dyDescent="0.2">
      <c r="A517" t="s">
        <v>23148</v>
      </c>
      <c r="B517" t="s">
        <v>22368</v>
      </c>
      <c r="C517" t="s">
        <v>23149</v>
      </c>
      <c r="D517" t="s">
        <v>6068</v>
      </c>
      <c r="E517">
        <f t="shared" si="8"/>
        <v>71</v>
      </c>
    </row>
    <row r="518" spans="1:5" x14ac:dyDescent="0.2">
      <c r="A518" t="s">
        <v>23150</v>
      </c>
      <c r="B518" t="s">
        <v>22368</v>
      </c>
      <c r="C518" t="s">
        <v>23151</v>
      </c>
      <c r="D518" t="s">
        <v>6068</v>
      </c>
      <c r="E518">
        <f t="shared" si="8"/>
        <v>71</v>
      </c>
    </row>
    <row r="519" spans="1:5" x14ac:dyDescent="0.2">
      <c r="A519" t="s">
        <v>23152</v>
      </c>
      <c r="B519" t="s">
        <v>22368</v>
      </c>
      <c r="C519" t="s">
        <v>23153</v>
      </c>
      <c r="D519" t="s">
        <v>6068</v>
      </c>
      <c r="E519">
        <f t="shared" si="8"/>
        <v>68</v>
      </c>
    </row>
    <row r="520" spans="1:5" x14ac:dyDescent="0.2">
      <c r="A520" t="s">
        <v>23154</v>
      </c>
      <c r="B520" t="s">
        <v>22368</v>
      </c>
      <c r="C520" t="s">
        <v>23155</v>
      </c>
      <c r="D520" t="s">
        <v>6068</v>
      </c>
      <c r="E520">
        <f t="shared" si="8"/>
        <v>68</v>
      </c>
    </row>
    <row r="521" spans="1:5" x14ac:dyDescent="0.2">
      <c r="A521" t="s">
        <v>23156</v>
      </c>
      <c r="B521" t="s">
        <v>22368</v>
      </c>
      <c r="C521" t="s">
        <v>23157</v>
      </c>
      <c r="D521" t="s">
        <v>6068</v>
      </c>
      <c r="E521">
        <f t="shared" si="8"/>
        <v>145</v>
      </c>
    </row>
    <row r="522" spans="1:5" x14ac:dyDescent="0.2">
      <c r="A522" t="s">
        <v>11343</v>
      </c>
      <c r="B522" t="s">
        <v>22368</v>
      </c>
      <c r="C522" t="s">
        <v>12578</v>
      </c>
      <c r="D522" t="s">
        <v>6068</v>
      </c>
      <c r="E522">
        <f t="shared" si="8"/>
        <v>145</v>
      </c>
    </row>
    <row r="523" spans="1:5" x14ac:dyDescent="0.2">
      <c r="A523" t="s">
        <v>23158</v>
      </c>
      <c r="B523" t="s">
        <v>22368</v>
      </c>
      <c r="C523" t="s">
        <v>23159</v>
      </c>
      <c r="D523" t="s">
        <v>6068</v>
      </c>
      <c r="E523">
        <f t="shared" si="8"/>
        <v>65</v>
      </c>
    </row>
    <row r="524" spans="1:5" x14ac:dyDescent="0.2">
      <c r="A524" t="s">
        <v>23160</v>
      </c>
      <c r="B524" t="s">
        <v>22368</v>
      </c>
      <c r="C524" t="s">
        <v>23161</v>
      </c>
      <c r="D524" t="s">
        <v>6068</v>
      </c>
      <c r="E524">
        <f t="shared" ref="E524:E587" si="9">+LEN(C524)</f>
        <v>65</v>
      </c>
    </row>
    <row r="525" spans="1:5" x14ac:dyDescent="0.2">
      <c r="A525" t="s">
        <v>14813</v>
      </c>
      <c r="B525" t="s">
        <v>22368</v>
      </c>
      <c r="C525" t="s">
        <v>14814</v>
      </c>
      <c r="D525" t="s">
        <v>6068</v>
      </c>
      <c r="E525">
        <f t="shared" si="9"/>
        <v>65</v>
      </c>
    </row>
    <row r="526" spans="1:5" x14ac:dyDescent="0.2">
      <c r="A526" t="s">
        <v>23162</v>
      </c>
      <c r="B526" t="s">
        <v>22368</v>
      </c>
      <c r="C526" t="s">
        <v>23163</v>
      </c>
      <c r="D526" t="s">
        <v>6068</v>
      </c>
      <c r="E526">
        <f t="shared" si="9"/>
        <v>59</v>
      </c>
    </row>
    <row r="527" spans="1:5" x14ac:dyDescent="0.2">
      <c r="A527" t="s">
        <v>23164</v>
      </c>
      <c r="B527" t="s">
        <v>22368</v>
      </c>
      <c r="C527" t="s">
        <v>23165</v>
      </c>
      <c r="D527" t="s">
        <v>6068</v>
      </c>
      <c r="E527">
        <f t="shared" si="9"/>
        <v>59</v>
      </c>
    </row>
    <row r="528" spans="1:5" x14ac:dyDescent="0.2">
      <c r="A528" t="s">
        <v>14745</v>
      </c>
      <c r="B528" t="s">
        <v>22368</v>
      </c>
      <c r="C528" t="s">
        <v>14746</v>
      </c>
      <c r="D528" t="s">
        <v>6068</v>
      </c>
      <c r="E528">
        <f t="shared" si="9"/>
        <v>59</v>
      </c>
    </row>
    <row r="529" spans="1:5" x14ac:dyDescent="0.2">
      <c r="A529" t="s">
        <v>23166</v>
      </c>
      <c r="B529" t="s">
        <v>22368</v>
      </c>
      <c r="C529" t="s">
        <v>23167</v>
      </c>
      <c r="D529" t="s">
        <v>6068</v>
      </c>
      <c r="E529">
        <f t="shared" si="9"/>
        <v>65</v>
      </c>
    </row>
    <row r="530" spans="1:5" x14ac:dyDescent="0.2">
      <c r="A530" t="s">
        <v>23168</v>
      </c>
      <c r="B530" t="s">
        <v>22368</v>
      </c>
      <c r="C530" t="s">
        <v>23169</v>
      </c>
      <c r="D530" t="s">
        <v>6068</v>
      </c>
      <c r="E530">
        <f t="shared" si="9"/>
        <v>65</v>
      </c>
    </row>
    <row r="531" spans="1:5" x14ac:dyDescent="0.2">
      <c r="A531" t="s">
        <v>14815</v>
      </c>
      <c r="B531" t="s">
        <v>22368</v>
      </c>
      <c r="C531" t="s">
        <v>14816</v>
      </c>
      <c r="D531" t="s">
        <v>6068</v>
      </c>
      <c r="E531">
        <f t="shared" si="9"/>
        <v>65</v>
      </c>
    </row>
    <row r="532" spans="1:5" x14ac:dyDescent="0.2">
      <c r="A532" t="s">
        <v>23170</v>
      </c>
      <c r="B532" t="s">
        <v>22368</v>
      </c>
      <c r="C532" t="s">
        <v>23171</v>
      </c>
      <c r="D532" t="s">
        <v>6068</v>
      </c>
      <c r="E532">
        <f t="shared" si="9"/>
        <v>58</v>
      </c>
    </row>
    <row r="533" spans="1:5" x14ac:dyDescent="0.2">
      <c r="A533" t="s">
        <v>23172</v>
      </c>
      <c r="B533" t="s">
        <v>22368</v>
      </c>
      <c r="C533" t="s">
        <v>23173</v>
      </c>
      <c r="D533" t="s">
        <v>6068</v>
      </c>
      <c r="E533">
        <f t="shared" si="9"/>
        <v>58</v>
      </c>
    </row>
    <row r="534" spans="1:5" x14ac:dyDescent="0.2">
      <c r="A534" t="s">
        <v>14747</v>
      </c>
      <c r="B534" t="s">
        <v>22368</v>
      </c>
      <c r="C534" t="s">
        <v>14748</v>
      </c>
      <c r="D534" t="s">
        <v>6068</v>
      </c>
      <c r="E534">
        <f t="shared" si="9"/>
        <v>58</v>
      </c>
    </row>
    <row r="535" spans="1:5" x14ac:dyDescent="0.2">
      <c r="A535" t="s">
        <v>23174</v>
      </c>
      <c r="B535" t="s">
        <v>22368</v>
      </c>
      <c r="C535" t="s">
        <v>23175</v>
      </c>
      <c r="D535" t="s">
        <v>6068</v>
      </c>
      <c r="E535">
        <f t="shared" si="9"/>
        <v>75</v>
      </c>
    </row>
    <row r="536" spans="1:5" x14ac:dyDescent="0.2">
      <c r="A536" t="s">
        <v>23176</v>
      </c>
      <c r="B536" t="s">
        <v>22368</v>
      </c>
      <c r="C536" t="s">
        <v>23177</v>
      </c>
      <c r="D536" t="s">
        <v>6068</v>
      </c>
      <c r="E536">
        <f t="shared" si="9"/>
        <v>75</v>
      </c>
    </row>
    <row r="537" spans="1:5" x14ac:dyDescent="0.2">
      <c r="A537" t="s">
        <v>14817</v>
      </c>
      <c r="B537" t="s">
        <v>22368</v>
      </c>
      <c r="C537" t="s">
        <v>14818</v>
      </c>
      <c r="D537" t="s">
        <v>6068</v>
      </c>
      <c r="E537">
        <f t="shared" si="9"/>
        <v>75</v>
      </c>
    </row>
    <row r="538" spans="1:5" x14ac:dyDescent="0.2">
      <c r="A538" t="s">
        <v>23178</v>
      </c>
      <c r="B538" t="s">
        <v>22368</v>
      </c>
      <c r="C538" t="s">
        <v>23179</v>
      </c>
      <c r="D538" t="s">
        <v>6068</v>
      </c>
      <c r="E538">
        <f t="shared" si="9"/>
        <v>64</v>
      </c>
    </row>
    <row r="539" spans="1:5" x14ac:dyDescent="0.2">
      <c r="A539" t="s">
        <v>23180</v>
      </c>
      <c r="B539" t="s">
        <v>22368</v>
      </c>
      <c r="C539" t="s">
        <v>23181</v>
      </c>
      <c r="D539" t="s">
        <v>6068</v>
      </c>
      <c r="E539">
        <f t="shared" si="9"/>
        <v>64</v>
      </c>
    </row>
    <row r="540" spans="1:5" x14ac:dyDescent="0.2">
      <c r="A540" t="s">
        <v>14819</v>
      </c>
      <c r="B540" t="s">
        <v>22368</v>
      </c>
      <c r="C540" t="s">
        <v>14820</v>
      </c>
      <c r="D540" t="s">
        <v>6068</v>
      </c>
      <c r="E540">
        <f t="shared" si="9"/>
        <v>64</v>
      </c>
    </row>
    <row r="541" spans="1:5" x14ac:dyDescent="0.2">
      <c r="A541" t="s">
        <v>23182</v>
      </c>
      <c r="B541" t="s">
        <v>22368</v>
      </c>
      <c r="C541" t="s">
        <v>23183</v>
      </c>
      <c r="D541" t="s">
        <v>6068</v>
      </c>
      <c r="E541">
        <f t="shared" si="9"/>
        <v>68</v>
      </c>
    </row>
    <row r="542" spans="1:5" x14ac:dyDescent="0.2">
      <c r="A542" t="s">
        <v>23184</v>
      </c>
      <c r="B542" t="s">
        <v>22368</v>
      </c>
      <c r="C542" t="s">
        <v>23185</v>
      </c>
      <c r="D542" t="s">
        <v>6068</v>
      </c>
      <c r="E542">
        <f t="shared" si="9"/>
        <v>79</v>
      </c>
    </row>
    <row r="543" spans="1:5" x14ac:dyDescent="0.2">
      <c r="A543" t="s">
        <v>14749</v>
      </c>
      <c r="B543" t="s">
        <v>22368</v>
      </c>
      <c r="C543" t="s">
        <v>14750</v>
      </c>
      <c r="D543" t="s">
        <v>6068</v>
      </c>
      <c r="E543">
        <f t="shared" si="9"/>
        <v>81</v>
      </c>
    </row>
    <row r="544" spans="1:5" x14ac:dyDescent="0.2">
      <c r="A544" t="s">
        <v>23186</v>
      </c>
      <c r="B544" t="s">
        <v>22368</v>
      </c>
      <c r="C544" t="s">
        <v>23187</v>
      </c>
      <c r="D544" t="s">
        <v>6068</v>
      </c>
      <c r="E544">
        <f t="shared" si="9"/>
        <v>83</v>
      </c>
    </row>
    <row r="545" spans="1:5" x14ac:dyDescent="0.2">
      <c r="A545" t="s">
        <v>23188</v>
      </c>
      <c r="B545" t="s">
        <v>22368</v>
      </c>
      <c r="C545" t="s">
        <v>23189</v>
      </c>
      <c r="D545" t="s">
        <v>6068</v>
      </c>
      <c r="E545">
        <f t="shared" si="9"/>
        <v>83</v>
      </c>
    </row>
    <row r="546" spans="1:5" x14ac:dyDescent="0.2">
      <c r="A546" t="s">
        <v>23190</v>
      </c>
      <c r="B546" t="s">
        <v>22368</v>
      </c>
      <c r="C546" t="s">
        <v>23191</v>
      </c>
      <c r="D546" t="s">
        <v>6068</v>
      </c>
      <c r="E546">
        <f t="shared" si="9"/>
        <v>207</v>
      </c>
    </row>
    <row r="547" spans="1:5" x14ac:dyDescent="0.2">
      <c r="A547" t="s">
        <v>23192</v>
      </c>
      <c r="B547" t="s">
        <v>22368</v>
      </c>
      <c r="C547" t="s">
        <v>23193</v>
      </c>
      <c r="D547" t="s">
        <v>6068</v>
      </c>
      <c r="E547">
        <f t="shared" si="9"/>
        <v>207</v>
      </c>
    </row>
    <row r="548" spans="1:5" x14ac:dyDescent="0.2">
      <c r="A548" t="s">
        <v>23192</v>
      </c>
      <c r="B548" t="s">
        <v>22368</v>
      </c>
      <c r="C548" t="s">
        <v>23194</v>
      </c>
      <c r="D548" t="s">
        <v>6068</v>
      </c>
      <c r="E548">
        <f t="shared" si="9"/>
        <v>207</v>
      </c>
    </row>
    <row r="549" spans="1:5" x14ac:dyDescent="0.2">
      <c r="A549" t="s">
        <v>23195</v>
      </c>
      <c r="B549" t="s">
        <v>22368</v>
      </c>
      <c r="C549" t="s">
        <v>23196</v>
      </c>
      <c r="D549" t="s">
        <v>6068</v>
      </c>
      <c r="E549">
        <f t="shared" si="9"/>
        <v>207</v>
      </c>
    </row>
    <row r="550" spans="1:5" x14ac:dyDescent="0.2">
      <c r="A550" t="s">
        <v>23197</v>
      </c>
      <c r="B550" t="s">
        <v>22368</v>
      </c>
      <c r="C550" t="s">
        <v>23198</v>
      </c>
      <c r="D550" t="s">
        <v>6068</v>
      </c>
      <c r="E550">
        <f t="shared" si="9"/>
        <v>207</v>
      </c>
    </row>
    <row r="551" spans="1:5" x14ac:dyDescent="0.2">
      <c r="A551" t="s">
        <v>23199</v>
      </c>
      <c r="B551" t="s">
        <v>22368</v>
      </c>
      <c r="C551" t="s">
        <v>23193</v>
      </c>
      <c r="D551" t="s">
        <v>6068</v>
      </c>
      <c r="E551">
        <f t="shared" si="9"/>
        <v>207</v>
      </c>
    </row>
    <row r="552" spans="1:5" x14ac:dyDescent="0.2">
      <c r="A552" t="s">
        <v>23200</v>
      </c>
      <c r="B552" t="s">
        <v>22368</v>
      </c>
      <c r="C552" t="s">
        <v>23201</v>
      </c>
      <c r="D552" t="s">
        <v>6068</v>
      </c>
      <c r="E552">
        <f t="shared" si="9"/>
        <v>102</v>
      </c>
    </row>
    <row r="553" spans="1:5" x14ac:dyDescent="0.2">
      <c r="A553" t="s">
        <v>23202</v>
      </c>
      <c r="B553" t="s">
        <v>22368</v>
      </c>
      <c r="C553" t="s">
        <v>23203</v>
      </c>
      <c r="D553" t="s">
        <v>6068</v>
      </c>
      <c r="E553">
        <f t="shared" si="9"/>
        <v>101</v>
      </c>
    </row>
    <row r="554" spans="1:5" x14ac:dyDescent="0.2">
      <c r="A554" t="s">
        <v>14751</v>
      </c>
      <c r="B554" t="s">
        <v>22368</v>
      </c>
      <c r="C554" t="s">
        <v>14752</v>
      </c>
      <c r="D554" t="s">
        <v>6068</v>
      </c>
      <c r="E554">
        <f t="shared" si="9"/>
        <v>101</v>
      </c>
    </row>
    <row r="555" spans="1:5" x14ac:dyDescent="0.2">
      <c r="A555" t="s">
        <v>23204</v>
      </c>
      <c r="B555" t="s">
        <v>22368</v>
      </c>
      <c r="C555" t="s">
        <v>23205</v>
      </c>
      <c r="D555" t="s">
        <v>6068</v>
      </c>
      <c r="E555">
        <f t="shared" si="9"/>
        <v>100</v>
      </c>
    </row>
    <row r="556" spans="1:5" x14ac:dyDescent="0.2">
      <c r="A556" t="s">
        <v>23206</v>
      </c>
      <c r="B556" t="s">
        <v>22368</v>
      </c>
      <c r="C556" t="s">
        <v>23207</v>
      </c>
      <c r="D556" t="s">
        <v>6068</v>
      </c>
      <c r="E556">
        <f t="shared" si="9"/>
        <v>150</v>
      </c>
    </row>
    <row r="557" spans="1:5" x14ac:dyDescent="0.2">
      <c r="A557" t="s">
        <v>23208</v>
      </c>
      <c r="B557" t="s">
        <v>22368</v>
      </c>
      <c r="C557" t="s">
        <v>23209</v>
      </c>
      <c r="D557" t="s">
        <v>6068</v>
      </c>
      <c r="E557">
        <f t="shared" si="9"/>
        <v>74</v>
      </c>
    </row>
    <row r="558" spans="1:5" x14ac:dyDescent="0.2">
      <c r="A558" t="s">
        <v>11127</v>
      </c>
      <c r="B558" t="s">
        <v>22368</v>
      </c>
      <c r="C558" t="s">
        <v>12579</v>
      </c>
      <c r="D558" t="s">
        <v>6068</v>
      </c>
      <c r="E558">
        <f t="shared" si="9"/>
        <v>74</v>
      </c>
    </row>
    <row r="559" spans="1:5" x14ac:dyDescent="0.2">
      <c r="A559" t="s">
        <v>23210</v>
      </c>
      <c r="B559" t="s">
        <v>22368</v>
      </c>
      <c r="C559" t="s">
        <v>23211</v>
      </c>
      <c r="D559" t="s">
        <v>6068</v>
      </c>
      <c r="E559">
        <f t="shared" si="9"/>
        <v>298</v>
      </c>
    </row>
    <row r="560" spans="1:5" x14ac:dyDescent="0.2">
      <c r="A560" t="s">
        <v>9150</v>
      </c>
      <c r="B560" t="s">
        <v>22368</v>
      </c>
      <c r="C560" t="s">
        <v>10642</v>
      </c>
      <c r="D560" t="s">
        <v>6068</v>
      </c>
      <c r="E560">
        <f t="shared" si="9"/>
        <v>298</v>
      </c>
    </row>
    <row r="561" spans="1:5" x14ac:dyDescent="0.2">
      <c r="A561" t="s">
        <v>23212</v>
      </c>
      <c r="B561" t="s">
        <v>22368</v>
      </c>
      <c r="C561" t="s">
        <v>23213</v>
      </c>
      <c r="D561" t="s">
        <v>6068</v>
      </c>
      <c r="E561">
        <f t="shared" si="9"/>
        <v>125</v>
      </c>
    </row>
    <row r="562" spans="1:5" x14ac:dyDescent="0.2">
      <c r="A562" t="s">
        <v>23214</v>
      </c>
      <c r="B562" t="s">
        <v>22368</v>
      </c>
      <c r="C562" t="s">
        <v>23215</v>
      </c>
      <c r="D562" t="s">
        <v>6068</v>
      </c>
      <c r="E562">
        <f t="shared" si="9"/>
        <v>435</v>
      </c>
    </row>
    <row r="563" spans="1:5" x14ac:dyDescent="0.2">
      <c r="A563" t="s">
        <v>8847</v>
      </c>
      <c r="B563" t="s">
        <v>22368</v>
      </c>
      <c r="C563" t="s">
        <v>10641</v>
      </c>
      <c r="D563" t="s">
        <v>6068</v>
      </c>
      <c r="E563">
        <f t="shared" si="9"/>
        <v>437</v>
      </c>
    </row>
    <row r="564" spans="1:5" x14ac:dyDescent="0.2">
      <c r="A564" t="s">
        <v>9941</v>
      </c>
      <c r="B564" t="s">
        <v>22368</v>
      </c>
      <c r="C564" t="s">
        <v>10652</v>
      </c>
      <c r="D564" t="s">
        <v>6068</v>
      </c>
      <c r="E564">
        <f t="shared" si="9"/>
        <v>66</v>
      </c>
    </row>
    <row r="565" spans="1:5" x14ac:dyDescent="0.2">
      <c r="A565" t="s">
        <v>23216</v>
      </c>
      <c r="B565" t="s">
        <v>22368</v>
      </c>
      <c r="C565" t="s">
        <v>23217</v>
      </c>
      <c r="D565" t="s">
        <v>6068</v>
      </c>
      <c r="E565">
        <f t="shared" si="9"/>
        <v>66</v>
      </c>
    </row>
    <row r="566" spans="1:5" x14ac:dyDescent="0.2">
      <c r="A566" t="s">
        <v>23218</v>
      </c>
      <c r="B566" t="s">
        <v>22368</v>
      </c>
      <c r="C566" t="s">
        <v>23219</v>
      </c>
      <c r="D566" t="s">
        <v>6068</v>
      </c>
      <c r="E566">
        <f t="shared" si="9"/>
        <v>66</v>
      </c>
    </row>
    <row r="567" spans="1:5" x14ac:dyDescent="0.2">
      <c r="A567" t="s">
        <v>23220</v>
      </c>
      <c r="B567" t="s">
        <v>22368</v>
      </c>
      <c r="C567" t="s">
        <v>23221</v>
      </c>
      <c r="D567" t="s">
        <v>6068</v>
      </c>
      <c r="E567">
        <f t="shared" si="9"/>
        <v>66</v>
      </c>
    </row>
    <row r="568" spans="1:5" x14ac:dyDescent="0.2">
      <c r="A568" t="s">
        <v>23222</v>
      </c>
      <c r="B568" t="s">
        <v>22368</v>
      </c>
      <c r="C568" t="s">
        <v>23223</v>
      </c>
      <c r="D568" t="s">
        <v>6068</v>
      </c>
      <c r="E568">
        <f t="shared" si="9"/>
        <v>66</v>
      </c>
    </row>
    <row r="569" spans="1:5" x14ac:dyDescent="0.2">
      <c r="A569" t="s">
        <v>9623</v>
      </c>
      <c r="B569" t="s">
        <v>22368</v>
      </c>
      <c r="C569" t="s">
        <v>10653</v>
      </c>
      <c r="D569" t="s">
        <v>6068</v>
      </c>
      <c r="E569">
        <f t="shared" si="9"/>
        <v>66</v>
      </c>
    </row>
    <row r="570" spans="1:5" x14ac:dyDescent="0.2">
      <c r="A570" t="s">
        <v>23224</v>
      </c>
      <c r="B570" t="s">
        <v>22368</v>
      </c>
      <c r="C570" t="s">
        <v>23225</v>
      </c>
      <c r="D570" t="s">
        <v>6068</v>
      </c>
      <c r="E570">
        <f t="shared" si="9"/>
        <v>66</v>
      </c>
    </row>
    <row r="571" spans="1:5" x14ac:dyDescent="0.2">
      <c r="A571" t="s">
        <v>23226</v>
      </c>
      <c r="B571" t="s">
        <v>22368</v>
      </c>
      <c r="C571" t="s">
        <v>23227</v>
      </c>
      <c r="D571" t="s">
        <v>6068</v>
      </c>
      <c r="E571">
        <f t="shared" si="9"/>
        <v>66</v>
      </c>
    </row>
    <row r="572" spans="1:5" x14ac:dyDescent="0.2">
      <c r="A572" t="s">
        <v>23228</v>
      </c>
      <c r="B572" t="s">
        <v>22368</v>
      </c>
      <c r="C572" t="s">
        <v>23229</v>
      </c>
      <c r="D572" t="s">
        <v>6068</v>
      </c>
      <c r="E572">
        <f t="shared" si="9"/>
        <v>66</v>
      </c>
    </row>
    <row r="573" spans="1:5" x14ac:dyDescent="0.2">
      <c r="A573" t="s">
        <v>23230</v>
      </c>
      <c r="B573" t="s">
        <v>22368</v>
      </c>
      <c r="C573" t="s">
        <v>23231</v>
      </c>
      <c r="D573" t="s">
        <v>6068</v>
      </c>
      <c r="E573">
        <f t="shared" si="9"/>
        <v>66</v>
      </c>
    </row>
    <row r="574" spans="1:5" x14ac:dyDescent="0.2">
      <c r="A574" t="s">
        <v>23232</v>
      </c>
      <c r="B574" t="s">
        <v>22368</v>
      </c>
      <c r="C574" t="s">
        <v>23233</v>
      </c>
      <c r="D574" t="s">
        <v>6068</v>
      </c>
      <c r="E574">
        <f t="shared" si="9"/>
        <v>65</v>
      </c>
    </row>
    <row r="575" spans="1:5" x14ac:dyDescent="0.2">
      <c r="A575" t="s">
        <v>23234</v>
      </c>
      <c r="B575" t="s">
        <v>22368</v>
      </c>
      <c r="C575" t="s">
        <v>23235</v>
      </c>
      <c r="D575" t="s">
        <v>6068</v>
      </c>
      <c r="E575">
        <f t="shared" si="9"/>
        <v>65</v>
      </c>
    </row>
    <row r="576" spans="1:5" x14ac:dyDescent="0.2">
      <c r="A576" t="s">
        <v>23236</v>
      </c>
      <c r="B576" t="s">
        <v>22368</v>
      </c>
      <c r="C576" t="s">
        <v>23237</v>
      </c>
      <c r="D576" t="s">
        <v>6068</v>
      </c>
      <c r="E576">
        <f t="shared" si="9"/>
        <v>65</v>
      </c>
    </row>
    <row r="577" spans="1:5" x14ac:dyDescent="0.2">
      <c r="A577" t="s">
        <v>23238</v>
      </c>
      <c r="B577" t="s">
        <v>22368</v>
      </c>
      <c r="C577" t="s">
        <v>23239</v>
      </c>
      <c r="D577" t="s">
        <v>6068</v>
      </c>
      <c r="E577">
        <f t="shared" si="9"/>
        <v>65</v>
      </c>
    </row>
    <row r="578" spans="1:5" x14ac:dyDescent="0.2">
      <c r="A578" t="s">
        <v>22242</v>
      </c>
      <c r="B578" t="s">
        <v>22368</v>
      </c>
      <c r="C578" t="s">
        <v>23240</v>
      </c>
      <c r="D578" t="s">
        <v>6068</v>
      </c>
      <c r="E578">
        <f t="shared" si="9"/>
        <v>53</v>
      </c>
    </row>
    <row r="579" spans="1:5" x14ac:dyDescent="0.2">
      <c r="A579" t="s">
        <v>23241</v>
      </c>
      <c r="B579" t="s">
        <v>22368</v>
      </c>
      <c r="C579" t="s">
        <v>23242</v>
      </c>
      <c r="D579" t="s">
        <v>6068</v>
      </c>
      <c r="E579">
        <f t="shared" si="9"/>
        <v>53</v>
      </c>
    </row>
    <row r="580" spans="1:5" x14ac:dyDescent="0.2">
      <c r="A580" t="s">
        <v>23243</v>
      </c>
      <c r="B580" t="s">
        <v>22368</v>
      </c>
      <c r="C580" t="s">
        <v>23244</v>
      </c>
      <c r="D580" t="s">
        <v>6068</v>
      </c>
      <c r="E580">
        <f t="shared" si="9"/>
        <v>53</v>
      </c>
    </row>
    <row r="581" spans="1:5" x14ac:dyDescent="0.2">
      <c r="A581" t="s">
        <v>23245</v>
      </c>
      <c r="B581" t="s">
        <v>22368</v>
      </c>
      <c r="C581" t="s">
        <v>23246</v>
      </c>
      <c r="D581" t="s">
        <v>6068</v>
      </c>
      <c r="E581">
        <f t="shared" si="9"/>
        <v>53</v>
      </c>
    </row>
    <row r="582" spans="1:5" x14ac:dyDescent="0.2">
      <c r="A582" t="s">
        <v>9902</v>
      </c>
      <c r="B582" t="s">
        <v>22368</v>
      </c>
      <c r="C582" t="s">
        <v>10647</v>
      </c>
      <c r="D582" t="s">
        <v>6068</v>
      </c>
      <c r="E582">
        <f t="shared" si="9"/>
        <v>53</v>
      </c>
    </row>
    <row r="583" spans="1:5" x14ac:dyDescent="0.2">
      <c r="A583" t="s">
        <v>23247</v>
      </c>
      <c r="B583" t="s">
        <v>22368</v>
      </c>
      <c r="C583" t="s">
        <v>23248</v>
      </c>
      <c r="D583" t="s">
        <v>6068</v>
      </c>
      <c r="E583">
        <f t="shared" si="9"/>
        <v>53</v>
      </c>
    </row>
    <row r="584" spans="1:5" x14ac:dyDescent="0.2">
      <c r="A584" t="s">
        <v>23249</v>
      </c>
      <c r="B584" t="s">
        <v>22368</v>
      </c>
      <c r="C584" t="s">
        <v>23250</v>
      </c>
      <c r="D584" t="s">
        <v>6068</v>
      </c>
      <c r="E584">
        <f t="shared" si="9"/>
        <v>53</v>
      </c>
    </row>
    <row r="585" spans="1:5" x14ac:dyDescent="0.2">
      <c r="A585" t="s">
        <v>23251</v>
      </c>
      <c r="B585" t="s">
        <v>22368</v>
      </c>
      <c r="C585" t="s">
        <v>23252</v>
      </c>
      <c r="D585" t="s">
        <v>6068</v>
      </c>
      <c r="E585">
        <f t="shared" si="9"/>
        <v>53</v>
      </c>
    </row>
    <row r="586" spans="1:5" x14ac:dyDescent="0.2">
      <c r="A586" t="s">
        <v>9209</v>
      </c>
      <c r="B586" t="s">
        <v>22368</v>
      </c>
      <c r="C586" t="s">
        <v>10648</v>
      </c>
      <c r="D586" t="s">
        <v>6068</v>
      </c>
      <c r="E586">
        <f t="shared" si="9"/>
        <v>53</v>
      </c>
    </row>
    <row r="587" spans="1:5" x14ac:dyDescent="0.2">
      <c r="A587" t="s">
        <v>23253</v>
      </c>
      <c r="B587" t="s">
        <v>22368</v>
      </c>
      <c r="C587" t="s">
        <v>23254</v>
      </c>
      <c r="D587" t="s">
        <v>6068</v>
      </c>
      <c r="E587">
        <f t="shared" si="9"/>
        <v>53</v>
      </c>
    </row>
    <row r="588" spans="1:5" x14ac:dyDescent="0.2">
      <c r="A588" t="s">
        <v>23255</v>
      </c>
      <c r="B588" t="s">
        <v>22368</v>
      </c>
      <c r="C588" t="s">
        <v>23256</v>
      </c>
      <c r="D588" t="s">
        <v>6068</v>
      </c>
      <c r="E588">
        <f t="shared" ref="E588:E651" si="10">+LEN(C588)</f>
        <v>53</v>
      </c>
    </row>
    <row r="589" spans="1:5" x14ac:dyDescent="0.2">
      <c r="A589" t="s">
        <v>23257</v>
      </c>
      <c r="B589" t="s">
        <v>22368</v>
      </c>
      <c r="C589" t="s">
        <v>23258</v>
      </c>
      <c r="D589" t="s">
        <v>6068</v>
      </c>
      <c r="E589">
        <f t="shared" si="10"/>
        <v>53</v>
      </c>
    </row>
    <row r="590" spans="1:5" x14ac:dyDescent="0.2">
      <c r="A590" t="s">
        <v>23259</v>
      </c>
      <c r="B590" t="s">
        <v>22368</v>
      </c>
      <c r="C590" t="s">
        <v>23260</v>
      </c>
      <c r="D590" t="s">
        <v>6068</v>
      </c>
      <c r="E590">
        <f t="shared" si="10"/>
        <v>53</v>
      </c>
    </row>
    <row r="591" spans="1:5" x14ac:dyDescent="0.2">
      <c r="A591" t="s">
        <v>9679</v>
      </c>
      <c r="B591" t="s">
        <v>22368</v>
      </c>
      <c r="C591" t="s">
        <v>10649</v>
      </c>
      <c r="D591" t="s">
        <v>6068</v>
      </c>
      <c r="E591">
        <f t="shared" si="10"/>
        <v>53</v>
      </c>
    </row>
    <row r="592" spans="1:5" x14ac:dyDescent="0.2">
      <c r="A592" t="s">
        <v>23261</v>
      </c>
      <c r="B592" t="s">
        <v>22368</v>
      </c>
      <c r="C592" t="s">
        <v>23262</v>
      </c>
      <c r="D592" t="s">
        <v>6068</v>
      </c>
      <c r="E592">
        <f t="shared" si="10"/>
        <v>53</v>
      </c>
    </row>
    <row r="593" spans="1:5" x14ac:dyDescent="0.2">
      <c r="A593" t="s">
        <v>23263</v>
      </c>
      <c r="B593" t="s">
        <v>22368</v>
      </c>
      <c r="C593" t="s">
        <v>23264</v>
      </c>
      <c r="D593" t="s">
        <v>6068</v>
      </c>
      <c r="E593">
        <f t="shared" si="10"/>
        <v>53</v>
      </c>
    </row>
    <row r="594" spans="1:5" x14ac:dyDescent="0.2">
      <c r="A594" t="s">
        <v>23265</v>
      </c>
      <c r="B594" t="s">
        <v>22368</v>
      </c>
      <c r="C594" t="s">
        <v>23266</v>
      </c>
      <c r="D594" t="s">
        <v>6068</v>
      </c>
      <c r="E594">
        <f t="shared" si="10"/>
        <v>53</v>
      </c>
    </row>
    <row r="595" spans="1:5" x14ac:dyDescent="0.2">
      <c r="A595" t="s">
        <v>23267</v>
      </c>
      <c r="B595" t="s">
        <v>22368</v>
      </c>
      <c r="C595" t="s">
        <v>23268</v>
      </c>
      <c r="D595" t="s">
        <v>6068</v>
      </c>
      <c r="E595">
        <f t="shared" si="10"/>
        <v>53</v>
      </c>
    </row>
    <row r="596" spans="1:5" x14ac:dyDescent="0.2">
      <c r="A596" t="s">
        <v>10050</v>
      </c>
      <c r="B596" t="s">
        <v>22368</v>
      </c>
      <c r="C596" t="s">
        <v>10650</v>
      </c>
      <c r="D596" t="s">
        <v>6068</v>
      </c>
      <c r="E596">
        <f t="shared" si="10"/>
        <v>53</v>
      </c>
    </row>
    <row r="597" spans="1:5" x14ac:dyDescent="0.2">
      <c r="A597" t="s">
        <v>23269</v>
      </c>
      <c r="B597" t="s">
        <v>22368</v>
      </c>
      <c r="C597" t="s">
        <v>23270</v>
      </c>
      <c r="D597" t="s">
        <v>6068</v>
      </c>
      <c r="E597">
        <f t="shared" si="10"/>
        <v>53</v>
      </c>
    </row>
    <row r="598" spans="1:5" x14ac:dyDescent="0.2">
      <c r="A598" t="s">
        <v>23271</v>
      </c>
      <c r="B598" t="s">
        <v>22368</v>
      </c>
      <c r="C598" t="s">
        <v>23272</v>
      </c>
      <c r="D598" t="s">
        <v>6068</v>
      </c>
      <c r="E598">
        <f t="shared" si="10"/>
        <v>53</v>
      </c>
    </row>
    <row r="599" spans="1:5" x14ac:dyDescent="0.2">
      <c r="A599" t="s">
        <v>23273</v>
      </c>
      <c r="B599" t="s">
        <v>22368</v>
      </c>
      <c r="C599" t="s">
        <v>23274</v>
      </c>
      <c r="D599" t="s">
        <v>6068</v>
      </c>
      <c r="E599">
        <f t="shared" si="10"/>
        <v>81</v>
      </c>
    </row>
    <row r="600" spans="1:5" x14ac:dyDescent="0.2">
      <c r="A600" t="s">
        <v>23275</v>
      </c>
      <c r="B600" t="s">
        <v>22368</v>
      </c>
      <c r="C600" t="s">
        <v>23276</v>
      </c>
      <c r="D600" t="s">
        <v>6068</v>
      </c>
      <c r="E600">
        <f t="shared" si="10"/>
        <v>81</v>
      </c>
    </row>
    <row r="601" spans="1:5" x14ac:dyDescent="0.2">
      <c r="A601" t="s">
        <v>23277</v>
      </c>
      <c r="B601" t="s">
        <v>22368</v>
      </c>
      <c r="C601" t="s">
        <v>23278</v>
      </c>
      <c r="D601" t="s">
        <v>6068</v>
      </c>
      <c r="E601">
        <f t="shared" si="10"/>
        <v>82</v>
      </c>
    </row>
    <row r="602" spans="1:5" x14ac:dyDescent="0.2">
      <c r="A602" t="s">
        <v>23279</v>
      </c>
      <c r="B602" t="s">
        <v>22368</v>
      </c>
      <c r="C602" t="s">
        <v>23280</v>
      </c>
      <c r="D602" t="s">
        <v>6068</v>
      </c>
      <c r="E602">
        <f t="shared" si="10"/>
        <v>82</v>
      </c>
    </row>
    <row r="603" spans="1:5" x14ac:dyDescent="0.2">
      <c r="A603" t="s">
        <v>11635</v>
      </c>
      <c r="B603" t="s">
        <v>22368</v>
      </c>
      <c r="C603" t="s">
        <v>12586</v>
      </c>
      <c r="D603" t="s">
        <v>6068</v>
      </c>
      <c r="E603">
        <f t="shared" si="10"/>
        <v>200</v>
      </c>
    </row>
    <row r="604" spans="1:5" x14ac:dyDescent="0.2">
      <c r="A604" t="s">
        <v>23281</v>
      </c>
      <c r="B604" t="s">
        <v>22368</v>
      </c>
      <c r="C604" t="s">
        <v>23282</v>
      </c>
      <c r="D604" t="s">
        <v>6068</v>
      </c>
      <c r="E604">
        <f t="shared" si="10"/>
        <v>87</v>
      </c>
    </row>
    <row r="605" spans="1:5" x14ac:dyDescent="0.2">
      <c r="A605" t="s">
        <v>23283</v>
      </c>
      <c r="B605" t="s">
        <v>22368</v>
      </c>
      <c r="C605" t="s">
        <v>23284</v>
      </c>
      <c r="D605" t="s">
        <v>6068</v>
      </c>
      <c r="E605">
        <f t="shared" si="10"/>
        <v>87</v>
      </c>
    </row>
    <row r="606" spans="1:5" x14ac:dyDescent="0.2">
      <c r="A606" t="s">
        <v>23285</v>
      </c>
      <c r="B606" t="s">
        <v>22368</v>
      </c>
      <c r="C606" t="s">
        <v>23286</v>
      </c>
      <c r="D606" t="s">
        <v>6068</v>
      </c>
      <c r="E606">
        <f t="shared" si="10"/>
        <v>108</v>
      </c>
    </row>
    <row r="607" spans="1:5" x14ac:dyDescent="0.2">
      <c r="A607" t="s">
        <v>23287</v>
      </c>
      <c r="B607" t="s">
        <v>22368</v>
      </c>
      <c r="C607" t="s">
        <v>23288</v>
      </c>
      <c r="D607" t="s">
        <v>6068</v>
      </c>
      <c r="E607">
        <f t="shared" si="10"/>
        <v>69</v>
      </c>
    </row>
    <row r="608" spans="1:5" x14ac:dyDescent="0.2">
      <c r="A608" t="s">
        <v>23289</v>
      </c>
      <c r="B608" t="s">
        <v>22368</v>
      </c>
      <c r="C608" t="s">
        <v>23290</v>
      </c>
      <c r="D608" t="s">
        <v>6068</v>
      </c>
      <c r="E608">
        <f t="shared" si="10"/>
        <v>69</v>
      </c>
    </row>
    <row r="609" spans="1:5" x14ac:dyDescent="0.2">
      <c r="A609" t="s">
        <v>23291</v>
      </c>
      <c r="B609" t="s">
        <v>22368</v>
      </c>
      <c r="C609" t="s">
        <v>23292</v>
      </c>
      <c r="D609" t="s">
        <v>6068</v>
      </c>
      <c r="E609">
        <f t="shared" si="10"/>
        <v>298</v>
      </c>
    </row>
    <row r="610" spans="1:5" x14ac:dyDescent="0.2">
      <c r="A610" t="s">
        <v>9512</v>
      </c>
      <c r="B610" t="s">
        <v>22368</v>
      </c>
      <c r="C610" t="s">
        <v>10689</v>
      </c>
      <c r="D610" t="s">
        <v>6068</v>
      </c>
      <c r="E610">
        <f t="shared" si="10"/>
        <v>298</v>
      </c>
    </row>
    <row r="611" spans="1:5" x14ac:dyDescent="0.2">
      <c r="A611" t="s">
        <v>11636</v>
      </c>
      <c r="B611" t="s">
        <v>22368</v>
      </c>
      <c r="C611" t="s">
        <v>12591</v>
      </c>
      <c r="D611" t="s">
        <v>6068</v>
      </c>
      <c r="E611">
        <f t="shared" si="10"/>
        <v>179</v>
      </c>
    </row>
    <row r="612" spans="1:5" x14ac:dyDescent="0.2">
      <c r="A612" t="s">
        <v>23293</v>
      </c>
      <c r="B612" t="s">
        <v>22368</v>
      </c>
      <c r="C612" t="s">
        <v>23294</v>
      </c>
      <c r="D612" t="s">
        <v>6068</v>
      </c>
      <c r="E612">
        <f t="shared" si="10"/>
        <v>121</v>
      </c>
    </row>
    <row r="613" spans="1:5" x14ac:dyDescent="0.2">
      <c r="A613" t="s">
        <v>23295</v>
      </c>
      <c r="B613" t="s">
        <v>22368</v>
      </c>
      <c r="C613" t="s">
        <v>23296</v>
      </c>
      <c r="D613" t="s">
        <v>6068</v>
      </c>
      <c r="E613">
        <f t="shared" si="10"/>
        <v>70</v>
      </c>
    </row>
    <row r="614" spans="1:5" x14ac:dyDescent="0.2">
      <c r="A614" t="s">
        <v>23297</v>
      </c>
      <c r="B614" t="s">
        <v>22368</v>
      </c>
      <c r="C614" t="s">
        <v>23298</v>
      </c>
      <c r="D614" t="s">
        <v>6068</v>
      </c>
      <c r="E614">
        <f t="shared" si="10"/>
        <v>70</v>
      </c>
    </row>
    <row r="615" spans="1:5" x14ac:dyDescent="0.2">
      <c r="A615" t="s">
        <v>23299</v>
      </c>
      <c r="B615" t="s">
        <v>22368</v>
      </c>
      <c r="C615" t="s">
        <v>23300</v>
      </c>
      <c r="D615" t="s">
        <v>6068</v>
      </c>
      <c r="E615">
        <f t="shared" si="10"/>
        <v>72</v>
      </c>
    </row>
    <row r="616" spans="1:5" x14ac:dyDescent="0.2">
      <c r="A616" t="s">
        <v>9680</v>
      </c>
      <c r="B616" t="s">
        <v>22368</v>
      </c>
      <c r="C616" t="s">
        <v>10651</v>
      </c>
      <c r="D616" t="s">
        <v>6068</v>
      </c>
      <c r="E616">
        <f t="shared" si="10"/>
        <v>72</v>
      </c>
    </row>
    <row r="617" spans="1:5" x14ac:dyDescent="0.2">
      <c r="A617" t="s">
        <v>23301</v>
      </c>
      <c r="B617" t="s">
        <v>22368</v>
      </c>
      <c r="C617" t="s">
        <v>23302</v>
      </c>
      <c r="D617" t="s">
        <v>6068</v>
      </c>
      <c r="E617">
        <f t="shared" si="10"/>
        <v>71</v>
      </c>
    </row>
    <row r="618" spans="1:5" x14ac:dyDescent="0.2">
      <c r="A618" t="s">
        <v>23303</v>
      </c>
      <c r="B618" t="s">
        <v>22368</v>
      </c>
      <c r="C618" t="s">
        <v>23304</v>
      </c>
      <c r="D618" t="s">
        <v>6068</v>
      </c>
      <c r="E618">
        <f t="shared" si="10"/>
        <v>71</v>
      </c>
    </row>
    <row r="619" spans="1:5" x14ac:dyDescent="0.2">
      <c r="A619" t="s">
        <v>14753</v>
      </c>
      <c r="B619" t="s">
        <v>22368</v>
      </c>
      <c r="C619" t="s">
        <v>14754</v>
      </c>
      <c r="D619" t="s">
        <v>6068</v>
      </c>
      <c r="E619">
        <f t="shared" si="10"/>
        <v>71</v>
      </c>
    </row>
    <row r="620" spans="1:5" x14ac:dyDescent="0.2">
      <c r="A620" t="s">
        <v>14825</v>
      </c>
      <c r="B620" t="s">
        <v>22368</v>
      </c>
      <c r="C620" t="s">
        <v>14826</v>
      </c>
      <c r="D620" t="s">
        <v>6068</v>
      </c>
      <c r="E620">
        <f t="shared" si="10"/>
        <v>71</v>
      </c>
    </row>
    <row r="621" spans="1:5" x14ac:dyDescent="0.2">
      <c r="A621" t="s">
        <v>14755</v>
      </c>
      <c r="B621" t="s">
        <v>22368</v>
      </c>
      <c r="C621" t="s">
        <v>14756</v>
      </c>
      <c r="D621" t="s">
        <v>6068</v>
      </c>
      <c r="E621">
        <f t="shared" si="10"/>
        <v>71</v>
      </c>
    </row>
    <row r="622" spans="1:5" x14ac:dyDescent="0.2">
      <c r="A622" t="s">
        <v>23305</v>
      </c>
      <c r="B622" t="s">
        <v>22368</v>
      </c>
      <c r="C622" t="s">
        <v>23306</v>
      </c>
      <c r="D622" t="s">
        <v>6068</v>
      </c>
      <c r="E622">
        <f t="shared" si="10"/>
        <v>82</v>
      </c>
    </row>
    <row r="623" spans="1:5" x14ac:dyDescent="0.2">
      <c r="A623" t="s">
        <v>23307</v>
      </c>
      <c r="B623" t="s">
        <v>22368</v>
      </c>
      <c r="C623" t="s">
        <v>23308</v>
      </c>
      <c r="D623" t="s">
        <v>6068</v>
      </c>
      <c r="E623">
        <f t="shared" si="10"/>
        <v>82</v>
      </c>
    </row>
    <row r="624" spans="1:5" x14ac:dyDescent="0.2">
      <c r="A624" t="s">
        <v>23309</v>
      </c>
      <c r="B624" t="s">
        <v>22368</v>
      </c>
      <c r="C624" t="s">
        <v>23310</v>
      </c>
      <c r="D624" t="s">
        <v>6068</v>
      </c>
      <c r="E624">
        <f t="shared" si="10"/>
        <v>91</v>
      </c>
    </row>
    <row r="625" spans="1:5" x14ac:dyDescent="0.2">
      <c r="A625" t="s">
        <v>9735</v>
      </c>
      <c r="B625" t="s">
        <v>22368</v>
      </c>
      <c r="C625" t="s">
        <v>10644</v>
      </c>
      <c r="D625" t="s">
        <v>6068</v>
      </c>
      <c r="E625">
        <f t="shared" si="10"/>
        <v>91</v>
      </c>
    </row>
    <row r="626" spans="1:5" x14ac:dyDescent="0.2">
      <c r="A626" t="s">
        <v>23311</v>
      </c>
      <c r="B626" t="s">
        <v>22368</v>
      </c>
      <c r="C626" t="s">
        <v>23312</v>
      </c>
      <c r="D626" t="s">
        <v>6068</v>
      </c>
      <c r="E626">
        <f t="shared" si="10"/>
        <v>110</v>
      </c>
    </row>
    <row r="627" spans="1:5" x14ac:dyDescent="0.2">
      <c r="A627" t="s">
        <v>23313</v>
      </c>
      <c r="B627" t="s">
        <v>22368</v>
      </c>
      <c r="C627" t="s">
        <v>23314</v>
      </c>
      <c r="D627" t="s">
        <v>6068</v>
      </c>
      <c r="E627">
        <f t="shared" si="10"/>
        <v>119</v>
      </c>
    </row>
    <row r="628" spans="1:5" x14ac:dyDescent="0.2">
      <c r="A628" t="s">
        <v>23315</v>
      </c>
      <c r="B628" t="s">
        <v>22368</v>
      </c>
      <c r="C628" t="s">
        <v>23316</v>
      </c>
      <c r="D628" t="s">
        <v>6068</v>
      </c>
      <c r="E628">
        <f t="shared" si="10"/>
        <v>119</v>
      </c>
    </row>
    <row r="629" spans="1:5" x14ac:dyDescent="0.2">
      <c r="A629" t="s">
        <v>23317</v>
      </c>
      <c r="B629" t="s">
        <v>22368</v>
      </c>
      <c r="C629" t="s">
        <v>23318</v>
      </c>
      <c r="D629" t="s">
        <v>6068</v>
      </c>
      <c r="E629">
        <f t="shared" si="10"/>
        <v>104</v>
      </c>
    </row>
    <row r="630" spans="1:5" x14ac:dyDescent="0.2">
      <c r="A630" t="s">
        <v>23319</v>
      </c>
      <c r="B630" t="s">
        <v>22368</v>
      </c>
      <c r="C630" t="s">
        <v>23320</v>
      </c>
      <c r="D630" t="s">
        <v>6068</v>
      </c>
      <c r="E630">
        <f t="shared" si="10"/>
        <v>136</v>
      </c>
    </row>
    <row r="631" spans="1:5" x14ac:dyDescent="0.2">
      <c r="A631" t="s">
        <v>23321</v>
      </c>
      <c r="B631" t="s">
        <v>22368</v>
      </c>
      <c r="C631" t="s">
        <v>23322</v>
      </c>
      <c r="D631" t="s">
        <v>6068</v>
      </c>
      <c r="E631">
        <f t="shared" si="10"/>
        <v>115</v>
      </c>
    </row>
    <row r="632" spans="1:5" x14ac:dyDescent="0.2">
      <c r="A632" t="s">
        <v>23323</v>
      </c>
      <c r="B632" t="s">
        <v>22368</v>
      </c>
      <c r="C632" t="s">
        <v>23324</v>
      </c>
      <c r="D632" t="s">
        <v>6068</v>
      </c>
      <c r="E632">
        <f t="shared" si="10"/>
        <v>115</v>
      </c>
    </row>
    <row r="633" spans="1:5" x14ac:dyDescent="0.2">
      <c r="A633" t="s">
        <v>23323</v>
      </c>
      <c r="B633" t="s">
        <v>22368</v>
      </c>
      <c r="C633" t="s">
        <v>23325</v>
      </c>
      <c r="D633" t="s">
        <v>6068</v>
      </c>
      <c r="E633">
        <f t="shared" si="10"/>
        <v>115</v>
      </c>
    </row>
    <row r="634" spans="1:5" x14ac:dyDescent="0.2">
      <c r="A634" t="s">
        <v>23326</v>
      </c>
      <c r="B634" t="s">
        <v>22368</v>
      </c>
      <c r="C634" t="s">
        <v>23327</v>
      </c>
      <c r="D634" t="s">
        <v>6068</v>
      </c>
      <c r="E634">
        <f t="shared" si="10"/>
        <v>115</v>
      </c>
    </row>
    <row r="635" spans="1:5" x14ac:dyDescent="0.2">
      <c r="A635" t="s">
        <v>23328</v>
      </c>
      <c r="B635" t="s">
        <v>22368</v>
      </c>
      <c r="C635" t="s">
        <v>23329</v>
      </c>
      <c r="D635" t="s">
        <v>6068</v>
      </c>
      <c r="E635">
        <f t="shared" si="10"/>
        <v>115</v>
      </c>
    </row>
    <row r="636" spans="1:5" x14ac:dyDescent="0.2">
      <c r="A636" t="s">
        <v>23330</v>
      </c>
      <c r="B636" t="s">
        <v>22368</v>
      </c>
      <c r="C636" t="s">
        <v>23325</v>
      </c>
      <c r="D636" t="s">
        <v>6068</v>
      </c>
      <c r="E636">
        <f t="shared" si="10"/>
        <v>115</v>
      </c>
    </row>
    <row r="637" spans="1:5" x14ac:dyDescent="0.2">
      <c r="A637" t="s">
        <v>23331</v>
      </c>
      <c r="B637" t="s">
        <v>22368</v>
      </c>
      <c r="C637" t="s">
        <v>23332</v>
      </c>
      <c r="D637" t="s">
        <v>6068</v>
      </c>
      <c r="E637">
        <f t="shared" si="10"/>
        <v>59</v>
      </c>
    </row>
    <row r="638" spans="1:5" x14ac:dyDescent="0.2">
      <c r="A638" t="s">
        <v>23333</v>
      </c>
      <c r="B638" t="s">
        <v>22368</v>
      </c>
      <c r="C638" t="s">
        <v>23334</v>
      </c>
      <c r="D638" t="s">
        <v>6068</v>
      </c>
      <c r="E638">
        <f t="shared" si="10"/>
        <v>59</v>
      </c>
    </row>
    <row r="639" spans="1:5" x14ac:dyDescent="0.2">
      <c r="A639" t="s">
        <v>23335</v>
      </c>
      <c r="B639" t="s">
        <v>22368</v>
      </c>
      <c r="C639" t="s">
        <v>23336</v>
      </c>
      <c r="D639" t="s">
        <v>6068</v>
      </c>
      <c r="E639">
        <f t="shared" si="10"/>
        <v>59</v>
      </c>
    </row>
    <row r="640" spans="1:5" x14ac:dyDescent="0.2">
      <c r="A640" t="s">
        <v>23337</v>
      </c>
      <c r="B640" t="s">
        <v>22368</v>
      </c>
      <c r="C640" t="s">
        <v>23338</v>
      </c>
      <c r="D640" t="s">
        <v>6068</v>
      </c>
      <c r="E640">
        <f t="shared" si="10"/>
        <v>59</v>
      </c>
    </row>
    <row r="641" spans="1:5" x14ac:dyDescent="0.2">
      <c r="A641" t="s">
        <v>23339</v>
      </c>
      <c r="B641" t="s">
        <v>22368</v>
      </c>
      <c r="C641" t="s">
        <v>23340</v>
      </c>
      <c r="D641" t="s">
        <v>6068</v>
      </c>
      <c r="E641">
        <f t="shared" si="10"/>
        <v>59</v>
      </c>
    </row>
    <row r="642" spans="1:5" x14ac:dyDescent="0.2">
      <c r="A642" t="s">
        <v>9980</v>
      </c>
      <c r="B642" t="s">
        <v>22368</v>
      </c>
      <c r="C642" t="s">
        <v>10655</v>
      </c>
      <c r="D642" t="s">
        <v>6068</v>
      </c>
      <c r="E642">
        <f t="shared" si="10"/>
        <v>59</v>
      </c>
    </row>
    <row r="643" spans="1:5" x14ac:dyDescent="0.2">
      <c r="A643" t="s">
        <v>23341</v>
      </c>
      <c r="B643" t="s">
        <v>22368</v>
      </c>
      <c r="C643" t="s">
        <v>23342</v>
      </c>
      <c r="D643" t="s">
        <v>6068</v>
      </c>
      <c r="E643">
        <f t="shared" si="10"/>
        <v>59</v>
      </c>
    </row>
    <row r="644" spans="1:5" x14ac:dyDescent="0.2">
      <c r="A644" t="s">
        <v>23343</v>
      </c>
      <c r="B644" t="s">
        <v>22368</v>
      </c>
      <c r="C644" t="s">
        <v>23344</v>
      </c>
      <c r="D644" t="s">
        <v>6068</v>
      </c>
      <c r="E644">
        <f t="shared" si="10"/>
        <v>59</v>
      </c>
    </row>
    <row r="645" spans="1:5" x14ac:dyDescent="0.2">
      <c r="A645" t="s">
        <v>23345</v>
      </c>
      <c r="B645" t="s">
        <v>22368</v>
      </c>
      <c r="C645" t="s">
        <v>23346</v>
      </c>
      <c r="D645" t="s">
        <v>6068</v>
      </c>
      <c r="E645">
        <f t="shared" si="10"/>
        <v>59</v>
      </c>
    </row>
    <row r="646" spans="1:5" x14ac:dyDescent="0.2">
      <c r="A646" t="s">
        <v>23347</v>
      </c>
      <c r="B646" t="s">
        <v>22368</v>
      </c>
      <c r="C646" t="s">
        <v>23348</v>
      </c>
      <c r="D646" t="s">
        <v>6068</v>
      </c>
      <c r="E646">
        <f t="shared" si="10"/>
        <v>59</v>
      </c>
    </row>
    <row r="647" spans="1:5" x14ac:dyDescent="0.2">
      <c r="A647" t="s">
        <v>23349</v>
      </c>
      <c r="B647" t="s">
        <v>22368</v>
      </c>
      <c r="C647" t="s">
        <v>23350</v>
      </c>
      <c r="D647" t="s">
        <v>6068</v>
      </c>
      <c r="E647">
        <f t="shared" si="10"/>
        <v>59</v>
      </c>
    </row>
    <row r="648" spans="1:5" x14ac:dyDescent="0.2">
      <c r="A648" t="s">
        <v>23351</v>
      </c>
      <c r="B648" t="s">
        <v>22368</v>
      </c>
      <c r="C648" t="s">
        <v>23352</v>
      </c>
      <c r="D648" t="s">
        <v>6068</v>
      </c>
      <c r="E648">
        <f t="shared" si="10"/>
        <v>59</v>
      </c>
    </row>
    <row r="649" spans="1:5" x14ac:dyDescent="0.2">
      <c r="A649" t="s">
        <v>23353</v>
      </c>
      <c r="B649" t="s">
        <v>22368</v>
      </c>
      <c r="C649" t="s">
        <v>23354</v>
      </c>
      <c r="D649" t="s">
        <v>6068</v>
      </c>
      <c r="E649">
        <f t="shared" si="10"/>
        <v>59</v>
      </c>
    </row>
    <row r="650" spans="1:5" x14ac:dyDescent="0.2">
      <c r="A650" t="s">
        <v>23355</v>
      </c>
      <c r="B650" t="s">
        <v>22368</v>
      </c>
      <c r="C650" t="s">
        <v>23356</v>
      </c>
      <c r="D650" t="s">
        <v>6068</v>
      </c>
      <c r="E650">
        <f t="shared" si="10"/>
        <v>59</v>
      </c>
    </row>
    <row r="651" spans="1:5" x14ac:dyDescent="0.2">
      <c r="A651" t="s">
        <v>23357</v>
      </c>
      <c r="B651" t="s">
        <v>22368</v>
      </c>
      <c r="C651" t="s">
        <v>23358</v>
      </c>
      <c r="D651" t="s">
        <v>6068</v>
      </c>
      <c r="E651">
        <f t="shared" si="10"/>
        <v>59</v>
      </c>
    </row>
    <row r="652" spans="1:5" x14ac:dyDescent="0.2">
      <c r="A652" t="s">
        <v>23359</v>
      </c>
      <c r="B652" t="s">
        <v>22368</v>
      </c>
      <c r="C652" t="s">
        <v>23360</v>
      </c>
      <c r="D652" t="s">
        <v>6068</v>
      </c>
      <c r="E652">
        <f t="shared" ref="E652:E715" si="11">+LEN(C652)</f>
        <v>59</v>
      </c>
    </row>
    <row r="653" spans="1:5" x14ac:dyDescent="0.2">
      <c r="A653" t="s">
        <v>23361</v>
      </c>
      <c r="B653" t="s">
        <v>22368</v>
      </c>
      <c r="C653" t="s">
        <v>23362</v>
      </c>
      <c r="D653" t="s">
        <v>6068</v>
      </c>
      <c r="E653">
        <f t="shared" si="11"/>
        <v>59</v>
      </c>
    </row>
    <row r="654" spans="1:5" x14ac:dyDescent="0.2">
      <c r="A654" t="s">
        <v>23363</v>
      </c>
      <c r="B654" t="s">
        <v>22368</v>
      </c>
      <c r="C654" t="s">
        <v>23364</v>
      </c>
      <c r="D654" t="s">
        <v>6068</v>
      </c>
      <c r="E654">
        <f t="shared" si="11"/>
        <v>59</v>
      </c>
    </row>
    <row r="655" spans="1:5" x14ac:dyDescent="0.2">
      <c r="A655" t="s">
        <v>8699</v>
      </c>
      <c r="B655" t="s">
        <v>22368</v>
      </c>
      <c r="C655" t="s">
        <v>10656</v>
      </c>
      <c r="D655" t="s">
        <v>6068</v>
      </c>
      <c r="E655">
        <f t="shared" si="11"/>
        <v>59</v>
      </c>
    </row>
    <row r="656" spans="1:5" x14ac:dyDescent="0.2">
      <c r="A656" t="s">
        <v>23365</v>
      </c>
      <c r="B656" t="s">
        <v>22368</v>
      </c>
      <c r="C656" t="s">
        <v>23366</v>
      </c>
      <c r="D656" t="s">
        <v>6068</v>
      </c>
      <c r="E656">
        <f t="shared" si="11"/>
        <v>59</v>
      </c>
    </row>
    <row r="657" spans="1:5" x14ac:dyDescent="0.2">
      <c r="A657" t="s">
        <v>23367</v>
      </c>
      <c r="B657" t="s">
        <v>22368</v>
      </c>
      <c r="C657" t="s">
        <v>23368</v>
      </c>
      <c r="D657" t="s">
        <v>6068</v>
      </c>
      <c r="E657">
        <f t="shared" si="11"/>
        <v>59</v>
      </c>
    </row>
    <row r="658" spans="1:5" x14ac:dyDescent="0.2">
      <c r="A658" t="s">
        <v>8846</v>
      </c>
      <c r="B658" t="s">
        <v>22368</v>
      </c>
      <c r="C658" t="s">
        <v>10657</v>
      </c>
      <c r="D658" t="s">
        <v>6068</v>
      </c>
      <c r="E658">
        <f t="shared" si="11"/>
        <v>59</v>
      </c>
    </row>
    <row r="659" spans="1:5" x14ac:dyDescent="0.2">
      <c r="A659" t="s">
        <v>9850</v>
      </c>
      <c r="B659" t="s">
        <v>22368</v>
      </c>
      <c r="C659" t="s">
        <v>10658</v>
      </c>
      <c r="D659" t="s">
        <v>6068</v>
      </c>
      <c r="E659">
        <f t="shared" si="11"/>
        <v>59</v>
      </c>
    </row>
    <row r="660" spans="1:5" x14ac:dyDescent="0.2">
      <c r="A660" t="s">
        <v>9149</v>
      </c>
      <c r="B660" t="s">
        <v>22368</v>
      </c>
      <c r="C660" t="s">
        <v>10659</v>
      </c>
      <c r="D660" t="s">
        <v>6068</v>
      </c>
      <c r="E660">
        <f t="shared" si="11"/>
        <v>59</v>
      </c>
    </row>
    <row r="661" spans="1:5" x14ac:dyDescent="0.2">
      <c r="A661" t="s">
        <v>23369</v>
      </c>
      <c r="B661" t="s">
        <v>22368</v>
      </c>
      <c r="C661" t="s">
        <v>23370</v>
      </c>
      <c r="D661" t="s">
        <v>6068</v>
      </c>
      <c r="E661">
        <f t="shared" si="11"/>
        <v>70</v>
      </c>
    </row>
    <row r="662" spans="1:5" x14ac:dyDescent="0.2">
      <c r="A662" t="s">
        <v>23371</v>
      </c>
      <c r="B662" t="s">
        <v>22368</v>
      </c>
      <c r="C662" t="s">
        <v>23372</v>
      </c>
      <c r="D662" t="s">
        <v>6068</v>
      </c>
      <c r="E662">
        <f t="shared" si="11"/>
        <v>70</v>
      </c>
    </row>
    <row r="663" spans="1:5" x14ac:dyDescent="0.2">
      <c r="A663" t="s">
        <v>23373</v>
      </c>
      <c r="B663" t="s">
        <v>22368</v>
      </c>
      <c r="C663" t="s">
        <v>23374</v>
      </c>
      <c r="D663" t="s">
        <v>6068</v>
      </c>
      <c r="E663">
        <f t="shared" si="11"/>
        <v>67</v>
      </c>
    </row>
    <row r="664" spans="1:5" x14ac:dyDescent="0.2">
      <c r="A664" t="s">
        <v>23375</v>
      </c>
      <c r="B664" t="s">
        <v>22368</v>
      </c>
      <c r="C664" t="s">
        <v>23376</v>
      </c>
      <c r="D664" t="s">
        <v>6068</v>
      </c>
      <c r="E664">
        <f t="shared" si="11"/>
        <v>67</v>
      </c>
    </row>
    <row r="665" spans="1:5" x14ac:dyDescent="0.2">
      <c r="A665" t="s">
        <v>23377</v>
      </c>
      <c r="B665" t="s">
        <v>22368</v>
      </c>
      <c r="C665" t="s">
        <v>23378</v>
      </c>
      <c r="D665" t="s">
        <v>6068</v>
      </c>
      <c r="E665">
        <f t="shared" si="11"/>
        <v>144</v>
      </c>
    </row>
    <row r="666" spans="1:5" x14ac:dyDescent="0.2">
      <c r="A666" t="s">
        <v>11259</v>
      </c>
      <c r="B666" t="s">
        <v>22368</v>
      </c>
      <c r="C666" t="s">
        <v>12575</v>
      </c>
      <c r="D666" t="s">
        <v>6068</v>
      </c>
      <c r="E666">
        <f t="shared" si="11"/>
        <v>144</v>
      </c>
    </row>
    <row r="667" spans="1:5" x14ac:dyDescent="0.2">
      <c r="A667" t="s">
        <v>23379</v>
      </c>
      <c r="B667" t="s">
        <v>22368</v>
      </c>
      <c r="C667" t="s">
        <v>23380</v>
      </c>
      <c r="D667" t="s">
        <v>6068</v>
      </c>
      <c r="E667">
        <f t="shared" si="11"/>
        <v>161</v>
      </c>
    </row>
    <row r="668" spans="1:5" x14ac:dyDescent="0.2">
      <c r="A668" t="s">
        <v>9793</v>
      </c>
      <c r="B668" t="s">
        <v>22368</v>
      </c>
      <c r="C668" t="s">
        <v>10643</v>
      </c>
      <c r="D668" t="s">
        <v>6068</v>
      </c>
      <c r="E668">
        <f t="shared" si="11"/>
        <v>163</v>
      </c>
    </row>
    <row r="669" spans="1:5" x14ac:dyDescent="0.2">
      <c r="A669" t="s">
        <v>23381</v>
      </c>
      <c r="B669" t="s">
        <v>22368</v>
      </c>
      <c r="C669" t="s">
        <v>23382</v>
      </c>
      <c r="D669" t="s">
        <v>6068</v>
      </c>
      <c r="E669">
        <f t="shared" si="11"/>
        <v>67</v>
      </c>
    </row>
    <row r="670" spans="1:5" x14ac:dyDescent="0.2">
      <c r="A670" t="s">
        <v>23383</v>
      </c>
      <c r="B670" t="s">
        <v>22368</v>
      </c>
      <c r="C670" t="s">
        <v>23384</v>
      </c>
      <c r="D670" t="s">
        <v>6068</v>
      </c>
      <c r="E670">
        <f t="shared" si="11"/>
        <v>78</v>
      </c>
    </row>
    <row r="671" spans="1:5" x14ac:dyDescent="0.2">
      <c r="A671" t="s">
        <v>14757</v>
      </c>
      <c r="B671" t="s">
        <v>22368</v>
      </c>
      <c r="C671" t="s">
        <v>14758</v>
      </c>
      <c r="D671" t="s">
        <v>6068</v>
      </c>
      <c r="E671">
        <f t="shared" si="11"/>
        <v>80</v>
      </c>
    </row>
    <row r="672" spans="1:5" x14ac:dyDescent="0.2">
      <c r="A672" t="s">
        <v>23385</v>
      </c>
      <c r="B672" t="s">
        <v>22368</v>
      </c>
      <c r="C672" t="s">
        <v>23386</v>
      </c>
      <c r="D672" t="s">
        <v>6068</v>
      </c>
      <c r="E672">
        <f t="shared" si="11"/>
        <v>75</v>
      </c>
    </row>
    <row r="673" spans="1:5" x14ac:dyDescent="0.2">
      <c r="A673" t="s">
        <v>23387</v>
      </c>
      <c r="B673" t="s">
        <v>22368</v>
      </c>
      <c r="C673" t="s">
        <v>23388</v>
      </c>
      <c r="D673" t="s">
        <v>6068</v>
      </c>
      <c r="E673">
        <f t="shared" si="11"/>
        <v>75</v>
      </c>
    </row>
    <row r="674" spans="1:5" x14ac:dyDescent="0.2">
      <c r="A674" t="s">
        <v>23389</v>
      </c>
      <c r="B674" t="s">
        <v>22368</v>
      </c>
      <c r="C674" t="s">
        <v>23390</v>
      </c>
      <c r="D674" t="s">
        <v>6068</v>
      </c>
      <c r="E674">
        <f t="shared" si="11"/>
        <v>69</v>
      </c>
    </row>
    <row r="675" spans="1:5" x14ac:dyDescent="0.2">
      <c r="A675" t="s">
        <v>23391</v>
      </c>
      <c r="B675" t="s">
        <v>22368</v>
      </c>
      <c r="C675" t="s">
        <v>23392</v>
      </c>
      <c r="D675" t="s">
        <v>6068</v>
      </c>
      <c r="E675">
        <f t="shared" si="11"/>
        <v>69</v>
      </c>
    </row>
    <row r="676" spans="1:5" x14ac:dyDescent="0.2">
      <c r="A676" t="s">
        <v>23393</v>
      </c>
      <c r="B676" t="s">
        <v>22368</v>
      </c>
      <c r="C676" t="s">
        <v>23394</v>
      </c>
      <c r="D676" t="s">
        <v>6068</v>
      </c>
      <c r="E676">
        <f t="shared" si="11"/>
        <v>69</v>
      </c>
    </row>
    <row r="677" spans="1:5" x14ac:dyDescent="0.2">
      <c r="A677" t="s">
        <v>23395</v>
      </c>
      <c r="B677" t="s">
        <v>22368</v>
      </c>
      <c r="C677" t="s">
        <v>23396</v>
      </c>
      <c r="D677" t="s">
        <v>6068</v>
      </c>
      <c r="E677">
        <f t="shared" si="11"/>
        <v>82</v>
      </c>
    </row>
    <row r="678" spans="1:5" x14ac:dyDescent="0.2">
      <c r="A678" t="s">
        <v>23397</v>
      </c>
      <c r="B678" t="s">
        <v>22368</v>
      </c>
      <c r="C678" t="s">
        <v>23398</v>
      </c>
      <c r="D678" t="s">
        <v>6068</v>
      </c>
      <c r="E678">
        <f t="shared" si="11"/>
        <v>82</v>
      </c>
    </row>
    <row r="679" spans="1:5" x14ac:dyDescent="0.2">
      <c r="A679" t="s">
        <v>14759</v>
      </c>
      <c r="B679" t="s">
        <v>22368</v>
      </c>
      <c r="C679" t="s">
        <v>14760</v>
      </c>
      <c r="D679" t="s">
        <v>6068</v>
      </c>
      <c r="E679">
        <f t="shared" si="11"/>
        <v>82</v>
      </c>
    </row>
    <row r="680" spans="1:5" x14ac:dyDescent="0.2">
      <c r="A680" t="s">
        <v>23399</v>
      </c>
      <c r="B680" t="s">
        <v>22368</v>
      </c>
      <c r="C680" t="s">
        <v>23400</v>
      </c>
      <c r="D680" t="s">
        <v>6068</v>
      </c>
      <c r="E680">
        <f t="shared" si="11"/>
        <v>73</v>
      </c>
    </row>
    <row r="681" spans="1:5" x14ac:dyDescent="0.2">
      <c r="A681" t="s">
        <v>23401</v>
      </c>
      <c r="B681" t="s">
        <v>22368</v>
      </c>
      <c r="C681" t="s">
        <v>23402</v>
      </c>
      <c r="D681" t="s">
        <v>6068</v>
      </c>
      <c r="E681">
        <f t="shared" si="11"/>
        <v>73</v>
      </c>
    </row>
    <row r="682" spans="1:5" x14ac:dyDescent="0.2">
      <c r="A682" t="s">
        <v>14827</v>
      </c>
      <c r="B682" t="s">
        <v>22368</v>
      </c>
      <c r="C682" t="s">
        <v>14828</v>
      </c>
      <c r="D682" t="s">
        <v>6068</v>
      </c>
      <c r="E682">
        <f t="shared" si="11"/>
        <v>73</v>
      </c>
    </row>
    <row r="683" spans="1:5" x14ac:dyDescent="0.2">
      <c r="A683" t="s">
        <v>23403</v>
      </c>
      <c r="B683" t="s">
        <v>22368</v>
      </c>
      <c r="C683" t="s">
        <v>23404</v>
      </c>
      <c r="D683" t="s">
        <v>6068</v>
      </c>
      <c r="E683">
        <f t="shared" si="11"/>
        <v>132</v>
      </c>
    </row>
    <row r="684" spans="1:5" x14ac:dyDescent="0.2">
      <c r="A684" t="s">
        <v>23405</v>
      </c>
      <c r="B684" t="s">
        <v>22368</v>
      </c>
      <c r="C684" t="s">
        <v>23406</v>
      </c>
      <c r="D684" t="s">
        <v>6068</v>
      </c>
      <c r="E684">
        <f t="shared" si="11"/>
        <v>84</v>
      </c>
    </row>
    <row r="685" spans="1:5" x14ac:dyDescent="0.2">
      <c r="A685" t="s">
        <v>23407</v>
      </c>
      <c r="B685" t="s">
        <v>22368</v>
      </c>
      <c r="C685" t="s">
        <v>23408</v>
      </c>
      <c r="D685" t="s">
        <v>6068</v>
      </c>
      <c r="E685">
        <f t="shared" si="11"/>
        <v>84</v>
      </c>
    </row>
    <row r="686" spans="1:5" x14ac:dyDescent="0.2">
      <c r="A686" t="s">
        <v>14761</v>
      </c>
      <c r="B686" t="s">
        <v>22368</v>
      </c>
      <c r="C686" t="s">
        <v>14762</v>
      </c>
      <c r="D686" t="s">
        <v>6068</v>
      </c>
      <c r="E686">
        <f t="shared" si="11"/>
        <v>84</v>
      </c>
    </row>
    <row r="687" spans="1:5" x14ac:dyDescent="0.2">
      <c r="A687" t="s">
        <v>23409</v>
      </c>
      <c r="B687" t="s">
        <v>22368</v>
      </c>
      <c r="C687" t="s">
        <v>23410</v>
      </c>
      <c r="D687" t="s">
        <v>6068</v>
      </c>
      <c r="E687">
        <f t="shared" si="11"/>
        <v>62</v>
      </c>
    </row>
    <row r="688" spans="1:5" x14ac:dyDescent="0.2">
      <c r="A688" t="s">
        <v>23411</v>
      </c>
      <c r="B688" t="s">
        <v>22368</v>
      </c>
      <c r="C688" t="s">
        <v>23412</v>
      </c>
      <c r="D688" t="s">
        <v>6068</v>
      </c>
      <c r="E688">
        <f t="shared" si="11"/>
        <v>62</v>
      </c>
    </row>
    <row r="689" spans="1:5" x14ac:dyDescent="0.2">
      <c r="A689" t="s">
        <v>14763</v>
      </c>
      <c r="B689" t="s">
        <v>22368</v>
      </c>
      <c r="C689" t="s">
        <v>14764</v>
      </c>
      <c r="D689" t="s">
        <v>6068</v>
      </c>
      <c r="E689">
        <f t="shared" si="11"/>
        <v>62</v>
      </c>
    </row>
    <row r="690" spans="1:5" x14ac:dyDescent="0.2">
      <c r="A690" t="s">
        <v>23413</v>
      </c>
      <c r="B690" t="s">
        <v>22368</v>
      </c>
      <c r="C690" t="s">
        <v>23414</v>
      </c>
      <c r="D690" t="s">
        <v>6068</v>
      </c>
      <c r="E690">
        <f t="shared" si="11"/>
        <v>333</v>
      </c>
    </row>
    <row r="691" spans="1:5" x14ac:dyDescent="0.2">
      <c r="A691" t="s">
        <v>23415</v>
      </c>
      <c r="B691" t="s">
        <v>22368</v>
      </c>
      <c r="C691" t="s">
        <v>23416</v>
      </c>
      <c r="D691" t="s">
        <v>6068</v>
      </c>
      <c r="E691">
        <f t="shared" si="11"/>
        <v>333</v>
      </c>
    </row>
    <row r="692" spans="1:5" x14ac:dyDescent="0.2">
      <c r="A692" t="s">
        <v>23417</v>
      </c>
      <c r="B692" t="s">
        <v>22368</v>
      </c>
      <c r="C692" t="s">
        <v>23418</v>
      </c>
      <c r="D692" t="s">
        <v>6068</v>
      </c>
      <c r="E692">
        <f t="shared" si="11"/>
        <v>666</v>
      </c>
    </row>
    <row r="693" spans="1:5" x14ac:dyDescent="0.2">
      <c r="A693" t="s">
        <v>23419</v>
      </c>
      <c r="B693" t="s">
        <v>22368</v>
      </c>
      <c r="C693" t="s">
        <v>23420</v>
      </c>
      <c r="D693" t="s">
        <v>6068</v>
      </c>
      <c r="E693">
        <f t="shared" si="11"/>
        <v>666</v>
      </c>
    </row>
    <row r="694" spans="1:5" x14ac:dyDescent="0.2">
      <c r="A694" t="s">
        <v>23421</v>
      </c>
      <c r="B694" t="s">
        <v>22368</v>
      </c>
      <c r="C694" t="s">
        <v>23422</v>
      </c>
      <c r="D694" t="s">
        <v>6068</v>
      </c>
      <c r="E694">
        <f t="shared" si="11"/>
        <v>666</v>
      </c>
    </row>
    <row r="695" spans="1:5" x14ac:dyDescent="0.2">
      <c r="A695" t="s">
        <v>23423</v>
      </c>
      <c r="B695" t="s">
        <v>22368</v>
      </c>
      <c r="C695" t="s">
        <v>23424</v>
      </c>
      <c r="D695" t="s">
        <v>6068</v>
      </c>
      <c r="E695">
        <f t="shared" si="11"/>
        <v>666</v>
      </c>
    </row>
    <row r="696" spans="1:5" x14ac:dyDescent="0.2">
      <c r="A696" t="s">
        <v>8797</v>
      </c>
      <c r="B696" t="s">
        <v>22368</v>
      </c>
      <c r="C696" t="s">
        <v>23425</v>
      </c>
      <c r="D696" t="s">
        <v>6068</v>
      </c>
      <c r="E696">
        <f t="shared" si="11"/>
        <v>667</v>
      </c>
    </row>
    <row r="697" spans="1:5" x14ac:dyDescent="0.2">
      <c r="A697" t="s">
        <v>23426</v>
      </c>
      <c r="B697" t="s">
        <v>22368</v>
      </c>
      <c r="C697" t="s">
        <v>23427</v>
      </c>
      <c r="D697" t="s">
        <v>6068</v>
      </c>
      <c r="E697">
        <f t="shared" si="11"/>
        <v>100</v>
      </c>
    </row>
    <row r="698" spans="1:5" x14ac:dyDescent="0.2">
      <c r="A698" t="s">
        <v>14765</v>
      </c>
      <c r="B698" t="s">
        <v>22368</v>
      </c>
      <c r="C698" t="s">
        <v>14766</v>
      </c>
      <c r="D698" t="s">
        <v>6068</v>
      </c>
      <c r="E698">
        <f t="shared" si="11"/>
        <v>100</v>
      </c>
    </row>
    <row r="699" spans="1:5" x14ac:dyDescent="0.2">
      <c r="A699" t="s">
        <v>23428</v>
      </c>
      <c r="B699" t="s">
        <v>22368</v>
      </c>
      <c r="C699" t="s">
        <v>23429</v>
      </c>
      <c r="D699" t="s">
        <v>6068</v>
      </c>
      <c r="E699">
        <f t="shared" si="11"/>
        <v>99</v>
      </c>
    </row>
    <row r="700" spans="1:5" x14ac:dyDescent="0.2">
      <c r="A700" t="s">
        <v>23430</v>
      </c>
      <c r="B700" t="s">
        <v>22368</v>
      </c>
      <c r="C700" t="s">
        <v>23431</v>
      </c>
      <c r="D700" t="s">
        <v>6068</v>
      </c>
      <c r="E700">
        <f t="shared" si="11"/>
        <v>106</v>
      </c>
    </row>
    <row r="701" spans="1:5" x14ac:dyDescent="0.2">
      <c r="A701" t="s">
        <v>23432</v>
      </c>
      <c r="B701" t="s">
        <v>22368</v>
      </c>
      <c r="C701" t="s">
        <v>23433</v>
      </c>
      <c r="D701" t="s">
        <v>6068</v>
      </c>
      <c r="E701">
        <f t="shared" si="11"/>
        <v>106</v>
      </c>
    </row>
    <row r="702" spans="1:5" x14ac:dyDescent="0.2">
      <c r="A702" t="s">
        <v>23434</v>
      </c>
      <c r="B702" t="s">
        <v>22368</v>
      </c>
      <c r="C702" t="s">
        <v>23435</v>
      </c>
      <c r="D702" t="s">
        <v>6068</v>
      </c>
      <c r="E702">
        <f t="shared" si="11"/>
        <v>106</v>
      </c>
    </row>
    <row r="703" spans="1:5" x14ac:dyDescent="0.2">
      <c r="A703" t="s">
        <v>23436</v>
      </c>
      <c r="B703" t="s">
        <v>22368</v>
      </c>
      <c r="C703" t="s">
        <v>23437</v>
      </c>
      <c r="D703" t="s">
        <v>6068</v>
      </c>
      <c r="E703">
        <f t="shared" si="11"/>
        <v>106</v>
      </c>
    </row>
    <row r="704" spans="1:5" x14ac:dyDescent="0.2">
      <c r="A704" t="s">
        <v>10179</v>
      </c>
      <c r="B704" t="s">
        <v>22368</v>
      </c>
      <c r="C704" t="s">
        <v>10666</v>
      </c>
      <c r="D704" t="s">
        <v>6068</v>
      </c>
      <c r="E704">
        <f t="shared" si="11"/>
        <v>106</v>
      </c>
    </row>
    <row r="705" spans="1:5" x14ac:dyDescent="0.2">
      <c r="A705" t="s">
        <v>23438</v>
      </c>
      <c r="B705" t="s">
        <v>22368</v>
      </c>
      <c r="C705" t="s">
        <v>23439</v>
      </c>
      <c r="D705" t="s">
        <v>6068</v>
      </c>
      <c r="E705">
        <f t="shared" si="11"/>
        <v>149</v>
      </c>
    </row>
    <row r="706" spans="1:5" x14ac:dyDescent="0.2">
      <c r="A706" t="s">
        <v>23440</v>
      </c>
      <c r="B706" t="s">
        <v>22368</v>
      </c>
      <c r="C706" t="s">
        <v>23441</v>
      </c>
      <c r="D706" t="s">
        <v>6068</v>
      </c>
      <c r="E706">
        <f t="shared" si="11"/>
        <v>124</v>
      </c>
    </row>
    <row r="707" spans="1:5" x14ac:dyDescent="0.2">
      <c r="A707" t="s">
        <v>11675</v>
      </c>
      <c r="B707" t="s">
        <v>22368</v>
      </c>
      <c r="C707" t="s">
        <v>12592</v>
      </c>
      <c r="D707" t="s">
        <v>6068</v>
      </c>
      <c r="E707">
        <f t="shared" si="11"/>
        <v>178</v>
      </c>
    </row>
    <row r="708" spans="1:5" x14ac:dyDescent="0.2">
      <c r="A708" t="s">
        <v>9948</v>
      </c>
      <c r="B708" t="s">
        <v>22368</v>
      </c>
      <c r="C708" t="s">
        <v>10672</v>
      </c>
      <c r="D708" t="s">
        <v>6068</v>
      </c>
      <c r="E708">
        <f t="shared" si="11"/>
        <v>65</v>
      </c>
    </row>
    <row r="709" spans="1:5" x14ac:dyDescent="0.2">
      <c r="A709" t="s">
        <v>23442</v>
      </c>
      <c r="B709" t="s">
        <v>22368</v>
      </c>
      <c r="C709" t="s">
        <v>23443</v>
      </c>
      <c r="D709" t="s">
        <v>6068</v>
      </c>
      <c r="E709">
        <f t="shared" si="11"/>
        <v>65</v>
      </c>
    </row>
    <row r="710" spans="1:5" x14ac:dyDescent="0.2">
      <c r="A710" t="s">
        <v>9220</v>
      </c>
      <c r="B710" t="s">
        <v>22368</v>
      </c>
      <c r="C710" t="s">
        <v>10673</v>
      </c>
      <c r="D710" t="s">
        <v>6068</v>
      </c>
      <c r="E710">
        <f t="shared" si="11"/>
        <v>65</v>
      </c>
    </row>
    <row r="711" spans="1:5" x14ac:dyDescent="0.2">
      <c r="A711" t="s">
        <v>9634</v>
      </c>
      <c r="B711" t="s">
        <v>22368</v>
      </c>
      <c r="C711" t="s">
        <v>10674</v>
      </c>
      <c r="D711" t="s">
        <v>6068</v>
      </c>
      <c r="E711">
        <f t="shared" si="11"/>
        <v>65</v>
      </c>
    </row>
    <row r="712" spans="1:5" x14ac:dyDescent="0.2">
      <c r="A712" t="s">
        <v>23444</v>
      </c>
      <c r="B712" t="s">
        <v>22368</v>
      </c>
      <c r="C712" t="s">
        <v>23445</v>
      </c>
      <c r="D712" t="s">
        <v>6068</v>
      </c>
      <c r="E712">
        <f t="shared" si="11"/>
        <v>65</v>
      </c>
    </row>
    <row r="713" spans="1:5" x14ac:dyDescent="0.2">
      <c r="A713" t="s">
        <v>23446</v>
      </c>
      <c r="B713" t="s">
        <v>22368</v>
      </c>
      <c r="C713" t="s">
        <v>23447</v>
      </c>
      <c r="D713" t="s">
        <v>6068</v>
      </c>
      <c r="E713">
        <f t="shared" si="11"/>
        <v>65</v>
      </c>
    </row>
    <row r="714" spans="1:5" x14ac:dyDescent="0.2">
      <c r="A714" t="s">
        <v>23448</v>
      </c>
      <c r="B714" t="s">
        <v>22368</v>
      </c>
      <c r="C714" t="s">
        <v>23449</v>
      </c>
      <c r="D714" t="s">
        <v>6068</v>
      </c>
      <c r="E714">
        <f t="shared" si="11"/>
        <v>65</v>
      </c>
    </row>
    <row r="715" spans="1:5" x14ac:dyDescent="0.2">
      <c r="A715" t="s">
        <v>10178</v>
      </c>
      <c r="B715" t="s">
        <v>22368</v>
      </c>
      <c r="C715" t="s">
        <v>10675</v>
      </c>
      <c r="D715" t="s">
        <v>6068</v>
      </c>
      <c r="E715">
        <f t="shared" si="11"/>
        <v>65</v>
      </c>
    </row>
    <row r="716" spans="1:5" x14ac:dyDescent="0.2">
      <c r="A716" t="s">
        <v>23450</v>
      </c>
      <c r="B716" t="s">
        <v>22368</v>
      </c>
      <c r="C716" t="s">
        <v>23451</v>
      </c>
      <c r="D716" t="s">
        <v>6068</v>
      </c>
      <c r="E716">
        <f t="shared" ref="E716:E779" si="12">+LEN(C716)</f>
        <v>64</v>
      </c>
    </row>
    <row r="717" spans="1:5" x14ac:dyDescent="0.2">
      <c r="A717" t="s">
        <v>23452</v>
      </c>
      <c r="B717" t="s">
        <v>22368</v>
      </c>
      <c r="C717" t="s">
        <v>23453</v>
      </c>
      <c r="D717" t="s">
        <v>6068</v>
      </c>
      <c r="E717">
        <f t="shared" si="12"/>
        <v>64</v>
      </c>
    </row>
    <row r="718" spans="1:5" x14ac:dyDescent="0.2">
      <c r="A718" t="s">
        <v>23454</v>
      </c>
      <c r="B718" t="s">
        <v>22368</v>
      </c>
      <c r="C718" t="s">
        <v>23455</v>
      </c>
      <c r="D718" t="s">
        <v>6068</v>
      </c>
      <c r="E718">
        <f t="shared" si="12"/>
        <v>64</v>
      </c>
    </row>
    <row r="719" spans="1:5" x14ac:dyDescent="0.2">
      <c r="A719" t="s">
        <v>23456</v>
      </c>
      <c r="B719" t="s">
        <v>22368</v>
      </c>
      <c r="C719" t="s">
        <v>23457</v>
      </c>
      <c r="D719" t="s">
        <v>6068</v>
      </c>
      <c r="E719">
        <f t="shared" si="12"/>
        <v>64</v>
      </c>
    </row>
    <row r="720" spans="1:5" x14ac:dyDescent="0.2">
      <c r="A720" t="s">
        <v>23458</v>
      </c>
      <c r="B720" t="s">
        <v>22368</v>
      </c>
      <c r="C720" t="s">
        <v>23459</v>
      </c>
      <c r="D720" t="s">
        <v>6068</v>
      </c>
      <c r="E720">
        <f t="shared" si="12"/>
        <v>64</v>
      </c>
    </row>
    <row r="721" spans="1:5" x14ac:dyDescent="0.2">
      <c r="A721" t="s">
        <v>22244</v>
      </c>
      <c r="B721" t="s">
        <v>22368</v>
      </c>
      <c r="C721" t="s">
        <v>23460</v>
      </c>
      <c r="D721" t="s">
        <v>6068</v>
      </c>
      <c r="E721">
        <f t="shared" si="12"/>
        <v>52</v>
      </c>
    </row>
    <row r="722" spans="1:5" x14ac:dyDescent="0.2">
      <c r="A722" t="s">
        <v>23461</v>
      </c>
      <c r="B722" t="s">
        <v>22368</v>
      </c>
      <c r="C722" t="s">
        <v>23462</v>
      </c>
      <c r="D722" t="s">
        <v>6068</v>
      </c>
      <c r="E722">
        <f t="shared" si="12"/>
        <v>52</v>
      </c>
    </row>
    <row r="723" spans="1:5" x14ac:dyDescent="0.2">
      <c r="A723" t="s">
        <v>23463</v>
      </c>
      <c r="B723" t="s">
        <v>22368</v>
      </c>
      <c r="C723" t="s">
        <v>23464</v>
      </c>
      <c r="D723" t="s">
        <v>6068</v>
      </c>
      <c r="E723">
        <f t="shared" si="12"/>
        <v>52</v>
      </c>
    </row>
    <row r="724" spans="1:5" x14ac:dyDescent="0.2">
      <c r="A724" t="s">
        <v>23465</v>
      </c>
      <c r="B724" t="s">
        <v>22368</v>
      </c>
      <c r="C724" t="s">
        <v>23466</v>
      </c>
      <c r="D724" t="s">
        <v>6068</v>
      </c>
      <c r="E724">
        <f t="shared" si="12"/>
        <v>52</v>
      </c>
    </row>
    <row r="725" spans="1:5" x14ac:dyDescent="0.2">
      <c r="A725" t="s">
        <v>9910</v>
      </c>
      <c r="B725" t="s">
        <v>22368</v>
      </c>
      <c r="C725" t="s">
        <v>10668</v>
      </c>
      <c r="D725" t="s">
        <v>6068</v>
      </c>
      <c r="E725">
        <f t="shared" si="12"/>
        <v>52</v>
      </c>
    </row>
    <row r="726" spans="1:5" x14ac:dyDescent="0.2">
      <c r="A726" t="s">
        <v>23467</v>
      </c>
      <c r="B726" t="s">
        <v>22368</v>
      </c>
      <c r="C726" t="s">
        <v>23468</v>
      </c>
      <c r="D726" t="s">
        <v>6068</v>
      </c>
      <c r="E726">
        <f t="shared" si="12"/>
        <v>52</v>
      </c>
    </row>
    <row r="727" spans="1:5" x14ac:dyDescent="0.2">
      <c r="A727" t="s">
        <v>23469</v>
      </c>
      <c r="B727" t="s">
        <v>22368</v>
      </c>
      <c r="C727" t="s">
        <v>23470</v>
      </c>
      <c r="D727" t="s">
        <v>6068</v>
      </c>
      <c r="E727">
        <f t="shared" si="12"/>
        <v>52</v>
      </c>
    </row>
    <row r="728" spans="1:5" x14ac:dyDescent="0.2">
      <c r="A728" t="s">
        <v>23471</v>
      </c>
      <c r="B728" t="s">
        <v>22368</v>
      </c>
      <c r="C728" t="s">
        <v>23472</v>
      </c>
      <c r="D728" t="s">
        <v>6068</v>
      </c>
      <c r="E728">
        <f t="shared" si="12"/>
        <v>52</v>
      </c>
    </row>
    <row r="729" spans="1:5" x14ac:dyDescent="0.2">
      <c r="A729" t="s">
        <v>23473</v>
      </c>
      <c r="B729" t="s">
        <v>22368</v>
      </c>
      <c r="C729" t="s">
        <v>23474</v>
      </c>
      <c r="D729" t="s">
        <v>6068</v>
      </c>
      <c r="E729">
        <f t="shared" si="12"/>
        <v>52</v>
      </c>
    </row>
    <row r="730" spans="1:5" x14ac:dyDescent="0.2">
      <c r="A730" t="s">
        <v>23475</v>
      </c>
      <c r="B730" t="s">
        <v>22368</v>
      </c>
      <c r="C730" t="s">
        <v>23476</v>
      </c>
      <c r="D730" t="s">
        <v>6068</v>
      </c>
      <c r="E730">
        <f t="shared" si="12"/>
        <v>52</v>
      </c>
    </row>
    <row r="731" spans="1:5" x14ac:dyDescent="0.2">
      <c r="A731" t="s">
        <v>23477</v>
      </c>
      <c r="B731" t="s">
        <v>22368</v>
      </c>
      <c r="C731" t="s">
        <v>23478</v>
      </c>
      <c r="D731" t="s">
        <v>6068</v>
      </c>
      <c r="E731">
        <f t="shared" si="12"/>
        <v>52</v>
      </c>
    </row>
    <row r="732" spans="1:5" x14ac:dyDescent="0.2">
      <c r="A732" t="s">
        <v>23479</v>
      </c>
      <c r="B732" t="s">
        <v>22368</v>
      </c>
      <c r="C732" t="s">
        <v>23480</v>
      </c>
      <c r="D732" t="s">
        <v>6068</v>
      </c>
      <c r="E732">
        <f t="shared" si="12"/>
        <v>52</v>
      </c>
    </row>
    <row r="733" spans="1:5" x14ac:dyDescent="0.2">
      <c r="A733" t="s">
        <v>23481</v>
      </c>
      <c r="B733" t="s">
        <v>22368</v>
      </c>
      <c r="C733" t="s">
        <v>23482</v>
      </c>
      <c r="D733" t="s">
        <v>6068</v>
      </c>
      <c r="E733">
        <f t="shared" si="12"/>
        <v>52</v>
      </c>
    </row>
    <row r="734" spans="1:5" x14ac:dyDescent="0.2">
      <c r="A734" t="s">
        <v>23483</v>
      </c>
      <c r="B734" t="s">
        <v>22368</v>
      </c>
      <c r="C734" t="s">
        <v>23484</v>
      </c>
      <c r="D734" t="s">
        <v>6068</v>
      </c>
      <c r="E734">
        <f t="shared" si="12"/>
        <v>52</v>
      </c>
    </row>
    <row r="735" spans="1:5" x14ac:dyDescent="0.2">
      <c r="A735" t="s">
        <v>23485</v>
      </c>
      <c r="B735" t="s">
        <v>22368</v>
      </c>
      <c r="C735" t="s">
        <v>23486</v>
      </c>
      <c r="D735" t="s">
        <v>6068</v>
      </c>
      <c r="E735">
        <f t="shared" si="12"/>
        <v>52</v>
      </c>
    </row>
    <row r="736" spans="1:5" x14ac:dyDescent="0.2">
      <c r="A736" t="s">
        <v>10063</v>
      </c>
      <c r="B736" t="s">
        <v>22368</v>
      </c>
      <c r="C736" t="s">
        <v>10669</v>
      </c>
      <c r="D736" t="s">
        <v>6068</v>
      </c>
      <c r="E736">
        <f t="shared" si="12"/>
        <v>52</v>
      </c>
    </row>
    <row r="737" spans="1:5" x14ac:dyDescent="0.2">
      <c r="A737" t="s">
        <v>8723</v>
      </c>
      <c r="B737" t="s">
        <v>22368</v>
      </c>
      <c r="C737" t="s">
        <v>10670</v>
      </c>
      <c r="D737" t="s">
        <v>6068</v>
      </c>
      <c r="E737">
        <f t="shared" si="12"/>
        <v>52</v>
      </c>
    </row>
    <row r="738" spans="1:5" x14ac:dyDescent="0.2">
      <c r="A738" t="s">
        <v>23487</v>
      </c>
      <c r="B738" t="s">
        <v>22368</v>
      </c>
      <c r="C738" t="s">
        <v>23488</v>
      </c>
      <c r="D738" t="s">
        <v>6068</v>
      </c>
      <c r="E738">
        <f t="shared" si="12"/>
        <v>52</v>
      </c>
    </row>
    <row r="739" spans="1:5" x14ac:dyDescent="0.2">
      <c r="A739" t="s">
        <v>23489</v>
      </c>
      <c r="B739" t="s">
        <v>22368</v>
      </c>
      <c r="C739" t="s">
        <v>23490</v>
      </c>
      <c r="D739" t="s">
        <v>6068</v>
      </c>
      <c r="E739">
        <f t="shared" si="12"/>
        <v>52</v>
      </c>
    </row>
    <row r="740" spans="1:5" x14ac:dyDescent="0.2">
      <c r="A740" t="s">
        <v>23491</v>
      </c>
      <c r="B740" t="s">
        <v>22368</v>
      </c>
      <c r="C740" t="s">
        <v>23492</v>
      </c>
      <c r="D740" t="s">
        <v>6068</v>
      </c>
      <c r="E740">
        <f t="shared" si="12"/>
        <v>52</v>
      </c>
    </row>
    <row r="741" spans="1:5" x14ac:dyDescent="0.2">
      <c r="A741" t="s">
        <v>23493</v>
      </c>
      <c r="B741" t="s">
        <v>22368</v>
      </c>
      <c r="C741" t="s">
        <v>23494</v>
      </c>
      <c r="D741" t="s">
        <v>6068</v>
      </c>
      <c r="E741">
        <f t="shared" si="12"/>
        <v>80</v>
      </c>
    </row>
    <row r="742" spans="1:5" x14ac:dyDescent="0.2">
      <c r="A742" t="s">
        <v>23495</v>
      </c>
      <c r="B742" t="s">
        <v>22368</v>
      </c>
      <c r="C742" t="s">
        <v>23496</v>
      </c>
      <c r="D742" t="s">
        <v>6068</v>
      </c>
      <c r="E742">
        <f t="shared" si="12"/>
        <v>80</v>
      </c>
    </row>
    <row r="743" spans="1:5" x14ac:dyDescent="0.2">
      <c r="A743" t="s">
        <v>23497</v>
      </c>
      <c r="B743" t="s">
        <v>22368</v>
      </c>
      <c r="C743" t="s">
        <v>23498</v>
      </c>
      <c r="D743" t="s">
        <v>6068</v>
      </c>
      <c r="E743">
        <f t="shared" si="12"/>
        <v>103</v>
      </c>
    </row>
    <row r="744" spans="1:5" x14ac:dyDescent="0.2">
      <c r="A744" t="s">
        <v>23499</v>
      </c>
      <c r="B744" t="s">
        <v>22368</v>
      </c>
      <c r="C744" t="s">
        <v>23500</v>
      </c>
      <c r="D744" t="s">
        <v>6068</v>
      </c>
      <c r="E744">
        <f t="shared" si="12"/>
        <v>81</v>
      </c>
    </row>
    <row r="745" spans="1:5" x14ac:dyDescent="0.2">
      <c r="A745" t="s">
        <v>23501</v>
      </c>
      <c r="B745" t="s">
        <v>22368</v>
      </c>
      <c r="C745" t="s">
        <v>23502</v>
      </c>
      <c r="D745" t="s">
        <v>6068</v>
      </c>
      <c r="E745">
        <f t="shared" si="12"/>
        <v>81</v>
      </c>
    </row>
    <row r="746" spans="1:5" x14ac:dyDescent="0.2">
      <c r="A746" t="s">
        <v>23503</v>
      </c>
      <c r="B746" t="s">
        <v>22368</v>
      </c>
      <c r="C746" t="s">
        <v>23504</v>
      </c>
      <c r="D746" t="s">
        <v>6068</v>
      </c>
      <c r="E746">
        <f t="shared" si="12"/>
        <v>68</v>
      </c>
    </row>
    <row r="747" spans="1:5" x14ac:dyDescent="0.2">
      <c r="A747" t="s">
        <v>23505</v>
      </c>
      <c r="B747" t="s">
        <v>22368</v>
      </c>
      <c r="C747" t="s">
        <v>23506</v>
      </c>
      <c r="D747" t="s">
        <v>6068</v>
      </c>
      <c r="E747">
        <f t="shared" si="12"/>
        <v>68</v>
      </c>
    </row>
    <row r="748" spans="1:5" x14ac:dyDescent="0.2">
      <c r="A748" t="s">
        <v>23507</v>
      </c>
      <c r="B748" t="s">
        <v>22368</v>
      </c>
      <c r="C748" t="s">
        <v>23508</v>
      </c>
      <c r="D748" t="s">
        <v>6068</v>
      </c>
      <c r="E748">
        <f t="shared" si="12"/>
        <v>1021</v>
      </c>
    </row>
    <row r="749" spans="1:5" x14ac:dyDescent="0.2">
      <c r="A749" t="s">
        <v>8798</v>
      </c>
      <c r="B749" t="s">
        <v>22368</v>
      </c>
      <c r="C749" t="s">
        <v>23509</v>
      </c>
      <c r="D749" t="s">
        <v>6068</v>
      </c>
      <c r="E749">
        <f t="shared" si="12"/>
        <v>1022</v>
      </c>
    </row>
    <row r="750" spans="1:5" x14ac:dyDescent="0.2">
      <c r="A750" t="s">
        <v>23510</v>
      </c>
      <c r="B750" t="s">
        <v>22368</v>
      </c>
      <c r="C750" t="s">
        <v>23511</v>
      </c>
      <c r="D750" t="s">
        <v>6068</v>
      </c>
      <c r="E750">
        <f t="shared" si="12"/>
        <v>76</v>
      </c>
    </row>
    <row r="751" spans="1:5" x14ac:dyDescent="0.2">
      <c r="A751" t="s">
        <v>8711</v>
      </c>
      <c r="B751" t="s">
        <v>22368</v>
      </c>
      <c r="C751" t="s">
        <v>10667</v>
      </c>
      <c r="D751" t="s">
        <v>6068</v>
      </c>
      <c r="E751">
        <f t="shared" si="12"/>
        <v>76</v>
      </c>
    </row>
    <row r="752" spans="1:5" x14ac:dyDescent="0.2">
      <c r="A752" t="s">
        <v>23512</v>
      </c>
      <c r="B752" t="s">
        <v>22368</v>
      </c>
      <c r="C752" t="s">
        <v>23513</v>
      </c>
      <c r="D752" t="s">
        <v>6068</v>
      </c>
      <c r="E752">
        <f t="shared" si="12"/>
        <v>297</v>
      </c>
    </row>
    <row r="753" spans="1:5" x14ac:dyDescent="0.2">
      <c r="A753" t="s">
        <v>9523</v>
      </c>
      <c r="B753" t="s">
        <v>22368</v>
      </c>
      <c r="C753" t="s">
        <v>10690</v>
      </c>
      <c r="D753" t="s">
        <v>6068</v>
      </c>
      <c r="E753">
        <f t="shared" si="12"/>
        <v>297</v>
      </c>
    </row>
    <row r="754" spans="1:5" x14ac:dyDescent="0.2">
      <c r="A754" t="s">
        <v>23514</v>
      </c>
      <c r="B754" t="s">
        <v>22368</v>
      </c>
      <c r="C754" t="s">
        <v>23515</v>
      </c>
      <c r="D754" t="s">
        <v>6068</v>
      </c>
      <c r="E754">
        <f t="shared" si="12"/>
        <v>79</v>
      </c>
    </row>
    <row r="755" spans="1:5" x14ac:dyDescent="0.2">
      <c r="A755" t="s">
        <v>23516</v>
      </c>
      <c r="B755" t="s">
        <v>22368</v>
      </c>
      <c r="C755" t="s">
        <v>23517</v>
      </c>
      <c r="D755" t="s">
        <v>6068</v>
      </c>
      <c r="E755">
        <f t="shared" si="12"/>
        <v>69</v>
      </c>
    </row>
    <row r="756" spans="1:5" x14ac:dyDescent="0.2">
      <c r="A756" t="s">
        <v>23518</v>
      </c>
      <c r="B756" t="s">
        <v>22368</v>
      </c>
      <c r="C756" t="s">
        <v>23519</v>
      </c>
      <c r="D756" t="s">
        <v>6068</v>
      </c>
      <c r="E756">
        <f t="shared" si="12"/>
        <v>69</v>
      </c>
    </row>
    <row r="757" spans="1:5" x14ac:dyDescent="0.2">
      <c r="A757" t="s">
        <v>14831</v>
      </c>
      <c r="B757" t="s">
        <v>22368</v>
      </c>
      <c r="C757" t="s">
        <v>14832</v>
      </c>
      <c r="D757" t="s">
        <v>6068</v>
      </c>
      <c r="E757">
        <f t="shared" si="12"/>
        <v>71</v>
      </c>
    </row>
    <row r="758" spans="1:5" x14ac:dyDescent="0.2">
      <c r="A758" t="s">
        <v>23520</v>
      </c>
      <c r="B758" t="s">
        <v>22368</v>
      </c>
      <c r="C758" t="s">
        <v>23521</v>
      </c>
      <c r="D758" t="s">
        <v>6068</v>
      </c>
      <c r="E758">
        <f t="shared" si="12"/>
        <v>71</v>
      </c>
    </row>
    <row r="759" spans="1:5" x14ac:dyDescent="0.2">
      <c r="A759" t="s">
        <v>23522</v>
      </c>
      <c r="B759" t="s">
        <v>22368</v>
      </c>
      <c r="C759" t="s">
        <v>23523</v>
      </c>
      <c r="D759" t="s">
        <v>6068</v>
      </c>
      <c r="E759">
        <f t="shared" si="12"/>
        <v>71</v>
      </c>
    </row>
    <row r="760" spans="1:5" x14ac:dyDescent="0.2">
      <c r="A760" t="s">
        <v>9747</v>
      </c>
      <c r="B760" t="s">
        <v>22368</v>
      </c>
      <c r="C760" t="s">
        <v>10671</v>
      </c>
      <c r="D760" t="s">
        <v>6068</v>
      </c>
      <c r="E760">
        <f t="shared" si="12"/>
        <v>71</v>
      </c>
    </row>
    <row r="761" spans="1:5" x14ac:dyDescent="0.2">
      <c r="A761" t="s">
        <v>23524</v>
      </c>
      <c r="B761" t="s">
        <v>22368</v>
      </c>
      <c r="C761" t="s">
        <v>23525</v>
      </c>
      <c r="D761" t="s">
        <v>6068</v>
      </c>
      <c r="E761">
        <f t="shared" si="12"/>
        <v>71</v>
      </c>
    </row>
    <row r="762" spans="1:5" x14ac:dyDescent="0.2">
      <c r="A762" t="s">
        <v>23526</v>
      </c>
      <c r="B762" t="s">
        <v>22368</v>
      </c>
      <c r="C762" t="s">
        <v>23527</v>
      </c>
      <c r="D762" t="s">
        <v>6068</v>
      </c>
      <c r="E762">
        <f t="shared" si="12"/>
        <v>70</v>
      </c>
    </row>
    <row r="763" spans="1:5" x14ac:dyDescent="0.2">
      <c r="A763" t="s">
        <v>23528</v>
      </c>
      <c r="B763" t="s">
        <v>22368</v>
      </c>
      <c r="C763" t="s">
        <v>23529</v>
      </c>
      <c r="D763" t="s">
        <v>6068</v>
      </c>
      <c r="E763">
        <f t="shared" si="12"/>
        <v>70</v>
      </c>
    </row>
    <row r="764" spans="1:5" x14ac:dyDescent="0.2">
      <c r="A764" t="s">
        <v>23530</v>
      </c>
      <c r="B764" t="s">
        <v>22368</v>
      </c>
      <c r="C764" t="s">
        <v>23531</v>
      </c>
      <c r="D764" t="s">
        <v>6068</v>
      </c>
      <c r="E764">
        <f t="shared" si="12"/>
        <v>81</v>
      </c>
    </row>
    <row r="765" spans="1:5" x14ac:dyDescent="0.2">
      <c r="A765" t="s">
        <v>11152</v>
      </c>
      <c r="B765" t="s">
        <v>22368</v>
      </c>
      <c r="C765" t="s">
        <v>12573</v>
      </c>
      <c r="D765" t="s">
        <v>6068</v>
      </c>
      <c r="E765">
        <f t="shared" si="12"/>
        <v>81</v>
      </c>
    </row>
    <row r="766" spans="1:5" x14ac:dyDescent="0.2">
      <c r="A766" t="s">
        <v>23532</v>
      </c>
      <c r="B766" t="s">
        <v>22368</v>
      </c>
      <c r="C766" t="s">
        <v>23533</v>
      </c>
      <c r="D766" t="s">
        <v>6068</v>
      </c>
      <c r="E766">
        <f t="shared" si="12"/>
        <v>109</v>
      </c>
    </row>
    <row r="767" spans="1:5" x14ac:dyDescent="0.2">
      <c r="A767" t="s">
        <v>23534</v>
      </c>
      <c r="B767" t="s">
        <v>22368</v>
      </c>
      <c r="C767" t="s">
        <v>23535</v>
      </c>
      <c r="D767" t="s">
        <v>6068</v>
      </c>
      <c r="E767">
        <f t="shared" si="12"/>
        <v>118</v>
      </c>
    </row>
    <row r="768" spans="1:5" x14ac:dyDescent="0.2">
      <c r="A768" t="s">
        <v>10142</v>
      </c>
      <c r="B768" t="s">
        <v>22368</v>
      </c>
      <c r="C768" t="s">
        <v>10678</v>
      </c>
      <c r="D768" t="s">
        <v>6068</v>
      </c>
      <c r="E768">
        <f t="shared" si="12"/>
        <v>118</v>
      </c>
    </row>
    <row r="769" spans="1:5" x14ac:dyDescent="0.2">
      <c r="A769" t="s">
        <v>23536</v>
      </c>
      <c r="B769" t="s">
        <v>22368</v>
      </c>
      <c r="C769" t="s">
        <v>23537</v>
      </c>
      <c r="D769" t="s">
        <v>6068</v>
      </c>
      <c r="E769">
        <f t="shared" si="12"/>
        <v>118</v>
      </c>
    </row>
    <row r="770" spans="1:5" x14ac:dyDescent="0.2">
      <c r="A770" t="s">
        <v>23538</v>
      </c>
      <c r="B770" t="s">
        <v>22368</v>
      </c>
      <c r="C770" t="s">
        <v>23539</v>
      </c>
      <c r="D770" t="s">
        <v>6068</v>
      </c>
      <c r="E770">
        <f t="shared" si="12"/>
        <v>118</v>
      </c>
    </row>
    <row r="771" spans="1:5" x14ac:dyDescent="0.2">
      <c r="A771" t="s">
        <v>23540</v>
      </c>
      <c r="B771" t="s">
        <v>22368</v>
      </c>
      <c r="C771" t="s">
        <v>23541</v>
      </c>
      <c r="D771" t="s">
        <v>6068</v>
      </c>
      <c r="E771">
        <f t="shared" si="12"/>
        <v>103</v>
      </c>
    </row>
    <row r="772" spans="1:5" x14ac:dyDescent="0.2">
      <c r="A772" t="s">
        <v>23542</v>
      </c>
      <c r="B772" t="s">
        <v>22368</v>
      </c>
      <c r="C772" t="s">
        <v>23543</v>
      </c>
      <c r="D772" t="s">
        <v>6068</v>
      </c>
      <c r="E772">
        <f t="shared" si="12"/>
        <v>135</v>
      </c>
    </row>
    <row r="773" spans="1:5" x14ac:dyDescent="0.2">
      <c r="A773" t="s">
        <v>23544</v>
      </c>
      <c r="B773" t="s">
        <v>22368</v>
      </c>
      <c r="C773" t="s">
        <v>23545</v>
      </c>
      <c r="D773" t="s">
        <v>6068</v>
      </c>
      <c r="E773">
        <f t="shared" si="12"/>
        <v>114</v>
      </c>
    </row>
    <row r="774" spans="1:5" x14ac:dyDescent="0.2">
      <c r="A774" t="s">
        <v>23546</v>
      </c>
      <c r="B774" t="s">
        <v>22368</v>
      </c>
      <c r="C774" t="s">
        <v>23547</v>
      </c>
      <c r="D774" t="s">
        <v>6068</v>
      </c>
      <c r="E774">
        <f t="shared" si="12"/>
        <v>114</v>
      </c>
    </row>
    <row r="775" spans="1:5" x14ac:dyDescent="0.2">
      <c r="A775" t="s">
        <v>23546</v>
      </c>
      <c r="B775" t="s">
        <v>22368</v>
      </c>
      <c r="C775" t="s">
        <v>23548</v>
      </c>
      <c r="D775" t="s">
        <v>6068</v>
      </c>
      <c r="E775">
        <f t="shared" si="12"/>
        <v>114</v>
      </c>
    </row>
    <row r="776" spans="1:5" x14ac:dyDescent="0.2">
      <c r="A776" t="s">
        <v>23549</v>
      </c>
      <c r="B776" t="s">
        <v>22368</v>
      </c>
      <c r="C776" t="s">
        <v>23550</v>
      </c>
      <c r="D776" t="s">
        <v>6068</v>
      </c>
      <c r="E776">
        <f t="shared" si="12"/>
        <v>114</v>
      </c>
    </row>
    <row r="777" spans="1:5" x14ac:dyDescent="0.2">
      <c r="A777" t="s">
        <v>23551</v>
      </c>
      <c r="B777" t="s">
        <v>22368</v>
      </c>
      <c r="C777" t="s">
        <v>23552</v>
      </c>
      <c r="D777" t="s">
        <v>6068</v>
      </c>
      <c r="E777">
        <f t="shared" si="12"/>
        <v>114</v>
      </c>
    </row>
    <row r="778" spans="1:5" x14ac:dyDescent="0.2">
      <c r="A778" t="s">
        <v>23553</v>
      </c>
      <c r="B778" t="s">
        <v>22368</v>
      </c>
      <c r="C778" t="s">
        <v>23547</v>
      </c>
      <c r="D778" t="s">
        <v>6068</v>
      </c>
      <c r="E778">
        <f t="shared" si="12"/>
        <v>114</v>
      </c>
    </row>
    <row r="779" spans="1:5" x14ac:dyDescent="0.2">
      <c r="A779" t="s">
        <v>23554</v>
      </c>
      <c r="B779" t="s">
        <v>22368</v>
      </c>
      <c r="C779" t="s">
        <v>23555</v>
      </c>
      <c r="D779" t="s">
        <v>6068</v>
      </c>
      <c r="E779">
        <f t="shared" si="12"/>
        <v>92</v>
      </c>
    </row>
    <row r="780" spans="1:5" x14ac:dyDescent="0.2">
      <c r="A780" t="s">
        <v>23556</v>
      </c>
      <c r="B780" t="s">
        <v>22368</v>
      </c>
      <c r="C780" t="s">
        <v>23557</v>
      </c>
      <c r="D780" t="s">
        <v>6068</v>
      </c>
      <c r="E780">
        <f t="shared" ref="E780:E843" si="13">+LEN(C780)</f>
        <v>92</v>
      </c>
    </row>
    <row r="781" spans="1:5" x14ac:dyDescent="0.2">
      <c r="A781" t="s">
        <v>23556</v>
      </c>
      <c r="B781" t="s">
        <v>22368</v>
      </c>
      <c r="C781" t="s">
        <v>10681</v>
      </c>
      <c r="D781" t="s">
        <v>6068</v>
      </c>
      <c r="E781">
        <f t="shared" si="13"/>
        <v>92</v>
      </c>
    </row>
    <row r="782" spans="1:5" x14ac:dyDescent="0.2">
      <c r="A782" t="s">
        <v>23558</v>
      </c>
      <c r="B782" t="s">
        <v>22368</v>
      </c>
      <c r="C782" t="s">
        <v>23559</v>
      </c>
      <c r="D782" t="s">
        <v>6068</v>
      </c>
      <c r="E782">
        <f t="shared" si="13"/>
        <v>92</v>
      </c>
    </row>
    <row r="783" spans="1:5" x14ac:dyDescent="0.2">
      <c r="A783" t="s">
        <v>23560</v>
      </c>
      <c r="B783" t="s">
        <v>22368</v>
      </c>
      <c r="C783" t="s">
        <v>23561</v>
      </c>
      <c r="D783" t="s">
        <v>6068</v>
      </c>
      <c r="E783">
        <f t="shared" si="13"/>
        <v>92</v>
      </c>
    </row>
    <row r="784" spans="1:5" x14ac:dyDescent="0.2">
      <c r="A784" t="s">
        <v>9570</v>
      </c>
      <c r="B784" t="s">
        <v>22368</v>
      </c>
      <c r="C784" t="s">
        <v>10681</v>
      </c>
      <c r="D784" t="s">
        <v>6068</v>
      </c>
      <c r="E784">
        <f t="shared" si="13"/>
        <v>92</v>
      </c>
    </row>
    <row r="785" spans="1:5" x14ac:dyDescent="0.2">
      <c r="A785" t="s">
        <v>23562</v>
      </c>
      <c r="B785" t="s">
        <v>22368</v>
      </c>
      <c r="C785" t="s">
        <v>23563</v>
      </c>
      <c r="D785" t="s">
        <v>6068</v>
      </c>
      <c r="E785">
        <f t="shared" si="13"/>
        <v>58</v>
      </c>
    </row>
    <row r="786" spans="1:5" x14ac:dyDescent="0.2">
      <c r="A786" t="s">
        <v>23564</v>
      </c>
      <c r="B786" t="s">
        <v>22368</v>
      </c>
      <c r="C786" t="s">
        <v>23565</v>
      </c>
      <c r="D786" t="s">
        <v>6068</v>
      </c>
      <c r="E786">
        <f t="shared" si="13"/>
        <v>58</v>
      </c>
    </row>
    <row r="787" spans="1:5" x14ac:dyDescent="0.2">
      <c r="A787" t="s">
        <v>23566</v>
      </c>
      <c r="B787" t="s">
        <v>22368</v>
      </c>
      <c r="C787" t="s">
        <v>23567</v>
      </c>
      <c r="D787" t="s">
        <v>6068</v>
      </c>
      <c r="E787">
        <f t="shared" si="13"/>
        <v>58</v>
      </c>
    </row>
    <row r="788" spans="1:5" x14ac:dyDescent="0.2">
      <c r="A788" t="s">
        <v>23568</v>
      </c>
      <c r="B788" t="s">
        <v>22368</v>
      </c>
      <c r="C788" t="s">
        <v>23569</v>
      </c>
      <c r="D788" t="s">
        <v>6068</v>
      </c>
      <c r="E788">
        <f t="shared" si="13"/>
        <v>58</v>
      </c>
    </row>
    <row r="789" spans="1:5" x14ac:dyDescent="0.2">
      <c r="A789" t="s">
        <v>23570</v>
      </c>
      <c r="B789" t="s">
        <v>22368</v>
      </c>
      <c r="C789" t="s">
        <v>23571</v>
      </c>
      <c r="D789" t="s">
        <v>6068</v>
      </c>
      <c r="E789">
        <f t="shared" si="13"/>
        <v>58</v>
      </c>
    </row>
    <row r="790" spans="1:5" x14ac:dyDescent="0.2">
      <c r="A790" t="s">
        <v>9987</v>
      </c>
      <c r="B790" t="s">
        <v>22368</v>
      </c>
      <c r="C790" t="s">
        <v>10677</v>
      </c>
      <c r="D790" t="s">
        <v>6068</v>
      </c>
      <c r="E790">
        <f t="shared" si="13"/>
        <v>58</v>
      </c>
    </row>
    <row r="791" spans="1:5" x14ac:dyDescent="0.2">
      <c r="A791" t="s">
        <v>23572</v>
      </c>
      <c r="B791" t="s">
        <v>22368</v>
      </c>
      <c r="C791" t="s">
        <v>23573</v>
      </c>
      <c r="D791" t="s">
        <v>6068</v>
      </c>
      <c r="E791">
        <f t="shared" si="13"/>
        <v>58</v>
      </c>
    </row>
    <row r="792" spans="1:5" x14ac:dyDescent="0.2">
      <c r="A792" t="s">
        <v>23574</v>
      </c>
      <c r="B792" t="s">
        <v>22368</v>
      </c>
      <c r="C792" t="s">
        <v>23575</v>
      </c>
      <c r="D792" t="s">
        <v>6068</v>
      </c>
      <c r="E792">
        <f t="shared" si="13"/>
        <v>58</v>
      </c>
    </row>
    <row r="793" spans="1:5" x14ac:dyDescent="0.2">
      <c r="A793" t="s">
        <v>23576</v>
      </c>
      <c r="B793" t="s">
        <v>22368</v>
      </c>
      <c r="C793" t="s">
        <v>23577</v>
      </c>
      <c r="D793" t="s">
        <v>6068</v>
      </c>
      <c r="E793">
        <f t="shared" si="13"/>
        <v>58</v>
      </c>
    </row>
    <row r="794" spans="1:5" x14ac:dyDescent="0.2">
      <c r="A794" t="s">
        <v>23578</v>
      </c>
      <c r="B794" t="s">
        <v>22368</v>
      </c>
      <c r="C794" t="s">
        <v>23579</v>
      </c>
      <c r="D794" t="s">
        <v>6068</v>
      </c>
      <c r="E794">
        <f t="shared" si="13"/>
        <v>58</v>
      </c>
    </row>
    <row r="795" spans="1:5" x14ac:dyDescent="0.2">
      <c r="A795" t="s">
        <v>23580</v>
      </c>
      <c r="B795" t="s">
        <v>22368</v>
      </c>
      <c r="C795" t="s">
        <v>23581</v>
      </c>
      <c r="D795" t="s">
        <v>6068</v>
      </c>
      <c r="E795">
        <f t="shared" si="13"/>
        <v>58</v>
      </c>
    </row>
    <row r="796" spans="1:5" x14ac:dyDescent="0.2">
      <c r="A796" t="s">
        <v>23582</v>
      </c>
      <c r="B796" t="s">
        <v>22368</v>
      </c>
      <c r="C796" t="s">
        <v>23583</v>
      </c>
      <c r="D796" t="s">
        <v>6068</v>
      </c>
      <c r="E796">
        <f t="shared" si="13"/>
        <v>58</v>
      </c>
    </row>
    <row r="797" spans="1:5" x14ac:dyDescent="0.2">
      <c r="A797" t="s">
        <v>23584</v>
      </c>
      <c r="B797" t="s">
        <v>22368</v>
      </c>
      <c r="C797" t="s">
        <v>23585</v>
      </c>
      <c r="D797" t="s">
        <v>6068</v>
      </c>
      <c r="E797">
        <f t="shared" si="13"/>
        <v>58</v>
      </c>
    </row>
    <row r="798" spans="1:5" x14ac:dyDescent="0.2">
      <c r="A798" t="s">
        <v>23586</v>
      </c>
      <c r="B798" t="s">
        <v>22368</v>
      </c>
      <c r="C798" t="s">
        <v>23587</v>
      </c>
      <c r="D798" t="s">
        <v>6068</v>
      </c>
      <c r="E798">
        <f t="shared" si="13"/>
        <v>58</v>
      </c>
    </row>
    <row r="799" spans="1:5" x14ac:dyDescent="0.2">
      <c r="A799" t="s">
        <v>23588</v>
      </c>
      <c r="B799" t="s">
        <v>22368</v>
      </c>
      <c r="C799" t="s">
        <v>23589</v>
      </c>
      <c r="D799" t="s">
        <v>6068</v>
      </c>
      <c r="E799">
        <f t="shared" si="13"/>
        <v>58</v>
      </c>
    </row>
    <row r="800" spans="1:5" x14ac:dyDescent="0.2">
      <c r="A800" t="s">
        <v>23590</v>
      </c>
      <c r="B800" t="s">
        <v>22368</v>
      </c>
      <c r="C800" t="s">
        <v>23591</v>
      </c>
      <c r="D800" t="s">
        <v>6068</v>
      </c>
      <c r="E800">
        <f t="shared" si="13"/>
        <v>58</v>
      </c>
    </row>
    <row r="801" spans="1:5" x14ac:dyDescent="0.2">
      <c r="A801" t="s">
        <v>8921</v>
      </c>
      <c r="B801" t="s">
        <v>22368</v>
      </c>
      <c r="C801" t="s">
        <v>10679</v>
      </c>
      <c r="D801" t="s">
        <v>6068</v>
      </c>
      <c r="E801">
        <f t="shared" si="13"/>
        <v>58</v>
      </c>
    </row>
    <row r="802" spans="1:5" x14ac:dyDescent="0.2">
      <c r="A802" t="s">
        <v>23592</v>
      </c>
      <c r="B802" t="s">
        <v>22368</v>
      </c>
      <c r="C802" t="s">
        <v>23593</v>
      </c>
      <c r="D802" t="s">
        <v>6068</v>
      </c>
      <c r="E802">
        <f t="shared" si="13"/>
        <v>58</v>
      </c>
    </row>
    <row r="803" spans="1:5" x14ac:dyDescent="0.2">
      <c r="A803" t="s">
        <v>23594</v>
      </c>
      <c r="B803" t="s">
        <v>22368</v>
      </c>
      <c r="C803" t="s">
        <v>23595</v>
      </c>
      <c r="D803" t="s">
        <v>6068</v>
      </c>
      <c r="E803">
        <f t="shared" si="13"/>
        <v>58</v>
      </c>
    </row>
    <row r="804" spans="1:5" x14ac:dyDescent="0.2">
      <c r="A804" t="s">
        <v>23596</v>
      </c>
      <c r="B804" t="s">
        <v>22368</v>
      </c>
      <c r="C804" t="s">
        <v>23597</v>
      </c>
      <c r="D804" t="s">
        <v>6068</v>
      </c>
      <c r="E804">
        <f t="shared" si="13"/>
        <v>58</v>
      </c>
    </row>
    <row r="805" spans="1:5" x14ac:dyDescent="0.2">
      <c r="A805" t="s">
        <v>9384</v>
      </c>
      <c r="B805" t="s">
        <v>22368</v>
      </c>
      <c r="C805" t="s">
        <v>10680</v>
      </c>
      <c r="D805" t="s">
        <v>6068</v>
      </c>
      <c r="E805">
        <f t="shared" si="13"/>
        <v>58</v>
      </c>
    </row>
    <row r="806" spans="1:5" x14ac:dyDescent="0.2">
      <c r="A806" t="s">
        <v>9746</v>
      </c>
      <c r="B806" t="s">
        <v>22368</v>
      </c>
      <c r="C806" t="s">
        <v>10682</v>
      </c>
      <c r="D806" t="s">
        <v>6068</v>
      </c>
      <c r="E806">
        <f t="shared" si="13"/>
        <v>58</v>
      </c>
    </row>
    <row r="807" spans="1:5" x14ac:dyDescent="0.2">
      <c r="A807" t="s">
        <v>23598</v>
      </c>
      <c r="B807" t="s">
        <v>22368</v>
      </c>
      <c r="C807" t="s">
        <v>23599</v>
      </c>
      <c r="D807" t="s">
        <v>6068</v>
      </c>
      <c r="E807">
        <f t="shared" si="13"/>
        <v>58</v>
      </c>
    </row>
    <row r="808" spans="1:5" x14ac:dyDescent="0.2">
      <c r="A808" t="s">
        <v>8858</v>
      </c>
      <c r="B808" t="s">
        <v>22368</v>
      </c>
      <c r="C808" t="s">
        <v>10683</v>
      </c>
      <c r="D808" t="s">
        <v>6068</v>
      </c>
      <c r="E808">
        <f t="shared" si="13"/>
        <v>58</v>
      </c>
    </row>
    <row r="809" spans="1:5" x14ac:dyDescent="0.2">
      <c r="A809" t="s">
        <v>9861</v>
      </c>
      <c r="B809" t="s">
        <v>22368</v>
      </c>
      <c r="C809" t="s">
        <v>10684</v>
      </c>
      <c r="D809" t="s">
        <v>6068</v>
      </c>
      <c r="E809">
        <f t="shared" si="13"/>
        <v>58</v>
      </c>
    </row>
    <row r="810" spans="1:5" x14ac:dyDescent="0.2">
      <c r="A810" t="s">
        <v>9037</v>
      </c>
      <c r="B810" t="s">
        <v>22368</v>
      </c>
      <c r="C810" t="s">
        <v>10685</v>
      </c>
      <c r="D810" t="s">
        <v>6068</v>
      </c>
      <c r="E810">
        <f t="shared" si="13"/>
        <v>58</v>
      </c>
    </row>
    <row r="811" spans="1:5" x14ac:dyDescent="0.2">
      <c r="A811" t="s">
        <v>23600</v>
      </c>
      <c r="B811" t="s">
        <v>22368</v>
      </c>
      <c r="C811" t="s">
        <v>23601</v>
      </c>
      <c r="D811" t="s">
        <v>6068</v>
      </c>
      <c r="E811">
        <f t="shared" si="13"/>
        <v>524</v>
      </c>
    </row>
    <row r="812" spans="1:5" x14ac:dyDescent="0.2">
      <c r="A812" t="s">
        <v>23602</v>
      </c>
      <c r="B812" t="s">
        <v>22368</v>
      </c>
      <c r="C812" t="s">
        <v>23603</v>
      </c>
      <c r="D812" t="s">
        <v>6068</v>
      </c>
      <c r="E812">
        <f t="shared" si="13"/>
        <v>524</v>
      </c>
    </row>
    <row r="813" spans="1:5" x14ac:dyDescent="0.2">
      <c r="A813" t="s">
        <v>23604</v>
      </c>
      <c r="B813" t="s">
        <v>22368</v>
      </c>
      <c r="C813" t="s">
        <v>23605</v>
      </c>
      <c r="D813" t="s">
        <v>6068</v>
      </c>
      <c r="E813">
        <f t="shared" si="13"/>
        <v>524</v>
      </c>
    </row>
    <row r="814" spans="1:5" x14ac:dyDescent="0.2">
      <c r="A814" t="s">
        <v>23606</v>
      </c>
      <c r="B814" t="s">
        <v>22368</v>
      </c>
      <c r="C814" t="s">
        <v>23607</v>
      </c>
      <c r="D814" t="s">
        <v>6068</v>
      </c>
      <c r="E814">
        <f t="shared" si="13"/>
        <v>524</v>
      </c>
    </row>
    <row r="815" spans="1:5" x14ac:dyDescent="0.2">
      <c r="A815" t="s">
        <v>9804</v>
      </c>
      <c r="B815" t="s">
        <v>22368</v>
      </c>
      <c r="C815" t="s">
        <v>10664</v>
      </c>
      <c r="D815" t="s">
        <v>6068</v>
      </c>
      <c r="E815">
        <f t="shared" si="13"/>
        <v>524</v>
      </c>
    </row>
    <row r="816" spans="1:5" x14ac:dyDescent="0.2">
      <c r="A816" t="s">
        <v>23608</v>
      </c>
      <c r="B816" t="s">
        <v>22368</v>
      </c>
      <c r="C816" t="s">
        <v>22841</v>
      </c>
      <c r="D816" t="s">
        <v>6068</v>
      </c>
      <c r="E816">
        <f t="shared" si="13"/>
        <v>69</v>
      </c>
    </row>
    <row r="817" spans="1:5" x14ac:dyDescent="0.2">
      <c r="A817" t="s">
        <v>23609</v>
      </c>
      <c r="B817" t="s">
        <v>22368</v>
      </c>
      <c r="C817" t="s">
        <v>23610</v>
      </c>
      <c r="D817" t="s">
        <v>6068</v>
      </c>
      <c r="E817">
        <f t="shared" si="13"/>
        <v>69</v>
      </c>
    </row>
    <row r="818" spans="1:5" x14ac:dyDescent="0.2">
      <c r="A818" t="s">
        <v>11674</v>
      </c>
      <c r="B818" t="s">
        <v>22368</v>
      </c>
      <c r="C818" t="s">
        <v>12587</v>
      </c>
      <c r="D818" t="s">
        <v>6068</v>
      </c>
      <c r="E818">
        <f t="shared" si="13"/>
        <v>199</v>
      </c>
    </row>
    <row r="819" spans="1:5" x14ac:dyDescent="0.2">
      <c r="A819" t="s">
        <v>23611</v>
      </c>
      <c r="B819" t="s">
        <v>22368</v>
      </c>
      <c r="C819" t="s">
        <v>23612</v>
      </c>
      <c r="D819" t="s">
        <v>6068</v>
      </c>
      <c r="E819">
        <f t="shared" si="13"/>
        <v>68</v>
      </c>
    </row>
    <row r="820" spans="1:5" x14ac:dyDescent="0.2">
      <c r="A820" t="s">
        <v>23613</v>
      </c>
      <c r="B820" t="s">
        <v>22368</v>
      </c>
      <c r="C820" t="s">
        <v>23614</v>
      </c>
      <c r="D820" t="s">
        <v>6068</v>
      </c>
      <c r="E820">
        <f t="shared" si="13"/>
        <v>66</v>
      </c>
    </row>
    <row r="821" spans="1:5" x14ac:dyDescent="0.2">
      <c r="A821" t="s">
        <v>23615</v>
      </c>
      <c r="B821" t="s">
        <v>22368</v>
      </c>
      <c r="C821" t="s">
        <v>23616</v>
      </c>
      <c r="D821" t="s">
        <v>6068</v>
      </c>
      <c r="E821">
        <f t="shared" si="13"/>
        <v>66</v>
      </c>
    </row>
    <row r="822" spans="1:5" x14ac:dyDescent="0.2">
      <c r="A822" t="s">
        <v>23617</v>
      </c>
      <c r="B822" t="s">
        <v>22368</v>
      </c>
      <c r="C822" t="s">
        <v>23618</v>
      </c>
      <c r="D822" t="s">
        <v>6068</v>
      </c>
      <c r="E822">
        <f t="shared" si="13"/>
        <v>143</v>
      </c>
    </row>
    <row r="823" spans="1:5" x14ac:dyDescent="0.2">
      <c r="A823" t="s">
        <v>11287</v>
      </c>
      <c r="B823" t="s">
        <v>22368</v>
      </c>
      <c r="C823" t="s">
        <v>12576</v>
      </c>
      <c r="D823" t="s">
        <v>6068</v>
      </c>
      <c r="E823">
        <f t="shared" si="13"/>
        <v>143</v>
      </c>
    </row>
    <row r="824" spans="1:5" x14ac:dyDescent="0.2">
      <c r="A824" t="s">
        <v>23619</v>
      </c>
      <c r="B824" t="s">
        <v>22368</v>
      </c>
      <c r="C824" t="s">
        <v>23620</v>
      </c>
      <c r="D824" t="s">
        <v>6068</v>
      </c>
      <c r="E824">
        <f t="shared" si="13"/>
        <v>385</v>
      </c>
    </row>
    <row r="825" spans="1:5" x14ac:dyDescent="0.2">
      <c r="A825" t="s">
        <v>9571</v>
      </c>
      <c r="B825" t="s">
        <v>22368</v>
      </c>
      <c r="C825" t="s">
        <v>10662</v>
      </c>
      <c r="D825" t="s">
        <v>6068</v>
      </c>
      <c r="E825">
        <f t="shared" si="13"/>
        <v>385</v>
      </c>
    </row>
    <row r="826" spans="1:5" x14ac:dyDescent="0.2">
      <c r="A826" t="s">
        <v>23621</v>
      </c>
      <c r="B826" t="s">
        <v>22368</v>
      </c>
      <c r="C826" t="s">
        <v>23622</v>
      </c>
      <c r="D826" t="s">
        <v>6068</v>
      </c>
      <c r="E826">
        <f t="shared" si="13"/>
        <v>106</v>
      </c>
    </row>
    <row r="827" spans="1:5" x14ac:dyDescent="0.2">
      <c r="A827" t="s">
        <v>23623</v>
      </c>
      <c r="B827" t="s">
        <v>22368</v>
      </c>
      <c r="C827" t="s">
        <v>23624</v>
      </c>
      <c r="D827" t="s">
        <v>6068</v>
      </c>
      <c r="E827">
        <f t="shared" si="13"/>
        <v>297</v>
      </c>
    </row>
    <row r="828" spans="1:5" x14ac:dyDescent="0.2">
      <c r="A828" t="s">
        <v>9161</v>
      </c>
      <c r="B828" t="s">
        <v>22368</v>
      </c>
      <c r="C828" t="s">
        <v>10660</v>
      </c>
      <c r="D828" t="s">
        <v>6068</v>
      </c>
      <c r="E828">
        <f t="shared" si="13"/>
        <v>297</v>
      </c>
    </row>
    <row r="829" spans="1:5" x14ac:dyDescent="0.2">
      <c r="A829" t="s">
        <v>23625</v>
      </c>
      <c r="B829" t="s">
        <v>22368</v>
      </c>
      <c r="C829" t="s">
        <v>7550</v>
      </c>
      <c r="D829" t="s">
        <v>6068</v>
      </c>
      <c r="E829">
        <f t="shared" si="13"/>
        <v>148</v>
      </c>
    </row>
    <row r="830" spans="1:5" x14ac:dyDescent="0.2">
      <c r="A830" t="s">
        <v>23626</v>
      </c>
      <c r="B830" t="s">
        <v>22368</v>
      </c>
      <c r="C830" t="s">
        <v>23627</v>
      </c>
      <c r="D830" t="s">
        <v>6068</v>
      </c>
      <c r="E830">
        <f t="shared" si="13"/>
        <v>53</v>
      </c>
    </row>
    <row r="831" spans="1:5" x14ac:dyDescent="0.2">
      <c r="A831" t="s">
        <v>23628</v>
      </c>
      <c r="B831" t="s">
        <v>22368</v>
      </c>
      <c r="C831" t="s">
        <v>23629</v>
      </c>
      <c r="D831" t="s">
        <v>6068</v>
      </c>
      <c r="E831">
        <f t="shared" si="13"/>
        <v>53</v>
      </c>
    </row>
    <row r="832" spans="1:5" x14ac:dyDescent="0.2">
      <c r="A832" t="s">
        <v>23630</v>
      </c>
      <c r="B832" t="s">
        <v>22368</v>
      </c>
      <c r="C832" t="s">
        <v>23631</v>
      </c>
      <c r="D832" t="s">
        <v>6068</v>
      </c>
      <c r="E832">
        <f t="shared" si="13"/>
        <v>53</v>
      </c>
    </row>
    <row r="833" spans="1:5" x14ac:dyDescent="0.2">
      <c r="A833" t="s">
        <v>23632</v>
      </c>
      <c r="B833" t="s">
        <v>22368</v>
      </c>
      <c r="C833" t="s">
        <v>23633</v>
      </c>
      <c r="D833" t="s">
        <v>6068</v>
      </c>
      <c r="E833">
        <f t="shared" si="13"/>
        <v>60</v>
      </c>
    </row>
    <row r="834" spans="1:5" x14ac:dyDescent="0.2">
      <c r="A834" t="s">
        <v>23634</v>
      </c>
      <c r="B834" t="s">
        <v>22368</v>
      </c>
      <c r="C834" t="s">
        <v>23635</v>
      </c>
      <c r="D834" t="s">
        <v>6068</v>
      </c>
      <c r="E834">
        <f t="shared" si="13"/>
        <v>60</v>
      </c>
    </row>
    <row r="835" spans="1:5" x14ac:dyDescent="0.2">
      <c r="A835" t="s">
        <v>23636</v>
      </c>
      <c r="B835" t="s">
        <v>22368</v>
      </c>
      <c r="C835" t="s">
        <v>23637</v>
      </c>
      <c r="D835" t="s">
        <v>6068</v>
      </c>
      <c r="E835">
        <f t="shared" si="13"/>
        <v>60</v>
      </c>
    </row>
    <row r="836" spans="1:5" x14ac:dyDescent="0.2">
      <c r="A836" t="s">
        <v>23638</v>
      </c>
      <c r="B836" t="s">
        <v>22368</v>
      </c>
      <c r="C836" t="s">
        <v>23639</v>
      </c>
      <c r="D836" t="s">
        <v>6068</v>
      </c>
      <c r="E836">
        <f t="shared" si="13"/>
        <v>60</v>
      </c>
    </row>
    <row r="837" spans="1:5" x14ac:dyDescent="0.2">
      <c r="A837" t="s">
        <v>9092</v>
      </c>
      <c r="B837" t="s">
        <v>22368</v>
      </c>
      <c r="C837" t="s">
        <v>10687</v>
      </c>
      <c r="D837" t="s">
        <v>6068</v>
      </c>
      <c r="E837">
        <f t="shared" si="13"/>
        <v>60</v>
      </c>
    </row>
    <row r="838" spans="1:5" x14ac:dyDescent="0.2">
      <c r="A838" t="s">
        <v>23640</v>
      </c>
      <c r="B838" t="s">
        <v>22368</v>
      </c>
      <c r="C838" t="s">
        <v>23641</v>
      </c>
      <c r="D838" t="s">
        <v>6068</v>
      </c>
      <c r="E838">
        <f t="shared" si="13"/>
        <v>56</v>
      </c>
    </row>
    <row r="839" spans="1:5" x14ac:dyDescent="0.2">
      <c r="A839" t="s">
        <v>23642</v>
      </c>
      <c r="B839" t="s">
        <v>22368</v>
      </c>
      <c r="C839" t="s">
        <v>23643</v>
      </c>
      <c r="D839" t="s">
        <v>6068</v>
      </c>
      <c r="E839">
        <f t="shared" si="13"/>
        <v>56</v>
      </c>
    </row>
    <row r="840" spans="1:5" x14ac:dyDescent="0.2">
      <c r="A840" t="s">
        <v>23644</v>
      </c>
      <c r="B840" t="s">
        <v>22368</v>
      </c>
      <c r="C840" t="s">
        <v>23645</v>
      </c>
      <c r="D840" t="s">
        <v>6068</v>
      </c>
      <c r="E840">
        <f t="shared" si="13"/>
        <v>56</v>
      </c>
    </row>
    <row r="841" spans="1:5" x14ac:dyDescent="0.2">
      <c r="A841" t="s">
        <v>23646</v>
      </c>
      <c r="B841" t="s">
        <v>22368</v>
      </c>
      <c r="C841" t="s">
        <v>23647</v>
      </c>
      <c r="D841" t="s">
        <v>6068</v>
      </c>
      <c r="E841">
        <f t="shared" si="13"/>
        <v>56</v>
      </c>
    </row>
    <row r="842" spans="1:5" x14ac:dyDescent="0.2">
      <c r="A842" t="s">
        <v>23648</v>
      </c>
      <c r="B842" t="s">
        <v>22368</v>
      </c>
      <c r="C842" t="s">
        <v>23649</v>
      </c>
      <c r="D842" t="s">
        <v>6068</v>
      </c>
      <c r="E842">
        <f t="shared" si="13"/>
        <v>56</v>
      </c>
    </row>
    <row r="843" spans="1:5" x14ac:dyDescent="0.2">
      <c r="A843" t="s">
        <v>23650</v>
      </c>
      <c r="B843" t="s">
        <v>22368</v>
      </c>
      <c r="C843" t="s">
        <v>23651</v>
      </c>
      <c r="D843" t="s">
        <v>6068</v>
      </c>
      <c r="E843">
        <f t="shared" si="13"/>
        <v>61</v>
      </c>
    </row>
    <row r="844" spans="1:5" x14ac:dyDescent="0.2">
      <c r="A844" t="s">
        <v>23652</v>
      </c>
      <c r="B844" t="s">
        <v>22368</v>
      </c>
      <c r="C844" t="s">
        <v>23653</v>
      </c>
      <c r="D844" t="s">
        <v>6068</v>
      </c>
      <c r="E844">
        <f t="shared" ref="E844:E859" si="14">+LEN(C844)</f>
        <v>60</v>
      </c>
    </row>
    <row r="845" spans="1:5" x14ac:dyDescent="0.2">
      <c r="A845" t="s">
        <v>23654</v>
      </c>
      <c r="B845" t="s">
        <v>22368</v>
      </c>
      <c r="C845" t="s">
        <v>23655</v>
      </c>
      <c r="D845" t="s">
        <v>6068</v>
      </c>
      <c r="E845">
        <f t="shared" si="14"/>
        <v>61</v>
      </c>
    </row>
    <row r="846" spans="1:5" x14ac:dyDescent="0.2">
      <c r="A846" t="s">
        <v>23656</v>
      </c>
      <c r="B846" t="s">
        <v>22368</v>
      </c>
      <c r="C846" t="s">
        <v>23657</v>
      </c>
      <c r="D846" t="s">
        <v>6068</v>
      </c>
      <c r="E846">
        <f t="shared" si="14"/>
        <v>60</v>
      </c>
    </row>
    <row r="847" spans="1:5" x14ac:dyDescent="0.2">
      <c r="A847" t="s">
        <v>23658</v>
      </c>
      <c r="B847" t="s">
        <v>22368</v>
      </c>
      <c r="C847" t="s">
        <v>23659</v>
      </c>
      <c r="D847" t="s">
        <v>6068</v>
      </c>
      <c r="E847">
        <f t="shared" si="14"/>
        <v>61</v>
      </c>
    </row>
    <row r="848" spans="1:5" x14ac:dyDescent="0.2">
      <c r="A848" t="s">
        <v>23660</v>
      </c>
      <c r="B848" t="s">
        <v>22368</v>
      </c>
      <c r="C848" t="s">
        <v>23661</v>
      </c>
      <c r="D848" t="s">
        <v>6068</v>
      </c>
      <c r="E848">
        <f t="shared" si="14"/>
        <v>59</v>
      </c>
    </row>
    <row r="849" spans="1:5" x14ac:dyDescent="0.2">
      <c r="A849" t="s">
        <v>23662</v>
      </c>
      <c r="B849" t="s">
        <v>22368</v>
      </c>
      <c r="C849" t="s">
        <v>23663</v>
      </c>
      <c r="D849" t="s">
        <v>6068</v>
      </c>
      <c r="E849">
        <f t="shared" si="14"/>
        <v>59</v>
      </c>
    </row>
    <row r="850" spans="1:5" x14ac:dyDescent="0.2">
      <c r="A850" t="s">
        <v>23664</v>
      </c>
      <c r="B850" t="s">
        <v>22368</v>
      </c>
      <c r="C850" t="s">
        <v>23665</v>
      </c>
      <c r="D850" t="s">
        <v>6068</v>
      </c>
      <c r="E850">
        <f t="shared" si="14"/>
        <v>59</v>
      </c>
    </row>
    <row r="851" spans="1:5" x14ac:dyDescent="0.2">
      <c r="A851" t="s">
        <v>23666</v>
      </c>
      <c r="B851" t="s">
        <v>22368</v>
      </c>
      <c r="C851" t="s">
        <v>23667</v>
      </c>
      <c r="D851" t="s">
        <v>6068</v>
      </c>
      <c r="E851">
        <f t="shared" si="14"/>
        <v>59</v>
      </c>
    </row>
    <row r="852" spans="1:5" x14ac:dyDescent="0.2">
      <c r="A852" t="s">
        <v>23668</v>
      </c>
      <c r="B852" t="s">
        <v>22368</v>
      </c>
      <c r="C852" t="s">
        <v>23669</v>
      </c>
      <c r="D852" t="s">
        <v>6068</v>
      </c>
      <c r="E852">
        <f t="shared" si="14"/>
        <v>59</v>
      </c>
    </row>
    <row r="853" spans="1:5" x14ac:dyDescent="0.2">
      <c r="A853" t="s">
        <v>23670</v>
      </c>
      <c r="B853" t="s">
        <v>22368</v>
      </c>
      <c r="C853" t="s">
        <v>23671</v>
      </c>
      <c r="D853" t="s">
        <v>6068</v>
      </c>
      <c r="E853">
        <f t="shared" si="14"/>
        <v>60</v>
      </c>
    </row>
    <row r="854" spans="1:5" x14ac:dyDescent="0.2">
      <c r="A854" t="s">
        <v>23672</v>
      </c>
      <c r="B854" t="s">
        <v>22368</v>
      </c>
      <c r="C854" t="s">
        <v>23673</v>
      </c>
      <c r="D854" t="s">
        <v>6068</v>
      </c>
      <c r="E854">
        <f t="shared" si="14"/>
        <v>60</v>
      </c>
    </row>
    <row r="855" spans="1:5" x14ac:dyDescent="0.2">
      <c r="A855" t="s">
        <v>23674</v>
      </c>
      <c r="B855" t="s">
        <v>22368</v>
      </c>
      <c r="C855" t="s">
        <v>23675</v>
      </c>
      <c r="D855" t="s">
        <v>6068</v>
      </c>
      <c r="E855">
        <f t="shared" si="14"/>
        <v>60</v>
      </c>
    </row>
    <row r="856" spans="1:5" x14ac:dyDescent="0.2">
      <c r="A856" t="s">
        <v>23676</v>
      </c>
      <c r="B856" t="s">
        <v>22368</v>
      </c>
      <c r="C856" t="s">
        <v>23677</v>
      </c>
      <c r="D856" t="s">
        <v>6068</v>
      </c>
      <c r="E856">
        <f t="shared" si="14"/>
        <v>57</v>
      </c>
    </row>
    <row r="857" spans="1:5" x14ac:dyDescent="0.2">
      <c r="A857" t="s">
        <v>23678</v>
      </c>
      <c r="B857" t="s">
        <v>22368</v>
      </c>
      <c r="C857" t="s">
        <v>23679</v>
      </c>
      <c r="D857" t="s">
        <v>6068</v>
      </c>
      <c r="E857">
        <f t="shared" si="14"/>
        <v>57</v>
      </c>
    </row>
    <row r="858" spans="1:5" x14ac:dyDescent="0.2">
      <c r="A858" t="s">
        <v>23680</v>
      </c>
      <c r="B858" t="s">
        <v>22368</v>
      </c>
      <c r="C858" t="s">
        <v>23681</v>
      </c>
      <c r="D858" t="s">
        <v>6068</v>
      </c>
      <c r="E858">
        <f t="shared" si="14"/>
        <v>57</v>
      </c>
    </row>
    <row r="859" spans="1:5" x14ac:dyDescent="0.2">
      <c r="A859" t="s">
        <v>23682</v>
      </c>
      <c r="B859" t="s">
        <v>22368</v>
      </c>
      <c r="C859" t="s">
        <v>23683</v>
      </c>
      <c r="D859" t="s">
        <v>6068</v>
      </c>
      <c r="E859">
        <f t="shared" si="14"/>
        <v>56</v>
      </c>
    </row>
    <row r="860" spans="1:5" x14ac:dyDescent="0.2">
      <c r="A860" t="s">
        <v>23684</v>
      </c>
      <c r="B860" t="s">
        <v>22368</v>
      </c>
      <c r="C860" t="s">
        <v>23685</v>
      </c>
      <c r="D860" t="s">
        <v>6068</v>
      </c>
      <c r="E860">
        <f t="shared" ref="E860:E876" si="15">+LEN(C860)</f>
        <v>56</v>
      </c>
    </row>
    <row r="861" spans="1:5" x14ac:dyDescent="0.2">
      <c r="A861" t="s">
        <v>23686</v>
      </c>
      <c r="B861" t="s">
        <v>22368</v>
      </c>
      <c r="C861" t="s">
        <v>23687</v>
      </c>
      <c r="D861" t="s">
        <v>6068</v>
      </c>
      <c r="E861">
        <f t="shared" si="15"/>
        <v>56</v>
      </c>
    </row>
    <row r="862" spans="1:5" x14ac:dyDescent="0.2">
      <c r="A862" t="s">
        <v>23688</v>
      </c>
      <c r="B862" t="s">
        <v>22368</v>
      </c>
      <c r="C862" t="s">
        <v>23689</v>
      </c>
      <c r="D862" t="s">
        <v>6068</v>
      </c>
      <c r="E862">
        <f t="shared" si="15"/>
        <v>65</v>
      </c>
    </row>
    <row r="863" spans="1:5" x14ac:dyDescent="0.2">
      <c r="A863" t="s">
        <v>23690</v>
      </c>
      <c r="B863" t="s">
        <v>22368</v>
      </c>
      <c r="C863" t="s">
        <v>23691</v>
      </c>
      <c r="D863" t="s">
        <v>6068</v>
      </c>
      <c r="E863">
        <f t="shared" si="15"/>
        <v>65</v>
      </c>
    </row>
    <row r="864" spans="1:5" x14ac:dyDescent="0.2">
      <c r="A864" t="s">
        <v>23692</v>
      </c>
      <c r="B864" t="s">
        <v>22368</v>
      </c>
      <c r="C864" t="s">
        <v>23693</v>
      </c>
      <c r="D864" t="s">
        <v>6068</v>
      </c>
      <c r="E864">
        <f t="shared" si="15"/>
        <v>65</v>
      </c>
    </row>
    <row r="865" spans="1:5" x14ac:dyDescent="0.2">
      <c r="A865" t="s">
        <v>23694</v>
      </c>
      <c r="B865" t="s">
        <v>22368</v>
      </c>
      <c r="C865" t="s">
        <v>23695</v>
      </c>
      <c r="D865" t="s">
        <v>6068</v>
      </c>
      <c r="E865">
        <f t="shared" si="15"/>
        <v>64</v>
      </c>
    </row>
    <row r="866" spans="1:5" x14ac:dyDescent="0.2">
      <c r="A866" t="s">
        <v>23696</v>
      </c>
      <c r="B866" t="s">
        <v>22368</v>
      </c>
      <c r="C866" t="s">
        <v>23697</v>
      </c>
      <c r="D866" t="s">
        <v>6068</v>
      </c>
      <c r="E866">
        <f t="shared" si="15"/>
        <v>64</v>
      </c>
    </row>
    <row r="867" spans="1:5" x14ac:dyDescent="0.2">
      <c r="A867" t="s">
        <v>23698</v>
      </c>
      <c r="B867" t="s">
        <v>22368</v>
      </c>
      <c r="C867" t="s">
        <v>23699</v>
      </c>
      <c r="D867" t="s">
        <v>6068</v>
      </c>
      <c r="E867">
        <f t="shared" si="15"/>
        <v>64</v>
      </c>
    </row>
    <row r="868" spans="1:5" x14ac:dyDescent="0.2">
      <c r="A868" t="s">
        <v>23700</v>
      </c>
      <c r="B868" t="s">
        <v>22368</v>
      </c>
      <c r="C868" t="s">
        <v>23701</v>
      </c>
      <c r="D868" t="s">
        <v>6068</v>
      </c>
      <c r="E868">
        <f t="shared" si="15"/>
        <v>64</v>
      </c>
    </row>
    <row r="869" spans="1:5" x14ac:dyDescent="0.2">
      <c r="A869" t="s">
        <v>23702</v>
      </c>
      <c r="B869" t="s">
        <v>22368</v>
      </c>
      <c r="C869" t="s">
        <v>23703</v>
      </c>
      <c r="D869" t="s">
        <v>6068</v>
      </c>
      <c r="E869">
        <f t="shared" si="15"/>
        <v>61</v>
      </c>
    </row>
    <row r="870" spans="1:5" x14ac:dyDescent="0.2">
      <c r="A870" t="s">
        <v>23704</v>
      </c>
      <c r="B870" t="s">
        <v>22368</v>
      </c>
      <c r="C870" t="s">
        <v>23705</v>
      </c>
      <c r="D870" t="s">
        <v>6068</v>
      </c>
      <c r="E870">
        <f t="shared" si="15"/>
        <v>61</v>
      </c>
    </row>
    <row r="871" spans="1:5" x14ac:dyDescent="0.2">
      <c r="A871" t="s">
        <v>23706</v>
      </c>
      <c r="B871" t="s">
        <v>22368</v>
      </c>
      <c r="C871" t="s">
        <v>23707</v>
      </c>
      <c r="D871" t="s">
        <v>6068</v>
      </c>
      <c r="E871">
        <f t="shared" si="15"/>
        <v>61</v>
      </c>
    </row>
    <row r="872" spans="1:5" x14ac:dyDescent="0.2">
      <c r="A872" t="s">
        <v>23708</v>
      </c>
      <c r="B872" t="s">
        <v>22368</v>
      </c>
      <c r="C872" t="s">
        <v>23709</v>
      </c>
      <c r="D872" t="s">
        <v>6068</v>
      </c>
      <c r="E872">
        <f t="shared" si="15"/>
        <v>60</v>
      </c>
    </row>
    <row r="873" spans="1:5" x14ac:dyDescent="0.2">
      <c r="A873" t="s">
        <v>23710</v>
      </c>
      <c r="B873" t="s">
        <v>22368</v>
      </c>
      <c r="C873" t="s">
        <v>23711</v>
      </c>
      <c r="D873" t="s">
        <v>6068</v>
      </c>
      <c r="E873">
        <f t="shared" si="15"/>
        <v>60</v>
      </c>
    </row>
    <row r="874" spans="1:5" x14ac:dyDescent="0.2">
      <c r="A874" t="s">
        <v>23712</v>
      </c>
      <c r="B874" t="s">
        <v>22368</v>
      </c>
      <c r="C874" t="s">
        <v>23713</v>
      </c>
      <c r="D874" t="s">
        <v>6068</v>
      </c>
      <c r="E874">
        <f t="shared" si="15"/>
        <v>60</v>
      </c>
    </row>
    <row r="875" spans="1:5" x14ac:dyDescent="0.2">
      <c r="A875" t="s">
        <v>23714</v>
      </c>
      <c r="B875" t="s">
        <v>22368</v>
      </c>
      <c r="C875" t="s">
        <v>23715</v>
      </c>
      <c r="D875" t="s">
        <v>6068</v>
      </c>
      <c r="E875">
        <f t="shared" si="15"/>
        <v>60</v>
      </c>
    </row>
    <row r="876" spans="1:5" x14ac:dyDescent="0.2">
      <c r="A876" t="s">
        <v>23716</v>
      </c>
      <c r="B876" t="s">
        <v>22368</v>
      </c>
      <c r="C876" t="s">
        <v>23717</v>
      </c>
      <c r="D876" t="s">
        <v>6068</v>
      </c>
      <c r="E876">
        <f t="shared" si="15"/>
        <v>65</v>
      </c>
    </row>
    <row r="877" spans="1:5" x14ac:dyDescent="0.2">
      <c r="A877" t="s">
        <v>23718</v>
      </c>
      <c r="B877" t="s">
        <v>22368</v>
      </c>
      <c r="C877" t="s">
        <v>23719</v>
      </c>
      <c r="D877" t="s">
        <v>6068</v>
      </c>
      <c r="E877">
        <f t="shared" ref="E877:E883" si="16">+LEN(C877)</f>
        <v>65</v>
      </c>
    </row>
    <row r="878" spans="1:5" x14ac:dyDescent="0.2">
      <c r="A878" t="s">
        <v>23720</v>
      </c>
      <c r="B878" t="s">
        <v>22368</v>
      </c>
      <c r="C878" t="s">
        <v>23721</v>
      </c>
      <c r="D878" t="s">
        <v>6068</v>
      </c>
      <c r="E878">
        <f t="shared" si="16"/>
        <v>65</v>
      </c>
    </row>
    <row r="879" spans="1:5" x14ac:dyDescent="0.2">
      <c r="A879" t="s">
        <v>23722</v>
      </c>
      <c r="B879" t="s">
        <v>22368</v>
      </c>
      <c r="C879" t="s">
        <v>23723</v>
      </c>
      <c r="D879" t="s">
        <v>6068</v>
      </c>
      <c r="E879">
        <f t="shared" si="16"/>
        <v>64</v>
      </c>
    </row>
    <row r="880" spans="1:5" x14ac:dyDescent="0.2">
      <c r="A880" t="s">
        <v>23724</v>
      </c>
      <c r="B880" t="s">
        <v>22368</v>
      </c>
      <c r="C880" t="s">
        <v>23725</v>
      </c>
      <c r="D880" t="s">
        <v>6068</v>
      </c>
      <c r="E880">
        <f t="shared" si="16"/>
        <v>64</v>
      </c>
    </row>
    <row r="881" spans="1:5" x14ac:dyDescent="0.2">
      <c r="A881" t="s">
        <v>23726</v>
      </c>
      <c r="B881" t="s">
        <v>22368</v>
      </c>
      <c r="C881" t="s">
        <v>23727</v>
      </c>
      <c r="D881" t="s">
        <v>6068</v>
      </c>
      <c r="E881">
        <f t="shared" si="16"/>
        <v>64</v>
      </c>
    </row>
    <row r="882" spans="1:5" x14ac:dyDescent="0.2">
      <c r="A882" t="s">
        <v>23728</v>
      </c>
      <c r="B882" t="s">
        <v>22368</v>
      </c>
      <c r="C882" t="s">
        <v>23729</v>
      </c>
      <c r="D882" t="s">
        <v>6068</v>
      </c>
      <c r="E882">
        <f t="shared" si="16"/>
        <v>64</v>
      </c>
    </row>
    <row r="883" spans="1:5" x14ac:dyDescent="0.2">
      <c r="A883" t="s">
        <v>23730</v>
      </c>
      <c r="B883" t="s">
        <v>22368</v>
      </c>
      <c r="C883" t="s">
        <v>23731</v>
      </c>
      <c r="D883" t="s">
        <v>6068</v>
      </c>
      <c r="E883">
        <f t="shared" si="16"/>
        <v>55</v>
      </c>
    </row>
    <row r="884" spans="1:5" x14ac:dyDescent="0.2">
      <c r="A884" t="s">
        <v>23732</v>
      </c>
      <c r="B884" t="s">
        <v>22368</v>
      </c>
      <c r="C884" t="s">
        <v>23733</v>
      </c>
      <c r="D884" t="s">
        <v>6068</v>
      </c>
      <c r="E884">
        <f t="shared" ref="E884:E915" si="17">+LEN(C884)</f>
        <v>55</v>
      </c>
    </row>
    <row r="885" spans="1:5" x14ac:dyDescent="0.2">
      <c r="A885" t="s">
        <v>23734</v>
      </c>
      <c r="B885" t="s">
        <v>22368</v>
      </c>
      <c r="C885" t="s">
        <v>23735</v>
      </c>
      <c r="D885" t="s">
        <v>6068</v>
      </c>
      <c r="E885">
        <f t="shared" si="17"/>
        <v>55</v>
      </c>
    </row>
    <row r="886" spans="1:5" x14ac:dyDescent="0.2">
      <c r="A886" t="s">
        <v>23736</v>
      </c>
      <c r="B886" t="s">
        <v>22368</v>
      </c>
      <c r="C886" t="s">
        <v>23737</v>
      </c>
      <c r="D886" t="s">
        <v>6068</v>
      </c>
      <c r="E886">
        <f t="shared" si="17"/>
        <v>55</v>
      </c>
    </row>
    <row r="887" spans="1:5" x14ac:dyDescent="0.2">
      <c r="A887" t="s">
        <v>23738</v>
      </c>
      <c r="B887" t="s">
        <v>22368</v>
      </c>
      <c r="C887" t="s">
        <v>23739</v>
      </c>
      <c r="D887" t="s">
        <v>6068</v>
      </c>
      <c r="E887">
        <f t="shared" si="17"/>
        <v>55</v>
      </c>
    </row>
    <row r="888" spans="1:5" x14ac:dyDescent="0.2">
      <c r="A888" t="s">
        <v>23740</v>
      </c>
      <c r="B888" t="s">
        <v>22368</v>
      </c>
      <c r="C888" t="s">
        <v>23741</v>
      </c>
      <c r="D888" t="s">
        <v>6068</v>
      </c>
      <c r="E888">
        <f t="shared" si="17"/>
        <v>59</v>
      </c>
    </row>
    <row r="889" spans="1:5" x14ac:dyDescent="0.2">
      <c r="A889" t="s">
        <v>23742</v>
      </c>
      <c r="B889" t="s">
        <v>22368</v>
      </c>
      <c r="C889" t="s">
        <v>23743</v>
      </c>
      <c r="D889" t="s">
        <v>6068</v>
      </c>
      <c r="E889">
        <f t="shared" si="17"/>
        <v>59</v>
      </c>
    </row>
    <row r="890" spans="1:5" x14ac:dyDescent="0.2">
      <c r="A890" t="s">
        <v>23744</v>
      </c>
      <c r="B890" t="s">
        <v>22368</v>
      </c>
      <c r="C890" t="s">
        <v>23745</v>
      </c>
      <c r="D890" t="s">
        <v>6068</v>
      </c>
      <c r="E890">
        <f t="shared" si="17"/>
        <v>59</v>
      </c>
    </row>
    <row r="891" spans="1:5" x14ac:dyDescent="0.2">
      <c r="A891" t="s">
        <v>23746</v>
      </c>
      <c r="B891" t="s">
        <v>22368</v>
      </c>
      <c r="C891" t="s">
        <v>23747</v>
      </c>
      <c r="D891" t="s">
        <v>6068</v>
      </c>
      <c r="E891">
        <f t="shared" si="17"/>
        <v>58</v>
      </c>
    </row>
    <row r="892" spans="1:5" x14ac:dyDescent="0.2">
      <c r="A892" t="s">
        <v>23748</v>
      </c>
      <c r="B892" t="s">
        <v>22368</v>
      </c>
      <c r="C892" t="s">
        <v>23749</v>
      </c>
      <c r="D892" t="s">
        <v>6068</v>
      </c>
      <c r="E892">
        <f t="shared" si="17"/>
        <v>58</v>
      </c>
    </row>
    <row r="893" spans="1:5" x14ac:dyDescent="0.2">
      <c r="A893" t="s">
        <v>23750</v>
      </c>
      <c r="B893" t="s">
        <v>22368</v>
      </c>
      <c r="C893" t="s">
        <v>23751</v>
      </c>
      <c r="D893" t="s">
        <v>6068</v>
      </c>
      <c r="E893">
        <f t="shared" si="17"/>
        <v>58</v>
      </c>
    </row>
    <row r="894" spans="1:5" x14ac:dyDescent="0.2">
      <c r="A894" t="s">
        <v>23752</v>
      </c>
      <c r="B894" t="s">
        <v>22368</v>
      </c>
      <c r="C894" t="s">
        <v>23753</v>
      </c>
      <c r="D894" t="s">
        <v>6068</v>
      </c>
      <c r="E894">
        <f t="shared" si="17"/>
        <v>53</v>
      </c>
    </row>
    <row r="895" spans="1:5" x14ac:dyDescent="0.2">
      <c r="A895" t="s">
        <v>23754</v>
      </c>
      <c r="B895" t="s">
        <v>22368</v>
      </c>
      <c r="C895" t="s">
        <v>23755</v>
      </c>
      <c r="D895" t="s">
        <v>6068</v>
      </c>
      <c r="E895">
        <f t="shared" si="17"/>
        <v>53</v>
      </c>
    </row>
    <row r="896" spans="1:5" x14ac:dyDescent="0.2">
      <c r="A896" t="s">
        <v>23756</v>
      </c>
      <c r="B896" t="s">
        <v>22368</v>
      </c>
      <c r="C896" t="s">
        <v>23757</v>
      </c>
      <c r="D896" t="s">
        <v>6068</v>
      </c>
      <c r="E896">
        <f t="shared" si="17"/>
        <v>53</v>
      </c>
    </row>
    <row r="897" spans="1:5" x14ac:dyDescent="0.2">
      <c r="A897" t="s">
        <v>23758</v>
      </c>
      <c r="B897" t="s">
        <v>22368</v>
      </c>
      <c r="C897" t="s">
        <v>23759</v>
      </c>
      <c r="D897" t="s">
        <v>6068</v>
      </c>
      <c r="E897">
        <f t="shared" si="17"/>
        <v>53</v>
      </c>
    </row>
    <row r="898" spans="1:5" x14ac:dyDescent="0.2">
      <c r="A898" t="s">
        <v>23760</v>
      </c>
      <c r="B898" t="s">
        <v>22368</v>
      </c>
      <c r="C898" t="s">
        <v>23761</v>
      </c>
      <c r="D898" t="s">
        <v>6068</v>
      </c>
      <c r="E898">
        <f t="shared" si="17"/>
        <v>53</v>
      </c>
    </row>
    <row r="899" spans="1:5" x14ac:dyDescent="0.2">
      <c r="A899" t="s">
        <v>23762</v>
      </c>
      <c r="B899" t="s">
        <v>22368</v>
      </c>
      <c r="C899" t="s">
        <v>23763</v>
      </c>
      <c r="D899" t="s">
        <v>6068</v>
      </c>
      <c r="E899">
        <f t="shared" si="17"/>
        <v>50</v>
      </c>
    </row>
    <row r="900" spans="1:5" x14ac:dyDescent="0.2">
      <c r="A900" t="s">
        <v>23764</v>
      </c>
      <c r="B900" t="s">
        <v>22368</v>
      </c>
      <c r="C900" t="s">
        <v>23765</v>
      </c>
      <c r="D900" t="s">
        <v>6068</v>
      </c>
      <c r="E900">
        <f t="shared" si="17"/>
        <v>50</v>
      </c>
    </row>
    <row r="901" spans="1:5" x14ac:dyDescent="0.2">
      <c r="A901" t="s">
        <v>23766</v>
      </c>
      <c r="B901" t="s">
        <v>22368</v>
      </c>
      <c r="C901" t="s">
        <v>23767</v>
      </c>
      <c r="D901" t="s">
        <v>6068</v>
      </c>
      <c r="E901">
        <f t="shared" si="17"/>
        <v>50</v>
      </c>
    </row>
    <row r="902" spans="1:5" x14ac:dyDescent="0.2">
      <c r="A902" t="s">
        <v>23768</v>
      </c>
      <c r="B902" t="s">
        <v>22368</v>
      </c>
      <c r="C902" t="s">
        <v>23769</v>
      </c>
      <c r="D902" t="s">
        <v>6068</v>
      </c>
      <c r="E902">
        <f t="shared" si="17"/>
        <v>49</v>
      </c>
    </row>
    <row r="903" spans="1:5" x14ac:dyDescent="0.2">
      <c r="A903" t="s">
        <v>23770</v>
      </c>
      <c r="B903" t="s">
        <v>22368</v>
      </c>
      <c r="C903" t="s">
        <v>23771</v>
      </c>
      <c r="D903" t="s">
        <v>6068</v>
      </c>
      <c r="E903">
        <f t="shared" si="17"/>
        <v>49</v>
      </c>
    </row>
    <row r="904" spans="1:5" x14ac:dyDescent="0.2">
      <c r="A904" t="s">
        <v>23772</v>
      </c>
      <c r="B904" t="s">
        <v>22368</v>
      </c>
      <c r="C904" t="s">
        <v>23773</v>
      </c>
      <c r="D904" t="s">
        <v>6068</v>
      </c>
      <c r="E904">
        <f t="shared" si="17"/>
        <v>49</v>
      </c>
    </row>
    <row r="905" spans="1:5" x14ac:dyDescent="0.2">
      <c r="A905" t="s">
        <v>23774</v>
      </c>
      <c r="B905" t="s">
        <v>22368</v>
      </c>
      <c r="C905" t="s">
        <v>23775</v>
      </c>
      <c r="D905" t="s">
        <v>6068</v>
      </c>
      <c r="E905">
        <f t="shared" si="17"/>
        <v>49</v>
      </c>
    </row>
    <row r="906" spans="1:5" x14ac:dyDescent="0.2">
      <c r="A906" t="s">
        <v>23776</v>
      </c>
      <c r="B906" t="s">
        <v>22368</v>
      </c>
      <c r="C906" t="s">
        <v>23777</v>
      </c>
      <c r="D906" t="s">
        <v>6068</v>
      </c>
      <c r="E906">
        <f t="shared" si="17"/>
        <v>58</v>
      </c>
    </row>
    <row r="907" spans="1:5" x14ac:dyDescent="0.2">
      <c r="A907" t="s">
        <v>23778</v>
      </c>
      <c r="B907" t="s">
        <v>22368</v>
      </c>
      <c r="C907" t="s">
        <v>23779</v>
      </c>
      <c r="D907" t="s">
        <v>6068</v>
      </c>
      <c r="E907">
        <f t="shared" si="17"/>
        <v>58</v>
      </c>
    </row>
    <row r="908" spans="1:5" x14ac:dyDescent="0.2">
      <c r="A908" t="s">
        <v>23780</v>
      </c>
      <c r="B908" t="s">
        <v>22368</v>
      </c>
      <c r="C908" t="s">
        <v>23781</v>
      </c>
      <c r="D908" t="s">
        <v>6068</v>
      </c>
      <c r="E908">
        <f t="shared" si="17"/>
        <v>58</v>
      </c>
    </row>
    <row r="909" spans="1:5" x14ac:dyDescent="0.2">
      <c r="A909" t="s">
        <v>23782</v>
      </c>
      <c r="B909" t="s">
        <v>22368</v>
      </c>
      <c r="C909" t="s">
        <v>23783</v>
      </c>
      <c r="D909" t="s">
        <v>6068</v>
      </c>
      <c r="E909">
        <f t="shared" si="17"/>
        <v>53</v>
      </c>
    </row>
    <row r="910" spans="1:5" x14ac:dyDescent="0.2">
      <c r="A910" t="s">
        <v>23784</v>
      </c>
      <c r="B910" t="s">
        <v>22368</v>
      </c>
      <c r="C910" t="s">
        <v>23785</v>
      </c>
      <c r="D910" t="s">
        <v>6068</v>
      </c>
      <c r="E910">
        <f t="shared" si="17"/>
        <v>53</v>
      </c>
    </row>
    <row r="911" spans="1:5" x14ac:dyDescent="0.2">
      <c r="A911" t="s">
        <v>23786</v>
      </c>
      <c r="B911" t="s">
        <v>22368</v>
      </c>
      <c r="C911" t="s">
        <v>23787</v>
      </c>
      <c r="D911" t="s">
        <v>6068</v>
      </c>
      <c r="E911">
        <f t="shared" si="17"/>
        <v>53</v>
      </c>
    </row>
    <row r="912" spans="1:5" x14ac:dyDescent="0.2">
      <c r="A912" t="s">
        <v>23788</v>
      </c>
      <c r="B912" t="s">
        <v>22368</v>
      </c>
      <c r="C912" t="s">
        <v>23789</v>
      </c>
      <c r="D912" t="s">
        <v>6068</v>
      </c>
      <c r="E912">
        <f t="shared" si="17"/>
        <v>52</v>
      </c>
    </row>
    <row r="913" spans="1:5" x14ac:dyDescent="0.2">
      <c r="A913" t="s">
        <v>23790</v>
      </c>
      <c r="B913" t="s">
        <v>22368</v>
      </c>
      <c r="C913" t="s">
        <v>23791</v>
      </c>
      <c r="D913" t="s">
        <v>6068</v>
      </c>
      <c r="E913">
        <f t="shared" si="17"/>
        <v>52</v>
      </c>
    </row>
    <row r="914" spans="1:5" x14ac:dyDescent="0.2">
      <c r="A914" t="s">
        <v>23792</v>
      </c>
      <c r="B914" t="s">
        <v>22368</v>
      </c>
      <c r="C914" t="s">
        <v>23793</v>
      </c>
      <c r="D914" t="s">
        <v>6068</v>
      </c>
      <c r="E914">
        <f t="shared" si="17"/>
        <v>52</v>
      </c>
    </row>
    <row r="915" spans="1:5" x14ac:dyDescent="0.2">
      <c r="A915" t="s">
        <v>23794</v>
      </c>
      <c r="B915" t="s">
        <v>22368</v>
      </c>
      <c r="C915" t="s">
        <v>23795</v>
      </c>
      <c r="D915" t="s">
        <v>6068</v>
      </c>
      <c r="E915">
        <f t="shared" si="17"/>
        <v>51</v>
      </c>
    </row>
    <row r="916" spans="1:5" x14ac:dyDescent="0.2">
      <c r="A916" t="s">
        <v>23796</v>
      </c>
      <c r="B916" t="s">
        <v>22368</v>
      </c>
      <c r="C916" t="s">
        <v>23797</v>
      </c>
      <c r="D916" t="s">
        <v>6068</v>
      </c>
      <c r="E916">
        <f t="shared" ref="E916:E947" si="18">+LEN(C916)</f>
        <v>51</v>
      </c>
    </row>
    <row r="917" spans="1:5" x14ac:dyDescent="0.2">
      <c r="A917" t="s">
        <v>23798</v>
      </c>
      <c r="B917" t="s">
        <v>22368</v>
      </c>
      <c r="C917" t="s">
        <v>23799</v>
      </c>
      <c r="D917" t="s">
        <v>6068</v>
      </c>
      <c r="E917">
        <f t="shared" si="18"/>
        <v>51</v>
      </c>
    </row>
    <row r="918" spans="1:5" x14ac:dyDescent="0.2">
      <c r="A918" t="s">
        <v>23800</v>
      </c>
      <c r="B918" t="s">
        <v>22368</v>
      </c>
      <c r="C918" t="s">
        <v>23801</v>
      </c>
      <c r="D918" t="s">
        <v>6068</v>
      </c>
      <c r="E918">
        <f t="shared" si="18"/>
        <v>51</v>
      </c>
    </row>
    <row r="919" spans="1:5" x14ac:dyDescent="0.2">
      <c r="A919" t="s">
        <v>23802</v>
      </c>
      <c r="B919" t="s">
        <v>22368</v>
      </c>
      <c r="C919" t="s">
        <v>23803</v>
      </c>
      <c r="D919" t="s">
        <v>6068</v>
      </c>
      <c r="E919">
        <f t="shared" si="18"/>
        <v>61</v>
      </c>
    </row>
    <row r="920" spans="1:5" x14ac:dyDescent="0.2">
      <c r="A920" t="s">
        <v>23804</v>
      </c>
      <c r="B920" t="s">
        <v>22368</v>
      </c>
      <c r="C920" t="s">
        <v>23805</v>
      </c>
      <c r="D920" t="s">
        <v>6068</v>
      </c>
      <c r="E920">
        <f t="shared" si="18"/>
        <v>61</v>
      </c>
    </row>
    <row r="921" spans="1:5" x14ac:dyDescent="0.2">
      <c r="A921" t="s">
        <v>23806</v>
      </c>
      <c r="B921" t="s">
        <v>22368</v>
      </c>
      <c r="C921" t="s">
        <v>23807</v>
      </c>
      <c r="D921" t="s">
        <v>6068</v>
      </c>
      <c r="E921">
        <f t="shared" si="18"/>
        <v>61</v>
      </c>
    </row>
    <row r="922" spans="1:5" x14ac:dyDescent="0.2">
      <c r="A922" t="s">
        <v>23808</v>
      </c>
      <c r="B922" t="s">
        <v>22368</v>
      </c>
      <c r="C922" t="s">
        <v>23809</v>
      </c>
      <c r="D922" t="s">
        <v>6068</v>
      </c>
      <c r="E922">
        <f t="shared" si="18"/>
        <v>61</v>
      </c>
    </row>
    <row r="923" spans="1:5" x14ac:dyDescent="0.2">
      <c r="A923" t="s">
        <v>23810</v>
      </c>
      <c r="B923" t="s">
        <v>22368</v>
      </c>
      <c r="C923" t="s">
        <v>23811</v>
      </c>
      <c r="D923" t="s">
        <v>6068</v>
      </c>
      <c r="E923">
        <f t="shared" si="18"/>
        <v>61</v>
      </c>
    </row>
    <row r="924" spans="1:5" x14ac:dyDescent="0.2">
      <c r="A924" t="s">
        <v>23812</v>
      </c>
      <c r="B924" t="s">
        <v>22368</v>
      </c>
      <c r="C924" t="s">
        <v>23813</v>
      </c>
      <c r="D924" t="s">
        <v>6068</v>
      </c>
      <c r="E924">
        <f t="shared" si="18"/>
        <v>63</v>
      </c>
    </row>
    <row r="925" spans="1:5" x14ac:dyDescent="0.2">
      <c r="A925" t="s">
        <v>23814</v>
      </c>
      <c r="B925" t="s">
        <v>22368</v>
      </c>
      <c r="C925" t="s">
        <v>23815</v>
      </c>
      <c r="D925" t="s">
        <v>6068</v>
      </c>
      <c r="E925">
        <f t="shared" si="18"/>
        <v>63</v>
      </c>
    </row>
    <row r="926" spans="1:5" x14ac:dyDescent="0.2">
      <c r="A926" t="s">
        <v>23816</v>
      </c>
      <c r="B926" t="s">
        <v>22368</v>
      </c>
      <c r="C926" t="s">
        <v>23817</v>
      </c>
      <c r="D926" t="s">
        <v>6068</v>
      </c>
      <c r="E926">
        <f t="shared" si="18"/>
        <v>63</v>
      </c>
    </row>
    <row r="927" spans="1:5" x14ac:dyDescent="0.2">
      <c r="A927" t="s">
        <v>23818</v>
      </c>
      <c r="B927" t="s">
        <v>22368</v>
      </c>
      <c r="C927" t="s">
        <v>23819</v>
      </c>
      <c r="D927" t="s">
        <v>6068</v>
      </c>
      <c r="E927">
        <f t="shared" si="18"/>
        <v>59</v>
      </c>
    </row>
    <row r="928" spans="1:5" x14ac:dyDescent="0.2">
      <c r="A928" t="s">
        <v>23820</v>
      </c>
      <c r="B928" t="s">
        <v>22368</v>
      </c>
      <c r="C928" t="s">
        <v>23821</v>
      </c>
      <c r="D928" t="s">
        <v>6068</v>
      </c>
      <c r="E928">
        <f t="shared" si="18"/>
        <v>59</v>
      </c>
    </row>
    <row r="929" spans="1:5" x14ac:dyDescent="0.2">
      <c r="A929" t="s">
        <v>23822</v>
      </c>
      <c r="B929" t="s">
        <v>22368</v>
      </c>
      <c r="C929" t="s">
        <v>23823</v>
      </c>
      <c r="D929" t="s">
        <v>6068</v>
      </c>
      <c r="E929">
        <f t="shared" si="18"/>
        <v>59</v>
      </c>
    </row>
    <row r="930" spans="1:5" x14ac:dyDescent="0.2">
      <c r="A930" t="s">
        <v>23824</v>
      </c>
      <c r="B930" t="s">
        <v>22368</v>
      </c>
      <c r="C930" t="s">
        <v>23825</v>
      </c>
      <c r="D930" t="s">
        <v>6068</v>
      </c>
      <c r="E930">
        <f t="shared" si="18"/>
        <v>57</v>
      </c>
    </row>
    <row r="931" spans="1:5" x14ac:dyDescent="0.2">
      <c r="A931" t="s">
        <v>23826</v>
      </c>
      <c r="B931" t="s">
        <v>22368</v>
      </c>
      <c r="C931" t="s">
        <v>23827</v>
      </c>
      <c r="D931" t="s">
        <v>6068</v>
      </c>
      <c r="E931">
        <f t="shared" si="18"/>
        <v>57</v>
      </c>
    </row>
    <row r="932" spans="1:5" x14ac:dyDescent="0.2">
      <c r="A932" t="s">
        <v>23828</v>
      </c>
      <c r="B932" t="s">
        <v>22368</v>
      </c>
      <c r="C932" t="s">
        <v>23829</v>
      </c>
      <c r="D932" t="s">
        <v>6068</v>
      </c>
      <c r="E932">
        <f t="shared" si="18"/>
        <v>57</v>
      </c>
    </row>
    <row r="933" spans="1:5" x14ac:dyDescent="0.2">
      <c r="A933" t="s">
        <v>23830</v>
      </c>
      <c r="B933" t="s">
        <v>22368</v>
      </c>
      <c r="C933" t="s">
        <v>23831</v>
      </c>
      <c r="D933" t="s">
        <v>6068</v>
      </c>
      <c r="E933">
        <f t="shared" si="18"/>
        <v>57</v>
      </c>
    </row>
    <row r="934" spans="1:5" x14ac:dyDescent="0.2">
      <c r="A934" t="s">
        <v>23832</v>
      </c>
      <c r="B934" t="s">
        <v>22368</v>
      </c>
      <c r="C934" t="s">
        <v>23833</v>
      </c>
      <c r="D934" t="s">
        <v>6068</v>
      </c>
      <c r="E934">
        <f t="shared" si="18"/>
        <v>57</v>
      </c>
    </row>
    <row r="935" spans="1:5" x14ac:dyDescent="0.2">
      <c r="A935" t="s">
        <v>23834</v>
      </c>
      <c r="B935" t="s">
        <v>22368</v>
      </c>
      <c r="C935" t="s">
        <v>23835</v>
      </c>
      <c r="D935" t="s">
        <v>6068</v>
      </c>
      <c r="E935">
        <f t="shared" si="18"/>
        <v>52</v>
      </c>
    </row>
    <row r="936" spans="1:5" x14ac:dyDescent="0.2">
      <c r="A936" t="s">
        <v>23836</v>
      </c>
      <c r="B936" t="s">
        <v>22368</v>
      </c>
      <c r="C936" t="s">
        <v>23837</v>
      </c>
      <c r="D936" t="s">
        <v>6068</v>
      </c>
      <c r="E936">
        <f t="shared" si="18"/>
        <v>52</v>
      </c>
    </row>
    <row r="937" spans="1:5" x14ac:dyDescent="0.2">
      <c r="A937" t="s">
        <v>23838</v>
      </c>
      <c r="B937" t="s">
        <v>22368</v>
      </c>
      <c r="C937" t="s">
        <v>23839</v>
      </c>
      <c r="D937" t="s">
        <v>6068</v>
      </c>
      <c r="E937">
        <f t="shared" si="18"/>
        <v>52</v>
      </c>
    </row>
    <row r="938" spans="1:5" x14ac:dyDescent="0.2">
      <c r="A938" t="s">
        <v>23840</v>
      </c>
      <c r="B938" t="s">
        <v>22368</v>
      </c>
      <c r="C938" t="s">
        <v>23841</v>
      </c>
      <c r="D938" t="s">
        <v>6068</v>
      </c>
      <c r="E938">
        <f t="shared" si="18"/>
        <v>51</v>
      </c>
    </row>
    <row r="939" spans="1:5" x14ac:dyDescent="0.2">
      <c r="A939" t="s">
        <v>23842</v>
      </c>
      <c r="B939" t="s">
        <v>22368</v>
      </c>
      <c r="C939" t="s">
        <v>23843</v>
      </c>
      <c r="D939" t="s">
        <v>6068</v>
      </c>
      <c r="E939">
        <f t="shared" si="18"/>
        <v>51</v>
      </c>
    </row>
    <row r="940" spans="1:5" x14ac:dyDescent="0.2">
      <c r="A940" t="s">
        <v>23844</v>
      </c>
      <c r="B940" t="s">
        <v>22368</v>
      </c>
      <c r="C940" t="s">
        <v>23845</v>
      </c>
      <c r="D940" t="s">
        <v>6068</v>
      </c>
      <c r="E940">
        <f t="shared" si="18"/>
        <v>51</v>
      </c>
    </row>
    <row r="941" spans="1:5" x14ac:dyDescent="0.2">
      <c r="A941" t="s">
        <v>23846</v>
      </c>
      <c r="B941" t="s">
        <v>22368</v>
      </c>
      <c r="C941" t="s">
        <v>23847</v>
      </c>
      <c r="D941" t="s">
        <v>6068</v>
      </c>
      <c r="E941">
        <f t="shared" si="18"/>
        <v>52</v>
      </c>
    </row>
    <row r="942" spans="1:5" x14ac:dyDescent="0.2">
      <c r="A942" t="s">
        <v>23848</v>
      </c>
      <c r="B942" t="s">
        <v>22368</v>
      </c>
      <c r="C942" t="s">
        <v>23849</v>
      </c>
      <c r="D942" t="s">
        <v>6068</v>
      </c>
      <c r="E942">
        <f t="shared" si="18"/>
        <v>52</v>
      </c>
    </row>
    <row r="943" spans="1:5" x14ac:dyDescent="0.2">
      <c r="A943" t="s">
        <v>23850</v>
      </c>
      <c r="B943" t="s">
        <v>22368</v>
      </c>
      <c r="C943" t="s">
        <v>23851</v>
      </c>
      <c r="D943" t="s">
        <v>6068</v>
      </c>
      <c r="E943">
        <f t="shared" si="18"/>
        <v>52</v>
      </c>
    </row>
    <row r="944" spans="1:5" x14ac:dyDescent="0.2">
      <c r="A944" t="s">
        <v>23852</v>
      </c>
      <c r="B944" t="s">
        <v>22368</v>
      </c>
      <c r="C944" t="s">
        <v>23853</v>
      </c>
      <c r="D944" t="s">
        <v>6068</v>
      </c>
      <c r="E944">
        <f t="shared" si="18"/>
        <v>57</v>
      </c>
    </row>
    <row r="945" spans="1:5" x14ac:dyDescent="0.2">
      <c r="A945" t="s">
        <v>23854</v>
      </c>
      <c r="B945" t="s">
        <v>22368</v>
      </c>
      <c r="C945" t="s">
        <v>23855</v>
      </c>
      <c r="D945" t="s">
        <v>6068</v>
      </c>
      <c r="E945">
        <f t="shared" si="18"/>
        <v>57</v>
      </c>
    </row>
    <row r="946" spans="1:5" x14ac:dyDescent="0.2">
      <c r="A946" t="s">
        <v>23856</v>
      </c>
      <c r="B946" t="s">
        <v>22368</v>
      </c>
      <c r="C946" t="s">
        <v>23857</v>
      </c>
      <c r="D946" t="s">
        <v>6068</v>
      </c>
      <c r="E946">
        <f t="shared" si="18"/>
        <v>57</v>
      </c>
    </row>
    <row r="947" spans="1:5" x14ac:dyDescent="0.2">
      <c r="A947" t="s">
        <v>23858</v>
      </c>
      <c r="B947" t="s">
        <v>22368</v>
      </c>
      <c r="C947" t="s">
        <v>23859</v>
      </c>
      <c r="D947" t="s">
        <v>6068</v>
      </c>
      <c r="E947">
        <f t="shared" si="18"/>
        <v>54</v>
      </c>
    </row>
    <row r="948" spans="1:5" x14ac:dyDescent="0.2">
      <c r="A948" t="s">
        <v>23860</v>
      </c>
      <c r="B948" t="s">
        <v>22368</v>
      </c>
      <c r="C948" t="s">
        <v>23861</v>
      </c>
      <c r="D948" t="s">
        <v>6068</v>
      </c>
      <c r="E948">
        <f t="shared" ref="E948:E979" si="19">+LEN(C948)</f>
        <v>54</v>
      </c>
    </row>
    <row r="949" spans="1:5" x14ac:dyDescent="0.2">
      <c r="A949" t="s">
        <v>23862</v>
      </c>
      <c r="B949" t="s">
        <v>22368</v>
      </c>
      <c r="C949" t="s">
        <v>23863</v>
      </c>
      <c r="D949" t="s">
        <v>6068</v>
      </c>
      <c r="E949">
        <f t="shared" si="19"/>
        <v>54</v>
      </c>
    </row>
    <row r="950" spans="1:5" x14ac:dyDescent="0.2">
      <c r="A950" t="s">
        <v>23864</v>
      </c>
      <c r="B950" t="s">
        <v>22368</v>
      </c>
      <c r="C950" t="s">
        <v>23865</v>
      </c>
      <c r="D950" t="s">
        <v>6068</v>
      </c>
      <c r="E950">
        <f t="shared" si="19"/>
        <v>53</v>
      </c>
    </row>
    <row r="951" spans="1:5" x14ac:dyDescent="0.2">
      <c r="A951" t="s">
        <v>23866</v>
      </c>
      <c r="B951" t="s">
        <v>22368</v>
      </c>
      <c r="C951" t="s">
        <v>23867</v>
      </c>
      <c r="D951" t="s">
        <v>6068</v>
      </c>
      <c r="E951">
        <f t="shared" si="19"/>
        <v>53</v>
      </c>
    </row>
    <row r="952" spans="1:5" x14ac:dyDescent="0.2">
      <c r="A952" t="s">
        <v>23868</v>
      </c>
      <c r="B952" t="s">
        <v>22368</v>
      </c>
      <c r="C952" t="s">
        <v>23869</v>
      </c>
      <c r="D952" t="s">
        <v>6068</v>
      </c>
      <c r="E952">
        <f t="shared" si="19"/>
        <v>53</v>
      </c>
    </row>
    <row r="953" spans="1:5" x14ac:dyDescent="0.2">
      <c r="A953" t="s">
        <v>23870</v>
      </c>
      <c r="B953" t="s">
        <v>22368</v>
      </c>
      <c r="C953" t="s">
        <v>23871</v>
      </c>
      <c r="D953" t="s">
        <v>6068</v>
      </c>
      <c r="E953">
        <f t="shared" si="19"/>
        <v>53</v>
      </c>
    </row>
    <row r="954" spans="1:5" x14ac:dyDescent="0.2">
      <c r="A954" t="s">
        <v>23872</v>
      </c>
      <c r="B954" t="s">
        <v>22368</v>
      </c>
      <c r="C954" t="s">
        <v>23873</v>
      </c>
      <c r="D954" t="s">
        <v>6068</v>
      </c>
      <c r="E954">
        <f t="shared" si="19"/>
        <v>61</v>
      </c>
    </row>
    <row r="955" spans="1:5" x14ac:dyDescent="0.2">
      <c r="A955" t="s">
        <v>23874</v>
      </c>
      <c r="B955" t="s">
        <v>22368</v>
      </c>
      <c r="C955" t="s">
        <v>23875</v>
      </c>
      <c r="D955" t="s">
        <v>6068</v>
      </c>
      <c r="E955">
        <f t="shared" si="19"/>
        <v>61</v>
      </c>
    </row>
    <row r="956" spans="1:5" x14ac:dyDescent="0.2">
      <c r="A956" t="s">
        <v>23876</v>
      </c>
      <c r="B956" t="s">
        <v>22368</v>
      </c>
      <c r="C956" t="s">
        <v>23877</v>
      </c>
      <c r="D956" t="s">
        <v>6068</v>
      </c>
      <c r="E956">
        <f t="shared" si="19"/>
        <v>61</v>
      </c>
    </row>
    <row r="957" spans="1:5" x14ac:dyDescent="0.2">
      <c r="A957" t="s">
        <v>23878</v>
      </c>
      <c r="B957" t="s">
        <v>22368</v>
      </c>
      <c r="C957" t="s">
        <v>23879</v>
      </c>
      <c r="D957" t="s">
        <v>6068</v>
      </c>
      <c r="E957">
        <f t="shared" si="19"/>
        <v>56</v>
      </c>
    </row>
    <row r="958" spans="1:5" x14ac:dyDescent="0.2">
      <c r="A958" t="s">
        <v>23880</v>
      </c>
      <c r="B958" t="s">
        <v>22368</v>
      </c>
      <c r="C958" t="s">
        <v>23881</v>
      </c>
      <c r="D958" t="s">
        <v>6068</v>
      </c>
      <c r="E958">
        <f t="shared" si="19"/>
        <v>56</v>
      </c>
    </row>
    <row r="959" spans="1:5" x14ac:dyDescent="0.2">
      <c r="A959" t="s">
        <v>23882</v>
      </c>
      <c r="B959" t="s">
        <v>22368</v>
      </c>
      <c r="C959" t="s">
        <v>23883</v>
      </c>
      <c r="D959" t="s">
        <v>6068</v>
      </c>
      <c r="E959">
        <f t="shared" si="19"/>
        <v>56</v>
      </c>
    </row>
    <row r="960" spans="1:5" x14ac:dyDescent="0.2">
      <c r="A960" t="s">
        <v>23884</v>
      </c>
      <c r="B960" t="s">
        <v>22368</v>
      </c>
      <c r="C960" t="s">
        <v>23885</v>
      </c>
      <c r="D960" t="s">
        <v>6068</v>
      </c>
      <c r="E960">
        <f t="shared" si="19"/>
        <v>56</v>
      </c>
    </row>
    <row r="961" spans="1:5" x14ac:dyDescent="0.2">
      <c r="A961" t="s">
        <v>23886</v>
      </c>
      <c r="B961" t="s">
        <v>22368</v>
      </c>
      <c r="C961" t="s">
        <v>23887</v>
      </c>
      <c r="D961" t="s">
        <v>6068</v>
      </c>
      <c r="E961">
        <f t="shared" si="19"/>
        <v>56</v>
      </c>
    </row>
    <row r="962" spans="1:5" x14ac:dyDescent="0.2">
      <c r="A962" t="s">
        <v>23888</v>
      </c>
      <c r="B962" t="s">
        <v>22368</v>
      </c>
      <c r="C962" t="s">
        <v>23889</v>
      </c>
      <c r="D962" t="s">
        <v>6068</v>
      </c>
      <c r="E962">
        <f t="shared" si="19"/>
        <v>55</v>
      </c>
    </row>
    <row r="963" spans="1:5" x14ac:dyDescent="0.2">
      <c r="A963" t="s">
        <v>23890</v>
      </c>
      <c r="B963" t="s">
        <v>22368</v>
      </c>
      <c r="C963" t="s">
        <v>23891</v>
      </c>
      <c r="D963" t="s">
        <v>6068</v>
      </c>
      <c r="E963">
        <f t="shared" si="19"/>
        <v>55</v>
      </c>
    </row>
    <row r="964" spans="1:5" x14ac:dyDescent="0.2">
      <c r="A964" t="s">
        <v>23892</v>
      </c>
      <c r="B964" t="s">
        <v>22368</v>
      </c>
      <c r="C964" t="s">
        <v>23893</v>
      </c>
      <c r="D964" t="s">
        <v>6068</v>
      </c>
      <c r="E964">
        <f t="shared" si="19"/>
        <v>55</v>
      </c>
    </row>
    <row r="965" spans="1:5" x14ac:dyDescent="0.2">
      <c r="A965" t="s">
        <v>23894</v>
      </c>
      <c r="B965" t="s">
        <v>22368</v>
      </c>
      <c r="C965" t="s">
        <v>23895</v>
      </c>
      <c r="D965" t="s">
        <v>6068</v>
      </c>
      <c r="E965">
        <f t="shared" si="19"/>
        <v>59</v>
      </c>
    </row>
    <row r="966" spans="1:5" x14ac:dyDescent="0.2">
      <c r="A966" t="s">
        <v>23896</v>
      </c>
      <c r="B966" t="s">
        <v>22368</v>
      </c>
      <c r="C966" t="s">
        <v>23897</v>
      </c>
      <c r="D966" t="s">
        <v>6068</v>
      </c>
      <c r="E966">
        <f t="shared" si="19"/>
        <v>58</v>
      </c>
    </row>
    <row r="967" spans="1:5" x14ac:dyDescent="0.2">
      <c r="A967" t="s">
        <v>23898</v>
      </c>
      <c r="B967" t="s">
        <v>22368</v>
      </c>
      <c r="C967" t="s">
        <v>23899</v>
      </c>
      <c r="D967" t="s">
        <v>6068</v>
      </c>
      <c r="E967">
        <f t="shared" si="19"/>
        <v>58</v>
      </c>
    </row>
    <row r="968" spans="1:5" x14ac:dyDescent="0.2">
      <c r="A968" t="s">
        <v>23900</v>
      </c>
      <c r="B968" t="s">
        <v>22368</v>
      </c>
      <c r="C968" t="s">
        <v>23901</v>
      </c>
      <c r="D968" t="s">
        <v>6068</v>
      </c>
      <c r="E968">
        <f t="shared" si="19"/>
        <v>58</v>
      </c>
    </row>
    <row r="969" spans="1:5" x14ac:dyDescent="0.2">
      <c r="A969" t="s">
        <v>23902</v>
      </c>
      <c r="B969" t="s">
        <v>22368</v>
      </c>
      <c r="C969" t="s">
        <v>23903</v>
      </c>
      <c r="D969" t="s">
        <v>6068</v>
      </c>
      <c r="E969">
        <f t="shared" si="19"/>
        <v>58</v>
      </c>
    </row>
    <row r="970" spans="1:5" x14ac:dyDescent="0.2">
      <c r="A970" t="s">
        <v>23904</v>
      </c>
      <c r="B970" t="s">
        <v>22368</v>
      </c>
      <c r="C970" t="s">
        <v>23905</v>
      </c>
      <c r="D970" t="s">
        <v>6068</v>
      </c>
      <c r="E970">
        <f t="shared" si="19"/>
        <v>50</v>
      </c>
    </row>
    <row r="971" spans="1:5" x14ac:dyDescent="0.2">
      <c r="A971" t="s">
        <v>23906</v>
      </c>
      <c r="B971" t="s">
        <v>22368</v>
      </c>
      <c r="C971" t="s">
        <v>23907</v>
      </c>
      <c r="D971" t="s">
        <v>6068</v>
      </c>
      <c r="E971">
        <f t="shared" si="19"/>
        <v>50</v>
      </c>
    </row>
    <row r="972" spans="1:5" x14ac:dyDescent="0.2">
      <c r="A972" t="s">
        <v>23908</v>
      </c>
      <c r="B972" t="s">
        <v>22368</v>
      </c>
      <c r="C972" t="s">
        <v>23909</v>
      </c>
      <c r="D972" t="s">
        <v>6068</v>
      </c>
      <c r="E972">
        <f t="shared" si="19"/>
        <v>50</v>
      </c>
    </row>
    <row r="973" spans="1:5" x14ac:dyDescent="0.2">
      <c r="A973" t="s">
        <v>23910</v>
      </c>
      <c r="B973" t="s">
        <v>22368</v>
      </c>
      <c r="C973" t="s">
        <v>23911</v>
      </c>
      <c r="D973" t="s">
        <v>6068</v>
      </c>
      <c r="E973">
        <f t="shared" si="19"/>
        <v>50</v>
      </c>
    </row>
    <row r="974" spans="1:5" x14ac:dyDescent="0.2">
      <c r="A974" t="s">
        <v>23912</v>
      </c>
      <c r="B974" t="s">
        <v>22368</v>
      </c>
      <c r="C974" t="s">
        <v>23913</v>
      </c>
      <c r="D974" t="s">
        <v>6068</v>
      </c>
      <c r="E974">
        <f t="shared" si="19"/>
        <v>50</v>
      </c>
    </row>
    <row r="975" spans="1:5" x14ac:dyDescent="0.2">
      <c r="A975" t="s">
        <v>23914</v>
      </c>
      <c r="B975" t="s">
        <v>22368</v>
      </c>
      <c r="C975" t="s">
        <v>23915</v>
      </c>
      <c r="D975" t="s">
        <v>6068</v>
      </c>
      <c r="E975">
        <f t="shared" si="19"/>
        <v>50</v>
      </c>
    </row>
    <row r="976" spans="1:5" x14ac:dyDescent="0.2">
      <c r="A976" t="s">
        <v>23916</v>
      </c>
      <c r="B976" t="s">
        <v>22368</v>
      </c>
      <c r="C976" t="s">
        <v>23917</v>
      </c>
      <c r="D976" t="s">
        <v>6068</v>
      </c>
      <c r="E976">
        <f t="shared" si="19"/>
        <v>50</v>
      </c>
    </row>
    <row r="977" spans="1:5" x14ac:dyDescent="0.2">
      <c r="A977" t="s">
        <v>23918</v>
      </c>
      <c r="B977" t="s">
        <v>22368</v>
      </c>
      <c r="C977" t="s">
        <v>23919</v>
      </c>
      <c r="D977" t="s">
        <v>6068</v>
      </c>
      <c r="E977">
        <f t="shared" si="19"/>
        <v>53</v>
      </c>
    </row>
    <row r="978" spans="1:5" x14ac:dyDescent="0.2">
      <c r="A978" t="s">
        <v>23920</v>
      </c>
      <c r="B978" t="s">
        <v>22368</v>
      </c>
      <c r="C978" t="s">
        <v>23921</v>
      </c>
      <c r="D978" t="s">
        <v>6068</v>
      </c>
      <c r="E978">
        <f t="shared" si="19"/>
        <v>53</v>
      </c>
    </row>
    <row r="979" spans="1:5" x14ac:dyDescent="0.2">
      <c r="A979" t="s">
        <v>23922</v>
      </c>
      <c r="B979" t="s">
        <v>22368</v>
      </c>
      <c r="C979" t="s">
        <v>23923</v>
      </c>
      <c r="D979" t="s">
        <v>6068</v>
      </c>
      <c r="E979">
        <f t="shared" si="19"/>
        <v>53</v>
      </c>
    </row>
    <row r="980" spans="1:5" x14ac:dyDescent="0.2">
      <c r="A980" t="s">
        <v>23924</v>
      </c>
      <c r="B980" t="s">
        <v>22368</v>
      </c>
      <c r="C980" t="s">
        <v>23925</v>
      </c>
      <c r="D980" t="s">
        <v>6068</v>
      </c>
      <c r="E980">
        <f t="shared" ref="E980:E993" si="20">+LEN(C980)</f>
        <v>52</v>
      </c>
    </row>
    <row r="981" spans="1:5" x14ac:dyDescent="0.2">
      <c r="A981" t="s">
        <v>23926</v>
      </c>
      <c r="B981" t="s">
        <v>22368</v>
      </c>
      <c r="C981" t="s">
        <v>23927</v>
      </c>
      <c r="D981" t="s">
        <v>6068</v>
      </c>
      <c r="E981">
        <f t="shared" si="20"/>
        <v>52</v>
      </c>
    </row>
    <row r="982" spans="1:5" x14ac:dyDescent="0.2">
      <c r="A982" t="s">
        <v>23928</v>
      </c>
      <c r="B982" t="s">
        <v>22368</v>
      </c>
      <c r="C982" t="s">
        <v>23929</v>
      </c>
      <c r="D982" t="s">
        <v>6068</v>
      </c>
      <c r="E982">
        <f t="shared" si="20"/>
        <v>62</v>
      </c>
    </row>
    <row r="983" spans="1:5" x14ac:dyDescent="0.2">
      <c r="A983" t="s">
        <v>23930</v>
      </c>
      <c r="B983" t="s">
        <v>22368</v>
      </c>
      <c r="C983" t="s">
        <v>23931</v>
      </c>
      <c r="D983" t="s">
        <v>6068</v>
      </c>
      <c r="E983">
        <f t="shared" si="20"/>
        <v>62</v>
      </c>
    </row>
    <row r="984" spans="1:5" x14ac:dyDescent="0.2">
      <c r="A984" t="s">
        <v>23932</v>
      </c>
      <c r="B984" t="s">
        <v>22368</v>
      </c>
      <c r="C984" t="s">
        <v>23933</v>
      </c>
      <c r="D984" t="s">
        <v>6068</v>
      </c>
      <c r="E984">
        <f t="shared" si="20"/>
        <v>62</v>
      </c>
    </row>
    <row r="985" spans="1:5" x14ac:dyDescent="0.2">
      <c r="A985" t="s">
        <v>23934</v>
      </c>
      <c r="B985" t="s">
        <v>22368</v>
      </c>
      <c r="C985" t="s">
        <v>23935</v>
      </c>
      <c r="D985" t="s">
        <v>6068</v>
      </c>
      <c r="E985">
        <f t="shared" si="20"/>
        <v>62</v>
      </c>
    </row>
    <row r="986" spans="1:5" x14ac:dyDescent="0.2">
      <c r="A986" t="s">
        <v>23936</v>
      </c>
      <c r="B986" t="s">
        <v>22368</v>
      </c>
      <c r="C986" t="s">
        <v>23937</v>
      </c>
      <c r="D986" t="s">
        <v>6068</v>
      </c>
      <c r="E986">
        <f t="shared" si="20"/>
        <v>63</v>
      </c>
    </row>
    <row r="987" spans="1:5" x14ac:dyDescent="0.2">
      <c r="A987" t="s">
        <v>23938</v>
      </c>
      <c r="B987" t="s">
        <v>22368</v>
      </c>
      <c r="C987" t="s">
        <v>23939</v>
      </c>
      <c r="D987" t="s">
        <v>6068</v>
      </c>
      <c r="E987">
        <f t="shared" si="20"/>
        <v>50</v>
      </c>
    </row>
    <row r="988" spans="1:5" x14ac:dyDescent="0.2">
      <c r="A988" t="s">
        <v>23940</v>
      </c>
      <c r="B988" t="s">
        <v>22368</v>
      </c>
      <c r="C988" t="s">
        <v>23941</v>
      </c>
      <c r="D988" t="s">
        <v>6068</v>
      </c>
      <c r="E988">
        <f t="shared" si="20"/>
        <v>50</v>
      </c>
    </row>
    <row r="989" spans="1:5" x14ac:dyDescent="0.2">
      <c r="A989" t="s">
        <v>23942</v>
      </c>
      <c r="B989" t="s">
        <v>22368</v>
      </c>
      <c r="C989" t="s">
        <v>23943</v>
      </c>
      <c r="D989" t="s">
        <v>6068</v>
      </c>
      <c r="E989">
        <f t="shared" si="20"/>
        <v>50</v>
      </c>
    </row>
    <row r="990" spans="1:5" x14ac:dyDescent="0.2">
      <c r="A990" t="s">
        <v>23944</v>
      </c>
      <c r="B990" t="s">
        <v>22368</v>
      </c>
      <c r="C990" t="s">
        <v>23945</v>
      </c>
      <c r="D990" t="s">
        <v>6068</v>
      </c>
      <c r="E990">
        <f t="shared" si="20"/>
        <v>49</v>
      </c>
    </row>
    <row r="991" spans="1:5" x14ac:dyDescent="0.2">
      <c r="A991" t="s">
        <v>23946</v>
      </c>
      <c r="B991" t="s">
        <v>22368</v>
      </c>
      <c r="C991" t="s">
        <v>23947</v>
      </c>
      <c r="D991" t="s">
        <v>6068</v>
      </c>
      <c r="E991">
        <f t="shared" si="20"/>
        <v>49</v>
      </c>
    </row>
    <row r="992" spans="1:5" x14ac:dyDescent="0.2">
      <c r="A992" t="s">
        <v>23948</v>
      </c>
      <c r="B992" t="s">
        <v>22368</v>
      </c>
      <c r="C992" t="s">
        <v>23949</v>
      </c>
      <c r="D992" t="s">
        <v>6068</v>
      </c>
      <c r="E992">
        <f t="shared" si="20"/>
        <v>49</v>
      </c>
    </row>
    <row r="993" spans="1:5" x14ac:dyDescent="0.2">
      <c r="A993" t="s">
        <v>23950</v>
      </c>
      <c r="B993" t="s">
        <v>22368</v>
      </c>
      <c r="C993" t="s">
        <v>23951</v>
      </c>
      <c r="D993" t="s">
        <v>6068</v>
      </c>
      <c r="E993">
        <f t="shared" si="20"/>
        <v>49</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4.xml><?xml version="1.0" encoding="utf-8"?>
<ct:contentTypeSchema xmlns:ct="http://schemas.microsoft.com/office/2006/metadata/contentType" xmlns:ma="http://schemas.microsoft.com/office/2006/metadata/properties/metaAttributes" ct:_="" ma:_="" ma:contentTypeName="Document" ma:contentTypeID="0x010100F5222729C68EFC4D8D2354D396BE95DE" ma:contentTypeVersion="4" ma:contentTypeDescription="Create a new document." ma:contentTypeScope="" ma:versionID="d60a2491bacbcee103fa827c75238191">
  <xsd:schema xmlns:xsd="http://www.w3.org/2001/XMLSchema" xmlns:xs="http://www.w3.org/2001/XMLSchema" xmlns:p="http://schemas.microsoft.com/office/2006/metadata/properties" xmlns:ns3="375239a4-5dc3-49cd-80ca-df31659f9fb9" targetNamespace="http://schemas.microsoft.com/office/2006/metadata/properties" ma:root="true" ma:fieldsID="85e31ba4a56bb681c639dd2ce2e3cf78" ns3:_="">
    <xsd:import namespace="375239a4-5dc3-49cd-80ca-df31659f9fb9"/>
    <xsd:element name="properties">
      <xsd:complexType>
        <xsd:sequence>
          <xsd:element name="documentManagement">
            <xsd:complexType>
              <xsd:all>
                <xsd:element ref="ns3:MediaServiceMetadata" minOccurs="0"/>
                <xsd:element ref="ns3:MediaServiceFastMetadata" minOccurs="0"/>
                <xsd:element ref="ns3:MediaServiceAutoKeyPoints" minOccurs="0"/>
                <xsd:element ref="ns3: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375239a4-5dc3-49cd-80ca-df31659f9fb9"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8C8C5366-1627-492D-9E59-34DE2C5DBA05}">
  <ds:schemaRefs>
    <ds:schemaRef ds:uri="http://schemas.microsoft.com/sharepoint/v3/contenttype/forms"/>
  </ds:schemaRefs>
</ds:datastoreItem>
</file>

<file path=customXml/itemProps2.xml><?xml version="1.0" encoding="utf-8"?>
<ds:datastoreItem xmlns:ds="http://schemas.openxmlformats.org/officeDocument/2006/customXml" ds:itemID="{80B4479C-2563-4E1F-9348-21DFB5DD2EE9}">
  <ds:schemaRefs>
    <ds:schemaRef ds:uri="http://schemas.microsoft.com/DataMashup"/>
  </ds:schemaRefs>
</ds:datastoreItem>
</file>

<file path=customXml/itemProps3.xml><?xml version="1.0" encoding="utf-8"?>
<ds:datastoreItem xmlns:ds="http://schemas.openxmlformats.org/officeDocument/2006/customXml" ds:itemID="{DCC622DF-3726-445A-8AFF-72216154C146}">
  <ds:schemaRefs>
    <ds:schemaRef ds:uri="http://schemas.microsoft.com/office/2006/documentManagement/types"/>
    <ds:schemaRef ds:uri="http://purl.org/dc/terms/"/>
    <ds:schemaRef ds:uri="http://schemas.microsoft.com/office/2006/metadata/properties"/>
    <ds:schemaRef ds:uri="http://schemas.microsoft.com/office/infopath/2007/PartnerControls"/>
    <ds:schemaRef ds:uri="http://schemas.openxmlformats.org/package/2006/metadata/core-properties"/>
    <ds:schemaRef ds:uri="375239a4-5dc3-49cd-80ca-df31659f9fb9"/>
    <ds:schemaRef ds:uri="http://www.w3.org/XML/1998/namespace"/>
    <ds:schemaRef ds:uri="http://purl.org/dc/dcmitype/"/>
    <ds:schemaRef ds:uri="http://purl.org/dc/elements/1.1/"/>
  </ds:schemaRefs>
</ds:datastoreItem>
</file>

<file path=customXml/itemProps4.xml><?xml version="1.0" encoding="utf-8"?>
<ds:datastoreItem xmlns:ds="http://schemas.openxmlformats.org/officeDocument/2006/customXml" ds:itemID="{AE9DB353-52FC-4662-B160-0268DD271BF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375239a4-5dc3-49cd-80ca-df31659f9fb9"/>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56</vt:i4>
      </vt:variant>
      <vt:variant>
        <vt:lpstr>Named Ranges</vt:lpstr>
      </vt:variant>
      <vt:variant>
        <vt:i4>35</vt:i4>
      </vt:variant>
    </vt:vector>
  </HeadingPairs>
  <TitlesOfParts>
    <vt:vector size="91" baseType="lpstr">
      <vt:lpstr>Index</vt:lpstr>
      <vt:lpstr>Analysis</vt:lpstr>
      <vt:lpstr>Analysis OLD</vt:lpstr>
      <vt:lpstr>A23 Avant</vt:lpstr>
      <vt:lpstr>A-PrintURL</vt:lpstr>
      <vt:lpstr>A-Print</vt:lpstr>
      <vt:lpstr>ADV</vt:lpstr>
      <vt:lpstr>A-S</vt:lpstr>
      <vt:lpstr>A-A</vt:lpstr>
      <vt:lpstr>A-A Archive</vt:lpstr>
      <vt:lpstr>A-CA</vt:lpstr>
      <vt:lpstr>D-Print</vt:lpstr>
      <vt:lpstr>DN-Print</vt:lpstr>
      <vt:lpstr>DRA</vt:lpstr>
      <vt:lpstr>D-S</vt:lpstr>
      <vt:lpstr>D-A</vt:lpstr>
      <vt:lpstr>WNBAD</vt:lpstr>
      <vt:lpstr>W-Print BACKUP</vt:lpstr>
      <vt:lpstr>W-Print</vt:lpstr>
      <vt:lpstr>WEAP</vt:lpstr>
      <vt:lpstr>W-S</vt:lpstr>
      <vt:lpstr>W-S OLD</vt:lpstr>
      <vt:lpstr>W-A</vt:lpstr>
      <vt:lpstr>W-U</vt:lpstr>
      <vt:lpstr>W-WS</vt:lpstr>
      <vt:lpstr>WP-Print BACKUP</vt:lpstr>
      <vt:lpstr>WP-Print</vt:lpstr>
      <vt:lpstr>WP</vt:lpstr>
      <vt:lpstr>WP-A</vt:lpstr>
      <vt:lpstr>WP-AC</vt:lpstr>
      <vt:lpstr>WP-AF</vt:lpstr>
      <vt:lpstr>PWP-Print BACKUP</vt:lpstr>
      <vt:lpstr>PWP-Print</vt:lpstr>
      <vt:lpstr>PWP</vt:lpstr>
      <vt:lpstr>PWP-A</vt:lpstr>
      <vt:lpstr>CAMP</vt:lpstr>
      <vt:lpstr>Quest</vt:lpstr>
      <vt:lpstr>QDrop</vt:lpstr>
      <vt:lpstr>Endvr</vt:lpstr>
      <vt:lpstr>N-Endvr</vt:lpstr>
      <vt:lpstr>RR</vt:lpstr>
      <vt:lpstr>Facility</vt:lpstr>
      <vt:lpstr>Mats</vt:lpstr>
      <vt:lpstr>MC</vt:lpstr>
      <vt:lpstr>EXP</vt:lpstr>
      <vt:lpstr>EtK</vt:lpstr>
      <vt:lpstr>EtK-A</vt:lpstr>
      <vt:lpstr>EtK-S</vt:lpstr>
      <vt:lpstr>PWP2</vt:lpstr>
      <vt:lpstr>ATK</vt:lpstr>
      <vt:lpstr>TT</vt:lpstr>
      <vt:lpstr>Text</vt:lpstr>
      <vt:lpstr>Unlock</vt:lpstr>
      <vt:lpstr>A-Comp</vt:lpstr>
      <vt:lpstr>COA OLD</vt:lpstr>
      <vt:lpstr>BAD Abilities</vt:lpstr>
      <vt:lpstr>'A-A'!_FilterDatabase</vt:lpstr>
      <vt:lpstr>'WP-A'!_FilterDatabase</vt:lpstr>
      <vt:lpstr>'A-Comp'!Print_Area</vt:lpstr>
      <vt:lpstr>Facility!Print_Area</vt:lpstr>
      <vt:lpstr>'PWP-Print'!Print_Area</vt:lpstr>
      <vt:lpstr>'PWP-Print BACKUP'!Print_Area</vt:lpstr>
      <vt:lpstr>QDrop!Print_Area</vt:lpstr>
      <vt:lpstr>TT!Print_Area</vt:lpstr>
      <vt:lpstr>'WP-Print'!Print_Area</vt:lpstr>
      <vt:lpstr>'W-Print'!Print_Area</vt:lpstr>
      <vt:lpstr>'W-Print BACKUP'!Print_Area</vt:lpstr>
      <vt:lpstr>'W-U'!Print_Area</vt:lpstr>
      <vt:lpstr>ATK!Print_Titles</vt:lpstr>
      <vt:lpstr>DRA!Print_Titles</vt:lpstr>
      <vt:lpstr>Endvr!Print_Titles</vt:lpstr>
      <vt:lpstr>'EtK-A'!Print_Titles</vt:lpstr>
      <vt:lpstr>'EtK-S'!Print_Titles</vt:lpstr>
      <vt:lpstr>Facility!Print_Titles</vt:lpstr>
      <vt:lpstr>Mats!Print_Titles</vt:lpstr>
      <vt:lpstr>'N-Endvr'!Print_Titles</vt:lpstr>
      <vt:lpstr>PWP!Print_Titles</vt:lpstr>
      <vt:lpstr>'PWP-Print'!Print_Titles</vt:lpstr>
      <vt:lpstr>'PWP-Print BACKUP'!Print_Titles</vt:lpstr>
      <vt:lpstr>QDrop!Print_Titles</vt:lpstr>
      <vt:lpstr>Quest!Print_Titles</vt:lpstr>
      <vt:lpstr>RR!Print_Titles</vt:lpstr>
      <vt:lpstr>TT!Print_Titles</vt:lpstr>
      <vt:lpstr>'W-A'!Print_Titles</vt:lpstr>
      <vt:lpstr>WEAP!Print_Titles</vt:lpstr>
      <vt:lpstr>WP!Print_Titles</vt:lpstr>
      <vt:lpstr>'WP-AC'!Print_Titles</vt:lpstr>
      <vt:lpstr>'WP-Print'!Print_Titles</vt:lpstr>
      <vt:lpstr>'WP-Print BACKUP'!Print_Titles</vt:lpstr>
      <vt:lpstr>'W-Print'!Print_Titles</vt:lpstr>
      <vt:lpstr>'W-U'!Print_Titles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Natalie</dc:creator>
  <cp:keywords/>
  <dc:description/>
  <cp:lastModifiedBy>Natalie Neumann</cp:lastModifiedBy>
  <cp:revision/>
  <cp:lastPrinted>2023-11-07T08:20:57Z</cp:lastPrinted>
  <dcterms:created xsi:type="dcterms:W3CDTF">2022-06-03T15:37:16Z</dcterms:created>
  <dcterms:modified xsi:type="dcterms:W3CDTF">2023-11-07T08:41:42Z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0x010100F5222729C68EFC4D8D2354D396BE95DE</vt:lpwstr>
  </property>
</Properties>
</file>